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4.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5.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Старт" sheetId="1" state="visible" r:id="rId1"/>
    <sheet name="00_Дашборд" sheetId="2" state="visible" r:id="rId2"/>
    <sheet name="01_Вводные" sheetId="3" state="visible" r:id="rId3"/>
    <sheet name="02_Модель" sheetId="4" state="visible" r:id="rId4"/>
    <sheet name="03_Сценарии" sheetId="5" state="visible" r:id="rId5"/>
    <sheet name="04_Продажи" sheetId="6" state="visible" r:id="rId6"/>
    <sheet name="05_Воронка" sheetId="7" state="visible" r:id="rId7"/>
    <sheet name="06_Сеть_и_дети" sheetId="8" state="visible" r:id="rId8"/>
    <sheet name="07_Мерч" sheetId="9" state="visible" r:id="rId9"/>
    <sheet name="08_ФОТ" sheetId="10" state="visible" r:id="rId10"/>
    <sheet name="09_Лагеря" sheetId="11" state="visible" r:id="rId11"/>
    <sheet name="10_Выплаты_ФК" sheetId="12" state="visible" r:id="rId12"/>
    <sheet name="11_История_25_26" sheetId="13" state="visible" r:id="rId13"/>
    <sheet name="12_Чувствительность" sheetId="14" state="visible" r:id="rId14"/>
    <sheet name="13_Проверки" sheetId="15" state="visible" r:id="rId15"/>
    <sheet name="14_Ревизия" sheetId="16" state="visible" r:id="rId16"/>
    <sheet name="15_Изменения" sheetId="17" state="visible" r:id="rId17"/>
    <sheet name="16_Инструкция" sheetId="18" state="visible" r:id="rId18"/>
    <sheet name="17_Сверка_версий" sheetId="19" state="hidden" r:id="rId19"/>
    <sheet name="18_Календарь_тарифы" sheetId="20" state="hidden" r:id="rId20"/>
    <sheet name="19_Расчет_аналитики" sheetId="21" state="hidden" r:id="rId21"/>
    <sheet name="16а_Логика_модели" sheetId="22" state="visible" r:id="rId22"/>
    <sheet name="01а_Действующая_сеть" sheetId="23" state="visible" r:id="rId23"/>
    <sheet name="14а_Сверка_с_ТЗ" sheetId="24" state="visible" r:id="rId24"/>
  </sheets>
  <definedNames>
    <definedName name="RevenueAge01">'18_Календарь_тарифы'!$B$24:$U$24</definedName>
    <definedName name="MinimumAge01">'18_Календарь_тарифы'!$B$54:$U$54</definedName>
    <definedName name="CapacityAge01">'18_Календарь_тарифы'!$W$24</definedName>
    <definedName name="MeanMinAge01">'18_Календарь_тарифы'!$X$24</definedName>
    <definedName name="RevenueAge02">'18_Календарь_тарифы'!$B$25:$U$25</definedName>
    <definedName name="MinimumAge02">'18_Календарь_тарифы'!$B$55:$U$55</definedName>
    <definedName name="CapacityAge02">'18_Календарь_тарифы'!$W$25</definedName>
    <definedName name="MeanMinAge02">'18_Календарь_тарифы'!$X$25</definedName>
    <definedName name="RevenueAge03">'18_Календарь_тарифы'!$B$26:$U$26</definedName>
    <definedName name="MinimumAge03">'18_Календарь_тарифы'!$B$56:$U$56</definedName>
    <definedName name="CapacityAge03">'18_Календарь_тарифы'!$W$26</definedName>
    <definedName name="MeanMinAge03">'18_Календарь_тарифы'!$X$26</definedName>
    <definedName name="RevenueAge04">'18_Календарь_тарифы'!$B$27:$U$27</definedName>
    <definedName name="MinimumAge04">'18_Календарь_тарифы'!$B$57:$U$57</definedName>
    <definedName name="CapacityAge04">'18_Календарь_тарифы'!$W$27</definedName>
    <definedName name="MeanMinAge04">'18_Календарь_тарифы'!$X$27</definedName>
    <definedName name="RevenueAge05">'18_Календарь_тарифы'!$B$28:$U$28</definedName>
    <definedName name="MinimumAge05">'18_Календарь_тарифы'!$B$58:$U$58</definedName>
    <definedName name="CapacityAge05">'18_Календарь_тарифы'!$W$28</definedName>
    <definedName name="MeanMinAge05">'18_Календарь_тарифы'!$X$28</definedName>
    <definedName name="RevenueAge06">'18_Календарь_тарифы'!$B$29:$U$29</definedName>
    <definedName name="MinimumAge06">'18_Календарь_тарифы'!$B$59:$U$59</definedName>
    <definedName name="CapacityAge06">'18_Календарь_тарифы'!$W$29</definedName>
    <definedName name="MeanMinAge06">'18_Календарь_тарифы'!$X$29</definedName>
    <definedName name="RevenueAge07">'18_Календарь_тарифы'!$B$30:$U$30</definedName>
    <definedName name="MinimumAge07">'18_Календарь_тарифы'!$B$60:$U$60</definedName>
    <definedName name="CapacityAge07">'18_Календарь_тарифы'!$W$30</definedName>
    <definedName name="MeanMinAge07">'18_Календарь_тарифы'!$X$30</definedName>
    <definedName name="RevenueAge08">'18_Календарь_тарифы'!$B$31:$U$31</definedName>
    <definedName name="MinimumAge08">'18_Календарь_тарифы'!$B$61:$U$61</definedName>
    <definedName name="CapacityAge08">'18_Календарь_тарифы'!$W$31</definedName>
    <definedName name="MeanMinAge08">'18_Календарь_тарифы'!$X$31</definedName>
    <definedName name="RevenueAge09">'18_Календарь_тарифы'!$B$32:$U$32</definedName>
    <definedName name="MinimumAge09">'18_Календарь_тарифы'!$B$62:$U$62</definedName>
    <definedName name="CapacityAge09">'18_Календарь_тарифы'!$W$32</definedName>
    <definedName name="MeanMinAge09">'18_Календарь_тарифы'!$X$32</definedName>
    <definedName name="RevenueAge10">'18_Календарь_тарифы'!$B$33:$U$33</definedName>
    <definedName name="MinimumAge10">'18_Календарь_тарифы'!$B$63:$U$63</definedName>
    <definedName name="CapacityAge10">'18_Календарь_тарифы'!$W$33</definedName>
    <definedName name="MeanMinAge10">'18_Календарь_тарифы'!$X$33</definedName>
    <definedName name="RevenueAge11">'18_Календарь_тарифы'!$B$34:$U$34</definedName>
    <definedName name="MinimumAge11">'18_Календарь_тарифы'!$B$64:$U$64</definedName>
    <definedName name="CapacityAge11">'18_Календарь_тарифы'!$W$34</definedName>
    <definedName name="MeanMinAge11">'18_Календарь_тарифы'!$X$34</definedName>
    <definedName name="RevenueAge12">'18_Календарь_тарифы'!$B$35:$U$35</definedName>
    <definedName name="MinimumAge12">'18_Календарь_тарифы'!$B$65:$U$65</definedName>
    <definedName name="CapacityAge12">'18_Календарь_тарифы'!$W$35</definedName>
    <definedName name="MeanMinAge12">'18_Календарь_тарифы'!$X$35</definedName>
    <definedName name="RevenueAge13">'18_Календарь_тарифы'!$B$36:$U$36</definedName>
    <definedName name="MinimumAge13">'18_Календарь_тарифы'!$B$66:$U$66</definedName>
    <definedName name="CapacityAge13">'18_Календарь_тарифы'!$W$36</definedName>
    <definedName name="MeanMinAge13">'18_Календарь_тарифы'!$X$36</definedName>
    <definedName name="RevenueAge14">'18_Календарь_тарифы'!$B$37:$U$37</definedName>
    <definedName name="MinimumAge14">'18_Календарь_тарифы'!$B$67:$U$67</definedName>
    <definedName name="CapacityAge14">'18_Календарь_тарифы'!$W$37</definedName>
    <definedName name="MeanMinAge14">'18_Календарь_тарифы'!$X$37</definedName>
    <definedName name="RevenueAge15">'18_Календарь_тарифы'!$B$38:$U$38</definedName>
    <definedName name="MinimumAge15">'18_Календарь_тарифы'!$B$68:$U$68</definedName>
    <definedName name="CapacityAge15">'18_Календарь_тарифы'!$W$38</definedName>
    <definedName name="MeanMinAge15">'18_Календарь_тарифы'!$X$38</definedName>
    <definedName name="RevenueAge16">'18_Календарь_тарифы'!$B$39:$U$39</definedName>
    <definedName name="MinimumAge16">'18_Календарь_тарифы'!$B$69:$U$69</definedName>
    <definedName name="CapacityAge16">'18_Календарь_тарифы'!$W$39</definedName>
    <definedName name="MeanMinAge16">'18_Календарь_тарифы'!$X$39</definedName>
    <definedName name="RevenueAge17">'18_Календарь_тарифы'!$B$40:$U$40</definedName>
    <definedName name="MinimumAge17">'18_Календарь_тарифы'!$B$70:$U$70</definedName>
    <definedName name="CapacityAge17">'18_Календарь_тарифы'!$W$40</definedName>
    <definedName name="MeanMinAge17">'18_Календарь_тарифы'!$X$40</definedName>
    <definedName name="RevenueAge18">'18_Календарь_тарифы'!$B$41:$U$41</definedName>
    <definedName name="MinimumAge18">'18_Календарь_тарифы'!$B$71:$U$71</definedName>
    <definedName name="CapacityAge18">'18_Календарь_тарифы'!$W$41</definedName>
    <definedName name="MeanMinAge18">'18_Календарь_тарифы'!$X$41</definedName>
    <definedName name="RevenueAge19">'18_Календарь_тарифы'!$B$42:$U$42</definedName>
    <definedName name="MinimumAge19">'18_Календарь_тарифы'!$B$72:$U$72</definedName>
    <definedName name="CapacityAge19">'18_Календарь_тарифы'!$W$42</definedName>
    <definedName name="MeanMinAge19">'18_Календарь_тарифы'!$X$42</definedName>
    <definedName name="RevenueAge20">'18_Календарь_тарифы'!$B$43:$U$43</definedName>
    <definedName name="MinimumAge20">'18_Календарь_тарифы'!$B$73:$U$73</definedName>
    <definedName name="CapacityAge20">'18_Календарь_тарифы'!$W$43</definedName>
    <definedName name="MeanMinAge20">'18_Календарь_тарифы'!$X$43</definedName>
    <definedName name="RevenueAge21">'18_Календарь_тарифы'!$B$44:$U$44</definedName>
    <definedName name="MinimumAge21">'18_Календарь_тарифы'!$B$74:$U$74</definedName>
    <definedName name="CapacityAge21">'18_Календарь_тарифы'!$W$44</definedName>
    <definedName name="MeanMinAge21">'18_Календарь_тарифы'!$X$44</definedName>
    <definedName name="RevenueAge22">'18_Календарь_тарифы'!$B$45:$U$45</definedName>
    <definedName name="MinimumAge22">'18_Календарь_тарифы'!$B$75:$U$75</definedName>
    <definedName name="CapacityAge22">'18_Календарь_тарифы'!$W$45</definedName>
    <definedName name="MeanMinAge22">'18_Календарь_тарифы'!$X$45</definedName>
    <definedName name="RevenueAge23">'18_Календарь_тарифы'!$B$46:$U$46</definedName>
    <definedName name="MinimumAge23">'18_Календарь_тарифы'!$B$76:$U$76</definedName>
    <definedName name="CapacityAge23">'18_Календарь_тарифы'!$W$46</definedName>
    <definedName name="MeanMinAge23">'18_Календарь_тарифы'!$X$46</definedName>
    <definedName name="RevenueAge24">'18_Календарь_тарифы'!$B$47:$U$47</definedName>
    <definedName name="MinimumAge24">'18_Календарь_тарифы'!$B$77:$U$77</definedName>
    <definedName name="CapacityAge24">'18_Календарь_тарифы'!$W$47</definedName>
    <definedName name="MeanMinAge24">'18_Календарь_тарифы'!$X$47</definedName>
    <definedName name="RevenueAge25">'18_Календарь_тарифы'!$B$48:$U$48</definedName>
    <definedName name="MinimumAge25">'18_Календарь_тарифы'!$B$78:$U$78</definedName>
    <definedName name="CapacityAge25">'18_Календарь_тарифы'!$W$48</definedName>
    <definedName name="MeanMinAge25">'18_Календарь_тарифы'!$X$48</definedName>
    <definedName name="TariffWeights">'18_Календарь_тарифы'!$B$22:$U$22</definedName>
    <definedName name="CapacityYear1">'18_Календарь_тарифы'!$W$24:$W$35</definedName>
    <definedName name="CapacityYear2">'18_Календарь_тарифы'!$W$36:$W$47</definedName>
    <definedName name="ThresholdAge01">'18_Календарь_тарифы'!$B$114:$U$114</definedName>
    <definedName name="WeightedRevAge01">'18_Календарь_тарифы'!$B$144:$U$144</definedName>
    <definedName name="WeightedMinAge01">'18_Календарь_тарифы'!$B$174:$U$174</definedName>
    <definedName name="ThresholdAge02">'18_Календарь_тарифы'!$B$115:$U$115</definedName>
    <definedName name="WeightedRevAge02">'18_Календарь_тарифы'!$B$145:$U$145</definedName>
    <definedName name="WeightedMinAge02">'18_Календарь_тарифы'!$B$175:$U$175</definedName>
    <definedName name="ThresholdAge03">'18_Календарь_тарифы'!$B$116:$U$116</definedName>
    <definedName name="WeightedRevAge03">'18_Календарь_тарифы'!$B$146:$U$146</definedName>
    <definedName name="WeightedMinAge03">'18_Календарь_тарифы'!$B$176:$U$176</definedName>
    <definedName name="ThresholdAge04">'18_Календарь_тарифы'!$B$117:$U$117</definedName>
    <definedName name="WeightedRevAge04">'18_Календарь_тарифы'!$B$147:$U$147</definedName>
    <definedName name="WeightedMinAge04">'18_Календарь_тарифы'!$B$177:$U$177</definedName>
    <definedName name="ThresholdAge05">'18_Календарь_тарифы'!$B$118:$U$118</definedName>
    <definedName name="WeightedRevAge05">'18_Календарь_тарифы'!$B$148:$U$148</definedName>
    <definedName name="WeightedMinAge05">'18_Календарь_тарифы'!$B$178:$U$178</definedName>
    <definedName name="ThresholdAge06">'18_Календарь_тарифы'!$B$119:$U$119</definedName>
    <definedName name="WeightedRevAge06">'18_Календарь_тарифы'!$B$149:$U$149</definedName>
    <definedName name="WeightedMinAge06">'18_Календарь_тарифы'!$B$179:$U$179</definedName>
    <definedName name="ThresholdAge07">'18_Календарь_тарифы'!$B$120:$U$120</definedName>
    <definedName name="WeightedRevAge07">'18_Календарь_тарифы'!$B$150:$U$150</definedName>
    <definedName name="WeightedMinAge07">'18_Календарь_тарифы'!$B$180:$U$180</definedName>
    <definedName name="ThresholdAge08">'18_Календарь_тарифы'!$B$121:$U$121</definedName>
    <definedName name="WeightedRevAge08">'18_Календарь_тарифы'!$B$151:$U$151</definedName>
    <definedName name="WeightedMinAge08">'18_Календарь_тарифы'!$B$181:$U$181</definedName>
    <definedName name="ThresholdAge09">'18_Календарь_тарифы'!$B$122:$U$122</definedName>
    <definedName name="WeightedRevAge09">'18_Календарь_тарифы'!$B$152:$U$152</definedName>
    <definedName name="WeightedMinAge09">'18_Календарь_тарифы'!$B$182:$U$182</definedName>
    <definedName name="ThresholdAge10">'18_Календарь_тарифы'!$B$123:$U$123</definedName>
    <definedName name="WeightedRevAge10">'18_Календарь_тарифы'!$B$153:$U$153</definedName>
    <definedName name="WeightedMinAge10">'18_Календарь_тарифы'!$B$183:$U$183</definedName>
    <definedName name="ThresholdAge11">'18_Календарь_тарифы'!$B$124:$U$124</definedName>
    <definedName name="WeightedRevAge11">'18_Календарь_тарифы'!$B$154:$U$154</definedName>
    <definedName name="WeightedMinAge11">'18_Календарь_тарифы'!$B$184:$U$184</definedName>
    <definedName name="ThresholdAge12">'18_Календарь_тарифы'!$B$125:$U$125</definedName>
    <definedName name="WeightedRevAge12">'18_Календарь_тарифы'!$B$155:$U$155</definedName>
    <definedName name="WeightedMinAge12">'18_Календарь_тарифы'!$B$185:$U$185</definedName>
    <definedName name="ThresholdAge13">'18_Календарь_тарифы'!$B$126:$U$126</definedName>
    <definedName name="WeightedRevAge13">'18_Календарь_тарифы'!$B$156:$U$156</definedName>
    <definedName name="WeightedMinAge13">'18_Календарь_тарифы'!$B$186:$U$186</definedName>
    <definedName name="ThresholdAge14">'18_Календарь_тарифы'!$B$127:$U$127</definedName>
    <definedName name="WeightedRevAge14">'18_Календарь_тарифы'!$B$157:$U$157</definedName>
    <definedName name="WeightedMinAge14">'18_Календарь_тарифы'!$B$187:$U$187</definedName>
    <definedName name="ThresholdAge15">'18_Календарь_тарифы'!$B$128:$U$128</definedName>
    <definedName name="WeightedRevAge15">'18_Календарь_тарифы'!$B$158:$U$158</definedName>
    <definedName name="WeightedMinAge15">'18_Календарь_тарифы'!$B$188:$U$188</definedName>
    <definedName name="ThresholdAge16">'18_Календарь_тарифы'!$B$129:$U$129</definedName>
    <definedName name="WeightedRevAge16">'18_Календарь_тарифы'!$B$159:$U$159</definedName>
    <definedName name="WeightedMinAge16">'18_Календарь_тарифы'!$B$189:$U$189</definedName>
    <definedName name="ThresholdAge17">'18_Календарь_тарифы'!$B$130:$U$130</definedName>
    <definedName name="WeightedRevAge17">'18_Календарь_тарифы'!$B$160:$U$160</definedName>
    <definedName name="WeightedMinAge17">'18_Календарь_тарифы'!$B$190:$U$190</definedName>
    <definedName name="ThresholdAge18">'18_Календарь_тарифы'!$B$131:$U$131</definedName>
    <definedName name="WeightedRevAge18">'18_Календарь_тарифы'!$B$161:$U$161</definedName>
    <definedName name="WeightedMinAge18">'18_Календарь_тарифы'!$B$191:$U$191</definedName>
    <definedName name="ThresholdAge19">'18_Календарь_тарифы'!$B$132:$U$132</definedName>
    <definedName name="WeightedRevAge19">'18_Календарь_тарифы'!$B$162:$U$162</definedName>
    <definedName name="WeightedMinAge19">'18_Календарь_тарифы'!$B$192:$U$192</definedName>
    <definedName name="ThresholdAge20">'18_Календарь_тарифы'!$B$133:$U$133</definedName>
    <definedName name="WeightedRevAge20">'18_Календарь_тарифы'!$B$163:$U$163</definedName>
    <definedName name="WeightedMinAge20">'18_Календарь_тарифы'!$B$193:$U$193</definedName>
    <definedName name="ThresholdAge21">'18_Календарь_тарифы'!$B$134:$U$134</definedName>
    <definedName name="WeightedRevAge21">'18_Календарь_тарифы'!$B$164:$U$164</definedName>
    <definedName name="WeightedMinAge21">'18_Календарь_тарифы'!$B$194:$U$194</definedName>
    <definedName name="ThresholdAge22">'18_Календарь_тарифы'!$B$135:$U$135</definedName>
    <definedName name="WeightedRevAge22">'18_Календарь_тарифы'!$B$165:$U$165</definedName>
    <definedName name="WeightedMinAge22">'18_Календарь_тарифы'!$B$195:$U$195</definedName>
    <definedName name="ThresholdAge23">'18_Календарь_тарифы'!$B$136:$U$136</definedName>
    <definedName name="WeightedRevAge23">'18_Календарь_тарифы'!$B$166:$U$166</definedName>
    <definedName name="WeightedMinAge23">'18_Календарь_тарифы'!$B$196:$U$196</definedName>
    <definedName name="ThresholdAge24">'18_Календарь_тарифы'!$B$137:$U$137</definedName>
    <definedName name="WeightedRevAge24">'18_Календарь_тарифы'!$B$167:$U$167</definedName>
    <definedName name="WeightedMinAge24">'18_Календарь_тарифы'!$B$197:$U$197</definedName>
    <definedName name="ThresholdAge25">'18_Календарь_тарифы'!$B$138:$U$138</definedName>
    <definedName name="WeightedRevAge25">'18_Календарь_тарифы'!$B$168:$U$168</definedName>
    <definedName name="WeightedMinAge25">'18_Календарь_тарифы'!$B$198:$U$198</definedName>
    <definedName name="Сценарий">'01_Вводные'!$B$192</definedName>
    <definedName name="РежимИстории">'01_Вводные'!$B$188</definedName>
    <definedName name="ДрайверЧувствительности">'01_Вводные'!$B$233</definedName>
    <definedName name="ЧувствительностьВключена">'01_Вводные'!$B$234</definedName>
    <definedName name="ЛагеряВключены">'01_Вводные'!$B$241</definedName>
    <definedName name="CAPEXВключён">'01_Вводные'!$B$290</definedName>
    <definedName name="ИндексацияВключена">'01_Вводные'!$B$294</definedName>
    <definedName name="ПостепенныйНабор">'01_Вводные'!$B$295</definedName>
    <definedName name="РоялтиПоТарифам">'01_Вводные'!$B$239</definedName>
    <definedName name="ВозвратЗаймаОграничен">'01_Вводные'!$B$238</definedName>
    <definedName name="ДатаСтартаМодели">'01_Вводные'!$B$7</definedName>
    <definedName name="ГоризонтМесяцев">'01_Вводные'!$B$8</definedName>
    <definedName name="СтартовыйCash">'01_Вводные'!$B$17</definedName>
    <definedName name="СтартовыйСклад">'01_Вводные'!$B$77</definedName>
    <definedName name="СтартовыйЗайм">'01_Вводные'!$B$78</definedName>
    <definedName name="СтавкаНДС">'01_Вводные'!$B$58</definedName>
    <definedName name="КонверсияЛидПродажа">'01_Вводные'!$B$25</definedName>
    <definedName name="ЛагПродажаОткрытие">'01_Вводные'!$B$15</definedName>
    <definedName name="БазаПродажСезон1">'01_Вводные'!$B$210</definedName>
    <definedName name="БазаПродажСезон2">'01_Вводные'!$B$211</definedName>
    <definedName name="БазаПродажСезон3">'01_Вводные'!$B$212</definedName>
    <definedName name="БазаПродажСезон4">'01_Вводные'!$B$213</definedName>
    <definedName name="БазаПродажСезон5">'01_Вводные'!$B$214</definedName>
    <definedName name="ТарифныйМикс">'01_Вводные'!$A$263:$K$282</definedName>
    <definedName name="СценарныеМножители">'01_Вводные'!$C$198:$E$203</definedName>
    <definedName name="_xlnm.Print_Titles" localSheetId="3">'02_Модель'!$A:$A</definedName>
    <definedName name="_xlnm.Print_Titles" localSheetId="5">'04_Продажи'!$A:$A</definedName>
    <definedName name="_xlnm.Print_Titles" localSheetId="6">'05_Воронка'!$A:$A</definedName>
    <definedName name="_xlnm.Print_Titles" localSheetId="7">'06_Сеть_и_дети'!$A:$A</definedName>
    <definedName name="_xlnm.Print_Titles" localSheetId="8">'07_Мерч'!$A:$A</definedName>
    <definedName name="_xlnm.Print_Titles" localSheetId="9">'08_ФОТ'!$A:$A</definedName>
    <definedName name="_xlnm.Print_Titles" localSheetId="10">'09_Лагеря'!$A:$A</definedName>
    <definedName name="_xlnm.Print_Titles" localSheetId="11">'10_Выплаты_ФК'!$A:$A</definedName>
    <definedName name="_xlnm.Print_Titles" localSheetId="12">'11_История_25_26'!$A:$A</definedName>
    <definedName name="_xlnm._FilterDatabase" localSheetId="16" hidden="1">'15_Изменения'!$A$4:$E$26</definedName>
    <definedName name="_xlnm.Print_Titles" localSheetId="16">'15_Изменения'!$1:$3</definedName>
    <definedName name="_xlnm.Print_Area" localSheetId="16">'15_Изменения'!$A$1:$F$52</definedName>
  </definedNames>
  <calcPr calcId="191029" calcMode="auto" fullCalcOnLoad="1" forceFullCalc="1"/>
</workbook>
</file>

<file path=xl/styles.xml><?xml version="1.0" encoding="utf-8"?>
<styleSheet xmlns="http://schemas.openxmlformats.org/spreadsheetml/2006/main">
  <numFmts count="30">
    <numFmt numFmtId="164" formatCode="#,##0;[Red](#,##0);-"/>
    <numFmt numFmtId="165" formatCode="0.0%;[Red](0.0%);-"/>
    <numFmt numFmtId="166" formatCode="dd.mm.yyyy"/>
    <numFmt numFmtId="167" formatCode="0.0000x"/>
    <numFmt numFmtId="168" formatCode="0.000x"/>
    <numFmt numFmtId="169" formatCode="#,##0;[Red](#,##0);&quot;-&quot;"/>
    <numFmt numFmtId="170" formatCode="0.00&quot;x&quot;"/>
    <numFmt numFmtId="171" formatCode="0.0%;[Red](0.0%);&quot;-&quot;"/>
    <numFmt numFmtId="172" formatCode="#,##0.0;[Red](#,##0.0);&quot;-&quot;"/>
    <numFmt numFmtId="173" formatCode="#,##0.00;[Red](#,##0.00);&quot;-&quot;"/>
    <numFmt numFmtId="174" formatCode="0.00000000"/>
    <numFmt numFmtId="175" formatCode="0.0%"/>
    <numFmt numFmtId="176" formatCode="0;[Red](0);&quot;-&quot;"/>
    <numFmt numFmtId="177" formatCode="dd/mm/yyyy"/>
    <numFmt numFmtId="178" formatCode="#,##0.0;[Red](#,##0.0);-"/>
    <numFmt numFmtId="179" formatCode="0.00&quot; компл.&quot;"/>
    <numFmt numFmtId="180" formatCode="0.00&quot;×&quot;"/>
    <numFmt numFmtId="181" formatCode="0&quot; мес.&quot;"/>
    <numFmt numFmtId="182" formatCode="0&quot; дн.&quot;"/>
    <numFmt numFmtId="183" formatCode="0&quot; (№ мес.)&quot;"/>
    <numFmt numFmtId="184" formatCode="#,##0&quot; чел./шт.&quot;"/>
    <numFmt numFmtId="185" formatCode="0&quot; юрлиц&quot;"/>
    <numFmt numFmtId="186" formatCode="0&quot; чел.&quot;"/>
    <numFmt numFmtId="187" formatCode="0&quot; прод./мес.&quot;"/>
    <numFmt numFmtId="188" formatCode="#,##0&quot; шт.&quot;"/>
    <numFmt numFmtId="189" formatCode="#,##0&quot; чел.&quot;"/>
    <numFmt numFmtId="190" formatCode="0.00&quot; юрл./прод.&quot;"/>
    <numFmt numFmtId="191" formatCode="0.00&quot; школ/прод.&quot;"/>
    <numFmt numFmtId="192" formatCode="#,##0.0"/>
    <numFmt numFmtId="193" formatCode="yyyy-mm-dd h:mm:ss"/>
  </numFmts>
  <fonts count="84">
    <font>
      <name val="Calibri"/>
      <family val="2"/>
      <color theme="1"/>
      <sz val="11"/>
      <scheme val="minor"/>
    </font>
    <font>
      <b val="1"/>
      <color rgb="FFFFFFFF"/>
      <sz val="14"/>
    </font>
    <font>
      <b val="1"/>
      <color rgb="FF8A0000"/>
    </font>
    <font>
      <b val="1"/>
      <color rgb="FFFFFFFF"/>
      <sz val="11"/>
    </font>
    <font>
      <b val="1"/>
      <color rgb="FFFFFFFF"/>
    </font>
    <font>
      <color rgb="FF0000FF"/>
    </font>
    <font>
      <color rgb="FF003FA5"/>
    </font>
    <font>
      <color rgb="FF000000"/>
    </font>
    <font>
      <color rgb="FF666666"/>
    </font>
    <font>
      <color rgb="FF007F00"/>
    </font>
    <font>
      <b val="1"/>
      <color rgb="FF000000"/>
    </font>
    <font>
      <name val="Calibri"/>
      <b val="1"/>
      <color rgb="FFFFFFFF"/>
      <sz val="12"/>
    </font>
    <font>
      <name val="Calibri"/>
      <color rgb="FF222222"/>
      <sz val="11"/>
    </font>
    <font>
      <name val="Calibri"/>
      <b val="1"/>
      <color rgb="FF222222"/>
      <sz val="11"/>
    </font>
    <font>
      <name val="Calibri"/>
      <color rgb="FF0000FF"/>
      <sz val="11"/>
    </font>
    <font>
      <name val="Calibri"/>
      <color rgb="FF007F00"/>
      <sz val="11"/>
    </font>
    <font>
      <name val="Calibri"/>
      <b val="1"/>
      <color rgb="FFFFFFFF"/>
      <sz val="11"/>
    </font>
    <font>
      <name val="Calibri"/>
      <color rgb="FF666666"/>
      <sz val="11"/>
    </font>
    <font>
      <name val="Calibri"/>
      <b val="1"/>
      <color rgb="FF007F00"/>
    </font>
    <font>
      <name val="Calibri"/>
      <color rgb="FF000000"/>
      <sz val="11"/>
    </font>
    <font>
      <name val="Calibri"/>
      <color rgb="FF008000"/>
      <sz val="11"/>
    </font>
    <font>
      <name val="Calibri"/>
      <color rgb="FF6B7280"/>
    </font>
    <font>
      <name val="Calibri"/>
      <color rgb="FF6B7280"/>
      <sz val="10"/>
    </font>
    <font>
      <name val="Calibri"/>
      <b val="1"/>
      <sz val="11"/>
    </font>
    <font>
      <name val="Calibri"/>
      <color rgb="FF9E1B31"/>
      <sz val="11"/>
      <u val="single"/>
    </font>
    <font>
      <name val="Calibri"/>
      <b val="1"/>
      <color rgb="FF9E1B31"/>
    </font>
    <font>
      <name val="Calibri"/>
      <b val="1"/>
      <color rgb="FF9E1B31"/>
      <sz val="11"/>
      <u val="single"/>
    </font>
    <font>
      <name val="Calibri"/>
      <b val="1"/>
      <color rgb="FF333333"/>
      <sz val="11"/>
    </font>
    <font>
      <name val="Calibri"/>
      <color rgb="FF333333"/>
      <sz val="11"/>
    </font>
    <font>
      <name val="Calibri"/>
      <color rgb="FF8A0000"/>
      <sz val="11"/>
      <u val="single"/>
    </font>
    <font>
      <name val="Arial"/>
      <b val="1"/>
      <color rgb="FFFFFFFF"/>
      <sz val="11"/>
    </font>
    <font>
      <name val="Arial"/>
      <color rgb="FF0000FF"/>
      <sz val="10"/>
    </font>
    <font>
      <name val="Arial"/>
      <color rgb="FF008000"/>
      <sz val="10"/>
    </font>
    <font>
      <name val="Arial"/>
      <color rgb="FF000000"/>
      <sz val="10"/>
    </font>
    <font>
      <name val="Arial"/>
      <b val="1"/>
      <color rgb="FFFFFFFF"/>
      <sz val="14"/>
    </font>
    <font>
      <name val="Arial"/>
      <b val="1"/>
      <color rgb="FFFFFFFF"/>
      <sz val="10"/>
    </font>
    <font>
      <name val="Arial"/>
      <b val="1"/>
      <color rgb="FF9E1B31"/>
      <sz val="10"/>
    </font>
    <font>
      <name val="Arial"/>
      <b val="1"/>
      <color rgb="00FFFFFF"/>
      <sz val="14"/>
    </font>
    <font>
      <name val="Arial"/>
      <b val="1"/>
      <color rgb="0032282B"/>
      <sz val="10"/>
    </font>
    <font>
      <name val="Arial"/>
      <b val="1"/>
      <color rgb="00FFFFFF"/>
      <sz val="11"/>
    </font>
    <font>
      <name val="Arial"/>
      <color rgb="0032282B"/>
      <sz val="10"/>
    </font>
    <font>
      <name val="Arial"/>
      <color rgb="00555555"/>
      <sz val="10"/>
    </font>
    <font>
      <b val="1"/>
      <color rgb="00FFFFFF"/>
    </font>
    <font>
      <name val="Calibri"/>
      <color rgb="000563C1"/>
      <sz val="11"/>
      <u val="single"/>
    </font>
    <font>
      <b val="1"/>
      <color rgb="00FFFFFF"/>
      <sz val="11"/>
    </font>
    <font>
      <b val="1"/>
      <color rgb="000563C1"/>
      <sz val="9"/>
      <u val="single"/>
    </font>
    <font>
      <sz val="9"/>
    </font>
    <font>
      <name val="Calibri"/>
      <i val="1"/>
      <color rgb="00404040"/>
      <sz val="11"/>
    </font>
    <font>
      <name val="Calibri"/>
      <b val="1"/>
      <color rgb="00FFFFFF"/>
      <sz val="15"/>
    </font>
    <font>
      <i val="1"/>
      <color rgb="00404040"/>
      <sz val="11"/>
    </font>
    <font>
      <name val="Calibri"/>
      <b val="1"/>
      <color rgb="00FFFFFF"/>
      <sz val="10"/>
    </font>
    <font>
      <b val="1"/>
      <color rgb="00FFFFFF"/>
      <sz val="12"/>
    </font>
    <font>
      <color rgb="00808080"/>
      <sz val="10"/>
    </font>
    <font>
      <b val="1"/>
      <sz val="11"/>
    </font>
    <font>
      <color rgb="00303030"/>
      <sz val="10"/>
    </font>
    <font>
      <color rgb="00606060"/>
      <sz val="9"/>
    </font>
    <font>
      <name val="Calibri"/>
      <b val="1"/>
      <color rgb="00FFFFFF"/>
      <sz val="12"/>
    </font>
    <font>
      <color rgb="00404040"/>
      <sz val="10"/>
    </font>
    <font>
      <sz val="11"/>
    </font>
    <font>
      <b val="1"/>
      <sz val="12"/>
    </font>
    <font>
      <b val="1"/>
      <color rgb="009C0006"/>
      <sz val="10"/>
    </font>
    <font>
      <i val="1"/>
      <color rgb="00404040"/>
      <sz val="10"/>
    </font>
    <font>
      <b val="1"/>
    </font>
    <font>
      <b val="1"/>
      <color rgb="009C0006"/>
    </font>
    <font>
      <color rgb="009C0006"/>
      <sz val="9"/>
    </font>
    <font>
      <i val="1"/>
      <color rgb="00808080"/>
      <sz val="9"/>
    </font>
    <font>
      <b val="1"/>
      <color rgb="009C0006"/>
      <sz val="14"/>
    </font>
    <font>
      <b val="1"/>
      <color rgb="009C0006"/>
      <sz val="11"/>
    </font>
    <font>
      <b val="1"/>
      <color rgb="00375623"/>
      <sz val="10"/>
    </font>
    <font>
      <b val="1"/>
      <color rgb="007F6000"/>
      <sz val="10"/>
    </font>
    <font>
      <b val="1"/>
      <color rgb="001F4E79"/>
      <sz val="10"/>
    </font>
    <font>
      <b val="1"/>
      <color rgb="009C0006"/>
      <sz val="12"/>
    </font>
    <font>
      <i val="1"/>
      <color rgb="00FFFFFF"/>
      <sz val="9"/>
    </font>
    <font>
      <color rgb="00808080"/>
      <sz val="9"/>
    </font>
    <font>
      <color rgb="000563C1"/>
      <sz val="10"/>
      <u val="single"/>
    </font>
    <font>
      <i val="1"/>
      <sz val="11"/>
    </font>
    <font>
      <i val="1"/>
      <color rgb="00808080"/>
      <sz val="10"/>
    </font>
    <font>
      <b val="1"/>
      <sz val="10"/>
    </font>
    <font>
      <sz val="10"/>
    </font>
    <font>
      <color rgb="000563C1"/>
      <sz val="9"/>
      <u val="single"/>
    </font>
    <font>
      <i val="1"/>
      <color rgb="00606060"/>
      <sz val="9"/>
    </font>
    <font>
      <b val="1"/>
      <color rgb="009E1B31"/>
      <sz val="11"/>
    </font>
    <font>
      <b val="1"/>
      <color rgb="009E1B31"/>
    </font>
    <font>
      <color rgb="00606060"/>
      <sz val="10"/>
    </font>
  </fonts>
  <fills count="37">
    <fill>
      <patternFill/>
    </fill>
    <fill>
      <patternFill patternType="gray125">
        <fgColor rgb="FF000000"/>
        <bgColor rgb="FF000000"/>
      </patternFill>
    </fill>
    <fill>
      <patternFill patternType="solid">
        <fgColor rgb="FF8A0000"/>
        <bgColor rgb="FF000000"/>
      </patternFill>
    </fill>
    <fill>
      <patternFill patternType="solid">
        <fgColor rgb="FFF4E5E8"/>
        <bgColor rgb="FF000000"/>
      </patternFill>
    </fill>
    <fill>
      <patternFill patternType="solid">
        <fgColor rgb="FFB21E1E"/>
        <bgColor rgb="FF000000"/>
      </patternFill>
    </fill>
    <fill>
      <patternFill patternType="solid">
        <fgColor rgb="FF9E1B31"/>
        <bgColor rgb="FF000000"/>
      </patternFill>
    </fill>
    <fill>
      <patternFill patternType="solid">
        <fgColor rgb="FFFFF299"/>
        <bgColor rgb="FF000000"/>
      </patternFill>
    </fill>
    <fill>
      <patternFill patternType="solid">
        <fgColor rgb="FFFFF2A5"/>
        <bgColor rgb="FF000000"/>
      </patternFill>
    </fill>
    <fill>
      <patternFill patternType="solid">
        <fgColor rgb="FFF2F2F2"/>
        <bgColor rgb="FF000000"/>
      </patternFill>
    </fill>
    <fill>
      <patternFill patternType="solid">
        <fgColor rgb="FFF9EAEA"/>
        <bgColor rgb="FF000000"/>
      </patternFill>
    </fill>
    <fill>
      <patternFill patternType="solid">
        <fgColor rgb="FFF2CCCC"/>
        <bgColor rgb="FF000000"/>
      </patternFill>
    </fill>
    <fill>
      <patternFill patternType="solid">
        <fgColor rgb="FF8A0000"/>
        <bgColor rgb="FF000000"/>
      </patternFill>
    </fill>
    <fill>
      <patternFill patternType="solid">
        <fgColor rgb="FFFFF299"/>
        <bgColor rgb="FF000000"/>
      </patternFill>
    </fill>
    <fill>
      <patternFill patternType="solid">
        <fgColor rgb="FF9E1B31"/>
        <bgColor rgb="FF000000"/>
      </patternFill>
    </fill>
    <fill>
      <patternFill patternType="solid">
        <fgColor rgb="FFF7E8EA"/>
        <bgColor rgb="FF000000"/>
      </patternFill>
    </fill>
    <fill>
      <patternFill patternType="solid">
        <fgColor rgb="FFFFF2A0"/>
        <bgColor rgb="FF000000"/>
      </patternFill>
    </fill>
    <fill>
      <patternFill patternType="solid">
        <fgColor rgb="FFFCE7EA"/>
        <bgColor rgb="FF000000"/>
      </patternFill>
    </fill>
    <fill>
      <patternFill patternType="solid">
        <fgColor rgb="FFFFF1CE"/>
        <bgColor rgb="FF000000"/>
      </patternFill>
    </fill>
    <fill>
      <patternFill patternType="solid">
        <fgColor rgb="FFFFF2CC"/>
        <bgColor rgb="FF000000"/>
      </patternFill>
    </fill>
    <fill>
      <patternFill patternType="solid">
        <fgColor rgb="FFE2F0D9"/>
        <bgColor rgb="FF000000"/>
      </patternFill>
    </fill>
    <fill>
      <patternFill patternType="solid">
        <fgColor rgb="FFFAF2F3"/>
        <bgColor rgb="FF000000"/>
      </patternFill>
    </fill>
    <fill>
      <patternFill patternType="solid">
        <fgColor rgb="FFFAF3F4"/>
        <bgColor rgb="FF000000"/>
      </patternFill>
    </fill>
    <fill>
      <patternFill patternType="solid">
        <fgColor rgb="009E1B31"/>
      </patternFill>
    </fill>
    <fill>
      <patternFill patternType="solid">
        <fgColor rgb="00FAF3F4"/>
      </patternFill>
    </fill>
    <fill>
      <patternFill patternType="solid">
        <fgColor rgb="00FFFFFF"/>
      </patternFill>
    </fill>
    <fill>
      <patternFill patternType="solid">
        <fgColor rgb="00FFF1DE"/>
      </patternFill>
    </fill>
    <fill>
      <patternFill patternType="solid">
        <fgColor rgb="00B21E1E"/>
      </patternFill>
    </fill>
    <fill>
      <patternFill patternType="solid">
        <fgColor rgb="008A0000"/>
      </patternFill>
    </fill>
    <fill>
      <patternFill patternType="solid">
        <fgColor rgb="00F2F2F2"/>
      </patternFill>
    </fill>
    <fill>
      <patternFill patternType="solid">
        <fgColor rgb="00F4CCCC"/>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2A0"/>
      </patternFill>
    </fill>
    <fill>
      <patternFill patternType="solid">
        <fgColor rgb="00FFF299"/>
      </patternFill>
    </fill>
    <fill>
      <patternFill patternType="solid">
        <fgColor rgb="00FFF2A5"/>
      </patternFill>
    </fill>
    <fill>
      <patternFill patternType="solid">
        <fgColor rgb="00E2F0D9"/>
      </patternFill>
    </fill>
  </fills>
  <borders count="4">
    <border>
      <left/>
      <right/>
      <top/>
      <bottom/>
      <diagonal/>
    </border>
    <border>
      <top style="medium">
        <color rgb="FF9E1B31"/>
      </top>
    </border>
    <border>
      <bottom style="hair">
        <color rgb="00E5DBDE"/>
      </bottom>
    </border>
    <border>
      <left style="thin">
        <color rgb="00BFBFBF"/>
      </left>
      <right style="thin">
        <color rgb="00BFBFBF"/>
      </right>
      <top style="thin">
        <color rgb="00BFBFBF"/>
      </top>
      <bottom style="thin">
        <color rgb="00BFBFBF"/>
      </bottom>
    </border>
  </borders>
  <cellStyleXfs count="1">
    <xf numFmtId="0" fontId="0" fillId="0" borderId="0"/>
  </cellStyleXfs>
  <cellXfs count="354">
    <xf numFmtId="0" fontId="0" fillId="0" borderId="0" pivotButton="0" quotePrefix="0" xfId="0"/>
    <xf numFmtId="0" fontId="1" fillId="2" borderId="0" applyAlignment="1" pivotButton="0" quotePrefix="0" xfId="0">
      <alignment horizontal="left" vertical="center"/>
    </xf>
    <xf numFmtId="0" fontId="0" fillId="0" borderId="0" applyAlignment="1" pivotButton="0" quotePrefix="0" xfId="0">
      <alignment horizontal="left" vertical="center" wrapText="1"/>
    </xf>
    <xf numFmtId="0" fontId="2" fillId="3" borderId="0" applyAlignment="1" pivotButton="0" quotePrefix="0" xfId="0">
      <alignment vertical="center" wrapText="1"/>
    </xf>
    <xf numFmtId="0" fontId="3" fillId="4" borderId="0" applyAlignment="1" pivotButton="0" quotePrefix="0" xfId="0">
      <alignment horizontal="left" vertical="center"/>
    </xf>
    <xf numFmtId="164" fontId="9" fillId="0" borderId="0" applyAlignment="1" pivotButton="0" quotePrefix="0" xfId="0">
      <alignment vertical="center"/>
    </xf>
    <xf numFmtId="0" fontId="4" fillId="5" borderId="0" applyAlignment="1" pivotButton="0" quotePrefix="0" xfId="0">
      <alignment horizontal="center" vertical="center" wrapText="1"/>
    </xf>
    <xf numFmtId="0" fontId="0" fillId="0" borderId="0" applyAlignment="1" pivotButton="0" quotePrefix="0" xfId="0">
      <alignment vertical="center"/>
    </xf>
    <xf numFmtId="164" fontId="7" fillId="0" borderId="0" applyAlignment="1" pivotButton="0" quotePrefix="0" xfId="0">
      <alignment vertical="center"/>
    </xf>
    <xf numFmtId="0" fontId="9" fillId="0" borderId="0" applyAlignment="1" pivotButton="0" quotePrefix="0" xfId="0">
      <alignment vertical="center"/>
    </xf>
    <xf numFmtId="0" fontId="10" fillId="9" borderId="1" applyAlignment="1" pivotButton="0" quotePrefix="0" xfId="0">
      <alignment vertical="center"/>
    </xf>
    <xf numFmtId="164" fontId="10" fillId="9" borderId="1" applyAlignment="1" pivotButton="0" quotePrefix="0" xfId="0">
      <alignment vertical="center"/>
    </xf>
    <xf numFmtId="165" fontId="9" fillId="0" borderId="0" applyAlignment="1" pivotButton="0" quotePrefix="0" xfId="0">
      <alignment vertical="center"/>
    </xf>
    <xf numFmtId="165" fontId="7" fillId="0" borderId="0" applyAlignment="1" pivotButton="0" quotePrefix="0" xfId="0">
      <alignment vertical="center"/>
    </xf>
    <xf numFmtId="0" fontId="0" fillId="10" borderId="0" applyAlignment="1" pivotButton="0" quotePrefix="0" xfId="0">
      <alignment vertical="center"/>
    </xf>
    <xf numFmtId="0" fontId="0" fillId="3" borderId="0" applyAlignment="1" pivotButton="0" quotePrefix="0" xfId="0">
      <alignment vertical="center" wrapText="1"/>
    </xf>
    <xf numFmtId="166" fontId="5" fillId="6" borderId="0" applyAlignment="1" pivotButton="0" quotePrefix="0" xfId="0">
      <alignment vertical="center"/>
    </xf>
    <xf numFmtId="0" fontId="0" fillId="0" borderId="0" applyAlignment="1" pivotButton="0" quotePrefix="0" xfId="0">
      <alignment vertical="center" wrapText="1"/>
    </xf>
    <xf numFmtId="164" fontId="5" fillId="6" borderId="0" applyAlignment="1" pivotButton="0" quotePrefix="0" xfId="0">
      <alignment vertical="center"/>
    </xf>
    <xf numFmtId="164" fontId="6" fillId="7" borderId="0" applyAlignment="1" pivotButton="0" quotePrefix="0" xfId="0">
      <alignment vertical="center"/>
    </xf>
    <xf numFmtId="165" fontId="5" fillId="6" borderId="0" applyAlignment="1" pivotButton="0" quotePrefix="0" xfId="0">
      <alignment vertical="center"/>
    </xf>
    <xf numFmtId="165" fontId="6" fillId="7" borderId="0" applyAlignment="1" pivotButton="0" quotePrefix="0" xfId="0">
      <alignment vertical="center"/>
    </xf>
    <xf numFmtId="167" fontId="7" fillId="8" borderId="0" applyAlignment="1" pivotButton="0" quotePrefix="0" xfId="0">
      <alignment vertical="center"/>
    </xf>
    <xf numFmtId="165" fontId="7" fillId="8" borderId="0" applyAlignment="1" pivotButton="0" quotePrefix="0" xfId="0">
      <alignment vertical="center"/>
    </xf>
    <xf numFmtId="0" fontId="8" fillId="0" borderId="0" applyAlignment="1" pivotButton="0" quotePrefix="0" xfId="0">
      <alignment vertical="center"/>
    </xf>
    <xf numFmtId="164" fontId="7" fillId="8" borderId="0" applyAlignment="1" pivotButton="0" quotePrefix="0" xfId="0">
      <alignment vertical="center"/>
    </xf>
    <xf numFmtId="0" fontId="6" fillId="7" borderId="0" applyAlignment="1" pivotButton="0" quotePrefix="0" xfId="0">
      <alignment vertical="center"/>
    </xf>
    <xf numFmtId="0" fontId="5" fillId="6" borderId="0" applyAlignment="1" pivotButton="0" quotePrefix="0" xfId="0">
      <alignment horizontal="left" vertical="center" wrapText="1"/>
    </xf>
    <xf numFmtId="0" fontId="5" fillId="6" borderId="0" applyAlignment="1" pivotButton="0" quotePrefix="0" xfId="0">
      <alignment vertical="center"/>
    </xf>
    <xf numFmtId="17" fontId="4" fillId="5" borderId="0" applyAlignment="1" pivotButton="0" quotePrefix="0" xfId="0">
      <alignment horizontal="center" vertical="center" wrapText="1"/>
    </xf>
    <xf numFmtId="0" fontId="6" fillId="7" borderId="0" pivotButton="0" quotePrefix="0" xfId="0"/>
    <xf numFmtId="0" fontId="7" fillId="0" borderId="0" applyAlignment="1" pivotButton="0" quotePrefix="0" xfId="0">
      <alignment vertical="center"/>
    </xf>
    <xf numFmtId="17" fontId="0" fillId="0" borderId="0" applyAlignment="1" pivotButton="0" quotePrefix="0" xfId="0">
      <alignment vertical="center"/>
    </xf>
    <xf numFmtId="164" fontId="8" fillId="0" borderId="0" applyAlignment="1" pivotButton="0" quotePrefix="0" xfId="0">
      <alignment vertical="center"/>
    </xf>
    <xf numFmtId="164" fontId="0" fillId="0" borderId="0" pivotButton="0" quotePrefix="0" xfId="0"/>
    <xf numFmtId="168" fontId="7" fillId="0" borderId="0" applyAlignment="1" pivotButton="0" quotePrefix="0" xfId="0">
      <alignment vertical="center"/>
    </xf>
    <xf numFmtId="0" fontId="0" fillId="10" borderId="0" applyAlignment="1" pivotButton="0" quotePrefix="0" xfId="0">
      <alignment vertical="center" wrapText="1"/>
    </xf>
    <xf numFmtId="166" fontId="9" fillId="0" borderId="0" applyAlignment="1" pivotButton="0" quotePrefix="0" xfId="0">
      <alignment vertical="center"/>
    </xf>
    <xf numFmtId="0" fontId="13" fillId="0" borderId="0" applyAlignment="1" pivotButton="0" quotePrefix="0" xfId="0">
      <alignment vertical="center" wrapText="1"/>
    </xf>
    <xf numFmtId="0" fontId="15" fillId="0" borderId="0" applyAlignment="1" pivotButton="0" quotePrefix="0" xfId="0">
      <alignment horizontal="right" vertical="center" wrapText="1"/>
    </xf>
    <xf numFmtId="164" fontId="9" fillId="0" borderId="0" applyAlignment="1" pivotButton="0" quotePrefix="0" xfId="0">
      <alignment vertical="center"/>
    </xf>
    <xf numFmtId="0" fontId="12" fillId="0" borderId="0" applyAlignment="1" pivotButton="0" quotePrefix="0" xfId="0">
      <alignment vertical="center" wrapText="1"/>
    </xf>
    <xf numFmtId="164" fontId="7" fillId="0" borderId="0" applyAlignment="1" pivotButton="0" quotePrefix="0" xfId="0">
      <alignment vertical="center"/>
    </xf>
    <xf numFmtId="164" fontId="10" fillId="9" borderId="1" applyAlignment="1" pivotButton="0" quotePrefix="0" xfId="0">
      <alignment vertical="center"/>
    </xf>
    <xf numFmtId="165" fontId="9" fillId="0" borderId="0" applyAlignment="1" pivotButton="0" quotePrefix="0" xfId="0">
      <alignment vertical="center"/>
    </xf>
    <xf numFmtId="165" fontId="7" fillId="0" borderId="0" applyAlignment="1" pivotButton="0" quotePrefix="0" xfId="0">
      <alignment vertical="center"/>
    </xf>
    <xf numFmtId="169" fontId="15" fillId="0" borderId="0" applyAlignment="1" pivotButton="0" quotePrefix="0" xfId="0">
      <alignment horizontal="right" vertical="center" wrapText="1"/>
    </xf>
    <xf numFmtId="0" fontId="11" fillId="13" borderId="0" applyAlignment="1" pivotButton="0" quotePrefix="0" xfId="0">
      <alignment vertical="center" wrapText="1"/>
    </xf>
    <xf numFmtId="0" fontId="11" fillId="13" borderId="0" pivotButton="0" quotePrefix="0" xfId="0"/>
    <xf numFmtId="166" fontId="5" fillId="6" borderId="0" applyAlignment="1" pivotButton="0" quotePrefix="0" xfId="0">
      <alignment vertical="center"/>
    </xf>
    <xf numFmtId="164" fontId="5" fillId="6" borderId="0" applyAlignment="1" pivotButton="0" quotePrefix="0" xfId="0">
      <alignment vertical="center"/>
    </xf>
    <xf numFmtId="164" fontId="6" fillId="7" borderId="0" applyAlignment="1" pivotButton="0" quotePrefix="0" xfId="0">
      <alignment vertical="center"/>
    </xf>
    <xf numFmtId="165" fontId="5" fillId="6" borderId="0" applyAlignment="1" pivotButton="0" quotePrefix="0" xfId="0">
      <alignment vertical="center"/>
    </xf>
    <xf numFmtId="165" fontId="6" fillId="7" borderId="0" applyAlignment="1" pivotButton="0" quotePrefix="0" xfId="0">
      <alignment vertical="center"/>
    </xf>
    <xf numFmtId="167" fontId="7" fillId="8" borderId="0" applyAlignment="1" pivotButton="0" quotePrefix="0" xfId="0">
      <alignment vertical="center"/>
    </xf>
    <xf numFmtId="164" fontId="15" fillId="0" borderId="0" applyAlignment="1" pivotButton="0" quotePrefix="0" xfId="0">
      <alignment horizontal="right" vertical="center" wrapText="1"/>
    </xf>
    <xf numFmtId="165" fontId="7" fillId="8" borderId="0" applyAlignment="1" pivotButton="0" quotePrefix="0" xfId="0">
      <alignment vertical="center"/>
    </xf>
    <xf numFmtId="165" fontId="15" fillId="0" borderId="0" applyAlignment="1" pivotButton="0" quotePrefix="0" xfId="0">
      <alignment horizontal="right" vertical="center" wrapText="1"/>
    </xf>
    <xf numFmtId="164" fontId="7" fillId="8" borderId="0" applyAlignment="1" pivotButton="0" quotePrefix="0" xfId="0">
      <alignment vertical="center"/>
    </xf>
    <xf numFmtId="0" fontId="11" fillId="11" borderId="0" applyAlignment="1" pivotButton="0" quotePrefix="0" xfId="0">
      <alignment vertical="center" wrapText="1"/>
    </xf>
    <xf numFmtId="0" fontId="11" fillId="11" borderId="0" pivotButton="0" quotePrefix="0" xfId="0"/>
    <xf numFmtId="0" fontId="14" fillId="12" borderId="0" applyAlignment="1" pivotButton="0" quotePrefix="0" xfId="0">
      <alignment horizontal="right" vertical="center" wrapText="1"/>
    </xf>
    <xf numFmtId="0" fontId="16" fillId="13" borderId="0" applyAlignment="1" pivotButton="0" quotePrefix="0" xfId="0">
      <alignment horizontal="center" vertical="center" wrapText="1"/>
    </xf>
    <xf numFmtId="170" fontId="14" fillId="12" borderId="0" applyAlignment="1" pivotButton="0" quotePrefix="0" xfId="0">
      <alignment horizontal="right" vertical="center" wrapText="1"/>
    </xf>
    <xf numFmtId="170" fontId="17" fillId="0" borderId="0" pivotButton="0" quotePrefix="0" xfId="0"/>
    <xf numFmtId="170" fontId="15" fillId="0" borderId="0" applyAlignment="1" pivotButton="0" quotePrefix="0" xfId="0">
      <alignment horizontal="right" vertical="center" wrapText="1"/>
    </xf>
    <xf numFmtId="171" fontId="14" fillId="12" borderId="0" applyAlignment="1" pivotButton="0" quotePrefix="0" xfId="0">
      <alignment horizontal="right" vertical="center" wrapText="1"/>
    </xf>
    <xf numFmtId="164" fontId="14" fillId="12" borderId="0" applyAlignment="1" pivotButton="0" quotePrefix="0" xfId="0">
      <alignment horizontal="right" vertical="center" wrapText="1"/>
    </xf>
    <xf numFmtId="165" fontId="14" fillId="12" borderId="0" applyAlignment="1" pivotButton="0" quotePrefix="0" xfId="0">
      <alignment horizontal="right" vertical="center" wrapText="1"/>
    </xf>
    <xf numFmtId="172" fontId="18" fillId="14" borderId="0" applyAlignment="1" pivotButton="0" quotePrefix="0" xfId="0">
      <alignment horizontal="right" vertical="center" wrapText="1"/>
    </xf>
    <xf numFmtId="172" fontId="15" fillId="0" borderId="0" applyAlignment="1" pivotButton="0" quotePrefix="0" xfId="0">
      <alignment horizontal="right" vertical="center" wrapText="1"/>
    </xf>
    <xf numFmtId="171" fontId="15" fillId="0" borderId="0" applyAlignment="1" pivotButton="0" quotePrefix="0" xfId="0">
      <alignment horizontal="right" vertical="center" wrapText="1"/>
    </xf>
    <xf numFmtId="164" fontId="8" fillId="0" borderId="0" applyAlignment="1" pivotButton="0" quotePrefix="0" xfId="0">
      <alignment vertical="center"/>
    </xf>
    <xf numFmtId="164" fontId="0" fillId="0" borderId="0" pivotButton="0" quotePrefix="0" xfId="0"/>
    <xf numFmtId="168" fontId="7" fillId="0" borderId="0" applyAlignment="1" pivotButton="0" quotePrefix="0" xfId="0">
      <alignment vertical="center"/>
    </xf>
    <xf numFmtId="0" fontId="12" fillId="0" borderId="0" applyAlignment="1" pivotButton="0" quotePrefix="0" xfId="0">
      <alignment vertical="center" wrapText="1" indent="1"/>
    </xf>
    <xf numFmtId="164" fontId="21" fillId="0" borderId="0" applyAlignment="1" pivotButton="0" quotePrefix="0" xfId="0">
      <alignment vertical="center"/>
    </xf>
    <xf numFmtId="164" fontId="19" fillId="0" borderId="0" applyAlignment="1" pivotButton="0" quotePrefix="0" xfId="0">
      <alignment vertical="center"/>
    </xf>
    <xf numFmtId="164" fontId="19" fillId="6" borderId="0" applyAlignment="1" pivotButton="0" quotePrefix="0" xfId="0">
      <alignment vertical="center"/>
    </xf>
    <xf numFmtId="165" fontId="19" fillId="6" borderId="0" applyAlignment="1" pivotButton="0" quotePrefix="0" xfId="0">
      <alignment vertical="center"/>
    </xf>
    <xf numFmtId="165" fontId="19" fillId="0" borderId="0" applyAlignment="1" pivotButton="0" quotePrefix="0" xfId="0">
      <alignment horizontal="right" vertical="center" wrapText="1"/>
    </xf>
    <xf numFmtId="164" fontId="19" fillId="0" borderId="0" applyAlignment="1" pivotButton="0" quotePrefix="0" xfId="0">
      <alignment horizontal="right" vertical="center" wrapText="1"/>
    </xf>
    <xf numFmtId="164" fontId="14" fillId="15" borderId="0" applyAlignment="1" applyProtection="1" pivotButton="0" quotePrefix="0" xfId="0">
      <alignment vertical="center"/>
      <protection locked="0" hidden="0"/>
    </xf>
    <xf numFmtId="0" fontId="0" fillId="0" borderId="0" applyAlignment="1" pivotButton="0" quotePrefix="0" xfId="0">
      <alignment vertical="top" wrapText="1"/>
    </xf>
    <xf numFmtId="166" fontId="14" fillId="15" borderId="0" applyAlignment="1" applyProtection="1" pivotButton="0" quotePrefix="0" xfId="0">
      <alignment vertical="center"/>
      <protection locked="0" hidden="0"/>
    </xf>
    <xf numFmtId="0" fontId="19" fillId="0" borderId="0" pivotButton="0" quotePrefix="0" xfId="0"/>
    <xf numFmtId="171" fontId="19" fillId="0" borderId="0" pivotButton="0" quotePrefix="0" xfId="0"/>
    <xf numFmtId="0" fontId="16" fillId="13" borderId="0" applyAlignment="1" pivotButton="0" quotePrefix="0" xfId="0">
      <alignment vertical="center" wrapText="1"/>
    </xf>
    <xf numFmtId="171" fontId="14" fillId="15" borderId="0" applyAlignment="1" applyProtection="1" pivotButton="0" quotePrefix="0" xfId="0">
      <alignment vertical="top" wrapText="1"/>
      <protection locked="0" hidden="0"/>
    </xf>
    <xf numFmtId="169" fontId="14" fillId="15" borderId="0" applyAlignment="1" applyProtection="1" pivotButton="0" quotePrefix="0" xfId="0">
      <alignment vertical="top" wrapText="1"/>
      <protection locked="0" hidden="0"/>
    </xf>
    <xf numFmtId="172" fontId="14" fillId="15" borderId="0" applyAlignment="1" applyProtection="1" pivotButton="0" quotePrefix="0" xfId="0">
      <alignment vertical="top" wrapText="1"/>
      <protection locked="0" hidden="0"/>
    </xf>
    <xf numFmtId="171" fontId="0" fillId="0" borderId="0" pivotButton="0" quotePrefix="0" xfId="0"/>
    <xf numFmtId="0" fontId="19" fillId="0" borderId="0" applyAlignment="1" pivotButton="0" quotePrefix="0" xfId="0">
      <alignment vertical="center"/>
    </xf>
    <xf numFmtId="169" fontId="19" fillId="0" borderId="0" applyAlignment="1" pivotButton="0" quotePrefix="0" xfId="0">
      <alignment vertical="center"/>
    </xf>
    <xf numFmtId="17" fontId="20" fillId="0" borderId="0" applyAlignment="1" pivotButton="0" quotePrefix="0" xfId="0">
      <alignment vertical="center"/>
    </xf>
    <xf numFmtId="164" fontId="20" fillId="0" borderId="0" applyAlignment="1" pivotButton="0" quotePrefix="0" xfId="0">
      <alignment vertical="center"/>
    </xf>
    <xf numFmtId="0" fontId="20" fillId="0" borderId="0" pivotButton="0" quotePrefix="0" xfId="0"/>
    <xf numFmtId="165" fontId="20" fillId="0" borderId="0" applyAlignment="1" pivotButton="0" quotePrefix="0" xfId="0">
      <alignment vertical="center"/>
    </xf>
    <xf numFmtId="164" fontId="19" fillId="9" borderId="1" applyAlignment="1" pivotButton="0" quotePrefix="0" xfId="0">
      <alignment vertical="center"/>
    </xf>
    <xf numFmtId="168" fontId="20" fillId="0" borderId="0" applyAlignment="1" pivotButton="0" quotePrefix="0" xfId="0">
      <alignment vertical="center"/>
    </xf>
    <xf numFmtId="164" fontId="19" fillId="0" borderId="0" pivotButton="0" quotePrefix="0" xfId="0"/>
    <xf numFmtId="0" fontId="24" fillId="0" borderId="0" pivotButton="0" quotePrefix="0" xfId="0"/>
    <xf numFmtId="17" fontId="20" fillId="0" borderId="0" applyAlignment="1" pivotButton="0" quotePrefix="0" xfId="0">
      <alignment vertical="center" wrapText="1"/>
    </xf>
    <xf numFmtId="169" fontId="20" fillId="0" borderId="0" applyAlignment="1" pivotButton="0" quotePrefix="0" xfId="0">
      <alignment vertical="center"/>
    </xf>
    <xf numFmtId="0" fontId="19" fillId="0" borderId="0" applyAlignment="1" pivotButton="0" quotePrefix="0" xfId="0">
      <alignment vertical="center" wrapText="1"/>
    </xf>
    <xf numFmtId="0" fontId="6" fillId="15" borderId="0" applyAlignment="1" pivotButton="0" quotePrefix="0" xfId="0">
      <alignment vertical="center"/>
    </xf>
    <xf numFmtId="0" fontId="5" fillId="15" borderId="0" applyAlignment="1" pivotButton="0" quotePrefix="0" xfId="0">
      <alignment vertical="center"/>
    </xf>
    <xf numFmtId="0" fontId="14" fillId="15" borderId="0" applyAlignment="1" pivotButton="0" quotePrefix="0" xfId="0">
      <alignment horizontal="right" vertical="center" wrapText="1"/>
    </xf>
    <xf numFmtId="171" fontId="14" fillId="15" borderId="0" applyAlignment="1" applyProtection="1" pivotButton="0" quotePrefix="0" xfId="0">
      <alignment vertical="center" wrapText="1"/>
      <protection locked="0" hidden="0"/>
    </xf>
    <xf numFmtId="169" fontId="14" fillId="15" borderId="0" applyAlignment="1" applyProtection="1" pivotButton="0" quotePrefix="0" xfId="0">
      <alignment vertical="center" wrapText="1"/>
      <protection locked="0" hidden="0"/>
    </xf>
    <xf numFmtId="172" fontId="14" fillId="15" borderId="0" applyAlignment="1" applyProtection="1" pivotButton="0" quotePrefix="0" xfId="0">
      <alignment vertical="center" wrapText="1"/>
      <protection locked="0" hidden="0"/>
    </xf>
    <xf numFmtId="0" fontId="22" fillId="0" borderId="0" applyAlignment="1" pivotButton="0" quotePrefix="0" xfId="0">
      <alignment vertical="center" wrapText="1"/>
    </xf>
    <xf numFmtId="0" fontId="23" fillId="16" borderId="0" applyAlignment="1" pivotButton="0" quotePrefix="0" xfId="0">
      <alignment vertical="center" wrapText="1"/>
    </xf>
    <xf numFmtId="169" fontId="23" fillId="16" borderId="0" applyAlignment="1" pivotButton="0" quotePrefix="0" xfId="0">
      <alignment vertical="center"/>
    </xf>
    <xf numFmtId="0" fontId="23" fillId="16" borderId="0" applyAlignment="1" pivotButton="0" quotePrefix="0" xfId="0">
      <alignment vertical="center"/>
    </xf>
    <xf numFmtId="0" fontId="19" fillId="0" borderId="0" applyAlignment="1" pivotButton="0" quotePrefix="0" xfId="0">
      <alignment vertical="center"/>
    </xf>
    <xf numFmtId="171" fontId="20" fillId="0" borderId="0" applyAlignment="1" pivotButton="0" quotePrefix="0" xfId="0">
      <alignment vertical="center"/>
    </xf>
    <xf numFmtId="169" fontId="19" fillId="0" borderId="0" applyAlignment="1" pivotButton="0" quotePrefix="0" xfId="0">
      <alignment vertical="center"/>
    </xf>
    <xf numFmtId="171" fontId="19" fillId="0" borderId="0" applyAlignment="1" pivotButton="0" quotePrefix="0" xfId="0">
      <alignment vertical="center"/>
    </xf>
    <xf numFmtId="17" fontId="20" fillId="13" borderId="0" applyAlignment="1" pivotButton="0" quotePrefix="0" xfId="0">
      <alignment vertical="center" wrapText="1"/>
    </xf>
    <xf numFmtId="17" fontId="20" fillId="0" borderId="0" pivotButton="0" quotePrefix="0" xfId="0"/>
    <xf numFmtId="169" fontId="20" fillId="0" borderId="0" applyAlignment="1" pivotButton="0" quotePrefix="0" xfId="0">
      <alignment vertical="center" wrapText="1"/>
    </xf>
    <xf numFmtId="169" fontId="19" fillId="0" borderId="0" applyAlignment="1" pivotButton="0" quotePrefix="0" xfId="0">
      <alignment vertical="center" wrapText="1"/>
    </xf>
    <xf numFmtId="169" fontId="0" fillId="0" borderId="0" applyAlignment="1" pivotButton="0" quotePrefix="0" xfId="0">
      <alignment vertical="center"/>
    </xf>
    <xf numFmtId="169" fontId="9" fillId="0" borderId="0" applyAlignment="1" pivotButton="0" quotePrefix="0" xfId="0">
      <alignment vertical="center"/>
    </xf>
    <xf numFmtId="169" fontId="8" fillId="0" borderId="0" applyAlignment="1" pivotButton="0" quotePrefix="0" xfId="0">
      <alignment vertical="center"/>
    </xf>
    <xf numFmtId="169" fontId="20" fillId="0" borderId="0" pivotButton="0" quotePrefix="0" xfId="0"/>
    <xf numFmtId="169" fontId="19" fillId="0" borderId="0" pivotButton="0" quotePrefix="0" xfId="0"/>
    <xf numFmtId="169" fontId="0" fillId="0" borderId="0" pivotButton="0" quotePrefix="0" xfId="0"/>
    <xf numFmtId="164" fontId="20" fillId="0" borderId="0" pivotButton="0" quotePrefix="0" xfId="0"/>
    <xf numFmtId="0" fontId="19" fillId="17" borderId="0" applyAlignment="1" pivotButton="0" quotePrefix="0" xfId="0">
      <alignment vertical="center" wrapText="1"/>
    </xf>
    <xf numFmtId="169" fontId="20" fillId="17" borderId="0" applyAlignment="1" pivotButton="0" quotePrefix="0" xfId="0">
      <alignment vertical="center"/>
    </xf>
    <xf numFmtId="169" fontId="19" fillId="17" borderId="0" applyAlignment="1" pivotButton="0" quotePrefix="0" xfId="0">
      <alignment vertical="center"/>
    </xf>
    <xf numFmtId="173" fontId="0" fillId="17" borderId="0" pivotButton="0" quotePrefix="0" xfId="0"/>
    <xf numFmtId="0" fontId="26" fillId="0" borderId="0" applyAlignment="1" pivotButton="0" quotePrefix="0" xfId="0">
      <alignment vertical="center"/>
    </xf>
    <xf numFmtId="0" fontId="26" fillId="13" borderId="0" applyAlignment="1" pivotButton="0" quotePrefix="0" xfId="0">
      <alignment vertical="center"/>
    </xf>
    <xf numFmtId="173" fontId="19" fillId="0" borderId="0" applyAlignment="1" pivotButton="0" quotePrefix="0" xfId="0">
      <alignment vertical="center" wrapText="1"/>
    </xf>
    <xf numFmtId="173" fontId="20" fillId="0" borderId="0" applyAlignment="1" pivotButton="0" quotePrefix="0" xfId="0">
      <alignment vertical="center" wrapText="1"/>
    </xf>
    <xf numFmtId="0" fontId="25" fillId="0" borderId="0" pivotButton="0" quotePrefix="0" xfId="0"/>
    <xf numFmtId="173" fontId="19" fillId="16" borderId="0" applyAlignment="1" pivotButton="0" quotePrefix="0" xfId="0">
      <alignment vertical="center" wrapText="1"/>
    </xf>
    <xf numFmtId="173" fontId="20" fillId="16" borderId="0" applyAlignment="1" pivotButton="0" quotePrefix="0" xfId="0">
      <alignment vertical="center" wrapText="1"/>
    </xf>
    <xf numFmtId="174" fontId="19" fillId="0" borderId="0" applyAlignment="1" pivotButton="0" quotePrefix="0" xfId="0">
      <alignment vertical="center" wrapText="1"/>
    </xf>
    <xf numFmtId="166" fontId="0" fillId="0" borderId="0" pivotButton="0" quotePrefix="0" xfId="0"/>
    <xf numFmtId="173" fontId="19" fillId="17" borderId="0" applyAlignment="1" pivotButton="0" quotePrefix="0" xfId="0">
      <alignment vertical="center" wrapText="1"/>
    </xf>
    <xf numFmtId="0" fontId="0" fillId="17" borderId="0" pivotButton="0" quotePrefix="0" xfId="0"/>
    <xf numFmtId="169" fontId="10" fillId="9" borderId="1" applyAlignment="1" pivotButton="0" quotePrefix="0" xfId="0">
      <alignment vertical="center"/>
    </xf>
    <xf numFmtId="174" fontId="19" fillId="0" borderId="0" applyAlignment="1" pivotButton="0" quotePrefix="0" xfId="0">
      <alignment vertical="center" wrapText="1"/>
    </xf>
    <xf numFmtId="166" fontId="4" fillId="5" borderId="0" applyAlignment="1" pivotButton="0" quotePrefix="0" xfId="0">
      <alignment horizontal="center" vertical="center" wrapText="1"/>
    </xf>
    <xf numFmtId="2" fontId="19" fillId="0" borderId="0" applyAlignment="1" pivotButton="0" quotePrefix="0" xfId="0">
      <alignment vertical="center"/>
    </xf>
    <xf numFmtId="175" fontId="14" fillId="15" borderId="0" applyAlignment="1" applyProtection="1" pivotButton="0" quotePrefix="0" xfId="0">
      <alignment vertical="center"/>
      <protection locked="0" hidden="0"/>
    </xf>
    <xf numFmtId="172" fontId="23" fillId="16" borderId="0" applyAlignment="1" pivotButton="0" quotePrefix="0" xfId="0">
      <alignment vertical="center"/>
    </xf>
    <xf numFmtId="172" fontId="20" fillId="0" borderId="0" applyAlignment="1" pivotButton="0" quotePrefix="0" xfId="0">
      <alignment vertical="center"/>
    </xf>
    <xf numFmtId="175" fontId="20" fillId="0" borderId="0" applyAlignment="1" pivotButton="0" quotePrefix="0" xfId="0">
      <alignment vertical="center"/>
    </xf>
    <xf numFmtId="173" fontId="20" fillId="0" borderId="0" applyAlignment="1" pivotButton="0" quotePrefix="0" xfId="0">
      <alignment vertical="center"/>
    </xf>
    <xf numFmtId="164" fontId="9" fillId="19" borderId="0" applyAlignment="1" pivotButton="0" quotePrefix="0" xfId="0">
      <alignment vertical="center"/>
    </xf>
    <xf numFmtId="164" fontId="7" fillId="19" borderId="0" applyAlignment="1" pivotButton="0" quotePrefix="0" xfId="0">
      <alignment vertical="center"/>
    </xf>
    <xf numFmtId="0" fontId="29" fillId="0" borderId="0" pivotButton="0" quotePrefix="0" xfId="0"/>
    <xf numFmtId="0" fontId="0" fillId="13" borderId="0" pivotButton="0" quotePrefix="0" xfId="0"/>
    <xf numFmtId="175" fontId="14" fillId="18" borderId="0" applyAlignment="1" pivotButton="0" quotePrefix="0" xfId="0">
      <alignment vertical="center"/>
    </xf>
    <xf numFmtId="169" fontId="14" fillId="18" borderId="0" applyAlignment="1" pivotButton="0" quotePrefix="0" xfId="0">
      <alignment vertical="center"/>
    </xf>
    <xf numFmtId="0" fontId="14" fillId="18" borderId="0" applyAlignment="1" pivotButton="0" quotePrefix="0" xfId="0">
      <alignment vertical="center"/>
    </xf>
    <xf numFmtId="166" fontId="20" fillId="18" borderId="0" applyAlignment="1" pivotButton="0" quotePrefix="0" xfId="0">
      <alignment vertical="center"/>
    </xf>
    <xf numFmtId="172" fontId="20" fillId="19" borderId="0" applyAlignment="1" pivotButton="0" quotePrefix="0" xfId="0">
      <alignment vertical="center"/>
    </xf>
    <xf numFmtId="173" fontId="20" fillId="19" borderId="0" applyAlignment="1" pivotButton="0" quotePrefix="0" xfId="0">
      <alignment vertical="center"/>
    </xf>
    <xf numFmtId="164" fontId="20" fillId="19" borderId="0" applyAlignment="1" pivotButton="0" quotePrefix="0" xfId="0">
      <alignment vertical="center"/>
    </xf>
    <xf numFmtId="169" fontId="19" fillId="19" borderId="0" pivotButton="0" quotePrefix="0" xfId="0"/>
    <xf numFmtId="164" fontId="19" fillId="19" borderId="1" applyAlignment="1" pivotButton="0" quotePrefix="0" xfId="0">
      <alignment vertical="center"/>
    </xf>
    <xf numFmtId="164" fontId="19" fillId="19" borderId="0" pivotButton="0" quotePrefix="0" xfId="0"/>
    <xf numFmtId="169" fontId="9" fillId="19" borderId="0" applyAlignment="1" pivotButton="0" quotePrefix="0" xfId="0">
      <alignment vertical="center"/>
    </xf>
    <xf numFmtId="0" fontId="27" fillId="0" borderId="0" applyAlignment="1" pivotButton="0" quotePrefix="0" xfId="0">
      <alignment horizontal="left" vertical="center" wrapText="1"/>
    </xf>
    <xf numFmtId="0" fontId="16" fillId="11" borderId="0" applyAlignment="1" pivotButton="0" quotePrefix="0" xfId="0">
      <alignment horizontal="left" vertical="center" wrapText="1"/>
    </xf>
    <xf numFmtId="0" fontId="16" fillId="11" borderId="0" applyAlignment="1" pivotButton="0" quotePrefix="0" xfId="0">
      <alignment horizontal="right" vertical="center" wrapText="1"/>
    </xf>
    <xf numFmtId="173" fontId="28" fillId="0" borderId="0" applyAlignment="1" pivotButton="0" quotePrefix="0" xfId="0">
      <alignment horizontal="right" vertical="center" wrapText="1"/>
    </xf>
    <xf numFmtId="173" fontId="20" fillId="0" borderId="0" applyAlignment="1" pivotButton="0" quotePrefix="0" xfId="0">
      <alignment horizontal="right" vertical="center" wrapText="1"/>
    </xf>
    <xf numFmtId="0" fontId="28" fillId="0" borderId="0" applyAlignment="1" pivotButton="0" quotePrefix="0" xfId="0">
      <alignment horizontal="right" vertical="center" wrapText="1"/>
    </xf>
    <xf numFmtId="0" fontId="28" fillId="0" borderId="0" applyAlignment="1" pivotButton="0" quotePrefix="0" xfId="0">
      <alignment horizontal="left" vertical="center" wrapText="1"/>
    </xf>
    <xf numFmtId="0" fontId="27" fillId="20" borderId="0" applyAlignment="1" pivotButton="0" quotePrefix="0" xfId="0">
      <alignment horizontal="left" vertical="center" wrapText="1"/>
    </xf>
    <xf numFmtId="0" fontId="28" fillId="20" borderId="0" applyAlignment="1" pivotButton="0" quotePrefix="0" xfId="0">
      <alignment horizontal="left" vertical="center" wrapText="1"/>
    </xf>
    <xf numFmtId="0" fontId="0" fillId="19" borderId="0" applyAlignment="1" pivotButton="0" quotePrefix="0" xfId="0">
      <alignment horizontal="left" vertical="center" wrapText="1"/>
    </xf>
    <xf numFmtId="0" fontId="0" fillId="19" borderId="0" applyAlignment="1" pivotButton="0" quotePrefix="0" xfId="0">
      <alignment vertical="center" wrapText="1"/>
    </xf>
    <xf numFmtId="0" fontId="12" fillId="19" borderId="0" applyAlignment="1" pivotButton="0" quotePrefix="0" xfId="0">
      <alignment vertical="center" wrapText="1"/>
    </xf>
    <xf numFmtId="0" fontId="30" fillId="13" borderId="0" applyAlignment="1" pivotButton="0" quotePrefix="0" xfId="0">
      <alignment vertical="center" wrapText="1"/>
    </xf>
    <xf numFmtId="166" fontId="31" fillId="18" borderId="0" applyAlignment="1" pivotButton="0" quotePrefix="0" xfId="0">
      <alignment vertical="center" wrapText="1"/>
    </xf>
    <xf numFmtId="175" fontId="31" fillId="18" borderId="0" applyAlignment="1" pivotButton="0" quotePrefix="0" xfId="0">
      <alignment vertical="center" wrapText="1"/>
    </xf>
    <xf numFmtId="175" fontId="31" fillId="18" borderId="0" pivotButton="0" quotePrefix="0" xfId="0"/>
    <xf numFmtId="164" fontId="32" fillId="19" borderId="0" applyAlignment="1" pivotButton="0" quotePrefix="0" xfId="0">
      <alignment vertical="center"/>
    </xf>
    <xf numFmtId="0" fontId="1" fillId="19" borderId="0" applyAlignment="1" pivotButton="0" quotePrefix="0" xfId="0">
      <alignment horizontal="left" vertical="center"/>
    </xf>
    <xf numFmtId="164" fontId="33" fillId="19" borderId="0" applyAlignment="1" pivotButton="0" quotePrefix="0" xfId="0">
      <alignment vertical="center"/>
    </xf>
    <xf numFmtId="169" fontId="33" fillId="19" borderId="0" pivotButton="0" quotePrefix="0" xfId="0"/>
    <xf numFmtId="0" fontId="33" fillId="19" borderId="0" pivotButton="0" quotePrefix="0" xfId="0"/>
    <xf numFmtId="0" fontId="32" fillId="19" borderId="0" pivotButton="0" quotePrefix="0" xfId="0"/>
    <xf numFmtId="169" fontId="32" fillId="19" borderId="0" pivotButton="0" quotePrefix="0" xfId="0"/>
    <xf numFmtId="0" fontId="33" fillId="0" borderId="0" applyAlignment="1" pivotButton="0" quotePrefix="0" xfId="0">
      <alignment vertical="center"/>
    </xf>
    <xf numFmtId="17" fontId="32" fillId="0" borderId="0" applyAlignment="1" pivotButton="0" quotePrefix="0" xfId="0">
      <alignment vertical="center"/>
    </xf>
    <xf numFmtId="169" fontId="32" fillId="0" borderId="0" applyAlignment="1" pivotButton="0" quotePrefix="0" xfId="0">
      <alignment vertical="center"/>
    </xf>
    <xf numFmtId="169" fontId="33" fillId="0" borderId="0" applyAlignment="1" pivotButton="0" quotePrefix="0" xfId="0">
      <alignment vertical="center"/>
    </xf>
    <xf numFmtId="0" fontId="36" fillId="0" borderId="0" applyAlignment="1" pivotButton="0" quotePrefix="0" xfId="0">
      <alignment vertical="center" wrapText="1"/>
    </xf>
    <xf numFmtId="0" fontId="34" fillId="13" borderId="0" applyAlignment="1" pivotButton="0" quotePrefix="0" xfId="0">
      <alignment vertical="center" wrapText="1"/>
    </xf>
    <xf numFmtId="0" fontId="35" fillId="13" borderId="0" applyAlignment="1" pivotButton="0" quotePrefix="0" xfId="0">
      <alignment vertical="center" wrapText="1"/>
    </xf>
    <xf numFmtId="173" fontId="33" fillId="21" borderId="0" applyAlignment="1" pivotButton="0" quotePrefix="0" xfId="0">
      <alignment vertical="top" wrapText="1"/>
    </xf>
    <xf numFmtId="173" fontId="33" fillId="0" borderId="0" applyAlignment="1" pivotButton="0" quotePrefix="0" xfId="0">
      <alignment vertical="top" wrapText="1"/>
    </xf>
    <xf numFmtId="173" fontId="32" fillId="21" borderId="0" applyAlignment="1" pivotButton="0" quotePrefix="0" xfId="0">
      <alignment vertical="top" wrapText="1"/>
    </xf>
    <xf numFmtId="173" fontId="32" fillId="0" borderId="0" applyAlignment="1" pivotButton="0" quotePrefix="0" xfId="0">
      <alignment vertical="top" wrapText="1"/>
    </xf>
    <xf numFmtId="176" fontId="31" fillId="18" borderId="0" applyAlignment="1" pivotButton="0" quotePrefix="0" xfId="0">
      <alignment vertical="center" wrapText="1"/>
    </xf>
    <xf numFmtId="177" fontId="31" fillId="18" borderId="0" applyAlignment="1" pivotButton="0" quotePrefix="0" xfId="0">
      <alignment vertical="center" wrapText="1"/>
    </xf>
    <xf numFmtId="0" fontId="37" fillId="22" borderId="0" applyAlignment="1" pivotButton="0" quotePrefix="0" xfId="0">
      <alignment vertical="center" wrapText="1"/>
    </xf>
    <xf numFmtId="0" fontId="38" fillId="23" borderId="0" applyAlignment="1" pivotButton="0" quotePrefix="0" xfId="0">
      <alignment vertical="center" wrapText="1"/>
    </xf>
    <xf numFmtId="0" fontId="38" fillId="24" borderId="0" applyAlignment="1" pivotButton="0" quotePrefix="0" xfId="0">
      <alignment vertical="center" wrapText="1"/>
    </xf>
    <xf numFmtId="0" fontId="39" fillId="22" borderId="0" applyAlignment="1" pivotButton="0" quotePrefix="0" xfId="0">
      <alignment vertical="center" wrapText="1"/>
    </xf>
    <xf numFmtId="0" fontId="38" fillId="23" borderId="2" applyAlignment="1" pivotButton="0" quotePrefix="0" xfId="0">
      <alignment vertical="top" wrapText="1"/>
    </xf>
    <xf numFmtId="0" fontId="40" fillId="23" borderId="2" applyAlignment="1" pivotButton="0" quotePrefix="0" xfId="0">
      <alignment vertical="top" wrapText="1"/>
    </xf>
    <xf numFmtId="0" fontId="41" fillId="23" borderId="2" applyAlignment="1" pivotButton="0" quotePrefix="0" xfId="0">
      <alignment vertical="top" wrapText="1"/>
    </xf>
    <xf numFmtId="0" fontId="38" fillId="24" borderId="2" applyAlignment="1" pivotButton="0" quotePrefix="0" xfId="0">
      <alignment vertical="top" wrapText="1"/>
    </xf>
    <xf numFmtId="0" fontId="40" fillId="24" borderId="2" applyAlignment="1" pivotButton="0" quotePrefix="0" xfId="0">
      <alignment vertical="top" wrapText="1"/>
    </xf>
    <xf numFmtId="0" fontId="41" fillId="24" borderId="2" applyAlignment="1" pivotButton="0" quotePrefix="0" xfId="0">
      <alignment vertical="top" wrapText="1"/>
    </xf>
    <xf numFmtId="0" fontId="38" fillId="25" borderId="2" applyAlignment="1" pivotButton="0" quotePrefix="0" xfId="0">
      <alignment vertical="top" wrapText="1"/>
    </xf>
    <xf numFmtId="0" fontId="40" fillId="25" borderId="2" applyAlignment="1" pivotButton="0" quotePrefix="0" xfId="0">
      <alignment vertical="top" wrapText="1"/>
    </xf>
    <xf numFmtId="0" fontId="41" fillId="25" borderId="2" applyAlignment="1" pivotButton="0" quotePrefix="0" xfId="0">
      <alignment vertical="top" wrapText="1"/>
    </xf>
    <xf numFmtId="0" fontId="42" fillId="26" borderId="0" pivotButton="0" quotePrefix="0" xfId="0"/>
    <xf numFmtId="0" fontId="44" fillId="27" borderId="0" applyAlignment="1" pivotButton="0" quotePrefix="0" xfId="0">
      <alignment horizontal="left"/>
    </xf>
    <xf numFmtId="0" fontId="45" fillId="0" borderId="0" applyAlignment="1" pivotButton="0" quotePrefix="0" xfId="0">
      <alignment horizontal="left"/>
    </xf>
    <xf numFmtId="0" fontId="43" fillId="0" borderId="0" applyAlignment="1" pivotButton="0" quotePrefix="0" xfId="0">
      <alignment vertical="center" wrapText="1"/>
    </xf>
    <xf numFmtId="0" fontId="43" fillId="0" borderId="0" pivotButton="0" quotePrefix="0" xfId="0"/>
    <xf numFmtId="0" fontId="44" fillId="27" borderId="0" pivotButton="0" quotePrefix="0" xfId="0"/>
    <xf numFmtId="0" fontId="45" fillId="0" borderId="0" pivotButton="0" quotePrefix="0" xfId="0"/>
    <xf numFmtId="0" fontId="46" fillId="0" borderId="0" applyAlignment="1" pivotButton="0" quotePrefix="0" xfId="0">
      <alignment vertical="top" wrapText="1"/>
    </xf>
    <xf numFmtId="0" fontId="48" fillId="22" borderId="0" applyAlignment="1" pivotButton="0" quotePrefix="0" xfId="0">
      <alignment vertical="center"/>
    </xf>
    <xf numFmtId="0" fontId="49" fillId="0" borderId="0" pivotButton="0" quotePrefix="0" xfId="0"/>
    <xf numFmtId="0" fontId="56" fillId="22" borderId="0" pivotButton="0" quotePrefix="0" xfId="0"/>
    <xf numFmtId="0" fontId="72" fillId="22" borderId="0" pivotButton="0" quotePrefix="0" xfId="0"/>
    <xf numFmtId="0" fontId="50" fillId="22" borderId="3" applyAlignment="1" pivotButton="0" quotePrefix="0" xfId="0">
      <alignment vertical="center" wrapText="1"/>
    </xf>
    <xf numFmtId="0" fontId="58" fillId="0" borderId="3" pivotButton="0" quotePrefix="0" xfId="0"/>
    <xf numFmtId="49" fontId="53" fillId="28" borderId="3" pivotButton="0" quotePrefix="0" xfId="0"/>
    <xf numFmtId="0" fontId="73" fillId="0" borderId="3" pivotButton="0" quotePrefix="0" xfId="0"/>
    <xf numFmtId="0" fontId="57" fillId="0" borderId="3" applyAlignment="1" pivotButton="0" quotePrefix="0" xfId="0">
      <alignment vertical="top" wrapText="1"/>
    </xf>
    <xf numFmtId="166" fontId="53" fillId="28" borderId="3" pivotButton="0" quotePrefix="0" xfId="0"/>
    <xf numFmtId="178" fontId="53" fillId="28" borderId="3" pivotButton="0" quotePrefix="0" xfId="0"/>
    <xf numFmtId="165" fontId="53" fillId="28" borderId="3" pivotButton="0" quotePrefix="0" xfId="0"/>
    <xf numFmtId="3" fontId="53" fillId="28" borderId="3" pivotButton="0" quotePrefix="0" xfId="0"/>
    <xf numFmtId="192" fontId="53" fillId="28" borderId="3" pivotButton="0" quotePrefix="0" xfId="0"/>
    <xf numFmtId="49" fontId="53" fillId="33" borderId="3" pivotButton="0" quotePrefix="0" xfId="0"/>
    <xf numFmtId="0" fontId="74" fillId="0" borderId="3" pivotButton="0" quotePrefix="0" xfId="0"/>
    <xf numFmtId="0" fontId="61" fillId="0" borderId="0" pivotButton="0" quotePrefix="0" xfId="0"/>
    <xf numFmtId="0" fontId="58" fillId="0" borderId="0" pivotButton="0" quotePrefix="0" xfId="0"/>
    <xf numFmtId="1" fontId="59" fillId="28" borderId="3" pivotButton="0" quotePrefix="0" xfId="0"/>
    <xf numFmtId="0" fontId="57" fillId="0" borderId="0" applyAlignment="1" pivotButton="0" quotePrefix="0" xfId="0">
      <alignment vertical="top" wrapText="1"/>
    </xf>
    <xf numFmtId="0" fontId="53" fillId="0" borderId="0" pivotButton="0" quotePrefix="0" xfId="0"/>
    <xf numFmtId="49" fontId="59" fillId="0" borderId="3" pivotButton="0" quotePrefix="0" xfId="0"/>
    <xf numFmtId="0" fontId="58" fillId="34" borderId="3" pivotButton="0" quotePrefix="0" xfId="0"/>
    <xf numFmtId="0" fontId="58" fillId="35" borderId="3" pivotButton="0" quotePrefix="0" xfId="0"/>
    <xf numFmtId="0" fontId="58" fillId="33" borderId="3" pivotButton="0" quotePrefix="0" xfId="0"/>
    <xf numFmtId="0" fontId="58" fillId="31" borderId="3" pivotButton="0" quotePrefix="0" xfId="0"/>
    <xf numFmtId="0" fontId="75" fillId="28" borderId="3" pivotButton="0" quotePrefix="0" xfId="0"/>
    <xf numFmtId="0" fontId="58" fillId="36" borderId="3" pivotButton="0" quotePrefix="0" xfId="0"/>
    <xf numFmtId="0" fontId="43" fillId="0" borderId="3" pivotButton="0" quotePrefix="0" xfId="0"/>
    <xf numFmtId="0" fontId="0" fillId="0" borderId="3" pivotButton="0" quotePrefix="0" xfId="0"/>
    <xf numFmtId="0" fontId="76" fillId="0" borderId="0" pivotButton="0" quotePrefix="0" xfId="0"/>
    <xf numFmtId="0" fontId="51" fillId="22" borderId="0" pivotButton="0" quotePrefix="0" xfId="0"/>
    <xf numFmtId="0" fontId="78" fillId="0" borderId="0" pivotButton="0" quotePrefix="0" xfId="0"/>
    <xf numFmtId="1" fontId="62" fillId="0" borderId="3" pivotButton="0" quotePrefix="0" xfId="0"/>
    <xf numFmtId="49" fontId="62" fillId="0" borderId="3" pivotButton="0" quotePrefix="0" xfId="0"/>
    <xf numFmtId="164" fontId="62" fillId="0" borderId="3" pivotButton="0" quotePrefix="0" xfId="0"/>
    <xf numFmtId="0" fontId="43" fillId="0" borderId="0" applyAlignment="1" pivotButton="0" quotePrefix="0" xfId="0">
      <alignment vertical="center"/>
    </xf>
    <xf numFmtId="0" fontId="43" fillId="13" borderId="0" applyAlignment="1" pivotButton="0" quotePrefix="0" xfId="0">
      <alignment vertical="center"/>
    </xf>
    <xf numFmtId="0" fontId="77" fillId="0" borderId="0" pivotButton="0" quotePrefix="0" xfId="0"/>
    <xf numFmtId="0" fontId="78" fillId="34" borderId="3" applyAlignment="1" pivotButton="0" quotePrefix="0" xfId="0">
      <alignment horizontal="center"/>
    </xf>
    <xf numFmtId="0" fontId="78" fillId="35" borderId="3" applyAlignment="1" pivotButton="0" quotePrefix="0" xfId="0">
      <alignment horizontal="center"/>
    </xf>
    <xf numFmtId="0" fontId="78" fillId="33" borderId="3" applyAlignment="1" pivotButton="0" quotePrefix="0" xfId="0">
      <alignment horizontal="center"/>
    </xf>
    <xf numFmtId="0" fontId="78" fillId="31" borderId="3" applyAlignment="1" pivotButton="0" quotePrefix="0" xfId="0">
      <alignment horizontal="center"/>
    </xf>
    <xf numFmtId="0" fontId="61" fillId="28" borderId="3" applyAlignment="1" pivotButton="0" quotePrefix="0" xfId="0">
      <alignment horizontal="center"/>
    </xf>
    <xf numFmtId="0" fontId="45" fillId="32" borderId="3" pivotButton="0" quotePrefix="0" xfId="0"/>
    <xf numFmtId="0" fontId="79" fillId="32" borderId="3" pivotButton="0" quotePrefix="0" xfId="0"/>
    <xf numFmtId="0" fontId="51" fillId="22" borderId="0" applyAlignment="1" pivotButton="0" quotePrefix="0" xfId="0">
      <alignment horizontal="left" vertical="center"/>
    </xf>
    <xf numFmtId="181" fontId="21" fillId="0" borderId="0" applyAlignment="1" pivotButton="0" quotePrefix="0" xfId="0">
      <alignment vertical="center"/>
    </xf>
    <xf numFmtId="188" fontId="6" fillId="7" borderId="0" applyAlignment="1" pivotButton="0" quotePrefix="0" xfId="0">
      <alignment vertical="center"/>
    </xf>
    <xf numFmtId="188" fontId="5" fillId="6" borderId="0" applyAlignment="1" pivotButton="0" quotePrefix="0" xfId="0">
      <alignment vertical="center"/>
    </xf>
    <xf numFmtId="189" fontId="5" fillId="6" borderId="0" applyAlignment="1" pivotButton="0" quotePrefix="0" xfId="0">
      <alignment vertical="center"/>
    </xf>
    <xf numFmtId="167" fontId="47" fillId="8" borderId="0" applyAlignment="1" pivotButton="0" quotePrefix="0" xfId="0">
      <alignment vertical="center"/>
    </xf>
    <xf numFmtId="181" fontId="5" fillId="6" borderId="0" applyAlignment="1" pivotButton="0" quotePrefix="0" xfId="0">
      <alignment vertical="center"/>
    </xf>
    <xf numFmtId="190" fontId="6" fillId="7" borderId="0" applyAlignment="1" pivotButton="0" quotePrefix="0" xfId="0">
      <alignment vertical="center"/>
    </xf>
    <xf numFmtId="182" fontId="47" fillId="28" borderId="0" applyAlignment="1" pivotButton="0" quotePrefix="0" xfId="0">
      <alignment horizontal="right" vertical="center" wrapText="1"/>
    </xf>
    <xf numFmtId="0" fontId="65" fillId="0" borderId="0" pivotButton="0" quotePrefix="0" xfId="0"/>
    <xf numFmtId="182" fontId="5" fillId="6" borderId="0" applyAlignment="1" pivotButton="0" quotePrefix="0" xfId="0">
      <alignment vertical="center"/>
    </xf>
    <xf numFmtId="165" fontId="47" fillId="8" borderId="0" applyAlignment="1" pivotButton="0" quotePrefix="0" xfId="0">
      <alignment vertical="center"/>
    </xf>
    <xf numFmtId="191" fontId="6" fillId="7" borderId="0" applyAlignment="1" pivotButton="0" quotePrefix="0" xfId="0">
      <alignment vertical="center"/>
    </xf>
    <xf numFmtId="164" fontId="47" fillId="28" borderId="0" applyAlignment="1" pivotButton="0" quotePrefix="0" xfId="0">
      <alignment horizontal="right" vertical="center" wrapText="1"/>
    </xf>
    <xf numFmtId="183" fontId="5" fillId="6" borderId="0" applyAlignment="1" pivotButton="0" quotePrefix="0" xfId="0">
      <alignment vertical="center"/>
    </xf>
    <xf numFmtId="178" fontId="47" fillId="28" borderId="0" applyAlignment="1" pivotButton="0" quotePrefix="0" xfId="0">
      <alignment horizontal="right" vertical="center" wrapText="1"/>
    </xf>
    <xf numFmtId="164" fontId="47" fillId="28" borderId="0" applyAlignment="1" pivotButton="0" quotePrefix="0" xfId="0">
      <alignment vertical="center"/>
    </xf>
    <xf numFmtId="0" fontId="83" fillId="0" borderId="0" applyAlignment="1" pivotButton="0" quotePrefix="0" xfId="0">
      <alignment vertical="center" wrapText="1"/>
    </xf>
    <xf numFmtId="0" fontId="65" fillId="0" borderId="0" applyAlignment="1" pivotButton="0" quotePrefix="0" xfId="0">
      <alignment vertical="top" wrapText="1"/>
    </xf>
    <xf numFmtId="164" fontId="47" fillId="8" borderId="0" applyAlignment="1" pivotButton="0" quotePrefix="0" xfId="0">
      <alignment vertical="center"/>
    </xf>
    <xf numFmtId="179" fontId="47" fillId="28" borderId="0" applyAlignment="1" pivotButton="0" quotePrefix="0" xfId="0">
      <alignment horizontal="right" vertical="center" wrapText="1"/>
    </xf>
    <xf numFmtId="183" fontId="6" fillId="7" borderId="0" applyAlignment="1" pivotButton="0" quotePrefix="0" xfId="0">
      <alignment vertical="center"/>
    </xf>
    <xf numFmtId="185" fontId="5" fillId="6" borderId="0" applyAlignment="1" pivotButton="0" quotePrefix="0" xfId="0">
      <alignment vertical="center"/>
    </xf>
    <xf numFmtId="186" fontId="5" fillId="6" borderId="0" applyAlignment="1" pivotButton="0" quotePrefix="0" xfId="0">
      <alignment vertical="center"/>
    </xf>
    <xf numFmtId="180" fontId="5" fillId="6" borderId="0" applyAlignment="1" pivotButton="0" quotePrefix="0" xfId="0">
      <alignment vertical="center"/>
    </xf>
    <xf numFmtId="187" fontId="5" fillId="6" borderId="0" applyAlignment="1" pivotButton="0" quotePrefix="0" xfId="0">
      <alignment vertical="center"/>
    </xf>
    <xf numFmtId="49" fontId="6" fillId="15" borderId="0" applyAlignment="1" pivotButton="0" quotePrefix="0" xfId="0">
      <alignment vertical="center"/>
    </xf>
    <xf numFmtId="2" fontId="5" fillId="6" borderId="0" applyAlignment="1" pivotButton="0" quotePrefix="0" xfId="0">
      <alignment vertical="center"/>
    </xf>
    <xf numFmtId="184" fontId="5" fillId="6" borderId="0" applyAlignment="1" pivotButton="0" quotePrefix="0" xfId="0">
      <alignment vertical="center"/>
    </xf>
    <xf numFmtId="49" fontId="14" fillId="15" borderId="0" applyAlignment="1" pivotButton="0" quotePrefix="0" xfId="0">
      <alignment horizontal="right" vertical="center" wrapText="1"/>
    </xf>
    <xf numFmtId="0" fontId="51" fillId="22" borderId="0" applyAlignment="1" pivotButton="0" quotePrefix="0" xfId="0">
      <alignment vertical="center" wrapText="1"/>
    </xf>
    <xf numFmtId="169" fontId="47" fillId="28" borderId="0" applyAlignment="1" pivotButton="0" quotePrefix="0" xfId="0">
      <alignment horizontal="right" vertical="center" wrapText="1"/>
    </xf>
    <xf numFmtId="170" fontId="47" fillId="28" borderId="0" applyAlignment="1" pivotButton="0" quotePrefix="0" xfId="0">
      <alignment horizontal="right" vertical="center" wrapText="1"/>
    </xf>
    <xf numFmtId="179" fontId="14" fillId="12" borderId="0" applyAlignment="1" pivotButton="0" quotePrefix="0" xfId="0">
      <alignment horizontal="right" vertical="center" wrapText="1"/>
    </xf>
    <xf numFmtId="182" fontId="14" fillId="12" borderId="0" applyAlignment="1" pivotButton="0" quotePrefix="0" xfId="0">
      <alignment horizontal="right" vertical="center" wrapText="1"/>
    </xf>
    <xf numFmtId="0" fontId="47" fillId="28" borderId="0" applyAlignment="1" pivotButton="0" quotePrefix="0" xfId="0">
      <alignment horizontal="right" vertical="center" wrapText="1"/>
    </xf>
    <xf numFmtId="49" fontId="14" fillId="15" borderId="0" applyAlignment="1" applyProtection="1" pivotButton="0" quotePrefix="0" xfId="0">
      <alignment vertical="center"/>
      <protection locked="0" hidden="0"/>
    </xf>
    <xf numFmtId="181" fontId="14" fillId="15" borderId="0" applyAlignment="1" applyProtection="1" pivotButton="0" quotePrefix="0" xfId="0">
      <alignment vertical="center"/>
      <protection locked="0" hidden="0"/>
    </xf>
    <xf numFmtId="178" fontId="47" fillId="28" borderId="0" applyAlignment="1" pivotButton="0" quotePrefix="0" xfId="0">
      <alignment vertical="center"/>
    </xf>
    <xf numFmtId="183" fontId="14" fillId="15" borderId="0" applyAlignment="1" applyProtection="1" pivotButton="0" quotePrefix="0" xfId="0">
      <alignment vertical="center"/>
      <protection locked="0" hidden="0"/>
    </xf>
    <xf numFmtId="0" fontId="47" fillId="28" borderId="0" pivotButton="0" quotePrefix="0" xfId="0"/>
    <xf numFmtId="171" fontId="47" fillId="28" borderId="0" pivotButton="0" quotePrefix="0" xfId="0"/>
    <xf numFmtId="49" fontId="14" fillId="18" borderId="0" applyAlignment="1" pivotButton="0" quotePrefix="0" xfId="0">
      <alignment vertical="center"/>
    </xf>
    <xf numFmtId="49" fontId="31" fillId="18" borderId="0" applyAlignment="1" pivotButton="0" quotePrefix="0" xfId="0">
      <alignment vertical="center" wrapText="1"/>
    </xf>
    <xf numFmtId="181" fontId="31" fillId="18" borderId="0" applyAlignment="1" pivotButton="0" quotePrefix="0" xfId="0">
      <alignment vertical="center" wrapText="1"/>
    </xf>
    <xf numFmtId="165" fontId="31" fillId="18" borderId="0" applyAlignment="1" pivotButton="0" quotePrefix="0" xfId="0">
      <alignment vertical="center" wrapText="1"/>
    </xf>
    <xf numFmtId="0" fontId="81" fillId="0" borderId="0" pivotButton="0" quotePrefix="0" xfId="0"/>
    <xf numFmtId="0" fontId="0" fillId="34" borderId="3" pivotButton="0" quotePrefix="0" xfId="0"/>
    <xf numFmtId="10" fontId="0" fillId="0" borderId="0" pivotButton="0" quotePrefix="0" xfId="0"/>
    <xf numFmtId="3" fontId="0" fillId="0" borderId="0" pivotButton="0" quotePrefix="0" xfId="0"/>
    <xf numFmtId="17" fontId="0" fillId="0" borderId="0" pivotButton="0" quotePrefix="0" xfId="0"/>
    <xf numFmtId="0" fontId="67" fillId="31" borderId="0" pivotButton="0" quotePrefix="0" xfId="0"/>
    <xf numFmtId="1" fontId="53" fillId="0" borderId="3" pivotButton="0" quotePrefix="0" xfId="0"/>
    <xf numFmtId="0" fontId="62" fillId="0" borderId="0" pivotButton="0" quotePrefix="0" xfId="0"/>
    <xf numFmtId="0" fontId="80" fillId="0" borderId="0" pivotButton="0" quotePrefix="0" xfId="0"/>
    <xf numFmtId="0" fontId="82" fillId="0" borderId="0" pivotButton="0" quotePrefix="0" xfId="0"/>
    <xf numFmtId="0" fontId="67" fillId="0" borderId="0" pivotButton="0" quotePrefix="0" xfId="0"/>
    <xf numFmtId="0" fontId="58" fillId="0" borderId="0" applyAlignment="1" pivotButton="0" quotePrefix="0" xfId="0">
      <alignment vertical="top" wrapText="1"/>
    </xf>
    <xf numFmtId="0" fontId="0" fillId="22" borderId="0" pivotButton="0" quotePrefix="0" xfId="0"/>
    <xf numFmtId="0" fontId="52" fillId="0" borderId="3" pivotButton="0" quotePrefix="0" xfId="0"/>
    <xf numFmtId="0" fontId="53" fillId="0" borderId="3" pivotButton="0" quotePrefix="0" xfId="0"/>
    <xf numFmtId="0" fontId="54" fillId="0" borderId="3" applyAlignment="1" pivotButton="0" quotePrefix="0" xfId="0">
      <alignment vertical="top" wrapText="1"/>
    </xf>
    <xf numFmtId="0" fontId="55" fillId="0" borderId="3" applyAlignment="1" pivotButton="0" quotePrefix="0" xfId="0">
      <alignment vertical="top" wrapText="1"/>
    </xf>
    <xf numFmtId="3" fontId="59" fillId="28" borderId="3" pivotButton="0" quotePrefix="0" xfId="0"/>
    <xf numFmtId="3" fontId="59" fillId="0" borderId="3" pivotButton="0" quotePrefix="0" xfId="0"/>
    <xf numFmtId="0" fontId="59" fillId="0" borderId="3" pivotButton="0" quotePrefix="0" xfId="0"/>
    <xf numFmtId="0" fontId="60" fillId="0" borderId="3" applyAlignment="1" pivotButton="0" quotePrefix="0" xfId="0">
      <alignment vertical="top" wrapText="1"/>
    </xf>
    <xf numFmtId="0" fontId="61" fillId="0" borderId="0" applyAlignment="1" pivotButton="0" quotePrefix="0" xfId="0">
      <alignment vertical="top" wrapText="1"/>
    </xf>
    <xf numFmtId="175" fontId="0" fillId="0" borderId="3" pivotButton="0" quotePrefix="0" xfId="0"/>
    <xf numFmtId="164" fontId="0" fillId="0" borderId="3" pivotButton="0" quotePrefix="0" xfId="0"/>
    <xf numFmtId="164" fontId="62" fillId="28" borderId="3" pivotButton="0" quotePrefix="0" xfId="0"/>
    <xf numFmtId="164" fontId="62" fillId="29" borderId="3" pivotButton="0" quotePrefix="0" xfId="0"/>
    <xf numFmtId="0" fontId="62" fillId="0" borderId="3" pivotButton="0" quotePrefix="0" xfId="0"/>
    <xf numFmtId="175" fontId="63" fillId="0" borderId="3" pivotButton="0" quotePrefix="0" xfId="0"/>
    <xf numFmtId="0" fontId="64" fillId="0" borderId="0" pivotButton="0" quotePrefix="0" xfId="0"/>
    <xf numFmtId="0" fontId="66" fillId="0" borderId="0" pivotButton="0" quotePrefix="0" xfId="0"/>
    <xf numFmtId="0" fontId="53" fillId="0" borderId="0" applyAlignment="1" pivotButton="0" quotePrefix="0" xfId="0">
      <alignment vertical="top" wrapText="1"/>
    </xf>
    <xf numFmtId="0" fontId="68" fillId="30" borderId="3" applyAlignment="1" pivotButton="0" quotePrefix="0" xfId="0">
      <alignment horizontal="center" vertical="center" wrapText="1"/>
    </xf>
    <xf numFmtId="0" fontId="69" fillId="31" borderId="3" applyAlignment="1" pivotButton="0" quotePrefix="0" xfId="0">
      <alignment horizontal="center" vertical="center" wrapText="1"/>
    </xf>
    <xf numFmtId="0" fontId="60" fillId="29" borderId="3" applyAlignment="1" pivotButton="0" quotePrefix="0" xfId="0">
      <alignment horizontal="center" vertical="center" wrapText="1"/>
    </xf>
    <xf numFmtId="0" fontId="70" fillId="32" borderId="3" applyAlignment="1" pivotButton="0" quotePrefix="0" xfId="0">
      <alignment horizontal="center" vertical="center" wrapText="1"/>
    </xf>
    <xf numFmtId="0" fontId="71" fillId="0" borderId="0" pivotButton="0" quotePrefix="0" xfId="0"/>
  </cellXfs>
  <cellStyles count="1">
    <cellStyle name="Normal" xfId="0" builtinId="0" hidden="0"/>
  </cellStyles>
  <dxfs count="7">
    <dxf>
      <font>
        <b val="1"/>
        <color rgb="009C0006"/>
      </font>
      <fill>
        <patternFill patternType="solid">
          <fgColor rgb="00FCE4D6"/>
          <bgColor rgb="FF000000"/>
        </patternFill>
      </fill>
    </dxf>
    <dxf>
      <fill>
        <patternFill patternType="solid">
          <fgColor rgb="00FFF1CE"/>
          <bgColor rgb="FF000000"/>
        </patternFill>
      </fill>
    </dxf>
    <dxf>
      <font>
        <b val="1"/>
        <color rgb="009C0006"/>
      </font>
      <fill>
        <patternFill patternType="solid">
          <bgColor rgb="00F4CCCC"/>
        </patternFill>
      </fill>
    </dxf>
    <dxf>
      <font>
        <b val="1"/>
        <color rgb="007F6000"/>
      </font>
      <fill>
        <patternFill patternType="solid">
          <bgColor rgb="00FFE699"/>
        </patternFill>
      </fill>
    </dxf>
    <dxf>
      <font>
        <color rgb="007F6000"/>
      </font>
      <fill>
        <patternFill patternType="solid">
          <bgColor rgb="00FFF2CC"/>
        </patternFill>
      </fill>
    </dxf>
    <dxf>
      <font>
        <color rgb="00375623"/>
      </font>
      <fill>
        <patternFill patternType="solid">
          <bgColor rgb="00E2EFDA"/>
        </patternFill>
      </fill>
    </dxf>
    <dxf>
      <font>
        <b val="1"/>
        <color rgb="007F6000"/>
      </font>
      <fill>
        <patternFill patternType="solid">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t>Школы и юрлица — по месяцам</a:t>
            </a:r>
          </a:p>
        </rich>
      </tx>
    </title>
    <plotArea>
      <lineChart>
        <grouping val="standard"/>
        <ser>
          <idx val="0"/>
          <order val="0"/>
          <tx>
            <v>Школы</v>
          </tx>
          <spPr>
            <a:ln w="24000">
              <a:solidFill>
                <a:srgbClr val="9E1B31"/>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'00_Дашборд'!$B$104:$B$163</f>
              <numCache>
                <formatCode>General</formatCode>
                <ptCount val="60"/>
                <pt idx="0">
                  <v>60</v>
                </pt>
                <pt idx="1">
                  <v>60</v>
                </pt>
                <pt idx="2">
                  <v>60</v>
                </pt>
                <pt idx="3">
                  <v>67.2439024390244</v>
                </pt>
                <pt idx="4">
                  <v>69.65853658536585</v>
                </pt>
                <pt idx="5">
                  <v>71.26829268292683</v>
                </pt>
                <pt idx="6">
                  <v>77.70731707317073</v>
                </pt>
                <pt idx="7">
                  <v>88.17073170731707</v>
                </pt>
                <pt idx="8">
                  <v>92.19512195121951</v>
                </pt>
                <pt idx="9">
                  <v>97.02439024390245</v>
                </pt>
                <pt idx="10">
                  <v>103.4634146341463</v>
                </pt>
                <pt idx="11">
                  <v>107.4878048780488</v>
                </pt>
                <pt idx="12">
                  <v>114.7317073170732</v>
                </pt>
                <pt idx="13">
                  <v>126</v>
                </pt>
                <pt idx="14">
                  <v>138.96</v>
                </pt>
                <pt idx="15">
                  <v>145.44</v>
                </pt>
                <pt idx="16">
                  <v>147.6</v>
                </pt>
                <pt idx="17">
                  <v>149.04</v>
                </pt>
                <pt idx="18">
                  <v>154.8</v>
                </pt>
                <pt idx="19">
                  <v>164.16</v>
                </pt>
                <pt idx="20">
                  <v>167.76</v>
                </pt>
                <pt idx="21">
                  <v>172.08</v>
                </pt>
                <pt idx="22">
                  <v>177.84</v>
                </pt>
                <pt idx="23">
                  <v>181.44</v>
                </pt>
                <pt idx="24">
                  <v>187.92</v>
                </pt>
                <pt idx="25">
                  <v>198</v>
                </pt>
                <pt idx="26">
                  <v>210.96</v>
                </pt>
                <pt idx="27">
                  <v>217.44</v>
                </pt>
                <pt idx="28">
                  <v>219.6</v>
                </pt>
                <pt idx="29">
                  <v>221.04</v>
                </pt>
                <pt idx="30">
                  <v>226.8</v>
                </pt>
                <pt idx="31">
                  <v>236.16</v>
                </pt>
                <pt idx="32">
                  <v>239.76</v>
                </pt>
                <pt idx="33">
                  <v>244.08</v>
                </pt>
                <pt idx="34">
                  <v>249.84</v>
                </pt>
                <pt idx="35">
                  <v>253.44</v>
                </pt>
                <pt idx="36">
                  <v>259.92</v>
                </pt>
                <pt idx="37">
                  <v>270</v>
                </pt>
                <pt idx="38">
                  <v>280.8</v>
                </pt>
                <pt idx="39">
                  <v>286.2</v>
                </pt>
                <pt idx="40">
                  <v>288</v>
                </pt>
                <pt idx="41">
                  <v>289.2</v>
                </pt>
                <pt idx="42">
                  <v>294</v>
                </pt>
                <pt idx="43">
                  <v>301.8</v>
                </pt>
                <pt idx="44">
                  <v>304.8</v>
                </pt>
                <pt idx="45">
                  <v>308.4</v>
                </pt>
                <pt idx="46">
                  <v>313.2</v>
                </pt>
                <pt idx="47">
                  <v>316.2</v>
                </pt>
                <pt idx="48">
                  <v>321.6</v>
                </pt>
                <pt idx="49">
                  <v>330</v>
                </pt>
                <pt idx="50">
                  <v>339</v>
                </pt>
                <pt idx="51">
                  <v>343.5</v>
                </pt>
                <pt idx="52">
                  <v>345</v>
                </pt>
                <pt idx="53">
                  <v>346</v>
                </pt>
                <pt idx="54">
                  <v>350</v>
                </pt>
                <pt idx="55">
                  <v>356.5</v>
                </pt>
                <pt idx="56">
                  <v>359</v>
                </pt>
                <pt idx="57">
                  <v>361.9999999999999</v>
                </pt>
                <pt idx="58">
                  <v>365.9999999999999</v>
                </pt>
                <pt idx="59">
                  <v>368.4999999999999</v>
                </pt>
              </numCache>
            </numRef>
          </val>
        </ser>
        <ser>
          <idx val="1"/>
          <order val="1"/>
          <tx>
            <v>Юрлица</v>
          </tx>
          <spPr>
            <a:ln w="24000">
              <a:solidFill>
                <a:srgbClr val="D45B63"/>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'00_Дашборд'!$C$104:$C$163</f>
              <numCache>
                <formatCode>General</formatCode>
                <ptCount val="60"/>
                <pt idx="0">
                  <v>49</v>
                </pt>
                <pt idx="1">
                  <v>56.24390243902439</v>
                </pt>
                <pt idx="2">
                  <v>58.65853658536585</v>
                </pt>
                <pt idx="3">
                  <v>60.26829268292683</v>
                </pt>
                <pt idx="4">
                  <v>66.70731707317073</v>
                </pt>
                <pt idx="5">
                  <v>77.17073170731707</v>
                </pt>
                <pt idx="6">
                  <v>81.19512195121952</v>
                </pt>
                <pt idx="7">
                  <v>86.02439024390245</v>
                </pt>
                <pt idx="8">
                  <v>92.46341463414635</v>
                </pt>
                <pt idx="9">
                  <v>96.48780487804879</v>
                </pt>
                <pt idx="10">
                  <v>103.7317073170732</v>
                </pt>
                <pt idx="11">
                  <v>115</v>
                </pt>
                <pt idx="12">
                  <v>127.96</v>
                </pt>
                <pt idx="13">
                  <v>134.44</v>
                </pt>
                <pt idx="14">
                  <v>136.6</v>
                </pt>
                <pt idx="15">
                  <v>138.04</v>
                </pt>
                <pt idx="16">
                  <v>143.8</v>
                </pt>
                <pt idx="17">
                  <v>153.16</v>
                </pt>
                <pt idx="18">
                  <v>156.76</v>
                </pt>
                <pt idx="19">
                  <v>161.08</v>
                </pt>
                <pt idx="20">
                  <v>166.8399999999999</v>
                </pt>
                <pt idx="21">
                  <v>170.4399999999999</v>
                </pt>
                <pt idx="22">
                  <v>176.9199999999999</v>
                </pt>
                <pt idx="23">
                  <v>186.9999999999999</v>
                </pt>
                <pt idx="24">
                  <v>199.96</v>
                </pt>
                <pt idx="25">
                  <v>206.4399999999999</v>
                </pt>
                <pt idx="26">
                  <v>208.5999999999999</v>
                </pt>
                <pt idx="27">
                  <v>210.0399999999999</v>
                </pt>
                <pt idx="28">
                  <v>215.7999999999999</v>
                </pt>
                <pt idx="29">
                  <v>225.1599999999999</v>
                </pt>
                <pt idx="30">
                  <v>228.7599999999999</v>
                </pt>
                <pt idx="31">
                  <v>233.0799999999999</v>
                </pt>
                <pt idx="32">
                  <v>238.8399999999999</v>
                </pt>
                <pt idx="33">
                  <v>242.4399999999999</v>
                </pt>
                <pt idx="34">
                  <v>248.9199999999999</v>
                </pt>
                <pt idx="35">
                  <v>258.9999999999999</v>
                </pt>
                <pt idx="36">
                  <v>269.7999999999999</v>
                </pt>
                <pt idx="37">
                  <v>275.1999999999999</v>
                </pt>
                <pt idx="38">
                  <v>276.9999999999999</v>
                </pt>
                <pt idx="39">
                  <v>278.1999999999999</v>
                </pt>
                <pt idx="40">
                  <v>282.9999999999999</v>
                </pt>
                <pt idx="41">
                  <v>290.7999999999999</v>
                </pt>
                <pt idx="42">
                  <v>293.7999999999999</v>
                </pt>
                <pt idx="43">
                  <v>297.3999999999999</v>
                </pt>
                <pt idx="44">
                  <v>302.1999999999999</v>
                </pt>
                <pt idx="45">
                  <v>305.1999999999999</v>
                </pt>
                <pt idx="46">
                  <v>310.5999999999999</v>
                </pt>
                <pt idx="47">
                  <v>318.9999999999999</v>
                </pt>
                <pt idx="48">
                  <v>327.9999999999999</v>
                </pt>
                <pt idx="49">
                  <v>332.4999999999999</v>
                </pt>
                <pt idx="50">
                  <v>333.9999999999999</v>
                </pt>
                <pt idx="51">
                  <v>334.9999999999999</v>
                </pt>
                <pt idx="52">
                  <v>338.9999999999999</v>
                </pt>
                <pt idx="53">
                  <v>345.4999999999999</v>
                </pt>
                <pt idx="54">
                  <v>347.9999999999999</v>
                </pt>
                <pt idx="55">
                  <v>350.9999999999999</v>
                </pt>
                <pt idx="56">
                  <v>354.9999999999999</v>
                </pt>
                <pt idx="57">
                  <v>357.4999999999999</v>
                </pt>
                <pt idx="58">
                  <v>361.9999999999999</v>
                </pt>
                <pt idx="59">
                  <v>368.9999999999999</v>
                </pt>
              </numCache>
            </numRef>
          </val>
        </ser>
        <axId val="10"/>
        <axId val="100"/>
      </lineChart>
      <catAx>
        <axId val="10"/>
        <scaling>
          <orientation val="minMax"/>
        </scaling>
        <axPos val="l"/>
        <title>
          <tx>
            <rich>
              <a:bodyPr/>
              <a:p>
                <a:pPr>
                  <a:defRPr/>
                </a:pPr>
                <a:r>
                  <a:t>Сентябрь 2026 — август 2031</a:t>
                </a:r>
              </a:p>
            </rich>
          </tx>
        </title>
        <majorTickMark val="none"/>
        <minorTickMark val="none"/>
        <crossAx val="100"/>
        <lblOffset val="100"/>
        <tickLblSkip val="6"/>
        <tickMarkSkip val="6"/>
      </catAx>
      <valAx>
        <axId val="100"/>
        <scaling>
          <orientation val="minMax"/>
        </scaling>
        <axPos val="l"/>
        <majorGridlines/>
        <title>
          <tx>
            <rich>
              <a:bodyPr/>
              <a:p>
                <a:pPr>
                  <a:defRPr/>
                </a:pPr>
                <a:r>
                  <a:t>шт.</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Активные дети — действующая и новая сеть</a:t>
            </a:r>
          </a:p>
        </rich>
      </tx>
    </title>
    <plotArea>
      <lineChart>
        <grouping val="standard"/>
        <ser>
          <idx val="0"/>
          <order val="0"/>
          <tx>
            <v>Действующая сеть</v>
          </tx>
          <spPr>
            <a:ln w="24000">
              <a:solidFill>
                <a:srgbClr val="9E1B31"/>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'00_Дашборд'!$D$104:$D$163</f>
              <numCache>
                <formatCode>General</formatCode>
                <ptCount val="60"/>
                <pt idx="0">
                  <v>4129.411764705882</v>
                </pt>
                <pt idx="1">
                  <v>4894.117647058823</v>
                </pt>
                <pt idx="2">
                  <v>4894.117647058823</v>
                </pt>
                <pt idx="3">
                  <v>4817.647058823529</v>
                </pt>
                <pt idx="4">
                  <v>5008.823529411764</v>
                </pt>
                <pt idx="5">
                  <v>5200</v>
                </pt>
                <pt idx="6">
                  <v>5161.764705882353</v>
                </pt>
                <pt idx="7">
                  <v>4817.647058823529</v>
                </pt>
                <pt idx="8">
                  <v>4282.35294117647</v>
                </pt>
                <pt idx="9">
                  <v>1644.117647058823</v>
                </pt>
                <pt idx="10">
                  <v>726.4705882352943</v>
                </pt>
                <pt idx="11">
                  <v>305.8823529411765</v>
                </pt>
                <pt idx="12">
                  <v>4542.352941176471</v>
                </pt>
                <pt idx="13">
                  <v>5383.529411764706</v>
                </pt>
                <pt idx="14">
                  <v>5383.529411764706</v>
                </pt>
                <pt idx="15">
                  <v>5299.411764705883</v>
                </pt>
                <pt idx="16">
                  <v>5509.705882352941</v>
                </pt>
                <pt idx="17">
                  <v>5720.000000000001</v>
                </pt>
                <pt idx="18">
                  <v>5677.941176470589</v>
                </pt>
                <pt idx="19">
                  <v>5299.411764705883</v>
                </pt>
                <pt idx="20">
                  <v>4710.588235294118</v>
                </pt>
                <pt idx="21">
                  <v>1808.529411764706</v>
                </pt>
                <pt idx="22">
                  <v>799.1176470588239</v>
                </pt>
                <pt idx="23">
                  <v>336.4705882352942</v>
                </pt>
                <pt idx="24">
                  <v>4996.588235294118</v>
                </pt>
                <pt idx="25">
                  <v>5921.882352941177</v>
                </pt>
                <pt idx="26">
                  <v>5921.882352941177</v>
                </pt>
                <pt idx="27">
                  <v>5829.352941176471</v>
                </pt>
                <pt idx="28">
                  <v>6060.676470588236</v>
                </pt>
                <pt idx="29">
                  <v>6292.000000000001</v>
                </pt>
                <pt idx="30">
                  <v>6245.735294117648</v>
                </pt>
                <pt idx="31">
                  <v>5829.352941176471</v>
                </pt>
                <pt idx="32">
                  <v>5181.64705882353</v>
                </pt>
                <pt idx="33">
                  <v>1989.382352941177</v>
                </pt>
                <pt idx="34">
                  <v>879.0294117647062</v>
                </pt>
                <pt idx="35">
                  <v>370.1176470588236</v>
                </pt>
                <pt idx="36">
                  <v>5496.247058823531</v>
                </pt>
                <pt idx="37">
                  <v>6514.070588235297</v>
                </pt>
                <pt idx="38">
                  <v>6514.070588235297</v>
                </pt>
                <pt idx="39">
                  <v>6412.28823529412</v>
                </pt>
                <pt idx="40">
                  <v>6666.74411764706</v>
                </pt>
                <pt idx="41">
                  <v>6921.200000000003</v>
                </pt>
                <pt idx="42">
                  <v>6870.308823529414</v>
                </pt>
                <pt idx="43">
                  <v>6412.28823529412</v>
                </pt>
                <pt idx="44">
                  <v>5699.811764705884</v>
                </pt>
                <pt idx="45">
                  <v>2188.320588235295</v>
                </pt>
                <pt idx="46">
                  <v>966.932352941177</v>
                </pt>
                <pt idx="47">
                  <v>407.129411764706</v>
                </pt>
                <pt idx="48">
                  <v>6045.871764705884</v>
                </pt>
                <pt idx="49">
                  <v>7165.477647058826</v>
                </pt>
                <pt idx="50">
                  <v>7165.477647058826</v>
                </pt>
                <pt idx="51">
                  <v>7053.517058823531</v>
                </pt>
                <pt idx="52">
                  <v>7333.418529411766</v>
                </pt>
                <pt idx="53">
                  <v>7613.320000000002</v>
                </pt>
                <pt idx="54">
                  <v>7557.339705882356</v>
                </pt>
                <pt idx="55">
                  <v>7053.517058823531</v>
                </pt>
                <pt idx="56">
                  <v>6269.792941176473</v>
                </pt>
                <pt idx="57">
                  <v>2407.152647058824</v>
                </pt>
                <pt idx="58">
                  <v>1063.625588235295</v>
                </pt>
                <pt idx="59">
                  <v>447.8423529411767</v>
                </pt>
              </numCache>
            </numRef>
          </val>
        </ser>
        <ser>
          <idx val="1"/>
          <order val="1"/>
          <tx>
            <v>Новые школы</v>
          </tx>
          <spPr>
            <a:ln w="24000">
              <a:solidFill>
                <a:srgbClr val="D45B63"/>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'00_Дашборд'!$E$104:$E$163</f>
              <numCache>
                <formatCode>General</formatCode>
                <ptCount val="60"/>
                <pt idx="0">
                  <v>0</v>
                </pt>
                <pt idx="1">
                  <v>0</v>
                </pt>
                <pt idx="2">
                  <v>0</v>
                </pt>
                <pt idx="3">
                  <v>41.97335455523672</v>
                </pt>
                <pt idx="4">
                  <v>101.8242490136298</v>
                </pt>
                <pt idx="5">
                  <v>176.1844512195122</v>
                </pt>
                <pt idx="6">
                  <v>284.8191916248207</v>
                </pt>
                <pt idx="7">
                  <v>429.0609576757532</v>
                </pt>
                <pt idx="8">
                  <v>547.2081779053085</v>
                </pt>
                <pt idx="9">
                  <v>283.3016364777619</v>
                </pt>
                <pt idx="10">
                  <v>163.1556850789097</v>
                </pt>
                <pt idx="11">
                  <v>86.16752152080346</v>
                </pt>
                <pt idx="12">
                  <v>1435.088979555237</v>
                </pt>
                <pt idx="13">
                  <v>2089.340315638451</v>
                </pt>
                <pt idx="14">
                  <v>2554.120550932569</v>
                </pt>
                <pt idx="15">
                  <v>3017.680594960545</v>
                </pt>
                <pt idx="16">
                  <v>3676.801415665352</v>
                </pt>
                <pt idx="17">
                  <v>4388.11718902439</v>
                </pt>
                <pt idx="18">
                  <v>4966.395113656744</v>
                </pt>
                <pt idx="19">
                  <v>5271.515113880918</v>
                </pt>
                <pt idx="20">
                  <v>5274.00530989957</v>
                </pt>
                <pt idx="21">
                  <v>2261.127785688665</v>
                </pt>
                <pt idx="22">
                  <v>1109.667721574606</v>
                </pt>
                <pt idx="23">
                  <v>515.4029078192253</v>
                </pt>
                <pt idx="24">
                  <v>7647.679396162123</v>
                </pt>
                <pt idx="25">
                  <v>9953.998674318507</v>
                </pt>
                <pt idx="26">
                  <v>10935.63961549498</v>
                </pt>
                <pt idx="27">
                  <v>11725.76062607604</v>
                </pt>
                <pt idx="28">
                  <v>13188.35242844333</v>
                </pt>
                <pt idx="29">
                  <v>14725.79853658537</v>
                </pt>
                <pt idx="30">
                  <v>15638.93155039455</v>
                </pt>
                <pt idx="31">
                  <v>15541.97949668221</v>
                </pt>
                <pt idx="32">
                  <v>14653.04136370158</v>
                </pt>
                <pt idx="33">
                  <v>5946.224953595767</v>
                </pt>
                <pt idx="34">
                  <v>2768.307573932927</v>
                </pt>
                <pt idx="35">
                  <v>1224.744581061693</v>
                </pt>
                <pt idx="36">
                  <v>17327.90713235294</v>
                </pt>
                <pt idx="37">
                  <v>21469.24941176471</v>
                </pt>
                <pt idx="38">
                  <v>22389.00564705882</v>
                </pt>
                <pt idx="39">
                  <v>22938.30463235294</v>
                </pt>
                <pt idx="40">
                  <v>24781.19294117647</v>
                </pt>
                <pt idx="41">
                  <v>26693.774</v>
                </pt>
                <pt idx="42">
                  <v>27451.16205882353</v>
                </pt>
                <pt idx="43">
                  <v>26502.13356617647</v>
                </pt>
                <pt idx="44">
                  <v>24337.5164117647</v>
                </pt>
                <pt idx="45">
                  <v>9641.933158088235</v>
                </pt>
                <pt idx="46">
                  <v>4391.253525735295</v>
                </pt>
                <pt idx="47">
                  <v>1903.828941176471</v>
                </pt>
                <pt idx="48">
                  <v>26437.20802941176</v>
                </pt>
                <pt idx="49">
                  <v>32194.8225882353</v>
                </pt>
                <pt idx="50">
                  <v>33030.80282352941</v>
                </pt>
                <pt idx="51">
                  <v>33324.8890367647</v>
                </pt>
                <pt idx="52">
                  <v>35485.2380992647</v>
                </pt>
                <pt idx="53">
                  <v>37706.49916666667</v>
                </pt>
                <pt idx="54">
                  <v>38277.61461397059</v>
                </pt>
                <pt idx="55">
                  <v>36499.20348529411</v>
                </pt>
                <pt idx="56">
                  <v>33124.9454117647</v>
                </pt>
                <pt idx="57">
                  <v>12976.25333333333</v>
                </pt>
                <pt idx="58">
                  <v>5846.270568627451</v>
                </pt>
                <pt idx="59">
                  <v>2508.539676470588</v>
                </pt>
              </numCache>
            </numRef>
          </val>
        </ser>
        <ser>
          <idx val="2"/>
          <order val="2"/>
          <tx>
            <v>Всего детей</v>
          </tx>
          <spPr>
            <a:ln w="24000">
              <a:solidFill>
                <a:srgbClr val="777777"/>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'00_Дашборд'!$F$104:$F$163</f>
              <numCache>
                <formatCode>General</formatCode>
                <ptCount val="60"/>
                <pt idx="0">
                  <v>4129.411764705882</v>
                </pt>
                <pt idx="1">
                  <v>4894.117647058823</v>
                </pt>
                <pt idx="2">
                  <v>4894.117647058823</v>
                </pt>
                <pt idx="3">
                  <v>4859.620413378766</v>
                </pt>
                <pt idx="4">
                  <v>5110.647778425394</v>
                </pt>
                <pt idx="5">
                  <v>5376.184451219512</v>
                </pt>
                <pt idx="6">
                  <v>5446.583897507174</v>
                </pt>
                <pt idx="7">
                  <v>5246.708016499282</v>
                </pt>
                <pt idx="8">
                  <v>4829.561119081779</v>
                </pt>
                <pt idx="9">
                  <v>1927.419283536585</v>
                </pt>
                <pt idx="10">
                  <v>889.6262733142039</v>
                </pt>
                <pt idx="11">
                  <v>392.04987446198</v>
                </pt>
                <pt idx="12">
                  <v>5977.441920731708</v>
                </pt>
                <pt idx="13">
                  <v>7472.869727403157</v>
                </pt>
                <pt idx="14">
                  <v>7937.649962697275</v>
                </pt>
                <pt idx="15">
                  <v>8317.092359666429</v>
                </pt>
                <pt idx="16">
                  <v>9186.507298018292</v>
                </pt>
                <pt idx="17">
                  <v>10108.11718902439</v>
                </pt>
                <pt idx="18">
                  <v>10644.33629012733</v>
                </pt>
                <pt idx="19">
                  <v>10570.9268785868</v>
                </pt>
                <pt idx="20">
                  <v>9984.593545193688</v>
                </pt>
                <pt idx="21">
                  <v>4069.657197453372</v>
                </pt>
                <pt idx="22">
                  <v>1908.78536863343</v>
                </pt>
                <pt idx="23">
                  <v>851.8734960545196</v>
                </pt>
                <pt idx="24">
                  <v>12644.26763145624</v>
                </pt>
                <pt idx="25">
                  <v>15875.88102725969</v>
                </pt>
                <pt idx="26">
                  <v>16857.52196843615</v>
                </pt>
                <pt idx="27">
                  <v>17555.11356725251</v>
                </pt>
                <pt idx="28">
                  <v>19249.02889903156</v>
                </pt>
                <pt idx="29">
                  <v>21017.79853658537</v>
                </pt>
                <pt idx="30">
                  <v>21884.6668445122</v>
                </pt>
                <pt idx="31">
                  <v>21371.33243785868</v>
                </pt>
                <pt idx="32">
                  <v>19834.68842252511</v>
                </pt>
                <pt idx="33">
                  <v>7935.607306536944</v>
                </pt>
                <pt idx="34">
                  <v>3647.336985697634</v>
                </pt>
                <pt idx="35">
                  <v>1594.862228120517</v>
                </pt>
                <pt idx="36">
                  <v>22824.15419117647</v>
                </pt>
                <pt idx="37">
                  <v>27983.32</v>
                </pt>
                <pt idx="38">
                  <v>28903.07623529412</v>
                </pt>
                <pt idx="39">
                  <v>29350.59286764706</v>
                </pt>
                <pt idx="40">
                  <v>31447.93705882353</v>
                </pt>
                <pt idx="41">
                  <v>33614.974</v>
                </pt>
                <pt idx="42">
                  <v>34321.47088235294</v>
                </pt>
                <pt idx="43">
                  <v>32914.42180147058</v>
                </pt>
                <pt idx="44">
                  <v>30037.32817647059</v>
                </pt>
                <pt idx="45">
                  <v>11830.25374632353</v>
                </pt>
                <pt idx="46">
                  <v>5358.185878676471</v>
                </pt>
                <pt idx="47">
                  <v>2310.958352941177</v>
                </pt>
                <pt idx="48">
                  <v>32483.07979411764</v>
                </pt>
                <pt idx="49">
                  <v>39360.30023529413</v>
                </pt>
                <pt idx="50">
                  <v>40196.28047058824</v>
                </pt>
                <pt idx="51">
                  <v>40378.40609558824</v>
                </pt>
                <pt idx="52">
                  <v>42818.65662867646</v>
                </pt>
                <pt idx="53">
                  <v>45319.81916666667</v>
                </pt>
                <pt idx="54">
                  <v>45834.95431985294</v>
                </pt>
                <pt idx="55">
                  <v>43552.72054411764</v>
                </pt>
                <pt idx="56">
                  <v>39394.73835294117</v>
                </pt>
                <pt idx="57">
                  <v>15383.40598039216</v>
                </pt>
                <pt idx="58">
                  <v>6909.896156862746</v>
                </pt>
                <pt idx="59">
                  <v>2956.382029411765</v>
                </pt>
              </numCache>
            </numRef>
          </val>
        </ser>
        <axId val="10"/>
        <axId val="100"/>
      </lineChart>
      <catAx>
        <axId val="10"/>
        <scaling>
          <orientation val="minMax"/>
        </scaling>
        <axPos val="l"/>
        <title>
          <tx>
            <rich>
              <a:bodyPr/>
              <a:p>
                <a:pPr>
                  <a:defRPr/>
                </a:pPr>
                <a:r>
                  <a:t>Сентябрь 2026 — август 2031</a:t>
                </a:r>
              </a:p>
            </rich>
          </tx>
        </title>
        <majorTickMark val="none"/>
        <minorTickMark val="none"/>
        <crossAx val="100"/>
        <lblOffset val="100"/>
        <tickLblSkip val="6"/>
        <tickMarkSkip val="6"/>
      </catAx>
      <valAx>
        <axId val="100"/>
        <scaling>
          <orientation val="minMax"/>
        </scaling>
        <axPos val="l"/>
        <majorGridlines/>
        <title>
          <tx>
            <rich>
              <a:bodyPr/>
              <a:p>
                <a:pPr>
                  <a:defRPr/>
                </a:pPr>
                <a:r>
                  <a:t>чел.</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Продажи франшиз и открытия — по месяцам</a:t>
            </a:r>
          </a:p>
        </rich>
      </tx>
    </title>
    <plotArea>
      <lineChart>
        <grouping val="standard"/>
        <ser>
          <idx val="0"/>
          <order val="0"/>
          <tx>
            <strRef>
              <f>'00_Дашборд'!I103</f>
            </strRef>
          </tx>
          <spPr>
            <a:ln>
              <a:prstDash val="solid"/>
            </a:ln>
          </spPr>
          <marker>
            <symbol val="none"/>
            <spPr>
              <a:ln>
                <a:prstDash val="solid"/>
              </a:ln>
            </spPr>
          </marker>
          <cat>
            <numRef>
              <f>'00_Дашборд'!$H$104:$H$163</f>
            </numRef>
          </cat>
          <val>
            <numRef>
              <f>'00_Дашборд'!$I$104:$I$163</f>
            </numRef>
          </val>
        </ser>
        <ser>
          <idx val="1"/>
          <order val="1"/>
          <tx>
            <strRef>
              <f>'00_Дашборд'!J103</f>
            </strRef>
          </tx>
          <spPr>
            <a:ln>
              <a:prstDash val="solid"/>
            </a:ln>
          </spPr>
          <marker>
            <symbol val="none"/>
            <spPr>
              <a:ln>
                <a:prstDash val="solid"/>
              </a:ln>
            </spPr>
          </marker>
          <cat>
            <numRef>
              <f>'00_Дашборд'!$H$104:$H$163</f>
            </numRef>
          </cat>
          <val>
            <numRef>
              <f>'00_Дашборд'!$J$104:$J$163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шт.</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EBITDA — по месяцам</a:t>
            </a:r>
          </a:p>
        </rich>
      </tx>
    </title>
    <plotArea>
      <lineChart>
        <grouping val="standard"/>
        <ser>
          <idx val="0"/>
          <order val="0"/>
          <tx>
            <strRef>
              <f>'00_Дашборд'!K103</f>
            </strRef>
          </tx>
          <spPr>
            <a:ln>
              <a:prstDash val="solid"/>
            </a:ln>
          </spPr>
          <marker>
            <symbol val="none"/>
            <spPr>
              <a:ln>
                <a:prstDash val="solid"/>
              </a:ln>
            </spPr>
          </marker>
          <cat>
            <numRef>
              <f>'00_Дашборд'!$H$104:$H$163</f>
            </numRef>
          </cat>
          <val>
            <numRef>
              <f>'00_Дашборд'!$K$104:$K$163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Деньги, остаток займа и выплаты ФК — по месяцам</a:t>
            </a:r>
          </a:p>
        </rich>
      </tx>
    </title>
    <plotArea>
      <lineChart>
        <grouping val="standard"/>
        <ser>
          <idx val="0"/>
          <order val="0"/>
          <tx>
            <strRef>
              <f>'00_Дашборд'!L103</f>
            </strRef>
          </tx>
          <spPr>
            <a:ln>
              <a:prstDash val="solid"/>
            </a:ln>
          </spPr>
          <marker>
            <symbol val="none"/>
            <spPr>
              <a:ln>
                <a:prstDash val="solid"/>
              </a:ln>
            </spPr>
          </marker>
          <cat>
            <numRef>
              <f>'00_Дашборд'!$H$104:$H$163</f>
            </numRef>
          </cat>
          <val>
            <numRef>
              <f>'00_Дашборд'!$L$104:$L$163</f>
            </numRef>
          </val>
        </ser>
        <ser>
          <idx val="1"/>
          <order val="1"/>
          <tx>
            <strRef>
              <f>'00_Дашборд'!M103</f>
            </strRef>
          </tx>
          <spPr>
            <a:ln>
              <a:prstDash val="solid"/>
            </a:ln>
          </spPr>
          <marker>
            <symbol val="none"/>
            <spPr>
              <a:ln>
                <a:prstDash val="solid"/>
              </a:ln>
            </spPr>
          </marker>
          <cat>
            <numRef>
              <f>'00_Дашборд'!$H$104:$H$163</f>
            </numRef>
          </cat>
          <val>
            <numRef>
              <f>'00_Дашборд'!$M$104:$M$163</f>
            </numRef>
          </val>
        </ser>
        <ser>
          <idx val="2"/>
          <order val="2"/>
          <tx>
            <strRef>
              <f>'00_Дашборд'!N103</f>
            </strRef>
          </tx>
          <spPr>
            <a:ln>
              <a:prstDash val="solid"/>
            </a:ln>
          </spPr>
          <marker>
            <symbol val="none"/>
            <spPr>
              <a:ln>
                <a:prstDash val="solid"/>
              </a:ln>
            </spPr>
          </marker>
          <cat>
            <numRef>
              <f>'00_Дашборд'!$H$104:$H$163</f>
            </numRef>
          </cat>
          <val>
            <numRef>
              <f>'00_Дашборд'!$N$104:$N$163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Финмодель</author>
    <author>OpenAI</author>
    <author>Модель</author>
    <author>Ревизия модели</author>
    <author>Source / assumptions</author>
    <author>Source</author>
  </authors>
  <commentList>
    <comment ref="B7" authorId="0" shapeId="0">
      <text>
        <t>Дата старта модели
Дата старта модели. Отсюда строится весь календарь: имя СтартМодели в формулах — это ссылка на эту ячейку.
Месяц любой, число только первое. Сезон модели — 12 месяцев от старта; сезонность посещаемости, веса плана продаж и согласованный мерч 2026 привязаны к календарю и от месяца старта не зависят.</t>
      </text>
    </comment>
    <comment ref="B8" authorId="0" shapeId="0">
      <text>
        <t>Горизонт прогноза
Горизонт 60 месяцев. Ширина всех листов свёрстана под него, менять нельзя.</t>
      </text>
    </comment>
    <comment ref="B9" authorId="1" shapeId="0">
      <text>
        <t>Фактическая база на 09.09.2026: 51 действующий партнёр, 104 действующие школы. Рост числа школ относительно прежнего реестра связан с уточнением учёта филиалов, а не с новыми открытиями.</t>
      </text>
    </comment>
    <comment ref="B10" authorId="1" shapeId="0">
      <text>
        <t>Фактическая база на 09.09.2026: 51 действующий партнёр. Один партнёр может владеть несколькими школами.</t>
      </text>
    </comment>
    <comment ref="B13" authorId="0" shapeId="0">
      <text>
        <t>Закрытие школ / юрлиц
Закрытие школ и юрлиц, % в год. Месячный коэффициент сохранения B14 считается из него сам.</t>
      </text>
    </comment>
    <comment ref="B14" authorId="2" shapeId="0">
      <text>
        <t>РАСЧЁТ, НЕ ВВОДИТЬ.
Эта ячейка считается формулой. Если вписать сюда число, связь со сценариями и тарифным миксом пропадёт.</t>
      </text>
    </comment>
    <comment ref="B16" authorId="1" shapeId="0">
      <text>
        <t>Завтра уточнить: одна продажа франшизы = одно новое юрлицо? Пока коэффициент 1,0.</t>
      </text>
    </comment>
    <comment ref="B17" authorId="1" shapeId="0">
      <text>
        <t>Источник: «Анализ движений денежных средств по периодам за 01.01.2026 - 02.07.2026». Остаток на 02.07.2026 = 187 878 ₽.</t>
      </text>
    </comment>
    <comment ref="B18" authorId="2" shapeId="0">
      <text>
        <t>РАСЧЁТ, НЕ ВВОДИТЬ — «Дебиторка».
Менять базу здесь: 01_Вводные!B225.
Множитель активного сценария: F203 (строка сценариев 197–203).
Жёлтая ячейка = ввод. Серая курсивная = формула.</t>
      </text>
    </comment>
    <comment ref="B20" authorId="2" shapeId="0">
      <text>
        <t>РАСЧЁТ, НЕ ВВОДИТЬ.
Эта ячейка считается формулой. Если вписать сюда число, связь со сценариями и тарифным миксом пропадёт.</t>
      </text>
    </comment>
    <comment ref="B21" authorId="2" shapeId="0">
      <text>
        <t>РАСЧЁТ, НЕ ВВОДИТЬ.
Эта ячейка считается формулой. Если вписать сюда число, связь со сценариями и тарифным миксом пропадёт.</t>
      </text>
    </comment>
    <comment ref="B22" authorId="0" shapeId="0">
      <text>
        <t>Новых школ на 1 продажу / нового партнёра
Сколько школ открывает новый партнёр. Не путать с B16 — сколько юрлиц даёт одна продажа.</t>
      </text>
    </comment>
    <comment ref="B26" authorId="2" shapeId="0">
      <text>
        <t>РАСЧЁТ, НЕ ВВОДИТЬ — «Таргет на будущую продажу».
Менять базу здесь: 01_Вводные!B224.
Множитель активного сценария: F202 (строка сценариев 197–203).
Жёлтая ячейка = ввод. Серая курсивная = формула.</t>
      </text>
    </comment>
    <comment ref="B36" authorId="2" shapeId="0">
      <text>
        <t>РАСЧЁТ, НЕ ВВОДИТЬ — «План продаж, сезон 1».
Менять базу здесь: 01_Вводные!B210.
Множитель активного сценария: F198 (строка сценариев 197–203).
Жёлтая ячейка = ввод. Серая курсивная = формула.</t>
      </text>
    </comment>
    <comment ref="O36" authorId="2" shapeId="0">
      <text>
        <t>РАСЧЁТ, НЕ ВВОДИТЬ.
Эта ячейка считается формулой. Если вписать сюда число, связь со сценариями и тарифным миксом пропадёт.</t>
      </text>
    </comment>
    <comment ref="B37" authorId="2" shapeId="0">
      <text>
        <t>РАСЧЁТ, НЕ ВВОДИТЬ — «План продаж, сезон 2».
Менять базу здесь: 01_Вводные!B211.
Множитель активного сценария: F198 (строка сценариев 197–203).
Жёлтая ячейка = ввод. Серая курсивная = формула.</t>
      </text>
    </comment>
    <comment ref="O37" authorId="2" shapeId="0">
      <text>
        <t>РАСЧЁТ, НЕ ВВОДИТЬ.
Эта ячейка считается формулой. Если вписать сюда число, связь со сценариями и тарифным миксом пропадёт.</t>
      </text>
    </comment>
    <comment ref="B38" authorId="2" shapeId="0">
      <text>
        <t>РАСЧЁТ, НЕ ВВОДИТЬ — «План продаж, сезон 3».
Менять базу здесь: 01_Вводные!B212.
Множитель активного сценария: F198 (строка сценариев 197–203).
Жёлтая ячейка = ввод. Серая курсивная = формула.</t>
      </text>
    </comment>
    <comment ref="O38" authorId="2" shapeId="0">
      <text>
        <t>РАСЧЁТ, НЕ ВВОДИТЬ.
Эта ячейка считается формулой. Если вписать сюда число, связь со сценариями и тарифным миксом пропадёт.</t>
      </text>
    </comment>
    <comment ref="B39" authorId="2" shapeId="0">
      <text>
        <t>РАСЧЁТ, НЕ ВВОДИТЬ — «План продаж, сезон 4».
Менять базу здесь: 01_Вводные!B213.
Множитель активного сценария: F198 (строка сценариев 197–203).
Жёлтая ячейка = ввод. Серая курсивная = формула.</t>
      </text>
    </comment>
    <comment ref="O39" authorId="2" shapeId="0">
      <text>
        <t>РАСЧЁТ, НЕ ВВОДИТЬ.
Эта ячейка считается формулой. Если вписать сюда число, связь со сценариями и тарифным миксом пропадёт.</t>
      </text>
    </comment>
    <comment ref="B40" authorId="2" shapeId="0">
      <text>
        <t>РАСЧЁТ, НЕ ВВОДИТЬ — «План продаж, сезон 5».
Менять базу здесь: 01_Вводные!B214.
Множитель активного сценария: F198 (строка сценариев 197–203).
Жёлтая ячейка = ввод. Серая курсивная = формула.</t>
      </text>
    </comment>
    <comment ref="O40" authorId="2" shapeId="0">
      <text>
        <t>РАСЧЁТ, НЕ ВВОДИТЬ.
Эта ячейка считается формулой. Если вписать сюда число, связь со сценариями и тарифным миксом пропадёт.</t>
      </text>
    </comment>
    <comment ref="B46" authorId="2" shapeId="0">
      <text>
        <t>РАСЧЁТ, НЕ ВВОДИТЬ — «Дети к концу 12-го месяца».
Менять базу здесь: 01_Вводные!B215.
Множитель активного сценария: F199 (строка сценариев 197–203).
Жёлтая ячейка = ввод. Серая курсивная = формула.</t>
      </text>
    </comment>
    <comment ref="B47" authorId="2" shapeId="0">
      <text>
        <t>РАСЧЁТ, НЕ ВВОДИТЬ — «Дети к концу 24-го месяца».
Менять базу здесь: 01_Вводные!B216.
Множитель активного сценария: F199 (строка сценариев 197–203).
Жёлтая ячейка = ввод. Серая курсивная = формула.</t>
      </text>
    </comment>
    <comment ref="B51" authorId="2" shapeId="0">
      <text>
        <t>РАСЧЁТ, НЕ ВВОДИТЬ — «Абонемент действующей сети».
Менять базу здесь: 01_Вводные!B217.
Множитель активного сценария: F200 (строка сценариев 197–203).
Жёлтая ячейка = ввод. Серая курсивная = формула.</t>
      </text>
    </comment>
    <comment ref="B53" authorId="2" shapeId="0">
      <text>
        <t>РАСЧЁТ, НЕ ВВОДИТЬ — «Мин. роялти новой школы, 1-й год».
Менять базу здесь: 01_Вводные!I263:I282.
Значение — взвешенное среднее по тарифным группам (блок 13, строки 263–282): вес × показатель.
Жёлтая ячейка = ввод. Серая курсивная = формула.</t>
      </text>
    </comment>
    <comment ref="B54" authorId="2" shapeId="0">
      <text>
        <t>РАСЧЁТ, НЕ ВВОДИТЬ — «Мин. роялти новой школы, 2-й год+».
Менять базу здесь: 01_Вводные!J263:J282.
Значение — взвешенное среднее по тарифным группам (блок 13, строки 263–282): вес × показатель.
Жёлтая ячейка = ввод. Серая курсивная = формула.</t>
      </text>
    </comment>
    <comment ref="B63" authorId="2" shapeId="0">
      <text>
        <t>РАСЧЁТ, НЕ ВВОДИТЬ — «Средний паушальный, сезон 1».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3" authorId="2" shapeId="0">
      <text>
        <t>РАСЧЁТ, НЕ ВВОДИТЬ.
База для правки: 01_Вводные!B218.
Множитель активного сценария: F200.
Менять можно только жёлтые ячейки этого листа.</t>
      </text>
    </comment>
    <comment ref="B64" authorId="2" shapeId="0">
      <text>
        <t>РАСЧЁТ, НЕ ВВОДИТЬ — «Средний паушальный, сезон 2».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4" authorId="2" shapeId="0">
      <text>
        <t>РАСЧЁТ, НЕ ВВОДИТЬ.
База для правки: 01_Вводные!B219.
Множитель активного сценария: F200.
Менять можно только жёлтые ячейки этого листа.</t>
      </text>
    </comment>
    <comment ref="B65" authorId="2" shapeId="0">
      <text>
        <t>РАСЧЁТ, НЕ ВВОДИТЬ — «Средний паушальный, сезон 3».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5" authorId="2" shapeId="0">
      <text>
        <t>РАСЧЁТ, НЕ ВВОДИТЬ.
База для правки: 01_Вводные!B220.
Множитель активного сценария: F200.
Менять можно только жёлтые ячейки этого листа.</t>
      </text>
    </comment>
    <comment ref="B66" authorId="2" shapeId="0">
      <text>
        <t>РАСЧЁТ, НЕ ВВОДИТЬ — «Средний паушальный, сезон 4».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6" authorId="2" shapeId="0">
      <text>
        <t>РАСЧЁТ, НЕ ВВОДИТЬ.
База для правки: 01_Вводные!B221.
Множитель активного сценария: F200.
Менять можно только жёлтые ячейки этого листа.</t>
      </text>
    </comment>
    <comment ref="B67" authorId="2" shapeId="0">
      <text>
        <t>РАСЧЁТ, НЕ ВВОДИТЬ — «Средний паушальный, сезон 5».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7" authorId="2" shapeId="0">
      <text>
        <t>РАСЧЁТ, НЕ ВВОДИТЬ.
База для правки: 01_Вводные!B222.
Множитель активного сценария: F200.
Менять можно только жёлтые ячейки этого листа.</t>
      </text>
    </comment>
    <comment ref="B73" authorId="2" shapeId="0">
      <text>
        <t>РАСЧЁТ, НЕ ВВОДИТЬ.
Эта ячейка считается формулой. Если вписать сюда число, связь со сценариями и тарифным миксом пропадёт.</t>
      </text>
    </comment>
    <comment ref="B74" authorId="2" shapeId="0">
      <text>
        <t>РАСЧЁТ, НЕ ВВОДИТЬ — «Коэффициент мерча».
Менять базу здесь: 01_Вводные!B223.
Множитель активного сценария: F201 (строка сценариев 197–203).
Жёлтая ячейка = ввод. Серая курсивная = формула.</t>
      </text>
    </comment>
    <comment ref="B90" authorId="2" shapeId="0">
      <text>
        <t>РАСЧЁТ, НЕ ВВОДИТЬ.
Эта ячейка считается формулой. Если вписать сюда число, связь со сценариями и тарифным миксом пропадёт.</t>
      </text>
    </comment>
    <comment ref="B95" authorId="2" shapeId="0">
      <text>
        <t>РАСЧЁТ, НЕ ВВОДИТЬ.
Эта ячейка считается формулой. Если вписать сюда число, связь со сценариями и тарифным миксом пропадёт.</t>
      </text>
    </comment>
    <comment ref="B99" authorId="1" shapeId="0">
      <text>
        <t>Источник: «Экипировка Спартак.xlsx», лист «Прогнозы».</t>
      </text>
    </comment>
    <comment ref="C99" authorId="1" shapeId="0">
      <text>
        <t>Источник: «Экипировка Спартак.xlsx», лист «Прогнозы».</t>
      </text>
    </comment>
    <comment ref="D99" authorId="1" shapeId="0">
      <text>
        <t>Источник: «Экипировка Спартак.xlsx», лист «Прогнозы».</t>
      </text>
    </comment>
    <comment ref="E99" authorId="1" shapeId="0">
      <text>
        <t>Источник: «Экипировка Спартак.xlsx», лист «Прогнозы».</t>
      </text>
    </comment>
    <comment ref="B100" authorId="1" shapeId="0">
      <text>
        <t>Источник: «Экипировка Спартак.xlsx», лист «Прогнозы».</t>
      </text>
    </comment>
    <comment ref="C100" authorId="1" shapeId="0">
      <text>
        <t>Источник: «Экипировка Спартак.xlsx», лист «Прогнозы».</t>
      </text>
    </comment>
    <comment ref="D100" authorId="1" shapeId="0">
      <text>
        <t>Источник: «Экипировка Спартак.xlsx», лист «Прогнозы».</t>
      </text>
    </comment>
    <comment ref="E100" authorId="1" shapeId="0">
      <text>
        <t>Источник: «Экипировка Спартак.xlsx», лист «Прогнозы».</t>
      </text>
    </comment>
    <comment ref="B101" authorId="1" shapeId="0">
      <text>
        <t>Источник: «Экипировка Спартак.xlsx», лист «Прогнозы».</t>
      </text>
    </comment>
    <comment ref="C101" authorId="1" shapeId="0">
      <text>
        <t>Источник: «Экипировка Спартак.xlsx», лист «Прогнозы».</t>
      </text>
    </comment>
    <comment ref="D101" authorId="1" shapeId="0">
      <text>
        <t>Источник: «Экипировка Спартак.xlsx», лист «Прогнозы».</t>
      </text>
    </comment>
    <comment ref="E101" authorId="1" shapeId="0">
      <text>
        <t>Источник: «Экипировка Спартак.xlsx», лист «Прогнозы».</t>
      </text>
    </comment>
    <comment ref="B106" authorId="1" shapeId="0">
      <text>
        <t>Обновлено вместе со стартовым количеством действующих школ: 104.</t>
      </text>
    </comment>
    <comment ref="B129" authorId="1" shapeId="0">
      <text>
        <t>Пока считаем временного продавца как ИП: 80 тыс. + 5% без payroll-налогов. Статус и налоговую механику уточнить.</t>
      </text>
    </comment>
    <comment ref="B151" authorId="2" shapeId="0">
      <text>
        <t>РАСЧЁТ, НЕ ВВОДИТЬ.
Эта ячейка считается формулой. Если вписать сюда число, связь со сценариями и тарифным миксом пропадёт.</t>
      </text>
    </comment>
    <comment ref="B152" authorId="2" shapeId="0">
      <text>
        <t>РАСЧЁТ, НЕ ВВОДИТЬ.
Эта ячейка считается формулой. Если вписать сюда число, связь со сценариями и тарифным миксом пропадёт.</t>
      </text>
    </comment>
    <comment ref="B166" authorId="3" shapeId="0">
      <text>
        <t>Выручка смены = участники × соответствующие цены, вместо неработающих ценовых вводных.</t>
      </text>
    </comment>
    <comment ref="B167" authorId="1" shapeId="0">
      <text>
        <t>Источник: «Лагеря Спартак Будущее .xlsx», лист «Сокольники ».</t>
      </text>
    </comment>
    <comment ref="B168" authorId="2" shapeId="0">
      <text>
        <t>ФОРМУЛА ПО УМОЛЧАНИЮ.
По умолчанию = ставка из блока ревизии (B240). Можно вписать свою.</t>
      </text>
    </comment>
    <comment ref="B169" authorId="1" shapeId="0">
      <text>
        <t>Источник: «Лагеря Спартак Будущее .xlsx», лист «Сокольники ».</t>
      </text>
    </comment>
    <comment ref="B170" authorId="1" shapeId="0">
      <text>
        <t>Источник: «Лагеря Спартак Будущее .xlsx», лист «Сокольники ».</t>
      </text>
    </comment>
    <comment ref="L181" authorId="1" shapeId="0">
      <text>
        <t>Источник: Отчет о финансовых результатах, июль 2026 (файл пользователя / предоставленный скриншот).</t>
      </text>
    </comment>
    <comment ref="N181" authorId="2" shapeId="0">
      <text>
        <t>РАСЧЁТ, НЕ ВВОДИТЬ.
Эта ячейка считается формулой. Если вписать сюда число, связь со сценариями и тарифным миксом пропадёт.</t>
      </text>
    </comment>
    <comment ref="L182" authorId="1" shapeId="0">
      <text>
        <t>Источник: Отчет о финансовых результатах, июль 2026 (файл пользователя / предоставленный скриншот).</t>
      </text>
    </comment>
    <comment ref="N182" authorId="2" shapeId="0">
      <text>
        <t>РАСЧЁТ, НЕ ВВОДИТЬ.
Эта ячейка считается формулой. Если вписать сюда число, связь со сценариями и тарифным миксом пропадёт.</t>
      </text>
    </comment>
    <comment ref="L183" authorId="1" shapeId="0">
      <text>
        <t>Источник: Отчет о финансовых результатах, июль 2026 (файл пользователя / предоставленный скриншот).</t>
      </text>
    </comment>
    <comment ref="N183" authorId="2" shapeId="0">
      <text>
        <t>РАСЧЁТ, НЕ ВВОДИТЬ.
Эта ячейка считается формулой. Если вписать сюда число, связь со сценариями и тарифным миксом пропадёт.</t>
      </text>
    </comment>
    <comment ref="L184" authorId="1" shapeId="0">
      <text>
        <t>Источник: Отчет о финансовых результатах, июль 2026 (файл пользователя / предоставленный скриншот).</t>
      </text>
    </comment>
    <comment ref="N184" authorId="2" shapeId="0">
      <text>
        <t>РАСЧЁТ, НЕ ВВОДИТЬ.
Эта ячейка считается формулой. Если вписать сюда число, связь со сценариями и тарифным миксом пропадёт.</t>
      </text>
    </comment>
    <comment ref="L185" authorId="1" shapeId="0">
      <text>
        <t>Источник: Отчет о финансовых результатах, июль 2026 (файл пользователя / предоставленный скриншот).</t>
      </text>
    </comment>
    <comment ref="N185" authorId="2" shapeId="0">
      <text>
        <t>РАСЧЁТ, НЕ ВВОДИТЬ.
Эта ячейка считается формулой. Если вписать сюда число, связь со сценариями и тарифным миксом пропадёт.</t>
      </text>
    </comment>
    <comment ref="L186" authorId="1" shapeId="0">
      <text>
        <t>Источник: Отчет о финансовых результатах, июль 2026 (файл пользователя / предоставленный скриншот).</t>
      </text>
    </comment>
    <comment ref="N186" authorId="2" shapeId="0">
      <text>
        <t>РАСЧЁТ, НЕ ВВОДИТЬ.
Эта ячейка считается формулой. Если вписать сюда число, связь со сценариями и тарифным миксом пропадёт.</t>
      </text>
    </comment>
    <comment ref="F187" authorId="1" shapeId="0">
      <text>
        <t>Источник: «Анализ движений денежных средств по периодам за 01.01.2026 - 02.07.2026».</t>
      </text>
    </comment>
    <comment ref="L187" authorId="1" shapeId="0">
      <text>
        <t>Источник: Анализ движений денежных средств за 01.01.2026–02.07.2026; июльский чистый денежный поток = 6 862 ₽.</t>
      </text>
    </comment>
    <comment ref="N187" authorId="2" shapeId="0">
      <text>
        <t>РАСЧЁТ, НЕ ВВОДИТЬ.
Эта ячейка считается формулой. Если вписать сюда число, связь со сценариями и тарифным миксом пропадёт.</t>
      </text>
    </comment>
    <comment ref="B192" authorId="2" shapeId="0">
      <text>
        <t>Три сценария сохранены по требованию ТЗ, добавлена чувствительность.
По умолчанию выбран «Базовый» — это неизменённая база V8.</t>
      </text>
    </comment>
    <comment ref="B194" authorId="2" shapeId="0">
      <text>
        <t>РАСЧЁТ, НЕ ВВОДИТЬ.
Эта ячейка считается формулой. Если вписать сюда число, связь со сценариями и тарифным миксом пропадёт.</t>
      </text>
    </comment>
    <comment ref="C198" authorId="4" shapeId="0">
      <text>
        <t>Предварительный стресс-тест, не утвержденный прогноз. Analyst-defined starting stress; edit after approval.</t>
      </text>
    </comment>
    <comment ref="E198" authorId="4" shapeId="0">
      <text>
        <t>Предварительный стресс-тест, не утвержденный прогноз. Analyst-defined starting stress; edit after approval.</t>
      </text>
    </comment>
    <comment ref="F198" authorId="2" shapeId="0">
      <text>
        <t>РАСЧЁТ, НЕ ВВОДИТЬ.
Эта ячейка считается формулой. Если вписать сюда число, связь со сценариями и тарифным миксом пропадёт.</t>
      </text>
    </comment>
    <comment ref="G198" authorId="2" shapeId="0">
      <text>
        <t>Шаг однофакторной чувствительности от неизменённой базы.
По умолчанию ±10%, значение можно менять.</t>
      </text>
    </comment>
    <comment ref="C199" authorId="4" shapeId="0">
      <text>
        <t>Предварительный стресс-тест, не утвержденный прогноз. Analyst-defined starting stress; edit after approval.</t>
      </text>
    </comment>
    <comment ref="E199" authorId="4" shapeId="0">
      <text>
        <t>Предварительный стресс-тест, не утвержденный прогноз. Analyst-defined starting stress; edit after approval.</t>
      </text>
    </comment>
    <comment ref="F199" authorId="2" shapeId="0">
      <text>
        <t>РАСЧЁТ, НЕ ВВОДИТЬ.
Эта ячейка считается формулой. Если вписать сюда число, связь со сценариями и тарифным миксом пропадёт.</t>
      </text>
    </comment>
    <comment ref="G199" authorId="2" shapeId="0">
      <text>
        <t>Шаг однофакторной чувствительности от неизменённой базы.
По умолчанию ±10%, значение можно менять.</t>
      </text>
    </comment>
    <comment ref="C200" authorId="4" shapeId="0">
      <text>
        <t>Предварительный стресс-тест, не утвержденный прогноз. Analyst-defined starting stress; edit after approval.</t>
      </text>
    </comment>
    <comment ref="E200" authorId="4" shapeId="0">
      <text>
        <t>Предварительный стресс-тест, не утвержденный прогноз. Analyst-defined starting stress; edit after approval.</t>
      </text>
    </comment>
    <comment ref="F200" authorId="2" shapeId="0">
      <text>
        <t>РАСЧЁТ, НЕ ВВОДИТЬ.
Эта ячейка считается формулой. Если вписать сюда число, связь со сценариями и тарифным миксом пропадёт.</t>
      </text>
    </comment>
    <comment ref="G200" authorId="2" shapeId="0">
      <text>
        <t>Шаг однофакторной чувствительности от неизменённой базы.
По умолчанию ±10%, значение можно менять.</t>
      </text>
    </comment>
    <comment ref="C201" authorId="4" shapeId="0">
      <text>
        <t>Предварительный стресс-тест, не утвержденный прогноз. Analyst-defined starting stress; edit after approval.</t>
      </text>
    </comment>
    <comment ref="E201" authorId="4" shapeId="0">
      <text>
        <t>Предварительный стресс-тест, не утвержденный прогноз. Analyst-defined starting stress; edit after approval.</t>
      </text>
    </comment>
    <comment ref="F201" authorId="2" shapeId="0">
      <text>
        <t>РАСЧЁТ, НЕ ВВОДИТЬ.
Эта ячейка считается формулой. Если вписать сюда число, связь со сценариями и тарифным миксом пропадёт.</t>
      </text>
    </comment>
    <comment ref="G201" authorId="2" shapeId="0">
      <text>
        <t>Шаг однофакторной чувствительности от неизменённой базы.
По умолчанию ±10%, значение можно менять.</t>
      </text>
    </comment>
    <comment ref="C202" authorId="4" shapeId="0">
      <text>
        <t>Предварительный стресс-тест, не утвержденный прогноз. Analyst-defined starting stress; edit after approval.</t>
      </text>
    </comment>
    <comment ref="E202" authorId="4" shapeId="0">
      <text>
        <t>Предварительный стресс-тест, не утвержденный прогноз. Analyst-defined starting stress; edit after approval.</t>
      </text>
    </comment>
    <comment ref="F202" authorId="2" shapeId="0">
      <text>
        <t>РАСЧЁТ, НЕ ВВОДИТЬ.
Эта ячейка считается формулой. Если вписать сюда число, связь со сценариями и тарифным миксом пропадёт.</t>
      </text>
    </comment>
    <comment ref="G202" authorId="2" shapeId="0">
      <text>
        <t>Шаг однофакторной чувствительности от неизменённой базы.
По умолчанию ±10%, значение можно менять.</t>
      </text>
    </comment>
    <comment ref="C203" authorId="4" shapeId="0">
      <text>
        <t>Предварительный стресс-тест, не утвержденный прогноз. Analyst-defined starting stress; edit after approval.</t>
      </text>
    </comment>
    <comment ref="E203" authorId="4" shapeId="0">
      <text>
        <t>Предварительный стресс-тест, не утвержденный прогноз. Analyst-defined starting stress; edit after approval.</t>
      </text>
    </comment>
    <comment ref="F203" authorId="2" shapeId="0">
      <text>
        <t>РАСЧЁТ, НЕ ВВОДИТЬ.
Эта ячейка считается формулой. Если вписать сюда число, связь со сценариями и тарифным миксом пропадёт.</t>
      </text>
    </comment>
    <comment ref="G203" authorId="2" shapeId="0">
      <text>
        <t>Шаг однофакторной чувствительности от неизменённой базы.
По умолчанию ±10%, значение можно менять.</t>
      </text>
    </comment>
    <comment ref="B210" authorId="4" shapeId="0">
      <text>
        <t>Финмодель_Спартак_V8_чистая_единые_вводные_09.09.2026.xlsx | 01_Вводные!B36; original base input, unchanged.</t>
      </text>
    </comment>
    <comment ref="B211" authorId="4" shapeId="0">
      <text>
        <t>Финмодель_Спартак_V8_чистая_единые_вводные_09.09.2026.xlsx | 01_Вводные!B37; original base input, unchanged.</t>
      </text>
    </comment>
    <comment ref="B212" authorId="4" shapeId="0">
      <text>
        <t>Финмодель_Спартак_V8_чистая_единые_вводные_09.09.2026.xlsx | 01_Вводные!B38; original base input, unchanged.</t>
      </text>
    </comment>
    <comment ref="B213" authorId="4" shapeId="0">
      <text>
        <t>Финмодель_Спартак_V8_чистая_единые_вводные_09.09.2026.xlsx | 01_Вводные!B39; original base input, unchanged.</t>
      </text>
    </comment>
    <comment ref="B214" authorId="4" shapeId="0">
      <text>
        <t>Финмодель_Спартак_V8_чистая_единые_вводные_09.09.2026.xlsx | 01_Вводные!B40; original base input, unchanged.</t>
      </text>
    </comment>
    <comment ref="B215" authorId="2" shapeId="0">
      <text>
        <t>РАСЧЁТ, НЕ ВВОДИТЬ — «Мощность новой школы, 12-й месяц».
Менять базу здесь: 01_Вводные!E263:E282.
Значение — взвешенное среднее по тарифным группам (блок 13, строки 263–282): вес × показатель.
Жёлтая ячейка = ввод. Серая курсивная = формула.</t>
      </text>
    </comment>
    <comment ref="B216" authorId="2" shapeId="0">
      <text>
        <t>РАСЧЁТ, НЕ ВВОДИТЬ — «Мощность новой школы, 24-й месяц».
Менять базу здесь: 01_Вводные!F263:F282.
Значение — взвешенное среднее по тарифным группам (блок 13, строки 263–282): вес × показатель.
Жёлтая ячейка = ввод. Серая курсивная = формула.</t>
      </text>
    </comment>
    <comment ref="B217" authorId="4" shapeId="0">
      <text>
        <t>Финмодель_Спартак_V8_чистая_единые_вводные_09.09.2026.xlsx | 01_Вводные!B51; original base input, unchanged.</t>
      </text>
    </comment>
    <comment ref="B218" authorId="2" shapeId="0">
      <text>
        <t>РАСЧЁТ, НЕ ВВОДИТЬ — «Абонемент новых школ, сезон 1».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19" authorId="2" shapeId="0">
      <text>
        <t>РАСЧЁТ, НЕ ВВОДИТЬ — «Абонемент новых школ, сезон 2».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0" authorId="2" shapeId="0">
      <text>
        <t>РАСЧЁТ, НЕ ВВОДИТЬ — «Абонемент новых школ, сезон 3».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1" authorId="2" shapeId="0">
      <text>
        <t>РАСЧЁТ, НЕ ВВОДИТЬ — «Абонемент новых школ, сезон 4».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2" authorId="2" shapeId="0">
      <text>
        <t>РАСЧЁТ, НЕ ВВОДИТЬ — «Абонемент новых школ, сезон 5».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3" authorId="4" shapeId="0">
      <text>
        <t>Финмодель_Спартак_V8_чистая_единые_вводные_09.09.2026.xlsx | 01_Вводные!B74; original base input, unchanged.</t>
      </text>
    </comment>
    <comment ref="B224" authorId="4" shapeId="0">
      <text>
        <t>Финмодель_Спартак_V8_чистая_единые_вводные_09.09.2026.xlsx | 01_Вводные!B26; original base input, unchanged.</t>
      </text>
    </comment>
    <comment ref="B225" authorId="4" shapeId="0">
      <text>
        <t>Финмодель_Спартак_V8_чистая_единые_вводные_09.09.2026.xlsx | 01_Вводные!B18; original base input, unchanged.</t>
      </text>
    </comment>
    <comment ref="B227" authorId="2" shapeId="0">
      <text>
        <t>РАСЧЁТ, НЕ ВВОДИТЬ.
Эта ячейка считается формулой. Если вписать сюда число, связь со сценариями и тарифным миксом пропадёт.</t>
      </text>
    </comment>
    <comment ref="B228" authorId="2" shapeId="0">
      <text>
        <t>РАСЧЁТ, НЕ ВВОДИТЬ.
Эта ячейка считается формулой. Если вписать сюда число, связь со сценариями и тарифным миксом пропадёт.</t>
      </text>
    </comment>
    <comment ref="B233" authorId="3" shapeId="0">
      <text>
        <t>Источник: ТЗ пользователя и ревизия 09.09.2026. Один драйвер за раз; все шесть сохранены в списке.</t>
      </text>
    </comment>
    <comment ref="B234" authorId="3" shapeId="0">
      <text>
        <t>Источник: ТЗ пользователя и ревизия 09.09.2026. При Нет два дополнительных расчёта не выполняются.</t>
      </text>
    </comment>
    <comment ref="B235" authorId="3" shapeId="0">
      <text>
        <t>Источник: ТЗ пользователя и ревизия 09.09.2026. Отдельное событие; до подтверждения подключение в месяц открытия.</t>
      </text>
    </comment>
    <comment ref="B236" authorId="2" shapeId="0">
      <text>
        <t>РАСЧЁТ, НЕ ВВОДИТЬ — «Дети зрелой школы».
Менять базу здесь: 01_Вводные!G263:G282.
Значение — взвешенное среднее по тарифным группам (блок 13, строки 263–282): вес × показатель.
Жёлтая ячейка = ввод. Серая курсивная = формула.</t>
      </text>
    </comment>
    <comment ref="B237" authorId="3" shapeId="0">
      <text>
        <t>Источник: ТЗ пользователя и ревизия 09.09.2026. Рабочее значение 0; можно задать резерв ликвидности.</t>
      </text>
    </comment>
    <comment ref="B238" authorId="3" shapeId="0">
      <text>
        <t>Источник: ТЗ пользователя и ревизия 09.09.2026. По п.27 ТЗ: возврат только при остатке товара не ниже цели будущих месяцев.</t>
      </text>
    </comment>
    <comment ref="B239" authorId="3" shapeId="0">
      <text>
        <t>Источник: ТЗ пользователя и ревизия 09.09.2026. Да — отдельно по 20 форматам/территориям; Нет — прежнее усреднение для сверки.</t>
      </text>
    </comment>
    <comment ref="B240" authorId="3" shapeId="0">
      <text>
        <t>Источник: ТЗ пользователя и ревизия 09.09.2026. Сохранён резерв 10% от оборота из Сокольники!C36. Это не подтверждение ставки/методики НДС.</t>
      </text>
    </comment>
    <comment ref="B241" authorId="3" shapeId="0">
      <text>
        <t>Источник: ТЗ пользователя и ревизия 09.09.2026. Отключение лагеря обнуляет продажи, начисления и оплаты.</t>
      </text>
    </comment>
    <comment ref="B242" authorId="3" shapeId="0">
      <text>
        <t>Источник: ТЗ пользователя и ревизия 09.09.2026. Только октябрь 2026 оплачивается за 1 месяц.</t>
      </text>
    </comment>
    <comment ref="B243" authorId="3" shapeId="0">
      <text>
        <t>Источник: ТЗ пользователя и ревизия 09.09.2026. Для октября 2026; далее обычный лаг B27.</t>
      </text>
    </comment>
    <comment ref="B244" authorId="3" shapeId="0">
      <text>
        <t>Источник: ТЗ пользователя и ревизия 09.09.2026. 6,5% по договорам до этой даты.</t>
      </text>
    </comment>
    <comment ref="B245" authorId="3" shapeId="0">
      <text>
        <t>Источник: ТЗ пользователя и ревизия 09.09.2026. С этой даты применяется B57 ко всем.</t>
      </text>
    </comment>
    <comment ref="B246" authorId="3" shapeId="0">
      <text>
        <t>Источник: ТЗ пользователя и ревизия 09.09.2026. За IV квартал 2027; далее март/июнь/сентябрь/декабрь.</t>
      </text>
    </comment>
    <comment ref="B247" authorId="3" shapeId="0">
      <text>
        <t>Источник: ТЗ пользователя и ревизия 09.09.2026. 70 тыс. net по B133.</t>
      </text>
    </comment>
    <comment ref="B248" authorId="3" shapeId="0">
      <text>
        <t>Источник: ТЗ пользователя и ревизия 09.09.2026. 100 тыс. net по B134.</t>
      </text>
    </comment>
    <comment ref="B249" authorId="3" shapeId="0">
      <text>
        <t>Источник: ТЗ пользователя и ревизия 09.09.2026. Повышение участвует в премии при Да у ГД.</t>
      </text>
    </comment>
    <comment ref="B250" authorId="3" shapeId="0">
      <text>
        <t>Источник: ТЗ пользователя и ревизия 09.09.2026. С B123 на B124.</t>
      </text>
    </comment>
    <comment ref="B251" authorId="3" shapeId="0">
      <text>
        <t>Источник: ТЗ пользователя и ревизия 09.09.2026. Далее каждый сентябрь.</t>
      </text>
    </comment>
    <comment ref="B252" authorId="3" shapeId="0">
      <text>
        <t>Источник: ТЗ пользователя и ревизия 09.09.2026. Июнь по ТЗ.</t>
      </text>
    </comment>
    <comment ref="B253" authorId="3" shapeId="0">
      <text>
        <t>Источник: ТЗ пользователя и ревизия 09.09.2026. Февраль; равномерно до B254.</t>
      </text>
    </comment>
    <comment ref="B254" authorId="3" shapeId="0">
      <text>
        <t>Источник: ТЗ пользователя и ревизия 09.09.2026. Май включительно.</t>
      </text>
    </comment>
    <comment ref="B255" authorId="3" shapeId="0">
      <text>
        <t>Источник: ТЗ пользователя и ревизия 09.09.2026. Разовая комиссия B121.</t>
      </text>
    </comment>
    <comment ref="B256" authorId="3" shapeId="0">
      <text>
        <t>Источник: ТЗ пользователя и ревизия 09.09.2026. Раз в год; сумма B122.</t>
      </text>
    </comment>
    <comment ref="B257" authorId="2" shapeId="0">
      <text>
        <t>РАСЧЁТ, НЕ ВВОДИТЬ.
Эта ячейка считается формулой. Если вписать сюда число, связь со сценариями и тарифным миксом пропадёт.</t>
      </text>
    </comment>
    <comment ref="B258" authorId="2" shapeId="0">
      <text>
        <t>РАСЧЁТ, НЕ ВВОДИТЬ.
Эта ячейка считается формулой. Если вписать сюда число, связь со сценариями и тарифным миксом пропадёт.</t>
      </text>
    </comment>
    <comment ref="A263" authorId="3" shapeId="0">
      <text>
        <t>V5.1: Типы_продукта!A14:M14; Микс_продаж!B5; B14</t>
      </text>
    </comment>
    <comment ref="B263" authorId="3" shapeId="0">
      <text>
        <t>V5.1: Типы_продукта!A14:M14; Микс_продаж!B5; B14</t>
      </text>
    </comment>
    <comment ref="C263" authorId="3" shapeId="0">
      <text>
        <t>V5.1: Типы_продукта!A14:M14; Микс_продаж!B5; B14</t>
      </text>
    </comment>
    <comment ref="D263" authorId="3" shapeId="0">
      <text>
        <t>V5.1: Типы_продукта!A14:M14; Микс_продаж!B5; B14</t>
      </text>
    </comment>
    <comment ref="E263" authorId="3" shapeId="0">
      <text>
        <t>V5.1: Типы_продукта!A14:M14; Микс_продаж!B5; B14</t>
      </text>
    </comment>
    <comment ref="F263" authorId="3" shapeId="0">
      <text>
        <t>V5.1: Типы_продукта!A14:M14; Микс_продаж!B5; B14</t>
      </text>
    </comment>
    <comment ref="G263" authorId="3" shapeId="0">
      <text>
        <t>V5.1: Типы_продукта!A14:M14; Микс_продаж!B5; B14</t>
      </text>
    </comment>
    <comment ref="H263" authorId="3" shapeId="0">
      <text>
        <t>V5.1: Типы_продукта!A14:M14; Микс_продаж!B5; B14</t>
      </text>
    </comment>
    <comment ref="I263" authorId="3" shapeId="0">
      <text>
        <t>V5.1: Типы_продукта!A14:M14; Микс_продаж!B5; B14</t>
      </text>
    </comment>
    <comment ref="J263" authorId="3" shapeId="0">
      <text>
        <t>V5.1: Типы_продукта!A14:M14; Микс_продаж!B5; B14</t>
      </text>
    </comment>
    <comment ref="K263" authorId="3" shapeId="0">
      <text>
        <t>V5.1: Типы_продукта!A14:M14; Микс_продаж!B5; B14</t>
      </text>
    </comment>
    <comment ref="A264" authorId="3" shapeId="0">
      <text>
        <t>V5.1: Типы_продукта!A15:M15; Микс_продаж!B5; C14</t>
      </text>
    </comment>
    <comment ref="B264" authorId="3" shapeId="0">
      <text>
        <t>V5.1: Типы_продукта!A15:M15; Микс_продаж!B5; C14</t>
      </text>
    </comment>
    <comment ref="C264" authorId="3" shapeId="0">
      <text>
        <t>V5.1: Типы_продукта!A15:M15; Микс_продаж!B5; C14</t>
      </text>
    </comment>
    <comment ref="D264" authorId="3" shapeId="0">
      <text>
        <t>V5.1: Типы_продукта!A15:M15; Микс_продаж!B5; C14</t>
      </text>
    </comment>
    <comment ref="E264" authorId="3" shapeId="0">
      <text>
        <t>V5.1: Типы_продукта!A15:M15; Микс_продаж!B5; C14</t>
      </text>
    </comment>
    <comment ref="F264" authorId="3" shapeId="0">
      <text>
        <t>V5.1: Типы_продукта!A15:M15; Микс_продаж!B5; C14</t>
      </text>
    </comment>
    <comment ref="G264" authorId="3" shapeId="0">
      <text>
        <t>V5.1: Типы_продукта!A15:M15; Микс_продаж!B5; C14</t>
      </text>
    </comment>
    <comment ref="H264" authorId="3" shapeId="0">
      <text>
        <t>V5.1: Типы_продукта!A15:M15; Микс_продаж!B5; C14</t>
      </text>
    </comment>
    <comment ref="I264" authorId="3" shapeId="0">
      <text>
        <t>V5.1: Типы_продукта!A15:M15; Микс_продаж!B5; C14</t>
      </text>
    </comment>
    <comment ref="J264" authorId="3" shapeId="0">
      <text>
        <t>V5.1: Типы_продукта!A15:M15; Микс_продаж!B5; C14</t>
      </text>
    </comment>
    <comment ref="K264" authorId="3" shapeId="0">
      <text>
        <t>V5.1: Типы_продукта!A15:M15; Микс_продаж!B5; C14</t>
      </text>
    </comment>
    <comment ref="A265" authorId="3" shapeId="0">
      <text>
        <t>V5.1: Типы_продукта!A16:M16; Микс_продаж!B5; D14</t>
      </text>
    </comment>
    <comment ref="B265" authorId="3" shapeId="0">
      <text>
        <t>V5.1: Типы_продукта!A16:M16; Микс_продаж!B5; D14</t>
      </text>
    </comment>
    <comment ref="C265" authorId="3" shapeId="0">
      <text>
        <t>V5.1: Типы_продукта!A16:M16; Микс_продаж!B5; D14</t>
      </text>
    </comment>
    <comment ref="D265" authorId="3" shapeId="0">
      <text>
        <t>V5.1: Типы_продукта!A16:M16; Микс_продаж!B5; D14</t>
      </text>
    </comment>
    <comment ref="E265" authorId="3" shapeId="0">
      <text>
        <t>V5.1: Типы_продукта!A16:M16; Микс_продаж!B5; D14</t>
      </text>
    </comment>
    <comment ref="F265" authorId="3" shapeId="0">
      <text>
        <t>V5.1: Типы_продукта!A16:M16; Микс_продаж!B5; D14</t>
      </text>
    </comment>
    <comment ref="G265" authorId="3" shapeId="0">
      <text>
        <t>V5.1: Типы_продукта!A16:M16; Микс_продаж!B5; D14</t>
      </text>
    </comment>
    <comment ref="H265" authorId="3" shapeId="0">
      <text>
        <t>V5.1: Типы_продукта!A16:M16; Микс_продаж!B5; D14</t>
      </text>
    </comment>
    <comment ref="I265" authorId="3" shapeId="0">
      <text>
        <t>V5.1: Типы_продукта!A16:M16; Микс_продаж!B5; D14</t>
      </text>
    </comment>
    <comment ref="J265" authorId="3" shapeId="0">
      <text>
        <t>V5.1: Типы_продукта!A16:M16; Микс_продаж!B5; D14</t>
      </text>
    </comment>
    <comment ref="K265" authorId="3" shapeId="0">
      <text>
        <t>V5.1: Типы_продукта!A16:M16; Микс_продаж!B5; D14</t>
      </text>
    </comment>
    <comment ref="A266" authorId="3" shapeId="0">
      <text>
        <t>V5.1: Типы_продукта!A17:M17; Микс_продаж!B5; E14</t>
      </text>
    </comment>
    <comment ref="B266" authorId="3" shapeId="0">
      <text>
        <t>V5.1: Типы_продукта!A17:M17; Микс_продаж!B5; E14</t>
      </text>
    </comment>
    <comment ref="C266" authorId="3" shapeId="0">
      <text>
        <t>V5.1: Типы_продукта!A17:M17; Микс_продаж!B5; E14</t>
      </text>
    </comment>
    <comment ref="D266" authorId="3" shapeId="0">
      <text>
        <t>V5.1: Типы_продукта!A17:M17; Микс_продаж!B5; E14</t>
      </text>
    </comment>
    <comment ref="E266" authorId="3" shapeId="0">
      <text>
        <t>V5.1: Типы_продукта!A17:M17; Микс_продаж!B5; E14</t>
      </text>
    </comment>
    <comment ref="F266" authorId="3" shapeId="0">
      <text>
        <t>V5.1: Типы_продукта!A17:M17; Микс_продаж!B5; E14</t>
      </text>
    </comment>
    <comment ref="G266" authorId="3" shapeId="0">
      <text>
        <t>V5.1: Типы_продукта!A17:M17; Микс_продаж!B5; E14</t>
      </text>
    </comment>
    <comment ref="H266" authorId="3" shapeId="0">
      <text>
        <t>V5.1: Типы_продукта!A17:M17; Микс_продаж!B5; E14</t>
      </text>
    </comment>
    <comment ref="I266" authorId="3" shapeId="0">
      <text>
        <t>V5.1: Типы_продукта!A17:M17; Микс_продаж!B5; E14</t>
      </text>
    </comment>
    <comment ref="J266" authorId="3" shapeId="0">
      <text>
        <t>V5.1: Типы_продукта!A17:M17; Микс_продаж!B5; E14</t>
      </text>
    </comment>
    <comment ref="K266" authorId="3" shapeId="0">
      <text>
        <t>V5.1: Типы_продукта!A17:M17; Микс_продаж!B5; E14</t>
      </text>
    </comment>
    <comment ref="A267" authorId="3" shapeId="0">
      <text>
        <t>V5.1: Типы_продукта!A18:M18; Микс_продаж!B6; B15</t>
      </text>
    </comment>
    <comment ref="B267" authorId="3" shapeId="0">
      <text>
        <t>V5.1: Типы_продукта!A18:M18; Микс_продаж!B6; B15</t>
      </text>
    </comment>
    <comment ref="C267" authorId="3" shapeId="0">
      <text>
        <t>V5.1: Типы_продукта!A18:M18; Микс_продаж!B6; B15</t>
      </text>
    </comment>
    <comment ref="D267" authorId="3" shapeId="0">
      <text>
        <t>V5.1: Типы_продукта!A18:M18; Микс_продаж!B6; B15</t>
      </text>
    </comment>
    <comment ref="E267" authorId="3" shapeId="0">
      <text>
        <t>V5.1: Типы_продукта!A18:M18; Микс_продаж!B6; B15</t>
      </text>
    </comment>
    <comment ref="F267" authorId="3" shapeId="0">
      <text>
        <t>V5.1: Типы_продукта!A18:M18; Микс_продаж!B6; B15</t>
      </text>
    </comment>
    <comment ref="G267" authorId="3" shapeId="0">
      <text>
        <t>V5.1: Типы_продукта!A18:M18; Микс_продаж!B6; B15</t>
      </text>
    </comment>
    <comment ref="H267" authorId="3" shapeId="0">
      <text>
        <t>V5.1: Типы_продукта!A18:M18; Микс_продаж!B6; B15</t>
      </text>
    </comment>
    <comment ref="I267" authorId="3" shapeId="0">
      <text>
        <t>V5.1: Типы_продукта!A18:M18; Микс_продаж!B6; B15</t>
      </text>
    </comment>
    <comment ref="J267" authorId="3" shapeId="0">
      <text>
        <t>V5.1: Типы_продукта!A18:M18; Микс_продаж!B6; B15</t>
      </text>
    </comment>
    <comment ref="K267" authorId="3" shapeId="0">
      <text>
        <t>V5.1: Типы_продукта!A18:M18; Микс_продаж!B6; B15</t>
      </text>
    </comment>
    <comment ref="A268" authorId="3" shapeId="0">
      <text>
        <t>V5.1: Типы_продукта!A19:M19; Микс_продаж!B6; C15</t>
      </text>
    </comment>
    <comment ref="B268" authorId="3" shapeId="0">
      <text>
        <t>V5.1: Типы_продукта!A19:M19; Микс_продаж!B6; C15</t>
      </text>
    </comment>
    <comment ref="C268" authorId="3" shapeId="0">
      <text>
        <t>V5.1: Типы_продукта!A19:M19; Микс_продаж!B6; C15</t>
      </text>
    </comment>
    <comment ref="D268" authorId="3" shapeId="0">
      <text>
        <t>V5.1: Типы_продукта!A19:M19; Микс_продаж!B6; C15</t>
      </text>
    </comment>
    <comment ref="E268" authorId="3" shapeId="0">
      <text>
        <t>V5.1: Типы_продукта!A19:M19; Микс_продаж!B6; C15</t>
      </text>
    </comment>
    <comment ref="F268" authorId="3" shapeId="0">
      <text>
        <t>V5.1: Типы_продукта!A19:M19; Микс_продаж!B6; C15</t>
      </text>
    </comment>
    <comment ref="G268" authorId="3" shapeId="0">
      <text>
        <t>V5.1: Типы_продукта!A19:M19; Микс_продаж!B6; C15</t>
      </text>
    </comment>
    <comment ref="H268" authorId="3" shapeId="0">
      <text>
        <t>V5.1: Типы_продукта!A19:M19; Микс_продаж!B6; C15</t>
      </text>
    </comment>
    <comment ref="I268" authorId="3" shapeId="0">
      <text>
        <t>V5.1: Типы_продукта!A19:M19; Микс_продаж!B6; C15</t>
      </text>
    </comment>
    <comment ref="J268" authorId="3" shapeId="0">
      <text>
        <t>V5.1: Типы_продукта!A19:M19; Микс_продаж!B6; C15</t>
      </text>
    </comment>
    <comment ref="K268" authorId="3" shapeId="0">
      <text>
        <t>V5.1: Типы_продукта!A19:M19; Микс_продаж!B6; C15</t>
      </text>
    </comment>
    <comment ref="A269" authorId="3" shapeId="0">
      <text>
        <t>V5.1: Типы_продукта!A20:M20; Микс_продаж!B6; D15</t>
      </text>
    </comment>
    <comment ref="B269" authorId="3" shapeId="0">
      <text>
        <t>V5.1: Типы_продукта!A20:M20; Микс_продаж!B6; D15</t>
      </text>
    </comment>
    <comment ref="C269" authorId="3" shapeId="0">
      <text>
        <t>V5.1: Типы_продукта!A20:M20; Микс_продаж!B6; D15</t>
      </text>
    </comment>
    <comment ref="D269" authorId="3" shapeId="0">
      <text>
        <t>V5.1: Типы_продукта!A20:M20; Микс_продаж!B6; D15</t>
      </text>
    </comment>
    <comment ref="E269" authorId="3" shapeId="0">
      <text>
        <t>V5.1: Типы_продукта!A20:M20; Микс_продаж!B6; D15</t>
      </text>
    </comment>
    <comment ref="F269" authorId="3" shapeId="0">
      <text>
        <t>V5.1: Типы_продукта!A20:M20; Микс_продаж!B6; D15</t>
      </text>
    </comment>
    <comment ref="G269" authorId="3" shapeId="0">
      <text>
        <t>V5.1: Типы_продукта!A20:M20; Микс_продаж!B6; D15</t>
      </text>
    </comment>
    <comment ref="H269" authorId="3" shapeId="0">
      <text>
        <t>V5.1: Типы_продукта!A20:M20; Микс_продаж!B6; D15</t>
      </text>
    </comment>
    <comment ref="I269" authorId="3" shapeId="0">
      <text>
        <t>V5.1: Типы_продукта!A20:M20; Микс_продаж!B6; D15</t>
      </text>
    </comment>
    <comment ref="J269" authorId="3" shapeId="0">
      <text>
        <t>V5.1: Типы_продукта!A20:M20; Микс_продаж!B6; D15</t>
      </text>
    </comment>
    <comment ref="K269" authorId="3" shapeId="0">
      <text>
        <t>V5.1: Типы_продукта!A20:M20; Микс_продаж!B6; D15</t>
      </text>
    </comment>
    <comment ref="A270" authorId="3" shapeId="0">
      <text>
        <t>V5.1: Типы_продукта!A21:M21; Микс_продаж!B6; E15</t>
      </text>
    </comment>
    <comment ref="B270" authorId="3" shapeId="0">
      <text>
        <t>V5.1: Типы_продукта!A21:M21; Микс_продаж!B6; E15</t>
      </text>
    </comment>
    <comment ref="C270" authorId="3" shapeId="0">
      <text>
        <t>V5.1: Типы_продукта!A21:M21; Микс_продаж!B6; E15</t>
      </text>
    </comment>
    <comment ref="D270" authorId="3" shapeId="0">
      <text>
        <t>V5.1: Типы_продукта!A21:M21; Микс_продаж!B6; E15</t>
      </text>
    </comment>
    <comment ref="E270" authorId="3" shapeId="0">
      <text>
        <t>V5.1: Типы_продукта!A21:M21; Микс_продаж!B6; E15</t>
      </text>
    </comment>
    <comment ref="F270" authorId="3" shapeId="0">
      <text>
        <t>V5.1: Типы_продукта!A21:M21; Микс_продаж!B6; E15</t>
      </text>
    </comment>
    <comment ref="G270" authorId="3" shapeId="0">
      <text>
        <t>V5.1: Типы_продукта!A21:M21; Микс_продаж!B6; E15</t>
      </text>
    </comment>
    <comment ref="H270" authorId="3" shapeId="0">
      <text>
        <t>V5.1: Типы_продукта!A21:M21; Микс_продаж!B6; E15</t>
      </text>
    </comment>
    <comment ref="I270" authorId="3" shapeId="0">
      <text>
        <t>V5.1: Типы_продукта!A21:M21; Микс_продаж!B6; E15</t>
      </text>
    </comment>
    <comment ref="J270" authorId="3" shapeId="0">
      <text>
        <t>V5.1: Типы_продукта!A21:M21; Микс_продаж!B6; E15</t>
      </text>
    </comment>
    <comment ref="K270" authorId="3" shapeId="0">
      <text>
        <t>V5.1: Типы_продукта!A21:M21; Микс_продаж!B6; E15</t>
      </text>
    </comment>
    <comment ref="A271" authorId="3" shapeId="0">
      <text>
        <t>V5.1: Типы_продукта!A22:M22; Микс_продаж!B7; B16</t>
      </text>
    </comment>
    <comment ref="B271" authorId="3" shapeId="0">
      <text>
        <t>V5.1: Типы_продукта!A22:M22; Микс_продаж!B7; B16</t>
      </text>
    </comment>
    <comment ref="C271" authorId="3" shapeId="0">
      <text>
        <t>V5.1: Типы_продукта!A22:M22; Микс_продаж!B7; B16</t>
      </text>
    </comment>
    <comment ref="D271" authorId="3" shapeId="0">
      <text>
        <t>V5.1: Типы_продукта!A22:M22; Микс_продаж!B7; B16</t>
      </text>
    </comment>
    <comment ref="E271" authorId="3" shapeId="0">
      <text>
        <t>V5.1: Типы_продукта!A22:M22; Микс_продаж!B7; B16</t>
      </text>
    </comment>
    <comment ref="F271" authorId="3" shapeId="0">
      <text>
        <t>V5.1: Типы_продукта!A22:M22; Микс_продаж!B7; B16</t>
      </text>
    </comment>
    <comment ref="G271" authorId="3" shapeId="0">
      <text>
        <t>V5.1: Типы_продукта!A22:M22; Микс_продаж!B7; B16</t>
      </text>
    </comment>
    <comment ref="H271" authorId="3" shapeId="0">
      <text>
        <t>V5.1: Типы_продукта!A22:M22; Микс_продаж!B7; B16</t>
      </text>
    </comment>
    <comment ref="I271" authorId="3" shapeId="0">
      <text>
        <t>V5.1: Типы_продукта!A22:M22; Микс_продаж!B7; B16</t>
      </text>
    </comment>
    <comment ref="J271" authorId="3" shapeId="0">
      <text>
        <t>V5.1: Типы_продукта!A22:M22; Микс_продаж!B7; B16</t>
      </text>
    </comment>
    <comment ref="K271" authorId="3" shapeId="0">
      <text>
        <t>V5.1: Типы_продукта!A22:M22; Микс_продаж!B7; B16</t>
      </text>
    </comment>
    <comment ref="A272" authorId="3" shapeId="0">
      <text>
        <t>V5.1: Типы_продукта!A23:M23; Микс_продаж!B7; C16</t>
      </text>
    </comment>
    <comment ref="B272" authorId="3" shapeId="0">
      <text>
        <t>V5.1: Типы_продукта!A23:M23; Микс_продаж!B7; C16</t>
      </text>
    </comment>
    <comment ref="C272" authorId="3" shapeId="0">
      <text>
        <t>V5.1: Типы_продукта!A23:M23; Микс_продаж!B7; C16</t>
      </text>
    </comment>
    <comment ref="D272" authorId="3" shapeId="0">
      <text>
        <t>V5.1: Типы_продукта!A23:M23; Микс_продаж!B7; C16</t>
      </text>
    </comment>
    <comment ref="E272" authorId="3" shapeId="0">
      <text>
        <t>V5.1: Типы_продукта!A23:M23; Микс_продаж!B7; C16</t>
      </text>
    </comment>
    <comment ref="F272" authorId="3" shapeId="0">
      <text>
        <t>V5.1: Типы_продукта!A23:M23; Микс_продаж!B7; C16</t>
      </text>
    </comment>
    <comment ref="G272" authorId="3" shapeId="0">
      <text>
        <t>V5.1: Типы_продукта!A23:M23; Микс_продаж!B7; C16</t>
      </text>
    </comment>
    <comment ref="H272" authorId="3" shapeId="0">
      <text>
        <t>V5.1: Типы_продукта!A23:M23; Микс_продаж!B7; C16</t>
      </text>
    </comment>
    <comment ref="I272" authorId="3" shapeId="0">
      <text>
        <t>V5.1: Типы_продукта!A23:M23; Микс_продаж!B7; C16</t>
      </text>
    </comment>
    <comment ref="J272" authorId="3" shapeId="0">
      <text>
        <t>V5.1: Типы_продукта!A23:M23; Микс_продаж!B7; C16</t>
      </text>
    </comment>
    <comment ref="K272" authorId="3" shapeId="0">
      <text>
        <t>V5.1: Типы_продукта!A23:M23; Микс_продаж!B7; C16</t>
      </text>
    </comment>
    <comment ref="A273" authorId="3" shapeId="0">
      <text>
        <t>V5.1: Типы_продукта!A24:M24; Микс_продаж!B7; D16</t>
      </text>
    </comment>
    <comment ref="B273" authorId="3" shapeId="0">
      <text>
        <t>V5.1: Типы_продукта!A24:M24; Микс_продаж!B7; D16</t>
      </text>
    </comment>
    <comment ref="C273" authorId="3" shapeId="0">
      <text>
        <t>V5.1: Типы_продукта!A24:M24; Микс_продаж!B7; D16</t>
      </text>
    </comment>
    <comment ref="D273" authorId="3" shapeId="0">
      <text>
        <t>V5.1: Типы_продукта!A24:M24; Микс_продаж!B7; D16</t>
      </text>
    </comment>
    <comment ref="E273" authorId="3" shapeId="0">
      <text>
        <t>V5.1: Типы_продукта!A24:M24; Микс_продаж!B7; D16</t>
      </text>
    </comment>
    <comment ref="F273" authorId="3" shapeId="0">
      <text>
        <t>V5.1: Типы_продукта!A24:M24; Микс_продаж!B7; D16</t>
      </text>
    </comment>
    <comment ref="G273" authorId="3" shapeId="0">
      <text>
        <t>V5.1: Типы_продукта!A24:M24; Микс_продаж!B7; D16</t>
      </text>
    </comment>
    <comment ref="H273" authorId="3" shapeId="0">
      <text>
        <t>V5.1: Типы_продукта!A24:M24; Микс_продаж!B7; D16</t>
      </text>
    </comment>
    <comment ref="I273" authorId="3" shapeId="0">
      <text>
        <t>V5.1: Типы_продукта!A24:M24; Микс_продаж!B7; D16</t>
      </text>
    </comment>
    <comment ref="J273" authorId="3" shapeId="0">
      <text>
        <t>V5.1: Типы_продукта!A24:M24; Микс_продаж!B7; D16</t>
      </text>
    </comment>
    <comment ref="K273" authorId="3" shapeId="0">
      <text>
        <t>V5.1: Типы_продукта!A24:M24; Микс_продаж!B7; D16</t>
      </text>
    </comment>
    <comment ref="A274" authorId="3" shapeId="0">
      <text>
        <t>V5.1: Типы_продукта!A25:M25; Микс_продаж!B7; E16</t>
      </text>
    </comment>
    <comment ref="B274" authorId="3" shapeId="0">
      <text>
        <t>V5.1: Типы_продукта!A25:M25; Микс_продаж!B7; E16</t>
      </text>
    </comment>
    <comment ref="C274" authorId="3" shapeId="0">
      <text>
        <t>V5.1: Типы_продукта!A25:M25; Микс_продаж!B7; E16</t>
      </text>
    </comment>
    <comment ref="D274" authorId="3" shapeId="0">
      <text>
        <t>V5.1: Типы_продукта!A25:M25; Микс_продаж!B7; E16</t>
      </text>
    </comment>
    <comment ref="E274" authorId="3" shapeId="0">
      <text>
        <t>V5.1: Типы_продукта!A25:M25; Микс_продаж!B7; E16</t>
      </text>
    </comment>
    <comment ref="F274" authorId="3" shapeId="0">
      <text>
        <t>V5.1: Типы_продукта!A25:M25; Микс_продаж!B7; E16</t>
      </text>
    </comment>
    <comment ref="G274" authorId="3" shapeId="0">
      <text>
        <t>V5.1: Типы_продукта!A25:M25; Микс_продаж!B7; E16</t>
      </text>
    </comment>
    <comment ref="H274" authorId="3" shapeId="0">
      <text>
        <t>V5.1: Типы_продукта!A25:M25; Микс_продаж!B7; E16</t>
      </text>
    </comment>
    <comment ref="I274" authorId="3" shapeId="0">
      <text>
        <t>V5.1: Типы_продукта!A25:M25; Микс_продаж!B7; E16</t>
      </text>
    </comment>
    <comment ref="J274" authorId="3" shapeId="0">
      <text>
        <t>V5.1: Типы_продукта!A25:M25; Микс_продаж!B7; E16</t>
      </text>
    </comment>
    <comment ref="K274" authorId="3" shapeId="0">
      <text>
        <t>V5.1: Типы_продукта!A25:M25; Микс_продаж!B7; E16</t>
      </text>
    </comment>
    <comment ref="A275" authorId="3" shapeId="0">
      <text>
        <t>V5.1: Типы_продукта!A26:M26; Микс_продаж!B8; B17</t>
      </text>
    </comment>
    <comment ref="B275" authorId="3" shapeId="0">
      <text>
        <t>V5.1: Типы_продукта!A26:M26; Микс_продаж!B8; B17</t>
      </text>
    </comment>
    <comment ref="C275" authorId="3" shapeId="0">
      <text>
        <t>V5.1: Типы_продукта!A26:M26; Микс_продаж!B8; B17</t>
      </text>
    </comment>
    <comment ref="D275" authorId="3" shapeId="0">
      <text>
        <t>V5.1: Типы_продукта!A26:M26; Микс_продаж!B8; B17</t>
      </text>
    </comment>
    <comment ref="E275" authorId="3" shapeId="0">
      <text>
        <t>V5.1: Типы_продукта!A26:M26; Микс_продаж!B8; B17</t>
      </text>
    </comment>
    <comment ref="F275" authorId="3" shapeId="0">
      <text>
        <t>V5.1: Типы_продукта!A26:M26; Микс_продаж!B8; B17</t>
      </text>
    </comment>
    <comment ref="G275" authorId="3" shapeId="0">
      <text>
        <t>V5.1: Типы_продукта!A26:M26; Микс_продаж!B8; B17</t>
      </text>
    </comment>
    <comment ref="H275" authorId="3" shapeId="0">
      <text>
        <t>V5.1: Типы_продукта!A26:M26; Микс_продаж!B8; B17</t>
      </text>
    </comment>
    <comment ref="I275" authorId="3" shapeId="0">
      <text>
        <t>V5.1: Типы_продукта!A26:M26; Микс_продаж!B8; B17</t>
      </text>
    </comment>
    <comment ref="J275" authorId="3" shapeId="0">
      <text>
        <t>V5.1: Типы_продукта!A26:M26; Микс_продаж!B8; B17</t>
      </text>
    </comment>
    <comment ref="K275" authorId="3" shapeId="0">
      <text>
        <t>V5.1: Типы_продукта!A26:M26; Микс_продаж!B8; B17</t>
      </text>
    </comment>
    <comment ref="A276" authorId="3" shapeId="0">
      <text>
        <t>V5.1: Типы_продукта!A27:M27; Микс_продаж!B8; C17</t>
      </text>
    </comment>
    <comment ref="B276" authorId="3" shapeId="0">
      <text>
        <t>V5.1: Типы_продукта!A27:M27; Микс_продаж!B8; C17</t>
      </text>
    </comment>
    <comment ref="C276" authorId="3" shapeId="0">
      <text>
        <t>V5.1: Типы_продукта!A27:M27; Микс_продаж!B8; C17</t>
      </text>
    </comment>
    <comment ref="D276" authorId="3" shapeId="0">
      <text>
        <t>V5.1: Типы_продукта!A27:M27; Микс_продаж!B8; C17</t>
      </text>
    </comment>
    <comment ref="E276" authorId="3" shapeId="0">
      <text>
        <t>V5.1: Типы_продукта!A27:M27; Микс_продаж!B8; C17</t>
      </text>
    </comment>
    <comment ref="F276" authorId="3" shapeId="0">
      <text>
        <t>V5.1: Типы_продукта!A27:M27; Микс_продаж!B8; C17</t>
      </text>
    </comment>
    <comment ref="G276" authorId="3" shapeId="0">
      <text>
        <t>V5.1: Типы_продукта!A27:M27; Микс_продаж!B8; C17</t>
      </text>
    </comment>
    <comment ref="H276" authorId="3" shapeId="0">
      <text>
        <t>V5.1: Типы_продукта!A27:M27; Микс_продаж!B8; C17</t>
      </text>
    </comment>
    <comment ref="I276" authorId="3" shapeId="0">
      <text>
        <t>V5.1: Типы_продукта!A27:M27; Микс_продаж!B8; C17</t>
      </text>
    </comment>
    <comment ref="J276" authorId="3" shapeId="0">
      <text>
        <t>V5.1: Типы_продукта!A27:M27; Микс_продаж!B8; C17</t>
      </text>
    </comment>
    <comment ref="K276" authorId="3" shapeId="0">
      <text>
        <t>V5.1: Типы_продукта!A27:M27; Микс_продаж!B8; C17</t>
      </text>
    </comment>
    <comment ref="A277" authorId="3" shapeId="0">
      <text>
        <t>V5.1: Типы_продукта!A28:M28; Микс_продаж!B8; D17</t>
      </text>
    </comment>
    <comment ref="B277" authorId="3" shapeId="0">
      <text>
        <t>V5.1: Типы_продукта!A28:M28; Микс_продаж!B8; D17</t>
      </text>
    </comment>
    <comment ref="C277" authorId="3" shapeId="0">
      <text>
        <t>V5.1: Типы_продукта!A28:M28; Микс_продаж!B8; D17</t>
      </text>
    </comment>
    <comment ref="D277" authorId="3" shapeId="0">
      <text>
        <t>V5.1: Типы_продукта!A28:M28; Микс_продаж!B8; D17</t>
      </text>
    </comment>
    <comment ref="E277" authorId="3" shapeId="0">
      <text>
        <t>V5.1: Типы_продукта!A28:M28; Микс_продаж!B8; D17</t>
      </text>
    </comment>
    <comment ref="F277" authorId="3" shapeId="0">
      <text>
        <t>V5.1: Типы_продукта!A28:M28; Микс_продаж!B8; D17</t>
      </text>
    </comment>
    <comment ref="G277" authorId="3" shapeId="0">
      <text>
        <t>V5.1: Типы_продукта!A28:M28; Микс_продаж!B8; D17</t>
      </text>
    </comment>
    <comment ref="H277" authorId="3" shapeId="0">
      <text>
        <t>V5.1: Типы_продукта!A28:M28; Микс_продаж!B8; D17</t>
      </text>
    </comment>
    <comment ref="I277" authorId="3" shapeId="0">
      <text>
        <t>V5.1: Типы_продукта!A28:M28; Микс_продаж!B8; D17</t>
      </text>
    </comment>
    <comment ref="J277" authorId="3" shapeId="0">
      <text>
        <t>V5.1: Типы_продукта!A28:M28; Микс_продаж!B8; D17</t>
      </text>
    </comment>
    <comment ref="K277" authorId="3" shapeId="0">
      <text>
        <t>V5.1: Типы_продукта!A28:M28; Микс_продаж!B8; D17</t>
      </text>
    </comment>
    <comment ref="A278" authorId="3" shapeId="0">
      <text>
        <t>V5.1: Типы_продукта!A29:M29; Микс_продаж!B8; E17</t>
      </text>
    </comment>
    <comment ref="B278" authorId="3" shapeId="0">
      <text>
        <t>V5.1: Типы_продукта!A29:M29; Микс_продаж!B8; E17</t>
      </text>
    </comment>
    <comment ref="C278" authorId="3" shapeId="0">
      <text>
        <t>V5.1: Типы_продукта!A29:M29; Микс_продаж!B8; E17</t>
      </text>
    </comment>
    <comment ref="D278" authorId="3" shapeId="0">
      <text>
        <t>V5.1: Типы_продукта!A29:M29; Микс_продаж!B8; E17</t>
      </text>
    </comment>
    <comment ref="E278" authorId="3" shapeId="0">
      <text>
        <t>V5.1: Типы_продукта!A29:M29; Микс_продаж!B8; E17</t>
      </text>
    </comment>
    <comment ref="F278" authorId="3" shapeId="0">
      <text>
        <t>V5.1: Типы_продукта!A29:M29; Микс_продаж!B8; E17</t>
      </text>
    </comment>
    <comment ref="G278" authorId="3" shapeId="0">
      <text>
        <t>V5.1: Типы_продукта!A29:M29; Микс_продаж!B8; E17</t>
      </text>
    </comment>
    <comment ref="H278" authorId="3" shapeId="0">
      <text>
        <t>V5.1: Типы_продукта!A29:M29; Микс_продаж!B8; E17</t>
      </text>
    </comment>
    <comment ref="I278" authorId="3" shapeId="0">
      <text>
        <t>V5.1: Типы_продукта!A29:M29; Микс_продаж!B8; E17</t>
      </text>
    </comment>
    <comment ref="J278" authorId="3" shapeId="0">
      <text>
        <t>V5.1: Типы_продукта!A29:M29; Микс_продаж!B8; E17</t>
      </text>
    </comment>
    <comment ref="K278" authorId="3" shapeId="0">
      <text>
        <t>V5.1: Типы_продукта!A29:M29; Микс_продаж!B8; E17</t>
      </text>
    </comment>
    <comment ref="A279" authorId="3" shapeId="0">
      <text>
        <t>V5.1: Типы_продукта!A30:M30; Микс_продаж!B9; B18</t>
      </text>
    </comment>
    <comment ref="B279" authorId="3" shapeId="0">
      <text>
        <t>V5.1: Типы_продукта!A30:M30; Микс_продаж!B9; B18</t>
      </text>
    </comment>
    <comment ref="C279" authorId="3" shapeId="0">
      <text>
        <t>V5.1: Типы_продукта!A30:M30; Микс_продаж!B9; B18</t>
      </text>
    </comment>
    <comment ref="D279" authorId="3" shapeId="0">
      <text>
        <t>V5.1: Типы_продукта!A30:M30; Микс_продаж!B9; B18</t>
      </text>
    </comment>
    <comment ref="E279" authorId="3" shapeId="0">
      <text>
        <t>V5.1: Типы_продукта!A30:M30; Микс_продаж!B9; B18</t>
      </text>
    </comment>
    <comment ref="F279" authorId="3" shapeId="0">
      <text>
        <t>V5.1: Типы_продукта!A30:M30; Микс_продаж!B9; B18</t>
      </text>
    </comment>
    <comment ref="G279" authorId="3" shapeId="0">
      <text>
        <t>V5.1: Типы_продукта!A30:M30; Микс_продаж!B9; B18</t>
      </text>
    </comment>
    <comment ref="H279" authorId="3" shapeId="0">
      <text>
        <t>V5.1: Типы_продукта!A30:M30; Микс_продаж!B9; B18</t>
      </text>
    </comment>
    <comment ref="I279" authorId="3" shapeId="0">
      <text>
        <t>V5.1: Типы_продукта!A30:M30; Микс_продаж!B9; B18</t>
      </text>
    </comment>
    <comment ref="J279" authorId="3" shapeId="0">
      <text>
        <t>V5.1: Типы_продукта!A30:M30; Микс_продаж!B9; B18</t>
      </text>
    </comment>
    <comment ref="K279" authorId="3" shapeId="0">
      <text>
        <t>V5.1: Типы_продукта!A30:M30; Микс_продаж!B9; B18</t>
      </text>
    </comment>
    <comment ref="A280" authorId="3" shapeId="0">
      <text>
        <t>V5.1: Типы_продукта!A31:M31; Микс_продаж!B9; C18</t>
      </text>
    </comment>
    <comment ref="B280" authorId="3" shapeId="0">
      <text>
        <t>V5.1: Типы_продукта!A31:M31; Микс_продаж!B9; C18</t>
      </text>
    </comment>
    <comment ref="C280" authorId="3" shapeId="0">
      <text>
        <t>V5.1: Типы_продукта!A31:M31; Микс_продаж!B9; C18</t>
      </text>
    </comment>
    <comment ref="D280" authorId="3" shapeId="0">
      <text>
        <t>V5.1: Типы_продукта!A31:M31; Микс_продаж!B9; C18</t>
      </text>
    </comment>
    <comment ref="E280" authorId="3" shapeId="0">
      <text>
        <t>V5.1: Типы_продукта!A31:M31; Микс_продаж!B9; C18</t>
      </text>
    </comment>
    <comment ref="F280" authorId="3" shapeId="0">
      <text>
        <t>V5.1: Типы_продукта!A31:M31; Микс_продаж!B9; C18</t>
      </text>
    </comment>
    <comment ref="G280" authorId="3" shapeId="0">
      <text>
        <t>V5.1: Типы_продукта!A31:M31; Микс_продаж!B9; C18</t>
      </text>
    </comment>
    <comment ref="H280" authorId="3" shapeId="0">
      <text>
        <t>V5.1: Типы_продукта!A31:M31; Микс_продаж!B9; C18</t>
      </text>
    </comment>
    <comment ref="I280" authorId="3" shapeId="0">
      <text>
        <t>V5.1: Типы_продукта!A31:M31; Микс_продаж!B9; C18</t>
      </text>
    </comment>
    <comment ref="J280" authorId="3" shapeId="0">
      <text>
        <t>V5.1: Типы_продукта!A31:M31; Микс_продаж!B9; C18</t>
      </text>
    </comment>
    <comment ref="K280" authorId="3" shapeId="0">
      <text>
        <t>V5.1: Типы_продукта!A31:M31; Микс_продаж!B9; C18</t>
      </text>
    </comment>
    <comment ref="A281" authorId="3" shapeId="0">
      <text>
        <t>V5.1: Типы_продукта!A32:M32; Микс_продаж!B9; D18</t>
      </text>
    </comment>
    <comment ref="B281" authorId="3" shapeId="0">
      <text>
        <t>V5.1: Типы_продукта!A32:M32; Микс_продаж!B9; D18</t>
      </text>
    </comment>
    <comment ref="C281" authorId="3" shapeId="0">
      <text>
        <t>V5.1: Типы_продукта!A32:M32; Микс_продаж!B9; D18</t>
      </text>
    </comment>
    <comment ref="D281" authorId="3" shapeId="0">
      <text>
        <t>V5.1: Типы_продукта!A32:M32; Микс_продаж!B9; D18</t>
      </text>
    </comment>
    <comment ref="E281" authorId="3" shapeId="0">
      <text>
        <t>V5.1: Типы_продукта!A32:M32; Микс_продаж!B9; D18</t>
      </text>
    </comment>
    <comment ref="F281" authorId="3" shapeId="0">
      <text>
        <t>V5.1: Типы_продукта!A32:M32; Микс_продаж!B9; D18</t>
      </text>
    </comment>
    <comment ref="G281" authorId="3" shapeId="0">
      <text>
        <t>V5.1: Типы_продукта!A32:M32; Микс_продаж!B9; D18</t>
      </text>
    </comment>
    <comment ref="H281" authorId="3" shapeId="0">
      <text>
        <t>V5.1: Типы_продукта!A32:M32; Микс_продаж!B9; D18</t>
      </text>
    </comment>
    <comment ref="I281" authorId="3" shapeId="0">
      <text>
        <t>V5.1: Типы_продукта!A32:M32; Микс_продаж!B9; D18</t>
      </text>
    </comment>
    <comment ref="J281" authorId="3" shapeId="0">
      <text>
        <t>V5.1: Типы_продукта!A32:M32; Микс_продаж!B9; D18</t>
      </text>
    </comment>
    <comment ref="K281" authorId="3" shapeId="0">
      <text>
        <t>V5.1: Типы_продукта!A32:M32; Микс_продаж!B9; D18</t>
      </text>
    </comment>
    <comment ref="A282" authorId="3" shapeId="0">
      <text>
        <t>V5.1: Типы_продукта!A33:M33; Микс_продаж!B9; E18</t>
      </text>
    </comment>
    <comment ref="B282" authorId="3" shapeId="0">
      <text>
        <t>V5.1: Типы_продукта!A33:M33; Микс_продаж!B9; E18</t>
      </text>
    </comment>
    <comment ref="C282" authorId="3" shapeId="0">
      <text>
        <t>V5.1: Типы_продукта!A33:M33; Микс_продаж!B9; E18</t>
      </text>
    </comment>
    <comment ref="D282" authorId="3" shapeId="0">
      <text>
        <t>V5.1: Типы_продукта!A33:M33; Микс_продаж!B9; E18</t>
      </text>
    </comment>
    <comment ref="E282" authorId="3" shapeId="0">
      <text>
        <t>V5.1: Типы_продукта!A33:M33; Микс_продаж!B9; E18</t>
      </text>
    </comment>
    <comment ref="F282" authorId="3" shapeId="0">
      <text>
        <t>V5.1: Типы_продукта!A33:M33; Микс_продаж!B9; E18</t>
      </text>
    </comment>
    <comment ref="G282" authorId="3" shapeId="0">
      <text>
        <t>V5.1: Типы_продукта!A33:M33; Микс_продаж!B9; E18</t>
      </text>
    </comment>
    <comment ref="H282" authorId="3" shapeId="0">
      <text>
        <t>V5.1: Типы_продукта!A33:M33; Микс_продаж!B9; E18</t>
      </text>
    </comment>
    <comment ref="I282" authorId="3" shapeId="0">
      <text>
        <t>V5.1: Типы_продукта!A33:M33; Микс_продаж!B9; E18</t>
      </text>
    </comment>
    <comment ref="J282" authorId="3" shapeId="0">
      <text>
        <t>V5.1: Типы_продукта!A33:M33; Микс_продаж!B9; E18</t>
      </text>
    </comment>
    <comment ref="K282" authorId="3" shapeId="0">
      <text>
        <t>V5.1: Типы_продукта!A33:M33; Микс_продаж!B9; E18</t>
      </text>
    </comment>
    <comment ref="C283" authorId="2" shapeId="0">
      <text>
        <t>РАСЧЁТ, НЕ ВВОДИТЬ.
Эта ячейка считается формулой. Если вписать сюда число, связь со сценариями и тарифным миксом пропадёт.</t>
      </text>
    </comment>
    <comment ref="B286" authorId="5" shapeId="0">
      <text>
        <t>Финмодель франшизы Спартак — чистовая версия v4.0(1).xlsx; Допущения!B42; 1% выручки с НДС — сохранено правило v4; база не заменена молча на чистую выручку.</t>
      </text>
    </comment>
    <comment ref="B287" authorId="5" shapeId="0">
      <text>
        <t>Финмодель франшизы Спартак — чистовая версия v4.0(1).xlsx; Допущения!B41; В приложенной v4 указано именно 1 000 ₽. Восстановлено без изменения суммы.</t>
      </text>
    </comment>
    <comment ref="B288" authorId="5" shapeId="0">
      <text>
        <t>Финмодель франшизы Спартак — чистовая версия v4.0(1).xlsx; Допущения!B41:B42; По умолчанию С НДС, как в v4. Начисленная выручка всех направлений, не авансы.</t>
      </text>
    </comment>
    <comment ref="B289" authorId="2" shapeId="0">
      <text>
        <t>ФОРМУЛА ПО УМОЛЧАНИЮ.
По умолчанию = дата старта модели (B7). Можно вписать свою дату.</t>
      </text>
    </comment>
    <comment ref="B290" authorId="5" shapeId="0">
      <text>
        <t>Финмодель франшизы Спартак — чистовая версия v4.0(1).xlsx; Допущения!B41:B42; Да — CAPEX вычитается до возврата займа. Нет — контрольное воспроизведение V8.2.</t>
      </text>
    </comment>
    <comment ref="B293" authorId="2" shapeId="0">
      <text>
        <t>Источник: подтверждение пользователя 09.09.2026; допущения v4 и формула постепенного набора.
Ежегодно в июне, как в v4; зарплаты отдельно в сентябре.</t>
      </text>
    </comment>
    <comment ref="B294" authorId="2" shapeId="0">
      <text>
        <t>Источник: подтверждение пользователя 09.09.2026; допущения v4 и формула постепенного набора.
Абонемент, паушальный, форма, ERP, IT, юристы, реклама, SMM-подрядчики, резерв ротации. Офис, мин. роялти, лагеря не меняются.</t>
      </text>
    </comment>
    <comment ref="B295" authorId="2" shapeId="0">
      <text>
        <t>Источник: подтверждение пользователя 09.09.2026; допущения v4 и формула постепенного набора.
Месяцы 1-12: 1/12...12/12 плана 1-го года; 13-24: плавный переход к плану 2-го. Нет - только для сверки с V8.3.</t>
      </text>
    </comment>
    <comment ref="B296" authorId="2" shapeId="0">
      <text>
        <t>Источник: подтверждение пользователя 09.09.2026; допущения v4 и формула постепенного набора.
С следующего сентября, но не раньше завершения трех первичных поставок. Без ожидания 12 месяцев.</t>
      </text>
    </comment>
    <comment ref="B297" authorId="2" shapeId="0">
      <text>
        <t>Источник: подтверждение пользователя 09.09.2026; допущения v4 и формула постепенного набора.
В V8.3 было 0; в v4 - 2. Не изменено без отдельного подтверждения.</t>
      </text>
    </comment>
    <comment ref="B298" authorId="2" shapeId="0">
      <text>
        <t>Источник: подтверждение пользователя 09.09.2026; допущения v4 и формула постепенного набора.
В V8.3 - 100%; база v4 - 95%. Закрытия отдельно в B13 (пока 0%).</t>
      </text>
    </comment>
    <comment ref="B301" authorId="2" shapeId="0">
      <text>
        <t>Источник: v4, таблица допущений по инфляции; 7% в год.
2032 год продлевает технический запас прогноза с тем же плановым допущением.</t>
      </text>
    </comment>
    <comment ref="B302" authorId="2" shapeId="0">
      <text>
        <t>Источник: v4, таблица допущений по инфляции; 7% в год.
2032 год продлевает технический запас прогноза с тем же плановым допущением.</t>
      </text>
    </comment>
    <comment ref="B303" authorId="2" shapeId="0">
      <text>
        <t>Источник: v4, таблица допущений по инфляции; 7% в год.
2032 год продлевает технический запас прогноза с тем же плановым допущением.</t>
      </text>
    </comment>
    <comment ref="B304" authorId="2" shapeId="0">
      <text>
        <t>Источник: v4, таблица допущений по инфляции; 7% в год.
2032 год продлевает технический запас прогноза с тем же плановым допущением.</t>
      </text>
    </comment>
    <comment ref="B305" authorId="2" shapeId="0">
      <text>
        <t>Источник: v4, таблица допущений по инфляции; 7% в год.
2032 год продлевает технический запас прогноза с тем же плановым допущением.</t>
      </text>
    </comment>
    <comment ref="B306" authorId="2" shapeId="0">
      <text>
        <t>Источник: v4, таблица допущений по инфляции; 7% в год.
2032 год продлевает технический запас прогноза с тем же плановым допущением.</t>
      </text>
    </comment>
    <comment ref="B307" authorId="2" shapeId="0">
      <text>
        <t>Источник: v4, таблица допущений по инфляции; 7% в год.
2032 год продлевает технический запас прогноза с тем же плановым допущением.</t>
      </text>
    </comment>
  </commentList>
</comments>
</file>

<file path=xl/comments/comment2.xml><?xml version="1.0" encoding="utf-8"?>
<comments xmlns="http://schemas.openxmlformats.org/spreadsheetml/2006/main">
  <authors>
    <author>Model review</author>
  </authors>
  <commentList>
    <comment ref="B57" authorId="0" shapeId="0">
      <text>
        <t>v4: выручка с НДС × 1% + разовый CAPEX. Оплата в текущем месяце, до возврата займа; в EBITDA не включается.</t>
      </text>
    </comment>
  </commentList>
</comments>
</file>

<file path=xl/comments/comment3.xml><?xml version="1.0" encoding="utf-8"?>
<comments xmlns="http://schemas.openxmlformats.org/spreadsheetml/2006/main">
  <authors>
    <author>Модель</author>
    <author>Model review</author>
  </authors>
  <commentList>
    <comment ref="D5"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6"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7"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8"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9"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B17" authorId="1" shapeId="0">
      <text>
        <t>Убран численный шум: 72,00000000000001 не должно превращаться в 73 лида. Финансовые продажи не изменены.</t>
      </text>
    </comment>
  </commentList>
</comments>
</file>

<file path=xl/comments/comment4.xml><?xml version="1.0" encoding="utf-8"?>
<comments xmlns="http://schemas.openxmlformats.org/spreadsheetml/2006/main">
  <authors>
    <author>Модель</author>
  </authors>
  <commentList>
    <comment ref="B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List>
</comments>
</file>

<file path=xl/comments/comment5.xml><?xml version="1.0" encoding="utf-8"?>
<comments xmlns="http://schemas.openxmlformats.org/spreadsheetml/2006/main">
  <authors>
    <author>Источник</author>
    <author>Сверка</author>
  </authors>
  <commentList>
    <comment ref="B7"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7"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7" authorId="0" shapeId="0">
      <text>
        <t>Снимок независимого пересчёта. Источник: Spartak_V8_1_scenarios_sensitivity.xlsx; 07_Модель / 03_Сеть_и_дети. Не является вводной модели.</t>
      </text>
    </comment>
    <comment ref="B8"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8"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8" authorId="0" shapeId="0">
      <text>
        <t>Снимок независимого пересчёта. Источник: Spartak_V8_1_scenarios_sensitivity.xlsx; 07_Модель / 03_Сеть_и_дети. Не является вводной модели.</t>
      </text>
    </comment>
    <comment ref="B9"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9"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9" authorId="0" shapeId="0">
      <text>
        <t>Снимок независимого пересчёта. Источник: Spartak_V8_1_scenarios_sensitivity.xlsx; 07_Модель / 03_Сеть_и_дети. Не является вводной модели.</t>
      </text>
    </comment>
    <comment ref="B10"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0"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0" authorId="0" shapeId="0">
      <text>
        <t>Снимок независимого пересчёта. Источник: Spartak_V8_1_scenarios_sensitivity.xlsx; 07_Модель / 03_Сеть_и_дети. Не является вводной модели.</t>
      </text>
    </comment>
    <comment ref="B11"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1"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1" authorId="0" shapeId="0">
      <text>
        <t>Снимок независимого пересчёта. Источник: Spartak_V8_1_scenarios_sensitivity.xlsx; 07_Модель / 03_Сеть_и_дети. Не является вводной модели.</t>
      </text>
    </comment>
    <comment ref="B12"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2"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2" authorId="0" shapeId="0">
      <text>
        <t>Снимок независимого пересчёта. Источник: Spartak_V8_1_scenarios_sensitivity.xlsx; 07_Модель / 03_Сеть_и_дети. Не является вводной модели.</t>
      </text>
    </comment>
    <comment ref="B13"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3"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3" authorId="0" shapeId="0">
      <text>
        <t>Снимок независимого пересчёта. Источник: Spartak_V8_1_scenarios_sensitivity.xlsx; 07_Модель / 03_Сеть_и_дети. Не является вводной модели.</t>
      </text>
    </comment>
    <comment ref="B14"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4"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4" authorId="0" shapeId="0">
      <text>
        <t>Снимок независимого пересчёта. Источник: Spartak_V8_1_scenarios_sensitivity.xlsx; 07_Модель / 03_Сеть_и_дети. Не является вводной модели.</t>
      </text>
    </comment>
    <comment ref="B15"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5"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5" authorId="0" shapeId="0">
      <text>
        <t>Снимок независимого пересчёта. Источник: Spartak_V8_1_scenarios_sensitivity.xlsx; 07_Модель / 03_Сеть_и_дети. Не является вводной модели.</t>
      </text>
    </comment>
    <comment ref="B16"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6"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6" authorId="0" shapeId="0">
      <text>
        <t>Снимок независимого пересчёта. Источник: Spartak_V8_1_scenarios_sensitivity.xlsx; 07_Модель / 03_Сеть_и_дети. Не является вводной модели.</t>
      </text>
    </comment>
    <comment ref="B17"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7"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7" authorId="0" shapeId="0">
      <text>
        <t>Снимок независимого пересчёта. Источник: Spartak_V8_1_scenarios_sensitivity.xlsx; 07_Модель / 03_Сеть_и_дети. Не является вводной модели.</t>
      </text>
    </comment>
    <comment ref="B23" authorId="1" shapeId="0">
      <text>
        <t>Независимый пересчёт после последовательного применения указанной правки, с исходными вводными. Все суммы в млн ₽.</t>
      </text>
    </comment>
    <comment ref="C23" authorId="1" shapeId="0">
      <text>
        <t>Независимый пересчёт после последовательного применения указанной правки, с исходными вводными. Все суммы в млн ₽.</t>
      </text>
    </comment>
    <comment ref="D23" authorId="1" shapeId="0">
      <text>
        <t>Независимый пересчёт после последовательного применения указанной правки, с исходными вводными. Все суммы в млн ₽.</t>
      </text>
    </comment>
    <comment ref="B24" authorId="1" shapeId="0">
      <text>
        <t>Независимый пересчёт после последовательного применения указанной правки, с исходными вводными. Все суммы в млн ₽.</t>
      </text>
    </comment>
    <comment ref="C24" authorId="1" shapeId="0">
      <text>
        <t>Независимый пересчёт после последовательного применения указанной правки, с исходными вводными. Все суммы в млн ₽.</t>
      </text>
    </comment>
    <comment ref="D24" authorId="1" shapeId="0">
      <text>
        <t>Независимый пересчёт после последовательного применения указанной правки, с исходными вводными. Все суммы в млн ₽.</t>
      </text>
    </comment>
    <comment ref="B25" authorId="1" shapeId="0">
      <text>
        <t>Независимый пересчёт после последовательного применения указанной правки, с исходными вводными. Все суммы в млн ₽.</t>
      </text>
    </comment>
    <comment ref="C25" authorId="1" shapeId="0">
      <text>
        <t>Независимый пересчёт после последовательного применения указанной правки, с исходными вводными. Все суммы в млн ₽.</t>
      </text>
    </comment>
    <comment ref="D25" authorId="1" shapeId="0">
      <text>
        <t>Независимый пересчёт после последовательного применения указанной правки, с исходными вводными. Все суммы в млн ₽.</t>
      </text>
    </comment>
    <comment ref="B26" authorId="1" shapeId="0">
      <text>
        <t>Независимый пересчёт после последовательного применения указанной правки, с исходными вводными. Все суммы в млн ₽.</t>
      </text>
    </comment>
    <comment ref="C26" authorId="1" shapeId="0">
      <text>
        <t>Независимый пересчёт после последовательного применения указанной правки, с исходными вводными. Все суммы в млн ₽.</t>
      </text>
    </comment>
    <comment ref="D26" authorId="1" shapeId="0">
      <text>
        <t>Независимый пересчёт после последовательного применения указанной правки, с исходными вводными. Все суммы в млн ₽.</t>
      </text>
    </comment>
    <comment ref="B27" authorId="1" shapeId="0">
      <text>
        <t>Независимый пересчёт после последовательного применения указанной правки, с исходными вводными. Все суммы в млн ₽.</t>
      </text>
    </comment>
    <comment ref="C27" authorId="1" shapeId="0">
      <text>
        <t>Независимый пересчёт после последовательного применения указанной правки, с исходными вводными. Все суммы в млн ₽.</t>
      </text>
    </comment>
    <comment ref="D27" authorId="1" shapeId="0">
      <text>
        <t>Независимый пересчёт после последовательного применения указанной правки, с исходными вводными. Все суммы в млн ₽.</t>
      </text>
    </comment>
    <comment ref="B28" authorId="1" shapeId="0">
      <text>
        <t>Независимый пересчёт после последовательного применения указанной правки, с исходными вводными. Все суммы в млн ₽.</t>
      </text>
    </comment>
    <comment ref="C28" authorId="1" shapeId="0">
      <text>
        <t>Независимый пересчёт после последовательного применения указанной правки, с исходными вводными. Все суммы в млн ₽.</t>
      </text>
    </comment>
    <comment ref="D28" authorId="1" shapeId="0">
      <text>
        <t>Независимый пересчёт после последовательного применения указанной правки, с исходными вводными. Все суммы в млн ₽.</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81</row>
      <rowOff>0</rowOff>
    </from>
    <ext cx="9360000" cy="360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61</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oneCellAnchor>
    <from>
      <col>9</col>
      <colOff>0</colOff>
      <row>81</row>
      <rowOff>0</rowOff>
    </from>
    <ext cx="5400000" cy="2700000"/>
    <graphicFrame>
      <nvGraphicFramePr>
        <cNvPr id="4" name="Chart 4"/>
        <cNvGraphicFramePr/>
      </nvGraphicFramePr>
      <xfrm/>
      <a:graphic>
        <a:graphicData uri="http://schemas.openxmlformats.org/drawingml/2006/chart">
          <c:chart r:id="rId4"/>
        </a:graphicData>
      </a:graphic>
    </graphicFrame>
    <clientData/>
  </oneCellAnchor>
  <oneCellAnchor>
    <from>
      <col>9</col>
      <colOff>0</colOff>
      <row>101</row>
      <rowOff>0</rowOff>
    </from>
    <ext cx="540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tabColor rgb="009E1B31"/>
    <outlinePr summaryBelow="1" summaryRight="1"/>
    <pageSetUpPr fitToPage="1"/>
  </sheetPr>
  <dimension ref="A1:D75"/>
  <sheetViews>
    <sheetView showGridLines="0" workbookViewId="0">
      <pane ySplit="3" topLeftCell="A4" activePane="bottomLeft" state="frozen"/>
      <selection pane="bottomLeft" activeCell="A1" sqref="A1"/>
    </sheetView>
  </sheetViews>
  <sheetFormatPr baseColWidth="8" defaultRowHeight="15"/>
  <cols>
    <col width="46" customWidth="1" min="1" max="1"/>
    <col width="24" customWidth="1" min="2" max="2"/>
    <col width="12" customWidth="1" min="3" max="3"/>
    <col width="74" customWidth="1" min="4" max="4"/>
    <col width="4" customWidth="1" min="5" max="5"/>
  </cols>
  <sheetData>
    <row r="1">
      <c r="A1" s="226" t="inlineStr">
        <is>
          <t>СПАРТАК · финансовая модель — с чего начать</t>
        </is>
      </c>
    </row>
    <row r="2">
      <c r="A2" s="227" t="inlineStr">
        <is>
          <t>Три действия: посмотреть результат → поменять вводные → проверить сходимость. Считать вручную ничего не нужно.</t>
        </is>
      </c>
    </row>
    <row r="4">
      <c r="A4" s="228" t="inlineStr">
        <is>
          <t>ШАГ 1 · Что уже посчитано</t>
        </is>
      </c>
      <c r="D4" s="229" t="inlineStr">
        <is>
          <t>все суммы в млн ₽, если не указано иное</t>
        </is>
      </c>
    </row>
    <row r="5">
      <c r="A5" s="230" t="inlineStr">
        <is>
          <t>Показатель</t>
        </is>
      </c>
      <c r="B5" s="230" t="inlineStr">
        <is>
          <t>Значение</t>
        </is>
      </c>
      <c r="C5" s="230" t="inlineStr">
        <is>
          <t>Ед.</t>
        </is>
      </c>
      <c r="D5" s="230" t="inlineStr">
        <is>
          <t>Что это значит</t>
        </is>
      </c>
    </row>
    <row r="6">
      <c r="A6" s="231" t="inlineStr">
        <is>
          <t>Активный сценарий</t>
        </is>
      </c>
      <c r="B6" s="232">
        <f>'01_Вводные'!$B$192</f>
        <v/>
      </c>
      <c r="C6" s="233" t="inlineStr"/>
      <c r="D6" s="234" t="inlineStr">
        <is>
          <t>Меняется на 01_Вводные!B192. Пересчитывает всю книгу.</t>
        </is>
      </c>
    </row>
    <row r="7">
      <c r="A7" s="231" t="inlineStr">
        <is>
          <t>Старт горизонта</t>
        </is>
      </c>
      <c r="B7" s="235">
        <f>'01_Вводные'!$B$7</f>
        <v/>
      </c>
      <c r="C7" s="233" t="inlineStr"/>
      <c r="D7" s="234" t="inlineStr">
        <is>
          <t>Дальше 60 месяцев. Сезон = сентябрь–август.</t>
        </is>
      </c>
    </row>
    <row r="8">
      <c r="A8" s="231" t="inlineStr">
        <is>
          <t>Выручка без НДС, 5 сезонов</t>
        </is>
      </c>
      <c r="B8" s="236">
        <f>'00_Дашборд'!$H$24/1000000</f>
        <v/>
      </c>
      <c r="C8" s="233" t="inlineStr">
        <is>
          <t>млн ₽</t>
        </is>
      </c>
      <c r="D8" s="234" t="inlineStr">
        <is>
          <t>Паушальные + роялти + мерч + лагеря.</t>
        </is>
      </c>
    </row>
    <row r="9">
      <c r="A9" s="231" t="inlineStr">
        <is>
          <t>EBITDA, 5 сезонов</t>
        </is>
      </c>
      <c r="B9" s="236">
        <f>'00_Дашборд'!$H$29/1000000</f>
        <v/>
      </c>
      <c r="C9" s="233" t="inlineStr">
        <is>
          <t>млн ₽</t>
        </is>
      </c>
      <c r="D9" s="234" t="inlineStr">
        <is>
          <t>До налога УСН, до CAPEX и до возврата займа.</t>
        </is>
      </c>
    </row>
    <row r="10">
      <c r="A10" s="231" t="inlineStr">
        <is>
          <t>Рентабельность EBITDA</t>
        </is>
      </c>
      <c r="B10" s="237">
        <f>'00_Дашборд'!$H$30</f>
        <v/>
      </c>
      <c r="C10" s="233" t="inlineStr">
        <is>
          <t>%</t>
        </is>
      </c>
      <c r="D10" s="234" t="inlineStr">
        <is>
          <t>EBITDA / выручка без НДС за весь горизонт.</t>
        </is>
      </c>
    </row>
    <row r="11">
      <c r="A11" s="231" t="inlineStr">
        <is>
          <t>Деньги на конец горизонта</t>
        </is>
      </c>
      <c r="B11" s="236">
        <f>'00_Дашборд'!$H$32/1000000</f>
        <v/>
      </c>
      <c r="C11" s="233" t="inlineStr">
        <is>
          <t>млн ₽</t>
        </is>
      </c>
      <c r="D11" s="234" t="inlineStr">
        <is>
          <t>Остаток на счёте в последнем месяце.</t>
        </is>
      </c>
    </row>
    <row r="12">
      <c r="A12" s="231" t="inlineStr">
        <is>
          <t>Пиковый кассовый дефицит</t>
        </is>
      </c>
      <c r="B12" s="236">
        <f>'00_Дашборд'!$H$38/1000000</f>
        <v/>
      </c>
      <c r="C12" s="233" t="inlineStr">
        <is>
          <t>млн ₽</t>
        </is>
      </c>
      <c r="D12" s="234" t="inlineStr">
        <is>
          <t>Максимальный минус на счёте. Кредит на его покрытие в модель НЕ заложен.</t>
        </is>
      </c>
    </row>
    <row r="13">
      <c r="A13" s="231" t="inlineStr">
        <is>
          <t>Нехватка товара (по COGS)</t>
        </is>
      </c>
      <c r="B13" s="236">
        <f>'13_Проверки'!$B$41/1000000</f>
        <v/>
      </c>
      <c r="C13" s="233" t="inlineStr">
        <is>
          <t>млн ₽</t>
        </is>
      </c>
      <c r="D13" s="234" t="inlineStr">
        <is>
          <t>Если &gt; 0 — план продаж не обеспечен запасом формы.</t>
        </is>
      </c>
    </row>
    <row r="14">
      <c r="A14" s="231" t="inlineStr">
        <is>
          <t>Операционные выплаты ФК</t>
        </is>
      </c>
      <c r="B14" s="236">
        <f>'00_Дашборд'!$H$37/1000000</f>
        <v/>
      </c>
      <c r="C14" s="233" t="inlineStr">
        <is>
          <t>млн ₽</t>
        </is>
      </c>
      <c r="D14" s="234" t="inlineStr">
        <is>
          <t>Деньгами: доли от паушальных, роялти и прибыли мерча.</t>
        </is>
      </c>
    </row>
    <row r="15">
      <c r="A15" s="231" t="inlineStr">
        <is>
          <t>Возврат займа ФК</t>
        </is>
      </c>
      <c r="B15" s="236">
        <f>'00_Дашборд'!$H$34/1000000</f>
        <v/>
      </c>
      <c r="C15" s="233" t="inlineStr">
        <is>
          <t>млн ₽</t>
        </is>
      </c>
      <c r="D15" s="234" t="inlineStr">
        <is>
          <t>Тело займа на мерч, отдельно от операционных выплат.</t>
        </is>
      </c>
    </row>
    <row r="16">
      <c r="A16" s="231" t="inlineStr">
        <is>
          <t>Займ на конец</t>
        </is>
      </c>
      <c r="B16" s="236">
        <f>'00_Дашборд'!$H$35/1000000</f>
        <v/>
      </c>
      <c r="C16" s="233" t="inlineStr">
        <is>
          <t>млн ₽</t>
        </is>
      </c>
      <c r="D16" s="234" t="inlineStr">
        <is>
          <t>Непогашенный остаток стартового займа 50 млн ₽.</t>
        </is>
      </c>
    </row>
    <row r="17">
      <c r="A17" s="231" t="inlineStr">
        <is>
          <t>CAPEX за горизонт</t>
        </is>
      </c>
      <c r="B17" s="236">
        <f>'00_Дашборд'!$H$39/1000000</f>
        <v/>
      </c>
      <c r="C17" s="233" t="inlineStr">
        <is>
          <t>млн ₽</t>
        </is>
      </c>
      <c r="D17" s="234" t="inlineStr">
        <is>
          <t>1% выручки с НДС + разовый CAPEX.</t>
        </is>
      </c>
    </row>
    <row r="18">
      <c r="A18" s="231" t="inlineStr">
        <is>
          <t>Активные школы на конец</t>
        </is>
      </c>
      <c r="B18" s="238">
        <f>'00_Дашборд'!$G$20</f>
        <v/>
      </c>
      <c r="C18" s="233" t="inlineStr"/>
      <c r="D18" s="234" t="inlineStr">
        <is>
          <t>Действующая сеть + новые школы.</t>
        </is>
      </c>
    </row>
    <row r="19">
      <c r="A19" s="231" t="inlineStr">
        <is>
          <t>Продано франшиз за 5 сезонов</t>
        </is>
      </c>
      <c r="B19" s="239">
        <f>'00_Дашборд'!$H$17</f>
        <v/>
      </c>
      <c r="C19" s="233" t="inlineStr"/>
      <c r="D19" s="234" t="inlineStr">
        <is>
          <t>Финансовый план; целые продажи — на 04_Продажи.</t>
        </is>
      </c>
    </row>
    <row r="21">
      <c r="A21" s="228" t="inlineStr">
        <is>
          <t>ШАГ 2 · Что можно менять</t>
        </is>
      </c>
      <c r="D21" s="229" t="inlineStr">
        <is>
          <t>правим ТОЛЬКО жёлтые ячейки на 01_Вводные</t>
        </is>
      </c>
    </row>
    <row r="22">
      <c r="A22" s="230" t="inlineStr">
        <is>
          <t>Переключатель</t>
        </is>
      </c>
      <c r="B22" s="230" t="inlineStr">
        <is>
          <t>Сейчас</t>
        </is>
      </c>
      <c r="C22" s="230" t="inlineStr">
        <is>
          <t>Где</t>
        </is>
      </c>
      <c r="D22" s="230" t="inlineStr">
        <is>
          <t>Что произойдёт</t>
        </is>
      </c>
    </row>
    <row r="23">
      <c r="A23" s="231" t="inlineStr">
        <is>
          <t>Сценарий</t>
        </is>
      </c>
      <c r="B23" s="240">
        <f>'01_Вводные'!$B$192</f>
        <v/>
      </c>
      <c r="C23" s="241" t="inlineStr">
        <is>
          <t>B192</t>
        </is>
      </c>
      <c r="D23" s="234" t="inlineStr">
        <is>
          <t>Меняет 6 драйверов сразу: план продаж, детей, цену абонемента, мерч, таргет, срок роялти.</t>
        </is>
      </c>
    </row>
    <row r="24">
      <c r="A24" s="231" t="inlineStr">
        <is>
          <t>Режим просмотра итога</t>
        </is>
      </c>
      <c r="B24" s="240">
        <f>'01_Вводные'!$B$188</f>
        <v/>
      </c>
      <c r="C24" s="241" t="inlineStr">
        <is>
          <t>B188</t>
        </is>
      </c>
      <c r="D24" s="234" t="inlineStr">
        <is>
          <t>Добавляет к прогнозу фактический сезон 25/26. На формулы прогноза не влияет.</t>
        </is>
      </c>
    </row>
    <row r="25">
      <c r="A25" s="231" t="inlineStr">
        <is>
          <t>Драйвер чувствительности</t>
        </is>
      </c>
      <c r="B25" s="240">
        <f>'01_Вводные'!$B$233</f>
        <v/>
      </c>
      <c r="C25" s="241" t="inlineStr">
        <is>
          <t>B233</t>
        </is>
      </c>
      <c r="D25" s="234" t="inlineStr">
        <is>
          <t>Что именно тестируем на 12_Чувствительность.</t>
        </is>
      </c>
    </row>
    <row r="26">
      <c r="A26" s="231" t="inlineStr">
        <is>
          <t>Чувствительность включена</t>
        </is>
      </c>
      <c r="B26" s="240">
        <f>'01_Вводные'!$B$234</f>
        <v/>
      </c>
      <c r="C26" s="241" t="inlineStr">
        <is>
          <t>B234</t>
        </is>
      </c>
      <c r="D26" s="234" t="inlineStr">
        <is>
          <t>«Нет» отключает два дополнительных прогона — книга считается быстрее.</t>
        </is>
      </c>
    </row>
    <row r="27">
      <c r="A27" s="231" t="inlineStr">
        <is>
          <t>Лагеря включены</t>
        </is>
      </c>
      <c r="B27" s="240">
        <f>'01_Вводные'!$B$241</f>
        <v/>
      </c>
      <c r="C27" s="241" t="inlineStr">
        <is>
          <t>B241</t>
        </is>
      </c>
      <c r="D27" s="234" t="inlineStr">
        <is>
          <t>«Нет» обнуляет продажи, начисления и оплаты лагерей.</t>
        </is>
      </c>
    </row>
    <row r="28">
      <c r="A28" s="231" t="inlineStr">
        <is>
          <t>CAPEX включён</t>
        </is>
      </c>
      <c r="B28" s="240">
        <f>'01_Вводные'!$B$290</f>
        <v/>
      </c>
      <c r="C28" s="241" t="inlineStr">
        <is>
          <t>B290</t>
        </is>
      </c>
      <c r="D28" s="234" t="inlineStr">
        <is>
          <t>«Нет» убирает CAPEX из денег до погашения займа.</t>
        </is>
      </c>
    </row>
    <row r="29">
      <c r="A29" s="231" t="inlineStr">
        <is>
          <t>Индексация вне ФОТ</t>
        </is>
      </c>
      <c r="B29" s="240">
        <f>'01_Вводные'!$B$294</f>
        <v/>
      </c>
      <c r="C29" s="241" t="inlineStr">
        <is>
          <t>B294</t>
        </is>
      </c>
      <c r="D29" s="234" t="inlineStr">
        <is>
          <t>Абонемент, паушальный, форма, ERP, IT, юристы, реклама. Офис и мин. роялти не индексируются.</t>
        </is>
      </c>
    </row>
    <row r="30">
      <c r="A30" s="231" t="inlineStr">
        <is>
          <t>Постепенный набор детей</t>
        </is>
      </c>
      <c r="B30" s="240">
        <f>'01_Вводные'!$B$295</f>
        <v/>
      </c>
      <c r="C30" s="241" t="inlineStr">
        <is>
          <t>B295</t>
        </is>
      </c>
      <c r="D30" s="234" t="inlineStr">
        <is>
          <t>Школа выходит на план за 12 месяцев, потом на план 2-го года за 13–24.</t>
        </is>
      </c>
    </row>
    <row r="31">
      <c r="A31" s="231" t="inlineStr">
        <is>
          <t>Роялти по тарифным группам</t>
        </is>
      </c>
      <c r="B31" s="240">
        <f>'01_Вводные'!$B$239</f>
        <v/>
      </c>
      <c r="C31" s="241" t="inlineStr">
        <is>
          <t>B239</t>
        </is>
      </c>
      <c r="D31" s="234" t="inlineStr">
        <is>
          <t>«Да» — минимум проверяется по каждой школе своего тарифа. «Нет» — прежнее усреднение, только для сверки.</t>
        </is>
      </c>
    </row>
    <row r="32">
      <c r="A32" s="231" t="inlineStr">
        <is>
          <t>Возврат займа ограничен запасом</t>
        </is>
      </c>
      <c r="B32" s="240">
        <f>'01_Вводные'!$B$238</f>
        <v/>
      </c>
      <c r="C32" s="241" t="inlineStr">
        <is>
          <t>B238</t>
        </is>
      </c>
      <c r="D32" s="234" t="inlineStr">
        <is>
          <t>п.27 ТЗ: гасим займ только если склад не ниже цели будущих месяцев.</t>
        </is>
      </c>
    </row>
    <row r="34">
      <c r="A34" s="242" t="inlineStr">
        <is>
          <t>Числовые вводные (цены, оклады, ставки, планы продаж) — там же, на 01_Вводные, по разделам 1–16.</t>
        </is>
      </c>
    </row>
    <row r="35">
      <c r="A35" s="242" t="inlineStr">
        <is>
          <t>Базы сценарных драйверов (план продаж, мощность школы, абонемент, мерч, таргет, дебиторка) — 01_Вводные!B210:B225.</t>
        </is>
      </c>
    </row>
    <row r="37">
      <c r="A37" s="228" t="inlineStr">
        <is>
          <t>ШАГ 3 · Проверить, что модель сошлась</t>
        </is>
      </c>
    </row>
    <row r="38">
      <c r="A38" s="243" t="inlineStr">
        <is>
          <t>Пройдено автопроверок</t>
        </is>
      </c>
      <c r="B38" s="244">
        <f>COUNTIF('13_Проверки'!$C$4:$C$68,"OK")</f>
        <v/>
      </c>
      <c r="D38" s="245" t="inlineStr">
        <is>
          <t>Тесты сходимости БДР↔БДДС, склада, займа, сценариев.</t>
        </is>
      </c>
    </row>
    <row r="39">
      <c r="A39" s="243" t="inlineStr">
        <is>
          <t>Требует проверки</t>
        </is>
      </c>
      <c r="B39" s="244">
        <f>COUNTIF('13_Проверки'!$C$4:$C$68,"ПРОВЕРИТЬ")</f>
        <v/>
      </c>
      <c r="D39" s="245" t="inlineStr">
        <is>
          <t>Должно быть 0. Если больше — открой 13_Проверки.</t>
        </is>
      </c>
    </row>
    <row r="40">
      <c r="A40" s="243" t="inlineStr">
        <is>
          <t>Риск плана</t>
        </is>
      </c>
      <c r="B40" s="244">
        <f>COUNTIF('13_Проверки'!$C$4:$C$68,"РИСК ПЛАНА")</f>
        <v/>
      </c>
      <c r="D40" s="245" t="inlineStr">
        <is>
          <t>Не ошибка формул: нехватка денег или товара показана честно.</t>
        </is>
      </c>
    </row>
    <row r="41">
      <c r="A41" s="243" t="inlineStr">
        <is>
          <t>Сознательное упрощение</t>
        </is>
      </c>
      <c r="B41" s="244">
        <f>COUNTIF('13_Проверки'!$C$4:$C$68,"УПРОЩЕНИЕ")</f>
        <v/>
      </c>
      <c r="D41" s="245" t="inlineStr">
        <is>
          <t>Включён упрощённый режим расчёта (например, роялти без тарифов).</t>
        </is>
      </c>
    </row>
    <row r="42">
      <c r="A42" s="246" t="inlineStr">
        <is>
          <t>Итог</t>
        </is>
      </c>
      <c r="B42" s="247">
        <f>IF(COUNTIF('13_Проверки'!$C$4:$C$68,"ПРОВЕРИТЬ")=0,"Модель сходится","Есть расхождения")</f>
        <v/>
      </c>
      <c r="C42" s="222" t="inlineStr">
        <is>
          <t>13_Проверки</t>
        </is>
      </c>
    </row>
    <row r="44">
      <c r="A44" s="228" t="inlineStr">
        <is>
          <t>Цвета ячеек</t>
        </is>
      </c>
    </row>
    <row r="45">
      <c r="A45" s="248" t="inlineStr">
        <is>
          <t>Жёлтая</t>
        </is>
      </c>
      <c r="D45" s="245" t="inlineStr">
        <is>
          <t>Обычная вводная. Можно и нужно менять.</t>
        </is>
      </c>
    </row>
    <row r="46">
      <c r="A46" s="249" t="inlineStr">
        <is>
          <t>Жёлтая с оттенком</t>
        </is>
      </c>
      <c r="D46" s="245" t="inlineStr">
        <is>
          <t>Вводная, которую ещё надо подтвердить (см. 14_Ревизия).</t>
        </is>
      </c>
    </row>
    <row r="47">
      <c r="A47" s="250" t="inlineStr">
        <is>
          <t>Переключатель</t>
        </is>
      </c>
      <c r="D47" s="245" t="inlineStr">
        <is>
          <t>Выбор из списка: Да/Нет, сценарий, режим.</t>
        </is>
      </c>
    </row>
    <row r="48">
      <c r="A48" s="251" t="inlineStr">
        <is>
          <t>Блок v4 / ревизии</t>
        </is>
      </c>
      <c r="D48" s="245" t="inlineStr">
        <is>
          <t>CAPEX, индексация, набор детей — правила из первоначальной модели.</t>
        </is>
      </c>
    </row>
    <row r="49">
      <c r="A49" s="252" t="inlineStr">
        <is>
          <t>Серая курсивная</t>
        </is>
      </c>
      <c r="D49" s="245" t="inlineStr">
        <is>
          <t>Формула. Вписать сюда число = сломать связь.</t>
        </is>
      </c>
    </row>
    <row r="50">
      <c r="A50" s="253" t="inlineStr">
        <is>
          <t>Зелёная</t>
        </is>
      </c>
      <c r="D50" s="245" t="inlineStr">
        <is>
          <t>Формула, исправленная при ревизии. Не трогать.</t>
        </is>
      </c>
    </row>
    <row r="52">
      <c r="A52" s="228" t="inlineStr">
        <is>
          <t>Куда идти за деталями</t>
        </is>
      </c>
    </row>
    <row r="53">
      <c r="A53" s="230" t="inlineStr">
        <is>
          <t>Лист</t>
        </is>
      </c>
      <c r="B53" s="230" t="inlineStr"/>
      <c r="C53" s="230" t="inlineStr"/>
      <c r="D53" s="230" t="inlineStr">
        <is>
          <t>Зачем нужен / кто смотрит</t>
        </is>
      </c>
    </row>
    <row r="54">
      <c r="A54" s="254" t="inlineStr">
        <is>
          <t>00_Дашборд</t>
        </is>
      </c>
      <c r="B54" s="255" t="n"/>
      <c r="C54" s="255" t="n"/>
      <c r="D54" s="234" t="inlineStr">
        <is>
          <t>Итоги по сезонам, 5 графиков, KPI  ·  Собственник, ФК</t>
        </is>
      </c>
    </row>
    <row r="55">
      <c r="A55" s="254" t="inlineStr">
        <is>
          <t>01_Вводные</t>
        </is>
      </c>
      <c r="B55" s="255" t="n"/>
      <c r="C55" s="255" t="n"/>
      <c r="D55" s="234" t="inlineStr">
        <is>
          <t>ЕДИНСТВЕННЫЙ лист для ручной правки  ·  Аналитик</t>
        </is>
      </c>
    </row>
    <row r="56">
      <c r="A56" s="254" t="inlineStr">
        <is>
          <t>01а_Действующая_сеть</t>
        </is>
      </c>
      <c r="B56" s="255" t="n"/>
      <c r="C56" s="255" t="n"/>
      <c r="D56" s="234" t="inlineStr">
        <is>
          <t>Реестр 51/104, отток, сверка роялти с фактом  ·  Собственник, аналитик</t>
        </is>
      </c>
    </row>
    <row r="57">
      <c r="A57" s="254" t="inlineStr">
        <is>
          <t>02_Модель</t>
        </is>
      </c>
      <c r="B57" s="255" t="n"/>
      <c r="C57" s="255" t="n"/>
      <c r="D57" s="234" t="inlineStr">
        <is>
          <t>БДР и БДДС помесячно: выручка → EBITDA → деньги  ·  Финансист</t>
        </is>
      </c>
    </row>
    <row r="58">
      <c r="A58" s="254" t="inlineStr">
        <is>
          <t>03_Сценарии</t>
        </is>
      </c>
      <c r="B58" s="255" t="n"/>
      <c r="C58" s="255" t="n"/>
      <c r="D58" s="234" t="inlineStr">
        <is>
          <t>Негативный / базовый / позитивный рядом  ·  Собственник</t>
        </is>
      </c>
    </row>
    <row r="59">
      <c r="A59" s="254" t="inlineStr">
        <is>
          <t>04_Продажи</t>
        </is>
      </c>
      <c r="B59" s="255" t="n"/>
      <c r="C59" s="255" t="n"/>
      <c r="D59" s="234" t="inlineStr">
        <is>
          <t>План продаж, сезонность, лиды, открытия, маркетинг  ·  Коммерция</t>
        </is>
      </c>
    </row>
    <row r="60">
      <c r="A60" s="254" t="inlineStr">
        <is>
          <t>05_Воронка</t>
        </is>
      </c>
      <c r="B60" s="255" t="n"/>
      <c r="C60" s="255" t="n"/>
      <c r="D60" s="234" t="inlineStr">
        <is>
          <t>Лиды → продажи → открытия → ERP  ·  Коммерция</t>
        </is>
      </c>
    </row>
    <row r="61">
      <c r="A61" s="254" t="inlineStr">
        <is>
          <t>06_Сеть_и_дети</t>
        </is>
      </c>
      <c r="B61" s="255" t="n"/>
      <c r="C61" s="255" t="n"/>
      <c r="D61" s="234" t="inlineStr">
        <is>
          <t>Юрлица, школы, набор детей по возрасту, роялти  ·  Операции</t>
        </is>
      </c>
    </row>
    <row r="62">
      <c r="A62" s="254" t="inlineStr">
        <is>
          <t>07_Мерч</t>
        </is>
      </c>
      <c r="B62" s="255" t="n"/>
      <c r="C62" s="255" t="n"/>
      <c r="D62" s="234" t="inlineStr">
        <is>
          <t>Форма: продажи, COGS, склад, закупки, возврат займа  ·  Операции</t>
        </is>
      </c>
    </row>
    <row r="63">
      <c r="A63" s="254" t="inlineStr">
        <is>
          <t>08_ФОТ</t>
        </is>
      </c>
      <c r="B63" s="255" t="n"/>
      <c r="C63" s="255" t="n"/>
      <c r="D63" s="234" t="inlineStr">
        <is>
          <t>Штат, найм, индексация, премии, взносы  ·  HR / финансы</t>
        </is>
      </c>
    </row>
    <row r="64">
      <c r="A64" s="254" t="inlineStr">
        <is>
          <t>09_Лагеря</t>
        </is>
      </c>
      <c r="B64" s="255" t="n"/>
      <c r="C64" s="255" t="n"/>
      <c r="D64" s="234" t="inlineStr">
        <is>
          <t>Экономика лагерей и график оплат  ·  Операции</t>
        </is>
      </c>
    </row>
    <row r="65">
      <c r="A65" s="254" t="inlineStr">
        <is>
          <t>10_Выплаты_ФК</t>
        </is>
      </c>
      <c r="B65" s="255" t="n"/>
      <c r="C65" s="255" t="n"/>
      <c r="D65" s="234" t="inlineStr">
        <is>
          <t>Что и когда получает клуб; займ отдельно  ·  ФК</t>
        </is>
      </c>
    </row>
    <row r="66">
      <c r="A66" s="254" t="inlineStr">
        <is>
          <t>11_История_25_26</t>
        </is>
      </c>
      <c r="B66" s="255" t="n"/>
      <c r="C66" s="255" t="n"/>
      <c r="D66" s="234" t="inlineStr">
        <is>
          <t>Фактический сезон 2025/26  ·  Финансист</t>
        </is>
      </c>
    </row>
    <row r="67">
      <c r="A67" s="254" t="inlineStr">
        <is>
          <t>12_Чувствительность</t>
        </is>
      </c>
      <c r="B67" s="255" t="n"/>
      <c r="C67" s="255" t="n"/>
      <c r="D67" s="234" t="inlineStr">
        <is>
          <t>Один драйвер ±шаг — что будет с результатом  ·  Собственник</t>
        </is>
      </c>
    </row>
    <row r="68">
      <c r="A68" s="254" t="inlineStr">
        <is>
          <t>13_Проверки</t>
        </is>
      </c>
      <c r="B68" s="255" t="n"/>
      <c r="C68" s="255" t="n"/>
      <c r="D68" s="234" t="inlineStr">
        <is>
          <t>60+ автотестов сходимости модели  ·  Аналитик</t>
        </is>
      </c>
    </row>
    <row r="69">
      <c r="A69" s="254" t="inlineStr">
        <is>
          <t>14_Ревизия</t>
        </is>
      </c>
      <c r="B69" s="255" t="n"/>
      <c r="C69" s="255" t="n"/>
      <c r="D69" s="234" t="inlineStr">
        <is>
          <t>Нерешённые вопросы и ограничения  ·  Все</t>
        </is>
      </c>
    </row>
    <row r="70">
      <c r="A70" s="254" t="inlineStr">
        <is>
          <t>15_Изменения</t>
        </is>
      </c>
      <c r="B70" s="255" t="n"/>
      <c r="C70" s="255" t="n"/>
      <c r="D70" s="234" t="inlineStr">
        <is>
          <t>Чем текущая логика отличается от первоначальной  ·  Аналитик</t>
        </is>
      </c>
    </row>
    <row r="71">
      <c r="A71" s="254" t="inlineStr">
        <is>
          <t>14а_Сверка_с_ТЗ</t>
        </is>
      </c>
      <c r="B71" s="255" t="n"/>
      <c r="C71" s="255" t="n"/>
      <c r="D71" s="234" t="inlineStr">
        <is>
          <t>Трассировка ТЗ v6.0 на модель: пункт → формула → статус  ·  Аналитик, ФК</t>
        </is>
      </c>
    </row>
    <row r="72">
      <c r="A72" s="254" t="inlineStr">
        <is>
          <t>16_Инструкция</t>
        </is>
      </c>
      <c r="B72" s="255" t="n"/>
      <c r="C72" s="255" t="n"/>
      <c r="D72" s="234" t="inlineStr">
        <is>
          <t>Пошаговая инструкция пользователя  ·  Все</t>
        </is>
      </c>
    </row>
    <row r="73">
      <c r="A73" s="254" t="inlineStr">
        <is>
          <t>16а_Логика_модели</t>
        </is>
      </c>
      <c r="B73" s="255" t="n"/>
      <c r="C73" s="255" t="n"/>
      <c r="D73" s="234" t="inlineStr">
        <is>
          <t>Как из вводных получается EBITDA — цепочка расчёта  ·  Все</t>
        </is>
      </c>
    </row>
    <row r="75">
      <c r="A75" s="256" t="inlineStr">
        <is>
          <t>Скрытые служебные листы 17–19 содержат общие расчёты (сценарии, календарь тарифов, аналитика). Для работы они не нужны.</t>
        </is>
      </c>
    </row>
  </sheetData>
  <hyperlinks>
    <hyperlink ref="C23" location="'01_Вводные'!B192"/>
    <hyperlink ref="C24" location="'01_Вводные'!B188"/>
    <hyperlink ref="C25" location="'01_Вводные'!B233"/>
    <hyperlink ref="C26" location="'01_Вводные'!B234"/>
    <hyperlink ref="C27" location="'01_Вводные'!B241"/>
    <hyperlink ref="C28" location="'01_Вводные'!B290"/>
    <hyperlink ref="C29" location="'01_Вводные'!B294"/>
    <hyperlink ref="C30" location="'01_Вводные'!B295"/>
    <hyperlink ref="C31" location="'01_Вводные'!B239"/>
    <hyperlink ref="C32" location="'01_Вводные'!B238"/>
    <hyperlink ref="C42" location="'13_Проверки'!A1"/>
    <hyperlink ref="A54" location="'00_Дашборд'!A1"/>
    <hyperlink ref="A55" location="'01_Вводные'!A1"/>
    <hyperlink ref="A56" location="'01а_Действующая_сеть'!A1"/>
    <hyperlink ref="A57" location="'02_Модель'!A1"/>
    <hyperlink ref="A58" location="'03_Сценарии'!A1"/>
    <hyperlink ref="A59" location="'04_Продажи'!A1"/>
    <hyperlink ref="A60" location="'05_Воронка'!A1"/>
    <hyperlink ref="A61" location="'06_Сеть_и_дети'!A1"/>
    <hyperlink ref="A62" location="'07_Мерч'!A1"/>
    <hyperlink ref="A63" location="'08_ФОТ'!A1"/>
    <hyperlink ref="A64" location="'09_Лагеря'!A1"/>
    <hyperlink ref="A65" location="'10_Выплаты_ФК'!A1"/>
    <hyperlink ref="A66" location="'11_История_25_26'!A1"/>
    <hyperlink ref="A67" location="'12_Чувствительность'!A1"/>
    <hyperlink ref="A68" location="'13_Проверки'!A1"/>
    <hyperlink ref="A69" location="'14_Ревизия'!A1"/>
    <hyperlink ref="A70" location="'15_Изменения'!A1"/>
    <hyperlink ref="A71" location="'14а_Сверка_с_ТЗ'!A1"/>
    <hyperlink ref="A72" location="'16_Инструкция'!A1"/>
    <hyperlink ref="A73" location="'16а_Логика_модели'!A1"/>
  </hyperlinks>
  <printOptions horizontalCentered="0"/>
  <pageMargins left="0.75" right="0.75" top="1" bottom="1" header="0.5" footer="0.5"/>
  <pageSetup orientation="portrait" fitToHeight="0" fitToWidth="1"/>
  <headerFooter>
    <oddHeader/>
    <oddFooter>&amp;LФинмодель Спартак · 00_Старт&amp;R&amp;P / &amp;N</oddFooter>
    <evenHeader/>
    <evenFooter/>
    <firstHeader/>
    <firstFooter/>
  </headerFooter>
</worksheet>
</file>

<file path=xl/worksheets/sheet2.xml><?xml version="1.0" encoding="utf-8"?>
<worksheet xmlns="http://schemas.openxmlformats.org/spreadsheetml/2006/main">
  <sheetPr>
    <tabColor rgb="009E1B31"/>
    <outlinePr summaryBelow="1" summaryRight="1"/>
    <pageSetUpPr fitToPage="1"/>
  </sheetPr>
  <dimension ref="A1:N163"/>
  <sheetViews>
    <sheetView showGridLines="0" zoomScale="95"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18" customWidth="1" min="5" max="5"/>
    <col width="18" customWidth="1" min="6" max="6"/>
    <col width="30" customWidth="1" min="7" max="7"/>
    <col width="22" customWidth="1" min="8" max="8"/>
    <col width="14" customWidth="1" min="9" max="9"/>
    <col width="14" customWidth="1" min="10" max="10"/>
    <col width="14" customWidth="1" min="11" max="11"/>
    <col width="14" customWidth="1" min="12" max="12"/>
    <col width="14" customWidth="1" min="13" max="13"/>
    <col width="14" customWidth="1" min="14" max="14"/>
  </cols>
  <sheetData>
    <row r="1" ht="24" customHeight="1">
      <c r="A1" s="1" t="inlineStr">
        <is>
          <t>Финмодель Спартак — управленческий дашборд</t>
        </is>
      </c>
    </row>
    <row r="2"/>
    <row r="3" ht="36" customHeight="1">
      <c r="A3" s="2" t="inlineStr">
        <is>
          <t>Как работать</t>
        </is>
      </c>
      <c r="B3" s="3" t="inlineStr">
        <is>
          <t>Все ручные вводные находятся только на листе 01_Вводные. Остальные листы — расчётные. Жёлтый = ввод, чёрный/зелёный = формулы и связи.</t>
        </is>
      </c>
      <c r="J3" s="219" t="inlineStr">
        <is>
          <t>Быстрая навигация</t>
        </is>
      </c>
    </row>
    <row r="4">
      <c r="J4" s="220" t="inlineStr">
        <is>
          <t>→ Вводные</t>
        </is>
      </c>
    </row>
    <row r="5" ht="20" customHeight="1">
      <c r="A5" s="4" t="inlineStr">
        <is>
          <t>Ключевые вводные</t>
        </is>
      </c>
      <c r="J5" s="220" t="inlineStr">
        <is>
          <t>→ Основная модель</t>
        </is>
      </c>
    </row>
    <row r="6">
      <c r="A6" s="2" t="inlineStr">
        <is>
          <t>Старт модели</t>
        </is>
      </c>
      <c r="B6" s="37">
        <f>'01_Вводные'!$B$7</f>
        <v/>
      </c>
      <c r="D6" s="38" t="inlineStr">
        <is>
          <t>Сценарий</t>
        </is>
      </c>
      <c r="E6" s="39">
        <f>'01_Вводные'!B192</f>
        <v/>
      </c>
      <c r="G6" s="257" t="inlineStr">
        <is>
          <t>Контроль модели</t>
        </is>
      </c>
      <c r="J6" s="220" t="inlineStr">
        <is>
          <t>→ Сценарии</t>
        </is>
      </c>
    </row>
    <row r="7">
      <c r="A7" s="2" t="inlineStr">
        <is>
          <t>Стартовые юрлица</t>
        </is>
      </c>
      <c r="B7" s="40">
        <f>'01_Вводные'!$B$10</f>
        <v/>
      </c>
      <c r="D7" s="41" t="inlineStr">
        <is>
          <t>Сравнение</t>
        </is>
      </c>
      <c r="E7" s="221" t="inlineStr">
        <is>
          <t>03_Сценарии</t>
        </is>
      </c>
      <c r="G7" s="258" t="inlineStr">
        <is>
          <t>Провалено автопроверок</t>
        </is>
      </c>
      <c r="H7" s="259">
        <f>COUNTIF('13_Проверки'!C4:C68,"ПРОВЕРИТЬ")</f>
        <v/>
      </c>
      <c r="J7" s="220" t="inlineStr">
        <is>
          <t>→ Продажи / воронка</t>
        </is>
      </c>
    </row>
    <row r="8">
      <c r="A8" s="2" t="inlineStr">
        <is>
          <t>Стартовые школы</t>
        </is>
      </c>
      <c r="B8" s="40">
        <f>'01_Вводные'!$B$9</f>
        <v/>
      </c>
      <c r="D8" s="41" t="inlineStr">
        <is>
          <t>Чувствительность</t>
        </is>
      </c>
      <c r="E8" s="221" t="inlineStr">
        <is>
          <t>12_Чувствительность</t>
        </is>
      </c>
      <c r="G8" s="258" t="inlineStr">
        <is>
          <t>Статус</t>
        </is>
      </c>
      <c r="H8" s="260">
        <f>IF(COUNTIF('13_Проверки'!C4:C68,"ПРОВЕРИТЬ")=0,"Сходится","Открой 13_Проверки")</f>
        <v/>
      </c>
      <c r="J8" s="220" t="inlineStr">
        <is>
          <t>→ Сеть и дети</t>
        </is>
      </c>
    </row>
    <row r="9">
      <c r="A9" s="2" t="inlineStr">
        <is>
          <t>Дети действующей сети, 100%</t>
        </is>
      </c>
      <c r="B9" s="40">
        <f>'01_Вводные'!$B$11</f>
        <v/>
      </c>
      <c r="G9" s="258" t="inlineStr">
        <is>
          <t>Пиковый кассовый дефицит, ₽</t>
        </is>
      </c>
      <c r="H9" s="261">
        <f>E12</f>
        <v/>
      </c>
      <c r="J9" s="220" t="inlineStr">
        <is>
          <t>→ Мерч / склад</t>
        </is>
      </c>
    </row>
    <row r="10">
      <c r="A10" s="2" t="inlineStr">
        <is>
          <t>Лаг открытия</t>
        </is>
      </c>
      <c r="B10" s="40">
        <f>'01_Вводные'!$B$15</f>
        <v/>
      </c>
      <c r="D10" t="inlineStr">
        <is>
          <t>Проверки</t>
        </is>
      </c>
      <c r="E10" s="222" t="inlineStr">
        <is>
          <t>13_Проверки</t>
        </is>
      </c>
      <c r="G10" s="258" t="inlineStr">
        <is>
          <t>Нехватка товара, ₽ COGS</t>
        </is>
      </c>
      <c r="H10" s="261">
        <f>E11</f>
        <v/>
      </c>
      <c r="J10" s="220" t="inlineStr">
        <is>
          <t>→ ФОТ</t>
        </is>
      </c>
    </row>
    <row r="11">
      <c r="A11" s="2" t="inlineStr">
        <is>
          <t>Стартовый склад</t>
        </is>
      </c>
      <c r="B11" s="40">
        <f>'01_Вводные'!$B$77</f>
        <v/>
      </c>
      <c r="D11" t="inlineStr">
        <is>
          <t>Дефицит товара</t>
        </is>
      </c>
      <c r="E11" s="133">
        <f>MAX('07_Мерч'!B27:BI27)</f>
        <v/>
      </c>
      <c r="G11" s="222" t="inlineStr">
        <is>
          <t>→ Начать здесь: 00_Старт</t>
        </is>
      </c>
      <c r="J11" s="220" t="inlineStr">
        <is>
          <t>→ Выплаты ФК</t>
        </is>
      </c>
    </row>
    <row r="12">
      <c r="A12" s="2" t="inlineStr">
        <is>
          <t>Стартовый займ</t>
        </is>
      </c>
      <c r="B12" s="40">
        <f>'01_Вводные'!$B$78</f>
        <v/>
      </c>
      <c r="D12" t="inlineStr">
        <is>
          <t>Кассовый дефицит</t>
        </is>
      </c>
      <c r="E12" s="133">
        <f>MAX(0,-MIN('02_Модель'!B72:BI72))</f>
        <v/>
      </c>
      <c r="J12" s="220" t="inlineStr">
        <is>
          <t>→ Проверки</t>
        </is>
      </c>
    </row>
    <row r="13"/>
    <row r="14"/>
    <row r="15" ht="20" customHeight="1">
      <c r="A15" s="4" t="inlineStr">
        <is>
          <t>Итоги по сезонам</t>
        </is>
      </c>
    </row>
    <row r="16">
      <c r="A16" s="6" t="inlineStr">
        <is>
          <t>Показатель</t>
        </is>
      </c>
      <c r="B16" s="6" t="inlineStr">
        <is>
          <t>25/26 факт*</t>
        </is>
      </c>
      <c r="C16" s="6" t="inlineStr">
        <is>
          <t>26/27</t>
        </is>
      </c>
      <c r="D16" s="6" t="inlineStr">
        <is>
          <t>27/28</t>
        </is>
      </c>
      <c r="E16" s="6" t="inlineStr">
        <is>
          <t>28/29</t>
        </is>
      </c>
      <c r="F16" s="6" t="inlineStr">
        <is>
          <t>29/30</t>
        </is>
      </c>
      <c r="G16" s="6" t="inlineStr">
        <is>
          <t>30/31</t>
        </is>
      </c>
      <c r="H16" s="6" t="inlineStr">
        <is>
          <t>Итого прогноз</t>
        </is>
      </c>
    </row>
    <row r="17">
      <c r="A17" s="2" t="inlineStr">
        <is>
          <t>Продажи франшиз</t>
        </is>
      </c>
      <c r="B17" s="7" t="inlineStr"/>
      <c r="C17" s="40">
        <f>SUM('04_Продажи'!B15:M15)</f>
        <v/>
      </c>
      <c r="D17" s="40">
        <f>SUM('04_Продажи'!N15:Y15)</f>
        <v/>
      </c>
      <c r="E17" s="40">
        <f>SUM('04_Продажи'!Z15:AK15)</f>
        <v/>
      </c>
      <c r="F17" s="40">
        <f>SUM('04_Продажи'!AL15:AW15)</f>
        <v/>
      </c>
      <c r="G17" s="40">
        <f>SUM('04_Продажи'!AX15:BI15)</f>
        <v/>
      </c>
      <c r="H17" s="42">
        <f>SUM(C17:G17)</f>
        <v/>
      </c>
    </row>
    <row r="18">
      <c r="A18" s="2" t="inlineStr">
        <is>
          <t>Открытия школ</t>
        </is>
      </c>
      <c r="B18" s="7" t="inlineStr"/>
      <c r="C18" s="40">
        <f>SUM('04_Продажи'!B18:M18)</f>
        <v/>
      </c>
      <c r="D18" s="40">
        <f>SUM('04_Продажи'!N18:Y18)</f>
        <v/>
      </c>
      <c r="E18" s="40">
        <f>SUM('04_Продажи'!Z18:AK18)</f>
        <v/>
      </c>
      <c r="F18" s="40">
        <f>SUM('04_Продажи'!AL18:AW18)</f>
        <v/>
      </c>
      <c r="G18" s="40">
        <f>SUM('04_Продажи'!AX18:BI18)</f>
        <v/>
      </c>
      <c r="H18" s="42">
        <f>SUM(C18:G18)</f>
        <v/>
      </c>
    </row>
    <row r="19">
      <c r="A19" s="2" t="inlineStr">
        <is>
          <t>Активные юрлица, конец</t>
        </is>
      </c>
      <c r="B19" s="7" t="inlineStr"/>
      <c r="C19" s="40">
        <f>'02_Модель'!M13</f>
        <v/>
      </c>
      <c r="D19" s="40">
        <f>'02_Модель'!Y13</f>
        <v/>
      </c>
      <c r="E19" s="40">
        <f>'02_Модель'!AK13</f>
        <v/>
      </c>
      <c r="F19" s="40">
        <f>'02_Модель'!AW13</f>
        <v/>
      </c>
      <c r="G19" s="40">
        <f>'02_Модель'!BI13</f>
        <v/>
      </c>
      <c r="H19" s="42">
        <f>G19</f>
        <v/>
      </c>
    </row>
    <row r="20">
      <c r="A20" s="2" t="inlineStr">
        <is>
          <t>Активные школы, конец</t>
        </is>
      </c>
      <c r="B20" s="7" t="inlineStr"/>
      <c r="C20" s="40">
        <f>'02_Модель'!M9+'02_Модель'!M12</f>
        <v/>
      </c>
      <c r="D20" s="40">
        <f>'02_Модель'!Y9+'02_Модель'!Y12</f>
        <v/>
      </c>
      <c r="E20" s="40">
        <f>'02_Модель'!AK9+'02_Модель'!AK12</f>
        <v/>
      </c>
      <c r="F20" s="40">
        <f>'02_Модель'!AW9+'02_Модель'!AW12</f>
        <v/>
      </c>
      <c r="G20" s="40">
        <f>'02_Модель'!BI9+'02_Модель'!BI12</f>
        <v/>
      </c>
      <c r="H20" s="42">
        <f>G20</f>
        <v/>
      </c>
    </row>
    <row r="21">
      <c r="A21" s="2" t="inlineStr">
        <is>
          <t>Дети действующей сети, среднее</t>
        </is>
      </c>
      <c r="B21" s="7" t="inlineStr"/>
      <c r="C21" s="40">
        <f>AVERAGE('02_Модель'!B11:M11)</f>
        <v/>
      </c>
      <c r="D21" s="40">
        <f>AVERAGE('02_Модель'!N11:Y11)</f>
        <v/>
      </c>
      <c r="E21" s="40">
        <f>AVERAGE('02_Модель'!Z11:AK11)</f>
        <v/>
      </c>
      <c r="F21" s="40">
        <f>AVERAGE('02_Модель'!AL11:AW11)</f>
        <v/>
      </c>
      <c r="G21" s="40">
        <f>AVERAGE('02_Модель'!AX11:BI11)</f>
        <v/>
      </c>
      <c r="H21" s="95">
        <f>AVERAGE('02_Модель'!B11:BI11)</f>
        <v/>
      </c>
    </row>
    <row r="22">
      <c r="A22" s="2" t="inlineStr">
        <is>
          <t>Дети новых школ, среднее</t>
        </is>
      </c>
      <c r="B22" s="7" t="inlineStr"/>
      <c r="C22" s="40">
        <f>AVERAGE('02_Модель'!B14:M14)</f>
        <v/>
      </c>
      <c r="D22" s="40">
        <f>AVERAGE('02_Модель'!N14:Y14)</f>
        <v/>
      </c>
      <c r="E22" s="40">
        <f>AVERAGE('02_Модель'!Z14:AK14)</f>
        <v/>
      </c>
      <c r="F22" s="40">
        <f>AVERAGE('02_Модель'!AL14:AW14)</f>
        <v/>
      </c>
      <c r="G22" s="40">
        <f>AVERAGE('02_Модель'!AX14:BI14)</f>
        <v/>
      </c>
      <c r="H22" s="95">
        <f>AVERAGE('02_Модель'!B14:BI14)</f>
        <v/>
      </c>
    </row>
    <row r="23">
      <c r="A23" s="2" t="inlineStr">
        <is>
          <t>Дети всего, среднее</t>
        </is>
      </c>
      <c r="B23" s="7" t="inlineStr"/>
      <c r="C23" s="40">
        <f>AVERAGE('02_Модель'!B15:M15)</f>
        <v/>
      </c>
      <c r="D23" s="40">
        <f>AVERAGE('02_Модель'!N15:Y15)</f>
        <v/>
      </c>
      <c r="E23" s="40">
        <f>AVERAGE('02_Модель'!Z15:AK15)</f>
        <v/>
      </c>
      <c r="F23" s="40">
        <f>AVERAGE('02_Модель'!AL15:AW15)</f>
        <v/>
      </c>
      <c r="G23" s="40">
        <f>AVERAGE('02_Модель'!AX15:BI15)</f>
        <v/>
      </c>
      <c r="H23" s="95">
        <f>AVERAGE('02_Модель'!B15:BI15)</f>
        <v/>
      </c>
    </row>
    <row r="24">
      <c r="A24" s="2" t="inlineStr">
        <is>
          <t>Выручка без НДС</t>
        </is>
      </c>
      <c r="B24" s="124">
        <f>'11_История_25_26'!N4</f>
        <v/>
      </c>
      <c r="C24" s="40">
        <f>SUM('02_Модель'!B23:M23)</f>
        <v/>
      </c>
      <c r="D24" s="40">
        <f>SUM('02_Модель'!N23:Y23)</f>
        <v/>
      </c>
      <c r="E24" s="40">
        <f>SUM('02_Модель'!Z23:AK23)</f>
        <v/>
      </c>
      <c r="F24" s="40">
        <f>SUM('02_Модель'!AL23:AW23)</f>
        <v/>
      </c>
      <c r="G24" s="40">
        <f>SUM('02_Модель'!AX23:BI23)</f>
        <v/>
      </c>
      <c r="H24" s="42">
        <f>SUM(C24:G24)</f>
        <v/>
      </c>
    </row>
    <row r="25">
      <c r="A25" s="2" t="inlineStr">
        <is>
          <t>Паушальные взносы</t>
        </is>
      </c>
      <c r="B25" s="7" t="inlineStr"/>
      <c r="C25" s="40">
        <f>SUM('02_Модель'!B18:M18)</f>
        <v/>
      </c>
      <c r="D25" s="40">
        <f>SUM('02_Модель'!N18:Y18)</f>
        <v/>
      </c>
      <c r="E25" s="40">
        <f>SUM('02_Модель'!Z18:AK18)</f>
        <v/>
      </c>
      <c r="F25" s="40">
        <f>SUM('02_Модель'!AL18:AW18)</f>
        <v/>
      </c>
      <c r="G25" s="40">
        <f>SUM('02_Модель'!AX18:BI18)</f>
        <v/>
      </c>
      <c r="H25" s="42">
        <f>SUM(C25:G25)</f>
        <v/>
      </c>
    </row>
    <row r="26">
      <c r="A26" s="2" t="inlineStr">
        <is>
          <t>Роялти</t>
        </is>
      </c>
      <c r="B26" s="7" t="inlineStr"/>
      <c r="C26" s="40">
        <f>SUM('02_Модель'!B19:M20)</f>
        <v/>
      </c>
      <c r="D26" s="40">
        <f>SUM('02_Модель'!N19:Y20)</f>
        <v/>
      </c>
      <c r="E26" s="40">
        <f>SUM('02_Модель'!Z19:AK20)</f>
        <v/>
      </c>
      <c r="F26" s="40">
        <f>SUM('02_Модель'!AL19:AW20)</f>
        <v/>
      </c>
      <c r="G26" s="40">
        <f>SUM('02_Модель'!AX19:BI20)</f>
        <v/>
      </c>
      <c r="H26" s="42">
        <f>SUM(C26:G26)</f>
        <v/>
      </c>
    </row>
    <row r="27">
      <c r="A27" s="2" t="inlineStr">
        <is>
          <t>Мерч</t>
        </is>
      </c>
      <c r="B27" s="7" t="inlineStr"/>
      <c r="C27" s="40">
        <f>SUM('02_Модель'!B21:M21)</f>
        <v/>
      </c>
      <c r="D27" s="40">
        <f>SUM('02_Модель'!N21:Y21)</f>
        <v/>
      </c>
      <c r="E27" s="40">
        <f>SUM('02_Модель'!Z21:AK21)</f>
        <v/>
      </c>
      <c r="F27" s="40">
        <f>SUM('02_Модель'!AL21:AW21)</f>
        <v/>
      </c>
      <c r="G27" s="40">
        <f>SUM('02_Модель'!AX21:BI21)</f>
        <v/>
      </c>
      <c r="H27" s="42">
        <f>SUM(C27:G27)</f>
        <v/>
      </c>
    </row>
    <row r="28">
      <c r="A28" s="2" t="inlineStr">
        <is>
          <t>Лагеря</t>
        </is>
      </c>
      <c r="B28" s="7" t="inlineStr"/>
      <c r="C28" s="40">
        <f>SUM('02_Модель'!B22:M22)</f>
        <v/>
      </c>
      <c r="D28" s="40">
        <f>SUM('02_Модель'!N22:Y22)</f>
        <v/>
      </c>
      <c r="E28" s="40">
        <f>SUM('02_Модель'!Z22:AK22)</f>
        <v/>
      </c>
      <c r="F28" s="40">
        <f>SUM('02_Модель'!AL22:AW22)</f>
        <v/>
      </c>
      <c r="G28" s="40">
        <f>SUM('02_Модель'!AX22:BI22)</f>
        <v/>
      </c>
      <c r="H28" s="42">
        <f>SUM(C28:G28)</f>
        <v/>
      </c>
    </row>
    <row r="29">
      <c r="A29" s="10" t="inlineStr">
        <is>
          <t>EBITDA</t>
        </is>
      </c>
      <c r="B29" s="145">
        <f>'11_История_25_26'!N9</f>
        <v/>
      </c>
      <c r="C29" s="43">
        <f>SUM('02_Модель'!B44:M44)</f>
        <v/>
      </c>
      <c r="D29" s="43">
        <f>SUM('02_Модель'!N44:Y44)</f>
        <v/>
      </c>
      <c r="E29" s="43">
        <f>SUM('02_Модель'!Z44:AK44)</f>
        <v/>
      </c>
      <c r="F29" s="43">
        <f>SUM('02_Модель'!AL44:AW44)</f>
        <v/>
      </c>
      <c r="G29" s="43">
        <f>SUM('02_Модель'!AX44:BI44)</f>
        <v/>
      </c>
      <c r="H29" s="43">
        <f>SUM(C29:G29)</f>
        <v/>
      </c>
    </row>
    <row r="30">
      <c r="A30" s="2" t="inlineStr">
        <is>
          <t>EBITDA margin</t>
        </is>
      </c>
      <c r="B30" s="7" t="inlineStr"/>
      <c r="C30" s="44">
        <f>IF(SUM('02_Модель'!B23:M23)=0,0,SUM('02_Модель'!B44:M44)/SUM('02_Модель'!B23:M23))</f>
        <v/>
      </c>
      <c r="D30" s="44">
        <f>IF(SUM('02_Модель'!N23:Y23)=0,0,SUM('02_Модель'!N44:Y44)/SUM('02_Модель'!N23:Y23))</f>
        <v/>
      </c>
      <c r="E30" s="44">
        <f>IF(SUM('02_Модель'!Z23:AK23)=0,0,SUM('02_Модель'!Z44:AK44)/SUM('02_Модель'!Z23:AK23))</f>
        <v/>
      </c>
      <c r="F30" s="44">
        <f>IF(SUM('02_Модель'!AL23:AW23)=0,0,SUM('02_Модель'!AL44:AW44)/SUM('02_Модель'!AL23:AW23))</f>
        <v/>
      </c>
      <c r="G30" s="44">
        <f>IF(SUM('02_Модель'!AX23:BI23)=0,0,SUM('02_Модель'!AX44:BI44)/SUM('02_Модель'!AX23:BI23))</f>
        <v/>
      </c>
      <c r="H30" s="45">
        <f>IF(H24=0,0,H29/H24)</f>
        <v/>
      </c>
    </row>
    <row r="31">
      <c r="A31" s="2" t="inlineStr">
        <is>
          <t>Чистый денежный поток</t>
        </is>
      </c>
      <c r="B31" s="7" t="inlineStr"/>
      <c r="C31" s="40">
        <f>SUM('02_Модель'!B71:M71)</f>
        <v/>
      </c>
      <c r="D31" s="40">
        <f>SUM('02_Модель'!N71:Y71)</f>
        <v/>
      </c>
      <c r="E31" s="40">
        <f>SUM('02_Модель'!Z71:AK71)</f>
        <v/>
      </c>
      <c r="F31" s="40">
        <f>SUM('02_Модель'!AL71:AW71)</f>
        <v/>
      </c>
      <c r="G31" s="40">
        <f>SUM('02_Модель'!AX71:BI71)</f>
        <v/>
      </c>
      <c r="H31" s="42">
        <f>SUM(C31:G31)</f>
        <v/>
      </c>
    </row>
    <row r="32">
      <c r="A32" s="2" t="inlineStr">
        <is>
          <t>Деньги на конец</t>
        </is>
      </c>
      <c r="B32" s="7" t="inlineStr"/>
      <c r="C32" s="40">
        <f>'02_Модель'!M72</f>
        <v/>
      </c>
      <c r="D32" s="40">
        <f>'02_Модель'!Y72</f>
        <v/>
      </c>
      <c r="E32" s="40">
        <f>'02_Модель'!AK72</f>
        <v/>
      </c>
      <c r="F32" s="40">
        <f>'02_Модель'!AW72</f>
        <v/>
      </c>
      <c r="G32" s="40">
        <f>'02_Модель'!BI72</f>
        <v/>
      </c>
      <c r="H32" s="42">
        <f>G32</f>
        <v/>
      </c>
    </row>
    <row r="33">
      <c r="A33" s="2" t="inlineStr">
        <is>
          <t>Закупки на склад</t>
        </is>
      </c>
      <c r="B33" s="7" t="inlineStr"/>
      <c r="C33" s="40">
        <f>SUM('02_Модель'!B65:M65)</f>
        <v/>
      </c>
      <c r="D33" s="40">
        <f>SUM('02_Модель'!N65:Y65)</f>
        <v/>
      </c>
      <c r="E33" s="40">
        <f>SUM('02_Модель'!Z65:AK65)</f>
        <v/>
      </c>
      <c r="F33" s="40">
        <f>SUM('02_Модель'!AL65:AW65)</f>
        <v/>
      </c>
      <c r="G33" s="40">
        <f>SUM('02_Модель'!AX65:BI65)</f>
        <v/>
      </c>
      <c r="H33" s="42">
        <f>SUM(C33:G33)</f>
        <v/>
      </c>
    </row>
    <row r="34">
      <c r="A34" s="2" t="inlineStr">
        <is>
          <t>Погашение займа</t>
        </is>
      </c>
      <c r="B34" s="7" t="inlineStr"/>
      <c r="C34" s="40">
        <f>SUM('02_Модель'!B70:M70)</f>
        <v/>
      </c>
      <c r="D34" s="40">
        <f>SUM('02_Модель'!N70:Y70)</f>
        <v/>
      </c>
      <c r="E34" s="40">
        <f>SUM('02_Модель'!Z70:AK70)</f>
        <v/>
      </c>
      <c r="F34" s="40">
        <f>SUM('02_Модель'!AL70:AW70)</f>
        <v/>
      </c>
      <c r="G34" s="40">
        <f>SUM('02_Модель'!AX70:BI70)</f>
        <v/>
      </c>
      <c r="H34" s="42">
        <f>SUM(C34:G34)</f>
        <v/>
      </c>
    </row>
    <row r="35">
      <c r="A35" s="2" t="inlineStr">
        <is>
          <t>Конечный займ</t>
        </is>
      </c>
      <c r="B35" s="7" t="inlineStr"/>
      <c r="C35" s="40">
        <f>'02_Модель'!M75</f>
        <v/>
      </c>
      <c r="D35" s="40">
        <f>'02_Модель'!Y75</f>
        <v/>
      </c>
      <c r="E35" s="40">
        <f>'02_Модель'!AK75</f>
        <v/>
      </c>
      <c r="F35" s="40">
        <f>'02_Модель'!AW75</f>
        <v/>
      </c>
      <c r="G35" s="40">
        <f>'02_Модель'!BI75</f>
        <v/>
      </c>
      <c r="H35" s="42">
        <f>G35</f>
        <v/>
      </c>
    </row>
    <row r="36">
      <c r="A36" s="2" t="inlineStr">
        <is>
          <t>Конечный склад</t>
        </is>
      </c>
      <c r="B36" s="7" t="inlineStr"/>
      <c r="C36" s="40">
        <f>'02_Модель'!M76</f>
        <v/>
      </c>
      <c r="D36" s="40">
        <f>'02_Модель'!Y76</f>
        <v/>
      </c>
      <c r="E36" s="40">
        <f>'02_Модель'!AK76</f>
        <v/>
      </c>
      <c r="F36" s="40">
        <f>'02_Модель'!AW76</f>
        <v/>
      </c>
      <c r="G36" s="40">
        <f>'02_Модель'!BI76</f>
        <v/>
      </c>
      <c r="H36" s="42">
        <f>G36</f>
        <v/>
      </c>
    </row>
    <row r="37">
      <c r="A37" s="2" t="inlineStr">
        <is>
          <t>Операционные выплаты ФК, деньги</t>
        </is>
      </c>
      <c r="B37" s="7" t="inlineStr"/>
      <c r="C37" s="95">
        <f>SUM('02_Модель'!B61:M61)</f>
        <v/>
      </c>
      <c r="D37" s="95">
        <f>SUM('02_Модель'!N61:Y61)</f>
        <v/>
      </c>
      <c r="E37" s="95">
        <f>SUM('02_Модель'!Z61:AK61)</f>
        <v/>
      </c>
      <c r="F37" s="95">
        <f>SUM('02_Модель'!AL61:AW61)</f>
        <v/>
      </c>
      <c r="G37" s="95">
        <f>SUM('02_Модель'!AX61:BI61)</f>
        <v/>
      </c>
      <c r="H37" s="77">
        <f>SUM(C37:G37)</f>
        <v/>
      </c>
    </row>
    <row r="38">
      <c r="A38" s="38" t="inlineStr">
        <is>
          <t>Пиковый кассовый дефицит</t>
        </is>
      </c>
      <c r="C38" s="46">
        <f>MAX(0,-MIN('02_Модель'!B72:M72))</f>
        <v/>
      </c>
      <c r="D38" s="46">
        <f>MAX(0,-MIN('02_Модель'!N72:Y72))</f>
        <v/>
      </c>
      <c r="E38" s="46">
        <f>MAX(0,-MIN('02_Модель'!Z72:AK72))</f>
        <v/>
      </c>
      <c r="F38" s="46">
        <f>MAX(0,-MIN('02_Модель'!AL72:AW72))</f>
        <v/>
      </c>
      <c r="G38" s="46">
        <f>MAX(0,-MIN('02_Модель'!AX72:BI72))</f>
        <v/>
      </c>
      <c r="H38" s="46">
        <f>MAX(0,-MIN('02_Модель'!B72:BI72))</f>
        <v/>
      </c>
    </row>
    <row r="39" ht="24" customHeight="1">
      <c r="A39" s="2" t="inlineStr">
        <is>
          <t>CAPEX — всего</t>
        </is>
      </c>
      <c r="B39" s="7" t="n"/>
      <c r="C39" s="154">
        <f>SUM('02_Модель'!B57:M57)</f>
        <v/>
      </c>
      <c r="D39" s="154">
        <f>SUM('02_Модель'!N57:Y57)</f>
        <v/>
      </c>
      <c r="E39" s="154">
        <f>SUM('02_Модель'!Z57:AK57)</f>
        <v/>
      </c>
      <c r="F39" s="154">
        <f>SUM('02_Модель'!AL57:AW57)</f>
        <v/>
      </c>
      <c r="G39" s="154">
        <f>SUM('02_Модель'!AX57:BI57)</f>
        <v/>
      </c>
      <c r="H39" s="155">
        <f>SUM(C39:G39)</f>
        <v/>
      </c>
    </row>
    <row r="40" ht="20" customHeight="1">
      <c r="A40" s="4" t="inlineStr">
        <is>
          <t>Результат с историей / без истории</t>
        </is>
      </c>
    </row>
    <row r="41">
      <c r="A41" s="2" t="inlineStr">
        <is>
          <t>Режим просмотра</t>
        </is>
      </c>
      <c r="B41" s="42">
        <f>'01_Вводные'!B188</f>
        <v/>
      </c>
    </row>
    <row r="42">
      <c r="A42" s="2" t="inlineStr">
        <is>
          <t>Выручка, выбранный период</t>
        </is>
      </c>
      <c r="B42" s="42">
        <f>IF('01_Вводные'!B188="С историей",B24+H24,H24)</f>
        <v/>
      </c>
    </row>
    <row r="43">
      <c r="A43" s="2" t="inlineStr">
        <is>
          <t>EBITDA, выбранный период</t>
        </is>
      </c>
      <c r="B43" s="42">
        <f>IF('01_Вводные'!B188="С историей",B29+H29,H29)</f>
        <v/>
      </c>
    </row>
    <row r="44">
      <c r="A44" s="2" t="inlineStr">
        <is>
          <t>Что включено</t>
        </is>
      </c>
      <c r="B44" s="31">
        <f>IF('01_Вводные'!B188="С историей","Доступный факт 25/26 + прогноз 26/27–30/31","Только прогноз 26/27–30/31")</f>
        <v/>
      </c>
    </row>
    <row r="45">
      <c r="A45" s="222" t="inlineStr">
        <is>
          <t>15_Изменения</t>
        </is>
      </c>
    </row>
    <row r="46" ht="20" customHeight="1">
      <c r="A46" s="4" t="inlineStr">
        <is>
          <t>Что упрощено и почему</t>
        </is>
      </c>
    </row>
    <row r="47" ht="35" customHeight="1">
      <c r="A47" s="2" t="inlineStr">
        <is>
          <t>•</t>
        </is>
      </c>
      <c r="B47" s="15" t="inlineStr">
        <is>
          <t>Все ручные вводные собраны на одном листе 01_Вводные — больше не нужно искать параметры по разным расчётным вкладкам.</t>
        </is>
      </c>
    </row>
    <row r="48" ht="35" customHeight="1">
      <c r="A48" s="2" t="inlineStr">
        <is>
          <t>•</t>
        </is>
      </c>
      <c r="B48" s="15" t="inlineStr">
        <is>
          <t>Постепенный набор детей сохранён: месяцы 1–12 и 13–24, затем зрелая школа. Расчёт разделён на понятные возрастные группы.</t>
        </is>
      </c>
    </row>
    <row r="49" ht="35" customHeight="1">
      <c r="A49" s="2" t="inlineStr">
        <is>
          <t>•</t>
        </is>
      </c>
      <c r="B49" s="15" t="inlineStr">
        <is>
          <t>Для новых школ сохранены 20 тарифных групп: минимальный роялти проверяется по школе соответствующего тарифа до суммирования. Действующая сеть пока считается агрегированно из-за отсутствия пошкольной базы детей.</t>
        </is>
      </c>
    </row>
    <row r="50" ht="35" customHeight="1">
      <c r="A50" s="2" t="inlineStr">
        <is>
          <t>•</t>
        </is>
      </c>
      <c r="B50" s="15" t="inlineStr">
        <is>
          <t>Три сценария работают на одной логике. Чувствительность считает только два отклонения выбранного драйвера.</t>
        </is>
      </c>
    </row>
    <row r="51" ht="35" customHeight="1">
      <c r="A51" s="2" t="inlineStr">
        <is>
          <t>•</t>
        </is>
      </c>
      <c r="B51" s="15" t="inlineStr">
        <is>
          <t>Выплаты ФК раскрыты отдельно на 10_Выплаты_ФК, воронка — на 05_Воронка. На дашборде 5 графиков: сеть, дети, продажи/открытия, EBITDA, cash/займ/выплаты ФК.</t>
        </is>
      </c>
    </row>
    <row r="52" ht="35" customHeight="1">
      <c r="A52" s="2" t="inlineStr">
        <is>
          <t>•</t>
        </is>
      </c>
      <c r="B52" s="15" t="inlineStr">
        <is>
          <t>Индексация и CAPEX предусмотрены, как в v4. Прямое сравнение с первоначальной моделью — лист 17; порядок работы — лист 19.</t>
        </is>
      </c>
    </row>
    <row r="53" ht="35" customHeight="1">
      <c r="A53" s="2" t="inlineStr">
        <is>
          <t>•</t>
        </is>
      </c>
      <c r="B53" s="15" t="inlineStr">
        <is>
          <t>Все формулы используют обычные функции Excel/Google Sheets без LET/FILTER/XLOOKUP/динамических массивов и внешних ссылок.</t>
        </is>
      </c>
    </row>
    <row r="54">
      <c r="A54" s="262" t="inlineStr">
        <is>
          <t>05_Воронка</t>
        </is>
      </c>
      <c r="E54" s="262" t="inlineStr">
        <is>
          <t>10_Выплаты_ФК</t>
        </is>
      </c>
    </row>
    <row r="55" ht="28" customHeight="1">
      <c r="A55" s="263" t="inlineStr">
        <is>
          <t>15_Изменения</t>
        </is>
      </c>
      <c r="E55" s="262" t="inlineStr">
        <is>
          <t>14_Ревизия</t>
        </is>
      </c>
    </row>
    <row r="56" ht="48" customHeight="1">
      <c r="A56" s="221" t="inlineStr">
        <is>
          <t>16_Инструкция</t>
        </is>
      </c>
    </row>
    <row r="57" ht="48" customHeight="1">
      <c r="A57" s="41" t="n"/>
    </row>
    <row r="58" ht="42" customHeight="1">
      <c r="B58" s="17" t="n"/>
    </row>
    <row r="59"/>
    <row r="60" ht="27" customHeight="1">
      <c r="A60" s="60" t="inlineStr">
        <is>
          <t>Динамика сети: школы и активные дети</t>
        </is>
      </c>
    </row>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ht="33" customHeight="1">
      <c r="A103" s="87" t="inlineStr">
        <is>
          <t>Месяц</t>
        </is>
      </c>
      <c r="B103" s="87" t="inlineStr">
        <is>
          <t>Школы всего</t>
        </is>
      </c>
      <c r="C103" s="87" t="inlineStr">
        <is>
          <t>Юрлица</t>
        </is>
      </c>
      <c r="D103" s="87" t="inlineStr">
        <is>
          <t>Дети действующей сети</t>
        </is>
      </c>
      <c r="E103" s="87" t="inlineStr">
        <is>
          <t>Дети новых школ</t>
        </is>
      </c>
      <c r="F103" s="87" t="inlineStr">
        <is>
          <t>Дети всего</t>
        </is>
      </c>
      <c r="G103" s="87" t="inlineStr">
        <is>
          <t>Сезон</t>
        </is>
      </c>
      <c r="H103" s="87" t="inlineStr">
        <is>
          <t>Месяц для графика</t>
        </is>
      </c>
      <c r="I103" s="87" t="inlineStr">
        <is>
          <t>Продажи</t>
        </is>
      </c>
      <c r="J103" s="87" t="inlineStr">
        <is>
          <t>Открытия</t>
        </is>
      </c>
      <c r="K103" s="87" t="inlineStr">
        <is>
          <t>EBITDA</t>
        </is>
      </c>
      <c r="L103" s="87" t="inlineStr">
        <is>
          <t>Cash</t>
        </is>
      </c>
      <c r="M103" s="87" t="inlineStr">
        <is>
          <t>Остаток займа</t>
        </is>
      </c>
      <c r="N103" s="87" t="inlineStr">
        <is>
          <t>Выплаты ФК</t>
        </is>
      </c>
    </row>
    <row r="104" ht="26" customHeight="1">
      <c r="A104" s="102">
        <f>'06_Сеть_и_дети'!B3</f>
        <v/>
      </c>
      <c r="B104" s="103">
        <f>'06_Сеть_и_дети'!B17</f>
        <v/>
      </c>
      <c r="C104" s="103">
        <f>'06_Сеть_и_дети'!B10</f>
        <v/>
      </c>
      <c r="D104" s="103">
        <f>'06_Сеть_и_дети'!B20</f>
        <v/>
      </c>
      <c r="E104" s="103">
        <f>'06_Сеть_и_дети'!B24</f>
        <v/>
      </c>
      <c r="F104" s="103">
        <f>'06_Сеть_и_дети'!B25</f>
        <v/>
      </c>
      <c r="G104" s="103">
        <f>'06_Сеть_и_дети'!B4</f>
        <v/>
      </c>
      <c r="H104" s="104">
        <f>CHOOSE(MONTH(A104),"янв","фев","мар","апр","май","июн","июл","авг","сен","окт","ноя","дек")&amp;" "&amp;YEAR(A104)</f>
        <v/>
      </c>
      <c r="I104" s="73">
        <f>'04_Продажи'!B15</f>
        <v/>
      </c>
      <c r="J104" s="73">
        <f>'04_Продажи'!B18</f>
        <v/>
      </c>
      <c r="K104" s="73">
        <f>'02_Модель'!B44</f>
        <v/>
      </c>
      <c r="L104" s="73">
        <f>'02_Модель'!B72</f>
        <v/>
      </c>
      <c r="M104" s="73">
        <f>'02_Модель'!B75</f>
        <v/>
      </c>
      <c r="N104" s="73">
        <f>'10_Выплаты_ФК'!B34</f>
        <v/>
      </c>
    </row>
    <row r="105" ht="26" customHeight="1">
      <c r="A105" s="102">
        <f>'06_Сеть_и_дети'!C3</f>
        <v/>
      </c>
      <c r="B105" s="103">
        <f>'06_Сеть_и_дети'!C17</f>
        <v/>
      </c>
      <c r="C105" s="103">
        <f>'06_Сеть_и_дети'!C10</f>
        <v/>
      </c>
      <c r="D105" s="103">
        <f>'06_Сеть_и_дети'!C20</f>
        <v/>
      </c>
      <c r="E105" s="103">
        <f>'06_Сеть_и_дети'!C24</f>
        <v/>
      </c>
      <c r="F105" s="103">
        <f>'06_Сеть_и_дети'!C25</f>
        <v/>
      </c>
      <c r="G105" s="103">
        <f>'06_Сеть_и_дети'!C4</f>
        <v/>
      </c>
      <c r="H105" s="104">
        <f>CHOOSE(MONTH(A105),"янв","фев","мар","апр","май","июн","июл","авг","сен","окт","ноя","дек")&amp;" "&amp;YEAR(A105)</f>
        <v/>
      </c>
      <c r="I105" s="73">
        <f>'04_Продажи'!C15</f>
        <v/>
      </c>
      <c r="J105" s="73">
        <f>'04_Продажи'!C18</f>
        <v/>
      </c>
      <c r="K105" s="73">
        <f>'02_Модель'!C44</f>
        <v/>
      </c>
      <c r="L105" s="73">
        <f>'02_Модель'!C72</f>
        <v/>
      </c>
      <c r="M105" s="73">
        <f>'02_Модель'!C75</f>
        <v/>
      </c>
      <c r="N105" s="73">
        <f>'10_Выплаты_ФК'!C34</f>
        <v/>
      </c>
    </row>
    <row r="106" ht="26" customHeight="1">
      <c r="A106" s="102">
        <f>'06_Сеть_и_дети'!D3</f>
        <v/>
      </c>
      <c r="B106" s="103">
        <f>'06_Сеть_и_дети'!D17</f>
        <v/>
      </c>
      <c r="C106" s="103">
        <f>'06_Сеть_и_дети'!D10</f>
        <v/>
      </c>
      <c r="D106" s="103">
        <f>'06_Сеть_и_дети'!D20</f>
        <v/>
      </c>
      <c r="E106" s="103">
        <f>'06_Сеть_и_дети'!D24</f>
        <v/>
      </c>
      <c r="F106" s="103">
        <f>'06_Сеть_и_дети'!D25</f>
        <v/>
      </c>
      <c r="G106" s="103">
        <f>'06_Сеть_и_дети'!D4</f>
        <v/>
      </c>
      <c r="H106" s="104">
        <f>CHOOSE(MONTH(A106),"янв","фев","мар","апр","май","июн","июл","авг","сен","окт","ноя","дек")&amp;" "&amp;YEAR(A106)</f>
        <v/>
      </c>
      <c r="I106" s="73">
        <f>'04_Продажи'!D15</f>
        <v/>
      </c>
      <c r="J106" s="73">
        <f>'04_Продажи'!D18</f>
        <v/>
      </c>
      <c r="K106" s="73">
        <f>'02_Модель'!D44</f>
        <v/>
      </c>
      <c r="L106" s="73">
        <f>'02_Модель'!D72</f>
        <v/>
      </c>
      <c r="M106" s="73">
        <f>'02_Модель'!D75</f>
        <v/>
      </c>
      <c r="N106" s="73">
        <f>'10_Выплаты_ФК'!D34</f>
        <v/>
      </c>
    </row>
    <row r="107" ht="26" customHeight="1">
      <c r="A107" s="102">
        <f>'06_Сеть_и_дети'!E3</f>
        <v/>
      </c>
      <c r="B107" s="103">
        <f>'06_Сеть_и_дети'!E17</f>
        <v/>
      </c>
      <c r="C107" s="103">
        <f>'06_Сеть_и_дети'!E10</f>
        <v/>
      </c>
      <c r="D107" s="103">
        <f>'06_Сеть_и_дети'!E20</f>
        <v/>
      </c>
      <c r="E107" s="103">
        <f>'06_Сеть_и_дети'!E24</f>
        <v/>
      </c>
      <c r="F107" s="103">
        <f>'06_Сеть_и_дети'!E25</f>
        <v/>
      </c>
      <c r="G107" s="103">
        <f>'06_Сеть_и_дети'!E4</f>
        <v/>
      </c>
      <c r="H107" s="104">
        <f>CHOOSE(MONTH(A107),"янв","фев","мар","апр","май","июн","июл","авг","сен","окт","ноя","дек")&amp;" "&amp;YEAR(A107)</f>
        <v/>
      </c>
      <c r="I107" s="73">
        <f>'04_Продажи'!E15</f>
        <v/>
      </c>
      <c r="J107" s="73">
        <f>'04_Продажи'!E18</f>
        <v/>
      </c>
      <c r="K107" s="73">
        <f>'02_Модель'!E44</f>
        <v/>
      </c>
      <c r="L107" s="73">
        <f>'02_Модель'!E72</f>
        <v/>
      </c>
      <c r="M107" s="73">
        <f>'02_Модель'!E75</f>
        <v/>
      </c>
      <c r="N107" s="73">
        <f>'10_Выплаты_ФК'!E34</f>
        <v/>
      </c>
    </row>
    <row r="108" ht="26" customHeight="1">
      <c r="A108" s="102">
        <f>'06_Сеть_и_дети'!F3</f>
        <v/>
      </c>
      <c r="B108" s="103">
        <f>'06_Сеть_и_дети'!F17</f>
        <v/>
      </c>
      <c r="C108" s="103">
        <f>'06_Сеть_и_дети'!F10</f>
        <v/>
      </c>
      <c r="D108" s="103">
        <f>'06_Сеть_и_дети'!F20</f>
        <v/>
      </c>
      <c r="E108" s="103">
        <f>'06_Сеть_и_дети'!F24</f>
        <v/>
      </c>
      <c r="F108" s="103">
        <f>'06_Сеть_и_дети'!F25</f>
        <v/>
      </c>
      <c r="G108" s="103">
        <f>'06_Сеть_и_дети'!F4</f>
        <v/>
      </c>
      <c r="H108" s="104">
        <f>CHOOSE(MONTH(A108),"янв","фев","мар","апр","май","июн","июл","авг","сен","окт","ноя","дек")&amp;" "&amp;YEAR(A108)</f>
        <v/>
      </c>
      <c r="I108" s="73">
        <f>'04_Продажи'!F15</f>
        <v/>
      </c>
      <c r="J108" s="73">
        <f>'04_Продажи'!F18</f>
        <v/>
      </c>
      <c r="K108" s="73">
        <f>'02_Модель'!F44</f>
        <v/>
      </c>
      <c r="L108" s="73">
        <f>'02_Модель'!F72</f>
        <v/>
      </c>
      <c r="M108" s="73">
        <f>'02_Модель'!F75</f>
        <v/>
      </c>
      <c r="N108" s="73">
        <f>'10_Выплаты_ФК'!F34</f>
        <v/>
      </c>
    </row>
    <row r="109" ht="26" customHeight="1">
      <c r="A109" s="102">
        <f>'06_Сеть_и_дети'!G3</f>
        <v/>
      </c>
      <c r="B109" s="103">
        <f>'06_Сеть_и_дети'!G17</f>
        <v/>
      </c>
      <c r="C109" s="103">
        <f>'06_Сеть_и_дети'!G10</f>
        <v/>
      </c>
      <c r="D109" s="103">
        <f>'06_Сеть_и_дети'!G20</f>
        <v/>
      </c>
      <c r="E109" s="103">
        <f>'06_Сеть_и_дети'!G24</f>
        <v/>
      </c>
      <c r="F109" s="103">
        <f>'06_Сеть_и_дети'!G25</f>
        <v/>
      </c>
      <c r="G109" s="103">
        <f>'06_Сеть_и_дети'!G4</f>
        <v/>
      </c>
      <c r="H109" s="104">
        <f>CHOOSE(MONTH(A109),"янв","фев","мар","апр","май","июн","июл","авг","сен","окт","ноя","дек")&amp;" "&amp;YEAR(A109)</f>
        <v/>
      </c>
      <c r="I109" s="73">
        <f>'04_Продажи'!G15</f>
        <v/>
      </c>
      <c r="J109" s="73">
        <f>'04_Продажи'!G18</f>
        <v/>
      </c>
      <c r="K109" s="73">
        <f>'02_Модель'!G44</f>
        <v/>
      </c>
      <c r="L109" s="73">
        <f>'02_Модель'!G72</f>
        <v/>
      </c>
      <c r="M109" s="73">
        <f>'02_Модель'!G75</f>
        <v/>
      </c>
      <c r="N109" s="73">
        <f>'10_Выплаты_ФК'!G34</f>
        <v/>
      </c>
    </row>
    <row r="110" ht="26" customHeight="1">
      <c r="A110" s="102">
        <f>'06_Сеть_и_дети'!H3</f>
        <v/>
      </c>
      <c r="B110" s="103">
        <f>'06_Сеть_и_дети'!H17</f>
        <v/>
      </c>
      <c r="C110" s="103">
        <f>'06_Сеть_и_дети'!H10</f>
        <v/>
      </c>
      <c r="D110" s="103">
        <f>'06_Сеть_и_дети'!H20</f>
        <v/>
      </c>
      <c r="E110" s="103">
        <f>'06_Сеть_и_дети'!H24</f>
        <v/>
      </c>
      <c r="F110" s="103">
        <f>'06_Сеть_и_дети'!H25</f>
        <v/>
      </c>
      <c r="G110" s="103">
        <f>'06_Сеть_и_дети'!H4</f>
        <v/>
      </c>
      <c r="H110" s="104">
        <f>CHOOSE(MONTH(A110),"янв","фев","мар","апр","май","июн","июл","авг","сен","окт","ноя","дек")&amp;" "&amp;YEAR(A110)</f>
        <v/>
      </c>
      <c r="I110" s="73">
        <f>'04_Продажи'!H15</f>
        <v/>
      </c>
      <c r="J110" s="73">
        <f>'04_Продажи'!H18</f>
        <v/>
      </c>
      <c r="K110" s="73">
        <f>'02_Модель'!H44</f>
        <v/>
      </c>
      <c r="L110" s="73">
        <f>'02_Модель'!H72</f>
        <v/>
      </c>
      <c r="M110" s="73">
        <f>'02_Модель'!H75</f>
        <v/>
      </c>
      <c r="N110" s="73">
        <f>'10_Выплаты_ФК'!H34</f>
        <v/>
      </c>
    </row>
    <row r="111" ht="26" customHeight="1">
      <c r="A111" s="102">
        <f>'06_Сеть_и_дети'!I3</f>
        <v/>
      </c>
      <c r="B111" s="103">
        <f>'06_Сеть_и_дети'!I17</f>
        <v/>
      </c>
      <c r="C111" s="103">
        <f>'06_Сеть_и_дети'!I10</f>
        <v/>
      </c>
      <c r="D111" s="103">
        <f>'06_Сеть_и_дети'!I20</f>
        <v/>
      </c>
      <c r="E111" s="103">
        <f>'06_Сеть_и_дети'!I24</f>
        <v/>
      </c>
      <c r="F111" s="103">
        <f>'06_Сеть_и_дети'!I25</f>
        <v/>
      </c>
      <c r="G111" s="103">
        <f>'06_Сеть_и_дети'!I4</f>
        <v/>
      </c>
      <c r="H111" s="104">
        <f>CHOOSE(MONTH(A111),"янв","фев","мар","апр","май","июн","июл","авг","сен","окт","ноя","дек")&amp;" "&amp;YEAR(A111)</f>
        <v/>
      </c>
      <c r="I111" s="73">
        <f>'04_Продажи'!I15</f>
        <v/>
      </c>
      <c r="J111" s="73">
        <f>'04_Продажи'!I18</f>
        <v/>
      </c>
      <c r="K111" s="73">
        <f>'02_Модель'!I44</f>
        <v/>
      </c>
      <c r="L111" s="73">
        <f>'02_Модель'!I72</f>
        <v/>
      </c>
      <c r="M111" s="73">
        <f>'02_Модель'!I75</f>
        <v/>
      </c>
      <c r="N111" s="73">
        <f>'10_Выплаты_ФК'!I34</f>
        <v/>
      </c>
    </row>
    <row r="112" ht="26" customHeight="1">
      <c r="A112" s="102">
        <f>'06_Сеть_и_дети'!J3</f>
        <v/>
      </c>
      <c r="B112" s="103">
        <f>'06_Сеть_и_дети'!J17</f>
        <v/>
      </c>
      <c r="C112" s="103">
        <f>'06_Сеть_и_дети'!J10</f>
        <v/>
      </c>
      <c r="D112" s="103">
        <f>'06_Сеть_и_дети'!J20</f>
        <v/>
      </c>
      <c r="E112" s="103">
        <f>'06_Сеть_и_дети'!J24</f>
        <v/>
      </c>
      <c r="F112" s="103">
        <f>'06_Сеть_и_дети'!J25</f>
        <v/>
      </c>
      <c r="G112" s="103">
        <f>'06_Сеть_и_дети'!J4</f>
        <v/>
      </c>
      <c r="H112" s="104">
        <f>CHOOSE(MONTH(A112),"янв","фев","мар","апр","май","июн","июл","авг","сен","окт","ноя","дек")&amp;" "&amp;YEAR(A112)</f>
        <v/>
      </c>
      <c r="I112" s="73">
        <f>'04_Продажи'!J15</f>
        <v/>
      </c>
      <c r="J112" s="73">
        <f>'04_Продажи'!J18</f>
        <v/>
      </c>
      <c r="K112" s="73">
        <f>'02_Модель'!J44</f>
        <v/>
      </c>
      <c r="L112" s="73">
        <f>'02_Модель'!J72</f>
        <v/>
      </c>
      <c r="M112" s="73">
        <f>'02_Модель'!J75</f>
        <v/>
      </c>
      <c r="N112" s="73">
        <f>'10_Выплаты_ФК'!J34</f>
        <v/>
      </c>
    </row>
    <row r="113" ht="26" customHeight="1">
      <c r="A113" s="102">
        <f>'06_Сеть_и_дети'!K3</f>
        <v/>
      </c>
      <c r="B113" s="103">
        <f>'06_Сеть_и_дети'!K17</f>
        <v/>
      </c>
      <c r="C113" s="103">
        <f>'06_Сеть_и_дети'!K10</f>
        <v/>
      </c>
      <c r="D113" s="103">
        <f>'06_Сеть_и_дети'!K20</f>
        <v/>
      </c>
      <c r="E113" s="103">
        <f>'06_Сеть_и_дети'!K24</f>
        <v/>
      </c>
      <c r="F113" s="103">
        <f>'06_Сеть_и_дети'!K25</f>
        <v/>
      </c>
      <c r="G113" s="103">
        <f>'06_Сеть_и_дети'!K4</f>
        <v/>
      </c>
      <c r="H113" s="104">
        <f>CHOOSE(MONTH(A113),"янв","фев","мар","апр","май","июн","июл","авг","сен","окт","ноя","дек")&amp;" "&amp;YEAR(A113)</f>
        <v/>
      </c>
      <c r="I113" s="73">
        <f>'04_Продажи'!K15</f>
        <v/>
      </c>
      <c r="J113" s="73">
        <f>'04_Продажи'!K18</f>
        <v/>
      </c>
      <c r="K113" s="73">
        <f>'02_Модель'!K44</f>
        <v/>
      </c>
      <c r="L113" s="73">
        <f>'02_Модель'!K72</f>
        <v/>
      </c>
      <c r="M113" s="73">
        <f>'02_Модель'!K75</f>
        <v/>
      </c>
      <c r="N113" s="73">
        <f>'10_Выплаты_ФК'!K34</f>
        <v/>
      </c>
    </row>
    <row r="114" ht="26" customHeight="1">
      <c r="A114" s="102">
        <f>'06_Сеть_и_дети'!L3</f>
        <v/>
      </c>
      <c r="B114" s="103">
        <f>'06_Сеть_и_дети'!L17</f>
        <v/>
      </c>
      <c r="C114" s="103">
        <f>'06_Сеть_и_дети'!L10</f>
        <v/>
      </c>
      <c r="D114" s="103">
        <f>'06_Сеть_и_дети'!L20</f>
        <v/>
      </c>
      <c r="E114" s="103">
        <f>'06_Сеть_и_дети'!L24</f>
        <v/>
      </c>
      <c r="F114" s="103">
        <f>'06_Сеть_и_дети'!L25</f>
        <v/>
      </c>
      <c r="G114" s="103">
        <f>'06_Сеть_и_дети'!L4</f>
        <v/>
      </c>
      <c r="H114" s="104">
        <f>CHOOSE(MONTH(A114),"янв","фев","мар","апр","май","июн","июл","авг","сен","окт","ноя","дек")&amp;" "&amp;YEAR(A114)</f>
        <v/>
      </c>
      <c r="I114" s="73">
        <f>'04_Продажи'!L15</f>
        <v/>
      </c>
      <c r="J114" s="73">
        <f>'04_Продажи'!L18</f>
        <v/>
      </c>
      <c r="K114" s="73">
        <f>'02_Модель'!L44</f>
        <v/>
      </c>
      <c r="L114" s="73">
        <f>'02_Модель'!L72</f>
        <v/>
      </c>
      <c r="M114" s="73">
        <f>'02_Модель'!L75</f>
        <v/>
      </c>
      <c r="N114" s="73">
        <f>'10_Выплаты_ФК'!L34</f>
        <v/>
      </c>
    </row>
    <row r="115" ht="26" customHeight="1">
      <c r="A115" s="102">
        <f>'06_Сеть_и_дети'!M3</f>
        <v/>
      </c>
      <c r="B115" s="103">
        <f>'06_Сеть_и_дети'!M17</f>
        <v/>
      </c>
      <c r="C115" s="103">
        <f>'06_Сеть_и_дети'!M10</f>
        <v/>
      </c>
      <c r="D115" s="103">
        <f>'06_Сеть_и_дети'!M20</f>
        <v/>
      </c>
      <c r="E115" s="103">
        <f>'06_Сеть_и_дети'!M24</f>
        <v/>
      </c>
      <c r="F115" s="103">
        <f>'06_Сеть_и_дети'!M25</f>
        <v/>
      </c>
      <c r="G115" s="103">
        <f>'06_Сеть_и_дети'!M4</f>
        <v/>
      </c>
      <c r="H115" s="104">
        <f>CHOOSE(MONTH(A115),"янв","фев","мар","апр","май","июн","июл","авг","сен","окт","ноя","дек")&amp;" "&amp;YEAR(A115)</f>
        <v/>
      </c>
      <c r="I115" s="73">
        <f>'04_Продажи'!M15</f>
        <v/>
      </c>
      <c r="J115" s="73">
        <f>'04_Продажи'!M18</f>
        <v/>
      </c>
      <c r="K115" s="73">
        <f>'02_Модель'!M44</f>
        <v/>
      </c>
      <c r="L115" s="73">
        <f>'02_Модель'!M72</f>
        <v/>
      </c>
      <c r="M115" s="73">
        <f>'02_Модель'!M75</f>
        <v/>
      </c>
      <c r="N115" s="73">
        <f>'10_Выплаты_ФК'!M34</f>
        <v/>
      </c>
    </row>
    <row r="116" ht="26" customHeight="1">
      <c r="A116" s="102">
        <f>'06_Сеть_и_дети'!N3</f>
        <v/>
      </c>
      <c r="B116" s="103">
        <f>'06_Сеть_и_дети'!N17</f>
        <v/>
      </c>
      <c r="C116" s="103">
        <f>'06_Сеть_и_дети'!N10</f>
        <v/>
      </c>
      <c r="D116" s="103">
        <f>'06_Сеть_и_дети'!N20</f>
        <v/>
      </c>
      <c r="E116" s="103">
        <f>'06_Сеть_и_дети'!N24</f>
        <v/>
      </c>
      <c r="F116" s="103">
        <f>'06_Сеть_и_дети'!N25</f>
        <v/>
      </c>
      <c r="G116" s="103">
        <f>'06_Сеть_и_дети'!N4</f>
        <v/>
      </c>
      <c r="H116" s="104">
        <f>CHOOSE(MONTH(A116),"янв","фев","мар","апр","май","июн","июл","авг","сен","окт","ноя","дек")&amp;" "&amp;YEAR(A116)</f>
        <v/>
      </c>
      <c r="I116" s="73">
        <f>'04_Продажи'!N15</f>
        <v/>
      </c>
      <c r="J116" s="73">
        <f>'04_Продажи'!N18</f>
        <v/>
      </c>
      <c r="K116" s="73">
        <f>'02_Модель'!N44</f>
        <v/>
      </c>
      <c r="L116" s="73">
        <f>'02_Модель'!N72</f>
        <v/>
      </c>
      <c r="M116" s="73">
        <f>'02_Модель'!N75</f>
        <v/>
      </c>
      <c r="N116" s="73">
        <f>'10_Выплаты_ФК'!N34</f>
        <v/>
      </c>
    </row>
    <row r="117" ht="26" customHeight="1">
      <c r="A117" s="102">
        <f>'06_Сеть_и_дети'!O3</f>
        <v/>
      </c>
      <c r="B117" s="103">
        <f>'06_Сеть_и_дети'!O17</f>
        <v/>
      </c>
      <c r="C117" s="103">
        <f>'06_Сеть_и_дети'!O10</f>
        <v/>
      </c>
      <c r="D117" s="103">
        <f>'06_Сеть_и_дети'!O20</f>
        <v/>
      </c>
      <c r="E117" s="103">
        <f>'06_Сеть_и_дети'!O24</f>
        <v/>
      </c>
      <c r="F117" s="103">
        <f>'06_Сеть_и_дети'!O25</f>
        <v/>
      </c>
      <c r="G117" s="103">
        <f>'06_Сеть_и_дети'!O4</f>
        <v/>
      </c>
      <c r="H117" s="104">
        <f>CHOOSE(MONTH(A117),"янв","фев","мар","апр","май","июн","июл","авг","сен","окт","ноя","дек")&amp;" "&amp;YEAR(A117)</f>
        <v/>
      </c>
      <c r="I117" s="73">
        <f>'04_Продажи'!O15</f>
        <v/>
      </c>
      <c r="J117" s="73">
        <f>'04_Продажи'!O18</f>
        <v/>
      </c>
      <c r="K117" s="73">
        <f>'02_Модель'!O44</f>
        <v/>
      </c>
      <c r="L117" s="73">
        <f>'02_Модель'!O72</f>
        <v/>
      </c>
      <c r="M117" s="73">
        <f>'02_Модель'!O75</f>
        <v/>
      </c>
      <c r="N117" s="73">
        <f>'10_Выплаты_ФК'!O34</f>
        <v/>
      </c>
    </row>
    <row r="118" ht="26" customHeight="1">
      <c r="A118" s="102">
        <f>'06_Сеть_и_дети'!P3</f>
        <v/>
      </c>
      <c r="B118" s="103">
        <f>'06_Сеть_и_дети'!P17</f>
        <v/>
      </c>
      <c r="C118" s="103">
        <f>'06_Сеть_и_дети'!P10</f>
        <v/>
      </c>
      <c r="D118" s="103">
        <f>'06_Сеть_и_дети'!P20</f>
        <v/>
      </c>
      <c r="E118" s="103">
        <f>'06_Сеть_и_дети'!P24</f>
        <v/>
      </c>
      <c r="F118" s="103">
        <f>'06_Сеть_и_дети'!P25</f>
        <v/>
      </c>
      <c r="G118" s="103">
        <f>'06_Сеть_и_дети'!P4</f>
        <v/>
      </c>
      <c r="H118" s="104">
        <f>CHOOSE(MONTH(A118),"янв","фев","мар","апр","май","июн","июл","авг","сен","окт","ноя","дек")&amp;" "&amp;YEAR(A118)</f>
        <v/>
      </c>
      <c r="I118" s="73">
        <f>'04_Продажи'!P15</f>
        <v/>
      </c>
      <c r="J118" s="73">
        <f>'04_Продажи'!P18</f>
        <v/>
      </c>
      <c r="K118" s="73">
        <f>'02_Модель'!P44</f>
        <v/>
      </c>
      <c r="L118" s="73">
        <f>'02_Модель'!P72</f>
        <v/>
      </c>
      <c r="M118" s="73">
        <f>'02_Модель'!P75</f>
        <v/>
      </c>
      <c r="N118" s="73">
        <f>'10_Выплаты_ФК'!P34</f>
        <v/>
      </c>
    </row>
    <row r="119" ht="26" customHeight="1">
      <c r="A119" s="102">
        <f>'06_Сеть_и_дети'!Q3</f>
        <v/>
      </c>
      <c r="B119" s="103">
        <f>'06_Сеть_и_дети'!Q17</f>
        <v/>
      </c>
      <c r="C119" s="103">
        <f>'06_Сеть_и_дети'!Q10</f>
        <v/>
      </c>
      <c r="D119" s="103">
        <f>'06_Сеть_и_дети'!Q20</f>
        <v/>
      </c>
      <c r="E119" s="103">
        <f>'06_Сеть_и_дети'!Q24</f>
        <v/>
      </c>
      <c r="F119" s="103">
        <f>'06_Сеть_и_дети'!Q25</f>
        <v/>
      </c>
      <c r="G119" s="103">
        <f>'06_Сеть_и_дети'!Q4</f>
        <v/>
      </c>
      <c r="H119" s="104">
        <f>CHOOSE(MONTH(A119),"янв","фев","мар","апр","май","июн","июл","авг","сен","окт","ноя","дек")&amp;" "&amp;YEAR(A119)</f>
        <v/>
      </c>
      <c r="I119" s="73">
        <f>'04_Продажи'!Q15</f>
        <v/>
      </c>
      <c r="J119" s="73">
        <f>'04_Продажи'!Q18</f>
        <v/>
      </c>
      <c r="K119" s="73">
        <f>'02_Модель'!Q44</f>
        <v/>
      </c>
      <c r="L119" s="73">
        <f>'02_Модель'!Q72</f>
        <v/>
      </c>
      <c r="M119" s="73">
        <f>'02_Модель'!Q75</f>
        <v/>
      </c>
      <c r="N119" s="73">
        <f>'10_Выплаты_ФК'!Q34</f>
        <v/>
      </c>
    </row>
    <row r="120" ht="26" customHeight="1">
      <c r="A120" s="102">
        <f>'06_Сеть_и_дети'!R3</f>
        <v/>
      </c>
      <c r="B120" s="103">
        <f>'06_Сеть_и_дети'!R17</f>
        <v/>
      </c>
      <c r="C120" s="103">
        <f>'06_Сеть_и_дети'!R10</f>
        <v/>
      </c>
      <c r="D120" s="103">
        <f>'06_Сеть_и_дети'!R20</f>
        <v/>
      </c>
      <c r="E120" s="103">
        <f>'06_Сеть_и_дети'!R24</f>
        <v/>
      </c>
      <c r="F120" s="103">
        <f>'06_Сеть_и_дети'!R25</f>
        <v/>
      </c>
      <c r="G120" s="103">
        <f>'06_Сеть_и_дети'!R4</f>
        <v/>
      </c>
      <c r="H120" s="104">
        <f>CHOOSE(MONTH(A120),"янв","фев","мар","апр","май","июн","июл","авг","сен","окт","ноя","дек")&amp;" "&amp;YEAR(A120)</f>
        <v/>
      </c>
      <c r="I120" s="73">
        <f>'04_Продажи'!R15</f>
        <v/>
      </c>
      <c r="J120" s="73">
        <f>'04_Продажи'!R18</f>
        <v/>
      </c>
      <c r="K120" s="73">
        <f>'02_Модель'!R44</f>
        <v/>
      </c>
      <c r="L120" s="73">
        <f>'02_Модель'!R72</f>
        <v/>
      </c>
      <c r="M120" s="73">
        <f>'02_Модель'!R75</f>
        <v/>
      </c>
      <c r="N120" s="73">
        <f>'10_Выплаты_ФК'!R34</f>
        <v/>
      </c>
    </row>
    <row r="121" ht="26" customHeight="1">
      <c r="A121" s="102">
        <f>'06_Сеть_и_дети'!S3</f>
        <v/>
      </c>
      <c r="B121" s="103">
        <f>'06_Сеть_и_дети'!S17</f>
        <v/>
      </c>
      <c r="C121" s="103">
        <f>'06_Сеть_и_дети'!S10</f>
        <v/>
      </c>
      <c r="D121" s="103">
        <f>'06_Сеть_и_дети'!S20</f>
        <v/>
      </c>
      <c r="E121" s="103">
        <f>'06_Сеть_и_дети'!S24</f>
        <v/>
      </c>
      <c r="F121" s="103">
        <f>'06_Сеть_и_дети'!S25</f>
        <v/>
      </c>
      <c r="G121" s="103">
        <f>'06_Сеть_и_дети'!S4</f>
        <v/>
      </c>
      <c r="H121" s="104">
        <f>CHOOSE(MONTH(A121),"янв","фев","мар","апр","май","июн","июл","авг","сен","окт","ноя","дек")&amp;" "&amp;YEAR(A121)</f>
        <v/>
      </c>
      <c r="I121" s="73">
        <f>'04_Продажи'!S15</f>
        <v/>
      </c>
      <c r="J121" s="73">
        <f>'04_Продажи'!S18</f>
        <v/>
      </c>
      <c r="K121" s="73">
        <f>'02_Модель'!S44</f>
        <v/>
      </c>
      <c r="L121" s="73">
        <f>'02_Модель'!S72</f>
        <v/>
      </c>
      <c r="M121" s="73">
        <f>'02_Модель'!S75</f>
        <v/>
      </c>
      <c r="N121" s="73">
        <f>'10_Выплаты_ФК'!S34</f>
        <v/>
      </c>
    </row>
    <row r="122" ht="26" customHeight="1">
      <c r="A122" s="102">
        <f>'06_Сеть_и_дети'!T3</f>
        <v/>
      </c>
      <c r="B122" s="103">
        <f>'06_Сеть_и_дети'!T17</f>
        <v/>
      </c>
      <c r="C122" s="103">
        <f>'06_Сеть_и_дети'!T10</f>
        <v/>
      </c>
      <c r="D122" s="103">
        <f>'06_Сеть_и_дети'!T20</f>
        <v/>
      </c>
      <c r="E122" s="103">
        <f>'06_Сеть_и_дети'!T24</f>
        <v/>
      </c>
      <c r="F122" s="103">
        <f>'06_Сеть_и_дети'!T25</f>
        <v/>
      </c>
      <c r="G122" s="103">
        <f>'06_Сеть_и_дети'!T4</f>
        <v/>
      </c>
      <c r="H122" s="104">
        <f>CHOOSE(MONTH(A122),"янв","фев","мар","апр","май","июн","июл","авг","сен","окт","ноя","дек")&amp;" "&amp;YEAR(A122)</f>
        <v/>
      </c>
      <c r="I122" s="73">
        <f>'04_Продажи'!T15</f>
        <v/>
      </c>
      <c r="J122" s="73">
        <f>'04_Продажи'!T18</f>
        <v/>
      </c>
      <c r="K122" s="73">
        <f>'02_Модель'!T44</f>
        <v/>
      </c>
      <c r="L122" s="73">
        <f>'02_Модель'!T72</f>
        <v/>
      </c>
      <c r="M122" s="73">
        <f>'02_Модель'!T75</f>
        <v/>
      </c>
      <c r="N122" s="73">
        <f>'10_Выплаты_ФК'!T34</f>
        <v/>
      </c>
    </row>
    <row r="123" ht="26" customHeight="1">
      <c r="A123" s="102">
        <f>'06_Сеть_и_дети'!U3</f>
        <v/>
      </c>
      <c r="B123" s="103">
        <f>'06_Сеть_и_дети'!U17</f>
        <v/>
      </c>
      <c r="C123" s="103">
        <f>'06_Сеть_и_дети'!U10</f>
        <v/>
      </c>
      <c r="D123" s="103">
        <f>'06_Сеть_и_дети'!U20</f>
        <v/>
      </c>
      <c r="E123" s="103">
        <f>'06_Сеть_и_дети'!U24</f>
        <v/>
      </c>
      <c r="F123" s="103">
        <f>'06_Сеть_и_дети'!U25</f>
        <v/>
      </c>
      <c r="G123" s="103">
        <f>'06_Сеть_и_дети'!U4</f>
        <v/>
      </c>
      <c r="H123" s="104">
        <f>CHOOSE(MONTH(A123),"янв","фев","мар","апр","май","июн","июл","авг","сен","окт","ноя","дек")&amp;" "&amp;YEAR(A123)</f>
        <v/>
      </c>
      <c r="I123" s="73">
        <f>'04_Продажи'!U15</f>
        <v/>
      </c>
      <c r="J123" s="73">
        <f>'04_Продажи'!U18</f>
        <v/>
      </c>
      <c r="K123" s="73">
        <f>'02_Модель'!U44</f>
        <v/>
      </c>
      <c r="L123" s="73">
        <f>'02_Модель'!U72</f>
        <v/>
      </c>
      <c r="M123" s="73">
        <f>'02_Модель'!U75</f>
        <v/>
      </c>
      <c r="N123" s="73">
        <f>'10_Выплаты_ФК'!U34</f>
        <v/>
      </c>
    </row>
    <row r="124" ht="26" customHeight="1">
      <c r="A124" s="102">
        <f>'06_Сеть_и_дети'!V3</f>
        <v/>
      </c>
      <c r="B124" s="103">
        <f>'06_Сеть_и_дети'!V17</f>
        <v/>
      </c>
      <c r="C124" s="103">
        <f>'06_Сеть_и_дети'!V10</f>
        <v/>
      </c>
      <c r="D124" s="103">
        <f>'06_Сеть_и_дети'!V20</f>
        <v/>
      </c>
      <c r="E124" s="103">
        <f>'06_Сеть_и_дети'!V24</f>
        <v/>
      </c>
      <c r="F124" s="103">
        <f>'06_Сеть_и_дети'!V25</f>
        <v/>
      </c>
      <c r="G124" s="103">
        <f>'06_Сеть_и_дети'!V4</f>
        <v/>
      </c>
      <c r="H124" s="104">
        <f>CHOOSE(MONTH(A124),"янв","фев","мар","апр","май","июн","июл","авг","сен","окт","ноя","дек")&amp;" "&amp;YEAR(A124)</f>
        <v/>
      </c>
      <c r="I124" s="73">
        <f>'04_Продажи'!V15</f>
        <v/>
      </c>
      <c r="J124" s="73">
        <f>'04_Продажи'!V18</f>
        <v/>
      </c>
      <c r="K124" s="73">
        <f>'02_Модель'!V44</f>
        <v/>
      </c>
      <c r="L124" s="73">
        <f>'02_Модель'!V72</f>
        <v/>
      </c>
      <c r="M124" s="73">
        <f>'02_Модель'!V75</f>
        <v/>
      </c>
      <c r="N124" s="73">
        <f>'10_Выплаты_ФК'!V34</f>
        <v/>
      </c>
    </row>
    <row r="125" ht="26" customHeight="1">
      <c r="A125" s="102">
        <f>'06_Сеть_и_дети'!W3</f>
        <v/>
      </c>
      <c r="B125" s="103">
        <f>'06_Сеть_и_дети'!W17</f>
        <v/>
      </c>
      <c r="C125" s="103">
        <f>'06_Сеть_и_дети'!W10</f>
        <v/>
      </c>
      <c r="D125" s="103">
        <f>'06_Сеть_и_дети'!W20</f>
        <v/>
      </c>
      <c r="E125" s="103">
        <f>'06_Сеть_и_дети'!W24</f>
        <v/>
      </c>
      <c r="F125" s="103">
        <f>'06_Сеть_и_дети'!W25</f>
        <v/>
      </c>
      <c r="G125" s="103">
        <f>'06_Сеть_и_дети'!W4</f>
        <v/>
      </c>
      <c r="H125" s="104">
        <f>CHOOSE(MONTH(A125),"янв","фев","мар","апр","май","июн","июл","авг","сен","окт","ноя","дек")&amp;" "&amp;YEAR(A125)</f>
        <v/>
      </c>
      <c r="I125" s="73">
        <f>'04_Продажи'!W15</f>
        <v/>
      </c>
      <c r="J125" s="73">
        <f>'04_Продажи'!W18</f>
        <v/>
      </c>
      <c r="K125" s="73">
        <f>'02_Модель'!W44</f>
        <v/>
      </c>
      <c r="L125" s="73">
        <f>'02_Модель'!W72</f>
        <v/>
      </c>
      <c r="M125" s="73">
        <f>'02_Модель'!W75</f>
        <v/>
      </c>
      <c r="N125" s="73">
        <f>'10_Выплаты_ФК'!W34</f>
        <v/>
      </c>
    </row>
    <row r="126" ht="26" customHeight="1">
      <c r="A126" s="102">
        <f>'06_Сеть_и_дети'!X3</f>
        <v/>
      </c>
      <c r="B126" s="103">
        <f>'06_Сеть_и_дети'!X17</f>
        <v/>
      </c>
      <c r="C126" s="103">
        <f>'06_Сеть_и_дети'!X10</f>
        <v/>
      </c>
      <c r="D126" s="103">
        <f>'06_Сеть_и_дети'!X20</f>
        <v/>
      </c>
      <c r="E126" s="103">
        <f>'06_Сеть_и_дети'!X24</f>
        <v/>
      </c>
      <c r="F126" s="103">
        <f>'06_Сеть_и_дети'!X25</f>
        <v/>
      </c>
      <c r="G126" s="103">
        <f>'06_Сеть_и_дети'!X4</f>
        <v/>
      </c>
      <c r="H126" s="104">
        <f>CHOOSE(MONTH(A126),"янв","фев","мар","апр","май","июн","июл","авг","сен","окт","ноя","дек")&amp;" "&amp;YEAR(A126)</f>
        <v/>
      </c>
      <c r="I126" s="73">
        <f>'04_Продажи'!X15</f>
        <v/>
      </c>
      <c r="J126" s="73">
        <f>'04_Продажи'!X18</f>
        <v/>
      </c>
      <c r="K126" s="73">
        <f>'02_Модель'!X44</f>
        <v/>
      </c>
      <c r="L126" s="73">
        <f>'02_Модель'!X72</f>
        <v/>
      </c>
      <c r="M126" s="73">
        <f>'02_Модель'!X75</f>
        <v/>
      </c>
      <c r="N126" s="73">
        <f>'10_Выплаты_ФК'!X34</f>
        <v/>
      </c>
    </row>
    <row r="127" ht="26" customHeight="1">
      <c r="A127" s="102">
        <f>'06_Сеть_и_дети'!Y3</f>
        <v/>
      </c>
      <c r="B127" s="103">
        <f>'06_Сеть_и_дети'!Y17</f>
        <v/>
      </c>
      <c r="C127" s="103">
        <f>'06_Сеть_и_дети'!Y10</f>
        <v/>
      </c>
      <c r="D127" s="103">
        <f>'06_Сеть_и_дети'!Y20</f>
        <v/>
      </c>
      <c r="E127" s="103">
        <f>'06_Сеть_и_дети'!Y24</f>
        <v/>
      </c>
      <c r="F127" s="103">
        <f>'06_Сеть_и_дети'!Y25</f>
        <v/>
      </c>
      <c r="G127" s="103">
        <f>'06_Сеть_и_дети'!Y4</f>
        <v/>
      </c>
      <c r="H127" s="104">
        <f>CHOOSE(MONTH(A127),"янв","фев","мар","апр","май","июн","июл","авг","сен","окт","ноя","дек")&amp;" "&amp;YEAR(A127)</f>
        <v/>
      </c>
      <c r="I127" s="73">
        <f>'04_Продажи'!Y15</f>
        <v/>
      </c>
      <c r="J127" s="73">
        <f>'04_Продажи'!Y18</f>
        <v/>
      </c>
      <c r="K127" s="73">
        <f>'02_Модель'!Y44</f>
        <v/>
      </c>
      <c r="L127" s="73">
        <f>'02_Модель'!Y72</f>
        <v/>
      </c>
      <c r="M127" s="73">
        <f>'02_Модель'!Y75</f>
        <v/>
      </c>
      <c r="N127" s="73">
        <f>'10_Выплаты_ФК'!Y34</f>
        <v/>
      </c>
    </row>
    <row r="128" ht="26" customHeight="1">
      <c r="A128" s="102">
        <f>'06_Сеть_и_дети'!Z3</f>
        <v/>
      </c>
      <c r="B128" s="103">
        <f>'06_Сеть_и_дети'!Z17</f>
        <v/>
      </c>
      <c r="C128" s="103">
        <f>'06_Сеть_и_дети'!Z10</f>
        <v/>
      </c>
      <c r="D128" s="103">
        <f>'06_Сеть_и_дети'!Z20</f>
        <v/>
      </c>
      <c r="E128" s="103">
        <f>'06_Сеть_и_дети'!Z24</f>
        <v/>
      </c>
      <c r="F128" s="103">
        <f>'06_Сеть_и_дети'!Z25</f>
        <v/>
      </c>
      <c r="G128" s="103">
        <f>'06_Сеть_и_дети'!Z4</f>
        <v/>
      </c>
      <c r="H128" s="104">
        <f>CHOOSE(MONTH(A128),"янв","фев","мар","апр","май","июн","июл","авг","сен","окт","ноя","дек")&amp;" "&amp;YEAR(A128)</f>
        <v/>
      </c>
      <c r="I128" s="73">
        <f>'04_Продажи'!Z15</f>
        <v/>
      </c>
      <c r="J128" s="73">
        <f>'04_Продажи'!Z18</f>
        <v/>
      </c>
      <c r="K128" s="73">
        <f>'02_Модель'!Z44</f>
        <v/>
      </c>
      <c r="L128" s="73">
        <f>'02_Модель'!Z72</f>
        <v/>
      </c>
      <c r="M128" s="73">
        <f>'02_Модель'!Z75</f>
        <v/>
      </c>
      <c r="N128" s="73">
        <f>'10_Выплаты_ФК'!Z34</f>
        <v/>
      </c>
    </row>
    <row r="129" ht="26" customHeight="1">
      <c r="A129" s="102">
        <f>'06_Сеть_и_дети'!AA3</f>
        <v/>
      </c>
      <c r="B129" s="103">
        <f>'06_Сеть_и_дети'!AA17</f>
        <v/>
      </c>
      <c r="C129" s="103">
        <f>'06_Сеть_и_дети'!AA10</f>
        <v/>
      </c>
      <c r="D129" s="103">
        <f>'06_Сеть_и_дети'!AA20</f>
        <v/>
      </c>
      <c r="E129" s="103">
        <f>'06_Сеть_и_дети'!AA24</f>
        <v/>
      </c>
      <c r="F129" s="103">
        <f>'06_Сеть_и_дети'!AA25</f>
        <v/>
      </c>
      <c r="G129" s="103">
        <f>'06_Сеть_и_дети'!AA4</f>
        <v/>
      </c>
      <c r="H129" s="104">
        <f>CHOOSE(MONTH(A129),"янв","фев","мар","апр","май","июн","июл","авг","сен","окт","ноя","дек")&amp;" "&amp;YEAR(A129)</f>
        <v/>
      </c>
      <c r="I129" s="73">
        <f>'04_Продажи'!AA15</f>
        <v/>
      </c>
      <c r="J129" s="73">
        <f>'04_Продажи'!AA18</f>
        <v/>
      </c>
      <c r="K129" s="73">
        <f>'02_Модель'!AA44</f>
        <v/>
      </c>
      <c r="L129" s="73">
        <f>'02_Модель'!AA72</f>
        <v/>
      </c>
      <c r="M129" s="73">
        <f>'02_Модель'!AA75</f>
        <v/>
      </c>
      <c r="N129" s="73">
        <f>'10_Выплаты_ФК'!AA34</f>
        <v/>
      </c>
    </row>
    <row r="130" ht="26" customHeight="1">
      <c r="A130" s="102">
        <f>'06_Сеть_и_дети'!AB3</f>
        <v/>
      </c>
      <c r="B130" s="103">
        <f>'06_Сеть_и_дети'!AB17</f>
        <v/>
      </c>
      <c r="C130" s="103">
        <f>'06_Сеть_и_дети'!AB10</f>
        <v/>
      </c>
      <c r="D130" s="103">
        <f>'06_Сеть_и_дети'!AB20</f>
        <v/>
      </c>
      <c r="E130" s="103">
        <f>'06_Сеть_и_дети'!AB24</f>
        <v/>
      </c>
      <c r="F130" s="103">
        <f>'06_Сеть_и_дети'!AB25</f>
        <v/>
      </c>
      <c r="G130" s="103">
        <f>'06_Сеть_и_дети'!AB4</f>
        <v/>
      </c>
      <c r="H130" s="104">
        <f>CHOOSE(MONTH(A130),"янв","фев","мар","апр","май","июн","июл","авг","сен","окт","ноя","дек")&amp;" "&amp;YEAR(A130)</f>
        <v/>
      </c>
      <c r="I130" s="73">
        <f>'04_Продажи'!AB15</f>
        <v/>
      </c>
      <c r="J130" s="73">
        <f>'04_Продажи'!AB18</f>
        <v/>
      </c>
      <c r="K130" s="73">
        <f>'02_Модель'!AB44</f>
        <v/>
      </c>
      <c r="L130" s="73">
        <f>'02_Модель'!AB72</f>
        <v/>
      </c>
      <c r="M130" s="73">
        <f>'02_Модель'!AB75</f>
        <v/>
      </c>
      <c r="N130" s="73">
        <f>'10_Выплаты_ФК'!AB34</f>
        <v/>
      </c>
    </row>
    <row r="131" ht="26" customHeight="1">
      <c r="A131" s="102">
        <f>'06_Сеть_и_дети'!AC3</f>
        <v/>
      </c>
      <c r="B131" s="103">
        <f>'06_Сеть_и_дети'!AC17</f>
        <v/>
      </c>
      <c r="C131" s="103">
        <f>'06_Сеть_и_дети'!AC10</f>
        <v/>
      </c>
      <c r="D131" s="103">
        <f>'06_Сеть_и_дети'!AC20</f>
        <v/>
      </c>
      <c r="E131" s="103">
        <f>'06_Сеть_и_дети'!AC24</f>
        <v/>
      </c>
      <c r="F131" s="103">
        <f>'06_Сеть_и_дети'!AC25</f>
        <v/>
      </c>
      <c r="G131" s="103">
        <f>'06_Сеть_и_дети'!AC4</f>
        <v/>
      </c>
      <c r="H131" s="104">
        <f>CHOOSE(MONTH(A131),"янв","фев","мар","апр","май","июн","июл","авг","сен","окт","ноя","дек")&amp;" "&amp;YEAR(A131)</f>
        <v/>
      </c>
      <c r="I131" s="73">
        <f>'04_Продажи'!AC15</f>
        <v/>
      </c>
      <c r="J131" s="73">
        <f>'04_Продажи'!AC18</f>
        <v/>
      </c>
      <c r="K131" s="73">
        <f>'02_Модель'!AC44</f>
        <v/>
      </c>
      <c r="L131" s="73">
        <f>'02_Модель'!AC72</f>
        <v/>
      </c>
      <c r="M131" s="73">
        <f>'02_Модель'!AC75</f>
        <v/>
      </c>
      <c r="N131" s="73">
        <f>'10_Выплаты_ФК'!AC34</f>
        <v/>
      </c>
    </row>
    <row r="132" ht="26" customHeight="1">
      <c r="A132" s="102">
        <f>'06_Сеть_и_дети'!AD3</f>
        <v/>
      </c>
      <c r="B132" s="103">
        <f>'06_Сеть_и_дети'!AD17</f>
        <v/>
      </c>
      <c r="C132" s="103">
        <f>'06_Сеть_и_дети'!AD10</f>
        <v/>
      </c>
      <c r="D132" s="103">
        <f>'06_Сеть_и_дети'!AD20</f>
        <v/>
      </c>
      <c r="E132" s="103">
        <f>'06_Сеть_и_дети'!AD24</f>
        <v/>
      </c>
      <c r="F132" s="103">
        <f>'06_Сеть_и_дети'!AD25</f>
        <v/>
      </c>
      <c r="G132" s="103">
        <f>'06_Сеть_и_дети'!AD4</f>
        <v/>
      </c>
      <c r="H132" s="104">
        <f>CHOOSE(MONTH(A132),"янв","фев","мар","апр","май","июн","июл","авг","сен","окт","ноя","дек")&amp;" "&amp;YEAR(A132)</f>
        <v/>
      </c>
      <c r="I132" s="73">
        <f>'04_Продажи'!AD15</f>
        <v/>
      </c>
      <c r="J132" s="73">
        <f>'04_Продажи'!AD18</f>
        <v/>
      </c>
      <c r="K132" s="73">
        <f>'02_Модель'!AD44</f>
        <v/>
      </c>
      <c r="L132" s="73">
        <f>'02_Модель'!AD72</f>
        <v/>
      </c>
      <c r="M132" s="73">
        <f>'02_Модель'!AD75</f>
        <v/>
      </c>
      <c r="N132" s="73">
        <f>'10_Выплаты_ФК'!AD34</f>
        <v/>
      </c>
    </row>
    <row r="133" ht="26" customHeight="1">
      <c r="A133" s="102">
        <f>'06_Сеть_и_дети'!AE3</f>
        <v/>
      </c>
      <c r="B133" s="103">
        <f>'06_Сеть_и_дети'!AE17</f>
        <v/>
      </c>
      <c r="C133" s="103">
        <f>'06_Сеть_и_дети'!AE10</f>
        <v/>
      </c>
      <c r="D133" s="103">
        <f>'06_Сеть_и_дети'!AE20</f>
        <v/>
      </c>
      <c r="E133" s="103">
        <f>'06_Сеть_и_дети'!AE24</f>
        <v/>
      </c>
      <c r="F133" s="103">
        <f>'06_Сеть_и_дети'!AE25</f>
        <v/>
      </c>
      <c r="G133" s="103">
        <f>'06_Сеть_и_дети'!AE4</f>
        <v/>
      </c>
      <c r="H133" s="104">
        <f>CHOOSE(MONTH(A133),"янв","фев","мар","апр","май","июн","июл","авг","сен","окт","ноя","дек")&amp;" "&amp;YEAR(A133)</f>
        <v/>
      </c>
      <c r="I133" s="73">
        <f>'04_Продажи'!AE15</f>
        <v/>
      </c>
      <c r="J133" s="73">
        <f>'04_Продажи'!AE18</f>
        <v/>
      </c>
      <c r="K133" s="73">
        <f>'02_Модель'!AE44</f>
        <v/>
      </c>
      <c r="L133" s="73">
        <f>'02_Модель'!AE72</f>
        <v/>
      </c>
      <c r="M133" s="73">
        <f>'02_Модель'!AE75</f>
        <v/>
      </c>
      <c r="N133" s="73">
        <f>'10_Выплаты_ФК'!AE34</f>
        <v/>
      </c>
    </row>
    <row r="134" ht="26" customHeight="1">
      <c r="A134" s="102">
        <f>'06_Сеть_и_дети'!AF3</f>
        <v/>
      </c>
      <c r="B134" s="103">
        <f>'06_Сеть_и_дети'!AF17</f>
        <v/>
      </c>
      <c r="C134" s="103">
        <f>'06_Сеть_и_дети'!AF10</f>
        <v/>
      </c>
      <c r="D134" s="103">
        <f>'06_Сеть_и_дети'!AF20</f>
        <v/>
      </c>
      <c r="E134" s="103">
        <f>'06_Сеть_и_дети'!AF24</f>
        <v/>
      </c>
      <c r="F134" s="103">
        <f>'06_Сеть_и_дети'!AF25</f>
        <v/>
      </c>
      <c r="G134" s="103">
        <f>'06_Сеть_и_дети'!AF4</f>
        <v/>
      </c>
      <c r="H134" s="104">
        <f>CHOOSE(MONTH(A134),"янв","фев","мар","апр","май","июн","июл","авг","сен","окт","ноя","дек")&amp;" "&amp;YEAR(A134)</f>
        <v/>
      </c>
      <c r="I134" s="73">
        <f>'04_Продажи'!AF15</f>
        <v/>
      </c>
      <c r="J134" s="73">
        <f>'04_Продажи'!AF18</f>
        <v/>
      </c>
      <c r="K134" s="73">
        <f>'02_Модель'!AF44</f>
        <v/>
      </c>
      <c r="L134" s="73">
        <f>'02_Модель'!AF72</f>
        <v/>
      </c>
      <c r="M134" s="73">
        <f>'02_Модель'!AF75</f>
        <v/>
      </c>
      <c r="N134" s="73">
        <f>'10_Выплаты_ФК'!AF34</f>
        <v/>
      </c>
    </row>
    <row r="135" ht="26" customHeight="1">
      <c r="A135" s="102">
        <f>'06_Сеть_и_дети'!AG3</f>
        <v/>
      </c>
      <c r="B135" s="103">
        <f>'06_Сеть_и_дети'!AG17</f>
        <v/>
      </c>
      <c r="C135" s="103">
        <f>'06_Сеть_и_дети'!AG10</f>
        <v/>
      </c>
      <c r="D135" s="103">
        <f>'06_Сеть_и_дети'!AG20</f>
        <v/>
      </c>
      <c r="E135" s="103">
        <f>'06_Сеть_и_дети'!AG24</f>
        <v/>
      </c>
      <c r="F135" s="103">
        <f>'06_Сеть_и_дети'!AG25</f>
        <v/>
      </c>
      <c r="G135" s="103">
        <f>'06_Сеть_и_дети'!AG4</f>
        <v/>
      </c>
      <c r="H135" s="104">
        <f>CHOOSE(MONTH(A135),"янв","фев","мар","апр","май","июн","июл","авг","сен","окт","ноя","дек")&amp;" "&amp;YEAR(A135)</f>
        <v/>
      </c>
      <c r="I135" s="73">
        <f>'04_Продажи'!AG15</f>
        <v/>
      </c>
      <c r="J135" s="73">
        <f>'04_Продажи'!AG18</f>
        <v/>
      </c>
      <c r="K135" s="73">
        <f>'02_Модель'!AG44</f>
        <v/>
      </c>
      <c r="L135" s="73">
        <f>'02_Модель'!AG72</f>
        <v/>
      </c>
      <c r="M135" s="73">
        <f>'02_Модель'!AG75</f>
        <v/>
      </c>
      <c r="N135" s="73">
        <f>'10_Выплаты_ФК'!AG34</f>
        <v/>
      </c>
    </row>
    <row r="136" ht="26" customHeight="1">
      <c r="A136" s="102">
        <f>'06_Сеть_и_дети'!AH3</f>
        <v/>
      </c>
      <c r="B136" s="103">
        <f>'06_Сеть_и_дети'!AH17</f>
        <v/>
      </c>
      <c r="C136" s="103">
        <f>'06_Сеть_и_дети'!AH10</f>
        <v/>
      </c>
      <c r="D136" s="103">
        <f>'06_Сеть_и_дети'!AH20</f>
        <v/>
      </c>
      <c r="E136" s="103">
        <f>'06_Сеть_и_дети'!AH24</f>
        <v/>
      </c>
      <c r="F136" s="103">
        <f>'06_Сеть_и_дети'!AH25</f>
        <v/>
      </c>
      <c r="G136" s="103">
        <f>'06_Сеть_и_дети'!AH4</f>
        <v/>
      </c>
      <c r="H136" s="104">
        <f>CHOOSE(MONTH(A136),"янв","фев","мар","апр","май","июн","июл","авг","сен","окт","ноя","дек")&amp;" "&amp;YEAR(A136)</f>
        <v/>
      </c>
      <c r="I136" s="73">
        <f>'04_Продажи'!AH15</f>
        <v/>
      </c>
      <c r="J136" s="73">
        <f>'04_Продажи'!AH18</f>
        <v/>
      </c>
      <c r="K136" s="73">
        <f>'02_Модель'!AH44</f>
        <v/>
      </c>
      <c r="L136" s="73">
        <f>'02_Модель'!AH72</f>
        <v/>
      </c>
      <c r="M136" s="73">
        <f>'02_Модель'!AH75</f>
        <v/>
      </c>
      <c r="N136" s="73">
        <f>'10_Выплаты_ФК'!AH34</f>
        <v/>
      </c>
    </row>
    <row r="137" ht="26" customHeight="1">
      <c r="A137" s="102">
        <f>'06_Сеть_и_дети'!AI3</f>
        <v/>
      </c>
      <c r="B137" s="103">
        <f>'06_Сеть_и_дети'!AI17</f>
        <v/>
      </c>
      <c r="C137" s="103">
        <f>'06_Сеть_и_дети'!AI10</f>
        <v/>
      </c>
      <c r="D137" s="103">
        <f>'06_Сеть_и_дети'!AI20</f>
        <v/>
      </c>
      <c r="E137" s="103">
        <f>'06_Сеть_и_дети'!AI24</f>
        <v/>
      </c>
      <c r="F137" s="103">
        <f>'06_Сеть_и_дети'!AI25</f>
        <v/>
      </c>
      <c r="G137" s="103">
        <f>'06_Сеть_и_дети'!AI4</f>
        <v/>
      </c>
      <c r="H137" s="104">
        <f>CHOOSE(MONTH(A137),"янв","фев","мар","апр","май","июн","июл","авг","сен","окт","ноя","дек")&amp;" "&amp;YEAR(A137)</f>
        <v/>
      </c>
      <c r="I137" s="73">
        <f>'04_Продажи'!AI15</f>
        <v/>
      </c>
      <c r="J137" s="73">
        <f>'04_Продажи'!AI18</f>
        <v/>
      </c>
      <c r="K137" s="73">
        <f>'02_Модель'!AI44</f>
        <v/>
      </c>
      <c r="L137" s="73">
        <f>'02_Модель'!AI72</f>
        <v/>
      </c>
      <c r="M137" s="73">
        <f>'02_Модель'!AI75</f>
        <v/>
      </c>
      <c r="N137" s="73">
        <f>'10_Выплаты_ФК'!AI34</f>
        <v/>
      </c>
    </row>
    <row r="138" ht="26" customHeight="1">
      <c r="A138" s="102">
        <f>'06_Сеть_и_дети'!AJ3</f>
        <v/>
      </c>
      <c r="B138" s="103">
        <f>'06_Сеть_и_дети'!AJ17</f>
        <v/>
      </c>
      <c r="C138" s="103">
        <f>'06_Сеть_и_дети'!AJ10</f>
        <v/>
      </c>
      <c r="D138" s="103">
        <f>'06_Сеть_и_дети'!AJ20</f>
        <v/>
      </c>
      <c r="E138" s="103">
        <f>'06_Сеть_и_дети'!AJ24</f>
        <v/>
      </c>
      <c r="F138" s="103">
        <f>'06_Сеть_и_дети'!AJ25</f>
        <v/>
      </c>
      <c r="G138" s="103">
        <f>'06_Сеть_и_дети'!AJ4</f>
        <v/>
      </c>
      <c r="H138" s="104">
        <f>CHOOSE(MONTH(A138),"янв","фев","мар","апр","май","июн","июл","авг","сен","окт","ноя","дек")&amp;" "&amp;YEAR(A138)</f>
        <v/>
      </c>
      <c r="I138" s="73">
        <f>'04_Продажи'!AJ15</f>
        <v/>
      </c>
      <c r="J138" s="73">
        <f>'04_Продажи'!AJ18</f>
        <v/>
      </c>
      <c r="K138" s="73">
        <f>'02_Модель'!AJ44</f>
        <v/>
      </c>
      <c r="L138" s="73">
        <f>'02_Модель'!AJ72</f>
        <v/>
      </c>
      <c r="M138" s="73">
        <f>'02_Модель'!AJ75</f>
        <v/>
      </c>
      <c r="N138" s="73">
        <f>'10_Выплаты_ФК'!AJ34</f>
        <v/>
      </c>
    </row>
    <row r="139" ht="26" customHeight="1">
      <c r="A139" s="102">
        <f>'06_Сеть_и_дети'!AK3</f>
        <v/>
      </c>
      <c r="B139" s="103">
        <f>'06_Сеть_и_дети'!AK17</f>
        <v/>
      </c>
      <c r="C139" s="103">
        <f>'06_Сеть_и_дети'!AK10</f>
        <v/>
      </c>
      <c r="D139" s="103">
        <f>'06_Сеть_и_дети'!AK20</f>
        <v/>
      </c>
      <c r="E139" s="103">
        <f>'06_Сеть_и_дети'!AK24</f>
        <v/>
      </c>
      <c r="F139" s="103">
        <f>'06_Сеть_и_дети'!AK25</f>
        <v/>
      </c>
      <c r="G139" s="103">
        <f>'06_Сеть_и_дети'!AK4</f>
        <v/>
      </c>
      <c r="H139" s="104">
        <f>CHOOSE(MONTH(A139),"янв","фев","мар","апр","май","июн","июл","авг","сен","окт","ноя","дек")&amp;" "&amp;YEAR(A139)</f>
        <v/>
      </c>
      <c r="I139" s="73">
        <f>'04_Продажи'!AK15</f>
        <v/>
      </c>
      <c r="J139" s="73">
        <f>'04_Продажи'!AK18</f>
        <v/>
      </c>
      <c r="K139" s="73">
        <f>'02_Модель'!AK44</f>
        <v/>
      </c>
      <c r="L139" s="73">
        <f>'02_Модель'!AK72</f>
        <v/>
      </c>
      <c r="M139" s="73">
        <f>'02_Модель'!AK75</f>
        <v/>
      </c>
      <c r="N139" s="73">
        <f>'10_Выплаты_ФК'!AK34</f>
        <v/>
      </c>
    </row>
    <row r="140" ht="26" customHeight="1">
      <c r="A140" s="102">
        <f>'06_Сеть_и_дети'!AL3</f>
        <v/>
      </c>
      <c r="B140" s="103">
        <f>'06_Сеть_и_дети'!AL17</f>
        <v/>
      </c>
      <c r="C140" s="103">
        <f>'06_Сеть_и_дети'!AL10</f>
        <v/>
      </c>
      <c r="D140" s="103">
        <f>'06_Сеть_и_дети'!AL20</f>
        <v/>
      </c>
      <c r="E140" s="103">
        <f>'06_Сеть_и_дети'!AL24</f>
        <v/>
      </c>
      <c r="F140" s="103">
        <f>'06_Сеть_и_дети'!AL25</f>
        <v/>
      </c>
      <c r="G140" s="103">
        <f>'06_Сеть_и_дети'!AL4</f>
        <v/>
      </c>
      <c r="H140" s="104">
        <f>CHOOSE(MONTH(A140),"янв","фев","мар","апр","май","июн","июл","авг","сен","окт","ноя","дек")&amp;" "&amp;YEAR(A140)</f>
        <v/>
      </c>
      <c r="I140" s="73">
        <f>'04_Продажи'!AL15</f>
        <v/>
      </c>
      <c r="J140" s="73">
        <f>'04_Продажи'!AL18</f>
        <v/>
      </c>
      <c r="K140" s="73">
        <f>'02_Модель'!AL44</f>
        <v/>
      </c>
      <c r="L140" s="73">
        <f>'02_Модель'!AL72</f>
        <v/>
      </c>
      <c r="M140" s="73">
        <f>'02_Модель'!AL75</f>
        <v/>
      </c>
      <c r="N140" s="73">
        <f>'10_Выплаты_ФК'!AL34</f>
        <v/>
      </c>
    </row>
    <row r="141" ht="26" customHeight="1">
      <c r="A141" s="102">
        <f>'06_Сеть_и_дети'!AM3</f>
        <v/>
      </c>
      <c r="B141" s="103">
        <f>'06_Сеть_и_дети'!AM17</f>
        <v/>
      </c>
      <c r="C141" s="103">
        <f>'06_Сеть_и_дети'!AM10</f>
        <v/>
      </c>
      <c r="D141" s="103">
        <f>'06_Сеть_и_дети'!AM20</f>
        <v/>
      </c>
      <c r="E141" s="103">
        <f>'06_Сеть_и_дети'!AM24</f>
        <v/>
      </c>
      <c r="F141" s="103">
        <f>'06_Сеть_и_дети'!AM25</f>
        <v/>
      </c>
      <c r="G141" s="103">
        <f>'06_Сеть_и_дети'!AM4</f>
        <v/>
      </c>
      <c r="H141" s="104">
        <f>CHOOSE(MONTH(A141),"янв","фев","мар","апр","май","июн","июл","авг","сен","окт","ноя","дек")&amp;" "&amp;YEAR(A141)</f>
        <v/>
      </c>
      <c r="I141" s="73">
        <f>'04_Продажи'!AM15</f>
        <v/>
      </c>
      <c r="J141" s="73">
        <f>'04_Продажи'!AM18</f>
        <v/>
      </c>
      <c r="K141" s="73">
        <f>'02_Модель'!AM44</f>
        <v/>
      </c>
      <c r="L141" s="73">
        <f>'02_Модель'!AM72</f>
        <v/>
      </c>
      <c r="M141" s="73">
        <f>'02_Модель'!AM75</f>
        <v/>
      </c>
      <c r="N141" s="73">
        <f>'10_Выплаты_ФК'!AM34</f>
        <v/>
      </c>
    </row>
    <row r="142" ht="26" customHeight="1">
      <c r="A142" s="102">
        <f>'06_Сеть_и_дети'!AN3</f>
        <v/>
      </c>
      <c r="B142" s="103">
        <f>'06_Сеть_и_дети'!AN17</f>
        <v/>
      </c>
      <c r="C142" s="103">
        <f>'06_Сеть_и_дети'!AN10</f>
        <v/>
      </c>
      <c r="D142" s="103">
        <f>'06_Сеть_и_дети'!AN20</f>
        <v/>
      </c>
      <c r="E142" s="103">
        <f>'06_Сеть_и_дети'!AN24</f>
        <v/>
      </c>
      <c r="F142" s="103">
        <f>'06_Сеть_и_дети'!AN25</f>
        <v/>
      </c>
      <c r="G142" s="103">
        <f>'06_Сеть_и_дети'!AN4</f>
        <v/>
      </c>
      <c r="H142" s="104">
        <f>CHOOSE(MONTH(A142),"янв","фев","мар","апр","май","июн","июл","авг","сен","окт","ноя","дек")&amp;" "&amp;YEAR(A142)</f>
        <v/>
      </c>
      <c r="I142" s="73">
        <f>'04_Продажи'!AN15</f>
        <v/>
      </c>
      <c r="J142" s="73">
        <f>'04_Продажи'!AN18</f>
        <v/>
      </c>
      <c r="K142" s="73">
        <f>'02_Модель'!AN44</f>
        <v/>
      </c>
      <c r="L142" s="73">
        <f>'02_Модель'!AN72</f>
        <v/>
      </c>
      <c r="M142" s="73">
        <f>'02_Модель'!AN75</f>
        <v/>
      </c>
      <c r="N142" s="73">
        <f>'10_Выплаты_ФК'!AN34</f>
        <v/>
      </c>
    </row>
    <row r="143" ht="26" customHeight="1">
      <c r="A143" s="102">
        <f>'06_Сеть_и_дети'!AO3</f>
        <v/>
      </c>
      <c r="B143" s="103">
        <f>'06_Сеть_и_дети'!AO17</f>
        <v/>
      </c>
      <c r="C143" s="103">
        <f>'06_Сеть_и_дети'!AO10</f>
        <v/>
      </c>
      <c r="D143" s="103">
        <f>'06_Сеть_и_дети'!AO20</f>
        <v/>
      </c>
      <c r="E143" s="103">
        <f>'06_Сеть_и_дети'!AO24</f>
        <v/>
      </c>
      <c r="F143" s="103">
        <f>'06_Сеть_и_дети'!AO25</f>
        <v/>
      </c>
      <c r="G143" s="103">
        <f>'06_Сеть_и_дети'!AO4</f>
        <v/>
      </c>
      <c r="H143" s="104">
        <f>CHOOSE(MONTH(A143),"янв","фев","мар","апр","май","июн","июл","авг","сен","окт","ноя","дек")&amp;" "&amp;YEAR(A143)</f>
        <v/>
      </c>
      <c r="I143" s="73">
        <f>'04_Продажи'!AO15</f>
        <v/>
      </c>
      <c r="J143" s="73">
        <f>'04_Продажи'!AO18</f>
        <v/>
      </c>
      <c r="K143" s="73">
        <f>'02_Модель'!AO44</f>
        <v/>
      </c>
      <c r="L143" s="73">
        <f>'02_Модель'!AO72</f>
        <v/>
      </c>
      <c r="M143" s="73">
        <f>'02_Модель'!AO75</f>
        <v/>
      </c>
      <c r="N143" s="73">
        <f>'10_Выплаты_ФК'!AO34</f>
        <v/>
      </c>
    </row>
    <row r="144" ht="26" customHeight="1">
      <c r="A144" s="102">
        <f>'06_Сеть_и_дети'!AP3</f>
        <v/>
      </c>
      <c r="B144" s="103">
        <f>'06_Сеть_и_дети'!AP17</f>
        <v/>
      </c>
      <c r="C144" s="103">
        <f>'06_Сеть_и_дети'!AP10</f>
        <v/>
      </c>
      <c r="D144" s="103">
        <f>'06_Сеть_и_дети'!AP20</f>
        <v/>
      </c>
      <c r="E144" s="103">
        <f>'06_Сеть_и_дети'!AP24</f>
        <v/>
      </c>
      <c r="F144" s="103">
        <f>'06_Сеть_и_дети'!AP25</f>
        <v/>
      </c>
      <c r="G144" s="103">
        <f>'06_Сеть_и_дети'!AP4</f>
        <v/>
      </c>
      <c r="H144" s="104">
        <f>CHOOSE(MONTH(A144),"янв","фев","мар","апр","май","июн","июл","авг","сен","окт","ноя","дек")&amp;" "&amp;YEAR(A144)</f>
        <v/>
      </c>
      <c r="I144" s="73">
        <f>'04_Продажи'!AP15</f>
        <v/>
      </c>
      <c r="J144" s="73">
        <f>'04_Продажи'!AP18</f>
        <v/>
      </c>
      <c r="K144" s="73">
        <f>'02_Модель'!AP44</f>
        <v/>
      </c>
      <c r="L144" s="73">
        <f>'02_Модель'!AP72</f>
        <v/>
      </c>
      <c r="M144" s="73">
        <f>'02_Модель'!AP75</f>
        <v/>
      </c>
      <c r="N144" s="73">
        <f>'10_Выплаты_ФК'!AP34</f>
        <v/>
      </c>
    </row>
    <row r="145" ht="26" customHeight="1">
      <c r="A145" s="102">
        <f>'06_Сеть_и_дети'!AQ3</f>
        <v/>
      </c>
      <c r="B145" s="103">
        <f>'06_Сеть_и_дети'!AQ17</f>
        <v/>
      </c>
      <c r="C145" s="103">
        <f>'06_Сеть_и_дети'!AQ10</f>
        <v/>
      </c>
      <c r="D145" s="103">
        <f>'06_Сеть_и_дети'!AQ20</f>
        <v/>
      </c>
      <c r="E145" s="103">
        <f>'06_Сеть_и_дети'!AQ24</f>
        <v/>
      </c>
      <c r="F145" s="103">
        <f>'06_Сеть_и_дети'!AQ25</f>
        <v/>
      </c>
      <c r="G145" s="103">
        <f>'06_Сеть_и_дети'!AQ4</f>
        <v/>
      </c>
      <c r="H145" s="104">
        <f>CHOOSE(MONTH(A145),"янв","фев","мар","апр","май","июн","июл","авг","сен","окт","ноя","дек")&amp;" "&amp;YEAR(A145)</f>
        <v/>
      </c>
      <c r="I145" s="73">
        <f>'04_Продажи'!AQ15</f>
        <v/>
      </c>
      <c r="J145" s="73">
        <f>'04_Продажи'!AQ18</f>
        <v/>
      </c>
      <c r="K145" s="73">
        <f>'02_Модель'!AQ44</f>
        <v/>
      </c>
      <c r="L145" s="73">
        <f>'02_Модель'!AQ72</f>
        <v/>
      </c>
      <c r="M145" s="73">
        <f>'02_Модель'!AQ75</f>
        <v/>
      </c>
      <c r="N145" s="73">
        <f>'10_Выплаты_ФК'!AQ34</f>
        <v/>
      </c>
    </row>
    <row r="146" ht="26" customHeight="1">
      <c r="A146" s="102">
        <f>'06_Сеть_и_дети'!AR3</f>
        <v/>
      </c>
      <c r="B146" s="103">
        <f>'06_Сеть_и_дети'!AR17</f>
        <v/>
      </c>
      <c r="C146" s="103">
        <f>'06_Сеть_и_дети'!AR10</f>
        <v/>
      </c>
      <c r="D146" s="103">
        <f>'06_Сеть_и_дети'!AR20</f>
        <v/>
      </c>
      <c r="E146" s="103">
        <f>'06_Сеть_и_дети'!AR24</f>
        <v/>
      </c>
      <c r="F146" s="103">
        <f>'06_Сеть_и_дети'!AR25</f>
        <v/>
      </c>
      <c r="G146" s="103">
        <f>'06_Сеть_и_дети'!AR4</f>
        <v/>
      </c>
      <c r="H146" s="104">
        <f>CHOOSE(MONTH(A146),"янв","фев","мар","апр","май","июн","июл","авг","сен","окт","ноя","дек")&amp;" "&amp;YEAR(A146)</f>
        <v/>
      </c>
      <c r="I146" s="73">
        <f>'04_Продажи'!AR15</f>
        <v/>
      </c>
      <c r="J146" s="73">
        <f>'04_Продажи'!AR18</f>
        <v/>
      </c>
      <c r="K146" s="73">
        <f>'02_Модель'!AR44</f>
        <v/>
      </c>
      <c r="L146" s="73">
        <f>'02_Модель'!AR72</f>
        <v/>
      </c>
      <c r="M146" s="73">
        <f>'02_Модель'!AR75</f>
        <v/>
      </c>
      <c r="N146" s="73">
        <f>'10_Выплаты_ФК'!AR34</f>
        <v/>
      </c>
    </row>
    <row r="147" ht="26" customHeight="1">
      <c r="A147" s="102">
        <f>'06_Сеть_и_дети'!AS3</f>
        <v/>
      </c>
      <c r="B147" s="103">
        <f>'06_Сеть_и_дети'!AS17</f>
        <v/>
      </c>
      <c r="C147" s="103">
        <f>'06_Сеть_и_дети'!AS10</f>
        <v/>
      </c>
      <c r="D147" s="103">
        <f>'06_Сеть_и_дети'!AS20</f>
        <v/>
      </c>
      <c r="E147" s="103">
        <f>'06_Сеть_и_дети'!AS24</f>
        <v/>
      </c>
      <c r="F147" s="103">
        <f>'06_Сеть_и_дети'!AS25</f>
        <v/>
      </c>
      <c r="G147" s="103">
        <f>'06_Сеть_и_дети'!AS4</f>
        <v/>
      </c>
      <c r="H147" s="104">
        <f>CHOOSE(MONTH(A147),"янв","фев","мар","апр","май","июн","июл","авг","сен","окт","ноя","дек")&amp;" "&amp;YEAR(A147)</f>
        <v/>
      </c>
      <c r="I147" s="73">
        <f>'04_Продажи'!AS15</f>
        <v/>
      </c>
      <c r="J147" s="73">
        <f>'04_Продажи'!AS18</f>
        <v/>
      </c>
      <c r="K147" s="73">
        <f>'02_Модель'!AS44</f>
        <v/>
      </c>
      <c r="L147" s="73">
        <f>'02_Модель'!AS72</f>
        <v/>
      </c>
      <c r="M147" s="73">
        <f>'02_Модель'!AS75</f>
        <v/>
      </c>
      <c r="N147" s="73">
        <f>'10_Выплаты_ФК'!AS34</f>
        <v/>
      </c>
    </row>
    <row r="148" ht="26" customHeight="1">
      <c r="A148" s="102">
        <f>'06_Сеть_и_дети'!AT3</f>
        <v/>
      </c>
      <c r="B148" s="103">
        <f>'06_Сеть_и_дети'!AT17</f>
        <v/>
      </c>
      <c r="C148" s="103">
        <f>'06_Сеть_и_дети'!AT10</f>
        <v/>
      </c>
      <c r="D148" s="103">
        <f>'06_Сеть_и_дети'!AT20</f>
        <v/>
      </c>
      <c r="E148" s="103">
        <f>'06_Сеть_и_дети'!AT24</f>
        <v/>
      </c>
      <c r="F148" s="103">
        <f>'06_Сеть_и_дети'!AT25</f>
        <v/>
      </c>
      <c r="G148" s="103">
        <f>'06_Сеть_и_дети'!AT4</f>
        <v/>
      </c>
      <c r="H148" s="104">
        <f>CHOOSE(MONTH(A148),"янв","фев","мар","апр","май","июн","июл","авг","сен","окт","ноя","дек")&amp;" "&amp;YEAR(A148)</f>
        <v/>
      </c>
      <c r="I148" s="73">
        <f>'04_Продажи'!AT15</f>
        <v/>
      </c>
      <c r="J148" s="73">
        <f>'04_Продажи'!AT18</f>
        <v/>
      </c>
      <c r="K148" s="73">
        <f>'02_Модель'!AT44</f>
        <v/>
      </c>
      <c r="L148" s="73">
        <f>'02_Модель'!AT72</f>
        <v/>
      </c>
      <c r="M148" s="73">
        <f>'02_Модель'!AT75</f>
        <v/>
      </c>
      <c r="N148" s="73">
        <f>'10_Выплаты_ФК'!AT34</f>
        <v/>
      </c>
    </row>
    <row r="149" ht="26" customHeight="1">
      <c r="A149" s="102">
        <f>'06_Сеть_и_дети'!AU3</f>
        <v/>
      </c>
      <c r="B149" s="103">
        <f>'06_Сеть_и_дети'!AU17</f>
        <v/>
      </c>
      <c r="C149" s="103">
        <f>'06_Сеть_и_дети'!AU10</f>
        <v/>
      </c>
      <c r="D149" s="103">
        <f>'06_Сеть_и_дети'!AU20</f>
        <v/>
      </c>
      <c r="E149" s="103">
        <f>'06_Сеть_и_дети'!AU24</f>
        <v/>
      </c>
      <c r="F149" s="103">
        <f>'06_Сеть_и_дети'!AU25</f>
        <v/>
      </c>
      <c r="G149" s="103">
        <f>'06_Сеть_и_дети'!AU4</f>
        <v/>
      </c>
      <c r="H149" s="104">
        <f>CHOOSE(MONTH(A149),"янв","фев","мар","апр","май","июн","июл","авг","сен","окт","ноя","дек")&amp;" "&amp;YEAR(A149)</f>
        <v/>
      </c>
      <c r="I149" s="73">
        <f>'04_Продажи'!AU15</f>
        <v/>
      </c>
      <c r="J149" s="73">
        <f>'04_Продажи'!AU18</f>
        <v/>
      </c>
      <c r="K149" s="73">
        <f>'02_Модель'!AU44</f>
        <v/>
      </c>
      <c r="L149" s="73">
        <f>'02_Модель'!AU72</f>
        <v/>
      </c>
      <c r="M149" s="73">
        <f>'02_Модель'!AU75</f>
        <v/>
      </c>
      <c r="N149" s="73">
        <f>'10_Выплаты_ФК'!AU34</f>
        <v/>
      </c>
    </row>
    <row r="150" ht="26" customHeight="1">
      <c r="A150" s="102">
        <f>'06_Сеть_и_дети'!AV3</f>
        <v/>
      </c>
      <c r="B150" s="103">
        <f>'06_Сеть_и_дети'!AV17</f>
        <v/>
      </c>
      <c r="C150" s="103">
        <f>'06_Сеть_и_дети'!AV10</f>
        <v/>
      </c>
      <c r="D150" s="103">
        <f>'06_Сеть_и_дети'!AV20</f>
        <v/>
      </c>
      <c r="E150" s="103">
        <f>'06_Сеть_и_дети'!AV24</f>
        <v/>
      </c>
      <c r="F150" s="103">
        <f>'06_Сеть_и_дети'!AV25</f>
        <v/>
      </c>
      <c r="G150" s="103">
        <f>'06_Сеть_и_дети'!AV4</f>
        <v/>
      </c>
      <c r="H150" s="104">
        <f>CHOOSE(MONTH(A150),"янв","фев","мар","апр","май","июн","июл","авг","сен","окт","ноя","дек")&amp;" "&amp;YEAR(A150)</f>
        <v/>
      </c>
      <c r="I150" s="73">
        <f>'04_Продажи'!AV15</f>
        <v/>
      </c>
      <c r="J150" s="73">
        <f>'04_Продажи'!AV18</f>
        <v/>
      </c>
      <c r="K150" s="73">
        <f>'02_Модель'!AV44</f>
        <v/>
      </c>
      <c r="L150" s="73">
        <f>'02_Модель'!AV72</f>
        <v/>
      </c>
      <c r="M150" s="73">
        <f>'02_Модель'!AV75</f>
        <v/>
      </c>
      <c r="N150" s="73">
        <f>'10_Выплаты_ФК'!AV34</f>
        <v/>
      </c>
    </row>
    <row r="151" ht="26" customHeight="1">
      <c r="A151" s="102">
        <f>'06_Сеть_и_дети'!AW3</f>
        <v/>
      </c>
      <c r="B151" s="103">
        <f>'06_Сеть_и_дети'!AW17</f>
        <v/>
      </c>
      <c r="C151" s="103">
        <f>'06_Сеть_и_дети'!AW10</f>
        <v/>
      </c>
      <c r="D151" s="103">
        <f>'06_Сеть_и_дети'!AW20</f>
        <v/>
      </c>
      <c r="E151" s="103">
        <f>'06_Сеть_и_дети'!AW24</f>
        <v/>
      </c>
      <c r="F151" s="103">
        <f>'06_Сеть_и_дети'!AW25</f>
        <v/>
      </c>
      <c r="G151" s="103">
        <f>'06_Сеть_и_дети'!AW4</f>
        <v/>
      </c>
      <c r="H151" s="104">
        <f>CHOOSE(MONTH(A151),"янв","фев","мар","апр","май","июн","июл","авг","сен","окт","ноя","дек")&amp;" "&amp;YEAR(A151)</f>
        <v/>
      </c>
      <c r="I151" s="73">
        <f>'04_Продажи'!AW15</f>
        <v/>
      </c>
      <c r="J151" s="73">
        <f>'04_Продажи'!AW18</f>
        <v/>
      </c>
      <c r="K151" s="73">
        <f>'02_Модель'!AW44</f>
        <v/>
      </c>
      <c r="L151" s="73">
        <f>'02_Модель'!AW72</f>
        <v/>
      </c>
      <c r="M151" s="73">
        <f>'02_Модель'!AW75</f>
        <v/>
      </c>
      <c r="N151" s="73">
        <f>'10_Выплаты_ФК'!AW34</f>
        <v/>
      </c>
    </row>
    <row r="152" ht="26" customHeight="1">
      <c r="A152" s="102">
        <f>'06_Сеть_и_дети'!AX3</f>
        <v/>
      </c>
      <c r="B152" s="103">
        <f>'06_Сеть_и_дети'!AX17</f>
        <v/>
      </c>
      <c r="C152" s="103">
        <f>'06_Сеть_и_дети'!AX10</f>
        <v/>
      </c>
      <c r="D152" s="103">
        <f>'06_Сеть_и_дети'!AX20</f>
        <v/>
      </c>
      <c r="E152" s="103">
        <f>'06_Сеть_и_дети'!AX24</f>
        <v/>
      </c>
      <c r="F152" s="103">
        <f>'06_Сеть_и_дети'!AX25</f>
        <v/>
      </c>
      <c r="G152" s="103">
        <f>'06_Сеть_и_дети'!AX4</f>
        <v/>
      </c>
      <c r="H152" s="104">
        <f>CHOOSE(MONTH(A152),"янв","фев","мар","апр","май","июн","июл","авг","сен","окт","ноя","дек")&amp;" "&amp;YEAR(A152)</f>
        <v/>
      </c>
      <c r="I152" s="73">
        <f>'04_Продажи'!AX15</f>
        <v/>
      </c>
      <c r="J152" s="73">
        <f>'04_Продажи'!AX18</f>
        <v/>
      </c>
      <c r="K152" s="73">
        <f>'02_Модель'!AX44</f>
        <v/>
      </c>
      <c r="L152" s="73">
        <f>'02_Модель'!AX72</f>
        <v/>
      </c>
      <c r="M152" s="73">
        <f>'02_Модель'!AX75</f>
        <v/>
      </c>
      <c r="N152" s="73">
        <f>'10_Выплаты_ФК'!AX34</f>
        <v/>
      </c>
    </row>
    <row r="153" ht="26" customHeight="1">
      <c r="A153" s="102">
        <f>'06_Сеть_и_дети'!AY3</f>
        <v/>
      </c>
      <c r="B153" s="103">
        <f>'06_Сеть_и_дети'!AY17</f>
        <v/>
      </c>
      <c r="C153" s="103">
        <f>'06_Сеть_и_дети'!AY10</f>
        <v/>
      </c>
      <c r="D153" s="103">
        <f>'06_Сеть_и_дети'!AY20</f>
        <v/>
      </c>
      <c r="E153" s="103">
        <f>'06_Сеть_и_дети'!AY24</f>
        <v/>
      </c>
      <c r="F153" s="103">
        <f>'06_Сеть_и_дети'!AY25</f>
        <v/>
      </c>
      <c r="G153" s="103">
        <f>'06_Сеть_и_дети'!AY4</f>
        <v/>
      </c>
      <c r="H153" s="104">
        <f>CHOOSE(MONTH(A153),"янв","фев","мар","апр","май","июн","июл","авг","сен","окт","ноя","дек")&amp;" "&amp;YEAR(A153)</f>
        <v/>
      </c>
      <c r="I153" s="73">
        <f>'04_Продажи'!AY15</f>
        <v/>
      </c>
      <c r="J153" s="73">
        <f>'04_Продажи'!AY18</f>
        <v/>
      </c>
      <c r="K153" s="73">
        <f>'02_Модель'!AY44</f>
        <v/>
      </c>
      <c r="L153" s="73">
        <f>'02_Модель'!AY72</f>
        <v/>
      </c>
      <c r="M153" s="73">
        <f>'02_Модель'!AY75</f>
        <v/>
      </c>
      <c r="N153" s="73">
        <f>'10_Выплаты_ФК'!AY34</f>
        <v/>
      </c>
    </row>
    <row r="154" ht="26" customHeight="1">
      <c r="A154" s="102">
        <f>'06_Сеть_и_дети'!AZ3</f>
        <v/>
      </c>
      <c r="B154" s="103">
        <f>'06_Сеть_и_дети'!AZ17</f>
        <v/>
      </c>
      <c r="C154" s="103">
        <f>'06_Сеть_и_дети'!AZ10</f>
        <v/>
      </c>
      <c r="D154" s="103">
        <f>'06_Сеть_и_дети'!AZ20</f>
        <v/>
      </c>
      <c r="E154" s="103">
        <f>'06_Сеть_и_дети'!AZ24</f>
        <v/>
      </c>
      <c r="F154" s="103">
        <f>'06_Сеть_и_дети'!AZ25</f>
        <v/>
      </c>
      <c r="G154" s="103">
        <f>'06_Сеть_и_дети'!AZ4</f>
        <v/>
      </c>
      <c r="H154" s="104">
        <f>CHOOSE(MONTH(A154),"янв","фев","мар","апр","май","июн","июл","авг","сен","окт","ноя","дек")&amp;" "&amp;YEAR(A154)</f>
        <v/>
      </c>
      <c r="I154" s="73">
        <f>'04_Продажи'!AZ15</f>
        <v/>
      </c>
      <c r="J154" s="73">
        <f>'04_Продажи'!AZ18</f>
        <v/>
      </c>
      <c r="K154" s="73">
        <f>'02_Модель'!AZ44</f>
        <v/>
      </c>
      <c r="L154" s="73">
        <f>'02_Модель'!AZ72</f>
        <v/>
      </c>
      <c r="M154" s="73">
        <f>'02_Модель'!AZ75</f>
        <v/>
      </c>
      <c r="N154" s="73">
        <f>'10_Выплаты_ФК'!AZ34</f>
        <v/>
      </c>
    </row>
    <row r="155" ht="26" customHeight="1">
      <c r="A155" s="102">
        <f>'06_Сеть_и_дети'!BA3</f>
        <v/>
      </c>
      <c r="B155" s="103">
        <f>'06_Сеть_и_дети'!BA17</f>
        <v/>
      </c>
      <c r="C155" s="103">
        <f>'06_Сеть_и_дети'!BA10</f>
        <v/>
      </c>
      <c r="D155" s="103">
        <f>'06_Сеть_и_дети'!BA20</f>
        <v/>
      </c>
      <c r="E155" s="103">
        <f>'06_Сеть_и_дети'!BA24</f>
        <v/>
      </c>
      <c r="F155" s="103">
        <f>'06_Сеть_и_дети'!BA25</f>
        <v/>
      </c>
      <c r="G155" s="103">
        <f>'06_Сеть_и_дети'!BA4</f>
        <v/>
      </c>
      <c r="H155" s="104">
        <f>CHOOSE(MONTH(A155),"янв","фев","мар","апр","май","июн","июл","авг","сен","окт","ноя","дек")&amp;" "&amp;YEAR(A155)</f>
        <v/>
      </c>
      <c r="I155" s="73">
        <f>'04_Продажи'!BA15</f>
        <v/>
      </c>
      <c r="J155" s="73">
        <f>'04_Продажи'!BA18</f>
        <v/>
      </c>
      <c r="K155" s="73">
        <f>'02_Модель'!BA44</f>
        <v/>
      </c>
      <c r="L155" s="73">
        <f>'02_Модель'!BA72</f>
        <v/>
      </c>
      <c r="M155" s="73">
        <f>'02_Модель'!BA75</f>
        <v/>
      </c>
      <c r="N155" s="73">
        <f>'10_Выплаты_ФК'!BA34</f>
        <v/>
      </c>
    </row>
    <row r="156" ht="26" customHeight="1">
      <c r="A156" s="102">
        <f>'06_Сеть_и_дети'!BB3</f>
        <v/>
      </c>
      <c r="B156" s="103">
        <f>'06_Сеть_и_дети'!BB17</f>
        <v/>
      </c>
      <c r="C156" s="103">
        <f>'06_Сеть_и_дети'!BB10</f>
        <v/>
      </c>
      <c r="D156" s="103">
        <f>'06_Сеть_и_дети'!BB20</f>
        <v/>
      </c>
      <c r="E156" s="103">
        <f>'06_Сеть_и_дети'!BB24</f>
        <v/>
      </c>
      <c r="F156" s="103">
        <f>'06_Сеть_и_дети'!BB25</f>
        <v/>
      </c>
      <c r="G156" s="103">
        <f>'06_Сеть_и_дети'!BB4</f>
        <v/>
      </c>
      <c r="H156" s="104">
        <f>CHOOSE(MONTH(A156),"янв","фев","мар","апр","май","июн","июл","авг","сен","окт","ноя","дек")&amp;" "&amp;YEAR(A156)</f>
        <v/>
      </c>
      <c r="I156" s="73">
        <f>'04_Продажи'!BB15</f>
        <v/>
      </c>
      <c r="J156" s="73">
        <f>'04_Продажи'!BB18</f>
        <v/>
      </c>
      <c r="K156" s="73">
        <f>'02_Модель'!BB44</f>
        <v/>
      </c>
      <c r="L156" s="73">
        <f>'02_Модель'!BB72</f>
        <v/>
      </c>
      <c r="M156" s="73">
        <f>'02_Модель'!BB75</f>
        <v/>
      </c>
      <c r="N156" s="73">
        <f>'10_Выплаты_ФК'!BB34</f>
        <v/>
      </c>
    </row>
    <row r="157" ht="26" customHeight="1">
      <c r="A157" s="102">
        <f>'06_Сеть_и_дети'!BC3</f>
        <v/>
      </c>
      <c r="B157" s="103">
        <f>'06_Сеть_и_дети'!BC17</f>
        <v/>
      </c>
      <c r="C157" s="103">
        <f>'06_Сеть_и_дети'!BC10</f>
        <v/>
      </c>
      <c r="D157" s="103">
        <f>'06_Сеть_и_дети'!BC20</f>
        <v/>
      </c>
      <c r="E157" s="103">
        <f>'06_Сеть_и_дети'!BC24</f>
        <v/>
      </c>
      <c r="F157" s="103">
        <f>'06_Сеть_и_дети'!BC25</f>
        <v/>
      </c>
      <c r="G157" s="103">
        <f>'06_Сеть_и_дети'!BC4</f>
        <v/>
      </c>
      <c r="H157" s="104">
        <f>CHOOSE(MONTH(A157),"янв","фев","мар","апр","май","июн","июл","авг","сен","окт","ноя","дек")&amp;" "&amp;YEAR(A157)</f>
        <v/>
      </c>
      <c r="I157" s="73">
        <f>'04_Продажи'!BC15</f>
        <v/>
      </c>
      <c r="J157" s="73">
        <f>'04_Продажи'!BC18</f>
        <v/>
      </c>
      <c r="K157" s="73">
        <f>'02_Модель'!BC44</f>
        <v/>
      </c>
      <c r="L157" s="73">
        <f>'02_Модель'!BC72</f>
        <v/>
      </c>
      <c r="M157" s="73">
        <f>'02_Модель'!BC75</f>
        <v/>
      </c>
      <c r="N157" s="73">
        <f>'10_Выплаты_ФК'!BC34</f>
        <v/>
      </c>
    </row>
    <row r="158" ht="26" customHeight="1">
      <c r="A158" s="102">
        <f>'06_Сеть_и_дети'!BD3</f>
        <v/>
      </c>
      <c r="B158" s="103">
        <f>'06_Сеть_и_дети'!BD17</f>
        <v/>
      </c>
      <c r="C158" s="103">
        <f>'06_Сеть_и_дети'!BD10</f>
        <v/>
      </c>
      <c r="D158" s="103">
        <f>'06_Сеть_и_дети'!BD20</f>
        <v/>
      </c>
      <c r="E158" s="103">
        <f>'06_Сеть_и_дети'!BD24</f>
        <v/>
      </c>
      <c r="F158" s="103">
        <f>'06_Сеть_и_дети'!BD25</f>
        <v/>
      </c>
      <c r="G158" s="103">
        <f>'06_Сеть_и_дети'!BD4</f>
        <v/>
      </c>
      <c r="H158" s="104">
        <f>CHOOSE(MONTH(A158),"янв","фев","мар","апр","май","июн","июл","авг","сен","окт","ноя","дек")&amp;" "&amp;YEAR(A158)</f>
        <v/>
      </c>
      <c r="I158" s="73">
        <f>'04_Продажи'!BD15</f>
        <v/>
      </c>
      <c r="J158" s="73">
        <f>'04_Продажи'!BD18</f>
        <v/>
      </c>
      <c r="K158" s="73">
        <f>'02_Модель'!BD44</f>
        <v/>
      </c>
      <c r="L158" s="73">
        <f>'02_Модель'!BD72</f>
        <v/>
      </c>
      <c r="M158" s="73">
        <f>'02_Модель'!BD75</f>
        <v/>
      </c>
      <c r="N158" s="73">
        <f>'10_Выплаты_ФК'!BD34</f>
        <v/>
      </c>
    </row>
    <row r="159" ht="26" customHeight="1">
      <c r="A159" s="102">
        <f>'06_Сеть_и_дети'!BE3</f>
        <v/>
      </c>
      <c r="B159" s="103">
        <f>'06_Сеть_и_дети'!BE17</f>
        <v/>
      </c>
      <c r="C159" s="103">
        <f>'06_Сеть_и_дети'!BE10</f>
        <v/>
      </c>
      <c r="D159" s="103">
        <f>'06_Сеть_и_дети'!BE20</f>
        <v/>
      </c>
      <c r="E159" s="103">
        <f>'06_Сеть_и_дети'!BE24</f>
        <v/>
      </c>
      <c r="F159" s="103">
        <f>'06_Сеть_и_дети'!BE25</f>
        <v/>
      </c>
      <c r="G159" s="103">
        <f>'06_Сеть_и_дети'!BE4</f>
        <v/>
      </c>
      <c r="H159" s="104">
        <f>CHOOSE(MONTH(A159),"янв","фев","мар","апр","май","июн","июл","авг","сен","окт","ноя","дек")&amp;" "&amp;YEAR(A159)</f>
        <v/>
      </c>
      <c r="I159" s="73">
        <f>'04_Продажи'!BE15</f>
        <v/>
      </c>
      <c r="J159" s="73">
        <f>'04_Продажи'!BE18</f>
        <v/>
      </c>
      <c r="K159" s="73">
        <f>'02_Модель'!BE44</f>
        <v/>
      </c>
      <c r="L159" s="73">
        <f>'02_Модель'!BE72</f>
        <v/>
      </c>
      <c r="M159" s="73">
        <f>'02_Модель'!BE75</f>
        <v/>
      </c>
      <c r="N159" s="73">
        <f>'10_Выплаты_ФК'!BE34</f>
        <v/>
      </c>
    </row>
    <row r="160" ht="26" customHeight="1">
      <c r="A160" s="102">
        <f>'06_Сеть_и_дети'!BF3</f>
        <v/>
      </c>
      <c r="B160" s="103">
        <f>'06_Сеть_и_дети'!BF17</f>
        <v/>
      </c>
      <c r="C160" s="103">
        <f>'06_Сеть_и_дети'!BF10</f>
        <v/>
      </c>
      <c r="D160" s="103">
        <f>'06_Сеть_и_дети'!BF20</f>
        <v/>
      </c>
      <c r="E160" s="103">
        <f>'06_Сеть_и_дети'!BF24</f>
        <v/>
      </c>
      <c r="F160" s="103">
        <f>'06_Сеть_и_дети'!BF25</f>
        <v/>
      </c>
      <c r="G160" s="103">
        <f>'06_Сеть_и_дети'!BF4</f>
        <v/>
      </c>
      <c r="H160" s="104">
        <f>CHOOSE(MONTH(A160),"янв","фев","мар","апр","май","июн","июл","авг","сен","окт","ноя","дек")&amp;" "&amp;YEAR(A160)</f>
        <v/>
      </c>
      <c r="I160" s="73">
        <f>'04_Продажи'!BF15</f>
        <v/>
      </c>
      <c r="J160" s="73">
        <f>'04_Продажи'!BF18</f>
        <v/>
      </c>
      <c r="K160" s="73">
        <f>'02_Модель'!BF44</f>
        <v/>
      </c>
      <c r="L160" s="73">
        <f>'02_Модель'!BF72</f>
        <v/>
      </c>
      <c r="M160" s="73">
        <f>'02_Модель'!BF75</f>
        <v/>
      </c>
      <c r="N160" s="73">
        <f>'10_Выплаты_ФК'!BF34</f>
        <v/>
      </c>
    </row>
    <row r="161" ht="26" customHeight="1">
      <c r="A161" s="102">
        <f>'06_Сеть_и_дети'!BG3</f>
        <v/>
      </c>
      <c r="B161" s="103">
        <f>'06_Сеть_и_дети'!BG17</f>
        <v/>
      </c>
      <c r="C161" s="103">
        <f>'06_Сеть_и_дети'!BG10</f>
        <v/>
      </c>
      <c r="D161" s="103">
        <f>'06_Сеть_и_дети'!BG20</f>
        <v/>
      </c>
      <c r="E161" s="103">
        <f>'06_Сеть_и_дети'!BG24</f>
        <v/>
      </c>
      <c r="F161" s="103">
        <f>'06_Сеть_и_дети'!BG25</f>
        <v/>
      </c>
      <c r="G161" s="103">
        <f>'06_Сеть_и_дети'!BG4</f>
        <v/>
      </c>
      <c r="H161" s="104">
        <f>CHOOSE(MONTH(A161),"янв","фев","мар","апр","май","июн","июл","авг","сен","окт","ноя","дек")&amp;" "&amp;YEAR(A161)</f>
        <v/>
      </c>
      <c r="I161" s="73">
        <f>'04_Продажи'!BG15</f>
        <v/>
      </c>
      <c r="J161" s="73">
        <f>'04_Продажи'!BG18</f>
        <v/>
      </c>
      <c r="K161" s="73">
        <f>'02_Модель'!BG44</f>
        <v/>
      </c>
      <c r="L161" s="73">
        <f>'02_Модель'!BG72</f>
        <v/>
      </c>
      <c r="M161" s="73">
        <f>'02_Модель'!BG75</f>
        <v/>
      </c>
      <c r="N161" s="73">
        <f>'10_Выплаты_ФК'!BG34</f>
        <v/>
      </c>
    </row>
    <row r="162" ht="26" customHeight="1">
      <c r="A162" s="102">
        <f>'06_Сеть_и_дети'!BH3</f>
        <v/>
      </c>
      <c r="B162" s="103">
        <f>'06_Сеть_и_дети'!BH17</f>
        <v/>
      </c>
      <c r="C162" s="103">
        <f>'06_Сеть_и_дети'!BH10</f>
        <v/>
      </c>
      <c r="D162" s="103">
        <f>'06_Сеть_и_дети'!BH20</f>
        <v/>
      </c>
      <c r="E162" s="103">
        <f>'06_Сеть_и_дети'!BH24</f>
        <v/>
      </c>
      <c r="F162" s="103">
        <f>'06_Сеть_и_дети'!BH25</f>
        <v/>
      </c>
      <c r="G162" s="103">
        <f>'06_Сеть_и_дети'!BH4</f>
        <v/>
      </c>
      <c r="H162" s="104">
        <f>CHOOSE(MONTH(A162),"янв","фев","мар","апр","май","июн","июл","авг","сен","окт","ноя","дек")&amp;" "&amp;YEAR(A162)</f>
        <v/>
      </c>
      <c r="I162" s="73">
        <f>'04_Продажи'!BH15</f>
        <v/>
      </c>
      <c r="J162" s="73">
        <f>'04_Продажи'!BH18</f>
        <v/>
      </c>
      <c r="K162" s="73">
        <f>'02_Модель'!BH44</f>
        <v/>
      </c>
      <c r="L162" s="73">
        <f>'02_Модель'!BH72</f>
        <v/>
      </c>
      <c r="M162" s="73">
        <f>'02_Модель'!BH75</f>
        <v/>
      </c>
      <c r="N162" s="73">
        <f>'10_Выплаты_ФК'!BH34</f>
        <v/>
      </c>
    </row>
    <row r="163" ht="26" customHeight="1">
      <c r="A163" s="102">
        <f>'06_Сеть_и_дети'!BI3</f>
        <v/>
      </c>
      <c r="B163" s="103">
        <f>'06_Сеть_и_дети'!BI17</f>
        <v/>
      </c>
      <c r="C163" s="103">
        <f>'06_Сеть_и_дети'!BI10</f>
        <v/>
      </c>
      <c r="D163" s="103">
        <f>'06_Сеть_и_дети'!BI20</f>
        <v/>
      </c>
      <c r="E163" s="103">
        <f>'06_Сеть_и_дети'!BI24</f>
        <v/>
      </c>
      <c r="F163" s="103">
        <f>'06_Сеть_и_дети'!BI25</f>
        <v/>
      </c>
      <c r="G163" s="103">
        <f>'06_Сеть_и_дети'!BI4</f>
        <v/>
      </c>
      <c r="H163" s="104">
        <f>CHOOSE(MONTH(A163),"янв","фев","мар","апр","май","июн","июл","авг","сен","окт","ноя","дек")&amp;" "&amp;YEAR(A163)</f>
        <v/>
      </c>
      <c r="I163" s="73">
        <f>'04_Продажи'!BI15</f>
        <v/>
      </c>
      <c r="J163" s="73">
        <f>'04_Продажи'!BI18</f>
        <v/>
      </c>
      <c r="K163" s="73">
        <f>'02_Модель'!BI44</f>
        <v/>
      </c>
      <c r="L163" s="73">
        <f>'02_Модель'!BI72</f>
        <v/>
      </c>
      <c r="M163" s="73">
        <f>'02_Модель'!BI75</f>
        <v/>
      </c>
      <c r="N163" s="73">
        <f>'10_Выплаты_ФК'!BI34</f>
        <v/>
      </c>
    </row>
  </sheetData>
  <mergeCells count="32">
    <mergeCell ref="A15:H15"/>
    <mergeCell ref="B49:H49"/>
    <mergeCell ref="J5:N5"/>
    <mergeCell ref="A60:H60"/>
    <mergeCell ref="E54:H54"/>
    <mergeCell ref="J10:N10"/>
    <mergeCell ref="A1:H1"/>
    <mergeCell ref="B51:H51"/>
    <mergeCell ref="J9:N9"/>
    <mergeCell ref="B50:H50"/>
    <mergeCell ref="J6:N6"/>
    <mergeCell ref="B47:H47"/>
    <mergeCell ref="A46:H46"/>
    <mergeCell ref="B3:H3"/>
    <mergeCell ref="E55:H55"/>
    <mergeCell ref="A56:H56"/>
    <mergeCell ref="J4:N4"/>
    <mergeCell ref="B58:H58"/>
    <mergeCell ref="J11:N11"/>
    <mergeCell ref="B52:H52"/>
    <mergeCell ref="A57:H57"/>
    <mergeCell ref="J7:N7"/>
    <mergeCell ref="B43:H43"/>
    <mergeCell ref="A54:D54"/>
    <mergeCell ref="B48:H48"/>
    <mergeCell ref="A5:H5"/>
    <mergeCell ref="J3:N3"/>
    <mergeCell ref="J12:N12"/>
    <mergeCell ref="B53:H53"/>
    <mergeCell ref="A55:D55"/>
    <mergeCell ref="J8:N8"/>
    <mergeCell ref="A40:H40"/>
  </mergeCells>
  <hyperlinks>
    <hyperlink ref="J4" location="'01_Вводные'!A1"/>
    <hyperlink ref="J5" location="'02_Модель'!A1"/>
    <hyperlink ref="E6" location="'01_Вводные'!B192"/>
    <hyperlink ref="J6" location="'03_Сценарии'!A1"/>
    <hyperlink ref="E7" location="'03_Сценарии'!A1"/>
    <hyperlink ref="J7" location="'04_Продажи'!A1"/>
    <hyperlink ref="E8" location="'12_Чувствительность'!A1"/>
    <hyperlink ref="J8" location="'06_Сеть_и_дети'!A1"/>
    <hyperlink ref="J9" location="'07_Мерч'!A1"/>
    <hyperlink ref="E10" location="'13_Проверки'!A1"/>
    <hyperlink ref="J10" location="'08_ФОТ'!A1"/>
    <hyperlink ref="G11" location="'00_Старт'!A1"/>
    <hyperlink ref="J11" location="'10_Выплаты_ФК'!A1"/>
    <hyperlink ref="J12" location="'13_Проверки'!A1"/>
    <hyperlink ref="A45" location="'15_Изменения'!A1"/>
    <hyperlink ref="A54" location="'05_Воронка'!A1"/>
    <hyperlink ref="E54" location="'10_Выплаты_ФК'!A1"/>
    <hyperlink ref="A55" location="'15_Изменения'!A1"/>
    <hyperlink ref="E55" location="'14_Ревизия'!A1"/>
    <hyperlink ref="A56" location="'16_Инструкция'!A1"/>
  </hyperlinks>
  <printOptions horizontalCentered="0"/>
  <pageMargins left="0.75" right="0.75" top="1" bottom="1" header="0.5" footer="0.5"/>
  <pageSetup orientation="portrait" fitToHeight="0" fitToWidth="1"/>
  <headerFooter>
    <oddHeader/>
    <oddFooter>&amp;LФинмодель Спартак · 00_Дашборд&amp;R&amp;P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C9A227"/>
    <outlinePr summaryBelow="0" summaryRight="0"/>
    <pageSetUpPr fitToPage="1"/>
  </sheetPr>
  <dimension ref="A1:O365"/>
  <sheetViews>
    <sheetView showGridLines="0"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31" customWidth="1" min="2" max="2"/>
    <col width="18" customWidth="1" min="3" max="3"/>
    <col width="22" customWidth="1" min="4" max="4"/>
    <col width="27" customWidth="1" min="5" max="5"/>
    <col width="18" customWidth="1" min="6" max="6"/>
    <col width="40" customWidth="1" min="7" max="7"/>
    <col width="36" customWidth="1" min="8" max="8"/>
    <col width="18" customWidth="1" min="9" max="9"/>
    <col width="18" customWidth="1" min="10" max="10"/>
    <col width="45" customWidth="1" min="11" max="11"/>
    <col width="11" customWidth="1" min="12" max="12"/>
    <col width="11" customWidth="1" min="13" max="13"/>
    <col width="11" customWidth="1" min="14" max="14"/>
    <col width="11" customWidth="1" min="15" max="15"/>
  </cols>
  <sheetData>
    <row r="1" ht="24" customHeight="1">
      <c r="A1" s="1" t="inlineStr">
        <is>
          <t>Финмодель Спартак — единый лист вводных</t>
        </is>
      </c>
    </row>
    <row r="2">
      <c r="A2" s="264" t="inlineStr">
        <is>
          <t>Легенда:</t>
        </is>
      </c>
      <c r="B2" s="265" t="inlineStr">
        <is>
          <t>жёлтая — ввод</t>
        </is>
      </c>
      <c r="C2" s="266" t="inlineStr">
        <is>
          <t>уточнить</t>
        </is>
      </c>
      <c r="D2" s="267" t="inlineStr">
        <is>
          <t>переключатель</t>
        </is>
      </c>
      <c r="E2" s="268" t="inlineStr">
        <is>
          <t>блок v4 / ревизии</t>
        </is>
      </c>
      <c r="F2" s="269" t="inlineStr">
        <is>
          <t>серая курсивная — формула, не трогать</t>
        </is>
      </c>
      <c r="G2" s="270" t="inlineStr">
        <is>
          <t>→ 00_Старт: оглавление, переключатели, легенда</t>
        </is>
      </c>
      <c r="H2" s="270" t="inlineStr">
        <is>
          <t>→ 14а_Сверка_с_ТЗ: пункт ТЗ → формула</t>
        </is>
      </c>
    </row>
    <row r="3">
      <c r="A3" s="2" t="inlineStr">
        <is>
          <t>Правило работы</t>
        </is>
      </c>
      <c r="B3" s="3" t="inlineStr">
        <is>
          <t>Менять жёлтые ячейки только здесь. Сценарий: B192. Чувствительность: B233:B234. Параметры, микс и история собраны на одном листе.</t>
        </is>
      </c>
    </row>
    <row r="4">
      <c r="A4" t="inlineStr">
        <is>
          <t>Сценарии и чувствительность</t>
        </is>
      </c>
      <c r="G4" s="271" t="inlineStr">
        <is>
          <t>→ Раздел 11: сценарии и чувствительность</t>
        </is>
      </c>
      <c r="H4" s="271" t="inlineStr">
        <is>
          <t>→ Раздел 13: тарифные группы</t>
        </is>
      </c>
    </row>
    <row r="5" ht="20" customHeight="1">
      <c r="A5" s="272" t="inlineStr">
        <is>
          <t>1. Календарь, стартовая сеть и оборотный капитал</t>
        </is>
      </c>
    </row>
    <row r="6">
      <c r="A6" s="6" t="inlineStr">
        <is>
          <t>Параметр</t>
        </is>
      </c>
      <c r="B6" s="6" t="inlineStr">
        <is>
          <t>Значение</t>
        </is>
      </c>
      <c r="C6" s="6" t="inlineStr">
        <is>
          <t>Ед.</t>
        </is>
      </c>
      <c r="D6" s="6" t="inlineStr">
        <is>
          <t>Статус / источник</t>
        </is>
      </c>
      <c r="E6" s="6" t="inlineStr">
        <is>
          <t>Комментарий</t>
        </is>
      </c>
      <c r="G6" s="271" t="inlineStr">
        <is>
          <t>→ Раздел 12: настройки ревизии</t>
        </is>
      </c>
      <c r="H6" s="271" t="inlineStr">
        <is>
          <t>→ Раздел 14–16: CAPEX и индексация</t>
        </is>
      </c>
    </row>
    <row r="7" outlineLevel="1">
      <c r="A7" s="2" t="inlineStr">
        <is>
          <t>Дата старта модели</t>
        </is>
      </c>
      <c r="B7" s="49" t="n">
        <v>46266</v>
      </c>
      <c r="C7" s="7" t="inlineStr">
        <is>
          <t>дата</t>
        </is>
      </c>
      <c r="D7" s="7" t="inlineStr">
        <is>
          <t>ТЗ 5.1</t>
        </is>
      </c>
      <c r="E7" s="17" t="inlineStr">
        <is>
          <t>Сезон считается от даты старта: 12 месяцев — один сезон. Сезонность посещаемости, веса плана продаж и согласованный мерч привязаны к календарю и не зависят от месяца старта.</t>
        </is>
      </c>
    </row>
    <row r="8" outlineLevel="1">
      <c r="A8" s="2" t="inlineStr">
        <is>
          <t>Горизонт прогноза</t>
        </is>
      </c>
      <c r="B8" s="273" t="n">
        <v>60</v>
      </c>
      <c r="C8" s="7" t="inlineStr">
        <is>
          <t>мес.</t>
        </is>
      </c>
      <c r="D8" s="7" t="inlineStr">
        <is>
          <t>Фиксированная структура</t>
        </is>
      </c>
      <c r="E8" s="17" t="inlineStr">
        <is>
          <t>Фиксированное окно 60 месяцев + 6 технических. Изменение длины требует расширения структуры.</t>
        </is>
      </c>
    </row>
    <row r="9" outlineLevel="1">
      <c r="A9" s="2" t="inlineStr">
        <is>
          <t>Активные школы действующей сети на старте</t>
        </is>
      </c>
      <c r="B9" s="274" t="n">
        <v>104</v>
      </c>
      <c r="C9" s="7" t="inlineStr">
        <is>
          <t>шт.</t>
        </is>
      </c>
      <c r="D9" s="7" t="inlineStr">
        <is>
          <t>Фактический реестр на 09.09.2026</t>
        </is>
      </c>
      <c r="E9" s="17" t="inlineStr">
        <is>
          <t>104 действующие школы у 51 действующего партнёра; 3 новых партнёра пока без школ и в 104 не входят.</t>
        </is>
      </c>
    </row>
    <row r="10" outlineLevel="1">
      <c r="A10" s="2" t="inlineStr">
        <is>
          <t>Активные юрлица на старте</t>
        </is>
      </c>
      <c r="B10" s="275" t="n">
        <v>51</v>
      </c>
      <c r="C10" s="7" t="inlineStr">
        <is>
          <t>шт.</t>
        </is>
      </c>
      <c r="D10" s="7" t="inlineStr">
        <is>
          <t>Реестр сети 21.08.2026</t>
        </is>
      </c>
      <c r="E10" s="17" t="inlineStr">
        <is>
          <t>51 действующий партнёр: 48 подписали ДКК, 3 в переговорах. В ТЗ v6.011 указано 49 — цифра реестра точнее, подтверждена 11.09.2026.</t>
        </is>
      </c>
    </row>
    <row r="11" outlineLevel="1">
      <c r="A11" s="2" t="inlineStr">
        <is>
          <t>Дети действующей сети, 100% база</t>
        </is>
      </c>
      <c r="B11" s="276" t="n">
        <v>5200</v>
      </c>
      <c r="C11" s="7" t="inlineStr">
        <is>
          <t>чел.</t>
        </is>
      </c>
      <c r="D11" s="7" t="inlineStr">
        <is>
          <t>ТЗ 5.3</t>
        </is>
      </c>
      <c r="E11" s="17" t="inlineStr">
        <is>
          <t>100% загрузка; внутри сезона применяется посещаемость</t>
        </is>
      </c>
    </row>
    <row r="12" outlineLevel="1">
      <c r="A12" s="2" t="inlineStr">
        <is>
          <t>Рост детей действующей сети</t>
        </is>
      </c>
      <c r="B12" s="52" t="n">
        <v>0.1</v>
      </c>
      <c r="C12" s="7" t="inlineStr">
        <is>
          <t>%/год</t>
        </is>
      </c>
      <c r="D12" s="7" t="inlineStr">
        <is>
          <t>ТЗ 5.3</t>
        </is>
      </c>
      <c r="E12" s="17" t="inlineStr">
        <is>
          <t>Сложный рост, пересчёт каждый сентябрь</t>
        </is>
      </c>
    </row>
    <row r="13" outlineLevel="1">
      <c r="A13" s="2" t="inlineStr">
        <is>
          <t>Закрытие школ / юрлиц</t>
        </is>
      </c>
      <c r="B13" s="53" t="n">
        <v>0.03</v>
      </c>
      <c r="C13" s="7" t="inlineStr">
        <is>
          <t>%/год</t>
        </is>
      </c>
      <c r="D13" s="7" t="inlineStr">
        <is>
          <t>Согласовано 11.09.2026</t>
        </is>
      </c>
      <c r="E13" s="17">
        <f>IF($B$13=0,"Механика работает, пока 0%","Закрывается "&amp;TEXT($B$13,"0,0%")&amp;" школ и юрлиц в год; помесячно через коэффициент B14")</f>
        <v/>
      </c>
    </row>
    <row r="14" outlineLevel="1">
      <c r="A14" s="2" t="inlineStr">
        <is>
          <t>Месячный коэффициент сохранения</t>
        </is>
      </c>
      <c r="B14" s="277">
        <f>(1-B13)^(1/12)</f>
        <v/>
      </c>
      <c r="C14" s="7" t="inlineStr">
        <is>
          <t>коэфф.</t>
        </is>
      </c>
      <c r="D14" s="7" t="inlineStr">
        <is>
          <t>Расчёт</t>
        </is>
      </c>
      <c r="E14" s="7" t="inlineStr">
        <is>
          <t>Технический коэффициент для закрытий</t>
        </is>
      </c>
    </row>
    <row r="15" outlineLevel="1">
      <c r="A15" s="2" t="inlineStr">
        <is>
          <t>Лаг продажа → открытие</t>
        </is>
      </c>
      <c r="B15" s="278" t="n">
        <v>2</v>
      </c>
      <c r="C15" s="7" t="inlineStr">
        <is>
          <t>мес.</t>
        </is>
      </c>
      <c r="D15" s="7" t="inlineStr">
        <is>
          <t>ТЗ 5.2</t>
        </is>
      </c>
      <c r="E15" s="17" t="inlineStr">
        <is>
          <t>Продажа, открытие и ERP — разные события</t>
        </is>
      </c>
    </row>
    <row r="16" outlineLevel="1">
      <c r="A16" s="2" t="inlineStr">
        <is>
          <t>Новых юрлиц на 1 продажу</t>
        </is>
      </c>
      <c r="B16" s="279" t="n">
        <v>1</v>
      </c>
      <c r="C16" s="7" t="inlineStr">
        <is>
          <t>юрлиц/продажу</t>
        </is>
      </c>
      <c r="D16" s="7" t="inlineStr">
        <is>
          <t>Временно</t>
        </is>
      </c>
      <c r="E16" s="17" t="inlineStr">
        <is>
          <t>Связь продаж с новыми юрлицами. Пока 1:1; отдельно от количества школ на партнёра.</t>
        </is>
      </c>
    </row>
    <row r="17" outlineLevel="1">
      <c r="A17" s="2" t="inlineStr">
        <is>
          <t>Стартовый денежный остаток</t>
        </is>
      </c>
      <c r="B17" s="51" t="n">
        <v>187878</v>
      </c>
      <c r="C17" s="7" t="inlineStr">
        <is>
          <t>₽</t>
        </is>
      </c>
      <c r="D17" s="7" t="inlineStr">
        <is>
          <t>ДДС на 02.07.2026</t>
        </is>
      </c>
      <c r="E17" s="17" t="inlineStr">
        <is>
          <t>Обновить на 31.08.2026</t>
        </is>
      </c>
    </row>
    <row r="18" outlineLevel="1">
      <c r="A18" s="2" t="inlineStr">
        <is>
          <t>Дебиторка</t>
        </is>
      </c>
      <c r="B18" s="280">
        <f>$B$225*$F$203</f>
        <v/>
      </c>
      <c r="C18" s="7" t="inlineStr">
        <is>
          <t>дней</t>
        </is>
      </c>
      <c r="D18" s="7" t="inlineStr">
        <is>
          <t>Расчет по сценарию</t>
        </is>
      </c>
      <c r="E18" s="17" t="inlineStr">
        <is>
          <t>Базовое допущение</t>
        </is>
      </c>
      <c r="G18" s="281" t="inlineStr">
        <is>
          <t>← формула; база: B225</t>
        </is>
      </c>
    </row>
    <row r="19" outlineLevel="1">
      <c r="A19" s="2" t="inlineStr">
        <is>
          <t>Кредиторка</t>
        </is>
      </c>
      <c r="B19" s="282" t="n">
        <v>15</v>
      </c>
      <c r="C19" s="7" t="inlineStr">
        <is>
          <t>дней</t>
        </is>
      </c>
      <c r="D19" s="7" t="inlineStr">
        <is>
          <t>ТЗ 8</t>
        </is>
      </c>
      <c r="E19" s="17" t="inlineStr">
        <is>
          <t>Базовое допущение</t>
        </is>
      </c>
    </row>
    <row r="20" outlineLevel="1">
      <c r="A20" s="2" t="inlineStr">
        <is>
          <t>Доля поступления в текущем месяце</t>
        </is>
      </c>
      <c r="B20" s="283">
        <f>MAX(0,MIN(1,(30-B18)/30))</f>
        <v/>
      </c>
      <c r="C20" s="7" t="inlineStr">
        <is>
          <t>%</t>
        </is>
      </c>
      <c r="D20" s="7" t="inlineStr">
        <is>
          <t>Расчёт</t>
        </is>
      </c>
      <c r="E20" s="7" t="inlineStr">
        <is>
          <t>15 дней ≈ 50% текущий / 50% следующий месяц</t>
        </is>
      </c>
    </row>
    <row r="21" outlineLevel="1">
      <c r="A21" s="2" t="inlineStr">
        <is>
          <t>Доля оплаты в текущем месяце</t>
        </is>
      </c>
      <c r="B21" s="283">
        <f>MAX(0,MIN(1,(30-B19)/30))</f>
        <v/>
      </c>
      <c r="C21" s="7" t="inlineStr">
        <is>
          <t>%</t>
        </is>
      </c>
      <c r="D21" s="7" t="inlineStr">
        <is>
          <t>Расчёт</t>
        </is>
      </c>
      <c r="E21" s="7" t="inlineStr">
        <is>
          <t>15 дней ≈ 50% текущий / 50% следующий месяц</t>
        </is>
      </c>
    </row>
    <row r="22" outlineLevel="1">
      <c r="A22" s="2" t="inlineStr">
        <is>
          <t>Новых школ на 1 продажу / нового партнёра</t>
        </is>
      </c>
      <c r="B22" s="284" t="n">
        <v>1.5</v>
      </c>
      <c r="C22" s="7" t="inlineStr">
        <is>
          <t>школ/продажу</t>
        </is>
      </c>
      <c r="D22" s="7" t="inlineStr">
        <is>
          <t>Согласовано 11.09.2026</t>
        </is>
      </c>
      <c r="E22" s="17">
        <f>"Новый партнёр открывает "&amp;TEXT($B$22,"0.0")&amp;" школы. Действующая сеть: 2,04 школы на партнёра (104 на 51)"</f>
        <v/>
      </c>
    </row>
    <row r="23" ht="20" customHeight="1">
      <c r="A23" s="272" t="inlineStr">
        <is>
          <t>2. Продажи франшиз и маркетинг</t>
        </is>
      </c>
    </row>
    <row r="24" outlineLevel="1">
      <c r="A24" s="6" t="inlineStr">
        <is>
          <t>Параметр</t>
        </is>
      </c>
      <c r="B24" s="6" t="inlineStr">
        <is>
          <t>Значение</t>
        </is>
      </c>
      <c r="C24" s="6" t="inlineStr">
        <is>
          <t>Ед.</t>
        </is>
      </c>
      <c r="D24" s="6" t="inlineStr">
        <is>
          <t>Статус / источник</t>
        </is>
      </c>
      <c r="E24" s="6" t="inlineStr">
        <is>
          <t>Комментарий</t>
        </is>
      </c>
    </row>
    <row r="25" outlineLevel="1">
      <c r="A25" s="2" t="inlineStr">
        <is>
          <t>Конверсия лид → продажа</t>
        </is>
      </c>
      <c r="B25" s="52" t="n">
        <v>0.03</v>
      </c>
      <c r="C25" s="7" t="inlineStr">
        <is>
          <t>%</t>
        </is>
      </c>
      <c r="D25" s="7" t="inlineStr">
        <is>
          <t>ТЗ 7</t>
        </is>
      </c>
      <c r="E25" s="17" t="inlineStr"/>
    </row>
    <row r="26" outlineLevel="1">
      <c r="A26" s="2" t="inlineStr">
        <is>
          <t>Таргет на будущую продажу</t>
        </is>
      </c>
      <c r="B26" s="285">
        <f>$B$224*$F$202</f>
        <v/>
      </c>
      <c r="C26" s="7" t="inlineStr">
        <is>
          <t>₽/продажа</t>
        </is>
      </c>
      <c r="D26" s="7" t="inlineStr">
        <is>
          <t>Расчет по сценарию</t>
        </is>
      </c>
      <c r="E26" s="17" t="inlineStr">
        <is>
          <t>Обычно M-2; для октября 2026 исключение M-1</t>
        </is>
      </c>
      <c r="G26" s="281" t="inlineStr">
        <is>
          <t>← формула; база: B224</t>
        </is>
      </c>
    </row>
    <row r="27" outlineLevel="1">
      <c r="A27" s="2" t="inlineStr">
        <is>
          <t>Лаг таргета до продажи</t>
        </is>
      </c>
      <c r="B27" s="278" t="n">
        <v>2</v>
      </c>
      <c r="C27" s="7" t="inlineStr">
        <is>
          <t>мес.</t>
        </is>
      </c>
      <c r="D27" s="7" t="inlineStr">
        <is>
          <t>ТЗ 7</t>
        </is>
      </c>
      <c r="E27" s="17" t="inlineStr">
        <is>
          <t>Октябрь 2026 — отдельное исключение</t>
        </is>
      </c>
    </row>
    <row r="28" outlineLevel="1">
      <c r="A28" s="2" t="inlineStr">
        <is>
          <t>БИБОСС — сумма</t>
        </is>
      </c>
      <c r="B28" s="50" t="n">
        <v>250000</v>
      </c>
      <c r="C28" s="7" t="inlineStr">
        <is>
          <t>₽</t>
        </is>
      </c>
      <c r="D28" s="7" t="inlineStr">
        <is>
          <t>ТЗ 7</t>
        </is>
      </c>
      <c r="E28" s="17" t="inlineStr">
        <is>
          <t>Ежегодно</t>
        </is>
      </c>
    </row>
    <row r="29" outlineLevel="1">
      <c r="A29" s="2" t="inlineStr">
        <is>
          <t>БИБОСС — месяц</t>
        </is>
      </c>
      <c r="B29" s="286" t="n">
        <v>10</v>
      </c>
      <c r="C29" s="7" t="inlineStr">
        <is>
          <t>номер месяца</t>
        </is>
      </c>
      <c r="D29" s="7" t="inlineStr">
        <is>
          <t>ТЗ 7</t>
        </is>
      </c>
      <c r="E29" s="17" t="inlineStr">
        <is>
          <t>Октябрь</t>
        </is>
      </c>
    </row>
    <row r="30" outlineLevel="1">
      <c r="A30" s="2" t="inlineStr">
        <is>
          <t>TopFranchise — сумма</t>
        </is>
      </c>
      <c r="B30" s="50" t="n">
        <v>250000</v>
      </c>
      <c r="C30" s="7" t="inlineStr">
        <is>
          <t>₽</t>
        </is>
      </c>
      <c r="D30" s="7" t="inlineStr">
        <is>
          <t>ТЗ 7</t>
        </is>
      </c>
      <c r="E30" s="17" t="inlineStr">
        <is>
          <t>Ежегодно</t>
        </is>
      </c>
    </row>
    <row r="31" outlineLevel="1">
      <c r="A31" s="2" t="inlineStr">
        <is>
          <t>TopFranchise — месяц</t>
        </is>
      </c>
      <c r="B31" s="286" t="n">
        <v>11</v>
      </c>
      <c r="C31" s="7" t="inlineStr">
        <is>
          <t>номер месяца</t>
        </is>
      </c>
      <c r="D31" s="7" t="inlineStr">
        <is>
          <t>ТЗ 7</t>
        </is>
      </c>
      <c r="E31" s="17" t="inlineStr">
        <is>
          <t>Ноябрь</t>
        </is>
      </c>
    </row>
    <row r="32" outlineLevel="1">
      <c r="A32" s="2" t="inlineStr">
        <is>
          <t>Forbes — сумма</t>
        </is>
      </c>
      <c r="B32" s="50" t="n">
        <v>250000</v>
      </c>
      <c r="C32" s="7" t="inlineStr">
        <is>
          <t>₽</t>
        </is>
      </c>
      <c r="D32" s="7" t="inlineStr">
        <is>
          <t>ТЗ 7</t>
        </is>
      </c>
      <c r="E32" s="17" t="inlineStr">
        <is>
          <t>Ежегодно</t>
        </is>
      </c>
    </row>
    <row r="33" outlineLevel="1">
      <c r="A33" s="2" t="inlineStr">
        <is>
          <t>Forbes — месяц</t>
        </is>
      </c>
      <c r="B33" s="286" t="n">
        <v>12</v>
      </c>
      <c r="C33" s="7" t="inlineStr">
        <is>
          <t>номер месяца</t>
        </is>
      </c>
      <c r="D33" s="7" t="inlineStr">
        <is>
          <t>ТЗ 7</t>
        </is>
      </c>
      <c r="E33" s="17" t="inlineStr">
        <is>
          <t>Декабрь</t>
        </is>
      </c>
    </row>
    <row r="34" outlineLevel="1" ht="20" customHeight="1">
      <c r="A34" s="4" t="inlineStr">
        <is>
          <t>2. Планы продаж и сезонность (веса — по календарным месяцам, первый месяц модели без продаж)</t>
        </is>
      </c>
    </row>
    <row r="35" outlineLevel="1">
      <c r="A35" s="6" t="inlineStr">
        <is>
          <t>Сезон</t>
        </is>
      </c>
      <c r="B35" s="6" t="inlineStr">
        <is>
          <t>Годовой план</t>
        </is>
      </c>
      <c r="C35" s="6" t="inlineStr">
        <is>
          <t>Сен</t>
        </is>
      </c>
      <c r="D35" s="6" t="inlineStr">
        <is>
          <t>Окт</t>
        </is>
      </c>
      <c r="E35" s="6" t="inlineStr">
        <is>
          <t>Ноя</t>
        </is>
      </c>
      <c r="F35" s="6" t="inlineStr">
        <is>
          <t>Дек</t>
        </is>
      </c>
      <c r="G35" s="6" t="inlineStr">
        <is>
          <t>Янв</t>
        </is>
      </c>
      <c r="H35" s="6" t="inlineStr">
        <is>
          <t>Фев</t>
        </is>
      </c>
      <c r="I35" s="6" t="inlineStr">
        <is>
          <t>Мар</t>
        </is>
      </c>
      <c r="J35" s="6" t="inlineStr">
        <is>
          <t>Апр</t>
        </is>
      </c>
      <c r="K35" s="6" t="inlineStr">
        <is>
          <t>Май</t>
        </is>
      </c>
      <c r="L35" s="6" t="inlineStr">
        <is>
          <t>Июн</t>
        </is>
      </c>
      <c r="M35" s="6" t="inlineStr">
        <is>
          <t>Июл</t>
        </is>
      </c>
      <c r="N35" s="6" t="inlineStr">
        <is>
          <t>Авг</t>
        </is>
      </c>
      <c r="O35" s="6" t="inlineStr">
        <is>
          <t>Контроль</t>
        </is>
      </c>
    </row>
    <row r="36" outlineLevel="1">
      <c r="A36" s="24" t="n">
        <v>1</v>
      </c>
      <c r="B36" s="285">
        <f>$B$210*$F$198</f>
        <v/>
      </c>
      <c r="C36" s="52" t="n">
        <v>0.18</v>
      </c>
      <c r="D36" s="52" t="n">
        <v>0.09</v>
      </c>
      <c r="E36" s="52" t="n">
        <v>0.03</v>
      </c>
      <c r="F36" s="52" t="n">
        <v>0.02</v>
      </c>
      <c r="G36" s="52" t="n">
        <v>0.08</v>
      </c>
      <c r="H36" s="52" t="n">
        <v>0.13</v>
      </c>
      <c r="I36" s="52" t="n">
        <v>0.05</v>
      </c>
      <c r="J36" s="52" t="n">
        <v>0.06</v>
      </c>
      <c r="K36" s="52" t="n">
        <v>0.08</v>
      </c>
      <c r="L36" s="52" t="n">
        <v>0.05</v>
      </c>
      <c r="M36" s="52" t="n">
        <v>0.09</v>
      </c>
      <c r="N36" s="52" t="n">
        <v>0.14</v>
      </c>
      <c r="O36" s="283">
        <f>SUM(C36:N36)</f>
        <v/>
      </c>
    </row>
    <row r="37" outlineLevel="1">
      <c r="A37" s="24" t="n">
        <v>2</v>
      </c>
      <c r="B37" s="285">
        <f>$B$211*$F$198</f>
        <v/>
      </c>
      <c r="C37" s="52" t="n">
        <v>0.18</v>
      </c>
      <c r="D37" s="52" t="n">
        <v>0.09</v>
      </c>
      <c r="E37" s="52" t="n">
        <v>0.03</v>
      </c>
      <c r="F37" s="52" t="n">
        <v>0.02</v>
      </c>
      <c r="G37" s="52" t="n">
        <v>0.08</v>
      </c>
      <c r="H37" s="52" t="n">
        <v>0.13</v>
      </c>
      <c r="I37" s="52" t="n">
        <v>0.05</v>
      </c>
      <c r="J37" s="52" t="n">
        <v>0.06</v>
      </c>
      <c r="K37" s="52" t="n">
        <v>0.08</v>
      </c>
      <c r="L37" s="52" t="n">
        <v>0.05</v>
      </c>
      <c r="M37" s="52" t="n">
        <v>0.09</v>
      </c>
      <c r="N37" s="52" t="n">
        <v>0.14</v>
      </c>
      <c r="O37" s="283">
        <f>SUM(C37:N37)</f>
        <v/>
      </c>
    </row>
    <row r="38" outlineLevel="1">
      <c r="A38" s="24" t="n">
        <v>3</v>
      </c>
      <c r="B38" s="285">
        <f>$B$212*$F$198</f>
        <v/>
      </c>
      <c r="C38" s="52" t="n">
        <v>0.18</v>
      </c>
      <c r="D38" s="52" t="n">
        <v>0.09</v>
      </c>
      <c r="E38" s="52" t="n">
        <v>0.03</v>
      </c>
      <c r="F38" s="52" t="n">
        <v>0.02</v>
      </c>
      <c r="G38" s="52" t="n">
        <v>0.08</v>
      </c>
      <c r="H38" s="52" t="n">
        <v>0.13</v>
      </c>
      <c r="I38" s="52" t="n">
        <v>0.05</v>
      </c>
      <c r="J38" s="52" t="n">
        <v>0.06</v>
      </c>
      <c r="K38" s="52" t="n">
        <v>0.08</v>
      </c>
      <c r="L38" s="52" t="n">
        <v>0.05</v>
      </c>
      <c r="M38" s="52" t="n">
        <v>0.09</v>
      </c>
      <c r="N38" s="52" t="n">
        <v>0.14</v>
      </c>
      <c r="O38" s="283">
        <f>SUM(C38:N38)</f>
        <v/>
      </c>
    </row>
    <row r="39" outlineLevel="1">
      <c r="A39" s="24" t="n">
        <v>4</v>
      </c>
      <c r="B39" s="285">
        <f>$B$213*$F$198</f>
        <v/>
      </c>
      <c r="C39" s="52" t="n">
        <v>0.18</v>
      </c>
      <c r="D39" s="52" t="n">
        <v>0.09</v>
      </c>
      <c r="E39" s="52" t="n">
        <v>0.03</v>
      </c>
      <c r="F39" s="52" t="n">
        <v>0.02</v>
      </c>
      <c r="G39" s="52" t="n">
        <v>0.08</v>
      </c>
      <c r="H39" s="52" t="n">
        <v>0.13</v>
      </c>
      <c r="I39" s="52" t="n">
        <v>0.05</v>
      </c>
      <c r="J39" s="52" t="n">
        <v>0.06</v>
      </c>
      <c r="K39" s="52" t="n">
        <v>0.08</v>
      </c>
      <c r="L39" s="52" t="n">
        <v>0.05</v>
      </c>
      <c r="M39" s="52" t="n">
        <v>0.09</v>
      </c>
      <c r="N39" s="52" t="n">
        <v>0.14</v>
      </c>
      <c r="O39" s="283">
        <f>SUM(C39:N39)</f>
        <v/>
      </c>
    </row>
    <row r="40" outlineLevel="1">
      <c r="A40" s="24" t="n">
        <v>5</v>
      </c>
      <c r="B40" s="285">
        <f>$B$214*$F$198</f>
        <v/>
      </c>
      <c r="C40" s="52" t="n">
        <v>0.18</v>
      </c>
      <c r="D40" s="52" t="n">
        <v>0.09</v>
      </c>
      <c r="E40" s="52" t="n">
        <v>0.03</v>
      </c>
      <c r="F40" s="52" t="n">
        <v>0.02</v>
      </c>
      <c r="G40" s="52" t="n">
        <v>0.08</v>
      </c>
      <c r="H40" s="52" t="n">
        <v>0.13</v>
      </c>
      <c r="I40" s="52" t="n">
        <v>0.05</v>
      </c>
      <c r="J40" s="52" t="n">
        <v>0.06</v>
      </c>
      <c r="K40" s="52" t="n">
        <v>0.08</v>
      </c>
      <c r="L40" s="52" t="n">
        <v>0.05</v>
      </c>
      <c r="M40" s="52" t="n">
        <v>0.09</v>
      </c>
      <c r="N40" s="52" t="n">
        <v>0.14</v>
      </c>
      <c r="O40" s="283">
        <f>SUM(C40:N40)</f>
        <v/>
      </c>
    </row>
    <row r="41"/>
    <row r="42" ht="20" customHeight="1">
      <c r="A42" s="272" t="inlineStr">
        <is>
          <t>3. Дети и сезонность посещаемости</t>
        </is>
      </c>
    </row>
    <row r="43" outlineLevel="1">
      <c r="A43" s="6" t="inlineStr">
        <is>
          <t>Месяц</t>
        </is>
      </c>
      <c r="B43" s="6" t="inlineStr">
        <is>
          <t>Янв</t>
        </is>
      </c>
      <c r="C43" s="6" t="inlineStr">
        <is>
          <t>Фев</t>
        </is>
      </c>
      <c r="D43" s="6" t="inlineStr">
        <is>
          <t>Мар</t>
        </is>
      </c>
      <c r="E43" s="6" t="inlineStr">
        <is>
          <t>Апр</t>
        </is>
      </c>
      <c r="F43" s="6" t="inlineStr">
        <is>
          <t>Май</t>
        </is>
      </c>
      <c r="G43" s="6" t="inlineStr">
        <is>
          <t>Июн</t>
        </is>
      </c>
      <c r="H43" s="6" t="inlineStr">
        <is>
          <t>Июл</t>
        </is>
      </c>
      <c r="I43" s="6" t="inlineStr">
        <is>
          <t>Авг</t>
        </is>
      </c>
      <c r="J43" s="6" t="inlineStr">
        <is>
          <t>Сен</t>
        </is>
      </c>
      <c r="K43" s="6" t="inlineStr">
        <is>
          <t>Окт</t>
        </is>
      </c>
      <c r="L43" s="6" t="inlineStr">
        <is>
          <t>Ноя</t>
        </is>
      </c>
      <c r="M43" s="6" t="inlineStr">
        <is>
          <t>Дек</t>
        </is>
      </c>
    </row>
    <row r="44" outlineLevel="1">
      <c r="A44" s="2" t="inlineStr">
        <is>
          <t>Индекс посещаемости</t>
        </is>
      </c>
      <c r="B44" s="52" t="n">
        <v>0.963235294117647</v>
      </c>
      <c r="C44" s="52" t="n">
        <v>1</v>
      </c>
      <c r="D44" s="52" t="n">
        <v>0.9926470588235294</v>
      </c>
      <c r="E44" s="52" t="n">
        <v>0.926470588235294</v>
      </c>
      <c r="F44" s="52" t="n">
        <v>0.8235294117647058</v>
      </c>
      <c r="G44" s="52" t="n">
        <v>0.3161764705882353</v>
      </c>
      <c r="H44" s="52" t="n">
        <v>0.1397058823529412</v>
      </c>
      <c r="I44" s="52" t="n">
        <v>0.05882352941176471</v>
      </c>
      <c r="J44" s="52" t="n">
        <v>0.7941176470588235</v>
      </c>
      <c r="K44" s="52" t="n">
        <v>0.9411764705882353</v>
      </c>
      <c r="L44" s="52" t="n">
        <v>0.9411764705882353</v>
      </c>
      <c r="M44" s="52" t="n">
        <v>0.926470588235294</v>
      </c>
    </row>
    <row r="45" outlineLevel="1"/>
    <row r="46" outlineLevel="1">
      <c r="A46" s="178" t="inlineStr">
        <is>
          <t>Дети к концу 12-го месяца, 100%</t>
        </is>
      </c>
      <c r="B46" s="287">
        <f>$B$215*$F$199</f>
        <v/>
      </c>
      <c r="C46" s="7" t="inlineStr">
        <is>
          <t>чел. при 100%</t>
        </is>
      </c>
      <c r="D46" s="7" t="inlineStr">
        <is>
          <t>Расчет по сценарию</t>
        </is>
      </c>
      <c r="E46" s="17" t="inlineStr">
        <is>
          <t>Взвешенное среднее</t>
        </is>
      </c>
      <c r="G46" s="281" t="inlineStr">
        <is>
          <t>← формула; база: B215</t>
        </is>
      </c>
    </row>
    <row r="47" outlineLevel="1">
      <c r="A47" s="178" t="inlineStr">
        <is>
          <t>Дети к концу 24-го месяца, 100%</t>
        </is>
      </c>
      <c r="B47" s="287">
        <f>$B$216*$F$199</f>
        <v/>
      </c>
      <c r="C47" s="7" t="inlineStr">
        <is>
          <t>чел. при 100%</t>
        </is>
      </c>
      <c r="D47" s="7" t="inlineStr">
        <is>
          <t>Роман 10.08.2026 / тарифный микс</t>
        </is>
      </c>
      <c r="E47" s="179" t="inlineStr">
        <is>
          <t>Не полный план с 13-го месяца: плавный рост за месяцы 13-24.</t>
        </is>
      </c>
      <c r="G47" s="281" t="inlineStr">
        <is>
          <t>← формула; база: B216</t>
        </is>
      </c>
    </row>
    <row r="48"/>
    <row r="49" ht="20" customHeight="1">
      <c r="A49" s="272" t="inlineStr">
        <is>
          <t>4. Паушальный взнос и роялти</t>
        </is>
      </c>
    </row>
    <row r="50" outlineLevel="1">
      <c r="A50" s="6" t="inlineStr">
        <is>
          <t>Параметр</t>
        </is>
      </c>
      <c r="B50" s="6" t="inlineStr">
        <is>
          <t>Значение</t>
        </is>
      </c>
      <c r="C50" s="6" t="inlineStr">
        <is>
          <t>Ед.</t>
        </is>
      </c>
      <c r="D50" s="6" t="inlineStr">
        <is>
          <t>Статус / источник</t>
        </is>
      </c>
      <c r="E50" s="6" t="inlineStr">
        <is>
          <t>Комментарий</t>
        </is>
      </c>
    </row>
    <row r="51" outlineLevel="1">
      <c r="A51" s="2" t="inlineStr">
        <is>
          <t>Абонемент действующей сети</t>
        </is>
      </c>
      <c r="B51" s="285">
        <f>$B$217*$F$200</f>
        <v/>
      </c>
      <c r="C51" s="7" t="inlineStr">
        <is>
          <t>₽/мес.</t>
        </is>
      </c>
      <c r="D51" s="7" t="inlineStr">
        <is>
          <t>Расчет по сценарию</t>
        </is>
      </c>
      <c r="E51" s="17" t="inlineStr"/>
      <c r="G51" s="281" t="inlineStr">
        <is>
          <t>← формула; база: B217</t>
        </is>
      </c>
    </row>
    <row r="52" outlineLevel="1">
      <c r="A52" s="2" t="inlineStr">
        <is>
          <t>Средний фикс на точку начисления</t>
        </is>
      </c>
      <c r="B52" s="51">
        <f>SUMPRODUCT(B314:B318,D314:D318)/SUM(B314:B318)</f>
        <v/>
      </c>
      <c r="C52" s="7" t="inlineStr">
        <is>
          <t>₽/точку/мес.</t>
        </is>
      </c>
      <c r="D52" s="7" t="inlineStr">
        <is>
          <t>Расчёт из групп</t>
        </is>
      </c>
      <c r="E52" s="17" t="inlineStr">
        <is>
          <t>Считается из таблицы групп в разделе 16. Руками не вводится: в роялти входят фиксы групп, а не это среднее.</t>
        </is>
      </c>
    </row>
    <row r="53" outlineLevel="1">
      <c r="A53" s="2" t="inlineStr">
        <is>
          <t>Мин. роялти новой школы — 1-й год</t>
        </is>
      </c>
      <c r="B53" s="288">
        <f>SUMPRODUCT($C$263:$C$282,$I$263:$I$282)/$C$283</f>
        <v/>
      </c>
      <c r="C53" s="7" t="inlineStr">
        <is>
          <t>₽/школа/мес.</t>
        </is>
      </c>
      <c r="D53" s="7" t="inlineStr">
        <is>
          <t>Взвешенный микс</t>
        </is>
      </c>
      <c r="E53" s="17" t="inlineStr">
        <is>
          <t>Минимум применяется по каждой школе</t>
        </is>
      </c>
      <c r="G53" s="281" t="inlineStr">
        <is>
          <t>← формула; база: I263:I282</t>
        </is>
      </c>
    </row>
    <row r="54" outlineLevel="1">
      <c r="A54" s="2" t="inlineStr">
        <is>
          <t>Мин. роялти новой школы — 2-й год+</t>
        </is>
      </c>
      <c r="B54" s="288">
        <f>SUMPRODUCT($C$263:$C$282,$J$263:$J$282)/$C$283</f>
        <v/>
      </c>
      <c r="C54" s="7" t="inlineStr">
        <is>
          <t>₽/школа/мес.</t>
        </is>
      </c>
      <c r="D54" s="7" t="inlineStr">
        <is>
          <t>Взвешенный микс</t>
        </is>
      </c>
      <c r="E54" s="17" t="inlineStr">
        <is>
          <t>Минимум применяется по каждой школе</t>
        </is>
      </c>
      <c r="G54" s="281" t="inlineStr">
        <is>
          <t>← формула; база: J263:J282</t>
        </is>
      </c>
    </row>
    <row r="55" outlineLevel="1">
      <c r="A55" s="2">
        <f>"Роялти старых / продаж до "&amp;TEXT(DAY($B$244),"00")&amp;"."&amp;TEXT(MONTH($B$244),"00")&amp;"."&amp;YEAR($B$244)</f>
        <v/>
      </c>
      <c r="B55" s="52" t="n">
        <v>0.065</v>
      </c>
      <c r="C55" s="7" t="inlineStr">
        <is>
          <t>%</t>
        </is>
      </c>
      <c r="D55" s="7" t="inlineStr">
        <is>
          <t>ТЗ 5.4</t>
        </is>
      </c>
      <c r="E55" s="17" t="inlineStr">
        <is>
          <t>До 31.12.2029</t>
        </is>
      </c>
    </row>
    <row r="56" outlineLevel="1">
      <c r="A56" s="2">
        <f>"Роялти новых с "&amp;TEXT(DAY($B$244+1),"00")&amp;"."&amp;TEXT(MONTH($B$244+1),"00")&amp;"."&amp;YEAR($B$244+1)</f>
        <v/>
      </c>
      <c r="B56" s="52" t="n">
        <v>0.08500000000000001</v>
      </c>
      <c r="C56" s="7" t="inlineStr">
        <is>
          <t>%</t>
        </is>
      </c>
      <c r="D56" s="7" t="inlineStr">
        <is>
          <t>ТЗ 5.4</t>
        </is>
      </c>
      <c r="E56" s="17" t="inlineStr">
        <is>
          <t>До 31.12.2029</t>
        </is>
      </c>
    </row>
    <row r="57" outlineLevel="1">
      <c r="A57" s="2">
        <f>"Роялти всех с "&amp;TEXT(DAY($B$245),"00")&amp;"."&amp;TEXT(MONTH($B$245),"00")&amp;"."&amp;YEAR($B$245)</f>
        <v/>
      </c>
      <c r="B57" s="52" t="n">
        <v>0.1</v>
      </c>
      <c r="C57" s="7" t="inlineStr">
        <is>
          <t>%</t>
        </is>
      </c>
      <c r="D57" s="7" t="inlineStr">
        <is>
          <t>ТЗ 5.4</t>
        </is>
      </c>
      <c r="E57" s="289" t="inlineStr">
        <is>
          <t>Дата перехода задаётся в B245; подпись слева следует за ней.</t>
        </is>
      </c>
    </row>
    <row r="58" outlineLevel="1">
      <c r="A58" s="2" t="inlineStr">
        <is>
          <t>НДС основной деятельности</t>
        </is>
      </c>
      <c r="B58" s="53" t="n">
        <v>0.05</v>
      </c>
      <c r="C58" s="7" t="inlineStr">
        <is>
          <t>%</t>
        </is>
      </c>
      <c r="D58" s="7" t="inlineStr">
        <is>
          <t>Временно</t>
        </is>
      </c>
      <c r="E58" s="17" t="inlineStr">
        <is>
          <t>Требует налоговой сверки</t>
        </is>
      </c>
    </row>
    <row r="59" outlineLevel="1">
      <c r="A59" s="2" t="inlineStr">
        <is>
          <t>Доля ФК от паушального</t>
        </is>
      </c>
      <c r="B59" s="52" t="n">
        <v>0.35</v>
      </c>
      <c r="C59" s="7" t="inlineStr">
        <is>
          <t>% без НДС</t>
        </is>
      </c>
      <c r="D59" s="7" t="inlineStr">
        <is>
          <t>V5</t>
        </is>
      </c>
      <c r="E59" s="17" t="inlineStr"/>
      <c r="F59" s="290" t="inlineStr">
        <is>
          <t>35% выручки. Не связано с B76: там 35% ПРИБЫЛИ мерча. Совпадение ставок случайно — пересмотр одной не двигает другую.</t>
        </is>
      </c>
    </row>
    <row r="60" outlineLevel="1">
      <c r="A60" s="2" t="inlineStr">
        <is>
          <t>Доля ФК от роялти</t>
        </is>
      </c>
      <c r="B60" s="52" t="n">
        <v>0.1</v>
      </c>
      <c r="C60" s="7" t="inlineStr">
        <is>
          <t>% без НДС</t>
        </is>
      </c>
      <c r="D60" s="7" t="inlineStr">
        <is>
          <t>V5</t>
        </is>
      </c>
      <c r="E60" s="17" t="inlineStr"/>
    </row>
    <row r="61" outlineLevel="1" ht="20" customHeight="1">
      <c r="A61" s="4" t="inlineStr">
        <is>
          <t>Средние по взвешенному миксу продуктов — по сезонам</t>
        </is>
      </c>
    </row>
    <row r="62" outlineLevel="1">
      <c r="A62" s="6" t="inlineStr">
        <is>
          <t>Сезон</t>
        </is>
      </c>
      <c r="B62" s="6" t="inlineStr">
        <is>
          <t>Средний паушальный, ₽ с НДС</t>
        </is>
      </c>
      <c r="C62" s="6" t="inlineStr">
        <is>
          <t>Средний абонемент, ₽/мес.</t>
        </is>
      </c>
      <c r="D62" s="7" t="inlineStr"/>
      <c r="E62" s="7" t="inlineStr"/>
      <c r="F62" s="7" t="inlineStr"/>
      <c r="G62" s="7" t="inlineStr"/>
      <c r="H62" s="7" t="inlineStr"/>
      <c r="I62" s="7" t="inlineStr"/>
      <c r="J62" s="7" t="inlineStr"/>
      <c r="K62" s="7" t="inlineStr"/>
      <c r="L62" s="7" t="inlineStr"/>
      <c r="M62" s="7" t="inlineStr"/>
      <c r="N62" s="7" t="inlineStr"/>
      <c r="O62" s="7" t="inlineStr"/>
    </row>
    <row r="63" outlineLevel="1">
      <c r="A63" s="24" t="n">
        <v>1</v>
      </c>
      <c r="B63" s="288">
        <f>SUMPRODUCT($C$263:$C$282,$D$263:$D$282)/$C$283</f>
        <v/>
      </c>
      <c r="C63" s="285">
        <f>$B$218*$F$200</f>
        <v/>
      </c>
      <c r="G63" s="281" t="inlineStr">
        <is>
          <t>← формула; база: D263:D282</t>
        </is>
      </c>
    </row>
    <row r="64" outlineLevel="1">
      <c r="A64" s="24" t="n">
        <v>2</v>
      </c>
      <c r="B64" s="288">
        <f>SUMPRODUCT($C$263:$C$282,$D$263:$D$282)/$C$283</f>
        <v/>
      </c>
      <c r="C64" s="285">
        <f>$B$219*$F$200</f>
        <v/>
      </c>
      <c r="G64" s="281" t="inlineStr">
        <is>
          <t>← формула; база: D263:D282</t>
        </is>
      </c>
    </row>
    <row r="65" outlineLevel="1">
      <c r="A65" s="24" t="n">
        <v>3</v>
      </c>
      <c r="B65" s="288">
        <f>SUMPRODUCT($C$263:$C$282,$D$263:$D$282)/$C$283</f>
        <v/>
      </c>
      <c r="C65" s="285">
        <f>$B$220*$F$200</f>
        <v/>
      </c>
      <c r="G65" s="281" t="inlineStr">
        <is>
          <t>← формула; база: D263:D282</t>
        </is>
      </c>
    </row>
    <row r="66" outlineLevel="1">
      <c r="A66" s="24" t="n">
        <v>4</v>
      </c>
      <c r="B66" s="288">
        <f>SUMPRODUCT($C$263:$C$282,$D$263:$D$282)/$C$283</f>
        <v/>
      </c>
      <c r="C66" s="285">
        <f>$B$221*$F$200</f>
        <v/>
      </c>
      <c r="G66" s="281" t="inlineStr">
        <is>
          <t>← формула; база: D263:D282</t>
        </is>
      </c>
    </row>
    <row r="67" outlineLevel="1">
      <c r="A67" s="24" t="n">
        <v>5</v>
      </c>
      <c r="B67" s="288">
        <f>SUMPRODUCT($C$263:$C$282,$D$263:$D$282)/$C$283</f>
        <v/>
      </c>
      <c r="C67" s="285">
        <f>$B$222*$F$200</f>
        <v/>
      </c>
      <c r="G67" s="281" t="inlineStr">
        <is>
          <t>← формула; база: D263:D282</t>
        </is>
      </c>
    </row>
    <row r="68"/>
    <row r="69" ht="20" customHeight="1">
      <c r="A69" s="272" t="inlineStr">
        <is>
          <t>5. Мерч, склад и займ</t>
        </is>
      </c>
    </row>
    <row r="70" outlineLevel="1">
      <c r="A70" s="6" t="inlineStr">
        <is>
          <t>Параметр</t>
        </is>
      </c>
      <c r="B70" s="6" t="inlineStr">
        <is>
          <t>Значение</t>
        </is>
      </c>
      <c r="C70" s="6" t="inlineStr">
        <is>
          <t>Ед.</t>
        </is>
      </c>
      <c r="D70" s="6" t="inlineStr">
        <is>
          <t>Статус / источник</t>
        </is>
      </c>
      <c r="E70" s="6" t="inlineStr">
        <is>
          <t>Комментарий</t>
        </is>
      </c>
    </row>
    <row r="71" outlineLevel="1">
      <c r="A71" s="2" t="inlineStr">
        <is>
          <t>Себестоимость комплекта</t>
        </is>
      </c>
      <c r="B71" s="50" t="n">
        <v>2100</v>
      </c>
      <c r="C71" s="7" t="inlineStr">
        <is>
          <t>₽</t>
        </is>
      </c>
      <c r="D71" s="7" t="inlineStr">
        <is>
          <t>ТЗ 5.5</t>
        </is>
      </c>
      <c r="E71" s="17" t="inlineStr"/>
    </row>
    <row r="72" outlineLevel="1">
      <c r="A72" s="2" t="inlineStr">
        <is>
          <t>Наценка мерча</t>
        </is>
      </c>
      <c r="B72" s="52" t="n">
        <v>0.85</v>
      </c>
      <c r="C72" s="7" t="inlineStr">
        <is>
          <t>% к COGS</t>
        </is>
      </c>
      <c r="D72" s="7" t="inlineStr">
        <is>
          <t>ТЗ 5.5</t>
        </is>
      </c>
      <c r="E72" s="17" t="inlineStr"/>
    </row>
    <row r="73" outlineLevel="1">
      <c r="A73" s="2" t="inlineStr">
        <is>
          <t>Цена комплекта</t>
        </is>
      </c>
      <c r="B73" s="291">
        <f>B71*(1+B72)</f>
        <v/>
      </c>
      <c r="C73" s="7" t="inlineStr">
        <is>
          <t>₽</t>
        </is>
      </c>
      <c r="D73" s="7" t="inlineStr">
        <is>
          <t>Расчёт</t>
        </is>
      </c>
      <c r="E73" s="7" t="inlineStr">
        <is>
          <t>2 100 × 1,85 = 3 885</t>
        </is>
      </c>
    </row>
    <row r="74" outlineLevel="1">
      <c r="A74" s="2" t="inlineStr">
        <is>
          <t>Коэффициент мерча</t>
        </is>
      </c>
      <c r="B74" s="292">
        <f>$B$223*$F$201</f>
        <v/>
      </c>
      <c r="C74" s="7" t="inlineStr">
        <is>
          <t>компл./ребёнок/сезон</t>
        </is>
      </c>
      <c r="D74" s="7" t="inlineStr">
        <is>
          <t>Расчет по сценарию</t>
        </is>
      </c>
      <c r="E74" s="17" t="inlineStr">
        <is>
          <t>Ежегодная докупка</t>
        </is>
      </c>
      <c r="G74" s="281" t="inlineStr">
        <is>
          <t>← формула; база: B223</t>
        </is>
      </c>
    </row>
    <row r="75" outlineLevel="1">
      <c r="A75" s="2" t="inlineStr">
        <is>
          <t>Логистика/возвраты/брак</t>
        </is>
      </c>
      <c r="B75" s="52" t="n">
        <v>0.02</v>
      </c>
      <c r="C75" s="7" t="inlineStr">
        <is>
          <t>% выручки без НДС</t>
        </is>
      </c>
      <c r="D75" s="7" t="inlineStr">
        <is>
          <t>V5</t>
        </is>
      </c>
      <c r="E75" s="17" t="inlineStr">
        <is>
          <t>До уточнения</t>
        </is>
      </c>
    </row>
    <row r="76" outlineLevel="1">
      <c r="A76" s="2" t="inlineStr">
        <is>
          <t>Доля ФК от прибыли мерча</t>
        </is>
      </c>
      <c r="B76" s="52" t="n">
        <v>0.35</v>
      </c>
      <c r="C76" s="7" t="inlineStr">
        <is>
          <t>%</t>
        </is>
      </c>
      <c r="D76" s="7" t="inlineStr">
        <is>
          <t>Подтверждено</t>
        </is>
      </c>
      <c r="E76" s="17" t="inlineStr">
        <is>
          <t>Отдельно от возврата займа</t>
        </is>
      </c>
      <c r="F76" s="290" t="inlineStr">
        <is>
          <t>35% прибыли (выручка − COGS − логистика). Не связано с B59: там 35% ВЫРУЧКИ по паушальным. Базы разные.</t>
        </is>
      </c>
    </row>
    <row r="77" outlineLevel="1">
      <c r="A77" s="2" t="inlineStr">
        <is>
          <t>Стартовый товарный запас</t>
        </is>
      </c>
      <c r="B77" s="50" t="n">
        <v>50000000</v>
      </c>
      <c r="C77" s="7" t="inlineStr">
        <is>
          <t>₽ по COGS</t>
        </is>
      </c>
      <c r="D77" s="7" t="inlineStr">
        <is>
          <t>ТЗ 5.6</t>
        </is>
      </c>
      <c r="E77" s="17" t="inlineStr"/>
    </row>
    <row r="78" outlineLevel="1">
      <c r="A78" s="2" t="inlineStr">
        <is>
          <t>Стартовый займ на мерч</t>
        </is>
      </c>
      <c r="B78" s="50" t="n">
        <v>50000000</v>
      </c>
      <c r="C78" s="7" t="inlineStr">
        <is>
          <t>₽</t>
        </is>
      </c>
      <c r="D78" s="7" t="inlineStr">
        <is>
          <t>ТЗ 5.6</t>
        </is>
      </c>
      <c r="E78" s="17" t="inlineStr"/>
    </row>
    <row r="79" outlineLevel="1">
      <c r="A79" s="2" t="inlineStr">
        <is>
          <t>Доля COGS на погашение займа</t>
        </is>
      </c>
      <c r="B79" s="52" t="n">
        <v>0.6</v>
      </c>
      <c r="C79" s="7" t="inlineStr">
        <is>
          <t>%</t>
        </is>
      </c>
      <c r="D79" s="7" t="inlineStr">
        <is>
          <t>ТЗ 5.6</t>
        </is>
      </c>
      <c r="E79" s="17" t="inlineStr"/>
    </row>
    <row r="80" outlineLevel="1">
      <c r="A80" s="2" t="inlineStr">
        <is>
          <t>Целевой запас</t>
        </is>
      </c>
      <c r="B80" s="278" t="n">
        <v>4</v>
      </c>
      <c r="C80" s="7" t="inlineStr">
        <is>
          <t>мес. будущих продаж</t>
        </is>
      </c>
      <c r="D80" s="7" t="inlineStr">
        <is>
          <t>ТЗ 5.6 / уточнено 10.09.2026</t>
        </is>
      </c>
      <c r="E80" s="17">
        <f>"При закупке доводим склад до будущих "&amp;$B$80&amp;" мес. продаж по себестоимости"</f>
        <v/>
      </c>
    </row>
    <row r="81" outlineLevel="1">
      <c r="A81" s="2" t="inlineStr">
        <is>
          <t>Начало регулярного пополнения</t>
        </is>
      </c>
      <c r="B81" s="49" t="n">
        <v>46692</v>
      </c>
      <c r="C81" s="7" t="inlineStr">
        <is>
          <t>дата</t>
        </is>
      </c>
      <c r="D81" s="7" t="inlineStr">
        <is>
          <t>Комментарий Романа</t>
        </is>
      </c>
      <c r="E81" s="17" t="inlineStr">
        <is>
          <t>Стартовые ~50 млн распродаются около 2 лет</t>
        </is>
      </c>
    </row>
    <row r="82" outlineLevel="1">
      <c r="A82" s="2" t="inlineStr">
        <is>
          <t>Месяц проверки закупки 1</t>
        </is>
      </c>
      <c r="B82" s="293" t="n">
        <v>2</v>
      </c>
      <c r="C82" s="7" t="inlineStr">
        <is>
          <t>номер месяца</t>
        </is>
      </c>
      <c r="D82" s="7" t="inlineStr">
        <is>
          <t>Рабочее</t>
        </is>
      </c>
      <c r="E82" s="17" t="inlineStr">
        <is>
          <t>Февраль; уточнить точные месяцы закупок</t>
        </is>
      </c>
    </row>
    <row r="83" outlineLevel="1">
      <c r="A83" s="2" t="inlineStr">
        <is>
          <t>Месяц проверки закупки 2</t>
        </is>
      </c>
      <c r="B83" s="293" t="n">
        <v>5</v>
      </c>
      <c r="C83" s="7" t="inlineStr">
        <is>
          <t>номер месяца</t>
        </is>
      </c>
      <c r="D83" s="7" t="inlineStr">
        <is>
          <t>Рабочее</t>
        </is>
      </c>
      <c r="E83" s="17" t="inlineStr">
        <is>
          <t>Май; уточнить точные месяцы закупок</t>
        </is>
      </c>
    </row>
    <row r="84" outlineLevel="1">
      <c r="A84" s="2" t="inlineStr">
        <is>
          <t>Месяц проверки закупки 3</t>
        </is>
      </c>
      <c r="B84" s="293" t="n">
        <v>8</v>
      </c>
      <c r="C84" s="7" t="inlineStr">
        <is>
          <t>номер месяца</t>
        </is>
      </c>
      <c r="D84" s="7" t="inlineStr">
        <is>
          <t>Рабочее</t>
        </is>
      </c>
      <c r="E84" s="17" t="inlineStr">
        <is>
          <t>Август; уточнить точные месяцы закупок</t>
        </is>
      </c>
    </row>
    <row r="85" outlineLevel="1">
      <c r="A85" s="2" t="inlineStr">
        <is>
          <t>Месяц проверки закупки 4</t>
        </is>
      </c>
      <c r="B85" s="293" t="n">
        <v>11</v>
      </c>
      <c r="C85" s="7" t="inlineStr">
        <is>
          <t>номер месяца</t>
        </is>
      </c>
      <c r="D85" s="7" t="inlineStr">
        <is>
          <t>Рабочее</t>
        </is>
      </c>
      <c r="E85" s="17" t="inlineStr">
        <is>
          <t>Ноябрь; уточнить точные месяцы закупок</t>
        </is>
      </c>
    </row>
    <row r="86" outlineLevel="1" ht="20" customHeight="1">
      <c r="A86" s="4" t="inlineStr">
        <is>
          <t>Первичная закупка новой школы</t>
        </is>
      </c>
    </row>
    <row r="87" outlineLevel="1">
      <c r="A87" s="2" t="inlineStr">
        <is>
          <t>1-й месяц после открытия</t>
        </is>
      </c>
      <c r="B87" s="52" t="n">
        <v>0.5</v>
      </c>
    </row>
    <row r="88" outlineLevel="1">
      <c r="A88" s="2" t="inlineStr">
        <is>
          <t>2-й месяц после открытия</t>
        </is>
      </c>
      <c r="B88" s="52" t="n">
        <v>0.3</v>
      </c>
    </row>
    <row r="89" outlineLevel="1">
      <c r="A89" s="2" t="inlineStr">
        <is>
          <t>3-й месяц после открытия</t>
        </is>
      </c>
      <c r="B89" s="52" t="n">
        <v>0.2</v>
      </c>
    </row>
    <row r="90" outlineLevel="1">
      <c r="A90" s="2" t="inlineStr">
        <is>
          <t>Контроль</t>
        </is>
      </c>
      <c r="B90" s="283">
        <f>SUM(B87:B89)</f>
        <v/>
      </c>
    </row>
    <row r="91" outlineLevel="1"/>
    <row r="92" outlineLevel="1" ht="20" customHeight="1">
      <c r="A92" s="4" t="inlineStr">
        <is>
          <t>Сезонность повторной закупки мерча</t>
        </is>
      </c>
    </row>
    <row r="93" outlineLevel="1">
      <c r="B93" s="6" t="inlineStr">
        <is>
          <t>Янв</t>
        </is>
      </c>
      <c r="C93" s="6" t="inlineStr">
        <is>
          <t>Фев</t>
        </is>
      </c>
      <c r="D93" s="6" t="inlineStr">
        <is>
          <t>Мар</t>
        </is>
      </c>
      <c r="E93" s="6" t="inlineStr">
        <is>
          <t>Апр</t>
        </is>
      </c>
      <c r="F93" s="6" t="inlineStr">
        <is>
          <t>Май</t>
        </is>
      </c>
      <c r="G93" s="6" t="inlineStr">
        <is>
          <t>Июн</t>
        </is>
      </c>
      <c r="H93" s="6" t="inlineStr">
        <is>
          <t>Июл</t>
        </is>
      </c>
      <c r="I93" s="6" t="inlineStr">
        <is>
          <t>Авг</t>
        </is>
      </c>
      <c r="J93" s="6" t="inlineStr">
        <is>
          <t>Сен</t>
        </is>
      </c>
      <c r="K93" s="6" t="inlineStr">
        <is>
          <t>Окт</t>
        </is>
      </c>
      <c r="L93" s="6" t="inlineStr">
        <is>
          <t>Ноя</t>
        </is>
      </c>
      <c r="M93" s="6" t="inlineStr">
        <is>
          <t>Дек</t>
        </is>
      </c>
    </row>
    <row r="94" outlineLevel="1">
      <c r="A94" s="2" t="inlineStr">
        <is>
          <t>Доля годовых повторных продаж</t>
        </is>
      </c>
      <c r="B94" s="52" t="n">
        <v>0</v>
      </c>
      <c r="C94" s="52" t="n">
        <v>0</v>
      </c>
      <c r="D94" s="52" t="n">
        <v>0</v>
      </c>
      <c r="E94" s="52" t="n">
        <v>0</v>
      </c>
      <c r="F94" s="52" t="n">
        <v>0</v>
      </c>
      <c r="G94" s="52" t="n">
        <v>0</v>
      </c>
      <c r="H94" s="52" t="n">
        <v>0</v>
      </c>
      <c r="I94" s="52" t="n">
        <v>0.25</v>
      </c>
      <c r="J94" s="52" t="n">
        <v>0.4</v>
      </c>
      <c r="K94" s="52" t="n">
        <v>0.25</v>
      </c>
      <c r="L94" s="52" t="n">
        <v>0.1</v>
      </c>
      <c r="M94" s="52" t="n">
        <v>0</v>
      </c>
    </row>
    <row r="95" outlineLevel="1">
      <c r="A95" s="2" t="inlineStr">
        <is>
          <t>Контроль</t>
        </is>
      </c>
      <c r="B95" s="283">
        <f>SUM(B94:M94)</f>
        <v/>
      </c>
    </row>
    <row r="96" outlineLevel="1"/>
    <row r="97" outlineLevel="1" ht="20" customHeight="1">
      <c r="A97" s="4" t="inlineStr">
        <is>
          <t>5а. Согласованный мерч действующей сети — факт сентябрь–декабрь 2026</t>
        </is>
      </c>
    </row>
    <row r="98" outlineLevel="1">
      <c r="A98" s="6" t="inlineStr">
        <is>
          <t>Месяц (факт, ищется по дате)</t>
        </is>
      </c>
      <c r="B98" s="29" t="n">
        <v>46266</v>
      </c>
      <c r="C98" s="29" t="n">
        <v>46296</v>
      </c>
      <c r="D98" s="29" t="n">
        <v>46327</v>
      </c>
      <c r="E98" s="29" t="n">
        <v>46357</v>
      </c>
    </row>
    <row r="99" outlineLevel="1">
      <c r="A99" s="2" t="inlineStr">
        <is>
          <t>Комплекты, шт.</t>
        </is>
      </c>
      <c r="B99" s="50" t="n">
        <v>5070</v>
      </c>
      <c r="C99" s="50" t="n">
        <v>2550</v>
      </c>
      <c r="D99" s="50" t="n">
        <v>1260</v>
      </c>
      <c r="E99" s="50" t="n">
        <v>720</v>
      </c>
    </row>
    <row r="100" outlineLevel="1">
      <c r="A100" s="2" t="inlineStr">
        <is>
          <t>Выручка, ₽ с НДС</t>
        </is>
      </c>
      <c r="B100" s="50" t="n">
        <v>10022370</v>
      </c>
      <c r="C100" s="50" t="n">
        <v>4335000</v>
      </c>
      <c r="D100" s="50" t="n">
        <v>2142000</v>
      </c>
      <c r="E100" s="50" t="n">
        <v>1224000</v>
      </c>
    </row>
    <row r="101" outlineLevel="1">
      <c r="A101" s="2" t="inlineStr">
        <is>
          <t>COGS, ₽</t>
        </is>
      </c>
      <c r="B101" s="50" t="n">
        <v>5237418.6</v>
      </c>
      <c r="C101" s="50" t="n">
        <v>2167500</v>
      </c>
      <c r="D101" s="50" t="n">
        <v>1178100</v>
      </c>
      <c r="E101" s="50" t="n">
        <v>673200</v>
      </c>
    </row>
    <row r="102"/>
    <row r="103" ht="20" customHeight="1">
      <c r="A103" s="272" t="inlineStr">
        <is>
          <t>6. ERP и операционные расходы</t>
        </is>
      </c>
    </row>
    <row r="104" outlineLevel="1">
      <c r="A104" s="6" t="inlineStr">
        <is>
          <t>Параметр</t>
        </is>
      </c>
      <c r="B104" s="6" t="inlineStr">
        <is>
          <t>Значение</t>
        </is>
      </c>
      <c r="C104" s="6" t="inlineStr">
        <is>
          <t>Ед.</t>
        </is>
      </c>
      <c r="D104" s="6" t="inlineStr">
        <is>
          <t>Статус / источник</t>
        </is>
      </c>
      <c r="E104" s="6" t="inlineStr">
        <is>
          <t>Комментарий</t>
        </is>
      </c>
    </row>
    <row r="105" outlineLevel="1">
      <c r="A105" s="2" t="inlineStr">
        <is>
          <t>ERP база</t>
        </is>
      </c>
      <c r="B105" s="50" t="n">
        <v>80000</v>
      </c>
      <c r="C105" s="7" t="inlineStr">
        <is>
          <t>₽/мес.</t>
        </is>
      </c>
      <c r="D105" s="7" t="inlineStr">
        <is>
          <t>ТЗ 5.7</t>
        </is>
      </c>
      <c r="E105" s="17" t="inlineStr"/>
    </row>
    <row r="106" outlineLevel="1">
      <c r="A106" s="2" t="inlineStr">
        <is>
          <t>Школ в ERP-базе</t>
        </is>
      </c>
      <c r="B106" s="274" t="n">
        <v>104</v>
      </c>
      <c r="C106" s="7" t="inlineStr">
        <is>
          <t>шт.</t>
        </is>
      </c>
      <c r="D106" s="7" t="inlineStr">
        <is>
          <t>Фактический реестр на 09.09.2026</t>
        </is>
      </c>
      <c r="E106" s="17" t="inlineStr">
        <is>
          <t>Базовые 80 тыс. ₽ ERP покрывают 104 действующие школы на старте; доплата 3 тыс. ₽ применяется к новым подключённым школам сверх этой базы.</t>
        </is>
      </c>
    </row>
    <row r="107" outlineLevel="1">
      <c r="A107" s="2" t="inlineStr">
        <is>
          <t>ERP на новую активную школу</t>
        </is>
      </c>
      <c r="B107" s="50" t="n">
        <v>3000</v>
      </c>
      <c r="C107" s="7" t="inlineStr">
        <is>
          <t>₽/мес.</t>
        </is>
      </c>
      <c r="D107" s="7" t="inlineStr">
        <is>
          <t>ТЗ 5.7</t>
        </is>
      </c>
      <c r="E107" s="17" t="inlineStr">
        <is>
          <t>С месяца открытия</t>
        </is>
      </c>
    </row>
    <row r="108" outlineLevel="1">
      <c r="A108" s="2" t="inlineStr">
        <is>
          <t>Офис / аренда / уборка / парковка</t>
        </is>
      </c>
      <c r="B108" s="50" t="n">
        <v>390000</v>
      </c>
      <c r="C108" s="7" t="inlineStr">
        <is>
          <t>₽/мес.</t>
        </is>
      </c>
      <c r="D108" s="7" t="inlineStr">
        <is>
          <t>V6 / оставить</t>
        </is>
      </c>
      <c r="E108" s="17" t="inlineStr">
        <is>
          <t>До переезда</t>
        </is>
      </c>
    </row>
    <row r="109" outlineLevel="1">
      <c r="A109" s="2" t="inlineStr">
        <is>
          <t>Юристы / аудит / бухгалтерия</t>
        </is>
      </c>
      <c r="B109" s="50" t="n">
        <v>40000</v>
      </c>
      <c r="C109" s="7" t="inlineStr">
        <is>
          <t>₽/мес.</t>
        </is>
      </c>
      <c r="D109" s="7" t="inlineStr">
        <is>
          <t>ТЗ 5.7</t>
        </is>
      </c>
      <c r="E109" s="17" t="inlineStr"/>
    </row>
    <row r="110" outlineLevel="1">
      <c r="A110" s="2" t="inlineStr">
        <is>
          <t>Прочие IT-сервисы</t>
        </is>
      </c>
      <c r="B110" s="50" t="n">
        <v>80000</v>
      </c>
      <c r="C110" s="7" t="inlineStr">
        <is>
          <t>₽/мес.</t>
        </is>
      </c>
      <c r="D110" s="7" t="inlineStr">
        <is>
          <t>ТЗ 5.7</t>
        </is>
      </c>
      <c r="E110" s="17" t="inlineStr"/>
    </row>
    <row r="111" outlineLevel="1">
      <c r="A111" s="2" t="inlineStr">
        <is>
          <t>Маркетинг/SMM подрядчики до 31.08.27</t>
        </is>
      </c>
      <c r="B111" s="50" t="n">
        <v>100000</v>
      </c>
      <c r="C111" s="7" t="inlineStr">
        <is>
          <t>₽/мес.</t>
        </is>
      </c>
      <c r="D111" s="7" t="inlineStr">
        <is>
          <t>ТЗ 5.7</t>
        </is>
      </c>
      <c r="E111" s="17" t="inlineStr"/>
    </row>
    <row r="112" outlineLevel="1">
      <c r="A112" s="2" t="inlineStr">
        <is>
          <t>Маркетинг/SMM подрядчики с 01.09.27</t>
        </is>
      </c>
      <c r="B112" s="50" t="n">
        <v>40000</v>
      </c>
      <c r="C112" s="7" t="inlineStr">
        <is>
          <t>₽/мес.</t>
        </is>
      </c>
      <c r="D112" s="7" t="inlineStr">
        <is>
          <t>ТЗ 5.7</t>
        </is>
      </c>
      <c r="E112" s="17" t="inlineStr"/>
    </row>
    <row r="113"/>
    <row r="114" ht="20" customHeight="1">
      <c r="A114" s="272" t="inlineStr">
        <is>
          <t>7. ФОТ, найм и премии</t>
        </is>
      </c>
    </row>
    <row r="115" outlineLevel="1">
      <c r="A115" s="6" t="inlineStr">
        <is>
          <t>Параметр</t>
        </is>
      </c>
      <c r="B115" s="6" t="inlineStr">
        <is>
          <t>Значение</t>
        </is>
      </c>
      <c r="C115" s="6" t="inlineStr">
        <is>
          <t>Ед.</t>
        </is>
      </c>
      <c r="D115" s="6" t="inlineStr">
        <is>
          <t>Статус / источник</t>
        </is>
      </c>
      <c r="E115" s="6" t="inlineStr">
        <is>
          <t>Комментарий</t>
        </is>
      </c>
    </row>
    <row r="116" outlineLevel="1">
      <c r="A116" s="2" t="inlineStr">
        <is>
          <t>Инфляция зарплат</t>
        </is>
      </c>
      <c r="B116" s="52" t="n">
        <v>0.07000000000000001</v>
      </c>
      <c r="C116" s="7" t="inlineStr">
        <is>
          <t>%/год</t>
        </is>
      </c>
      <c r="D116" s="7" t="inlineStr">
        <is>
          <t>ТЗ 6.1 / рабочее</t>
        </is>
      </c>
      <c r="E116" s="17" t="inlineStr">
        <is>
          <t>Каждое 1 сентября</t>
        </is>
      </c>
    </row>
    <row r="117" outlineLevel="1">
      <c r="A117" s="2" t="inlineStr">
        <is>
          <t>Юрлиц на 1 менеджера развития</t>
        </is>
      </c>
      <c r="B117" s="294" t="n">
        <v>35</v>
      </c>
      <c r="C117" s="7" t="inlineStr">
        <is>
          <t>шт.</t>
        </is>
      </c>
      <c r="D117" s="7" t="inlineStr">
        <is>
          <t>ТЗ 6.2</t>
        </is>
      </c>
      <c r="E117" s="17" t="inlineStr"/>
    </row>
    <row r="118" outlineLevel="1">
      <c r="A118" s="2" t="inlineStr">
        <is>
          <t>Базовые менеджеры развития</t>
        </is>
      </c>
      <c r="B118" s="295" t="n">
        <v>2</v>
      </c>
      <c r="C118" s="7" t="inlineStr">
        <is>
          <t>чел.</t>
        </is>
      </c>
      <c r="D118" s="7" t="inlineStr">
        <is>
          <t>ТЗ 6.2</t>
        </is>
      </c>
      <c r="E118" s="17" t="inlineStr">
        <is>
          <t>После перевода Левона</t>
        </is>
      </c>
    </row>
    <row r="119" outlineLevel="1">
      <c r="A119" s="2" t="inlineStr">
        <is>
          <t>Оклад нового менеджера развития gross</t>
        </is>
      </c>
      <c r="B119" s="50" t="n">
        <v>114943</v>
      </c>
      <c r="C119" s="7" t="inlineStr">
        <is>
          <t>₽/мес.</t>
        </is>
      </c>
      <c r="D119" s="7" t="inlineStr">
        <is>
          <t>V5</t>
        </is>
      </c>
      <c r="E119" s="17" t="inlineStr"/>
    </row>
    <row r="120" outlineLevel="1">
      <c r="A120" s="2" t="inlineStr">
        <is>
          <t>Комиссия кадрового агентства</t>
        </is>
      </c>
      <c r="B120" s="296" t="n">
        <v>1</v>
      </c>
      <c r="C120" s="7" t="inlineStr">
        <is>
          <t>× gross оклада</t>
        </is>
      </c>
      <c r="D120" s="7" t="inlineStr">
        <is>
          <t>ТЗ 6.2</t>
        </is>
      </c>
      <c r="E120" s="17" t="inlineStr"/>
    </row>
    <row r="121" outlineLevel="1">
      <c r="A121" s="2" t="inlineStr">
        <is>
          <t>Разовая замена директора маркетинга</t>
        </is>
      </c>
      <c r="B121" s="50" t="n">
        <v>240000</v>
      </c>
      <c r="C121" s="7" t="inlineStr">
        <is>
          <t>₽</t>
        </is>
      </c>
      <c r="D121" s="7" t="inlineStr">
        <is>
          <t>ТЗ 6.3</t>
        </is>
      </c>
      <c r="E121" s="17" t="inlineStr">
        <is>
          <t>Октябрь 2026</t>
        </is>
      </c>
    </row>
    <row r="122" outlineLevel="1">
      <c r="A122" s="2" t="inlineStr">
        <is>
          <t>Резерв на ротацию кадров</t>
        </is>
      </c>
      <c r="B122" s="50" t="n">
        <v>350000</v>
      </c>
      <c r="C122" s="7" t="inlineStr">
        <is>
          <t>₽/год</t>
        </is>
      </c>
      <c r="D122" s="7" t="inlineStr">
        <is>
          <t>ТЗ 6.3</t>
        </is>
      </c>
      <c r="E122" s="17" t="inlineStr">
        <is>
          <t>Каждый сентябрь</t>
        </is>
      </c>
    </row>
    <row r="123" outlineLevel="1">
      <c r="A123" s="2" t="inlineStr">
        <is>
          <t>Премия развития net до 31.12.26</t>
        </is>
      </c>
      <c r="B123" s="50" t="n">
        <v>25000</v>
      </c>
      <c r="C123" s="7" t="inlineStr">
        <is>
          <t>₽/чел./мес.</t>
        </is>
      </c>
      <c r="D123" s="7" t="inlineStr">
        <is>
          <t>ТЗ 6.4</t>
        </is>
      </c>
      <c r="E123" s="17" t="inlineStr">
        <is>
          <t>2 менеджера + Левон</t>
        </is>
      </c>
    </row>
    <row r="124" outlineLevel="1">
      <c r="A124" s="2" t="inlineStr">
        <is>
          <t>Премия развития net с 01.01.27</t>
        </is>
      </c>
      <c r="B124" s="50" t="n">
        <v>30000</v>
      </c>
      <c r="C124" s="7" t="inlineStr">
        <is>
          <t>₽/чел./мес.</t>
        </is>
      </c>
      <c r="D124" s="7" t="inlineStr">
        <is>
          <t>ТЗ 6.4</t>
        </is>
      </c>
      <c r="E124" s="17" t="inlineStr"/>
    </row>
    <row r="125" outlineLevel="1">
      <c r="A125" s="2" t="inlineStr">
        <is>
          <t>Премия Евгения</t>
        </is>
      </c>
      <c r="B125" s="52" t="n">
        <v>0.04</v>
      </c>
      <c r="C125" s="7" t="inlineStr">
        <is>
          <t>% паушального без НДС</t>
        </is>
      </c>
      <c r="D125" s="7" t="inlineStr">
        <is>
          <t>ТЗ 6.4</t>
        </is>
      </c>
      <c r="E125" s="17" t="inlineStr">
        <is>
          <t>При 2+ продажах</t>
        </is>
      </c>
    </row>
    <row r="126" outlineLevel="1">
      <c r="A126" s="2" t="inlineStr">
        <is>
          <t>Триггер временного продавца</t>
        </is>
      </c>
      <c r="B126" s="297" t="n">
        <v>5</v>
      </c>
      <c r="C126" s="7" t="inlineStr">
        <is>
          <t>продаж/мес.</t>
        </is>
      </c>
      <c r="D126" s="7" t="inlineStr">
        <is>
          <t>ТЗ 6.4</t>
        </is>
      </c>
      <c r="E126" s="17" t="inlineStr"/>
    </row>
    <row r="127" outlineLevel="1">
      <c r="A127" s="2" t="inlineStr">
        <is>
          <t>Временный продавец — фикс</t>
        </is>
      </c>
      <c r="B127" s="50" t="n">
        <v>80000</v>
      </c>
      <c r="C127" s="7" t="inlineStr">
        <is>
          <t>₽/мес.</t>
        </is>
      </c>
      <c r="D127" s="7" t="inlineStr">
        <is>
          <t>ТЗ 6.4</t>
        </is>
      </c>
      <c r="E127" s="17" t="inlineStr">
        <is>
          <t>Пока считаем как ИП</t>
        </is>
      </c>
    </row>
    <row r="128" outlineLevel="1">
      <c r="A128" s="2" t="inlineStr">
        <is>
          <t>Временный продавец — бонус</t>
        </is>
      </c>
      <c r="B128" s="52" t="n">
        <v>0.05</v>
      </c>
      <c r="C128" s="7" t="inlineStr">
        <is>
          <t>% паушального без НДС</t>
        </is>
      </c>
      <c r="D128" s="7" t="inlineStr">
        <is>
          <t>ТЗ 6.4</t>
        </is>
      </c>
      <c r="E128" s="17" t="inlineStr">
        <is>
          <t>Пока считаем как ИП</t>
        </is>
      </c>
    </row>
    <row r="129" outlineLevel="1">
      <c r="A129" s="2" t="inlineStr">
        <is>
          <t>Статус временного продавца</t>
        </is>
      </c>
      <c r="B129" s="298" t="inlineStr">
        <is>
          <t>ИП</t>
        </is>
      </c>
      <c r="C129" s="7" t="inlineStr">
        <is>
          <t>статус</t>
        </is>
      </c>
      <c r="D129" s="7" t="inlineStr">
        <is>
          <t>Временно</t>
        </is>
      </c>
      <c r="E129" s="17" t="inlineStr">
        <is>
          <t>Временно ИП, по последнему указанию пользователя.</t>
        </is>
      </c>
    </row>
    <row r="130" outlineLevel="1">
      <c r="A130" s="2" t="inlineStr">
        <is>
          <t>Квартальная премия</t>
        </is>
      </c>
      <c r="B130" s="296" t="n">
        <v>0.6</v>
      </c>
      <c r="C130" s="7" t="inlineStr">
        <is>
          <t>× месячного gross</t>
        </is>
      </c>
      <c r="D130" s="7" t="inlineStr">
        <is>
          <t>ТЗ 6.4</t>
        </is>
      </c>
      <c r="E130" s="17" t="inlineStr">
        <is>
          <t>С IV кв.2027, первая выплата декабрь 2027</t>
        </is>
      </c>
    </row>
    <row r="131" outlineLevel="1">
      <c r="A131" s="2" t="inlineStr">
        <is>
          <t>Страховые взносы</t>
        </is>
      </c>
      <c r="B131" s="53" t="n">
        <v>0.3</v>
      </c>
      <c r="C131" s="7" t="inlineStr">
        <is>
          <t>% gross</t>
        </is>
      </c>
      <c r="D131" s="7" t="inlineStr">
        <is>
          <t>Подтверждено 11.09.2026</t>
        </is>
      </c>
      <c r="E131" s="17" t="inlineStr">
        <is>
          <t>Льготных режимов нет: полная ставка 30% к gross</t>
        </is>
      </c>
    </row>
    <row r="132" outlineLevel="1">
      <c r="A132" s="2" t="inlineStr">
        <is>
          <t>Net / gross</t>
        </is>
      </c>
      <c r="B132" s="299" t="n">
        <v>0.87</v>
      </c>
      <c r="C132" s="7" t="inlineStr">
        <is>
          <t>коэффициент</t>
        </is>
      </c>
      <c r="D132" s="7" t="inlineStr">
        <is>
          <t>Рабочее</t>
        </is>
      </c>
      <c r="E132" s="17" t="inlineStr">
        <is>
          <t>Используется для новых net-окладов</t>
        </is>
      </c>
    </row>
    <row r="133" outlineLevel="1">
      <c r="A133" s="2" t="inlineStr">
        <is>
          <t>Офис-менеджер net</t>
        </is>
      </c>
      <c r="B133" s="50" t="n">
        <v>70000</v>
      </c>
      <c r="C133" s="7" t="inlineStr">
        <is>
          <t>₽/мес.</t>
        </is>
      </c>
      <c r="D133" s="7" t="inlineStr">
        <is>
          <t>ТЗ 6.1</t>
        </is>
      </c>
      <c r="E133" s="17" t="inlineStr">
        <is>
          <t>С 01.01.2027</t>
        </is>
      </c>
    </row>
    <row r="134" outlineLevel="1">
      <c r="A134" s="2" t="inlineStr">
        <is>
          <t>SMM net</t>
        </is>
      </c>
      <c r="B134" s="50" t="n">
        <v>100000</v>
      </c>
      <c r="C134" s="7" t="inlineStr">
        <is>
          <t>₽/мес.</t>
        </is>
      </c>
      <c r="D134" s="7" t="inlineStr">
        <is>
          <t>ТЗ 6.1</t>
        </is>
      </c>
      <c r="E134" s="17" t="inlineStr">
        <is>
          <t>С 01.09.2027</t>
        </is>
      </c>
    </row>
    <row r="135" outlineLevel="1">
      <c r="A135" s="2" t="inlineStr">
        <is>
          <t>Повышение ГД net</t>
        </is>
      </c>
      <c r="B135" s="50" t="n">
        <v>100000</v>
      </c>
      <c r="C135" s="7" t="inlineStr">
        <is>
          <t>₽/мес.</t>
        </is>
      </c>
      <c r="D135" s="7" t="inlineStr">
        <is>
          <t>ТЗ 6.1</t>
        </is>
      </c>
      <c r="E135" s="17" t="inlineStr">
        <is>
          <t>С 01.01.2028</t>
        </is>
      </c>
    </row>
    <row r="136" outlineLevel="1" ht="20" customHeight="1">
      <c r="A136" s="4" t="inlineStr">
        <is>
          <t>Действующее ядро сотрудников</t>
        </is>
      </c>
    </row>
    <row r="137" outlineLevel="1">
      <c r="A137" s="6" t="inlineStr">
        <is>
          <t>Роль</t>
        </is>
      </c>
      <c r="B137" s="6" t="inlineStr">
        <is>
          <t>Сотрудник</t>
        </is>
      </c>
      <c r="C137" s="6" t="inlineStr">
        <is>
          <t>Gross 01.09.26</t>
        </is>
      </c>
      <c r="D137" s="6" t="inlineStr">
        <is>
          <t>Квартальная премия?</t>
        </is>
      </c>
      <c r="E137" s="6" t="inlineStr">
        <is>
          <t>Комментарий</t>
        </is>
      </c>
    </row>
    <row r="138" outlineLevel="1">
      <c r="A138" s="27" t="inlineStr">
        <is>
          <t>Генеральный директор</t>
        </is>
      </c>
      <c r="B138" s="28" t="inlineStr">
        <is>
          <t>Ермаков Роман Константинович</t>
        </is>
      </c>
      <c r="C138" s="50" t="n">
        <v>402300</v>
      </c>
      <c r="D138" s="106" t="inlineStr">
        <is>
          <t>Да</t>
        </is>
      </c>
      <c r="E138" s="7" t="inlineStr"/>
    </row>
    <row r="139" outlineLevel="1">
      <c r="A139" s="27" t="inlineStr">
        <is>
          <t>Главный бухгалтер</t>
        </is>
      </c>
      <c r="B139" s="28" t="inlineStr">
        <is>
          <t>Попова Екатерина Андреевна</t>
        </is>
      </c>
      <c r="C139" s="50" t="n">
        <v>230000</v>
      </c>
      <c r="D139" s="106" t="inlineStr">
        <is>
          <t>Да</t>
        </is>
      </c>
      <c r="E139" s="7" t="inlineStr"/>
    </row>
    <row r="140" outlineLevel="1">
      <c r="A140" s="27" t="inlineStr">
        <is>
          <t>Директор по развитию</t>
        </is>
      </c>
      <c r="B140" s="28" t="inlineStr">
        <is>
          <t>Степанов Юрий Александрович</t>
        </is>
      </c>
      <c r="C140" s="50" t="n">
        <v>287360</v>
      </c>
      <c r="D140" s="106" t="inlineStr">
        <is>
          <t>Да</t>
        </is>
      </c>
      <c r="E140" s="7" t="inlineStr"/>
    </row>
    <row r="141" outlineLevel="1">
      <c r="A141" s="27" t="inlineStr">
        <is>
          <t>Проектный менеджер</t>
        </is>
      </c>
      <c r="B141" s="28" t="inlineStr">
        <is>
          <t>Авакян Левон</t>
        </is>
      </c>
      <c r="C141" s="50" t="n">
        <v>126436</v>
      </c>
      <c r="D141" s="106" t="inlineStr">
        <is>
          <t>Нет</t>
        </is>
      </c>
      <c r="E141" s="7" t="inlineStr"/>
    </row>
    <row r="142" outlineLevel="1">
      <c r="A142" s="27" t="inlineStr">
        <is>
          <t>Менеджер по развитию</t>
        </is>
      </c>
      <c r="B142" s="28" t="inlineStr">
        <is>
          <t>Захаров Ярослав Александрович</t>
        </is>
      </c>
      <c r="C142" s="50" t="n">
        <v>114943</v>
      </c>
      <c r="D142" s="106" t="inlineStr">
        <is>
          <t>Нет</t>
        </is>
      </c>
      <c r="E142" s="7" t="inlineStr"/>
    </row>
    <row r="143" outlineLevel="1">
      <c r="A143" s="27" t="inlineStr">
        <is>
          <t>Менеджер по развитию</t>
        </is>
      </c>
      <c r="B143" s="28" t="inlineStr">
        <is>
          <t>Ярков Даниил Антонович</t>
        </is>
      </c>
      <c r="C143" s="50" t="n">
        <v>114943</v>
      </c>
      <c r="D143" s="106" t="inlineStr">
        <is>
          <t>Нет</t>
        </is>
      </c>
      <c r="E143" s="7" t="inlineStr"/>
    </row>
    <row r="144" outlineLevel="1">
      <c r="A144" s="27" t="inlineStr">
        <is>
          <t>Юрист</t>
        </is>
      </c>
      <c r="B144" s="28" t="inlineStr">
        <is>
          <t>Эсти Лайла Александровна</t>
        </is>
      </c>
      <c r="C144" s="50" t="n">
        <v>229890</v>
      </c>
      <c r="D144" s="106" t="inlineStr">
        <is>
          <t>Да</t>
        </is>
      </c>
      <c r="E144" s="7" t="inlineStr"/>
    </row>
    <row r="145" outlineLevel="1">
      <c r="A145" s="27" t="inlineStr">
        <is>
          <t>Спортивный куратор сети</t>
        </is>
      </c>
      <c r="B145" s="28" t="inlineStr">
        <is>
          <t>Стрижов Роман Сергеевич</t>
        </is>
      </c>
      <c r="C145" s="50" t="n">
        <v>229885</v>
      </c>
      <c r="D145" s="106" t="inlineStr">
        <is>
          <t>Да</t>
        </is>
      </c>
      <c r="E145" s="7" t="inlineStr"/>
    </row>
    <row r="146" outlineLevel="1">
      <c r="A146" s="27" t="inlineStr">
        <is>
          <t>Директор по маркетингу</t>
        </is>
      </c>
      <c r="B146" s="28" t="inlineStr">
        <is>
          <t>Печерских Павел Сергеевич</t>
        </is>
      </c>
      <c r="C146" s="50" t="n">
        <v>287360</v>
      </c>
      <c r="D146" s="106" t="inlineStr">
        <is>
          <t>Да</t>
        </is>
      </c>
      <c r="E146" s="7" t="inlineStr"/>
    </row>
    <row r="147" outlineLevel="1">
      <c r="A147" s="27" t="inlineStr">
        <is>
          <t>Ведущий финансовый менеджер</t>
        </is>
      </c>
      <c r="B147" s="28" t="inlineStr">
        <is>
          <t>Беренцвейг Мария Сергеевна</t>
        </is>
      </c>
      <c r="C147" s="50" t="n">
        <v>229885</v>
      </c>
      <c r="D147" s="106" t="inlineStr">
        <is>
          <t>Да</t>
        </is>
      </c>
      <c r="E147" s="7" t="inlineStr"/>
    </row>
    <row r="148" outlineLevel="1">
      <c r="A148" s="27" t="inlineStr">
        <is>
          <t>Исполнительный директор</t>
        </is>
      </c>
      <c r="B148" s="28" t="inlineStr">
        <is>
          <t>Штеблов Илья Николаевич</t>
        </is>
      </c>
      <c r="C148" s="50" t="n">
        <v>288000</v>
      </c>
      <c r="D148" s="106" t="inlineStr">
        <is>
          <t>Да</t>
        </is>
      </c>
      <c r="E148" s="7" t="inlineStr"/>
    </row>
    <row r="149" outlineLevel="1">
      <c r="A149" s="27" t="inlineStr">
        <is>
          <t>Спортивный директор</t>
        </is>
      </c>
      <c r="B149" s="28" t="inlineStr">
        <is>
          <t>Рогов Роман Дмитриевич</t>
        </is>
      </c>
      <c r="C149" s="50" t="n">
        <v>287400</v>
      </c>
      <c r="D149" s="106" t="inlineStr">
        <is>
          <t>Да</t>
        </is>
      </c>
      <c r="E149" s="7" t="inlineStr"/>
    </row>
    <row r="150" outlineLevel="1">
      <c r="A150" s="27" t="inlineStr">
        <is>
          <t>Руководитель отдела продаж / менеджер по продажам</t>
        </is>
      </c>
      <c r="B150" s="28" t="inlineStr">
        <is>
          <t>Жосан Евгений</t>
        </is>
      </c>
      <c r="C150" s="50" t="n">
        <v>230000</v>
      </c>
      <c r="D150" s="106" t="inlineStr">
        <is>
          <t>Нет</t>
        </is>
      </c>
      <c r="E150" s="7" t="inlineStr"/>
    </row>
    <row r="151" outlineLevel="1">
      <c r="A151" s="2" t="inlineStr">
        <is>
          <t>ФОТ ядра gross — база</t>
        </is>
      </c>
      <c r="B151" s="291">
        <f>SUM(C138:C150)</f>
        <v/>
      </c>
      <c r="D151" s="7" t="inlineStr">
        <is>
          <t>Расчёт</t>
        </is>
      </c>
    </row>
    <row r="152" outlineLevel="1">
      <c r="A152" s="2" t="inlineStr">
        <is>
          <t>База gross для квартальной премии</t>
        </is>
      </c>
      <c r="B152" s="291">
        <f>SUMIF(D138:D150,"Да",C138:C150)</f>
        <v/>
      </c>
      <c r="D152" s="7" t="inlineStr">
        <is>
          <t>Расчёт</t>
        </is>
      </c>
    </row>
    <row r="153"/>
    <row r="154" ht="20" customHeight="1">
      <c r="A154" s="272" t="inlineStr">
        <is>
          <t>8. Налоги</t>
        </is>
      </c>
    </row>
    <row r="155" outlineLevel="1">
      <c r="A155" s="6" t="inlineStr">
        <is>
          <t>Параметр</t>
        </is>
      </c>
      <c r="B155" s="6" t="inlineStr">
        <is>
          <t>Значение</t>
        </is>
      </c>
      <c r="C155" s="6" t="inlineStr">
        <is>
          <t>Ед.</t>
        </is>
      </c>
      <c r="D155" s="6" t="inlineStr">
        <is>
          <t>Статус / источник</t>
        </is>
      </c>
      <c r="E155" s="6" t="inlineStr">
        <is>
          <t>Комментарий</t>
        </is>
      </c>
    </row>
    <row r="156" outlineLevel="1">
      <c r="A156" s="2" t="inlineStr">
        <is>
          <t>УСН доходы-расходы</t>
        </is>
      </c>
      <c r="B156" s="53" t="n">
        <v>0.15</v>
      </c>
      <c r="C156" s="7" t="inlineStr">
        <is>
          <t>% прибыли</t>
        </is>
      </c>
      <c r="D156" s="7" t="inlineStr">
        <is>
          <t>Временно</t>
        </is>
      </c>
      <c r="E156" s="17" t="inlineStr">
        <is>
          <t>Помесячно; подтвердить</t>
        </is>
      </c>
    </row>
    <row r="157" outlineLevel="1">
      <c r="A157" s="2" t="inlineStr">
        <is>
          <t>Минимальный УСН</t>
        </is>
      </c>
      <c r="B157" s="53" t="n">
        <v>0.01</v>
      </c>
      <c r="C157" s="7" t="inlineStr">
        <is>
          <t>% дохода</t>
        </is>
      </c>
      <c r="D157" s="7" t="inlineStr">
        <is>
          <t>Временно</t>
        </is>
      </c>
      <c r="E157" s="17" t="inlineStr">
        <is>
          <t>Помесячно; подтвердить</t>
        </is>
      </c>
    </row>
    <row r="158"/>
    <row r="159" ht="20" customHeight="1">
      <c r="A159" s="272" t="inlineStr">
        <is>
          <t>9. Лагеря</t>
        </is>
      </c>
    </row>
    <row r="160" outlineLevel="1">
      <c r="A160" s="6" t="inlineStr">
        <is>
          <t>Параметр</t>
        </is>
      </c>
      <c r="B160" s="6" t="inlineStr">
        <is>
          <t>Значение</t>
        </is>
      </c>
      <c r="C160" s="6" t="inlineStr">
        <is>
          <t>Ед.</t>
        </is>
      </c>
      <c r="D160" s="6" t="inlineStr">
        <is>
          <t>Статус / источник</t>
        </is>
      </c>
      <c r="E160" s="6" t="inlineStr">
        <is>
          <t>Комментарий</t>
        </is>
      </c>
    </row>
    <row r="161" outlineLevel="1">
      <c r="A161" s="2" t="inlineStr">
        <is>
          <t>Лагеря — смен в июне</t>
        </is>
      </c>
      <c r="B161" s="300" t="n">
        <v>2</v>
      </c>
      <c r="C161" s="7" t="inlineStr">
        <is>
          <t>шт.</t>
        </is>
      </c>
      <c r="D161" s="7" t="inlineStr">
        <is>
          <t>ТЗ 9</t>
        </is>
      </c>
      <c r="E161" s="17" t="inlineStr"/>
    </row>
    <row r="162" outlineLevel="1">
      <c r="A162" s="2" t="inlineStr">
        <is>
          <t>Лагеря — участников без проживания / смена</t>
        </is>
      </c>
      <c r="B162" s="300" t="n">
        <v>50</v>
      </c>
      <c r="C162" s="7" t="inlineStr">
        <is>
          <t>чел.</t>
        </is>
      </c>
      <c r="D162" s="7" t="inlineStr">
        <is>
          <t>Лагеря Спартак Будущее</t>
        </is>
      </c>
      <c r="E162" s="17" t="inlineStr"/>
    </row>
    <row r="163" outlineLevel="1">
      <c r="A163" s="2" t="inlineStr">
        <is>
          <t>Лагеря — участников с проживанием / смена</t>
        </is>
      </c>
      <c r="B163" s="300" t="n">
        <v>50</v>
      </c>
      <c r="C163" s="7" t="inlineStr">
        <is>
          <t>чел.</t>
        </is>
      </c>
      <c r="D163" s="7" t="inlineStr">
        <is>
          <t>Лагеря Спартак Будущее</t>
        </is>
      </c>
      <c r="E163" s="17" t="inlineStr"/>
    </row>
    <row r="164" outlineLevel="1">
      <c r="A164" s="2" t="inlineStr">
        <is>
          <t>Лагеря — цена без проживания</t>
        </is>
      </c>
      <c r="B164" s="50" t="n">
        <v>80000</v>
      </c>
      <c r="C164" s="7" t="inlineStr">
        <is>
          <t>₽</t>
        </is>
      </c>
      <c r="D164" s="7" t="inlineStr">
        <is>
          <t>Лагеря Спартак Будущее</t>
        </is>
      </c>
      <c r="E164" s="17" t="inlineStr"/>
    </row>
    <row r="165" outlineLevel="1">
      <c r="A165" s="2" t="inlineStr">
        <is>
          <t>Лагеря — цена с проживанием</t>
        </is>
      </c>
      <c r="B165" s="50" t="n">
        <v>120000</v>
      </c>
      <c r="C165" s="7" t="inlineStr">
        <is>
          <t>₽</t>
        </is>
      </c>
      <c r="D165" s="7" t="inlineStr">
        <is>
          <t>Лагеря Спартак Будущее</t>
        </is>
      </c>
      <c r="E165" s="17" t="inlineStr"/>
    </row>
    <row r="166" outlineLevel="1">
      <c r="A166" s="2" t="inlineStr">
        <is>
          <t>Лагеря — оборот / смена</t>
        </is>
      </c>
      <c r="B166" s="288">
        <f>B162*B164+B163*B165</f>
        <v/>
      </c>
      <c r="C166" s="7" t="inlineStr">
        <is>
          <t>₽</t>
        </is>
      </c>
      <c r="D166" s="7" t="inlineStr">
        <is>
          <t>Лагеря Спартак Будущее</t>
        </is>
      </c>
      <c r="E166" s="17" t="inlineStr"/>
    </row>
    <row r="167" outlineLevel="1">
      <c r="A167" s="2" t="inlineStr">
        <is>
          <t>Лагеря — расходы / смена</t>
        </is>
      </c>
      <c r="B167" s="50" t="n">
        <v>5386000</v>
      </c>
      <c r="C167" s="7" t="inlineStr">
        <is>
          <t>₽</t>
        </is>
      </c>
      <c r="D167" s="7" t="inlineStr">
        <is>
          <t>Лагеря Спартак Будущее</t>
        </is>
      </c>
      <c r="E167" s="17" t="inlineStr"/>
    </row>
    <row r="168" outlineLevel="1">
      <c r="A168" s="2" t="inlineStr">
        <is>
          <t>Лагеря — НДС</t>
        </is>
      </c>
      <c r="B168" s="79">
        <f>B240</f>
        <v/>
      </c>
      <c r="C168" s="7" t="inlineStr">
        <is>
          <t>%</t>
        </is>
      </c>
      <c r="D168" s="7" t="inlineStr">
        <is>
          <t>Лагеря Спартак Будущее</t>
        </is>
      </c>
      <c r="E168" s="17" t="inlineStr">
        <is>
          <t>Временный резерв 10% от оборота из исходника, не проверенная методика НДС.</t>
        </is>
      </c>
    </row>
    <row r="169" outlineLevel="1">
      <c r="A169" s="2" t="inlineStr">
        <is>
          <t>Лагеря — доля партнёра-продавца</t>
        </is>
      </c>
      <c r="B169" s="52" t="n">
        <v>0.125</v>
      </c>
      <c r="C169" s="7" t="inlineStr">
        <is>
          <t>%</t>
        </is>
      </c>
      <c r="D169" s="7" t="inlineStr">
        <is>
          <t>Лагеря Спартак Будущее</t>
        </is>
      </c>
      <c r="E169" s="17" t="inlineStr"/>
    </row>
    <row r="170" outlineLevel="1">
      <c r="A170" s="2" t="inlineStr">
        <is>
          <t>Лагеря — проживание / смена</t>
        </is>
      </c>
      <c r="B170" s="50" t="n">
        <v>700000</v>
      </c>
      <c r="C170" s="7" t="inlineStr">
        <is>
          <t>₽</t>
        </is>
      </c>
      <c r="D170" s="7" t="inlineStr">
        <is>
          <t>Лагеря Спартак Будущее</t>
        </is>
      </c>
      <c r="E170" s="17" t="inlineStr"/>
    </row>
    <row r="171" outlineLevel="1">
      <c r="A171" s="2" t="inlineStr">
        <is>
          <t>Лагеря — аванс клиента</t>
        </is>
      </c>
      <c r="B171" s="52" t="n">
        <v>0.4</v>
      </c>
      <c r="C171" s="7" t="inlineStr">
        <is>
          <t>%</t>
        </is>
      </c>
      <c r="D171" s="7" t="inlineStr">
        <is>
          <t>ТЗ 9</t>
        </is>
      </c>
      <c r="E171" s="17" t="inlineStr"/>
    </row>
    <row r="172" outlineLevel="1">
      <c r="A172" s="2" t="inlineStr">
        <is>
          <t>Лагеря — финальная оплата клиента</t>
        </is>
      </c>
      <c r="B172" s="52" t="n">
        <v>0.6</v>
      </c>
      <c r="C172" s="7" t="inlineStr">
        <is>
          <t>%</t>
        </is>
      </c>
      <c r="D172" s="7" t="inlineStr">
        <is>
          <t>ТЗ 9</t>
        </is>
      </c>
      <c r="E172" s="17" t="inlineStr"/>
    </row>
    <row r="173" outlineLevel="1">
      <c r="A173" s="2" t="inlineStr">
        <is>
          <t>Лагеря — месяц финальной оплаты клиента</t>
        </is>
      </c>
      <c r="B173" s="293" t="n">
        <v>5</v>
      </c>
      <c r="C173" s="7" t="inlineStr">
        <is>
          <t>номер месяца</t>
        </is>
      </c>
      <c r="D173" s="7" t="inlineStr">
        <is>
          <t>Рабочее</t>
        </is>
      </c>
      <c r="E173" s="17" t="inlineStr">
        <is>
          <t>Пока май; уточнить</t>
        </is>
      </c>
    </row>
    <row r="174" outlineLevel="1">
      <c r="A174" s="2" t="inlineStr">
        <is>
          <t>Лагеря — первая оплата проживания</t>
        </is>
      </c>
      <c r="B174" s="52" t="n">
        <v>0.4</v>
      </c>
      <c r="C174" s="7" t="inlineStr">
        <is>
          <t>%</t>
        </is>
      </c>
      <c r="D174" s="7" t="inlineStr">
        <is>
          <t>ТЗ 9</t>
        </is>
      </c>
      <c r="E174" s="17" t="inlineStr"/>
    </row>
    <row r="175" outlineLevel="1">
      <c r="A175" s="2" t="inlineStr">
        <is>
          <t>Лагеря — месяц первой оплаты проживания</t>
        </is>
      </c>
      <c r="B175" s="286" t="n">
        <v>3</v>
      </c>
      <c r="C175" s="7" t="inlineStr">
        <is>
          <t>номер месяца</t>
        </is>
      </c>
      <c r="D175" s="7" t="inlineStr">
        <is>
          <t>ТЗ 9</t>
        </is>
      </c>
      <c r="E175" s="17" t="inlineStr">
        <is>
          <t>Март</t>
        </is>
      </c>
    </row>
    <row r="176" outlineLevel="1">
      <c r="A176" s="2" t="inlineStr">
        <is>
          <t>Лагеря — вторая оплата проживания</t>
        </is>
      </c>
      <c r="B176" s="52" t="n">
        <v>0.6</v>
      </c>
      <c r="C176" s="7" t="inlineStr">
        <is>
          <t>%</t>
        </is>
      </c>
      <c r="D176" s="7" t="inlineStr">
        <is>
          <t>ТЗ 9</t>
        </is>
      </c>
      <c r="E176" s="17" t="inlineStr"/>
    </row>
    <row r="177" outlineLevel="1">
      <c r="A177" s="2" t="inlineStr">
        <is>
          <t>Лагеря — месяц второй оплаты проживания</t>
        </is>
      </c>
      <c r="B177" s="286" t="n">
        <v>5</v>
      </c>
      <c r="C177" s="7" t="inlineStr">
        <is>
          <t>номер месяца</t>
        </is>
      </c>
      <c r="D177" s="7" t="inlineStr">
        <is>
          <t>Подтверждено</t>
        </is>
      </c>
      <c r="E177" s="17" t="inlineStr">
        <is>
          <t>За месяц до июня = май</t>
        </is>
      </c>
    </row>
    <row r="178"/>
    <row r="179" ht="20" customHeight="1">
      <c r="A179" s="272" t="inlineStr">
        <is>
          <t>10. История сезона 2025/26 — ввод факта и режим сравнения</t>
        </is>
      </c>
    </row>
    <row r="180" outlineLevel="1">
      <c r="A180" s="6" t="inlineStr">
        <is>
          <t>Показатель</t>
        </is>
      </c>
      <c r="B180" s="147" t="n">
        <v>45901</v>
      </c>
      <c r="C180" s="147" t="n">
        <v>45931</v>
      </c>
      <c r="D180" s="147" t="n">
        <v>45962</v>
      </c>
      <c r="E180" s="147" t="n">
        <v>45992</v>
      </c>
      <c r="F180" s="147" t="n">
        <v>46023</v>
      </c>
      <c r="G180" s="147" t="n">
        <v>46054</v>
      </c>
      <c r="H180" s="147" t="n">
        <v>46082</v>
      </c>
      <c r="I180" s="147" t="n">
        <v>46113</v>
      </c>
      <c r="J180" s="147" t="n">
        <v>46143</v>
      </c>
      <c r="K180" s="147" t="n">
        <v>46174</v>
      </c>
      <c r="L180" s="147" t="n">
        <v>46204</v>
      </c>
      <c r="M180" s="147" t="n">
        <v>46235</v>
      </c>
      <c r="N180" s="6" t="inlineStr">
        <is>
          <t>Итого доступно</t>
        </is>
      </c>
    </row>
    <row r="181" outlineLevel="1">
      <c r="A181" s="2" t="inlineStr">
        <is>
          <t>Выручка</t>
        </is>
      </c>
      <c r="B181" s="50" t="n">
        <v>0</v>
      </c>
      <c r="C181" s="50" t="n">
        <v>0</v>
      </c>
      <c r="D181" s="50" t="n">
        <v>1888930</v>
      </c>
      <c r="E181" s="50" t="n">
        <v>3136245</v>
      </c>
      <c r="F181" s="50" t="n">
        <v>3278551</v>
      </c>
      <c r="G181" s="50" t="n">
        <v>3661176</v>
      </c>
      <c r="H181" s="50" t="n">
        <v>2746157</v>
      </c>
      <c r="I181" s="50" t="n">
        <v>2794345</v>
      </c>
      <c r="J181" s="50" t="n">
        <v>2057327</v>
      </c>
      <c r="K181" s="50" t="n">
        <v>3743057</v>
      </c>
      <c r="L181" s="30" t="n">
        <v>3136928</v>
      </c>
      <c r="M181" s="30" t="n"/>
      <c r="N181" s="291">
        <f>SUM(B181:M181)</f>
        <v/>
      </c>
    </row>
    <row r="182" outlineLevel="1">
      <c r="A182" s="2" t="inlineStr">
        <is>
          <t>Себестоимость</t>
        </is>
      </c>
      <c r="B182" s="50" t="n">
        <v>0</v>
      </c>
      <c r="C182" s="50" t="n">
        <v>0</v>
      </c>
      <c r="D182" s="50" t="n">
        <v>353026</v>
      </c>
      <c r="E182" s="50" t="n">
        <v>147883</v>
      </c>
      <c r="F182" s="50" t="n">
        <v>42910</v>
      </c>
      <c r="G182" s="50" t="n">
        <v>926633</v>
      </c>
      <c r="H182" s="50" t="n">
        <v>64493</v>
      </c>
      <c r="I182" s="50" t="n">
        <v>86054</v>
      </c>
      <c r="J182" s="50" t="n">
        <v>139894</v>
      </c>
      <c r="K182" s="50" t="n">
        <v>735974</v>
      </c>
      <c r="L182" s="30" t="n">
        <v>44505</v>
      </c>
      <c r="M182" s="30" t="n"/>
      <c r="N182" s="291">
        <f>SUM(B182:M182)</f>
        <v/>
      </c>
    </row>
    <row r="183" outlineLevel="1">
      <c r="A183" s="2" t="inlineStr">
        <is>
          <t>Коммерческие расходы</t>
        </is>
      </c>
      <c r="B183" s="50" t="n">
        <v>0</v>
      </c>
      <c r="C183" s="50" t="n">
        <v>0</v>
      </c>
      <c r="D183" s="50" t="n">
        <v>245843</v>
      </c>
      <c r="E183" s="50" t="n">
        <v>337456</v>
      </c>
      <c r="F183" s="50" t="n">
        <v>332724</v>
      </c>
      <c r="G183" s="50" t="n">
        <v>409047</v>
      </c>
      <c r="H183" s="50" t="n">
        <v>278193</v>
      </c>
      <c r="I183" s="50" t="n">
        <v>286891</v>
      </c>
      <c r="J183" s="50" t="n">
        <v>216975</v>
      </c>
      <c r="K183" s="50" t="n">
        <v>439440</v>
      </c>
      <c r="L183" s="30" t="n">
        <v>314803</v>
      </c>
      <c r="M183" s="30" t="n"/>
      <c r="N183" s="291">
        <f>SUM(B183:M183)</f>
        <v/>
      </c>
    </row>
    <row r="184" outlineLevel="1">
      <c r="A184" s="2" t="inlineStr">
        <is>
          <t>Административные расходы</t>
        </is>
      </c>
      <c r="B184" s="50" t="n">
        <v>2598460</v>
      </c>
      <c r="C184" s="50" t="n">
        <v>3269784</v>
      </c>
      <c r="D184" s="50" t="n">
        <v>3874093</v>
      </c>
      <c r="E184" s="50" t="n">
        <v>4712565</v>
      </c>
      <c r="F184" s="50" t="n">
        <v>3454218</v>
      </c>
      <c r="G184" s="50" t="n">
        <v>4059308</v>
      </c>
      <c r="H184" s="50" t="n">
        <v>3795422</v>
      </c>
      <c r="I184" s="50" t="n">
        <v>4013301</v>
      </c>
      <c r="J184" s="50" t="n">
        <v>4510410</v>
      </c>
      <c r="K184" s="50" t="n">
        <v>4997909</v>
      </c>
      <c r="L184" s="30" t="n">
        <v>5348614</v>
      </c>
      <c r="M184" s="30" t="n"/>
      <c r="N184" s="291">
        <f>SUM(B184:M184)</f>
        <v/>
      </c>
    </row>
    <row r="185" outlineLevel="1">
      <c r="A185" s="2" t="inlineStr">
        <is>
          <t>Прочие расходы</t>
        </is>
      </c>
      <c r="B185" s="50" t="n">
        <v>9335</v>
      </c>
      <c r="C185" s="50" t="n">
        <v>32927</v>
      </c>
      <c r="D185" s="50" t="n">
        <v>5574</v>
      </c>
      <c r="E185" s="50" t="n">
        <v>7214</v>
      </c>
      <c r="F185" s="50" t="n">
        <v>3595</v>
      </c>
      <c r="G185" s="50" t="n">
        <v>4123</v>
      </c>
      <c r="H185" s="50" t="n">
        <v>6990</v>
      </c>
      <c r="I185" s="50" t="n">
        <v>4957</v>
      </c>
      <c r="J185" s="50" t="n">
        <v>3243</v>
      </c>
      <c r="K185" s="50" t="n">
        <v>6449</v>
      </c>
      <c r="L185" s="30" t="n">
        <v>5010</v>
      </c>
      <c r="M185" s="30" t="n"/>
      <c r="N185" s="291">
        <f>SUM(B185:M185)</f>
        <v/>
      </c>
    </row>
    <row r="186" outlineLevel="1">
      <c r="A186" s="2" t="inlineStr">
        <is>
          <t>EBITDA</t>
        </is>
      </c>
      <c r="B186" s="50" t="n">
        <v>-2607796</v>
      </c>
      <c r="C186" s="50" t="n">
        <v>-3302710</v>
      </c>
      <c r="D186" s="50" t="n">
        <v>-2589607</v>
      </c>
      <c r="E186" s="50" t="n">
        <v>-2068872</v>
      </c>
      <c r="F186" s="50" t="n">
        <v>-554897</v>
      </c>
      <c r="G186" s="50" t="n">
        <v>-1737936</v>
      </c>
      <c r="H186" s="50" t="n">
        <v>-1398942</v>
      </c>
      <c r="I186" s="50" t="n">
        <v>-1596856</v>
      </c>
      <c r="J186" s="50" t="n">
        <v>-2813195</v>
      </c>
      <c r="K186" s="50" t="n">
        <v>-2436714</v>
      </c>
      <c r="L186" s="30" t="n">
        <v>-2576003</v>
      </c>
      <c r="M186" s="30" t="n"/>
      <c r="N186" s="291">
        <f>SUM(B186:M186)</f>
        <v/>
      </c>
    </row>
    <row r="187" outlineLevel="1">
      <c r="A187" s="2" t="inlineStr">
        <is>
          <t>Чистый денежный поток</t>
        </is>
      </c>
      <c r="B187" s="30" t="n"/>
      <c r="C187" s="30" t="n"/>
      <c r="D187" s="30" t="n"/>
      <c r="E187" s="30" t="n"/>
      <c r="F187" s="50" t="n">
        <v>40198</v>
      </c>
      <c r="G187" s="50" t="n">
        <v>2070755</v>
      </c>
      <c r="H187" s="50" t="n">
        <v>-1429475</v>
      </c>
      <c r="I187" s="50" t="n">
        <v>61645</v>
      </c>
      <c r="J187" s="50" t="n">
        <v>-517789</v>
      </c>
      <c r="K187" s="50" t="n">
        <v>-345792</v>
      </c>
      <c r="L187" s="50" t="n">
        <v>6862</v>
      </c>
      <c r="M187" s="30" t="n"/>
      <c r="N187" s="291">
        <f>SUM(B187:M187)</f>
        <v/>
      </c>
    </row>
    <row r="188" outlineLevel="1">
      <c r="A188" s="2" t="inlineStr">
        <is>
          <t>Режим просмотра результата на дашборде</t>
        </is>
      </c>
      <c r="B188" s="301" t="inlineStr">
        <is>
          <t>Без истории</t>
        </is>
      </c>
      <c r="C188" s="30" t="inlineStr">
        <is>
          <t>режим</t>
        </is>
      </c>
      <c r="D188" s="30" t="inlineStr">
        <is>
          <t>Управленческий переключатель</t>
        </is>
      </c>
      <c r="E188" s="30" t="inlineStr">
        <is>
          <t>Без истории = только прогноз с 01.09.2026; С историей = доступный факт 25/26 + прогноз. Август 2026 пока не заполнен.</t>
        </is>
      </c>
    </row>
    <row r="189"/>
    <row r="190" ht="28" customHeight="1">
      <c r="A190" s="302" t="inlineStr">
        <is>
          <t>11. Сценарии и чувствительность</t>
        </is>
      </c>
    </row>
    <row r="191" outlineLevel="1" ht="38" customHeight="1">
      <c r="A191" s="41" t="inlineStr">
        <is>
          <t>Предварительные сценарные коэффициенты. Базовый сценарий использует исходные параметры ниже; коэффициент 1,00x означает отсутствие изменения.</t>
        </is>
      </c>
    </row>
    <row r="192" outlineLevel="1">
      <c r="A192" s="38" t="inlineStr">
        <is>
          <t>Активный сценарий</t>
        </is>
      </c>
      <c r="B192" s="301" t="inlineStr">
        <is>
          <t>Базовый</t>
        </is>
      </c>
      <c r="D192" s="221" t="inlineStr">
        <is>
          <t>03_Сценарии</t>
        </is>
      </c>
      <c r="E192" s="221" t="inlineStr">
        <is>
          <t>12_Чувствительность</t>
        </is>
      </c>
    </row>
    <row r="193" outlineLevel="1"/>
    <row r="194" outlineLevel="1">
      <c r="A194" s="41" t="inlineStr">
        <is>
          <t>Номер сценария</t>
        </is>
      </c>
      <c r="B194" s="303">
        <f>IF(B192=C197,1,IF(B192=D197,2,3))</f>
        <v/>
      </c>
    </row>
    <row r="195" outlineLevel="1" ht="38" customHeight="1">
      <c r="A195" s="41" t="inlineStr">
        <is>
          <t>Выбор B192 пересчитывает дашборд и основную модель. Сравнение трех сценариев и чувствительность рассчитываются отдельно от этого выбора.</t>
        </is>
      </c>
    </row>
    <row r="196" outlineLevel="1"/>
    <row r="197" outlineLevel="1" ht="36" customHeight="1">
      <c r="A197" s="62" t="inlineStr">
        <is>
          <t>Драйвер</t>
        </is>
      </c>
      <c r="B197" s="62" t="inlineStr">
        <is>
          <t>Ед.</t>
        </is>
      </c>
      <c r="C197" s="62" t="inlineStr">
        <is>
          <t>Негативный</t>
        </is>
      </c>
      <c r="D197" s="62" t="inlineStr">
        <is>
          <t>Базовый</t>
        </is>
      </c>
      <c r="E197" s="62" t="inlineStr">
        <is>
          <t>Позитивный</t>
        </is>
      </c>
      <c r="F197" s="62" t="inlineStr">
        <is>
          <t>В расчете</t>
        </is>
      </c>
      <c r="G197" s="62" t="inlineStr">
        <is>
          <t>Шаг ±</t>
        </is>
      </c>
    </row>
    <row r="198" outlineLevel="1" ht="32" customHeight="1">
      <c r="A198" s="41" t="inlineStr">
        <is>
          <t>План продаж франшиз</t>
        </is>
      </c>
      <c r="B198" s="41" t="inlineStr">
        <is>
          <t>× база</t>
        </is>
      </c>
      <c r="C198" s="63" t="n">
        <v>0.8</v>
      </c>
      <c r="D198" s="64" t="n">
        <v>1</v>
      </c>
      <c r="E198" s="63" t="n">
        <v>1.2</v>
      </c>
      <c r="F198" s="304">
        <f>INDEX(C198:E198,1,$B$194)</f>
        <v/>
      </c>
      <c r="G198" s="66" t="n">
        <v>0.1</v>
      </c>
    </row>
    <row r="199" outlineLevel="1" ht="32" customHeight="1">
      <c r="A199" s="41" t="inlineStr">
        <is>
          <t>Дети новых школ</t>
        </is>
      </c>
      <c r="B199" s="41" t="inlineStr">
        <is>
          <t>× база</t>
        </is>
      </c>
      <c r="C199" s="63" t="n">
        <v>0.9</v>
      </c>
      <c r="D199" s="64" t="n">
        <v>1</v>
      </c>
      <c r="E199" s="63" t="n">
        <v>1.1</v>
      </c>
      <c r="F199" s="304">
        <f>INDEX(C199:E199,1,$B$194)</f>
        <v/>
      </c>
      <c r="G199" s="66" t="n">
        <v>0.1</v>
      </c>
    </row>
    <row r="200" outlineLevel="1" ht="32" customHeight="1">
      <c r="A200" s="41" t="inlineStr">
        <is>
          <t>Цена абонемента</t>
        </is>
      </c>
      <c r="B200" s="41" t="inlineStr">
        <is>
          <t>× база</t>
        </is>
      </c>
      <c r="C200" s="63" t="n">
        <v>0.95</v>
      </c>
      <c r="D200" s="64" t="n">
        <v>1</v>
      </c>
      <c r="E200" s="63" t="n">
        <v>1.05</v>
      </c>
      <c r="F200" s="304">
        <f>INDEX(C200:E200,1,$B$194)</f>
        <v/>
      </c>
      <c r="G200" s="66" t="n">
        <v>0.1</v>
      </c>
    </row>
    <row r="201" outlineLevel="1" ht="32" customHeight="1">
      <c r="A201" s="41" t="inlineStr">
        <is>
          <t>Мерч на ребенка</t>
        </is>
      </c>
      <c r="B201" s="41" t="inlineStr">
        <is>
          <t>× база</t>
        </is>
      </c>
      <c r="C201" s="63" t="n">
        <v>0.9</v>
      </c>
      <c r="D201" s="64" t="n">
        <v>1</v>
      </c>
      <c r="E201" s="63" t="n">
        <v>1.1</v>
      </c>
      <c r="F201" s="304">
        <f>INDEX(C201:E201,1,$B$194)</f>
        <v/>
      </c>
      <c r="G201" s="66" t="n">
        <v>0.1</v>
      </c>
    </row>
    <row r="202" outlineLevel="1" ht="32" customHeight="1">
      <c r="A202" s="41" t="inlineStr">
        <is>
          <t>Таргет на продажу</t>
        </is>
      </c>
      <c r="B202" s="41" t="inlineStr">
        <is>
          <t>× база</t>
        </is>
      </c>
      <c r="C202" s="63" t="n">
        <v>1.2</v>
      </c>
      <c r="D202" s="64" t="n">
        <v>1</v>
      </c>
      <c r="E202" s="63" t="n">
        <v>0.8</v>
      </c>
      <c r="F202" s="304">
        <f>INDEX(C202:E202,1,$B$194)</f>
        <v/>
      </c>
      <c r="G202" s="66" t="n">
        <v>0.1</v>
      </c>
    </row>
    <row r="203" outlineLevel="1" ht="32" customHeight="1">
      <c r="A203" s="41" t="inlineStr">
        <is>
          <t>Срок получения роялти</t>
        </is>
      </c>
      <c r="B203" s="41" t="inlineStr">
        <is>
          <t>× база</t>
        </is>
      </c>
      <c r="C203" s="63" t="n">
        <v>2</v>
      </c>
      <c r="D203" s="64" t="n">
        <v>1</v>
      </c>
      <c r="E203" s="63" t="n">
        <v>0.5</v>
      </c>
      <c r="F203" s="304">
        <f>INDEX(C203:E203,1,$B$194)</f>
        <v/>
      </c>
      <c r="G203" s="66" t="n">
        <v>0.1</v>
      </c>
    </row>
    <row r="204" outlineLevel="1"/>
    <row r="205" outlineLevel="1" ht="38" customHeight="1">
      <c r="A205" s="41" t="inlineStr">
        <is>
          <t>Чувствительность: меняется только один драйвер на ±шаг G198:G203; все остальные вводные остаются базовыми. Эффекты не слагать.</t>
        </is>
      </c>
    </row>
    <row r="206" outlineLevel="1" ht="38" customHeight="1">
      <c r="A206" s="41" t="inlineStr">
        <is>
          <t>Стартовые 5 200 детей, рост 10%, ставки роялти, налоги и лагеря сценариями не меняются. Мерч сентября-декабря 2026 остается по согласованному плану.</t>
        </is>
      </c>
    </row>
    <row r="207" outlineLevel="1" ht="38" customHeight="1">
      <c r="A207" s="41" t="inlineStr">
        <is>
          <t>Дебиторка распределяется между текущим и следующим месяцем. Диапазон 0–30 дней; большие сроки требуют расширения расчёта БДДС.</t>
        </is>
      </c>
    </row>
    <row r="208" outlineLevel="1"/>
    <row r="209" outlineLevel="1" ht="28" customHeight="1">
      <c r="A209" s="47" t="inlineStr">
        <is>
          <t>Базовые значения сценарных параметров</t>
        </is>
      </c>
    </row>
    <row r="210" outlineLevel="1" ht="28" customHeight="1">
      <c r="A210" s="41" t="inlineStr">
        <is>
          <t>План продаж: сезон 1</t>
        </is>
      </c>
      <c r="B210" s="67" t="n">
        <v>66</v>
      </c>
      <c r="C210" s="41" t="inlineStr">
        <is>
          <t>01_Вводные!B36</t>
        </is>
      </c>
      <c r="D210" s="41" t="inlineStr">
        <is>
          <t>База V8</t>
        </is>
      </c>
    </row>
    <row r="211" outlineLevel="1" ht="28" customHeight="1">
      <c r="A211" s="41" t="inlineStr">
        <is>
          <t>План продаж: сезон 2</t>
        </is>
      </c>
      <c r="B211" s="67" t="n">
        <v>72</v>
      </c>
      <c r="C211" s="41" t="inlineStr">
        <is>
          <t>01_Вводные!B37</t>
        </is>
      </c>
      <c r="D211" s="41" t="inlineStr">
        <is>
          <t>База V8</t>
        </is>
      </c>
    </row>
    <row r="212" outlineLevel="1" ht="28" customHeight="1">
      <c r="A212" s="41" t="inlineStr">
        <is>
          <t>План продаж: сезон 3</t>
        </is>
      </c>
      <c r="B212" s="67" t="n">
        <v>72</v>
      </c>
      <c r="C212" s="41" t="inlineStr">
        <is>
          <t>01_Вводные!B38</t>
        </is>
      </c>
      <c r="D212" s="41" t="inlineStr">
        <is>
          <t>База V8</t>
        </is>
      </c>
    </row>
    <row r="213" outlineLevel="1" ht="28" customHeight="1">
      <c r="A213" s="41" t="inlineStr">
        <is>
          <t>План продаж: сезон 4</t>
        </is>
      </c>
      <c r="B213" s="67" t="n">
        <v>60</v>
      </c>
      <c r="C213" s="41" t="inlineStr">
        <is>
          <t>01_Вводные!B39</t>
        </is>
      </c>
      <c r="D213" s="41" t="inlineStr">
        <is>
          <t>База V8</t>
        </is>
      </c>
    </row>
    <row r="214" outlineLevel="1" ht="28" customHeight="1">
      <c r="A214" s="41" t="inlineStr">
        <is>
          <t>План продаж: сезон 5</t>
        </is>
      </c>
      <c r="B214" s="67" t="n">
        <v>50</v>
      </c>
      <c r="C214" s="41" t="inlineStr">
        <is>
          <t>01_Вводные!B40</t>
        </is>
      </c>
      <c r="D214" s="41" t="inlineStr">
        <is>
          <t>База V8</t>
        </is>
      </c>
    </row>
    <row r="215" outlineLevel="1" ht="28" customHeight="1">
      <c r="A215" s="180" t="inlineStr">
        <is>
          <t>Мощность новой школы: 12-й месяц</t>
        </is>
      </c>
      <c r="B215" s="287">
        <f>SUMPRODUCT($C$263:$C$282,$E$263:$E$282)/$C$283</f>
        <v/>
      </c>
      <c r="C215" s="41" t="inlineStr">
        <is>
          <t>01_Вводные!B46</t>
        </is>
      </c>
      <c r="D215" s="41" t="inlineStr">
        <is>
          <t>База V8</t>
        </is>
      </c>
      <c r="G215" s="281" t="inlineStr">
        <is>
          <t>← формула; база: E263:E282</t>
        </is>
      </c>
    </row>
    <row r="216" outlineLevel="1" ht="28" customHeight="1">
      <c r="A216" s="180" t="inlineStr">
        <is>
          <t>Мощность новой школы: 24-й месяц</t>
        </is>
      </c>
      <c r="B216" s="287">
        <f>SUMPRODUCT($C$263:$C$282,$F$263:$F$282)/$C$283</f>
        <v/>
      </c>
      <c r="C216" s="41" t="inlineStr">
        <is>
          <t>01_Вводные!B47</t>
        </is>
      </c>
      <c r="D216" s="41" t="inlineStr">
        <is>
          <t>База V8</t>
        </is>
      </c>
      <c r="G216" s="281" t="inlineStr">
        <is>
          <t>← формула; база: F263:F282</t>
        </is>
      </c>
    </row>
    <row r="217" outlineLevel="1" ht="28" customHeight="1">
      <c r="A217" s="41" t="inlineStr">
        <is>
          <t>Абонемент действующей сети</t>
        </is>
      </c>
      <c r="B217" s="67" t="n">
        <v>6000</v>
      </c>
      <c r="C217" s="41" t="inlineStr">
        <is>
          <t>01_Вводные!B51</t>
        </is>
      </c>
      <c r="D217" s="41" t="inlineStr">
        <is>
          <t>База V8</t>
        </is>
      </c>
    </row>
    <row r="218" outlineLevel="1" ht="28" customHeight="1">
      <c r="A218" s="41" t="inlineStr">
        <is>
          <t>Абонемент новых школ: сезон 1</t>
        </is>
      </c>
      <c r="B218" s="285">
        <f>SUMPRODUCT($C$263:$C$282,$H$263:$H$282)/$C$283</f>
        <v/>
      </c>
      <c r="C218" s="41" t="inlineStr">
        <is>
          <t>01_Вводные!C63</t>
        </is>
      </c>
      <c r="D218" s="41" t="inlineStr">
        <is>
          <t>База V8</t>
        </is>
      </c>
      <c r="G218" s="281" t="inlineStr">
        <is>
          <t>← формула; база: H263:H282</t>
        </is>
      </c>
    </row>
    <row r="219" outlineLevel="1" ht="28" customHeight="1">
      <c r="A219" s="41" t="inlineStr">
        <is>
          <t>Абонемент новых школ: сезон 2</t>
        </is>
      </c>
      <c r="B219" s="285">
        <f>SUMPRODUCT($C$263:$C$282,$H$263:$H$282)/$C$283</f>
        <v/>
      </c>
      <c r="C219" s="41" t="inlineStr">
        <is>
          <t>01_Вводные!C64</t>
        </is>
      </c>
      <c r="D219" s="41" t="inlineStr">
        <is>
          <t>База V8</t>
        </is>
      </c>
      <c r="G219" s="281" t="inlineStr">
        <is>
          <t>← формула; база: H263:H282</t>
        </is>
      </c>
    </row>
    <row r="220" outlineLevel="1" ht="28" customHeight="1">
      <c r="A220" s="41" t="inlineStr">
        <is>
          <t>Абонемент новых школ: сезон 3</t>
        </is>
      </c>
      <c r="B220" s="285">
        <f>SUMPRODUCT($C$263:$C$282,$H$263:$H$282)/$C$283</f>
        <v/>
      </c>
      <c r="C220" s="41" t="inlineStr">
        <is>
          <t>01_Вводные!C65</t>
        </is>
      </c>
      <c r="D220" s="41" t="inlineStr">
        <is>
          <t>База V8</t>
        </is>
      </c>
      <c r="G220" s="281" t="inlineStr">
        <is>
          <t>← формула; база: H263:H282</t>
        </is>
      </c>
    </row>
    <row r="221" outlineLevel="1" ht="28" customHeight="1">
      <c r="A221" s="41" t="inlineStr">
        <is>
          <t>Абонемент новых школ: сезон 4</t>
        </is>
      </c>
      <c r="B221" s="285">
        <f>SUMPRODUCT($C$263:$C$282,$H$263:$H$282)/$C$283</f>
        <v/>
      </c>
      <c r="C221" s="41" t="inlineStr">
        <is>
          <t>01_Вводные!C66</t>
        </is>
      </c>
      <c r="D221" s="41" t="inlineStr">
        <is>
          <t>База V8</t>
        </is>
      </c>
      <c r="G221" s="281" t="inlineStr">
        <is>
          <t>← формула; база: H263:H282</t>
        </is>
      </c>
    </row>
    <row r="222" outlineLevel="1" ht="28" customHeight="1">
      <c r="A222" s="41" t="inlineStr">
        <is>
          <t>Абонемент новых школ: сезон 5</t>
        </is>
      </c>
      <c r="B222" s="285">
        <f>SUMPRODUCT($C$263:$C$282,$H$263:$H$282)/$C$283</f>
        <v/>
      </c>
      <c r="C222" s="41" t="inlineStr">
        <is>
          <t>01_Вводные!C67</t>
        </is>
      </c>
      <c r="D222" s="41" t="inlineStr">
        <is>
          <t>База V8</t>
        </is>
      </c>
      <c r="G222" s="281" t="inlineStr">
        <is>
          <t>← формула; база: H263:H282</t>
        </is>
      </c>
    </row>
    <row r="223" outlineLevel="1" ht="28" customHeight="1">
      <c r="A223" s="41" t="inlineStr">
        <is>
          <t>Коэффициент мерча</t>
        </is>
      </c>
      <c r="B223" s="305" t="n">
        <v>1.2</v>
      </c>
      <c r="C223" s="41" t="inlineStr">
        <is>
          <t>01_Вводные!B74</t>
        </is>
      </c>
      <c r="D223" s="41" t="inlineStr">
        <is>
          <t>База V8</t>
        </is>
      </c>
    </row>
    <row r="224" outlineLevel="1" ht="28" customHeight="1">
      <c r="A224" s="41" t="inlineStr">
        <is>
          <t>Таргет на будущую продажу</t>
        </is>
      </c>
      <c r="B224" s="67" t="n">
        <v>160000</v>
      </c>
      <c r="C224" s="41" t="inlineStr">
        <is>
          <t>01_Вводные!B26</t>
        </is>
      </c>
      <c r="D224" s="41" t="inlineStr">
        <is>
          <t>База V8</t>
        </is>
      </c>
    </row>
    <row r="225" outlineLevel="1" ht="28" customHeight="1">
      <c r="A225" s="41" t="inlineStr">
        <is>
          <t>Дебиторка</t>
        </is>
      </c>
      <c r="B225" s="306" t="n">
        <v>15</v>
      </c>
      <c r="C225" s="41" t="inlineStr">
        <is>
          <t>01_Вводные!B18</t>
        </is>
      </c>
      <c r="D225" s="41" t="inlineStr">
        <is>
          <t>База V8</t>
        </is>
      </c>
    </row>
    <row r="226" outlineLevel="1"/>
    <row r="227" outlineLevel="1">
      <c r="A227" s="41" t="inlineStr">
        <is>
          <t>Валидность дебиторки</t>
        </is>
      </c>
      <c r="B227" s="307">
        <f>IF(AND(MIN(C203:E203)*B225&gt;=0,MAX(C203:E203)*B225&lt;=30,(1+G203)*B225&lt;=30,(1-G203)*B225&gt;=0),"OK","CHECK")</f>
        <v/>
      </c>
    </row>
    <row r="228" outlineLevel="1">
      <c r="A228" s="41" t="inlineStr">
        <is>
          <t>Параметры стрессов</t>
        </is>
      </c>
      <c r="B228" s="307">
        <f>IF(AND(MIN(C198:E203)&gt;=0,MIN(G198:G203)&gt;=0,MAX(G198:G203)&lt;1),"OK","CHECK")</f>
        <v/>
      </c>
    </row>
    <row r="229"/>
    <row r="230" ht="38" customHeight="1">
      <c r="A230" s="41" t="inlineStr">
        <is>
          <t>Ревизия: обязательные вводные сохранены; непроверенные налоговые и договорные допущения отмечены. Показатели без финансирования могут быть отрицательными.</t>
        </is>
      </c>
    </row>
    <row r="231"/>
    <row r="232" ht="27" customHeight="1">
      <c r="A232" s="257" t="inlineStr">
        <is>
          <t>12. Настройки ревизии и чувствительности</t>
        </is>
      </c>
    </row>
    <row r="233" outlineLevel="1" ht="44" customHeight="1">
      <c r="A233" s="2" t="inlineStr">
        <is>
          <t>Драйвер чувствительности</t>
        </is>
      </c>
      <c r="B233" s="308" t="inlineStr">
        <is>
          <t>Дети новых школ</t>
        </is>
      </c>
      <c r="C233" s="7" t="inlineStr">
        <is>
          <t>выбор</t>
        </is>
      </c>
      <c r="D233" s="7" t="inlineStr">
        <is>
          <t>Ревизия / ТЗ</t>
        </is>
      </c>
      <c r="E233" s="17" t="inlineStr">
        <is>
          <t>Один драйвер за раз; все шесть сохранены в списке.</t>
        </is>
      </c>
    </row>
    <row r="234" outlineLevel="1" ht="44" customHeight="1">
      <c r="A234" s="2" t="inlineStr">
        <is>
          <t>Чувствительность включена</t>
        </is>
      </c>
      <c r="B234" s="308" t="inlineStr">
        <is>
          <t>Да</t>
        </is>
      </c>
      <c r="C234" s="7" t="inlineStr">
        <is>
          <t>Да / Нет</t>
        </is>
      </c>
      <c r="D234" s="7" t="inlineStr">
        <is>
          <t>Ревизия / ТЗ</t>
        </is>
      </c>
      <c r="E234" s="17" t="inlineStr">
        <is>
          <t>При Нет два дополнительных расчёта не выполняются.</t>
        </is>
      </c>
    </row>
    <row r="235" outlineLevel="1" ht="44" customHeight="1">
      <c r="A235" s="2" t="inlineStr">
        <is>
          <t>Лаг открытия → подключения ERP</t>
        </is>
      </c>
      <c r="B235" s="309" t="n">
        <v>0</v>
      </c>
      <c r="C235" s="7" t="inlineStr">
        <is>
          <t>мес.</t>
        </is>
      </c>
      <c r="D235" s="7" t="inlineStr">
        <is>
          <t>Ревизия / ТЗ</t>
        </is>
      </c>
      <c r="E235" s="17" t="inlineStr">
        <is>
          <t>Отдельное событие; до подтверждения подключение в месяц открытия.</t>
        </is>
      </c>
    </row>
    <row r="236" outlineLevel="1" ht="44" customHeight="1">
      <c r="A236" s="2" t="inlineStr">
        <is>
          <t>Дети зрелой школы, база</t>
        </is>
      </c>
      <c r="B236" s="310">
        <f>SUMPRODUCT($C$263:$C$282,$G$263:$G$282)/$C$283</f>
        <v/>
      </c>
      <c r="C236" s="7" t="inlineStr">
        <is>
          <t>чел.</t>
        </is>
      </c>
      <c r="D236" s="7" t="inlineStr">
        <is>
          <t>Ревизия / ТЗ</t>
        </is>
      </c>
      <c r="E236" s="17" t="inlineStr">
        <is>
          <t>Считается по тарифной матрице ниже; множитель сценария учитывается отдельно.</t>
        </is>
      </c>
    </row>
    <row r="237" outlineLevel="1" ht="44" customHeight="1">
      <c r="A237" s="2" t="inlineStr">
        <is>
          <t>Минимальный остаток денег при возврате займа</t>
        </is>
      </c>
      <c r="B237" s="82" t="n">
        <v>0</v>
      </c>
      <c r="C237" s="7" t="inlineStr">
        <is>
          <t>₽</t>
        </is>
      </c>
      <c r="D237" s="7" t="inlineStr">
        <is>
          <t>Ревизия / ТЗ</t>
        </is>
      </c>
      <c r="E237" s="17" t="inlineStr">
        <is>
          <t>Рабочее значение 0; можно задать резерв ликвидности.</t>
        </is>
      </c>
    </row>
    <row r="238" outlineLevel="1" ht="44" customHeight="1">
      <c r="A238" s="2" t="inlineStr">
        <is>
          <t>Ограничивать возврат займа запасом</t>
        </is>
      </c>
      <c r="B238" s="308" t="inlineStr">
        <is>
          <t>Да</t>
        </is>
      </c>
      <c r="C238" s="7" t="inlineStr">
        <is>
          <t>Да / Нет</t>
        </is>
      </c>
      <c r="D238" s="7" t="inlineStr">
        <is>
          <t>Ревизия / ТЗ</t>
        </is>
      </c>
      <c r="E238" s="17" t="inlineStr">
        <is>
          <t>По п.27 ТЗ: возврат только при остатке товара не ниже цели будущих месяцев.</t>
        </is>
      </c>
    </row>
    <row r="239" outlineLevel="1" ht="44" customHeight="1">
      <c r="A239" s="2" t="inlineStr">
        <is>
          <t>Роялти по тарифным группам</t>
        </is>
      </c>
      <c r="B239" s="308" t="inlineStr">
        <is>
          <t>Да</t>
        </is>
      </c>
      <c r="C239" s="7" t="inlineStr">
        <is>
          <t>Да / Нет</t>
        </is>
      </c>
      <c r="D239" s="7" t="inlineStr">
        <is>
          <t>Ревизия / ТЗ</t>
        </is>
      </c>
      <c r="E239" s="17" t="inlineStr">
        <is>
          <t>Да — отдельно по 20 форматам/территориям; Нет — прежнее усреднение для сверки.</t>
        </is>
      </c>
    </row>
    <row r="240" outlineLevel="1" ht="44" customHeight="1">
      <c r="A240" s="2" t="inlineStr">
        <is>
          <t>Налог лагеря — как в файле-источнике</t>
        </is>
      </c>
      <c r="B240" s="149" t="n">
        <v>0.1</v>
      </c>
      <c r="C240" s="7" t="inlineStr">
        <is>
          <t>% оборота</t>
        </is>
      </c>
      <c r="D240" s="7" t="inlineStr">
        <is>
          <t>Ревизия / ТЗ</t>
        </is>
      </c>
      <c r="E240" s="17" t="inlineStr">
        <is>
          <t>Сохранён резерв 10% от оборота из Сокольники!C36. Это не подтверждение ставки/методики НДС.</t>
        </is>
      </c>
    </row>
    <row r="241" outlineLevel="1" ht="44" customHeight="1">
      <c r="A241" s="2" t="inlineStr">
        <is>
          <t>Лагеря включены</t>
        </is>
      </c>
      <c r="B241" s="308" t="inlineStr">
        <is>
          <t>Нет</t>
        </is>
      </c>
      <c r="C241" s="7" t="inlineStr">
        <is>
          <t>Да / Нет</t>
        </is>
      </c>
      <c r="D241" s="7" t="inlineStr">
        <is>
          <t>Ревизия / ТЗ</t>
        </is>
      </c>
      <c r="E241" s="17" t="inlineStr">
        <is>
          <t>Отключение лагеря обнуляет продажи, начисления и оплаты.</t>
        </is>
      </c>
    </row>
    <row r="242" outlineLevel="1" ht="44" customHeight="1">
      <c r="A242" s="2" t="inlineStr">
        <is>
          <t>Продажи с особым лагом маркетинга</t>
        </is>
      </c>
      <c r="B242" s="84" t="n">
        <v>46296</v>
      </c>
      <c r="C242" s="7" t="inlineStr">
        <is>
          <t>дата</t>
        </is>
      </c>
      <c r="D242" s="7" t="inlineStr">
        <is>
          <t>Ревизия / ТЗ</t>
        </is>
      </c>
      <c r="E242" s="17" t="inlineStr">
        <is>
          <t>Только октябрь 2026 оплачивается за 1 месяц.</t>
        </is>
      </c>
    </row>
    <row r="243" outlineLevel="1" ht="44" customHeight="1">
      <c r="A243" s="2" t="inlineStr">
        <is>
          <t>Особый лаг маркетинга</t>
        </is>
      </c>
      <c r="B243" s="309" t="n">
        <v>1</v>
      </c>
      <c r="C243" s="7" t="inlineStr">
        <is>
          <t>мес.</t>
        </is>
      </c>
      <c r="D243" s="7" t="inlineStr">
        <is>
          <t>Ревизия / ТЗ</t>
        </is>
      </c>
      <c r="E243" s="17" t="inlineStr">
        <is>
          <t>Для октября 2026; далее обычный лаг B27.</t>
        </is>
      </c>
    </row>
    <row r="244" outlineLevel="1" ht="44" customHeight="1">
      <c r="A244" s="2" t="inlineStr">
        <is>
          <t>Последняя дата старой ставки для продаж</t>
        </is>
      </c>
      <c r="B244" s="84" t="n">
        <v>46387</v>
      </c>
      <c r="C244" s="7" t="inlineStr">
        <is>
          <t>дата</t>
        </is>
      </c>
      <c r="D244" s="7" t="inlineStr">
        <is>
          <t>Ревизия / ТЗ</t>
        </is>
      </c>
      <c r="E244" s="17" t="inlineStr">
        <is>
          <t>6,5% по договорам до этой даты.</t>
        </is>
      </c>
    </row>
    <row r="245" outlineLevel="1" ht="44" customHeight="1">
      <c r="A245" s="2" t="inlineStr">
        <is>
          <t>Дата общей ставки роялти</t>
        </is>
      </c>
      <c r="B245" s="84" t="n">
        <v>47484</v>
      </c>
      <c r="C245" s="7" t="inlineStr">
        <is>
          <t>дата</t>
        </is>
      </c>
      <c r="D245" s="7" t="inlineStr">
        <is>
          <t>Ревизия / ТЗ</t>
        </is>
      </c>
      <c r="E245" s="17" t="inlineStr">
        <is>
          <t>С этой даты применяется B57 ко всем.</t>
        </is>
      </c>
    </row>
    <row r="246" outlineLevel="1" ht="44" customHeight="1">
      <c r="A246" s="2" t="inlineStr">
        <is>
          <t>Первая квартальная премия</t>
        </is>
      </c>
      <c r="B246" s="84" t="n">
        <v>46722</v>
      </c>
      <c r="C246" s="7" t="inlineStr">
        <is>
          <t>дата</t>
        </is>
      </c>
      <c r="D246" s="7" t="inlineStr">
        <is>
          <t>Ревизия / ТЗ</t>
        </is>
      </c>
      <c r="E246" s="17" t="inlineStr">
        <is>
          <t>За IV квартал 2027; далее март/июнь/сентябрь/декабрь.</t>
        </is>
      </c>
    </row>
    <row r="247" outlineLevel="1" ht="44" customHeight="1">
      <c r="A247" s="2" t="inlineStr">
        <is>
          <t>Выход офис-менеджера</t>
        </is>
      </c>
      <c r="B247" s="84" t="n">
        <v>46388</v>
      </c>
      <c r="C247" s="7" t="inlineStr">
        <is>
          <t>дата</t>
        </is>
      </c>
      <c r="D247" s="7" t="inlineStr">
        <is>
          <t>Ревизия / ТЗ</t>
        </is>
      </c>
      <c r="E247" s="17" t="inlineStr">
        <is>
          <t>70 тыс. net по B133.</t>
        </is>
      </c>
    </row>
    <row r="248" outlineLevel="1" ht="44" customHeight="1">
      <c r="A248" s="2" t="inlineStr">
        <is>
          <t>Выход SMM-специалиста</t>
        </is>
      </c>
      <c r="B248" s="84" t="n">
        <v>46631</v>
      </c>
      <c r="C248" s="7" t="inlineStr">
        <is>
          <t>дата</t>
        </is>
      </c>
      <c r="D248" s="7" t="inlineStr">
        <is>
          <t>Ревизия / ТЗ</t>
        </is>
      </c>
      <c r="E248" s="17" t="inlineStr">
        <is>
          <t>100 тыс. net по B134.</t>
        </is>
      </c>
    </row>
    <row r="249" outlineLevel="1" ht="44" customHeight="1">
      <c r="A249" s="2" t="inlineStr">
        <is>
          <t>Повышение оклада генерального директора</t>
        </is>
      </c>
      <c r="B249" s="84" t="n">
        <v>46753</v>
      </c>
      <c r="C249" s="7" t="inlineStr">
        <is>
          <t>дата</t>
        </is>
      </c>
      <c r="D249" s="7" t="inlineStr">
        <is>
          <t>Ревизия / ТЗ</t>
        </is>
      </c>
      <c r="E249" s="17" t="inlineStr">
        <is>
          <t>Повышение участвует в премии при Да у ГД.</t>
        </is>
      </c>
    </row>
    <row r="250" outlineLevel="1" ht="44" customHeight="1">
      <c r="A250" s="2" t="inlineStr">
        <is>
          <t>Повышение ежемесячной премии развития</t>
        </is>
      </c>
      <c r="B250" s="84" t="n">
        <v>46388</v>
      </c>
      <c r="C250" s="7" t="inlineStr">
        <is>
          <t>дата</t>
        </is>
      </c>
      <c r="D250" s="7" t="inlineStr">
        <is>
          <t>Ревизия / ТЗ</t>
        </is>
      </c>
      <c r="E250" s="17" t="inlineStr">
        <is>
          <t>С B123 на B124.</t>
        </is>
      </c>
    </row>
    <row r="251" outlineLevel="1" ht="44" customHeight="1">
      <c r="A251" s="2" t="inlineStr">
        <is>
          <t>Первая общая индексация окладов</t>
        </is>
      </c>
      <c r="B251" s="84" t="n">
        <v>46631</v>
      </c>
      <c r="C251" s="7" t="inlineStr">
        <is>
          <t>дата</t>
        </is>
      </c>
      <c r="D251" s="7" t="inlineStr">
        <is>
          <t>Ревизия / ТЗ</t>
        </is>
      </c>
      <c r="E251" s="17" t="inlineStr">
        <is>
          <t>Далее каждый сентябрь.</t>
        </is>
      </c>
    </row>
    <row r="252" outlineLevel="1" ht="44" customHeight="1">
      <c r="A252" s="2" t="inlineStr">
        <is>
          <t>Месяц проведения лагерей</t>
        </is>
      </c>
      <c r="B252" s="311" t="n">
        <v>6</v>
      </c>
      <c r="C252" s="7" t="inlineStr">
        <is>
          <t>1–12</t>
        </is>
      </c>
      <c r="D252" s="7" t="inlineStr">
        <is>
          <t>Ревизия / ТЗ</t>
        </is>
      </c>
      <c r="E252" s="17" t="inlineStr">
        <is>
          <t>Июнь по ТЗ.</t>
        </is>
      </c>
    </row>
    <row r="253" outlineLevel="1" ht="44" customHeight="1">
      <c r="A253" s="2" t="inlineStr">
        <is>
          <t>Первый месяц продаж лагерей</t>
        </is>
      </c>
      <c r="B253" s="311" t="n">
        <v>2</v>
      </c>
      <c r="C253" s="7" t="inlineStr">
        <is>
          <t>1–12</t>
        </is>
      </c>
      <c r="D253" s="7" t="inlineStr">
        <is>
          <t>Ревизия / ТЗ</t>
        </is>
      </c>
      <c r="E253" s="17" t="inlineStr">
        <is>
          <t>Февраль; равномерно до B254.</t>
        </is>
      </c>
    </row>
    <row r="254" outlineLevel="1" ht="44" customHeight="1">
      <c r="A254" s="2" t="inlineStr">
        <is>
          <t>Последний месяц продаж лагерей</t>
        </is>
      </c>
      <c r="B254" s="311" t="n">
        <v>5</v>
      </c>
      <c r="C254" s="7" t="inlineStr">
        <is>
          <t>1–12</t>
        </is>
      </c>
      <c r="D254" s="7" t="inlineStr">
        <is>
          <t>Ревизия / ТЗ</t>
        </is>
      </c>
      <c r="E254" s="17" t="inlineStr">
        <is>
          <t>Май включительно.</t>
        </is>
      </c>
    </row>
    <row r="255" outlineLevel="1" ht="44" customHeight="1">
      <c r="A255" s="2" t="inlineStr">
        <is>
          <t>Замена директора маркетинга</t>
        </is>
      </c>
      <c r="B255" s="84" t="n">
        <v>46296</v>
      </c>
      <c r="C255" s="7" t="inlineStr">
        <is>
          <t>дата</t>
        </is>
      </c>
      <c r="D255" s="7" t="inlineStr">
        <is>
          <t>Ревизия / ТЗ</t>
        </is>
      </c>
      <c r="E255" s="17" t="inlineStr">
        <is>
          <t>Разовая комиссия B121.</t>
        </is>
      </c>
    </row>
    <row r="256" outlineLevel="1" ht="44" customHeight="1">
      <c r="A256" s="2" t="inlineStr">
        <is>
          <t>Месяц резерва кадровой ротации</t>
        </is>
      </c>
      <c r="B256" s="311" t="n">
        <v>9</v>
      </c>
      <c r="C256" s="7" t="inlineStr">
        <is>
          <t>1–12</t>
        </is>
      </c>
      <c r="D256" s="7" t="inlineStr">
        <is>
          <t>Ревизия / ТЗ</t>
        </is>
      </c>
      <c r="E256" s="17" t="inlineStr">
        <is>
          <t>Раз в год; сумма B122.</t>
        </is>
      </c>
    </row>
    <row r="257" outlineLevel="1" ht="44" customHeight="1">
      <c r="A257" t="inlineStr">
        <is>
          <t>Номер выбранного драйвера</t>
        </is>
      </c>
      <c r="B257" s="312">
        <f>IF(B233=A198,1,IF(B233=A199,2,IF(B233=A200,3,IF(B233=A201,4,IF(B233=A202,5,6)))))</f>
        <v/>
      </c>
      <c r="E257" s="17" t="n"/>
    </row>
    <row r="258" outlineLevel="1" ht="44" customHeight="1">
      <c r="A258" t="inlineStr">
        <is>
          <t>Шаг выбранной чувствительности</t>
        </is>
      </c>
      <c r="B258" s="313">
        <f>INDEX(G198:G203,B257,1)</f>
        <v/>
      </c>
      <c r="E258" s="17" t="n"/>
    </row>
    <row r="259"/>
    <row r="260" ht="27" customHeight="1">
      <c r="A260" s="257" t="inlineStr">
        <is>
          <t>13. Тарифные группы — исходный микс, без усреднения роялти</t>
        </is>
      </c>
    </row>
    <row r="261" outlineLevel="1"/>
    <row r="262" outlineLevel="1" ht="32" customHeight="1">
      <c r="A262" s="87" t="inlineStr">
        <is>
          <t>Территория</t>
        </is>
      </c>
      <c r="B262" s="87" t="inlineStr">
        <is>
          <t>Формат</t>
        </is>
      </c>
      <c r="C262" s="87" t="inlineStr">
        <is>
          <t>Вес</t>
        </is>
      </c>
      <c r="D262" s="87" t="inlineStr">
        <is>
          <t>Паушальный, с НДС</t>
        </is>
      </c>
      <c r="E262" s="87" t="inlineStr">
        <is>
          <t>Дети 1–12</t>
        </is>
      </c>
      <c r="F262" s="87" t="inlineStr">
        <is>
          <t>Дети 13–24</t>
        </is>
      </c>
      <c r="G262" s="87" t="inlineStr">
        <is>
          <t>Дети зрелые</t>
        </is>
      </c>
      <c r="H262" s="87" t="inlineStr">
        <is>
          <t>Абонемент</t>
        </is>
      </c>
      <c r="I262" s="87" t="inlineStr">
        <is>
          <t>Минимум 1-й год</t>
        </is>
      </c>
      <c r="J262" s="87" t="inlineStr">
        <is>
          <t>Минимум 2-й+</t>
        </is>
      </c>
      <c r="K262" s="87" t="inlineStr">
        <is>
          <t>Источник</t>
        </is>
      </c>
    </row>
    <row r="263" outlineLevel="1" ht="34" customHeight="1">
      <c r="A263" s="17" t="inlineStr">
        <is>
          <t>Москва</t>
        </is>
      </c>
      <c r="B263" s="17" t="inlineStr">
        <is>
          <t>Детский сад</t>
        </is>
      </c>
      <c r="C263" s="108" t="n">
        <v>0.005000000000000001</v>
      </c>
      <c r="D263" s="109" t="n">
        <v>890000</v>
      </c>
      <c r="E263" s="110" t="n">
        <v>25</v>
      </c>
      <c r="F263" s="110" t="n">
        <v>37.5</v>
      </c>
      <c r="G263" s="110" t="n">
        <v>37.5</v>
      </c>
      <c r="H263" s="109" t="n">
        <v>6000</v>
      </c>
      <c r="I263" s="109" t="n">
        <v>20000</v>
      </c>
      <c r="J263" s="109" t="n">
        <v>35000</v>
      </c>
      <c r="K263" s="17" t="inlineStr">
        <is>
          <t>V5.1: Типы_продукта!A14:M14; Микс_продаж!B5; B14</t>
        </is>
      </c>
    </row>
    <row r="264" outlineLevel="1" ht="34" customHeight="1">
      <c r="A264" s="17" t="inlineStr">
        <is>
          <t>Москва</t>
        </is>
      </c>
      <c r="B264" s="17" t="inlineStr">
        <is>
          <t>Школа</t>
        </is>
      </c>
      <c r="C264" s="108" t="n">
        <v>0.02</v>
      </c>
      <c r="D264" s="109" t="n">
        <v>990000</v>
      </c>
      <c r="E264" s="110" t="n">
        <v>75</v>
      </c>
      <c r="F264" s="110" t="n">
        <v>112.5</v>
      </c>
      <c r="G264" s="110" t="n">
        <v>112.5</v>
      </c>
      <c r="H264" s="109" t="n">
        <v>10500</v>
      </c>
      <c r="I264" s="109" t="n">
        <v>20000</v>
      </c>
      <c r="J264" s="109" t="n">
        <v>90000</v>
      </c>
      <c r="K264" s="17" t="inlineStr">
        <is>
          <t>V5.1: Типы_продукта!A15:M15; Микс_продаж!B5; C14</t>
        </is>
      </c>
    </row>
    <row r="265" outlineLevel="1" ht="34" customHeight="1">
      <c r="A265" s="17" t="inlineStr">
        <is>
          <t>Москва</t>
        </is>
      </c>
      <c r="B265" s="17" t="inlineStr">
        <is>
          <t>ФОК/Стадион</t>
        </is>
      </c>
      <c r="C265" s="108" t="n">
        <v>0.05066666666666667</v>
      </c>
      <c r="D265" s="109" t="n">
        <v>1290000</v>
      </c>
      <c r="E265" s="110" t="n">
        <v>87.5</v>
      </c>
      <c r="F265" s="110" t="n">
        <v>187.5</v>
      </c>
      <c r="G265" s="110" t="n">
        <v>187.5</v>
      </c>
      <c r="H265" s="109" t="n">
        <v>11500</v>
      </c>
      <c r="I265" s="109" t="n">
        <v>20000</v>
      </c>
      <c r="J265" s="109" t="n">
        <v>55000</v>
      </c>
      <c r="K265" s="17" t="inlineStr">
        <is>
          <t>V5.1: Типы_продукта!A16:M16; Микс_продаж!B5; D14</t>
        </is>
      </c>
    </row>
    <row r="266" outlineLevel="1" ht="34" customHeight="1">
      <c r="A266" s="17" t="inlineStr">
        <is>
          <t>Москва</t>
        </is>
      </c>
      <c r="B266" s="17" t="inlineStr">
        <is>
          <t>Манеж</t>
        </is>
      </c>
      <c r="C266" s="108" t="n">
        <v>0.02433333333333333</v>
      </c>
      <c r="D266" s="109" t="n">
        <v>1490000</v>
      </c>
      <c r="E266" s="110" t="n">
        <v>87.5</v>
      </c>
      <c r="F266" s="110" t="n">
        <v>250</v>
      </c>
      <c r="G266" s="110" t="n">
        <v>250</v>
      </c>
      <c r="H266" s="109" t="n">
        <v>14000</v>
      </c>
      <c r="I266" s="109" t="n">
        <v>20000</v>
      </c>
      <c r="J266" s="109" t="n">
        <v>90000</v>
      </c>
      <c r="K266" s="17" t="inlineStr">
        <is>
          <t>V5.1: Типы_продукта!A17:M17; Микс_продаж!B5; E14</t>
        </is>
      </c>
    </row>
    <row r="267" outlineLevel="1" ht="34" customHeight="1">
      <c r="A267" s="17" t="inlineStr">
        <is>
          <t>1 000 000+ чел. + МО</t>
        </is>
      </c>
      <c r="B267" s="17" t="inlineStr">
        <is>
          <t>Детский сад</t>
        </is>
      </c>
      <c r="C267" s="108" t="n">
        <v>0.015</v>
      </c>
      <c r="D267" s="109" t="n">
        <v>690000</v>
      </c>
      <c r="E267" s="110" t="n">
        <v>18.75</v>
      </c>
      <c r="F267" s="110" t="n">
        <v>31.25</v>
      </c>
      <c r="G267" s="110" t="n">
        <v>31.25</v>
      </c>
      <c r="H267" s="109" t="n">
        <v>4200</v>
      </c>
      <c r="I267" s="109" t="n">
        <v>12000</v>
      </c>
      <c r="J267" s="109" t="n">
        <v>20000</v>
      </c>
      <c r="K267" s="17" t="inlineStr">
        <is>
          <t>V5.1: Типы_продукта!A18:M18; Микс_продаж!B6; B15</t>
        </is>
      </c>
    </row>
    <row r="268" outlineLevel="1" ht="34" customHeight="1">
      <c r="A268" s="17" t="inlineStr">
        <is>
          <t>1 000 000+ чел. + МО</t>
        </is>
      </c>
      <c r="B268" s="17" t="inlineStr">
        <is>
          <t>Школа</t>
        </is>
      </c>
      <c r="C268" s="108" t="n">
        <v>0.06</v>
      </c>
      <c r="D268" s="109" t="n">
        <v>890000</v>
      </c>
      <c r="E268" s="110" t="n">
        <v>75</v>
      </c>
      <c r="F268" s="110" t="n">
        <v>112.5</v>
      </c>
      <c r="G268" s="110" t="n">
        <v>112.5</v>
      </c>
      <c r="H268" s="109" t="n">
        <v>6750</v>
      </c>
      <c r="I268" s="109" t="n">
        <v>20000</v>
      </c>
      <c r="J268" s="109" t="n">
        <v>60000</v>
      </c>
      <c r="K268" s="17" t="inlineStr">
        <is>
          <t>V5.1: Типы_продукта!A19:M19; Микс_продаж!B6; C15</t>
        </is>
      </c>
    </row>
    <row r="269" outlineLevel="1" ht="34" customHeight="1">
      <c r="A269" s="17" t="inlineStr">
        <is>
          <t>1 000 000+ чел. + МО</t>
        </is>
      </c>
      <c r="B269" s="17" t="inlineStr">
        <is>
          <t>ФОК/Стадион</t>
        </is>
      </c>
      <c r="C269" s="108" t="n">
        <v>0.152</v>
      </c>
      <c r="D269" s="109" t="n">
        <v>1190000</v>
      </c>
      <c r="E269" s="110" t="n">
        <v>87.5</v>
      </c>
      <c r="F269" s="110" t="n">
        <v>187.5</v>
      </c>
      <c r="G269" s="110" t="n">
        <v>187.5</v>
      </c>
      <c r="H269" s="109" t="n">
        <v>7250</v>
      </c>
      <c r="I269" s="109" t="n">
        <v>20000</v>
      </c>
      <c r="J269" s="109" t="n">
        <v>35000</v>
      </c>
      <c r="K269" s="17" t="inlineStr">
        <is>
          <t>V5.1: Типы_продукта!A20:M20; Микс_продаж!B6; D15</t>
        </is>
      </c>
    </row>
    <row r="270" outlineLevel="1" ht="34" customHeight="1">
      <c r="A270" s="17" t="inlineStr">
        <is>
          <t>1 000 000+ чел. + МО</t>
        </is>
      </c>
      <c r="B270" s="17" t="inlineStr">
        <is>
          <t>Манеж</t>
        </is>
      </c>
      <c r="C270" s="108" t="n">
        <v>0.07299999999999998</v>
      </c>
      <c r="D270" s="109" t="n">
        <v>1290000</v>
      </c>
      <c r="E270" s="110" t="n">
        <v>87.5</v>
      </c>
      <c r="F270" s="110" t="n">
        <v>250</v>
      </c>
      <c r="G270" s="110" t="n">
        <v>250</v>
      </c>
      <c r="H270" s="109" t="n">
        <v>7250</v>
      </c>
      <c r="I270" s="109" t="n">
        <v>20000</v>
      </c>
      <c r="J270" s="109" t="n">
        <v>45000</v>
      </c>
      <c r="K270" s="17" t="inlineStr">
        <is>
          <t>V5.1: Типы_продукта!A21:M21; Микс_продаж!B6; E15</t>
        </is>
      </c>
    </row>
    <row r="271" outlineLevel="1" ht="34" customHeight="1">
      <c r="A271" s="17" t="inlineStr">
        <is>
          <t>от 500к до 1 млн чел.</t>
        </is>
      </c>
      <c r="B271" s="17" t="inlineStr">
        <is>
          <t>Детский сад</t>
        </is>
      </c>
      <c r="C271" s="108" t="n">
        <v>0.0125</v>
      </c>
      <c r="D271" s="109" t="n">
        <v>590000</v>
      </c>
      <c r="E271" s="110" t="n">
        <v>12.5</v>
      </c>
      <c r="F271" s="110" t="n">
        <v>25</v>
      </c>
      <c r="G271" s="110" t="n">
        <v>25</v>
      </c>
      <c r="H271" s="109" t="n">
        <v>3800</v>
      </c>
      <c r="I271" s="109" t="n">
        <v>7000</v>
      </c>
      <c r="J271" s="109" t="n">
        <v>14000</v>
      </c>
      <c r="K271" s="17" t="inlineStr">
        <is>
          <t>V5.1: Типы_продукта!A22:M22; Микс_продаж!B7; B16</t>
        </is>
      </c>
    </row>
    <row r="272" outlineLevel="1" ht="34" customHeight="1">
      <c r="A272" s="17" t="inlineStr">
        <is>
          <t>от 500к до 1 млн чел.</t>
        </is>
      </c>
      <c r="B272" s="17" t="inlineStr">
        <is>
          <t>Школа</t>
        </is>
      </c>
      <c r="C272" s="108" t="n">
        <v>0.05</v>
      </c>
      <c r="D272" s="109" t="n">
        <v>790000</v>
      </c>
      <c r="E272" s="110" t="n">
        <v>75</v>
      </c>
      <c r="F272" s="110" t="n">
        <v>112.5</v>
      </c>
      <c r="G272" s="110" t="n">
        <v>112.5</v>
      </c>
      <c r="H272" s="109" t="n">
        <v>4900</v>
      </c>
      <c r="I272" s="109" t="n">
        <v>20000</v>
      </c>
      <c r="J272" s="109" t="n">
        <v>45000</v>
      </c>
      <c r="K272" s="17" t="inlineStr">
        <is>
          <t>V5.1: Типы_продукта!A23:M23; Микс_продаж!B7; C16</t>
        </is>
      </c>
    </row>
    <row r="273" outlineLevel="1" ht="34" customHeight="1">
      <c r="A273" s="17" t="inlineStr">
        <is>
          <t>от 500к до 1 млн чел.</t>
        </is>
      </c>
      <c r="B273" s="17" t="inlineStr">
        <is>
          <t>ФОК/Стадион</t>
        </is>
      </c>
      <c r="C273" s="108" t="n">
        <v>0.1266666666666667</v>
      </c>
      <c r="D273" s="109" t="n">
        <v>890000</v>
      </c>
      <c r="E273" s="110" t="n">
        <v>87.5</v>
      </c>
      <c r="F273" s="110" t="n">
        <v>187.5</v>
      </c>
      <c r="G273" s="110" t="n">
        <v>187.5</v>
      </c>
      <c r="H273" s="109" t="n">
        <v>5750</v>
      </c>
      <c r="I273" s="109" t="n">
        <v>20000</v>
      </c>
      <c r="J273" s="109" t="n">
        <v>30000</v>
      </c>
      <c r="K273" s="17" t="inlineStr">
        <is>
          <t>V5.1: Типы_продукта!A24:M24; Микс_продаж!B7; D16</t>
        </is>
      </c>
    </row>
    <row r="274" outlineLevel="1" ht="34" customHeight="1">
      <c r="A274" s="17" t="inlineStr">
        <is>
          <t>от 500к до 1 млн чел.</t>
        </is>
      </c>
      <c r="B274" s="17" t="inlineStr">
        <is>
          <t>Манеж</t>
        </is>
      </c>
      <c r="C274" s="108" t="n">
        <v>0.06083333333333332</v>
      </c>
      <c r="D274" s="109" t="n">
        <v>990000</v>
      </c>
      <c r="E274" s="110" t="n">
        <v>87.5</v>
      </c>
      <c r="F274" s="110" t="n">
        <v>250</v>
      </c>
      <c r="G274" s="110" t="n">
        <v>250</v>
      </c>
      <c r="H274" s="109" t="n">
        <v>5750</v>
      </c>
      <c r="I274" s="109" t="n">
        <v>20000</v>
      </c>
      <c r="J274" s="109" t="n">
        <v>35000</v>
      </c>
      <c r="K274" s="17" t="inlineStr">
        <is>
          <t>V5.1: Типы_продукта!A25:M25; Микс_продаж!B7; E16</t>
        </is>
      </c>
    </row>
    <row r="275" outlineLevel="1" ht="34" customHeight="1">
      <c r="A275" s="17" t="inlineStr">
        <is>
          <t>от 100к до 500к чел.</t>
        </is>
      </c>
      <c r="B275" s="17" t="inlineStr">
        <is>
          <t>Детский сад</t>
        </is>
      </c>
      <c r="C275" s="108" t="n">
        <v>0.0125</v>
      </c>
      <c r="D275" s="109" t="n">
        <v>490000</v>
      </c>
      <c r="E275" s="110" t="n">
        <v>12.5</v>
      </c>
      <c r="F275" s="110" t="n">
        <v>25</v>
      </c>
      <c r="G275" s="110" t="n">
        <v>25</v>
      </c>
      <c r="H275" s="109" t="n">
        <v>3300</v>
      </c>
      <c r="I275" s="109" t="n">
        <v>6000</v>
      </c>
      <c r="J275" s="109" t="n">
        <v>12000</v>
      </c>
      <c r="K275" s="17" t="inlineStr">
        <is>
          <t>V5.1: Типы_продукта!A26:M26; Микс_продаж!B8; B17</t>
        </is>
      </c>
    </row>
    <row r="276" outlineLevel="1" ht="34" customHeight="1">
      <c r="A276" s="17" t="inlineStr">
        <is>
          <t>от 100к до 500к чел.</t>
        </is>
      </c>
      <c r="B276" s="17" t="inlineStr">
        <is>
          <t>Школа</t>
        </is>
      </c>
      <c r="C276" s="108" t="n">
        <v>0.05</v>
      </c>
      <c r="D276" s="109" t="n">
        <v>690000</v>
      </c>
      <c r="E276" s="110" t="n">
        <v>60</v>
      </c>
      <c r="F276" s="110" t="n">
        <v>90</v>
      </c>
      <c r="G276" s="110" t="n">
        <v>90</v>
      </c>
      <c r="H276" s="109" t="n">
        <v>4650</v>
      </c>
      <c r="I276" s="109" t="n">
        <v>20000</v>
      </c>
      <c r="J276" s="109" t="n">
        <v>30000</v>
      </c>
      <c r="K276" s="17" t="inlineStr">
        <is>
          <t>V5.1: Типы_продукта!A27:M27; Микс_продаж!B8; C17</t>
        </is>
      </c>
    </row>
    <row r="277" outlineLevel="1" ht="34" customHeight="1">
      <c r="A277" s="17" t="inlineStr">
        <is>
          <t>от 100к до 500к чел.</t>
        </is>
      </c>
      <c r="B277" s="17" t="inlineStr">
        <is>
          <t>ФОК/Стадион</t>
        </is>
      </c>
      <c r="C277" s="108" t="n">
        <v>0.1266666666666667</v>
      </c>
      <c r="D277" s="109" t="n">
        <v>790000</v>
      </c>
      <c r="E277" s="110" t="n">
        <v>70</v>
      </c>
      <c r="F277" s="110" t="n">
        <v>150</v>
      </c>
      <c r="G277" s="110" t="n">
        <v>150</v>
      </c>
      <c r="H277" s="109" t="n">
        <v>5750</v>
      </c>
      <c r="I277" s="109" t="n">
        <v>20000</v>
      </c>
      <c r="J277" s="109" t="n">
        <v>25000</v>
      </c>
      <c r="K277" s="17" t="inlineStr">
        <is>
          <t>V5.1: Типы_продукта!A28:M28; Микс_продаж!B8; D17</t>
        </is>
      </c>
    </row>
    <row r="278" outlineLevel="1" ht="34" customHeight="1">
      <c r="A278" s="17" t="inlineStr">
        <is>
          <t>от 100к до 500к чел.</t>
        </is>
      </c>
      <c r="B278" s="17" t="inlineStr">
        <is>
          <t>Манеж</t>
        </is>
      </c>
      <c r="C278" s="108" t="n">
        <v>0.06083333333333332</v>
      </c>
      <c r="D278" s="109" t="n">
        <v>890000</v>
      </c>
      <c r="E278" s="110" t="n">
        <v>70</v>
      </c>
      <c r="F278" s="110" t="n">
        <v>200</v>
      </c>
      <c r="G278" s="110" t="n">
        <v>200</v>
      </c>
      <c r="H278" s="109" t="n">
        <v>5750</v>
      </c>
      <c r="I278" s="109" t="n">
        <v>20000</v>
      </c>
      <c r="J278" s="109" t="n">
        <v>30000</v>
      </c>
      <c r="K278" s="17" t="inlineStr">
        <is>
          <t>V5.1: Типы_продукта!A29:M29; Микс_продаж!B8; E17</t>
        </is>
      </c>
    </row>
    <row r="279" outlineLevel="1" ht="34" customHeight="1">
      <c r="A279" s="17" t="inlineStr">
        <is>
          <t>до 100к чел.</t>
        </is>
      </c>
      <c r="B279" s="17" t="inlineStr">
        <is>
          <t>Детский сад</t>
        </is>
      </c>
      <c r="C279" s="108" t="n">
        <v>0.005000000000000001</v>
      </c>
      <c r="D279" s="109" t="n">
        <v>390000</v>
      </c>
      <c r="E279" s="110" t="n">
        <v>12.5</v>
      </c>
      <c r="F279" s="110" t="n">
        <v>18.75</v>
      </c>
      <c r="G279" s="110" t="n">
        <v>18.75</v>
      </c>
      <c r="H279" s="109" t="n">
        <v>3000</v>
      </c>
      <c r="I279" s="109" t="n">
        <v>5000</v>
      </c>
      <c r="J279" s="109" t="n">
        <v>8000</v>
      </c>
      <c r="K279" s="17" t="inlineStr">
        <is>
          <t>V5.1: Типы_продукта!A30:M30; Микс_продаж!B9; B18</t>
        </is>
      </c>
    </row>
    <row r="280" outlineLevel="1" ht="34" customHeight="1">
      <c r="A280" s="17" t="inlineStr">
        <is>
          <t>до 100к чел.</t>
        </is>
      </c>
      <c r="B280" s="17" t="inlineStr">
        <is>
          <t>Школа</t>
        </is>
      </c>
      <c r="C280" s="108" t="n">
        <v>0.02</v>
      </c>
      <c r="D280" s="109" t="n">
        <v>490000</v>
      </c>
      <c r="E280" s="110" t="n">
        <v>52.5</v>
      </c>
      <c r="F280" s="110" t="n">
        <v>78.75</v>
      </c>
      <c r="G280" s="110" t="n">
        <v>78.75</v>
      </c>
      <c r="H280" s="109" t="n">
        <v>4000</v>
      </c>
      <c r="I280" s="109" t="n">
        <v>20000</v>
      </c>
      <c r="J280" s="109" t="n">
        <v>25000</v>
      </c>
      <c r="K280" s="17" t="inlineStr">
        <is>
          <t>V5.1: Типы_продукта!A31:M31; Микс_продаж!B9; C18</t>
        </is>
      </c>
    </row>
    <row r="281" outlineLevel="1" ht="34" customHeight="1">
      <c r="A281" s="17" t="inlineStr">
        <is>
          <t>до 100к чел.</t>
        </is>
      </c>
      <c r="B281" s="17" t="inlineStr">
        <is>
          <t>ФОК/Стадион</t>
        </is>
      </c>
      <c r="C281" s="108" t="n">
        <v>0.05066666666666667</v>
      </c>
      <c r="D281" s="109" t="n">
        <v>590000</v>
      </c>
      <c r="E281" s="110" t="n">
        <v>62.5</v>
      </c>
      <c r="F281" s="110" t="n">
        <v>125</v>
      </c>
      <c r="G281" s="110" t="n">
        <v>125</v>
      </c>
      <c r="H281" s="109" t="n">
        <v>4500</v>
      </c>
      <c r="I281" s="109" t="n">
        <v>20000</v>
      </c>
      <c r="J281" s="109" t="n">
        <v>25000</v>
      </c>
      <c r="K281" s="17" t="inlineStr">
        <is>
          <t>V5.1: Типы_продукта!A32:M32; Микс_продаж!B9; D18</t>
        </is>
      </c>
    </row>
    <row r="282" outlineLevel="1" ht="34" customHeight="1">
      <c r="A282" s="17" t="inlineStr">
        <is>
          <t>до 100к чел.</t>
        </is>
      </c>
      <c r="B282" s="17" t="inlineStr">
        <is>
          <t>Манеж</t>
        </is>
      </c>
      <c r="C282" s="108" t="n">
        <v>0.02433333333333333</v>
      </c>
      <c r="D282" s="109" t="n">
        <v>690000</v>
      </c>
      <c r="E282" s="110" t="n">
        <v>62.5</v>
      </c>
      <c r="F282" s="110" t="n">
        <v>175</v>
      </c>
      <c r="G282" s="110" t="n">
        <v>175</v>
      </c>
      <c r="H282" s="109" t="n">
        <v>4500</v>
      </c>
      <c r="I282" s="109" t="n">
        <v>20000</v>
      </c>
      <c r="J282" s="109" t="n">
        <v>30000</v>
      </c>
      <c r="K282" s="17" t="inlineStr">
        <is>
          <t>V5.1: Типы_продукта!A33:M33; Микс_продаж!B9; E18</t>
        </is>
      </c>
    </row>
    <row r="283" outlineLevel="1">
      <c r="A283" t="inlineStr">
        <is>
          <t>Сумма весов</t>
        </is>
      </c>
      <c r="C283" s="313">
        <f>SUM(C263:C282)</f>
        <v/>
      </c>
    </row>
    <row r="284"/>
    <row r="285" ht="28" customHeight="1">
      <c r="A285" s="302" t="inlineStr">
        <is>
          <t>14. CAPEX — вложения в бизнес</t>
        </is>
      </c>
    </row>
    <row r="286" outlineLevel="1" ht="66" customHeight="1">
      <c r="A286" s="2" t="inlineStr">
        <is>
          <t>Поддерживающий CAPEX</t>
        </is>
      </c>
      <c r="B286" s="158" t="n">
        <v>0.01</v>
      </c>
      <c r="C286" s="7" t="inlineStr">
        <is>
          <t>%</t>
        </is>
      </c>
      <c r="D286" s="7" t="inlineStr">
        <is>
          <t>v4: Допущения!B42</t>
        </is>
      </c>
      <c r="E286" s="17" t="inlineStr">
        <is>
          <t>1% выручки с НДС — сохранено правило v4; база не заменена молча на чистую выручку.</t>
        </is>
      </c>
    </row>
    <row r="287" outlineLevel="1" ht="66" customHeight="1">
      <c r="A287" s="2" t="inlineStr">
        <is>
          <t>Разовый CAPEX</t>
        </is>
      </c>
      <c r="B287" s="159" t="n">
        <v>1000</v>
      </c>
      <c r="C287" s="7" t="inlineStr">
        <is>
          <t>₽</t>
        </is>
      </c>
      <c r="D287" s="7" t="inlineStr">
        <is>
          <t>v4: Допущения!B41</t>
        </is>
      </c>
      <c r="E287" s="17" t="inlineStr">
        <is>
          <t>Как в приложенной v4: 1 000 ₽ разово в первом месяце прогноза.</t>
        </is>
      </c>
    </row>
    <row r="288" outlineLevel="1" ht="66" customHeight="1">
      <c r="A288" s="2" t="inlineStr">
        <is>
          <t>База поддерживающего CAPEX</t>
        </is>
      </c>
      <c r="B288" s="314" t="inlineStr">
        <is>
          <t>С НДС</t>
        </is>
      </c>
      <c r="C288" s="7" t="inlineStr"/>
      <c r="D288" s="7" t="inlineStr">
        <is>
          <t>v4: Допущения!B41:B42</t>
        </is>
      </c>
      <c r="E288" s="17" t="inlineStr">
        <is>
          <t>По умолчанию С НДС, как в v4. Начисленная выручка всех направлений, не авансы.</t>
        </is>
      </c>
    </row>
    <row r="289" outlineLevel="1" ht="66" customHeight="1">
      <c r="A289" s="2" t="inlineStr">
        <is>
          <t>Дата разового CAPEX</t>
        </is>
      </c>
      <c r="B289" s="161">
        <f>$B$7</f>
        <v/>
      </c>
      <c r="C289" s="7" t="inlineStr"/>
      <c r="D289" s="7" t="inlineStr">
        <is>
          <t>v4: Допущения!B41:B42</t>
        </is>
      </c>
      <c r="E289" s="17" t="inlineStr">
        <is>
          <t>Первый месяц прогноза, как в v4. Дату можно изменить.</t>
        </is>
      </c>
    </row>
    <row r="290" outlineLevel="1" ht="66" customHeight="1">
      <c r="A290" s="2" t="inlineStr">
        <is>
          <t>CAPEX включён</t>
        </is>
      </c>
      <c r="B290" s="314" t="inlineStr">
        <is>
          <t>Да</t>
        </is>
      </c>
      <c r="C290" s="7" t="inlineStr"/>
      <c r="D290" s="7" t="inlineStr">
        <is>
          <t>v4: Допущения!B41:B42</t>
        </is>
      </c>
      <c r="E290" s="17" t="inlineStr">
        <is>
          <t>Да — CAPEX вычитается из денег до погашения займа. Нет — расчёт без CAPEX.</t>
        </is>
      </c>
    </row>
    <row r="291"/>
    <row r="292" ht="26" customHeight="1">
      <c r="A292" s="302" t="inlineStr">
        <is>
          <t>Постепенный набор, индексация и повтор формы</t>
        </is>
      </c>
    </row>
    <row r="293" outlineLevel="1" ht="62" customHeight="1">
      <c r="A293" s="17" t="inlineStr">
        <is>
          <t>Первая индексация цен / OPEX</t>
        </is>
      </c>
      <c r="B293" s="204" t="n">
        <v>46539</v>
      </c>
      <c r="C293" s="17" t="inlineStr">
        <is>
          <t>дата</t>
        </is>
      </c>
      <c r="D293" s="17" t="inlineStr">
        <is>
          <t>Подтверждено 09.09.2026</t>
        </is>
      </c>
      <c r="E293" s="17" t="inlineStr">
        <is>
          <t>Ежегодно в июне, как в v4; зарплаты отдельно в сентябре.</t>
        </is>
      </c>
    </row>
    <row r="294" outlineLevel="1" ht="90" customHeight="1">
      <c r="A294" s="17" t="inlineStr">
        <is>
          <t>Индексация вне ФОТ включена</t>
        </is>
      </c>
      <c r="B294" s="315" t="inlineStr">
        <is>
          <t>Да</t>
        </is>
      </c>
      <c r="C294" s="17" t="inlineStr">
        <is>
          <t>Да / Нет</t>
        </is>
      </c>
      <c r="D294" s="17" t="inlineStr">
        <is>
          <t>Подтверждено 09.09.2026</t>
        </is>
      </c>
      <c r="E294" s="17" t="inlineStr">
        <is>
          <t>Абонемент, паушальный, форма, ERP, IT, юристы, реклама, SMM-подрядчики, резерв ротации. Офис, мин. роялти, лагеря не меняются.</t>
        </is>
      </c>
    </row>
    <row r="295" outlineLevel="1" ht="75" customHeight="1">
      <c r="A295" s="17" t="inlineStr">
        <is>
          <t>Постепенный набор как в v4</t>
        </is>
      </c>
      <c r="B295" s="315" t="inlineStr">
        <is>
          <t>Да</t>
        </is>
      </c>
      <c r="C295" s="17" t="inlineStr">
        <is>
          <t>Да / Нет</t>
        </is>
      </c>
      <c r="D295" s="17" t="inlineStr">
        <is>
          <t>Подтверждено 09.09.2026</t>
        </is>
      </c>
      <c r="E295" s="17" t="inlineStr">
        <is>
          <t>Месяцы 1–12: постепенный выход на план первого года; 13–24: плавный выход на план второго. Нет — расчёт без плавного набора.</t>
        </is>
      </c>
    </row>
    <row r="296" outlineLevel="1" ht="75" customHeight="1">
      <c r="A296" s="17" t="inlineStr">
        <is>
          <t>Первый повторный заказ</t>
        </is>
      </c>
      <c r="B296" s="315" t="inlineStr">
        <is>
          <t>Новый сезон</t>
        </is>
      </c>
      <c r="C296" s="17" t="inlineStr">
        <is>
          <t>правило</t>
        </is>
      </c>
      <c r="D296" s="17" t="inlineStr">
        <is>
          <t>Подтверждено 09.09.2026</t>
        </is>
      </c>
      <c r="E296" s="17" t="inlineStr">
        <is>
          <t>С следующего сентября, но не раньше завершения трех первичных поставок. Без ожидания 12 месяцев.</t>
        </is>
      </c>
    </row>
    <row r="297" outlineLevel="1" ht="62" customHeight="1">
      <c r="A297" s="17" t="inlineStr">
        <is>
          <t>Каникулы по роялти</t>
        </is>
      </c>
      <c r="B297" s="316" t="n">
        <v>0</v>
      </c>
      <c r="C297" s="17" t="inlineStr">
        <is>
          <t>мес.</t>
        </is>
      </c>
      <c r="D297" s="17" t="inlineStr">
        <is>
          <t>Параметр; по умолчанию 0</t>
        </is>
      </c>
      <c r="E297" s="17">
        <f>IF($B$297=0,"По умолчанию 0. Поставьте число месяцев — роялти не начисляется столько месяцев с открытия школы","Роялти не начисляется первые "&amp;$B$297&amp;" мес. с открытия школы")</f>
        <v/>
      </c>
    </row>
    <row r="298" outlineLevel="1" ht="62" customHeight="1">
      <c r="A298" s="17" t="inlineStr">
        <is>
          <t>Конверсия продажа - открытие</t>
        </is>
      </c>
      <c r="B298" s="317" t="n">
        <v>1</v>
      </c>
      <c r="C298" s="17" t="inlineStr">
        <is>
          <t>%</t>
        </is>
      </c>
      <c r="D298" s="17" t="inlineStr">
        <is>
          <t>Параметр; по умолчанию 100%</t>
        </is>
      </c>
      <c r="E298" s="17">
        <f>IF($B$298=1,"По умолчанию 100%: каждая оплаченная продажа доходит до открытия. Поставьте меньше, если часть продаж не открывается","Из продаж открывается "&amp;TEXT($B$298,"0%")&amp;"; остальные не доходят до школы")</f>
        <v/>
      </c>
    </row>
    <row r="299"/>
    <row r="300" ht="26" customHeight="1">
      <c r="A300" s="302" t="inlineStr">
        <is>
          <t>Инфляция по годам</t>
        </is>
      </c>
    </row>
    <row r="301" outlineLevel="1">
      <c r="A301" t="n">
        <v>2026</v>
      </c>
      <c r="B301" s="184" t="n">
        <v>0.07000000000000001</v>
      </c>
      <c r="D301" t="inlineStr">
        <is>
          <t>v4 / ежегодный план</t>
        </is>
      </c>
    </row>
    <row r="302" outlineLevel="1">
      <c r="A302" t="n">
        <v>2027</v>
      </c>
      <c r="B302" s="184" t="n">
        <v>0.07000000000000001</v>
      </c>
      <c r="D302" t="inlineStr">
        <is>
          <t>v4 / ежегодный план</t>
        </is>
      </c>
    </row>
    <row r="303" outlineLevel="1">
      <c r="A303" t="n">
        <v>2028</v>
      </c>
      <c r="B303" s="184" t="n">
        <v>0.07000000000000001</v>
      </c>
      <c r="D303" t="inlineStr">
        <is>
          <t>v4 / ежегодный план</t>
        </is>
      </c>
    </row>
    <row r="304" outlineLevel="1">
      <c r="A304" t="n">
        <v>2029</v>
      </c>
      <c r="B304" s="184" t="n">
        <v>0.07000000000000001</v>
      </c>
      <c r="D304" t="inlineStr">
        <is>
          <t>v4 / ежегодный план</t>
        </is>
      </c>
    </row>
    <row r="305" outlineLevel="1">
      <c r="A305" t="n">
        <v>2030</v>
      </c>
      <c r="B305" s="184" t="n">
        <v>0.07000000000000001</v>
      </c>
      <c r="D305" t="inlineStr">
        <is>
          <t>v4 / ежегодный план</t>
        </is>
      </c>
    </row>
    <row r="306" outlineLevel="1">
      <c r="A306" t="n">
        <v>2031</v>
      </c>
      <c r="B306" s="184" t="n">
        <v>0.07000000000000001</v>
      </c>
      <c r="D306" t="inlineStr">
        <is>
          <t>v4 / ежегодный план</t>
        </is>
      </c>
    </row>
    <row r="307" outlineLevel="1">
      <c r="A307" t="n">
        <v>2032</v>
      </c>
      <c r="B307" s="184" t="n">
        <v>0.07000000000000001</v>
      </c>
      <c r="D307" t="inlineStr">
        <is>
          <t>v4 / ежегодный план</t>
        </is>
      </c>
    </row>
    <row r="308"/>
    <row r="309">
      <c r="A309" s="318" t="inlineStr">
        <is>
          <t>15. Уточнения после ревизии 11.09.2026</t>
        </is>
      </c>
    </row>
    <row r="310">
      <c r="A310" t="inlineStr">
        <is>
          <t>Минимальный запас для возврата займа</t>
        </is>
      </c>
      <c r="B310" s="319" t="n">
        <v>4</v>
      </c>
      <c r="C310" t="inlineStr">
        <is>
          <t>мес. будущих продаж</t>
        </is>
      </c>
      <c r="D310" t="inlineStr">
        <is>
          <t>Согласовано 11.09.2026</t>
        </is>
      </c>
      <c r="E310" t="inlineStr">
        <is>
          <t>Займ возвращаем, только если на складе остаётся запас на столько месяцев вперёд. Отдельно от целевого запаса закупки в B80, хотя сейчас значения совпадают: при шести месяцах порог недостижим и займ не гасится.</t>
        </is>
      </c>
    </row>
    <row r="311">
      <c r="A311" t="inlineStr">
        <is>
          <t>Лаг открытия следующих школ партнёра</t>
        </is>
      </c>
      <c r="B311" t="n">
        <v>3</v>
      </c>
      <c r="C311" t="inlineStr">
        <is>
          <t>мес.</t>
        </is>
      </c>
      <c r="D311" t="inlineStr">
        <is>
          <t>Рабочее — подтвердить</t>
        </is>
      </c>
      <c r="E311" t="inlineStr">
        <is>
          <t>Первую школу партнёр открывает через лаг B15. Остальные (B22 минус одна) — через столько месяцев после первой. Ноль означает возврат к прежнему «все школы разом».</t>
        </is>
      </c>
    </row>
    <row r="312">
      <c r="A312" t="inlineStr">
        <is>
          <t>16. Роялти действующей сети — группы точек начисления</t>
        </is>
      </c>
    </row>
    <row r="313">
      <c r="A313" t="inlineStr">
        <is>
          <t>Группа точек начисления</t>
        </is>
      </c>
      <c r="B313" t="inlineStr">
        <is>
          <t>Точек на старте</t>
        </is>
      </c>
      <c r="C313" t="inlineStr">
        <is>
          <t>Доля выручки сети</t>
        </is>
      </c>
      <c r="D313" t="inlineStr">
        <is>
          <t>Средний фикс</t>
        </is>
      </c>
      <c r="E313" t="inlineStr">
        <is>
          <t>Ставка роялти</t>
        </is>
      </c>
      <c r="F313" t="inlineStr">
        <is>
          <t>Источник</t>
        </is>
      </c>
    </row>
    <row r="314">
      <c r="A314" t="inlineStr">
        <is>
          <t>Крупные — платят процент</t>
        </is>
      </c>
      <c r="B314" t="n">
        <v>10</v>
      </c>
      <c r="C314" s="320" t="n">
        <v>0.555592</v>
      </c>
      <c r="D314" s="321" t="n">
        <v>13560</v>
      </c>
      <c r="E314" s="320" t="n">
        <v>0.065</v>
      </c>
      <c r="F314" t="inlineStr">
        <is>
          <t>Реестр начислений, август 2026</t>
        </is>
      </c>
    </row>
    <row r="315">
      <c r="A315" t="inlineStr">
        <is>
          <t>Льготная ставка</t>
        </is>
      </c>
      <c r="B315" t="n">
        <v>5</v>
      </c>
      <c r="C315" s="320" t="n">
        <v>0.29611</v>
      </c>
      <c r="D315" s="321" t="n">
        <v>9000</v>
      </c>
      <c r="E315" s="320" t="n">
        <v>0.0325</v>
      </c>
      <c r="F315" t="inlineStr">
        <is>
          <t>Реестр начислений, август 2026</t>
        </is>
      </c>
    </row>
    <row r="316">
      <c r="A316" t="inlineStr">
        <is>
          <t>Средние — у порога фикса</t>
        </is>
      </c>
      <c r="B316" t="n">
        <v>16</v>
      </c>
      <c r="C316" s="320" t="n">
        <v>0.09134100000000001</v>
      </c>
      <c r="D316" s="321" t="n">
        <v>19138</v>
      </c>
      <c r="E316" s="320" t="n">
        <v>0.065</v>
      </c>
      <c r="F316" t="inlineStr">
        <is>
          <t>Реестр начислений, август 2026</t>
        </is>
      </c>
    </row>
    <row r="317">
      <c r="A317" t="inlineStr">
        <is>
          <t>Мелкие — платят фикс</t>
        </is>
      </c>
      <c r="B317" t="n">
        <v>15</v>
      </c>
      <c r="C317" s="320" t="n">
        <v>0.033143</v>
      </c>
      <c r="D317" s="321" t="n">
        <v>20067</v>
      </c>
      <c r="E317" s="320" t="n">
        <v>0.065</v>
      </c>
      <c r="F317" t="inlineStr">
        <is>
          <t>Реестр начислений, август 2026</t>
        </is>
      </c>
    </row>
    <row r="318">
      <c r="A318" t="inlineStr">
        <is>
          <t>Только фикс, без процента</t>
        </is>
      </c>
      <c r="B318" t="n">
        <v>2</v>
      </c>
      <c r="C318" s="320" t="n">
        <v>0.023814</v>
      </c>
      <c r="D318" s="321" t="n">
        <v>20000</v>
      </c>
      <c r="E318" s="320" t="n">
        <v>0</v>
      </c>
      <c r="F318" t="inlineStr">
        <is>
          <t>Реестр начислений, август 2026</t>
        </is>
      </c>
    </row>
    <row r="319">
      <c r="A319" t="inlineStr">
        <is>
          <t>Итого</t>
        </is>
      </c>
      <c r="B319">
        <f>SUM(B314:B318)</f>
        <v/>
      </c>
      <c r="C319" s="320">
        <f>SUM(C314:C318)</f>
        <v/>
      </c>
      <c r="F319" t="inlineStr">
        <is>
          <t>Доли должны давать 100%: это разложение выручки сети, а не отдельные источники</t>
        </is>
      </c>
    </row>
    <row r="320"/>
    <row r="321">
      <c r="A321" t="inlineStr">
        <is>
          <t>17. История: сезон 25/26 — что известно из факта</t>
        </is>
      </c>
    </row>
    <row r="322">
      <c r="A322" t="inlineStr">
        <is>
          <t>Учитывать сезон 25/26</t>
        </is>
      </c>
      <c r="B322" t="inlineStr">
        <is>
          <t>Нет</t>
        </is>
      </c>
      <c r="C322" t="inlineStr">
        <is>
          <t>Да / Нет</t>
        </is>
      </c>
      <c r="D322" t="inlineStr">
        <is>
          <t>Решение владельца</t>
        </is>
      </c>
      <c r="E322" t="inlineStr">
        <is>
          <t>«Да» добавляет на дашборд колонку сезона 25/26 и итог за шесть сезонов. Прогноз при этом не меняется: сезон 25/26 не считается, а вводится числами. Часть строк — оценка по двум месяцам P&amp;L, статус у каждой строки свой.</t>
        </is>
      </c>
    </row>
    <row r="323">
      <c r="A323" t="inlineStr">
        <is>
          <t>Показатель</t>
        </is>
      </c>
      <c r="B323" t="inlineStr">
        <is>
          <t>Значение</t>
        </is>
      </c>
      <c r="C323" t="inlineStr">
        <is>
          <t>Ед.</t>
        </is>
      </c>
      <c r="D323" t="inlineStr">
        <is>
          <t>Статус</t>
        </is>
      </c>
      <c r="E323" t="inlineStr">
        <is>
          <t>Откуда взято</t>
        </is>
      </c>
    </row>
    <row r="324">
      <c r="A324" t="inlineStr">
        <is>
          <t>Паушальные взносы</t>
        </is>
      </c>
      <c r="B324" s="321" t="n">
        <v>0</v>
      </c>
      <c r="C324" t="inlineStr">
        <is>
          <t>₽</t>
        </is>
      </c>
      <c r="D324" t="inlineStr">
        <is>
          <t>Нет в отчётах</t>
        </is>
      </c>
      <c r="E324" t="inlineStr">
        <is>
          <t>В P&amp;L июня и июля строки паушальных нет: продаж франшиз в эти месяцы не было.</t>
        </is>
      </c>
    </row>
    <row r="325">
      <c r="A325" t="inlineStr">
        <is>
          <t>Роялти</t>
        </is>
      </c>
      <c r="B325" s="321" t="n">
        <v>30372832</v>
      </c>
      <c r="C325" t="inlineStr">
        <is>
          <t>₽</t>
        </is>
      </c>
      <c r="D325" t="inlineStr">
        <is>
          <t>Оценка: 2 мес. P&amp;L x 11</t>
        </is>
      </c>
      <c r="E325" t="inlineStr">
        <is>
          <t>P&amp;L считает роялти иначе, чем реестр начислений: в июне на 12 % больше, в июле на 46 %. Реестр за 11 месяцев даёт 24 779 011 ₽ с НДС — он полный и помесячный, но это другая база.</t>
        </is>
      </c>
    </row>
    <row r="326">
      <c r="A326" t="inlineStr">
        <is>
          <t>Мерч</t>
        </is>
      </c>
      <c r="B326" s="321" t="n">
        <v>7467086</v>
      </c>
      <c r="C326" t="inlineStr">
        <is>
          <t>₽</t>
        </is>
      </c>
      <c r="D326" t="inlineStr">
        <is>
          <t>Оценка: 2 мес. P&amp;L x 11</t>
        </is>
      </c>
      <c r="E326" t="inlineStr">
        <is>
          <t>«Спортивная форма» отчёта. Июнь 1 290 902, июль 66 750 — разброс большой, оценка по двум месяцам грубая.</t>
        </is>
      </c>
    </row>
    <row r="327">
      <c r="A327" t="inlineStr">
        <is>
          <t>Выручка без НДС</t>
        </is>
      </c>
      <c r="B327" s="321" t="n">
        <v>37839918</v>
      </c>
      <c r="C327" t="inlineStr">
        <is>
          <t>₽</t>
        </is>
      </c>
      <c r="D327" t="inlineStr">
        <is>
          <t>Оценка: 2 мес. P&amp;L x 11</t>
        </is>
      </c>
      <c r="E327" t="inlineStr">
        <is>
          <t>Роялти плюс мерч.</t>
        </is>
      </c>
    </row>
    <row r="328">
      <c r="A328" t="inlineStr">
        <is>
          <t>Прямые расходы</t>
        </is>
      </c>
      <c r="B328" s="321" t="n">
        <v>8440970</v>
      </c>
      <c r="C328" t="inlineStr">
        <is>
          <t>₽</t>
        </is>
      </c>
      <c r="D328" t="inlineStr">
        <is>
          <t>Оценка: 2 мес. P&amp;L x 11</t>
        </is>
      </c>
      <c r="E328" t="inlineStr">
        <is>
          <t>Себестоимость формы плюс выплаты клубу («коммерческие расходы» отчёта).</t>
        </is>
      </c>
    </row>
    <row r="329">
      <c r="A329" t="inlineStr">
        <is>
          <t>Валовая прибыль</t>
        </is>
      </c>
      <c r="B329" s="321" t="n">
        <v>29398948</v>
      </c>
      <c r="C329" t="inlineStr">
        <is>
          <t>₽ ±</t>
        </is>
      </c>
      <c r="D329" t="inlineStr">
        <is>
          <t>Оценка: 2 мес. P&amp;L x 11</t>
        </is>
      </c>
      <c r="E329" t="inlineStr">
        <is>
          <t>Выручка минус прямые расходы — как в БДР модели, а не как в строке 03 отчёта: там выплаты клубу ещё не вычтены.</t>
        </is>
      </c>
    </row>
    <row r="330">
      <c r="A330" t="inlineStr">
        <is>
          <t>ФОТ и кадровые расходы</t>
        </is>
      </c>
      <c r="B330" s="321" t="n">
        <v>44964860</v>
      </c>
      <c r="C330" t="inlineStr">
        <is>
          <t>₽</t>
        </is>
      </c>
      <c r="D330" t="inlineStr">
        <is>
          <t>Оценка: 2 мес. P&amp;L x 11</t>
        </is>
      </c>
      <c r="E330" t="inlineStr">
        <is>
          <t>Оплата труда, страховые взносы и взносы в ФСС от НС и ПЗ.</t>
        </is>
      </c>
    </row>
    <row r="331">
      <c r="A331" t="inlineStr">
        <is>
          <t>OPEX — прочие</t>
        </is>
      </c>
      <c r="B331" s="321" t="n">
        <v>11941017</v>
      </c>
      <c r="C331" t="inlineStr">
        <is>
          <t>₽</t>
        </is>
      </c>
      <c r="D331" t="inlineStr">
        <is>
          <t>Оценка: 2 мес. P&amp;L x 11</t>
        </is>
      </c>
      <c r="E331" t="inlineStr">
        <is>
          <t>Административные расходы за вычетом ФОТ: аренда, CRM, ПО, реклама, связь, уборка.</t>
        </is>
      </c>
    </row>
    <row r="332">
      <c r="A332" t="inlineStr">
        <is>
          <t>EBITDA</t>
        </is>
      </c>
      <c r="B332" s="321" t="n">
        <v>-27569953</v>
      </c>
      <c r="C332" t="inlineStr">
        <is>
          <t>₽ ±</t>
        </is>
      </c>
      <c r="D332" t="inlineStr">
        <is>
          <t>Оценка: 2 мес. P&amp;L x 11</t>
        </is>
      </c>
      <c r="E332" t="inlineStr">
        <is>
          <t>Административные расходы около 5,2 млн в месяц против выручки 3,1–3,7 млн: сезон закрыт убытком.</t>
        </is>
      </c>
    </row>
    <row r="333">
      <c r="A333" t="inlineStr">
        <is>
          <t>УСН / минимальный налог</t>
        </is>
      </c>
      <c r="B333" s="321" t="n">
        <v>0</v>
      </c>
      <c r="C333" t="inlineStr">
        <is>
          <t>₽</t>
        </is>
      </c>
      <c r="D333" t="inlineStr">
        <is>
          <t>Нет в отчётах</t>
        </is>
      </c>
      <c r="E333" t="inlineStr">
        <is>
          <t>При убытке налог не начисляется.</t>
        </is>
      </c>
    </row>
    <row r="334">
      <c r="A334" t="inlineStr">
        <is>
          <t>Прибыль после налога</t>
        </is>
      </c>
      <c r="B334" s="321" t="n">
        <v>-27569953</v>
      </c>
      <c r="C334" t="inlineStr">
        <is>
          <t>₽ ±</t>
        </is>
      </c>
      <c r="D334" t="inlineStr">
        <is>
          <t>Оценка: 2 мес. P&amp;L x 11</t>
        </is>
      </c>
      <c r="E334" t="inlineStr">
        <is>
          <t>В отчёте чистая прибыль равна EBITDA: амортизации нет.</t>
        </is>
      </c>
    </row>
    <row r="335">
      <c r="A335" t="inlineStr">
        <is>
          <t>Денежный поток за сезон</t>
        </is>
      </c>
      <c r="B335" s="321" t="n">
        <v>0</v>
      </c>
      <c r="C335" t="inlineStr">
        <is>
          <t>₽ ±</t>
        </is>
      </c>
      <c r="D335" t="inlineStr">
        <is>
          <t>Нет данных</t>
        </is>
      </c>
      <c r="E335" t="inlineStr">
        <is>
          <t>ДДС передан только за 01.01–02.07.2026 и в PDF. Заполнить, когда появится отчёт за сезон целиком.</t>
        </is>
      </c>
    </row>
    <row r="336">
      <c r="A336" t="inlineStr">
        <is>
          <t>Деньги на конец сезона</t>
        </is>
      </c>
      <c r="B336" s="321" t="n">
        <v>187878</v>
      </c>
      <c r="C336" t="inlineStr">
        <is>
          <t>₽ ±</t>
        </is>
      </c>
      <c r="D336" t="inlineStr">
        <is>
          <t>ДДС на 02.07.2026</t>
        </is>
      </c>
      <c r="E336" t="inlineStr">
        <is>
          <t>Тот же остаток, с которого стартует прогноз (B17).</t>
        </is>
      </c>
    </row>
    <row r="337">
      <c r="A337" t="inlineStr">
        <is>
          <t>Школы на конец сезона</t>
        </is>
      </c>
      <c r="B337" s="321" t="n">
        <v>104</v>
      </c>
      <c r="C337" t="inlineStr">
        <is>
          <t>шт.</t>
        </is>
      </c>
      <c r="D337" t="inlineStr">
        <is>
          <t>Реестр сети 21.08.2026</t>
        </is>
      </c>
      <c r="E337" t="inlineStr"/>
    </row>
    <row r="338">
      <c r="A338" t="inlineStr">
        <is>
          <t>Партнёры на конец сезона</t>
        </is>
      </c>
      <c r="B338" s="321" t="n">
        <v>51</v>
      </c>
      <c r="C338" t="inlineStr">
        <is>
          <t>шт.</t>
        </is>
      </c>
      <c r="D338" t="inlineStr">
        <is>
          <t>Реестр сети 21.08.2026</t>
        </is>
      </c>
      <c r="E338" t="inlineStr">
        <is>
          <t>48 подписали ДКК, 3 в переговорах.</t>
        </is>
      </c>
    </row>
    <row r="339">
      <c r="A339" t="inlineStr">
        <is>
          <t>Дети на конец сезона</t>
        </is>
      </c>
      <c r="B339" s="321" t="n">
        <v>3808</v>
      </c>
      <c r="C339" t="inlineStr">
        <is>
          <t>чел.</t>
        </is>
      </c>
      <c r="D339" t="inlineStr">
        <is>
          <t>Реестр: август 2026</t>
        </is>
      </c>
      <c r="E339" t="inlineStr">
        <is>
          <t>Проданных абонементов в августе 2026. Абонемент не равен ребёнку: часть из них многомесячные.</t>
        </is>
      </c>
    </row>
    <row r="340"/>
    <row r="341">
      <c r="A341" t="inlineStr">
        <is>
          <t>Реестр начислений помесячно — оборот сети и роялти</t>
        </is>
      </c>
    </row>
    <row r="342">
      <c r="A342" t="inlineStr">
        <is>
          <t>Месяц</t>
        </is>
      </c>
      <c r="B342" t="inlineStr">
        <is>
          <t>Оборот сети, ₽</t>
        </is>
      </c>
      <c r="C342" t="inlineStr">
        <is>
          <t>Роялти начислено, ₽</t>
        </is>
      </c>
    </row>
    <row r="343">
      <c r="A343" s="322" t="n">
        <v>45931</v>
      </c>
      <c r="B343" s="321" t="n">
        <v>23763743</v>
      </c>
      <c r="C343" s="321" t="n">
        <v>1721989</v>
      </c>
    </row>
    <row r="344">
      <c r="A344" s="322" t="n">
        <v>45962</v>
      </c>
      <c r="B344" s="321" t="n">
        <v>28003516</v>
      </c>
      <c r="C344" s="321" t="n">
        <v>1926571</v>
      </c>
    </row>
    <row r="345">
      <c r="A345" s="322" t="n">
        <v>45992</v>
      </c>
      <c r="B345" s="321" t="n">
        <v>30210358</v>
      </c>
      <c r="C345" s="321" t="n">
        <v>1920426</v>
      </c>
    </row>
    <row r="346">
      <c r="A346" s="322" t="n">
        <v>46023</v>
      </c>
      <c r="B346" s="321" t="n">
        <v>32411412</v>
      </c>
      <c r="C346" s="321" t="n">
        <v>2109980</v>
      </c>
    </row>
    <row r="347">
      <c r="A347" s="322" t="n">
        <v>46054</v>
      </c>
      <c r="B347" s="321" t="n">
        <v>36606090</v>
      </c>
      <c r="C347" s="321" t="n">
        <v>2276950</v>
      </c>
    </row>
    <row r="348">
      <c r="A348" s="322" t="n">
        <v>46082</v>
      </c>
      <c r="B348" s="321" t="n">
        <v>44107279</v>
      </c>
      <c r="C348" s="321" t="n">
        <v>2617615</v>
      </c>
    </row>
    <row r="349">
      <c r="A349" s="322" t="n">
        <v>46113</v>
      </c>
      <c r="B349" s="321" t="n">
        <v>41035864</v>
      </c>
      <c r="C349" s="321" t="n">
        <v>2472905</v>
      </c>
    </row>
    <row r="350">
      <c r="A350" s="322" t="n">
        <v>46143</v>
      </c>
      <c r="B350" s="321" t="n">
        <v>42817500</v>
      </c>
      <c r="C350" s="321" t="n">
        <v>2749786</v>
      </c>
    </row>
    <row r="351">
      <c r="A351" s="322" t="n">
        <v>46174</v>
      </c>
      <c r="B351" s="321" t="n">
        <v>31522552</v>
      </c>
      <c r="C351" s="321" t="n">
        <v>2183764</v>
      </c>
    </row>
    <row r="352">
      <c r="A352" s="322" t="n">
        <v>46204</v>
      </c>
      <c r="B352" s="321" t="n">
        <v>26948036</v>
      </c>
      <c r="C352" s="321" t="n">
        <v>2097917</v>
      </c>
    </row>
    <row r="353">
      <c r="A353" s="322" t="n">
        <v>46235</v>
      </c>
      <c r="B353" s="321" t="n">
        <v>44849008</v>
      </c>
      <c r="C353" s="321" t="n">
        <v>2701108</v>
      </c>
    </row>
    <row r="354">
      <c r="A354" t="inlineStr">
        <is>
          <t>Итого за 11 месяцев</t>
        </is>
      </c>
      <c r="B354" s="321">
        <f>SUM(B343:B353)</f>
        <v/>
      </c>
      <c r="C354" s="321">
        <f>SUM(C343:C353)</f>
        <v/>
      </c>
      <c r="E354" t="inlineStr">
        <is>
          <t>Сентябрь 2025 в переданном реестре отсутствует, поэтому месяцев одиннадцать, а не двенадцать.</t>
        </is>
      </c>
    </row>
    <row r="355"/>
    <row r="356">
      <c r="A356" t="inlineStr">
        <is>
          <t>P&amp;L управляющей компании — месяцы, по которым есть отчёт</t>
        </is>
      </c>
    </row>
    <row r="357">
      <c r="A357" t="inlineStr">
        <is>
          <t>Статья</t>
        </is>
      </c>
      <c r="B357" t="inlineStr">
        <is>
          <t>Июнь 2026</t>
        </is>
      </c>
      <c r="C357" t="inlineStr">
        <is>
          <t>Июль 2026</t>
        </is>
      </c>
    </row>
    <row r="358">
      <c r="A358" t="inlineStr">
        <is>
          <t>P&amp;L: Роялти</t>
        </is>
      </c>
      <c r="B358" s="321" t="n">
        <v>2452155</v>
      </c>
      <c r="C358" s="321" t="n">
        <v>3070178</v>
      </c>
    </row>
    <row r="359">
      <c r="A359" t="inlineStr">
        <is>
          <t>P&amp;L: Мерч (спортивная форма)</t>
        </is>
      </c>
      <c r="B359" s="321" t="n">
        <v>1290902</v>
      </c>
      <c r="C359" s="321" t="n">
        <v>66750</v>
      </c>
    </row>
    <row r="360">
      <c r="A360" t="inlineStr">
        <is>
          <t>P&amp;L: Себестоимость формы</t>
        </is>
      </c>
      <c r="B360" s="321" t="n">
        <v>735974</v>
      </c>
      <c r="C360" s="321" t="n">
        <v>44505</v>
      </c>
    </row>
    <row r="361">
      <c r="A361" t="inlineStr">
        <is>
          <t>P&amp;L: Выплаты клубу</t>
        </is>
      </c>
      <c r="B361" s="321" t="n">
        <v>439440</v>
      </c>
      <c r="C361" s="321" t="n">
        <v>314803</v>
      </c>
    </row>
    <row r="362">
      <c r="A362" t="inlineStr">
        <is>
          <t>P&amp;L: ФОТ со взносами</t>
        </is>
      </c>
      <c r="B362" s="321" t="n">
        <v>3895182</v>
      </c>
      <c r="C362" s="321" t="n">
        <v>4280247</v>
      </c>
    </row>
    <row r="363">
      <c r="A363" t="inlineStr">
        <is>
          <t>P&amp;L: OPEX — прочие</t>
        </is>
      </c>
      <c r="B363" s="321" t="n">
        <v>1102727</v>
      </c>
      <c r="C363" s="321" t="n">
        <v>1068367</v>
      </c>
    </row>
    <row r="364">
      <c r="A364" t="inlineStr">
        <is>
          <t>P&amp;L: Прочие расходы</t>
        </is>
      </c>
      <c r="B364" s="321" t="n">
        <v>6449</v>
      </c>
      <c r="C364" s="321" t="n">
        <v>5010</v>
      </c>
    </row>
    <row r="365">
      <c r="A365" t="inlineStr">
        <is>
          <t>P&amp;L: EBITDA</t>
        </is>
      </c>
      <c r="B365" s="321" t="n">
        <v>-2436714</v>
      </c>
      <c r="C365" s="321" t="n">
        <v>-2576003</v>
      </c>
    </row>
  </sheetData>
  <mergeCells count="57">
    <mergeCell ref="A69:O69"/>
    <mergeCell ref="E250:H250"/>
    <mergeCell ref="A232:H232"/>
    <mergeCell ref="A205:O205"/>
    <mergeCell ref="E237:H237"/>
    <mergeCell ref="A300:E300"/>
    <mergeCell ref="E256:H256"/>
    <mergeCell ref="B3:O3"/>
    <mergeCell ref="A260:K260"/>
    <mergeCell ref="A285:F285"/>
    <mergeCell ref="E243:H243"/>
    <mergeCell ref="E239:H239"/>
    <mergeCell ref="A136:O136"/>
    <mergeCell ref="E246:H246"/>
    <mergeCell ref="A154:O154"/>
    <mergeCell ref="E242:H242"/>
    <mergeCell ref="E255:H255"/>
    <mergeCell ref="E233:H233"/>
    <mergeCell ref="E251:H251"/>
    <mergeCell ref="A86:O86"/>
    <mergeCell ref="A179:O179"/>
    <mergeCell ref="A195:O195"/>
    <mergeCell ref="A42:O42"/>
    <mergeCell ref="E238:H238"/>
    <mergeCell ref="E258:H258"/>
    <mergeCell ref="A292:E292"/>
    <mergeCell ref="A5:O5"/>
    <mergeCell ref="A23:O23"/>
    <mergeCell ref="E248:H248"/>
    <mergeCell ref="A159:O159"/>
    <mergeCell ref="E235:H235"/>
    <mergeCell ref="A97:O97"/>
    <mergeCell ref="A206:O206"/>
    <mergeCell ref="A209:O209"/>
    <mergeCell ref="E247:H247"/>
    <mergeCell ref="E254:H254"/>
    <mergeCell ref="E234:H234"/>
    <mergeCell ref="A190:O190"/>
    <mergeCell ref="E253:H253"/>
    <mergeCell ref="E244:H244"/>
    <mergeCell ref="E240:H240"/>
    <mergeCell ref="A230:O230"/>
    <mergeCell ref="E236:H236"/>
    <mergeCell ref="A34:O34"/>
    <mergeCell ref="A92:O92"/>
    <mergeCell ref="A114:O114"/>
    <mergeCell ref="E249:H249"/>
    <mergeCell ref="E245:H245"/>
    <mergeCell ref="A191:O191"/>
    <mergeCell ref="A207:O207"/>
    <mergeCell ref="A49:O49"/>
    <mergeCell ref="E252:H252"/>
    <mergeCell ref="A1:O1"/>
    <mergeCell ref="A103:O103"/>
    <mergeCell ref="E241:H241"/>
    <mergeCell ref="E257:H257"/>
    <mergeCell ref="A61:O61"/>
  </mergeCells>
  <dataValidations count="37">
    <dataValidation sqref="B192" showDropDown="0" showInputMessage="0" showErrorMessage="1" allowBlank="0" errorTitle="Выбери значение из списка" error="Свободный ввод не предусмотрен для этого поля." type="list" errorStyle="stop">
      <formula1>$C$197:$E$197</formula1>
    </dataValidation>
    <dataValidation sqref="C198:C203 E198:E203" showDropDown="0" showInputMessage="0" showErrorMessage="1" allowBlank="0" type="decimal" operator="greaterThanOrEqual">
      <formula1>0</formula1>
    </dataValidation>
    <dataValidation sqref="G198:G203" showDropDown="0" showInputMessage="0" showErrorMessage="1" allowBlank="0" type="decimal" operator="between">
      <formula1>0</formula1>
      <formula2>0.99</formula2>
    </dataValidation>
    <dataValidation sqref="D138:D150"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129" showDropDown="0" showInputMessage="0" showErrorMessage="1" allowBlank="0" errorTitle="Выбери значение из списка" error="Свободный ввод не предусмотрен для этого поля." type="list" errorStyle="stop">
      <formula1>"ИП,Сотрудник"</formula1>
    </dataValidation>
    <dataValidation sqref="B29 B31 B33 B82:B85 B173 B175 B177 B252:B254 B256" showDropDown="0" showInputMessage="0" showErrorMessage="1" allowBlank="0" errorTitle="Выбери значение из списка" error="Свободный ввод не предусмотрен для этого поля." type="list" errorStyle="stop">
      <formula1>"1,2,3,4,5,6,7,8,9,10,11,12"</formula1>
    </dataValidation>
    <dataValidation sqref="B234"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8"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9"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41"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3" showDropDown="0" showInputMessage="0" showErrorMessage="1" allowBlank="0" errorTitle="Выбери значение из списка" error="Свободный ввод не предусмотрен для этого поля." type="list" errorStyle="stop">
      <formula1>$A$198:$A$203</formula1>
    </dataValidation>
    <dataValidation sqref="B15" showDropDown="0" showInputMessage="0" showErrorMessage="1" allowBlank="0" type="whole" operator="between">
      <formula1>0</formula1>
      <formula2>12</formula2>
    </dataValidation>
    <dataValidation sqref="B27" showDropDown="0" showInputMessage="0" showErrorMessage="1" allowBlank="0" type="whole" operator="between">
      <formula1>0</formula1>
      <formula2>12</formula2>
    </dataValidation>
    <dataValidation sqref="B235" showDropDown="0" showInputMessage="0" showErrorMessage="1" allowBlank="0" type="whole" operator="between">
      <formula1>0</formula1>
      <formula2>12</formula2>
    </dataValidation>
    <dataValidation sqref="B243" showDropDown="0" showInputMessage="0" showErrorMessage="1" allowBlank="0" type="whole" operator="between">
      <formula1>0</formula1>
      <formula2>12</formula2>
    </dataValidation>
    <dataValidation sqref="B80" showDropDown="0" showInputMessage="0" showErrorMessage="1" allowBlank="0" type="whole" operator="between">
      <formula1>1</formula1>
      <formula2>6</formula2>
    </dataValidation>
    <dataValidation sqref="B19" showDropDown="0" showInputMessage="0" showErrorMessage="1" allowBlank="0" type="decimal" operator="between">
      <formula1>0</formula1>
      <formula2>30</formula2>
    </dataValidation>
    <dataValidation sqref="B225" showDropDown="0" showInputMessage="0" showErrorMessage="1" allowBlank="0" type="decimal" operator="between">
      <formula1>0</formula1>
      <formula2>30</formula2>
    </dataValidation>
    <dataValidation sqref="B288" showDropDown="0" showInputMessage="0" showErrorMessage="1" allowBlank="0" error="Выбери значение из списка." type="list" errorStyle="stop">
      <formula1>"С НДС,Без НДС"</formula1>
    </dataValidation>
    <dataValidation sqref="B290" showDropDown="0" showInputMessage="0" showErrorMessage="1" allowBlank="0" error="Выбери значение из списка." type="list" errorStyle="stop">
      <formula1>"Да,Нет"</formula1>
    </dataValidation>
    <dataValidation sqref="B286" showDropDown="0" showInputMessage="0" showErrorMessage="1" allowBlank="0" type="decimal" operator="between">
      <formula1>0</formula1>
      <formula2>1</formula2>
    </dataValidation>
    <dataValidation sqref="B287" showDropDown="0" showInputMessage="0" showErrorMessage="1" allowBlank="0" type="decimal" operator="between">
      <formula1>0</formula1>
      <formula2>10000000000</formula2>
    </dataValidation>
    <dataValidation sqref="B294:B295" showDropDown="0" showInputMessage="0" showErrorMessage="1" allowBlank="0" type="list">
      <formula1>"Да,Нет"</formula1>
    </dataValidation>
    <dataValidation sqref="B296" showDropDown="0" showInputMessage="0" showErrorMessage="1" allowBlank="0" type="list">
      <formula1>"Новый сезон,Через 12 месяцев"</formula1>
    </dataValidation>
    <dataValidation sqref="B297" showDropDown="0" showInputMessage="0" showErrorMessage="0" allowBlank="0" type="whole" operator="between">
      <formula1>0</formula1>
      <formula2>24</formula2>
    </dataValidation>
    <dataValidation sqref="B298" showDropDown="0" showInputMessage="0" showErrorMessage="0" allowBlank="0" type="decimal" operator="between">
      <formula1>0</formula1>
      <formula2>1</formula2>
    </dataValidation>
    <dataValidation sqref="B188" showDropDown="0" showInputMessage="0" showErrorMessage="0" allowBlank="0" errorTitle="Некорректный режим" error="Выберите один из двух режимов." promptTitle="История" prompt="Выберите, включать ли доступный факт сезона 25/26 в общий результат." type="list">
      <formula1>"Без истории,С историей"</formula1>
    </dataValidation>
    <dataValidation sqref="B7" showDropDown="0" showInputMessage="1" showErrorMessage="1" allowBlank="0" errorTitle="Дата старта" error="Старт ставится на первое число месяца: месяц — минимальный шаг модели. Месяц может быть любым — сезонность, веса продаж и согласованный мерч ищутся по календарю." promptTitle="Дата старта модели" prompt="Первое число любого месяца." type="custom">
      <formula1>=DAY($B$7)=1</formula1>
    </dataValidation>
    <dataValidation sqref="B7 B81 B242 B244 B245 B246 B247 B248 B249 B250 B251 B255 B293" showDropDown="0" showInputMessage="1" showErrorMessage="1" allowBlank="0" errorTitle="Нужна дата" error="Введите дату между 2020 и 2040 годом." type="date" operator="between">
      <formula1>DATE(2020,1,1)</formula1>
      <formula2>DATE(2040,12,31)</formula2>
    </dataValidation>
    <dataValidation sqref="B8 B15 B19 B27 B80 B235 B243 B297 B310 B311" showDropDown="0" showInputMessage="1" showErrorMessage="1" allowBlank="0" errorTitle="Целое число" error="Срок задаётся целым числом, от 0 до 120." type="whole" operator="between">
      <formula1>0</formula1>
      <formula2>120</formula2>
    </dataValidation>
    <dataValidation sqref="B9 B10 B11 B16 B22 B106 B117 B118 B161 B162 B163 B337 B338 B339" showDropDown="0" showInputMessage="1" showErrorMessage="1" allowBlank="0" errorTitle="Количество" error="Введите неотрицательное число." type="decimal" operator="between">
      <formula1>0</formula1>
      <formula2>100000</formula2>
    </dataValidation>
    <dataValidation sqref="B12 B13 B25 B55 B56 B57 B58 B59 B60 B72 B75 B76 B79 B116 B125 B128 B131 B156 B157 B169 B171 B172 B174 B176 B240 B286 B298" showDropDown="0" showInputMessage="1" showErrorMessage="1" allowBlank="0" errorTitle="Доля, а не проценты" error="Вводите долей: 6,5 % это 0,065. Допустимо от 0 до 1." promptTitle="Конверсия продажа - открытие" prompt="Долей: 0,065 = 6,5 %" type="decimal" operator="between">
      <formula1>0</formula1>
      <formula2>1</formula2>
    </dataValidation>
    <dataValidation sqref="B17 B28 B30 B32 B71 B77 B78 B105 B107 B108 B109 B110 B111 B112 B119 B121 B122 B123 B124 B127 B133 B134 B135 B164 B165 B167 B170 B237 B287 B324 B325 B326 B327 B328 B330 B331 B333" showDropDown="0" showInputMessage="1" showErrorMessage="1" allowBlank="0" errorTitle="Сумма в рублях" error="Введите сумму числом, без пробелов и знака рубля. Отрицательные суммы не принимаются." type="decimal" operator="greaterThanOrEqual">
      <formula1>0</formula1>
    </dataValidation>
    <dataValidation sqref="B29 B31 B33 B82 B83 B84 B85 B173 B175 B177" showDropDown="0" showInputMessage="1" showErrorMessage="1" allowBlank="0" errorTitle="Номер месяца" error="От 1 (январь) до 12 (декабрь)." type="whole" operator="between">
      <formula1>1</formula1>
      <formula2>12</formula2>
    </dataValidation>
    <dataValidation sqref="B192" showDropDown="0" showInputMessage="1" showErrorMessage="1" allowBlank="0" errorTitle="Только три сценария" error="Выберите негативный, базовый или позитивный." type="list">
      <formula1>"Негативный,Базовый,Позитивный"</formula1>
    </dataValidation>
    <dataValidation sqref="B234 B238 B239 B241 B294 B295 B322" showDropDown="0" showInputMessage="1" showErrorMessage="1" allowBlank="0" errorTitle="Только Да или Нет" error="Выберите значение из списка." promptTitle="Учитывать сезон 25/26" prompt="Да или Нет" type="list">
      <formula1>"Да,Нет"</formula1>
    </dataValidation>
    <dataValidation sqref="B329 B332 B334 B335 B336" showDropDown="0" showInputMessage="1" showErrorMessage="1" allowBlank="0" errorTitle="Сумма в рублях" error="Введите сумму числом, без пробелов и знака рубля. Минус допустим: убыток и отток — тоже результат." type="decimal" operator="between">
      <formula1>-1000000000000</formula1>
      <formula2>1000000000000</formula2>
    </dataValidation>
  </dataValidations>
  <hyperlinks>
    <hyperlink ref="G2" location="'00_Старт'!A1"/>
    <hyperlink ref="H2" location="'14а_Сверка_с_ТЗ'!A1"/>
    <hyperlink ref="A4" location="'01_Вводные'!A190"/>
    <hyperlink ref="G4" location="'01_Вводные'!A190"/>
    <hyperlink ref="H4" location="'01_Вводные'!A260"/>
    <hyperlink ref="G6" location="'01_Вводные'!A232"/>
    <hyperlink ref="H6" location="'01_Вводные'!A285"/>
    <hyperlink ref="D192" location="'03_Сценарии'!A1"/>
    <hyperlink ref="E192" location="'12_Чувствительность'!A1"/>
  </hyperlinks>
  <printOptions horizontalCentered="0"/>
  <pageMargins left="0.75" right="0.75" top="1" bottom="1" header="0.5" footer="0.5"/>
  <pageSetup orientation="portrait" fitToHeight="0" fitToWidth="1"/>
  <headerFooter>
    <oddHeader/>
    <oddFooter>&amp;LФинмодель Спартак · 01_Вводные&amp;R&amp;P /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9E1B31"/>
    <outlinePr summaryBelow="1" summaryRight="1"/>
    <pageSetUpPr fitToPage="1"/>
  </sheetPr>
  <dimension ref="A1:BI100"/>
  <sheetViews>
    <sheetView showGridLines="0" zoomScale="8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Помесячная модель — БДР и БДДС</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c r="B4" s="127">
        <f>INT((0)/12)+1</f>
        <v/>
      </c>
      <c r="C4" s="127">
        <f>INT((1)/12)+1</f>
        <v/>
      </c>
      <c r="D4" s="127">
        <f>INT((2)/12)+1</f>
        <v/>
      </c>
      <c r="E4" s="127">
        <f>INT((3)/12)+1</f>
        <v/>
      </c>
      <c r="F4" s="127">
        <f>INT((4)/12)+1</f>
        <v/>
      </c>
      <c r="G4" s="127">
        <f>INT((5)/12)+1</f>
        <v/>
      </c>
      <c r="H4" s="127">
        <f>INT((6)/12)+1</f>
        <v/>
      </c>
      <c r="I4" s="127">
        <f>INT((7)/12)+1</f>
        <v/>
      </c>
      <c r="J4" s="127">
        <f>INT((8)/12)+1</f>
        <v/>
      </c>
      <c r="K4" s="127">
        <f>INT((9)/12)+1</f>
        <v/>
      </c>
      <c r="L4" s="127">
        <f>INT((10)/12)+1</f>
        <v/>
      </c>
      <c r="M4" s="127">
        <f>INT((11)/12)+1</f>
        <v/>
      </c>
      <c r="N4" s="127">
        <f>INT((12)/12)+1</f>
        <v/>
      </c>
      <c r="O4" s="127">
        <f>INT((13)/12)+1</f>
        <v/>
      </c>
      <c r="P4" s="127">
        <f>INT((14)/12)+1</f>
        <v/>
      </c>
      <c r="Q4" s="127">
        <f>INT((15)/12)+1</f>
        <v/>
      </c>
      <c r="R4" s="127">
        <f>INT((16)/12)+1</f>
        <v/>
      </c>
      <c r="S4" s="127">
        <f>INT((17)/12)+1</f>
        <v/>
      </c>
      <c r="T4" s="127">
        <f>INT((18)/12)+1</f>
        <v/>
      </c>
      <c r="U4" s="127">
        <f>INT((19)/12)+1</f>
        <v/>
      </c>
      <c r="V4" s="127">
        <f>INT((20)/12)+1</f>
        <v/>
      </c>
      <c r="W4" s="127">
        <f>INT((21)/12)+1</f>
        <v/>
      </c>
      <c r="X4" s="127">
        <f>INT((22)/12)+1</f>
        <v/>
      </c>
      <c r="Y4" s="127">
        <f>INT((23)/12)+1</f>
        <v/>
      </c>
      <c r="Z4" s="127">
        <f>INT((24)/12)+1</f>
        <v/>
      </c>
      <c r="AA4" s="127">
        <f>INT((25)/12)+1</f>
        <v/>
      </c>
      <c r="AB4" s="127">
        <f>INT((26)/12)+1</f>
        <v/>
      </c>
      <c r="AC4" s="127">
        <f>INT((27)/12)+1</f>
        <v/>
      </c>
      <c r="AD4" s="127">
        <f>INT((28)/12)+1</f>
        <v/>
      </c>
      <c r="AE4" s="127">
        <f>INT((29)/12)+1</f>
        <v/>
      </c>
      <c r="AF4" s="127">
        <f>INT((30)/12)+1</f>
        <v/>
      </c>
      <c r="AG4" s="127">
        <f>INT((31)/12)+1</f>
        <v/>
      </c>
      <c r="AH4" s="127">
        <f>INT((32)/12)+1</f>
        <v/>
      </c>
      <c r="AI4" s="127">
        <f>INT((33)/12)+1</f>
        <v/>
      </c>
      <c r="AJ4" s="127">
        <f>INT((34)/12)+1</f>
        <v/>
      </c>
      <c r="AK4" s="127">
        <f>INT((35)/12)+1</f>
        <v/>
      </c>
      <c r="AL4" s="127">
        <f>INT((36)/12)+1</f>
        <v/>
      </c>
      <c r="AM4" s="127">
        <f>INT((37)/12)+1</f>
        <v/>
      </c>
      <c r="AN4" s="127">
        <f>INT((38)/12)+1</f>
        <v/>
      </c>
      <c r="AO4" s="127">
        <f>INT((39)/12)+1</f>
        <v/>
      </c>
      <c r="AP4" s="127">
        <f>INT((40)/12)+1</f>
        <v/>
      </c>
      <c r="AQ4" s="127">
        <f>INT((41)/12)+1</f>
        <v/>
      </c>
      <c r="AR4" s="127">
        <f>INT((42)/12)+1</f>
        <v/>
      </c>
      <c r="AS4" s="127">
        <f>INT((43)/12)+1</f>
        <v/>
      </c>
      <c r="AT4" s="127">
        <f>INT((44)/12)+1</f>
        <v/>
      </c>
      <c r="AU4" s="127">
        <f>INT((45)/12)+1</f>
        <v/>
      </c>
      <c r="AV4" s="127">
        <f>INT((46)/12)+1</f>
        <v/>
      </c>
      <c r="AW4" s="127">
        <f>INT((47)/12)+1</f>
        <v/>
      </c>
      <c r="AX4" s="127">
        <f>INT((48)/12)+1</f>
        <v/>
      </c>
      <c r="AY4" s="127">
        <f>INT((49)/12)+1</f>
        <v/>
      </c>
      <c r="AZ4" s="127">
        <f>INT((50)/12)+1</f>
        <v/>
      </c>
      <c r="BA4" s="127">
        <f>INT((51)/12)+1</f>
        <v/>
      </c>
      <c r="BB4" s="127">
        <f>INT((52)/12)+1</f>
        <v/>
      </c>
      <c r="BC4" s="127">
        <f>INT((53)/12)+1</f>
        <v/>
      </c>
      <c r="BD4" s="127">
        <f>INT((54)/12)+1</f>
        <v/>
      </c>
      <c r="BE4" s="127">
        <f>INT((55)/12)+1</f>
        <v/>
      </c>
      <c r="BF4" s="127">
        <f>INT((56)/12)+1</f>
        <v/>
      </c>
      <c r="BG4" s="127">
        <f>INT((57)/12)+1</f>
        <v/>
      </c>
      <c r="BH4" s="127">
        <f>INT((58)/12)+1</f>
        <v/>
      </c>
      <c r="BI4" s="127">
        <f>INT((59)/12)+1</f>
        <v/>
      </c>
    </row>
    <row r="5" ht="20" customHeight="1">
      <c r="A5" s="4" t="inlineStr">
        <is>
          <t>Операционные драйверы</t>
        </is>
      </c>
    </row>
    <row r="6">
      <c r="A6" s="2" t="inlineStr">
        <is>
          <t>Сезон</t>
        </is>
      </c>
      <c r="B6" s="40">
        <f>'06_Сеть_и_дети'!B4</f>
        <v/>
      </c>
      <c r="C6" s="40">
        <f>'06_Сеть_и_дети'!C4</f>
        <v/>
      </c>
      <c r="D6" s="40">
        <f>'06_Сеть_и_дети'!D4</f>
        <v/>
      </c>
      <c r="E6" s="40">
        <f>'06_Сеть_и_дети'!E4</f>
        <v/>
      </c>
      <c r="F6" s="40">
        <f>'06_Сеть_и_дети'!F4</f>
        <v/>
      </c>
      <c r="G6" s="40">
        <f>'06_Сеть_и_дети'!G4</f>
        <v/>
      </c>
      <c r="H6" s="40">
        <f>'06_Сеть_и_дети'!H4</f>
        <v/>
      </c>
      <c r="I6" s="40">
        <f>'06_Сеть_и_дети'!I4</f>
        <v/>
      </c>
      <c r="J6" s="40">
        <f>'06_Сеть_и_дети'!J4</f>
        <v/>
      </c>
      <c r="K6" s="40">
        <f>'06_Сеть_и_дети'!K4</f>
        <v/>
      </c>
      <c r="L6" s="40">
        <f>'06_Сеть_и_дети'!L4</f>
        <v/>
      </c>
      <c r="M6" s="40">
        <f>'06_Сеть_и_дети'!M4</f>
        <v/>
      </c>
      <c r="N6" s="40">
        <f>'06_Сеть_и_дети'!N4</f>
        <v/>
      </c>
      <c r="O6" s="40">
        <f>'06_Сеть_и_дети'!O4</f>
        <v/>
      </c>
      <c r="P6" s="40">
        <f>'06_Сеть_и_дети'!P4</f>
        <v/>
      </c>
      <c r="Q6" s="40">
        <f>'06_Сеть_и_дети'!Q4</f>
        <v/>
      </c>
      <c r="R6" s="40">
        <f>'06_Сеть_и_дети'!R4</f>
        <v/>
      </c>
      <c r="S6" s="40">
        <f>'06_Сеть_и_дети'!S4</f>
        <v/>
      </c>
      <c r="T6" s="40">
        <f>'06_Сеть_и_дети'!T4</f>
        <v/>
      </c>
      <c r="U6" s="40">
        <f>'06_Сеть_и_дети'!U4</f>
        <v/>
      </c>
      <c r="V6" s="40">
        <f>'06_Сеть_и_дети'!V4</f>
        <v/>
      </c>
      <c r="W6" s="40">
        <f>'06_Сеть_и_дети'!W4</f>
        <v/>
      </c>
      <c r="X6" s="40">
        <f>'06_Сеть_и_дети'!X4</f>
        <v/>
      </c>
      <c r="Y6" s="40">
        <f>'06_Сеть_и_дети'!Y4</f>
        <v/>
      </c>
      <c r="Z6" s="40">
        <f>'06_Сеть_и_дети'!Z4</f>
        <v/>
      </c>
      <c r="AA6" s="40">
        <f>'06_Сеть_и_дети'!AA4</f>
        <v/>
      </c>
      <c r="AB6" s="40">
        <f>'06_Сеть_и_дети'!AB4</f>
        <v/>
      </c>
      <c r="AC6" s="40">
        <f>'06_Сеть_и_дети'!AC4</f>
        <v/>
      </c>
      <c r="AD6" s="40">
        <f>'06_Сеть_и_дети'!AD4</f>
        <v/>
      </c>
      <c r="AE6" s="40">
        <f>'06_Сеть_и_дети'!AE4</f>
        <v/>
      </c>
      <c r="AF6" s="40">
        <f>'06_Сеть_и_дети'!AF4</f>
        <v/>
      </c>
      <c r="AG6" s="40">
        <f>'06_Сеть_и_дети'!AG4</f>
        <v/>
      </c>
      <c r="AH6" s="40">
        <f>'06_Сеть_и_дети'!AH4</f>
        <v/>
      </c>
      <c r="AI6" s="40">
        <f>'06_Сеть_и_дети'!AI4</f>
        <v/>
      </c>
      <c r="AJ6" s="40">
        <f>'06_Сеть_и_дети'!AJ4</f>
        <v/>
      </c>
      <c r="AK6" s="40">
        <f>'06_Сеть_и_дети'!AK4</f>
        <v/>
      </c>
      <c r="AL6" s="40">
        <f>'06_Сеть_и_дети'!AL4</f>
        <v/>
      </c>
      <c r="AM6" s="40">
        <f>'06_Сеть_и_дети'!AM4</f>
        <v/>
      </c>
      <c r="AN6" s="40">
        <f>'06_Сеть_и_дети'!AN4</f>
        <v/>
      </c>
      <c r="AO6" s="40">
        <f>'06_Сеть_и_дети'!AO4</f>
        <v/>
      </c>
      <c r="AP6" s="40">
        <f>'06_Сеть_и_дети'!AP4</f>
        <v/>
      </c>
      <c r="AQ6" s="40">
        <f>'06_Сеть_и_дети'!AQ4</f>
        <v/>
      </c>
      <c r="AR6" s="40">
        <f>'06_Сеть_и_дети'!AR4</f>
        <v/>
      </c>
      <c r="AS6" s="40">
        <f>'06_Сеть_и_дети'!AS4</f>
        <v/>
      </c>
      <c r="AT6" s="40">
        <f>'06_Сеть_и_дети'!AT4</f>
        <v/>
      </c>
      <c r="AU6" s="40">
        <f>'06_Сеть_и_дети'!AU4</f>
        <v/>
      </c>
      <c r="AV6" s="40">
        <f>'06_Сеть_и_дети'!AV4</f>
        <v/>
      </c>
      <c r="AW6" s="40">
        <f>'06_Сеть_и_дети'!AW4</f>
        <v/>
      </c>
      <c r="AX6" s="40">
        <f>'06_Сеть_и_дети'!AX4</f>
        <v/>
      </c>
      <c r="AY6" s="40">
        <f>'06_Сеть_и_дети'!AY4</f>
        <v/>
      </c>
      <c r="AZ6" s="40">
        <f>'06_Сеть_и_дети'!AZ4</f>
        <v/>
      </c>
      <c r="BA6" s="40">
        <f>'06_Сеть_и_дети'!BA4</f>
        <v/>
      </c>
      <c r="BB6" s="40">
        <f>'06_Сеть_и_дети'!BB4</f>
        <v/>
      </c>
      <c r="BC6" s="40">
        <f>'06_Сеть_и_дети'!BC4</f>
        <v/>
      </c>
      <c r="BD6" s="40">
        <f>'06_Сеть_и_дети'!BD4</f>
        <v/>
      </c>
      <c r="BE6" s="40">
        <f>'06_Сеть_и_дети'!BE4</f>
        <v/>
      </c>
      <c r="BF6" s="40">
        <f>'06_Сеть_и_дети'!BF4</f>
        <v/>
      </c>
      <c r="BG6" s="40">
        <f>'06_Сеть_и_дети'!BG4</f>
        <v/>
      </c>
      <c r="BH6" s="40">
        <f>'06_Сеть_и_дети'!BH4</f>
        <v/>
      </c>
      <c r="BI6" s="40">
        <f>'06_Сеть_и_дети'!BI4</f>
        <v/>
      </c>
    </row>
    <row r="7">
      <c r="A7" s="2" t="inlineStr">
        <is>
          <t>Сезонность посещаемости</t>
        </is>
      </c>
      <c r="B7" s="124">
        <f>'06_Сеть_и_дети'!B5</f>
        <v/>
      </c>
      <c r="C7" s="124">
        <f>'06_Сеть_и_дети'!C5</f>
        <v/>
      </c>
      <c r="D7" s="124">
        <f>'06_Сеть_и_дети'!D5</f>
        <v/>
      </c>
      <c r="E7" s="124">
        <f>'06_Сеть_и_дети'!E5</f>
        <v/>
      </c>
      <c r="F7" s="124">
        <f>'06_Сеть_и_дети'!F5</f>
        <v/>
      </c>
      <c r="G7" s="124">
        <f>'06_Сеть_и_дети'!G5</f>
        <v/>
      </c>
      <c r="H7" s="124">
        <f>'06_Сеть_и_дети'!H5</f>
        <v/>
      </c>
      <c r="I7" s="124">
        <f>'06_Сеть_и_дети'!I5</f>
        <v/>
      </c>
      <c r="J7" s="124">
        <f>'06_Сеть_и_дети'!J5</f>
        <v/>
      </c>
      <c r="K7" s="124">
        <f>'06_Сеть_и_дети'!K5</f>
        <v/>
      </c>
      <c r="L7" s="124">
        <f>'06_Сеть_и_дети'!L5</f>
        <v/>
      </c>
      <c r="M7" s="124">
        <f>'06_Сеть_и_дети'!M5</f>
        <v/>
      </c>
      <c r="N7" s="124">
        <f>'06_Сеть_и_дети'!N5</f>
        <v/>
      </c>
      <c r="O7" s="124">
        <f>'06_Сеть_и_дети'!O5</f>
        <v/>
      </c>
      <c r="P7" s="124">
        <f>'06_Сеть_и_дети'!P5</f>
        <v/>
      </c>
      <c r="Q7" s="124">
        <f>'06_Сеть_и_дети'!Q5</f>
        <v/>
      </c>
      <c r="R7" s="124">
        <f>'06_Сеть_и_дети'!R5</f>
        <v/>
      </c>
      <c r="S7" s="124">
        <f>'06_Сеть_и_дети'!S5</f>
        <v/>
      </c>
      <c r="T7" s="124">
        <f>'06_Сеть_и_дети'!T5</f>
        <v/>
      </c>
      <c r="U7" s="124">
        <f>'06_Сеть_и_дети'!U5</f>
        <v/>
      </c>
      <c r="V7" s="124">
        <f>'06_Сеть_и_дети'!V5</f>
        <v/>
      </c>
      <c r="W7" s="124">
        <f>'06_Сеть_и_дети'!W5</f>
        <v/>
      </c>
      <c r="X7" s="124">
        <f>'06_Сеть_и_дети'!X5</f>
        <v/>
      </c>
      <c r="Y7" s="124">
        <f>'06_Сеть_и_дети'!Y5</f>
        <v/>
      </c>
      <c r="Z7" s="124">
        <f>'06_Сеть_и_дети'!Z5</f>
        <v/>
      </c>
      <c r="AA7" s="124">
        <f>'06_Сеть_и_дети'!AA5</f>
        <v/>
      </c>
      <c r="AB7" s="124">
        <f>'06_Сеть_и_дети'!AB5</f>
        <v/>
      </c>
      <c r="AC7" s="124">
        <f>'06_Сеть_и_дети'!AC5</f>
        <v/>
      </c>
      <c r="AD7" s="124">
        <f>'06_Сеть_и_дети'!AD5</f>
        <v/>
      </c>
      <c r="AE7" s="124">
        <f>'06_Сеть_и_дети'!AE5</f>
        <v/>
      </c>
      <c r="AF7" s="124">
        <f>'06_Сеть_и_дети'!AF5</f>
        <v/>
      </c>
      <c r="AG7" s="124">
        <f>'06_Сеть_и_дети'!AG5</f>
        <v/>
      </c>
      <c r="AH7" s="124">
        <f>'06_Сеть_и_дети'!AH5</f>
        <v/>
      </c>
      <c r="AI7" s="124">
        <f>'06_Сеть_и_дети'!AI5</f>
        <v/>
      </c>
      <c r="AJ7" s="124">
        <f>'06_Сеть_и_дети'!AJ5</f>
        <v/>
      </c>
      <c r="AK7" s="124">
        <f>'06_Сеть_и_дети'!AK5</f>
        <v/>
      </c>
      <c r="AL7" s="124">
        <f>'06_Сеть_и_дети'!AL5</f>
        <v/>
      </c>
      <c r="AM7" s="124">
        <f>'06_Сеть_и_дети'!AM5</f>
        <v/>
      </c>
      <c r="AN7" s="124">
        <f>'06_Сеть_и_дети'!AN5</f>
        <v/>
      </c>
      <c r="AO7" s="124">
        <f>'06_Сеть_и_дети'!AO5</f>
        <v/>
      </c>
      <c r="AP7" s="124">
        <f>'06_Сеть_и_дети'!AP5</f>
        <v/>
      </c>
      <c r="AQ7" s="124">
        <f>'06_Сеть_и_дети'!AQ5</f>
        <v/>
      </c>
      <c r="AR7" s="124">
        <f>'06_Сеть_и_дети'!AR5</f>
        <v/>
      </c>
      <c r="AS7" s="124">
        <f>'06_Сеть_и_дети'!AS5</f>
        <v/>
      </c>
      <c r="AT7" s="124">
        <f>'06_Сеть_и_дети'!AT5</f>
        <v/>
      </c>
      <c r="AU7" s="124">
        <f>'06_Сеть_и_дети'!AU5</f>
        <v/>
      </c>
      <c r="AV7" s="124">
        <f>'06_Сеть_и_дети'!AV5</f>
        <v/>
      </c>
      <c r="AW7" s="124">
        <f>'06_Сеть_и_дети'!AW5</f>
        <v/>
      </c>
      <c r="AX7" s="124">
        <f>'06_Сеть_и_дети'!AX5</f>
        <v/>
      </c>
      <c r="AY7" s="124">
        <f>'06_Сеть_и_дети'!AY5</f>
        <v/>
      </c>
      <c r="AZ7" s="124">
        <f>'06_Сеть_и_дети'!AZ5</f>
        <v/>
      </c>
      <c r="BA7" s="124">
        <f>'06_Сеть_и_дети'!BA5</f>
        <v/>
      </c>
      <c r="BB7" s="124">
        <f>'06_Сеть_и_дети'!BB5</f>
        <v/>
      </c>
      <c r="BC7" s="124">
        <f>'06_Сеть_и_дети'!BC5</f>
        <v/>
      </c>
      <c r="BD7" s="124">
        <f>'06_Сеть_и_дети'!BD5</f>
        <v/>
      </c>
      <c r="BE7" s="124">
        <f>'06_Сеть_и_дети'!BE5</f>
        <v/>
      </c>
      <c r="BF7" s="124">
        <f>'06_Сеть_и_дети'!BF5</f>
        <v/>
      </c>
      <c r="BG7" s="124">
        <f>'06_Сеть_и_дети'!BG5</f>
        <v/>
      </c>
      <c r="BH7" s="124">
        <f>'06_Сеть_и_дети'!BH5</f>
        <v/>
      </c>
      <c r="BI7" s="124">
        <f>'06_Сеть_и_дети'!BI5</f>
        <v/>
      </c>
    </row>
    <row r="8">
      <c r="B8" s="73" t="n"/>
      <c r="C8" s="73" t="n"/>
      <c r="D8" s="73" t="n"/>
      <c r="E8" s="73" t="n"/>
      <c r="F8" s="73" t="n"/>
      <c r="G8" s="73" t="n"/>
      <c r="H8" s="73" t="n"/>
      <c r="I8" s="73" t="n"/>
      <c r="J8" s="73" t="n"/>
      <c r="K8" s="73" t="n"/>
      <c r="L8" s="73" t="n"/>
      <c r="M8" s="73" t="n"/>
      <c r="N8" s="73" t="n"/>
      <c r="O8" s="73" t="n"/>
      <c r="P8" s="73" t="n"/>
      <c r="Q8" s="73" t="n"/>
      <c r="R8" s="73" t="n"/>
      <c r="S8" s="73" t="n"/>
      <c r="T8" s="73" t="n"/>
      <c r="U8" s="73" t="n"/>
      <c r="V8" s="73" t="n"/>
      <c r="W8" s="73" t="n"/>
      <c r="X8" s="73" t="n"/>
      <c r="Y8" s="73" t="n"/>
      <c r="Z8" s="73" t="n"/>
      <c r="AA8" s="73" t="n"/>
      <c r="AB8" s="73" t="n"/>
      <c r="AC8" s="73" t="n"/>
      <c r="AD8" s="73" t="n"/>
      <c r="AE8" s="73" t="n"/>
      <c r="AF8" s="73" t="n"/>
      <c r="AG8" s="73" t="n"/>
      <c r="AH8" s="73" t="n"/>
      <c r="AI8" s="73" t="n"/>
      <c r="AJ8" s="73" t="n"/>
      <c r="AK8" s="73" t="n"/>
      <c r="AL8" s="73" t="n"/>
      <c r="AM8" s="73" t="n"/>
      <c r="AN8" s="73" t="n"/>
      <c r="AO8" s="73" t="n"/>
      <c r="AP8" s="73" t="n"/>
      <c r="AQ8" s="73" t="n"/>
      <c r="AR8" s="73" t="n"/>
      <c r="AS8" s="73" t="n"/>
      <c r="AT8" s="73" t="n"/>
      <c r="AU8" s="73" t="n"/>
      <c r="AV8" s="73" t="n"/>
      <c r="AW8" s="73" t="n"/>
      <c r="AX8" s="73" t="n"/>
      <c r="AY8" s="73" t="n"/>
      <c r="AZ8" s="73" t="n"/>
      <c r="BA8" s="73" t="n"/>
      <c r="BB8" s="73" t="n"/>
      <c r="BC8" s="73" t="n"/>
      <c r="BD8" s="73" t="n"/>
      <c r="BE8" s="73" t="n"/>
      <c r="BF8" s="73" t="n"/>
      <c r="BG8" s="73" t="n"/>
      <c r="BH8" s="73" t="n"/>
      <c r="BI8" s="73" t="n"/>
    </row>
    <row r="9">
      <c r="A9" s="2" t="inlineStr">
        <is>
          <t>Действующая сеть — школы</t>
        </is>
      </c>
      <c r="B9" s="40">
        <f>'06_Сеть_и_дети'!B11</f>
        <v/>
      </c>
      <c r="C9" s="40">
        <f>'06_Сеть_и_дети'!C11</f>
        <v/>
      </c>
      <c r="D9" s="40">
        <f>'06_Сеть_и_дети'!D11</f>
        <v/>
      </c>
      <c r="E9" s="40">
        <f>'06_Сеть_и_дети'!E11</f>
        <v/>
      </c>
      <c r="F9" s="40">
        <f>'06_Сеть_и_дети'!F11</f>
        <v/>
      </c>
      <c r="G9" s="40">
        <f>'06_Сеть_и_дети'!G11</f>
        <v/>
      </c>
      <c r="H9" s="40">
        <f>'06_Сеть_и_дети'!H11</f>
        <v/>
      </c>
      <c r="I9" s="40">
        <f>'06_Сеть_и_дети'!I11</f>
        <v/>
      </c>
      <c r="J9" s="40">
        <f>'06_Сеть_и_дети'!J11</f>
        <v/>
      </c>
      <c r="K9" s="40">
        <f>'06_Сеть_и_дети'!K11</f>
        <v/>
      </c>
      <c r="L9" s="40">
        <f>'06_Сеть_и_дети'!L11</f>
        <v/>
      </c>
      <c r="M9" s="40">
        <f>'06_Сеть_и_дети'!M11</f>
        <v/>
      </c>
      <c r="N9" s="40">
        <f>'06_Сеть_и_дети'!N11</f>
        <v/>
      </c>
      <c r="O9" s="40">
        <f>'06_Сеть_и_дети'!O11</f>
        <v/>
      </c>
      <c r="P9" s="40">
        <f>'06_Сеть_и_дети'!P11</f>
        <v/>
      </c>
      <c r="Q9" s="40">
        <f>'06_Сеть_и_дети'!Q11</f>
        <v/>
      </c>
      <c r="R9" s="40">
        <f>'06_Сеть_и_дети'!R11</f>
        <v/>
      </c>
      <c r="S9" s="40">
        <f>'06_Сеть_и_дети'!S11</f>
        <v/>
      </c>
      <c r="T9" s="40">
        <f>'06_Сеть_и_дети'!T11</f>
        <v/>
      </c>
      <c r="U9" s="40">
        <f>'06_Сеть_и_дети'!U11</f>
        <v/>
      </c>
      <c r="V9" s="40">
        <f>'06_Сеть_и_дети'!V11</f>
        <v/>
      </c>
      <c r="W9" s="40">
        <f>'06_Сеть_и_дети'!W11</f>
        <v/>
      </c>
      <c r="X9" s="40">
        <f>'06_Сеть_и_дети'!X11</f>
        <v/>
      </c>
      <c r="Y9" s="40">
        <f>'06_Сеть_и_дети'!Y11</f>
        <v/>
      </c>
      <c r="Z9" s="40">
        <f>'06_Сеть_и_дети'!Z11</f>
        <v/>
      </c>
      <c r="AA9" s="40">
        <f>'06_Сеть_и_дети'!AA11</f>
        <v/>
      </c>
      <c r="AB9" s="40">
        <f>'06_Сеть_и_дети'!AB11</f>
        <v/>
      </c>
      <c r="AC9" s="40">
        <f>'06_Сеть_и_дети'!AC11</f>
        <v/>
      </c>
      <c r="AD9" s="40">
        <f>'06_Сеть_и_дети'!AD11</f>
        <v/>
      </c>
      <c r="AE9" s="40">
        <f>'06_Сеть_и_дети'!AE11</f>
        <v/>
      </c>
      <c r="AF9" s="40">
        <f>'06_Сеть_и_дети'!AF11</f>
        <v/>
      </c>
      <c r="AG9" s="40">
        <f>'06_Сеть_и_дети'!AG11</f>
        <v/>
      </c>
      <c r="AH9" s="40">
        <f>'06_Сеть_и_дети'!AH11</f>
        <v/>
      </c>
      <c r="AI9" s="40">
        <f>'06_Сеть_и_дети'!AI11</f>
        <v/>
      </c>
      <c r="AJ9" s="40">
        <f>'06_Сеть_и_дети'!AJ11</f>
        <v/>
      </c>
      <c r="AK9" s="40">
        <f>'06_Сеть_и_дети'!AK11</f>
        <v/>
      </c>
      <c r="AL9" s="40">
        <f>'06_Сеть_и_дети'!AL11</f>
        <v/>
      </c>
      <c r="AM9" s="40">
        <f>'06_Сеть_и_дети'!AM11</f>
        <v/>
      </c>
      <c r="AN9" s="40">
        <f>'06_Сеть_и_дети'!AN11</f>
        <v/>
      </c>
      <c r="AO9" s="40">
        <f>'06_Сеть_и_дети'!AO11</f>
        <v/>
      </c>
      <c r="AP9" s="40">
        <f>'06_Сеть_и_дети'!AP11</f>
        <v/>
      </c>
      <c r="AQ9" s="40">
        <f>'06_Сеть_и_дети'!AQ11</f>
        <v/>
      </c>
      <c r="AR9" s="40">
        <f>'06_Сеть_и_дети'!AR11</f>
        <v/>
      </c>
      <c r="AS9" s="40">
        <f>'06_Сеть_и_дети'!AS11</f>
        <v/>
      </c>
      <c r="AT9" s="40">
        <f>'06_Сеть_и_дети'!AT11</f>
        <v/>
      </c>
      <c r="AU9" s="40">
        <f>'06_Сеть_и_дети'!AU11</f>
        <v/>
      </c>
      <c r="AV9" s="40">
        <f>'06_Сеть_и_дети'!AV11</f>
        <v/>
      </c>
      <c r="AW9" s="40">
        <f>'06_Сеть_и_дети'!AW11</f>
        <v/>
      </c>
      <c r="AX9" s="40">
        <f>'06_Сеть_и_дети'!AX11</f>
        <v/>
      </c>
      <c r="AY9" s="40">
        <f>'06_Сеть_и_дети'!AY11</f>
        <v/>
      </c>
      <c r="AZ9" s="40">
        <f>'06_Сеть_и_дети'!AZ11</f>
        <v/>
      </c>
      <c r="BA9" s="40">
        <f>'06_Сеть_и_дети'!BA11</f>
        <v/>
      </c>
      <c r="BB9" s="40">
        <f>'06_Сеть_и_дети'!BB11</f>
        <v/>
      </c>
      <c r="BC9" s="40">
        <f>'06_Сеть_и_дети'!BC11</f>
        <v/>
      </c>
      <c r="BD9" s="40">
        <f>'06_Сеть_и_дети'!BD11</f>
        <v/>
      </c>
      <c r="BE9" s="40">
        <f>'06_Сеть_и_дети'!BE11</f>
        <v/>
      </c>
      <c r="BF9" s="40">
        <f>'06_Сеть_и_дети'!BF11</f>
        <v/>
      </c>
      <c r="BG9" s="40">
        <f>'06_Сеть_и_дети'!BG11</f>
        <v/>
      </c>
      <c r="BH9" s="40">
        <f>'06_Сеть_и_дети'!BH11</f>
        <v/>
      </c>
      <c r="BI9" s="40">
        <f>'06_Сеть_и_дети'!BI11</f>
        <v/>
      </c>
    </row>
    <row r="10">
      <c r="A10" s="2" t="inlineStr">
        <is>
          <t>Действующая сеть — дети 100% база</t>
        </is>
      </c>
      <c r="B10" s="40">
        <f>'06_Сеть_и_дети'!B19</f>
        <v/>
      </c>
      <c r="C10" s="40">
        <f>'06_Сеть_и_дети'!C19</f>
        <v/>
      </c>
      <c r="D10" s="40">
        <f>'06_Сеть_и_дети'!D19</f>
        <v/>
      </c>
      <c r="E10" s="40">
        <f>'06_Сеть_и_дети'!E19</f>
        <v/>
      </c>
      <c r="F10" s="40">
        <f>'06_Сеть_и_дети'!F19</f>
        <v/>
      </c>
      <c r="G10" s="40">
        <f>'06_Сеть_и_дети'!G19</f>
        <v/>
      </c>
      <c r="H10" s="40">
        <f>'06_Сеть_и_дети'!H19</f>
        <v/>
      </c>
      <c r="I10" s="40">
        <f>'06_Сеть_и_дети'!I19</f>
        <v/>
      </c>
      <c r="J10" s="40">
        <f>'06_Сеть_и_дети'!J19</f>
        <v/>
      </c>
      <c r="K10" s="40">
        <f>'06_Сеть_и_дети'!K19</f>
        <v/>
      </c>
      <c r="L10" s="40">
        <f>'06_Сеть_и_дети'!L19</f>
        <v/>
      </c>
      <c r="M10" s="40">
        <f>'06_Сеть_и_дети'!M19</f>
        <v/>
      </c>
      <c r="N10" s="40">
        <f>'06_Сеть_и_дети'!N19</f>
        <v/>
      </c>
      <c r="O10" s="40">
        <f>'06_Сеть_и_дети'!O19</f>
        <v/>
      </c>
      <c r="P10" s="40">
        <f>'06_Сеть_и_дети'!P19</f>
        <v/>
      </c>
      <c r="Q10" s="40">
        <f>'06_Сеть_и_дети'!Q19</f>
        <v/>
      </c>
      <c r="R10" s="40">
        <f>'06_Сеть_и_дети'!R19</f>
        <v/>
      </c>
      <c r="S10" s="40">
        <f>'06_Сеть_и_дети'!S19</f>
        <v/>
      </c>
      <c r="T10" s="40">
        <f>'06_Сеть_и_дети'!T19</f>
        <v/>
      </c>
      <c r="U10" s="40">
        <f>'06_Сеть_и_дети'!U19</f>
        <v/>
      </c>
      <c r="V10" s="40">
        <f>'06_Сеть_и_дети'!V19</f>
        <v/>
      </c>
      <c r="W10" s="40">
        <f>'06_Сеть_и_дети'!W19</f>
        <v/>
      </c>
      <c r="X10" s="40">
        <f>'06_Сеть_и_дети'!X19</f>
        <v/>
      </c>
      <c r="Y10" s="40">
        <f>'06_Сеть_и_дети'!Y19</f>
        <v/>
      </c>
      <c r="Z10" s="40">
        <f>'06_Сеть_и_дети'!Z19</f>
        <v/>
      </c>
      <c r="AA10" s="40">
        <f>'06_Сеть_и_дети'!AA19</f>
        <v/>
      </c>
      <c r="AB10" s="40">
        <f>'06_Сеть_и_дети'!AB19</f>
        <v/>
      </c>
      <c r="AC10" s="40">
        <f>'06_Сеть_и_дети'!AC19</f>
        <v/>
      </c>
      <c r="AD10" s="40">
        <f>'06_Сеть_и_дети'!AD19</f>
        <v/>
      </c>
      <c r="AE10" s="40">
        <f>'06_Сеть_и_дети'!AE19</f>
        <v/>
      </c>
      <c r="AF10" s="40">
        <f>'06_Сеть_и_дети'!AF19</f>
        <v/>
      </c>
      <c r="AG10" s="40">
        <f>'06_Сеть_и_дети'!AG19</f>
        <v/>
      </c>
      <c r="AH10" s="40">
        <f>'06_Сеть_и_дети'!AH19</f>
        <v/>
      </c>
      <c r="AI10" s="40">
        <f>'06_Сеть_и_дети'!AI19</f>
        <v/>
      </c>
      <c r="AJ10" s="40">
        <f>'06_Сеть_и_дети'!AJ19</f>
        <v/>
      </c>
      <c r="AK10" s="40">
        <f>'06_Сеть_и_дети'!AK19</f>
        <v/>
      </c>
      <c r="AL10" s="40">
        <f>'06_Сеть_и_дети'!AL19</f>
        <v/>
      </c>
      <c r="AM10" s="40">
        <f>'06_Сеть_и_дети'!AM19</f>
        <v/>
      </c>
      <c r="AN10" s="40">
        <f>'06_Сеть_и_дети'!AN19</f>
        <v/>
      </c>
      <c r="AO10" s="40">
        <f>'06_Сеть_и_дети'!AO19</f>
        <v/>
      </c>
      <c r="AP10" s="40">
        <f>'06_Сеть_и_дети'!AP19</f>
        <v/>
      </c>
      <c r="AQ10" s="40">
        <f>'06_Сеть_и_дети'!AQ19</f>
        <v/>
      </c>
      <c r="AR10" s="40">
        <f>'06_Сеть_и_дети'!AR19</f>
        <v/>
      </c>
      <c r="AS10" s="40">
        <f>'06_Сеть_и_дети'!AS19</f>
        <v/>
      </c>
      <c r="AT10" s="40">
        <f>'06_Сеть_и_дети'!AT19</f>
        <v/>
      </c>
      <c r="AU10" s="40">
        <f>'06_Сеть_и_дети'!AU19</f>
        <v/>
      </c>
      <c r="AV10" s="40">
        <f>'06_Сеть_и_дети'!AV19</f>
        <v/>
      </c>
      <c r="AW10" s="40">
        <f>'06_Сеть_и_дети'!AW19</f>
        <v/>
      </c>
      <c r="AX10" s="40">
        <f>'06_Сеть_и_дети'!AX19</f>
        <v/>
      </c>
      <c r="AY10" s="40">
        <f>'06_Сеть_и_дети'!AY19</f>
        <v/>
      </c>
      <c r="AZ10" s="40">
        <f>'06_Сеть_и_дети'!AZ19</f>
        <v/>
      </c>
      <c r="BA10" s="40">
        <f>'06_Сеть_и_дети'!BA19</f>
        <v/>
      </c>
      <c r="BB10" s="40">
        <f>'06_Сеть_и_дети'!BB19</f>
        <v/>
      </c>
      <c r="BC10" s="40">
        <f>'06_Сеть_и_дети'!BC19</f>
        <v/>
      </c>
      <c r="BD10" s="40">
        <f>'06_Сеть_и_дети'!BD19</f>
        <v/>
      </c>
      <c r="BE10" s="40">
        <f>'06_Сеть_и_дети'!BE19</f>
        <v/>
      </c>
      <c r="BF10" s="40">
        <f>'06_Сеть_и_дети'!BF19</f>
        <v/>
      </c>
      <c r="BG10" s="40">
        <f>'06_Сеть_и_дети'!BG19</f>
        <v/>
      </c>
      <c r="BH10" s="40">
        <f>'06_Сеть_и_дети'!BH19</f>
        <v/>
      </c>
      <c r="BI10" s="40">
        <f>'06_Сеть_и_дети'!BI19</f>
        <v/>
      </c>
    </row>
    <row r="11">
      <c r="A11" s="2" t="inlineStr">
        <is>
          <t>Действующая сеть — активные дети</t>
        </is>
      </c>
      <c r="B11" s="40">
        <f>'06_Сеть_и_дети'!B20</f>
        <v/>
      </c>
      <c r="C11" s="40">
        <f>'06_Сеть_и_дети'!C20</f>
        <v/>
      </c>
      <c r="D11" s="40">
        <f>'06_Сеть_и_дети'!D20</f>
        <v/>
      </c>
      <c r="E11" s="40">
        <f>'06_Сеть_и_дети'!E20</f>
        <v/>
      </c>
      <c r="F11" s="40">
        <f>'06_Сеть_и_дети'!F20</f>
        <v/>
      </c>
      <c r="G11" s="40">
        <f>'06_Сеть_и_дети'!G20</f>
        <v/>
      </c>
      <c r="H11" s="40">
        <f>'06_Сеть_и_дети'!H20</f>
        <v/>
      </c>
      <c r="I11" s="40">
        <f>'06_Сеть_и_дети'!I20</f>
        <v/>
      </c>
      <c r="J11" s="40">
        <f>'06_Сеть_и_дети'!J20</f>
        <v/>
      </c>
      <c r="K11" s="40">
        <f>'06_Сеть_и_дети'!K20</f>
        <v/>
      </c>
      <c r="L11" s="40">
        <f>'06_Сеть_и_дети'!L20</f>
        <v/>
      </c>
      <c r="M11" s="40">
        <f>'06_Сеть_и_дети'!M20</f>
        <v/>
      </c>
      <c r="N11" s="40">
        <f>'06_Сеть_и_дети'!N20</f>
        <v/>
      </c>
      <c r="O11" s="40">
        <f>'06_Сеть_и_дети'!O20</f>
        <v/>
      </c>
      <c r="P11" s="40">
        <f>'06_Сеть_и_дети'!P20</f>
        <v/>
      </c>
      <c r="Q11" s="40">
        <f>'06_Сеть_и_дети'!Q20</f>
        <v/>
      </c>
      <c r="R11" s="40">
        <f>'06_Сеть_и_дети'!R20</f>
        <v/>
      </c>
      <c r="S11" s="40">
        <f>'06_Сеть_и_дети'!S20</f>
        <v/>
      </c>
      <c r="T11" s="40">
        <f>'06_Сеть_и_дети'!T20</f>
        <v/>
      </c>
      <c r="U11" s="40">
        <f>'06_Сеть_и_дети'!U20</f>
        <v/>
      </c>
      <c r="V11" s="40">
        <f>'06_Сеть_и_дети'!V20</f>
        <v/>
      </c>
      <c r="W11" s="40">
        <f>'06_Сеть_и_дети'!W20</f>
        <v/>
      </c>
      <c r="X11" s="40">
        <f>'06_Сеть_и_дети'!X20</f>
        <v/>
      </c>
      <c r="Y11" s="40">
        <f>'06_Сеть_и_дети'!Y20</f>
        <v/>
      </c>
      <c r="Z11" s="40">
        <f>'06_Сеть_и_дети'!Z20</f>
        <v/>
      </c>
      <c r="AA11" s="40">
        <f>'06_Сеть_и_дети'!AA20</f>
        <v/>
      </c>
      <c r="AB11" s="40">
        <f>'06_Сеть_и_дети'!AB20</f>
        <v/>
      </c>
      <c r="AC11" s="40">
        <f>'06_Сеть_и_дети'!AC20</f>
        <v/>
      </c>
      <c r="AD11" s="40">
        <f>'06_Сеть_и_дети'!AD20</f>
        <v/>
      </c>
      <c r="AE11" s="40">
        <f>'06_Сеть_и_дети'!AE20</f>
        <v/>
      </c>
      <c r="AF11" s="40">
        <f>'06_Сеть_и_дети'!AF20</f>
        <v/>
      </c>
      <c r="AG11" s="40">
        <f>'06_Сеть_и_дети'!AG20</f>
        <v/>
      </c>
      <c r="AH11" s="40">
        <f>'06_Сеть_и_дети'!AH20</f>
        <v/>
      </c>
      <c r="AI11" s="40">
        <f>'06_Сеть_и_дети'!AI20</f>
        <v/>
      </c>
      <c r="AJ11" s="40">
        <f>'06_Сеть_и_дети'!AJ20</f>
        <v/>
      </c>
      <c r="AK11" s="40">
        <f>'06_Сеть_и_дети'!AK20</f>
        <v/>
      </c>
      <c r="AL11" s="40">
        <f>'06_Сеть_и_дети'!AL20</f>
        <v/>
      </c>
      <c r="AM11" s="40">
        <f>'06_Сеть_и_дети'!AM20</f>
        <v/>
      </c>
      <c r="AN11" s="40">
        <f>'06_Сеть_и_дети'!AN20</f>
        <v/>
      </c>
      <c r="AO11" s="40">
        <f>'06_Сеть_и_дети'!AO20</f>
        <v/>
      </c>
      <c r="AP11" s="40">
        <f>'06_Сеть_и_дети'!AP20</f>
        <v/>
      </c>
      <c r="AQ11" s="40">
        <f>'06_Сеть_и_дети'!AQ20</f>
        <v/>
      </c>
      <c r="AR11" s="40">
        <f>'06_Сеть_и_дети'!AR20</f>
        <v/>
      </c>
      <c r="AS11" s="40">
        <f>'06_Сеть_и_дети'!AS20</f>
        <v/>
      </c>
      <c r="AT11" s="40">
        <f>'06_Сеть_и_дети'!AT20</f>
        <v/>
      </c>
      <c r="AU11" s="40">
        <f>'06_Сеть_и_дети'!AU20</f>
        <v/>
      </c>
      <c r="AV11" s="40">
        <f>'06_Сеть_и_дети'!AV20</f>
        <v/>
      </c>
      <c r="AW11" s="40">
        <f>'06_Сеть_и_дети'!AW20</f>
        <v/>
      </c>
      <c r="AX11" s="40">
        <f>'06_Сеть_и_дети'!AX20</f>
        <v/>
      </c>
      <c r="AY11" s="40">
        <f>'06_Сеть_и_дети'!AY20</f>
        <v/>
      </c>
      <c r="AZ11" s="40">
        <f>'06_Сеть_и_дети'!AZ20</f>
        <v/>
      </c>
      <c r="BA11" s="40">
        <f>'06_Сеть_и_дети'!BA20</f>
        <v/>
      </c>
      <c r="BB11" s="40">
        <f>'06_Сеть_и_дети'!BB20</f>
        <v/>
      </c>
      <c r="BC11" s="40">
        <f>'06_Сеть_и_дети'!BC20</f>
        <v/>
      </c>
      <c r="BD11" s="40">
        <f>'06_Сеть_и_дети'!BD20</f>
        <v/>
      </c>
      <c r="BE11" s="40">
        <f>'06_Сеть_и_дети'!BE20</f>
        <v/>
      </c>
      <c r="BF11" s="40">
        <f>'06_Сеть_и_дети'!BF20</f>
        <v/>
      </c>
      <c r="BG11" s="40">
        <f>'06_Сеть_и_дети'!BG20</f>
        <v/>
      </c>
      <c r="BH11" s="40">
        <f>'06_Сеть_и_дети'!BH20</f>
        <v/>
      </c>
      <c r="BI11" s="40">
        <f>'06_Сеть_и_дети'!BI20</f>
        <v/>
      </c>
    </row>
    <row r="12">
      <c r="A12" s="2" t="inlineStr">
        <is>
          <t>Новые школы — активные школы</t>
        </is>
      </c>
      <c r="B12" s="40">
        <f>'06_Сеть_и_дети'!B16</f>
        <v/>
      </c>
      <c r="C12" s="40">
        <f>'06_Сеть_и_дети'!C16</f>
        <v/>
      </c>
      <c r="D12" s="40">
        <f>'06_Сеть_и_дети'!D16</f>
        <v/>
      </c>
      <c r="E12" s="40">
        <f>'06_Сеть_и_дети'!E16</f>
        <v/>
      </c>
      <c r="F12" s="40">
        <f>'06_Сеть_и_дети'!F16</f>
        <v/>
      </c>
      <c r="G12" s="40">
        <f>'06_Сеть_и_дети'!G16</f>
        <v/>
      </c>
      <c r="H12" s="40">
        <f>'06_Сеть_и_дети'!H16</f>
        <v/>
      </c>
      <c r="I12" s="40">
        <f>'06_Сеть_и_дети'!I16</f>
        <v/>
      </c>
      <c r="J12" s="40">
        <f>'06_Сеть_и_дети'!J16</f>
        <v/>
      </c>
      <c r="K12" s="40">
        <f>'06_Сеть_и_дети'!K16</f>
        <v/>
      </c>
      <c r="L12" s="40">
        <f>'06_Сеть_и_дети'!L16</f>
        <v/>
      </c>
      <c r="M12" s="40">
        <f>'06_Сеть_и_дети'!M16</f>
        <v/>
      </c>
      <c r="N12" s="40">
        <f>'06_Сеть_и_дети'!N16</f>
        <v/>
      </c>
      <c r="O12" s="40">
        <f>'06_Сеть_и_дети'!O16</f>
        <v/>
      </c>
      <c r="P12" s="40">
        <f>'06_Сеть_и_дети'!P16</f>
        <v/>
      </c>
      <c r="Q12" s="40">
        <f>'06_Сеть_и_дети'!Q16</f>
        <v/>
      </c>
      <c r="R12" s="40">
        <f>'06_Сеть_и_дети'!R16</f>
        <v/>
      </c>
      <c r="S12" s="40">
        <f>'06_Сеть_и_дети'!S16</f>
        <v/>
      </c>
      <c r="T12" s="40">
        <f>'06_Сеть_и_дети'!T16</f>
        <v/>
      </c>
      <c r="U12" s="40">
        <f>'06_Сеть_и_дети'!U16</f>
        <v/>
      </c>
      <c r="V12" s="40">
        <f>'06_Сеть_и_дети'!V16</f>
        <v/>
      </c>
      <c r="W12" s="40">
        <f>'06_Сеть_и_дети'!W16</f>
        <v/>
      </c>
      <c r="X12" s="40">
        <f>'06_Сеть_и_дети'!X16</f>
        <v/>
      </c>
      <c r="Y12" s="40">
        <f>'06_Сеть_и_дети'!Y16</f>
        <v/>
      </c>
      <c r="Z12" s="40">
        <f>'06_Сеть_и_дети'!Z16</f>
        <v/>
      </c>
      <c r="AA12" s="40">
        <f>'06_Сеть_и_дети'!AA16</f>
        <v/>
      </c>
      <c r="AB12" s="40">
        <f>'06_Сеть_и_дети'!AB16</f>
        <v/>
      </c>
      <c r="AC12" s="40">
        <f>'06_Сеть_и_дети'!AC16</f>
        <v/>
      </c>
      <c r="AD12" s="40">
        <f>'06_Сеть_и_дети'!AD16</f>
        <v/>
      </c>
      <c r="AE12" s="40">
        <f>'06_Сеть_и_дети'!AE16</f>
        <v/>
      </c>
      <c r="AF12" s="40">
        <f>'06_Сеть_и_дети'!AF16</f>
        <v/>
      </c>
      <c r="AG12" s="40">
        <f>'06_Сеть_и_дети'!AG16</f>
        <v/>
      </c>
      <c r="AH12" s="40">
        <f>'06_Сеть_и_дети'!AH16</f>
        <v/>
      </c>
      <c r="AI12" s="40">
        <f>'06_Сеть_и_дети'!AI16</f>
        <v/>
      </c>
      <c r="AJ12" s="40">
        <f>'06_Сеть_и_дети'!AJ16</f>
        <v/>
      </c>
      <c r="AK12" s="40">
        <f>'06_Сеть_и_дети'!AK16</f>
        <v/>
      </c>
      <c r="AL12" s="40">
        <f>'06_Сеть_и_дети'!AL16</f>
        <v/>
      </c>
      <c r="AM12" s="40">
        <f>'06_Сеть_и_дети'!AM16</f>
        <v/>
      </c>
      <c r="AN12" s="40">
        <f>'06_Сеть_и_дети'!AN16</f>
        <v/>
      </c>
      <c r="AO12" s="40">
        <f>'06_Сеть_и_дети'!AO16</f>
        <v/>
      </c>
      <c r="AP12" s="40">
        <f>'06_Сеть_и_дети'!AP16</f>
        <v/>
      </c>
      <c r="AQ12" s="40">
        <f>'06_Сеть_и_дети'!AQ16</f>
        <v/>
      </c>
      <c r="AR12" s="40">
        <f>'06_Сеть_и_дети'!AR16</f>
        <v/>
      </c>
      <c r="AS12" s="40">
        <f>'06_Сеть_и_дети'!AS16</f>
        <v/>
      </c>
      <c r="AT12" s="40">
        <f>'06_Сеть_и_дети'!AT16</f>
        <v/>
      </c>
      <c r="AU12" s="40">
        <f>'06_Сеть_и_дети'!AU16</f>
        <v/>
      </c>
      <c r="AV12" s="40">
        <f>'06_Сеть_и_дети'!AV16</f>
        <v/>
      </c>
      <c r="AW12" s="40">
        <f>'06_Сеть_и_дети'!AW16</f>
        <v/>
      </c>
      <c r="AX12" s="40">
        <f>'06_Сеть_и_дети'!AX16</f>
        <v/>
      </c>
      <c r="AY12" s="40">
        <f>'06_Сеть_и_дети'!AY16</f>
        <v/>
      </c>
      <c r="AZ12" s="40">
        <f>'06_Сеть_и_дети'!AZ16</f>
        <v/>
      </c>
      <c r="BA12" s="40">
        <f>'06_Сеть_и_дети'!BA16</f>
        <v/>
      </c>
      <c r="BB12" s="40">
        <f>'06_Сеть_и_дети'!BB16</f>
        <v/>
      </c>
      <c r="BC12" s="40">
        <f>'06_Сеть_и_дети'!BC16</f>
        <v/>
      </c>
      <c r="BD12" s="40">
        <f>'06_Сеть_и_дети'!BD16</f>
        <v/>
      </c>
      <c r="BE12" s="40">
        <f>'06_Сеть_и_дети'!BE16</f>
        <v/>
      </c>
      <c r="BF12" s="40">
        <f>'06_Сеть_и_дети'!BF16</f>
        <v/>
      </c>
      <c r="BG12" s="40">
        <f>'06_Сеть_и_дети'!BG16</f>
        <v/>
      </c>
      <c r="BH12" s="40">
        <f>'06_Сеть_и_дети'!BH16</f>
        <v/>
      </c>
      <c r="BI12" s="40">
        <f>'06_Сеть_и_дети'!BI16</f>
        <v/>
      </c>
    </row>
    <row r="13">
      <c r="A13" s="2" t="inlineStr">
        <is>
          <t>Активные юрлица</t>
        </is>
      </c>
      <c r="B13" s="40">
        <f>'06_Сеть_и_дети'!B10</f>
        <v/>
      </c>
      <c r="C13" s="40">
        <f>'06_Сеть_и_дети'!C10</f>
        <v/>
      </c>
      <c r="D13" s="40">
        <f>'06_Сеть_и_дети'!D10</f>
        <v/>
      </c>
      <c r="E13" s="40">
        <f>'06_Сеть_и_дети'!E10</f>
        <v/>
      </c>
      <c r="F13" s="40">
        <f>'06_Сеть_и_дети'!F10</f>
        <v/>
      </c>
      <c r="G13" s="40">
        <f>'06_Сеть_и_дети'!G10</f>
        <v/>
      </c>
      <c r="H13" s="40">
        <f>'06_Сеть_и_дети'!H10</f>
        <v/>
      </c>
      <c r="I13" s="40">
        <f>'06_Сеть_и_дети'!I10</f>
        <v/>
      </c>
      <c r="J13" s="40">
        <f>'06_Сеть_и_дети'!J10</f>
        <v/>
      </c>
      <c r="K13" s="40">
        <f>'06_Сеть_и_дети'!K10</f>
        <v/>
      </c>
      <c r="L13" s="40">
        <f>'06_Сеть_и_дети'!L10</f>
        <v/>
      </c>
      <c r="M13" s="40">
        <f>'06_Сеть_и_дети'!M10</f>
        <v/>
      </c>
      <c r="N13" s="40">
        <f>'06_Сеть_и_дети'!N10</f>
        <v/>
      </c>
      <c r="O13" s="40">
        <f>'06_Сеть_и_дети'!O10</f>
        <v/>
      </c>
      <c r="P13" s="40">
        <f>'06_Сеть_и_дети'!P10</f>
        <v/>
      </c>
      <c r="Q13" s="40">
        <f>'06_Сеть_и_дети'!Q10</f>
        <v/>
      </c>
      <c r="R13" s="40">
        <f>'06_Сеть_и_дети'!R10</f>
        <v/>
      </c>
      <c r="S13" s="40">
        <f>'06_Сеть_и_дети'!S10</f>
        <v/>
      </c>
      <c r="T13" s="40">
        <f>'06_Сеть_и_дети'!T10</f>
        <v/>
      </c>
      <c r="U13" s="40">
        <f>'06_Сеть_и_дети'!U10</f>
        <v/>
      </c>
      <c r="V13" s="40">
        <f>'06_Сеть_и_дети'!V10</f>
        <v/>
      </c>
      <c r="W13" s="40">
        <f>'06_Сеть_и_дети'!W10</f>
        <v/>
      </c>
      <c r="X13" s="40">
        <f>'06_Сеть_и_дети'!X10</f>
        <v/>
      </c>
      <c r="Y13" s="40">
        <f>'06_Сеть_и_дети'!Y10</f>
        <v/>
      </c>
      <c r="Z13" s="40">
        <f>'06_Сеть_и_дети'!Z10</f>
        <v/>
      </c>
      <c r="AA13" s="40">
        <f>'06_Сеть_и_дети'!AA10</f>
        <v/>
      </c>
      <c r="AB13" s="40">
        <f>'06_Сеть_и_дети'!AB10</f>
        <v/>
      </c>
      <c r="AC13" s="40">
        <f>'06_Сеть_и_дети'!AC10</f>
        <v/>
      </c>
      <c r="AD13" s="40">
        <f>'06_Сеть_и_дети'!AD10</f>
        <v/>
      </c>
      <c r="AE13" s="40">
        <f>'06_Сеть_и_дети'!AE10</f>
        <v/>
      </c>
      <c r="AF13" s="40">
        <f>'06_Сеть_и_дети'!AF10</f>
        <v/>
      </c>
      <c r="AG13" s="40">
        <f>'06_Сеть_и_дети'!AG10</f>
        <v/>
      </c>
      <c r="AH13" s="40">
        <f>'06_Сеть_и_дети'!AH10</f>
        <v/>
      </c>
      <c r="AI13" s="40">
        <f>'06_Сеть_и_дети'!AI10</f>
        <v/>
      </c>
      <c r="AJ13" s="40">
        <f>'06_Сеть_и_дети'!AJ10</f>
        <v/>
      </c>
      <c r="AK13" s="40">
        <f>'06_Сеть_и_дети'!AK10</f>
        <v/>
      </c>
      <c r="AL13" s="40">
        <f>'06_Сеть_и_дети'!AL10</f>
        <v/>
      </c>
      <c r="AM13" s="40">
        <f>'06_Сеть_и_дети'!AM10</f>
        <v/>
      </c>
      <c r="AN13" s="40">
        <f>'06_Сеть_и_дети'!AN10</f>
        <v/>
      </c>
      <c r="AO13" s="40">
        <f>'06_Сеть_и_дети'!AO10</f>
        <v/>
      </c>
      <c r="AP13" s="40">
        <f>'06_Сеть_и_дети'!AP10</f>
        <v/>
      </c>
      <c r="AQ13" s="40">
        <f>'06_Сеть_и_дети'!AQ10</f>
        <v/>
      </c>
      <c r="AR13" s="40">
        <f>'06_Сеть_и_дети'!AR10</f>
        <v/>
      </c>
      <c r="AS13" s="40">
        <f>'06_Сеть_и_дети'!AS10</f>
        <v/>
      </c>
      <c r="AT13" s="40">
        <f>'06_Сеть_и_дети'!AT10</f>
        <v/>
      </c>
      <c r="AU13" s="40">
        <f>'06_Сеть_и_дети'!AU10</f>
        <v/>
      </c>
      <c r="AV13" s="40">
        <f>'06_Сеть_и_дети'!AV10</f>
        <v/>
      </c>
      <c r="AW13" s="40">
        <f>'06_Сеть_и_дети'!AW10</f>
        <v/>
      </c>
      <c r="AX13" s="40">
        <f>'06_Сеть_и_дети'!AX10</f>
        <v/>
      </c>
      <c r="AY13" s="40">
        <f>'06_Сеть_и_дети'!AY10</f>
        <v/>
      </c>
      <c r="AZ13" s="40">
        <f>'06_Сеть_и_дети'!AZ10</f>
        <v/>
      </c>
      <c r="BA13" s="40">
        <f>'06_Сеть_и_дети'!BA10</f>
        <v/>
      </c>
      <c r="BB13" s="40">
        <f>'06_Сеть_и_дети'!BB10</f>
        <v/>
      </c>
      <c r="BC13" s="40">
        <f>'06_Сеть_и_дети'!BC10</f>
        <v/>
      </c>
      <c r="BD13" s="40">
        <f>'06_Сеть_и_дети'!BD10</f>
        <v/>
      </c>
      <c r="BE13" s="40">
        <f>'06_Сеть_и_дети'!BE10</f>
        <v/>
      </c>
      <c r="BF13" s="40">
        <f>'06_Сеть_и_дети'!BF10</f>
        <v/>
      </c>
      <c r="BG13" s="40">
        <f>'06_Сеть_и_дети'!BG10</f>
        <v/>
      </c>
      <c r="BH13" s="40">
        <f>'06_Сеть_и_дети'!BH10</f>
        <v/>
      </c>
      <c r="BI13" s="40">
        <f>'06_Сеть_и_дети'!BI10</f>
        <v/>
      </c>
    </row>
    <row r="14">
      <c r="A14" s="2" t="inlineStr">
        <is>
          <t>Новые школы — дети</t>
        </is>
      </c>
      <c r="B14" s="40">
        <f>'06_Сеть_и_дети'!B24</f>
        <v/>
      </c>
      <c r="C14" s="40">
        <f>'06_Сеть_и_дети'!C24</f>
        <v/>
      </c>
      <c r="D14" s="40">
        <f>'06_Сеть_и_дети'!D24</f>
        <v/>
      </c>
      <c r="E14" s="40">
        <f>'06_Сеть_и_дети'!E24</f>
        <v/>
      </c>
      <c r="F14" s="40">
        <f>'06_Сеть_и_дети'!F24</f>
        <v/>
      </c>
      <c r="G14" s="40">
        <f>'06_Сеть_и_дети'!G24</f>
        <v/>
      </c>
      <c r="H14" s="40">
        <f>'06_Сеть_и_дети'!H24</f>
        <v/>
      </c>
      <c r="I14" s="40">
        <f>'06_Сеть_и_дети'!I24</f>
        <v/>
      </c>
      <c r="J14" s="40">
        <f>'06_Сеть_и_дети'!J24</f>
        <v/>
      </c>
      <c r="K14" s="40">
        <f>'06_Сеть_и_дети'!K24</f>
        <v/>
      </c>
      <c r="L14" s="40">
        <f>'06_Сеть_и_дети'!L24</f>
        <v/>
      </c>
      <c r="M14" s="40">
        <f>'06_Сеть_и_дети'!M24</f>
        <v/>
      </c>
      <c r="N14" s="40">
        <f>'06_Сеть_и_дети'!N24</f>
        <v/>
      </c>
      <c r="O14" s="40">
        <f>'06_Сеть_и_дети'!O24</f>
        <v/>
      </c>
      <c r="P14" s="40">
        <f>'06_Сеть_и_дети'!P24</f>
        <v/>
      </c>
      <c r="Q14" s="40">
        <f>'06_Сеть_и_дети'!Q24</f>
        <v/>
      </c>
      <c r="R14" s="40">
        <f>'06_Сеть_и_дети'!R24</f>
        <v/>
      </c>
      <c r="S14" s="40">
        <f>'06_Сеть_и_дети'!S24</f>
        <v/>
      </c>
      <c r="T14" s="40">
        <f>'06_Сеть_и_дети'!T24</f>
        <v/>
      </c>
      <c r="U14" s="40">
        <f>'06_Сеть_и_дети'!U24</f>
        <v/>
      </c>
      <c r="V14" s="40">
        <f>'06_Сеть_и_дети'!V24</f>
        <v/>
      </c>
      <c r="W14" s="40">
        <f>'06_Сеть_и_дети'!W24</f>
        <v/>
      </c>
      <c r="X14" s="40">
        <f>'06_Сеть_и_дети'!X24</f>
        <v/>
      </c>
      <c r="Y14" s="40">
        <f>'06_Сеть_и_дети'!Y24</f>
        <v/>
      </c>
      <c r="Z14" s="40">
        <f>'06_Сеть_и_дети'!Z24</f>
        <v/>
      </c>
      <c r="AA14" s="40">
        <f>'06_Сеть_и_дети'!AA24</f>
        <v/>
      </c>
      <c r="AB14" s="40">
        <f>'06_Сеть_и_дети'!AB24</f>
        <v/>
      </c>
      <c r="AC14" s="40">
        <f>'06_Сеть_и_дети'!AC24</f>
        <v/>
      </c>
      <c r="AD14" s="40">
        <f>'06_Сеть_и_дети'!AD24</f>
        <v/>
      </c>
      <c r="AE14" s="40">
        <f>'06_Сеть_и_дети'!AE24</f>
        <v/>
      </c>
      <c r="AF14" s="40">
        <f>'06_Сеть_и_дети'!AF24</f>
        <v/>
      </c>
      <c r="AG14" s="40">
        <f>'06_Сеть_и_дети'!AG24</f>
        <v/>
      </c>
      <c r="AH14" s="40">
        <f>'06_Сеть_и_дети'!AH24</f>
        <v/>
      </c>
      <c r="AI14" s="40">
        <f>'06_Сеть_и_дети'!AI24</f>
        <v/>
      </c>
      <c r="AJ14" s="40">
        <f>'06_Сеть_и_дети'!AJ24</f>
        <v/>
      </c>
      <c r="AK14" s="40">
        <f>'06_Сеть_и_дети'!AK24</f>
        <v/>
      </c>
      <c r="AL14" s="40">
        <f>'06_Сеть_и_дети'!AL24</f>
        <v/>
      </c>
      <c r="AM14" s="40">
        <f>'06_Сеть_и_дети'!AM24</f>
        <v/>
      </c>
      <c r="AN14" s="40">
        <f>'06_Сеть_и_дети'!AN24</f>
        <v/>
      </c>
      <c r="AO14" s="40">
        <f>'06_Сеть_и_дети'!AO24</f>
        <v/>
      </c>
      <c r="AP14" s="40">
        <f>'06_Сеть_и_дети'!AP24</f>
        <v/>
      </c>
      <c r="AQ14" s="40">
        <f>'06_Сеть_и_дети'!AQ24</f>
        <v/>
      </c>
      <c r="AR14" s="40">
        <f>'06_Сеть_и_дети'!AR24</f>
        <v/>
      </c>
      <c r="AS14" s="40">
        <f>'06_Сеть_и_дети'!AS24</f>
        <v/>
      </c>
      <c r="AT14" s="40">
        <f>'06_Сеть_и_дети'!AT24</f>
        <v/>
      </c>
      <c r="AU14" s="40">
        <f>'06_Сеть_и_дети'!AU24</f>
        <v/>
      </c>
      <c r="AV14" s="40">
        <f>'06_Сеть_и_дети'!AV24</f>
        <v/>
      </c>
      <c r="AW14" s="40">
        <f>'06_Сеть_и_дети'!AW24</f>
        <v/>
      </c>
      <c r="AX14" s="40">
        <f>'06_Сеть_и_дети'!AX24</f>
        <v/>
      </c>
      <c r="AY14" s="40">
        <f>'06_Сеть_и_дети'!AY24</f>
        <v/>
      </c>
      <c r="AZ14" s="40">
        <f>'06_Сеть_и_дети'!AZ24</f>
        <v/>
      </c>
      <c r="BA14" s="40">
        <f>'06_Сеть_и_дети'!BA24</f>
        <v/>
      </c>
      <c r="BB14" s="40">
        <f>'06_Сеть_и_дети'!BB24</f>
        <v/>
      </c>
      <c r="BC14" s="40">
        <f>'06_Сеть_и_дети'!BC24</f>
        <v/>
      </c>
      <c r="BD14" s="40">
        <f>'06_Сеть_и_дети'!BD24</f>
        <v/>
      </c>
      <c r="BE14" s="40">
        <f>'06_Сеть_и_дети'!BE24</f>
        <v/>
      </c>
      <c r="BF14" s="40">
        <f>'06_Сеть_и_дети'!BF24</f>
        <v/>
      </c>
      <c r="BG14" s="40">
        <f>'06_Сеть_и_дети'!BG24</f>
        <v/>
      </c>
      <c r="BH14" s="40">
        <f>'06_Сеть_и_дети'!BH24</f>
        <v/>
      </c>
      <c r="BI14" s="40">
        <f>'06_Сеть_и_дети'!BI24</f>
        <v/>
      </c>
    </row>
    <row r="15">
      <c r="A15" s="2" t="inlineStr">
        <is>
          <t>Всего активных детей</t>
        </is>
      </c>
      <c r="B15" s="40">
        <f>'06_Сеть_и_дети'!B25</f>
        <v/>
      </c>
      <c r="C15" s="40">
        <f>'06_Сеть_и_дети'!C25</f>
        <v/>
      </c>
      <c r="D15" s="40">
        <f>'06_Сеть_и_дети'!D25</f>
        <v/>
      </c>
      <c r="E15" s="40">
        <f>'06_Сеть_и_дети'!E25</f>
        <v/>
      </c>
      <c r="F15" s="40">
        <f>'06_Сеть_и_дети'!F25</f>
        <v/>
      </c>
      <c r="G15" s="40">
        <f>'06_Сеть_и_дети'!G25</f>
        <v/>
      </c>
      <c r="H15" s="40">
        <f>'06_Сеть_и_дети'!H25</f>
        <v/>
      </c>
      <c r="I15" s="40">
        <f>'06_Сеть_и_дети'!I25</f>
        <v/>
      </c>
      <c r="J15" s="40">
        <f>'06_Сеть_и_дети'!J25</f>
        <v/>
      </c>
      <c r="K15" s="40">
        <f>'06_Сеть_и_дети'!K25</f>
        <v/>
      </c>
      <c r="L15" s="40">
        <f>'06_Сеть_и_дети'!L25</f>
        <v/>
      </c>
      <c r="M15" s="40">
        <f>'06_Сеть_и_дети'!M25</f>
        <v/>
      </c>
      <c r="N15" s="40">
        <f>'06_Сеть_и_дети'!N25</f>
        <v/>
      </c>
      <c r="O15" s="40">
        <f>'06_Сеть_и_дети'!O25</f>
        <v/>
      </c>
      <c r="P15" s="40">
        <f>'06_Сеть_и_дети'!P25</f>
        <v/>
      </c>
      <c r="Q15" s="40">
        <f>'06_Сеть_и_дети'!Q25</f>
        <v/>
      </c>
      <c r="R15" s="40">
        <f>'06_Сеть_и_дети'!R25</f>
        <v/>
      </c>
      <c r="S15" s="40">
        <f>'06_Сеть_и_дети'!S25</f>
        <v/>
      </c>
      <c r="T15" s="40">
        <f>'06_Сеть_и_дети'!T25</f>
        <v/>
      </c>
      <c r="U15" s="40">
        <f>'06_Сеть_и_дети'!U25</f>
        <v/>
      </c>
      <c r="V15" s="40">
        <f>'06_Сеть_и_дети'!V25</f>
        <v/>
      </c>
      <c r="W15" s="40">
        <f>'06_Сеть_и_дети'!W25</f>
        <v/>
      </c>
      <c r="X15" s="40">
        <f>'06_Сеть_и_дети'!X25</f>
        <v/>
      </c>
      <c r="Y15" s="40">
        <f>'06_Сеть_и_дети'!Y25</f>
        <v/>
      </c>
      <c r="Z15" s="40">
        <f>'06_Сеть_и_дети'!Z25</f>
        <v/>
      </c>
      <c r="AA15" s="40">
        <f>'06_Сеть_и_дети'!AA25</f>
        <v/>
      </c>
      <c r="AB15" s="40">
        <f>'06_Сеть_и_дети'!AB25</f>
        <v/>
      </c>
      <c r="AC15" s="40">
        <f>'06_Сеть_и_дети'!AC25</f>
        <v/>
      </c>
      <c r="AD15" s="40">
        <f>'06_Сеть_и_дети'!AD25</f>
        <v/>
      </c>
      <c r="AE15" s="40">
        <f>'06_Сеть_и_дети'!AE25</f>
        <v/>
      </c>
      <c r="AF15" s="40">
        <f>'06_Сеть_и_дети'!AF25</f>
        <v/>
      </c>
      <c r="AG15" s="40">
        <f>'06_Сеть_и_дети'!AG25</f>
        <v/>
      </c>
      <c r="AH15" s="40">
        <f>'06_Сеть_и_дети'!AH25</f>
        <v/>
      </c>
      <c r="AI15" s="40">
        <f>'06_Сеть_и_дети'!AI25</f>
        <v/>
      </c>
      <c r="AJ15" s="40">
        <f>'06_Сеть_и_дети'!AJ25</f>
        <v/>
      </c>
      <c r="AK15" s="40">
        <f>'06_Сеть_и_дети'!AK25</f>
        <v/>
      </c>
      <c r="AL15" s="40">
        <f>'06_Сеть_и_дети'!AL25</f>
        <v/>
      </c>
      <c r="AM15" s="40">
        <f>'06_Сеть_и_дети'!AM25</f>
        <v/>
      </c>
      <c r="AN15" s="40">
        <f>'06_Сеть_и_дети'!AN25</f>
        <v/>
      </c>
      <c r="AO15" s="40">
        <f>'06_Сеть_и_дети'!AO25</f>
        <v/>
      </c>
      <c r="AP15" s="40">
        <f>'06_Сеть_и_дети'!AP25</f>
        <v/>
      </c>
      <c r="AQ15" s="40">
        <f>'06_Сеть_и_дети'!AQ25</f>
        <v/>
      </c>
      <c r="AR15" s="40">
        <f>'06_Сеть_и_дети'!AR25</f>
        <v/>
      </c>
      <c r="AS15" s="40">
        <f>'06_Сеть_и_дети'!AS25</f>
        <v/>
      </c>
      <c r="AT15" s="40">
        <f>'06_Сеть_и_дети'!AT25</f>
        <v/>
      </c>
      <c r="AU15" s="40">
        <f>'06_Сеть_и_дети'!AU25</f>
        <v/>
      </c>
      <c r="AV15" s="40">
        <f>'06_Сеть_и_дети'!AV25</f>
        <v/>
      </c>
      <c r="AW15" s="40">
        <f>'06_Сеть_и_дети'!AW25</f>
        <v/>
      </c>
      <c r="AX15" s="40">
        <f>'06_Сеть_и_дети'!AX25</f>
        <v/>
      </c>
      <c r="AY15" s="40">
        <f>'06_Сеть_и_дети'!AY25</f>
        <v/>
      </c>
      <c r="AZ15" s="40">
        <f>'06_Сеть_и_дети'!AZ25</f>
        <v/>
      </c>
      <c r="BA15" s="40">
        <f>'06_Сеть_и_дети'!BA25</f>
        <v/>
      </c>
      <c r="BB15" s="40">
        <f>'06_Сеть_и_дети'!BB25</f>
        <v/>
      </c>
      <c r="BC15" s="40">
        <f>'06_Сеть_и_дети'!BC25</f>
        <v/>
      </c>
      <c r="BD15" s="40">
        <f>'06_Сеть_и_дети'!BD25</f>
        <v/>
      </c>
      <c r="BE15" s="40">
        <f>'06_Сеть_и_дети'!BE25</f>
        <v/>
      </c>
      <c r="BF15" s="40">
        <f>'06_Сеть_и_дети'!BF25</f>
        <v/>
      </c>
      <c r="BG15" s="40">
        <f>'06_Сеть_и_дети'!BG25</f>
        <v/>
      </c>
      <c r="BH15" s="40">
        <f>'06_Сеть_и_дети'!BH25</f>
        <v/>
      </c>
      <c r="BI15" s="40">
        <f>'06_Сеть_и_дети'!BI25</f>
        <v/>
      </c>
    </row>
    <row r="16">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c r="AA16" s="73" t="n"/>
      <c r="AB16" s="73" t="n"/>
      <c r="AC16" s="73" t="n"/>
      <c r="AD16" s="73" t="n"/>
      <c r="AE16" s="73" t="n"/>
      <c r="AF16" s="73" t="n"/>
      <c r="AG16" s="73" t="n"/>
      <c r="AH16" s="73" t="n"/>
      <c r="AI16" s="73" t="n"/>
      <c r="AJ16" s="73" t="n"/>
      <c r="AK16" s="73" t="n"/>
      <c r="AL16" s="73" t="n"/>
      <c r="AM16" s="73" t="n"/>
      <c r="AN16" s="73" t="n"/>
      <c r="AO16" s="73" t="n"/>
      <c r="AP16" s="73" t="n"/>
      <c r="AQ16" s="73" t="n"/>
      <c r="AR16" s="73" t="n"/>
      <c r="AS16" s="73" t="n"/>
      <c r="AT16" s="73" t="n"/>
      <c r="AU16" s="73" t="n"/>
      <c r="AV16" s="73" t="n"/>
      <c r="AW16" s="73" t="n"/>
      <c r="AX16" s="73" t="n"/>
      <c r="AY16" s="73" t="n"/>
      <c r="AZ16" s="73" t="n"/>
      <c r="BA16" s="73" t="n"/>
      <c r="BB16" s="73" t="n"/>
      <c r="BC16" s="73" t="n"/>
      <c r="BD16" s="73" t="n"/>
      <c r="BE16" s="73" t="n"/>
      <c r="BF16" s="73" t="n"/>
      <c r="BG16" s="73" t="n"/>
      <c r="BH16" s="73" t="n"/>
      <c r="BI16" s="73" t="n"/>
    </row>
    <row r="17" ht="20" customHeight="1">
      <c r="A17" s="4" t="inlineStr">
        <is>
          <t>БДР — выручка</t>
        </is>
      </c>
    </row>
    <row r="18">
      <c r="A18" s="2" t="inlineStr">
        <is>
          <t>Паушальные взносы, без НДС</t>
        </is>
      </c>
      <c r="B18" s="40">
        <f>'04_Продажи'!B26</f>
        <v/>
      </c>
      <c r="C18" s="40">
        <f>'04_Продажи'!C26</f>
        <v/>
      </c>
      <c r="D18" s="40">
        <f>'04_Продажи'!D26</f>
        <v/>
      </c>
      <c r="E18" s="40">
        <f>'04_Продажи'!E26</f>
        <v/>
      </c>
      <c r="F18" s="40">
        <f>'04_Продажи'!F26</f>
        <v/>
      </c>
      <c r="G18" s="40">
        <f>'04_Продажи'!G26</f>
        <v/>
      </c>
      <c r="H18" s="40">
        <f>'04_Продажи'!H26</f>
        <v/>
      </c>
      <c r="I18" s="40">
        <f>'04_Продажи'!I26</f>
        <v/>
      </c>
      <c r="J18" s="40">
        <f>'04_Продажи'!J26</f>
        <v/>
      </c>
      <c r="K18" s="40">
        <f>'04_Продажи'!K26</f>
        <v/>
      </c>
      <c r="L18" s="40">
        <f>'04_Продажи'!L26</f>
        <v/>
      </c>
      <c r="M18" s="40">
        <f>'04_Продажи'!M26</f>
        <v/>
      </c>
      <c r="N18" s="40">
        <f>'04_Продажи'!N26</f>
        <v/>
      </c>
      <c r="O18" s="40">
        <f>'04_Продажи'!O26</f>
        <v/>
      </c>
      <c r="P18" s="40">
        <f>'04_Продажи'!P26</f>
        <v/>
      </c>
      <c r="Q18" s="40">
        <f>'04_Продажи'!Q26</f>
        <v/>
      </c>
      <c r="R18" s="40">
        <f>'04_Продажи'!R26</f>
        <v/>
      </c>
      <c r="S18" s="40">
        <f>'04_Продажи'!S26</f>
        <v/>
      </c>
      <c r="T18" s="40">
        <f>'04_Продажи'!T26</f>
        <v/>
      </c>
      <c r="U18" s="40">
        <f>'04_Продажи'!U26</f>
        <v/>
      </c>
      <c r="V18" s="40">
        <f>'04_Продажи'!V26</f>
        <v/>
      </c>
      <c r="W18" s="40">
        <f>'04_Продажи'!W26</f>
        <v/>
      </c>
      <c r="X18" s="40">
        <f>'04_Продажи'!X26</f>
        <v/>
      </c>
      <c r="Y18" s="40">
        <f>'04_Продажи'!Y26</f>
        <v/>
      </c>
      <c r="Z18" s="40">
        <f>'04_Продажи'!Z26</f>
        <v/>
      </c>
      <c r="AA18" s="40">
        <f>'04_Продажи'!AA26</f>
        <v/>
      </c>
      <c r="AB18" s="40">
        <f>'04_Продажи'!AB26</f>
        <v/>
      </c>
      <c r="AC18" s="40">
        <f>'04_Продажи'!AC26</f>
        <v/>
      </c>
      <c r="AD18" s="40">
        <f>'04_Продажи'!AD26</f>
        <v/>
      </c>
      <c r="AE18" s="40">
        <f>'04_Продажи'!AE26</f>
        <v/>
      </c>
      <c r="AF18" s="40">
        <f>'04_Продажи'!AF26</f>
        <v/>
      </c>
      <c r="AG18" s="40">
        <f>'04_Продажи'!AG26</f>
        <v/>
      </c>
      <c r="AH18" s="40">
        <f>'04_Продажи'!AH26</f>
        <v/>
      </c>
      <c r="AI18" s="40">
        <f>'04_Продажи'!AI26</f>
        <v/>
      </c>
      <c r="AJ18" s="40">
        <f>'04_Продажи'!AJ26</f>
        <v/>
      </c>
      <c r="AK18" s="40">
        <f>'04_Продажи'!AK26</f>
        <v/>
      </c>
      <c r="AL18" s="40">
        <f>'04_Продажи'!AL26</f>
        <v/>
      </c>
      <c r="AM18" s="40">
        <f>'04_Продажи'!AM26</f>
        <v/>
      </c>
      <c r="AN18" s="40">
        <f>'04_Продажи'!AN26</f>
        <v/>
      </c>
      <c r="AO18" s="40">
        <f>'04_Продажи'!AO26</f>
        <v/>
      </c>
      <c r="AP18" s="40">
        <f>'04_Продажи'!AP26</f>
        <v/>
      </c>
      <c r="AQ18" s="40">
        <f>'04_Продажи'!AQ26</f>
        <v/>
      </c>
      <c r="AR18" s="40">
        <f>'04_Продажи'!AR26</f>
        <v/>
      </c>
      <c r="AS18" s="40">
        <f>'04_Продажи'!AS26</f>
        <v/>
      </c>
      <c r="AT18" s="40">
        <f>'04_Продажи'!AT26</f>
        <v/>
      </c>
      <c r="AU18" s="40">
        <f>'04_Продажи'!AU26</f>
        <v/>
      </c>
      <c r="AV18" s="40">
        <f>'04_Продажи'!AV26</f>
        <v/>
      </c>
      <c r="AW18" s="40">
        <f>'04_Продажи'!AW26</f>
        <v/>
      </c>
      <c r="AX18" s="40">
        <f>'04_Продажи'!AX26</f>
        <v/>
      </c>
      <c r="AY18" s="40">
        <f>'04_Продажи'!AY26</f>
        <v/>
      </c>
      <c r="AZ18" s="40">
        <f>'04_Продажи'!AZ26</f>
        <v/>
      </c>
      <c r="BA18" s="40">
        <f>'04_Продажи'!BA26</f>
        <v/>
      </c>
      <c r="BB18" s="40">
        <f>'04_Продажи'!BB26</f>
        <v/>
      </c>
      <c r="BC18" s="40">
        <f>'04_Продажи'!BC26</f>
        <v/>
      </c>
      <c r="BD18" s="40">
        <f>'04_Продажи'!BD26</f>
        <v/>
      </c>
      <c r="BE18" s="40">
        <f>'04_Продажи'!BE26</f>
        <v/>
      </c>
      <c r="BF18" s="40">
        <f>'04_Продажи'!BF26</f>
        <v/>
      </c>
      <c r="BG18" s="40">
        <f>'04_Продажи'!BG26</f>
        <v/>
      </c>
      <c r="BH18" s="40">
        <f>'04_Продажи'!BH26</f>
        <v/>
      </c>
      <c r="BI18" s="40">
        <f>'04_Продажи'!BI26</f>
        <v/>
      </c>
    </row>
    <row r="19">
      <c r="A19" s="2" t="inlineStr">
        <is>
          <t>Роялти действующей сети, без НДС</t>
        </is>
      </c>
      <c r="B19" s="40">
        <f>'06_Сеть_и_дети'!B28/(1+'01_Вводные'!$B$58)</f>
        <v/>
      </c>
      <c r="C19" s="40">
        <f>'06_Сеть_и_дети'!C28/(1+'01_Вводные'!$B$58)</f>
        <v/>
      </c>
      <c r="D19" s="40">
        <f>'06_Сеть_и_дети'!D28/(1+'01_Вводные'!$B$58)</f>
        <v/>
      </c>
      <c r="E19" s="40">
        <f>'06_Сеть_и_дети'!E28/(1+'01_Вводные'!$B$58)</f>
        <v/>
      </c>
      <c r="F19" s="40">
        <f>'06_Сеть_и_дети'!F28/(1+'01_Вводные'!$B$58)</f>
        <v/>
      </c>
      <c r="G19" s="40">
        <f>'06_Сеть_и_дети'!G28/(1+'01_Вводные'!$B$58)</f>
        <v/>
      </c>
      <c r="H19" s="40">
        <f>'06_Сеть_и_дети'!H28/(1+'01_Вводные'!$B$58)</f>
        <v/>
      </c>
      <c r="I19" s="40">
        <f>'06_Сеть_и_дети'!I28/(1+'01_Вводные'!$B$58)</f>
        <v/>
      </c>
      <c r="J19" s="40">
        <f>'06_Сеть_и_дети'!J28/(1+'01_Вводные'!$B$58)</f>
        <v/>
      </c>
      <c r="K19" s="40">
        <f>'06_Сеть_и_дети'!K28/(1+'01_Вводные'!$B$58)</f>
        <v/>
      </c>
      <c r="L19" s="40">
        <f>'06_Сеть_и_дети'!L28/(1+'01_Вводные'!$B$58)</f>
        <v/>
      </c>
      <c r="M19" s="40">
        <f>'06_Сеть_и_дети'!M28/(1+'01_Вводные'!$B$58)</f>
        <v/>
      </c>
      <c r="N19" s="40">
        <f>'06_Сеть_и_дети'!N28/(1+'01_Вводные'!$B$58)</f>
        <v/>
      </c>
      <c r="O19" s="40">
        <f>'06_Сеть_и_дети'!O28/(1+'01_Вводные'!$B$58)</f>
        <v/>
      </c>
      <c r="P19" s="40">
        <f>'06_Сеть_и_дети'!P28/(1+'01_Вводные'!$B$58)</f>
        <v/>
      </c>
      <c r="Q19" s="40">
        <f>'06_Сеть_и_дети'!Q28/(1+'01_Вводные'!$B$58)</f>
        <v/>
      </c>
      <c r="R19" s="40">
        <f>'06_Сеть_и_дети'!R28/(1+'01_Вводные'!$B$58)</f>
        <v/>
      </c>
      <c r="S19" s="40">
        <f>'06_Сеть_и_дети'!S28/(1+'01_Вводные'!$B$58)</f>
        <v/>
      </c>
      <c r="T19" s="40">
        <f>'06_Сеть_и_дети'!T28/(1+'01_Вводные'!$B$58)</f>
        <v/>
      </c>
      <c r="U19" s="40">
        <f>'06_Сеть_и_дети'!U28/(1+'01_Вводные'!$B$58)</f>
        <v/>
      </c>
      <c r="V19" s="40">
        <f>'06_Сеть_и_дети'!V28/(1+'01_Вводные'!$B$58)</f>
        <v/>
      </c>
      <c r="W19" s="40">
        <f>'06_Сеть_и_дети'!W28/(1+'01_Вводные'!$B$58)</f>
        <v/>
      </c>
      <c r="X19" s="40">
        <f>'06_Сеть_и_дети'!X28/(1+'01_Вводные'!$B$58)</f>
        <v/>
      </c>
      <c r="Y19" s="40">
        <f>'06_Сеть_и_дети'!Y28/(1+'01_Вводные'!$B$58)</f>
        <v/>
      </c>
      <c r="Z19" s="40">
        <f>'06_Сеть_и_дети'!Z28/(1+'01_Вводные'!$B$58)</f>
        <v/>
      </c>
      <c r="AA19" s="40">
        <f>'06_Сеть_и_дети'!AA28/(1+'01_Вводные'!$B$58)</f>
        <v/>
      </c>
      <c r="AB19" s="40">
        <f>'06_Сеть_и_дети'!AB28/(1+'01_Вводные'!$B$58)</f>
        <v/>
      </c>
      <c r="AC19" s="40">
        <f>'06_Сеть_и_дети'!AC28/(1+'01_Вводные'!$B$58)</f>
        <v/>
      </c>
      <c r="AD19" s="40">
        <f>'06_Сеть_и_дети'!AD28/(1+'01_Вводные'!$B$58)</f>
        <v/>
      </c>
      <c r="AE19" s="40">
        <f>'06_Сеть_и_дети'!AE28/(1+'01_Вводные'!$B$58)</f>
        <v/>
      </c>
      <c r="AF19" s="40">
        <f>'06_Сеть_и_дети'!AF28/(1+'01_Вводные'!$B$58)</f>
        <v/>
      </c>
      <c r="AG19" s="40">
        <f>'06_Сеть_и_дети'!AG28/(1+'01_Вводные'!$B$58)</f>
        <v/>
      </c>
      <c r="AH19" s="40">
        <f>'06_Сеть_и_дети'!AH28/(1+'01_Вводные'!$B$58)</f>
        <v/>
      </c>
      <c r="AI19" s="40">
        <f>'06_Сеть_и_дети'!AI28/(1+'01_Вводные'!$B$58)</f>
        <v/>
      </c>
      <c r="AJ19" s="40">
        <f>'06_Сеть_и_дети'!AJ28/(1+'01_Вводные'!$B$58)</f>
        <v/>
      </c>
      <c r="AK19" s="40">
        <f>'06_Сеть_и_дети'!AK28/(1+'01_Вводные'!$B$58)</f>
        <v/>
      </c>
      <c r="AL19" s="40">
        <f>'06_Сеть_и_дети'!AL28/(1+'01_Вводные'!$B$58)</f>
        <v/>
      </c>
      <c r="AM19" s="40">
        <f>'06_Сеть_и_дети'!AM28/(1+'01_Вводные'!$B$58)</f>
        <v/>
      </c>
      <c r="AN19" s="40">
        <f>'06_Сеть_и_дети'!AN28/(1+'01_Вводные'!$B$58)</f>
        <v/>
      </c>
      <c r="AO19" s="40">
        <f>'06_Сеть_и_дети'!AO28/(1+'01_Вводные'!$B$58)</f>
        <v/>
      </c>
      <c r="AP19" s="40">
        <f>'06_Сеть_и_дети'!AP28/(1+'01_Вводные'!$B$58)</f>
        <v/>
      </c>
      <c r="AQ19" s="40">
        <f>'06_Сеть_и_дети'!AQ28/(1+'01_Вводные'!$B$58)</f>
        <v/>
      </c>
      <c r="AR19" s="40">
        <f>'06_Сеть_и_дети'!AR28/(1+'01_Вводные'!$B$58)</f>
        <v/>
      </c>
      <c r="AS19" s="40">
        <f>'06_Сеть_и_дети'!AS28/(1+'01_Вводные'!$B$58)</f>
        <v/>
      </c>
      <c r="AT19" s="40">
        <f>'06_Сеть_и_дети'!AT28/(1+'01_Вводные'!$B$58)</f>
        <v/>
      </c>
      <c r="AU19" s="40">
        <f>'06_Сеть_и_дети'!AU28/(1+'01_Вводные'!$B$58)</f>
        <v/>
      </c>
      <c r="AV19" s="40">
        <f>'06_Сеть_и_дети'!AV28/(1+'01_Вводные'!$B$58)</f>
        <v/>
      </c>
      <c r="AW19" s="40">
        <f>'06_Сеть_и_дети'!AW28/(1+'01_Вводные'!$B$58)</f>
        <v/>
      </c>
      <c r="AX19" s="40">
        <f>'06_Сеть_и_дети'!AX28/(1+'01_Вводные'!$B$58)</f>
        <v/>
      </c>
      <c r="AY19" s="40">
        <f>'06_Сеть_и_дети'!AY28/(1+'01_Вводные'!$B$58)</f>
        <v/>
      </c>
      <c r="AZ19" s="40">
        <f>'06_Сеть_и_дети'!AZ28/(1+'01_Вводные'!$B$58)</f>
        <v/>
      </c>
      <c r="BA19" s="40">
        <f>'06_Сеть_и_дети'!BA28/(1+'01_Вводные'!$B$58)</f>
        <v/>
      </c>
      <c r="BB19" s="40">
        <f>'06_Сеть_и_дети'!BB28/(1+'01_Вводные'!$B$58)</f>
        <v/>
      </c>
      <c r="BC19" s="40">
        <f>'06_Сеть_и_дети'!BC28/(1+'01_Вводные'!$B$58)</f>
        <v/>
      </c>
      <c r="BD19" s="40">
        <f>'06_Сеть_и_дети'!BD28/(1+'01_Вводные'!$B$58)</f>
        <v/>
      </c>
      <c r="BE19" s="40">
        <f>'06_Сеть_и_дети'!BE28/(1+'01_Вводные'!$B$58)</f>
        <v/>
      </c>
      <c r="BF19" s="40">
        <f>'06_Сеть_и_дети'!BF28/(1+'01_Вводные'!$B$58)</f>
        <v/>
      </c>
      <c r="BG19" s="40">
        <f>'06_Сеть_и_дети'!BG28/(1+'01_Вводные'!$B$58)</f>
        <v/>
      </c>
      <c r="BH19" s="40">
        <f>'06_Сеть_и_дети'!BH28/(1+'01_Вводные'!$B$58)</f>
        <v/>
      </c>
      <c r="BI19" s="40">
        <f>'06_Сеть_и_дети'!BI28/(1+'01_Вводные'!$B$58)</f>
        <v/>
      </c>
    </row>
    <row r="20">
      <c r="A20" s="2" t="inlineStr">
        <is>
          <t>Роялти новых школ, без НДС</t>
        </is>
      </c>
      <c r="B20" s="40">
        <f>'06_Сеть_и_дети'!B29/(1+'01_Вводные'!$B$58)</f>
        <v/>
      </c>
      <c r="C20" s="40">
        <f>'06_Сеть_и_дети'!C29/(1+'01_Вводные'!$B$58)</f>
        <v/>
      </c>
      <c r="D20" s="40">
        <f>'06_Сеть_и_дети'!D29/(1+'01_Вводные'!$B$58)</f>
        <v/>
      </c>
      <c r="E20" s="40">
        <f>'06_Сеть_и_дети'!E29/(1+'01_Вводные'!$B$58)</f>
        <v/>
      </c>
      <c r="F20" s="40">
        <f>'06_Сеть_и_дети'!F29/(1+'01_Вводные'!$B$58)</f>
        <v/>
      </c>
      <c r="G20" s="40">
        <f>'06_Сеть_и_дети'!G29/(1+'01_Вводные'!$B$58)</f>
        <v/>
      </c>
      <c r="H20" s="40">
        <f>'06_Сеть_и_дети'!H29/(1+'01_Вводные'!$B$58)</f>
        <v/>
      </c>
      <c r="I20" s="40">
        <f>'06_Сеть_и_дети'!I29/(1+'01_Вводные'!$B$58)</f>
        <v/>
      </c>
      <c r="J20" s="40">
        <f>'06_Сеть_и_дети'!J29/(1+'01_Вводные'!$B$58)</f>
        <v/>
      </c>
      <c r="K20" s="40">
        <f>'06_Сеть_и_дети'!K29/(1+'01_Вводные'!$B$58)</f>
        <v/>
      </c>
      <c r="L20" s="40">
        <f>'06_Сеть_и_дети'!L29/(1+'01_Вводные'!$B$58)</f>
        <v/>
      </c>
      <c r="M20" s="40">
        <f>'06_Сеть_и_дети'!M29/(1+'01_Вводные'!$B$58)</f>
        <v/>
      </c>
      <c r="N20" s="40">
        <f>'06_Сеть_и_дети'!N29/(1+'01_Вводные'!$B$58)</f>
        <v/>
      </c>
      <c r="O20" s="40">
        <f>'06_Сеть_и_дети'!O29/(1+'01_Вводные'!$B$58)</f>
        <v/>
      </c>
      <c r="P20" s="40">
        <f>'06_Сеть_и_дети'!P29/(1+'01_Вводные'!$B$58)</f>
        <v/>
      </c>
      <c r="Q20" s="40">
        <f>'06_Сеть_и_дети'!Q29/(1+'01_Вводные'!$B$58)</f>
        <v/>
      </c>
      <c r="R20" s="40">
        <f>'06_Сеть_и_дети'!R29/(1+'01_Вводные'!$B$58)</f>
        <v/>
      </c>
      <c r="S20" s="40">
        <f>'06_Сеть_и_дети'!S29/(1+'01_Вводные'!$B$58)</f>
        <v/>
      </c>
      <c r="T20" s="40">
        <f>'06_Сеть_и_дети'!T29/(1+'01_Вводные'!$B$58)</f>
        <v/>
      </c>
      <c r="U20" s="40">
        <f>'06_Сеть_и_дети'!U29/(1+'01_Вводные'!$B$58)</f>
        <v/>
      </c>
      <c r="V20" s="40">
        <f>'06_Сеть_и_дети'!V29/(1+'01_Вводные'!$B$58)</f>
        <v/>
      </c>
      <c r="W20" s="40">
        <f>'06_Сеть_и_дети'!W29/(1+'01_Вводные'!$B$58)</f>
        <v/>
      </c>
      <c r="X20" s="40">
        <f>'06_Сеть_и_дети'!X29/(1+'01_Вводные'!$B$58)</f>
        <v/>
      </c>
      <c r="Y20" s="40">
        <f>'06_Сеть_и_дети'!Y29/(1+'01_Вводные'!$B$58)</f>
        <v/>
      </c>
      <c r="Z20" s="40">
        <f>'06_Сеть_и_дети'!Z29/(1+'01_Вводные'!$B$58)</f>
        <v/>
      </c>
      <c r="AA20" s="40">
        <f>'06_Сеть_и_дети'!AA29/(1+'01_Вводные'!$B$58)</f>
        <v/>
      </c>
      <c r="AB20" s="40">
        <f>'06_Сеть_и_дети'!AB29/(1+'01_Вводные'!$B$58)</f>
        <v/>
      </c>
      <c r="AC20" s="40">
        <f>'06_Сеть_и_дети'!AC29/(1+'01_Вводные'!$B$58)</f>
        <v/>
      </c>
      <c r="AD20" s="40">
        <f>'06_Сеть_и_дети'!AD29/(1+'01_Вводные'!$B$58)</f>
        <v/>
      </c>
      <c r="AE20" s="40">
        <f>'06_Сеть_и_дети'!AE29/(1+'01_Вводные'!$B$58)</f>
        <v/>
      </c>
      <c r="AF20" s="40">
        <f>'06_Сеть_и_дети'!AF29/(1+'01_Вводные'!$B$58)</f>
        <v/>
      </c>
      <c r="AG20" s="40">
        <f>'06_Сеть_и_дети'!AG29/(1+'01_Вводные'!$B$58)</f>
        <v/>
      </c>
      <c r="AH20" s="40">
        <f>'06_Сеть_и_дети'!AH29/(1+'01_Вводные'!$B$58)</f>
        <v/>
      </c>
      <c r="AI20" s="40">
        <f>'06_Сеть_и_дети'!AI29/(1+'01_Вводные'!$B$58)</f>
        <v/>
      </c>
      <c r="AJ20" s="40">
        <f>'06_Сеть_и_дети'!AJ29/(1+'01_Вводные'!$B$58)</f>
        <v/>
      </c>
      <c r="AK20" s="40">
        <f>'06_Сеть_и_дети'!AK29/(1+'01_Вводные'!$B$58)</f>
        <v/>
      </c>
      <c r="AL20" s="40">
        <f>'06_Сеть_и_дети'!AL29/(1+'01_Вводные'!$B$58)</f>
        <v/>
      </c>
      <c r="AM20" s="40">
        <f>'06_Сеть_и_дети'!AM29/(1+'01_Вводные'!$B$58)</f>
        <v/>
      </c>
      <c r="AN20" s="40">
        <f>'06_Сеть_и_дети'!AN29/(1+'01_Вводные'!$B$58)</f>
        <v/>
      </c>
      <c r="AO20" s="40">
        <f>'06_Сеть_и_дети'!AO29/(1+'01_Вводные'!$B$58)</f>
        <v/>
      </c>
      <c r="AP20" s="40">
        <f>'06_Сеть_и_дети'!AP29/(1+'01_Вводные'!$B$58)</f>
        <v/>
      </c>
      <c r="AQ20" s="40">
        <f>'06_Сеть_и_дети'!AQ29/(1+'01_Вводные'!$B$58)</f>
        <v/>
      </c>
      <c r="AR20" s="40">
        <f>'06_Сеть_и_дети'!AR29/(1+'01_Вводные'!$B$58)</f>
        <v/>
      </c>
      <c r="AS20" s="40">
        <f>'06_Сеть_и_дети'!AS29/(1+'01_Вводные'!$B$58)</f>
        <v/>
      </c>
      <c r="AT20" s="40">
        <f>'06_Сеть_и_дети'!AT29/(1+'01_Вводные'!$B$58)</f>
        <v/>
      </c>
      <c r="AU20" s="40">
        <f>'06_Сеть_и_дети'!AU29/(1+'01_Вводные'!$B$58)</f>
        <v/>
      </c>
      <c r="AV20" s="40">
        <f>'06_Сеть_и_дети'!AV29/(1+'01_Вводные'!$B$58)</f>
        <v/>
      </c>
      <c r="AW20" s="40">
        <f>'06_Сеть_и_дети'!AW29/(1+'01_Вводные'!$B$58)</f>
        <v/>
      </c>
      <c r="AX20" s="40">
        <f>'06_Сеть_и_дети'!AX29/(1+'01_Вводные'!$B$58)</f>
        <v/>
      </c>
      <c r="AY20" s="40">
        <f>'06_Сеть_и_дети'!AY29/(1+'01_Вводные'!$B$58)</f>
        <v/>
      </c>
      <c r="AZ20" s="40">
        <f>'06_Сеть_и_дети'!AZ29/(1+'01_Вводные'!$B$58)</f>
        <v/>
      </c>
      <c r="BA20" s="40">
        <f>'06_Сеть_и_дети'!BA29/(1+'01_Вводные'!$B$58)</f>
        <v/>
      </c>
      <c r="BB20" s="40">
        <f>'06_Сеть_и_дети'!BB29/(1+'01_Вводные'!$B$58)</f>
        <v/>
      </c>
      <c r="BC20" s="40">
        <f>'06_Сеть_и_дети'!BC29/(1+'01_Вводные'!$B$58)</f>
        <v/>
      </c>
      <c r="BD20" s="40">
        <f>'06_Сеть_и_дети'!BD29/(1+'01_Вводные'!$B$58)</f>
        <v/>
      </c>
      <c r="BE20" s="40">
        <f>'06_Сеть_и_дети'!BE29/(1+'01_Вводные'!$B$58)</f>
        <v/>
      </c>
      <c r="BF20" s="40">
        <f>'06_Сеть_и_дети'!BF29/(1+'01_Вводные'!$B$58)</f>
        <v/>
      </c>
      <c r="BG20" s="40">
        <f>'06_Сеть_и_дети'!BG29/(1+'01_Вводные'!$B$58)</f>
        <v/>
      </c>
      <c r="BH20" s="40">
        <f>'06_Сеть_и_дети'!BH29/(1+'01_Вводные'!$B$58)</f>
        <v/>
      </c>
      <c r="BI20" s="40">
        <f>'06_Сеть_и_дети'!BI29/(1+'01_Вводные'!$B$58)</f>
        <v/>
      </c>
    </row>
    <row r="21">
      <c r="A21" s="2" t="inlineStr">
        <is>
          <t>Мерч, без НДС</t>
        </is>
      </c>
      <c r="B21" s="40">
        <f>'07_Мерч'!B15</f>
        <v/>
      </c>
      <c r="C21" s="40">
        <f>'07_Мерч'!C15</f>
        <v/>
      </c>
      <c r="D21" s="40">
        <f>'07_Мерч'!D15</f>
        <v/>
      </c>
      <c r="E21" s="40">
        <f>'07_Мерч'!E15</f>
        <v/>
      </c>
      <c r="F21" s="40">
        <f>'07_Мерч'!F15</f>
        <v/>
      </c>
      <c r="G21" s="40">
        <f>'07_Мерч'!G15</f>
        <v/>
      </c>
      <c r="H21" s="40">
        <f>'07_Мерч'!H15</f>
        <v/>
      </c>
      <c r="I21" s="40">
        <f>'07_Мерч'!I15</f>
        <v/>
      </c>
      <c r="J21" s="40">
        <f>'07_Мерч'!J15</f>
        <v/>
      </c>
      <c r="K21" s="40">
        <f>'07_Мерч'!K15</f>
        <v/>
      </c>
      <c r="L21" s="40">
        <f>'07_Мерч'!L15</f>
        <v/>
      </c>
      <c r="M21" s="40">
        <f>'07_Мерч'!M15</f>
        <v/>
      </c>
      <c r="N21" s="40">
        <f>'07_Мерч'!N15</f>
        <v/>
      </c>
      <c r="O21" s="40">
        <f>'07_Мерч'!O15</f>
        <v/>
      </c>
      <c r="P21" s="40">
        <f>'07_Мерч'!P15</f>
        <v/>
      </c>
      <c r="Q21" s="40">
        <f>'07_Мерч'!Q15</f>
        <v/>
      </c>
      <c r="R21" s="40">
        <f>'07_Мерч'!R15</f>
        <v/>
      </c>
      <c r="S21" s="40">
        <f>'07_Мерч'!S15</f>
        <v/>
      </c>
      <c r="T21" s="40">
        <f>'07_Мерч'!T15</f>
        <v/>
      </c>
      <c r="U21" s="40">
        <f>'07_Мерч'!U15</f>
        <v/>
      </c>
      <c r="V21" s="40">
        <f>'07_Мерч'!V15</f>
        <v/>
      </c>
      <c r="W21" s="40">
        <f>'07_Мерч'!W15</f>
        <v/>
      </c>
      <c r="X21" s="40">
        <f>'07_Мерч'!X15</f>
        <v/>
      </c>
      <c r="Y21" s="40">
        <f>'07_Мерч'!Y15</f>
        <v/>
      </c>
      <c r="Z21" s="40">
        <f>'07_Мерч'!Z15</f>
        <v/>
      </c>
      <c r="AA21" s="40">
        <f>'07_Мерч'!AA15</f>
        <v/>
      </c>
      <c r="AB21" s="40">
        <f>'07_Мерч'!AB15</f>
        <v/>
      </c>
      <c r="AC21" s="40">
        <f>'07_Мерч'!AC15</f>
        <v/>
      </c>
      <c r="AD21" s="40">
        <f>'07_Мерч'!AD15</f>
        <v/>
      </c>
      <c r="AE21" s="40">
        <f>'07_Мерч'!AE15</f>
        <v/>
      </c>
      <c r="AF21" s="40">
        <f>'07_Мерч'!AF15</f>
        <v/>
      </c>
      <c r="AG21" s="40">
        <f>'07_Мерч'!AG15</f>
        <v/>
      </c>
      <c r="AH21" s="40">
        <f>'07_Мерч'!AH15</f>
        <v/>
      </c>
      <c r="AI21" s="40">
        <f>'07_Мерч'!AI15</f>
        <v/>
      </c>
      <c r="AJ21" s="40">
        <f>'07_Мерч'!AJ15</f>
        <v/>
      </c>
      <c r="AK21" s="40">
        <f>'07_Мерч'!AK15</f>
        <v/>
      </c>
      <c r="AL21" s="40">
        <f>'07_Мерч'!AL15</f>
        <v/>
      </c>
      <c r="AM21" s="40">
        <f>'07_Мерч'!AM15</f>
        <v/>
      </c>
      <c r="AN21" s="40">
        <f>'07_Мерч'!AN15</f>
        <v/>
      </c>
      <c r="AO21" s="40">
        <f>'07_Мерч'!AO15</f>
        <v/>
      </c>
      <c r="AP21" s="40">
        <f>'07_Мерч'!AP15</f>
        <v/>
      </c>
      <c r="AQ21" s="40">
        <f>'07_Мерч'!AQ15</f>
        <v/>
      </c>
      <c r="AR21" s="40">
        <f>'07_Мерч'!AR15</f>
        <v/>
      </c>
      <c r="AS21" s="40">
        <f>'07_Мерч'!AS15</f>
        <v/>
      </c>
      <c r="AT21" s="40">
        <f>'07_Мерч'!AT15</f>
        <v/>
      </c>
      <c r="AU21" s="40">
        <f>'07_Мерч'!AU15</f>
        <v/>
      </c>
      <c r="AV21" s="40">
        <f>'07_Мерч'!AV15</f>
        <v/>
      </c>
      <c r="AW21" s="40">
        <f>'07_Мерч'!AW15</f>
        <v/>
      </c>
      <c r="AX21" s="40">
        <f>'07_Мерч'!AX15</f>
        <v/>
      </c>
      <c r="AY21" s="40">
        <f>'07_Мерч'!AY15</f>
        <v/>
      </c>
      <c r="AZ21" s="40">
        <f>'07_Мерч'!AZ15</f>
        <v/>
      </c>
      <c r="BA21" s="40">
        <f>'07_Мерч'!BA15</f>
        <v/>
      </c>
      <c r="BB21" s="40">
        <f>'07_Мерч'!BB15</f>
        <v/>
      </c>
      <c r="BC21" s="40">
        <f>'07_Мерч'!BC15</f>
        <v/>
      </c>
      <c r="BD21" s="40">
        <f>'07_Мерч'!BD15</f>
        <v/>
      </c>
      <c r="BE21" s="40">
        <f>'07_Мерч'!BE15</f>
        <v/>
      </c>
      <c r="BF21" s="40">
        <f>'07_Мерч'!BF15</f>
        <v/>
      </c>
      <c r="BG21" s="40">
        <f>'07_Мерч'!BG15</f>
        <v/>
      </c>
      <c r="BH21" s="40">
        <f>'07_Мерч'!BH15</f>
        <v/>
      </c>
      <c r="BI21" s="40">
        <f>'07_Мерч'!BI15</f>
        <v/>
      </c>
    </row>
    <row r="22">
      <c r="A22" s="2" t="inlineStr">
        <is>
          <t>Лагеря, без НДС</t>
        </is>
      </c>
      <c r="B22" s="40">
        <f>('09_Лагеря'!B10-'09_Лагеря'!B11)</f>
        <v/>
      </c>
      <c r="C22" s="40">
        <f>('09_Лагеря'!C10-'09_Лагеря'!C11)</f>
        <v/>
      </c>
      <c r="D22" s="40">
        <f>('09_Лагеря'!D10-'09_Лагеря'!D11)</f>
        <v/>
      </c>
      <c r="E22" s="40">
        <f>('09_Лагеря'!E10-'09_Лагеря'!E11)</f>
        <v/>
      </c>
      <c r="F22" s="40">
        <f>('09_Лагеря'!F10-'09_Лагеря'!F11)</f>
        <v/>
      </c>
      <c r="G22" s="40">
        <f>('09_Лагеря'!G10-'09_Лагеря'!G11)</f>
        <v/>
      </c>
      <c r="H22" s="40">
        <f>('09_Лагеря'!H10-'09_Лагеря'!H11)</f>
        <v/>
      </c>
      <c r="I22" s="40">
        <f>('09_Лагеря'!I10-'09_Лагеря'!I11)</f>
        <v/>
      </c>
      <c r="J22" s="40">
        <f>('09_Лагеря'!J10-'09_Лагеря'!J11)</f>
        <v/>
      </c>
      <c r="K22" s="40">
        <f>('09_Лагеря'!K10-'09_Лагеря'!K11)</f>
        <v/>
      </c>
      <c r="L22" s="40">
        <f>('09_Лагеря'!L10-'09_Лагеря'!L11)</f>
        <v/>
      </c>
      <c r="M22" s="40">
        <f>('09_Лагеря'!M10-'09_Лагеря'!M11)</f>
        <v/>
      </c>
      <c r="N22" s="40">
        <f>('09_Лагеря'!N10-'09_Лагеря'!N11)</f>
        <v/>
      </c>
      <c r="O22" s="40">
        <f>('09_Лагеря'!O10-'09_Лагеря'!O11)</f>
        <v/>
      </c>
      <c r="P22" s="40">
        <f>('09_Лагеря'!P10-'09_Лагеря'!P11)</f>
        <v/>
      </c>
      <c r="Q22" s="40">
        <f>('09_Лагеря'!Q10-'09_Лагеря'!Q11)</f>
        <v/>
      </c>
      <c r="R22" s="40">
        <f>('09_Лагеря'!R10-'09_Лагеря'!R11)</f>
        <v/>
      </c>
      <c r="S22" s="40">
        <f>('09_Лагеря'!S10-'09_Лагеря'!S11)</f>
        <v/>
      </c>
      <c r="T22" s="40">
        <f>('09_Лагеря'!T10-'09_Лагеря'!T11)</f>
        <v/>
      </c>
      <c r="U22" s="40">
        <f>('09_Лагеря'!U10-'09_Лагеря'!U11)</f>
        <v/>
      </c>
      <c r="V22" s="40">
        <f>('09_Лагеря'!V10-'09_Лагеря'!V11)</f>
        <v/>
      </c>
      <c r="W22" s="40">
        <f>('09_Лагеря'!W10-'09_Лагеря'!W11)</f>
        <v/>
      </c>
      <c r="X22" s="40">
        <f>('09_Лагеря'!X10-'09_Лагеря'!X11)</f>
        <v/>
      </c>
      <c r="Y22" s="40">
        <f>('09_Лагеря'!Y10-'09_Лагеря'!Y11)</f>
        <v/>
      </c>
      <c r="Z22" s="40">
        <f>('09_Лагеря'!Z10-'09_Лагеря'!Z11)</f>
        <v/>
      </c>
      <c r="AA22" s="40">
        <f>('09_Лагеря'!AA10-'09_Лагеря'!AA11)</f>
        <v/>
      </c>
      <c r="AB22" s="40">
        <f>('09_Лагеря'!AB10-'09_Лагеря'!AB11)</f>
        <v/>
      </c>
      <c r="AC22" s="40">
        <f>('09_Лагеря'!AC10-'09_Лагеря'!AC11)</f>
        <v/>
      </c>
      <c r="AD22" s="40">
        <f>('09_Лагеря'!AD10-'09_Лагеря'!AD11)</f>
        <v/>
      </c>
      <c r="AE22" s="40">
        <f>('09_Лагеря'!AE10-'09_Лагеря'!AE11)</f>
        <v/>
      </c>
      <c r="AF22" s="40">
        <f>('09_Лагеря'!AF10-'09_Лагеря'!AF11)</f>
        <v/>
      </c>
      <c r="AG22" s="40">
        <f>('09_Лагеря'!AG10-'09_Лагеря'!AG11)</f>
        <v/>
      </c>
      <c r="AH22" s="40">
        <f>('09_Лагеря'!AH10-'09_Лагеря'!AH11)</f>
        <v/>
      </c>
      <c r="AI22" s="40">
        <f>('09_Лагеря'!AI10-'09_Лагеря'!AI11)</f>
        <v/>
      </c>
      <c r="AJ22" s="40">
        <f>('09_Лагеря'!AJ10-'09_Лагеря'!AJ11)</f>
        <v/>
      </c>
      <c r="AK22" s="40">
        <f>('09_Лагеря'!AK10-'09_Лагеря'!AK11)</f>
        <v/>
      </c>
      <c r="AL22" s="40">
        <f>('09_Лагеря'!AL10-'09_Лагеря'!AL11)</f>
        <v/>
      </c>
      <c r="AM22" s="40">
        <f>('09_Лагеря'!AM10-'09_Лагеря'!AM11)</f>
        <v/>
      </c>
      <c r="AN22" s="40">
        <f>('09_Лагеря'!AN10-'09_Лагеря'!AN11)</f>
        <v/>
      </c>
      <c r="AO22" s="40">
        <f>('09_Лагеря'!AO10-'09_Лагеря'!AO11)</f>
        <v/>
      </c>
      <c r="AP22" s="40">
        <f>('09_Лагеря'!AP10-'09_Лагеря'!AP11)</f>
        <v/>
      </c>
      <c r="AQ22" s="40">
        <f>('09_Лагеря'!AQ10-'09_Лагеря'!AQ11)</f>
        <v/>
      </c>
      <c r="AR22" s="40">
        <f>('09_Лагеря'!AR10-'09_Лагеря'!AR11)</f>
        <v/>
      </c>
      <c r="AS22" s="40">
        <f>('09_Лагеря'!AS10-'09_Лагеря'!AS11)</f>
        <v/>
      </c>
      <c r="AT22" s="40">
        <f>('09_Лагеря'!AT10-'09_Лагеря'!AT11)</f>
        <v/>
      </c>
      <c r="AU22" s="40">
        <f>('09_Лагеря'!AU10-'09_Лагеря'!AU11)</f>
        <v/>
      </c>
      <c r="AV22" s="40">
        <f>('09_Лагеря'!AV10-'09_Лагеря'!AV11)</f>
        <v/>
      </c>
      <c r="AW22" s="40">
        <f>('09_Лагеря'!AW10-'09_Лагеря'!AW11)</f>
        <v/>
      </c>
      <c r="AX22" s="40">
        <f>('09_Лагеря'!AX10-'09_Лагеря'!AX11)</f>
        <v/>
      </c>
      <c r="AY22" s="40">
        <f>('09_Лагеря'!AY10-'09_Лагеря'!AY11)</f>
        <v/>
      </c>
      <c r="AZ22" s="40">
        <f>('09_Лагеря'!AZ10-'09_Лагеря'!AZ11)</f>
        <v/>
      </c>
      <c r="BA22" s="40">
        <f>('09_Лагеря'!BA10-'09_Лагеря'!BA11)</f>
        <v/>
      </c>
      <c r="BB22" s="40">
        <f>('09_Лагеря'!BB10-'09_Лагеря'!BB11)</f>
        <v/>
      </c>
      <c r="BC22" s="40">
        <f>('09_Лагеря'!BC10-'09_Лагеря'!BC11)</f>
        <v/>
      </c>
      <c r="BD22" s="40">
        <f>('09_Лагеря'!BD10-'09_Лагеря'!BD11)</f>
        <v/>
      </c>
      <c r="BE22" s="40">
        <f>('09_Лагеря'!BE10-'09_Лагеря'!BE11)</f>
        <v/>
      </c>
      <c r="BF22" s="40">
        <f>('09_Лагеря'!BF10-'09_Лагеря'!BF11)</f>
        <v/>
      </c>
      <c r="BG22" s="40">
        <f>('09_Лагеря'!BG10-'09_Лагеря'!BG11)</f>
        <v/>
      </c>
      <c r="BH22" s="40">
        <f>('09_Лагеря'!BH10-'09_Лагеря'!BH11)</f>
        <v/>
      </c>
      <c r="BI22" s="40">
        <f>('09_Лагеря'!BI10-'09_Лагеря'!BI11)</f>
        <v/>
      </c>
    </row>
    <row r="23">
      <c r="A23" s="10" t="inlineStr">
        <is>
          <t>Выручка — всего, без НДС</t>
        </is>
      </c>
      <c r="B23" s="43">
        <f>SUM(B18:B22)</f>
        <v/>
      </c>
      <c r="C23" s="43">
        <f>SUM(C18:C22)</f>
        <v/>
      </c>
      <c r="D23" s="43">
        <f>SUM(D18:D22)</f>
        <v/>
      </c>
      <c r="E23" s="43">
        <f>SUM(E18:E22)</f>
        <v/>
      </c>
      <c r="F23" s="43">
        <f>SUM(F18:F22)</f>
        <v/>
      </c>
      <c r="G23" s="43">
        <f>SUM(G18:G22)</f>
        <v/>
      </c>
      <c r="H23" s="43">
        <f>SUM(H18:H22)</f>
        <v/>
      </c>
      <c r="I23" s="43">
        <f>SUM(I18:I22)</f>
        <v/>
      </c>
      <c r="J23" s="43">
        <f>SUM(J18:J22)</f>
        <v/>
      </c>
      <c r="K23" s="43">
        <f>SUM(K18:K22)</f>
        <v/>
      </c>
      <c r="L23" s="43">
        <f>SUM(L18:L22)</f>
        <v/>
      </c>
      <c r="M23" s="43">
        <f>SUM(M18:M22)</f>
        <v/>
      </c>
      <c r="N23" s="43">
        <f>SUM(N18:N22)</f>
        <v/>
      </c>
      <c r="O23" s="43">
        <f>SUM(O18:O22)</f>
        <v/>
      </c>
      <c r="P23" s="43">
        <f>SUM(P18:P22)</f>
        <v/>
      </c>
      <c r="Q23" s="43">
        <f>SUM(Q18:Q22)</f>
        <v/>
      </c>
      <c r="R23" s="43">
        <f>SUM(R18:R22)</f>
        <v/>
      </c>
      <c r="S23" s="43">
        <f>SUM(S18:S22)</f>
        <v/>
      </c>
      <c r="T23" s="43">
        <f>SUM(T18:T22)</f>
        <v/>
      </c>
      <c r="U23" s="43">
        <f>SUM(U18:U22)</f>
        <v/>
      </c>
      <c r="V23" s="43">
        <f>SUM(V18:V22)</f>
        <v/>
      </c>
      <c r="W23" s="43">
        <f>SUM(W18:W22)</f>
        <v/>
      </c>
      <c r="X23" s="43">
        <f>SUM(X18:X22)</f>
        <v/>
      </c>
      <c r="Y23" s="43">
        <f>SUM(Y18:Y22)</f>
        <v/>
      </c>
      <c r="Z23" s="43">
        <f>SUM(Z18:Z22)</f>
        <v/>
      </c>
      <c r="AA23" s="43">
        <f>SUM(AA18:AA22)</f>
        <v/>
      </c>
      <c r="AB23" s="43">
        <f>SUM(AB18:AB22)</f>
        <v/>
      </c>
      <c r="AC23" s="43">
        <f>SUM(AC18:AC22)</f>
        <v/>
      </c>
      <c r="AD23" s="43">
        <f>SUM(AD18:AD22)</f>
        <v/>
      </c>
      <c r="AE23" s="43">
        <f>SUM(AE18:AE22)</f>
        <v/>
      </c>
      <c r="AF23" s="43">
        <f>SUM(AF18:AF22)</f>
        <v/>
      </c>
      <c r="AG23" s="43">
        <f>SUM(AG18:AG22)</f>
        <v/>
      </c>
      <c r="AH23" s="43">
        <f>SUM(AH18:AH22)</f>
        <v/>
      </c>
      <c r="AI23" s="43">
        <f>SUM(AI18:AI22)</f>
        <v/>
      </c>
      <c r="AJ23" s="43">
        <f>SUM(AJ18:AJ22)</f>
        <v/>
      </c>
      <c r="AK23" s="43">
        <f>SUM(AK18:AK22)</f>
        <v/>
      </c>
      <c r="AL23" s="43">
        <f>SUM(AL18:AL22)</f>
        <v/>
      </c>
      <c r="AM23" s="43">
        <f>SUM(AM18:AM22)</f>
        <v/>
      </c>
      <c r="AN23" s="43">
        <f>SUM(AN18:AN22)</f>
        <v/>
      </c>
      <c r="AO23" s="43">
        <f>SUM(AO18:AO22)</f>
        <v/>
      </c>
      <c r="AP23" s="43">
        <f>SUM(AP18:AP22)</f>
        <v/>
      </c>
      <c r="AQ23" s="43">
        <f>SUM(AQ18:AQ22)</f>
        <v/>
      </c>
      <c r="AR23" s="43">
        <f>SUM(AR18:AR22)</f>
        <v/>
      </c>
      <c r="AS23" s="43">
        <f>SUM(AS18:AS22)</f>
        <v/>
      </c>
      <c r="AT23" s="43">
        <f>SUM(AT18:AT22)</f>
        <v/>
      </c>
      <c r="AU23" s="43">
        <f>SUM(AU18:AU22)</f>
        <v/>
      </c>
      <c r="AV23" s="43">
        <f>SUM(AV18:AV22)</f>
        <v/>
      </c>
      <c r="AW23" s="43">
        <f>SUM(AW18:AW22)</f>
        <v/>
      </c>
      <c r="AX23" s="43">
        <f>SUM(AX18:AX22)</f>
        <v/>
      </c>
      <c r="AY23" s="43">
        <f>SUM(AY18:AY22)</f>
        <v/>
      </c>
      <c r="AZ23" s="43">
        <f>SUM(AZ18:AZ22)</f>
        <v/>
      </c>
      <c r="BA23" s="43">
        <f>SUM(BA18:BA22)</f>
        <v/>
      </c>
      <c r="BB23" s="43">
        <f>SUM(BB18:BB22)</f>
        <v/>
      </c>
      <c r="BC23" s="43">
        <f>SUM(BC18:BC22)</f>
        <v/>
      </c>
      <c r="BD23" s="43">
        <f>SUM(BD18:BD22)</f>
        <v/>
      </c>
      <c r="BE23" s="43">
        <f>SUM(BE18:BE22)</f>
        <v/>
      </c>
      <c r="BF23" s="43">
        <f>SUM(BF18:BF22)</f>
        <v/>
      </c>
      <c r="BG23" s="43">
        <f>SUM(BG18:BG22)</f>
        <v/>
      </c>
      <c r="BH23" s="43">
        <f>SUM(BH18:BH22)</f>
        <v/>
      </c>
      <c r="BI23" s="43">
        <f>SUM(BI18:BI22)</f>
        <v/>
      </c>
    </row>
    <row r="24">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c r="AA24" s="73" t="n"/>
      <c r="AB24" s="73" t="n"/>
      <c r="AC24" s="73" t="n"/>
      <c r="AD24" s="73" t="n"/>
      <c r="AE24" s="73" t="n"/>
      <c r="AF24" s="73" t="n"/>
      <c r="AG24" s="73" t="n"/>
      <c r="AH24" s="73" t="n"/>
      <c r="AI24" s="73" t="n"/>
      <c r="AJ24" s="73" t="n"/>
      <c r="AK24" s="73" t="n"/>
      <c r="AL24" s="73" t="n"/>
      <c r="AM24" s="73" t="n"/>
      <c r="AN24" s="73" t="n"/>
      <c r="AO24" s="73" t="n"/>
      <c r="AP24" s="73" t="n"/>
      <c r="AQ24" s="73" t="n"/>
      <c r="AR24" s="73" t="n"/>
      <c r="AS24" s="73" t="n"/>
      <c r="AT24" s="73" t="n"/>
      <c r="AU24" s="73" t="n"/>
      <c r="AV24" s="73" t="n"/>
      <c r="AW24" s="73" t="n"/>
      <c r="AX24" s="73" t="n"/>
      <c r="AY24" s="73" t="n"/>
      <c r="AZ24" s="73" t="n"/>
      <c r="BA24" s="73" t="n"/>
      <c r="BB24" s="73" t="n"/>
      <c r="BC24" s="73" t="n"/>
      <c r="BD24" s="73" t="n"/>
      <c r="BE24" s="73" t="n"/>
      <c r="BF24" s="73" t="n"/>
      <c r="BG24" s="73" t="n"/>
      <c r="BH24" s="73" t="n"/>
      <c r="BI24" s="73" t="n"/>
    </row>
    <row r="25" ht="20" customHeight="1">
      <c r="A25" s="4" t="inlineStr">
        <is>
          <t>БДР — прямые расходы</t>
        </is>
      </c>
    </row>
    <row r="26">
      <c r="A26" s="2" t="inlineStr">
        <is>
          <t>COGS мерча</t>
        </is>
      </c>
      <c r="B26" s="40">
        <f>'07_Мерч'!B16</f>
        <v/>
      </c>
      <c r="C26" s="40">
        <f>'07_Мерч'!C16</f>
        <v/>
      </c>
      <c r="D26" s="40">
        <f>'07_Мерч'!D16</f>
        <v/>
      </c>
      <c r="E26" s="40">
        <f>'07_Мерч'!E16</f>
        <v/>
      </c>
      <c r="F26" s="40">
        <f>'07_Мерч'!F16</f>
        <v/>
      </c>
      <c r="G26" s="40">
        <f>'07_Мерч'!G16</f>
        <v/>
      </c>
      <c r="H26" s="40">
        <f>'07_Мерч'!H16</f>
        <v/>
      </c>
      <c r="I26" s="40">
        <f>'07_Мерч'!I16</f>
        <v/>
      </c>
      <c r="J26" s="40">
        <f>'07_Мерч'!J16</f>
        <v/>
      </c>
      <c r="K26" s="40">
        <f>'07_Мерч'!K16</f>
        <v/>
      </c>
      <c r="L26" s="40">
        <f>'07_Мерч'!L16</f>
        <v/>
      </c>
      <c r="M26" s="40">
        <f>'07_Мерч'!M16</f>
        <v/>
      </c>
      <c r="N26" s="40">
        <f>'07_Мерч'!N16</f>
        <v/>
      </c>
      <c r="O26" s="40">
        <f>'07_Мерч'!O16</f>
        <v/>
      </c>
      <c r="P26" s="40">
        <f>'07_Мерч'!P16</f>
        <v/>
      </c>
      <c r="Q26" s="40">
        <f>'07_Мерч'!Q16</f>
        <v/>
      </c>
      <c r="R26" s="40">
        <f>'07_Мерч'!R16</f>
        <v/>
      </c>
      <c r="S26" s="40">
        <f>'07_Мерч'!S16</f>
        <v/>
      </c>
      <c r="T26" s="40">
        <f>'07_Мерч'!T16</f>
        <v/>
      </c>
      <c r="U26" s="40">
        <f>'07_Мерч'!U16</f>
        <v/>
      </c>
      <c r="V26" s="40">
        <f>'07_Мерч'!V16</f>
        <v/>
      </c>
      <c r="W26" s="40">
        <f>'07_Мерч'!W16</f>
        <v/>
      </c>
      <c r="X26" s="40">
        <f>'07_Мерч'!X16</f>
        <v/>
      </c>
      <c r="Y26" s="40">
        <f>'07_Мерч'!Y16</f>
        <v/>
      </c>
      <c r="Z26" s="40">
        <f>'07_Мерч'!Z16</f>
        <v/>
      </c>
      <c r="AA26" s="40">
        <f>'07_Мерч'!AA16</f>
        <v/>
      </c>
      <c r="AB26" s="40">
        <f>'07_Мерч'!AB16</f>
        <v/>
      </c>
      <c r="AC26" s="40">
        <f>'07_Мерч'!AC16</f>
        <v/>
      </c>
      <c r="AD26" s="40">
        <f>'07_Мерч'!AD16</f>
        <v/>
      </c>
      <c r="AE26" s="40">
        <f>'07_Мерч'!AE16</f>
        <v/>
      </c>
      <c r="AF26" s="40">
        <f>'07_Мерч'!AF16</f>
        <v/>
      </c>
      <c r="AG26" s="40">
        <f>'07_Мерч'!AG16</f>
        <v/>
      </c>
      <c r="AH26" s="40">
        <f>'07_Мерч'!AH16</f>
        <v/>
      </c>
      <c r="AI26" s="40">
        <f>'07_Мерч'!AI16</f>
        <v/>
      </c>
      <c r="AJ26" s="40">
        <f>'07_Мерч'!AJ16</f>
        <v/>
      </c>
      <c r="AK26" s="40">
        <f>'07_Мерч'!AK16</f>
        <v/>
      </c>
      <c r="AL26" s="40">
        <f>'07_Мерч'!AL16</f>
        <v/>
      </c>
      <c r="AM26" s="40">
        <f>'07_Мерч'!AM16</f>
        <v/>
      </c>
      <c r="AN26" s="40">
        <f>'07_Мерч'!AN16</f>
        <v/>
      </c>
      <c r="AO26" s="40">
        <f>'07_Мерч'!AO16</f>
        <v/>
      </c>
      <c r="AP26" s="40">
        <f>'07_Мерч'!AP16</f>
        <v/>
      </c>
      <c r="AQ26" s="40">
        <f>'07_Мерч'!AQ16</f>
        <v/>
      </c>
      <c r="AR26" s="40">
        <f>'07_Мерч'!AR16</f>
        <v/>
      </c>
      <c r="AS26" s="40">
        <f>'07_Мерч'!AS16</f>
        <v/>
      </c>
      <c r="AT26" s="40">
        <f>'07_Мерч'!AT16</f>
        <v/>
      </c>
      <c r="AU26" s="40">
        <f>'07_Мерч'!AU16</f>
        <v/>
      </c>
      <c r="AV26" s="40">
        <f>'07_Мерч'!AV16</f>
        <v/>
      </c>
      <c r="AW26" s="40">
        <f>'07_Мерч'!AW16</f>
        <v/>
      </c>
      <c r="AX26" s="40">
        <f>'07_Мерч'!AX16</f>
        <v/>
      </c>
      <c r="AY26" s="40">
        <f>'07_Мерч'!AY16</f>
        <v/>
      </c>
      <c r="AZ26" s="40">
        <f>'07_Мерч'!AZ16</f>
        <v/>
      </c>
      <c r="BA26" s="40">
        <f>'07_Мерч'!BA16</f>
        <v/>
      </c>
      <c r="BB26" s="40">
        <f>'07_Мерч'!BB16</f>
        <v/>
      </c>
      <c r="BC26" s="40">
        <f>'07_Мерч'!BC16</f>
        <v/>
      </c>
      <c r="BD26" s="40">
        <f>'07_Мерч'!BD16</f>
        <v/>
      </c>
      <c r="BE26" s="40">
        <f>'07_Мерч'!BE16</f>
        <v/>
      </c>
      <c r="BF26" s="40">
        <f>'07_Мерч'!BF16</f>
        <v/>
      </c>
      <c r="BG26" s="40">
        <f>'07_Мерч'!BG16</f>
        <v/>
      </c>
      <c r="BH26" s="40">
        <f>'07_Мерч'!BH16</f>
        <v/>
      </c>
      <c r="BI26" s="40">
        <f>'07_Мерч'!BI16</f>
        <v/>
      </c>
    </row>
    <row r="27">
      <c r="A27" s="2" t="inlineStr">
        <is>
          <t>Логистика/возвраты/брак</t>
        </is>
      </c>
      <c r="B27" s="40">
        <f>'07_Мерч'!B17</f>
        <v/>
      </c>
      <c r="C27" s="40">
        <f>'07_Мерч'!C17</f>
        <v/>
      </c>
      <c r="D27" s="40">
        <f>'07_Мерч'!D17</f>
        <v/>
      </c>
      <c r="E27" s="40">
        <f>'07_Мерч'!E17</f>
        <v/>
      </c>
      <c r="F27" s="40">
        <f>'07_Мерч'!F17</f>
        <v/>
      </c>
      <c r="G27" s="40">
        <f>'07_Мерч'!G17</f>
        <v/>
      </c>
      <c r="H27" s="40">
        <f>'07_Мерч'!H17</f>
        <v/>
      </c>
      <c r="I27" s="40">
        <f>'07_Мерч'!I17</f>
        <v/>
      </c>
      <c r="J27" s="40">
        <f>'07_Мерч'!J17</f>
        <v/>
      </c>
      <c r="K27" s="40">
        <f>'07_Мерч'!K17</f>
        <v/>
      </c>
      <c r="L27" s="40">
        <f>'07_Мерч'!L17</f>
        <v/>
      </c>
      <c r="M27" s="40">
        <f>'07_Мерч'!M17</f>
        <v/>
      </c>
      <c r="N27" s="40">
        <f>'07_Мерч'!N17</f>
        <v/>
      </c>
      <c r="O27" s="40">
        <f>'07_Мерч'!O17</f>
        <v/>
      </c>
      <c r="P27" s="40">
        <f>'07_Мерч'!P17</f>
        <v/>
      </c>
      <c r="Q27" s="40">
        <f>'07_Мерч'!Q17</f>
        <v/>
      </c>
      <c r="R27" s="40">
        <f>'07_Мерч'!R17</f>
        <v/>
      </c>
      <c r="S27" s="40">
        <f>'07_Мерч'!S17</f>
        <v/>
      </c>
      <c r="T27" s="40">
        <f>'07_Мерч'!T17</f>
        <v/>
      </c>
      <c r="U27" s="40">
        <f>'07_Мерч'!U17</f>
        <v/>
      </c>
      <c r="V27" s="40">
        <f>'07_Мерч'!V17</f>
        <v/>
      </c>
      <c r="W27" s="40">
        <f>'07_Мерч'!W17</f>
        <v/>
      </c>
      <c r="X27" s="40">
        <f>'07_Мерч'!X17</f>
        <v/>
      </c>
      <c r="Y27" s="40">
        <f>'07_Мерч'!Y17</f>
        <v/>
      </c>
      <c r="Z27" s="40">
        <f>'07_Мерч'!Z17</f>
        <v/>
      </c>
      <c r="AA27" s="40">
        <f>'07_Мерч'!AA17</f>
        <v/>
      </c>
      <c r="AB27" s="40">
        <f>'07_Мерч'!AB17</f>
        <v/>
      </c>
      <c r="AC27" s="40">
        <f>'07_Мерч'!AC17</f>
        <v/>
      </c>
      <c r="AD27" s="40">
        <f>'07_Мерч'!AD17</f>
        <v/>
      </c>
      <c r="AE27" s="40">
        <f>'07_Мерч'!AE17</f>
        <v/>
      </c>
      <c r="AF27" s="40">
        <f>'07_Мерч'!AF17</f>
        <v/>
      </c>
      <c r="AG27" s="40">
        <f>'07_Мерч'!AG17</f>
        <v/>
      </c>
      <c r="AH27" s="40">
        <f>'07_Мерч'!AH17</f>
        <v/>
      </c>
      <c r="AI27" s="40">
        <f>'07_Мерч'!AI17</f>
        <v/>
      </c>
      <c r="AJ27" s="40">
        <f>'07_Мерч'!AJ17</f>
        <v/>
      </c>
      <c r="AK27" s="40">
        <f>'07_Мерч'!AK17</f>
        <v/>
      </c>
      <c r="AL27" s="40">
        <f>'07_Мерч'!AL17</f>
        <v/>
      </c>
      <c r="AM27" s="40">
        <f>'07_Мерч'!AM17</f>
        <v/>
      </c>
      <c r="AN27" s="40">
        <f>'07_Мерч'!AN17</f>
        <v/>
      </c>
      <c r="AO27" s="40">
        <f>'07_Мерч'!AO17</f>
        <v/>
      </c>
      <c r="AP27" s="40">
        <f>'07_Мерч'!AP17</f>
        <v/>
      </c>
      <c r="AQ27" s="40">
        <f>'07_Мерч'!AQ17</f>
        <v/>
      </c>
      <c r="AR27" s="40">
        <f>'07_Мерч'!AR17</f>
        <v/>
      </c>
      <c r="AS27" s="40">
        <f>'07_Мерч'!AS17</f>
        <v/>
      </c>
      <c r="AT27" s="40">
        <f>'07_Мерч'!AT17</f>
        <v/>
      </c>
      <c r="AU27" s="40">
        <f>'07_Мерч'!AU17</f>
        <v/>
      </c>
      <c r="AV27" s="40">
        <f>'07_Мерч'!AV17</f>
        <v/>
      </c>
      <c r="AW27" s="40">
        <f>'07_Мерч'!AW17</f>
        <v/>
      </c>
      <c r="AX27" s="40">
        <f>'07_Мерч'!AX17</f>
        <v/>
      </c>
      <c r="AY27" s="40">
        <f>'07_Мерч'!AY17</f>
        <v/>
      </c>
      <c r="AZ27" s="40">
        <f>'07_Мерч'!AZ17</f>
        <v/>
      </c>
      <c r="BA27" s="40">
        <f>'07_Мерч'!BA17</f>
        <v/>
      </c>
      <c r="BB27" s="40">
        <f>'07_Мерч'!BB17</f>
        <v/>
      </c>
      <c r="BC27" s="40">
        <f>'07_Мерч'!BC17</f>
        <v/>
      </c>
      <c r="BD27" s="40">
        <f>'07_Мерч'!BD17</f>
        <v/>
      </c>
      <c r="BE27" s="40">
        <f>'07_Мерч'!BE17</f>
        <v/>
      </c>
      <c r="BF27" s="40">
        <f>'07_Мерч'!BF17</f>
        <v/>
      </c>
      <c r="BG27" s="40">
        <f>'07_Мерч'!BG17</f>
        <v/>
      </c>
      <c r="BH27" s="40">
        <f>'07_Мерч'!BH17</f>
        <v/>
      </c>
      <c r="BI27" s="40">
        <f>'07_Мерч'!BI17</f>
        <v/>
      </c>
    </row>
    <row r="28">
      <c r="A28" s="2" t="inlineStr">
        <is>
          <t>ФК — 35% прибыли мерча</t>
        </is>
      </c>
      <c r="B28" s="40">
        <f>'07_Мерч'!B19</f>
        <v/>
      </c>
      <c r="C28" s="40">
        <f>'07_Мерч'!C19</f>
        <v/>
      </c>
      <c r="D28" s="40">
        <f>'07_Мерч'!D19</f>
        <v/>
      </c>
      <c r="E28" s="40">
        <f>'07_Мерч'!E19</f>
        <v/>
      </c>
      <c r="F28" s="40">
        <f>'07_Мерч'!F19</f>
        <v/>
      </c>
      <c r="G28" s="40">
        <f>'07_Мерч'!G19</f>
        <v/>
      </c>
      <c r="H28" s="40">
        <f>'07_Мерч'!H19</f>
        <v/>
      </c>
      <c r="I28" s="40">
        <f>'07_Мерч'!I19</f>
        <v/>
      </c>
      <c r="J28" s="40">
        <f>'07_Мерч'!J19</f>
        <v/>
      </c>
      <c r="K28" s="40">
        <f>'07_Мерч'!K19</f>
        <v/>
      </c>
      <c r="L28" s="40">
        <f>'07_Мерч'!L19</f>
        <v/>
      </c>
      <c r="M28" s="40">
        <f>'07_Мерч'!M19</f>
        <v/>
      </c>
      <c r="N28" s="40">
        <f>'07_Мерч'!N19</f>
        <v/>
      </c>
      <c r="O28" s="40">
        <f>'07_Мерч'!O19</f>
        <v/>
      </c>
      <c r="P28" s="40">
        <f>'07_Мерч'!P19</f>
        <v/>
      </c>
      <c r="Q28" s="40">
        <f>'07_Мерч'!Q19</f>
        <v/>
      </c>
      <c r="R28" s="40">
        <f>'07_Мерч'!R19</f>
        <v/>
      </c>
      <c r="S28" s="40">
        <f>'07_Мерч'!S19</f>
        <v/>
      </c>
      <c r="T28" s="40">
        <f>'07_Мерч'!T19</f>
        <v/>
      </c>
      <c r="U28" s="40">
        <f>'07_Мерч'!U19</f>
        <v/>
      </c>
      <c r="V28" s="40">
        <f>'07_Мерч'!V19</f>
        <v/>
      </c>
      <c r="W28" s="40">
        <f>'07_Мерч'!W19</f>
        <v/>
      </c>
      <c r="X28" s="40">
        <f>'07_Мерч'!X19</f>
        <v/>
      </c>
      <c r="Y28" s="40">
        <f>'07_Мерч'!Y19</f>
        <v/>
      </c>
      <c r="Z28" s="40">
        <f>'07_Мерч'!Z19</f>
        <v/>
      </c>
      <c r="AA28" s="40">
        <f>'07_Мерч'!AA19</f>
        <v/>
      </c>
      <c r="AB28" s="40">
        <f>'07_Мерч'!AB19</f>
        <v/>
      </c>
      <c r="AC28" s="40">
        <f>'07_Мерч'!AC19</f>
        <v/>
      </c>
      <c r="AD28" s="40">
        <f>'07_Мерч'!AD19</f>
        <v/>
      </c>
      <c r="AE28" s="40">
        <f>'07_Мерч'!AE19</f>
        <v/>
      </c>
      <c r="AF28" s="40">
        <f>'07_Мерч'!AF19</f>
        <v/>
      </c>
      <c r="AG28" s="40">
        <f>'07_Мерч'!AG19</f>
        <v/>
      </c>
      <c r="AH28" s="40">
        <f>'07_Мерч'!AH19</f>
        <v/>
      </c>
      <c r="AI28" s="40">
        <f>'07_Мерч'!AI19</f>
        <v/>
      </c>
      <c r="AJ28" s="40">
        <f>'07_Мерч'!AJ19</f>
        <v/>
      </c>
      <c r="AK28" s="40">
        <f>'07_Мерч'!AK19</f>
        <v/>
      </c>
      <c r="AL28" s="40">
        <f>'07_Мерч'!AL19</f>
        <v/>
      </c>
      <c r="AM28" s="40">
        <f>'07_Мерч'!AM19</f>
        <v/>
      </c>
      <c r="AN28" s="40">
        <f>'07_Мерч'!AN19</f>
        <v/>
      </c>
      <c r="AO28" s="40">
        <f>'07_Мерч'!AO19</f>
        <v/>
      </c>
      <c r="AP28" s="40">
        <f>'07_Мерч'!AP19</f>
        <v/>
      </c>
      <c r="AQ28" s="40">
        <f>'07_Мерч'!AQ19</f>
        <v/>
      </c>
      <c r="AR28" s="40">
        <f>'07_Мерч'!AR19</f>
        <v/>
      </c>
      <c r="AS28" s="40">
        <f>'07_Мерч'!AS19</f>
        <v/>
      </c>
      <c r="AT28" s="40">
        <f>'07_Мерч'!AT19</f>
        <v/>
      </c>
      <c r="AU28" s="40">
        <f>'07_Мерч'!AU19</f>
        <v/>
      </c>
      <c r="AV28" s="40">
        <f>'07_Мерч'!AV19</f>
        <v/>
      </c>
      <c r="AW28" s="40">
        <f>'07_Мерч'!AW19</f>
        <v/>
      </c>
      <c r="AX28" s="40">
        <f>'07_Мерч'!AX19</f>
        <v/>
      </c>
      <c r="AY28" s="40">
        <f>'07_Мерч'!AY19</f>
        <v/>
      </c>
      <c r="AZ28" s="40">
        <f>'07_Мерч'!AZ19</f>
        <v/>
      </c>
      <c r="BA28" s="40">
        <f>'07_Мерч'!BA19</f>
        <v/>
      </c>
      <c r="BB28" s="40">
        <f>'07_Мерч'!BB19</f>
        <v/>
      </c>
      <c r="BC28" s="40">
        <f>'07_Мерч'!BC19</f>
        <v/>
      </c>
      <c r="BD28" s="40">
        <f>'07_Мерч'!BD19</f>
        <v/>
      </c>
      <c r="BE28" s="40">
        <f>'07_Мерч'!BE19</f>
        <v/>
      </c>
      <c r="BF28" s="40">
        <f>'07_Мерч'!BF19</f>
        <v/>
      </c>
      <c r="BG28" s="40">
        <f>'07_Мерч'!BG19</f>
        <v/>
      </c>
      <c r="BH28" s="40">
        <f>'07_Мерч'!BH19</f>
        <v/>
      </c>
      <c r="BI28" s="40">
        <f>'07_Мерч'!BI19</f>
        <v/>
      </c>
    </row>
    <row r="29">
      <c r="A29" s="2" t="inlineStr">
        <is>
          <t>ФК — паушальные</t>
        </is>
      </c>
      <c r="B29" s="42">
        <f>B18*'01_Вводные'!$B$59</f>
        <v/>
      </c>
      <c r="C29" s="42">
        <f>C18*'01_Вводные'!$B$59</f>
        <v/>
      </c>
      <c r="D29" s="42">
        <f>D18*'01_Вводные'!$B$59</f>
        <v/>
      </c>
      <c r="E29" s="42">
        <f>E18*'01_Вводные'!$B$59</f>
        <v/>
      </c>
      <c r="F29" s="42">
        <f>F18*'01_Вводные'!$B$59</f>
        <v/>
      </c>
      <c r="G29" s="42">
        <f>G18*'01_Вводные'!$B$59</f>
        <v/>
      </c>
      <c r="H29" s="42">
        <f>H18*'01_Вводные'!$B$59</f>
        <v/>
      </c>
      <c r="I29" s="42">
        <f>I18*'01_Вводные'!$B$59</f>
        <v/>
      </c>
      <c r="J29" s="42">
        <f>J18*'01_Вводные'!$B$59</f>
        <v/>
      </c>
      <c r="K29" s="42">
        <f>K18*'01_Вводные'!$B$59</f>
        <v/>
      </c>
      <c r="L29" s="42">
        <f>L18*'01_Вводные'!$B$59</f>
        <v/>
      </c>
      <c r="M29" s="42">
        <f>M18*'01_Вводные'!$B$59</f>
        <v/>
      </c>
      <c r="N29" s="42">
        <f>N18*'01_Вводные'!$B$59</f>
        <v/>
      </c>
      <c r="O29" s="42">
        <f>O18*'01_Вводные'!$B$59</f>
        <v/>
      </c>
      <c r="P29" s="42">
        <f>P18*'01_Вводные'!$B$59</f>
        <v/>
      </c>
      <c r="Q29" s="42">
        <f>Q18*'01_Вводные'!$B$59</f>
        <v/>
      </c>
      <c r="R29" s="42">
        <f>R18*'01_Вводные'!$B$59</f>
        <v/>
      </c>
      <c r="S29" s="42">
        <f>S18*'01_Вводные'!$B$59</f>
        <v/>
      </c>
      <c r="T29" s="42">
        <f>T18*'01_Вводные'!$B$59</f>
        <v/>
      </c>
      <c r="U29" s="42">
        <f>U18*'01_Вводные'!$B$59</f>
        <v/>
      </c>
      <c r="V29" s="42">
        <f>V18*'01_Вводные'!$B$59</f>
        <v/>
      </c>
      <c r="W29" s="42">
        <f>W18*'01_Вводные'!$B$59</f>
        <v/>
      </c>
      <c r="X29" s="42">
        <f>X18*'01_Вводные'!$B$59</f>
        <v/>
      </c>
      <c r="Y29" s="42">
        <f>Y18*'01_Вводные'!$B$59</f>
        <v/>
      </c>
      <c r="Z29" s="42">
        <f>Z18*'01_Вводные'!$B$59</f>
        <v/>
      </c>
      <c r="AA29" s="42">
        <f>AA18*'01_Вводные'!$B$59</f>
        <v/>
      </c>
      <c r="AB29" s="42">
        <f>AB18*'01_Вводные'!$B$59</f>
        <v/>
      </c>
      <c r="AC29" s="42">
        <f>AC18*'01_Вводные'!$B$59</f>
        <v/>
      </c>
      <c r="AD29" s="42">
        <f>AD18*'01_Вводные'!$B$59</f>
        <v/>
      </c>
      <c r="AE29" s="42">
        <f>AE18*'01_Вводные'!$B$59</f>
        <v/>
      </c>
      <c r="AF29" s="42">
        <f>AF18*'01_Вводные'!$B$59</f>
        <v/>
      </c>
      <c r="AG29" s="42">
        <f>AG18*'01_Вводные'!$B$59</f>
        <v/>
      </c>
      <c r="AH29" s="42">
        <f>AH18*'01_Вводные'!$B$59</f>
        <v/>
      </c>
      <c r="AI29" s="42">
        <f>AI18*'01_Вводные'!$B$59</f>
        <v/>
      </c>
      <c r="AJ29" s="42">
        <f>AJ18*'01_Вводные'!$B$59</f>
        <v/>
      </c>
      <c r="AK29" s="42">
        <f>AK18*'01_Вводные'!$B$59</f>
        <v/>
      </c>
      <c r="AL29" s="42">
        <f>AL18*'01_Вводные'!$B$59</f>
        <v/>
      </c>
      <c r="AM29" s="42">
        <f>AM18*'01_Вводные'!$B$59</f>
        <v/>
      </c>
      <c r="AN29" s="42">
        <f>AN18*'01_Вводные'!$B$59</f>
        <v/>
      </c>
      <c r="AO29" s="42">
        <f>AO18*'01_Вводные'!$B$59</f>
        <v/>
      </c>
      <c r="AP29" s="42">
        <f>AP18*'01_Вводные'!$B$59</f>
        <v/>
      </c>
      <c r="AQ29" s="42">
        <f>AQ18*'01_Вводные'!$B$59</f>
        <v/>
      </c>
      <c r="AR29" s="42">
        <f>AR18*'01_Вводные'!$B$59</f>
        <v/>
      </c>
      <c r="AS29" s="42">
        <f>AS18*'01_Вводные'!$B$59</f>
        <v/>
      </c>
      <c r="AT29" s="42">
        <f>AT18*'01_Вводные'!$B$59</f>
        <v/>
      </c>
      <c r="AU29" s="42">
        <f>AU18*'01_Вводные'!$B$59</f>
        <v/>
      </c>
      <c r="AV29" s="42">
        <f>AV18*'01_Вводные'!$B$59</f>
        <v/>
      </c>
      <c r="AW29" s="42">
        <f>AW18*'01_Вводные'!$B$59</f>
        <v/>
      </c>
      <c r="AX29" s="42">
        <f>AX18*'01_Вводные'!$B$59</f>
        <v/>
      </c>
      <c r="AY29" s="42">
        <f>AY18*'01_Вводные'!$B$59</f>
        <v/>
      </c>
      <c r="AZ29" s="42">
        <f>AZ18*'01_Вводные'!$B$59</f>
        <v/>
      </c>
      <c r="BA29" s="42">
        <f>BA18*'01_Вводные'!$B$59</f>
        <v/>
      </c>
      <c r="BB29" s="42">
        <f>BB18*'01_Вводные'!$B$59</f>
        <v/>
      </c>
      <c r="BC29" s="42">
        <f>BC18*'01_Вводные'!$B$59</f>
        <v/>
      </c>
      <c r="BD29" s="42">
        <f>BD18*'01_Вводные'!$B$59</f>
        <v/>
      </c>
      <c r="BE29" s="42">
        <f>BE18*'01_Вводные'!$B$59</f>
        <v/>
      </c>
      <c r="BF29" s="42">
        <f>BF18*'01_Вводные'!$B$59</f>
        <v/>
      </c>
      <c r="BG29" s="42">
        <f>BG18*'01_Вводные'!$B$59</f>
        <v/>
      </c>
      <c r="BH29" s="42">
        <f>BH18*'01_Вводные'!$B$59</f>
        <v/>
      </c>
      <c r="BI29" s="42">
        <f>BI18*'01_Вводные'!$B$59</f>
        <v/>
      </c>
    </row>
    <row r="30">
      <c r="A30" s="2" t="inlineStr">
        <is>
          <t>ФК — роялти</t>
        </is>
      </c>
      <c r="B30" s="42">
        <f>(B19+B20)*'01_Вводные'!$B$60</f>
        <v/>
      </c>
      <c r="C30" s="42">
        <f>(C19+C20)*'01_Вводные'!$B$60</f>
        <v/>
      </c>
      <c r="D30" s="42">
        <f>(D19+D20)*'01_Вводные'!$B$60</f>
        <v/>
      </c>
      <c r="E30" s="42">
        <f>(E19+E20)*'01_Вводные'!$B$60</f>
        <v/>
      </c>
      <c r="F30" s="42">
        <f>(F19+F20)*'01_Вводные'!$B$60</f>
        <v/>
      </c>
      <c r="G30" s="42">
        <f>(G19+G20)*'01_Вводные'!$B$60</f>
        <v/>
      </c>
      <c r="H30" s="42">
        <f>(H19+H20)*'01_Вводные'!$B$60</f>
        <v/>
      </c>
      <c r="I30" s="42">
        <f>(I19+I20)*'01_Вводные'!$B$60</f>
        <v/>
      </c>
      <c r="J30" s="42">
        <f>(J19+J20)*'01_Вводные'!$B$60</f>
        <v/>
      </c>
      <c r="K30" s="42">
        <f>(K19+K20)*'01_Вводные'!$B$60</f>
        <v/>
      </c>
      <c r="L30" s="42">
        <f>(L19+L20)*'01_Вводные'!$B$60</f>
        <v/>
      </c>
      <c r="M30" s="42">
        <f>(M19+M20)*'01_Вводные'!$B$60</f>
        <v/>
      </c>
      <c r="N30" s="42">
        <f>(N19+N20)*'01_Вводные'!$B$60</f>
        <v/>
      </c>
      <c r="O30" s="42">
        <f>(O19+O20)*'01_Вводные'!$B$60</f>
        <v/>
      </c>
      <c r="P30" s="42">
        <f>(P19+P20)*'01_Вводные'!$B$60</f>
        <v/>
      </c>
      <c r="Q30" s="42">
        <f>(Q19+Q20)*'01_Вводные'!$B$60</f>
        <v/>
      </c>
      <c r="R30" s="42">
        <f>(R19+R20)*'01_Вводные'!$B$60</f>
        <v/>
      </c>
      <c r="S30" s="42">
        <f>(S19+S20)*'01_Вводные'!$B$60</f>
        <v/>
      </c>
      <c r="T30" s="42">
        <f>(T19+T20)*'01_Вводные'!$B$60</f>
        <v/>
      </c>
      <c r="U30" s="42">
        <f>(U19+U20)*'01_Вводные'!$B$60</f>
        <v/>
      </c>
      <c r="V30" s="42">
        <f>(V19+V20)*'01_Вводные'!$B$60</f>
        <v/>
      </c>
      <c r="W30" s="42">
        <f>(W19+W20)*'01_Вводные'!$B$60</f>
        <v/>
      </c>
      <c r="X30" s="42">
        <f>(X19+X20)*'01_Вводные'!$B$60</f>
        <v/>
      </c>
      <c r="Y30" s="42">
        <f>(Y19+Y20)*'01_Вводные'!$B$60</f>
        <v/>
      </c>
      <c r="Z30" s="42">
        <f>(Z19+Z20)*'01_Вводные'!$B$60</f>
        <v/>
      </c>
      <c r="AA30" s="42">
        <f>(AA19+AA20)*'01_Вводные'!$B$60</f>
        <v/>
      </c>
      <c r="AB30" s="42">
        <f>(AB19+AB20)*'01_Вводные'!$B$60</f>
        <v/>
      </c>
      <c r="AC30" s="42">
        <f>(AC19+AC20)*'01_Вводные'!$B$60</f>
        <v/>
      </c>
      <c r="AD30" s="42">
        <f>(AD19+AD20)*'01_Вводные'!$B$60</f>
        <v/>
      </c>
      <c r="AE30" s="42">
        <f>(AE19+AE20)*'01_Вводные'!$B$60</f>
        <v/>
      </c>
      <c r="AF30" s="42">
        <f>(AF19+AF20)*'01_Вводные'!$B$60</f>
        <v/>
      </c>
      <c r="AG30" s="42">
        <f>(AG19+AG20)*'01_Вводные'!$B$60</f>
        <v/>
      </c>
      <c r="AH30" s="42">
        <f>(AH19+AH20)*'01_Вводные'!$B$60</f>
        <v/>
      </c>
      <c r="AI30" s="42">
        <f>(AI19+AI20)*'01_Вводные'!$B$60</f>
        <v/>
      </c>
      <c r="AJ30" s="42">
        <f>(AJ19+AJ20)*'01_Вводные'!$B$60</f>
        <v/>
      </c>
      <c r="AK30" s="42">
        <f>(AK19+AK20)*'01_Вводные'!$B$60</f>
        <v/>
      </c>
      <c r="AL30" s="42">
        <f>(AL19+AL20)*'01_Вводные'!$B$60</f>
        <v/>
      </c>
      <c r="AM30" s="42">
        <f>(AM19+AM20)*'01_Вводные'!$B$60</f>
        <v/>
      </c>
      <c r="AN30" s="42">
        <f>(AN19+AN20)*'01_Вводные'!$B$60</f>
        <v/>
      </c>
      <c r="AO30" s="42">
        <f>(AO19+AO20)*'01_Вводные'!$B$60</f>
        <v/>
      </c>
      <c r="AP30" s="42">
        <f>(AP19+AP20)*'01_Вводные'!$B$60</f>
        <v/>
      </c>
      <c r="AQ30" s="42">
        <f>(AQ19+AQ20)*'01_Вводные'!$B$60</f>
        <v/>
      </c>
      <c r="AR30" s="42">
        <f>(AR19+AR20)*'01_Вводные'!$B$60</f>
        <v/>
      </c>
      <c r="AS30" s="42">
        <f>(AS19+AS20)*'01_Вводные'!$B$60</f>
        <v/>
      </c>
      <c r="AT30" s="42">
        <f>(AT19+AT20)*'01_Вводные'!$B$60</f>
        <v/>
      </c>
      <c r="AU30" s="42">
        <f>(AU19+AU20)*'01_Вводные'!$B$60</f>
        <v/>
      </c>
      <c r="AV30" s="42">
        <f>(AV19+AV20)*'01_Вводные'!$B$60</f>
        <v/>
      </c>
      <c r="AW30" s="42">
        <f>(AW19+AW20)*'01_Вводные'!$B$60</f>
        <v/>
      </c>
      <c r="AX30" s="42">
        <f>(AX19+AX20)*'01_Вводные'!$B$60</f>
        <v/>
      </c>
      <c r="AY30" s="42">
        <f>(AY19+AY20)*'01_Вводные'!$B$60</f>
        <v/>
      </c>
      <c r="AZ30" s="42">
        <f>(AZ19+AZ20)*'01_Вводные'!$B$60</f>
        <v/>
      </c>
      <c r="BA30" s="42">
        <f>(BA19+BA20)*'01_Вводные'!$B$60</f>
        <v/>
      </c>
      <c r="BB30" s="42">
        <f>(BB19+BB20)*'01_Вводные'!$B$60</f>
        <v/>
      </c>
      <c r="BC30" s="42">
        <f>(BC19+BC20)*'01_Вводные'!$B$60</f>
        <v/>
      </c>
      <c r="BD30" s="42">
        <f>(BD19+BD20)*'01_Вводные'!$B$60</f>
        <v/>
      </c>
      <c r="BE30" s="42">
        <f>(BE19+BE20)*'01_Вводные'!$B$60</f>
        <v/>
      </c>
      <c r="BF30" s="42">
        <f>(BF19+BF20)*'01_Вводные'!$B$60</f>
        <v/>
      </c>
      <c r="BG30" s="42">
        <f>(BG19+BG20)*'01_Вводные'!$B$60</f>
        <v/>
      </c>
      <c r="BH30" s="42">
        <f>(BH19+BH20)*'01_Вводные'!$B$60</f>
        <v/>
      </c>
      <c r="BI30" s="42">
        <f>(BI19+BI20)*'01_Вводные'!$B$60</f>
        <v/>
      </c>
    </row>
    <row r="31">
      <c r="A31" s="2" t="inlineStr">
        <is>
          <t>Лагеря — расходы + партнёр</t>
        </is>
      </c>
      <c r="B31" s="40">
        <f>'09_Лагеря'!B12+'09_Лагеря'!B13</f>
        <v/>
      </c>
      <c r="C31" s="40">
        <f>'09_Лагеря'!C12+'09_Лагеря'!C13</f>
        <v/>
      </c>
      <c r="D31" s="40">
        <f>'09_Лагеря'!D12+'09_Лагеря'!D13</f>
        <v/>
      </c>
      <c r="E31" s="40">
        <f>'09_Лагеря'!E12+'09_Лагеря'!E13</f>
        <v/>
      </c>
      <c r="F31" s="40">
        <f>'09_Лагеря'!F12+'09_Лагеря'!F13</f>
        <v/>
      </c>
      <c r="G31" s="40">
        <f>'09_Лагеря'!G12+'09_Лагеря'!G13</f>
        <v/>
      </c>
      <c r="H31" s="40">
        <f>'09_Лагеря'!H12+'09_Лагеря'!H13</f>
        <v/>
      </c>
      <c r="I31" s="40">
        <f>'09_Лагеря'!I12+'09_Лагеря'!I13</f>
        <v/>
      </c>
      <c r="J31" s="40">
        <f>'09_Лагеря'!J12+'09_Лагеря'!J13</f>
        <v/>
      </c>
      <c r="K31" s="40">
        <f>'09_Лагеря'!K12+'09_Лагеря'!K13</f>
        <v/>
      </c>
      <c r="L31" s="40">
        <f>'09_Лагеря'!L12+'09_Лагеря'!L13</f>
        <v/>
      </c>
      <c r="M31" s="40">
        <f>'09_Лагеря'!M12+'09_Лагеря'!M13</f>
        <v/>
      </c>
      <c r="N31" s="40">
        <f>'09_Лагеря'!N12+'09_Лагеря'!N13</f>
        <v/>
      </c>
      <c r="O31" s="40">
        <f>'09_Лагеря'!O12+'09_Лагеря'!O13</f>
        <v/>
      </c>
      <c r="P31" s="40">
        <f>'09_Лагеря'!P12+'09_Лагеря'!P13</f>
        <v/>
      </c>
      <c r="Q31" s="40">
        <f>'09_Лагеря'!Q12+'09_Лагеря'!Q13</f>
        <v/>
      </c>
      <c r="R31" s="40">
        <f>'09_Лагеря'!R12+'09_Лагеря'!R13</f>
        <v/>
      </c>
      <c r="S31" s="40">
        <f>'09_Лагеря'!S12+'09_Лагеря'!S13</f>
        <v/>
      </c>
      <c r="T31" s="40">
        <f>'09_Лагеря'!T12+'09_Лагеря'!T13</f>
        <v/>
      </c>
      <c r="U31" s="40">
        <f>'09_Лагеря'!U12+'09_Лагеря'!U13</f>
        <v/>
      </c>
      <c r="V31" s="40">
        <f>'09_Лагеря'!V12+'09_Лагеря'!V13</f>
        <v/>
      </c>
      <c r="W31" s="40">
        <f>'09_Лагеря'!W12+'09_Лагеря'!W13</f>
        <v/>
      </c>
      <c r="X31" s="40">
        <f>'09_Лагеря'!X12+'09_Лагеря'!X13</f>
        <v/>
      </c>
      <c r="Y31" s="40">
        <f>'09_Лагеря'!Y12+'09_Лагеря'!Y13</f>
        <v/>
      </c>
      <c r="Z31" s="40">
        <f>'09_Лагеря'!Z12+'09_Лагеря'!Z13</f>
        <v/>
      </c>
      <c r="AA31" s="40">
        <f>'09_Лагеря'!AA12+'09_Лагеря'!AA13</f>
        <v/>
      </c>
      <c r="AB31" s="40">
        <f>'09_Лагеря'!AB12+'09_Лагеря'!AB13</f>
        <v/>
      </c>
      <c r="AC31" s="40">
        <f>'09_Лагеря'!AC12+'09_Лагеря'!AC13</f>
        <v/>
      </c>
      <c r="AD31" s="40">
        <f>'09_Лагеря'!AD12+'09_Лагеря'!AD13</f>
        <v/>
      </c>
      <c r="AE31" s="40">
        <f>'09_Лагеря'!AE12+'09_Лагеря'!AE13</f>
        <v/>
      </c>
      <c r="AF31" s="40">
        <f>'09_Лагеря'!AF12+'09_Лагеря'!AF13</f>
        <v/>
      </c>
      <c r="AG31" s="40">
        <f>'09_Лагеря'!AG12+'09_Лагеря'!AG13</f>
        <v/>
      </c>
      <c r="AH31" s="40">
        <f>'09_Лагеря'!AH12+'09_Лагеря'!AH13</f>
        <v/>
      </c>
      <c r="AI31" s="40">
        <f>'09_Лагеря'!AI12+'09_Лагеря'!AI13</f>
        <v/>
      </c>
      <c r="AJ31" s="40">
        <f>'09_Лагеря'!AJ12+'09_Лагеря'!AJ13</f>
        <v/>
      </c>
      <c r="AK31" s="40">
        <f>'09_Лагеря'!AK12+'09_Лагеря'!AK13</f>
        <v/>
      </c>
      <c r="AL31" s="40">
        <f>'09_Лагеря'!AL12+'09_Лагеря'!AL13</f>
        <v/>
      </c>
      <c r="AM31" s="40">
        <f>'09_Лагеря'!AM12+'09_Лагеря'!AM13</f>
        <v/>
      </c>
      <c r="AN31" s="40">
        <f>'09_Лагеря'!AN12+'09_Лагеря'!AN13</f>
        <v/>
      </c>
      <c r="AO31" s="40">
        <f>'09_Лагеря'!AO12+'09_Лагеря'!AO13</f>
        <v/>
      </c>
      <c r="AP31" s="40">
        <f>'09_Лагеря'!AP12+'09_Лагеря'!AP13</f>
        <v/>
      </c>
      <c r="AQ31" s="40">
        <f>'09_Лагеря'!AQ12+'09_Лагеря'!AQ13</f>
        <v/>
      </c>
      <c r="AR31" s="40">
        <f>'09_Лагеря'!AR12+'09_Лагеря'!AR13</f>
        <v/>
      </c>
      <c r="AS31" s="40">
        <f>'09_Лагеря'!AS12+'09_Лагеря'!AS13</f>
        <v/>
      </c>
      <c r="AT31" s="40">
        <f>'09_Лагеря'!AT12+'09_Лагеря'!AT13</f>
        <v/>
      </c>
      <c r="AU31" s="40">
        <f>'09_Лагеря'!AU12+'09_Лагеря'!AU13</f>
        <v/>
      </c>
      <c r="AV31" s="40">
        <f>'09_Лагеря'!AV12+'09_Лагеря'!AV13</f>
        <v/>
      </c>
      <c r="AW31" s="40">
        <f>'09_Лагеря'!AW12+'09_Лагеря'!AW13</f>
        <v/>
      </c>
      <c r="AX31" s="40">
        <f>'09_Лагеря'!AX12+'09_Лагеря'!AX13</f>
        <v/>
      </c>
      <c r="AY31" s="40">
        <f>'09_Лагеря'!AY12+'09_Лагеря'!AY13</f>
        <v/>
      </c>
      <c r="AZ31" s="40">
        <f>'09_Лагеря'!AZ12+'09_Лагеря'!AZ13</f>
        <v/>
      </c>
      <c r="BA31" s="40">
        <f>'09_Лагеря'!BA12+'09_Лагеря'!BA13</f>
        <v/>
      </c>
      <c r="BB31" s="40">
        <f>'09_Лагеря'!BB12+'09_Лагеря'!BB13</f>
        <v/>
      </c>
      <c r="BC31" s="40">
        <f>'09_Лагеря'!BC12+'09_Лагеря'!BC13</f>
        <v/>
      </c>
      <c r="BD31" s="40">
        <f>'09_Лагеря'!BD12+'09_Лагеря'!BD13</f>
        <v/>
      </c>
      <c r="BE31" s="40">
        <f>'09_Лагеря'!BE12+'09_Лагеря'!BE13</f>
        <v/>
      </c>
      <c r="BF31" s="40">
        <f>'09_Лагеря'!BF12+'09_Лагеря'!BF13</f>
        <v/>
      </c>
      <c r="BG31" s="40">
        <f>'09_Лагеря'!BG12+'09_Лагеря'!BG13</f>
        <v/>
      </c>
      <c r="BH31" s="40">
        <f>'09_Лагеря'!BH12+'09_Лагеря'!BH13</f>
        <v/>
      </c>
      <c r="BI31" s="40">
        <f>'09_Лагеря'!BI12+'09_Лагеря'!BI13</f>
        <v/>
      </c>
    </row>
    <row r="32">
      <c r="A32" s="2" t="inlineStr">
        <is>
          <t>Прямые расходы — всего</t>
        </is>
      </c>
      <c r="B32" s="42">
        <f>SUM(B26:B31)</f>
        <v/>
      </c>
      <c r="C32" s="42">
        <f>SUM(C26:C31)</f>
        <v/>
      </c>
      <c r="D32" s="42">
        <f>SUM(D26:D31)</f>
        <v/>
      </c>
      <c r="E32" s="42">
        <f>SUM(E26:E31)</f>
        <v/>
      </c>
      <c r="F32" s="42">
        <f>SUM(F26:F31)</f>
        <v/>
      </c>
      <c r="G32" s="42">
        <f>SUM(G26:G31)</f>
        <v/>
      </c>
      <c r="H32" s="42">
        <f>SUM(H26:H31)</f>
        <v/>
      </c>
      <c r="I32" s="42">
        <f>SUM(I26:I31)</f>
        <v/>
      </c>
      <c r="J32" s="42">
        <f>SUM(J26:J31)</f>
        <v/>
      </c>
      <c r="K32" s="42">
        <f>SUM(K26:K31)</f>
        <v/>
      </c>
      <c r="L32" s="42">
        <f>SUM(L26:L31)</f>
        <v/>
      </c>
      <c r="M32" s="42">
        <f>SUM(M26:M31)</f>
        <v/>
      </c>
      <c r="N32" s="42">
        <f>SUM(N26:N31)</f>
        <v/>
      </c>
      <c r="O32" s="42">
        <f>SUM(O26:O31)</f>
        <v/>
      </c>
      <c r="P32" s="42">
        <f>SUM(P26:P31)</f>
        <v/>
      </c>
      <c r="Q32" s="42">
        <f>SUM(Q26:Q31)</f>
        <v/>
      </c>
      <c r="R32" s="42">
        <f>SUM(R26:R31)</f>
        <v/>
      </c>
      <c r="S32" s="42">
        <f>SUM(S26:S31)</f>
        <v/>
      </c>
      <c r="T32" s="42">
        <f>SUM(T26:T31)</f>
        <v/>
      </c>
      <c r="U32" s="42">
        <f>SUM(U26:U31)</f>
        <v/>
      </c>
      <c r="V32" s="42">
        <f>SUM(V26:V31)</f>
        <v/>
      </c>
      <c r="W32" s="42">
        <f>SUM(W26:W31)</f>
        <v/>
      </c>
      <c r="X32" s="42">
        <f>SUM(X26:X31)</f>
        <v/>
      </c>
      <c r="Y32" s="42">
        <f>SUM(Y26:Y31)</f>
        <v/>
      </c>
      <c r="Z32" s="42">
        <f>SUM(Z26:Z31)</f>
        <v/>
      </c>
      <c r="AA32" s="42">
        <f>SUM(AA26:AA31)</f>
        <v/>
      </c>
      <c r="AB32" s="42">
        <f>SUM(AB26:AB31)</f>
        <v/>
      </c>
      <c r="AC32" s="42">
        <f>SUM(AC26:AC31)</f>
        <v/>
      </c>
      <c r="AD32" s="42">
        <f>SUM(AD26:AD31)</f>
        <v/>
      </c>
      <c r="AE32" s="42">
        <f>SUM(AE26:AE31)</f>
        <v/>
      </c>
      <c r="AF32" s="42">
        <f>SUM(AF26:AF31)</f>
        <v/>
      </c>
      <c r="AG32" s="42">
        <f>SUM(AG26:AG31)</f>
        <v/>
      </c>
      <c r="AH32" s="42">
        <f>SUM(AH26:AH31)</f>
        <v/>
      </c>
      <c r="AI32" s="42">
        <f>SUM(AI26:AI31)</f>
        <v/>
      </c>
      <c r="AJ32" s="42">
        <f>SUM(AJ26:AJ31)</f>
        <v/>
      </c>
      <c r="AK32" s="42">
        <f>SUM(AK26:AK31)</f>
        <v/>
      </c>
      <c r="AL32" s="42">
        <f>SUM(AL26:AL31)</f>
        <v/>
      </c>
      <c r="AM32" s="42">
        <f>SUM(AM26:AM31)</f>
        <v/>
      </c>
      <c r="AN32" s="42">
        <f>SUM(AN26:AN31)</f>
        <v/>
      </c>
      <c r="AO32" s="42">
        <f>SUM(AO26:AO31)</f>
        <v/>
      </c>
      <c r="AP32" s="42">
        <f>SUM(AP26:AP31)</f>
        <v/>
      </c>
      <c r="AQ32" s="42">
        <f>SUM(AQ26:AQ31)</f>
        <v/>
      </c>
      <c r="AR32" s="42">
        <f>SUM(AR26:AR31)</f>
        <v/>
      </c>
      <c r="AS32" s="42">
        <f>SUM(AS26:AS31)</f>
        <v/>
      </c>
      <c r="AT32" s="42">
        <f>SUM(AT26:AT31)</f>
        <v/>
      </c>
      <c r="AU32" s="42">
        <f>SUM(AU26:AU31)</f>
        <v/>
      </c>
      <c r="AV32" s="42">
        <f>SUM(AV26:AV31)</f>
        <v/>
      </c>
      <c r="AW32" s="42">
        <f>SUM(AW26:AW31)</f>
        <v/>
      </c>
      <c r="AX32" s="42">
        <f>SUM(AX26:AX31)</f>
        <v/>
      </c>
      <c r="AY32" s="42">
        <f>SUM(AY26:AY31)</f>
        <v/>
      </c>
      <c r="AZ32" s="42">
        <f>SUM(AZ26:AZ31)</f>
        <v/>
      </c>
      <c r="BA32" s="42">
        <f>SUM(BA26:BA31)</f>
        <v/>
      </c>
      <c r="BB32" s="42">
        <f>SUM(BB26:BB31)</f>
        <v/>
      </c>
      <c r="BC32" s="42">
        <f>SUM(BC26:BC31)</f>
        <v/>
      </c>
      <c r="BD32" s="42">
        <f>SUM(BD26:BD31)</f>
        <v/>
      </c>
      <c r="BE32" s="42">
        <f>SUM(BE26:BE31)</f>
        <v/>
      </c>
      <c r="BF32" s="42">
        <f>SUM(BF26:BF31)</f>
        <v/>
      </c>
      <c r="BG32" s="42">
        <f>SUM(BG26:BG31)</f>
        <v/>
      </c>
      <c r="BH32" s="42">
        <f>SUM(BH26:BH31)</f>
        <v/>
      </c>
      <c r="BI32" s="42">
        <f>SUM(BI26:BI31)</f>
        <v/>
      </c>
    </row>
    <row r="33">
      <c r="A33" s="10" t="inlineStr">
        <is>
          <t>Валовая прибыль</t>
        </is>
      </c>
      <c r="B33" s="43">
        <f>B23-B32</f>
        <v/>
      </c>
      <c r="C33" s="43">
        <f>C23-C32</f>
        <v/>
      </c>
      <c r="D33" s="43">
        <f>D23-D32</f>
        <v/>
      </c>
      <c r="E33" s="43">
        <f>E23-E32</f>
        <v/>
      </c>
      <c r="F33" s="43">
        <f>F23-F32</f>
        <v/>
      </c>
      <c r="G33" s="43">
        <f>G23-G32</f>
        <v/>
      </c>
      <c r="H33" s="43">
        <f>H23-H32</f>
        <v/>
      </c>
      <c r="I33" s="43">
        <f>I23-I32</f>
        <v/>
      </c>
      <c r="J33" s="43">
        <f>J23-J32</f>
        <v/>
      </c>
      <c r="K33" s="43">
        <f>K23-K32</f>
        <v/>
      </c>
      <c r="L33" s="43">
        <f>L23-L32</f>
        <v/>
      </c>
      <c r="M33" s="43">
        <f>M23-M32</f>
        <v/>
      </c>
      <c r="N33" s="43">
        <f>N23-N32</f>
        <v/>
      </c>
      <c r="O33" s="43">
        <f>O23-O32</f>
        <v/>
      </c>
      <c r="P33" s="43">
        <f>P23-P32</f>
        <v/>
      </c>
      <c r="Q33" s="43">
        <f>Q23-Q32</f>
        <v/>
      </c>
      <c r="R33" s="43">
        <f>R23-R32</f>
        <v/>
      </c>
      <c r="S33" s="43">
        <f>S23-S32</f>
        <v/>
      </c>
      <c r="T33" s="43">
        <f>T23-T32</f>
        <v/>
      </c>
      <c r="U33" s="43">
        <f>U23-U32</f>
        <v/>
      </c>
      <c r="V33" s="43">
        <f>V23-V32</f>
        <v/>
      </c>
      <c r="W33" s="43">
        <f>W23-W32</f>
        <v/>
      </c>
      <c r="X33" s="43">
        <f>X23-X32</f>
        <v/>
      </c>
      <c r="Y33" s="43">
        <f>Y23-Y32</f>
        <v/>
      </c>
      <c r="Z33" s="43">
        <f>Z23-Z32</f>
        <v/>
      </c>
      <c r="AA33" s="43">
        <f>AA23-AA32</f>
        <v/>
      </c>
      <c r="AB33" s="43">
        <f>AB23-AB32</f>
        <v/>
      </c>
      <c r="AC33" s="43">
        <f>AC23-AC32</f>
        <v/>
      </c>
      <c r="AD33" s="43">
        <f>AD23-AD32</f>
        <v/>
      </c>
      <c r="AE33" s="43">
        <f>AE23-AE32</f>
        <v/>
      </c>
      <c r="AF33" s="43">
        <f>AF23-AF32</f>
        <v/>
      </c>
      <c r="AG33" s="43">
        <f>AG23-AG32</f>
        <v/>
      </c>
      <c r="AH33" s="43">
        <f>AH23-AH32</f>
        <v/>
      </c>
      <c r="AI33" s="43">
        <f>AI23-AI32</f>
        <v/>
      </c>
      <c r="AJ33" s="43">
        <f>AJ23-AJ32</f>
        <v/>
      </c>
      <c r="AK33" s="43">
        <f>AK23-AK32</f>
        <v/>
      </c>
      <c r="AL33" s="43">
        <f>AL23-AL32</f>
        <v/>
      </c>
      <c r="AM33" s="43">
        <f>AM23-AM32</f>
        <v/>
      </c>
      <c r="AN33" s="43">
        <f>AN23-AN32</f>
        <v/>
      </c>
      <c r="AO33" s="43">
        <f>AO23-AO32</f>
        <v/>
      </c>
      <c r="AP33" s="43">
        <f>AP23-AP32</f>
        <v/>
      </c>
      <c r="AQ33" s="43">
        <f>AQ23-AQ32</f>
        <v/>
      </c>
      <c r="AR33" s="43">
        <f>AR23-AR32</f>
        <v/>
      </c>
      <c r="AS33" s="43">
        <f>AS23-AS32</f>
        <v/>
      </c>
      <c r="AT33" s="43">
        <f>AT23-AT32</f>
        <v/>
      </c>
      <c r="AU33" s="43">
        <f>AU23-AU32</f>
        <v/>
      </c>
      <c r="AV33" s="43">
        <f>AV23-AV32</f>
        <v/>
      </c>
      <c r="AW33" s="43">
        <f>AW23-AW32</f>
        <v/>
      </c>
      <c r="AX33" s="43">
        <f>AX23-AX32</f>
        <v/>
      </c>
      <c r="AY33" s="43">
        <f>AY23-AY32</f>
        <v/>
      </c>
      <c r="AZ33" s="43">
        <f>AZ23-AZ32</f>
        <v/>
      </c>
      <c r="BA33" s="43">
        <f>BA23-BA32</f>
        <v/>
      </c>
      <c r="BB33" s="43">
        <f>BB23-BB32</f>
        <v/>
      </c>
      <c r="BC33" s="43">
        <f>BC23-BC32</f>
        <v/>
      </c>
      <c r="BD33" s="43">
        <f>BD23-BD32</f>
        <v/>
      </c>
      <c r="BE33" s="43">
        <f>BE23-BE32</f>
        <v/>
      </c>
      <c r="BF33" s="43">
        <f>BF23-BF32</f>
        <v/>
      </c>
      <c r="BG33" s="43">
        <f>BG23-BG32</f>
        <v/>
      </c>
      <c r="BH33" s="43">
        <f>BH23-BH32</f>
        <v/>
      </c>
      <c r="BI33" s="43">
        <f>BI23-BI32</f>
        <v/>
      </c>
    </row>
    <row r="34">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c r="AA34" s="73" t="n"/>
      <c r="AB34" s="73" t="n"/>
      <c r="AC34" s="73" t="n"/>
      <c r="AD34" s="73" t="n"/>
      <c r="AE34" s="73" t="n"/>
      <c r="AF34" s="73" t="n"/>
      <c r="AG34" s="73" t="n"/>
      <c r="AH34" s="73" t="n"/>
      <c r="AI34" s="73" t="n"/>
      <c r="AJ34" s="73" t="n"/>
      <c r="AK34" s="73" t="n"/>
      <c r="AL34" s="73" t="n"/>
      <c r="AM34" s="73" t="n"/>
      <c r="AN34" s="73" t="n"/>
      <c r="AO34" s="73" t="n"/>
      <c r="AP34" s="73" t="n"/>
      <c r="AQ34" s="73" t="n"/>
      <c r="AR34" s="73" t="n"/>
      <c r="AS34" s="73" t="n"/>
      <c r="AT34" s="73" t="n"/>
      <c r="AU34" s="73" t="n"/>
      <c r="AV34" s="73" t="n"/>
      <c r="AW34" s="73" t="n"/>
      <c r="AX34" s="73" t="n"/>
      <c r="AY34" s="73" t="n"/>
      <c r="AZ34" s="73" t="n"/>
      <c r="BA34" s="73" t="n"/>
      <c r="BB34" s="73" t="n"/>
      <c r="BC34" s="73" t="n"/>
      <c r="BD34" s="73" t="n"/>
      <c r="BE34" s="73" t="n"/>
      <c r="BF34" s="73" t="n"/>
      <c r="BG34" s="73" t="n"/>
      <c r="BH34" s="73" t="n"/>
      <c r="BI34" s="73" t="n"/>
    </row>
    <row r="35" ht="20" customHeight="1">
      <c r="A35" s="4" t="inlineStr">
        <is>
          <t>БДР — OPEX</t>
        </is>
      </c>
    </row>
    <row r="36">
      <c r="A36" s="2" t="inlineStr">
        <is>
          <t>ФОТ и кадровые расходы</t>
        </is>
      </c>
      <c r="B36" s="40">
        <f>'08_ФОТ'!B28</f>
        <v/>
      </c>
      <c r="C36" s="40">
        <f>'08_ФОТ'!C28</f>
        <v/>
      </c>
      <c r="D36" s="40">
        <f>'08_ФОТ'!D28</f>
        <v/>
      </c>
      <c r="E36" s="40">
        <f>'08_ФОТ'!E28</f>
        <v/>
      </c>
      <c r="F36" s="40">
        <f>'08_ФОТ'!F28</f>
        <v/>
      </c>
      <c r="G36" s="40">
        <f>'08_ФОТ'!G28</f>
        <v/>
      </c>
      <c r="H36" s="40">
        <f>'08_ФОТ'!H28</f>
        <v/>
      </c>
      <c r="I36" s="40">
        <f>'08_ФОТ'!I28</f>
        <v/>
      </c>
      <c r="J36" s="40">
        <f>'08_ФОТ'!J28</f>
        <v/>
      </c>
      <c r="K36" s="40">
        <f>'08_ФОТ'!K28</f>
        <v/>
      </c>
      <c r="L36" s="40">
        <f>'08_ФОТ'!L28</f>
        <v/>
      </c>
      <c r="M36" s="40">
        <f>'08_ФОТ'!M28</f>
        <v/>
      </c>
      <c r="N36" s="40">
        <f>'08_ФОТ'!N28</f>
        <v/>
      </c>
      <c r="O36" s="40">
        <f>'08_ФОТ'!O28</f>
        <v/>
      </c>
      <c r="P36" s="40">
        <f>'08_ФОТ'!P28</f>
        <v/>
      </c>
      <c r="Q36" s="40">
        <f>'08_ФОТ'!Q28</f>
        <v/>
      </c>
      <c r="R36" s="40">
        <f>'08_ФОТ'!R28</f>
        <v/>
      </c>
      <c r="S36" s="40">
        <f>'08_ФОТ'!S28</f>
        <v/>
      </c>
      <c r="T36" s="40">
        <f>'08_ФОТ'!T28</f>
        <v/>
      </c>
      <c r="U36" s="40">
        <f>'08_ФОТ'!U28</f>
        <v/>
      </c>
      <c r="V36" s="40">
        <f>'08_ФОТ'!V28</f>
        <v/>
      </c>
      <c r="W36" s="40">
        <f>'08_ФОТ'!W28</f>
        <v/>
      </c>
      <c r="X36" s="40">
        <f>'08_ФОТ'!X28</f>
        <v/>
      </c>
      <c r="Y36" s="40">
        <f>'08_ФОТ'!Y28</f>
        <v/>
      </c>
      <c r="Z36" s="40">
        <f>'08_ФОТ'!Z28</f>
        <v/>
      </c>
      <c r="AA36" s="40">
        <f>'08_ФОТ'!AA28</f>
        <v/>
      </c>
      <c r="AB36" s="40">
        <f>'08_ФОТ'!AB28</f>
        <v/>
      </c>
      <c r="AC36" s="40">
        <f>'08_ФОТ'!AC28</f>
        <v/>
      </c>
      <c r="AD36" s="40">
        <f>'08_ФОТ'!AD28</f>
        <v/>
      </c>
      <c r="AE36" s="40">
        <f>'08_ФОТ'!AE28</f>
        <v/>
      </c>
      <c r="AF36" s="40">
        <f>'08_ФОТ'!AF28</f>
        <v/>
      </c>
      <c r="AG36" s="40">
        <f>'08_ФОТ'!AG28</f>
        <v/>
      </c>
      <c r="AH36" s="40">
        <f>'08_ФОТ'!AH28</f>
        <v/>
      </c>
      <c r="AI36" s="40">
        <f>'08_ФОТ'!AI28</f>
        <v/>
      </c>
      <c r="AJ36" s="40">
        <f>'08_ФОТ'!AJ28</f>
        <v/>
      </c>
      <c r="AK36" s="40">
        <f>'08_ФОТ'!AK28</f>
        <v/>
      </c>
      <c r="AL36" s="40">
        <f>'08_ФОТ'!AL28</f>
        <v/>
      </c>
      <c r="AM36" s="40">
        <f>'08_ФОТ'!AM28</f>
        <v/>
      </c>
      <c r="AN36" s="40">
        <f>'08_ФОТ'!AN28</f>
        <v/>
      </c>
      <c r="AO36" s="40">
        <f>'08_ФОТ'!AO28</f>
        <v/>
      </c>
      <c r="AP36" s="40">
        <f>'08_ФОТ'!AP28</f>
        <v/>
      </c>
      <c r="AQ36" s="40">
        <f>'08_ФОТ'!AQ28</f>
        <v/>
      </c>
      <c r="AR36" s="40">
        <f>'08_ФОТ'!AR28</f>
        <v/>
      </c>
      <c r="AS36" s="40">
        <f>'08_ФОТ'!AS28</f>
        <v/>
      </c>
      <c r="AT36" s="40">
        <f>'08_ФОТ'!AT28</f>
        <v/>
      </c>
      <c r="AU36" s="40">
        <f>'08_ФОТ'!AU28</f>
        <v/>
      </c>
      <c r="AV36" s="40">
        <f>'08_ФОТ'!AV28</f>
        <v/>
      </c>
      <c r="AW36" s="40">
        <f>'08_ФОТ'!AW28</f>
        <v/>
      </c>
      <c r="AX36" s="40">
        <f>'08_ФОТ'!AX28</f>
        <v/>
      </c>
      <c r="AY36" s="40">
        <f>'08_ФОТ'!AY28</f>
        <v/>
      </c>
      <c r="AZ36" s="40">
        <f>'08_ФОТ'!AZ28</f>
        <v/>
      </c>
      <c r="BA36" s="40">
        <f>'08_ФОТ'!BA28</f>
        <v/>
      </c>
      <c r="BB36" s="40">
        <f>'08_ФОТ'!BB28</f>
        <v/>
      </c>
      <c r="BC36" s="40">
        <f>'08_ФОТ'!BC28</f>
        <v/>
      </c>
      <c r="BD36" s="40">
        <f>'08_ФОТ'!BD28</f>
        <v/>
      </c>
      <c r="BE36" s="40">
        <f>'08_ФОТ'!BE28</f>
        <v/>
      </c>
      <c r="BF36" s="40">
        <f>'08_ФОТ'!BF28</f>
        <v/>
      </c>
      <c r="BG36" s="40">
        <f>'08_ФОТ'!BG28</f>
        <v/>
      </c>
      <c r="BH36" s="40">
        <f>'08_ФОТ'!BH28</f>
        <v/>
      </c>
      <c r="BI36" s="40">
        <f>'08_ФОТ'!BI28</f>
        <v/>
      </c>
    </row>
    <row r="37">
      <c r="A37" s="2" t="inlineStr">
        <is>
          <t>ERP</t>
        </is>
      </c>
      <c r="B37" s="185">
        <f>('01_Вводные'!$B$105+(MAX(0,'06_Сеть_и_дети'!B11-'01_Вводные'!$B$106)+'06_Сеть_и_дети'!B44)*'01_Вводные'!$B$107)*'18_Календарь_тарифы'!B4</f>
        <v/>
      </c>
      <c r="C37" s="185">
        <f>('01_Вводные'!$B$105+(MAX(0,'06_Сеть_и_дети'!C11-'01_Вводные'!$B$106)+'06_Сеть_и_дети'!C44)*'01_Вводные'!$B$107)*'18_Календарь_тарифы'!C4</f>
        <v/>
      </c>
      <c r="D37" s="185">
        <f>('01_Вводные'!$B$105+(MAX(0,'06_Сеть_и_дети'!D11-'01_Вводные'!$B$106)+'06_Сеть_и_дети'!D44)*'01_Вводные'!$B$107)*'18_Календарь_тарифы'!D4</f>
        <v/>
      </c>
      <c r="E37" s="185">
        <f>('01_Вводные'!$B$105+(MAX(0,'06_Сеть_и_дети'!E11-'01_Вводные'!$B$106)+'06_Сеть_и_дети'!E44)*'01_Вводные'!$B$107)*'18_Календарь_тарифы'!E4</f>
        <v/>
      </c>
      <c r="F37" s="185">
        <f>('01_Вводные'!$B$105+(MAX(0,'06_Сеть_и_дети'!F11-'01_Вводные'!$B$106)+'06_Сеть_и_дети'!F44)*'01_Вводные'!$B$107)*'18_Календарь_тарифы'!F4</f>
        <v/>
      </c>
      <c r="G37" s="185">
        <f>('01_Вводные'!$B$105+(MAX(0,'06_Сеть_и_дети'!G11-'01_Вводные'!$B$106)+'06_Сеть_и_дети'!G44)*'01_Вводные'!$B$107)*'18_Календарь_тарифы'!G4</f>
        <v/>
      </c>
      <c r="H37" s="185">
        <f>('01_Вводные'!$B$105+(MAX(0,'06_Сеть_и_дети'!H11-'01_Вводные'!$B$106)+'06_Сеть_и_дети'!H44)*'01_Вводные'!$B$107)*'18_Календарь_тарифы'!H4</f>
        <v/>
      </c>
      <c r="I37" s="185">
        <f>('01_Вводные'!$B$105+(MAX(0,'06_Сеть_и_дети'!I11-'01_Вводные'!$B$106)+'06_Сеть_и_дети'!I44)*'01_Вводные'!$B$107)*'18_Календарь_тарифы'!I4</f>
        <v/>
      </c>
      <c r="J37" s="185">
        <f>('01_Вводные'!$B$105+(MAX(0,'06_Сеть_и_дети'!J11-'01_Вводные'!$B$106)+'06_Сеть_и_дети'!J44)*'01_Вводные'!$B$107)*'18_Календарь_тарифы'!J4</f>
        <v/>
      </c>
      <c r="K37" s="185">
        <f>('01_Вводные'!$B$105+(MAX(0,'06_Сеть_и_дети'!K11-'01_Вводные'!$B$106)+'06_Сеть_и_дети'!K44)*'01_Вводные'!$B$107)*'18_Календарь_тарифы'!K4</f>
        <v/>
      </c>
      <c r="L37" s="185">
        <f>('01_Вводные'!$B$105+(MAX(0,'06_Сеть_и_дети'!L11-'01_Вводные'!$B$106)+'06_Сеть_и_дети'!L44)*'01_Вводные'!$B$107)*'18_Календарь_тарифы'!L4</f>
        <v/>
      </c>
      <c r="M37" s="185">
        <f>('01_Вводные'!$B$105+(MAX(0,'06_Сеть_и_дети'!M11-'01_Вводные'!$B$106)+'06_Сеть_и_дети'!M44)*'01_Вводные'!$B$107)*'18_Календарь_тарифы'!M4</f>
        <v/>
      </c>
      <c r="N37" s="185">
        <f>('01_Вводные'!$B$105+(MAX(0,'06_Сеть_и_дети'!N11-'01_Вводные'!$B$106)+'06_Сеть_и_дети'!N44)*'01_Вводные'!$B$107)*'18_Календарь_тарифы'!N4</f>
        <v/>
      </c>
      <c r="O37" s="185">
        <f>('01_Вводные'!$B$105+(MAX(0,'06_Сеть_и_дети'!O11-'01_Вводные'!$B$106)+'06_Сеть_и_дети'!O44)*'01_Вводные'!$B$107)*'18_Календарь_тарифы'!O4</f>
        <v/>
      </c>
      <c r="P37" s="185">
        <f>('01_Вводные'!$B$105+(MAX(0,'06_Сеть_и_дети'!P11-'01_Вводные'!$B$106)+'06_Сеть_и_дети'!P44)*'01_Вводные'!$B$107)*'18_Календарь_тарифы'!P4</f>
        <v/>
      </c>
      <c r="Q37" s="185">
        <f>('01_Вводные'!$B$105+(MAX(0,'06_Сеть_и_дети'!Q11-'01_Вводные'!$B$106)+'06_Сеть_и_дети'!Q44)*'01_Вводные'!$B$107)*'18_Календарь_тарифы'!Q4</f>
        <v/>
      </c>
      <c r="R37" s="185">
        <f>('01_Вводные'!$B$105+(MAX(0,'06_Сеть_и_дети'!R11-'01_Вводные'!$B$106)+'06_Сеть_и_дети'!R44)*'01_Вводные'!$B$107)*'18_Календарь_тарифы'!R4</f>
        <v/>
      </c>
      <c r="S37" s="185">
        <f>('01_Вводные'!$B$105+(MAX(0,'06_Сеть_и_дети'!S11-'01_Вводные'!$B$106)+'06_Сеть_и_дети'!S44)*'01_Вводные'!$B$107)*'18_Календарь_тарифы'!S4</f>
        <v/>
      </c>
      <c r="T37" s="185">
        <f>('01_Вводные'!$B$105+(MAX(0,'06_Сеть_и_дети'!T11-'01_Вводные'!$B$106)+'06_Сеть_и_дети'!T44)*'01_Вводные'!$B$107)*'18_Календарь_тарифы'!T4</f>
        <v/>
      </c>
      <c r="U37" s="185">
        <f>('01_Вводные'!$B$105+(MAX(0,'06_Сеть_и_дети'!U11-'01_Вводные'!$B$106)+'06_Сеть_и_дети'!U44)*'01_Вводные'!$B$107)*'18_Календарь_тарифы'!U4</f>
        <v/>
      </c>
      <c r="V37" s="185">
        <f>('01_Вводные'!$B$105+(MAX(0,'06_Сеть_и_дети'!V11-'01_Вводные'!$B$106)+'06_Сеть_и_дети'!V44)*'01_Вводные'!$B$107)*'18_Календарь_тарифы'!V4</f>
        <v/>
      </c>
      <c r="W37" s="185">
        <f>('01_Вводные'!$B$105+(MAX(0,'06_Сеть_и_дети'!W11-'01_Вводные'!$B$106)+'06_Сеть_и_дети'!W44)*'01_Вводные'!$B$107)*'18_Календарь_тарифы'!W4</f>
        <v/>
      </c>
      <c r="X37" s="185">
        <f>('01_Вводные'!$B$105+(MAX(0,'06_Сеть_и_дети'!X11-'01_Вводные'!$B$106)+'06_Сеть_и_дети'!X44)*'01_Вводные'!$B$107)*'18_Календарь_тарифы'!X4</f>
        <v/>
      </c>
      <c r="Y37" s="185">
        <f>('01_Вводные'!$B$105+(MAX(0,'06_Сеть_и_дети'!Y11-'01_Вводные'!$B$106)+'06_Сеть_и_дети'!Y44)*'01_Вводные'!$B$107)*'18_Календарь_тарифы'!Y4</f>
        <v/>
      </c>
      <c r="Z37" s="185">
        <f>('01_Вводные'!$B$105+(MAX(0,'06_Сеть_и_дети'!Z11-'01_Вводные'!$B$106)+'06_Сеть_и_дети'!Z44)*'01_Вводные'!$B$107)*'18_Календарь_тарифы'!Z4</f>
        <v/>
      </c>
      <c r="AA37" s="185">
        <f>('01_Вводные'!$B$105+(MAX(0,'06_Сеть_и_дети'!AA11-'01_Вводные'!$B$106)+'06_Сеть_и_дети'!AA44)*'01_Вводные'!$B$107)*'18_Календарь_тарифы'!AA4</f>
        <v/>
      </c>
      <c r="AB37" s="185">
        <f>('01_Вводные'!$B$105+(MAX(0,'06_Сеть_и_дети'!AB11-'01_Вводные'!$B$106)+'06_Сеть_и_дети'!AB44)*'01_Вводные'!$B$107)*'18_Календарь_тарифы'!AB4</f>
        <v/>
      </c>
      <c r="AC37" s="185">
        <f>('01_Вводные'!$B$105+(MAX(0,'06_Сеть_и_дети'!AC11-'01_Вводные'!$B$106)+'06_Сеть_и_дети'!AC44)*'01_Вводные'!$B$107)*'18_Календарь_тарифы'!AC4</f>
        <v/>
      </c>
      <c r="AD37" s="185">
        <f>('01_Вводные'!$B$105+(MAX(0,'06_Сеть_и_дети'!AD11-'01_Вводные'!$B$106)+'06_Сеть_и_дети'!AD44)*'01_Вводные'!$B$107)*'18_Календарь_тарифы'!AD4</f>
        <v/>
      </c>
      <c r="AE37" s="185">
        <f>('01_Вводные'!$B$105+(MAX(0,'06_Сеть_и_дети'!AE11-'01_Вводные'!$B$106)+'06_Сеть_и_дети'!AE44)*'01_Вводные'!$B$107)*'18_Календарь_тарифы'!AE4</f>
        <v/>
      </c>
      <c r="AF37" s="185">
        <f>('01_Вводные'!$B$105+(MAX(0,'06_Сеть_и_дети'!AF11-'01_Вводные'!$B$106)+'06_Сеть_и_дети'!AF44)*'01_Вводные'!$B$107)*'18_Календарь_тарифы'!AF4</f>
        <v/>
      </c>
      <c r="AG37" s="185">
        <f>('01_Вводные'!$B$105+(MAX(0,'06_Сеть_и_дети'!AG11-'01_Вводные'!$B$106)+'06_Сеть_и_дети'!AG44)*'01_Вводные'!$B$107)*'18_Календарь_тарифы'!AG4</f>
        <v/>
      </c>
      <c r="AH37" s="185">
        <f>('01_Вводные'!$B$105+(MAX(0,'06_Сеть_и_дети'!AH11-'01_Вводные'!$B$106)+'06_Сеть_и_дети'!AH44)*'01_Вводные'!$B$107)*'18_Календарь_тарифы'!AH4</f>
        <v/>
      </c>
      <c r="AI37" s="185">
        <f>('01_Вводные'!$B$105+(MAX(0,'06_Сеть_и_дети'!AI11-'01_Вводные'!$B$106)+'06_Сеть_и_дети'!AI44)*'01_Вводные'!$B$107)*'18_Календарь_тарифы'!AI4</f>
        <v/>
      </c>
      <c r="AJ37" s="185">
        <f>('01_Вводные'!$B$105+(MAX(0,'06_Сеть_и_дети'!AJ11-'01_Вводные'!$B$106)+'06_Сеть_и_дети'!AJ44)*'01_Вводные'!$B$107)*'18_Календарь_тарифы'!AJ4</f>
        <v/>
      </c>
      <c r="AK37" s="185">
        <f>('01_Вводные'!$B$105+(MAX(0,'06_Сеть_и_дети'!AK11-'01_Вводные'!$B$106)+'06_Сеть_и_дети'!AK44)*'01_Вводные'!$B$107)*'18_Календарь_тарифы'!AK4</f>
        <v/>
      </c>
      <c r="AL37" s="185">
        <f>('01_Вводные'!$B$105+(MAX(0,'06_Сеть_и_дети'!AL11-'01_Вводные'!$B$106)+'06_Сеть_и_дети'!AL44)*'01_Вводные'!$B$107)*'18_Календарь_тарифы'!AL4</f>
        <v/>
      </c>
      <c r="AM37" s="185">
        <f>('01_Вводные'!$B$105+(MAX(0,'06_Сеть_и_дети'!AM11-'01_Вводные'!$B$106)+'06_Сеть_и_дети'!AM44)*'01_Вводные'!$B$107)*'18_Календарь_тарифы'!AM4</f>
        <v/>
      </c>
      <c r="AN37" s="185">
        <f>('01_Вводные'!$B$105+(MAX(0,'06_Сеть_и_дети'!AN11-'01_Вводные'!$B$106)+'06_Сеть_и_дети'!AN44)*'01_Вводные'!$B$107)*'18_Календарь_тарифы'!AN4</f>
        <v/>
      </c>
      <c r="AO37" s="185">
        <f>('01_Вводные'!$B$105+(MAX(0,'06_Сеть_и_дети'!AO11-'01_Вводные'!$B$106)+'06_Сеть_и_дети'!AO44)*'01_Вводные'!$B$107)*'18_Календарь_тарифы'!AO4</f>
        <v/>
      </c>
      <c r="AP37" s="185">
        <f>('01_Вводные'!$B$105+(MAX(0,'06_Сеть_и_дети'!AP11-'01_Вводные'!$B$106)+'06_Сеть_и_дети'!AP44)*'01_Вводные'!$B$107)*'18_Календарь_тарифы'!AP4</f>
        <v/>
      </c>
      <c r="AQ37" s="185">
        <f>('01_Вводные'!$B$105+(MAX(0,'06_Сеть_и_дети'!AQ11-'01_Вводные'!$B$106)+'06_Сеть_и_дети'!AQ44)*'01_Вводные'!$B$107)*'18_Календарь_тарифы'!AQ4</f>
        <v/>
      </c>
      <c r="AR37" s="185">
        <f>('01_Вводные'!$B$105+(MAX(0,'06_Сеть_и_дети'!AR11-'01_Вводные'!$B$106)+'06_Сеть_и_дети'!AR44)*'01_Вводные'!$B$107)*'18_Календарь_тарифы'!AR4</f>
        <v/>
      </c>
      <c r="AS37" s="185">
        <f>('01_Вводные'!$B$105+(MAX(0,'06_Сеть_и_дети'!AS11-'01_Вводные'!$B$106)+'06_Сеть_и_дети'!AS44)*'01_Вводные'!$B$107)*'18_Календарь_тарифы'!AS4</f>
        <v/>
      </c>
      <c r="AT37" s="185">
        <f>('01_Вводные'!$B$105+(MAX(0,'06_Сеть_и_дети'!AT11-'01_Вводные'!$B$106)+'06_Сеть_и_дети'!AT44)*'01_Вводные'!$B$107)*'18_Календарь_тарифы'!AT4</f>
        <v/>
      </c>
      <c r="AU37" s="185">
        <f>('01_Вводные'!$B$105+(MAX(0,'06_Сеть_и_дети'!AU11-'01_Вводные'!$B$106)+'06_Сеть_и_дети'!AU44)*'01_Вводные'!$B$107)*'18_Календарь_тарифы'!AU4</f>
        <v/>
      </c>
      <c r="AV37" s="185">
        <f>('01_Вводные'!$B$105+(MAX(0,'06_Сеть_и_дети'!AV11-'01_Вводные'!$B$106)+'06_Сеть_и_дети'!AV44)*'01_Вводные'!$B$107)*'18_Календарь_тарифы'!AV4</f>
        <v/>
      </c>
      <c r="AW37" s="185">
        <f>('01_Вводные'!$B$105+(MAX(0,'06_Сеть_и_дети'!AW11-'01_Вводные'!$B$106)+'06_Сеть_и_дети'!AW44)*'01_Вводные'!$B$107)*'18_Календарь_тарифы'!AW4</f>
        <v/>
      </c>
      <c r="AX37" s="185">
        <f>('01_Вводные'!$B$105+(MAX(0,'06_Сеть_и_дети'!AX11-'01_Вводные'!$B$106)+'06_Сеть_и_дети'!AX44)*'01_Вводные'!$B$107)*'18_Календарь_тарифы'!AX4</f>
        <v/>
      </c>
      <c r="AY37" s="185">
        <f>('01_Вводные'!$B$105+(MAX(0,'06_Сеть_и_дети'!AY11-'01_Вводные'!$B$106)+'06_Сеть_и_дети'!AY44)*'01_Вводные'!$B$107)*'18_Календарь_тарифы'!AY4</f>
        <v/>
      </c>
      <c r="AZ37" s="185">
        <f>('01_Вводные'!$B$105+(MAX(0,'06_Сеть_и_дети'!AZ11-'01_Вводные'!$B$106)+'06_Сеть_и_дети'!AZ44)*'01_Вводные'!$B$107)*'18_Календарь_тарифы'!AZ4</f>
        <v/>
      </c>
      <c r="BA37" s="185">
        <f>('01_Вводные'!$B$105+(MAX(0,'06_Сеть_и_дети'!BA11-'01_Вводные'!$B$106)+'06_Сеть_и_дети'!BA44)*'01_Вводные'!$B$107)*'18_Календарь_тарифы'!BA4</f>
        <v/>
      </c>
      <c r="BB37" s="185">
        <f>('01_Вводные'!$B$105+(MAX(0,'06_Сеть_и_дети'!BB11-'01_Вводные'!$B$106)+'06_Сеть_и_дети'!BB44)*'01_Вводные'!$B$107)*'18_Календарь_тарифы'!BB4</f>
        <v/>
      </c>
      <c r="BC37" s="185">
        <f>('01_Вводные'!$B$105+(MAX(0,'06_Сеть_и_дети'!BC11-'01_Вводные'!$B$106)+'06_Сеть_и_дети'!BC44)*'01_Вводные'!$B$107)*'18_Календарь_тарифы'!BC4</f>
        <v/>
      </c>
      <c r="BD37" s="185">
        <f>('01_Вводные'!$B$105+(MAX(0,'06_Сеть_и_дети'!BD11-'01_Вводные'!$B$106)+'06_Сеть_и_дети'!BD44)*'01_Вводные'!$B$107)*'18_Календарь_тарифы'!BD4</f>
        <v/>
      </c>
      <c r="BE37" s="185">
        <f>('01_Вводные'!$B$105+(MAX(0,'06_Сеть_и_дети'!BE11-'01_Вводные'!$B$106)+'06_Сеть_и_дети'!BE44)*'01_Вводные'!$B$107)*'18_Календарь_тарифы'!BE4</f>
        <v/>
      </c>
      <c r="BF37" s="185">
        <f>('01_Вводные'!$B$105+(MAX(0,'06_Сеть_и_дети'!BF11-'01_Вводные'!$B$106)+'06_Сеть_и_дети'!BF44)*'01_Вводные'!$B$107)*'18_Календарь_тарифы'!BF4</f>
        <v/>
      </c>
      <c r="BG37" s="185">
        <f>('01_Вводные'!$B$105+(MAX(0,'06_Сеть_и_дети'!BG11-'01_Вводные'!$B$106)+'06_Сеть_и_дети'!BG44)*'01_Вводные'!$B$107)*'18_Календарь_тарифы'!BG4</f>
        <v/>
      </c>
      <c r="BH37" s="185">
        <f>('01_Вводные'!$B$105+(MAX(0,'06_Сеть_и_дети'!BH11-'01_Вводные'!$B$106)+'06_Сеть_и_дети'!BH44)*'01_Вводные'!$B$107)*'18_Календарь_тарифы'!BH4</f>
        <v/>
      </c>
      <c r="BI37" s="185">
        <f>('01_Вводные'!$B$105+(MAX(0,'06_Сеть_и_дети'!BI11-'01_Вводные'!$B$106)+'06_Сеть_и_дети'!BI44)*'01_Вводные'!$B$107)*'18_Календарь_тарифы'!BI4</f>
        <v/>
      </c>
    </row>
    <row r="38">
      <c r="A38" s="2" t="inlineStr">
        <is>
          <t>Офис / аренда / уборка / парковка</t>
        </is>
      </c>
      <c r="B38" s="40">
        <f>'01_Вводные'!$B$108</f>
        <v/>
      </c>
      <c r="C38" s="40">
        <f>'01_Вводные'!$B$108</f>
        <v/>
      </c>
      <c r="D38" s="40">
        <f>'01_Вводные'!$B$108</f>
        <v/>
      </c>
      <c r="E38" s="40">
        <f>'01_Вводные'!$B$108</f>
        <v/>
      </c>
      <c r="F38" s="40">
        <f>'01_Вводные'!$B$108</f>
        <v/>
      </c>
      <c r="G38" s="40">
        <f>'01_Вводные'!$B$108</f>
        <v/>
      </c>
      <c r="H38" s="40">
        <f>'01_Вводные'!$B$108</f>
        <v/>
      </c>
      <c r="I38" s="40">
        <f>'01_Вводные'!$B$108</f>
        <v/>
      </c>
      <c r="J38" s="40">
        <f>'01_Вводные'!$B$108</f>
        <v/>
      </c>
      <c r="K38" s="40">
        <f>'01_Вводные'!$B$108</f>
        <v/>
      </c>
      <c r="L38" s="40">
        <f>'01_Вводные'!$B$108</f>
        <v/>
      </c>
      <c r="M38" s="40">
        <f>'01_Вводные'!$B$108</f>
        <v/>
      </c>
      <c r="N38" s="40">
        <f>'01_Вводные'!$B$108</f>
        <v/>
      </c>
      <c r="O38" s="40">
        <f>'01_Вводные'!$B$108</f>
        <v/>
      </c>
      <c r="P38" s="40">
        <f>'01_Вводные'!$B$108</f>
        <v/>
      </c>
      <c r="Q38" s="40">
        <f>'01_Вводные'!$B$108</f>
        <v/>
      </c>
      <c r="R38" s="40">
        <f>'01_Вводные'!$B$108</f>
        <v/>
      </c>
      <c r="S38" s="40">
        <f>'01_Вводные'!$B$108</f>
        <v/>
      </c>
      <c r="T38" s="40">
        <f>'01_Вводные'!$B$108</f>
        <v/>
      </c>
      <c r="U38" s="40">
        <f>'01_Вводные'!$B$108</f>
        <v/>
      </c>
      <c r="V38" s="40">
        <f>'01_Вводные'!$B$108</f>
        <v/>
      </c>
      <c r="W38" s="40">
        <f>'01_Вводные'!$B$108</f>
        <v/>
      </c>
      <c r="X38" s="40">
        <f>'01_Вводные'!$B$108</f>
        <v/>
      </c>
      <c r="Y38" s="40">
        <f>'01_Вводные'!$B$108</f>
        <v/>
      </c>
      <c r="Z38" s="40">
        <f>'01_Вводные'!$B$108</f>
        <v/>
      </c>
      <c r="AA38" s="40">
        <f>'01_Вводные'!$B$108</f>
        <v/>
      </c>
      <c r="AB38" s="40">
        <f>'01_Вводные'!$B$108</f>
        <v/>
      </c>
      <c r="AC38" s="40">
        <f>'01_Вводные'!$B$108</f>
        <v/>
      </c>
      <c r="AD38" s="40">
        <f>'01_Вводные'!$B$108</f>
        <v/>
      </c>
      <c r="AE38" s="40">
        <f>'01_Вводные'!$B$108</f>
        <v/>
      </c>
      <c r="AF38" s="40">
        <f>'01_Вводные'!$B$108</f>
        <v/>
      </c>
      <c r="AG38" s="40">
        <f>'01_Вводные'!$B$108</f>
        <v/>
      </c>
      <c r="AH38" s="40">
        <f>'01_Вводные'!$B$108</f>
        <v/>
      </c>
      <c r="AI38" s="40">
        <f>'01_Вводные'!$B$108</f>
        <v/>
      </c>
      <c r="AJ38" s="40">
        <f>'01_Вводные'!$B$108</f>
        <v/>
      </c>
      <c r="AK38" s="40">
        <f>'01_Вводные'!$B$108</f>
        <v/>
      </c>
      <c r="AL38" s="40">
        <f>'01_Вводные'!$B$108</f>
        <v/>
      </c>
      <c r="AM38" s="40">
        <f>'01_Вводные'!$B$108</f>
        <v/>
      </c>
      <c r="AN38" s="40">
        <f>'01_Вводные'!$B$108</f>
        <v/>
      </c>
      <c r="AO38" s="40">
        <f>'01_Вводные'!$B$108</f>
        <v/>
      </c>
      <c r="AP38" s="40">
        <f>'01_Вводные'!$B$108</f>
        <v/>
      </c>
      <c r="AQ38" s="40">
        <f>'01_Вводные'!$B$108</f>
        <v/>
      </c>
      <c r="AR38" s="40">
        <f>'01_Вводные'!$B$108</f>
        <v/>
      </c>
      <c r="AS38" s="40">
        <f>'01_Вводные'!$B$108</f>
        <v/>
      </c>
      <c r="AT38" s="40">
        <f>'01_Вводные'!$B$108</f>
        <v/>
      </c>
      <c r="AU38" s="40">
        <f>'01_Вводные'!$B$108</f>
        <v/>
      </c>
      <c r="AV38" s="40">
        <f>'01_Вводные'!$B$108</f>
        <v/>
      </c>
      <c r="AW38" s="40">
        <f>'01_Вводные'!$B$108</f>
        <v/>
      </c>
      <c r="AX38" s="40">
        <f>'01_Вводные'!$B$108</f>
        <v/>
      </c>
      <c r="AY38" s="40">
        <f>'01_Вводные'!$B$108</f>
        <v/>
      </c>
      <c r="AZ38" s="40">
        <f>'01_Вводные'!$B$108</f>
        <v/>
      </c>
      <c r="BA38" s="40">
        <f>'01_Вводные'!$B$108</f>
        <v/>
      </c>
      <c r="BB38" s="40">
        <f>'01_Вводные'!$B$108</f>
        <v/>
      </c>
      <c r="BC38" s="40">
        <f>'01_Вводные'!$B$108</f>
        <v/>
      </c>
      <c r="BD38" s="40">
        <f>'01_Вводные'!$B$108</f>
        <v/>
      </c>
      <c r="BE38" s="40">
        <f>'01_Вводные'!$B$108</f>
        <v/>
      </c>
      <c r="BF38" s="40">
        <f>'01_Вводные'!$B$108</f>
        <v/>
      </c>
      <c r="BG38" s="40">
        <f>'01_Вводные'!$B$108</f>
        <v/>
      </c>
      <c r="BH38" s="40">
        <f>'01_Вводные'!$B$108</f>
        <v/>
      </c>
      <c r="BI38" s="40">
        <f>'01_Вводные'!$B$108</f>
        <v/>
      </c>
    </row>
    <row r="39">
      <c r="A39" s="2" t="inlineStr">
        <is>
          <t>Юристы / аудит / бухгалтерия</t>
        </is>
      </c>
      <c r="B39" s="185">
        <f>'01_Вводные'!$B$109*'18_Календарь_тарифы'!B4</f>
        <v/>
      </c>
      <c r="C39" s="185">
        <f>'01_Вводные'!$B$109*'18_Календарь_тарифы'!C4</f>
        <v/>
      </c>
      <c r="D39" s="185">
        <f>'01_Вводные'!$B$109*'18_Календарь_тарифы'!D4</f>
        <v/>
      </c>
      <c r="E39" s="185">
        <f>'01_Вводные'!$B$109*'18_Календарь_тарифы'!E4</f>
        <v/>
      </c>
      <c r="F39" s="185">
        <f>'01_Вводные'!$B$109*'18_Календарь_тарифы'!F4</f>
        <v/>
      </c>
      <c r="G39" s="185">
        <f>'01_Вводные'!$B$109*'18_Календарь_тарифы'!G4</f>
        <v/>
      </c>
      <c r="H39" s="185">
        <f>'01_Вводные'!$B$109*'18_Календарь_тарифы'!H4</f>
        <v/>
      </c>
      <c r="I39" s="185">
        <f>'01_Вводные'!$B$109*'18_Календарь_тарифы'!I4</f>
        <v/>
      </c>
      <c r="J39" s="185">
        <f>'01_Вводные'!$B$109*'18_Календарь_тарифы'!J4</f>
        <v/>
      </c>
      <c r="K39" s="185">
        <f>'01_Вводные'!$B$109*'18_Календарь_тарифы'!K4</f>
        <v/>
      </c>
      <c r="L39" s="185">
        <f>'01_Вводные'!$B$109*'18_Календарь_тарифы'!L4</f>
        <v/>
      </c>
      <c r="M39" s="185">
        <f>'01_Вводные'!$B$109*'18_Календарь_тарифы'!M4</f>
        <v/>
      </c>
      <c r="N39" s="185">
        <f>'01_Вводные'!$B$109*'18_Календарь_тарифы'!N4</f>
        <v/>
      </c>
      <c r="O39" s="185">
        <f>'01_Вводные'!$B$109*'18_Календарь_тарифы'!O4</f>
        <v/>
      </c>
      <c r="P39" s="185">
        <f>'01_Вводные'!$B$109*'18_Календарь_тарифы'!P4</f>
        <v/>
      </c>
      <c r="Q39" s="185">
        <f>'01_Вводные'!$B$109*'18_Календарь_тарифы'!Q4</f>
        <v/>
      </c>
      <c r="R39" s="185">
        <f>'01_Вводные'!$B$109*'18_Календарь_тарифы'!R4</f>
        <v/>
      </c>
      <c r="S39" s="185">
        <f>'01_Вводные'!$B$109*'18_Календарь_тарифы'!S4</f>
        <v/>
      </c>
      <c r="T39" s="185">
        <f>'01_Вводные'!$B$109*'18_Календарь_тарифы'!T4</f>
        <v/>
      </c>
      <c r="U39" s="185">
        <f>'01_Вводные'!$B$109*'18_Календарь_тарифы'!U4</f>
        <v/>
      </c>
      <c r="V39" s="185">
        <f>'01_Вводные'!$B$109*'18_Календарь_тарифы'!V4</f>
        <v/>
      </c>
      <c r="W39" s="185">
        <f>'01_Вводные'!$B$109*'18_Календарь_тарифы'!W4</f>
        <v/>
      </c>
      <c r="X39" s="185">
        <f>'01_Вводные'!$B$109*'18_Календарь_тарифы'!X4</f>
        <v/>
      </c>
      <c r="Y39" s="185">
        <f>'01_Вводные'!$B$109*'18_Календарь_тарифы'!Y4</f>
        <v/>
      </c>
      <c r="Z39" s="185">
        <f>'01_Вводные'!$B$109*'18_Календарь_тарифы'!Z4</f>
        <v/>
      </c>
      <c r="AA39" s="185">
        <f>'01_Вводные'!$B$109*'18_Календарь_тарифы'!AA4</f>
        <v/>
      </c>
      <c r="AB39" s="185">
        <f>'01_Вводные'!$B$109*'18_Календарь_тарифы'!AB4</f>
        <v/>
      </c>
      <c r="AC39" s="185">
        <f>'01_Вводные'!$B$109*'18_Календарь_тарифы'!AC4</f>
        <v/>
      </c>
      <c r="AD39" s="185">
        <f>'01_Вводные'!$B$109*'18_Календарь_тарифы'!AD4</f>
        <v/>
      </c>
      <c r="AE39" s="185">
        <f>'01_Вводные'!$B$109*'18_Календарь_тарифы'!AE4</f>
        <v/>
      </c>
      <c r="AF39" s="185">
        <f>'01_Вводные'!$B$109*'18_Календарь_тарифы'!AF4</f>
        <v/>
      </c>
      <c r="AG39" s="185">
        <f>'01_Вводные'!$B$109*'18_Календарь_тарифы'!AG4</f>
        <v/>
      </c>
      <c r="AH39" s="185">
        <f>'01_Вводные'!$B$109*'18_Календарь_тарифы'!AH4</f>
        <v/>
      </c>
      <c r="AI39" s="185">
        <f>'01_Вводные'!$B$109*'18_Календарь_тарифы'!AI4</f>
        <v/>
      </c>
      <c r="AJ39" s="185">
        <f>'01_Вводные'!$B$109*'18_Календарь_тарифы'!AJ4</f>
        <v/>
      </c>
      <c r="AK39" s="185">
        <f>'01_Вводные'!$B$109*'18_Календарь_тарифы'!AK4</f>
        <v/>
      </c>
      <c r="AL39" s="185">
        <f>'01_Вводные'!$B$109*'18_Календарь_тарифы'!AL4</f>
        <v/>
      </c>
      <c r="AM39" s="185">
        <f>'01_Вводные'!$B$109*'18_Календарь_тарифы'!AM4</f>
        <v/>
      </c>
      <c r="AN39" s="185">
        <f>'01_Вводные'!$B$109*'18_Календарь_тарифы'!AN4</f>
        <v/>
      </c>
      <c r="AO39" s="185">
        <f>'01_Вводные'!$B$109*'18_Календарь_тарифы'!AO4</f>
        <v/>
      </c>
      <c r="AP39" s="185">
        <f>'01_Вводные'!$B$109*'18_Календарь_тарифы'!AP4</f>
        <v/>
      </c>
      <c r="AQ39" s="185">
        <f>'01_Вводные'!$B$109*'18_Календарь_тарифы'!AQ4</f>
        <v/>
      </c>
      <c r="AR39" s="185">
        <f>'01_Вводные'!$B$109*'18_Календарь_тарифы'!AR4</f>
        <v/>
      </c>
      <c r="AS39" s="185">
        <f>'01_Вводные'!$B$109*'18_Календарь_тарифы'!AS4</f>
        <v/>
      </c>
      <c r="AT39" s="185">
        <f>'01_Вводные'!$B$109*'18_Календарь_тарифы'!AT4</f>
        <v/>
      </c>
      <c r="AU39" s="185">
        <f>'01_Вводные'!$B$109*'18_Календарь_тарифы'!AU4</f>
        <v/>
      </c>
      <c r="AV39" s="185">
        <f>'01_Вводные'!$B$109*'18_Календарь_тарифы'!AV4</f>
        <v/>
      </c>
      <c r="AW39" s="185">
        <f>'01_Вводные'!$B$109*'18_Календарь_тарифы'!AW4</f>
        <v/>
      </c>
      <c r="AX39" s="185">
        <f>'01_Вводные'!$B$109*'18_Календарь_тарифы'!AX4</f>
        <v/>
      </c>
      <c r="AY39" s="185">
        <f>'01_Вводные'!$B$109*'18_Календарь_тарифы'!AY4</f>
        <v/>
      </c>
      <c r="AZ39" s="185">
        <f>'01_Вводные'!$B$109*'18_Календарь_тарифы'!AZ4</f>
        <v/>
      </c>
      <c r="BA39" s="185">
        <f>'01_Вводные'!$B$109*'18_Календарь_тарифы'!BA4</f>
        <v/>
      </c>
      <c r="BB39" s="185">
        <f>'01_Вводные'!$B$109*'18_Календарь_тарифы'!BB4</f>
        <v/>
      </c>
      <c r="BC39" s="185">
        <f>'01_Вводные'!$B$109*'18_Календарь_тарифы'!BC4</f>
        <v/>
      </c>
      <c r="BD39" s="185">
        <f>'01_Вводные'!$B$109*'18_Календарь_тарифы'!BD4</f>
        <v/>
      </c>
      <c r="BE39" s="185">
        <f>'01_Вводные'!$B$109*'18_Календарь_тарифы'!BE4</f>
        <v/>
      </c>
      <c r="BF39" s="185">
        <f>'01_Вводные'!$B$109*'18_Календарь_тарифы'!BF4</f>
        <v/>
      </c>
      <c r="BG39" s="185">
        <f>'01_Вводные'!$B$109*'18_Календарь_тарифы'!BG4</f>
        <v/>
      </c>
      <c r="BH39" s="185">
        <f>'01_Вводные'!$B$109*'18_Календарь_тарифы'!BH4</f>
        <v/>
      </c>
      <c r="BI39" s="185">
        <f>'01_Вводные'!$B$109*'18_Календарь_тарифы'!BI4</f>
        <v/>
      </c>
    </row>
    <row r="40">
      <c r="A40" s="2" t="inlineStr">
        <is>
          <t>Прочие IT</t>
        </is>
      </c>
      <c r="B40" s="185">
        <f>'01_Вводные'!$B$110*'18_Календарь_тарифы'!B4</f>
        <v/>
      </c>
      <c r="C40" s="185">
        <f>'01_Вводные'!$B$110*'18_Календарь_тарифы'!C4</f>
        <v/>
      </c>
      <c r="D40" s="185">
        <f>'01_Вводные'!$B$110*'18_Календарь_тарифы'!D4</f>
        <v/>
      </c>
      <c r="E40" s="185">
        <f>'01_Вводные'!$B$110*'18_Календарь_тарифы'!E4</f>
        <v/>
      </c>
      <c r="F40" s="185">
        <f>'01_Вводные'!$B$110*'18_Календарь_тарифы'!F4</f>
        <v/>
      </c>
      <c r="G40" s="185">
        <f>'01_Вводные'!$B$110*'18_Календарь_тарифы'!G4</f>
        <v/>
      </c>
      <c r="H40" s="185">
        <f>'01_Вводные'!$B$110*'18_Календарь_тарифы'!H4</f>
        <v/>
      </c>
      <c r="I40" s="185">
        <f>'01_Вводные'!$B$110*'18_Календарь_тарифы'!I4</f>
        <v/>
      </c>
      <c r="J40" s="185">
        <f>'01_Вводные'!$B$110*'18_Календарь_тарифы'!J4</f>
        <v/>
      </c>
      <c r="K40" s="185">
        <f>'01_Вводные'!$B$110*'18_Календарь_тарифы'!K4</f>
        <v/>
      </c>
      <c r="L40" s="185">
        <f>'01_Вводные'!$B$110*'18_Календарь_тарифы'!L4</f>
        <v/>
      </c>
      <c r="M40" s="185">
        <f>'01_Вводные'!$B$110*'18_Календарь_тарифы'!M4</f>
        <v/>
      </c>
      <c r="N40" s="185">
        <f>'01_Вводные'!$B$110*'18_Календарь_тарифы'!N4</f>
        <v/>
      </c>
      <c r="O40" s="185">
        <f>'01_Вводные'!$B$110*'18_Календарь_тарифы'!O4</f>
        <v/>
      </c>
      <c r="P40" s="185">
        <f>'01_Вводные'!$B$110*'18_Календарь_тарифы'!P4</f>
        <v/>
      </c>
      <c r="Q40" s="185">
        <f>'01_Вводные'!$B$110*'18_Календарь_тарифы'!Q4</f>
        <v/>
      </c>
      <c r="R40" s="185">
        <f>'01_Вводные'!$B$110*'18_Календарь_тарифы'!R4</f>
        <v/>
      </c>
      <c r="S40" s="185">
        <f>'01_Вводные'!$B$110*'18_Календарь_тарифы'!S4</f>
        <v/>
      </c>
      <c r="T40" s="185">
        <f>'01_Вводные'!$B$110*'18_Календарь_тарифы'!T4</f>
        <v/>
      </c>
      <c r="U40" s="185">
        <f>'01_Вводные'!$B$110*'18_Календарь_тарифы'!U4</f>
        <v/>
      </c>
      <c r="V40" s="185">
        <f>'01_Вводные'!$B$110*'18_Календарь_тарифы'!V4</f>
        <v/>
      </c>
      <c r="W40" s="185">
        <f>'01_Вводные'!$B$110*'18_Календарь_тарифы'!W4</f>
        <v/>
      </c>
      <c r="X40" s="185">
        <f>'01_Вводные'!$B$110*'18_Календарь_тарифы'!X4</f>
        <v/>
      </c>
      <c r="Y40" s="185">
        <f>'01_Вводные'!$B$110*'18_Календарь_тарифы'!Y4</f>
        <v/>
      </c>
      <c r="Z40" s="185">
        <f>'01_Вводные'!$B$110*'18_Календарь_тарифы'!Z4</f>
        <v/>
      </c>
      <c r="AA40" s="185">
        <f>'01_Вводные'!$B$110*'18_Календарь_тарифы'!AA4</f>
        <v/>
      </c>
      <c r="AB40" s="185">
        <f>'01_Вводные'!$B$110*'18_Календарь_тарифы'!AB4</f>
        <v/>
      </c>
      <c r="AC40" s="185">
        <f>'01_Вводные'!$B$110*'18_Календарь_тарифы'!AC4</f>
        <v/>
      </c>
      <c r="AD40" s="185">
        <f>'01_Вводные'!$B$110*'18_Календарь_тарифы'!AD4</f>
        <v/>
      </c>
      <c r="AE40" s="185">
        <f>'01_Вводные'!$B$110*'18_Календарь_тарифы'!AE4</f>
        <v/>
      </c>
      <c r="AF40" s="185">
        <f>'01_Вводные'!$B$110*'18_Календарь_тарифы'!AF4</f>
        <v/>
      </c>
      <c r="AG40" s="185">
        <f>'01_Вводные'!$B$110*'18_Календарь_тарифы'!AG4</f>
        <v/>
      </c>
      <c r="AH40" s="185">
        <f>'01_Вводные'!$B$110*'18_Календарь_тарифы'!AH4</f>
        <v/>
      </c>
      <c r="AI40" s="185">
        <f>'01_Вводные'!$B$110*'18_Календарь_тарифы'!AI4</f>
        <v/>
      </c>
      <c r="AJ40" s="185">
        <f>'01_Вводные'!$B$110*'18_Календарь_тарифы'!AJ4</f>
        <v/>
      </c>
      <c r="AK40" s="185">
        <f>'01_Вводные'!$B$110*'18_Календарь_тарифы'!AK4</f>
        <v/>
      </c>
      <c r="AL40" s="185">
        <f>'01_Вводные'!$B$110*'18_Календарь_тарифы'!AL4</f>
        <v/>
      </c>
      <c r="AM40" s="185">
        <f>'01_Вводные'!$B$110*'18_Календарь_тарифы'!AM4</f>
        <v/>
      </c>
      <c r="AN40" s="185">
        <f>'01_Вводные'!$B$110*'18_Календарь_тарифы'!AN4</f>
        <v/>
      </c>
      <c r="AO40" s="185">
        <f>'01_Вводные'!$B$110*'18_Календарь_тарифы'!AO4</f>
        <v/>
      </c>
      <c r="AP40" s="185">
        <f>'01_Вводные'!$B$110*'18_Календарь_тарифы'!AP4</f>
        <v/>
      </c>
      <c r="AQ40" s="185">
        <f>'01_Вводные'!$B$110*'18_Календарь_тарифы'!AQ4</f>
        <v/>
      </c>
      <c r="AR40" s="185">
        <f>'01_Вводные'!$B$110*'18_Календарь_тарифы'!AR4</f>
        <v/>
      </c>
      <c r="AS40" s="185">
        <f>'01_Вводные'!$B$110*'18_Календарь_тарифы'!AS4</f>
        <v/>
      </c>
      <c r="AT40" s="185">
        <f>'01_Вводные'!$B$110*'18_Календарь_тарифы'!AT4</f>
        <v/>
      </c>
      <c r="AU40" s="185">
        <f>'01_Вводные'!$B$110*'18_Календарь_тарифы'!AU4</f>
        <v/>
      </c>
      <c r="AV40" s="185">
        <f>'01_Вводные'!$B$110*'18_Календарь_тарифы'!AV4</f>
        <v/>
      </c>
      <c r="AW40" s="185">
        <f>'01_Вводные'!$B$110*'18_Календарь_тарифы'!AW4</f>
        <v/>
      </c>
      <c r="AX40" s="185">
        <f>'01_Вводные'!$B$110*'18_Календарь_тарифы'!AX4</f>
        <v/>
      </c>
      <c r="AY40" s="185">
        <f>'01_Вводные'!$B$110*'18_Календарь_тарифы'!AY4</f>
        <v/>
      </c>
      <c r="AZ40" s="185">
        <f>'01_Вводные'!$B$110*'18_Календарь_тарифы'!AZ4</f>
        <v/>
      </c>
      <c r="BA40" s="185">
        <f>'01_Вводные'!$B$110*'18_Календарь_тарифы'!BA4</f>
        <v/>
      </c>
      <c r="BB40" s="185">
        <f>'01_Вводные'!$B$110*'18_Календарь_тарифы'!BB4</f>
        <v/>
      </c>
      <c r="BC40" s="185">
        <f>'01_Вводные'!$B$110*'18_Календарь_тарифы'!BC4</f>
        <v/>
      </c>
      <c r="BD40" s="185">
        <f>'01_Вводные'!$B$110*'18_Календарь_тарифы'!BD4</f>
        <v/>
      </c>
      <c r="BE40" s="185">
        <f>'01_Вводные'!$B$110*'18_Календарь_тарифы'!BE4</f>
        <v/>
      </c>
      <c r="BF40" s="185">
        <f>'01_Вводные'!$B$110*'18_Календарь_тарифы'!BF4</f>
        <v/>
      </c>
      <c r="BG40" s="185">
        <f>'01_Вводные'!$B$110*'18_Календарь_тарифы'!BG4</f>
        <v/>
      </c>
      <c r="BH40" s="185">
        <f>'01_Вводные'!$B$110*'18_Календарь_тарифы'!BH4</f>
        <v/>
      </c>
      <c r="BI40" s="185">
        <f>'01_Вводные'!$B$110*'18_Календарь_тарифы'!BI4</f>
        <v/>
      </c>
    </row>
    <row r="41">
      <c r="A41" s="2" t="inlineStr">
        <is>
          <t>SMM / подрядчики</t>
        </is>
      </c>
      <c r="B41" s="185">
        <f>'18_Календарь_тарифы'!B13</f>
        <v/>
      </c>
      <c r="C41" s="185">
        <f>'18_Календарь_тарифы'!C13</f>
        <v/>
      </c>
      <c r="D41" s="185">
        <f>'18_Календарь_тарифы'!D13</f>
        <v/>
      </c>
      <c r="E41" s="185">
        <f>'18_Календарь_тарифы'!E13</f>
        <v/>
      </c>
      <c r="F41" s="185">
        <f>'18_Календарь_тарифы'!F13</f>
        <v/>
      </c>
      <c r="G41" s="185">
        <f>'18_Календарь_тарифы'!G13</f>
        <v/>
      </c>
      <c r="H41" s="185">
        <f>'18_Календарь_тарифы'!H13</f>
        <v/>
      </c>
      <c r="I41" s="185">
        <f>'18_Календарь_тарифы'!I13</f>
        <v/>
      </c>
      <c r="J41" s="185">
        <f>'18_Календарь_тарифы'!J13</f>
        <v/>
      </c>
      <c r="K41" s="185">
        <f>'18_Календарь_тарифы'!K13</f>
        <v/>
      </c>
      <c r="L41" s="185">
        <f>'18_Календарь_тарифы'!L13</f>
        <v/>
      </c>
      <c r="M41" s="185">
        <f>'18_Календарь_тарифы'!M13</f>
        <v/>
      </c>
      <c r="N41" s="185">
        <f>'18_Календарь_тарифы'!N13</f>
        <v/>
      </c>
      <c r="O41" s="185">
        <f>'18_Календарь_тарифы'!O13</f>
        <v/>
      </c>
      <c r="P41" s="185">
        <f>'18_Календарь_тарифы'!P13</f>
        <v/>
      </c>
      <c r="Q41" s="185">
        <f>'18_Календарь_тарифы'!Q13</f>
        <v/>
      </c>
      <c r="R41" s="185">
        <f>'18_Календарь_тарифы'!R13</f>
        <v/>
      </c>
      <c r="S41" s="185">
        <f>'18_Календарь_тарифы'!S13</f>
        <v/>
      </c>
      <c r="T41" s="185">
        <f>'18_Календарь_тарифы'!T13</f>
        <v/>
      </c>
      <c r="U41" s="185">
        <f>'18_Календарь_тарифы'!U13</f>
        <v/>
      </c>
      <c r="V41" s="185">
        <f>'18_Календарь_тарифы'!V13</f>
        <v/>
      </c>
      <c r="W41" s="185">
        <f>'18_Календарь_тарифы'!W13</f>
        <v/>
      </c>
      <c r="X41" s="185">
        <f>'18_Календарь_тарифы'!X13</f>
        <v/>
      </c>
      <c r="Y41" s="185">
        <f>'18_Календарь_тарифы'!Y13</f>
        <v/>
      </c>
      <c r="Z41" s="185">
        <f>'18_Календарь_тарифы'!Z13</f>
        <v/>
      </c>
      <c r="AA41" s="185">
        <f>'18_Календарь_тарифы'!AA13</f>
        <v/>
      </c>
      <c r="AB41" s="185">
        <f>'18_Календарь_тарифы'!AB13</f>
        <v/>
      </c>
      <c r="AC41" s="185">
        <f>'18_Календарь_тарифы'!AC13</f>
        <v/>
      </c>
      <c r="AD41" s="185">
        <f>'18_Календарь_тарифы'!AD13</f>
        <v/>
      </c>
      <c r="AE41" s="185">
        <f>'18_Календарь_тарифы'!AE13</f>
        <v/>
      </c>
      <c r="AF41" s="185">
        <f>'18_Календарь_тарифы'!AF13</f>
        <v/>
      </c>
      <c r="AG41" s="185">
        <f>'18_Календарь_тарифы'!AG13</f>
        <v/>
      </c>
      <c r="AH41" s="185">
        <f>'18_Календарь_тарифы'!AH13</f>
        <v/>
      </c>
      <c r="AI41" s="185">
        <f>'18_Календарь_тарифы'!AI13</f>
        <v/>
      </c>
      <c r="AJ41" s="185">
        <f>'18_Календарь_тарифы'!AJ13</f>
        <v/>
      </c>
      <c r="AK41" s="185">
        <f>'18_Календарь_тарифы'!AK13</f>
        <v/>
      </c>
      <c r="AL41" s="185">
        <f>'18_Календарь_тарифы'!AL13</f>
        <v/>
      </c>
      <c r="AM41" s="185">
        <f>'18_Календарь_тарифы'!AM13</f>
        <v/>
      </c>
      <c r="AN41" s="185">
        <f>'18_Календарь_тарифы'!AN13</f>
        <v/>
      </c>
      <c r="AO41" s="185">
        <f>'18_Календарь_тарифы'!AO13</f>
        <v/>
      </c>
      <c r="AP41" s="185">
        <f>'18_Календарь_тарифы'!AP13</f>
        <v/>
      </c>
      <c r="AQ41" s="185">
        <f>'18_Календарь_тарифы'!AQ13</f>
        <v/>
      </c>
      <c r="AR41" s="185">
        <f>'18_Календарь_тарифы'!AR13</f>
        <v/>
      </c>
      <c r="AS41" s="185">
        <f>'18_Календарь_тарифы'!AS13</f>
        <v/>
      </c>
      <c r="AT41" s="185">
        <f>'18_Календарь_тарифы'!AT13</f>
        <v/>
      </c>
      <c r="AU41" s="185">
        <f>'18_Календарь_тарифы'!AU13</f>
        <v/>
      </c>
      <c r="AV41" s="185">
        <f>'18_Календарь_тарифы'!AV13</f>
        <v/>
      </c>
      <c r="AW41" s="185">
        <f>'18_Календарь_тарифы'!AW13</f>
        <v/>
      </c>
      <c r="AX41" s="185">
        <f>'18_Календарь_тарифы'!AX13</f>
        <v/>
      </c>
      <c r="AY41" s="185">
        <f>'18_Календарь_тарифы'!AY13</f>
        <v/>
      </c>
      <c r="AZ41" s="185">
        <f>'18_Календарь_тарифы'!AZ13</f>
        <v/>
      </c>
      <c r="BA41" s="185">
        <f>'18_Календарь_тарифы'!BA13</f>
        <v/>
      </c>
      <c r="BB41" s="185">
        <f>'18_Календарь_тарифы'!BB13</f>
        <v/>
      </c>
      <c r="BC41" s="185">
        <f>'18_Календарь_тарифы'!BC13</f>
        <v/>
      </c>
      <c r="BD41" s="185">
        <f>'18_Календарь_тарифы'!BD13</f>
        <v/>
      </c>
      <c r="BE41" s="185">
        <f>'18_Календарь_тарифы'!BE13</f>
        <v/>
      </c>
      <c r="BF41" s="185">
        <f>'18_Календарь_тарифы'!BF13</f>
        <v/>
      </c>
      <c r="BG41" s="185">
        <f>'18_Календарь_тарифы'!BG13</f>
        <v/>
      </c>
      <c r="BH41" s="185">
        <f>'18_Календарь_тарифы'!BH13</f>
        <v/>
      </c>
      <c r="BI41" s="185">
        <f>'18_Календарь_тарифы'!BI13</f>
        <v/>
      </c>
    </row>
    <row r="42">
      <c r="A42" s="2" t="inlineStr">
        <is>
          <t>Маркетинг привлечения франшиз</t>
        </is>
      </c>
      <c r="B42" s="40">
        <f>'04_Продажи'!B23</f>
        <v/>
      </c>
      <c r="C42" s="40">
        <f>'04_Продажи'!C23</f>
        <v/>
      </c>
      <c r="D42" s="40">
        <f>'04_Продажи'!D23</f>
        <v/>
      </c>
      <c r="E42" s="40">
        <f>'04_Продажи'!E23</f>
        <v/>
      </c>
      <c r="F42" s="40">
        <f>'04_Продажи'!F23</f>
        <v/>
      </c>
      <c r="G42" s="40">
        <f>'04_Продажи'!G23</f>
        <v/>
      </c>
      <c r="H42" s="40">
        <f>'04_Продажи'!H23</f>
        <v/>
      </c>
      <c r="I42" s="40">
        <f>'04_Продажи'!I23</f>
        <v/>
      </c>
      <c r="J42" s="40">
        <f>'04_Продажи'!J23</f>
        <v/>
      </c>
      <c r="K42" s="40">
        <f>'04_Продажи'!K23</f>
        <v/>
      </c>
      <c r="L42" s="40">
        <f>'04_Продажи'!L23</f>
        <v/>
      </c>
      <c r="M42" s="40">
        <f>'04_Продажи'!M23</f>
        <v/>
      </c>
      <c r="N42" s="40">
        <f>'04_Продажи'!N23</f>
        <v/>
      </c>
      <c r="O42" s="40">
        <f>'04_Продажи'!O23</f>
        <v/>
      </c>
      <c r="P42" s="40">
        <f>'04_Продажи'!P23</f>
        <v/>
      </c>
      <c r="Q42" s="40">
        <f>'04_Продажи'!Q23</f>
        <v/>
      </c>
      <c r="R42" s="40">
        <f>'04_Продажи'!R23</f>
        <v/>
      </c>
      <c r="S42" s="40">
        <f>'04_Продажи'!S23</f>
        <v/>
      </c>
      <c r="T42" s="40">
        <f>'04_Продажи'!T23</f>
        <v/>
      </c>
      <c r="U42" s="40">
        <f>'04_Продажи'!U23</f>
        <v/>
      </c>
      <c r="V42" s="40">
        <f>'04_Продажи'!V23</f>
        <v/>
      </c>
      <c r="W42" s="40">
        <f>'04_Продажи'!W23</f>
        <v/>
      </c>
      <c r="X42" s="40">
        <f>'04_Продажи'!X23</f>
        <v/>
      </c>
      <c r="Y42" s="40">
        <f>'04_Продажи'!Y23</f>
        <v/>
      </c>
      <c r="Z42" s="40">
        <f>'04_Продажи'!Z23</f>
        <v/>
      </c>
      <c r="AA42" s="40">
        <f>'04_Продажи'!AA23</f>
        <v/>
      </c>
      <c r="AB42" s="40">
        <f>'04_Продажи'!AB23</f>
        <v/>
      </c>
      <c r="AC42" s="40">
        <f>'04_Продажи'!AC23</f>
        <v/>
      </c>
      <c r="AD42" s="40">
        <f>'04_Продажи'!AD23</f>
        <v/>
      </c>
      <c r="AE42" s="40">
        <f>'04_Продажи'!AE23</f>
        <v/>
      </c>
      <c r="AF42" s="40">
        <f>'04_Продажи'!AF23</f>
        <v/>
      </c>
      <c r="AG42" s="40">
        <f>'04_Продажи'!AG23</f>
        <v/>
      </c>
      <c r="AH42" s="40">
        <f>'04_Продажи'!AH23</f>
        <v/>
      </c>
      <c r="AI42" s="40">
        <f>'04_Продажи'!AI23</f>
        <v/>
      </c>
      <c r="AJ42" s="40">
        <f>'04_Продажи'!AJ23</f>
        <v/>
      </c>
      <c r="AK42" s="40">
        <f>'04_Продажи'!AK23</f>
        <v/>
      </c>
      <c r="AL42" s="40">
        <f>'04_Продажи'!AL23</f>
        <v/>
      </c>
      <c r="AM42" s="40">
        <f>'04_Продажи'!AM23</f>
        <v/>
      </c>
      <c r="AN42" s="40">
        <f>'04_Продажи'!AN23</f>
        <v/>
      </c>
      <c r="AO42" s="40">
        <f>'04_Продажи'!AO23</f>
        <v/>
      </c>
      <c r="AP42" s="40">
        <f>'04_Продажи'!AP23</f>
        <v/>
      </c>
      <c r="AQ42" s="40">
        <f>'04_Продажи'!AQ23</f>
        <v/>
      </c>
      <c r="AR42" s="40">
        <f>'04_Продажи'!AR23</f>
        <v/>
      </c>
      <c r="AS42" s="40">
        <f>'04_Продажи'!AS23</f>
        <v/>
      </c>
      <c r="AT42" s="40">
        <f>'04_Продажи'!AT23</f>
        <v/>
      </c>
      <c r="AU42" s="40">
        <f>'04_Продажи'!AU23</f>
        <v/>
      </c>
      <c r="AV42" s="40">
        <f>'04_Продажи'!AV23</f>
        <v/>
      </c>
      <c r="AW42" s="40">
        <f>'04_Продажи'!AW23</f>
        <v/>
      </c>
      <c r="AX42" s="40">
        <f>'04_Продажи'!AX23</f>
        <v/>
      </c>
      <c r="AY42" s="40">
        <f>'04_Продажи'!AY23</f>
        <v/>
      </c>
      <c r="AZ42" s="40">
        <f>'04_Продажи'!AZ23</f>
        <v/>
      </c>
      <c r="BA42" s="40">
        <f>'04_Продажи'!BA23</f>
        <v/>
      </c>
      <c r="BB42" s="40">
        <f>'04_Продажи'!BB23</f>
        <v/>
      </c>
      <c r="BC42" s="40">
        <f>'04_Продажи'!BC23</f>
        <v/>
      </c>
      <c r="BD42" s="40">
        <f>'04_Продажи'!BD23</f>
        <v/>
      </c>
      <c r="BE42" s="40">
        <f>'04_Продажи'!BE23</f>
        <v/>
      </c>
      <c r="BF42" s="40">
        <f>'04_Продажи'!BF23</f>
        <v/>
      </c>
      <c r="BG42" s="40">
        <f>'04_Продажи'!BG23</f>
        <v/>
      </c>
      <c r="BH42" s="40">
        <f>'04_Продажи'!BH23</f>
        <v/>
      </c>
      <c r="BI42" s="40">
        <f>'04_Продажи'!BI23</f>
        <v/>
      </c>
    </row>
    <row r="43">
      <c r="A43" s="10" t="inlineStr">
        <is>
          <t>OPEX — всего</t>
        </is>
      </c>
      <c r="B43" s="43">
        <f>SUM(B36:B42)</f>
        <v/>
      </c>
      <c r="C43" s="43">
        <f>SUM(C36:C42)</f>
        <v/>
      </c>
      <c r="D43" s="43">
        <f>SUM(D36:D42)</f>
        <v/>
      </c>
      <c r="E43" s="43">
        <f>SUM(E36:E42)</f>
        <v/>
      </c>
      <c r="F43" s="43">
        <f>SUM(F36:F42)</f>
        <v/>
      </c>
      <c r="G43" s="43">
        <f>SUM(G36:G42)</f>
        <v/>
      </c>
      <c r="H43" s="43">
        <f>SUM(H36:H42)</f>
        <v/>
      </c>
      <c r="I43" s="43">
        <f>SUM(I36:I42)</f>
        <v/>
      </c>
      <c r="J43" s="43">
        <f>SUM(J36:J42)</f>
        <v/>
      </c>
      <c r="K43" s="43">
        <f>SUM(K36:K42)</f>
        <v/>
      </c>
      <c r="L43" s="43">
        <f>SUM(L36:L42)</f>
        <v/>
      </c>
      <c r="M43" s="43">
        <f>SUM(M36:M42)</f>
        <v/>
      </c>
      <c r="N43" s="43">
        <f>SUM(N36:N42)</f>
        <v/>
      </c>
      <c r="O43" s="43">
        <f>SUM(O36:O42)</f>
        <v/>
      </c>
      <c r="P43" s="43">
        <f>SUM(P36:P42)</f>
        <v/>
      </c>
      <c r="Q43" s="43">
        <f>SUM(Q36:Q42)</f>
        <v/>
      </c>
      <c r="R43" s="43">
        <f>SUM(R36:R42)</f>
        <v/>
      </c>
      <c r="S43" s="43">
        <f>SUM(S36:S42)</f>
        <v/>
      </c>
      <c r="T43" s="43">
        <f>SUM(T36:T42)</f>
        <v/>
      </c>
      <c r="U43" s="43">
        <f>SUM(U36:U42)</f>
        <v/>
      </c>
      <c r="V43" s="43">
        <f>SUM(V36:V42)</f>
        <v/>
      </c>
      <c r="W43" s="43">
        <f>SUM(W36:W42)</f>
        <v/>
      </c>
      <c r="X43" s="43">
        <f>SUM(X36:X42)</f>
        <v/>
      </c>
      <c r="Y43" s="43">
        <f>SUM(Y36:Y42)</f>
        <v/>
      </c>
      <c r="Z43" s="43">
        <f>SUM(Z36:Z42)</f>
        <v/>
      </c>
      <c r="AA43" s="43">
        <f>SUM(AA36:AA42)</f>
        <v/>
      </c>
      <c r="AB43" s="43">
        <f>SUM(AB36:AB42)</f>
        <v/>
      </c>
      <c r="AC43" s="43">
        <f>SUM(AC36:AC42)</f>
        <v/>
      </c>
      <c r="AD43" s="43">
        <f>SUM(AD36:AD42)</f>
        <v/>
      </c>
      <c r="AE43" s="43">
        <f>SUM(AE36:AE42)</f>
        <v/>
      </c>
      <c r="AF43" s="43">
        <f>SUM(AF36:AF42)</f>
        <v/>
      </c>
      <c r="AG43" s="43">
        <f>SUM(AG36:AG42)</f>
        <v/>
      </c>
      <c r="AH43" s="43">
        <f>SUM(AH36:AH42)</f>
        <v/>
      </c>
      <c r="AI43" s="43">
        <f>SUM(AI36:AI42)</f>
        <v/>
      </c>
      <c r="AJ43" s="43">
        <f>SUM(AJ36:AJ42)</f>
        <v/>
      </c>
      <c r="AK43" s="43">
        <f>SUM(AK36:AK42)</f>
        <v/>
      </c>
      <c r="AL43" s="43">
        <f>SUM(AL36:AL42)</f>
        <v/>
      </c>
      <c r="AM43" s="43">
        <f>SUM(AM36:AM42)</f>
        <v/>
      </c>
      <c r="AN43" s="43">
        <f>SUM(AN36:AN42)</f>
        <v/>
      </c>
      <c r="AO43" s="43">
        <f>SUM(AO36:AO42)</f>
        <v/>
      </c>
      <c r="AP43" s="43">
        <f>SUM(AP36:AP42)</f>
        <v/>
      </c>
      <c r="AQ43" s="43">
        <f>SUM(AQ36:AQ42)</f>
        <v/>
      </c>
      <c r="AR43" s="43">
        <f>SUM(AR36:AR42)</f>
        <v/>
      </c>
      <c r="AS43" s="43">
        <f>SUM(AS36:AS42)</f>
        <v/>
      </c>
      <c r="AT43" s="43">
        <f>SUM(AT36:AT42)</f>
        <v/>
      </c>
      <c r="AU43" s="43">
        <f>SUM(AU36:AU42)</f>
        <v/>
      </c>
      <c r="AV43" s="43">
        <f>SUM(AV36:AV42)</f>
        <v/>
      </c>
      <c r="AW43" s="43">
        <f>SUM(AW36:AW42)</f>
        <v/>
      </c>
      <c r="AX43" s="43">
        <f>SUM(AX36:AX42)</f>
        <v/>
      </c>
      <c r="AY43" s="43">
        <f>SUM(AY36:AY42)</f>
        <v/>
      </c>
      <c r="AZ43" s="43">
        <f>SUM(AZ36:AZ42)</f>
        <v/>
      </c>
      <c r="BA43" s="43">
        <f>SUM(BA36:BA42)</f>
        <v/>
      </c>
      <c r="BB43" s="43">
        <f>SUM(BB36:BB42)</f>
        <v/>
      </c>
      <c r="BC43" s="43">
        <f>SUM(BC36:BC42)</f>
        <v/>
      </c>
      <c r="BD43" s="43">
        <f>SUM(BD36:BD42)</f>
        <v/>
      </c>
      <c r="BE43" s="43">
        <f>SUM(BE36:BE42)</f>
        <v/>
      </c>
      <c r="BF43" s="43">
        <f>SUM(BF36:BF42)</f>
        <v/>
      </c>
      <c r="BG43" s="43">
        <f>SUM(BG36:BG42)</f>
        <v/>
      </c>
      <c r="BH43" s="43">
        <f>SUM(BH36:BH42)</f>
        <v/>
      </c>
      <c r="BI43" s="43">
        <f>SUM(BI36:BI42)</f>
        <v/>
      </c>
    </row>
    <row r="44">
      <c r="A44" s="10" t="inlineStr">
        <is>
          <t>EBITDA</t>
        </is>
      </c>
      <c r="B44" s="43">
        <f>B33-B43</f>
        <v/>
      </c>
      <c r="C44" s="43">
        <f>C33-C43</f>
        <v/>
      </c>
      <c r="D44" s="43">
        <f>D33-D43</f>
        <v/>
      </c>
      <c r="E44" s="43">
        <f>E33-E43</f>
        <v/>
      </c>
      <c r="F44" s="43">
        <f>F33-F43</f>
        <v/>
      </c>
      <c r="G44" s="43">
        <f>G33-G43</f>
        <v/>
      </c>
      <c r="H44" s="43">
        <f>H33-H43</f>
        <v/>
      </c>
      <c r="I44" s="43">
        <f>I33-I43</f>
        <v/>
      </c>
      <c r="J44" s="43">
        <f>J33-J43</f>
        <v/>
      </c>
      <c r="K44" s="43">
        <f>K33-K43</f>
        <v/>
      </c>
      <c r="L44" s="43">
        <f>L33-L43</f>
        <v/>
      </c>
      <c r="M44" s="43">
        <f>M33-M43</f>
        <v/>
      </c>
      <c r="N44" s="43">
        <f>N33-N43</f>
        <v/>
      </c>
      <c r="O44" s="43">
        <f>O33-O43</f>
        <v/>
      </c>
      <c r="P44" s="43">
        <f>P33-P43</f>
        <v/>
      </c>
      <c r="Q44" s="43">
        <f>Q33-Q43</f>
        <v/>
      </c>
      <c r="R44" s="43">
        <f>R33-R43</f>
        <v/>
      </c>
      <c r="S44" s="43">
        <f>S33-S43</f>
        <v/>
      </c>
      <c r="T44" s="43">
        <f>T33-T43</f>
        <v/>
      </c>
      <c r="U44" s="43">
        <f>U33-U43</f>
        <v/>
      </c>
      <c r="V44" s="43">
        <f>V33-V43</f>
        <v/>
      </c>
      <c r="W44" s="43">
        <f>W33-W43</f>
        <v/>
      </c>
      <c r="X44" s="43">
        <f>X33-X43</f>
        <v/>
      </c>
      <c r="Y44" s="43">
        <f>Y33-Y43</f>
        <v/>
      </c>
      <c r="Z44" s="43">
        <f>Z33-Z43</f>
        <v/>
      </c>
      <c r="AA44" s="43">
        <f>AA33-AA43</f>
        <v/>
      </c>
      <c r="AB44" s="43">
        <f>AB33-AB43</f>
        <v/>
      </c>
      <c r="AC44" s="43">
        <f>AC33-AC43</f>
        <v/>
      </c>
      <c r="AD44" s="43">
        <f>AD33-AD43</f>
        <v/>
      </c>
      <c r="AE44" s="43">
        <f>AE33-AE43</f>
        <v/>
      </c>
      <c r="AF44" s="43">
        <f>AF33-AF43</f>
        <v/>
      </c>
      <c r="AG44" s="43">
        <f>AG33-AG43</f>
        <v/>
      </c>
      <c r="AH44" s="43">
        <f>AH33-AH43</f>
        <v/>
      </c>
      <c r="AI44" s="43">
        <f>AI33-AI43</f>
        <v/>
      </c>
      <c r="AJ44" s="43">
        <f>AJ33-AJ43</f>
        <v/>
      </c>
      <c r="AK44" s="43">
        <f>AK33-AK43</f>
        <v/>
      </c>
      <c r="AL44" s="43">
        <f>AL33-AL43</f>
        <v/>
      </c>
      <c r="AM44" s="43">
        <f>AM33-AM43</f>
        <v/>
      </c>
      <c r="AN44" s="43">
        <f>AN33-AN43</f>
        <v/>
      </c>
      <c r="AO44" s="43">
        <f>AO33-AO43</f>
        <v/>
      </c>
      <c r="AP44" s="43">
        <f>AP33-AP43</f>
        <v/>
      </c>
      <c r="AQ44" s="43">
        <f>AQ33-AQ43</f>
        <v/>
      </c>
      <c r="AR44" s="43">
        <f>AR33-AR43</f>
        <v/>
      </c>
      <c r="AS44" s="43">
        <f>AS33-AS43</f>
        <v/>
      </c>
      <c r="AT44" s="43">
        <f>AT33-AT43</f>
        <v/>
      </c>
      <c r="AU44" s="43">
        <f>AU33-AU43</f>
        <v/>
      </c>
      <c r="AV44" s="43">
        <f>AV33-AV43</f>
        <v/>
      </c>
      <c r="AW44" s="43">
        <f>AW33-AW43</f>
        <v/>
      </c>
      <c r="AX44" s="43">
        <f>AX33-AX43</f>
        <v/>
      </c>
      <c r="AY44" s="43">
        <f>AY33-AY43</f>
        <v/>
      </c>
      <c r="AZ44" s="43">
        <f>AZ33-AZ43</f>
        <v/>
      </c>
      <c r="BA44" s="43">
        <f>BA33-BA43</f>
        <v/>
      </c>
      <c r="BB44" s="43">
        <f>BB33-BB43</f>
        <v/>
      </c>
      <c r="BC44" s="43">
        <f>BC33-BC43</f>
        <v/>
      </c>
      <c r="BD44" s="43">
        <f>BD33-BD43</f>
        <v/>
      </c>
      <c r="BE44" s="43">
        <f>BE33-BE43</f>
        <v/>
      </c>
      <c r="BF44" s="43">
        <f>BF33-BF43</f>
        <v/>
      </c>
      <c r="BG44" s="43">
        <f>BG33-BG43</f>
        <v/>
      </c>
      <c r="BH44" s="43">
        <f>BH33-BH43</f>
        <v/>
      </c>
      <c r="BI44" s="43">
        <f>BI33-BI43</f>
        <v/>
      </c>
    </row>
    <row r="45">
      <c r="A45" s="2" t="inlineStr">
        <is>
          <t>EBITDA margin</t>
        </is>
      </c>
      <c r="B45" s="45">
        <f>IF(B23=0,0,B44/B23)</f>
        <v/>
      </c>
      <c r="C45" s="45">
        <f>IF(C23=0,0,C44/C23)</f>
        <v/>
      </c>
      <c r="D45" s="45">
        <f>IF(D23=0,0,D44/D23)</f>
        <v/>
      </c>
      <c r="E45" s="45">
        <f>IF(E23=0,0,E44/E23)</f>
        <v/>
      </c>
      <c r="F45" s="45">
        <f>IF(F23=0,0,F44/F23)</f>
        <v/>
      </c>
      <c r="G45" s="45">
        <f>IF(G23=0,0,G44/G23)</f>
        <v/>
      </c>
      <c r="H45" s="45">
        <f>IF(H23=0,0,H44/H23)</f>
        <v/>
      </c>
      <c r="I45" s="45">
        <f>IF(I23=0,0,I44/I23)</f>
        <v/>
      </c>
      <c r="J45" s="45">
        <f>IF(J23=0,0,J44/J23)</f>
        <v/>
      </c>
      <c r="K45" s="45">
        <f>IF(K23=0,0,K44/K23)</f>
        <v/>
      </c>
      <c r="L45" s="45">
        <f>IF(L23=0,0,L44/L23)</f>
        <v/>
      </c>
      <c r="M45" s="45">
        <f>IF(M23=0,0,M44/M23)</f>
        <v/>
      </c>
      <c r="N45" s="45">
        <f>IF(N23=0,0,N44/N23)</f>
        <v/>
      </c>
      <c r="O45" s="45">
        <f>IF(O23=0,0,O44/O23)</f>
        <v/>
      </c>
      <c r="P45" s="45">
        <f>IF(P23=0,0,P44/P23)</f>
        <v/>
      </c>
      <c r="Q45" s="45">
        <f>IF(Q23=0,0,Q44/Q23)</f>
        <v/>
      </c>
      <c r="R45" s="45">
        <f>IF(R23=0,0,R44/R23)</f>
        <v/>
      </c>
      <c r="S45" s="45">
        <f>IF(S23=0,0,S44/S23)</f>
        <v/>
      </c>
      <c r="T45" s="45">
        <f>IF(T23=0,0,T44/T23)</f>
        <v/>
      </c>
      <c r="U45" s="45">
        <f>IF(U23=0,0,U44/U23)</f>
        <v/>
      </c>
      <c r="V45" s="45">
        <f>IF(V23=0,0,V44/V23)</f>
        <v/>
      </c>
      <c r="W45" s="45">
        <f>IF(W23=0,0,W44/W23)</f>
        <v/>
      </c>
      <c r="X45" s="45">
        <f>IF(X23=0,0,X44/X23)</f>
        <v/>
      </c>
      <c r="Y45" s="45">
        <f>IF(Y23=0,0,Y44/Y23)</f>
        <v/>
      </c>
      <c r="Z45" s="45">
        <f>IF(Z23=0,0,Z44/Z23)</f>
        <v/>
      </c>
      <c r="AA45" s="45">
        <f>IF(AA23=0,0,AA44/AA23)</f>
        <v/>
      </c>
      <c r="AB45" s="45">
        <f>IF(AB23=0,0,AB44/AB23)</f>
        <v/>
      </c>
      <c r="AC45" s="45">
        <f>IF(AC23=0,0,AC44/AC23)</f>
        <v/>
      </c>
      <c r="AD45" s="45">
        <f>IF(AD23=0,0,AD44/AD23)</f>
        <v/>
      </c>
      <c r="AE45" s="45">
        <f>IF(AE23=0,0,AE44/AE23)</f>
        <v/>
      </c>
      <c r="AF45" s="45">
        <f>IF(AF23=0,0,AF44/AF23)</f>
        <v/>
      </c>
      <c r="AG45" s="45">
        <f>IF(AG23=0,0,AG44/AG23)</f>
        <v/>
      </c>
      <c r="AH45" s="45">
        <f>IF(AH23=0,0,AH44/AH23)</f>
        <v/>
      </c>
      <c r="AI45" s="45">
        <f>IF(AI23=0,0,AI44/AI23)</f>
        <v/>
      </c>
      <c r="AJ45" s="45">
        <f>IF(AJ23=0,0,AJ44/AJ23)</f>
        <v/>
      </c>
      <c r="AK45" s="45">
        <f>IF(AK23=0,0,AK44/AK23)</f>
        <v/>
      </c>
      <c r="AL45" s="45">
        <f>IF(AL23=0,0,AL44/AL23)</f>
        <v/>
      </c>
      <c r="AM45" s="45">
        <f>IF(AM23=0,0,AM44/AM23)</f>
        <v/>
      </c>
      <c r="AN45" s="45">
        <f>IF(AN23=0,0,AN44/AN23)</f>
        <v/>
      </c>
      <c r="AO45" s="45">
        <f>IF(AO23=0,0,AO44/AO23)</f>
        <v/>
      </c>
      <c r="AP45" s="45">
        <f>IF(AP23=0,0,AP44/AP23)</f>
        <v/>
      </c>
      <c r="AQ45" s="45">
        <f>IF(AQ23=0,0,AQ44/AQ23)</f>
        <v/>
      </c>
      <c r="AR45" s="45">
        <f>IF(AR23=0,0,AR44/AR23)</f>
        <v/>
      </c>
      <c r="AS45" s="45">
        <f>IF(AS23=0,0,AS44/AS23)</f>
        <v/>
      </c>
      <c r="AT45" s="45">
        <f>IF(AT23=0,0,AT44/AT23)</f>
        <v/>
      </c>
      <c r="AU45" s="45">
        <f>IF(AU23=0,0,AU44/AU23)</f>
        <v/>
      </c>
      <c r="AV45" s="45">
        <f>IF(AV23=0,0,AV44/AV23)</f>
        <v/>
      </c>
      <c r="AW45" s="45">
        <f>IF(AW23=0,0,AW44/AW23)</f>
        <v/>
      </c>
      <c r="AX45" s="45">
        <f>IF(AX23=0,0,AX44/AX23)</f>
        <v/>
      </c>
      <c r="AY45" s="45">
        <f>IF(AY23=0,0,AY44/AY23)</f>
        <v/>
      </c>
      <c r="AZ45" s="45">
        <f>IF(AZ23=0,0,AZ44/AZ23)</f>
        <v/>
      </c>
      <c r="BA45" s="45">
        <f>IF(BA23=0,0,BA44/BA23)</f>
        <v/>
      </c>
      <c r="BB45" s="45">
        <f>IF(BB23=0,0,BB44/BB23)</f>
        <v/>
      </c>
      <c r="BC45" s="45">
        <f>IF(BC23=0,0,BC44/BC23)</f>
        <v/>
      </c>
      <c r="BD45" s="45">
        <f>IF(BD23=0,0,BD44/BD23)</f>
        <v/>
      </c>
      <c r="BE45" s="45">
        <f>IF(BE23=0,0,BE44/BE23)</f>
        <v/>
      </c>
      <c r="BF45" s="45">
        <f>IF(BF23=0,0,BF44/BF23)</f>
        <v/>
      </c>
      <c r="BG45" s="45">
        <f>IF(BG23=0,0,BG44/BG23)</f>
        <v/>
      </c>
      <c r="BH45" s="45">
        <f>IF(BH23=0,0,BH44/BH23)</f>
        <v/>
      </c>
      <c r="BI45" s="45">
        <f>IF(BI23=0,0,BI44/BI23)</f>
        <v/>
      </c>
    </row>
    <row r="46">
      <c r="A46" s="2" t="inlineStr">
        <is>
          <t>УСН / минимальный налог</t>
        </is>
      </c>
      <c r="B46" s="42">
        <f>MAX('01_Вводные'!$B$157*B23,'01_Вводные'!$B$156*MAX(0,B44))</f>
        <v/>
      </c>
      <c r="C46" s="42">
        <f>MAX('01_Вводные'!$B$157*C23,'01_Вводные'!$B$156*MAX(0,C44))</f>
        <v/>
      </c>
      <c r="D46" s="42">
        <f>MAX('01_Вводные'!$B$157*D23,'01_Вводные'!$B$156*MAX(0,D44))</f>
        <v/>
      </c>
      <c r="E46" s="42">
        <f>MAX('01_Вводные'!$B$157*E23,'01_Вводные'!$B$156*MAX(0,E44))</f>
        <v/>
      </c>
      <c r="F46" s="42">
        <f>MAX('01_Вводные'!$B$157*F23,'01_Вводные'!$B$156*MAX(0,F44))</f>
        <v/>
      </c>
      <c r="G46" s="42">
        <f>MAX('01_Вводные'!$B$157*G23,'01_Вводные'!$B$156*MAX(0,G44))</f>
        <v/>
      </c>
      <c r="H46" s="42">
        <f>MAX('01_Вводные'!$B$157*H23,'01_Вводные'!$B$156*MAX(0,H44))</f>
        <v/>
      </c>
      <c r="I46" s="42">
        <f>MAX('01_Вводные'!$B$157*I23,'01_Вводные'!$B$156*MAX(0,I44))</f>
        <v/>
      </c>
      <c r="J46" s="42">
        <f>MAX('01_Вводные'!$B$157*J23,'01_Вводные'!$B$156*MAX(0,J44))</f>
        <v/>
      </c>
      <c r="K46" s="42">
        <f>MAX('01_Вводные'!$B$157*K23,'01_Вводные'!$B$156*MAX(0,K44))</f>
        <v/>
      </c>
      <c r="L46" s="42">
        <f>MAX('01_Вводные'!$B$157*L23,'01_Вводные'!$B$156*MAX(0,L44))</f>
        <v/>
      </c>
      <c r="M46" s="42">
        <f>MAX('01_Вводные'!$B$157*M23,'01_Вводные'!$B$156*MAX(0,M44))</f>
        <v/>
      </c>
      <c r="N46" s="42">
        <f>MAX('01_Вводные'!$B$157*N23,'01_Вводные'!$B$156*MAX(0,N44))</f>
        <v/>
      </c>
      <c r="O46" s="42">
        <f>MAX('01_Вводные'!$B$157*O23,'01_Вводные'!$B$156*MAX(0,O44))</f>
        <v/>
      </c>
      <c r="P46" s="42">
        <f>MAX('01_Вводные'!$B$157*P23,'01_Вводные'!$B$156*MAX(0,P44))</f>
        <v/>
      </c>
      <c r="Q46" s="42">
        <f>MAX('01_Вводные'!$B$157*Q23,'01_Вводные'!$B$156*MAX(0,Q44))</f>
        <v/>
      </c>
      <c r="R46" s="42">
        <f>MAX('01_Вводные'!$B$157*R23,'01_Вводные'!$B$156*MAX(0,R44))</f>
        <v/>
      </c>
      <c r="S46" s="42">
        <f>MAX('01_Вводные'!$B$157*S23,'01_Вводные'!$B$156*MAX(0,S44))</f>
        <v/>
      </c>
      <c r="T46" s="42">
        <f>MAX('01_Вводные'!$B$157*T23,'01_Вводные'!$B$156*MAX(0,T44))</f>
        <v/>
      </c>
      <c r="U46" s="42">
        <f>MAX('01_Вводные'!$B$157*U23,'01_Вводные'!$B$156*MAX(0,U44))</f>
        <v/>
      </c>
      <c r="V46" s="42">
        <f>MAX('01_Вводные'!$B$157*V23,'01_Вводные'!$B$156*MAX(0,V44))</f>
        <v/>
      </c>
      <c r="W46" s="42">
        <f>MAX('01_Вводные'!$B$157*W23,'01_Вводные'!$B$156*MAX(0,W44))</f>
        <v/>
      </c>
      <c r="X46" s="42">
        <f>MAX('01_Вводные'!$B$157*X23,'01_Вводные'!$B$156*MAX(0,X44))</f>
        <v/>
      </c>
      <c r="Y46" s="42">
        <f>MAX('01_Вводные'!$B$157*Y23,'01_Вводные'!$B$156*MAX(0,Y44))</f>
        <v/>
      </c>
      <c r="Z46" s="42">
        <f>MAX('01_Вводные'!$B$157*Z23,'01_Вводные'!$B$156*MAX(0,Z44))</f>
        <v/>
      </c>
      <c r="AA46" s="42">
        <f>MAX('01_Вводные'!$B$157*AA23,'01_Вводные'!$B$156*MAX(0,AA44))</f>
        <v/>
      </c>
      <c r="AB46" s="42">
        <f>MAX('01_Вводные'!$B$157*AB23,'01_Вводные'!$B$156*MAX(0,AB44))</f>
        <v/>
      </c>
      <c r="AC46" s="42">
        <f>MAX('01_Вводные'!$B$157*AC23,'01_Вводные'!$B$156*MAX(0,AC44))</f>
        <v/>
      </c>
      <c r="AD46" s="42">
        <f>MAX('01_Вводные'!$B$157*AD23,'01_Вводные'!$B$156*MAX(0,AD44))</f>
        <v/>
      </c>
      <c r="AE46" s="42">
        <f>MAX('01_Вводные'!$B$157*AE23,'01_Вводные'!$B$156*MAX(0,AE44))</f>
        <v/>
      </c>
      <c r="AF46" s="42">
        <f>MAX('01_Вводные'!$B$157*AF23,'01_Вводные'!$B$156*MAX(0,AF44))</f>
        <v/>
      </c>
      <c r="AG46" s="42">
        <f>MAX('01_Вводные'!$B$157*AG23,'01_Вводные'!$B$156*MAX(0,AG44))</f>
        <v/>
      </c>
      <c r="AH46" s="42">
        <f>MAX('01_Вводные'!$B$157*AH23,'01_Вводные'!$B$156*MAX(0,AH44))</f>
        <v/>
      </c>
      <c r="AI46" s="42">
        <f>MAX('01_Вводные'!$B$157*AI23,'01_Вводные'!$B$156*MAX(0,AI44))</f>
        <v/>
      </c>
      <c r="AJ46" s="42">
        <f>MAX('01_Вводные'!$B$157*AJ23,'01_Вводные'!$B$156*MAX(0,AJ44))</f>
        <v/>
      </c>
      <c r="AK46" s="42">
        <f>MAX('01_Вводные'!$B$157*AK23,'01_Вводные'!$B$156*MAX(0,AK44))</f>
        <v/>
      </c>
      <c r="AL46" s="42">
        <f>MAX('01_Вводные'!$B$157*AL23,'01_Вводные'!$B$156*MAX(0,AL44))</f>
        <v/>
      </c>
      <c r="AM46" s="42">
        <f>MAX('01_Вводные'!$B$157*AM23,'01_Вводные'!$B$156*MAX(0,AM44))</f>
        <v/>
      </c>
      <c r="AN46" s="42">
        <f>MAX('01_Вводные'!$B$157*AN23,'01_Вводные'!$B$156*MAX(0,AN44))</f>
        <v/>
      </c>
      <c r="AO46" s="42">
        <f>MAX('01_Вводные'!$B$157*AO23,'01_Вводные'!$B$156*MAX(0,AO44))</f>
        <v/>
      </c>
      <c r="AP46" s="42">
        <f>MAX('01_Вводные'!$B$157*AP23,'01_Вводные'!$B$156*MAX(0,AP44))</f>
        <v/>
      </c>
      <c r="AQ46" s="42">
        <f>MAX('01_Вводные'!$B$157*AQ23,'01_Вводные'!$B$156*MAX(0,AQ44))</f>
        <v/>
      </c>
      <c r="AR46" s="42">
        <f>MAX('01_Вводные'!$B$157*AR23,'01_Вводные'!$B$156*MAX(0,AR44))</f>
        <v/>
      </c>
      <c r="AS46" s="42">
        <f>MAX('01_Вводные'!$B$157*AS23,'01_Вводные'!$B$156*MAX(0,AS44))</f>
        <v/>
      </c>
      <c r="AT46" s="42">
        <f>MAX('01_Вводные'!$B$157*AT23,'01_Вводные'!$B$156*MAX(0,AT44))</f>
        <v/>
      </c>
      <c r="AU46" s="42">
        <f>MAX('01_Вводные'!$B$157*AU23,'01_Вводные'!$B$156*MAX(0,AU44))</f>
        <v/>
      </c>
      <c r="AV46" s="42">
        <f>MAX('01_Вводные'!$B$157*AV23,'01_Вводные'!$B$156*MAX(0,AV44))</f>
        <v/>
      </c>
      <c r="AW46" s="42">
        <f>MAX('01_Вводные'!$B$157*AW23,'01_Вводные'!$B$156*MAX(0,AW44))</f>
        <v/>
      </c>
      <c r="AX46" s="42">
        <f>MAX('01_Вводные'!$B$157*AX23,'01_Вводные'!$B$156*MAX(0,AX44))</f>
        <v/>
      </c>
      <c r="AY46" s="42">
        <f>MAX('01_Вводные'!$B$157*AY23,'01_Вводные'!$B$156*MAX(0,AY44))</f>
        <v/>
      </c>
      <c r="AZ46" s="42">
        <f>MAX('01_Вводные'!$B$157*AZ23,'01_Вводные'!$B$156*MAX(0,AZ44))</f>
        <v/>
      </c>
      <c r="BA46" s="42">
        <f>MAX('01_Вводные'!$B$157*BA23,'01_Вводные'!$B$156*MAX(0,BA44))</f>
        <v/>
      </c>
      <c r="BB46" s="42">
        <f>MAX('01_Вводные'!$B$157*BB23,'01_Вводные'!$B$156*MAX(0,BB44))</f>
        <v/>
      </c>
      <c r="BC46" s="42">
        <f>MAX('01_Вводные'!$B$157*BC23,'01_Вводные'!$B$156*MAX(0,BC44))</f>
        <v/>
      </c>
      <c r="BD46" s="42">
        <f>MAX('01_Вводные'!$B$157*BD23,'01_Вводные'!$B$156*MAX(0,BD44))</f>
        <v/>
      </c>
      <c r="BE46" s="42">
        <f>MAX('01_Вводные'!$B$157*BE23,'01_Вводные'!$B$156*MAX(0,BE44))</f>
        <v/>
      </c>
      <c r="BF46" s="42">
        <f>MAX('01_Вводные'!$B$157*BF23,'01_Вводные'!$B$156*MAX(0,BF44))</f>
        <v/>
      </c>
      <c r="BG46" s="42">
        <f>MAX('01_Вводные'!$B$157*BG23,'01_Вводные'!$B$156*MAX(0,BG44))</f>
        <v/>
      </c>
      <c r="BH46" s="42">
        <f>MAX('01_Вводные'!$B$157*BH23,'01_Вводные'!$B$156*MAX(0,BH44))</f>
        <v/>
      </c>
      <c r="BI46" s="42">
        <f>MAX('01_Вводные'!$B$157*BI23,'01_Вводные'!$B$156*MAX(0,BI44))</f>
        <v/>
      </c>
    </row>
    <row r="47">
      <c r="A47" s="10" t="inlineStr">
        <is>
          <t>Прибыль после УСН</t>
        </is>
      </c>
      <c r="B47" s="43">
        <f>B44-B46</f>
        <v/>
      </c>
      <c r="C47" s="43">
        <f>C44-C46</f>
        <v/>
      </c>
      <c r="D47" s="43">
        <f>D44-D46</f>
        <v/>
      </c>
      <c r="E47" s="43">
        <f>E44-E46</f>
        <v/>
      </c>
      <c r="F47" s="43">
        <f>F44-F46</f>
        <v/>
      </c>
      <c r="G47" s="43">
        <f>G44-G46</f>
        <v/>
      </c>
      <c r="H47" s="43">
        <f>H44-H46</f>
        <v/>
      </c>
      <c r="I47" s="43">
        <f>I44-I46</f>
        <v/>
      </c>
      <c r="J47" s="43">
        <f>J44-J46</f>
        <v/>
      </c>
      <c r="K47" s="43">
        <f>K44-K46</f>
        <v/>
      </c>
      <c r="L47" s="43">
        <f>L44-L46</f>
        <v/>
      </c>
      <c r="M47" s="43">
        <f>M44-M46</f>
        <v/>
      </c>
      <c r="N47" s="43">
        <f>N44-N46</f>
        <v/>
      </c>
      <c r="O47" s="43">
        <f>O44-O46</f>
        <v/>
      </c>
      <c r="P47" s="43">
        <f>P44-P46</f>
        <v/>
      </c>
      <c r="Q47" s="43">
        <f>Q44-Q46</f>
        <v/>
      </c>
      <c r="R47" s="43">
        <f>R44-R46</f>
        <v/>
      </c>
      <c r="S47" s="43">
        <f>S44-S46</f>
        <v/>
      </c>
      <c r="T47" s="43">
        <f>T44-T46</f>
        <v/>
      </c>
      <c r="U47" s="43">
        <f>U44-U46</f>
        <v/>
      </c>
      <c r="V47" s="43">
        <f>V44-V46</f>
        <v/>
      </c>
      <c r="W47" s="43">
        <f>W44-W46</f>
        <v/>
      </c>
      <c r="X47" s="43">
        <f>X44-X46</f>
        <v/>
      </c>
      <c r="Y47" s="43">
        <f>Y44-Y46</f>
        <v/>
      </c>
      <c r="Z47" s="43">
        <f>Z44-Z46</f>
        <v/>
      </c>
      <c r="AA47" s="43">
        <f>AA44-AA46</f>
        <v/>
      </c>
      <c r="AB47" s="43">
        <f>AB44-AB46</f>
        <v/>
      </c>
      <c r="AC47" s="43">
        <f>AC44-AC46</f>
        <v/>
      </c>
      <c r="AD47" s="43">
        <f>AD44-AD46</f>
        <v/>
      </c>
      <c r="AE47" s="43">
        <f>AE44-AE46</f>
        <v/>
      </c>
      <c r="AF47" s="43">
        <f>AF44-AF46</f>
        <v/>
      </c>
      <c r="AG47" s="43">
        <f>AG44-AG46</f>
        <v/>
      </c>
      <c r="AH47" s="43">
        <f>AH44-AH46</f>
        <v/>
      </c>
      <c r="AI47" s="43">
        <f>AI44-AI46</f>
        <v/>
      </c>
      <c r="AJ47" s="43">
        <f>AJ44-AJ46</f>
        <v/>
      </c>
      <c r="AK47" s="43">
        <f>AK44-AK46</f>
        <v/>
      </c>
      <c r="AL47" s="43">
        <f>AL44-AL46</f>
        <v/>
      </c>
      <c r="AM47" s="43">
        <f>AM44-AM46</f>
        <v/>
      </c>
      <c r="AN47" s="43">
        <f>AN44-AN46</f>
        <v/>
      </c>
      <c r="AO47" s="43">
        <f>AO44-AO46</f>
        <v/>
      </c>
      <c r="AP47" s="43">
        <f>AP44-AP46</f>
        <v/>
      </c>
      <c r="AQ47" s="43">
        <f>AQ44-AQ46</f>
        <v/>
      </c>
      <c r="AR47" s="43">
        <f>AR44-AR46</f>
        <v/>
      </c>
      <c r="AS47" s="43">
        <f>AS44-AS46</f>
        <v/>
      </c>
      <c r="AT47" s="43">
        <f>AT44-AT46</f>
        <v/>
      </c>
      <c r="AU47" s="43">
        <f>AU44-AU46</f>
        <v/>
      </c>
      <c r="AV47" s="43">
        <f>AV44-AV46</f>
        <v/>
      </c>
      <c r="AW47" s="43">
        <f>AW44-AW46</f>
        <v/>
      </c>
      <c r="AX47" s="43">
        <f>AX44-AX46</f>
        <v/>
      </c>
      <c r="AY47" s="43">
        <f>AY44-AY46</f>
        <v/>
      </c>
      <c r="AZ47" s="43">
        <f>AZ44-AZ46</f>
        <v/>
      </c>
      <c r="BA47" s="43">
        <f>BA44-BA46</f>
        <v/>
      </c>
      <c r="BB47" s="43">
        <f>BB44-BB46</f>
        <v/>
      </c>
      <c r="BC47" s="43">
        <f>BC44-BC46</f>
        <v/>
      </c>
      <c r="BD47" s="43">
        <f>BD44-BD46</f>
        <v/>
      </c>
      <c r="BE47" s="43">
        <f>BE44-BE46</f>
        <v/>
      </c>
      <c r="BF47" s="43">
        <f>BF44-BF46</f>
        <v/>
      </c>
      <c r="BG47" s="43">
        <f>BG44-BG46</f>
        <v/>
      </c>
      <c r="BH47" s="43">
        <f>BH44-BH46</f>
        <v/>
      </c>
      <c r="BI47" s="43">
        <f>BI44-BI46</f>
        <v/>
      </c>
    </row>
    <row r="48">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c r="AA48" s="73" t="n"/>
      <c r="AB48" s="73" t="n"/>
      <c r="AC48" s="73" t="n"/>
      <c r="AD48" s="73" t="n"/>
      <c r="AE48" s="73" t="n"/>
      <c r="AF48" s="73" t="n"/>
      <c r="AG48" s="73" t="n"/>
      <c r="AH48" s="73" t="n"/>
      <c r="AI48" s="73" t="n"/>
      <c r="AJ48" s="73" t="n"/>
      <c r="AK48" s="73" t="n"/>
      <c r="AL48" s="73" t="n"/>
      <c r="AM48" s="73" t="n"/>
      <c r="AN48" s="73" t="n"/>
      <c r="AO48" s="73" t="n"/>
      <c r="AP48" s="73" t="n"/>
      <c r="AQ48" s="73" t="n"/>
      <c r="AR48" s="73" t="n"/>
      <c r="AS48" s="73" t="n"/>
      <c r="AT48" s="73" t="n"/>
      <c r="AU48" s="73" t="n"/>
      <c r="AV48" s="73" t="n"/>
      <c r="AW48" s="73" t="n"/>
      <c r="AX48" s="73" t="n"/>
      <c r="AY48" s="73" t="n"/>
      <c r="AZ48" s="73" t="n"/>
      <c r="BA48" s="73" t="n"/>
      <c r="BB48" s="73" t="n"/>
      <c r="BC48" s="73" t="n"/>
      <c r="BD48" s="73" t="n"/>
      <c r="BE48" s="73" t="n"/>
      <c r="BF48" s="73" t="n"/>
      <c r="BG48" s="73" t="n"/>
      <c r="BH48" s="73" t="n"/>
      <c r="BI48" s="73" t="n"/>
    </row>
    <row r="49">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c r="AA49" s="73" t="n"/>
      <c r="AB49" s="73" t="n"/>
      <c r="AC49" s="73" t="n"/>
      <c r="AD49" s="73" t="n"/>
      <c r="AE49" s="73" t="n"/>
      <c r="AF49" s="73" t="n"/>
      <c r="AG49" s="73" t="n"/>
      <c r="AH49" s="73" t="n"/>
      <c r="AI49" s="73" t="n"/>
      <c r="AJ49" s="73" t="n"/>
      <c r="AK49" s="73" t="n"/>
      <c r="AL49" s="73" t="n"/>
      <c r="AM49" s="73" t="n"/>
      <c r="AN49" s="73" t="n"/>
      <c r="AO49" s="73" t="n"/>
      <c r="AP49" s="73" t="n"/>
      <c r="AQ49" s="73" t="n"/>
      <c r="AR49" s="73" t="n"/>
      <c r="AS49" s="73" t="n"/>
      <c r="AT49" s="73" t="n"/>
      <c r="AU49" s="73" t="n"/>
      <c r="AV49" s="73" t="n"/>
      <c r="AW49" s="73" t="n"/>
      <c r="AX49" s="73" t="n"/>
      <c r="AY49" s="73" t="n"/>
      <c r="AZ49" s="73" t="n"/>
      <c r="BA49" s="73" t="n"/>
      <c r="BB49" s="73" t="n"/>
      <c r="BC49" s="73" t="n"/>
      <c r="BD49" s="73" t="n"/>
      <c r="BE49" s="73" t="n"/>
      <c r="BF49" s="73" t="n"/>
      <c r="BG49" s="73" t="n"/>
      <c r="BH49" s="73" t="n"/>
      <c r="BI49" s="73" t="n"/>
    </row>
    <row r="50" ht="20" customHeight="1">
      <c r="A50" s="4" t="inlineStr">
        <is>
          <t>БДДС</t>
        </is>
      </c>
    </row>
    <row r="51">
      <c r="A51" s="2" t="inlineStr">
        <is>
          <t>Денежный остаток на начало</t>
        </is>
      </c>
      <c r="B51" s="42">
        <f>'01_Вводные'!$B$17</f>
        <v/>
      </c>
      <c r="C51" s="42">
        <f>B72</f>
        <v/>
      </c>
      <c r="D51" s="42">
        <f>C72</f>
        <v/>
      </c>
      <c r="E51" s="42">
        <f>D72</f>
        <v/>
      </c>
      <c r="F51" s="42">
        <f>E72</f>
        <v/>
      </c>
      <c r="G51" s="42">
        <f>F72</f>
        <v/>
      </c>
      <c r="H51" s="42">
        <f>G72</f>
        <v/>
      </c>
      <c r="I51" s="42">
        <f>H72</f>
        <v/>
      </c>
      <c r="J51" s="42">
        <f>I72</f>
        <v/>
      </c>
      <c r="K51" s="42">
        <f>J72</f>
        <v/>
      </c>
      <c r="L51" s="42">
        <f>K72</f>
        <v/>
      </c>
      <c r="M51" s="42">
        <f>L72</f>
        <v/>
      </c>
      <c r="N51" s="42">
        <f>M72</f>
        <v/>
      </c>
      <c r="O51" s="42">
        <f>N72</f>
        <v/>
      </c>
      <c r="P51" s="42">
        <f>O72</f>
        <v/>
      </c>
      <c r="Q51" s="42">
        <f>P72</f>
        <v/>
      </c>
      <c r="R51" s="42">
        <f>Q72</f>
        <v/>
      </c>
      <c r="S51" s="42">
        <f>R72</f>
        <v/>
      </c>
      <c r="T51" s="42">
        <f>S72</f>
        <v/>
      </c>
      <c r="U51" s="42">
        <f>T72</f>
        <v/>
      </c>
      <c r="V51" s="42">
        <f>U72</f>
        <v/>
      </c>
      <c r="W51" s="42">
        <f>V72</f>
        <v/>
      </c>
      <c r="X51" s="42">
        <f>W72</f>
        <v/>
      </c>
      <c r="Y51" s="42">
        <f>X72</f>
        <v/>
      </c>
      <c r="Z51" s="42">
        <f>Y72</f>
        <v/>
      </c>
      <c r="AA51" s="42">
        <f>Z72</f>
        <v/>
      </c>
      <c r="AB51" s="42">
        <f>AA72</f>
        <v/>
      </c>
      <c r="AC51" s="42">
        <f>AB72</f>
        <v/>
      </c>
      <c r="AD51" s="42">
        <f>AC72</f>
        <v/>
      </c>
      <c r="AE51" s="42">
        <f>AD72</f>
        <v/>
      </c>
      <c r="AF51" s="42">
        <f>AE72</f>
        <v/>
      </c>
      <c r="AG51" s="42">
        <f>AF72</f>
        <v/>
      </c>
      <c r="AH51" s="42">
        <f>AG72</f>
        <v/>
      </c>
      <c r="AI51" s="42">
        <f>AH72</f>
        <v/>
      </c>
      <c r="AJ51" s="42">
        <f>AI72</f>
        <v/>
      </c>
      <c r="AK51" s="42">
        <f>AJ72</f>
        <v/>
      </c>
      <c r="AL51" s="42">
        <f>AK72</f>
        <v/>
      </c>
      <c r="AM51" s="42">
        <f>AL72</f>
        <v/>
      </c>
      <c r="AN51" s="42">
        <f>AM72</f>
        <v/>
      </c>
      <c r="AO51" s="42">
        <f>AN72</f>
        <v/>
      </c>
      <c r="AP51" s="42">
        <f>AO72</f>
        <v/>
      </c>
      <c r="AQ51" s="42">
        <f>AP72</f>
        <v/>
      </c>
      <c r="AR51" s="42">
        <f>AQ72</f>
        <v/>
      </c>
      <c r="AS51" s="42">
        <f>AR72</f>
        <v/>
      </c>
      <c r="AT51" s="42">
        <f>AS72</f>
        <v/>
      </c>
      <c r="AU51" s="42">
        <f>AT72</f>
        <v/>
      </c>
      <c r="AV51" s="42">
        <f>AU72</f>
        <v/>
      </c>
      <c r="AW51" s="42">
        <f>AV72</f>
        <v/>
      </c>
      <c r="AX51" s="42">
        <f>AW72</f>
        <v/>
      </c>
      <c r="AY51" s="42">
        <f>AX72</f>
        <v/>
      </c>
      <c r="AZ51" s="42">
        <f>AY72</f>
        <v/>
      </c>
      <c r="BA51" s="42">
        <f>AZ72</f>
        <v/>
      </c>
      <c r="BB51" s="42">
        <f>BA72</f>
        <v/>
      </c>
      <c r="BC51" s="42">
        <f>BB72</f>
        <v/>
      </c>
      <c r="BD51" s="42">
        <f>BC72</f>
        <v/>
      </c>
      <c r="BE51" s="42">
        <f>BD72</f>
        <v/>
      </c>
      <c r="BF51" s="42">
        <f>BE72</f>
        <v/>
      </c>
      <c r="BG51" s="42">
        <f>BF72</f>
        <v/>
      </c>
      <c r="BH51" s="42">
        <f>BG72</f>
        <v/>
      </c>
      <c r="BI51" s="42">
        <f>BH72</f>
        <v/>
      </c>
    </row>
    <row r="52">
      <c r="A52" s="2" t="inlineStr">
        <is>
          <t>Паушальные поступления</t>
        </is>
      </c>
      <c r="B52" s="40">
        <f>'04_Продажи'!B25</f>
        <v/>
      </c>
      <c r="C52" s="40">
        <f>'04_Продажи'!C25</f>
        <v/>
      </c>
      <c r="D52" s="40">
        <f>'04_Продажи'!D25</f>
        <v/>
      </c>
      <c r="E52" s="40">
        <f>'04_Продажи'!E25</f>
        <v/>
      </c>
      <c r="F52" s="40">
        <f>'04_Продажи'!F25</f>
        <v/>
      </c>
      <c r="G52" s="40">
        <f>'04_Продажи'!G25</f>
        <v/>
      </c>
      <c r="H52" s="40">
        <f>'04_Продажи'!H25</f>
        <v/>
      </c>
      <c r="I52" s="40">
        <f>'04_Продажи'!I25</f>
        <v/>
      </c>
      <c r="J52" s="40">
        <f>'04_Продажи'!J25</f>
        <v/>
      </c>
      <c r="K52" s="40">
        <f>'04_Продажи'!K25</f>
        <v/>
      </c>
      <c r="L52" s="40">
        <f>'04_Продажи'!L25</f>
        <v/>
      </c>
      <c r="M52" s="40">
        <f>'04_Продажи'!M25</f>
        <v/>
      </c>
      <c r="N52" s="40">
        <f>'04_Продажи'!N25</f>
        <v/>
      </c>
      <c r="O52" s="40">
        <f>'04_Продажи'!O25</f>
        <v/>
      </c>
      <c r="P52" s="40">
        <f>'04_Продажи'!P25</f>
        <v/>
      </c>
      <c r="Q52" s="40">
        <f>'04_Продажи'!Q25</f>
        <v/>
      </c>
      <c r="R52" s="40">
        <f>'04_Продажи'!R25</f>
        <v/>
      </c>
      <c r="S52" s="40">
        <f>'04_Продажи'!S25</f>
        <v/>
      </c>
      <c r="T52" s="40">
        <f>'04_Продажи'!T25</f>
        <v/>
      </c>
      <c r="U52" s="40">
        <f>'04_Продажи'!U25</f>
        <v/>
      </c>
      <c r="V52" s="40">
        <f>'04_Продажи'!V25</f>
        <v/>
      </c>
      <c r="W52" s="40">
        <f>'04_Продажи'!W25</f>
        <v/>
      </c>
      <c r="X52" s="40">
        <f>'04_Продажи'!X25</f>
        <v/>
      </c>
      <c r="Y52" s="40">
        <f>'04_Продажи'!Y25</f>
        <v/>
      </c>
      <c r="Z52" s="40">
        <f>'04_Продажи'!Z25</f>
        <v/>
      </c>
      <c r="AA52" s="40">
        <f>'04_Продажи'!AA25</f>
        <v/>
      </c>
      <c r="AB52" s="40">
        <f>'04_Продажи'!AB25</f>
        <v/>
      </c>
      <c r="AC52" s="40">
        <f>'04_Продажи'!AC25</f>
        <v/>
      </c>
      <c r="AD52" s="40">
        <f>'04_Продажи'!AD25</f>
        <v/>
      </c>
      <c r="AE52" s="40">
        <f>'04_Продажи'!AE25</f>
        <v/>
      </c>
      <c r="AF52" s="40">
        <f>'04_Продажи'!AF25</f>
        <v/>
      </c>
      <c r="AG52" s="40">
        <f>'04_Продажи'!AG25</f>
        <v/>
      </c>
      <c r="AH52" s="40">
        <f>'04_Продажи'!AH25</f>
        <v/>
      </c>
      <c r="AI52" s="40">
        <f>'04_Продажи'!AI25</f>
        <v/>
      </c>
      <c r="AJ52" s="40">
        <f>'04_Продажи'!AJ25</f>
        <v/>
      </c>
      <c r="AK52" s="40">
        <f>'04_Продажи'!AK25</f>
        <v/>
      </c>
      <c r="AL52" s="40">
        <f>'04_Продажи'!AL25</f>
        <v/>
      </c>
      <c r="AM52" s="40">
        <f>'04_Продажи'!AM25</f>
        <v/>
      </c>
      <c r="AN52" s="40">
        <f>'04_Продажи'!AN25</f>
        <v/>
      </c>
      <c r="AO52" s="40">
        <f>'04_Продажи'!AO25</f>
        <v/>
      </c>
      <c r="AP52" s="40">
        <f>'04_Продажи'!AP25</f>
        <v/>
      </c>
      <c r="AQ52" s="40">
        <f>'04_Продажи'!AQ25</f>
        <v/>
      </c>
      <c r="AR52" s="40">
        <f>'04_Продажи'!AR25</f>
        <v/>
      </c>
      <c r="AS52" s="40">
        <f>'04_Продажи'!AS25</f>
        <v/>
      </c>
      <c r="AT52" s="40">
        <f>'04_Продажи'!AT25</f>
        <v/>
      </c>
      <c r="AU52" s="40">
        <f>'04_Продажи'!AU25</f>
        <v/>
      </c>
      <c r="AV52" s="40">
        <f>'04_Продажи'!AV25</f>
        <v/>
      </c>
      <c r="AW52" s="40">
        <f>'04_Продажи'!AW25</f>
        <v/>
      </c>
      <c r="AX52" s="40">
        <f>'04_Продажи'!AX25</f>
        <v/>
      </c>
      <c r="AY52" s="40">
        <f>'04_Продажи'!AY25</f>
        <v/>
      </c>
      <c r="AZ52" s="40">
        <f>'04_Продажи'!AZ25</f>
        <v/>
      </c>
      <c r="BA52" s="40">
        <f>'04_Продажи'!BA25</f>
        <v/>
      </c>
      <c r="BB52" s="40">
        <f>'04_Продажи'!BB25</f>
        <v/>
      </c>
      <c r="BC52" s="40">
        <f>'04_Продажи'!BC25</f>
        <v/>
      </c>
      <c r="BD52" s="40">
        <f>'04_Продажи'!BD25</f>
        <v/>
      </c>
      <c r="BE52" s="40">
        <f>'04_Продажи'!BE25</f>
        <v/>
      </c>
      <c r="BF52" s="40">
        <f>'04_Продажи'!BF25</f>
        <v/>
      </c>
      <c r="BG52" s="40">
        <f>'04_Продажи'!BG25</f>
        <v/>
      </c>
      <c r="BH52" s="40">
        <f>'04_Продажи'!BH25</f>
        <v/>
      </c>
      <c r="BI52" s="40">
        <f>'04_Продажи'!BI25</f>
        <v/>
      </c>
    </row>
    <row r="53">
      <c r="A53" s="2" t="inlineStr">
        <is>
          <t>Роялти поступления</t>
        </is>
      </c>
      <c r="B53" s="42">
        <f>'01_Вводные'!$B$20*(B19+B20)*(1+'01_Вводные'!$B$58)+(1-'01_Вводные'!$B$20)*0</f>
        <v/>
      </c>
      <c r="C53" s="42">
        <f>'01_Вводные'!$B$20*(C19+C20)*(1+'01_Вводные'!$B$58)+(1-'01_Вводные'!$B$20)*(B19+B20)*(1+'01_Вводные'!$B$58)</f>
        <v/>
      </c>
      <c r="D53" s="42">
        <f>'01_Вводные'!$B$20*(D19+D20)*(1+'01_Вводные'!$B$58)+(1-'01_Вводные'!$B$20)*(C19+C20)*(1+'01_Вводные'!$B$58)</f>
        <v/>
      </c>
      <c r="E53" s="42">
        <f>'01_Вводные'!$B$20*(E19+E20)*(1+'01_Вводные'!$B$58)+(1-'01_Вводные'!$B$20)*(D19+D20)*(1+'01_Вводные'!$B$58)</f>
        <v/>
      </c>
      <c r="F53" s="42">
        <f>'01_Вводные'!$B$20*(F19+F20)*(1+'01_Вводные'!$B$58)+(1-'01_Вводные'!$B$20)*(E19+E20)*(1+'01_Вводные'!$B$58)</f>
        <v/>
      </c>
      <c r="G53" s="42">
        <f>'01_Вводные'!$B$20*(G19+G20)*(1+'01_Вводные'!$B$58)+(1-'01_Вводные'!$B$20)*(F19+F20)*(1+'01_Вводные'!$B$58)</f>
        <v/>
      </c>
      <c r="H53" s="42">
        <f>'01_Вводные'!$B$20*(H19+H20)*(1+'01_Вводные'!$B$58)+(1-'01_Вводные'!$B$20)*(G19+G20)*(1+'01_Вводные'!$B$58)</f>
        <v/>
      </c>
      <c r="I53" s="42">
        <f>'01_Вводные'!$B$20*(I19+I20)*(1+'01_Вводные'!$B$58)+(1-'01_Вводные'!$B$20)*(H19+H20)*(1+'01_Вводные'!$B$58)</f>
        <v/>
      </c>
      <c r="J53" s="42">
        <f>'01_Вводные'!$B$20*(J19+J20)*(1+'01_Вводные'!$B$58)+(1-'01_Вводные'!$B$20)*(I19+I20)*(1+'01_Вводные'!$B$58)</f>
        <v/>
      </c>
      <c r="K53" s="42">
        <f>'01_Вводные'!$B$20*(K19+K20)*(1+'01_Вводные'!$B$58)+(1-'01_Вводные'!$B$20)*(J19+J20)*(1+'01_Вводные'!$B$58)</f>
        <v/>
      </c>
      <c r="L53" s="42">
        <f>'01_Вводные'!$B$20*(L19+L20)*(1+'01_Вводные'!$B$58)+(1-'01_Вводные'!$B$20)*(K19+K20)*(1+'01_Вводные'!$B$58)</f>
        <v/>
      </c>
      <c r="M53" s="42">
        <f>'01_Вводные'!$B$20*(M19+M20)*(1+'01_Вводные'!$B$58)+(1-'01_Вводные'!$B$20)*(L19+L20)*(1+'01_Вводные'!$B$58)</f>
        <v/>
      </c>
      <c r="N53" s="42">
        <f>'01_Вводные'!$B$20*(N19+N20)*(1+'01_Вводные'!$B$58)+(1-'01_Вводные'!$B$20)*(M19+M20)*(1+'01_Вводные'!$B$58)</f>
        <v/>
      </c>
      <c r="O53" s="42">
        <f>'01_Вводные'!$B$20*(O19+O20)*(1+'01_Вводные'!$B$58)+(1-'01_Вводные'!$B$20)*(N19+N20)*(1+'01_Вводные'!$B$58)</f>
        <v/>
      </c>
      <c r="P53" s="42">
        <f>'01_Вводные'!$B$20*(P19+P20)*(1+'01_Вводные'!$B$58)+(1-'01_Вводные'!$B$20)*(O19+O20)*(1+'01_Вводные'!$B$58)</f>
        <v/>
      </c>
      <c r="Q53" s="42">
        <f>'01_Вводные'!$B$20*(Q19+Q20)*(1+'01_Вводные'!$B$58)+(1-'01_Вводные'!$B$20)*(P19+P20)*(1+'01_Вводные'!$B$58)</f>
        <v/>
      </c>
      <c r="R53" s="42">
        <f>'01_Вводные'!$B$20*(R19+R20)*(1+'01_Вводные'!$B$58)+(1-'01_Вводные'!$B$20)*(Q19+Q20)*(1+'01_Вводные'!$B$58)</f>
        <v/>
      </c>
      <c r="S53" s="42">
        <f>'01_Вводные'!$B$20*(S19+S20)*(1+'01_Вводные'!$B$58)+(1-'01_Вводные'!$B$20)*(R19+R20)*(1+'01_Вводные'!$B$58)</f>
        <v/>
      </c>
      <c r="T53" s="42">
        <f>'01_Вводные'!$B$20*(T19+T20)*(1+'01_Вводные'!$B$58)+(1-'01_Вводные'!$B$20)*(S19+S20)*(1+'01_Вводные'!$B$58)</f>
        <v/>
      </c>
      <c r="U53" s="42">
        <f>'01_Вводные'!$B$20*(U19+U20)*(1+'01_Вводные'!$B$58)+(1-'01_Вводные'!$B$20)*(T19+T20)*(1+'01_Вводные'!$B$58)</f>
        <v/>
      </c>
      <c r="V53" s="42">
        <f>'01_Вводные'!$B$20*(V19+V20)*(1+'01_Вводные'!$B$58)+(1-'01_Вводные'!$B$20)*(U19+U20)*(1+'01_Вводные'!$B$58)</f>
        <v/>
      </c>
      <c r="W53" s="42">
        <f>'01_Вводные'!$B$20*(W19+W20)*(1+'01_Вводные'!$B$58)+(1-'01_Вводные'!$B$20)*(V19+V20)*(1+'01_Вводные'!$B$58)</f>
        <v/>
      </c>
      <c r="X53" s="42">
        <f>'01_Вводные'!$B$20*(X19+X20)*(1+'01_Вводные'!$B$58)+(1-'01_Вводные'!$B$20)*(W19+W20)*(1+'01_Вводные'!$B$58)</f>
        <v/>
      </c>
      <c r="Y53" s="42">
        <f>'01_Вводные'!$B$20*(Y19+Y20)*(1+'01_Вводные'!$B$58)+(1-'01_Вводные'!$B$20)*(X19+X20)*(1+'01_Вводные'!$B$58)</f>
        <v/>
      </c>
      <c r="Z53" s="42">
        <f>'01_Вводные'!$B$20*(Z19+Z20)*(1+'01_Вводные'!$B$58)+(1-'01_Вводные'!$B$20)*(Y19+Y20)*(1+'01_Вводные'!$B$58)</f>
        <v/>
      </c>
      <c r="AA53" s="42">
        <f>'01_Вводные'!$B$20*(AA19+AA20)*(1+'01_Вводные'!$B$58)+(1-'01_Вводные'!$B$20)*(Z19+Z20)*(1+'01_Вводные'!$B$58)</f>
        <v/>
      </c>
      <c r="AB53" s="42">
        <f>'01_Вводные'!$B$20*(AB19+AB20)*(1+'01_Вводные'!$B$58)+(1-'01_Вводные'!$B$20)*(AA19+AA20)*(1+'01_Вводные'!$B$58)</f>
        <v/>
      </c>
      <c r="AC53" s="42">
        <f>'01_Вводные'!$B$20*(AC19+AC20)*(1+'01_Вводные'!$B$58)+(1-'01_Вводные'!$B$20)*(AB19+AB20)*(1+'01_Вводные'!$B$58)</f>
        <v/>
      </c>
      <c r="AD53" s="42">
        <f>'01_Вводные'!$B$20*(AD19+AD20)*(1+'01_Вводные'!$B$58)+(1-'01_Вводные'!$B$20)*(AC19+AC20)*(1+'01_Вводные'!$B$58)</f>
        <v/>
      </c>
      <c r="AE53" s="42">
        <f>'01_Вводные'!$B$20*(AE19+AE20)*(1+'01_Вводные'!$B$58)+(1-'01_Вводные'!$B$20)*(AD19+AD20)*(1+'01_Вводные'!$B$58)</f>
        <v/>
      </c>
      <c r="AF53" s="42">
        <f>'01_Вводные'!$B$20*(AF19+AF20)*(1+'01_Вводные'!$B$58)+(1-'01_Вводные'!$B$20)*(AE19+AE20)*(1+'01_Вводные'!$B$58)</f>
        <v/>
      </c>
      <c r="AG53" s="42">
        <f>'01_Вводные'!$B$20*(AG19+AG20)*(1+'01_Вводные'!$B$58)+(1-'01_Вводные'!$B$20)*(AF19+AF20)*(1+'01_Вводные'!$B$58)</f>
        <v/>
      </c>
      <c r="AH53" s="42">
        <f>'01_Вводные'!$B$20*(AH19+AH20)*(1+'01_Вводные'!$B$58)+(1-'01_Вводные'!$B$20)*(AG19+AG20)*(1+'01_Вводные'!$B$58)</f>
        <v/>
      </c>
      <c r="AI53" s="42">
        <f>'01_Вводные'!$B$20*(AI19+AI20)*(1+'01_Вводные'!$B$58)+(1-'01_Вводные'!$B$20)*(AH19+AH20)*(1+'01_Вводные'!$B$58)</f>
        <v/>
      </c>
      <c r="AJ53" s="42">
        <f>'01_Вводные'!$B$20*(AJ19+AJ20)*(1+'01_Вводные'!$B$58)+(1-'01_Вводные'!$B$20)*(AI19+AI20)*(1+'01_Вводные'!$B$58)</f>
        <v/>
      </c>
      <c r="AK53" s="42">
        <f>'01_Вводные'!$B$20*(AK19+AK20)*(1+'01_Вводные'!$B$58)+(1-'01_Вводные'!$B$20)*(AJ19+AJ20)*(1+'01_Вводные'!$B$58)</f>
        <v/>
      </c>
      <c r="AL53" s="42">
        <f>'01_Вводные'!$B$20*(AL19+AL20)*(1+'01_Вводные'!$B$58)+(1-'01_Вводные'!$B$20)*(AK19+AK20)*(1+'01_Вводные'!$B$58)</f>
        <v/>
      </c>
      <c r="AM53" s="42">
        <f>'01_Вводные'!$B$20*(AM19+AM20)*(1+'01_Вводные'!$B$58)+(1-'01_Вводные'!$B$20)*(AL19+AL20)*(1+'01_Вводные'!$B$58)</f>
        <v/>
      </c>
      <c r="AN53" s="42">
        <f>'01_Вводные'!$B$20*(AN19+AN20)*(1+'01_Вводные'!$B$58)+(1-'01_Вводные'!$B$20)*(AM19+AM20)*(1+'01_Вводные'!$B$58)</f>
        <v/>
      </c>
      <c r="AO53" s="42">
        <f>'01_Вводные'!$B$20*(AO19+AO20)*(1+'01_Вводные'!$B$58)+(1-'01_Вводные'!$B$20)*(AN19+AN20)*(1+'01_Вводные'!$B$58)</f>
        <v/>
      </c>
      <c r="AP53" s="42">
        <f>'01_Вводные'!$B$20*(AP19+AP20)*(1+'01_Вводные'!$B$58)+(1-'01_Вводные'!$B$20)*(AO19+AO20)*(1+'01_Вводные'!$B$58)</f>
        <v/>
      </c>
      <c r="AQ53" s="42">
        <f>'01_Вводные'!$B$20*(AQ19+AQ20)*(1+'01_Вводные'!$B$58)+(1-'01_Вводные'!$B$20)*(AP19+AP20)*(1+'01_Вводные'!$B$58)</f>
        <v/>
      </c>
      <c r="AR53" s="42">
        <f>'01_Вводные'!$B$20*(AR19+AR20)*(1+'01_Вводные'!$B$58)+(1-'01_Вводные'!$B$20)*(AQ19+AQ20)*(1+'01_Вводные'!$B$58)</f>
        <v/>
      </c>
      <c r="AS53" s="42">
        <f>'01_Вводные'!$B$20*(AS19+AS20)*(1+'01_Вводные'!$B$58)+(1-'01_Вводные'!$B$20)*(AR19+AR20)*(1+'01_Вводные'!$B$58)</f>
        <v/>
      </c>
      <c r="AT53" s="42">
        <f>'01_Вводные'!$B$20*(AT19+AT20)*(1+'01_Вводные'!$B$58)+(1-'01_Вводные'!$B$20)*(AS19+AS20)*(1+'01_Вводные'!$B$58)</f>
        <v/>
      </c>
      <c r="AU53" s="42">
        <f>'01_Вводные'!$B$20*(AU19+AU20)*(1+'01_Вводные'!$B$58)+(1-'01_Вводные'!$B$20)*(AT19+AT20)*(1+'01_Вводные'!$B$58)</f>
        <v/>
      </c>
      <c r="AV53" s="42">
        <f>'01_Вводные'!$B$20*(AV19+AV20)*(1+'01_Вводные'!$B$58)+(1-'01_Вводные'!$B$20)*(AU19+AU20)*(1+'01_Вводные'!$B$58)</f>
        <v/>
      </c>
      <c r="AW53" s="42">
        <f>'01_Вводные'!$B$20*(AW19+AW20)*(1+'01_Вводные'!$B$58)+(1-'01_Вводные'!$B$20)*(AV19+AV20)*(1+'01_Вводные'!$B$58)</f>
        <v/>
      </c>
      <c r="AX53" s="42">
        <f>'01_Вводные'!$B$20*(AX19+AX20)*(1+'01_Вводные'!$B$58)+(1-'01_Вводные'!$B$20)*(AW19+AW20)*(1+'01_Вводные'!$B$58)</f>
        <v/>
      </c>
      <c r="AY53" s="42">
        <f>'01_Вводные'!$B$20*(AY19+AY20)*(1+'01_Вводные'!$B$58)+(1-'01_Вводные'!$B$20)*(AX19+AX20)*(1+'01_Вводные'!$B$58)</f>
        <v/>
      </c>
      <c r="AZ53" s="42">
        <f>'01_Вводные'!$B$20*(AZ19+AZ20)*(1+'01_Вводные'!$B$58)+(1-'01_Вводные'!$B$20)*(AY19+AY20)*(1+'01_Вводные'!$B$58)</f>
        <v/>
      </c>
      <c r="BA53" s="42">
        <f>'01_Вводные'!$B$20*(BA19+BA20)*(1+'01_Вводные'!$B$58)+(1-'01_Вводные'!$B$20)*(AZ19+AZ20)*(1+'01_Вводные'!$B$58)</f>
        <v/>
      </c>
      <c r="BB53" s="42">
        <f>'01_Вводные'!$B$20*(BB19+BB20)*(1+'01_Вводные'!$B$58)+(1-'01_Вводные'!$B$20)*(BA19+BA20)*(1+'01_Вводные'!$B$58)</f>
        <v/>
      </c>
      <c r="BC53" s="42">
        <f>'01_Вводные'!$B$20*(BC19+BC20)*(1+'01_Вводные'!$B$58)+(1-'01_Вводные'!$B$20)*(BB19+BB20)*(1+'01_Вводные'!$B$58)</f>
        <v/>
      </c>
      <c r="BD53" s="42">
        <f>'01_Вводные'!$B$20*(BD19+BD20)*(1+'01_Вводные'!$B$58)+(1-'01_Вводные'!$B$20)*(BC19+BC20)*(1+'01_Вводные'!$B$58)</f>
        <v/>
      </c>
      <c r="BE53" s="42">
        <f>'01_Вводные'!$B$20*(BE19+BE20)*(1+'01_Вводные'!$B$58)+(1-'01_Вводные'!$B$20)*(BD19+BD20)*(1+'01_Вводные'!$B$58)</f>
        <v/>
      </c>
      <c r="BF53" s="42">
        <f>'01_Вводные'!$B$20*(BF19+BF20)*(1+'01_Вводные'!$B$58)+(1-'01_Вводные'!$B$20)*(BE19+BE20)*(1+'01_Вводные'!$B$58)</f>
        <v/>
      </c>
      <c r="BG53" s="42">
        <f>'01_Вводные'!$B$20*(BG19+BG20)*(1+'01_Вводные'!$B$58)+(1-'01_Вводные'!$B$20)*(BF19+BF20)*(1+'01_Вводные'!$B$58)</f>
        <v/>
      </c>
      <c r="BH53" s="42">
        <f>'01_Вводные'!$B$20*(BH19+BH20)*(1+'01_Вводные'!$B$58)+(1-'01_Вводные'!$B$20)*(BG19+BG20)*(1+'01_Вводные'!$B$58)</f>
        <v/>
      </c>
      <c r="BI53" s="42">
        <f>'01_Вводные'!$B$20*(BI19+BI20)*(1+'01_Вводные'!$B$58)+(1-'01_Вводные'!$B$20)*(BH19+BH20)*(1+'01_Вводные'!$B$58)</f>
        <v/>
      </c>
    </row>
    <row r="54">
      <c r="A54" s="2" t="inlineStr">
        <is>
          <t>Мерч поступления</t>
        </is>
      </c>
      <c r="B54" s="40">
        <f>'07_Мерч'!B14</f>
        <v/>
      </c>
      <c r="C54" s="40">
        <f>'07_Мерч'!C14</f>
        <v/>
      </c>
      <c r="D54" s="40">
        <f>'07_Мерч'!D14</f>
        <v/>
      </c>
      <c r="E54" s="40">
        <f>'07_Мерч'!E14</f>
        <v/>
      </c>
      <c r="F54" s="40">
        <f>'07_Мерч'!F14</f>
        <v/>
      </c>
      <c r="G54" s="40">
        <f>'07_Мерч'!G14</f>
        <v/>
      </c>
      <c r="H54" s="40">
        <f>'07_Мерч'!H14</f>
        <v/>
      </c>
      <c r="I54" s="40">
        <f>'07_Мерч'!I14</f>
        <v/>
      </c>
      <c r="J54" s="40">
        <f>'07_Мерч'!J14</f>
        <v/>
      </c>
      <c r="K54" s="40">
        <f>'07_Мерч'!K14</f>
        <v/>
      </c>
      <c r="L54" s="40">
        <f>'07_Мерч'!L14</f>
        <v/>
      </c>
      <c r="M54" s="40">
        <f>'07_Мерч'!M14</f>
        <v/>
      </c>
      <c r="N54" s="40">
        <f>'07_Мерч'!N14</f>
        <v/>
      </c>
      <c r="O54" s="40">
        <f>'07_Мерч'!O14</f>
        <v/>
      </c>
      <c r="P54" s="40">
        <f>'07_Мерч'!P14</f>
        <v/>
      </c>
      <c r="Q54" s="40">
        <f>'07_Мерч'!Q14</f>
        <v/>
      </c>
      <c r="R54" s="40">
        <f>'07_Мерч'!R14</f>
        <v/>
      </c>
      <c r="S54" s="40">
        <f>'07_Мерч'!S14</f>
        <v/>
      </c>
      <c r="T54" s="40">
        <f>'07_Мерч'!T14</f>
        <v/>
      </c>
      <c r="U54" s="40">
        <f>'07_Мерч'!U14</f>
        <v/>
      </c>
      <c r="V54" s="40">
        <f>'07_Мерч'!V14</f>
        <v/>
      </c>
      <c r="W54" s="40">
        <f>'07_Мерч'!W14</f>
        <v/>
      </c>
      <c r="X54" s="40">
        <f>'07_Мерч'!X14</f>
        <v/>
      </c>
      <c r="Y54" s="40">
        <f>'07_Мерч'!Y14</f>
        <v/>
      </c>
      <c r="Z54" s="40">
        <f>'07_Мерч'!Z14</f>
        <v/>
      </c>
      <c r="AA54" s="40">
        <f>'07_Мерч'!AA14</f>
        <v/>
      </c>
      <c r="AB54" s="40">
        <f>'07_Мерч'!AB14</f>
        <v/>
      </c>
      <c r="AC54" s="40">
        <f>'07_Мерч'!AC14</f>
        <v/>
      </c>
      <c r="AD54" s="40">
        <f>'07_Мерч'!AD14</f>
        <v/>
      </c>
      <c r="AE54" s="40">
        <f>'07_Мерч'!AE14</f>
        <v/>
      </c>
      <c r="AF54" s="40">
        <f>'07_Мерч'!AF14</f>
        <v/>
      </c>
      <c r="AG54" s="40">
        <f>'07_Мерч'!AG14</f>
        <v/>
      </c>
      <c r="AH54" s="40">
        <f>'07_Мерч'!AH14</f>
        <v/>
      </c>
      <c r="AI54" s="40">
        <f>'07_Мерч'!AI14</f>
        <v/>
      </c>
      <c r="AJ54" s="40">
        <f>'07_Мерч'!AJ14</f>
        <v/>
      </c>
      <c r="AK54" s="40">
        <f>'07_Мерч'!AK14</f>
        <v/>
      </c>
      <c r="AL54" s="40">
        <f>'07_Мерч'!AL14</f>
        <v/>
      </c>
      <c r="AM54" s="40">
        <f>'07_Мерч'!AM14</f>
        <v/>
      </c>
      <c r="AN54" s="40">
        <f>'07_Мерч'!AN14</f>
        <v/>
      </c>
      <c r="AO54" s="40">
        <f>'07_Мерч'!AO14</f>
        <v/>
      </c>
      <c r="AP54" s="40">
        <f>'07_Мерч'!AP14</f>
        <v/>
      </c>
      <c r="AQ54" s="40">
        <f>'07_Мерч'!AQ14</f>
        <v/>
      </c>
      <c r="AR54" s="40">
        <f>'07_Мерч'!AR14</f>
        <v/>
      </c>
      <c r="AS54" s="40">
        <f>'07_Мерч'!AS14</f>
        <v/>
      </c>
      <c r="AT54" s="40">
        <f>'07_Мерч'!AT14</f>
        <v/>
      </c>
      <c r="AU54" s="40">
        <f>'07_Мерч'!AU14</f>
        <v/>
      </c>
      <c r="AV54" s="40">
        <f>'07_Мерч'!AV14</f>
        <v/>
      </c>
      <c r="AW54" s="40">
        <f>'07_Мерч'!AW14</f>
        <v/>
      </c>
      <c r="AX54" s="40">
        <f>'07_Мерч'!AX14</f>
        <v/>
      </c>
      <c r="AY54" s="40">
        <f>'07_Мерч'!AY14</f>
        <v/>
      </c>
      <c r="AZ54" s="40">
        <f>'07_Мерч'!AZ14</f>
        <v/>
      </c>
      <c r="BA54" s="40">
        <f>'07_Мерч'!BA14</f>
        <v/>
      </c>
      <c r="BB54" s="40">
        <f>'07_Мерч'!BB14</f>
        <v/>
      </c>
      <c r="BC54" s="40">
        <f>'07_Мерч'!BC14</f>
        <v/>
      </c>
      <c r="BD54" s="40">
        <f>'07_Мерч'!BD14</f>
        <v/>
      </c>
      <c r="BE54" s="40">
        <f>'07_Мерч'!BE14</f>
        <v/>
      </c>
      <c r="BF54" s="40">
        <f>'07_Мерч'!BF14</f>
        <v/>
      </c>
      <c r="BG54" s="40">
        <f>'07_Мерч'!BG14</f>
        <v/>
      </c>
      <c r="BH54" s="40">
        <f>'07_Мерч'!BH14</f>
        <v/>
      </c>
      <c r="BI54" s="40">
        <f>'07_Мерч'!BI14</f>
        <v/>
      </c>
    </row>
    <row r="55">
      <c r="A55" s="2" t="inlineStr">
        <is>
          <t>Лагеря поступления</t>
        </is>
      </c>
      <c r="B55" s="40">
        <f>'09_Лагеря'!B8</f>
        <v/>
      </c>
      <c r="C55" s="40">
        <f>'09_Лагеря'!C8</f>
        <v/>
      </c>
      <c r="D55" s="40">
        <f>'09_Лагеря'!D8</f>
        <v/>
      </c>
      <c r="E55" s="40">
        <f>'09_Лагеря'!E8</f>
        <v/>
      </c>
      <c r="F55" s="40">
        <f>'09_Лагеря'!F8</f>
        <v/>
      </c>
      <c r="G55" s="40">
        <f>'09_Лагеря'!G8</f>
        <v/>
      </c>
      <c r="H55" s="40">
        <f>'09_Лагеря'!H8</f>
        <v/>
      </c>
      <c r="I55" s="40">
        <f>'09_Лагеря'!I8</f>
        <v/>
      </c>
      <c r="J55" s="40">
        <f>'09_Лагеря'!J8</f>
        <v/>
      </c>
      <c r="K55" s="40">
        <f>'09_Лагеря'!K8</f>
        <v/>
      </c>
      <c r="L55" s="40">
        <f>'09_Лагеря'!L8</f>
        <v/>
      </c>
      <c r="M55" s="40">
        <f>'09_Лагеря'!M8</f>
        <v/>
      </c>
      <c r="N55" s="40">
        <f>'09_Лагеря'!N8</f>
        <v/>
      </c>
      <c r="O55" s="40">
        <f>'09_Лагеря'!O8</f>
        <v/>
      </c>
      <c r="P55" s="40">
        <f>'09_Лагеря'!P8</f>
        <v/>
      </c>
      <c r="Q55" s="40">
        <f>'09_Лагеря'!Q8</f>
        <v/>
      </c>
      <c r="R55" s="40">
        <f>'09_Лагеря'!R8</f>
        <v/>
      </c>
      <c r="S55" s="40">
        <f>'09_Лагеря'!S8</f>
        <v/>
      </c>
      <c r="T55" s="40">
        <f>'09_Лагеря'!T8</f>
        <v/>
      </c>
      <c r="U55" s="40">
        <f>'09_Лагеря'!U8</f>
        <v/>
      </c>
      <c r="V55" s="40">
        <f>'09_Лагеря'!V8</f>
        <v/>
      </c>
      <c r="W55" s="40">
        <f>'09_Лагеря'!W8</f>
        <v/>
      </c>
      <c r="X55" s="40">
        <f>'09_Лагеря'!X8</f>
        <v/>
      </c>
      <c r="Y55" s="40">
        <f>'09_Лагеря'!Y8</f>
        <v/>
      </c>
      <c r="Z55" s="40">
        <f>'09_Лагеря'!Z8</f>
        <v/>
      </c>
      <c r="AA55" s="40">
        <f>'09_Лагеря'!AA8</f>
        <v/>
      </c>
      <c r="AB55" s="40">
        <f>'09_Лагеря'!AB8</f>
        <v/>
      </c>
      <c r="AC55" s="40">
        <f>'09_Лагеря'!AC8</f>
        <v/>
      </c>
      <c r="AD55" s="40">
        <f>'09_Лагеря'!AD8</f>
        <v/>
      </c>
      <c r="AE55" s="40">
        <f>'09_Лагеря'!AE8</f>
        <v/>
      </c>
      <c r="AF55" s="40">
        <f>'09_Лагеря'!AF8</f>
        <v/>
      </c>
      <c r="AG55" s="40">
        <f>'09_Лагеря'!AG8</f>
        <v/>
      </c>
      <c r="AH55" s="40">
        <f>'09_Лагеря'!AH8</f>
        <v/>
      </c>
      <c r="AI55" s="40">
        <f>'09_Лагеря'!AI8</f>
        <v/>
      </c>
      <c r="AJ55" s="40">
        <f>'09_Лагеря'!AJ8</f>
        <v/>
      </c>
      <c r="AK55" s="40">
        <f>'09_Лагеря'!AK8</f>
        <v/>
      </c>
      <c r="AL55" s="40">
        <f>'09_Лагеря'!AL8</f>
        <v/>
      </c>
      <c r="AM55" s="40">
        <f>'09_Лагеря'!AM8</f>
        <v/>
      </c>
      <c r="AN55" s="40">
        <f>'09_Лагеря'!AN8</f>
        <v/>
      </c>
      <c r="AO55" s="40">
        <f>'09_Лагеря'!AO8</f>
        <v/>
      </c>
      <c r="AP55" s="40">
        <f>'09_Лагеря'!AP8</f>
        <v/>
      </c>
      <c r="AQ55" s="40">
        <f>'09_Лагеря'!AQ8</f>
        <v/>
      </c>
      <c r="AR55" s="40">
        <f>'09_Лагеря'!AR8</f>
        <v/>
      </c>
      <c r="AS55" s="40">
        <f>'09_Лагеря'!AS8</f>
        <v/>
      </c>
      <c r="AT55" s="40">
        <f>'09_Лагеря'!AT8</f>
        <v/>
      </c>
      <c r="AU55" s="40">
        <f>'09_Лагеря'!AU8</f>
        <v/>
      </c>
      <c r="AV55" s="40">
        <f>'09_Лагеря'!AV8</f>
        <v/>
      </c>
      <c r="AW55" s="40">
        <f>'09_Лагеря'!AW8</f>
        <v/>
      </c>
      <c r="AX55" s="40">
        <f>'09_Лагеря'!AX8</f>
        <v/>
      </c>
      <c r="AY55" s="40">
        <f>'09_Лагеря'!AY8</f>
        <v/>
      </c>
      <c r="AZ55" s="40">
        <f>'09_Лагеря'!AZ8</f>
        <v/>
      </c>
      <c r="BA55" s="40">
        <f>'09_Лагеря'!BA8</f>
        <v/>
      </c>
      <c r="BB55" s="40">
        <f>'09_Лагеря'!BB8</f>
        <v/>
      </c>
      <c r="BC55" s="40">
        <f>'09_Лагеря'!BC8</f>
        <v/>
      </c>
      <c r="BD55" s="40">
        <f>'09_Лагеря'!BD8</f>
        <v/>
      </c>
      <c r="BE55" s="40">
        <f>'09_Лагеря'!BE8</f>
        <v/>
      </c>
      <c r="BF55" s="40">
        <f>'09_Лагеря'!BF8</f>
        <v/>
      </c>
      <c r="BG55" s="40">
        <f>'09_Лагеря'!BG8</f>
        <v/>
      </c>
      <c r="BH55" s="40">
        <f>'09_Лагеря'!BH8</f>
        <v/>
      </c>
      <c r="BI55" s="40">
        <f>'09_Лагеря'!BI8</f>
        <v/>
      </c>
    </row>
    <row r="56">
      <c r="A56" s="10" t="inlineStr">
        <is>
          <t>Денежные поступления — всего</t>
        </is>
      </c>
      <c r="B56" s="43">
        <f>SUM(B52:B55)</f>
        <v/>
      </c>
      <c r="C56" s="43">
        <f>SUM(C52:C55)</f>
        <v/>
      </c>
      <c r="D56" s="43">
        <f>SUM(D52:D55)</f>
        <v/>
      </c>
      <c r="E56" s="43">
        <f>SUM(E52:E55)</f>
        <v/>
      </c>
      <c r="F56" s="43">
        <f>SUM(F52:F55)</f>
        <v/>
      </c>
      <c r="G56" s="43">
        <f>SUM(G52:G55)</f>
        <v/>
      </c>
      <c r="H56" s="43">
        <f>SUM(H52:H55)</f>
        <v/>
      </c>
      <c r="I56" s="43">
        <f>SUM(I52:I55)</f>
        <v/>
      </c>
      <c r="J56" s="43">
        <f>SUM(J52:J55)</f>
        <v/>
      </c>
      <c r="K56" s="43">
        <f>SUM(K52:K55)</f>
        <v/>
      </c>
      <c r="L56" s="43">
        <f>SUM(L52:L55)</f>
        <v/>
      </c>
      <c r="M56" s="43">
        <f>SUM(M52:M55)</f>
        <v/>
      </c>
      <c r="N56" s="43">
        <f>SUM(N52:N55)</f>
        <v/>
      </c>
      <c r="O56" s="43">
        <f>SUM(O52:O55)</f>
        <v/>
      </c>
      <c r="P56" s="43">
        <f>SUM(P52:P55)</f>
        <v/>
      </c>
      <c r="Q56" s="43">
        <f>SUM(Q52:Q55)</f>
        <v/>
      </c>
      <c r="R56" s="43">
        <f>SUM(R52:R55)</f>
        <v/>
      </c>
      <c r="S56" s="43">
        <f>SUM(S52:S55)</f>
        <v/>
      </c>
      <c r="T56" s="43">
        <f>SUM(T52:T55)</f>
        <v/>
      </c>
      <c r="U56" s="43">
        <f>SUM(U52:U55)</f>
        <v/>
      </c>
      <c r="V56" s="43">
        <f>SUM(V52:V55)</f>
        <v/>
      </c>
      <c r="W56" s="43">
        <f>SUM(W52:W55)</f>
        <v/>
      </c>
      <c r="X56" s="43">
        <f>SUM(X52:X55)</f>
        <v/>
      </c>
      <c r="Y56" s="43">
        <f>SUM(Y52:Y55)</f>
        <v/>
      </c>
      <c r="Z56" s="43">
        <f>SUM(Z52:Z55)</f>
        <v/>
      </c>
      <c r="AA56" s="43">
        <f>SUM(AA52:AA55)</f>
        <v/>
      </c>
      <c r="AB56" s="43">
        <f>SUM(AB52:AB55)</f>
        <v/>
      </c>
      <c r="AC56" s="43">
        <f>SUM(AC52:AC55)</f>
        <v/>
      </c>
      <c r="AD56" s="43">
        <f>SUM(AD52:AD55)</f>
        <v/>
      </c>
      <c r="AE56" s="43">
        <f>SUM(AE52:AE55)</f>
        <v/>
      </c>
      <c r="AF56" s="43">
        <f>SUM(AF52:AF55)</f>
        <v/>
      </c>
      <c r="AG56" s="43">
        <f>SUM(AG52:AG55)</f>
        <v/>
      </c>
      <c r="AH56" s="43">
        <f>SUM(AH52:AH55)</f>
        <v/>
      </c>
      <c r="AI56" s="43">
        <f>SUM(AI52:AI55)</f>
        <v/>
      </c>
      <c r="AJ56" s="43">
        <f>SUM(AJ52:AJ55)</f>
        <v/>
      </c>
      <c r="AK56" s="43">
        <f>SUM(AK52:AK55)</f>
        <v/>
      </c>
      <c r="AL56" s="43">
        <f>SUM(AL52:AL55)</f>
        <v/>
      </c>
      <c r="AM56" s="43">
        <f>SUM(AM52:AM55)</f>
        <v/>
      </c>
      <c r="AN56" s="43">
        <f>SUM(AN52:AN55)</f>
        <v/>
      </c>
      <c r="AO56" s="43">
        <f>SUM(AO52:AO55)</f>
        <v/>
      </c>
      <c r="AP56" s="43">
        <f>SUM(AP52:AP55)</f>
        <v/>
      </c>
      <c r="AQ56" s="43">
        <f>SUM(AQ52:AQ55)</f>
        <v/>
      </c>
      <c r="AR56" s="43">
        <f>SUM(AR52:AR55)</f>
        <v/>
      </c>
      <c r="AS56" s="43">
        <f>SUM(AS52:AS55)</f>
        <v/>
      </c>
      <c r="AT56" s="43">
        <f>SUM(AT52:AT55)</f>
        <v/>
      </c>
      <c r="AU56" s="43">
        <f>SUM(AU52:AU55)</f>
        <v/>
      </c>
      <c r="AV56" s="43">
        <f>SUM(AV52:AV55)</f>
        <v/>
      </c>
      <c r="AW56" s="43">
        <f>SUM(AW52:AW55)</f>
        <v/>
      </c>
      <c r="AX56" s="43">
        <f>SUM(AX52:AX55)</f>
        <v/>
      </c>
      <c r="AY56" s="43">
        <f>SUM(AY52:AY55)</f>
        <v/>
      </c>
      <c r="AZ56" s="43">
        <f>SUM(AZ52:AZ55)</f>
        <v/>
      </c>
      <c r="BA56" s="43">
        <f>SUM(BA52:BA55)</f>
        <v/>
      </c>
      <c r="BB56" s="43">
        <f>SUM(BB52:BB55)</f>
        <v/>
      </c>
      <c r="BC56" s="43">
        <f>SUM(BC52:BC55)</f>
        <v/>
      </c>
      <c r="BD56" s="43">
        <f>SUM(BD52:BD55)</f>
        <v/>
      </c>
      <c r="BE56" s="43">
        <f>SUM(BE52:BE55)</f>
        <v/>
      </c>
      <c r="BF56" s="43">
        <f>SUM(BF52:BF55)</f>
        <v/>
      </c>
      <c r="BG56" s="43">
        <f>SUM(BG52:BG55)</f>
        <v/>
      </c>
      <c r="BH56" s="43">
        <f>SUM(BH52:BH55)</f>
        <v/>
      </c>
      <c r="BI56" s="43">
        <f>SUM(BI52:BI55)</f>
        <v/>
      </c>
    </row>
    <row r="57" ht="28" customHeight="1">
      <c r="A57" t="inlineStr">
        <is>
          <t>CAPEX — денежная оплата</t>
        </is>
      </c>
      <c r="B57" s="165">
        <f>B99</f>
        <v/>
      </c>
      <c r="C57" s="165">
        <f>C99</f>
        <v/>
      </c>
      <c r="D57" s="165">
        <f>D99</f>
        <v/>
      </c>
      <c r="E57" s="165">
        <f>E99</f>
        <v/>
      </c>
      <c r="F57" s="165">
        <f>F99</f>
        <v/>
      </c>
      <c r="G57" s="165">
        <f>G99</f>
        <v/>
      </c>
      <c r="H57" s="165">
        <f>H99</f>
        <v/>
      </c>
      <c r="I57" s="165">
        <f>I99</f>
        <v/>
      </c>
      <c r="J57" s="165">
        <f>J99</f>
        <v/>
      </c>
      <c r="K57" s="165">
        <f>K99</f>
        <v/>
      </c>
      <c r="L57" s="165">
        <f>L99</f>
        <v/>
      </c>
      <c r="M57" s="165">
        <f>M99</f>
        <v/>
      </c>
      <c r="N57" s="165">
        <f>N99</f>
        <v/>
      </c>
      <c r="O57" s="165">
        <f>O99</f>
        <v/>
      </c>
      <c r="P57" s="165">
        <f>P99</f>
        <v/>
      </c>
      <c r="Q57" s="165">
        <f>Q99</f>
        <v/>
      </c>
      <c r="R57" s="165">
        <f>R99</f>
        <v/>
      </c>
      <c r="S57" s="165">
        <f>S99</f>
        <v/>
      </c>
      <c r="T57" s="165">
        <f>T99</f>
        <v/>
      </c>
      <c r="U57" s="165">
        <f>U99</f>
        <v/>
      </c>
      <c r="V57" s="165">
        <f>V99</f>
        <v/>
      </c>
      <c r="W57" s="165">
        <f>W99</f>
        <v/>
      </c>
      <c r="X57" s="165">
        <f>X99</f>
        <v/>
      </c>
      <c r="Y57" s="165">
        <f>Y99</f>
        <v/>
      </c>
      <c r="Z57" s="165">
        <f>Z99</f>
        <v/>
      </c>
      <c r="AA57" s="165">
        <f>AA99</f>
        <v/>
      </c>
      <c r="AB57" s="165">
        <f>AB99</f>
        <v/>
      </c>
      <c r="AC57" s="165">
        <f>AC99</f>
        <v/>
      </c>
      <c r="AD57" s="165">
        <f>AD99</f>
        <v/>
      </c>
      <c r="AE57" s="165">
        <f>AE99</f>
        <v/>
      </c>
      <c r="AF57" s="165">
        <f>AF99</f>
        <v/>
      </c>
      <c r="AG57" s="165">
        <f>AG99</f>
        <v/>
      </c>
      <c r="AH57" s="165">
        <f>AH99</f>
        <v/>
      </c>
      <c r="AI57" s="165">
        <f>AI99</f>
        <v/>
      </c>
      <c r="AJ57" s="165">
        <f>AJ99</f>
        <v/>
      </c>
      <c r="AK57" s="165">
        <f>AK99</f>
        <v/>
      </c>
      <c r="AL57" s="165">
        <f>AL99</f>
        <v/>
      </c>
      <c r="AM57" s="165">
        <f>AM99</f>
        <v/>
      </c>
      <c r="AN57" s="165">
        <f>AN99</f>
        <v/>
      </c>
      <c r="AO57" s="165">
        <f>AO99</f>
        <v/>
      </c>
      <c r="AP57" s="165">
        <f>AP99</f>
        <v/>
      </c>
      <c r="AQ57" s="165">
        <f>AQ99</f>
        <v/>
      </c>
      <c r="AR57" s="165">
        <f>AR99</f>
        <v/>
      </c>
      <c r="AS57" s="165">
        <f>AS99</f>
        <v/>
      </c>
      <c r="AT57" s="165">
        <f>AT99</f>
        <v/>
      </c>
      <c r="AU57" s="165">
        <f>AU99</f>
        <v/>
      </c>
      <c r="AV57" s="165">
        <f>AV99</f>
        <v/>
      </c>
      <c r="AW57" s="165">
        <f>AW99</f>
        <v/>
      </c>
      <c r="AX57" s="165">
        <f>AX99</f>
        <v/>
      </c>
      <c r="AY57" s="165">
        <f>AY99</f>
        <v/>
      </c>
      <c r="AZ57" s="165">
        <f>AZ99</f>
        <v/>
      </c>
      <c r="BA57" s="165">
        <f>BA99</f>
        <v/>
      </c>
      <c r="BB57" s="165">
        <f>BB99</f>
        <v/>
      </c>
      <c r="BC57" s="165">
        <f>BC99</f>
        <v/>
      </c>
      <c r="BD57" s="165">
        <f>BD99</f>
        <v/>
      </c>
      <c r="BE57" s="165">
        <f>BE99</f>
        <v/>
      </c>
      <c r="BF57" s="165">
        <f>BF99</f>
        <v/>
      </c>
      <c r="BG57" s="165">
        <f>BG99</f>
        <v/>
      </c>
      <c r="BH57" s="165">
        <f>BH99</f>
        <v/>
      </c>
      <c r="BI57" s="165">
        <f>BI99</f>
        <v/>
      </c>
    </row>
    <row r="58">
      <c r="A58" t="inlineStr">
        <is>
          <t>Логистика мерча — оплата</t>
        </is>
      </c>
      <c r="B58" s="100">
        <f>B27</f>
        <v/>
      </c>
      <c r="C58" s="100">
        <f>C27</f>
        <v/>
      </c>
      <c r="D58" s="100">
        <f>D27</f>
        <v/>
      </c>
      <c r="E58" s="100">
        <f>E27</f>
        <v/>
      </c>
      <c r="F58" s="100">
        <f>F27</f>
        <v/>
      </c>
      <c r="G58" s="100">
        <f>G27</f>
        <v/>
      </c>
      <c r="H58" s="100">
        <f>H27</f>
        <v/>
      </c>
      <c r="I58" s="100">
        <f>I27</f>
        <v/>
      </c>
      <c r="J58" s="100">
        <f>J27</f>
        <v/>
      </c>
      <c r="K58" s="100">
        <f>K27</f>
        <v/>
      </c>
      <c r="L58" s="100">
        <f>L27</f>
        <v/>
      </c>
      <c r="M58" s="100">
        <f>M27</f>
        <v/>
      </c>
      <c r="N58" s="100">
        <f>N27</f>
        <v/>
      </c>
      <c r="O58" s="100">
        <f>O27</f>
        <v/>
      </c>
      <c r="P58" s="100">
        <f>P27</f>
        <v/>
      </c>
      <c r="Q58" s="100">
        <f>Q27</f>
        <v/>
      </c>
      <c r="R58" s="100">
        <f>R27</f>
        <v/>
      </c>
      <c r="S58" s="100">
        <f>S27</f>
        <v/>
      </c>
      <c r="T58" s="100">
        <f>T27</f>
        <v/>
      </c>
      <c r="U58" s="100">
        <f>U27</f>
        <v/>
      </c>
      <c r="V58" s="100">
        <f>V27</f>
        <v/>
      </c>
      <c r="W58" s="100">
        <f>W27</f>
        <v/>
      </c>
      <c r="X58" s="100">
        <f>X27</f>
        <v/>
      </c>
      <c r="Y58" s="100">
        <f>Y27</f>
        <v/>
      </c>
      <c r="Z58" s="100">
        <f>Z27</f>
        <v/>
      </c>
      <c r="AA58" s="100">
        <f>AA27</f>
        <v/>
      </c>
      <c r="AB58" s="100">
        <f>AB27</f>
        <v/>
      </c>
      <c r="AC58" s="100">
        <f>AC27</f>
        <v/>
      </c>
      <c r="AD58" s="100">
        <f>AD27</f>
        <v/>
      </c>
      <c r="AE58" s="100">
        <f>AE27</f>
        <v/>
      </c>
      <c r="AF58" s="100">
        <f>AF27</f>
        <v/>
      </c>
      <c r="AG58" s="100">
        <f>AG27</f>
        <v/>
      </c>
      <c r="AH58" s="100">
        <f>AH27</f>
        <v/>
      </c>
      <c r="AI58" s="100">
        <f>AI27</f>
        <v/>
      </c>
      <c r="AJ58" s="100">
        <f>AJ27</f>
        <v/>
      </c>
      <c r="AK58" s="100">
        <f>AK27</f>
        <v/>
      </c>
      <c r="AL58" s="100">
        <f>AL27</f>
        <v/>
      </c>
      <c r="AM58" s="100">
        <f>AM27</f>
        <v/>
      </c>
      <c r="AN58" s="100">
        <f>AN27</f>
        <v/>
      </c>
      <c r="AO58" s="100">
        <f>AO27</f>
        <v/>
      </c>
      <c r="AP58" s="100">
        <f>AP27</f>
        <v/>
      </c>
      <c r="AQ58" s="100">
        <f>AQ27</f>
        <v/>
      </c>
      <c r="AR58" s="100">
        <f>AR27</f>
        <v/>
      </c>
      <c r="AS58" s="100">
        <f>AS27</f>
        <v/>
      </c>
      <c r="AT58" s="100">
        <f>AT27</f>
        <v/>
      </c>
      <c r="AU58" s="100">
        <f>AU27</f>
        <v/>
      </c>
      <c r="AV58" s="100">
        <f>AV27</f>
        <v/>
      </c>
      <c r="AW58" s="100">
        <f>AW27</f>
        <v/>
      </c>
      <c r="AX58" s="100">
        <f>AX27</f>
        <v/>
      </c>
      <c r="AY58" s="100">
        <f>AY27</f>
        <v/>
      </c>
      <c r="AZ58" s="100">
        <f>AZ27</f>
        <v/>
      </c>
      <c r="BA58" s="100">
        <f>BA27</f>
        <v/>
      </c>
      <c r="BB58" s="100">
        <f>BB27</f>
        <v/>
      </c>
      <c r="BC58" s="100">
        <f>BC27</f>
        <v/>
      </c>
      <c r="BD58" s="100">
        <f>BD27</f>
        <v/>
      </c>
      <c r="BE58" s="100">
        <f>BE27</f>
        <v/>
      </c>
      <c r="BF58" s="100">
        <f>BF27</f>
        <v/>
      </c>
      <c r="BG58" s="100">
        <f>BG27</f>
        <v/>
      </c>
      <c r="BH58" s="100">
        <f>BH27</f>
        <v/>
      </c>
      <c r="BI58" s="100">
        <f>BI27</f>
        <v/>
      </c>
    </row>
    <row r="59">
      <c r="A59" s="2" t="inlineStr">
        <is>
          <t>Поставщицкие OPEX к оплате</t>
        </is>
      </c>
      <c r="B59" s="42">
        <f>'01_Вводные'!$B$21*(B37+B38+B39+B40+B41+B42+'07_Мерч'!B25)+(1-'01_Вводные'!$B$21)*0</f>
        <v/>
      </c>
      <c r="C59" s="42">
        <f>'01_Вводные'!$B$21*(C37+C38+C39+C40+C41+C42+'07_Мерч'!C25)+(1-'01_Вводные'!$B$21)*(B37+B38+B39+B40+B41+B42+'07_Мерч'!B25)</f>
        <v/>
      </c>
      <c r="D59" s="42">
        <f>'01_Вводные'!$B$21*(D37+D38+D39+D40+D41+D42+'07_Мерч'!D25)+(1-'01_Вводные'!$B$21)*(C37+C38+C39+C40+C41+C42+'07_Мерч'!C25)</f>
        <v/>
      </c>
      <c r="E59" s="42">
        <f>'01_Вводные'!$B$21*(E37+E38+E39+E40+E41+E42+'07_Мерч'!E25)+(1-'01_Вводные'!$B$21)*(D37+D38+D39+D40+D41+D42+'07_Мерч'!D25)</f>
        <v/>
      </c>
      <c r="F59" s="42">
        <f>'01_Вводные'!$B$21*(F37+F38+F39+F40+F41+F42+'07_Мерч'!F25)+(1-'01_Вводные'!$B$21)*(E37+E38+E39+E40+E41+E42+'07_Мерч'!E25)</f>
        <v/>
      </c>
      <c r="G59" s="42">
        <f>'01_Вводные'!$B$21*(G37+G38+G39+G40+G41+G42+'07_Мерч'!G25)+(1-'01_Вводные'!$B$21)*(F37+F38+F39+F40+F41+F42+'07_Мерч'!F25)</f>
        <v/>
      </c>
      <c r="H59" s="42">
        <f>'01_Вводные'!$B$21*(H37+H38+H39+H40+H41+H42+'07_Мерч'!H25)+(1-'01_Вводные'!$B$21)*(G37+G38+G39+G40+G41+G42+'07_Мерч'!G25)</f>
        <v/>
      </c>
      <c r="I59" s="42">
        <f>'01_Вводные'!$B$21*(I37+I38+I39+I40+I41+I42+'07_Мерч'!I25)+(1-'01_Вводные'!$B$21)*(H37+H38+H39+H40+H41+H42+'07_Мерч'!H25)</f>
        <v/>
      </c>
      <c r="J59" s="42">
        <f>'01_Вводные'!$B$21*(J37+J38+J39+J40+J41+J42+'07_Мерч'!J25)+(1-'01_Вводные'!$B$21)*(I37+I38+I39+I40+I41+I42+'07_Мерч'!I25)</f>
        <v/>
      </c>
      <c r="K59" s="42">
        <f>'01_Вводные'!$B$21*(K37+K38+K39+K40+K41+K42+'07_Мерч'!K25)+(1-'01_Вводные'!$B$21)*(J37+J38+J39+J40+J41+J42+'07_Мерч'!J25)</f>
        <v/>
      </c>
      <c r="L59" s="42">
        <f>'01_Вводные'!$B$21*(L37+L38+L39+L40+L41+L42+'07_Мерч'!L25)+(1-'01_Вводные'!$B$21)*(K37+K38+K39+K40+K41+K42+'07_Мерч'!K25)</f>
        <v/>
      </c>
      <c r="M59" s="42">
        <f>'01_Вводные'!$B$21*(M37+M38+M39+M40+M41+M42+'07_Мерч'!M25)+(1-'01_Вводные'!$B$21)*(L37+L38+L39+L40+L41+L42+'07_Мерч'!L25)</f>
        <v/>
      </c>
      <c r="N59" s="42">
        <f>'01_Вводные'!$B$21*(N37+N38+N39+N40+N41+N42+'07_Мерч'!N25)+(1-'01_Вводные'!$B$21)*(M37+M38+M39+M40+M41+M42+'07_Мерч'!M25)</f>
        <v/>
      </c>
      <c r="O59" s="42">
        <f>'01_Вводные'!$B$21*(O37+O38+O39+O40+O41+O42+'07_Мерч'!O25)+(1-'01_Вводные'!$B$21)*(N37+N38+N39+N40+N41+N42+'07_Мерч'!N25)</f>
        <v/>
      </c>
      <c r="P59" s="42">
        <f>'01_Вводные'!$B$21*(P37+P38+P39+P40+P41+P42+'07_Мерч'!P25)+(1-'01_Вводные'!$B$21)*(O37+O38+O39+O40+O41+O42+'07_Мерч'!O25)</f>
        <v/>
      </c>
      <c r="Q59" s="42">
        <f>'01_Вводные'!$B$21*(Q37+Q38+Q39+Q40+Q41+Q42+'07_Мерч'!Q25)+(1-'01_Вводные'!$B$21)*(P37+P38+P39+P40+P41+P42+'07_Мерч'!P25)</f>
        <v/>
      </c>
      <c r="R59" s="42">
        <f>'01_Вводные'!$B$21*(R37+R38+R39+R40+R41+R42+'07_Мерч'!R25)+(1-'01_Вводные'!$B$21)*(Q37+Q38+Q39+Q40+Q41+Q42+'07_Мерч'!Q25)</f>
        <v/>
      </c>
      <c r="S59" s="42">
        <f>'01_Вводные'!$B$21*(S37+S38+S39+S40+S41+S42+'07_Мерч'!S25)+(1-'01_Вводные'!$B$21)*(R37+R38+R39+R40+R41+R42+'07_Мерч'!R25)</f>
        <v/>
      </c>
      <c r="T59" s="42">
        <f>'01_Вводные'!$B$21*(T37+T38+T39+T40+T41+T42+'07_Мерч'!T25)+(1-'01_Вводные'!$B$21)*(S37+S38+S39+S40+S41+S42+'07_Мерч'!S25)</f>
        <v/>
      </c>
      <c r="U59" s="42">
        <f>'01_Вводные'!$B$21*(U37+U38+U39+U40+U41+U42+'07_Мерч'!U25)+(1-'01_Вводные'!$B$21)*(T37+T38+T39+T40+T41+T42+'07_Мерч'!T25)</f>
        <v/>
      </c>
      <c r="V59" s="42">
        <f>'01_Вводные'!$B$21*(V37+V38+V39+V40+V41+V42+'07_Мерч'!V25)+(1-'01_Вводные'!$B$21)*(U37+U38+U39+U40+U41+U42+'07_Мерч'!U25)</f>
        <v/>
      </c>
      <c r="W59" s="42">
        <f>'01_Вводные'!$B$21*(W37+W38+W39+W40+W41+W42+'07_Мерч'!W25)+(1-'01_Вводные'!$B$21)*(V37+V38+V39+V40+V41+V42+'07_Мерч'!V25)</f>
        <v/>
      </c>
      <c r="X59" s="42">
        <f>'01_Вводные'!$B$21*(X37+X38+X39+X40+X41+X42+'07_Мерч'!X25)+(1-'01_Вводные'!$B$21)*(W37+W38+W39+W40+W41+W42+'07_Мерч'!W25)</f>
        <v/>
      </c>
      <c r="Y59" s="42">
        <f>'01_Вводные'!$B$21*(Y37+Y38+Y39+Y40+Y41+Y42+'07_Мерч'!Y25)+(1-'01_Вводные'!$B$21)*(X37+X38+X39+X40+X41+X42+'07_Мерч'!X25)</f>
        <v/>
      </c>
      <c r="Z59" s="42">
        <f>'01_Вводные'!$B$21*(Z37+Z38+Z39+Z40+Z41+Z42+'07_Мерч'!Z25)+(1-'01_Вводные'!$B$21)*(Y37+Y38+Y39+Y40+Y41+Y42+'07_Мерч'!Y25)</f>
        <v/>
      </c>
      <c r="AA59" s="42">
        <f>'01_Вводные'!$B$21*(AA37+AA38+AA39+AA40+AA41+AA42+'07_Мерч'!AA25)+(1-'01_Вводные'!$B$21)*(Z37+Z38+Z39+Z40+Z41+Z42+'07_Мерч'!Z25)</f>
        <v/>
      </c>
      <c r="AB59" s="42">
        <f>'01_Вводные'!$B$21*(AB37+AB38+AB39+AB40+AB41+AB42+'07_Мерч'!AB25)+(1-'01_Вводные'!$B$21)*(AA37+AA38+AA39+AA40+AA41+AA42+'07_Мерч'!AA25)</f>
        <v/>
      </c>
      <c r="AC59" s="42">
        <f>'01_Вводные'!$B$21*(AC37+AC38+AC39+AC40+AC41+AC42+'07_Мерч'!AC25)+(1-'01_Вводные'!$B$21)*(AB37+AB38+AB39+AB40+AB41+AB42+'07_Мерч'!AB25)</f>
        <v/>
      </c>
      <c r="AD59" s="42">
        <f>'01_Вводные'!$B$21*(AD37+AD38+AD39+AD40+AD41+AD42+'07_Мерч'!AD25)+(1-'01_Вводные'!$B$21)*(AC37+AC38+AC39+AC40+AC41+AC42+'07_Мерч'!AC25)</f>
        <v/>
      </c>
      <c r="AE59" s="42">
        <f>'01_Вводные'!$B$21*(AE37+AE38+AE39+AE40+AE41+AE42+'07_Мерч'!AE25)+(1-'01_Вводные'!$B$21)*(AD37+AD38+AD39+AD40+AD41+AD42+'07_Мерч'!AD25)</f>
        <v/>
      </c>
      <c r="AF59" s="42">
        <f>'01_Вводные'!$B$21*(AF37+AF38+AF39+AF40+AF41+AF42+'07_Мерч'!AF25)+(1-'01_Вводные'!$B$21)*(AE37+AE38+AE39+AE40+AE41+AE42+'07_Мерч'!AE25)</f>
        <v/>
      </c>
      <c r="AG59" s="42">
        <f>'01_Вводные'!$B$21*(AG37+AG38+AG39+AG40+AG41+AG42+'07_Мерч'!AG25)+(1-'01_Вводные'!$B$21)*(AF37+AF38+AF39+AF40+AF41+AF42+'07_Мерч'!AF25)</f>
        <v/>
      </c>
      <c r="AH59" s="42">
        <f>'01_Вводные'!$B$21*(AH37+AH38+AH39+AH40+AH41+AH42+'07_Мерч'!AH25)+(1-'01_Вводные'!$B$21)*(AG37+AG38+AG39+AG40+AG41+AG42+'07_Мерч'!AG25)</f>
        <v/>
      </c>
      <c r="AI59" s="42">
        <f>'01_Вводные'!$B$21*(AI37+AI38+AI39+AI40+AI41+AI42+'07_Мерч'!AI25)+(1-'01_Вводные'!$B$21)*(AH37+AH38+AH39+AH40+AH41+AH42+'07_Мерч'!AH25)</f>
        <v/>
      </c>
      <c r="AJ59" s="42">
        <f>'01_Вводные'!$B$21*(AJ37+AJ38+AJ39+AJ40+AJ41+AJ42+'07_Мерч'!AJ25)+(1-'01_Вводные'!$B$21)*(AI37+AI38+AI39+AI40+AI41+AI42+'07_Мерч'!AI25)</f>
        <v/>
      </c>
      <c r="AK59" s="42">
        <f>'01_Вводные'!$B$21*(AK37+AK38+AK39+AK40+AK41+AK42+'07_Мерч'!AK25)+(1-'01_Вводные'!$B$21)*(AJ37+AJ38+AJ39+AJ40+AJ41+AJ42+'07_Мерч'!AJ25)</f>
        <v/>
      </c>
      <c r="AL59" s="42">
        <f>'01_Вводные'!$B$21*(AL37+AL38+AL39+AL40+AL41+AL42+'07_Мерч'!AL25)+(1-'01_Вводные'!$B$21)*(AK37+AK38+AK39+AK40+AK41+AK42+'07_Мерч'!AK25)</f>
        <v/>
      </c>
      <c r="AM59" s="42">
        <f>'01_Вводные'!$B$21*(AM37+AM38+AM39+AM40+AM41+AM42+'07_Мерч'!AM25)+(1-'01_Вводные'!$B$21)*(AL37+AL38+AL39+AL40+AL41+AL42+'07_Мерч'!AL25)</f>
        <v/>
      </c>
      <c r="AN59" s="42">
        <f>'01_Вводные'!$B$21*(AN37+AN38+AN39+AN40+AN41+AN42+'07_Мерч'!AN25)+(1-'01_Вводные'!$B$21)*(AM37+AM38+AM39+AM40+AM41+AM42+'07_Мерч'!AM25)</f>
        <v/>
      </c>
      <c r="AO59" s="42">
        <f>'01_Вводные'!$B$21*(AO37+AO38+AO39+AO40+AO41+AO42+'07_Мерч'!AO25)+(1-'01_Вводные'!$B$21)*(AN37+AN38+AN39+AN40+AN41+AN42+'07_Мерч'!AN25)</f>
        <v/>
      </c>
      <c r="AP59" s="42">
        <f>'01_Вводные'!$B$21*(AP37+AP38+AP39+AP40+AP41+AP42+'07_Мерч'!AP25)+(1-'01_Вводные'!$B$21)*(AO37+AO38+AO39+AO40+AO41+AO42+'07_Мерч'!AO25)</f>
        <v/>
      </c>
      <c r="AQ59" s="42">
        <f>'01_Вводные'!$B$21*(AQ37+AQ38+AQ39+AQ40+AQ41+AQ42+'07_Мерч'!AQ25)+(1-'01_Вводные'!$B$21)*(AP37+AP38+AP39+AP40+AP41+AP42+'07_Мерч'!AP25)</f>
        <v/>
      </c>
      <c r="AR59" s="42">
        <f>'01_Вводные'!$B$21*(AR37+AR38+AR39+AR40+AR41+AR42+'07_Мерч'!AR25)+(1-'01_Вводные'!$B$21)*(AQ37+AQ38+AQ39+AQ40+AQ41+AQ42+'07_Мерч'!AQ25)</f>
        <v/>
      </c>
      <c r="AS59" s="42">
        <f>'01_Вводные'!$B$21*(AS37+AS38+AS39+AS40+AS41+AS42+'07_Мерч'!AS25)+(1-'01_Вводные'!$B$21)*(AR37+AR38+AR39+AR40+AR41+AR42+'07_Мерч'!AR25)</f>
        <v/>
      </c>
      <c r="AT59" s="42">
        <f>'01_Вводные'!$B$21*(AT37+AT38+AT39+AT40+AT41+AT42+'07_Мерч'!AT25)+(1-'01_Вводные'!$B$21)*(AS37+AS38+AS39+AS40+AS41+AS42+'07_Мерч'!AS25)</f>
        <v/>
      </c>
      <c r="AU59" s="42">
        <f>'01_Вводные'!$B$21*(AU37+AU38+AU39+AU40+AU41+AU42+'07_Мерч'!AU25)+(1-'01_Вводные'!$B$21)*(AT37+AT38+AT39+AT40+AT41+AT42+'07_Мерч'!AT25)</f>
        <v/>
      </c>
      <c r="AV59" s="42">
        <f>'01_Вводные'!$B$21*(AV37+AV38+AV39+AV40+AV41+AV42+'07_Мерч'!AV25)+(1-'01_Вводные'!$B$21)*(AU37+AU38+AU39+AU40+AU41+AU42+'07_Мерч'!AU25)</f>
        <v/>
      </c>
      <c r="AW59" s="42">
        <f>'01_Вводные'!$B$21*(AW37+AW38+AW39+AW40+AW41+AW42+'07_Мерч'!AW25)+(1-'01_Вводные'!$B$21)*(AV37+AV38+AV39+AV40+AV41+AV42+'07_Мерч'!AV25)</f>
        <v/>
      </c>
      <c r="AX59" s="42">
        <f>'01_Вводные'!$B$21*(AX37+AX38+AX39+AX40+AX41+AX42+'07_Мерч'!AX25)+(1-'01_Вводные'!$B$21)*(AW37+AW38+AW39+AW40+AW41+AW42+'07_Мерч'!AW25)</f>
        <v/>
      </c>
      <c r="AY59" s="42">
        <f>'01_Вводные'!$B$21*(AY37+AY38+AY39+AY40+AY41+AY42+'07_Мерч'!AY25)+(1-'01_Вводные'!$B$21)*(AX37+AX38+AX39+AX40+AX41+AX42+'07_Мерч'!AX25)</f>
        <v/>
      </c>
      <c r="AZ59" s="42">
        <f>'01_Вводные'!$B$21*(AZ37+AZ38+AZ39+AZ40+AZ41+AZ42+'07_Мерч'!AZ25)+(1-'01_Вводные'!$B$21)*(AY37+AY38+AY39+AY40+AY41+AY42+'07_Мерч'!AY25)</f>
        <v/>
      </c>
      <c r="BA59" s="42">
        <f>'01_Вводные'!$B$21*(BA37+BA38+BA39+BA40+BA41+BA42+'07_Мерч'!BA25)+(1-'01_Вводные'!$B$21)*(AZ37+AZ38+AZ39+AZ40+AZ41+AZ42+'07_Мерч'!AZ25)</f>
        <v/>
      </c>
      <c r="BB59" s="42">
        <f>'01_Вводные'!$B$21*(BB37+BB38+BB39+BB40+BB41+BB42+'07_Мерч'!BB25)+(1-'01_Вводные'!$B$21)*(BA37+BA38+BA39+BA40+BA41+BA42+'07_Мерч'!BA25)</f>
        <v/>
      </c>
      <c r="BC59" s="42">
        <f>'01_Вводные'!$B$21*(BC37+BC38+BC39+BC40+BC41+BC42+'07_Мерч'!BC25)+(1-'01_Вводные'!$B$21)*(BB37+BB38+BB39+BB40+BB41+BB42+'07_Мерч'!BB25)</f>
        <v/>
      </c>
      <c r="BD59" s="42">
        <f>'01_Вводные'!$B$21*(BD37+BD38+BD39+BD40+BD41+BD42+'07_Мерч'!BD25)+(1-'01_Вводные'!$B$21)*(BC37+BC38+BC39+BC40+BC41+BC42+'07_Мерч'!BC25)</f>
        <v/>
      </c>
      <c r="BE59" s="42">
        <f>'01_Вводные'!$B$21*(BE37+BE38+BE39+BE40+BE41+BE42+'07_Мерч'!BE25)+(1-'01_Вводные'!$B$21)*(BD37+BD38+BD39+BD40+BD41+BD42+'07_Мерч'!BD25)</f>
        <v/>
      </c>
      <c r="BF59" s="42">
        <f>'01_Вводные'!$B$21*(BF37+BF38+BF39+BF40+BF41+BF42+'07_Мерч'!BF25)+(1-'01_Вводные'!$B$21)*(BE37+BE38+BE39+BE40+BE41+BE42+'07_Мерч'!BE25)</f>
        <v/>
      </c>
      <c r="BG59" s="42">
        <f>'01_Вводные'!$B$21*(BG37+BG38+BG39+BG40+BG41+BG42+'07_Мерч'!BG25)+(1-'01_Вводные'!$B$21)*(BF37+BF38+BF39+BF40+BF41+BF42+'07_Мерч'!BF25)</f>
        <v/>
      </c>
      <c r="BH59" s="42">
        <f>'01_Вводные'!$B$21*(BH37+BH38+BH39+BH40+BH41+BH42+'07_Мерч'!BH25)+(1-'01_Вводные'!$B$21)*(BG37+BG38+BG39+BG40+BG41+BG42+'07_Мерч'!BG25)</f>
        <v/>
      </c>
      <c r="BI59" s="42">
        <f>'01_Вводные'!$B$21*(BI37+BI38+BI39+BI40+BI41+BI42+'07_Мерч'!BI25)+(1-'01_Вводные'!$B$21)*(BH37+BH38+BH39+BH40+BH41+BH42+'07_Мерч'!BH25)</f>
        <v/>
      </c>
    </row>
    <row r="60">
      <c r="A60" s="2" t="inlineStr">
        <is>
          <t>ФОТ / кадровые cash</t>
        </is>
      </c>
      <c r="B60" s="42">
        <f>B36</f>
        <v/>
      </c>
      <c r="C60" s="42">
        <f>C36</f>
        <v/>
      </c>
      <c r="D60" s="42">
        <f>D36</f>
        <v/>
      </c>
      <c r="E60" s="42">
        <f>E36</f>
        <v/>
      </c>
      <c r="F60" s="42">
        <f>F36</f>
        <v/>
      </c>
      <c r="G60" s="42">
        <f>G36</f>
        <v/>
      </c>
      <c r="H60" s="42">
        <f>H36</f>
        <v/>
      </c>
      <c r="I60" s="42">
        <f>I36</f>
        <v/>
      </c>
      <c r="J60" s="42">
        <f>J36</f>
        <v/>
      </c>
      <c r="K60" s="42">
        <f>K36</f>
        <v/>
      </c>
      <c r="L60" s="42">
        <f>L36</f>
        <v/>
      </c>
      <c r="M60" s="42">
        <f>M36</f>
        <v/>
      </c>
      <c r="N60" s="42">
        <f>N36</f>
        <v/>
      </c>
      <c r="O60" s="42">
        <f>O36</f>
        <v/>
      </c>
      <c r="P60" s="42">
        <f>P36</f>
        <v/>
      </c>
      <c r="Q60" s="42">
        <f>Q36</f>
        <v/>
      </c>
      <c r="R60" s="42">
        <f>R36</f>
        <v/>
      </c>
      <c r="S60" s="42">
        <f>S36</f>
        <v/>
      </c>
      <c r="T60" s="42">
        <f>T36</f>
        <v/>
      </c>
      <c r="U60" s="42">
        <f>U36</f>
        <v/>
      </c>
      <c r="V60" s="42">
        <f>V36</f>
        <v/>
      </c>
      <c r="W60" s="42">
        <f>W36</f>
        <v/>
      </c>
      <c r="X60" s="42">
        <f>X36</f>
        <v/>
      </c>
      <c r="Y60" s="42">
        <f>Y36</f>
        <v/>
      </c>
      <c r="Z60" s="42">
        <f>Z36</f>
        <v/>
      </c>
      <c r="AA60" s="42">
        <f>AA36</f>
        <v/>
      </c>
      <c r="AB60" s="42">
        <f>AB36</f>
        <v/>
      </c>
      <c r="AC60" s="42">
        <f>AC36</f>
        <v/>
      </c>
      <c r="AD60" s="42">
        <f>AD36</f>
        <v/>
      </c>
      <c r="AE60" s="42">
        <f>AE36</f>
        <v/>
      </c>
      <c r="AF60" s="42">
        <f>AF36</f>
        <v/>
      </c>
      <c r="AG60" s="42">
        <f>AG36</f>
        <v/>
      </c>
      <c r="AH60" s="42">
        <f>AH36</f>
        <v/>
      </c>
      <c r="AI60" s="42">
        <f>AI36</f>
        <v/>
      </c>
      <c r="AJ60" s="42">
        <f>AJ36</f>
        <v/>
      </c>
      <c r="AK60" s="42">
        <f>AK36</f>
        <v/>
      </c>
      <c r="AL60" s="42">
        <f>AL36</f>
        <v/>
      </c>
      <c r="AM60" s="42">
        <f>AM36</f>
        <v/>
      </c>
      <c r="AN60" s="42">
        <f>AN36</f>
        <v/>
      </c>
      <c r="AO60" s="42">
        <f>AO36</f>
        <v/>
      </c>
      <c r="AP60" s="42">
        <f>AP36</f>
        <v/>
      </c>
      <c r="AQ60" s="42">
        <f>AQ36</f>
        <v/>
      </c>
      <c r="AR60" s="42">
        <f>AR36</f>
        <v/>
      </c>
      <c r="AS60" s="42">
        <f>AS36</f>
        <v/>
      </c>
      <c r="AT60" s="42">
        <f>AT36</f>
        <v/>
      </c>
      <c r="AU60" s="42">
        <f>AU36</f>
        <v/>
      </c>
      <c r="AV60" s="42">
        <f>AV36</f>
        <v/>
      </c>
      <c r="AW60" s="42">
        <f>AW36</f>
        <v/>
      </c>
      <c r="AX60" s="42">
        <f>AX36</f>
        <v/>
      </c>
      <c r="AY60" s="42">
        <f>AY36</f>
        <v/>
      </c>
      <c r="AZ60" s="42">
        <f>AZ36</f>
        <v/>
      </c>
      <c r="BA60" s="42">
        <f>BA36</f>
        <v/>
      </c>
      <c r="BB60" s="42">
        <f>BB36</f>
        <v/>
      </c>
      <c r="BC60" s="42">
        <f>BC36</f>
        <v/>
      </c>
      <c r="BD60" s="42">
        <f>BD36</f>
        <v/>
      </c>
      <c r="BE60" s="42">
        <f>BE36</f>
        <v/>
      </c>
      <c r="BF60" s="42">
        <f>BF36</f>
        <v/>
      </c>
      <c r="BG60" s="42">
        <f>BG36</f>
        <v/>
      </c>
      <c r="BH60" s="42">
        <f>BH36</f>
        <v/>
      </c>
      <c r="BI60" s="42">
        <f>BI36</f>
        <v/>
      </c>
    </row>
    <row r="61">
      <c r="A61" s="2" t="inlineStr">
        <is>
          <t>ФК — cash</t>
        </is>
      </c>
      <c r="B61" s="42">
        <f>B29+(B53/(1+'01_Вводные'!$B$58))*'01_Вводные'!$B$60+B28</f>
        <v/>
      </c>
      <c r="C61" s="42">
        <f>C29+(C53/(1+'01_Вводные'!$B$58))*'01_Вводные'!$B$60+C28</f>
        <v/>
      </c>
      <c r="D61" s="42">
        <f>D29+(D53/(1+'01_Вводные'!$B$58))*'01_Вводные'!$B$60+D28</f>
        <v/>
      </c>
      <c r="E61" s="42">
        <f>E29+(E53/(1+'01_Вводные'!$B$58))*'01_Вводные'!$B$60+E28</f>
        <v/>
      </c>
      <c r="F61" s="42">
        <f>F29+(F53/(1+'01_Вводные'!$B$58))*'01_Вводные'!$B$60+F28</f>
        <v/>
      </c>
      <c r="G61" s="42">
        <f>G29+(G53/(1+'01_Вводные'!$B$58))*'01_Вводные'!$B$60+G28</f>
        <v/>
      </c>
      <c r="H61" s="42">
        <f>H29+(H53/(1+'01_Вводные'!$B$58))*'01_Вводные'!$B$60+H28</f>
        <v/>
      </c>
      <c r="I61" s="42">
        <f>I29+(I53/(1+'01_Вводные'!$B$58))*'01_Вводные'!$B$60+I28</f>
        <v/>
      </c>
      <c r="J61" s="42">
        <f>J29+(J53/(1+'01_Вводные'!$B$58))*'01_Вводные'!$B$60+J28</f>
        <v/>
      </c>
      <c r="K61" s="42">
        <f>K29+(K53/(1+'01_Вводные'!$B$58))*'01_Вводные'!$B$60+K28</f>
        <v/>
      </c>
      <c r="L61" s="42">
        <f>L29+(L53/(1+'01_Вводные'!$B$58))*'01_Вводные'!$B$60+L28</f>
        <v/>
      </c>
      <c r="M61" s="42">
        <f>M29+(M53/(1+'01_Вводные'!$B$58))*'01_Вводные'!$B$60+M28</f>
        <v/>
      </c>
      <c r="N61" s="42">
        <f>N29+(N53/(1+'01_Вводные'!$B$58))*'01_Вводные'!$B$60+N28</f>
        <v/>
      </c>
      <c r="O61" s="42">
        <f>O29+(O53/(1+'01_Вводные'!$B$58))*'01_Вводные'!$B$60+O28</f>
        <v/>
      </c>
      <c r="P61" s="42">
        <f>P29+(P53/(1+'01_Вводные'!$B$58))*'01_Вводные'!$B$60+P28</f>
        <v/>
      </c>
      <c r="Q61" s="42">
        <f>Q29+(Q53/(1+'01_Вводные'!$B$58))*'01_Вводные'!$B$60+Q28</f>
        <v/>
      </c>
      <c r="R61" s="42">
        <f>R29+(R53/(1+'01_Вводные'!$B$58))*'01_Вводные'!$B$60+R28</f>
        <v/>
      </c>
      <c r="S61" s="42">
        <f>S29+(S53/(1+'01_Вводные'!$B$58))*'01_Вводные'!$B$60+S28</f>
        <v/>
      </c>
      <c r="T61" s="42">
        <f>T29+(T53/(1+'01_Вводные'!$B$58))*'01_Вводные'!$B$60+T28</f>
        <v/>
      </c>
      <c r="U61" s="42">
        <f>U29+(U53/(1+'01_Вводные'!$B$58))*'01_Вводные'!$B$60+U28</f>
        <v/>
      </c>
      <c r="V61" s="42">
        <f>V29+(V53/(1+'01_Вводные'!$B$58))*'01_Вводные'!$B$60+V28</f>
        <v/>
      </c>
      <c r="W61" s="42">
        <f>W29+(W53/(1+'01_Вводные'!$B$58))*'01_Вводные'!$B$60+W28</f>
        <v/>
      </c>
      <c r="X61" s="42">
        <f>X29+(X53/(1+'01_Вводные'!$B$58))*'01_Вводные'!$B$60+X28</f>
        <v/>
      </c>
      <c r="Y61" s="42">
        <f>Y29+(Y53/(1+'01_Вводные'!$B$58))*'01_Вводные'!$B$60+Y28</f>
        <v/>
      </c>
      <c r="Z61" s="42">
        <f>Z29+(Z53/(1+'01_Вводные'!$B$58))*'01_Вводные'!$B$60+Z28</f>
        <v/>
      </c>
      <c r="AA61" s="42">
        <f>AA29+(AA53/(1+'01_Вводные'!$B$58))*'01_Вводные'!$B$60+AA28</f>
        <v/>
      </c>
      <c r="AB61" s="42">
        <f>AB29+(AB53/(1+'01_Вводные'!$B$58))*'01_Вводные'!$B$60+AB28</f>
        <v/>
      </c>
      <c r="AC61" s="42">
        <f>AC29+(AC53/(1+'01_Вводные'!$B$58))*'01_Вводные'!$B$60+AC28</f>
        <v/>
      </c>
      <c r="AD61" s="42">
        <f>AD29+(AD53/(1+'01_Вводные'!$B$58))*'01_Вводные'!$B$60+AD28</f>
        <v/>
      </c>
      <c r="AE61" s="42">
        <f>AE29+(AE53/(1+'01_Вводные'!$B$58))*'01_Вводные'!$B$60+AE28</f>
        <v/>
      </c>
      <c r="AF61" s="42">
        <f>AF29+(AF53/(1+'01_Вводные'!$B$58))*'01_Вводные'!$B$60+AF28</f>
        <v/>
      </c>
      <c r="AG61" s="42">
        <f>AG29+(AG53/(1+'01_Вводные'!$B$58))*'01_Вводные'!$B$60+AG28</f>
        <v/>
      </c>
      <c r="AH61" s="42">
        <f>AH29+(AH53/(1+'01_Вводные'!$B$58))*'01_Вводные'!$B$60+AH28</f>
        <v/>
      </c>
      <c r="AI61" s="42">
        <f>AI29+(AI53/(1+'01_Вводные'!$B$58))*'01_Вводные'!$B$60+AI28</f>
        <v/>
      </c>
      <c r="AJ61" s="42">
        <f>AJ29+(AJ53/(1+'01_Вводные'!$B$58))*'01_Вводные'!$B$60+AJ28</f>
        <v/>
      </c>
      <c r="AK61" s="42">
        <f>AK29+(AK53/(1+'01_Вводные'!$B$58))*'01_Вводные'!$B$60+AK28</f>
        <v/>
      </c>
      <c r="AL61" s="42">
        <f>AL29+(AL53/(1+'01_Вводные'!$B$58))*'01_Вводные'!$B$60+AL28</f>
        <v/>
      </c>
      <c r="AM61" s="42">
        <f>AM29+(AM53/(1+'01_Вводные'!$B$58))*'01_Вводные'!$B$60+AM28</f>
        <v/>
      </c>
      <c r="AN61" s="42">
        <f>AN29+(AN53/(1+'01_Вводные'!$B$58))*'01_Вводные'!$B$60+AN28</f>
        <v/>
      </c>
      <c r="AO61" s="42">
        <f>AO29+(AO53/(1+'01_Вводные'!$B$58))*'01_Вводные'!$B$60+AO28</f>
        <v/>
      </c>
      <c r="AP61" s="42">
        <f>AP29+(AP53/(1+'01_Вводные'!$B$58))*'01_Вводные'!$B$60+AP28</f>
        <v/>
      </c>
      <c r="AQ61" s="42">
        <f>AQ29+(AQ53/(1+'01_Вводные'!$B$58))*'01_Вводные'!$B$60+AQ28</f>
        <v/>
      </c>
      <c r="AR61" s="42">
        <f>AR29+(AR53/(1+'01_Вводные'!$B$58))*'01_Вводные'!$B$60+AR28</f>
        <v/>
      </c>
      <c r="AS61" s="42">
        <f>AS29+(AS53/(1+'01_Вводные'!$B$58))*'01_Вводные'!$B$60+AS28</f>
        <v/>
      </c>
      <c r="AT61" s="42">
        <f>AT29+(AT53/(1+'01_Вводные'!$B$58))*'01_Вводные'!$B$60+AT28</f>
        <v/>
      </c>
      <c r="AU61" s="42">
        <f>AU29+(AU53/(1+'01_Вводные'!$B$58))*'01_Вводные'!$B$60+AU28</f>
        <v/>
      </c>
      <c r="AV61" s="42">
        <f>AV29+(AV53/(1+'01_Вводные'!$B$58))*'01_Вводные'!$B$60+AV28</f>
        <v/>
      </c>
      <c r="AW61" s="42">
        <f>AW29+(AW53/(1+'01_Вводные'!$B$58))*'01_Вводные'!$B$60+AW28</f>
        <v/>
      </c>
      <c r="AX61" s="42">
        <f>AX29+(AX53/(1+'01_Вводные'!$B$58))*'01_Вводные'!$B$60+AX28</f>
        <v/>
      </c>
      <c r="AY61" s="42">
        <f>AY29+(AY53/(1+'01_Вводные'!$B$58))*'01_Вводные'!$B$60+AY28</f>
        <v/>
      </c>
      <c r="AZ61" s="42">
        <f>AZ29+(AZ53/(1+'01_Вводные'!$B$58))*'01_Вводные'!$B$60+AZ28</f>
        <v/>
      </c>
      <c r="BA61" s="42">
        <f>BA29+(BA53/(1+'01_Вводные'!$B$58))*'01_Вводные'!$B$60+BA28</f>
        <v/>
      </c>
      <c r="BB61" s="42">
        <f>BB29+(BB53/(1+'01_Вводные'!$B$58))*'01_Вводные'!$B$60+BB28</f>
        <v/>
      </c>
      <c r="BC61" s="42">
        <f>BC29+(BC53/(1+'01_Вводные'!$B$58))*'01_Вводные'!$B$60+BC28</f>
        <v/>
      </c>
      <c r="BD61" s="42">
        <f>BD29+(BD53/(1+'01_Вводные'!$B$58))*'01_Вводные'!$B$60+BD28</f>
        <v/>
      </c>
      <c r="BE61" s="42">
        <f>BE29+(BE53/(1+'01_Вводные'!$B$58))*'01_Вводные'!$B$60+BE28</f>
        <v/>
      </c>
      <c r="BF61" s="42">
        <f>BF29+(BF53/(1+'01_Вводные'!$B$58))*'01_Вводные'!$B$60+BF28</f>
        <v/>
      </c>
      <c r="BG61" s="42">
        <f>BG29+(BG53/(1+'01_Вводные'!$B$58))*'01_Вводные'!$B$60+BG28</f>
        <v/>
      </c>
      <c r="BH61" s="42">
        <f>BH29+(BH53/(1+'01_Вводные'!$B$58))*'01_Вводные'!$B$60+BH28</f>
        <v/>
      </c>
      <c r="BI61" s="42">
        <f>BI29+(BI53/(1+'01_Вводные'!$B$58))*'01_Вводные'!$B$60+BI28</f>
        <v/>
      </c>
    </row>
    <row r="62">
      <c r="A62" s="2" t="inlineStr">
        <is>
          <t>НДС основной деятельности</t>
        </is>
      </c>
      <c r="B62" s="42">
        <f>(B52+B53+B54)-(B52+B53+B54)/(1+'01_Вводные'!$B$58)</f>
        <v/>
      </c>
      <c r="C62" s="42">
        <f>(C52+C53+C54)-(C52+C53+C54)/(1+'01_Вводные'!$B$58)</f>
        <v/>
      </c>
      <c r="D62" s="42">
        <f>(D52+D53+D54)-(D52+D53+D54)/(1+'01_Вводные'!$B$58)</f>
        <v/>
      </c>
      <c r="E62" s="42">
        <f>(E52+E53+E54)-(E52+E53+E54)/(1+'01_Вводные'!$B$58)</f>
        <v/>
      </c>
      <c r="F62" s="42">
        <f>(F52+F53+F54)-(F52+F53+F54)/(1+'01_Вводные'!$B$58)</f>
        <v/>
      </c>
      <c r="G62" s="42">
        <f>(G52+G53+G54)-(G52+G53+G54)/(1+'01_Вводные'!$B$58)</f>
        <v/>
      </c>
      <c r="H62" s="42">
        <f>(H52+H53+H54)-(H52+H53+H54)/(1+'01_Вводные'!$B$58)</f>
        <v/>
      </c>
      <c r="I62" s="42">
        <f>(I52+I53+I54)-(I52+I53+I54)/(1+'01_Вводные'!$B$58)</f>
        <v/>
      </c>
      <c r="J62" s="42">
        <f>(J52+J53+J54)-(J52+J53+J54)/(1+'01_Вводные'!$B$58)</f>
        <v/>
      </c>
      <c r="K62" s="42">
        <f>(K52+K53+K54)-(K52+K53+K54)/(1+'01_Вводные'!$B$58)</f>
        <v/>
      </c>
      <c r="L62" s="42">
        <f>(L52+L53+L54)-(L52+L53+L54)/(1+'01_Вводные'!$B$58)</f>
        <v/>
      </c>
      <c r="M62" s="42">
        <f>(M52+M53+M54)-(M52+M53+M54)/(1+'01_Вводные'!$B$58)</f>
        <v/>
      </c>
      <c r="N62" s="42">
        <f>(N52+N53+N54)-(N52+N53+N54)/(1+'01_Вводные'!$B$58)</f>
        <v/>
      </c>
      <c r="O62" s="42">
        <f>(O52+O53+O54)-(O52+O53+O54)/(1+'01_Вводные'!$B$58)</f>
        <v/>
      </c>
      <c r="P62" s="42">
        <f>(P52+P53+P54)-(P52+P53+P54)/(1+'01_Вводные'!$B$58)</f>
        <v/>
      </c>
      <c r="Q62" s="42">
        <f>(Q52+Q53+Q54)-(Q52+Q53+Q54)/(1+'01_Вводные'!$B$58)</f>
        <v/>
      </c>
      <c r="R62" s="42">
        <f>(R52+R53+R54)-(R52+R53+R54)/(1+'01_Вводные'!$B$58)</f>
        <v/>
      </c>
      <c r="S62" s="42">
        <f>(S52+S53+S54)-(S52+S53+S54)/(1+'01_Вводные'!$B$58)</f>
        <v/>
      </c>
      <c r="T62" s="42">
        <f>(T52+T53+T54)-(T52+T53+T54)/(1+'01_Вводные'!$B$58)</f>
        <v/>
      </c>
      <c r="U62" s="42">
        <f>(U52+U53+U54)-(U52+U53+U54)/(1+'01_Вводные'!$B$58)</f>
        <v/>
      </c>
      <c r="V62" s="42">
        <f>(V52+V53+V54)-(V52+V53+V54)/(1+'01_Вводные'!$B$58)</f>
        <v/>
      </c>
      <c r="W62" s="42">
        <f>(W52+W53+W54)-(W52+W53+W54)/(1+'01_Вводные'!$B$58)</f>
        <v/>
      </c>
      <c r="X62" s="42">
        <f>(X52+X53+X54)-(X52+X53+X54)/(1+'01_Вводные'!$B$58)</f>
        <v/>
      </c>
      <c r="Y62" s="42">
        <f>(Y52+Y53+Y54)-(Y52+Y53+Y54)/(1+'01_Вводные'!$B$58)</f>
        <v/>
      </c>
      <c r="Z62" s="42">
        <f>(Z52+Z53+Z54)-(Z52+Z53+Z54)/(1+'01_Вводные'!$B$58)</f>
        <v/>
      </c>
      <c r="AA62" s="42">
        <f>(AA52+AA53+AA54)-(AA52+AA53+AA54)/(1+'01_Вводные'!$B$58)</f>
        <v/>
      </c>
      <c r="AB62" s="42">
        <f>(AB52+AB53+AB54)-(AB52+AB53+AB54)/(1+'01_Вводные'!$B$58)</f>
        <v/>
      </c>
      <c r="AC62" s="42">
        <f>(AC52+AC53+AC54)-(AC52+AC53+AC54)/(1+'01_Вводные'!$B$58)</f>
        <v/>
      </c>
      <c r="AD62" s="42">
        <f>(AD52+AD53+AD54)-(AD52+AD53+AD54)/(1+'01_Вводные'!$B$58)</f>
        <v/>
      </c>
      <c r="AE62" s="42">
        <f>(AE52+AE53+AE54)-(AE52+AE53+AE54)/(1+'01_Вводные'!$B$58)</f>
        <v/>
      </c>
      <c r="AF62" s="42">
        <f>(AF52+AF53+AF54)-(AF52+AF53+AF54)/(1+'01_Вводные'!$B$58)</f>
        <v/>
      </c>
      <c r="AG62" s="42">
        <f>(AG52+AG53+AG54)-(AG52+AG53+AG54)/(1+'01_Вводные'!$B$58)</f>
        <v/>
      </c>
      <c r="AH62" s="42">
        <f>(AH52+AH53+AH54)-(AH52+AH53+AH54)/(1+'01_Вводные'!$B$58)</f>
        <v/>
      </c>
      <c r="AI62" s="42">
        <f>(AI52+AI53+AI54)-(AI52+AI53+AI54)/(1+'01_Вводные'!$B$58)</f>
        <v/>
      </c>
      <c r="AJ62" s="42">
        <f>(AJ52+AJ53+AJ54)-(AJ52+AJ53+AJ54)/(1+'01_Вводные'!$B$58)</f>
        <v/>
      </c>
      <c r="AK62" s="42">
        <f>(AK52+AK53+AK54)-(AK52+AK53+AK54)/(1+'01_Вводные'!$B$58)</f>
        <v/>
      </c>
      <c r="AL62" s="42">
        <f>(AL52+AL53+AL54)-(AL52+AL53+AL54)/(1+'01_Вводные'!$B$58)</f>
        <v/>
      </c>
      <c r="AM62" s="42">
        <f>(AM52+AM53+AM54)-(AM52+AM53+AM54)/(1+'01_Вводные'!$B$58)</f>
        <v/>
      </c>
      <c r="AN62" s="42">
        <f>(AN52+AN53+AN54)-(AN52+AN53+AN54)/(1+'01_Вводные'!$B$58)</f>
        <v/>
      </c>
      <c r="AO62" s="42">
        <f>(AO52+AO53+AO54)-(AO52+AO53+AO54)/(1+'01_Вводные'!$B$58)</f>
        <v/>
      </c>
      <c r="AP62" s="42">
        <f>(AP52+AP53+AP54)-(AP52+AP53+AP54)/(1+'01_Вводные'!$B$58)</f>
        <v/>
      </c>
      <c r="AQ62" s="42">
        <f>(AQ52+AQ53+AQ54)-(AQ52+AQ53+AQ54)/(1+'01_Вводные'!$B$58)</f>
        <v/>
      </c>
      <c r="AR62" s="42">
        <f>(AR52+AR53+AR54)-(AR52+AR53+AR54)/(1+'01_Вводные'!$B$58)</f>
        <v/>
      </c>
      <c r="AS62" s="42">
        <f>(AS52+AS53+AS54)-(AS52+AS53+AS54)/(1+'01_Вводные'!$B$58)</f>
        <v/>
      </c>
      <c r="AT62" s="42">
        <f>(AT52+AT53+AT54)-(AT52+AT53+AT54)/(1+'01_Вводные'!$B$58)</f>
        <v/>
      </c>
      <c r="AU62" s="42">
        <f>(AU52+AU53+AU54)-(AU52+AU53+AU54)/(1+'01_Вводные'!$B$58)</f>
        <v/>
      </c>
      <c r="AV62" s="42">
        <f>(AV52+AV53+AV54)-(AV52+AV53+AV54)/(1+'01_Вводные'!$B$58)</f>
        <v/>
      </c>
      <c r="AW62" s="42">
        <f>(AW52+AW53+AW54)-(AW52+AW53+AW54)/(1+'01_Вводные'!$B$58)</f>
        <v/>
      </c>
      <c r="AX62" s="42">
        <f>(AX52+AX53+AX54)-(AX52+AX53+AX54)/(1+'01_Вводные'!$B$58)</f>
        <v/>
      </c>
      <c r="AY62" s="42">
        <f>(AY52+AY53+AY54)-(AY52+AY53+AY54)/(1+'01_Вводные'!$B$58)</f>
        <v/>
      </c>
      <c r="AZ62" s="42">
        <f>(AZ52+AZ53+AZ54)-(AZ52+AZ53+AZ54)/(1+'01_Вводные'!$B$58)</f>
        <v/>
      </c>
      <c r="BA62" s="42">
        <f>(BA52+BA53+BA54)-(BA52+BA53+BA54)/(1+'01_Вводные'!$B$58)</f>
        <v/>
      </c>
      <c r="BB62" s="42">
        <f>(BB52+BB53+BB54)-(BB52+BB53+BB54)/(1+'01_Вводные'!$B$58)</f>
        <v/>
      </c>
      <c r="BC62" s="42">
        <f>(BC52+BC53+BC54)-(BC52+BC53+BC54)/(1+'01_Вводные'!$B$58)</f>
        <v/>
      </c>
      <c r="BD62" s="42">
        <f>(BD52+BD53+BD54)-(BD52+BD53+BD54)/(1+'01_Вводные'!$B$58)</f>
        <v/>
      </c>
      <c r="BE62" s="42">
        <f>(BE52+BE53+BE54)-(BE52+BE53+BE54)/(1+'01_Вводные'!$B$58)</f>
        <v/>
      </c>
      <c r="BF62" s="42">
        <f>(BF52+BF53+BF54)-(BF52+BF53+BF54)/(1+'01_Вводные'!$B$58)</f>
        <v/>
      </c>
      <c r="BG62" s="42">
        <f>(BG52+BG53+BG54)-(BG52+BG53+BG54)/(1+'01_Вводные'!$B$58)</f>
        <v/>
      </c>
      <c r="BH62" s="42">
        <f>(BH52+BH53+BH54)-(BH52+BH53+BH54)/(1+'01_Вводные'!$B$58)</f>
        <v/>
      </c>
      <c r="BI62" s="42">
        <f>(BI52+BI53+BI54)-(BI52+BI53+BI54)/(1+'01_Вводные'!$B$58)</f>
        <v/>
      </c>
    </row>
    <row r="63">
      <c r="A63" s="2" t="inlineStr">
        <is>
          <t>НДС лагеря</t>
        </is>
      </c>
      <c r="B63" s="40">
        <f>'09_Лагеря'!B11</f>
        <v/>
      </c>
      <c r="C63" s="40">
        <f>'09_Лагеря'!C11</f>
        <v/>
      </c>
      <c r="D63" s="40">
        <f>'09_Лагеря'!D11</f>
        <v/>
      </c>
      <c r="E63" s="40">
        <f>'09_Лагеря'!E11</f>
        <v/>
      </c>
      <c r="F63" s="40">
        <f>'09_Лагеря'!F11</f>
        <v/>
      </c>
      <c r="G63" s="40">
        <f>'09_Лагеря'!G11</f>
        <v/>
      </c>
      <c r="H63" s="40">
        <f>'09_Лагеря'!H11</f>
        <v/>
      </c>
      <c r="I63" s="40">
        <f>'09_Лагеря'!I11</f>
        <v/>
      </c>
      <c r="J63" s="40">
        <f>'09_Лагеря'!J11</f>
        <v/>
      </c>
      <c r="K63" s="40">
        <f>'09_Лагеря'!K11</f>
        <v/>
      </c>
      <c r="L63" s="40">
        <f>'09_Лагеря'!L11</f>
        <v/>
      </c>
      <c r="M63" s="40">
        <f>'09_Лагеря'!M11</f>
        <v/>
      </c>
      <c r="N63" s="40">
        <f>'09_Лагеря'!N11</f>
        <v/>
      </c>
      <c r="O63" s="40">
        <f>'09_Лагеря'!O11</f>
        <v/>
      </c>
      <c r="P63" s="40">
        <f>'09_Лагеря'!P11</f>
        <v/>
      </c>
      <c r="Q63" s="40">
        <f>'09_Лагеря'!Q11</f>
        <v/>
      </c>
      <c r="R63" s="40">
        <f>'09_Лагеря'!R11</f>
        <v/>
      </c>
      <c r="S63" s="40">
        <f>'09_Лагеря'!S11</f>
        <v/>
      </c>
      <c r="T63" s="40">
        <f>'09_Лагеря'!T11</f>
        <v/>
      </c>
      <c r="U63" s="40">
        <f>'09_Лагеря'!U11</f>
        <v/>
      </c>
      <c r="V63" s="40">
        <f>'09_Лагеря'!V11</f>
        <v/>
      </c>
      <c r="W63" s="40">
        <f>'09_Лагеря'!W11</f>
        <v/>
      </c>
      <c r="X63" s="40">
        <f>'09_Лагеря'!X11</f>
        <v/>
      </c>
      <c r="Y63" s="40">
        <f>'09_Лагеря'!Y11</f>
        <v/>
      </c>
      <c r="Z63" s="40">
        <f>'09_Лагеря'!Z11</f>
        <v/>
      </c>
      <c r="AA63" s="40">
        <f>'09_Лагеря'!AA11</f>
        <v/>
      </c>
      <c r="AB63" s="40">
        <f>'09_Лагеря'!AB11</f>
        <v/>
      </c>
      <c r="AC63" s="40">
        <f>'09_Лагеря'!AC11</f>
        <v/>
      </c>
      <c r="AD63" s="40">
        <f>'09_Лагеря'!AD11</f>
        <v/>
      </c>
      <c r="AE63" s="40">
        <f>'09_Лагеря'!AE11</f>
        <v/>
      </c>
      <c r="AF63" s="40">
        <f>'09_Лагеря'!AF11</f>
        <v/>
      </c>
      <c r="AG63" s="40">
        <f>'09_Лагеря'!AG11</f>
        <v/>
      </c>
      <c r="AH63" s="40">
        <f>'09_Лагеря'!AH11</f>
        <v/>
      </c>
      <c r="AI63" s="40">
        <f>'09_Лагеря'!AI11</f>
        <v/>
      </c>
      <c r="AJ63" s="40">
        <f>'09_Лагеря'!AJ11</f>
        <v/>
      </c>
      <c r="AK63" s="40">
        <f>'09_Лагеря'!AK11</f>
        <v/>
      </c>
      <c r="AL63" s="40">
        <f>'09_Лагеря'!AL11</f>
        <v/>
      </c>
      <c r="AM63" s="40">
        <f>'09_Лагеря'!AM11</f>
        <v/>
      </c>
      <c r="AN63" s="40">
        <f>'09_Лагеря'!AN11</f>
        <v/>
      </c>
      <c r="AO63" s="40">
        <f>'09_Лагеря'!AO11</f>
        <v/>
      </c>
      <c r="AP63" s="40">
        <f>'09_Лагеря'!AP11</f>
        <v/>
      </c>
      <c r="AQ63" s="40">
        <f>'09_Лагеря'!AQ11</f>
        <v/>
      </c>
      <c r="AR63" s="40">
        <f>'09_Лагеря'!AR11</f>
        <v/>
      </c>
      <c r="AS63" s="40">
        <f>'09_Лагеря'!AS11</f>
        <v/>
      </c>
      <c r="AT63" s="40">
        <f>'09_Лагеря'!AT11</f>
        <v/>
      </c>
      <c r="AU63" s="40">
        <f>'09_Лагеря'!AU11</f>
        <v/>
      </c>
      <c r="AV63" s="40">
        <f>'09_Лагеря'!AV11</f>
        <v/>
      </c>
      <c r="AW63" s="40">
        <f>'09_Лагеря'!AW11</f>
        <v/>
      </c>
      <c r="AX63" s="40">
        <f>'09_Лагеря'!AX11</f>
        <v/>
      </c>
      <c r="AY63" s="40">
        <f>'09_Лагеря'!AY11</f>
        <v/>
      </c>
      <c r="AZ63" s="40">
        <f>'09_Лагеря'!AZ11</f>
        <v/>
      </c>
      <c r="BA63" s="40">
        <f>'09_Лагеря'!BA11</f>
        <v/>
      </c>
      <c r="BB63" s="40">
        <f>'09_Лагеря'!BB11</f>
        <v/>
      </c>
      <c r="BC63" s="40">
        <f>'09_Лагеря'!BC11</f>
        <v/>
      </c>
      <c r="BD63" s="40">
        <f>'09_Лагеря'!BD11</f>
        <v/>
      </c>
      <c r="BE63" s="40">
        <f>'09_Лагеря'!BE11</f>
        <v/>
      </c>
      <c r="BF63" s="40">
        <f>'09_Лагеря'!BF11</f>
        <v/>
      </c>
      <c r="BG63" s="40">
        <f>'09_Лагеря'!BG11</f>
        <v/>
      </c>
      <c r="BH63" s="40">
        <f>'09_Лагеря'!BH11</f>
        <v/>
      </c>
      <c r="BI63" s="40">
        <f>'09_Лагеря'!BI11</f>
        <v/>
      </c>
    </row>
    <row r="64">
      <c r="A64" s="2" t="inlineStr">
        <is>
          <t>УСН cash</t>
        </is>
      </c>
      <c r="B64" s="42">
        <f>B46</f>
        <v/>
      </c>
      <c r="C64" s="42">
        <f>C46</f>
        <v/>
      </c>
      <c r="D64" s="42">
        <f>D46</f>
        <v/>
      </c>
      <c r="E64" s="42">
        <f>E46</f>
        <v/>
      </c>
      <c r="F64" s="42">
        <f>F46</f>
        <v/>
      </c>
      <c r="G64" s="42">
        <f>G46</f>
        <v/>
      </c>
      <c r="H64" s="42">
        <f>H46</f>
        <v/>
      </c>
      <c r="I64" s="42">
        <f>I46</f>
        <v/>
      </c>
      <c r="J64" s="42">
        <f>J46</f>
        <v/>
      </c>
      <c r="K64" s="42">
        <f>K46</f>
        <v/>
      </c>
      <c r="L64" s="42">
        <f>L46</f>
        <v/>
      </c>
      <c r="M64" s="42">
        <f>M46</f>
        <v/>
      </c>
      <c r="N64" s="42">
        <f>N46</f>
        <v/>
      </c>
      <c r="O64" s="42">
        <f>O46</f>
        <v/>
      </c>
      <c r="P64" s="42">
        <f>P46</f>
        <v/>
      </c>
      <c r="Q64" s="42">
        <f>Q46</f>
        <v/>
      </c>
      <c r="R64" s="42">
        <f>R46</f>
        <v/>
      </c>
      <c r="S64" s="42">
        <f>S46</f>
        <v/>
      </c>
      <c r="T64" s="42">
        <f>T46</f>
        <v/>
      </c>
      <c r="U64" s="42">
        <f>U46</f>
        <v/>
      </c>
      <c r="V64" s="42">
        <f>V46</f>
        <v/>
      </c>
      <c r="W64" s="42">
        <f>W46</f>
        <v/>
      </c>
      <c r="X64" s="42">
        <f>X46</f>
        <v/>
      </c>
      <c r="Y64" s="42">
        <f>Y46</f>
        <v/>
      </c>
      <c r="Z64" s="42">
        <f>Z46</f>
        <v/>
      </c>
      <c r="AA64" s="42">
        <f>AA46</f>
        <v/>
      </c>
      <c r="AB64" s="42">
        <f>AB46</f>
        <v/>
      </c>
      <c r="AC64" s="42">
        <f>AC46</f>
        <v/>
      </c>
      <c r="AD64" s="42">
        <f>AD46</f>
        <v/>
      </c>
      <c r="AE64" s="42">
        <f>AE46</f>
        <v/>
      </c>
      <c r="AF64" s="42">
        <f>AF46</f>
        <v/>
      </c>
      <c r="AG64" s="42">
        <f>AG46</f>
        <v/>
      </c>
      <c r="AH64" s="42">
        <f>AH46</f>
        <v/>
      </c>
      <c r="AI64" s="42">
        <f>AI46</f>
        <v/>
      </c>
      <c r="AJ64" s="42">
        <f>AJ46</f>
        <v/>
      </c>
      <c r="AK64" s="42">
        <f>AK46</f>
        <v/>
      </c>
      <c r="AL64" s="42">
        <f>AL46</f>
        <v/>
      </c>
      <c r="AM64" s="42">
        <f>AM46</f>
        <v/>
      </c>
      <c r="AN64" s="42">
        <f>AN46</f>
        <v/>
      </c>
      <c r="AO64" s="42">
        <f>AO46</f>
        <v/>
      </c>
      <c r="AP64" s="42">
        <f>AP46</f>
        <v/>
      </c>
      <c r="AQ64" s="42">
        <f>AQ46</f>
        <v/>
      </c>
      <c r="AR64" s="42">
        <f>AR46</f>
        <v/>
      </c>
      <c r="AS64" s="42">
        <f>AS46</f>
        <v/>
      </c>
      <c r="AT64" s="42">
        <f>AT46</f>
        <v/>
      </c>
      <c r="AU64" s="42">
        <f>AU46</f>
        <v/>
      </c>
      <c r="AV64" s="42">
        <f>AV46</f>
        <v/>
      </c>
      <c r="AW64" s="42">
        <f>AW46</f>
        <v/>
      </c>
      <c r="AX64" s="42">
        <f>AX46</f>
        <v/>
      </c>
      <c r="AY64" s="42">
        <f>AY46</f>
        <v/>
      </c>
      <c r="AZ64" s="42">
        <f>AZ46</f>
        <v/>
      </c>
      <c r="BA64" s="42">
        <f>BA46</f>
        <v/>
      </c>
      <c r="BB64" s="42">
        <f>BB46</f>
        <v/>
      </c>
      <c r="BC64" s="42">
        <f>BC46</f>
        <v/>
      </c>
      <c r="BD64" s="42">
        <f>BD46</f>
        <v/>
      </c>
      <c r="BE64" s="42">
        <f>BE46</f>
        <v/>
      </c>
      <c r="BF64" s="42">
        <f>BF46</f>
        <v/>
      </c>
      <c r="BG64" s="42">
        <f>BG46</f>
        <v/>
      </c>
      <c r="BH64" s="42">
        <f>BH46</f>
        <v/>
      </c>
      <c r="BI64" s="42">
        <f>BI46</f>
        <v/>
      </c>
    </row>
    <row r="65">
      <c r="A65" s="2" t="inlineStr">
        <is>
          <t>Закупки на склад (справочно)</t>
        </is>
      </c>
      <c r="B65" s="40">
        <f>'07_Мерч'!B25</f>
        <v/>
      </c>
      <c r="C65" s="40">
        <f>'07_Мерч'!C25</f>
        <v/>
      </c>
      <c r="D65" s="40">
        <f>'07_Мерч'!D25</f>
        <v/>
      </c>
      <c r="E65" s="40">
        <f>'07_Мерч'!E25</f>
        <v/>
      </c>
      <c r="F65" s="40">
        <f>'07_Мерч'!F25</f>
        <v/>
      </c>
      <c r="G65" s="40">
        <f>'07_Мерч'!G25</f>
        <v/>
      </c>
      <c r="H65" s="40">
        <f>'07_Мерч'!H25</f>
        <v/>
      </c>
      <c r="I65" s="40">
        <f>'07_Мерч'!I25</f>
        <v/>
      </c>
      <c r="J65" s="40">
        <f>'07_Мерч'!J25</f>
        <v/>
      </c>
      <c r="K65" s="40">
        <f>'07_Мерч'!K25</f>
        <v/>
      </c>
      <c r="L65" s="40">
        <f>'07_Мерч'!L25</f>
        <v/>
      </c>
      <c r="M65" s="40">
        <f>'07_Мерч'!M25</f>
        <v/>
      </c>
      <c r="N65" s="40">
        <f>'07_Мерч'!N25</f>
        <v/>
      </c>
      <c r="O65" s="40">
        <f>'07_Мерч'!O25</f>
        <v/>
      </c>
      <c r="P65" s="40">
        <f>'07_Мерч'!P25</f>
        <v/>
      </c>
      <c r="Q65" s="40">
        <f>'07_Мерч'!Q25</f>
        <v/>
      </c>
      <c r="R65" s="40">
        <f>'07_Мерч'!R25</f>
        <v/>
      </c>
      <c r="S65" s="40">
        <f>'07_Мерч'!S25</f>
        <v/>
      </c>
      <c r="T65" s="40">
        <f>'07_Мерч'!T25</f>
        <v/>
      </c>
      <c r="U65" s="40">
        <f>'07_Мерч'!U25</f>
        <v/>
      </c>
      <c r="V65" s="40">
        <f>'07_Мерч'!V25</f>
        <v/>
      </c>
      <c r="W65" s="40">
        <f>'07_Мерч'!W25</f>
        <v/>
      </c>
      <c r="X65" s="40">
        <f>'07_Мерч'!X25</f>
        <v/>
      </c>
      <c r="Y65" s="40">
        <f>'07_Мерч'!Y25</f>
        <v/>
      </c>
      <c r="Z65" s="40">
        <f>'07_Мерч'!Z25</f>
        <v/>
      </c>
      <c r="AA65" s="40">
        <f>'07_Мерч'!AA25</f>
        <v/>
      </c>
      <c r="AB65" s="40">
        <f>'07_Мерч'!AB25</f>
        <v/>
      </c>
      <c r="AC65" s="40">
        <f>'07_Мерч'!AC25</f>
        <v/>
      </c>
      <c r="AD65" s="40">
        <f>'07_Мерч'!AD25</f>
        <v/>
      </c>
      <c r="AE65" s="40">
        <f>'07_Мерч'!AE25</f>
        <v/>
      </c>
      <c r="AF65" s="40">
        <f>'07_Мерч'!AF25</f>
        <v/>
      </c>
      <c r="AG65" s="40">
        <f>'07_Мерч'!AG25</f>
        <v/>
      </c>
      <c r="AH65" s="40">
        <f>'07_Мерч'!AH25</f>
        <v/>
      </c>
      <c r="AI65" s="40">
        <f>'07_Мерч'!AI25</f>
        <v/>
      </c>
      <c r="AJ65" s="40">
        <f>'07_Мерч'!AJ25</f>
        <v/>
      </c>
      <c r="AK65" s="40">
        <f>'07_Мерч'!AK25</f>
        <v/>
      </c>
      <c r="AL65" s="40">
        <f>'07_Мерч'!AL25</f>
        <v/>
      </c>
      <c r="AM65" s="40">
        <f>'07_Мерч'!AM25</f>
        <v/>
      </c>
      <c r="AN65" s="40">
        <f>'07_Мерч'!AN25</f>
        <v/>
      </c>
      <c r="AO65" s="40">
        <f>'07_Мерч'!AO25</f>
        <v/>
      </c>
      <c r="AP65" s="40">
        <f>'07_Мерч'!AP25</f>
        <v/>
      </c>
      <c r="AQ65" s="40">
        <f>'07_Мерч'!AQ25</f>
        <v/>
      </c>
      <c r="AR65" s="40">
        <f>'07_Мерч'!AR25</f>
        <v/>
      </c>
      <c r="AS65" s="40">
        <f>'07_Мерч'!AS25</f>
        <v/>
      </c>
      <c r="AT65" s="40">
        <f>'07_Мерч'!AT25</f>
        <v/>
      </c>
      <c r="AU65" s="40">
        <f>'07_Мерч'!AU25</f>
        <v/>
      </c>
      <c r="AV65" s="40">
        <f>'07_Мерч'!AV25</f>
        <v/>
      </c>
      <c r="AW65" s="40">
        <f>'07_Мерч'!AW25</f>
        <v/>
      </c>
      <c r="AX65" s="40">
        <f>'07_Мерч'!AX25</f>
        <v/>
      </c>
      <c r="AY65" s="40">
        <f>'07_Мерч'!AY25</f>
        <v/>
      </c>
      <c r="AZ65" s="40">
        <f>'07_Мерч'!AZ25</f>
        <v/>
      </c>
      <c r="BA65" s="40">
        <f>'07_Мерч'!BA25</f>
        <v/>
      </c>
      <c r="BB65" s="40">
        <f>'07_Мерч'!BB25</f>
        <v/>
      </c>
      <c r="BC65" s="40">
        <f>'07_Мерч'!BC25</f>
        <v/>
      </c>
      <c r="BD65" s="40">
        <f>'07_Мерч'!BD25</f>
        <v/>
      </c>
      <c r="BE65" s="40">
        <f>'07_Мерч'!BE25</f>
        <v/>
      </c>
      <c r="BF65" s="40">
        <f>'07_Мерч'!BF25</f>
        <v/>
      </c>
      <c r="BG65" s="40">
        <f>'07_Мерч'!BG25</f>
        <v/>
      </c>
      <c r="BH65" s="40">
        <f>'07_Мерч'!BH25</f>
        <v/>
      </c>
      <c r="BI65" s="40">
        <f>'07_Мерч'!BI25</f>
        <v/>
      </c>
    </row>
    <row r="66">
      <c r="A66" s="2" t="inlineStr">
        <is>
          <t>Лагеря cash out</t>
        </is>
      </c>
      <c r="B66" s="40">
        <f>'09_Лагеря'!B19</f>
        <v/>
      </c>
      <c r="C66" s="40">
        <f>'09_Лагеря'!C19</f>
        <v/>
      </c>
      <c r="D66" s="40">
        <f>'09_Лагеря'!D19</f>
        <v/>
      </c>
      <c r="E66" s="40">
        <f>'09_Лагеря'!E19</f>
        <v/>
      </c>
      <c r="F66" s="40">
        <f>'09_Лагеря'!F19</f>
        <v/>
      </c>
      <c r="G66" s="40">
        <f>'09_Лагеря'!G19</f>
        <v/>
      </c>
      <c r="H66" s="40">
        <f>'09_Лагеря'!H19</f>
        <v/>
      </c>
      <c r="I66" s="40">
        <f>'09_Лагеря'!I19</f>
        <v/>
      </c>
      <c r="J66" s="40">
        <f>'09_Лагеря'!J19</f>
        <v/>
      </c>
      <c r="K66" s="40">
        <f>'09_Лагеря'!K19</f>
        <v/>
      </c>
      <c r="L66" s="40">
        <f>'09_Лагеря'!L19</f>
        <v/>
      </c>
      <c r="M66" s="40">
        <f>'09_Лагеря'!M19</f>
        <v/>
      </c>
      <c r="N66" s="40">
        <f>'09_Лагеря'!N19</f>
        <v/>
      </c>
      <c r="O66" s="40">
        <f>'09_Лагеря'!O19</f>
        <v/>
      </c>
      <c r="P66" s="40">
        <f>'09_Лагеря'!P19</f>
        <v/>
      </c>
      <c r="Q66" s="40">
        <f>'09_Лагеря'!Q19</f>
        <v/>
      </c>
      <c r="R66" s="40">
        <f>'09_Лагеря'!R19</f>
        <v/>
      </c>
      <c r="S66" s="40">
        <f>'09_Лагеря'!S19</f>
        <v/>
      </c>
      <c r="T66" s="40">
        <f>'09_Лагеря'!T19</f>
        <v/>
      </c>
      <c r="U66" s="40">
        <f>'09_Лагеря'!U19</f>
        <v/>
      </c>
      <c r="V66" s="40">
        <f>'09_Лагеря'!V19</f>
        <v/>
      </c>
      <c r="W66" s="40">
        <f>'09_Лагеря'!W19</f>
        <v/>
      </c>
      <c r="X66" s="40">
        <f>'09_Лагеря'!X19</f>
        <v/>
      </c>
      <c r="Y66" s="40">
        <f>'09_Лагеря'!Y19</f>
        <v/>
      </c>
      <c r="Z66" s="40">
        <f>'09_Лагеря'!Z19</f>
        <v/>
      </c>
      <c r="AA66" s="40">
        <f>'09_Лагеря'!AA19</f>
        <v/>
      </c>
      <c r="AB66" s="40">
        <f>'09_Лагеря'!AB19</f>
        <v/>
      </c>
      <c r="AC66" s="40">
        <f>'09_Лагеря'!AC19</f>
        <v/>
      </c>
      <c r="AD66" s="40">
        <f>'09_Лагеря'!AD19</f>
        <v/>
      </c>
      <c r="AE66" s="40">
        <f>'09_Лагеря'!AE19</f>
        <v/>
      </c>
      <c r="AF66" s="40">
        <f>'09_Лагеря'!AF19</f>
        <v/>
      </c>
      <c r="AG66" s="40">
        <f>'09_Лагеря'!AG19</f>
        <v/>
      </c>
      <c r="AH66" s="40">
        <f>'09_Лагеря'!AH19</f>
        <v/>
      </c>
      <c r="AI66" s="40">
        <f>'09_Лагеря'!AI19</f>
        <v/>
      </c>
      <c r="AJ66" s="40">
        <f>'09_Лагеря'!AJ19</f>
        <v/>
      </c>
      <c r="AK66" s="40">
        <f>'09_Лагеря'!AK19</f>
        <v/>
      </c>
      <c r="AL66" s="40">
        <f>'09_Лагеря'!AL19</f>
        <v/>
      </c>
      <c r="AM66" s="40">
        <f>'09_Лагеря'!AM19</f>
        <v/>
      </c>
      <c r="AN66" s="40">
        <f>'09_Лагеря'!AN19</f>
        <v/>
      </c>
      <c r="AO66" s="40">
        <f>'09_Лагеря'!AO19</f>
        <v/>
      </c>
      <c r="AP66" s="40">
        <f>'09_Лагеря'!AP19</f>
        <v/>
      </c>
      <c r="AQ66" s="40">
        <f>'09_Лагеря'!AQ19</f>
        <v/>
      </c>
      <c r="AR66" s="40">
        <f>'09_Лагеря'!AR19</f>
        <v/>
      </c>
      <c r="AS66" s="40">
        <f>'09_Лагеря'!AS19</f>
        <v/>
      </c>
      <c r="AT66" s="40">
        <f>'09_Лагеря'!AT19</f>
        <v/>
      </c>
      <c r="AU66" s="40">
        <f>'09_Лагеря'!AU19</f>
        <v/>
      </c>
      <c r="AV66" s="40">
        <f>'09_Лагеря'!AV19</f>
        <v/>
      </c>
      <c r="AW66" s="40">
        <f>'09_Лагеря'!AW19</f>
        <v/>
      </c>
      <c r="AX66" s="40">
        <f>'09_Лагеря'!AX19</f>
        <v/>
      </c>
      <c r="AY66" s="40">
        <f>'09_Лагеря'!AY19</f>
        <v/>
      </c>
      <c r="AZ66" s="40">
        <f>'09_Лагеря'!AZ19</f>
        <v/>
      </c>
      <c r="BA66" s="40">
        <f>'09_Лагеря'!BA19</f>
        <v/>
      </c>
      <c r="BB66" s="40">
        <f>'09_Лагеря'!BB19</f>
        <v/>
      </c>
      <c r="BC66" s="40">
        <f>'09_Лагеря'!BC19</f>
        <v/>
      </c>
      <c r="BD66" s="40">
        <f>'09_Лагеря'!BD19</f>
        <v/>
      </c>
      <c r="BE66" s="40">
        <f>'09_Лагеря'!BE19</f>
        <v/>
      </c>
      <c r="BF66" s="40">
        <f>'09_Лагеря'!BF19</f>
        <v/>
      </c>
      <c r="BG66" s="40">
        <f>'09_Лагеря'!BG19</f>
        <v/>
      </c>
      <c r="BH66" s="40">
        <f>'09_Лагеря'!BH19</f>
        <v/>
      </c>
      <c r="BI66" s="40">
        <f>'09_Лагеря'!BI19</f>
        <v/>
      </c>
    </row>
    <row r="67">
      <c r="A67" s="10" t="inlineStr">
        <is>
          <t>Денежные расходы до займа</t>
        </is>
      </c>
      <c r="B67" s="166">
        <f>SUM(B57:B64)+B66</f>
        <v/>
      </c>
      <c r="C67" s="166">
        <f>SUM(C57:C64)+C66</f>
        <v/>
      </c>
      <c r="D67" s="166">
        <f>SUM(D57:D64)+D66</f>
        <v/>
      </c>
      <c r="E67" s="166">
        <f>SUM(E57:E64)+E66</f>
        <v/>
      </c>
      <c r="F67" s="166">
        <f>SUM(F57:F64)+F66</f>
        <v/>
      </c>
      <c r="G67" s="166">
        <f>SUM(G57:G64)+G66</f>
        <v/>
      </c>
      <c r="H67" s="166">
        <f>SUM(H57:H64)+H66</f>
        <v/>
      </c>
      <c r="I67" s="166">
        <f>SUM(I57:I64)+I66</f>
        <v/>
      </c>
      <c r="J67" s="166">
        <f>SUM(J57:J64)+J66</f>
        <v/>
      </c>
      <c r="K67" s="166">
        <f>SUM(K57:K64)+K66</f>
        <v/>
      </c>
      <c r="L67" s="166">
        <f>SUM(L57:L64)+L66</f>
        <v/>
      </c>
      <c r="M67" s="166">
        <f>SUM(M57:M64)+M66</f>
        <v/>
      </c>
      <c r="N67" s="166">
        <f>SUM(N57:N64)+N66</f>
        <v/>
      </c>
      <c r="O67" s="166">
        <f>SUM(O57:O64)+O66</f>
        <v/>
      </c>
      <c r="P67" s="166">
        <f>SUM(P57:P64)+P66</f>
        <v/>
      </c>
      <c r="Q67" s="166">
        <f>SUM(Q57:Q64)+Q66</f>
        <v/>
      </c>
      <c r="R67" s="166">
        <f>SUM(R57:R64)+R66</f>
        <v/>
      </c>
      <c r="S67" s="166">
        <f>SUM(S57:S64)+S66</f>
        <v/>
      </c>
      <c r="T67" s="166">
        <f>SUM(T57:T64)+T66</f>
        <v/>
      </c>
      <c r="U67" s="166">
        <f>SUM(U57:U64)+U66</f>
        <v/>
      </c>
      <c r="V67" s="166">
        <f>SUM(V57:V64)+V66</f>
        <v/>
      </c>
      <c r="W67" s="166">
        <f>SUM(W57:W64)+W66</f>
        <v/>
      </c>
      <c r="X67" s="166">
        <f>SUM(X57:X64)+X66</f>
        <v/>
      </c>
      <c r="Y67" s="166">
        <f>SUM(Y57:Y64)+Y66</f>
        <v/>
      </c>
      <c r="Z67" s="166">
        <f>SUM(Z57:Z64)+Z66</f>
        <v/>
      </c>
      <c r="AA67" s="166">
        <f>SUM(AA57:AA64)+AA66</f>
        <v/>
      </c>
      <c r="AB67" s="166">
        <f>SUM(AB57:AB64)+AB66</f>
        <v/>
      </c>
      <c r="AC67" s="166">
        <f>SUM(AC57:AC64)+AC66</f>
        <v/>
      </c>
      <c r="AD67" s="166">
        <f>SUM(AD57:AD64)+AD66</f>
        <v/>
      </c>
      <c r="AE67" s="166">
        <f>SUM(AE57:AE64)+AE66</f>
        <v/>
      </c>
      <c r="AF67" s="166">
        <f>SUM(AF57:AF64)+AF66</f>
        <v/>
      </c>
      <c r="AG67" s="166">
        <f>SUM(AG57:AG64)+AG66</f>
        <v/>
      </c>
      <c r="AH67" s="166">
        <f>SUM(AH57:AH64)+AH66</f>
        <v/>
      </c>
      <c r="AI67" s="166">
        <f>SUM(AI57:AI64)+AI66</f>
        <v/>
      </c>
      <c r="AJ67" s="166">
        <f>SUM(AJ57:AJ64)+AJ66</f>
        <v/>
      </c>
      <c r="AK67" s="166">
        <f>SUM(AK57:AK64)+AK66</f>
        <v/>
      </c>
      <c r="AL67" s="166">
        <f>SUM(AL57:AL64)+AL66</f>
        <v/>
      </c>
      <c r="AM67" s="166">
        <f>SUM(AM57:AM64)+AM66</f>
        <v/>
      </c>
      <c r="AN67" s="166">
        <f>SUM(AN57:AN64)+AN66</f>
        <v/>
      </c>
      <c r="AO67" s="166">
        <f>SUM(AO57:AO64)+AO66</f>
        <v/>
      </c>
      <c r="AP67" s="166">
        <f>SUM(AP57:AP64)+AP66</f>
        <v/>
      </c>
      <c r="AQ67" s="166">
        <f>SUM(AQ57:AQ64)+AQ66</f>
        <v/>
      </c>
      <c r="AR67" s="166">
        <f>SUM(AR57:AR64)+AR66</f>
        <v/>
      </c>
      <c r="AS67" s="166">
        <f>SUM(AS57:AS64)+AS66</f>
        <v/>
      </c>
      <c r="AT67" s="166">
        <f>SUM(AT57:AT64)+AT66</f>
        <v/>
      </c>
      <c r="AU67" s="166">
        <f>SUM(AU57:AU64)+AU66</f>
        <v/>
      </c>
      <c r="AV67" s="166">
        <f>SUM(AV57:AV64)+AV66</f>
        <v/>
      </c>
      <c r="AW67" s="166">
        <f>SUM(AW57:AW64)+AW66</f>
        <v/>
      </c>
      <c r="AX67" s="166">
        <f>SUM(AX57:AX64)+AX66</f>
        <v/>
      </c>
      <c r="AY67" s="166">
        <f>SUM(AY57:AY64)+AY66</f>
        <v/>
      </c>
      <c r="AZ67" s="166">
        <f>SUM(AZ57:AZ64)+AZ66</f>
        <v/>
      </c>
      <c r="BA67" s="166">
        <f>SUM(BA57:BA64)+BA66</f>
        <v/>
      </c>
      <c r="BB67" s="166">
        <f>SUM(BB57:BB64)+BB66</f>
        <v/>
      </c>
      <c r="BC67" s="166">
        <f>SUM(BC57:BC64)+BC66</f>
        <v/>
      </c>
      <c r="BD67" s="166">
        <f>SUM(BD57:BD64)+BD66</f>
        <v/>
      </c>
      <c r="BE67" s="166">
        <f>SUM(BE57:BE64)+BE66</f>
        <v/>
      </c>
      <c r="BF67" s="166">
        <f>SUM(BF57:BF64)+BF66</f>
        <v/>
      </c>
      <c r="BG67" s="166">
        <f>SUM(BG57:BG64)+BG66</f>
        <v/>
      </c>
      <c r="BH67" s="166">
        <f>SUM(BH57:BH64)+BH66</f>
        <v/>
      </c>
      <c r="BI67" s="166">
        <f>SUM(BI57:BI64)+BI66</f>
        <v/>
      </c>
    </row>
    <row r="68">
      <c r="A68" s="2" t="inlineStr">
        <is>
          <t>Чистый поток до займа</t>
        </is>
      </c>
      <c r="B68" s="42">
        <f>B56-B67</f>
        <v/>
      </c>
      <c r="C68" s="42">
        <f>C56-C67</f>
        <v/>
      </c>
      <c r="D68" s="42">
        <f>D56-D67</f>
        <v/>
      </c>
      <c r="E68" s="42">
        <f>E56-E67</f>
        <v/>
      </c>
      <c r="F68" s="42">
        <f>F56-F67</f>
        <v/>
      </c>
      <c r="G68" s="42">
        <f>G56-G67</f>
        <v/>
      </c>
      <c r="H68" s="42">
        <f>H56-H67</f>
        <v/>
      </c>
      <c r="I68" s="42">
        <f>I56-I67</f>
        <v/>
      </c>
      <c r="J68" s="42">
        <f>J56-J67</f>
        <v/>
      </c>
      <c r="K68" s="42">
        <f>K56-K67</f>
        <v/>
      </c>
      <c r="L68" s="42">
        <f>L56-L67</f>
        <v/>
      </c>
      <c r="M68" s="42">
        <f>M56-M67</f>
        <v/>
      </c>
      <c r="N68" s="42">
        <f>N56-N67</f>
        <v/>
      </c>
      <c r="O68" s="42">
        <f>O56-O67</f>
        <v/>
      </c>
      <c r="P68" s="42">
        <f>P56-P67</f>
        <v/>
      </c>
      <c r="Q68" s="42">
        <f>Q56-Q67</f>
        <v/>
      </c>
      <c r="R68" s="42">
        <f>R56-R67</f>
        <v/>
      </c>
      <c r="S68" s="42">
        <f>S56-S67</f>
        <v/>
      </c>
      <c r="T68" s="42">
        <f>T56-T67</f>
        <v/>
      </c>
      <c r="U68" s="42">
        <f>U56-U67</f>
        <v/>
      </c>
      <c r="V68" s="42">
        <f>V56-V67</f>
        <v/>
      </c>
      <c r="W68" s="42">
        <f>W56-W67</f>
        <v/>
      </c>
      <c r="X68" s="42">
        <f>X56-X67</f>
        <v/>
      </c>
      <c r="Y68" s="42">
        <f>Y56-Y67</f>
        <v/>
      </c>
      <c r="Z68" s="42">
        <f>Z56-Z67</f>
        <v/>
      </c>
      <c r="AA68" s="42">
        <f>AA56-AA67</f>
        <v/>
      </c>
      <c r="AB68" s="42">
        <f>AB56-AB67</f>
        <v/>
      </c>
      <c r="AC68" s="42">
        <f>AC56-AC67</f>
        <v/>
      </c>
      <c r="AD68" s="42">
        <f>AD56-AD67</f>
        <v/>
      </c>
      <c r="AE68" s="42">
        <f>AE56-AE67</f>
        <v/>
      </c>
      <c r="AF68" s="42">
        <f>AF56-AF67</f>
        <v/>
      </c>
      <c r="AG68" s="42">
        <f>AG56-AG67</f>
        <v/>
      </c>
      <c r="AH68" s="42">
        <f>AH56-AH67</f>
        <v/>
      </c>
      <c r="AI68" s="42">
        <f>AI56-AI67</f>
        <v/>
      </c>
      <c r="AJ68" s="42">
        <f>AJ56-AJ67</f>
        <v/>
      </c>
      <c r="AK68" s="42">
        <f>AK56-AK67</f>
        <v/>
      </c>
      <c r="AL68" s="42">
        <f>AL56-AL67</f>
        <v/>
      </c>
      <c r="AM68" s="42">
        <f>AM56-AM67</f>
        <v/>
      </c>
      <c r="AN68" s="42">
        <f>AN56-AN67</f>
        <v/>
      </c>
      <c r="AO68" s="42">
        <f>AO56-AO67</f>
        <v/>
      </c>
      <c r="AP68" s="42">
        <f>AP56-AP67</f>
        <v/>
      </c>
      <c r="AQ68" s="42">
        <f>AQ56-AQ67</f>
        <v/>
      </c>
      <c r="AR68" s="42">
        <f>AR56-AR67</f>
        <v/>
      </c>
      <c r="AS68" s="42">
        <f>AS56-AS67</f>
        <v/>
      </c>
      <c r="AT68" s="42">
        <f>AT56-AT67</f>
        <v/>
      </c>
      <c r="AU68" s="42">
        <f>AU56-AU67</f>
        <v/>
      </c>
      <c r="AV68" s="42">
        <f>AV56-AV67</f>
        <v/>
      </c>
      <c r="AW68" s="42">
        <f>AW56-AW67</f>
        <v/>
      </c>
      <c r="AX68" s="42">
        <f>AX56-AX67</f>
        <v/>
      </c>
      <c r="AY68" s="42">
        <f>AY56-AY67</f>
        <v/>
      </c>
      <c r="AZ68" s="42">
        <f>AZ56-AZ67</f>
        <v/>
      </c>
      <c r="BA68" s="42">
        <f>BA56-BA67</f>
        <v/>
      </c>
      <c r="BB68" s="42">
        <f>BB56-BB67</f>
        <v/>
      </c>
      <c r="BC68" s="42">
        <f>BC56-BC67</f>
        <v/>
      </c>
      <c r="BD68" s="42">
        <f>BD56-BD67</f>
        <v/>
      </c>
      <c r="BE68" s="42">
        <f>BE56-BE67</f>
        <v/>
      </c>
      <c r="BF68" s="42">
        <f>BF56-BF67</f>
        <v/>
      </c>
      <c r="BG68" s="42">
        <f>BG56-BG67</f>
        <v/>
      </c>
      <c r="BH68" s="42">
        <f>BH56-BH67</f>
        <v/>
      </c>
      <c r="BI68" s="42">
        <f>BI56-BI67</f>
        <v/>
      </c>
    </row>
    <row r="69">
      <c r="A69" s="2" t="inlineStr">
        <is>
          <t>Денежный остаток до погашения займа</t>
        </is>
      </c>
      <c r="B69" s="42">
        <f>B51+B68</f>
        <v/>
      </c>
      <c r="C69" s="42">
        <f>C51+C68</f>
        <v/>
      </c>
      <c r="D69" s="42">
        <f>D51+D68</f>
        <v/>
      </c>
      <c r="E69" s="42">
        <f>E51+E68</f>
        <v/>
      </c>
      <c r="F69" s="42">
        <f>F51+F68</f>
        <v/>
      </c>
      <c r="G69" s="42">
        <f>G51+G68</f>
        <v/>
      </c>
      <c r="H69" s="42">
        <f>H51+H68</f>
        <v/>
      </c>
      <c r="I69" s="42">
        <f>I51+I68</f>
        <v/>
      </c>
      <c r="J69" s="42">
        <f>J51+J68</f>
        <v/>
      </c>
      <c r="K69" s="42">
        <f>K51+K68</f>
        <v/>
      </c>
      <c r="L69" s="42">
        <f>L51+L68</f>
        <v/>
      </c>
      <c r="M69" s="42">
        <f>M51+M68</f>
        <v/>
      </c>
      <c r="N69" s="42">
        <f>N51+N68</f>
        <v/>
      </c>
      <c r="O69" s="42">
        <f>O51+O68</f>
        <v/>
      </c>
      <c r="P69" s="42">
        <f>P51+P68</f>
        <v/>
      </c>
      <c r="Q69" s="42">
        <f>Q51+Q68</f>
        <v/>
      </c>
      <c r="R69" s="42">
        <f>R51+R68</f>
        <v/>
      </c>
      <c r="S69" s="42">
        <f>S51+S68</f>
        <v/>
      </c>
      <c r="T69" s="42">
        <f>T51+T68</f>
        <v/>
      </c>
      <c r="U69" s="42">
        <f>U51+U68</f>
        <v/>
      </c>
      <c r="V69" s="42">
        <f>V51+V68</f>
        <v/>
      </c>
      <c r="W69" s="42">
        <f>W51+W68</f>
        <v/>
      </c>
      <c r="X69" s="42">
        <f>X51+X68</f>
        <v/>
      </c>
      <c r="Y69" s="42">
        <f>Y51+Y68</f>
        <v/>
      </c>
      <c r="Z69" s="42">
        <f>Z51+Z68</f>
        <v/>
      </c>
      <c r="AA69" s="42">
        <f>AA51+AA68</f>
        <v/>
      </c>
      <c r="AB69" s="42">
        <f>AB51+AB68</f>
        <v/>
      </c>
      <c r="AC69" s="42">
        <f>AC51+AC68</f>
        <v/>
      </c>
      <c r="AD69" s="42">
        <f>AD51+AD68</f>
        <v/>
      </c>
      <c r="AE69" s="42">
        <f>AE51+AE68</f>
        <v/>
      </c>
      <c r="AF69" s="42">
        <f>AF51+AF68</f>
        <v/>
      </c>
      <c r="AG69" s="42">
        <f>AG51+AG68</f>
        <v/>
      </c>
      <c r="AH69" s="42">
        <f>AH51+AH68</f>
        <v/>
      </c>
      <c r="AI69" s="42">
        <f>AI51+AI68</f>
        <v/>
      </c>
      <c r="AJ69" s="42">
        <f>AJ51+AJ68</f>
        <v/>
      </c>
      <c r="AK69" s="42">
        <f>AK51+AK68</f>
        <v/>
      </c>
      <c r="AL69" s="42">
        <f>AL51+AL68</f>
        <v/>
      </c>
      <c r="AM69" s="42">
        <f>AM51+AM68</f>
        <v/>
      </c>
      <c r="AN69" s="42">
        <f>AN51+AN68</f>
        <v/>
      </c>
      <c r="AO69" s="42">
        <f>AO51+AO68</f>
        <v/>
      </c>
      <c r="AP69" s="42">
        <f>AP51+AP68</f>
        <v/>
      </c>
      <c r="AQ69" s="42">
        <f>AQ51+AQ68</f>
        <v/>
      </c>
      <c r="AR69" s="42">
        <f>AR51+AR68</f>
        <v/>
      </c>
      <c r="AS69" s="42">
        <f>AS51+AS68</f>
        <v/>
      </c>
      <c r="AT69" s="42">
        <f>AT51+AT68</f>
        <v/>
      </c>
      <c r="AU69" s="42">
        <f>AU51+AU68</f>
        <v/>
      </c>
      <c r="AV69" s="42">
        <f>AV51+AV68</f>
        <v/>
      </c>
      <c r="AW69" s="42">
        <f>AW51+AW68</f>
        <v/>
      </c>
      <c r="AX69" s="42">
        <f>AX51+AX68</f>
        <v/>
      </c>
      <c r="AY69" s="42">
        <f>AY51+AY68</f>
        <v/>
      </c>
      <c r="AZ69" s="42">
        <f>AZ51+AZ68</f>
        <v/>
      </c>
      <c r="BA69" s="42">
        <f>BA51+BA68</f>
        <v/>
      </c>
      <c r="BB69" s="42">
        <f>BB51+BB68</f>
        <v/>
      </c>
      <c r="BC69" s="42">
        <f>BC51+BC68</f>
        <v/>
      </c>
      <c r="BD69" s="42">
        <f>BD51+BD68</f>
        <v/>
      </c>
      <c r="BE69" s="42">
        <f>BE51+BE68</f>
        <v/>
      </c>
      <c r="BF69" s="42">
        <f>BF51+BF68</f>
        <v/>
      </c>
      <c r="BG69" s="42">
        <f>BG51+BG68</f>
        <v/>
      </c>
      <c r="BH69" s="42">
        <f>BH51+BH68</f>
        <v/>
      </c>
      <c r="BI69" s="42">
        <f>BI51+BI68</f>
        <v/>
      </c>
    </row>
    <row r="70">
      <c r="A70" s="2" t="inlineStr">
        <is>
          <t>Погашение займа</t>
        </is>
      </c>
      <c r="B70" s="40">
        <f>'07_Мерч'!B31</f>
        <v/>
      </c>
      <c r="C70" s="40">
        <f>'07_Мерч'!C31</f>
        <v/>
      </c>
      <c r="D70" s="40">
        <f>'07_Мерч'!D31</f>
        <v/>
      </c>
      <c r="E70" s="40">
        <f>'07_Мерч'!E31</f>
        <v/>
      </c>
      <c r="F70" s="40">
        <f>'07_Мерч'!F31</f>
        <v/>
      </c>
      <c r="G70" s="40">
        <f>'07_Мерч'!G31</f>
        <v/>
      </c>
      <c r="H70" s="40">
        <f>'07_Мерч'!H31</f>
        <v/>
      </c>
      <c r="I70" s="40">
        <f>'07_Мерч'!I31</f>
        <v/>
      </c>
      <c r="J70" s="40">
        <f>'07_Мерч'!J31</f>
        <v/>
      </c>
      <c r="K70" s="40">
        <f>'07_Мерч'!K31</f>
        <v/>
      </c>
      <c r="L70" s="40">
        <f>'07_Мерч'!L31</f>
        <v/>
      </c>
      <c r="M70" s="40">
        <f>'07_Мерч'!M31</f>
        <v/>
      </c>
      <c r="N70" s="40">
        <f>'07_Мерч'!N31</f>
        <v/>
      </c>
      <c r="O70" s="40">
        <f>'07_Мерч'!O31</f>
        <v/>
      </c>
      <c r="P70" s="40">
        <f>'07_Мерч'!P31</f>
        <v/>
      </c>
      <c r="Q70" s="40">
        <f>'07_Мерч'!Q31</f>
        <v/>
      </c>
      <c r="R70" s="40">
        <f>'07_Мерч'!R31</f>
        <v/>
      </c>
      <c r="S70" s="40">
        <f>'07_Мерч'!S31</f>
        <v/>
      </c>
      <c r="T70" s="40">
        <f>'07_Мерч'!T31</f>
        <v/>
      </c>
      <c r="U70" s="40">
        <f>'07_Мерч'!U31</f>
        <v/>
      </c>
      <c r="V70" s="40">
        <f>'07_Мерч'!V31</f>
        <v/>
      </c>
      <c r="W70" s="40">
        <f>'07_Мерч'!W31</f>
        <v/>
      </c>
      <c r="X70" s="40">
        <f>'07_Мерч'!X31</f>
        <v/>
      </c>
      <c r="Y70" s="40">
        <f>'07_Мерч'!Y31</f>
        <v/>
      </c>
      <c r="Z70" s="40">
        <f>'07_Мерч'!Z31</f>
        <v/>
      </c>
      <c r="AA70" s="40">
        <f>'07_Мерч'!AA31</f>
        <v/>
      </c>
      <c r="AB70" s="40">
        <f>'07_Мерч'!AB31</f>
        <v/>
      </c>
      <c r="AC70" s="40">
        <f>'07_Мерч'!AC31</f>
        <v/>
      </c>
      <c r="AD70" s="40">
        <f>'07_Мерч'!AD31</f>
        <v/>
      </c>
      <c r="AE70" s="40">
        <f>'07_Мерч'!AE31</f>
        <v/>
      </c>
      <c r="AF70" s="40">
        <f>'07_Мерч'!AF31</f>
        <v/>
      </c>
      <c r="AG70" s="40">
        <f>'07_Мерч'!AG31</f>
        <v/>
      </c>
      <c r="AH70" s="40">
        <f>'07_Мерч'!AH31</f>
        <v/>
      </c>
      <c r="AI70" s="40">
        <f>'07_Мерч'!AI31</f>
        <v/>
      </c>
      <c r="AJ70" s="40">
        <f>'07_Мерч'!AJ31</f>
        <v/>
      </c>
      <c r="AK70" s="40">
        <f>'07_Мерч'!AK31</f>
        <v/>
      </c>
      <c r="AL70" s="40">
        <f>'07_Мерч'!AL31</f>
        <v/>
      </c>
      <c r="AM70" s="40">
        <f>'07_Мерч'!AM31</f>
        <v/>
      </c>
      <c r="AN70" s="40">
        <f>'07_Мерч'!AN31</f>
        <v/>
      </c>
      <c r="AO70" s="40">
        <f>'07_Мерч'!AO31</f>
        <v/>
      </c>
      <c r="AP70" s="40">
        <f>'07_Мерч'!AP31</f>
        <v/>
      </c>
      <c r="AQ70" s="40">
        <f>'07_Мерч'!AQ31</f>
        <v/>
      </c>
      <c r="AR70" s="40">
        <f>'07_Мерч'!AR31</f>
        <v/>
      </c>
      <c r="AS70" s="40">
        <f>'07_Мерч'!AS31</f>
        <v/>
      </c>
      <c r="AT70" s="40">
        <f>'07_Мерч'!AT31</f>
        <v/>
      </c>
      <c r="AU70" s="40">
        <f>'07_Мерч'!AU31</f>
        <v/>
      </c>
      <c r="AV70" s="40">
        <f>'07_Мерч'!AV31</f>
        <v/>
      </c>
      <c r="AW70" s="40">
        <f>'07_Мерч'!AW31</f>
        <v/>
      </c>
      <c r="AX70" s="40">
        <f>'07_Мерч'!AX31</f>
        <v/>
      </c>
      <c r="AY70" s="40">
        <f>'07_Мерч'!AY31</f>
        <v/>
      </c>
      <c r="AZ70" s="40">
        <f>'07_Мерч'!AZ31</f>
        <v/>
      </c>
      <c r="BA70" s="40">
        <f>'07_Мерч'!BA31</f>
        <v/>
      </c>
      <c r="BB70" s="40">
        <f>'07_Мерч'!BB31</f>
        <v/>
      </c>
      <c r="BC70" s="40">
        <f>'07_Мерч'!BC31</f>
        <v/>
      </c>
      <c r="BD70" s="40">
        <f>'07_Мерч'!BD31</f>
        <v/>
      </c>
      <c r="BE70" s="40">
        <f>'07_Мерч'!BE31</f>
        <v/>
      </c>
      <c r="BF70" s="40">
        <f>'07_Мерч'!BF31</f>
        <v/>
      </c>
      <c r="BG70" s="40">
        <f>'07_Мерч'!BG31</f>
        <v/>
      </c>
      <c r="BH70" s="40">
        <f>'07_Мерч'!BH31</f>
        <v/>
      </c>
      <c r="BI70" s="40">
        <f>'07_Мерч'!BI31</f>
        <v/>
      </c>
    </row>
    <row r="71">
      <c r="A71" s="2" t="inlineStr">
        <is>
          <t>Чистый денежный поток</t>
        </is>
      </c>
      <c r="B71" s="42">
        <f>B68-B70</f>
        <v/>
      </c>
      <c r="C71" s="42">
        <f>C68-C70</f>
        <v/>
      </c>
      <c r="D71" s="42">
        <f>D68-D70</f>
        <v/>
      </c>
      <c r="E71" s="42">
        <f>E68-E70</f>
        <v/>
      </c>
      <c r="F71" s="42">
        <f>F68-F70</f>
        <v/>
      </c>
      <c r="G71" s="42">
        <f>G68-G70</f>
        <v/>
      </c>
      <c r="H71" s="42">
        <f>H68-H70</f>
        <v/>
      </c>
      <c r="I71" s="42">
        <f>I68-I70</f>
        <v/>
      </c>
      <c r="J71" s="42">
        <f>J68-J70</f>
        <v/>
      </c>
      <c r="K71" s="42">
        <f>K68-K70</f>
        <v/>
      </c>
      <c r="L71" s="42">
        <f>L68-L70</f>
        <v/>
      </c>
      <c r="M71" s="42">
        <f>M68-M70</f>
        <v/>
      </c>
      <c r="N71" s="42">
        <f>N68-N70</f>
        <v/>
      </c>
      <c r="O71" s="42">
        <f>O68-O70</f>
        <v/>
      </c>
      <c r="P71" s="42">
        <f>P68-P70</f>
        <v/>
      </c>
      <c r="Q71" s="42">
        <f>Q68-Q70</f>
        <v/>
      </c>
      <c r="R71" s="42">
        <f>R68-R70</f>
        <v/>
      </c>
      <c r="S71" s="42">
        <f>S68-S70</f>
        <v/>
      </c>
      <c r="T71" s="42">
        <f>T68-T70</f>
        <v/>
      </c>
      <c r="U71" s="42">
        <f>U68-U70</f>
        <v/>
      </c>
      <c r="V71" s="42">
        <f>V68-V70</f>
        <v/>
      </c>
      <c r="W71" s="42">
        <f>W68-W70</f>
        <v/>
      </c>
      <c r="X71" s="42">
        <f>X68-X70</f>
        <v/>
      </c>
      <c r="Y71" s="42">
        <f>Y68-Y70</f>
        <v/>
      </c>
      <c r="Z71" s="42">
        <f>Z68-Z70</f>
        <v/>
      </c>
      <c r="AA71" s="42">
        <f>AA68-AA70</f>
        <v/>
      </c>
      <c r="AB71" s="42">
        <f>AB68-AB70</f>
        <v/>
      </c>
      <c r="AC71" s="42">
        <f>AC68-AC70</f>
        <v/>
      </c>
      <c r="AD71" s="42">
        <f>AD68-AD70</f>
        <v/>
      </c>
      <c r="AE71" s="42">
        <f>AE68-AE70</f>
        <v/>
      </c>
      <c r="AF71" s="42">
        <f>AF68-AF70</f>
        <v/>
      </c>
      <c r="AG71" s="42">
        <f>AG68-AG70</f>
        <v/>
      </c>
      <c r="AH71" s="42">
        <f>AH68-AH70</f>
        <v/>
      </c>
      <c r="AI71" s="42">
        <f>AI68-AI70</f>
        <v/>
      </c>
      <c r="AJ71" s="42">
        <f>AJ68-AJ70</f>
        <v/>
      </c>
      <c r="AK71" s="42">
        <f>AK68-AK70</f>
        <v/>
      </c>
      <c r="AL71" s="42">
        <f>AL68-AL70</f>
        <v/>
      </c>
      <c r="AM71" s="42">
        <f>AM68-AM70</f>
        <v/>
      </c>
      <c r="AN71" s="42">
        <f>AN68-AN70</f>
        <v/>
      </c>
      <c r="AO71" s="42">
        <f>AO68-AO70</f>
        <v/>
      </c>
      <c r="AP71" s="42">
        <f>AP68-AP70</f>
        <v/>
      </c>
      <c r="AQ71" s="42">
        <f>AQ68-AQ70</f>
        <v/>
      </c>
      <c r="AR71" s="42">
        <f>AR68-AR70</f>
        <v/>
      </c>
      <c r="AS71" s="42">
        <f>AS68-AS70</f>
        <v/>
      </c>
      <c r="AT71" s="42">
        <f>AT68-AT70</f>
        <v/>
      </c>
      <c r="AU71" s="42">
        <f>AU68-AU70</f>
        <v/>
      </c>
      <c r="AV71" s="42">
        <f>AV68-AV70</f>
        <v/>
      </c>
      <c r="AW71" s="42">
        <f>AW68-AW70</f>
        <v/>
      </c>
      <c r="AX71" s="42">
        <f>AX68-AX70</f>
        <v/>
      </c>
      <c r="AY71" s="42">
        <f>AY68-AY70</f>
        <v/>
      </c>
      <c r="AZ71" s="42">
        <f>AZ68-AZ70</f>
        <v/>
      </c>
      <c r="BA71" s="42">
        <f>BA68-BA70</f>
        <v/>
      </c>
      <c r="BB71" s="42">
        <f>BB68-BB70</f>
        <v/>
      </c>
      <c r="BC71" s="42">
        <f>BC68-BC70</f>
        <v/>
      </c>
      <c r="BD71" s="42">
        <f>BD68-BD70</f>
        <v/>
      </c>
      <c r="BE71" s="42">
        <f>BE68-BE70</f>
        <v/>
      </c>
      <c r="BF71" s="42">
        <f>BF68-BF70</f>
        <v/>
      </c>
      <c r="BG71" s="42">
        <f>BG68-BG70</f>
        <v/>
      </c>
      <c r="BH71" s="42">
        <f>BH68-BH70</f>
        <v/>
      </c>
      <c r="BI71" s="42">
        <f>BI68-BI70</f>
        <v/>
      </c>
    </row>
    <row r="72">
      <c r="A72" s="10" t="inlineStr">
        <is>
          <t>Денежный остаток на конец</t>
        </is>
      </c>
      <c r="B72" s="43">
        <f>B51+B71</f>
        <v/>
      </c>
      <c r="C72" s="43">
        <f>C51+C71</f>
        <v/>
      </c>
      <c r="D72" s="43">
        <f>D51+D71</f>
        <v/>
      </c>
      <c r="E72" s="43">
        <f>E51+E71</f>
        <v/>
      </c>
      <c r="F72" s="43">
        <f>F51+F71</f>
        <v/>
      </c>
      <c r="G72" s="43">
        <f>G51+G71</f>
        <v/>
      </c>
      <c r="H72" s="43">
        <f>H51+H71</f>
        <v/>
      </c>
      <c r="I72" s="43">
        <f>I51+I71</f>
        <v/>
      </c>
      <c r="J72" s="43">
        <f>J51+J71</f>
        <v/>
      </c>
      <c r="K72" s="43">
        <f>K51+K71</f>
        <v/>
      </c>
      <c r="L72" s="43">
        <f>L51+L71</f>
        <v/>
      </c>
      <c r="M72" s="43">
        <f>M51+M71</f>
        <v/>
      </c>
      <c r="N72" s="43">
        <f>N51+N71</f>
        <v/>
      </c>
      <c r="O72" s="43">
        <f>O51+O71</f>
        <v/>
      </c>
      <c r="P72" s="43">
        <f>P51+P71</f>
        <v/>
      </c>
      <c r="Q72" s="43">
        <f>Q51+Q71</f>
        <v/>
      </c>
      <c r="R72" s="43">
        <f>R51+R71</f>
        <v/>
      </c>
      <c r="S72" s="43">
        <f>S51+S71</f>
        <v/>
      </c>
      <c r="T72" s="43">
        <f>T51+T71</f>
        <v/>
      </c>
      <c r="U72" s="43">
        <f>U51+U71</f>
        <v/>
      </c>
      <c r="V72" s="43">
        <f>V51+V71</f>
        <v/>
      </c>
      <c r="W72" s="43">
        <f>W51+W71</f>
        <v/>
      </c>
      <c r="X72" s="43">
        <f>X51+X71</f>
        <v/>
      </c>
      <c r="Y72" s="43">
        <f>Y51+Y71</f>
        <v/>
      </c>
      <c r="Z72" s="43">
        <f>Z51+Z71</f>
        <v/>
      </c>
      <c r="AA72" s="43">
        <f>AA51+AA71</f>
        <v/>
      </c>
      <c r="AB72" s="43">
        <f>AB51+AB71</f>
        <v/>
      </c>
      <c r="AC72" s="43">
        <f>AC51+AC71</f>
        <v/>
      </c>
      <c r="AD72" s="43">
        <f>AD51+AD71</f>
        <v/>
      </c>
      <c r="AE72" s="43">
        <f>AE51+AE71</f>
        <v/>
      </c>
      <c r="AF72" s="43">
        <f>AF51+AF71</f>
        <v/>
      </c>
      <c r="AG72" s="43">
        <f>AG51+AG71</f>
        <v/>
      </c>
      <c r="AH72" s="43">
        <f>AH51+AH71</f>
        <v/>
      </c>
      <c r="AI72" s="43">
        <f>AI51+AI71</f>
        <v/>
      </c>
      <c r="AJ72" s="43">
        <f>AJ51+AJ71</f>
        <v/>
      </c>
      <c r="AK72" s="43">
        <f>AK51+AK71</f>
        <v/>
      </c>
      <c r="AL72" s="43">
        <f>AL51+AL71</f>
        <v/>
      </c>
      <c r="AM72" s="43">
        <f>AM51+AM71</f>
        <v/>
      </c>
      <c r="AN72" s="43">
        <f>AN51+AN71</f>
        <v/>
      </c>
      <c r="AO72" s="43">
        <f>AO51+AO71</f>
        <v/>
      </c>
      <c r="AP72" s="43">
        <f>AP51+AP71</f>
        <v/>
      </c>
      <c r="AQ72" s="43">
        <f>AQ51+AQ71</f>
        <v/>
      </c>
      <c r="AR72" s="43">
        <f>AR51+AR71</f>
        <v/>
      </c>
      <c r="AS72" s="43">
        <f>AS51+AS71</f>
        <v/>
      </c>
      <c r="AT72" s="43">
        <f>AT51+AT71</f>
        <v/>
      </c>
      <c r="AU72" s="43">
        <f>AU51+AU71</f>
        <v/>
      </c>
      <c r="AV72" s="43">
        <f>AV51+AV71</f>
        <v/>
      </c>
      <c r="AW72" s="43">
        <f>AW51+AW71</f>
        <v/>
      </c>
      <c r="AX72" s="43">
        <f>AX51+AX71</f>
        <v/>
      </c>
      <c r="AY72" s="43">
        <f>AY51+AY71</f>
        <v/>
      </c>
      <c r="AZ72" s="43">
        <f>AZ51+AZ71</f>
        <v/>
      </c>
      <c r="BA72" s="43">
        <f>BA51+BA71</f>
        <v/>
      </c>
      <c r="BB72" s="43">
        <f>BB51+BB71</f>
        <v/>
      </c>
      <c r="BC72" s="43">
        <f>BC51+BC71</f>
        <v/>
      </c>
      <c r="BD72" s="43">
        <f>BD51+BD71</f>
        <v/>
      </c>
      <c r="BE72" s="43">
        <f>BE51+BE71</f>
        <v/>
      </c>
      <c r="BF72" s="43">
        <f>BF51+BF71</f>
        <v/>
      </c>
      <c r="BG72" s="43">
        <f>BG51+BG71</f>
        <v/>
      </c>
      <c r="BH72" s="43">
        <f>BH51+BH71</f>
        <v/>
      </c>
      <c r="BI72" s="43">
        <f>BI51+BI71</f>
        <v/>
      </c>
    </row>
    <row r="73">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c r="AA73" s="73" t="n"/>
      <c r="AB73" s="73" t="n"/>
      <c r="AC73" s="73" t="n"/>
      <c r="AD73" s="73" t="n"/>
      <c r="AE73" s="73" t="n"/>
      <c r="AF73" s="73" t="n"/>
      <c r="AG73" s="73" t="n"/>
      <c r="AH73" s="73" t="n"/>
      <c r="AI73" s="73" t="n"/>
      <c r="AJ73" s="73" t="n"/>
      <c r="AK73" s="73" t="n"/>
      <c r="AL73" s="73" t="n"/>
      <c r="AM73" s="73" t="n"/>
      <c r="AN73" s="73" t="n"/>
      <c r="AO73" s="73" t="n"/>
      <c r="AP73" s="73" t="n"/>
      <c r="AQ73" s="73" t="n"/>
      <c r="AR73" s="73" t="n"/>
      <c r="AS73" s="73" t="n"/>
      <c r="AT73" s="73" t="n"/>
      <c r="AU73" s="73" t="n"/>
      <c r="AV73" s="73" t="n"/>
      <c r="AW73" s="73" t="n"/>
      <c r="AX73" s="73" t="n"/>
      <c r="AY73" s="73" t="n"/>
      <c r="AZ73" s="73" t="n"/>
      <c r="BA73" s="73" t="n"/>
      <c r="BB73" s="73" t="n"/>
      <c r="BC73" s="73" t="n"/>
      <c r="BD73" s="73" t="n"/>
      <c r="BE73" s="73" t="n"/>
      <c r="BF73" s="73" t="n"/>
      <c r="BG73" s="73" t="n"/>
      <c r="BH73" s="73" t="n"/>
      <c r="BI73" s="73" t="n"/>
    </row>
    <row r="74" ht="20" customHeight="1">
      <c r="A74" s="4" t="inlineStr">
        <is>
          <t>Контроль оборотного капитала</t>
        </is>
      </c>
    </row>
    <row r="75">
      <c r="A75" s="2" t="inlineStr">
        <is>
          <t>Займ на конец</t>
        </is>
      </c>
      <c r="B75" s="40">
        <f>'07_Мерч'!B32</f>
        <v/>
      </c>
      <c r="C75" s="40">
        <f>'07_Мерч'!C32</f>
        <v/>
      </c>
      <c r="D75" s="40">
        <f>'07_Мерч'!D32</f>
        <v/>
      </c>
      <c r="E75" s="40">
        <f>'07_Мерч'!E32</f>
        <v/>
      </c>
      <c r="F75" s="40">
        <f>'07_Мерч'!F32</f>
        <v/>
      </c>
      <c r="G75" s="40">
        <f>'07_Мерч'!G32</f>
        <v/>
      </c>
      <c r="H75" s="40">
        <f>'07_Мерч'!H32</f>
        <v/>
      </c>
      <c r="I75" s="40">
        <f>'07_Мерч'!I32</f>
        <v/>
      </c>
      <c r="J75" s="40">
        <f>'07_Мерч'!J32</f>
        <v/>
      </c>
      <c r="K75" s="40">
        <f>'07_Мерч'!K32</f>
        <v/>
      </c>
      <c r="L75" s="40">
        <f>'07_Мерч'!L32</f>
        <v/>
      </c>
      <c r="M75" s="40">
        <f>'07_Мерч'!M32</f>
        <v/>
      </c>
      <c r="N75" s="40">
        <f>'07_Мерч'!N32</f>
        <v/>
      </c>
      <c r="O75" s="40">
        <f>'07_Мерч'!O32</f>
        <v/>
      </c>
      <c r="P75" s="40">
        <f>'07_Мерч'!P32</f>
        <v/>
      </c>
      <c r="Q75" s="40">
        <f>'07_Мерч'!Q32</f>
        <v/>
      </c>
      <c r="R75" s="40">
        <f>'07_Мерч'!R32</f>
        <v/>
      </c>
      <c r="S75" s="40">
        <f>'07_Мерч'!S32</f>
        <v/>
      </c>
      <c r="T75" s="40">
        <f>'07_Мерч'!T32</f>
        <v/>
      </c>
      <c r="U75" s="40">
        <f>'07_Мерч'!U32</f>
        <v/>
      </c>
      <c r="V75" s="40">
        <f>'07_Мерч'!V32</f>
        <v/>
      </c>
      <c r="W75" s="40">
        <f>'07_Мерч'!W32</f>
        <v/>
      </c>
      <c r="X75" s="40">
        <f>'07_Мерч'!X32</f>
        <v/>
      </c>
      <c r="Y75" s="40">
        <f>'07_Мерч'!Y32</f>
        <v/>
      </c>
      <c r="Z75" s="40">
        <f>'07_Мерч'!Z32</f>
        <v/>
      </c>
      <c r="AA75" s="40">
        <f>'07_Мерч'!AA32</f>
        <v/>
      </c>
      <c r="AB75" s="40">
        <f>'07_Мерч'!AB32</f>
        <v/>
      </c>
      <c r="AC75" s="40">
        <f>'07_Мерч'!AC32</f>
        <v/>
      </c>
      <c r="AD75" s="40">
        <f>'07_Мерч'!AD32</f>
        <v/>
      </c>
      <c r="AE75" s="40">
        <f>'07_Мерч'!AE32</f>
        <v/>
      </c>
      <c r="AF75" s="40">
        <f>'07_Мерч'!AF32</f>
        <v/>
      </c>
      <c r="AG75" s="40">
        <f>'07_Мерч'!AG32</f>
        <v/>
      </c>
      <c r="AH75" s="40">
        <f>'07_Мерч'!AH32</f>
        <v/>
      </c>
      <c r="AI75" s="40">
        <f>'07_Мерч'!AI32</f>
        <v/>
      </c>
      <c r="AJ75" s="40">
        <f>'07_Мерч'!AJ32</f>
        <v/>
      </c>
      <c r="AK75" s="40">
        <f>'07_Мерч'!AK32</f>
        <v/>
      </c>
      <c r="AL75" s="40">
        <f>'07_Мерч'!AL32</f>
        <v/>
      </c>
      <c r="AM75" s="40">
        <f>'07_Мерч'!AM32</f>
        <v/>
      </c>
      <c r="AN75" s="40">
        <f>'07_Мерч'!AN32</f>
        <v/>
      </c>
      <c r="AO75" s="40">
        <f>'07_Мерч'!AO32</f>
        <v/>
      </c>
      <c r="AP75" s="40">
        <f>'07_Мерч'!AP32</f>
        <v/>
      </c>
      <c r="AQ75" s="40">
        <f>'07_Мерч'!AQ32</f>
        <v/>
      </c>
      <c r="AR75" s="40">
        <f>'07_Мерч'!AR32</f>
        <v/>
      </c>
      <c r="AS75" s="40">
        <f>'07_Мерч'!AS32</f>
        <v/>
      </c>
      <c r="AT75" s="40">
        <f>'07_Мерч'!AT32</f>
        <v/>
      </c>
      <c r="AU75" s="40">
        <f>'07_Мерч'!AU32</f>
        <v/>
      </c>
      <c r="AV75" s="40">
        <f>'07_Мерч'!AV32</f>
        <v/>
      </c>
      <c r="AW75" s="40">
        <f>'07_Мерч'!AW32</f>
        <v/>
      </c>
      <c r="AX75" s="40">
        <f>'07_Мерч'!AX32</f>
        <v/>
      </c>
      <c r="AY75" s="40">
        <f>'07_Мерч'!AY32</f>
        <v/>
      </c>
      <c r="AZ75" s="40">
        <f>'07_Мерч'!AZ32</f>
        <v/>
      </c>
      <c r="BA75" s="40">
        <f>'07_Мерч'!BA32</f>
        <v/>
      </c>
      <c r="BB75" s="40">
        <f>'07_Мерч'!BB32</f>
        <v/>
      </c>
      <c r="BC75" s="40">
        <f>'07_Мерч'!BC32</f>
        <v/>
      </c>
      <c r="BD75" s="40">
        <f>'07_Мерч'!BD32</f>
        <v/>
      </c>
      <c r="BE75" s="40">
        <f>'07_Мерч'!BE32</f>
        <v/>
      </c>
      <c r="BF75" s="40">
        <f>'07_Мерч'!BF32</f>
        <v/>
      </c>
      <c r="BG75" s="40">
        <f>'07_Мерч'!BG32</f>
        <v/>
      </c>
      <c r="BH75" s="40">
        <f>'07_Мерч'!BH32</f>
        <v/>
      </c>
      <c r="BI75" s="40">
        <f>'07_Мерч'!BI32</f>
        <v/>
      </c>
    </row>
    <row r="76">
      <c r="A76" s="2" t="inlineStr">
        <is>
          <t>Склад на конец</t>
        </is>
      </c>
      <c r="B76" s="40">
        <f>'07_Мерч'!B26</f>
        <v/>
      </c>
      <c r="C76" s="40">
        <f>'07_Мерч'!C26</f>
        <v/>
      </c>
      <c r="D76" s="40">
        <f>'07_Мерч'!D26</f>
        <v/>
      </c>
      <c r="E76" s="40">
        <f>'07_Мерч'!E26</f>
        <v/>
      </c>
      <c r="F76" s="40">
        <f>'07_Мерч'!F26</f>
        <v/>
      </c>
      <c r="G76" s="40">
        <f>'07_Мерч'!G26</f>
        <v/>
      </c>
      <c r="H76" s="40">
        <f>'07_Мерч'!H26</f>
        <v/>
      </c>
      <c r="I76" s="40">
        <f>'07_Мерч'!I26</f>
        <v/>
      </c>
      <c r="J76" s="40">
        <f>'07_Мерч'!J26</f>
        <v/>
      </c>
      <c r="K76" s="40">
        <f>'07_Мерч'!K26</f>
        <v/>
      </c>
      <c r="L76" s="40">
        <f>'07_Мерч'!L26</f>
        <v/>
      </c>
      <c r="M76" s="40">
        <f>'07_Мерч'!M26</f>
        <v/>
      </c>
      <c r="N76" s="40">
        <f>'07_Мерч'!N26</f>
        <v/>
      </c>
      <c r="O76" s="40">
        <f>'07_Мерч'!O26</f>
        <v/>
      </c>
      <c r="P76" s="40">
        <f>'07_Мерч'!P26</f>
        <v/>
      </c>
      <c r="Q76" s="40">
        <f>'07_Мерч'!Q26</f>
        <v/>
      </c>
      <c r="R76" s="40">
        <f>'07_Мерч'!R26</f>
        <v/>
      </c>
      <c r="S76" s="40">
        <f>'07_Мерч'!S26</f>
        <v/>
      </c>
      <c r="T76" s="40">
        <f>'07_Мерч'!T26</f>
        <v/>
      </c>
      <c r="U76" s="40">
        <f>'07_Мерч'!U26</f>
        <v/>
      </c>
      <c r="V76" s="40">
        <f>'07_Мерч'!V26</f>
        <v/>
      </c>
      <c r="W76" s="40">
        <f>'07_Мерч'!W26</f>
        <v/>
      </c>
      <c r="X76" s="40">
        <f>'07_Мерч'!X26</f>
        <v/>
      </c>
      <c r="Y76" s="40">
        <f>'07_Мерч'!Y26</f>
        <v/>
      </c>
      <c r="Z76" s="40">
        <f>'07_Мерч'!Z26</f>
        <v/>
      </c>
      <c r="AA76" s="40">
        <f>'07_Мерч'!AA26</f>
        <v/>
      </c>
      <c r="AB76" s="40">
        <f>'07_Мерч'!AB26</f>
        <v/>
      </c>
      <c r="AC76" s="40">
        <f>'07_Мерч'!AC26</f>
        <v/>
      </c>
      <c r="AD76" s="40">
        <f>'07_Мерч'!AD26</f>
        <v/>
      </c>
      <c r="AE76" s="40">
        <f>'07_Мерч'!AE26</f>
        <v/>
      </c>
      <c r="AF76" s="40">
        <f>'07_Мерч'!AF26</f>
        <v/>
      </c>
      <c r="AG76" s="40">
        <f>'07_Мерч'!AG26</f>
        <v/>
      </c>
      <c r="AH76" s="40">
        <f>'07_Мерч'!AH26</f>
        <v/>
      </c>
      <c r="AI76" s="40">
        <f>'07_Мерч'!AI26</f>
        <v/>
      </c>
      <c r="AJ76" s="40">
        <f>'07_Мерч'!AJ26</f>
        <v/>
      </c>
      <c r="AK76" s="40">
        <f>'07_Мерч'!AK26</f>
        <v/>
      </c>
      <c r="AL76" s="40">
        <f>'07_Мерч'!AL26</f>
        <v/>
      </c>
      <c r="AM76" s="40">
        <f>'07_Мерч'!AM26</f>
        <v/>
      </c>
      <c r="AN76" s="40">
        <f>'07_Мерч'!AN26</f>
        <v/>
      </c>
      <c r="AO76" s="40">
        <f>'07_Мерч'!AO26</f>
        <v/>
      </c>
      <c r="AP76" s="40">
        <f>'07_Мерч'!AP26</f>
        <v/>
      </c>
      <c r="AQ76" s="40">
        <f>'07_Мерч'!AQ26</f>
        <v/>
      </c>
      <c r="AR76" s="40">
        <f>'07_Мерч'!AR26</f>
        <v/>
      </c>
      <c r="AS76" s="40">
        <f>'07_Мерч'!AS26</f>
        <v/>
      </c>
      <c r="AT76" s="40">
        <f>'07_Мерч'!AT26</f>
        <v/>
      </c>
      <c r="AU76" s="40">
        <f>'07_Мерч'!AU26</f>
        <v/>
      </c>
      <c r="AV76" s="40">
        <f>'07_Мерч'!AV26</f>
        <v/>
      </c>
      <c r="AW76" s="40">
        <f>'07_Мерч'!AW26</f>
        <v/>
      </c>
      <c r="AX76" s="40">
        <f>'07_Мерч'!AX26</f>
        <v/>
      </c>
      <c r="AY76" s="40">
        <f>'07_Мерч'!AY26</f>
        <v/>
      </c>
      <c r="AZ76" s="40">
        <f>'07_Мерч'!AZ26</f>
        <v/>
      </c>
      <c r="BA76" s="40">
        <f>'07_Мерч'!BA26</f>
        <v/>
      </c>
      <c r="BB76" s="40">
        <f>'07_Мерч'!BB26</f>
        <v/>
      </c>
      <c r="BC76" s="40">
        <f>'07_Мерч'!BC26</f>
        <v/>
      </c>
      <c r="BD76" s="40">
        <f>'07_Мерч'!BD26</f>
        <v/>
      </c>
      <c r="BE76" s="40">
        <f>'07_Мерч'!BE26</f>
        <v/>
      </c>
      <c r="BF76" s="40">
        <f>'07_Мерч'!BF26</f>
        <v/>
      </c>
      <c r="BG76" s="40">
        <f>'07_Мерч'!BG26</f>
        <v/>
      </c>
      <c r="BH76" s="40">
        <f>'07_Мерч'!BH26</f>
        <v/>
      </c>
      <c r="BI76" s="40">
        <f>'07_Мерч'!BI26</f>
        <v/>
      </c>
    </row>
    <row r="77">
      <c r="A77" s="2" t="inlineStr">
        <is>
          <t>Целевой запас 6 мес.</t>
        </is>
      </c>
      <c r="B77" s="40">
        <f>'07_Мерч'!B24</f>
        <v/>
      </c>
      <c r="C77" s="40">
        <f>'07_Мерч'!C24</f>
        <v/>
      </c>
      <c r="D77" s="40">
        <f>'07_Мерч'!D24</f>
        <v/>
      </c>
      <c r="E77" s="40">
        <f>'07_Мерч'!E24</f>
        <v/>
      </c>
      <c r="F77" s="40">
        <f>'07_Мерч'!F24</f>
        <v/>
      </c>
      <c r="G77" s="40">
        <f>'07_Мерч'!G24</f>
        <v/>
      </c>
      <c r="H77" s="40">
        <f>'07_Мерч'!H24</f>
        <v/>
      </c>
      <c r="I77" s="40">
        <f>'07_Мерч'!I24</f>
        <v/>
      </c>
      <c r="J77" s="40">
        <f>'07_Мерч'!J24</f>
        <v/>
      </c>
      <c r="K77" s="40">
        <f>'07_Мерч'!K24</f>
        <v/>
      </c>
      <c r="L77" s="40">
        <f>'07_Мерч'!L24</f>
        <v/>
      </c>
      <c r="M77" s="40">
        <f>'07_Мерч'!M24</f>
        <v/>
      </c>
      <c r="N77" s="40">
        <f>'07_Мерч'!N24</f>
        <v/>
      </c>
      <c r="O77" s="40">
        <f>'07_Мерч'!O24</f>
        <v/>
      </c>
      <c r="P77" s="40">
        <f>'07_Мерч'!P24</f>
        <v/>
      </c>
      <c r="Q77" s="40">
        <f>'07_Мерч'!Q24</f>
        <v/>
      </c>
      <c r="R77" s="40">
        <f>'07_Мерч'!R24</f>
        <v/>
      </c>
      <c r="S77" s="40">
        <f>'07_Мерч'!S24</f>
        <v/>
      </c>
      <c r="T77" s="40">
        <f>'07_Мерч'!T24</f>
        <v/>
      </c>
      <c r="U77" s="40">
        <f>'07_Мерч'!U24</f>
        <v/>
      </c>
      <c r="V77" s="40">
        <f>'07_Мерч'!V24</f>
        <v/>
      </c>
      <c r="W77" s="40">
        <f>'07_Мерч'!W24</f>
        <v/>
      </c>
      <c r="X77" s="40">
        <f>'07_Мерч'!X24</f>
        <v/>
      </c>
      <c r="Y77" s="40">
        <f>'07_Мерч'!Y24</f>
        <v/>
      </c>
      <c r="Z77" s="40">
        <f>'07_Мерч'!Z24</f>
        <v/>
      </c>
      <c r="AA77" s="40">
        <f>'07_Мерч'!AA24</f>
        <v/>
      </c>
      <c r="AB77" s="40">
        <f>'07_Мерч'!AB24</f>
        <v/>
      </c>
      <c r="AC77" s="40">
        <f>'07_Мерч'!AC24</f>
        <v/>
      </c>
      <c r="AD77" s="40">
        <f>'07_Мерч'!AD24</f>
        <v/>
      </c>
      <c r="AE77" s="40">
        <f>'07_Мерч'!AE24</f>
        <v/>
      </c>
      <c r="AF77" s="40">
        <f>'07_Мерч'!AF24</f>
        <v/>
      </c>
      <c r="AG77" s="40">
        <f>'07_Мерч'!AG24</f>
        <v/>
      </c>
      <c r="AH77" s="40">
        <f>'07_Мерч'!AH24</f>
        <v/>
      </c>
      <c r="AI77" s="40">
        <f>'07_Мерч'!AI24</f>
        <v/>
      </c>
      <c r="AJ77" s="40">
        <f>'07_Мерч'!AJ24</f>
        <v/>
      </c>
      <c r="AK77" s="40">
        <f>'07_Мерч'!AK24</f>
        <v/>
      </c>
      <c r="AL77" s="40">
        <f>'07_Мерч'!AL24</f>
        <v/>
      </c>
      <c r="AM77" s="40">
        <f>'07_Мерч'!AM24</f>
        <v/>
      </c>
      <c r="AN77" s="40">
        <f>'07_Мерч'!AN24</f>
        <v/>
      </c>
      <c r="AO77" s="40">
        <f>'07_Мерч'!AO24</f>
        <v/>
      </c>
      <c r="AP77" s="40">
        <f>'07_Мерч'!AP24</f>
        <v/>
      </c>
      <c r="AQ77" s="40">
        <f>'07_Мерч'!AQ24</f>
        <v/>
      </c>
      <c r="AR77" s="40">
        <f>'07_Мерч'!AR24</f>
        <v/>
      </c>
      <c r="AS77" s="40">
        <f>'07_Мерч'!AS24</f>
        <v/>
      </c>
      <c r="AT77" s="40">
        <f>'07_Мерч'!AT24</f>
        <v/>
      </c>
      <c r="AU77" s="40">
        <f>'07_Мерч'!AU24</f>
        <v/>
      </c>
      <c r="AV77" s="40">
        <f>'07_Мерч'!AV24</f>
        <v/>
      </c>
      <c r="AW77" s="40">
        <f>'07_Мерч'!AW24</f>
        <v/>
      </c>
      <c r="AX77" s="40">
        <f>'07_Мерч'!AX24</f>
        <v/>
      </c>
      <c r="AY77" s="40">
        <f>'07_Мерч'!AY24</f>
        <v/>
      </c>
      <c r="AZ77" s="40">
        <f>'07_Мерч'!AZ24</f>
        <v/>
      </c>
      <c r="BA77" s="40">
        <f>'07_Мерч'!BA24</f>
        <v/>
      </c>
      <c r="BB77" s="40">
        <f>'07_Мерч'!BB24</f>
        <v/>
      </c>
      <c r="BC77" s="40">
        <f>'07_Мерч'!BC24</f>
        <v/>
      </c>
      <c r="BD77" s="40">
        <f>'07_Мерч'!BD24</f>
        <v/>
      </c>
      <c r="BE77" s="40">
        <f>'07_Мерч'!BE24</f>
        <v/>
      </c>
      <c r="BF77" s="40">
        <f>'07_Мерч'!BF24</f>
        <v/>
      </c>
      <c r="BG77" s="40">
        <f>'07_Мерч'!BG24</f>
        <v/>
      </c>
      <c r="BH77" s="40">
        <f>'07_Мерч'!BH24</f>
        <v/>
      </c>
      <c r="BI77" s="40">
        <f>'07_Мерч'!BI24</f>
        <v/>
      </c>
    </row>
    <row r="78">
      <c r="A78" s="2" t="inlineStr">
        <is>
          <t>Дефицит склада</t>
        </is>
      </c>
      <c r="B78" s="40">
        <f>'07_Мерч'!B27</f>
        <v/>
      </c>
      <c r="C78" s="40">
        <f>'07_Мерч'!C27</f>
        <v/>
      </c>
      <c r="D78" s="40">
        <f>'07_Мерч'!D27</f>
        <v/>
      </c>
      <c r="E78" s="40">
        <f>'07_Мерч'!E27</f>
        <v/>
      </c>
      <c r="F78" s="40">
        <f>'07_Мерч'!F27</f>
        <v/>
      </c>
      <c r="G78" s="40">
        <f>'07_Мерч'!G27</f>
        <v/>
      </c>
      <c r="H78" s="40">
        <f>'07_Мерч'!H27</f>
        <v/>
      </c>
      <c r="I78" s="40">
        <f>'07_Мерч'!I27</f>
        <v/>
      </c>
      <c r="J78" s="40">
        <f>'07_Мерч'!J27</f>
        <v/>
      </c>
      <c r="K78" s="40">
        <f>'07_Мерч'!K27</f>
        <v/>
      </c>
      <c r="L78" s="40">
        <f>'07_Мерч'!L27</f>
        <v/>
      </c>
      <c r="M78" s="40">
        <f>'07_Мерч'!M27</f>
        <v/>
      </c>
      <c r="N78" s="40">
        <f>'07_Мерч'!N27</f>
        <v/>
      </c>
      <c r="O78" s="40">
        <f>'07_Мерч'!O27</f>
        <v/>
      </c>
      <c r="P78" s="40">
        <f>'07_Мерч'!P27</f>
        <v/>
      </c>
      <c r="Q78" s="40">
        <f>'07_Мерч'!Q27</f>
        <v/>
      </c>
      <c r="R78" s="40">
        <f>'07_Мерч'!R27</f>
        <v/>
      </c>
      <c r="S78" s="40">
        <f>'07_Мерч'!S27</f>
        <v/>
      </c>
      <c r="T78" s="40">
        <f>'07_Мерч'!T27</f>
        <v/>
      </c>
      <c r="U78" s="40">
        <f>'07_Мерч'!U27</f>
        <v/>
      </c>
      <c r="V78" s="40">
        <f>'07_Мерч'!V27</f>
        <v/>
      </c>
      <c r="W78" s="40">
        <f>'07_Мерч'!W27</f>
        <v/>
      </c>
      <c r="X78" s="40">
        <f>'07_Мерч'!X27</f>
        <v/>
      </c>
      <c r="Y78" s="40">
        <f>'07_Мерч'!Y27</f>
        <v/>
      </c>
      <c r="Z78" s="40">
        <f>'07_Мерч'!Z27</f>
        <v/>
      </c>
      <c r="AA78" s="40">
        <f>'07_Мерч'!AA27</f>
        <v/>
      </c>
      <c r="AB78" s="40">
        <f>'07_Мерч'!AB27</f>
        <v/>
      </c>
      <c r="AC78" s="40">
        <f>'07_Мерч'!AC27</f>
        <v/>
      </c>
      <c r="AD78" s="40">
        <f>'07_Мерч'!AD27</f>
        <v/>
      </c>
      <c r="AE78" s="40">
        <f>'07_Мерч'!AE27</f>
        <v/>
      </c>
      <c r="AF78" s="40">
        <f>'07_Мерч'!AF27</f>
        <v/>
      </c>
      <c r="AG78" s="40">
        <f>'07_Мерч'!AG27</f>
        <v/>
      </c>
      <c r="AH78" s="40">
        <f>'07_Мерч'!AH27</f>
        <v/>
      </c>
      <c r="AI78" s="40">
        <f>'07_Мерч'!AI27</f>
        <v/>
      </c>
      <c r="AJ78" s="40">
        <f>'07_Мерч'!AJ27</f>
        <v/>
      </c>
      <c r="AK78" s="40">
        <f>'07_Мерч'!AK27</f>
        <v/>
      </c>
      <c r="AL78" s="40">
        <f>'07_Мерч'!AL27</f>
        <v/>
      </c>
      <c r="AM78" s="40">
        <f>'07_Мерч'!AM27</f>
        <v/>
      </c>
      <c r="AN78" s="40">
        <f>'07_Мерч'!AN27</f>
        <v/>
      </c>
      <c r="AO78" s="40">
        <f>'07_Мерч'!AO27</f>
        <v/>
      </c>
      <c r="AP78" s="40">
        <f>'07_Мерч'!AP27</f>
        <v/>
      </c>
      <c r="AQ78" s="40">
        <f>'07_Мерч'!AQ27</f>
        <v/>
      </c>
      <c r="AR78" s="40">
        <f>'07_Мерч'!AR27</f>
        <v/>
      </c>
      <c r="AS78" s="40">
        <f>'07_Мерч'!AS27</f>
        <v/>
      </c>
      <c r="AT78" s="40">
        <f>'07_Мерч'!AT27</f>
        <v/>
      </c>
      <c r="AU78" s="40">
        <f>'07_Мерч'!AU27</f>
        <v/>
      </c>
      <c r="AV78" s="40">
        <f>'07_Мерч'!AV27</f>
        <v/>
      </c>
      <c r="AW78" s="40">
        <f>'07_Мерч'!AW27</f>
        <v/>
      </c>
      <c r="AX78" s="40">
        <f>'07_Мерч'!AX27</f>
        <v/>
      </c>
      <c r="AY78" s="40">
        <f>'07_Мерч'!AY27</f>
        <v/>
      </c>
      <c r="AZ78" s="40">
        <f>'07_Мерч'!AZ27</f>
        <v/>
      </c>
      <c r="BA78" s="40">
        <f>'07_Мерч'!BA27</f>
        <v/>
      </c>
      <c r="BB78" s="40">
        <f>'07_Мерч'!BB27</f>
        <v/>
      </c>
      <c r="BC78" s="40">
        <f>'07_Мерч'!BC27</f>
        <v/>
      </c>
      <c r="BD78" s="40">
        <f>'07_Мерч'!BD27</f>
        <v/>
      </c>
      <c r="BE78" s="40">
        <f>'07_Мерч'!BE27</f>
        <v/>
      </c>
      <c r="BF78" s="40">
        <f>'07_Мерч'!BF27</f>
        <v/>
      </c>
      <c r="BG78" s="40">
        <f>'07_Мерч'!BG27</f>
        <v/>
      </c>
      <c r="BH78" s="40">
        <f>'07_Мерч'!BH27</f>
        <v/>
      </c>
      <c r="BI78" s="40">
        <f>'07_Мерч'!BI27</f>
        <v/>
      </c>
    </row>
    <row r="79">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c r="AA79" s="73" t="n"/>
      <c r="AB79" s="73" t="n"/>
      <c r="AC79" s="73" t="n"/>
      <c r="AD79" s="73" t="n"/>
      <c r="AE79" s="73" t="n"/>
      <c r="AF79" s="73" t="n"/>
      <c r="AG79" s="73" t="n"/>
      <c r="AH79" s="73" t="n"/>
      <c r="AI79" s="73" t="n"/>
      <c r="AJ79" s="73" t="n"/>
      <c r="AK79" s="73" t="n"/>
      <c r="AL79" s="73" t="n"/>
      <c r="AM79" s="73" t="n"/>
      <c r="AN79" s="73" t="n"/>
      <c r="AO79" s="73" t="n"/>
      <c r="AP79" s="73" t="n"/>
      <c r="AQ79" s="73" t="n"/>
      <c r="AR79" s="73" t="n"/>
      <c r="AS79" s="73" t="n"/>
      <c r="AT79" s="73" t="n"/>
      <c r="AU79" s="73" t="n"/>
      <c r="AV79" s="73" t="n"/>
      <c r="AW79" s="73" t="n"/>
      <c r="AX79" s="73" t="n"/>
      <c r="AY79" s="73" t="n"/>
      <c r="AZ79" s="73" t="n"/>
      <c r="BA79" s="73" t="n"/>
      <c r="BB79" s="73" t="n"/>
      <c r="BC79" s="73" t="n"/>
      <c r="BD79" s="73" t="n"/>
      <c r="BE79" s="73" t="n"/>
      <c r="BF79" s="73" t="n"/>
      <c r="BG79" s="73" t="n"/>
      <c r="BH79" s="73" t="n"/>
      <c r="BI79" s="73" t="n"/>
    </row>
    <row r="80">
      <c r="A80" t="inlineStr">
        <is>
          <t>Дебиторка роялти на конец (без НДС)</t>
        </is>
      </c>
      <c r="B80" s="129">
        <f>0+B19+B20-B53/(1+'01_Вводные'!$B$58)</f>
        <v/>
      </c>
      <c r="C80" s="129">
        <f>B80+C19+C20-C53/(1+'01_Вводные'!$B$58)</f>
        <v/>
      </c>
      <c r="D80" s="129">
        <f>C80+D19+D20-D53/(1+'01_Вводные'!$B$58)</f>
        <v/>
      </c>
      <c r="E80" s="129">
        <f>D80+E19+E20-E53/(1+'01_Вводные'!$B$58)</f>
        <v/>
      </c>
      <c r="F80" s="129">
        <f>E80+F19+F20-F53/(1+'01_Вводные'!$B$58)</f>
        <v/>
      </c>
      <c r="G80" s="129">
        <f>F80+G19+G20-G53/(1+'01_Вводные'!$B$58)</f>
        <v/>
      </c>
      <c r="H80" s="129">
        <f>G80+H19+H20-H53/(1+'01_Вводные'!$B$58)</f>
        <v/>
      </c>
      <c r="I80" s="129">
        <f>H80+I19+I20-I53/(1+'01_Вводные'!$B$58)</f>
        <v/>
      </c>
      <c r="J80" s="129">
        <f>I80+J19+J20-J53/(1+'01_Вводные'!$B$58)</f>
        <v/>
      </c>
      <c r="K80" s="129">
        <f>J80+K19+K20-K53/(1+'01_Вводные'!$B$58)</f>
        <v/>
      </c>
      <c r="L80" s="129">
        <f>K80+L19+L20-L53/(1+'01_Вводные'!$B$58)</f>
        <v/>
      </c>
      <c r="M80" s="129">
        <f>L80+M19+M20-M53/(1+'01_Вводные'!$B$58)</f>
        <v/>
      </c>
      <c r="N80" s="129">
        <f>M80+N19+N20-N53/(1+'01_Вводные'!$B$58)</f>
        <v/>
      </c>
      <c r="O80" s="129">
        <f>N80+O19+O20-O53/(1+'01_Вводные'!$B$58)</f>
        <v/>
      </c>
      <c r="P80" s="129">
        <f>O80+P19+P20-P53/(1+'01_Вводные'!$B$58)</f>
        <v/>
      </c>
      <c r="Q80" s="129">
        <f>P80+Q19+Q20-Q53/(1+'01_Вводные'!$B$58)</f>
        <v/>
      </c>
      <c r="R80" s="129">
        <f>Q80+R19+R20-R53/(1+'01_Вводные'!$B$58)</f>
        <v/>
      </c>
      <c r="S80" s="129">
        <f>R80+S19+S20-S53/(1+'01_Вводные'!$B$58)</f>
        <v/>
      </c>
      <c r="T80" s="129">
        <f>S80+T19+T20-T53/(1+'01_Вводные'!$B$58)</f>
        <v/>
      </c>
      <c r="U80" s="129">
        <f>T80+U19+U20-U53/(1+'01_Вводные'!$B$58)</f>
        <v/>
      </c>
      <c r="V80" s="129">
        <f>U80+V19+V20-V53/(1+'01_Вводные'!$B$58)</f>
        <v/>
      </c>
      <c r="W80" s="129">
        <f>V80+W19+W20-W53/(1+'01_Вводные'!$B$58)</f>
        <v/>
      </c>
      <c r="X80" s="129">
        <f>W80+X19+X20-X53/(1+'01_Вводные'!$B$58)</f>
        <v/>
      </c>
      <c r="Y80" s="129">
        <f>X80+Y19+Y20-Y53/(1+'01_Вводные'!$B$58)</f>
        <v/>
      </c>
      <c r="Z80" s="129">
        <f>Y80+Z19+Z20-Z53/(1+'01_Вводные'!$B$58)</f>
        <v/>
      </c>
      <c r="AA80" s="129">
        <f>Z80+AA19+AA20-AA53/(1+'01_Вводные'!$B$58)</f>
        <v/>
      </c>
      <c r="AB80" s="129">
        <f>AA80+AB19+AB20-AB53/(1+'01_Вводные'!$B$58)</f>
        <v/>
      </c>
      <c r="AC80" s="129">
        <f>AB80+AC19+AC20-AC53/(1+'01_Вводные'!$B$58)</f>
        <v/>
      </c>
      <c r="AD80" s="129">
        <f>AC80+AD19+AD20-AD53/(1+'01_Вводные'!$B$58)</f>
        <v/>
      </c>
      <c r="AE80" s="129">
        <f>AD80+AE19+AE20-AE53/(1+'01_Вводные'!$B$58)</f>
        <v/>
      </c>
      <c r="AF80" s="129">
        <f>AE80+AF19+AF20-AF53/(1+'01_Вводные'!$B$58)</f>
        <v/>
      </c>
      <c r="AG80" s="129">
        <f>AF80+AG19+AG20-AG53/(1+'01_Вводные'!$B$58)</f>
        <v/>
      </c>
      <c r="AH80" s="129">
        <f>AG80+AH19+AH20-AH53/(1+'01_Вводные'!$B$58)</f>
        <v/>
      </c>
      <c r="AI80" s="129">
        <f>AH80+AI19+AI20-AI53/(1+'01_Вводные'!$B$58)</f>
        <v/>
      </c>
      <c r="AJ80" s="129">
        <f>AI80+AJ19+AJ20-AJ53/(1+'01_Вводные'!$B$58)</f>
        <v/>
      </c>
      <c r="AK80" s="129">
        <f>AJ80+AK19+AK20-AK53/(1+'01_Вводные'!$B$58)</f>
        <v/>
      </c>
      <c r="AL80" s="129">
        <f>AK80+AL19+AL20-AL53/(1+'01_Вводные'!$B$58)</f>
        <v/>
      </c>
      <c r="AM80" s="129">
        <f>AL80+AM19+AM20-AM53/(1+'01_Вводные'!$B$58)</f>
        <v/>
      </c>
      <c r="AN80" s="129">
        <f>AM80+AN19+AN20-AN53/(1+'01_Вводные'!$B$58)</f>
        <v/>
      </c>
      <c r="AO80" s="129">
        <f>AN80+AO19+AO20-AO53/(1+'01_Вводные'!$B$58)</f>
        <v/>
      </c>
      <c r="AP80" s="129">
        <f>AO80+AP19+AP20-AP53/(1+'01_Вводные'!$B$58)</f>
        <v/>
      </c>
      <c r="AQ80" s="129">
        <f>AP80+AQ19+AQ20-AQ53/(1+'01_Вводные'!$B$58)</f>
        <v/>
      </c>
      <c r="AR80" s="129">
        <f>AQ80+AR19+AR20-AR53/(1+'01_Вводные'!$B$58)</f>
        <v/>
      </c>
      <c r="AS80" s="129">
        <f>AR80+AS19+AS20-AS53/(1+'01_Вводные'!$B$58)</f>
        <v/>
      </c>
      <c r="AT80" s="129">
        <f>AS80+AT19+AT20-AT53/(1+'01_Вводные'!$B$58)</f>
        <v/>
      </c>
      <c r="AU80" s="129">
        <f>AT80+AU19+AU20-AU53/(1+'01_Вводные'!$B$58)</f>
        <v/>
      </c>
      <c r="AV80" s="129">
        <f>AU80+AV19+AV20-AV53/(1+'01_Вводные'!$B$58)</f>
        <v/>
      </c>
      <c r="AW80" s="129">
        <f>AV80+AW19+AW20-AW53/(1+'01_Вводные'!$B$58)</f>
        <v/>
      </c>
      <c r="AX80" s="129">
        <f>AW80+AX19+AX20-AX53/(1+'01_Вводные'!$B$58)</f>
        <v/>
      </c>
      <c r="AY80" s="129">
        <f>AX80+AY19+AY20-AY53/(1+'01_Вводные'!$B$58)</f>
        <v/>
      </c>
      <c r="AZ80" s="129">
        <f>AY80+AZ19+AZ20-AZ53/(1+'01_Вводные'!$B$58)</f>
        <v/>
      </c>
      <c r="BA80" s="129">
        <f>AZ80+BA19+BA20-BA53/(1+'01_Вводные'!$B$58)</f>
        <v/>
      </c>
      <c r="BB80" s="129">
        <f>BA80+BB19+BB20-BB53/(1+'01_Вводные'!$B$58)</f>
        <v/>
      </c>
      <c r="BC80" s="129">
        <f>BB80+BC19+BC20-BC53/(1+'01_Вводные'!$B$58)</f>
        <v/>
      </c>
      <c r="BD80" s="129">
        <f>BC80+BD19+BD20-BD53/(1+'01_Вводные'!$B$58)</f>
        <v/>
      </c>
      <c r="BE80" s="129">
        <f>BD80+BE19+BE20-BE53/(1+'01_Вводные'!$B$58)</f>
        <v/>
      </c>
      <c r="BF80" s="129">
        <f>BE80+BF19+BF20-BF53/(1+'01_Вводные'!$B$58)</f>
        <v/>
      </c>
      <c r="BG80" s="129">
        <f>BF80+BG19+BG20-BG53/(1+'01_Вводные'!$B$58)</f>
        <v/>
      </c>
      <c r="BH80" s="129">
        <f>BG80+BH19+BH20-BH53/(1+'01_Вводные'!$B$58)</f>
        <v/>
      </c>
      <c r="BI80" s="129">
        <f>BH80+BI19+BI20-BI53/(1+'01_Вводные'!$B$58)</f>
        <v/>
      </c>
    </row>
    <row r="81">
      <c r="A81" t="inlineStr">
        <is>
          <t>Кредиторка OPEX / поставщиков</t>
        </is>
      </c>
      <c r="B81" s="129">
        <f>0+SUM(B37:B42)+'07_Мерч'!B25-B59</f>
        <v/>
      </c>
      <c r="C81" s="129">
        <f>B81+SUM(C37:C42)+'07_Мерч'!C25-C59</f>
        <v/>
      </c>
      <c r="D81" s="129">
        <f>C81+SUM(D37:D42)+'07_Мерч'!D25-D59</f>
        <v/>
      </c>
      <c r="E81" s="129">
        <f>D81+SUM(E37:E42)+'07_Мерч'!E25-E59</f>
        <v/>
      </c>
      <c r="F81" s="129">
        <f>E81+SUM(F37:F42)+'07_Мерч'!F25-F59</f>
        <v/>
      </c>
      <c r="G81" s="129">
        <f>F81+SUM(G37:G42)+'07_Мерч'!G25-G59</f>
        <v/>
      </c>
      <c r="H81" s="129">
        <f>G81+SUM(H37:H42)+'07_Мерч'!H25-H59</f>
        <v/>
      </c>
      <c r="I81" s="129">
        <f>H81+SUM(I37:I42)+'07_Мерч'!I25-I59</f>
        <v/>
      </c>
      <c r="J81" s="129">
        <f>I81+SUM(J37:J42)+'07_Мерч'!J25-J59</f>
        <v/>
      </c>
      <c r="K81" s="129">
        <f>J81+SUM(K37:K42)+'07_Мерч'!K25-K59</f>
        <v/>
      </c>
      <c r="L81" s="129">
        <f>K81+SUM(L37:L42)+'07_Мерч'!L25-L59</f>
        <v/>
      </c>
      <c r="M81" s="129">
        <f>L81+SUM(M37:M42)+'07_Мерч'!M25-M59</f>
        <v/>
      </c>
      <c r="N81" s="129">
        <f>M81+SUM(N37:N42)+'07_Мерч'!N25-N59</f>
        <v/>
      </c>
      <c r="O81" s="129">
        <f>N81+SUM(O37:O42)+'07_Мерч'!O25-O59</f>
        <v/>
      </c>
      <c r="P81" s="129">
        <f>O81+SUM(P37:P42)+'07_Мерч'!P25-P59</f>
        <v/>
      </c>
      <c r="Q81" s="129">
        <f>P81+SUM(Q37:Q42)+'07_Мерч'!Q25-Q59</f>
        <v/>
      </c>
      <c r="R81" s="129">
        <f>Q81+SUM(R37:R42)+'07_Мерч'!R25-R59</f>
        <v/>
      </c>
      <c r="S81" s="129">
        <f>R81+SUM(S37:S42)+'07_Мерч'!S25-S59</f>
        <v/>
      </c>
      <c r="T81" s="129">
        <f>S81+SUM(T37:T42)+'07_Мерч'!T25-T59</f>
        <v/>
      </c>
      <c r="U81" s="129">
        <f>T81+SUM(U37:U42)+'07_Мерч'!U25-U59</f>
        <v/>
      </c>
      <c r="V81" s="129">
        <f>U81+SUM(V37:V42)+'07_Мерч'!V25-V59</f>
        <v/>
      </c>
      <c r="W81" s="129">
        <f>V81+SUM(W37:W42)+'07_Мерч'!W25-W59</f>
        <v/>
      </c>
      <c r="X81" s="129">
        <f>W81+SUM(X37:X42)+'07_Мерч'!X25-X59</f>
        <v/>
      </c>
      <c r="Y81" s="129">
        <f>X81+SUM(Y37:Y42)+'07_Мерч'!Y25-Y59</f>
        <v/>
      </c>
      <c r="Z81" s="129">
        <f>Y81+SUM(Z37:Z42)+'07_Мерч'!Z25-Z59</f>
        <v/>
      </c>
      <c r="AA81" s="129">
        <f>Z81+SUM(AA37:AA42)+'07_Мерч'!AA25-AA59</f>
        <v/>
      </c>
      <c r="AB81" s="129">
        <f>AA81+SUM(AB37:AB42)+'07_Мерч'!AB25-AB59</f>
        <v/>
      </c>
      <c r="AC81" s="129">
        <f>AB81+SUM(AC37:AC42)+'07_Мерч'!AC25-AC59</f>
        <v/>
      </c>
      <c r="AD81" s="129">
        <f>AC81+SUM(AD37:AD42)+'07_Мерч'!AD25-AD59</f>
        <v/>
      </c>
      <c r="AE81" s="129">
        <f>AD81+SUM(AE37:AE42)+'07_Мерч'!AE25-AE59</f>
        <v/>
      </c>
      <c r="AF81" s="129">
        <f>AE81+SUM(AF37:AF42)+'07_Мерч'!AF25-AF59</f>
        <v/>
      </c>
      <c r="AG81" s="129">
        <f>AF81+SUM(AG37:AG42)+'07_Мерч'!AG25-AG59</f>
        <v/>
      </c>
      <c r="AH81" s="129">
        <f>AG81+SUM(AH37:AH42)+'07_Мерч'!AH25-AH59</f>
        <v/>
      </c>
      <c r="AI81" s="129">
        <f>AH81+SUM(AI37:AI42)+'07_Мерч'!AI25-AI59</f>
        <v/>
      </c>
      <c r="AJ81" s="129">
        <f>AI81+SUM(AJ37:AJ42)+'07_Мерч'!AJ25-AJ59</f>
        <v/>
      </c>
      <c r="AK81" s="129">
        <f>AJ81+SUM(AK37:AK42)+'07_Мерч'!AK25-AK59</f>
        <v/>
      </c>
      <c r="AL81" s="129">
        <f>AK81+SUM(AL37:AL42)+'07_Мерч'!AL25-AL59</f>
        <v/>
      </c>
      <c r="AM81" s="129">
        <f>AL81+SUM(AM37:AM42)+'07_Мерч'!AM25-AM59</f>
        <v/>
      </c>
      <c r="AN81" s="129">
        <f>AM81+SUM(AN37:AN42)+'07_Мерч'!AN25-AN59</f>
        <v/>
      </c>
      <c r="AO81" s="129">
        <f>AN81+SUM(AO37:AO42)+'07_Мерч'!AO25-AO59</f>
        <v/>
      </c>
      <c r="AP81" s="129">
        <f>AO81+SUM(AP37:AP42)+'07_Мерч'!AP25-AP59</f>
        <v/>
      </c>
      <c r="AQ81" s="129">
        <f>AP81+SUM(AQ37:AQ42)+'07_Мерч'!AQ25-AQ59</f>
        <v/>
      </c>
      <c r="AR81" s="129">
        <f>AQ81+SUM(AR37:AR42)+'07_Мерч'!AR25-AR59</f>
        <v/>
      </c>
      <c r="AS81" s="129">
        <f>AR81+SUM(AS37:AS42)+'07_Мерч'!AS25-AS59</f>
        <v/>
      </c>
      <c r="AT81" s="129">
        <f>AS81+SUM(AT37:AT42)+'07_Мерч'!AT25-AT59</f>
        <v/>
      </c>
      <c r="AU81" s="129">
        <f>AT81+SUM(AU37:AU42)+'07_Мерч'!AU25-AU59</f>
        <v/>
      </c>
      <c r="AV81" s="129">
        <f>AU81+SUM(AV37:AV42)+'07_Мерч'!AV25-AV59</f>
        <v/>
      </c>
      <c r="AW81" s="129">
        <f>AV81+SUM(AW37:AW42)+'07_Мерч'!AW25-AW59</f>
        <v/>
      </c>
      <c r="AX81" s="129">
        <f>AW81+SUM(AX37:AX42)+'07_Мерч'!AX25-AX59</f>
        <v/>
      </c>
      <c r="AY81" s="129">
        <f>AX81+SUM(AY37:AY42)+'07_Мерч'!AY25-AY59</f>
        <v/>
      </c>
      <c r="AZ81" s="129">
        <f>AY81+SUM(AZ37:AZ42)+'07_Мерч'!AZ25-AZ59</f>
        <v/>
      </c>
      <c r="BA81" s="129">
        <f>AZ81+SUM(BA37:BA42)+'07_Мерч'!BA25-BA59</f>
        <v/>
      </c>
      <c r="BB81" s="129">
        <f>BA81+SUM(BB37:BB42)+'07_Мерч'!BB25-BB59</f>
        <v/>
      </c>
      <c r="BC81" s="129">
        <f>BB81+SUM(BC37:BC42)+'07_Мерч'!BC25-BC59</f>
        <v/>
      </c>
      <c r="BD81" s="129">
        <f>BC81+SUM(BD37:BD42)+'07_Мерч'!BD25-BD59</f>
        <v/>
      </c>
      <c r="BE81" s="129">
        <f>BD81+SUM(BE37:BE42)+'07_Мерч'!BE25-BE59</f>
        <v/>
      </c>
      <c r="BF81" s="129">
        <f>BE81+SUM(BF37:BF42)+'07_Мерч'!BF25-BF59</f>
        <v/>
      </c>
      <c r="BG81" s="129">
        <f>BF81+SUM(BG37:BG42)+'07_Мерч'!BG25-BG59</f>
        <v/>
      </c>
      <c r="BH81" s="129">
        <f>BG81+SUM(BH37:BH42)+'07_Мерч'!BH25-BH59</f>
        <v/>
      </c>
      <c r="BI81" s="129">
        <f>BH81+SUM(BI37:BI42)+'07_Мерч'!BI25-BI59</f>
        <v/>
      </c>
    </row>
    <row r="82">
      <c r="A82" t="inlineStr">
        <is>
          <t>Авансы клиентов лагеря на конец</t>
        </is>
      </c>
      <c r="B82" s="129">
        <f>0+B55-'09_Лагеря'!B10</f>
        <v/>
      </c>
      <c r="C82" s="129">
        <f>B82+C55-'09_Лагеря'!C10</f>
        <v/>
      </c>
      <c r="D82" s="129">
        <f>C82+D55-'09_Лагеря'!D10</f>
        <v/>
      </c>
      <c r="E82" s="129">
        <f>D82+E55-'09_Лагеря'!E10</f>
        <v/>
      </c>
      <c r="F82" s="129">
        <f>E82+F55-'09_Лагеря'!F10</f>
        <v/>
      </c>
      <c r="G82" s="129">
        <f>F82+G55-'09_Лагеря'!G10</f>
        <v/>
      </c>
      <c r="H82" s="129">
        <f>G82+H55-'09_Лагеря'!H10</f>
        <v/>
      </c>
      <c r="I82" s="129">
        <f>H82+I55-'09_Лагеря'!I10</f>
        <v/>
      </c>
      <c r="J82" s="129">
        <f>I82+J55-'09_Лагеря'!J10</f>
        <v/>
      </c>
      <c r="K82" s="129">
        <f>J82+K55-'09_Лагеря'!K10</f>
        <v/>
      </c>
      <c r="L82" s="129">
        <f>K82+L55-'09_Лагеря'!L10</f>
        <v/>
      </c>
      <c r="M82" s="129">
        <f>L82+M55-'09_Лагеря'!M10</f>
        <v/>
      </c>
      <c r="N82" s="129">
        <f>M82+N55-'09_Лагеря'!N10</f>
        <v/>
      </c>
      <c r="O82" s="129">
        <f>N82+O55-'09_Лагеря'!O10</f>
        <v/>
      </c>
      <c r="P82" s="129">
        <f>O82+P55-'09_Лагеря'!P10</f>
        <v/>
      </c>
      <c r="Q82" s="129">
        <f>P82+Q55-'09_Лагеря'!Q10</f>
        <v/>
      </c>
      <c r="R82" s="129">
        <f>Q82+R55-'09_Лагеря'!R10</f>
        <v/>
      </c>
      <c r="S82" s="129">
        <f>R82+S55-'09_Лагеря'!S10</f>
        <v/>
      </c>
      <c r="T82" s="129">
        <f>S82+T55-'09_Лагеря'!T10</f>
        <v/>
      </c>
      <c r="U82" s="129">
        <f>T82+U55-'09_Лагеря'!U10</f>
        <v/>
      </c>
      <c r="V82" s="129">
        <f>U82+V55-'09_Лагеря'!V10</f>
        <v/>
      </c>
      <c r="W82" s="129">
        <f>V82+W55-'09_Лагеря'!W10</f>
        <v/>
      </c>
      <c r="X82" s="129">
        <f>W82+X55-'09_Лагеря'!X10</f>
        <v/>
      </c>
      <c r="Y82" s="129">
        <f>X82+Y55-'09_Лагеря'!Y10</f>
        <v/>
      </c>
      <c r="Z82" s="129">
        <f>Y82+Z55-'09_Лагеря'!Z10</f>
        <v/>
      </c>
      <c r="AA82" s="129">
        <f>Z82+AA55-'09_Лагеря'!AA10</f>
        <v/>
      </c>
      <c r="AB82" s="129">
        <f>AA82+AB55-'09_Лагеря'!AB10</f>
        <v/>
      </c>
      <c r="AC82" s="129">
        <f>AB82+AC55-'09_Лагеря'!AC10</f>
        <v/>
      </c>
      <c r="AD82" s="129">
        <f>AC82+AD55-'09_Лагеря'!AD10</f>
        <v/>
      </c>
      <c r="AE82" s="129">
        <f>AD82+AE55-'09_Лагеря'!AE10</f>
        <v/>
      </c>
      <c r="AF82" s="129">
        <f>AE82+AF55-'09_Лагеря'!AF10</f>
        <v/>
      </c>
      <c r="AG82" s="129">
        <f>AF82+AG55-'09_Лагеря'!AG10</f>
        <v/>
      </c>
      <c r="AH82" s="129">
        <f>AG82+AH55-'09_Лагеря'!AH10</f>
        <v/>
      </c>
      <c r="AI82" s="129">
        <f>AH82+AI55-'09_Лагеря'!AI10</f>
        <v/>
      </c>
      <c r="AJ82" s="129">
        <f>AI82+AJ55-'09_Лагеря'!AJ10</f>
        <v/>
      </c>
      <c r="AK82" s="129">
        <f>AJ82+AK55-'09_Лагеря'!AK10</f>
        <v/>
      </c>
      <c r="AL82" s="129">
        <f>AK82+AL55-'09_Лагеря'!AL10</f>
        <v/>
      </c>
      <c r="AM82" s="129">
        <f>AL82+AM55-'09_Лагеря'!AM10</f>
        <v/>
      </c>
      <c r="AN82" s="129">
        <f>AM82+AN55-'09_Лагеря'!AN10</f>
        <v/>
      </c>
      <c r="AO82" s="129">
        <f>AN82+AO55-'09_Лагеря'!AO10</f>
        <v/>
      </c>
      <c r="AP82" s="129">
        <f>AO82+AP55-'09_Лагеря'!AP10</f>
        <v/>
      </c>
      <c r="AQ82" s="129">
        <f>AP82+AQ55-'09_Лагеря'!AQ10</f>
        <v/>
      </c>
      <c r="AR82" s="129">
        <f>AQ82+AR55-'09_Лагеря'!AR10</f>
        <v/>
      </c>
      <c r="AS82" s="129">
        <f>AR82+AS55-'09_Лагеря'!AS10</f>
        <v/>
      </c>
      <c r="AT82" s="129">
        <f>AS82+AT55-'09_Лагеря'!AT10</f>
        <v/>
      </c>
      <c r="AU82" s="129">
        <f>AT82+AU55-'09_Лагеря'!AU10</f>
        <v/>
      </c>
      <c r="AV82" s="129">
        <f>AU82+AV55-'09_Лагеря'!AV10</f>
        <v/>
      </c>
      <c r="AW82" s="129">
        <f>AV82+AW55-'09_Лагеря'!AW10</f>
        <v/>
      </c>
      <c r="AX82" s="129">
        <f>AW82+AX55-'09_Лагеря'!AX10</f>
        <v/>
      </c>
      <c r="AY82" s="129">
        <f>AX82+AY55-'09_Лагеря'!AY10</f>
        <v/>
      </c>
      <c r="AZ82" s="129">
        <f>AY82+AZ55-'09_Лагеря'!AZ10</f>
        <v/>
      </c>
      <c r="BA82" s="129">
        <f>AZ82+BA55-'09_Лагеря'!BA10</f>
        <v/>
      </c>
      <c r="BB82" s="129">
        <f>BA82+BB55-'09_Лагеря'!BB10</f>
        <v/>
      </c>
      <c r="BC82" s="129">
        <f>BB82+BC55-'09_Лагеря'!BC10</f>
        <v/>
      </c>
      <c r="BD82" s="129">
        <f>BC82+BD55-'09_Лагеря'!BD10</f>
        <v/>
      </c>
      <c r="BE82" s="129">
        <f>BD82+BE55-'09_Лагеря'!BE10</f>
        <v/>
      </c>
      <c r="BF82" s="129">
        <f>BE82+BF55-'09_Лагеря'!BF10</f>
        <v/>
      </c>
      <c r="BG82" s="129">
        <f>BF82+BG55-'09_Лагеря'!BG10</f>
        <v/>
      </c>
      <c r="BH82" s="129">
        <f>BG82+BH55-'09_Лагеря'!BH10</f>
        <v/>
      </c>
      <c r="BI82" s="129">
        <f>BH82+BI55-'09_Лагеря'!BI10</f>
        <v/>
      </c>
    </row>
    <row r="83">
      <c r="A83" t="inlineStr">
        <is>
          <t>Предоплата проживания на конец</t>
        </is>
      </c>
      <c r="B83" s="129">
        <f>0+'09_Лагеря'!B16+'09_Лагеря'!B17-IF(AND('01_Вводные'!$B$241="Да",MONTH(B$3)='01_Вводные'!$B$252),'01_Вводные'!$B$170*'01_Вводные'!$B$161,0)</f>
        <v/>
      </c>
      <c r="C83" s="129">
        <f>B83+'09_Лагеря'!C16+'09_Лагеря'!C17-IF(AND('01_Вводные'!$B$241="Да",MONTH(C$3)='01_Вводные'!$B$252),'01_Вводные'!$B$170*'01_Вводные'!$B$161,0)</f>
        <v/>
      </c>
      <c r="D83" s="129">
        <f>C83+'09_Лагеря'!D16+'09_Лагеря'!D17-IF(AND('01_Вводные'!$B$241="Да",MONTH(D$3)='01_Вводные'!$B$252),'01_Вводные'!$B$170*'01_Вводные'!$B$161,0)</f>
        <v/>
      </c>
      <c r="E83" s="129">
        <f>D83+'09_Лагеря'!E16+'09_Лагеря'!E17-IF(AND('01_Вводные'!$B$241="Да",MONTH(E$3)='01_Вводные'!$B$252),'01_Вводные'!$B$170*'01_Вводные'!$B$161,0)</f>
        <v/>
      </c>
      <c r="F83" s="129">
        <f>E83+'09_Лагеря'!F16+'09_Лагеря'!F17-IF(AND('01_Вводные'!$B$241="Да",MONTH(F$3)='01_Вводные'!$B$252),'01_Вводные'!$B$170*'01_Вводные'!$B$161,0)</f>
        <v/>
      </c>
      <c r="G83" s="129">
        <f>F83+'09_Лагеря'!G16+'09_Лагеря'!G17-IF(AND('01_Вводные'!$B$241="Да",MONTH(G$3)='01_Вводные'!$B$252),'01_Вводные'!$B$170*'01_Вводные'!$B$161,0)</f>
        <v/>
      </c>
      <c r="H83" s="129">
        <f>G83+'09_Лагеря'!H16+'09_Лагеря'!H17-IF(AND('01_Вводные'!$B$241="Да",MONTH(H$3)='01_Вводные'!$B$252),'01_Вводные'!$B$170*'01_Вводные'!$B$161,0)</f>
        <v/>
      </c>
      <c r="I83" s="129">
        <f>H83+'09_Лагеря'!I16+'09_Лагеря'!I17-IF(AND('01_Вводные'!$B$241="Да",MONTH(I$3)='01_Вводные'!$B$252),'01_Вводные'!$B$170*'01_Вводные'!$B$161,0)</f>
        <v/>
      </c>
      <c r="J83" s="129">
        <f>I83+'09_Лагеря'!J16+'09_Лагеря'!J17-IF(AND('01_Вводные'!$B$241="Да",MONTH(J$3)='01_Вводные'!$B$252),'01_Вводные'!$B$170*'01_Вводные'!$B$161,0)</f>
        <v/>
      </c>
      <c r="K83" s="129">
        <f>J83+'09_Лагеря'!K16+'09_Лагеря'!K17-IF(AND('01_Вводные'!$B$241="Да",MONTH(K$3)='01_Вводные'!$B$252),'01_Вводные'!$B$170*'01_Вводные'!$B$161,0)</f>
        <v/>
      </c>
      <c r="L83" s="129">
        <f>K83+'09_Лагеря'!L16+'09_Лагеря'!L17-IF(AND('01_Вводные'!$B$241="Да",MONTH(L$3)='01_Вводные'!$B$252),'01_Вводные'!$B$170*'01_Вводные'!$B$161,0)</f>
        <v/>
      </c>
      <c r="M83" s="129">
        <f>L83+'09_Лагеря'!M16+'09_Лагеря'!M17-IF(AND('01_Вводные'!$B$241="Да",MONTH(M$3)='01_Вводные'!$B$252),'01_Вводные'!$B$170*'01_Вводные'!$B$161,0)</f>
        <v/>
      </c>
      <c r="N83" s="129">
        <f>M83+'09_Лагеря'!N16+'09_Лагеря'!N17-IF(AND('01_Вводные'!$B$241="Да",MONTH(N$3)='01_Вводные'!$B$252),'01_Вводные'!$B$170*'01_Вводные'!$B$161,0)</f>
        <v/>
      </c>
      <c r="O83" s="129">
        <f>N83+'09_Лагеря'!O16+'09_Лагеря'!O17-IF(AND('01_Вводные'!$B$241="Да",MONTH(O$3)='01_Вводные'!$B$252),'01_Вводные'!$B$170*'01_Вводные'!$B$161,0)</f>
        <v/>
      </c>
      <c r="P83" s="129">
        <f>O83+'09_Лагеря'!P16+'09_Лагеря'!P17-IF(AND('01_Вводные'!$B$241="Да",MONTH(P$3)='01_Вводные'!$B$252),'01_Вводные'!$B$170*'01_Вводные'!$B$161,0)</f>
        <v/>
      </c>
      <c r="Q83" s="129">
        <f>P83+'09_Лагеря'!Q16+'09_Лагеря'!Q17-IF(AND('01_Вводные'!$B$241="Да",MONTH(Q$3)='01_Вводные'!$B$252),'01_Вводные'!$B$170*'01_Вводные'!$B$161,0)</f>
        <v/>
      </c>
      <c r="R83" s="129">
        <f>Q83+'09_Лагеря'!R16+'09_Лагеря'!R17-IF(AND('01_Вводные'!$B$241="Да",MONTH(R$3)='01_Вводные'!$B$252),'01_Вводные'!$B$170*'01_Вводные'!$B$161,0)</f>
        <v/>
      </c>
      <c r="S83" s="129">
        <f>R83+'09_Лагеря'!S16+'09_Лагеря'!S17-IF(AND('01_Вводные'!$B$241="Да",MONTH(S$3)='01_Вводные'!$B$252),'01_Вводные'!$B$170*'01_Вводные'!$B$161,0)</f>
        <v/>
      </c>
      <c r="T83" s="129">
        <f>S83+'09_Лагеря'!T16+'09_Лагеря'!T17-IF(AND('01_Вводные'!$B$241="Да",MONTH(T$3)='01_Вводные'!$B$252),'01_Вводные'!$B$170*'01_Вводные'!$B$161,0)</f>
        <v/>
      </c>
      <c r="U83" s="129">
        <f>T83+'09_Лагеря'!U16+'09_Лагеря'!U17-IF(AND('01_Вводные'!$B$241="Да",MONTH(U$3)='01_Вводные'!$B$252),'01_Вводные'!$B$170*'01_Вводные'!$B$161,0)</f>
        <v/>
      </c>
      <c r="V83" s="129">
        <f>U83+'09_Лагеря'!V16+'09_Лагеря'!V17-IF(AND('01_Вводные'!$B$241="Да",MONTH(V$3)='01_Вводные'!$B$252),'01_Вводные'!$B$170*'01_Вводные'!$B$161,0)</f>
        <v/>
      </c>
      <c r="W83" s="129">
        <f>V83+'09_Лагеря'!W16+'09_Лагеря'!W17-IF(AND('01_Вводные'!$B$241="Да",MONTH(W$3)='01_Вводные'!$B$252),'01_Вводные'!$B$170*'01_Вводные'!$B$161,0)</f>
        <v/>
      </c>
      <c r="X83" s="129">
        <f>W83+'09_Лагеря'!X16+'09_Лагеря'!X17-IF(AND('01_Вводные'!$B$241="Да",MONTH(X$3)='01_Вводные'!$B$252),'01_Вводные'!$B$170*'01_Вводные'!$B$161,0)</f>
        <v/>
      </c>
      <c r="Y83" s="129">
        <f>X83+'09_Лагеря'!Y16+'09_Лагеря'!Y17-IF(AND('01_Вводные'!$B$241="Да",MONTH(Y$3)='01_Вводные'!$B$252),'01_Вводные'!$B$170*'01_Вводные'!$B$161,0)</f>
        <v/>
      </c>
      <c r="Z83" s="129">
        <f>Y83+'09_Лагеря'!Z16+'09_Лагеря'!Z17-IF(AND('01_Вводные'!$B$241="Да",MONTH(Z$3)='01_Вводные'!$B$252),'01_Вводные'!$B$170*'01_Вводные'!$B$161,0)</f>
        <v/>
      </c>
      <c r="AA83" s="129">
        <f>Z83+'09_Лагеря'!AA16+'09_Лагеря'!AA17-IF(AND('01_Вводные'!$B$241="Да",MONTH(AA$3)='01_Вводные'!$B$252),'01_Вводные'!$B$170*'01_Вводные'!$B$161,0)</f>
        <v/>
      </c>
      <c r="AB83" s="129">
        <f>AA83+'09_Лагеря'!AB16+'09_Лагеря'!AB17-IF(AND('01_Вводные'!$B$241="Да",MONTH(AB$3)='01_Вводные'!$B$252),'01_Вводные'!$B$170*'01_Вводные'!$B$161,0)</f>
        <v/>
      </c>
      <c r="AC83" s="129">
        <f>AB83+'09_Лагеря'!AC16+'09_Лагеря'!AC17-IF(AND('01_Вводные'!$B$241="Да",MONTH(AC$3)='01_Вводные'!$B$252),'01_Вводные'!$B$170*'01_Вводные'!$B$161,0)</f>
        <v/>
      </c>
      <c r="AD83" s="129">
        <f>AC83+'09_Лагеря'!AD16+'09_Лагеря'!AD17-IF(AND('01_Вводные'!$B$241="Да",MONTH(AD$3)='01_Вводные'!$B$252),'01_Вводные'!$B$170*'01_Вводные'!$B$161,0)</f>
        <v/>
      </c>
      <c r="AE83" s="129">
        <f>AD83+'09_Лагеря'!AE16+'09_Лагеря'!AE17-IF(AND('01_Вводные'!$B$241="Да",MONTH(AE$3)='01_Вводные'!$B$252),'01_Вводные'!$B$170*'01_Вводные'!$B$161,0)</f>
        <v/>
      </c>
      <c r="AF83" s="129">
        <f>AE83+'09_Лагеря'!AF16+'09_Лагеря'!AF17-IF(AND('01_Вводные'!$B$241="Да",MONTH(AF$3)='01_Вводные'!$B$252),'01_Вводные'!$B$170*'01_Вводные'!$B$161,0)</f>
        <v/>
      </c>
      <c r="AG83" s="129">
        <f>AF83+'09_Лагеря'!AG16+'09_Лагеря'!AG17-IF(AND('01_Вводные'!$B$241="Да",MONTH(AG$3)='01_Вводные'!$B$252),'01_Вводные'!$B$170*'01_Вводные'!$B$161,0)</f>
        <v/>
      </c>
      <c r="AH83" s="129">
        <f>AG83+'09_Лагеря'!AH16+'09_Лагеря'!AH17-IF(AND('01_Вводные'!$B$241="Да",MONTH(AH$3)='01_Вводные'!$B$252),'01_Вводные'!$B$170*'01_Вводные'!$B$161,0)</f>
        <v/>
      </c>
      <c r="AI83" s="129">
        <f>AH83+'09_Лагеря'!AI16+'09_Лагеря'!AI17-IF(AND('01_Вводные'!$B$241="Да",MONTH(AI$3)='01_Вводные'!$B$252),'01_Вводные'!$B$170*'01_Вводные'!$B$161,0)</f>
        <v/>
      </c>
      <c r="AJ83" s="129">
        <f>AI83+'09_Лагеря'!AJ16+'09_Лагеря'!AJ17-IF(AND('01_Вводные'!$B$241="Да",MONTH(AJ$3)='01_Вводные'!$B$252),'01_Вводные'!$B$170*'01_Вводные'!$B$161,0)</f>
        <v/>
      </c>
      <c r="AK83" s="129">
        <f>AJ83+'09_Лагеря'!AK16+'09_Лагеря'!AK17-IF(AND('01_Вводные'!$B$241="Да",MONTH(AK$3)='01_Вводные'!$B$252),'01_Вводные'!$B$170*'01_Вводные'!$B$161,0)</f>
        <v/>
      </c>
      <c r="AL83" s="129">
        <f>AK83+'09_Лагеря'!AL16+'09_Лагеря'!AL17-IF(AND('01_Вводные'!$B$241="Да",MONTH(AL$3)='01_Вводные'!$B$252),'01_Вводные'!$B$170*'01_Вводные'!$B$161,0)</f>
        <v/>
      </c>
      <c r="AM83" s="129">
        <f>AL83+'09_Лагеря'!AM16+'09_Лагеря'!AM17-IF(AND('01_Вводные'!$B$241="Да",MONTH(AM$3)='01_Вводные'!$B$252),'01_Вводные'!$B$170*'01_Вводные'!$B$161,0)</f>
        <v/>
      </c>
      <c r="AN83" s="129">
        <f>AM83+'09_Лагеря'!AN16+'09_Лагеря'!AN17-IF(AND('01_Вводные'!$B$241="Да",MONTH(AN$3)='01_Вводные'!$B$252),'01_Вводные'!$B$170*'01_Вводные'!$B$161,0)</f>
        <v/>
      </c>
      <c r="AO83" s="129">
        <f>AN83+'09_Лагеря'!AO16+'09_Лагеря'!AO17-IF(AND('01_Вводные'!$B$241="Да",MONTH(AO$3)='01_Вводные'!$B$252),'01_Вводные'!$B$170*'01_Вводные'!$B$161,0)</f>
        <v/>
      </c>
      <c r="AP83" s="129">
        <f>AO83+'09_Лагеря'!AP16+'09_Лагеря'!AP17-IF(AND('01_Вводные'!$B$241="Да",MONTH(AP$3)='01_Вводные'!$B$252),'01_Вводные'!$B$170*'01_Вводные'!$B$161,0)</f>
        <v/>
      </c>
      <c r="AQ83" s="129">
        <f>AP83+'09_Лагеря'!AQ16+'09_Лагеря'!AQ17-IF(AND('01_Вводные'!$B$241="Да",MONTH(AQ$3)='01_Вводные'!$B$252),'01_Вводные'!$B$170*'01_Вводные'!$B$161,0)</f>
        <v/>
      </c>
      <c r="AR83" s="129">
        <f>AQ83+'09_Лагеря'!AR16+'09_Лагеря'!AR17-IF(AND('01_Вводные'!$B$241="Да",MONTH(AR$3)='01_Вводные'!$B$252),'01_Вводные'!$B$170*'01_Вводные'!$B$161,0)</f>
        <v/>
      </c>
      <c r="AS83" s="129">
        <f>AR83+'09_Лагеря'!AS16+'09_Лагеря'!AS17-IF(AND('01_Вводные'!$B$241="Да",MONTH(AS$3)='01_Вводные'!$B$252),'01_Вводные'!$B$170*'01_Вводные'!$B$161,0)</f>
        <v/>
      </c>
      <c r="AT83" s="129">
        <f>AS83+'09_Лагеря'!AT16+'09_Лагеря'!AT17-IF(AND('01_Вводные'!$B$241="Да",MONTH(AT$3)='01_Вводные'!$B$252),'01_Вводные'!$B$170*'01_Вводные'!$B$161,0)</f>
        <v/>
      </c>
      <c r="AU83" s="129">
        <f>AT83+'09_Лагеря'!AU16+'09_Лагеря'!AU17-IF(AND('01_Вводные'!$B$241="Да",MONTH(AU$3)='01_Вводные'!$B$252),'01_Вводные'!$B$170*'01_Вводные'!$B$161,0)</f>
        <v/>
      </c>
      <c r="AV83" s="129">
        <f>AU83+'09_Лагеря'!AV16+'09_Лагеря'!AV17-IF(AND('01_Вводные'!$B$241="Да",MONTH(AV$3)='01_Вводные'!$B$252),'01_Вводные'!$B$170*'01_Вводные'!$B$161,0)</f>
        <v/>
      </c>
      <c r="AW83" s="129">
        <f>AV83+'09_Лагеря'!AW16+'09_Лагеря'!AW17-IF(AND('01_Вводные'!$B$241="Да",MONTH(AW$3)='01_Вводные'!$B$252),'01_Вводные'!$B$170*'01_Вводные'!$B$161,0)</f>
        <v/>
      </c>
      <c r="AX83" s="129">
        <f>AW83+'09_Лагеря'!AX16+'09_Лагеря'!AX17-IF(AND('01_Вводные'!$B$241="Да",MONTH(AX$3)='01_Вводные'!$B$252),'01_Вводные'!$B$170*'01_Вводные'!$B$161,0)</f>
        <v/>
      </c>
      <c r="AY83" s="129">
        <f>AX83+'09_Лагеря'!AY16+'09_Лагеря'!AY17-IF(AND('01_Вводные'!$B$241="Да",MONTH(AY$3)='01_Вводные'!$B$252),'01_Вводные'!$B$170*'01_Вводные'!$B$161,0)</f>
        <v/>
      </c>
      <c r="AZ83" s="129">
        <f>AY83+'09_Лагеря'!AZ16+'09_Лагеря'!AZ17-IF(AND('01_Вводные'!$B$241="Да",MONTH(AZ$3)='01_Вводные'!$B$252),'01_Вводные'!$B$170*'01_Вводные'!$B$161,0)</f>
        <v/>
      </c>
      <c r="BA83" s="129">
        <f>AZ83+'09_Лагеря'!BA16+'09_Лагеря'!BA17-IF(AND('01_Вводные'!$B$241="Да",MONTH(BA$3)='01_Вводные'!$B$252),'01_Вводные'!$B$170*'01_Вводные'!$B$161,0)</f>
        <v/>
      </c>
      <c r="BB83" s="129">
        <f>BA83+'09_Лагеря'!BB16+'09_Лагеря'!BB17-IF(AND('01_Вводные'!$B$241="Да",MONTH(BB$3)='01_Вводные'!$B$252),'01_Вводные'!$B$170*'01_Вводные'!$B$161,0)</f>
        <v/>
      </c>
      <c r="BC83" s="129">
        <f>BB83+'09_Лагеря'!BC16+'09_Лагеря'!BC17-IF(AND('01_Вводные'!$B$241="Да",MONTH(BC$3)='01_Вводные'!$B$252),'01_Вводные'!$B$170*'01_Вводные'!$B$161,0)</f>
        <v/>
      </c>
      <c r="BD83" s="129">
        <f>BC83+'09_Лагеря'!BD16+'09_Лагеря'!BD17-IF(AND('01_Вводные'!$B$241="Да",MONTH(BD$3)='01_Вводные'!$B$252),'01_Вводные'!$B$170*'01_Вводные'!$B$161,0)</f>
        <v/>
      </c>
      <c r="BE83" s="129">
        <f>BD83+'09_Лагеря'!BE16+'09_Лагеря'!BE17-IF(AND('01_Вводные'!$B$241="Да",MONTH(BE$3)='01_Вводные'!$B$252),'01_Вводные'!$B$170*'01_Вводные'!$B$161,0)</f>
        <v/>
      </c>
      <c r="BF83" s="129">
        <f>BE83+'09_Лагеря'!BF16+'09_Лагеря'!BF17-IF(AND('01_Вводные'!$B$241="Да",MONTH(BF$3)='01_Вводные'!$B$252),'01_Вводные'!$B$170*'01_Вводные'!$B$161,0)</f>
        <v/>
      </c>
      <c r="BG83" s="129">
        <f>BF83+'09_Лагеря'!BG16+'09_Лагеря'!BG17-IF(AND('01_Вводные'!$B$241="Да",MONTH(BG$3)='01_Вводные'!$B$252),'01_Вводные'!$B$170*'01_Вводные'!$B$161,0)</f>
        <v/>
      </c>
      <c r="BH83" s="129">
        <f>BG83+'09_Лагеря'!BH16+'09_Лагеря'!BH17-IF(AND('01_Вводные'!$B$241="Да",MONTH(BH$3)='01_Вводные'!$B$252),'01_Вводные'!$B$170*'01_Вводные'!$B$161,0)</f>
        <v/>
      </c>
      <c r="BI83" s="129">
        <f>BH83+'09_Лагеря'!BI16+'09_Лагеря'!BI17-IF(AND('01_Вводные'!$B$241="Да",MONTH(BI$3)='01_Вводные'!$B$252),'01_Вводные'!$B$170*'01_Вводные'!$B$161,0)</f>
        <v/>
      </c>
    </row>
    <row r="84">
      <c r="A84" t="inlineStr">
        <is>
          <t>Изменение товарного запаса</t>
        </is>
      </c>
      <c r="B84" s="129">
        <f>'07_Мерч'!B26-'07_Мерч'!B22</f>
        <v/>
      </c>
      <c r="C84" s="129">
        <f>'07_Мерч'!C26-'07_Мерч'!C22</f>
        <v/>
      </c>
      <c r="D84" s="129">
        <f>'07_Мерч'!D26-'07_Мерч'!D22</f>
        <v/>
      </c>
      <c r="E84" s="129">
        <f>'07_Мерч'!E26-'07_Мерч'!E22</f>
        <v/>
      </c>
      <c r="F84" s="129">
        <f>'07_Мерч'!F26-'07_Мерч'!F22</f>
        <v/>
      </c>
      <c r="G84" s="129">
        <f>'07_Мерч'!G26-'07_Мерч'!G22</f>
        <v/>
      </c>
      <c r="H84" s="129">
        <f>'07_Мерч'!H26-'07_Мерч'!H22</f>
        <v/>
      </c>
      <c r="I84" s="129">
        <f>'07_Мерч'!I26-'07_Мерч'!I22</f>
        <v/>
      </c>
      <c r="J84" s="129">
        <f>'07_Мерч'!J26-'07_Мерч'!J22</f>
        <v/>
      </c>
      <c r="K84" s="129">
        <f>'07_Мерч'!K26-'07_Мерч'!K22</f>
        <v/>
      </c>
      <c r="L84" s="129">
        <f>'07_Мерч'!L26-'07_Мерч'!L22</f>
        <v/>
      </c>
      <c r="M84" s="129">
        <f>'07_Мерч'!M26-'07_Мерч'!M22</f>
        <v/>
      </c>
      <c r="N84" s="129">
        <f>'07_Мерч'!N26-'07_Мерч'!N22</f>
        <v/>
      </c>
      <c r="O84" s="129">
        <f>'07_Мерч'!O26-'07_Мерч'!O22</f>
        <v/>
      </c>
      <c r="P84" s="129">
        <f>'07_Мерч'!P26-'07_Мерч'!P22</f>
        <v/>
      </c>
      <c r="Q84" s="129">
        <f>'07_Мерч'!Q26-'07_Мерч'!Q22</f>
        <v/>
      </c>
      <c r="R84" s="129">
        <f>'07_Мерч'!R26-'07_Мерч'!R22</f>
        <v/>
      </c>
      <c r="S84" s="129">
        <f>'07_Мерч'!S26-'07_Мерч'!S22</f>
        <v/>
      </c>
      <c r="T84" s="129">
        <f>'07_Мерч'!T26-'07_Мерч'!T22</f>
        <v/>
      </c>
      <c r="U84" s="129">
        <f>'07_Мерч'!U26-'07_Мерч'!U22</f>
        <v/>
      </c>
      <c r="V84" s="129">
        <f>'07_Мерч'!V26-'07_Мерч'!V22</f>
        <v/>
      </c>
      <c r="W84" s="129">
        <f>'07_Мерч'!W26-'07_Мерч'!W22</f>
        <v/>
      </c>
      <c r="X84" s="129">
        <f>'07_Мерч'!X26-'07_Мерч'!X22</f>
        <v/>
      </c>
      <c r="Y84" s="129">
        <f>'07_Мерч'!Y26-'07_Мерч'!Y22</f>
        <v/>
      </c>
      <c r="Z84" s="129">
        <f>'07_Мерч'!Z26-'07_Мерч'!Z22</f>
        <v/>
      </c>
      <c r="AA84" s="129">
        <f>'07_Мерч'!AA26-'07_Мерч'!AA22</f>
        <v/>
      </c>
      <c r="AB84" s="129">
        <f>'07_Мерч'!AB26-'07_Мерч'!AB22</f>
        <v/>
      </c>
      <c r="AC84" s="129">
        <f>'07_Мерч'!AC26-'07_Мерч'!AC22</f>
        <v/>
      </c>
      <c r="AD84" s="129">
        <f>'07_Мерч'!AD26-'07_Мерч'!AD22</f>
        <v/>
      </c>
      <c r="AE84" s="129">
        <f>'07_Мерч'!AE26-'07_Мерч'!AE22</f>
        <v/>
      </c>
      <c r="AF84" s="129">
        <f>'07_Мерч'!AF26-'07_Мерч'!AF22</f>
        <v/>
      </c>
      <c r="AG84" s="129">
        <f>'07_Мерч'!AG26-'07_Мерч'!AG22</f>
        <v/>
      </c>
      <c r="AH84" s="129">
        <f>'07_Мерч'!AH26-'07_Мерч'!AH22</f>
        <v/>
      </c>
      <c r="AI84" s="129">
        <f>'07_Мерч'!AI26-'07_Мерч'!AI22</f>
        <v/>
      </c>
      <c r="AJ84" s="129">
        <f>'07_Мерч'!AJ26-'07_Мерч'!AJ22</f>
        <v/>
      </c>
      <c r="AK84" s="129">
        <f>'07_Мерч'!AK26-'07_Мерч'!AK22</f>
        <v/>
      </c>
      <c r="AL84" s="129">
        <f>'07_Мерч'!AL26-'07_Мерч'!AL22</f>
        <v/>
      </c>
      <c r="AM84" s="129">
        <f>'07_Мерч'!AM26-'07_Мерч'!AM22</f>
        <v/>
      </c>
      <c r="AN84" s="129">
        <f>'07_Мерч'!AN26-'07_Мерч'!AN22</f>
        <v/>
      </c>
      <c r="AO84" s="129">
        <f>'07_Мерч'!AO26-'07_Мерч'!AO22</f>
        <v/>
      </c>
      <c r="AP84" s="129">
        <f>'07_Мерч'!AP26-'07_Мерч'!AP22</f>
        <v/>
      </c>
      <c r="AQ84" s="129">
        <f>'07_Мерч'!AQ26-'07_Мерч'!AQ22</f>
        <v/>
      </c>
      <c r="AR84" s="129">
        <f>'07_Мерч'!AR26-'07_Мерч'!AR22</f>
        <v/>
      </c>
      <c r="AS84" s="129">
        <f>'07_Мерч'!AS26-'07_Мерч'!AS22</f>
        <v/>
      </c>
      <c r="AT84" s="129">
        <f>'07_Мерч'!AT26-'07_Мерч'!AT22</f>
        <v/>
      </c>
      <c r="AU84" s="129">
        <f>'07_Мерч'!AU26-'07_Мерч'!AU22</f>
        <v/>
      </c>
      <c r="AV84" s="129">
        <f>'07_Мерч'!AV26-'07_Мерч'!AV22</f>
        <v/>
      </c>
      <c r="AW84" s="129">
        <f>'07_Мерч'!AW26-'07_Мерч'!AW22</f>
        <v/>
      </c>
      <c r="AX84" s="129">
        <f>'07_Мерч'!AX26-'07_Мерч'!AX22</f>
        <v/>
      </c>
      <c r="AY84" s="129">
        <f>'07_Мерч'!AY26-'07_Мерч'!AY22</f>
        <v/>
      </c>
      <c r="AZ84" s="129">
        <f>'07_Мерч'!AZ26-'07_Мерч'!AZ22</f>
        <v/>
      </c>
      <c r="BA84" s="129">
        <f>'07_Мерч'!BA26-'07_Мерч'!BA22</f>
        <v/>
      </c>
      <c r="BB84" s="129">
        <f>'07_Мерч'!BB26-'07_Мерч'!BB22</f>
        <v/>
      </c>
      <c r="BC84" s="129">
        <f>'07_Мерч'!BC26-'07_Мерч'!BC22</f>
        <v/>
      </c>
      <c r="BD84" s="129">
        <f>'07_Мерч'!BD26-'07_Мерч'!BD22</f>
        <v/>
      </c>
      <c r="BE84" s="129">
        <f>'07_Мерч'!BE26-'07_Мерч'!BE22</f>
        <v/>
      </c>
      <c r="BF84" s="129">
        <f>'07_Мерч'!BF26-'07_Мерч'!BF22</f>
        <v/>
      </c>
      <c r="BG84" s="129">
        <f>'07_Мерч'!BG26-'07_Мерч'!BG22</f>
        <v/>
      </c>
      <c r="BH84" s="129">
        <f>'07_Мерч'!BH26-'07_Мерч'!BH22</f>
        <v/>
      </c>
      <c r="BI84" s="129">
        <f>'07_Мерч'!BI26-'07_Мерч'!BI22</f>
        <v/>
      </c>
    </row>
    <row r="85">
      <c r="A85" t="inlineStr">
        <is>
          <t>Денежный поток через мост от EBITDA</t>
        </is>
      </c>
      <c r="B85" s="167">
        <f>B44-B46-(B80-0)+(B81-0)+(B82-0)-(B83-0)-B84-B70+(B88-0)-B57</f>
        <v/>
      </c>
      <c r="C85" s="167">
        <f>C44-C46-(C80-B80)+(C81-B81)+(C82-B82)-(C83-B83)-C84-C70+(C88-B88)-C57</f>
        <v/>
      </c>
      <c r="D85" s="167">
        <f>D44-D46-(D80-C80)+(D81-C81)+(D82-C82)-(D83-C83)-D84-D70+(D88-C88)-D57</f>
        <v/>
      </c>
      <c r="E85" s="167">
        <f>E44-E46-(E80-D80)+(E81-D81)+(E82-D82)-(E83-D83)-E84-E70+(E88-D88)-E57</f>
        <v/>
      </c>
      <c r="F85" s="167">
        <f>F44-F46-(F80-E80)+(F81-E81)+(F82-E82)-(F83-E83)-F84-F70+(F88-E88)-F57</f>
        <v/>
      </c>
      <c r="G85" s="167">
        <f>G44-G46-(G80-F80)+(G81-F81)+(G82-F82)-(G83-F83)-G84-G70+(G88-F88)-G57</f>
        <v/>
      </c>
      <c r="H85" s="167">
        <f>H44-H46-(H80-G80)+(H81-G81)+(H82-G82)-(H83-G83)-H84-H70+(H88-G88)-H57</f>
        <v/>
      </c>
      <c r="I85" s="167">
        <f>I44-I46-(I80-H80)+(I81-H81)+(I82-H82)-(I83-H83)-I84-I70+(I88-H88)-I57</f>
        <v/>
      </c>
      <c r="J85" s="167">
        <f>J44-J46-(J80-I80)+(J81-I81)+(J82-I82)-(J83-I83)-J84-J70+(J88-I88)-J57</f>
        <v/>
      </c>
      <c r="K85" s="167">
        <f>K44-K46-(K80-J80)+(K81-J81)+(K82-J82)-(K83-J83)-K84-K70+(K88-J88)-K57</f>
        <v/>
      </c>
      <c r="L85" s="167">
        <f>L44-L46-(L80-K80)+(L81-K81)+(L82-K82)-(L83-K83)-L84-L70+(L88-K88)-L57</f>
        <v/>
      </c>
      <c r="M85" s="167">
        <f>M44-M46-(M80-L80)+(M81-L81)+(M82-L82)-(M83-L83)-M84-M70+(M88-L88)-M57</f>
        <v/>
      </c>
      <c r="N85" s="167">
        <f>N44-N46-(N80-M80)+(N81-M81)+(N82-M82)-(N83-M83)-N84-N70+(N88-M88)-N57</f>
        <v/>
      </c>
      <c r="O85" s="167">
        <f>O44-O46-(O80-N80)+(O81-N81)+(O82-N82)-(O83-N83)-O84-O70+(O88-N88)-O57</f>
        <v/>
      </c>
      <c r="P85" s="167">
        <f>P44-P46-(P80-O80)+(P81-O81)+(P82-O82)-(P83-O83)-P84-P70+(P88-O88)-P57</f>
        <v/>
      </c>
      <c r="Q85" s="167">
        <f>Q44-Q46-(Q80-P80)+(Q81-P81)+(Q82-P82)-(Q83-P83)-Q84-Q70+(Q88-P88)-Q57</f>
        <v/>
      </c>
      <c r="R85" s="167">
        <f>R44-R46-(R80-Q80)+(R81-Q81)+(R82-Q82)-(R83-Q83)-R84-R70+(R88-Q88)-R57</f>
        <v/>
      </c>
      <c r="S85" s="167">
        <f>S44-S46-(S80-R80)+(S81-R81)+(S82-R82)-(S83-R83)-S84-S70+(S88-R88)-S57</f>
        <v/>
      </c>
      <c r="T85" s="167">
        <f>T44-T46-(T80-S80)+(T81-S81)+(T82-S82)-(T83-S83)-T84-T70+(T88-S88)-T57</f>
        <v/>
      </c>
      <c r="U85" s="167">
        <f>U44-U46-(U80-T80)+(U81-T81)+(U82-T82)-(U83-T83)-U84-U70+(U88-T88)-U57</f>
        <v/>
      </c>
      <c r="V85" s="167">
        <f>V44-V46-(V80-U80)+(V81-U81)+(V82-U82)-(V83-U83)-V84-V70+(V88-U88)-V57</f>
        <v/>
      </c>
      <c r="W85" s="167">
        <f>W44-W46-(W80-V80)+(W81-V81)+(W82-V82)-(W83-V83)-W84-W70+(W88-V88)-W57</f>
        <v/>
      </c>
      <c r="X85" s="167">
        <f>X44-X46-(X80-W80)+(X81-W81)+(X82-W82)-(X83-W83)-X84-X70+(X88-W88)-X57</f>
        <v/>
      </c>
      <c r="Y85" s="167">
        <f>Y44-Y46-(Y80-X80)+(Y81-X81)+(Y82-X82)-(Y83-X83)-Y84-Y70+(Y88-X88)-Y57</f>
        <v/>
      </c>
      <c r="Z85" s="167">
        <f>Z44-Z46-(Z80-Y80)+(Z81-Y81)+(Z82-Y82)-(Z83-Y83)-Z84-Z70+(Z88-Y88)-Z57</f>
        <v/>
      </c>
      <c r="AA85" s="167">
        <f>AA44-AA46-(AA80-Z80)+(AA81-Z81)+(AA82-Z82)-(AA83-Z83)-AA84-AA70+(AA88-Z88)-AA57</f>
        <v/>
      </c>
      <c r="AB85" s="167">
        <f>AB44-AB46-(AB80-AA80)+(AB81-AA81)+(AB82-AA82)-(AB83-AA83)-AB84-AB70+(AB88-AA88)-AB57</f>
        <v/>
      </c>
      <c r="AC85" s="167">
        <f>AC44-AC46-(AC80-AB80)+(AC81-AB81)+(AC82-AB82)-(AC83-AB83)-AC84-AC70+(AC88-AB88)-AC57</f>
        <v/>
      </c>
      <c r="AD85" s="167">
        <f>AD44-AD46-(AD80-AC80)+(AD81-AC81)+(AD82-AC82)-(AD83-AC83)-AD84-AD70+(AD88-AC88)-AD57</f>
        <v/>
      </c>
      <c r="AE85" s="167">
        <f>AE44-AE46-(AE80-AD80)+(AE81-AD81)+(AE82-AD82)-(AE83-AD83)-AE84-AE70+(AE88-AD88)-AE57</f>
        <v/>
      </c>
      <c r="AF85" s="167">
        <f>AF44-AF46-(AF80-AE80)+(AF81-AE81)+(AF82-AE82)-(AF83-AE83)-AF84-AF70+(AF88-AE88)-AF57</f>
        <v/>
      </c>
      <c r="AG85" s="167">
        <f>AG44-AG46-(AG80-AF80)+(AG81-AF81)+(AG82-AF82)-(AG83-AF83)-AG84-AG70+(AG88-AF88)-AG57</f>
        <v/>
      </c>
      <c r="AH85" s="167">
        <f>AH44-AH46-(AH80-AG80)+(AH81-AG81)+(AH82-AG82)-(AH83-AG83)-AH84-AH70+(AH88-AG88)-AH57</f>
        <v/>
      </c>
      <c r="AI85" s="167">
        <f>AI44-AI46-(AI80-AH80)+(AI81-AH81)+(AI82-AH82)-(AI83-AH83)-AI84-AI70+(AI88-AH88)-AI57</f>
        <v/>
      </c>
      <c r="AJ85" s="167">
        <f>AJ44-AJ46-(AJ80-AI80)+(AJ81-AI81)+(AJ82-AI82)-(AJ83-AI83)-AJ84-AJ70+(AJ88-AI88)-AJ57</f>
        <v/>
      </c>
      <c r="AK85" s="167">
        <f>AK44-AK46-(AK80-AJ80)+(AK81-AJ81)+(AK82-AJ82)-(AK83-AJ83)-AK84-AK70+(AK88-AJ88)-AK57</f>
        <v/>
      </c>
      <c r="AL85" s="167">
        <f>AL44-AL46-(AL80-AK80)+(AL81-AK81)+(AL82-AK82)-(AL83-AK83)-AL84-AL70+(AL88-AK88)-AL57</f>
        <v/>
      </c>
      <c r="AM85" s="167">
        <f>AM44-AM46-(AM80-AL80)+(AM81-AL81)+(AM82-AL82)-(AM83-AL83)-AM84-AM70+(AM88-AL88)-AM57</f>
        <v/>
      </c>
      <c r="AN85" s="167">
        <f>AN44-AN46-(AN80-AM80)+(AN81-AM81)+(AN82-AM82)-(AN83-AM83)-AN84-AN70+(AN88-AM88)-AN57</f>
        <v/>
      </c>
      <c r="AO85" s="167">
        <f>AO44-AO46-(AO80-AN80)+(AO81-AN81)+(AO82-AN82)-(AO83-AN83)-AO84-AO70+(AO88-AN88)-AO57</f>
        <v/>
      </c>
      <c r="AP85" s="167">
        <f>AP44-AP46-(AP80-AO80)+(AP81-AO81)+(AP82-AO82)-(AP83-AO83)-AP84-AP70+(AP88-AO88)-AP57</f>
        <v/>
      </c>
      <c r="AQ85" s="167">
        <f>AQ44-AQ46-(AQ80-AP80)+(AQ81-AP81)+(AQ82-AP82)-(AQ83-AP83)-AQ84-AQ70+(AQ88-AP88)-AQ57</f>
        <v/>
      </c>
      <c r="AR85" s="167">
        <f>AR44-AR46-(AR80-AQ80)+(AR81-AQ81)+(AR82-AQ82)-(AR83-AQ83)-AR84-AR70+(AR88-AQ88)-AR57</f>
        <v/>
      </c>
      <c r="AS85" s="167">
        <f>AS44-AS46-(AS80-AR80)+(AS81-AR81)+(AS82-AR82)-(AS83-AR83)-AS84-AS70+(AS88-AR88)-AS57</f>
        <v/>
      </c>
      <c r="AT85" s="167">
        <f>AT44-AT46-(AT80-AS80)+(AT81-AS81)+(AT82-AS82)-(AT83-AS83)-AT84-AT70+(AT88-AS88)-AT57</f>
        <v/>
      </c>
      <c r="AU85" s="167">
        <f>AU44-AU46-(AU80-AT80)+(AU81-AT81)+(AU82-AT82)-(AU83-AT83)-AU84-AU70+(AU88-AT88)-AU57</f>
        <v/>
      </c>
      <c r="AV85" s="167">
        <f>AV44-AV46-(AV80-AU80)+(AV81-AU81)+(AV82-AU82)-(AV83-AU83)-AV84-AV70+(AV88-AU88)-AV57</f>
        <v/>
      </c>
      <c r="AW85" s="167">
        <f>AW44-AW46-(AW80-AV80)+(AW81-AV81)+(AW82-AV82)-(AW83-AV83)-AW84-AW70+(AW88-AV88)-AW57</f>
        <v/>
      </c>
      <c r="AX85" s="167">
        <f>AX44-AX46-(AX80-AW80)+(AX81-AW81)+(AX82-AW82)-(AX83-AW83)-AX84-AX70+(AX88-AW88)-AX57</f>
        <v/>
      </c>
      <c r="AY85" s="167">
        <f>AY44-AY46-(AY80-AX80)+(AY81-AX81)+(AY82-AX82)-(AY83-AX83)-AY84-AY70+(AY88-AX88)-AY57</f>
        <v/>
      </c>
      <c r="AZ85" s="167">
        <f>AZ44-AZ46-(AZ80-AY80)+(AZ81-AY81)+(AZ82-AY82)-(AZ83-AY83)-AZ84-AZ70+(AZ88-AY88)-AZ57</f>
        <v/>
      </c>
      <c r="BA85" s="167">
        <f>BA44-BA46-(BA80-AZ80)+(BA81-AZ81)+(BA82-AZ82)-(BA83-AZ83)-BA84-BA70+(BA88-AZ88)-BA57</f>
        <v/>
      </c>
      <c r="BB85" s="167">
        <f>BB44-BB46-(BB80-BA80)+(BB81-BA81)+(BB82-BA82)-(BB83-BA83)-BB84-BB70+(BB88-BA88)-BB57</f>
        <v/>
      </c>
      <c r="BC85" s="167">
        <f>BC44-BC46-(BC80-BB80)+(BC81-BB81)+(BC82-BB82)-(BC83-BB83)-BC84-BC70+(BC88-BB88)-BC57</f>
        <v/>
      </c>
      <c r="BD85" s="167">
        <f>BD44-BD46-(BD80-BC80)+(BD81-BC81)+(BD82-BC82)-(BD83-BC83)-BD84-BD70+(BD88-BC88)-BD57</f>
        <v/>
      </c>
      <c r="BE85" s="167">
        <f>BE44-BE46-(BE80-BD80)+(BE81-BD81)+(BE82-BD82)-(BE83-BD83)-BE84-BE70+(BE88-BD88)-BE57</f>
        <v/>
      </c>
      <c r="BF85" s="167">
        <f>BF44-BF46-(BF80-BE80)+(BF81-BE81)+(BF82-BE82)-(BF83-BE83)-BF84-BF70+(BF88-BE88)-BF57</f>
        <v/>
      </c>
      <c r="BG85" s="167">
        <f>BG44-BG46-(BG80-BF80)+(BG81-BF81)+(BG82-BF82)-(BG83-BF83)-BG84-BG70+(BG88-BF88)-BG57</f>
        <v/>
      </c>
      <c r="BH85" s="167">
        <f>BH44-BH46-(BH80-BG80)+(BH81-BG81)+(BH82-BG82)-(BH83-BG83)-BH84-BH70+(BH88-BG88)-BH57</f>
        <v/>
      </c>
      <c r="BI85" s="167">
        <f>BI44-BI46-(BI80-BH80)+(BI81-BH81)+(BI82-BH82)-(BI83-BH83)-BI84-BI70+(BI88-BH88)-BI57</f>
        <v/>
      </c>
    </row>
    <row r="86">
      <c r="A86" t="inlineStr">
        <is>
          <t>Сверка БДР → БДДС (должен быть 0)</t>
        </is>
      </c>
      <c r="B86" s="100">
        <f>B85-B71</f>
        <v/>
      </c>
      <c r="C86" s="100">
        <f>C85-C71</f>
        <v/>
      </c>
      <c r="D86" s="100">
        <f>D85-D71</f>
        <v/>
      </c>
      <c r="E86" s="100">
        <f>E85-E71</f>
        <v/>
      </c>
      <c r="F86" s="100">
        <f>F85-F71</f>
        <v/>
      </c>
      <c r="G86" s="100">
        <f>G85-G71</f>
        <v/>
      </c>
      <c r="H86" s="100">
        <f>H85-H71</f>
        <v/>
      </c>
      <c r="I86" s="100">
        <f>I85-I71</f>
        <v/>
      </c>
      <c r="J86" s="100">
        <f>J85-J71</f>
        <v/>
      </c>
      <c r="K86" s="100">
        <f>K85-K71</f>
        <v/>
      </c>
      <c r="L86" s="100">
        <f>L85-L71</f>
        <v/>
      </c>
      <c r="M86" s="100">
        <f>M85-M71</f>
        <v/>
      </c>
      <c r="N86" s="100">
        <f>N85-N71</f>
        <v/>
      </c>
      <c r="O86" s="100">
        <f>O85-O71</f>
        <v/>
      </c>
      <c r="P86" s="100">
        <f>P85-P71</f>
        <v/>
      </c>
      <c r="Q86" s="100">
        <f>Q85-Q71</f>
        <v/>
      </c>
      <c r="R86" s="100">
        <f>R85-R71</f>
        <v/>
      </c>
      <c r="S86" s="100">
        <f>S85-S71</f>
        <v/>
      </c>
      <c r="T86" s="100">
        <f>T85-T71</f>
        <v/>
      </c>
      <c r="U86" s="100">
        <f>U85-U71</f>
        <v/>
      </c>
      <c r="V86" s="100">
        <f>V85-V71</f>
        <v/>
      </c>
      <c r="W86" s="100">
        <f>W85-W71</f>
        <v/>
      </c>
      <c r="X86" s="100">
        <f>X85-X71</f>
        <v/>
      </c>
      <c r="Y86" s="100">
        <f>Y85-Y71</f>
        <v/>
      </c>
      <c r="Z86" s="100">
        <f>Z85-Z71</f>
        <v/>
      </c>
      <c r="AA86" s="100">
        <f>AA85-AA71</f>
        <v/>
      </c>
      <c r="AB86" s="100">
        <f>AB85-AB71</f>
        <v/>
      </c>
      <c r="AC86" s="100">
        <f>AC85-AC71</f>
        <v/>
      </c>
      <c r="AD86" s="100">
        <f>AD85-AD71</f>
        <v/>
      </c>
      <c r="AE86" s="100">
        <f>AE85-AE71</f>
        <v/>
      </c>
      <c r="AF86" s="100">
        <f>AF85-AF71</f>
        <v/>
      </c>
      <c r="AG86" s="100">
        <f>AG85-AG71</f>
        <v/>
      </c>
      <c r="AH86" s="100">
        <f>AH85-AH71</f>
        <v/>
      </c>
      <c r="AI86" s="100">
        <f>AI85-AI71</f>
        <v/>
      </c>
      <c r="AJ86" s="100">
        <f>AJ85-AJ71</f>
        <v/>
      </c>
      <c r="AK86" s="100">
        <f>AK85-AK71</f>
        <v/>
      </c>
      <c r="AL86" s="100">
        <f>AL85-AL71</f>
        <v/>
      </c>
      <c r="AM86" s="100">
        <f>AM85-AM71</f>
        <v/>
      </c>
      <c r="AN86" s="100">
        <f>AN85-AN71</f>
        <v/>
      </c>
      <c r="AO86" s="100">
        <f>AO85-AO71</f>
        <v/>
      </c>
      <c r="AP86" s="100">
        <f>AP85-AP71</f>
        <v/>
      </c>
      <c r="AQ86" s="100">
        <f>AQ85-AQ71</f>
        <v/>
      </c>
      <c r="AR86" s="100">
        <f>AR85-AR71</f>
        <v/>
      </c>
      <c r="AS86" s="100">
        <f>AS85-AS71</f>
        <v/>
      </c>
      <c r="AT86" s="100">
        <f>AT85-AT71</f>
        <v/>
      </c>
      <c r="AU86" s="100">
        <f>AU85-AU71</f>
        <v/>
      </c>
      <c r="AV86" s="100">
        <f>AV85-AV71</f>
        <v/>
      </c>
      <c r="AW86" s="100">
        <f>AW85-AW71</f>
        <v/>
      </c>
      <c r="AX86" s="100">
        <f>AX85-AX71</f>
        <v/>
      </c>
      <c r="AY86" s="100">
        <f>AY85-AY71</f>
        <v/>
      </c>
      <c r="AZ86" s="100">
        <f>AZ85-AZ71</f>
        <v/>
      </c>
      <c r="BA86" s="100">
        <f>BA85-BA71</f>
        <v/>
      </c>
      <c r="BB86" s="100">
        <f>BB85-BB71</f>
        <v/>
      </c>
      <c r="BC86" s="100">
        <f>BC85-BC71</f>
        <v/>
      </c>
      <c r="BD86" s="100">
        <f>BD85-BD71</f>
        <v/>
      </c>
      <c r="BE86" s="100">
        <f>BE85-BE71</f>
        <v/>
      </c>
      <c r="BF86" s="100">
        <f>BF85-BF71</f>
        <v/>
      </c>
      <c r="BG86" s="100">
        <f>BG85-BG71</f>
        <v/>
      </c>
      <c r="BH86" s="100">
        <f>BH85-BH71</f>
        <v/>
      </c>
      <c r="BI86" s="100">
        <f>BI85-BI71</f>
        <v/>
      </c>
    </row>
    <row r="87">
      <c r="A87" t="inlineStr">
        <is>
          <t>Баланс склада (должен быть 0)</t>
        </is>
      </c>
      <c r="B87" s="129">
        <f>'07_Мерч'!B22+'07_Мерч'!B25-'07_Мерч'!B23-'07_Мерч'!B26</f>
        <v/>
      </c>
      <c r="C87" s="129">
        <f>'07_Мерч'!C22+'07_Мерч'!C25-'07_Мерч'!C23-'07_Мерч'!C26</f>
        <v/>
      </c>
      <c r="D87" s="129">
        <f>'07_Мерч'!D22+'07_Мерч'!D25-'07_Мерч'!D23-'07_Мерч'!D26</f>
        <v/>
      </c>
      <c r="E87" s="129">
        <f>'07_Мерч'!E22+'07_Мерч'!E25-'07_Мерч'!E23-'07_Мерч'!E26</f>
        <v/>
      </c>
      <c r="F87" s="129">
        <f>'07_Мерч'!F22+'07_Мерч'!F25-'07_Мерч'!F23-'07_Мерч'!F26</f>
        <v/>
      </c>
      <c r="G87" s="129">
        <f>'07_Мерч'!G22+'07_Мерч'!G25-'07_Мерч'!G23-'07_Мерч'!G26</f>
        <v/>
      </c>
      <c r="H87" s="129">
        <f>'07_Мерч'!H22+'07_Мерч'!H25-'07_Мерч'!H23-'07_Мерч'!H26</f>
        <v/>
      </c>
      <c r="I87" s="129">
        <f>'07_Мерч'!I22+'07_Мерч'!I25-'07_Мерч'!I23-'07_Мерч'!I26</f>
        <v/>
      </c>
      <c r="J87" s="129">
        <f>'07_Мерч'!J22+'07_Мерч'!J25-'07_Мерч'!J23-'07_Мерч'!J26</f>
        <v/>
      </c>
      <c r="K87" s="129">
        <f>'07_Мерч'!K22+'07_Мерч'!K25-'07_Мерч'!K23-'07_Мерч'!K26</f>
        <v/>
      </c>
      <c r="L87" s="129">
        <f>'07_Мерч'!L22+'07_Мерч'!L25-'07_Мерч'!L23-'07_Мерч'!L26</f>
        <v/>
      </c>
      <c r="M87" s="129">
        <f>'07_Мерч'!M22+'07_Мерч'!M25-'07_Мерч'!M23-'07_Мерч'!M26</f>
        <v/>
      </c>
      <c r="N87" s="129">
        <f>'07_Мерч'!N22+'07_Мерч'!N25-'07_Мерч'!N23-'07_Мерч'!N26</f>
        <v/>
      </c>
      <c r="O87" s="129">
        <f>'07_Мерч'!O22+'07_Мерч'!O25-'07_Мерч'!O23-'07_Мерч'!O26</f>
        <v/>
      </c>
      <c r="P87" s="129">
        <f>'07_Мерч'!P22+'07_Мерч'!P25-'07_Мерч'!P23-'07_Мерч'!P26</f>
        <v/>
      </c>
      <c r="Q87" s="129">
        <f>'07_Мерч'!Q22+'07_Мерч'!Q25-'07_Мерч'!Q23-'07_Мерч'!Q26</f>
        <v/>
      </c>
      <c r="R87" s="129">
        <f>'07_Мерч'!R22+'07_Мерч'!R25-'07_Мерч'!R23-'07_Мерч'!R26</f>
        <v/>
      </c>
      <c r="S87" s="129">
        <f>'07_Мерч'!S22+'07_Мерч'!S25-'07_Мерч'!S23-'07_Мерч'!S26</f>
        <v/>
      </c>
      <c r="T87" s="129">
        <f>'07_Мерч'!T22+'07_Мерч'!T25-'07_Мерч'!T23-'07_Мерч'!T26</f>
        <v/>
      </c>
      <c r="U87" s="129">
        <f>'07_Мерч'!U22+'07_Мерч'!U25-'07_Мерч'!U23-'07_Мерч'!U26</f>
        <v/>
      </c>
      <c r="V87" s="129">
        <f>'07_Мерч'!V22+'07_Мерч'!V25-'07_Мерч'!V23-'07_Мерч'!V26</f>
        <v/>
      </c>
      <c r="W87" s="129">
        <f>'07_Мерч'!W22+'07_Мерч'!W25-'07_Мерч'!W23-'07_Мерч'!W26</f>
        <v/>
      </c>
      <c r="X87" s="129">
        <f>'07_Мерч'!X22+'07_Мерч'!X25-'07_Мерч'!X23-'07_Мерч'!X26</f>
        <v/>
      </c>
      <c r="Y87" s="129">
        <f>'07_Мерч'!Y22+'07_Мерч'!Y25-'07_Мерч'!Y23-'07_Мерч'!Y26</f>
        <v/>
      </c>
      <c r="Z87" s="129">
        <f>'07_Мерч'!Z22+'07_Мерч'!Z25-'07_Мерч'!Z23-'07_Мерч'!Z26</f>
        <v/>
      </c>
      <c r="AA87" s="129">
        <f>'07_Мерч'!AA22+'07_Мерч'!AA25-'07_Мерч'!AA23-'07_Мерч'!AA26</f>
        <v/>
      </c>
      <c r="AB87" s="129">
        <f>'07_Мерч'!AB22+'07_Мерч'!AB25-'07_Мерч'!AB23-'07_Мерч'!AB26</f>
        <v/>
      </c>
      <c r="AC87" s="129">
        <f>'07_Мерч'!AC22+'07_Мерч'!AC25-'07_Мерч'!AC23-'07_Мерч'!AC26</f>
        <v/>
      </c>
      <c r="AD87" s="129">
        <f>'07_Мерч'!AD22+'07_Мерч'!AD25-'07_Мерч'!AD23-'07_Мерч'!AD26</f>
        <v/>
      </c>
      <c r="AE87" s="129">
        <f>'07_Мерч'!AE22+'07_Мерч'!AE25-'07_Мерч'!AE23-'07_Мерч'!AE26</f>
        <v/>
      </c>
      <c r="AF87" s="129">
        <f>'07_Мерч'!AF22+'07_Мерч'!AF25-'07_Мерч'!AF23-'07_Мерч'!AF26</f>
        <v/>
      </c>
      <c r="AG87" s="129">
        <f>'07_Мерч'!AG22+'07_Мерч'!AG25-'07_Мерч'!AG23-'07_Мерч'!AG26</f>
        <v/>
      </c>
      <c r="AH87" s="129">
        <f>'07_Мерч'!AH22+'07_Мерч'!AH25-'07_Мерч'!AH23-'07_Мерч'!AH26</f>
        <v/>
      </c>
      <c r="AI87" s="129">
        <f>'07_Мерч'!AI22+'07_Мерч'!AI25-'07_Мерч'!AI23-'07_Мерч'!AI26</f>
        <v/>
      </c>
      <c r="AJ87" s="129">
        <f>'07_Мерч'!AJ22+'07_Мерч'!AJ25-'07_Мерч'!AJ23-'07_Мерч'!AJ26</f>
        <v/>
      </c>
      <c r="AK87" s="129">
        <f>'07_Мерч'!AK22+'07_Мерч'!AK25-'07_Мерч'!AK23-'07_Мерч'!AK26</f>
        <v/>
      </c>
      <c r="AL87" s="129">
        <f>'07_Мерч'!AL22+'07_Мерч'!AL25-'07_Мерч'!AL23-'07_Мерч'!AL26</f>
        <v/>
      </c>
      <c r="AM87" s="129">
        <f>'07_Мерч'!AM22+'07_Мерч'!AM25-'07_Мерч'!AM23-'07_Мерч'!AM26</f>
        <v/>
      </c>
      <c r="AN87" s="129">
        <f>'07_Мерч'!AN22+'07_Мерч'!AN25-'07_Мерч'!AN23-'07_Мерч'!AN26</f>
        <v/>
      </c>
      <c r="AO87" s="129">
        <f>'07_Мерч'!AO22+'07_Мерч'!AO25-'07_Мерч'!AO23-'07_Мерч'!AO26</f>
        <v/>
      </c>
      <c r="AP87" s="129">
        <f>'07_Мерч'!AP22+'07_Мерч'!AP25-'07_Мерч'!AP23-'07_Мерч'!AP26</f>
        <v/>
      </c>
      <c r="AQ87" s="129">
        <f>'07_Мерч'!AQ22+'07_Мерч'!AQ25-'07_Мерч'!AQ23-'07_Мерч'!AQ26</f>
        <v/>
      </c>
      <c r="AR87" s="129">
        <f>'07_Мерч'!AR22+'07_Мерч'!AR25-'07_Мерч'!AR23-'07_Мерч'!AR26</f>
        <v/>
      </c>
      <c r="AS87" s="129">
        <f>'07_Мерч'!AS22+'07_Мерч'!AS25-'07_Мерч'!AS23-'07_Мерч'!AS26</f>
        <v/>
      </c>
      <c r="AT87" s="129">
        <f>'07_Мерч'!AT22+'07_Мерч'!AT25-'07_Мерч'!AT23-'07_Мерч'!AT26</f>
        <v/>
      </c>
      <c r="AU87" s="129">
        <f>'07_Мерч'!AU22+'07_Мерч'!AU25-'07_Мерч'!AU23-'07_Мерч'!AU26</f>
        <v/>
      </c>
      <c r="AV87" s="129">
        <f>'07_Мерч'!AV22+'07_Мерч'!AV25-'07_Мерч'!AV23-'07_Мерч'!AV26</f>
        <v/>
      </c>
      <c r="AW87" s="129">
        <f>'07_Мерч'!AW22+'07_Мерч'!AW25-'07_Мерч'!AW23-'07_Мерч'!AW26</f>
        <v/>
      </c>
      <c r="AX87" s="129">
        <f>'07_Мерч'!AX22+'07_Мерч'!AX25-'07_Мерч'!AX23-'07_Мерч'!AX26</f>
        <v/>
      </c>
      <c r="AY87" s="129">
        <f>'07_Мерч'!AY22+'07_Мерч'!AY25-'07_Мерч'!AY23-'07_Мерч'!AY26</f>
        <v/>
      </c>
      <c r="AZ87" s="129">
        <f>'07_Мерч'!AZ22+'07_Мерч'!AZ25-'07_Мерч'!AZ23-'07_Мерч'!AZ26</f>
        <v/>
      </c>
      <c r="BA87" s="129">
        <f>'07_Мерч'!BA22+'07_Мерч'!BA25-'07_Мерч'!BA23-'07_Мерч'!BA26</f>
        <v/>
      </c>
      <c r="BB87" s="129">
        <f>'07_Мерч'!BB22+'07_Мерч'!BB25-'07_Мерч'!BB23-'07_Мерч'!BB26</f>
        <v/>
      </c>
      <c r="BC87" s="129">
        <f>'07_Мерч'!BC22+'07_Мерч'!BC25-'07_Мерч'!BC23-'07_Мерч'!BC26</f>
        <v/>
      </c>
      <c r="BD87" s="129">
        <f>'07_Мерч'!BD22+'07_Мерч'!BD25-'07_Мерч'!BD23-'07_Мерч'!BD26</f>
        <v/>
      </c>
      <c r="BE87" s="129">
        <f>'07_Мерч'!BE22+'07_Мерч'!BE25-'07_Мерч'!BE23-'07_Мерч'!BE26</f>
        <v/>
      </c>
      <c r="BF87" s="129">
        <f>'07_Мерч'!BF22+'07_Мерч'!BF25-'07_Мерч'!BF23-'07_Мерч'!BF26</f>
        <v/>
      </c>
      <c r="BG87" s="129">
        <f>'07_Мерч'!BG22+'07_Мерч'!BG25-'07_Мерч'!BG23-'07_Мерч'!BG26</f>
        <v/>
      </c>
      <c r="BH87" s="129">
        <f>'07_Мерч'!BH22+'07_Мерч'!BH25-'07_Мерч'!BH23-'07_Мерч'!BH26</f>
        <v/>
      </c>
      <c r="BI87" s="129">
        <f>'07_Мерч'!BI22+'07_Мерч'!BI25-'07_Мерч'!BI23-'07_Мерч'!BI26</f>
        <v/>
      </c>
    </row>
    <row r="88">
      <c r="A88" t="inlineStr">
        <is>
          <t>Обязательство перед ФК по операционным выплатам</t>
        </is>
      </c>
      <c r="B88" s="100">
        <f>0+SUM(B28:B30)-B61</f>
        <v/>
      </c>
      <c r="C88" s="100">
        <f>B88+SUM(C28:C30)-C61</f>
        <v/>
      </c>
      <c r="D88" s="100">
        <f>C88+SUM(D28:D30)-D61</f>
        <v/>
      </c>
      <c r="E88" s="100">
        <f>D88+SUM(E28:E30)-E61</f>
        <v/>
      </c>
      <c r="F88" s="100">
        <f>E88+SUM(F28:F30)-F61</f>
        <v/>
      </c>
      <c r="G88" s="100">
        <f>F88+SUM(G28:G30)-G61</f>
        <v/>
      </c>
      <c r="H88" s="100">
        <f>G88+SUM(H28:H30)-H61</f>
        <v/>
      </c>
      <c r="I88" s="100">
        <f>H88+SUM(I28:I30)-I61</f>
        <v/>
      </c>
      <c r="J88" s="100">
        <f>I88+SUM(J28:J30)-J61</f>
        <v/>
      </c>
      <c r="K88" s="100">
        <f>J88+SUM(K28:K30)-K61</f>
        <v/>
      </c>
      <c r="L88" s="100">
        <f>K88+SUM(L28:L30)-L61</f>
        <v/>
      </c>
      <c r="M88" s="100">
        <f>L88+SUM(M28:M30)-M61</f>
        <v/>
      </c>
      <c r="N88" s="100">
        <f>M88+SUM(N28:N30)-N61</f>
        <v/>
      </c>
      <c r="O88" s="100">
        <f>N88+SUM(O28:O30)-O61</f>
        <v/>
      </c>
      <c r="P88" s="100">
        <f>O88+SUM(P28:P30)-P61</f>
        <v/>
      </c>
      <c r="Q88" s="100">
        <f>P88+SUM(Q28:Q30)-Q61</f>
        <v/>
      </c>
      <c r="R88" s="100">
        <f>Q88+SUM(R28:R30)-R61</f>
        <v/>
      </c>
      <c r="S88" s="100">
        <f>R88+SUM(S28:S30)-S61</f>
        <v/>
      </c>
      <c r="T88" s="100">
        <f>S88+SUM(T28:T30)-T61</f>
        <v/>
      </c>
      <c r="U88" s="100">
        <f>T88+SUM(U28:U30)-U61</f>
        <v/>
      </c>
      <c r="V88" s="100">
        <f>U88+SUM(V28:V30)-V61</f>
        <v/>
      </c>
      <c r="W88" s="100">
        <f>V88+SUM(W28:W30)-W61</f>
        <v/>
      </c>
      <c r="X88" s="100">
        <f>W88+SUM(X28:X30)-X61</f>
        <v/>
      </c>
      <c r="Y88" s="100">
        <f>X88+SUM(Y28:Y30)-Y61</f>
        <v/>
      </c>
      <c r="Z88" s="100">
        <f>Y88+SUM(Z28:Z30)-Z61</f>
        <v/>
      </c>
      <c r="AA88" s="100">
        <f>Z88+SUM(AA28:AA30)-AA61</f>
        <v/>
      </c>
      <c r="AB88" s="100">
        <f>AA88+SUM(AB28:AB30)-AB61</f>
        <v/>
      </c>
      <c r="AC88" s="100">
        <f>AB88+SUM(AC28:AC30)-AC61</f>
        <v/>
      </c>
      <c r="AD88" s="100">
        <f>AC88+SUM(AD28:AD30)-AD61</f>
        <v/>
      </c>
      <c r="AE88" s="100">
        <f>AD88+SUM(AE28:AE30)-AE61</f>
        <v/>
      </c>
      <c r="AF88" s="100">
        <f>AE88+SUM(AF28:AF30)-AF61</f>
        <v/>
      </c>
      <c r="AG88" s="100">
        <f>AF88+SUM(AG28:AG30)-AG61</f>
        <v/>
      </c>
      <c r="AH88" s="100">
        <f>AG88+SUM(AH28:AH30)-AH61</f>
        <v/>
      </c>
      <c r="AI88" s="100">
        <f>AH88+SUM(AI28:AI30)-AI61</f>
        <v/>
      </c>
      <c r="AJ88" s="100">
        <f>AI88+SUM(AJ28:AJ30)-AJ61</f>
        <v/>
      </c>
      <c r="AK88" s="100">
        <f>AJ88+SUM(AK28:AK30)-AK61</f>
        <v/>
      </c>
      <c r="AL88" s="100">
        <f>AK88+SUM(AL28:AL30)-AL61</f>
        <v/>
      </c>
      <c r="AM88" s="100">
        <f>AL88+SUM(AM28:AM30)-AM61</f>
        <v/>
      </c>
      <c r="AN88" s="100">
        <f>AM88+SUM(AN28:AN30)-AN61</f>
        <v/>
      </c>
      <c r="AO88" s="100">
        <f>AN88+SUM(AO28:AO30)-AO61</f>
        <v/>
      </c>
      <c r="AP88" s="100">
        <f>AO88+SUM(AP28:AP30)-AP61</f>
        <v/>
      </c>
      <c r="AQ88" s="100">
        <f>AP88+SUM(AQ28:AQ30)-AQ61</f>
        <v/>
      </c>
      <c r="AR88" s="100">
        <f>AQ88+SUM(AR28:AR30)-AR61</f>
        <v/>
      </c>
      <c r="AS88" s="100">
        <f>AR88+SUM(AS28:AS30)-AS61</f>
        <v/>
      </c>
      <c r="AT88" s="100">
        <f>AS88+SUM(AT28:AT30)-AT61</f>
        <v/>
      </c>
      <c r="AU88" s="100">
        <f>AT88+SUM(AU28:AU30)-AU61</f>
        <v/>
      </c>
      <c r="AV88" s="100">
        <f>AU88+SUM(AV28:AV30)-AV61</f>
        <v/>
      </c>
      <c r="AW88" s="100">
        <f>AV88+SUM(AW28:AW30)-AW61</f>
        <v/>
      </c>
      <c r="AX88" s="100">
        <f>AW88+SUM(AX28:AX30)-AX61</f>
        <v/>
      </c>
      <c r="AY88" s="100">
        <f>AX88+SUM(AY28:AY30)-AY61</f>
        <v/>
      </c>
      <c r="AZ88" s="100">
        <f>AY88+SUM(AZ28:AZ30)-AZ61</f>
        <v/>
      </c>
      <c r="BA88" s="100">
        <f>AZ88+SUM(BA28:BA30)-BA61</f>
        <v/>
      </c>
      <c r="BB88" s="100">
        <f>BA88+SUM(BB28:BB30)-BB61</f>
        <v/>
      </c>
      <c r="BC88" s="100">
        <f>BB88+SUM(BC28:BC30)-BC61</f>
        <v/>
      </c>
      <c r="BD88" s="100">
        <f>BC88+SUM(BD28:BD30)-BD61</f>
        <v/>
      </c>
      <c r="BE88" s="100">
        <f>BD88+SUM(BE28:BE30)-BE61</f>
        <v/>
      </c>
      <c r="BF88" s="100">
        <f>BE88+SUM(BF28:BF30)-BF61</f>
        <v/>
      </c>
      <c r="BG88" s="100">
        <f>BF88+SUM(BG28:BG30)-BG61</f>
        <v/>
      </c>
      <c r="BH88" s="100">
        <f>BG88+SUM(BH28:BH30)-BH61</f>
        <v/>
      </c>
      <c r="BI88" s="100">
        <f>BH88+SUM(BI28:BI30)-BI61</f>
        <v/>
      </c>
    </row>
    <row r="89">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c r="AA89" s="73" t="n"/>
      <c r="AB89" s="73" t="n"/>
      <c r="AC89" s="73" t="n"/>
      <c r="AD89" s="73" t="n"/>
      <c r="AE89" s="73" t="n"/>
      <c r="AF89" s="73" t="n"/>
      <c r="AG89" s="73" t="n"/>
      <c r="AH89" s="73" t="n"/>
      <c r="AI89" s="73" t="n"/>
      <c r="AJ89" s="73" t="n"/>
      <c r="AK89" s="73" t="n"/>
      <c r="AL89" s="73" t="n"/>
      <c r="AM89" s="73" t="n"/>
      <c r="AN89" s="73" t="n"/>
      <c r="AO89" s="73" t="n"/>
      <c r="AP89" s="73" t="n"/>
      <c r="AQ89" s="73" t="n"/>
      <c r="AR89" s="73" t="n"/>
      <c r="AS89" s="73" t="n"/>
      <c r="AT89" s="73" t="n"/>
      <c r="AU89" s="73" t="n"/>
      <c r="AV89" s="73" t="n"/>
      <c r="AW89" s="73" t="n"/>
      <c r="AX89" s="73" t="n"/>
      <c r="AY89" s="73" t="n"/>
      <c r="AZ89" s="73" t="n"/>
      <c r="BA89" s="73" t="n"/>
      <c r="BB89" s="73" t="n"/>
      <c r="BC89" s="73" t="n"/>
      <c r="BD89" s="73" t="n"/>
      <c r="BE89" s="73" t="n"/>
      <c r="BF89" s="73" t="n"/>
      <c r="BG89" s="73" t="n"/>
      <c r="BH89" s="73" t="n"/>
      <c r="BI89" s="73" t="n"/>
    </row>
    <row r="90">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c r="AA90" s="73" t="n"/>
      <c r="AB90" s="73" t="n"/>
      <c r="AC90" s="73" t="n"/>
      <c r="AD90" s="73" t="n"/>
      <c r="AE90" s="73" t="n"/>
      <c r="AF90" s="73" t="n"/>
      <c r="AG90" s="73" t="n"/>
      <c r="AH90" s="73" t="n"/>
      <c r="AI90" s="73" t="n"/>
      <c r="AJ90" s="73" t="n"/>
      <c r="AK90" s="73" t="n"/>
      <c r="AL90" s="73" t="n"/>
      <c r="AM90" s="73" t="n"/>
      <c r="AN90" s="73" t="n"/>
      <c r="AO90" s="73" t="n"/>
      <c r="AP90" s="73" t="n"/>
      <c r="AQ90" s="73" t="n"/>
      <c r="AR90" s="73" t="n"/>
      <c r="AS90" s="73" t="n"/>
      <c r="AT90" s="73" t="n"/>
      <c r="AU90" s="73" t="n"/>
      <c r="AV90" s="73" t="n"/>
      <c r="AW90" s="73" t="n"/>
      <c r="AX90" s="73" t="n"/>
      <c r="AY90" s="73" t="n"/>
      <c r="AZ90" s="73" t="n"/>
      <c r="BA90" s="73" t="n"/>
      <c r="BB90" s="73" t="n"/>
      <c r="BC90" s="73" t="n"/>
      <c r="BD90" s="73" t="n"/>
      <c r="BE90" s="73" t="n"/>
      <c r="BF90" s="73" t="n"/>
      <c r="BG90" s="73" t="n"/>
      <c r="BH90" s="73" t="n"/>
      <c r="BI90" s="73" t="n"/>
    </row>
    <row r="91">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c r="AA91" s="73" t="n"/>
      <c r="AB91" s="73" t="n"/>
      <c r="AC91" s="73" t="n"/>
      <c r="AD91" s="73" t="n"/>
      <c r="AE91" s="73" t="n"/>
      <c r="AF91" s="73" t="n"/>
      <c r="AG91" s="73" t="n"/>
      <c r="AH91" s="73" t="n"/>
      <c r="AI91" s="73" t="n"/>
      <c r="AJ91" s="73" t="n"/>
      <c r="AK91" s="73" t="n"/>
      <c r="AL91" s="73" t="n"/>
      <c r="AM91" s="73" t="n"/>
      <c r="AN91" s="73" t="n"/>
      <c r="AO91" s="73" t="n"/>
      <c r="AP91" s="73" t="n"/>
      <c r="AQ91" s="73" t="n"/>
      <c r="AR91" s="73" t="n"/>
      <c r="AS91" s="73" t="n"/>
      <c r="AT91" s="73" t="n"/>
      <c r="AU91" s="73" t="n"/>
      <c r="AV91" s="73" t="n"/>
      <c r="AW91" s="73" t="n"/>
      <c r="AX91" s="73" t="n"/>
      <c r="AY91" s="73" t="n"/>
      <c r="AZ91" s="73" t="n"/>
      <c r="BA91" s="73" t="n"/>
      <c r="BB91" s="73" t="n"/>
      <c r="BC91" s="73" t="n"/>
      <c r="BD91" s="73" t="n"/>
      <c r="BE91" s="73" t="n"/>
      <c r="BF91" s="73" t="n"/>
      <c r="BG91" s="73" t="n"/>
      <c r="BH91" s="73" t="n"/>
      <c r="BI91" s="73" t="n"/>
    </row>
    <row r="92" hidden="1" ht="20" customHeight="1">
      <c r="A92" s="4" t="inlineStr">
        <is>
          <t>Helper: cash cap для займа</t>
        </is>
      </c>
    </row>
    <row r="93" hidden="1">
      <c r="A93" s="2" t="inlineStr">
        <is>
          <t>Доступный cash до погашения займа</t>
        </is>
      </c>
      <c r="B93" s="95">
        <f>MAX(0,B69-'01_Вводные'!$B$237)</f>
        <v/>
      </c>
      <c r="C93" s="95">
        <f>MAX(0,C69-'01_Вводные'!$B$237)</f>
        <v/>
      </c>
      <c r="D93" s="95">
        <f>MAX(0,D69-'01_Вводные'!$B$237)</f>
        <v/>
      </c>
      <c r="E93" s="95">
        <f>MAX(0,E69-'01_Вводные'!$B$237)</f>
        <v/>
      </c>
      <c r="F93" s="95">
        <f>MAX(0,F69-'01_Вводные'!$B$237)</f>
        <v/>
      </c>
      <c r="G93" s="95">
        <f>MAX(0,G69-'01_Вводные'!$B$237)</f>
        <v/>
      </c>
      <c r="H93" s="95">
        <f>MAX(0,H69-'01_Вводные'!$B$237)</f>
        <v/>
      </c>
      <c r="I93" s="95">
        <f>MAX(0,I69-'01_Вводные'!$B$237)</f>
        <v/>
      </c>
      <c r="J93" s="95">
        <f>MAX(0,J69-'01_Вводные'!$B$237)</f>
        <v/>
      </c>
      <c r="K93" s="95">
        <f>MAX(0,K69-'01_Вводные'!$B$237)</f>
        <v/>
      </c>
      <c r="L93" s="95">
        <f>MAX(0,L69-'01_Вводные'!$B$237)</f>
        <v/>
      </c>
      <c r="M93" s="95">
        <f>MAX(0,M69-'01_Вводные'!$B$237)</f>
        <v/>
      </c>
      <c r="N93" s="95">
        <f>MAX(0,N69-'01_Вводные'!$B$237)</f>
        <v/>
      </c>
      <c r="O93" s="95">
        <f>MAX(0,O69-'01_Вводные'!$B$237)</f>
        <v/>
      </c>
      <c r="P93" s="95">
        <f>MAX(0,P69-'01_Вводные'!$B$237)</f>
        <v/>
      </c>
      <c r="Q93" s="95">
        <f>MAX(0,Q69-'01_Вводные'!$B$237)</f>
        <v/>
      </c>
      <c r="R93" s="95">
        <f>MAX(0,R69-'01_Вводные'!$B$237)</f>
        <v/>
      </c>
      <c r="S93" s="95">
        <f>MAX(0,S69-'01_Вводные'!$B$237)</f>
        <v/>
      </c>
      <c r="T93" s="95">
        <f>MAX(0,T69-'01_Вводные'!$B$237)</f>
        <v/>
      </c>
      <c r="U93" s="95">
        <f>MAX(0,U69-'01_Вводные'!$B$237)</f>
        <v/>
      </c>
      <c r="V93" s="95">
        <f>MAX(0,V69-'01_Вводные'!$B$237)</f>
        <v/>
      </c>
      <c r="W93" s="95">
        <f>MAX(0,W69-'01_Вводные'!$B$237)</f>
        <v/>
      </c>
      <c r="X93" s="95">
        <f>MAX(0,X69-'01_Вводные'!$B$237)</f>
        <v/>
      </c>
      <c r="Y93" s="95">
        <f>MAX(0,Y69-'01_Вводные'!$B$237)</f>
        <v/>
      </c>
      <c r="Z93" s="95">
        <f>MAX(0,Z69-'01_Вводные'!$B$237)</f>
        <v/>
      </c>
      <c r="AA93" s="95">
        <f>MAX(0,AA69-'01_Вводные'!$B$237)</f>
        <v/>
      </c>
      <c r="AB93" s="95">
        <f>MAX(0,AB69-'01_Вводные'!$B$237)</f>
        <v/>
      </c>
      <c r="AC93" s="95">
        <f>MAX(0,AC69-'01_Вводные'!$B$237)</f>
        <v/>
      </c>
      <c r="AD93" s="95">
        <f>MAX(0,AD69-'01_Вводные'!$B$237)</f>
        <v/>
      </c>
      <c r="AE93" s="95">
        <f>MAX(0,AE69-'01_Вводные'!$B$237)</f>
        <v/>
      </c>
      <c r="AF93" s="95">
        <f>MAX(0,AF69-'01_Вводные'!$B$237)</f>
        <v/>
      </c>
      <c r="AG93" s="95">
        <f>MAX(0,AG69-'01_Вводные'!$B$237)</f>
        <v/>
      </c>
      <c r="AH93" s="95">
        <f>MAX(0,AH69-'01_Вводные'!$B$237)</f>
        <v/>
      </c>
      <c r="AI93" s="95">
        <f>MAX(0,AI69-'01_Вводные'!$B$237)</f>
        <v/>
      </c>
      <c r="AJ93" s="95">
        <f>MAX(0,AJ69-'01_Вводные'!$B$237)</f>
        <v/>
      </c>
      <c r="AK93" s="95">
        <f>MAX(0,AK69-'01_Вводные'!$B$237)</f>
        <v/>
      </c>
      <c r="AL93" s="95">
        <f>MAX(0,AL69-'01_Вводные'!$B$237)</f>
        <v/>
      </c>
      <c r="AM93" s="95">
        <f>MAX(0,AM69-'01_Вводные'!$B$237)</f>
        <v/>
      </c>
      <c r="AN93" s="95">
        <f>MAX(0,AN69-'01_Вводные'!$B$237)</f>
        <v/>
      </c>
      <c r="AO93" s="95">
        <f>MAX(0,AO69-'01_Вводные'!$B$237)</f>
        <v/>
      </c>
      <c r="AP93" s="95">
        <f>MAX(0,AP69-'01_Вводные'!$B$237)</f>
        <v/>
      </c>
      <c r="AQ93" s="95">
        <f>MAX(0,AQ69-'01_Вводные'!$B$237)</f>
        <v/>
      </c>
      <c r="AR93" s="95">
        <f>MAX(0,AR69-'01_Вводные'!$B$237)</f>
        <v/>
      </c>
      <c r="AS93" s="95">
        <f>MAX(0,AS69-'01_Вводные'!$B$237)</f>
        <v/>
      </c>
      <c r="AT93" s="95">
        <f>MAX(0,AT69-'01_Вводные'!$B$237)</f>
        <v/>
      </c>
      <c r="AU93" s="95">
        <f>MAX(0,AU69-'01_Вводные'!$B$237)</f>
        <v/>
      </c>
      <c r="AV93" s="95">
        <f>MAX(0,AV69-'01_Вводные'!$B$237)</f>
        <v/>
      </c>
      <c r="AW93" s="95">
        <f>MAX(0,AW69-'01_Вводные'!$B$237)</f>
        <v/>
      </c>
      <c r="AX93" s="95">
        <f>MAX(0,AX69-'01_Вводные'!$B$237)</f>
        <v/>
      </c>
      <c r="AY93" s="95">
        <f>MAX(0,AY69-'01_Вводные'!$B$237)</f>
        <v/>
      </c>
      <c r="AZ93" s="95">
        <f>MAX(0,AZ69-'01_Вводные'!$B$237)</f>
        <v/>
      </c>
      <c r="BA93" s="95">
        <f>MAX(0,BA69-'01_Вводные'!$B$237)</f>
        <v/>
      </c>
      <c r="BB93" s="95">
        <f>MAX(0,BB69-'01_Вводные'!$B$237)</f>
        <v/>
      </c>
      <c r="BC93" s="95">
        <f>MAX(0,BC69-'01_Вводные'!$B$237)</f>
        <v/>
      </c>
      <c r="BD93" s="95">
        <f>MAX(0,BD69-'01_Вводные'!$B$237)</f>
        <v/>
      </c>
      <c r="BE93" s="95">
        <f>MAX(0,BE69-'01_Вводные'!$B$237)</f>
        <v/>
      </c>
      <c r="BF93" s="95">
        <f>MAX(0,BF69-'01_Вводные'!$B$237)</f>
        <v/>
      </c>
      <c r="BG93" s="95">
        <f>MAX(0,BG69-'01_Вводные'!$B$237)</f>
        <v/>
      </c>
      <c r="BH93" s="95">
        <f>MAX(0,BH69-'01_Вводные'!$B$237)</f>
        <v/>
      </c>
      <c r="BI93" s="95">
        <f>MAX(0,BI69-'01_Вводные'!$B$237)</f>
        <v/>
      </c>
    </row>
    <row r="94"/>
    <row r="95" ht="28" customHeight="1">
      <c r="A95" s="47" t="inlineStr">
        <is>
          <t>Инвестиции: CAPEX по правилу v4</t>
        </is>
      </c>
    </row>
    <row r="96" ht="28" customHeight="1">
      <c r="A96" s="2" t="inlineStr">
        <is>
          <t>Выручка — база CAPEX</t>
        </is>
      </c>
      <c r="B96" s="168">
        <f>IF('01_Вводные'!$B$288="С НДС",SUM(B18:B21)*(1+'01_Вводные'!$B$58)+'09_Лагеря'!B10,B23)</f>
        <v/>
      </c>
      <c r="C96" s="168">
        <f>IF('01_Вводные'!$B$288="С НДС",SUM(C18:C21)*(1+'01_Вводные'!$B$58)+'09_Лагеря'!C10,C23)</f>
        <v/>
      </c>
      <c r="D96" s="168">
        <f>IF('01_Вводные'!$B$288="С НДС",SUM(D18:D21)*(1+'01_Вводные'!$B$58)+'09_Лагеря'!D10,D23)</f>
        <v/>
      </c>
      <c r="E96" s="168">
        <f>IF('01_Вводные'!$B$288="С НДС",SUM(E18:E21)*(1+'01_Вводные'!$B$58)+'09_Лагеря'!E10,E23)</f>
        <v/>
      </c>
      <c r="F96" s="168">
        <f>IF('01_Вводные'!$B$288="С НДС",SUM(F18:F21)*(1+'01_Вводные'!$B$58)+'09_Лагеря'!F10,F23)</f>
        <v/>
      </c>
      <c r="G96" s="168">
        <f>IF('01_Вводные'!$B$288="С НДС",SUM(G18:G21)*(1+'01_Вводные'!$B$58)+'09_Лагеря'!G10,G23)</f>
        <v/>
      </c>
      <c r="H96" s="168">
        <f>IF('01_Вводные'!$B$288="С НДС",SUM(H18:H21)*(1+'01_Вводные'!$B$58)+'09_Лагеря'!H10,H23)</f>
        <v/>
      </c>
      <c r="I96" s="168">
        <f>IF('01_Вводные'!$B$288="С НДС",SUM(I18:I21)*(1+'01_Вводные'!$B$58)+'09_Лагеря'!I10,I23)</f>
        <v/>
      </c>
      <c r="J96" s="168">
        <f>IF('01_Вводные'!$B$288="С НДС",SUM(J18:J21)*(1+'01_Вводные'!$B$58)+'09_Лагеря'!J10,J23)</f>
        <v/>
      </c>
      <c r="K96" s="168">
        <f>IF('01_Вводные'!$B$288="С НДС",SUM(K18:K21)*(1+'01_Вводные'!$B$58)+'09_Лагеря'!K10,K23)</f>
        <v/>
      </c>
      <c r="L96" s="168">
        <f>IF('01_Вводные'!$B$288="С НДС",SUM(L18:L21)*(1+'01_Вводные'!$B$58)+'09_Лагеря'!L10,L23)</f>
        <v/>
      </c>
      <c r="M96" s="168">
        <f>IF('01_Вводные'!$B$288="С НДС",SUM(M18:M21)*(1+'01_Вводные'!$B$58)+'09_Лагеря'!M10,M23)</f>
        <v/>
      </c>
      <c r="N96" s="168">
        <f>IF('01_Вводные'!$B$288="С НДС",SUM(N18:N21)*(1+'01_Вводные'!$B$58)+'09_Лагеря'!N10,N23)</f>
        <v/>
      </c>
      <c r="O96" s="168">
        <f>IF('01_Вводные'!$B$288="С НДС",SUM(O18:O21)*(1+'01_Вводные'!$B$58)+'09_Лагеря'!O10,O23)</f>
        <v/>
      </c>
      <c r="P96" s="168">
        <f>IF('01_Вводные'!$B$288="С НДС",SUM(P18:P21)*(1+'01_Вводные'!$B$58)+'09_Лагеря'!P10,P23)</f>
        <v/>
      </c>
      <c r="Q96" s="168">
        <f>IF('01_Вводные'!$B$288="С НДС",SUM(Q18:Q21)*(1+'01_Вводные'!$B$58)+'09_Лагеря'!Q10,Q23)</f>
        <v/>
      </c>
      <c r="R96" s="168">
        <f>IF('01_Вводные'!$B$288="С НДС",SUM(R18:R21)*(1+'01_Вводные'!$B$58)+'09_Лагеря'!R10,R23)</f>
        <v/>
      </c>
      <c r="S96" s="168">
        <f>IF('01_Вводные'!$B$288="С НДС",SUM(S18:S21)*(1+'01_Вводные'!$B$58)+'09_Лагеря'!S10,S23)</f>
        <v/>
      </c>
      <c r="T96" s="168">
        <f>IF('01_Вводные'!$B$288="С НДС",SUM(T18:T21)*(1+'01_Вводные'!$B$58)+'09_Лагеря'!T10,T23)</f>
        <v/>
      </c>
      <c r="U96" s="168">
        <f>IF('01_Вводные'!$B$288="С НДС",SUM(U18:U21)*(1+'01_Вводные'!$B$58)+'09_Лагеря'!U10,U23)</f>
        <v/>
      </c>
      <c r="V96" s="168">
        <f>IF('01_Вводные'!$B$288="С НДС",SUM(V18:V21)*(1+'01_Вводные'!$B$58)+'09_Лагеря'!V10,V23)</f>
        <v/>
      </c>
      <c r="W96" s="168">
        <f>IF('01_Вводные'!$B$288="С НДС",SUM(W18:W21)*(1+'01_Вводные'!$B$58)+'09_Лагеря'!W10,W23)</f>
        <v/>
      </c>
      <c r="X96" s="168">
        <f>IF('01_Вводные'!$B$288="С НДС",SUM(X18:X21)*(1+'01_Вводные'!$B$58)+'09_Лагеря'!X10,X23)</f>
        <v/>
      </c>
      <c r="Y96" s="168">
        <f>IF('01_Вводные'!$B$288="С НДС",SUM(Y18:Y21)*(1+'01_Вводные'!$B$58)+'09_Лагеря'!Y10,Y23)</f>
        <v/>
      </c>
      <c r="Z96" s="168">
        <f>IF('01_Вводные'!$B$288="С НДС",SUM(Z18:Z21)*(1+'01_Вводные'!$B$58)+'09_Лагеря'!Z10,Z23)</f>
        <v/>
      </c>
      <c r="AA96" s="168">
        <f>IF('01_Вводные'!$B$288="С НДС",SUM(AA18:AA21)*(1+'01_Вводные'!$B$58)+'09_Лагеря'!AA10,AA23)</f>
        <v/>
      </c>
      <c r="AB96" s="168">
        <f>IF('01_Вводные'!$B$288="С НДС",SUM(AB18:AB21)*(1+'01_Вводные'!$B$58)+'09_Лагеря'!AB10,AB23)</f>
        <v/>
      </c>
      <c r="AC96" s="168">
        <f>IF('01_Вводные'!$B$288="С НДС",SUM(AC18:AC21)*(1+'01_Вводные'!$B$58)+'09_Лагеря'!AC10,AC23)</f>
        <v/>
      </c>
      <c r="AD96" s="168">
        <f>IF('01_Вводные'!$B$288="С НДС",SUM(AD18:AD21)*(1+'01_Вводные'!$B$58)+'09_Лагеря'!AD10,AD23)</f>
        <v/>
      </c>
      <c r="AE96" s="168">
        <f>IF('01_Вводные'!$B$288="С НДС",SUM(AE18:AE21)*(1+'01_Вводные'!$B$58)+'09_Лагеря'!AE10,AE23)</f>
        <v/>
      </c>
      <c r="AF96" s="168">
        <f>IF('01_Вводные'!$B$288="С НДС",SUM(AF18:AF21)*(1+'01_Вводные'!$B$58)+'09_Лагеря'!AF10,AF23)</f>
        <v/>
      </c>
      <c r="AG96" s="168">
        <f>IF('01_Вводные'!$B$288="С НДС",SUM(AG18:AG21)*(1+'01_Вводные'!$B$58)+'09_Лагеря'!AG10,AG23)</f>
        <v/>
      </c>
      <c r="AH96" s="168">
        <f>IF('01_Вводные'!$B$288="С НДС",SUM(AH18:AH21)*(1+'01_Вводные'!$B$58)+'09_Лагеря'!AH10,AH23)</f>
        <v/>
      </c>
      <c r="AI96" s="168">
        <f>IF('01_Вводные'!$B$288="С НДС",SUM(AI18:AI21)*(1+'01_Вводные'!$B$58)+'09_Лагеря'!AI10,AI23)</f>
        <v/>
      </c>
      <c r="AJ96" s="168">
        <f>IF('01_Вводные'!$B$288="С НДС",SUM(AJ18:AJ21)*(1+'01_Вводные'!$B$58)+'09_Лагеря'!AJ10,AJ23)</f>
        <v/>
      </c>
      <c r="AK96" s="168">
        <f>IF('01_Вводные'!$B$288="С НДС",SUM(AK18:AK21)*(1+'01_Вводные'!$B$58)+'09_Лагеря'!AK10,AK23)</f>
        <v/>
      </c>
      <c r="AL96" s="168">
        <f>IF('01_Вводные'!$B$288="С НДС",SUM(AL18:AL21)*(1+'01_Вводные'!$B$58)+'09_Лагеря'!AL10,AL23)</f>
        <v/>
      </c>
      <c r="AM96" s="168">
        <f>IF('01_Вводные'!$B$288="С НДС",SUM(AM18:AM21)*(1+'01_Вводные'!$B$58)+'09_Лагеря'!AM10,AM23)</f>
        <v/>
      </c>
      <c r="AN96" s="168">
        <f>IF('01_Вводные'!$B$288="С НДС",SUM(AN18:AN21)*(1+'01_Вводные'!$B$58)+'09_Лагеря'!AN10,AN23)</f>
        <v/>
      </c>
      <c r="AO96" s="168">
        <f>IF('01_Вводные'!$B$288="С НДС",SUM(AO18:AO21)*(1+'01_Вводные'!$B$58)+'09_Лагеря'!AO10,AO23)</f>
        <v/>
      </c>
      <c r="AP96" s="168">
        <f>IF('01_Вводные'!$B$288="С НДС",SUM(AP18:AP21)*(1+'01_Вводные'!$B$58)+'09_Лагеря'!AP10,AP23)</f>
        <v/>
      </c>
      <c r="AQ96" s="168">
        <f>IF('01_Вводные'!$B$288="С НДС",SUM(AQ18:AQ21)*(1+'01_Вводные'!$B$58)+'09_Лагеря'!AQ10,AQ23)</f>
        <v/>
      </c>
      <c r="AR96" s="168">
        <f>IF('01_Вводные'!$B$288="С НДС",SUM(AR18:AR21)*(1+'01_Вводные'!$B$58)+'09_Лагеря'!AR10,AR23)</f>
        <v/>
      </c>
      <c r="AS96" s="168">
        <f>IF('01_Вводные'!$B$288="С НДС",SUM(AS18:AS21)*(1+'01_Вводные'!$B$58)+'09_Лагеря'!AS10,AS23)</f>
        <v/>
      </c>
      <c r="AT96" s="168">
        <f>IF('01_Вводные'!$B$288="С НДС",SUM(AT18:AT21)*(1+'01_Вводные'!$B$58)+'09_Лагеря'!AT10,AT23)</f>
        <v/>
      </c>
      <c r="AU96" s="168">
        <f>IF('01_Вводные'!$B$288="С НДС",SUM(AU18:AU21)*(1+'01_Вводные'!$B$58)+'09_Лагеря'!AU10,AU23)</f>
        <v/>
      </c>
      <c r="AV96" s="168">
        <f>IF('01_Вводные'!$B$288="С НДС",SUM(AV18:AV21)*(1+'01_Вводные'!$B$58)+'09_Лагеря'!AV10,AV23)</f>
        <v/>
      </c>
      <c r="AW96" s="168">
        <f>IF('01_Вводные'!$B$288="С НДС",SUM(AW18:AW21)*(1+'01_Вводные'!$B$58)+'09_Лагеря'!AW10,AW23)</f>
        <v/>
      </c>
      <c r="AX96" s="168">
        <f>IF('01_Вводные'!$B$288="С НДС",SUM(AX18:AX21)*(1+'01_Вводные'!$B$58)+'09_Лагеря'!AX10,AX23)</f>
        <v/>
      </c>
      <c r="AY96" s="168">
        <f>IF('01_Вводные'!$B$288="С НДС",SUM(AY18:AY21)*(1+'01_Вводные'!$B$58)+'09_Лагеря'!AY10,AY23)</f>
        <v/>
      </c>
      <c r="AZ96" s="168">
        <f>IF('01_Вводные'!$B$288="С НДС",SUM(AZ18:AZ21)*(1+'01_Вводные'!$B$58)+'09_Лагеря'!AZ10,AZ23)</f>
        <v/>
      </c>
      <c r="BA96" s="168">
        <f>IF('01_Вводные'!$B$288="С НДС",SUM(BA18:BA21)*(1+'01_Вводные'!$B$58)+'09_Лагеря'!BA10,BA23)</f>
        <v/>
      </c>
      <c r="BB96" s="168">
        <f>IF('01_Вводные'!$B$288="С НДС",SUM(BB18:BB21)*(1+'01_Вводные'!$B$58)+'09_Лагеря'!BB10,BB23)</f>
        <v/>
      </c>
      <c r="BC96" s="168">
        <f>IF('01_Вводные'!$B$288="С НДС",SUM(BC18:BC21)*(1+'01_Вводные'!$B$58)+'09_Лагеря'!BC10,BC23)</f>
        <v/>
      </c>
      <c r="BD96" s="168">
        <f>IF('01_Вводные'!$B$288="С НДС",SUM(BD18:BD21)*(1+'01_Вводные'!$B$58)+'09_Лагеря'!BD10,BD23)</f>
        <v/>
      </c>
      <c r="BE96" s="168">
        <f>IF('01_Вводные'!$B$288="С НДС",SUM(BE18:BE21)*(1+'01_Вводные'!$B$58)+'09_Лагеря'!BE10,BE23)</f>
        <v/>
      </c>
      <c r="BF96" s="168">
        <f>IF('01_Вводные'!$B$288="С НДС",SUM(BF18:BF21)*(1+'01_Вводные'!$B$58)+'09_Лагеря'!BF10,BF23)</f>
        <v/>
      </c>
      <c r="BG96" s="168">
        <f>IF('01_Вводные'!$B$288="С НДС",SUM(BG18:BG21)*(1+'01_Вводные'!$B$58)+'09_Лагеря'!BG10,BG23)</f>
        <v/>
      </c>
      <c r="BH96" s="168">
        <f>IF('01_Вводные'!$B$288="С НДС",SUM(BH18:BH21)*(1+'01_Вводные'!$B$58)+'09_Лагеря'!BH10,BH23)</f>
        <v/>
      </c>
      <c r="BI96" s="168">
        <f>IF('01_Вводные'!$B$288="С НДС",SUM(BI18:BI21)*(1+'01_Вводные'!$B$58)+'09_Лагеря'!BI10,BI23)</f>
        <v/>
      </c>
    </row>
    <row r="97" ht="28" customHeight="1">
      <c r="A97" s="2" t="inlineStr">
        <is>
          <t>Поддерживающий CAPEX</t>
        </is>
      </c>
      <c r="B97" s="168">
        <f>IF('01_Вводные'!$B$290="Да",B96*'01_Вводные'!$B$286,0)</f>
        <v/>
      </c>
      <c r="C97" s="168">
        <f>IF('01_Вводные'!$B$290="Да",C96*'01_Вводные'!$B$286,0)</f>
        <v/>
      </c>
      <c r="D97" s="168">
        <f>IF('01_Вводные'!$B$290="Да",D96*'01_Вводные'!$B$286,0)</f>
        <v/>
      </c>
      <c r="E97" s="168">
        <f>IF('01_Вводные'!$B$290="Да",E96*'01_Вводные'!$B$286,0)</f>
        <v/>
      </c>
      <c r="F97" s="168">
        <f>IF('01_Вводные'!$B$290="Да",F96*'01_Вводные'!$B$286,0)</f>
        <v/>
      </c>
      <c r="G97" s="168">
        <f>IF('01_Вводные'!$B$290="Да",G96*'01_Вводные'!$B$286,0)</f>
        <v/>
      </c>
      <c r="H97" s="168">
        <f>IF('01_Вводные'!$B$290="Да",H96*'01_Вводные'!$B$286,0)</f>
        <v/>
      </c>
      <c r="I97" s="168">
        <f>IF('01_Вводные'!$B$290="Да",I96*'01_Вводные'!$B$286,0)</f>
        <v/>
      </c>
      <c r="J97" s="168">
        <f>IF('01_Вводные'!$B$290="Да",J96*'01_Вводные'!$B$286,0)</f>
        <v/>
      </c>
      <c r="K97" s="168">
        <f>IF('01_Вводные'!$B$290="Да",K96*'01_Вводные'!$B$286,0)</f>
        <v/>
      </c>
      <c r="L97" s="168">
        <f>IF('01_Вводные'!$B$290="Да",L96*'01_Вводные'!$B$286,0)</f>
        <v/>
      </c>
      <c r="M97" s="168">
        <f>IF('01_Вводные'!$B$290="Да",M96*'01_Вводные'!$B$286,0)</f>
        <v/>
      </c>
      <c r="N97" s="168">
        <f>IF('01_Вводные'!$B$290="Да",N96*'01_Вводные'!$B$286,0)</f>
        <v/>
      </c>
      <c r="O97" s="168">
        <f>IF('01_Вводные'!$B$290="Да",O96*'01_Вводные'!$B$286,0)</f>
        <v/>
      </c>
      <c r="P97" s="168">
        <f>IF('01_Вводные'!$B$290="Да",P96*'01_Вводные'!$B$286,0)</f>
        <v/>
      </c>
      <c r="Q97" s="168">
        <f>IF('01_Вводные'!$B$290="Да",Q96*'01_Вводные'!$B$286,0)</f>
        <v/>
      </c>
      <c r="R97" s="168">
        <f>IF('01_Вводные'!$B$290="Да",R96*'01_Вводные'!$B$286,0)</f>
        <v/>
      </c>
      <c r="S97" s="168">
        <f>IF('01_Вводные'!$B$290="Да",S96*'01_Вводные'!$B$286,0)</f>
        <v/>
      </c>
      <c r="T97" s="168">
        <f>IF('01_Вводные'!$B$290="Да",T96*'01_Вводные'!$B$286,0)</f>
        <v/>
      </c>
      <c r="U97" s="168">
        <f>IF('01_Вводные'!$B$290="Да",U96*'01_Вводные'!$B$286,0)</f>
        <v/>
      </c>
      <c r="V97" s="168">
        <f>IF('01_Вводные'!$B$290="Да",V96*'01_Вводные'!$B$286,0)</f>
        <v/>
      </c>
      <c r="W97" s="168">
        <f>IF('01_Вводные'!$B$290="Да",W96*'01_Вводные'!$B$286,0)</f>
        <v/>
      </c>
      <c r="X97" s="168">
        <f>IF('01_Вводные'!$B$290="Да",X96*'01_Вводные'!$B$286,0)</f>
        <v/>
      </c>
      <c r="Y97" s="168">
        <f>IF('01_Вводные'!$B$290="Да",Y96*'01_Вводные'!$B$286,0)</f>
        <v/>
      </c>
      <c r="Z97" s="168">
        <f>IF('01_Вводные'!$B$290="Да",Z96*'01_Вводные'!$B$286,0)</f>
        <v/>
      </c>
      <c r="AA97" s="168">
        <f>IF('01_Вводные'!$B$290="Да",AA96*'01_Вводные'!$B$286,0)</f>
        <v/>
      </c>
      <c r="AB97" s="168">
        <f>IF('01_Вводные'!$B$290="Да",AB96*'01_Вводные'!$B$286,0)</f>
        <v/>
      </c>
      <c r="AC97" s="168">
        <f>IF('01_Вводные'!$B$290="Да",AC96*'01_Вводные'!$B$286,0)</f>
        <v/>
      </c>
      <c r="AD97" s="168">
        <f>IF('01_Вводные'!$B$290="Да",AD96*'01_Вводные'!$B$286,0)</f>
        <v/>
      </c>
      <c r="AE97" s="168">
        <f>IF('01_Вводные'!$B$290="Да",AE96*'01_Вводные'!$B$286,0)</f>
        <v/>
      </c>
      <c r="AF97" s="168">
        <f>IF('01_Вводные'!$B$290="Да",AF96*'01_Вводные'!$B$286,0)</f>
        <v/>
      </c>
      <c r="AG97" s="168">
        <f>IF('01_Вводные'!$B$290="Да",AG96*'01_Вводные'!$B$286,0)</f>
        <v/>
      </c>
      <c r="AH97" s="168">
        <f>IF('01_Вводные'!$B$290="Да",AH96*'01_Вводные'!$B$286,0)</f>
        <v/>
      </c>
      <c r="AI97" s="168">
        <f>IF('01_Вводные'!$B$290="Да",AI96*'01_Вводные'!$B$286,0)</f>
        <v/>
      </c>
      <c r="AJ97" s="168">
        <f>IF('01_Вводные'!$B$290="Да",AJ96*'01_Вводные'!$B$286,0)</f>
        <v/>
      </c>
      <c r="AK97" s="168">
        <f>IF('01_Вводные'!$B$290="Да",AK96*'01_Вводные'!$B$286,0)</f>
        <v/>
      </c>
      <c r="AL97" s="168">
        <f>IF('01_Вводные'!$B$290="Да",AL96*'01_Вводные'!$B$286,0)</f>
        <v/>
      </c>
      <c r="AM97" s="168">
        <f>IF('01_Вводные'!$B$290="Да",AM96*'01_Вводные'!$B$286,0)</f>
        <v/>
      </c>
      <c r="AN97" s="168">
        <f>IF('01_Вводные'!$B$290="Да",AN96*'01_Вводные'!$B$286,0)</f>
        <v/>
      </c>
      <c r="AO97" s="168">
        <f>IF('01_Вводные'!$B$290="Да",AO96*'01_Вводные'!$B$286,0)</f>
        <v/>
      </c>
      <c r="AP97" s="168">
        <f>IF('01_Вводные'!$B$290="Да",AP96*'01_Вводные'!$B$286,0)</f>
        <v/>
      </c>
      <c r="AQ97" s="168">
        <f>IF('01_Вводные'!$B$290="Да",AQ96*'01_Вводные'!$B$286,0)</f>
        <v/>
      </c>
      <c r="AR97" s="168">
        <f>IF('01_Вводные'!$B$290="Да",AR96*'01_Вводные'!$B$286,0)</f>
        <v/>
      </c>
      <c r="AS97" s="168">
        <f>IF('01_Вводные'!$B$290="Да",AS96*'01_Вводные'!$B$286,0)</f>
        <v/>
      </c>
      <c r="AT97" s="168">
        <f>IF('01_Вводные'!$B$290="Да",AT96*'01_Вводные'!$B$286,0)</f>
        <v/>
      </c>
      <c r="AU97" s="168">
        <f>IF('01_Вводные'!$B$290="Да",AU96*'01_Вводные'!$B$286,0)</f>
        <v/>
      </c>
      <c r="AV97" s="168">
        <f>IF('01_Вводные'!$B$290="Да",AV96*'01_Вводные'!$B$286,0)</f>
        <v/>
      </c>
      <c r="AW97" s="168">
        <f>IF('01_Вводные'!$B$290="Да",AW96*'01_Вводные'!$B$286,0)</f>
        <v/>
      </c>
      <c r="AX97" s="168">
        <f>IF('01_Вводные'!$B$290="Да",AX96*'01_Вводные'!$B$286,0)</f>
        <v/>
      </c>
      <c r="AY97" s="168">
        <f>IF('01_Вводные'!$B$290="Да",AY96*'01_Вводные'!$B$286,0)</f>
        <v/>
      </c>
      <c r="AZ97" s="168">
        <f>IF('01_Вводные'!$B$290="Да",AZ96*'01_Вводные'!$B$286,0)</f>
        <v/>
      </c>
      <c r="BA97" s="168">
        <f>IF('01_Вводные'!$B$290="Да",BA96*'01_Вводные'!$B$286,0)</f>
        <v/>
      </c>
      <c r="BB97" s="168">
        <f>IF('01_Вводные'!$B$290="Да",BB96*'01_Вводные'!$B$286,0)</f>
        <v/>
      </c>
      <c r="BC97" s="168">
        <f>IF('01_Вводные'!$B$290="Да",BC96*'01_Вводные'!$B$286,0)</f>
        <v/>
      </c>
      <c r="BD97" s="168">
        <f>IF('01_Вводные'!$B$290="Да",BD96*'01_Вводные'!$B$286,0)</f>
        <v/>
      </c>
      <c r="BE97" s="168">
        <f>IF('01_Вводные'!$B$290="Да",BE96*'01_Вводные'!$B$286,0)</f>
        <v/>
      </c>
      <c r="BF97" s="168">
        <f>IF('01_Вводные'!$B$290="Да",BF96*'01_Вводные'!$B$286,0)</f>
        <v/>
      </c>
      <c r="BG97" s="168">
        <f>IF('01_Вводные'!$B$290="Да",BG96*'01_Вводные'!$B$286,0)</f>
        <v/>
      </c>
      <c r="BH97" s="168">
        <f>IF('01_Вводные'!$B$290="Да",BH96*'01_Вводные'!$B$286,0)</f>
        <v/>
      </c>
      <c r="BI97" s="168">
        <f>IF('01_Вводные'!$B$290="Да",BI96*'01_Вводные'!$B$286,0)</f>
        <v/>
      </c>
    </row>
    <row r="98" ht="28" customHeight="1">
      <c r="A98" s="2" t="inlineStr">
        <is>
          <t>Разовый CAPEX</t>
        </is>
      </c>
      <c r="B98" s="168">
        <f>IF(AND('01_Вводные'!$B$290="Да",B$3='01_Вводные'!$B$289),'01_Вводные'!$B$287,0)</f>
        <v/>
      </c>
      <c r="C98" s="168">
        <f>IF(AND('01_Вводные'!$B$290="Да",C$3='01_Вводные'!$B$289),'01_Вводные'!$B$287,0)</f>
        <v/>
      </c>
      <c r="D98" s="168">
        <f>IF(AND('01_Вводные'!$B$290="Да",D$3='01_Вводные'!$B$289),'01_Вводные'!$B$287,0)</f>
        <v/>
      </c>
      <c r="E98" s="168">
        <f>IF(AND('01_Вводные'!$B$290="Да",E$3='01_Вводные'!$B$289),'01_Вводные'!$B$287,0)</f>
        <v/>
      </c>
      <c r="F98" s="168">
        <f>IF(AND('01_Вводные'!$B$290="Да",F$3='01_Вводные'!$B$289),'01_Вводные'!$B$287,0)</f>
        <v/>
      </c>
      <c r="G98" s="168">
        <f>IF(AND('01_Вводные'!$B$290="Да",G$3='01_Вводные'!$B$289),'01_Вводные'!$B$287,0)</f>
        <v/>
      </c>
      <c r="H98" s="168">
        <f>IF(AND('01_Вводные'!$B$290="Да",H$3='01_Вводные'!$B$289),'01_Вводные'!$B$287,0)</f>
        <v/>
      </c>
      <c r="I98" s="168">
        <f>IF(AND('01_Вводные'!$B$290="Да",I$3='01_Вводные'!$B$289),'01_Вводные'!$B$287,0)</f>
        <v/>
      </c>
      <c r="J98" s="168">
        <f>IF(AND('01_Вводные'!$B$290="Да",J$3='01_Вводные'!$B$289),'01_Вводные'!$B$287,0)</f>
        <v/>
      </c>
      <c r="K98" s="168">
        <f>IF(AND('01_Вводные'!$B$290="Да",K$3='01_Вводные'!$B$289),'01_Вводные'!$B$287,0)</f>
        <v/>
      </c>
      <c r="L98" s="168">
        <f>IF(AND('01_Вводные'!$B$290="Да",L$3='01_Вводные'!$B$289),'01_Вводные'!$B$287,0)</f>
        <v/>
      </c>
      <c r="M98" s="168">
        <f>IF(AND('01_Вводные'!$B$290="Да",M$3='01_Вводные'!$B$289),'01_Вводные'!$B$287,0)</f>
        <v/>
      </c>
      <c r="N98" s="168">
        <f>IF(AND('01_Вводные'!$B$290="Да",N$3='01_Вводные'!$B$289),'01_Вводные'!$B$287,0)</f>
        <v/>
      </c>
      <c r="O98" s="168">
        <f>IF(AND('01_Вводные'!$B$290="Да",O$3='01_Вводные'!$B$289),'01_Вводные'!$B$287,0)</f>
        <v/>
      </c>
      <c r="P98" s="168">
        <f>IF(AND('01_Вводные'!$B$290="Да",P$3='01_Вводные'!$B$289),'01_Вводные'!$B$287,0)</f>
        <v/>
      </c>
      <c r="Q98" s="168">
        <f>IF(AND('01_Вводные'!$B$290="Да",Q$3='01_Вводные'!$B$289),'01_Вводные'!$B$287,0)</f>
        <v/>
      </c>
      <c r="R98" s="168">
        <f>IF(AND('01_Вводные'!$B$290="Да",R$3='01_Вводные'!$B$289),'01_Вводные'!$B$287,0)</f>
        <v/>
      </c>
      <c r="S98" s="168">
        <f>IF(AND('01_Вводные'!$B$290="Да",S$3='01_Вводные'!$B$289),'01_Вводные'!$B$287,0)</f>
        <v/>
      </c>
      <c r="T98" s="168">
        <f>IF(AND('01_Вводные'!$B$290="Да",T$3='01_Вводные'!$B$289),'01_Вводные'!$B$287,0)</f>
        <v/>
      </c>
      <c r="U98" s="168">
        <f>IF(AND('01_Вводные'!$B$290="Да",U$3='01_Вводные'!$B$289),'01_Вводные'!$B$287,0)</f>
        <v/>
      </c>
      <c r="V98" s="168">
        <f>IF(AND('01_Вводные'!$B$290="Да",V$3='01_Вводные'!$B$289),'01_Вводные'!$B$287,0)</f>
        <v/>
      </c>
      <c r="W98" s="168">
        <f>IF(AND('01_Вводные'!$B$290="Да",W$3='01_Вводные'!$B$289),'01_Вводные'!$B$287,0)</f>
        <v/>
      </c>
      <c r="X98" s="168">
        <f>IF(AND('01_Вводные'!$B$290="Да",X$3='01_Вводные'!$B$289),'01_Вводные'!$B$287,0)</f>
        <v/>
      </c>
      <c r="Y98" s="168">
        <f>IF(AND('01_Вводные'!$B$290="Да",Y$3='01_Вводные'!$B$289),'01_Вводные'!$B$287,0)</f>
        <v/>
      </c>
      <c r="Z98" s="168">
        <f>IF(AND('01_Вводные'!$B$290="Да",Z$3='01_Вводные'!$B$289),'01_Вводные'!$B$287,0)</f>
        <v/>
      </c>
      <c r="AA98" s="168">
        <f>IF(AND('01_Вводные'!$B$290="Да",AA$3='01_Вводные'!$B$289),'01_Вводные'!$B$287,0)</f>
        <v/>
      </c>
      <c r="AB98" s="168">
        <f>IF(AND('01_Вводные'!$B$290="Да",AB$3='01_Вводные'!$B$289),'01_Вводные'!$B$287,0)</f>
        <v/>
      </c>
      <c r="AC98" s="168">
        <f>IF(AND('01_Вводные'!$B$290="Да",AC$3='01_Вводные'!$B$289),'01_Вводные'!$B$287,0)</f>
        <v/>
      </c>
      <c r="AD98" s="168">
        <f>IF(AND('01_Вводные'!$B$290="Да",AD$3='01_Вводные'!$B$289),'01_Вводные'!$B$287,0)</f>
        <v/>
      </c>
      <c r="AE98" s="168">
        <f>IF(AND('01_Вводные'!$B$290="Да",AE$3='01_Вводные'!$B$289),'01_Вводные'!$B$287,0)</f>
        <v/>
      </c>
      <c r="AF98" s="168">
        <f>IF(AND('01_Вводные'!$B$290="Да",AF$3='01_Вводные'!$B$289),'01_Вводные'!$B$287,0)</f>
        <v/>
      </c>
      <c r="AG98" s="168">
        <f>IF(AND('01_Вводные'!$B$290="Да",AG$3='01_Вводные'!$B$289),'01_Вводные'!$B$287,0)</f>
        <v/>
      </c>
      <c r="AH98" s="168">
        <f>IF(AND('01_Вводные'!$B$290="Да",AH$3='01_Вводные'!$B$289),'01_Вводные'!$B$287,0)</f>
        <v/>
      </c>
      <c r="AI98" s="168">
        <f>IF(AND('01_Вводные'!$B$290="Да",AI$3='01_Вводные'!$B$289),'01_Вводные'!$B$287,0)</f>
        <v/>
      </c>
      <c r="AJ98" s="168">
        <f>IF(AND('01_Вводные'!$B$290="Да",AJ$3='01_Вводные'!$B$289),'01_Вводные'!$B$287,0)</f>
        <v/>
      </c>
      <c r="AK98" s="168">
        <f>IF(AND('01_Вводные'!$B$290="Да",AK$3='01_Вводные'!$B$289),'01_Вводные'!$B$287,0)</f>
        <v/>
      </c>
      <c r="AL98" s="168">
        <f>IF(AND('01_Вводные'!$B$290="Да",AL$3='01_Вводные'!$B$289),'01_Вводные'!$B$287,0)</f>
        <v/>
      </c>
      <c r="AM98" s="168">
        <f>IF(AND('01_Вводные'!$B$290="Да",AM$3='01_Вводные'!$B$289),'01_Вводные'!$B$287,0)</f>
        <v/>
      </c>
      <c r="AN98" s="168">
        <f>IF(AND('01_Вводные'!$B$290="Да",AN$3='01_Вводные'!$B$289),'01_Вводные'!$B$287,0)</f>
        <v/>
      </c>
      <c r="AO98" s="168">
        <f>IF(AND('01_Вводные'!$B$290="Да",AO$3='01_Вводные'!$B$289),'01_Вводные'!$B$287,0)</f>
        <v/>
      </c>
      <c r="AP98" s="168">
        <f>IF(AND('01_Вводные'!$B$290="Да",AP$3='01_Вводные'!$B$289),'01_Вводные'!$B$287,0)</f>
        <v/>
      </c>
      <c r="AQ98" s="168">
        <f>IF(AND('01_Вводные'!$B$290="Да",AQ$3='01_Вводные'!$B$289),'01_Вводные'!$B$287,0)</f>
        <v/>
      </c>
      <c r="AR98" s="168">
        <f>IF(AND('01_Вводные'!$B$290="Да",AR$3='01_Вводные'!$B$289),'01_Вводные'!$B$287,0)</f>
        <v/>
      </c>
      <c r="AS98" s="168">
        <f>IF(AND('01_Вводные'!$B$290="Да",AS$3='01_Вводные'!$B$289),'01_Вводные'!$B$287,0)</f>
        <v/>
      </c>
      <c r="AT98" s="168">
        <f>IF(AND('01_Вводные'!$B$290="Да",AT$3='01_Вводные'!$B$289),'01_Вводные'!$B$287,0)</f>
        <v/>
      </c>
      <c r="AU98" s="168">
        <f>IF(AND('01_Вводные'!$B$290="Да",AU$3='01_Вводные'!$B$289),'01_Вводные'!$B$287,0)</f>
        <v/>
      </c>
      <c r="AV98" s="168">
        <f>IF(AND('01_Вводные'!$B$290="Да",AV$3='01_Вводные'!$B$289),'01_Вводные'!$B$287,0)</f>
        <v/>
      </c>
      <c r="AW98" s="168">
        <f>IF(AND('01_Вводные'!$B$290="Да",AW$3='01_Вводные'!$B$289),'01_Вводные'!$B$287,0)</f>
        <v/>
      </c>
      <c r="AX98" s="168">
        <f>IF(AND('01_Вводные'!$B$290="Да",AX$3='01_Вводные'!$B$289),'01_Вводные'!$B$287,0)</f>
        <v/>
      </c>
      <c r="AY98" s="168">
        <f>IF(AND('01_Вводные'!$B$290="Да",AY$3='01_Вводные'!$B$289),'01_Вводные'!$B$287,0)</f>
        <v/>
      </c>
      <c r="AZ98" s="168">
        <f>IF(AND('01_Вводные'!$B$290="Да",AZ$3='01_Вводные'!$B$289),'01_Вводные'!$B$287,0)</f>
        <v/>
      </c>
      <c r="BA98" s="168">
        <f>IF(AND('01_Вводные'!$B$290="Да",BA$3='01_Вводные'!$B$289),'01_Вводные'!$B$287,0)</f>
        <v/>
      </c>
      <c r="BB98" s="168">
        <f>IF(AND('01_Вводные'!$B$290="Да",BB$3='01_Вводные'!$B$289),'01_Вводные'!$B$287,0)</f>
        <v/>
      </c>
      <c r="BC98" s="168">
        <f>IF(AND('01_Вводные'!$B$290="Да",BC$3='01_Вводные'!$B$289),'01_Вводные'!$B$287,0)</f>
        <v/>
      </c>
      <c r="BD98" s="168">
        <f>IF(AND('01_Вводные'!$B$290="Да",BD$3='01_Вводные'!$B$289),'01_Вводные'!$B$287,0)</f>
        <v/>
      </c>
      <c r="BE98" s="168">
        <f>IF(AND('01_Вводные'!$B$290="Да",BE$3='01_Вводные'!$B$289),'01_Вводные'!$B$287,0)</f>
        <v/>
      </c>
      <c r="BF98" s="168">
        <f>IF(AND('01_Вводные'!$B$290="Да",BF$3='01_Вводные'!$B$289),'01_Вводные'!$B$287,0)</f>
        <v/>
      </c>
      <c r="BG98" s="168">
        <f>IF(AND('01_Вводные'!$B$290="Да",BG$3='01_Вводные'!$B$289),'01_Вводные'!$B$287,0)</f>
        <v/>
      </c>
      <c r="BH98" s="168">
        <f>IF(AND('01_Вводные'!$B$290="Да",BH$3='01_Вводные'!$B$289),'01_Вводные'!$B$287,0)</f>
        <v/>
      </c>
      <c r="BI98" s="168">
        <f>IF(AND('01_Вводные'!$B$290="Да",BI$3='01_Вводные'!$B$289),'01_Вводные'!$B$287,0)</f>
        <v/>
      </c>
    </row>
    <row r="99" ht="28" customHeight="1">
      <c r="A99" s="2" t="inlineStr">
        <is>
          <t>CAPEX — всего</t>
        </is>
      </c>
      <c r="B99" s="168">
        <f>SUM(B97:B98)</f>
        <v/>
      </c>
      <c r="C99" s="168">
        <f>SUM(C97:C98)</f>
        <v/>
      </c>
      <c r="D99" s="168">
        <f>SUM(D97:D98)</f>
        <v/>
      </c>
      <c r="E99" s="168">
        <f>SUM(E97:E98)</f>
        <v/>
      </c>
      <c r="F99" s="168">
        <f>SUM(F97:F98)</f>
        <v/>
      </c>
      <c r="G99" s="168">
        <f>SUM(G97:G98)</f>
        <v/>
      </c>
      <c r="H99" s="168">
        <f>SUM(H97:H98)</f>
        <v/>
      </c>
      <c r="I99" s="168">
        <f>SUM(I97:I98)</f>
        <v/>
      </c>
      <c r="J99" s="168">
        <f>SUM(J97:J98)</f>
        <v/>
      </c>
      <c r="K99" s="168">
        <f>SUM(K97:K98)</f>
        <v/>
      </c>
      <c r="L99" s="168">
        <f>SUM(L97:L98)</f>
        <v/>
      </c>
      <c r="M99" s="168">
        <f>SUM(M97:M98)</f>
        <v/>
      </c>
      <c r="N99" s="168">
        <f>SUM(N97:N98)</f>
        <v/>
      </c>
      <c r="O99" s="168">
        <f>SUM(O97:O98)</f>
        <v/>
      </c>
      <c r="P99" s="168">
        <f>SUM(P97:P98)</f>
        <v/>
      </c>
      <c r="Q99" s="168">
        <f>SUM(Q97:Q98)</f>
        <v/>
      </c>
      <c r="R99" s="168">
        <f>SUM(R97:R98)</f>
        <v/>
      </c>
      <c r="S99" s="168">
        <f>SUM(S97:S98)</f>
        <v/>
      </c>
      <c r="T99" s="168">
        <f>SUM(T97:T98)</f>
        <v/>
      </c>
      <c r="U99" s="168">
        <f>SUM(U97:U98)</f>
        <v/>
      </c>
      <c r="V99" s="168">
        <f>SUM(V97:V98)</f>
        <v/>
      </c>
      <c r="W99" s="168">
        <f>SUM(W97:W98)</f>
        <v/>
      </c>
      <c r="X99" s="168">
        <f>SUM(X97:X98)</f>
        <v/>
      </c>
      <c r="Y99" s="168">
        <f>SUM(Y97:Y98)</f>
        <v/>
      </c>
      <c r="Z99" s="168">
        <f>SUM(Z97:Z98)</f>
        <v/>
      </c>
      <c r="AA99" s="168">
        <f>SUM(AA97:AA98)</f>
        <v/>
      </c>
      <c r="AB99" s="168">
        <f>SUM(AB97:AB98)</f>
        <v/>
      </c>
      <c r="AC99" s="168">
        <f>SUM(AC97:AC98)</f>
        <v/>
      </c>
      <c r="AD99" s="168">
        <f>SUM(AD97:AD98)</f>
        <v/>
      </c>
      <c r="AE99" s="168">
        <f>SUM(AE97:AE98)</f>
        <v/>
      </c>
      <c r="AF99" s="168">
        <f>SUM(AF97:AF98)</f>
        <v/>
      </c>
      <c r="AG99" s="168">
        <f>SUM(AG97:AG98)</f>
        <v/>
      </c>
      <c r="AH99" s="168">
        <f>SUM(AH97:AH98)</f>
        <v/>
      </c>
      <c r="AI99" s="168">
        <f>SUM(AI97:AI98)</f>
        <v/>
      </c>
      <c r="AJ99" s="168">
        <f>SUM(AJ97:AJ98)</f>
        <v/>
      </c>
      <c r="AK99" s="168">
        <f>SUM(AK97:AK98)</f>
        <v/>
      </c>
      <c r="AL99" s="168">
        <f>SUM(AL97:AL98)</f>
        <v/>
      </c>
      <c r="AM99" s="168">
        <f>SUM(AM97:AM98)</f>
        <v/>
      </c>
      <c r="AN99" s="168">
        <f>SUM(AN97:AN98)</f>
        <v/>
      </c>
      <c r="AO99" s="168">
        <f>SUM(AO97:AO98)</f>
        <v/>
      </c>
      <c r="AP99" s="168">
        <f>SUM(AP97:AP98)</f>
        <v/>
      </c>
      <c r="AQ99" s="168">
        <f>SUM(AQ97:AQ98)</f>
        <v/>
      </c>
      <c r="AR99" s="168">
        <f>SUM(AR97:AR98)</f>
        <v/>
      </c>
      <c r="AS99" s="168">
        <f>SUM(AS97:AS98)</f>
        <v/>
      </c>
      <c r="AT99" s="168">
        <f>SUM(AT97:AT98)</f>
        <v/>
      </c>
      <c r="AU99" s="168">
        <f>SUM(AU97:AU98)</f>
        <v/>
      </c>
      <c r="AV99" s="168">
        <f>SUM(AV97:AV98)</f>
        <v/>
      </c>
      <c r="AW99" s="168">
        <f>SUM(AW97:AW98)</f>
        <v/>
      </c>
      <c r="AX99" s="168">
        <f>SUM(AX97:AX98)</f>
        <v/>
      </c>
      <c r="AY99" s="168">
        <f>SUM(AY97:AY98)</f>
        <v/>
      </c>
      <c r="AZ99" s="168">
        <f>SUM(AZ97:AZ98)</f>
        <v/>
      </c>
      <c r="BA99" s="168">
        <f>SUM(BA97:BA98)</f>
        <v/>
      </c>
      <c r="BB99" s="168">
        <f>SUM(BB97:BB98)</f>
        <v/>
      </c>
      <c r="BC99" s="168">
        <f>SUM(BC97:BC98)</f>
        <v/>
      </c>
      <c r="BD99" s="168">
        <f>SUM(BD97:BD98)</f>
        <v/>
      </c>
      <c r="BE99" s="168">
        <f>SUM(BE97:BE98)</f>
        <v/>
      </c>
      <c r="BF99" s="168">
        <f>SUM(BF97:BF98)</f>
        <v/>
      </c>
      <c r="BG99" s="168">
        <f>SUM(BG97:BG98)</f>
        <v/>
      </c>
      <c r="BH99" s="168">
        <f>SUM(BH97:BH98)</f>
        <v/>
      </c>
      <c r="BI99" s="168">
        <f>SUM(BI97:BI98)</f>
        <v/>
      </c>
    </row>
    <row r="100" ht="28" customHeight="1">
      <c r="A100" s="2" t="inlineStr">
        <is>
          <t>CAPEX накопленным итогом</t>
        </is>
      </c>
      <c r="B100" s="168">
        <f>SUM($B99:B99)</f>
        <v/>
      </c>
      <c r="C100" s="168">
        <f>SUM($B99:C99)</f>
        <v/>
      </c>
      <c r="D100" s="168">
        <f>SUM($B99:D99)</f>
        <v/>
      </c>
      <c r="E100" s="168">
        <f>SUM($B99:E99)</f>
        <v/>
      </c>
      <c r="F100" s="168">
        <f>SUM($B99:F99)</f>
        <v/>
      </c>
      <c r="G100" s="168">
        <f>SUM($B99:G99)</f>
        <v/>
      </c>
      <c r="H100" s="168">
        <f>SUM($B99:H99)</f>
        <v/>
      </c>
      <c r="I100" s="168">
        <f>SUM($B99:I99)</f>
        <v/>
      </c>
      <c r="J100" s="168">
        <f>SUM($B99:J99)</f>
        <v/>
      </c>
      <c r="K100" s="168">
        <f>SUM($B99:K99)</f>
        <v/>
      </c>
      <c r="L100" s="168">
        <f>SUM($B99:L99)</f>
        <v/>
      </c>
      <c r="M100" s="168">
        <f>SUM($B99:M99)</f>
        <v/>
      </c>
      <c r="N100" s="168">
        <f>SUM($B99:N99)</f>
        <v/>
      </c>
      <c r="O100" s="168">
        <f>SUM($B99:O99)</f>
        <v/>
      </c>
      <c r="P100" s="168">
        <f>SUM($B99:P99)</f>
        <v/>
      </c>
      <c r="Q100" s="168">
        <f>SUM($B99:Q99)</f>
        <v/>
      </c>
      <c r="R100" s="168">
        <f>SUM($B99:R99)</f>
        <v/>
      </c>
      <c r="S100" s="168">
        <f>SUM($B99:S99)</f>
        <v/>
      </c>
      <c r="T100" s="168">
        <f>SUM($B99:T99)</f>
        <v/>
      </c>
      <c r="U100" s="168">
        <f>SUM($B99:U99)</f>
        <v/>
      </c>
      <c r="V100" s="168">
        <f>SUM($B99:V99)</f>
        <v/>
      </c>
      <c r="W100" s="168">
        <f>SUM($B99:W99)</f>
        <v/>
      </c>
      <c r="X100" s="168">
        <f>SUM($B99:X99)</f>
        <v/>
      </c>
      <c r="Y100" s="168">
        <f>SUM($B99:Y99)</f>
        <v/>
      </c>
      <c r="Z100" s="168">
        <f>SUM($B99:Z99)</f>
        <v/>
      </c>
      <c r="AA100" s="168">
        <f>SUM($B99:AA99)</f>
        <v/>
      </c>
      <c r="AB100" s="168">
        <f>SUM($B99:AB99)</f>
        <v/>
      </c>
      <c r="AC100" s="168">
        <f>SUM($B99:AC99)</f>
        <v/>
      </c>
      <c r="AD100" s="168">
        <f>SUM($B99:AD99)</f>
        <v/>
      </c>
      <c r="AE100" s="168">
        <f>SUM($B99:AE99)</f>
        <v/>
      </c>
      <c r="AF100" s="168">
        <f>SUM($B99:AF99)</f>
        <v/>
      </c>
      <c r="AG100" s="168">
        <f>SUM($B99:AG99)</f>
        <v/>
      </c>
      <c r="AH100" s="168">
        <f>SUM($B99:AH99)</f>
        <v/>
      </c>
      <c r="AI100" s="168">
        <f>SUM($B99:AI99)</f>
        <v/>
      </c>
      <c r="AJ100" s="168">
        <f>SUM($B99:AJ99)</f>
        <v/>
      </c>
      <c r="AK100" s="168">
        <f>SUM($B99:AK99)</f>
        <v/>
      </c>
      <c r="AL100" s="168">
        <f>SUM($B99:AL99)</f>
        <v/>
      </c>
      <c r="AM100" s="168">
        <f>SUM($B99:AM99)</f>
        <v/>
      </c>
      <c r="AN100" s="168">
        <f>SUM($B99:AN99)</f>
        <v/>
      </c>
      <c r="AO100" s="168">
        <f>SUM($B99:AO99)</f>
        <v/>
      </c>
      <c r="AP100" s="168">
        <f>SUM($B99:AP99)</f>
        <v/>
      </c>
      <c r="AQ100" s="168">
        <f>SUM($B99:AQ99)</f>
        <v/>
      </c>
      <c r="AR100" s="168">
        <f>SUM($B99:AR99)</f>
        <v/>
      </c>
      <c r="AS100" s="168">
        <f>SUM($B99:AS99)</f>
        <v/>
      </c>
      <c r="AT100" s="168">
        <f>SUM($B99:AT99)</f>
        <v/>
      </c>
      <c r="AU100" s="168">
        <f>SUM($B99:AU99)</f>
        <v/>
      </c>
      <c r="AV100" s="168">
        <f>SUM($B99:AV99)</f>
        <v/>
      </c>
      <c r="AW100" s="168">
        <f>SUM($B99:AW99)</f>
        <v/>
      </c>
      <c r="AX100" s="168">
        <f>SUM($B99:AX99)</f>
        <v/>
      </c>
      <c r="AY100" s="168">
        <f>SUM($B99:AY99)</f>
        <v/>
      </c>
      <c r="AZ100" s="168">
        <f>SUM($B99:AZ99)</f>
        <v/>
      </c>
      <c r="BA100" s="168">
        <f>SUM($B99:BA99)</f>
        <v/>
      </c>
      <c r="BB100" s="168">
        <f>SUM($B99:BB99)</f>
        <v/>
      </c>
      <c r="BC100" s="168">
        <f>SUM($B99:BC99)</f>
        <v/>
      </c>
      <c r="BD100" s="168">
        <f>SUM($B99:BD99)</f>
        <v/>
      </c>
      <c r="BE100" s="168">
        <f>SUM($B99:BE99)</f>
        <v/>
      </c>
      <c r="BF100" s="168">
        <f>SUM($B99:BF99)</f>
        <v/>
      </c>
      <c r="BG100" s="168">
        <f>SUM($B99:BG99)</f>
        <v/>
      </c>
      <c r="BH100" s="168">
        <f>SUM($B99:BH99)</f>
        <v/>
      </c>
      <c r="BI100" s="168">
        <f>SUM($B99:BI99)</f>
        <v/>
      </c>
    </row>
  </sheetData>
  <mergeCells count="9">
    <mergeCell ref="A5:BI5"/>
    <mergeCell ref="A1:BI1"/>
    <mergeCell ref="A17:BI17"/>
    <mergeCell ref="A74:BI74"/>
    <mergeCell ref="A35:BI35"/>
    <mergeCell ref="A50:BI50"/>
    <mergeCell ref="A92:BI92"/>
    <mergeCell ref="A25:BI25"/>
    <mergeCell ref="A95:BI95"/>
  </mergeCells>
  <printOptions horizontalCentered="0"/>
  <pageMargins left="0.75" right="0.75" top="1" bottom="1" header="0.5" footer="0.5"/>
  <pageSetup orientation="landscape" fitToHeight="0" fitToWidth="1"/>
  <headerFooter>
    <oddHeader/>
    <oddFooter>&amp;LФинмодель Спартак · 02_Модель&amp;R&amp;P /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9E1B31"/>
    <outlinePr summaryBelow="1" summaryRight="1"/>
    <pageSetUpPr fitToPage="1"/>
  </sheetPr>
  <dimension ref="A1:F3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20" customWidth="1" min="2" max="2"/>
    <col width="20" customWidth="1" min="3" max="3"/>
    <col width="20" customWidth="1" min="4" max="4"/>
    <col width="15" customWidth="1" min="5" max="5"/>
    <col width="57" customWidth="1" min="6" max="6"/>
  </cols>
  <sheetData>
    <row r="1" ht="27" customHeight="1">
      <c r="A1" s="60" t="inlineStr">
        <is>
          <t>СПАРТАК | Три сценария</t>
        </is>
      </c>
    </row>
    <row r="2"/>
    <row r="3" ht="40" customHeight="1">
      <c r="A3" s="111" t="inlineStr">
        <is>
          <t>Сценарные множители — рабочие стресс-допущения, не утверждённый бюджет. Все суммы в млн ₽. Сценарии не зависят от выбранного варианта на дашборде.</t>
        </is>
      </c>
    </row>
    <row r="4"/>
    <row r="5" ht="33" customHeight="1">
      <c r="A5" s="87" t="inlineStr">
        <is>
          <t>Показатель</t>
        </is>
      </c>
      <c r="B5" s="87" t="inlineStr">
        <is>
          <t>Негативный</t>
        </is>
      </c>
      <c r="C5" s="87" t="inlineStr">
        <is>
          <t>Базовый</t>
        </is>
      </c>
      <c r="D5" s="87" t="inlineStr">
        <is>
          <t>Позитивный</t>
        </is>
      </c>
      <c r="E5" s="87" t="inlineStr">
        <is>
          <t>Ед.</t>
        </is>
      </c>
      <c r="F5" s="87" t="inlineStr">
        <is>
          <t>Пояснение</t>
        </is>
      </c>
    </row>
    <row r="6" ht="26" customHeight="1">
      <c r="A6" s="112" t="inlineStr">
        <is>
          <t>Выручка без НДС</t>
        </is>
      </c>
      <c r="B6" s="150">
        <f>SUM('19_Расчет_аналитики'!$B$717:$BI$717)/1000000</f>
        <v/>
      </c>
      <c r="C6" s="150">
        <f>SUM('19_Расчет_аналитики'!$B$1729:$BI$1729)/1000000</f>
        <v/>
      </c>
      <c r="D6" s="150">
        <f>SUM('19_Расчет_аналитики'!$B$2741:$BI$2741)/1000000</f>
        <v/>
      </c>
      <c r="E6" s="114" t="inlineStr">
        <is>
          <t>млн ₽</t>
        </is>
      </c>
      <c r="F6" s="112" t="n"/>
    </row>
    <row r="7" ht="26" customHeight="1">
      <c r="A7" s="104" t="inlineStr">
        <is>
          <t>Паушальные</t>
        </is>
      </c>
      <c r="B7" s="151">
        <f>SUM('19_Расчет_аналитики'!$B$712:$BI$712)/1000000</f>
        <v/>
      </c>
      <c r="C7" s="151">
        <f>SUM('19_Расчет_аналитики'!$B$1724:$BI$1724)/1000000</f>
        <v/>
      </c>
      <c r="D7" s="151">
        <f>SUM('19_Расчет_аналитики'!$B$2736:$BI$2736)/1000000</f>
        <v/>
      </c>
      <c r="E7" s="115" t="inlineStr">
        <is>
          <t>млн ₽</t>
        </is>
      </c>
      <c r="F7" s="104" t="n"/>
    </row>
    <row r="8" ht="26" customHeight="1">
      <c r="A8" s="104" t="inlineStr">
        <is>
          <t>Роялти</t>
        </is>
      </c>
      <c r="B8" s="151">
        <f>SUM('19_Расчет_аналитики'!$B$713:$BI$713,'19_Расчет_аналитики'!$B$714:$BI$714)/1000000</f>
        <v/>
      </c>
      <c r="C8" s="151">
        <f>SUM('19_Расчет_аналитики'!$B$1725:$BI$1725,'19_Расчет_аналитики'!$B$1726:$BI$1726)/1000000</f>
        <v/>
      </c>
      <c r="D8" s="151">
        <f>SUM('19_Расчет_аналитики'!$B$2737:$BI$2737,'19_Расчет_аналитики'!$B$2738:$BI$2738)/1000000</f>
        <v/>
      </c>
      <c r="E8" s="115" t="inlineStr">
        <is>
          <t>млн ₽</t>
        </is>
      </c>
      <c r="F8" s="104" t="n"/>
    </row>
    <row r="9" ht="26" customHeight="1">
      <c r="A9" s="104" t="inlineStr">
        <is>
          <t>Мерч</t>
        </is>
      </c>
      <c r="B9" s="151">
        <f>SUM('19_Расчет_аналитики'!$B$715:$BI$715)/1000000</f>
        <v/>
      </c>
      <c r="C9" s="151">
        <f>SUM('19_Расчет_аналитики'!$B$1727:$BI$1727)/1000000</f>
        <v/>
      </c>
      <c r="D9" s="151">
        <f>SUM('19_Расчет_аналитики'!$B$2739:$BI$2739)/1000000</f>
        <v/>
      </c>
      <c r="E9" s="115" t="inlineStr">
        <is>
          <t>млн ₽</t>
        </is>
      </c>
      <c r="F9" s="104" t="n"/>
    </row>
    <row r="10" ht="26" customHeight="1">
      <c r="A10" s="104" t="inlineStr">
        <is>
          <t>Лагеря</t>
        </is>
      </c>
      <c r="B10" s="151">
        <f>SUM('19_Расчет_аналитики'!$B$716:$BI$716)/1000000</f>
        <v/>
      </c>
      <c r="C10" s="151">
        <f>SUM('19_Расчет_аналитики'!$B$1728:$BI$1728)/1000000</f>
        <v/>
      </c>
      <c r="D10" s="151">
        <f>SUM('19_Расчет_аналитики'!$B$2740:$BI$2740)/1000000</f>
        <v/>
      </c>
      <c r="E10" s="115" t="inlineStr">
        <is>
          <t>млн ₽</t>
        </is>
      </c>
      <c r="F10" s="104" t="n"/>
    </row>
    <row r="11" ht="26" customHeight="1">
      <c r="A11" s="112" t="inlineStr">
        <is>
          <t>EBITDA</t>
        </is>
      </c>
      <c r="B11" s="150">
        <f>SUM('19_Расчет_аналитики'!$B$738:$BI$738)/1000000</f>
        <v/>
      </c>
      <c r="C11" s="150">
        <f>SUM('19_Расчет_аналитики'!$B$1750:$BI$1750)/1000000</f>
        <v/>
      </c>
      <c r="D11" s="150">
        <f>SUM('19_Расчет_аналитики'!$B$2762:$BI$2762)/1000000</f>
        <v/>
      </c>
      <c r="E11" s="114" t="inlineStr">
        <is>
          <t>млн ₽</t>
        </is>
      </c>
      <c r="F11" s="112" t="n"/>
    </row>
    <row r="12" ht="26" customHeight="1">
      <c r="A12" s="104" t="inlineStr">
        <is>
          <t>Рентабельность EBITDA</t>
        </is>
      </c>
      <c r="B12" s="152">
        <f>IF(SUM('19_Расчет_аналитики'!$B$717:$BI$717)=0,0,SUM('19_Расчет_аналитики'!$B$738:$BI$738)/SUM('19_Расчет_аналитики'!$B$717:$BI$717))</f>
        <v/>
      </c>
      <c r="C12" s="152">
        <f>IF(SUM('19_Расчет_аналитики'!$B$1729:$BI$1729)=0,0,SUM('19_Расчет_аналитики'!$B$1750:$BI$1750)/SUM('19_Расчет_аналитики'!$B$1729:$BI$1729))</f>
        <v/>
      </c>
      <c r="D12" s="152">
        <f>IF(SUM('19_Расчет_аналитики'!$B$2741:$BI$2741)=0,0,SUM('19_Расчет_аналитики'!$B$2762:$BI$2762)/SUM('19_Расчет_аналитики'!$B$2741:$BI$2741))</f>
        <v/>
      </c>
      <c r="E12" s="115" t="inlineStr">
        <is>
          <t>%</t>
        </is>
      </c>
      <c r="F12" s="104" t="n"/>
    </row>
    <row r="13" ht="26" customHeight="1">
      <c r="A13" s="104" t="inlineStr">
        <is>
          <t>Поток после CAPEX, до займа</t>
        </is>
      </c>
      <c r="B13" s="151">
        <f>SUM('19_Расчет_аналитики'!$B$762:$BI$762)/1000000</f>
        <v/>
      </c>
      <c r="C13" s="151">
        <f>SUM('19_Расчет_аналитики'!$B$1774:$BI$1774)/1000000</f>
        <v/>
      </c>
      <c r="D13" s="151">
        <f>SUM('19_Расчет_аналитики'!$B$2786:$BI$2786)/1000000</f>
        <v/>
      </c>
      <c r="E13" s="115" t="inlineStr">
        <is>
          <t>млн ₽</t>
        </is>
      </c>
      <c r="F13" s="104" t="n"/>
    </row>
    <row r="14" ht="26" customHeight="1">
      <c r="A14" s="104" t="inlineStr">
        <is>
          <t>Возврат займа ФК</t>
        </is>
      </c>
      <c r="B14" s="151">
        <f>SUM('19_Расчет_аналитики'!$B$764:$BI$764)/1000000</f>
        <v/>
      </c>
      <c r="C14" s="151">
        <f>SUM('19_Расчет_аналитики'!$B$1776:$BI$1776)/1000000</f>
        <v/>
      </c>
      <c r="D14" s="151">
        <f>SUM('19_Расчет_аналитики'!$B$2788:$BI$2788)/1000000</f>
        <v/>
      </c>
      <c r="E14" s="115" t="inlineStr">
        <is>
          <t>млн ₽</t>
        </is>
      </c>
      <c r="F14" s="104" t="n"/>
    </row>
    <row r="15" ht="26" customHeight="1">
      <c r="A15" s="104" t="inlineStr">
        <is>
          <t>Поток после займа</t>
        </is>
      </c>
      <c r="B15" s="151">
        <f>SUM('19_Расчет_аналитики'!$B$765:$BI$765)/1000000</f>
        <v/>
      </c>
      <c r="C15" s="151">
        <f>SUM('19_Расчет_аналитики'!$B$1777:$BI$1777)/1000000</f>
        <v/>
      </c>
      <c r="D15" s="151">
        <f>SUM('19_Расчет_аналитики'!$B$2789:$BI$2789)/1000000</f>
        <v/>
      </c>
      <c r="E15" s="115" t="inlineStr">
        <is>
          <t>млн ₽</t>
        </is>
      </c>
      <c r="F15" s="104" t="n"/>
    </row>
    <row r="16" ht="26" customHeight="1">
      <c r="A16" s="104" t="inlineStr">
        <is>
          <t>Деньги на конец</t>
        </is>
      </c>
      <c r="B16" s="151">
        <f>'19_Расчет_аналитики'!$BI$766/1000000</f>
        <v/>
      </c>
      <c r="C16" s="151">
        <f>'19_Расчет_аналитики'!$BI$1778/1000000</f>
        <v/>
      </c>
      <c r="D16" s="151">
        <f>'19_Расчет_аналитики'!$BI$2790/1000000</f>
        <v/>
      </c>
      <c r="E16" s="115" t="inlineStr">
        <is>
          <t>млн ₽</t>
        </is>
      </c>
      <c r="F16" s="104" t="n"/>
    </row>
    <row r="17" ht="26" customHeight="1">
      <c r="A17" s="112" t="inlineStr">
        <is>
          <t>Пиковый кассовый дефицит</t>
        </is>
      </c>
      <c r="B17" s="150">
        <f>MAX(0,-MIN('19_Расчет_аналитики'!$B$766:$BI$766))/1000000</f>
        <v/>
      </c>
      <c r="C17" s="150">
        <f>MAX(0,-MIN('19_Расчет_аналитики'!$B$1778:$BI$1778))/1000000</f>
        <v/>
      </c>
      <c r="D17" s="150">
        <f>MAX(0,-MIN('19_Расчет_аналитики'!$B$2790:$BI$2790))/1000000</f>
        <v/>
      </c>
      <c r="E17" s="114" t="inlineStr">
        <is>
          <t>млн ₽</t>
        </is>
      </c>
      <c r="F17" s="112" t="inlineStr">
        <is>
          <t>Не оформленный кредит: сумма минимального отрицательного остатка. Проценты на допфинансирование не добавлены.</t>
        </is>
      </c>
    </row>
    <row r="18" ht="26" customHeight="1">
      <c r="A18" s="104" t="inlineStr">
        <is>
          <t>Закупки товара</t>
        </is>
      </c>
      <c r="B18" s="151">
        <f>SUM('19_Расчет_аналитики'!$B$626:$BI$626)/1000000</f>
        <v/>
      </c>
      <c r="C18" s="151">
        <f>SUM('19_Расчет_аналитики'!$B$1638:$BI$1638)/1000000</f>
        <v/>
      </c>
      <c r="D18" s="151">
        <f>SUM('19_Расчет_аналитики'!$B$2650:$BI$2650)/1000000</f>
        <v/>
      </c>
      <c r="E18" s="115" t="inlineStr">
        <is>
          <t>млн ₽</t>
        </is>
      </c>
      <c r="F18" s="104" t="n"/>
    </row>
    <row r="19" ht="26" customHeight="1">
      <c r="A19" s="104" t="inlineStr">
        <is>
          <t>Пик товарного остатка</t>
        </is>
      </c>
      <c r="B19" s="151">
        <f>MAX('19_Расчет_аналитики'!$B$627:$BI$627)/1000000</f>
        <v/>
      </c>
      <c r="C19" s="151">
        <f>MAX('19_Расчет_аналитики'!$B$1639:$BI$1639)/1000000</f>
        <v/>
      </c>
      <c r="D19" s="151">
        <f>MAX('19_Расчет_аналитики'!$B$2651:$BI$2651)/1000000</f>
        <v/>
      </c>
      <c r="E19" s="115" t="inlineStr">
        <is>
          <t>млн ₽</t>
        </is>
      </c>
      <c r="F19" s="104" t="n"/>
    </row>
    <row r="20" ht="26" customHeight="1">
      <c r="A20" s="104" t="inlineStr">
        <is>
          <t>Склад на конец</t>
        </is>
      </c>
      <c r="B20" s="151">
        <f>'19_Расчет_аналитики'!$BI$770/1000000</f>
        <v/>
      </c>
      <c r="C20" s="151">
        <f>'19_Расчет_аналитики'!$BI$1782/1000000</f>
        <v/>
      </c>
      <c r="D20" s="151">
        <f>'19_Расчет_аналитики'!$BI$2794/1000000</f>
        <v/>
      </c>
      <c r="E20" s="115" t="inlineStr">
        <is>
          <t>млн ₽</t>
        </is>
      </c>
      <c r="F20" s="104" t="n"/>
    </row>
    <row r="21" ht="26" customHeight="1">
      <c r="A21" s="104" t="inlineStr">
        <is>
          <t>Займ на конец</t>
        </is>
      </c>
      <c r="B21" s="151">
        <f>'19_Расчет_аналитики'!$BI$769/1000000</f>
        <v/>
      </c>
      <c r="C21" s="151">
        <f>'19_Расчет_аналитики'!$BI$1781/1000000</f>
        <v/>
      </c>
      <c r="D21" s="151">
        <f>'19_Расчет_аналитики'!$BI$2793/1000000</f>
        <v/>
      </c>
      <c r="E21" s="115" t="inlineStr">
        <is>
          <t>млн ₽</t>
        </is>
      </c>
      <c r="F21" s="104" t="n"/>
    </row>
    <row r="22" ht="45" customHeight="1">
      <c r="A22" s="104" t="inlineStr">
        <is>
          <t>Нехватка товара (по себестоимости)</t>
        </is>
      </c>
      <c r="B22" s="151">
        <f>MAX('19_Расчет_аналитики'!$B$628:$BI$628)/1000000</f>
        <v/>
      </c>
      <c r="C22" s="151">
        <f>MAX('19_Расчет_аналитики'!$B$1640:$BI$1640)/1000000</f>
        <v/>
      </c>
      <c r="D22" s="151">
        <f>MAX('19_Расчет_аналитики'!$B$2652:$BI$2652)/1000000</f>
        <v/>
      </c>
      <c r="E22" s="115" t="inlineStr">
        <is>
          <t>млн ₽</t>
        </is>
      </c>
      <c r="F22" s="104" t="inlineStr">
        <is>
          <t>Если &gt;0, выручка плана не обеспечена запасом: нужны другие сроки/объёмы закупок.</t>
        </is>
      </c>
    </row>
    <row r="23" ht="26" customHeight="1">
      <c r="A23" s="104" t="inlineStr">
        <is>
          <t>Продано франшиз</t>
        </is>
      </c>
      <c r="B23" s="151">
        <f>SUM('19_Расчет_аналитики'!$B$338:$BI$338)</f>
        <v/>
      </c>
      <c r="C23" s="151">
        <f>SUM('19_Расчет_аналитики'!$B$1350:$BI$1350)</f>
        <v/>
      </c>
      <c r="D23" s="151">
        <f>SUM('19_Расчет_аналитики'!$B$2362:$BI$2362)</f>
        <v/>
      </c>
      <c r="E23" s="115" t="inlineStr">
        <is>
          <t>шт.</t>
        </is>
      </c>
      <c r="F23" s="104" t="n"/>
    </row>
    <row r="24" ht="26" customHeight="1">
      <c r="A24" s="104" t="inlineStr">
        <is>
          <t>Открыто школ</t>
        </is>
      </c>
      <c r="B24" s="151">
        <f>SUM('19_Расчет_аналитики'!$B$341:$BI$341)</f>
        <v/>
      </c>
      <c r="C24" s="151">
        <f>SUM('19_Расчет_аналитики'!$B$1353:$BI$1353)</f>
        <v/>
      </c>
      <c r="D24" s="151">
        <f>SUM('19_Расчет_аналитики'!$B$2365:$BI$2365)</f>
        <v/>
      </c>
      <c r="E24" s="115" t="inlineStr">
        <is>
          <t>шт.</t>
        </is>
      </c>
      <c r="F24" s="104" t="n"/>
    </row>
    <row r="25" ht="26" customHeight="1">
      <c r="A25" s="104" t="inlineStr">
        <is>
          <t>Активные школы на конец</t>
        </is>
      </c>
      <c r="B25" s="151">
        <f>'19_Расчет_аналитики'!$BI$372</f>
        <v/>
      </c>
      <c r="C25" s="151">
        <f>'19_Расчет_аналитики'!$BI$1384</f>
        <v/>
      </c>
      <c r="D25" s="151">
        <f>'19_Расчет_аналитики'!$BI$2396</f>
        <v/>
      </c>
      <c r="E25" s="115" t="inlineStr">
        <is>
          <t>шт.</t>
        </is>
      </c>
      <c r="F25" s="104" t="n"/>
    </row>
    <row r="26" ht="26" customHeight="1">
      <c r="A26" s="104" t="inlineStr">
        <is>
          <t>Среднее активных детей в месяц</t>
        </is>
      </c>
      <c r="B26" s="151">
        <f>AVERAGE('19_Расчет_аналитики'!$B$380:$BI$380)</f>
        <v/>
      </c>
      <c r="C26" s="151">
        <f>AVERAGE('19_Расчет_аналитики'!$B$1392:$BI$1392)</f>
        <v/>
      </c>
      <c r="D26" s="151">
        <f>AVERAGE('19_Расчет_аналитики'!$B$2404:$BI$2404)</f>
        <v/>
      </c>
      <c r="E26" s="115" t="inlineStr">
        <is>
          <t>чел.</t>
        </is>
      </c>
      <c r="F26" s="104" t="n"/>
    </row>
    <row r="27" ht="26" customHeight="1">
      <c r="A27" s="104" t="inlineStr">
        <is>
          <t>Операционные выплаты ФК, деньги</t>
        </is>
      </c>
      <c r="B27" s="151">
        <f>SUM('19_Расчет_аналитики'!$B$755:$BI$755)/1000000</f>
        <v/>
      </c>
      <c r="C27" s="151">
        <f>SUM('19_Расчет_аналитики'!$B$1767:$BI$1767)/1000000</f>
        <v/>
      </c>
      <c r="D27" s="151">
        <f>SUM('19_Расчет_аналитики'!$B$2779:$BI$2779)/1000000</f>
        <v/>
      </c>
      <c r="E27" s="115" t="inlineStr">
        <is>
          <t>млн ₽</t>
        </is>
      </c>
      <c r="F27" s="104" t="n"/>
    </row>
    <row r="28">
      <c r="A28" s="104" t="inlineStr">
        <is>
          <t>CAPEX — всего</t>
        </is>
      </c>
      <c r="B28" s="162">
        <f>SUM('19_Расчет_аналитики'!$B$751:$BI$751)/1000000</f>
        <v/>
      </c>
      <c r="C28" s="162">
        <f>SUM('19_Расчет_аналитики'!$B$1763:$BI$1763)/1000000</f>
        <v/>
      </c>
      <c r="D28" s="162">
        <f>SUM('19_Расчет_аналитики'!$B$2775:$BI$2775)/1000000</f>
        <v/>
      </c>
      <c r="E28" s="115" t="inlineStr">
        <is>
          <t>млн ₽</t>
        </is>
      </c>
      <c r="F28" s="104" t="n"/>
    </row>
    <row r="29"/>
    <row r="30" ht="27" customHeight="1">
      <c r="A30" s="60" t="inlineStr">
        <is>
          <t>EBITDA по сезонам, млн ₽</t>
        </is>
      </c>
    </row>
    <row r="31" ht="26" customHeight="1">
      <c r="A31" s="104" t="inlineStr">
        <is>
          <t>2026/27</t>
        </is>
      </c>
      <c r="B31" s="151">
        <f>SUM('19_Расчет_аналитики'!$B$738:$M$738)/1000000</f>
        <v/>
      </c>
      <c r="C31" s="151">
        <f>SUM('19_Расчет_аналитики'!$B$1750:$M$1750)/1000000</f>
        <v/>
      </c>
      <c r="D31" s="151">
        <f>SUM('19_Расчет_аналитики'!$B$2762:$M$2762)/1000000</f>
        <v/>
      </c>
      <c r="E31" s="115" t="n"/>
      <c r="F31" s="104" t="n"/>
    </row>
    <row r="32" ht="26" customHeight="1">
      <c r="A32" s="104" t="inlineStr">
        <is>
          <t>2027/28</t>
        </is>
      </c>
      <c r="B32" s="151">
        <f>SUM('19_Расчет_аналитики'!$N$738:$Y$738)/1000000</f>
        <v/>
      </c>
      <c r="C32" s="151">
        <f>SUM('19_Расчет_аналитики'!$N$1750:$Y$1750)/1000000</f>
        <v/>
      </c>
      <c r="D32" s="151">
        <f>SUM('19_Расчет_аналитики'!$N$2762:$Y$2762)/1000000</f>
        <v/>
      </c>
      <c r="E32" s="115" t="n"/>
      <c r="F32" s="104" t="n"/>
    </row>
    <row r="33" ht="26" customHeight="1">
      <c r="A33" s="104" t="inlineStr">
        <is>
          <t>2028/29</t>
        </is>
      </c>
      <c r="B33" s="151">
        <f>SUM('19_Расчет_аналитики'!$Z$738:$AK$738)/1000000</f>
        <v/>
      </c>
      <c r="C33" s="151">
        <f>SUM('19_Расчет_аналитики'!$Z$1750:$AK$1750)/1000000</f>
        <v/>
      </c>
      <c r="D33" s="151">
        <f>SUM('19_Расчет_аналитики'!$Z$2762:$AK$2762)/1000000</f>
        <v/>
      </c>
      <c r="E33" s="115" t="n"/>
      <c r="F33" s="104" t="n"/>
    </row>
    <row r="34" ht="26" customHeight="1">
      <c r="A34" s="104" t="inlineStr">
        <is>
          <t>2029/30</t>
        </is>
      </c>
      <c r="B34" s="151">
        <f>SUM('19_Расчет_аналитики'!$AL$738:$AW$738)/1000000</f>
        <v/>
      </c>
      <c r="C34" s="151">
        <f>SUM('19_Расчет_аналитики'!$AL$1750:$AW$1750)/1000000</f>
        <v/>
      </c>
      <c r="D34" s="151">
        <f>SUM('19_Расчет_аналитики'!$AL$2762:$AW$2762)/1000000</f>
        <v/>
      </c>
      <c r="E34" s="115" t="n"/>
      <c r="F34" s="104" t="n"/>
    </row>
    <row r="35" ht="26" customHeight="1">
      <c r="A35" s="104" t="inlineStr">
        <is>
          <t>2030/31</t>
        </is>
      </c>
      <c r="B35" s="151">
        <f>SUM('19_Расчет_аналитики'!$AX$738:$BI$738)/1000000</f>
        <v/>
      </c>
      <c r="C35" s="151">
        <f>SUM('19_Расчет_аналитики'!$AX$1750:$BI$1750)/1000000</f>
        <v/>
      </c>
      <c r="D35" s="151">
        <f>SUM('19_Расчет_аналитики'!$AX$2762:$BI$2762)/1000000</f>
        <v/>
      </c>
      <c r="E35" s="115" t="n"/>
      <c r="F35" s="104" t="n"/>
    </row>
  </sheetData>
  <mergeCells count="3">
    <mergeCell ref="A3:F3"/>
    <mergeCell ref="A30:F30"/>
    <mergeCell ref="A1:F1"/>
  </mergeCells>
  <printOptions horizontalCentered="0"/>
  <pageMargins left="0.75" right="0.75" top="1" bottom="1" header="0.5" footer="0.5"/>
  <pageSetup orientation="portrait" fitToHeight="0" fitToWidth="1"/>
  <headerFooter>
    <oddHeader/>
    <oddFooter>&amp;LФинмодель Спартак · 03_Сценарии&amp;R&amp;P / &amp;N</oddFooter>
    <evenHeader/>
    <evenFooter/>
    <firstHeader/>
    <firstFooter/>
  </headerFooter>
</worksheet>
</file>

<file path=xl/worksheets/sheet6.xml><?xml version="1.0" encoding="utf-8"?>
<worksheet xmlns="http://schemas.openxmlformats.org/spreadsheetml/2006/main">
  <sheetPr>
    <tabColor rgb="009E1B31"/>
    <outlinePr summaryBelow="1" summaryRight="1"/>
    <pageSetUpPr fitToPage="1"/>
  </sheetPr>
  <dimension ref="A1:BI28"/>
  <sheetViews>
    <sheetView showGridLines="0" zoomScale="82" workbookViewId="0">
      <pane xSplit="1" ySplit="9" topLeftCell="B10"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Продажи франшиз, лиды и маркетинг</t>
        </is>
      </c>
    </row>
    <row r="2"/>
    <row r="3" ht="20" customHeight="1">
      <c r="A3" s="4" t="inlineStr">
        <is>
          <t>Контроль сезонных планов</t>
        </is>
      </c>
    </row>
    <row r="4">
      <c r="A4" s="6" t="inlineStr">
        <is>
          <t>Сезон</t>
        </is>
      </c>
      <c r="B4" s="6" t="inlineStr">
        <is>
          <t>Годовой план</t>
        </is>
      </c>
      <c r="C4" s="6" t="inlineStr">
        <is>
          <t>Сумма весов</t>
        </is>
      </c>
      <c r="D4" s="6" t="inlineStr">
        <is>
          <t>Расчёт продаж</t>
        </is>
      </c>
      <c r="E4" s="6" t="inlineStr">
        <is>
          <t>Отклонение</t>
        </is>
      </c>
    </row>
    <row r="5">
      <c r="A5" s="123" t="n">
        <v>1</v>
      </c>
      <c r="B5" s="124">
        <f>'01_Вводные'!B36</f>
        <v/>
      </c>
      <c r="C5" s="44">
        <f>'01_Вводные'!O36</f>
        <v/>
      </c>
      <c r="D5" s="117">
        <f>SUM(B15:M15)</f>
        <v/>
      </c>
      <c r="E5" s="117">
        <f>ROUND(D5-B5,8)</f>
        <v/>
      </c>
    </row>
    <row r="6">
      <c r="A6" s="123" t="n">
        <v>2</v>
      </c>
      <c r="B6" s="124">
        <f>'01_Вводные'!B37</f>
        <v/>
      </c>
      <c r="C6" s="44">
        <f>'01_Вводные'!O37</f>
        <v/>
      </c>
      <c r="D6" s="117">
        <f>SUM(N15:Y15)</f>
        <v/>
      </c>
      <c r="E6" s="117">
        <f>ROUND(D6-B6,8)</f>
        <v/>
      </c>
    </row>
    <row r="7">
      <c r="A7" s="123" t="n">
        <v>3</v>
      </c>
      <c r="B7" s="124">
        <f>'01_Вводные'!B38</f>
        <v/>
      </c>
      <c r="C7" s="44">
        <f>'01_Вводные'!O38</f>
        <v/>
      </c>
      <c r="D7" s="117">
        <f>SUM(Z15:AK15)</f>
        <v/>
      </c>
      <c r="E7" s="117">
        <f>ROUND(D7-B7,8)</f>
        <v/>
      </c>
    </row>
    <row r="8">
      <c r="A8" s="123" t="n">
        <v>4</v>
      </c>
      <c r="B8" s="124">
        <f>'01_Вводные'!B39</f>
        <v/>
      </c>
      <c r="C8" s="44">
        <f>'01_Вводные'!O39</f>
        <v/>
      </c>
      <c r="D8" s="117">
        <f>SUM(AL15:AW15)</f>
        <v/>
      </c>
      <c r="E8" s="117">
        <f>ROUND(D8-B8,8)</f>
        <v/>
      </c>
    </row>
    <row r="9">
      <c r="A9" s="123" t="n">
        <v>5</v>
      </c>
      <c r="B9" s="124">
        <f>'01_Вводные'!B40</f>
        <v/>
      </c>
      <c r="C9" s="44">
        <f>'01_Вводные'!O40</f>
        <v/>
      </c>
      <c r="D9" s="117">
        <f>SUM(AX15:BI15)</f>
        <v/>
      </c>
      <c r="E9" s="117">
        <f>ROUND(D9-B9,8)</f>
        <v/>
      </c>
    </row>
    <row r="10" ht="20" customHeight="1">
      <c r="A10" s="4" t="inlineStr">
        <is>
          <t>Помесячный план</t>
        </is>
      </c>
    </row>
    <row r="11">
      <c r="B11" s="94">
        <f>DATE(YEAR('01_Вводные'!$B$7),MONTH('01_Вводные'!$B$7)+0,1)</f>
        <v/>
      </c>
      <c r="C11" s="94">
        <f>DATE(YEAR('01_Вводные'!$B$7),MONTH('01_Вводные'!$B$7)+1,1)</f>
        <v/>
      </c>
      <c r="D11" s="94">
        <f>DATE(YEAR('01_Вводные'!$B$7),MONTH('01_Вводные'!$B$7)+2,1)</f>
        <v/>
      </c>
      <c r="E11" s="94">
        <f>DATE(YEAR('01_Вводные'!$B$7),MONTH('01_Вводные'!$B$7)+3,1)</f>
        <v/>
      </c>
      <c r="F11" s="94">
        <f>DATE(YEAR('01_Вводные'!$B$7),MONTH('01_Вводные'!$B$7)+4,1)</f>
        <v/>
      </c>
      <c r="G11" s="94">
        <f>DATE(YEAR('01_Вводные'!$B$7),MONTH('01_Вводные'!$B$7)+5,1)</f>
        <v/>
      </c>
      <c r="H11" s="94">
        <f>DATE(YEAR('01_Вводные'!$B$7),MONTH('01_Вводные'!$B$7)+6,1)</f>
        <v/>
      </c>
      <c r="I11" s="94">
        <f>DATE(YEAR('01_Вводные'!$B$7),MONTH('01_Вводные'!$B$7)+7,1)</f>
        <v/>
      </c>
      <c r="J11" s="94">
        <f>DATE(YEAR('01_Вводные'!$B$7),MONTH('01_Вводные'!$B$7)+8,1)</f>
        <v/>
      </c>
      <c r="K11" s="94">
        <f>DATE(YEAR('01_Вводные'!$B$7),MONTH('01_Вводные'!$B$7)+9,1)</f>
        <v/>
      </c>
      <c r="L11" s="94">
        <f>DATE(YEAR('01_Вводные'!$B$7),MONTH('01_Вводные'!$B$7)+10,1)</f>
        <v/>
      </c>
      <c r="M11" s="94">
        <f>DATE(YEAR('01_Вводные'!$B$7),MONTH('01_Вводные'!$B$7)+11,1)</f>
        <v/>
      </c>
      <c r="N11" s="94">
        <f>DATE(YEAR('01_Вводные'!$B$7),MONTH('01_Вводные'!$B$7)+12,1)</f>
        <v/>
      </c>
      <c r="O11" s="94">
        <f>DATE(YEAR('01_Вводные'!$B$7),MONTH('01_Вводные'!$B$7)+13,1)</f>
        <v/>
      </c>
      <c r="P11" s="94">
        <f>DATE(YEAR('01_Вводные'!$B$7),MONTH('01_Вводные'!$B$7)+14,1)</f>
        <v/>
      </c>
      <c r="Q11" s="94">
        <f>DATE(YEAR('01_Вводные'!$B$7),MONTH('01_Вводные'!$B$7)+15,1)</f>
        <v/>
      </c>
      <c r="R11" s="94">
        <f>DATE(YEAR('01_Вводные'!$B$7),MONTH('01_Вводные'!$B$7)+16,1)</f>
        <v/>
      </c>
      <c r="S11" s="94">
        <f>DATE(YEAR('01_Вводные'!$B$7),MONTH('01_Вводные'!$B$7)+17,1)</f>
        <v/>
      </c>
      <c r="T11" s="94">
        <f>DATE(YEAR('01_Вводные'!$B$7),MONTH('01_Вводные'!$B$7)+18,1)</f>
        <v/>
      </c>
      <c r="U11" s="94">
        <f>DATE(YEAR('01_Вводные'!$B$7),MONTH('01_Вводные'!$B$7)+19,1)</f>
        <v/>
      </c>
      <c r="V11" s="94">
        <f>DATE(YEAR('01_Вводные'!$B$7),MONTH('01_Вводные'!$B$7)+20,1)</f>
        <v/>
      </c>
      <c r="W11" s="94">
        <f>DATE(YEAR('01_Вводные'!$B$7),MONTH('01_Вводные'!$B$7)+21,1)</f>
        <v/>
      </c>
      <c r="X11" s="94">
        <f>DATE(YEAR('01_Вводные'!$B$7),MONTH('01_Вводные'!$B$7)+22,1)</f>
        <v/>
      </c>
      <c r="Y11" s="94">
        <f>DATE(YEAR('01_Вводные'!$B$7),MONTH('01_Вводные'!$B$7)+23,1)</f>
        <v/>
      </c>
      <c r="Z11" s="94">
        <f>DATE(YEAR('01_Вводные'!$B$7),MONTH('01_Вводные'!$B$7)+24,1)</f>
        <v/>
      </c>
      <c r="AA11" s="94">
        <f>DATE(YEAR('01_Вводные'!$B$7),MONTH('01_Вводные'!$B$7)+25,1)</f>
        <v/>
      </c>
      <c r="AB11" s="94">
        <f>DATE(YEAR('01_Вводные'!$B$7),MONTH('01_Вводные'!$B$7)+26,1)</f>
        <v/>
      </c>
      <c r="AC11" s="94">
        <f>DATE(YEAR('01_Вводные'!$B$7),MONTH('01_Вводные'!$B$7)+27,1)</f>
        <v/>
      </c>
      <c r="AD11" s="94">
        <f>DATE(YEAR('01_Вводные'!$B$7),MONTH('01_Вводные'!$B$7)+28,1)</f>
        <v/>
      </c>
      <c r="AE11" s="94">
        <f>DATE(YEAR('01_Вводные'!$B$7),MONTH('01_Вводные'!$B$7)+29,1)</f>
        <v/>
      </c>
      <c r="AF11" s="94">
        <f>DATE(YEAR('01_Вводные'!$B$7),MONTH('01_Вводные'!$B$7)+30,1)</f>
        <v/>
      </c>
      <c r="AG11" s="94">
        <f>DATE(YEAR('01_Вводные'!$B$7),MONTH('01_Вводные'!$B$7)+31,1)</f>
        <v/>
      </c>
      <c r="AH11" s="94">
        <f>DATE(YEAR('01_Вводные'!$B$7),MONTH('01_Вводные'!$B$7)+32,1)</f>
        <v/>
      </c>
      <c r="AI11" s="94">
        <f>DATE(YEAR('01_Вводные'!$B$7),MONTH('01_Вводные'!$B$7)+33,1)</f>
        <v/>
      </c>
      <c r="AJ11" s="94">
        <f>DATE(YEAR('01_Вводные'!$B$7),MONTH('01_Вводные'!$B$7)+34,1)</f>
        <v/>
      </c>
      <c r="AK11" s="94">
        <f>DATE(YEAR('01_Вводные'!$B$7),MONTH('01_Вводные'!$B$7)+35,1)</f>
        <v/>
      </c>
      <c r="AL11" s="94">
        <f>DATE(YEAR('01_Вводные'!$B$7),MONTH('01_Вводные'!$B$7)+36,1)</f>
        <v/>
      </c>
      <c r="AM11" s="94">
        <f>DATE(YEAR('01_Вводные'!$B$7),MONTH('01_Вводные'!$B$7)+37,1)</f>
        <v/>
      </c>
      <c r="AN11" s="94">
        <f>DATE(YEAR('01_Вводные'!$B$7),MONTH('01_Вводные'!$B$7)+38,1)</f>
        <v/>
      </c>
      <c r="AO11" s="94">
        <f>DATE(YEAR('01_Вводные'!$B$7),MONTH('01_Вводные'!$B$7)+39,1)</f>
        <v/>
      </c>
      <c r="AP11" s="94">
        <f>DATE(YEAR('01_Вводные'!$B$7),MONTH('01_Вводные'!$B$7)+40,1)</f>
        <v/>
      </c>
      <c r="AQ11" s="94">
        <f>DATE(YEAR('01_Вводные'!$B$7),MONTH('01_Вводные'!$B$7)+41,1)</f>
        <v/>
      </c>
      <c r="AR11" s="94">
        <f>DATE(YEAR('01_Вводные'!$B$7),MONTH('01_Вводные'!$B$7)+42,1)</f>
        <v/>
      </c>
      <c r="AS11" s="94">
        <f>DATE(YEAR('01_Вводные'!$B$7),MONTH('01_Вводные'!$B$7)+43,1)</f>
        <v/>
      </c>
      <c r="AT11" s="94">
        <f>DATE(YEAR('01_Вводные'!$B$7),MONTH('01_Вводные'!$B$7)+44,1)</f>
        <v/>
      </c>
      <c r="AU11" s="94">
        <f>DATE(YEAR('01_Вводные'!$B$7),MONTH('01_Вводные'!$B$7)+45,1)</f>
        <v/>
      </c>
      <c r="AV11" s="94">
        <f>DATE(YEAR('01_Вводные'!$B$7),MONTH('01_Вводные'!$B$7)+46,1)</f>
        <v/>
      </c>
      <c r="AW11" s="94">
        <f>DATE(YEAR('01_Вводные'!$B$7),MONTH('01_Вводные'!$B$7)+47,1)</f>
        <v/>
      </c>
      <c r="AX11" s="94">
        <f>DATE(YEAR('01_Вводные'!$B$7),MONTH('01_Вводные'!$B$7)+48,1)</f>
        <v/>
      </c>
      <c r="AY11" s="94">
        <f>DATE(YEAR('01_Вводные'!$B$7),MONTH('01_Вводные'!$B$7)+49,1)</f>
        <v/>
      </c>
      <c r="AZ11" s="94">
        <f>DATE(YEAR('01_Вводные'!$B$7),MONTH('01_Вводные'!$B$7)+50,1)</f>
        <v/>
      </c>
      <c r="BA11" s="94">
        <f>DATE(YEAR('01_Вводные'!$B$7),MONTH('01_Вводные'!$B$7)+51,1)</f>
        <v/>
      </c>
      <c r="BB11" s="94">
        <f>DATE(YEAR('01_Вводные'!$B$7),MONTH('01_Вводные'!$B$7)+52,1)</f>
        <v/>
      </c>
      <c r="BC11" s="94">
        <f>DATE(YEAR('01_Вводные'!$B$7),MONTH('01_Вводные'!$B$7)+53,1)</f>
        <v/>
      </c>
      <c r="BD11" s="94">
        <f>DATE(YEAR('01_Вводные'!$B$7),MONTH('01_Вводные'!$B$7)+54,1)</f>
        <v/>
      </c>
      <c r="BE11" s="94">
        <f>DATE(YEAR('01_Вводные'!$B$7),MONTH('01_Вводные'!$B$7)+55,1)</f>
        <v/>
      </c>
      <c r="BF11" s="94">
        <f>DATE(YEAR('01_Вводные'!$B$7),MONTH('01_Вводные'!$B$7)+56,1)</f>
        <v/>
      </c>
      <c r="BG11" s="94">
        <f>DATE(YEAR('01_Вводные'!$B$7),MONTH('01_Вводные'!$B$7)+57,1)</f>
        <v/>
      </c>
      <c r="BH11" s="94">
        <f>DATE(YEAR('01_Вводные'!$B$7),MONTH('01_Вводные'!$B$7)+58,1)</f>
        <v/>
      </c>
      <c r="BI11" s="94">
        <f>DATE(YEAR('01_Вводные'!$B$7),MONTH('01_Вводные'!$B$7)+59,1)</f>
        <v/>
      </c>
    </row>
    <row r="12">
      <c r="A12" s="2" t="inlineStr">
        <is>
          <t>Сезон</t>
        </is>
      </c>
      <c r="B12" s="117">
        <f>INT((0)/12)+1</f>
        <v/>
      </c>
      <c r="C12" s="117">
        <f>INT((1)/12)+1</f>
        <v/>
      </c>
      <c r="D12" s="117">
        <f>INT((2)/12)+1</f>
        <v/>
      </c>
      <c r="E12" s="117">
        <f>INT((3)/12)+1</f>
        <v/>
      </c>
      <c r="F12" s="117">
        <f>INT((4)/12)+1</f>
        <v/>
      </c>
      <c r="G12" s="117">
        <f>INT((5)/12)+1</f>
        <v/>
      </c>
      <c r="H12" s="117">
        <f>INT((6)/12)+1</f>
        <v/>
      </c>
      <c r="I12" s="117">
        <f>INT((7)/12)+1</f>
        <v/>
      </c>
      <c r="J12" s="117">
        <f>INT((8)/12)+1</f>
        <v/>
      </c>
      <c r="K12" s="117">
        <f>INT((9)/12)+1</f>
        <v/>
      </c>
      <c r="L12" s="117">
        <f>INT((10)/12)+1</f>
        <v/>
      </c>
      <c r="M12" s="117">
        <f>INT((11)/12)+1</f>
        <v/>
      </c>
      <c r="N12" s="117">
        <f>INT((12)/12)+1</f>
        <v/>
      </c>
      <c r="O12" s="117">
        <f>INT((13)/12)+1</f>
        <v/>
      </c>
      <c r="P12" s="117">
        <f>INT((14)/12)+1</f>
        <v/>
      </c>
      <c r="Q12" s="117">
        <f>INT((15)/12)+1</f>
        <v/>
      </c>
      <c r="R12" s="117">
        <f>INT((16)/12)+1</f>
        <v/>
      </c>
      <c r="S12" s="117">
        <f>INT((17)/12)+1</f>
        <v/>
      </c>
      <c r="T12" s="117">
        <f>INT((18)/12)+1</f>
        <v/>
      </c>
      <c r="U12" s="117">
        <f>INT((19)/12)+1</f>
        <v/>
      </c>
      <c r="V12" s="117">
        <f>INT((20)/12)+1</f>
        <v/>
      </c>
      <c r="W12" s="117">
        <f>INT((21)/12)+1</f>
        <v/>
      </c>
      <c r="X12" s="117">
        <f>INT((22)/12)+1</f>
        <v/>
      </c>
      <c r="Y12" s="117">
        <f>INT((23)/12)+1</f>
        <v/>
      </c>
      <c r="Z12" s="117">
        <f>INT((24)/12)+1</f>
        <v/>
      </c>
      <c r="AA12" s="117">
        <f>INT((25)/12)+1</f>
        <v/>
      </c>
      <c r="AB12" s="117">
        <f>INT((26)/12)+1</f>
        <v/>
      </c>
      <c r="AC12" s="117">
        <f>INT((27)/12)+1</f>
        <v/>
      </c>
      <c r="AD12" s="117">
        <f>INT((28)/12)+1</f>
        <v/>
      </c>
      <c r="AE12" s="117">
        <f>INT((29)/12)+1</f>
        <v/>
      </c>
      <c r="AF12" s="117">
        <f>INT((30)/12)+1</f>
        <v/>
      </c>
      <c r="AG12" s="117">
        <f>INT((31)/12)+1</f>
        <v/>
      </c>
      <c r="AH12" s="117">
        <f>INT((32)/12)+1</f>
        <v/>
      </c>
      <c r="AI12" s="117">
        <f>INT((33)/12)+1</f>
        <v/>
      </c>
      <c r="AJ12" s="117">
        <f>INT((34)/12)+1</f>
        <v/>
      </c>
      <c r="AK12" s="117">
        <f>INT((35)/12)+1</f>
        <v/>
      </c>
      <c r="AL12" s="117">
        <f>INT((36)/12)+1</f>
        <v/>
      </c>
      <c r="AM12" s="117">
        <f>INT((37)/12)+1</f>
        <v/>
      </c>
      <c r="AN12" s="117">
        <f>INT((38)/12)+1</f>
        <v/>
      </c>
      <c r="AO12" s="117">
        <f>INT((39)/12)+1</f>
        <v/>
      </c>
      <c r="AP12" s="117">
        <f>INT((40)/12)+1</f>
        <v/>
      </c>
      <c r="AQ12" s="117">
        <f>INT((41)/12)+1</f>
        <v/>
      </c>
      <c r="AR12" s="117">
        <f>INT((42)/12)+1</f>
        <v/>
      </c>
      <c r="AS12" s="117">
        <f>INT((43)/12)+1</f>
        <v/>
      </c>
      <c r="AT12" s="117">
        <f>INT((44)/12)+1</f>
        <v/>
      </c>
      <c r="AU12" s="117">
        <f>INT((45)/12)+1</f>
        <v/>
      </c>
      <c r="AV12" s="117">
        <f>INT((46)/12)+1</f>
        <v/>
      </c>
      <c r="AW12" s="117">
        <f>INT((47)/12)+1</f>
        <v/>
      </c>
      <c r="AX12" s="117">
        <f>INT((48)/12)+1</f>
        <v/>
      </c>
      <c r="AY12" s="117">
        <f>INT((49)/12)+1</f>
        <v/>
      </c>
      <c r="AZ12" s="117">
        <f>INT((50)/12)+1</f>
        <v/>
      </c>
      <c r="BA12" s="117">
        <f>INT((51)/12)+1</f>
        <v/>
      </c>
      <c r="BB12" s="117">
        <f>INT((52)/12)+1</f>
        <v/>
      </c>
      <c r="BC12" s="117">
        <f>INT((53)/12)+1</f>
        <v/>
      </c>
      <c r="BD12" s="117">
        <f>INT((54)/12)+1</f>
        <v/>
      </c>
      <c r="BE12" s="117">
        <f>INT((55)/12)+1</f>
        <v/>
      </c>
      <c r="BF12" s="117">
        <f>INT((56)/12)+1</f>
        <v/>
      </c>
      <c r="BG12" s="117">
        <f>INT((57)/12)+1</f>
        <v/>
      </c>
      <c r="BH12" s="117">
        <f>INT((58)/12)+1</f>
        <v/>
      </c>
      <c r="BI12" s="117">
        <f>INT((59)/12)+1</f>
        <v/>
      </c>
    </row>
    <row r="13">
      <c r="A13" s="2" t="inlineStr">
        <is>
          <t>Месяц сезона</t>
        </is>
      </c>
      <c r="B13" s="125" t="n">
        <v>1</v>
      </c>
      <c r="C13" s="125" t="n">
        <v>2</v>
      </c>
      <c r="D13" s="125" t="n">
        <v>3</v>
      </c>
      <c r="E13" s="125" t="n">
        <v>4</v>
      </c>
      <c r="F13" s="125" t="n">
        <v>5</v>
      </c>
      <c r="G13" s="125" t="n">
        <v>6</v>
      </c>
      <c r="H13" s="125" t="n">
        <v>7</v>
      </c>
      <c r="I13" s="125" t="n">
        <v>8</v>
      </c>
      <c r="J13" s="125" t="n">
        <v>9</v>
      </c>
      <c r="K13" s="125" t="n">
        <v>10</v>
      </c>
      <c r="L13" s="125" t="n">
        <v>11</v>
      </c>
      <c r="M13" s="125" t="n">
        <v>12</v>
      </c>
      <c r="N13" s="125" t="n">
        <v>1</v>
      </c>
      <c r="O13" s="125" t="n">
        <v>2</v>
      </c>
      <c r="P13" s="125" t="n">
        <v>3</v>
      </c>
      <c r="Q13" s="125" t="n">
        <v>4</v>
      </c>
      <c r="R13" s="125" t="n">
        <v>5</v>
      </c>
      <c r="S13" s="125" t="n">
        <v>6</v>
      </c>
      <c r="T13" s="125" t="n">
        <v>7</v>
      </c>
      <c r="U13" s="125" t="n">
        <v>8</v>
      </c>
      <c r="V13" s="125" t="n">
        <v>9</v>
      </c>
      <c r="W13" s="125" t="n">
        <v>10</v>
      </c>
      <c r="X13" s="125" t="n">
        <v>11</v>
      </c>
      <c r="Y13" s="125" t="n">
        <v>12</v>
      </c>
      <c r="Z13" s="125" t="n">
        <v>1</v>
      </c>
      <c r="AA13" s="125" t="n">
        <v>2</v>
      </c>
      <c r="AB13" s="125" t="n">
        <v>3</v>
      </c>
      <c r="AC13" s="125" t="n">
        <v>4</v>
      </c>
      <c r="AD13" s="125" t="n">
        <v>5</v>
      </c>
      <c r="AE13" s="125" t="n">
        <v>6</v>
      </c>
      <c r="AF13" s="125" t="n">
        <v>7</v>
      </c>
      <c r="AG13" s="125" t="n">
        <v>8</v>
      </c>
      <c r="AH13" s="125" t="n">
        <v>9</v>
      </c>
      <c r="AI13" s="125" t="n">
        <v>10</v>
      </c>
      <c r="AJ13" s="125" t="n">
        <v>11</v>
      </c>
      <c r="AK13" s="125" t="n">
        <v>12</v>
      </c>
      <c r="AL13" s="125" t="n">
        <v>1</v>
      </c>
      <c r="AM13" s="125" t="n">
        <v>2</v>
      </c>
      <c r="AN13" s="125" t="n">
        <v>3</v>
      </c>
      <c r="AO13" s="125" t="n">
        <v>4</v>
      </c>
      <c r="AP13" s="125" t="n">
        <v>5</v>
      </c>
      <c r="AQ13" s="125" t="n">
        <v>6</v>
      </c>
      <c r="AR13" s="125" t="n">
        <v>7</v>
      </c>
      <c r="AS13" s="125" t="n">
        <v>8</v>
      </c>
      <c r="AT13" s="125" t="n">
        <v>9</v>
      </c>
      <c r="AU13" s="125" t="n">
        <v>10</v>
      </c>
      <c r="AV13" s="125" t="n">
        <v>11</v>
      </c>
      <c r="AW13" s="125" t="n">
        <v>12</v>
      </c>
      <c r="AX13" s="125" t="n">
        <v>1</v>
      </c>
      <c r="AY13" s="125" t="n">
        <v>2</v>
      </c>
      <c r="AZ13" s="125" t="n">
        <v>3</v>
      </c>
      <c r="BA13" s="125" t="n">
        <v>4</v>
      </c>
      <c r="BB13" s="125" t="n">
        <v>5</v>
      </c>
      <c r="BC13" s="125" t="n">
        <v>6</v>
      </c>
      <c r="BD13" s="125" t="n">
        <v>7</v>
      </c>
      <c r="BE13" s="125" t="n">
        <v>8</v>
      </c>
      <c r="BF13" s="125" t="n">
        <v>9</v>
      </c>
      <c r="BG13" s="125" t="n">
        <v>10</v>
      </c>
      <c r="BH13" s="125" t="n">
        <v>11</v>
      </c>
      <c r="BI13" s="125" t="n">
        <v>12</v>
      </c>
    </row>
    <row r="14"/>
    <row r="15">
      <c r="A15" s="2" t="inlineStr">
        <is>
          <t>Продажи франшиз — финансовый план</t>
        </is>
      </c>
      <c r="B15" s="77">
        <f>0</f>
        <v/>
      </c>
      <c r="C15" s="95">
        <f>'01_Вводные'!$B$36*INDEX('01_Вводные'!$C$36:$N$36,1,MOD(MONTH(C$11)-9,12)+1)/(SUM('01_Вводные'!$C$36:$N$36)-INDEX('01_Вводные'!$C$36:$N$36,1,MOD(MONTH('01_Вводные'!$B$7)-9,12)+1))</f>
        <v/>
      </c>
      <c r="D15" s="95">
        <f>'01_Вводные'!$B$36*INDEX('01_Вводные'!$C$36:$N$36,1,MOD(MONTH(D$11)-9,12)+1)/(SUM('01_Вводные'!$C$36:$N$36)-INDEX('01_Вводные'!$C$36:$N$36,1,MOD(MONTH('01_Вводные'!$B$7)-9,12)+1))</f>
        <v/>
      </c>
      <c r="E15" s="95">
        <f>'01_Вводные'!$B$36*INDEX('01_Вводные'!$C$36:$N$36,1,MOD(MONTH(E$11)-9,12)+1)/(SUM('01_Вводные'!$C$36:$N$36)-INDEX('01_Вводные'!$C$36:$N$36,1,MOD(MONTH('01_Вводные'!$B$7)-9,12)+1))</f>
        <v/>
      </c>
      <c r="F15" s="95">
        <f>'01_Вводные'!$B$36*INDEX('01_Вводные'!$C$36:$N$36,1,MOD(MONTH(F$11)-9,12)+1)/(SUM('01_Вводные'!$C$36:$N$36)-INDEX('01_Вводные'!$C$36:$N$36,1,MOD(MONTH('01_Вводные'!$B$7)-9,12)+1))</f>
        <v/>
      </c>
      <c r="G15" s="95">
        <f>'01_Вводные'!$B$36*INDEX('01_Вводные'!$C$36:$N$36,1,MOD(MONTH(G$11)-9,12)+1)/(SUM('01_Вводные'!$C$36:$N$36)-INDEX('01_Вводные'!$C$36:$N$36,1,MOD(MONTH('01_Вводные'!$B$7)-9,12)+1))</f>
        <v/>
      </c>
      <c r="H15" s="95">
        <f>'01_Вводные'!$B$36*INDEX('01_Вводные'!$C$36:$N$36,1,MOD(MONTH(H$11)-9,12)+1)/(SUM('01_Вводные'!$C$36:$N$36)-INDEX('01_Вводные'!$C$36:$N$36,1,MOD(MONTH('01_Вводные'!$B$7)-9,12)+1))</f>
        <v/>
      </c>
      <c r="I15" s="95">
        <f>'01_Вводные'!$B$36*INDEX('01_Вводные'!$C$36:$N$36,1,MOD(MONTH(I$11)-9,12)+1)/(SUM('01_Вводные'!$C$36:$N$36)-INDEX('01_Вводные'!$C$36:$N$36,1,MOD(MONTH('01_Вводные'!$B$7)-9,12)+1))</f>
        <v/>
      </c>
      <c r="J15" s="95">
        <f>'01_Вводные'!$B$36*INDEX('01_Вводные'!$C$36:$N$36,1,MOD(MONTH(J$11)-9,12)+1)/(SUM('01_Вводные'!$C$36:$N$36)-INDEX('01_Вводные'!$C$36:$N$36,1,MOD(MONTH('01_Вводные'!$B$7)-9,12)+1))</f>
        <v/>
      </c>
      <c r="K15" s="95">
        <f>'01_Вводные'!$B$36*INDEX('01_Вводные'!$C$36:$N$36,1,MOD(MONTH(K$11)-9,12)+1)/(SUM('01_Вводные'!$C$36:$N$36)-INDEX('01_Вводные'!$C$36:$N$36,1,MOD(MONTH('01_Вводные'!$B$7)-9,12)+1))</f>
        <v/>
      </c>
      <c r="L15" s="95">
        <f>'01_Вводные'!$B$36*INDEX('01_Вводные'!$C$36:$N$36,1,MOD(MONTH(L$11)-9,12)+1)/(SUM('01_Вводные'!$C$36:$N$36)-INDEX('01_Вводные'!$C$36:$N$36,1,MOD(MONTH('01_Вводные'!$B$7)-9,12)+1))</f>
        <v/>
      </c>
      <c r="M15" s="95">
        <f>'01_Вводные'!$B$36*INDEX('01_Вводные'!$C$36:$N$36,1,MOD(MONTH(M$11)-9,12)+1)/(SUM('01_Вводные'!$C$36:$N$36)-INDEX('01_Вводные'!$C$36:$N$36,1,MOD(MONTH('01_Вводные'!$B$7)-9,12)+1))</f>
        <v/>
      </c>
      <c r="N15" s="95">
        <f>'01_Вводные'!$B$37*INDEX('01_Вводные'!$C$37:$N$37,1,MOD(MONTH(N$11)-9,12)+1)/SUM('01_Вводные'!$C$37:$N$37)</f>
        <v/>
      </c>
      <c r="O15" s="95">
        <f>'01_Вводные'!$B$37*INDEX('01_Вводные'!$C$37:$N$37,1,MOD(MONTH(O$11)-9,12)+1)/SUM('01_Вводные'!$C$37:$N$37)</f>
        <v/>
      </c>
      <c r="P15" s="95">
        <f>'01_Вводные'!$B$37*INDEX('01_Вводные'!$C$37:$N$37,1,MOD(MONTH(P$11)-9,12)+1)/SUM('01_Вводные'!$C$37:$N$37)</f>
        <v/>
      </c>
      <c r="Q15" s="95">
        <f>'01_Вводные'!$B$37*INDEX('01_Вводные'!$C$37:$N$37,1,MOD(MONTH(Q$11)-9,12)+1)/SUM('01_Вводные'!$C$37:$N$37)</f>
        <v/>
      </c>
      <c r="R15" s="95">
        <f>'01_Вводные'!$B$37*INDEX('01_Вводные'!$C$37:$N$37,1,MOD(MONTH(R$11)-9,12)+1)/SUM('01_Вводные'!$C$37:$N$37)</f>
        <v/>
      </c>
      <c r="S15" s="95">
        <f>'01_Вводные'!$B$37*INDEX('01_Вводные'!$C$37:$N$37,1,MOD(MONTH(S$11)-9,12)+1)/SUM('01_Вводные'!$C$37:$N$37)</f>
        <v/>
      </c>
      <c r="T15" s="95">
        <f>'01_Вводные'!$B$37*INDEX('01_Вводные'!$C$37:$N$37,1,MOD(MONTH(T$11)-9,12)+1)/SUM('01_Вводные'!$C$37:$N$37)</f>
        <v/>
      </c>
      <c r="U15" s="95">
        <f>'01_Вводные'!$B$37*INDEX('01_Вводные'!$C$37:$N$37,1,MOD(MONTH(U$11)-9,12)+1)/SUM('01_Вводные'!$C$37:$N$37)</f>
        <v/>
      </c>
      <c r="V15" s="95">
        <f>'01_Вводные'!$B$37*INDEX('01_Вводные'!$C$37:$N$37,1,MOD(MONTH(V$11)-9,12)+1)/SUM('01_Вводные'!$C$37:$N$37)</f>
        <v/>
      </c>
      <c r="W15" s="95">
        <f>'01_Вводные'!$B$37*INDEX('01_Вводные'!$C$37:$N$37,1,MOD(MONTH(W$11)-9,12)+1)/SUM('01_Вводные'!$C$37:$N$37)</f>
        <v/>
      </c>
      <c r="X15" s="95">
        <f>'01_Вводные'!$B$37*INDEX('01_Вводные'!$C$37:$N$37,1,MOD(MONTH(X$11)-9,12)+1)/SUM('01_Вводные'!$C$37:$N$37)</f>
        <v/>
      </c>
      <c r="Y15" s="95">
        <f>'01_Вводные'!$B$37*INDEX('01_Вводные'!$C$37:$N$37,1,MOD(MONTH(Y$11)-9,12)+1)/SUM('01_Вводные'!$C$37:$N$37)</f>
        <v/>
      </c>
      <c r="Z15" s="95">
        <f>'01_Вводные'!$B$38*INDEX('01_Вводные'!$C$38:$N$38,1,MOD(MONTH(Z$11)-9,12)+1)/SUM('01_Вводные'!$C$38:$N$38)</f>
        <v/>
      </c>
      <c r="AA15" s="95">
        <f>'01_Вводные'!$B$38*INDEX('01_Вводные'!$C$38:$N$38,1,MOD(MONTH(AA$11)-9,12)+1)/SUM('01_Вводные'!$C$38:$N$38)</f>
        <v/>
      </c>
      <c r="AB15" s="95">
        <f>'01_Вводные'!$B$38*INDEX('01_Вводные'!$C$38:$N$38,1,MOD(MONTH(AB$11)-9,12)+1)/SUM('01_Вводные'!$C$38:$N$38)</f>
        <v/>
      </c>
      <c r="AC15" s="95">
        <f>'01_Вводные'!$B$38*INDEX('01_Вводные'!$C$38:$N$38,1,MOD(MONTH(AC$11)-9,12)+1)/SUM('01_Вводные'!$C$38:$N$38)</f>
        <v/>
      </c>
      <c r="AD15" s="95">
        <f>'01_Вводные'!$B$38*INDEX('01_Вводные'!$C$38:$N$38,1,MOD(MONTH(AD$11)-9,12)+1)/SUM('01_Вводные'!$C$38:$N$38)</f>
        <v/>
      </c>
      <c r="AE15" s="95">
        <f>'01_Вводные'!$B$38*INDEX('01_Вводные'!$C$38:$N$38,1,MOD(MONTH(AE$11)-9,12)+1)/SUM('01_Вводные'!$C$38:$N$38)</f>
        <v/>
      </c>
      <c r="AF15" s="95">
        <f>'01_Вводные'!$B$38*INDEX('01_Вводные'!$C$38:$N$38,1,MOD(MONTH(AF$11)-9,12)+1)/SUM('01_Вводные'!$C$38:$N$38)</f>
        <v/>
      </c>
      <c r="AG15" s="95">
        <f>'01_Вводные'!$B$38*INDEX('01_Вводные'!$C$38:$N$38,1,MOD(MONTH(AG$11)-9,12)+1)/SUM('01_Вводные'!$C$38:$N$38)</f>
        <v/>
      </c>
      <c r="AH15" s="95">
        <f>'01_Вводные'!$B$38*INDEX('01_Вводные'!$C$38:$N$38,1,MOD(MONTH(AH$11)-9,12)+1)/SUM('01_Вводные'!$C$38:$N$38)</f>
        <v/>
      </c>
      <c r="AI15" s="95">
        <f>'01_Вводные'!$B$38*INDEX('01_Вводные'!$C$38:$N$38,1,MOD(MONTH(AI$11)-9,12)+1)/SUM('01_Вводные'!$C$38:$N$38)</f>
        <v/>
      </c>
      <c r="AJ15" s="95">
        <f>'01_Вводные'!$B$38*INDEX('01_Вводные'!$C$38:$N$38,1,MOD(MONTH(AJ$11)-9,12)+1)/SUM('01_Вводные'!$C$38:$N$38)</f>
        <v/>
      </c>
      <c r="AK15" s="95">
        <f>'01_Вводные'!$B$38*INDEX('01_Вводные'!$C$38:$N$38,1,MOD(MONTH(AK$11)-9,12)+1)/SUM('01_Вводные'!$C$38:$N$38)</f>
        <v/>
      </c>
      <c r="AL15" s="95">
        <f>'01_Вводные'!$B$39*INDEX('01_Вводные'!$C$39:$N$39,1,MOD(MONTH(AL$11)-9,12)+1)/SUM('01_Вводные'!$C$39:$N$39)</f>
        <v/>
      </c>
      <c r="AM15" s="95">
        <f>'01_Вводные'!$B$39*INDEX('01_Вводные'!$C$39:$N$39,1,MOD(MONTH(AM$11)-9,12)+1)/SUM('01_Вводные'!$C$39:$N$39)</f>
        <v/>
      </c>
      <c r="AN15" s="95">
        <f>'01_Вводные'!$B$39*INDEX('01_Вводные'!$C$39:$N$39,1,MOD(MONTH(AN$11)-9,12)+1)/SUM('01_Вводные'!$C$39:$N$39)</f>
        <v/>
      </c>
      <c r="AO15" s="95">
        <f>'01_Вводные'!$B$39*INDEX('01_Вводные'!$C$39:$N$39,1,MOD(MONTH(AO$11)-9,12)+1)/SUM('01_Вводные'!$C$39:$N$39)</f>
        <v/>
      </c>
      <c r="AP15" s="95">
        <f>'01_Вводные'!$B$39*INDEX('01_Вводные'!$C$39:$N$39,1,MOD(MONTH(AP$11)-9,12)+1)/SUM('01_Вводные'!$C$39:$N$39)</f>
        <v/>
      </c>
      <c r="AQ15" s="95">
        <f>'01_Вводные'!$B$39*INDEX('01_Вводные'!$C$39:$N$39,1,MOD(MONTH(AQ$11)-9,12)+1)/SUM('01_Вводные'!$C$39:$N$39)</f>
        <v/>
      </c>
      <c r="AR15" s="95">
        <f>'01_Вводные'!$B$39*INDEX('01_Вводные'!$C$39:$N$39,1,MOD(MONTH(AR$11)-9,12)+1)/SUM('01_Вводные'!$C$39:$N$39)</f>
        <v/>
      </c>
      <c r="AS15" s="95">
        <f>'01_Вводные'!$B$39*INDEX('01_Вводные'!$C$39:$N$39,1,MOD(MONTH(AS$11)-9,12)+1)/SUM('01_Вводные'!$C$39:$N$39)</f>
        <v/>
      </c>
      <c r="AT15" s="95">
        <f>'01_Вводные'!$B$39*INDEX('01_Вводные'!$C$39:$N$39,1,MOD(MONTH(AT$11)-9,12)+1)/SUM('01_Вводные'!$C$39:$N$39)</f>
        <v/>
      </c>
      <c r="AU15" s="95">
        <f>'01_Вводные'!$B$39*INDEX('01_Вводные'!$C$39:$N$39,1,MOD(MONTH(AU$11)-9,12)+1)/SUM('01_Вводные'!$C$39:$N$39)</f>
        <v/>
      </c>
      <c r="AV15" s="95">
        <f>'01_Вводные'!$B$39*INDEX('01_Вводные'!$C$39:$N$39,1,MOD(MONTH(AV$11)-9,12)+1)/SUM('01_Вводные'!$C$39:$N$39)</f>
        <v/>
      </c>
      <c r="AW15" s="95">
        <f>'01_Вводные'!$B$39*INDEX('01_Вводные'!$C$39:$N$39,1,MOD(MONTH(AW$11)-9,12)+1)/SUM('01_Вводные'!$C$39:$N$39)</f>
        <v/>
      </c>
      <c r="AX15" s="95">
        <f>'01_Вводные'!$B$40*INDEX('01_Вводные'!$C$40:$N$40,1,MOD(MONTH(AX$11)-9,12)+1)/SUM('01_Вводные'!$C$40:$N$40)</f>
        <v/>
      </c>
      <c r="AY15" s="95">
        <f>'01_Вводные'!$B$40*INDEX('01_Вводные'!$C$40:$N$40,1,MOD(MONTH(AY$11)-9,12)+1)/SUM('01_Вводные'!$C$40:$N$40)</f>
        <v/>
      </c>
      <c r="AZ15" s="95">
        <f>'01_Вводные'!$B$40*INDEX('01_Вводные'!$C$40:$N$40,1,MOD(MONTH(AZ$11)-9,12)+1)/SUM('01_Вводные'!$C$40:$N$40)</f>
        <v/>
      </c>
      <c r="BA15" s="95">
        <f>'01_Вводные'!$B$40*INDEX('01_Вводные'!$C$40:$N$40,1,MOD(MONTH(BA$11)-9,12)+1)/SUM('01_Вводные'!$C$40:$N$40)</f>
        <v/>
      </c>
      <c r="BB15" s="95">
        <f>'01_Вводные'!$B$40*INDEX('01_Вводные'!$C$40:$N$40,1,MOD(MONTH(BB$11)-9,12)+1)/SUM('01_Вводные'!$C$40:$N$40)</f>
        <v/>
      </c>
      <c r="BC15" s="95">
        <f>'01_Вводные'!$B$40*INDEX('01_Вводные'!$C$40:$N$40,1,MOD(MONTH(BC$11)-9,12)+1)/SUM('01_Вводные'!$C$40:$N$40)</f>
        <v/>
      </c>
      <c r="BD15" s="95">
        <f>'01_Вводные'!$B$40*INDEX('01_Вводные'!$C$40:$N$40,1,MOD(MONTH(BD$11)-9,12)+1)/SUM('01_Вводные'!$C$40:$N$40)</f>
        <v/>
      </c>
      <c r="BE15" s="95">
        <f>'01_Вводные'!$B$40*INDEX('01_Вводные'!$C$40:$N$40,1,MOD(MONTH(BE$11)-9,12)+1)/SUM('01_Вводные'!$C$40:$N$40)</f>
        <v/>
      </c>
      <c r="BF15" s="95">
        <f>'01_Вводные'!$B$40*INDEX('01_Вводные'!$C$40:$N$40,1,MOD(MONTH(BF$11)-9,12)+1)/SUM('01_Вводные'!$C$40:$N$40)</f>
        <v/>
      </c>
      <c r="BG15" s="95">
        <f>'01_Вводные'!$B$40*INDEX('01_Вводные'!$C$40:$N$40,1,MOD(MONTH(BG$11)-9,12)+1)/SUM('01_Вводные'!$C$40:$N$40)</f>
        <v/>
      </c>
      <c r="BH15" s="95">
        <f>'01_Вводные'!$B$40*INDEX('01_Вводные'!$C$40:$N$40,1,MOD(MONTH(BH$11)-9,12)+1)/SUM('01_Вводные'!$C$40:$N$40)</f>
        <v/>
      </c>
      <c r="BI15" s="95">
        <f>'01_Вводные'!$B$40*INDEX('01_Вводные'!$C$40:$N$40,1,MOD(MONTH(BI$11)-9,12)+1)/SUM('01_Вводные'!$C$40:$N$40)</f>
        <v/>
      </c>
    </row>
    <row r="16">
      <c r="A16" s="2" t="inlineStr">
        <is>
          <t>Операционный ориентир, целые</t>
        </is>
      </c>
      <c r="B16" s="77">
        <f>ROUND(B15,0)</f>
        <v/>
      </c>
      <c r="C16" s="77">
        <f>ROUND(SUM($B15:C15),0)-ROUND(SUM($B15:B15),0)</f>
        <v/>
      </c>
      <c r="D16" s="77">
        <f>ROUND(SUM($B15:D15),0)-ROUND(SUM($B15:C15),0)</f>
        <v/>
      </c>
      <c r="E16" s="77">
        <f>ROUND(SUM($B15:E15),0)-ROUND(SUM($B15:D15),0)</f>
        <v/>
      </c>
      <c r="F16" s="77">
        <f>ROUND(SUM($B15:F15),0)-ROUND(SUM($B15:E15),0)</f>
        <v/>
      </c>
      <c r="G16" s="77">
        <f>ROUND(SUM($B15:G15),0)-ROUND(SUM($B15:F15),0)</f>
        <v/>
      </c>
      <c r="H16" s="77">
        <f>ROUND(SUM($B15:H15),0)-ROUND(SUM($B15:G15),0)</f>
        <v/>
      </c>
      <c r="I16" s="77">
        <f>ROUND(SUM($B15:I15),0)-ROUND(SUM($B15:H15),0)</f>
        <v/>
      </c>
      <c r="J16" s="77">
        <f>ROUND(SUM($B15:J15),0)-ROUND(SUM($B15:I15),0)</f>
        <v/>
      </c>
      <c r="K16" s="77">
        <f>ROUND(SUM($B15:K15),0)-ROUND(SUM($B15:J15),0)</f>
        <v/>
      </c>
      <c r="L16" s="77">
        <f>ROUND(SUM($B15:L15),0)-ROUND(SUM($B15:K15),0)</f>
        <v/>
      </c>
      <c r="M16" s="77">
        <f>ROUND(SUM($B15:M15),0)-ROUND(SUM($B15:L15),0)</f>
        <v/>
      </c>
      <c r="N16" s="77">
        <f>ROUND(N15,0)</f>
        <v/>
      </c>
      <c r="O16" s="77">
        <f>ROUND(SUM($N15:O15),0)-ROUND(SUM($N15:N15),0)</f>
        <v/>
      </c>
      <c r="P16" s="77">
        <f>ROUND(SUM($N15:P15),0)-ROUND(SUM($N15:O15),0)</f>
        <v/>
      </c>
      <c r="Q16" s="77">
        <f>ROUND(SUM($N15:Q15),0)-ROUND(SUM($N15:P15),0)</f>
        <v/>
      </c>
      <c r="R16" s="77">
        <f>ROUND(SUM($N15:R15),0)-ROUND(SUM($N15:Q15),0)</f>
        <v/>
      </c>
      <c r="S16" s="77">
        <f>ROUND(SUM($N15:S15),0)-ROUND(SUM($N15:R15),0)</f>
        <v/>
      </c>
      <c r="T16" s="77">
        <f>ROUND(SUM($N15:T15),0)-ROUND(SUM($N15:S15),0)</f>
        <v/>
      </c>
      <c r="U16" s="77">
        <f>ROUND(SUM($N15:U15),0)-ROUND(SUM($N15:T15),0)</f>
        <v/>
      </c>
      <c r="V16" s="77">
        <f>ROUND(SUM($N15:V15),0)-ROUND(SUM($N15:U15),0)</f>
        <v/>
      </c>
      <c r="W16" s="77">
        <f>ROUND(SUM($N15:W15),0)-ROUND(SUM($N15:V15),0)</f>
        <v/>
      </c>
      <c r="X16" s="77">
        <f>ROUND(SUM($N15:X15),0)-ROUND(SUM($N15:W15),0)</f>
        <v/>
      </c>
      <c r="Y16" s="77">
        <f>ROUND(SUM($N15:Y15),0)-ROUND(SUM($N15:X15),0)</f>
        <v/>
      </c>
      <c r="Z16" s="77">
        <f>ROUND(Z15,0)</f>
        <v/>
      </c>
      <c r="AA16" s="77">
        <f>ROUND(SUM($Z15:AA15),0)-ROUND(SUM($Z15:Z15),0)</f>
        <v/>
      </c>
      <c r="AB16" s="77">
        <f>ROUND(SUM($Z15:AB15),0)-ROUND(SUM($Z15:AA15),0)</f>
        <v/>
      </c>
      <c r="AC16" s="77">
        <f>ROUND(SUM($Z15:AC15),0)-ROUND(SUM($Z15:AB15),0)</f>
        <v/>
      </c>
      <c r="AD16" s="77">
        <f>ROUND(SUM($Z15:AD15),0)-ROUND(SUM($Z15:AC15),0)</f>
        <v/>
      </c>
      <c r="AE16" s="77">
        <f>ROUND(SUM($Z15:AE15),0)-ROUND(SUM($Z15:AD15),0)</f>
        <v/>
      </c>
      <c r="AF16" s="77">
        <f>ROUND(SUM($Z15:AF15),0)-ROUND(SUM($Z15:AE15),0)</f>
        <v/>
      </c>
      <c r="AG16" s="77">
        <f>ROUND(SUM($Z15:AG15),0)-ROUND(SUM($Z15:AF15),0)</f>
        <v/>
      </c>
      <c r="AH16" s="77">
        <f>ROUND(SUM($Z15:AH15),0)-ROUND(SUM($Z15:AG15),0)</f>
        <v/>
      </c>
      <c r="AI16" s="77">
        <f>ROUND(SUM($Z15:AI15),0)-ROUND(SUM($Z15:AH15),0)</f>
        <v/>
      </c>
      <c r="AJ16" s="77">
        <f>ROUND(SUM($Z15:AJ15),0)-ROUND(SUM($Z15:AI15),0)</f>
        <v/>
      </c>
      <c r="AK16" s="77">
        <f>ROUND(SUM($Z15:AK15),0)-ROUND(SUM($Z15:AJ15),0)</f>
        <v/>
      </c>
      <c r="AL16" s="77">
        <f>ROUND(AL15,0)</f>
        <v/>
      </c>
      <c r="AM16" s="77">
        <f>ROUND(SUM($AL15:AM15),0)-ROUND(SUM($AL15:AL15),0)</f>
        <v/>
      </c>
      <c r="AN16" s="77">
        <f>ROUND(SUM($AL15:AN15),0)-ROUND(SUM($AL15:AM15),0)</f>
        <v/>
      </c>
      <c r="AO16" s="77">
        <f>ROUND(SUM($AL15:AO15),0)-ROUND(SUM($AL15:AN15),0)</f>
        <v/>
      </c>
      <c r="AP16" s="77">
        <f>ROUND(SUM($AL15:AP15),0)-ROUND(SUM($AL15:AO15),0)</f>
        <v/>
      </c>
      <c r="AQ16" s="77">
        <f>ROUND(SUM($AL15:AQ15),0)-ROUND(SUM($AL15:AP15),0)</f>
        <v/>
      </c>
      <c r="AR16" s="77">
        <f>ROUND(SUM($AL15:AR15),0)-ROUND(SUM($AL15:AQ15),0)</f>
        <v/>
      </c>
      <c r="AS16" s="77">
        <f>ROUND(SUM($AL15:AS15),0)-ROUND(SUM($AL15:AR15),0)</f>
        <v/>
      </c>
      <c r="AT16" s="77">
        <f>ROUND(SUM($AL15:AT15),0)-ROUND(SUM($AL15:AS15),0)</f>
        <v/>
      </c>
      <c r="AU16" s="77">
        <f>ROUND(SUM($AL15:AU15),0)-ROUND(SUM($AL15:AT15),0)</f>
        <v/>
      </c>
      <c r="AV16" s="77">
        <f>ROUND(SUM($AL15:AV15),0)-ROUND(SUM($AL15:AU15),0)</f>
        <v/>
      </c>
      <c r="AW16" s="77">
        <f>ROUND(SUM($AL15:AW15),0)-ROUND(SUM($AL15:AV15),0)</f>
        <v/>
      </c>
      <c r="AX16" s="77">
        <f>ROUND(AX15,0)</f>
        <v/>
      </c>
      <c r="AY16" s="77">
        <f>ROUND(SUM($AX15:AY15),0)-ROUND(SUM($AX15:AX15),0)</f>
        <v/>
      </c>
      <c r="AZ16" s="77">
        <f>ROUND(SUM($AX15:AZ15),0)-ROUND(SUM($AX15:AY15),0)</f>
        <v/>
      </c>
      <c r="BA16" s="77">
        <f>ROUND(SUM($AX15:BA15),0)-ROUND(SUM($AX15:AZ15),0)</f>
        <v/>
      </c>
      <c r="BB16" s="77">
        <f>ROUND(SUM($AX15:BB15),0)-ROUND(SUM($AX15:BA15),0)</f>
        <v/>
      </c>
      <c r="BC16" s="77">
        <f>ROUND(SUM($AX15:BC15),0)-ROUND(SUM($AX15:BB15),0)</f>
        <v/>
      </c>
      <c r="BD16" s="77">
        <f>ROUND(SUM($AX15:BD15),0)-ROUND(SUM($AX15:BC15),0)</f>
        <v/>
      </c>
      <c r="BE16" s="77">
        <f>ROUND(SUM($AX15:BE15),0)-ROUND(SUM($AX15:BD15),0)</f>
        <v/>
      </c>
      <c r="BF16" s="77">
        <f>ROUND(SUM($AX15:BF15),0)-ROUND(SUM($AX15:BE15),0)</f>
        <v/>
      </c>
      <c r="BG16" s="77">
        <f>ROUND(SUM($AX15:BG15),0)-ROUND(SUM($AX15:BF15),0)</f>
        <v/>
      </c>
      <c r="BH16" s="77">
        <f>ROUND(SUM($AX15:BH15),0)-ROUND(SUM($AX15:BG15),0)</f>
        <v/>
      </c>
      <c r="BI16" s="77">
        <f>ROUND(SUM($AX15:BI15),0)-ROUND(SUM($AX15:BH15),0)</f>
        <v/>
      </c>
    </row>
    <row r="17">
      <c r="A17" s="2" t="inlineStr">
        <is>
          <t>Лиды</t>
        </is>
      </c>
      <c r="B17" s="164">
        <f>IF('01_Вводные'!$B$25&gt;0,ROUNDUP(ROUND(B15/'01_Вводные'!$B$25,10),0),0)</f>
        <v/>
      </c>
      <c r="C17" s="164">
        <f>IF('01_Вводные'!$B$25&gt;0,ROUNDUP(ROUND(C15/'01_Вводные'!$B$25,10),0),0)</f>
        <v/>
      </c>
      <c r="D17" s="164">
        <f>IF('01_Вводные'!$B$25&gt;0,ROUNDUP(ROUND(D15/'01_Вводные'!$B$25,10),0),0)</f>
        <v/>
      </c>
      <c r="E17" s="164">
        <f>IF('01_Вводные'!$B$25&gt;0,ROUNDUP(ROUND(E15/'01_Вводные'!$B$25,10),0),0)</f>
        <v/>
      </c>
      <c r="F17" s="164">
        <f>IF('01_Вводные'!$B$25&gt;0,ROUNDUP(ROUND(F15/'01_Вводные'!$B$25,10),0),0)</f>
        <v/>
      </c>
      <c r="G17" s="164">
        <f>IF('01_Вводные'!$B$25&gt;0,ROUNDUP(ROUND(G15/'01_Вводные'!$B$25,10),0),0)</f>
        <v/>
      </c>
      <c r="H17" s="164">
        <f>IF('01_Вводные'!$B$25&gt;0,ROUNDUP(ROUND(H15/'01_Вводные'!$B$25,10),0),0)</f>
        <v/>
      </c>
      <c r="I17" s="164">
        <f>IF('01_Вводные'!$B$25&gt;0,ROUNDUP(ROUND(I15/'01_Вводные'!$B$25,10),0),0)</f>
        <v/>
      </c>
      <c r="J17" s="164">
        <f>IF('01_Вводные'!$B$25&gt;0,ROUNDUP(ROUND(J15/'01_Вводные'!$B$25,10),0),0)</f>
        <v/>
      </c>
      <c r="K17" s="164">
        <f>IF('01_Вводные'!$B$25&gt;0,ROUNDUP(ROUND(K15/'01_Вводные'!$B$25,10),0),0)</f>
        <v/>
      </c>
      <c r="L17" s="164">
        <f>IF('01_Вводные'!$B$25&gt;0,ROUNDUP(ROUND(L15/'01_Вводные'!$B$25,10),0),0)</f>
        <v/>
      </c>
      <c r="M17" s="164">
        <f>IF('01_Вводные'!$B$25&gt;0,ROUNDUP(ROUND(M15/'01_Вводные'!$B$25,10),0),0)</f>
        <v/>
      </c>
      <c r="N17" s="164">
        <f>IF('01_Вводные'!$B$25&gt;0,ROUNDUP(ROUND(N15/'01_Вводные'!$B$25,10),0),0)</f>
        <v/>
      </c>
      <c r="O17" s="164">
        <f>IF('01_Вводные'!$B$25&gt;0,ROUNDUP(ROUND(O15/'01_Вводные'!$B$25,10),0),0)</f>
        <v/>
      </c>
      <c r="P17" s="164">
        <f>IF('01_Вводные'!$B$25&gt;0,ROUNDUP(ROUND(P15/'01_Вводные'!$B$25,10),0),0)</f>
        <v/>
      </c>
      <c r="Q17" s="164">
        <f>IF('01_Вводные'!$B$25&gt;0,ROUNDUP(ROUND(Q15/'01_Вводные'!$B$25,10),0),0)</f>
        <v/>
      </c>
      <c r="R17" s="164">
        <f>IF('01_Вводные'!$B$25&gt;0,ROUNDUP(ROUND(R15/'01_Вводные'!$B$25,10),0),0)</f>
        <v/>
      </c>
      <c r="S17" s="164">
        <f>IF('01_Вводные'!$B$25&gt;0,ROUNDUP(ROUND(S15/'01_Вводные'!$B$25,10),0),0)</f>
        <v/>
      </c>
      <c r="T17" s="164">
        <f>IF('01_Вводные'!$B$25&gt;0,ROUNDUP(ROUND(T15/'01_Вводные'!$B$25,10),0),0)</f>
        <v/>
      </c>
      <c r="U17" s="164">
        <f>IF('01_Вводные'!$B$25&gt;0,ROUNDUP(ROUND(U15/'01_Вводные'!$B$25,10),0),0)</f>
        <v/>
      </c>
      <c r="V17" s="164">
        <f>IF('01_Вводные'!$B$25&gt;0,ROUNDUP(ROUND(V15/'01_Вводные'!$B$25,10),0),0)</f>
        <v/>
      </c>
      <c r="W17" s="164">
        <f>IF('01_Вводные'!$B$25&gt;0,ROUNDUP(ROUND(W15/'01_Вводные'!$B$25,10),0),0)</f>
        <v/>
      </c>
      <c r="X17" s="164">
        <f>IF('01_Вводные'!$B$25&gt;0,ROUNDUP(ROUND(X15/'01_Вводные'!$B$25,10),0),0)</f>
        <v/>
      </c>
      <c r="Y17" s="164">
        <f>IF('01_Вводные'!$B$25&gt;0,ROUNDUP(ROUND(Y15/'01_Вводные'!$B$25,10),0),0)</f>
        <v/>
      </c>
      <c r="Z17" s="164">
        <f>IF('01_Вводные'!$B$25&gt;0,ROUNDUP(ROUND(Z15/'01_Вводные'!$B$25,10),0),0)</f>
        <v/>
      </c>
      <c r="AA17" s="164">
        <f>IF('01_Вводные'!$B$25&gt;0,ROUNDUP(ROUND(AA15/'01_Вводные'!$B$25,10),0),0)</f>
        <v/>
      </c>
      <c r="AB17" s="164">
        <f>IF('01_Вводные'!$B$25&gt;0,ROUNDUP(ROUND(AB15/'01_Вводные'!$B$25,10),0),0)</f>
        <v/>
      </c>
      <c r="AC17" s="164">
        <f>IF('01_Вводные'!$B$25&gt;0,ROUNDUP(ROUND(AC15/'01_Вводные'!$B$25,10),0),0)</f>
        <v/>
      </c>
      <c r="AD17" s="164">
        <f>IF('01_Вводные'!$B$25&gt;0,ROUNDUP(ROUND(AD15/'01_Вводные'!$B$25,10),0),0)</f>
        <v/>
      </c>
      <c r="AE17" s="164">
        <f>IF('01_Вводные'!$B$25&gt;0,ROUNDUP(ROUND(AE15/'01_Вводные'!$B$25,10),0),0)</f>
        <v/>
      </c>
      <c r="AF17" s="164">
        <f>IF('01_Вводные'!$B$25&gt;0,ROUNDUP(ROUND(AF15/'01_Вводные'!$B$25,10),0),0)</f>
        <v/>
      </c>
      <c r="AG17" s="164">
        <f>IF('01_Вводные'!$B$25&gt;0,ROUNDUP(ROUND(AG15/'01_Вводные'!$B$25,10),0),0)</f>
        <v/>
      </c>
      <c r="AH17" s="164">
        <f>IF('01_Вводные'!$B$25&gt;0,ROUNDUP(ROUND(AH15/'01_Вводные'!$B$25,10),0),0)</f>
        <v/>
      </c>
      <c r="AI17" s="164">
        <f>IF('01_Вводные'!$B$25&gt;0,ROUNDUP(ROUND(AI15/'01_Вводные'!$B$25,10),0),0)</f>
        <v/>
      </c>
      <c r="AJ17" s="164">
        <f>IF('01_Вводные'!$B$25&gt;0,ROUNDUP(ROUND(AJ15/'01_Вводные'!$B$25,10),0),0)</f>
        <v/>
      </c>
      <c r="AK17" s="164">
        <f>IF('01_Вводные'!$B$25&gt;0,ROUNDUP(ROUND(AK15/'01_Вводные'!$B$25,10),0),0)</f>
        <v/>
      </c>
      <c r="AL17" s="164">
        <f>IF('01_Вводные'!$B$25&gt;0,ROUNDUP(ROUND(AL15/'01_Вводные'!$B$25,10),0),0)</f>
        <v/>
      </c>
      <c r="AM17" s="164">
        <f>IF('01_Вводные'!$B$25&gt;0,ROUNDUP(ROUND(AM15/'01_Вводные'!$B$25,10),0),0)</f>
        <v/>
      </c>
      <c r="AN17" s="164">
        <f>IF('01_Вводные'!$B$25&gt;0,ROUNDUP(ROUND(AN15/'01_Вводные'!$B$25,10),0),0)</f>
        <v/>
      </c>
      <c r="AO17" s="164">
        <f>IF('01_Вводные'!$B$25&gt;0,ROUNDUP(ROUND(AO15/'01_Вводные'!$B$25,10),0),0)</f>
        <v/>
      </c>
      <c r="AP17" s="164">
        <f>IF('01_Вводные'!$B$25&gt;0,ROUNDUP(ROUND(AP15/'01_Вводные'!$B$25,10),0),0)</f>
        <v/>
      </c>
      <c r="AQ17" s="164">
        <f>IF('01_Вводные'!$B$25&gt;0,ROUNDUP(ROUND(AQ15/'01_Вводные'!$B$25,10),0),0)</f>
        <v/>
      </c>
      <c r="AR17" s="164">
        <f>IF('01_Вводные'!$B$25&gt;0,ROUNDUP(ROUND(AR15/'01_Вводные'!$B$25,10),0),0)</f>
        <v/>
      </c>
      <c r="AS17" s="164">
        <f>IF('01_Вводные'!$B$25&gt;0,ROUNDUP(ROUND(AS15/'01_Вводные'!$B$25,10),0),0)</f>
        <v/>
      </c>
      <c r="AT17" s="164">
        <f>IF('01_Вводные'!$B$25&gt;0,ROUNDUP(ROUND(AT15/'01_Вводные'!$B$25,10),0),0)</f>
        <v/>
      </c>
      <c r="AU17" s="164">
        <f>IF('01_Вводные'!$B$25&gt;0,ROUNDUP(ROUND(AU15/'01_Вводные'!$B$25,10),0),0)</f>
        <v/>
      </c>
      <c r="AV17" s="164">
        <f>IF('01_Вводные'!$B$25&gt;0,ROUNDUP(ROUND(AV15/'01_Вводные'!$B$25,10),0),0)</f>
        <v/>
      </c>
      <c r="AW17" s="164">
        <f>IF('01_Вводные'!$B$25&gt;0,ROUNDUP(ROUND(AW15/'01_Вводные'!$B$25,10),0),0)</f>
        <v/>
      </c>
      <c r="AX17" s="164">
        <f>IF('01_Вводные'!$B$25&gt;0,ROUNDUP(ROUND(AX15/'01_Вводные'!$B$25,10),0),0)</f>
        <v/>
      </c>
      <c r="AY17" s="164">
        <f>IF('01_Вводные'!$B$25&gt;0,ROUNDUP(ROUND(AY15/'01_Вводные'!$B$25,10),0),0)</f>
        <v/>
      </c>
      <c r="AZ17" s="164">
        <f>IF('01_Вводные'!$B$25&gt;0,ROUNDUP(ROUND(AZ15/'01_Вводные'!$B$25,10),0),0)</f>
        <v/>
      </c>
      <c r="BA17" s="164">
        <f>IF('01_Вводные'!$B$25&gt;0,ROUNDUP(ROUND(BA15/'01_Вводные'!$B$25,10),0),0)</f>
        <v/>
      </c>
      <c r="BB17" s="164">
        <f>IF('01_Вводные'!$B$25&gt;0,ROUNDUP(ROUND(BB15/'01_Вводные'!$B$25,10),0),0)</f>
        <v/>
      </c>
      <c r="BC17" s="164">
        <f>IF('01_Вводные'!$B$25&gt;0,ROUNDUP(ROUND(BC15/'01_Вводные'!$B$25,10),0),0)</f>
        <v/>
      </c>
      <c r="BD17" s="164">
        <f>IF('01_Вводные'!$B$25&gt;0,ROUNDUP(ROUND(BD15/'01_Вводные'!$B$25,10),0),0)</f>
        <v/>
      </c>
      <c r="BE17" s="164">
        <f>IF('01_Вводные'!$B$25&gt;0,ROUNDUP(ROUND(BE15/'01_Вводные'!$B$25,10),0),0)</f>
        <v/>
      </c>
      <c r="BF17" s="164">
        <f>IF('01_Вводные'!$B$25&gt;0,ROUNDUP(ROUND(BF15/'01_Вводные'!$B$25,10),0),0)</f>
        <v/>
      </c>
      <c r="BG17" s="164">
        <f>IF('01_Вводные'!$B$25&gt;0,ROUNDUP(ROUND(BG15/'01_Вводные'!$B$25,10),0),0)</f>
        <v/>
      </c>
      <c r="BH17" s="164">
        <f>IF('01_Вводные'!$B$25&gt;0,ROUNDUP(ROUND(BH15/'01_Вводные'!$B$25,10),0),0)</f>
        <v/>
      </c>
      <c r="BI17" s="164">
        <f>IF('01_Вводные'!$B$25&gt;0,ROUNDUP(ROUND(BI15/'01_Вводные'!$B$25,10),0),0)</f>
        <v/>
      </c>
    </row>
    <row r="18">
      <c r="A18" s="2" t="inlineStr">
        <is>
          <t>Открытия школ</t>
        </is>
      </c>
      <c r="B18" s="185">
        <f>IF(1&lt;='01_Вводные'!$B$15,0,INDEX($B$15:$BI$15,1,1-'01_Вводные'!$B$15))*'01_Вводные'!$B$298</f>
        <v/>
      </c>
      <c r="C18" s="185">
        <f>IF(2&lt;='01_Вводные'!$B$15,0,INDEX($B$15:$BI$15,1,2-'01_Вводные'!$B$15))*'01_Вводные'!$B$298</f>
        <v/>
      </c>
      <c r="D18" s="185">
        <f>IF(3&lt;='01_Вводные'!$B$15,0,INDEX($B$15:$BI$15,1,3-'01_Вводные'!$B$15))*'01_Вводные'!$B$298</f>
        <v/>
      </c>
      <c r="E18" s="185">
        <f>IF(4&lt;='01_Вводные'!$B$15,0,INDEX($B$15:$BI$15,1,4-'01_Вводные'!$B$15))*'01_Вводные'!$B$298</f>
        <v/>
      </c>
      <c r="F18" s="185">
        <f>IF(5&lt;='01_Вводные'!$B$15,0,INDEX($B$15:$BI$15,1,5-'01_Вводные'!$B$15))*'01_Вводные'!$B$298</f>
        <v/>
      </c>
      <c r="G18" s="185">
        <f>IF(6&lt;='01_Вводные'!$B$15,0,INDEX($B$15:$BI$15,1,6-'01_Вводные'!$B$15))*'01_Вводные'!$B$298</f>
        <v/>
      </c>
      <c r="H18" s="185">
        <f>IF(7&lt;='01_Вводные'!$B$15,0,INDEX($B$15:$BI$15,1,7-'01_Вводные'!$B$15))*'01_Вводные'!$B$298</f>
        <v/>
      </c>
      <c r="I18" s="185">
        <f>IF(8&lt;='01_Вводные'!$B$15,0,INDEX($B$15:$BI$15,1,8-'01_Вводные'!$B$15))*'01_Вводные'!$B$298</f>
        <v/>
      </c>
      <c r="J18" s="185">
        <f>IF(9&lt;='01_Вводные'!$B$15,0,INDEX($B$15:$BI$15,1,9-'01_Вводные'!$B$15))*'01_Вводные'!$B$298</f>
        <v/>
      </c>
      <c r="K18" s="185">
        <f>IF(10&lt;='01_Вводные'!$B$15,0,INDEX($B$15:$BI$15,1,10-'01_Вводные'!$B$15))*'01_Вводные'!$B$298</f>
        <v/>
      </c>
      <c r="L18" s="185">
        <f>IF(11&lt;='01_Вводные'!$B$15,0,INDEX($B$15:$BI$15,1,11-'01_Вводные'!$B$15))*'01_Вводные'!$B$298</f>
        <v/>
      </c>
      <c r="M18" s="185">
        <f>IF(12&lt;='01_Вводные'!$B$15,0,INDEX($B$15:$BI$15,1,12-'01_Вводные'!$B$15))*'01_Вводные'!$B$298</f>
        <v/>
      </c>
      <c r="N18" s="185">
        <f>IF(13&lt;='01_Вводные'!$B$15,0,INDEX($B$15:$BI$15,1,13-'01_Вводные'!$B$15))*'01_Вводные'!$B$298</f>
        <v/>
      </c>
      <c r="O18" s="185">
        <f>IF(14&lt;='01_Вводные'!$B$15,0,INDEX($B$15:$BI$15,1,14-'01_Вводные'!$B$15))*'01_Вводные'!$B$298</f>
        <v/>
      </c>
      <c r="P18" s="185">
        <f>IF(15&lt;='01_Вводные'!$B$15,0,INDEX($B$15:$BI$15,1,15-'01_Вводные'!$B$15))*'01_Вводные'!$B$298</f>
        <v/>
      </c>
      <c r="Q18" s="185">
        <f>IF(16&lt;='01_Вводные'!$B$15,0,INDEX($B$15:$BI$15,1,16-'01_Вводные'!$B$15))*'01_Вводные'!$B$298</f>
        <v/>
      </c>
      <c r="R18" s="185">
        <f>IF(17&lt;='01_Вводные'!$B$15,0,INDEX($B$15:$BI$15,1,17-'01_Вводные'!$B$15))*'01_Вводные'!$B$298</f>
        <v/>
      </c>
      <c r="S18" s="185">
        <f>IF(18&lt;='01_Вводные'!$B$15,0,INDEX($B$15:$BI$15,1,18-'01_Вводные'!$B$15))*'01_Вводные'!$B$298</f>
        <v/>
      </c>
      <c r="T18" s="185">
        <f>IF(19&lt;='01_Вводные'!$B$15,0,INDEX($B$15:$BI$15,1,19-'01_Вводные'!$B$15))*'01_Вводные'!$B$298</f>
        <v/>
      </c>
      <c r="U18" s="185">
        <f>IF(20&lt;='01_Вводные'!$B$15,0,INDEX($B$15:$BI$15,1,20-'01_Вводные'!$B$15))*'01_Вводные'!$B$298</f>
        <v/>
      </c>
      <c r="V18" s="185">
        <f>IF(21&lt;='01_Вводные'!$B$15,0,INDEX($B$15:$BI$15,1,21-'01_Вводные'!$B$15))*'01_Вводные'!$B$298</f>
        <v/>
      </c>
      <c r="W18" s="185">
        <f>IF(22&lt;='01_Вводные'!$B$15,0,INDEX($B$15:$BI$15,1,22-'01_Вводные'!$B$15))*'01_Вводные'!$B$298</f>
        <v/>
      </c>
      <c r="X18" s="185">
        <f>IF(23&lt;='01_Вводные'!$B$15,0,INDEX($B$15:$BI$15,1,23-'01_Вводные'!$B$15))*'01_Вводные'!$B$298</f>
        <v/>
      </c>
      <c r="Y18" s="185">
        <f>IF(24&lt;='01_Вводные'!$B$15,0,INDEX($B$15:$BI$15,1,24-'01_Вводные'!$B$15))*'01_Вводные'!$B$298</f>
        <v/>
      </c>
      <c r="Z18" s="185">
        <f>IF(25&lt;='01_Вводные'!$B$15,0,INDEX($B$15:$BI$15,1,25-'01_Вводные'!$B$15))*'01_Вводные'!$B$298</f>
        <v/>
      </c>
      <c r="AA18" s="185">
        <f>IF(26&lt;='01_Вводные'!$B$15,0,INDEX($B$15:$BI$15,1,26-'01_Вводные'!$B$15))*'01_Вводные'!$B$298</f>
        <v/>
      </c>
      <c r="AB18" s="185">
        <f>IF(27&lt;='01_Вводные'!$B$15,0,INDEX($B$15:$BI$15,1,27-'01_Вводные'!$B$15))*'01_Вводные'!$B$298</f>
        <v/>
      </c>
      <c r="AC18" s="185">
        <f>IF(28&lt;='01_Вводные'!$B$15,0,INDEX($B$15:$BI$15,1,28-'01_Вводные'!$B$15))*'01_Вводные'!$B$298</f>
        <v/>
      </c>
      <c r="AD18" s="185">
        <f>IF(29&lt;='01_Вводные'!$B$15,0,INDEX($B$15:$BI$15,1,29-'01_Вводные'!$B$15))*'01_Вводные'!$B$298</f>
        <v/>
      </c>
      <c r="AE18" s="185">
        <f>IF(30&lt;='01_Вводные'!$B$15,0,INDEX($B$15:$BI$15,1,30-'01_Вводные'!$B$15))*'01_Вводные'!$B$298</f>
        <v/>
      </c>
      <c r="AF18" s="185">
        <f>IF(31&lt;='01_Вводные'!$B$15,0,INDEX($B$15:$BI$15,1,31-'01_Вводные'!$B$15))*'01_Вводные'!$B$298</f>
        <v/>
      </c>
      <c r="AG18" s="185">
        <f>IF(32&lt;='01_Вводные'!$B$15,0,INDEX($B$15:$BI$15,1,32-'01_Вводные'!$B$15))*'01_Вводные'!$B$298</f>
        <v/>
      </c>
      <c r="AH18" s="185">
        <f>IF(33&lt;='01_Вводные'!$B$15,0,INDEX($B$15:$BI$15,1,33-'01_Вводные'!$B$15))*'01_Вводные'!$B$298</f>
        <v/>
      </c>
      <c r="AI18" s="185">
        <f>IF(34&lt;='01_Вводные'!$B$15,0,INDEX($B$15:$BI$15,1,34-'01_Вводные'!$B$15))*'01_Вводные'!$B$298</f>
        <v/>
      </c>
      <c r="AJ18" s="185">
        <f>IF(35&lt;='01_Вводные'!$B$15,0,INDEX($B$15:$BI$15,1,35-'01_Вводные'!$B$15))*'01_Вводные'!$B$298</f>
        <v/>
      </c>
      <c r="AK18" s="185">
        <f>IF(36&lt;='01_Вводные'!$B$15,0,INDEX($B$15:$BI$15,1,36-'01_Вводные'!$B$15))*'01_Вводные'!$B$298</f>
        <v/>
      </c>
      <c r="AL18" s="185">
        <f>IF(37&lt;='01_Вводные'!$B$15,0,INDEX($B$15:$BI$15,1,37-'01_Вводные'!$B$15))*'01_Вводные'!$B$298</f>
        <v/>
      </c>
      <c r="AM18" s="185">
        <f>IF(38&lt;='01_Вводные'!$B$15,0,INDEX($B$15:$BI$15,1,38-'01_Вводные'!$B$15))*'01_Вводные'!$B$298</f>
        <v/>
      </c>
      <c r="AN18" s="185">
        <f>IF(39&lt;='01_Вводные'!$B$15,0,INDEX($B$15:$BI$15,1,39-'01_Вводные'!$B$15))*'01_Вводные'!$B$298</f>
        <v/>
      </c>
      <c r="AO18" s="185">
        <f>IF(40&lt;='01_Вводные'!$B$15,0,INDEX($B$15:$BI$15,1,40-'01_Вводные'!$B$15))*'01_Вводные'!$B$298</f>
        <v/>
      </c>
      <c r="AP18" s="185">
        <f>IF(41&lt;='01_Вводные'!$B$15,0,INDEX($B$15:$BI$15,1,41-'01_Вводные'!$B$15))*'01_Вводные'!$B$298</f>
        <v/>
      </c>
      <c r="AQ18" s="185">
        <f>IF(42&lt;='01_Вводные'!$B$15,0,INDEX($B$15:$BI$15,1,42-'01_Вводные'!$B$15))*'01_Вводные'!$B$298</f>
        <v/>
      </c>
      <c r="AR18" s="185">
        <f>IF(43&lt;='01_Вводные'!$B$15,0,INDEX($B$15:$BI$15,1,43-'01_Вводные'!$B$15))*'01_Вводные'!$B$298</f>
        <v/>
      </c>
      <c r="AS18" s="185">
        <f>IF(44&lt;='01_Вводные'!$B$15,0,INDEX($B$15:$BI$15,1,44-'01_Вводные'!$B$15))*'01_Вводные'!$B$298</f>
        <v/>
      </c>
      <c r="AT18" s="185">
        <f>IF(45&lt;='01_Вводные'!$B$15,0,INDEX($B$15:$BI$15,1,45-'01_Вводные'!$B$15))*'01_Вводные'!$B$298</f>
        <v/>
      </c>
      <c r="AU18" s="185">
        <f>IF(46&lt;='01_Вводные'!$B$15,0,INDEX($B$15:$BI$15,1,46-'01_Вводные'!$B$15))*'01_Вводные'!$B$298</f>
        <v/>
      </c>
      <c r="AV18" s="185">
        <f>IF(47&lt;='01_Вводные'!$B$15,0,INDEX($B$15:$BI$15,1,47-'01_Вводные'!$B$15))*'01_Вводные'!$B$298</f>
        <v/>
      </c>
      <c r="AW18" s="185">
        <f>IF(48&lt;='01_Вводные'!$B$15,0,INDEX($B$15:$BI$15,1,48-'01_Вводные'!$B$15))*'01_Вводные'!$B$298</f>
        <v/>
      </c>
      <c r="AX18" s="185">
        <f>IF(49&lt;='01_Вводные'!$B$15,0,INDEX($B$15:$BI$15,1,49-'01_Вводные'!$B$15))*'01_Вводные'!$B$298</f>
        <v/>
      </c>
      <c r="AY18" s="185">
        <f>IF(50&lt;='01_Вводные'!$B$15,0,INDEX($B$15:$BI$15,1,50-'01_Вводные'!$B$15))*'01_Вводные'!$B$298</f>
        <v/>
      </c>
      <c r="AZ18" s="185">
        <f>IF(51&lt;='01_Вводные'!$B$15,0,INDEX($B$15:$BI$15,1,51-'01_Вводные'!$B$15))*'01_Вводные'!$B$298</f>
        <v/>
      </c>
      <c r="BA18" s="185">
        <f>IF(52&lt;='01_Вводные'!$B$15,0,INDEX($B$15:$BI$15,1,52-'01_Вводные'!$B$15))*'01_Вводные'!$B$298</f>
        <v/>
      </c>
      <c r="BB18" s="185">
        <f>IF(53&lt;='01_Вводные'!$B$15,0,INDEX($B$15:$BI$15,1,53-'01_Вводные'!$B$15))*'01_Вводные'!$B$298</f>
        <v/>
      </c>
      <c r="BC18" s="185">
        <f>IF(54&lt;='01_Вводные'!$B$15,0,INDEX($B$15:$BI$15,1,54-'01_Вводные'!$B$15))*'01_Вводные'!$B$298</f>
        <v/>
      </c>
      <c r="BD18" s="185">
        <f>IF(55&lt;='01_Вводные'!$B$15,0,INDEX($B$15:$BI$15,1,55-'01_Вводные'!$B$15))*'01_Вводные'!$B$298</f>
        <v/>
      </c>
      <c r="BE18" s="185">
        <f>IF(56&lt;='01_Вводные'!$B$15,0,INDEX($B$15:$BI$15,1,56-'01_Вводные'!$B$15))*'01_Вводные'!$B$298</f>
        <v/>
      </c>
      <c r="BF18" s="185">
        <f>IF(57&lt;='01_Вводные'!$B$15,0,INDEX($B$15:$BI$15,1,57-'01_Вводные'!$B$15))*'01_Вводные'!$B$298</f>
        <v/>
      </c>
      <c r="BG18" s="185">
        <f>IF(58&lt;='01_Вводные'!$B$15,0,INDEX($B$15:$BI$15,1,58-'01_Вводные'!$B$15))*'01_Вводные'!$B$298</f>
        <v/>
      </c>
      <c r="BH18" s="185">
        <f>IF(59&lt;='01_Вводные'!$B$15,0,INDEX($B$15:$BI$15,1,59-'01_Вводные'!$B$15))*'01_Вводные'!$B$298</f>
        <v/>
      </c>
      <c r="BI18" s="185">
        <f>IF(60&lt;='01_Вводные'!$B$15,0,INDEX($B$15:$BI$15,1,60-'01_Вводные'!$B$15))*'01_Вводные'!$B$298</f>
        <v/>
      </c>
    </row>
    <row r="19">
      <c r="A19" s="2" t="inlineStr">
        <is>
          <t>Новые юрлица</t>
        </is>
      </c>
      <c r="B19" s="42">
        <f>B15*'01_Вводные'!$B$16</f>
        <v/>
      </c>
      <c r="C19" s="42">
        <f>C15*'01_Вводные'!$B$16</f>
        <v/>
      </c>
      <c r="D19" s="42">
        <f>D15*'01_Вводные'!$B$16</f>
        <v/>
      </c>
      <c r="E19" s="42">
        <f>E15*'01_Вводные'!$B$16</f>
        <v/>
      </c>
      <c r="F19" s="42">
        <f>F15*'01_Вводные'!$B$16</f>
        <v/>
      </c>
      <c r="G19" s="42">
        <f>G15*'01_Вводные'!$B$16</f>
        <v/>
      </c>
      <c r="H19" s="42">
        <f>H15*'01_Вводные'!$B$16</f>
        <v/>
      </c>
      <c r="I19" s="42">
        <f>I15*'01_Вводные'!$B$16</f>
        <v/>
      </c>
      <c r="J19" s="42">
        <f>J15*'01_Вводные'!$B$16</f>
        <v/>
      </c>
      <c r="K19" s="42">
        <f>K15*'01_Вводные'!$B$16</f>
        <v/>
      </c>
      <c r="L19" s="42">
        <f>L15*'01_Вводные'!$B$16</f>
        <v/>
      </c>
      <c r="M19" s="42">
        <f>M15*'01_Вводные'!$B$16</f>
        <v/>
      </c>
      <c r="N19" s="42">
        <f>N15*'01_Вводные'!$B$16</f>
        <v/>
      </c>
      <c r="O19" s="42">
        <f>O15*'01_Вводные'!$B$16</f>
        <v/>
      </c>
      <c r="P19" s="42">
        <f>P15*'01_Вводные'!$B$16</f>
        <v/>
      </c>
      <c r="Q19" s="42">
        <f>Q15*'01_Вводные'!$B$16</f>
        <v/>
      </c>
      <c r="R19" s="42">
        <f>R15*'01_Вводные'!$B$16</f>
        <v/>
      </c>
      <c r="S19" s="42">
        <f>S15*'01_Вводные'!$B$16</f>
        <v/>
      </c>
      <c r="T19" s="42">
        <f>T15*'01_Вводные'!$B$16</f>
        <v/>
      </c>
      <c r="U19" s="42">
        <f>U15*'01_Вводные'!$B$16</f>
        <v/>
      </c>
      <c r="V19" s="42">
        <f>V15*'01_Вводные'!$B$16</f>
        <v/>
      </c>
      <c r="W19" s="42">
        <f>W15*'01_Вводные'!$B$16</f>
        <v/>
      </c>
      <c r="X19" s="42">
        <f>X15*'01_Вводные'!$B$16</f>
        <v/>
      </c>
      <c r="Y19" s="42">
        <f>Y15*'01_Вводные'!$B$16</f>
        <v/>
      </c>
      <c r="Z19" s="42">
        <f>Z15*'01_Вводные'!$B$16</f>
        <v/>
      </c>
      <c r="AA19" s="42">
        <f>AA15*'01_Вводные'!$B$16</f>
        <v/>
      </c>
      <c r="AB19" s="42">
        <f>AB15*'01_Вводные'!$B$16</f>
        <v/>
      </c>
      <c r="AC19" s="42">
        <f>AC15*'01_Вводные'!$B$16</f>
        <v/>
      </c>
      <c r="AD19" s="42">
        <f>AD15*'01_Вводные'!$B$16</f>
        <v/>
      </c>
      <c r="AE19" s="42">
        <f>AE15*'01_Вводные'!$B$16</f>
        <v/>
      </c>
      <c r="AF19" s="42">
        <f>AF15*'01_Вводные'!$B$16</f>
        <v/>
      </c>
      <c r="AG19" s="42">
        <f>AG15*'01_Вводные'!$B$16</f>
        <v/>
      </c>
      <c r="AH19" s="42">
        <f>AH15*'01_Вводные'!$B$16</f>
        <v/>
      </c>
      <c r="AI19" s="42">
        <f>AI15*'01_Вводные'!$B$16</f>
        <v/>
      </c>
      <c r="AJ19" s="42">
        <f>AJ15*'01_Вводные'!$B$16</f>
        <v/>
      </c>
      <c r="AK19" s="42">
        <f>AK15*'01_Вводные'!$B$16</f>
        <v/>
      </c>
      <c r="AL19" s="42">
        <f>AL15*'01_Вводные'!$B$16</f>
        <v/>
      </c>
      <c r="AM19" s="42">
        <f>AM15*'01_Вводные'!$B$16</f>
        <v/>
      </c>
      <c r="AN19" s="42">
        <f>AN15*'01_Вводные'!$B$16</f>
        <v/>
      </c>
      <c r="AO19" s="42">
        <f>AO15*'01_Вводные'!$B$16</f>
        <v/>
      </c>
      <c r="AP19" s="42">
        <f>AP15*'01_Вводные'!$B$16</f>
        <v/>
      </c>
      <c r="AQ19" s="42">
        <f>AQ15*'01_Вводные'!$B$16</f>
        <v/>
      </c>
      <c r="AR19" s="42">
        <f>AR15*'01_Вводные'!$B$16</f>
        <v/>
      </c>
      <c r="AS19" s="42">
        <f>AS15*'01_Вводные'!$B$16</f>
        <v/>
      </c>
      <c r="AT19" s="42">
        <f>AT15*'01_Вводные'!$B$16</f>
        <v/>
      </c>
      <c r="AU19" s="42">
        <f>AU15*'01_Вводные'!$B$16</f>
        <v/>
      </c>
      <c r="AV19" s="42">
        <f>AV15*'01_Вводные'!$B$16</f>
        <v/>
      </c>
      <c r="AW19" s="42">
        <f>AW15*'01_Вводные'!$B$16</f>
        <v/>
      </c>
      <c r="AX19" s="42">
        <f>AX15*'01_Вводные'!$B$16</f>
        <v/>
      </c>
      <c r="AY19" s="42">
        <f>AY15*'01_Вводные'!$B$16</f>
        <v/>
      </c>
      <c r="AZ19" s="42">
        <f>AZ15*'01_Вводные'!$B$16</f>
        <v/>
      </c>
      <c r="BA19" s="42">
        <f>BA15*'01_Вводные'!$B$16</f>
        <v/>
      </c>
      <c r="BB19" s="42">
        <f>BB15*'01_Вводные'!$B$16</f>
        <v/>
      </c>
      <c r="BC19" s="42">
        <f>BC15*'01_Вводные'!$B$16</f>
        <v/>
      </c>
      <c r="BD19" s="42">
        <f>BD15*'01_Вводные'!$B$16</f>
        <v/>
      </c>
      <c r="BE19" s="42">
        <f>BE15*'01_Вводные'!$B$16</f>
        <v/>
      </c>
      <c r="BF19" s="42">
        <f>BF15*'01_Вводные'!$B$16</f>
        <v/>
      </c>
      <c r="BG19" s="42">
        <f>BG15*'01_Вводные'!$B$16</f>
        <v/>
      </c>
      <c r="BH19" s="42">
        <f>BH15*'01_Вводные'!$B$16</f>
        <v/>
      </c>
      <c r="BI19" s="42">
        <f>BI15*'01_Вводные'!$B$16</f>
        <v/>
      </c>
    </row>
    <row r="20"/>
    <row r="21">
      <c r="A21" s="2" t="inlineStr">
        <is>
          <t>Таргет на будущие продажи</t>
        </is>
      </c>
      <c r="B21" s="185">
        <f>SUMIF($B$28:$BI$28,B$11,$B$15:$BI$15)*'18_Календарь_тарифы'!B11</f>
        <v/>
      </c>
      <c r="C21" s="185">
        <f>SUMIF($B$28:$BI$28,C$11,$B$15:$BI$15)*'18_Календарь_тарифы'!C11</f>
        <v/>
      </c>
      <c r="D21" s="185">
        <f>SUMIF($B$28:$BI$28,D$11,$B$15:$BI$15)*'18_Календарь_тарифы'!D11</f>
        <v/>
      </c>
      <c r="E21" s="185">
        <f>SUMIF($B$28:$BI$28,E$11,$B$15:$BI$15)*'18_Календарь_тарифы'!E11</f>
        <v/>
      </c>
      <c r="F21" s="185">
        <f>SUMIF($B$28:$BI$28,F$11,$B$15:$BI$15)*'18_Календарь_тарифы'!F11</f>
        <v/>
      </c>
      <c r="G21" s="185">
        <f>SUMIF($B$28:$BI$28,G$11,$B$15:$BI$15)*'18_Календарь_тарифы'!G11</f>
        <v/>
      </c>
      <c r="H21" s="185">
        <f>SUMIF($B$28:$BI$28,H$11,$B$15:$BI$15)*'18_Календарь_тарифы'!H11</f>
        <v/>
      </c>
      <c r="I21" s="185">
        <f>SUMIF($B$28:$BI$28,I$11,$B$15:$BI$15)*'18_Календарь_тарифы'!I11</f>
        <v/>
      </c>
      <c r="J21" s="185">
        <f>SUMIF($B$28:$BI$28,J$11,$B$15:$BI$15)*'18_Календарь_тарифы'!J11</f>
        <v/>
      </c>
      <c r="K21" s="185">
        <f>SUMIF($B$28:$BI$28,K$11,$B$15:$BI$15)*'18_Календарь_тарифы'!K11</f>
        <v/>
      </c>
      <c r="L21" s="185">
        <f>SUMIF($B$28:$BI$28,L$11,$B$15:$BI$15)*'18_Календарь_тарифы'!L11</f>
        <v/>
      </c>
      <c r="M21" s="185">
        <f>SUMIF($B$28:$BI$28,M$11,$B$15:$BI$15)*'18_Календарь_тарифы'!M11</f>
        <v/>
      </c>
      <c r="N21" s="185">
        <f>SUMIF($B$28:$BI$28,N$11,$B$15:$BI$15)*'18_Календарь_тарифы'!N11</f>
        <v/>
      </c>
      <c r="O21" s="185">
        <f>SUMIF($B$28:$BI$28,O$11,$B$15:$BI$15)*'18_Календарь_тарифы'!O11</f>
        <v/>
      </c>
      <c r="P21" s="185">
        <f>SUMIF($B$28:$BI$28,P$11,$B$15:$BI$15)*'18_Календарь_тарифы'!P11</f>
        <v/>
      </c>
      <c r="Q21" s="185">
        <f>SUMIF($B$28:$BI$28,Q$11,$B$15:$BI$15)*'18_Календарь_тарифы'!Q11</f>
        <v/>
      </c>
      <c r="R21" s="185">
        <f>SUMIF($B$28:$BI$28,R$11,$B$15:$BI$15)*'18_Календарь_тарифы'!R11</f>
        <v/>
      </c>
      <c r="S21" s="185">
        <f>SUMIF($B$28:$BI$28,S$11,$B$15:$BI$15)*'18_Календарь_тарифы'!S11</f>
        <v/>
      </c>
      <c r="T21" s="185">
        <f>SUMIF($B$28:$BI$28,T$11,$B$15:$BI$15)*'18_Календарь_тарифы'!T11</f>
        <v/>
      </c>
      <c r="U21" s="185">
        <f>SUMIF($B$28:$BI$28,U$11,$B$15:$BI$15)*'18_Календарь_тарифы'!U11</f>
        <v/>
      </c>
      <c r="V21" s="185">
        <f>SUMIF($B$28:$BI$28,V$11,$B$15:$BI$15)*'18_Календарь_тарифы'!V11</f>
        <v/>
      </c>
      <c r="W21" s="185">
        <f>SUMIF($B$28:$BI$28,W$11,$B$15:$BI$15)*'18_Календарь_тарифы'!W11</f>
        <v/>
      </c>
      <c r="X21" s="185">
        <f>SUMIF($B$28:$BI$28,X$11,$B$15:$BI$15)*'18_Календарь_тарифы'!X11</f>
        <v/>
      </c>
      <c r="Y21" s="185">
        <f>SUMIF($B$28:$BI$28,Y$11,$B$15:$BI$15)*'18_Календарь_тарифы'!Y11</f>
        <v/>
      </c>
      <c r="Z21" s="185">
        <f>SUMIF($B$28:$BI$28,Z$11,$B$15:$BI$15)*'18_Календарь_тарифы'!Z11</f>
        <v/>
      </c>
      <c r="AA21" s="185">
        <f>SUMIF($B$28:$BI$28,AA$11,$B$15:$BI$15)*'18_Календарь_тарифы'!AA11</f>
        <v/>
      </c>
      <c r="AB21" s="185">
        <f>SUMIF($B$28:$BI$28,AB$11,$B$15:$BI$15)*'18_Календарь_тарифы'!AB11</f>
        <v/>
      </c>
      <c r="AC21" s="185">
        <f>SUMIF($B$28:$BI$28,AC$11,$B$15:$BI$15)*'18_Календарь_тарифы'!AC11</f>
        <v/>
      </c>
      <c r="AD21" s="185">
        <f>SUMIF($B$28:$BI$28,AD$11,$B$15:$BI$15)*'18_Календарь_тарифы'!AD11</f>
        <v/>
      </c>
      <c r="AE21" s="185">
        <f>SUMIF($B$28:$BI$28,AE$11,$B$15:$BI$15)*'18_Календарь_тарифы'!AE11</f>
        <v/>
      </c>
      <c r="AF21" s="185">
        <f>SUMIF($B$28:$BI$28,AF$11,$B$15:$BI$15)*'18_Календарь_тарифы'!AF11</f>
        <v/>
      </c>
      <c r="AG21" s="185">
        <f>SUMIF($B$28:$BI$28,AG$11,$B$15:$BI$15)*'18_Календарь_тарифы'!AG11</f>
        <v/>
      </c>
      <c r="AH21" s="185">
        <f>SUMIF($B$28:$BI$28,AH$11,$B$15:$BI$15)*'18_Календарь_тарифы'!AH11</f>
        <v/>
      </c>
      <c r="AI21" s="185">
        <f>SUMIF($B$28:$BI$28,AI$11,$B$15:$BI$15)*'18_Календарь_тарифы'!AI11</f>
        <v/>
      </c>
      <c r="AJ21" s="185">
        <f>SUMIF($B$28:$BI$28,AJ$11,$B$15:$BI$15)*'18_Календарь_тарифы'!AJ11</f>
        <v/>
      </c>
      <c r="AK21" s="185">
        <f>SUMIF($B$28:$BI$28,AK$11,$B$15:$BI$15)*'18_Календарь_тарифы'!AK11</f>
        <v/>
      </c>
      <c r="AL21" s="185">
        <f>SUMIF($B$28:$BI$28,AL$11,$B$15:$BI$15)*'18_Календарь_тарифы'!AL11</f>
        <v/>
      </c>
      <c r="AM21" s="185">
        <f>SUMIF($B$28:$BI$28,AM$11,$B$15:$BI$15)*'18_Календарь_тарифы'!AM11</f>
        <v/>
      </c>
      <c r="AN21" s="185">
        <f>SUMIF($B$28:$BI$28,AN$11,$B$15:$BI$15)*'18_Календарь_тарифы'!AN11</f>
        <v/>
      </c>
      <c r="AO21" s="185">
        <f>SUMIF($B$28:$BI$28,AO$11,$B$15:$BI$15)*'18_Календарь_тарифы'!AO11</f>
        <v/>
      </c>
      <c r="AP21" s="185">
        <f>SUMIF($B$28:$BI$28,AP$11,$B$15:$BI$15)*'18_Календарь_тарифы'!AP11</f>
        <v/>
      </c>
      <c r="AQ21" s="185">
        <f>SUMIF($B$28:$BI$28,AQ$11,$B$15:$BI$15)*'18_Календарь_тарифы'!AQ11</f>
        <v/>
      </c>
      <c r="AR21" s="185">
        <f>SUMIF($B$28:$BI$28,AR$11,$B$15:$BI$15)*'18_Календарь_тарифы'!AR11</f>
        <v/>
      </c>
      <c r="AS21" s="185">
        <f>SUMIF($B$28:$BI$28,AS$11,$B$15:$BI$15)*'18_Календарь_тарифы'!AS11</f>
        <v/>
      </c>
      <c r="AT21" s="185">
        <f>SUMIF($B$28:$BI$28,AT$11,$B$15:$BI$15)*'18_Календарь_тарифы'!AT11</f>
        <v/>
      </c>
      <c r="AU21" s="185">
        <f>SUMIF($B$28:$BI$28,AU$11,$B$15:$BI$15)*'18_Календарь_тарифы'!AU11</f>
        <v/>
      </c>
      <c r="AV21" s="185">
        <f>SUMIF($B$28:$BI$28,AV$11,$B$15:$BI$15)*'18_Календарь_тарифы'!AV11</f>
        <v/>
      </c>
      <c r="AW21" s="185">
        <f>SUMIF($B$28:$BI$28,AW$11,$B$15:$BI$15)*'18_Календарь_тарифы'!AW11</f>
        <v/>
      </c>
      <c r="AX21" s="185">
        <f>SUMIF($B$28:$BI$28,AX$11,$B$15:$BI$15)*'18_Календарь_тарифы'!AX11</f>
        <v/>
      </c>
      <c r="AY21" s="185">
        <f>SUMIF($B$28:$BI$28,AY$11,$B$15:$BI$15)*'18_Календарь_тарифы'!AY11</f>
        <v/>
      </c>
      <c r="AZ21" s="185">
        <f>SUMIF($B$28:$BI$28,AZ$11,$B$15:$BI$15)*'18_Календарь_тарифы'!AZ11</f>
        <v/>
      </c>
      <c r="BA21" s="185">
        <f>SUMIF($B$28:$BI$28,BA$11,$B$15:$BI$15)*'18_Календарь_тарифы'!BA11</f>
        <v/>
      </c>
      <c r="BB21" s="185">
        <f>SUMIF($B$28:$BI$28,BB$11,$B$15:$BI$15)*'18_Календарь_тарифы'!BB11</f>
        <v/>
      </c>
      <c r="BC21" s="185">
        <f>SUMIF($B$28:$BI$28,BC$11,$B$15:$BI$15)*'18_Календарь_тарифы'!BC11</f>
        <v/>
      </c>
      <c r="BD21" s="185">
        <f>SUMIF($B$28:$BI$28,BD$11,$B$15:$BI$15)*'18_Календарь_тарифы'!BD11</f>
        <v/>
      </c>
      <c r="BE21" s="185">
        <f>SUMIF($B$28:$BI$28,BE$11,$B$15:$BI$15)*'18_Календарь_тарифы'!BE11</f>
        <v/>
      </c>
      <c r="BF21" s="185">
        <f>SUMIF($B$28:$BI$28,BF$11,$B$15:$BI$15)*'18_Календарь_тарифы'!BF11</f>
        <v/>
      </c>
      <c r="BG21" s="185">
        <f>SUMIF($B$28:$BI$28,BG$11,$B$15:$BI$15)*'18_Календарь_тарифы'!BG11</f>
        <v/>
      </c>
      <c r="BH21" s="185">
        <f>SUMIF($B$28:$BI$28,BH$11,$B$15:$BI$15)*'18_Календарь_тарифы'!BH11</f>
        <v/>
      </c>
      <c r="BI21" s="185">
        <f>SUMIF($B$28:$BI$28,BI$11,$B$15:$BI$15)*'18_Календарь_тарифы'!BI11</f>
        <v/>
      </c>
    </row>
    <row r="22">
      <c r="A22" s="2" t="inlineStr">
        <is>
          <t>БИБОСС / TopFranchise / Forbes</t>
        </is>
      </c>
      <c r="B22" s="185">
        <f>(IF(MONTH(B$11)='01_Вводные'!$B$29,'01_Вводные'!$B$28,0)+IF(MONTH(B$11)='01_Вводные'!$B$31,'01_Вводные'!$B$30,0)+IF(MONTH(B$11)='01_Вводные'!$B$33,'01_Вводные'!$B$32,0))*'18_Календарь_тарифы'!B4</f>
        <v/>
      </c>
      <c r="C22" s="185">
        <f>(IF(MONTH(C$11)='01_Вводные'!$B$29,'01_Вводные'!$B$28,0)+IF(MONTH(C$11)='01_Вводные'!$B$31,'01_Вводные'!$B$30,0)+IF(MONTH(C$11)='01_Вводные'!$B$33,'01_Вводные'!$B$32,0))*'18_Календарь_тарифы'!C4</f>
        <v/>
      </c>
      <c r="D22" s="185">
        <f>(IF(MONTH(D$11)='01_Вводные'!$B$29,'01_Вводные'!$B$28,0)+IF(MONTH(D$11)='01_Вводные'!$B$31,'01_Вводные'!$B$30,0)+IF(MONTH(D$11)='01_Вводные'!$B$33,'01_Вводные'!$B$32,0))*'18_Календарь_тарифы'!D4</f>
        <v/>
      </c>
      <c r="E22" s="185">
        <f>(IF(MONTH(E$11)='01_Вводные'!$B$29,'01_Вводные'!$B$28,0)+IF(MONTH(E$11)='01_Вводные'!$B$31,'01_Вводные'!$B$30,0)+IF(MONTH(E$11)='01_Вводные'!$B$33,'01_Вводные'!$B$32,0))*'18_Календарь_тарифы'!E4</f>
        <v/>
      </c>
      <c r="F22" s="185">
        <f>(IF(MONTH(F$11)='01_Вводные'!$B$29,'01_Вводные'!$B$28,0)+IF(MONTH(F$11)='01_Вводные'!$B$31,'01_Вводные'!$B$30,0)+IF(MONTH(F$11)='01_Вводные'!$B$33,'01_Вводные'!$B$32,0))*'18_Календарь_тарифы'!F4</f>
        <v/>
      </c>
      <c r="G22" s="185">
        <f>(IF(MONTH(G$11)='01_Вводные'!$B$29,'01_Вводные'!$B$28,0)+IF(MONTH(G$11)='01_Вводные'!$B$31,'01_Вводные'!$B$30,0)+IF(MONTH(G$11)='01_Вводные'!$B$33,'01_Вводные'!$B$32,0))*'18_Календарь_тарифы'!G4</f>
        <v/>
      </c>
      <c r="H22" s="185">
        <f>(IF(MONTH(H$11)='01_Вводные'!$B$29,'01_Вводные'!$B$28,0)+IF(MONTH(H$11)='01_Вводные'!$B$31,'01_Вводные'!$B$30,0)+IF(MONTH(H$11)='01_Вводные'!$B$33,'01_Вводные'!$B$32,0))*'18_Календарь_тарифы'!H4</f>
        <v/>
      </c>
      <c r="I22" s="185">
        <f>(IF(MONTH(I$11)='01_Вводные'!$B$29,'01_Вводные'!$B$28,0)+IF(MONTH(I$11)='01_Вводные'!$B$31,'01_Вводные'!$B$30,0)+IF(MONTH(I$11)='01_Вводные'!$B$33,'01_Вводные'!$B$32,0))*'18_Календарь_тарифы'!I4</f>
        <v/>
      </c>
      <c r="J22" s="185">
        <f>(IF(MONTH(J$11)='01_Вводные'!$B$29,'01_Вводные'!$B$28,0)+IF(MONTH(J$11)='01_Вводные'!$B$31,'01_Вводные'!$B$30,0)+IF(MONTH(J$11)='01_Вводные'!$B$33,'01_Вводные'!$B$32,0))*'18_Календарь_тарифы'!J4</f>
        <v/>
      </c>
      <c r="K22" s="185">
        <f>(IF(MONTH(K$11)='01_Вводные'!$B$29,'01_Вводные'!$B$28,0)+IF(MONTH(K$11)='01_Вводные'!$B$31,'01_Вводные'!$B$30,0)+IF(MONTH(K$11)='01_Вводные'!$B$33,'01_Вводные'!$B$32,0))*'18_Календарь_тарифы'!K4</f>
        <v/>
      </c>
      <c r="L22" s="185">
        <f>(IF(MONTH(L$11)='01_Вводные'!$B$29,'01_Вводные'!$B$28,0)+IF(MONTH(L$11)='01_Вводные'!$B$31,'01_Вводные'!$B$30,0)+IF(MONTH(L$11)='01_Вводные'!$B$33,'01_Вводные'!$B$32,0))*'18_Календарь_тарифы'!L4</f>
        <v/>
      </c>
      <c r="M22" s="185">
        <f>(IF(MONTH(M$11)='01_Вводные'!$B$29,'01_Вводные'!$B$28,0)+IF(MONTH(M$11)='01_Вводные'!$B$31,'01_Вводные'!$B$30,0)+IF(MONTH(M$11)='01_Вводные'!$B$33,'01_Вводные'!$B$32,0))*'18_Календарь_тарифы'!M4</f>
        <v/>
      </c>
      <c r="N22" s="185">
        <f>(IF(MONTH(N$11)='01_Вводные'!$B$29,'01_Вводные'!$B$28,0)+IF(MONTH(N$11)='01_Вводные'!$B$31,'01_Вводные'!$B$30,0)+IF(MONTH(N$11)='01_Вводные'!$B$33,'01_Вводные'!$B$32,0))*'18_Календарь_тарифы'!N4</f>
        <v/>
      </c>
      <c r="O22" s="185">
        <f>(IF(MONTH(O$11)='01_Вводные'!$B$29,'01_Вводные'!$B$28,0)+IF(MONTH(O$11)='01_Вводные'!$B$31,'01_Вводные'!$B$30,0)+IF(MONTH(O$11)='01_Вводные'!$B$33,'01_Вводные'!$B$32,0))*'18_Календарь_тарифы'!O4</f>
        <v/>
      </c>
      <c r="P22" s="185">
        <f>(IF(MONTH(P$11)='01_Вводные'!$B$29,'01_Вводные'!$B$28,0)+IF(MONTH(P$11)='01_Вводные'!$B$31,'01_Вводные'!$B$30,0)+IF(MONTH(P$11)='01_Вводные'!$B$33,'01_Вводные'!$B$32,0))*'18_Календарь_тарифы'!P4</f>
        <v/>
      </c>
      <c r="Q22" s="185">
        <f>(IF(MONTH(Q$11)='01_Вводные'!$B$29,'01_Вводные'!$B$28,0)+IF(MONTH(Q$11)='01_Вводные'!$B$31,'01_Вводные'!$B$30,0)+IF(MONTH(Q$11)='01_Вводные'!$B$33,'01_Вводные'!$B$32,0))*'18_Календарь_тарифы'!Q4</f>
        <v/>
      </c>
      <c r="R22" s="185">
        <f>(IF(MONTH(R$11)='01_Вводные'!$B$29,'01_Вводные'!$B$28,0)+IF(MONTH(R$11)='01_Вводные'!$B$31,'01_Вводные'!$B$30,0)+IF(MONTH(R$11)='01_Вводные'!$B$33,'01_Вводные'!$B$32,0))*'18_Календарь_тарифы'!R4</f>
        <v/>
      </c>
      <c r="S22" s="185">
        <f>(IF(MONTH(S$11)='01_Вводные'!$B$29,'01_Вводные'!$B$28,0)+IF(MONTH(S$11)='01_Вводные'!$B$31,'01_Вводные'!$B$30,0)+IF(MONTH(S$11)='01_Вводные'!$B$33,'01_Вводные'!$B$32,0))*'18_Календарь_тарифы'!S4</f>
        <v/>
      </c>
      <c r="T22" s="185">
        <f>(IF(MONTH(T$11)='01_Вводные'!$B$29,'01_Вводные'!$B$28,0)+IF(MONTH(T$11)='01_Вводные'!$B$31,'01_Вводные'!$B$30,0)+IF(MONTH(T$11)='01_Вводные'!$B$33,'01_Вводные'!$B$32,0))*'18_Календарь_тарифы'!T4</f>
        <v/>
      </c>
      <c r="U22" s="185">
        <f>(IF(MONTH(U$11)='01_Вводные'!$B$29,'01_Вводные'!$B$28,0)+IF(MONTH(U$11)='01_Вводные'!$B$31,'01_Вводные'!$B$30,0)+IF(MONTH(U$11)='01_Вводные'!$B$33,'01_Вводные'!$B$32,0))*'18_Календарь_тарифы'!U4</f>
        <v/>
      </c>
      <c r="V22" s="185">
        <f>(IF(MONTH(V$11)='01_Вводные'!$B$29,'01_Вводные'!$B$28,0)+IF(MONTH(V$11)='01_Вводные'!$B$31,'01_Вводные'!$B$30,0)+IF(MONTH(V$11)='01_Вводные'!$B$33,'01_Вводные'!$B$32,0))*'18_Календарь_тарифы'!V4</f>
        <v/>
      </c>
      <c r="W22" s="185">
        <f>(IF(MONTH(W$11)='01_Вводные'!$B$29,'01_Вводные'!$B$28,0)+IF(MONTH(W$11)='01_Вводные'!$B$31,'01_Вводные'!$B$30,0)+IF(MONTH(W$11)='01_Вводные'!$B$33,'01_Вводные'!$B$32,0))*'18_Календарь_тарифы'!W4</f>
        <v/>
      </c>
      <c r="X22" s="185">
        <f>(IF(MONTH(X$11)='01_Вводные'!$B$29,'01_Вводные'!$B$28,0)+IF(MONTH(X$11)='01_Вводные'!$B$31,'01_Вводные'!$B$30,0)+IF(MONTH(X$11)='01_Вводные'!$B$33,'01_Вводные'!$B$32,0))*'18_Календарь_тарифы'!X4</f>
        <v/>
      </c>
      <c r="Y22" s="185">
        <f>(IF(MONTH(Y$11)='01_Вводные'!$B$29,'01_Вводные'!$B$28,0)+IF(MONTH(Y$11)='01_Вводные'!$B$31,'01_Вводные'!$B$30,0)+IF(MONTH(Y$11)='01_Вводные'!$B$33,'01_Вводные'!$B$32,0))*'18_Календарь_тарифы'!Y4</f>
        <v/>
      </c>
      <c r="Z22" s="185">
        <f>(IF(MONTH(Z$11)='01_Вводные'!$B$29,'01_Вводные'!$B$28,0)+IF(MONTH(Z$11)='01_Вводные'!$B$31,'01_Вводные'!$B$30,0)+IF(MONTH(Z$11)='01_Вводные'!$B$33,'01_Вводные'!$B$32,0))*'18_Календарь_тарифы'!Z4</f>
        <v/>
      </c>
      <c r="AA22" s="185">
        <f>(IF(MONTH(AA$11)='01_Вводные'!$B$29,'01_Вводные'!$B$28,0)+IF(MONTH(AA$11)='01_Вводные'!$B$31,'01_Вводные'!$B$30,0)+IF(MONTH(AA$11)='01_Вводные'!$B$33,'01_Вводные'!$B$32,0))*'18_Календарь_тарифы'!AA4</f>
        <v/>
      </c>
      <c r="AB22" s="185">
        <f>(IF(MONTH(AB$11)='01_Вводные'!$B$29,'01_Вводные'!$B$28,0)+IF(MONTH(AB$11)='01_Вводные'!$B$31,'01_Вводные'!$B$30,0)+IF(MONTH(AB$11)='01_Вводные'!$B$33,'01_Вводные'!$B$32,0))*'18_Календарь_тарифы'!AB4</f>
        <v/>
      </c>
      <c r="AC22" s="185">
        <f>(IF(MONTH(AC$11)='01_Вводные'!$B$29,'01_Вводные'!$B$28,0)+IF(MONTH(AC$11)='01_Вводные'!$B$31,'01_Вводные'!$B$30,0)+IF(MONTH(AC$11)='01_Вводные'!$B$33,'01_Вводные'!$B$32,0))*'18_Календарь_тарифы'!AC4</f>
        <v/>
      </c>
      <c r="AD22" s="185">
        <f>(IF(MONTH(AD$11)='01_Вводные'!$B$29,'01_Вводные'!$B$28,0)+IF(MONTH(AD$11)='01_Вводные'!$B$31,'01_Вводные'!$B$30,0)+IF(MONTH(AD$11)='01_Вводные'!$B$33,'01_Вводные'!$B$32,0))*'18_Календарь_тарифы'!AD4</f>
        <v/>
      </c>
      <c r="AE22" s="185">
        <f>(IF(MONTH(AE$11)='01_Вводные'!$B$29,'01_Вводные'!$B$28,0)+IF(MONTH(AE$11)='01_Вводные'!$B$31,'01_Вводные'!$B$30,0)+IF(MONTH(AE$11)='01_Вводные'!$B$33,'01_Вводные'!$B$32,0))*'18_Календарь_тарифы'!AE4</f>
        <v/>
      </c>
      <c r="AF22" s="185">
        <f>(IF(MONTH(AF$11)='01_Вводные'!$B$29,'01_Вводные'!$B$28,0)+IF(MONTH(AF$11)='01_Вводные'!$B$31,'01_Вводные'!$B$30,0)+IF(MONTH(AF$11)='01_Вводные'!$B$33,'01_Вводные'!$B$32,0))*'18_Календарь_тарифы'!AF4</f>
        <v/>
      </c>
      <c r="AG22" s="185">
        <f>(IF(MONTH(AG$11)='01_Вводные'!$B$29,'01_Вводные'!$B$28,0)+IF(MONTH(AG$11)='01_Вводные'!$B$31,'01_Вводные'!$B$30,0)+IF(MONTH(AG$11)='01_Вводные'!$B$33,'01_Вводные'!$B$32,0))*'18_Календарь_тарифы'!AG4</f>
        <v/>
      </c>
      <c r="AH22" s="185">
        <f>(IF(MONTH(AH$11)='01_Вводные'!$B$29,'01_Вводные'!$B$28,0)+IF(MONTH(AH$11)='01_Вводные'!$B$31,'01_Вводные'!$B$30,0)+IF(MONTH(AH$11)='01_Вводные'!$B$33,'01_Вводные'!$B$32,0))*'18_Календарь_тарифы'!AH4</f>
        <v/>
      </c>
      <c r="AI22" s="185">
        <f>(IF(MONTH(AI$11)='01_Вводные'!$B$29,'01_Вводные'!$B$28,0)+IF(MONTH(AI$11)='01_Вводные'!$B$31,'01_Вводные'!$B$30,0)+IF(MONTH(AI$11)='01_Вводные'!$B$33,'01_Вводные'!$B$32,0))*'18_Календарь_тарифы'!AI4</f>
        <v/>
      </c>
      <c r="AJ22" s="185">
        <f>(IF(MONTH(AJ$11)='01_Вводные'!$B$29,'01_Вводные'!$B$28,0)+IF(MONTH(AJ$11)='01_Вводные'!$B$31,'01_Вводные'!$B$30,0)+IF(MONTH(AJ$11)='01_Вводные'!$B$33,'01_Вводные'!$B$32,0))*'18_Календарь_тарифы'!AJ4</f>
        <v/>
      </c>
      <c r="AK22" s="185">
        <f>(IF(MONTH(AK$11)='01_Вводные'!$B$29,'01_Вводные'!$B$28,0)+IF(MONTH(AK$11)='01_Вводные'!$B$31,'01_Вводные'!$B$30,0)+IF(MONTH(AK$11)='01_Вводные'!$B$33,'01_Вводные'!$B$32,0))*'18_Календарь_тарифы'!AK4</f>
        <v/>
      </c>
      <c r="AL22" s="185">
        <f>(IF(MONTH(AL$11)='01_Вводные'!$B$29,'01_Вводные'!$B$28,0)+IF(MONTH(AL$11)='01_Вводные'!$B$31,'01_Вводные'!$B$30,0)+IF(MONTH(AL$11)='01_Вводные'!$B$33,'01_Вводные'!$B$32,0))*'18_Календарь_тарифы'!AL4</f>
        <v/>
      </c>
      <c r="AM22" s="185">
        <f>(IF(MONTH(AM$11)='01_Вводные'!$B$29,'01_Вводные'!$B$28,0)+IF(MONTH(AM$11)='01_Вводные'!$B$31,'01_Вводные'!$B$30,0)+IF(MONTH(AM$11)='01_Вводные'!$B$33,'01_Вводные'!$B$32,0))*'18_Календарь_тарифы'!AM4</f>
        <v/>
      </c>
      <c r="AN22" s="185">
        <f>(IF(MONTH(AN$11)='01_Вводные'!$B$29,'01_Вводные'!$B$28,0)+IF(MONTH(AN$11)='01_Вводные'!$B$31,'01_Вводные'!$B$30,0)+IF(MONTH(AN$11)='01_Вводные'!$B$33,'01_Вводные'!$B$32,0))*'18_Календарь_тарифы'!AN4</f>
        <v/>
      </c>
      <c r="AO22" s="185">
        <f>(IF(MONTH(AO$11)='01_Вводные'!$B$29,'01_Вводные'!$B$28,0)+IF(MONTH(AO$11)='01_Вводные'!$B$31,'01_Вводные'!$B$30,0)+IF(MONTH(AO$11)='01_Вводные'!$B$33,'01_Вводные'!$B$32,0))*'18_Календарь_тарифы'!AO4</f>
        <v/>
      </c>
      <c r="AP22" s="185">
        <f>(IF(MONTH(AP$11)='01_Вводные'!$B$29,'01_Вводные'!$B$28,0)+IF(MONTH(AP$11)='01_Вводные'!$B$31,'01_Вводные'!$B$30,0)+IF(MONTH(AP$11)='01_Вводные'!$B$33,'01_Вводные'!$B$32,0))*'18_Календарь_тарифы'!AP4</f>
        <v/>
      </c>
      <c r="AQ22" s="185">
        <f>(IF(MONTH(AQ$11)='01_Вводные'!$B$29,'01_Вводные'!$B$28,0)+IF(MONTH(AQ$11)='01_Вводные'!$B$31,'01_Вводные'!$B$30,0)+IF(MONTH(AQ$11)='01_Вводные'!$B$33,'01_Вводные'!$B$32,0))*'18_Календарь_тарифы'!AQ4</f>
        <v/>
      </c>
      <c r="AR22" s="185">
        <f>(IF(MONTH(AR$11)='01_Вводные'!$B$29,'01_Вводные'!$B$28,0)+IF(MONTH(AR$11)='01_Вводные'!$B$31,'01_Вводные'!$B$30,0)+IF(MONTH(AR$11)='01_Вводные'!$B$33,'01_Вводные'!$B$32,0))*'18_Календарь_тарифы'!AR4</f>
        <v/>
      </c>
      <c r="AS22" s="185">
        <f>(IF(MONTH(AS$11)='01_Вводные'!$B$29,'01_Вводные'!$B$28,0)+IF(MONTH(AS$11)='01_Вводные'!$B$31,'01_Вводные'!$B$30,0)+IF(MONTH(AS$11)='01_Вводные'!$B$33,'01_Вводные'!$B$32,0))*'18_Календарь_тарифы'!AS4</f>
        <v/>
      </c>
      <c r="AT22" s="185">
        <f>(IF(MONTH(AT$11)='01_Вводные'!$B$29,'01_Вводные'!$B$28,0)+IF(MONTH(AT$11)='01_Вводные'!$B$31,'01_Вводные'!$B$30,0)+IF(MONTH(AT$11)='01_Вводные'!$B$33,'01_Вводные'!$B$32,0))*'18_Календарь_тарифы'!AT4</f>
        <v/>
      </c>
      <c r="AU22" s="185">
        <f>(IF(MONTH(AU$11)='01_Вводные'!$B$29,'01_Вводные'!$B$28,0)+IF(MONTH(AU$11)='01_Вводные'!$B$31,'01_Вводные'!$B$30,0)+IF(MONTH(AU$11)='01_Вводные'!$B$33,'01_Вводные'!$B$32,0))*'18_Календарь_тарифы'!AU4</f>
        <v/>
      </c>
      <c r="AV22" s="185">
        <f>(IF(MONTH(AV$11)='01_Вводные'!$B$29,'01_Вводные'!$B$28,0)+IF(MONTH(AV$11)='01_Вводные'!$B$31,'01_Вводные'!$B$30,0)+IF(MONTH(AV$11)='01_Вводные'!$B$33,'01_Вводные'!$B$32,0))*'18_Календарь_тарифы'!AV4</f>
        <v/>
      </c>
      <c r="AW22" s="185">
        <f>(IF(MONTH(AW$11)='01_Вводные'!$B$29,'01_Вводные'!$B$28,0)+IF(MONTH(AW$11)='01_Вводные'!$B$31,'01_Вводные'!$B$30,0)+IF(MONTH(AW$11)='01_Вводные'!$B$33,'01_Вводные'!$B$32,0))*'18_Календарь_тарифы'!AW4</f>
        <v/>
      </c>
      <c r="AX22" s="185">
        <f>(IF(MONTH(AX$11)='01_Вводные'!$B$29,'01_Вводные'!$B$28,0)+IF(MONTH(AX$11)='01_Вводные'!$B$31,'01_Вводные'!$B$30,0)+IF(MONTH(AX$11)='01_Вводные'!$B$33,'01_Вводные'!$B$32,0))*'18_Календарь_тарифы'!AX4</f>
        <v/>
      </c>
      <c r="AY22" s="185">
        <f>(IF(MONTH(AY$11)='01_Вводные'!$B$29,'01_Вводные'!$B$28,0)+IF(MONTH(AY$11)='01_Вводные'!$B$31,'01_Вводные'!$B$30,0)+IF(MONTH(AY$11)='01_Вводные'!$B$33,'01_Вводные'!$B$32,0))*'18_Календарь_тарифы'!AY4</f>
        <v/>
      </c>
      <c r="AZ22" s="185">
        <f>(IF(MONTH(AZ$11)='01_Вводные'!$B$29,'01_Вводные'!$B$28,0)+IF(MONTH(AZ$11)='01_Вводные'!$B$31,'01_Вводные'!$B$30,0)+IF(MONTH(AZ$11)='01_Вводные'!$B$33,'01_Вводные'!$B$32,0))*'18_Календарь_тарифы'!AZ4</f>
        <v/>
      </c>
      <c r="BA22" s="185">
        <f>(IF(MONTH(BA$11)='01_Вводные'!$B$29,'01_Вводные'!$B$28,0)+IF(MONTH(BA$11)='01_Вводные'!$B$31,'01_Вводные'!$B$30,0)+IF(MONTH(BA$11)='01_Вводные'!$B$33,'01_Вводные'!$B$32,0))*'18_Календарь_тарифы'!BA4</f>
        <v/>
      </c>
      <c r="BB22" s="185">
        <f>(IF(MONTH(BB$11)='01_Вводные'!$B$29,'01_Вводные'!$B$28,0)+IF(MONTH(BB$11)='01_Вводные'!$B$31,'01_Вводные'!$B$30,0)+IF(MONTH(BB$11)='01_Вводные'!$B$33,'01_Вводные'!$B$32,0))*'18_Календарь_тарифы'!BB4</f>
        <v/>
      </c>
      <c r="BC22" s="185">
        <f>(IF(MONTH(BC$11)='01_Вводные'!$B$29,'01_Вводные'!$B$28,0)+IF(MONTH(BC$11)='01_Вводные'!$B$31,'01_Вводные'!$B$30,0)+IF(MONTH(BC$11)='01_Вводные'!$B$33,'01_Вводные'!$B$32,0))*'18_Календарь_тарифы'!BC4</f>
        <v/>
      </c>
      <c r="BD22" s="185">
        <f>(IF(MONTH(BD$11)='01_Вводные'!$B$29,'01_Вводные'!$B$28,0)+IF(MONTH(BD$11)='01_Вводные'!$B$31,'01_Вводные'!$B$30,0)+IF(MONTH(BD$11)='01_Вводные'!$B$33,'01_Вводные'!$B$32,0))*'18_Календарь_тарифы'!BD4</f>
        <v/>
      </c>
      <c r="BE22" s="185">
        <f>(IF(MONTH(BE$11)='01_Вводные'!$B$29,'01_Вводные'!$B$28,0)+IF(MONTH(BE$11)='01_Вводные'!$B$31,'01_Вводные'!$B$30,0)+IF(MONTH(BE$11)='01_Вводные'!$B$33,'01_Вводные'!$B$32,0))*'18_Календарь_тарифы'!BE4</f>
        <v/>
      </c>
      <c r="BF22" s="185">
        <f>(IF(MONTH(BF$11)='01_Вводные'!$B$29,'01_Вводные'!$B$28,0)+IF(MONTH(BF$11)='01_Вводные'!$B$31,'01_Вводные'!$B$30,0)+IF(MONTH(BF$11)='01_Вводные'!$B$33,'01_Вводные'!$B$32,0))*'18_Календарь_тарифы'!BF4</f>
        <v/>
      </c>
      <c r="BG22" s="185">
        <f>(IF(MONTH(BG$11)='01_Вводные'!$B$29,'01_Вводные'!$B$28,0)+IF(MONTH(BG$11)='01_Вводные'!$B$31,'01_Вводные'!$B$30,0)+IF(MONTH(BG$11)='01_Вводные'!$B$33,'01_Вводные'!$B$32,0))*'18_Календарь_тарифы'!BG4</f>
        <v/>
      </c>
      <c r="BH22" s="185">
        <f>(IF(MONTH(BH$11)='01_Вводные'!$B$29,'01_Вводные'!$B$28,0)+IF(MONTH(BH$11)='01_Вводные'!$B$31,'01_Вводные'!$B$30,0)+IF(MONTH(BH$11)='01_Вводные'!$B$33,'01_Вводные'!$B$32,0))*'18_Календарь_тарифы'!BH4</f>
        <v/>
      </c>
      <c r="BI22" s="185">
        <f>(IF(MONTH(BI$11)='01_Вводные'!$B$29,'01_Вводные'!$B$28,0)+IF(MONTH(BI$11)='01_Вводные'!$B$31,'01_Вводные'!$B$30,0)+IF(MONTH(BI$11)='01_Вводные'!$B$33,'01_Вводные'!$B$32,0))*'18_Календарь_тарифы'!BI4</f>
        <v/>
      </c>
    </row>
    <row r="23">
      <c r="A23" s="10" t="inlineStr">
        <is>
          <t>Маркетинг привлечения — всего</t>
        </is>
      </c>
      <c r="B23" s="43">
        <f>B21+B22</f>
        <v/>
      </c>
      <c r="C23" s="43">
        <f>C21+C22</f>
        <v/>
      </c>
      <c r="D23" s="43">
        <f>D21+D22</f>
        <v/>
      </c>
      <c r="E23" s="43">
        <f>E21+E22</f>
        <v/>
      </c>
      <c r="F23" s="43">
        <f>F21+F22</f>
        <v/>
      </c>
      <c r="G23" s="43">
        <f>G21+G22</f>
        <v/>
      </c>
      <c r="H23" s="43">
        <f>H21+H22</f>
        <v/>
      </c>
      <c r="I23" s="43">
        <f>I21+I22</f>
        <v/>
      </c>
      <c r="J23" s="43">
        <f>J21+J22</f>
        <v/>
      </c>
      <c r="K23" s="43">
        <f>K21+K22</f>
        <v/>
      </c>
      <c r="L23" s="43">
        <f>L21+L22</f>
        <v/>
      </c>
      <c r="M23" s="43">
        <f>M21+M22</f>
        <v/>
      </c>
      <c r="N23" s="43">
        <f>N21+N22</f>
        <v/>
      </c>
      <c r="O23" s="43">
        <f>O21+O22</f>
        <v/>
      </c>
      <c r="P23" s="43">
        <f>P21+P22</f>
        <v/>
      </c>
      <c r="Q23" s="43">
        <f>Q21+Q22</f>
        <v/>
      </c>
      <c r="R23" s="43">
        <f>R21+R22</f>
        <v/>
      </c>
      <c r="S23" s="43">
        <f>S21+S22</f>
        <v/>
      </c>
      <c r="T23" s="43">
        <f>T21+T22</f>
        <v/>
      </c>
      <c r="U23" s="43">
        <f>U21+U22</f>
        <v/>
      </c>
      <c r="V23" s="43">
        <f>V21+V22</f>
        <v/>
      </c>
      <c r="W23" s="43">
        <f>W21+W22</f>
        <v/>
      </c>
      <c r="X23" s="43">
        <f>X21+X22</f>
        <v/>
      </c>
      <c r="Y23" s="43">
        <f>Y21+Y22</f>
        <v/>
      </c>
      <c r="Z23" s="43">
        <f>Z21+Z22</f>
        <v/>
      </c>
      <c r="AA23" s="43">
        <f>AA21+AA22</f>
        <v/>
      </c>
      <c r="AB23" s="43">
        <f>AB21+AB22</f>
        <v/>
      </c>
      <c r="AC23" s="43">
        <f>AC21+AC22</f>
        <v/>
      </c>
      <c r="AD23" s="43">
        <f>AD21+AD22</f>
        <v/>
      </c>
      <c r="AE23" s="43">
        <f>AE21+AE22</f>
        <v/>
      </c>
      <c r="AF23" s="43">
        <f>AF21+AF22</f>
        <v/>
      </c>
      <c r="AG23" s="43">
        <f>AG21+AG22</f>
        <v/>
      </c>
      <c r="AH23" s="43">
        <f>AH21+AH22</f>
        <v/>
      </c>
      <c r="AI23" s="43">
        <f>AI21+AI22</f>
        <v/>
      </c>
      <c r="AJ23" s="43">
        <f>AJ21+AJ22</f>
        <v/>
      </c>
      <c r="AK23" s="43">
        <f>AK21+AK22</f>
        <v/>
      </c>
      <c r="AL23" s="43">
        <f>AL21+AL22</f>
        <v/>
      </c>
      <c r="AM23" s="43">
        <f>AM21+AM22</f>
        <v/>
      </c>
      <c r="AN23" s="43">
        <f>AN21+AN22</f>
        <v/>
      </c>
      <c r="AO23" s="43">
        <f>AO21+AO22</f>
        <v/>
      </c>
      <c r="AP23" s="43">
        <f>AP21+AP22</f>
        <v/>
      </c>
      <c r="AQ23" s="43">
        <f>AQ21+AQ22</f>
        <v/>
      </c>
      <c r="AR23" s="43">
        <f>AR21+AR22</f>
        <v/>
      </c>
      <c r="AS23" s="43">
        <f>AS21+AS22</f>
        <v/>
      </c>
      <c r="AT23" s="43">
        <f>AT21+AT22</f>
        <v/>
      </c>
      <c r="AU23" s="43">
        <f>AU21+AU22</f>
        <v/>
      </c>
      <c r="AV23" s="43">
        <f>AV21+AV22</f>
        <v/>
      </c>
      <c r="AW23" s="43">
        <f>AW21+AW22</f>
        <v/>
      </c>
      <c r="AX23" s="43">
        <f>AX21+AX22</f>
        <v/>
      </c>
      <c r="AY23" s="43">
        <f>AY21+AY22</f>
        <v/>
      </c>
      <c r="AZ23" s="43">
        <f>AZ21+AZ22</f>
        <v/>
      </c>
      <c r="BA23" s="43">
        <f>BA21+BA22</f>
        <v/>
      </c>
      <c r="BB23" s="43">
        <f>BB21+BB22</f>
        <v/>
      </c>
      <c r="BC23" s="43">
        <f>BC21+BC22</f>
        <v/>
      </c>
      <c r="BD23" s="43">
        <f>BD21+BD22</f>
        <v/>
      </c>
      <c r="BE23" s="43">
        <f>BE21+BE22</f>
        <v/>
      </c>
      <c r="BF23" s="43">
        <f>BF21+BF22</f>
        <v/>
      </c>
      <c r="BG23" s="43">
        <f>BG21+BG22</f>
        <v/>
      </c>
      <c r="BH23" s="43">
        <f>BH21+BH22</f>
        <v/>
      </c>
      <c r="BI23" s="43">
        <f>BI21+BI22</f>
        <v/>
      </c>
    </row>
    <row r="24"/>
    <row r="25">
      <c r="A25" s="2" t="inlineStr">
        <is>
          <t>Паушальные взносы, с НДС</t>
        </is>
      </c>
      <c r="B25" s="185">
        <f>B15*'18_Календарь_тарифы'!B6</f>
        <v/>
      </c>
      <c r="C25" s="185">
        <f>C15*'18_Календарь_тарифы'!C6</f>
        <v/>
      </c>
      <c r="D25" s="185">
        <f>D15*'18_Календарь_тарифы'!D6</f>
        <v/>
      </c>
      <c r="E25" s="185">
        <f>E15*'18_Календарь_тарифы'!E6</f>
        <v/>
      </c>
      <c r="F25" s="185">
        <f>F15*'18_Календарь_тарифы'!F6</f>
        <v/>
      </c>
      <c r="G25" s="185">
        <f>G15*'18_Календарь_тарифы'!G6</f>
        <v/>
      </c>
      <c r="H25" s="185">
        <f>H15*'18_Календарь_тарифы'!H6</f>
        <v/>
      </c>
      <c r="I25" s="185">
        <f>I15*'18_Календарь_тарифы'!I6</f>
        <v/>
      </c>
      <c r="J25" s="185">
        <f>J15*'18_Календарь_тарифы'!J6</f>
        <v/>
      </c>
      <c r="K25" s="185">
        <f>K15*'18_Календарь_тарифы'!K6</f>
        <v/>
      </c>
      <c r="L25" s="185">
        <f>L15*'18_Календарь_тарифы'!L6</f>
        <v/>
      </c>
      <c r="M25" s="185">
        <f>M15*'18_Календарь_тарифы'!M6</f>
        <v/>
      </c>
      <c r="N25" s="185">
        <f>N15*'18_Календарь_тарифы'!N6</f>
        <v/>
      </c>
      <c r="O25" s="185">
        <f>O15*'18_Календарь_тарифы'!O6</f>
        <v/>
      </c>
      <c r="P25" s="185">
        <f>P15*'18_Календарь_тарифы'!P6</f>
        <v/>
      </c>
      <c r="Q25" s="185">
        <f>Q15*'18_Календарь_тарифы'!Q6</f>
        <v/>
      </c>
      <c r="R25" s="185">
        <f>R15*'18_Календарь_тарифы'!R6</f>
        <v/>
      </c>
      <c r="S25" s="185">
        <f>S15*'18_Календарь_тарифы'!S6</f>
        <v/>
      </c>
      <c r="T25" s="185">
        <f>T15*'18_Календарь_тарифы'!T6</f>
        <v/>
      </c>
      <c r="U25" s="185">
        <f>U15*'18_Календарь_тарифы'!U6</f>
        <v/>
      </c>
      <c r="V25" s="185">
        <f>V15*'18_Календарь_тарифы'!V6</f>
        <v/>
      </c>
      <c r="W25" s="185">
        <f>W15*'18_Календарь_тарифы'!W6</f>
        <v/>
      </c>
      <c r="X25" s="185">
        <f>X15*'18_Календарь_тарифы'!X6</f>
        <v/>
      </c>
      <c r="Y25" s="185">
        <f>Y15*'18_Календарь_тарифы'!Y6</f>
        <v/>
      </c>
      <c r="Z25" s="185">
        <f>Z15*'18_Календарь_тарифы'!Z6</f>
        <v/>
      </c>
      <c r="AA25" s="185">
        <f>AA15*'18_Календарь_тарифы'!AA6</f>
        <v/>
      </c>
      <c r="AB25" s="185">
        <f>AB15*'18_Календарь_тарифы'!AB6</f>
        <v/>
      </c>
      <c r="AC25" s="185">
        <f>AC15*'18_Календарь_тарифы'!AC6</f>
        <v/>
      </c>
      <c r="AD25" s="185">
        <f>AD15*'18_Календарь_тарифы'!AD6</f>
        <v/>
      </c>
      <c r="AE25" s="185">
        <f>AE15*'18_Календарь_тарифы'!AE6</f>
        <v/>
      </c>
      <c r="AF25" s="185">
        <f>AF15*'18_Календарь_тарифы'!AF6</f>
        <v/>
      </c>
      <c r="AG25" s="185">
        <f>AG15*'18_Календарь_тарифы'!AG6</f>
        <v/>
      </c>
      <c r="AH25" s="185">
        <f>AH15*'18_Календарь_тарифы'!AH6</f>
        <v/>
      </c>
      <c r="AI25" s="185">
        <f>AI15*'18_Календарь_тарифы'!AI6</f>
        <v/>
      </c>
      <c r="AJ25" s="185">
        <f>AJ15*'18_Календарь_тарифы'!AJ6</f>
        <v/>
      </c>
      <c r="AK25" s="185">
        <f>AK15*'18_Календарь_тарифы'!AK6</f>
        <v/>
      </c>
      <c r="AL25" s="185">
        <f>AL15*'18_Календарь_тарифы'!AL6</f>
        <v/>
      </c>
      <c r="AM25" s="185">
        <f>AM15*'18_Календарь_тарифы'!AM6</f>
        <v/>
      </c>
      <c r="AN25" s="185">
        <f>AN15*'18_Календарь_тарифы'!AN6</f>
        <v/>
      </c>
      <c r="AO25" s="185">
        <f>AO15*'18_Календарь_тарифы'!AO6</f>
        <v/>
      </c>
      <c r="AP25" s="185">
        <f>AP15*'18_Календарь_тарифы'!AP6</f>
        <v/>
      </c>
      <c r="AQ25" s="185">
        <f>AQ15*'18_Календарь_тарифы'!AQ6</f>
        <v/>
      </c>
      <c r="AR25" s="185">
        <f>AR15*'18_Календарь_тарифы'!AR6</f>
        <v/>
      </c>
      <c r="AS25" s="185">
        <f>AS15*'18_Календарь_тарифы'!AS6</f>
        <v/>
      </c>
      <c r="AT25" s="185">
        <f>AT15*'18_Календарь_тарифы'!AT6</f>
        <v/>
      </c>
      <c r="AU25" s="185">
        <f>AU15*'18_Календарь_тарифы'!AU6</f>
        <v/>
      </c>
      <c r="AV25" s="185">
        <f>AV15*'18_Календарь_тарифы'!AV6</f>
        <v/>
      </c>
      <c r="AW25" s="185">
        <f>AW15*'18_Календарь_тарифы'!AW6</f>
        <v/>
      </c>
      <c r="AX25" s="185">
        <f>AX15*'18_Календарь_тарифы'!AX6</f>
        <v/>
      </c>
      <c r="AY25" s="185">
        <f>AY15*'18_Календарь_тарифы'!AY6</f>
        <v/>
      </c>
      <c r="AZ25" s="185">
        <f>AZ15*'18_Календарь_тарифы'!AZ6</f>
        <v/>
      </c>
      <c r="BA25" s="185">
        <f>BA15*'18_Календарь_тарифы'!BA6</f>
        <v/>
      </c>
      <c r="BB25" s="185">
        <f>BB15*'18_Календарь_тарифы'!BB6</f>
        <v/>
      </c>
      <c r="BC25" s="185">
        <f>BC15*'18_Календарь_тарифы'!BC6</f>
        <v/>
      </c>
      <c r="BD25" s="185">
        <f>BD15*'18_Календарь_тарифы'!BD6</f>
        <v/>
      </c>
      <c r="BE25" s="185">
        <f>BE15*'18_Календарь_тарифы'!BE6</f>
        <v/>
      </c>
      <c r="BF25" s="185">
        <f>BF15*'18_Календарь_тарифы'!BF6</f>
        <v/>
      </c>
      <c r="BG25" s="185">
        <f>BG15*'18_Календарь_тарифы'!BG6</f>
        <v/>
      </c>
      <c r="BH25" s="185">
        <f>BH15*'18_Календарь_тарифы'!BH6</f>
        <v/>
      </c>
      <c r="BI25" s="185">
        <f>BI15*'18_Календарь_тарифы'!BI6</f>
        <v/>
      </c>
    </row>
    <row r="26">
      <c r="A26" s="10" t="inlineStr">
        <is>
          <t>Паушальные взносы, без НДС</t>
        </is>
      </c>
      <c r="B26" s="43">
        <f>B25/(1+'01_Вводные'!$B$58)</f>
        <v/>
      </c>
      <c r="C26" s="43">
        <f>C25/(1+'01_Вводные'!$B$58)</f>
        <v/>
      </c>
      <c r="D26" s="43">
        <f>D25/(1+'01_Вводные'!$B$58)</f>
        <v/>
      </c>
      <c r="E26" s="43">
        <f>E25/(1+'01_Вводные'!$B$58)</f>
        <v/>
      </c>
      <c r="F26" s="43">
        <f>F25/(1+'01_Вводные'!$B$58)</f>
        <v/>
      </c>
      <c r="G26" s="43">
        <f>G25/(1+'01_Вводные'!$B$58)</f>
        <v/>
      </c>
      <c r="H26" s="43">
        <f>H25/(1+'01_Вводные'!$B$58)</f>
        <v/>
      </c>
      <c r="I26" s="43">
        <f>I25/(1+'01_Вводные'!$B$58)</f>
        <v/>
      </c>
      <c r="J26" s="43">
        <f>J25/(1+'01_Вводные'!$B$58)</f>
        <v/>
      </c>
      <c r="K26" s="43">
        <f>K25/(1+'01_Вводные'!$B$58)</f>
        <v/>
      </c>
      <c r="L26" s="43">
        <f>L25/(1+'01_Вводные'!$B$58)</f>
        <v/>
      </c>
      <c r="M26" s="43">
        <f>M25/(1+'01_Вводные'!$B$58)</f>
        <v/>
      </c>
      <c r="N26" s="43">
        <f>N25/(1+'01_Вводные'!$B$58)</f>
        <v/>
      </c>
      <c r="O26" s="43">
        <f>O25/(1+'01_Вводные'!$B$58)</f>
        <v/>
      </c>
      <c r="P26" s="43">
        <f>P25/(1+'01_Вводные'!$B$58)</f>
        <v/>
      </c>
      <c r="Q26" s="43">
        <f>Q25/(1+'01_Вводные'!$B$58)</f>
        <v/>
      </c>
      <c r="R26" s="43">
        <f>R25/(1+'01_Вводные'!$B$58)</f>
        <v/>
      </c>
      <c r="S26" s="43">
        <f>S25/(1+'01_Вводные'!$B$58)</f>
        <v/>
      </c>
      <c r="T26" s="43">
        <f>T25/(1+'01_Вводные'!$B$58)</f>
        <v/>
      </c>
      <c r="U26" s="43">
        <f>U25/(1+'01_Вводные'!$B$58)</f>
        <v/>
      </c>
      <c r="V26" s="43">
        <f>V25/(1+'01_Вводные'!$B$58)</f>
        <v/>
      </c>
      <c r="W26" s="43">
        <f>W25/(1+'01_Вводные'!$B$58)</f>
        <v/>
      </c>
      <c r="X26" s="43">
        <f>X25/(1+'01_Вводные'!$B$58)</f>
        <v/>
      </c>
      <c r="Y26" s="43">
        <f>Y25/(1+'01_Вводные'!$B$58)</f>
        <v/>
      </c>
      <c r="Z26" s="43">
        <f>Z25/(1+'01_Вводные'!$B$58)</f>
        <v/>
      </c>
      <c r="AA26" s="43">
        <f>AA25/(1+'01_Вводные'!$B$58)</f>
        <v/>
      </c>
      <c r="AB26" s="43">
        <f>AB25/(1+'01_Вводные'!$B$58)</f>
        <v/>
      </c>
      <c r="AC26" s="43">
        <f>AC25/(1+'01_Вводные'!$B$58)</f>
        <v/>
      </c>
      <c r="AD26" s="43">
        <f>AD25/(1+'01_Вводные'!$B$58)</f>
        <v/>
      </c>
      <c r="AE26" s="43">
        <f>AE25/(1+'01_Вводные'!$B$58)</f>
        <v/>
      </c>
      <c r="AF26" s="43">
        <f>AF25/(1+'01_Вводные'!$B$58)</f>
        <v/>
      </c>
      <c r="AG26" s="43">
        <f>AG25/(1+'01_Вводные'!$B$58)</f>
        <v/>
      </c>
      <c r="AH26" s="43">
        <f>AH25/(1+'01_Вводные'!$B$58)</f>
        <v/>
      </c>
      <c r="AI26" s="43">
        <f>AI25/(1+'01_Вводные'!$B$58)</f>
        <v/>
      </c>
      <c r="AJ26" s="43">
        <f>AJ25/(1+'01_Вводные'!$B$58)</f>
        <v/>
      </c>
      <c r="AK26" s="43">
        <f>AK25/(1+'01_Вводные'!$B$58)</f>
        <v/>
      </c>
      <c r="AL26" s="43">
        <f>AL25/(1+'01_Вводные'!$B$58)</f>
        <v/>
      </c>
      <c r="AM26" s="43">
        <f>AM25/(1+'01_Вводные'!$B$58)</f>
        <v/>
      </c>
      <c r="AN26" s="43">
        <f>AN25/(1+'01_Вводные'!$B$58)</f>
        <v/>
      </c>
      <c r="AO26" s="43">
        <f>AO25/(1+'01_Вводные'!$B$58)</f>
        <v/>
      </c>
      <c r="AP26" s="43">
        <f>AP25/(1+'01_Вводные'!$B$58)</f>
        <v/>
      </c>
      <c r="AQ26" s="43">
        <f>AQ25/(1+'01_Вводные'!$B$58)</f>
        <v/>
      </c>
      <c r="AR26" s="43">
        <f>AR25/(1+'01_Вводные'!$B$58)</f>
        <v/>
      </c>
      <c r="AS26" s="43">
        <f>AS25/(1+'01_Вводные'!$B$58)</f>
        <v/>
      </c>
      <c r="AT26" s="43">
        <f>AT25/(1+'01_Вводные'!$B$58)</f>
        <v/>
      </c>
      <c r="AU26" s="43">
        <f>AU25/(1+'01_Вводные'!$B$58)</f>
        <v/>
      </c>
      <c r="AV26" s="43">
        <f>AV25/(1+'01_Вводные'!$B$58)</f>
        <v/>
      </c>
      <c r="AW26" s="43">
        <f>AW25/(1+'01_Вводные'!$B$58)</f>
        <v/>
      </c>
      <c r="AX26" s="43">
        <f>AX25/(1+'01_Вводные'!$B$58)</f>
        <v/>
      </c>
      <c r="AY26" s="43">
        <f>AY25/(1+'01_Вводные'!$B$58)</f>
        <v/>
      </c>
      <c r="AZ26" s="43">
        <f>AZ25/(1+'01_Вводные'!$B$58)</f>
        <v/>
      </c>
      <c r="BA26" s="43">
        <f>BA25/(1+'01_Вводные'!$B$58)</f>
        <v/>
      </c>
      <c r="BB26" s="43">
        <f>BB25/(1+'01_Вводные'!$B$58)</f>
        <v/>
      </c>
      <c r="BC26" s="43">
        <f>BC25/(1+'01_Вводные'!$B$58)</f>
        <v/>
      </c>
      <c r="BD26" s="43">
        <f>BD25/(1+'01_Вводные'!$B$58)</f>
        <v/>
      </c>
      <c r="BE26" s="43">
        <f>BE25/(1+'01_Вводные'!$B$58)</f>
        <v/>
      </c>
      <c r="BF26" s="43">
        <f>BF25/(1+'01_Вводные'!$B$58)</f>
        <v/>
      </c>
      <c r="BG26" s="43">
        <f>BG25/(1+'01_Вводные'!$B$58)</f>
        <v/>
      </c>
      <c r="BH26" s="43">
        <f>BH25/(1+'01_Вводные'!$B$58)</f>
        <v/>
      </c>
      <c r="BI26" s="43">
        <f>BI25/(1+'01_Вводные'!$B$58)</f>
        <v/>
      </c>
    </row>
    <row r="27"/>
    <row r="28" hidden="1">
      <c r="A28" t="inlineStr">
        <is>
          <t>Месяц оплаты рекламы для продажи</t>
        </is>
      </c>
      <c r="B28" s="126">
        <f>DATE(YEAR(B$11),MONTH(B$11)-IF(B$11='01_Вводные'!$B$242,'01_Вводные'!$B$243,'01_Вводные'!$B$27),1)</f>
        <v/>
      </c>
      <c r="C28" s="126">
        <f>DATE(YEAR(C$11),MONTH(C$11)-IF(C$11='01_Вводные'!$B$242,'01_Вводные'!$B$243,'01_Вводные'!$B$27),1)</f>
        <v/>
      </c>
      <c r="D28" s="126">
        <f>DATE(YEAR(D$11),MONTH(D$11)-IF(D$11='01_Вводные'!$B$242,'01_Вводные'!$B$243,'01_Вводные'!$B$27),1)</f>
        <v/>
      </c>
      <c r="E28" s="126">
        <f>DATE(YEAR(E$11),MONTH(E$11)-IF(E$11='01_Вводные'!$B$242,'01_Вводные'!$B$243,'01_Вводные'!$B$27),1)</f>
        <v/>
      </c>
      <c r="F28" s="126">
        <f>DATE(YEAR(F$11),MONTH(F$11)-IF(F$11='01_Вводные'!$B$242,'01_Вводные'!$B$243,'01_Вводные'!$B$27),1)</f>
        <v/>
      </c>
      <c r="G28" s="126">
        <f>DATE(YEAR(G$11),MONTH(G$11)-IF(G$11='01_Вводные'!$B$242,'01_Вводные'!$B$243,'01_Вводные'!$B$27),1)</f>
        <v/>
      </c>
      <c r="H28" s="126">
        <f>DATE(YEAR(H$11),MONTH(H$11)-IF(H$11='01_Вводные'!$B$242,'01_Вводные'!$B$243,'01_Вводные'!$B$27),1)</f>
        <v/>
      </c>
      <c r="I28" s="126">
        <f>DATE(YEAR(I$11),MONTH(I$11)-IF(I$11='01_Вводные'!$B$242,'01_Вводные'!$B$243,'01_Вводные'!$B$27),1)</f>
        <v/>
      </c>
      <c r="J28" s="126">
        <f>DATE(YEAR(J$11),MONTH(J$11)-IF(J$11='01_Вводные'!$B$242,'01_Вводные'!$B$243,'01_Вводные'!$B$27),1)</f>
        <v/>
      </c>
      <c r="K28" s="126">
        <f>DATE(YEAR(K$11),MONTH(K$11)-IF(K$11='01_Вводные'!$B$242,'01_Вводные'!$B$243,'01_Вводные'!$B$27),1)</f>
        <v/>
      </c>
      <c r="L28" s="126">
        <f>DATE(YEAR(L$11),MONTH(L$11)-IF(L$11='01_Вводные'!$B$242,'01_Вводные'!$B$243,'01_Вводные'!$B$27),1)</f>
        <v/>
      </c>
      <c r="M28" s="126">
        <f>DATE(YEAR(M$11),MONTH(M$11)-IF(M$11='01_Вводные'!$B$242,'01_Вводные'!$B$243,'01_Вводные'!$B$27),1)</f>
        <v/>
      </c>
      <c r="N28" s="126">
        <f>DATE(YEAR(N$11),MONTH(N$11)-IF(N$11='01_Вводные'!$B$242,'01_Вводные'!$B$243,'01_Вводные'!$B$27),1)</f>
        <v/>
      </c>
      <c r="O28" s="126">
        <f>DATE(YEAR(O$11),MONTH(O$11)-IF(O$11='01_Вводные'!$B$242,'01_Вводные'!$B$243,'01_Вводные'!$B$27),1)</f>
        <v/>
      </c>
      <c r="P28" s="126">
        <f>DATE(YEAR(P$11),MONTH(P$11)-IF(P$11='01_Вводные'!$B$242,'01_Вводные'!$B$243,'01_Вводные'!$B$27),1)</f>
        <v/>
      </c>
      <c r="Q28" s="126">
        <f>DATE(YEAR(Q$11),MONTH(Q$11)-IF(Q$11='01_Вводные'!$B$242,'01_Вводные'!$B$243,'01_Вводные'!$B$27),1)</f>
        <v/>
      </c>
      <c r="R28" s="126">
        <f>DATE(YEAR(R$11),MONTH(R$11)-IF(R$11='01_Вводные'!$B$242,'01_Вводные'!$B$243,'01_Вводные'!$B$27),1)</f>
        <v/>
      </c>
      <c r="S28" s="126">
        <f>DATE(YEAR(S$11),MONTH(S$11)-IF(S$11='01_Вводные'!$B$242,'01_Вводные'!$B$243,'01_Вводные'!$B$27),1)</f>
        <v/>
      </c>
      <c r="T28" s="126">
        <f>DATE(YEAR(T$11),MONTH(T$11)-IF(T$11='01_Вводные'!$B$242,'01_Вводные'!$B$243,'01_Вводные'!$B$27),1)</f>
        <v/>
      </c>
      <c r="U28" s="126">
        <f>DATE(YEAR(U$11),MONTH(U$11)-IF(U$11='01_Вводные'!$B$242,'01_Вводные'!$B$243,'01_Вводные'!$B$27),1)</f>
        <v/>
      </c>
      <c r="V28" s="126">
        <f>DATE(YEAR(V$11),MONTH(V$11)-IF(V$11='01_Вводные'!$B$242,'01_Вводные'!$B$243,'01_Вводные'!$B$27),1)</f>
        <v/>
      </c>
      <c r="W28" s="126">
        <f>DATE(YEAR(W$11),MONTH(W$11)-IF(W$11='01_Вводные'!$B$242,'01_Вводные'!$B$243,'01_Вводные'!$B$27),1)</f>
        <v/>
      </c>
      <c r="X28" s="126">
        <f>DATE(YEAR(X$11),MONTH(X$11)-IF(X$11='01_Вводные'!$B$242,'01_Вводные'!$B$243,'01_Вводные'!$B$27),1)</f>
        <v/>
      </c>
      <c r="Y28" s="126">
        <f>DATE(YEAR(Y$11),MONTH(Y$11)-IF(Y$11='01_Вводные'!$B$242,'01_Вводные'!$B$243,'01_Вводные'!$B$27),1)</f>
        <v/>
      </c>
      <c r="Z28" s="126">
        <f>DATE(YEAR(Z$11),MONTH(Z$11)-IF(Z$11='01_Вводные'!$B$242,'01_Вводные'!$B$243,'01_Вводные'!$B$27),1)</f>
        <v/>
      </c>
      <c r="AA28" s="126">
        <f>DATE(YEAR(AA$11),MONTH(AA$11)-IF(AA$11='01_Вводные'!$B$242,'01_Вводные'!$B$243,'01_Вводные'!$B$27),1)</f>
        <v/>
      </c>
      <c r="AB28" s="126">
        <f>DATE(YEAR(AB$11),MONTH(AB$11)-IF(AB$11='01_Вводные'!$B$242,'01_Вводные'!$B$243,'01_Вводные'!$B$27),1)</f>
        <v/>
      </c>
      <c r="AC28" s="126">
        <f>DATE(YEAR(AC$11),MONTH(AC$11)-IF(AC$11='01_Вводные'!$B$242,'01_Вводные'!$B$243,'01_Вводные'!$B$27),1)</f>
        <v/>
      </c>
      <c r="AD28" s="126">
        <f>DATE(YEAR(AD$11),MONTH(AD$11)-IF(AD$11='01_Вводные'!$B$242,'01_Вводные'!$B$243,'01_Вводные'!$B$27),1)</f>
        <v/>
      </c>
      <c r="AE28" s="126">
        <f>DATE(YEAR(AE$11),MONTH(AE$11)-IF(AE$11='01_Вводные'!$B$242,'01_Вводные'!$B$243,'01_Вводные'!$B$27),1)</f>
        <v/>
      </c>
      <c r="AF28" s="126">
        <f>DATE(YEAR(AF$11),MONTH(AF$11)-IF(AF$11='01_Вводные'!$B$242,'01_Вводные'!$B$243,'01_Вводные'!$B$27),1)</f>
        <v/>
      </c>
      <c r="AG28" s="126">
        <f>DATE(YEAR(AG$11),MONTH(AG$11)-IF(AG$11='01_Вводные'!$B$242,'01_Вводные'!$B$243,'01_Вводные'!$B$27),1)</f>
        <v/>
      </c>
      <c r="AH28" s="126">
        <f>DATE(YEAR(AH$11),MONTH(AH$11)-IF(AH$11='01_Вводные'!$B$242,'01_Вводные'!$B$243,'01_Вводные'!$B$27),1)</f>
        <v/>
      </c>
      <c r="AI28" s="126">
        <f>DATE(YEAR(AI$11),MONTH(AI$11)-IF(AI$11='01_Вводные'!$B$242,'01_Вводные'!$B$243,'01_Вводные'!$B$27),1)</f>
        <v/>
      </c>
      <c r="AJ28" s="126">
        <f>DATE(YEAR(AJ$11),MONTH(AJ$11)-IF(AJ$11='01_Вводные'!$B$242,'01_Вводные'!$B$243,'01_Вводные'!$B$27),1)</f>
        <v/>
      </c>
      <c r="AK28" s="126">
        <f>DATE(YEAR(AK$11),MONTH(AK$11)-IF(AK$11='01_Вводные'!$B$242,'01_Вводные'!$B$243,'01_Вводные'!$B$27),1)</f>
        <v/>
      </c>
      <c r="AL28" s="126">
        <f>DATE(YEAR(AL$11),MONTH(AL$11)-IF(AL$11='01_Вводные'!$B$242,'01_Вводные'!$B$243,'01_Вводные'!$B$27),1)</f>
        <v/>
      </c>
      <c r="AM28" s="126">
        <f>DATE(YEAR(AM$11),MONTH(AM$11)-IF(AM$11='01_Вводные'!$B$242,'01_Вводные'!$B$243,'01_Вводные'!$B$27),1)</f>
        <v/>
      </c>
      <c r="AN28" s="126">
        <f>DATE(YEAR(AN$11),MONTH(AN$11)-IF(AN$11='01_Вводные'!$B$242,'01_Вводные'!$B$243,'01_Вводные'!$B$27),1)</f>
        <v/>
      </c>
      <c r="AO28" s="126">
        <f>DATE(YEAR(AO$11),MONTH(AO$11)-IF(AO$11='01_Вводные'!$B$242,'01_Вводные'!$B$243,'01_Вводные'!$B$27),1)</f>
        <v/>
      </c>
      <c r="AP28" s="126">
        <f>DATE(YEAR(AP$11),MONTH(AP$11)-IF(AP$11='01_Вводные'!$B$242,'01_Вводные'!$B$243,'01_Вводные'!$B$27),1)</f>
        <v/>
      </c>
      <c r="AQ28" s="126">
        <f>DATE(YEAR(AQ$11),MONTH(AQ$11)-IF(AQ$11='01_Вводные'!$B$242,'01_Вводные'!$B$243,'01_Вводные'!$B$27),1)</f>
        <v/>
      </c>
      <c r="AR28" s="126">
        <f>DATE(YEAR(AR$11),MONTH(AR$11)-IF(AR$11='01_Вводные'!$B$242,'01_Вводные'!$B$243,'01_Вводные'!$B$27),1)</f>
        <v/>
      </c>
      <c r="AS28" s="126">
        <f>DATE(YEAR(AS$11),MONTH(AS$11)-IF(AS$11='01_Вводные'!$B$242,'01_Вводные'!$B$243,'01_Вводные'!$B$27),1)</f>
        <v/>
      </c>
      <c r="AT28" s="126">
        <f>DATE(YEAR(AT$11),MONTH(AT$11)-IF(AT$11='01_Вводные'!$B$242,'01_Вводные'!$B$243,'01_Вводные'!$B$27),1)</f>
        <v/>
      </c>
      <c r="AU28" s="126">
        <f>DATE(YEAR(AU$11),MONTH(AU$11)-IF(AU$11='01_Вводные'!$B$242,'01_Вводные'!$B$243,'01_Вводные'!$B$27),1)</f>
        <v/>
      </c>
      <c r="AV28" s="126">
        <f>DATE(YEAR(AV$11),MONTH(AV$11)-IF(AV$11='01_Вводные'!$B$242,'01_Вводные'!$B$243,'01_Вводные'!$B$27),1)</f>
        <v/>
      </c>
      <c r="AW28" s="126">
        <f>DATE(YEAR(AW$11),MONTH(AW$11)-IF(AW$11='01_Вводные'!$B$242,'01_Вводные'!$B$243,'01_Вводные'!$B$27),1)</f>
        <v/>
      </c>
      <c r="AX28" s="126">
        <f>DATE(YEAR(AX$11),MONTH(AX$11)-IF(AX$11='01_Вводные'!$B$242,'01_Вводные'!$B$243,'01_Вводные'!$B$27),1)</f>
        <v/>
      </c>
      <c r="AY28" s="126">
        <f>DATE(YEAR(AY$11),MONTH(AY$11)-IF(AY$11='01_Вводные'!$B$242,'01_Вводные'!$B$243,'01_Вводные'!$B$27),1)</f>
        <v/>
      </c>
      <c r="AZ28" s="126">
        <f>DATE(YEAR(AZ$11),MONTH(AZ$11)-IF(AZ$11='01_Вводные'!$B$242,'01_Вводные'!$B$243,'01_Вводные'!$B$27),1)</f>
        <v/>
      </c>
      <c r="BA28" s="126">
        <f>DATE(YEAR(BA$11),MONTH(BA$11)-IF(BA$11='01_Вводные'!$B$242,'01_Вводные'!$B$243,'01_Вводные'!$B$27),1)</f>
        <v/>
      </c>
      <c r="BB28" s="126">
        <f>DATE(YEAR(BB$11),MONTH(BB$11)-IF(BB$11='01_Вводные'!$B$242,'01_Вводные'!$B$243,'01_Вводные'!$B$27),1)</f>
        <v/>
      </c>
      <c r="BC28" s="126">
        <f>DATE(YEAR(BC$11),MONTH(BC$11)-IF(BC$11='01_Вводные'!$B$242,'01_Вводные'!$B$243,'01_Вводные'!$B$27),1)</f>
        <v/>
      </c>
      <c r="BD28" s="126">
        <f>DATE(YEAR(BD$11),MONTH(BD$11)-IF(BD$11='01_Вводные'!$B$242,'01_Вводные'!$B$243,'01_Вводные'!$B$27),1)</f>
        <v/>
      </c>
      <c r="BE28" s="126">
        <f>DATE(YEAR(BE$11),MONTH(BE$11)-IF(BE$11='01_Вводные'!$B$242,'01_Вводные'!$B$243,'01_Вводные'!$B$27),1)</f>
        <v/>
      </c>
      <c r="BF28" s="126">
        <f>DATE(YEAR(BF$11),MONTH(BF$11)-IF(BF$11='01_Вводные'!$B$242,'01_Вводные'!$B$243,'01_Вводные'!$B$27),1)</f>
        <v/>
      </c>
      <c r="BG28" s="126">
        <f>DATE(YEAR(BG$11),MONTH(BG$11)-IF(BG$11='01_Вводные'!$B$242,'01_Вводные'!$B$243,'01_Вводные'!$B$27),1)</f>
        <v/>
      </c>
      <c r="BH28" s="126">
        <f>DATE(YEAR(BH$11),MONTH(BH$11)-IF(BH$11='01_Вводные'!$B$242,'01_Вводные'!$B$243,'01_Вводные'!$B$27),1)</f>
        <v/>
      </c>
      <c r="BI28" s="126">
        <f>DATE(YEAR(BI$11),MONTH(BI$11)-IF(BI$11='01_Вводные'!$B$242,'01_Вводные'!$B$243,'01_Вводные'!$B$27),1)</f>
        <v/>
      </c>
    </row>
  </sheetData>
  <mergeCells count="3">
    <mergeCell ref="A1:BI1"/>
    <mergeCell ref="A3:H3"/>
    <mergeCell ref="A10:BI10"/>
  </mergeCells>
  <printOptions horizontalCentered="0"/>
  <pageMargins left="0.75" right="0.75" top="1" bottom="1" header="0.5" footer="0.5"/>
  <pageSetup orientation="landscape" fitToHeight="0" fitToWidth="1"/>
  <headerFooter>
    <oddHeader/>
    <oddFooter>&amp;LФинмодель Спартак · 04_Продажи&amp;R&amp;P /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9E1B31"/>
    <outlinePr summaryBelow="1" summaryRight="1"/>
    <pageSetUpPr fitToPage="1"/>
  </sheetPr>
  <dimension ref="A1:BI27"/>
  <sheetViews>
    <sheetView showGridLines="0" workbookViewId="0">
      <pane xSplit="1" ySplit="19" topLeftCell="B20"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7" customWidth="1" min="1" max="1"/>
    <col width="17" customWidth="1" min="2" max="2"/>
    <col width="17" customWidth="1" min="3" max="3"/>
    <col width="17" customWidth="1" min="4" max="4"/>
    <col width="17" customWidth="1" min="5" max="5"/>
    <col width="17" customWidth="1" min="6" max="6"/>
    <col width="18" customWidth="1" min="7" max="7"/>
    <col width="40"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s>
  <sheetData>
    <row r="1" ht="27" customHeight="1">
      <c r="A1" s="60" t="inlineStr">
        <is>
          <t>СПАРТАК | Воронка продаж и запуск школ</t>
        </is>
      </c>
    </row>
    <row r="2"/>
    <row r="3" ht="40" customHeight="1">
      <c r="A3" s="111" t="inlineStr">
        <is>
          <t>Плановая воронка: требуемые лиды → оплаченные продажи → открытия с лагом → ERP. Промежуточные конверсии встреч/заявок не заданы и не придуманы. Продажа считается состоявшейся после оплаты.</t>
        </is>
      </c>
    </row>
    <row r="4"/>
    <row r="5" ht="33" customHeight="1">
      <c r="A5" s="87" t="inlineStr">
        <is>
          <t>Показатель</t>
        </is>
      </c>
      <c r="B5" s="87" t="inlineStr">
        <is>
          <t>2026/27</t>
        </is>
      </c>
      <c r="C5" s="87" t="inlineStr">
        <is>
          <t>2027/28</t>
        </is>
      </c>
      <c r="D5" s="87" t="inlineStr">
        <is>
          <t>2028/29</t>
        </is>
      </c>
      <c r="E5" s="87" t="inlineStr">
        <is>
          <t>2029/30</t>
        </is>
      </c>
      <c r="F5" s="87" t="inlineStr">
        <is>
          <t>2030/31</t>
        </is>
      </c>
      <c r="G5" s="87" t="inlineStr">
        <is>
          <t>Итого / конец</t>
        </is>
      </c>
      <c r="H5" s="87" t="inlineStr">
        <is>
          <t>Комментарий</t>
        </is>
      </c>
    </row>
    <row r="6" ht="26" customHeight="1">
      <c r="A6" s="104" t="inlineStr">
        <is>
          <t>Требуемые лиды, расчётно</t>
        </is>
      </c>
      <c r="B6" s="103">
        <f>SUM('04_Продажи'!B15:M15)/'01_Вводные'!$B$25</f>
        <v/>
      </c>
      <c r="C6" s="103">
        <f>SUM('04_Продажи'!N15:Y15)/'01_Вводные'!$B$25</f>
        <v/>
      </c>
      <c r="D6" s="103">
        <f>SUM('04_Продажи'!Z15:AK15)/'01_Вводные'!$B$25</f>
        <v/>
      </c>
      <c r="E6" s="103">
        <f>SUM('04_Продажи'!AL15:AW15)/'01_Вводные'!$B$25</f>
        <v/>
      </c>
      <c r="F6" s="103">
        <f>SUM('04_Продажи'!AX15:BI15)/'01_Вводные'!$B$25</f>
        <v/>
      </c>
      <c r="G6" s="117">
        <f>SUM(B6:F6)</f>
        <v/>
      </c>
      <c r="H6" s="104" t="inlineStr">
        <is>
          <t>Требуемый объём, не гарантия лидов от ФК.</t>
        </is>
      </c>
    </row>
    <row r="7" ht="26" customHeight="1">
      <c r="A7" s="104" t="inlineStr">
        <is>
          <t>Лиды, целый операционный ориентир</t>
        </is>
      </c>
      <c r="B7" s="103">
        <f>SUM('04_Продажи'!B17:M17)</f>
        <v/>
      </c>
      <c r="C7" s="103">
        <f>SUM('04_Продажи'!N17:Y17)</f>
        <v/>
      </c>
      <c r="D7" s="103">
        <f>SUM('04_Продажи'!Z17:AK17)</f>
        <v/>
      </c>
      <c r="E7" s="103">
        <f>SUM('04_Продажи'!AL17:AW17)</f>
        <v/>
      </c>
      <c r="F7" s="103">
        <f>SUM('04_Продажи'!AX17:BI17)</f>
        <v/>
      </c>
      <c r="G7" s="117">
        <f>SUM(B7:F7)</f>
        <v/>
      </c>
      <c r="H7" s="104" t="n"/>
    </row>
    <row r="8" ht="26" customHeight="1">
      <c r="A8" s="104" t="inlineStr">
        <is>
          <t>Оплаченные продажи — финансовый план</t>
        </is>
      </c>
      <c r="B8" s="103">
        <f>SUM('04_Продажи'!B15:M15)</f>
        <v/>
      </c>
      <c r="C8" s="103">
        <f>SUM('04_Продажи'!N15:Y15)</f>
        <v/>
      </c>
      <c r="D8" s="103">
        <f>SUM('04_Продажи'!Z15:AK15)</f>
        <v/>
      </c>
      <c r="E8" s="103">
        <f>SUM('04_Продажи'!AL15:AW15)</f>
        <v/>
      </c>
      <c r="F8" s="103">
        <f>SUM('04_Продажи'!AX15:BI15)</f>
        <v/>
      </c>
      <c r="G8" s="117">
        <f>SUM(B8:F8)</f>
        <v/>
      </c>
      <c r="H8" s="104" t="n"/>
    </row>
    <row r="9" ht="26" customHeight="1">
      <c r="A9" s="104" t="inlineStr">
        <is>
          <t>Продажи — целый операционный ориентир</t>
        </is>
      </c>
      <c r="B9" s="103">
        <f>SUM('04_Продажи'!B16:M16)</f>
        <v/>
      </c>
      <c r="C9" s="103">
        <f>SUM('04_Продажи'!N16:Y16)</f>
        <v/>
      </c>
      <c r="D9" s="103">
        <f>SUM('04_Продажи'!Z16:AK16)</f>
        <v/>
      </c>
      <c r="E9" s="103">
        <f>SUM('04_Продажи'!AL16:AW16)</f>
        <v/>
      </c>
      <c r="F9" s="103">
        <f>SUM('04_Продажи'!AX16:BI16)</f>
        <v/>
      </c>
      <c r="G9" s="117">
        <f>SUM(B9:F9)</f>
        <v/>
      </c>
      <c r="H9" s="104" t="inlineStr">
        <is>
          <t>Округление накопленного плана; сумма сезона сохранена.</t>
        </is>
      </c>
    </row>
    <row r="10" ht="26" customHeight="1">
      <c r="A10" s="104" t="inlineStr">
        <is>
          <t>Открытия школ</t>
        </is>
      </c>
      <c r="B10" s="103">
        <f>SUM('04_Продажи'!B18:M18)</f>
        <v/>
      </c>
      <c r="C10" s="103">
        <f>SUM('04_Продажи'!N18:Y18)</f>
        <v/>
      </c>
      <c r="D10" s="103">
        <f>SUM('04_Продажи'!Z18:AK18)</f>
        <v/>
      </c>
      <c r="E10" s="103">
        <f>SUM('04_Продажи'!AL18:AW18)</f>
        <v/>
      </c>
      <c r="F10" s="103">
        <f>SUM('04_Продажи'!AX18:BI18)</f>
        <v/>
      </c>
      <c r="G10" s="117">
        <f>SUM(B10:F10)</f>
        <v/>
      </c>
      <c r="H10" s="104" t="n"/>
    </row>
    <row r="11" ht="26" customHeight="1">
      <c r="A11" s="104" t="inlineStr">
        <is>
          <t>Подключения школ к ERP</t>
        </is>
      </c>
      <c r="B11" s="103">
        <f>SUM('06_Сеть_и_дети'!B43:M43)</f>
        <v/>
      </c>
      <c r="C11" s="103">
        <f>SUM('06_Сеть_и_дети'!N43:Y43)</f>
        <v/>
      </c>
      <c r="D11" s="103">
        <f>SUM('06_Сеть_и_дети'!Z43:AK43)</f>
        <v/>
      </c>
      <c r="E11" s="103">
        <f>SUM('06_Сеть_и_дети'!AL43:AW43)</f>
        <v/>
      </c>
      <c r="F11" s="103">
        <f>SUM('06_Сеть_и_дети'!AX43:BI43)</f>
        <v/>
      </c>
      <c r="G11" s="117">
        <f>SUM(B11:F11)</f>
        <v/>
      </c>
      <c r="H11" s="104" t="n"/>
    </row>
    <row r="12" ht="26" customHeight="1">
      <c r="A12" s="104" t="inlineStr">
        <is>
          <t>Продано, но ещё не открыто на конец</t>
        </is>
      </c>
      <c r="B12" s="103">
        <f>SUM('04_Продажи'!$B$15:M15)-SUM('04_Продажи'!$B$18:M18)</f>
        <v/>
      </c>
      <c r="C12" s="103">
        <f>SUM('04_Продажи'!$B$15:Y15)-SUM('04_Продажи'!$B$18:Y18)</f>
        <v/>
      </c>
      <c r="D12" s="103">
        <f>SUM('04_Продажи'!$B$15:AK15)-SUM('04_Продажи'!$B$18:AK18)</f>
        <v/>
      </c>
      <c r="E12" s="103">
        <f>SUM('04_Продажи'!$B$15:AW15)-SUM('04_Продажи'!$B$18:AW18)</f>
        <v/>
      </c>
      <c r="F12" s="103">
        <f>SUM('04_Продажи'!$B$15:BI15)-SUM('04_Продажи'!$B$18:BI18)</f>
        <v/>
      </c>
      <c r="G12" s="117">
        <f>F12</f>
        <v/>
      </c>
      <c r="H12" s="104" t="inlineStr">
        <is>
          <t>Хвост последнего сезона не потерян: запуск за горизонтом.</t>
        </is>
      </c>
    </row>
    <row r="13" ht="26" customHeight="1">
      <c r="A13" s="104" t="inlineStr">
        <is>
          <t>Таргетированная реклама, ₽</t>
        </is>
      </c>
      <c r="B13" s="103">
        <f>SUM('04_Продажи'!B21:M21)</f>
        <v/>
      </c>
      <c r="C13" s="103">
        <f>SUM('04_Продажи'!N21:Y21)</f>
        <v/>
      </c>
      <c r="D13" s="103">
        <f>SUM('04_Продажи'!Z21:AK21)</f>
        <v/>
      </c>
      <c r="E13" s="103">
        <f>SUM('04_Продажи'!AL21:AW21)</f>
        <v/>
      </c>
      <c r="F13" s="103">
        <f>SUM('04_Продажи'!AX21:BI21)</f>
        <v/>
      </c>
      <c r="G13" s="117">
        <f>SUM(B13:F13)</f>
        <v/>
      </c>
      <c r="H13" s="104" t="n"/>
    </row>
    <row r="14" ht="26" customHeight="1">
      <c r="A14" s="104" t="inlineStr">
        <is>
          <t>Все затраты привлечения, ₽</t>
        </is>
      </c>
      <c r="B14" s="103">
        <f>SUM('04_Продажи'!B23:M23)</f>
        <v/>
      </c>
      <c r="C14" s="103">
        <f>SUM('04_Продажи'!N23:Y23)</f>
        <v/>
      </c>
      <c r="D14" s="103">
        <f>SUM('04_Продажи'!Z23:AK23)</f>
        <v/>
      </c>
      <c r="E14" s="103">
        <f>SUM('04_Продажи'!AL23:AW23)</f>
        <v/>
      </c>
      <c r="F14" s="103">
        <f>SUM('04_Продажи'!AX23:BI23)</f>
        <v/>
      </c>
      <c r="G14" s="117">
        <f>SUM(B14:F14)</f>
        <v/>
      </c>
      <c r="H14" s="104" t="n"/>
    </row>
    <row r="15" ht="26" customHeight="1">
      <c r="A15" s="104" t="inlineStr">
        <is>
          <t>Конверсия лид → оплаченная продажа</t>
        </is>
      </c>
      <c r="B15" s="116">
        <f>'01_Вводные'!$B$25</f>
        <v/>
      </c>
      <c r="C15" s="116">
        <f>'01_Вводные'!$B$25</f>
        <v/>
      </c>
      <c r="D15" s="116">
        <f>'01_Вводные'!$B$25</f>
        <v/>
      </c>
      <c r="E15" s="116">
        <f>'01_Вводные'!$B$25</f>
        <v/>
      </c>
      <c r="F15" s="116">
        <f>'01_Вводные'!$B$25</f>
        <v/>
      </c>
      <c r="G15" s="118">
        <f>F15</f>
        <v/>
      </c>
      <c r="H15" s="104" t="n"/>
    </row>
    <row r="16"/>
    <row r="17"/>
    <row r="18" ht="27" customHeight="1">
      <c r="A18" s="60" t="inlineStr">
        <is>
          <t>Помесячная воронка</t>
        </is>
      </c>
    </row>
    <row r="19" ht="33" customHeight="1">
      <c r="A19" s="87" t="inlineStr">
        <is>
          <t>Показатель</t>
        </is>
      </c>
      <c r="B19" s="119">
        <f>'04_Продажи'!B11</f>
        <v/>
      </c>
      <c r="C19" s="119">
        <f>'04_Продажи'!C11</f>
        <v/>
      </c>
      <c r="D19" s="119">
        <f>'04_Продажи'!D11</f>
        <v/>
      </c>
      <c r="E19" s="119">
        <f>'04_Продажи'!E11</f>
        <v/>
      </c>
      <c r="F19" s="119">
        <f>'04_Продажи'!F11</f>
        <v/>
      </c>
      <c r="G19" s="119">
        <f>'04_Продажи'!G11</f>
        <v/>
      </c>
      <c r="H19" s="119">
        <f>'04_Продажи'!H11</f>
        <v/>
      </c>
      <c r="I19" s="120">
        <f>'04_Продажи'!I11</f>
        <v/>
      </c>
      <c r="J19" s="120">
        <f>'04_Продажи'!J11</f>
        <v/>
      </c>
      <c r="K19" s="120">
        <f>'04_Продажи'!K11</f>
        <v/>
      </c>
      <c r="L19" s="120">
        <f>'04_Продажи'!L11</f>
        <v/>
      </c>
      <c r="M19" s="120">
        <f>'04_Продажи'!M11</f>
        <v/>
      </c>
      <c r="N19" s="120">
        <f>'04_Продажи'!N11</f>
        <v/>
      </c>
      <c r="O19" s="120">
        <f>'04_Продажи'!O11</f>
        <v/>
      </c>
      <c r="P19" s="120">
        <f>'04_Продажи'!P11</f>
        <v/>
      </c>
      <c r="Q19" s="120">
        <f>'04_Продажи'!Q11</f>
        <v/>
      </c>
      <c r="R19" s="120">
        <f>'04_Продажи'!R11</f>
        <v/>
      </c>
      <c r="S19" s="120">
        <f>'04_Продажи'!S11</f>
        <v/>
      </c>
      <c r="T19" s="120">
        <f>'04_Продажи'!T11</f>
        <v/>
      </c>
      <c r="U19" s="120">
        <f>'04_Продажи'!U11</f>
        <v/>
      </c>
      <c r="V19" s="120">
        <f>'04_Продажи'!V11</f>
        <v/>
      </c>
      <c r="W19" s="120">
        <f>'04_Продажи'!W11</f>
        <v/>
      </c>
      <c r="X19" s="120">
        <f>'04_Продажи'!X11</f>
        <v/>
      </c>
      <c r="Y19" s="120">
        <f>'04_Продажи'!Y11</f>
        <v/>
      </c>
      <c r="Z19" s="120">
        <f>'04_Продажи'!Z11</f>
        <v/>
      </c>
      <c r="AA19" s="120">
        <f>'04_Продажи'!AA11</f>
        <v/>
      </c>
      <c r="AB19" s="120">
        <f>'04_Продажи'!AB11</f>
        <v/>
      </c>
      <c r="AC19" s="120">
        <f>'04_Продажи'!AC11</f>
        <v/>
      </c>
      <c r="AD19" s="120">
        <f>'04_Продажи'!AD11</f>
        <v/>
      </c>
      <c r="AE19" s="120">
        <f>'04_Продажи'!AE11</f>
        <v/>
      </c>
      <c r="AF19" s="120">
        <f>'04_Продажи'!AF11</f>
        <v/>
      </c>
      <c r="AG19" s="120">
        <f>'04_Продажи'!AG11</f>
        <v/>
      </c>
      <c r="AH19" s="120">
        <f>'04_Продажи'!AH11</f>
        <v/>
      </c>
      <c r="AI19" s="120">
        <f>'04_Продажи'!AI11</f>
        <v/>
      </c>
      <c r="AJ19" s="120">
        <f>'04_Продажи'!AJ11</f>
        <v/>
      </c>
      <c r="AK19" s="120">
        <f>'04_Продажи'!AK11</f>
        <v/>
      </c>
      <c r="AL19" s="120">
        <f>'04_Продажи'!AL11</f>
        <v/>
      </c>
      <c r="AM19" s="120">
        <f>'04_Продажи'!AM11</f>
        <v/>
      </c>
      <c r="AN19" s="120">
        <f>'04_Продажи'!AN11</f>
        <v/>
      </c>
      <c r="AO19" s="120">
        <f>'04_Продажи'!AO11</f>
        <v/>
      </c>
      <c r="AP19" s="120">
        <f>'04_Продажи'!AP11</f>
        <v/>
      </c>
      <c r="AQ19" s="120">
        <f>'04_Продажи'!AQ11</f>
        <v/>
      </c>
      <c r="AR19" s="120">
        <f>'04_Продажи'!AR11</f>
        <v/>
      </c>
      <c r="AS19" s="120">
        <f>'04_Продажи'!AS11</f>
        <v/>
      </c>
      <c r="AT19" s="120">
        <f>'04_Продажи'!AT11</f>
        <v/>
      </c>
      <c r="AU19" s="120">
        <f>'04_Продажи'!AU11</f>
        <v/>
      </c>
      <c r="AV19" s="120">
        <f>'04_Продажи'!AV11</f>
        <v/>
      </c>
      <c r="AW19" s="120">
        <f>'04_Продажи'!AW11</f>
        <v/>
      </c>
      <c r="AX19" s="120">
        <f>'04_Продажи'!AX11</f>
        <v/>
      </c>
      <c r="AY19" s="120">
        <f>'04_Продажи'!AY11</f>
        <v/>
      </c>
      <c r="AZ19" s="120">
        <f>'04_Продажи'!AZ11</f>
        <v/>
      </c>
      <c r="BA19" s="120">
        <f>'04_Продажи'!BA11</f>
        <v/>
      </c>
      <c r="BB19" s="120">
        <f>'04_Продажи'!BB11</f>
        <v/>
      </c>
      <c r="BC19" s="120">
        <f>'04_Продажи'!BC11</f>
        <v/>
      </c>
      <c r="BD19" s="120">
        <f>'04_Продажи'!BD11</f>
        <v/>
      </c>
      <c r="BE19" s="120">
        <f>'04_Продажи'!BE11</f>
        <v/>
      </c>
      <c r="BF19" s="120">
        <f>'04_Продажи'!BF11</f>
        <v/>
      </c>
      <c r="BG19" s="120">
        <f>'04_Продажи'!BG11</f>
        <v/>
      </c>
      <c r="BH19" s="120">
        <f>'04_Продажи'!BH11</f>
        <v/>
      </c>
      <c r="BI19" s="120">
        <f>'04_Продажи'!BI11</f>
        <v/>
      </c>
    </row>
    <row r="20" ht="26" customHeight="1">
      <c r="A20" s="104" t="inlineStr">
        <is>
          <t>Лиды, шт.</t>
        </is>
      </c>
      <c r="B20" s="103">
        <f>'04_Продажи'!B17</f>
        <v/>
      </c>
      <c r="C20" s="103">
        <f>'04_Продажи'!C17</f>
        <v/>
      </c>
      <c r="D20" s="103">
        <f>'04_Продажи'!D17</f>
        <v/>
      </c>
      <c r="E20" s="103">
        <f>'04_Продажи'!E17</f>
        <v/>
      </c>
      <c r="F20" s="103">
        <f>'04_Продажи'!F17</f>
        <v/>
      </c>
      <c r="G20" s="103">
        <f>'04_Продажи'!G17</f>
        <v/>
      </c>
      <c r="H20" s="103">
        <f>'04_Продажи'!H17</f>
        <v/>
      </c>
      <c r="I20" s="103">
        <f>'04_Продажи'!I17</f>
        <v/>
      </c>
      <c r="J20" s="103">
        <f>'04_Продажи'!J17</f>
        <v/>
      </c>
      <c r="K20" s="103">
        <f>'04_Продажи'!K17</f>
        <v/>
      </c>
      <c r="L20" s="103">
        <f>'04_Продажи'!L17</f>
        <v/>
      </c>
      <c r="M20" s="103">
        <f>'04_Продажи'!M17</f>
        <v/>
      </c>
      <c r="N20" s="103">
        <f>'04_Продажи'!N17</f>
        <v/>
      </c>
      <c r="O20" s="103">
        <f>'04_Продажи'!O17</f>
        <v/>
      </c>
      <c r="P20" s="103">
        <f>'04_Продажи'!P17</f>
        <v/>
      </c>
      <c r="Q20" s="103">
        <f>'04_Продажи'!Q17</f>
        <v/>
      </c>
      <c r="R20" s="103">
        <f>'04_Продажи'!R17</f>
        <v/>
      </c>
      <c r="S20" s="103">
        <f>'04_Продажи'!S17</f>
        <v/>
      </c>
      <c r="T20" s="103">
        <f>'04_Продажи'!T17</f>
        <v/>
      </c>
      <c r="U20" s="103">
        <f>'04_Продажи'!U17</f>
        <v/>
      </c>
      <c r="V20" s="103">
        <f>'04_Продажи'!V17</f>
        <v/>
      </c>
      <c r="W20" s="103">
        <f>'04_Продажи'!W17</f>
        <v/>
      </c>
      <c r="X20" s="103">
        <f>'04_Продажи'!X17</f>
        <v/>
      </c>
      <c r="Y20" s="103">
        <f>'04_Продажи'!Y17</f>
        <v/>
      </c>
      <c r="Z20" s="103">
        <f>'04_Продажи'!Z17</f>
        <v/>
      </c>
      <c r="AA20" s="103">
        <f>'04_Продажи'!AA17</f>
        <v/>
      </c>
      <c r="AB20" s="103">
        <f>'04_Продажи'!AB17</f>
        <v/>
      </c>
      <c r="AC20" s="103">
        <f>'04_Продажи'!AC17</f>
        <v/>
      </c>
      <c r="AD20" s="103">
        <f>'04_Продажи'!AD17</f>
        <v/>
      </c>
      <c r="AE20" s="103">
        <f>'04_Продажи'!AE17</f>
        <v/>
      </c>
      <c r="AF20" s="103">
        <f>'04_Продажи'!AF17</f>
        <v/>
      </c>
      <c r="AG20" s="103">
        <f>'04_Продажи'!AG17</f>
        <v/>
      </c>
      <c r="AH20" s="103">
        <f>'04_Продажи'!AH17</f>
        <v/>
      </c>
      <c r="AI20" s="103">
        <f>'04_Продажи'!AI17</f>
        <v/>
      </c>
      <c r="AJ20" s="103">
        <f>'04_Продажи'!AJ17</f>
        <v/>
      </c>
      <c r="AK20" s="103">
        <f>'04_Продажи'!AK17</f>
        <v/>
      </c>
      <c r="AL20" s="103">
        <f>'04_Продажи'!AL17</f>
        <v/>
      </c>
      <c r="AM20" s="103">
        <f>'04_Продажи'!AM17</f>
        <v/>
      </c>
      <c r="AN20" s="103">
        <f>'04_Продажи'!AN17</f>
        <v/>
      </c>
      <c r="AO20" s="103">
        <f>'04_Продажи'!AO17</f>
        <v/>
      </c>
      <c r="AP20" s="103">
        <f>'04_Продажи'!AP17</f>
        <v/>
      </c>
      <c r="AQ20" s="103">
        <f>'04_Продажи'!AQ17</f>
        <v/>
      </c>
      <c r="AR20" s="103">
        <f>'04_Продажи'!AR17</f>
        <v/>
      </c>
      <c r="AS20" s="103">
        <f>'04_Продажи'!AS17</f>
        <v/>
      </c>
      <c r="AT20" s="103">
        <f>'04_Продажи'!AT17</f>
        <v/>
      </c>
      <c r="AU20" s="103">
        <f>'04_Продажи'!AU17</f>
        <v/>
      </c>
      <c r="AV20" s="103">
        <f>'04_Продажи'!AV17</f>
        <v/>
      </c>
      <c r="AW20" s="103">
        <f>'04_Продажи'!AW17</f>
        <v/>
      </c>
      <c r="AX20" s="103">
        <f>'04_Продажи'!AX17</f>
        <v/>
      </c>
      <c r="AY20" s="103">
        <f>'04_Продажи'!AY17</f>
        <v/>
      </c>
      <c r="AZ20" s="103">
        <f>'04_Продажи'!AZ17</f>
        <v/>
      </c>
      <c r="BA20" s="103">
        <f>'04_Продажи'!BA17</f>
        <v/>
      </c>
      <c r="BB20" s="103">
        <f>'04_Продажи'!BB17</f>
        <v/>
      </c>
      <c r="BC20" s="103">
        <f>'04_Продажи'!BC17</f>
        <v/>
      </c>
      <c r="BD20" s="103">
        <f>'04_Продажи'!BD17</f>
        <v/>
      </c>
      <c r="BE20" s="103">
        <f>'04_Продажи'!BE17</f>
        <v/>
      </c>
      <c r="BF20" s="103">
        <f>'04_Продажи'!BF17</f>
        <v/>
      </c>
      <c r="BG20" s="103">
        <f>'04_Продажи'!BG17</f>
        <v/>
      </c>
      <c r="BH20" s="103">
        <f>'04_Продажи'!BH17</f>
        <v/>
      </c>
      <c r="BI20" s="121">
        <f>'04_Продажи'!BI17</f>
        <v/>
      </c>
    </row>
    <row r="21" ht="26" customHeight="1">
      <c r="A21" s="104" t="inlineStr">
        <is>
          <t>Оплаченные продажи</t>
        </is>
      </c>
      <c r="B21" s="103">
        <f>'04_Продажи'!B15</f>
        <v/>
      </c>
      <c r="C21" s="103">
        <f>'04_Продажи'!C15</f>
        <v/>
      </c>
      <c r="D21" s="103">
        <f>'04_Продажи'!D15</f>
        <v/>
      </c>
      <c r="E21" s="103">
        <f>'04_Продажи'!E15</f>
        <v/>
      </c>
      <c r="F21" s="103">
        <f>'04_Продажи'!F15</f>
        <v/>
      </c>
      <c r="G21" s="103">
        <f>'04_Продажи'!G15</f>
        <v/>
      </c>
      <c r="H21" s="103">
        <f>'04_Продажи'!H15</f>
        <v/>
      </c>
      <c r="I21" s="103">
        <f>'04_Продажи'!I15</f>
        <v/>
      </c>
      <c r="J21" s="103">
        <f>'04_Продажи'!J15</f>
        <v/>
      </c>
      <c r="K21" s="103">
        <f>'04_Продажи'!K15</f>
        <v/>
      </c>
      <c r="L21" s="103">
        <f>'04_Продажи'!L15</f>
        <v/>
      </c>
      <c r="M21" s="103">
        <f>'04_Продажи'!M15</f>
        <v/>
      </c>
      <c r="N21" s="103">
        <f>'04_Продажи'!N15</f>
        <v/>
      </c>
      <c r="O21" s="103">
        <f>'04_Продажи'!O15</f>
        <v/>
      </c>
      <c r="P21" s="103">
        <f>'04_Продажи'!P15</f>
        <v/>
      </c>
      <c r="Q21" s="103">
        <f>'04_Продажи'!Q15</f>
        <v/>
      </c>
      <c r="R21" s="103">
        <f>'04_Продажи'!R15</f>
        <v/>
      </c>
      <c r="S21" s="103">
        <f>'04_Продажи'!S15</f>
        <v/>
      </c>
      <c r="T21" s="103">
        <f>'04_Продажи'!T15</f>
        <v/>
      </c>
      <c r="U21" s="103">
        <f>'04_Продажи'!U15</f>
        <v/>
      </c>
      <c r="V21" s="103">
        <f>'04_Продажи'!V15</f>
        <v/>
      </c>
      <c r="W21" s="103">
        <f>'04_Продажи'!W15</f>
        <v/>
      </c>
      <c r="X21" s="103">
        <f>'04_Продажи'!X15</f>
        <v/>
      </c>
      <c r="Y21" s="103">
        <f>'04_Продажи'!Y15</f>
        <v/>
      </c>
      <c r="Z21" s="103">
        <f>'04_Продажи'!Z15</f>
        <v/>
      </c>
      <c r="AA21" s="103">
        <f>'04_Продажи'!AA15</f>
        <v/>
      </c>
      <c r="AB21" s="103">
        <f>'04_Продажи'!AB15</f>
        <v/>
      </c>
      <c r="AC21" s="103">
        <f>'04_Продажи'!AC15</f>
        <v/>
      </c>
      <c r="AD21" s="103">
        <f>'04_Продажи'!AD15</f>
        <v/>
      </c>
      <c r="AE21" s="103">
        <f>'04_Продажи'!AE15</f>
        <v/>
      </c>
      <c r="AF21" s="103">
        <f>'04_Продажи'!AF15</f>
        <v/>
      </c>
      <c r="AG21" s="103">
        <f>'04_Продажи'!AG15</f>
        <v/>
      </c>
      <c r="AH21" s="103">
        <f>'04_Продажи'!AH15</f>
        <v/>
      </c>
      <c r="AI21" s="103">
        <f>'04_Продажи'!AI15</f>
        <v/>
      </c>
      <c r="AJ21" s="103">
        <f>'04_Продажи'!AJ15</f>
        <v/>
      </c>
      <c r="AK21" s="103">
        <f>'04_Продажи'!AK15</f>
        <v/>
      </c>
      <c r="AL21" s="103">
        <f>'04_Продажи'!AL15</f>
        <v/>
      </c>
      <c r="AM21" s="103">
        <f>'04_Продажи'!AM15</f>
        <v/>
      </c>
      <c r="AN21" s="103">
        <f>'04_Продажи'!AN15</f>
        <v/>
      </c>
      <c r="AO21" s="103">
        <f>'04_Продажи'!AO15</f>
        <v/>
      </c>
      <c r="AP21" s="103">
        <f>'04_Продажи'!AP15</f>
        <v/>
      </c>
      <c r="AQ21" s="103">
        <f>'04_Продажи'!AQ15</f>
        <v/>
      </c>
      <c r="AR21" s="103">
        <f>'04_Продажи'!AR15</f>
        <v/>
      </c>
      <c r="AS21" s="103">
        <f>'04_Продажи'!AS15</f>
        <v/>
      </c>
      <c r="AT21" s="103">
        <f>'04_Продажи'!AT15</f>
        <v/>
      </c>
      <c r="AU21" s="103">
        <f>'04_Продажи'!AU15</f>
        <v/>
      </c>
      <c r="AV21" s="103">
        <f>'04_Продажи'!AV15</f>
        <v/>
      </c>
      <c r="AW21" s="103">
        <f>'04_Продажи'!AW15</f>
        <v/>
      </c>
      <c r="AX21" s="103">
        <f>'04_Продажи'!AX15</f>
        <v/>
      </c>
      <c r="AY21" s="103">
        <f>'04_Продажи'!AY15</f>
        <v/>
      </c>
      <c r="AZ21" s="103">
        <f>'04_Продажи'!AZ15</f>
        <v/>
      </c>
      <c r="BA21" s="103">
        <f>'04_Продажи'!BA15</f>
        <v/>
      </c>
      <c r="BB21" s="103">
        <f>'04_Продажи'!BB15</f>
        <v/>
      </c>
      <c r="BC21" s="103">
        <f>'04_Продажи'!BC15</f>
        <v/>
      </c>
      <c r="BD21" s="103">
        <f>'04_Продажи'!BD15</f>
        <v/>
      </c>
      <c r="BE21" s="103">
        <f>'04_Продажи'!BE15</f>
        <v/>
      </c>
      <c r="BF21" s="103">
        <f>'04_Продажи'!BF15</f>
        <v/>
      </c>
      <c r="BG21" s="103">
        <f>'04_Продажи'!BG15</f>
        <v/>
      </c>
      <c r="BH21" s="103">
        <f>'04_Продажи'!BH15</f>
        <v/>
      </c>
      <c r="BI21" s="121">
        <f>'04_Продажи'!BI15</f>
        <v/>
      </c>
    </row>
    <row r="22" ht="26" customHeight="1">
      <c r="A22" s="104" t="inlineStr">
        <is>
          <t>Продажи целые</t>
        </is>
      </c>
      <c r="B22" s="103">
        <f>'04_Продажи'!B16</f>
        <v/>
      </c>
      <c r="C22" s="103">
        <f>'04_Продажи'!C16</f>
        <v/>
      </c>
      <c r="D22" s="103">
        <f>'04_Продажи'!D16</f>
        <v/>
      </c>
      <c r="E22" s="103">
        <f>'04_Продажи'!E16</f>
        <v/>
      </c>
      <c r="F22" s="103">
        <f>'04_Продажи'!F16</f>
        <v/>
      </c>
      <c r="G22" s="103">
        <f>'04_Продажи'!G16</f>
        <v/>
      </c>
      <c r="H22" s="103">
        <f>'04_Продажи'!H16</f>
        <v/>
      </c>
      <c r="I22" s="103">
        <f>'04_Продажи'!I16</f>
        <v/>
      </c>
      <c r="J22" s="103">
        <f>'04_Продажи'!J16</f>
        <v/>
      </c>
      <c r="K22" s="103">
        <f>'04_Продажи'!K16</f>
        <v/>
      </c>
      <c r="L22" s="103">
        <f>'04_Продажи'!L16</f>
        <v/>
      </c>
      <c r="M22" s="103">
        <f>'04_Продажи'!M16</f>
        <v/>
      </c>
      <c r="N22" s="103">
        <f>'04_Продажи'!N16</f>
        <v/>
      </c>
      <c r="O22" s="103">
        <f>'04_Продажи'!O16</f>
        <v/>
      </c>
      <c r="P22" s="103">
        <f>'04_Продажи'!P16</f>
        <v/>
      </c>
      <c r="Q22" s="103">
        <f>'04_Продажи'!Q16</f>
        <v/>
      </c>
      <c r="R22" s="103">
        <f>'04_Продажи'!R16</f>
        <v/>
      </c>
      <c r="S22" s="103">
        <f>'04_Продажи'!S16</f>
        <v/>
      </c>
      <c r="T22" s="103">
        <f>'04_Продажи'!T16</f>
        <v/>
      </c>
      <c r="U22" s="103">
        <f>'04_Продажи'!U16</f>
        <v/>
      </c>
      <c r="V22" s="103">
        <f>'04_Продажи'!V16</f>
        <v/>
      </c>
      <c r="W22" s="103">
        <f>'04_Продажи'!W16</f>
        <v/>
      </c>
      <c r="X22" s="103">
        <f>'04_Продажи'!X16</f>
        <v/>
      </c>
      <c r="Y22" s="103">
        <f>'04_Продажи'!Y16</f>
        <v/>
      </c>
      <c r="Z22" s="103">
        <f>'04_Продажи'!Z16</f>
        <v/>
      </c>
      <c r="AA22" s="103">
        <f>'04_Продажи'!AA16</f>
        <v/>
      </c>
      <c r="AB22" s="103">
        <f>'04_Продажи'!AB16</f>
        <v/>
      </c>
      <c r="AC22" s="103">
        <f>'04_Продажи'!AC16</f>
        <v/>
      </c>
      <c r="AD22" s="103">
        <f>'04_Продажи'!AD16</f>
        <v/>
      </c>
      <c r="AE22" s="103">
        <f>'04_Продажи'!AE16</f>
        <v/>
      </c>
      <c r="AF22" s="103">
        <f>'04_Продажи'!AF16</f>
        <v/>
      </c>
      <c r="AG22" s="103">
        <f>'04_Продажи'!AG16</f>
        <v/>
      </c>
      <c r="AH22" s="103">
        <f>'04_Продажи'!AH16</f>
        <v/>
      </c>
      <c r="AI22" s="103">
        <f>'04_Продажи'!AI16</f>
        <v/>
      </c>
      <c r="AJ22" s="103">
        <f>'04_Продажи'!AJ16</f>
        <v/>
      </c>
      <c r="AK22" s="103">
        <f>'04_Продажи'!AK16</f>
        <v/>
      </c>
      <c r="AL22" s="103">
        <f>'04_Продажи'!AL16</f>
        <v/>
      </c>
      <c r="AM22" s="103">
        <f>'04_Продажи'!AM16</f>
        <v/>
      </c>
      <c r="AN22" s="103">
        <f>'04_Продажи'!AN16</f>
        <v/>
      </c>
      <c r="AO22" s="103">
        <f>'04_Продажи'!AO16</f>
        <v/>
      </c>
      <c r="AP22" s="103">
        <f>'04_Продажи'!AP16</f>
        <v/>
      </c>
      <c r="AQ22" s="103">
        <f>'04_Продажи'!AQ16</f>
        <v/>
      </c>
      <c r="AR22" s="103">
        <f>'04_Продажи'!AR16</f>
        <v/>
      </c>
      <c r="AS22" s="103">
        <f>'04_Продажи'!AS16</f>
        <v/>
      </c>
      <c r="AT22" s="103">
        <f>'04_Продажи'!AT16</f>
        <v/>
      </c>
      <c r="AU22" s="103">
        <f>'04_Продажи'!AU16</f>
        <v/>
      </c>
      <c r="AV22" s="103">
        <f>'04_Продажи'!AV16</f>
        <v/>
      </c>
      <c r="AW22" s="103">
        <f>'04_Продажи'!AW16</f>
        <v/>
      </c>
      <c r="AX22" s="103">
        <f>'04_Продажи'!AX16</f>
        <v/>
      </c>
      <c r="AY22" s="103">
        <f>'04_Продажи'!AY16</f>
        <v/>
      </c>
      <c r="AZ22" s="103">
        <f>'04_Продажи'!AZ16</f>
        <v/>
      </c>
      <c r="BA22" s="103">
        <f>'04_Продажи'!BA16</f>
        <v/>
      </c>
      <c r="BB22" s="103">
        <f>'04_Продажи'!BB16</f>
        <v/>
      </c>
      <c r="BC22" s="103">
        <f>'04_Продажи'!BC16</f>
        <v/>
      </c>
      <c r="BD22" s="103">
        <f>'04_Продажи'!BD16</f>
        <v/>
      </c>
      <c r="BE22" s="103">
        <f>'04_Продажи'!BE16</f>
        <v/>
      </c>
      <c r="BF22" s="103">
        <f>'04_Продажи'!BF16</f>
        <v/>
      </c>
      <c r="BG22" s="103">
        <f>'04_Продажи'!BG16</f>
        <v/>
      </c>
      <c r="BH22" s="103">
        <f>'04_Продажи'!BH16</f>
        <v/>
      </c>
      <c r="BI22" s="121">
        <f>'04_Продажи'!BI16</f>
        <v/>
      </c>
    </row>
    <row r="23" ht="26" customHeight="1">
      <c r="A23" s="104" t="inlineStr">
        <is>
          <t>Открытия школ</t>
        </is>
      </c>
      <c r="B23" s="103">
        <f>'04_Продажи'!B18</f>
        <v/>
      </c>
      <c r="C23" s="103">
        <f>'04_Продажи'!C18</f>
        <v/>
      </c>
      <c r="D23" s="103">
        <f>'04_Продажи'!D18</f>
        <v/>
      </c>
      <c r="E23" s="103">
        <f>'04_Продажи'!E18</f>
        <v/>
      </c>
      <c r="F23" s="103">
        <f>'04_Продажи'!F18</f>
        <v/>
      </c>
      <c r="G23" s="103">
        <f>'04_Продажи'!G18</f>
        <v/>
      </c>
      <c r="H23" s="103">
        <f>'04_Продажи'!H18</f>
        <v/>
      </c>
      <c r="I23" s="103">
        <f>'04_Продажи'!I18</f>
        <v/>
      </c>
      <c r="J23" s="103">
        <f>'04_Продажи'!J18</f>
        <v/>
      </c>
      <c r="K23" s="103">
        <f>'04_Продажи'!K18</f>
        <v/>
      </c>
      <c r="L23" s="103">
        <f>'04_Продажи'!L18</f>
        <v/>
      </c>
      <c r="M23" s="103">
        <f>'04_Продажи'!M18</f>
        <v/>
      </c>
      <c r="N23" s="103">
        <f>'04_Продажи'!N18</f>
        <v/>
      </c>
      <c r="O23" s="103">
        <f>'04_Продажи'!O18</f>
        <v/>
      </c>
      <c r="P23" s="103">
        <f>'04_Продажи'!P18</f>
        <v/>
      </c>
      <c r="Q23" s="103">
        <f>'04_Продажи'!Q18</f>
        <v/>
      </c>
      <c r="R23" s="103">
        <f>'04_Продажи'!R18</f>
        <v/>
      </c>
      <c r="S23" s="103">
        <f>'04_Продажи'!S18</f>
        <v/>
      </c>
      <c r="T23" s="103">
        <f>'04_Продажи'!T18</f>
        <v/>
      </c>
      <c r="U23" s="103">
        <f>'04_Продажи'!U18</f>
        <v/>
      </c>
      <c r="V23" s="103">
        <f>'04_Продажи'!V18</f>
        <v/>
      </c>
      <c r="W23" s="103">
        <f>'04_Продажи'!W18</f>
        <v/>
      </c>
      <c r="X23" s="103">
        <f>'04_Продажи'!X18</f>
        <v/>
      </c>
      <c r="Y23" s="103">
        <f>'04_Продажи'!Y18</f>
        <v/>
      </c>
      <c r="Z23" s="103">
        <f>'04_Продажи'!Z18</f>
        <v/>
      </c>
      <c r="AA23" s="103">
        <f>'04_Продажи'!AA18</f>
        <v/>
      </c>
      <c r="AB23" s="103">
        <f>'04_Продажи'!AB18</f>
        <v/>
      </c>
      <c r="AC23" s="103">
        <f>'04_Продажи'!AC18</f>
        <v/>
      </c>
      <c r="AD23" s="103">
        <f>'04_Продажи'!AD18</f>
        <v/>
      </c>
      <c r="AE23" s="103">
        <f>'04_Продажи'!AE18</f>
        <v/>
      </c>
      <c r="AF23" s="103">
        <f>'04_Продажи'!AF18</f>
        <v/>
      </c>
      <c r="AG23" s="103">
        <f>'04_Продажи'!AG18</f>
        <v/>
      </c>
      <c r="AH23" s="103">
        <f>'04_Продажи'!AH18</f>
        <v/>
      </c>
      <c r="AI23" s="103">
        <f>'04_Продажи'!AI18</f>
        <v/>
      </c>
      <c r="AJ23" s="103">
        <f>'04_Продажи'!AJ18</f>
        <v/>
      </c>
      <c r="AK23" s="103">
        <f>'04_Продажи'!AK18</f>
        <v/>
      </c>
      <c r="AL23" s="103">
        <f>'04_Продажи'!AL18</f>
        <v/>
      </c>
      <c r="AM23" s="103">
        <f>'04_Продажи'!AM18</f>
        <v/>
      </c>
      <c r="AN23" s="103">
        <f>'04_Продажи'!AN18</f>
        <v/>
      </c>
      <c r="AO23" s="103">
        <f>'04_Продажи'!AO18</f>
        <v/>
      </c>
      <c r="AP23" s="103">
        <f>'04_Продажи'!AP18</f>
        <v/>
      </c>
      <c r="AQ23" s="103">
        <f>'04_Продажи'!AQ18</f>
        <v/>
      </c>
      <c r="AR23" s="103">
        <f>'04_Продажи'!AR18</f>
        <v/>
      </c>
      <c r="AS23" s="103">
        <f>'04_Продажи'!AS18</f>
        <v/>
      </c>
      <c r="AT23" s="103">
        <f>'04_Продажи'!AT18</f>
        <v/>
      </c>
      <c r="AU23" s="103">
        <f>'04_Продажи'!AU18</f>
        <v/>
      </c>
      <c r="AV23" s="103">
        <f>'04_Продажи'!AV18</f>
        <v/>
      </c>
      <c r="AW23" s="103">
        <f>'04_Продажи'!AW18</f>
        <v/>
      </c>
      <c r="AX23" s="103">
        <f>'04_Продажи'!AX18</f>
        <v/>
      </c>
      <c r="AY23" s="103">
        <f>'04_Продажи'!AY18</f>
        <v/>
      </c>
      <c r="AZ23" s="103">
        <f>'04_Продажи'!AZ18</f>
        <v/>
      </c>
      <c r="BA23" s="103">
        <f>'04_Продажи'!BA18</f>
        <v/>
      </c>
      <c r="BB23" s="103">
        <f>'04_Продажи'!BB18</f>
        <v/>
      </c>
      <c r="BC23" s="103">
        <f>'04_Продажи'!BC18</f>
        <v/>
      </c>
      <c r="BD23" s="103">
        <f>'04_Продажи'!BD18</f>
        <v/>
      </c>
      <c r="BE23" s="103">
        <f>'04_Продажи'!BE18</f>
        <v/>
      </c>
      <c r="BF23" s="103">
        <f>'04_Продажи'!BF18</f>
        <v/>
      </c>
      <c r="BG23" s="103">
        <f>'04_Продажи'!BG18</f>
        <v/>
      </c>
      <c r="BH23" s="103">
        <f>'04_Продажи'!BH18</f>
        <v/>
      </c>
      <c r="BI23" s="121">
        <f>'04_Продажи'!BI18</f>
        <v/>
      </c>
    </row>
    <row r="24" ht="26" customHeight="1">
      <c r="A24" s="104" t="inlineStr">
        <is>
          <t>Подключения ERP</t>
        </is>
      </c>
      <c r="B24" s="103">
        <f>'06_Сеть_и_дети'!B43</f>
        <v/>
      </c>
      <c r="C24" s="103">
        <f>'06_Сеть_и_дети'!C43</f>
        <v/>
      </c>
      <c r="D24" s="103">
        <f>'06_Сеть_и_дети'!D43</f>
        <v/>
      </c>
      <c r="E24" s="103">
        <f>'06_Сеть_и_дети'!E43</f>
        <v/>
      </c>
      <c r="F24" s="103">
        <f>'06_Сеть_и_дети'!F43</f>
        <v/>
      </c>
      <c r="G24" s="103">
        <f>'06_Сеть_и_дети'!G43</f>
        <v/>
      </c>
      <c r="H24" s="103">
        <f>'06_Сеть_и_дети'!H43</f>
        <v/>
      </c>
      <c r="I24" s="103">
        <f>'06_Сеть_и_дети'!I43</f>
        <v/>
      </c>
      <c r="J24" s="103">
        <f>'06_Сеть_и_дети'!J43</f>
        <v/>
      </c>
      <c r="K24" s="103">
        <f>'06_Сеть_и_дети'!K43</f>
        <v/>
      </c>
      <c r="L24" s="103">
        <f>'06_Сеть_и_дети'!L43</f>
        <v/>
      </c>
      <c r="M24" s="103">
        <f>'06_Сеть_и_дети'!M43</f>
        <v/>
      </c>
      <c r="N24" s="103">
        <f>'06_Сеть_и_дети'!N43</f>
        <v/>
      </c>
      <c r="O24" s="103">
        <f>'06_Сеть_и_дети'!O43</f>
        <v/>
      </c>
      <c r="P24" s="103">
        <f>'06_Сеть_и_дети'!P43</f>
        <v/>
      </c>
      <c r="Q24" s="103">
        <f>'06_Сеть_и_дети'!Q43</f>
        <v/>
      </c>
      <c r="R24" s="103">
        <f>'06_Сеть_и_дети'!R43</f>
        <v/>
      </c>
      <c r="S24" s="103">
        <f>'06_Сеть_и_дети'!S43</f>
        <v/>
      </c>
      <c r="T24" s="103">
        <f>'06_Сеть_и_дети'!T43</f>
        <v/>
      </c>
      <c r="U24" s="103">
        <f>'06_Сеть_и_дети'!U43</f>
        <v/>
      </c>
      <c r="V24" s="103">
        <f>'06_Сеть_и_дети'!V43</f>
        <v/>
      </c>
      <c r="W24" s="103">
        <f>'06_Сеть_и_дети'!W43</f>
        <v/>
      </c>
      <c r="X24" s="103">
        <f>'06_Сеть_и_дети'!X43</f>
        <v/>
      </c>
      <c r="Y24" s="103">
        <f>'06_Сеть_и_дети'!Y43</f>
        <v/>
      </c>
      <c r="Z24" s="103">
        <f>'06_Сеть_и_дети'!Z43</f>
        <v/>
      </c>
      <c r="AA24" s="103">
        <f>'06_Сеть_и_дети'!AA43</f>
        <v/>
      </c>
      <c r="AB24" s="103">
        <f>'06_Сеть_и_дети'!AB43</f>
        <v/>
      </c>
      <c r="AC24" s="103">
        <f>'06_Сеть_и_дети'!AC43</f>
        <v/>
      </c>
      <c r="AD24" s="103">
        <f>'06_Сеть_и_дети'!AD43</f>
        <v/>
      </c>
      <c r="AE24" s="103">
        <f>'06_Сеть_и_дети'!AE43</f>
        <v/>
      </c>
      <c r="AF24" s="103">
        <f>'06_Сеть_и_дети'!AF43</f>
        <v/>
      </c>
      <c r="AG24" s="103">
        <f>'06_Сеть_и_дети'!AG43</f>
        <v/>
      </c>
      <c r="AH24" s="103">
        <f>'06_Сеть_и_дети'!AH43</f>
        <v/>
      </c>
      <c r="AI24" s="103">
        <f>'06_Сеть_и_дети'!AI43</f>
        <v/>
      </c>
      <c r="AJ24" s="103">
        <f>'06_Сеть_и_дети'!AJ43</f>
        <v/>
      </c>
      <c r="AK24" s="103">
        <f>'06_Сеть_и_дети'!AK43</f>
        <v/>
      </c>
      <c r="AL24" s="103">
        <f>'06_Сеть_и_дети'!AL43</f>
        <v/>
      </c>
      <c r="AM24" s="103">
        <f>'06_Сеть_и_дети'!AM43</f>
        <v/>
      </c>
      <c r="AN24" s="103">
        <f>'06_Сеть_и_дети'!AN43</f>
        <v/>
      </c>
      <c r="AO24" s="103">
        <f>'06_Сеть_и_дети'!AO43</f>
        <v/>
      </c>
      <c r="AP24" s="103">
        <f>'06_Сеть_и_дети'!AP43</f>
        <v/>
      </c>
      <c r="AQ24" s="103">
        <f>'06_Сеть_и_дети'!AQ43</f>
        <v/>
      </c>
      <c r="AR24" s="103">
        <f>'06_Сеть_и_дети'!AR43</f>
        <v/>
      </c>
      <c r="AS24" s="103">
        <f>'06_Сеть_и_дети'!AS43</f>
        <v/>
      </c>
      <c r="AT24" s="103">
        <f>'06_Сеть_и_дети'!AT43</f>
        <v/>
      </c>
      <c r="AU24" s="103">
        <f>'06_Сеть_и_дети'!AU43</f>
        <v/>
      </c>
      <c r="AV24" s="103">
        <f>'06_Сеть_и_дети'!AV43</f>
        <v/>
      </c>
      <c r="AW24" s="103">
        <f>'06_Сеть_и_дети'!AW43</f>
        <v/>
      </c>
      <c r="AX24" s="103">
        <f>'06_Сеть_и_дети'!AX43</f>
        <v/>
      </c>
      <c r="AY24" s="103">
        <f>'06_Сеть_и_дети'!AY43</f>
        <v/>
      </c>
      <c r="AZ24" s="103">
        <f>'06_Сеть_и_дети'!AZ43</f>
        <v/>
      </c>
      <c r="BA24" s="103">
        <f>'06_Сеть_и_дети'!BA43</f>
        <v/>
      </c>
      <c r="BB24" s="103">
        <f>'06_Сеть_и_дети'!BB43</f>
        <v/>
      </c>
      <c r="BC24" s="103">
        <f>'06_Сеть_и_дети'!BC43</f>
        <v/>
      </c>
      <c r="BD24" s="103">
        <f>'06_Сеть_и_дети'!BD43</f>
        <v/>
      </c>
      <c r="BE24" s="103">
        <f>'06_Сеть_и_дети'!BE43</f>
        <v/>
      </c>
      <c r="BF24" s="103">
        <f>'06_Сеть_и_дети'!BF43</f>
        <v/>
      </c>
      <c r="BG24" s="103">
        <f>'06_Сеть_и_дети'!BG43</f>
        <v/>
      </c>
      <c r="BH24" s="103">
        <f>'06_Сеть_и_дети'!BH43</f>
        <v/>
      </c>
      <c r="BI24" s="121">
        <f>'06_Сеть_и_дети'!BI43</f>
        <v/>
      </c>
    </row>
    <row r="25" ht="26" customHeight="1">
      <c r="A25" s="104" t="inlineStr">
        <is>
          <t>Продано, но не открыто</t>
        </is>
      </c>
      <c r="B25" s="103">
        <f>SUM('04_Продажи'!$B$15:B15)-SUM('04_Продажи'!$B$18:B18)</f>
        <v/>
      </c>
      <c r="C25" s="103">
        <f>SUM('04_Продажи'!$B$15:C15)-SUM('04_Продажи'!$B$18:C18)</f>
        <v/>
      </c>
      <c r="D25" s="103">
        <f>SUM('04_Продажи'!$B$15:D15)-SUM('04_Продажи'!$B$18:D18)</f>
        <v/>
      </c>
      <c r="E25" s="103">
        <f>SUM('04_Продажи'!$B$15:E15)-SUM('04_Продажи'!$B$18:E18)</f>
        <v/>
      </c>
      <c r="F25" s="103">
        <f>SUM('04_Продажи'!$B$15:F15)-SUM('04_Продажи'!$B$18:F18)</f>
        <v/>
      </c>
      <c r="G25" s="103">
        <f>SUM('04_Продажи'!$B$15:G15)-SUM('04_Продажи'!$B$18:G18)</f>
        <v/>
      </c>
      <c r="H25" s="103">
        <f>SUM('04_Продажи'!$B$15:H15)-SUM('04_Продажи'!$B$18:H18)</f>
        <v/>
      </c>
      <c r="I25" s="103">
        <f>SUM('04_Продажи'!$B$15:I15)-SUM('04_Продажи'!$B$18:I18)</f>
        <v/>
      </c>
      <c r="J25" s="103">
        <f>SUM('04_Продажи'!$B$15:J15)-SUM('04_Продажи'!$B$18:J18)</f>
        <v/>
      </c>
      <c r="K25" s="103">
        <f>SUM('04_Продажи'!$B$15:K15)-SUM('04_Продажи'!$B$18:K18)</f>
        <v/>
      </c>
      <c r="L25" s="103">
        <f>SUM('04_Продажи'!$B$15:L15)-SUM('04_Продажи'!$B$18:L18)</f>
        <v/>
      </c>
      <c r="M25" s="103">
        <f>SUM('04_Продажи'!$B$15:M15)-SUM('04_Продажи'!$B$18:M18)</f>
        <v/>
      </c>
      <c r="N25" s="103">
        <f>SUM('04_Продажи'!$B$15:N15)-SUM('04_Продажи'!$B$18:N18)</f>
        <v/>
      </c>
      <c r="O25" s="103">
        <f>SUM('04_Продажи'!$B$15:O15)-SUM('04_Продажи'!$B$18:O18)</f>
        <v/>
      </c>
      <c r="P25" s="103">
        <f>SUM('04_Продажи'!$B$15:P15)-SUM('04_Продажи'!$B$18:P18)</f>
        <v/>
      </c>
      <c r="Q25" s="103">
        <f>SUM('04_Продажи'!$B$15:Q15)-SUM('04_Продажи'!$B$18:Q18)</f>
        <v/>
      </c>
      <c r="R25" s="103">
        <f>SUM('04_Продажи'!$B$15:R15)-SUM('04_Продажи'!$B$18:R18)</f>
        <v/>
      </c>
      <c r="S25" s="103">
        <f>SUM('04_Продажи'!$B$15:S15)-SUM('04_Продажи'!$B$18:S18)</f>
        <v/>
      </c>
      <c r="T25" s="103">
        <f>SUM('04_Продажи'!$B$15:T15)-SUM('04_Продажи'!$B$18:T18)</f>
        <v/>
      </c>
      <c r="U25" s="103">
        <f>SUM('04_Продажи'!$B$15:U15)-SUM('04_Продажи'!$B$18:U18)</f>
        <v/>
      </c>
      <c r="V25" s="103">
        <f>SUM('04_Продажи'!$B$15:V15)-SUM('04_Продажи'!$B$18:V18)</f>
        <v/>
      </c>
      <c r="W25" s="103">
        <f>SUM('04_Продажи'!$B$15:W15)-SUM('04_Продажи'!$B$18:W18)</f>
        <v/>
      </c>
      <c r="X25" s="103">
        <f>SUM('04_Продажи'!$B$15:X15)-SUM('04_Продажи'!$B$18:X18)</f>
        <v/>
      </c>
      <c r="Y25" s="103">
        <f>SUM('04_Продажи'!$B$15:Y15)-SUM('04_Продажи'!$B$18:Y18)</f>
        <v/>
      </c>
      <c r="Z25" s="103">
        <f>SUM('04_Продажи'!$B$15:Z15)-SUM('04_Продажи'!$B$18:Z18)</f>
        <v/>
      </c>
      <c r="AA25" s="103">
        <f>SUM('04_Продажи'!$B$15:AA15)-SUM('04_Продажи'!$B$18:AA18)</f>
        <v/>
      </c>
      <c r="AB25" s="103">
        <f>SUM('04_Продажи'!$B$15:AB15)-SUM('04_Продажи'!$B$18:AB18)</f>
        <v/>
      </c>
      <c r="AC25" s="103">
        <f>SUM('04_Продажи'!$B$15:AC15)-SUM('04_Продажи'!$B$18:AC18)</f>
        <v/>
      </c>
      <c r="AD25" s="103">
        <f>SUM('04_Продажи'!$B$15:AD15)-SUM('04_Продажи'!$B$18:AD18)</f>
        <v/>
      </c>
      <c r="AE25" s="103">
        <f>SUM('04_Продажи'!$B$15:AE15)-SUM('04_Продажи'!$B$18:AE18)</f>
        <v/>
      </c>
      <c r="AF25" s="103">
        <f>SUM('04_Продажи'!$B$15:AF15)-SUM('04_Продажи'!$B$18:AF18)</f>
        <v/>
      </c>
      <c r="AG25" s="103">
        <f>SUM('04_Продажи'!$B$15:AG15)-SUM('04_Продажи'!$B$18:AG18)</f>
        <v/>
      </c>
      <c r="AH25" s="103">
        <f>SUM('04_Продажи'!$B$15:AH15)-SUM('04_Продажи'!$B$18:AH18)</f>
        <v/>
      </c>
      <c r="AI25" s="103">
        <f>SUM('04_Продажи'!$B$15:AI15)-SUM('04_Продажи'!$B$18:AI18)</f>
        <v/>
      </c>
      <c r="AJ25" s="103">
        <f>SUM('04_Продажи'!$B$15:AJ15)-SUM('04_Продажи'!$B$18:AJ18)</f>
        <v/>
      </c>
      <c r="AK25" s="103">
        <f>SUM('04_Продажи'!$B$15:AK15)-SUM('04_Продажи'!$B$18:AK18)</f>
        <v/>
      </c>
      <c r="AL25" s="103">
        <f>SUM('04_Продажи'!$B$15:AL15)-SUM('04_Продажи'!$B$18:AL18)</f>
        <v/>
      </c>
      <c r="AM25" s="103">
        <f>SUM('04_Продажи'!$B$15:AM15)-SUM('04_Продажи'!$B$18:AM18)</f>
        <v/>
      </c>
      <c r="AN25" s="103">
        <f>SUM('04_Продажи'!$B$15:AN15)-SUM('04_Продажи'!$B$18:AN18)</f>
        <v/>
      </c>
      <c r="AO25" s="103">
        <f>SUM('04_Продажи'!$B$15:AO15)-SUM('04_Продажи'!$B$18:AO18)</f>
        <v/>
      </c>
      <c r="AP25" s="103">
        <f>SUM('04_Продажи'!$B$15:AP15)-SUM('04_Продажи'!$B$18:AP18)</f>
        <v/>
      </c>
      <c r="AQ25" s="103">
        <f>SUM('04_Продажи'!$B$15:AQ15)-SUM('04_Продажи'!$B$18:AQ18)</f>
        <v/>
      </c>
      <c r="AR25" s="103">
        <f>SUM('04_Продажи'!$B$15:AR15)-SUM('04_Продажи'!$B$18:AR18)</f>
        <v/>
      </c>
      <c r="AS25" s="103">
        <f>SUM('04_Продажи'!$B$15:AS15)-SUM('04_Продажи'!$B$18:AS18)</f>
        <v/>
      </c>
      <c r="AT25" s="103">
        <f>SUM('04_Продажи'!$B$15:AT15)-SUM('04_Продажи'!$B$18:AT18)</f>
        <v/>
      </c>
      <c r="AU25" s="103">
        <f>SUM('04_Продажи'!$B$15:AU15)-SUM('04_Продажи'!$B$18:AU18)</f>
        <v/>
      </c>
      <c r="AV25" s="103">
        <f>SUM('04_Продажи'!$B$15:AV15)-SUM('04_Продажи'!$B$18:AV18)</f>
        <v/>
      </c>
      <c r="AW25" s="103">
        <f>SUM('04_Продажи'!$B$15:AW15)-SUM('04_Продажи'!$B$18:AW18)</f>
        <v/>
      </c>
      <c r="AX25" s="103">
        <f>SUM('04_Продажи'!$B$15:AX15)-SUM('04_Продажи'!$B$18:AX18)</f>
        <v/>
      </c>
      <c r="AY25" s="103">
        <f>SUM('04_Продажи'!$B$15:AY15)-SUM('04_Продажи'!$B$18:AY18)</f>
        <v/>
      </c>
      <c r="AZ25" s="103">
        <f>SUM('04_Продажи'!$B$15:AZ15)-SUM('04_Продажи'!$B$18:AZ18)</f>
        <v/>
      </c>
      <c r="BA25" s="103">
        <f>SUM('04_Продажи'!$B$15:BA15)-SUM('04_Продажи'!$B$18:BA18)</f>
        <v/>
      </c>
      <c r="BB25" s="103">
        <f>SUM('04_Продажи'!$B$15:BB15)-SUM('04_Продажи'!$B$18:BB18)</f>
        <v/>
      </c>
      <c r="BC25" s="103">
        <f>SUM('04_Продажи'!$B$15:BC15)-SUM('04_Продажи'!$B$18:BC18)</f>
        <v/>
      </c>
      <c r="BD25" s="103">
        <f>SUM('04_Продажи'!$B$15:BD15)-SUM('04_Продажи'!$B$18:BD18)</f>
        <v/>
      </c>
      <c r="BE25" s="103">
        <f>SUM('04_Продажи'!$B$15:BE15)-SUM('04_Продажи'!$B$18:BE18)</f>
        <v/>
      </c>
      <c r="BF25" s="103">
        <f>SUM('04_Продажи'!$B$15:BF15)-SUM('04_Продажи'!$B$18:BF18)</f>
        <v/>
      </c>
      <c r="BG25" s="103">
        <f>SUM('04_Продажи'!$B$15:BG15)-SUM('04_Продажи'!$B$18:BG18)</f>
        <v/>
      </c>
      <c r="BH25" s="103">
        <f>SUM('04_Продажи'!$B$15:BH15)-SUM('04_Продажи'!$B$18:BH18)</f>
        <v/>
      </c>
      <c r="BI25" s="121">
        <f>SUM('04_Продажи'!$B$15:BI15)-SUM('04_Продажи'!$B$18:BI18)</f>
        <v/>
      </c>
    </row>
    <row r="26" ht="26" customHeight="1">
      <c r="A26" s="104" t="inlineStr">
        <is>
          <t>Таргет, ₽</t>
        </is>
      </c>
      <c r="B26" s="103">
        <f>'04_Продажи'!B21</f>
        <v/>
      </c>
      <c r="C26" s="103">
        <f>'04_Продажи'!C21</f>
        <v/>
      </c>
      <c r="D26" s="103">
        <f>'04_Продажи'!D21</f>
        <v/>
      </c>
      <c r="E26" s="103">
        <f>'04_Продажи'!E21</f>
        <v/>
      </c>
      <c r="F26" s="103">
        <f>'04_Продажи'!F21</f>
        <v/>
      </c>
      <c r="G26" s="103">
        <f>'04_Продажи'!G21</f>
        <v/>
      </c>
      <c r="H26" s="103">
        <f>'04_Продажи'!H21</f>
        <v/>
      </c>
      <c r="I26" s="103">
        <f>'04_Продажи'!I21</f>
        <v/>
      </c>
      <c r="J26" s="103">
        <f>'04_Продажи'!J21</f>
        <v/>
      </c>
      <c r="K26" s="103">
        <f>'04_Продажи'!K21</f>
        <v/>
      </c>
      <c r="L26" s="103">
        <f>'04_Продажи'!L21</f>
        <v/>
      </c>
      <c r="M26" s="103">
        <f>'04_Продажи'!M21</f>
        <v/>
      </c>
      <c r="N26" s="103">
        <f>'04_Продажи'!N21</f>
        <v/>
      </c>
      <c r="O26" s="103">
        <f>'04_Продажи'!O21</f>
        <v/>
      </c>
      <c r="P26" s="103">
        <f>'04_Продажи'!P21</f>
        <v/>
      </c>
      <c r="Q26" s="103">
        <f>'04_Продажи'!Q21</f>
        <v/>
      </c>
      <c r="R26" s="103">
        <f>'04_Продажи'!R21</f>
        <v/>
      </c>
      <c r="S26" s="103">
        <f>'04_Продажи'!S21</f>
        <v/>
      </c>
      <c r="T26" s="103">
        <f>'04_Продажи'!T21</f>
        <v/>
      </c>
      <c r="U26" s="103">
        <f>'04_Продажи'!U21</f>
        <v/>
      </c>
      <c r="V26" s="103">
        <f>'04_Продажи'!V21</f>
        <v/>
      </c>
      <c r="W26" s="103">
        <f>'04_Продажи'!W21</f>
        <v/>
      </c>
      <c r="X26" s="103">
        <f>'04_Продажи'!X21</f>
        <v/>
      </c>
      <c r="Y26" s="103">
        <f>'04_Продажи'!Y21</f>
        <v/>
      </c>
      <c r="Z26" s="103">
        <f>'04_Продажи'!Z21</f>
        <v/>
      </c>
      <c r="AA26" s="103">
        <f>'04_Продажи'!AA21</f>
        <v/>
      </c>
      <c r="AB26" s="103">
        <f>'04_Продажи'!AB21</f>
        <v/>
      </c>
      <c r="AC26" s="103">
        <f>'04_Продажи'!AC21</f>
        <v/>
      </c>
      <c r="AD26" s="103">
        <f>'04_Продажи'!AD21</f>
        <v/>
      </c>
      <c r="AE26" s="103">
        <f>'04_Продажи'!AE21</f>
        <v/>
      </c>
      <c r="AF26" s="103">
        <f>'04_Продажи'!AF21</f>
        <v/>
      </c>
      <c r="AG26" s="103">
        <f>'04_Продажи'!AG21</f>
        <v/>
      </c>
      <c r="AH26" s="103">
        <f>'04_Продажи'!AH21</f>
        <v/>
      </c>
      <c r="AI26" s="103">
        <f>'04_Продажи'!AI21</f>
        <v/>
      </c>
      <c r="AJ26" s="103">
        <f>'04_Продажи'!AJ21</f>
        <v/>
      </c>
      <c r="AK26" s="103">
        <f>'04_Продажи'!AK21</f>
        <v/>
      </c>
      <c r="AL26" s="103">
        <f>'04_Продажи'!AL21</f>
        <v/>
      </c>
      <c r="AM26" s="103">
        <f>'04_Продажи'!AM21</f>
        <v/>
      </c>
      <c r="AN26" s="103">
        <f>'04_Продажи'!AN21</f>
        <v/>
      </c>
      <c r="AO26" s="103">
        <f>'04_Продажи'!AO21</f>
        <v/>
      </c>
      <c r="AP26" s="103">
        <f>'04_Продажи'!AP21</f>
        <v/>
      </c>
      <c r="AQ26" s="103">
        <f>'04_Продажи'!AQ21</f>
        <v/>
      </c>
      <c r="AR26" s="103">
        <f>'04_Продажи'!AR21</f>
        <v/>
      </c>
      <c r="AS26" s="103">
        <f>'04_Продажи'!AS21</f>
        <v/>
      </c>
      <c r="AT26" s="103">
        <f>'04_Продажи'!AT21</f>
        <v/>
      </c>
      <c r="AU26" s="103">
        <f>'04_Продажи'!AU21</f>
        <v/>
      </c>
      <c r="AV26" s="103">
        <f>'04_Продажи'!AV21</f>
        <v/>
      </c>
      <c r="AW26" s="103">
        <f>'04_Продажи'!AW21</f>
        <v/>
      </c>
      <c r="AX26" s="103">
        <f>'04_Продажи'!AX21</f>
        <v/>
      </c>
      <c r="AY26" s="103">
        <f>'04_Продажи'!AY21</f>
        <v/>
      </c>
      <c r="AZ26" s="103">
        <f>'04_Продажи'!AZ21</f>
        <v/>
      </c>
      <c r="BA26" s="103">
        <f>'04_Продажи'!BA21</f>
        <v/>
      </c>
      <c r="BB26" s="103">
        <f>'04_Продажи'!BB21</f>
        <v/>
      </c>
      <c r="BC26" s="103">
        <f>'04_Продажи'!BC21</f>
        <v/>
      </c>
      <c r="BD26" s="103">
        <f>'04_Продажи'!BD21</f>
        <v/>
      </c>
      <c r="BE26" s="103">
        <f>'04_Продажи'!BE21</f>
        <v/>
      </c>
      <c r="BF26" s="103">
        <f>'04_Продажи'!BF21</f>
        <v/>
      </c>
      <c r="BG26" s="103">
        <f>'04_Продажи'!BG21</f>
        <v/>
      </c>
      <c r="BH26" s="103">
        <f>'04_Продажи'!BH21</f>
        <v/>
      </c>
      <c r="BI26" s="121">
        <f>'04_Продажи'!BI21</f>
        <v/>
      </c>
    </row>
    <row r="27" ht="26" customHeight="1">
      <c r="A27" s="104" t="inlineStr">
        <is>
          <t>Маркетинг привлечения, ₽</t>
        </is>
      </c>
      <c r="B27" s="103">
        <f>'04_Продажи'!B23</f>
        <v/>
      </c>
      <c r="C27" s="103">
        <f>'04_Продажи'!C23</f>
        <v/>
      </c>
      <c r="D27" s="103">
        <f>'04_Продажи'!D23</f>
        <v/>
      </c>
      <c r="E27" s="103">
        <f>'04_Продажи'!E23</f>
        <v/>
      </c>
      <c r="F27" s="103">
        <f>'04_Продажи'!F23</f>
        <v/>
      </c>
      <c r="G27" s="103">
        <f>'04_Продажи'!G23</f>
        <v/>
      </c>
      <c r="H27" s="103">
        <f>'04_Продажи'!H23</f>
        <v/>
      </c>
      <c r="I27" s="103">
        <f>'04_Продажи'!I23</f>
        <v/>
      </c>
      <c r="J27" s="103">
        <f>'04_Продажи'!J23</f>
        <v/>
      </c>
      <c r="K27" s="103">
        <f>'04_Продажи'!K23</f>
        <v/>
      </c>
      <c r="L27" s="103">
        <f>'04_Продажи'!L23</f>
        <v/>
      </c>
      <c r="M27" s="103">
        <f>'04_Продажи'!M23</f>
        <v/>
      </c>
      <c r="N27" s="103">
        <f>'04_Продажи'!N23</f>
        <v/>
      </c>
      <c r="O27" s="103">
        <f>'04_Продажи'!O23</f>
        <v/>
      </c>
      <c r="P27" s="103">
        <f>'04_Продажи'!P23</f>
        <v/>
      </c>
      <c r="Q27" s="103">
        <f>'04_Продажи'!Q23</f>
        <v/>
      </c>
      <c r="R27" s="103">
        <f>'04_Продажи'!R23</f>
        <v/>
      </c>
      <c r="S27" s="103">
        <f>'04_Продажи'!S23</f>
        <v/>
      </c>
      <c r="T27" s="103">
        <f>'04_Продажи'!T23</f>
        <v/>
      </c>
      <c r="U27" s="103">
        <f>'04_Продажи'!U23</f>
        <v/>
      </c>
      <c r="V27" s="103">
        <f>'04_Продажи'!V23</f>
        <v/>
      </c>
      <c r="W27" s="103">
        <f>'04_Продажи'!W23</f>
        <v/>
      </c>
      <c r="X27" s="103">
        <f>'04_Продажи'!X23</f>
        <v/>
      </c>
      <c r="Y27" s="103">
        <f>'04_Продажи'!Y23</f>
        <v/>
      </c>
      <c r="Z27" s="103">
        <f>'04_Продажи'!Z23</f>
        <v/>
      </c>
      <c r="AA27" s="103">
        <f>'04_Продажи'!AA23</f>
        <v/>
      </c>
      <c r="AB27" s="103">
        <f>'04_Продажи'!AB23</f>
        <v/>
      </c>
      <c r="AC27" s="103">
        <f>'04_Продажи'!AC23</f>
        <v/>
      </c>
      <c r="AD27" s="103">
        <f>'04_Продажи'!AD23</f>
        <v/>
      </c>
      <c r="AE27" s="103">
        <f>'04_Продажи'!AE23</f>
        <v/>
      </c>
      <c r="AF27" s="103">
        <f>'04_Продажи'!AF23</f>
        <v/>
      </c>
      <c r="AG27" s="103">
        <f>'04_Продажи'!AG23</f>
        <v/>
      </c>
      <c r="AH27" s="103">
        <f>'04_Продажи'!AH23</f>
        <v/>
      </c>
      <c r="AI27" s="103">
        <f>'04_Продажи'!AI23</f>
        <v/>
      </c>
      <c r="AJ27" s="103">
        <f>'04_Продажи'!AJ23</f>
        <v/>
      </c>
      <c r="AK27" s="103">
        <f>'04_Продажи'!AK23</f>
        <v/>
      </c>
      <c r="AL27" s="103">
        <f>'04_Продажи'!AL23</f>
        <v/>
      </c>
      <c r="AM27" s="103">
        <f>'04_Продажи'!AM23</f>
        <v/>
      </c>
      <c r="AN27" s="103">
        <f>'04_Продажи'!AN23</f>
        <v/>
      </c>
      <c r="AO27" s="103">
        <f>'04_Продажи'!AO23</f>
        <v/>
      </c>
      <c r="AP27" s="103">
        <f>'04_Продажи'!AP23</f>
        <v/>
      </c>
      <c r="AQ27" s="103">
        <f>'04_Продажи'!AQ23</f>
        <v/>
      </c>
      <c r="AR27" s="103">
        <f>'04_Продажи'!AR23</f>
        <v/>
      </c>
      <c r="AS27" s="103">
        <f>'04_Продажи'!AS23</f>
        <v/>
      </c>
      <c r="AT27" s="103">
        <f>'04_Продажи'!AT23</f>
        <v/>
      </c>
      <c r="AU27" s="103">
        <f>'04_Продажи'!AU23</f>
        <v/>
      </c>
      <c r="AV27" s="103">
        <f>'04_Продажи'!AV23</f>
        <v/>
      </c>
      <c r="AW27" s="103">
        <f>'04_Продажи'!AW23</f>
        <v/>
      </c>
      <c r="AX27" s="103">
        <f>'04_Продажи'!AX23</f>
        <v/>
      </c>
      <c r="AY27" s="103">
        <f>'04_Продажи'!AY23</f>
        <v/>
      </c>
      <c r="AZ27" s="103">
        <f>'04_Продажи'!AZ23</f>
        <v/>
      </c>
      <c r="BA27" s="103">
        <f>'04_Продажи'!BA23</f>
        <v/>
      </c>
      <c r="BB27" s="103">
        <f>'04_Продажи'!BB23</f>
        <v/>
      </c>
      <c r="BC27" s="103">
        <f>'04_Продажи'!BC23</f>
        <v/>
      </c>
      <c r="BD27" s="103">
        <f>'04_Продажи'!BD23</f>
        <v/>
      </c>
      <c r="BE27" s="103">
        <f>'04_Продажи'!BE23</f>
        <v/>
      </c>
      <c r="BF27" s="103">
        <f>'04_Продажи'!BF23</f>
        <v/>
      </c>
      <c r="BG27" s="103">
        <f>'04_Продажи'!BG23</f>
        <v/>
      </c>
      <c r="BH27" s="103">
        <f>'04_Продажи'!BH23</f>
        <v/>
      </c>
      <c r="BI27" s="121">
        <f>'04_Продажи'!BI23</f>
        <v/>
      </c>
    </row>
  </sheetData>
  <mergeCells count="3">
    <mergeCell ref="A18:H18"/>
    <mergeCell ref="A3:H3"/>
    <mergeCell ref="A1:H1"/>
  </mergeCells>
  <printOptions horizontalCentered="0"/>
  <pageMargins left="0.75" right="0.75" top="1" bottom="1" header="0.5" footer="0.5"/>
  <pageSetup orientation="landscape" fitToHeight="0" fitToWidth="1"/>
  <headerFooter>
    <oddHeader/>
    <oddFooter>&amp;LФинмодель Спартак · 05_Воронка&amp;R&amp;P / &amp;N</oddFooter>
    <evenHeader/>
    <evenFooter/>
    <firstHeader/>
    <firstFooter/>
  </headerFooter>
</worksheet>
</file>

<file path=xl/worksheets/sheet8.xml><?xml version="1.0" encoding="utf-8"?>
<worksheet xmlns="http://schemas.openxmlformats.org/spreadsheetml/2006/main">
  <sheetPr>
    <tabColor rgb="009E1B31"/>
    <outlinePr summaryBelow="1" summaryRight="1"/>
    <pageSetUpPr fitToPage="1"/>
  </sheetPr>
  <dimension ref="A1:BO242"/>
  <sheetViews>
    <sheetView showGridLines="0" zoomScale="8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hidden="1" width="10" customWidth="1" min="62" max="62"/>
    <col hidden="1" width="10" customWidth="1" min="63" max="63"/>
    <col hidden="1" width="10" customWidth="1" min="64" max="64"/>
    <col hidden="1" width="10" customWidth="1" min="65" max="65"/>
    <col hidden="1" width="10" customWidth="1" min="66" max="66"/>
    <col hidden="1" width="10" customWidth="1" min="67" max="67"/>
  </cols>
  <sheetData>
    <row r="1" ht="24" customHeight="1">
      <c r="A1" s="186" t="inlineStr">
        <is>
          <t>Сеть, постепенный набор детей и роялти по каждому тарифу</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c r="BJ3" s="94">
        <f>DATE(YEAR('01_Вводные'!$B$7),MONTH('01_Вводные'!$B$7)+60,1)</f>
        <v/>
      </c>
      <c r="BK3" s="94">
        <f>DATE(YEAR('01_Вводные'!$B$7),MONTH('01_Вводные'!$B$7)+61,1)</f>
        <v/>
      </c>
      <c r="BL3" s="94">
        <f>DATE(YEAR('01_Вводные'!$B$7),MONTH('01_Вводные'!$B$7)+62,1)</f>
        <v/>
      </c>
      <c r="BM3" s="94">
        <f>DATE(YEAR('01_Вводные'!$B$7),MONTH('01_Вводные'!$B$7)+63,1)</f>
        <v/>
      </c>
      <c r="BN3" s="94">
        <f>DATE(YEAR('01_Вводные'!$B$7),MONTH('01_Вводные'!$B$7)+64,1)</f>
        <v/>
      </c>
      <c r="BO3" s="94">
        <f>DATE(YEAR('01_Вводные'!$B$7),MONTH('01_Вводные'!$B$7)+65,1)</f>
        <v/>
      </c>
    </row>
    <row r="4">
      <c r="A4" s="2" t="inlineStr">
        <is>
          <t>Сезон</t>
        </is>
      </c>
      <c r="B4" s="77">
        <f>INT((0)/12)+1</f>
        <v/>
      </c>
      <c r="C4" s="77">
        <f>INT((1)/12)+1</f>
        <v/>
      </c>
      <c r="D4" s="77">
        <f>INT((2)/12)+1</f>
        <v/>
      </c>
      <c r="E4" s="77">
        <f>INT((3)/12)+1</f>
        <v/>
      </c>
      <c r="F4" s="77">
        <f>INT((4)/12)+1</f>
        <v/>
      </c>
      <c r="G4" s="77">
        <f>INT((5)/12)+1</f>
        <v/>
      </c>
      <c r="H4" s="77">
        <f>INT((6)/12)+1</f>
        <v/>
      </c>
      <c r="I4" s="77">
        <f>INT((7)/12)+1</f>
        <v/>
      </c>
      <c r="J4" s="77">
        <f>INT((8)/12)+1</f>
        <v/>
      </c>
      <c r="K4" s="77">
        <f>INT((9)/12)+1</f>
        <v/>
      </c>
      <c r="L4" s="77">
        <f>INT((10)/12)+1</f>
        <v/>
      </c>
      <c r="M4" s="77">
        <f>INT((11)/12)+1</f>
        <v/>
      </c>
      <c r="N4" s="77">
        <f>INT((12)/12)+1</f>
        <v/>
      </c>
      <c r="O4" s="77">
        <f>INT((13)/12)+1</f>
        <v/>
      </c>
      <c r="P4" s="77">
        <f>INT((14)/12)+1</f>
        <v/>
      </c>
      <c r="Q4" s="77">
        <f>INT((15)/12)+1</f>
        <v/>
      </c>
      <c r="R4" s="77">
        <f>INT((16)/12)+1</f>
        <v/>
      </c>
      <c r="S4" s="77">
        <f>INT((17)/12)+1</f>
        <v/>
      </c>
      <c r="T4" s="77">
        <f>INT((18)/12)+1</f>
        <v/>
      </c>
      <c r="U4" s="77">
        <f>INT((19)/12)+1</f>
        <v/>
      </c>
      <c r="V4" s="77">
        <f>INT((20)/12)+1</f>
        <v/>
      </c>
      <c r="W4" s="77">
        <f>INT((21)/12)+1</f>
        <v/>
      </c>
      <c r="X4" s="77">
        <f>INT((22)/12)+1</f>
        <v/>
      </c>
      <c r="Y4" s="77">
        <f>INT((23)/12)+1</f>
        <v/>
      </c>
      <c r="Z4" s="77">
        <f>INT((24)/12)+1</f>
        <v/>
      </c>
      <c r="AA4" s="77">
        <f>INT((25)/12)+1</f>
        <v/>
      </c>
      <c r="AB4" s="77">
        <f>INT((26)/12)+1</f>
        <v/>
      </c>
      <c r="AC4" s="77">
        <f>INT((27)/12)+1</f>
        <v/>
      </c>
      <c r="AD4" s="77">
        <f>INT((28)/12)+1</f>
        <v/>
      </c>
      <c r="AE4" s="77">
        <f>INT((29)/12)+1</f>
        <v/>
      </c>
      <c r="AF4" s="77">
        <f>INT((30)/12)+1</f>
        <v/>
      </c>
      <c r="AG4" s="77">
        <f>INT((31)/12)+1</f>
        <v/>
      </c>
      <c r="AH4" s="77">
        <f>INT((32)/12)+1</f>
        <v/>
      </c>
      <c r="AI4" s="77">
        <f>INT((33)/12)+1</f>
        <v/>
      </c>
      <c r="AJ4" s="77">
        <f>INT((34)/12)+1</f>
        <v/>
      </c>
      <c r="AK4" s="77">
        <f>INT((35)/12)+1</f>
        <v/>
      </c>
      <c r="AL4" s="77">
        <f>INT((36)/12)+1</f>
        <v/>
      </c>
      <c r="AM4" s="77">
        <f>INT((37)/12)+1</f>
        <v/>
      </c>
      <c r="AN4" s="77">
        <f>INT((38)/12)+1</f>
        <v/>
      </c>
      <c r="AO4" s="77">
        <f>INT((39)/12)+1</f>
        <v/>
      </c>
      <c r="AP4" s="77">
        <f>INT((40)/12)+1</f>
        <v/>
      </c>
      <c r="AQ4" s="77">
        <f>INT((41)/12)+1</f>
        <v/>
      </c>
      <c r="AR4" s="77">
        <f>INT((42)/12)+1</f>
        <v/>
      </c>
      <c r="AS4" s="77">
        <f>INT((43)/12)+1</f>
        <v/>
      </c>
      <c r="AT4" s="77">
        <f>INT((44)/12)+1</f>
        <v/>
      </c>
      <c r="AU4" s="77">
        <f>INT((45)/12)+1</f>
        <v/>
      </c>
      <c r="AV4" s="77">
        <f>INT((46)/12)+1</f>
        <v/>
      </c>
      <c r="AW4" s="77">
        <f>INT((47)/12)+1</f>
        <v/>
      </c>
      <c r="AX4" s="77">
        <f>INT((48)/12)+1</f>
        <v/>
      </c>
      <c r="AY4" s="77">
        <f>INT((49)/12)+1</f>
        <v/>
      </c>
      <c r="AZ4" s="77">
        <f>INT((50)/12)+1</f>
        <v/>
      </c>
      <c r="BA4" s="77">
        <f>INT((51)/12)+1</f>
        <v/>
      </c>
      <c r="BB4" s="77">
        <f>INT((52)/12)+1</f>
        <v/>
      </c>
      <c r="BC4" s="77">
        <f>INT((53)/12)+1</f>
        <v/>
      </c>
      <c r="BD4" s="77">
        <f>INT((54)/12)+1</f>
        <v/>
      </c>
      <c r="BE4" s="77">
        <f>INT((55)/12)+1</f>
        <v/>
      </c>
      <c r="BF4" s="77">
        <f>INT((56)/12)+1</f>
        <v/>
      </c>
      <c r="BG4" s="77">
        <f>INT((57)/12)+1</f>
        <v/>
      </c>
      <c r="BH4" s="77">
        <f>INT((58)/12)+1</f>
        <v/>
      </c>
      <c r="BI4" s="77">
        <f>INT((59)/12)+1</f>
        <v/>
      </c>
      <c r="BJ4" s="77">
        <f>INT((60)/12)+1</f>
        <v/>
      </c>
      <c r="BK4" s="77">
        <f>INT((61)/12)+1</f>
        <v/>
      </c>
      <c r="BL4" s="77">
        <f>INT((62)/12)+1</f>
        <v/>
      </c>
      <c r="BM4" s="77">
        <f>INT((63)/12)+1</f>
        <v/>
      </c>
      <c r="BN4" s="77">
        <f>INT((64)/12)+1</f>
        <v/>
      </c>
      <c r="BO4" s="77">
        <f>INT((65)/12)+1</f>
        <v/>
      </c>
    </row>
    <row r="5">
      <c r="A5" s="2" t="inlineStr">
        <is>
          <t>Сезонность посещаемости</t>
        </is>
      </c>
      <c r="B5" s="97">
        <f>INDEX('01_Вводные'!$B$44:$M$44,1,MONTH(B$3))</f>
        <v/>
      </c>
      <c r="C5" s="97">
        <f>INDEX('01_Вводные'!$B$44:$M$44,1,MONTH(C$3))</f>
        <v/>
      </c>
      <c r="D5" s="97">
        <f>INDEX('01_Вводные'!$B$44:$M$44,1,MONTH(D$3))</f>
        <v/>
      </c>
      <c r="E5" s="97">
        <f>INDEX('01_Вводные'!$B$44:$M$44,1,MONTH(E$3))</f>
        <v/>
      </c>
      <c r="F5" s="97">
        <f>INDEX('01_Вводные'!$B$44:$M$44,1,MONTH(F$3))</f>
        <v/>
      </c>
      <c r="G5" s="97">
        <f>INDEX('01_Вводные'!$B$44:$M$44,1,MONTH(G$3))</f>
        <v/>
      </c>
      <c r="H5" s="97">
        <f>INDEX('01_Вводные'!$B$44:$M$44,1,MONTH(H$3))</f>
        <v/>
      </c>
      <c r="I5" s="97">
        <f>INDEX('01_Вводные'!$B$44:$M$44,1,MONTH(I$3))</f>
        <v/>
      </c>
      <c r="J5" s="97">
        <f>INDEX('01_Вводные'!$B$44:$M$44,1,MONTH(J$3))</f>
        <v/>
      </c>
      <c r="K5" s="97">
        <f>INDEX('01_Вводные'!$B$44:$M$44,1,MONTH(K$3))</f>
        <v/>
      </c>
      <c r="L5" s="97">
        <f>INDEX('01_Вводные'!$B$44:$M$44,1,MONTH(L$3))</f>
        <v/>
      </c>
      <c r="M5" s="97">
        <f>INDEX('01_Вводные'!$B$44:$M$44,1,MONTH(M$3))</f>
        <v/>
      </c>
      <c r="N5" s="97">
        <f>INDEX('01_Вводные'!$B$44:$M$44,1,MONTH(N$3))</f>
        <v/>
      </c>
      <c r="O5" s="97">
        <f>INDEX('01_Вводные'!$B$44:$M$44,1,MONTH(O$3))</f>
        <v/>
      </c>
      <c r="P5" s="97">
        <f>INDEX('01_Вводные'!$B$44:$M$44,1,MONTH(P$3))</f>
        <v/>
      </c>
      <c r="Q5" s="97">
        <f>INDEX('01_Вводные'!$B$44:$M$44,1,MONTH(Q$3))</f>
        <v/>
      </c>
      <c r="R5" s="97">
        <f>INDEX('01_Вводные'!$B$44:$M$44,1,MONTH(R$3))</f>
        <v/>
      </c>
      <c r="S5" s="97">
        <f>INDEX('01_Вводные'!$B$44:$M$44,1,MONTH(S$3))</f>
        <v/>
      </c>
      <c r="T5" s="97">
        <f>INDEX('01_Вводные'!$B$44:$M$44,1,MONTH(T$3))</f>
        <v/>
      </c>
      <c r="U5" s="97">
        <f>INDEX('01_Вводные'!$B$44:$M$44,1,MONTH(U$3))</f>
        <v/>
      </c>
      <c r="V5" s="97">
        <f>INDEX('01_Вводные'!$B$44:$M$44,1,MONTH(V$3))</f>
        <v/>
      </c>
      <c r="W5" s="97">
        <f>INDEX('01_Вводные'!$B$44:$M$44,1,MONTH(W$3))</f>
        <v/>
      </c>
      <c r="X5" s="97">
        <f>INDEX('01_Вводные'!$B$44:$M$44,1,MONTH(X$3))</f>
        <v/>
      </c>
      <c r="Y5" s="97">
        <f>INDEX('01_Вводные'!$B$44:$M$44,1,MONTH(Y$3))</f>
        <v/>
      </c>
      <c r="Z5" s="97">
        <f>INDEX('01_Вводные'!$B$44:$M$44,1,MONTH(Z$3))</f>
        <v/>
      </c>
      <c r="AA5" s="97">
        <f>INDEX('01_Вводные'!$B$44:$M$44,1,MONTH(AA$3))</f>
        <v/>
      </c>
      <c r="AB5" s="97">
        <f>INDEX('01_Вводные'!$B$44:$M$44,1,MONTH(AB$3))</f>
        <v/>
      </c>
      <c r="AC5" s="97">
        <f>INDEX('01_Вводные'!$B$44:$M$44,1,MONTH(AC$3))</f>
        <v/>
      </c>
      <c r="AD5" s="97">
        <f>INDEX('01_Вводные'!$B$44:$M$44,1,MONTH(AD$3))</f>
        <v/>
      </c>
      <c r="AE5" s="97">
        <f>INDEX('01_Вводные'!$B$44:$M$44,1,MONTH(AE$3))</f>
        <v/>
      </c>
      <c r="AF5" s="97">
        <f>INDEX('01_Вводные'!$B$44:$M$44,1,MONTH(AF$3))</f>
        <v/>
      </c>
      <c r="AG5" s="97">
        <f>INDEX('01_Вводные'!$B$44:$M$44,1,MONTH(AG$3))</f>
        <v/>
      </c>
      <c r="AH5" s="97">
        <f>INDEX('01_Вводные'!$B$44:$M$44,1,MONTH(AH$3))</f>
        <v/>
      </c>
      <c r="AI5" s="97">
        <f>INDEX('01_Вводные'!$B$44:$M$44,1,MONTH(AI$3))</f>
        <v/>
      </c>
      <c r="AJ5" s="97">
        <f>INDEX('01_Вводные'!$B$44:$M$44,1,MONTH(AJ$3))</f>
        <v/>
      </c>
      <c r="AK5" s="97">
        <f>INDEX('01_Вводные'!$B$44:$M$44,1,MONTH(AK$3))</f>
        <v/>
      </c>
      <c r="AL5" s="97">
        <f>INDEX('01_Вводные'!$B$44:$M$44,1,MONTH(AL$3))</f>
        <v/>
      </c>
      <c r="AM5" s="97">
        <f>INDEX('01_Вводные'!$B$44:$M$44,1,MONTH(AM$3))</f>
        <v/>
      </c>
      <c r="AN5" s="97">
        <f>INDEX('01_Вводные'!$B$44:$M$44,1,MONTH(AN$3))</f>
        <v/>
      </c>
      <c r="AO5" s="97">
        <f>INDEX('01_Вводные'!$B$44:$M$44,1,MONTH(AO$3))</f>
        <v/>
      </c>
      <c r="AP5" s="97">
        <f>INDEX('01_Вводные'!$B$44:$M$44,1,MONTH(AP$3))</f>
        <v/>
      </c>
      <c r="AQ5" s="97">
        <f>INDEX('01_Вводные'!$B$44:$M$44,1,MONTH(AQ$3))</f>
        <v/>
      </c>
      <c r="AR5" s="97">
        <f>INDEX('01_Вводные'!$B$44:$M$44,1,MONTH(AR$3))</f>
        <v/>
      </c>
      <c r="AS5" s="97">
        <f>INDEX('01_Вводные'!$B$44:$M$44,1,MONTH(AS$3))</f>
        <v/>
      </c>
      <c r="AT5" s="97">
        <f>INDEX('01_Вводные'!$B$44:$M$44,1,MONTH(AT$3))</f>
        <v/>
      </c>
      <c r="AU5" s="97">
        <f>INDEX('01_Вводные'!$B$44:$M$44,1,MONTH(AU$3))</f>
        <v/>
      </c>
      <c r="AV5" s="97">
        <f>INDEX('01_Вводные'!$B$44:$M$44,1,MONTH(AV$3))</f>
        <v/>
      </c>
      <c r="AW5" s="97">
        <f>INDEX('01_Вводные'!$B$44:$M$44,1,MONTH(AW$3))</f>
        <v/>
      </c>
      <c r="AX5" s="97">
        <f>INDEX('01_Вводные'!$B$44:$M$44,1,MONTH(AX$3))</f>
        <v/>
      </c>
      <c r="AY5" s="97">
        <f>INDEX('01_Вводные'!$B$44:$M$44,1,MONTH(AY$3))</f>
        <v/>
      </c>
      <c r="AZ5" s="97">
        <f>INDEX('01_Вводные'!$B$44:$M$44,1,MONTH(AZ$3))</f>
        <v/>
      </c>
      <c r="BA5" s="97">
        <f>INDEX('01_Вводные'!$B$44:$M$44,1,MONTH(BA$3))</f>
        <v/>
      </c>
      <c r="BB5" s="97">
        <f>INDEX('01_Вводные'!$B$44:$M$44,1,MONTH(BB$3))</f>
        <v/>
      </c>
      <c r="BC5" s="97">
        <f>INDEX('01_Вводные'!$B$44:$M$44,1,MONTH(BC$3))</f>
        <v/>
      </c>
      <c r="BD5" s="97">
        <f>INDEX('01_Вводные'!$B$44:$M$44,1,MONTH(BD$3))</f>
        <v/>
      </c>
      <c r="BE5" s="97">
        <f>INDEX('01_Вводные'!$B$44:$M$44,1,MONTH(BE$3))</f>
        <v/>
      </c>
      <c r="BF5" s="97">
        <f>INDEX('01_Вводные'!$B$44:$M$44,1,MONTH(BF$3))</f>
        <v/>
      </c>
      <c r="BG5" s="97">
        <f>INDEX('01_Вводные'!$B$44:$M$44,1,MONTH(BG$3))</f>
        <v/>
      </c>
      <c r="BH5" s="97">
        <f>INDEX('01_Вводные'!$B$44:$M$44,1,MONTH(BH$3))</f>
        <v/>
      </c>
      <c r="BI5" s="97">
        <f>INDEX('01_Вводные'!$B$44:$M$44,1,MONTH(BI$3))</f>
        <v/>
      </c>
      <c r="BJ5" s="97">
        <f>INDEX('01_Вводные'!$B$44:$M$44,1,MONTH(BJ$3))</f>
        <v/>
      </c>
      <c r="BK5" s="97">
        <f>INDEX('01_Вводные'!$B$44:$M$44,1,MONTH(BK$3))</f>
        <v/>
      </c>
      <c r="BL5" s="97">
        <f>INDEX('01_Вводные'!$B$44:$M$44,1,MONTH(BL$3))</f>
        <v/>
      </c>
      <c r="BM5" s="97">
        <f>INDEX('01_Вводные'!$B$44:$M$44,1,MONTH(BM$3))</f>
        <v/>
      </c>
      <c r="BN5" s="97">
        <f>INDEX('01_Вводные'!$B$44:$M$44,1,MONTH(BN$3))</f>
        <v/>
      </c>
      <c r="BO5" s="97">
        <f>INDEX('01_Вводные'!$B$44:$M$44,1,MONTH(BO$3))</f>
        <v/>
      </c>
    </row>
    <row r="6" ht="20" customHeight="1">
      <c r="A6" s="4" t="inlineStr">
        <is>
          <t>Сеть</t>
        </is>
      </c>
    </row>
    <row r="7">
      <c r="A7" s="2" t="inlineStr">
        <is>
          <t>Продажи</t>
        </is>
      </c>
      <c r="B7" s="40">
        <f>'04_Продажи'!B15</f>
        <v/>
      </c>
      <c r="C7" s="40">
        <f>'04_Продажи'!C15</f>
        <v/>
      </c>
      <c r="D7" s="40">
        <f>'04_Продажи'!D15</f>
        <v/>
      </c>
      <c r="E7" s="40">
        <f>'04_Продажи'!E15</f>
        <v/>
      </c>
      <c r="F7" s="40">
        <f>'04_Продажи'!F15</f>
        <v/>
      </c>
      <c r="G7" s="40">
        <f>'04_Продажи'!G15</f>
        <v/>
      </c>
      <c r="H7" s="40">
        <f>'04_Продажи'!H15</f>
        <v/>
      </c>
      <c r="I7" s="40">
        <f>'04_Продажи'!I15</f>
        <v/>
      </c>
      <c r="J7" s="40">
        <f>'04_Продажи'!J15</f>
        <v/>
      </c>
      <c r="K7" s="40">
        <f>'04_Продажи'!K15</f>
        <v/>
      </c>
      <c r="L7" s="40">
        <f>'04_Продажи'!L15</f>
        <v/>
      </c>
      <c r="M7" s="40">
        <f>'04_Продажи'!M15</f>
        <v/>
      </c>
      <c r="N7" s="40">
        <f>'04_Продажи'!N15</f>
        <v/>
      </c>
      <c r="O7" s="40">
        <f>'04_Продажи'!O15</f>
        <v/>
      </c>
      <c r="P7" s="40">
        <f>'04_Продажи'!P15</f>
        <v/>
      </c>
      <c r="Q7" s="40">
        <f>'04_Продажи'!Q15</f>
        <v/>
      </c>
      <c r="R7" s="40">
        <f>'04_Продажи'!R15</f>
        <v/>
      </c>
      <c r="S7" s="40">
        <f>'04_Продажи'!S15</f>
        <v/>
      </c>
      <c r="T7" s="40">
        <f>'04_Продажи'!T15</f>
        <v/>
      </c>
      <c r="U7" s="40">
        <f>'04_Продажи'!U15</f>
        <v/>
      </c>
      <c r="V7" s="40">
        <f>'04_Продажи'!V15</f>
        <v/>
      </c>
      <c r="W7" s="40">
        <f>'04_Продажи'!W15</f>
        <v/>
      </c>
      <c r="X7" s="40">
        <f>'04_Продажи'!X15</f>
        <v/>
      </c>
      <c r="Y7" s="40">
        <f>'04_Продажи'!Y15</f>
        <v/>
      </c>
      <c r="Z7" s="40">
        <f>'04_Продажи'!Z15</f>
        <v/>
      </c>
      <c r="AA7" s="40">
        <f>'04_Продажи'!AA15</f>
        <v/>
      </c>
      <c r="AB7" s="40">
        <f>'04_Продажи'!AB15</f>
        <v/>
      </c>
      <c r="AC7" s="40">
        <f>'04_Продажи'!AC15</f>
        <v/>
      </c>
      <c r="AD7" s="40">
        <f>'04_Продажи'!AD15</f>
        <v/>
      </c>
      <c r="AE7" s="40">
        <f>'04_Продажи'!AE15</f>
        <v/>
      </c>
      <c r="AF7" s="40">
        <f>'04_Продажи'!AF15</f>
        <v/>
      </c>
      <c r="AG7" s="40">
        <f>'04_Продажи'!AG15</f>
        <v/>
      </c>
      <c r="AH7" s="40">
        <f>'04_Продажи'!AH15</f>
        <v/>
      </c>
      <c r="AI7" s="40">
        <f>'04_Продажи'!AI15</f>
        <v/>
      </c>
      <c r="AJ7" s="40">
        <f>'04_Продажи'!AJ15</f>
        <v/>
      </c>
      <c r="AK7" s="40">
        <f>'04_Продажи'!AK15</f>
        <v/>
      </c>
      <c r="AL7" s="40">
        <f>'04_Продажи'!AL15</f>
        <v/>
      </c>
      <c r="AM7" s="40">
        <f>'04_Продажи'!AM15</f>
        <v/>
      </c>
      <c r="AN7" s="40">
        <f>'04_Продажи'!AN15</f>
        <v/>
      </c>
      <c r="AO7" s="40">
        <f>'04_Продажи'!AO15</f>
        <v/>
      </c>
      <c r="AP7" s="40">
        <f>'04_Продажи'!AP15</f>
        <v/>
      </c>
      <c r="AQ7" s="40">
        <f>'04_Продажи'!AQ15</f>
        <v/>
      </c>
      <c r="AR7" s="40">
        <f>'04_Продажи'!AR15</f>
        <v/>
      </c>
      <c r="AS7" s="40">
        <f>'04_Продажи'!AS15</f>
        <v/>
      </c>
      <c r="AT7" s="40">
        <f>'04_Продажи'!AT15</f>
        <v/>
      </c>
      <c r="AU7" s="40">
        <f>'04_Продажи'!AU15</f>
        <v/>
      </c>
      <c r="AV7" s="40">
        <f>'04_Продажи'!AV15</f>
        <v/>
      </c>
      <c r="AW7" s="40">
        <f>'04_Продажи'!AW15</f>
        <v/>
      </c>
      <c r="AX7" s="40">
        <f>'04_Продажи'!AX15</f>
        <v/>
      </c>
      <c r="AY7" s="40">
        <f>'04_Продажи'!AY15</f>
        <v/>
      </c>
      <c r="AZ7" s="40">
        <f>'04_Продажи'!AZ15</f>
        <v/>
      </c>
      <c r="BA7" s="40">
        <f>'04_Продажи'!BA15</f>
        <v/>
      </c>
      <c r="BB7" s="40">
        <f>'04_Продажи'!BB15</f>
        <v/>
      </c>
      <c r="BC7" s="40">
        <f>'04_Продажи'!BC15</f>
        <v/>
      </c>
      <c r="BD7" s="40">
        <f>'04_Продажи'!BD15</f>
        <v/>
      </c>
      <c r="BE7" s="40">
        <f>'04_Продажи'!BE15</f>
        <v/>
      </c>
      <c r="BF7" s="40">
        <f>'04_Продажи'!BF15</f>
        <v/>
      </c>
      <c r="BG7" s="40">
        <f>'04_Продажи'!BG15</f>
        <v/>
      </c>
      <c r="BH7" s="40">
        <f>'04_Продажи'!BH15</f>
        <v/>
      </c>
      <c r="BI7" s="40">
        <f>'04_Продажи'!BI15</f>
        <v/>
      </c>
      <c r="BJ7" s="72" t="n">
        <v>0</v>
      </c>
      <c r="BK7" s="72" t="n">
        <v>0</v>
      </c>
      <c r="BL7" s="72" t="n">
        <v>0</v>
      </c>
      <c r="BM7" s="72" t="n">
        <v>0</v>
      </c>
      <c r="BN7" s="72" t="n">
        <v>0</v>
      </c>
      <c r="BO7" s="72" t="n">
        <v>0</v>
      </c>
    </row>
    <row r="8">
      <c r="A8" s="2" t="inlineStr">
        <is>
          <t>Открытия школ</t>
        </is>
      </c>
      <c r="B8" s="185">
        <f>IF(OR(1&lt;='01_Вводные'!$B$15,1-'01_Вводные'!$B$15&gt;60),0,INDEX('04_Продажи'!$B$15:$BI$15,1,1-'01_Вводные'!$B$15))*'01_Вводные'!$B$298*MIN(1,'01_Вводные'!$B$22)+IF(OR(1&lt;=('01_Вводные'!$B$15+'01_Вводные'!$B$311),1-('01_Вводные'!$B$15+'01_Вводные'!$B$311)&gt;60),0,INDEX('04_Продажи'!$B$15:$BI$15,1,1-('01_Вводные'!$B$15+'01_Вводные'!$B$311)))*'01_Вводные'!$B$298*MAX(0,'01_Вводные'!$B$22-1)</f>
        <v/>
      </c>
      <c r="C8" s="185">
        <f>IF(OR(2&lt;='01_Вводные'!$B$15,2-'01_Вводные'!$B$15&gt;60),0,INDEX('04_Продажи'!$B$15:$BI$15,1,2-'01_Вводные'!$B$15))*'01_Вводные'!$B$298*MIN(1,'01_Вводные'!$B$22)+IF(OR(2&lt;=('01_Вводные'!$B$15+'01_Вводные'!$B$311),2-('01_Вводные'!$B$15+'01_Вводные'!$B$311)&gt;60),0,INDEX('04_Продажи'!$B$15:$BI$15,1,2-('01_Вводные'!$B$15+'01_Вводные'!$B$311)))*'01_Вводные'!$B$298*MAX(0,'01_Вводные'!$B$22-1)</f>
        <v/>
      </c>
      <c r="D8" s="185">
        <f>IF(OR(3&lt;='01_Вводные'!$B$15,3-'01_Вводные'!$B$15&gt;60),0,INDEX('04_Продажи'!$B$15:$BI$15,1,3-'01_Вводные'!$B$15))*'01_Вводные'!$B$298*MIN(1,'01_Вводные'!$B$22)+IF(OR(3&lt;=('01_Вводные'!$B$15+'01_Вводные'!$B$311),3-('01_Вводные'!$B$15+'01_Вводные'!$B$311)&gt;60),0,INDEX('04_Продажи'!$B$15:$BI$15,1,3-('01_Вводные'!$B$15+'01_Вводные'!$B$311)))*'01_Вводные'!$B$298*MAX(0,'01_Вводные'!$B$22-1)</f>
        <v/>
      </c>
      <c r="E8" s="185">
        <f>IF(OR(4&lt;='01_Вводные'!$B$15,4-'01_Вводные'!$B$15&gt;60),0,INDEX('04_Продажи'!$B$15:$BI$15,1,4-'01_Вводные'!$B$15))*'01_Вводные'!$B$298*MIN(1,'01_Вводные'!$B$22)+IF(OR(4&lt;=('01_Вводные'!$B$15+'01_Вводные'!$B$311),4-('01_Вводные'!$B$15+'01_Вводные'!$B$311)&gt;60),0,INDEX('04_Продажи'!$B$15:$BI$15,1,4-('01_Вводные'!$B$15+'01_Вводные'!$B$311)))*'01_Вводные'!$B$298*MAX(0,'01_Вводные'!$B$22-1)</f>
        <v/>
      </c>
      <c r="F8" s="185">
        <f>IF(OR(5&lt;='01_Вводные'!$B$15,5-'01_Вводные'!$B$15&gt;60),0,INDEX('04_Продажи'!$B$15:$BI$15,1,5-'01_Вводные'!$B$15))*'01_Вводные'!$B$298*MIN(1,'01_Вводные'!$B$22)+IF(OR(5&lt;=('01_Вводные'!$B$15+'01_Вводные'!$B$311),5-('01_Вводные'!$B$15+'01_Вводные'!$B$311)&gt;60),0,INDEX('04_Продажи'!$B$15:$BI$15,1,5-('01_Вводные'!$B$15+'01_Вводные'!$B$311)))*'01_Вводные'!$B$298*MAX(0,'01_Вводные'!$B$22-1)</f>
        <v/>
      </c>
      <c r="G8" s="185">
        <f>IF(OR(6&lt;='01_Вводные'!$B$15,6-'01_Вводные'!$B$15&gt;60),0,INDEX('04_Продажи'!$B$15:$BI$15,1,6-'01_Вводные'!$B$15))*'01_Вводные'!$B$298*MIN(1,'01_Вводные'!$B$22)+IF(OR(6&lt;=('01_Вводные'!$B$15+'01_Вводные'!$B$311),6-('01_Вводные'!$B$15+'01_Вводные'!$B$311)&gt;60),0,INDEX('04_Продажи'!$B$15:$BI$15,1,6-('01_Вводные'!$B$15+'01_Вводные'!$B$311)))*'01_Вводные'!$B$298*MAX(0,'01_Вводные'!$B$22-1)</f>
        <v/>
      </c>
      <c r="H8" s="185">
        <f>IF(OR(7&lt;='01_Вводные'!$B$15,7-'01_Вводные'!$B$15&gt;60),0,INDEX('04_Продажи'!$B$15:$BI$15,1,7-'01_Вводные'!$B$15))*'01_Вводные'!$B$298*MIN(1,'01_Вводные'!$B$22)+IF(OR(7&lt;=('01_Вводные'!$B$15+'01_Вводные'!$B$311),7-('01_Вводные'!$B$15+'01_Вводные'!$B$311)&gt;60),0,INDEX('04_Продажи'!$B$15:$BI$15,1,7-('01_Вводные'!$B$15+'01_Вводные'!$B$311)))*'01_Вводные'!$B$298*MAX(0,'01_Вводные'!$B$22-1)</f>
        <v/>
      </c>
      <c r="I8" s="185">
        <f>IF(OR(8&lt;='01_Вводные'!$B$15,8-'01_Вводные'!$B$15&gt;60),0,INDEX('04_Продажи'!$B$15:$BI$15,1,8-'01_Вводные'!$B$15))*'01_Вводные'!$B$298*MIN(1,'01_Вводные'!$B$22)+IF(OR(8&lt;=('01_Вводные'!$B$15+'01_Вводные'!$B$311),8-('01_Вводные'!$B$15+'01_Вводные'!$B$311)&gt;60),0,INDEX('04_Продажи'!$B$15:$BI$15,1,8-('01_Вводные'!$B$15+'01_Вводные'!$B$311)))*'01_Вводные'!$B$298*MAX(0,'01_Вводные'!$B$22-1)</f>
        <v/>
      </c>
      <c r="J8" s="185">
        <f>IF(OR(9&lt;='01_Вводные'!$B$15,9-'01_Вводные'!$B$15&gt;60),0,INDEX('04_Продажи'!$B$15:$BI$15,1,9-'01_Вводные'!$B$15))*'01_Вводные'!$B$298*MIN(1,'01_Вводные'!$B$22)+IF(OR(9&lt;=('01_Вводные'!$B$15+'01_Вводные'!$B$311),9-('01_Вводные'!$B$15+'01_Вводные'!$B$311)&gt;60),0,INDEX('04_Продажи'!$B$15:$BI$15,1,9-('01_Вводные'!$B$15+'01_Вводные'!$B$311)))*'01_Вводные'!$B$298*MAX(0,'01_Вводные'!$B$22-1)</f>
        <v/>
      </c>
      <c r="K8" s="185">
        <f>IF(OR(10&lt;='01_Вводные'!$B$15,10-'01_Вводные'!$B$15&gt;60),0,INDEX('04_Продажи'!$B$15:$BI$15,1,10-'01_Вводные'!$B$15))*'01_Вводные'!$B$298*MIN(1,'01_Вводные'!$B$22)+IF(OR(10&lt;=('01_Вводные'!$B$15+'01_Вводные'!$B$311),10-('01_Вводные'!$B$15+'01_Вводные'!$B$311)&gt;60),0,INDEX('04_Продажи'!$B$15:$BI$15,1,10-('01_Вводные'!$B$15+'01_Вводные'!$B$311)))*'01_Вводные'!$B$298*MAX(0,'01_Вводные'!$B$22-1)</f>
        <v/>
      </c>
      <c r="L8" s="185">
        <f>IF(OR(11&lt;='01_Вводные'!$B$15,11-'01_Вводные'!$B$15&gt;60),0,INDEX('04_Продажи'!$B$15:$BI$15,1,11-'01_Вводные'!$B$15))*'01_Вводные'!$B$298*MIN(1,'01_Вводные'!$B$22)+IF(OR(11&lt;=('01_Вводные'!$B$15+'01_Вводные'!$B$311),11-('01_Вводные'!$B$15+'01_Вводные'!$B$311)&gt;60),0,INDEX('04_Продажи'!$B$15:$BI$15,1,11-('01_Вводные'!$B$15+'01_Вводные'!$B$311)))*'01_Вводные'!$B$298*MAX(0,'01_Вводные'!$B$22-1)</f>
        <v/>
      </c>
      <c r="M8" s="185">
        <f>IF(OR(12&lt;='01_Вводные'!$B$15,12-'01_Вводные'!$B$15&gt;60),0,INDEX('04_Продажи'!$B$15:$BI$15,1,12-'01_Вводные'!$B$15))*'01_Вводные'!$B$298*MIN(1,'01_Вводные'!$B$22)+IF(OR(12&lt;=('01_Вводные'!$B$15+'01_Вводные'!$B$311),12-('01_Вводные'!$B$15+'01_Вводные'!$B$311)&gt;60),0,INDEX('04_Продажи'!$B$15:$BI$15,1,12-('01_Вводные'!$B$15+'01_Вводные'!$B$311)))*'01_Вводные'!$B$298*MAX(0,'01_Вводные'!$B$22-1)</f>
        <v/>
      </c>
      <c r="N8" s="185">
        <f>IF(OR(13&lt;='01_Вводные'!$B$15,13-'01_Вводные'!$B$15&gt;60),0,INDEX('04_Продажи'!$B$15:$BI$15,1,13-'01_Вводные'!$B$15))*'01_Вводные'!$B$298*MIN(1,'01_Вводные'!$B$22)+IF(OR(13&lt;=('01_Вводные'!$B$15+'01_Вводные'!$B$311),13-('01_Вводные'!$B$15+'01_Вводные'!$B$311)&gt;60),0,INDEX('04_Продажи'!$B$15:$BI$15,1,13-('01_Вводные'!$B$15+'01_Вводные'!$B$311)))*'01_Вводные'!$B$298*MAX(0,'01_Вводные'!$B$22-1)</f>
        <v/>
      </c>
      <c r="O8" s="185">
        <f>IF(OR(14&lt;='01_Вводные'!$B$15,14-'01_Вводные'!$B$15&gt;60),0,INDEX('04_Продажи'!$B$15:$BI$15,1,14-'01_Вводные'!$B$15))*'01_Вводные'!$B$298*MIN(1,'01_Вводные'!$B$22)+IF(OR(14&lt;=('01_Вводные'!$B$15+'01_Вводные'!$B$311),14-('01_Вводные'!$B$15+'01_Вводные'!$B$311)&gt;60),0,INDEX('04_Продажи'!$B$15:$BI$15,1,14-('01_Вводные'!$B$15+'01_Вводные'!$B$311)))*'01_Вводные'!$B$298*MAX(0,'01_Вводные'!$B$22-1)</f>
        <v/>
      </c>
      <c r="P8" s="185">
        <f>IF(OR(15&lt;='01_Вводные'!$B$15,15-'01_Вводные'!$B$15&gt;60),0,INDEX('04_Продажи'!$B$15:$BI$15,1,15-'01_Вводные'!$B$15))*'01_Вводные'!$B$298*MIN(1,'01_Вводные'!$B$22)+IF(OR(15&lt;=('01_Вводные'!$B$15+'01_Вводные'!$B$311),15-('01_Вводные'!$B$15+'01_Вводные'!$B$311)&gt;60),0,INDEX('04_Продажи'!$B$15:$BI$15,1,15-('01_Вводные'!$B$15+'01_Вводные'!$B$311)))*'01_Вводные'!$B$298*MAX(0,'01_Вводные'!$B$22-1)</f>
        <v/>
      </c>
      <c r="Q8" s="185">
        <f>IF(OR(16&lt;='01_Вводные'!$B$15,16-'01_Вводные'!$B$15&gt;60),0,INDEX('04_Продажи'!$B$15:$BI$15,1,16-'01_Вводные'!$B$15))*'01_Вводные'!$B$298*MIN(1,'01_Вводные'!$B$22)+IF(OR(16&lt;=('01_Вводные'!$B$15+'01_Вводные'!$B$311),16-('01_Вводные'!$B$15+'01_Вводные'!$B$311)&gt;60),0,INDEX('04_Продажи'!$B$15:$BI$15,1,16-('01_Вводные'!$B$15+'01_Вводные'!$B$311)))*'01_Вводные'!$B$298*MAX(0,'01_Вводные'!$B$22-1)</f>
        <v/>
      </c>
      <c r="R8" s="185">
        <f>IF(OR(17&lt;='01_Вводные'!$B$15,17-'01_Вводные'!$B$15&gt;60),0,INDEX('04_Продажи'!$B$15:$BI$15,1,17-'01_Вводные'!$B$15))*'01_Вводные'!$B$298*MIN(1,'01_Вводные'!$B$22)+IF(OR(17&lt;=('01_Вводные'!$B$15+'01_Вводные'!$B$311),17-('01_Вводные'!$B$15+'01_Вводные'!$B$311)&gt;60),0,INDEX('04_Продажи'!$B$15:$BI$15,1,17-('01_Вводные'!$B$15+'01_Вводные'!$B$311)))*'01_Вводные'!$B$298*MAX(0,'01_Вводные'!$B$22-1)</f>
        <v/>
      </c>
      <c r="S8" s="185">
        <f>IF(OR(18&lt;='01_Вводные'!$B$15,18-'01_Вводные'!$B$15&gt;60),0,INDEX('04_Продажи'!$B$15:$BI$15,1,18-'01_Вводные'!$B$15))*'01_Вводные'!$B$298*MIN(1,'01_Вводные'!$B$22)+IF(OR(18&lt;=('01_Вводные'!$B$15+'01_Вводные'!$B$311),18-('01_Вводные'!$B$15+'01_Вводные'!$B$311)&gt;60),0,INDEX('04_Продажи'!$B$15:$BI$15,1,18-('01_Вводные'!$B$15+'01_Вводные'!$B$311)))*'01_Вводные'!$B$298*MAX(0,'01_Вводные'!$B$22-1)</f>
        <v/>
      </c>
      <c r="T8" s="185">
        <f>IF(OR(19&lt;='01_Вводные'!$B$15,19-'01_Вводные'!$B$15&gt;60),0,INDEX('04_Продажи'!$B$15:$BI$15,1,19-'01_Вводные'!$B$15))*'01_Вводные'!$B$298*MIN(1,'01_Вводные'!$B$22)+IF(OR(19&lt;=('01_Вводные'!$B$15+'01_Вводные'!$B$311),19-('01_Вводные'!$B$15+'01_Вводные'!$B$311)&gt;60),0,INDEX('04_Продажи'!$B$15:$BI$15,1,19-('01_Вводные'!$B$15+'01_Вводные'!$B$311)))*'01_Вводные'!$B$298*MAX(0,'01_Вводные'!$B$22-1)</f>
        <v/>
      </c>
      <c r="U8" s="185">
        <f>IF(OR(20&lt;='01_Вводные'!$B$15,20-'01_Вводные'!$B$15&gt;60),0,INDEX('04_Продажи'!$B$15:$BI$15,1,20-'01_Вводные'!$B$15))*'01_Вводные'!$B$298*MIN(1,'01_Вводные'!$B$22)+IF(OR(20&lt;=('01_Вводные'!$B$15+'01_Вводные'!$B$311),20-('01_Вводные'!$B$15+'01_Вводные'!$B$311)&gt;60),0,INDEX('04_Продажи'!$B$15:$BI$15,1,20-('01_Вводные'!$B$15+'01_Вводные'!$B$311)))*'01_Вводные'!$B$298*MAX(0,'01_Вводные'!$B$22-1)</f>
        <v/>
      </c>
      <c r="V8" s="185">
        <f>IF(OR(21&lt;='01_Вводные'!$B$15,21-'01_Вводные'!$B$15&gt;60),0,INDEX('04_Продажи'!$B$15:$BI$15,1,21-'01_Вводные'!$B$15))*'01_Вводные'!$B$298*MIN(1,'01_Вводные'!$B$22)+IF(OR(21&lt;=('01_Вводные'!$B$15+'01_Вводные'!$B$311),21-('01_Вводные'!$B$15+'01_Вводные'!$B$311)&gt;60),0,INDEX('04_Продажи'!$B$15:$BI$15,1,21-('01_Вводные'!$B$15+'01_Вводные'!$B$311)))*'01_Вводные'!$B$298*MAX(0,'01_Вводные'!$B$22-1)</f>
        <v/>
      </c>
      <c r="W8" s="185">
        <f>IF(OR(22&lt;='01_Вводные'!$B$15,22-'01_Вводные'!$B$15&gt;60),0,INDEX('04_Продажи'!$B$15:$BI$15,1,22-'01_Вводные'!$B$15))*'01_Вводные'!$B$298*MIN(1,'01_Вводные'!$B$22)+IF(OR(22&lt;=('01_Вводные'!$B$15+'01_Вводные'!$B$311),22-('01_Вводные'!$B$15+'01_Вводные'!$B$311)&gt;60),0,INDEX('04_Продажи'!$B$15:$BI$15,1,22-('01_Вводные'!$B$15+'01_Вводные'!$B$311)))*'01_Вводные'!$B$298*MAX(0,'01_Вводные'!$B$22-1)</f>
        <v/>
      </c>
      <c r="X8" s="185">
        <f>IF(OR(23&lt;='01_Вводные'!$B$15,23-'01_Вводные'!$B$15&gt;60),0,INDEX('04_Продажи'!$B$15:$BI$15,1,23-'01_Вводные'!$B$15))*'01_Вводные'!$B$298*MIN(1,'01_Вводные'!$B$22)+IF(OR(23&lt;=('01_Вводные'!$B$15+'01_Вводные'!$B$311),23-('01_Вводные'!$B$15+'01_Вводные'!$B$311)&gt;60),0,INDEX('04_Продажи'!$B$15:$BI$15,1,23-('01_Вводные'!$B$15+'01_Вводные'!$B$311)))*'01_Вводные'!$B$298*MAX(0,'01_Вводные'!$B$22-1)</f>
        <v/>
      </c>
      <c r="Y8" s="185">
        <f>IF(OR(24&lt;='01_Вводные'!$B$15,24-'01_Вводные'!$B$15&gt;60),0,INDEX('04_Продажи'!$B$15:$BI$15,1,24-'01_Вводные'!$B$15))*'01_Вводные'!$B$298*MIN(1,'01_Вводные'!$B$22)+IF(OR(24&lt;=('01_Вводные'!$B$15+'01_Вводные'!$B$311),24-('01_Вводные'!$B$15+'01_Вводные'!$B$311)&gt;60),0,INDEX('04_Продажи'!$B$15:$BI$15,1,24-('01_Вводные'!$B$15+'01_Вводные'!$B$311)))*'01_Вводные'!$B$298*MAX(0,'01_Вводные'!$B$22-1)</f>
        <v/>
      </c>
      <c r="Z8" s="185">
        <f>IF(OR(25&lt;='01_Вводные'!$B$15,25-'01_Вводные'!$B$15&gt;60),0,INDEX('04_Продажи'!$B$15:$BI$15,1,25-'01_Вводные'!$B$15))*'01_Вводные'!$B$298*MIN(1,'01_Вводные'!$B$22)+IF(OR(25&lt;=('01_Вводные'!$B$15+'01_Вводные'!$B$311),25-('01_Вводные'!$B$15+'01_Вводные'!$B$311)&gt;60),0,INDEX('04_Продажи'!$B$15:$BI$15,1,25-('01_Вводные'!$B$15+'01_Вводные'!$B$311)))*'01_Вводные'!$B$298*MAX(0,'01_Вводные'!$B$22-1)</f>
        <v/>
      </c>
      <c r="AA8" s="185">
        <f>IF(OR(26&lt;='01_Вводные'!$B$15,26-'01_Вводные'!$B$15&gt;60),0,INDEX('04_Продажи'!$B$15:$BI$15,1,26-'01_Вводные'!$B$15))*'01_Вводные'!$B$298*MIN(1,'01_Вводные'!$B$22)+IF(OR(26&lt;=('01_Вводные'!$B$15+'01_Вводные'!$B$311),26-('01_Вводные'!$B$15+'01_Вводные'!$B$311)&gt;60),0,INDEX('04_Продажи'!$B$15:$BI$15,1,26-('01_Вводные'!$B$15+'01_Вводные'!$B$311)))*'01_Вводные'!$B$298*MAX(0,'01_Вводные'!$B$22-1)</f>
        <v/>
      </c>
      <c r="AB8" s="185">
        <f>IF(OR(27&lt;='01_Вводные'!$B$15,27-'01_Вводные'!$B$15&gt;60),0,INDEX('04_Продажи'!$B$15:$BI$15,1,27-'01_Вводные'!$B$15))*'01_Вводные'!$B$298*MIN(1,'01_Вводные'!$B$22)+IF(OR(27&lt;=('01_Вводные'!$B$15+'01_Вводные'!$B$311),27-('01_Вводные'!$B$15+'01_Вводные'!$B$311)&gt;60),0,INDEX('04_Продажи'!$B$15:$BI$15,1,27-('01_Вводные'!$B$15+'01_Вводные'!$B$311)))*'01_Вводные'!$B$298*MAX(0,'01_Вводные'!$B$22-1)</f>
        <v/>
      </c>
      <c r="AC8" s="185">
        <f>IF(OR(28&lt;='01_Вводные'!$B$15,28-'01_Вводные'!$B$15&gt;60),0,INDEX('04_Продажи'!$B$15:$BI$15,1,28-'01_Вводные'!$B$15))*'01_Вводные'!$B$298*MIN(1,'01_Вводные'!$B$22)+IF(OR(28&lt;=('01_Вводные'!$B$15+'01_Вводные'!$B$311),28-('01_Вводные'!$B$15+'01_Вводные'!$B$311)&gt;60),0,INDEX('04_Продажи'!$B$15:$BI$15,1,28-('01_Вводные'!$B$15+'01_Вводные'!$B$311)))*'01_Вводные'!$B$298*MAX(0,'01_Вводные'!$B$22-1)</f>
        <v/>
      </c>
      <c r="AD8" s="185">
        <f>IF(OR(29&lt;='01_Вводные'!$B$15,29-'01_Вводные'!$B$15&gt;60),0,INDEX('04_Продажи'!$B$15:$BI$15,1,29-'01_Вводные'!$B$15))*'01_Вводные'!$B$298*MIN(1,'01_Вводные'!$B$22)+IF(OR(29&lt;=('01_Вводные'!$B$15+'01_Вводные'!$B$311),29-('01_Вводные'!$B$15+'01_Вводные'!$B$311)&gt;60),0,INDEX('04_Продажи'!$B$15:$BI$15,1,29-('01_Вводные'!$B$15+'01_Вводные'!$B$311)))*'01_Вводные'!$B$298*MAX(0,'01_Вводные'!$B$22-1)</f>
        <v/>
      </c>
      <c r="AE8" s="185">
        <f>IF(OR(30&lt;='01_Вводные'!$B$15,30-'01_Вводные'!$B$15&gt;60),0,INDEX('04_Продажи'!$B$15:$BI$15,1,30-'01_Вводные'!$B$15))*'01_Вводные'!$B$298*MIN(1,'01_Вводные'!$B$22)+IF(OR(30&lt;=('01_Вводные'!$B$15+'01_Вводные'!$B$311),30-('01_Вводные'!$B$15+'01_Вводные'!$B$311)&gt;60),0,INDEX('04_Продажи'!$B$15:$BI$15,1,30-('01_Вводные'!$B$15+'01_Вводные'!$B$311)))*'01_Вводные'!$B$298*MAX(0,'01_Вводные'!$B$22-1)</f>
        <v/>
      </c>
      <c r="AF8" s="185">
        <f>IF(OR(31&lt;='01_Вводные'!$B$15,31-'01_Вводные'!$B$15&gt;60),0,INDEX('04_Продажи'!$B$15:$BI$15,1,31-'01_Вводные'!$B$15))*'01_Вводные'!$B$298*MIN(1,'01_Вводные'!$B$22)+IF(OR(31&lt;=('01_Вводные'!$B$15+'01_Вводные'!$B$311),31-('01_Вводные'!$B$15+'01_Вводные'!$B$311)&gt;60),0,INDEX('04_Продажи'!$B$15:$BI$15,1,31-('01_Вводные'!$B$15+'01_Вводные'!$B$311)))*'01_Вводные'!$B$298*MAX(0,'01_Вводные'!$B$22-1)</f>
        <v/>
      </c>
      <c r="AG8" s="185">
        <f>IF(OR(32&lt;='01_Вводные'!$B$15,32-'01_Вводные'!$B$15&gt;60),0,INDEX('04_Продажи'!$B$15:$BI$15,1,32-'01_Вводные'!$B$15))*'01_Вводные'!$B$298*MIN(1,'01_Вводные'!$B$22)+IF(OR(32&lt;=('01_Вводные'!$B$15+'01_Вводные'!$B$311),32-('01_Вводные'!$B$15+'01_Вводные'!$B$311)&gt;60),0,INDEX('04_Продажи'!$B$15:$BI$15,1,32-('01_Вводные'!$B$15+'01_Вводные'!$B$311)))*'01_Вводные'!$B$298*MAX(0,'01_Вводные'!$B$22-1)</f>
        <v/>
      </c>
      <c r="AH8" s="185">
        <f>IF(OR(33&lt;='01_Вводные'!$B$15,33-'01_Вводные'!$B$15&gt;60),0,INDEX('04_Продажи'!$B$15:$BI$15,1,33-'01_Вводные'!$B$15))*'01_Вводные'!$B$298*MIN(1,'01_Вводные'!$B$22)+IF(OR(33&lt;=('01_Вводные'!$B$15+'01_Вводные'!$B$311),33-('01_Вводные'!$B$15+'01_Вводные'!$B$311)&gt;60),0,INDEX('04_Продажи'!$B$15:$BI$15,1,33-('01_Вводные'!$B$15+'01_Вводные'!$B$311)))*'01_Вводные'!$B$298*MAX(0,'01_Вводные'!$B$22-1)</f>
        <v/>
      </c>
      <c r="AI8" s="185">
        <f>IF(OR(34&lt;='01_Вводные'!$B$15,34-'01_Вводные'!$B$15&gt;60),0,INDEX('04_Продажи'!$B$15:$BI$15,1,34-'01_Вводные'!$B$15))*'01_Вводные'!$B$298*MIN(1,'01_Вводные'!$B$22)+IF(OR(34&lt;=('01_Вводные'!$B$15+'01_Вводные'!$B$311),34-('01_Вводные'!$B$15+'01_Вводные'!$B$311)&gt;60),0,INDEX('04_Продажи'!$B$15:$BI$15,1,34-('01_Вводные'!$B$15+'01_Вводные'!$B$311)))*'01_Вводные'!$B$298*MAX(0,'01_Вводные'!$B$22-1)</f>
        <v/>
      </c>
      <c r="AJ8" s="185">
        <f>IF(OR(35&lt;='01_Вводные'!$B$15,35-'01_Вводные'!$B$15&gt;60),0,INDEX('04_Продажи'!$B$15:$BI$15,1,35-'01_Вводные'!$B$15))*'01_Вводные'!$B$298*MIN(1,'01_Вводные'!$B$22)+IF(OR(35&lt;=('01_Вводные'!$B$15+'01_Вводные'!$B$311),35-('01_Вводные'!$B$15+'01_Вводные'!$B$311)&gt;60),0,INDEX('04_Продажи'!$B$15:$BI$15,1,35-('01_Вводные'!$B$15+'01_Вводные'!$B$311)))*'01_Вводные'!$B$298*MAX(0,'01_Вводные'!$B$22-1)</f>
        <v/>
      </c>
      <c r="AK8" s="185">
        <f>IF(OR(36&lt;='01_Вводные'!$B$15,36-'01_Вводные'!$B$15&gt;60),0,INDEX('04_Продажи'!$B$15:$BI$15,1,36-'01_Вводные'!$B$15))*'01_Вводные'!$B$298*MIN(1,'01_Вводные'!$B$22)+IF(OR(36&lt;=('01_Вводные'!$B$15+'01_Вводные'!$B$311),36-('01_Вводные'!$B$15+'01_Вводные'!$B$311)&gt;60),0,INDEX('04_Продажи'!$B$15:$BI$15,1,36-('01_Вводные'!$B$15+'01_Вводные'!$B$311)))*'01_Вводные'!$B$298*MAX(0,'01_Вводные'!$B$22-1)</f>
        <v/>
      </c>
      <c r="AL8" s="185">
        <f>IF(OR(37&lt;='01_Вводные'!$B$15,37-'01_Вводные'!$B$15&gt;60),0,INDEX('04_Продажи'!$B$15:$BI$15,1,37-'01_Вводные'!$B$15))*'01_Вводные'!$B$298*MIN(1,'01_Вводные'!$B$22)+IF(OR(37&lt;=('01_Вводные'!$B$15+'01_Вводные'!$B$311),37-('01_Вводные'!$B$15+'01_Вводные'!$B$311)&gt;60),0,INDEX('04_Продажи'!$B$15:$BI$15,1,37-('01_Вводные'!$B$15+'01_Вводные'!$B$311)))*'01_Вводные'!$B$298*MAX(0,'01_Вводные'!$B$22-1)</f>
        <v/>
      </c>
      <c r="AM8" s="185">
        <f>IF(OR(38&lt;='01_Вводные'!$B$15,38-'01_Вводные'!$B$15&gt;60),0,INDEX('04_Продажи'!$B$15:$BI$15,1,38-'01_Вводные'!$B$15))*'01_Вводные'!$B$298*MIN(1,'01_Вводные'!$B$22)+IF(OR(38&lt;=('01_Вводные'!$B$15+'01_Вводные'!$B$311),38-('01_Вводные'!$B$15+'01_Вводные'!$B$311)&gt;60),0,INDEX('04_Продажи'!$B$15:$BI$15,1,38-('01_Вводные'!$B$15+'01_Вводные'!$B$311)))*'01_Вводные'!$B$298*MAX(0,'01_Вводные'!$B$22-1)</f>
        <v/>
      </c>
      <c r="AN8" s="185">
        <f>IF(OR(39&lt;='01_Вводные'!$B$15,39-'01_Вводные'!$B$15&gt;60),0,INDEX('04_Продажи'!$B$15:$BI$15,1,39-'01_Вводные'!$B$15))*'01_Вводные'!$B$298*MIN(1,'01_Вводные'!$B$22)+IF(OR(39&lt;=('01_Вводные'!$B$15+'01_Вводные'!$B$311),39-('01_Вводные'!$B$15+'01_Вводные'!$B$311)&gt;60),0,INDEX('04_Продажи'!$B$15:$BI$15,1,39-('01_Вводные'!$B$15+'01_Вводные'!$B$311)))*'01_Вводные'!$B$298*MAX(0,'01_Вводные'!$B$22-1)</f>
        <v/>
      </c>
      <c r="AO8" s="185">
        <f>IF(OR(40&lt;='01_Вводные'!$B$15,40-'01_Вводные'!$B$15&gt;60),0,INDEX('04_Продажи'!$B$15:$BI$15,1,40-'01_Вводные'!$B$15))*'01_Вводные'!$B$298*MIN(1,'01_Вводные'!$B$22)+IF(OR(40&lt;=('01_Вводные'!$B$15+'01_Вводные'!$B$311),40-('01_Вводные'!$B$15+'01_Вводные'!$B$311)&gt;60),0,INDEX('04_Продажи'!$B$15:$BI$15,1,40-('01_Вводные'!$B$15+'01_Вводные'!$B$311)))*'01_Вводные'!$B$298*MAX(0,'01_Вводные'!$B$22-1)</f>
        <v/>
      </c>
      <c r="AP8" s="185">
        <f>IF(OR(41&lt;='01_Вводные'!$B$15,41-'01_Вводные'!$B$15&gt;60),0,INDEX('04_Продажи'!$B$15:$BI$15,1,41-'01_Вводные'!$B$15))*'01_Вводные'!$B$298*MIN(1,'01_Вводные'!$B$22)+IF(OR(41&lt;=('01_Вводные'!$B$15+'01_Вводные'!$B$311),41-('01_Вводные'!$B$15+'01_Вводные'!$B$311)&gt;60),0,INDEX('04_Продажи'!$B$15:$BI$15,1,41-('01_Вводные'!$B$15+'01_Вводные'!$B$311)))*'01_Вводные'!$B$298*MAX(0,'01_Вводные'!$B$22-1)</f>
        <v/>
      </c>
      <c r="AQ8" s="185">
        <f>IF(OR(42&lt;='01_Вводные'!$B$15,42-'01_Вводные'!$B$15&gt;60),0,INDEX('04_Продажи'!$B$15:$BI$15,1,42-'01_Вводные'!$B$15))*'01_Вводные'!$B$298*MIN(1,'01_Вводные'!$B$22)+IF(OR(42&lt;=('01_Вводные'!$B$15+'01_Вводные'!$B$311),42-('01_Вводные'!$B$15+'01_Вводные'!$B$311)&gt;60),0,INDEX('04_Продажи'!$B$15:$BI$15,1,42-('01_Вводные'!$B$15+'01_Вводные'!$B$311)))*'01_Вводные'!$B$298*MAX(0,'01_Вводные'!$B$22-1)</f>
        <v/>
      </c>
      <c r="AR8" s="185">
        <f>IF(OR(43&lt;='01_Вводные'!$B$15,43-'01_Вводные'!$B$15&gt;60),0,INDEX('04_Продажи'!$B$15:$BI$15,1,43-'01_Вводные'!$B$15))*'01_Вводные'!$B$298*MIN(1,'01_Вводные'!$B$22)+IF(OR(43&lt;=('01_Вводные'!$B$15+'01_Вводные'!$B$311),43-('01_Вводные'!$B$15+'01_Вводные'!$B$311)&gt;60),0,INDEX('04_Продажи'!$B$15:$BI$15,1,43-('01_Вводные'!$B$15+'01_Вводные'!$B$311)))*'01_Вводные'!$B$298*MAX(0,'01_Вводные'!$B$22-1)</f>
        <v/>
      </c>
      <c r="AS8" s="185">
        <f>IF(OR(44&lt;='01_Вводные'!$B$15,44-'01_Вводные'!$B$15&gt;60),0,INDEX('04_Продажи'!$B$15:$BI$15,1,44-'01_Вводные'!$B$15))*'01_Вводные'!$B$298*MIN(1,'01_Вводные'!$B$22)+IF(OR(44&lt;=('01_Вводные'!$B$15+'01_Вводные'!$B$311),44-('01_Вводные'!$B$15+'01_Вводные'!$B$311)&gt;60),0,INDEX('04_Продажи'!$B$15:$BI$15,1,44-('01_Вводные'!$B$15+'01_Вводные'!$B$311)))*'01_Вводные'!$B$298*MAX(0,'01_Вводные'!$B$22-1)</f>
        <v/>
      </c>
      <c r="AT8" s="185">
        <f>IF(OR(45&lt;='01_Вводные'!$B$15,45-'01_Вводные'!$B$15&gt;60),0,INDEX('04_Продажи'!$B$15:$BI$15,1,45-'01_Вводные'!$B$15))*'01_Вводные'!$B$298*MIN(1,'01_Вводные'!$B$22)+IF(OR(45&lt;=('01_Вводные'!$B$15+'01_Вводные'!$B$311),45-('01_Вводные'!$B$15+'01_Вводные'!$B$311)&gt;60),0,INDEX('04_Продажи'!$B$15:$BI$15,1,45-('01_Вводные'!$B$15+'01_Вводные'!$B$311)))*'01_Вводные'!$B$298*MAX(0,'01_Вводные'!$B$22-1)</f>
        <v/>
      </c>
      <c r="AU8" s="185">
        <f>IF(OR(46&lt;='01_Вводные'!$B$15,46-'01_Вводные'!$B$15&gt;60),0,INDEX('04_Продажи'!$B$15:$BI$15,1,46-'01_Вводные'!$B$15))*'01_Вводные'!$B$298*MIN(1,'01_Вводные'!$B$22)+IF(OR(46&lt;=('01_Вводные'!$B$15+'01_Вводные'!$B$311),46-('01_Вводные'!$B$15+'01_Вводные'!$B$311)&gt;60),0,INDEX('04_Продажи'!$B$15:$BI$15,1,46-('01_Вводные'!$B$15+'01_Вводные'!$B$311)))*'01_Вводные'!$B$298*MAX(0,'01_Вводные'!$B$22-1)</f>
        <v/>
      </c>
      <c r="AV8" s="185">
        <f>IF(OR(47&lt;='01_Вводные'!$B$15,47-'01_Вводные'!$B$15&gt;60),0,INDEX('04_Продажи'!$B$15:$BI$15,1,47-'01_Вводные'!$B$15))*'01_Вводные'!$B$298*MIN(1,'01_Вводные'!$B$22)+IF(OR(47&lt;=('01_Вводные'!$B$15+'01_Вводные'!$B$311),47-('01_Вводные'!$B$15+'01_Вводные'!$B$311)&gt;60),0,INDEX('04_Продажи'!$B$15:$BI$15,1,47-('01_Вводные'!$B$15+'01_Вводные'!$B$311)))*'01_Вводные'!$B$298*MAX(0,'01_Вводные'!$B$22-1)</f>
        <v/>
      </c>
      <c r="AW8" s="185">
        <f>IF(OR(48&lt;='01_Вводные'!$B$15,48-'01_Вводные'!$B$15&gt;60),0,INDEX('04_Продажи'!$B$15:$BI$15,1,48-'01_Вводные'!$B$15))*'01_Вводные'!$B$298*MIN(1,'01_Вводные'!$B$22)+IF(OR(48&lt;=('01_Вводные'!$B$15+'01_Вводные'!$B$311),48-('01_Вводные'!$B$15+'01_Вводные'!$B$311)&gt;60),0,INDEX('04_Продажи'!$B$15:$BI$15,1,48-('01_Вводные'!$B$15+'01_Вводные'!$B$311)))*'01_Вводные'!$B$298*MAX(0,'01_Вводные'!$B$22-1)</f>
        <v/>
      </c>
      <c r="AX8" s="185">
        <f>IF(OR(49&lt;='01_Вводные'!$B$15,49-'01_Вводные'!$B$15&gt;60),0,INDEX('04_Продажи'!$B$15:$BI$15,1,49-'01_Вводные'!$B$15))*'01_Вводные'!$B$298*MIN(1,'01_Вводные'!$B$22)+IF(OR(49&lt;=('01_Вводные'!$B$15+'01_Вводные'!$B$311),49-('01_Вводные'!$B$15+'01_Вводные'!$B$311)&gt;60),0,INDEX('04_Продажи'!$B$15:$BI$15,1,49-('01_Вводные'!$B$15+'01_Вводные'!$B$311)))*'01_Вводные'!$B$298*MAX(0,'01_Вводные'!$B$22-1)</f>
        <v/>
      </c>
      <c r="AY8" s="185">
        <f>IF(OR(50&lt;='01_Вводные'!$B$15,50-'01_Вводные'!$B$15&gt;60),0,INDEX('04_Продажи'!$B$15:$BI$15,1,50-'01_Вводные'!$B$15))*'01_Вводные'!$B$298*MIN(1,'01_Вводные'!$B$22)+IF(OR(50&lt;=('01_Вводные'!$B$15+'01_Вводные'!$B$311),50-('01_Вводные'!$B$15+'01_Вводные'!$B$311)&gt;60),0,INDEX('04_Продажи'!$B$15:$BI$15,1,50-('01_Вводные'!$B$15+'01_Вводные'!$B$311)))*'01_Вводные'!$B$298*MAX(0,'01_Вводные'!$B$22-1)</f>
        <v/>
      </c>
      <c r="AZ8" s="185">
        <f>IF(OR(51&lt;='01_Вводные'!$B$15,51-'01_Вводные'!$B$15&gt;60),0,INDEX('04_Продажи'!$B$15:$BI$15,1,51-'01_Вводные'!$B$15))*'01_Вводные'!$B$298*MIN(1,'01_Вводные'!$B$22)+IF(OR(51&lt;=('01_Вводные'!$B$15+'01_Вводные'!$B$311),51-('01_Вводные'!$B$15+'01_Вводные'!$B$311)&gt;60),0,INDEX('04_Продажи'!$B$15:$BI$15,1,51-('01_Вводные'!$B$15+'01_Вводные'!$B$311)))*'01_Вводные'!$B$298*MAX(0,'01_Вводные'!$B$22-1)</f>
        <v/>
      </c>
      <c r="BA8" s="185">
        <f>IF(OR(52&lt;='01_Вводные'!$B$15,52-'01_Вводные'!$B$15&gt;60),0,INDEX('04_Продажи'!$B$15:$BI$15,1,52-'01_Вводные'!$B$15))*'01_Вводные'!$B$298*MIN(1,'01_Вводные'!$B$22)+IF(OR(52&lt;=('01_Вводные'!$B$15+'01_Вводные'!$B$311),52-('01_Вводные'!$B$15+'01_Вводные'!$B$311)&gt;60),0,INDEX('04_Продажи'!$B$15:$BI$15,1,52-('01_Вводные'!$B$15+'01_Вводные'!$B$311)))*'01_Вводные'!$B$298*MAX(0,'01_Вводные'!$B$22-1)</f>
        <v/>
      </c>
      <c r="BB8" s="185">
        <f>IF(OR(53&lt;='01_Вводные'!$B$15,53-'01_Вводные'!$B$15&gt;60),0,INDEX('04_Продажи'!$B$15:$BI$15,1,53-'01_Вводные'!$B$15))*'01_Вводные'!$B$298*MIN(1,'01_Вводные'!$B$22)+IF(OR(53&lt;=('01_Вводные'!$B$15+'01_Вводные'!$B$311),53-('01_Вводные'!$B$15+'01_Вводные'!$B$311)&gt;60),0,INDEX('04_Продажи'!$B$15:$BI$15,1,53-('01_Вводные'!$B$15+'01_Вводные'!$B$311)))*'01_Вводные'!$B$298*MAX(0,'01_Вводные'!$B$22-1)</f>
        <v/>
      </c>
      <c r="BC8" s="185">
        <f>IF(OR(54&lt;='01_Вводные'!$B$15,54-'01_Вводные'!$B$15&gt;60),0,INDEX('04_Продажи'!$B$15:$BI$15,1,54-'01_Вводные'!$B$15))*'01_Вводные'!$B$298*MIN(1,'01_Вводные'!$B$22)+IF(OR(54&lt;=('01_Вводные'!$B$15+'01_Вводные'!$B$311),54-('01_Вводные'!$B$15+'01_Вводные'!$B$311)&gt;60),0,INDEX('04_Продажи'!$B$15:$BI$15,1,54-('01_Вводные'!$B$15+'01_Вводные'!$B$311)))*'01_Вводные'!$B$298*MAX(0,'01_Вводные'!$B$22-1)</f>
        <v/>
      </c>
      <c r="BD8" s="185">
        <f>IF(OR(55&lt;='01_Вводные'!$B$15,55-'01_Вводные'!$B$15&gt;60),0,INDEX('04_Продажи'!$B$15:$BI$15,1,55-'01_Вводные'!$B$15))*'01_Вводные'!$B$298*MIN(1,'01_Вводные'!$B$22)+IF(OR(55&lt;=('01_Вводные'!$B$15+'01_Вводные'!$B$311),55-('01_Вводные'!$B$15+'01_Вводные'!$B$311)&gt;60),0,INDEX('04_Продажи'!$B$15:$BI$15,1,55-('01_Вводные'!$B$15+'01_Вводные'!$B$311)))*'01_Вводные'!$B$298*MAX(0,'01_Вводные'!$B$22-1)</f>
        <v/>
      </c>
      <c r="BE8" s="185">
        <f>IF(OR(56&lt;='01_Вводные'!$B$15,56-'01_Вводные'!$B$15&gt;60),0,INDEX('04_Продажи'!$B$15:$BI$15,1,56-'01_Вводные'!$B$15))*'01_Вводные'!$B$298*MIN(1,'01_Вводные'!$B$22)+IF(OR(56&lt;=('01_Вводные'!$B$15+'01_Вводные'!$B$311),56-('01_Вводные'!$B$15+'01_Вводные'!$B$311)&gt;60),0,INDEX('04_Продажи'!$B$15:$BI$15,1,56-('01_Вводные'!$B$15+'01_Вводные'!$B$311)))*'01_Вводные'!$B$298*MAX(0,'01_Вводные'!$B$22-1)</f>
        <v/>
      </c>
      <c r="BF8" s="185">
        <f>IF(OR(57&lt;='01_Вводные'!$B$15,57-'01_Вводные'!$B$15&gt;60),0,INDEX('04_Продажи'!$B$15:$BI$15,1,57-'01_Вводные'!$B$15))*'01_Вводные'!$B$298*MIN(1,'01_Вводные'!$B$22)+IF(OR(57&lt;=('01_Вводные'!$B$15+'01_Вводные'!$B$311),57-('01_Вводные'!$B$15+'01_Вводные'!$B$311)&gt;60),0,INDEX('04_Продажи'!$B$15:$BI$15,1,57-('01_Вводные'!$B$15+'01_Вводные'!$B$311)))*'01_Вводные'!$B$298*MAX(0,'01_Вводные'!$B$22-1)</f>
        <v/>
      </c>
      <c r="BG8" s="185">
        <f>IF(OR(58&lt;='01_Вводные'!$B$15,58-'01_Вводные'!$B$15&gt;60),0,INDEX('04_Продажи'!$B$15:$BI$15,1,58-'01_Вводные'!$B$15))*'01_Вводные'!$B$298*MIN(1,'01_Вводные'!$B$22)+IF(OR(58&lt;=('01_Вводные'!$B$15+'01_Вводные'!$B$311),58-('01_Вводные'!$B$15+'01_Вводные'!$B$311)&gt;60),0,INDEX('04_Продажи'!$B$15:$BI$15,1,58-('01_Вводные'!$B$15+'01_Вводные'!$B$311)))*'01_Вводные'!$B$298*MAX(0,'01_Вводные'!$B$22-1)</f>
        <v/>
      </c>
      <c r="BH8" s="185">
        <f>IF(OR(59&lt;='01_Вводные'!$B$15,59-'01_Вводные'!$B$15&gt;60),0,INDEX('04_Продажи'!$B$15:$BI$15,1,59-'01_Вводные'!$B$15))*'01_Вводные'!$B$298*MIN(1,'01_Вводные'!$B$22)+IF(OR(59&lt;=('01_Вводные'!$B$15+'01_Вводные'!$B$311),59-('01_Вводные'!$B$15+'01_Вводные'!$B$311)&gt;60),0,INDEX('04_Продажи'!$B$15:$BI$15,1,59-('01_Вводные'!$B$15+'01_Вводные'!$B$311)))*'01_Вводные'!$B$298*MAX(0,'01_Вводные'!$B$22-1)</f>
        <v/>
      </c>
      <c r="BI8" s="185">
        <f>IF(OR(60&lt;='01_Вводные'!$B$15,60-'01_Вводные'!$B$15&gt;60),0,INDEX('04_Продажи'!$B$15:$BI$15,1,60-'01_Вводные'!$B$15))*'01_Вводные'!$B$298*MIN(1,'01_Вводные'!$B$22)+IF(OR(60&lt;=('01_Вводные'!$B$15+'01_Вводные'!$B$311),60-('01_Вводные'!$B$15+'01_Вводные'!$B$311)&gt;60),0,INDEX('04_Продажи'!$B$15:$BI$15,1,60-('01_Вводные'!$B$15+'01_Вводные'!$B$311)))*'01_Вводные'!$B$298*MAX(0,'01_Вводные'!$B$22-1)</f>
        <v/>
      </c>
      <c r="BJ8" s="185">
        <f>IF(OR(61&lt;='01_Вводные'!$B$15,61-'01_Вводные'!$B$15&gt;60),0,INDEX('04_Продажи'!$B$15:$BI$15,1,61-'01_Вводные'!$B$15))*'01_Вводные'!$B$298*MIN(1,'01_Вводные'!$B$22)+IF(OR(61&lt;=('01_Вводные'!$B$15+'01_Вводные'!$B$311),61-('01_Вводные'!$B$15+'01_Вводные'!$B$311)&gt;60),0,INDEX('04_Продажи'!$B$15:$BI$15,1,61-('01_Вводные'!$B$15+'01_Вводные'!$B$311)))*'01_Вводные'!$B$298*MAX(0,'01_Вводные'!$B$22-1)</f>
        <v/>
      </c>
      <c r="BK8" s="185">
        <f>IF(OR(62&lt;='01_Вводные'!$B$15,62-'01_Вводные'!$B$15&gt;60),0,INDEX('04_Продажи'!$B$15:$BI$15,1,62-'01_Вводные'!$B$15))*'01_Вводные'!$B$298*MIN(1,'01_Вводные'!$B$22)+IF(OR(62&lt;=('01_Вводные'!$B$15+'01_Вводные'!$B$311),62-('01_Вводные'!$B$15+'01_Вводные'!$B$311)&gt;60),0,INDEX('04_Продажи'!$B$15:$BI$15,1,62-('01_Вводные'!$B$15+'01_Вводные'!$B$311)))*'01_Вводные'!$B$298*MAX(0,'01_Вводные'!$B$22-1)</f>
        <v/>
      </c>
      <c r="BL8" s="185">
        <f>IF(OR(63&lt;='01_Вводные'!$B$15,63-'01_Вводные'!$B$15&gt;60),0,INDEX('04_Продажи'!$B$15:$BI$15,1,63-'01_Вводные'!$B$15))*'01_Вводные'!$B$298*MIN(1,'01_Вводные'!$B$22)+IF(OR(63&lt;=('01_Вводные'!$B$15+'01_Вводные'!$B$311),63-('01_Вводные'!$B$15+'01_Вводные'!$B$311)&gt;60),0,INDEX('04_Продажи'!$B$15:$BI$15,1,63-('01_Вводные'!$B$15+'01_Вводные'!$B$311)))*'01_Вводные'!$B$298*MAX(0,'01_Вводные'!$B$22-1)</f>
        <v/>
      </c>
      <c r="BM8" s="185">
        <f>IF(OR(64&lt;='01_Вводные'!$B$15,64-'01_Вводные'!$B$15&gt;60),0,INDEX('04_Продажи'!$B$15:$BI$15,1,64-'01_Вводные'!$B$15))*'01_Вводные'!$B$298*MIN(1,'01_Вводные'!$B$22)+IF(OR(64&lt;=('01_Вводные'!$B$15+'01_Вводные'!$B$311),64-('01_Вводные'!$B$15+'01_Вводные'!$B$311)&gt;60),0,INDEX('04_Продажи'!$B$15:$BI$15,1,64-('01_Вводные'!$B$15+'01_Вводные'!$B$311)))*'01_Вводные'!$B$298*MAX(0,'01_Вводные'!$B$22-1)</f>
        <v/>
      </c>
      <c r="BN8" s="185">
        <f>IF(OR(65&lt;='01_Вводные'!$B$15,65-'01_Вводные'!$B$15&gt;60),0,INDEX('04_Продажи'!$B$15:$BI$15,1,65-'01_Вводные'!$B$15))*'01_Вводные'!$B$298*MIN(1,'01_Вводные'!$B$22)+IF(OR(65&lt;=('01_Вводные'!$B$15+'01_Вводные'!$B$311),65-('01_Вводные'!$B$15+'01_Вводные'!$B$311)&gt;60),0,INDEX('04_Продажи'!$B$15:$BI$15,1,65-('01_Вводные'!$B$15+'01_Вводные'!$B$311)))*'01_Вводные'!$B$298*MAX(0,'01_Вводные'!$B$22-1)</f>
        <v/>
      </c>
      <c r="BO8" s="185">
        <f>IF(OR(66&lt;='01_Вводные'!$B$15,66-'01_Вводные'!$B$15&gt;60),0,INDEX('04_Продажи'!$B$15:$BI$15,1,66-'01_Вводные'!$B$15))*'01_Вводные'!$B$298*MIN(1,'01_Вводные'!$B$22)+IF(OR(66&lt;=('01_Вводные'!$B$15+'01_Вводные'!$B$311),66-('01_Вводные'!$B$15+'01_Вводные'!$B$311)&gt;60),0,INDEX('04_Продажи'!$B$15:$BI$15,1,66-('01_Вводные'!$B$15+'01_Вводные'!$B$311)))*'01_Вводные'!$B$298*MAX(0,'01_Вводные'!$B$22-1)</f>
        <v/>
      </c>
    </row>
    <row r="9">
      <c r="A9" s="2" t="inlineStr">
        <is>
          <t>Новые юрлица</t>
        </is>
      </c>
      <c r="B9" s="42">
        <f>B7*'01_Вводные'!$B$16</f>
        <v/>
      </c>
      <c r="C9" s="42">
        <f>C7*'01_Вводные'!$B$16</f>
        <v/>
      </c>
      <c r="D9" s="42">
        <f>D7*'01_Вводные'!$B$16</f>
        <v/>
      </c>
      <c r="E9" s="42">
        <f>E7*'01_Вводные'!$B$16</f>
        <v/>
      </c>
      <c r="F9" s="42">
        <f>F7*'01_Вводные'!$B$16</f>
        <v/>
      </c>
      <c r="G9" s="42">
        <f>G7*'01_Вводные'!$B$16</f>
        <v/>
      </c>
      <c r="H9" s="42">
        <f>H7*'01_Вводные'!$B$16</f>
        <v/>
      </c>
      <c r="I9" s="42">
        <f>I7*'01_Вводные'!$B$16</f>
        <v/>
      </c>
      <c r="J9" s="42">
        <f>J7*'01_Вводные'!$B$16</f>
        <v/>
      </c>
      <c r="K9" s="42">
        <f>K7*'01_Вводные'!$B$16</f>
        <v/>
      </c>
      <c r="L9" s="42">
        <f>L7*'01_Вводные'!$B$16</f>
        <v/>
      </c>
      <c r="M9" s="42">
        <f>M7*'01_Вводные'!$B$16</f>
        <v/>
      </c>
      <c r="N9" s="42">
        <f>N7*'01_Вводные'!$B$16</f>
        <v/>
      </c>
      <c r="O9" s="42">
        <f>O7*'01_Вводные'!$B$16</f>
        <v/>
      </c>
      <c r="P9" s="42">
        <f>P7*'01_Вводные'!$B$16</f>
        <v/>
      </c>
      <c r="Q9" s="42">
        <f>Q7*'01_Вводные'!$B$16</f>
        <v/>
      </c>
      <c r="R9" s="42">
        <f>R7*'01_Вводные'!$B$16</f>
        <v/>
      </c>
      <c r="S9" s="42">
        <f>S7*'01_Вводные'!$B$16</f>
        <v/>
      </c>
      <c r="T9" s="42">
        <f>T7*'01_Вводные'!$B$16</f>
        <v/>
      </c>
      <c r="U9" s="42">
        <f>U7*'01_Вводные'!$B$16</f>
        <v/>
      </c>
      <c r="V9" s="42">
        <f>V7*'01_Вводные'!$B$16</f>
        <v/>
      </c>
      <c r="W9" s="42">
        <f>W7*'01_Вводные'!$B$16</f>
        <v/>
      </c>
      <c r="X9" s="42">
        <f>X7*'01_Вводные'!$B$16</f>
        <v/>
      </c>
      <c r="Y9" s="42">
        <f>Y7*'01_Вводные'!$B$16</f>
        <v/>
      </c>
      <c r="Z9" s="42">
        <f>Z7*'01_Вводные'!$B$16</f>
        <v/>
      </c>
      <c r="AA9" s="42">
        <f>AA7*'01_Вводные'!$B$16</f>
        <v/>
      </c>
      <c r="AB9" s="42">
        <f>AB7*'01_Вводные'!$B$16</f>
        <v/>
      </c>
      <c r="AC9" s="42">
        <f>AC7*'01_Вводные'!$B$16</f>
        <v/>
      </c>
      <c r="AD9" s="42">
        <f>AD7*'01_Вводные'!$B$16</f>
        <v/>
      </c>
      <c r="AE9" s="42">
        <f>AE7*'01_Вводные'!$B$16</f>
        <v/>
      </c>
      <c r="AF9" s="42">
        <f>AF7*'01_Вводные'!$B$16</f>
        <v/>
      </c>
      <c r="AG9" s="42">
        <f>AG7*'01_Вводные'!$B$16</f>
        <v/>
      </c>
      <c r="AH9" s="42">
        <f>AH7*'01_Вводные'!$B$16</f>
        <v/>
      </c>
      <c r="AI9" s="42">
        <f>AI7*'01_Вводные'!$B$16</f>
        <v/>
      </c>
      <c r="AJ9" s="42">
        <f>AJ7*'01_Вводные'!$B$16</f>
        <v/>
      </c>
      <c r="AK9" s="42">
        <f>AK7*'01_Вводные'!$B$16</f>
        <v/>
      </c>
      <c r="AL9" s="42">
        <f>AL7*'01_Вводные'!$B$16</f>
        <v/>
      </c>
      <c r="AM9" s="42">
        <f>AM7*'01_Вводные'!$B$16</f>
        <v/>
      </c>
      <c r="AN9" s="42">
        <f>AN7*'01_Вводные'!$B$16</f>
        <v/>
      </c>
      <c r="AO9" s="42">
        <f>AO7*'01_Вводные'!$B$16</f>
        <v/>
      </c>
      <c r="AP9" s="42">
        <f>AP7*'01_Вводные'!$B$16</f>
        <v/>
      </c>
      <c r="AQ9" s="42">
        <f>AQ7*'01_Вводные'!$B$16</f>
        <v/>
      </c>
      <c r="AR9" s="42">
        <f>AR7*'01_Вводные'!$B$16</f>
        <v/>
      </c>
      <c r="AS9" s="42">
        <f>AS7*'01_Вводные'!$B$16</f>
        <v/>
      </c>
      <c r="AT9" s="42">
        <f>AT7*'01_Вводные'!$B$16</f>
        <v/>
      </c>
      <c r="AU9" s="42">
        <f>AU7*'01_Вводные'!$B$16</f>
        <v/>
      </c>
      <c r="AV9" s="42">
        <f>AV7*'01_Вводные'!$B$16</f>
        <v/>
      </c>
      <c r="AW9" s="42">
        <f>AW7*'01_Вводные'!$B$16</f>
        <v/>
      </c>
      <c r="AX9" s="42">
        <f>AX7*'01_Вводные'!$B$16</f>
        <v/>
      </c>
      <c r="AY9" s="42">
        <f>AY7*'01_Вводные'!$B$16</f>
        <v/>
      </c>
      <c r="AZ9" s="42">
        <f>AZ7*'01_Вводные'!$B$16</f>
        <v/>
      </c>
      <c r="BA9" s="42">
        <f>BA7*'01_Вводные'!$B$16</f>
        <v/>
      </c>
      <c r="BB9" s="42">
        <f>BB7*'01_Вводные'!$B$16</f>
        <v/>
      </c>
      <c r="BC9" s="42">
        <f>BC7*'01_Вводные'!$B$16</f>
        <v/>
      </c>
      <c r="BD9" s="42">
        <f>BD7*'01_Вводные'!$B$16</f>
        <v/>
      </c>
      <c r="BE9" s="42">
        <f>BE7*'01_Вводные'!$B$16</f>
        <v/>
      </c>
      <c r="BF9" s="42">
        <f>BF7*'01_Вводные'!$B$16</f>
        <v/>
      </c>
      <c r="BG9" s="42">
        <f>BG7*'01_Вводные'!$B$16</f>
        <v/>
      </c>
      <c r="BH9" s="42">
        <f>BH7*'01_Вводные'!$B$16</f>
        <v/>
      </c>
      <c r="BI9" s="42">
        <f>BI7*'01_Вводные'!$B$16</f>
        <v/>
      </c>
      <c r="BJ9" s="42">
        <f>BJ7*'01_Вводные'!$B$16</f>
        <v/>
      </c>
      <c r="BK9" s="42">
        <f>BK7*'01_Вводные'!$B$16</f>
        <v/>
      </c>
      <c r="BL9" s="42">
        <f>BL7*'01_Вводные'!$B$16</f>
        <v/>
      </c>
      <c r="BM9" s="42">
        <f>BM7*'01_Вводные'!$B$16</f>
        <v/>
      </c>
      <c r="BN9" s="42">
        <f>BN7*'01_Вводные'!$B$16</f>
        <v/>
      </c>
      <c r="BO9" s="42">
        <f>BO7*'01_Вводные'!$B$16</f>
        <v/>
      </c>
    </row>
    <row r="10">
      <c r="A10" s="2" t="inlineStr">
        <is>
          <t>Активные юрлица</t>
        </is>
      </c>
      <c r="B10" s="42">
        <f>'01_Вводные'!$B$10*'01_Вводные'!$B$14+B9</f>
        <v/>
      </c>
      <c r="C10" s="42">
        <f>B10*'01_Вводные'!$B$14+C9</f>
        <v/>
      </c>
      <c r="D10" s="42">
        <f>C10*'01_Вводные'!$B$14+D9</f>
        <v/>
      </c>
      <c r="E10" s="42">
        <f>D10*'01_Вводные'!$B$14+E9</f>
        <v/>
      </c>
      <c r="F10" s="42">
        <f>E10*'01_Вводные'!$B$14+F9</f>
        <v/>
      </c>
      <c r="G10" s="42">
        <f>F10*'01_Вводные'!$B$14+G9</f>
        <v/>
      </c>
      <c r="H10" s="42">
        <f>G10*'01_Вводные'!$B$14+H9</f>
        <v/>
      </c>
      <c r="I10" s="42">
        <f>H10*'01_Вводные'!$B$14+I9</f>
        <v/>
      </c>
      <c r="J10" s="42">
        <f>I10*'01_Вводные'!$B$14+J9</f>
        <v/>
      </c>
      <c r="K10" s="42">
        <f>J10*'01_Вводные'!$B$14+K9</f>
        <v/>
      </c>
      <c r="L10" s="42">
        <f>K10*'01_Вводные'!$B$14+L9</f>
        <v/>
      </c>
      <c r="M10" s="42">
        <f>L10*'01_Вводные'!$B$14+M9</f>
        <v/>
      </c>
      <c r="N10" s="42">
        <f>M10*'01_Вводные'!$B$14+N9</f>
        <v/>
      </c>
      <c r="O10" s="42">
        <f>N10*'01_Вводные'!$B$14+O9</f>
        <v/>
      </c>
      <c r="P10" s="42">
        <f>O10*'01_Вводные'!$B$14+P9</f>
        <v/>
      </c>
      <c r="Q10" s="42">
        <f>P10*'01_Вводные'!$B$14+Q9</f>
        <v/>
      </c>
      <c r="R10" s="42">
        <f>Q10*'01_Вводные'!$B$14+R9</f>
        <v/>
      </c>
      <c r="S10" s="42">
        <f>R10*'01_Вводные'!$B$14+S9</f>
        <v/>
      </c>
      <c r="T10" s="42">
        <f>S10*'01_Вводные'!$B$14+T9</f>
        <v/>
      </c>
      <c r="U10" s="42">
        <f>T10*'01_Вводные'!$B$14+U9</f>
        <v/>
      </c>
      <c r="V10" s="42">
        <f>U10*'01_Вводные'!$B$14+V9</f>
        <v/>
      </c>
      <c r="W10" s="42">
        <f>V10*'01_Вводные'!$B$14+W9</f>
        <v/>
      </c>
      <c r="X10" s="42">
        <f>W10*'01_Вводные'!$B$14+X9</f>
        <v/>
      </c>
      <c r="Y10" s="42">
        <f>X10*'01_Вводные'!$B$14+Y9</f>
        <v/>
      </c>
      <c r="Z10" s="42">
        <f>Y10*'01_Вводные'!$B$14+Z9</f>
        <v/>
      </c>
      <c r="AA10" s="42">
        <f>Z10*'01_Вводные'!$B$14+AA9</f>
        <v/>
      </c>
      <c r="AB10" s="42">
        <f>AA10*'01_Вводные'!$B$14+AB9</f>
        <v/>
      </c>
      <c r="AC10" s="42">
        <f>AB10*'01_Вводные'!$B$14+AC9</f>
        <v/>
      </c>
      <c r="AD10" s="42">
        <f>AC10*'01_Вводные'!$B$14+AD9</f>
        <v/>
      </c>
      <c r="AE10" s="42">
        <f>AD10*'01_Вводные'!$B$14+AE9</f>
        <v/>
      </c>
      <c r="AF10" s="42">
        <f>AE10*'01_Вводные'!$B$14+AF9</f>
        <v/>
      </c>
      <c r="AG10" s="42">
        <f>AF10*'01_Вводные'!$B$14+AG9</f>
        <v/>
      </c>
      <c r="AH10" s="42">
        <f>AG10*'01_Вводные'!$B$14+AH9</f>
        <v/>
      </c>
      <c r="AI10" s="42">
        <f>AH10*'01_Вводные'!$B$14+AI9</f>
        <v/>
      </c>
      <c r="AJ10" s="42">
        <f>AI10*'01_Вводные'!$B$14+AJ9</f>
        <v/>
      </c>
      <c r="AK10" s="42">
        <f>AJ10*'01_Вводные'!$B$14+AK9</f>
        <v/>
      </c>
      <c r="AL10" s="42">
        <f>AK10*'01_Вводные'!$B$14+AL9</f>
        <v/>
      </c>
      <c r="AM10" s="42">
        <f>AL10*'01_Вводные'!$B$14+AM9</f>
        <v/>
      </c>
      <c r="AN10" s="42">
        <f>AM10*'01_Вводные'!$B$14+AN9</f>
        <v/>
      </c>
      <c r="AO10" s="42">
        <f>AN10*'01_Вводные'!$B$14+AO9</f>
        <v/>
      </c>
      <c r="AP10" s="42">
        <f>AO10*'01_Вводные'!$B$14+AP9</f>
        <v/>
      </c>
      <c r="AQ10" s="42">
        <f>AP10*'01_Вводные'!$B$14+AQ9</f>
        <v/>
      </c>
      <c r="AR10" s="42">
        <f>AQ10*'01_Вводные'!$B$14+AR9</f>
        <v/>
      </c>
      <c r="AS10" s="42">
        <f>AR10*'01_Вводные'!$B$14+AS9</f>
        <v/>
      </c>
      <c r="AT10" s="42">
        <f>AS10*'01_Вводные'!$B$14+AT9</f>
        <v/>
      </c>
      <c r="AU10" s="42">
        <f>AT10*'01_Вводные'!$B$14+AU9</f>
        <v/>
      </c>
      <c r="AV10" s="42">
        <f>AU10*'01_Вводные'!$B$14+AV9</f>
        <v/>
      </c>
      <c r="AW10" s="42">
        <f>AV10*'01_Вводные'!$B$14+AW9</f>
        <v/>
      </c>
      <c r="AX10" s="42">
        <f>AW10*'01_Вводные'!$B$14+AX9</f>
        <v/>
      </c>
      <c r="AY10" s="42">
        <f>AX10*'01_Вводные'!$B$14+AY9</f>
        <v/>
      </c>
      <c r="AZ10" s="42">
        <f>AY10*'01_Вводные'!$B$14+AZ9</f>
        <v/>
      </c>
      <c r="BA10" s="42">
        <f>AZ10*'01_Вводные'!$B$14+BA9</f>
        <v/>
      </c>
      <c r="BB10" s="42">
        <f>BA10*'01_Вводные'!$B$14+BB9</f>
        <v/>
      </c>
      <c r="BC10" s="42">
        <f>BB10*'01_Вводные'!$B$14+BC9</f>
        <v/>
      </c>
      <c r="BD10" s="42">
        <f>BC10*'01_Вводные'!$B$14+BD9</f>
        <v/>
      </c>
      <c r="BE10" s="42">
        <f>BD10*'01_Вводные'!$B$14+BE9</f>
        <v/>
      </c>
      <c r="BF10" s="42">
        <f>BE10*'01_Вводные'!$B$14+BF9</f>
        <v/>
      </c>
      <c r="BG10" s="42">
        <f>BF10*'01_Вводные'!$B$14+BG9</f>
        <v/>
      </c>
      <c r="BH10" s="42">
        <f>BG10*'01_Вводные'!$B$14+BH9</f>
        <v/>
      </c>
      <c r="BI10" s="42">
        <f>BH10*'01_Вводные'!$B$14+BI9</f>
        <v/>
      </c>
      <c r="BJ10" s="42">
        <f>BI10*'01_Вводные'!$B$14+BJ9</f>
        <v/>
      </c>
      <c r="BK10" s="42">
        <f>BJ10*'01_Вводные'!$B$14+BK9</f>
        <v/>
      </c>
      <c r="BL10" s="42">
        <f>BK10*'01_Вводные'!$B$14+BL9</f>
        <v/>
      </c>
      <c r="BM10" s="42">
        <f>BL10*'01_Вводные'!$B$14+BM9</f>
        <v/>
      </c>
      <c r="BN10" s="42">
        <f>BM10*'01_Вводные'!$B$14+BN9</f>
        <v/>
      </c>
      <c r="BO10" s="42">
        <f>BN10*'01_Вводные'!$B$14+BO9</f>
        <v/>
      </c>
    </row>
    <row r="11">
      <c r="A11" s="2" t="inlineStr">
        <is>
          <t>Действующая сеть — школы</t>
        </is>
      </c>
      <c r="B11" s="42">
        <f>'01_Вводные'!$B$9*'01_Вводные'!$B$14</f>
        <v/>
      </c>
      <c r="C11" s="42">
        <f>B11*'01_Вводные'!$B$14</f>
        <v/>
      </c>
      <c r="D11" s="42">
        <f>C11*'01_Вводные'!$B$14</f>
        <v/>
      </c>
      <c r="E11" s="42">
        <f>D11*'01_Вводные'!$B$14</f>
        <v/>
      </c>
      <c r="F11" s="42">
        <f>E11*'01_Вводные'!$B$14</f>
        <v/>
      </c>
      <c r="G11" s="42">
        <f>F11*'01_Вводные'!$B$14</f>
        <v/>
      </c>
      <c r="H11" s="42">
        <f>G11*'01_Вводные'!$B$14</f>
        <v/>
      </c>
      <c r="I11" s="42">
        <f>H11*'01_Вводные'!$B$14</f>
        <v/>
      </c>
      <c r="J11" s="42">
        <f>I11*'01_Вводные'!$B$14</f>
        <v/>
      </c>
      <c r="K11" s="42">
        <f>J11*'01_Вводные'!$B$14</f>
        <v/>
      </c>
      <c r="L11" s="42">
        <f>K11*'01_Вводные'!$B$14</f>
        <v/>
      </c>
      <c r="M11" s="42">
        <f>L11*'01_Вводные'!$B$14</f>
        <v/>
      </c>
      <c r="N11" s="42">
        <f>M11*'01_Вводные'!$B$14</f>
        <v/>
      </c>
      <c r="O11" s="42">
        <f>N11*'01_Вводные'!$B$14</f>
        <v/>
      </c>
      <c r="P11" s="42">
        <f>O11*'01_Вводные'!$B$14</f>
        <v/>
      </c>
      <c r="Q11" s="42">
        <f>P11*'01_Вводные'!$B$14</f>
        <v/>
      </c>
      <c r="R11" s="42">
        <f>Q11*'01_Вводные'!$B$14</f>
        <v/>
      </c>
      <c r="S11" s="42">
        <f>R11*'01_Вводные'!$B$14</f>
        <v/>
      </c>
      <c r="T11" s="42">
        <f>S11*'01_Вводные'!$B$14</f>
        <v/>
      </c>
      <c r="U11" s="42">
        <f>T11*'01_Вводные'!$B$14</f>
        <v/>
      </c>
      <c r="V11" s="42">
        <f>U11*'01_Вводные'!$B$14</f>
        <v/>
      </c>
      <c r="W11" s="42">
        <f>V11*'01_Вводные'!$B$14</f>
        <v/>
      </c>
      <c r="X11" s="42">
        <f>W11*'01_Вводные'!$B$14</f>
        <v/>
      </c>
      <c r="Y11" s="42">
        <f>X11*'01_Вводные'!$B$14</f>
        <v/>
      </c>
      <c r="Z11" s="42">
        <f>Y11*'01_Вводные'!$B$14</f>
        <v/>
      </c>
      <c r="AA11" s="42">
        <f>Z11*'01_Вводные'!$B$14</f>
        <v/>
      </c>
      <c r="AB11" s="42">
        <f>AA11*'01_Вводные'!$B$14</f>
        <v/>
      </c>
      <c r="AC11" s="42">
        <f>AB11*'01_Вводные'!$B$14</f>
        <v/>
      </c>
      <c r="AD11" s="42">
        <f>AC11*'01_Вводные'!$B$14</f>
        <v/>
      </c>
      <c r="AE11" s="42">
        <f>AD11*'01_Вводные'!$B$14</f>
        <v/>
      </c>
      <c r="AF11" s="42">
        <f>AE11*'01_Вводные'!$B$14</f>
        <v/>
      </c>
      <c r="AG11" s="42">
        <f>AF11*'01_Вводные'!$B$14</f>
        <v/>
      </c>
      <c r="AH11" s="42">
        <f>AG11*'01_Вводные'!$B$14</f>
        <v/>
      </c>
      <c r="AI11" s="42">
        <f>AH11*'01_Вводные'!$B$14</f>
        <v/>
      </c>
      <c r="AJ11" s="42">
        <f>AI11*'01_Вводные'!$B$14</f>
        <v/>
      </c>
      <c r="AK11" s="42">
        <f>AJ11*'01_Вводные'!$B$14</f>
        <v/>
      </c>
      <c r="AL11" s="42">
        <f>AK11*'01_Вводные'!$B$14</f>
        <v/>
      </c>
      <c r="AM11" s="42">
        <f>AL11*'01_Вводные'!$B$14</f>
        <v/>
      </c>
      <c r="AN11" s="42">
        <f>AM11*'01_Вводные'!$B$14</f>
        <v/>
      </c>
      <c r="AO11" s="42">
        <f>AN11*'01_Вводные'!$B$14</f>
        <v/>
      </c>
      <c r="AP11" s="42">
        <f>AO11*'01_Вводные'!$B$14</f>
        <v/>
      </c>
      <c r="AQ11" s="42">
        <f>AP11*'01_Вводные'!$B$14</f>
        <v/>
      </c>
      <c r="AR11" s="42">
        <f>AQ11*'01_Вводные'!$B$14</f>
        <v/>
      </c>
      <c r="AS11" s="42">
        <f>AR11*'01_Вводные'!$B$14</f>
        <v/>
      </c>
      <c r="AT11" s="42">
        <f>AS11*'01_Вводные'!$B$14</f>
        <v/>
      </c>
      <c r="AU11" s="42">
        <f>AT11*'01_Вводные'!$B$14</f>
        <v/>
      </c>
      <c r="AV11" s="42">
        <f>AU11*'01_Вводные'!$B$14</f>
        <v/>
      </c>
      <c r="AW11" s="42">
        <f>AV11*'01_Вводные'!$B$14</f>
        <v/>
      </c>
      <c r="AX11" s="42">
        <f>AW11*'01_Вводные'!$B$14</f>
        <v/>
      </c>
      <c r="AY11" s="42">
        <f>AX11*'01_Вводные'!$B$14</f>
        <v/>
      </c>
      <c r="AZ11" s="42">
        <f>AY11*'01_Вводные'!$B$14</f>
        <v/>
      </c>
      <c r="BA11" s="42">
        <f>AZ11*'01_Вводные'!$B$14</f>
        <v/>
      </c>
      <c r="BB11" s="42">
        <f>BA11*'01_Вводные'!$B$14</f>
        <v/>
      </c>
      <c r="BC11" s="42">
        <f>BB11*'01_Вводные'!$B$14</f>
        <v/>
      </c>
      <c r="BD11" s="42">
        <f>BC11*'01_Вводные'!$B$14</f>
        <v/>
      </c>
      <c r="BE11" s="42">
        <f>BD11*'01_Вводные'!$B$14</f>
        <v/>
      </c>
      <c r="BF11" s="42">
        <f>BE11*'01_Вводные'!$B$14</f>
        <v/>
      </c>
      <c r="BG11" s="42">
        <f>BF11*'01_Вводные'!$B$14</f>
        <v/>
      </c>
      <c r="BH11" s="42">
        <f>BG11*'01_Вводные'!$B$14</f>
        <v/>
      </c>
      <c r="BI11" s="42">
        <f>BH11*'01_Вводные'!$B$14</f>
        <v/>
      </c>
      <c r="BJ11" s="42">
        <f>BI11*'01_Вводные'!$B$14</f>
        <v/>
      </c>
      <c r="BK11" s="42">
        <f>BJ11*'01_Вводные'!$B$14</f>
        <v/>
      </c>
      <c r="BL11" s="42">
        <f>BK11*'01_Вводные'!$B$14</f>
        <v/>
      </c>
      <c r="BM11" s="42">
        <f>BL11*'01_Вводные'!$B$14</f>
        <v/>
      </c>
      <c r="BN11" s="42">
        <f>BM11*'01_Вводные'!$B$14</f>
        <v/>
      </c>
      <c r="BO11" s="42">
        <f>BN11*'01_Вводные'!$B$14</f>
        <v/>
      </c>
    </row>
    <row r="12">
      <c r="B12" s="73" t="n"/>
      <c r="C12" s="73" t="n"/>
      <c r="D12" s="73" t="n"/>
      <c r="E12" s="73" t="n"/>
      <c r="F12" s="73" t="n"/>
      <c r="G12" s="73" t="n"/>
      <c r="H12" s="73" t="n"/>
      <c r="I12" s="73" t="n"/>
      <c r="J12" s="73" t="n"/>
      <c r="K12" s="73" t="n"/>
      <c r="L12" s="73" t="n"/>
      <c r="M12" s="73" t="n"/>
      <c r="N12" s="73" t="n"/>
      <c r="O12" s="73" t="n"/>
      <c r="P12" s="73" t="n"/>
      <c r="Q12" s="73" t="n"/>
      <c r="R12" s="73" t="n"/>
      <c r="S12" s="73" t="n"/>
      <c r="T12" s="73" t="n"/>
      <c r="U12" s="73" t="n"/>
      <c r="V12" s="73" t="n"/>
      <c r="W12" s="73" t="n"/>
      <c r="X12" s="73" t="n"/>
      <c r="Y12" s="73" t="n"/>
      <c r="Z12" s="73" t="n"/>
      <c r="AA12" s="73" t="n"/>
      <c r="AB12" s="73" t="n"/>
      <c r="AC12" s="73" t="n"/>
      <c r="AD12" s="73" t="n"/>
      <c r="AE12" s="73" t="n"/>
      <c r="AF12" s="73" t="n"/>
      <c r="AG12" s="73" t="n"/>
      <c r="AH12" s="73" t="n"/>
      <c r="AI12" s="73" t="n"/>
      <c r="AJ12" s="73" t="n"/>
      <c r="AK12" s="73" t="n"/>
      <c r="AL12" s="73" t="n"/>
      <c r="AM12" s="73" t="n"/>
      <c r="AN12" s="73" t="n"/>
      <c r="AO12" s="73" t="n"/>
      <c r="AP12" s="73" t="n"/>
      <c r="AQ12" s="73" t="n"/>
      <c r="AR12" s="73" t="n"/>
      <c r="AS12" s="73" t="n"/>
      <c r="AT12" s="73" t="n"/>
      <c r="AU12" s="73" t="n"/>
      <c r="AV12" s="73" t="n"/>
      <c r="AW12" s="73" t="n"/>
      <c r="AX12" s="73" t="n"/>
      <c r="AY12" s="73" t="n"/>
      <c r="AZ12" s="73" t="n"/>
      <c r="BA12" s="73" t="n"/>
      <c r="BB12" s="73" t="n"/>
      <c r="BC12" s="73" t="n"/>
      <c r="BD12" s="73" t="n"/>
      <c r="BE12" s="73" t="n"/>
      <c r="BF12" s="73" t="n"/>
      <c r="BG12" s="73" t="n"/>
      <c r="BH12" s="73" t="n"/>
      <c r="BI12" s="73" t="n"/>
      <c r="BJ12" s="73" t="n"/>
      <c r="BK12" s="73" t="n"/>
      <c r="BL12" s="73" t="n"/>
      <c r="BM12" s="73" t="n"/>
      <c r="BN12" s="73" t="n"/>
      <c r="BO12" s="73" t="n"/>
    </row>
    <row r="13">
      <c r="A13" s="2" t="inlineStr">
        <is>
          <t>Новые школы — 1–12 мес.</t>
        </is>
      </c>
      <c r="B13" s="187">
        <f>SUM(B53:B64)</f>
        <v/>
      </c>
      <c r="C13" s="187">
        <f>SUM(C53:C64)</f>
        <v/>
      </c>
      <c r="D13" s="187">
        <f>SUM(D53:D64)</f>
        <v/>
      </c>
      <c r="E13" s="187">
        <f>SUM(E53:E64)</f>
        <v/>
      </c>
      <c r="F13" s="187">
        <f>SUM(F53:F64)</f>
        <v/>
      </c>
      <c r="G13" s="187">
        <f>SUM(G53:G64)</f>
        <v/>
      </c>
      <c r="H13" s="187">
        <f>SUM(H53:H64)</f>
        <v/>
      </c>
      <c r="I13" s="187">
        <f>SUM(I53:I64)</f>
        <v/>
      </c>
      <c r="J13" s="187">
        <f>SUM(J53:J64)</f>
        <v/>
      </c>
      <c r="K13" s="187">
        <f>SUM(K53:K64)</f>
        <v/>
      </c>
      <c r="L13" s="187">
        <f>SUM(L53:L64)</f>
        <v/>
      </c>
      <c r="M13" s="187">
        <f>SUM(M53:M64)</f>
        <v/>
      </c>
      <c r="N13" s="187">
        <f>SUM(N53:N64)</f>
        <v/>
      </c>
      <c r="O13" s="187">
        <f>SUM(O53:O64)</f>
        <v/>
      </c>
      <c r="P13" s="187">
        <f>SUM(P53:P64)</f>
        <v/>
      </c>
      <c r="Q13" s="187">
        <f>SUM(Q53:Q64)</f>
        <v/>
      </c>
      <c r="R13" s="187">
        <f>SUM(R53:R64)</f>
        <v/>
      </c>
      <c r="S13" s="187">
        <f>SUM(S53:S64)</f>
        <v/>
      </c>
      <c r="T13" s="187">
        <f>SUM(T53:T64)</f>
        <v/>
      </c>
      <c r="U13" s="187">
        <f>SUM(U53:U64)</f>
        <v/>
      </c>
      <c r="V13" s="187">
        <f>SUM(V53:V64)</f>
        <v/>
      </c>
      <c r="W13" s="187">
        <f>SUM(W53:W64)</f>
        <v/>
      </c>
      <c r="X13" s="187">
        <f>SUM(X53:X64)</f>
        <v/>
      </c>
      <c r="Y13" s="187">
        <f>SUM(Y53:Y64)</f>
        <v/>
      </c>
      <c r="Z13" s="187">
        <f>SUM(Z53:Z64)</f>
        <v/>
      </c>
      <c r="AA13" s="187">
        <f>SUM(AA53:AA64)</f>
        <v/>
      </c>
      <c r="AB13" s="187">
        <f>SUM(AB53:AB64)</f>
        <v/>
      </c>
      <c r="AC13" s="187">
        <f>SUM(AC53:AC64)</f>
        <v/>
      </c>
      <c r="AD13" s="187">
        <f>SUM(AD53:AD64)</f>
        <v/>
      </c>
      <c r="AE13" s="187">
        <f>SUM(AE53:AE64)</f>
        <v/>
      </c>
      <c r="AF13" s="187">
        <f>SUM(AF53:AF64)</f>
        <v/>
      </c>
      <c r="AG13" s="187">
        <f>SUM(AG53:AG64)</f>
        <v/>
      </c>
      <c r="AH13" s="187">
        <f>SUM(AH53:AH64)</f>
        <v/>
      </c>
      <c r="AI13" s="187">
        <f>SUM(AI53:AI64)</f>
        <v/>
      </c>
      <c r="AJ13" s="187">
        <f>SUM(AJ53:AJ64)</f>
        <v/>
      </c>
      <c r="AK13" s="187">
        <f>SUM(AK53:AK64)</f>
        <v/>
      </c>
      <c r="AL13" s="187">
        <f>SUM(AL53:AL64)</f>
        <v/>
      </c>
      <c r="AM13" s="187">
        <f>SUM(AM53:AM64)</f>
        <v/>
      </c>
      <c r="AN13" s="187">
        <f>SUM(AN53:AN64)</f>
        <v/>
      </c>
      <c r="AO13" s="187">
        <f>SUM(AO53:AO64)</f>
        <v/>
      </c>
      <c r="AP13" s="187">
        <f>SUM(AP53:AP64)</f>
        <v/>
      </c>
      <c r="AQ13" s="187">
        <f>SUM(AQ53:AQ64)</f>
        <v/>
      </c>
      <c r="AR13" s="187">
        <f>SUM(AR53:AR64)</f>
        <v/>
      </c>
      <c r="AS13" s="187">
        <f>SUM(AS53:AS64)</f>
        <v/>
      </c>
      <c r="AT13" s="187">
        <f>SUM(AT53:AT64)</f>
        <v/>
      </c>
      <c r="AU13" s="187">
        <f>SUM(AU53:AU64)</f>
        <v/>
      </c>
      <c r="AV13" s="187">
        <f>SUM(AV53:AV64)</f>
        <v/>
      </c>
      <c r="AW13" s="187">
        <f>SUM(AW53:AW64)</f>
        <v/>
      </c>
      <c r="AX13" s="187">
        <f>SUM(AX53:AX64)</f>
        <v/>
      </c>
      <c r="AY13" s="187">
        <f>SUM(AY53:AY64)</f>
        <v/>
      </c>
      <c r="AZ13" s="187">
        <f>SUM(AZ53:AZ64)</f>
        <v/>
      </c>
      <c r="BA13" s="187">
        <f>SUM(BA53:BA64)</f>
        <v/>
      </c>
      <c r="BB13" s="187">
        <f>SUM(BB53:BB64)</f>
        <v/>
      </c>
      <c r="BC13" s="187">
        <f>SUM(BC53:BC64)</f>
        <v/>
      </c>
      <c r="BD13" s="187">
        <f>SUM(BD53:BD64)</f>
        <v/>
      </c>
      <c r="BE13" s="187">
        <f>SUM(BE53:BE64)</f>
        <v/>
      </c>
      <c r="BF13" s="187">
        <f>SUM(BF53:BF64)</f>
        <v/>
      </c>
      <c r="BG13" s="187">
        <f>SUM(BG53:BG64)</f>
        <v/>
      </c>
      <c r="BH13" s="187">
        <f>SUM(BH53:BH64)</f>
        <v/>
      </c>
      <c r="BI13" s="187">
        <f>SUM(BI53:BI64)</f>
        <v/>
      </c>
      <c r="BJ13" s="187">
        <f>SUM(BJ53:BJ64)</f>
        <v/>
      </c>
      <c r="BK13" s="187">
        <f>SUM(BK53:BK64)</f>
        <v/>
      </c>
      <c r="BL13" s="187">
        <f>SUM(BL53:BL64)</f>
        <v/>
      </c>
      <c r="BM13" s="187">
        <f>SUM(BM53:BM64)</f>
        <v/>
      </c>
      <c r="BN13" s="187">
        <f>SUM(BN53:BN64)</f>
        <v/>
      </c>
      <c r="BO13" s="187">
        <f>SUM(BO53:BO64)</f>
        <v/>
      </c>
    </row>
    <row r="14">
      <c r="A14" s="2" t="inlineStr">
        <is>
          <t>Новые школы — 13–24 мес.</t>
        </is>
      </c>
      <c r="B14" s="187">
        <f>SUM(B65:B76)</f>
        <v/>
      </c>
      <c r="C14" s="187">
        <f>SUM(C65:C76)</f>
        <v/>
      </c>
      <c r="D14" s="187">
        <f>SUM(D65:D76)</f>
        <v/>
      </c>
      <c r="E14" s="187">
        <f>SUM(E65:E76)</f>
        <v/>
      </c>
      <c r="F14" s="187">
        <f>SUM(F65:F76)</f>
        <v/>
      </c>
      <c r="G14" s="187">
        <f>SUM(G65:G76)</f>
        <v/>
      </c>
      <c r="H14" s="187">
        <f>SUM(H65:H76)</f>
        <v/>
      </c>
      <c r="I14" s="187">
        <f>SUM(I65:I76)</f>
        <v/>
      </c>
      <c r="J14" s="187">
        <f>SUM(J65:J76)</f>
        <v/>
      </c>
      <c r="K14" s="187">
        <f>SUM(K65:K76)</f>
        <v/>
      </c>
      <c r="L14" s="187">
        <f>SUM(L65:L76)</f>
        <v/>
      </c>
      <c r="M14" s="187">
        <f>SUM(M65:M76)</f>
        <v/>
      </c>
      <c r="N14" s="187">
        <f>SUM(N65:N76)</f>
        <v/>
      </c>
      <c r="O14" s="187">
        <f>SUM(O65:O76)</f>
        <v/>
      </c>
      <c r="P14" s="187">
        <f>SUM(P65:P76)</f>
        <v/>
      </c>
      <c r="Q14" s="187">
        <f>SUM(Q65:Q76)</f>
        <v/>
      </c>
      <c r="R14" s="187">
        <f>SUM(R65:R76)</f>
        <v/>
      </c>
      <c r="S14" s="187">
        <f>SUM(S65:S76)</f>
        <v/>
      </c>
      <c r="T14" s="187">
        <f>SUM(T65:T76)</f>
        <v/>
      </c>
      <c r="U14" s="187">
        <f>SUM(U65:U76)</f>
        <v/>
      </c>
      <c r="V14" s="187">
        <f>SUM(V65:V76)</f>
        <v/>
      </c>
      <c r="W14" s="187">
        <f>SUM(W65:W76)</f>
        <v/>
      </c>
      <c r="X14" s="187">
        <f>SUM(X65:X76)</f>
        <v/>
      </c>
      <c r="Y14" s="187">
        <f>SUM(Y65:Y76)</f>
        <v/>
      </c>
      <c r="Z14" s="187">
        <f>SUM(Z65:Z76)</f>
        <v/>
      </c>
      <c r="AA14" s="187">
        <f>SUM(AA65:AA76)</f>
        <v/>
      </c>
      <c r="AB14" s="187">
        <f>SUM(AB65:AB76)</f>
        <v/>
      </c>
      <c r="AC14" s="187">
        <f>SUM(AC65:AC76)</f>
        <v/>
      </c>
      <c r="AD14" s="187">
        <f>SUM(AD65:AD76)</f>
        <v/>
      </c>
      <c r="AE14" s="187">
        <f>SUM(AE65:AE76)</f>
        <v/>
      </c>
      <c r="AF14" s="187">
        <f>SUM(AF65:AF76)</f>
        <v/>
      </c>
      <c r="AG14" s="187">
        <f>SUM(AG65:AG76)</f>
        <v/>
      </c>
      <c r="AH14" s="187">
        <f>SUM(AH65:AH76)</f>
        <v/>
      </c>
      <c r="AI14" s="187">
        <f>SUM(AI65:AI76)</f>
        <v/>
      </c>
      <c r="AJ14" s="187">
        <f>SUM(AJ65:AJ76)</f>
        <v/>
      </c>
      <c r="AK14" s="187">
        <f>SUM(AK65:AK76)</f>
        <v/>
      </c>
      <c r="AL14" s="187">
        <f>SUM(AL65:AL76)</f>
        <v/>
      </c>
      <c r="AM14" s="187">
        <f>SUM(AM65:AM76)</f>
        <v/>
      </c>
      <c r="AN14" s="187">
        <f>SUM(AN65:AN76)</f>
        <v/>
      </c>
      <c r="AO14" s="187">
        <f>SUM(AO65:AO76)</f>
        <v/>
      </c>
      <c r="AP14" s="187">
        <f>SUM(AP65:AP76)</f>
        <v/>
      </c>
      <c r="AQ14" s="187">
        <f>SUM(AQ65:AQ76)</f>
        <v/>
      </c>
      <c r="AR14" s="187">
        <f>SUM(AR65:AR76)</f>
        <v/>
      </c>
      <c r="AS14" s="187">
        <f>SUM(AS65:AS76)</f>
        <v/>
      </c>
      <c r="AT14" s="187">
        <f>SUM(AT65:AT76)</f>
        <v/>
      </c>
      <c r="AU14" s="187">
        <f>SUM(AU65:AU76)</f>
        <v/>
      </c>
      <c r="AV14" s="187">
        <f>SUM(AV65:AV76)</f>
        <v/>
      </c>
      <c r="AW14" s="187">
        <f>SUM(AW65:AW76)</f>
        <v/>
      </c>
      <c r="AX14" s="187">
        <f>SUM(AX65:AX76)</f>
        <v/>
      </c>
      <c r="AY14" s="187">
        <f>SUM(AY65:AY76)</f>
        <v/>
      </c>
      <c r="AZ14" s="187">
        <f>SUM(AZ65:AZ76)</f>
        <v/>
      </c>
      <c r="BA14" s="187">
        <f>SUM(BA65:BA76)</f>
        <v/>
      </c>
      <c r="BB14" s="187">
        <f>SUM(BB65:BB76)</f>
        <v/>
      </c>
      <c r="BC14" s="187">
        <f>SUM(BC65:BC76)</f>
        <v/>
      </c>
      <c r="BD14" s="187">
        <f>SUM(BD65:BD76)</f>
        <v/>
      </c>
      <c r="BE14" s="187">
        <f>SUM(BE65:BE76)</f>
        <v/>
      </c>
      <c r="BF14" s="187">
        <f>SUM(BF65:BF76)</f>
        <v/>
      </c>
      <c r="BG14" s="187">
        <f>SUM(BG65:BG76)</f>
        <v/>
      </c>
      <c r="BH14" s="187">
        <f>SUM(BH65:BH76)</f>
        <v/>
      </c>
      <c r="BI14" s="187">
        <f>SUM(BI65:BI76)</f>
        <v/>
      </c>
      <c r="BJ14" s="187">
        <f>SUM(BJ65:BJ76)</f>
        <v/>
      </c>
      <c r="BK14" s="187">
        <f>SUM(BK65:BK76)</f>
        <v/>
      </c>
      <c r="BL14" s="187">
        <f>SUM(BL65:BL76)</f>
        <v/>
      </c>
      <c r="BM14" s="187">
        <f>SUM(BM65:BM76)</f>
        <v/>
      </c>
      <c r="BN14" s="187">
        <f>SUM(BN65:BN76)</f>
        <v/>
      </c>
      <c r="BO14" s="187">
        <f>SUM(BO65:BO76)</f>
        <v/>
      </c>
    </row>
    <row r="15">
      <c r="A15" s="2" t="inlineStr">
        <is>
          <t>Новые школы — зрелые</t>
        </is>
      </c>
      <c r="B15" s="187">
        <f>B77</f>
        <v/>
      </c>
      <c r="C15" s="187">
        <f>C77</f>
        <v/>
      </c>
      <c r="D15" s="187">
        <f>D77</f>
        <v/>
      </c>
      <c r="E15" s="187">
        <f>E77</f>
        <v/>
      </c>
      <c r="F15" s="187">
        <f>F77</f>
        <v/>
      </c>
      <c r="G15" s="187">
        <f>G77</f>
        <v/>
      </c>
      <c r="H15" s="187">
        <f>H77</f>
        <v/>
      </c>
      <c r="I15" s="187">
        <f>I77</f>
        <v/>
      </c>
      <c r="J15" s="187">
        <f>J77</f>
        <v/>
      </c>
      <c r="K15" s="187">
        <f>K77</f>
        <v/>
      </c>
      <c r="L15" s="187">
        <f>L77</f>
        <v/>
      </c>
      <c r="M15" s="187">
        <f>M77</f>
        <v/>
      </c>
      <c r="N15" s="187">
        <f>N77</f>
        <v/>
      </c>
      <c r="O15" s="187">
        <f>O77</f>
        <v/>
      </c>
      <c r="P15" s="187">
        <f>P77</f>
        <v/>
      </c>
      <c r="Q15" s="187">
        <f>Q77</f>
        <v/>
      </c>
      <c r="R15" s="187">
        <f>R77</f>
        <v/>
      </c>
      <c r="S15" s="187">
        <f>S77</f>
        <v/>
      </c>
      <c r="T15" s="187">
        <f>T77</f>
        <v/>
      </c>
      <c r="U15" s="187">
        <f>U77</f>
        <v/>
      </c>
      <c r="V15" s="187">
        <f>V77</f>
        <v/>
      </c>
      <c r="W15" s="187">
        <f>W77</f>
        <v/>
      </c>
      <c r="X15" s="187">
        <f>X77</f>
        <v/>
      </c>
      <c r="Y15" s="187">
        <f>Y77</f>
        <v/>
      </c>
      <c r="Z15" s="187">
        <f>Z77</f>
        <v/>
      </c>
      <c r="AA15" s="187">
        <f>AA77</f>
        <v/>
      </c>
      <c r="AB15" s="187">
        <f>AB77</f>
        <v/>
      </c>
      <c r="AC15" s="187">
        <f>AC77</f>
        <v/>
      </c>
      <c r="AD15" s="187">
        <f>AD77</f>
        <v/>
      </c>
      <c r="AE15" s="187">
        <f>AE77</f>
        <v/>
      </c>
      <c r="AF15" s="187">
        <f>AF77</f>
        <v/>
      </c>
      <c r="AG15" s="187">
        <f>AG77</f>
        <v/>
      </c>
      <c r="AH15" s="187">
        <f>AH77</f>
        <v/>
      </c>
      <c r="AI15" s="187">
        <f>AI77</f>
        <v/>
      </c>
      <c r="AJ15" s="187">
        <f>AJ77</f>
        <v/>
      </c>
      <c r="AK15" s="187">
        <f>AK77</f>
        <v/>
      </c>
      <c r="AL15" s="187">
        <f>AL77</f>
        <v/>
      </c>
      <c r="AM15" s="187">
        <f>AM77</f>
        <v/>
      </c>
      <c r="AN15" s="187">
        <f>AN77</f>
        <v/>
      </c>
      <c r="AO15" s="187">
        <f>AO77</f>
        <v/>
      </c>
      <c r="AP15" s="187">
        <f>AP77</f>
        <v/>
      </c>
      <c r="AQ15" s="187">
        <f>AQ77</f>
        <v/>
      </c>
      <c r="AR15" s="187">
        <f>AR77</f>
        <v/>
      </c>
      <c r="AS15" s="187">
        <f>AS77</f>
        <v/>
      </c>
      <c r="AT15" s="187">
        <f>AT77</f>
        <v/>
      </c>
      <c r="AU15" s="187">
        <f>AU77</f>
        <v/>
      </c>
      <c r="AV15" s="187">
        <f>AV77</f>
        <v/>
      </c>
      <c r="AW15" s="187">
        <f>AW77</f>
        <v/>
      </c>
      <c r="AX15" s="187">
        <f>AX77</f>
        <v/>
      </c>
      <c r="AY15" s="187">
        <f>AY77</f>
        <v/>
      </c>
      <c r="AZ15" s="187">
        <f>AZ77</f>
        <v/>
      </c>
      <c r="BA15" s="187">
        <f>BA77</f>
        <v/>
      </c>
      <c r="BB15" s="187">
        <f>BB77</f>
        <v/>
      </c>
      <c r="BC15" s="187">
        <f>BC77</f>
        <v/>
      </c>
      <c r="BD15" s="187">
        <f>BD77</f>
        <v/>
      </c>
      <c r="BE15" s="187">
        <f>BE77</f>
        <v/>
      </c>
      <c r="BF15" s="187">
        <f>BF77</f>
        <v/>
      </c>
      <c r="BG15" s="187">
        <f>BG77</f>
        <v/>
      </c>
      <c r="BH15" s="187">
        <f>BH77</f>
        <v/>
      </c>
      <c r="BI15" s="187">
        <f>BI77</f>
        <v/>
      </c>
      <c r="BJ15" s="187">
        <f>BJ77</f>
        <v/>
      </c>
      <c r="BK15" s="187">
        <f>BK77</f>
        <v/>
      </c>
      <c r="BL15" s="187">
        <f>BL77</f>
        <v/>
      </c>
      <c r="BM15" s="187">
        <f>BM77</f>
        <v/>
      </c>
      <c r="BN15" s="187">
        <f>BN77</f>
        <v/>
      </c>
      <c r="BO15" s="187">
        <f>BO77</f>
        <v/>
      </c>
    </row>
    <row r="16">
      <c r="A16" s="10" t="inlineStr">
        <is>
          <t>Новые школы — всего</t>
        </is>
      </c>
      <c r="B16" s="43">
        <f>SUM(B13:B15)</f>
        <v/>
      </c>
      <c r="C16" s="43">
        <f>SUM(C13:C15)</f>
        <v/>
      </c>
      <c r="D16" s="43">
        <f>SUM(D13:D15)</f>
        <v/>
      </c>
      <c r="E16" s="43">
        <f>SUM(E13:E15)</f>
        <v/>
      </c>
      <c r="F16" s="43">
        <f>SUM(F13:F15)</f>
        <v/>
      </c>
      <c r="G16" s="43">
        <f>SUM(G13:G15)</f>
        <v/>
      </c>
      <c r="H16" s="43">
        <f>SUM(H13:H15)</f>
        <v/>
      </c>
      <c r="I16" s="43">
        <f>SUM(I13:I15)</f>
        <v/>
      </c>
      <c r="J16" s="43">
        <f>SUM(J13:J15)</f>
        <v/>
      </c>
      <c r="K16" s="43">
        <f>SUM(K13:K15)</f>
        <v/>
      </c>
      <c r="L16" s="43">
        <f>SUM(L13:L15)</f>
        <v/>
      </c>
      <c r="M16" s="43">
        <f>SUM(M13:M15)</f>
        <v/>
      </c>
      <c r="N16" s="43">
        <f>SUM(N13:N15)</f>
        <v/>
      </c>
      <c r="O16" s="43">
        <f>SUM(O13:O15)</f>
        <v/>
      </c>
      <c r="P16" s="43">
        <f>SUM(P13:P15)</f>
        <v/>
      </c>
      <c r="Q16" s="43">
        <f>SUM(Q13:Q15)</f>
        <v/>
      </c>
      <c r="R16" s="43">
        <f>SUM(R13:R15)</f>
        <v/>
      </c>
      <c r="S16" s="43">
        <f>SUM(S13:S15)</f>
        <v/>
      </c>
      <c r="T16" s="43">
        <f>SUM(T13:T15)</f>
        <v/>
      </c>
      <c r="U16" s="43">
        <f>SUM(U13:U15)</f>
        <v/>
      </c>
      <c r="V16" s="43">
        <f>SUM(V13:V15)</f>
        <v/>
      </c>
      <c r="W16" s="43">
        <f>SUM(W13:W15)</f>
        <v/>
      </c>
      <c r="X16" s="43">
        <f>SUM(X13:X15)</f>
        <v/>
      </c>
      <c r="Y16" s="43">
        <f>SUM(Y13:Y15)</f>
        <v/>
      </c>
      <c r="Z16" s="43">
        <f>SUM(Z13:Z15)</f>
        <v/>
      </c>
      <c r="AA16" s="43">
        <f>SUM(AA13:AA15)</f>
        <v/>
      </c>
      <c r="AB16" s="43">
        <f>SUM(AB13:AB15)</f>
        <v/>
      </c>
      <c r="AC16" s="43">
        <f>SUM(AC13:AC15)</f>
        <v/>
      </c>
      <c r="AD16" s="43">
        <f>SUM(AD13:AD15)</f>
        <v/>
      </c>
      <c r="AE16" s="43">
        <f>SUM(AE13:AE15)</f>
        <v/>
      </c>
      <c r="AF16" s="43">
        <f>SUM(AF13:AF15)</f>
        <v/>
      </c>
      <c r="AG16" s="43">
        <f>SUM(AG13:AG15)</f>
        <v/>
      </c>
      <c r="AH16" s="43">
        <f>SUM(AH13:AH15)</f>
        <v/>
      </c>
      <c r="AI16" s="43">
        <f>SUM(AI13:AI15)</f>
        <v/>
      </c>
      <c r="AJ16" s="43">
        <f>SUM(AJ13:AJ15)</f>
        <v/>
      </c>
      <c r="AK16" s="43">
        <f>SUM(AK13:AK15)</f>
        <v/>
      </c>
      <c r="AL16" s="43">
        <f>SUM(AL13:AL15)</f>
        <v/>
      </c>
      <c r="AM16" s="43">
        <f>SUM(AM13:AM15)</f>
        <v/>
      </c>
      <c r="AN16" s="43">
        <f>SUM(AN13:AN15)</f>
        <v/>
      </c>
      <c r="AO16" s="43">
        <f>SUM(AO13:AO15)</f>
        <v/>
      </c>
      <c r="AP16" s="43">
        <f>SUM(AP13:AP15)</f>
        <v/>
      </c>
      <c r="AQ16" s="43">
        <f>SUM(AQ13:AQ15)</f>
        <v/>
      </c>
      <c r="AR16" s="43">
        <f>SUM(AR13:AR15)</f>
        <v/>
      </c>
      <c r="AS16" s="43">
        <f>SUM(AS13:AS15)</f>
        <v/>
      </c>
      <c r="AT16" s="43">
        <f>SUM(AT13:AT15)</f>
        <v/>
      </c>
      <c r="AU16" s="43">
        <f>SUM(AU13:AU15)</f>
        <v/>
      </c>
      <c r="AV16" s="43">
        <f>SUM(AV13:AV15)</f>
        <v/>
      </c>
      <c r="AW16" s="43">
        <f>SUM(AW13:AW15)</f>
        <v/>
      </c>
      <c r="AX16" s="43">
        <f>SUM(AX13:AX15)</f>
        <v/>
      </c>
      <c r="AY16" s="43">
        <f>SUM(AY13:AY15)</f>
        <v/>
      </c>
      <c r="AZ16" s="43">
        <f>SUM(AZ13:AZ15)</f>
        <v/>
      </c>
      <c r="BA16" s="43">
        <f>SUM(BA13:BA15)</f>
        <v/>
      </c>
      <c r="BB16" s="43">
        <f>SUM(BB13:BB15)</f>
        <v/>
      </c>
      <c r="BC16" s="43">
        <f>SUM(BC13:BC15)</f>
        <v/>
      </c>
      <c r="BD16" s="43">
        <f>SUM(BD13:BD15)</f>
        <v/>
      </c>
      <c r="BE16" s="43">
        <f>SUM(BE13:BE15)</f>
        <v/>
      </c>
      <c r="BF16" s="43">
        <f>SUM(BF13:BF15)</f>
        <v/>
      </c>
      <c r="BG16" s="43">
        <f>SUM(BG13:BG15)</f>
        <v/>
      </c>
      <c r="BH16" s="43">
        <f>SUM(BH13:BH15)</f>
        <v/>
      </c>
      <c r="BI16" s="43">
        <f>SUM(BI13:BI15)</f>
        <v/>
      </c>
      <c r="BJ16" s="43">
        <f>SUM(BJ13:BJ15)</f>
        <v/>
      </c>
      <c r="BK16" s="43">
        <f>SUM(BK13:BK15)</f>
        <v/>
      </c>
      <c r="BL16" s="43">
        <f>SUM(BL13:BL15)</f>
        <v/>
      </c>
      <c r="BM16" s="43">
        <f>SUM(BM13:BM15)</f>
        <v/>
      </c>
      <c r="BN16" s="43">
        <f>SUM(BN13:BN15)</f>
        <v/>
      </c>
      <c r="BO16" s="43">
        <f>SUM(BO13:BO15)</f>
        <v/>
      </c>
    </row>
    <row r="17">
      <c r="A17" s="10" t="inlineStr">
        <is>
          <t>Активные школы — всего</t>
        </is>
      </c>
      <c r="B17" s="43">
        <f>B11+B16</f>
        <v/>
      </c>
      <c r="C17" s="43">
        <f>C11+C16</f>
        <v/>
      </c>
      <c r="D17" s="43">
        <f>D11+D16</f>
        <v/>
      </c>
      <c r="E17" s="43">
        <f>E11+E16</f>
        <v/>
      </c>
      <c r="F17" s="43">
        <f>F11+F16</f>
        <v/>
      </c>
      <c r="G17" s="43">
        <f>G11+G16</f>
        <v/>
      </c>
      <c r="H17" s="43">
        <f>H11+H16</f>
        <v/>
      </c>
      <c r="I17" s="43">
        <f>I11+I16</f>
        <v/>
      </c>
      <c r="J17" s="43">
        <f>J11+J16</f>
        <v/>
      </c>
      <c r="K17" s="43">
        <f>K11+K16</f>
        <v/>
      </c>
      <c r="L17" s="43">
        <f>L11+L16</f>
        <v/>
      </c>
      <c r="M17" s="43">
        <f>M11+M16</f>
        <v/>
      </c>
      <c r="N17" s="43">
        <f>N11+N16</f>
        <v/>
      </c>
      <c r="O17" s="43">
        <f>O11+O16</f>
        <v/>
      </c>
      <c r="P17" s="43">
        <f>P11+P16</f>
        <v/>
      </c>
      <c r="Q17" s="43">
        <f>Q11+Q16</f>
        <v/>
      </c>
      <c r="R17" s="43">
        <f>R11+R16</f>
        <v/>
      </c>
      <c r="S17" s="43">
        <f>S11+S16</f>
        <v/>
      </c>
      <c r="T17" s="43">
        <f>T11+T16</f>
        <v/>
      </c>
      <c r="U17" s="43">
        <f>U11+U16</f>
        <v/>
      </c>
      <c r="V17" s="43">
        <f>V11+V16</f>
        <v/>
      </c>
      <c r="W17" s="43">
        <f>W11+W16</f>
        <v/>
      </c>
      <c r="X17" s="43">
        <f>X11+X16</f>
        <v/>
      </c>
      <c r="Y17" s="43">
        <f>Y11+Y16</f>
        <v/>
      </c>
      <c r="Z17" s="43">
        <f>Z11+Z16</f>
        <v/>
      </c>
      <c r="AA17" s="43">
        <f>AA11+AA16</f>
        <v/>
      </c>
      <c r="AB17" s="43">
        <f>AB11+AB16</f>
        <v/>
      </c>
      <c r="AC17" s="43">
        <f>AC11+AC16</f>
        <v/>
      </c>
      <c r="AD17" s="43">
        <f>AD11+AD16</f>
        <v/>
      </c>
      <c r="AE17" s="43">
        <f>AE11+AE16</f>
        <v/>
      </c>
      <c r="AF17" s="43">
        <f>AF11+AF16</f>
        <v/>
      </c>
      <c r="AG17" s="43">
        <f>AG11+AG16</f>
        <v/>
      </c>
      <c r="AH17" s="43">
        <f>AH11+AH16</f>
        <v/>
      </c>
      <c r="AI17" s="43">
        <f>AI11+AI16</f>
        <v/>
      </c>
      <c r="AJ17" s="43">
        <f>AJ11+AJ16</f>
        <v/>
      </c>
      <c r="AK17" s="43">
        <f>AK11+AK16</f>
        <v/>
      </c>
      <c r="AL17" s="43">
        <f>AL11+AL16</f>
        <v/>
      </c>
      <c r="AM17" s="43">
        <f>AM11+AM16</f>
        <v/>
      </c>
      <c r="AN17" s="43">
        <f>AN11+AN16</f>
        <v/>
      </c>
      <c r="AO17" s="43">
        <f>AO11+AO16</f>
        <v/>
      </c>
      <c r="AP17" s="43">
        <f>AP11+AP16</f>
        <v/>
      </c>
      <c r="AQ17" s="43">
        <f>AQ11+AQ16</f>
        <v/>
      </c>
      <c r="AR17" s="43">
        <f>AR11+AR16</f>
        <v/>
      </c>
      <c r="AS17" s="43">
        <f>AS11+AS16</f>
        <v/>
      </c>
      <c r="AT17" s="43">
        <f>AT11+AT16</f>
        <v/>
      </c>
      <c r="AU17" s="43">
        <f>AU11+AU16</f>
        <v/>
      </c>
      <c r="AV17" s="43">
        <f>AV11+AV16</f>
        <v/>
      </c>
      <c r="AW17" s="43">
        <f>AW11+AW16</f>
        <v/>
      </c>
      <c r="AX17" s="43">
        <f>AX11+AX16</f>
        <v/>
      </c>
      <c r="AY17" s="43">
        <f>AY11+AY16</f>
        <v/>
      </c>
      <c r="AZ17" s="43">
        <f>AZ11+AZ16</f>
        <v/>
      </c>
      <c r="BA17" s="43">
        <f>BA11+BA16</f>
        <v/>
      </c>
      <c r="BB17" s="43">
        <f>BB11+BB16</f>
        <v/>
      </c>
      <c r="BC17" s="43">
        <f>BC11+BC16</f>
        <v/>
      </c>
      <c r="BD17" s="43">
        <f>BD11+BD16</f>
        <v/>
      </c>
      <c r="BE17" s="43">
        <f>BE11+BE16</f>
        <v/>
      </c>
      <c r="BF17" s="43">
        <f>BF11+BF16</f>
        <v/>
      </c>
      <c r="BG17" s="43">
        <f>BG11+BG16</f>
        <v/>
      </c>
      <c r="BH17" s="43">
        <f>BH11+BH16</f>
        <v/>
      </c>
      <c r="BI17" s="43">
        <f>BI11+BI16</f>
        <v/>
      </c>
      <c r="BJ17" s="43">
        <f>BJ11+BJ16</f>
        <v/>
      </c>
      <c r="BK17" s="43">
        <f>BK11+BK16</f>
        <v/>
      </c>
      <c r="BL17" s="43">
        <f>BL11+BL16</f>
        <v/>
      </c>
      <c r="BM17" s="43">
        <f>BM11+BM16</f>
        <v/>
      </c>
      <c r="BN17" s="43">
        <f>BN11+BN16</f>
        <v/>
      </c>
      <c r="BO17" s="43">
        <f>BO11+BO16</f>
        <v/>
      </c>
    </row>
    <row r="18" ht="20" customHeight="1">
      <c r="A18" s="4" t="inlineStr">
        <is>
          <t>Дети</t>
        </is>
      </c>
    </row>
    <row r="19">
      <c r="A19" s="2" t="inlineStr">
        <is>
          <t>Действующая сеть — дети 100%</t>
        </is>
      </c>
      <c r="B19" s="95">
        <f>'01_Вводные'!$B$11*(1+'01_Вводные'!$B$12)^(B4-1)*IF('01_Вводные'!$B$9=0,0,B11/'01_Вводные'!$B$9)</f>
        <v/>
      </c>
      <c r="C19" s="95">
        <f>'01_Вводные'!$B$11*(1+'01_Вводные'!$B$12)^(C4-1)*IF('01_Вводные'!$B$9=0,0,C11/'01_Вводные'!$B$9)</f>
        <v/>
      </c>
      <c r="D19" s="95">
        <f>'01_Вводные'!$B$11*(1+'01_Вводные'!$B$12)^(D4-1)*IF('01_Вводные'!$B$9=0,0,D11/'01_Вводные'!$B$9)</f>
        <v/>
      </c>
      <c r="E19" s="95">
        <f>'01_Вводные'!$B$11*(1+'01_Вводные'!$B$12)^(E4-1)*IF('01_Вводные'!$B$9=0,0,E11/'01_Вводные'!$B$9)</f>
        <v/>
      </c>
      <c r="F19" s="95">
        <f>'01_Вводные'!$B$11*(1+'01_Вводные'!$B$12)^(F4-1)*IF('01_Вводные'!$B$9=0,0,F11/'01_Вводные'!$B$9)</f>
        <v/>
      </c>
      <c r="G19" s="95">
        <f>'01_Вводные'!$B$11*(1+'01_Вводные'!$B$12)^(G4-1)*IF('01_Вводные'!$B$9=0,0,G11/'01_Вводные'!$B$9)</f>
        <v/>
      </c>
      <c r="H19" s="95">
        <f>'01_Вводные'!$B$11*(1+'01_Вводные'!$B$12)^(H4-1)*IF('01_Вводные'!$B$9=0,0,H11/'01_Вводные'!$B$9)</f>
        <v/>
      </c>
      <c r="I19" s="95">
        <f>'01_Вводные'!$B$11*(1+'01_Вводные'!$B$12)^(I4-1)*IF('01_Вводные'!$B$9=0,0,I11/'01_Вводные'!$B$9)</f>
        <v/>
      </c>
      <c r="J19" s="95">
        <f>'01_Вводные'!$B$11*(1+'01_Вводные'!$B$12)^(J4-1)*IF('01_Вводные'!$B$9=0,0,J11/'01_Вводные'!$B$9)</f>
        <v/>
      </c>
      <c r="K19" s="95">
        <f>'01_Вводные'!$B$11*(1+'01_Вводные'!$B$12)^(K4-1)*IF('01_Вводные'!$B$9=0,0,K11/'01_Вводные'!$B$9)</f>
        <v/>
      </c>
      <c r="L19" s="95">
        <f>'01_Вводные'!$B$11*(1+'01_Вводные'!$B$12)^(L4-1)*IF('01_Вводные'!$B$9=0,0,L11/'01_Вводные'!$B$9)</f>
        <v/>
      </c>
      <c r="M19" s="95">
        <f>'01_Вводные'!$B$11*(1+'01_Вводные'!$B$12)^(M4-1)*IF('01_Вводные'!$B$9=0,0,M11/'01_Вводные'!$B$9)</f>
        <v/>
      </c>
      <c r="N19" s="95">
        <f>'01_Вводные'!$B$11*(1+'01_Вводные'!$B$12)^(N4-1)*IF('01_Вводные'!$B$9=0,0,N11/'01_Вводные'!$B$9)</f>
        <v/>
      </c>
      <c r="O19" s="95">
        <f>'01_Вводные'!$B$11*(1+'01_Вводные'!$B$12)^(O4-1)*IF('01_Вводные'!$B$9=0,0,O11/'01_Вводные'!$B$9)</f>
        <v/>
      </c>
      <c r="P19" s="95">
        <f>'01_Вводные'!$B$11*(1+'01_Вводные'!$B$12)^(P4-1)*IF('01_Вводные'!$B$9=0,0,P11/'01_Вводные'!$B$9)</f>
        <v/>
      </c>
      <c r="Q19" s="95">
        <f>'01_Вводные'!$B$11*(1+'01_Вводные'!$B$12)^(Q4-1)*IF('01_Вводные'!$B$9=0,0,Q11/'01_Вводные'!$B$9)</f>
        <v/>
      </c>
      <c r="R19" s="95">
        <f>'01_Вводные'!$B$11*(1+'01_Вводные'!$B$12)^(R4-1)*IF('01_Вводные'!$B$9=0,0,R11/'01_Вводные'!$B$9)</f>
        <v/>
      </c>
      <c r="S19" s="95">
        <f>'01_Вводные'!$B$11*(1+'01_Вводные'!$B$12)^(S4-1)*IF('01_Вводные'!$B$9=0,0,S11/'01_Вводные'!$B$9)</f>
        <v/>
      </c>
      <c r="T19" s="95">
        <f>'01_Вводные'!$B$11*(1+'01_Вводные'!$B$12)^(T4-1)*IF('01_Вводные'!$B$9=0,0,T11/'01_Вводные'!$B$9)</f>
        <v/>
      </c>
      <c r="U19" s="95">
        <f>'01_Вводные'!$B$11*(1+'01_Вводные'!$B$12)^(U4-1)*IF('01_Вводные'!$B$9=0,0,U11/'01_Вводные'!$B$9)</f>
        <v/>
      </c>
      <c r="V19" s="95">
        <f>'01_Вводные'!$B$11*(1+'01_Вводные'!$B$12)^(V4-1)*IF('01_Вводные'!$B$9=0,0,V11/'01_Вводные'!$B$9)</f>
        <v/>
      </c>
      <c r="W19" s="95">
        <f>'01_Вводные'!$B$11*(1+'01_Вводные'!$B$12)^(W4-1)*IF('01_Вводные'!$B$9=0,0,W11/'01_Вводные'!$B$9)</f>
        <v/>
      </c>
      <c r="X19" s="95">
        <f>'01_Вводные'!$B$11*(1+'01_Вводные'!$B$12)^(X4-1)*IF('01_Вводные'!$B$9=0,0,X11/'01_Вводные'!$B$9)</f>
        <v/>
      </c>
      <c r="Y19" s="95">
        <f>'01_Вводные'!$B$11*(1+'01_Вводные'!$B$12)^(Y4-1)*IF('01_Вводные'!$B$9=0,0,Y11/'01_Вводные'!$B$9)</f>
        <v/>
      </c>
      <c r="Z19" s="95">
        <f>'01_Вводные'!$B$11*(1+'01_Вводные'!$B$12)^(Z4-1)*IF('01_Вводные'!$B$9=0,0,Z11/'01_Вводные'!$B$9)</f>
        <v/>
      </c>
      <c r="AA19" s="95">
        <f>'01_Вводные'!$B$11*(1+'01_Вводные'!$B$12)^(AA4-1)*IF('01_Вводные'!$B$9=0,0,AA11/'01_Вводные'!$B$9)</f>
        <v/>
      </c>
      <c r="AB19" s="95">
        <f>'01_Вводные'!$B$11*(1+'01_Вводные'!$B$12)^(AB4-1)*IF('01_Вводные'!$B$9=0,0,AB11/'01_Вводные'!$B$9)</f>
        <v/>
      </c>
      <c r="AC19" s="95">
        <f>'01_Вводные'!$B$11*(1+'01_Вводные'!$B$12)^(AC4-1)*IF('01_Вводные'!$B$9=0,0,AC11/'01_Вводные'!$B$9)</f>
        <v/>
      </c>
      <c r="AD19" s="95">
        <f>'01_Вводные'!$B$11*(1+'01_Вводные'!$B$12)^(AD4-1)*IF('01_Вводные'!$B$9=0,0,AD11/'01_Вводные'!$B$9)</f>
        <v/>
      </c>
      <c r="AE19" s="95">
        <f>'01_Вводные'!$B$11*(1+'01_Вводные'!$B$12)^(AE4-1)*IF('01_Вводные'!$B$9=0,0,AE11/'01_Вводные'!$B$9)</f>
        <v/>
      </c>
      <c r="AF19" s="95">
        <f>'01_Вводные'!$B$11*(1+'01_Вводные'!$B$12)^(AF4-1)*IF('01_Вводные'!$B$9=0,0,AF11/'01_Вводные'!$B$9)</f>
        <v/>
      </c>
      <c r="AG19" s="95">
        <f>'01_Вводные'!$B$11*(1+'01_Вводные'!$B$12)^(AG4-1)*IF('01_Вводные'!$B$9=0,0,AG11/'01_Вводные'!$B$9)</f>
        <v/>
      </c>
      <c r="AH19" s="95">
        <f>'01_Вводные'!$B$11*(1+'01_Вводные'!$B$12)^(AH4-1)*IF('01_Вводные'!$B$9=0,0,AH11/'01_Вводные'!$B$9)</f>
        <v/>
      </c>
      <c r="AI19" s="95">
        <f>'01_Вводные'!$B$11*(1+'01_Вводные'!$B$12)^(AI4-1)*IF('01_Вводные'!$B$9=0,0,AI11/'01_Вводные'!$B$9)</f>
        <v/>
      </c>
      <c r="AJ19" s="95">
        <f>'01_Вводные'!$B$11*(1+'01_Вводные'!$B$12)^(AJ4-1)*IF('01_Вводные'!$B$9=0,0,AJ11/'01_Вводные'!$B$9)</f>
        <v/>
      </c>
      <c r="AK19" s="95">
        <f>'01_Вводные'!$B$11*(1+'01_Вводные'!$B$12)^(AK4-1)*IF('01_Вводные'!$B$9=0,0,AK11/'01_Вводные'!$B$9)</f>
        <v/>
      </c>
      <c r="AL19" s="95">
        <f>'01_Вводные'!$B$11*(1+'01_Вводные'!$B$12)^(AL4-1)*IF('01_Вводные'!$B$9=0,0,AL11/'01_Вводные'!$B$9)</f>
        <v/>
      </c>
      <c r="AM19" s="95">
        <f>'01_Вводные'!$B$11*(1+'01_Вводные'!$B$12)^(AM4-1)*IF('01_Вводные'!$B$9=0,0,AM11/'01_Вводные'!$B$9)</f>
        <v/>
      </c>
      <c r="AN19" s="95">
        <f>'01_Вводные'!$B$11*(1+'01_Вводные'!$B$12)^(AN4-1)*IF('01_Вводные'!$B$9=0,0,AN11/'01_Вводные'!$B$9)</f>
        <v/>
      </c>
      <c r="AO19" s="95">
        <f>'01_Вводные'!$B$11*(1+'01_Вводные'!$B$12)^(AO4-1)*IF('01_Вводные'!$B$9=0,0,AO11/'01_Вводные'!$B$9)</f>
        <v/>
      </c>
      <c r="AP19" s="95">
        <f>'01_Вводные'!$B$11*(1+'01_Вводные'!$B$12)^(AP4-1)*IF('01_Вводные'!$B$9=0,0,AP11/'01_Вводные'!$B$9)</f>
        <v/>
      </c>
      <c r="AQ19" s="95">
        <f>'01_Вводные'!$B$11*(1+'01_Вводные'!$B$12)^(AQ4-1)*IF('01_Вводные'!$B$9=0,0,AQ11/'01_Вводные'!$B$9)</f>
        <v/>
      </c>
      <c r="AR19" s="95">
        <f>'01_Вводные'!$B$11*(1+'01_Вводные'!$B$12)^(AR4-1)*IF('01_Вводные'!$B$9=0,0,AR11/'01_Вводные'!$B$9)</f>
        <v/>
      </c>
      <c r="AS19" s="95">
        <f>'01_Вводные'!$B$11*(1+'01_Вводные'!$B$12)^(AS4-1)*IF('01_Вводные'!$B$9=0,0,AS11/'01_Вводные'!$B$9)</f>
        <v/>
      </c>
      <c r="AT19" s="95">
        <f>'01_Вводные'!$B$11*(1+'01_Вводные'!$B$12)^(AT4-1)*IF('01_Вводные'!$B$9=0,0,AT11/'01_Вводные'!$B$9)</f>
        <v/>
      </c>
      <c r="AU19" s="95">
        <f>'01_Вводные'!$B$11*(1+'01_Вводные'!$B$12)^(AU4-1)*IF('01_Вводные'!$B$9=0,0,AU11/'01_Вводные'!$B$9)</f>
        <v/>
      </c>
      <c r="AV19" s="95">
        <f>'01_Вводные'!$B$11*(1+'01_Вводные'!$B$12)^(AV4-1)*IF('01_Вводные'!$B$9=0,0,AV11/'01_Вводные'!$B$9)</f>
        <v/>
      </c>
      <c r="AW19" s="95">
        <f>'01_Вводные'!$B$11*(1+'01_Вводные'!$B$12)^(AW4-1)*IF('01_Вводные'!$B$9=0,0,AW11/'01_Вводные'!$B$9)</f>
        <v/>
      </c>
      <c r="AX19" s="95">
        <f>'01_Вводные'!$B$11*(1+'01_Вводные'!$B$12)^(AX4-1)*IF('01_Вводные'!$B$9=0,0,AX11/'01_Вводные'!$B$9)</f>
        <v/>
      </c>
      <c r="AY19" s="95">
        <f>'01_Вводные'!$B$11*(1+'01_Вводные'!$B$12)^(AY4-1)*IF('01_Вводные'!$B$9=0,0,AY11/'01_Вводные'!$B$9)</f>
        <v/>
      </c>
      <c r="AZ19" s="95">
        <f>'01_Вводные'!$B$11*(1+'01_Вводные'!$B$12)^(AZ4-1)*IF('01_Вводные'!$B$9=0,0,AZ11/'01_Вводные'!$B$9)</f>
        <v/>
      </c>
      <c r="BA19" s="95">
        <f>'01_Вводные'!$B$11*(1+'01_Вводные'!$B$12)^(BA4-1)*IF('01_Вводные'!$B$9=0,0,BA11/'01_Вводные'!$B$9)</f>
        <v/>
      </c>
      <c r="BB19" s="95">
        <f>'01_Вводные'!$B$11*(1+'01_Вводные'!$B$12)^(BB4-1)*IF('01_Вводные'!$B$9=0,0,BB11/'01_Вводные'!$B$9)</f>
        <v/>
      </c>
      <c r="BC19" s="95">
        <f>'01_Вводные'!$B$11*(1+'01_Вводные'!$B$12)^(BC4-1)*IF('01_Вводные'!$B$9=0,0,BC11/'01_Вводные'!$B$9)</f>
        <v/>
      </c>
      <c r="BD19" s="95">
        <f>'01_Вводные'!$B$11*(1+'01_Вводные'!$B$12)^(BD4-1)*IF('01_Вводные'!$B$9=0,0,BD11/'01_Вводные'!$B$9)</f>
        <v/>
      </c>
      <c r="BE19" s="95">
        <f>'01_Вводные'!$B$11*(1+'01_Вводные'!$B$12)^(BE4-1)*IF('01_Вводные'!$B$9=0,0,BE11/'01_Вводные'!$B$9)</f>
        <v/>
      </c>
      <c r="BF19" s="95">
        <f>'01_Вводные'!$B$11*(1+'01_Вводные'!$B$12)^(BF4-1)*IF('01_Вводные'!$B$9=0,0,BF11/'01_Вводные'!$B$9)</f>
        <v/>
      </c>
      <c r="BG19" s="95">
        <f>'01_Вводные'!$B$11*(1+'01_Вводные'!$B$12)^(BG4-1)*IF('01_Вводные'!$B$9=0,0,BG11/'01_Вводные'!$B$9)</f>
        <v/>
      </c>
      <c r="BH19" s="95">
        <f>'01_Вводные'!$B$11*(1+'01_Вводные'!$B$12)^(BH4-1)*IF('01_Вводные'!$B$9=0,0,BH11/'01_Вводные'!$B$9)</f>
        <v/>
      </c>
      <c r="BI19" s="95">
        <f>'01_Вводные'!$B$11*(1+'01_Вводные'!$B$12)^(BI4-1)*IF('01_Вводные'!$B$9=0,0,BI11/'01_Вводные'!$B$9)</f>
        <v/>
      </c>
      <c r="BJ19" s="95">
        <f>'01_Вводные'!$B$11*(1+'01_Вводные'!$B$12)^(BJ4-1)*IF('01_Вводные'!$B$9=0,0,BJ11/'01_Вводные'!$B$9)</f>
        <v/>
      </c>
      <c r="BK19" s="95">
        <f>'01_Вводные'!$B$11*(1+'01_Вводные'!$B$12)^(BK4-1)*IF('01_Вводные'!$B$9=0,0,BK11/'01_Вводные'!$B$9)</f>
        <v/>
      </c>
      <c r="BL19" s="95">
        <f>'01_Вводные'!$B$11*(1+'01_Вводные'!$B$12)^(BL4-1)*IF('01_Вводные'!$B$9=0,0,BL11/'01_Вводные'!$B$9)</f>
        <v/>
      </c>
      <c r="BM19" s="95">
        <f>'01_Вводные'!$B$11*(1+'01_Вводные'!$B$12)^(BM4-1)*IF('01_Вводные'!$B$9=0,0,BM11/'01_Вводные'!$B$9)</f>
        <v/>
      </c>
      <c r="BN19" s="95">
        <f>'01_Вводные'!$B$11*(1+'01_Вводные'!$B$12)^(BN4-1)*IF('01_Вводные'!$B$9=0,0,BN11/'01_Вводные'!$B$9)</f>
        <v/>
      </c>
      <c r="BO19" s="95">
        <f>'01_Вводные'!$B$11*(1+'01_Вводные'!$B$12)^(BO4-1)*IF('01_Вводные'!$B$9=0,0,BO11/'01_Вводные'!$B$9)</f>
        <v/>
      </c>
    </row>
    <row r="20">
      <c r="A20" s="2" t="inlineStr">
        <is>
          <t>Действующая сеть — активные дети</t>
        </is>
      </c>
      <c r="B20" s="42">
        <f>B19*B5</f>
        <v/>
      </c>
      <c r="C20" s="42">
        <f>C19*C5</f>
        <v/>
      </c>
      <c r="D20" s="42">
        <f>D19*D5</f>
        <v/>
      </c>
      <c r="E20" s="42">
        <f>E19*E5</f>
        <v/>
      </c>
      <c r="F20" s="42">
        <f>F19*F5</f>
        <v/>
      </c>
      <c r="G20" s="42">
        <f>G19*G5</f>
        <v/>
      </c>
      <c r="H20" s="42">
        <f>H19*H5</f>
        <v/>
      </c>
      <c r="I20" s="42">
        <f>I19*I5</f>
        <v/>
      </c>
      <c r="J20" s="42">
        <f>J19*J5</f>
        <v/>
      </c>
      <c r="K20" s="42">
        <f>K19*K5</f>
        <v/>
      </c>
      <c r="L20" s="42">
        <f>L19*L5</f>
        <v/>
      </c>
      <c r="M20" s="42">
        <f>M19*M5</f>
        <v/>
      </c>
      <c r="N20" s="42">
        <f>N19*N5</f>
        <v/>
      </c>
      <c r="O20" s="42">
        <f>O19*O5</f>
        <v/>
      </c>
      <c r="P20" s="42">
        <f>P19*P5</f>
        <v/>
      </c>
      <c r="Q20" s="42">
        <f>Q19*Q5</f>
        <v/>
      </c>
      <c r="R20" s="42">
        <f>R19*R5</f>
        <v/>
      </c>
      <c r="S20" s="42">
        <f>S19*S5</f>
        <v/>
      </c>
      <c r="T20" s="42">
        <f>T19*T5</f>
        <v/>
      </c>
      <c r="U20" s="42">
        <f>U19*U5</f>
        <v/>
      </c>
      <c r="V20" s="42">
        <f>V19*V5</f>
        <v/>
      </c>
      <c r="W20" s="42">
        <f>W19*W5</f>
        <v/>
      </c>
      <c r="X20" s="42">
        <f>X19*X5</f>
        <v/>
      </c>
      <c r="Y20" s="42">
        <f>Y19*Y5</f>
        <v/>
      </c>
      <c r="Z20" s="42">
        <f>Z19*Z5</f>
        <v/>
      </c>
      <c r="AA20" s="42">
        <f>AA19*AA5</f>
        <v/>
      </c>
      <c r="AB20" s="42">
        <f>AB19*AB5</f>
        <v/>
      </c>
      <c r="AC20" s="42">
        <f>AC19*AC5</f>
        <v/>
      </c>
      <c r="AD20" s="42">
        <f>AD19*AD5</f>
        <v/>
      </c>
      <c r="AE20" s="42">
        <f>AE19*AE5</f>
        <v/>
      </c>
      <c r="AF20" s="42">
        <f>AF19*AF5</f>
        <v/>
      </c>
      <c r="AG20" s="42">
        <f>AG19*AG5</f>
        <v/>
      </c>
      <c r="AH20" s="42">
        <f>AH19*AH5</f>
        <v/>
      </c>
      <c r="AI20" s="42">
        <f>AI19*AI5</f>
        <v/>
      </c>
      <c r="AJ20" s="42">
        <f>AJ19*AJ5</f>
        <v/>
      </c>
      <c r="AK20" s="42">
        <f>AK19*AK5</f>
        <v/>
      </c>
      <c r="AL20" s="42">
        <f>AL19*AL5</f>
        <v/>
      </c>
      <c r="AM20" s="42">
        <f>AM19*AM5</f>
        <v/>
      </c>
      <c r="AN20" s="42">
        <f>AN19*AN5</f>
        <v/>
      </c>
      <c r="AO20" s="42">
        <f>AO19*AO5</f>
        <v/>
      </c>
      <c r="AP20" s="42">
        <f>AP19*AP5</f>
        <v/>
      </c>
      <c r="AQ20" s="42">
        <f>AQ19*AQ5</f>
        <v/>
      </c>
      <c r="AR20" s="42">
        <f>AR19*AR5</f>
        <v/>
      </c>
      <c r="AS20" s="42">
        <f>AS19*AS5</f>
        <v/>
      </c>
      <c r="AT20" s="42">
        <f>AT19*AT5</f>
        <v/>
      </c>
      <c r="AU20" s="42">
        <f>AU19*AU5</f>
        <v/>
      </c>
      <c r="AV20" s="42">
        <f>AV19*AV5</f>
        <v/>
      </c>
      <c r="AW20" s="42">
        <f>AW19*AW5</f>
        <v/>
      </c>
      <c r="AX20" s="42">
        <f>AX19*AX5</f>
        <v/>
      </c>
      <c r="AY20" s="42">
        <f>AY19*AY5</f>
        <v/>
      </c>
      <c r="AZ20" s="42">
        <f>AZ19*AZ5</f>
        <v/>
      </c>
      <c r="BA20" s="42">
        <f>BA19*BA5</f>
        <v/>
      </c>
      <c r="BB20" s="42">
        <f>BB19*BB5</f>
        <v/>
      </c>
      <c r="BC20" s="42">
        <f>BC19*BC5</f>
        <v/>
      </c>
      <c r="BD20" s="42">
        <f>BD19*BD5</f>
        <v/>
      </c>
      <c r="BE20" s="42">
        <f>BE19*BE5</f>
        <v/>
      </c>
      <c r="BF20" s="42">
        <f>BF19*BF5</f>
        <v/>
      </c>
      <c r="BG20" s="42">
        <f>BG19*BG5</f>
        <v/>
      </c>
      <c r="BH20" s="42">
        <f>BH19*BH5</f>
        <v/>
      </c>
      <c r="BI20" s="42">
        <f>BI19*BI5</f>
        <v/>
      </c>
      <c r="BJ20" s="42">
        <f>BJ19*BJ5</f>
        <v/>
      </c>
      <c r="BK20" s="42">
        <f>BK19*BK5</f>
        <v/>
      </c>
      <c r="BL20" s="42">
        <f>BL19*BL5</f>
        <v/>
      </c>
      <c r="BM20" s="42">
        <f>BM19*BM5</f>
        <v/>
      </c>
      <c r="BN20" s="42">
        <f>BN19*BN5</f>
        <v/>
      </c>
      <c r="BO20" s="42">
        <f>BO19*BO5</f>
        <v/>
      </c>
    </row>
    <row r="21">
      <c r="A21" s="2" t="inlineStr">
        <is>
          <t>Новые школы - дети в мес. 1-12, набор</t>
        </is>
      </c>
      <c r="B21" s="185">
        <f>SUMPRODUCT(B53:B64,CapacityYear1)*'01_Вводные'!$F$199*B5</f>
        <v/>
      </c>
      <c r="C21" s="185">
        <f>SUMPRODUCT(C53:C64,CapacityYear1)*'01_Вводные'!$F$199*C5</f>
        <v/>
      </c>
      <c r="D21" s="185">
        <f>SUMPRODUCT(D53:D64,CapacityYear1)*'01_Вводные'!$F$199*D5</f>
        <v/>
      </c>
      <c r="E21" s="185">
        <f>SUMPRODUCT(E53:E64,CapacityYear1)*'01_Вводные'!$F$199*E5</f>
        <v/>
      </c>
      <c r="F21" s="185">
        <f>SUMPRODUCT(F53:F64,CapacityYear1)*'01_Вводные'!$F$199*F5</f>
        <v/>
      </c>
      <c r="G21" s="185">
        <f>SUMPRODUCT(G53:G64,CapacityYear1)*'01_Вводные'!$F$199*G5</f>
        <v/>
      </c>
      <c r="H21" s="185">
        <f>SUMPRODUCT(H53:H64,CapacityYear1)*'01_Вводные'!$F$199*H5</f>
        <v/>
      </c>
      <c r="I21" s="185">
        <f>SUMPRODUCT(I53:I64,CapacityYear1)*'01_Вводные'!$F$199*I5</f>
        <v/>
      </c>
      <c r="J21" s="185">
        <f>SUMPRODUCT(J53:J64,CapacityYear1)*'01_Вводные'!$F$199*J5</f>
        <v/>
      </c>
      <c r="K21" s="185">
        <f>SUMPRODUCT(K53:K64,CapacityYear1)*'01_Вводные'!$F$199*K5</f>
        <v/>
      </c>
      <c r="L21" s="185">
        <f>SUMPRODUCT(L53:L64,CapacityYear1)*'01_Вводные'!$F$199*L5</f>
        <v/>
      </c>
      <c r="M21" s="185">
        <f>SUMPRODUCT(M53:M64,CapacityYear1)*'01_Вводные'!$F$199*M5</f>
        <v/>
      </c>
      <c r="N21" s="185">
        <f>SUMPRODUCT(N53:N64,CapacityYear1)*'01_Вводные'!$F$199*N5</f>
        <v/>
      </c>
      <c r="O21" s="185">
        <f>SUMPRODUCT(O53:O64,CapacityYear1)*'01_Вводные'!$F$199*O5</f>
        <v/>
      </c>
      <c r="P21" s="185">
        <f>SUMPRODUCT(P53:P64,CapacityYear1)*'01_Вводные'!$F$199*P5</f>
        <v/>
      </c>
      <c r="Q21" s="185">
        <f>SUMPRODUCT(Q53:Q64,CapacityYear1)*'01_Вводные'!$F$199*Q5</f>
        <v/>
      </c>
      <c r="R21" s="185">
        <f>SUMPRODUCT(R53:R64,CapacityYear1)*'01_Вводные'!$F$199*R5</f>
        <v/>
      </c>
      <c r="S21" s="185">
        <f>SUMPRODUCT(S53:S64,CapacityYear1)*'01_Вводные'!$F$199*S5</f>
        <v/>
      </c>
      <c r="T21" s="185">
        <f>SUMPRODUCT(T53:T64,CapacityYear1)*'01_Вводные'!$F$199*T5</f>
        <v/>
      </c>
      <c r="U21" s="185">
        <f>SUMPRODUCT(U53:U64,CapacityYear1)*'01_Вводные'!$F$199*U5</f>
        <v/>
      </c>
      <c r="V21" s="185">
        <f>SUMPRODUCT(V53:V64,CapacityYear1)*'01_Вводные'!$F$199*V5</f>
        <v/>
      </c>
      <c r="W21" s="185">
        <f>SUMPRODUCT(W53:W64,CapacityYear1)*'01_Вводные'!$F$199*W5</f>
        <v/>
      </c>
      <c r="X21" s="185">
        <f>SUMPRODUCT(X53:X64,CapacityYear1)*'01_Вводные'!$F$199*X5</f>
        <v/>
      </c>
      <c r="Y21" s="185">
        <f>SUMPRODUCT(Y53:Y64,CapacityYear1)*'01_Вводные'!$F$199*Y5</f>
        <v/>
      </c>
      <c r="Z21" s="185">
        <f>SUMPRODUCT(Z53:Z64,CapacityYear1)*'01_Вводные'!$F$199*Z5</f>
        <v/>
      </c>
      <c r="AA21" s="185">
        <f>SUMPRODUCT(AA53:AA64,CapacityYear1)*'01_Вводные'!$F$199*AA5</f>
        <v/>
      </c>
      <c r="AB21" s="185">
        <f>SUMPRODUCT(AB53:AB64,CapacityYear1)*'01_Вводные'!$F$199*AB5</f>
        <v/>
      </c>
      <c r="AC21" s="185">
        <f>SUMPRODUCT(AC53:AC64,CapacityYear1)*'01_Вводные'!$F$199*AC5</f>
        <v/>
      </c>
      <c r="AD21" s="185">
        <f>SUMPRODUCT(AD53:AD64,CapacityYear1)*'01_Вводные'!$F$199*AD5</f>
        <v/>
      </c>
      <c r="AE21" s="185">
        <f>SUMPRODUCT(AE53:AE64,CapacityYear1)*'01_Вводные'!$F$199*AE5</f>
        <v/>
      </c>
      <c r="AF21" s="185">
        <f>SUMPRODUCT(AF53:AF64,CapacityYear1)*'01_Вводные'!$F$199*AF5</f>
        <v/>
      </c>
      <c r="AG21" s="185">
        <f>SUMPRODUCT(AG53:AG64,CapacityYear1)*'01_Вводные'!$F$199*AG5</f>
        <v/>
      </c>
      <c r="AH21" s="185">
        <f>SUMPRODUCT(AH53:AH64,CapacityYear1)*'01_Вводные'!$F$199*AH5</f>
        <v/>
      </c>
      <c r="AI21" s="185">
        <f>SUMPRODUCT(AI53:AI64,CapacityYear1)*'01_Вводные'!$F$199*AI5</f>
        <v/>
      </c>
      <c r="AJ21" s="185">
        <f>SUMPRODUCT(AJ53:AJ64,CapacityYear1)*'01_Вводные'!$F$199*AJ5</f>
        <v/>
      </c>
      <c r="AK21" s="185">
        <f>SUMPRODUCT(AK53:AK64,CapacityYear1)*'01_Вводные'!$F$199*AK5</f>
        <v/>
      </c>
      <c r="AL21" s="185">
        <f>SUMPRODUCT(AL53:AL64,CapacityYear1)*'01_Вводные'!$F$199*AL5</f>
        <v/>
      </c>
      <c r="AM21" s="185">
        <f>SUMPRODUCT(AM53:AM64,CapacityYear1)*'01_Вводные'!$F$199*AM5</f>
        <v/>
      </c>
      <c r="AN21" s="185">
        <f>SUMPRODUCT(AN53:AN64,CapacityYear1)*'01_Вводные'!$F$199*AN5</f>
        <v/>
      </c>
      <c r="AO21" s="185">
        <f>SUMPRODUCT(AO53:AO64,CapacityYear1)*'01_Вводные'!$F$199*AO5</f>
        <v/>
      </c>
      <c r="AP21" s="185">
        <f>SUMPRODUCT(AP53:AP64,CapacityYear1)*'01_Вводные'!$F$199*AP5</f>
        <v/>
      </c>
      <c r="AQ21" s="185">
        <f>SUMPRODUCT(AQ53:AQ64,CapacityYear1)*'01_Вводные'!$F$199*AQ5</f>
        <v/>
      </c>
      <c r="AR21" s="185">
        <f>SUMPRODUCT(AR53:AR64,CapacityYear1)*'01_Вводные'!$F$199*AR5</f>
        <v/>
      </c>
      <c r="AS21" s="185">
        <f>SUMPRODUCT(AS53:AS64,CapacityYear1)*'01_Вводные'!$F$199*AS5</f>
        <v/>
      </c>
      <c r="AT21" s="185">
        <f>SUMPRODUCT(AT53:AT64,CapacityYear1)*'01_Вводные'!$F$199*AT5</f>
        <v/>
      </c>
      <c r="AU21" s="185">
        <f>SUMPRODUCT(AU53:AU64,CapacityYear1)*'01_Вводные'!$F$199*AU5</f>
        <v/>
      </c>
      <c r="AV21" s="185">
        <f>SUMPRODUCT(AV53:AV64,CapacityYear1)*'01_Вводные'!$F$199*AV5</f>
        <v/>
      </c>
      <c r="AW21" s="185">
        <f>SUMPRODUCT(AW53:AW64,CapacityYear1)*'01_Вводные'!$F$199*AW5</f>
        <v/>
      </c>
      <c r="AX21" s="185">
        <f>SUMPRODUCT(AX53:AX64,CapacityYear1)*'01_Вводные'!$F$199*AX5</f>
        <v/>
      </c>
      <c r="AY21" s="185">
        <f>SUMPRODUCT(AY53:AY64,CapacityYear1)*'01_Вводные'!$F$199*AY5</f>
        <v/>
      </c>
      <c r="AZ21" s="185">
        <f>SUMPRODUCT(AZ53:AZ64,CapacityYear1)*'01_Вводные'!$F$199*AZ5</f>
        <v/>
      </c>
      <c r="BA21" s="185">
        <f>SUMPRODUCT(BA53:BA64,CapacityYear1)*'01_Вводные'!$F$199*BA5</f>
        <v/>
      </c>
      <c r="BB21" s="185">
        <f>SUMPRODUCT(BB53:BB64,CapacityYear1)*'01_Вводные'!$F$199*BB5</f>
        <v/>
      </c>
      <c r="BC21" s="185">
        <f>SUMPRODUCT(BC53:BC64,CapacityYear1)*'01_Вводные'!$F$199*BC5</f>
        <v/>
      </c>
      <c r="BD21" s="185">
        <f>SUMPRODUCT(BD53:BD64,CapacityYear1)*'01_Вводные'!$F$199*BD5</f>
        <v/>
      </c>
      <c r="BE21" s="185">
        <f>SUMPRODUCT(BE53:BE64,CapacityYear1)*'01_Вводные'!$F$199*BE5</f>
        <v/>
      </c>
      <c r="BF21" s="185">
        <f>SUMPRODUCT(BF53:BF64,CapacityYear1)*'01_Вводные'!$F$199*BF5</f>
        <v/>
      </c>
      <c r="BG21" s="185">
        <f>SUMPRODUCT(BG53:BG64,CapacityYear1)*'01_Вводные'!$F$199*BG5</f>
        <v/>
      </c>
      <c r="BH21" s="185">
        <f>SUMPRODUCT(BH53:BH64,CapacityYear1)*'01_Вводные'!$F$199*BH5</f>
        <v/>
      </c>
      <c r="BI21" s="185">
        <f>SUMPRODUCT(BI53:BI64,CapacityYear1)*'01_Вводные'!$F$199*BI5</f>
        <v/>
      </c>
      <c r="BJ21" s="185">
        <f>SUMPRODUCT(BJ53:BJ64,CapacityYear1)*'01_Вводные'!$F$199*BJ5</f>
        <v/>
      </c>
      <c r="BK21" s="185">
        <f>SUMPRODUCT(BK53:BK64,CapacityYear1)*'01_Вводные'!$F$199*BK5</f>
        <v/>
      </c>
      <c r="BL21" s="185">
        <f>SUMPRODUCT(BL53:BL64,CapacityYear1)*'01_Вводные'!$F$199*BL5</f>
        <v/>
      </c>
      <c r="BM21" s="185">
        <f>SUMPRODUCT(BM53:BM64,CapacityYear1)*'01_Вводные'!$F$199*BM5</f>
        <v/>
      </c>
      <c r="BN21" s="185">
        <f>SUMPRODUCT(BN53:BN64,CapacityYear1)*'01_Вводные'!$F$199*BN5</f>
        <v/>
      </c>
      <c r="BO21" s="185">
        <f>SUMPRODUCT(BO53:BO64,CapacityYear1)*'01_Вводные'!$F$199*BO5</f>
        <v/>
      </c>
    </row>
    <row r="22">
      <c r="A22" s="2" t="inlineStr">
        <is>
          <t>Новые школы - дети в мес. 13-24, рост</t>
        </is>
      </c>
      <c r="B22" s="185">
        <f>SUMPRODUCT(B65:B76,CapacityYear2)*'01_Вводные'!$F$199*B5</f>
        <v/>
      </c>
      <c r="C22" s="185">
        <f>SUMPRODUCT(C65:C76,CapacityYear2)*'01_Вводные'!$F$199*C5</f>
        <v/>
      </c>
      <c r="D22" s="185">
        <f>SUMPRODUCT(D65:D76,CapacityYear2)*'01_Вводные'!$F$199*D5</f>
        <v/>
      </c>
      <c r="E22" s="185">
        <f>SUMPRODUCT(E65:E76,CapacityYear2)*'01_Вводные'!$F$199*E5</f>
        <v/>
      </c>
      <c r="F22" s="185">
        <f>SUMPRODUCT(F65:F76,CapacityYear2)*'01_Вводные'!$F$199*F5</f>
        <v/>
      </c>
      <c r="G22" s="185">
        <f>SUMPRODUCT(G65:G76,CapacityYear2)*'01_Вводные'!$F$199*G5</f>
        <v/>
      </c>
      <c r="H22" s="185">
        <f>SUMPRODUCT(H65:H76,CapacityYear2)*'01_Вводные'!$F$199*H5</f>
        <v/>
      </c>
      <c r="I22" s="185">
        <f>SUMPRODUCT(I65:I76,CapacityYear2)*'01_Вводные'!$F$199*I5</f>
        <v/>
      </c>
      <c r="J22" s="185">
        <f>SUMPRODUCT(J65:J76,CapacityYear2)*'01_Вводные'!$F$199*J5</f>
        <v/>
      </c>
      <c r="K22" s="185">
        <f>SUMPRODUCT(K65:K76,CapacityYear2)*'01_Вводные'!$F$199*K5</f>
        <v/>
      </c>
      <c r="L22" s="185">
        <f>SUMPRODUCT(L65:L76,CapacityYear2)*'01_Вводные'!$F$199*L5</f>
        <v/>
      </c>
      <c r="M22" s="185">
        <f>SUMPRODUCT(M65:M76,CapacityYear2)*'01_Вводные'!$F$199*M5</f>
        <v/>
      </c>
      <c r="N22" s="185">
        <f>SUMPRODUCT(N65:N76,CapacityYear2)*'01_Вводные'!$F$199*N5</f>
        <v/>
      </c>
      <c r="O22" s="185">
        <f>SUMPRODUCT(O65:O76,CapacityYear2)*'01_Вводные'!$F$199*O5</f>
        <v/>
      </c>
      <c r="P22" s="185">
        <f>SUMPRODUCT(P65:P76,CapacityYear2)*'01_Вводные'!$F$199*P5</f>
        <v/>
      </c>
      <c r="Q22" s="185">
        <f>SUMPRODUCT(Q65:Q76,CapacityYear2)*'01_Вводные'!$F$199*Q5</f>
        <v/>
      </c>
      <c r="R22" s="185">
        <f>SUMPRODUCT(R65:R76,CapacityYear2)*'01_Вводные'!$F$199*R5</f>
        <v/>
      </c>
      <c r="S22" s="185">
        <f>SUMPRODUCT(S65:S76,CapacityYear2)*'01_Вводные'!$F$199*S5</f>
        <v/>
      </c>
      <c r="T22" s="185">
        <f>SUMPRODUCT(T65:T76,CapacityYear2)*'01_Вводные'!$F$199*T5</f>
        <v/>
      </c>
      <c r="U22" s="185">
        <f>SUMPRODUCT(U65:U76,CapacityYear2)*'01_Вводные'!$F$199*U5</f>
        <v/>
      </c>
      <c r="V22" s="185">
        <f>SUMPRODUCT(V65:V76,CapacityYear2)*'01_Вводные'!$F$199*V5</f>
        <v/>
      </c>
      <c r="W22" s="185">
        <f>SUMPRODUCT(W65:W76,CapacityYear2)*'01_Вводные'!$F$199*W5</f>
        <v/>
      </c>
      <c r="X22" s="185">
        <f>SUMPRODUCT(X65:X76,CapacityYear2)*'01_Вводные'!$F$199*X5</f>
        <v/>
      </c>
      <c r="Y22" s="185">
        <f>SUMPRODUCT(Y65:Y76,CapacityYear2)*'01_Вводные'!$F$199*Y5</f>
        <v/>
      </c>
      <c r="Z22" s="185">
        <f>SUMPRODUCT(Z65:Z76,CapacityYear2)*'01_Вводные'!$F$199*Z5</f>
        <v/>
      </c>
      <c r="AA22" s="185">
        <f>SUMPRODUCT(AA65:AA76,CapacityYear2)*'01_Вводные'!$F$199*AA5</f>
        <v/>
      </c>
      <c r="AB22" s="185">
        <f>SUMPRODUCT(AB65:AB76,CapacityYear2)*'01_Вводные'!$F$199*AB5</f>
        <v/>
      </c>
      <c r="AC22" s="185">
        <f>SUMPRODUCT(AC65:AC76,CapacityYear2)*'01_Вводные'!$F$199*AC5</f>
        <v/>
      </c>
      <c r="AD22" s="185">
        <f>SUMPRODUCT(AD65:AD76,CapacityYear2)*'01_Вводные'!$F$199*AD5</f>
        <v/>
      </c>
      <c r="AE22" s="185">
        <f>SUMPRODUCT(AE65:AE76,CapacityYear2)*'01_Вводные'!$F$199*AE5</f>
        <v/>
      </c>
      <c r="AF22" s="185">
        <f>SUMPRODUCT(AF65:AF76,CapacityYear2)*'01_Вводные'!$F$199*AF5</f>
        <v/>
      </c>
      <c r="AG22" s="185">
        <f>SUMPRODUCT(AG65:AG76,CapacityYear2)*'01_Вводные'!$F$199*AG5</f>
        <v/>
      </c>
      <c r="AH22" s="185">
        <f>SUMPRODUCT(AH65:AH76,CapacityYear2)*'01_Вводные'!$F$199*AH5</f>
        <v/>
      </c>
      <c r="AI22" s="185">
        <f>SUMPRODUCT(AI65:AI76,CapacityYear2)*'01_Вводные'!$F$199*AI5</f>
        <v/>
      </c>
      <c r="AJ22" s="185">
        <f>SUMPRODUCT(AJ65:AJ76,CapacityYear2)*'01_Вводные'!$F$199*AJ5</f>
        <v/>
      </c>
      <c r="AK22" s="185">
        <f>SUMPRODUCT(AK65:AK76,CapacityYear2)*'01_Вводные'!$F$199*AK5</f>
        <v/>
      </c>
      <c r="AL22" s="185">
        <f>SUMPRODUCT(AL65:AL76,CapacityYear2)*'01_Вводные'!$F$199*AL5</f>
        <v/>
      </c>
      <c r="AM22" s="185">
        <f>SUMPRODUCT(AM65:AM76,CapacityYear2)*'01_Вводные'!$F$199*AM5</f>
        <v/>
      </c>
      <c r="AN22" s="185">
        <f>SUMPRODUCT(AN65:AN76,CapacityYear2)*'01_Вводные'!$F$199*AN5</f>
        <v/>
      </c>
      <c r="AO22" s="185">
        <f>SUMPRODUCT(AO65:AO76,CapacityYear2)*'01_Вводные'!$F$199*AO5</f>
        <v/>
      </c>
      <c r="AP22" s="185">
        <f>SUMPRODUCT(AP65:AP76,CapacityYear2)*'01_Вводные'!$F$199*AP5</f>
        <v/>
      </c>
      <c r="AQ22" s="185">
        <f>SUMPRODUCT(AQ65:AQ76,CapacityYear2)*'01_Вводные'!$F$199*AQ5</f>
        <v/>
      </c>
      <c r="AR22" s="185">
        <f>SUMPRODUCT(AR65:AR76,CapacityYear2)*'01_Вводные'!$F$199*AR5</f>
        <v/>
      </c>
      <c r="AS22" s="185">
        <f>SUMPRODUCT(AS65:AS76,CapacityYear2)*'01_Вводные'!$F$199*AS5</f>
        <v/>
      </c>
      <c r="AT22" s="185">
        <f>SUMPRODUCT(AT65:AT76,CapacityYear2)*'01_Вводные'!$F$199*AT5</f>
        <v/>
      </c>
      <c r="AU22" s="185">
        <f>SUMPRODUCT(AU65:AU76,CapacityYear2)*'01_Вводные'!$F$199*AU5</f>
        <v/>
      </c>
      <c r="AV22" s="185">
        <f>SUMPRODUCT(AV65:AV76,CapacityYear2)*'01_Вводные'!$F$199*AV5</f>
        <v/>
      </c>
      <c r="AW22" s="185">
        <f>SUMPRODUCT(AW65:AW76,CapacityYear2)*'01_Вводные'!$F$199*AW5</f>
        <v/>
      </c>
      <c r="AX22" s="185">
        <f>SUMPRODUCT(AX65:AX76,CapacityYear2)*'01_Вводные'!$F$199*AX5</f>
        <v/>
      </c>
      <c r="AY22" s="185">
        <f>SUMPRODUCT(AY65:AY76,CapacityYear2)*'01_Вводные'!$F$199*AY5</f>
        <v/>
      </c>
      <c r="AZ22" s="185">
        <f>SUMPRODUCT(AZ65:AZ76,CapacityYear2)*'01_Вводные'!$F$199*AZ5</f>
        <v/>
      </c>
      <c r="BA22" s="185">
        <f>SUMPRODUCT(BA65:BA76,CapacityYear2)*'01_Вводные'!$F$199*BA5</f>
        <v/>
      </c>
      <c r="BB22" s="185">
        <f>SUMPRODUCT(BB65:BB76,CapacityYear2)*'01_Вводные'!$F$199*BB5</f>
        <v/>
      </c>
      <c r="BC22" s="185">
        <f>SUMPRODUCT(BC65:BC76,CapacityYear2)*'01_Вводные'!$F$199*BC5</f>
        <v/>
      </c>
      <c r="BD22" s="185">
        <f>SUMPRODUCT(BD65:BD76,CapacityYear2)*'01_Вводные'!$F$199*BD5</f>
        <v/>
      </c>
      <c r="BE22" s="185">
        <f>SUMPRODUCT(BE65:BE76,CapacityYear2)*'01_Вводные'!$F$199*BE5</f>
        <v/>
      </c>
      <c r="BF22" s="185">
        <f>SUMPRODUCT(BF65:BF76,CapacityYear2)*'01_Вводные'!$F$199*BF5</f>
        <v/>
      </c>
      <c r="BG22" s="185">
        <f>SUMPRODUCT(BG65:BG76,CapacityYear2)*'01_Вводные'!$F$199*BG5</f>
        <v/>
      </c>
      <c r="BH22" s="185">
        <f>SUMPRODUCT(BH65:BH76,CapacityYear2)*'01_Вводные'!$F$199*BH5</f>
        <v/>
      </c>
      <c r="BI22" s="185">
        <f>SUMPRODUCT(BI65:BI76,CapacityYear2)*'01_Вводные'!$F$199*BI5</f>
        <v/>
      </c>
      <c r="BJ22" s="185">
        <f>SUMPRODUCT(BJ65:BJ76,CapacityYear2)*'01_Вводные'!$F$199*BJ5</f>
        <v/>
      </c>
      <c r="BK22" s="185">
        <f>SUMPRODUCT(BK65:BK76,CapacityYear2)*'01_Вводные'!$F$199*BK5</f>
        <v/>
      </c>
      <c r="BL22" s="185">
        <f>SUMPRODUCT(BL65:BL76,CapacityYear2)*'01_Вводные'!$F$199*BL5</f>
        <v/>
      </c>
      <c r="BM22" s="185">
        <f>SUMPRODUCT(BM65:BM76,CapacityYear2)*'01_Вводные'!$F$199*BM5</f>
        <v/>
      </c>
      <c r="BN22" s="185">
        <f>SUMPRODUCT(BN65:BN76,CapacityYear2)*'01_Вводные'!$F$199*BN5</f>
        <v/>
      </c>
      <c r="BO22" s="185">
        <f>SUMPRODUCT(BO65:BO76,CapacityYear2)*'01_Вводные'!$F$199*BO5</f>
        <v/>
      </c>
    </row>
    <row r="23">
      <c r="A23" s="2" t="inlineStr">
        <is>
          <t>Новые школы — дети зрелые</t>
        </is>
      </c>
      <c r="B23" s="185">
        <f>B77*CapacityAge25*'01_Вводные'!$F$199*B5</f>
        <v/>
      </c>
      <c r="C23" s="185">
        <f>C77*CapacityAge25*'01_Вводные'!$F$199*C5</f>
        <v/>
      </c>
      <c r="D23" s="185">
        <f>D77*CapacityAge25*'01_Вводные'!$F$199*D5</f>
        <v/>
      </c>
      <c r="E23" s="185">
        <f>E77*CapacityAge25*'01_Вводные'!$F$199*E5</f>
        <v/>
      </c>
      <c r="F23" s="185">
        <f>F77*CapacityAge25*'01_Вводные'!$F$199*F5</f>
        <v/>
      </c>
      <c r="G23" s="185">
        <f>G77*CapacityAge25*'01_Вводные'!$F$199*G5</f>
        <v/>
      </c>
      <c r="H23" s="185">
        <f>H77*CapacityAge25*'01_Вводные'!$F$199*H5</f>
        <v/>
      </c>
      <c r="I23" s="185">
        <f>I77*CapacityAge25*'01_Вводные'!$F$199*I5</f>
        <v/>
      </c>
      <c r="J23" s="185">
        <f>J77*CapacityAge25*'01_Вводные'!$F$199*J5</f>
        <v/>
      </c>
      <c r="K23" s="185">
        <f>K77*CapacityAge25*'01_Вводные'!$F$199*K5</f>
        <v/>
      </c>
      <c r="L23" s="185">
        <f>L77*CapacityAge25*'01_Вводные'!$F$199*L5</f>
        <v/>
      </c>
      <c r="M23" s="185">
        <f>M77*CapacityAge25*'01_Вводные'!$F$199*M5</f>
        <v/>
      </c>
      <c r="N23" s="185">
        <f>N77*CapacityAge25*'01_Вводные'!$F$199*N5</f>
        <v/>
      </c>
      <c r="O23" s="185">
        <f>O77*CapacityAge25*'01_Вводные'!$F$199*O5</f>
        <v/>
      </c>
      <c r="P23" s="185">
        <f>P77*CapacityAge25*'01_Вводные'!$F$199*P5</f>
        <v/>
      </c>
      <c r="Q23" s="185">
        <f>Q77*CapacityAge25*'01_Вводные'!$F$199*Q5</f>
        <v/>
      </c>
      <c r="R23" s="185">
        <f>R77*CapacityAge25*'01_Вводные'!$F$199*R5</f>
        <v/>
      </c>
      <c r="S23" s="185">
        <f>S77*CapacityAge25*'01_Вводные'!$F$199*S5</f>
        <v/>
      </c>
      <c r="T23" s="185">
        <f>T77*CapacityAge25*'01_Вводные'!$F$199*T5</f>
        <v/>
      </c>
      <c r="U23" s="185">
        <f>U77*CapacityAge25*'01_Вводные'!$F$199*U5</f>
        <v/>
      </c>
      <c r="V23" s="185">
        <f>V77*CapacityAge25*'01_Вводные'!$F$199*V5</f>
        <v/>
      </c>
      <c r="W23" s="185">
        <f>W77*CapacityAge25*'01_Вводные'!$F$199*W5</f>
        <v/>
      </c>
      <c r="X23" s="185">
        <f>X77*CapacityAge25*'01_Вводные'!$F$199*X5</f>
        <v/>
      </c>
      <c r="Y23" s="185">
        <f>Y77*CapacityAge25*'01_Вводные'!$F$199*Y5</f>
        <v/>
      </c>
      <c r="Z23" s="185">
        <f>Z77*CapacityAge25*'01_Вводные'!$F$199*Z5</f>
        <v/>
      </c>
      <c r="AA23" s="185">
        <f>AA77*CapacityAge25*'01_Вводные'!$F$199*AA5</f>
        <v/>
      </c>
      <c r="AB23" s="185">
        <f>AB77*CapacityAge25*'01_Вводные'!$F$199*AB5</f>
        <v/>
      </c>
      <c r="AC23" s="185">
        <f>AC77*CapacityAge25*'01_Вводные'!$F$199*AC5</f>
        <v/>
      </c>
      <c r="AD23" s="185">
        <f>AD77*CapacityAge25*'01_Вводные'!$F$199*AD5</f>
        <v/>
      </c>
      <c r="AE23" s="185">
        <f>AE77*CapacityAge25*'01_Вводные'!$F$199*AE5</f>
        <v/>
      </c>
      <c r="AF23" s="185">
        <f>AF77*CapacityAge25*'01_Вводные'!$F$199*AF5</f>
        <v/>
      </c>
      <c r="AG23" s="185">
        <f>AG77*CapacityAge25*'01_Вводные'!$F$199*AG5</f>
        <v/>
      </c>
      <c r="AH23" s="185">
        <f>AH77*CapacityAge25*'01_Вводные'!$F$199*AH5</f>
        <v/>
      </c>
      <c r="AI23" s="185">
        <f>AI77*CapacityAge25*'01_Вводные'!$F$199*AI5</f>
        <v/>
      </c>
      <c r="AJ23" s="185">
        <f>AJ77*CapacityAge25*'01_Вводные'!$F$199*AJ5</f>
        <v/>
      </c>
      <c r="AK23" s="185">
        <f>AK77*CapacityAge25*'01_Вводные'!$F$199*AK5</f>
        <v/>
      </c>
      <c r="AL23" s="185">
        <f>AL77*CapacityAge25*'01_Вводные'!$F$199*AL5</f>
        <v/>
      </c>
      <c r="AM23" s="185">
        <f>AM77*CapacityAge25*'01_Вводные'!$F$199*AM5</f>
        <v/>
      </c>
      <c r="AN23" s="185">
        <f>AN77*CapacityAge25*'01_Вводные'!$F$199*AN5</f>
        <v/>
      </c>
      <c r="AO23" s="185">
        <f>AO77*CapacityAge25*'01_Вводные'!$F$199*AO5</f>
        <v/>
      </c>
      <c r="AP23" s="185">
        <f>AP77*CapacityAge25*'01_Вводные'!$F$199*AP5</f>
        <v/>
      </c>
      <c r="AQ23" s="185">
        <f>AQ77*CapacityAge25*'01_Вводные'!$F$199*AQ5</f>
        <v/>
      </c>
      <c r="AR23" s="185">
        <f>AR77*CapacityAge25*'01_Вводные'!$F$199*AR5</f>
        <v/>
      </c>
      <c r="AS23" s="185">
        <f>AS77*CapacityAge25*'01_Вводные'!$F$199*AS5</f>
        <v/>
      </c>
      <c r="AT23" s="185">
        <f>AT77*CapacityAge25*'01_Вводные'!$F$199*AT5</f>
        <v/>
      </c>
      <c r="AU23" s="185">
        <f>AU77*CapacityAge25*'01_Вводные'!$F$199*AU5</f>
        <v/>
      </c>
      <c r="AV23" s="185">
        <f>AV77*CapacityAge25*'01_Вводные'!$F$199*AV5</f>
        <v/>
      </c>
      <c r="AW23" s="185">
        <f>AW77*CapacityAge25*'01_Вводные'!$F$199*AW5</f>
        <v/>
      </c>
      <c r="AX23" s="185">
        <f>AX77*CapacityAge25*'01_Вводные'!$F$199*AX5</f>
        <v/>
      </c>
      <c r="AY23" s="185">
        <f>AY77*CapacityAge25*'01_Вводные'!$F$199*AY5</f>
        <v/>
      </c>
      <c r="AZ23" s="185">
        <f>AZ77*CapacityAge25*'01_Вводные'!$F$199*AZ5</f>
        <v/>
      </c>
      <c r="BA23" s="185">
        <f>BA77*CapacityAge25*'01_Вводные'!$F$199*BA5</f>
        <v/>
      </c>
      <c r="BB23" s="185">
        <f>BB77*CapacityAge25*'01_Вводные'!$F$199*BB5</f>
        <v/>
      </c>
      <c r="BC23" s="185">
        <f>BC77*CapacityAge25*'01_Вводные'!$F$199*BC5</f>
        <v/>
      </c>
      <c r="BD23" s="185">
        <f>BD77*CapacityAge25*'01_Вводные'!$F$199*BD5</f>
        <v/>
      </c>
      <c r="BE23" s="185">
        <f>BE77*CapacityAge25*'01_Вводные'!$F$199*BE5</f>
        <v/>
      </c>
      <c r="BF23" s="185">
        <f>BF77*CapacityAge25*'01_Вводные'!$F$199*BF5</f>
        <v/>
      </c>
      <c r="BG23" s="185">
        <f>BG77*CapacityAge25*'01_Вводные'!$F$199*BG5</f>
        <v/>
      </c>
      <c r="BH23" s="185">
        <f>BH77*CapacityAge25*'01_Вводные'!$F$199*BH5</f>
        <v/>
      </c>
      <c r="BI23" s="185">
        <f>BI77*CapacityAge25*'01_Вводные'!$F$199*BI5</f>
        <v/>
      </c>
      <c r="BJ23" s="185">
        <f>BJ77*CapacityAge25*'01_Вводные'!$F$199*BJ5</f>
        <v/>
      </c>
      <c r="BK23" s="185">
        <f>BK77*CapacityAge25*'01_Вводные'!$F$199*BK5</f>
        <v/>
      </c>
      <c r="BL23" s="185">
        <f>BL77*CapacityAge25*'01_Вводные'!$F$199*BL5</f>
        <v/>
      </c>
      <c r="BM23" s="185">
        <f>BM77*CapacityAge25*'01_Вводные'!$F$199*BM5</f>
        <v/>
      </c>
      <c r="BN23" s="185">
        <f>BN77*CapacityAge25*'01_Вводные'!$F$199*BN5</f>
        <v/>
      </c>
      <c r="BO23" s="185">
        <f>BO77*CapacityAge25*'01_Вводные'!$F$199*BO5</f>
        <v/>
      </c>
    </row>
    <row r="24">
      <c r="A24" s="10" t="inlineStr">
        <is>
          <t>Новые школы — дети всего</t>
        </is>
      </c>
      <c r="B24" s="43">
        <f>SUM(B21:B23)</f>
        <v/>
      </c>
      <c r="C24" s="43">
        <f>SUM(C21:C23)</f>
        <v/>
      </c>
      <c r="D24" s="43">
        <f>SUM(D21:D23)</f>
        <v/>
      </c>
      <c r="E24" s="43">
        <f>SUM(E21:E23)</f>
        <v/>
      </c>
      <c r="F24" s="43">
        <f>SUM(F21:F23)</f>
        <v/>
      </c>
      <c r="G24" s="43">
        <f>SUM(G21:G23)</f>
        <v/>
      </c>
      <c r="H24" s="43">
        <f>SUM(H21:H23)</f>
        <v/>
      </c>
      <c r="I24" s="43">
        <f>SUM(I21:I23)</f>
        <v/>
      </c>
      <c r="J24" s="43">
        <f>SUM(J21:J23)</f>
        <v/>
      </c>
      <c r="K24" s="43">
        <f>SUM(K21:K23)</f>
        <v/>
      </c>
      <c r="L24" s="43">
        <f>SUM(L21:L23)</f>
        <v/>
      </c>
      <c r="M24" s="43">
        <f>SUM(M21:M23)</f>
        <v/>
      </c>
      <c r="N24" s="43">
        <f>SUM(N21:N23)</f>
        <v/>
      </c>
      <c r="O24" s="43">
        <f>SUM(O21:O23)</f>
        <v/>
      </c>
      <c r="P24" s="43">
        <f>SUM(P21:P23)</f>
        <v/>
      </c>
      <c r="Q24" s="43">
        <f>SUM(Q21:Q23)</f>
        <v/>
      </c>
      <c r="R24" s="43">
        <f>SUM(R21:R23)</f>
        <v/>
      </c>
      <c r="S24" s="43">
        <f>SUM(S21:S23)</f>
        <v/>
      </c>
      <c r="T24" s="43">
        <f>SUM(T21:T23)</f>
        <v/>
      </c>
      <c r="U24" s="43">
        <f>SUM(U21:U23)</f>
        <v/>
      </c>
      <c r="V24" s="43">
        <f>SUM(V21:V23)</f>
        <v/>
      </c>
      <c r="W24" s="43">
        <f>SUM(W21:W23)</f>
        <v/>
      </c>
      <c r="X24" s="43">
        <f>SUM(X21:X23)</f>
        <v/>
      </c>
      <c r="Y24" s="43">
        <f>SUM(Y21:Y23)</f>
        <v/>
      </c>
      <c r="Z24" s="43">
        <f>SUM(Z21:Z23)</f>
        <v/>
      </c>
      <c r="AA24" s="43">
        <f>SUM(AA21:AA23)</f>
        <v/>
      </c>
      <c r="AB24" s="43">
        <f>SUM(AB21:AB23)</f>
        <v/>
      </c>
      <c r="AC24" s="43">
        <f>SUM(AC21:AC23)</f>
        <v/>
      </c>
      <c r="AD24" s="43">
        <f>SUM(AD21:AD23)</f>
        <v/>
      </c>
      <c r="AE24" s="43">
        <f>SUM(AE21:AE23)</f>
        <v/>
      </c>
      <c r="AF24" s="43">
        <f>SUM(AF21:AF23)</f>
        <v/>
      </c>
      <c r="AG24" s="43">
        <f>SUM(AG21:AG23)</f>
        <v/>
      </c>
      <c r="AH24" s="43">
        <f>SUM(AH21:AH23)</f>
        <v/>
      </c>
      <c r="AI24" s="43">
        <f>SUM(AI21:AI23)</f>
        <v/>
      </c>
      <c r="AJ24" s="43">
        <f>SUM(AJ21:AJ23)</f>
        <v/>
      </c>
      <c r="AK24" s="43">
        <f>SUM(AK21:AK23)</f>
        <v/>
      </c>
      <c r="AL24" s="43">
        <f>SUM(AL21:AL23)</f>
        <v/>
      </c>
      <c r="AM24" s="43">
        <f>SUM(AM21:AM23)</f>
        <v/>
      </c>
      <c r="AN24" s="43">
        <f>SUM(AN21:AN23)</f>
        <v/>
      </c>
      <c r="AO24" s="43">
        <f>SUM(AO21:AO23)</f>
        <v/>
      </c>
      <c r="AP24" s="43">
        <f>SUM(AP21:AP23)</f>
        <v/>
      </c>
      <c r="AQ24" s="43">
        <f>SUM(AQ21:AQ23)</f>
        <v/>
      </c>
      <c r="AR24" s="43">
        <f>SUM(AR21:AR23)</f>
        <v/>
      </c>
      <c r="AS24" s="43">
        <f>SUM(AS21:AS23)</f>
        <v/>
      </c>
      <c r="AT24" s="43">
        <f>SUM(AT21:AT23)</f>
        <v/>
      </c>
      <c r="AU24" s="43">
        <f>SUM(AU21:AU23)</f>
        <v/>
      </c>
      <c r="AV24" s="43">
        <f>SUM(AV21:AV23)</f>
        <v/>
      </c>
      <c r="AW24" s="43">
        <f>SUM(AW21:AW23)</f>
        <v/>
      </c>
      <c r="AX24" s="43">
        <f>SUM(AX21:AX23)</f>
        <v/>
      </c>
      <c r="AY24" s="43">
        <f>SUM(AY21:AY23)</f>
        <v/>
      </c>
      <c r="AZ24" s="43">
        <f>SUM(AZ21:AZ23)</f>
        <v/>
      </c>
      <c r="BA24" s="43">
        <f>SUM(BA21:BA23)</f>
        <v/>
      </c>
      <c r="BB24" s="43">
        <f>SUM(BB21:BB23)</f>
        <v/>
      </c>
      <c r="BC24" s="43">
        <f>SUM(BC21:BC23)</f>
        <v/>
      </c>
      <c r="BD24" s="43">
        <f>SUM(BD21:BD23)</f>
        <v/>
      </c>
      <c r="BE24" s="43">
        <f>SUM(BE21:BE23)</f>
        <v/>
      </c>
      <c r="BF24" s="43">
        <f>SUM(BF21:BF23)</f>
        <v/>
      </c>
      <c r="BG24" s="43">
        <f>SUM(BG21:BG23)</f>
        <v/>
      </c>
      <c r="BH24" s="43">
        <f>SUM(BH21:BH23)</f>
        <v/>
      </c>
      <c r="BI24" s="43">
        <f>SUM(BI21:BI23)</f>
        <v/>
      </c>
      <c r="BJ24" s="43">
        <f>SUM(BJ21:BJ23)</f>
        <v/>
      </c>
      <c r="BK24" s="43">
        <f>SUM(BK21:BK23)</f>
        <v/>
      </c>
      <c r="BL24" s="43">
        <f>SUM(BL21:BL23)</f>
        <v/>
      </c>
      <c r="BM24" s="43">
        <f>SUM(BM21:BM23)</f>
        <v/>
      </c>
      <c r="BN24" s="43">
        <f>SUM(BN21:BN23)</f>
        <v/>
      </c>
      <c r="BO24" s="43">
        <f>SUM(BO21:BO23)</f>
        <v/>
      </c>
    </row>
    <row r="25">
      <c r="A25" s="10" t="inlineStr">
        <is>
          <t>Всего активных детей</t>
        </is>
      </c>
      <c r="B25" s="43">
        <f>B20+B24</f>
        <v/>
      </c>
      <c r="C25" s="43">
        <f>C20+C24</f>
        <v/>
      </c>
      <c r="D25" s="43">
        <f>D20+D24</f>
        <v/>
      </c>
      <c r="E25" s="43">
        <f>E20+E24</f>
        <v/>
      </c>
      <c r="F25" s="43">
        <f>F20+F24</f>
        <v/>
      </c>
      <c r="G25" s="43">
        <f>G20+G24</f>
        <v/>
      </c>
      <c r="H25" s="43">
        <f>H20+H24</f>
        <v/>
      </c>
      <c r="I25" s="43">
        <f>I20+I24</f>
        <v/>
      </c>
      <c r="J25" s="43">
        <f>J20+J24</f>
        <v/>
      </c>
      <c r="K25" s="43">
        <f>K20+K24</f>
        <v/>
      </c>
      <c r="L25" s="43">
        <f>L20+L24</f>
        <v/>
      </c>
      <c r="M25" s="43">
        <f>M20+M24</f>
        <v/>
      </c>
      <c r="N25" s="43">
        <f>N20+N24</f>
        <v/>
      </c>
      <c r="O25" s="43">
        <f>O20+O24</f>
        <v/>
      </c>
      <c r="P25" s="43">
        <f>P20+P24</f>
        <v/>
      </c>
      <c r="Q25" s="43">
        <f>Q20+Q24</f>
        <v/>
      </c>
      <c r="R25" s="43">
        <f>R20+R24</f>
        <v/>
      </c>
      <c r="S25" s="43">
        <f>S20+S24</f>
        <v/>
      </c>
      <c r="T25" s="43">
        <f>T20+T24</f>
        <v/>
      </c>
      <c r="U25" s="43">
        <f>U20+U24</f>
        <v/>
      </c>
      <c r="V25" s="43">
        <f>V20+V24</f>
        <v/>
      </c>
      <c r="W25" s="43">
        <f>W20+W24</f>
        <v/>
      </c>
      <c r="X25" s="43">
        <f>X20+X24</f>
        <v/>
      </c>
      <c r="Y25" s="43">
        <f>Y20+Y24</f>
        <v/>
      </c>
      <c r="Z25" s="43">
        <f>Z20+Z24</f>
        <v/>
      </c>
      <c r="AA25" s="43">
        <f>AA20+AA24</f>
        <v/>
      </c>
      <c r="AB25" s="43">
        <f>AB20+AB24</f>
        <v/>
      </c>
      <c r="AC25" s="43">
        <f>AC20+AC24</f>
        <v/>
      </c>
      <c r="AD25" s="43">
        <f>AD20+AD24</f>
        <v/>
      </c>
      <c r="AE25" s="43">
        <f>AE20+AE24</f>
        <v/>
      </c>
      <c r="AF25" s="43">
        <f>AF20+AF24</f>
        <v/>
      </c>
      <c r="AG25" s="43">
        <f>AG20+AG24</f>
        <v/>
      </c>
      <c r="AH25" s="43">
        <f>AH20+AH24</f>
        <v/>
      </c>
      <c r="AI25" s="43">
        <f>AI20+AI24</f>
        <v/>
      </c>
      <c r="AJ25" s="43">
        <f>AJ20+AJ24</f>
        <v/>
      </c>
      <c r="AK25" s="43">
        <f>AK20+AK24</f>
        <v/>
      </c>
      <c r="AL25" s="43">
        <f>AL20+AL24</f>
        <v/>
      </c>
      <c r="AM25" s="43">
        <f>AM20+AM24</f>
        <v/>
      </c>
      <c r="AN25" s="43">
        <f>AN20+AN24</f>
        <v/>
      </c>
      <c r="AO25" s="43">
        <f>AO20+AO24</f>
        <v/>
      </c>
      <c r="AP25" s="43">
        <f>AP20+AP24</f>
        <v/>
      </c>
      <c r="AQ25" s="43">
        <f>AQ20+AQ24</f>
        <v/>
      </c>
      <c r="AR25" s="43">
        <f>AR20+AR24</f>
        <v/>
      </c>
      <c r="AS25" s="43">
        <f>AS20+AS24</f>
        <v/>
      </c>
      <c r="AT25" s="43">
        <f>AT20+AT24</f>
        <v/>
      </c>
      <c r="AU25" s="43">
        <f>AU20+AU24</f>
        <v/>
      </c>
      <c r="AV25" s="43">
        <f>AV20+AV24</f>
        <v/>
      </c>
      <c r="AW25" s="43">
        <f>AW20+AW24</f>
        <v/>
      </c>
      <c r="AX25" s="43">
        <f>AX20+AX24</f>
        <v/>
      </c>
      <c r="AY25" s="43">
        <f>AY20+AY24</f>
        <v/>
      </c>
      <c r="AZ25" s="43">
        <f>AZ20+AZ24</f>
        <v/>
      </c>
      <c r="BA25" s="43">
        <f>BA20+BA24</f>
        <v/>
      </c>
      <c r="BB25" s="43">
        <f>BB20+BB24</f>
        <v/>
      </c>
      <c r="BC25" s="43">
        <f>BC20+BC24</f>
        <v/>
      </c>
      <c r="BD25" s="43">
        <f>BD20+BD24</f>
        <v/>
      </c>
      <c r="BE25" s="43">
        <f>BE20+BE24</f>
        <v/>
      </c>
      <c r="BF25" s="43">
        <f>BF20+BF24</f>
        <v/>
      </c>
      <c r="BG25" s="43">
        <f>BG20+BG24</f>
        <v/>
      </c>
      <c r="BH25" s="43">
        <f>BH20+BH24</f>
        <v/>
      </c>
      <c r="BI25" s="43">
        <f>BI20+BI24</f>
        <v/>
      </c>
      <c r="BJ25" s="43">
        <f>BJ20+BJ24</f>
        <v/>
      </c>
      <c r="BK25" s="43">
        <f>BK20+BK24</f>
        <v/>
      </c>
      <c r="BL25" s="43">
        <f>BL20+BL24</f>
        <v/>
      </c>
      <c r="BM25" s="43">
        <f>BM20+BM24</f>
        <v/>
      </c>
      <c r="BN25" s="43">
        <f>BN20+BN24</f>
        <v/>
      </c>
      <c r="BO25" s="43">
        <f>BO20+BO24</f>
        <v/>
      </c>
    </row>
    <row r="26">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c r="AA26" s="73" t="n"/>
      <c r="AB26" s="73" t="n"/>
      <c r="AC26" s="73" t="n"/>
      <c r="AD26" s="73" t="n"/>
      <c r="AE26" s="73" t="n"/>
      <c r="AF26" s="73" t="n"/>
      <c r="AG26" s="73" t="n"/>
      <c r="AH26" s="73" t="n"/>
      <c r="AI26" s="73" t="n"/>
      <c r="AJ26" s="73" t="n"/>
      <c r="AK26" s="73" t="n"/>
      <c r="AL26" s="73" t="n"/>
      <c r="AM26" s="73" t="n"/>
      <c r="AN26" s="73" t="n"/>
      <c r="AO26" s="73" t="n"/>
      <c r="AP26" s="73" t="n"/>
      <c r="AQ26" s="73" t="n"/>
      <c r="AR26" s="73" t="n"/>
      <c r="AS26" s="73" t="n"/>
      <c r="AT26" s="73" t="n"/>
      <c r="AU26" s="73" t="n"/>
      <c r="AV26" s="73" t="n"/>
      <c r="AW26" s="73" t="n"/>
      <c r="AX26" s="73" t="n"/>
      <c r="AY26" s="73" t="n"/>
      <c r="AZ26" s="73" t="n"/>
      <c r="BA26" s="73" t="n"/>
      <c r="BB26" s="73" t="n"/>
      <c r="BC26" s="73" t="n"/>
      <c r="BD26" s="73" t="n"/>
      <c r="BE26" s="73" t="n"/>
      <c r="BF26" s="73" t="n"/>
      <c r="BG26" s="73" t="n"/>
      <c r="BH26" s="73" t="n"/>
      <c r="BI26" s="73" t="n"/>
      <c r="BJ26" s="73" t="n"/>
      <c r="BK26" s="73" t="n"/>
      <c r="BL26" s="73" t="n"/>
      <c r="BM26" s="73" t="n"/>
      <c r="BN26" s="73" t="n"/>
      <c r="BO26" s="73" t="n"/>
    </row>
    <row r="27" ht="20" customHeight="1">
      <c r="A27" s="4" t="inlineStr">
        <is>
          <t>Роялти</t>
        </is>
      </c>
    </row>
    <row r="28">
      <c r="A28" s="2" t="inlineStr">
        <is>
          <t>Роялти действующей сети, с НДС</t>
        </is>
      </c>
      <c r="B28" s="185">
        <f>SUMPRODUCT(('01_Вводные'!$D$314:$D$318*'01_Вводные'!$B$314:$B$318*IF('01_Вводные'!$B$9=0,0,B11/'01_Вводные'!$B$9)+B20*'18_Календарь_тарифы'!B8*'01_Вводные'!$C$314:$C$318*('01_Вводные'!$E$314:$E$318*(B$3&lt;'01_Вводные'!$B$245)+'01_Вводные'!$B$57*(B$3&gt;='01_Вводные'!$B$245))+ABS('01_Вводные'!$D$314:$D$318*'01_Вводные'!$B$314:$B$318*IF('01_Вводные'!$B$9=0,0,B11/'01_Вводные'!$B$9)-B20*'18_Календарь_тарифы'!B8*'01_Вводные'!$C$314:$C$318*('01_Вводные'!$E$314:$E$318*(B$3&lt;'01_Вводные'!$B$245)+'01_Вводные'!$B$57*(B$3&gt;='01_Вводные'!$B$245))))/2)</f>
        <v/>
      </c>
      <c r="C28" s="185">
        <f>SUMPRODUCT(('01_Вводные'!$D$314:$D$318*'01_Вводные'!$B$314:$B$318*IF('01_Вводные'!$B$9=0,0,C11/'01_Вводные'!$B$9)+C20*'18_Календарь_тарифы'!C8*'01_Вводные'!$C$314:$C$318*('01_Вводные'!$E$314:$E$318*(C$3&lt;'01_Вводные'!$B$245)+'01_Вводные'!$B$57*(C$3&gt;='01_Вводные'!$B$245))+ABS('01_Вводные'!$D$314:$D$318*'01_Вводные'!$B$314:$B$318*IF('01_Вводные'!$B$9=0,0,C11/'01_Вводные'!$B$9)-C20*'18_Календарь_тарифы'!C8*'01_Вводные'!$C$314:$C$318*('01_Вводные'!$E$314:$E$318*(C$3&lt;'01_Вводные'!$B$245)+'01_Вводные'!$B$57*(C$3&gt;='01_Вводные'!$B$245))))/2)</f>
        <v/>
      </c>
      <c r="D28" s="185">
        <f>SUMPRODUCT(('01_Вводные'!$D$314:$D$318*'01_Вводные'!$B$314:$B$318*IF('01_Вводные'!$B$9=0,0,D11/'01_Вводные'!$B$9)+D20*'18_Календарь_тарифы'!D8*'01_Вводные'!$C$314:$C$318*('01_Вводные'!$E$314:$E$318*(D$3&lt;'01_Вводные'!$B$245)+'01_Вводные'!$B$57*(D$3&gt;='01_Вводные'!$B$245))+ABS('01_Вводные'!$D$314:$D$318*'01_Вводные'!$B$314:$B$318*IF('01_Вводные'!$B$9=0,0,D11/'01_Вводные'!$B$9)-D20*'18_Календарь_тарифы'!D8*'01_Вводные'!$C$314:$C$318*('01_Вводные'!$E$314:$E$318*(D$3&lt;'01_Вводные'!$B$245)+'01_Вводные'!$B$57*(D$3&gt;='01_Вводные'!$B$245))))/2)</f>
        <v/>
      </c>
      <c r="E28" s="185">
        <f>SUMPRODUCT(('01_Вводные'!$D$314:$D$318*'01_Вводные'!$B$314:$B$318*IF('01_Вводные'!$B$9=0,0,E11/'01_Вводные'!$B$9)+E20*'18_Календарь_тарифы'!E8*'01_Вводные'!$C$314:$C$318*('01_Вводные'!$E$314:$E$318*(E$3&lt;'01_Вводные'!$B$245)+'01_Вводные'!$B$57*(E$3&gt;='01_Вводные'!$B$245))+ABS('01_Вводные'!$D$314:$D$318*'01_Вводные'!$B$314:$B$318*IF('01_Вводные'!$B$9=0,0,E11/'01_Вводные'!$B$9)-E20*'18_Календарь_тарифы'!E8*'01_Вводные'!$C$314:$C$318*('01_Вводные'!$E$314:$E$318*(E$3&lt;'01_Вводные'!$B$245)+'01_Вводные'!$B$57*(E$3&gt;='01_Вводные'!$B$245))))/2)</f>
        <v/>
      </c>
      <c r="F28" s="185">
        <f>SUMPRODUCT(('01_Вводные'!$D$314:$D$318*'01_Вводные'!$B$314:$B$318*IF('01_Вводные'!$B$9=0,0,F11/'01_Вводные'!$B$9)+F20*'18_Календарь_тарифы'!F8*'01_Вводные'!$C$314:$C$318*('01_Вводные'!$E$314:$E$318*(F$3&lt;'01_Вводные'!$B$245)+'01_Вводные'!$B$57*(F$3&gt;='01_Вводные'!$B$245))+ABS('01_Вводные'!$D$314:$D$318*'01_Вводные'!$B$314:$B$318*IF('01_Вводные'!$B$9=0,0,F11/'01_Вводные'!$B$9)-F20*'18_Календарь_тарифы'!F8*'01_Вводные'!$C$314:$C$318*('01_Вводные'!$E$314:$E$318*(F$3&lt;'01_Вводные'!$B$245)+'01_Вводные'!$B$57*(F$3&gt;='01_Вводные'!$B$245))))/2)</f>
        <v/>
      </c>
      <c r="G28" s="185">
        <f>SUMPRODUCT(('01_Вводные'!$D$314:$D$318*'01_Вводные'!$B$314:$B$318*IF('01_Вводные'!$B$9=0,0,G11/'01_Вводные'!$B$9)+G20*'18_Календарь_тарифы'!G8*'01_Вводные'!$C$314:$C$318*('01_Вводные'!$E$314:$E$318*(G$3&lt;'01_Вводные'!$B$245)+'01_Вводные'!$B$57*(G$3&gt;='01_Вводные'!$B$245))+ABS('01_Вводные'!$D$314:$D$318*'01_Вводные'!$B$314:$B$318*IF('01_Вводные'!$B$9=0,0,G11/'01_Вводные'!$B$9)-G20*'18_Календарь_тарифы'!G8*'01_Вводные'!$C$314:$C$318*('01_Вводные'!$E$314:$E$318*(G$3&lt;'01_Вводные'!$B$245)+'01_Вводные'!$B$57*(G$3&gt;='01_Вводные'!$B$245))))/2)</f>
        <v/>
      </c>
      <c r="H28" s="185">
        <f>SUMPRODUCT(('01_Вводные'!$D$314:$D$318*'01_Вводные'!$B$314:$B$318*IF('01_Вводные'!$B$9=0,0,H11/'01_Вводные'!$B$9)+H20*'18_Календарь_тарифы'!H8*'01_Вводные'!$C$314:$C$318*('01_Вводные'!$E$314:$E$318*(H$3&lt;'01_Вводные'!$B$245)+'01_Вводные'!$B$57*(H$3&gt;='01_Вводные'!$B$245))+ABS('01_Вводные'!$D$314:$D$318*'01_Вводные'!$B$314:$B$318*IF('01_Вводные'!$B$9=0,0,H11/'01_Вводные'!$B$9)-H20*'18_Календарь_тарифы'!H8*'01_Вводные'!$C$314:$C$318*('01_Вводные'!$E$314:$E$318*(H$3&lt;'01_Вводные'!$B$245)+'01_Вводные'!$B$57*(H$3&gt;='01_Вводные'!$B$245))))/2)</f>
        <v/>
      </c>
      <c r="I28" s="185">
        <f>SUMPRODUCT(('01_Вводные'!$D$314:$D$318*'01_Вводные'!$B$314:$B$318*IF('01_Вводные'!$B$9=0,0,I11/'01_Вводные'!$B$9)+I20*'18_Календарь_тарифы'!I8*'01_Вводные'!$C$314:$C$318*('01_Вводные'!$E$314:$E$318*(I$3&lt;'01_Вводные'!$B$245)+'01_Вводные'!$B$57*(I$3&gt;='01_Вводные'!$B$245))+ABS('01_Вводные'!$D$314:$D$318*'01_Вводные'!$B$314:$B$318*IF('01_Вводные'!$B$9=0,0,I11/'01_Вводные'!$B$9)-I20*'18_Календарь_тарифы'!I8*'01_Вводные'!$C$314:$C$318*('01_Вводные'!$E$314:$E$318*(I$3&lt;'01_Вводные'!$B$245)+'01_Вводные'!$B$57*(I$3&gt;='01_Вводные'!$B$245))))/2)</f>
        <v/>
      </c>
      <c r="J28" s="185">
        <f>SUMPRODUCT(('01_Вводные'!$D$314:$D$318*'01_Вводные'!$B$314:$B$318*IF('01_Вводные'!$B$9=0,0,J11/'01_Вводные'!$B$9)+J20*'18_Календарь_тарифы'!J8*'01_Вводные'!$C$314:$C$318*('01_Вводные'!$E$314:$E$318*(J$3&lt;'01_Вводные'!$B$245)+'01_Вводные'!$B$57*(J$3&gt;='01_Вводные'!$B$245))+ABS('01_Вводные'!$D$314:$D$318*'01_Вводные'!$B$314:$B$318*IF('01_Вводные'!$B$9=0,0,J11/'01_Вводные'!$B$9)-J20*'18_Календарь_тарифы'!J8*'01_Вводные'!$C$314:$C$318*('01_Вводные'!$E$314:$E$318*(J$3&lt;'01_Вводные'!$B$245)+'01_Вводные'!$B$57*(J$3&gt;='01_Вводные'!$B$245))))/2)</f>
        <v/>
      </c>
      <c r="K28" s="185">
        <f>SUMPRODUCT(('01_Вводные'!$D$314:$D$318*'01_Вводные'!$B$314:$B$318*IF('01_Вводные'!$B$9=0,0,K11/'01_Вводные'!$B$9)+K20*'18_Календарь_тарифы'!K8*'01_Вводные'!$C$314:$C$318*('01_Вводные'!$E$314:$E$318*(K$3&lt;'01_Вводные'!$B$245)+'01_Вводные'!$B$57*(K$3&gt;='01_Вводные'!$B$245))+ABS('01_Вводные'!$D$314:$D$318*'01_Вводные'!$B$314:$B$318*IF('01_Вводные'!$B$9=0,0,K11/'01_Вводные'!$B$9)-K20*'18_Календарь_тарифы'!K8*'01_Вводные'!$C$314:$C$318*('01_Вводные'!$E$314:$E$318*(K$3&lt;'01_Вводные'!$B$245)+'01_Вводные'!$B$57*(K$3&gt;='01_Вводные'!$B$245))))/2)</f>
        <v/>
      </c>
      <c r="L28" s="185">
        <f>SUMPRODUCT(('01_Вводные'!$D$314:$D$318*'01_Вводные'!$B$314:$B$318*IF('01_Вводные'!$B$9=0,0,L11/'01_Вводные'!$B$9)+L20*'18_Календарь_тарифы'!L8*'01_Вводные'!$C$314:$C$318*('01_Вводные'!$E$314:$E$318*(L$3&lt;'01_Вводные'!$B$245)+'01_Вводные'!$B$57*(L$3&gt;='01_Вводные'!$B$245))+ABS('01_Вводные'!$D$314:$D$318*'01_Вводные'!$B$314:$B$318*IF('01_Вводные'!$B$9=0,0,L11/'01_Вводные'!$B$9)-L20*'18_Календарь_тарифы'!L8*'01_Вводные'!$C$314:$C$318*('01_Вводные'!$E$314:$E$318*(L$3&lt;'01_Вводные'!$B$245)+'01_Вводные'!$B$57*(L$3&gt;='01_Вводные'!$B$245))))/2)</f>
        <v/>
      </c>
      <c r="M28" s="185">
        <f>SUMPRODUCT(('01_Вводные'!$D$314:$D$318*'01_Вводные'!$B$314:$B$318*IF('01_Вводные'!$B$9=0,0,M11/'01_Вводные'!$B$9)+M20*'18_Календарь_тарифы'!M8*'01_Вводные'!$C$314:$C$318*('01_Вводные'!$E$314:$E$318*(M$3&lt;'01_Вводные'!$B$245)+'01_Вводные'!$B$57*(M$3&gt;='01_Вводные'!$B$245))+ABS('01_Вводные'!$D$314:$D$318*'01_Вводные'!$B$314:$B$318*IF('01_Вводные'!$B$9=0,0,M11/'01_Вводные'!$B$9)-M20*'18_Календарь_тарифы'!M8*'01_Вводные'!$C$314:$C$318*('01_Вводные'!$E$314:$E$318*(M$3&lt;'01_Вводные'!$B$245)+'01_Вводные'!$B$57*(M$3&gt;='01_Вводные'!$B$245))))/2)</f>
        <v/>
      </c>
      <c r="N28" s="185">
        <f>SUMPRODUCT(('01_Вводные'!$D$314:$D$318*'01_Вводные'!$B$314:$B$318*IF('01_Вводные'!$B$9=0,0,N11/'01_Вводные'!$B$9)+N20*'18_Календарь_тарифы'!N8*'01_Вводные'!$C$314:$C$318*('01_Вводные'!$E$314:$E$318*(N$3&lt;'01_Вводные'!$B$245)+'01_Вводные'!$B$57*(N$3&gt;='01_Вводные'!$B$245))+ABS('01_Вводные'!$D$314:$D$318*'01_Вводные'!$B$314:$B$318*IF('01_Вводные'!$B$9=0,0,N11/'01_Вводные'!$B$9)-N20*'18_Календарь_тарифы'!N8*'01_Вводные'!$C$314:$C$318*('01_Вводные'!$E$314:$E$318*(N$3&lt;'01_Вводные'!$B$245)+'01_Вводные'!$B$57*(N$3&gt;='01_Вводные'!$B$245))))/2)</f>
        <v/>
      </c>
      <c r="O28" s="185">
        <f>SUMPRODUCT(('01_Вводные'!$D$314:$D$318*'01_Вводные'!$B$314:$B$318*IF('01_Вводные'!$B$9=0,0,O11/'01_Вводные'!$B$9)+O20*'18_Календарь_тарифы'!O8*'01_Вводные'!$C$314:$C$318*('01_Вводные'!$E$314:$E$318*(O$3&lt;'01_Вводные'!$B$245)+'01_Вводные'!$B$57*(O$3&gt;='01_Вводные'!$B$245))+ABS('01_Вводные'!$D$314:$D$318*'01_Вводные'!$B$314:$B$318*IF('01_Вводные'!$B$9=0,0,O11/'01_Вводные'!$B$9)-O20*'18_Календарь_тарифы'!O8*'01_Вводные'!$C$314:$C$318*('01_Вводные'!$E$314:$E$318*(O$3&lt;'01_Вводные'!$B$245)+'01_Вводные'!$B$57*(O$3&gt;='01_Вводные'!$B$245))))/2)</f>
        <v/>
      </c>
      <c r="P28" s="185">
        <f>SUMPRODUCT(('01_Вводные'!$D$314:$D$318*'01_Вводные'!$B$314:$B$318*IF('01_Вводные'!$B$9=0,0,P11/'01_Вводные'!$B$9)+P20*'18_Календарь_тарифы'!P8*'01_Вводные'!$C$314:$C$318*('01_Вводные'!$E$314:$E$318*(P$3&lt;'01_Вводные'!$B$245)+'01_Вводные'!$B$57*(P$3&gt;='01_Вводные'!$B$245))+ABS('01_Вводные'!$D$314:$D$318*'01_Вводные'!$B$314:$B$318*IF('01_Вводные'!$B$9=0,0,P11/'01_Вводные'!$B$9)-P20*'18_Календарь_тарифы'!P8*'01_Вводные'!$C$314:$C$318*('01_Вводные'!$E$314:$E$318*(P$3&lt;'01_Вводные'!$B$245)+'01_Вводные'!$B$57*(P$3&gt;='01_Вводные'!$B$245))))/2)</f>
        <v/>
      </c>
      <c r="Q28" s="185">
        <f>SUMPRODUCT(('01_Вводные'!$D$314:$D$318*'01_Вводные'!$B$314:$B$318*IF('01_Вводные'!$B$9=0,0,Q11/'01_Вводные'!$B$9)+Q20*'18_Календарь_тарифы'!Q8*'01_Вводные'!$C$314:$C$318*('01_Вводные'!$E$314:$E$318*(Q$3&lt;'01_Вводные'!$B$245)+'01_Вводные'!$B$57*(Q$3&gt;='01_Вводные'!$B$245))+ABS('01_Вводные'!$D$314:$D$318*'01_Вводные'!$B$314:$B$318*IF('01_Вводные'!$B$9=0,0,Q11/'01_Вводные'!$B$9)-Q20*'18_Календарь_тарифы'!Q8*'01_Вводные'!$C$314:$C$318*('01_Вводные'!$E$314:$E$318*(Q$3&lt;'01_Вводные'!$B$245)+'01_Вводные'!$B$57*(Q$3&gt;='01_Вводные'!$B$245))))/2)</f>
        <v/>
      </c>
      <c r="R28" s="185">
        <f>SUMPRODUCT(('01_Вводные'!$D$314:$D$318*'01_Вводные'!$B$314:$B$318*IF('01_Вводные'!$B$9=0,0,R11/'01_Вводные'!$B$9)+R20*'18_Календарь_тарифы'!R8*'01_Вводные'!$C$314:$C$318*('01_Вводные'!$E$314:$E$318*(R$3&lt;'01_Вводные'!$B$245)+'01_Вводные'!$B$57*(R$3&gt;='01_Вводные'!$B$245))+ABS('01_Вводные'!$D$314:$D$318*'01_Вводные'!$B$314:$B$318*IF('01_Вводные'!$B$9=0,0,R11/'01_Вводные'!$B$9)-R20*'18_Календарь_тарифы'!R8*'01_Вводные'!$C$314:$C$318*('01_Вводные'!$E$314:$E$318*(R$3&lt;'01_Вводные'!$B$245)+'01_Вводные'!$B$57*(R$3&gt;='01_Вводные'!$B$245))))/2)</f>
        <v/>
      </c>
      <c r="S28" s="185">
        <f>SUMPRODUCT(('01_Вводные'!$D$314:$D$318*'01_Вводные'!$B$314:$B$318*IF('01_Вводные'!$B$9=0,0,S11/'01_Вводные'!$B$9)+S20*'18_Календарь_тарифы'!S8*'01_Вводные'!$C$314:$C$318*('01_Вводные'!$E$314:$E$318*(S$3&lt;'01_Вводные'!$B$245)+'01_Вводные'!$B$57*(S$3&gt;='01_Вводные'!$B$245))+ABS('01_Вводные'!$D$314:$D$318*'01_Вводные'!$B$314:$B$318*IF('01_Вводные'!$B$9=0,0,S11/'01_Вводные'!$B$9)-S20*'18_Календарь_тарифы'!S8*'01_Вводные'!$C$314:$C$318*('01_Вводные'!$E$314:$E$318*(S$3&lt;'01_Вводные'!$B$245)+'01_Вводные'!$B$57*(S$3&gt;='01_Вводные'!$B$245))))/2)</f>
        <v/>
      </c>
      <c r="T28" s="185">
        <f>SUMPRODUCT(('01_Вводные'!$D$314:$D$318*'01_Вводные'!$B$314:$B$318*IF('01_Вводные'!$B$9=0,0,T11/'01_Вводные'!$B$9)+T20*'18_Календарь_тарифы'!T8*'01_Вводные'!$C$314:$C$318*('01_Вводные'!$E$314:$E$318*(T$3&lt;'01_Вводные'!$B$245)+'01_Вводные'!$B$57*(T$3&gt;='01_Вводные'!$B$245))+ABS('01_Вводные'!$D$314:$D$318*'01_Вводные'!$B$314:$B$318*IF('01_Вводные'!$B$9=0,0,T11/'01_Вводные'!$B$9)-T20*'18_Календарь_тарифы'!T8*'01_Вводные'!$C$314:$C$318*('01_Вводные'!$E$314:$E$318*(T$3&lt;'01_Вводные'!$B$245)+'01_Вводные'!$B$57*(T$3&gt;='01_Вводные'!$B$245))))/2)</f>
        <v/>
      </c>
      <c r="U28" s="185">
        <f>SUMPRODUCT(('01_Вводные'!$D$314:$D$318*'01_Вводные'!$B$314:$B$318*IF('01_Вводные'!$B$9=0,0,U11/'01_Вводные'!$B$9)+U20*'18_Календарь_тарифы'!U8*'01_Вводные'!$C$314:$C$318*('01_Вводные'!$E$314:$E$318*(U$3&lt;'01_Вводные'!$B$245)+'01_Вводные'!$B$57*(U$3&gt;='01_Вводные'!$B$245))+ABS('01_Вводные'!$D$314:$D$318*'01_Вводные'!$B$314:$B$318*IF('01_Вводные'!$B$9=0,0,U11/'01_Вводные'!$B$9)-U20*'18_Календарь_тарифы'!U8*'01_Вводные'!$C$314:$C$318*('01_Вводные'!$E$314:$E$318*(U$3&lt;'01_Вводные'!$B$245)+'01_Вводные'!$B$57*(U$3&gt;='01_Вводные'!$B$245))))/2)</f>
        <v/>
      </c>
      <c r="V28" s="185">
        <f>SUMPRODUCT(('01_Вводные'!$D$314:$D$318*'01_Вводные'!$B$314:$B$318*IF('01_Вводные'!$B$9=0,0,V11/'01_Вводные'!$B$9)+V20*'18_Календарь_тарифы'!V8*'01_Вводные'!$C$314:$C$318*('01_Вводные'!$E$314:$E$318*(V$3&lt;'01_Вводные'!$B$245)+'01_Вводные'!$B$57*(V$3&gt;='01_Вводные'!$B$245))+ABS('01_Вводные'!$D$314:$D$318*'01_Вводные'!$B$314:$B$318*IF('01_Вводные'!$B$9=0,0,V11/'01_Вводные'!$B$9)-V20*'18_Календарь_тарифы'!V8*'01_Вводные'!$C$314:$C$318*('01_Вводные'!$E$314:$E$318*(V$3&lt;'01_Вводные'!$B$245)+'01_Вводные'!$B$57*(V$3&gt;='01_Вводные'!$B$245))))/2)</f>
        <v/>
      </c>
      <c r="W28" s="185">
        <f>SUMPRODUCT(('01_Вводные'!$D$314:$D$318*'01_Вводные'!$B$314:$B$318*IF('01_Вводные'!$B$9=0,0,W11/'01_Вводные'!$B$9)+W20*'18_Календарь_тарифы'!W8*'01_Вводные'!$C$314:$C$318*('01_Вводные'!$E$314:$E$318*(W$3&lt;'01_Вводные'!$B$245)+'01_Вводные'!$B$57*(W$3&gt;='01_Вводные'!$B$245))+ABS('01_Вводные'!$D$314:$D$318*'01_Вводные'!$B$314:$B$318*IF('01_Вводные'!$B$9=0,0,W11/'01_Вводные'!$B$9)-W20*'18_Календарь_тарифы'!W8*'01_Вводные'!$C$314:$C$318*('01_Вводные'!$E$314:$E$318*(W$3&lt;'01_Вводные'!$B$245)+'01_Вводные'!$B$57*(W$3&gt;='01_Вводные'!$B$245))))/2)</f>
        <v/>
      </c>
      <c r="X28" s="185">
        <f>SUMPRODUCT(('01_Вводные'!$D$314:$D$318*'01_Вводные'!$B$314:$B$318*IF('01_Вводные'!$B$9=0,0,X11/'01_Вводные'!$B$9)+X20*'18_Календарь_тарифы'!X8*'01_Вводные'!$C$314:$C$318*('01_Вводные'!$E$314:$E$318*(X$3&lt;'01_Вводные'!$B$245)+'01_Вводные'!$B$57*(X$3&gt;='01_Вводные'!$B$245))+ABS('01_Вводные'!$D$314:$D$318*'01_Вводные'!$B$314:$B$318*IF('01_Вводные'!$B$9=0,0,X11/'01_Вводные'!$B$9)-X20*'18_Календарь_тарифы'!X8*'01_Вводные'!$C$314:$C$318*('01_Вводные'!$E$314:$E$318*(X$3&lt;'01_Вводные'!$B$245)+'01_Вводные'!$B$57*(X$3&gt;='01_Вводные'!$B$245))))/2)</f>
        <v/>
      </c>
      <c r="Y28" s="185">
        <f>SUMPRODUCT(('01_Вводные'!$D$314:$D$318*'01_Вводные'!$B$314:$B$318*IF('01_Вводные'!$B$9=0,0,Y11/'01_Вводные'!$B$9)+Y20*'18_Календарь_тарифы'!Y8*'01_Вводные'!$C$314:$C$318*('01_Вводные'!$E$314:$E$318*(Y$3&lt;'01_Вводные'!$B$245)+'01_Вводные'!$B$57*(Y$3&gt;='01_Вводные'!$B$245))+ABS('01_Вводные'!$D$314:$D$318*'01_Вводные'!$B$314:$B$318*IF('01_Вводные'!$B$9=0,0,Y11/'01_Вводные'!$B$9)-Y20*'18_Календарь_тарифы'!Y8*'01_Вводные'!$C$314:$C$318*('01_Вводные'!$E$314:$E$318*(Y$3&lt;'01_Вводные'!$B$245)+'01_Вводные'!$B$57*(Y$3&gt;='01_Вводные'!$B$245))))/2)</f>
        <v/>
      </c>
      <c r="Z28" s="185">
        <f>SUMPRODUCT(('01_Вводные'!$D$314:$D$318*'01_Вводные'!$B$314:$B$318*IF('01_Вводные'!$B$9=0,0,Z11/'01_Вводные'!$B$9)+Z20*'18_Календарь_тарифы'!Z8*'01_Вводные'!$C$314:$C$318*('01_Вводные'!$E$314:$E$318*(Z$3&lt;'01_Вводные'!$B$245)+'01_Вводные'!$B$57*(Z$3&gt;='01_Вводные'!$B$245))+ABS('01_Вводные'!$D$314:$D$318*'01_Вводные'!$B$314:$B$318*IF('01_Вводные'!$B$9=0,0,Z11/'01_Вводные'!$B$9)-Z20*'18_Календарь_тарифы'!Z8*'01_Вводные'!$C$314:$C$318*('01_Вводные'!$E$314:$E$318*(Z$3&lt;'01_Вводные'!$B$245)+'01_Вводные'!$B$57*(Z$3&gt;='01_Вводные'!$B$245))))/2)</f>
        <v/>
      </c>
      <c r="AA28" s="185">
        <f>SUMPRODUCT(('01_Вводные'!$D$314:$D$318*'01_Вводные'!$B$314:$B$318*IF('01_Вводные'!$B$9=0,0,AA11/'01_Вводные'!$B$9)+AA20*'18_Календарь_тарифы'!AA8*'01_Вводные'!$C$314:$C$318*('01_Вводные'!$E$314:$E$318*(AA$3&lt;'01_Вводные'!$B$245)+'01_Вводные'!$B$57*(AA$3&gt;='01_Вводные'!$B$245))+ABS('01_Вводные'!$D$314:$D$318*'01_Вводные'!$B$314:$B$318*IF('01_Вводные'!$B$9=0,0,AA11/'01_Вводные'!$B$9)-AA20*'18_Календарь_тарифы'!AA8*'01_Вводные'!$C$314:$C$318*('01_Вводные'!$E$314:$E$318*(AA$3&lt;'01_Вводные'!$B$245)+'01_Вводные'!$B$57*(AA$3&gt;='01_Вводные'!$B$245))))/2)</f>
        <v/>
      </c>
      <c r="AB28" s="185">
        <f>SUMPRODUCT(('01_Вводные'!$D$314:$D$318*'01_Вводные'!$B$314:$B$318*IF('01_Вводные'!$B$9=0,0,AB11/'01_Вводные'!$B$9)+AB20*'18_Календарь_тарифы'!AB8*'01_Вводные'!$C$314:$C$318*('01_Вводные'!$E$314:$E$318*(AB$3&lt;'01_Вводные'!$B$245)+'01_Вводные'!$B$57*(AB$3&gt;='01_Вводные'!$B$245))+ABS('01_Вводные'!$D$314:$D$318*'01_Вводные'!$B$314:$B$318*IF('01_Вводные'!$B$9=0,0,AB11/'01_Вводные'!$B$9)-AB20*'18_Календарь_тарифы'!AB8*'01_Вводные'!$C$314:$C$318*('01_Вводные'!$E$314:$E$318*(AB$3&lt;'01_Вводные'!$B$245)+'01_Вводные'!$B$57*(AB$3&gt;='01_Вводные'!$B$245))))/2)</f>
        <v/>
      </c>
      <c r="AC28" s="185">
        <f>SUMPRODUCT(('01_Вводные'!$D$314:$D$318*'01_Вводные'!$B$314:$B$318*IF('01_Вводные'!$B$9=0,0,AC11/'01_Вводные'!$B$9)+AC20*'18_Календарь_тарифы'!AC8*'01_Вводные'!$C$314:$C$318*('01_Вводные'!$E$314:$E$318*(AC$3&lt;'01_Вводные'!$B$245)+'01_Вводные'!$B$57*(AC$3&gt;='01_Вводные'!$B$245))+ABS('01_Вводные'!$D$314:$D$318*'01_Вводные'!$B$314:$B$318*IF('01_Вводные'!$B$9=0,0,AC11/'01_Вводные'!$B$9)-AC20*'18_Календарь_тарифы'!AC8*'01_Вводные'!$C$314:$C$318*('01_Вводные'!$E$314:$E$318*(AC$3&lt;'01_Вводные'!$B$245)+'01_Вводные'!$B$57*(AC$3&gt;='01_Вводные'!$B$245))))/2)</f>
        <v/>
      </c>
      <c r="AD28" s="185">
        <f>SUMPRODUCT(('01_Вводные'!$D$314:$D$318*'01_Вводные'!$B$314:$B$318*IF('01_Вводные'!$B$9=0,0,AD11/'01_Вводные'!$B$9)+AD20*'18_Календарь_тарифы'!AD8*'01_Вводные'!$C$314:$C$318*('01_Вводные'!$E$314:$E$318*(AD$3&lt;'01_Вводные'!$B$245)+'01_Вводные'!$B$57*(AD$3&gt;='01_Вводные'!$B$245))+ABS('01_Вводные'!$D$314:$D$318*'01_Вводные'!$B$314:$B$318*IF('01_Вводные'!$B$9=0,0,AD11/'01_Вводные'!$B$9)-AD20*'18_Календарь_тарифы'!AD8*'01_Вводные'!$C$314:$C$318*('01_Вводные'!$E$314:$E$318*(AD$3&lt;'01_Вводные'!$B$245)+'01_Вводные'!$B$57*(AD$3&gt;='01_Вводные'!$B$245))))/2)</f>
        <v/>
      </c>
      <c r="AE28" s="185">
        <f>SUMPRODUCT(('01_Вводные'!$D$314:$D$318*'01_Вводные'!$B$314:$B$318*IF('01_Вводные'!$B$9=0,0,AE11/'01_Вводные'!$B$9)+AE20*'18_Календарь_тарифы'!AE8*'01_Вводные'!$C$314:$C$318*('01_Вводные'!$E$314:$E$318*(AE$3&lt;'01_Вводные'!$B$245)+'01_Вводные'!$B$57*(AE$3&gt;='01_Вводные'!$B$245))+ABS('01_Вводные'!$D$314:$D$318*'01_Вводные'!$B$314:$B$318*IF('01_Вводные'!$B$9=0,0,AE11/'01_Вводные'!$B$9)-AE20*'18_Календарь_тарифы'!AE8*'01_Вводные'!$C$314:$C$318*('01_Вводные'!$E$314:$E$318*(AE$3&lt;'01_Вводные'!$B$245)+'01_Вводные'!$B$57*(AE$3&gt;='01_Вводные'!$B$245))))/2)</f>
        <v/>
      </c>
      <c r="AF28" s="185">
        <f>SUMPRODUCT(('01_Вводные'!$D$314:$D$318*'01_Вводные'!$B$314:$B$318*IF('01_Вводные'!$B$9=0,0,AF11/'01_Вводные'!$B$9)+AF20*'18_Календарь_тарифы'!AF8*'01_Вводные'!$C$314:$C$318*('01_Вводные'!$E$314:$E$318*(AF$3&lt;'01_Вводные'!$B$245)+'01_Вводные'!$B$57*(AF$3&gt;='01_Вводные'!$B$245))+ABS('01_Вводные'!$D$314:$D$318*'01_Вводные'!$B$314:$B$318*IF('01_Вводные'!$B$9=0,0,AF11/'01_Вводные'!$B$9)-AF20*'18_Календарь_тарифы'!AF8*'01_Вводные'!$C$314:$C$318*('01_Вводные'!$E$314:$E$318*(AF$3&lt;'01_Вводные'!$B$245)+'01_Вводные'!$B$57*(AF$3&gt;='01_Вводные'!$B$245))))/2)</f>
        <v/>
      </c>
      <c r="AG28" s="185">
        <f>SUMPRODUCT(('01_Вводные'!$D$314:$D$318*'01_Вводные'!$B$314:$B$318*IF('01_Вводные'!$B$9=0,0,AG11/'01_Вводные'!$B$9)+AG20*'18_Календарь_тарифы'!AG8*'01_Вводные'!$C$314:$C$318*('01_Вводные'!$E$314:$E$318*(AG$3&lt;'01_Вводные'!$B$245)+'01_Вводные'!$B$57*(AG$3&gt;='01_Вводные'!$B$245))+ABS('01_Вводные'!$D$314:$D$318*'01_Вводные'!$B$314:$B$318*IF('01_Вводные'!$B$9=0,0,AG11/'01_Вводные'!$B$9)-AG20*'18_Календарь_тарифы'!AG8*'01_Вводные'!$C$314:$C$318*('01_Вводные'!$E$314:$E$318*(AG$3&lt;'01_Вводные'!$B$245)+'01_Вводные'!$B$57*(AG$3&gt;='01_Вводные'!$B$245))))/2)</f>
        <v/>
      </c>
      <c r="AH28" s="185">
        <f>SUMPRODUCT(('01_Вводные'!$D$314:$D$318*'01_Вводные'!$B$314:$B$318*IF('01_Вводные'!$B$9=0,0,AH11/'01_Вводные'!$B$9)+AH20*'18_Календарь_тарифы'!AH8*'01_Вводные'!$C$314:$C$318*('01_Вводные'!$E$314:$E$318*(AH$3&lt;'01_Вводные'!$B$245)+'01_Вводные'!$B$57*(AH$3&gt;='01_Вводные'!$B$245))+ABS('01_Вводные'!$D$314:$D$318*'01_Вводные'!$B$314:$B$318*IF('01_Вводные'!$B$9=0,0,AH11/'01_Вводные'!$B$9)-AH20*'18_Календарь_тарифы'!AH8*'01_Вводные'!$C$314:$C$318*('01_Вводные'!$E$314:$E$318*(AH$3&lt;'01_Вводные'!$B$245)+'01_Вводные'!$B$57*(AH$3&gt;='01_Вводные'!$B$245))))/2)</f>
        <v/>
      </c>
      <c r="AI28" s="185">
        <f>SUMPRODUCT(('01_Вводные'!$D$314:$D$318*'01_Вводные'!$B$314:$B$318*IF('01_Вводные'!$B$9=0,0,AI11/'01_Вводные'!$B$9)+AI20*'18_Календарь_тарифы'!AI8*'01_Вводные'!$C$314:$C$318*('01_Вводные'!$E$314:$E$318*(AI$3&lt;'01_Вводные'!$B$245)+'01_Вводные'!$B$57*(AI$3&gt;='01_Вводные'!$B$245))+ABS('01_Вводные'!$D$314:$D$318*'01_Вводные'!$B$314:$B$318*IF('01_Вводные'!$B$9=0,0,AI11/'01_Вводные'!$B$9)-AI20*'18_Календарь_тарифы'!AI8*'01_Вводные'!$C$314:$C$318*('01_Вводные'!$E$314:$E$318*(AI$3&lt;'01_Вводные'!$B$245)+'01_Вводные'!$B$57*(AI$3&gt;='01_Вводные'!$B$245))))/2)</f>
        <v/>
      </c>
      <c r="AJ28" s="185">
        <f>SUMPRODUCT(('01_Вводные'!$D$314:$D$318*'01_Вводные'!$B$314:$B$318*IF('01_Вводные'!$B$9=0,0,AJ11/'01_Вводные'!$B$9)+AJ20*'18_Календарь_тарифы'!AJ8*'01_Вводные'!$C$314:$C$318*('01_Вводные'!$E$314:$E$318*(AJ$3&lt;'01_Вводные'!$B$245)+'01_Вводные'!$B$57*(AJ$3&gt;='01_Вводные'!$B$245))+ABS('01_Вводные'!$D$314:$D$318*'01_Вводные'!$B$314:$B$318*IF('01_Вводные'!$B$9=0,0,AJ11/'01_Вводные'!$B$9)-AJ20*'18_Календарь_тарифы'!AJ8*'01_Вводные'!$C$314:$C$318*('01_Вводные'!$E$314:$E$318*(AJ$3&lt;'01_Вводные'!$B$245)+'01_Вводные'!$B$57*(AJ$3&gt;='01_Вводные'!$B$245))))/2)</f>
        <v/>
      </c>
      <c r="AK28" s="185">
        <f>SUMPRODUCT(('01_Вводные'!$D$314:$D$318*'01_Вводные'!$B$314:$B$318*IF('01_Вводные'!$B$9=0,0,AK11/'01_Вводные'!$B$9)+AK20*'18_Календарь_тарифы'!AK8*'01_Вводные'!$C$314:$C$318*('01_Вводные'!$E$314:$E$318*(AK$3&lt;'01_Вводные'!$B$245)+'01_Вводные'!$B$57*(AK$3&gt;='01_Вводные'!$B$245))+ABS('01_Вводные'!$D$314:$D$318*'01_Вводные'!$B$314:$B$318*IF('01_Вводные'!$B$9=0,0,AK11/'01_Вводные'!$B$9)-AK20*'18_Календарь_тарифы'!AK8*'01_Вводные'!$C$314:$C$318*('01_Вводные'!$E$314:$E$318*(AK$3&lt;'01_Вводные'!$B$245)+'01_Вводные'!$B$57*(AK$3&gt;='01_Вводные'!$B$245))))/2)</f>
        <v/>
      </c>
      <c r="AL28" s="185">
        <f>SUMPRODUCT(('01_Вводные'!$D$314:$D$318*'01_Вводные'!$B$314:$B$318*IF('01_Вводные'!$B$9=0,0,AL11/'01_Вводные'!$B$9)+AL20*'18_Календарь_тарифы'!AL8*'01_Вводные'!$C$314:$C$318*('01_Вводные'!$E$314:$E$318*(AL$3&lt;'01_Вводные'!$B$245)+'01_Вводные'!$B$57*(AL$3&gt;='01_Вводные'!$B$245))+ABS('01_Вводные'!$D$314:$D$318*'01_Вводные'!$B$314:$B$318*IF('01_Вводные'!$B$9=0,0,AL11/'01_Вводные'!$B$9)-AL20*'18_Календарь_тарифы'!AL8*'01_Вводные'!$C$314:$C$318*('01_Вводные'!$E$314:$E$318*(AL$3&lt;'01_Вводные'!$B$245)+'01_Вводные'!$B$57*(AL$3&gt;='01_Вводные'!$B$245))))/2)</f>
        <v/>
      </c>
      <c r="AM28" s="185">
        <f>SUMPRODUCT(('01_Вводные'!$D$314:$D$318*'01_Вводные'!$B$314:$B$318*IF('01_Вводные'!$B$9=0,0,AM11/'01_Вводные'!$B$9)+AM20*'18_Календарь_тарифы'!AM8*'01_Вводные'!$C$314:$C$318*('01_Вводные'!$E$314:$E$318*(AM$3&lt;'01_Вводные'!$B$245)+'01_Вводные'!$B$57*(AM$3&gt;='01_Вводные'!$B$245))+ABS('01_Вводные'!$D$314:$D$318*'01_Вводные'!$B$314:$B$318*IF('01_Вводные'!$B$9=0,0,AM11/'01_Вводные'!$B$9)-AM20*'18_Календарь_тарифы'!AM8*'01_Вводные'!$C$314:$C$318*('01_Вводные'!$E$314:$E$318*(AM$3&lt;'01_Вводные'!$B$245)+'01_Вводные'!$B$57*(AM$3&gt;='01_Вводные'!$B$245))))/2)</f>
        <v/>
      </c>
      <c r="AN28" s="185">
        <f>SUMPRODUCT(('01_Вводные'!$D$314:$D$318*'01_Вводные'!$B$314:$B$318*IF('01_Вводные'!$B$9=0,0,AN11/'01_Вводные'!$B$9)+AN20*'18_Календарь_тарифы'!AN8*'01_Вводные'!$C$314:$C$318*('01_Вводные'!$E$314:$E$318*(AN$3&lt;'01_Вводные'!$B$245)+'01_Вводные'!$B$57*(AN$3&gt;='01_Вводные'!$B$245))+ABS('01_Вводные'!$D$314:$D$318*'01_Вводные'!$B$314:$B$318*IF('01_Вводные'!$B$9=0,0,AN11/'01_Вводные'!$B$9)-AN20*'18_Календарь_тарифы'!AN8*'01_Вводные'!$C$314:$C$318*('01_Вводные'!$E$314:$E$318*(AN$3&lt;'01_Вводные'!$B$245)+'01_Вводные'!$B$57*(AN$3&gt;='01_Вводные'!$B$245))))/2)</f>
        <v/>
      </c>
      <c r="AO28" s="185">
        <f>SUMPRODUCT(('01_Вводные'!$D$314:$D$318*'01_Вводные'!$B$314:$B$318*IF('01_Вводные'!$B$9=0,0,AO11/'01_Вводные'!$B$9)+AO20*'18_Календарь_тарифы'!AO8*'01_Вводные'!$C$314:$C$318*('01_Вводные'!$E$314:$E$318*(AO$3&lt;'01_Вводные'!$B$245)+'01_Вводные'!$B$57*(AO$3&gt;='01_Вводные'!$B$245))+ABS('01_Вводные'!$D$314:$D$318*'01_Вводные'!$B$314:$B$318*IF('01_Вводные'!$B$9=0,0,AO11/'01_Вводные'!$B$9)-AO20*'18_Календарь_тарифы'!AO8*'01_Вводные'!$C$314:$C$318*('01_Вводные'!$E$314:$E$318*(AO$3&lt;'01_Вводные'!$B$245)+'01_Вводные'!$B$57*(AO$3&gt;='01_Вводные'!$B$245))))/2)</f>
        <v/>
      </c>
      <c r="AP28" s="185">
        <f>SUMPRODUCT(('01_Вводные'!$D$314:$D$318*'01_Вводные'!$B$314:$B$318*IF('01_Вводные'!$B$9=0,0,AP11/'01_Вводные'!$B$9)+AP20*'18_Календарь_тарифы'!AP8*'01_Вводные'!$C$314:$C$318*('01_Вводные'!$E$314:$E$318*(AP$3&lt;'01_Вводные'!$B$245)+'01_Вводные'!$B$57*(AP$3&gt;='01_Вводные'!$B$245))+ABS('01_Вводные'!$D$314:$D$318*'01_Вводные'!$B$314:$B$318*IF('01_Вводные'!$B$9=0,0,AP11/'01_Вводные'!$B$9)-AP20*'18_Календарь_тарифы'!AP8*'01_Вводные'!$C$314:$C$318*('01_Вводные'!$E$314:$E$318*(AP$3&lt;'01_Вводные'!$B$245)+'01_Вводные'!$B$57*(AP$3&gt;='01_Вводные'!$B$245))))/2)</f>
        <v/>
      </c>
      <c r="AQ28" s="185">
        <f>SUMPRODUCT(('01_Вводные'!$D$314:$D$318*'01_Вводные'!$B$314:$B$318*IF('01_Вводные'!$B$9=0,0,AQ11/'01_Вводные'!$B$9)+AQ20*'18_Календарь_тарифы'!AQ8*'01_Вводные'!$C$314:$C$318*('01_Вводные'!$E$314:$E$318*(AQ$3&lt;'01_Вводные'!$B$245)+'01_Вводные'!$B$57*(AQ$3&gt;='01_Вводные'!$B$245))+ABS('01_Вводные'!$D$314:$D$318*'01_Вводные'!$B$314:$B$318*IF('01_Вводные'!$B$9=0,0,AQ11/'01_Вводные'!$B$9)-AQ20*'18_Календарь_тарифы'!AQ8*'01_Вводные'!$C$314:$C$318*('01_Вводные'!$E$314:$E$318*(AQ$3&lt;'01_Вводные'!$B$245)+'01_Вводные'!$B$57*(AQ$3&gt;='01_Вводные'!$B$245))))/2)</f>
        <v/>
      </c>
      <c r="AR28" s="185">
        <f>SUMPRODUCT(('01_Вводные'!$D$314:$D$318*'01_Вводные'!$B$314:$B$318*IF('01_Вводные'!$B$9=0,0,AR11/'01_Вводные'!$B$9)+AR20*'18_Календарь_тарифы'!AR8*'01_Вводные'!$C$314:$C$318*('01_Вводные'!$E$314:$E$318*(AR$3&lt;'01_Вводные'!$B$245)+'01_Вводные'!$B$57*(AR$3&gt;='01_Вводные'!$B$245))+ABS('01_Вводные'!$D$314:$D$318*'01_Вводные'!$B$314:$B$318*IF('01_Вводные'!$B$9=0,0,AR11/'01_Вводные'!$B$9)-AR20*'18_Календарь_тарифы'!AR8*'01_Вводные'!$C$314:$C$318*('01_Вводные'!$E$314:$E$318*(AR$3&lt;'01_Вводные'!$B$245)+'01_Вводные'!$B$57*(AR$3&gt;='01_Вводные'!$B$245))))/2)</f>
        <v/>
      </c>
      <c r="AS28" s="185">
        <f>SUMPRODUCT(('01_Вводные'!$D$314:$D$318*'01_Вводные'!$B$314:$B$318*IF('01_Вводные'!$B$9=0,0,AS11/'01_Вводные'!$B$9)+AS20*'18_Календарь_тарифы'!AS8*'01_Вводные'!$C$314:$C$318*('01_Вводные'!$E$314:$E$318*(AS$3&lt;'01_Вводные'!$B$245)+'01_Вводные'!$B$57*(AS$3&gt;='01_Вводные'!$B$245))+ABS('01_Вводные'!$D$314:$D$318*'01_Вводные'!$B$314:$B$318*IF('01_Вводные'!$B$9=0,0,AS11/'01_Вводные'!$B$9)-AS20*'18_Календарь_тарифы'!AS8*'01_Вводные'!$C$314:$C$318*('01_Вводные'!$E$314:$E$318*(AS$3&lt;'01_Вводные'!$B$245)+'01_Вводные'!$B$57*(AS$3&gt;='01_Вводные'!$B$245))))/2)</f>
        <v/>
      </c>
      <c r="AT28" s="185">
        <f>SUMPRODUCT(('01_Вводные'!$D$314:$D$318*'01_Вводные'!$B$314:$B$318*IF('01_Вводные'!$B$9=0,0,AT11/'01_Вводные'!$B$9)+AT20*'18_Календарь_тарифы'!AT8*'01_Вводные'!$C$314:$C$318*('01_Вводные'!$E$314:$E$318*(AT$3&lt;'01_Вводные'!$B$245)+'01_Вводные'!$B$57*(AT$3&gt;='01_Вводные'!$B$245))+ABS('01_Вводные'!$D$314:$D$318*'01_Вводные'!$B$314:$B$318*IF('01_Вводные'!$B$9=0,0,AT11/'01_Вводные'!$B$9)-AT20*'18_Календарь_тарифы'!AT8*'01_Вводные'!$C$314:$C$318*('01_Вводные'!$E$314:$E$318*(AT$3&lt;'01_Вводные'!$B$245)+'01_Вводные'!$B$57*(AT$3&gt;='01_Вводные'!$B$245))))/2)</f>
        <v/>
      </c>
      <c r="AU28" s="185">
        <f>SUMPRODUCT(('01_Вводные'!$D$314:$D$318*'01_Вводные'!$B$314:$B$318*IF('01_Вводные'!$B$9=0,0,AU11/'01_Вводные'!$B$9)+AU20*'18_Календарь_тарифы'!AU8*'01_Вводные'!$C$314:$C$318*('01_Вводные'!$E$314:$E$318*(AU$3&lt;'01_Вводные'!$B$245)+'01_Вводные'!$B$57*(AU$3&gt;='01_Вводные'!$B$245))+ABS('01_Вводные'!$D$314:$D$318*'01_Вводные'!$B$314:$B$318*IF('01_Вводные'!$B$9=0,0,AU11/'01_Вводные'!$B$9)-AU20*'18_Календарь_тарифы'!AU8*'01_Вводные'!$C$314:$C$318*('01_Вводные'!$E$314:$E$318*(AU$3&lt;'01_Вводные'!$B$245)+'01_Вводные'!$B$57*(AU$3&gt;='01_Вводные'!$B$245))))/2)</f>
        <v/>
      </c>
      <c r="AV28" s="185">
        <f>SUMPRODUCT(('01_Вводные'!$D$314:$D$318*'01_Вводные'!$B$314:$B$318*IF('01_Вводные'!$B$9=0,0,AV11/'01_Вводные'!$B$9)+AV20*'18_Календарь_тарифы'!AV8*'01_Вводные'!$C$314:$C$318*('01_Вводные'!$E$314:$E$318*(AV$3&lt;'01_Вводные'!$B$245)+'01_Вводные'!$B$57*(AV$3&gt;='01_Вводные'!$B$245))+ABS('01_Вводные'!$D$314:$D$318*'01_Вводные'!$B$314:$B$318*IF('01_Вводные'!$B$9=0,0,AV11/'01_Вводные'!$B$9)-AV20*'18_Календарь_тарифы'!AV8*'01_Вводные'!$C$314:$C$318*('01_Вводные'!$E$314:$E$318*(AV$3&lt;'01_Вводные'!$B$245)+'01_Вводные'!$B$57*(AV$3&gt;='01_Вводные'!$B$245))))/2)</f>
        <v/>
      </c>
      <c r="AW28" s="185">
        <f>SUMPRODUCT(('01_Вводные'!$D$314:$D$318*'01_Вводные'!$B$314:$B$318*IF('01_Вводные'!$B$9=0,0,AW11/'01_Вводные'!$B$9)+AW20*'18_Календарь_тарифы'!AW8*'01_Вводные'!$C$314:$C$318*('01_Вводные'!$E$314:$E$318*(AW$3&lt;'01_Вводные'!$B$245)+'01_Вводные'!$B$57*(AW$3&gt;='01_Вводные'!$B$245))+ABS('01_Вводные'!$D$314:$D$318*'01_Вводные'!$B$314:$B$318*IF('01_Вводные'!$B$9=0,0,AW11/'01_Вводные'!$B$9)-AW20*'18_Календарь_тарифы'!AW8*'01_Вводные'!$C$314:$C$318*('01_Вводные'!$E$314:$E$318*(AW$3&lt;'01_Вводные'!$B$245)+'01_Вводные'!$B$57*(AW$3&gt;='01_Вводные'!$B$245))))/2)</f>
        <v/>
      </c>
      <c r="AX28" s="185">
        <f>SUMPRODUCT(('01_Вводные'!$D$314:$D$318*'01_Вводные'!$B$314:$B$318*IF('01_Вводные'!$B$9=0,0,AX11/'01_Вводные'!$B$9)+AX20*'18_Календарь_тарифы'!AX8*'01_Вводные'!$C$314:$C$318*('01_Вводные'!$E$314:$E$318*(AX$3&lt;'01_Вводные'!$B$245)+'01_Вводные'!$B$57*(AX$3&gt;='01_Вводные'!$B$245))+ABS('01_Вводные'!$D$314:$D$318*'01_Вводные'!$B$314:$B$318*IF('01_Вводные'!$B$9=0,0,AX11/'01_Вводные'!$B$9)-AX20*'18_Календарь_тарифы'!AX8*'01_Вводные'!$C$314:$C$318*('01_Вводные'!$E$314:$E$318*(AX$3&lt;'01_Вводные'!$B$245)+'01_Вводные'!$B$57*(AX$3&gt;='01_Вводные'!$B$245))))/2)</f>
        <v/>
      </c>
      <c r="AY28" s="185">
        <f>SUMPRODUCT(('01_Вводные'!$D$314:$D$318*'01_Вводные'!$B$314:$B$318*IF('01_Вводные'!$B$9=0,0,AY11/'01_Вводные'!$B$9)+AY20*'18_Календарь_тарифы'!AY8*'01_Вводные'!$C$314:$C$318*('01_Вводные'!$E$314:$E$318*(AY$3&lt;'01_Вводные'!$B$245)+'01_Вводные'!$B$57*(AY$3&gt;='01_Вводные'!$B$245))+ABS('01_Вводные'!$D$314:$D$318*'01_Вводные'!$B$314:$B$318*IF('01_Вводные'!$B$9=0,0,AY11/'01_Вводные'!$B$9)-AY20*'18_Календарь_тарифы'!AY8*'01_Вводные'!$C$314:$C$318*('01_Вводные'!$E$314:$E$318*(AY$3&lt;'01_Вводные'!$B$245)+'01_Вводные'!$B$57*(AY$3&gt;='01_Вводные'!$B$245))))/2)</f>
        <v/>
      </c>
      <c r="AZ28" s="185">
        <f>SUMPRODUCT(('01_Вводные'!$D$314:$D$318*'01_Вводные'!$B$314:$B$318*IF('01_Вводные'!$B$9=0,0,AZ11/'01_Вводные'!$B$9)+AZ20*'18_Календарь_тарифы'!AZ8*'01_Вводные'!$C$314:$C$318*('01_Вводные'!$E$314:$E$318*(AZ$3&lt;'01_Вводные'!$B$245)+'01_Вводные'!$B$57*(AZ$3&gt;='01_Вводные'!$B$245))+ABS('01_Вводные'!$D$314:$D$318*'01_Вводные'!$B$314:$B$318*IF('01_Вводные'!$B$9=0,0,AZ11/'01_Вводные'!$B$9)-AZ20*'18_Календарь_тарифы'!AZ8*'01_Вводные'!$C$314:$C$318*('01_Вводные'!$E$314:$E$318*(AZ$3&lt;'01_Вводные'!$B$245)+'01_Вводные'!$B$57*(AZ$3&gt;='01_Вводные'!$B$245))))/2)</f>
        <v/>
      </c>
      <c r="BA28" s="185">
        <f>SUMPRODUCT(('01_Вводные'!$D$314:$D$318*'01_Вводные'!$B$314:$B$318*IF('01_Вводные'!$B$9=0,0,BA11/'01_Вводные'!$B$9)+BA20*'18_Календарь_тарифы'!BA8*'01_Вводные'!$C$314:$C$318*('01_Вводные'!$E$314:$E$318*(BA$3&lt;'01_Вводные'!$B$245)+'01_Вводные'!$B$57*(BA$3&gt;='01_Вводные'!$B$245))+ABS('01_Вводные'!$D$314:$D$318*'01_Вводные'!$B$314:$B$318*IF('01_Вводные'!$B$9=0,0,BA11/'01_Вводные'!$B$9)-BA20*'18_Календарь_тарифы'!BA8*'01_Вводные'!$C$314:$C$318*('01_Вводные'!$E$314:$E$318*(BA$3&lt;'01_Вводные'!$B$245)+'01_Вводные'!$B$57*(BA$3&gt;='01_Вводные'!$B$245))))/2)</f>
        <v/>
      </c>
      <c r="BB28" s="185">
        <f>SUMPRODUCT(('01_Вводные'!$D$314:$D$318*'01_Вводные'!$B$314:$B$318*IF('01_Вводные'!$B$9=0,0,BB11/'01_Вводные'!$B$9)+BB20*'18_Календарь_тарифы'!BB8*'01_Вводные'!$C$314:$C$318*('01_Вводные'!$E$314:$E$318*(BB$3&lt;'01_Вводные'!$B$245)+'01_Вводные'!$B$57*(BB$3&gt;='01_Вводные'!$B$245))+ABS('01_Вводные'!$D$314:$D$318*'01_Вводные'!$B$314:$B$318*IF('01_Вводные'!$B$9=0,0,BB11/'01_Вводные'!$B$9)-BB20*'18_Календарь_тарифы'!BB8*'01_Вводные'!$C$314:$C$318*('01_Вводные'!$E$314:$E$318*(BB$3&lt;'01_Вводные'!$B$245)+'01_Вводные'!$B$57*(BB$3&gt;='01_Вводные'!$B$245))))/2)</f>
        <v/>
      </c>
      <c r="BC28" s="185">
        <f>SUMPRODUCT(('01_Вводные'!$D$314:$D$318*'01_Вводные'!$B$314:$B$318*IF('01_Вводные'!$B$9=0,0,BC11/'01_Вводные'!$B$9)+BC20*'18_Календарь_тарифы'!BC8*'01_Вводные'!$C$314:$C$318*('01_Вводные'!$E$314:$E$318*(BC$3&lt;'01_Вводные'!$B$245)+'01_Вводные'!$B$57*(BC$3&gt;='01_Вводные'!$B$245))+ABS('01_Вводные'!$D$314:$D$318*'01_Вводные'!$B$314:$B$318*IF('01_Вводные'!$B$9=0,0,BC11/'01_Вводные'!$B$9)-BC20*'18_Календарь_тарифы'!BC8*'01_Вводные'!$C$314:$C$318*('01_Вводные'!$E$314:$E$318*(BC$3&lt;'01_Вводные'!$B$245)+'01_Вводные'!$B$57*(BC$3&gt;='01_Вводные'!$B$245))))/2)</f>
        <v/>
      </c>
      <c r="BD28" s="185">
        <f>SUMPRODUCT(('01_Вводные'!$D$314:$D$318*'01_Вводные'!$B$314:$B$318*IF('01_Вводные'!$B$9=0,0,BD11/'01_Вводные'!$B$9)+BD20*'18_Календарь_тарифы'!BD8*'01_Вводные'!$C$314:$C$318*('01_Вводные'!$E$314:$E$318*(BD$3&lt;'01_Вводные'!$B$245)+'01_Вводные'!$B$57*(BD$3&gt;='01_Вводные'!$B$245))+ABS('01_Вводные'!$D$314:$D$318*'01_Вводные'!$B$314:$B$318*IF('01_Вводные'!$B$9=0,0,BD11/'01_Вводные'!$B$9)-BD20*'18_Календарь_тарифы'!BD8*'01_Вводные'!$C$314:$C$318*('01_Вводные'!$E$314:$E$318*(BD$3&lt;'01_Вводные'!$B$245)+'01_Вводные'!$B$57*(BD$3&gt;='01_Вводные'!$B$245))))/2)</f>
        <v/>
      </c>
      <c r="BE28" s="185">
        <f>SUMPRODUCT(('01_Вводные'!$D$314:$D$318*'01_Вводные'!$B$314:$B$318*IF('01_Вводные'!$B$9=0,0,BE11/'01_Вводные'!$B$9)+BE20*'18_Календарь_тарифы'!BE8*'01_Вводные'!$C$314:$C$318*('01_Вводные'!$E$314:$E$318*(BE$3&lt;'01_Вводные'!$B$245)+'01_Вводные'!$B$57*(BE$3&gt;='01_Вводные'!$B$245))+ABS('01_Вводные'!$D$314:$D$318*'01_Вводные'!$B$314:$B$318*IF('01_Вводные'!$B$9=0,0,BE11/'01_Вводные'!$B$9)-BE20*'18_Календарь_тарифы'!BE8*'01_Вводные'!$C$314:$C$318*('01_Вводные'!$E$314:$E$318*(BE$3&lt;'01_Вводные'!$B$245)+'01_Вводные'!$B$57*(BE$3&gt;='01_Вводные'!$B$245))))/2)</f>
        <v/>
      </c>
      <c r="BF28" s="185">
        <f>SUMPRODUCT(('01_Вводные'!$D$314:$D$318*'01_Вводные'!$B$314:$B$318*IF('01_Вводные'!$B$9=0,0,BF11/'01_Вводные'!$B$9)+BF20*'18_Календарь_тарифы'!BF8*'01_Вводные'!$C$314:$C$318*('01_Вводные'!$E$314:$E$318*(BF$3&lt;'01_Вводные'!$B$245)+'01_Вводные'!$B$57*(BF$3&gt;='01_Вводные'!$B$245))+ABS('01_Вводные'!$D$314:$D$318*'01_Вводные'!$B$314:$B$318*IF('01_Вводные'!$B$9=0,0,BF11/'01_Вводные'!$B$9)-BF20*'18_Календарь_тарифы'!BF8*'01_Вводные'!$C$314:$C$318*('01_Вводные'!$E$314:$E$318*(BF$3&lt;'01_Вводные'!$B$245)+'01_Вводные'!$B$57*(BF$3&gt;='01_Вводные'!$B$245))))/2)</f>
        <v/>
      </c>
      <c r="BG28" s="185">
        <f>SUMPRODUCT(('01_Вводные'!$D$314:$D$318*'01_Вводные'!$B$314:$B$318*IF('01_Вводные'!$B$9=0,0,BG11/'01_Вводные'!$B$9)+BG20*'18_Календарь_тарифы'!BG8*'01_Вводные'!$C$314:$C$318*('01_Вводные'!$E$314:$E$318*(BG$3&lt;'01_Вводные'!$B$245)+'01_Вводные'!$B$57*(BG$3&gt;='01_Вводные'!$B$245))+ABS('01_Вводные'!$D$314:$D$318*'01_Вводные'!$B$314:$B$318*IF('01_Вводные'!$B$9=0,0,BG11/'01_Вводные'!$B$9)-BG20*'18_Календарь_тарифы'!BG8*'01_Вводные'!$C$314:$C$318*('01_Вводные'!$E$314:$E$318*(BG$3&lt;'01_Вводные'!$B$245)+'01_Вводные'!$B$57*(BG$3&gt;='01_Вводные'!$B$245))))/2)</f>
        <v/>
      </c>
      <c r="BH28" s="185">
        <f>SUMPRODUCT(('01_Вводные'!$D$314:$D$318*'01_Вводные'!$B$314:$B$318*IF('01_Вводные'!$B$9=0,0,BH11/'01_Вводные'!$B$9)+BH20*'18_Календарь_тарифы'!BH8*'01_Вводные'!$C$314:$C$318*('01_Вводные'!$E$314:$E$318*(BH$3&lt;'01_Вводные'!$B$245)+'01_Вводные'!$B$57*(BH$3&gt;='01_Вводные'!$B$245))+ABS('01_Вводные'!$D$314:$D$318*'01_Вводные'!$B$314:$B$318*IF('01_Вводные'!$B$9=0,0,BH11/'01_Вводные'!$B$9)-BH20*'18_Календарь_тарифы'!BH8*'01_Вводные'!$C$314:$C$318*('01_Вводные'!$E$314:$E$318*(BH$3&lt;'01_Вводные'!$B$245)+'01_Вводные'!$B$57*(BH$3&gt;='01_Вводные'!$B$245))))/2)</f>
        <v/>
      </c>
      <c r="BI28" s="185">
        <f>SUMPRODUCT(('01_Вводные'!$D$314:$D$318*'01_Вводные'!$B$314:$B$318*IF('01_Вводные'!$B$9=0,0,BI11/'01_Вводные'!$B$9)+BI20*'18_Календарь_тарифы'!BI8*'01_Вводные'!$C$314:$C$318*('01_Вводные'!$E$314:$E$318*(BI$3&lt;'01_Вводные'!$B$245)+'01_Вводные'!$B$57*(BI$3&gt;='01_Вводные'!$B$245))+ABS('01_Вводные'!$D$314:$D$318*'01_Вводные'!$B$314:$B$318*IF('01_Вводные'!$B$9=0,0,BI11/'01_Вводные'!$B$9)-BI20*'18_Календарь_тарифы'!BI8*'01_Вводные'!$C$314:$C$318*('01_Вводные'!$E$314:$E$318*(BI$3&lt;'01_Вводные'!$B$245)+'01_Вводные'!$B$57*(BI$3&gt;='01_Вводные'!$B$245))))/2)</f>
        <v/>
      </c>
      <c r="BJ28" s="185">
        <f>SUMPRODUCT(('01_Вводные'!$D$314:$D$318*'01_Вводные'!$B$314:$B$318*IF('01_Вводные'!$B$9=0,0,BJ11/'01_Вводные'!$B$9)+BJ20*'18_Календарь_тарифы'!BJ8*'01_Вводные'!$C$314:$C$318*('01_Вводные'!$E$314:$E$318*(BJ$3&lt;'01_Вводные'!$B$245)+'01_Вводные'!$B$57*(BJ$3&gt;='01_Вводные'!$B$245))+ABS('01_Вводные'!$D$314:$D$318*'01_Вводные'!$B$314:$B$318*IF('01_Вводные'!$B$9=0,0,BJ11/'01_Вводные'!$B$9)-BJ20*'18_Календарь_тарифы'!BJ8*'01_Вводные'!$C$314:$C$318*('01_Вводные'!$E$314:$E$318*(BJ$3&lt;'01_Вводные'!$B$245)+'01_Вводные'!$B$57*(BJ$3&gt;='01_Вводные'!$B$245))))/2)</f>
        <v/>
      </c>
      <c r="BK28" s="185">
        <f>SUMPRODUCT(('01_Вводные'!$D$314:$D$318*'01_Вводные'!$B$314:$B$318*IF('01_Вводные'!$B$9=0,0,BK11/'01_Вводные'!$B$9)+BK20*'18_Календарь_тарифы'!BK8*'01_Вводные'!$C$314:$C$318*('01_Вводные'!$E$314:$E$318*(BK$3&lt;'01_Вводные'!$B$245)+'01_Вводные'!$B$57*(BK$3&gt;='01_Вводные'!$B$245))+ABS('01_Вводные'!$D$314:$D$318*'01_Вводные'!$B$314:$B$318*IF('01_Вводные'!$B$9=0,0,BK11/'01_Вводные'!$B$9)-BK20*'18_Календарь_тарифы'!BK8*'01_Вводные'!$C$314:$C$318*('01_Вводные'!$E$314:$E$318*(BK$3&lt;'01_Вводные'!$B$245)+'01_Вводные'!$B$57*(BK$3&gt;='01_Вводные'!$B$245))))/2)</f>
        <v/>
      </c>
      <c r="BL28" s="185">
        <f>SUMPRODUCT(('01_Вводные'!$D$314:$D$318*'01_Вводные'!$B$314:$B$318*IF('01_Вводные'!$B$9=0,0,BL11/'01_Вводные'!$B$9)+BL20*'18_Календарь_тарифы'!BL8*'01_Вводные'!$C$314:$C$318*('01_Вводные'!$E$314:$E$318*(BL$3&lt;'01_Вводные'!$B$245)+'01_Вводные'!$B$57*(BL$3&gt;='01_Вводные'!$B$245))+ABS('01_Вводные'!$D$314:$D$318*'01_Вводные'!$B$314:$B$318*IF('01_Вводные'!$B$9=0,0,BL11/'01_Вводные'!$B$9)-BL20*'18_Календарь_тарифы'!BL8*'01_Вводные'!$C$314:$C$318*('01_Вводные'!$E$314:$E$318*(BL$3&lt;'01_Вводные'!$B$245)+'01_Вводные'!$B$57*(BL$3&gt;='01_Вводные'!$B$245))))/2)</f>
        <v/>
      </c>
      <c r="BM28" s="185">
        <f>SUMPRODUCT(('01_Вводные'!$D$314:$D$318*'01_Вводные'!$B$314:$B$318*IF('01_Вводные'!$B$9=0,0,BM11/'01_Вводные'!$B$9)+BM20*'18_Календарь_тарифы'!BM8*'01_Вводные'!$C$314:$C$318*('01_Вводные'!$E$314:$E$318*(BM$3&lt;'01_Вводные'!$B$245)+'01_Вводные'!$B$57*(BM$3&gt;='01_Вводные'!$B$245))+ABS('01_Вводные'!$D$314:$D$318*'01_Вводные'!$B$314:$B$318*IF('01_Вводные'!$B$9=0,0,BM11/'01_Вводные'!$B$9)-BM20*'18_Календарь_тарифы'!BM8*'01_Вводные'!$C$314:$C$318*('01_Вводные'!$E$314:$E$318*(BM$3&lt;'01_Вводные'!$B$245)+'01_Вводные'!$B$57*(BM$3&gt;='01_Вводные'!$B$245))))/2)</f>
        <v/>
      </c>
      <c r="BN28" s="185">
        <f>SUMPRODUCT(('01_Вводные'!$D$314:$D$318*'01_Вводные'!$B$314:$B$318*IF('01_Вводные'!$B$9=0,0,BN11/'01_Вводные'!$B$9)+BN20*'18_Календарь_тарифы'!BN8*'01_Вводные'!$C$314:$C$318*('01_Вводные'!$E$314:$E$318*(BN$3&lt;'01_Вводные'!$B$245)+'01_Вводные'!$B$57*(BN$3&gt;='01_Вводные'!$B$245))+ABS('01_Вводные'!$D$314:$D$318*'01_Вводные'!$B$314:$B$318*IF('01_Вводные'!$B$9=0,0,BN11/'01_Вводные'!$B$9)-BN20*'18_Календарь_тарифы'!BN8*'01_Вводные'!$C$314:$C$318*('01_Вводные'!$E$314:$E$318*(BN$3&lt;'01_Вводные'!$B$245)+'01_Вводные'!$B$57*(BN$3&gt;='01_Вводные'!$B$245))))/2)</f>
        <v/>
      </c>
      <c r="BO28" s="185">
        <f>SUMPRODUCT(('01_Вводные'!$D$314:$D$318*'01_Вводные'!$B$314:$B$318*IF('01_Вводные'!$B$9=0,0,BO11/'01_Вводные'!$B$9)+BO20*'18_Календарь_тарифы'!BO8*'01_Вводные'!$C$314:$C$318*('01_Вводные'!$E$314:$E$318*(BO$3&lt;'01_Вводные'!$B$245)+'01_Вводные'!$B$57*(BO$3&gt;='01_Вводные'!$B$245))+ABS('01_Вводные'!$D$314:$D$318*'01_Вводные'!$B$314:$B$318*IF('01_Вводные'!$B$9=0,0,BO11/'01_Вводные'!$B$9)-BO20*'18_Календарь_тарифы'!BO8*'01_Вводные'!$C$314:$C$318*('01_Вводные'!$E$314:$E$318*(BO$3&lt;'01_Вводные'!$B$245)+'01_Вводные'!$B$57*(BO$3&gt;='01_Вводные'!$B$245))))/2)</f>
        <v/>
      </c>
    </row>
    <row r="29">
      <c r="A29" s="2" t="inlineStr">
        <is>
          <t>Роялти новых школ, с НДС</t>
        </is>
      </c>
      <c r="B29" s="187">
        <f>SUM(B109:B133,B137:B161)</f>
        <v/>
      </c>
      <c r="C29" s="187">
        <f>SUM(C109:C133,C137:C161)</f>
        <v/>
      </c>
      <c r="D29" s="187">
        <f>SUM(D109:D133,D137:D161)</f>
        <v/>
      </c>
      <c r="E29" s="187">
        <f>SUM(E109:E133,E137:E161)</f>
        <v/>
      </c>
      <c r="F29" s="187">
        <f>SUM(F109:F133,F137:F161)</f>
        <v/>
      </c>
      <c r="G29" s="187">
        <f>SUM(G109:G133,G137:G161)</f>
        <v/>
      </c>
      <c r="H29" s="187">
        <f>SUM(H109:H133,H137:H161)</f>
        <v/>
      </c>
      <c r="I29" s="187">
        <f>SUM(I109:I133,I137:I161)</f>
        <v/>
      </c>
      <c r="J29" s="187">
        <f>SUM(J109:J133,J137:J161)</f>
        <v/>
      </c>
      <c r="K29" s="187">
        <f>SUM(K109:K133,K137:K161)</f>
        <v/>
      </c>
      <c r="L29" s="187">
        <f>SUM(L109:L133,L137:L161)</f>
        <v/>
      </c>
      <c r="M29" s="187">
        <f>SUM(M109:M133,M137:M161)</f>
        <v/>
      </c>
      <c r="N29" s="187">
        <f>SUM(N109:N133,N137:N161)</f>
        <v/>
      </c>
      <c r="O29" s="187">
        <f>SUM(O109:O133,O137:O161)</f>
        <v/>
      </c>
      <c r="P29" s="187">
        <f>SUM(P109:P133,P137:P161)</f>
        <v/>
      </c>
      <c r="Q29" s="187">
        <f>SUM(Q109:Q133,Q137:Q161)</f>
        <v/>
      </c>
      <c r="R29" s="187">
        <f>SUM(R109:R133,R137:R161)</f>
        <v/>
      </c>
      <c r="S29" s="187">
        <f>SUM(S109:S133,S137:S161)</f>
        <v/>
      </c>
      <c r="T29" s="187">
        <f>SUM(T109:T133,T137:T161)</f>
        <v/>
      </c>
      <c r="U29" s="187">
        <f>SUM(U109:U133,U137:U161)</f>
        <v/>
      </c>
      <c r="V29" s="187">
        <f>SUM(V109:V133,V137:V161)</f>
        <v/>
      </c>
      <c r="W29" s="187">
        <f>SUM(W109:W133,W137:W161)</f>
        <v/>
      </c>
      <c r="X29" s="187">
        <f>SUM(X109:X133,X137:X161)</f>
        <v/>
      </c>
      <c r="Y29" s="187">
        <f>SUM(Y109:Y133,Y137:Y161)</f>
        <v/>
      </c>
      <c r="Z29" s="187">
        <f>SUM(Z109:Z133,Z137:Z161)</f>
        <v/>
      </c>
      <c r="AA29" s="187">
        <f>SUM(AA109:AA133,AA137:AA161)</f>
        <v/>
      </c>
      <c r="AB29" s="187">
        <f>SUM(AB109:AB133,AB137:AB161)</f>
        <v/>
      </c>
      <c r="AC29" s="187">
        <f>SUM(AC109:AC133,AC137:AC161)</f>
        <v/>
      </c>
      <c r="AD29" s="187">
        <f>SUM(AD109:AD133,AD137:AD161)</f>
        <v/>
      </c>
      <c r="AE29" s="187">
        <f>SUM(AE109:AE133,AE137:AE161)</f>
        <v/>
      </c>
      <c r="AF29" s="187">
        <f>SUM(AF109:AF133,AF137:AF161)</f>
        <v/>
      </c>
      <c r="AG29" s="187">
        <f>SUM(AG109:AG133,AG137:AG161)</f>
        <v/>
      </c>
      <c r="AH29" s="187">
        <f>SUM(AH109:AH133,AH137:AH161)</f>
        <v/>
      </c>
      <c r="AI29" s="187">
        <f>SUM(AI109:AI133,AI137:AI161)</f>
        <v/>
      </c>
      <c r="AJ29" s="187">
        <f>SUM(AJ109:AJ133,AJ137:AJ161)</f>
        <v/>
      </c>
      <c r="AK29" s="187">
        <f>SUM(AK109:AK133,AK137:AK161)</f>
        <v/>
      </c>
      <c r="AL29" s="187">
        <f>SUM(AL109:AL133,AL137:AL161)</f>
        <v/>
      </c>
      <c r="AM29" s="187">
        <f>SUM(AM109:AM133,AM137:AM161)</f>
        <v/>
      </c>
      <c r="AN29" s="187">
        <f>SUM(AN109:AN133,AN137:AN161)</f>
        <v/>
      </c>
      <c r="AO29" s="187">
        <f>SUM(AO109:AO133,AO137:AO161)</f>
        <v/>
      </c>
      <c r="AP29" s="187">
        <f>SUM(AP109:AP133,AP137:AP161)</f>
        <v/>
      </c>
      <c r="AQ29" s="187">
        <f>SUM(AQ109:AQ133,AQ137:AQ161)</f>
        <v/>
      </c>
      <c r="AR29" s="187">
        <f>SUM(AR109:AR133,AR137:AR161)</f>
        <v/>
      </c>
      <c r="AS29" s="187">
        <f>SUM(AS109:AS133,AS137:AS161)</f>
        <v/>
      </c>
      <c r="AT29" s="187">
        <f>SUM(AT109:AT133,AT137:AT161)</f>
        <v/>
      </c>
      <c r="AU29" s="187">
        <f>SUM(AU109:AU133,AU137:AU161)</f>
        <v/>
      </c>
      <c r="AV29" s="187">
        <f>SUM(AV109:AV133,AV137:AV161)</f>
        <v/>
      </c>
      <c r="AW29" s="187">
        <f>SUM(AW109:AW133,AW137:AW161)</f>
        <v/>
      </c>
      <c r="AX29" s="187">
        <f>SUM(AX109:AX133,AX137:AX161)</f>
        <v/>
      </c>
      <c r="AY29" s="187">
        <f>SUM(AY109:AY133,AY137:AY161)</f>
        <v/>
      </c>
      <c r="AZ29" s="187">
        <f>SUM(AZ109:AZ133,AZ137:AZ161)</f>
        <v/>
      </c>
      <c r="BA29" s="187">
        <f>SUM(BA109:BA133,BA137:BA161)</f>
        <v/>
      </c>
      <c r="BB29" s="187">
        <f>SUM(BB109:BB133,BB137:BB161)</f>
        <v/>
      </c>
      <c r="BC29" s="187">
        <f>SUM(BC109:BC133,BC137:BC161)</f>
        <v/>
      </c>
      <c r="BD29" s="187">
        <f>SUM(BD109:BD133,BD137:BD161)</f>
        <v/>
      </c>
      <c r="BE29" s="187">
        <f>SUM(BE109:BE133,BE137:BE161)</f>
        <v/>
      </c>
      <c r="BF29" s="187">
        <f>SUM(BF109:BF133,BF137:BF161)</f>
        <v/>
      </c>
      <c r="BG29" s="187">
        <f>SUM(BG109:BG133,BG137:BG161)</f>
        <v/>
      </c>
      <c r="BH29" s="187">
        <f>SUM(BH109:BH133,BH137:BH161)</f>
        <v/>
      </c>
      <c r="BI29" s="187">
        <f>SUM(BI109:BI133,BI137:BI161)</f>
        <v/>
      </c>
      <c r="BJ29" s="187">
        <f>SUM(BJ109:BJ133,BJ137:BJ161)</f>
        <v/>
      </c>
      <c r="BK29" s="187">
        <f>SUM(BK109:BK133,BK137:BK161)</f>
        <v/>
      </c>
      <c r="BL29" s="187">
        <f>SUM(BL109:BL133,BL137:BL161)</f>
        <v/>
      </c>
      <c r="BM29" s="187">
        <f>SUM(BM109:BM133,BM137:BM161)</f>
        <v/>
      </c>
      <c r="BN29" s="187">
        <f>SUM(BN109:BN133,BN137:BN161)</f>
        <v/>
      </c>
      <c r="BO29" s="187">
        <f>SUM(BO109:BO133,BO137:BO161)</f>
        <v/>
      </c>
    </row>
    <row r="30">
      <c r="A30" s="10" t="inlineStr">
        <is>
          <t>Роялти всего, с НДС</t>
        </is>
      </c>
      <c r="B30" s="43">
        <f>B28+B29</f>
        <v/>
      </c>
      <c r="C30" s="43">
        <f>C28+C29</f>
        <v/>
      </c>
      <c r="D30" s="43">
        <f>D28+D29</f>
        <v/>
      </c>
      <c r="E30" s="43">
        <f>E28+E29</f>
        <v/>
      </c>
      <c r="F30" s="43">
        <f>F28+F29</f>
        <v/>
      </c>
      <c r="G30" s="43">
        <f>G28+G29</f>
        <v/>
      </c>
      <c r="H30" s="43">
        <f>H28+H29</f>
        <v/>
      </c>
      <c r="I30" s="43">
        <f>I28+I29</f>
        <v/>
      </c>
      <c r="J30" s="43">
        <f>J28+J29</f>
        <v/>
      </c>
      <c r="K30" s="43">
        <f>K28+K29</f>
        <v/>
      </c>
      <c r="L30" s="43">
        <f>L28+L29</f>
        <v/>
      </c>
      <c r="M30" s="43">
        <f>M28+M29</f>
        <v/>
      </c>
      <c r="N30" s="43">
        <f>N28+N29</f>
        <v/>
      </c>
      <c r="O30" s="43">
        <f>O28+O29</f>
        <v/>
      </c>
      <c r="P30" s="43">
        <f>P28+P29</f>
        <v/>
      </c>
      <c r="Q30" s="43">
        <f>Q28+Q29</f>
        <v/>
      </c>
      <c r="R30" s="43">
        <f>R28+R29</f>
        <v/>
      </c>
      <c r="S30" s="43">
        <f>S28+S29</f>
        <v/>
      </c>
      <c r="T30" s="43">
        <f>T28+T29</f>
        <v/>
      </c>
      <c r="U30" s="43">
        <f>U28+U29</f>
        <v/>
      </c>
      <c r="V30" s="43">
        <f>V28+V29</f>
        <v/>
      </c>
      <c r="W30" s="43">
        <f>W28+W29</f>
        <v/>
      </c>
      <c r="X30" s="43">
        <f>X28+X29</f>
        <v/>
      </c>
      <c r="Y30" s="43">
        <f>Y28+Y29</f>
        <v/>
      </c>
      <c r="Z30" s="43">
        <f>Z28+Z29</f>
        <v/>
      </c>
      <c r="AA30" s="43">
        <f>AA28+AA29</f>
        <v/>
      </c>
      <c r="AB30" s="43">
        <f>AB28+AB29</f>
        <v/>
      </c>
      <c r="AC30" s="43">
        <f>AC28+AC29</f>
        <v/>
      </c>
      <c r="AD30" s="43">
        <f>AD28+AD29</f>
        <v/>
      </c>
      <c r="AE30" s="43">
        <f>AE28+AE29</f>
        <v/>
      </c>
      <c r="AF30" s="43">
        <f>AF28+AF29</f>
        <v/>
      </c>
      <c r="AG30" s="43">
        <f>AG28+AG29</f>
        <v/>
      </c>
      <c r="AH30" s="43">
        <f>AH28+AH29</f>
        <v/>
      </c>
      <c r="AI30" s="43">
        <f>AI28+AI29</f>
        <v/>
      </c>
      <c r="AJ30" s="43">
        <f>AJ28+AJ29</f>
        <v/>
      </c>
      <c r="AK30" s="43">
        <f>AK28+AK29</f>
        <v/>
      </c>
      <c r="AL30" s="43">
        <f>AL28+AL29</f>
        <v/>
      </c>
      <c r="AM30" s="43">
        <f>AM28+AM29</f>
        <v/>
      </c>
      <c r="AN30" s="43">
        <f>AN28+AN29</f>
        <v/>
      </c>
      <c r="AO30" s="43">
        <f>AO28+AO29</f>
        <v/>
      </c>
      <c r="AP30" s="43">
        <f>AP28+AP29</f>
        <v/>
      </c>
      <c r="AQ30" s="43">
        <f>AQ28+AQ29</f>
        <v/>
      </c>
      <c r="AR30" s="43">
        <f>AR28+AR29</f>
        <v/>
      </c>
      <c r="AS30" s="43">
        <f>AS28+AS29</f>
        <v/>
      </c>
      <c r="AT30" s="43">
        <f>AT28+AT29</f>
        <v/>
      </c>
      <c r="AU30" s="43">
        <f>AU28+AU29</f>
        <v/>
      </c>
      <c r="AV30" s="43">
        <f>AV28+AV29</f>
        <v/>
      </c>
      <c r="AW30" s="43">
        <f>AW28+AW29</f>
        <v/>
      </c>
      <c r="AX30" s="43">
        <f>AX28+AX29</f>
        <v/>
      </c>
      <c r="AY30" s="43">
        <f>AY28+AY29</f>
        <v/>
      </c>
      <c r="AZ30" s="43">
        <f>AZ28+AZ29</f>
        <v/>
      </c>
      <c r="BA30" s="43">
        <f>BA28+BA29</f>
        <v/>
      </c>
      <c r="BB30" s="43">
        <f>BB28+BB29</f>
        <v/>
      </c>
      <c r="BC30" s="43">
        <f>BC28+BC29</f>
        <v/>
      </c>
      <c r="BD30" s="43">
        <f>BD28+BD29</f>
        <v/>
      </c>
      <c r="BE30" s="43">
        <f>BE28+BE29</f>
        <v/>
      </c>
      <c r="BF30" s="43">
        <f>BF28+BF29</f>
        <v/>
      </c>
      <c r="BG30" s="43">
        <f>BG28+BG29</f>
        <v/>
      </c>
      <c r="BH30" s="43">
        <f>BH28+BH29</f>
        <v/>
      </c>
      <c r="BI30" s="43">
        <f>BI28+BI29</f>
        <v/>
      </c>
      <c r="BJ30" s="43">
        <f>BJ28+BJ29</f>
        <v/>
      </c>
      <c r="BK30" s="43">
        <f>BK28+BK29</f>
        <v/>
      </c>
      <c r="BL30" s="43">
        <f>BL28+BL29</f>
        <v/>
      </c>
      <c r="BM30" s="43">
        <f>BM28+BM29</f>
        <v/>
      </c>
      <c r="BN30" s="43">
        <f>BN28+BN29</f>
        <v/>
      </c>
      <c r="BO30" s="43">
        <f>BO28+BO29</f>
        <v/>
      </c>
    </row>
    <row r="31">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c r="AA31" s="73" t="n"/>
      <c r="AB31" s="73" t="n"/>
      <c r="AC31" s="73" t="n"/>
      <c r="AD31" s="73" t="n"/>
      <c r="AE31" s="73" t="n"/>
      <c r="AF31" s="73" t="n"/>
      <c r="AG31" s="73" t="n"/>
      <c r="AH31" s="73" t="n"/>
      <c r="AI31" s="73" t="n"/>
      <c r="AJ31" s="73" t="n"/>
      <c r="AK31" s="73" t="n"/>
      <c r="AL31" s="73" t="n"/>
      <c r="AM31" s="73" t="n"/>
      <c r="AN31" s="73" t="n"/>
      <c r="AO31" s="73" t="n"/>
      <c r="AP31" s="73" t="n"/>
      <c r="AQ31" s="73" t="n"/>
      <c r="AR31" s="73" t="n"/>
      <c r="AS31" s="73" t="n"/>
      <c r="AT31" s="73" t="n"/>
      <c r="AU31" s="73" t="n"/>
      <c r="AV31" s="73" t="n"/>
      <c r="AW31" s="73" t="n"/>
      <c r="AX31" s="73" t="n"/>
      <c r="AY31" s="73" t="n"/>
      <c r="AZ31" s="73" t="n"/>
      <c r="BA31" s="73" t="n"/>
      <c r="BB31" s="73" t="n"/>
      <c r="BC31" s="73" t="n"/>
      <c r="BD31" s="73" t="n"/>
      <c r="BE31" s="73" t="n"/>
      <c r="BF31" s="73" t="n"/>
      <c r="BG31" s="73" t="n"/>
      <c r="BH31" s="73" t="n"/>
      <c r="BI31" s="73" t="n"/>
      <c r="BJ31" s="73" t="n"/>
      <c r="BK31" s="73" t="n"/>
      <c r="BL31" s="73" t="n"/>
      <c r="BM31" s="73" t="n"/>
      <c r="BN31" s="73" t="n"/>
      <c r="BO31" s="73" t="n"/>
    </row>
    <row r="32" hidden="1" outlineLevel="1" ht="20" customHeight="1">
      <c r="A32" s="4" t="inlineStr">
        <is>
          <t>Helper для ставок роялти</t>
        </is>
      </c>
    </row>
    <row r="33" hidden="1" outlineLevel="1">
      <c r="A33" s="2" t="inlineStr">
        <is>
          <t>Legacy открытия (продажи до 31.12.26)</t>
        </is>
      </c>
      <c r="B33" s="95">
        <f>IF(OR(1&lt;='01_Вводные'!$B$15,1-'01_Вводные'!$B$15&gt;60),0,IF(INDEX('04_Продажи'!$B$11:$BI$11,1,1-'01_Вводные'!$B$15)&lt;='01_Вводные'!$B$244,B8,0))</f>
        <v/>
      </c>
      <c r="C33" s="95">
        <f>IF(OR(2&lt;='01_Вводные'!$B$15,2-'01_Вводные'!$B$15&gt;60),0,IF(INDEX('04_Продажи'!$B$11:$BI$11,1,2-'01_Вводные'!$B$15)&lt;='01_Вводные'!$B$244,C8,0))</f>
        <v/>
      </c>
      <c r="D33" s="95">
        <f>IF(OR(3&lt;='01_Вводные'!$B$15,3-'01_Вводные'!$B$15&gt;60),0,IF(INDEX('04_Продажи'!$B$11:$BI$11,1,3-'01_Вводные'!$B$15)&lt;='01_Вводные'!$B$244,D8,0))</f>
        <v/>
      </c>
      <c r="E33" s="95">
        <f>IF(OR(4&lt;='01_Вводные'!$B$15,4-'01_Вводные'!$B$15&gt;60),0,IF(INDEX('04_Продажи'!$B$11:$BI$11,1,4-'01_Вводные'!$B$15)&lt;='01_Вводные'!$B$244,E8,0))</f>
        <v/>
      </c>
      <c r="F33" s="95">
        <f>IF(OR(5&lt;='01_Вводные'!$B$15,5-'01_Вводные'!$B$15&gt;60),0,IF(INDEX('04_Продажи'!$B$11:$BI$11,1,5-'01_Вводные'!$B$15)&lt;='01_Вводные'!$B$244,F8,0))</f>
        <v/>
      </c>
      <c r="G33" s="95">
        <f>IF(OR(6&lt;='01_Вводные'!$B$15,6-'01_Вводные'!$B$15&gt;60),0,IF(INDEX('04_Продажи'!$B$11:$BI$11,1,6-'01_Вводные'!$B$15)&lt;='01_Вводные'!$B$244,G8,0))</f>
        <v/>
      </c>
      <c r="H33" s="95">
        <f>IF(OR(7&lt;='01_Вводные'!$B$15,7-'01_Вводные'!$B$15&gt;60),0,IF(INDEX('04_Продажи'!$B$11:$BI$11,1,7-'01_Вводные'!$B$15)&lt;='01_Вводные'!$B$244,H8,0))</f>
        <v/>
      </c>
      <c r="I33" s="95">
        <f>IF(OR(8&lt;='01_Вводные'!$B$15,8-'01_Вводные'!$B$15&gt;60),0,IF(INDEX('04_Продажи'!$B$11:$BI$11,1,8-'01_Вводные'!$B$15)&lt;='01_Вводные'!$B$244,I8,0))</f>
        <v/>
      </c>
      <c r="J33" s="95">
        <f>IF(OR(9&lt;='01_Вводные'!$B$15,9-'01_Вводные'!$B$15&gt;60),0,IF(INDEX('04_Продажи'!$B$11:$BI$11,1,9-'01_Вводные'!$B$15)&lt;='01_Вводные'!$B$244,J8,0))</f>
        <v/>
      </c>
      <c r="K33" s="95">
        <f>IF(OR(10&lt;='01_Вводные'!$B$15,10-'01_Вводные'!$B$15&gt;60),0,IF(INDEX('04_Продажи'!$B$11:$BI$11,1,10-'01_Вводные'!$B$15)&lt;='01_Вводные'!$B$244,K8,0))</f>
        <v/>
      </c>
      <c r="L33" s="95">
        <f>IF(OR(11&lt;='01_Вводные'!$B$15,11-'01_Вводные'!$B$15&gt;60),0,IF(INDEX('04_Продажи'!$B$11:$BI$11,1,11-'01_Вводные'!$B$15)&lt;='01_Вводные'!$B$244,L8,0))</f>
        <v/>
      </c>
      <c r="M33" s="95">
        <f>IF(OR(12&lt;='01_Вводные'!$B$15,12-'01_Вводные'!$B$15&gt;60),0,IF(INDEX('04_Продажи'!$B$11:$BI$11,1,12-'01_Вводные'!$B$15)&lt;='01_Вводные'!$B$244,M8,0))</f>
        <v/>
      </c>
      <c r="N33" s="95">
        <f>IF(OR(13&lt;='01_Вводные'!$B$15,13-'01_Вводные'!$B$15&gt;60),0,IF(INDEX('04_Продажи'!$B$11:$BI$11,1,13-'01_Вводные'!$B$15)&lt;='01_Вводные'!$B$244,N8,0))</f>
        <v/>
      </c>
      <c r="O33" s="95">
        <f>IF(OR(14&lt;='01_Вводные'!$B$15,14-'01_Вводные'!$B$15&gt;60),0,IF(INDEX('04_Продажи'!$B$11:$BI$11,1,14-'01_Вводные'!$B$15)&lt;='01_Вводные'!$B$244,O8,0))</f>
        <v/>
      </c>
      <c r="P33" s="95">
        <f>IF(OR(15&lt;='01_Вводные'!$B$15,15-'01_Вводные'!$B$15&gt;60),0,IF(INDEX('04_Продажи'!$B$11:$BI$11,1,15-'01_Вводные'!$B$15)&lt;='01_Вводные'!$B$244,P8,0))</f>
        <v/>
      </c>
      <c r="Q33" s="95">
        <f>IF(OR(16&lt;='01_Вводные'!$B$15,16-'01_Вводные'!$B$15&gt;60),0,IF(INDEX('04_Продажи'!$B$11:$BI$11,1,16-'01_Вводные'!$B$15)&lt;='01_Вводные'!$B$244,Q8,0))</f>
        <v/>
      </c>
      <c r="R33" s="95">
        <f>IF(OR(17&lt;='01_Вводные'!$B$15,17-'01_Вводные'!$B$15&gt;60),0,IF(INDEX('04_Продажи'!$B$11:$BI$11,1,17-'01_Вводные'!$B$15)&lt;='01_Вводные'!$B$244,R8,0))</f>
        <v/>
      </c>
      <c r="S33" s="95">
        <f>IF(OR(18&lt;='01_Вводные'!$B$15,18-'01_Вводные'!$B$15&gt;60),0,IF(INDEX('04_Продажи'!$B$11:$BI$11,1,18-'01_Вводные'!$B$15)&lt;='01_Вводные'!$B$244,S8,0))</f>
        <v/>
      </c>
      <c r="T33" s="95">
        <f>IF(OR(19&lt;='01_Вводные'!$B$15,19-'01_Вводные'!$B$15&gt;60),0,IF(INDEX('04_Продажи'!$B$11:$BI$11,1,19-'01_Вводные'!$B$15)&lt;='01_Вводные'!$B$244,T8,0))</f>
        <v/>
      </c>
      <c r="U33" s="95">
        <f>IF(OR(20&lt;='01_Вводные'!$B$15,20-'01_Вводные'!$B$15&gt;60),0,IF(INDEX('04_Продажи'!$B$11:$BI$11,1,20-'01_Вводные'!$B$15)&lt;='01_Вводные'!$B$244,U8,0))</f>
        <v/>
      </c>
      <c r="V33" s="95">
        <f>IF(OR(21&lt;='01_Вводные'!$B$15,21-'01_Вводные'!$B$15&gt;60),0,IF(INDEX('04_Продажи'!$B$11:$BI$11,1,21-'01_Вводные'!$B$15)&lt;='01_Вводные'!$B$244,V8,0))</f>
        <v/>
      </c>
      <c r="W33" s="95">
        <f>IF(OR(22&lt;='01_Вводные'!$B$15,22-'01_Вводные'!$B$15&gt;60),0,IF(INDEX('04_Продажи'!$B$11:$BI$11,1,22-'01_Вводные'!$B$15)&lt;='01_Вводные'!$B$244,W8,0))</f>
        <v/>
      </c>
      <c r="X33" s="95">
        <f>IF(OR(23&lt;='01_Вводные'!$B$15,23-'01_Вводные'!$B$15&gt;60),0,IF(INDEX('04_Продажи'!$B$11:$BI$11,1,23-'01_Вводные'!$B$15)&lt;='01_Вводные'!$B$244,X8,0))</f>
        <v/>
      </c>
      <c r="Y33" s="95">
        <f>IF(OR(24&lt;='01_Вводные'!$B$15,24-'01_Вводные'!$B$15&gt;60),0,IF(INDEX('04_Продажи'!$B$11:$BI$11,1,24-'01_Вводные'!$B$15)&lt;='01_Вводные'!$B$244,Y8,0))</f>
        <v/>
      </c>
      <c r="Z33" s="95">
        <f>IF(OR(25&lt;='01_Вводные'!$B$15,25-'01_Вводные'!$B$15&gt;60),0,IF(INDEX('04_Продажи'!$B$11:$BI$11,1,25-'01_Вводные'!$B$15)&lt;='01_Вводные'!$B$244,Z8,0))</f>
        <v/>
      </c>
      <c r="AA33" s="95">
        <f>IF(OR(26&lt;='01_Вводные'!$B$15,26-'01_Вводные'!$B$15&gt;60),0,IF(INDEX('04_Продажи'!$B$11:$BI$11,1,26-'01_Вводные'!$B$15)&lt;='01_Вводные'!$B$244,AA8,0))</f>
        <v/>
      </c>
      <c r="AB33" s="95">
        <f>IF(OR(27&lt;='01_Вводные'!$B$15,27-'01_Вводные'!$B$15&gt;60),0,IF(INDEX('04_Продажи'!$B$11:$BI$11,1,27-'01_Вводные'!$B$15)&lt;='01_Вводные'!$B$244,AB8,0))</f>
        <v/>
      </c>
      <c r="AC33" s="95">
        <f>IF(OR(28&lt;='01_Вводные'!$B$15,28-'01_Вводные'!$B$15&gt;60),0,IF(INDEX('04_Продажи'!$B$11:$BI$11,1,28-'01_Вводные'!$B$15)&lt;='01_Вводные'!$B$244,AC8,0))</f>
        <v/>
      </c>
      <c r="AD33" s="95">
        <f>IF(OR(29&lt;='01_Вводные'!$B$15,29-'01_Вводные'!$B$15&gt;60),0,IF(INDEX('04_Продажи'!$B$11:$BI$11,1,29-'01_Вводные'!$B$15)&lt;='01_Вводные'!$B$244,AD8,0))</f>
        <v/>
      </c>
      <c r="AE33" s="95">
        <f>IF(OR(30&lt;='01_Вводные'!$B$15,30-'01_Вводные'!$B$15&gt;60),0,IF(INDEX('04_Продажи'!$B$11:$BI$11,1,30-'01_Вводные'!$B$15)&lt;='01_Вводные'!$B$244,AE8,0))</f>
        <v/>
      </c>
      <c r="AF33" s="95">
        <f>IF(OR(31&lt;='01_Вводные'!$B$15,31-'01_Вводные'!$B$15&gt;60),0,IF(INDEX('04_Продажи'!$B$11:$BI$11,1,31-'01_Вводные'!$B$15)&lt;='01_Вводные'!$B$244,AF8,0))</f>
        <v/>
      </c>
      <c r="AG33" s="95">
        <f>IF(OR(32&lt;='01_Вводные'!$B$15,32-'01_Вводные'!$B$15&gt;60),0,IF(INDEX('04_Продажи'!$B$11:$BI$11,1,32-'01_Вводные'!$B$15)&lt;='01_Вводные'!$B$244,AG8,0))</f>
        <v/>
      </c>
      <c r="AH33" s="95">
        <f>IF(OR(33&lt;='01_Вводные'!$B$15,33-'01_Вводные'!$B$15&gt;60),0,IF(INDEX('04_Продажи'!$B$11:$BI$11,1,33-'01_Вводные'!$B$15)&lt;='01_Вводные'!$B$244,AH8,0))</f>
        <v/>
      </c>
      <c r="AI33" s="95">
        <f>IF(OR(34&lt;='01_Вводные'!$B$15,34-'01_Вводные'!$B$15&gt;60),0,IF(INDEX('04_Продажи'!$B$11:$BI$11,1,34-'01_Вводные'!$B$15)&lt;='01_Вводные'!$B$244,AI8,0))</f>
        <v/>
      </c>
      <c r="AJ33" s="95">
        <f>IF(OR(35&lt;='01_Вводные'!$B$15,35-'01_Вводные'!$B$15&gt;60),0,IF(INDEX('04_Продажи'!$B$11:$BI$11,1,35-'01_Вводные'!$B$15)&lt;='01_Вводные'!$B$244,AJ8,0))</f>
        <v/>
      </c>
      <c r="AK33" s="95">
        <f>IF(OR(36&lt;='01_Вводные'!$B$15,36-'01_Вводные'!$B$15&gt;60),0,IF(INDEX('04_Продажи'!$B$11:$BI$11,1,36-'01_Вводные'!$B$15)&lt;='01_Вводные'!$B$244,AK8,0))</f>
        <v/>
      </c>
      <c r="AL33" s="95">
        <f>IF(OR(37&lt;='01_Вводные'!$B$15,37-'01_Вводные'!$B$15&gt;60),0,IF(INDEX('04_Продажи'!$B$11:$BI$11,1,37-'01_Вводные'!$B$15)&lt;='01_Вводные'!$B$244,AL8,0))</f>
        <v/>
      </c>
      <c r="AM33" s="95">
        <f>IF(OR(38&lt;='01_Вводные'!$B$15,38-'01_Вводные'!$B$15&gt;60),0,IF(INDEX('04_Продажи'!$B$11:$BI$11,1,38-'01_Вводные'!$B$15)&lt;='01_Вводные'!$B$244,AM8,0))</f>
        <v/>
      </c>
      <c r="AN33" s="95">
        <f>IF(OR(39&lt;='01_Вводные'!$B$15,39-'01_Вводные'!$B$15&gt;60),0,IF(INDEX('04_Продажи'!$B$11:$BI$11,1,39-'01_Вводные'!$B$15)&lt;='01_Вводные'!$B$244,AN8,0))</f>
        <v/>
      </c>
      <c r="AO33" s="95">
        <f>IF(OR(40&lt;='01_Вводные'!$B$15,40-'01_Вводные'!$B$15&gt;60),0,IF(INDEX('04_Продажи'!$B$11:$BI$11,1,40-'01_Вводные'!$B$15)&lt;='01_Вводные'!$B$244,AO8,0))</f>
        <v/>
      </c>
      <c r="AP33" s="95">
        <f>IF(OR(41&lt;='01_Вводные'!$B$15,41-'01_Вводные'!$B$15&gt;60),0,IF(INDEX('04_Продажи'!$B$11:$BI$11,1,41-'01_Вводные'!$B$15)&lt;='01_Вводные'!$B$244,AP8,0))</f>
        <v/>
      </c>
      <c r="AQ33" s="95">
        <f>IF(OR(42&lt;='01_Вводные'!$B$15,42-'01_Вводные'!$B$15&gt;60),0,IF(INDEX('04_Продажи'!$B$11:$BI$11,1,42-'01_Вводные'!$B$15)&lt;='01_Вводные'!$B$244,AQ8,0))</f>
        <v/>
      </c>
      <c r="AR33" s="95">
        <f>IF(OR(43&lt;='01_Вводные'!$B$15,43-'01_Вводные'!$B$15&gt;60),0,IF(INDEX('04_Продажи'!$B$11:$BI$11,1,43-'01_Вводные'!$B$15)&lt;='01_Вводные'!$B$244,AR8,0))</f>
        <v/>
      </c>
      <c r="AS33" s="95">
        <f>IF(OR(44&lt;='01_Вводные'!$B$15,44-'01_Вводные'!$B$15&gt;60),0,IF(INDEX('04_Продажи'!$B$11:$BI$11,1,44-'01_Вводные'!$B$15)&lt;='01_Вводные'!$B$244,AS8,0))</f>
        <v/>
      </c>
      <c r="AT33" s="95">
        <f>IF(OR(45&lt;='01_Вводные'!$B$15,45-'01_Вводные'!$B$15&gt;60),0,IF(INDEX('04_Продажи'!$B$11:$BI$11,1,45-'01_Вводные'!$B$15)&lt;='01_Вводные'!$B$244,AT8,0))</f>
        <v/>
      </c>
      <c r="AU33" s="95">
        <f>IF(OR(46&lt;='01_Вводные'!$B$15,46-'01_Вводные'!$B$15&gt;60),0,IF(INDEX('04_Продажи'!$B$11:$BI$11,1,46-'01_Вводные'!$B$15)&lt;='01_Вводные'!$B$244,AU8,0))</f>
        <v/>
      </c>
      <c r="AV33" s="95">
        <f>IF(OR(47&lt;='01_Вводные'!$B$15,47-'01_Вводные'!$B$15&gt;60),0,IF(INDEX('04_Продажи'!$B$11:$BI$11,1,47-'01_Вводные'!$B$15)&lt;='01_Вводные'!$B$244,AV8,0))</f>
        <v/>
      </c>
      <c r="AW33" s="95">
        <f>IF(OR(48&lt;='01_Вводные'!$B$15,48-'01_Вводные'!$B$15&gt;60),0,IF(INDEX('04_Продажи'!$B$11:$BI$11,1,48-'01_Вводные'!$B$15)&lt;='01_Вводные'!$B$244,AW8,0))</f>
        <v/>
      </c>
      <c r="AX33" s="95">
        <f>IF(OR(49&lt;='01_Вводные'!$B$15,49-'01_Вводные'!$B$15&gt;60),0,IF(INDEX('04_Продажи'!$B$11:$BI$11,1,49-'01_Вводные'!$B$15)&lt;='01_Вводные'!$B$244,AX8,0))</f>
        <v/>
      </c>
      <c r="AY33" s="95">
        <f>IF(OR(50&lt;='01_Вводные'!$B$15,50-'01_Вводные'!$B$15&gt;60),0,IF(INDEX('04_Продажи'!$B$11:$BI$11,1,50-'01_Вводные'!$B$15)&lt;='01_Вводные'!$B$244,AY8,0))</f>
        <v/>
      </c>
      <c r="AZ33" s="95">
        <f>IF(OR(51&lt;='01_Вводные'!$B$15,51-'01_Вводные'!$B$15&gt;60),0,IF(INDEX('04_Продажи'!$B$11:$BI$11,1,51-'01_Вводные'!$B$15)&lt;='01_Вводные'!$B$244,AZ8,0))</f>
        <v/>
      </c>
      <c r="BA33" s="95">
        <f>IF(OR(52&lt;='01_Вводные'!$B$15,52-'01_Вводные'!$B$15&gt;60),0,IF(INDEX('04_Продажи'!$B$11:$BI$11,1,52-'01_Вводные'!$B$15)&lt;='01_Вводные'!$B$244,BA8,0))</f>
        <v/>
      </c>
      <c r="BB33" s="95">
        <f>IF(OR(53&lt;='01_Вводные'!$B$15,53-'01_Вводные'!$B$15&gt;60),0,IF(INDEX('04_Продажи'!$B$11:$BI$11,1,53-'01_Вводные'!$B$15)&lt;='01_Вводные'!$B$244,BB8,0))</f>
        <v/>
      </c>
      <c r="BC33" s="95">
        <f>IF(OR(54&lt;='01_Вводные'!$B$15,54-'01_Вводные'!$B$15&gt;60),0,IF(INDEX('04_Продажи'!$B$11:$BI$11,1,54-'01_Вводные'!$B$15)&lt;='01_Вводные'!$B$244,BC8,0))</f>
        <v/>
      </c>
      <c r="BD33" s="95">
        <f>IF(OR(55&lt;='01_Вводные'!$B$15,55-'01_Вводные'!$B$15&gt;60),0,IF(INDEX('04_Продажи'!$B$11:$BI$11,1,55-'01_Вводные'!$B$15)&lt;='01_Вводные'!$B$244,BD8,0))</f>
        <v/>
      </c>
      <c r="BE33" s="95">
        <f>IF(OR(56&lt;='01_Вводные'!$B$15,56-'01_Вводные'!$B$15&gt;60),0,IF(INDEX('04_Продажи'!$B$11:$BI$11,1,56-'01_Вводные'!$B$15)&lt;='01_Вводные'!$B$244,BE8,0))</f>
        <v/>
      </c>
      <c r="BF33" s="95">
        <f>IF(OR(57&lt;='01_Вводные'!$B$15,57-'01_Вводные'!$B$15&gt;60),0,IF(INDEX('04_Продажи'!$B$11:$BI$11,1,57-'01_Вводные'!$B$15)&lt;='01_Вводные'!$B$244,BF8,0))</f>
        <v/>
      </c>
      <c r="BG33" s="95">
        <f>IF(OR(58&lt;='01_Вводные'!$B$15,58-'01_Вводные'!$B$15&gt;60),0,IF(INDEX('04_Продажи'!$B$11:$BI$11,1,58-'01_Вводные'!$B$15)&lt;='01_Вводные'!$B$244,BG8,0))</f>
        <v/>
      </c>
      <c r="BH33" s="95">
        <f>IF(OR(59&lt;='01_Вводные'!$B$15,59-'01_Вводные'!$B$15&gt;60),0,IF(INDEX('04_Продажи'!$B$11:$BI$11,1,59-'01_Вводные'!$B$15)&lt;='01_Вводные'!$B$244,BH8,0))</f>
        <v/>
      </c>
      <c r="BI33" s="95">
        <f>IF(OR(60&lt;='01_Вводные'!$B$15,60-'01_Вводные'!$B$15&gt;60),0,IF(INDEX('04_Продажи'!$B$11:$BI$11,1,60-'01_Вводные'!$B$15)&lt;='01_Вводные'!$B$244,BI8,0))</f>
        <v/>
      </c>
      <c r="BJ33" s="95">
        <f>IF(OR(61&lt;='01_Вводные'!$B$15,61-'01_Вводные'!$B$15&gt;60),0,IF(INDEX('04_Продажи'!$B$11:$BI$11,1,61-'01_Вводные'!$B$15)&lt;='01_Вводные'!$B$244,BJ8,0))</f>
        <v/>
      </c>
      <c r="BK33" s="95">
        <f>IF(OR(62&lt;='01_Вводные'!$B$15,62-'01_Вводные'!$B$15&gt;60),0,IF(INDEX('04_Продажи'!$B$11:$BI$11,1,62-'01_Вводные'!$B$15)&lt;='01_Вводные'!$B$244,BK8,0))</f>
        <v/>
      </c>
      <c r="BL33" s="95">
        <f>IF(OR(63&lt;='01_Вводные'!$B$15,63-'01_Вводные'!$B$15&gt;60),0,IF(INDEX('04_Продажи'!$B$11:$BI$11,1,63-'01_Вводные'!$B$15)&lt;='01_Вводные'!$B$244,BL8,0))</f>
        <v/>
      </c>
      <c r="BM33" s="95">
        <f>IF(OR(64&lt;='01_Вводные'!$B$15,64-'01_Вводные'!$B$15&gt;60),0,IF(INDEX('04_Продажи'!$B$11:$BI$11,1,64-'01_Вводные'!$B$15)&lt;='01_Вводные'!$B$244,BM8,0))</f>
        <v/>
      </c>
      <c r="BN33" s="95">
        <f>IF(OR(65&lt;='01_Вводные'!$B$15,65-'01_Вводные'!$B$15&gt;60),0,IF(INDEX('04_Продажи'!$B$11:$BI$11,1,65-'01_Вводные'!$B$15)&lt;='01_Вводные'!$B$244,BN8,0))</f>
        <v/>
      </c>
      <c r="BO33" s="95">
        <f>IF(OR(66&lt;='01_Вводные'!$B$15,66-'01_Вводные'!$B$15&gt;60),0,IF(INDEX('04_Продажи'!$B$11:$BI$11,1,66-'01_Вводные'!$B$15)&lt;='01_Вводные'!$B$244,BO8,0))</f>
        <v/>
      </c>
    </row>
    <row r="34" hidden="1" outlineLevel="1">
      <c r="A34" s="2" t="inlineStr">
        <is>
          <t>Legacy школы 1–12 мес.</t>
        </is>
      </c>
      <c r="B34" s="187">
        <f>SUM(B81:B92)</f>
        <v/>
      </c>
      <c r="C34" s="187">
        <f>SUM(C81:C92)</f>
        <v/>
      </c>
      <c r="D34" s="187">
        <f>SUM(D81:D92)</f>
        <v/>
      </c>
      <c r="E34" s="187">
        <f>SUM(E81:E92)</f>
        <v/>
      </c>
      <c r="F34" s="187">
        <f>SUM(F81:F92)</f>
        <v/>
      </c>
      <c r="G34" s="187">
        <f>SUM(G81:G92)</f>
        <v/>
      </c>
      <c r="H34" s="187">
        <f>SUM(H81:H92)</f>
        <v/>
      </c>
      <c r="I34" s="187">
        <f>SUM(I81:I92)</f>
        <v/>
      </c>
      <c r="J34" s="187">
        <f>SUM(J81:J92)</f>
        <v/>
      </c>
      <c r="K34" s="187">
        <f>SUM(K81:K92)</f>
        <v/>
      </c>
      <c r="L34" s="187">
        <f>SUM(L81:L92)</f>
        <v/>
      </c>
      <c r="M34" s="187">
        <f>SUM(M81:M92)</f>
        <v/>
      </c>
      <c r="N34" s="187">
        <f>SUM(N81:N92)</f>
        <v/>
      </c>
      <c r="O34" s="187">
        <f>SUM(O81:O92)</f>
        <v/>
      </c>
      <c r="P34" s="187">
        <f>SUM(P81:P92)</f>
        <v/>
      </c>
      <c r="Q34" s="187">
        <f>SUM(Q81:Q92)</f>
        <v/>
      </c>
      <c r="R34" s="187">
        <f>SUM(R81:R92)</f>
        <v/>
      </c>
      <c r="S34" s="187">
        <f>SUM(S81:S92)</f>
        <v/>
      </c>
      <c r="T34" s="187">
        <f>SUM(T81:T92)</f>
        <v/>
      </c>
      <c r="U34" s="187">
        <f>SUM(U81:U92)</f>
        <v/>
      </c>
      <c r="V34" s="187">
        <f>SUM(V81:V92)</f>
        <v/>
      </c>
      <c r="W34" s="187">
        <f>SUM(W81:W92)</f>
        <v/>
      </c>
      <c r="X34" s="187">
        <f>SUM(X81:X92)</f>
        <v/>
      </c>
      <c r="Y34" s="187">
        <f>SUM(Y81:Y92)</f>
        <v/>
      </c>
      <c r="Z34" s="187">
        <f>SUM(Z81:Z92)</f>
        <v/>
      </c>
      <c r="AA34" s="187">
        <f>SUM(AA81:AA92)</f>
        <v/>
      </c>
      <c r="AB34" s="187">
        <f>SUM(AB81:AB92)</f>
        <v/>
      </c>
      <c r="AC34" s="187">
        <f>SUM(AC81:AC92)</f>
        <v/>
      </c>
      <c r="AD34" s="187">
        <f>SUM(AD81:AD92)</f>
        <v/>
      </c>
      <c r="AE34" s="187">
        <f>SUM(AE81:AE92)</f>
        <v/>
      </c>
      <c r="AF34" s="187">
        <f>SUM(AF81:AF92)</f>
        <v/>
      </c>
      <c r="AG34" s="187">
        <f>SUM(AG81:AG92)</f>
        <v/>
      </c>
      <c r="AH34" s="187">
        <f>SUM(AH81:AH92)</f>
        <v/>
      </c>
      <c r="AI34" s="187">
        <f>SUM(AI81:AI92)</f>
        <v/>
      </c>
      <c r="AJ34" s="187">
        <f>SUM(AJ81:AJ92)</f>
        <v/>
      </c>
      <c r="AK34" s="187">
        <f>SUM(AK81:AK92)</f>
        <v/>
      </c>
      <c r="AL34" s="187">
        <f>SUM(AL81:AL92)</f>
        <v/>
      </c>
      <c r="AM34" s="187">
        <f>SUM(AM81:AM92)</f>
        <v/>
      </c>
      <c r="AN34" s="187">
        <f>SUM(AN81:AN92)</f>
        <v/>
      </c>
      <c r="AO34" s="187">
        <f>SUM(AO81:AO92)</f>
        <v/>
      </c>
      <c r="AP34" s="187">
        <f>SUM(AP81:AP92)</f>
        <v/>
      </c>
      <c r="AQ34" s="187">
        <f>SUM(AQ81:AQ92)</f>
        <v/>
      </c>
      <c r="AR34" s="187">
        <f>SUM(AR81:AR92)</f>
        <v/>
      </c>
      <c r="AS34" s="187">
        <f>SUM(AS81:AS92)</f>
        <v/>
      </c>
      <c r="AT34" s="187">
        <f>SUM(AT81:AT92)</f>
        <v/>
      </c>
      <c r="AU34" s="187">
        <f>SUM(AU81:AU92)</f>
        <v/>
      </c>
      <c r="AV34" s="187">
        <f>SUM(AV81:AV92)</f>
        <v/>
      </c>
      <c r="AW34" s="187">
        <f>SUM(AW81:AW92)</f>
        <v/>
      </c>
      <c r="AX34" s="187">
        <f>SUM(AX81:AX92)</f>
        <v/>
      </c>
      <c r="AY34" s="187">
        <f>SUM(AY81:AY92)</f>
        <v/>
      </c>
      <c r="AZ34" s="187">
        <f>SUM(AZ81:AZ92)</f>
        <v/>
      </c>
      <c r="BA34" s="187">
        <f>SUM(BA81:BA92)</f>
        <v/>
      </c>
      <c r="BB34" s="187">
        <f>SUM(BB81:BB92)</f>
        <v/>
      </c>
      <c r="BC34" s="187">
        <f>SUM(BC81:BC92)</f>
        <v/>
      </c>
      <c r="BD34" s="187">
        <f>SUM(BD81:BD92)</f>
        <v/>
      </c>
      <c r="BE34" s="187">
        <f>SUM(BE81:BE92)</f>
        <v/>
      </c>
      <c r="BF34" s="187">
        <f>SUM(BF81:BF92)</f>
        <v/>
      </c>
      <c r="BG34" s="187">
        <f>SUM(BG81:BG92)</f>
        <v/>
      </c>
      <c r="BH34" s="187">
        <f>SUM(BH81:BH92)</f>
        <v/>
      </c>
      <c r="BI34" s="187">
        <f>SUM(BI81:BI92)</f>
        <v/>
      </c>
      <c r="BJ34" s="187">
        <f>SUM(BJ81:BJ92)</f>
        <v/>
      </c>
      <c r="BK34" s="187">
        <f>SUM(BK81:BK92)</f>
        <v/>
      </c>
      <c r="BL34" s="187">
        <f>SUM(BL81:BL92)</f>
        <v/>
      </c>
      <c r="BM34" s="187">
        <f>SUM(BM81:BM92)</f>
        <v/>
      </c>
      <c r="BN34" s="187">
        <f>SUM(BN81:BN92)</f>
        <v/>
      </c>
      <c r="BO34" s="187">
        <f>SUM(BO81:BO92)</f>
        <v/>
      </c>
    </row>
    <row r="35" hidden="1" outlineLevel="1">
      <c r="A35" s="2" t="inlineStr">
        <is>
          <t>Legacy школы 13+ мес.</t>
        </is>
      </c>
      <c r="B35" s="187">
        <f>SUM(B93:B105)</f>
        <v/>
      </c>
      <c r="C35" s="187">
        <f>SUM(C93:C105)</f>
        <v/>
      </c>
      <c r="D35" s="187">
        <f>SUM(D93:D105)</f>
        <v/>
      </c>
      <c r="E35" s="187">
        <f>SUM(E93:E105)</f>
        <v/>
      </c>
      <c r="F35" s="187">
        <f>SUM(F93:F105)</f>
        <v/>
      </c>
      <c r="G35" s="187">
        <f>SUM(G93:G105)</f>
        <v/>
      </c>
      <c r="H35" s="187">
        <f>SUM(H93:H105)</f>
        <v/>
      </c>
      <c r="I35" s="187">
        <f>SUM(I93:I105)</f>
        <v/>
      </c>
      <c r="J35" s="187">
        <f>SUM(J93:J105)</f>
        <v/>
      </c>
      <c r="K35" s="187">
        <f>SUM(K93:K105)</f>
        <v/>
      </c>
      <c r="L35" s="187">
        <f>SUM(L93:L105)</f>
        <v/>
      </c>
      <c r="M35" s="187">
        <f>SUM(M93:M105)</f>
        <v/>
      </c>
      <c r="N35" s="187">
        <f>SUM(N93:N105)</f>
        <v/>
      </c>
      <c r="O35" s="187">
        <f>SUM(O93:O105)</f>
        <v/>
      </c>
      <c r="P35" s="187">
        <f>SUM(P93:P105)</f>
        <v/>
      </c>
      <c r="Q35" s="187">
        <f>SUM(Q93:Q105)</f>
        <v/>
      </c>
      <c r="R35" s="187">
        <f>SUM(R93:R105)</f>
        <v/>
      </c>
      <c r="S35" s="187">
        <f>SUM(S93:S105)</f>
        <v/>
      </c>
      <c r="T35" s="187">
        <f>SUM(T93:T105)</f>
        <v/>
      </c>
      <c r="U35" s="187">
        <f>SUM(U93:U105)</f>
        <v/>
      </c>
      <c r="V35" s="187">
        <f>SUM(V93:V105)</f>
        <v/>
      </c>
      <c r="W35" s="187">
        <f>SUM(W93:W105)</f>
        <v/>
      </c>
      <c r="X35" s="187">
        <f>SUM(X93:X105)</f>
        <v/>
      </c>
      <c r="Y35" s="187">
        <f>SUM(Y93:Y105)</f>
        <v/>
      </c>
      <c r="Z35" s="187">
        <f>SUM(Z93:Z105)</f>
        <v/>
      </c>
      <c r="AA35" s="187">
        <f>SUM(AA93:AA105)</f>
        <v/>
      </c>
      <c r="AB35" s="187">
        <f>SUM(AB93:AB105)</f>
        <v/>
      </c>
      <c r="AC35" s="187">
        <f>SUM(AC93:AC105)</f>
        <v/>
      </c>
      <c r="AD35" s="187">
        <f>SUM(AD93:AD105)</f>
        <v/>
      </c>
      <c r="AE35" s="187">
        <f>SUM(AE93:AE105)</f>
        <v/>
      </c>
      <c r="AF35" s="187">
        <f>SUM(AF93:AF105)</f>
        <v/>
      </c>
      <c r="AG35" s="187">
        <f>SUM(AG93:AG105)</f>
        <v/>
      </c>
      <c r="AH35" s="187">
        <f>SUM(AH93:AH105)</f>
        <v/>
      </c>
      <c r="AI35" s="187">
        <f>SUM(AI93:AI105)</f>
        <v/>
      </c>
      <c r="AJ35" s="187">
        <f>SUM(AJ93:AJ105)</f>
        <v/>
      </c>
      <c r="AK35" s="187">
        <f>SUM(AK93:AK105)</f>
        <v/>
      </c>
      <c r="AL35" s="187">
        <f>SUM(AL93:AL105)</f>
        <v/>
      </c>
      <c r="AM35" s="187">
        <f>SUM(AM93:AM105)</f>
        <v/>
      </c>
      <c r="AN35" s="187">
        <f>SUM(AN93:AN105)</f>
        <v/>
      </c>
      <c r="AO35" s="187">
        <f>SUM(AO93:AO105)</f>
        <v/>
      </c>
      <c r="AP35" s="187">
        <f>SUM(AP93:AP105)</f>
        <v/>
      </c>
      <c r="AQ35" s="187">
        <f>SUM(AQ93:AQ105)</f>
        <v/>
      </c>
      <c r="AR35" s="187">
        <f>SUM(AR93:AR105)</f>
        <v/>
      </c>
      <c r="AS35" s="187">
        <f>SUM(AS93:AS105)</f>
        <v/>
      </c>
      <c r="AT35" s="187">
        <f>SUM(AT93:AT105)</f>
        <v/>
      </c>
      <c r="AU35" s="187">
        <f>SUM(AU93:AU105)</f>
        <v/>
      </c>
      <c r="AV35" s="187">
        <f>SUM(AV93:AV105)</f>
        <v/>
      </c>
      <c r="AW35" s="187">
        <f>SUM(AW93:AW105)</f>
        <v/>
      </c>
      <c r="AX35" s="187">
        <f>SUM(AX93:AX105)</f>
        <v/>
      </c>
      <c r="AY35" s="187">
        <f>SUM(AY93:AY105)</f>
        <v/>
      </c>
      <c r="AZ35" s="187">
        <f>SUM(AZ93:AZ105)</f>
        <v/>
      </c>
      <c r="BA35" s="187">
        <f>SUM(BA93:BA105)</f>
        <v/>
      </c>
      <c r="BB35" s="187">
        <f>SUM(BB93:BB105)</f>
        <v/>
      </c>
      <c r="BC35" s="187">
        <f>SUM(BC93:BC105)</f>
        <v/>
      </c>
      <c r="BD35" s="187">
        <f>SUM(BD93:BD105)</f>
        <v/>
      </c>
      <c r="BE35" s="187">
        <f>SUM(BE93:BE105)</f>
        <v/>
      </c>
      <c r="BF35" s="187">
        <f>SUM(BF93:BF105)</f>
        <v/>
      </c>
      <c r="BG35" s="187">
        <f>SUM(BG93:BG105)</f>
        <v/>
      </c>
      <c r="BH35" s="187">
        <f>SUM(BH93:BH105)</f>
        <v/>
      </c>
      <c r="BI35" s="187">
        <f>SUM(BI93:BI105)</f>
        <v/>
      </c>
      <c r="BJ35" s="187">
        <f>SUM(BJ93:BJ105)</f>
        <v/>
      </c>
      <c r="BK35" s="187">
        <f>SUM(BK93:BK105)</f>
        <v/>
      </c>
      <c r="BL35" s="187">
        <f>SUM(BL93:BL105)</f>
        <v/>
      </c>
      <c r="BM35" s="187">
        <f>SUM(BM93:BM105)</f>
        <v/>
      </c>
      <c r="BN35" s="187">
        <f>SUM(BN93:BN105)</f>
        <v/>
      </c>
      <c r="BO35" s="187">
        <f>SUM(BO93:BO105)</f>
        <v/>
      </c>
    </row>
    <row r="36" hidden="1" outlineLevel="1">
      <c r="A36" s="2" t="inlineStr">
        <is>
          <t>Новые 01.01.27+ школы 1–12 мес.</t>
        </is>
      </c>
      <c r="B36" s="42">
        <f>MAX(0,B13-B34)</f>
        <v/>
      </c>
      <c r="C36" s="42">
        <f>MAX(0,C13-C34)</f>
        <v/>
      </c>
      <c r="D36" s="42">
        <f>MAX(0,D13-D34)</f>
        <v/>
      </c>
      <c r="E36" s="42">
        <f>MAX(0,E13-E34)</f>
        <v/>
      </c>
      <c r="F36" s="42">
        <f>MAX(0,F13-F34)</f>
        <v/>
      </c>
      <c r="G36" s="42">
        <f>MAX(0,G13-G34)</f>
        <v/>
      </c>
      <c r="H36" s="42">
        <f>MAX(0,H13-H34)</f>
        <v/>
      </c>
      <c r="I36" s="42">
        <f>MAX(0,I13-I34)</f>
        <v/>
      </c>
      <c r="J36" s="42">
        <f>MAX(0,J13-J34)</f>
        <v/>
      </c>
      <c r="K36" s="42">
        <f>MAX(0,K13-K34)</f>
        <v/>
      </c>
      <c r="L36" s="42">
        <f>MAX(0,L13-L34)</f>
        <v/>
      </c>
      <c r="M36" s="42">
        <f>MAX(0,M13-M34)</f>
        <v/>
      </c>
      <c r="N36" s="42">
        <f>MAX(0,N13-N34)</f>
        <v/>
      </c>
      <c r="O36" s="42">
        <f>MAX(0,O13-O34)</f>
        <v/>
      </c>
      <c r="P36" s="42">
        <f>MAX(0,P13-P34)</f>
        <v/>
      </c>
      <c r="Q36" s="42">
        <f>MAX(0,Q13-Q34)</f>
        <v/>
      </c>
      <c r="R36" s="42">
        <f>MAX(0,R13-R34)</f>
        <v/>
      </c>
      <c r="S36" s="42">
        <f>MAX(0,S13-S34)</f>
        <v/>
      </c>
      <c r="T36" s="42">
        <f>MAX(0,T13-T34)</f>
        <v/>
      </c>
      <c r="U36" s="42">
        <f>MAX(0,U13-U34)</f>
        <v/>
      </c>
      <c r="V36" s="42">
        <f>MAX(0,V13-V34)</f>
        <v/>
      </c>
      <c r="W36" s="42">
        <f>MAX(0,W13-W34)</f>
        <v/>
      </c>
      <c r="X36" s="42">
        <f>MAX(0,X13-X34)</f>
        <v/>
      </c>
      <c r="Y36" s="42">
        <f>MAX(0,Y13-Y34)</f>
        <v/>
      </c>
      <c r="Z36" s="42">
        <f>MAX(0,Z13-Z34)</f>
        <v/>
      </c>
      <c r="AA36" s="42">
        <f>MAX(0,AA13-AA34)</f>
        <v/>
      </c>
      <c r="AB36" s="42">
        <f>MAX(0,AB13-AB34)</f>
        <v/>
      </c>
      <c r="AC36" s="42">
        <f>MAX(0,AC13-AC34)</f>
        <v/>
      </c>
      <c r="AD36" s="42">
        <f>MAX(0,AD13-AD34)</f>
        <v/>
      </c>
      <c r="AE36" s="42">
        <f>MAX(0,AE13-AE34)</f>
        <v/>
      </c>
      <c r="AF36" s="42">
        <f>MAX(0,AF13-AF34)</f>
        <v/>
      </c>
      <c r="AG36" s="42">
        <f>MAX(0,AG13-AG34)</f>
        <v/>
      </c>
      <c r="AH36" s="42">
        <f>MAX(0,AH13-AH34)</f>
        <v/>
      </c>
      <c r="AI36" s="42">
        <f>MAX(0,AI13-AI34)</f>
        <v/>
      </c>
      <c r="AJ36" s="42">
        <f>MAX(0,AJ13-AJ34)</f>
        <v/>
      </c>
      <c r="AK36" s="42">
        <f>MAX(0,AK13-AK34)</f>
        <v/>
      </c>
      <c r="AL36" s="42">
        <f>MAX(0,AL13-AL34)</f>
        <v/>
      </c>
      <c r="AM36" s="42">
        <f>MAX(0,AM13-AM34)</f>
        <v/>
      </c>
      <c r="AN36" s="42">
        <f>MAX(0,AN13-AN34)</f>
        <v/>
      </c>
      <c r="AO36" s="42">
        <f>MAX(0,AO13-AO34)</f>
        <v/>
      </c>
      <c r="AP36" s="42">
        <f>MAX(0,AP13-AP34)</f>
        <v/>
      </c>
      <c r="AQ36" s="42">
        <f>MAX(0,AQ13-AQ34)</f>
        <v/>
      </c>
      <c r="AR36" s="42">
        <f>MAX(0,AR13-AR34)</f>
        <v/>
      </c>
      <c r="AS36" s="42">
        <f>MAX(0,AS13-AS34)</f>
        <v/>
      </c>
      <c r="AT36" s="42">
        <f>MAX(0,AT13-AT34)</f>
        <v/>
      </c>
      <c r="AU36" s="42">
        <f>MAX(0,AU13-AU34)</f>
        <v/>
      </c>
      <c r="AV36" s="42">
        <f>MAX(0,AV13-AV34)</f>
        <v/>
      </c>
      <c r="AW36" s="42">
        <f>MAX(0,AW13-AW34)</f>
        <v/>
      </c>
      <c r="AX36" s="42">
        <f>MAX(0,AX13-AX34)</f>
        <v/>
      </c>
      <c r="AY36" s="42">
        <f>MAX(0,AY13-AY34)</f>
        <v/>
      </c>
      <c r="AZ36" s="42">
        <f>MAX(0,AZ13-AZ34)</f>
        <v/>
      </c>
      <c r="BA36" s="42">
        <f>MAX(0,BA13-BA34)</f>
        <v/>
      </c>
      <c r="BB36" s="42">
        <f>MAX(0,BB13-BB34)</f>
        <v/>
      </c>
      <c r="BC36" s="42">
        <f>MAX(0,BC13-BC34)</f>
        <v/>
      </c>
      <c r="BD36" s="42">
        <f>MAX(0,BD13-BD34)</f>
        <v/>
      </c>
      <c r="BE36" s="42">
        <f>MAX(0,BE13-BE34)</f>
        <v/>
      </c>
      <c r="BF36" s="42">
        <f>MAX(0,BF13-BF34)</f>
        <v/>
      </c>
      <c r="BG36" s="42">
        <f>MAX(0,BG13-BG34)</f>
        <v/>
      </c>
      <c r="BH36" s="42">
        <f>MAX(0,BH13-BH34)</f>
        <v/>
      </c>
      <c r="BI36" s="42">
        <f>MAX(0,BI13-BI34)</f>
        <v/>
      </c>
      <c r="BJ36" s="42">
        <f>MAX(0,BJ13-BJ34)</f>
        <v/>
      </c>
      <c r="BK36" s="42">
        <f>MAX(0,BK13-BK34)</f>
        <v/>
      </c>
      <c r="BL36" s="42">
        <f>MAX(0,BL13-BL34)</f>
        <v/>
      </c>
      <c r="BM36" s="42">
        <f>MAX(0,BM13-BM34)</f>
        <v/>
      </c>
      <c r="BN36" s="42">
        <f>MAX(0,BN13-BN34)</f>
        <v/>
      </c>
      <c r="BO36" s="42">
        <f>MAX(0,BO13-BO34)</f>
        <v/>
      </c>
    </row>
    <row r="37" hidden="1" outlineLevel="1">
      <c r="A37" s="2" t="inlineStr">
        <is>
          <t>Новые 01.01.27+ школы 13+ мес.</t>
        </is>
      </c>
      <c r="B37" s="42">
        <f>MAX(0,B14+B15-B35)</f>
        <v/>
      </c>
      <c r="C37" s="42">
        <f>MAX(0,C14+C15-C35)</f>
        <v/>
      </c>
      <c r="D37" s="42">
        <f>MAX(0,D14+D15-D35)</f>
        <v/>
      </c>
      <c r="E37" s="42">
        <f>MAX(0,E14+E15-E35)</f>
        <v/>
      </c>
      <c r="F37" s="42">
        <f>MAX(0,F14+F15-F35)</f>
        <v/>
      </c>
      <c r="G37" s="42">
        <f>MAX(0,G14+G15-G35)</f>
        <v/>
      </c>
      <c r="H37" s="42">
        <f>MAX(0,H14+H15-H35)</f>
        <v/>
      </c>
      <c r="I37" s="42">
        <f>MAX(0,I14+I15-I35)</f>
        <v/>
      </c>
      <c r="J37" s="42">
        <f>MAX(0,J14+J15-J35)</f>
        <v/>
      </c>
      <c r="K37" s="42">
        <f>MAX(0,K14+K15-K35)</f>
        <v/>
      </c>
      <c r="L37" s="42">
        <f>MAX(0,L14+L15-L35)</f>
        <v/>
      </c>
      <c r="M37" s="42">
        <f>MAX(0,M14+M15-M35)</f>
        <v/>
      </c>
      <c r="N37" s="42">
        <f>MAX(0,N14+N15-N35)</f>
        <v/>
      </c>
      <c r="O37" s="42">
        <f>MAX(0,O14+O15-O35)</f>
        <v/>
      </c>
      <c r="P37" s="42">
        <f>MAX(0,P14+P15-P35)</f>
        <v/>
      </c>
      <c r="Q37" s="42">
        <f>MAX(0,Q14+Q15-Q35)</f>
        <v/>
      </c>
      <c r="R37" s="42">
        <f>MAX(0,R14+R15-R35)</f>
        <v/>
      </c>
      <c r="S37" s="42">
        <f>MAX(0,S14+S15-S35)</f>
        <v/>
      </c>
      <c r="T37" s="42">
        <f>MAX(0,T14+T15-T35)</f>
        <v/>
      </c>
      <c r="U37" s="42">
        <f>MAX(0,U14+U15-U35)</f>
        <v/>
      </c>
      <c r="V37" s="42">
        <f>MAX(0,V14+V15-V35)</f>
        <v/>
      </c>
      <c r="W37" s="42">
        <f>MAX(0,W14+W15-W35)</f>
        <v/>
      </c>
      <c r="X37" s="42">
        <f>MAX(0,X14+X15-X35)</f>
        <v/>
      </c>
      <c r="Y37" s="42">
        <f>MAX(0,Y14+Y15-Y35)</f>
        <v/>
      </c>
      <c r="Z37" s="42">
        <f>MAX(0,Z14+Z15-Z35)</f>
        <v/>
      </c>
      <c r="AA37" s="42">
        <f>MAX(0,AA14+AA15-AA35)</f>
        <v/>
      </c>
      <c r="AB37" s="42">
        <f>MAX(0,AB14+AB15-AB35)</f>
        <v/>
      </c>
      <c r="AC37" s="42">
        <f>MAX(0,AC14+AC15-AC35)</f>
        <v/>
      </c>
      <c r="AD37" s="42">
        <f>MAX(0,AD14+AD15-AD35)</f>
        <v/>
      </c>
      <c r="AE37" s="42">
        <f>MAX(0,AE14+AE15-AE35)</f>
        <v/>
      </c>
      <c r="AF37" s="42">
        <f>MAX(0,AF14+AF15-AF35)</f>
        <v/>
      </c>
      <c r="AG37" s="42">
        <f>MAX(0,AG14+AG15-AG35)</f>
        <v/>
      </c>
      <c r="AH37" s="42">
        <f>MAX(0,AH14+AH15-AH35)</f>
        <v/>
      </c>
      <c r="AI37" s="42">
        <f>MAX(0,AI14+AI15-AI35)</f>
        <v/>
      </c>
      <c r="AJ37" s="42">
        <f>MAX(0,AJ14+AJ15-AJ35)</f>
        <v/>
      </c>
      <c r="AK37" s="42">
        <f>MAX(0,AK14+AK15-AK35)</f>
        <v/>
      </c>
      <c r="AL37" s="42">
        <f>MAX(0,AL14+AL15-AL35)</f>
        <v/>
      </c>
      <c r="AM37" s="42">
        <f>MAX(0,AM14+AM15-AM35)</f>
        <v/>
      </c>
      <c r="AN37" s="42">
        <f>MAX(0,AN14+AN15-AN35)</f>
        <v/>
      </c>
      <c r="AO37" s="42">
        <f>MAX(0,AO14+AO15-AO35)</f>
        <v/>
      </c>
      <c r="AP37" s="42">
        <f>MAX(0,AP14+AP15-AP35)</f>
        <v/>
      </c>
      <c r="AQ37" s="42">
        <f>MAX(0,AQ14+AQ15-AQ35)</f>
        <v/>
      </c>
      <c r="AR37" s="42">
        <f>MAX(0,AR14+AR15-AR35)</f>
        <v/>
      </c>
      <c r="AS37" s="42">
        <f>MAX(0,AS14+AS15-AS35)</f>
        <v/>
      </c>
      <c r="AT37" s="42">
        <f>MAX(0,AT14+AT15-AT35)</f>
        <v/>
      </c>
      <c r="AU37" s="42">
        <f>MAX(0,AU14+AU15-AU35)</f>
        <v/>
      </c>
      <c r="AV37" s="42">
        <f>MAX(0,AV14+AV15-AV35)</f>
        <v/>
      </c>
      <c r="AW37" s="42">
        <f>MAX(0,AW14+AW15-AW35)</f>
        <v/>
      </c>
      <c r="AX37" s="42">
        <f>MAX(0,AX14+AX15-AX35)</f>
        <v/>
      </c>
      <c r="AY37" s="42">
        <f>MAX(0,AY14+AY15-AY35)</f>
        <v/>
      </c>
      <c r="AZ37" s="42">
        <f>MAX(0,AZ14+AZ15-AZ35)</f>
        <v/>
      </c>
      <c r="BA37" s="42">
        <f>MAX(0,BA14+BA15-BA35)</f>
        <v/>
      </c>
      <c r="BB37" s="42">
        <f>MAX(0,BB14+BB15-BB35)</f>
        <v/>
      </c>
      <c r="BC37" s="42">
        <f>MAX(0,BC14+BC15-BC35)</f>
        <v/>
      </c>
      <c r="BD37" s="42">
        <f>MAX(0,BD14+BD15-BD35)</f>
        <v/>
      </c>
      <c r="BE37" s="42">
        <f>MAX(0,BE14+BE15-BE35)</f>
        <v/>
      </c>
      <c r="BF37" s="42">
        <f>MAX(0,BF14+BF15-BF35)</f>
        <v/>
      </c>
      <c r="BG37" s="42">
        <f>MAX(0,BG14+BG15-BG35)</f>
        <v/>
      </c>
      <c r="BH37" s="42">
        <f>MAX(0,BH14+BH15-BH35)</f>
        <v/>
      </c>
      <c r="BI37" s="42">
        <f>MAX(0,BI14+BI15-BI35)</f>
        <v/>
      </c>
      <c r="BJ37" s="42">
        <f>MAX(0,BJ14+BJ15-BJ35)</f>
        <v/>
      </c>
      <c r="BK37" s="42">
        <f>MAX(0,BK14+BK15-BK35)</f>
        <v/>
      </c>
      <c r="BL37" s="42">
        <f>MAX(0,BL14+BL15-BL35)</f>
        <v/>
      </c>
      <c r="BM37" s="42">
        <f>MAX(0,BM14+BM15-BM35)</f>
        <v/>
      </c>
      <c r="BN37" s="42">
        <f>MAX(0,BN14+BN15-BN35)</f>
        <v/>
      </c>
      <c r="BO37" s="42">
        <f>MAX(0,BO14+BO15-BO35)</f>
        <v/>
      </c>
    </row>
    <row r="38" hidden="1" outlineLevel="1">
      <c r="A38" s="2" t="n"/>
      <c r="B38" s="95" t="n"/>
      <c r="C38" s="95" t="n"/>
      <c r="D38" s="95" t="n"/>
      <c r="E38" s="95" t="n"/>
      <c r="F38" s="95" t="n"/>
      <c r="G38" s="95" t="n"/>
      <c r="H38" s="95" t="n"/>
      <c r="I38" s="95" t="n"/>
      <c r="J38" s="95" t="n"/>
      <c r="K38" s="95" t="n"/>
      <c r="L38" s="95" t="n"/>
      <c r="M38" s="95" t="n"/>
      <c r="N38" s="95" t="n"/>
      <c r="O38" s="95" t="n"/>
      <c r="P38" s="95" t="n"/>
      <c r="Q38" s="95" t="n"/>
      <c r="R38" s="95" t="n"/>
      <c r="S38" s="95" t="n"/>
      <c r="T38" s="95" t="n"/>
      <c r="U38" s="95" t="n"/>
      <c r="V38" s="95" t="n"/>
      <c r="W38" s="95" t="n"/>
      <c r="X38" s="95" t="n"/>
      <c r="Y38" s="95" t="n"/>
      <c r="Z38" s="95" t="n"/>
      <c r="AA38" s="95" t="n"/>
      <c r="AB38" s="95" t="n"/>
      <c r="AC38" s="95" t="n"/>
      <c r="AD38" s="95" t="n"/>
      <c r="AE38" s="95" t="n"/>
      <c r="AF38" s="95" t="n"/>
      <c r="AG38" s="95" t="n"/>
      <c r="AH38" s="95" t="n"/>
      <c r="AI38" s="95" t="n"/>
      <c r="AJ38" s="95" t="n"/>
      <c r="AK38" s="95" t="n"/>
      <c r="AL38" s="95" t="n"/>
      <c r="AM38" s="95" t="n"/>
      <c r="AN38" s="95" t="n"/>
      <c r="AO38" s="95" t="n"/>
      <c r="AP38" s="95" t="n"/>
      <c r="AQ38" s="95" t="n"/>
      <c r="AR38" s="95" t="n"/>
      <c r="AS38" s="95" t="n"/>
      <c r="AT38" s="95" t="n"/>
      <c r="AU38" s="95" t="n"/>
      <c r="AV38" s="95" t="n"/>
      <c r="AW38" s="95" t="n"/>
      <c r="AX38" s="95" t="n"/>
      <c r="AY38" s="95" t="n"/>
      <c r="AZ38" s="95" t="n"/>
      <c r="BA38" s="95" t="n"/>
      <c r="BB38" s="95" t="n"/>
      <c r="BC38" s="95" t="n"/>
      <c r="BD38" s="95" t="n"/>
      <c r="BE38" s="95" t="n"/>
      <c r="BF38" s="95" t="n"/>
      <c r="BG38" s="95" t="n"/>
      <c r="BH38" s="95" t="n"/>
      <c r="BI38" s="95" t="n"/>
      <c r="BJ38" s="95" t="n"/>
      <c r="BK38" s="95" t="n"/>
      <c r="BL38" s="95" t="n"/>
      <c r="BM38" s="95" t="n"/>
      <c r="BN38" s="95" t="n"/>
      <c r="BO38" s="95" t="n"/>
    </row>
    <row r="39" hidden="1" outlineLevel="1">
      <c r="A39" s="2" t="n"/>
      <c r="B39" s="95" t="n"/>
      <c r="C39" s="95" t="n"/>
      <c r="D39" s="95" t="n"/>
      <c r="E39" s="95" t="n"/>
      <c r="F39" s="95" t="n"/>
      <c r="G39" s="95" t="n"/>
      <c r="H39" s="95" t="n"/>
      <c r="I39" s="95" t="n"/>
      <c r="J39" s="95" t="n"/>
      <c r="K39" s="95" t="n"/>
      <c r="L39" s="95" t="n"/>
      <c r="M39" s="95" t="n"/>
      <c r="N39" s="95" t="n"/>
      <c r="O39" s="95" t="n"/>
      <c r="P39" s="95" t="n"/>
      <c r="Q39" s="95" t="n"/>
      <c r="R39" s="95" t="n"/>
      <c r="S39" s="95" t="n"/>
      <c r="T39" s="95" t="n"/>
      <c r="U39" s="95" t="n"/>
      <c r="V39" s="95" t="n"/>
      <c r="W39" s="95" t="n"/>
      <c r="X39" s="95" t="n"/>
      <c r="Y39" s="95" t="n"/>
      <c r="Z39" s="95" t="n"/>
      <c r="AA39" s="95" t="n"/>
      <c r="AB39" s="95" t="n"/>
      <c r="AC39" s="95" t="n"/>
      <c r="AD39" s="95" t="n"/>
      <c r="AE39" s="95" t="n"/>
      <c r="AF39" s="95" t="n"/>
      <c r="AG39" s="95" t="n"/>
      <c r="AH39" s="95" t="n"/>
      <c r="AI39" s="95" t="n"/>
      <c r="AJ39" s="95" t="n"/>
      <c r="AK39" s="95" t="n"/>
      <c r="AL39" s="95" t="n"/>
      <c r="AM39" s="95" t="n"/>
      <c r="AN39" s="95" t="n"/>
      <c r="AO39" s="95" t="n"/>
      <c r="AP39" s="95" t="n"/>
      <c r="AQ39" s="95" t="n"/>
      <c r="AR39" s="95" t="n"/>
      <c r="AS39" s="95" t="n"/>
      <c r="AT39" s="95" t="n"/>
      <c r="AU39" s="95" t="n"/>
      <c r="AV39" s="95" t="n"/>
      <c r="AW39" s="95" t="n"/>
      <c r="AX39" s="95" t="n"/>
      <c r="AY39" s="95" t="n"/>
      <c r="AZ39" s="95" t="n"/>
      <c r="BA39" s="95" t="n"/>
      <c r="BB39" s="95" t="n"/>
      <c r="BC39" s="95" t="n"/>
      <c r="BD39" s="95" t="n"/>
      <c r="BE39" s="95" t="n"/>
      <c r="BF39" s="95" t="n"/>
      <c r="BG39" s="95" t="n"/>
      <c r="BH39" s="95" t="n"/>
      <c r="BI39" s="95" t="n"/>
      <c r="BJ39" s="95" t="n"/>
      <c r="BK39" s="95" t="n"/>
      <c r="BL39" s="95" t="n"/>
      <c r="BM39" s="95" t="n"/>
      <c r="BN39" s="95" t="n"/>
      <c r="BO39" s="95" t="n"/>
    </row>
    <row r="40" hidden="1" outlineLevel="1">
      <c r="A40" s="2" t="n"/>
      <c r="B40" s="95" t="n"/>
      <c r="C40" s="95" t="n"/>
      <c r="D40" s="95" t="n"/>
      <c r="E40" s="95" t="n"/>
      <c r="F40" s="95" t="n"/>
      <c r="G40" s="95" t="n"/>
      <c r="H40" s="95" t="n"/>
      <c r="I40" s="95" t="n"/>
      <c r="J40" s="95" t="n"/>
      <c r="K40" s="95" t="n"/>
      <c r="L40" s="95" t="n"/>
      <c r="M40" s="95" t="n"/>
      <c r="N40" s="95" t="n"/>
      <c r="O40" s="95" t="n"/>
      <c r="P40" s="95" t="n"/>
      <c r="Q40" s="95" t="n"/>
      <c r="R40" s="95" t="n"/>
      <c r="S40" s="95" t="n"/>
      <c r="T40" s="95" t="n"/>
      <c r="U40" s="95" t="n"/>
      <c r="V40" s="95" t="n"/>
      <c r="W40" s="95" t="n"/>
      <c r="X40" s="95" t="n"/>
      <c r="Y40" s="95" t="n"/>
      <c r="Z40" s="95" t="n"/>
      <c r="AA40" s="95" t="n"/>
      <c r="AB40" s="95" t="n"/>
      <c r="AC40" s="95" t="n"/>
      <c r="AD40" s="95" t="n"/>
      <c r="AE40" s="95" t="n"/>
      <c r="AF40" s="95" t="n"/>
      <c r="AG40" s="95" t="n"/>
      <c r="AH40" s="95" t="n"/>
      <c r="AI40" s="95" t="n"/>
      <c r="AJ40" s="95" t="n"/>
      <c r="AK40" s="95" t="n"/>
      <c r="AL40" s="95" t="n"/>
      <c r="AM40" s="95" t="n"/>
      <c r="AN40" s="95" t="n"/>
      <c r="AO40" s="95" t="n"/>
      <c r="AP40" s="95" t="n"/>
      <c r="AQ40" s="95" t="n"/>
      <c r="AR40" s="95" t="n"/>
      <c r="AS40" s="95" t="n"/>
      <c r="AT40" s="95" t="n"/>
      <c r="AU40" s="95" t="n"/>
      <c r="AV40" s="95" t="n"/>
      <c r="AW40" s="95" t="n"/>
      <c r="AX40" s="95" t="n"/>
      <c r="AY40" s="95" t="n"/>
      <c r="AZ40" s="95" t="n"/>
      <c r="BA40" s="95" t="n"/>
      <c r="BB40" s="95" t="n"/>
      <c r="BC40" s="95" t="n"/>
      <c r="BD40" s="95" t="n"/>
      <c r="BE40" s="95" t="n"/>
      <c r="BF40" s="95" t="n"/>
      <c r="BG40" s="95" t="n"/>
      <c r="BH40" s="95" t="n"/>
      <c r="BI40" s="95" t="n"/>
      <c r="BJ40" s="95" t="n"/>
      <c r="BK40" s="95" t="n"/>
      <c r="BL40" s="95" t="n"/>
      <c r="BM40" s="95" t="n"/>
      <c r="BN40" s="95" t="n"/>
      <c r="BO40" s="95" t="n"/>
    </row>
    <row r="41" hidden="1" outlineLevel="1">
      <c r="A41" s="2" t="n"/>
      <c r="B41" s="95" t="n"/>
      <c r="C41" s="95" t="n"/>
      <c r="D41" s="95" t="n"/>
      <c r="E41" s="95" t="n"/>
      <c r="F41" s="95" t="n"/>
      <c r="G41" s="95" t="n"/>
      <c r="H41" s="95" t="n"/>
      <c r="I41" s="95" t="n"/>
      <c r="J41" s="95" t="n"/>
      <c r="K41" s="95" t="n"/>
      <c r="L41" s="95" t="n"/>
      <c r="M41" s="95" t="n"/>
      <c r="N41" s="95" t="n"/>
      <c r="O41" s="95" t="n"/>
      <c r="P41" s="95" t="n"/>
      <c r="Q41" s="95" t="n"/>
      <c r="R41" s="95" t="n"/>
      <c r="S41" s="95" t="n"/>
      <c r="T41" s="95" t="n"/>
      <c r="U41" s="95" t="n"/>
      <c r="V41" s="95" t="n"/>
      <c r="W41" s="95" t="n"/>
      <c r="X41" s="95" t="n"/>
      <c r="Y41" s="95" t="n"/>
      <c r="Z41" s="95" t="n"/>
      <c r="AA41" s="95" t="n"/>
      <c r="AB41" s="95" t="n"/>
      <c r="AC41" s="95" t="n"/>
      <c r="AD41" s="95" t="n"/>
      <c r="AE41" s="95" t="n"/>
      <c r="AF41" s="95" t="n"/>
      <c r="AG41" s="95" t="n"/>
      <c r="AH41" s="95" t="n"/>
      <c r="AI41" s="95" t="n"/>
      <c r="AJ41" s="95" t="n"/>
      <c r="AK41" s="95" t="n"/>
      <c r="AL41" s="95" t="n"/>
      <c r="AM41" s="95" t="n"/>
      <c r="AN41" s="95" t="n"/>
      <c r="AO41" s="95" t="n"/>
      <c r="AP41" s="95" t="n"/>
      <c r="AQ41" s="95" t="n"/>
      <c r="AR41" s="95" t="n"/>
      <c r="AS41" s="95" t="n"/>
      <c r="AT41" s="95" t="n"/>
      <c r="AU41" s="95" t="n"/>
      <c r="AV41" s="95" t="n"/>
      <c r="AW41" s="95" t="n"/>
      <c r="AX41" s="95" t="n"/>
      <c r="AY41" s="95" t="n"/>
      <c r="AZ41" s="95" t="n"/>
      <c r="BA41" s="95" t="n"/>
      <c r="BB41" s="95" t="n"/>
      <c r="BC41" s="95" t="n"/>
      <c r="BD41" s="95" t="n"/>
      <c r="BE41" s="95" t="n"/>
      <c r="BF41" s="95" t="n"/>
      <c r="BG41" s="95" t="n"/>
      <c r="BH41" s="95" t="n"/>
      <c r="BI41" s="95" t="n"/>
      <c r="BJ41" s="95" t="n"/>
      <c r="BK41" s="95" t="n"/>
      <c r="BL41" s="95" t="n"/>
      <c r="BM41" s="95" t="n"/>
      <c r="BN41" s="95" t="n"/>
      <c r="BO41" s="95" t="n"/>
    </row>
    <row r="42" hidden="1" outlineLevel="1"/>
    <row r="43" hidden="1" outlineLevel="1">
      <c r="A43" t="inlineStr">
        <is>
          <t>Подключения новых школ к ERP</t>
        </is>
      </c>
      <c r="B43" s="126">
        <f>IF(1&lt;='01_Вводные'!$B$235,0,INDEX($B$8:$BO$8,1,1-'01_Вводные'!$B$235)*'01_Вводные'!$B$14^'01_Вводные'!$B$235)</f>
        <v/>
      </c>
      <c r="C43" s="126">
        <f>IF(2&lt;='01_Вводные'!$B$235,0,INDEX($B$8:$BO$8,1,2-'01_Вводные'!$B$235)*'01_Вводные'!$B$14^'01_Вводные'!$B$235)</f>
        <v/>
      </c>
      <c r="D43" s="126">
        <f>IF(3&lt;='01_Вводные'!$B$235,0,INDEX($B$8:$BO$8,1,3-'01_Вводные'!$B$235)*'01_Вводные'!$B$14^'01_Вводные'!$B$235)</f>
        <v/>
      </c>
      <c r="E43" s="126">
        <f>IF(4&lt;='01_Вводные'!$B$235,0,INDEX($B$8:$BO$8,1,4-'01_Вводные'!$B$235)*'01_Вводные'!$B$14^'01_Вводные'!$B$235)</f>
        <v/>
      </c>
      <c r="F43" s="126">
        <f>IF(5&lt;='01_Вводные'!$B$235,0,INDEX($B$8:$BO$8,1,5-'01_Вводные'!$B$235)*'01_Вводные'!$B$14^'01_Вводные'!$B$235)</f>
        <v/>
      </c>
      <c r="G43" s="126">
        <f>IF(6&lt;='01_Вводные'!$B$235,0,INDEX($B$8:$BO$8,1,6-'01_Вводные'!$B$235)*'01_Вводные'!$B$14^'01_Вводные'!$B$235)</f>
        <v/>
      </c>
      <c r="H43" s="126">
        <f>IF(7&lt;='01_Вводные'!$B$235,0,INDEX($B$8:$BO$8,1,7-'01_Вводные'!$B$235)*'01_Вводные'!$B$14^'01_Вводные'!$B$235)</f>
        <v/>
      </c>
      <c r="I43" s="126">
        <f>IF(8&lt;='01_Вводные'!$B$235,0,INDEX($B$8:$BO$8,1,8-'01_Вводные'!$B$235)*'01_Вводные'!$B$14^'01_Вводные'!$B$235)</f>
        <v/>
      </c>
      <c r="J43" s="126">
        <f>IF(9&lt;='01_Вводные'!$B$235,0,INDEX($B$8:$BO$8,1,9-'01_Вводные'!$B$235)*'01_Вводные'!$B$14^'01_Вводные'!$B$235)</f>
        <v/>
      </c>
      <c r="K43" s="126">
        <f>IF(10&lt;='01_Вводные'!$B$235,0,INDEX($B$8:$BO$8,1,10-'01_Вводные'!$B$235)*'01_Вводные'!$B$14^'01_Вводные'!$B$235)</f>
        <v/>
      </c>
      <c r="L43" s="126">
        <f>IF(11&lt;='01_Вводные'!$B$235,0,INDEX($B$8:$BO$8,1,11-'01_Вводные'!$B$235)*'01_Вводные'!$B$14^'01_Вводные'!$B$235)</f>
        <v/>
      </c>
      <c r="M43" s="126">
        <f>IF(12&lt;='01_Вводные'!$B$235,0,INDEX($B$8:$BO$8,1,12-'01_Вводные'!$B$235)*'01_Вводные'!$B$14^'01_Вводные'!$B$235)</f>
        <v/>
      </c>
      <c r="N43" s="126">
        <f>IF(13&lt;='01_Вводные'!$B$235,0,INDEX($B$8:$BO$8,1,13-'01_Вводные'!$B$235)*'01_Вводные'!$B$14^'01_Вводные'!$B$235)</f>
        <v/>
      </c>
      <c r="O43" s="126">
        <f>IF(14&lt;='01_Вводные'!$B$235,0,INDEX($B$8:$BO$8,1,14-'01_Вводные'!$B$235)*'01_Вводные'!$B$14^'01_Вводные'!$B$235)</f>
        <v/>
      </c>
      <c r="P43" s="126">
        <f>IF(15&lt;='01_Вводные'!$B$235,0,INDEX($B$8:$BO$8,1,15-'01_Вводные'!$B$235)*'01_Вводные'!$B$14^'01_Вводные'!$B$235)</f>
        <v/>
      </c>
      <c r="Q43" s="126">
        <f>IF(16&lt;='01_Вводные'!$B$235,0,INDEX($B$8:$BO$8,1,16-'01_Вводные'!$B$235)*'01_Вводные'!$B$14^'01_Вводные'!$B$235)</f>
        <v/>
      </c>
      <c r="R43" s="126">
        <f>IF(17&lt;='01_Вводные'!$B$235,0,INDEX($B$8:$BO$8,1,17-'01_Вводные'!$B$235)*'01_Вводные'!$B$14^'01_Вводные'!$B$235)</f>
        <v/>
      </c>
      <c r="S43" s="126">
        <f>IF(18&lt;='01_Вводные'!$B$235,0,INDEX($B$8:$BO$8,1,18-'01_Вводные'!$B$235)*'01_Вводные'!$B$14^'01_Вводные'!$B$235)</f>
        <v/>
      </c>
      <c r="T43" s="126">
        <f>IF(19&lt;='01_Вводные'!$B$235,0,INDEX($B$8:$BO$8,1,19-'01_Вводные'!$B$235)*'01_Вводные'!$B$14^'01_Вводные'!$B$235)</f>
        <v/>
      </c>
      <c r="U43" s="126">
        <f>IF(20&lt;='01_Вводные'!$B$235,0,INDEX($B$8:$BO$8,1,20-'01_Вводные'!$B$235)*'01_Вводные'!$B$14^'01_Вводные'!$B$235)</f>
        <v/>
      </c>
      <c r="V43" s="126">
        <f>IF(21&lt;='01_Вводные'!$B$235,0,INDEX($B$8:$BO$8,1,21-'01_Вводные'!$B$235)*'01_Вводные'!$B$14^'01_Вводные'!$B$235)</f>
        <v/>
      </c>
      <c r="W43" s="126">
        <f>IF(22&lt;='01_Вводные'!$B$235,0,INDEX($B$8:$BO$8,1,22-'01_Вводные'!$B$235)*'01_Вводные'!$B$14^'01_Вводные'!$B$235)</f>
        <v/>
      </c>
      <c r="X43" s="126">
        <f>IF(23&lt;='01_Вводные'!$B$235,0,INDEX($B$8:$BO$8,1,23-'01_Вводные'!$B$235)*'01_Вводные'!$B$14^'01_Вводные'!$B$235)</f>
        <v/>
      </c>
      <c r="Y43" s="126">
        <f>IF(24&lt;='01_Вводные'!$B$235,0,INDEX($B$8:$BO$8,1,24-'01_Вводные'!$B$235)*'01_Вводные'!$B$14^'01_Вводные'!$B$235)</f>
        <v/>
      </c>
      <c r="Z43" s="126">
        <f>IF(25&lt;='01_Вводные'!$B$235,0,INDEX($B$8:$BO$8,1,25-'01_Вводные'!$B$235)*'01_Вводные'!$B$14^'01_Вводные'!$B$235)</f>
        <v/>
      </c>
      <c r="AA43" s="126">
        <f>IF(26&lt;='01_Вводные'!$B$235,0,INDEX($B$8:$BO$8,1,26-'01_Вводные'!$B$235)*'01_Вводные'!$B$14^'01_Вводные'!$B$235)</f>
        <v/>
      </c>
      <c r="AB43" s="126">
        <f>IF(27&lt;='01_Вводные'!$B$235,0,INDEX($B$8:$BO$8,1,27-'01_Вводные'!$B$235)*'01_Вводные'!$B$14^'01_Вводные'!$B$235)</f>
        <v/>
      </c>
      <c r="AC43" s="126">
        <f>IF(28&lt;='01_Вводные'!$B$235,0,INDEX($B$8:$BO$8,1,28-'01_Вводные'!$B$235)*'01_Вводные'!$B$14^'01_Вводные'!$B$235)</f>
        <v/>
      </c>
      <c r="AD43" s="126">
        <f>IF(29&lt;='01_Вводные'!$B$235,0,INDEX($B$8:$BO$8,1,29-'01_Вводные'!$B$235)*'01_Вводные'!$B$14^'01_Вводные'!$B$235)</f>
        <v/>
      </c>
      <c r="AE43" s="126">
        <f>IF(30&lt;='01_Вводные'!$B$235,0,INDEX($B$8:$BO$8,1,30-'01_Вводные'!$B$235)*'01_Вводные'!$B$14^'01_Вводные'!$B$235)</f>
        <v/>
      </c>
      <c r="AF43" s="126">
        <f>IF(31&lt;='01_Вводные'!$B$235,0,INDEX($B$8:$BO$8,1,31-'01_Вводные'!$B$235)*'01_Вводные'!$B$14^'01_Вводные'!$B$235)</f>
        <v/>
      </c>
      <c r="AG43" s="126">
        <f>IF(32&lt;='01_Вводные'!$B$235,0,INDEX($B$8:$BO$8,1,32-'01_Вводные'!$B$235)*'01_Вводные'!$B$14^'01_Вводные'!$B$235)</f>
        <v/>
      </c>
      <c r="AH43" s="126">
        <f>IF(33&lt;='01_Вводные'!$B$235,0,INDEX($B$8:$BO$8,1,33-'01_Вводные'!$B$235)*'01_Вводные'!$B$14^'01_Вводные'!$B$235)</f>
        <v/>
      </c>
      <c r="AI43" s="126">
        <f>IF(34&lt;='01_Вводные'!$B$235,0,INDEX($B$8:$BO$8,1,34-'01_Вводные'!$B$235)*'01_Вводные'!$B$14^'01_Вводные'!$B$235)</f>
        <v/>
      </c>
      <c r="AJ43" s="126">
        <f>IF(35&lt;='01_Вводные'!$B$235,0,INDEX($B$8:$BO$8,1,35-'01_Вводные'!$B$235)*'01_Вводные'!$B$14^'01_Вводные'!$B$235)</f>
        <v/>
      </c>
      <c r="AK43" s="126">
        <f>IF(36&lt;='01_Вводные'!$B$235,0,INDEX($B$8:$BO$8,1,36-'01_Вводные'!$B$235)*'01_Вводные'!$B$14^'01_Вводные'!$B$235)</f>
        <v/>
      </c>
      <c r="AL43" s="126">
        <f>IF(37&lt;='01_Вводные'!$B$235,0,INDEX($B$8:$BO$8,1,37-'01_Вводные'!$B$235)*'01_Вводные'!$B$14^'01_Вводные'!$B$235)</f>
        <v/>
      </c>
      <c r="AM43" s="126">
        <f>IF(38&lt;='01_Вводные'!$B$235,0,INDEX($B$8:$BO$8,1,38-'01_Вводные'!$B$235)*'01_Вводные'!$B$14^'01_Вводные'!$B$235)</f>
        <v/>
      </c>
      <c r="AN43" s="126">
        <f>IF(39&lt;='01_Вводные'!$B$235,0,INDEX($B$8:$BO$8,1,39-'01_Вводные'!$B$235)*'01_Вводные'!$B$14^'01_Вводные'!$B$235)</f>
        <v/>
      </c>
      <c r="AO43" s="126">
        <f>IF(40&lt;='01_Вводные'!$B$235,0,INDEX($B$8:$BO$8,1,40-'01_Вводные'!$B$235)*'01_Вводные'!$B$14^'01_Вводные'!$B$235)</f>
        <v/>
      </c>
      <c r="AP43" s="126">
        <f>IF(41&lt;='01_Вводные'!$B$235,0,INDEX($B$8:$BO$8,1,41-'01_Вводные'!$B$235)*'01_Вводные'!$B$14^'01_Вводные'!$B$235)</f>
        <v/>
      </c>
      <c r="AQ43" s="126">
        <f>IF(42&lt;='01_Вводные'!$B$235,0,INDEX($B$8:$BO$8,1,42-'01_Вводные'!$B$235)*'01_Вводные'!$B$14^'01_Вводные'!$B$235)</f>
        <v/>
      </c>
      <c r="AR43" s="126">
        <f>IF(43&lt;='01_Вводные'!$B$235,0,INDEX($B$8:$BO$8,1,43-'01_Вводные'!$B$235)*'01_Вводные'!$B$14^'01_Вводные'!$B$235)</f>
        <v/>
      </c>
      <c r="AS43" s="126">
        <f>IF(44&lt;='01_Вводные'!$B$235,0,INDEX($B$8:$BO$8,1,44-'01_Вводные'!$B$235)*'01_Вводные'!$B$14^'01_Вводные'!$B$235)</f>
        <v/>
      </c>
      <c r="AT43" s="126">
        <f>IF(45&lt;='01_Вводные'!$B$235,0,INDEX($B$8:$BO$8,1,45-'01_Вводные'!$B$235)*'01_Вводные'!$B$14^'01_Вводные'!$B$235)</f>
        <v/>
      </c>
      <c r="AU43" s="126">
        <f>IF(46&lt;='01_Вводные'!$B$235,0,INDEX($B$8:$BO$8,1,46-'01_Вводные'!$B$235)*'01_Вводные'!$B$14^'01_Вводные'!$B$235)</f>
        <v/>
      </c>
      <c r="AV43" s="126">
        <f>IF(47&lt;='01_Вводные'!$B$235,0,INDEX($B$8:$BO$8,1,47-'01_Вводные'!$B$235)*'01_Вводные'!$B$14^'01_Вводные'!$B$235)</f>
        <v/>
      </c>
      <c r="AW43" s="126">
        <f>IF(48&lt;='01_Вводные'!$B$235,0,INDEX($B$8:$BO$8,1,48-'01_Вводные'!$B$235)*'01_Вводные'!$B$14^'01_Вводные'!$B$235)</f>
        <v/>
      </c>
      <c r="AX43" s="126">
        <f>IF(49&lt;='01_Вводные'!$B$235,0,INDEX($B$8:$BO$8,1,49-'01_Вводные'!$B$235)*'01_Вводные'!$B$14^'01_Вводные'!$B$235)</f>
        <v/>
      </c>
      <c r="AY43" s="126">
        <f>IF(50&lt;='01_Вводные'!$B$235,0,INDEX($B$8:$BO$8,1,50-'01_Вводные'!$B$235)*'01_Вводные'!$B$14^'01_Вводные'!$B$235)</f>
        <v/>
      </c>
      <c r="AZ43" s="126">
        <f>IF(51&lt;='01_Вводные'!$B$235,0,INDEX($B$8:$BO$8,1,51-'01_Вводные'!$B$235)*'01_Вводные'!$B$14^'01_Вводные'!$B$235)</f>
        <v/>
      </c>
      <c r="BA43" s="126">
        <f>IF(52&lt;='01_Вводные'!$B$235,0,INDEX($B$8:$BO$8,1,52-'01_Вводные'!$B$235)*'01_Вводные'!$B$14^'01_Вводные'!$B$235)</f>
        <v/>
      </c>
      <c r="BB43" s="126">
        <f>IF(53&lt;='01_Вводные'!$B$235,0,INDEX($B$8:$BO$8,1,53-'01_Вводные'!$B$235)*'01_Вводные'!$B$14^'01_Вводные'!$B$235)</f>
        <v/>
      </c>
      <c r="BC43" s="126">
        <f>IF(54&lt;='01_Вводные'!$B$235,0,INDEX($B$8:$BO$8,1,54-'01_Вводные'!$B$235)*'01_Вводные'!$B$14^'01_Вводные'!$B$235)</f>
        <v/>
      </c>
      <c r="BD43" s="126">
        <f>IF(55&lt;='01_Вводные'!$B$235,0,INDEX($B$8:$BO$8,1,55-'01_Вводные'!$B$235)*'01_Вводные'!$B$14^'01_Вводные'!$B$235)</f>
        <v/>
      </c>
      <c r="BE43" s="126">
        <f>IF(56&lt;='01_Вводные'!$B$235,0,INDEX($B$8:$BO$8,1,56-'01_Вводные'!$B$235)*'01_Вводные'!$B$14^'01_Вводные'!$B$235)</f>
        <v/>
      </c>
      <c r="BF43" s="126">
        <f>IF(57&lt;='01_Вводные'!$B$235,0,INDEX($B$8:$BO$8,1,57-'01_Вводные'!$B$235)*'01_Вводные'!$B$14^'01_Вводные'!$B$235)</f>
        <v/>
      </c>
      <c r="BG43" s="126">
        <f>IF(58&lt;='01_Вводные'!$B$235,0,INDEX($B$8:$BO$8,1,58-'01_Вводные'!$B$235)*'01_Вводные'!$B$14^'01_Вводные'!$B$235)</f>
        <v/>
      </c>
      <c r="BH43" s="126">
        <f>IF(59&lt;='01_Вводные'!$B$235,0,INDEX($B$8:$BO$8,1,59-'01_Вводные'!$B$235)*'01_Вводные'!$B$14^'01_Вводные'!$B$235)</f>
        <v/>
      </c>
      <c r="BI43" s="126">
        <f>IF(60&lt;='01_Вводные'!$B$235,0,INDEX($B$8:$BO$8,1,60-'01_Вводные'!$B$235)*'01_Вводные'!$B$14^'01_Вводные'!$B$235)</f>
        <v/>
      </c>
      <c r="BJ43" s="126">
        <f>IF(61&lt;='01_Вводные'!$B$235,0,INDEX($B$8:$BO$8,1,61-'01_Вводные'!$B$235)*'01_Вводные'!$B$14^'01_Вводные'!$B$235)</f>
        <v/>
      </c>
      <c r="BK43" s="126">
        <f>IF(62&lt;='01_Вводные'!$B$235,0,INDEX($B$8:$BO$8,1,62-'01_Вводные'!$B$235)*'01_Вводные'!$B$14^'01_Вводные'!$B$235)</f>
        <v/>
      </c>
      <c r="BL43" s="126">
        <f>IF(63&lt;='01_Вводные'!$B$235,0,INDEX($B$8:$BO$8,1,63-'01_Вводные'!$B$235)*'01_Вводные'!$B$14^'01_Вводные'!$B$235)</f>
        <v/>
      </c>
      <c r="BM43" s="126">
        <f>IF(64&lt;='01_Вводные'!$B$235,0,INDEX($B$8:$BO$8,1,64-'01_Вводные'!$B$235)*'01_Вводные'!$B$14^'01_Вводные'!$B$235)</f>
        <v/>
      </c>
      <c r="BN43" s="126">
        <f>IF(65&lt;='01_Вводные'!$B$235,0,INDEX($B$8:$BO$8,1,65-'01_Вводные'!$B$235)*'01_Вводные'!$B$14^'01_Вводные'!$B$235)</f>
        <v/>
      </c>
      <c r="BO43" s="126">
        <f>IF(66&lt;='01_Вводные'!$B$235,0,INDEX($B$8:$BO$8,1,66-'01_Вводные'!$B$235)*'01_Вводные'!$B$14^'01_Вводные'!$B$235)</f>
        <v/>
      </c>
    </row>
    <row r="44" hidden="1" outlineLevel="1">
      <c r="A44" t="inlineStr">
        <is>
          <t>Активные новые школы в ERP</t>
        </is>
      </c>
      <c r="B44" s="127">
        <f>B43</f>
        <v/>
      </c>
      <c r="C44" s="126">
        <f>B44*'01_Вводные'!$B$14+C43</f>
        <v/>
      </c>
      <c r="D44" s="126">
        <f>C44*'01_Вводные'!$B$14+D43</f>
        <v/>
      </c>
      <c r="E44" s="126">
        <f>D44*'01_Вводные'!$B$14+E43</f>
        <v/>
      </c>
      <c r="F44" s="126">
        <f>E44*'01_Вводные'!$B$14+F43</f>
        <v/>
      </c>
      <c r="G44" s="126">
        <f>F44*'01_Вводные'!$B$14+G43</f>
        <v/>
      </c>
      <c r="H44" s="126">
        <f>G44*'01_Вводные'!$B$14+H43</f>
        <v/>
      </c>
      <c r="I44" s="126">
        <f>H44*'01_Вводные'!$B$14+I43</f>
        <v/>
      </c>
      <c r="J44" s="126">
        <f>I44*'01_Вводные'!$B$14+J43</f>
        <v/>
      </c>
      <c r="K44" s="126">
        <f>J44*'01_Вводные'!$B$14+K43</f>
        <v/>
      </c>
      <c r="L44" s="126">
        <f>K44*'01_Вводные'!$B$14+L43</f>
        <v/>
      </c>
      <c r="M44" s="126">
        <f>L44*'01_Вводные'!$B$14+M43</f>
        <v/>
      </c>
      <c r="N44" s="126">
        <f>M44*'01_Вводные'!$B$14+N43</f>
        <v/>
      </c>
      <c r="O44" s="126">
        <f>N44*'01_Вводные'!$B$14+O43</f>
        <v/>
      </c>
      <c r="P44" s="126">
        <f>O44*'01_Вводные'!$B$14+P43</f>
        <v/>
      </c>
      <c r="Q44" s="126">
        <f>P44*'01_Вводные'!$B$14+Q43</f>
        <v/>
      </c>
      <c r="R44" s="126">
        <f>Q44*'01_Вводные'!$B$14+R43</f>
        <v/>
      </c>
      <c r="S44" s="126">
        <f>R44*'01_Вводные'!$B$14+S43</f>
        <v/>
      </c>
      <c r="T44" s="126">
        <f>S44*'01_Вводные'!$B$14+T43</f>
        <v/>
      </c>
      <c r="U44" s="126">
        <f>T44*'01_Вводные'!$B$14+U43</f>
        <v/>
      </c>
      <c r="V44" s="126">
        <f>U44*'01_Вводные'!$B$14+V43</f>
        <v/>
      </c>
      <c r="W44" s="126">
        <f>V44*'01_Вводные'!$B$14+W43</f>
        <v/>
      </c>
      <c r="X44" s="126">
        <f>W44*'01_Вводные'!$B$14+X43</f>
        <v/>
      </c>
      <c r="Y44" s="126">
        <f>X44*'01_Вводные'!$B$14+Y43</f>
        <v/>
      </c>
      <c r="Z44" s="126">
        <f>Y44*'01_Вводные'!$B$14+Z43</f>
        <v/>
      </c>
      <c r="AA44" s="126">
        <f>Z44*'01_Вводные'!$B$14+AA43</f>
        <v/>
      </c>
      <c r="AB44" s="126">
        <f>AA44*'01_Вводные'!$B$14+AB43</f>
        <v/>
      </c>
      <c r="AC44" s="126">
        <f>AB44*'01_Вводные'!$B$14+AC43</f>
        <v/>
      </c>
      <c r="AD44" s="126">
        <f>AC44*'01_Вводные'!$B$14+AD43</f>
        <v/>
      </c>
      <c r="AE44" s="126">
        <f>AD44*'01_Вводные'!$B$14+AE43</f>
        <v/>
      </c>
      <c r="AF44" s="126">
        <f>AE44*'01_Вводные'!$B$14+AF43</f>
        <v/>
      </c>
      <c r="AG44" s="126">
        <f>AF44*'01_Вводные'!$B$14+AG43</f>
        <v/>
      </c>
      <c r="AH44" s="126">
        <f>AG44*'01_Вводные'!$B$14+AH43</f>
        <v/>
      </c>
      <c r="AI44" s="126">
        <f>AH44*'01_Вводные'!$B$14+AI43</f>
        <v/>
      </c>
      <c r="AJ44" s="126">
        <f>AI44*'01_Вводные'!$B$14+AJ43</f>
        <v/>
      </c>
      <c r="AK44" s="126">
        <f>AJ44*'01_Вводные'!$B$14+AK43</f>
        <v/>
      </c>
      <c r="AL44" s="126">
        <f>AK44*'01_Вводные'!$B$14+AL43</f>
        <v/>
      </c>
      <c r="AM44" s="126">
        <f>AL44*'01_Вводные'!$B$14+AM43</f>
        <v/>
      </c>
      <c r="AN44" s="126">
        <f>AM44*'01_Вводные'!$B$14+AN43</f>
        <v/>
      </c>
      <c r="AO44" s="126">
        <f>AN44*'01_Вводные'!$B$14+AO43</f>
        <v/>
      </c>
      <c r="AP44" s="126">
        <f>AO44*'01_Вводные'!$B$14+AP43</f>
        <v/>
      </c>
      <c r="AQ44" s="126">
        <f>AP44*'01_Вводные'!$B$14+AQ43</f>
        <v/>
      </c>
      <c r="AR44" s="126">
        <f>AQ44*'01_Вводные'!$B$14+AR43</f>
        <v/>
      </c>
      <c r="AS44" s="126">
        <f>AR44*'01_Вводные'!$B$14+AS43</f>
        <v/>
      </c>
      <c r="AT44" s="126">
        <f>AS44*'01_Вводные'!$B$14+AT43</f>
        <v/>
      </c>
      <c r="AU44" s="126">
        <f>AT44*'01_Вводные'!$B$14+AU43</f>
        <v/>
      </c>
      <c r="AV44" s="126">
        <f>AU44*'01_Вводные'!$B$14+AV43</f>
        <v/>
      </c>
      <c r="AW44" s="126">
        <f>AV44*'01_Вводные'!$B$14+AW43</f>
        <v/>
      </c>
      <c r="AX44" s="126">
        <f>AW44*'01_Вводные'!$B$14+AX43</f>
        <v/>
      </c>
      <c r="AY44" s="126">
        <f>AX44*'01_Вводные'!$B$14+AY43</f>
        <v/>
      </c>
      <c r="AZ44" s="126">
        <f>AY44*'01_Вводные'!$B$14+AZ43</f>
        <v/>
      </c>
      <c r="BA44" s="126">
        <f>AZ44*'01_Вводные'!$B$14+BA43</f>
        <v/>
      </c>
      <c r="BB44" s="126">
        <f>BA44*'01_Вводные'!$B$14+BB43</f>
        <v/>
      </c>
      <c r="BC44" s="126">
        <f>BB44*'01_Вводные'!$B$14+BC43</f>
        <v/>
      </c>
      <c r="BD44" s="126">
        <f>BC44*'01_Вводные'!$B$14+BD43</f>
        <v/>
      </c>
      <c r="BE44" s="126">
        <f>BD44*'01_Вводные'!$B$14+BE43</f>
        <v/>
      </c>
      <c r="BF44" s="126">
        <f>BE44*'01_Вводные'!$B$14+BF43</f>
        <v/>
      </c>
      <c r="BG44" s="126">
        <f>BF44*'01_Вводные'!$B$14+BG43</f>
        <v/>
      </c>
      <c r="BH44" s="126">
        <f>BG44*'01_Вводные'!$B$14+BH43</f>
        <v/>
      </c>
      <c r="BI44" s="126">
        <f>BH44*'01_Вводные'!$B$14+BI43</f>
        <v/>
      </c>
      <c r="BJ44" s="126">
        <f>BI44*'01_Вводные'!$B$14+BJ43</f>
        <v/>
      </c>
      <c r="BK44" s="126">
        <f>BJ44*'01_Вводные'!$B$14+BK43</f>
        <v/>
      </c>
      <c r="BL44" s="126">
        <f>BK44*'01_Вводные'!$B$14+BL43</f>
        <v/>
      </c>
      <c r="BM44" s="126">
        <f>BL44*'01_Вводные'!$B$14+BM43</f>
        <v/>
      </c>
      <c r="BN44" s="126">
        <f>BM44*'01_Вводные'!$B$14+BN43</f>
        <v/>
      </c>
      <c r="BO44" s="126">
        <f>BN44*'01_Вводные'!$B$14+BO43</f>
        <v/>
      </c>
    </row>
    <row r="45" hidden="1" outlineLevel="1">
      <c r="B45" s="188">
        <f>B105</f>
        <v/>
      </c>
      <c r="C45" s="188">
        <f>C105</f>
        <v/>
      </c>
      <c r="D45" s="188">
        <f>D105</f>
        <v/>
      </c>
      <c r="E45" s="188">
        <f>E105</f>
        <v/>
      </c>
      <c r="F45" s="188">
        <f>F105</f>
        <v/>
      </c>
      <c r="G45" s="188">
        <f>G105</f>
        <v/>
      </c>
      <c r="H45" s="188">
        <f>H105</f>
        <v/>
      </c>
      <c r="I45" s="188">
        <f>I105</f>
        <v/>
      </c>
      <c r="J45" s="188">
        <f>J105</f>
        <v/>
      </c>
      <c r="K45" s="188">
        <f>K105</f>
        <v/>
      </c>
      <c r="L45" s="188">
        <f>L105</f>
        <v/>
      </c>
      <c r="M45" s="188">
        <f>M105</f>
        <v/>
      </c>
      <c r="N45" s="188">
        <f>N105</f>
        <v/>
      </c>
      <c r="O45" s="188">
        <f>O105</f>
        <v/>
      </c>
      <c r="P45" s="188">
        <f>P105</f>
        <v/>
      </c>
      <c r="Q45" s="188">
        <f>Q105</f>
        <v/>
      </c>
      <c r="R45" s="188">
        <f>R105</f>
        <v/>
      </c>
      <c r="S45" s="188">
        <f>S105</f>
        <v/>
      </c>
      <c r="T45" s="188">
        <f>T105</f>
        <v/>
      </c>
      <c r="U45" s="188">
        <f>U105</f>
        <v/>
      </c>
      <c r="V45" s="188">
        <f>V105</f>
        <v/>
      </c>
      <c r="W45" s="188">
        <f>W105</f>
        <v/>
      </c>
      <c r="X45" s="188">
        <f>X105</f>
        <v/>
      </c>
      <c r="Y45" s="188">
        <f>Y105</f>
        <v/>
      </c>
      <c r="Z45" s="188">
        <f>Z105</f>
        <v/>
      </c>
      <c r="AA45" s="188">
        <f>AA105</f>
        <v/>
      </c>
      <c r="AB45" s="188">
        <f>AB105</f>
        <v/>
      </c>
      <c r="AC45" s="188">
        <f>AC105</f>
        <v/>
      </c>
      <c r="AD45" s="188">
        <f>AD105</f>
        <v/>
      </c>
      <c r="AE45" s="188">
        <f>AE105</f>
        <v/>
      </c>
      <c r="AF45" s="188">
        <f>AF105</f>
        <v/>
      </c>
      <c r="AG45" s="188">
        <f>AG105</f>
        <v/>
      </c>
      <c r="AH45" s="188">
        <f>AH105</f>
        <v/>
      </c>
      <c r="AI45" s="188">
        <f>AI105</f>
        <v/>
      </c>
      <c r="AJ45" s="188">
        <f>AJ105</f>
        <v/>
      </c>
      <c r="AK45" s="188">
        <f>AK105</f>
        <v/>
      </c>
      <c r="AL45" s="188">
        <f>AL105</f>
        <v/>
      </c>
      <c r="AM45" s="188">
        <f>AM105</f>
        <v/>
      </c>
      <c r="AN45" s="188">
        <f>AN105</f>
        <v/>
      </c>
      <c r="AO45" s="188">
        <f>AO105</f>
        <v/>
      </c>
      <c r="AP45" s="188">
        <f>AP105</f>
        <v/>
      </c>
      <c r="AQ45" s="188">
        <f>AQ105</f>
        <v/>
      </c>
      <c r="AR45" s="188">
        <f>AR105</f>
        <v/>
      </c>
      <c r="AS45" s="188">
        <f>AS105</f>
        <v/>
      </c>
      <c r="AT45" s="188">
        <f>AT105</f>
        <v/>
      </c>
      <c r="AU45" s="188">
        <f>AU105</f>
        <v/>
      </c>
      <c r="AV45" s="188">
        <f>AV105</f>
        <v/>
      </c>
      <c r="AW45" s="188">
        <f>AW105</f>
        <v/>
      </c>
      <c r="AX45" s="188">
        <f>AX105</f>
        <v/>
      </c>
      <c r="AY45" s="188">
        <f>AY105</f>
        <v/>
      </c>
      <c r="AZ45" s="188">
        <f>AZ105</f>
        <v/>
      </c>
      <c r="BA45" s="188">
        <f>BA105</f>
        <v/>
      </c>
      <c r="BB45" s="188">
        <f>BB105</f>
        <v/>
      </c>
      <c r="BC45" s="188">
        <f>BC105</f>
        <v/>
      </c>
      <c r="BD45" s="188">
        <f>BD105</f>
        <v/>
      </c>
      <c r="BE45" s="188">
        <f>BE105</f>
        <v/>
      </c>
      <c r="BF45" s="188">
        <f>BF105</f>
        <v/>
      </c>
      <c r="BG45" s="188">
        <f>BG105</f>
        <v/>
      </c>
      <c r="BH45" s="188">
        <f>BH105</f>
        <v/>
      </c>
      <c r="BI45" s="188">
        <f>BI105</f>
        <v/>
      </c>
      <c r="BJ45" s="188">
        <f>BJ105</f>
        <v/>
      </c>
      <c r="BK45" s="188">
        <f>BK105</f>
        <v/>
      </c>
      <c r="BL45" s="188">
        <f>BL105</f>
        <v/>
      </c>
      <c r="BM45" s="188">
        <f>BM105</f>
        <v/>
      </c>
      <c r="BN45" s="188">
        <f>BN105</f>
        <v/>
      </c>
      <c r="BO45" s="188">
        <f>BO105</f>
        <v/>
      </c>
    </row>
    <row r="46" hidden="1" outlineLevel="1">
      <c r="B46" s="188">
        <f>SUM(B93:B104)</f>
        <v/>
      </c>
      <c r="C46" s="188">
        <f>SUM(C93:C104)</f>
        <v/>
      </c>
      <c r="D46" s="188">
        <f>SUM(D93:D104)</f>
        <v/>
      </c>
      <c r="E46" s="188">
        <f>SUM(E93:E104)</f>
        <v/>
      </c>
      <c r="F46" s="188">
        <f>SUM(F93:F104)</f>
        <v/>
      </c>
      <c r="G46" s="188">
        <f>SUM(G93:G104)</f>
        <v/>
      </c>
      <c r="H46" s="188">
        <f>SUM(H93:H104)</f>
        <v/>
      </c>
      <c r="I46" s="188">
        <f>SUM(I93:I104)</f>
        <v/>
      </c>
      <c r="J46" s="188">
        <f>SUM(J93:J104)</f>
        <v/>
      </c>
      <c r="K46" s="188">
        <f>SUM(K93:K104)</f>
        <v/>
      </c>
      <c r="L46" s="188">
        <f>SUM(L93:L104)</f>
        <v/>
      </c>
      <c r="M46" s="188">
        <f>SUM(M93:M104)</f>
        <v/>
      </c>
      <c r="N46" s="188">
        <f>SUM(N93:N104)</f>
        <v/>
      </c>
      <c r="O46" s="188">
        <f>SUM(O93:O104)</f>
        <v/>
      </c>
      <c r="P46" s="188">
        <f>SUM(P93:P104)</f>
        <v/>
      </c>
      <c r="Q46" s="188">
        <f>SUM(Q93:Q104)</f>
        <v/>
      </c>
      <c r="R46" s="188">
        <f>SUM(R93:R104)</f>
        <v/>
      </c>
      <c r="S46" s="188">
        <f>SUM(S93:S104)</f>
        <v/>
      </c>
      <c r="T46" s="188">
        <f>SUM(T93:T104)</f>
        <v/>
      </c>
      <c r="U46" s="188">
        <f>SUM(U93:U104)</f>
        <v/>
      </c>
      <c r="V46" s="188">
        <f>SUM(V93:V104)</f>
        <v/>
      </c>
      <c r="W46" s="188">
        <f>SUM(W93:W104)</f>
        <v/>
      </c>
      <c r="X46" s="188">
        <f>SUM(X93:X104)</f>
        <v/>
      </c>
      <c r="Y46" s="188">
        <f>SUM(Y93:Y104)</f>
        <v/>
      </c>
      <c r="Z46" s="188">
        <f>SUM(Z93:Z104)</f>
        <v/>
      </c>
      <c r="AA46" s="188">
        <f>SUM(AA93:AA104)</f>
        <v/>
      </c>
      <c r="AB46" s="188">
        <f>SUM(AB93:AB104)</f>
        <v/>
      </c>
      <c r="AC46" s="188">
        <f>SUM(AC93:AC104)</f>
        <v/>
      </c>
      <c r="AD46" s="188">
        <f>SUM(AD93:AD104)</f>
        <v/>
      </c>
      <c r="AE46" s="188">
        <f>SUM(AE93:AE104)</f>
        <v/>
      </c>
      <c r="AF46" s="188">
        <f>SUM(AF93:AF104)</f>
        <v/>
      </c>
      <c r="AG46" s="188">
        <f>SUM(AG93:AG104)</f>
        <v/>
      </c>
      <c r="AH46" s="188">
        <f>SUM(AH93:AH104)</f>
        <v/>
      </c>
      <c r="AI46" s="188">
        <f>SUM(AI93:AI104)</f>
        <v/>
      </c>
      <c r="AJ46" s="188">
        <f>SUM(AJ93:AJ104)</f>
        <v/>
      </c>
      <c r="AK46" s="188">
        <f>SUM(AK93:AK104)</f>
        <v/>
      </c>
      <c r="AL46" s="188">
        <f>SUM(AL93:AL104)</f>
        <v/>
      </c>
      <c r="AM46" s="188">
        <f>SUM(AM93:AM104)</f>
        <v/>
      </c>
      <c r="AN46" s="188">
        <f>SUM(AN93:AN104)</f>
        <v/>
      </c>
      <c r="AO46" s="188">
        <f>SUM(AO93:AO104)</f>
        <v/>
      </c>
      <c r="AP46" s="188">
        <f>SUM(AP93:AP104)</f>
        <v/>
      </c>
      <c r="AQ46" s="188">
        <f>SUM(AQ93:AQ104)</f>
        <v/>
      </c>
      <c r="AR46" s="188">
        <f>SUM(AR93:AR104)</f>
        <v/>
      </c>
      <c r="AS46" s="188">
        <f>SUM(AS93:AS104)</f>
        <v/>
      </c>
      <c r="AT46" s="188">
        <f>SUM(AT93:AT104)</f>
        <v/>
      </c>
      <c r="AU46" s="188">
        <f>SUM(AU93:AU104)</f>
        <v/>
      </c>
      <c r="AV46" s="188">
        <f>SUM(AV93:AV104)</f>
        <v/>
      </c>
      <c r="AW46" s="188">
        <f>SUM(AW93:AW104)</f>
        <v/>
      </c>
      <c r="AX46" s="188">
        <f>SUM(AX93:AX104)</f>
        <v/>
      </c>
      <c r="AY46" s="188">
        <f>SUM(AY93:AY104)</f>
        <v/>
      </c>
      <c r="AZ46" s="188">
        <f>SUM(AZ93:AZ104)</f>
        <v/>
      </c>
      <c r="BA46" s="188">
        <f>SUM(BA93:BA104)</f>
        <v/>
      </c>
      <c r="BB46" s="188">
        <f>SUM(BB93:BB104)</f>
        <v/>
      </c>
      <c r="BC46" s="188">
        <f>SUM(BC93:BC104)</f>
        <v/>
      </c>
      <c r="BD46" s="188">
        <f>SUM(BD93:BD104)</f>
        <v/>
      </c>
      <c r="BE46" s="188">
        <f>SUM(BE93:BE104)</f>
        <v/>
      </c>
      <c r="BF46" s="188">
        <f>SUM(BF93:BF104)</f>
        <v/>
      </c>
      <c r="BG46" s="188">
        <f>SUM(BG93:BG104)</f>
        <v/>
      </c>
      <c r="BH46" s="188">
        <f>SUM(BH93:BH104)</f>
        <v/>
      </c>
      <c r="BI46" s="188">
        <f>SUM(BI93:BI104)</f>
        <v/>
      </c>
      <c r="BJ46" s="188">
        <f>SUM(BJ93:BJ104)</f>
        <v/>
      </c>
      <c r="BK46" s="188">
        <f>SUM(BK93:BK104)</f>
        <v/>
      </c>
      <c r="BL46" s="188">
        <f>SUM(BL93:BL104)</f>
        <v/>
      </c>
      <c r="BM46" s="188">
        <f>SUM(BM93:BM104)</f>
        <v/>
      </c>
      <c r="BN46" s="188">
        <f>SUM(BN93:BN104)</f>
        <v/>
      </c>
      <c r="BO46" s="188">
        <f>SUM(BO93:BO104)</f>
        <v/>
      </c>
    </row>
    <row r="47" hidden="1" outlineLevel="1">
      <c r="B47" s="188">
        <f>B14-B46</f>
        <v/>
      </c>
      <c r="C47" s="188">
        <f>C14-C46</f>
        <v/>
      </c>
      <c r="D47" s="188">
        <f>D14-D46</f>
        <v/>
      </c>
      <c r="E47" s="188">
        <f>E14-E46</f>
        <v/>
      </c>
      <c r="F47" s="188">
        <f>F14-F46</f>
        <v/>
      </c>
      <c r="G47" s="188">
        <f>G14-G46</f>
        <v/>
      </c>
      <c r="H47" s="188">
        <f>H14-H46</f>
        <v/>
      </c>
      <c r="I47" s="188">
        <f>I14-I46</f>
        <v/>
      </c>
      <c r="J47" s="188">
        <f>J14-J46</f>
        <v/>
      </c>
      <c r="K47" s="188">
        <f>K14-K46</f>
        <v/>
      </c>
      <c r="L47" s="188">
        <f>L14-L46</f>
        <v/>
      </c>
      <c r="M47" s="188">
        <f>M14-M46</f>
        <v/>
      </c>
      <c r="N47" s="188">
        <f>N14-N46</f>
        <v/>
      </c>
      <c r="O47" s="188">
        <f>O14-O46</f>
        <v/>
      </c>
      <c r="P47" s="188">
        <f>P14-P46</f>
        <v/>
      </c>
      <c r="Q47" s="188">
        <f>Q14-Q46</f>
        <v/>
      </c>
      <c r="R47" s="188">
        <f>R14-R46</f>
        <v/>
      </c>
      <c r="S47" s="188">
        <f>S14-S46</f>
        <v/>
      </c>
      <c r="T47" s="188">
        <f>T14-T46</f>
        <v/>
      </c>
      <c r="U47" s="188">
        <f>U14-U46</f>
        <v/>
      </c>
      <c r="V47" s="188">
        <f>V14-V46</f>
        <v/>
      </c>
      <c r="W47" s="188">
        <f>W14-W46</f>
        <v/>
      </c>
      <c r="X47" s="188">
        <f>X14-X46</f>
        <v/>
      </c>
      <c r="Y47" s="188">
        <f>Y14-Y46</f>
        <v/>
      </c>
      <c r="Z47" s="188">
        <f>Z14-Z46</f>
        <v/>
      </c>
      <c r="AA47" s="188">
        <f>AA14-AA46</f>
        <v/>
      </c>
      <c r="AB47" s="188">
        <f>AB14-AB46</f>
        <v/>
      </c>
      <c r="AC47" s="188">
        <f>AC14-AC46</f>
        <v/>
      </c>
      <c r="AD47" s="188">
        <f>AD14-AD46</f>
        <v/>
      </c>
      <c r="AE47" s="188">
        <f>AE14-AE46</f>
        <v/>
      </c>
      <c r="AF47" s="188">
        <f>AF14-AF46</f>
        <v/>
      </c>
      <c r="AG47" s="188">
        <f>AG14-AG46</f>
        <v/>
      </c>
      <c r="AH47" s="188">
        <f>AH14-AH46</f>
        <v/>
      </c>
      <c r="AI47" s="188">
        <f>AI14-AI46</f>
        <v/>
      </c>
      <c r="AJ47" s="188">
        <f>AJ14-AJ46</f>
        <v/>
      </c>
      <c r="AK47" s="188">
        <f>AK14-AK46</f>
        <v/>
      </c>
      <c r="AL47" s="188">
        <f>AL14-AL46</f>
        <v/>
      </c>
      <c r="AM47" s="188">
        <f>AM14-AM46</f>
        <v/>
      </c>
      <c r="AN47" s="188">
        <f>AN14-AN46</f>
        <v/>
      </c>
      <c r="AO47" s="188">
        <f>AO14-AO46</f>
        <v/>
      </c>
      <c r="AP47" s="188">
        <f>AP14-AP46</f>
        <v/>
      </c>
      <c r="AQ47" s="188">
        <f>AQ14-AQ46</f>
        <v/>
      </c>
      <c r="AR47" s="188">
        <f>AR14-AR46</f>
        <v/>
      </c>
      <c r="AS47" s="188">
        <f>AS14-AS46</f>
        <v/>
      </c>
      <c r="AT47" s="188">
        <f>AT14-AT46</f>
        <v/>
      </c>
      <c r="AU47" s="188">
        <f>AU14-AU46</f>
        <v/>
      </c>
      <c r="AV47" s="188">
        <f>AV14-AV46</f>
        <v/>
      </c>
      <c r="AW47" s="188">
        <f>AW14-AW46</f>
        <v/>
      </c>
      <c r="AX47" s="188">
        <f>AX14-AX46</f>
        <v/>
      </c>
      <c r="AY47" s="188">
        <f>AY14-AY46</f>
        <v/>
      </c>
      <c r="AZ47" s="188">
        <f>AZ14-AZ46</f>
        <v/>
      </c>
      <c r="BA47" s="188">
        <f>BA14-BA46</f>
        <v/>
      </c>
      <c r="BB47" s="188">
        <f>BB14-BB46</f>
        <v/>
      </c>
      <c r="BC47" s="188">
        <f>BC14-BC46</f>
        <v/>
      </c>
      <c r="BD47" s="188">
        <f>BD14-BD46</f>
        <v/>
      </c>
      <c r="BE47" s="188">
        <f>BE14-BE46</f>
        <v/>
      </c>
      <c r="BF47" s="188">
        <f>BF14-BF46</f>
        <v/>
      </c>
      <c r="BG47" s="188">
        <f>BG14-BG46</f>
        <v/>
      </c>
      <c r="BH47" s="188">
        <f>BH14-BH46</f>
        <v/>
      </c>
      <c r="BI47" s="188">
        <f>BI14-BI46</f>
        <v/>
      </c>
      <c r="BJ47" s="188">
        <f>BJ14-BJ46</f>
        <v/>
      </c>
      <c r="BK47" s="188">
        <f>BK14-BK46</f>
        <v/>
      </c>
      <c r="BL47" s="188">
        <f>BL14-BL46</f>
        <v/>
      </c>
      <c r="BM47" s="188">
        <f>BM14-BM46</f>
        <v/>
      </c>
      <c r="BN47" s="188">
        <f>BN14-BN46</f>
        <v/>
      </c>
      <c r="BO47" s="188">
        <f>BO14-BO46</f>
        <v/>
      </c>
    </row>
    <row r="48" hidden="1" outlineLevel="1">
      <c r="B48" s="188">
        <f>B15-B45</f>
        <v/>
      </c>
      <c r="C48" s="188">
        <f>C15-C45</f>
        <v/>
      </c>
      <c r="D48" s="188">
        <f>D15-D45</f>
        <v/>
      </c>
      <c r="E48" s="188">
        <f>E15-E45</f>
        <v/>
      </c>
      <c r="F48" s="188">
        <f>F15-F45</f>
        <v/>
      </c>
      <c r="G48" s="188">
        <f>G15-G45</f>
        <v/>
      </c>
      <c r="H48" s="188">
        <f>H15-H45</f>
        <v/>
      </c>
      <c r="I48" s="188">
        <f>I15-I45</f>
        <v/>
      </c>
      <c r="J48" s="188">
        <f>J15-J45</f>
        <v/>
      </c>
      <c r="K48" s="188">
        <f>K15-K45</f>
        <v/>
      </c>
      <c r="L48" s="188">
        <f>L15-L45</f>
        <v/>
      </c>
      <c r="M48" s="188">
        <f>M15-M45</f>
        <v/>
      </c>
      <c r="N48" s="188">
        <f>N15-N45</f>
        <v/>
      </c>
      <c r="O48" s="188">
        <f>O15-O45</f>
        <v/>
      </c>
      <c r="P48" s="188">
        <f>P15-P45</f>
        <v/>
      </c>
      <c r="Q48" s="188">
        <f>Q15-Q45</f>
        <v/>
      </c>
      <c r="R48" s="188">
        <f>R15-R45</f>
        <v/>
      </c>
      <c r="S48" s="188">
        <f>S15-S45</f>
        <v/>
      </c>
      <c r="T48" s="188">
        <f>T15-T45</f>
        <v/>
      </c>
      <c r="U48" s="188">
        <f>U15-U45</f>
        <v/>
      </c>
      <c r="V48" s="188">
        <f>V15-V45</f>
        <v/>
      </c>
      <c r="W48" s="188">
        <f>W15-W45</f>
        <v/>
      </c>
      <c r="X48" s="188">
        <f>X15-X45</f>
        <v/>
      </c>
      <c r="Y48" s="188">
        <f>Y15-Y45</f>
        <v/>
      </c>
      <c r="Z48" s="188">
        <f>Z15-Z45</f>
        <v/>
      </c>
      <c r="AA48" s="188">
        <f>AA15-AA45</f>
        <v/>
      </c>
      <c r="AB48" s="188">
        <f>AB15-AB45</f>
        <v/>
      </c>
      <c r="AC48" s="188">
        <f>AC15-AC45</f>
        <v/>
      </c>
      <c r="AD48" s="188">
        <f>AD15-AD45</f>
        <v/>
      </c>
      <c r="AE48" s="188">
        <f>AE15-AE45</f>
        <v/>
      </c>
      <c r="AF48" s="188">
        <f>AF15-AF45</f>
        <v/>
      </c>
      <c r="AG48" s="188">
        <f>AG15-AG45</f>
        <v/>
      </c>
      <c r="AH48" s="188">
        <f>AH15-AH45</f>
        <v/>
      </c>
      <c r="AI48" s="188">
        <f>AI15-AI45</f>
        <v/>
      </c>
      <c r="AJ48" s="188">
        <f>AJ15-AJ45</f>
        <v/>
      </c>
      <c r="AK48" s="188">
        <f>AK15-AK45</f>
        <v/>
      </c>
      <c r="AL48" s="188">
        <f>AL15-AL45</f>
        <v/>
      </c>
      <c r="AM48" s="188">
        <f>AM15-AM45</f>
        <v/>
      </c>
      <c r="AN48" s="188">
        <f>AN15-AN45</f>
        <v/>
      </c>
      <c r="AO48" s="188">
        <f>AO15-AO45</f>
        <v/>
      </c>
      <c r="AP48" s="188">
        <f>AP15-AP45</f>
        <v/>
      </c>
      <c r="AQ48" s="188">
        <f>AQ15-AQ45</f>
        <v/>
      </c>
      <c r="AR48" s="188">
        <f>AR15-AR45</f>
        <v/>
      </c>
      <c r="AS48" s="188">
        <f>AS15-AS45</f>
        <v/>
      </c>
      <c r="AT48" s="188">
        <f>AT15-AT45</f>
        <v/>
      </c>
      <c r="AU48" s="188">
        <f>AU15-AU45</f>
        <v/>
      </c>
      <c r="AV48" s="188">
        <f>AV15-AV45</f>
        <v/>
      </c>
      <c r="AW48" s="188">
        <f>AW15-AW45</f>
        <v/>
      </c>
      <c r="AX48" s="188">
        <f>AX15-AX45</f>
        <v/>
      </c>
      <c r="AY48" s="188">
        <f>AY15-AY45</f>
        <v/>
      </c>
      <c r="AZ48" s="188">
        <f>AZ15-AZ45</f>
        <v/>
      </c>
      <c r="BA48" s="188">
        <f>BA15-BA45</f>
        <v/>
      </c>
      <c r="BB48" s="188">
        <f>BB15-BB45</f>
        <v/>
      </c>
      <c r="BC48" s="188">
        <f>BC15-BC45</f>
        <v/>
      </c>
      <c r="BD48" s="188">
        <f>BD15-BD45</f>
        <v/>
      </c>
      <c r="BE48" s="188">
        <f>BE15-BE45</f>
        <v/>
      </c>
      <c r="BF48" s="188">
        <f>BF15-BF45</f>
        <v/>
      </c>
      <c r="BG48" s="188">
        <f>BG15-BG45</f>
        <v/>
      </c>
      <c r="BH48" s="188">
        <f>BH15-BH45</f>
        <v/>
      </c>
      <c r="BI48" s="188">
        <f>BI15-BI45</f>
        <v/>
      </c>
      <c r="BJ48" s="188">
        <f>BJ15-BJ45</f>
        <v/>
      </c>
      <c r="BK48" s="188">
        <f>BK15-BK45</f>
        <v/>
      </c>
      <c r="BL48" s="188">
        <f>BL15-BL45</f>
        <v/>
      </c>
      <c r="BM48" s="188">
        <f>BM15-BM45</f>
        <v/>
      </c>
      <c r="BN48" s="188">
        <f>BN15-BN45</f>
        <v/>
      </c>
      <c r="BO48" s="188">
        <f>BO15-BO45</f>
        <v/>
      </c>
    </row>
    <row r="49" hidden="1" outlineLevel="1">
      <c r="B49" s="127" t="n"/>
      <c r="C49" s="127" t="n"/>
      <c r="D49" s="127" t="n"/>
      <c r="E49" s="127" t="n"/>
      <c r="F49" s="127" t="n"/>
      <c r="G49" s="127" t="n"/>
      <c r="H49" s="127" t="n"/>
      <c r="I49" s="127" t="n"/>
      <c r="J49" s="127" t="n"/>
      <c r="K49" s="127" t="n"/>
      <c r="L49" s="127" t="n"/>
      <c r="M49" s="127" t="n"/>
      <c r="N49" s="127" t="n"/>
      <c r="O49" s="127" t="n"/>
      <c r="P49" s="127" t="n"/>
      <c r="Q49" s="127" t="n"/>
      <c r="R49" s="127" t="n"/>
      <c r="S49" s="127" t="n"/>
      <c r="T49" s="127" t="n"/>
      <c r="U49" s="127" t="n"/>
      <c r="V49" s="127" t="n"/>
      <c r="W49" s="127" t="n"/>
      <c r="X49" s="127" t="n"/>
      <c r="Y49" s="127" t="n"/>
      <c r="Z49" s="127" t="n"/>
      <c r="AA49" s="127" t="n"/>
      <c r="AB49" s="127" t="n"/>
      <c r="AC49" s="127" t="n"/>
      <c r="AD49" s="127" t="n"/>
      <c r="AE49" s="127" t="n"/>
      <c r="AF49" s="127" t="n"/>
      <c r="AG49" s="127" t="n"/>
      <c r="AH49" s="127" t="n"/>
      <c r="AI49" s="127" t="n"/>
      <c r="AJ49" s="127" t="n"/>
      <c r="AK49" s="127" t="n"/>
      <c r="AL49" s="127" t="n"/>
      <c r="AM49" s="127" t="n"/>
      <c r="AN49" s="127" t="n"/>
      <c r="AO49" s="127" t="n"/>
      <c r="AP49" s="127" t="n"/>
      <c r="AQ49" s="127" t="n"/>
      <c r="AR49" s="127" t="n"/>
      <c r="AS49" s="127" t="n"/>
      <c r="AT49" s="127" t="n"/>
      <c r="AU49" s="127" t="n"/>
      <c r="AV49" s="127" t="n"/>
      <c r="AW49" s="127" t="n"/>
      <c r="AX49" s="127" t="n"/>
      <c r="AY49" s="127" t="n"/>
      <c r="AZ49" s="127" t="n"/>
      <c r="BA49" s="127" t="n"/>
      <c r="BB49" s="127" t="n"/>
      <c r="BC49" s="127" t="n"/>
      <c r="BD49" s="127" t="n"/>
      <c r="BE49" s="127" t="n"/>
      <c r="BF49" s="127" t="n"/>
      <c r="BG49" s="127" t="n"/>
      <c r="BH49" s="127" t="n"/>
      <c r="BI49" s="127" t="n"/>
      <c r="BJ49" s="127" t="n"/>
      <c r="BK49" s="127" t="n"/>
      <c r="BL49" s="127" t="n"/>
      <c r="BM49" s="127" t="n"/>
      <c r="BN49" s="127" t="n"/>
      <c r="BO49" s="127" t="n"/>
    </row>
    <row r="50" hidden="1" outlineLevel="1"/>
    <row r="51" hidden="1" outlineLevel="1"/>
    <row r="52" hidden="1" outlineLevel="1" ht="28" customHeight="1">
      <c r="A52" s="181" t="inlineStr">
        <is>
          <t>Школы по месяцам жизни</t>
        </is>
      </c>
      <c r="I52" s="96" t="n"/>
      <c r="J52" s="96" t="n"/>
      <c r="K52" s="96" t="n"/>
      <c r="L52" s="96" t="n"/>
      <c r="M52" s="96" t="n"/>
      <c r="N52" s="96" t="n"/>
      <c r="O52" s="96" t="n"/>
      <c r="P52" s="96" t="n"/>
      <c r="Q52" s="96" t="n"/>
      <c r="R52" s="96" t="n"/>
      <c r="S52" s="96" t="n"/>
      <c r="T52" s="96" t="n"/>
      <c r="U52" s="96" t="n"/>
      <c r="V52" s="96" t="n"/>
      <c r="W52" s="96" t="n"/>
      <c r="X52" s="96" t="n"/>
      <c r="Y52" s="96" t="n"/>
      <c r="Z52" s="96" t="n"/>
      <c r="AA52" s="96" t="n"/>
      <c r="AB52" s="96" t="n"/>
      <c r="AC52" s="96" t="n"/>
      <c r="AD52" s="96" t="n"/>
      <c r="AE52" s="96" t="n"/>
      <c r="AF52" s="96" t="n"/>
      <c r="AG52" s="96" t="n"/>
      <c r="AH52" s="96" t="n"/>
      <c r="AI52" s="96" t="n"/>
      <c r="AJ52" s="96" t="n"/>
      <c r="AK52" s="96" t="n"/>
      <c r="AL52" s="96" t="n"/>
      <c r="AM52" s="96" t="n"/>
      <c r="AN52" s="96" t="n"/>
      <c r="AO52" s="96" t="n"/>
      <c r="AP52" s="96" t="n"/>
      <c r="AQ52" s="96" t="n"/>
      <c r="AR52" s="96" t="n"/>
      <c r="AS52" s="96" t="n"/>
      <c r="AT52" s="96" t="n"/>
      <c r="AU52" s="96" t="n"/>
      <c r="AV52" s="96" t="n"/>
      <c r="AW52" s="96" t="n"/>
      <c r="AX52" s="96" t="n"/>
      <c r="AY52" s="96" t="n"/>
      <c r="AZ52" s="96" t="n"/>
      <c r="BA52" s="96" t="n"/>
      <c r="BB52" s="96" t="n"/>
      <c r="BC52" s="96" t="n"/>
      <c r="BD52" s="96" t="n"/>
      <c r="BE52" s="96" t="n"/>
      <c r="BF52" s="96" t="n"/>
      <c r="BG52" s="96" t="n"/>
      <c r="BH52" s="96" t="n"/>
      <c r="BI52" s="96" t="n"/>
      <c r="BJ52" s="96" t="n"/>
      <c r="BK52" s="96" t="n"/>
      <c r="BL52" s="96" t="n"/>
      <c r="BM52" s="96" t="n"/>
      <c r="BN52" s="96" t="n"/>
      <c r="BO52" s="96" t="n"/>
    </row>
    <row r="53" hidden="1" outlineLevel="1">
      <c r="A53" t="inlineStr">
        <is>
          <t>1 мес.</t>
        </is>
      </c>
      <c r="B53" s="189">
        <f>B8</f>
        <v/>
      </c>
      <c r="C53" s="189">
        <f>C8</f>
        <v/>
      </c>
      <c r="D53" s="189">
        <f>D8</f>
        <v/>
      </c>
      <c r="E53" s="189">
        <f>E8</f>
        <v/>
      </c>
      <c r="F53" s="189">
        <f>F8</f>
        <v/>
      </c>
      <c r="G53" s="189">
        <f>G8</f>
        <v/>
      </c>
      <c r="H53" s="189">
        <f>H8</f>
        <v/>
      </c>
      <c r="I53" s="189">
        <f>I8</f>
        <v/>
      </c>
      <c r="J53" s="189">
        <f>J8</f>
        <v/>
      </c>
      <c r="K53" s="189">
        <f>K8</f>
        <v/>
      </c>
      <c r="L53" s="189">
        <f>L8</f>
        <v/>
      </c>
      <c r="M53" s="189">
        <f>M8</f>
        <v/>
      </c>
      <c r="N53" s="189">
        <f>N8</f>
        <v/>
      </c>
      <c r="O53" s="189">
        <f>O8</f>
        <v/>
      </c>
      <c r="P53" s="189">
        <f>P8</f>
        <v/>
      </c>
      <c r="Q53" s="189">
        <f>Q8</f>
        <v/>
      </c>
      <c r="R53" s="189">
        <f>R8</f>
        <v/>
      </c>
      <c r="S53" s="189">
        <f>S8</f>
        <v/>
      </c>
      <c r="T53" s="189">
        <f>T8</f>
        <v/>
      </c>
      <c r="U53" s="189">
        <f>U8</f>
        <v/>
      </c>
      <c r="V53" s="189">
        <f>V8</f>
        <v/>
      </c>
      <c r="W53" s="189">
        <f>W8</f>
        <v/>
      </c>
      <c r="X53" s="189">
        <f>X8</f>
        <v/>
      </c>
      <c r="Y53" s="189">
        <f>Y8</f>
        <v/>
      </c>
      <c r="Z53" s="189">
        <f>Z8</f>
        <v/>
      </c>
      <c r="AA53" s="189">
        <f>AA8</f>
        <v/>
      </c>
      <c r="AB53" s="189">
        <f>AB8</f>
        <v/>
      </c>
      <c r="AC53" s="189">
        <f>AC8</f>
        <v/>
      </c>
      <c r="AD53" s="189">
        <f>AD8</f>
        <v/>
      </c>
      <c r="AE53" s="189">
        <f>AE8</f>
        <v/>
      </c>
      <c r="AF53" s="189">
        <f>AF8</f>
        <v/>
      </c>
      <c r="AG53" s="189">
        <f>AG8</f>
        <v/>
      </c>
      <c r="AH53" s="189">
        <f>AH8</f>
        <v/>
      </c>
      <c r="AI53" s="189">
        <f>AI8</f>
        <v/>
      </c>
      <c r="AJ53" s="189">
        <f>AJ8</f>
        <v/>
      </c>
      <c r="AK53" s="189">
        <f>AK8</f>
        <v/>
      </c>
      <c r="AL53" s="189">
        <f>AL8</f>
        <v/>
      </c>
      <c r="AM53" s="189">
        <f>AM8</f>
        <v/>
      </c>
      <c r="AN53" s="189">
        <f>AN8</f>
        <v/>
      </c>
      <c r="AO53" s="189">
        <f>AO8</f>
        <v/>
      </c>
      <c r="AP53" s="189">
        <f>AP8</f>
        <v/>
      </c>
      <c r="AQ53" s="189">
        <f>AQ8</f>
        <v/>
      </c>
      <c r="AR53" s="189">
        <f>AR8</f>
        <v/>
      </c>
      <c r="AS53" s="189">
        <f>AS8</f>
        <v/>
      </c>
      <c r="AT53" s="189">
        <f>AT8</f>
        <v/>
      </c>
      <c r="AU53" s="189">
        <f>AU8</f>
        <v/>
      </c>
      <c r="AV53" s="189">
        <f>AV8</f>
        <v/>
      </c>
      <c r="AW53" s="189">
        <f>AW8</f>
        <v/>
      </c>
      <c r="AX53" s="189">
        <f>AX8</f>
        <v/>
      </c>
      <c r="AY53" s="189">
        <f>AY8</f>
        <v/>
      </c>
      <c r="AZ53" s="189">
        <f>AZ8</f>
        <v/>
      </c>
      <c r="BA53" s="189">
        <f>BA8</f>
        <v/>
      </c>
      <c r="BB53" s="189">
        <f>BB8</f>
        <v/>
      </c>
      <c r="BC53" s="189">
        <f>BC8</f>
        <v/>
      </c>
      <c r="BD53" s="189">
        <f>BD8</f>
        <v/>
      </c>
      <c r="BE53" s="189">
        <f>BE8</f>
        <v/>
      </c>
      <c r="BF53" s="189">
        <f>BF8</f>
        <v/>
      </c>
      <c r="BG53" s="189">
        <f>BG8</f>
        <v/>
      </c>
      <c r="BH53" s="189">
        <f>BH8</f>
        <v/>
      </c>
      <c r="BI53" s="189">
        <f>BI8</f>
        <v/>
      </c>
      <c r="BJ53" s="189">
        <f>BJ8</f>
        <v/>
      </c>
      <c r="BK53" s="189">
        <f>BK8</f>
        <v/>
      </c>
      <c r="BL53" s="189">
        <f>BL8</f>
        <v/>
      </c>
      <c r="BM53" s="189">
        <f>BM8</f>
        <v/>
      </c>
      <c r="BN53" s="189">
        <f>BN8</f>
        <v/>
      </c>
      <c r="BO53" s="189">
        <f>BO8</f>
        <v/>
      </c>
    </row>
    <row r="54" hidden="1" outlineLevel="1">
      <c r="A54" t="inlineStr">
        <is>
          <t>2 мес.</t>
        </is>
      </c>
      <c r="B54" s="189">
        <f>0</f>
        <v/>
      </c>
      <c r="C54" s="190">
        <f>B53*'01_Вводные'!$B$14</f>
        <v/>
      </c>
      <c r="D54" s="190">
        <f>C53*'01_Вводные'!$B$14</f>
        <v/>
      </c>
      <c r="E54" s="190">
        <f>D53*'01_Вводные'!$B$14</f>
        <v/>
      </c>
      <c r="F54" s="190">
        <f>E53*'01_Вводные'!$B$14</f>
        <v/>
      </c>
      <c r="G54" s="190">
        <f>F53*'01_Вводные'!$B$14</f>
        <v/>
      </c>
      <c r="H54" s="190">
        <f>G53*'01_Вводные'!$B$14</f>
        <v/>
      </c>
      <c r="I54" s="190">
        <f>H53*'01_Вводные'!$B$14</f>
        <v/>
      </c>
      <c r="J54" s="190">
        <f>I53*'01_Вводные'!$B$14</f>
        <v/>
      </c>
      <c r="K54" s="190">
        <f>J53*'01_Вводные'!$B$14</f>
        <v/>
      </c>
      <c r="L54" s="190">
        <f>K53*'01_Вводные'!$B$14</f>
        <v/>
      </c>
      <c r="M54" s="190">
        <f>L53*'01_Вводные'!$B$14</f>
        <v/>
      </c>
      <c r="N54" s="190">
        <f>M53*'01_Вводные'!$B$14</f>
        <v/>
      </c>
      <c r="O54" s="190">
        <f>N53*'01_Вводные'!$B$14</f>
        <v/>
      </c>
      <c r="P54" s="190">
        <f>O53*'01_Вводные'!$B$14</f>
        <v/>
      </c>
      <c r="Q54" s="190">
        <f>P53*'01_Вводные'!$B$14</f>
        <v/>
      </c>
      <c r="R54" s="190">
        <f>Q53*'01_Вводные'!$B$14</f>
        <v/>
      </c>
      <c r="S54" s="190">
        <f>R53*'01_Вводные'!$B$14</f>
        <v/>
      </c>
      <c r="T54" s="190">
        <f>S53*'01_Вводные'!$B$14</f>
        <v/>
      </c>
      <c r="U54" s="190">
        <f>T53*'01_Вводные'!$B$14</f>
        <v/>
      </c>
      <c r="V54" s="190">
        <f>U53*'01_Вводные'!$B$14</f>
        <v/>
      </c>
      <c r="W54" s="190">
        <f>V53*'01_Вводные'!$B$14</f>
        <v/>
      </c>
      <c r="X54" s="190">
        <f>W53*'01_Вводные'!$B$14</f>
        <v/>
      </c>
      <c r="Y54" s="190">
        <f>X53*'01_Вводные'!$B$14</f>
        <v/>
      </c>
      <c r="Z54" s="190">
        <f>Y53*'01_Вводные'!$B$14</f>
        <v/>
      </c>
      <c r="AA54" s="190">
        <f>Z53*'01_Вводные'!$B$14</f>
        <v/>
      </c>
      <c r="AB54" s="190">
        <f>AA53*'01_Вводные'!$B$14</f>
        <v/>
      </c>
      <c r="AC54" s="190">
        <f>AB53*'01_Вводные'!$B$14</f>
        <v/>
      </c>
      <c r="AD54" s="190">
        <f>AC53*'01_Вводные'!$B$14</f>
        <v/>
      </c>
      <c r="AE54" s="190">
        <f>AD53*'01_Вводные'!$B$14</f>
        <v/>
      </c>
      <c r="AF54" s="190">
        <f>AE53*'01_Вводные'!$B$14</f>
        <v/>
      </c>
      <c r="AG54" s="190">
        <f>AF53*'01_Вводные'!$B$14</f>
        <v/>
      </c>
      <c r="AH54" s="190">
        <f>AG53*'01_Вводные'!$B$14</f>
        <v/>
      </c>
      <c r="AI54" s="190">
        <f>AH53*'01_Вводные'!$B$14</f>
        <v/>
      </c>
      <c r="AJ54" s="190">
        <f>AI53*'01_Вводные'!$B$14</f>
        <v/>
      </c>
      <c r="AK54" s="190">
        <f>AJ53*'01_Вводные'!$B$14</f>
        <v/>
      </c>
      <c r="AL54" s="190">
        <f>AK53*'01_Вводные'!$B$14</f>
        <v/>
      </c>
      <c r="AM54" s="190">
        <f>AL53*'01_Вводные'!$B$14</f>
        <v/>
      </c>
      <c r="AN54" s="190">
        <f>AM53*'01_Вводные'!$B$14</f>
        <v/>
      </c>
      <c r="AO54" s="190">
        <f>AN53*'01_Вводные'!$B$14</f>
        <v/>
      </c>
      <c r="AP54" s="190">
        <f>AO53*'01_Вводные'!$B$14</f>
        <v/>
      </c>
      <c r="AQ54" s="190">
        <f>AP53*'01_Вводные'!$B$14</f>
        <v/>
      </c>
      <c r="AR54" s="190">
        <f>AQ53*'01_Вводные'!$B$14</f>
        <v/>
      </c>
      <c r="AS54" s="190">
        <f>AR53*'01_Вводные'!$B$14</f>
        <v/>
      </c>
      <c r="AT54" s="190">
        <f>AS53*'01_Вводные'!$B$14</f>
        <v/>
      </c>
      <c r="AU54" s="190">
        <f>AT53*'01_Вводные'!$B$14</f>
        <v/>
      </c>
      <c r="AV54" s="190">
        <f>AU53*'01_Вводные'!$B$14</f>
        <v/>
      </c>
      <c r="AW54" s="190">
        <f>AV53*'01_Вводные'!$B$14</f>
        <v/>
      </c>
      <c r="AX54" s="190">
        <f>AW53*'01_Вводные'!$B$14</f>
        <v/>
      </c>
      <c r="AY54" s="190">
        <f>AX53*'01_Вводные'!$B$14</f>
        <v/>
      </c>
      <c r="AZ54" s="190">
        <f>AY53*'01_Вводные'!$B$14</f>
        <v/>
      </c>
      <c r="BA54" s="190">
        <f>AZ53*'01_Вводные'!$B$14</f>
        <v/>
      </c>
      <c r="BB54" s="190">
        <f>BA53*'01_Вводные'!$B$14</f>
        <v/>
      </c>
      <c r="BC54" s="190">
        <f>BB53*'01_Вводные'!$B$14</f>
        <v/>
      </c>
      <c r="BD54" s="190">
        <f>BC53*'01_Вводные'!$B$14</f>
        <v/>
      </c>
      <c r="BE54" s="190">
        <f>BD53*'01_Вводные'!$B$14</f>
        <v/>
      </c>
      <c r="BF54" s="190">
        <f>BE53*'01_Вводные'!$B$14</f>
        <v/>
      </c>
      <c r="BG54" s="190">
        <f>BF53*'01_Вводные'!$B$14</f>
        <v/>
      </c>
      <c r="BH54" s="190">
        <f>BG53*'01_Вводные'!$B$14</f>
        <v/>
      </c>
      <c r="BI54" s="190">
        <f>BH53*'01_Вводные'!$B$14</f>
        <v/>
      </c>
      <c r="BJ54" s="190">
        <f>BI53*'01_Вводные'!$B$14</f>
        <v/>
      </c>
      <c r="BK54" s="190">
        <f>BJ53*'01_Вводные'!$B$14</f>
        <v/>
      </c>
      <c r="BL54" s="190">
        <f>BK53*'01_Вводные'!$B$14</f>
        <v/>
      </c>
      <c r="BM54" s="190">
        <f>BL53*'01_Вводные'!$B$14</f>
        <v/>
      </c>
      <c r="BN54" s="190">
        <f>BM53*'01_Вводные'!$B$14</f>
        <v/>
      </c>
      <c r="BO54" s="190">
        <f>BN53*'01_Вводные'!$B$14</f>
        <v/>
      </c>
    </row>
    <row r="55" hidden="1" outlineLevel="1">
      <c r="A55" t="inlineStr">
        <is>
          <t>3 мес.</t>
        </is>
      </c>
      <c r="B55" s="189">
        <f>0</f>
        <v/>
      </c>
      <c r="C55" s="190">
        <f>B54*'01_Вводные'!$B$14</f>
        <v/>
      </c>
      <c r="D55" s="190">
        <f>C54*'01_Вводные'!$B$14</f>
        <v/>
      </c>
      <c r="E55" s="190">
        <f>D54*'01_Вводные'!$B$14</f>
        <v/>
      </c>
      <c r="F55" s="190">
        <f>E54*'01_Вводные'!$B$14</f>
        <v/>
      </c>
      <c r="G55" s="190">
        <f>F54*'01_Вводные'!$B$14</f>
        <v/>
      </c>
      <c r="H55" s="190">
        <f>G54*'01_Вводные'!$B$14</f>
        <v/>
      </c>
      <c r="I55" s="190">
        <f>H54*'01_Вводные'!$B$14</f>
        <v/>
      </c>
      <c r="J55" s="190">
        <f>I54*'01_Вводные'!$B$14</f>
        <v/>
      </c>
      <c r="K55" s="190">
        <f>J54*'01_Вводные'!$B$14</f>
        <v/>
      </c>
      <c r="L55" s="190">
        <f>K54*'01_Вводные'!$B$14</f>
        <v/>
      </c>
      <c r="M55" s="190">
        <f>L54*'01_Вводные'!$B$14</f>
        <v/>
      </c>
      <c r="N55" s="190">
        <f>M54*'01_Вводные'!$B$14</f>
        <v/>
      </c>
      <c r="O55" s="190">
        <f>N54*'01_Вводные'!$B$14</f>
        <v/>
      </c>
      <c r="P55" s="190">
        <f>O54*'01_Вводные'!$B$14</f>
        <v/>
      </c>
      <c r="Q55" s="190">
        <f>P54*'01_Вводные'!$B$14</f>
        <v/>
      </c>
      <c r="R55" s="190">
        <f>Q54*'01_Вводные'!$B$14</f>
        <v/>
      </c>
      <c r="S55" s="190">
        <f>R54*'01_Вводные'!$B$14</f>
        <v/>
      </c>
      <c r="T55" s="190">
        <f>S54*'01_Вводные'!$B$14</f>
        <v/>
      </c>
      <c r="U55" s="190">
        <f>T54*'01_Вводные'!$B$14</f>
        <v/>
      </c>
      <c r="V55" s="190">
        <f>U54*'01_Вводные'!$B$14</f>
        <v/>
      </c>
      <c r="W55" s="190">
        <f>V54*'01_Вводные'!$B$14</f>
        <v/>
      </c>
      <c r="X55" s="190">
        <f>W54*'01_Вводные'!$B$14</f>
        <v/>
      </c>
      <c r="Y55" s="190">
        <f>X54*'01_Вводные'!$B$14</f>
        <v/>
      </c>
      <c r="Z55" s="190">
        <f>Y54*'01_Вводные'!$B$14</f>
        <v/>
      </c>
      <c r="AA55" s="190">
        <f>Z54*'01_Вводные'!$B$14</f>
        <v/>
      </c>
      <c r="AB55" s="190">
        <f>AA54*'01_Вводные'!$B$14</f>
        <v/>
      </c>
      <c r="AC55" s="190">
        <f>AB54*'01_Вводные'!$B$14</f>
        <v/>
      </c>
      <c r="AD55" s="190">
        <f>AC54*'01_Вводные'!$B$14</f>
        <v/>
      </c>
      <c r="AE55" s="190">
        <f>AD54*'01_Вводные'!$B$14</f>
        <v/>
      </c>
      <c r="AF55" s="190">
        <f>AE54*'01_Вводные'!$B$14</f>
        <v/>
      </c>
      <c r="AG55" s="190">
        <f>AF54*'01_Вводные'!$B$14</f>
        <v/>
      </c>
      <c r="AH55" s="190">
        <f>AG54*'01_Вводные'!$B$14</f>
        <v/>
      </c>
      <c r="AI55" s="190">
        <f>AH54*'01_Вводные'!$B$14</f>
        <v/>
      </c>
      <c r="AJ55" s="190">
        <f>AI54*'01_Вводные'!$B$14</f>
        <v/>
      </c>
      <c r="AK55" s="190">
        <f>AJ54*'01_Вводные'!$B$14</f>
        <v/>
      </c>
      <c r="AL55" s="190">
        <f>AK54*'01_Вводные'!$B$14</f>
        <v/>
      </c>
      <c r="AM55" s="190">
        <f>AL54*'01_Вводные'!$B$14</f>
        <v/>
      </c>
      <c r="AN55" s="190">
        <f>AM54*'01_Вводные'!$B$14</f>
        <v/>
      </c>
      <c r="AO55" s="190">
        <f>AN54*'01_Вводные'!$B$14</f>
        <v/>
      </c>
      <c r="AP55" s="190">
        <f>AO54*'01_Вводные'!$B$14</f>
        <v/>
      </c>
      <c r="AQ55" s="190">
        <f>AP54*'01_Вводные'!$B$14</f>
        <v/>
      </c>
      <c r="AR55" s="190">
        <f>AQ54*'01_Вводные'!$B$14</f>
        <v/>
      </c>
      <c r="AS55" s="190">
        <f>AR54*'01_Вводные'!$B$14</f>
        <v/>
      </c>
      <c r="AT55" s="190">
        <f>AS54*'01_Вводные'!$B$14</f>
        <v/>
      </c>
      <c r="AU55" s="190">
        <f>AT54*'01_Вводные'!$B$14</f>
        <v/>
      </c>
      <c r="AV55" s="190">
        <f>AU54*'01_Вводные'!$B$14</f>
        <v/>
      </c>
      <c r="AW55" s="190">
        <f>AV54*'01_Вводные'!$B$14</f>
        <v/>
      </c>
      <c r="AX55" s="190">
        <f>AW54*'01_Вводные'!$B$14</f>
        <v/>
      </c>
      <c r="AY55" s="190">
        <f>AX54*'01_Вводные'!$B$14</f>
        <v/>
      </c>
      <c r="AZ55" s="190">
        <f>AY54*'01_Вводные'!$B$14</f>
        <v/>
      </c>
      <c r="BA55" s="190">
        <f>AZ54*'01_Вводные'!$B$14</f>
        <v/>
      </c>
      <c r="BB55" s="190">
        <f>BA54*'01_Вводные'!$B$14</f>
        <v/>
      </c>
      <c r="BC55" s="190">
        <f>BB54*'01_Вводные'!$B$14</f>
        <v/>
      </c>
      <c r="BD55" s="190">
        <f>BC54*'01_Вводные'!$B$14</f>
        <v/>
      </c>
      <c r="BE55" s="190">
        <f>BD54*'01_Вводные'!$B$14</f>
        <v/>
      </c>
      <c r="BF55" s="190">
        <f>BE54*'01_Вводные'!$B$14</f>
        <v/>
      </c>
      <c r="BG55" s="190">
        <f>BF54*'01_Вводные'!$B$14</f>
        <v/>
      </c>
      <c r="BH55" s="190">
        <f>BG54*'01_Вводные'!$B$14</f>
        <v/>
      </c>
      <c r="BI55" s="190">
        <f>BH54*'01_Вводные'!$B$14</f>
        <v/>
      </c>
      <c r="BJ55" s="190">
        <f>BI54*'01_Вводные'!$B$14</f>
        <v/>
      </c>
      <c r="BK55" s="190">
        <f>BJ54*'01_Вводные'!$B$14</f>
        <v/>
      </c>
      <c r="BL55" s="190">
        <f>BK54*'01_Вводные'!$B$14</f>
        <v/>
      </c>
      <c r="BM55" s="190">
        <f>BL54*'01_Вводные'!$B$14</f>
        <v/>
      </c>
      <c r="BN55" s="190">
        <f>BM54*'01_Вводные'!$B$14</f>
        <v/>
      </c>
      <c r="BO55" s="190">
        <f>BN54*'01_Вводные'!$B$14</f>
        <v/>
      </c>
    </row>
    <row r="56" hidden="1" outlineLevel="1">
      <c r="A56" t="inlineStr">
        <is>
          <t>4 мес.</t>
        </is>
      </c>
      <c r="B56" s="189">
        <f>0</f>
        <v/>
      </c>
      <c r="C56" s="190">
        <f>B55*'01_Вводные'!$B$14</f>
        <v/>
      </c>
      <c r="D56" s="190">
        <f>C55*'01_Вводные'!$B$14</f>
        <v/>
      </c>
      <c r="E56" s="190">
        <f>D55*'01_Вводные'!$B$14</f>
        <v/>
      </c>
      <c r="F56" s="190">
        <f>E55*'01_Вводные'!$B$14</f>
        <v/>
      </c>
      <c r="G56" s="190">
        <f>F55*'01_Вводные'!$B$14</f>
        <v/>
      </c>
      <c r="H56" s="190">
        <f>G55*'01_Вводные'!$B$14</f>
        <v/>
      </c>
      <c r="I56" s="190">
        <f>H55*'01_Вводные'!$B$14</f>
        <v/>
      </c>
      <c r="J56" s="190">
        <f>I55*'01_Вводные'!$B$14</f>
        <v/>
      </c>
      <c r="K56" s="190">
        <f>J55*'01_Вводные'!$B$14</f>
        <v/>
      </c>
      <c r="L56" s="190">
        <f>K55*'01_Вводные'!$B$14</f>
        <v/>
      </c>
      <c r="M56" s="190">
        <f>L55*'01_Вводные'!$B$14</f>
        <v/>
      </c>
      <c r="N56" s="190">
        <f>M55*'01_Вводные'!$B$14</f>
        <v/>
      </c>
      <c r="O56" s="190">
        <f>N55*'01_Вводные'!$B$14</f>
        <v/>
      </c>
      <c r="P56" s="190">
        <f>O55*'01_Вводные'!$B$14</f>
        <v/>
      </c>
      <c r="Q56" s="190">
        <f>P55*'01_Вводные'!$B$14</f>
        <v/>
      </c>
      <c r="R56" s="190">
        <f>Q55*'01_Вводные'!$B$14</f>
        <v/>
      </c>
      <c r="S56" s="190">
        <f>R55*'01_Вводные'!$B$14</f>
        <v/>
      </c>
      <c r="T56" s="190">
        <f>S55*'01_Вводные'!$B$14</f>
        <v/>
      </c>
      <c r="U56" s="190">
        <f>T55*'01_Вводные'!$B$14</f>
        <v/>
      </c>
      <c r="V56" s="190">
        <f>U55*'01_Вводные'!$B$14</f>
        <v/>
      </c>
      <c r="W56" s="190">
        <f>V55*'01_Вводные'!$B$14</f>
        <v/>
      </c>
      <c r="X56" s="190">
        <f>W55*'01_Вводные'!$B$14</f>
        <v/>
      </c>
      <c r="Y56" s="190">
        <f>X55*'01_Вводные'!$B$14</f>
        <v/>
      </c>
      <c r="Z56" s="190">
        <f>Y55*'01_Вводные'!$B$14</f>
        <v/>
      </c>
      <c r="AA56" s="190">
        <f>Z55*'01_Вводные'!$B$14</f>
        <v/>
      </c>
      <c r="AB56" s="190">
        <f>AA55*'01_Вводные'!$B$14</f>
        <v/>
      </c>
      <c r="AC56" s="190">
        <f>AB55*'01_Вводные'!$B$14</f>
        <v/>
      </c>
      <c r="AD56" s="190">
        <f>AC55*'01_Вводные'!$B$14</f>
        <v/>
      </c>
      <c r="AE56" s="190">
        <f>AD55*'01_Вводные'!$B$14</f>
        <v/>
      </c>
      <c r="AF56" s="190">
        <f>AE55*'01_Вводные'!$B$14</f>
        <v/>
      </c>
      <c r="AG56" s="190">
        <f>AF55*'01_Вводные'!$B$14</f>
        <v/>
      </c>
      <c r="AH56" s="190">
        <f>AG55*'01_Вводные'!$B$14</f>
        <v/>
      </c>
      <c r="AI56" s="190">
        <f>AH55*'01_Вводные'!$B$14</f>
        <v/>
      </c>
      <c r="AJ56" s="190">
        <f>AI55*'01_Вводные'!$B$14</f>
        <v/>
      </c>
      <c r="AK56" s="190">
        <f>AJ55*'01_Вводные'!$B$14</f>
        <v/>
      </c>
      <c r="AL56" s="190">
        <f>AK55*'01_Вводные'!$B$14</f>
        <v/>
      </c>
      <c r="AM56" s="190">
        <f>AL55*'01_Вводные'!$B$14</f>
        <v/>
      </c>
      <c r="AN56" s="190">
        <f>AM55*'01_Вводные'!$B$14</f>
        <v/>
      </c>
      <c r="AO56" s="190">
        <f>AN55*'01_Вводные'!$B$14</f>
        <v/>
      </c>
      <c r="AP56" s="190">
        <f>AO55*'01_Вводные'!$B$14</f>
        <v/>
      </c>
      <c r="AQ56" s="190">
        <f>AP55*'01_Вводные'!$B$14</f>
        <v/>
      </c>
      <c r="AR56" s="190">
        <f>AQ55*'01_Вводные'!$B$14</f>
        <v/>
      </c>
      <c r="AS56" s="190">
        <f>AR55*'01_Вводные'!$B$14</f>
        <v/>
      </c>
      <c r="AT56" s="190">
        <f>AS55*'01_Вводные'!$B$14</f>
        <v/>
      </c>
      <c r="AU56" s="190">
        <f>AT55*'01_Вводные'!$B$14</f>
        <v/>
      </c>
      <c r="AV56" s="190">
        <f>AU55*'01_Вводные'!$B$14</f>
        <v/>
      </c>
      <c r="AW56" s="190">
        <f>AV55*'01_Вводные'!$B$14</f>
        <v/>
      </c>
      <c r="AX56" s="190">
        <f>AW55*'01_Вводные'!$B$14</f>
        <v/>
      </c>
      <c r="AY56" s="190">
        <f>AX55*'01_Вводные'!$B$14</f>
        <v/>
      </c>
      <c r="AZ56" s="190">
        <f>AY55*'01_Вводные'!$B$14</f>
        <v/>
      </c>
      <c r="BA56" s="190">
        <f>AZ55*'01_Вводные'!$B$14</f>
        <v/>
      </c>
      <c r="BB56" s="190">
        <f>BA55*'01_Вводные'!$B$14</f>
        <v/>
      </c>
      <c r="BC56" s="190">
        <f>BB55*'01_Вводные'!$B$14</f>
        <v/>
      </c>
      <c r="BD56" s="190">
        <f>BC55*'01_Вводные'!$B$14</f>
        <v/>
      </c>
      <c r="BE56" s="190">
        <f>BD55*'01_Вводные'!$B$14</f>
        <v/>
      </c>
      <c r="BF56" s="190">
        <f>BE55*'01_Вводные'!$B$14</f>
        <v/>
      </c>
      <c r="BG56" s="190">
        <f>BF55*'01_Вводные'!$B$14</f>
        <v/>
      </c>
      <c r="BH56" s="190">
        <f>BG55*'01_Вводные'!$B$14</f>
        <v/>
      </c>
      <c r="BI56" s="190">
        <f>BH55*'01_Вводные'!$B$14</f>
        <v/>
      </c>
      <c r="BJ56" s="190">
        <f>BI55*'01_Вводные'!$B$14</f>
        <v/>
      </c>
      <c r="BK56" s="190">
        <f>BJ55*'01_Вводные'!$B$14</f>
        <v/>
      </c>
      <c r="BL56" s="190">
        <f>BK55*'01_Вводные'!$B$14</f>
        <v/>
      </c>
      <c r="BM56" s="190">
        <f>BL55*'01_Вводные'!$B$14</f>
        <v/>
      </c>
      <c r="BN56" s="190">
        <f>BM55*'01_Вводные'!$B$14</f>
        <v/>
      </c>
      <c r="BO56" s="190">
        <f>BN55*'01_Вводные'!$B$14</f>
        <v/>
      </c>
    </row>
    <row r="57" hidden="1" outlineLevel="1">
      <c r="A57" t="inlineStr">
        <is>
          <t>5 мес.</t>
        </is>
      </c>
      <c r="B57" s="189">
        <f>0</f>
        <v/>
      </c>
      <c r="C57" s="190">
        <f>B56*'01_Вводные'!$B$14</f>
        <v/>
      </c>
      <c r="D57" s="190">
        <f>C56*'01_Вводные'!$B$14</f>
        <v/>
      </c>
      <c r="E57" s="190">
        <f>D56*'01_Вводные'!$B$14</f>
        <v/>
      </c>
      <c r="F57" s="190">
        <f>E56*'01_Вводные'!$B$14</f>
        <v/>
      </c>
      <c r="G57" s="190">
        <f>F56*'01_Вводные'!$B$14</f>
        <v/>
      </c>
      <c r="H57" s="190">
        <f>G56*'01_Вводные'!$B$14</f>
        <v/>
      </c>
      <c r="I57" s="190">
        <f>H56*'01_Вводные'!$B$14</f>
        <v/>
      </c>
      <c r="J57" s="190">
        <f>I56*'01_Вводные'!$B$14</f>
        <v/>
      </c>
      <c r="K57" s="190">
        <f>J56*'01_Вводные'!$B$14</f>
        <v/>
      </c>
      <c r="L57" s="190">
        <f>K56*'01_Вводные'!$B$14</f>
        <v/>
      </c>
      <c r="M57" s="190">
        <f>L56*'01_Вводные'!$B$14</f>
        <v/>
      </c>
      <c r="N57" s="190">
        <f>M56*'01_Вводные'!$B$14</f>
        <v/>
      </c>
      <c r="O57" s="190">
        <f>N56*'01_Вводные'!$B$14</f>
        <v/>
      </c>
      <c r="P57" s="190">
        <f>O56*'01_Вводные'!$B$14</f>
        <v/>
      </c>
      <c r="Q57" s="190">
        <f>P56*'01_Вводные'!$B$14</f>
        <v/>
      </c>
      <c r="R57" s="190">
        <f>Q56*'01_Вводные'!$B$14</f>
        <v/>
      </c>
      <c r="S57" s="190">
        <f>R56*'01_Вводные'!$B$14</f>
        <v/>
      </c>
      <c r="T57" s="190">
        <f>S56*'01_Вводные'!$B$14</f>
        <v/>
      </c>
      <c r="U57" s="190">
        <f>T56*'01_Вводные'!$B$14</f>
        <v/>
      </c>
      <c r="V57" s="190">
        <f>U56*'01_Вводные'!$B$14</f>
        <v/>
      </c>
      <c r="W57" s="190">
        <f>V56*'01_Вводные'!$B$14</f>
        <v/>
      </c>
      <c r="X57" s="190">
        <f>W56*'01_Вводные'!$B$14</f>
        <v/>
      </c>
      <c r="Y57" s="190">
        <f>X56*'01_Вводные'!$B$14</f>
        <v/>
      </c>
      <c r="Z57" s="190">
        <f>Y56*'01_Вводные'!$B$14</f>
        <v/>
      </c>
      <c r="AA57" s="190">
        <f>Z56*'01_Вводные'!$B$14</f>
        <v/>
      </c>
      <c r="AB57" s="190">
        <f>AA56*'01_Вводные'!$B$14</f>
        <v/>
      </c>
      <c r="AC57" s="190">
        <f>AB56*'01_Вводные'!$B$14</f>
        <v/>
      </c>
      <c r="AD57" s="190">
        <f>AC56*'01_Вводные'!$B$14</f>
        <v/>
      </c>
      <c r="AE57" s="190">
        <f>AD56*'01_Вводные'!$B$14</f>
        <v/>
      </c>
      <c r="AF57" s="190">
        <f>AE56*'01_Вводные'!$B$14</f>
        <v/>
      </c>
      <c r="AG57" s="190">
        <f>AF56*'01_Вводные'!$B$14</f>
        <v/>
      </c>
      <c r="AH57" s="190">
        <f>AG56*'01_Вводные'!$B$14</f>
        <v/>
      </c>
      <c r="AI57" s="190">
        <f>AH56*'01_Вводные'!$B$14</f>
        <v/>
      </c>
      <c r="AJ57" s="190">
        <f>AI56*'01_Вводные'!$B$14</f>
        <v/>
      </c>
      <c r="AK57" s="190">
        <f>AJ56*'01_Вводные'!$B$14</f>
        <v/>
      </c>
      <c r="AL57" s="190">
        <f>AK56*'01_Вводные'!$B$14</f>
        <v/>
      </c>
      <c r="AM57" s="190">
        <f>AL56*'01_Вводные'!$B$14</f>
        <v/>
      </c>
      <c r="AN57" s="190">
        <f>AM56*'01_Вводные'!$B$14</f>
        <v/>
      </c>
      <c r="AO57" s="190">
        <f>AN56*'01_Вводные'!$B$14</f>
        <v/>
      </c>
      <c r="AP57" s="190">
        <f>AO56*'01_Вводные'!$B$14</f>
        <v/>
      </c>
      <c r="AQ57" s="190">
        <f>AP56*'01_Вводные'!$B$14</f>
        <v/>
      </c>
      <c r="AR57" s="190">
        <f>AQ56*'01_Вводные'!$B$14</f>
        <v/>
      </c>
      <c r="AS57" s="190">
        <f>AR56*'01_Вводные'!$B$14</f>
        <v/>
      </c>
      <c r="AT57" s="190">
        <f>AS56*'01_Вводные'!$B$14</f>
        <v/>
      </c>
      <c r="AU57" s="190">
        <f>AT56*'01_Вводные'!$B$14</f>
        <v/>
      </c>
      <c r="AV57" s="190">
        <f>AU56*'01_Вводные'!$B$14</f>
        <v/>
      </c>
      <c r="AW57" s="190">
        <f>AV56*'01_Вводные'!$B$14</f>
        <v/>
      </c>
      <c r="AX57" s="190">
        <f>AW56*'01_Вводные'!$B$14</f>
        <v/>
      </c>
      <c r="AY57" s="190">
        <f>AX56*'01_Вводные'!$B$14</f>
        <v/>
      </c>
      <c r="AZ57" s="190">
        <f>AY56*'01_Вводные'!$B$14</f>
        <v/>
      </c>
      <c r="BA57" s="190">
        <f>AZ56*'01_Вводные'!$B$14</f>
        <v/>
      </c>
      <c r="BB57" s="190">
        <f>BA56*'01_Вводные'!$B$14</f>
        <v/>
      </c>
      <c r="BC57" s="190">
        <f>BB56*'01_Вводные'!$B$14</f>
        <v/>
      </c>
      <c r="BD57" s="190">
        <f>BC56*'01_Вводные'!$B$14</f>
        <v/>
      </c>
      <c r="BE57" s="190">
        <f>BD56*'01_Вводные'!$B$14</f>
        <v/>
      </c>
      <c r="BF57" s="190">
        <f>BE56*'01_Вводные'!$B$14</f>
        <v/>
      </c>
      <c r="BG57" s="190">
        <f>BF56*'01_Вводные'!$B$14</f>
        <v/>
      </c>
      <c r="BH57" s="190">
        <f>BG56*'01_Вводные'!$B$14</f>
        <v/>
      </c>
      <c r="BI57" s="190">
        <f>BH56*'01_Вводные'!$B$14</f>
        <v/>
      </c>
      <c r="BJ57" s="190">
        <f>BI56*'01_Вводные'!$B$14</f>
        <v/>
      </c>
      <c r="BK57" s="190">
        <f>BJ56*'01_Вводные'!$B$14</f>
        <v/>
      </c>
      <c r="BL57" s="190">
        <f>BK56*'01_Вводные'!$B$14</f>
        <v/>
      </c>
      <c r="BM57" s="190">
        <f>BL56*'01_Вводные'!$B$14</f>
        <v/>
      </c>
      <c r="BN57" s="190">
        <f>BM56*'01_Вводные'!$B$14</f>
        <v/>
      </c>
      <c r="BO57" s="190">
        <f>BN56*'01_Вводные'!$B$14</f>
        <v/>
      </c>
    </row>
    <row r="58" hidden="1" outlineLevel="1">
      <c r="A58" t="inlineStr">
        <is>
          <t>6 мес.</t>
        </is>
      </c>
      <c r="B58" s="189">
        <f>0</f>
        <v/>
      </c>
      <c r="C58" s="190">
        <f>B57*'01_Вводные'!$B$14</f>
        <v/>
      </c>
      <c r="D58" s="190">
        <f>C57*'01_Вводные'!$B$14</f>
        <v/>
      </c>
      <c r="E58" s="190">
        <f>D57*'01_Вводные'!$B$14</f>
        <v/>
      </c>
      <c r="F58" s="190">
        <f>E57*'01_Вводные'!$B$14</f>
        <v/>
      </c>
      <c r="G58" s="190">
        <f>F57*'01_Вводные'!$B$14</f>
        <v/>
      </c>
      <c r="H58" s="190">
        <f>G57*'01_Вводные'!$B$14</f>
        <v/>
      </c>
      <c r="I58" s="190">
        <f>H57*'01_Вводные'!$B$14</f>
        <v/>
      </c>
      <c r="J58" s="190">
        <f>I57*'01_Вводные'!$B$14</f>
        <v/>
      </c>
      <c r="K58" s="190">
        <f>J57*'01_Вводные'!$B$14</f>
        <v/>
      </c>
      <c r="L58" s="190">
        <f>K57*'01_Вводные'!$B$14</f>
        <v/>
      </c>
      <c r="M58" s="190">
        <f>L57*'01_Вводные'!$B$14</f>
        <v/>
      </c>
      <c r="N58" s="190">
        <f>M57*'01_Вводные'!$B$14</f>
        <v/>
      </c>
      <c r="O58" s="190">
        <f>N57*'01_Вводные'!$B$14</f>
        <v/>
      </c>
      <c r="P58" s="190">
        <f>O57*'01_Вводные'!$B$14</f>
        <v/>
      </c>
      <c r="Q58" s="190">
        <f>P57*'01_Вводные'!$B$14</f>
        <v/>
      </c>
      <c r="R58" s="190">
        <f>Q57*'01_Вводные'!$B$14</f>
        <v/>
      </c>
      <c r="S58" s="190">
        <f>R57*'01_Вводные'!$B$14</f>
        <v/>
      </c>
      <c r="T58" s="190">
        <f>S57*'01_Вводные'!$B$14</f>
        <v/>
      </c>
      <c r="U58" s="190">
        <f>T57*'01_Вводные'!$B$14</f>
        <v/>
      </c>
      <c r="V58" s="190">
        <f>U57*'01_Вводные'!$B$14</f>
        <v/>
      </c>
      <c r="W58" s="190">
        <f>V57*'01_Вводные'!$B$14</f>
        <v/>
      </c>
      <c r="X58" s="190">
        <f>W57*'01_Вводные'!$B$14</f>
        <v/>
      </c>
      <c r="Y58" s="190">
        <f>X57*'01_Вводные'!$B$14</f>
        <v/>
      </c>
      <c r="Z58" s="190">
        <f>Y57*'01_Вводные'!$B$14</f>
        <v/>
      </c>
      <c r="AA58" s="190">
        <f>Z57*'01_Вводные'!$B$14</f>
        <v/>
      </c>
      <c r="AB58" s="190">
        <f>AA57*'01_Вводные'!$B$14</f>
        <v/>
      </c>
      <c r="AC58" s="190">
        <f>AB57*'01_Вводные'!$B$14</f>
        <v/>
      </c>
      <c r="AD58" s="190">
        <f>AC57*'01_Вводные'!$B$14</f>
        <v/>
      </c>
      <c r="AE58" s="190">
        <f>AD57*'01_Вводные'!$B$14</f>
        <v/>
      </c>
      <c r="AF58" s="190">
        <f>AE57*'01_Вводные'!$B$14</f>
        <v/>
      </c>
      <c r="AG58" s="190">
        <f>AF57*'01_Вводные'!$B$14</f>
        <v/>
      </c>
      <c r="AH58" s="190">
        <f>AG57*'01_Вводные'!$B$14</f>
        <v/>
      </c>
      <c r="AI58" s="190">
        <f>AH57*'01_Вводные'!$B$14</f>
        <v/>
      </c>
      <c r="AJ58" s="190">
        <f>AI57*'01_Вводные'!$B$14</f>
        <v/>
      </c>
      <c r="AK58" s="190">
        <f>AJ57*'01_Вводные'!$B$14</f>
        <v/>
      </c>
      <c r="AL58" s="190">
        <f>AK57*'01_Вводные'!$B$14</f>
        <v/>
      </c>
      <c r="AM58" s="190">
        <f>AL57*'01_Вводные'!$B$14</f>
        <v/>
      </c>
      <c r="AN58" s="190">
        <f>AM57*'01_Вводные'!$B$14</f>
        <v/>
      </c>
      <c r="AO58" s="190">
        <f>AN57*'01_Вводные'!$B$14</f>
        <v/>
      </c>
      <c r="AP58" s="190">
        <f>AO57*'01_Вводные'!$B$14</f>
        <v/>
      </c>
      <c r="AQ58" s="190">
        <f>AP57*'01_Вводные'!$B$14</f>
        <v/>
      </c>
      <c r="AR58" s="190">
        <f>AQ57*'01_Вводные'!$B$14</f>
        <v/>
      </c>
      <c r="AS58" s="190">
        <f>AR57*'01_Вводные'!$B$14</f>
        <v/>
      </c>
      <c r="AT58" s="190">
        <f>AS57*'01_Вводные'!$B$14</f>
        <v/>
      </c>
      <c r="AU58" s="190">
        <f>AT57*'01_Вводные'!$B$14</f>
        <v/>
      </c>
      <c r="AV58" s="190">
        <f>AU57*'01_Вводные'!$B$14</f>
        <v/>
      </c>
      <c r="AW58" s="190">
        <f>AV57*'01_Вводные'!$B$14</f>
        <v/>
      </c>
      <c r="AX58" s="190">
        <f>AW57*'01_Вводные'!$B$14</f>
        <v/>
      </c>
      <c r="AY58" s="190">
        <f>AX57*'01_Вводные'!$B$14</f>
        <v/>
      </c>
      <c r="AZ58" s="190">
        <f>AY57*'01_Вводные'!$B$14</f>
        <v/>
      </c>
      <c r="BA58" s="190">
        <f>AZ57*'01_Вводные'!$B$14</f>
        <v/>
      </c>
      <c r="BB58" s="190">
        <f>BA57*'01_Вводные'!$B$14</f>
        <v/>
      </c>
      <c r="BC58" s="190">
        <f>BB57*'01_Вводные'!$B$14</f>
        <v/>
      </c>
      <c r="BD58" s="190">
        <f>BC57*'01_Вводные'!$B$14</f>
        <v/>
      </c>
      <c r="BE58" s="190">
        <f>BD57*'01_Вводные'!$B$14</f>
        <v/>
      </c>
      <c r="BF58" s="190">
        <f>BE57*'01_Вводные'!$B$14</f>
        <v/>
      </c>
      <c r="BG58" s="190">
        <f>BF57*'01_Вводные'!$B$14</f>
        <v/>
      </c>
      <c r="BH58" s="190">
        <f>BG57*'01_Вводные'!$B$14</f>
        <v/>
      </c>
      <c r="BI58" s="190">
        <f>BH57*'01_Вводные'!$B$14</f>
        <v/>
      </c>
      <c r="BJ58" s="190">
        <f>BI57*'01_Вводные'!$B$14</f>
        <v/>
      </c>
      <c r="BK58" s="190">
        <f>BJ57*'01_Вводные'!$B$14</f>
        <v/>
      </c>
      <c r="BL58" s="190">
        <f>BK57*'01_Вводные'!$B$14</f>
        <v/>
      </c>
      <c r="BM58" s="190">
        <f>BL57*'01_Вводные'!$B$14</f>
        <v/>
      </c>
      <c r="BN58" s="190">
        <f>BM57*'01_Вводные'!$B$14</f>
        <v/>
      </c>
      <c r="BO58" s="190">
        <f>BN57*'01_Вводные'!$B$14</f>
        <v/>
      </c>
    </row>
    <row r="59" hidden="1" outlineLevel="1">
      <c r="A59" t="inlineStr">
        <is>
          <t>7 мес.</t>
        </is>
      </c>
      <c r="B59" s="189">
        <f>0</f>
        <v/>
      </c>
      <c r="C59" s="190">
        <f>B58*'01_Вводные'!$B$14</f>
        <v/>
      </c>
      <c r="D59" s="190">
        <f>C58*'01_Вводные'!$B$14</f>
        <v/>
      </c>
      <c r="E59" s="190">
        <f>D58*'01_Вводные'!$B$14</f>
        <v/>
      </c>
      <c r="F59" s="190">
        <f>E58*'01_Вводные'!$B$14</f>
        <v/>
      </c>
      <c r="G59" s="190">
        <f>F58*'01_Вводные'!$B$14</f>
        <v/>
      </c>
      <c r="H59" s="190">
        <f>G58*'01_Вводные'!$B$14</f>
        <v/>
      </c>
      <c r="I59" s="190">
        <f>H58*'01_Вводные'!$B$14</f>
        <v/>
      </c>
      <c r="J59" s="190">
        <f>I58*'01_Вводные'!$B$14</f>
        <v/>
      </c>
      <c r="K59" s="190">
        <f>J58*'01_Вводные'!$B$14</f>
        <v/>
      </c>
      <c r="L59" s="190">
        <f>K58*'01_Вводные'!$B$14</f>
        <v/>
      </c>
      <c r="M59" s="190">
        <f>L58*'01_Вводные'!$B$14</f>
        <v/>
      </c>
      <c r="N59" s="190">
        <f>M58*'01_Вводные'!$B$14</f>
        <v/>
      </c>
      <c r="O59" s="190">
        <f>N58*'01_Вводные'!$B$14</f>
        <v/>
      </c>
      <c r="P59" s="190">
        <f>O58*'01_Вводные'!$B$14</f>
        <v/>
      </c>
      <c r="Q59" s="190">
        <f>P58*'01_Вводные'!$B$14</f>
        <v/>
      </c>
      <c r="R59" s="190">
        <f>Q58*'01_Вводные'!$B$14</f>
        <v/>
      </c>
      <c r="S59" s="190">
        <f>R58*'01_Вводные'!$B$14</f>
        <v/>
      </c>
      <c r="T59" s="190">
        <f>S58*'01_Вводные'!$B$14</f>
        <v/>
      </c>
      <c r="U59" s="190">
        <f>T58*'01_Вводные'!$B$14</f>
        <v/>
      </c>
      <c r="V59" s="190">
        <f>U58*'01_Вводные'!$B$14</f>
        <v/>
      </c>
      <c r="W59" s="190">
        <f>V58*'01_Вводные'!$B$14</f>
        <v/>
      </c>
      <c r="X59" s="190">
        <f>W58*'01_Вводные'!$B$14</f>
        <v/>
      </c>
      <c r="Y59" s="190">
        <f>X58*'01_Вводные'!$B$14</f>
        <v/>
      </c>
      <c r="Z59" s="190">
        <f>Y58*'01_Вводные'!$B$14</f>
        <v/>
      </c>
      <c r="AA59" s="190">
        <f>Z58*'01_Вводные'!$B$14</f>
        <v/>
      </c>
      <c r="AB59" s="190">
        <f>AA58*'01_Вводные'!$B$14</f>
        <v/>
      </c>
      <c r="AC59" s="190">
        <f>AB58*'01_Вводные'!$B$14</f>
        <v/>
      </c>
      <c r="AD59" s="190">
        <f>AC58*'01_Вводные'!$B$14</f>
        <v/>
      </c>
      <c r="AE59" s="190">
        <f>AD58*'01_Вводные'!$B$14</f>
        <v/>
      </c>
      <c r="AF59" s="190">
        <f>AE58*'01_Вводные'!$B$14</f>
        <v/>
      </c>
      <c r="AG59" s="190">
        <f>AF58*'01_Вводные'!$B$14</f>
        <v/>
      </c>
      <c r="AH59" s="190">
        <f>AG58*'01_Вводные'!$B$14</f>
        <v/>
      </c>
      <c r="AI59" s="190">
        <f>AH58*'01_Вводные'!$B$14</f>
        <v/>
      </c>
      <c r="AJ59" s="190">
        <f>AI58*'01_Вводные'!$B$14</f>
        <v/>
      </c>
      <c r="AK59" s="190">
        <f>AJ58*'01_Вводные'!$B$14</f>
        <v/>
      </c>
      <c r="AL59" s="190">
        <f>AK58*'01_Вводные'!$B$14</f>
        <v/>
      </c>
      <c r="AM59" s="190">
        <f>AL58*'01_Вводные'!$B$14</f>
        <v/>
      </c>
      <c r="AN59" s="190">
        <f>AM58*'01_Вводные'!$B$14</f>
        <v/>
      </c>
      <c r="AO59" s="190">
        <f>AN58*'01_Вводные'!$B$14</f>
        <v/>
      </c>
      <c r="AP59" s="190">
        <f>AO58*'01_Вводные'!$B$14</f>
        <v/>
      </c>
      <c r="AQ59" s="190">
        <f>AP58*'01_Вводные'!$B$14</f>
        <v/>
      </c>
      <c r="AR59" s="190">
        <f>AQ58*'01_Вводные'!$B$14</f>
        <v/>
      </c>
      <c r="AS59" s="190">
        <f>AR58*'01_Вводные'!$B$14</f>
        <v/>
      </c>
      <c r="AT59" s="190">
        <f>AS58*'01_Вводные'!$B$14</f>
        <v/>
      </c>
      <c r="AU59" s="190">
        <f>AT58*'01_Вводные'!$B$14</f>
        <v/>
      </c>
      <c r="AV59" s="190">
        <f>AU58*'01_Вводные'!$B$14</f>
        <v/>
      </c>
      <c r="AW59" s="190">
        <f>AV58*'01_Вводные'!$B$14</f>
        <v/>
      </c>
      <c r="AX59" s="190">
        <f>AW58*'01_Вводные'!$B$14</f>
        <v/>
      </c>
      <c r="AY59" s="190">
        <f>AX58*'01_Вводные'!$B$14</f>
        <v/>
      </c>
      <c r="AZ59" s="190">
        <f>AY58*'01_Вводные'!$B$14</f>
        <v/>
      </c>
      <c r="BA59" s="190">
        <f>AZ58*'01_Вводные'!$B$14</f>
        <v/>
      </c>
      <c r="BB59" s="190">
        <f>BA58*'01_Вводные'!$B$14</f>
        <v/>
      </c>
      <c r="BC59" s="190">
        <f>BB58*'01_Вводные'!$B$14</f>
        <v/>
      </c>
      <c r="BD59" s="190">
        <f>BC58*'01_Вводные'!$B$14</f>
        <v/>
      </c>
      <c r="BE59" s="190">
        <f>BD58*'01_Вводные'!$B$14</f>
        <v/>
      </c>
      <c r="BF59" s="190">
        <f>BE58*'01_Вводные'!$B$14</f>
        <v/>
      </c>
      <c r="BG59" s="190">
        <f>BF58*'01_Вводные'!$B$14</f>
        <v/>
      </c>
      <c r="BH59" s="190">
        <f>BG58*'01_Вводные'!$B$14</f>
        <v/>
      </c>
      <c r="BI59" s="190">
        <f>BH58*'01_Вводные'!$B$14</f>
        <v/>
      </c>
      <c r="BJ59" s="190">
        <f>BI58*'01_Вводные'!$B$14</f>
        <v/>
      </c>
      <c r="BK59" s="190">
        <f>BJ58*'01_Вводные'!$B$14</f>
        <v/>
      </c>
      <c r="BL59" s="190">
        <f>BK58*'01_Вводные'!$B$14</f>
        <v/>
      </c>
      <c r="BM59" s="190">
        <f>BL58*'01_Вводные'!$B$14</f>
        <v/>
      </c>
      <c r="BN59" s="190">
        <f>BM58*'01_Вводные'!$B$14</f>
        <v/>
      </c>
      <c r="BO59" s="190">
        <f>BN58*'01_Вводные'!$B$14</f>
        <v/>
      </c>
    </row>
    <row r="60" hidden="1" outlineLevel="1">
      <c r="A60" t="inlineStr">
        <is>
          <t>8 мес.</t>
        </is>
      </c>
      <c r="B60" s="189">
        <f>0</f>
        <v/>
      </c>
      <c r="C60" s="190">
        <f>B59*'01_Вводные'!$B$14</f>
        <v/>
      </c>
      <c r="D60" s="190">
        <f>C59*'01_Вводные'!$B$14</f>
        <v/>
      </c>
      <c r="E60" s="190">
        <f>D59*'01_Вводные'!$B$14</f>
        <v/>
      </c>
      <c r="F60" s="190">
        <f>E59*'01_Вводные'!$B$14</f>
        <v/>
      </c>
      <c r="G60" s="190">
        <f>F59*'01_Вводные'!$B$14</f>
        <v/>
      </c>
      <c r="H60" s="190">
        <f>G59*'01_Вводные'!$B$14</f>
        <v/>
      </c>
      <c r="I60" s="190">
        <f>H59*'01_Вводные'!$B$14</f>
        <v/>
      </c>
      <c r="J60" s="190">
        <f>I59*'01_Вводные'!$B$14</f>
        <v/>
      </c>
      <c r="K60" s="190">
        <f>J59*'01_Вводные'!$B$14</f>
        <v/>
      </c>
      <c r="L60" s="190">
        <f>K59*'01_Вводные'!$B$14</f>
        <v/>
      </c>
      <c r="M60" s="190">
        <f>L59*'01_Вводные'!$B$14</f>
        <v/>
      </c>
      <c r="N60" s="190">
        <f>M59*'01_Вводные'!$B$14</f>
        <v/>
      </c>
      <c r="O60" s="190">
        <f>N59*'01_Вводные'!$B$14</f>
        <v/>
      </c>
      <c r="P60" s="190">
        <f>O59*'01_Вводные'!$B$14</f>
        <v/>
      </c>
      <c r="Q60" s="190">
        <f>P59*'01_Вводные'!$B$14</f>
        <v/>
      </c>
      <c r="R60" s="190">
        <f>Q59*'01_Вводные'!$B$14</f>
        <v/>
      </c>
      <c r="S60" s="190">
        <f>R59*'01_Вводные'!$B$14</f>
        <v/>
      </c>
      <c r="T60" s="190">
        <f>S59*'01_Вводные'!$B$14</f>
        <v/>
      </c>
      <c r="U60" s="190">
        <f>T59*'01_Вводные'!$B$14</f>
        <v/>
      </c>
      <c r="V60" s="190">
        <f>U59*'01_Вводные'!$B$14</f>
        <v/>
      </c>
      <c r="W60" s="190">
        <f>V59*'01_Вводные'!$B$14</f>
        <v/>
      </c>
      <c r="X60" s="190">
        <f>W59*'01_Вводные'!$B$14</f>
        <v/>
      </c>
      <c r="Y60" s="190">
        <f>X59*'01_Вводные'!$B$14</f>
        <v/>
      </c>
      <c r="Z60" s="190">
        <f>Y59*'01_Вводные'!$B$14</f>
        <v/>
      </c>
      <c r="AA60" s="190">
        <f>Z59*'01_Вводные'!$B$14</f>
        <v/>
      </c>
      <c r="AB60" s="190">
        <f>AA59*'01_Вводные'!$B$14</f>
        <v/>
      </c>
      <c r="AC60" s="190">
        <f>AB59*'01_Вводные'!$B$14</f>
        <v/>
      </c>
      <c r="AD60" s="190">
        <f>AC59*'01_Вводные'!$B$14</f>
        <v/>
      </c>
      <c r="AE60" s="190">
        <f>AD59*'01_Вводные'!$B$14</f>
        <v/>
      </c>
      <c r="AF60" s="190">
        <f>AE59*'01_Вводные'!$B$14</f>
        <v/>
      </c>
      <c r="AG60" s="190">
        <f>AF59*'01_Вводные'!$B$14</f>
        <v/>
      </c>
      <c r="AH60" s="190">
        <f>AG59*'01_Вводные'!$B$14</f>
        <v/>
      </c>
      <c r="AI60" s="190">
        <f>AH59*'01_Вводные'!$B$14</f>
        <v/>
      </c>
      <c r="AJ60" s="190">
        <f>AI59*'01_Вводные'!$B$14</f>
        <v/>
      </c>
      <c r="AK60" s="190">
        <f>AJ59*'01_Вводные'!$B$14</f>
        <v/>
      </c>
      <c r="AL60" s="190">
        <f>AK59*'01_Вводные'!$B$14</f>
        <v/>
      </c>
      <c r="AM60" s="190">
        <f>AL59*'01_Вводные'!$B$14</f>
        <v/>
      </c>
      <c r="AN60" s="190">
        <f>AM59*'01_Вводные'!$B$14</f>
        <v/>
      </c>
      <c r="AO60" s="190">
        <f>AN59*'01_Вводные'!$B$14</f>
        <v/>
      </c>
      <c r="AP60" s="190">
        <f>AO59*'01_Вводные'!$B$14</f>
        <v/>
      </c>
      <c r="AQ60" s="190">
        <f>AP59*'01_Вводные'!$B$14</f>
        <v/>
      </c>
      <c r="AR60" s="190">
        <f>AQ59*'01_Вводные'!$B$14</f>
        <v/>
      </c>
      <c r="AS60" s="190">
        <f>AR59*'01_Вводные'!$B$14</f>
        <v/>
      </c>
      <c r="AT60" s="190">
        <f>AS59*'01_Вводные'!$B$14</f>
        <v/>
      </c>
      <c r="AU60" s="190">
        <f>AT59*'01_Вводные'!$B$14</f>
        <v/>
      </c>
      <c r="AV60" s="190">
        <f>AU59*'01_Вводные'!$B$14</f>
        <v/>
      </c>
      <c r="AW60" s="190">
        <f>AV59*'01_Вводные'!$B$14</f>
        <v/>
      </c>
      <c r="AX60" s="190">
        <f>AW59*'01_Вводные'!$B$14</f>
        <v/>
      </c>
      <c r="AY60" s="190">
        <f>AX59*'01_Вводные'!$B$14</f>
        <v/>
      </c>
      <c r="AZ60" s="190">
        <f>AY59*'01_Вводные'!$B$14</f>
        <v/>
      </c>
      <c r="BA60" s="190">
        <f>AZ59*'01_Вводные'!$B$14</f>
        <v/>
      </c>
      <c r="BB60" s="190">
        <f>BA59*'01_Вводные'!$B$14</f>
        <v/>
      </c>
      <c r="BC60" s="190">
        <f>BB59*'01_Вводные'!$B$14</f>
        <v/>
      </c>
      <c r="BD60" s="190">
        <f>BC59*'01_Вводные'!$B$14</f>
        <v/>
      </c>
      <c r="BE60" s="190">
        <f>BD59*'01_Вводные'!$B$14</f>
        <v/>
      </c>
      <c r="BF60" s="190">
        <f>BE59*'01_Вводные'!$B$14</f>
        <v/>
      </c>
      <c r="BG60" s="190">
        <f>BF59*'01_Вводные'!$B$14</f>
        <v/>
      </c>
      <c r="BH60" s="190">
        <f>BG59*'01_Вводные'!$B$14</f>
        <v/>
      </c>
      <c r="BI60" s="190">
        <f>BH59*'01_Вводные'!$B$14</f>
        <v/>
      </c>
      <c r="BJ60" s="190">
        <f>BI59*'01_Вводные'!$B$14</f>
        <v/>
      </c>
      <c r="BK60" s="190">
        <f>BJ59*'01_Вводные'!$B$14</f>
        <v/>
      </c>
      <c r="BL60" s="190">
        <f>BK59*'01_Вводные'!$B$14</f>
        <v/>
      </c>
      <c r="BM60" s="190">
        <f>BL59*'01_Вводные'!$B$14</f>
        <v/>
      </c>
      <c r="BN60" s="190">
        <f>BM59*'01_Вводные'!$B$14</f>
        <v/>
      </c>
      <c r="BO60" s="190">
        <f>BN59*'01_Вводные'!$B$14</f>
        <v/>
      </c>
    </row>
    <row r="61" hidden="1" outlineLevel="1">
      <c r="A61" t="inlineStr">
        <is>
          <t>9 мес.</t>
        </is>
      </c>
      <c r="B61" s="189">
        <f>0</f>
        <v/>
      </c>
      <c r="C61" s="190">
        <f>B60*'01_Вводные'!$B$14</f>
        <v/>
      </c>
      <c r="D61" s="190">
        <f>C60*'01_Вводные'!$B$14</f>
        <v/>
      </c>
      <c r="E61" s="190">
        <f>D60*'01_Вводные'!$B$14</f>
        <v/>
      </c>
      <c r="F61" s="190">
        <f>E60*'01_Вводные'!$B$14</f>
        <v/>
      </c>
      <c r="G61" s="190">
        <f>F60*'01_Вводные'!$B$14</f>
        <v/>
      </c>
      <c r="H61" s="190">
        <f>G60*'01_Вводные'!$B$14</f>
        <v/>
      </c>
      <c r="I61" s="190">
        <f>H60*'01_Вводные'!$B$14</f>
        <v/>
      </c>
      <c r="J61" s="190">
        <f>I60*'01_Вводные'!$B$14</f>
        <v/>
      </c>
      <c r="K61" s="190">
        <f>J60*'01_Вводные'!$B$14</f>
        <v/>
      </c>
      <c r="L61" s="190">
        <f>K60*'01_Вводные'!$B$14</f>
        <v/>
      </c>
      <c r="M61" s="190">
        <f>L60*'01_Вводные'!$B$14</f>
        <v/>
      </c>
      <c r="N61" s="190">
        <f>M60*'01_Вводные'!$B$14</f>
        <v/>
      </c>
      <c r="O61" s="190">
        <f>N60*'01_Вводные'!$B$14</f>
        <v/>
      </c>
      <c r="P61" s="190">
        <f>O60*'01_Вводные'!$B$14</f>
        <v/>
      </c>
      <c r="Q61" s="190">
        <f>P60*'01_Вводные'!$B$14</f>
        <v/>
      </c>
      <c r="R61" s="190">
        <f>Q60*'01_Вводные'!$B$14</f>
        <v/>
      </c>
      <c r="S61" s="190">
        <f>R60*'01_Вводные'!$B$14</f>
        <v/>
      </c>
      <c r="T61" s="190">
        <f>S60*'01_Вводные'!$B$14</f>
        <v/>
      </c>
      <c r="U61" s="190">
        <f>T60*'01_Вводные'!$B$14</f>
        <v/>
      </c>
      <c r="V61" s="190">
        <f>U60*'01_Вводные'!$B$14</f>
        <v/>
      </c>
      <c r="W61" s="190">
        <f>V60*'01_Вводные'!$B$14</f>
        <v/>
      </c>
      <c r="X61" s="190">
        <f>W60*'01_Вводные'!$B$14</f>
        <v/>
      </c>
      <c r="Y61" s="190">
        <f>X60*'01_Вводные'!$B$14</f>
        <v/>
      </c>
      <c r="Z61" s="190">
        <f>Y60*'01_Вводные'!$B$14</f>
        <v/>
      </c>
      <c r="AA61" s="190">
        <f>Z60*'01_Вводные'!$B$14</f>
        <v/>
      </c>
      <c r="AB61" s="190">
        <f>AA60*'01_Вводные'!$B$14</f>
        <v/>
      </c>
      <c r="AC61" s="190">
        <f>AB60*'01_Вводные'!$B$14</f>
        <v/>
      </c>
      <c r="AD61" s="190">
        <f>AC60*'01_Вводные'!$B$14</f>
        <v/>
      </c>
      <c r="AE61" s="190">
        <f>AD60*'01_Вводные'!$B$14</f>
        <v/>
      </c>
      <c r="AF61" s="190">
        <f>AE60*'01_Вводные'!$B$14</f>
        <v/>
      </c>
      <c r="AG61" s="190">
        <f>AF60*'01_Вводные'!$B$14</f>
        <v/>
      </c>
      <c r="AH61" s="190">
        <f>AG60*'01_Вводные'!$B$14</f>
        <v/>
      </c>
      <c r="AI61" s="190">
        <f>AH60*'01_Вводные'!$B$14</f>
        <v/>
      </c>
      <c r="AJ61" s="190">
        <f>AI60*'01_Вводные'!$B$14</f>
        <v/>
      </c>
      <c r="AK61" s="190">
        <f>AJ60*'01_Вводные'!$B$14</f>
        <v/>
      </c>
      <c r="AL61" s="190">
        <f>AK60*'01_Вводные'!$B$14</f>
        <v/>
      </c>
      <c r="AM61" s="190">
        <f>AL60*'01_Вводные'!$B$14</f>
        <v/>
      </c>
      <c r="AN61" s="190">
        <f>AM60*'01_Вводные'!$B$14</f>
        <v/>
      </c>
      <c r="AO61" s="190">
        <f>AN60*'01_Вводные'!$B$14</f>
        <v/>
      </c>
      <c r="AP61" s="190">
        <f>AO60*'01_Вводные'!$B$14</f>
        <v/>
      </c>
      <c r="AQ61" s="190">
        <f>AP60*'01_Вводные'!$B$14</f>
        <v/>
      </c>
      <c r="AR61" s="190">
        <f>AQ60*'01_Вводные'!$B$14</f>
        <v/>
      </c>
      <c r="AS61" s="190">
        <f>AR60*'01_Вводные'!$B$14</f>
        <v/>
      </c>
      <c r="AT61" s="190">
        <f>AS60*'01_Вводные'!$B$14</f>
        <v/>
      </c>
      <c r="AU61" s="190">
        <f>AT60*'01_Вводные'!$B$14</f>
        <v/>
      </c>
      <c r="AV61" s="190">
        <f>AU60*'01_Вводные'!$B$14</f>
        <v/>
      </c>
      <c r="AW61" s="190">
        <f>AV60*'01_Вводные'!$B$14</f>
        <v/>
      </c>
      <c r="AX61" s="190">
        <f>AW60*'01_Вводные'!$B$14</f>
        <v/>
      </c>
      <c r="AY61" s="190">
        <f>AX60*'01_Вводные'!$B$14</f>
        <v/>
      </c>
      <c r="AZ61" s="190">
        <f>AY60*'01_Вводные'!$B$14</f>
        <v/>
      </c>
      <c r="BA61" s="190">
        <f>AZ60*'01_Вводные'!$B$14</f>
        <v/>
      </c>
      <c r="BB61" s="190">
        <f>BA60*'01_Вводные'!$B$14</f>
        <v/>
      </c>
      <c r="BC61" s="190">
        <f>BB60*'01_Вводные'!$B$14</f>
        <v/>
      </c>
      <c r="BD61" s="190">
        <f>BC60*'01_Вводные'!$B$14</f>
        <v/>
      </c>
      <c r="BE61" s="190">
        <f>BD60*'01_Вводные'!$B$14</f>
        <v/>
      </c>
      <c r="BF61" s="190">
        <f>BE60*'01_Вводные'!$B$14</f>
        <v/>
      </c>
      <c r="BG61" s="190">
        <f>BF60*'01_Вводные'!$B$14</f>
        <v/>
      </c>
      <c r="BH61" s="190">
        <f>BG60*'01_Вводные'!$B$14</f>
        <v/>
      </c>
      <c r="BI61" s="190">
        <f>BH60*'01_Вводные'!$B$14</f>
        <v/>
      </c>
      <c r="BJ61" s="190">
        <f>BI60*'01_Вводные'!$B$14</f>
        <v/>
      </c>
      <c r="BK61" s="190">
        <f>BJ60*'01_Вводные'!$B$14</f>
        <v/>
      </c>
      <c r="BL61" s="190">
        <f>BK60*'01_Вводные'!$B$14</f>
        <v/>
      </c>
      <c r="BM61" s="190">
        <f>BL60*'01_Вводные'!$B$14</f>
        <v/>
      </c>
      <c r="BN61" s="190">
        <f>BM60*'01_Вводные'!$B$14</f>
        <v/>
      </c>
      <c r="BO61" s="190">
        <f>BN60*'01_Вводные'!$B$14</f>
        <v/>
      </c>
    </row>
    <row r="62" hidden="1" outlineLevel="1">
      <c r="A62" t="inlineStr">
        <is>
          <t>10 мес.</t>
        </is>
      </c>
      <c r="B62" s="189">
        <f>0</f>
        <v/>
      </c>
      <c r="C62" s="190">
        <f>B61*'01_Вводные'!$B$14</f>
        <v/>
      </c>
      <c r="D62" s="190">
        <f>C61*'01_Вводные'!$B$14</f>
        <v/>
      </c>
      <c r="E62" s="190">
        <f>D61*'01_Вводные'!$B$14</f>
        <v/>
      </c>
      <c r="F62" s="190">
        <f>E61*'01_Вводные'!$B$14</f>
        <v/>
      </c>
      <c r="G62" s="190">
        <f>F61*'01_Вводные'!$B$14</f>
        <v/>
      </c>
      <c r="H62" s="190">
        <f>G61*'01_Вводные'!$B$14</f>
        <v/>
      </c>
      <c r="I62" s="190">
        <f>H61*'01_Вводные'!$B$14</f>
        <v/>
      </c>
      <c r="J62" s="190">
        <f>I61*'01_Вводные'!$B$14</f>
        <v/>
      </c>
      <c r="K62" s="190">
        <f>J61*'01_Вводные'!$B$14</f>
        <v/>
      </c>
      <c r="L62" s="190">
        <f>K61*'01_Вводные'!$B$14</f>
        <v/>
      </c>
      <c r="M62" s="190">
        <f>L61*'01_Вводные'!$B$14</f>
        <v/>
      </c>
      <c r="N62" s="190">
        <f>M61*'01_Вводные'!$B$14</f>
        <v/>
      </c>
      <c r="O62" s="190">
        <f>N61*'01_Вводные'!$B$14</f>
        <v/>
      </c>
      <c r="P62" s="190">
        <f>O61*'01_Вводные'!$B$14</f>
        <v/>
      </c>
      <c r="Q62" s="190">
        <f>P61*'01_Вводные'!$B$14</f>
        <v/>
      </c>
      <c r="R62" s="190">
        <f>Q61*'01_Вводные'!$B$14</f>
        <v/>
      </c>
      <c r="S62" s="190">
        <f>R61*'01_Вводные'!$B$14</f>
        <v/>
      </c>
      <c r="T62" s="190">
        <f>S61*'01_Вводные'!$B$14</f>
        <v/>
      </c>
      <c r="U62" s="190">
        <f>T61*'01_Вводные'!$B$14</f>
        <v/>
      </c>
      <c r="V62" s="190">
        <f>U61*'01_Вводные'!$B$14</f>
        <v/>
      </c>
      <c r="W62" s="190">
        <f>V61*'01_Вводные'!$B$14</f>
        <v/>
      </c>
      <c r="X62" s="190">
        <f>W61*'01_Вводные'!$B$14</f>
        <v/>
      </c>
      <c r="Y62" s="190">
        <f>X61*'01_Вводные'!$B$14</f>
        <v/>
      </c>
      <c r="Z62" s="190">
        <f>Y61*'01_Вводные'!$B$14</f>
        <v/>
      </c>
      <c r="AA62" s="190">
        <f>Z61*'01_Вводные'!$B$14</f>
        <v/>
      </c>
      <c r="AB62" s="190">
        <f>AA61*'01_Вводные'!$B$14</f>
        <v/>
      </c>
      <c r="AC62" s="190">
        <f>AB61*'01_Вводные'!$B$14</f>
        <v/>
      </c>
      <c r="AD62" s="190">
        <f>AC61*'01_Вводные'!$B$14</f>
        <v/>
      </c>
      <c r="AE62" s="190">
        <f>AD61*'01_Вводные'!$B$14</f>
        <v/>
      </c>
      <c r="AF62" s="190">
        <f>AE61*'01_Вводные'!$B$14</f>
        <v/>
      </c>
      <c r="AG62" s="190">
        <f>AF61*'01_Вводные'!$B$14</f>
        <v/>
      </c>
      <c r="AH62" s="190">
        <f>AG61*'01_Вводные'!$B$14</f>
        <v/>
      </c>
      <c r="AI62" s="190">
        <f>AH61*'01_Вводные'!$B$14</f>
        <v/>
      </c>
      <c r="AJ62" s="190">
        <f>AI61*'01_Вводные'!$B$14</f>
        <v/>
      </c>
      <c r="AK62" s="190">
        <f>AJ61*'01_Вводные'!$B$14</f>
        <v/>
      </c>
      <c r="AL62" s="190">
        <f>AK61*'01_Вводные'!$B$14</f>
        <v/>
      </c>
      <c r="AM62" s="190">
        <f>AL61*'01_Вводные'!$B$14</f>
        <v/>
      </c>
      <c r="AN62" s="190">
        <f>AM61*'01_Вводные'!$B$14</f>
        <v/>
      </c>
      <c r="AO62" s="190">
        <f>AN61*'01_Вводные'!$B$14</f>
        <v/>
      </c>
      <c r="AP62" s="190">
        <f>AO61*'01_Вводные'!$B$14</f>
        <v/>
      </c>
      <c r="AQ62" s="190">
        <f>AP61*'01_Вводные'!$B$14</f>
        <v/>
      </c>
      <c r="AR62" s="190">
        <f>AQ61*'01_Вводные'!$B$14</f>
        <v/>
      </c>
      <c r="AS62" s="190">
        <f>AR61*'01_Вводные'!$B$14</f>
        <v/>
      </c>
      <c r="AT62" s="190">
        <f>AS61*'01_Вводные'!$B$14</f>
        <v/>
      </c>
      <c r="AU62" s="190">
        <f>AT61*'01_Вводные'!$B$14</f>
        <v/>
      </c>
      <c r="AV62" s="190">
        <f>AU61*'01_Вводные'!$B$14</f>
        <v/>
      </c>
      <c r="AW62" s="190">
        <f>AV61*'01_Вводные'!$B$14</f>
        <v/>
      </c>
      <c r="AX62" s="190">
        <f>AW61*'01_Вводные'!$B$14</f>
        <v/>
      </c>
      <c r="AY62" s="190">
        <f>AX61*'01_Вводные'!$B$14</f>
        <v/>
      </c>
      <c r="AZ62" s="190">
        <f>AY61*'01_Вводные'!$B$14</f>
        <v/>
      </c>
      <c r="BA62" s="190">
        <f>AZ61*'01_Вводные'!$B$14</f>
        <v/>
      </c>
      <c r="BB62" s="190">
        <f>BA61*'01_Вводные'!$B$14</f>
        <v/>
      </c>
      <c r="BC62" s="190">
        <f>BB61*'01_Вводные'!$B$14</f>
        <v/>
      </c>
      <c r="BD62" s="190">
        <f>BC61*'01_Вводные'!$B$14</f>
        <v/>
      </c>
      <c r="BE62" s="190">
        <f>BD61*'01_Вводные'!$B$14</f>
        <v/>
      </c>
      <c r="BF62" s="190">
        <f>BE61*'01_Вводные'!$B$14</f>
        <v/>
      </c>
      <c r="BG62" s="190">
        <f>BF61*'01_Вводные'!$B$14</f>
        <v/>
      </c>
      <c r="BH62" s="190">
        <f>BG61*'01_Вводные'!$B$14</f>
        <v/>
      </c>
      <c r="BI62" s="190">
        <f>BH61*'01_Вводные'!$B$14</f>
        <v/>
      </c>
      <c r="BJ62" s="190">
        <f>BI61*'01_Вводные'!$B$14</f>
        <v/>
      </c>
      <c r="BK62" s="190">
        <f>BJ61*'01_Вводные'!$B$14</f>
        <v/>
      </c>
      <c r="BL62" s="190">
        <f>BK61*'01_Вводные'!$B$14</f>
        <v/>
      </c>
      <c r="BM62" s="190">
        <f>BL61*'01_Вводные'!$B$14</f>
        <v/>
      </c>
      <c r="BN62" s="190">
        <f>BM61*'01_Вводные'!$B$14</f>
        <v/>
      </c>
      <c r="BO62" s="190">
        <f>BN61*'01_Вводные'!$B$14</f>
        <v/>
      </c>
    </row>
    <row r="63" hidden="1" outlineLevel="1">
      <c r="A63" t="inlineStr">
        <is>
          <t>11 мес.</t>
        </is>
      </c>
      <c r="B63" s="189">
        <f>0</f>
        <v/>
      </c>
      <c r="C63" s="190">
        <f>B62*'01_Вводные'!$B$14</f>
        <v/>
      </c>
      <c r="D63" s="190">
        <f>C62*'01_Вводные'!$B$14</f>
        <v/>
      </c>
      <c r="E63" s="190">
        <f>D62*'01_Вводные'!$B$14</f>
        <v/>
      </c>
      <c r="F63" s="190">
        <f>E62*'01_Вводные'!$B$14</f>
        <v/>
      </c>
      <c r="G63" s="190">
        <f>F62*'01_Вводные'!$B$14</f>
        <v/>
      </c>
      <c r="H63" s="190">
        <f>G62*'01_Вводные'!$B$14</f>
        <v/>
      </c>
      <c r="I63" s="190">
        <f>H62*'01_Вводные'!$B$14</f>
        <v/>
      </c>
      <c r="J63" s="190">
        <f>I62*'01_Вводные'!$B$14</f>
        <v/>
      </c>
      <c r="K63" s="190">
        <f>J62*'01_Вводные'!$B$14</f>
        <v/>
      </c>
      <c r="L63" s="190">
        <f>K62*'01_Вводные'!$B$14</f>
        <v/>
      </c>
      <c r="M63" s="190">
        <f>L62*'01_Вводные'!$B$14</f>
        <v/>
      </c>
      <c r="N63" s="190">
        <f>M62*'01_Вводные'!$B$14</f>
        <v/>
      </c>
      <c r="O63" s="190">
        <f>N62*'01_Вводные'!$B$14</f>
        <v/>
      </c>
      <c r="P63" s="190">
        <f>O62*'01_Вводные'!$B$14</f>
        <v/>
      </c>
      <c r="Q63" s="190">
        <f>P62*'01_Вводные'!$B$14</f>
        <v/>
      </c>
      <c r="R63" s="190">
        <f>Q62*'01_Вводные'!$B$14</f>
        <v/>
      </c>
      <c r="S63" s="190">
        <f>R62*'01_Вводные'!$B$14</f>
        <v/>
      </c>
      <c r="T63" s="190">
        <f>S62*'01_Вводные'!$B$14</f>
        <v/>
      </c>
      <c r="U63" s="190">
        <f>T62*'01_Вводные'!$B$14</f>
        <v/>
      </c>
      <c r="V63" s="190">
        <f>U62*'01_Вводные'!$B$14</f>
        <v/>
      </c>
      <c r="W63" s="190">
        <f>V62*'01_Вводные'!$B$14</f>
        <v/>
      </c>
      <c r="X63" s="190">
        <f>W62*'01_Вводные'!$B$14</f>
        <v/>
      </c>
      <c r="Y63" s="190">
        <f>X62*'01_Вводные'!$B$14</f>
        <v/>
      </c>
      <c r="Z63" s="190">
        <f>Y62*'01_Вводные'!$B$14</f>
        <v/>
      </c>
      <c r="AA63" s="190">
        <f>Z62*'01_Вводные'!$B$14</f>
        <v/>
      </c>
      <c r="AB63" s="190">
        <f>AA62*'01_Вводные'!$B$14</f>
        <v/>
      </c>
      <c r="AC63" s="190">
        <f>AB62*'01_Вводные'!$B$14</f>
        <v/>
      </c>
      <c r="AD63" s="190">
        <f>AC62*'01_Вводные'!$B$14</f>
        <v/>
      </c>
      <c r="AE63" s="190">
        <f>AD62*'01_Вводные'!$B$14</f>
        <v/>
      </c>
      <c r="AF63" s="190">
        <f>AE62*'01_Вводные'!$B$14</f>
        <v/>
      </c>
      <c r="AG63" s="190">
        <f>AF62*'01_Вводные'!$B$14</f>
        <v/>
      </c>
      <c r="AH63" s="190">
        <f>AG62*'01_Вводные'!$B$14</f>
        <v/>
      </c>
      <c r="AI63" s="190">
        <f>AH62*'01_Вводные'!$B$14</f>
        <v/>
      </c>
      <c r="AJ63" s="190">
        <f>AI62*'01_Вводные'!$B$14</f>
        <v/>
      </c>
      <c r="AK63" s="190">
        <f>AJ62*'01_Вводные'!$B$14</f>
        <v/>
      </c>
      <c r="AL63" s="190">
        <f>AK62*'01_Вводные'!$B$14</f>
        <v/>
      </c>
      <c r="AM63" s="190">
        <f>AL62*'01_Вводные'!$B$14</f>
        <v/>
      </c>
      <c r="AN63" s="190">
        <f>AM62*'01_Вводные'!$B$14</f>
        <v/>
      </c>
      <c r="AO63" s="190">
        <f>AN62*'01_Вводные'!$B$14</f>
        <v/>
      </c>
      <c r="AP63" s="190">
        <f>AO62*'01_Вводные'!$B$14</f>
        <v/>
      </c>
      <c r="AQ63" s="190">
        <f>AP62*'01_Вводные'!$B$14</f>
        <v/>
      </c>
      <c r="AR63" s="190">
        <f>AQ62*'01_Вводные'!$B$14</f>
        <v/>
      </c>
      <c r="AS63" s="190">
        <f>AR62*'01_Вводные'!$B$14</f>
        <v/>
      </c>
      <c r="AT63" s="190">
        <f>AS62*'01_Вводные'!$B$14</f>
        <v/>
      </c>
      <c r="AU63" s="190">
        <f>AT62*'01_Вводные'!$B$14</f>
        <v/>
      </c>
      <c r="AV63" s="190">
        <f>AU62*'01_Вводные'!$B$14</f>
        <v/>
      </c>
      <c r="AW63" s="190">
        <f>AV62*'01_Вводные'!$B$14</f>
        <v/>
      </c>
      <c r="AX63" s="190">
        <f>AW62*'01_Вводные'!$B$14</f>
        <v/>
      </c>
      <c r="AY63" s="190">
        <f>AX62*'01_Вводные'!$B$14</f>
        <v/>
      </c>
      <c r="AZ63" s="190">
        <f>AY62*'01_Вводные'!$B$14</f>
        <v/>
      </c>
      <c r="BA63" s="190">
        <f>AZ62*'01_Вводные'!$B$14</f>
        <v/>
      </c>
      <c r="BB63" s="190">
        <f>BA62*'01_Вводные'!$B$14</f>
        <v/>
      </c>
      <c r="BC63" s="190">
        <f>BB62*'01_Вводные'!$B$14</f>
        <v/>
      </c>
      <c r="BD63" s="190">
        <f>BC62*'01_Вводные'!$B$14</f>
        <v/>
      </c>
      <c r="BE63" s="190">
        <f>BD62*'01_Вводные'!$B$14</f>
        <v/>
      </c>
      <c r="BF63" s="190">
        <f>BE62*'01_Вводные'!$B$14</f>
        <v/>
      </c>
      <c r="BG63" s="190">
        <f>BF62*'01_Вводные'!$B$14</f>
        <v/>
      </c>
      <c r="BH63" s="190">
        <f>BG62*'01_Вводные'!$B$14</f>
        <v/>
      </c>
      <c r="BI63" s="190">
        <f>BH62*'01_Вводные'!$B$14</f>
        <v/>
      </c>
      <c r="BJ63" s="190">
        <f>BI62*'01_Вводные'!$B$14</f>
        <v/>
      </c>
      <c r="BK63" s="190">
        <f>BJ62*'01_Вводные'!$B$14</f>
        <v/>
      </c>
      <c r="BL63" s="190">
        <f>BK62*'01_Вводные'!$B$14</f>
        <v/>
      </c>
      <c r="BM63" s="190">
        <f>BL62*'01_Вводные'!$B$14</f>
        <v/>
      </c>
      <c r="BN63" s="190">
        <f>BM62*'01_Вводные'!$B$14</f>
        <v/>
      </c>
      <c r="BO63" s="190">
        <f>BN62*'01_Вводные'!$B$14</f>
        <v/>
      </c>
    </row>
    <row r="64" hidden="1" outlineLevel="1">
      <c r="A64" t="inlineStr">
        <is>
          <t>12 мес.</t>
        </is>
      </c>
      <c r="B64" s="189">
        <f>0</f>
        <v/>
      </c>
      <c r="C64" s="190">
        <f>B63*'01_Вводные'!$B$14</f>
        <v/>
      </c>
      <c r="D64" s="190">
        <f>C63*'01_Вводные'!$B$14</f>
        <v/>
      </c>
      <c r="E64" s="190">
        <f>D63*'01_Вводные'!$B$14</f>
        <v/>
      </c>
      <c r="F64" s="190">
        <f>E63*'01_Вводные'!$B$14</f>
        <v/>
      </c>
      <c r="G64" s="190">
        <f>F63*'01_Вводные'!$B$14</f>
        <v/>
      </c>
      <c r="H64" s="190">
        <f>G63*'01_Вводные'!$B$14</f>
        <v/>
      </c>
      <c r="I64" s="190">
        <f>H63*'01_Вводные'!$B$14</f>
        <v/>
      </c>
      <c r="J64" s="190">
        <f>I63*'01_Вводные'!$B$14</f>
        <v/>
      </c>
      <c r="K64" s="190">
        <f>J63*'01_Вводные'!$B$14</f>
        <v/>
      </c>
      <c r="L64" s="190">
        <f>K63*'01_Вводные'!$B$14</f>
        <v/>
      </c>
      <c r="M64" s="190">
        <f>L63*'01_Вводные'!$B$14</f>
        <v/>
      </c>
      <c r="N64" s="190">
        <f>M63*'01_Вводные'!$B$14</f>
        <v/>
      </c>
      <c r="O64" s="190">
        <f>N63*'01_Вводные'!$B$14</f>
        <v/>
      </c>
      <c r="P64" s="190">
        <f>O63*'01_Вводные'!$B$14</f>
        <v/>
      </c>
      <c r="Q64" s="190">
        <f>P63*'01_Вводные'!$B$14</f>
        <v/>
      </c>
      <c r="R64" s="190">
        <f>Q63*'01_Вводные'!$B$14</f>
        <v/>
      </c>
      <c r="S64" s="190">
        <f>R63*'01_Вводные'!$B$14</f>
        <v/>
      </c>
      <c r="T64" s="190">
        <f>S63*'01_Вводные'!$B$14</f>
        <v/>
      </c>
      <c r="U64" s="190">
        <f>T63*'01_Вводные'!$B$14</f>
        <v/>
      </c>
      <c r="V64" s="190">
        <f>U63*'01_Вводные'!$B$14</f>
        <v/>
      </c>
      <c r="W64" s="190">
        <f>V63*'01_Вводные'!$B$14</f>
        <v/>
      </c>
      <c r="X64" s="190">
        <f>W63*'01_Вводные'!$B$14</f>
        <v/>
      </c>
      <c r="Y64" s="190">
        <f>X63*'01_Вводные'!$B$14</f>
        <v/>
      </c>
      <c r="Z64" s="190">
        <f>Y63*'01_Вводные'!$B$14</f>
        <v/>
      </c>
      <c r="AA64" s="190">
        <f>Z63*'01_Вводные'!$B$14</f>
        <v/>
      </c>
      <c r="AB64" s="190">
        <f>AA63*'01_Вводные'!$B$14</f>
        <v/>
      </c>
      <c r="AC64" s="190">
        <f>AB63*'01_Вводные'!$B$14</f>
        <v/>
      </c>
      <c r="AD64" s="190">
        <f>AC63*'01_Вводные'!$B$14</f>
        <v/>
      </c>
      <c r="AE64" s="190">
        <f>AD63*'01_Вводные'!$B$14</f>
        <v/>
      </c>
      <c r="AF64" s="190">
        <f>AE63*'01_Вводные'!$B$14</f>
        <v/>
      </c>
      <c r="AG64" s="190">
        <f>AF63*'01_Вводные'!$B$14</f>
        <v/>
      </c>
      <c r="AH64" s="190">
        <f>AG63*'01_Вводные'!$B$14</f>
        <v/>
      </c>
      <c r="AI64" s="190">
        <f>AH63*'01_Вводные'!$B$14</f>
        <v/>
      </c>
      <c r="AJ64" s="190">
        <f>AI63*'01_Вводные'!$B$14</f>
        <v/>
      </c>
      <c r="AK64" s="190">
        <f>AJ63*'01_Вводные'!$B$14</f>
        <v/>
      </c>
      <c r="AL64" s="190">
        <f>AK63*'01_Вводные'!$B$14</f>
        <v/>
      </c>
      <c r="AM64" s="190">
        <f>AL63*'01_Вводные'!$B$14</f>
        <v/>
      </c>
      <c r="AN64" s="190">
        <f>AM63*'01_Вводные'!$B$14</f>
        <v/>
      </c>
      <c r="AO64" s="190">
        <f>AN63*'01_Вводные'!$B$14</f>
        <v/>
      </c>
      <c r="AP64" s="190">
        <f>AO63*'01_Вводные'!$B$14</f>
        <v/>
      </c>
      <c r="AQ64" s="190">
        <f>AP63*'01_Вводные'!$B$14</f>
        <v/>
      </c>
      <c r="AR64" s="190">
        <f>AQ63*'01_Вводные'!$B$14</f>
        <v/>
      </c>
      <c r="AS64" s="190">
        <f>AR63*'01_Вводные'!$B$14</f>
        <v/>
      </c>
      <c r="AT64" s="190">
        <f>AS63*'01_Вводные'!$B$14</f>
        <v/>
      </c>
      <c r="AU64" s="190">
        <f>AT63*'01_Вводные'!$B$14</f>
        <v/>
      </c>
      <c r="AV64" s="190">
        <f>AU63*'01_Вводные'!$B$14</f>
        <v/>
      </c>
      <c r="AW64" s="190">
        <f>AV63*'01_Вводные'!$B$14</f>
        <v/>
      </c>
      <c r="AX64" s="190">
        <f>AW63*'01_Вводные'!$B$14</f>
        <v/>
      </c>
      <c r="AY64" s="190">
        <f>AX63*'01_Вводные'!$B$14</f>
        <v/>
      </c>
      <c r="AZ64" s="190">
        <f>AY63*'01_Вводные'!$B$14</f>
        <v/>
      </c>
      <c r="BA64" s="190">
        <f>AZ63*'01_Вводные'!$B$14</f>
        <v/>
      </c>
      <c r="BB64" s="190">
        <f>BA63*'01_Вводные'!$B$14</f>
        <v/>
      </c>
      <c r="BC64" s="190">
        <f>BB63*'01_Вводные'!$B$14</f>
        <v/>
      </c>
      <c r="BD64" s="190">
        <f>BC63*'01_Вводные'!$B$14</f>
        <v/>
      </c>
      <c r="BE64" s="190">
        <f>BD63*'01_Вводные'!$B$14</f>
        <v/>
      </c>
      <c r="BF64" s="190">
        <f>BE63*'01_Вводные'!$B$14</f>
        <v/>
      </c>
      <c r="BG64" s="190">
        <f>BF63*'01_Вводные'!$B$14</f>
        <v/>
      </c>
      <c r="BH64" s="190">
        <f>BG63*'01_Вводные'!$B$14</f>
        <v/>
      </c>
      <c r="BI64" s="190">
        <f>BH63*'01_Вводные'!$B$14</f>
        <v/>
      </c>
      <c r="BJ64" s="190">
        <f>BI63*'01_Вводные'!$B$14</f>
        <v/>
      </c>
      <c r="BK64" s="190">
        <f>BJ63*'01_Вводные'!$B$14</f>
        <v/>
      </c>
      <c r="BL64" s="190">
        <f>BK63*'01_Вводные'!$B$14</f>
        <v/>
      </c>
      <c r="BM64" s="190">
        <f>BL63*'01_Вводные'!$B$14</f>
        <v/>
      </c>
      <c r="BN64" s="190">
        <f>BM63*'01_Вводные'!$B$14</f>
        <v/>
      </c>
      <c r="BO64" s="190">
        <f>BN63*'01_Вводные'!$B$14</f>
        <v/>
      </c>
    </row>
    <row r="65" hidden="1" outlineLevel="1">
      <c r="A65" t="inlineStr">
        <is>
          <t>13 мес.</t>
        </is>
      </c>
      <c r="B65" s="189">
        <f>0</f>
        <v/>
      </c>
      <c r="C65" s="190">
        <f>B64*'01_Вводные'!$B$14</f>
        <v/>
      </c>
      <c r="D65" s="190">
        <f>C64*'01_Вводные'!$B$14</f>
        <v/>
      </c>
      <c r="E65" s="190">
        <f>D64*'01_Вводные'!$B$14</f>
        <v/>
      </c>
      <c r="F65" s="190">
        <f>E64*'01_Вводные'!$B$14</f>
        <v/>
      </c>
      <c r="G65" s="190">
        <f>F64*'01_Вводные'!$B$14</f>
        <v/>
      </c>
      <c r="H65" s="190">
        <f>G64*'01_Вводные'!$B$14</f>
        <v/>
      </c>
      <c r="I65" s="190">
        <f>H64*'01_Вводные'!$B$14</f>
        <v/>
      </c>
      <c r="J65" s="190">
        <f>I64*'01_Вводные'!$B$14</f>
        <v/>
      </c>
      <c r="K65" s="190">
        <f>J64*'01_Вводные'!$B$14</f>
        <v/>
      </c>
      <c r="L65" s="190">
        <f>K64*'01_Вводные'!$B$14</f>
        <v/>
      </c>
      <c r="M65" s="190">
        <f>L64*'01_Вводные'!$B$14</f>
        <v/>
      </c>
      <c r="N65" s="190">
        <f>M64*'01_Вводные'!$B$14</f>
        <v/>
      </c>
      <c r="O65" s="190">
        <f>N64*'01_Вводные'!$B$14</f>
        <v/>
      </c>
      <c r="P65" s="190">
        <f>O64*'01_Вводные'!$B$14</f>
        <v/>
      </c>
      <c r="Q65" s="190">
        <f>P64*'01_Вводные'!$B$14</f>
        <v/>
      </c>
      <c r="R65" s="190">
        <f>Q64*'01_Вводные'!$B$14</f>
        <v/>
      </c>
      <c r="S65" s="190">
        <f>R64*'01_Вводные'!$B$14</f>
        <v/>
      </c>
      <c r="T65" s="190">
        <f>S64*'01_Вводные'!$B$14</f>
        <v/>
      </c>
      <c r="U65" s="190">
        <f>T64*'01_Вводные'!$B$14</f>
        <v/>
      </c>
      <c r="V65" s="190">
        <f>U64*'01_Вводные'!$B$14</f>
        <v/>
      </c>
      <c r="W65" s="190">
        <f>V64*'01_Вводные'!$B$14</f>
        <v/>
      </c>
      <c r="X65" s="190">
        <f>W64*'01_Вводные'!$B$14</f>
        <v/>
      </c>
      <c r="Y65" s="190">
        <f>X64*'01_Вводные'!$B$14</f>
        <v/>
      </c>
      <c r="Z65" s="190">
        <f>Y64*'01_Вводные'!$B$14</f>
        <v/>
      </c>
      <c r="AA65" s="190">
        <f>Z64*'01_Вводные'!$B$14</f>
        <v/>
      </c>
      <c r="AB65" s="190">
        <f>AA64*'01_Вводные'!$B$14</f>
        <v/>
      </c>
      <c r="AC65" s="190">
        <f>AB64*'01_Вводные'!$B$14</f>
        <v/>
      </c>
      <c r="AD65" s="190">
        <f>AC64*'01_Вводные'!$B$14</f>
        <v/>
      </c>
      <c r="AE65" s="190">
        <f>AD64*'01_Вводные'!$B$14</f>
        <v/>
      </c>
      <c r="AF65" s="190">
        <f>AE64*'01_Вводные'!$B$14</f>
        <v/>
      </c>
      <c r="AG65" s="190">
        <f>AF64*'01_Вводные'!$B$14</f>
        <v/>
      </c>
      <c r="AH65" s="190">
        <f>AG64*'01_Вводные'!$B$14</f>
        <v/>
      </c>
      <c r="AI65" s="190">
        <f>AH64*'01_Вводные'!$B$14</f>
        <v/>
      </c>
      <c r="AJ65" s="190">
        <f>AI64*'01_Вводные'!$B$14</f>
        <v/>
      </c>
      <c r="AK65" s="190">
        <f>AJ64*'01_Вводные'!$B$14</f>
        <v/>
      </c>
      <c r="AL65" s="190">
        <f>AK64*'01_Вводные'!$B$14</f>
        <v/>
      </c>
      <c r="AM65" s="190">
        <f>AL64*'01_Вводные'!$B$14</f>
        <v/>
      </c>
      <c r="AN65" s="190">
        <f>AM64*'01_Вводные'!$B$14</f>
        <v/>
      </c>
      <c r="AO65" s="190">
        <f>AN64*'01_Вводные'!$B$14</f>
        <v/>
      </c>
      <c r="AP65" s="190">
        <f>AO64*'01_Вводные'!$B$14</f>
        <v/>
      </c>
      <c r="AQ65" s="190">
        <f>AP64*'01_Вводные'!$B$14</f>
        <v/>
      </c>
      <c r="AR65" s="190">
        <f>AQ64*'01_Вводные'!$B$14</f>
        <v/>
      </c>
      <c r="AS65" s="190">
        <f>AR64*'01_Вводные'!$B$14</f>
        <v/>
      </c>
      <c r="AT65" s="190">
        <f>AS64*'01_Вводные'!$B$14</f>
        <v/>
      </c>
      <c r="AU65" s="190">
        <f>AT64*'01_Вводные'!$B$14</f>
        <v/>
      </c>
      <c r="AV65" s="190">
        <f>AU64*'01_Вводные'!$B$14</f>
        <v/>
      </c>
      <c r="AW65" s="190">
        <f>AV64*'01_Вводные'!$B$14</f>
        <v/>
      </c>
      <c r="AX65" s="190">
        <f>AW64*'01_Вводные'!$B$14</f>
        <v/>
      </c>
      <c r="AY65" s="190">
        <f>AX64*'01_Вводные'!$B$14</f>
        <v/>
      </c>
      <c r="AZ65" s="190">
        <f>AY64*'01_Вводные'!$B$14</f>
        <v/>
      </c>
      <c r="BA65" s="190">
        <f>AZ64*'01_Вводные'!$B$14</f>
        <v/>
      </c>
      <c r="BB65" s="190">
        <f>BA64*'01_Вводные'!$B$14</f>
        <v/>
      </c>
      <c r="BC65" s="190">
        <f>BB64*'01_Вводные'!$B$14</f>
        <v/>
      </c>
      <c r="BD65" s="190">
        <f>BC64*'01_Вводные'!$B$14</f>
        <v/>
      </c>
      <c r="BE65" s="190">
        <f>BD64*'01_Вводные'!$B$14</f>
        <v/>
      </c>
      <c r="BF65" s="190">
        <f>BE64*'01_Вводные'!$B$14</f>
        <v/>
      </c>
      <c r="BG65" s="190">
        <f>BF64*'01_Вводные'!$B$14</f>
        <v/>
      </c>
      <c r="BH65" s="190">
        <f>BG64*'01_Вводные'!$B$14</f>
        <v/>
      </c>
      <c r="BI65" s="190">
        <f>BH64*'01_Вводные'!$B$14</f>
        <v/>
      </c>
      <c r="BJ65" s="190">
        <f>BI64*'01_Вводные'!$B$14</f>
        <v/>
      </c>
      <c r="BK65" s="190">
        <f>BJ64*'01_Вводные'!$B$14</f>
        <v/>
      </c>
      <c r="BL65" s="190">
        <f>BK64*'01_Вводные'!$B$14</f>
        <v/>
      </c>
      <c r="BM65" s="190">
        <f>BL64*'01_Вводные'!$B$14</f>
        <v/>
      </c>
      <c r="BN65" s="190">
        <f>BM64*'01_Вводные'!$B$14</f>
        <v/>
      </c>
      <c r="BO65" s="190">
        <f>BN64*'01_Вводные'!$B$14</f>
        <v/>
      </c>
    </row>
    <row r="66" hidden="1" outlineLevel="1">
      <c r="A66" t="inlineStr">
        <is>
          <t>14 мес.</t>
        </is>
      </c>
      <c r="B66" s="189">
        <f>0</f>
        <v/>
      </c>
      <c r="C66" s="190">
        <f>B65*'01_Вводные'!$B$14</f>
        <v/>
      </c>
      <c r="D66" s="190">
        <f>C65*'01_Вводные'!$B$14</f>
        <v/>
      </c>
      <c r="E66" s="190">
        <f>D65*'01_Вводные'!$B$14</f>
        <v/>
      </c>
      <c r="F66" s="190">
        <f>E65*'01_Вводные'!$B$14</f>
        <v/>
      </c>
      <c r="G66" s="190">
        <f>F65*'01_Вводные'!$B$14</f>
        <v/>
      </c>
      <c r="H66" s="190">
        <f>G65*'01_Вводные'!$B$14</f>
        <v/>
      </c>
      <c r="I66" s="190">
        <f>H65*'01_Вводные'!$B$14</f>
        <v/>
      </c>
      <c r="J66" s="190">
        <f>I65*'01_Вводные'!$B$14</f>
        <v/>
      </c>
      <c r="K66" s="190">
        <f>J65*'01_Вводные'!$B$14</f>
        <v/>
      </c>
      <c r="L66" s="190">
        <f>K65*'01_Вводные'!$B$14</f>
        <v/>
      </c>
      <c r="M66" s="190">
        <f>L65*'01_Вводные'!$B$14</f>
        <v/>
      </c>
      <c r="N66" s="190">
        <f>M65*'01_Вводные'!$B$14</f>
        <v/>
      </c>
      <c r="O66" s="190">
        <f>N65*'01_Вводные'!$B$14</f>
        <v/>
      </c>
      <c r="P66" s="190">
        <f>O65*'01_Вводные'!$B$14</f>
        <v/>
      </c>
      <c r="Q66" s="190">
        <f>P65*'01_Вводные'!$B$14</f>
        <v/>
      </c>
      <c r="R66" s="190">
        <f>Q65*'01_Вводные'!$B$14</f>
        <v/>
      </c>
      <c r="S66" s="190">
        <f>R65*'01_Вводные'!$B$14</f>
        <v/>
      </c>
      <c r="T66" s="190">
        <f>S65*'01_Вводные'!$B$14</f>
        <v/>
      </c>
      <c r="U66" s="190">
        <f>T65*'01_Вводные'!$B$14</f>
        <v/>
      </c>
      <c r="V66" s="190">
        <f>U65*'01_Вводные'!$B$14</f>
        <v/>
      </c>
      <c r="W66" s="190">
        <f>V65*'01_Вводные'!$B$14</f>
        <v/>
      </c>
      <c r="X66" s="190">
        <f>W65*'01_Вводные'!$B$14</f>
        <v/>
      </c>
      <c r="Y66" s="190">
        <f>X65*'01_Вводные'!$B$14</f>
        <v/>
      </c>
      <c r="Z66" s="190">
        <f>Y65*'01_Вводные'!$B$14</f>
        <v/>
      </c>
      <c r="AA66" s="190">
        <f>Z65*'01_Вводные'!$B$14</f>
        <v/>
      </c>
      <c r="AB66" s="190">
        <f>AA65*'01_Вводные'!$B$14</f>
        <v/>
      </c>
      <c r="AC66" s="190">
        <f>AB65*'01_Вводные'!$B$14</f>
        <v/>
      </c>
      <c r="AD66" s="190">
        <f>AC65*'01_Вводные'!$B$14</f>
        <v/>
      </c>
      <c r="AE66" s="190">
        <f>AD65*'01_Вводные'!$B$14</f>
        <v/>
      </c>
      <c r="AF66" s="190">
        <f>AE65*'01_Вводные'!$B$14</f>
        <v/>
      </c>
      <c r="AG66" s="190">
        <f>AF65*'01_Вводные'!$B$14</f>
        <v/>
      </c>
      <c r="AH66" s="190">
        <f>AG65*'01_Вводные'!$B$14</f>
        <v/>
      </c>
      <c r="AI66" s="190">
        <f>AH65*'01_Вводные'!$B$14</f>
        <v/>
      </c>
      <c r="AJ66" s="190">
        <f>AI65*'01_Вводные'!$B$14</f>
        <v/>
      </c>
      <c r="AK66" s="190">
        <f>AJ65*'01_Вводные'!$B$14</f>
        <v/>
      </c>
      <c r="AL66" s="190">
        <f>AK65*'01_Вводные'!$B$14</f>
        <v/>
      </c>
      <c r="AM66" s="190">
        <f>AL65*'01_Вводные'!$B$14</f>
        <v/>
      </c>
      <c r="AN66" s="190">
        <f>AM65*'01_Вводные'!$B$14</f>
        <v/>
      </c>
      <c r="AO66" s="190">
        <f>AN65*'01_Вводные'!$B$14</f>
        <v/>
      </c>
      <c r="AP66" s="190">
        <f>AO65*'01_Вводные'!$B$14</f>
        <v/>
      </c>
      <c r="AQ66" s="190">
        <f>AP65*'01_Вводные'!$B$14</f>
        <v/>
      </c>
      <c r="AR66" s="190">
        <f>AQ65*'01_Вводные'!$B$14</f>
        <v/>
      </c>
      <c r="AS66" s="190">
        <f>AR65*'01_Вводные'!$B$14</f>
        <v/>
      </c>
      <c r="AT66" s="190">
        <f>AS65*'01_Вводные'!$B$14</f>
        <v/>
      </c>
      <c r="AU66" s="190">
        <f>AT65*'01_Вводные'!$B$14</f>
        <v/>
      </c>
      <c r="AV66" s="190">
        <f>AU65*'01_Вводные'!$B$14</f>
        <v/>
      </c>
      <c r="AW66" s="190">
        <f>AV65*'01_Вводные'!$B$14</f>
        <v/>
      </c>
      <c r="AX66" s="190">
        <f>AW65*'01_Вводные'!$B$14</f>
        <v/>
      </c>
      <c r="AY66" s="190">
        <f>AX65*'01_Вводные'!$B$14</f>
        <v/>
      </c>
      <c r="AZ66" s="190">
        <f>AY65*'01_Вводные'!$B$14</f>
        <v/>
      </c>
      <c r="BA66" s="190">
        <f>AZ65*'01_Вводные'!$B$14</f>
        <v/>
      </c>
      <c r="BB66" s="190">
        <f>BA65*'01_Вводные'!$B$14</f>
        <v/>
      </c>
      <c r="BC66" s="190">
        <f>BB65*'01_Вводные'!$B$14</f>
        <v/>
      </c>
      <c r="BD66" s="190">
        <f>BC65*'01_Вводные'!$B$14</f>
        <v/>
      </c>
      <c r="BE66" s="190">
        <f>BD65*'01_Вводные'!$B$14</f>
        <v/>
      </c>
      <c r="BF66" s="190">
        <f>BE65*'01_Вводные'!$B$14</f>
        <v/>
      </c>
      <c r="BG66" s="190">
        <f>BF65*'01_Вводные'!$B$14</f>
        <v/>
      </c>
      <c r="BH66" s="190">
        <f>BG65*'01_Вводные'!$B$14</f>
        <v/>
      </c>
      <c r="BI66" s="190">
        <f>BH65*'01_Вводные'!$B$14</f>
        <v/>
      </c>
      <c r="BJ66" s="190">
        <f>BI65*'01_Вводные'!$B$14</f>
        <v/>
      </c>
      <c r="BK66" s="190">
        <f>BJ65*'01_Вводные'!$B$14</f>
        <v/>
      </c>
      <c r="BL66" s="190">
        <f>BK65*'01_Вводные'!$B$14</f>
        <v/>
      </c>
      <c r="BM66" s="190">
        <f>BL65*'01_Вводные'!$B$14</f>
        <v/>
      </c>
      <c r="BN66" s="190">
        <f>BM65*'01_Вводные'!$B$14</f>
        <v/>
      </c>
      <c r="BO66" s="190">
        <f>BN65*'01_Вводные'!$B$14</f>
        <v/>
      </c>
    </row>
    <row r="67" hidden="1" outlineLevel="1">
      <c r="A67" t="inlineStr">
        <is>
          <t>15 мес.</t>
        </is>
      </c>
      <c r="B67" s="189">
        <f>0</f>
        <v/>
      </c>
      <c r="C67" s="190">
        <f>B66*'01_Вводные'!$B$14</f>
        <v/>
      </c>
      <c r="D67" s="190">
        <f>C66*'01_Вводные'!$B$14</f>
        <v/>
      </c>
      <c r="E67" s="190">
        <f>D66*'01_Вводные'!$B$14</f>
        <v/>
      </c>
      <c r="F67" s="190">
        <f>E66*'01_Вводные'!$B$14</f>
        <v/>
      </c>
      <c r="G67" s="190">
        <f>F66*'01_Вводные'!$B$14</f>
        <v/>
      </c>
      <c r="H67" s="190">
        <f>G66*'01_Вводные'!$B$14</f>
        <v/>
      </c>
      <c r="I67" s="190">
        <f>H66*'01_Вводные'!$B$14</f>
        <v/>
      </c>
      <c r="J67" s="190">
        <f>I66*'01_Вводные'!$B$14</f>
        <v/>
      </c>
      <c r="K67" s="190">
        <f>J66*'01_Вводные'!$B$14</f>
        <v/>
      </c>
      <c r="L67" s="190">
        <f>K66*'01_Вводные'!$B$14</f>
        <v/>
      </c>
      <c r="M67" s="190">
        <f>L66*'01_Вводные'!$B$14</f>
        <v/>
      </c>
      <c r="N67" s="190">
        <f>M66*'01_Вводные'!$B$14</f>
        <v/>
      </c>
      <c r="O67" s="190">
        <f>N66*'01_Вводные'!$B$14</f>
        <v/>
      </c>
      <c r="P67" s="190">
        <f>O66*'01_Вводные'!$B$14</f>
        <v/>
      </c>
      <c r="Q67" s="190">
        <f>P66*'01_Вводные'!$B$14</f>
        <v/>
      </c>
      <c r="R67" s="190">
        <f>Q66*'01_Вводные'!$B$14</f>
        <v/>
      </c>
      <c r="S67" s="190">
        <f>R66*'01_Вводные'!$B$14</f>
        <v/>
      </c>
      <c r="T67" s="190">
        <f>S66*'01_Вводные'!$B$14</f>
        <v/>
      </c>
      <c r="U67" s="190">
        <f>T66*'01_Вводные'!$B$14</f>
        <v/>
      </c>
      <c r="V67" s="190">
        <f>U66*'01_Вводные'!$B$14</f>
        <v/>
      </c>
      <c r="W67" s="190">
        <f>V66*'01_Вводные'!$B$14</f>
        <v/>
      </c>
      <c r="X67" s="190">
        <f>W66*'01_Вводные'!$B$14</f>
        <v/>
      </c>
      <c r="Y67" s="190">
        <f>X66*'01_Вводные'!$B$14</f>
        <v/>
      </c>
      <c r="Z67" s="190">
        <f>Y66*'01_Вводные'!$B$14</f>
        <v/>
      </c>
      <c r="AA67" s="190">
        <f>Z66*'01_Вводные'!$B$14</f>
        <v/>
      </c>
      <c r="AB67" s="190">
        <f>AA66*'01_Вводные'!$B$14</f>
        <v/>
      </c>
      <c r="AC67" s="190">
        <f>AB66*'01_Вводные'!$B$14</f>
        <v/>
      </c>
      <c r="AD67" s="190">
        <f>AC66*'01_Вводные'!$B$14</f>
        <v/>
      </c>
      <c r="AE67" s="190">
        <f>AD66*'01_Вводные'!$B$14</f>
        <v/>
      </c>
      <c r="AF67" s="190">
        <f>AE66*'01_Вводные'!$B$14</f>
        <v/>
      </c>
      <c r="AG67" s="190">
        <f>AF66*'01_Вводные'!$B$14</f>
        <v/>
      </c>
      <c r="AH67" s="190">
        <f>AG66*'01_Вводные'!$B$14</f>
        <v/>
      </c>
      <c r="AI67" s="190">
        <f>AH66*'01_Вводные'!$B$14</f>
        <v/>
      </c>
      <c r="AJ67" s="190">
        <f>AI66*'01_Вводные'!$B$14</f>
        <v/>
      </c>
      <c r="AK67" s="190">
        <f>AJ66*'01_Вводные'!$B$14</f>
        <v/>
      </c>
      <c r="AL67" s="190">
        <f>AK66*'01_Вводные'!$B$14</f>
        <v/>
      </c>
      <c r="AM67" s="190">
        <f>AL66*'01_Вводные'!$B$14</f>
        <v/>
      </c>
      <c r="AN67" s="190">
        <f>AM66*'01_Вводные'!$B$14</f>
        <v/>
      </c>
      <c r="AO67" s="190">
        <f>AN66*'01_Вводные'!$B$14</f>
        <v/>
      </c>
      <c r="AP67" s="190">
        <f>AO66*'01_Вводные'!$B$14</f>
        <v/>
      </c>
      <c r="AQ67" s="190">
        <f>AP66*'01_Вводные'!$B$14</f>
        <v/>
      </c>
      <c r="AR67" s="190">
        <f>AQ66*'01_Вводные'!$B$14</f>
        <v/>
      </c>
      <c r="AS67" s="190">
        <f>AR66*'01_Вводные'!$B$14</f>
        <v/>
      </c>
      <c r="AT67" s="190">
        <f>AS66*'01_Вводные'!$B$14</f>
        <v/>
      </c>
      <c r="AU67" s="190">
        <f>AT66*'01_Вводные'!$B$14</f>
        <v/>
      </c>
      <c r="AV67" s="190">
        <f>AU66*'01_Вводные'!$B$14</f>
        <v/>
      </c>
      <c r="AW67" s="190">
        <f>AV66*'01_Вводные'!$B$14</f>
        <v/>
      </c>
      <c r="AX67" s="190">
        <f>AW66*'01_Вводные'!$B$14</f>
        <v/>
      </c>
      <c r="AY67" s="190">
        <f>AX66*'01_Вводные'!$B$14</f>
        <v/>
      </c>
      <c r="AZ67" s="190">
        <f>AY66*'01_Вводные'!$B$14</f>
        <v/>
      </c>
      <c r="BA67" s="190">
        <f>AZ66*'01_Вводные'!$B$14</f>
        <v/>
      </c>
      <c r="BB67" s="190">
        <f>BA66*'01_Вводные'!$B$14</f>
        <v/>
      </c>
      <c r="BC67" s="190">
        <f>BB66*'01_Вводные'!$B$14</f>
        <v/>
      </c>
      <c r="BD67" s="190">
        <f>BC66*'01_Вводные'!$B$14</f>
        <v/>
      </c>
      <c r="BE67" s="190">
        <f>BD66*'01_Вводные'!$B$14</f>
        <v/>
      </c>
      <c r="BF67" s="190">
        <f>BE66*'01_Вводные'!$B$14</f>
        <v/>
      </c>
      <c r="BG67" s="190">
        <f>BF66*'01_Вводные'!$B$14</f>
        <v/>
      </c>
      <c r="BH67" s="190">
        <f>BG66*'01_Вводные'!$B$14</f>
        <v/>
      </c>
      <c r="BI67" s="190">
        <f>BH66*'01_Вводные'!$B$14</f>
        <v/>
      </c>
      <c r="BJ67" s="190">
        <f>BI66*'01_Вводные'!$B$14</f>
        <v/>
      </c>
      <c r="BK67" s="190">
        <f>BJ66*'01_Вводные'!$B$14</f>
        <v/>
      </c>
      <c r="BL67" s="190">
        <f>BK66*'01_Вводные'!$B$14</f>
        <v/>
      </c>
      <c r="BM67" s="190">
        <f>BL66*'01_Вводные'!$B$14</f>
        <v/>
      </c>
      <c r="BN67" s="190">
        <f>BM66*'01_Вводные'!$B$14</f>
        <v/>
      </c>
      <c r="BO67" s="190">
        <f>BN66*'01_Вводные'!$B$14</f>
        <v/>
      </c>
    </row>
    <row r="68" hidden="1" outlineLevel="1">
      <c r="A68" t="inlineStr">
        <is>
          <t>16 мес.</t>
        </is>
      </c>
      <c r="B68" s="189">
        <f>0</f>
        <v/>
      </c>
      <c r="C68" s="190">
        <f>B67*'01_Вводные'!$B$14</f>
        <v/>
      </c>
      <c r="D68" s="190">
        <f>C67*'01_Вводные'!$B$14</f>
        <v/>
      </c>
      <c r="E68" s="190">
        <f>D67*'01_Вводные'!$B$14</f>
        <v/>
      </c>
      <c r="F68" s="190">
        <f>E67*'01_Вводные'!$B$14</f>
        <v/>
      </c>
      <c r="G68" s="190">
        <f>F67*'01_Вводные'!$B$14</f>
        <v/>
      </c>
      <c r="H68" s="190">
        <f>G67*'01_Вводные'!$B$14</f>
        <v/>
      </c>
      <c r="I68" s="190">
        <f>H67*'01_Вводные'!$B$14</f>
        <v/>
      </c>
      <c r="J68" s="190">
        <f>I67*'01_Вводные'!$B$14</f>
        <v/>
      </c>
      <c r="K68" s="190">
        <f>J67*'01_Вводные'!$B$14</f>
        <v/>
      </c>
      <c r="L68" s="190">
        <f>K67*'01_Вводные'!$B$14</f>
        <v/>
      </c>
      <c r="M68" s="190">
        <f>L67*'01_Вводные'!$B$14</f>
        <v/>
      </c>
      <c r="N68" s="190">
        <f>M67*'01_Вводные'!$B$14</f>
        <v/>
      </c>
      <c r="O68" s="190">
        <f>N67*'01_Вводные'!$B$14</f>
        <v/>
      </c>
      <c r="P68" s="190">
        <f>O67*'01_Вводные'!$B$14</f>
        <v/>
      </c>
      <c r="Q68" s="190">
        <f>P67*'01_Вводные'!$B$14</f>
        <v/>
      </c>
      <c r="R68" s="190">
        <f>Q67*'01_Вводные'!$B$14</f>
        <v/>
      </c>
      <c r="S68" s="190">
        <f>R67*'01_Вводные'!$B$14</f>
        <v/>
      </c>
      <c r="T68" s="190">
        <f>S67*'01_Вводные'!$B$14</f>
        <v/>
      </c>
      <c r="U68" s="190">
        <f>T67*'01_Вводные'!$B$14</f>
        <v/>
      </c>
      <c r="V68" s="190">
        <f>U67*'01_Вводные'!$B$14</f>
        <v/>
      </c>
      <c r="W68" s="190">
        <f>V67*'01_Вводные'!$B$14</f>
        <v/>
      </c>
      <c r="X68" s="190">
        <f>W67*'01_Вводные'!$B$14</f>
        <v/>
      </c>
      <c r="Y68" s="190">
        <f>X67*'01_Вводные'!$B$14</f>
        <v/>
      </c>
      <c r="Z68" s="190">
        <f>Y67*'01_Вводные'!$B$14</f>
        <v/>
      </c>
      <c r="AA68" s="190">
        <f>Z67*'01_Вводные'!$B$14</f>
        <v/>
      </c>
      <c r="AB68" s="190">
        <f>AA67*'01_Вводные'!$B$14</f>
        <v/>
      </c>
      <c r="AC68" s="190">
        <f>AB67*'01_Вводные'!$B$14</f>
        <v/>
      </c>
      <c r="AD68" s="190">
        <f>AC67*'01_Вводные'!$B$14</f>
        <v/>
      </c>
      <c r="AE68" s="190">
        <f>AD67*'01_Вводные'!$B$14</f>
        <v/>
      </c>
      <c r="AF68" s="190">
        <f>AE67*'01_Вводные'!$B$14</f>
        <v/>
      </c>
      <c r="AG68" s="190">
        <f>AF67*'01_Вводные'!$B$14</f>
        <v/>
      </c>
      <c r="AH68" s="190">
        <f>AG67*'01_Вводные'!$B$14</f>
        <v/>
      </c>
      <c r="AI68" s="190">
        <f>AH67*'01_Вводные'!$B$14</f>
        <v/>
      </c>
      <c r="AJ68" s="190">
        <f>AI67*'01_Вводные'!$B$14</f>
        <v/>
      </c>
      <c r="AK68" s="190">
        <f>AJ67*'01_Вводные'!$B$14</f>
        <v/>
      </c>
      <c r="AL68" s="190">
        <f>AK67*'01_Вводные'!$B$14</f>
        <v/>
      </c>
      <c r="AM68" s="190">
        <f>AL67*'01_Вводные'!$B$14</f>
        <v/>
      </c>
      <c r="AN68" s="190">
        <f>AM67*'01_Вводные'!$B$14</f>
        <v/>
      </c>
      <c r="AO68" s="190">
        <f>AN67*'01_Вводные'!$B$14</f>
        <v/>
      </c>
      <c r="AP68" s="190">
        <f>AO67*'01_Вводные'!$B$14</f>
        <v/>
      </c>
      <c r="AQ68" s="190">
        <f>AP67*'01_Вводные'!$B$14</f>
        <v/>
      </c>
      <c r="AR68" s="190">
        <f>AQ67*'01_Вводные'!$B$14</f>
        <v/>
      </c>
      <c r="AS68" s="190">
        <f>AR67*'01_Вводные'!$B$14</f>
        <v/>
      </c>
      <c r="AT68" s="190">
        <f>AS67*'01_Вводные'!$B$14</f>
        <v/>
      </c>
      <c r="AU68" s="190">
        <f>AT67*'01_Вводные'!$B$14</f>
        <v/>
      </c>
      <c r="AV68" s="190">
        <f>AU67*'01_Вводные'!$B$14</f>
        <v/>
      </c>
      <c r="AW68" s="190">
        <f>AV67*'01_Вводные'!$B$14</f>
        <v/>
      </c>
      <c r="AX68" s="190">
        <f>AW67*'01_Вводные'!$B$14</f>
        <v/>
      </c>
      <c r="AY68" s="190">
        <f>AX67*'01_Вводные'!$B$14</f>
        <v/>
      </c>
      <c r="AZ68" s="190">
        <f>AY67*'01_Вводные'!$B$14</f>
        <v/>
      </c>
      <c r="BA68" s="190">
        <f>AZ67*'01_Вводные'!$B$14</f>
        <v/>
      </c>
      <c r="BB68" s="190">
        <f>BA67*'01_Вводные'!$B$14</f>
        <v/>
      </c>
      <c r="BC68" s="190">
        <f>BB67*'01_Вводные'!$B$14</f>
        <v/>
      </c>
      <c r="BD68" s="190">
        <f>BC67*'01_Вводные'!$B$14</f>
        <v/>
      </c>
      <c r="BE68" s="190">
        <f>BD67*'01_Вводные'!$B$14</f>
        <v/>
      </c>
      <c r="BF68" s="190">
        <f>BE67*'01_Вводные'!$B$14</f>
        <v/>
      </c>
      <c r="BG68" s="190">
        <f>BF67*'01_Вводные'!$B$14</f>
        <v/>
      </c>
      <c r="BH68" s="190">
        <f>BG67*'01_Вводные'!$B$14</f>
        <v/>
      </c>
      <c r="BI68" s="190">
        <f>BH67*'01_Вводные'!$B$14</f>
        <v/>
      </c>
      <c r="BJ68" s="190">
        <f>BI67*'01_Вводные'!$B$14</f>
        <v/>
      </c>
      <c r="BK68" s="190">
        <f>BJ67*'01_Вводные'!$B$14</f>
        <v/>
      </c>
      <c r="BL68" s="190">
        <f>BK67*'01_Вводные'!$B$14</f>
        <v/>
      </c>
      <c r="BM68" s="190">
        <f>BL67*'01_Вводные'!$B$14</f>
        <v/>
      </c>
      <c r="BN68" s="190">
        <f>BM67*'01_Вводные'!$B$14</f>
        <v/>
      </c>
      <c r="BO68" s="190">
        <f>BN67*'01_Вводные'!$B$14</f>
        <v/>
      </c>
    </row>
    <row r="69" hidden="1" outlineLevel="1">
      <c r="A69" t="inlineStr">
        <is>
          <t>17 мес.</t>
        </is>
      </c>
      <c r="B69" s="189">
        <f>0</f>
        <v/>
      </c>
      <c r="C69" s="190">
        <f>B68*'01_Вводные'!$B$14</f>
        <v/>
      </c>
      <c r="D69" s="190">
        <f>C68*'01_Вводные'!$B$14</f>
        <v/>
      </c>
      <c r="E69" s="190">
        <f>D68*'01_Вводные'!$B$14</f>
        <v/>
      </c>
      <c r="F69" s="190">
        <f>E68*'01_Вводные'!$B$14</f>
        <v/>
      </c>
      <c r="G69" s="190">
        <f>F68*'01_Вводные'!$B$14</f>
        <v/>
      </c>
      <c r="H69" s="190">
        <f>G68*'01_Вводные'!$B$14</f>
        <v/>
      </c>
      <c r="I69" s="190">
        <f>H68*'01_Вводные'!$B$14</f>
        <v/>
      </c>
      <c r="J69" s="190">
        <f>I68*'01_Вводные'!$B$14</f>
        <v/>
      </c>
      <c r="K69" s="190">
        <f>J68*'01_Вводные'!$B$14</f>
        <v/>
      </c>
      <c r="L69" s="190">
        <f>K68*'01_Вводные'!$B$14</f>
        <v/>
      </c>
      <c r="M69" s="190">
        <f>L68*'01_Вводные'!$B$14</f>
        <v/>
      </c>
      <c r="N69" s="190">
        <f>M68*'01_Вводные'!$B$14</f>
        <v/>
      </c>
      <c r="O69" s="190">
        <f>N68*'01_Вводные'!$B$14</f>
        <v/>
      </c>
      <c r="P69" s="190">
        <f>O68*'01_Вводные'!$B$14</f>
        <v/>
      </c>
      <c r="Q69" s="190">
        <f>P68*'01_Вводные'!$B$14</f>
        <v/>
      </c>
      <c r="R69" s="190">
        <f>Q68*'01_Вводные'!$B$14</f>
        <v/>
      </c>
      <c r="S69" s="190">
        <f>R68*'01_Вводные'!$B$14</f>
        <v/>
      </c>
      <c r="T69" s="190">
        <f>S68*'01_Вводные'!$B$14</f>
        <v/>
      </c>
      <c r="U69" s="190">
        <f>T68*'01_Вводные'!$B$14</f>
        <v/>
      </c>
      <c r="V69" s="190">
        <f>U68*'01_Вводные'!$B$14</f>
        <v/>
      </c>
      <c r="W69" s="190">
        <f>V68*'01_Вводные'!$B$14</f>
        <v/>
      </c>
      <c r="X69" s="190">
        <f>W68*'01_Вводные'!$B$14</f>
        <v/>
      </c>
      <c r="Y69" s="190">
        <f>X68*'01_Вводные'!$B$14</f>
        <v/>
      </c>
      <c r="Z69" s="190">
        <f>Y68*'01_Вводные'!$B$14</f>
        <v/>
      </c>
      <c r="AA69" s="190">
        <f>Z68*'01_Вводные'!$B$14</f>
        <v/>
      </c>
      <c r="AB69" s="190">
        <f>AA68*'01_Вводные'!$B$14</f>
        <v/>
      </c>
      <c r="AC69" s="190">
        <f>AB68*'01_Вводные'!$B$14</f>
        <v/>
      </c>
      <c r="AD69" s="190">
        <f>AC68*'01_Вводные'!$B$14</f>
        <v/>
      </c>
      <c r="AE69" s="190">
        <f>AD68*'01_Вводные'!$B$14</f>
        <v/>
      </c>
      <c r="AF69" s="190">
        <f>AE68*'01_Вводные'!$B$14</f>
        <v/>
      </c>
      <c r="AG69" s="190">
        <f>AF68*'01_Вводные'!$B$14</f>
        <v/>
      </c>
      <c r="AH69" s="190">
        <f>AG68*'01_Вводные'!$B$14</f>
        <v/>
      </c>
      <c r="AI69" s="190">
        <f>AH68*'01_Вводные'!$B$14</f>
        <v/>
      </c>
      <c r="AJ69" s="190">
        <f>AI68*'01_Вводные'!$B$14</f>
        <v/>
      </c>
      <c r="AK69" s="190">
        <f>AJ68*'01_Вводные'!$B$14</f>
        <v/>
      </c>
      <c r="AL69" s="190">
        <f>AK68*'01_Вводные'!$B$14</f>
        <v/>
      </c>
      <c r="AM69" s="190">
        <f>AL68*'01_Вводные'!$B$14</f>
        <v/>
      </c>
      <c r="AN69" s="190">
        <f>AM68*'01_Вводные'!$B$14</f>
        <v/>
      </c>
      <c r="AO69" s="190">
        <f>AN68*'01_Вводные'!$B$14</f>
        <v/>
      </c>
      <c r="AP69" s="190">
        <f>AO68*'01_Вводные'!$B$14</f>
        <v/>
      </c>
      <c r="AQ69" s="190">
        <f>AP68*'01_Вводные'!$B$14</f>
        <v/>
      </c>
      <c r="AR69" s="190">
        <f>AQ68*'01_Вводные'!$B$14</f>
        <v/>
      </c>
      <c r="AS69" s="190">
        <f>AR68*'01_Вводные'!$B$14</f>
        <v/>
      </c>
      <c r="AT69" s="190">
        <f>AS68*'01_Вводные'!$B$14</f>
        <v/>
      </c>
      <c r="AU69" s="190">
        <f>AT68*'01_Вводные'!$B$14</f>
        <v/>
      </c>
      <c r="AV69" s="190">
        <f>AU68*'01_Вводные'!$B$14</f>
        <v/>
      </c>
      <c r="AW69" s="190">
        <f>AV68*'01_Вводные'!$B$14</f>
        <v/>
      </c>
      <c r="AX69" s="190">
        <f>AW68*'01_Вводные'!$B$14</f>
        <v/>
      </c>
      <c r="AY69" s="190">
        <f>AX68*'01_Вводные'!$B$14</f>
        <v/>
      </c>
      <c r="AZ69" s="190">
        <f>AY68*'01_Вводные'!$B$14</f>
        <v/>
      </c>
      <c r="BA69" s="190">
        <f>AZ68*'01_Вводные'!$B$14</f>
        <v/>
      </c>
      <c r="BB69" s="190">
        <f>BA68*'01_Вводные'!$B$14</f>
        <v/>
      </c>
      <c r="BC69" s="190">
        <f>BB68*'01_Вводные'!$B$14</f>
        <v/>
      </c>
      <c r="BD69" s="190">
        <f>BC68*'01_Вводные'!$B$14</f>
        <v/>
      </c>
      <c r="BE69" s="190">
        <f>BD68*'01_Вводные'!$B$14</f>
        <v/>
      </c>
      <c r="BF69" s="190">
        <f>BE68*'01_Вводные'!$B$14</f>
        <v/>
      </c>
      <c r="BG69" s="190">
        <f>BF68*'01_Вводные'!$B$14</f>
        <v/>
      </c>
      <c r="BH69" s="190">
        <f>BG68*'01_Вводные'!$B$14</f>
        <v/>
      </c>
      <c r="BI69" s="190">
        <f>BH68*'01_Вводные'!$B$14</f>
        <v/>
      </c>
      <c r="BJ69" s="190">
        <f>BI68*'01_Вводные'!$B$14</f>
        <v/>
      </c>
      <c r="BK69" s="190">
        <f>BJ68*'01_Вводные'!$B$14</f>
        <v/>
      </c>
      <c r="BL69" s="190">
        <f>BK68*'01_Вводные'!$B$14</f>
        <v/>
      </c>
      <c r="BM69" s="190">
        <f>BL68*'01_Вводные'!$B$14</f>
        <v/>
      </c>
      <c r="BN69" s="190">
        <f>BM68*'01_Вводные'!$B$14</f>
        <v/>
      </c>
      <c r="BO69" s="190">
        <f>BN68*'01_Вводные'!$B$14</f>
        <v/>
      </c>
    </row>
    <row r="70" hidden="1" outlineLevel="1">
      <c r="A70" t="inlineStr">
        <is>
          <t>18 мес.</t>
        </is>
      </c>
      <c r="B70" s="189">
        <f>0</f>
        <v/>
      </c>
      <c r="C70" s="190">
        <f>B69*'01_Вводные'!$B$14</f>
        <v/>
      </c>
      <c r="D70" s="190">
        <f>C69*'01_Вводные'!$B$14</f>
        <v/>
      </c>
      <c r="E70" s="190">
        <f>D69*'01_Вводные'!$B$14</f>
        <v/>
      </c>
      <c r="F70" s="190">
        <f>E69*'01_Вводные'!$B$14</f>
        <v/>
      </c>
      <c r="G70" s="190">
        <f>F69*'01_Вводные'!$B$14</f>
        <v/>
      </c>
      <c r="H70" s="190">
        <f>G69*'01_Вводные'!$B$14</f>
        <v/>
      </c>
      <c r="I70" s="190">
        <f>H69*'01_Вводные'!$B$14</f>
        <v/>
      </c>
      <c r="J70" s="190">
        <f>I69*'01_Вводные'!$B$14</f>
        <v/>
      </c>
      <c r="K70" s="190">
        <f>J69*'01_Вводные'!$B$14</f>
        <v/>
      </c>
      <c r="L70" s="190">
        <f>K69*'01_Вводные'!$B$14</f>
        <v/>
      </c>
      <c r="M70" s="190">
        <f>L69*'01_Вводные'!$B$14</f>
        <v/>
      </c>
      <c r="N70" s="190">
        <f>M69*'01_Вводные'!$B$14</f>
        <v/>
      </c>
      <c r="O70" s="190">
        <f>N69*'01_Вводные'!$B$14</f>
        <v/>
      </c>
      <c r="P70" s="190">
        <f>O69*'01_Вводные'!$B$14</f>
        <v/>
      </c>
      <c r="Q70" s="190">
        <f>P69*'01_Вводные'!$B$14</f>
        <v/>
      </c>
      <c r="R70" s="190">
        <f>Q69*'01_Вводные'!$B$14</f>
        <v/>
      </c>
      <c r="S70" s="190">
        <f>R69*'01_Вводные'!$B$14</f>
        <v/>
      </c>
      <c r="T70" s="190">
        <f>S69*'01_Вводные'!$B$14</f>
        <v/>
      </c>
      <c r="U70" s="190">
        <f>T69*'01_Вводные'!$B$14</f>
        <v/>
      </c>
      <c r="V70" s="190">
        <f>U69*'01_Вводные'!$B$14</f>
        <v/>
      </c>
      <c r="W70" s="190">
        <f>V69*'01_Вводные'!$B$14</f>
        <v/>
      </c>
      <c r="X70" s="190">
        <f>W69*'01_Вводные'!$B$14</f>
        <v/>
      </c>
      <c r="Y70" s="190">
        <f>X69*'01_Вводные'!$B$14</f>
        <v/>
      </c>
      <c r="Z70" s="190">
        <f>Y69*'01_Вводные'!$B$14</f>
        <v/>
      </c>
      <c r="AA70" s="190">
        <f>Z69*'01_Вводные'!$B$14</f>
        <v/>
      </c>
      <c r="AB70" s="190">
        <f>AA69*'01_Вводные'!$B$14</f>
        <v/>
      </c>
      <c r="AC70" s="190">
        <f>AB69*'01_Вводные'!$B$14</f>
        <v/>
      </c>
      <c r="AD70" s="190">
        <f>AC69*'01_Вводные'!$B$14</f>
        <v/>
      </c>
      <c r="AE70" s="190">
        <f>AD69*'01_Вводные'!$B$14</f>
        <v/>
      </c>
      <c r="AF70" s="190">
        <f>AE69*'01_Вводные'!$B$14</f>
        <v/>
      </c>
      <c r="AG70" s="190">
        <f>AF69*'01_Вводные'!$B$14</f>
        <v/>
      </c>
      <c r="AH70" s="190">
        <f>AG69*'01_Вводные'!$B$14</f>
        <v/>
      </c>
      <c r="AI70" s="190">
        <f>AH69*'01_Вводные'!$B$14</f>
        <v/>
      </c>
      <c r="AJ70" s="190">
        <f>AI69*'01_Вводные'!$B$14</f>
        <v/>
      </c>
      <c r="AK70" s="190">
        <f>AJ69*'01_Вводные'!$B$14</f>
        <v/>
      </c>
      <c r="AL70" s="190">
        <f>AK69*'01_Вводные'!$B$14</f>
        <v/>
      </c>
      <c r="AM70" s="190">
        <f>AL69*'01_Вводные'!$B$14</f>
        <v/>
      </c>
      <c r="AN70" s="190">
        <f>AM69*'01_Вводные'!$B$14</f>
        <v/>
      </c>
      <c r="AO70" s="190">
        <f>AN69*'01_Вводные'!$B$14</f>
        <v/>
      </c>
      <c r="AP70" s="190">
        <f>AO69*'01_Вводные'!$B$14</f>
        <v/>
      </c>
      <c r="AQ70" s="190">
        <f>AP69*'01_Вводные'!$B$14</f>
        <v/>
      </c>
      <c r="AR70" s="190">
        <f>AQ69*'01_Вводные'!$B$14</f>
        <v/>
      </c>
      <c r="AS70" s="190">
        <f>AR69*'01_Вводные'!$B$14</f>
        <v/>
      </c>
      <c r="AT70" s="190">
        <f>AS69*'01_Вводные'!$B$14</f>
        <v/>
      </c>
      <c r="AU70" s="190">
        <f>AT69*'01_Вводные'!$B$14</f>
        <v/>
      </c>
      <c r="AV70" s="190">
        <f>AU69*'01_Вводные'!$B$14</f>
        <v/>
      </c>
      <c r="AW70" s="190">
        <f>AV69*'01_Вводные'!$B$14</f>
        <v/>
      </c>
      <c r="AX70" s="190">
        <f>AW69*'01_Вводные'!$B$14</f>
        <v/>
      </c>
      <c r="AY70" s="190">
        <f>AX69*'01_Вводные'!$B$14</f>
        <v/>
      </c>
      <c r="AZ70" s="190">
        <f>AY69*'01_Вводные'!$B$14</f>
        <v/>
      </c>
      <c r="BA70" s="190">
        <f>AZ69*'01_Вводные'!$B$14</f>
        <v/>
      </c>
      <c r="BB70" s="190">
        <f>BA69*'01_Вводные'!$B$14</f>
        <v/>
      </c>
      <c r="BC70" s="190">
        <f>BB69*'01_Вводные'!$B$14</f>
        <v/>
      </c>
      <c r="BD70" s="190">
        <f>BC69*'01_Вводные'!$B$14</f>
        <v/>
      </c>
      <c r="BE70" s="190">
        <f>BD69*'01_Вводные'!$B$14</f>
        <v/>
      </c>
      <c r="BF70" s="190">
        <f>BE69*'01_Вводные'!$B$14</f>
        <v/>
      </c>
      <c r="BG70" s="190">
        <f>BF69*'01_Вводные'!$B$14</f>
        <v/>
      </c>
      <c r="BH70" s="190">
        <f>BG69*'01_Вводные'!$B$14</f>
        <v/>
      </c>
      <c r="BI70" s="190">
        <f>BH69*'01_Вводные'!$B$14</f>
        <v/>
      </c>
      <c r="BJ70" s="190">
        <f>BI69*'01_Вводные'!$B$14</f>
        <v/>
      </c>
      <c r="BK70" s="190">
        <f>BJ69*'01_Вводные'!$B$14</f>
        <v/>
      </c>
      <c r="BL70" s="190">
        <f>BK69*'01_Вводные'!$B$14</f>
        <v/>
      </c>
      <c r="BM70" s="190">
        <f>BL69*'01_Вводные'!$B$14</f>
        <v/>
      </c>
      <c r="BN70" s="190">
        <f>BM69*'01_Вводные'!$B$14</f>
        <v/>
      </c>
      <c r="BO70" s="190">
        <f>BN69*'01_Вводные'!$B$14</f>
        <v/>
      </c>
    </row>
    <row r="71" hidden="1" outlineLevel="1">
      <c r="A71" t="inlineStr">
        <is>
          <t>19 мес.</t>
        </is>
      </c>
      <c r="B71" s="189">
        <f>0</f>
        <v/>
      </c>
      <c r="C71" s="190">
        <f>B70*'01_Вводные'!$B$14</f>
        <v/>
      </c>
      <c r="D71" s="190">
        <f>C70*'01_Вводные'!$B$14</f>
        <v/>
      </c>
      <c r="E71" s="190">
        <f>D70*'01_Вводные'!$B$14</f>
        <v/>
      </c>
      <c r="F71" s="190">
        <f>E70*'01_Вводные'!$B$14</f>
        <v/>
      </c>
      <c r="G71" s="190">
        <f>F70*'01_Вводные'!$B$14</f>
        <v/>
      </c>
      <c r="H71" s="190">
        <f>G70*'01_Вводные'!$B$14</f>
        <v/>
      </c>
      <c r="I71" s="190">
        <f>H70*'01_Вводные'!$B$14</f>
        <v/>
      </c>
      <c r="J71" s="190">
        <f>I70*'01_Вводные'!$B$14</f>
        <v/>
      </c>
      <c r="K71" s="190">
        <f>J70*'01_Вводные'!$B$14</f>
        <v/>
      </c>
      <c r="L71" s="190">
        <f>K70*'01_Вводные'!$B$14</f>
        <v/>
      </c>
      <c r="M71" s="190">
        <f>L70*'01_Вводные'!$B$14</f>
        <v/>
      </c>
      <c r="N71" s="190">
        <f>M70*'01_Вводные'!$B$14</f>
        <v/>
      </c>
      <c r="O71" s="190">
        <f>N70*'01_Вводные'!$B$14</f>
        <v/>
      </c>
      <c r="P71" s="190">
        <f>O70*'01_Вводные'!$B$14</f>
        <v/>
      </c>
      <c r="Q71" s="190">
        <f>P70*'01_Вводные'!$B$14</f>
        <v/>
      </c>
      <c r="R71" s="190">
        <f>Q70*'01_Вводные'!$B$14</f>
        <v/>
      </c>
      <c r="S71" s="190">
        <f>R70*'01_Вводные'!$B$14</f>
        <v/>
      </c>
      <c r="T71" s="190">
        <f>S70*'01_Вводные'!$B$14</f>
        <v/>
      </c>
      <c r="U71" s="190">
        <f>T70*'01_Вводные'!$B$14</f>
        <v/>
      </c>
      <c r="V71" s="190">
        <f>U70*'01_Вводные'!$B$14</f>
        <v/>
      </c>
      <c r="W71" s="190">
        <f>V70*'01_Вводные'!$B$14</f>
        <v/>
      </c>
      <c r="X71" s="190">
        <f>W70*'01_Вводные'!$B$14</f>
        <v/>
      </c>
      <c r="Y71" s="190">
        <f>X70*'01_Вводные'!$B$14</f>
        <v/>
      </c>
      <c r="Z71" s="190">
        <f>Y70*'01_Вводные'!$B$14</f>
        <v/>
      </c>
      <c r="AA71" s="190">
        <f>Z70*'01_Вводные'!$B$14</f>
        <v/>
      </c>
      <c r="AB71" s="190">
        <f>AA70*'01_Вводные'!$B$14</f>
        <v/>
      </c>
      <c r="AC71" s="190">
        <f>AB70*'01_Вводные'!$B$14</f>
        <v/>
      </c>
      <c r="AD71" s="190">
        <f>AC70*'01_Вводные'!$B$14</f>
        <v/>
      </c>
      <c r="AE71" s="190">
        <f>AD70*'01_Вводные'!$B$14</f>
        <v/>
      </c>
      <c r="AF71" s="190">
        <f>AE70*'01_Вводные'!$B$14</f>
        <v/>
      </c>
      <c r="AG71" s="190">
        <f>AF70*'01_Вводные'!$B$14</f>
        <v/>
      </c>
      <c r="AH71" s="190">
        <f>AG70*'01_Вводные'!$B$14</f>
        <v/>
      </c>
      <c r="AI71" s="190">
        <f>AH70*'01_Вводные'!$B$14</f>
        <v/>
      </c>
      <c r="AJ71" s="190">
        <f>AI70*'01_Вводные'!$B$14</f>
        <v/>
      </c>
      <c r="AK71" s="190">
        <f>AJ70*'01_Вводные'!$B$14</f>
        <v/>
      </c>
      <c r="AL71" s="190">
        <f>AK70*'01_Вводные'!$B$14</f>
        <v/>
      </c>
      <c r="AM71" s="190">
        <f>AL70*'01_Вводные'!$B$14</f>
        <v/>
      </c>
      <c r="AN71" s="190">
        <f>AM70*'01_Вводные'!$B$14</f>
        <v/>
      </c>
      <c r="AO71" s="190">
        <f>AN70*'01_Вводные'!$B$14</f>
        <v/>
      </c>
      <c r="AP71" s="190">
        <f>AO70*'01_Вводные'!$B$14</f>
        <v/>
      </c>
      <c r="AQ71" s="190">
        <f>AP70*'01_Вводные'!$B$14</f>
        <v/>
      </c>
      <c r="AR71" s="190">
        <f>AQ70*'01_Вводные'!$B$14</f>
        <v/>
      </c>
      <c r="AS71" s="190">
        <f>AR70*'01_Вводные'!$B$14</f>
        <v/>
      </c>
      <c r="AT71" s="190">
        <f>AS70*'01_Вводные'!$B$14</f>
        <v/>
      </c>
      <c r="AU71" s="190">
        <f>AT70*'01_Вводные'!$B$14</f>
        <v/>
      </c>
      <c r="AV71" s="190">
        <f>AU70*'01_Вводные'!$B$14</f>
        <v/>
      </c>
      <c r="AW71" s="190">
        <f>AV70*'01_Вводные'!$B$14</f>
        <v/>
      </c>
      <c r="AX71" s="190">
        <f>AW70*'01_Вводные'!$B$14</f>
        <v/>
      </c>
      <c r="AY71" s="190">
        <f>AX70*'01_Вводные'!$B$14</f>
        <v/>
      </c>
      <c r="AZ71" s="190">
        <f>AY70*'01_Вводные'!$B$14</f>
        <v/>
      </c>
      <c r="BA71" s="190">
        <f>AZ70*'01_Вводные'!$B$14</f>
        <v/>
      </c>
      <c r="BB71" s="190">
        <f>BA70*'01_Вводные'!$B$14</f>
        <v/>
      </c>
      <c r="BC71" s="190">
        <f>BB70*'01_Вводные'!$B$14</f>
        <v/>
      </c>
      <c r="BD71" s="190">
        <f>BC70*'01_Вводные'!$B$14</f>
        <v/>
      </c>
      <c r="BE71" s="190">
        <f>BD70*'01_Вводные'!$B$14</f>
        <v/>
      </c>
      <c r="BF71" s="190">
        <f>BE70*'01_Вводные'!$B$14</f>
        <v/>
      </c>
      <c r="BG71" s="190">
        <f>BF70*'01_Вводные'!$B$14</f>
        <v/>
      </c>
      <c r="BH71" s="190">
        <f>BG70*'01_Вводные'!$B$14</f>
        <v/>
      </c>
      <c r="BI71" s="190">
        <f>BH70*'01_Вводные'!$B$14</f>
        <v/>
      </c>
      <c r="BJ71" s="190">
        <f>BI70*'01_Вводные'!$B$14</f>
        <v/>
      </c>
      <c r="BK71" s="190">
        <f>BJ70*'01_Вводные'!$B$14</f>
        <v/>
      </c>
      <c r="BL71" s="190">
        <f>BK70*'01_Вводные'!$B$14</f>
        <v/>
      </c>
      <c r="BM71" s="190">
        <f>BL70*'01_Вводные'!$B$14</f>
        <v/>
      </c>
      <c r="BN71" s="190">
        <f>BM70*'01_Вводные'!$B$14</f>
        <v/>
      </c>
      <c r="BO71" s="190">
        <f>BN70*'01_Вводные'!$B$14</f>
        <v/>
      </c>
    </row>
    <row r="72" hidden="1" outlineLevel="1">
      <c r="A72" t="inlineStr">
        <is>
          <t>20 мес.</t>
        </is>
      </c>
      <c r="B72" s="188">
        <f>0</f>
        <v/>
      </c>
      <c r="C72" s="191">
        <f>B71*'01_Вводные'!$B$14</f>
        <v/>
      </c>
      <c r="D72" s="191">
        <f>C71*'01_Вводные'!$B$14</f>
        <v/>
      </c>
      <c r="E72" s="191">
        <f>D71*'01_Вводные'!$B$14</f>
        <v/>
      </c>
      <c r="F72" s="191">
        <f>E71*'01_Вводные'!$B$14</f>
        <v/>
      </c>
      <c r="G72" s="191">
        <f>F71*'01_Вводные'!$B$14</f>
        <v/>
      </c>
      <c r="H72" s="191">
        <f>G71*'01_Вводные'!$B$14</f>
        <v/>
      </c>
      <c r="I72" s="191">
        <f>H71*'01_Вводные'!$B$14</f>
        <v/>
      </c>
      <c r="J72" s="191">
        <f>I71*'01_Вводные'!$B$14</f>
        <v/>
      </c>
      <c r="K72" s="191">
        <f>J71*'01_Вводные'!$B$14</f>
        <v/>
      </c>
      <c r="L72" s="191">
        <f>K71*'01_Вводные'!$B$14</f>
        <v/>
      </c>
      <c r="M72" s="191">
        <f>L71*'01_Вводные'!$B$14</f>
        <v/>
      </c>
      <c r="N72" s="191">
        <f>M71*'01_Вводные'!$B$14</f>
        <v/>
      </c>
      <c r="O72" s="191">
        <f>N71*'01_Вводные'!$B$14</f>
        <v/>
      </c>
      <c r="P72" s="191">
        <f>O71*'01_Вводные'!$B$14</f>
        <v/>
      </c>
      <c r="Q72" s="191">
        <f>P71*'01_Вводные'!$B$14</f>
        <v/>
      </c>
      <c r="R72" s="191">
        <f>Q71*'01_Вводные'!$B$14</f>
        <v/>
      </c>
      <c r="S72" s="191">
        <f>R71*'01_Вводные'!$B$14</f>
        <v/>
      </c>
      <c r="T72" s="191">
        <f>S71*'01_Вводные'!$B$14</f>
        <v/>
      </c>
      <c r="U72" s="191">
        <f>T71*'01_Вводные'!$B$14</f>
        <v/>
      </c>
      <c r="V72" s="191">
        <f>U71*'01_Вводные'!$B$14</f>
        <v/>
      </c>
      <c r="W72" s="191">
        <f>V71*'01_Вводные'!$B$14</f>
        <v/>
      </c>
      <c r="X72" s="191">
        <f>W71*'01_Вводные'!$B$14</f>
        <v/>
      </c>
      <c r="Y72" s="191">
        <f>X71*'01_Вводные'!$B$14</f>
        <v/>
      </c>
      <c r="Z72" s="191">
        <f>Y71*'01_Вводные'!$B$14</f>
        <v/>
      </c>
      <c r="AA72" s="191">
        <f>Z71*'01_Вводные'!$B$14</f>
        <v/>
      </c>
      <c r="AB72" s="191">
        <f>AA71*'01_Вводные'!$B$14</f>
        <v/>
      </c>
      <c r="AC72" s="191">
        <f>AB71*'01_Вводные'!$B$14</f>
        <v/>
      </c>
      <c r="AD72" s="191">
        <f>AC71*'01_Вводные'!$B$14</f>
        <v/>
      </c>
      <c r="AE72" s="191">
        <f>AD71*'01_Вводные'!$B$14</f>
        <v/>
      </c>
      <c r="AF72" s="191">
        <f>AE71*'01_Вводные'!$B$14</f>
        <v/>
      </c>
      <c r="AG72" s="191">
        <f>AF71*'01_Вводные'!$B$14</f>
        <v/>
      </c>
      <c r="AH72" s="191">
        <f>AG71*'01_Вводные'!$B$14</f>
        <v/>
      </c>
      <c r="AI72" s="191">
        <f>AH71*'01_Вводные'!$B$14</f>
        <v/>
      </c>
      <c r="AJ72" s="191">
        <f>AI71*'01_Вводные'!$B$14</f>
        <v/>
      </c>
      <c r="AK72" s="191">
        <f>AJ71*'01_Вводные'!$B$14</f>
        <v/>
      </c>
      <c r="AL72" s="191">
        <f>AK71*'01_Вводные'!$B$14</f>
        <v/>
      </c>
      <c r="AM72" s="191">
        <f>AL71*'01_Вводные'!$B$14</f>
        <v/>
      </c>
      <c r="AN72" s="191">
        <f>AM71*'01_Вводные'!$B$14</f>
        <v/>
      </c>
      <c r="AO72" s="191">
        <f>AN71*'01_Вводные'!$B$14</f>
        <v/>
      </c>
      <c r="AP72" s="191">
        <f>AO71*'01_Вводные'!$B$14</f>
        <v/>
      </c>
      <c r="AQ72" s="191">
        <f>AP71*'01_Вводные'!$B$14</f>
        <v/>
      </c>
      <c r="AR72" s="191">
        <f>AQ71*'01_Вводные'!$B$14</f>
        <v/>
      </c>
      <c r="AS72" s="191">
        <f>AR71*'01_Вводные'!$B$14</f>
        <v/>
      </c>
      <c r="AT72" s="191">
        <f>AS71*'01_Вводные'!$B$14</f>
        <v/>
      </c>
      <c r="AU72" s="191">
        <f>AT71*'01_Вводные'!$B$14</f>
        <v/>
      </c>
      <c r="AV72" s="191">
        <f>AU71*'01_Вводные'!$B$14</f>
        <v/>
      </c>
      <c r="AW72" s="191">
        <f>AV71*'01_Вводные'!$B$14</f>
        <v/>
      </c>
      <c r="AX72" s="191">
        <f>AW71*'01_Вводные'!$B$14</f>
        <v/>
      </c>
      <c r="AY72" s="191">
        <f>AX71*'01_Вводные'!$B$14</f>
        <v/>
      </c>
      <c r="AZ72" s="191">
        <f>AY71*'01_Вводные'!$B$14</f>
        <v/>
      </c>
      <c r="BA72" s="191">
        <f>AZ71*'01_Вводные'!$B$14</f>
        <v/>
      </c>
      <c r="BB72" s="191">
        <f>BA71*'01_Вводные'!$B$14</f>
        <v/>
      </c>
      <c r="BC72" s="191">
        <f>BB71*'01_Вводные'!$B$14</f>
        <v/>
      </c>
      <c r="BD72" s="191">
        <f>BC71*'01_Вводные'!$B$14</f>
        <v/>
      </c>
      <c r="BE72" s="191">
        <f>BD71*'01_Вводные'!$B$14</f>
        <v/>
      </c>
      <c r="BF72" s="191">
        <f>BE71*'01_Вводные'!$B$14</f>
        <v/>
      </c>
      <c r="BG72" s="191">
        <f>BF71*'01_Вводные'!$B$14</f>
        <v/>
      </c>
      <c r="BH72" s="191">
        <f>BG71*'01_Вводные'!$B$14</f>
        <v/>
      </c>
      <c r="BI72" s="191">
        <f>BH71*'01_Вводные'!$B$14</f>
        <v/>
      </c>
      <c r="BJ72" s="191">
        <f>BI71*'01_Вводные'!$B$14</f>
        <v/>
      </c>
      <c r="BK72" s="191">
        <f>BJ71*'01_Вводные'!$B$14</f>
        <v/>
      </c>
      <c r="BL72" s="191">
        <f>BK71*'01_Вводные'!$B$14</f>
        <v/>
      </c>
      <c r="BM72" s="191">
        <f>BL71*'01_Вводные'!$B$14</f>
        <v/>
      </c>
      <c r="BN72" s="191">
        <f>BM71*'01_Вводные'!$B$14</f>
        <v/>
      </c>
      <c r="BO72" s="191">
        <f>BN71*'01_Вводные'!$B$14</f>
        <v/>
      </c>
    </row>
    <row r="73" hidden="1" outlineLevel="1">
      <c r="A73" t="inlineStr">
        <is>
          <t>21 мес.</t>
        </is>
      </c>
      <c r="B73" s="189">
        <f>0</f>
        <v/>
      </c>
      <c r="C73" s="190">
        <f>B72*'01_Вводные'!$B$14</f>
        <v/>
      </c>
      <c r="D73" s="190">
        <f>C72*'01_Вводные'!$B$14</f>
        <v/>
      </c>
      <c r="E73" s="190">
        <f>D72*'01_Вводные'!$B$14</f>
        <v/>
      </c>
      <c r="F73" s="190">
        <f>E72*'01_Вводные'!$B$14</f>
        <v/>
      </c>
      <c r="G73" s="190">
        <f>F72*'01_Вводные'!$B$14</f>
        <v/>
      </c>
      <c r="H73" s="190">
        <f>G72*'01_Вводные'!$B$14</f>
        <v/>
      </c>
      <c r="I73" s="190">
        <f>H72*'01_Вводные'!$B$14</f>
        <v/>
      </c>
      <c r="J73" s="190">
        <f>I72*'01_Вводные'!$B$14</f>
        <v/>
      </c>
      <c r="K73" s="190">
        <f>J72*'01_Вводные'!$B$14</f>
        <v/>
      </c>
      <c r="L73" s="190">
        <f>K72*'01_Вводные'!$B$14</f>
        <v/>
      </c>
      <c r="M73" s="190">
        <f>L72*'01_Вводные'!$B$14</f>
        <v/>
      </c>
      <c r="N73" s="190">
        <f>M72*'01_Вводные'!$B$14</f>
        <v/>
      </c>
      <c r="O73" s="190">
        <f>N72*'01_Вводные'!$B$14</f>
        <v/>
      </c>
      <c r="P73" s="190">
        <f>O72*'01_Вводные'!$B$14</f>
        <v/>
      </c>
      <c r="Q73" s="190">
        <f>P72*'01_Вводные'!$B$14</f>
        <v/>
      </c>
      <c r="R73" s="190">
        <f>Q72*'01_Вводные'!$B$14</f>
        <v/>
      </c>
      <c r="S73" s="190">
        <f>R72*'01_Вводные'!$B$14</f>
        <v/>
      </c>
      <c r="T73" s="190">
        <f>S72*'01_Вводные'!$B$14</f>
        <v/>
      </c>
      <c r="U73" s="190">
        <f>T72*'01_Вводные'!$B$14</f>
        <v/>
      </c>
      <c r="V73" s="190">
        <f>U72*'01_Вводные'!$B$14</f>
        <v/>
      </c>
      <c r="W73" s="190">
        <f>V72*'01_Вводные'!$B$14</f>
        <v/>
      </c>
      <c r="X73" s="190">
        <f>W72*'01_Вводные'!$B$14</f>
        <v/>
      </c>
      <c r="Y73" s="190">
        <f>X72*'01_Вводные'!$B$14</f>
        <v/>
      </c>
      <c r="Z73" s="190">
        <f>Y72*'01_Вводные'!$B$14</f>
        <v/>
      </c>
      <c r="AA73" s="190">
        <f>Z72*'01_Вводные'!$B$14</f>
        <v/>
      </c>
      <c r="AB73" s="190">
        <f>AA72*'01_Вводные'!$B$14</f>
        <v/>
      </c>
      <c r="AC73" s="190">
        <f>AB72*'01_Вводные'!$B$14</f>
        <v/>
      </c>
      <c r="AD73" s="190">
        <f>AC72*'01_Вводные'!$B$14</f>
        <v/>
      </c>
      <c r="AE73" s="190">
        <f>AD72*'01_Вводные'!$B$14</f>
        <v/>
      </c>
      <c r="AF73" s="190">
        <f>AE72*'01_Вводные'!$B$14</f>
        <v/>
      </c>
      <c r="AG73" s="190">
        <f>AF72*'01_Вводные'!$B$14</f>
        <v/>
      </c>
      <c r="AH73" s="190">
        <f>AG72*'01_Вводные'!$B$14</f>
        <v/>
      </c>
      <c r="AI73" s="190">
        <f>AH72*'01_Вводные'!$B$14</f>
        <v/>
      </c>
      <c r="AJ73" s="190">
        <f>AI72*'01_Вводные'!$B$14</f>
        <v/>
      </c>
      <c r="AK73" s="190">
        <f>AJ72*'01_Вводные'!$B$14</f>
        <v/>
      </c>
      <c r="AL73" s="190">
        <f>AK72*'01_Вводные'!$B$14</f>
        <v/>
      </c>
      <c r="AM73" s="190">
        <f>AL72*'01_Вводные'!$B$14</f>
        <v/>
      </c>
      <c r="AN73" s="190">
        <f>AM72*'01_Вводные'!$B$14</f>
        <v/>
      </c>
      <c r="AO73" s="190">
        <f>AN72*'01_Вводные'!$B$14</f>
        <v/>
      </c>
      <c r="AP73" s="190">
        <f>AO72*'01_Вводные'!$B$14</f>
        <v/>
      </c>
      <c r="AQ73" s="190">
        <f>AP72*'01_Вводные'!$B$14</f>
        <v/>
      </c>
      <c r="AR73" s="190">
        <f>AQ72*'01_Вводные'!$B$14</f>
        <v/>
      </c>
      <c r="AS73" s="190">
        <f>AR72*'01_Вводные'!$B$14</f>
        <v/>
      </c>
      <c r="AT73" s="190">
        <f>AS72*'01_Вводные'!$B$14</f>
        <v/>
      </c>
      <c r="AU73" s="190">
        <f>AT72*'01_Вводные'!$B$14</f>
        <v/>
      </c>
      <c r="AV73" s="190">
        <f>AU72*'01_Вводные'!$B$14</f>
        <v/>
      </c>
      <c r="AW73" s="190">
        <f>AV72*'01_Вводные'!$B$14</f>
        <v/>
      </c>
      <c r="AX73" s="190">
        <f>AW72*'01_Вводные'!$B$14</f>
        <v/>
      </c>
      <c r="AY73" s="190">
        <f>AX72*'01_Вводные'!$B$14</f>
        <v/>
      </c>
      <c r="AZ73" s="190">
        <f>AY72*'01_Вводные'!$B$14</f>
        <v/>
      </c>
      <c r="BA73" s="190">
        <f>AZ72*'01_Вводные'!$B$14</f>
        <v/>
      </c>
      <c r="BB73" s="190">
        <f>BA72*'01_Вводные'!$B$14</f>
        <v/>
      </c>
      <c r="BC73" s="190">
        <f>BB72*'01_Вводные'!$B$14</f>
        <v/>
      </c>
      <c r="BD73" s="190">
        <f>BC72*'01_Вводные'!$B$14</f>
        <v/>
      </c>
      <c r="BE73" s="190">
        <f>BD72*'01_Вводные'!$B$14</f>
        <v/>
      </c>
      <c r="BF73" s="190">
        <f>BE72*'01_Вводные'!$B$14</f>
        <v/>
      </c>
      <c r="BG73" s="190">
        <f>BF72*'01_Вводные'!$B$14</f>
        <v/>
      </c>
      <c r="BH73" s="190">
        <f>BG72*'01_Вводные'!$B$14</f>
        <v/>
      </c>
      <c r="BI73" s="190">
        <f>BH72*'01_Вводные'!$B$14</f>
        <v/>
      </c>
      <c r="BJ73" s="190">
        <f>BI72*'01_Вводные'!$B$14</f>
        <v/>
      </c>
      <c r="BK73" s="190">
        <f>BJ72*'01_Вводные'!$B$14</f>
        <v/>
      </c>
      <c r="BL73" s="190">
        <f>BK72*'01_Вводные'!$B$14</f>
        <v/>
      </c>
      <c r="BM73" s="190">
        <f>BL72*'01_Вводные'!$B$14</f>
        <v/>
      </c>
      <c r="BN73" s="190">
        <f>BM72*'01_Вводные'!$B$14</f>
        <v/>
      </c>
      <c r="BO73" s="190">
        <f>BN72*'01_Вводные'!$B$14</f>
        <v/>
      </c>
    </row>
    <row r="74" hidden="1" outlineLevel="1">
      <c r="A74" t="inlineStr">
        <is>
          <t>22 мес.</t>
        </is>
      </c>
      <c r="B74" s="189">
        <f>0</f>
        <v/>
      </c>
      <c r="C74" s="190">
        <f>B73*'01_Вводные'!$B$14</f>
        <v/>
      </c>
      <c r="D74" s="190">
        <f>C73*'01_Вводные'!$B$14</f>
        <v/>
      </c>
      <c r="E74" s="190">
        <f>D73*'01_Вводные'!$B$14</f>
        <v/>
      </c>
      <c r="F74" s="190">
        <f>E73*'01_Вводные'!$B$14</f>
        <v/>
      </c>
      <c r="G74" s="190">
        <f>F73*'01_Вводные'!$B$14</f>
        <v/>
      </c>
      <c r="H74" s="190">
        <f>G73*'01_Вводные'!$B$14</f>
        <v/>
      </c>
      <c r="I74" s="190">
        <f>H73*'01_Вводные'!$B$14</f>
        <v/>
      </c>
      <c r="J74" s="190">
        <f>I73*'01_Вводные'!$B$14</f>
        <v/>
      </c>
      <c r="K74" s="190">
        <f>J73*'01_Вводные'!$B$14</f>
        <v/>
      </c>
      <c r="L74" s="190">
        <f>K73*'01_Вводные'!$B$14</f>
        <v/>
      </c>
      <c r="M74" s="190">
        <f>L73*'01_Вводные'!$B$14</f>
        <v/>
      </c>
      <c r="N74" s="190">
        <f>M73*'01_Вводные'!$B$14</f>
        <v/>
      </c>
      <c r="O74" s="190">
        <f>N73*'01_Вводные'!$B$14</f>
        <v/>
      </c>
      <c r="P74" s="190">
        <f>O73*'01_Вводные'!$B$14</f>
        <v/>
      </c>
      <c r="Q74" s="190">
        <f>P73*'01_Вводные'!$B$14</f>
        <v/>
      </c>
      <c r="R74" s="190">
        <f>Q73*'01_Вводные'!$B$14</f>
        <v/>
      </c>
      <c r="S74" s="190">
        <f>R73*'01_Вводные'!$B$14</f>
        <v/>
      </c>
      <c r="T74" s="190">
        <f>S73*'01_Вводные'!$B$14</f>
        <v/>
      </c>
      <c r="U74" s="190">
        <f>T73*'01_Вводные'!$B$14</f>
        <v/>
      </c>
      <c r="V74" s="190">
        <f>U73*'01_Вводные'!$B$14</f>
        <v/>
      </c>
      <c r="W74" s="190">
        <f>V73*'01_Вводные'!$B$14</f>
        <v/>
      </c>
      <c r="X74" s="190">
        <f>W73*'01_Вводные'!$B$14</f>
        <v/>
      </c>
      <c r="Y74" s="190">
        <f>X73*'01_Вводные'!$B$14</f>
        <v/>
      </c>
      <c r="Z74" s="190">
        <f>Y73*'01_Вводные'!$B$14</f>
        <v/>
      </c>
      <c r="AA74" s="190">
        <f>Z73*'01_Вводные'!$B$14</f>
        <v/>
      </c>
      <c r="AB74" s="190">
        <f>AA73*'01_Вводные'!$B$14</f>
        <v/>
      </c>
      <c r="AC74" s="190">
        <f>AB73*'01_Вводные'!$B$14</f>
        <v/>
      </c>
      <c r="AD74" s="190">
        <f>AC73*'01_Вводные'!$B$14</f>
        <v/>
      </c>
      <c r="AE74" s="190">
        <f>AD73*'01_Вводные'!$B$14</f>
        <v/>
      </c>
      <c r="AF74" s="190">
        <f>AE73*'01_Вводные'!$B$14</f>
        <v/>
      </c>
      <c r="AG74" s="190">
        <f>AF73*'01_Вводные'!$B$14</f>
        <v/>
      </c>
      <c r="AH74" s="190">
        <f>AG73*'01_Вводные'!$B$14</f>
        <v/>
      </c>
      <c r="AI74" s="190">
        <f>AH73*'01_Вводные'!$B$14</f>
        <v/>
      </c>
      <c r="AJ74" s="190">
        <f>AI73*'01_Вводные'!$B$14</f>
        <v/>
      </c>
      <c r="AK74" s="190">
        <f>AJ73*'01_Вводные'!$B$14</f>
        <v/>
      </c>
      <c r="AL74" s="190">
        <f>AK73*'01_Вводные'!$B$14</f>
        <v/>
      </c>
      <c r="AM74" s="190">
        <f>AL73*'01_Вводные'!$B$14</f>
        <v/>
      </c>
      <c r="AN74" s="190">
        <f>AM73*'01_Вводные'!$B$14</f>
        <v/>
      </c>
      <c r="AO74" s="190">
        <f>AN73*'01_Вводные'!$B$14</f>
        <v/>
      </c>
      <c r="AP74" s="190">
        <f>AO73*'01_Вводные'!$B$14</f>
        <v/>
      </c>
      <c r="AQ74" s="190">
        <f>AP73*'01_Вводные'!$B$14</f>
        <v/>
      </c>
      <c r="AR74" s="190">
        <f>AQ73*'01_Вводные'!$B$14</f>
        <v/>
      </c>
      <c r="AS74" s="190">
        <f>AR73*'01_Вводные'!$B$14</f>
        <v/>
      </c>
      <c r="AT74" s="190">
        <f>AS73*'01_Вводные'!$B$14</f>
        <v/>
      </c>
      <c r="AU74" s="190">
        <f>AT73*'01_Вводные'!$B$14</f>
        <v/>
      </c>
      <c r="AV74" s="190">
        <f>AU73*'01_Вводные'!$B$14</f>
        <v/>
      </c>
      <c r="AW74" s="190">
        <f>AV73*'01_Вводные'!$B$14</f>
        <v/>
      </c>
      <c r="AX74" s="190">
        <f>AW73*'01_Вводные'!$B$14</f>
        <v/>
      </c>
      <c r="AY74" s="190">
        <f>AX73*'01_Вводные'!$B$14</f>
        <v/>
      </c>
      <c r="AZ74" s="190">
        <f>AY73*'01_Вводные'!$B$14</f>
        <v/>
      </c>
      <c r="BA74" s="190">
        <f>AZ73*'01_Вводные'!$B$14</f>
        <v/>
      </c>
      <c r="BB74" s="190">
        <f>BA73*'01_Вводные'!$B$14</f>
        <v/>
      </c>
      <c r="BC74" s="190">
        <f>BB73*'01_Вводные'!$B$14</f>
        <v/>
      </c>
      <c r="BD74" s="190">
        <f>BC73*'01_Вводные'!$B$14</f>
        <v/>
      </c>
      <c r="BE74" s="190">
        <f>BD73*'01_Вводные'!$B$14</f>
        <v/>
      </c>
      <c r="BF74" s="190">
        <f>BE73*'01_Вводные'!$B$14</f>
        <v/>
      </c>
      <c r="BG74" s="190">
        <f>BF73*'01_Вводные'!$B$14</f>
        <v/>
      </c>
      <c r="BH74" s="190">
        <f>BG73*'01_Вводные'!$B$14</f>
        <v/>
      </c>
      <c r="BI74" s="190">
        <f>BH73*'01_Вводные'!$B$14</f>
        <v/>
      </c>
      <c r="BJ74" s="190">
        <f>BI73*'01_Вводные'!$B$14</f>
        <v/>
      </c>
      <c r="BK74" s="190">
        <f>BJ73*'01_Вводные'!$B$14</f>
        <v/>
      </c>
      <c r="BL74" s="190">
        <f>BK73*'01_Вводные'!$B$14</f>
        <v/>
      </c>
      <c r="BM74" s="190">
        <f>BL73*'01_Вводные'!$B$14</f>
        <v/>
      </c>
      <c r="BN74" s="190">
        <f>BM73*'01_Вводные'!$B$14</f>
        <v/>
      </c>
      <c r="BO74" s="190">
        <f>BN73*'01_Вводные'!$B$14</f>
        <v/>
      </c>
    </row>
    <row r="75" hidden="1" outlineLevel="1">
      <c r="A75" t="inlineStr">
        <is>
          <t>23 мес.</t>
        </is>
      </c>
      <c r="B75" s="189">
        <f>0</f>
        <v/>
      </c>
      <c r="C75" s="190">
        <f>B74*'01_Вводные'!$B$14</f>
        <v/>
      </c>
      <c r="D75" s="190">
        <f>C74*'01_Вводные'!$B$14</f>
        <v/>
      </c>
      <c r="E75" s="190">
        <f>D74*'01_Вводные'!$B$14</f>
        <v/>
      </c>
      <c r="F75" s="190">
        <f>E74*'01_Вводные'!$B$14</f>
        <v/>
      </c>
      <c r="G75" s="190">
        <f>F74*'01_Вводные'!$B$14</f>
        <v/>
      </c>
      <c r="H75" s="190">
        <f>G74*'01_Вводные'!$B$14</f>
        <v/>
      </c>
      <c r="I75" s="190">
        <f>H74*'01_Вводные'!$B$14</f>
        <v/>
      </c>
      <c r="J75" s="190">
        <f>I74*'01_Вводные'!$B$14</f>
        <v/>
      </c>
      <c r="K75" s="190">
        <f>J74*'01_Вводные'!$B$14</f>
        <v/>
      </c>
      <c r="L75" s="190">
        <f>K74*'01_Вводные'!$B$14</f>
        <v/>
      </c>
      <c r="M75" s="190">
        <f>L74*'01_Вводные'!$B$14</f>
        <v/>
      </c>
      <c r="N75" s="190">
        <f>M74*'01_Вводные'!$B$14</f>
        <v/>
      </c>
      <c r="O75" s="190">
        <f>N74*'01_Вводные'!$B$14</f>
        <v/>
      </c>
      <c r="P75" s="190">
        <f>O74*'01_Вводные'!$B$14</f>
        <v/>
      </c>
      <c r="Q75" s="190">
        <f>P74*'01_Вводные'!$B$14</f>
        <v/>
      </c>
      <c r="R75" s="190">
        <f>Q74*'01_Вводные'!$B$14</f>
        <v/>
      </c>
      <c r="S75" s="190">
        <f>R74*'01_Вводные'!$B$14</f>
        <v/>
      </c>
      <c r="T75" s="190">
        <f>S74*'01_Вводные'!$B$14</f>
        <v/>
      </c>
      <c r="U75" s="190">
        <f>T74*'01_Вводные'!$B$14</f>
        <v/>
      </c>
      <c r="V75" s="190">
        <f>U74*'01_Вводные'!$B$14</f>
        <v/>
      </c>
      <c r="W75" s="190">
        <f>V74*'01_Вводные'!$B$14</f>
        <v/>
      </c>
      <c r="X75" s="190">
        <f>W74*'01_Вводные'!$B$14</f>
        <v/>
      </c>
      <c r="Y75" s="190">
        <f>X74*'01_Вводные'!$B$14</f>
        <v/>
      </c>
      <c r="Z75" s="190">
        <f>Y74*'01_Вводные'!$B$14</f>
        <v/>
      </c>
      <c r="AA75" s="190">
        <f>Z74*'01_Вводные'!$B$14</f>
        <v/>
      </c>
      <c r="AB75" s="190">
        <f>AA74*'01_Вводные'!$B$14</f>
        <v/>
      </c>
      <c r="AC75" s="190">
        <f>AB74*'01_Вводные'!$B$14</f>
        <v/>
      </c>
      <c r="AD75" s="190">
        <f>AC74*'01_Вводные'!$B$14</f>
        <v/>
      </c>
      <c r="AE75" s="190">
        <f>AD74*'01_Вводные'!$B$14</f>
        <v/>
      </c>
      <c r="AF75" s="190">
        <f>AE74*'01_Вводные'!$B$14</f>
        <v/>
      </c>
      <c r="AG75" s="190">
        <f>AF74*'01_Вводные'!$B$14</f>
        <v/>
      </c>
      <c r="AH75" s="190">
        <f>AG74*'01_Вводные'!$B$14</f>
        <v/>
      </c>
      <c r="AI75" s="190">
        <f>AH74*'01_Вводные'!$B$14</f>
        <v/>
      </c>
      <c r="AJ75" s="190">
        <f>AI74*'01_Вводные'!$B$14</f>
        <v/>
      </c>
      <c r="AK75" s="190">
        <f>AJ74*'01_Вводные'!$B$14</f>
        <v/>
      </c>
      <c r="AL75" s="190">
        <f>AK74*'01_Вводные'!$B$14</f>
        <v/>
      </c>
      <c r="AM75" s="190">
        <f>AL74*'01_Вводные'!$B$14</f>
        <v/>
      </c>
      <c r="AN75" s="190">
        <f>AM74*'01_Вводные'!$B$14</f>
        <v/>
      </c>
      <c r="AO75" s="190">
        <f>AN74*'01_Вводные'!$B$14</f>
        <v/>
      </c>
      <c r="AP75" s="190">
        <f>AO74*'01_Вводные'!$B$14</f>
        <v/>
      </c>
      <c r="AQ75" s="190">
        <f>AP74*'01_Вводные'!$B$14</f>
        <v/>
      </c>
      <c r="AR75" s="190">
        <f>AQ74*'01_Вводные'!$B$14</f>
        <v/>
      </c>
      <c r="AS75" s="190">
        <f>AR74*'01_Вводные'!$B$14</f>
        <v/>
      </c>
      <c r="AT75" s="190">
        <f>AS74*'01_Вводные'!$B$14</f>
        <v/>
      </c>
      <c r="AU75" s="190">
        <f>AT74*'01_Вводные'!$B$14</f>
        <v/>
      </c>
      <c r="AV75" s="190">
        <f>AU74*'01_Вводные'!$B$14</f>
        <v/>
      </c>
      <c r="AW75" s="190">
        <f>AV74*'01_Вводные'!$B$14</f>
        <v/>
      </c>
      <c r="AX75" s="190">
        <f>AW74*'01_Вводные'!$B$14</f>
        <v/>
      </c>
      <c r="AY75" s="190">
        <f>AX74*'01_Вводные'!$B$14</f>
        <v/>
      </c>
      <c r="AZ75" s="190">
        <f>AY74*'01_Вводные'!$B$14</f>
        <v/>
      </c>
      <c r="BA75" s="190">
        <f>AZ74*'01_Вводные'!$B$14</f>
        <v/>
      </c>
      <c r="BB75" s="190">
        <f>BA74*'01_Вводные'!$B$14</f>
        <v/>
      </c>
      <c r="BC75" s="190">
        <f>BB74*'01_Вводные'!$B$14</f>
        <v/>
      </c>
      <c r="BD75" s="190">
        <f>BC74*'01_Вводные'!$B$14</f>
        <v/>
      </c>
      <c r="BE75" s="190">
        <f>BD74*'01_Вводные'!$B$14</f>
        <v/>
      </c>
      <c r="BF75" s="190">
        <f>BE74*'01_Вводные'!$B$14</f>
        <v/>
      </c>
      <c r="BG75" s="190">
        <f>BF74*'01_Вводные'!$B$14</f>
        <v/>
      </c>
      <c r="BH75" s="190">
        <f>BG74*'01_Вводные'!$B$14</f>
        <v/>
      </c>
      <c r="BI75" s="190">
        <f>BH74*'01_Вводные'!$B$14</f>
        <v/>
      </c>
      <c r="BJ75" s="190">
        <f>BI74*'01_Вводные'!$B$14</f>
        <v/>
      </c>
      <c r="BK75" s="190">
        <f>BJ74*'01_Вводные'!$B$14</f>
        <v/>
      </c>
      <c r="BL75" s="190">
        <f>BK74*'01_Вводные'!$B$14</f>
        <v/>
      </c>
      <c r="BM75" s="190">
        <f>BL74*'01_Вводные'!$B$14</f>
        <v/>
      </c>
      <c r="BN75" s="190">
        <f>BM74*'01_Вводные'!$B$14</f>
        <v/>
      </c>
      <c r="BO75" s="190">
        <f>BN74*'01_Вводные'!$B$14</f>
        <v/>
      </c>
    </row>
    <row r="76" hidden="1" outlineLevel="1">
      <c r="A76" t="inlineStr">
        <is>
          <t>24 мес.</t>
        </is>
      </c>
      <c r="B76" s="189">
        <f>0</f>
        <v/>
      </c>
      <c r="C76" s="190">
        <f>B75*'01_Вводные'!$B$14</f>
        <v/>
      </c>
      <c r="D76" s="190">
        <f>C75*'01_Вводные'!$B$14</f>
        <v/>
      </c>
      <c r="E76" s="190">
        <f>D75*'01_Вводные'!$B$14</f>
        <v/>
      </c>
      <c r="F76" s="190">
        <f>E75*'01_Вводные'!$B$14</f>
        <v/>
      </c>
      <c r="G76" s="190">
        <f>F75*'01_Вводные'!$B$14</f>
        <v/>
      </c>
      <c r="H76" s="190">
        <f>G75*'01_Вводные'!$B$14</f>
        <v/>
      </c>
      <c r="I76" s="190">
        <f>H75*'01_Вводные'!$B$14</f>
        <v/>
      </c>
      <c r="J76" s="190">
        <f>I75*'01_Вводные'!$B$14</f>
        <v/>
      </c>
      <c r="K76" s="190">
        <f>J75*'01_Вводные'!$B$14</f>
        <v/>
      </c>
      <c r="L76" s="190">
        <f>K75*'01_Вводные'!$B$14</f>
        <v/>
      </c>
      <c r="M76" s="190">
        <f>L75*'01_Вводные'!$B$14</f>
        <v/>
      </c>
      <c r="N76" s="190">
        <f>M75*'01_Вводные'!$B$14</f>
        <v/>
      </c>
      <c r="O76" s="190">
        <f>N75*'01_Вводные'!$B$14</f>
        <v/>
      </c>
      <c r="P76" s="190">
        <f>O75*'01_Вводные'!$B$14</f>
        <v/>
      </c>
      <c r="Q76" s="190">
        <f>P75*'01_Вводные'!$B$14</f>
        <v/>
      </c>
      <c r="R76" s="190">
        <f>Q75*'01_Вводные'!$B$14</f>
        <v/>
      </c>
      <c r="S76" s="190">
        <f>R75*'01_Вводные'!$B$14</f>
        <v/>
      </c>
      <c r="T76" s="190">
        <f>S75*'01_Вводные'!$B$14</f>
        <v/>
      </c>
      <c r="U76" s="190">
        <f>T75*'01_Вводные'!$B$14</f>
        <v/>
      </c>
      <c r="V76" s="190">
        <f>U75*'01_Вводные'!$B$14</f>
        <v/>
      </c>
      <c r="W76" s="190">
        <f>V75*'01_Вводные'!$B$14</f>
        <v/>
      </c>
      <c r="X76" s="190">
        <f>W75*'01_Вводные'!$B$14</f>
        <v/>
      </c>
      <c r="Y76" s="190">
        <f>X75*'01_Вводные'!$B$14</f>
        <v/>
      </c>
      <c r="Z76" s="190">
        <f>Y75*'01_Вводные'!$B$14</f>
        <v/>
      </c>
      <c r="AA76" s="190">
        <f>Z75*'01_Вводные'!$B$14</f>
        <v/>
      </c>
      <c r="AB76" s="190">
        <f>AA75*'01_Вводные'!$B$14</f>
        <v/>
      </c>
      <c r="AC76" s="190">
        <f>AB75*'01_Вводные'!$B$14</f>
        <v/>
      </c>
      <c r="AD76" s="190">
        <f>AC75*'01_Вводные'!$B$14</f>
        <v/>
      </c>
      <c r="AE76" s="190">
        <f>AD75*'01_Вводные'!$B$14</f>
        <v/>
      </c>
      <c r="AF76" s="190">
        <f>AE75*'01_Вводные'!$B$14</f>
        <v/>
      </c>
      <c r="AG76" s="190">
        <f>AF75*'01_Вводные'!$B$14</f>
        <v/>
      </c>
      <c r="AH76" s="190">
        <f>AG75*'01_Вводные'!$B$14</f>
        <v/>
      </c>
      <c r="AI76" s="190">
        <f>AH75*'01_Вводные'!$B$14</f>
        <v/>
      </c>
      <c r="AJ76" s="190">
        <f>AI75*'01_Вводные'!$B$14</f>
        <v/>
      </c>
      <c r="AK76" s="190">
        <f>AJ75*'01_Вводные'!$B$14</f>
        <v/>
      </c>
      <c r="AL76" s="190">
        <f>AK75*'01_Вводные'!$B$14</f>
        <v/>
      </c>
      <c r="AM76" s="190">
        <f>AL75*'01_Вводные'!$B$14</f>
        <v/>
      </c>
      <c r="AN76" s="190">
        <f>AM75*'01_Вводные'!$B$14</f>
        <v/>
      </c>
      <c r="AO76" s="190">
        <f>AN75*'01_Вводные'!$B$14</f>
        <v/>
      </c>
      <c r="AP76" s="190">
        <f>AO75*'01_Вводные'!$B$14</f>
        <v/>
      </c>
      <c r="AQ76" s="190">
        <f>AP75*'01_Вводные'!$B$14</f>
        <v/>
      </c>
      <c r="AR76" s="190">
        <f>AQ75*'01_Вводные'!$B$14</f>
        <v/>
      </c>
      <c r="AS76" s="190">
        <f>AR75*'01_Вводные'!$B$14</f>
        <v/>
      </c>
      <c r="AT76" s="190">
        <f>AS75*'01_Вводные'!$B$14</f>
        <v/>
      </c>
      <c r="AU76" s="190">
        <f>AT75*'01_Вводные'!$B$14</f>
        <v/>
      </c>
      <c r="AV76" s="190">
        <f>AU75*'01_Вводные'!$B$14</f>
        <v/>
      </c>
      <c r="AW76" s="190">
        <f>AV75*'01_Вводные'!$B$14</f>
        <v/>
      </c>
      <c r="AX76" s="190">
        <f>AW75*'01_Вводные'!$B$14</f>
        <v/>
      </c>
      <c r="AY76" s="190">
        <f>AX75*'01_Вводные'!$B$14</f>
        <v/>
      </c>
      <c r="AZ76" s="190">
        <f>AY75*'01_Вводные'!$B$14</f>
        <v/>
      </c>
      <c r="BA76" s="190">
        <f>AZ75*'01_Вводные'!$B$14</f>
        <v/>
      </c>
      <c r="BB76" s="190">
        <f>BA75*'01_Вводные'!$B$14</f>
        <v/>
      </c>
      <c r="BC76" s="190">
        <f>BB75*'01_Вводные'!$B$14</f>
        <v/>
      </c>
      <c r="BD76" s="190">
        <f>BC75*'01_Вводные'!$B$14</f>
        <v/>
      </c>
      <c r="BE76" s="190">
        <f>BD75*'01_Вводные'!$B$14</f>
        <v/>
      </c>
      <c r="BF76" s="190">
        <f>BE75*'01_Вводные'!$B$14</f>
        <v/>
      </c>
      <c r="BG76" s="190">
        <f>BF75*'01_Вводные'!$B$14</f>
        <v/>
      </c>
      <c r="BH76" s="190">
        <f>BG75*'01_Вводные'!$B$14</f>
        <v/>
      </c>
      <c r="BI76" s="190">
        <f>BH75*'01_Вводные'!$B$14</f>
        <v/>
      </c>
      <c r="BJ76" s="190">
        <f>BI75*'01_Вводные'!$B$14</f>
        <v/>
      </c>
      <c r="BK76" s="190">
        <f>BJ75*'01_Вводные'!$B$14</f>
        <v/>
      </c>
      <c r="BL76" s="190">
        <f>BK75*'01_Вводные'!$B$14</f>
        <v/>
      </c>
      <c r="BM76" s="190">
        <f>BL75*'01_Вводные'!$B$14</f>
        <v/>
      </c>
      <c r="BN76" s="190">
        <f>BM75*'01_Вводные'!$B$14</f>
        <v/>
      </c>
      <c r="BO76" s="190">
        <f>BN75*'01_Вводные'!$B$14</f>
        <v/>
      </c>
    </row>
    <row r="77" hidden="1" outlineLevel="1">
      <c r="A77" t="inlineStr">
        <is>
          <t>25+ мес.</t>
        </is>
      </c>
      <c r="B77" s="189">
        <f>0</f>
        <v/>
      </c>
      <c r="C77" s="190">
        <f>SUM(B76:B77)*'01_Вводные'!$B$14</f>
        <v/>
      </c>
      <c r="D77" s="190">
        <f>SUM(C76:C77)*'01_Вводные'!$B$14</f>
        <v/>
      </c>
      <c r="E77" s="190">
        <f>SUM(D76:D77)*'01_Вводные'!$B$14</f>
        <v/>
      </c>
      <c r="F77" s="190">
        <f>SUM(E76:E77)*'01_Вводные'!$B$14</f>
        <v/>
      </c>
      <c r="G77" s="190">
        <f>SUM(F76:F77)*'01_Вводные'!$B$14</f>
        <v/>
      </c>
      <c r="H77" s="190">
        <f>SUM(G76:G77)*'01_Вводные'!$B$14</f>
        <v/>
      </c>
      <c r="I77" s="190">
        <f>SUM(H76:H77)*'01_Вводные'!$B$14</f>
        <v/>
      </c>
      <c r="J77" s="190">
        <f>SUM(I76:I77)*'01_Вводные'!$B$14</f>
        <v/>
      </c>
      <c r="K77" s="190">
        <f>SUM(J76:J77)*'01_Вводные'!$B$14</f>
        <v/>
      </c>
      <c r="L77" s="190">
        <f>SUM(K76:K77)*'01_Вводные'!$B$14</f>
        <v/>
      </c>
      <c r="M77" s="190">
        <f>SUM(L76:L77)*'01_Вводные'!$B$14</f>
        <v/>
      </c>
      <c r="N77" s="190">
        <f>SUM(M76:M77)*'01_Вводные'!$B$14</f>
        <v/>
      </c>
      <c r="O77" s="190">
        <f>SUM(N76:N77)*'01_Вводные'!$B$14</f>
        <v/>
      </c>
      <c r="P77" s="190">
        <f>SUM(O76:O77)*'01_Вводные'!$B$14</f>
        <v/>
      </c>
      <c r="Q77" s="190">
        <f>SUM(P76:P77)*'01_Вводные'!$B$14</f>
        <v/>
      </c>
      <c r="R77" s="190">
        <f>SUM(Q76:Q77)*'01_Вводные'!$B$14</f>
        <v/>
      </c>
      <c r="S77" s="190">
        <f>SUM(R76:R77)*'01_Вводные'!$B$14</f>
        <v/>
      </c>
      <c r="T77" s="190">
        <f>SUM(S76:S77)*'01_Вводные'!$B$14</f>
        <v/>
      </c>
      <c r="U77" s="190">
        <f>SUM(T76:T77)*'01_Вводные'!$B$14</f>
        <v/>
      </c>
      <c r="V77" s="190">
        <f>SUM(U76:U77)*'01_Вводные'!$B$14</f>
        <v/>
      </c>
      <c r="W77" s="190">
        <f>SUM(V76:V77)*'01_Вводные'!$B$14</f>
        <v/>
      </c>
      <c r="X77" s="190">
        <f>SUM(W76:W77)*'01_Вводные'!$B$14</f>
        <v/>
      </c>
      <c r="Y77" s="190">
        <f>SUM(X76:X77)*'01_Вводные'!$B$14</f>
        <v/>
      </c>
      <c r="Z77" s="190">
        <f>SUM(Y76:Y77)*'01_Вводные'!$B$14</f>
        <v/>
      </c>
      <c r="AA77" s="190">
        <f>SUM(Z76:Z77)*'01_Вводные'!$B$14</f>
        <v/>
      </c>
      <c r="AB77" s="190">
        <f>SUM(AA76:AA77)*'01_Вводные'!$B$14</f>
        <v/>
      </c>
      <c r="AC77" s="190">
        <f>SUM(AB76:AB77)*'01_Вводные'!$B$14</f>
        <v/>
      </c>
      <c r="AD77" s="190">
        <f>SUM(AC76:AC77)*'01_Вводные'!$B$14</f>
        <v/>
      </c>
      <c r="AE77" s="190">
        <f>SUM(AD76:AD77)*'01_Вводные'!$B$14</f>
        <v/>
      </c>
      <c r="AF77" s="190">
        <f>SUM(AE76:AE77)*'01_Вводные'!$B$14</f>
        <v/>
      </c>
      <c r="AG77" s="190">
        <f>SUM(AF76:AF77)*'01_Вводные'!$B$14</f>
        <v/>
      </c>
      <c r="AH77" s="190">
        <f>SUM(AG76:AG77)*'01_Вводные'!$B$14</f>
        <v/>
      </c>
      <c r="AI77" s="190">
        <f>SUM(AH76:AH77)*'01_Вводные'!$B$14</f>
        <v/>
      </c>
      <c r="AJ77" s="190">
        <f>SUM(AI76:AI77)*'01_Вводные'!$B$14</f>
        <v/>
      </c>
      <c r="AK77" s="190">
        <f>SUM(AJ76:AJ77)*'01_Вводные'!$B$14</f>
        <v/>
      </c>
      <c r="AL77" s="190">
        <f>SUM(AK76:AK77)*'01_Вводные'!$B$14</f>
        <v/>
      </c>
      <c r="AM77" s="190">
        <f>SUM(AL76:AL77)*'01_Вводные'!$B$14</f>
        <v/>
      </c>
      <c r="AN77" s="190">
        <f>SUM(AM76:AM77)*'01_Вводные'!$B$14</f>
        <v/>
      </c>
      <c r="AO77" s="190">
        <f>SUM(AN76:AN77)*'01_Вводные'!$B$14</f>
        <v/>
      </c>
      <c r="AP77" s="190">
        <f>SUM(AO76:AO77)*'01_Вводные'!$B$14</f>
        <v/>
      </c>
      <c r="AQ77" s="190">
        <f>SUM(AP76:AP77)*'01_Вводные'!$B$14</f>
        <v/>
      </c>
      <c r="AR77" s="190">
        <f>SUM(AQ76:AQ77)*'01_Вводные'!$B$14</f>
        <v/>
      </c>
      <c r="AS77" s="190">
        <f>SUM(AR76:AR77)*'01_Вводные'!$B$14</f>
        <v/>
      </c>
      <c r="AT77" s="190">
        <f>SUM(AS76:AS77)*'01_Вводные'!$B$14</f>
        <v/>
      </c>
      <c r="AU77" s="190">
        <f>SUM(AT76:AT77)*'01_Вводные'!$B$14</f>
        <v/>
      </c>
      <c r="AV77" s="190">
        <f>SUM(AU76:AU77)*'01_Вводные'!$B$14</f>
        <v/>
      </c>
      <c r="AW77" s="190">
        <f>SUM(AV76:AV77)*'01_Вводные'!$B$14</f>
        <v/>
      </c>
      <c r="AX77" s="190">
        <f>SUM(AW76:AW77)*'01_Вводные'!$B$14</f>
        <v/>
      </c>
      <c r="AY77" s="190">
        <f>SUM(AX76:AX77)*'01_Вводные'!$B$14</f>
        <v/>
      </c>
      <c r="AZ77" s="190">
        <f>SUM(AY76:AY77)*'01_Вводные'!$B$14</f>
        <v/>
      </c>
      <c r="BA77" s="190">
        <f>SUM(AZ76:AZ77)*'01_Вводные'!$B$14</f>
        <v/>
      </c>
      <c r="BB77" s="190">
        <f>SUM(BA76:BA77)*'01_Вводные'!$B$14</f>
        <v/>
      </c>
      <c r="BC77" s="190">
        <f>SUM(BB76:BB77)*'01_Вводные'!$B$14</f>
        <v/>
      </c>
      <c r="BD77" s="190">
        <f>SUM(BC76:BC77)*'01_Вводные'!$B$14</f>
        <v/>
      </c>
      <c r="BE77" s="190">
        <f>SUM(BD76:BD77)*'01_Вводные'!$B$14</f>
        <v/>
      </c>
      <c r="BF77" s="190">
        <f>SUM(BE76:BE77)*'01_Вводные'!$B$14</f>
        <v/>
      </c>
      <c r="BG77" s="190">
        <f>SUM(BF76:BF77)*'01_Вводные'!$B$14</f>
        <v/>
      </c>
      <c r="BH77" s="190">
        <f>SUM(BG76:BG77)*'01_Вводные'!$B$14</f>
        <v/>
      </c>
      <c r="BI77" s="190">
        <f>SUM(BH76:BH77)*'01_Вводные'!$B$14</f>
        <v/>
      </c>
      <c r="BJ77" s="190">
        <f>SUM(BI76:BI77)*'01_Вводные'!$B$14</f>
        <v/>
      </c>
      <c r="BK77" s="190">
        <f>SUM(BJ76:BJ77)*'01_Вводные'!$B$14</f>
        <v/>
      </c>
      <c r="BL77" s="190">
        <f>SUM(BK76:BK77)*'01_Вводные'!$B$14</f>
        <v/>
      </c>
      <c r="BM77" s="190">
        <f>SUM(BL76:BL77)*'01_Вводные'!$B$14</f>
        <v/>
      </c>
      <c r="BN77" s="190">
        <f>SUM(BM76:BM77)*'01_Вводные'!$B$14</f>
        <v/>
      </c>
      <c r="BO77" s="190">
        <f>SUM(BN76:BN77)*'01_Вводные'!$B$14</f>
        <v/>
      </c>
    </row>
    <row r="78" hidden="1" outlineLevel="1">
      <c r="B78" s="96" t="n"/>
      <c r="C78" s="96" t="n"/>
      <c r="D78" s="96" t="n"/>
      <c r="E78" s="96" t="n"/>
      <c r="F78" s="96" t="n"/>
      <c r="G78" s="96" t="n"/>
      <c r="H78" s="96" t="n"/>
      <c r="I78" s="96" t="n"/>
      <c r="J78" s="96" t="n"/>
      <c r="K78" s="96" t="n"/>
      <c r="L78" s="96" t="n"/>
      <c r="M78" s="96" t="n"/>
      <c r="N78" s="96" t="n"/>
      <c r="O78" s="96" t="n"/>
      <c r="P78" s="96" t="n"/>
      <c r="Q78" s="96" t="n"/>
      <c r="R78" s="96" t="n"/>
      <c r="S78" s="96" t="n"/>
      <c r="T78" s="96" t="n"/>
      <c r="U78" s="96" t="n"/>
      <c r="V78" s="96" t="n"/>
      <c r="W78" s="96" t="n"/>
      <c r="X78" s="96" t="n"/>
      <c r="Y78" s="96" t="n"/>
      <c r="Z78" s="96" t="n"/>
      <c r="AA78" s="96" t="n"/>
      <c r="AB78" s="96" t="n"/>
      <c r="AC78" s="96" t="n"/>
      <c r="AD78" s="96" t="n"/>
      <c r="AE78" s="96" t="n"/>
      <c r="AF78" s="96" t="n"/>
      <c r="AG78" s="96" t="n"/>
      <c r="AH78" s="96" t="n"/>
      <c r="AI78" s="96" t="n"/>
      <c r="AJ78" s="96" t="n"/>
      <c r="AK78" s="96" t="n"/>
      <c r="AL78" s="96" t="n"/>
      <c r="AM78" s="96" t="n"/>
      <c r="AN78" s="96" t="n"/>
      <c r="AO78" s="96" t="n"/>
      <c r="AP78" s="96" t="n"/>
      <c r="AQ78" s="96" t="n"/>
      <c r="AR78" s="96" t="n"/>
      <c r="AS78" s="96" t="n"/>
      <c r="AT78" s="96" t="n"/>
      <c r="AU78" s="96" t="n"/>
      <c r="AV78" s="96" t="n"/>
      <c r="AW78" s="96" t="n"/>
      <c r="AX78" s="96" t="n"/>
      <c r="AY78" s="96" t="n"/>
      <c r="AZ78" s="96" t="n"/>
      <c r="BA78" s="96" t="n"/>
      <c r="BB78" s="96" t="n"/>
      <c r="BC78" s="96" t="n"/>
      <c r="BD78" s="96" t="n"/>
      <c r="BE78" s="96" t="n"/>
      <c r="BF78" s="96" t="n"/>
      <c r="BG78" s="96" t="n"/>
      <c r="BH78" s="96" t="n"/>
      <c r="BI78" s="96" t="n"/>
      <c r="BJ78" s="96" t="n"/>
      <c r="BK78" s="96" t="n"/>
      <c r="BL78" s="96" t="n"/>
      <c r="BM78" s="96" t="n"/>
      <c r="BN78" s="96" t="n"/>
      <c r="BO78" s="96" t="n"/>
    </row>
    <row r="79" hidden="1" outlineLevel="1">
      <c r="B79" s="96" t="n"/>
      <c r="C79" s="96" t="n"/>
      <c r="D79" s="96" t="n"/>
      <c r="E79" s="96" t="n"/>
      <c r="F79" s="96" t="n"/>
      <c r="G79" s="96" t="n"/>
      <c r="H79" s="96" t="n"/>
      <c r="I79" s="96" t="n"/>
      <c r="J79" s="96" t="n"/>
      <c r="K79" s="96" t="n"/>
      <c r="L79" s="96" t="n"/>
      <c r="M79" s="96" t="n"/>
      <c r="N79" s="96" t="n"/>
      <c r="O79" s="96" t="n"/>
      <c r="P79" s="96" t="n"/>
      <c r="Q79" s="96" t="n"/>
      <c r="R79" s="96" t="n"/>
      <c r="S79" s="96" t="n"/>
      <c r="T79" s="96" t="n"/>
      <c r="U79" s="96" t="n"/>
      <c r="V79" s="96" t="n"/>
      <c r="W79" s="96" t="n"/>
      <c r="X79" s="96" t="n"/>
      <c r="Y79" s="96" t="n"/>
      <c r="Z79" s="96" t="n"/>
      <c r="AA79" s="96" t="n"/>
      <c r="AB79" s="96" t="n"/>
      <c r="AC79" s="96" t="n"/>
      <c r="AD79" s="96" t="n"/>
      <c r="AE79" s="96" t="n"/>
      <c r="AF79" s="96" t="n"/>
      <c r="AG79" s="96" t="n"/>
      <c r="AH79" s="96" t="n"/>
      <c r="AI79" s="96" t="n"/>
      <c r="AJ79" s="96" t="n"/>
      <c r="AK79" s="96" t="n"/>
      <c r="AL79" s="96" t="n"/>
      <c r="AM79" s="96" t="n"/>
      <c r="AN79" s="96" t="n"/>
      <c r="AO79" s="96" t="n"/>
      <c r="AP79" s="96" t="n"/>
      <c r="AQ79" s="96" t="n"/>
      <c r="AR79" s="96" t="n"/>
      <c r="AS79" s="96" t="n"/>
      <c r="AT79" s="96" t="n"/>
      <c r="AU79" s="96" t="n"/>
      <c r="AV79" s="96" t="n"/>
      <c r="AW79" s="96" t="n"/>
      <c r="AX79" s="96" t="n"/>
      <c r="AY79" s="96" t="n"/>
      <c r="AZ79" s="96" t="n"/>
      <c r="BA79" s="96" t="n"/>
      <c r="BB79" s="96" t="n"/>
      <c r="BC79" s="96" t="n"/>
      <c r="BD79" s="96" t="n"/>
      <c r="BE79" s="96" t="n"/>
      <c r="BF79" s="96" t="n"/>
      <c r="BG79" s="96" t="n"/>
      <c r="BH79" s="96" t="n"/>
      <c r="BI79" s="96" t="n"/>
      <c r="BJ79" s="96" t="n"/>
      <c r="BK79" s="96" t="n"/>
      <c r="BL79" s="96" t="n"/>
      <c r="BM79" s="96" t="n"/>
      <c r="BN79" s="96" t="n"/>
      <c r="BO79" s="96" t="n"/>
    </row>
    <row r="80" hidden="1" outlineLevel="1" ht="28" customHeight="1">
      <c r="A80" s="181" t="inlineStr">
        <is>
          <t>Из них: договоры по старой ставке</t>
        </is>
      </c>
      <c r="I80" s="96" t="n"/>
      <c r="J80" s="96" t="n"/>
      <c r="K80" s="96" t="n"/>
      <c r="L80" s="96" t="n"/>
      <c r="M80" s="96" t="n"/>
      <c r="N80" s="96" t="n"/>
      <c r="O80" s="96" t="n"/>
      <c r="P80" s="96" t="n"/>
      <c r="Q80" s="96" t="n"/>
      <c r="R80" s="96" t="n"/>
      <c r="S80" s="96" t="n"/>
      <c r="T80" s="96" t="n"/>
      <c r="U80" s="96" t="n"/>
      <c r="V80" s="96" t="n"/>
      <c r="W80" s="96" t="n"/>
      <c r="X80" s="96" t="n"/>
      <c r="Y80" s="96" t="n"/>
      <c r="Z80" s="96" t="n"/>
      <c r="AA80" s="96" t="n"/>
      <c r="AB80" s="96" t="n"/>
      <c r="AC80" s="96" t="n"/>
      <c r="AD80" s="96" t="n"/>
      <c r="AE80" s="96" t="n"/>
      <c r="AF80" s="96" t="n"/>
      <c r="AG80" s="96" t="n"/>
      <c r="AH80" s="96" t="n"/>
      <c r="AI80" s="96" t="n"/>
      <c r="AJ80" s="96" t="n"/>
      <c r="AK80" s="96" t="n"/>
      <c r="AL80" s="96" t="n"/>
      <c r="AM80" s="96" t="n"/>
      <c r="AN80" s="96" t="n"/>
      <c r="AO80" s="96" t="n"/>
      <c r="AP80" s="96" t="n"/>
      <c r="AQ80" s="96" t="n"/>
      <c r="AR80" s="96" t="n"/>
      <c r="AS80" s="96" t="n"/>
      <c r="AT80" s="96" t="n"/>
      <c r="AU80" s="96" t="n"/>
      <c r="AV80" s="96" t="n"/>
      <c r="AW80" s="96" t="n"/>
      <c r="AX80" s="96" t="n"/>
      <c r="AY80" s="96" t="n"/>
      <c r="AZ80" s="96" t="n"/>
      <c r="BA80" s="96" t="n"/>
      <c r="BB80" s="96" t="n"/>
      <c r="BC80" s="96" t="n"/>
      <c r="BD80" s="96" t="n"/>
      <c r="BE80" s="96" t="n"/>
      <c r="BF80" s="96" t="n"/>
      <c r="BG80" s="96" t="n"/>
      <c r="BH80" s="96" t="n"/>
      <c r="BI80" s="96" t="n"/>
      <c r="BJ80" s="96" t="n"/>
      <c r="BK80" s="96" t="n"/>
      <c r="BL80" s="96" t="n"/>
      <c r="BM80" s="96" t="n"/>
      <c r="BN80" s="96" t="n"/>
      <c r="BO80" s="96" t="n"/>
    </row>
    <row r="81" hidden="1" outlineLevel="1">
      <c r="A81" t="inlineStr">
        <is>
          <t>1 мес.</t>
        </is>
      </c>
      <c r="B81" s="189">
        <f>B33</f>
        <v/>
      </c>
      <c r="C81" s="189">
        <f>C33</f>
        <v/>
      </c>
      <c r="D81" s="189">
        <f>D33</f>
        <v/>
      </c>
      <c r="E81" s="189">
        <f>E33</f>
        <v/>
      </c>
      <c r="F81" s="189">
        <f>F33</f>
        <v/>
      </c>
      <c r="G81" s="189">
        <f>G33</f>
        <v/>
      </c>
      <c r="H81" s="189">
        <f>H33</f>
        <v/>
      </c>
      <c r="I81" s="189">
        <f>I33</f>
        <v/>
      </c>
      <c r="J81" s="189">
        <f>J33</f>
        <v/>
      </c>
      <c r="K81" s="189">
        <f>K33</f>
        <v/>
      </c>
      <c r="L81" s="189">
        <f>L33</f>
        <v/>
      </c>
      <c r="M81" s="189">
        <f>M33</f>
        <v/>
      </c>
      <c r="N81" s="189">
        <f>N33</f>
        <v/>
      </c>
      <c r="O81" s="189">
        <f>O33</f>
        <v/>
      </c>
      <c r="P81" s="189">
        <f>P33</f>
        <v/>
      </c>
      <c r="Q81" s="189">
        <f>Q33</f>
        <v/>
      </c>
      <c r="R81" s="189">
        <f>R33</f>
        <v/>
      </c>
      <c r="S81" s="189">
        <f>S33</f>
        <v/>
      </c>
      <c r="T81" s="189">
        <f>T33</f>
        <v/>
      </c>
      <c r="U81" s="189">
        <f>U33</f>
        <v/>
      </c>
      <c r="V81" s="189">
        <f>V33</f>
        <v/>
      </c>
      <c r="W81" s="189">
        <f>W33</f>
        <v/>
      </c>
      <c r="X81" s="189">
        <f>X33</f>
        <v/>
      </c>
      <c r="Y81" s="189">
        <f>Y33</f>
        <v/>
      </c>
      <c r="Z81" s="189">
        <f>Z33</f>
        <v/>
      </c>
      <c r="AA81" s="189">
        <f>AA33</f>
        <v/>
      </c>
      <c r="AB81" s="189">
        <f>AB33</f>
        <v/>
      </c>
      <c r="AC81" s="189">
        <f>AC33</f>
        <v/>
      </c>
      <c r="AD81" s="189">
        <f>AD33</f>
        <v/>
      </c>
      <c r="AE81" s="189">
        <f>AE33</f>
        <v/>
      </c>
      <c r="AF81" s="189">
        <f>AF33</f>
        <v/>
      </c>
      <c r="AG81" s="189">
        <f>AG33</f>
        <v/>
      </c>
      <c r="AH81" s="189">
        <f>AH33</f>
        <v/>
      </c>
      <c r="AI81" s="189">
        <f>AI33</f>
        <v/>
      </c>
      <c r="AJ81" s="189">
        <f>AJ33</f>
        <v/>
      </c>
      <c r="AK81" s="189">
        <f>AK33</f>
        <v/>
      </c>
      <c r="AL81" s="189">
        <f>AL33</f>
        <v/>
      </c>
      <c r="AM81" s="189">
        <f>AM33</f>
        <v/>
      </c>
      <c r="AN81" s="189">
        <f>AN33</f>
        <v/>
      </c>
      <c r="AO81" s="189">
        <f>AO33</f>
        <v/>
      </c>
      <c r="AP81" s="189">
        <f>AP33</f>
        <v/>
      </c>
      <c r="AQ81" s="189">
        <f>AQ33</f>
        <v/>
      </c>
      <c r="AR81" s="189">
        <f>AR33</f>
        <v/>
      </c>
      <c r="AS81" s="189">
        <f>AS33</f>
        <v/>
      </c>
      <c r="AT81" s="189">
        <f>AT33</f>
        <v/>
      </c>
      <c r="AU81" s="189">
        <f>AU33</f>
        <v/>
      </c>
      <c r="AV81" s="189">
        <f>AV33</f>
        <v/>
      </c>
      <c r="AW81" s="189">
        <f>AW33</f>
        <v/>
      </c>
      <c r="AX81" s="189">
        <f>AX33</f>
        <v/>
      </c>
      <c r="AY81" s="189">
        <f>AY33</f>
        <v/>
      </c>
      <c r="AZ81" s="189">
        <f>AZ33</f>
        <v/>
      </c>
      <c r="BA81" s="189">
        <f>BA33</f>
        <v/>
      </c>
      <c r="BB81" s="189">
        <f>BB33</f>
        <v/>
      </c>
      <c r="BC81" s="189">
        <f>BC33</f>
        <v/>
      </c>
      <c r="BD81" s="189">
        <f>BD33</f>
        <v/>
      </c>
      <c r="BE81" s="189">
        <f>BE33</f>
        <v/>
      </c>
      <c r="BF81" s="189">
        <f>BF33</f>
        <v/>
      </c>
      <c r="BG81" s="189">
        <f>BG33</f>
        <v/>
      </c>
      <c r="BH81" s="189">
        <f>BH33</f>
        <v/>
      </c>
      <c r="BI81" s="189">
        <f>BI33</f>
        <v/>
      </c>
      <c r="BJ81" s="189">
        <f>BJ33</f>
        <v/>
      </c>
      <c r="BK81" s="189">
        <f>BK33</f>
        <v/>
      </c>
      <c r="BL81" s="189">
        <f>BL33</f>
        <v/>
      </c>
      <c r="BM81" s="189">
        <f>BM33</f>
        <v/>
      </c>
      <c r="BN81" s="189">
        <f>BN33</f>
        <v/>
      </c>
      <c r="BO81" s="189">
        <f>BO33</f>
        <v/>
      </c>
    </row>
    <row r="82" hidden="1" outlineLevel="1">
      <c r="A82" t="inlineStr">
        <is>
          <t>2 мес.</t>
        </is>
      </c>
      <c r="B82" s="189">
        <f>0</f>
        <v/>
      </c>
      <c r="C82" s="190">
        <f>B81*'01_Вводные'!$B$14</f>
        <v/>
      </c>
      <c r="D82" s="190">
        <f>C81*'01_Вводные'!$B$14</f>
        <v/>
      </c>
      <c r="E82" s="190">
        <f>D81*'01_Вводные'!$B$14</f>
        <v/>
      </c>
      <c r="F82" s="190">
        <f>E81*'01_Вводные'!$B$14</f>
        <v/>
      </c>
      <c r="G82" s="190">
        <f>F81*'01_Вводные'!$B$14</f>
        <v/>
      </c>
      <c r="H82" s="190">
        <f>G81*'01_Вводные'!$B$14</f>
        <v/>
      </c>
      <c r="I82" s="190">
        <f>H81*'01_Вводные'!$B$14</f>
        <v/>
      </c>
      <c r="J82" s="190">
        <f>I81*'01_Вводные'!$B$14</f>
        <v/>
      </c>
      <c r="K82" s="190">
        <f>J81*'01_Вводные'!$B$14</f>
        <v/>
      </c>
      <c r="L82" s="190">
        <f>K81*'01_Вводные'!$B$14</f>
        <v/>
      </c>
      <c r="M82" s="190">
        <f>L81*'01_Вводные'!$B$14</f>
        <v/>
      </c>
      <c r="N82" s="190">
        <f>M81*'01_Вводные'!$B$14</f>
        <v/>
      </c>
      <c r="O82" s="190">
        <f>N81*'01_Вводные'!$B$14</f>
        <v/>
      </c>
      <c r="P82" s="190">
        <f>O81*'01_Вводные'!$B$14</f>
        <v/>
      </c>
      <c r="Q82" s="190">
        <f>P81*'01_Вводные'!$B$14</f>
        <v/>
      </c>
      <c r="R82" s="190">
        <f>Q81*'01_Вводные'!$B$14</f>
        <v/>
      </c>
      <c r="S82" s="190">
        <f>R81*'01_Вводные'!$B$14</f>
        <v/>
      </c>
      <c r="T82" s="190">
        <f>S81*'01_Вводные'!$B$14</f>
        <v/>
      </c>
      <c r="U82" s="190">
        <f>T81*'01_Вводные'!$B$14</f>
        <v/>
      </c>
      <c r="V82" s="190">
        <f>U81*'01_Вводные'!$B$14</f>
        <v/>
      </c>
      <c r="W82" s="190">
        <f>V81*'01_Вводные'!$B$14</f>
        <v/>
      </c>
      <c r="X82" s="190">
        <f>W81*'01_Вводные'!$B$14</f>
        <v/>
      </c>
      <c r="Y82" s="190">
        <f>X81*'01_Вводные'!$B$14</f>
        <v/>
      </c>
      <c r="Z82" s="190">
        <f>Y81*'01_Вводные'!$B$14</f>
        <v/>
      </c>
      <c r="AA82" s="190">
        <f>Z81*'01_Вводные'!$B$14</f>
        <v/>
      </c>
      <c r="AB82" s="190">
        <f>AA81*'01_Вводные'!$B$14</f>
        <v/>
      </c>
      <c r="AC82" s="190">
        <f>AB81*'01_Вводные'!$B$14</f>
        <v/>
      </c>
      <c r="AD82" s="190">
        <f>AC81*'01_Вводные'!$B$14</f>
        <v/>
      </c>
      <c r="AE82" s="190">
        <f>AD81*'01_Вводные'!$B$14</f>
        <v/>
      </c>
      <c r="AF82" s="190">
        <f>AE81*'01_Вводные'!$B$14</f>
        <v/>
      </c>
      <c r="AG82" s="190">
        <f>AF81*'01_Вводные'!$B$14</f>
        <v/>
      </c>
      <c r="AH82" s="190">
        <f>AG81*'01_Вводные'!$B$14</f>
        <v/>
      </c>
      <c r="AI82" s="190">
        <f>AH81*'01_Вводные'!$B$14</f>
        <v/>
      </c>
      <c r="AJ82" s="190">
        <f>AI81*'01_Вводные'!$B$14</f>
        <v/>
      </c>
      <c r="AK82" s="190">
        <f>AJ81*'01_Вводные'!$B$14</f>
        <v/>
      </c>
      <c r="AL82" s="190">
        <f>AK81*'01_Вводные'!$B$14</f>
        <v/>
      </c>
      <c r="AM82" s="190">
        <f>AL81*'01_Вводные'!$B$14</f>
        <v/>
      </c>
      <c r="AN82" s="190">
        <f>AM81*'01_Вводные'!$B$14</f>
        <v/>
      </c>
      <c r="AO82" s="190">
        <f>AN81*'01_Вводные'!$B$14</f>
        <v/>
      </c>
      <c r="AP82" s="190">
        <f>AO81*'01_Вводные'!$B$14</f>
        <v/>
      </c>
      <c r="AQ82" s="190">
        <f>AP81*'01_Вводные'!$B$14</f>
        <v/>
      </c>
      <c r="AR82" s="190">
        <f>AQ81*'01_Вводные'!$B$14</f>
        <v/>
      </c>
      <c r="AS82" s="190">
        <f>AR81*'01_Вводные'!$B$14</f>
        <v/>
      </c>
      <c r="AT82" s="190">
        <f>AS81*'01_Вводные'!$B$14</f>
        <v/>
      </c>
      <c r="AU82" s="190">
        <f>AT81*'01_Вводные'!$B$14</f>
        <v/>
      </c>
      <c r="AV82" s="190">
        <f>AU81*'01_Вводные'!$B$14</f>
        <v/>
      </c>
      <c r="AW82" s="190">
        <f>AV81*'01_Вводные'!$B$14</f>
        <v/>
      </c>
      <c r="AX82" s="190">
        <f>AW81*'01_Вводные'!$B$14</f>
        <v/>
      </c>
      <c r="AY82" s="190">
        <f>AX81*'01_Вводные'!$B$14</f>
        <v/>
      </c>
      <c r="AZ82" s="190">
        <f>AY81*'01_Вводные'!$B$14</f>
        <v/>
      </c>
      <c r="BA82" s="190">
        <f>AZ81*'01_Вводные'!$B$14</f>
        <v/>
      </c>
      <c r="BB82" s="190">
        <f>BA81*'01_Вводные'!$B$14</f>
        <v/>
      </c>
      <c r="BC82" s="190">
        <f>BB81*'01_Вводные'!$B$14</f>
        <v/>
      </c>
      <c r="BD82" s="190">
        <f>BC81*'01_Вводные'!$B$14</f>
        <v/>
      </c>
      <c r="BE82" s="190">
        <f>BD81*'01_Вводные'!$B$14</f>
        <v/>
      </c>
      <c r="BF82" s="190">
        <f>BE81*'01_Вводные'!$B$14</f>
        <v/>
      </c>
      <c r="BG82" s="190">
        <f>BF81*'01_Вводные'!$B$14</f>
        <v/>
      </c>
      <c r="BH82" s="190">
        <f>BG81*'01_Вводные'!$B$14</f>
        <v/>
      </c>
      <c r="BI82" s="190">
        <f>BH81*'01_Вводные'!$B$14</f>
        <v/>
      </c>
      <c r="BJ82" s="190">
        <f>BI81*'01_Вводные'!$B$14</f>
        <v/>
      </c>
      <c r="BK82" s="190">
        <f>BJ81*'01_Вводные'!$B$14</f>
        <v/>
      </c>
      <c r="BL82" s="190">
        <f>BK81*'01_Вводные'!$B$14</f>
        <v/>
      </c>
      <c r="BM82" s="190">
        <f>BL81*'01_Вводные'!$B$14</f>
        <v/>
      </c>
      <c r="BN82" s="190">
        <f>BM81*'01_Вводные'!$B$14</f>
        <v/>
      </c>
      <c r="BO82" s="190">
        <f>BN81*'01_Вводные'!$B$14</f>
        <v/>
      </c>
    </row>
    <row r="83" hidden="1" outlineLevel="1">
      <c r="A83" t="inlineStr">
        <is>
          <t>3 мес.</t>
        </is>
      </c>
      <c r="B83" s="189">
        <f>0</f>
        <v/>
      </c>
      <c r="C83" s="190">
        <f>B82*'01_Вводные'!$B$14</f>
        <v/>
      </c>
      <c r="D83" s="190">
        <f>C82*'01_Вводные'!$B$14</f>
        <v/>
      </c>
      <c r="E83" s="190">
        <f>D82*'01_Вводные'!$B$14</f>
        <v/>
      </c>
      <c r="F83" s="190">
        <f>E82*'01_Вводные'!$B$14</f>
        <v/>
      </c>
      <c r="G83" s="190">
        <f>F82*'01_Вводные'!$B$14</f>
        <v/>
      </c>
      <c r="H83" s="190">
        <f>G82*'01_Вводные'!$B$14</f>
        <v/>
      </c>
      <c r="I83" s="190">
        <f>H82*'01_Вводные'!$B$14</f>
        <v/>
      </c>
      <c r="J83" s="190">
        <f>I82*'01_Вводные'!$B$14</f>
        <v/>
      </c>
      <c r="K83" s="190">
        <f>J82*'01_Вводные'!$B$14</f>
        <v/>
      </c>
      <c r="L83" s="190">
        <f>K82*'01_Вводные'!$B$14</f>
        <v/>
      </c>
      <c r="M83" s="190">
        <f>L82*'01_Вводные'!$B$14</f>
        <v/>
      </c>
      <c r="N83" s="190">
        <f>M82*'01_Вводные'!$B$14</f>
        <v/>
      </c>
      <c r="O83" s="190">
        <f>N82*'01_Вводные'!$B$14</f>
        <v/>
      </c>
      <c r="P83" s="190">
        <f>O82*'01_Вводные'!$B$14</f>
        <v/>
      </c>
      <c r="Q83" s="190">
        <f>P82*'01_Вводные'!$B$14</f>
        <v/>
      </c>
      <c r="R83" s="190">
        <f>Q82*'01_Вводные'!$B$14</f>
        <v/>
      </c>
      <c r="S83" s="190">
        <f>R82*'01_Вводные'!$B$14</f>
        <v/>
      </c>
      <c r="T83" s="190">
        <f>S82*'01_Вводные'!$B$14</f>
        <v/>
      </c>
      <c r="U83" s="190">
        <f>T82*'01_Вводные'!$B$14</f>
        <v/>
      </c>
      <c r="V83" s="190">
        <f>U82*'01_Вводные'!$B$14</f>
        <v/>
      </c>
      <c r="W83" s="190">
        <f>V82*'01_Вводные'!$B$14</f>
        <v/>
      </c>
      <c r="X83" s="190">
        <f>W82*'01_Вводные'!$B$14</f>
        <v/>
      </c>
      <c r="Y83" s="190">
        <f>X82*'01_Вводные'!$B$14</f>
        <v/>
      </c>
      <c r="Z83" s="190">
        <f>Y82*'01_Вводные'!$B$14</f>
        <v/>
      </c>
      <c r="AA83" s="190">
        <f>Z82*'01_Вводные'!$B$14</f>
        <v/>
      </c>
      <c r="AB83" s="190">
        <f>AA82*'01_Вводные'!$B$14</f>
        <v/>
      </c>
      <c r="AC83" s="190">
        <f>AB82*'01_Вводные'!$B$14</f>
        <v/>
      </c>
      <c r="AD83" s="190">
        <f>AC82*'01_Вводные'!$B$14</f>
        <v/>
      </c>
      <c r="AE83" s="190">
        <f>AD82*'01_Вводные'!$B$14</f>
        <v/>
      </c>
      <c r="AF83" s="190">
        <f>AE82*'01_Вводные'!$B$14</f>
        <v/>
      </c>
      <c r="AG83" s="190">
        <f>AF82*'01_Вводные'!$B$14</f>
        <v/>
      </c>
      <c r="AH83" s="190">
        <f>AG82*'01_Вводные'!$B$14</f>
        <v/>
      </c>
      <c r="AI83" s="190">
        <f>AH82*'01_Вводные'!$B$14</f>
        <v/>
      </c>
      <c r="AJ83" s="190">
        <f>AI82*'01_Вводные'!$B$14</f>
        <v/>
      </c>
      <c r="AK83" s="190">
        <f>AJ82*'01_Вводные'!$B$14</f>
        <v/>
      </c>
      <c r="AL83" s="190">
        <f>AK82*'01_Вводные'!$B$14</f>
        <v/>
      </c>
      <c r="AM83" s="190">
        <f>AL82*'01_Вводные'!$B$14</f>
        <v/>
      </c>
      <c r="AN83" s="190">
        <f>AM82*'01_Вводные'!$B$14</f>
        <v/>
      </c>
      <c r="AO83" s="190">
        <f>AN82*'01_Вводные'!$B$14</f>
        <v/>
      </c>
      <c r="AP83" s="190">
        <f>AO82*'01_Вводные'!$B$14</f>
        <v/>
      </c>
      <c r="AQ83" s="190">
        <f>AP82*'01_Вводные'!$B$14</f>
        <v/>
      </c>
      <c r="AR83" s="190">
        <f>AQ82*'01_Вводные'!$B$14</f>
        <v/>
      </c>
      <c r="AS83" s="190">
        <f>AR82*'01_Вводные'!$B$14</f>
        <v/>
      </c>
      <c r="AT83" s="190">
        <f>AS82*'01_Вводные'!$B$14</f>
        <v/>
      </c>
      <c r="AU83" s="190">
        <f>AT82*'01_Вводные'!$B$14</f>
        <v/>
      </c>
      <c r="AV83" s="190">
        <f>AU82*'01_Вводные'!$B$14</f>
        <v/>
      </c>
      <c r="AW83" s="190">
        <f>AV82*'01_Вводные'!$B$14</f>
        <v/>
      </c>
      <c r="AX83" s="190">
        <f>AW82*'01_Вводные'!$B$14</f>
        <v/>
      </c>
      <c r="AY83" s="190">
        <f>AX82*'01_Вводные'!$B$14</f>
        <v/>
      </c>
      <c r="AZ83" s="190">
        <f>AY82*'01_Вводные'!$B$14</f>
        <v/>
      </c>
      <c r="BA83" s="190">
        <f>AZ82*'01_Вводные'!$B$14</f>
        <v/>
      </c>
      <c r="BB83" s="190">
        <f>BA82*'01_Вводные'!$B$14</f>
        <v/>
      </c>
      <c r="BC83" s="190">
        <f>BB82*'01_Вводные'!$B$14</f>
        <v/>
      </c>
      <c r="BD83" s="190">
        <f>BC82*'01_Вводные'!$B$14</f>
        <v/>
      </c>
      <c r="BE83" s="190">
        <f>BD82*'01_Вводные'!$B$14</f>
        <v/>
      </c>
      <c r="BF83" s="190">
        <f>BE82*'01_Вводные'!$B$14</f>
        <v/>
      </c>
      <c r="BG83" s="190">
        <f>BF82*'01_Вводные'!$B$14</f>
        <v/>
      </c>
      <c r="BH83" s="190">
        <f>BG82*'01_Вводные'!$B$14</f>
        <v/>
      </c>
      <c r="BI83" s="190">
        <f>BH82*'01_Вводные'!$B$14</f>
        <v/>
      </c>
      <c r="BJ83" s="190">
        <f>BI82*'01_Вводные'!$B$14</f>
        <v/>
      </c>
      <c r="BK83" s="190">
        <f>BJ82*'01_Вводные'!$B$14</f>
        <v/>
      </c>
      <c r="BL83" s="190">
        <f>BK82*'01_Вводные'!$B$14</f>
        <v/>
      </c>
      <c r="BM83" s="190">
        <f>BL82*'01_Вводные'!$B$14</f>
        <v/>
      </c>
      <c r="BN83" s="190">
        <f>BM82*'01_Вводные'!$B$14</f>
        <v/>
      </c>
      <c r="BO83" s="190">
        <f>BN82*'01_Вводные'!$B$14</f>
        <v/>
      </c>
    </row>
    <row r="84" hidden="1" outlineLevel="1">
      <c r="A84" t="inlineStr">
        <is>
          <t>4 мес.</t>
        </is>
      </c>
      <c r="B84" s="189">
        <f>0</f>
        <v/>
      </c>
      <c r="C84" s="190">
        <f>B83*'01_Вводные'!$B$14</f>
        <v/>
      </c>
      <c r="D84" s="190">
        <f>C83*'01_Вводные'!$B$14</f>
        <v/>
      </c>
      <c r="E84" s="190">
        <f>D83*'01_Вводные'!$B$14</f>
        <v/>
      </c>
      <c r="F84" s="190">
        <f>E83*'01_Вводные'!$B$14</f>
        <v/>
      </c>
      <c r="G84" s="190">
        <f>F83*'01_Вводные'!$B$14</f>
        <v/>
      </c>
      <c r="H84" s="190">
        <f>G83*'01_Вводные'!$B$14</f>
        <v/>
      </c>
      <c r="I84" s="190">
        <f>H83*'01_Вводные'!$B$14</f>
        <v/>
      </c>
      <c r="J84" s="190">
        <f>I83*'01_Вводные'!$B$14</f>
        <v/>
      </c>
      <c r="K84" s="190">
        <f>J83*'01_Вводные'!$B$14</f>
        <v/>
      </c>
      <c r="L84" s="190">
        <f>K83*'01_Вводные'!$B$14</f>
        <v/>
      </c>
      <c r="M84" s="190">
        <f>L83*'01_Вводные'!$B$14</f>
        <v/>
      </c>
      <c r="N84" s="190">
        <f>M83*'01_Вводные'!$B$14</f>
        <v/>
      </c>
      <c r="O84" s="190">
        <f>N83*'01_Вводные'!$B$14</f>
        <v/>
      </c>
      <c r="P84" s="190">
        <f>O83*'01_Вводные'!$B$14</f>
        <v/>
      </c>
      <c r="Q84" s="190">
        <f>P83*'01_Вводные'!$B$14</f>
        <v/>
      </c>
      <c r="R84" s="190">
        <f>Q83*'01_Вводные'!$B$14</f>
        <v/>
      </c>
      <c r="S84" s="190">
        <f>R83*'01_Вводные'!$B$14</f>
        <v/>
      </c>
      <c r="T84" s="190">
        <f>S83*'01_Вводные'!$B$14</f>
        <v/>
      </c>
      <c r="U84" s="190">
        <f>T83*'01_Вводные'!$B$14</f>
        <v/>
      </c>
      <c r="V84" s="190">
        <f>U83*'01_Вводные'!$B$14</f>
        <v/>
      </c>
      <c r="W84" s="190">
        <f>V83*'01_Вводные'!$B$14</f>
        <v/>
      </c>
      <c r="X84" s="190">
        <f>W83*'01_Вводные'!$B$14</f>
        <v/>
      </c>
      <c r="Y84" s="190">
        <f>X83*'01_Вводные'!$B$14</f>
        <v/>
      </c>
      <c r="Z84" s="190">
        <f>Y83*'01_Вводные'!$B$14</f>
        <v/>
      </c>
      <c r="AA84" s="190">
        <f>Z83*'01_Вводные'!$B$14</f>
        <v/>
      </c>
      <c r="AB84" s="190">
        <f>AA83*'01_Вводные'!$B$14</f>
        <v/>
      </c>
      <c r="AC84" s="190">
        <f>AB83*'01_Вводные'!$B$14</f>
        <v/>
      </c>
      <c r="AD84" s="190">
        <f>AC83*'01_Вводные'!$B$14</f>
        <v/>
      </c>
      <c r="AE84" s="190">
        <f>AD83*'01_Вводные'!$B$14</f>
        <v/>
      </c>
      <c r="AF84" s="190">
        <f>AE83*'01_Вводные'!$B$14</f>
        <v/>
      </c>
      <c r="AG84" s="190">
        <f>AF83*'01_Вводные'!$B$14</f>
        <v/>
      </c>
      <c r="AH84" s="190">
        <f>AG83*'01_Вводные'!$B$14</f>
        <v/>
      </c>
      <c r="AI84" s="190">
        <f>AH83*'01_Вводные'!$B$14</f>
        <v/>
      </c>
      <c r="AJ84" s="190">
        <f>AI83*'01_Вводные'!$B$14</f>
        <v/>
      </c>
      <c r="AK84" s="190">
        <f>AJ83*'01_Вводные'!$B$14</f>
        <v/>
      </c>
      <c r="AL84" s="190">
        <f>AK83*'01_Вводные'!$B$14</f>
        <v/>
      </c>
      <c r="AM84" s="190">
        <f>AL83*'01_Вводные'!$B$14</f>
        <v/>
      </c>
      <c r="AN84" s="190">
        <f>AM83*'01_Вводные'!$B$14</f>
        <v/>
      </c>
      <c r="AO84" s="190">
        <f>AN83*'01_Вводные'!$B$14</f>
        <v/>
      </c>
      <c r="AP84" s="190">
        <f>AO83*'01_Вводные'!$B$14</f>
        <v/>
      </c>
      <c r="AQ84" s="190">
        <f>AP83*'01_Вводные'!$B$14</f>
        <v/>
      </c>
      <c r="AR84" s="190">
        <f>AQ83*'01_Вводные'!$B$14</f>
        <v/>
      </c>
      <c r="AS84" s="190">
        <f>AR83*'01_Вводные'!$B$14</f>
        <v/>
      </c>
      <c r="AT84" s="190">
        <f>AS83*'01_Вводные'!$B$14</f>
        <v/>
      </c>
      <c r="AU84" s="190">
        <f>AT83*'01_Вводные'!$B$14</f>
        <v/>
      </c>
      <c r="AV84" s="190">
        <f>AU83*'01_Вводные'!$B$14</f>
        <v/>
      </c>
      <c r="AW84" s="190">
        <f>AV83*'01_Вводные'!$B$14</f>
        <v/>
      </c>
      <c r="AX84" s="190">
        <f>AW83*'01_Вводные'!$B$14</f>
        <v/>
      </c>
      <c r="AY84" s="190">
        <f>AX83*'01_Вводные'!$B$14</f>
        <v/>
      </c>
      <c r="AZ84" s="190">
        <f>AY83*'01_Вводные'!$B$14</f>
        <v/>
      </c>
      <c r="BA84" s="190">
        <f>AZ83*'01_Вводные'!$B$14</f>
        <v/>
      </c>
      <c r="BB84" s="190">
        <f>BA83*'01_Вводные'!$B$14</f>
        <v/>
      </c>
      <c r="BC84" s="190">
        <f>BB83*'01_Вводные'!$B$14</f>
        <v/>
      </c>
      <c r="BD84" s="190">
        <f>BC83*'01_Вводные'!$B$14</f>
        <v/>
      </c>
      <c r="BE84" s="190">
        <f>BD83*'01_Вводные'!$B$14</f>
        <v/>
      </c>
      <c r="BF84" s="190">
        <f>BE83*'01_Вводные'!$B$14</f>
        <v/>
      </c>
      <c r="BG84" s="190">
        <f>BF83*'01_Вводные'!$B$14</f>
        <v/>
      </c>
      <c r="BH84" s="190">
        <f>BG83*'01_Вводные'!$B$14</f>
        <v/>
      </c>
      <c r="BI84" s="190">
        <f>BH83*'01_Вводные'!$B$14</f>
        <v/>
      </c>
      <c r="BJ84" s="190">
        <f>BI83*'01_Вводные'!$B$14</f>
        <v/>
      </c>
      <c r="BK84" s="190">
        <f>BJ83*'01_Вводные'!$B$14</f>
        <v/>
      </c>
      <c r="BL84" s="190">
        <f>BK83*'01_Вводные'!$B$14</f>
        <v/>
      </c>
      <c r="BM84" s="190">
        <f>BL83*'01_Вводные'!$B$14</f>
        <v/>
      </c>
      <c r="BN84" s="190">
        <f>BM83*'01_Вводные'!$B$14</f>
        <v/>
      </c>
      <c r="BO84" s="190">
        <f>BN83*'01_Вводные'!$B$14</f>
        <v/>
      </c>
    </row>
    <row r="85" hidden="1" outlineLevel="1">
      <c r="A85" t="inlineStr">
        <is>
          <t>5 мес.</t>
        </is>
      </c>
      <c r="B85" s="189">
        <f>0</f>
        <v/>
      </c>
      <c r="C85" s="190">
        <f>B84*'01_Вводные'!$B$14</f>
        <v/>
      </c>
      <c r="D85" s="190">
        <f>C84*'01_Вводные'!$B$14</f>
        <v/>
      </c>
      <c r="E85" s="190">
        <f>D84*'01_Вводные'!$B$14</f>
        <v/>
      </c>
      <c r="F85" s="190">
        <f>E84*'01_Вводные'!$B$14</f>
        <v/>
      </c>
      <c r="G85" s="190">
        <f>F84*'01_Вводные'!$B$14</f>
        <v/>
      </c>
      <c r="H85" s="190">
        <f>G84*'01_Вводные'!$B$14</f>
        <v/>
      </c>
      <c r="I85" s="190">
        <f>H84*'01_Вводные'!$B$14</f>
        <v/>
      </c>
      <c r="J85" s="190">
        <f>I84*'01_Вводные'!$B$14</f>
        <v/>
      </c>
      <c r="K85" s="190">
        <f>J84*'01_Вводные'!$B$14</f>
        <v/>
      </c>
      <c r="L85" s="190">
        <f>K84*'01_Вводные'!$B$14</f>
        <v/>
      </c>
      <c r="M85" s="190">
        <f>L84*'01_Вводные'!$B$14</f>
        <v/>
      </c>
      <c r="N85" s="190">
        <f>M84*'01_Вводные'!$B$14</f>
        <v/>
      </c>
      <c r="O85" s="190">
        <f>N84*'01_Вводные'!$B$14</f>
        <v/>
      </c>
      <c r="P85" s="190">
        <f>O84*'01_Вводные'!$B$14</f>
        <v/>
      </c>
      <c r="Q85" s="190">
        <f>P84*'01_Вводные'!$B$14</f>
        <v/>
      </c>
      <c r="R85" s="190">
        <f>Q84*'01_Вводные'!$B$14</f>
        <v/>
      </c>
      <c r="S85" s="190">
        <f>R84*'01_Вводные'!$B$14</f>
        <v/>
      </c>
      <c r="T85" s="190">
        <f>S84*'01_Вводные'!$B$14</f>
        <v/>
      </c>
      <c r="U85" s="190">
        <f>T84*'01_Вводные'!$B$14</f>
        <v/>
      </c>
      <c r="V85" s="190">
        <f>U84*'01_Вводные'!$B$14</f>
        <v/>
      </c>
      <c r="W85" s="190">
        <f>V84*'01_Вводные'!$B$14</f>
        <v/>
      </c>
      <c r="X85" s="190">
        <f>W84*'01_Вводные'!$B$14</f>
        <v/>
      </c>
      <c r="Y85" s="190">
        <f>X84*'01_Вводные'!$B$14</f>
        <v/>
      </c>
      <c r="Z85" s="190">
        <f>Y84*'01_Вводные'!$B$14</f>
        <v/>
      </c>
      <c r="AA85" s="190">
        <f>Z84*'01_Вводные'!$B$14</f>
        <v/>
      </c>
      <c r="AB85" s="190">
        <f>AA84*'01_Вводные'!$B$14</f>
        <v/>
      </c>
      <c r="AC85" s="190">
        <f>AB84*'01_Вводные'!$B$14</f>
        <v/>
      </c>
      <c r="AD85" s="190">
        <f>AC84*'01_Вводные'!$B$14</f>
        <v/>
      </c>
      <c r="AE85" s="190">
        <f>AD84*'01_Вводные'!$B$14</f>
        <v/>
      </c>
      <c r="AF85" s="190">
        <f>AE84*'01_Вводные'!$B$14</f>
        <v/>
      </c>
      <c r="AG85" s="190">
        <f>AF84*'01_Вводные'!$B$14</f>
        <v/>
      </c>
      <c r="AH85" s="190">
        <f>AG84*'01_Вводные'!$B$14</f>
        <v/>
      </c>
      <c r="AI85" s="190">
        <f>AH84*'01_Вводные'!$B$14</f>
        <v/>
      </c>
      <c r="AJ85" s="190">
        <f>AI84*'01_Вводные'!$B$14</f>
        <v/>
      </c>
      <c r="AK85" s="190">
        <f>AJ84*'01_Вводные'!$B$14</f>
        <v/>
      </c>
      <c r="AL85" s="190">
        <f>AK84*'01_Вводные'!$B$14</f>
        <v/>
      </c>
      <c r="AM85" s="190">
        <f>AL84*'01_Вводные'!$B$14</f>
        <v/>
      </c>
      <c r="AN85" s="190">
        <f>AM84*'01_Вводные'!$B$14</f>
        <v/>
      </c>
      <c r="AO85" s="190">
        <f>AN84*'01_Вводные'!$B$14</f>
        <v/>
      </c>
      <c r="AP85" s="190">
        <f>AO84*'01_Вводные'!$B$14</f>
        <v/>
      </c>
      <c r="AQ85" s="190">
        <f>AP84*'01_Вводные'!$B$14</f>
        <v/>
      </c>
      <c r="AR85" s="190">
        <f>AQ84*'01_Вводные'!$B$14</f>
        <v/>
      </c>
      <c r="AS85" s="190">
        <f>AR84*'01_Вводные'!$B$14</f>
        <v/>
      </c>
      <c r="AT85" s="190">
        <f>AS84*'01_Вводные'!$B$14</f>
        <v/>
      </c>
      <c r="AU85" s="190">
        <f>AT84*'01_Вводные'!$B$14</f>
        <v/>
      </c>
      <c r="AV85" s="190">
        <f>AU84*'01_Вводные'!$B$14</f>
        <v/>
      </c>
      <c r="AW85" s="190">
        <f>AV84*'01_Вводные'!$B$14</f>
        <v/>
      </c>
      <c r="AX85" s="190">
        <f>AW84*'01_Вводные'!$B$14</f>
        <v/>
      </c>
      <c r="AY85" s="190">
        <f>AX84*'01_Вводные'!$B$14</f>
        <v/>
      </c>
      <c r="AZ85" s="190">
        <f>AY84*'01_Вводные'!$B$14</f>
        <v/>
      </c>
      <c r="BA85" s="190">
        <f>AZ84*'01_Вводные'!$B$14</f>
        <v/>
      </c>
      <c r="BB85" s="190">
        <f>BA84*'01_Вводные'!$B$14</f>
        <v/>
      </c>
      <c r="BC85" s="190">
        <f>BB84*'01_Вводные'!$B$14</f>
        <v/>
      </c>
      <c r="BD85" s="190">
        <f>BC84*'01_Вводные'!$B$14</f>
        <v/>
      </c>
      <c r="BE85" s="190">
        <f>BD84*'01_Вводные'!$B$14</f>
        <v/>
      </c>
      <c r="BF85" s="190">
        <f>BE84*'01_Вводные'!$B$14</f>
        <v/>
      </c>
      <c r="BG85" s="190">
        <f>BF84*'01_Вводные'!$B$14</f>
        <v/>
      </c>
      <c r="BH85" s="190">
        <f>BG84*'01_Вводные'!$B$14</f>
        <v/>
      </c>
      <c r="BI85" s="190">
        <f>BH84*'01_Вводные'!$B$14</f>
        <v/>
      </c>
      <c r="BJ85" s="190">
        <f>BI84*'01_Вводные'!$B$14</f>
        <v/>
      </c>
      <c r="BK85" s="190">
        <f>BJ84*'01_Вводные'!$B$14</f>
        <v/>
      </c>
      <c r="BL85" s="190">
        <f>BK84*'01_Вводные'!$B$14</f>
        <v/>
      </c>
      <c r="BM85" s="190">
        <f>BL84*'01_Вводные'!$B$14</f>
        <v/>
      </c>
      <c r="BN85" s="190">
        <f>BM84*'01_Вводные'!$B$14</f>
        <v/>
      </c>
      <c r="BO85" s="190">
        <f>BN84*'01_Вводные'!$B$14</f>
        <v/>
      </c>
    </row>
    <row r="86" hidden="1" outlineLevel="1">
      <c r="A86" t="inlineStr">
        <is>
          <t>6 мес.</t>
        </is>
      </c>
      <c r="B86" s="189">
        <f>0</f>
        <v/>
      </c>
      <c r="C86" s="190">
        <f>B85*'01_Вводные'!$B$14</f>
        <v/>
      </c>
      <c r="D86" s="190">
        <f>C85*'01_Вводные'!$B$14</f>
        <v/>
      </c>
      <c r="E86" s="190">
        <f>D85*'01_Вводные'!$B$14</f>
        <v/>
      </c>
      <c r="F86" s="190">
        <f>E85*'01_Вводные'!$B$14</f>
        <v/>
      </c>
      <c r="G86" s="190">
        <f>F85*'01_Вводные'!$B$14</f>
        <v/>
      </c>
      <c r="H86" s="190">
        <f>G85*'01_Вводные'!$B$14</f>
        <v/>
      </c>
      <c r="I86" s="190">
        <f>H85*'01_Вводные'!$B$14</f>
        <v/>
      </c>
      <c r="J86" s="190">
        <f>I85*'01_Вводные'!$B$14</f>
        <v/>
      </c>
      <c r="K86" s="190">
        <f>J85*'01_Вводные'!$B$14</f>
        <v/>
      </c>
      <c r="L86" s="190">
        <f>K85*'01_Вводные'!$B$14</f>
        <v/>
      </c>
      <c r="M86" s="190">
        <f>L85*'01_Вводные'!$B$14</f>
        <v/>
      </c>
      <c r="N86" s="190">
        <f>M85*'01_Вводные'!$B$14</f>
        <v/>
      </c>
      <c r="O86" s="190">
        <f>N85*'01_Вводные'!$B$14</f>
        <v/>
      </c>
      <c r="P86" s="190">
        <f>O85*'01_Вводные'!$B$14</f>
        <v/>
      </c>
      <c r="Q86" s="190">
        <f>P85*'01_Вводные'!$B$14</f>
        <v/>
      </c>
      <c r="R86" s="190">
        <f>Q85*'01_Вводные'!$B$14</f>
        <v/>
      </c>
      <c r="S86" s="190">
        <f>R85*'01_Вводные'!$B$14</f>
        <v/>
      </c>
      <c r="T86" s="190">
        <f>S85*'01_Вводные'!$B$14</f>
        <v/>
      </c>
      <c r="U86" s="190">
        <f>T85*'01_Вводные'!$B$14</f>
        <v/>
      </c>
      <c r="V86" s="190">
        <f>U85*'01_Вводные'!$B$14</f>
        <v/>
      </c>
      <c r="W86" s="190">
        <f>V85*'01_Вводные'!$B$14</f>
        <v/>
      </c>
      <c r="X86" s="190">
        <f>W85*'01_Вводные'!$B$14</f>
        <v/>
      </c>
      <c r="Y86" s="190">
        <f>X85*'01_Вводные'!$B$14</f>
        <v/>
      </c>
      <c r="Z86" s="190">
        <f>Y85*'01_Вводные'!$B$14</f>
        <v/>
      </c>
      <c r="AA86" s="190">
        <f>Z85*'01_Вводные'!$B$14</f>
        <v/>
      </c>
      <c r="AB86" s="190">
        <f>AA85*'01_Вводные'!$B$14</f>
        <v/>
      </c>
      <c r="AC86" s="190">
        <f>AB85*'01_Вводные'!$B$14</f>
        <v/>
      </c>
      <c r="AD86" s="190">
        <f>AC85*'01_Вводные'!$B$14</f>
        <v/>
      </c>
      <c r="AE86" s="190">
        <f>AD85*'01_Вводные'!$B$14</f>
        <v/>
      </c>
      <c r="AF86" s="190">
        <f>AE85*'01_Вводные'!$B$14</f>
        <v/>
      </c>
      <c r="AG86" s="190">
        <f>AF85*'01_Вводные'!$B$14</f>
        <v/>
      </c>
      <c r="AH86" s="190">
        <f>AG85*'01_Вводные'!$B$14</f>
        <v/>
      </c>
      <c r="AI86" s="190">
        <f>AH85*'01_Вводные'!$B$14</f>
        <v/>
      </c>
      <c r="AJ86" s="190">
        <f>AI85*'01_Вводные'!$B$14</f>
        <v/>
      </c>
      <c r="AK86" s="190">
        <f>AJ85*'01_Вводные'!$B$14</f>
        <v/>
      </c>
      <c r="AL86" s="190">
        <f>AK85*'01_Вводные'!$B$14</f>
        <v/>
      </c>
      <c r="AM86" s="190">
        <f>AL85*'01_Вводные'!$B$14</f>
        <v/>
      </c>
      <c r="AN86" s="190">
        <f>AM85*'01_Вводные'!$B$14</f>
        <v/>
      </c>
      <c r="AO86" s="190">
        <f>AN85*'01_Вводные'!$B$14</f>
        <v/>
      </c>
      <c r="AP86" s="190">
        <f>AO85*'01_Вводные'!$B$14</f>
        <v/>
      </c>
      <c r="AQ86" s="190">
        <f>AP85*'01_Вводные'!$B$14</f>
        <v/>
      </c>
      <c r="AR86" s="190">
        <f>AQ85*'01_Вводные'!$B$14</f>
        <v/>
      </c>
      <c r="AS86" s="190">
        <f>AR85*'01_Вводные'!$B$14</f>
        <v/>
      </c>
      <c r="AT86" s="190">
        <f>AS85*'01_Вводные'!$B$14</f>
        <v/>
      </c>
      <c r="AU86" s="190">
        <f>AT85*'01_Вводные'!$B$14</f>
        <v/>
      </c>
      <c r="AV86" s="190">
        <f>AU85*'01_Вводные'!$B$14</f>
        <v/>
      </c>
      <c r="AW86" s="190">
        <f>AV85*'01_Вводные'!$B$14</f>
        <v/>
      </c>
      <c r="AX86" s="190">
        <f>AW85*'01_Вводные'!$B$14</f>
        <v/>
      </c>
      <c r="AY86" s="190">
        <f>AX85*'01_Вводные'!$B$14</f>
        <v/>
      </c>
      <c r="AZ86" s="190">
        <f>AY85*'01_Вводные'!$B$14</f>
        <v/>
      </c>
      <c r="BA86" s="190">
        <f>AZ85*'01_Вводные'!$B$14</f>
        <v/>
      </c>
      <c r="BB86" s="190">
        <f>BA85*'01_Вводные'!$B$14</f>
        <v/>
      </c>
      <c r="BC86" s="190">
        <f>BB85*'01_Вводные'!$B$14</f>
        <v/>
      </c>
      <c r="BD86" s="190">
        <f>BC85*'01_Вводные'!$B$14</f>
        <v/>
      </c>
      <c r="BE86" s="190">
        <f>BD85*'01_Вводные'!$B$14</f>
        <v/>
      </c>
      <c r="BF86" s="190">
        <f>BE85*'01_Вводные'!$B$14</f>
        <v/>
      </c>
      <c r="BG86" s="190">
        <f>BF85*'01_Вводные'!$B$14</f>
        <v/>
      </c>
      <c r="BH86" s="190">
        <f>BG85*'01_Вводные'!$B$14</f>
        <v/>
      </c>
      <c r="BI86" s="190">
        <f>BH85*'01_Вводные'!$B$14</f>
        <v/>
      </c>
      <c r="BJ86" s="190">
        <f>BI85*'01_Вводные'!$B$14</f>
        <v/>
      </c>
      <c r="BK86" s="190">
        <f>BJ85*'01_Вводные'!$B$14</f>
        <v/>
      </c>
      <c r="BL86" s="190">
        <f>BK85*'01_Вводные'!$B$14</f>
        <v/>
      </c>
      <c r="BM86" s="190">
        <f>BL85*'01_Вводные'!$B$14</f>
        <v/>
      </c>
      <c r="BN86" s="190">
        <f>BM85*'01_Вводные'!$B$14</f>
        <v/>
      </c>
      <c r="BO86" s="190">
        <f>BN85*'01_Вводные'!$B$14</f>
        <v/>
      </c>
    </row>
    <row r="87" hidden="1" outlineLevel="1">
      <c r="A87" t="inlineStr">
        <is>
          <t>7 мес.</t>
        </is>
      </c>
      <c r="B87" s="189">
        <f>0</f>
        <v/>
      </c>
      <c r="C87" s="190">
        <f>B86*'01_Вводные'!$B$14</f>
        <v/>
      </c>
      <c r="D87" s="190">
        <f>C86*'01_Вводные'!$B$14</f>
        <v/>
      </c>
      <c r="E87" s="190">
        <f>D86*'01_Вводные'!$B$14</f>
        <v/>
      </c>
      <c r="F87" s="190">
        <f>E86*'01_Вводные'!$B$14</f>
        <v/>
      </c>
      <c r="G87" s="190">
        <f>F86*'01_Вводные'!$B$14</f>
        <v/>
      </c>
      <c r="H87" s="190">
        <f>G86*'01_Вводные'!$B$14</f>
        <v/>
      </c>
      <c r="I87" s="190">
        <f>H86*'01_Вводные'!$B$14</f>
        <v/>
      </c>
      <c r="J87" s="190">
        <f>I86*'01_Вводные'!$B$14</f>
        <v/>
      </c>
      <c r="K87" s="190">
        <f>J86*'01_Вводные'!$B$14</f>
        <v/>
      </c>
      <c r="L87" s="190">
        <f>K86*'01_Вводные'!$B$14</f>
        <v/>
      </c>
      <c r="M87" s="190">
        <f>L86*'01_Вводные'!$B$14</f>
        <v/>
      </c>
      <c r="N87" s="190">
        <f>M86*'01_Вводные'!$B$14</f>
        <v/>
      </c>
      <c r="O87" s="190">
        <f>N86*'01_Вводные'!$B$14</f>
        <v/>
      </c>
      <c r="P87" s="190">
        <f>O86*'01_Вводные'!$B$14</f>
        <v/>
      </c>
      <c r="Q87" s="190">
        <f>P86*'01_Вводные'!$B$14</f>
        <v/>
      </c>
      <c r="R87" s="190">
        <f>Q86*'01_Вводные'!$B$14</f>
        <v/>
      </c>
      <c r="S87" s="190">
        <f>R86*'01_Вводные'!$B$14</f>
        <v/>
      </c>
      <c r="T87" s="190">
        <f>S86*'01_Вводные'!$B$14</f>
        <v/>
      </c>
      <c r="U87" s="190">
        <f>T86*'01_Вводные'!$B$14</f>
        <v/>
      </c>
      <c r="V87" s="190">
        <f>U86*'01_Вводные'!$B$14</f>
        <v/>
      </c>
      <c r="W87" s="190">
        <f>V86*'01_Вводные'!$B$14</f>
        <v/>
      </c>
      <c r="X87" s="190">
        <f>W86*'01_Вводные'!$B$14</f>
        <v/>
      </c>
      <c r="Y87" s="190">
        <f>X86*'01_Вводные'!$B$14</f>
        <v/>
      </c>
      <c r="Z87" s="190">
        <f>Y86*'01_Вводные'!$B$14</f>
        <v/>
      </c>
      <c r="AA87" s="190">
        <f>Z86*'01_Вводные'!$B$14</f>
        <v/>
      </c>
      <c r="AB87" s="190">
        <f>AA86*'01_Вводные'!$B$14</f>
        <v/>
      </c>
      <c r="AC87" s="190">
        <f>AB86*'01_Вводные'!$B$14</f>
        <v/>
      </c>
      <c r="AD87" s="190">
        <f>AC86*'01_Вводные'!$B$14</f>
        <v/>
      </c>
      <c r="AE87" s="190">
        <f>AD86*'01_Вводные'!$B$14</f>
        <v/>
      </c>
      <c r="AF87" s="190">
        <f>AE86*'01_Вводные'!$B$14</f>
        <v/>
      </c>
      <c r="AG87" s="190">
        <f>AF86*'01_Вводные'!$B$14</f>
        <v/>
      </c>
      <c r="AH87" s="190">
        <f>AG86*'01_Вводные'!$B$14</f>
        <v/>
      </c>
      <c r="AI87" s="190">
        <f>AH86*'01_Вводные'!$B$14</f>
        <v/>
      </c>
      <c r="AJ87" s="190">
        <f>AI86*'01_Вводные'!$B$14</f>
        <v/>
      </c>
      <c r="AK87" s="190">
        <f>AJ86*'01_Вводные'!$B$14</f>
        <v/>
      </c>
      <c r="AL87" s="190">
        <f>AK86*'01_Вводные'!$B$14</f>
        <v/>
      </c>
      <c r="AM87" s="190">
        <f>AL86*'01_Вводные'!$B$14</f>
        <v/>
      </c>
      <c r="AN87" s="190">
        <f>AM86*'01_Вводные'!$B$14</f>
        <v/>
      </c>
      <c r="AO87" s="190">
        <f>AN86*'01_Вводные'!$B$14</f>
        <v/>
      </c>
      <c r="AP87" s="190">
        <f>AO86*'01_Вводные'!$B$14</f>
        <v/>
      </c>
      <c r="AQ87" s="190">
        <f>AP86*'01_Вводные'!$B$14</f>
        <v/>
      </c>
      <c r="AR87" s="190">
        <f>AQ86*'01_Вводные'!$B$14</f>
        <v/>
      </c>
      <c r="AS87" s="190">
        <f>AR86*'01_Вводные'!$B$14</f>
        <v/>
      </c>
      <c r="AT87" s="190">
        <f>AS86*'01_Вводные'!$B$14</f>
        <v/>
      </c>
      <c r="AU87" s="190">
        <f>AT86*'01_Вводные'!$B$14</f>
        <v/>
      </c>
      <c r="AV87" s="190">
        <f>AU86*'01_Вводные'!$B$14</f>
        <v/>
      </c>
      <c r="AW87" s="190">
        <f>AV86*'01_Вводные'!$B$14</f>
        <v/>
      </c>
      <c r="AX87" s="190">
        <f>AW86*'01_Вводные'!$B$14</f>
        <v/>
      </c>
      <c r="AY87" s="190">
        <f>AX86*'01_Вводные'!$B$14</f>
        <v/>
      </c>
      <c r="AZ87" s="190">
        <f>AY86*'01_Вводные'!$B$14</f>
        <v/>
      </c>
      <c r="BA87" s="190">
        <f>AZ86*'01_Вводные'!$B$14</f>
        <v/>
      </c>
      <c r="BB87" s="190">
        <f>BA86*'01_Вводные'!$B$14</f>
        <v/>
      </c>
      <c r="BC87" s="190">
        <f>BB86*'01_Вводные'!$B$14</f>
        <v/>
      </c>
      <c r="BD87" s="190">
        <f>BC86*'01_Вводные'!$B$14</f>
        <v/>
      </c>
      <c r="BE87" s="190">
        <f>BD86*'01_Вводные'!$B$14</f>
        <v/>
      </c>
      <c r="BF87" s="190">
        <f>BE86*'01_Вводные'!$B$14</f>
        <v/>
      </c>
      <c r="BG87" s="190">
        <f>BF86*'01_Вводные'!$B$14</f>
        <v/>
      </c>
      <c r="BH87" s="190">
        <f>BG86*'01_Вводные'!$B$14</f>
        <v/>
      </c>
      <c r="BI87" s="190">
        <f>BH86*'01_Вводные'!$B$14</f>
        <v/>
      </c>
      <c r="BJ87" s="190">
        <f>BI86*'01_Вводные'!$B$14</f>
        <v/>
      </c>
      <c r="BK87" s="190">
        <f>BJ86*'01_Вводные'!$B$14</f>
        <v/>
      </c>
      <c r="BL87" s="190">
        <f>BK86*'01_Вводные'!$B$14</f>
        <v/>
      </c>
      <c r="BM87" s="190">
        <f>BL86*'01_Вводные'!$B$14</f>
        <v/>
      </c>
      <c r="BN87" s="190">
        <f>BM86*'01_Вводные'!$B$14</f>
        <v/>
      </c>
      <c r="BO87" s="190">
        <f>BN86*'01_Вводные'!$B$14</f>
        <v/>
      </c>
    </row>
    <row r="88" hidden="1" outlineLevel="1">
      <c r="A88" t="inlineStr">
        <is>
          <t>8 мес.</t>
        </is>
      </c>
      <c r="B88" s="189">
        <f>0</f>
        <v/>
      </c>
      <c r="C88" s="190">
        <f>B87*'01_Вводные'!$B$14</f>
        <v/>
      </c>
      <c r="D88" s="190">
        <f>C87*'01_Вводные'!$B$14</f>
        <v/>
      </c>
      <c r="E88" s="190">
        <f>D87*'01_Вводные'!$B$14</f>
        <v/>
      </c>
      <c r="F88" s="190">
        <f>E87*'01_Вводные'!$B$14</f>
        <v/>
      </c>
      <c r="G88" s="190">
        <f>F87*'01_Вводные'!$B$14</f>
        <v/>
      </c>
      <c r="H88" s="190">
        <f>G87*'01_Вводные'!$B$14</f>
        <v/>
      </c>
      <c r="I88" s="190">
        <f>H87*'01_Вводные'!$B$14</f>
        <v/>
      </c>
      <c r="J88" s="190">
        <f>I87*'01_Вводные'!$B$14</f>
        <v/>
      </c>
      <c r="K88" s="190">
        <f>J87*'01_Вводные'!$B$14</f>
        <v/>
      </c>
      <c r="L88" s="190">
        <f>K87*'01_Вводные'!$B$14</f>
        <v/>
      </c>
      <c r="M88" s="190">
        <f>L87*'01_Вводные'!$B$14</f>
        <v/>
      </c>
      <c r="N88" s="190">
        <f>M87*'01_Вводные'!$B$14</f>
        <v/>
      </c>
      <c r="O88" s="190">
        <f>N87*'01_Вводные'!$B$14</f>
        <v/>
      </c>
      <c r="P88" s="190">
        <f>O87*'01_Вводные'!$B$14</f>
        <v/>
      </c>
      <c r="Q88" s="190">
        <f>P87*'01_Вводные'!$B$14</f>
        <v/>
      </c>
      <c r="R88" s="190">
        <f>Q87*'01_Вводные'!$B$14</f>
        <v/>
      </c>
      <c r="S88" s="190">
        <f>R87*'01_Вводные'!$B$14</f>
        <v/>
      </c>
      <c r="T88" s="190">
        <f>S87*'01_Вводные'!$B$14</f>
        <v/>
      </c>
      <c r="U88" s="190">
        <f>T87*'01_Вводные'!$B$14</f>
        <v/>
      </c>
      <c r="V88" s="190">
        <f>U87*'01_Вводные'!$B$14</f>
        <v/>
      </c>
      <c r="W88" s="190">
        <f>V87*'01_Вводные'!$B$14</f>
        <v/>
      </c>
      <c r="X88" s="190">
        <f>W87*'01_Вводные'!$B$14</f>
        <v/>
      </c>
      <c r="Y88" s="190">
        <f>X87*'01_Вводные'!$B$14</f>
        <v/>
      </c>
      <c r="Z88" s="190">
        <f>Y87*'01_Вводные'!$B$14</f>
        <v/>
      </c>
      <c r="AA88" s="190">
        <f>Z87*'01_Вводные'!$B$14</f>
        <v/>
      </c>
      <c r="AB88" s="190">
        <f>AA87*'01_Вводные'!$B$14</f>
        <v/>
      </c>
      <c r="AC88" s="190">
        <f>AB87*'01_Вводные'!$B$14</f>
        <v/>
      </c>
      <c r="AD88" s="190">
        <f>AC87*'01_Вводные'!$B$14</f>
        <v/>
      </c>
      <c r="AE88" s="190">
        <f>AD87*'01_Вводные'!$B$14</f>
        <v/>
      </c>
      <c r="AF88" s="190">
        <f>AE87*'01_Вводные'!$B$14</f>
        <v/>
      </c>
      <c r="AG88" s="190">
        <f>AF87*'01_Вводные'!$B$14</f>
        <v/>
      </c>
      <c r="AH88" s="190">
        <f>AG87*'01_Вводные'!$B$14</f>
        <v/>
      </c>
      <c r="AI88" s="190">
        <f>AH87*'01_Вводные'!$B$14</f>
        <v/>
      </c>
      <c r="AJ88" s="190">
        <f>AI87*'01_Вводные'!$B$14</f>
        <v/>
      </c>
      <c r="AK88" s="190">
        <f>AJ87*'01_Вводные'!$B$14</f>
        <v/>
      </c>
      <c r="AL88" s="190">
        <f>AK87*'01_Вводные'!$B$14</f>
        <v/>
      </c>
      <c r="AM88" s="190">
        <f>AL87*'01_Вводные'!$B$14</f>
        <v/>
      </c>
      <c r="AN88" s="190">
        <f>AM87*'01_Вводные'!$B$14</f>
        <v/>
      </c>
      <c r="AO88" s="190">
        <f>AN87*'01_Вводные'!$B$14</f>
        <v/>
      </c>
      <c r="AP88" s="190">
        <f>AO87*'01_Вводные'!$B$14</f>
        <v/>
      </c>
      <c r="AQ88" s="190">
        <f>AP87*'01_Вводные'!$B$14</f>
        <v/>
      </c>
      <c r="AR88" s="190">
        <f>AQ87*'01_Вводные'!$B$14</f>
        <v/>
      </c>
      <c r="AS88" s="190">
        <f>AR87*'01_Вводные'!$B$14</f>
        <v/>
      </c>
      <c r="AT88" s="190">
        <f>AS87*'01_Вводные'!$B$14</f>
        <v/>
      </c>
      <c r="AU88" s="190">
        <f>AT87*'01_Вводные'!$B$14</f>
        <v/>
      </c>
      <c r="AV88" s="190">
        <f>AU87*'01_Вводные'!$B$14</f>
        <v/>
      </c>
      <c r="AW88" s="190">
        <f>AV87*'01_Вводные'!$B$14</f>
        <v/>
      </c>
      <c r="AX88" s="190">
        <f>AW87*'01_Вводные'!$B$14</f>
        <v/>
      </c>
      <c r="AY88" s="190">
        <f>AX87*'01_Вводные'!$B$14</f>
        <v/>
      </c>
      <c r="AZ88" s="190">
        <f>AY87*'01_Вводные'!$B$14</f>
        <v/>
      </c>
      <c r="BA88" s="190">
        <f>AZ87*'01_Вводные'!$B$14</f>
        <v/>
      </c>
      <c r="BB88" s="190">
        <f>BA87*'01_Вводные'!$B$14</f>
        <v/>
      </c>
      <c r="BC88" s="190">
        <f>BB87*'01_Вводные'!$B$14</f>
        <v/>
      </c>
      <c r="BD88" s="190">
        <f>BC87*'01_Вводные'!$B$14</f>
        <v/>
      </c>
      <c r="BE88" s="190">
        <f>BD87*'01_Вводные'!$B$14</f>
        <v/>
      </c>
      <c r="BF88" s="190">
        <f>BE87*'01_Вводные'!$B$14</f>
        <v/>
      </c>
      <c r="BG88" s="190">
        <f>BF87*'01_Вводные'!$B$14</f>
        <v/>
      </c>
      <c r="BH88" s="190">
        <f>BG87*'01_Вводные'!$B$14</f>
        <v/>
      </c>
      <c r="BI88" s="190">
        <f>BH87*'01_Вводные'!$B$14</f>
        <v/>
      </c>
      <c r="BJ88" s="190">
        <f>BI87*'01_Вводные'!$B$14</f>
        <v/>
      </c>
      <c r="BK88" s="190">
        <f>BJ87*'01_Вводные'!$B$14</f>
        <v/>
      </c>
      <c r="BL88" s="190">
        <f>BK87*'01_Вводные'!$B$14</f>
        <v/>
      </c>
      <c r="BM88" s="190">
        <f>BL87*'01_Вводные'!$B$14</f>
        <v/>
      </c>
      <c r="BN88" s="190">
        <f>BM87*'01_Вводные'!$B$14</f>
        <v/>
      </c>
      <c r="BO88" s="190">
        <f>BN87*'01_Вводные'!$B$14</f>
        <v/>
      </c>
    </row>
    <row r="89" hidden="1" outlineLevel="1">
      <c r="A89" t="inlineStr">
        <is>
          <t>9 мес.</t>
        </is>
      </c>
      <c r="B89" s="189">
        <f>0</f>
        <v/>
      </c>
      <c r="C89" s="190">
        <f>B88*'01_Вводные'!$B$14</f>
        <v/>
      </c>
      <c r="D89" s="190">
        <f>C88*'01_Вводные'!$B$14</f>
        <v/>
      </c>
      <c r="E89" s="190">
        <f>D88*'01_Вводные'!$B$14</f>
        <v/>
      </c>
      <c r="F89" s="190">
        <f>E88*'01_Вводные'!$B$14</f>
        <v/>
      </c>
      <c r="G89" s="190">
        <f>F88*'01_Вводные'!$B$14</f>
        <v/>
      </c>
      <c r="H89" s="190">
        <f>G88*'01_Вводные'!$B$14</f>
        <v/>
      </c>
      <c r="I89" s="190">
        <f>H88*'01_Вводные'!$B$14</f>
        <v/>
      </c>
      <c r="J89" s="190">
        <f>I88*'01_Вводные'!$B$14</f>
        <v/>
      </c>
      <c r="K89" s="190">
        <f>J88*'01_Вводные'!$B$14</f>
        <v/>
      </c>
      <c r="L89" s="190">
        <f>K88*'01_Вводные'!$B$14</f>
        <v/>
      </c>
      <c r="M89" s="190">
        <f>L88*'01_Вводные'!$B$14</f>
        <v/>
      </c>
      <c r="N89" s="190">
        <f>M88*'01_Вводные'!$B$14</f>
        <v/>
      </c>
      <c r="O89" s="190">
        <f>N88*'01_Вводные'!$B$14</f>
        <v/>
      </c>
      <c r="P89" s="190">
        <f>O88*'01_Вводные'!$B$14</f>
        <v/>
      </c>
      <c r="Q89" s="190">
        <f>P88*'01_Вводные'!$B$14</f>
        <v/>
      </c>
      <c r="R89" s="190">
        <f>Q88*'01_Вводные'!$B$14</f>
        <v/>
      </c>
      <c r="S89" s="190">
        <f>R88*'01_Вводные'!$B$14</f>
        <v/>
      </c>
      <c r="T89" s="190">
        <f>S88*'01_Вводные'!$B$14</f>
        <v/>
      </c>
      <c r="U89" s="190">
        <f>T88*'01_Вводные'!$B$14</f>
        <v/>
      </c>
      <c r="V89" s="190">
        <f>U88*'01_Вводные'!$B$14</f>
        <v/>
      </c>
      <c r="W89" s="190">
        <f>V88*'01_Вводные'!$B$14</f>
        <v/>
      </c>
      <c r="X89" s="190">
        <f>W88*'01_Вводные'!$B$14</f>
        <v/>
      </c>
      <c r="Y89" s="190">
        <f>X88*'01_Вводные'!$B$14</f>
        <v/>
      </c>
      <c r="Z89" s="190">
        <f>Y88*'01_Вводные'!$B$14</f>
        <v/>
      </c>
      <c r="AA89" s="190">
        <f>Z88*'01_Вводные'!$B$14</f>
        <v/>
      </c>
      <c r="AB89" s="190">
        <f>AA88*'01_Вводные'!$B$14</f>
        <v/>
      </c>
      <c r="AC89" s="190">
        <f>AB88*'01_Вводные'!$B$14</f>
        <v/>
      </c>
      <c r="AD89" s="190">
        <f>AC88*'01_Вводные'!$B$14</f>
        <v/>
      </c>
      <c r="AE89" s="190">
        <f>AD88*'01_Вводные'!$B$14</f>
        <v/>
      </c>
      <c r="AF89" s="190">
        <f>AE88*'01_Вводные'!$B$14</f>
        <v/>
      </c>
      <c r="AG89" s="190">
        <f>AF88*'01_Вводные'!$B$14</f>
        <v/>
      </c>
      <c r="AH89" s="190">
        <f>AG88*'01_Вводные'!$B$14</f>
        <v/>
      </c>
      <c r="AI89" s="190">
        <f>AH88*'01_Вводные'!$B$14</f>
        <v/>
      </c>
      <c r="AJ89" s="190">
        <f>AI88*'01_Вводные'!$B$14</f>
        <v/>
      </c>
      <c r="AK89" s="190">
        <f>AJ88*'01_Вводные'!$B$14</f>
        <v/>
      </c>
      <c r="AL89" s="190">
        <f>AK88*'01_Вводные'!$B$14</f>
        <v/>
      </c>
      <c r="AM89" s="190">
        <f>AL88*'01_Вводные'!$B$14</f>
        <v/>
      </c>
      <c r="AN89" s="190">
        <f>AM88*'01_Вводные'!$B$14</f>
        <v/>
      </c>
      <c r="AO89" s="190">
        <f>AN88*'01_Вводные'!$B$14</f>
        <v/>
      </c>
      <c r="AP89" s="190">
        <f>AO88*'01_Вводные'!$B$14</f>
        <v/>
      </c>
      <c r="AQ89" s="190">
        <f>AP88*'01_Вводные'!$B$14</f>
        <v/>
      </c>
      <c r="AR89" s="190">
        <f>AQ88*'01_Вводные'!$B$14</f>
        <v/>
      </c>
      <c r="AS89" s="190">
        <f>AR88*'01_Вводные'!$B$14</f>
        <v/>
      </c>
      <c r="AT89" s="190">
        <f>AS88*'01_Вводные'!$B$14</f>
        <v/>
      </c>
      <c r="AU89" s="190">
        <f>AT88*'01_Вводные'!$B$14</f>
        <v/>
      </c>
      <c r="AV89" s="190">
        <f>AU88*'01_Вводные'!$B$14</f>
        <v/>
      </c>
      <c r="AW89" s="190">
        <f>AV88*'01_Вводные'!$B$14</f>
        <v/>
      </c>
      <c r="AX89" s="190">
        <f>AW88*'01_Вводные'!$B$14</f>
        <v/>
      </c>
      <c r="AY89" s="190">
        <f>AX88*'01_Вводные'!$B$14</f>
        <v/>
      </c>
      <c r="AZ89" s="190">
        <f>AY88*'01_Вводные'!$B$14</f>
        <v/>
      </c>
      <c r="BA89" s="190">
        <f>AZ88*'01_Вводные'!$B$14</f>
        <v/>
      </c>
      <c r="BB89" s="190">
        <f>BA88*'01_Вводные'!$B$14</f>
        <v/>
      </c>
      <c r="BC89" s="190">
        <f>BB88*'01_Вводные'!$B$14</f>
        <v/>
      </c>
      <c r="BD89" s="190">
        <f>BC88*'01_Вводные'!$B$14</f>
        <v/>
      </c>
      <c r="BE89" s="190">
        <f>BD88*'01_Вводные'!$B$14</f>
        <v/>
      </c>
      <c r="BF89" s="190">
        <f>BE88*'01_Вводные'!$B$14</f>
        <v/>
      </c>
      <c r="BG89" s="190">
        <f>BF88*'01_Вводные'!$B$14</f>
        <v/>
      </c>
      <c r="BH89" s="190">
        <f>BG88*'01_Вводные'!$B$14</f>
        <v/>
      </c>
      <c r="BI89" s="190">
        <f>BH88*'01_Вводные'!$B$14</f>
        <v/>
      </c>
      <c r="BJ89" s="190">
        <f>BI88*'01_Вводные'!$B$14</f>
        <v/>
      </c>
      <c r="BK89" s="190">
        <f>BJ88*'01_Вводные'!$B$14</f>
        <v/>
      </c>
      <c r="BL89" s="190">
        <f>BK88*'01_Вводные'!$B$14</f>
        <v/>
      </c>
      <c r="BM89" s="190">
        <f>BL88*'01_Вводные'!$B$14</f>
        <v/>
      </c>
      <c r="BN89" s="190">
        <f>BM88*'01_Вводные'!$B$14</f>
        <v/>
      </c>
      <c r="BO89" s="190">
        <f>BN88*'01_Вводные'!$B$14</f>
        <v/>
      </c>
    </row>
    <row r="90" hidden="1" outlineLevel="1">
      <c r="A90" t="inlineStr">
        <is>
          <t>10 мес.</t>
        </is>
      </c>
      <c r="B90" s="189">
        <f>0</f>
        <v/>
      </c>
      <c r="C90" s="190">
        <f>B89*'01_Вводные'!$B$14</f>
        <v/>
      </c>
      <c r="D90" s="190">
        <f>C89*'01_Вводные'!$B$14</f>
        <v/>
      </c>
      <c r="E90" s="190">
        <f>D89*'01_Вводные'!$B$14</f>
        <v/>
      </c>
      <c r="F90" s="190">
        <f>E89*'01_Вводные'!$B$14</f>
        <v/>
      </c>
      <c r="G90" s="190">
        <f>F89*'01_Вводные'!$B$14</f>
        <v/>
      </c>
      <c r="H90" s="190">
        <f>G89*'01_Вводные'!$B$14</f>
        <v/>
      </c>
      <c r="I90" s="190">
        <f>H89*'01_Вводные'!$B$14</f>
        <v/>
      </c>
      <c r="J90" s="190">
        <f>I89*'01_Вводные'!$B$14</f>
        <v/>
      </c>
      <c r="K90" s="190">
        <f>J89*'01_Вводные'!$B$14</f>
        <v/>
      </c>
      <c r="L90" s="190">
        <f>K89*'01_Вводные'!$B$14</f>
        <v/>
      </c>
      <c r="M90" s="190">
        <f>L89*'01_Вводные'!$B$14</f>
        <v/>
      </c>
      <c r="N90" s="190">
        <f>M89*'01_Вводные'!$B$14</f>
        <v/>
      </c>
      <c r="O90" s="190">
        <f>N89*'01_Вводные'!$B$14</f>
        <v/>
      </c>
      <c r="P90" s="190">
        <f>O89*'01_Вводные'!$B$14</f>
        <v/>
      </c>
      <c r="Q90" s="190">
        <f>P89*'01_Вводные'!$B$14</f>
        <v/>
      </c>
      <c r="R90" s="190">
        <f>Q89*'01_Вводные'!$B$14</f>
        <v/>
      </c>
      <c r="S90" s="190">
        <f>R89*'01_Вводные'!$B$14</f>
        <v/>
      </c>
      <c r="T90" s="190">
        <f>S89*'01_Вводные'!$B$14</f>
        <v/>
      </c>
      <c r="U90" s="190">
        <f>T89*'01_Вводные'!$B$14</f>
        <v/>
      </c>
      <c r="V90" s="190">
        <f>U89*'01_Вводные'!$B$14</f>
        <v/>
      </c>
      <c r="W90" s="190">
        <f>V89*'01_Вводные'!$B$14</f>
        <v/>
      </c>
      <c r="X90" s="190">
        <f>W89*'01_Вводные'!$B$14</f>
        <v/>
      </c>
      <c r="Y90" s="190">
        <f>X89*'01_Вводные'!$B$14</f>
        <v/>
      </c>
      <c r="Z90" s="190">
        <f>Y89*'01_Вводные'!$B$14</f>
        <v/>
      </c>
      <c r="AA90" s="190">
        <f>Z89*'01_Вводные'!$B$14</f>
        <v/>
      </c>
      <c r="AB90" s="190">
        <f>AA89*'01_Вводные'!$B$14</f>
        <v/>
      </c>
      <c r="AC90" s="190">
        <f>AB89*'01_Вводные'!$B$14</f>
        <v/>
      </c>
      <c r="AD90" s="190">
        <f>AC89*'01_Вводные'!$B$14</f>
        <v/>
      </c>
      <c r="AE90" s="190">
        <f>AD89*'01_Вводные'!$B$14</f>
        <v/>
      </c>
      <c r="AF90" s="190">
        <f>AE89*'01_Вводные'!$B$14</f>
        <v/>
      </c>
      <c r="AG90" s="190">
        <f>AF89*'01_Вводные'!$B$14</f>
        <v/>
      </c>
      <c r="AH90" s="190">
        <f>AG89*'01_Вводные'!$B$14</f>
        <v/>
      </c>
      <c r="AI90" s="190">
        <f>AH89*'01_Вводные'!$B$14</f>
        <v/>
      </c>
      <c r="AJ90" s="190">
        <f>AI89*'01_Вводные'!$B$14</f>
        <v/>
      </c>
      <c r="AK90" s="190">
        <f>AJ89*'01_Вводные'!$B$14</f>
        <v/>
      </c>
      <c r="AL90" s="190">
        <f>AK89*'01_Вводные'!$B$14</f>
        <v/>
      </c>
      <c r="AM90" s="190">
        <f>AL89*'01_Вводные'!$B$14</f>
        <v/>
      </c>
      <c r="AN90" s="190">
        <f>AM89*'01_Вводные'!$B$14</f>
        <v/>
      </c>
      <c r="AO90" s="190">
        <f>AN89*'01_Вводные'!$B$14</f>
        <v/>
      </c>
      <c r="AP90" s="190">
        <f>AO89*'01_Вводные'!$B$14</f>
        <v/>
      </c>
      <c r="AQ90" s="190">
        <f>AP89*'01_Вводные'!$B$14</f>
        <v/>
      </c>
      <c r="AR90" s="190">
        <f>AQ89*'01_Вводные'!$B$14</f>
        <v/>
      </c>
      <c r="AS90" s="190">
        <f>AR89*'01_Вводные'!$B$14</f>
        <v/>
      </c>
      <c r="AT90" s="190">
        <f>AS89*'01_Вводные'!$B$14</f>
        <v/>
      </c>
      <c r="AU90" s="190">
        <f>AT89*'01_Вводные'!$B$14</f>
        <v/>
      </c>
      <c r="AV90" s="190">
        <f>AU89*'01_Вводные'!$B$14</f>
        <v/>
      </c>
      <c r="AW90" s="190">
        <f>AV89*'01_Вводные'!$B$14</f>
        <v/>
      </c>
      <c r="AX90" s="190">
        <f>AW89*'01_Вводные'!$B$14</f>
        <v/>
      </c>
      <c r="AY90" s="190">
        <f>AX89*'01_Вводные'!$B$14</f>
        <v/>
      </c>
      <c r="AZ90" s="190">
        <f>AY89*'01_Вводные'!$B$14</f>
        <v/>
      </c>
      <c r="BA90" s="190">
        <f>AZ89*'01_Вводные'!$B$14</f>
        <v/>
      </c>
      <c r="BB90" s="190">
        <f>BA89*'01_Вводные'!$B$14</f>
        <v/>
      </c>
      <c r="BC90" s="190">
        <f>BB89*'01_Вводные'!$B$14</f>
        <v/>
      </c>
      <c r="BD90" s="190">
        <f>BC89*'01_Вводные'!$B$14</f>
        <v/>
      </c>
      <c r="BE90" s="190">
        <f>BD89*'01_Вводные'!$B$14</f>
        <v/>
      </c>
      <c r="BF90" s="190">
        <f>BE89*'01_Вводные'!$B$14</f>
        <v/>
      </c>
      <c r="BG90" s="190">
        <f>BF89*'01_Вводные'!$B$14</f>
        <v/>
      </c>
      <c r="BH90" s="190">
        <f>BG89*'01_Вводные'!$B$14</f>
        <v/>
      </c>
      <c r="BI90" s="190">
        <f>BH89*'01_Вводные'!$B$14</f>
        <v/>
      </c>
      <c r="BJ90" s="190">
        <f>BI89*'01_Вводные'!$B$14</f>
        <v/>
      </c>
      <c r="BK90" s="190">
        <f>BJ89*'01_Вводные'!$B$14</f>
        <v/>
      </c>
      <c r="BL90" s="190">
        <f>BK89*'01_Вводные'!$B$14</f>
        <v/>
      </c>
      <c r="BM90" s="190">
        <f>BL89*'01_Вводные'!$B$14</f>
        <v/>
      </c>
      <c r="BN90" s="190">
        <f>BM89*'01_Вводные'!$B$14</f>
        <v/>
      </c>
      <c r="BO90" s="190">
        <f>BN89*'01_Вводные'!$B$14</f>
        <v/>
      </c>
    </row>
    <row r="91" hidden="1" outlineLevel="1">
      <c r="A91" t="inlineStr">
        <is>
          <t>11 мес.</t>
        </is>
      </c>
      <c r="B91" s="189">
        <f>0</f>
        <v/>
      </c>
      <c r="C91" s="190">
        <f>B90*'01_Вводные'!$B$14</f>
        <v/>
      </c>
      <c r="D91" s="190">
        <f>C90*'01_Вводные'!$B$14</f>
        <v/>
      </c>
      <c r="E91" s="190">
        <f>D90*'01_Вводные'!$B$14</f>
        <v/>
      </c>
      <c r="F91" s="190">
        <f>E90*'01_Вводные'!$B$14</f>
        <v/>
      </c>
      <c r="G91" s="190">
        <f>F90*'01_Вводные'!$B$14</f>
        <v/>
      </c>
      <c r="H91" s="190">
        <f>G90*'01_Вводные'!$B$14</f>
        <v/>
      </c>
      <c r="I91" s="190">
        <f>H90*'01_Вводные'!$B$14</f>
        <v/>
      </c>
      <c r="J91" s="190">
        <f>I90*'01_Вводные'!$B$14</f>
        <v/>
      </c>
      <c r="K91" s="190">
        <f>J90*'01_Вводные'!$B$14</f>
        <v/>
      </c>
      <c r="L91" s="190">
        <f>K90*'01_Вводные'!$B$14</f>
        <v/>
      </c>
      <c r="M91" s="190">
        <f>L90*'01_Вводные'!$B$14</f>
        <v/>
      </c>
      <c r="N91" s="190">
        <f>M90*'01_Вводные'!$B$14</f>
        <v/>
      </c>
      <c r="O91" s="190">
        <f>N90*'01_Вводные'!$B$14</f>
        <v/>
      </c>
      <c r="P91" s="190">
        <f>O90*'01_Вводные'!$B$14</f>
        <v/>
      </c>
      <c r="Q91" s="190">
        <f>P90*'01_Вводные'!$B$14</f>
        <v/>
      </c>
      <c r="R91" s="190">
        <f>Q90*'01_Вводные'!$B$14</f>
        <v/>
      </c>
      <c r="S91" s="190">
        <f>R90*'01_Вводные'!$B$14</f>
        <v/>
      </c>
      <c r="T91" s="190">
        <f>S90*'01_Вводные'!$B$14</f>
        <v/>
      </c>
      <c r="U91" s="190">
        <f>T90*'01_Вводные'!$B$14</f>
        <v/>
      </c>
      <c r="V91" s="190">
        <f>U90*'01_Вводные'!$B$14</f>
        <v/>
      </c>
      <c r="W91" s="190">
        <f>V90*'01_Вводные'!$B$14</f>
        <v/>
      </c>
      <c r="X91" s="190">
        <f>W90*'01_Вводные'!$B$14</f>
        <v/>
      </c>
      <c r="Y91" s="190">
        <f>X90*'01_Вводные'!$B$14</f>
        <v/>
      </c>
      <c r="Z91" s="190">
        <f>Y90*'01_Вводные'!$B$14</f>
        <v/>
      </c>
      <c r="AA91" s="190">
        <f>Z90*'01_Вводные'!$B$14</f>
        <v/>
      </c>
      <c r="AB91" s="190">
        <f>AA90*'01_Вводные'!$B$14</f>
        <v/>
      </c>
      <c r="AC91" s="190">
        <f>AB90*'01_Вводные'!$B$14</f>
        <v/>
      </c>
      <c r="AD91" s="190">
        <f>AC90*'01_Вводные'!$B$14</f>
        <v/>
      </c>
      <c r="AE91" s="190">
        <f>AD90*'01_Вводные'!$B$14</f>
        <v/>
      </c>
      <c r="AF91" s="190">
        <f>AE90*'01_Вводные'!$B$14</f>
        <v/>
      </c>
      <c r="AG91" s="190">
        <f>AF90*'01_Вводные'!$B$14</f>
        <v/>
      </c>
      <c r="AH91" s="190">
        <f>AG90*'01_Вводные'!$B$14</f>
        <v/>
      </c>
      <c r="AI91" s="190">
        <f>AH90*'01_Вводные'!$B$14</f>
        <v/>
      </c>
      <c r="AJ91" s="190">
        <f>AI90*'01_Вводные'!$B$14</f>
        <v/>
      </c>
      <c r="AK91" s="190">
        <f>AJ90*'01_Вводные'!$B$14</f>
        <v/>
      </c>
      <c r="AL91" s="190">
        <f>AK90*'01_Вводные'!$B$14</f>
        <v/>
      </c>
      <c r="AM91" s="190">
        <f>AL90*'01_Вводные'!$B$14</f>
        <v/>
      </c>
      <c r="AN91" s="190">
        <f>AM90*'01_Вводные'!$B$14</f>
        <v/>
      </c>
      <c r="AO91" s="190">
        <f>AN90*'01_Вводные'!$B$14</f>
        <v/>
      </c>
      <c r="AP91" s="190">
        <f>AO90*'01_Вводные'!$B$14</f>
        <v/>
      </c>
      <c r="AQ91" s="190">
        <f>AP90*'01_Вводные'!$B$14</f>
        <v/>
      </c>
      <c r="AR91" s="190">
        <f>AQ90*'01_Вводные'!$B$14</f>
        <v/>
      </c>
      <c r="AS91" s="190">
        <f>AR90*'01_Вводные'!$B$14</f>
        <v/>
      </c>
      <c r="AT91" s="190">
        <f>AS90*'01_Вводные'!$B$14</f>
        <v/>
      </c>
      <c r="AU91" s="190">
        <f>AT90*'01_Вводные'!$B$14</f>
        <v/>
      </c>
      <c r="AV91" s="190">
        <f>AU90*'01_Вводные'!$B$14</f>
        <v/>
      </c>
      <c r="AW91" s="190">
        <f>AV90*'01_Вводные'!$B$14</f>
        <v/>
      </c>
      <c r="AX91" s="190">
        <f>AW90*'01_Вводные'!$B$14</f>
        <v/>
      </c>
      <c r="AY91" s="190">
        <f>AX90*'01_Вводные'!$B$14</f>
        <v/>
      </c>
      <c r="AZ91" s="190">
        <f>AY90*'01_Вводные'!$B$14</f>
        <v/>
      </c>
      <c r="BA91" s="190">
        <f>AZ90*'01_Вводные'!$B$14</f>
        <v/>
      </c>
      <c r="BB91" s="190">
        <f>BA90*'01_Вводные'!$B$14</f>
        <v/>
      </c>
      <c r="BC91" s="190">
        <f>BB90*'01_Вводные'!$B$14</f>
        <v/>
      </c>
      <c r="BD91" s="190">
        <f>BC90*'01_Вводные'!$B$14</f>
        <v/>
      </c>
      <c r="BE91" s="190">
        <f>BD90*'01_Вводные'!$B$14</f>
        <v/>
      </c>
      <c r="BF91" s="190">
        <f>BE90*'01_Вводные'!$B$14</f>
        <v/>
      </c>
      <c r="BG91" s="190">
        <f>BF90*'01_Вводные'!$B$14</f>
        <v/>
      </c>
      <c r="BH91" s="190">
        <f>BG90*'01_Вводные'!$B$14</f>
        <v/>
      </c>
      <c r="BI91" s="190">
        <f>BH90*'01_Вводные'!$B$14</f>
        <v/>
      </c>
      <c r="BJ91" s="190">
        <f>BI90*'01_Вводные'!$B$14</f>
        <v/>
      </c>
      <c r="BK91" s="190">
        <f>BJ90*'01_Вводные'!$B$14</f>
        <v/>
      </c>
      <c r="BL91" s="190">
        <f>BK90*'01_Вводные'!$B$14</f>
        <v/>
      </c>
      <c r="BM91" s="190">
        <f>BL90*'01_Вводные'!$B$14</f>
        <v/>
      </c>
      <c r="BN91" s="190">
        <f>BM90*'01_Вводные'!$B$14</f>
        <v/>
      </c>
      <c r="BO91" s="190">
        <f>BN90*'01_Вводные'!$B$14</f>
        <v/>
      </c>
    </row>
    <row r="92" hidden="1" outlineLevel="1">
      <c r="A92" t="inlineStr">
        <is>
          <t>12 мес.</t>
        </is>
      </c>
      <c r="B92" s="189">
        <f>0</f>
        <v/>
      </c>
      <c r="C92" s="190">
        <f>B91*'01_Вводные'!$B$14</f>
        <v/>
      </c>
      <c r="D92" s="190">
        <f>C91*'01_Вводные'!$B$14</f>
        <v/>
      </c>
      <c r="E92" s="190">
        <f>D91*'01_Вводные'!$B$14</f>
        <v/>
      </c>
      <c r="F92" s="190">
        <f>E91*'01_Вводные'!$B$14</f>
        <v/>
      </c>
      <c r="G92" s="190">
        <f>F91*'01_Вводные'!$B$14</f>
        <v/>
      </c>
      <c r="H92" s="190">
        <f>G91*'01_Вводные'!$B$14</f>
        <v/>
      </c>
      <c r="I92" s="190">
        <f>H91*'01_Вводные'!$B$14</f>
        <v/>
      </c>
      <c r="J92" s="190">
        <f>I91*'01_Вводные'!$B$14</f>
        <v/>
      </c>
      <c r="K92" s="190">
        <f>J91*'01_Вводные'!$B$14</f>
        <v/>
      </c>
      <c r="L92" s="190">
        <f>K91*'01_Вводные'!$B$14</f>
        <v/>
      </c>
      <c r="M92" s="190">
        <f>L91*'01_Вводные'!$B$14</f>
        <v/>
      </c>
      <c r="N92" s="190">
        <f>M91*'01_Вводные'!$B$14</f>
        <v/>
      </c>
      <c r="O92" s="190">
        <f>N91*'01_Вводные'!$B$14</f>
        <v/>
      </c>
      <c r="P92" s="190">
        <f>O91*'01_Вводные'!$B$14</f>
        <v/>
      </c>
      <c r="Q92" s="190">
        <f>P91*'01_Вводные'!$B$14</f>
        <v/>
      </c>
      <c r="R92" s="190">
        <f>Q91*'01_Вводные'!$B$14</f>
        <v/>
      </c>
      <c r="S92" s="190">
        <f>R91*'01_Вводные'!$B$14</f>
        <v/>
      </c>
      <c r="T92" s="190">
        <f>S91*'01_Вводные'!$B$14</f>
        <v/>
      </c>
      <c r="U92" s="190">
        <f>T91*'01_Вводные'!$B$14</f>
        <v/>
      </c>
      <c r="V92" s="190">
        <f>U91*'01_Вводные'!$B$14</f>
        <v/>
      </c>
      <c r="W92" s="190">
        <f>V91*'01_Вводные'!$B$14</f>
        <v/>
      </c>
      <c r="X92" s="190">
        <f>W91*'01_Вводные'!$B$14</f>
        <v/>
      </c>
      <c r="Y92" s="190">
        <f>X91*'01_Вводные'!$B$14</f>
        <v/>
      </c>
      <c r="Z92" s="190">
        <f>Y91*'01_Вводные'!$B$14</f>
        <v/>
      </c>
      <c r="AA92" s="190">
        <f>Z91*'01_Вводные'!$B$14</f>
        <v/>
      </c>
      <c r="AB92" s="190">
        <f>AA91*'01_Вводные'!$B$14</f>
        <v/>
      </c>
      <c r="AC92" s="190">
        <f>AB91*'01_Вводные'!$B$14</f>
        <v/>
      </c>
      <c r="AD92" s="190">
        <f>AC91*'01_Вводные'!$B$14</f>
        <v/>
      </c>
      <c r="AE92" s="190">
        <f>AD91*'01_Вводные'!$B$14</f>
        <v/>
      </c>
      <c r="AF92" s="190">
        <f>AE91*'01_Вводные'!$B$14</f>
        <v/>
      </c>
      <c r="AG92" s="190">
        <f>AF91*'01_Вводные'!$B$14</f>
        <v/>
      </c>
      <c r="AH92" s="190">
        <f>AG91*'01_Вводные'!$B$14</f>
        <v/>
      </c>
      <c r="AI92" s="190">
        <f>AH91*'01_Вводные'!$B$14</f>
        <v/>
      </c>
      <c r="AJ92" s="190">
        <f>AI91*'01_Вводные'!$B$14</f>
        <v/>
      </c>
      <c r="AK92" s="190">
        <f>AJ91*'01_Вводные'!$B$14</f>
        <v/>
      </c>
      <c r="AL92" s="190">
        <f>AK91*'01_Вводные'!$B$14</f>
        <v/>
      </c>
      <c r="AM92" s="190">
        <f>AL91*'01_Вводные'!$B$14</f>
        <v/>
      </c>
      <c r="AN92" s="190">
        <f>AM91*'01_Вводные'!$B$14</f>
        <v/>
      </c>
      <c r="AO92" s="190">
        <f>AN91*'01_Вводные'!$B$14</f>
        <v/>
      </c>
      <c r="AP92" s="190">
        <f>AO91*'01_Вводные'!$B$14</f>
        <v/>
      </c>
      <c r="AQ92" s="190">
        <f>AP91*'01_Вводные'!$B$14</f>
        <v/>
      </c>
      <c r="AR92" s="190">
        <f>AQ91*'01_Вводные'!$B$14</f>
        <v/>
      </c>
      <c r="AS92" s="190">
        <f>AR91*'01_Вводные'!$B$14</f>
        <v/>
      </c>
      <c r="AT92" s="190">
        <f>AS91*'01_Вводные'!$B$14</f>
        <v/>
      </c>
      <c r="AU92" s="190">
        <f>AT91*'01_Вводные'!$B$14</f>
        <v/>
      </c>
      <c r="AV92" s="190">
        <f>AU91*'01_Вводные'!$B$14</f>
        <v/>
      </c>
      <c r="AW92" s="190">
        <f>AV91*'01_Вводные'!$B$14</f>
        <v/>
      </c>
      <c r="AX92" s="190">
        <f>AW91*'01_Вводные'!$B$14</f>
        <v/>
      </c>
      <c r="AY92" s="190">
        <f>AX91*'01_Вводные'!$B$14</f>
        <v/>
      </c>
      <c r="AZ92" s="190">
        <f>AY91*'01_Вводные'!$B$14</f>
        <v/>
      </c>
      <c r="BA92" s="190">
        <f>AZ91*'01_Вводные'!$B$14</f>
        <v/>
      </c>
      <c r="BB92" s="190">
        <f>BA91*'01_Вводные'!$B$14</f>
        <v/>
      </c>
      <c r="BC92" s="190">
        <f>BB91*'01_Вводные'!$B$14</f>
        <v/>
      </c>
      <c r="BD92" s="190">
        <f>BC91*'01_Вводные'!$B$14</f>
        <v/>
      </c>
      <c r="BE92" s="190">
        <f>BD91*'01_Вводные'!$B$14</f>
        <v/>
      </c>
      <c r="BF92" s="190">
        <f>BE91*'01_Вводные'!$B$14</f>
        <v/>
      </c>
      <c r="BG92" s="190">
        <f>BF91*'01_Вводные'!$B$14</f>
        <v/>
      </c>
      <c r="BH92" s="190">
        <f>BG91*'01_Вводные'!$B$14</f>
        <v/>
      </c>
      <c r="BI92" s="190">
        <f>BH91*'01_Вводные'!$B$14</f>
        <v/>
      </c>
      <c r="BJ92" s="190">
        <f>BI91*'01_Вводные'!$B$14</f>
        <v/>
      </c>
      <c r="BK92" s="190">
        <f>BJ91*'01_Вводные'!$B$14</f>
        <v/>
      </c>
      <c r="BL92" s="190">
        <f>BK91*'01_Вводные'!$B$14</f>
        <v/>
      </c>
      <c r="BM92" s="190">
        <f>BL91*'01_Вводные'!$B$14</f>
        <v/>
      </c>
      <c r="BN92" s="190">
        <f>BM91*'01_Вводные'!$B$14</f>
        <v/>
      </c>
      <c r="BO92" s="190">
        <f>BN91*'01_Вводные'!$B$14</f>
        <v/>
      </c>
    </row>
    <row r="93" hidden="1" outlineLevel="1">
      <c r="A93" t="inlineStr">
        <is>
          <t>13 мес.</t>
        </is>
      </c>
      <c r="B93" s="188">
        <f>0</f>
        <v/>
      </c>
      <c r="C93" s="191">
        <f>B92*'01_Вводные'!$B$14</f>
        <v/>
      </c>
      <c r="D93" s="191">
        <f>C92*'01_Вводные'!$B$14</f>
        <v/>
      </c>
      <c r="E93" s="191">
        <f>D92*'01_Вводные'!$B$14</f>
        <v/>
      </c>
      <c r="F93" s="191">
        <f>E92*'01_Вводные'!$B$14</f>
        <v/>
      </c>
      <c r="G93" s="191">
        <f>F92*'01_Вводные'!$B$14</f>
        <v/>
      </c>
      <c r="H93" s="191">
        <f>G92*'01_Вводные'!$B$14</f>
        <v/>
      </c>
      <c r="I93" s="191">
        <f>H92*'01_Вводные'!$B$14</f>
        <v/>
      </c>
      <c r="J93" s="191">
        <f>I92*'01_Вводные'!$B$14</f>
        <v/>
      </c>
      <c r="K93" s="191">
        <f>J92*'01_Вводные'!$B$14</f>
        <v/>
      </c>
      <c r="L93" s="191">
        <f>K92*'01_Вводные'!$B$14</f>
        <v/>
      </c>
      <c r="M93" s="191">
        <f>L92*'01_Вводные'!$B$14</f>
        <v/>
      </c>
      <c r="N93" s="191">
        <f>M92*'01_Вводные'!$B$14</f>
        <v/>
      </c>
      <c r="O93" s="191">
        <f>N92*'01_Вводные'!$B$14</f>
        <v/>
      </c>
      <c r="P93" s="191">
        <f>O92*'01_Вводные'!$B$14</f>
        <v/>
      </c>
      <c r="Q93" s="191">
        <f>P92*'01_Вводные'!$B$14</f>
        <v/>
      </c>
      <c r="R93" s="191">
        <f>Q92*'01_Вводные'!$B$14</f>
        <v/>
      </c>
      <c r="S93" s="191">
        <f>R92*'01_Вводные'!$B$14</f>
        <v/>
      </c>
      <c r="T93" s="191">
        <f>S92*'01_Вводные'!$B$14</f>
        <v/>
      </c>
      <c r="U93" s="191">
        <f>T92*'01_Вводные'!$B$14</f>
        <v/>
      </c>
      <c r="V93" s="191">
        <f>U92*'01_Вводные'!$B$14</f>
        <v/>
      </c>
      <c r="W93" s="191">
        <f>V92*'01_Вводные'!$B$14</f>
        <v/>
      </c>
      <c r="X93" s="191">
        <f>W92*'01_Вводные'!$B$14</f>
        <v/>
      </c>
      <c r="Y93" s="191">
        <f>X92*'01_Вводные'!$B$14</f>
        <v/>
      </c>
      <c r="Z93" s="191">
        <f>Y92*'01_Вводные'!$B$14</f>
        <v/>
      </c>
      <c r="AA93" s="191">
        <f>Z92*'01_Вводные'!$B$14</f>
        <v/>
      </c>
      <c r="AB93" s="191">
        <f>AA92*'01_Вводные'!$B$14</f>
        <v/>
      </c>
      <c r="AC93" s="191">
        <f>AB92*'01_Вводные'!$B$14</f>
        <v/>
      </c>
      <c r="AD93" s="191">
        <f>AC92*'01_Вводные'!$B$14</f>
        <v/>
      </c>
      <c r="AE93" s="191">
        <f>AD92*'01_Вводные'!$B$14</f>
        <v/>
      </c>
      <c r="AF93" s="191">
        <f>AE92*'01_Вводные'!$B$14</f>
        <v/>
      </c>
      <c r="AG93" s="191">
        <f>AF92*'01_Вводные'!$B$14</f>
        <v/>
      </c>
      <c r="AH93" s="191">
        <f>AG92*'01_Вводные'!$B$14</f>
        <v/>
      </c>
      <c r="AI93" s="191">
        <f>AH92*'01_Вводные'!$B$14</f>
        <v/>
      </c>
      <c r="AJ93" s="191">
        <f>AI92*'01_Вводные'!$B$14</f>
        <v/>
      </c>
      <c r="AK93" s="191">
        <f>AJ92*'01_Вводные'!$B$14</f>
        <v/>
      </c>
      <c r="AL93" s="191">
        <f>AK92*'01_Вводные'!$B$14</f>
        <v/>
      </c>
      <c r="AM93" s="191">
        <f>AL92*'01_Вводные'!$B$14</f>
        <v/>
      </c>
      <c r="AN93" s="191">
        <f>AM92*'01_Вводные'!$B$14</f>
        <v/>
      </c>
      <c r="AO93" s="191">
        <f>AN92*'01_Вводные'!$B$14</f>
        <v/>
      </c>
      <c r="AP93" s="191">
        <f>AO92*'01_Вводные'!$B$14</f>
        <v/>
      </c>
      <c r="AQ93" s="191">
        <f>AP92*'01_Вводные'!$B$14</f>
        <v/>
      </c>
      <c r="AR93" s="191">
        <f>AQ92*'01_Вводные'!$B$14</f>
        <v/>
      </c>
      <c r="AS93" s="191">
        <f>AR92*'01_Вводные'!$B$14</f>
        <v/>
      </c>
      <c r="AT93" s="191">
        <f>AS92*'01_Вводные'!$B$14</f>
        <v/>
      </c>
      <c r="AU93" s="191">
        <f>AT92*'01_Вводные'!$B$14</f>
        <v/>
      </c>
      <c r="AV93" s="191">
        <f>AU92*'01_Вводные'!$B$14</f>
        <v/>
      </c>
      <c r="AW93" s="191">
        <f>AV92*'01_Вводные'!$B$14</f>
        <v/>
      </c>
      <c r="AX93" s="191">
        <f>AW92*'01_Вводные'!$B$14</f>
        <v/>
      </c>
      <c r="AY93" s="191">
        <f>AX92*'01_Вводные'!$B$14</f>
        <v/>
      </c>
      <c r="AZ93" s="191">
        <f>AY92*'01_Вводные'!$B$14</f>
        <v/>
      </c>
      <c r="BA93" s="191">
        <f>AZ92*'01_Вводные'!$B$14</f>
        <v/>
      </c>
      <c r="BB93" s="191">
        <f>BA92*'01_Вводные'!$B$14</f>
        <v/>
      </c>
      <c r="BC93" s="191">
        <f>BB92*'01_Вводные'!$B$14</f>
        <v/>
      </c>
      <c r="BD93" s="191">
        <f>BC92*'01_Вводные'!$B$14</f>
        <v/>
      </c>
      <c r="BE93" s="191">
        <f>BD92*'01_Вводные'!$B$14</f>
        <v/>
      </c>
      <c r="BF93" s="191">
        <f>BE92*'01_Вводные'!$B$14</f>
        <v/>
      </c>
      <c r="BG93" s="191">
        <f>BF92*'01_Вводные'!$B$14</f>
        <v/>
      </c>
      <c r="BH93" s="191">
        <f>BG92*'01_Вводные'!$B$14</f>
        <v/>
      </c>
      <c r="BI93" s="191">
        <f>BH92*'01_Вводные'!$B$14</f>
        <v/>
      </c>
      <c r="BJ93" s="191">
        <f>BI92*'01_Вводные'!$B$14</f>
        <v/>
      </c>
      <c r="BK93" s="191">
        <f>BJ92*'01_Вводные'!$B$14</f>
        <v/>
      </c>
      <c r="BL93" s="191">
        <f>BK92*'01_Вводные'!$B$14</f>
        <v/>
      </c>
      <c r="BM93" s="191">
        <f>BL92*'01_Вводные'!$B$14</f>
        <v/>
      </c>
      <c r="BN93" s="191">
        <f>BM92*'01_Вводные'!$B$14</f>
        <v/>
      </c>
      <c r="BO93" s="191">
        <f>BN92*'01_Вводные'!$B$14</f>
        <v/>
      </c>
    </row>
    <row r="94" hidden="1" outlineLevel="1">
      <c r="A94" t="inlineStr">
        <is>
          <t>14 мес.</t>
        </is>
      </c>
      <c r="B94" s="189">
        <f>0</f>
        <v/>
      </c>
      <c r="C94" s="190">
        <f>B93*'01_Вводные'!$B$14</f>
        <v/>
      </c>
      <c r="D94" s="190">
        <f>C93*'01_Вводные'!$B$14</f>
        <v/>
      </c>
      <c r="E94" s="190">
        <f>D93*'01_Вводные'!$B$14</f>
        <v/>
      </c>
      <c r="F94" s="190">
        <f>E93*'01_Вводные'!$B$14</f>
        <v/>
      </c>
      <c r="G94" s="190">
        <f>F93*'01_Вводные'!$B$14</f>
        <v/>
      </c>
      <c r="H94" s="190">
        <f>G93*'01_Вводные'!$B$14</f>
        <v/>
      </c>
      <c r="I94" s="190">
        <f>H93*'01_Вводные'!$B$14</f>
        <v/>
      </c>
      <c r="J94" s="190">
        <f>I93*'01_Вводные'!$B$14</f>
        <v/>
      </c>
      <c r="K94" s="190">
        <f>J93*'01_Вводные'!$B$14</f>
        <v/>
      </c>
      <c r="L94" s="190">
        <f>K93*'01_Вводные'!$B$14</f>
        <v/>
      </c>
      <c r="M94" s="190">
        <f>L93*'01_Вводные'!$B$14</f>
        <v/>
      </c>
      <c r="N94" s="190">
        <f>M93*'01_Вводные'!$B$14</f>
        <v/>
      </c>
      <c r="O94" s="190">
        <f>N93*'01_Вводные'!$B$14</f>
        <v/>
      </c>
      <c r="P94" s="190">
        <f>O93*'01_Вводные'!$B$14</f>
        <v/>
      </c>
      <c r="Q94" s="190">
        <f>P93*'01_Вводные'!$B$14</f>
        <v/>
      </c>
      <c r="R94" s="190">
        <f>Q93*'01_Вводные'!$B$14</f>
        <v/>
      </c>
      <c r="S94" s="190">
        <f>R93*'01_Вводные'!$B$14</f>
        <v/>
      </c>
      <c r="T94" s="190">
        <f>S93*'01_Вводные'!$B$14</f>
        <v/>
      </c>
      <c r="U94" s="190">
        <f>T93*'01_Вводные'!$B$14</f>
        <v/>
      </c>
      <c r="V94" s="190">
        <f>U93*'01_Вводные'!$B$14</f>
        <v/>
      </c>
      <c r="W94" s="190">
        <f>V93*'01_Вводные'!$B$14</f>
        <v/>
      </c>
      <c r="X94" s="190">
        <f>W93*'01_Вводные'!$B$14</f>
        <v/>
      </c>
      <c r="Y94" s="190">
        <f>X93*'01_Вводные'!$B$14</f>
        <v/>
      </c>
      <c r="Z94" s="190">
        <f>Y93*'01_Вводные'!$B$14</f>
        <v/>
      </c>
      <c r="AA94" s="190">
        <f>Z93*'01_Вводные'!$B$14</f>
        <v/>
      </c>
      <c r="AB94" s="190">
        <f>AA93*'01_Вводные'!$B$14</f>
        <v/>
      </c>
      <c r="AC94" s="190">
        <f>AB93*'01_Вводные'!$B$14</f>
        <v/>
      </c>
      <c r="AD94" s="190">
        <f>AC93*'01_Вводные'!$B$14</f>
        <v/>
      </c>
      <c r="AE94" s="190">
        <f>AD93*'01_Вводные'!$B$14</f>
        <v/>
      </c>
      <c r="AF94" s="190">
        <f>AE93*'01_Вводные'!$B$14</f>
        <v/>
      </c>
      <c r="AG94" s="190">
        <f>AF93*'01_Вводные'!$B$14</f>
        <v/>
      </c>
      <c r="AH94" s="190">
        <f>AG93*'01_Вводные'!$B$14</f>
        <v/>
      </c>
      <c r="AI94" s="190">
        <f>AH93*'01_Вводные'!$B$14</f>
        <v/>
      </c>
      <c r="AJ94" s="190">
        <f>AI93*'01_Вводные'!$B$14</f>
        <v/>
      </c>
      <c r="AK94" s="190">
        <f>AJ93*'01_Вводные'!$B$14</f>
        <v/>
      </c>
      <c r="AL94" s="190">
        <f>AK93*'01_Вводные'!$B$14</f>
        <v/>
      </c>
      <c r="AM94" s="190">
        <f>AL93*'01_Вводные'!$B$14</f>
        <v/>
      </c>
      <c r="AN94" s="190">
        <f>AM93*'01_Вводные'!$B$14</f>
        <v/>
      </c>
      <c r="AO94" s="190">
        <f>AN93*'01_Вводные'!$B$14</f>
        <v/>
      </c>
      <c r="AP94" s="190">
        <f>AO93*'01_Вводные'!$B$14</f>
        <v/>
      </c>
      <c r="AQ94" s="190">
        <f>AP93*'01_Вводные'!$B$14</f>
        <v/>
      </c>
      <c r="AR94" s="190">
        <f>AQ93*'01_Вводные'!$B$14</f>
        <v/>
      </c>
      <c r="AS94" s="190">
        <f>AR93*'01_Вводные'!$B$14</f>
        <v/>
      </c>
      <c r="AT94" s="190">
        <f>AS93*'01_Вводные'!$B$14</f>
        <v/>
      </c>
      <c r="AU94" s="190">
        <f>AT93*'01_Вводные'!$B$14</f>
        <v/>
      </c>
      <c r="AV94" s="190">
        <f>AU93*'01_Вводные'!$B$14</f>
        <v/>
      </c>
      <c r="AW94" s="190">
        <f>AV93*'01_Вводные'!$B$14</f>
        <v/>
      </c>
      <c r="AX94" s="190">
        <f>AW93*'01_Вводные'!$B$14</f>
        <v/>
      </c>
      <c r="AY94" s="190">
        <f>AX93*'01_Вводные'!$B$14</f>
        <v/>
      </c>
      <c r="AZ94" s="190">
        <f>AY93*'01_Вводные'!$B$14</f>
        <v/>
      </c>
      <c r="BA94" s="190">
        <f>AZ93*'01_Вводные'!$B$14</f>
        <v/>
      </c>
      <c r="BB94" s="190">
        <f>BA93*'01_Вводные'!$B$14</f>
        <v/>
      </c>
      <c r="BC94" s="190">
        <f>BB93*'01_Вводные'!$B$14</f>
        <v/>
      </c>
      <c r="BD94" s="190">
        <f>BC93*'01_Вводные'!$B$14</f>
        <v/>
      </c>
      <c r="BE94" s="190">
        <f>BD93*'01_Вводные'!$B$14</f>
        <v/>
      </c>
      <c r="BF94" s="190">
        <f>BE93*'01_Вводные'!$B$14</f>
        <v/>
      </c>
      <c r="BG94" s="190">
        <f>BF93*'01_Вводные'!$B$14</f>
        <v/>
      </c>
      <c r="BH94" s="190">
        <f>BG93*'01_Вводные'!$B$14</f>
        <v/>
      </c>
      <c r="BI94" s="190">
        <f>BH93*'01_Вводные'!$B$14</f>
        <v/>
      </c>
      <c r="BJ94" s="190">
        <f>BI93*'01_Вводные'!$B$14</f>
        <v/>
      </c>
      <c r="BK94" s="190">
        <f>BJ93*'01_Вводные'!$B$14</f>
        <v/>
      </c>
      <c r="BL94" s="190">
        <f>BK93*'01_Вводные'!$B$14</f>
        <v/>
      </c>
      <c r="BM94" s="190">
        <f>BL93*'01_Вводные'!$B$14</f>
        <v/>
      </c>
      <c r="BN94" s="190">
        <f>BM93*'01_Вводные'!$B$14</f>
        <v/>
      </c>
      <c r="BO94" s="190">
        <f>BN93*'01_Вводные'!$B$14</f>
        <v/>
      </c>
    </row>
    <row r="95" hidden="1" outlineLevel="1">
      <c r="A95" t="inlineStr">
        <is>
          <t>15 мес.</t>
        </is>
      </c>
      <c r="B95" s="189">
        <f>0</f>
        <v/>
      </c>
      <c r="C95" s="190">
        <f>B94*'01_Вводные'!$B$14</f>
        <v/>
      </c>
      <c r="D95" s="190">
        <f>C94*'01_Вводные'!$B$14</f>
        <v/>
      </c>
      <c r="E95" s="190">
        <f>D94*'01_Вводные'!$B$14</f>
        <v/>
      </c>
      <c r="F95" s="190">
        <f>E94*'01_Вводные'!$B$14</f>
        <v/>
      </c>
      <c r="G95" s="190">
        <f>F94*'01_Вводные'!$B$14</f>
        <v/>
      </c>
      <c r="H95" s="190">
        <f>G94*'01_Вводные'!$B$14</f>
        <v/>
      </c>
      <c r="I95" s="190">
        <f>H94*'01_Вводные'!$B$14</f>
        <v/>
      </c>
      <c r="J95" s="190">
        <f>I94*'01_Вводные'!$B$14</f>
        <v/>
      </c>
      <c r="K95" s="190">
        <f>J94*'01_Вводные'!$B$14</f>
        <v/>
      </c>
      <c r="L95" s="190">
        <f>K94*'01_Вводные'!$B$14</f>
        <v/>
      </c>
      <c r="M95" s="190">
        <f>L94*'01_Вводные'!$B$14</f>
        <v/>
      </c>
      <c r="N95" s="190">
        <f>M94*'01_Вводные'!$B$14</f>
        <v/>
      </c>
      <c r="O95" s="190">
        <f>N94*'01_Вводные'!$B$14</f>
        <v/>
      </c>
      <c r="P95" s="190">
        <f>O94*'01_Вводные'!$B$14</f>
        <v/>
      </c>
      <c r="Q95" s="190">
        <f>P94*'01_Вводные'!$B$14</f>
        <v/>
      </c>
      <c r="R95" s="190">
        <f>Q94*'01_Вводные'!$B$14</f>
        <v/>
      </c>
      <c r="S95" s="190">
        <f>R94*'01_Вводные'!$B$14</f>
        <v/>
      </c>
      <c r="T95" s="190">
        <f>S94*'01_Вводные'!$B$14</f>
        <v/>
      </c>
      <c r="U95" s="190">
        <f>T94*'01_Вводные'!$B$14</f>
        <v/>
      </c>
      <c r="V95" s="190">
        <f>U94*'01_Вводные'!$B$14</f>
        <v/>
      </c>
      <c r="W95" s="190">
        <f>V94*'01_Вводные'!$B$14</f>
        <v/>
      </c>
      <c r="X95" s="190">
        <f>W94*'01_Вводные'!$B$14</f>
        <v/>
      </c>
      <c r="Y95" s="190">
        <f>X94*'01_Вводные'!$B$14</f>
        <v/>
      </c>
      <c r="Z95" s="190">
        <f>Y94*'01_Вводные'!$B$14</f>
        <v/>
      </c>
      <c r="AA95" s="190">
        <f>Z94*'01_Вводные'!$B$14</f>
        <v/>
      </c>
      <c r="AB95" s="190">
        <f>AA94*'01_Вводные'!$B$14</f>
        <v/>
      </c>
      <c r="AC95" s="190">
        <f>AB94*'01_Вводные'!$B$14</f>
        <v/>
      </c>
      <c r="AD95" s="190">
        <f>AC94*'01_Вводные'!$B$14</f>
        <v/>
      </c>
      <c r="AE95" s="190">
        <f>AD94*'01_Вводные'!$B$14</f>
        <v/>
      </c>
      <c r="AF95" s="190">
        <f>AE94*'01_Вводные'!$B$14</f>
        <v/>
      </c>
      <c r="AG95" s="190">
        <f>AF94*'01_Вводные'!$B$14</f>
        <v/>
      </c>
      <c r="AH95" s="190">
        <f>AG94*'01_Вводные'!$B$14</f>
        <v/>
      </c>
      <c r="AI95" s="190">
        <f>AH94*'01_Вводные'!$B$14</f>
        <v/>
      </c>
      <c r="AJ95" s="190">
        <f>AI94*'01_Вводные'!$B$14</f>
        <v/>
      </c>
      <c r="AK95" s="190">
        <f>AJ94*'01_Вводные'!$B$14</f>
        <v/>
      </c>
      <c r="AL95" s="190">
        <f>AK94*'01_Вводные'!$B$14</f>
        <v/>
      </c>
      <c r="AM95" s="190">
        <f>AL94*'01_Вводные'!$B$14</f>
        <v/>
      </c>
      <c r="AN95" s="190">
        <f>AM94*'01_Вводные'!$B$14</f>
        <v/>
      </c>
      <c r="AO95" s="190">
        <f>AN94*'01_Вводные'!$B$14</f>
        <v/>
      </c>
      <c r="AP95" s="190">
        <f>AO94*'01_Вводные'!$B$14</f>
        <v/>
      </c>
      <c r="AQ95" s="190">
        <f>AP94*'01_Вводные'!$B$14</f>
        <v/>
      </c>
      <c r="AR95" s="190">
        <f>AQ94*'01_Вводные'!$B$14</f>
        <v/>
      </c>
      <c r="AS95" s="190">
        <f>AR94*'01_Вводные'!$B$14</f>
        <v/>
      </c>
      <c r="AT95" s="190">
        <f>AS94*'01_Вводные'!$B$14</f>
        <v/>
      </c>
      <c r="AU95" s="190">
        <f>AT94*'01_Вводные'!$B$14</f>
        <v/>
      </c>
      <c r="AV95" s="190">
        <f>AU94*'01_Вводные'!$B$14</f>
        <v/>
      </c>
      <c r="AW95" s="190">
        <f>AV94*'01_Вводные'!$B$14</f>
        <v/>
      </c>
      <c r="AX95" s="190">
        <f>AW94*'01_Вводные'!$B$14</f>
        <v/>
      </c>
      <c r="AY95" s="190">
        <f>AX94*'01_Вводные'!$B$14</f>
        <v/>
      </c>
      <c r="AZ95" s="190">
        <f>AY94*'01_Вводные'!$B$14</f>
        <v/>
      </c>
      <c r="BA95" s="190">
        <f>AZ94*'01_Вводные'!$B$14</f>
        <v/>
      </c>
      <c r="BB95" s="190">
        <f>BA94*'01_Вводные'!$B$14</f>
        <v/>
      </c>
      <c r="BC95" s="190">
        <f>BB94*'01_Вводные'!$B$14</f>
        <v/>
      </c>
      <c r="BD95" s="190">
        <f>BC94*'01_Вводные'!$B$14</f>
        <v/>
      </c>
      <c r="BE95" s="190">
        <f>BD94*'01_Вводные'!$B$14</f>
        <v/>
      </c>
      <c r="BF95" s="190">
        <f>BE94*'01_Вводные'!$B$14</f>
        <v/>
      </c>
      <c r="BG95" s="190">
        <f>BF94*'01_Вводные'!$B$14</f>
        <v/>
      </c>
      <c r="BH95" s="190">
        <f>BG94*'01_Вводные'!$B$14</f>
        <v/>
      </c>
      <c r="BI95" s="190">
        <f>BH94*'01_Вводные'!$B$14</f>
        <v/>
      </c>
      <c r="BJ95" s="190">
        <f>BI94*'01_Вводные'!$B$14</f>
        <v/>
      </c>
      <c r="BK95" s="190">
        <f>BJ94*'01_Вводные'!$B$14</f>
        <v/>
      </c>
      <c r="BL95" s="190">
        <f>BK94*'01_Вводные'!$B$14</f>
        <v/>
      </c>
      <c r="BM95" s="190">
        <f>BL94*'01_Вводные'!$B$14</f>
        <v/>
      </c>
      <c r="BN95" s="190">
        <f>BM94*'01_Вводные'!$B$14</f>
        <v/>
      </c>
      <c r="BO95" s="190">
        <f>BN94*'01_Вводные'!$B$14</f>
        <v/>
      </c>
    </row>
    <row r="96" hidden="1" outlineLevel="1">
      <c r="A96" t="inlineStr">
        <is>
          <t>16 мес.</t>
        </is>
      </c>
      <c r="B96" s="189">
        <f>0</f>
        <v/>
      </c>
      <c r="C96" s="190">
        <f>B95*'01_Вводные'!$B$14</f>
        <v/>
      </c>
      <c r="D96" s="190">
        <f>C95*'01_Вводные'!$B$14</f>
        <v/>
      </c>
      <c r="E96" s="190">
        <f>D95*'01_Вводные'!$B$14</f>
        <v/>
      </c>
      <c r="F96" s="190">
        <f>E95*'01_Вводные'!$B$14</f>
        <v/>
      </c>
      <c r="G96" s="190">
        <f>F95*'01_Вводные'!$B$14</f>
        <v/>
      </c>
      <c r="H96" s="190">
        <f>G95*'01_Вводные'!$B$14</f>
        <v/>
      </c>
      <c r="I96" s="190">
        <f>H95*'01_Вводные'!$B$14</f>
        <v/>
      </c>
      <c r="J96" s="190">
        <f>I95*'01_Вводные'!$B$14</f>
        <v/>
      </c>
      <c r="K96" s="190">
        <f>J95*'01_Вводные'!$B$14</f>
        <v/>
      </c>
      <c r="L96" s="190">
        <f>K95*'01_Вводные'!$B$14</f>
        <v/>
      </c>
      <c r="M96" s="190">
        <f>L95*'01_Вводные'!$B$14</f>
        <v/>
      </c>
      <c r="N96" s="190">
        <f>M95*'01_Вводные'!$B$14</f>
        <v/>
      </c>
      <c r="O96" s="190">
        <f>N95*'01_Вводные'!$B$14</f>
        <v/>
      </c>
      <c r="P96" s="190">
        <f>O95*'01_Вводные'!$B$14</f>
        <v/>
      </c>
      <c r="Q96" s="190">
        <f>P95*'01_Вводные'!$B$14</f>
        <v/>
      </c>
      <c r="R96" s="190">
        <f>Q95*'01_Вводные'!$B$14</f>
        <v/>
      </c>
      <c r="S96" s="190">
        <f>R95*'01_Вводные'!$B$14</f>
        <v/>
      </c>
      <c r="T96" s="190">
        <f>S95*'01_Вводные'!$B$14</f>
        <v/>
      </c>
      <c r="U96" s="190">
        <f>T95*'01_Вводные'!$B$14</f>
        <v/>
      </c>
      <c r="V96" s="190">
        <f>U95*'01_Вводные'!$B$14</f>
        <v/>
      </c>
      <c r="W96" s="190">
        <f>V95*'01_Вводные'!$B$14</f>
        <v/>
      </c>
      <c r="X96" s="190">
        <f>W95*'01_Вводные'!$B$14</f>
        <v/>
      </c>
      <c r="Y96" s="190">
        <f>X95*'01_Вводные'!$B$14</f>
        <v/>
      </c>
      <c r="Z96" s="190">
        <f>Y95*'01_Вводные'!$B$14</f>
        <v/>
      </c>
      <c r="AA96" s="190">
        <f>Z95*'01_Вводные'!$B$14</f>
        <v/>
      </c>
      <c r="AB96" s="190">
        <f>AA95*'01_Вводные'!$B$14</f>
        <v/>
      </c>
      <c r="AC96" s="190">
        <f>AB95*'01_Вводные'!$B$14</f>
        <v/>
      </c>
      <c r="AD96" s="190">
        <f>AC95*'01_Вводные'!$B$14</f>
        <v/>
      </c>
      <c r="AE96" s="190">
        <f>AD95*'01_Вводные'!$B$14</f>
        <v/>
      </c>
      <c r="AF96" s="190">
        <f>AE95*'01_Вводные'!$B$14</f>
        <v/>
      </c>
      <c r="AG96" s="190">
        <f>AF95*'01_Вводные'!$B$14</f>
        <v/>
      </c>
      <c r="AH96" s="190">
        <f>AG95*'01_Вводные'!$B$14</f>
        <v/>
      </c>
      <c r="AI96" s="190">
        <f>AH95*'01_Вводные'!$B$14</f>
        <v/>
      </c>
      <c r="AJ96" s="190">
        <f>AI95*'01_Вводные'!$B$14</f>
        <v/>
      </c>
      <c r="AK96" s="190">
        <f>AJ95*'01_Вводные'!$B$14</f>
        <v/>
      </c>
      <c r="AL96" s="190">
        <f>AK95*'01_Вводные'!$B$14</f>
        <v/>
      </c>
      <c r="AM96" s="190">
        <f>AL95*'01_Вводные'!$B$14</f>
        <v/>
      </c>
      <c r="AN96" s="190">
        <f>AM95*'01_Вводные'!$B$14</f>
        <v/>
      </c>
      <c r="AO96" s="190">
        <f>AN95*'01_Вводные'!$B$14</f>
        <v/>
      </c>
      <c r="AP96" s="190">
        <f>AO95*'01_Вводные'!$B$14</f>
        <v/>
      </c>
      <c r="AQ96" s="190">
        <f>AP95*'01_Вводные'!$B$14</f>
        <v/>
      </c>
      <c r="AR96" s="190">
        <f>AQ95*'01_Вводные'!$B$14</f>
        <v/>
      </c>
      <c r="AS96" s="190">
        <f>AR95*'01_Вводные'!$B$14</f>
        <v/>
      </c>
      <c r="AT96" s="190">
        <f>AS95*'01_Вводные'!$B$14</f>
        <v/>
      </c>
      <c r="AU96" s="190">
        <f>AT95*'01_Вводные'!$B$14</f>
        <v/>
      </c>
      <c r="AV96" s="190">
        <f>AU95*'01_Вводные'!$B$14</f>
        <v/>
      </c>
      <c r="AW96" s="190">
        <f>AV95*'01_Вводные'!$B$14</f>
        <v/>
      </c>
      <c r="AX96" s="190">
        <f>AW95*'01_Вводные'!$B$14</f>
        <v/>
      </c>
      <c r="AY96" s="190">
        <f>AX95*'01_Вводные'!$B$14</f>
        <v/>
      </c>
      <c r="AZ96" s="190">
        <f>AY95*'01_Вводные'!$B$14</f>
        <v/>
      </c>
      <c r="BA96" s="190">
        <f>AZ95*'01_Вводные'!$B$14</f>
        <v/>
      </c>
      <c r="BB96" s="190">
        <f>BA95*'01_Вводные'!$B$14</f>
        <v/>
      </c>
      <c r="BC96" s="190">
        <f>BB95*'01_Вводные'!$B$14</f>
        <v/>
      </c>
      <c r="BD96" s="190">
        <f>BC95*'01_Вводные'!$B$14</f>
        <v/>
      </c>
      <c r="BE96" s="190">
        <f>BD95*'01_Вводные'!$B$14</f>
        <v/>
      </c>
      <c r="BF96" s="190">
        <f>BE95*'01_Вводные'!$B$14</f>
        <v/>
      </c>
      <c r="BG96" s="190">
        <f>BF95*'01_Вводные'!$B$14</f>
        <v/>
      </c>
      <c r="BH96" s="190">
        <f>BG95*'01_Вводные'!$B$14</f>
        <v/>
      </c>
      <c r="BI96" s="190">
        <f>BH95*'01_Вводные'!$B$14</f>
        <v/>
      </c>
      <c r="BJ96" s="190">
        <f>BI95*'01_Вводные'!$B$14</f>
        <v/>
      </c>
      <c r="BK96" s="190">
        <f>BJ95*'01_Вводные'!$B$14</f>
        <v/>
      </c>
      <c r="BL96" s="190">
        <f>BK95*'01_Вводные'!$B$14</f>
        <v/>
      </c>
      <c r="BM96" s="190">
        <f>BL95*'01_Вводные'!$B$14</f>
        <v/>
      </c>
      <c r="BN96" s="190">
        <f>BM95*'01_Вводные'!$B$14</f>
        <v/>
      </c>
      <c r="BO96" s="190">
        <f>BN95*'01_Вводные'!$B$14</f>
        <v/>
      </c>
    </row>
    <row r="97" hidden="1" outlineLevel="1">
      <c r="A97" t="inlineStr">
        <is>
          <t>17 мес.</t>
        </is>
      </c>
      <c r="B97" s="189">
        <f>0</f>
        <v/>
      </c>
      <c r="C97" s="190">
        <f>B96*'01_Вводные'!$B$14</f>
        <v/>
      </c>
      <c r="D97" s="190">
        <f>C96*'01_Вводные'!$B$14</f>
        <v/>
      </c>
      <c r="E97" s="190">
        <f>D96*'01_Вводные'!$B$14</f>
        <v/>
      </c>
      <c r="F97" s="190">
        <f>E96*'01_Вводные'!$B$14</f>
        <v/>
      </c>
      <c r="G97" s="190">
        <f>F96*'01_Вводные'!$B$14</f>
        <v/>
      </c>
      <c r="H97" s="190">
        <f>G96*'01_Вводные'!$B$14</f>
        <v/>
      </c>
      <c r="I97" s="190">
        <f>H96*'01_Вводные'!$B$14</f>
        <v/>
      </c>
      <c r="J97" s="190">
        <f>I96*'01_Вводные'!$B$14</f>
        <v/>
      </c>
      <c r="K97" s="190">
        <f>J96*'01_Вводные'!$B$14</f>
        <v/>
      </c>
      <c r="L97" s="190">
        <f>K96*'01_Вводные'!$B$14</f>
        <v/>
      </c>
      <c r="M97" s="190">
        <f>L96*'01_Вводные'!$B$14</f>
        <v/>
      </c>
      <c r="N97" s="190">
        <f>M96*'01_Вводные'!$B$14</f>
        <v/>
      </c>
      <c r="O97" s="190">
        <f>N96*'01_Вводные'!$B$14</f>
        <v/>
      </c>
      <c r="P97" s="190">
        <f>O96*'01_Вводные'!$B$14</f>
        <v/>
      </c>
      <c r="Q97" s="190">
        <f>P96*'01_Вводные'!$B$14</f>
        <v/>
      </c>
      <c r="R97" s="190">
        <f>Q96*'01_Вводные'!$B$14</f>
        <v/>
      </c>
      <c r="S97" s="190">
        <f>R96*'01_Вводные'!$B$14</f>
        <v/>
      </c>
      <c r="T97" s="190">
        <f>S96*'01_Вводные'!$B$14</f>
        <v/>
      </c>
      <c r="U97" s="190">
        <f>T96*'01_Вводные'!$B$14</f>
        <v/>
      </c>
      <c r="V97" s="190">
        <f>U96*'01_Вводные'!$B$14</f>
        <v/>
      </c>
      <c r="W97" s="190">
        <f>V96*'01_Вводные'!$B$14</f>
        <v/>
      </c>
      <c r="X97" s="190">
        <f>W96*'01_Вводные'!$B$14</f>
        <v/>
      </c>
      <c r="Y97" s="190">
        <f>X96*'01_Вводные'!$B$14</f>
        <v/>
      </c>
      <c r="Z97" s="190">
        <f>Y96*'01_Вводные'!$B$14</f>
        <v/>
      </c>
      <c r="AA97" s="190">
        <f>Z96*'01_Вводные'!$B$14</f>
        <v/>
      </c>
      <c r="AB97" s="190">
        <f>AA96*'01_Вводные'!$B$14</f>
        <v/>
      </c>
      <c r="AC97" s="190">
        <f>AB96*'01_Вводные'!$B$14</f>
        <v/>
      </c>
      <c r="AD97" s="190">
        <f>AC96*'01_Вводные'!$B$14</f>
        <v/>
      </c>
      <c r="AE97" s="190">
        <f>AD96*'01_Вводные'!$B$14</f>
        <v/>
      </c>
      <c r="AF97" s="190">
        <f>AE96*'01_Вводные'!$B$14</f>
        <v/>
      </c>
      <c r="AG97" s="190">
        <f>AF96*'01_Вводные'!$B$14</f>
        <v/>
      </c>
      <c r="AH97" s="190">
        <f>AG96*'01_Вводные'!$B$14</f>
        <v/>
      </c>
      <c r="AI97" s="190">
        <f>AH96*'01_Вводные'!$B$14</f>
        <v/>
      </c>
      <c r="AJ97" s="190">
        <f>AI96*'01_Вводные'!$B$14</f>
        <v/>
      </c>
      <c r="AK97" s="190">
        <f>AJ96*'01_Вводные'!$B$14</f>
        <v/>
      </c>
      <c r="AL97" s="190">
        <f>AK96*'01_Вводные'!$B$14</f>
        <v/>
      </c>
      <c r="AM97" s="190">
        <f>AL96*'01_Вводные'!$B$14</f>
        <v/>
      </c>
      <c r="AN97" s="190">
        <f>AM96*'01_Вводные'!$B$14</f>
        <v/>
      </c>
      <c r="AO97" s="190">
        <f>AN96*'01_Вводные'!$B$14</f>
        <v/>
      </c>
      <c r="AP97" s="190">
        <f>AO96*'01_Вводные'!$B$14</f>
        <v/>
      </c>
      <c r="AQ97" s="190">
        <f>AP96*'01_Вводные'!$B$14</f>
        <v/>
      </c>
      <c r="AR97" s="190">
        <f>AQ96*'01_Вводные'!$B$14</f>
        <v/>
      </c>
      <c r="AS97" s="190">
        <f>AR96*'01_Вводные'!$B$14</f>
        <v/>
      </c>
      <c r="AT97" s="190">
        <f>AS96*'01_Вводные'!$B$14</f>
        <v/>
      </c>
      <c r="AU97" s="190">
        <f>AT96*'01_Вводные'!$B$14</f>
        <v/>
      </c>
      <c r="AV97" s="190">
        <f>AU96*'01_Вводные'!$B$14</f>
        <v/>
      </c>
      <c r="AW97" s="190">
        <f>AV96*'01_Вводные'!$B$14</f>
        <v/>
      </c>
      <c r="AX97" s="190">
        <f>AW96*'01_Вводные'!$B$14</f>
        <v/>
      </c>
      <c r="AY97" s="190">
        <f>AX96*'01_Вводные'!$B$14</f>
        <v/>
      </c>
      <c r="AZ97" s="190">
        <f>AY96*'01_Вводные'!$B$14</f>
        <v/>
      </c>
      <c r="BA97" s="190">
        <f>AZ96*'01_Вводные'!$B$14</f>
        <v/>
      </c>
      <c r="BB97" s="190">
        <f>BA96*'01_Вводные'!$B$14</f>
        <v/>
      </c>
      <c r="BC97" s="190">
        <f>BB96*'01_Вводные'!$B$14</f>
        <v/>
      </c>
      <c r="BD97" s="190">
        <f>BC96*'01_Вводные'!$B$14</f>
        <v/>
      </c>
      <c r="BE97" s="190">
        <f>BD96*'01_Вводные'!$B$14</f>
        <v/>
      </c>
      <c r="BF97" s="190">
        <f>BE96*'01_Вводные'!$B$14</f>
        <v/>
      </c>
      <c r="BG97" s="190">
        <f>BF96*'01_Вводные'!$B$14</f>
        <v/>
      </c>
      <c r="BH97" s="190">
        <f>BG96*'01_Вводные'!$B$14</f>
        <v/>
      </c>
      <c r="BI97" s="190">
        <f>BH96*'01_Вводные'!$B$14</f>
        <v/>
      </c>
      <c r="BJ97" s="190">
        <f>BI96*'01_Вводные'!$B$14</f>
        <v/>
      </c>
      <c r="BK97" s="190">
        <f>BJ96*'01_Вводные'!$B$14</f>
        <v/>
      </c>
      <c r="BL97" s="190">
        <f>BK96*'01_Вводные'!$B$14</f>
        <v/>
      </c>
      <c r="BM97" s="190">
        <f>BL96*'01_Вводные'!$B$14</f>
        <v/>
      </c>
      <c r="BN97" s="190">
        <f>BM96*'01_Вводные'!$B$14</f>
        <v/>
      </c>
      <c r="BO97" s="190">
        <f>BN96*'01_Вводные'!$B$14</f>
        <v/>
      </c>
    </row>
    <row r="98" hidden="1" outlineLevel="1">
      <c r="A98" t="inlineStr">
        <is>
          <t>18 мес.</t>
        </is>
      </c>
      <c r="B98" s="189">
        <f>0</f>
        <v/>
      </c>
      <c r="C98" s="190">
        <f>B97*'01_Вводные'!$B$14</f>
        <v/>
      </c>
      <c r="D98" s="190">
        <f>C97*'01_Вводные'!$B$14</f>
        <v/>
      </c>
      <c r="E98" s="190">
        <f>D97*'01_Вводные'!$B$14</f>
        <v/>
      </c>
      <c r="F98" s="190">
        <f>E97*'01_Вводные'!$B$14</f>
        <v/>
      </c>
      <c r="G98" s="190">
        <f>F97*'01_Вводные'!$B$14</f>
        <v/>
      </c>
      <c r="H98" s="190">
        <f>G97*'01_Вводные'!$B$14</f>
        <v/>
      </c>
      <c r="I98" s="190">
        <f>H97*'01_Вводные'!$B$14</f>
        <v/>
      </c>
      <c r="J98" s="190">
        <f>I97*'01_Вводные'!$B$14</f>
        <v/>
      </c>
      <c r="K98" s="190">
        <f>J97*'01_Вводные'!$B$14</f>
        <v/>
      </c>
      <c r="L98" s="190">
        <f>K97*'01_Вводные'!$B$14</f>
        <v/>
      </c>
      <c r="M98" s="190">
        <f>L97*'01_Вводные'!$B$14</f>
        <v/>
      </c>
      <c r="N98" s="190">
        <f>M97*'01_Вводные'!$B$14</f>
        <v/>
      </c>
      <c r="O98" s="190">
        <f>N97*'01_Вводные'!$B$14</f>
        <v/>
      </c>
      <c r="P98" s="190">
        <f>O97*'01_Вводные'!$B$14</f>
        <v/>
      </c>
      <c r="Q98" s="190">
        <f>P97*'01_Вводные'!$B$14</f>
        <v/>
      </c>
      <c r="R98" s="190">
        <f>Q97*'01_Вводные'!$B$14</f>
        <v/>
      </c>
      <c r="S98" s="190">
        <f>R97*'01_Вводные'!$B$14</f>
        <v/>
      </c>
      <c r="T98" s="190">
        <f>S97*'01_Вводные'!$B$14</f>
        <v/>
      </c>
      <c r="U98" s="190">
        <f>T97*'01_Вводные'!$B$14</f>
        <v/>
      </c>
      <c r="V98" s="190">
        <f>U97*'01_Вводные'!$B$14</f>
        <v/>
      </c>
      <c r="W98" s="190">
        <f>V97*'01_Вводные'!$B$14</f>
        <v/>
      </c>
      <c r="X98" s="190">
        <f>W97*'01_Вводные'!$B$14</f>
        <v/>
      </c>
      <c r="Y98" s="190">
        <f>X97*'01_Вводные'!$B$14</f>
        <v/>
      </c>
      <c r="Z98" s="190">
        <f>Y97*'01_Вводные'!$B$14</f>
        <v/>
      </c>
      <c r="AA98" s="190">
        <f>Z97*'01_Вводные'!$B$14</f>
        <v/>
      </c>
      <c r="AB98" s="190">
        <f>AA97*'01_Вводные'!$B$14</f>
        <v/>
      </c>
      <c r="AC98" s="190">
        <f>AB97*'01_Вводные'!$B$14</f>
        <v/>
      </c>
      <c r="AD98" s="190">
        <f>AC97*'01_Вводные'!$B$14</f>
        <v/>
      </c>
      <c r="AE98" s="190">
        <f>AD97*'01_Вводные'!$B$14</f>
        <v/>
      </c>
      <c r="AF98" s="190">
        <f>AE97*'01_Вводные'!$B$14</f>
        <v/>
      </c>
      <c r="AG98" s="190">
        <f>AF97*'01_Вводные'!$B$14</f>
        <v/>
      </c>
      <c r="AH98" s="190">
        <f>AG97*'01_Вводные'!$B$14</f>
        <v/>
      </c>
      <c r="AI98" s="190">
        <f>AH97*'01_Вводные'!$B$14</f>
        <v/>
      </c>
      <c r="AJ98" s="190">
        <f>AI97*'01_Вводные'!$B$14</f>
        <v/>
      </c>
      <c r="AK98" s="190">
        <f>AJ97*'01_Вводные'!$B$14</f>
        <v/>
      </c>
      <c r="AL98" s="190">
        <f>AK97*'01_Вводные'!$B$14</f>
        <v/>
      </c>
      <c r="AM98" s="190">
        <f>AL97*'01_Вводные'!$B$14</f>
        <v/>
      </c>
      <c r="AN98" s="190">
        <f>AM97*'01_Вводные'!$B$14</f>
        <v/>
      </c>
      <c r="AO98" s="190">
        <f>AN97*'01_Вводные'!$B$14</f>
        <v/>
      </c>
      <c r="AP98" s="190">
        <f>AO97*'01_Вводные'!$B$14</f>
        <v/>
      </c>
      <c r="AQ98" s="190">
        <f>AP97*'01_Вводные'!$B$14</f>
        <v/>
      </c>
      <c r="AR98" s="190">
        <f>AQ97*'01_Вводные'!$B$14</f>
        <v/>
      </c>
      <c r="AS98" s="190">
        <f>AR97*'01_Вводные'!$B$14</f>
        <v/>
      </c>
      <c r="AT98" s="190">
        <f>AS97*'01_Вводные'!$B$14</f>
        <v/>
      </c>
      <c r="AU98" s="190">
        <f>AT97*'01_Вводные'!$B$14</f>
        <v/>
      </c>
      <c r="AV98" s="190">
        <f>AU97*'01_Вводные'!$B$14</f>
        <v/>
      </c>
      <c r="AW98" s="190">
        <f>AV97*'01_Вводные'!$B$14</f>
        <v/>
      </c>
      <c r="AX98" s="190">
        <f>AW97*'01_Вводные'!$B$14</f>
        <v/>
      </c>
      <c r="AY98" s="190">
        <f>AX97*'01_Вводные'!$B$14</f>
        <v/>
      </c>
      <c r="AZ98" s="190">
        <f>AY97*'01_Вводные'!$B$14</f>
        <v/>
      </c>
      <c r="BA98" s="190">
        <f>AZ97*'01_Вводные'!$B$14</f>
        <v/>
      </c>
      <c r="BB98" s="190">
        <f>BA97*'01_Вводные'!$B$14</f>
        <v/>
      </c>
      <c r="BC98" s="190">
        <f>BB97*'01_Вводные'!$B$14</f>
        <v/>
      </c>
      <c r="BD98" s="190">
        <f>BC97*'01_Вводные'!$B$14</f>
        <v/>
      </c>
      <c r="BE98" s="190">
        <f>BD97*'01_Вводные'!$B$14</f>
        <v/>
      </c>
      <c r="BF98" s="190">
        <f>BE97*'01_Вводные'!$B$14</f>
        <v/>
      </c>
      <c r="BG98" s="190">
        <f>BF97*'01_Вводные'!$B$14</f>
        <v/>
      </c>
      <c r="BH98" s="190">
        <f>BG97*'01_Вводные'!$B$14</f>
        <v/>
      </c>
      <c r="BI98" s="190">
        <f>BH97*'01_Вводные'!$B$14</f>
        <v/>
      </c>
      <c r="BJ98" s="190">
        <f>BI97*'01_Вводные'!$B$14</f>
        <v/>
      </c>
      <c r="BK98" s="190">
        <f>BJ97*'01_Вводные'!$B$14</f>
        <v/>
      </c>
      <c r="BL98" s="190">
        <f>BK97*'01_Вводные'!$B$14</f>
        <v/>
      </c>
      <c r="BM98" s="190">
        <f>BL97*'01_Вводные'!$B$14</f>
        <v/>
      </c>
      <c r="BN98" s="190">
        <f>BM97*'01_Вводные'!$B$14</f>
        <v/>
      </c>
      <c r="BO98" s="190">
        <f>BN97*'01_Вводные'!$B$14</f>
        <v/>
      </c>
    </row>
    <row r="99" hidden="1" outlineLevel="1">
      <c r="A99" t="inlineStr">
        <is>
          <t>19 мес.</t>
        </is>
      </c>
      <c r="B99" s="189">
        <f>0</f>
        <v/>
      </c>
      <c r="C99" s="190">
        <f>B98*'01_Вводные'!$B$14</f>
        <v/>
      </c>
      <c r="D99" s="190">
        <f>C98*'01_Вводные'!$B$14</f>
        <v/>
      </c>
      <c r="E99" s="190">
        <f>D98*'01_Вводные'!$B$14</f>
        <v/>
      </c>
      <c r="F99" s="190">
        <f>E98*'01_Вводные'!$B$14</f>
        <v/>
      </c>
      <c r="G99" s="190">
        <f>F98*'01_Вводные'!$B$14</f>
        <v/>
      </c>
      <c r="H99" s="190">
        <f>G98*'01_Вводные'!$B$14</f>
        <v/>
      </c>
      <c r="I99" s="190">
        <f>H98*'01_Вводные'!$B$14</f>
        <v/>
      </c>
      <c r="J99" s="190">
        <f>I98*'01_Вводные'!$B$14</f>
        <v/>
      </c>
      <c r="K99" s="190">
        <f>J98*'01_Вводные'!$B$14</f>
        <v/>
      </c>
      <c r="L99" s="190">
        <f>K98*'01_Вводные'!$B$14</f>
        <v/>
      </c>
      <c r="M99" s="190">
        <f>L98*'01_Вводные'!$B$14</f>
        <v/>
      </c>
      <c r="N99" s="190">
        <f>M98*'01_Вводные'!$B$14</f>
        <v/>
      </c>
      <c r="O99" s="190">
        <f>N98*'01_Вводные'!$B$14</f>
        <v/>
      </c>
      <c r="P99" s="190">
        <f>O98*'01_Вводные'!$B$14</f>
        <v/>
      </c>
      <c r="Q99" s="190">
        <f>P98*'01_Вводные'!$B$14</f>
        <v/>
      </c>
      <c r="R99" s="190">
        <f>Q98*'01_Вводные'!$B$14</f>
        <v/>
      </c>
      <c r="S99" s="190">
        <f>R98*'01_Вводные'!$B$14</f>
        <v/>
      </c>
      <c r="T99" s="190">
        <f>S98*'01_Вводные'!$B$14</f>
        <v/>
      </c>
      <c r="U99" s="190">
        <f>T98*'01_Вводные'!$B$14</f>
        <v/>
      </c>
      <c r="V99" s="190">
        <f>U98*'01_Вводные'!$B$14</f>
        <v/>
      </c>
      <c r="W99" s="190">
        <f>V98*'01_Вводные'!$B$14</f>
        <v/>
      </c>
      <c r="X99" s="190">
        <f>W98*'01_Вводные'!$B$14</f>
        <v/>
      </c>
      <c r="Y99" s="190">
        <f>X98*'01_Вводные'!$B$14</f>
        <v/>
      </c>
      <c r="Z99" s="190">
        <f>Y98*'01_Вводные'!$B$14</f>
        <v/>
      </c>
      <c r="AA99" s="190">
        <f>Z98*'01_Вводные'!$B$14</f>
        <v/>
      </c>
      <c r="AB99" s="190">
        <f>AA98*'01_Вводные'!$B$14</f>
        <v/>
      </c>
      <c r="AC99" s="190">
        <f>AB98*'01_Вводные'!$B$14</f>
        <v/>
      </c>
      <c r="AD99" s="190">
        <f>AC98*'01_Вводные'!$B$14</f>
        <v/>
      </c>
      <c r="AE99" s="190">
        <f>AD98*'01_Вводные'!$B$14</f>
        <v/>
      </c>
      <c r="AF99" s="190">
        <f>AE98*'01_Вводные'!$B$14</f>
        <v/>
      </c>
      <c r="AG99" s="190">
        <f>AF98*'01_Вводные'!$B$14</f>
        <v/>
      </c>
      <c r="AH99" s="190">
        <f>AG98*'01_Вводные'!$B$14</f>
        <v/>
      </c>
      <c r="AI99" s="190">
        <f>AH98*'01_Вводные'!$B$14</f>
        <v/>
      </c>
      <c r="AJ99" s="190">
        <f>AI98*'01_Вводные'!$B$14</f>
        <v/>
      </c>
      <c r="AK99" s="190">
        <f>AJ98*'01_Вводные'!$B$14</f>
        <v/>
      </c>
      <c r="AL99" s="190">
        <f>AK98*'01_Вводные'!$B$14</f>
        <v/>
      </c>
      <c r="AM99" s="190">
        <f>AL98*'01_Вводные'!$B$14</f>
        <v/>
      </c>
      <c r="AN99" s="190">
        <f>AM98*'01_Вводные'!$B$14</f>
        <v/>
      </c>
      <c r="AO99" s="190">
        <f>AN98*'01_Вводные'!$B$14</f>
        <v/>
      </c>
      <c r="AP99" s="190">
        <f>AO98*'01_Вводные'!$B$14</f>
        <v/>
      </c>
      <c r="AQ99" s="190">
        <f>AP98*'01_Вводные'!$B$14</f>
        <v/>
      </c>
      <c r="AR99" s="190">
        <f>AQ98*'01_Вводные'!$B$14</f>
        <v/>
      </c>
      <c r="AS99" s="190">
        <f>AR98*'01_Вводные'!$B$14</f>
        <v/>
      </c>
      <c r="AT99" s="190">
        <f>AS98*'01_Вводные'!$B$14</f>
        <v/>
      </c>
      <c r="AU99" s="190">
        <f>AT98*'01_Вводные'!$B$14</f>
        <v/>
      </c>
      <c r="AV99" s="190">
        <f>AU98*'01_Вводные'!$B$14</f>
        <v/>
      </c>
      <c r="AW99" s="190">
        <f>AV98*'01_Вводные'!$B$14</f>
        <v/>
      </c>
      <c r="AX99" s="190">
        <f>AW98*'01_Вводные'!$B$14</f>
        <v/>
      </c>
      <c r="AY99" s="190">
        <f>AX98*'01_Вводные'!$B$14</f>
        <v/>
      </c>
      <c r="AZ99" s="190">
        <f>AY98*'01_Вводные'!$B$14</f>
        <v/>
      </c>
      <c r="BA99" s="190">
        <f>AZ98*'01_Вводные'!$B$14</f>
        <v/>
      </c>
      <c r="BB99" s="190">
        <f>BA98*'01_Вводные'!$B$14</f>
        <v/>
      </c>
      <c r="BC99" s="190">
        <f>BB98*'01_Вводные'!$B$14</f>
        <v/>
      </c>
      <c r="BD99" s="190">
        <f>BC98*'01_Вводные'!$B$14</f>
        <v/>
      </c>
      <c r="BE99" s="190">
        <f>BD98*'01_Вводные'!$B$14</f>
        <v/>
      </c>
      <c r="BF99" s="190">
        <f>BE98*'01_Вводные'!$B$14</f>
        <v/>
      </c>
      <c r="BG99" s="190">
        <f>BF98*'01_Вводные'!$B$14</f>
        <v/>
      </c>
      <c r="BH99" s="190">
        <f>BG98*'01_Вводные'!$B$14</f>
        <v/>
      </c>
      <c r="BI99" s="190">
        <f>BH98*'01_Вводные'!$B$14</f>
        <v/>
      </c>
      <c r="BJ99" s="190">
        <f>BI98*'01_Вводные'!$B$14</f>
        <v/>
      </c>
      <c r="BK99" s="190">
        <f>BJ98*'01_Вводные'!$B$14</f>
        <v/>
      </c>
      <c r="BL99" s="190">
        <f>BK98*'01_Вводные'!$B$14</f>
        <v/>
      </c>
      <c r="BM99" s="190">
        <f>BL98*'01_Вводные'!$B$14</f>
        <v/>
      </c>
      <c r="BN99" s="190">
        <f>BM98*'01_Вводные'!$B$14</f>
        <v/>
      </c>
      <c r="BO99" s="190">
        <f>BN98*'01_Вводные'!$B$14</f>
        <v/>
      </c>
    </row>
    <row r="100" hidden="1" outlineLevel="1">
      <c r="A100" t="inlineStr">
        <is>
          <t>20 мес.</t>
        </is>
      </c>
      <c r="B100" s="189">
        <f>0</f>
        <v/>
      </c>
      <c r="C100" s="190">
        <f>B99*'01_Вводные'!$B$14</f>
        <v/>
      </c>
      <c r="D100" s="190">
        <f>C99*'01_Вводные'!$B$14</f>
        <v/>
      </c>
      <c r="E100" s="190">
        <f>D99*'01_Вводные'!$B$14</f>
        <v/>
      </c>
      <c r="F100" s="190">
        <f>E99*'01_Вводные'!$B$14</f>
        <v/>
      </c>
      <c r="G100" s="190">
        <f>F99*'01_Вводные'!$B$14</f>
        <v/>
      </c>
      <c r="H100" s="190">
        <f>G99*'01_Вводные'!$B$14</f>
        <v/>
      </c>
      <c r="I100" s="190">
        <f>H99*'01_Вводные'!$B$14</f>
        <v/>
      </c>
      <c r="J100" s="190">
        <f>I99*'01_Вводные'!$B$14</f>
        <v/>
      </c>
      <c r="K100" s="190">
        <f>J99*'01_Вводные'!$B$14</f>
        <v/>
      </c>
      <c r="L100" s="190">
        <f>K99*'01_Вводные'!$B$14</f>
        <v/>
      </c>
      <c r="M100" s="190">
        <f>L99*'01_Вводные'!$B$14</f>
        <v/>
      </c>
      <c r="N100" s="190">
        <f>M99*'01_Вводные'!$B$14</f>
        <v/>
      </c>
      <c r="O100" s="190">
        <f>N99*'01_Вводные'!$B$14</f>
        <v/>
      </c>
      <c r="P100" s="190">
        <f>O99*'01_Вводные'!$B$14</f>
        <v/>
      </c>
      <c r="Q100" s="190">
        <f>P99*'01_Вводные'!$B$14</f>
        <v/>
      </c>
      <c r="R100" s="190">
        <f>Q99*'01_Вводные'!$B$14</f>
        <v/>
      </c>
      <c r="S100" s="190">
        <f>R99*'01_Вводные'!$B$14</f>
        <v/>
      </c>
      <c r="T100" s="190">
        <f>S99*'01_Вводные'!$B$14</f>
        <v/>
      </c>
      <c r="U100" s="190">
        <f>T99*'01_Вводные'!$B$14</f>
        <v/>
      </c>
      <c r="V100" s="190">
        <f>U99*'01_Вводные'!$B$14</f>
        <v/>
      </c>
      <c r="W100" s="190">
        <f>V99*'01_Вводные'!$B$14</f>
        <v/>
      </c>
      <c r="X100" s="190">
        <f>W99*'01_Вводные'!$B$14</f>
        <v/>
      </c>
      <c r="Y100" s="190">
        <f>X99*'01_Вводные'!$B$14</f>
        <v/>
      </c>
      <c r="Z100" s="190">
        <f>Y99*'01_Вводные'!$B$14</f>
        <v/>
      </c>
      <c r="AA100" s="190">
        <f>Z99*'01_Вводные'!$B$14</f>
        <v/>
      </c>
      <c r="AB100" s="190">
        <f>AA99*'01_Вводные'!$B$14</f>
        <v/>
      </c>
      <c r="AC100" s="190">
        <f>AB99*'01_Вводные'!$B$14</f>
        <v/>
      </c>
      <c r="AD100" s="190">
        <f>AC99*'01_Вводные'!$B$14</f>
        <v/>
      </c>
      <c r="AE100" s="190">
        <f>AD99*'01_Вводные'!$B$14</f>
        <v/>
      </c>
      <c r="AF100" s="190">
        <f>AE99*'01_Вводные'!$B$14</f>
        <v/>
      </c>
      <c r="AG100" s="190">
        <f>AF99*'01_Вводные'!$B$14</f>
        <v/>
      </c>
      <c r="AH100" s="190">
        <f>AG99*'01_Вводные'!$B$14</f>
        <v/>
      </c>
      <c r="AI100" s="190">
        <f>AH99*'01_Вводные'!$B$14</f>
        <v/>
      </c>
      <c r="AJ100" s="190">
        <f>AI99*'01_Вводные'!$B$14</f>
        <v/>
      </c>
      <c r="AK100" s="190">
        <f>AJ99*'01_Вводные'!$B$14</f>
        <v/>
      </c>
      <c r="AL100" s="190">
        <f>AK99*'01_Вводные'!$B$14</f>
        <v/>
      </c>
      <c r="AM100" s="190">
        <f>AL99*'01_Вводные'!$B$14</f>
        <v/>
      </c>
      <c r="AN100" s="190">
        <f>AM99*'01_Вводные'!$B$14</f>
        <v/>
      </c>
      <c r="AO100" s="190">
        <f>AN99*'01_Вводные'!$B$14</f>
        <v/>
      </c>
      <c r="AP100" s="190">
        <f>AO99*'01_Вводные'!$B$14</f>
        <v/>
      </c>
      <c r="AQ100" s="190">
        <f>AP99*'01_Вводные'!$B$14</f>
        <v/>
      </c>
      <c r="AR100" s="190">
        <f>AQ99*'01_Вводные'!$B$14</f>
        <v/>
      </c>
      <c r="AS100" s="190">
        <f>AR99*'01_Вводные'!$B$14</f>
        <v/>
      </c>
      <c r="AT100" s="190">
        <f>AS99*'01_Вводные'!$B$14</f>
        <v/>
      </c>
      <c r="AU100" s="190">
        <f>AT99*'01_Вводные'!$B$14</f>
        <v/>
      </c>
      <c r="AV100" s="190">
        <f>AU99*'01_Вводные'!$B$14</f>
        <v/>
      </c>
      <c r="AW100" s="190">
        <f>AV99*'01_Вводные'!$B$14</f>
        <v/>
      </c>
      <c r="AX100" s="190">
        <f>AW99*'01_Вводные'!$B$14</f>
        <v/>
      </c>
      <c r="AY100" s="190">
        <f>AX99*'01_Вводные'!$B$14</f>
        <v/>
      </c>
      <c r="AZ100" s="190">
        <f>AY99*'01_Вводные'!$B$14</f>
        <v/>
      </c>
      <c r="BA100" s="190">
        <f>AZ99*'01_Вводные'!$B$14</f>
        <v/>
      </c>
      <c r="BB100" s="190">
        <f>BA99*'01_Вводные'!$B$14</f>
        <v/>
      </c>
      <c r="BC100" s="190">
        <f>BB99*'01_Вводные'!$B$14</f>
        <v/>
      </c>
      <c r="BD100" s="190">
        <f>BC99*'01_Вводные'!$B$14</f>
        <v/>
      </c>
      <c r="BE100" s="190">
        <f>BD99*'01_Вводные'!$B$14</f>
        <v/>
      </c>
      <c r="BF100" s="190">
        <f>BE99*'01_Вводные'!$B$14</f>
        <v/>
      </c>
      <c r="BG100" s="190">
        <f>BF99*'01_Вводные'!$B$14</f>
        <v/>
      </c>
      <c r="BH100" s="190">
        <f>BG99*'01_Вводные'!$B$14</f>
        <v/>
      </c>
      <c r="BI100" s="190">
        <f>BH99*'01_Вводные'!$B$14</f>
        <v/>
      </c>
      <c r="BJ100" s="190">
        <f>BI99*'01_Вводные'!$B$14</f>
        <v/>
      </c>
      <c r="BK100" s="190">
        <f>BJ99*'01_Вводные'!$B$14</f>
        <v/>
      </c>
      <c r="BL100" s="190">
        <f>BK99*'01_Вводные'!$B$14</f>
        <v/>
      </c>
      <c r="BM100" s="190">
        <f>BL99*'01_Вводные'!$B$14</f>
        <v/>
      </c>
      <c r="BN100" s="190">
        <f>BM99*'01_Вводные'!$B$14</f>
        <v/>
      </c>
      <c r="BO100" s="190">
        <f>BN99*'01_Вводные'!$B$14</f>
        <v/>
      </c>
    </row>
    <row r="101" hidden="1" outlineLevel="1">
      <c r="A101" t="inlineStr">
        <is>
          <t>21 мес.</t>
        </is>
      </c>
      <c r="B101" s="189">
        <f>0</f>
        <v/>
      </c>
      <c r="C101" s="190">
        <f>B100*'01_Вводные'!$B$14</f>
        <v/>
      </c>
      <c r="D101" s="190">
        <f>C100*'01_Вводные'!$B$14</f>
        <v/>
      </c>
      <c r="E101" s="190">
        <f>D100*'01_Вводные'!$B$14</f>
        <v/>
      </c>
      <c r="F101" s="190">
        <f>E100*'01_Вводные'!$B$14</f>
        <v/>
      </c>
      <c r="G101" s="190">
        <f>F100*'01_Вводные'!$B$14</f>
        <v/>
      </c>
      <c r="H101" s="190">
        <f>G100*'01_Вводные'!$B$14</f>
        <v/>
      </c>
      <c r="I101" s="190">
        <f>H100*'01_Вводные'!$B$14</f>
        <v/>
      </c>
      <c r="J101" s="190">
        <f>I100*'01_Вводные'!$B$14</f>
        <v/>
      </c>
      <c r="K101" s="190">
        <f>J100*'01_Вводные'!$B$14</f>
        <v/>
      </c>
      <c r="L101" s="190">
        <f>K100*'01_Вводные'!$B$14</f>
        <v/>
      </c>
      <c r="M101" s="190">
        <f>L100*'01_Вводные'!$B$14</f>
        <v/>
      </c>
      <c r="N101" s="190">
        <f>M100*'01_Вводные'!$B$14</f>
        <v/>
      </c>
      <c r="O101" s="190">
        <f>N100*'01_Вводные'!$B$14</f>
        <v/>
      </c>
      <c r="P101" s="190">
        <f>O100*'01_Вводные'!$B$14</f>
        <v/>
      </c>
      <c r="Q101" s="190">
        <f>P100*'01_Вводные'!$B$14</f>
        <v/>
      </c>
      <c r="R101" s="190">
        <f>Q100*'01_Вводные'!$B$14</f>
        <v/>
      </c>
      <c r="S101" s="190">
        <f>R100*'01_Вводные'!$B$14</f>
        <v/>
      </c>
      <c r="T101" s="190">
        <f>S100*'01_Вводные'!$B$14</f>
        <v/>
      </c>
      <c r="U101" s="190">
        <f>T100*'01_Вводные'!$B$14</f>
        <v/>
      </c>
      <c r="V101" s="190">
        <f>U100*'01_Вводные'!$B$14</f>
        <v/>
      </c>
      <c r="W101" s="190">
        <f>V100*'01_Вводные'!$B$14</f>
        <v/>
      </c>
      <c r="X101" s="190">
        <f>W100*'01_Вводные'!$B$14</f>
        <v/>
      </c>
      <c r="Y101" s="190">
        <f>X100*'01_Вводные'!$B$14</f>
        <v/>
      </c>
      <c r="Z101" s="190">
        <f>Y100*'01_Вводные'!$B$14</f>
        <v/>
      </c>
      <c r="AA101" s="190">
        <f>Z100*'01_Вводные'!$B$14</f>
        <v/>
      </c>
      <c r="AB101" s="190">
        <f>AA100*'01_Вводные'!$B$14</f>
        <v/>
      </c>
      <c r="AC101" s="190">
        <f>AB100*'01_Вводные'!$B$14</f>
        <v/>
      </c>
      <c r="AD101" s="190">
        <f>AC100*'01_Вводные'!$B$14</f>
        <v/>
      </c>
      <c r="AE101" s="190">
        <f>AD100*'01_Вводные'!$B$14</f>
        <v/>
      </c>
      <c r="AF101" s="190">
        <f>AE100*'01_Вводные'!$B$14</f>
        <v/>
      </c>
      <c r="AG101" s="190">
        <f>AF100*'01_Вводные'!$B$14</f>
        <v/>
      </c>
      <c r="AH101" s="190">
        <f>AG100*'01_Вводные'!$B$14</f>
        <v/>
      </c>
      <c r="AI101" s="190">
        <f>AH100*'01_Вводные'!$B$14</f>
        <v/>
      </c>
      <c r="AJ101" s="190">
        <f>AI100*'01_Вводные'!$B$14</f>
        <v/>
      </c>
      <c r="AK101" s="190">
        <f>AJ100*'01_Вводные'!$B$14</f>
        <v/>
      </c>
      <c r="AL101" s="190">
        <f>AK100*'01_Вводные'!$B$14</f>
        <v/>
      </c>
      <c r="AM101" s="190">
        <f>AL100*'01_Вводные'!$B$14</f>
        <v/>
      </c>
      <c r="AN101" s="190">
        <f>AM100*'01_Вводные'!$B$14</f>
        <v/>
      </c>
      <c r="AO101" s="190">
        <f>AN100*'01_Вводные'!$B$14</f>
        <v/>
      </c>
      <c r="AP101" s="190">
        <f>AO100*'01_Вводные'!$B$14</f>
        <v/>
      </c>
      <c r="AQ101" s="190">
        <f>AP100*'01_Вводные'!$B$14</f>
        <v/>
      </c>
      <c r="AR101" s="190">
        <f>AQ100*'01_Вводные'!$B$14</f>
        <v/>
      </c>
      <c r="AS101" s="190">
        <f>AR100*'01_Вводные'!$B$14</f>
        <v/>
      </c>
      <c r="AT101" s="190">
        <f>AS100*'01_Вводные'!$B$14</f>
        <v/>
      </c>
      <c r="AU101" s="190">
        <f>AT100*'01_Вводные'!$B$14</f>
        <v/>
      </c>
      <c r="AV101" s="190">
        <f>AU100*'01_Вводные'!$B$14</f>
        <v/>
      </c>
      <c r="AW101" s="190">
        <f>AV100*'01_Вводные'!$B$14</f>
        <v/>
      </c>
      <c r="AX101" s="190">
        <f>AW100*'01_Вводные'!$B$14</f>
        <v/>
      </c>
      <c r="AY101" s="190">
        <f>AX100*'01_Вводные'!$B$14</f>
        <v/>
      </c>
      <c r="AZ101" s="190">
        <f>AY100*'01_Вводные'!$B$14</f>
        <v/>
      </c>
      <c r="BA101" s="190">
        <f>AZ100*'01_Вводные'!$B$14</f>
        <v/>
      </c>
      <c r="BB101" s="190">
        <f>BA100*'01_Вводные'!$B$14</f>
        <v/>
      </c>
      <c r="BC101" s="190">
        <f>BB100*'01_Вводные'!$B$14</f>
        <v/>
      </c>
      <c r="BD101" s="190">
        <f>BC100*'01_Вводные'!$B$14</f>
        <v/>
      </c>
      <c r="BE101" s="190">
        <f>BD100*'01_Вводные'!$B$14</f>
        <v/>
      </c>
      <c r="BF101" s="190">
        <f>BE100*'01_Вводные'!$B$14</f>
        <v/>
      </c>
      <c r="BG101" s="190">
        <f>BF100*'01_Вводные'!$B$14</f>
        <v/>
      </c>
      <c r="BH101" s="190">
        <f>BG100*'01_Вводные'!$B$14</f>
        <v/>
      </c>
      <c r="BI101" s="190">
        <f>BH100*'01_Вводные'!$B$14</f>
        <v/>
      </c>
      <c r="BJ101" s="190">
        <f>BI100*'01_Вводные'!$B$14</f>
        <v/>
      </c>
      <c r="BK101" s="190">
        <f>BJ100*'01_Вводные'!$B$14</f>
        <v/>
      </c>
      <c r="BL101" s="190">
        <f>BK100*'01_Вводные'!$B$14</f>
        <v/>
      </c>
      <c r="BM101" s="190">
        <f>BL100*'01_Вводные'!$B$14</f>
        <v/>
      </c>
      <c r="BN101" s="190">
        <f>BM100*'01_Вводные'!$B$14</f>
        <v/>
      </c>
      <c r="BO101" s="190">
        <f>BN100*'01_Вводные'!$B$14</f>
        <v/>
      </c>
    </row>
    <row r="102" hidden="1" outlineLevel="1">
      <c r="A102" t="inlineStr">
        <is>
          <t>22 мес.</t>
        </is>
      </c>
      <c r="B102" s="189">
        <f>0</f>
        <v/>
      </c>
      <c r="C102" s="190">
        <f>B101*'01_Вводные'!$B$14</f>
        <v/>
      </c>
      <c r="D102" s="190">
        <f>C101*'01_Вводные'!$B$14</f>
        <v/>
      </c>
      <c r="E102" s="190">
        <f>D101*'01_Вводные'!$B$14</f>
        <v/>
      </c>
      <c r="F102" s="190">
        <f>E101*'01_Вводные'!$B$14</f>
        <v/>
      </c>
      <c r="G102" s="190">
        <f>F101*'01_Вводные'!$B$14</f>
        <v/>
      </c>
      <c r="H102" s="190">
        <f>G101*'01_Вводные'!$B$14</f>
        <v/>
      </c>
      <c r="I102" s="190">
        <f>H101*'01_Вводные'!$B$14</f>
        <v/>
      </c>
      <c r="J102" s="190">
        <f>I101*'01_Вводные'!$B$14</f>
        <v/>
      </c>
      <c r="K102" s="190">
        <f>J101*'01_Вводные'!$B$14</f>
        <v/>
      </c>
      <c r="L102" s="190">
        <f>K101*'01_Вводные'!$B$14</f>
        <v/>
      </c>
      <c r="M102" s="190">
        <f>L101*'01_Вводные'!$B$14</f>
        <v/>
      </c>
      <c r="N102" s="190">
        <f>M101*'01_Вводные'!$B$14</f>
        <v/>
      </c>
      <c r="O102" s="190">
        <f>N101*'01_Вводные'!$B$14</f>
        <v/>
      </c>
      <c r="P102" s="190">
        <f>O101*'01_Вводные'!$B$14</f>
        <v/>
      </c>
      <c r="Q102" s="190">
        <f>P101*'01_Вводные'!$B$14</f>
        <v/>
      </c>
      <c r="R102" s="190">
        <f>Q101*'01_Вводные'!$B$14</f>
        <v/>
      </c>
      <c r="S102" s="190">
        <f>R101*'01_Вводные'!$B$14</f>
        <v/>
      </c>
      <c r="T102" s="190">
        <f>S101*'01_Вводные'!$B$14</f>
        <v/>
      </c>
      <c r="U102" s="190">
        <f>T101*'01_Вводные'!$B$14</f>
        <v/>
      </c>
      <c r="V102" s="190">
        <f>U101*'01_Вводные'!$B$14</f>
        <v/>
      </c>
      <c r="W102" s="190">
        <f>V101*'01_Вводные'!$B$14</f>
        <v/>
      </c>
      <c r="X102" s="190">
        <f>W101*'01_Вводные'!$B$14</f>
        <v/>
      </c>
      <c r="Y102" s="190">
        <f>X101*'01_Вводные'!$B$14</f>
        <v/>
      </c>
      <c r="Z102" s="190">
        <f>Y101*'01_Вводные'!$B$14</f>
        <v/>
      </c>
      <c r="AA102" s="190">
        <f>Z101*'01_Вводные'!$B$14</f>
        <v/>
      </c>
      <c r="AB102" s="190">
        <f>AA101*'01_Вводные'!$B$14</f>
        <v/>
      </c>
      <c r="AC102" s="190">
        <f>AB101*'01_Вводные'!$B$14</f>
        <v/>
      </c>
      <c r="AD102" s="190">
        <f>AC101*'01_Вводные'!$B$14</f>
        <v/>
      </c>
      <c r="AE102" s="190">
        <f>AD101*'01_Вводные'!$B$14</f>
        <v/>
      </c>
      <c r="AF102" s="190">
        <f>AE101*'01_Вводные'!$B$14</f>
        <v/>
      </c>
      <c r="AG102" s="190">
        <f>AF101*'01_Вводные'!$B$14</f>
        <v/>
      </c>
      <c r="AH102" s="190">
        <f>AG101*'01_Вводные'!$B$14</f>
        <v/>
      </c>
      <c r="AI102" s="190">
        <f>AH101*'01_Вводные'!$B$14</f>
        <v/>
      </c>
      <c r="AJ102" s="190">
        <f>AI101*'01_Вводные'!$B$14</f>
        <v/>
      </c>
      <c r="AK102" s="190">
        <f>AJ101*'01_Вводные'!$B$14</f>
        <v/>
      </c>
      <c r="AL102" s="190">
        <f>AK101*'01_Вводные'!$B$14</f>
        <v/>
      </c>
      <c r="AM102" s="190">
        <f>AL101*'01_Вводные'!$B$14</f>
        <v/>
      </c>
      <c r="AN102" s="190">
        <f>AM101*'01_Вводные'!$B$14</f>
        <v/>
      </c>
      <c r="AO102" s="190">
        <f>AN101*'01_Вводные'!$B$14</f>
        <v/>
      </c>
      <c r="AP102" s="190">
        <f>AO101*'01_Вводные'!$B$14</f>
        <v/>
      </c>
      <c r="AQ102" s="190">
        <f>AP101*'01_Вводные'!$B$14</f>
        <v/>
      </c>
      <c r="AR102" s="190">
        <f>AQ101*'01_Вводные'!$B$14</f>
        <v/>
      </c>
      <c r="AS102" s="190">
        <f>AR101*'01_Вводные'!$B$14</f>
        <v/>
      </c>
      <c r="AT102" s="190">
        <f>AS101*'01_Вводные'!$B$14</f>
        <v/>
      </c>
      <c r="AU102" s="190">
        <f>AT101*'01_Вводные'!$B$14</f>
        <v/>
      </c>
      <c r="AV102" s="190">
        <f>AU101*'01_Вводные'!$B$14</f>
        <v/>
      </c>
      <c r="AW102" s="190">
        <f>AV101*'01_Вводные'!$B$14</f>
        <v/>
      </c>
      <c r="AX102" s="190">
        <f>AW101*'01_Вводные'!$B$14</f>
        <v/>
      </c>
      <c r="AY102" s="190">
        <f>AX101*'01_Вводные'!$B$14</f>
        <v/>
      </c>
      <c r="AZ102" s="190">
        <f>AY101*'01_Вводные'!$B$14</f>
        <v/>
      </c>
      <c r="BA102" s="190">
        <f>AZ101*'01_Вводные'!$B$14</f>
        <v/>
      </c>
      <c r="BB102" s="190">
        <f>BA101*'01_Вводные'!$B$14</f>
        <v/>
      </c>
      <c r="BC102" s="190">
        <f>BB101*'01_Вводные'!$B$14</f>
        <v/>
      </c>
      <c r="BD102" s="190">
        <f>BC101*'01_Вводные'!$B$14</f>
        <v/>
      </c>
      <c r="BE102" s="190">
        <f>BD101*'01_Вводные'!$B$14</f>
        <v/>
      </c>
      <c r="BF102" s="190">
        <f>BE101*'01_Вводные'!$B$14</f>
        <v/>
      </c>
      <c r="BG102" s="190">
        <f>BF101*'01_Вводные'!$B$14</f>
        <v/>
      </c>
      <c r="BH102" s="190">
        <f>BG101*'01_Вводные'!$B$14</f>
        <v/>
      </c>
      <c r="BI102" s="190">
        <f>BH101*'01_Вводные'!$B$14</f>
        <v/>
      </c>
      <c r="BJ102" s="190">
        <f>BI101*'01_Вводные'!$B$14</f>
        <v/>
      </c>
      <c r="BK102" s="190">
        <f>BJ101*'01_Вводные'!$B$14</f>
        <v/>
      </c>
      <c r="BL102" s="190">
        <f>BK101*'01_Вводные'!$B$14</f>
        <v/>
      </c>
      <c r="BM102" s="190">
        <f>BL101*'01_Вводные'!$B$14</f>
        <v/>
      </c>
      <c r="BN102" s="190">
        <f>BM101*'01_Вводные'!$B$14</f>
        <v/>
      </c>
      <c r="BO102" s="190">
        <f>BN101*'01_Вводные'!$B$14</f>
        <v/>
      </c>
    </row>
    <row r="103" hidden="1" outlineLevel="1">
      <c r="A103" t="inlineStr">
        <is>
          <t>23 мес.</t>
        </is>
      </c>
      <c r="B103" s="189">
        <f>0</f>
        <v/>
      </c>
      <c r="C103" s="190">
        <f>B102*'01_Вводные'!$B$14</f>
        <v/>
      </c>
      <c r="D103" s="190">
        <f>C102*'01_Вводные'!$B$14</f>
        <v/>
      </c>
      <c r="E103" s="190">
        <f>D102*'01_Вводные'!$B$14</f>
        <v/>
      </c>
      <c r="F103" s="190">
        <f>E102*'01_Вводные'!$B$14</f>
        <v/>
      </c>
      <c r="G103" s="190">
        <f>F102*'01_Вводные'!$B$14</f>
        <v/>
      </c>
      <c r="H103" s="190">
        <f>G102*'01_Вводные'!$B$14</f>
        <v/>
      </c>
      <c r="I103" s="190">
        <f>H102*'01_Вводные'!$B$14</f>
        <v/>
      </c>
      <c r="J103" s="190">
        <f>I102*'01_Вводные'!$B$14</f>
        <v/>
      </c>
      <c r="K103" s="190">
        <f>J102*'01_Вводные'!$B$14</f>
        <v/>
      </c>
      <c r="L103" s="190">
        <f>K102*'01_Вводные'!$B$14</f>
        <v/>
      </c>
      <c r="M103" s="190">
        <f>L102*'01_Вводные'!$B$14</f>
        <v/>
      </c>
      <c r="N103" s="190">
        <f>M102*'01_Вводные'!$B$14</f>
        <v/>
      </c>
      <c r="O103" s="190">
        <f>N102*'01_Вводные'!$B$14</f>
        <v/>
      </c>
      <c r="P103" s="190">
        <f>O102*'01_Вводные'!$B$14</f>
        <v/>
      </c>
      <c r="Q103" s="190">
        <f>P102*'01_Вводные'!$B$14</f>
        <v/>
      </c>
      <c r="R103" s="190">
        <f>Q102*'01_Вводные'!$B$14</f>
        <v/>
      </c>
      <c r="S103" s="190">
        <f>R102*'01_Вводные'!$B$14</f>
        <v/>
      </c>
      <c r="T103" s="190">
        <f>S102*'01_Вводные'!$B$14</f>
        <v/>
      </c>
      <c r="U103" s="190">
        <f>T102*'01_Вводные'!$B$14</f>
        <v/>
      </c>
      <c r="V103" s="190">
        <f>U102*'01_Вводные'!$B$14</f>
        <v/>
      </c>
      <c r="W103" s="190">
        <f>V102*'01_Вводные'!$B$14</f>
        <v/>
      </c>
      <c r="X103" s="190">
        <f>W102*'01_Вводные'!$B$14</f>
        <v/>
      </c>
      <c r="Y103" s="190">
        <f>X102*'01_Вводные'!$B$14</f>
        <v/>
      </c>
      <c r="Z103" s="190">
        <f>Y102*'01_Вводные'!$B$14</f>
        <v/>
      </c>
      <c r="AA103" s="190">
        <f>Z102*'01_Вводные'!$B$14</f>
        <v/>
      </c>
      <c r="AB103" s="190">
        <f>AA102*'01_Вводные'!$B$14</f>
        <v/>
      </c>
      <c r="AC103" s="190">
        <f>AB102*'01_Вводные'!$B$14</f>
        <v/>
      </c>
      <c r="AD103" s="190">
        <f>AC102*'01_Вводные'!$B$14</f>
        <v/>
      </c>
      <c r="AE103" s="190">
        <f>AD102*'01_Вводные'!$B$14</f>
        <v/>
      </c>
      <c r="AF103" s="190">
        <f>AE102*'01_Вводные'!$B$14</f>
        <v/>
      </c>
      <c r="AG103" s="190">
        <f>AF102*'01_Вводные'!$B$14</f>
        <v/>
      </c>
      <c r="AH103" s="190">
        <f>AG102*'01_Вводные'!$B$14</f>
        <v/>
      </c>
      <c r="AI103" s="190">
        <f>AH102*'01_Вводные'!$B$14</f>
        <v/>
      </c>
      <c r="AJ103" s="190">
        <f>AI102*'01_Вводные'!$B$14</f>
        <v/>
      </c>
      <c r="AK103" s="190">
        <f>AJ102*'01_Вводные'!$B$14</f>
        <v/>
      </c>
      <c r="AL103" s="190">
        <f>AK102*'01_Вводные'!$B$14</f>
        <v/>
      </c>
      <c r="AM103" s="190">
        <f>AL102*'01_Вводные'!$B$14</f>
        <v/>
      </c>
      <c r="AN103" s="190">
        <f>AM102*'01_Вводные'!$B$14</f>
        <v/>
      </c>
      <c r="AO103" s="190">
        <f>AN102*'01_Вводные'!$B$14</f>
        <v/>
      </c>
      <c r="AP103" s="190">
        <f>AO102*'01_Вводные'!$B$14</f>
        <v/>
      </c>
      <c r="AQ103" s="190">
        <f>AP102*'01_Вводные'!$B$14</f>
        <v/>
      </c>
      <c r="AR103" s="190">
        <f>AQ102*'01_Вводные'!$B$14</f>
        <v/>
      </c>
      <c r="AS103" s="190">
        <f>AR102*'01_Вводные'!$B$14</f>
        <v/>
      </c>
      <c r="AT103" s="190">
        <f>AS102*'01_Вводные'!$B$14</f>
        <v/>
      </c>
      <c r="AU103" s="190">
        <f>AT102*'01_Вводные'!$B$14</f>
        <v/>
      </c>
      <c r="AV103" s="190">
        <f>AU102*'01_Вводные'!$B$14</f>
        <v/>
      </c>
      <c r="AW103" s="190">
        <f>AV102*'01_Вводные'!$B$14</f>
        <v/>
      </c>
      <c r="AX103" s="190">
        <f>AW102*'01_Вводные'!$B$14</f>
        <v/>
      </c>
      <c r="AY103" s="190">
        <f>AX102*'01_Вводные'!$B$14</f>
        <v/>
      </c>
      <c r="AZ103" s="190">
        <f>AY102*'01_Вводные'!$B$14</f>
        <v/>
      </c>
      <c r="BA103" s="190">
        <f>AZ102*'01_Вводные'!$B$14</f>
        <v/>
      </c>
      <c r="BB103" s="190">
        <f>BA102*'01_Вводные'!$B$14</f>
        <v/>
      </c>
      <c r="BC103" s="190">
        <f>BB102*'01_Вводные'!$B$14</f>
        <v/>
      </c>
      <c r="BD103" s="190">
        <f>BC102*'01_Вводные'!$B$14</f>
        <v/>
      </c>
      <c r="BE103" s="190">
        <f>BD102*'01_Вводные'!$B$14</f>
        <v/>
      </c>
      <c r="BF103" s="190">
        <f>BE102*'01_Вводные'!$B$14</f>
        <v/>
      </c>
      <c r="BG103" s="190">
        <f>BF102*'01_Вводные'!$B$14</f>
        <v/>
      </c>
      <c r="BH103" s="190">
        <f>BG102*'01_Вводные'!$B$14</f>
        <v/>
      </c>
      <c r="BI103" s="190">
        <f>BH102*'01_Вводные'!$B$14</f>
        <v/>
      </c>
      <c r="BJ103" s="190">
        <f>BI102*'01_Вводные'!$B$14</f>
        <v/>
      </c>
      <c r="BK103" s="190">
        <f>BJ102*'01_Вводные'!$B$14</f>
        <v/>
      </c>
      <c r="BL103" s="190">
        <f>BK102*'01_Вводные'!$B$14</f>
        <v/>
      </c>
      <c r="BM103" s="190">
        <f>BL102*'01_Вводные'!$B$14</f>
        <v/>
      </c>
      <c r="BN103" s="190">
        <f>BM102*'01_Вводные'!$B$14</f>
        <v/>
      </c>
      <c r="BO103" s="190">
        <f>BN102*'01_Вводные'!$B$14</f>
        <v/>
      </c>
    </row>
    <row r="104" hidden="1" outlineLevel="1">
      <c r="A104" t="inlineStr">
        <is>
          <t>24 мес.</t>
        </is>
      </c>
      <c r="B104" s="189">
        <f>0</f>
        <v/>
      </c>
      <c r="C104" s="190">
        <f>B103*'01_Вводные'!$B$14</f>
        <v/>
      </c>
      <c r="D104" s="190">
        <f>C103*'01_Вводные'!$B$14</f>
        <v/>
      </c>
      <c r="E104" s="190">
        <f>D103*'01_Вводные'!$B$14</f>
        <v/>
      </c>
      <c r="F104" s="190">
        <f>E103*'01_Вводные'!$B$14</f>
        <v/>
      </c>
      <c r="G104" s="190">
        <f>F103*'01_Вводные'!$B$14</f>
        <v/>
      </c>
      <c r="H104" s="190">
        <f>G103*'01_Вводные'!$B$14</f>
        <v/>
      </c>
      <c r="I104" s="190">
        <f>H103*'01_Вводные'!$B$14</f>
        <v/>
      </c>
      <c r="J104" s="190">
        <f>I103*'01_Вводные'!$B$14</f>
        <v/>
      </c>
      <c r="K104" s="190">
        <f>J103*'01_Вводные'!$B$14</f>
        <v/>
      </c>
      <c r="L104" s="190">
        <f>K103*'01_Вводные'!$B$14</f>
        <v/>
      </c>
      <c r="M104" s="190">
        <f>L103*'01_Вводные'!$B$14</f>
        <v/>
      </c>
      <c r="N104" s="190">
        <f>M103*'01_Вводные'!$B$14</f>
        <v/>
      </c>
      <c r="O104" s="190">
        <f>N103*'01_Вводные'!$B$14</f>
        <v/>
      </c>
      <c r="P104" s="190">
        <f>O103*'01_Вводные'!$B$14</f>
        <v/>
      </c>
      <c r="Q104" s="190">
        <f>P103*'01_Вводные'!$B$14</f>
        <v/>
      </c>
      <c r="R104" s="190">
        <f>Q103*'01_Вводные'!$B$14</f>
        <v/>
      </c>
      <c r="S104" s="190">
        <f>R103*'01_Вводные'!$B$14</f>
        <v/>
      </c>
      <c r="T104" s="190">
        <f>S103*'01_Вводные'!$B$14</f>
        <v/>
      </c>
      <c r="U104" s="190">
        <f>T103*'01_Вводные'!$B$14</f>
        <v/>
      </c>
      <c r="V104" s="190">
        <f>U103*'01_Вводные'!$B$14</f>
        <v/>
      </c>
      <c r="W104" s="190">
        <f>V103*'01_Вводные'!$B$14</f>
        <v/>
      </c>
      <c r="X104" s="190">
        <f>W103*'01_Вводные'!$B$14</f>
        <v/>
      </c>
      <c r="Y104" s="190">
        <f>X103*'01_Вводные'!$B$14</f>
        <v/>
      </c>
      <c r="Z104" s="190">
        <f>Y103*'01_Вводные'!$B$14</f>
        <v/>
      </c>
      <c r="AA104" s="190">
        <f>Z103*'01_Вводные'!$B$14</f>
        <v/>
      </c>
      <c r="AB104" s="190">
        <f>AA103*'01_Вводные'!$B$14</f>
        <v/>
      </c>
      <c r="AC104" s="190">
        <f>AB103*'01_Вводные'!$B$14</f>
        <v/>
      </c>
      <c r="AD104" s="190">
        <f>AC103*'01_Вводные'!$B$14</f>
        <v/>
      </c>
      <c r="AE104" s="190">
        <f>AD103*'01_Вводные'!$B$14</f>
        <v/>
      </c>
      <c r="AF104" s="190">
        <f>AE103*'01_Вводные'!$B$14</f>
        <v/>
      </c>
      <c r="AG104" s="190">
        <f>AF103*'01_Вводные'!$B$14</f>
        <v/>
      </c>
      <c r="AH104" s="190">
        <f>AG103*'01_Вводные'!$B$14</f>
        <v/>
      </c>
      <c r="AI104" s="190">
        <f>AH103*'01_Вводные'!$B$14</f>
        <v/>
      </c>
      <c r="AJ104" s="190">
        <f>AI103*'01_Вводные'!$B$14</f>
        <v/>
      </c>
      <c r="AK104" s="190">
        <f>AJ103*'01_Вводные'!$B$14</f>
        <v/>
      </c>
      <c r="AL104" s="190">
        <f>AK103*'01_Вводные'!$B$14</f>
        <v/>
      </c>
      <c r="AM104" s="190">
        <f>AL103*'01_Вводные'!$B$14</f>
        <v/>
      </c>
      <c r="AN104" s="190">
        <f>AM103*'01_Вводные'!$B$14</f>
        <v/>
      </c>
      <c r="AO104" s="190">
        <f>AN103*'01_Вводные'!$B$14</f>
        <v/>
      </c>
      <c r="AP104" s="190">
        <f>AO103*'01_Вводные'!$B$14</f>
        <v/>
      </c>
      <c r="AQ104" s="190">
        <f>AP103*'01_Вводные'!$B$14</f>
        <v/>
      </c>
      <c r="AR104" s="190">
        <f>AQ103*'01_Вводные'!$B$14</f>
        <v/>
      </c>
      <c r="AS104" s="190">
        <f>AR103*'01_Вводные'!$B$14</f>
        <v/>
      </c>
      <c r="AT104" s="190">
        <f>AS103*'01_Вводные'!$B$14</f>
        <v/>
      </c>
      <c r="AU104" s="190">
        <f>AT103*'01_Вводные'!$B$14</f>
        <v/>
      </c>
      <c r="AV104" s="190">
        <f>AU103*'01_Вводные'!$B$14</f>
        <v/>
      </c>
      <c r="AW104" s="190">
        <f>AV103*'01_Вводные'!$B$14</f>
        <v/>
      </c>
      <c r="AX104" s="190">
        <f>AW103*'01_Вводные'!$B$14</f>
        <v/>
      </c>
      <c r="AY104" s="190">
        <f>AX103*'01_Вводные'!$B$14</f>
        <v/>
      </c>
      <c r="AZ104" s="190">
        <f>AY103*'01_Вводные'!$B$14</f>
        <v/>
      </c>
      <c r="BA104" s="190">
        <f>AZ103*'01_Вводные'!$B$14</f>
        <v/>
      </c>
      <c r="BB104" s="190">
        <f>BA103*'01_Вводные'!$B$14</f>
        <v/>
      </c>
      <c r="BC104" s="190">
        <f>BB103*'01_Вводные'!$B$14</f>
        <v/>
      </c>
      <c r="BD104" s="190">
        <f>BC103*'01_Вводные'!$B$14</f>
        <v/>
      </c>
      <c r="BE104" s="190">
        <f>BD103*'01_Вводные'!$B$14</f>
        <v/>
      </c>
      <c r="BF104" s="190">
        <f>BE103*'01_Вводные'!$B$14</f>
        <v/>
      </c>
      <c r="BG104" s="190">
        <f>BF103*'01_Вводные'!$B$14</f>
        <v/>
      </c>
      <c r="BH104" s="190">
        <f>BG103*'01_Вводные'!$B$14</f>
        <v/>
      </c>
      <c r="BI104" s="190">
        <f>BH103*'01_Вводные'!$B$14</f>
        <v/>
      </c>
      <c r="BJ104" s="190">
        <f>BI103*'01_Вводные'!$B$14</f>
        <v/>
      </c>
      <c r="BK104" s="190">
        <f>BJ103*'01_Вводные'!$B$14</f>
        <v/>
      </c>
      <c r="BL104" s="190">
        <f>BK103*'01_Вводные'!$B$14</f>
        <v/>
      </c>
      <c r="BM104" s="190">
        <f>BL103*'01_Вводные'!$B$14</f>
        <v/>
      </c>
      <c r="BN104" s="190">
        <f>BM103*'01_Вводные'!$B$14</f>
        <v/>
      </c>
      <c r="BO104" s="190">
        <f>BN103*'01_Вводные'!$B$14</f>
        <v/>
      </c>
    </row>
    <row r="105" hidden="1" outlineLevel="1">
      <c r="A105" t="inlineStr">
        <is>
          <t>25+ мес.</t>
        </is>
      </c>
      <c r="B105" s="189">
        <f>0</f>
        <v/>
      </c>
      <c r="C105" s="190">
        <f>SUM(B104:B105)*'01_Вводные'!$B$14</f>
        <v/>
      </c>
      <c r="D105" s="190">
        <f>SUM(C104:C105)*'01_Вводные'!$B$14</f>
        <v/>
      </c>
      <c r="E105" s="190">
        <f>SUM(D104:D105)*'01_Вводные'!$B$14</f>
        <v/>
      </c>
      <c r="F105" s="190">
        <f>SUM(E104:E105)*'01_Вводные'!$B$14</f>
        <v/>
      </c>
      <c r="G105" s="190">
        <f>SUM(F104:F105)*'01_Вводные'!$B$14</f>
        <v/>
      </c>
      <c r="H105" s="190">
        <f>SUM(G104:G105)*'01_Вводные'!$B$14</f>
        <v/>
      </c>
      <c r="I105" s="190">
        <f>SUM(H104:H105)*'01_Вводные'!$B$14</f>
        <v/>
      </c>
      <c r="J105" s="190">
        <f>SUM(I104:I105)*'01_Вводные'!$B$14</f>
        <v/>
      </c>
      <c r="K105" s="190">
        <f>SUM(J104:J105)*'01_Вводные'!$B$14</f>
        <v/>
      </c>
      <c r="L105" s="190">
        <f>SUM(K104:K105)*'01_Вводные'!$B$14</f>
        <v/>
      </c>
      <c r="M105" s="190">
        <f>SUM(L104:L105)*'01_Вводные'!$B$14</f>
        <v/>
      </c>
      <c r="N105" s="190">
        <f>SUM(M104:M105)*'01_Вводные'!$B$14</f>
        <v/>
      </c>
      <c r="O105" s="190">
        <f>SUM(N104:N105)*'01_Вводные'!$B$14</f>
        <v/>
      </c>
      <c r="P105" s="190">
        <f>SUM(O104:O105)*'01_Вводные'!$B$14</f>
        <v/>
      </c>
      <c r="Q105" s="190">
        <f>SUM(P104:P105)*'01_Вводные'!$B$14</f>
        <v/>
      </c>
      <c r="R105" s="190">
        <f>SUM(Q104:Q105)*'01_Вводные'!$B$14</f>
        <v/>
      </c>
      <c r="S105" s="190">
        <f>SUM(R104:R105)*'01_Вводные'!$B$14</f>
        <v/>
      </c>
      <c r="T105" s="190">
        <f>SUM(S104:S105)*'01_Вводные'!$B$14</f>
        <v/>
      </c>
      <c r="U105" s="190">
        <f>SUM(T104:T105)*'01_Вводные'!$B$14</f>
        <v/>
      </c>
      <c r="V105" s="190">
        <f>SUM(U104:U105)*'01_Вводные'!$B$14</f>
        <v/>
      </c>
      <c r="W105" s="190">
        <f>SUM(V104:V105)*'01_Вводные'!$B$14</f>
        <v/>
      </c>
      <c r="X105" s="190">
        <f>SUM(W104:W105)*'01_Вводные'!$B$14</f>
        <v/>
      </c>
      <c r="Y105" s="190">
        <f>SUM(X104:X105)*'01_Вводные'!$B$14</f>
        <v/>
      </c>
      <c r="Z105" s="190">
        <f>SUM(Y104:Y105)*'01_Вводные'!$B$14</f>
        <v/>
      </c>
      <c r="AA105" s="190">
        <f>SUM(Z104:Z105)*'01_Вводные'!$B$14</f>
        <v/>
      </c>
      <c r="AB105" s="190">
        <f>SUM(AA104:AA105)*'01_Вводные'!$B$14</f>
        <v/>
      </c>
      <c r="AC105" s="190">
        <f>SUM(AB104:AB105)*'01_Вводные'!$B$14</f>
        <v/>
      </c>
      <c r="AD105" s="190">
        <f>SUM(AC104:AC105)*'01_Вводные'!$B$14</f>
        <v/>
      </c>
      <c r="AE105" s="190">
        <f>SUM(AD104:AD105)*'01_Вводные'!$B$14</f>
        <v/>
      </c>
      <c r="AF105" s="190">
        <f>SUM(AE104:AE105)*'01_Вводные'!$B$14</f>
        <v/>
      </c>
      <c r="AG105" s="190">
        <f>SUM(AF104:AF105)*'01_Вводные'!$B$14</f>
        <v/>
      </c>
      <c r="AH105" s="190">
        <f>SUM(AG104:AG105)*'01_Вводные'!$B$14</f>
        <v/>
      </c>
      <c r="AI105" s="190">
        <f>SUM(AH104:AH105)*'01_Вводные'!$B$14</f>
        <v/>
      </c>
      <c r="AJ105" s="190">
        <f>SUM(AI104:AI105)*'01_Вводные'!$B$14</f>
        <v/>
      </c>
      <c r="AK105" s="190">
        <f>SUM(AJ104:AJ105)*'01_Вводные'!$B$14</f>
        <v/>
      </c>
      <c r="AL105" s="190">
        <f>SUM(AK104:AK105)*'01_Вводные'!$B$14</f>
        <v/>
      </c>
      <c r="AM105" s="190">
        <f>SUM(AL104:AL105)*'01_Вводные'!$B$14</f>
        <v/>
      </c>
      <c r="AN105" s="190">
        <f>SUM(AM104:AM105)*'01_Вводные'!$B$14</f>
        <v/>
      </c>
      <c r="AO105" s="190">
        <f>SUM(AN104:AN105)*'01_Вводные'!$B$14</f>
        <v/>
      </c>
      <c r="AP105" s="190">
        <f>SUM(AO104:AO105)*'01_Вводные'!$B$14</f>
        <v/>
      </c>
      <c r="AQ105" s="190">
        <f>SUM(AP104:AP105)*'01_Вводные'!$B$14</f>
        <v/>
      </c>
      <c r="AR105" s="190">
        <f>SUM(AQ104:AQ105)*'01_Вводные'!$B$14</f>
        <v/>
      </c>
      <c r="AS105" s="190">
        <f>SUM(AR104:AR105)*'01_Вводные'!$B$14</f>
        <v/>
      </c>
      <c r="AT105" s="190">
        <f>SUM(AS104:AS105)*'01_Вводные'!$B$14</f>
        <v/>
      </c>
      <c r="AU105" s="190">
        <f>SUM(AT104:AT105)*'01_Вводные'!$B$14</f>
        <v/>
      </c>
      <c r="AV105" s="190">
        <f>SUM(AU104:AU105)*'01_Вводные'!$B$14</f>
        <v/>
      </c>
      <c r="AW105" s="190">
        <f>SUM(AV104:AV105)*'01_Вводные'!$B$14</f>
        <v/>
      </c>
      <c r="AX105" s="190">
        <f>SUM(AW104:AW105)*'01_Вводные'!$B$14</f>
        <v/>
      </c>
      <c r="AY105" s="190">
        <f>SUM(AX104:AX105)*'01_Вводные'!$B$14</f>
        <v/>
      </c>
      <c r="AZ105" s="190">
        <f>SUM(AY104:AY105)*'01_Вводные'!$B$14</f>
        <v/>
      </c>
      <c r="BA105" s="190">
        <f>SUM(AZ104:AZ105)*'01_Вводные'!$B$14</f>
        <v/>
      </c>
      <c r="BB105" s="190">
        <f>SUM(BA104:BA105)*'01_Вводные'!$B$14</f>
        <v/>
      </c>
      <c r="BC105" s="190">
        <f>SUM(BB104:BB105)*'01_Вводные'!$B$14</f>
        <v/>
      </c>
      <c r="BD105" s="190">
        <f>SUM(BC104:BC105)*'01_Вводные'!$B$14</f>
        <v/>
      </c>
      <c r="BE105" s="190">
        <f>SUM(BD104:BD105)*'01_Вводные'!$B$14</f>
        <v/>
      </c>
      <c r="BF105" s="190">
        <f>SUM(BE104:BE105)*'01_Вводные'!$B$14</f>
        <v/>
      </c>
      <c r="BG105" s="190">
        <f>SUM(BF104:BF105)*'01_Вводные'!$B$14</f>
        <v/>
      </c>
      <c r="BH105" s="190">
        <f>SUM(BG104:BG105)*'01_Вводные'!$B$14</f>
        <v/>
      </c>
      <c r="BI105" s="190">
        <f>SUM(BH104:BH105)*'01_Вводные'!$B$14</f>
        <v/>
      </c>
      <c r="BJ105" s="190">
        <f>SUM(BI104:BI105)*'01_Вводные'!$B$14</f>
        <v/>
      </c>
      <c r="BK105" s="190">
        <f>SUM(BJ104:BJ105)*'01_Вводные'!$B$14</f>
        <v/>
      </c>
      <c r="BL105" s="190">
        <f>SUM(BK104:BK105)*'01_Вводные'!$B$14</f>
        <v/>
      </c>
      <c r="BM105" s="190">
        <f>SUM(BL104:BL105)*'01_Вводные'!$B$14</f>
        <v/>
      </c>
      <c r="BN105" s="190">
        <f>SUM(BM104:BM105)*'01_Вводные'!$B$14</f>
        <v/>
      </c>
      <c r="BO105" s="190">
        <f>SUM(BN104:BN105)*'01_Вводные'!$B$14</f>
        <v/>
      </c>
    </row>
    <row r="106" hidden="1" outlineLevel="1">
      <c r="B106" s="96" t="n"/>
      <c r="C106" s="96" t="n"/>
      <c r="D106" s="96" t="n"/>
      <c r="E106" s="96" t="n"/>
      <c r="F106" s="96" t="n"/>
      <c r="G106" s="96" t="n"/>
      <c r="H106" s="96" t="n"/>
      <c r="I106" s="96" t="n"/>
      <c r="J106" s="96" t="n"/>
      <c r="K106" s="96" t="n"/>
      <c r="L106" s="96" t="n"/>
      <c r="M106" s="96" t="n"/>
      <c r="N106" s="96" t="n"/>
      <c r="O106" s="96" t="n"/>
      <c r="P106" s="96" t="n"/>
      <c r="Q106" s="96" t="n"/>
      <c r="R106" s="96" t="n"/>
      <c r="S106" s="96" t="n"/>
      <c r="T106" s="96" t="n"/>
      <c r="U106" s="96" t="n"/>
      <c r="V106" s="96" t="n"/>
      <c r="W106" s="96" t="n"/>
      <c r="X106" s="96" t="n"/>
      <c r="Y106" s="96" t="n"/>
      <c r="Z106" s="96" t="n"/>
      <c r="AA106" s="96" t="n"/>
      <c r="AB106" s="96" t="n"/>
      <c r="AC106" s="96" t="n"/>
      <c r="AD106" s="96" t="n"/>
      <c r="AE106" s="96" t="n"/>
      <c r="AF106" s="96" t="n"/>
      <c r="AG106" s="96" t="n"/>
      <c r="AH106" s="96" t="n"/>
      <c r="AI106" s="96" t="n"/>
      <c r="AJ106" s="96" t="n"/>
      <c r="AK106" s="96" t="n"/>
      <c r="AL106" s="96" t="n"/>
      <c r="AM106" s="96" t="n"/>
      <c r="AN106" s="96" t="n"/>
      <c r="AO106" s="96" t="n"/>
      <c r="AP106" s="96" t="n"/>
      <c r="AQ106" s="96" t="n"/>
      <c r="AR106" s="96" t="n"/>
      <c r="AS106" s="96" t="n"/>
      <c r="AT106" s="96" t="n"/>
      <c r="AU106" s="96" t="n"/>
      <c r="AV106" s="96" t="n"/>
      <c r="AW106" s="96" t="n"/>
      <c r="AX106" s="96" t="n"/>
      <c r="AY106" s="96" t="n"/>
      <c r="AZ106" s="96" t="n"/>
      <c r="BA106" s="96" t="n"/>
      <c r="BB106" s="96" t="n"/>
      <c r="BC106" s="96" t="n"/>
      <c r="BD106" s="96" t="n"/>
      <c r="BE106" s="96" t="n"/>
      <c r="BF106" s="96" t="n"/>
      <c r="BG106" s="96" t="n"/>
      <c r="BH106" s="96" t="n"/>
      <c r="BI106" s="96" t="n"/>
      <c r="BJ106" s="96" t="n"/>
      <c r="BK106" s="96" t="n"/>
      <c r="BL106" s="96" t="n"/>
      <c r="BM106" s="96" t="n"/>
      <c r="BN106" s="96" t="n"/>
      <c r="BO106" s="96" t="n"/>
    </row>
    <row r="107" hidden="1" outlineLevel="1">
      <c r="B107" s="96" t="n"/>
      <c r="C107" s="96" t="n"/>
      <c r="D107" s="96" t="n"/>
      <c r="E107" s="96" t="n"/>
      <c r="F107" s="96" t="n"/>
      <c r="G107" s="96" t="n"/>
      <c r="H107" s="96" t="n"/>
      <c r="I107" s="96" t="n"/>
      <c r="J107" s="96" t="n"/>
      <c r="K107" s="96" t="n"/>
      <c r="L107" s="96" t="n"/>
      <c r="M107" s="96" t="n"/>
      <c r="N107" s="96" t="n"/>
      <c r="O107" s="96" t="n"/>
      <c r="P107" s="96" t="n"/>
      <c r="Q107" s="96" t="n"/>
      <c r="R107" s="96" t="n"/>
      <c r="S107" s="96" t="n"/>
      <c r="T107" s="96" t="n"/>
      <c r="U107" s="96" t="n"/>
      <c r="V107" s="96" t="n"/>
      <c r="W107" s="96" t="n"/>
      <c r="X107" s="96" t="n"/>
      <c r="Y107" s="96" t="n"/>
      <c r="Z107" s="96" t="n"/>
      <c r="AA107" s="96" t="n"/>
      <c r="AB107" s="96" t="n"/>
      <c r="AC107" s="96" t="n"/>
      <c r="AD107" s="96" t="n"/>
      <c r="AE107" s="96" t="n"/>
      <c r="AF107" s="96" t="n"/>
      <c r="AG107" s="96" t="n"/>
      <c r="AH107" s="96" t="n"/>
      <c r="AI107" s="96" t="n"/>
      <c r="AJ107" s="96" t="n"/>
      <c r="AK107" s="96" t="n"/>
      <c r="AL107" s="96" t="n"/>
      <c r="AM107" s="96" t="n"/>
      <c r="AN107" s="96" t="n"/>
      <c r="AO107" s="96" t="n"/>
      <c r="AP107" s="96" t="n"/>
      <c r="AQ107" s="96" t="n"/>
      <c r="AR107" s="96" t="n"/>
      <c r="AS107" s="96" t="n"/>
      <c r="AT107" s="96" t="n"/>
      <c r="AU107" s="96" t="n"/>
      <c r="AV107" s="96" t="n"/>
      <c r="AW107" s="96" t="n"/>
      <c r="AX107" s="96" t="n"/>
      <c r="AY107" s="96" t="n"/>
      <c r="AZ107" s="96" t="n"/>
      <c r="BA107" s="96" t="n"/>
      <c r="BB107" s="96" t="n"/>
      <c r="BC107" s="96" t="n"/>
      <c r="BD107" s="96" t="n"/>
      <c r="BE107" s="96" t="n"/>
      <c r="BF107" s="96" t="n"/>
      <c r="BG107" s="96" t="n"/>
      <c r="BH107" s="96" t="n"/>
      <c r="BI107" s="96" t="n"/>
      <c r="BJ107" s="96" t="n"/>
      <c r="BK107" s="96" t="n"/>
      <c r="BL107" s="96" t="n"/>
      <c r="BM107" s="96" t="n"/>
      <c r="BN107" s="96" t="n"/>
      <c r="BO107" s="96" t="n"/>
    </row>
    <row r="108" hidden="1" outlineLevel="1" ht="28" customHeight="1">
      <c r="A108" s="181" t="inlineStr">
        <is>
          <t>Роялти: старая ставка, по возрасту</t>
        </is>
      </c>
      <c r="I108" s="96" t="n"/>
      <c r="J108" s="96" t="n"/>
      <c r="K108" s="96" t="n"/>
      <c r="L108" s="96" t="n"/>
      <c r="M108" s="96" t="n"/>
      <c r="N108" s="96" t="n"/>
      <c r="O108" s="96" t="n"/>
      <c r="P108" s="96" t="n"/>
      <c r="Q108" s="96" t="n"/>
      <c r="R108" s="96" t="n"/>
      <c r="S108" s="96" t="n"/>
      <c r="T108" s="96" t="n"/>
      <c r="U108" s="96" t="n"/>
      <c r="V108" s="96" t="n"/>
      <c r="W108" s="96" t="n"/>
      <c r="X108" s="96" t="n"/>
      <c r="Y108" s="96" t="n"/>
      <c r="Z108" s="96" t="n"/>
      <c r="AA108" s="96" t="n"/>
      <c r="AB108" s="96" t="n"/>
      <c r="AC108" s="96" t="n"/>
      <c r="AD108" s="96" t="n"/>
      <c r="AE108" s="96" t="n"/>
      <c r="AF108" s="96" t="n"/>
      <c r="AG108" s="96" t="n"/>
      <c r="AH108" s="96" t="n"/>
      <c r="AI108" s="96" t="n"/>
      <c r="AJ108" s="96" t="n"/>
      <c r="AK108" s="96" t="n"/>
      <c r="AL108" s="96" t="n"/>
      <c r="AM108" s="96" t="n"/>
      <c r="AN108" s="96" t="n"/>
      <c r="AO108" s="96" t="n"/>
      <c r="AP108" s="96" t="n"/>
      <c r="AQ108" s="96" t="n"/>
      <c r="AR108" s="96" t="n"/>
      <c r="AS108" s="96" t="n"/>
      <c r="AT108" s="96" t="n"/>
      <c r="AU108" s="96" t="n"/>
      <c r="AV108" s="96" t="n"/>
      <c r="AW108" s="96" t="n"/>
      <c r="AX108" s="96" t="n"/>
      <c r="AY108" s="96" t="n"/>
      <c r="AZ108" s="96" t="n"/>
      <c r="BA108" s="96" t="n"/>
      <c r="BB108" s="96" t="n"/>
      <c r="BC108" s="96" t="n"/>
      <c r="BD108" s="96" t="n"/>
      <c r="BE108" s="96" t="n"/>
      <c r="BF108" s="96" t="n"/>
      <c r="BG108" s="96" t="n"/>
      <c r="BH108" s="96" t="n"/>
      <c r="BI108" s="96" t="n"/>
      <c r="BJ108" s="96" t="n"/>
      <c r="BK108" s="96" t="n"/>
      <c r="BL108" s="96" t="n"/>
      <c r="BM108" s="96" t="n"/>
      <c r="BN108" s="96" t="n"/>
      <c r="BO108" s="96" t="n"/>
    </row>
    <row r="109" hidden="1" outlineLevel="1">
      <c r="A109" t="inlineStr">
        <is>
          <t>1 мес.</t>
        </is>
      </c>
      <c r="B109" s="190">
        <f>IF(OR(B81=0,1&lt;='01_Вводные'!$B$297),0,B81*IF('01_Вводные'!$B$239="Да",MeanMinAge01+B204*SUMIF(ThresholdAge01,"&lt;"&amp;B204,WeightedRevAge01)-SUMIF(ThresholdAge01,"&lt;"&amp;B204,WeightedMinAge01),MAX(CapacityAge01*'01_Вводные'!$B$218*B204,MeanMinAge01)))</f>
        <v/>
      </c>
      <c r="C109" s="190">
        <f>IF(OR(C81=0,1&lt;='01_Вводные'!$B$297),0,C81*IF('01_Вводные'!$B$239="Да",MeanMinAge01+C204*SUMIF(ThresholdAge01,"&lt;"&amp;C204,WeightedRevAge01)-SUMIF(ThresholdAge01,"&lt;"&amp;C204,WeightedMinAge01),MAX(CapacityAge01*'01_Вводные'!$B$218*C204,MeanMinAge01)))</f>
        <v/>
      </c>
      <c r="D109" s="190">
        <f>IF(OR(D81=0,1&lt;='01_Вводные'!$B$297),0,D81*IF('01_Вводные'!$B$239="Да",MeanMinAge01+D204*SUMIF(ThresholdAge01,"&lt;"&amp;D204,WeightedRevAge01)-SUMIF(ThresholdAge01,"&lt;"&amp;D204,WeightedMinAge01),MAX(CapacityAge01*'01_Вводные'!$B$218*D204,MeanMinAge01)))</f>
        <v/>
      </c>
      <c r="E109" s="190">
        <f>IF(OR(E81=0,1&lt;='01_Вводные'!$B$297),0,E81*IF('01_Вводные'!$B$239="Да",MeanMinAge01+E204*SUMIF(ThresholdAge01,"&lt;"&amp;E204,WeightedRevAge01)-SUMIF(ThresholdAge01,"&lt;"&amp;E204,WeightedMinAge01),MAX(CapacityAge01*'01_Вводные'!$B$218*E204,MeanMinAge01)))</f>
        <v/>
      </c>
      <c r="F109" s="190">
        <f>IF(OR(F81=0,1&lt;='01_Вводные'!$B$297),0,F81*IF('01_Вводные'!$B$239="Да",MeanMinAge01+F204*SUMIF(ThresholdAge01,"&lt;"&amp;F204,WeightedRevAge01)-SUMIF(ThresholdAge01,"&lt;"&amp;F204,WeightedMinAge01),MAX(CapacityAge01*'01_Вводные'!$B$218*F204,MeanMinAge01)))</f>
        <v/>
      </c>
      <c r="G109" s="190">
        <f>IF(OR(G81=0,1&lt;='01_Вводные'!$B$297),0,G81*IF('01_Вводные'!$B$239="Да",MeanMinAge01+G204*SUMIF(ThresholdAge01,"&lt;"&amp;G204,WeightedRevAge01)-SUMIF(ThresholdAge01,"&lt;"&amp;G204,WeightedMinAge01),MAX(CapacityAge01*'01_Вводные'!$B$218*G204,MeanMinAge01)))</f>
        <v/>
      </c>
      <c r="H109" s="190">
        <f>IF(OR(H81=0,1&lt;='01_Вводные'!$B$297),0,H81*IF('01_Вводные'!$B$239="Да",MeanMinAge01+H204*SUMIF(ThresholdAge01,"&lt;"&amp;H204,WeightedRevAge01)-SUMIF(ThresholdAge01,"&lt;"&amp;H204,WeightedMinAge01),MAX(CapacityAge01*'01_Вводные'!$B$218*H204,MeanMinAge01)))</f>
        <v/>
      </c>
      <c r="I109" s="190">
        <f>IF(OR(I81=0,1&lt;='01_Вводные'!$B$297),0,I81*IF('01_Вводные'!$B$239="Да",MeanMinAge01+I204*SUMIF(ThresholdAge01,"&lt;"&amp;I204,WeightedRevAge01)-SUMIF(ThresholdAge01,"&lt;"&amp;I204,WeightedMinAge01),MAX(CapacityAge01*'01_Вводные'!$B$218*I204,MeanMinAge01)))</f>
        <v/>
      </c>
      <c r="J109" s="190">
        <f>IF(OR(J81=0,1&lt;='01_Вводные'!$B$297),0,J81*IF('01_Вводные'!$B$239="Да",MeanMinAge01+J204*SUMIF(ThresholdAge01,"&lt;"&amp;J204,WeightedRevAge01)-SUMIF(ThresholdAge01,"&lt;"&amp;J204,WeightedMinAge01),MAX(CapacityAge01*'01_Вводные'!$B$218*J204,MeanMinAge01)))</f>
        <v/>
      </c>
      <c r="K109" s="190">
        <f>IF(OR(K81=0,1&lt;='01_Вводные'!$B$297),0,K81*IF('01_Вводные'!$B$239="Да",MeanMinAge01+K204*SUMIF(ThresholdAge01,"&lt;"&amp;K204,WeightedRevAge01)-SUMIF(ThresholdAge01,"&lt;"&amp;K204,WeightedMinAge01),MAX(CapacityAge01*'01_Вводные'!$B$218*K204,MeanMinAge01)))</f>
        <v/>
      </c>
      <c r="L109" s="190">
        <f>IF(OR(L81=0,1&lt;='01_Вводные'!$B$297),0,L81*IF('01_Вводные'!$B$239="Да",MeanMinAge01+L204*SUMIF(ThresholdAge01,"&lt;"&amp;L204,WeightedRevAge01)-SUMIF(ThresholdAge01,"&lt;"&amp;L204,WeightedMinAge01),MAX(CapacityAge01*'01_Вводные'!$B$218*L204,MeanMinAge01)))</f>
        <v/>
      </c>
      <c r="M109" s="190">
        <f>IF(OR(M81=0,1&lt;='01_Вводные'!$B$297),0,M81*IF('01_Вводные'!$B$239="Да",MeanMinAge01+M204*SUMIF(ThresholdAge01,"&lt;"&amp;M204,WeightedRevAge01)-SUMIF(ThresholdAge01,"&lt;"&amp;M204,WeightedMinAge01),MAX(CapacityAge01*'01_Вводные'!$B$218*M204,MeanMinAge01)))</f>
        <v/>
      </c>
      <c r="N109" s="190">
        <f>IF(OR(N81=0,1&lt;='01_Вводные'!$B$297),0,N81*IF('01_Вводные'!$B$239="Да",MeanMinAge01+N204*SUMIF(ThresholdAge01,"&lt;"&amp;N204,WeightedRevAge01)-SUMIF(ThresholdAge01,"&lt;"&amp;N204,WeightedMinAge01),MAX(CapacityAge01*'01_Вводные'!$B$218*N204,MeanMinAge01)))</f>
        <v/>
      </c>
      <c r="O109" s="190">
        <f>IF(OR(O81=0,1&lt;='01_Вводные'!$B$297),0,O81*IF('01_Вводные'!$B$239="Да",MeanMinAge01+O204*SUMIF(ThresholdAge01,"&lt;"&amp;O204,WeightedRevAge01)-SUMIF(ThresholdAge01,"&lt;"&amp;O204,WeightedMinAge01),MAX(CapacityAge01*'01_Вводные'!$B$218*O204,MeanMinAge01)))</f>
        <v/>
      </c>
      <c r="P109" s="190">
        <f>IF(OR(P81=0,1&lt;='01_Вводные'!$B$297),0,P81*IF('01_Вводные'!$B$239="Да",MeanMinAge01+P204*SUMIF(ThresholdAge01,"&lt;"&amp;P204,WeightedRevAge01)-SUMIF(ThresholdAge01,"&lt;"&amp;P204,WeightedMinAge01),MAX(CapacityAge01*'01_Вводные'!$B$218*P204,MeanMinAge01)))</f>
        <v/>
      </c>
      <c r="Q109" s="190">
        <f>IF(OR(Q81=0,1&lt;='01_Вводные'!$B$297),0,Q81*IF('01_Вводные'!$B$239="Да",MeanMinAge01+Q204*SUMIF(ThresholdAge01,"&lt;"&amp;Q204,WeightedRevAge01)-SUMIF(ThresholdAge01,"&lt;"&amp;Q204,WeightedMinAge01),MAX(CapacityAge01*'01_Вводные'!$B$218*Q204,MeanMinAge01)))</f>
        <v/>
      </c>
      <c r="R109" s="190">
        <f>IF(OR(R81=0,1&lt;='01_Вводные'!$B$297),0,R81*IF('01_Вводные'!$B$239="Да",MeanMinAge01+R204*SUMIF(ThresholdAge01,"&lt;"&amp;R204,WeightedRevAge01)-SUMIF(ThresholdAge01,"&lt;"&amp;R204,WeightedMinAge01),MAX(CapacityAge01*'01_Вводные'!$B$218*R204,MeanMinAge01)))</f>
        <v/>
      </c>
      <c r="S109" s="190">
        <f>IF(OR(S81=0,1&lt;='01_Вводные'!$B$297),0,S81*IF('01_Вводные'!$B$239="Да",MeanMinAge01+S204*SUMIF(ThresholdAge01,"&lt;"&amp;S204,WeightedRevAge01)-SUMIF(ThresholdAge01,"&lt;"&amp;S204,WeightedMinAge01),MAX(CapacityAge01*'01_Вводные'!$B$218*S204,MeanMinAge01)))</f>
        <v/>
      </c>
      <c r="T109" s="190">
        <f>IF(OR(T81=0,1&lt;='01_Вводные'!$B$297),0,T81*IF('01_Вводные'!$B$239="Да",MeanMinAge01+T204*SUMIF(ThresholdAge01,"&lt;"&amp;T204,WeightedRevAge01)-SUMIF(ThresholdAge01,"&lt;"&amp;T204,WeightedMinAge01),MAX(CapacityAge01*'01_Вводные'!$B$218*T204,MeanMinAge01)))</f>
        <v/>
      </c>
      <c r="U109" s="190">
        <f>IF(OR(U81=0,1&lt;='01_Вводные'!$B$297),0,U81*IF('01_Вводные'!$B$239="Да",MeanMinAge01+U204*SUMIF(ThresholdAge01,"&lt;"&amp;U204,WeightedRevAge01)-SUMIF(ThresholdAge01,"&lt;"&amp;U204,WeightedMinAge01),MAX(CapacityAge01*'01_Вводные'!$B$218*U204,MeanMinAge01)))</f>
        <v/>
      </c>
      <c r="V109" s="190">
        <f>IF(OR(V81=0,1&lt;='01_Вводные'!$B$297),0,V81*IF('01_Вводные'!$B$239="Да",MeanMinAge01+V204*SUMIF(ThresholdAge01,"&lt;"&amp;V204,WeightedRevAge01)-SUMIF(ThresholdAge01,"&lt;"&amp;V204,WeightedMinAge01),MAX(CapacityAge01*'01_Вводные'!$B$218*V204,MeanMinAge01)))</f>
        <v/>
      </c>
      <c r="W109" s="190">
        <f>IF(OR(W81=0,1&lt;='01_Вводные'!$B$297),0,W81*IF('01_Вводные'!$B$239="Да",MeanMinAge01+W204*SUMIF(ThresholdAge01,"&lt;"&amp;W204,WeightedRevAge01)-SUMIF(ThresholdAge01,"&lt;"&amp;W204,WeightedMinAge01),MAX(CapacityAge01*'01_Вводные'!$B$218*W204,MeanMinAge01)))</f>
        <v/>
      </c>
      <c r="X109" s="190">
        <f>IF(OR(X81=0,1&lt;='01_Вводные'!$B$297),0,X81*IF('01_Вводные'!$B$239="Да",MeanMinAge01+X204*SUMIF(ThresholdAge01,"&lt;"&amp;X204,WeightedRevAge01)-SUMIF(ThresholdAge01,"&lt;"&amp;X204,WeightedMinAge01),MAX(CapacityAge01*'01_Вводные'!$B$218*X204,MeanMinAge01)))</f>
        <v/>
      </c>
      <c r="Y109" s="190">
        <f>IF(OR(Y81=0,1&lt;='01_Вводные'!$B$297),0,Y81*IF('01_Вводные'!$B$239="Да",MeanMinAge01+Y204*SUMIF(ThresholdAge01,"&lt;"&amp;Y204,WeightedRevAge01)-SUMIF(ThresholdAge01,"&lt;"&amp;Y204,WeightedMinAge01),MAX(CapacityAge01*'01_Вводные'!$B$218*Y204,MeanMinAge01)))</f>
        <v/>
      </c>
      <c r="Z109" s="190">
        <f>IF(OR(Z81=0,1&lt;='01_Вводные'!$B$297),0,Z81*IF('01_Вводные'!$B$239="Да",MeanMinAge01+Z204*SUMIF(ThresholdAge01,"&lt;"&amp;Z204,WeightedRevAge01)-SUMIF(ThresholdAge01,"&lt;"&amp;Z204,WeightedMinAge01),MAX(CapacityAge01*'01_Вводные'!$B$218*Z204,MeanMinAge01)))</f>
        <v/>
      </c>
      <c r="AA109" s="190">
        <f>IF(OR(AA81=0,1&lt;='01_Вводные'!$B$297),0,AA81*IF('01_Вводные'!$B$239="Да",MeanMinAge01+AA204*SUMIF(ThresholdAge01,"&lt;"&amp;AA204,WeightedRevAge01)-SUMIF(ThresholdAge01,"&lt;"&amp;AA204,WeightedMinAge01),MAX(CapacityAge01*'01_Вводные'!$B$218*AA204,MeanMinAge01)))</f>
        <v/>
      </c>
      <c r="AB109" s="190">
        <f>IF(OR(AB81=0,1&lt;='01_Вводные'!$B$297),0,AB81*IF('01_Вводные'!$B$239="Да",MeanMinAge01+AB204*SUMIF(ThresholdAge01,"&lt;"&amp;AB204,WeightedRevAge01)-SUMIF(ThresholdAge01,"&lt;"&amp;AB204,WeightedMinAge01),MAX(CapacityAge01*'01_Вводные'!$B$218*AB204,MeanMinAge01)))</f>
        <v/>
      </c>
      <c r="AC109" s="190">
        <f>IF(OR(AC81=0,1&lt;='01_Вводные'!$B$297),0,AC81*IF('01_Вводные'!$B$239="Да",MeanMinAge01+AC204*SUMIF(ThresholdAge01,"&lt;"&amp;AC204,WeightedRevAge01)-SUMIF(ThresholdAge01,"&lt;"&amp;AC204,WeightedMinAge01),MAX(CapacityAge01*'01_Вводные'!$B$218*AC204,MeanMinAge01)))</f>
        <v/>
      </c>
      <c r="AD109" s="190">
        <f>IF(OR(AD81=0,1&lt;='01_Вводные'!$B$297),0,AD81*IF('01_Вводные'!$B$239="Да",MeanMinAge01+AD204*SUMIF(ThresholdAge01,"&lt;"&amp;AD204,WeightedRevAge01)-SUMIF(ThresholdAge01,"&lt;"&amp;AD204,WeightedMinAge01),MAX(CapacityAge01*'01_Вводные'!$B$218*AD204,MeanMinAge01)))</f>
        <v/>
      </c>
      <c r="AE109" s="190">
        <f>IF(OR(AE81=0,1&lt;='01_Вводные'!$B$297),0,AE81*IF('01_Вводные'!$B$239="Да",MeanMinAge01+AE204*SUMIF(ThresholdAge01,"&lt;"&amp;AE204,WeightedRevAge01)-SUMIF(ThresholdAge01,"&lt;"&amp;AE204,WeightedMinAge01),MAX(CapacityAge01*'01_Вводные'!$B$218*AE204,MeanMinAge01)))</f>
        <v/>
      </c>
      <c r="AF109" s="190">
        <f>IF(OR(AF81=0,1&lt;='01_Вводные'!$B$297),0,AF81*IF('01_Вводные'!$B$239="Да",MeanMinAge01+AF204*SUMIF(ThresholdAge01,"&lt;"&amp;AF204,WeightedRevAge01)-SUMIF(ThresholdAge01,"&lt;"&amp;AF204,WeightedMinAge01),MAX(CapacityAge01*'01_Вводные'!$B$218*AF204,MeanMinAge01)))</f>
        <v/>
      </c>
      <c r="AG109" s="190">
        <f>IF(OR(AG81=0,1&lt;='01_Вводные'!$B$297),0,AG81*IF('01_Вводные'!$B$239="Да",MeanMinAge01+AG204*SUMIF(ThresholdAge01,"&lt;"&amp;AG204,WeightedRevAge01)-SUMIF(ThresholdAge01,"&lt;"&amp;AG204,WeightedMinAge01),MAX(CapacityAge01*'01_Вводные'!$B$218*AG204,MeanMinAge01)))</f>
        <v/>
      </c>
      <c r="AH109" s="190">
        <f>IF(OR(AH81=0,1&lt;='01_Вводные'!$B$297),0,AH81*IF('01_Вводные'!$B$239="Да",MeanMinAge01+AH204*SUMIF(ThresholdAge01,"&lt;"&amp;AH204,WeightedRevAge01)-SUMIF(ThresholdAge01,"&lt;"&amp;AH204,WeightedMinAge01),MAX(CapacityAge01*'01_Вводные'!$B$218*AH204,MeanMinAge01)))</f>
        <v/>
      </c>
      <c r="AI109" s="190">
        <f>IF(OR(AI81=0,1&lt;='01_Вводные'!$B$297),0,AI81*IF('01_Вводные'!$B$239="Да",MeanMinAge01+AI204*SUMIF(ThresholdAge01,"&lt;"&amp;AI204,WeightedRevAge01)-SUMIF(ThresholdAge01,"&lt;"&amp;AI204,WeightedMinAge01),MAX(CapacityAge01*'01_Вводные'!$B$218*AI204,MeanMinAge01)))</f>
        <v/>
      </c>
      <c r="AJ109" s="190">
        <f>IF(OR(AJ81=0,1&lt;='01_Вводные'!$B$297),0,AJ81*IF('01_Вводные'!$B$239="Да",MeanMinAge01+AJ204*SUMIF(ThresholdAge01,"&lt;"&amp;AJ204,WeightedRevAge01)-SUMIF(ThresholdAge01,"&lt;"&amp;AJ204,WeightedMinAge01),MAX(CapacityAge01*'01_Вводные'!$B$218*AJ204,MeanMinAge01)))</f>
        <v/>
      </c>
      <c r="AK109" s="190">
        <f>IF(OR(AK81=0,1&lt;='01_Вводные'!$B$297),0,AK81*IF('01_Вводные'!$B$239="Да",MeanMinAge01+AK204*SUMIF(ThresholdAge01,"&lt;"&amp;AK204,WeightedRevAge01)-SUMIF(ThresholdAge01,"&lt;"&amp;AK204,WeightedMinAge01),MAX(CapacityAge01*'01_Вводные'!$B$218*AK204,MeanMinAge01)))</f>
        <v/>
      </c>
      <c r="AL109" s="190">
        <f>IF(OR(AL81=0,1&lt;='01_Вводные'!$B$297),0,AL81*IF('01_Вводные'!$B$239="Да",MeanMinAge01+AL204*SUMIF(ThresholdAge01,"&lt;"&amp;AL204,WeightedRevAge01)-SUMIF(ThresholdAge01,"&lt;"&amp;AL204,WeightedMinAge01),MAX(CapacityAge01*'01_Вводные'!$B$218*AL204,MeanMinAge01)))</f>
        <v/>
      </c>
      <c r="AM109" s="190">
        <f>IF(OR(AM81=0,1&lt;='01_Вводные'!$B$297),0,AM81*IF('01_Вводные'!$B$239="Да",MeanMinAge01+AM204*SUMIF(ThresholdAge01,"&lt;"&amp;AM204,WeightedRevAge01)-SUMIF(ThresholdAge01,"&lt;"&amp;AM204,WeightedMinAge01),MAX(CapacityAge01*'01_Вводные'!$B$218*AM204,MeanMinAge01)))</f>
        <v/>
      </c>
      <c r="AN109" s="190">
        <f>IF(OR(AN81=0,1&lt;='01_Вводные'!$B$297),0,AN81*IF('01_Вводные'!$B$239="Да",MeanMinAge01+AN204*SUMIF(ThresholdAge01,"&lt;"&amp;AN204,WeightedRevAge01)-SUMIF(ThresholdAge01,"&lt;"&amp;AN204,WeightedMinAge01),MAX(CapacityAge01*'01_Вводные'!$B$218*AN204,MeanMinAge01)))</f>
        <v/>
      </c>
      <c r="AO109" s="190">
        <f>IF(OR(AO81=0,1&lt;='01_Вводные'!$B$297),0,AO81*IF('01_Вводные'!$B$239="Да",MeanMinAge01+AO204*SUMIF(ThresholdAge01,"&lt;"&amp;AO204,WeightedRevAge01)-SUMIF(ThresholdAge01,"&lt;"&amp;AO204,WeightedMinAge01),MAX(CapacityAge01*'01_Вводные'!$B$218*AO204,MeanMinAge01)))</f>
        <v/>
      </c>
      <c r="AP109" s="190">
        <f>IF(OR(AP81=0,1&lt;='01_Вводные'!$B$297),0,AP81*IF('01_Вводные'!$B$239="Да",MeanMinAge01+AP204*SUMIF(ThresholdAge01,"&lt;"&amp;AP204,WeightedRevAge01)-SUMIF(ThresholdAge01,"&lt;"&amp;AP204,WeightedMinAge01),MAX(CapacityAge01*'01_Вводные'!$B$218*AP204,MeanMinAge01)))</f>
        <v/>
      </c>
      <c r="AQ109" s="190">
        <f>IF(OR(AQ81=0,1&lt;='01_Вводные'!$B$297),0,AQ81*IF('01_Вводные'!$B$239="Да",MeanMinAge01+AQ204*SUMIF(ThresholdAge01,"&lt;"&amp;AQ204,WeightedRevAge01)-SUMIF(ThresholdAge01,"&lt;"&amp;AQ204,WeightedMinAge01),MAX(CapacityAge01*'01_Вводные'!$B$218*AQ204,MeanMinAge01)))</f>
        <v/>
      </c>
      <c r="AR109" s="190">
        <f>IF(OR(AR81=0,1&lt;='01_Вводные'!$B$297),0,AR81*IF('01_Вводные'!$B$239="Да",MeanMinAge01+AR204*SUMIF(ThresholdAge01,"&lt;"&amp;AR204,WeightedRevAge01)-SUMIF(ThresholdAge01,"&lt;"&amp;AR204,WeightedMinAge01),MAX(CapacityAge01*'01_Вводные'!$B$218*AR204,MeanMinAge01)))</f>
        <v/>
      </c>
      <c r="AS109" s="190">
        <f>IF(OR(AS81=0,1&lt;='01_Вводные'!$B$297),0,AS81*IF('01_Вводные'!$B$239="Да",MeanMinAge01+AS204*SUMIF(ThresholdAge01,"&lt;"&amp;AS204,WeightedRevAge01)-SUMIF(ThresholdAge01,"&lt;"&amp;AS204,WeightedMinAge01),MAX(CapacityAge01*'01_Вводные'!$B$218*AS204,MeanMinAge01)))</f>
        <v/>
      </c>
      <c r="AT109" s="190">
        <f>IF(OR(AT81=0,1&lt;='01_Вводные'!$B$297),0,AT81*IF('01_Вводные'!$B$239="Да",MeanMinAge01+AT204*SUMIF(ThresholdAge01,"&lt;"&amp;AT204,WeightedRevAge01)-SUMIF(ThresholdAge01,"&lt;"&amp;AT204,WeightedMinAge01),MAX(CapacityAge01*'01_Вводные'!$B$218*AT204,MeanMinAge01)))</f>
        <v/>
      </c>
      <c r="AU109" s="190">
        <f>IF(OR(AU81=0,1&lt;='01_Вводные'!$B$297),0,AU81*IF('01_Вводные'!$B$239="Да",MeanMinAge01+AU204*SUMIF(ThresholdAge01,"&lt;"&amp;AU204,WeightedRevAge01)-SUMIF(ThresholdAge01,"&lt;"&amp;AU204,WeightedMinAge01),MAX(CapacityAge01*'01_Вводные'!$B$218*AU204,MeanMinAge01)))</f>
        <v/>
      </c>
      <c r="AV109" s="190">
        <f>IF(OR(AV81=0,1&lt;='01_Вводные'!$B$297),0,AV81*IF('01_Вводные'!$B$239="Да",MeanMinAge01+AV204*SUMIF(ThresholdAge01,"&lt;"&amp;AV204,WeightedRevAge01)-SUMIF(ThresholdAge01,"&lt;"&amp;AV204,WeightedMinAge01),MAX(CapacityAge01*'01_Вводные'!$B$218*AV204,MeanMinAge01)))</f>
        <v/>
      </c>
      <c r="AW109" s="190">
        <f>IF(OR(AW81=0,1&lt;='01_Вводные'!$B$297),0,AW81*IF('01_Вводные'!$B$239="Да",MeanMinAge01+AW204*SUMIF(ThresholdAge01,"&lt;"&amp;AW204,WeightedRevAge01)-SUMIF(ThresholdAge01,"&lt;"&amp;AW204,WeightedMinAge01),MAX(CapacityAge01*'01_Вводные'!$B$218*AW204,MeanMinAge01)))</f>
        <v/>
      </c>
      <c r="AX109" s="190">
        <f>IF(OR(AX81=0,1&lt;='01_Вводные'!$B$297),0,AX81*IF('01_Вводные'!$B$239="Да",MeanMinAge01+AX204*SUMIF(ThresholdAge01,"&lt;"&amp;AX204,WeightedRevAge01)-SUMIF(ThresholdAge01,"&lt;"&amp;AX204,WeightedMinAge01),MAX(CapacityAge01*'01_Вводные'!$B$218*AX204,MeanMinAge01)))</f>
        <v/>
      </c>
      <c r="AY109" s="190">
        <f>IF(OR(AY81=0,1&lt;='01_Вводные'!$B$297),0,AY81*IF('01_Вводные'!$B$239="Да",MeanMinAge01+AY204*SUMIF(ThresholdAge01,"&lt;"&amp;AY204,WeightedRevAge01)-SUMIF(ThresholdAge01,"&lt;"&amp;AY204,WeightedMinAge01),MAX(CapacityAge01*'01_Вводные'!$B$218*AY204,MeanMinAge01)))</f>
        <v/>
      </c>
      <c r="AZ109" s="190">
        <f>IF(OR(AZ81=0,1&lt;='01_Вводные'!$B$297),0,AZ81*IF('01_Вводные'!$B$239="Да",MeanMinAge01+AZ204*SUMIF(ThresholdAge01,"&lt;"&amp;AZ204,WeightedRevAge01)-SUMIF(ThresholdAge01,"&lt;"&amp;AZ204,WeightedMinAge01),MAX(CapacityAge01*'01_Вводные'!$B$218*AZ204,MeanMinAge01)))</f>
        <v/>
      </c>
      <c r="BA109" s="190">
        <f>IF(OR(BA81=0,1&lt;='01_Вводные'!$B$297),0,BA81*IF('01_Вводные'!$B$239="Да",MeanMinAge01+BA204*SUMIF(ThresholdAge01,"&lt;"&amp;BA204,WeightedRevAge01)-SUMIF(ThresholdAge01,"&lt;"&amp;BA204,WeightedMinAge01),MAX(CapacityAge01*'01_Вводные'!$B$218*BA204,MeanMinAge01)))</f>
        <v/>
      </c>
      <c r="BB109" s="190">
        <f>IF(OR(BB81=0,1&lt;='01_Вводные'!$B$297),0,BB81*IF('01_Вводные'!$B$239="Да",MeanMinAge01+BB204*SUMIF(ThresholdAge01,"&lt;"&amp;BB204,WeightedRevAge01)-SUMIF(ThresholdAge01,"&lt;"&amp;BB204,WeightedMinAge01),MAX(CapacityAge01*'01_Вводные'!$B$218*BB204,MeanMinAge01)))</f>
        <v/>
      </c>
      <c r="BC109" s="190">
        <f>IF(OR(BC81=0,1&lt;='01_Вводные'!$B$297),0,BC81*IF('01_Вводные'!$B$239="Да",MeanMinAge01+BC204*SUMIF(ThresholdAge01,"&lt;"&amp;BC204,WeightedRevAge01)-SUMIF(ThresholdAge01,"&lt;"&amp;BC204,WeightedMinAge01),MAX(CapacityAge01*'01_Вводные'!$B$218*BC204,MeanMinAge01)))</f>
        <v/>
      </c>
      <c r="BD109" s="190">
        <f>IF(OR(BD81=0,1&lt;='01_Вводные'!$B$297),0,BD81*IF('01_Вводные'!$B$239="Да",MeanMinAge01+BD204*SUMIF(ThresholdAge01,"&lt;"&amp;BD204,WeightedRevAge01)-SUMIF(ThresholdAge01,"&lt;"&amp;BD204,WeightedMinAge01),MAX(CapacityAge01*'01_Вводные'!$B$218*BD204,MeanMinAge01)))</f>
        <v/>
      </c>
      <c r="BE109" s="190">
        <f>IF(OR(BE81=0,1&lt;='01_Вводные'!$B$297),0,BE81*IF('01_Вводные'!$B$239="Да",MeanMinAge01+BE204*SUMIF(ThresholdAge01,"&lt;"&amp;BE204,WeightedRevAge01)-SUMIF(ThresholdAge01,"&lt;"&amp;BE204,WeightedMinAge01),MAX(CapacityAge01*'01_Вводные'!$B$218*BE204,MeanMinAge01)))</f>
        <v/>
      </c>
      <c r="BF109" s="190">
        <f>IF(OR(BF81=0,1&lt;='01_Вводные'!$B$297),0,BF81*IF('01_Вводные'!$B$239="Да",MeanMinAge01+BF204*SUMIF(ThresholdAge01,"&lt;"&amp;BF204,WeightedRevAge01)-SUMIF(ThresholdAge01,"&lt;"&amp;BF204,WeightedMinAge01),MAX(CapacityAge01*'01_Вводные'!$B$218*BF204,MeanMinAge01)))</f>
        <v/>
      </c>
      <c r="BG109" s="190">
        <f>IF(OR(BG81=0,1&lt;='01_Вводные'!$B$297),0,BG81*IF('01_Вводные'!$B$239="Да",MeanMinAge01+BG204*SUMIF(ThresholdAge01,"&lt;"&amp;BG204,WeightedRevAge01)-SUMIF(ThresholdAge01,"&lt;"&amp;BG204,WeightedMinAge01),MAX(CapacityAge01*'01_Вводные'!$B$218*BG204,MeanMinAge01)))</f>
        <v/>
      </c>
      <c r="BH109" s="190">
        <f>IF(OR(BH81=0,1&lt;='01_Вводные'!$B$297),0,BH81*IF('01_Вводные'!$B$239="Да",MeanMinAge01+BH204*SUMIF(ThresholdAge01,"&lt;"&amp;BH204,WeightedRevAge01)-SUMIF(ThresholdAge01,"&lt;"&amp;BH204,WeightedMinAge01),MAX(CapacityAge01*'01_Вводные'!$B$218*BH204,MeanMinAge01)))</f>
        <v/>
      </c>
      <c r="BI109" s="190">
        <f>IF(OR(BI81=0,1&lt;='01_Вводные'!$B$297),0,BI81*IF('01_Вводные'!$B$239="Да",MeanMinAge01+BI204*SUMIF(ThresholdAge01,"&lt;"&amp;BI204,WeightedRevAge01)-SUMIF(ThresholdAge01,"&lt;"&amp;BI204,WeightedMinAge01),MAX(CapacityAge01*'01_Вводные'!$B$218*BI204,MeanMinAge01)))</f>
        <v/>
      </c>
      <c r="BJ109" s="190">
        <f>IF(OR(BJ81=0,1&lt;='01_Вводные'!$B$297),0,BJ81*IF('01_Вводные'!$B$239="Да",MeanMinAge01+BJ204*SUMIF(ThresholdAge01,"&lt;"&amp;BJ204,WeightedRevAge01)-SUMIF(ThresholdAge01,"&lt;"&amp;BJ204,WeightedMinAge01),MAX(CapacityAge01*'01_Вводные'!$B$218*BJ204,MeanMinAge01)))</f>
        <v/>
      </c>
      <c r="BK109" s="190">
        <f>IF(OR(BK81=0,1&lt;='01_Вводные'!$B$297),0,BK81*IF('01_Вводные'!$B$239="Да",MeanMinAge01+BK204*SUMIF(ThresholdAge01,"&lt;"&amp;BK204,WeightedRevAge01)-SUMIF(ThresholdAge01,"&lt;"&amp;BK204,WeightedMinAge01),MAX(CapacityAge01*'01_Вводные'!$B$218*BK204,MeanMinAge01)))</f>
        <v/>
      </c>
      <c r="BL109" s="190">
        <f>IF(OR(BL81=0,1&lt;='01_Вводные'!$B$297),0,BL81*IF('01_Вводные'!$B$239="Да",MeanMinAge01+BL204*SUMIF(ThresholdAge01,"&lt;"&amp;BL204,WeightedRevAge01)-SUMIF(ThresholdAge01,"&lt;"&amp;BL204,WeightedMinAge01),MAX(CapacityAge01*'01_Вводные'!$B$218*BL204,MeanMinAge01)))</f>
        <v/>
      </c>
      <c r="BM109" s="190">
        <f>IF(OR(BM81=0,1&lt;='01_Вводные'!$B$297),0,BM81*IF('01_Вводные'!$B$239="Да",MeanMinAge01+BM204*SUMIF(ThresholdAge01,"&lt;"&amp;BM204,WeightedRevAge01)-SUMIF(ThresholdAge01,"&lt;"&amp;BM204,WeightedMinAge01),MAX(CapacityAge01*'01_Вводные'!$B$218*BM204,MeanMinAge01)))</f>
        <v/>
      </c>
      <c r="BN109" s="190">
        <f>IF(OR(BN81=0,1&lt;='01_Вводные'!$B$297),0,BN81*IF('01_Вводные'!$B$239="Да",MeanMinAge01+BN204*SUMIF(ThresholdAge01,"&lt;"&amp;BN204,WeightedRevAge01)-SUMIF(ThresholdAge01,"&lt;"&amp;BN204,WeightedMinAge01),MAX(CapacityAge01*'01_Вводные'!$B$218*BN204,MeanMinAge01)))</f>
        <v/>
      </c>
      <c r="BO109" s="190">
        <f>IF(OR(BO81=0,1&lt;='01_Вводные'!$B$297),0,BO81*IF('01_Вводные'!$B$239="Да",MeanMinAge01+BO204*SUMIF(ThresholdAge01,"&lt;"&amp;BO204,WeightedRevAge01)-SUMIF(ThresholdAge01,"&lt;"&amp;BO204,WeightedMinAge01),MAX(CapacityAge01*'01_Вводные'!$B$218*BO204,MeanMinAge01)))</f>
        <v/>
      </c>
    </row>
    <row r="110" hidden="1" outlineLevel="1">
      <c r="A110" t="inlineStr">
        <is>
          <t>2 мес.</t>
        </is>
      </c>
      <c r="B110" s="190">
        <f>IF(OR(B82=0,2&lt;='01_Вводные'!$B$297),0,B82*IF('01_Вводные'!$B$239="Да",MeanMinAge02+B204*SUMIF(ThresholdAge02,"&lt;"&amp;B204,WeightedRevAge02)-SUMIF(ThresholdAge02,"&lt;"&amp;B204,WeightedMinAge02),MAX(CapacityAge02*'01_Вводные'!$B$218*B204,MeanMinAge02)))</f>
        <v/>
      </c>
      <c r="C110" s="190">
        <f>IF(OR(C82=0,2&lt;='01_Вводные'!$B$297),0,C82*IF('01_Вводные'!$B$239="Да",MeanMinAge02+C204*SUMIF(ThresholdAge02,"&lt;"&amp;C204,WeightedRevAge02)-SUMIF(ThresholdAge02,"&lt;"&amp;C204,WeightedMinAge02),MAX(CapacityAge02*'01_Вводные'!$B$218*C204,MeanMinAge02)))</f>
        <v/>
      </c>
      <c r="D110" s="190">
        <f>IF(OR(D82=0,2&lt;='01_Вводные'!$B$297),0,D82*IF('01_Вводные'!$B$239="Да",MeanMinAge02+D204*SUMIF(ThresholdAge02,"&lt;"&amp;D204,WeightedRevAge02)-SUMIF(ThresholdAge02,"&lt;"&amp;D204,WeightedMinAge02),MAX(CapacityAge02*'01_Вводные'!$B$218*D204,MeanMinAge02)))</f>
        <v/>
      </c>
      <c r="E110" s="190">
        <f>IF(OR(E82=0,2&lt;='01_Вводные'!$B$297),0,E82*IF('01_Вводные'!$B$239="Да",MeanMinAge02+E204*SUMIF(ThresholdAge02,"&lt;"&amp;E204,WeightedRevAge02)-SUMIF(ThresholdAge02,"&lt;"&amp;E204,WeightedMinAge02),MAX(CapacityAge02*'01_Вводные'!$B$218*E204,MeanMinAge02)))</f>
        <v/>
      </c>
      <c r="F110" s="190">
        <f>IF(OR(F82=0,2&lt;='01_Вводные'!$B$297),0,F82*IF('01_Вводные'!$B$239="Да",MeanMinAge02+F204*SUMIF(ThresholdAge02,"&lt;"&amp;F204,WeightedRevAge02)-SUMIF(ThresholdAge02,"&lt;"&amp;F204,WeightedMinAge02),MAX(CapacityAge02*'01_Вводные'!$B$218*F204,MeanMinAge02)))</f>
        <v/>
      </c>
      <c r="G110" s="190">
        <f>IF(OR(G82=0,2&lt;='01_Вводные'!$B$297),0,G82*IF('01_Вводные'!$B$239="Да",MeanMinAge02+G204*SUMIF(ThresholdAge02,"&lt;"&amp;G204,WeightedRevAge02)-SUMIF(ThresholdAge02,"&lt;"&amp;G204,WeightedMinAge02),MAX(CapacityAge02*'01_Вводные'!$B$218*G204,MeanMinAge02)))</f>
        <v/>
      </c>
      <c r="H110" s="190">
        <f>IF(OR(H82=0,2&lt;='01_Вводные'!$B$297),0,H82*IF('01_Вводные'!$B$239="Да",MeanMinAge02+H204*SUMIF(ThresholdAge02,"&lt;"&amp;H204,WeightedRevAge02)-SUMIF(ThresholdAge02,"&lt;"&amp;H204,WeightedMinAge02),MAX(CapacityAge02*'01_Вводные'!$B$218*H204,MeanMinAge02)))</f>
        <v/>
      </c>
      <c r="I110" s="190">
        <f>IF(OR(I82=0,2&lt;='01_Вводные'!$B$297),0,I82*IF('01_Вводные'!$B$239="Да",MeanMinAge02+I204*SUMIF(ThresholdAge02,"&lt;"&amp;I204,WeightedRevAge02)-SUMIF(ThresholdAge02,"&lt;"&amp;I204,WeightedMinAge02),MAX(CapacityAge02*'01_Вводные'!$B$218*I204,MeanMinAge02)))</f>
        <v/>
      </c>
      <c r="J110" s="190">
        <f>IF(OR(J82=0,2&lt;='01_Вводные'!$B$297),0,J82*IF('01_Вводные'!$B$239="Да",MeanMinAge02+J204*SUMIF(ThresholdAge02,"&lt;"&amp;J204,WeightedRevAge02)-SUMIF(ThresholdAge02,"&lt;"&amp;J204,WeightedMinAge02),MAX(CapacityAge02*'01_Вводные'!$B$218*J204,MeanMinAge02)))</f>
        <v/>
      </c>
      <c r="K110" s="190">
        <f>IF(OR(K82=0,2&lt;='01_Вводные'!$B$297),0,K82*IF('01_Вводные'!$B$239="Да",MeanMinAge02+K204*SUMIF(ThresholdAge02,"&lt;"&amp;K204,WeightedRevAge02)-SUMIF(ThresholdAge02,"&lt;"&amp;K204,WeightedMinAge02),MAX(CapacityAge02*'01_Вводные'!$B$218*K204,MeanMinAge02)))</f>
        <v/>
      </c>
      <c r="L110" s="190">
        <f>IF(OR(L82=0,2&lt;='01_Вводные'!$B$297),0,L82*IF('01_Вводные'!$B$239="Да",MeanMinAge02+L204*SUMIF(ThresholdAge02,"&lt;"&amp;L204,WeightedRevAge02)-SUMIF(ThresholdAge02,"&lt;"&amp;L204,WeightedMinAge02),MAX(CapacityAge02*'01_Вводные'!$B$218*L204,MeanMinAge02)))</f>
        <v/>
      </c>
      <c r="M110" s="190">
        <f>IF(OR(M82=0,2&lt;='01_Вводные'!$B$297),0,M82*IF('01_Вводные'!$B$239="Да",MeanMinAge02+M204*SUMIF(ThresholdAge02,"&lt;"&amp;M204,WeightedRevAge02)-SUMIF(ThresholdAge02,"&lt;"&amp;M204,WeightedMinAge02),MAX(CapacityAge02*'01_Вводные'!$B$218*M204,MeanMinAge02)))</f>
        <v/>
      </c>
      <c r="N110" s="190">
        <f>IF(OR(N82=0,2&lt;='01_Вводные'!$B$297),0,N82*IF('01_Вводные'!$B$239="Да",MeanMinAge02+N204*SUMIF(ThresholdAge02,"&lt;"&amp;N204,WeightedRevAge02)-SUMIF(ThresholdAge02,"&lt;"&amp;N204,WeightedMinAge02),MAX(CapacityAge02*'01_Вводные'!$B$218*N204,MeanMinAge02)))</f>
        <v/>
      </c>
      <c r="O110" s="190">
        <f>IF(OR(O82=0,2&lt;='01_Вводные'!$B$297),0,O82*IF('01_Вводные'!$B$239="Да",MeanMinAge02+O204*SUMIF(ThresholdAge02,"&lt;"&amp;O204,WeightedRevAge02)-SUMIF(ThresholdAge02,"&lt;"&amp;O204,WeightedMinAge02),MAX(CapacityAge02*'01_Вводные'!$B$218*O204,MeanMinAge02)))</f>
        <v/>
      </c>
      <c r="P110" s="190">
        <f>IF(OR(P82=0,2&lt;='01_Вводные'!$B$297),0,P82*IF('01_Вводные'!$B$239="Да",MeanMinAge02+P204*SUMIF(ThresholdAge02,"&lt;"&amp;P204,WeightedRevAge02)-SUMIF(ThresholdAge02,"&lt;"&amp;P204,WeightedMinAge02),MAX(CapacityAge02*'01_Вводные'!$B$218*P204,MeanMinAge02)))</f>
        <v/>
      </c>
      <c r="Q110" s="190">
        <f>IF(OR(Q82=0,2&lt;='01_Вводные'!$B$297),0,Q82*IF('01_Вводные'!$B$239="Да",MeanMinAge02+Q204*SUMIF(ThresholdAge02,"&lt;"&amp;Q204,WeightedRevAge02)-SUMIF(ThresholdAge02,"&lt;"&amp;Q204,WeightedMinAge02),MAX(CapacityAge02*'01_Вводные'!$B$218*Q204,MeanMinAge02)))</f>
        <v/>
      </c>
      <c r="R110" s="190">
        <f>IF(OR(R82=0,2&lt;='01_Вводные'!$B$297),0,R82*IF('01_Вводные'!$B$239="Да",MeanMinAge02+R204*SUMIF(ThresholdAge02,"&lt;"&amp;R204,WeightedRevAge02)-SUMIF(ThresholdAge02,"&lt;"&amp;R204,WeightedMinAge02),MAX(CapacityAge02*'01_Вводные'!$B$218*R204,MeanMinAge02)))</f>
        <v/>
      </c>
      <c r="S110" s="190">
        <f>IF(OR(S82=0,2&lt;='01_Вводные'!$B$297),0,S82*IF('01_Вводные'!$B$239="Да",MeanMinAge02+S204*SUMIF(ThresholdAge02,"&lt;"&amp;S204,WeightedRevAge02)-SUMIF(ThresholdAge02,"&lt;"&amp;S204,WeightedMinAge02),MAX(CapacityAge02*'01_Вводные'!$B$218*S204,MeanMinAge02)))</f>
        <v/>
      </c>
      <c r="T110" s="190">
        <f>IF(OR(T82=0,2&lt;='01_Вводные'!$B$297),0,T82*IF('01_Вводные'!$B$239="Да",MeanMinAge02+T204*SUMIF(ThresholdAge02,"&lt;"&amp;T204,WeightedRevAge02)-SUMIF(ThresholdAge02,"&lt;"&amp;T204,WeightedMinAge02),MAX(CapacityAge02*'01_Вводные'!$B$218*T204,MeanMinAge02)))</f>
        <v/>
      </c>
      <c r="U110" s="190">
        <f>IF(OR(U82=0,2&lt;='01_Вводные'!$B$297),0,U82*IF('01_Вводные'!$B$239="Да",MeanMinAge02+U204*SUMIF(ThresholdAge02,"&lt;"&amp;U204,WeightedRevAge02)-SUMIF(ThresholdAge02,"&lt;"&amp;U204,WeightedMinAge02),MAX(CapacityAge02*'01_Вводные'!$B$218*U204,MeanMinAge02)))</f>
        <v/>
      </c>
      <c r="V110" s="190">
        <f>IF(OR(V82=0,2&lt;='01_Вводные'!$B$297),0,V82*IF('01_Вводные'!$B$239="Да",MeanMinAge02+V204*SUMIF(ThresholdAge02,"&lt;"&amp;V204,WeightedRevAge02)-SUMIF(ThresholdAge02,"&lt;"&amp;V204,WeightedMinAge02),MAX(CapacityAge02*'01_Вводные'!$B$218*V204,MeanMinAge02)))</f>
        <v/>
      </c>
      <c r="W110" s="190">
        <f>IF(OR(W82=0,2&lt;='01_Вводные'!$B$297),0,W82*IF('01_Вводные'!$B$239="Да",MeanMinAge02+W204*SUMIF(ThresholdAge02,"&lt;"&amp;W204,WeightedRevAge02)-SUMIF(ThresholdAge02,"&lt;"&amp;W204,WeightedMinAge02),MAX(CapacityAge02*'01_Вводные'!$B$218*W204,MeanMinAge02)))</f>
        <v/>
      </c>
      <c r="X110" s="190">
        <f>IF(OR(X82=0,2&lt;='01_Вводные'!$B$297),0,X82*IF('01_Вводные'!$B$239="Да",MeanMinAge02+X204*SUMIF(ThresholdAge02,"&lt;"&amp;X204,WeightedRevAge02)-SUMIF(ThresholdAge02,"&lt;"&amp;X204,WeightedMinAge02),MAX(CapacityAge02*'01_Вводные'!$B$218*X204,MeanMinAge02)))</f>
        <v/>
      </c>
      <c r="Y110" s="190">
        <f>IF(OR(Y82=0,2&lt;='01_Вводные'!$B$297),0,Y82*IF('01_Вводные'!$B$239="Да",MeanMinAge02+Y204*SUMIF(ThresholdAge02,"&lt;"&amp;Y204,WeightedRevAge02)-SUMIF(ThresholdAge02,"&lt;"&amp;Y204,WeightedMinAge02),MAX(CapacityAge02*'01_Вводные'!$B$218*Y204,MeanMinAge02)))</f>
        <v/>
      </c>
      <c r="Z110" s="190">
        <f>IF(OR(Z82=0,2&lt;='01_Вводные'!$B$297),0,Z82*IF('01_Вводные'!$B$239="Да",MeanMinAge02+Z204*SUMIF(ThresholdAge02,"&lt;"&amp;Z204,WeightedRevAge02)-SUMIF(ThresholdAge02,"&lt;"&amp;Z204,WeightedMinAge02),MAX(CapacityAge02*'01_Вводные'!$B$218*Z204,MeanMinAge02)))</f>
        <v/>
      </c>
      <c r="AA110" s="190">
        <f>IF(OR(AA82=0,2&lt;='01_Вводные'!$B$297),0,AA82*IF('01_Вводные'!$B$239="Да",MeanMinAge02+AA204*SUMIF(ThresholdAge02,"&lt;"&amp;AA204,WeightedRevAge02)-SUMIF(ThresholdAge02,"&lt;"&amp;AA204,WeightedMinAge02),MAX(CapacityAge02*'01_Вводные'!$B$218*AA204,MeanMinAge02)))</f>
        <v/>
      </c>
      <c r="AB110" s="190">
        <f>IF(OR(AB82=0,2&lt;='01_Вводные'!$B$297),0,AB82*IF('01_Вводные'!$B$239="Да",MeanMinAge02+AB204*SUMIF(ThresholdAge02,"&lt;"&amp;AB204,WeightedRevAge02)-SUMIF(ThresholdAge02,"&lt;"&amp;AB204,WeightedMinAge02),MAX(CapacityAge02*'01_Вводные'!$B$218*AB204,MeanMinAge02)))</f>
        <v/>
      </c>
      <c r="AC110" s="190">
        <f>IF(OR(AC82=0,2&lt;='01_Вводные'!$B$297),0,AC82*IF('01_Вводные'!$B$239="Да",MeanMinAge02+AC204*SUMIF(ThresholdAge02,"&lt;"&amp;AC204,WeightedRevAge02)-SUMIF(ThresholdAge02,"&lt;"&amp;AC204,WeightedMinAge02),MAX(CapacityAge02*'01_Вводные'!$B$218*AC204,MeanMinAge02)))</f>
        <v/>
      </c>
      <c r="AD110" s="190">
        <f>IF(OR(AD82=0,2&lt;='01_Вводные'!$B$297),0,AD82*IF('01_Вводные'!$B$239="Да",MeanMinAge02+AD204*SUMIF(ThresholdAge02,"&lt;"&amp;AD204,WeightedRevAge02)-SUMIF(ThresholdAge02,"&lt;"&amp;AD204,WeightedMinAge02),MAX(CapacityAge02*'01_Вводные'!$B$218*AD204,MeanMinAge02)))</f>
        <v/>
      </c>
      <c r="AE110" s="190">
        <f>IF(OR(AE82=0,2&lt;='01_Вводные'!$B$297),0,AE82*IF('01_Вводные'!$B$239="Да",MeanMinAge02+AE204*SUMIF(ThresholdAge02,"&lt;"&amp;AE204,WeightedRevAge02)-SUMIF(ThresholdAge02,"&lt;"&amp;AE204,WeightedMinAge02),MAX(CapacityAge02*'01_Вводные'!$B$218*AE204,MeanMinAge02)))</f>
        <v/>
      </c>
      <c r="AF110" s="190">
        <f>IF(OR(AF82=0,2&lt;='01_Вводные'!$B$297),0,AF82*IF('01_Вводные'!$B$239="Да",MeanMinAge02+AF204*SUMIF(ThresholdAge02,"&lt;"&amp;AF204,WeightedRevAge02)-SUMIF(ThresholdAge02,"&lt;"&amp;AF204,WeightedMinAge02),MAX(CapacityAge02*'01_Вводные'!$B$218*AF204,MeanMinAge02)))</f>
        <v/>
      </c>
      <c r="AG110" s="190">
        <f>IF(OR(AG82=0,2&lt;='01_Вводные'!$B$297),0,AG82*IF('01_Вводные'!$B$239="Да",MeanMinAge02+AG204*SUMIF(ThresholdAge02,"&lt;"&amp;AG204,WeightedRevAge02)-SUMIF(ThresholdAge02,"&lt;"&amp;AG204,WeightedMinAge02),MAX(CapacityAge02*'01_Вводные'!$B$218*AG204,MeanMinAge02)))</f>
        <v/>
      </c>
      <c r="AH110" s="190">
        <f>IF(OR(AH82=0,2&lt;='01_Вводные'!$B$297),0,AH82*IF('01_Вводные'!$B$239="Да",MeanMinAge02+AH204*SUMIF(ThresholdAge02,"&lt;"&amp;AH204,WeightedRevAge02)-SUMIF(ThresholdAge02,"&lt;"&amp;AH204,WeightedMinAge02),MAX(CapacityAge02*'01_Вводные'!$B$218*AH204,MeanMinAge02)))</f>
        <v/>
      </c>
      <c r="AI110" s="190">
        <f>IF(OR(AI82=0,2&lt;='01_Вводные'!$B$297),0,AI82*IF('01_Вводные'!$B$239="Да",MeanMinAge02+AI204*SUMIF(ThresholdAge02,"&lt;"&amp;AI204,WeightedRevAge02)-SUMIF(ThresholdAge02,"&lt;"&amp;AI204,WeightedMinAge02),MAX(CapacityAge02*'01_Вводные'!$B$218*AI204,MeanMinAge02)))</f>
        <v/>
      </c>
      <c r="AJ110" s="190">
        <f>IF(OR(AJ82=0,2&lt;='01_Вводные'!$B$297),0,AJ82*IF('01_Вводные'!$B$239="Да",MeanMinAge02+AJ204*SUMIF(ThresholdAge02,"&lt;"&amp;AJ204,WeightedRevAge02)-SUMIF(ThresholdAge02,"&lt;"&amp;AJ204,WeightedMinAge02),MAX(CapacityAge02*'01_Вводные'!$B$218*AJ204,MeanMinAge02)))</f>
        <v/>
      </c>
      <c r="AK110" s="190">
        <f>IF(OR(AK82=0,2&lt;='01_Вводные'!$B$297),0,AK82*IF('01_Вводные'!$B$239="Да",MeanMinAge02+AK204*SUMIF(ThresholdAge02,"&lt;"&amp;AK204,WeightedRevAge02)-SUMIF(ThresholdAge02,"&lt;"&amp;AK204,WeightedMinAge02),MAX(CapacityAge02*'01_Вводные'!$B$218*AK204,MeanMinAge02)))</f>
        <v/>
      </c>
      <c r="AL110" s="190">
        <f>IF(OR(AL82=0,2&lt;='01_Вводные'!$B$297),0,AL82*IF('01_Вводные'!$B$239="Да",MeanMinAge02+AL204*SUMIF(ThresholdAge02,"&lt;"&amp;AL204,WeightedRevAge02)-SUMIF(ThresholdAge02,"&lt;"&amp;AL204,WeightedMinAge02),MAX(CapacityAge02*'01_Вводные'!$B$218*AL204,MeanMinAge02)))</f>
        <v/>
      </c>
      <c r="AM110" s="190">
        <f>IF(OR(AM82=0,2&lt;='01_Вводные'!$B$297),0,AM82*IF('01_Вводные'!$B$239="Да",MeanMinAge02+AM204*SUMIF(ThresholdAge02,"&lt;"&amp;AM204,WeightedRevAge02)-SUMIF(ThresholdAge02,"&lt;"&amp;AM204,WeightedMinAge02),MAX(CapacityAge02*'01_Вводные'!$B$218*AM204,MeanMinAge02)))</f>
        <v/>
      </c>
      <c r="AN110" s="190">
        <f>IF(OR(AN82=0,2&lt;='01_Вводные'!$B$297),0,AN82*IF('01_Вводные'!$B$239="Да",MeanMinAge02+AN204*SUMIF(ThresholdAge02,"&lt;"&amp;AN204,WeightedRevAge02)-SUMIF(ThresholdAge02,"&lt;"&amp;AN204,WeightedMinAge02),MAX(CapacityAge02*'01_Вводные'!$B$218*AN204,MeanMinAge02)))</f>
        <v/>
      </c>
      <c r="AO110" s="190">
        <f>IF(OR(AO82=0,2&lt;='01_Вводные'!$B$297),0,AO82*IF('01_Вводные'!$B$239="Да",MeanMinAge02+AO204*SUMIF(ThresholdAge02,"&lt;"&amp;AO204,WeightedRevAge02)-SUMIF(ThresholdAge02,"&lt;"&amp;AO204,WeightedMinAge02),MAX(CapacityAge02*'01_Вводные'!$B$218*AO204,MeanMinAge02)))</f>
        <v/>
      </c>
      <c r="AP110" s="190">
        <f>IF(OR(AP82=0,2&lt;='01_Вводные'!$B$297),0,AP82*IF('01_Вводные'!$B$239="Да",MeanMinAge02+AP204*SUMIF(ThresholdAge02,"&lt;"&amp;AP204,WeightedRevAge02)-SUMIF(ThresholdAge02,"&lt;"&amp;AP204,WeightedMinAge02),MAX(CapacityAge02*'01_Вводные'!$B$218*AP204,MeanMinAge02)))</f>
        <v/>
      </c>
      <c r="AQ110" s="190">
        <f>IF(OR(AQ82=0,2&lt;='01_Вводные'!$B$297),0,AQ82*IF('01_Вводные'!$B$239="Да",MeanMinAge02+AQ204*SUMIF(ThresholdAge02,"&lt;"&amp;AQ204,WeightedRevAge02)-SUMIF(ThresholdAge02,"&lt;"&amp;AQ204,WeightedMinAge02),MAX(CapacityAge02*'01_Вводные'!$B$218*AQ204,MeanMinAge02)))</f>
        <v/>
      </c>
      <c r="AR110" s="190">
        <f>IF(OR(AR82=0,2&lt;='01_Вводные'!$B$297),0,AR82*IF('01_Вводные'!$B$239="Да",MeanMinAge02+AR204*SUMIF(ThresholdAge02,"&lt;"&amp;AR204,WeightedRevAge02)-SUMIF(ThresholdAge02,"&lt;"&amp;AR204,WeightedMinAge02),MAX(CapacityAge02*'01_Вводные'!$B$218*AR204,MeanMinAge02)))</f>
        <v/>
      </c>
      <c r="AS110" s="190">
        <f>IF(OR(AS82=0,2&lt;='01_Вводные'!$B$297),0,AS82*IF('01_Вводные'!$B$239="Да",MeanMinAge02+AS204*SUMIF(ThresholdAge02,"&lt;"&amp;AS204,WeightedRevAge02)-SUMIF(ThresholdAge02,"&lt;"&amp;AS204,WeightedMinAge02),MAX(CapacityAge02*'01_Вводные'!$B$218*AS204,MeanMinAge02)))</f>
        <v/>
      </c>
      <c r="AT110" s="190">
        <f>IF(OR(AT82=0,2&lt;='01_Вводные'!$B$297),0,AT82*IF('01_Вводные'!$B$239="Да",MeanMinAge02+AT204*SUMIF(ThresholdAge02,"&lt;"&amp;AT204,WeightedRevAge02)-SUMIF(ThresholdAge02,"&lt;"&amp;AT204,WeightedMinAge02),MAX(CapacityAge02*'01_Вводные'!$B$218*AT204,MeanMinAge02)))</f>
        <v/>
      </c>
      <c r="AU110" s="190">
        <f>IF(OR(AU82=0,2&lt;='01_Вводные'!$B$297),0,AU82*IF('01_Вводные'!$B$239="Да",MeanMinAge02+AU204*SUMIF(ThresholdAge02,"&lt;"&amp;AU204,WeightedRevAge02)-SUMIF(ThresholdAge02,"&lt;"&amp;AU204,WeightedMinAge02),MAX(CapacityAge02*'01_Вводные'!$B$218*AU204,MeanMinAge02)))</f>
        <v/>
      </c>
      <c r="AV110" s="190">
        <f>IF(OR(AV82=0,2&lt;='01_Вводные'!$B$297),0,AV82*IF('01_Вводные'!$B$239="Да",MeanMinAge02+AV204*SUMIF(ThresholdAge02,"&lt;"&amp;AV204,WeightedRevAge02)-SUMIF(ThresholdAge02,"&lt;"&amp;AV204,WeightedMinAge02),MAX(CapacityAge02*'01_Вводные'!$B$218*AV204,MeanMinAge02)))</f>
        <v/>
      </c>
      <c r="AW110" s="190">
        <f>IF(OR(AW82=0,2&lt;='01_Вводные'!$B$297),0,AW82*IF('01_Вводные'!$B$239="Да",MeanMinAge02+AW204*SUMIF(ThresholdAge02,"&lt;"&amp;AW204,WeightedRevAge02)-SUMIF(ThresholdAge02,"&lt;"&amp;AW204,WeightedMinAge02),MAX(CapacityAge02*'01_Вводные'!$B$218*AW204,MeanMinAge02)))</f>
        <v/>
      </c>
      <c r="AX110" s="190">
        <f>IF(OR(AX82=0,2&lt;='01_Вводные'!$B$297),0,AX82*IF('01_Вводные'!$B$239="Да",MeanMinAge02+AX204*SUMIF(ThresholdAge02,"&lt;"&amp;AX204,WeightedRevAge02)-SUMIF(ThresholdAge02,"&lt;"&amp;AX204,WeightedMinAge02),MAX(CapacityAge02*'01_Вводные'!$B$218*AX204,MeanMinAge02)))</f>
        <v/>
      </c>
      <c r="AY110" s="190">
        <f>IF(OR(AY82=0,2&lt;='01_Вводные'!$B$297),0,AY82*IF('01_Вводные'!$B$239="Да",MeanMinAge02+AY204*SUMIF(ThresholdAge02,"&lt;"&amp;AY204,WeightedRevAge02)-SUMIF(ThresholdAge02,"&lt;"&amp;AY204,WeightedMinAge02),MAX(CapacityAge02*'01_Вводные'!$B$218*AY204,MeanMinAge02)))</f>
        <v/>
      </c>
      <c r="AZ110" s="190">
        <f>IF(OR(AZ82=0,2&lt;='01_Вводные'!$B$297),0,AZ82*IF('01_Вводные'!$B$239="Да",MeanMinAge02+AZ204*SUMIF(ThresholdAge02,"&lt;"&amp;AZ204,WeightedRevAge02)-SUMIF(ThresholdAge02,"&lt;"&amp;AZ204,WeightedMinAge02),MAX(CapacityAge02*'01_Вводные'!$B$218*AZ204,MeanMinAge02)))</f>
        <v/>
      </c>
      <c r="BA110" s="190">
        <f>IF(OR(BA82=0,2&lt;='01_Вводные'!$B$297),0,BA82*IF('01_Вводные'!$B$239="Да",MeanMinAge02+BA204*SUMIF(ThresholdAge02,"&lt;"&amp;BA204,WeightedRevAge02)-SUMIF(ThresholdAge02,"&lt;"&amp;BA204,WeightedMinAge02),MAX(CapacityAge02*'01_Вводные'!$B$218*BA204,MeanMinAge02)))</f>
        <v/>
      </c>
      <c r="BB110" s="190">
        <f>IF(OR(BB82=0,2&lt;='01_Вводные'!$B$297),0,BB82*IF('01_Вводные'!$B$239="Да",MeanMinAge02+BB204*SUMIF(ThresholdAge02,"&lt;"&amp;BB204,WeightedRevAge02)-SUMIF(ThresholdAge02,"&lt;"&amp;BB204,WeightedMinAge02),MAX(CapacityAge02*'01_Вводные'!$B$218*BB204,MeanMinAge02)))</f>
        <v/>
      </c>
      <c r="BC110" s="190">
        <f>IF(OR(BC82=0,2&lt;='01_Вводные'!$B$297),0,BC82*IF('01_Вводные'!$B$239="Да",MeanMinAge02+BC204*SUMIF(ThresholdAge02,"&lt;"&amp;BC204,WeightedRevAge02)-SUMIF(ThresholdAge02,"&lt;"&amp;BC204,WeightedMinAge02),MAX(CapacityAge02*'01_Вводные'!$B$218*BC204,MeanMinAge02)))</f>
        <v/>
      </c>
      <c r="BD110" s="190">
        <f>IF(OR(BD82=0,2&lt;='01_Вводные'!$B$297),0,BD82*IF('01_Вводные'!$B$239="Да",MeanMinAge02+BD204*SUMIF(ThresholdAge02,"&lt;"&amp;BD204,WeightedRevAge02)-SUMIF(ThresholdAge02,"&lt;"&amp;BD204,WeightedMinAge02),MAX(CapacityAge02*'01_Вводные'!$B$218*BD204,MeanMinAge02)))</f>
        <v/>
      </c>
      <c r="BE110" s="190">
        <f>IF(OR(BE82=0,2&lt;='01_Вводные'!$B$297),0,BE82*IF('01_Вводные'!$B$239="Да",MeanMinAge02+BE204*SUMIF(ThresholdAge02,"&lt;"&amp;BE204,WeightedRevAge02)-SUMIF(ThresholdAge02,"&lt;"&amp;BE204,WeightedMinAge02),MAX(CapacityAge02*'01_Вводные'!$B$218*BE204,MeanMinAge02)))</f>
        <v/>
      </c>
      <c r="BF110" s="190">
        <f>IF(OR(BF82=0,2&lt;='01_Вводные'!$B$297),0,BF82*IF('01_Вводные'!$B$239="Да",MeanMinAge02+BF204*SUMIF(ThresholdAge02,"&lt;"&amp;BF204,WeightedRevAge02)-SUMIF(ThresholdAge02,"&lt;"&amp;BF204,WeightedMinAge02),MAX(CapacityAge02*'01_Вводные'!$B$218*BF204,MeanMinAge02)))</f>
        <v/>
      </c>
      <c r="BG110" s="190">
        <f>IF(OR(BG82=0,2&lt;='01_Вводные'!$B$297),0,BG82*IF('01_Вводные'!$B$239="Да",MeanMinAge02+BG204*SUMIF(ThresholdAge02,"&lt;"&amp;BG204,WeightedRevAge02)-SUMIF(ThresholdAge02,"&lt;"&amp;BG204,WeightedMinAge02),MAX(CapacityAge02*'01_Вводные'!$B$218*BG204,MeanMinAge02)))</f>
        <v/>
      </c>
      <c r="BH110" s="190">
        <f>IF(OR(BH82=0,2&lt;='01_Вводные'!$B$297),0,BH82*IF('01_Вводные'!$B$239="Да",MeanMinAge02+BH204*SUMIF(ThresholdAge02,"&lt;"&amp;BH204,WeightedRevAge02)-SUMIF(ThresholdAge02,"&lt;"&amp;BH204,WeightedMinAge02),MAX(CapacityAge02*'01_Вводные'!$B$218*BH204,MeanMinAge02)))</f>
        <v/>
      </c>
      <c r="BI110" s="190">
        <f>IF(OR(BI82=0,2&lt;='01_Вводные'!$B$297),0,BI82*IF('01_Вводные'!$B$239="Да",MeanMinAge02+BI204*SUMIF(ThresholdAge02,"&lt;"&amp;BI204,WeightedRevAge02)-SUMIF(ThresholdAge02,"&lt;"&amp;BI204,WeightedMinAge02),MAX(CapacityAge02*'01_Вводные'!$B$218*BI204,MeanMinAge02)))</f>
        <v/>
      </c>
      <c r="BJ110" s="190">
        <f>IF(OR(BJ82=0,2&lt;='01_Вводные'!$B$297),0,BJ82*IF('01_Вводные'!$B$239="Да",MeanMinAge02+BJ204*SUMIF(ThresholdAge02,"&lt;"&amp;BJ204,WeightedRevAge02)-SUMIF(ThresholdAge02,"&lt;"&amp;BJ204,WeightedMinAge02),MAX(CapacityAge02*'01_Вводные'!$B$218*BJ204,MeanMinAge02)))</f>
        <v/>
      </c>
      <c r="BK110" s="190">
        <f>IF(OR(BK82=0,2&lt;='01_Вводные'!$B$297),0,BK82*IF('01_Вводные'!$B$239="Да",MeanMinAge02+BK204*SUMIF(ThresholdAge02,"&lt;"&amp;BK204,WeightedRevAge02)-SUMIF(ThresholdAge02,"&lt;"&amp;BK204,WeightedMinAge02),MAX(CapacityAge02*'01_Вводные'!$B$218*BK204,MeanMinAge02)))</f>
        <v/>
      </c>
      <c r="BL110" s="190">
        <f>IF(OR(BL82=0,2&lt;='01_Вводные'!$B$297),0,BL82*IF('01_Вводные'!$B$239="Да",MeanMinAge02+BL204*SUMIF(ThresholdAge02,"&lt;"&amp;BL204,WeightedRevAge02)-SUMIF(ThresholdAge02,"&lt;"&amp;BL204,WeightedMinAge02),MAX(CapacityAge02*'01_Вводные'!$B$218*BL204,MeanMinAge02)))</f>
        <v/>
      </c>
      <c r="BM110" s="190">
        <f>IF(OR(BM82=0,2&lt;='01_Вводные'!$B$297),0,BM82*IF('01_Вводные'!$B$239="Да",MeanMinAge02+BM204*SUMIF(ThresholdAge02,"&lt;"&amp;BM204,WeightedRevAge02)-SUMIF(ThresholdAge02,"&lt;"&amp;BM204,WeightedMinAge02),MAX(CapacityAge02*'01_Вводные'!$B$218*BM204,MeanMinAge02)))</f>
        <v/>
      </c>
      <c r="BN110" s="190">
        <f>IF(OR(BN82=0,2&lt;='01_Вводные'!$B$297),0,BN82*IF('01_Вводные'!$B$239="Да",MeanMinAge02+BN204*SUMIF(ThresholdAge02,"&lt;"&amp;BN204,WeightedRevAge02)-SUMIF(ThresholdAge02,"&lt;"&amp;BN204,WeightedMinAge02),MAX(CapacityAge02*'01_Вводные'!$B$218*BN204,MeanMinAge02)))</f>
        <v/>
      </c>
      <c r="BO110" s="190">
        <f>IF(OR(BO82=0,2&lt;='01_Вводные'!$B$297),0,BO82*IF('01_Вводные'!$B$239="Да",MeanMinAge02+BO204*SUMIF(ThresholdAge02,"&lt;"&amp;BO204,WeightedRevAge02)-SUMIF(ThresholdAge02,"&lt;"&amp;BO204,WeightedMinAge02),MAX(CapacityAge02*'01_Вводные'!$B$218*BO204,MeanMinAge02)))</f>
        <v/>
      </c>
    </row>
    <row r="111" hidden="1" outlineLevel="1">
      <c r="A111" t="inlineStr">
        <is>
          <t>3 мес.</t>
        </is>
      </c>
      <c r="B111" s="190">
        <f>IF(OR(B83=0,3&lt;='01_Вводные'!$B$297),0,B83*IF('01_Вводные'!$B$239="Да",MeanMinAge03+B204*SUMIF(ThresholdAge03,"&lt;"&amp;B204,WeightedRevAge03)-SUMIF(ThresholdAge03,"&lt;"&amp;B204,WeightedMinAge03),MAX(CapacityAge03*'01_Вводные'!$B$218*B204,MeanMinAge03)))</f>
        <v/>
      </c>
      <c r="C111" s="190">
        <f>IF(OR(C83=0,3&lt;='01_Вводные'!$B$297),0,C83*IF('01_Вводные'!$B$239="Да",MeanMinAge03+C204*SUMIF(ThresholdAge03,"&lt;"&amp;C204,WeightedRevAge03)-SUMIF(ThresholdAge03,"&lt;"&amp;C204,WeightedMinAge03),MAX(CapacityAge03*'01_Вводные'!$B$218*C204,MeanMinAge03)))</f>
        <v/>
      </c>
      <c r="D111" s="190">
        <f>IF(OR(D83=0,3&lt;='01_Вводные'!$B$297),0,D83*IF('01_Вводные'!$B$239="Да",MeanMinAge03+D204*SUMIF(ThresholdAge03,"&lt;"&amp;D204,WeightedRevAge03)-SUMIF(ThresholdAge03,"&lt;"&amp;D204,WeightedMinAge03),MAX(CapacityAge03*'01_Вводные'!$B$218*D204,MeanMinAge03)))</f>
        <v/>
      </c>
      <c r="E111" s="190">
        <f>IF(OR(E83=0,3&lt;='01_Вводные'!$B$297),0,E83*IF('01_Вводные'!$B$239="Да",MeanMinAge03+E204*SUMIF(ThresholdAge03,"&lt;"&amp;E204,WeightedRevAge03)-SUMIF(ThresholdAge03,"&lt;"&amp;E204,WeightedMinAge03),MAX(CapacityAge03*'01_Вводные'!$B$218*E204,MeanMinAge03)))</f>
        <v/>
      </c>
      <c r="F111" s="190">
        <f>IF(OR(F83=0,3&lt;='01_Вводные'!$B$297),0,F83*IF('01_Вводные'!$B$239="Да",MeanMinAge03+F204*SUMIF(ThresholdAge03,"&lt;"&amp;F204,WeightedRevAge03)-SUMIF(ThresholdAge03,"&lt;"&amp;F204,WeightedMinAge03),MAX(CapacityAge03*'01_Вводные'!$B$218*F204,MeanMinAge03)))</f>
        <v/>
      </c>
      <c r="G111" s="190">
        <f>IF(OR(G83=0,3&lt;='01_Вводные'!$B$297),0,G83*IF('01_Вводные'!$B$239="Да",MeanMinAge03+G204*SUMIF(ThresholdAge03,"&lt;"&amp;G204,WeightedRevAge03)-SUMIF(ThresholdAge03,"&lt;"&amp;G204,WeightedMinAge03),MAX(CapacityAge03*'01_Вводные'!$B$218*G204,MeanMinAge03)))</f>
        <v/>
      </c>
      <c r="H111" s="190">
        <f>IF(OR(H83=0,3&lt;='01_Вводные'!$B$297),0,H83*IF('01_Вводные'!$B$239="Да",MeanMinAge03+H204*SUMIF(ThresholdAge03,"&lt;"&amp;H204,WeightedRevAge03)-SUMIF(ThresholdAge03,"&lt;"&amp;H204,WeightedMinAge03),MAX(CapacityAge03*'01_Вводные'!$B$218*H204,MeanMinAge03)))</f>
        <v/>
      </c>
      <c r="I111" s="190">
        <f>IF(OR(I83=0,3&lt;='01_Вводные'!$B$297),0,I83*IF('01_Вводные'!$B$239="Да",MeanMinAge03+I204*SUMIF(ThresholdAge03,"&lt;"&amp;I204,WeightedRevAge03)-SUMIF(ThresholdAge03,"&lt;"&amp;I204,WeightedMinAge03),MAX(CapacityAge03*'01_Вводные'!$B$218*I204,MeanMinAge03)))</f>
        <v/>
      </c>
      <c r="J111" s="190">
        <f>IF(OR(J83=0,3&lt;='01_Вводные'!$B$297),0,J83*IF('01_Вводные'!$B$239="Да",MeanMinAge03+J204*SUMIF(ThresholdAge03,"&lt;"&amp;J204,WeightedRevAge03)-SUMIF(ThresholdAge03,"&lt;"&amp;J204,WeightedMinAge03),MAX(CapacityAge03*'01_Вводные'!$B$218*J204,MeanMinAge03)))</f>
        <v/>
      </c>
      <c r="K111" s="190">
        <f>IF(OR(K83=0,3&lt;='01_Вводные'!$B$297),0,K83*IF('01_Вводные'!$B$239="Да",MeanMinAge03+K204*SUMIF(ThresholdAge03,"&lt;"&amp;K204,WeightedRevAge03)-SUMIF(ThresholdAge03,"&lt;"&amp;K204,WeightedMinAge03),MAX(CapacityAge03*'01_Вводные'!$B$218*K204,MeanMinAge03)))</f>
        <v/>
      </c>
      <c r="L111" s="190">
        <f>IF(OR(L83=0,3&lt;='01_Вводные'!$B$297),0,L83*IF('01_Вводные'!$B$239="Да",MeanMinAge03+L204*SUMIF(ThresholdAge03,"&lt;"&amp;L204,WeightedRevAge03)-SUMIF(ThresholdAge03,"&lt;"&amp;L204,WeightedMinAge03),MAX(CapacityAge03*'01_Вводные'!$B$218*L204,MeanMinAge03)))</f>
        <v/>
      </c>
      <c r="M111" s="190">
        <f>IF(OR(M83=0,3&lt;='01_Вводные'!$B$297),0,M83*IF('01_Вводные'!$B$239="Да",MeanMinAge03+M204*SUMIF(ThresholdAge03,"&lt;"&amp;M204,WeightedRevAge03)-SUMIF(ThresholdAge03,"&lt;"&amp;M204,WeightedMinAge03),MAX(CapacityAge03*'01_Вводные'!$B$218*M204,MeanMinAge03)))</f>
        <v/>
      </c>
      <c r="N111" s="190">
        <f>IF(OR(N83=0,3&lt;='01_Вводные'!$B$297),0,N83*IF('01_Вводные'!$B$239="Да",MeanMinAge03+N204*SUMIF(ThresholdAge03,"&lt;"&amp;N204,WeightedRevAge03)-SUMIF(ThresholdAge03,"&lt;"&amp;N204,WeightedMinAge03),MAX(CapacityAge03*'01_Вводные'!$B$218*N204,MeanMinAge03)))</f>
        <v/>
      </c>
      <c r="O111" s="190">
        <f>IF(OR(O83=0,3&lt;='01_Вводные'!$B$297),0,O83*IF('01_Вводные'!$B$239="Да",MeanMinAge03+O204*SUMIF(ThresholdAge03,"&lt;"&amp;O204,WeightedRevAge03)-SUMIF(ThresholdAge03,"&lt;"&amp;O204,WeightedMinAge03),MAX(CapacityAge03*'01_Вводные'!$B$218*O204,MeanMinAge03)))</f>
        <v/>
      </c>
      <c r="P111" s="190">
        <f>IF(OR(P83=0,3&lt;='01_Вводные'!$B$297),0,P83*IF('01_Вводные'!$B$239="Да",MeanMinAge03+P204*SUMIF(ThresholdAge03,"&lt;"&amp;P204,WeightedRevAge03)-SUMIF(ThresholdAge03,"&lt;"&amp;P204,WeightedMinAge03),MAX(CapacityAge03*'01_Вводные'!$B$218*P204,MeanMinAge03)))</f>
        <v/>
      </c>
      <c r="Q111" s="190">
        <f>IF(OR(Q83=0,3&lt;='01_Вводные'!$B$297),0,Q83*IF('01_Вводные'!$B$239="Да",MeanMinAge03+Q204*SUMIF(ThresholdAge03,"&lt;"&amp;Q204,WeightedRevAge03)-SUMIF(ThresholdAge03,"&lt;"&amp;Q204,WeightedMinAge03),MAX(CapacityAge03*'01_Вводные'!$B$218*Q204,MeanMinAge03)))</f>
        <v/>
      </c>
      <c r="R111" s="190">
        <f>IF(OR(R83=0,3&lt;='01_Вводные'!$B$297),0,R83*IF('01_Вводные'!$B$239="Да",MeanMinAge03+R204*SUMIF(ThresholdAge03,"&lt;"&amp;R204,WeightedRevAge03)-SUMIF(ThresholdAge03,"&lt;"&amp;R204,WeightedMinAge03),MAX(CapacityAge03*'01_Вводные'!$B$218*R204,MeanMinAge03)))</f>
        <v/>
      </c>
      <c r="S111" s="190">
        <f>IF(OR(S83=0,3&lt;='01_Вводные'!$B$297),0,S83*IF('01_Вводные'!$B$239="Да",MeanMinAge03+S204*SUMIF(ThresholdAge03,"&lt;"&amp;S204,WeightedRevAge03)-SUMIF(ThresholdAge03,"&lt;"&amp;S204,WeightedMinAge03),MAX(CapacityAge03*'01_Вводные'!$B$218*S204,MeanMinAge03)))</f>
        <v/>
      </c>
      <c r="T111" s="190">
        <f>IF(OR(T83=0,3&lt;='01_Вводные'!$B$297),0,T83*IF('01_Вводные'!$B$239="Да",MeanMinAge03+T204*SUMIF(ThresholdAge03,"&lt;"&amp;T204,WeightedRevAge03)-SUMIF(ThresholdAge03,"&lt;"&amp;T204,WeightedMinAge03),MAX(CapacityAge03*'01_Вводные'!$B$218*T204,MeanMinAge03)))</f>
        <v/>
      </c>
      <c r="U111" s="190">
        <f>IF(OR(U83=0,3&lt;='01_Вводные'!$B$297),0,U83*IF('01_Вводные'!$B$239="Да",MeanMinAge03+U204*SUMIF(ThresholdAge03,"&lt;"&amp;U204,WeightedRevAge03)-SUMIF(ThresholdAge03,"&lt;"&amp;U204,WeightedMinAge03),MAX(CapacityAge03*'01_Вводные'!$B$218*U204,MeanMinAge03)))</f>
        <v/>
      </c>
      <c r="V111" s="190">
        <f>IF(OR(V83=0,3&lt;='01_Вводные'!$B$297),0,V83*IF('01_Вводные'!$B$239="Да",MeanMinAge03+V204*SUMIF(ThresholdAge03,"&lt;"&amp;V204,WeightedRevAge03)-SUMIF(ThresholdAge03,"&lt;"&amp;V204,WeightedMinAge03),MAX(CapacityAge03*'01_Вводные'!$B$218*V204,MeanMinAge03)))</f>
        <v/>
      </c>
      <c r="W111" s="190">
        <f>IF(OR(W83=0,3&lt;='01_Вводные'!$B$297),0,W83*IF('01_Вводные'!$B$239="Да",MeanMinAge03+W204*SUMIF(ThresholdAge03,"&lt;"&amp;W204,WeightedRevAge03)-SUMIF(ThresholdAge03,"&lt;"&amp;W204,WeightedMinAge03),MAX(CapacityAge03*'01_Вводные'!$B$218*W204,MeanMinAge03)))</f>
        <v/>
      </c>
      <c r="X111" s="190">
        <f>IF(OR(X83=0,3&lt;='01_Вводные'!$B$297),0,X83*IF('01_Вводные'!$B$239="Да",MeanMinAge03+X204*SUMIF(ThresholdAge03,"&lt;"&amp;X204,WeightedRevAge03)-SUMIF(ThresholdAge03,"&lt;"&amp;X204,WeightedMinAge03),MAX(CapacityAge03*'01_Вводные'!$B$218*X204,MeanMinAge03)))</f>
        <v/>
      </c>
      <c r="Y111" s="190">
        <f>IF(OR(Y83=0,3&lt;='01_Вводные'!$B$297),0,Y83*IF('01_Вводные'!$B$239="Да",MeanMinAge03+Y204*SUMIF(ThresholdAge03,"&lt;"&amp;Y204,WeightedRevAge03)-SUMIF(ThresholdAge03,"&lt;"&amp;Y204,WeightedMinAge03),MAX(CapacityAge03*'01_Вводные'!$B$218*Y204,MeanMinAge03)))</f>
        <v/>
      </c>
      <c r="Z111" s="190">
        <f>IF(OR(Z83=0,3&lt;='01_Вводные'!$B$297),0,Z83*IF('01_Вводные'!$B$239="Да",MeanMinAge03+Z204*SUMIF(ThresholdAge03,"&lt;"&amp;Z204,WeightedRevAge03)-SUMIF(ThresholdAge03,"&lt;"&amp;Z204,WeightedMinAge03),MAX(CapacityAge03*'01_Вводные'!$B$218*Z204,MeanMinAge03)))</f>
        <v/>
      </c>
      <c r="AA111" s="190">
        <f>IF(OR(AA83=0,3&lt;='01_Вводные'!$B$297),0,AA83*IF('01_Вводные'!$B$239="Да",MeanMinAge03+AA204*SUMIF(ThresholdAge03,"&lt;"&amp;AA204,WeightedRevAge03)-SUMIF(ThresholdAge03,"&lt;"&amp;AA204,WeightedMinAge03),MAX(CapacityAge03*'01_Вводные'!$B$218*AA204,MeanMinAge03)))</f>
        <v/>
      </c>
      <c r="AB111" s="190">
        <f>IF(OR(AB83=0,3&lt;='01_Вводные'!$B$297),0,AB83*IF('01_Вводные'!$B$239="Да",MeanMinAge03+AB204*SUMIF(ThresholdAge03,"&lt;"&amp;AB204,WeightedRevAge03)-SUMIF(ThresholdAge03,"&lt;"&amp;AB204,WeightedMinAge03),MAX(CapacityAge03*'01_Вводные'!$B$218*AB204,MeanMinAge03)))</f>
        <v/>
      </c>
      <c r="AC111" s="190">
        <f>IF(OR(AC83=0,3&lt;='01_Вводные'!$B$297),0,AC83*IF('01_Вводные'!$B$239="Да",MeanMinAge03+AC204*SUMIF(ThresholdAge03,"&lt;"&amp;AC204,WeightedRevAge03)-SUMIF(ThresholdAge03,"&lt;"&amp;AC204,WeightedMinAge03),MAX(CapacityAge03*'01_Вводные'!$B$218*AC204,MeanMinAge03)))</f>
        <v/>
      </c>
      <c r="AD111" s="190">
        <f>IF(OR(AD83=0,3&lt;='01_Вводные'!$B$297),0,AD83*IF('01_Вводные'!$B$239="Да",MeanMinAge03+AD204*SUMIF(ThresholdAge03,"&lt;"&amp;AD204,WeightedRevAge03)-SUMIF(ThresholdAge03,"&lt;"&amp;AD204,WeightedMinAge03),MAX(CapacityAge03*'01_Вводные'!$B$218*AD204,MeanMinAge03)))</f>
        <v/>
      </c>
      <c r="AE111" s="190">
        <f>IF(OR(AE83=0,3&lt;='01_Вводные'!$B$297),0,AE83*IF('01_Вводные'!$B$239="Да",MeanMinAge03+AE204*SUMIF(ThresholdAge03,"&lt;"&amp;AE204,WeightedRevAge03)-SUMIF(ThresholdAge03,"&lt;"&amp;AE204,WeightedMinAge03),MAX(CapacityAge03*'01_Вводные'!$B$218*AE204,MeanMinAge03)))</f>
        <v/>
      </c>
      <c r="AF111" s="190">
        <f>IF(OR(AF83=0,3&lt;='01_Вводные'!$B$297),0,AF83*IF('01_Вводные'!$B$239="Да",MeanMinAge03+AF204*SUMIF(ThresholdAge03,"&lt;"&amp;AF204,WeightedRevAge03)-SUMIF(ThresholdAge03,"&lt;"&amp;AF204,WeightedMinAge03),MAX(CapacityAge03*'01_Вводные'!$B$218*AF204,MeanMinAge03)))</f>
        <v/>
      </c>
      <c r="AG111" s="190">
        <f>IF(OR(AG83=0,3&lt;='01_Вводные'!$B$297),0,AG83*IF('01_Вводные'!$B$239="Да",MeanMinAge03+AG204*SUMIF(ThresholdAge03,"&lt;"&amp;AG204,WeightedRevAge03)-SUMIF(ThresholdAge03,"&lt;"&amp;AG204,WeightedMinAge03),MAX(CapacityAge03*'01_Вводные'!$B$218*AG204,MeanMinAge03)))</f>
        <v/>
      </c>
      <c r="AH111" s="190">
        <f>IF(OR(AH83=0,3&lt;='01_Вводные'!$B$297),0,AH83*IF('01_Вводные'!$B$239="Да",MeanMinAge03+AH204*SUMIF(ThresholdAge03,"&lt;"&amp;AH204,WeightedRevAge03)-SUMIF(ThresholdAge03,"&lt;"&amp;AH204,WeightedMinAge03),MAX(CapacityAge03*'01_Вводные'!$B$218*AH204,MeanMinAge03)))</f>
        <v/>
      </c>
      <c r="AI111" s="190">
        <f>IF(OR(AI83=0,3&lt;='01_Вводные'!$B$297),0,AI83*IF('01_Вводные'!$B$239="Да",MeanMinAge03+AI204*SUMIF(ThresholdAge03,"&lt;"&amp;AI204,WeightedRevAge03)-SUMIF(ThresholdAge03,"&lt;"&amp;AI204,WeightedMinAge03),MAX(CapacityAge03*'01_Вводные'!$B$218*AI204,MeanMinAge03)))</f>
        <v/>
      </c>
      <c r="AJ111" s="190">
        <f>IF(OR(AJ83=0,3&lt;='01_Вводные'!$B$297),0,AJ83*IF('01_Вводные'!$B$239="Да",MeanMinAge03+AJ204*SUMIF(ThresholdAge03,"&lt;"&amp;AJ204,WeightedRevAge03)-SUMIF(ThresholdAge03,"&lt;"&amp;AJ204,WeightedMinAge03),MAX(CapacityAge03*'01_Вводные'!$B$218*AJ204,MeanMinAge03)))</f>
        <v/>
      </c>
      <c r="AK111" s="190">
        <f>IF(OR(AK83=0,3&lt;='01_Вводные'!$B$297),0,AK83*IF('01_Вводные'!$B$239="Да",MeanMinAge03+AK204*SUMIF(ThresholdAge03,"&lt;"&amp;AK204,WeightedRevAge03)-SUMIF(ThresholdAge03,"&lt;"&amp;AK204,WeightedMinAge03),MAX(CapacityAge03*'01_Вводные'!$B$218*AK204,MeanMinAge03)))</f>
        <v/>
      </c>
      <c r="AL111" s="190">
        <f>IF(OR(AL83=0,3&lt;='01_Вводные'!$B$297),0,AL83*IF('01_Вводные'!$B$239="Да",MeanMinAge03+AL204*SUMIF(ThresholdAge03,"&lt;"&amp;AL204,WeightedRevAge03)-SUMIF(ThresholdAge03,"&lt;"&amp;AL204,WeightedMinAge03),MAX(CapacityAge03*'01_Вводные'!$B$218*AL204,MeanMinAge03)))</f>
        <v/>
      </c>
      <c r="AM111" s="190">
        <f>IF(OR(AM83=0,3&lt;='01_Вводные'!$B$297),0,AM83*IF('01_Вводные'!$B$239="Да",MeanMinAge03+AM204*SUMIF(ThresholdAge03,"&lt;"&amp;AM204,WeightedRevAge03)-SUMIF(ThresholdAge03,"&lt;"&amp;AM204,WeightedMinAge03),MAX(CapacityAge03*'01_Вводные'!$B$218*AM204,MeanMinAge03)))</f>
        <v/>
      </c>
      <c r="AN111" s="190">
        <f>IF(OR(AN83=0,3&lt;='01_Вводные'!$B$297),0,AN83*IF('01_Вводные'!$B$239="Да",MeanMinAge03+AN204*SUMIF(ThresholdAge03,"&lt;"&amp;AN204,WeightedRevAge03)-SUMIF(ThresholdAge03,"&lt;"&amp;AN204,WeightedMinAge03),MAX(CapacityAge03*'01_Вводные'!$B$218*AN204,MeanMinAge03)))</f>
        <v/>
      </c>
      <c r="AO111" s="190">
        <f>IF(OR(AO83=0,3&lt;='01_Вводные'!$B$297),0,AO83*IF('01_Вводные'!$B$239="Да",MeanMinAge03+AO204*SUMIF(ThresholdAge03,"&lt;"&amp;AO204,WeightedRevAge03)-SUMIF(ThresholdAge03,"&lt;"&amp;AO204,WeightedMinAge03),MAX(CapacityAge03*'01_Вводные'!$B$218*AO204,MeanMinAge03)))</f>
        <v/>
      </c>
      <c r="AP111" s="190">
        <f>IF(OR(AP83=0,3&lt;='01_Вводные'!$B$297),0,AP83*IF('01_Вводные'!$B$239="Да",MeanMinAge03+AP204*SUMIF(ThresholdAge03,"&lt;"&amp;AP204,WeightedRevAge03)-SUMIF(ThresholdAge03,"&lt;"&amp;AP204,WeightedMinAge03),MAX(CapacityAge03*'01_Вводные'!$B$218*AP204,MeanMinAge03)))</f>
        <v/>
      </c>
      <c r="AQ111" s="190">
        <f>IF(OR(AQ83=0,3&lt;='01_Вводные'!$B$297),0,AQ83*IF('01_Вводные'!$B$239="Да",MeanMinAge03+AQ204*SUMIF(ThresholdAge03,"&lt;"&amp;AQ204,WeightedRevAge03)-SUMIF(ThresholdAge03,"&lt;"&amp;AQ204,WeightedMinAge03),MAX(CapacityAge03*'01_Вводные'!$B$218*AQ204,MeanMinAge03)))</f>
        <v/>
      </c>
      <c r="AR111" s="190">
        <f>IF(OR(AR83=0,3&lt;='01_Вводные'!$B$297),0,AR83*IF('01_Вводные'!$B$239="Да",MeanMinAge03+AR204*SUMIF(ThresholdAge03,"&lt;"&amp;AR204,WeightedRevAge03)-SUMIF(ThresholdAge03,"&lt;"&amp;AR204,WeightedMinAge03),MAX(CapacityAge03*'01_Вводные'!$B$218*AR204,MeanMinAge03)))</f>
        <v/>
      </c>
      <c r="AS111" s="190">
        <f>IF(OR(AS83=0,3&lt;='01_Вводные'!$B$297),0,AS83*IF('01_Вводные'!$B$239="Да",MeanMinAge03+AS204*SUMIF(ThresholdAge03,"&lt;"&amp;AS204,WeightedRevAge03)-SUMIF(ThresholdAge03,"&lt;"&amp;AS204,WeightedMinAge03),MAX(CapacityAge03*'01_Вводные'!$B$218*AS204,MeanMinAge03)))</f>
        <v/>
      </c>
      <c r="AT111" s="190">
        <f>IF(OR(AT83=0,3&lt;='01_Вводные'!$B$297),0,AT83*IF('01_Вводные'!$B$239="Да",MeanMinAge03+AT204*SUMIF(ThresholdAge03,"&lt;"&amp;AT204,WeightedRevAge03)-SUMIF(ThresholdAge03,"&lt;"&amp;AT204,WeightedMinAge03),MAX(CapacityAge03*'01_Вводные'!$B$218*AT204,MeanMinAge03)))</f>
        <v/>
      </c>
      <c r="AU111" s="190">
        <f>IF(OR(AU83=0,3&lt;='01_Вводные'!$B$297),0,AU83*IF('01_Вводные'!$B$239="Да",MeanMinAge03+AU204*SUMIF(ThresholdAge03,"&lt;"&amp;AU204,WeightedRevAge03)-SUMIF(ThresholdAge03,"&lt;"&amp;AU204,WeightedMinAge03),MAX(CapacityAge03*'01_Вводные'!$B$218*AU204,MeanMinAge03)))</f>
        <v/>
      </c>
      <c r="AV111" s="190">
        <f>IF(OR(AV83=0,3&lt;='01_Вводные'!$B$297),0,AV83*IF('01_Вводные'!$B$239="Да",MeanMinAge03+AV204*SUMIF(ThresholdAge03,"&lt;"&amp;AV204,WeightedRevAge03)-SUMIF(ThresholdAge03,"&lt;"&amp;AV204,WeightedMinAge03),MAX(CapacityAge03*'01_Вводные'!$B$218*AV204,MeanMinAge03)))</f>
        <v/>
      </c>
      <c r="AW111" s="190">
        <f>IF(OR(AW83=0,3&lt;='01_Вводные'!$B$297),0,AW83*IF('01_Вводные'!$B$239="Да",MeanMinAge03+AW204*SUMIF(ThresholdAge03,"&lt;"&amp;AW204,WeightedRevAge03)-SUMIF(ThresholdAge03,"&lt;"&amp;AW204,WeightedMinAge03),MAX(CapacityAge03*'01_Вводные'!$B$218*AW204,MeanMinAge03)))</f>
        <v/>
      </c>
      <c r="AX111" s="190">
        <f>IF(OR(AX83=0,3&lt;='01_Вводные'!$B$297),0,AX83*IF('01_Вводные'!$B$239="Да",MeanMinAge03+AX204*SUMIF(ThresholdAge03,"&lt;"&amp;AX204,WeightedRevAge03)-SUMIF(ThresholdAge03,"&lt;"&amp;AX204,WeightedMinAge03),MAX(CapacityAge03*'01_Вводные'!$B$218*AX204,MeanMinAge03)))</f>
        <v/>
      </c>
      <c r="AY111" s="190">
        <f>IF(OR(AY83=0,3&lt;='01_Вводные'!$B$297),0,AY83*IF('01_Вводные'!$B$239="Да",MeanMinAge03+AY204*SUMIF(ThresholdAge03,"&lt;"&amp;AY204,WeightedRevAge03)-SUMIF(ThresholdAge03,"&lt;"&amp;AY204,WeightedMinAge03),MAX(CapacityAge03*'01_Вводные'!$B$218*AY204,MeanMinAge03)))</f>
        <v/>
      </c>
      <c r="AZ111" s="190">
        <f>IF(OR(AZ83=0,3&lt;='01_Вводные'!$B$297),0,AZ83*IF('01_Вводные'!$B$239="Да",MeanMinAge03+AZ204*SUMIF(ThresholdAge03,"&lt;"&amp;AZ204,WeightedRevAge03)-SUMIF(ThresholdAge03,"&lt;"&amp;AZ204,WeightedMinAge03),MAX(CapacityAge03*'01_Вводные'!$B$218*AZ204,MeanMinAge03)))</f>
        <v/>
      </c>
      <c r="BA111" s="190">
        <f>IF(OR(BA83=0,3&lt;='01_Вводные'!$B$297),0,BA83*IF('01_Вводные'!$B$239="Да",MeanMinAge03+BA204*SUMIF(ThresholdAge03,"&lt;"&amp;BA204,WeightedRevAge03)-SUMIF(ThresholdAge03,"&lt;"&amp;BA204,WeightedMinAge03),MAX(CapacityAge03*'01_Вводные'!$B$218*BA204,MeanMinAge03)))</f>
        <v/>
      </c>
      <c r="BB111" s="190">
        <f>IF(OR(BB83=0,3&lt;='01_Вводные'!$B$297),0,BB83*IF('01_Вводные'!$B$239="Да",MeanMinAge03+BB204*SUMIF(ThresholdAge03,"&lt;"&amp;BB204,WeightedRevAge03)-SUMIF(ThresholdAge03,"&lt;"&amp;BB204,WeightedMinAge03),MAX(CapacityAge03*'01_Вводные'!$B$218*BB204,MeanMinAge03)))</f>
        <v/>
      </c>
      <c r="BC111" s="190">
        <f>IF(OR(BC83=0,3&lt;='01_Вводные'!$B$297),0,BC83*IF('01_Вводные'!$B$239="Да",MeanMinAge03+BC204*SUMIF(ThresholdAge03,"&lt;"&amp;BC204,WeightedRevAge03)-SUMIF(ThresholdAge03,"&lt;"&amp;BC204,WeightedMinAge03),MAX(CapacityAge03*'01_Вводные'!$B$218*BC204,MeanMinAge03)))</f>
        <v/>
      </c>
      <c r="BD111" s="190">
        <f>IF(OR(BD83=0,3&lt;='01_Вводные'!$B$297),0,BD83*IF('01_Вводные'!$B$239="Да",MeanMinAge03+BD204*SUMIF(ThresholdAge03,"&lt;"&amp;BD204,WeightedRevAge03)-SUMIF(ThresholdAge03,"&lt;"&amp;BD204,WeightedMinAge03),MAX(CapacityAge03*'01_Вводные'!$B$218*BD204,MeanMinAge03)))</f>
        <v/>
      </c>
      <c r="BE111" s="190">
        <f>IF(OR(BE83=0,3&lt;='01_Вводные'!$B$297),0,BE83*IF('01_Вводные'!$B$239="Да",MeanMinAge03+BE204*SUMIF(ThresholdAge03,"&lt;"&amp;BE204,WeightedRevAge03)-SUMIF(ThresholdAge03,"&lt;"&amp;BE204,WeightedMinAge03),MAX(CapacityAge03*'01_Вводные'!$B$218*BE204,MeanMinAge03)))</f>
        <v/>
      </c>
      <c r="BF111" s="190">
        <f>IF(OR(BF83=0,3&lt;='01_Вводные'!$B$297),0,BF83*IF('01_Вводные'!$B$239="Да",MeanMinAge03+BF204*SUMIF(ThresholdAge03,"&lt;"&amp;BF204,WeightedRevAge03)-SUMIF(ThresholdAge03,"&lt;"&amp;BF204,WeightedMinAge03),MAX(CapacityAge03*'01_Вводные'!$B$218*BF204,MeanMinAge03)))</f>
        <v/>
      </c>
      <c r="BG111" s="190">
        <f>IF(OR(BG83=0,3&lt;='01_Вводные'!$B$297),0,BG83*IF('01_Вводные'!$B$239="Да",MeanMinAge03+BG204*SUMIF(ThresholdAge03,"&lt;"&amp;BG204,WeightedRevAge03)-SUMIF(ThresholdAge03,"&lt;"&amp;BG204,WeightedMinAge03),MAX(CapacityAge03*'01_Вводные'!$B$218*BG204,MeanMinAge03)))</f>
        <v/>
      </c>
      <c r="BH111" s="190">
        <f>IF(OR(BH83=0,3&lt;='01_Вводные'!$B$297),0,BH83*IF('01_Вводные'!$B$239="Да",MeanMinAge03+BH204*SUMIF(ThresholdAge03,"&lt;"&amp;BH204,WeightedRevAge03)-SUMIF(ThresholdAge03,"&lt;"&amp;BH204,WeightedMinAge03),MAX(CapacityAge03*'01_Вводные'!$B$218*BH204,MeanMinAge03)))</f>
        <v/>
      </c>
      <c r="BI111" s="190">
        <f>IF(OR(BI83=0,3&lt;='01_Вводные'!$B$297),0,BI83*IF('01_Вводные'!$B$239="Да",MeanMinAge03+BI204*SUMIF(ThresholdAge03,"&lt;"&amp;BI204,WeightedRevAge03)-SUMIF(ThresholdAge03,"&lt;"&amp;BI204,WeightedMinAge03),MAX(CapacityAge03*'01_Вводные'!$B$218*BI204,MeanMinAge03)))</f>
        <v/>
      </c>
      <c r="BJ111" s="190">
        <f>IF(OR(BJ83=0,3&lt;='01_Вводные'!$B$297),0,BJ83*IF('01_Вводные'!$B$239="Да",MeanMinAge03+BJ204*SUMIF(ThresholdAge03,"&lt;"&amp;BJ204,WeightedRevAge03)-SUMIF(ThresholdAge03,"&lt;"&amp;BJ204,WeightedMinAge03),MAX(CapacityAge03*'01_Вводные'!$B$218*BJ204,MeanMinAge03)))</f>
        <v/>
      </c>
      <c r="BK111" s="190">
        <f>IF(OR(BK83=0,3&lt;='01_Вводные'!$B$297),0,BK83*IF('01_Вводные'!$B$239="Да",MeanMinAge03+BK204*SUMIF(ThresholdAge03,"&lt;"&amp;BK204,WeightedRevAge03)-SUMIF(ThresholdAge03,"&lt;"&amp;BK204,WeightedMinAge03),MAX(CapacityAge03*'01_Вводные'!$B$218*BK204,MeanMinAge03)))</f>
        <v/>
      </c>
      <c r="BL111" s="190">
        <f>IF(OR(BL83=0,3&lt;='01_Вводные'!$B$297),0,BL83*IF('01_Вводные'!$B$239="Да",MeanMinAge03+BL204*SUMIF(ThresholdAge03,"&lt;"&amp;BL204,WeightedRevAge03)-SUMIF(ThresholdAge03,"&lt;"&amp;BL204,WeightedMinAge03),MAX(CapacityAge03*'01_Вводные'!$B$218*BL204,MeanMinAge03)))</f>
        <v/>
      </c>
      <c r="BM111" s="190">
        <f>IF(OR(BM83=0,3&lt;='01_Вводные'!$B$297),0,BM83*IF('01_Вводные'!$B$239="Да",MeanMinAge03+BM204*SUMIF(ThresholdAge03,"&lt;"&amp;BM204,WeightedRevAge03)-SUMIF(ThresholdAge03,"&lt;"&amp;BM204,WeightedMinAge03),MAX(CapacityAge03*'01_Вводные'!$B$218*BM204,MeanMinAge03)))</f>
        <v/>
      </c>
      <c r="BN111" s="190">
        <f>IF(OR(BN83=0,3&lt;='01_Вводные'!$B$297),0,BN83*IF('01_Вводные'!$B$239="Да",MeanMinAge03+BN204*SUMIF(ThresholdAge03,"&lt;"&amp;BN204,WeightedRevAge03)-SUMIF(ThresholdAge03,"&lt;"&amp;BN204,WeightedMinAge03),MAX(CapacityAge03*'01_Вводные'!$B$218*BN204,MeanMinAge03)))</f>
        <v/>
      </c>
      <c r="BO111" s="190">
        <f>IF(OR(BO83=0,3&lt;='01_Вводные'!$B$297),0,BO83*IF('01_Вводные'!$B$239="Да",MeanMinAge03+BO204*SUMIF(ThresholdAge03,"&lt;"&amp;BO204,WeightedRevAge03)-SUMIF(ThresholdAge03,"&lt;"&amp;BO204,WeightedMinAge03),MAX(CapacityAge03*'01_Вводные'!$B$218*BO204,MeanMinAge03)))</f>
        <v/>
      </c>
    </row>
    <row r="112" hidden="1" outlineLevel="1">
      <c r="A112" t="inlineStr">
        <is>
          <t>4 мес.</t>
        </is>
      </c>
      <c r="B112" s="190">
        <f>IF(OR(B84=0,4&lt;='01_Вводные'!$B$297),0,B84*IF('01_Вводные'!$B$239="Да",MeanMinAge04+B204*SUMIF(ThresholdAge04,"&lt;"&amp;B204,WeightedRevAge04)-SUMIF(ThresholdAge04,"&lt;"&amp;B204,WeightedMinAge04),MAX(CapacityAge04*'01_Вводные'!$B$218*B204,MeanMinAge04)))</f>
        <v/>
      </c>
      <c r="C112" s="190">
        <f>IF(OR(C84=0,4&lt;='01_Вводные'!$B$297),0,C84*IF('01_Вводные'!$B$239="Да",MeanMinAge04+C204*SUMIF(ThresholdAge04,"&lt;"&amp;C204,WeightedRevAge04)-SUMIF(ThresholdAge04,"&lt;"&amp;C204,WeightedMinAge04),MAX(CapacityAge04*'01_Вводные'!$B$218*C204,MeanMinAge04)))</f>
        <v/>
      </c>
      <c r="D112" s="190">
        <f>IF(OR(D84=0,4&lt;='01_Вводные'!$B$297),0,D84*IF('01_Вводные'!$B$239="Да",MeanMinAge04+D204*SUMIF(ThresholdAge04,"&lt;"&amp;D204,WeightedRevAge04)-SUMIF(ThresholdAge04,"&lt;"&amp;D204,WeightedMinAge04),MAX(CapacityAge04*'01_Вводные'!$B$218*D204,MeanMinAge04)))</f>
        <v/>
      </c>
      <c r="E112" s="190">
        <f>IF(OR(E84=0,4&lt;='01_Вводные'!$B$297),0,E84*IF('01_Вводные'!$B$239="Да",MeanMinAge04+E204*SUMIF(ThresholdAge04,"&lt;"&amp;E204,WeightedRevAge04)-SUMIF(ThresholdAge04,"&lt;"&amp;E204,WeightedMinAge04),MAX(CapacityAge04*'01_Вводные'!$B$218*E204,MeanMinAge04)))</f>
        <v/>
      </c>
      <c r="F112" s="190">
        <f>IF(OR(F84=0,4&lt;='01_Вводные'!$B$297),0,F84*IF('01_Вводные'!$B$239="Да",MeanMinAge04+F204*SUMIF(ThresholdAge04,"&lt;"&amp;F204,WeightedRevAge04)-SUMIF(ThresholdAge04,"&lt;"&amp;F204,WeightedMinAge04),MAX(CapacityAge04*'01_Вводные'!$B$218*F204,MeanMinAge04)))</f>
        <v/>
      </c>
      <c r="G112" s="190">
        <f>IF(OR(G84=0,4&lt;='01_Вводные'!$B$297),0,G84*IF('01_Вводные'!$B$239="Да",MeanMinAge04+G204*SUMIF(ThresholdAge04,"&lt;"&amp;G204,WeightedRevAge04)-SUMIF(ThresholdAge04,"&lt;"&amp;G204,WeightedMinAge04),MAX(CapacityAge04*'01_Вводные'!$B$218*G204,MeanMinAge04)))</f>
        <v/>
      </c>
      <c r="H112" s="190">
        <f>IF(OR(H84=0,4&lt;='01_Вводные'!$B$297),0,H84*IF('01_Вводные'!$B$239="Да",MeanMinAge04+H204*SUMIF(ThresholdAge04,"&lt;"&amp;H204,WeightedRevAge04)-SUMIF(ThresholdAge04,"&lt;"&amp;H204,WeightedMinAge04),MAX(CapacityAge04*'01_Вводные'!$B$218*H204,MeanMinAge04)))</f>
        <v/>
      </c>
      <c r="I112" s="190">
        <f>IF(OR(I84=0,4&lt;='01_Вводные'!$B$297),0,I84*IF('01_Вводные'!$B$239="Да",MeanMinAge04+I204*SUMIF(ThresholdAge04,"&lt;"&amp;I204,WeightedRevAge04)-SUMIF(ThresholdAge04,"&lt;"&amp;I204,WeightedMinAge04),MAX(CapacityAge04*'01_Вводные'!$B$218*I204,MeanMinAge04)))</f>
        <v/>
      </c>
      <c r="J112" s="190">
        <f>IF(OR(J84=0,4&lt;='01_Вводные'!$B$297),0,J84*IF('01_Вводные'!$B$239="Да",MeanMinAge04+J204*SUMIF(ThresholdAge04,"&lt;"&amp;J204,WeightedRevAge04)-SUMIF(ThresholdAge04,"&lt;"&amp;J204,WeightedMinAge04),MAX(CapacityAge04*'01_Вводные'!$B$218*J204,MeanMinAge04)))</f>
        <v/>
      </c>
      <c r="K112" s="190">
        <f>IF(OR(K84=0,4&lt;='01_Вводные'!$B$297),0,K84*IF('01_Вводные'!$B$239="Да",MeanMinAge04+K204*SUMIF(ThresholdAge04,"&lt;"&amp;K204,WeightedRevAge04)-SUMIF(ThresholdAge04,"&lt;"&amp;K204,WeightedMinAge04),MAX(CapacityAge04*'01_Вводные'!$B$218*K204,MeanMinAge04)))</f>
        <v/>
      </c>
      <c r="L112" s="190">
        <f>IF(OR(L84=0,4&lt;='01_Вводные'!$B$297),0,L84*IF('01_Вводные'!$B$239="Да",MeanMinAge04+L204*SUMIF(ThresholdAge04,"&lt;"&amp;L204,WeightedRevAge04)-SUMIF(ThresholdAge04,"&lt;"&amp;L204,WeightedMinAge04),MAX(CapacityAge04*'01_Вводные'!$B$218*L204,MeanMinAge04)))</f>
        <v/>
      </c>
      <c r="M112" s="190">
        <f>IF(OR(M84=0,4&lt;='01_Вводные'!$B$297),0,M84*IF('01_Вводные'!$B$239="Да",MeanMinAge04+M204*SUMIF(ThresholdAge04,"&lt;"&amp;M204,WeightedRevAge04)-SUMIF(ThresholdAge04,"&lt;"&amp;M204,WeightedMinAge04),MAX(CapacityAge04*'01_Вводные'!$B$218*M204,MeanMinAge04)))</f>
        <v/>
      </c>
      <c r="N112" s="190">
        <f>IF(OR(N84=0,4&lt;='01_Вводные'!$B$297),0,N84*IF('01_Вводные'!$B$239="Да",MeanMinAge04+N204*SUMIF(ThresholdAge04,"&lt;"&amp;N204,WeightedRevAge04)-SUMIF(ThresholdAge04,"&lt;"&amp;N204,WeightedMinAge04),MAX(CapacityAge04*'01_Вводные'!$B$218*N204,MeanMinAge04)))</f>
        <v/>
      </c>
      <c r="O112" s="190">
        <f>IF(OR(O84=0,4&lt;='01_Вводные'!$B$297),0,O84*IF('01_Вводные'!$B$239="Да",MeanMinAge04+O204*SUMIF(ThresholdAge04,"&lt;"&amp;O204,WeightedRevAge04)-SUMIF(ThresholdAge04,"&lt;"&amp;O204,WeightedMinAge04),MAX(CapacityAge04*'01_Вводные'!$B$218*O204,MeanMinAge04)))</f>
        <v/>
      </c>
      <c r="P112" s="190">
        <f>IF(OR(P84=0,4&lt;='01_Вводные'!$B$297),0,P84*IF('01_Вводные'!$B$239="Да",MeanMinAge04+P204*SUMIF(ThresholdAge04,"&lt;"&amp;P204,WeightedRevAge04)-SUMIF(ThresholdAge04,"&lt;"&amp;P204,WeightedMinAge04),MAX(CapacityAge04*'01_Вводные'!$B$218*P204,MeanMinAge04)))</f>
        <v/>
      </c>
      <c r="Q112" s="190">
        <f>IF(OR(Q84=0,4&lt;='01_Вводные'!$B$297),0,Q84*IF('01_Вводные'!$B$239="Да",MeanMinAge04+Q204*SUMIF(ThresholdAge04,"&lt;"&amp;Q204,WeightedRevAge04)-SUMIF(ThresholdAge04,"&lt;"&amp;Q204,WeightedMinAge04),MAX(CapacityAge04*'01_Вводные'!$B$218*Q204,MeanMinAge04)))</f>
        <v/>
      </c>
      <c r="R112" s="190">
        <f>IF(OR(R84=0,4&lt;='01_Вводные'!$B$297),0,R84*IF('01_Вводные'!$B$239="Да",MeanMinAge04+R204*SUMIF(ThresholdAge04,"&lt;"&amp;R204,WeightedRevAge04)-SUMIF(ThresholdAge04,"&lt;"&amp;R204,WeightedMinAge04),MAX(CapacityAge04*'01_Вводные'!$B$218*R204,MeanMinAge04)))</f>
        <v/>
      </c>
      <c r="S112" s="190">
        <f>IF(OR(S84=0,4&lt;='01_Вводные'!$B$297),0,S84*IF('01_Вводные'!$B$239="Да",MeanMinAge04+S204*SUMIF(ThresholdAge04,"&lt;"&amp;S204,WeightedRevAge04)-SUMIF(ThresholdAge04,"&lt;"&amp;S204,WeightedMinAge04),MAX(CapacityAge04*'01_Вводные'!$B$218*S204,MeanMinAge04)))</f>
        <v/>
      </c>
      <c r="T112" s="190">
        <f>IF(OR(T84=0,4&lt;='01_Вводные'!$B$297),0,T84*IF('01_Вводные'!$B$239="Да",MeanMinAge04+T204*SUMIF(ThresholdAge04,"&lt;"&amp;T204,WeightedRevAge04)-SUMIF(ThresholdAge04,"&lt;"&amp;T204,WeightedMinAge04),MAX(CapacityAge04*'01_Вводные'!$B$218*T204,MeanMinAge04)))</f>
        <v/>
      </c>
      <c r="U112" s="190">
        <f>IF(OR(U84=0,4&lt;='01_Вводные'!$B$297),0,U84*IF('01_Вводные'!$B$239="Да",MeanMinAge04+U204*SUMIF(ThresholdAge04,"&lt;"&amp;U204,WeightedRevAge04)-SUMIF(ThresholdAge04,"&lt;"&amp;U204,WeightedMinAge04),MAX(CapacityAge04*'01_Вводные'!$B$218*U204,MeanMinAge04)))</f>
        <v/>
      </c>
      <c r="V112" s="190">
        <f>IF(OR(V84=0,4&lt;='01_Вводные'!$B$297),0,V84*IF('01_Вводные'!$B$239="Да",MeanMinAge04+V204*SUMIF(ThresholdAge04,"&lt;"&amp;V204,WeightedRevAge04)-SUMIF(ThresholdAge04,"&lt;"&amp;V204,WeightedMinAge04),MAX(CapacityAge04*'01_Вводные'!$B$218*V204,MeanMinAge04)))</f>
        <v/>
      </c>
      <c r="W112" s="190">
        <f>IF(OR(W84=0,4&lt;='01_Вводные'!$B$297),0,W84*IF('01_Вводные'!$B$239="Да",MeanMinAge04+W204*SUMIF(ThresholdAge04,"&lt;"&amp;W204,WeightedRevAge04)-SUMIF(ThresholdAge04,"&lt;"&amp;W204,WeightedMinAge04),MAX(CapacityAge04*'01_Вводные'!$B$218*W204,MeanMinAge04)))</f>
        <v/>
      </c>
      <c r="X112" s="190">
        <f>IF(OR(X84=0,4&lt;='01_Вводные'!$B$297),0,X84*IF('01_Вводные'!$B$239="Да",MeanMinAge04+X204*SUMIF(ThresholdAge04,"&lt;"&amp;X204,WeightedRevAge04)-SUMIF(ThresholdAge04,"&lt;"&amp;X204,WeightedMinAge04),MAX(CapacityAge04*'01_Вводные'!$B$218*X204,MeanMinAge04)))</f>
        <v/>
      </c>
      <c r="Y112" s="190">
        <f>IF(OR(Y84=0,4&lt;='01_Вводные'!$B$297),0,Y84*IF('01_Вводные'!$B$239="Да",MeanMinAge04+Y204*SUMIF(ThresholdAge04,"&lt;"&amp;Y204,WeightedRevAge04)-SUMIF(ThresholdAge04,"&lt;"&amp;Y204,WeightedMinAge04),MAX(CapacityAge04*'01_Вводные'!$B$218*Y204,MeanMinAge04)))</f>
        <v/>
      </c>
      <c r="Z112" s="190">
        <f>IF(OR(Z84=0,4&lt;='01_Вводные'!$B$297),0,Z84*IF('01_Вводные'!$B$239="Да",MeanMinAge04+Z204*SUMIF(ThresholdAge04,"&lt;"&amp;Z204,WeightedRevAge04)-SUMIF(ThresholdAge04,"&lt;"&amp;Z204,WeightedMinAge04),MAX(CapacityAge04*'01_Вводные'!$B$218*Z204,MeanMinAge04)))</f>
        <v/>
      </c>
      <c r="AA112" s="190">
        <f>IF(OR(AA84=0,4&lt;='01_Вводные'!$B$297),0,AA84*IF('01_Вводные'!$B$239="Да",MeanMinAge04+AA204*SUMIF(ThresholdAge04,"&lt;"&amp;AA204,WeightedRevAge04)-SUMIF(ThresholdAge04,"&lt;"&amp;AA204,WeightedMinAge04),MAX(CapacityAge04*'01_Вводные'!$B$218*AA204,MeanMinAge04)))</f>
        <v/>
      </c>
      <c r="AB112" s="190">
        <f>IF(OR(AB84=0,4&lt;='01_Вводные'!$B$297),0,AB84*IF('01_Вводные'!$B$239="Да",MeanMinAge04+AB204*SUMIF(ThresholdAge04,"&lt;"&amp;AB204,WeightedRevAge04)-SUMIF(ThresholdAge04,"&lt;"&amp;AB204,WeightedMinAge04),MAX(CapacityAge04*'01_Вводные'!$B$218*AB204,MeanMinAge04)))</f>
        <v/>
      </c>
      <c r="AC112" s="190">
        <f>IF(OR(AC84=0,4&lt;='01_Вводные'!$B$297),0,AC84*IF('01_Вводные'!$B$239="Да",MeanMinAge04+AC204*SUMIF(ThresholdAge04,"&lt;"&amp;AC204,WeightedRevAge04)-SUMIF(ThresholdAge04,"&lt;"&amp;AC204,WeightedMinAge04),MAX(CapacityAge04*'01_Вводные'!$B$218*AC204,MeanMinAge04)))</f>
        <v/>
      </c>
      <c r="AD112" s="190">
        <f>IF(OR(AD84=0,4&lt;='01_Вводные'!$B$297),0,AD84*IF('01_Вводные'!$B$239="Да",MeanMinAge04+AD204*SUMIF(ThresholdAge04,"&lt;"&amp;AD204,WeightedRevAge04)-SUMIF(ThresholdAge04,"&lt;"&amp;AD204,WeightedMinAge04),MAX(CapacityAge04*'01_Вводные'!$B$218*AD204,MeanMinAge04)))</f>
        <v/>
      </c>
      <c r="AE112" s="190">
        <f>IF(OR(AE84=0,4&lt;='01_Вводные'!$B$297),0,AE84*IF('01_Вводные'!$B$239="Да",MeanMinAge04+AE204*SUMIF(ThresholdAge04,"&lt;"&amp;AE204,WeightedRevAge04)-SUMIF(ThresholdAge04,"&lt;"&amp;AE204,WeightedMinAge04),MAX(CapacityAge04*'01_Вводные'!$B$218*AE204,MeanMinAge04)))</f>
        <v/>
      </c>
      <c r="AF112" s="190">
        <f>IF(OR(AF84=0,4&lt;='01_Вводные'!$B$297),0,AF84*IF('01_Вводные'!$B$239="Да",MeanMinAge04+AF204*SUMIF(ThresholdAge04,"&lt;"&amp;AF204,WeightedRevAge04)-SUMIF(ThresholdAge04,"&lt;"&amp;AF204,WeightedMinAge04),MAX(CapacityAge04*'01_Вводные'!$B$218*AF204,MeanMinAge04)))</f>
        <v/>
      </c>
      <c r="AG112" s="190">
        <f>IF(OR(AG84=0,4&lt;='01_Вводные'!$B$297),0,AG84*IF('01_Вводные'!$B$239="Да",MeanMinAge04+AG204*SUMIF(ThresholdAge04,"&lt;"&amp;AG204,WeightedRevAge04)-SUMIF(ThresholdAge04,"&lt;"&amp;AG204,WeightedMinAge04),MAX(CapacityAge04*'01_Вводные'!$B$218*AG204,MeanMinAge04)))</f>
        <v/>
      </c>
      <c r="AH112" s="190">
        <f>IF(OR(AH84=0,4&lt;='01_Вводные'!$B$297),0,AH84*IF('01_Вводные'!$B$239="Да",MeanMinAge04+AH204*SUMIF(ThresholdAge04,"&lt;"&amp;AH204,WeightedRevAge04)-SUMIF(ThresholdAge04,"&lt;"&amp;AH204,WeightedMinAge04),MAX(CapacityAge04*'01_Вводные'!$B$218*AH204,MeanMinAge04)))</f>
        <v/>
      </c>
      <c r="AI112" s="190">
        <f>IF(OR(AI84=0,4&lt;='01_Вводные'!$B$297),0,AI84*IF('01_Вводные'!$B$239="Да",MeanMinAge04+AI204*SUMIF(ThresholdAge04,"&lt;"&amp;AI204,WeightedRevAge04)-SUMIF(ThresholdAge04,"&lt;"&amp;AI204,WeightedMinAge04),MAX(CapacityAge04*'01_Вводные'!$B$218*AI204,MeanMinAge04)))</f>
        <v/>
      </c>
      <c r="AJ112" s="190">
        <f>IF(OR(AJ84=0,4&lt;='01_Вводные'!$B$297),0,AJ84*IF('01_Вводные'!$B$239="Да",MeanMinAge04+AJ204*SUMIF(ThresholdAge04,"&lt;"&amp;AJ204,WeightedRevAge04)-SUMIF(ThresholdAge04,"&lt;"&amp;AJ204,WeightedMinAge04),MAX(CapacityAge04*'01_Вводные'!$B$218*AJ204,MeanMinAge04)))</f>
        <v/>
      </c>
      <c r="AK112" s="190">
        <f>IF(OR(AK84=0,4&lt;='01_Вводные'!$B$297),0,AK84*IF('01_Вводные'!$B$239="Да",MeanMinAge04+AK204*SUMIF(ThresholdAge04,"&lt;"&amp;AK204,WeightedRevAge04)-SUMIF(ThresholdAge04,"&lt;"&amp;AK204,WeightedMinAge04),MAX(CapacityAge04*'01_Вводные'!$B$218*AK204,MeanMinAge04)))</f>
        <v/>
      </c>
      <c r="AL112" s="190">
        <f>IF(OR(AL84=0,4&lt;='01_Вводные'!$B$297),0,AL84*IF('01_Вводные'!$B$239="Да",MeanMinAge04+AL204*SUMIF(ThresholdAge04,"&lt;"&amp;AL204,WeightedRevAge04)-SUMIF(ThresholdAge04,"&lt;"&amp;AL204,WeightedMinAge04),MAX(CapacityAge04*'01_Вводные'!$B$218*AL204,MeanMinAge04)))</f>
        <v/>
      </c>
      <c r="AM112" s="190">
        <f>IF(OR(AM84=0,4&lt;='01_Вводные'!$B$297),0,AM84*IF('01_Вводные'!$B$239="Да",MeanMinAge04+AM204*SUMIF(ThresholdAge04,"&lt;"&amp;AM204,WeightedRevAge04)-SUMIF(ThresholdAge04,"&lt;"&amp;AM204,WeightedMinAge04),MAX(CapacityAge04*'01_Вводные'!$B$218*AM204,MeanMinAge04)))</f>
        <v/>
      </c>
      <c r="AN112" s="190">
        <f>IF(OR(AN84=0,4&lt;='01_Вводные'!$B$297),0,AN84*IF('01_Вводные'!$B$239="Да",MeanMinAge04+AN204*SUMIF(ThresholdAge04,"&lt;"&amp;AN204,WeightedRevAge04)-SUMIF(ThresholdAge04,"&lt;"&amp;AN204,WeightedMinAge04),MAX(CapacityAge04*'01_Вводные'!$B$218*AN204,MeanMinAge04)))</f>
        <v/>
      </c>
      <c r="AO112" s="190">
        <f>IF(OR(AO84=0,4&lt;='01_Вводные'!$B$297),0,AO84*IF('01_Вводные'!$B$239="Да",MeanMinAge04+AO204*SUMIF(ThresholdAge04,"&lt;"&amp;AO204,WeightedRevAge04)-SUMIF(ThresholdAge04,"&lt;"&amp;AO204,WeightedMinAge04),MAX(CapacityAge04*'01_Вводные'!$B$218*AO204,MeanMinAge04)))</f>
        <v/>
      </c>
      <c r="AP112" s="190">
        <f>IF(OR(AP84=0,4&lt;='01_Вводные'!$B$297),0,AP84*IF('01_Вводные'!$B$239="Да",MeanMinAge04+AP204*SUMIF(ThresholdAge04,"&lt;"&amp;AP204,WeightedRevAge04)-SUMIF(ThresholdAge04,"&lt;"&amp;AP204,WeightedMinAge04),MAX(CapacityAge04*'01_Вводные'!$B$218*AP204,MeanMinAge04)))</f>
        <v/>
      </c>
      <c r="AQ112" s="190">
        <f>IF(OR(AQ84=0,4&lt;='01_Вводные'!$B$297),0,AQ84*IF('01_Вводные'!$B$239="Да",MeanMinAge04+AQ204*SUMIF(ThresholdAge04,"&lt;"&amp;AQ204,WeightedRevAge04)-SUMIF(ThresholdAge04,"&lt;"&amp;AQ204,WeightedMinAge04),MAX(CapacityAge04*'01_Вводные'!$B$218*AQ204,MeanMinAge04)))</f>
        <v/>
      </c>
      <c r="AR112" s="190">
        <f>IF(OR(AR84=0,4&lt;='01_Вводные'!$B$297),0,AR84*IF('01_Вводные'!$B$239="Да",MeanMinAge04+AR204*SUMIF(ThresholdAge04,"&lt;"&amp;AR204,WeightedRevAge04)-SUMIF(ThresholdAge04,"&lt;"&amp;AR204,WeightedMinAge04),MAX(CapacityAge04*'01_Вводные'!$B$218*AR204,MeanMinAge04)))</f>
        <v/>
      </c>
      <c r="AS112" s="190">
        <f>IF(OR(AS84=0,4&lt;='01_Вводные'!$B$297),0,AS84*IF('01_Вводные'!$B$239="Да",MeanMinAge04+AS204*SUMIF(ThresholdAge04,"&lt;"&amp;AS204,WeightedRevAge04)-SUMIF(ThresholdAge04,"&lt;"&amp;AS204,WeightedMinAge04),MAX(CapacityAge04*'01_Вводные'!$B$218*AS204,MeanMinAge04)))</f>
        <v/>
      </c>
      <c r="AT112" s="190">
        <f>IF(OR(AT84=0,4&lt;='01_Вводные'!$B$297),0,AT84*IF('01_Вводные'!$B$239="Да",MeanMinAge04+AT204*SUMIF(ThresholdAge04,"&lt;"&amp;AT204,WeightedRevAge04)-SUMIF(ThresholdAge04,"&lt;"&amp;AT204,WeightedMinAge04),MAX(CapacityAge04*'01_Вводные'!$B$218*AT204,MeanMinAge04)))</f>
        <v/>
      </c>
      <c r="AU112" s="190">
        <f>IF(OR(AU84=0,4&lt;='01_Вводные'!$B$297),0,AU84*IF('01_Вводные'!$B$239="Да",MeanMinAge04+AU204*SUMIF(ThresholdAge04,"&lt;"&amp;AU204,WeightedRevAge04)-SUMIF(ThresholdAge04,"&lt;"&amp;AU204,WeightedMinAge04),MAX(CapacityAge04*'01_Вводные'!$B$218*AU204,MeanMinAge04)))</f>
        <v/>
      </c>
      <c r="AV112" s="190">
        <f>IF(OR(AV84=0,4&lt;='01_Вводные'!$B$297),0,AV84*IF('01_Вводные'!$B$239="Да",MeanMinAge04+AV204*SUMIF(ThresholdAge04,"&lt;"&amp;AV204,WeightedRevAge04)-SUMIF(ThresholdAge04,"&lt;"&amp;AV204,WeightedMinAge04),MAX(CapacityAge04*'01_Вводные'!$B$218*AV204,MeanMinAge04)))</f>
        <v/>
      </c>
      <c r="AW112" s="190">
        <f>IF(OR(AW84=0,4&lt;='01_Вводные'!$B$297),0,AW84*IF('01_Вводные'!$B$239="Да",MeanMinAge04+AW204*SUMIF(ThresholdAge04,"&lt;"&amp;AW204,WeightedRevAge04)-SUMIF(ThresholdAge04,"&lt;"&amp;AW204,WeightedMinAge04),MAX(CapacityAge04*'01_Вводные'!$B$218*AW204,MeanMinAge04)))</f>
        <v/>
      </c>
      <c r="AX112" s="190">
        <f>IF(OR(AX84=0,4&lt;='01_Вводные'!$B$297),0,AX84*IF('01_Вводные'!$B$239="Да",MeanMinAge04+AX204*SUMIF(ThresholdAge04,"&lt;"&amp;AX204,WeightedRevAge04)-SUMIF(ThresholdAge04,"&lt;"&amp;AX204,WeightedMinAge04),MAX(CapacityAge04*'01_Вводные'!$B$218*AX204,MeanMinAge04)))</f>
        <v/>
      </c>
      <c r="AY112" s="190">
        <f>IF(OR(AY84=0,4&lt;='01_Вводные'!$B$297),0,AY84*IF('01_Вводные'!$B$239="Да",MeanMinAge04+AY204*SUMIF(ThresholdAge04,"&lt;"&amp;AY204,WeightedRevAge04)-SUMIF(ThresholdAge04,"&lt;"&amp;AY204,WeightedMinAge04),MAX(CapacityAge04*'01_Вводные'!$B$218*AY204,MeanMinAge04)))</f>
        <v/>
      </c>
      <c r="AZ112" s="190">
        <f>IF(OR(AZ84=0,4&lt;='01_Вводные'!$B$297),0,AZ84*IF('01_Вводные'!$B$239="Да",MeanMinAge04+AZ204*SUMIF(ThresholdAge04,"&lt;"&amp;AZ204,WeightedRevAge04)-SUMIF(ThresholdAge04,"&lt;"&amp;AZ204,WeightedMinAge04),MAX(CapacityAge04*'01_Вводные'!$B$218*AZ204,MeanMinAge04)))</f>
        <v/>
      </c>
      <c r="BA112" s="190">
        <f>IF(OR(BA84=0,4&lt;='01_Вводные'!$B$297),0,BA84*IF('01_Вводные'!$B$239="Да",MeanMinAge04+BA204*SUMIF(ThresholdAge04,"&lt;"&amp;BA204,WeightedRevAge04)-SUMIF(ThresholdAge04,"&lt;"&amp;BA204,WeightedMinAge04),MAX(CapacityAge04*'01_Вводные'!$B$218*BA204,MeanMinAge04)))</f>
        <v/>
      </c>
      <c r="BB112" s="190">
        <f>IF(OR(BB84=0,4&lt;='01_Вводные'!$B$297),0,BB84*IF('01_Вводные'!$B$239="Да",MeanMinAge04+BB204*SUMIF(ThresholdAge04,"&lt;"&amp;BB204,WeightedRevAge04)-SUMIF(ThresholdAge04,"&lt;"&amp;BB204,WeightedMinAge04),MAX(CapacityAge04*'01_Вводные'!$B$218*BB204,MeanMinAge04)))</f>
        <v/>
      </c>
      <c r="BC112" s="190">
        <f>IF(OR(BC84=0,4&lt;='01_Вводные'!$B$297),0,BC84*IF('01_Вводные'!$B$239="Да",MeanMinAge04+BC204*SUMIF(ThresholdAge04,"&lt;"&amp;BC204,WeightedRevAge04)-SUMIF(ThresholdAge04,"&lt;"&amp;BC204,WeightedMinAge04),MAX(CapacityAge04*'01_Вводные'!$B$218*BC204,MeanMinAge04)))</f>
        <v/>
      </c>
      <c r="BD112" s="190">
        <f>IF(OR(BD84=0,4&lt;='01_Вводные'!$B$297),0,BD84*IF('01_Вводные'!$B$239="Да",MeanMinAge04+BD204*SUMIF(ThresholdAge04,"&lt;"&amp;BD204,WeightedRevAge04)-SUMIF(ThresholdAge04,"&lt;"&amp;BD204,WeightedMinAge04),MAX(CapacityAge04*'01_Вводные'!$B$218*BD204,MeanMinAge04)))</f>
        <v/>
      </c>
      <c r="BE112" s="190">
        <f>IF(OR(BE84=0,4&lt;='01_Вводные'!$B$297),0,BE84*IF('01_Вводные'!$B$239="Да",MeanMinAge04+BE204*SUMIF(ThresholdAge04,"&lt;"&amp;BE204,WeightedRevAge04)-SUMIF(ThresholdAge04,"&lt;"&amp;BE204,WeightedMinAge04),MAX(CapacityAge04*'01_Вводные'!$B$218*BE204,MeanMinAge04)))</f>
        <v/>
      </c>
      <c r="BF112" s="190">
        <f>IF(OR(BF84=0,4&lt;='01_Вводные'!$B$297),0,BF84*IF('01_Вводные'!$B$239="Да",MeanMinAge04+BF204*SUMIF(ThresholdAge04,"&lt;"&amp;BF204,WeightedRevAge04)-SUMIF(ThresholdAge04,"&lt;"&amp;BF204,WeightedMinAge04),MAX(CapacityAge04*'01_Вводные'!$B$218*BF204,MeanMinAge04)))</f>
        <v/>
      </c>
      <c r="BG112" s="190">
        <f>IF(OR(BG84=0,4&lt;='01_Вводные'!$B$297),0,BG84*IF('01_Вводные'!$B$239="Да",MeanMinAge04+BG204*SUMIF(ThresholdAge04,"&lt;"&amp;BG204,WeightedRevAge04)-SUMIF(ThresholdAge04,"&lt;"&amp;BG204,WeightedMinAge04),MAX(CapacityAge04*'01_Вводные'!$B$218*BG204,MeanMinAge04)))</f>
        <v/>
      </c>
      <c r="BH112" s="190">
        <f>IF(OR(BH84=0,4&lt;='01_Вводные'!$B$297),0,BH84*IF('01_Вводные'!$B$239="Да",MeanMinAge04+BH204*SUMIF(ThresholdAge04,"&lt;"&amp;BH204,WeightedRevAge04)-SUMIF(ThresholdAge04,"&lt;"&amp;BH204,WeightedMinAge04),MAX(CapacityAge04*'01_Вводные'!$B$218*BH204,MeanMinAge04)))</f>
        <v/>
      </c>
      <c r="BI112" s="190">
        <f>IF(OR(BI84=0,4&lt;='01_Вводные'!$B$297),0,BI84*IF('01_Вводные'!$B$239="Да",MeanMinAge04+BI204*SUMIF(ThresholdAge04,"&lt;"&amp;BI204,WeightedRevAge04)-SUMIF(ThresholdAge04,"&lt;"&amp;BI204,WeightedMinAge04),MAX(CapacityAge04*'01_Вводные'!$B$218*BI204,MeanMinAge04)))</f>
        <v/>
      </c>
      <c r="BJ112" s="190">
        <f>IF(OR(BJ84=0,4&lt;='01_Вводные'!$B$297),0,BJ84*IF('01_Вводные'!$B$239="Да",MeanMinAge04+BJ204*SUMIF(ThresholdAge04,"&lt;"&amp;BJ204,WeightedRevAge04)-SUMIF(ThresholdAge04,"&lt;"&amp;BJ204,WeightedMinAge04),MAX(CapacityAge04*'01_Вводные'!$B$218*BJ204,MeanMinAge04)))</f>
        <v/>
      </c>
      <c r="BK112" s="190">
        <f>IF(OR(BK84=0,4&lt;='01_Вводные'!$B$297),0,BK84*IF('01_Вводные'!$B$239="Да",MeanMinAge04+BK204*SUMIF(ThresholdAge04,"&lt;"&amp;BK204,WeightedRevAge04)-SUMIF(ThresholdAge04,"&lt;"&amp;BK204,WeightedMinAge04),MAX(CapacityAge04*'01_Вводные'!$B$218*BK204,MeanMinAge04)))</f>
        <v/>
      </c>
      <c r="BL112" s="190">
        <f>IF(OR(BL84=0,4&lt;='01_Вводные'!$B$297),0,BL84*IF('01_Вводные'!$B$239="Да",MeanMinAge04+BL204*SUMIF(ThresholdAge04,"&lt;"&amp;BL204,WeightedRevAge04)-SUMIF(ThresholdAge04,"&lt;"&amp;BL204,WeightedMinAge04),MAX(CapacityAge04*'01_Вводные'!$B$218*BL204,MeanMinAge04)))</f>
        <v/>
      </c>
      <c r="BM112" s="190">
        <f>IF(OR(BM84=0,4&lt;='01_Вводные'!$B$297),0,BM84*IF('01_Вводные'!$B$239="Да",MeanMinAge04+BM204*SUMIF(ThresholdAge04,"&lt;"&amp;BM204,WeightedRevAge04)-SUMIF(ThresholdAge04,"&lt;"&amp;BM204,WeightedMinAge04),MAX(CapacityAge04*'01_Вводные'!$B$218*BM204,MeanMinAge04)))</f>
        <v/>
      </c>
      <c r="BN112" s="190">
        <f>IF(OR(BN84=0,4&lt;='01_Вводные'!$B$297),0,BN84*IF('01_Вводные'!$B$239="Да",MeanMinAge04+BN204*SUMIF(ThresholdAge04,"&lt;"&amp;BN204,WeightedRevAge04)-SUMIF(ThresholdAge04,"&lt;"&amp;BN204,WeightedMinAge04),MAX(CapacityAge04*'01_Вводные'!$B$218*BN204,MeanMinAge04)))</f>
        <v/>
      </c>
      <c r="BO112" s="190">
        <f>IF(OR(BO84=0,4&lt;='01_Вводные'!$B$297),0,BO84*IF('01_Вводные'!$B$239="Да",MeanMinAge04+BO204*SUMIF(ThresholdAge04,"&lt;"&amp;BO204,WeightedRevAge04)-SUMIF(ThresholdAge04,"&lt;"&amp;BO204,WeightedMinAge04),MAX(CapacityAge04*'01_Вводные'!$B$218*BO204,MeanMinAge04)))</f>
        <v/>
      </c>
    </row>
    <row r="113" hidden="1" outlineLevel="1">
      <c r="A113" t="inlineStr">
        <is>
          <t>5 мес.</t>
        </is>
      </c>
      <c r="B113" s="190">
        <f>IF(OR(B85=0,5&lt;='01_Вводные'!$B$297),0,B85*IF('01_Вводные'!$B$239="Да",MeanMinAge05+B204*SUMIF(ThresholdAge05,"&lt;"&amp;B204,WeightedRevAge05)-SUMIF(ThresholdAge05,"&lt;"&amp;B204,WeightedMinAge05),MAX(CapacityAge05*'01_Вводные'!$B$218*B204,MeanMinAge05)))</f>
        <v/>
      </c>
      <c r="C113" s="190">
        <f>IF(OR(C85=0,5&lt;='01_Вводные'!$B$297),0,C85*IF('01_Вводные'!$B$239="Да",MeanMinAge05+C204*SUMIF(ThresholdAge05,"&lt;"&amp;C204,WeightedRevAge05)-SUMIF(ThresholdAge05,"&lt;"&amp;C204,WeightedMinAge05),MAX(CapacityAge05*'01_Вводные'!$B$218*C204,MeanMinAge05)))</f>
        <v/>
      </c>
      <c r="D113" s="190">
        <f>IF(OR(D85=0,5&lt;='01_Вводные'!$B$297),0,D85*IF('01_Вводные'!$B$239="Да",MeanMinAge05+D204*SUMIF(ThresholdAge05,"&lt;"&amp;D204,WeightedRevAge05)-SUMIF(ThresholdAge05,"&lt;"&amp;D204,WeightedMinAge05),MAX(CapacityAge05*'01_Вводные'!$B$218*D204,MeanMinAge05)))</f>
        <v/>
      </c>
      <c r="E113" s="190">
        <f>IF(OR(E85=0,5&lt;='01_Вводные'!$B$297),0,E85*IF('01_Вводные'!$B$239="Да",MeanMinAge05+E204*SUMIF(ThresholdAge05,"&lt;"&amp;E204,WeightedRevAge05)-SUMIF(ThresholdAge05,"&lt;"&amp;E204,WeightedMinAge05),MAX(CapacityAge05*'01_Вводные'!$B$218*E204,MeanMinAge05)))</f>
        <v/>
      </c>
      <c r="F113" s="190">
        <f>IF(OR(F85=0,5&lt;='01_Вводные'!$B$297),0,F85*IF('01_Вводные'!$B$239="Да",MeanMinAge05+F204*SUMIF(ThresholdAge05,"&lt;"&amp;F204,WeightedRevAge05)-SUMIF(ThresholdAge05,"&lt;"&amp;F204,WeightedMinAge05),MAX(CapacityAge05*'01_Вводные'!$B$218*F204,MeanMinAge05)))</f>
        <v/>
      </c>
      <c r="G113" s="190">
        <f>IF(OR(G85=0,5&lt;='01_Вводные'!$B$297),0,G85*IF('01_Вводные'!$B$239="Да",MeanMinAge05+G204*SUMIF(ThresholdAge05,"&lt;"&amp;G204,WeightedRevAge05)-SUMIF(ThresholdAge05,"&lt;"&amp;G204,WeightedMinAge05),MAX(CapacityAge05*'01_Вводные'!$B$218*G204,MeanMinAge05)))</f>
        <v/>
      </c>
      <c r="H113" s="190">
        <f>IF(OR(H85=0,5&lt;='01_Вводные'!$B$297),0,H85*IF('01_Вводные'!$B$239="Да",MeanMinAge05+H204*SUMIF(ThresholdAge05,"&lt;"&amp;H204,WeightedRevAge05)-SUMIF(ThresholdAge05,"&lt;"&amp;H204,WeightedMinAge05),MAX(CapacityAge05*'01_Вводные'!$B$218*H204,MeanMinAge05)))</f>
        <v/>
      </c>
      <c r="I113" s="190">
        <f>IF(OR(I85=0,5&lt;='01_Вводные'!$B$297),0,I85*IF('01_Вводные'!$B$239="Да",MeanMinAge05+I204*SUMIF(ThresholdAge05,"&lt;"&amp;I204,WeightedRevAge05)-SUMIF(ThresholdAge05,"&lt;"&amp;I204,WeightedMinAge05),MAX(CapacityAge05*'01_Вводные'!$B$218*I204,MeanMinAge05)))</f>
        <v/>
      </c>
      <c r="J113" s="190">
        <f>IF(OR(J85=0,5&lt;='01_Вводные'!$B$297),0,J85*IF('01_Вводные'!$B$239="Да",MeanMinAge05+J204*SUMIF(ThresholdAge05,"&lt;"&amp;J204,WeightedRevAge05)-SUMIF(ThresholdAge05,"&lt;"&amp;J204,WeightedMinAge05),MAX(CapacityAge05*'01_Вводные'!$B$218*J204,MeanMinAge05)))</f>
        <v/>
      </c>
      <c r="K113" s="190">
        <f>IF(OR(K85=0,5&lt;='01_Вводные'!$B$297),0,K85*IF('01_Вводные'!$B$239="Да",MeanMinAge05+K204*SUMIF(ThresholdAge05,"&lt;"&amp;K204,WeightedRevAge05)-SUMIF(ThresholdAge05,"&lt;"&amp;K204,WeightedMinAge05),MAX(CapacityAge05*'01_Вводные'!$B$218*K204,MeanMinAge05)))</f>
        <v/>
      </c>
      <c r="L113" s="190">
        <f>IF(OR(L85=0,5&lt;='01_Вводные'!$B$297),0,L85*IF('01_Вводные'!$B$239="Да",MeanMinAge05+L204*SUMIF(ThresholdAge05,"&lt;"&amp;L204,WeightedRevAge05)-SUMIF(ThresholdAge05,"&lt;"&amp;L204,WeightedMinAge05),MAX(CapacityAge05*'01_Вводные'!$B$218*L204,MeanMinAge05)))</f>
        <v/>
      </c>
      <c r="M113" s="190">
        <f>IF(OR(M85=0,5&lt;='01_Вводные'!$B$297),0,M85*IF('01_Вводные'!$B$239="Да",MeanMinAge05+M204*SUMIF(ThresholdAge05,"&lt;"&amp;M204,WeightedRevAge05)-SUMIF(ThresholdAge05,"&lt;"&amp;M204,WeightedMinAge05),MAX(CapacityAge05*'01_Вводные'!$B$218*M204,MeanMinAge05)))</f>
        <v/>
      </c>
      <c r="N113" s="190">
        <f>IF(OR(N85=0,5&lt;='01_Вводные'!$B$297),0,N85*IF('01_Вводные'!$B$239="Да",MeanMinAge05+N204*SUMIF(ThresholdAge05,"&lt;"&amp;N204,WeightedRevAge05)-SUMIF(ThresholdAge05,"&lt;"&amp;N204,WeightedMinAge05),MAX(CapacityAge05*'01_Вводные'!$B$218*N204,MeanMinAge05)))</f>
        <v/>
      </c>
      <c r="O113" s="190">
        <f>IF(OR(O85=0,5&lt;='01_Вводные'!$B$297),0,O85*IF('01_Вводные'!$B$239="Да",MeanMinAge05+O204*SUMIF(ThresholdAge05,"&lt;"&amp;O204,WeightedRevAge05)-SUMIF(ThresholdAge05,"&lt;"&amp;O204,WeightedMinAge05),MAX(CapacityAge05*'01_Вводные'!$B$218*O204,MeanMinAge05)))</f>
        <v/>
      </c>
      <c r="P113" s="190">
        <f>IF(OR(P85=0,5&lt;='01_Вводные'!$B$297),0,P85*IF('01_Вводные'!$B$239="Да",MeanMinAge05+P204*SUMIF(ThresholdAge05,"&lt;"&amp;P204,WeightedRevAge05)-SUMIF(ThresholdAge05,"&lt;"&amp;P204,WeightedMinAge05),MAX(CapacityAge05*'01_Вводные'!$B$218*P204,MeanMinAge05)))</f>
        <v/>
      </c>
      <c r="Q113" s="190">
        <f>IF(OR(Q85=0,5&lt;='01_Вводные'!$B$297),0,Q85*IF('01_Вводные'!$B$239="Да",MeanMinAge05+Q204*SUMIF(ThresholdAge05,"&lt;"&amp;Q204,WeightedRevAge05)-SUMIF(ThresholdAge05,"&lt;"&amp;Q204,WeightedMinAge05),MAX(CapacityAge05*'01_Вводные'!$B$218*Q204,MeanMinAge05)))</f>
        <v/>
      </c>
      <c r="R113" s="190">
        <f>IF(OR(R85=0,5&lt;='01_Вводные'!$B$297),0,R85*IF('01_Вводные'!$B$239="Да",MeanMinAge05+R204*SUMIF(ThresholdAge05,"&lt;"&amp;R204,WeightedRevAge05)-SUMIF(ThresholdAge05,"&lt;"&amp;R204,WeightedMinAge05),MAX(CapacityAge05*'01_Вводные'!$B$218*R204,MeanMinAge05)))</f>
        <v/>
      </c>
      <c r="S113" s="190">
        <f>IF(OR(S85=0,5&lt;='01_Вводные'!$B$297),0,S85*IF('01_Вводные'!$B$239="Да",MeanMinAge05+S204*SUMIF(ThresholdAge05,"&lt;"&amp;S204,WeightedRevAge05)-SUMIF(ThresholdAge05,"&lt;"&amp;S204,WeightedMinAge05),MAX(CapacityAge05*'01_Вводные'!$B$218*S204,MeanMinAge05)))</f>
        <v/>
      </c>
      <c r="T113" s="190">
        <f>IF(OR(T85=0,5&lt;='01_Вводные'!$B$297),0,T85*IF('01_Вводные'!$B$239="Да",MeanMinAge05+T204*SUMIF(ThresholdAge05,"&lt;"&amp;T204,WeightedRevAge05)-SUMIF(ThresholdAge05,"&lt;"&amp;T204,WeightedMinAge05),MAX(CapacityAge05*'01_Вводные'!$B$218*T204,MeanMinAge05)))</f>
        <v/>
      </c>
      <c r="U113" s="190">
        <f>IF(OR(U85=0,5&lt;='01_Вводные'!$B$297),0,U85*IF('01_Вводные'!$B$239="Да",MeanMinAge05+U204*SUMIF(ThresholdAge05,"&lt;"&amp;U204,WeightedRevAge05)-SUMIF(ThresholdAge05,"&lt;"&amp;U204,WeightedMinAge05),MAX(CapacityAge05*'01_Вводные'!$B$218*U204,MeanMinAge05)))</f>
        <v/>
      </c>
      <c r="V113" s="190">
        <f>IF(OR(V85=0,5&lt;='01_Вводные'!$B$297),0,V85*IF('01_Вводные'!$B$239="Да",MeanMinAge05+V204*SUMIF(ThresholdAge05,"&lt;"&amp;V204,WeightedRevAge05)-SUMIF(ThresholdAge05,"&lt;"&amp;V204,WeightedMinAge05),MAX(CapacityAge05*'01_Вводные'!$B$218*V204,MeanMinAge05)))</f>
        <v/>
      </c>
      <c r="W113" s="190">
        <f>IF(OR(W85=0,5&lt;='01_Вводные'!$B$297),0,W85*IF('01_Вводные'!$B$239="Да",MeanMinAge05+W204*SUMIF(ThresholdAge05,"&lt;"&amp;W204,WeightedRevAge05)-SUMIF(ThresholdAge05,"&lt;"&amp;W204,WeightedMinAge05),MAX(CapacityAge05*'01_Вводные'!$B$218*W204,MeanMinAge05)))</f>
        <v/>
      </c>
      <c r="X113" s="190">
        <f>IF(OR(X85=0,5&lt;='01_Вводные'!$B$297),0,X85*IF('01_Вводные'!$B$239="Да",MeanMinAge05+X204*SUMIF(ThresholdAge05,"&lt;"&amp;X204,WeightedRevAge05)-SUMIF(ThresholdAge05,"&lt;"&amp;X204,WeightedMinAge05),MAX(CapacityAge05*'01_Вводные'!$B$218*X204,MeanMinAge05)))</f>
        <v/>
      </c>
      <c r="Y113" s="190">
        <f>IF(OR(Y85=0,5&lt;='01_Вводные'!$B$297),0,Y85*IF('01_Вводные'!$B$239="Да",MeanMinAge05+Y204*SUMIF(ThresholdAge05,"&lt;"&amp;Y204,WeightedRevAge05)-SUMIF(ThresholdAge05,"&lt;"&amp;Y204,WeightedMinAge05),MAX(CapacityAge05*'01_Вводные'!$B$218*Y204,MeanMinAge05)))</f>
        <v/>
      </c>
      <c r="Z113" s="190">
        <f>IF(OR(Z85=0,5&lt;='01_Вводные'!$B$297),0,Z85*IF('01_Вводные'!$B$239="Да",MeanMinAge05+Z204*SUMIF(ThresholdAge05,"&lt;"&amp;Z204,WeightedRevAge05)-SUMIF(ThresholdAge05,"&lt;"&amp;Z204,WeightedMinAge05),MAX(CapacityAge05*'01_Вводные'!$B$218*Z204,MeanMinAge05)))</f>
        <v/>
      </c>
      <c r="AA113" s="190">
        <f>IF(OR(AA85=0,5&lt;='01_Вводные'!$B$297),0,AA85*IF('01_Вводные'!$B$239="Да",MeanMinAge05+AA204*SUMIF(ThresholdAge05,"&lt;"&amp;AA204,WeightedRevAge05)-SUMIF(ThresholdAge05,"&lt;"&amp;AA204,WeightedMinAge05),MAX(CapacityAge05*'01_Вводные'!$B$218*AA204,MeanMinAge05)))</f>
        <v/>
      </c>
      <c r="AB113" s="190">
        <f>IF(OR(AB85=0,5&lt;='01_Вводные'!$B$297),0,AB85*IF('01_Вводные'!$B$239="Да",MeanMinAge05+AB204*SUMIF(ThresholdAge05,"&lt;"&amp;AB204,WeightedRevAge05)-SUMIF(ThresholdAge05,"&lt;"&amp;AB204,WeightedMinAge05),MAX(CapacityAge05*'01_Вводные'!$B$218*AB204,MeanMinAge05)))</f>
        <v/>
      </c>
      <c r="AC113" s="190">
        <f>IF(OR(AC85=0,5&lt;='01_Вводные'!$B$297),0,AC85*IF('01_Вводные'!$B$239="Да",MeanMinAge05+AC204*SUMIF(ThresholdAge05,"&lt;"&amp;AC204,WeightedRevAge05)-SUMIF(ThresholdAge05,"&lt;"&amp;AC204,WeightedMinAge05),MAX(CapacityAge05*'01_Вводные'!$B$218*AC204,MeanMinAge05)))</f>
        <v/>
      </c>
      <c r="AD113" s="190">
        <f>IF(OR(AD85=0,5&lt;='01_Вводные'!$B$297),0,AD85*IF('01_Вводные'!$B$239="Да",MeanMinAge05+AD204*SUMIF(ThresholdAge05,"&lt;"&amp;AD204,WeightedRevAge05)-SUMIF(ThresholdAge05,"&lt;"&amp;AD204,WeightedMinAge05),MAX(CapacityAge05*'01_Вводные'!$B$218*AD204,MeanMinAge05)))</f>
        <v/>
      </c>
      <c r="AE113" s="190">
        <f>IF(OR(AE85=0,5&lt;='01_Вводные'!$B$297),0,AE85*IF('01_Вводные'!$B$239="Да",MeanMinAge05+AE204*SUMIF(ThresholdAge05,"&lt;"&amp;AE204,WeightedRevAge05)-SUMIF(ThresholdAge05,"&lt;"&amp;AE204,WeightedMinAge05),MAX(CapacityAge05*'01_Вводные'!$B$218*AE204,MeanMinAge05)))</f>
        <v/>
      </c>
      <c r="AF113" s="190">
        <f>IF(OR(AF85=0,5&lt;='01_Вводные'!$B$297),0,AF85*IF('01_Вводные'!$B$239="Да",MeanMinAge05+AF204*SUMIF(ThresholdAge05,"&lt;"&amp;AF204,WeightedRevAge05)-SUMIF(ThresholdAge05,"&lt;"&amp;AF204,WeightedMinAge05),MAX(CapacityAge05*'01_Вводные'!$B$218*AF204,MeanMinAge05)))</f>
        <v/>
      </c>
      <c r="AG113" s="190">
        <f>IF(OR(AG85=0,5&lt;='01_Вводные'!$B$297),0,AG85*IF('01_Вводные'!$B$239="Да",MeanMinAge05+AG204*SUMIF(ThresholdAge05,"&lt;"&amp;AG204,WeightedRevAge05)-SUMIF(ThresholdAge05,"&lt;"&amp;AG204,WeightedMinAge05),MAX(CapacityAge05*'01_Вводные'!$B$218*AG204,MeanMinAge05)))</f>
        <v/>
      </c>
      <c r="AH113" s="190">
        <f>IF(OR(AH85=0,5&lt;='01_Вводные'!$B$297),0,AH85*IF('01_Вводные'!$B$239="Да",MeanMinAge05+AH204*SUMIF(ThresholdAge05,"&lt;"&amp;AH204,WeightedRevAge05)-SUMIF(ThresholdAge05,"&lt;"&amp;AH204,WeightedMinAge05),MAX(CapacityAge05*'01_Вводные'!$B$218*AH204,MeanMinAge05)))</f>
        <v/>
      </c>
      <c r="AI113" s="190">
        <f>IF(OR(AI85=0,5&lt;='01_Вводные'!$B$297),0,AI85*IF('01_Вводные'!$B$239="Да",MeanMinAge05+AI204*SUMIF(ThresholdAge05,"&lt;"&amp;AI204,WeightedRevAge05)-SUMIF(ThresholdAge05,"&lt;"&amp;AI204,WeightedMinAge05),MAX(CapacityAge05*'01_Вводные'!$B$218*AI204,MeanMinAge05)))</f>
        <v/>
      </c>
      <c r="AJ113" s="190">
        <f>IF(OR(AJ85=0,5&lt;='01_Вводные'!$B$297),0,AJ85*IF('01_Вводные'!$B$239="Да",MeanMinAge05+AJ204*SUMIF(ThresholdAge05,"&lt;"&amp;AJ204,WeightedRevAge05)-SUMIF(ThresholdAge05,"&lt;"&amp;AJ204,WeightedMinAge05),MAX(CapacityAge05*'01_Вводные'!$B$218*AJ204,MeanMinAge05)))</f>
        <v/>
      </c>
      <c r="AK113" s="190">
        <f>IF(OR(AK85=0,5&lt;='01_Вводные'!$B$297),0,AK85*IF('01_Вводные'!$B$239="Да",MeanMinAge05+AK204*SUMIF(ThresholdAge05,"&lt;"&amp;AK204,WeightedRevAge05)-SUMIF(ThresholdAge05,"&lt;"&amp;AK204,WeightedMinAge05),MAX(CapacityAge05*'01_Вводные'!$B$218*AK204,MeanMinAge05)))</f>
        <v/>
      </c>
      <c r="AL113" s="190">
        <f>IF(OR(AL85=0,5&lt;='01_Вводные'!$B$297),0,AL85*IF('01_Вводные'!$B$239="Да",MeanMinAge05+AL204*SUMIF(ThresholdAge05,"&lt;"&amp;AL204,WeightedRevAge05)-SUMIF(ThresholdAge05,"&lt;"&amp;AL204,WeightedMinAge05),MAX(CapacityAge05*'01_Вводные'!$B$218*AL204,MeanMinAge05)))</f>
        <v/>
      </c>
      <c r="AM113" s="190">
        <f>IF(OR(AM85=0,5&lt;='01_Вводные'!$B$297),0,AM85*IF('01_Вводные'!$B$239="Да",MeanMinAge05+AM204*SUMIF(ThresholdAge05,"&lt;"&amp;AM204,WeightedRevAge05)-SUMIF(ThresholdAge05,"&lt;"&amp;AM204,WeightedMinAge05),MAX(CapacityAge05*'01_Вводные'!$B$218*AM204,MeanMinAge05)))</f>
        <v/>
      </c>
      <c r="AN113" s="190">
        <f>IF(OR(AN85=0,5&lt;='01_Вводные'!$B$297),0,AN85*IF('01_Вводные'!$B$239="Да",MeanMinAge05+AN204*SUMIF(ThresholdAge05,"&lt;"&amp;AN204,WeightedRevAge05)-SUMIF(ThresholdAge05,"&lt;"&amp;AN204,WeightedMinAge05),MAX(CapacityAge05*'01_Вводные'!$B$218*AN204,MeanMinAge05)))</f>
        <v/>
      </c>
      <c r="AO113" s="190">
        <f>IF(OR(AO85=0,5&lt;='01_Вводные'!$B$297),0,AO85*IF('01_Вводные'!$B$239="Да",MeanMinAge05+AO204*SUMIF(ThresholdAge05,"&lt;"&amp;AO204,WeightedRevAge05)-SUMIF(ThresholdAge05,"&lt;"&amp;AO204,WeightedMinAge05),MAX(CapacityAge05*'01_Вводные'!$B$218*AO204,MeanMinAge05)))</f>
        <v/>
      </c>
      <c r="AP113" s="190">
        <f>IF(OR(AP85=0,5&lt;='01_Вводные'!$B$297),0,AP85*IF('01_Вводные'!$B$239="Да",MeanMinAge05+AP204*SUMIF(ThresholdAge05,"&lt;"&amp;AP204,WeightedRevAge05)-SUMIF(ThresholdAge05,"&lt;"&amp;AP204,WeightedMinAge05),MAX(CapacityAge05*'01_Вводные'!$B$218*AP204,MeanMinAge05)))</f>
        <v/>
      </c>
      <c r="AQ113" s="190">
        <f>IF(OR(AQ85=0,5&lt;='01_Вводные'!$B$297),0,AQ85*IF('01_Вводные'!$B$239="Да",MeanMinAge05+AQ204*SUMIF(ThresholdAge05,"&lt;"&amp;AQ204,WeightedRevAge05)-SUMIF(ThresholdAge05,"&lt;"&amp;AQ204,WeightedMinAge05),MAX(CapacityAge05*'01_Вводные'!$B$218*AQ204,MeanMinAge05)))</f>
        <v/>
      </c>
      <c r="AR113" s="190">
        <f>IF(OR(AR85=0,5&lt;='01_Вводные'!$B$297),0,AR85*IF('01_Вводные'!$B$239="Да",MeanMinAge05+AR204*SUMIF(ThresholdAge05,"&lt;"&amp;AR204,WeightedRevAge05)-SUMIF(ThresholdAge05,"&lt;"&amp;AR204,WeightedMinAge05),MAX(CapacityAge05*'01_Вводные'!$B$218*AR204,MeanMinAge05)))</f>
        <v/>
      </c>
      <c r="AS113" s="190">
        <f>IF(OR(AS85=0,5&lt;='01_Вводные'!$B$297),0,AS85*IF('01_Вводные'!$B$239="Да",MeanMinAge05+AS204*SUMIF(ThresholdAge05,"&lt;"&amp;AS204,WeightedRevAge05)-SUMIF(ThresholdAge05,"&lt;"&amp;AS204,WeightedMinAge05),MAX(CapacityAge05*'01_Вводные'!$B$218*AS204,MeanMinAge05)))</f>
        <v/>
      </c>
      <c r="AT113" s="190">
        <f>IF(OR(AT85=0,5&lt;='01_Вводные'!$B$297),0,AT85*IF('01_Вводные'!$B$239="Да",MeanMinAge05+AT204*SUMIF(ThresholdAge05,"&lt;"&amp;AT204,WeightedRevAge05)-SUMIF(ThresholdAge05,"&lt;"&amp;AT204,WeightedMinAge05),MAX(CapacityAge05*'01_Вводные'!$B$218*AT204,MeanMinAge05)))</f>
        <v/>
      </c>
      <c r="AU113" s="190">
        <f>IF(OR(AU85=0,5&lt;='01_Вводные'!$B$297),0,AU85*IF('01_Вводные'!$B$239="Да",MeanMinAge05+AU204*SUMIF(ThresholdAge05,"&lt;"&amp;AU204,WeightedRevAge05)-SUMIF(ThresholdAge05,"&lt;"&amp;AU204,WeightedMinAge05),MAX(CapacityAge05*'01_Вводные'!$B$218*AU204,MeanMinAge05)))</f>
        <v/>
      </c>
      <c r="AV113" s="190">
        <f>IF(OR(AV85=0,5&lt;='01_Вводные'!$B$297),0,AV85*IF('01_Вводные'!$B$239="Да",MeanMinAge05+AV204*SUMIF(ThresholdAge05,"&lt;"&amp;AV204,WeightedRevAge05)-SUMIF(ThresholdAge05,"&lt;"&amp;AV204,WeightedMinAge05),MAX(CapacityAge05*'01_Вводные'!$B$218*AV204,MeanMinAge05)))</f>
        <v/>
      </c>
      <c r="AW113" s="190">
        <f>IF(OR(AW85=0,5&lt;='01_Вводные'!$B$297),0,AW85*IF('01_Вводные'!$B$239="Да",MeanMinAge05+AW204*SUMIF(ThresholdAge05,"&lt;"&amp;AW204,WeightedRevAge05)-SUMIF(ThresholdAge05,"&lt;"&amp;AW204,WeightedMinAge05),MAX(CapacityAge05*'01_Вводные'!$B$218*AW204,MeanMinAge05)))</f>
        <v/>
      </c>
      <c r="AX113" s="190">
        <f>IF(OR(AX85=0,5&lt;='01_Вводные'!$B$297),0,AX85*IF('01_Вводные'!$B$239="Да",MeanMinAge05+AX204*SUMIF(ThresholdAge05,"&lt;"&amp;AX204,WeightedRevAge05)-SUMIF(ThresholdAge05,"&lt;"&amp;AX204,WeightedMinAge05),MAX(CapacityAge05*'01_Вводные'!$B$218*AX204,MeanMinAge05)))</f>
        <v/>
      </c>
      <c r="AY113" s="190">
        <f>IF(OR(AY85=0,5&lt;='01_Вводные'!$B$297),0,AY85*IF('01_Вводные'!$B$239="Да",MeanMinAge05+AY204*SUMIF(ThresholdAge05,"&lt;"&amp;AY204,WeightedRevAge05)-SUMIF(ThresholdAge05,"&lt;"&amp;AY204,WeightedMinAge05),MAX(CapacityAge05*'01_Вводные'!$B$218*AY204,MeanMinAge05)))</f>
        <v/>
      </c>
      <c r="AZ113" s="190">
        <f>IF(OR(AZ85=0,5&lt;='01_Вводные'!$B$297),0,AZ85*IF('01_Вводные'!$B$239="Да",MeanMinAge05+AZ204*SUMIF(ThresholdAge05,"&lt;"&amp;AZ204,WeightedRevAge05)-SUMIF(ThresholdAge05,"&lt;"&amp;AZ204,WeightedMinAge05),MAX(CapacityAge05*'01_Вводные'!$B$218*AZ204,MeanMinAge05)))</f>
        <v/>
      </c>
      <c r="BA113" s="190">
        <f>IF(OR(BA85=0,5&lt;='01_Вводные'!$B$297),0,BA85*IF('01_Вводные'!$B$239="Да",MeanMinAge05+BA204*SUMIF(ThresholdAge05,"&lt;"&amp;BA204,WeightedRevAge05)-SUMIF(ThresholdAge05,"&lt;"&amp;BA204,WeightedMinAge05),MAX(CapacityAge05*'01_Вводные'!$B$218*BA204,MeanMinAge05)))</f>
        <v/>
      </c>
      <c r="BB113" s="190">
        <f>IF(OR(BB85=0,5&lt;='01_Вводные'!$B$297),0,BB85*IF('01_Вводные'!$B$239="Да",MeanMinAge05+BB204*SUMIF(ThresholdAge05,"&lt;"&amp;BB204,WeightedRevAge05)-SUMIF(ThresholdAge05,"&lt;"&amp;BB204,WeightedMinAge05),MAX(CapacityAge05*'01_Вводные'!$B$218*BB204,MeanMinAge05)))</f>
        <v/>
      </c>
      <c r="BC113" s="190">
        <f>IF(OR(BC85=0,5&lt;='01_Вводные'!$B$297),0,BC85*IF('01_Вводные'!$B$239="Да",MeanMinAge05+BC204*SUMIF(ThresholdAge05,"&lt;"&amp;BC204,WeightedRevAge05)-SUMIF(ThresholdAge05,"&lt;"&amp;BC204,WeightedMinAge05),MAX(CapacityAge05*'01_Вводные'!$B$218*BC204,MeanMinAge05)))</f>
        <v/>
      </c>
      <c r="BD113" s="190">
        <f>IF(OR(BD85=0,5&lt;='01_Вводные'!$B$297),0,BD85*IF('01_Вводные'!$B$239="Да",MeanMinAge05+BD204*SUMIF(ThresholdAge05,"&lt;"&amp;BD204,WeightedRevAge05)-SUMIF(ThresholdAge05,"&lt;"&amp;BD204,WeightedMinAge05),MAX(CapacityAge05*'01_Вводные'!$B$218*BD204,MeanMinAge05)))</f>
        <v/>
      </c>
      <c r="BE113" s="190">
        <f>IF(OR(BE85=0,5&lt;='01_Вводные'!$B$297),0,BE85*IF('01_Вводные'!$B$239="Да",MeanMinAge05+BE204*SUMIF(ThresholdAge05,"&lt;"&amp;BE204,WeightedRevAge05)-SUMIF(ThresholdAge05,"&lt;"&amp;BE204,WeightedMinAge05),MAX(CapacityAge05*'01_Вводные'!$B$218*BE204,MeanMinAge05)))</f>
        <v/>
      </c>
      <c r="BF113" s="190">
        <f>IF(OR(BF85=0,5&lt;='01_Вводные'!$B$297),0,BF85*IF('01_Вводные'!$B$239="Да",MeanMinAge05+BF204*SUMIF(ThresholdAge05,"&lt;"&amp;BF204,WeightedRevAge05)-SUMIF(ThresholdAge05,"&lt;"&amp;BF204,WeightedMinAge05),MAX(CapacityAge05*'01_Вводные'!$B$218*BF204,MeanMinAge05)))</f>
        <v/>
      </c>
      <c r="BG113" s="190">
        <f>IF(OR(BG85=0,5&lt;='01_Вводные'!$B$297),0,BG85*IF('01_Вводные'!$B$239="Да",MeanMinAge05+BG204*SUMIF(ThresholdAge05,"&lt;"&amp;BG204,WeightedRevAge05)-SUMIF(ThresholdAge05,"&lt;"&amp;BG204,WeightedMinAge05),MAX(CapacityAge05*'01_Вводные'!$B$218*BG204,MeanMinAge05)))</f>
        <v/>
      </c>
      <c r="BH113" s="190">
        <f>IF(OR(BH85=0,5&lt;='01_Вводные'!$B$297),0,BH85*IF('01_Вводные'!$B$239="Да",MeanMinAge05+BH204*SUMIF(ThresholdAge05,"&lt;"&amp;BH204,WeightedRevAge05)-SUMIF(ThresholdAge05,"&lt;"&amp;BH204,WeightedMinAge05),MAX(CapacityAge05*'01_Вводные'!$B$218*BH204,MeanMinAge05)))</f>
        <v/>
      </c>
      <c r="BI113" s="190">
        <f>IF(OR(BI85=0,5&lt;='01_Вводные'!$B$297),0,BI85*IF('01_Вводные'!$B$239="Да",MeanMinAge05+BI204*SUMIF(ThresholdAge05,"&lt;"&amp;BI204,WeightedRevAge05)-SUMIF(ThresholdAge05,"&lt;"&amp;BI204,WeightedMinAge05),MAX(CapacityAge05*'01_Вводные'!$B$218*BI204,MeanMinAge05)))</f>
        <v/>
      </c>
      <c r="BJ113" s="190">
        <f>IF(OR(BJ85=0,5&lt;='01_Вводные'!$B$297),0,BJ85*IF('01_Вводные'!$B$239="Да",MeanMinAge05+BJ204*SUMIF(ThresholdAge05,"&lt;"&amp;BJ204,WeightedRevAge05)-SUMIF(ThresholdAge05,"&lt;"&amp;BJ204,WeightedMinAge05),MAX(CapacityAge05*'01_Вводные'!$B$218*BJ204,MeanMinAge05)))</f>
        <v/>
      </c>
      <c r="BK113" s="190">
        <f>IF(OR(BK85=0,5&lt;='01_Вводные'!$B$297),0,BK85*IF('01_Вводные'!$B$239="Да",MeanMinAge05+BK204*SUMIF(ThresholdAge05,"&lt;"&amp;BK204,WeightedRevAge05)-SUMIF(ThresholdAge05,"&lt;"&amp;BK204,WeightedMinAge05),MAX(CapacityAge05*'01_Вводные'!$B$218*BK204,MeanMinAge05)))</f>
        <v/>
      </c>
      <c r="BL113" s="190">
        <f>IF(OR(BL85=0,5&lt;='01_Вводные'!$B$297),0,BL85*IF('01_Вводные'!$B$239="Да",MeanMinAge05+BL204*SUMIF(ThresholdAge05,"&lt;"&amp;BL204,WeightedRevAge05)-SUMIF(ThresholdAge05,"&lt;"&amp;BL204,WeightedMinAge05),MAX(CapacityAge05*'01_Вводные'!$B$218*BL204,MeanMinAge05)))</f>
        <v/>
      </c>
      <c r="BM113" s="190">
        <f>IF(OR(BM85=0,5&lt;='01_Вводные'!$B$297),0,BM85*IF('01_Вводные'!$B$239="Да",MeanMinAge05+BM204*SUMIF(ThresholdAge05,"&lt;"&amp;BM204,WeightedRevAge05)-SUMIF(ThresholdAge05,"&lt;"&amp;BM204,WeightedMinAge05),MAX(CapacityAge05*'01_Вводные'!$B$218*BM204,MeanMinAge05)))</f>
        <v/>
      </c>
      <c r="BN113" s="190">
        <f>IF(OR(BN85=0,5&lt;='01_Вводные'!$B$297),0,BN85*IF('01_Вводные'!$B$239="Да",MeanMinAge05+BN204*SUMIF(ThresholdAge05,"&lt;"&amp;BN204,WeightedRevAge05)-SUMIF(ThresholdAge05,"&lt;"&amp;BN204,WeightedMinAge05),MAX(CapacityAge05*'01_Вводные'!$B$218*BN204,MeanMinAge05)))</f>
        <v/>
      </c>
      <c r="BO113" s="190">
        <f>IF(OR(BO85=0,5&lt;='01_Вводные'!$B$297),0,BO85*IF('01_Вводные'!$B$239="Да",MeanMinAge05+BO204*SUMIF(ThresholdAge05,"&lt;"&amp;BO204,WeightedRevAge05)-SUMIF(ThresholdAge05,"&lt;"&amp;BO204,WeightedMinAge05),MAX(CapacityAge05*'01_Вводные'!$B$218*BO204,MeanMinAge05)))</f>
        <v/>
      </c>
    </row>
    <row r="114" hidden="1" outlineLevel="1">
      <c r="A114" t="inlineStr">
        <is>
          <t>6 мес.</t>
        </is>
      </c>
      <c r="B114" s="191">
        <f>IF(OR(B86=0,6&lt;='01_Вводные'!$B$297),0,B86*IF('01_Вводные'!$B$239="Да",MeanMinAge06+B204*SUMIF(ThresholdAge06,"&lt;"&amp;B204,WeightedRevAge06)-SUMIF(ThresholdAge06,"&lt;"&amp;B204,WeightedMinAge06),MAX(CapacityAge06*'01_Вводные'!$B$218*B204,MeanMinAge06)))</f>
        <v/>
      </c>
      <c r="C114" s="191">
        <f>IF(OR(C86=0,6&lt;='01_Вводные'!$B$297),0,C86*IF('01_Вводные'!$B$239="Да",MeanMinAge06+C204*SUMIF(ThresholdAge06,"&lt;"&amp;C204,WeightedRevAge06)-SUMIF(ThresholdAge06,"&lt;"&amp;C204,WeightedMinAge06),MAX(CapacityAge06*'01_Вводные'!$B$218*C204,MeanMinAge06)))</f>
        <v/>
      </c>
      <c r="D114" s="191">
        <f>IF(OR(D86=0,6&lt;='01_Вводные'!$B$297),0,D86*IF('01_Вводные'!$B$239="Да",MeanMinAge06+D204*SUMIF(ThresholdAge06,"&lt;"&amp;D204,WeightedRevAge06)-SUMIF(ThresholdAge06,"&lt;"&amp;D204,WeightedMinAge06),MAX(CapacityAge06*'01_Вводные'!$B$218*D204,MeanMinAge06)))</f>
        <v/>
      </c>
      <c r="E114" s="191">
        <f>IF(OR(E86=0,6&lt;='01_Вводные'!$B$297),0,E86*IF('01_Вводные'!$B$239="Да",MeanMinAge06+E204*SUMIF(ThresholdAge06,"&lt;"&amp;E204,WeightedRevAge06)-SUMIF(ThresholdAge06,"&lt;"&amp;E204,WeightedMinAge06),MAX(CapacityAge06*'01_Вводные'!$B$218*E204,MeanMinAge06)))</f>
        <v/>
      </c>
      <c r="F114" s="191">
        <f>IF(OR(F86=0,6&lt;='01_Вводные'!$B$297),0,F86*IF('01_Вводные'!$B$239="Да",MeanMinAge06+F204*SUMIF(ThresholdAge06,"&lt;"&amp;F204,WeightedRevAge06)-SUMIF(ThresholdAge06,"&lt;"&amp;F204,WeightedMinAge06),MAX(CapacityAge06*'01_Вводные'!$B$218*F204,MeanMinAge06)))</f>
        <v/>
      </c>
      <c r="G114" s="191">
        <f>IF(OR(G86=0,6&lt;='01_Вводные'!$B$297),0,G86*IF('01_Вводные'!$B$239="Да",MeanMinAge06+G204*SUMIF(ThresholdAge06,"&lt;"&amp;G204,WeightedRevAge06)-SUMIF(ThresholdAge06,"&lt;"&amp;G204,WeightedMinAge06),MAX(CapacityAge06*'01_Вводные'!$B$218*G204,MeanMinAge06)))</f>
        <v/>
      </c>
      <c r="H114" s="191">
        <f>IF(OR(H86=0,6&lt;='01_Вводные'!$B$297),0,H86*IF('01_Вводные'!$B$239="Да",MeanMinAge06+H204*SUMIF(ThresholdAge06,"&lt;"&amp;H204,WeightedRevAge06)-SUMIF(ThresholdAge06,"&lt;"&amp;H204,WeightedMinAge06),MAX(CapacityAge06*'01_Вводные'!$B$218*H204,MeanMinAge06)))</f>
        <v/>
      </c>
      <c r="I114" s="191">
        <f>IF(OR(I86=0,6&lt;='01_Вводные'!$B$297),0,I86*IF('01_Вводные'!$B$239="Да",MeanMinAge06+I204*SUMIF(ThresholdAge06,"&lt;"&amp;I204,WeightedRevAge06)-SUMIF(ThresholdAge06,"&lt;"&amp;I204,WeightedMinAge06),MAX(CapacityAge06*'01_Вводные'!$B$218*I204,MeanMinAge06)))</f>
        <v/>
      </c>
      <c r="J114" s="191">
        <f>IF(OR(J86=0,6&lt;='01_Вводные'!$B$297),0,J86*IF('01_Вводные'!$B$239="Да",MeanMinAge06+J204*SUMIF(ThresholdAge06,"&lt;"&amp;J204,WeightedRevAge06)-SUMIF(ThresholdAge06,"&lt;"&amp;J204,WeightedMinAge06),MAX(CapacityAge06*'01_Вводные'!$B$218*J204,MeanMinAge06)))</f>
        <v/>
      </c>
      <c r="K114" s="191">
        <f>IF(OR(K86=0,6&lt;='01_Вводные'!$B$297),0,K86*IF('01_Вводные'!$B$239="Да",MeanMinAge06+K204*SUMIF(ThresholdAge06,"&lt;"&amp;K204,WeightedRevAge06)-SUMIF(ThresholdAge06,"&lt;"&amp;K204,WeightedMinAge06),MAX(CapacityAge06*'01_Вводные'!$B$218*K204,MeanMinAge06)))</f>
        <v/>
      </c>
      <c r="L114" s="191">
        <f>IF(OR(L86=0,6&lt;='01_Вводные'!$B$297),0,L86*IF('01_Вводные'!$B$239="Да",MeanMinAge06+L204*SUMIF(ThresholdAge06,"&lt;"&amp;L204,WeightedRevAge06)-SUMIF(ThresholdAge06,"&lt;"&amp;L204,WeightedMinAge06),MAX(CapacityAge06*'01_Вводные'!$B$218*L204,MeanMinAge06)))</f>
        <v/>
      </c>
      <c r="M114" s="191">
        <f>IF(OR(M86=0,6&lt;='01_Вводные'!$B$297),0,M86*IF('01_Вводные'!$B$239="Да",MeanMinAge06+M204*SUMIF(ThresholdAge06,"&lt;"&amp;M204,WeightedRevAge06)-SUMIF(ThresholdAge06,"&lt;"&amp;M204,WeightedMinAge06),MAX(CapacityAge06*'01_Вводные'!$B$218*M204,MeanMinAge06)))</f>
        <v/>
      </c>
      <c r="N114" s="191">
        <f>IF(OR(N86=0,6&lt;='01_Вводные'!$B$297),0,N86*IF('01_Вводные'!$B$239="Да",MeanMinAge06+N204*SUMIF(ThresholdAge06,"&lt;"&amp;N204,WeightedRevAge06)-SUMIF(ThresholdAge06,"&lt;"&amp;N204,WeightedMinAge06),MAX(CapacityAge06*'01_Вводные'!$B$218*N204,MeanMinAge06)))</f>
        <v/>
      </c>
      <c r="O114" s="191">
        <f>IF(OR(O86=0,6&lt;='01_Вводные'!$B$297),0,O86*IF('01_Вводные'!$B$239="Да",MeanMinAge06+O204*SUMIF(ThresholdAge06,"&lt;"&amp;O204,WeightedRevAge06)-SUMIF(ThresholdAge06,"&lt;"&amp;O204,WeightedMinAge06),MAX(CapacityAge06*'01_Вводные'!$B$218*O204,MeanMinAge06)))</f>
        <v/>
      </c>
      <c r="P114" s="191">
        <f>IF(OR(P86=0,6&lt;='01_Вводные'!$B$297),0,P86*IF('01_Вводные'!$B$239="Да",MeanMinAge06+P204*SUMIF(ThresholdAge06,"&lt;"&amp;P204,WeightedRevAge06)-SUMIF(ThresholdAge06,"&lt;"&amp;P204,WeightedMinAge06),MAX(CapacityAge06*'01_Вводные'!$B$218*P204,MeanMinAge06)))</f>
        <v/>
      </c>
      <c r="Q114" s="191">
        <f>IF(OR(Q86=0,6&lt;='01_Вводные'!$B$297),0,Q86*IF('01_Вводные'!$B$239="Да",MeanMinAge06+Q204*SUMIF(ThresholdAge06,"&lt;"&amp;Q204,WeightedRevAge06)-SUMIF(ThresholdAge06,"&lt;"&amp;Q204,WeightedMinAge06),MAX(CapacityAge06*'01_Вводные'!$B$218*Q204,MeanMinAge06)))</f>
        <v/>
      </c>
      <c r="R114" s="191">
        <f>IF(OR(R86=0,6&lt;='01_Вводные'!$B$297),0,R86*IF('01_Вводные'!$B$239="Да",MeanMinAge06+R204*SUMIF(ThresholdAge06,"&lt;"&amp;R204,WeightedRevAge06)-SUMIF(ThresholdAge06,"&lt;"&amp;R204,WeightedMinAge06),MAX(CapacityAge06*'01_Вводные'!$B$218*R204,MeanMinAge06)))</f>
        <v/>
      </c>
      <c r="S114" s="191">
        <f>IF(OR(S86=0,6&lt;='01_Вводные'!$B$297),0,S86*IF('01_Вводные'!$B$239="Да",MeanMinAge06+S204*SUMIF(ThresholdAge06,"&lt;"&amp;S204,WeightedRevAge06)-SUMIF(ThresholdAge06,"&lt;"&amp;S204,WeightedMinAge06),MAX(CapacityAge06*'01_Вводные'!$B$218*S204,MeanMinAge06)))</f>
        <v/>
      </c>
      <c r="T114" s="191">
        <f>IF(OR(T86=0,6&lt;='01_Вводные'!$B$297),0,T86*IF('01_Вводные'!$B$239="Да",MeanMinAge06+T204*SUMIF(ThresholdAge06,"&lt;"&amp;T204,WeightedRevAge06)-SUMIF(ThresholdAge06,"&lt;"&amp;T204,WeightedMinAge06),MAX(CapacityAge06*'01_Вводные'!$B$218*T204,MeanMinAge06)))</f>
        <v/>
      </c>
      <c r="U114" s="191">
        <f>IF(OR(U86=0,6&lt;='01_Вводные'!$B$297),0,U86*IF('01_Вводные'!$B$239="Да",MeanMinAge06+U204*SUMIF(ThresholdAge06,"&lt;"&amp;U204,WeightedRevAge06)-SUMIF(ThresholdAge06,"&lt;"&amp;U204,WeightedMinAge06),MAX(CapacityAge06*'01_Вводные'!$B$218*U204,MeanMinAge06)))</f>
        <v/>
      </c>
      <c r="V114" s="191">
        <f>IF(OR(V86=0,6&lt;='01_Вводные'!$B$297),0,V86*IF('01_Вводные'!$B$239="Да",MeanMinAge06+V204*SUMIF(ThresholdAge06,"&lt;"&amp;V204,WeightedRevAge06)-SUMIF(ThresholdAge06,"&lt;"&amp;V204,WeightedMinAge06),MAX(CapacityAge06*'01_Вводные'!$B$218*V204,MeanMinAge06)))</f>
        <v/>
      </c>
      <c r="W114" s="191">
        <f>IF(OR(W86=0,6&lt;='01_Вводные'!$B$297),0,W86*IF('01_Вводные'!$B$239="Да",MeanMinAge06+W204*SUMIF(ThresholdAge06,"&lt;"&amp;W204,WeightedRevAge06)-SUMIF(ThresholdAge06,"&lt;"&amp;W204,WeightedMinAge06),MAX(CapacityAge06*'01_Вводные'!$B$218*W204,MeanMinAge06)))</f>
        <v/>
      </c>
      <c r="X114" s="191">
        <f>IF(OR(X86=0,6&lt;='01_Вводные'!$B$297),0,X86*IF('01_Вводные'!$B$239="Да",MeanMinAge06+X204*SUMIF(ThresholdAge06,"&lt;"&amp;X204,WeightedRevAge06)-SUMIF(ThresholdAge06,"&lt;"&amp;X204,WeightedMinAge06),MAX(CapacityAge06*'01_Вводные'!$B$218*X204,MeanMinAge06)))</f>
        <v/>
      </c>
      <c r="Y114" s="191">
        <f>IF(OR(Y86=0,6&lt;='01_Вводные'!$B$297),0,Y86*IF('01_Вводные'!$B$239="Да",MeanMinAge06+Y204*SUMIF(ThresholdAge06,"&lt;"&amp;Y204,WeightedRevAge06)-SUMIF(ThresholdAge06,"&lt;"&amp;Y204,WeightedMinAge06),MAX(CapacityAge06*'01_Вводные'!$B$218*Y204,MeanMinAge06)))</f>
        <v/>
      </c>
      <c r="Z114" s="191">
        <f>IF(OR(Z86=0,6&lt;='01_Вводные'!$B$297),0,Z86*IF('01_Вводные'!$B$239="Да",MeanMinAge06+Z204*SUMIF(ThresholdAge06,"&lt;"&amp;Z204,WeightedRevAge06)-SUMIF(ThresholdAge06,"&lt;"&amp;Z204,WeightedMinAge06),MAX(CapacityAge06*'01_Вводные'!$B$218*Z204,MeanMinAge06)))</f>
        <v/>
      </c>
      <c r="AA114" s="191">
        <f>IF(OR(AA86=0,6&lt;='01_Вводные'!$B$297),0,AA86*IF('01_Вводные'!$B$239="Да",MeanMinAge06+AA204*SUMIF(ThresholdAge06,"&lt;"&amp;AA204,WeightedRevAge06)-SUMIF(ThresholdAge06,"&lt;"&amp;AA204,WeightedMinAge06),MAX(CapacityAge06*'01_Вводные'!$B$218*AA204,MeanMinAge06)))</f>
        <v/>
      </c>
      <c r="AB114" s="191">
        <f>IF(OR(AB86=0,6&lt;='01_Вводные'!$B$297),0,AB86*IF('01_Вводные'!$B$239="Да",MeanMinAge06+AB204*SUMIF(ThresholdAge06,"&lt;"&amp;AB204,WeightedRevAge06)-SUMIF(ThresholdAge06,"&lt;"&amp;AB204,WeightedMinAge06),MAX(CapacityAge06*'01_Вводные'!$B$218*AB204,MeanMinAge06)))</f>
        <v/>
      </c>
      <c r="AC114" s="191">
        <f>IF(OR(AC86=0,6&lt;='01_Вводные'!$B$297),0,AC86*IF('01_Вводные'!$B$239="Да",MeanMinAge06+AC204*SUMIF(ThresholdAge06,"&lt;"&amp;AC204,WeightedRevAge06)-SUMIF(ThresholdAge06,"&lt;"&amp;AC204,WeightedMinAge06),MAX(CapacityAge06*'01_Вводные'!$B$218*AC204,MeanMinAge06)))</f>
        <v/>
      </c>
      <c r="AD114" s="191">
        <f>IF(OR(AD86=0,6&lt;='01_Вводные'!$B$297),0,AD86*IF('01_Вводные'!$B$239="Да",MeanMinAge06+AD204*SUMIF(ThresholdAge06,"&lt;"&amp;AD204,WeightedRevAge06)-SUMIF(ThresholdAge06,"&lt;"&amp;AD204,WeightedMinAge06),MAX(CapacityAge06*'01_Вводные'!$B$218*AD204,MeanMinAge06)))</f>
        <v/>
      </c>
      <c r="AE114" s="191">
        <f>IF(OR(AE86=0,6&lt;='01_Вводные'!$B$297),0,AE86*IF('01_Вводные'!$B$239="Да",MeanMinAge06+AE204*SUMIF(ThresholdAge06,"&lt;"&amp;AE204,WeightedRevAge06)-SUMIF(ThresholdAge06,"&lt;"&amp;AE204,WeightedMinAge06),MAX(CapacityAge06*'01_Вводные'!$B$218*AE204,MeanMinAge06)))</f>
        <v/>
      </c>
      <c r="AF114" s="191">
        <f>IF(OR(AF86=0,6&lt;='01_Вводные'!$B$297),0,AF86*IF('01_Вводные'!$B$239="Да",MeanMinAge06+AF204*SUMIF(ThresholdAge06,"&lt;"&amp;AF204,WeightedRevAge06)-SUMIF(ThresholdAge06,"&lt;"&amp;AF204,WeightedMinAge06),MAX(CapacityAge06*'01_Вводные'!$B$218*AF204,MeanMinAge06)))</f>
        <v/>
      </c>
      <c r="AG114" s="191">
        <f>IF(OR(AG86=0,6&lt;='01_Вводные'!$B$297),0,AG86*IF('01_Вводные'!$B$239="Да",MeanMinAge06+AG204*SUMIF(ThresholdAge06,"&lt;"&amp;AG204,WeightedRevAge06)-SUMIF(ThresholdAge06,"&lt;"&amp;AG204,WeightedMinAge06),MAX(CapacityAge06*'01_Вводные'!$B$218*AG204,MeanMinAge06)))</f>
        <v/>
      </c>
      <c r="AH114" s="191">
        <f>IF(OR(AH86=0,6&lt;='01_Вводные'!$B$297),0,AH86*IF('01_Вводные'!$B$239="Да",MeanMinAge06+AH204*SUMIF(ThresholdAge06,"&lt;"&amp;AH204,WeightedRevAge06)-SUMIF(ThresholdAge06,"&lt;"&amp;AH204,WeightedMinAge06),MAX(CapacityAge06*'01_Вводные'!$B$218*AH204,MeanMinAge06)))</f>
        <v/>
      </c>
      <c r="AI114" s="191">
        <f>IF(OR(AI86=0,6&lt;='01_Вводные'!$B$297),0,AI86*IF('01_Вводные'!$B$239="Да",MeanMinAge06+AI204*SUMIF(ThresholdAge06,"&lt;"&amp;AI204,WeightedRevAge06)-SUMIF(ThresholdAge06,"&lt;"&amp;AI204,WeightedMinAge06),MAX(CapacityAge06*'01_Вводные'!$B$218*AI204,MeanMinAge06)))</f>
        <v/>
      </c>
      <c r="AJ114" s="191">
        <f>IF(OR(AJ86=0,6&lt;='01_Вводные'!$B$297),0,AJ86*IF('01_Вводные'!$B$239="Да",MeanMinAge06+AJ204*SUMIF(ThresholdAge06,"&lt;"&amp;AJ204,WeightedRevAge06)-SUMIF(ThresholdAge06,"&lt;"&amp;AJ204,WeightedMinAge06),MAX(CapacityAge06*'01_Вводные'!$B$218*AJ204,MeanMinAge06)))</f>
        <v/>
      </c>
      <c r="AK114" s="191">
        <f>IF(OR(AK86=0,6&lt;='01_Вводные'!$B$297),0,AK86*IF('01_Вводные'!$B$239="Да",MeanMinAge06+AK204*SUMIF(ThresholdAge06,"&lt;"&amp;AK204,WeightedRevAge06)-SUMIF(ThresholdAge06,"&lt;"&amp;AK204,WeightedMinAge06),MAX(CapacityAge06*'01_Вводные'!$B$218*AK204,MeanMinAge06)))</f>
        <v/>
      </c>
      <c r="AL114" s="191">
        <f>IF(OR(AL86=0,6&lt;='01_Вводные'!$B$297),0,AL86*IF('01_Вводные'!$B$239="Да",MeanMinAge06+AL204*SUMIF(ThresholdAge06,"&lt;"&amp;AL204,WeightedRevAge06)-SUMIF(ThresholdAge06,"&lt;"&amp;AL204,WeightedMinAge06),MAX(CapacityAge06*'01_Вводные'!$B$218*AL204,MeanMinAge06)))</f>
        <v/>
      </c>
      <c r="AM114" s="191">
        <f>IF(OR(AM86=0,6&lt;='01_Вводные'!$B$297),0,AM86*IF('01_Вводные'!$B$239="Да",MeanMinAge06+AM204*SUMIF(ThresholdAge06,"&lt;"&amp;AM204,WeightedRevAge06)-SUMIF(ThresholdAge06,"&lt;"&amp;AM204,WeightedMinAge06),MAX(CapacityAge06*'01_Вводные'!$B$218*AM204,MeanMinAge06)))</f>
        <v/>
      </c>
      <c r="AN114" s="191">
        <f>IF(OR(AN86=0,6&lt;='01_Вводные'!$B$297),0,AN86*IF('01_Вводные'!$B$239="Да",MeanMinAge06+AN204*SUMIF(ThresholdAge06,"&lt;"&amp;AN204,WeightedRevAge06)-SUMIF(ThresholdAge06,"&lt;"&amp;AN204,WeightedMinAge06),MAX(CapacityAge06*'01_Вводные'!$B$218*AN204,MeanMinAge06)))</f>
        <v/>
      </c>
      <c r="AO114" s="191">
        <f>IF(OR(AO86=0,6&lt;='01_Вводные'!$B$297),0,AO86*IF('01_Вводные'!$B$239="Да",MeanMinAge06+AO204*SUMIF(ThresholdAge06,"&lt;"&amp;AO204,WeightedRevAge06)-SUMIF(ThresholdAge06,"&lt;"&amp;AO204,WeightedMinAge06),MAX(CapacityAge06*'01_Вводные'!$B$218*AO204,MeanMinAge06)))</f>
        <v/>
      </c>
      <c r="AP114" s="191">
        <f>IF(OR(AP86=0,6&lt;='01_Вводные'!$B$297),0,AP86*IF('01_Вводные'!$B$239="Да",MeanMinAge06+AP204*SUMIF(ThresholdAge06,"&lt;"&amp;AP204,WeightedRevAge06)-SUMIF(ThresholdAge06,"&lt;"&amp;AP204,WeightedMinAge06),MAX(CapacityAge06*'01_Вводные'!$B$218*AP204,MeanMinAge06)))</f>
        <v/>
      </c>
      <c r="AQ114" s="191">
        <f>IF(OR(AQ86=0,6&lt;='01_Вводные'!$B$297),0,AQ86*IF('01_Вводные'!$B$239="Да",MeanMinAge06+AQ204*SUMIF(ThresholdAge06,"&lt;"&amp;AQ204,WeightedRevAge06)-SUMIF(ThresholdAge06,"&lt;"&amp;AQ204,WeightedMinAge06),MAX(CapacityAge06*'01_Вводные'!$B$218*AQ204,MeanMinAge06)))</f>
        <v/>
      </c>
      <c r="AR114" s="191">
        <f>IF(OR(AR86=0,6&lt;='01_Вводные'!$B$297),0,AR86*IF('01_Вводные'!$B$239="Да",MeanMinAge06+AR204*SUMIF(ThresholdAge06,"&lt;"&amp;AR204,WeightedRevAge06)-SUMIF(ThresholdAge06,"&lt;"&amp;AR204,WeightedMinAge06),MAX(CapacityAge06*'01_Вводные'!$B$218*AR204,MeanMinAge06)))</f>
        <v/>
      </c>
      <c r="AS114" s="191">
        <f>IF(OR(AS86=0,6&lt;='01_Вводные'!$B$297),0,AS86*IF('01_Вводные'!$B$239="Да",MeanMinAge06+AS204*SUMIF(ThresholdAge06,"&lt;"&amp;AS204,WeightedRevAge06)-SUMIF(ThresholdAge06,"&lt;"&amp;AS204,WeightedMinAge06),MAX(CapacityAge06*'01_Вводные'!$B$218*AS204,MeanMinAge06)))</f>
        <v/>
      </c>
      <c r="AT114" s="191">
        <f>IF(OR(AT86=0,6&lt;='01_Вводные'!$B$297),0,AT86*IF('01_Вводные'!$B$239="Да",MeanMinAge06+AT204*SUMIF(ThresholdAge06,"&lt;"&amp;AT204,WeightedRevAge06)-SUMIF(ThresholdAge06,"&lt;"&amp;AT204,WeightedMinAge06),MAX(CapacityAge06*'01_Вводные'!$B$218*AT204,MeanMinAge06)))</f>
        <v/>
      </c>
      <c r="AU114" s="191">
        <f>IF(OR(AU86=0,6&lt;='01_Вводные'!$B$297),0,AU86*IF('01_Вводные'!$B$239="Да",MeanMinAge06+AU204*SUMIF(ThresholdAge06,"&lt;"&amp;AU204,WeightedRevAge06)-SUMIF(ThresholdAge06,"&lt;"&amp;AU204,WeightedMinAge06),MAX(CapacityAge06*'01_Вводные'!$B$218*AU204,MeanMinAge06)))</f>
        <v/>
      </c>
      <c r="AV114" s="191">
        <f>IF(OR(AV86=0,6&lt;='01_Вводные'!$B$297),0,AV86*IF('01_Вводные'!$B$239="Да",MeanMinAge06+AV204*SUMIF(ThresholdAge06,"&lt;"&amp;AV204,WeightedRevAge06)-SUMIF(ThresholdAge06,"&lt;"&amp;AV204,WeightedMinAge06),MAX(CapacityAge06*'01_Вводные'!$B$218*AV204,MeanMinAge06)))</f>
        <v/>
      </c>
      <c r="AW114" s="191">
        <f>IF(OR(AW86=0,6&lt;='01_Вводные'!$B$297),0,AW86*IF('01_Вводные'!$B$239="Да",MeanMinAge06+AW204*SUMIF(ThresholdAge06,"&lt;"&amp;AW204,WeightedRevAge06)-SUMIF(ThresholdAge06,"&lt;"&amp;AW204,WeightedMinAge06),MAX(CapacityAge06*'01_Вводные'!$B$218*AW204,MeanMinAge06)))</f>
        <v/>
      </c>
      <c r="AX114" s="191">
        <f>IF(OR(AX86=0,6&lt;='01_Вводные'!$B$297),0,AX86*IF('01_Вводные'!$B$239="Да",MeanMinAge06+AX204*SUMIF(ThresholdAge06,"&lt;"&amp;AX204,WeightedRevAge06)-SUMIF(ThresholdAge06,"&lt;"&amp;AX204,WeightedMinAge06),MAX(CapacityAge06*'01_Вводные'!$B$218*AX204,MeanMinAge06)))</f>
        <v/>
      </c>
      <c r="AY114" s="191">
        <f>IF(OR(AY86=0,6&lt;='01_Вводные'!$B$297),0,AY86*IF('01_Вводные'!$B$239="Да",MeanMinAge06+AY204*SUMIF(ThresholdAge06,"&lt;"&amp;AY204,WeightedRevAge06)-SUMIF(ThresholdAge06,"&lt;"&amp;AY204,WeightedMinAge06),MAX(CapacityAge06*'01_Вводные'!$B$218*AY204,MeanMinAge06)))</f>
        <v/>
      </c>
      <c r="AZ114" s="191">
        <f>IF(OR(AZ86=0,6&lt;='01_Вводные'!$B$297),0,AZ86*IF('01_Вводные'!$B$239="Да",MeanMinAge06+AZ204*SUMIF(ThresholdAge06,"&lt;"&amp;AZ204,WeightedRevAge06)-SUMIF(ThresholdAge06,"&lt;"&amp;AZ204,WeightedMinAge06),MAX(CapacityAge06*'01_Вводные'!$B$218*AZ204,MeanMinAge06)))</f>
        <v/>
      </c>
      <c r="BA114" s="191">
        <f>IF(OR(BA86=0,6&lt;='01_Вводные'!$B$297),0,BA86*IF('01_Вводные'!$B$239="Да",MeanMinAge06+BA204*SUMIF(ThresholdAge06,"&lt;"&amp;BA204,WeightedRevAge06)-SUMIF(ThresholdAge06,"&lt;"&amp;BA204,WeightedMinAge06),MAX(CapacityAge06*'01_Вводные'!$B$218*BA204,MeanMinAge06)))</f>
        <v/>
      </c>
      <c r="BB114" s="191">
        <f>IF(OR(BB86=0,6&lt;='01_Вводные'!$B$297),0,BB86*IF('01_Вводные'!$B$239="Да",MeanMinAge06+BB204*SUMIF(ThresholdAge06,"&lt;"&amp;BB204,WeightedRevAge06)-SUMIF(ThresholdAge06,"&lt;"&amp;BB204,WeightedMinAge06),MAX(CapacityAge06*'01_Вводные'!$B$218*BB204,MeanMinAge06)))</f>
        <v/>
      </c>
      <c r="BC114" s="191">
        <f>IF(OR(BC86=0,6&lt;='01_Вводные'!$B$297),0,BC86*IF('01_Вводные'!$B$239="Да",MeanMinAge06+BC204*SUMIF(ThresholdAge06,"&lt;"&amp;BC204,WeightedRevAge06)-SUMIF(ThresholdAge06,"&lt;"&amp;BC204,WeightedMinAge06),MAX(CapacityAge06*'01_Вводные'!$B$218*BC204,MeanMinAge06)))</f>
        <v/>
      </c>
      <c r="BD114" s="191">
        <f>IF(OR(BD86=0,6&lt;='01_Вводные'!$B$297),0,BD86*IF('01_Вводные'!$B$239="Да",MeanMinAge06+BD204*SUMIF(ThresholdAge06,"&lt;"&amp;BD204,WeightedRevAge06)-SUMIF(ThresholdAge06,"&lt;"&amp;BD204,WeightedMinAge06),MAX(CapacityAge06*'01_Вводные'!$B$218*BD204,MeanMinAge06)))</f>
        <v/>
      </c>
      <c r="BE114" s="191">
        <f>IF(OR(BE86=0,6&lt;='01_Вводные'!$B$297),0,BE86*IF('01_Вводные'!$B$239="Да",MeanMinAge06+BE204*SUMIF(ThresholdAge06,"&lt;"&amp;BE204,WeightedRevAge06)-SUMIF(ThresholdAge06,"&lt;"&amp;BE204,WeightedMinAge06),MAX(CapacityAge06*'01_Вводные'!$B$218*BE204,MeanMinAge06)))</f>
        <v/>
      </c>
      <c r="BF114" s="191">
        <f>IF(OR(BF86=0,6&lt;='01_Вводные'!$B$297),0,BF86*IF('01_Вводные'!$B$239="Да",MeanMinAge06+BF204*SUMIF(ThresholdAge06,"&lt;"&amp;BF204,WeightedRevAge06)-SUMIF(ThresholdAge06,"&lt;"&amp;BF204,WeightedMinAge06),MAX(CapacityAge06*'01_Вводные'!$B$218*BF204,MeanMinAge06)))</f>
        <v/>
      </c>
      <c r="BG114" s="191">
        <f>IF(OR(BG86=0,6&lt;='01_Вводные'!$B$297),0,BG86*IF('01_Вводные'!$B$239="Да",MeanMinAge06+BG204*SUMIF(ThresholdAge06,"&lt;"&amp;BG204,WeightedRevAge06)-SUMIF(ThresholdAge06,"&lt;"&amp;BG204,WeightedMinAge06),MAX(CapacityAge06*'01_Вводные'!$B$218*BG204,MeanMinAge06)))</f>
        <v/>
      </c>
      <c r="BH114" s="191">
        <f>IF(OR(BH86=0,6&lt;='01_Вводные'!$B$297),0,BH86*IF('01_Вводные'!$B$239="Да",MeanMinAge06+BH204*SUMIF(ThresholdAge06,"&lt;"&amp;BH204,WeightedRevAge06)-SUMIF(ThresholdAge06,"&lt;"&amp;BH204,WeightedMinAge06),MAX(CapacityAge06*'01_Вводные'!$B$218*BH204,MeanMinAge06)))</f>
        <v/>
      </c>
      <c r="BI114" s="191">
        <f>IF(OR(BI86=0,6&lt;='01_Вводные'!$B$297),0,BI86*IF('01_Вводные'!$B$239="Да",MeanMinAge06+BI204*SUMIF(ThresholdAge06,"&lt;"&amp;BI204,WeightedRevAge06)-SUMIF(ThresholdAge06,"&lt;"&amp;BI204,WeightedMinAge06),MAX(CapacityAge06*'01_Вводные'!$B$218*BI204,MeanMinAge06)))</f>
        <v/>
      </c>
      <c r="BJ114" s="191">
        <f>IF(OR(BJ86=0,6&lt;='01_Вводные'!$B$297),0,BJ86*IF('01_Вводные'!$B$239="Да",MeanMinAge06+BJ204*SUMIF(ThresholdAge06,"&lt;"&amp;BJ204,WeightedRevAge06)-SUMIF(ThresholdAge06,"&lt;"&amp;BJ204,WeightedMinAge06),MAX(CapacityAge06*'01_Вводные'!$B$218*BJ204,MeanMinAge06)))</f>
        <v/>
      </c>
      <c r="BK114" s="191">
        <f>IF(OR(BK86=0,6&lt;='01_Вводные'!$B$297),0,BK86*IF('01_Вводные'!$B$239="Да",MeanMinAge06+BK204*SUMIF(ThresholdAge06,"&lt;"&amp;BK204,WeightedRevAge06)-SUMIF(ThresholdAge06,"&lt;"&amp;BK204,WeightedMinAge06),MAX(CapacityAge06*'01_Вводные'!$B$218*BK204,MeanMinAge06)))</f>
        <v/>
      </c>
      <c r="BL114" s="191">
        <f>IF(OR(BL86=0,6&lt;='01_Вводные'!$B$297),0,BL86*IF('01_Вводные'!$B$239="Да",MeanMinAge06+BL204*SUMIF(ThresholdAge06,"&lt;"&amp;BL204,WeightedRevAge06)-SUMIF(ThresholdAge06,"&lt;"&amp;BL204,WeightedMinAge06),MAX(CapacityAge06*'01_Вводные'!$B$218*BL204,MeanMinAge06)))</f>
        <v/>
      </c>
      <c r="BM114" s="191">
        <f>IF(OR(BM86=0,6&lt;='01_Вводные'!$B$297),0,BM86*IF('01_Вводные'!$B$239="Да",MeanMinAge06+BM204*SUMIF(ThresholdAge06,"&lt;"&amp;BM204,WeightedRevAge06)-SUMIF(ThresholdAge06,"&lt;"&amp;BM204,WeightedMinAge06),MAX(CapacityAge06*'01_Вводные'!$B$218*BM204,MeanMinAge06)))</f>
        <v/>
      </c>
      <c r="BN114" s="191">
        <f>IF(OR(BN86=0,6&lt;='01_Вводные'!$B$297),0,BN86*IF('01_Вводные'!$B$239="Да",MeanMinAge06+BN204*SUMIF(ThresholdAge06,"&lt;"&amp;BN204,WeightedRevAge06)-SUMIF(ThresholdAge06,"&lt;"&amp;BN204,WeightedMinAge06),MAX(CapacityAge06*'01_Вводные'!$B$218*BN204,MeanMinAge06)))</f>
        <v/>
      </c>
      <c r="BO114" s="191">
        <f>IF(OR(BO86=0,6&lt;='01_Вводные'!$B$297),0,BO86*IF('01_Вводные'!$B$239="Да",MeanMinAge06+BO204*SUMIF(ThresholdAge06,"&lt;"&amp;BO204,WeightedRevAge06)-SUMIF(ThresholdAge06,"&lt;"&amp;BO204,WeightedMinAge06),MAX(CapacityAge06*'01_Вводные'!$B$218*BO204,MeanMinAge06)))</f>
        <v/>
      </c>
    </row>
    <row r="115" hidden="1" outlineLevel="1">
      <c r="A115" t="inlineStr">
        <is>
          <t>7 мес.</t>
        </is>
      </c>
      <c r="B115" s="190">
        <f>IF(OR(B87=0,7&lt;='01_Вводные'!$B$297),0,B87*IF('01_Вводные'!$B$239="Да",MeanMinAge07+B204*SUMIF(ThresholdAge07,"&lt;"&amp;B204,WeightedRevAge07)-SUMIF(ThresholdAge07,"&lt;"&amp;B204,WeightedMinAge07),MAX(CapacityAge07*'01_Вводные'!$B$218*B204,MeanMinAge07)))</f>
        <v/>
      </c>
      <c r="C115" s="190">
        <f>IF(OR(C87=0,7&lt;='01_Вводные'!$B$297),0,C87*IF('01_Вводные'!$B$239="Да",MeanMinAge07+C204*SUMIF(ThresholdAge07,"&lt;"&amp;C204,WeightedRevAge07)-SUMIF(ThresholdAge07,"&lt;"&amp;C204,WeightedMinAge07),MAX(CapacityAge07*'01_Вводные'!$B$218*C204,MeanMinAge07)))</f>
        <v/>
      </c>
      <c r="D115" s="190">
        <f>IF(OR(D87=0,7&lt;='01_Вводные'!$B$297),0,D87*IF('01_Вводные'!$B$239="Да",MeanMinAge07+D204*SUMIF(ThresholdAge07,"&lt;"&amp;D204,WeightedRevAge07)-SUMIF(ThresholdAge07,"&lt;"&amp;D204,WeightedMinAge07),MAX(CapacityAge07*'01_Вводные'!$B$218*D204,MeanMinAge07)))</f>
        <v/>
      </c>
      <c r="E115" s="190">
        <f>IF(OR(E87=0,7&lt;='01_Вводные'!$B$297),0,E87*IF('01_Вводные'!$B$239="Да",MeanMinAge07+E204*SUMIF(ThresholdAge07,"&lt;"&amp;E204,WeightedRevAge07)-SUMIF(ThresholdAge07,"&lt;"&amp;E204,WeightedMinAge07),MAX(CapacityAge07*'01_Вводные'!$B$218*E204,MeanMinAge07)))</f>
        <v/>
      </c>
      <c r="F115" s="190">
        <f>IF(OR(F87=0,7&lt;='01_Вводные'!$B$297),0,F87*IF('01_Вводные'!$B$239="Да",MeanMinAge07+F204*SUMIF(ThresholdAge07,"&lt;"&amp;F204,WeightedRevAge07)-SUMIF(ThresholdAge07,"&lt;"&amp;F204,WeightedMinAge07),MAX(CapacityAge07*'01_Вводные'!$B$218*F204,MeanMinAge07)))</f>
        <v/>
      </c>
      <c r="G115" s="190">
        <f>IF(OR(G87=0,7&lt;='01_Вводные'!$B$297),0,G87*IF('01_Вводные'!$B$239="Да",MeanMinAge07+G204*SUMIF(ThresholdAge07,"&lt;"&amp;G204,WeightedRevAge07)-SUMIF(ThresholdAge07,"&lt;"&amp;G204,WeightedMinAge07),MAX(CapacityAge07*'01_Вводные'!$B$218*G204,MeanMinAge07)))</f>
        <v/>
      </c>
      <c r="H115" s="190">
        <f>IF(OR(H87=0,7&lt;='01_Вводные'!$B$297),0,H87*IF('01_Вводные'!$B$239="Да",MeanMinAge07+H204*SUMIF(ThresholdAge07,"&lt;"&amp;H204,WeightedRevAge07)-SUMIF(ThresholdAge07,"&lt;"&amp;H204,WeightedMinAge07),MAX(CapacityAge07*'01_Вводные'!$B$218*H204,MeanMinAge07)))</f>
        <v/>
      </c>
      <c r="I115" s="190">
        <f>IF(OR(I87=0,7&lt;='01_Вводные'!$B$297),0,I87*IF('01_Вводные'!$B$239="Да",MeanMinAge07+I204*SUMIF(ThresholdAge07,"&lt;"&amp;I204,WeightedRevAge07)-SUMIF(ThresholdAge07,"&lt;"&amp;I204,WeightedMinAge07),MAX(CapacityAge07*'01_Вводные'!$B$218*I204,MeanMinAge07)))</f>
        <v/>
      </c>
      <c r="J115" s="190">
        <f>IF(OR(J87=0,7&lt;='01_Вводные'!$B$297),0,J87*IF('01_Вводные'!$B$239="Да",MeanMinAge07+J204*SUMIF(ThresholdAge07,"&lt;"&amp;J204,WeightedRevAge07)-SUMIF(ThresholdAge07,"&lt;"&amp;J204,WeightedMinAge07),MAX(CapacityAge07*'01_Вводные'!$B$218*J204,MeanMinAge07)))</f>
        <v/>
      </c>
      <c r="K115" s="190">
        <f>IF(OR(K87=0,7&lt;='01_Вводные'!$B$297),0,K87*IF('01_Вводные'!$B$239="Да",MeanMinAge07+K204*SUMIF(ThresholdAge07,"&lt;"&amp;K204,WeightedRevAge07)-SUMIF(ThresholdAge07,"&lt;"&amp;K204,WeightedMinAge07),MAX(CapacityAge07*'01_Вводные'!$B$218*K204,MeanMinAge07)))</f>
        <v/>
      </c>
      <c r="L115" s="190">
        <f>IF(OR(L87=0,7&lt;='01_Вводные'!$B$297),0,L87*IF('01_Вводные'!$B$239="Да",MeanMinAge07+L204*SUMIF(ThresholdAge07,"&lt;"&amp;L204,WeightedRevAge07)-SUMIF(ThresholdAge07,"&lt;"&amp;L204,WeightedMinAge07),MAX(CapacityAge07*'01_Вводные'!$B$218*L204,MeanMinAge07)))</f>
        <v/>
      </c>
      <c r="M115" s="190">
        <f>IF(OR(M87=0,7&lt;='01_Вводные'!$B$297),0,M87*IF('01_Вводные'!$B$239="Да",MeanMinAge07+M204*SUMIF(ThresholdAge07,"&lt;"&amp;M204,WeightedRevAge07)-SUMIF(ThresholdAge07,"&lt;"&amp;M204,WeightedMinAge07),MAX(CapacityAge07*'01_Вводные'!$B$218*M204,MeanMinAge07)))</f>
        <v/>
      </c>
      <c r="N115" s="190">
        <f>IF(OR(N87=0,7&lt;='01_Вводные'!$B$297),0,N87*IF('01_Вводные'!$B$239="Да",MeanMinAge07+N204*SUMIF(ThresholdAge07,"&lt;"&amp;N204,WeightedRevAge07)-SUMIF(ThresholdAge07,"&lt;"&amp;N204,WeightedMinAge07),MAX(CapacityAge07*'01_Вводные'!$B$218*N204,MeanMinAge07)))</f>
        <v/>
      </c>
      <c r="O115" s="190">
        <f>IF(OR(O87=0,7&lt;='01_Вводные'!$B$297),0,O87*IF('01_Вводные'!$B$239="Да",MeanMinAge07+O204*SUMIF(ThresholdAge07,"&lt;"&amp;O204,WeightedRevAge07)-SUMIF(ThresholdAge07,"&lt;"&amp;O204,WeightedMinAge07),MAX(CapacityAge07*'01_Вводные'!$B$218*O204,MeanMinAge07)))</f>
        <v/>
      </c>
      <c r="P115" s="190">
        <f>IF(OR(P87=0,7&lt;='01_Вводные'!$B$297),0,P87*IF('01_Вводные'!$B$239="Да",MeanMinAge07+P204*SUMIF(ThresholdAge07,"&lt;"&amp;P204,WeightedRevAge07)-SUMIF(ThresholdAge07,"&lt;"&amp;P204,WeightedMinAge07),MAX(CapacityAge07*'01_Вводные'!$B$218*P204,MeanMinAge07)))</f>
        <v/>
      </c>
      <c r="Q115" s="190">
        <f>IF(OR(Q87=0,7&lt;='01_Вводные'!$B$297),0,Q87*IF('01_Вводные'!$B$239="Да",MeanMinAge07+Q204*SUMIF(ThresholdAge07,"&lt;"&amp;Q204,WeightedRevAge07)-SUMIF(ThresholdAge07,"&lt;"&amp;Q204,WeightedMinAge07),MAX(CapacityAge07*'01_Вводные'!$B$218*Q204,MeanMinAge07)))</f>
        <v/>
      </c>
      <c r="R115" s="190">
        <f>IF(OR(R87=0,7&lt;='01_Вводные'!$B$297),0,R87*IF('01_Вводные'!$B$239="Да",MeanMinAge07+R204*SUMIF(ThresholdAge07,"&lt;"&amp;R204,WeightedRevAge07)-SUMIF(ThresholdAge07,"&lt;"&amp;R204,WeightedMinAge07),MAX(CapacityAge07*'01_Вводные'!$B$218*R204,MeanMinAge07)))</f>
        <v/>
      </c>
      <c r="S115" s="190">
        <f>IF(OR(S87=0,7&lt;='01_Вводные'!$B$297),0,S87*IF('01_Вводные'!$B$239="Да",MeanMinAge07+S204*SUMIF(ThresholdAge07,"&lt;"&amp;S204,WeightedRevAge07)-SUMIF(ThresholdAge07,"&lt;"&amp;S204,WeightedMinAge07),MAX(CapacityAge07*'01_Вводные'!$B$218*S204,MeanMinAge07)))</f>
        <v/>
      </c>
      <c r="T115" s="190">
        <f>IF(OR(T87=0,7&lt;='01_Вводные'!$B$297),0,T87*IF('01_Вводные'!$B$239="Да",MeanMinAge07+T204*SUMIF(ThresholdAge07,"&lt;"&amp;T204,WeightedRevAge07)-SUMIF(ThresholdAge07,"&lt;"&amp;T204,WeightedMinAge07),MAX(CapacityAge07*'01_Вводные'!$B$218*T204,MeanMinAge07)))</f>
        <v/>
      </c>
      <c r="U115" s="190">
        <f>IF(OR(U87=0,7&lt;='01_Вводные'!$B$297),0,U87*IF('01_Вводные'!$B$239="Да",MeanMinAge07+U204*SUMIF(ThresholdAge07,"&lt;"&amp;U204,WeightedRevAge07)-SUMIF(ThresholdAge07,"&lt;"&amp;U204,WeightedMinAge07),MAX(CapacityAge07*'01_Вводные'!$B$218*U204,MeanMinAge07)))</f>
        <v/>
      </c>
      <c r="V115" s="190">
        <f>IF(OR(V87=0,7&lt;='01_Вводные'!$B$297),0,V87*IF('01_Вводные'!$B$239="Да",MeanMinAge07+V204*SUMIF(ThresholdAge07,"&lt;"&amp;V204,WeightedRevAge07)-SUMIF(ThresholdAge07,"&lt;"&amp;V204,WeightedMinAge07),MAX(CapacityAge07*'01_Вводные'!$B$218*V204,MeanMinAge07)))</f>
        <v/>
      </c>
      <c r="W115" s="190">
        <f>IF(OR(W87=0,7&lt;='01_Вводные'!$B$297),0,W87*IF('01_Вводные'!$B$239="Да",MeanMinAge07+W204*SUMIF(ThresholdAge07,"&lt;"&amp;W204,WeightedRevAge07)-SUMIF(ThresholdAge07,"&lt;"&amp;W204,WeightedMinAge07),MAX(CapacityAge07*'01_Вводные'!$B$218*W204,MeanMinAge07)))</f>
        <v/>
      </c>
      <c r="X115" s="190">
        <f>IF(OR(X87=0,7&lt;='01_Вводные'!$B$297),0,X87*IF('01_Вводные'!$B$239="Да",MeanMinAge07+X204*SUMIF(ThresholdAge07,"&lt;"&amp;X204,WeightedRevAge07)-SUMIF(ThresholdAge07,"&lt;"&amp;X204,WeightedMinAge07),MAX(CapacityAge07*'01_Вводные'!$B$218*X204,MeanMinAge07)))</f>
        <v/>
      </c>
      <c r="Y115" s="190">
        <f>IF(OR(Y87=0,7&lt;='01_Вводные'!$B$297),0,Y87*IF('01_Вводные'!$B$239="Да",MeanMinAge07+Y204*SUMIF(ThresholdAge07,"&lt;"&amp;Y204,WeightedRevAge07)-SUMIF(ThresholdAge07,"&lt;"&amp;Y204,WeightedMinAge07),MAX(CapacityAge07*'01_Вводные'!$B$218*Y204,MeanMinAge07)))</f>
        <v/>
      </c>
      <c r="Z115" s="190">
        <f>IF(OR(Z87=0,7&lt;='01_Вводные'!$B$297),0,Z87*IF('01_Вводные'!$B$239="Да",MeanMinAge07+Z204*SUMIF(ThresholdAge07,"&lt;"&amp;Z204,WeightedRevAge07)-SUMIF(ThresholdAge07,"&lt;"&amp;Z204,WeightedMinAge07),MAX(CapacityAge07*'01_Вводные'!$B$218*Z204,MeanMinAge07)))</f>
        <v/>
      </c>
      <c r="AA115" s="190">
        <f>IF(OR(AA87=0,7&lt;='01_Вводные'!$B$297),0,AA87*IF('01_Вводные'!$B$239="Да",MeanMinAge07+AA204*SUMIF(ThresholdAge07,"&lt;"&amp;AA204,WeightedRevAge07)-SUMIF(ThresholdAge07,"&lt;"&amp;AA204,WeightedMinAge07),MAX(CapacityAge07*'01_Вводные'!$B$218*AA204,MeanMinAge07)))</f>
        <v/>
      </c>
      <c r="AB115" s="190">
        <f>IF(OR(AB87=0,7&lt;='01_Вводные'!$B$297),0,AB87*IF('01_Вводные'!$B$239="Да",MeanMinAge07+AB204*SUMIF(ThresholdAge07,"&lt;"&amp;AB204,WeightedRevAge07)-SUMIF(ThresholdAge07,"&lt;"&amp;AB204,WeightedMinAge07),MAX(CapacityAge07*'01_Вводные'!$B$218*AB204,MeanMinAge07)))</f>
        <v/>
      </c>
      <c r="AC115" s="190">
        <f>IF(OR(AC87=0,7&lt;='01_Вводные'!$B$297),0,AC87*IF('01_Вводные'!$B$239="Да",MeanMinAge07+AC204*SUMIF(ThresholdAge07,"&lt;"&amp;AC204,WeightedRevAge07)-SUMIF(ThresholdAge07,"&lt;"&amp;AC204,WeightedMinAge07),MAX(CapacityAge07*'01_Вводные'!$B$218*AC204,MeanMinAge07)))</f>
        <v/>
      </c>
      <c r="AD115" s="190">
        <f>IF(OR(AD87=0,7&lt;='01_Вводные'!$B$297),0,AD87*IF('01_Вводные'!$B$239="Да",MeanMinAge07+AD204*SUMIF(ThresholdAge07,"&lt;"&amp;AD204,WeightedRevAge07)-SUMIF(ThresholdAge07,"&lt;"&amp;AD204,WeightedMinAge07),MAX(CapacityAge07*'01_Вводные'!$B$218*AD204,MeanMinAge07)))</f>
        <v/>
      </c>
      <c r="AE115" s="190">
        <f>IF(OR(AE87=0,7&lt;='01_Вводные'!$B$297),0,AE87*IF('01_Вводные'!$B$239="Да",MeanMinAge07+AE204*SUMIF(ThresholdAge07,"&lt;"&amp;AE204,WeightedRevAge07)-SUMIF(ThresholdAge07,"&lt;"&amp;AE204,WeightedMinAge07),MAX(CapacityAge07*'01_Вводные'!$B$218*AE204,MeanMinAge07)))</f>
        <v/>
      </c>
      <c r="AF115" s="190">
        <f>IF(OR(AF87=0,7&lt;='01_Вводные'!$B$297),0,AF87*IF('01_Вводные'!$B$239="Да",MeanMinAge07+AF204*SUMIF(ThresholdAge07,"&lt;"&amp;AF204,WeightedRevAge07)-SUMIF(ThresholdAge07,"&lt;"&amp;AF204,WeightedMinAge07),MAX(CapacityAge07*'01_Вводные'!$B$218*AF204,MeanMinAge07)))</f>
        <v/>
      </c>
      <c r="AG115" s="190">
        <f>IF(OR(AG87=0,7&lt;='01_Вводные'!$B$297),0,AG87*IF('01_Вводные'!$B$239="Да",MeanMinAge07+AG204*SUMIF(ThresholdAge07,"&lt;"&amp;AG204,WeightedRevAge07)-SUMIF(ThresholdAge07,"&lt;"&amp;AG204,WeightedMinAge07),MAX(CapacityAge07*'01_Вводные'!$B$218*AG204,MeanMinAge07)))</f>
        <v/>
      </c>
      <c r="AH115" s="190">
        <f>IF(OR(AH87=0,7&lt;='01_Вводные'!$B$297),0,AH87*IF('01_Вводные'!$B$239="Да",MeanMinAge07+AH204*SUMIF(ThresholdAge07,"&lt;"&amp;AH204,WeightedRevAge07)-SUMIF(ThresholdAge07,"&lt;"&amp;AH204,WeightedMinAge07),MAX(CapacityAge07*'01_Вводные'!$B$218*AH204,MeanMinAge07)))</f>
        <v/>
      </c>
      <c r="AI115" s="190">
        <f>IF(OR(AI87=0,7&lt;='01_Вводные'!$B$297),0,AI87*IF('01_Вводные'!$B$239="Да",MeanMinAge07+AI204*SUMIF(ThresholdAge07,"&lt;"&amp;AI204,WeightedRevAge07)-SUMIF(ThresholdAge07,"&lt;"&amp;AI204,WeightedMinAge07),MAX(CapacityAge07*'01_Вводные'!$B$218*AI204,MeanMinAge07)))</f>
        <v/>
      </c>
      <c r="AJ115" s="190">
        <f>IF(OR(AJ87=0,7&lt;='01_Вводные'!$B$297),0,AJ87*IF('01_Вводные'!$B$239="Да",MeanMinAge07+AJ204*SUMIF(ThresholdAge07,"&lt;"&amp;AJ204,WeightedRevAge07)-SUMIF(ThresholdAge07,"&lt;"&amp;AJ204,WeightedMinAge07),MAX(CapacityAge07*'01_Вводные'!$B$218*AJ204,MeanMinAge07)))</f>
        <v/>
      </c>
      <c r="AK115" s="190">
        <f>IF(OR(AK87=0,7&lt;='01_Вводные'!$B$297),0,AK87*IF('01_Вводные'!$B$239="Да",MeanMinAge07+AK204*SUMIF(ThresholdAge07,"&lt;"&amp;AK204,WeightedRevAge07)-SUMIF(ThresholdAge07,"&lt;"&amp;AK204,WeightedMinAge07),MAX(CapacityAge07*'01_Вводные'!$B$218*AK204,MeanMinAge07)))</f>
        <v/>
      </c>
      <c r="AL115" s="190">
        <f>IF(OR(AL87=0,7&lt;='01_Вводные'!$B$297),0,AL87*IF('01_Вводные'!$B$239="Да",MeanMinAge07+AL204*SUMIF(ThresholdAge07,"&lt;"&amp;AL204,WeightedRevAge07)-SUMIF(ThresholdAge07,"&lt;"&amp;AL204,WeightedMinAge07),MAX(CapacityAge07*'01_Вводные'!$B$218*AL204,MeanMinAge07)))</f>
        <v/>
      </c>
      <c r="AM115" s="190">
        <f>IF(OR(AM87=0,7&lt;='01_Вводные'!$B$297),0,AM87*IF('01_Вводные'!$B$239="Да",MeanMinAge07+AM204*SUMIF(ThresholdAge07,"&lt;"&amp;AM204,WeightedRevAge07)-SUMIF(ThresholdAge07,"&lt;"&amp;AM204,WeightedMinAge07),MAX(CapacityAge07*'01_Вводные'!$B$218*AM204,MeanMinAge07)))</f>
        <v/>
      </c>
      <c r="AN115" s="190">
        <f>IF(OR(AN87=0,7&lt;='01_Вводные'!$B$297),0,AN87*IF('01_Вводные'!$B$239="Да",MeanMinAge07+AN204*SUMIF(ThresholdAge07,"&lt;"&amp;AN204,WeightedRevAge07)-SUMIF(ThresholdAge07,"&lt;"&amp;AN204,WeightedMinAge07),MAX(CapacityAge07*'01_Вводные'!$B$218*AN204,MeanMinAge07)))</f>
        <v/>
      </c>
      <c r="AO115" s="190">
        <f>IF(OR(AO87=0,7&lt;='01_Вводные'!$B$297),0,AO87*IF('01_Вводные'!$B$239="Да",MeanMinAge07+AO204*SUMIF(ThresholdAge07,"&lt;"&amp;AO204,WeightedRevAge07)-SUMIF(ThresholdAge07,"&lt;"&amp;AO204,WeightedMinAge07),MAX(CapacityAge07*'01_Вводные'!$B$218*AO204,MeanMinAge07)))</f>
        <v/>
      </c>
      <c r="AP115" s="190">
        <f>IF(OR(AP87=0,7&lt;='01_Вводные'!$B$297),0,AP87*IF('01_Вводные'!$B$239="Да",MeanMinAge07+AP204*SUMIF(ThresholdAge07,"&lt;"&amp;AP204,WeightedRevAge07)-SUMIF(ThresholdAge07,"&lt;"&amp;AP204,WeightedMinAge07),MAX(CapacityAge07*'01_Вводные'!$B$218*AP204,MeanMinAge07)))</f>
        <v/>
      </c>
      <c r="AQ115" s="190">
        <f>IF(OR(AQ87=0,7&lt;='01_Вводные'!$B$297),0,AQ87*IF('01_Вводные'!$B$239="Да",MeanMinAge07+AQ204*SUMIF(ThresholdAge07,"&lt;"&amp;AQ204,WeightedRevAge07)-SUMIF(ThresholdAge07,"&lt;"&amp;AQ204,WeightedMinAge07),MAX(CapacityAge07*'01_Вводные'!$B$218*AQ204,MeanMinAge07)))</f>
        <v/>
      </c>
      <c r="AR115" s="190">
        <f>IF(OR(AR87=0,7&lt;='01_Вводные'!$B$297),0,AR87*IF('01_Вводные'!$B$239="Да",MeanMinAge07+AR204*SUMIF(ThresholdAge07,"&lt;"&amp;AR204,WeightedRevAge07)-SUMIF(ThresholdAge07,"&lt;"&amp;AR204,WeightedMinAge07),MAX(CapacityAge07*'01_Вводные'!$B$218*AR204,MeanMinAge07)))</f>
        <v/>
      </c>
      <c r="AS115" s="190">
        <f>IF(OR(AS87=0,7&lt;='01_Вводные'!$B$297),0,AS87*IF('01_Вводные'!$B$239="Да",MeanMinAge07+AS204*SUMIF(ThresholdAge07,"&lt;"&amp;AS204,WeightedRevAge07)-SUMIF(ThresholdAge07,"&lt;"&amp;AS204,WeightedMinAge07),MAX(CapacityAge07*'01_Вводные'!$B$218*AS204,MeanMinAge07)))</f>
        <v/>
      </c>
      <c r="AT115" s="190">
        <f>IF(OR(AT87=0,7&lt;='01_Вводные'!$B$297),0,AT87*IF('01_Вводные'!$B$239="Да",MeanMinAge07+AT204*SUMIF(ThresholdAge07,"&lt;"&amp;AT204,WeightedRevAge07)-SUMIF(ThresholdAge07,"&lt;"&amp;AT204,WeightedMinAge07),MAX(CapacityAge07*'01_Вводные'!$B$218*AT204,MeanMinAge07)))</f>
        <v/>
      </c>
      <c r="AU115" s="190">
        <f>IF(OR(AU87=0,7&lt;='01_Вводные'!$B$297),0,AU87*IF('01_Вводные'!$B$239="Да",MeanMinAge07+AU204*SUMIF(ThresholdAge07,"&lt;"&amp;AU204,WeightedRevAge07)-SUMIF(ThresholdAge07,"&lt;"&amp;AU204,WeightedMinAge07),MAX(CapacityAge07*'01_Вводные'!$B$218*AU204,MeanMinAge07)))</f>
        <v/>
      </c>
      <c r="AV115" s="190">
        <f>IF(OR(AV87=0,7&lt;='01_Вводные'!$B$297),0,AV87*IF('01_Вводные'!$B$239="Да",MeanMinAge07+AV204*SUMIF(ThresholdAge07,"&lt;"&amp;AV204,WeightedRevAge07)-SUMIF(ThresholdAge07,"&lt;"&amp;AV204,WeightedMinAge07),MAX(CapacityAge07*'01_Вводные'!$B$218*AV204,MeanMinAge07)))</f>
        <v/>
      </c>
      <c r="AW115" s="190">
        <f>IF(OR(AW87=0,7&lt;='01_Вводные'!$B$297),0,AW87*IF('01_Вводные'!$B$239="Да",MeanMinAge07+AW204*SUMIF(ThresholdAge07,"&lt;"&amp;AW204,WeightedRevAge07)-SUMIF(ThresholdAge07,"&lt;"&amp;AW204,WeightedMinAge07),MAX(CapacityAge07*'01_Вводные'!$B$218*AW204,MeanMinAge07)))</f>
        <v/>
      </c>
      <c r="AX115" s="190">
        <f>IF(OR(AX87=0,7&lt;='01_Вводные'!$B$297),0,AX87*IF('01_Вводные'!$B$239="Да",MeanMinAge07+AX204*SUMIF(ThresholdAge07,"&lt;"&amp;AX204,WeightedRevAge07)-SUMIF(ThresholdAge07,"&lt;"&amp;AX204,WeightedMinAge07),MAX(CapacityAge07*'01_Вводные'!$B$218*AX204,MeanMinAge07)))</f>
        <v/>
      </c>
      <c r="AY115" s="190">
        <f>IF(OR(AY87=0,7&lt;='01_Вводные'!$B$297),0,AY87*IF('01_Вводные'!$B$239="Да",MeanMinAge07+AY204*SUMIF(ThresholdAge07,"&lt;"&amp;AY204,WeightedRevAge07)-SUMIF(ThresholdAge07,"&lt;"&amp;AY204,WeightedMinAge07),MAX(CapacityAge07*'01_Вводные'!$B$218*AY204,MeanMinAge07)))</f>
        <v/>
      </c>
      <c r="AZ115" s="190">
        <f>IF(OR(AZ87=0,7&lt;='01_Вводные'!$B$297),0,AZ87*IF('01_Вводные'!$B$239="Да",MeanMinAge07+AZ204*SUMIF(ThresholdAge07,"&lt;"&amp;AZ204,WeightedRevAge07)-SUMIF(ThresholdAge07,"&lt;"&amp;AZ204,WeightedMinAge07),MAX(CapacityAge07*'01_Вводные'!$B$218*AZ204,MeanMinAge07)))</f>
        <v/>
      </c>
      <c r="BA115" s="190">
        <f>IF(OR(BA87=0,7&lt;='01_Вводные'!$B$297),0,BA87*IF('01_Вводные'!$B$239="Да",MeanMinAge07+BA204*SUMIF(ThresholdAge07,"&lt;"&amp;BA204,WeightedRevAge07)-SUMIF(ThresholdAge07,"&lt;"&amp;BA204,WeightedMinAge07),MAX(CapacityAge07*'01_Вводные'!$B$218*BA204,MeanMinAge07)))</f>
        <v/>
      </c>
      <c r="BB115" s="190">
        <f>IF(OR(BB87=0,7&lt;='01_Вводные'!$B$297),0,BB87*IF('01_Вводные'!$B$239="Да",MeanMinAge07+BB204*SUMIF(ThresholdAge07,"&lt;"&amp;BB204,WeightedRevAge07)-SUMIF(ThresholdAge07,"&lt;"&amp;BB204,WeightedMinAge07),MAX(CapacityAge07*'01_Вводные'!$B$218*BB204,MeanMinAge07)))</f>
        <v/>
      </c>
      <c r="BC115" s="190">
        <f>IF(OR(BC87=0,7&lt;='01_Вводные'!$B$297),0,BC87*IF('01_Вводные'!$B$239="Да",MeanMinAge07+BC204*SUMIF(ThresholdAge07,"&lt;"&amp;BC204,WeightedRevAge07)-SUMIF(ThresholdAge07,"&lt;"&amp;BC204,WeightedMinAge07),MAX(CapacityAge07*'01_Вводные'!$B$218*BC204,MeanMinAge07)))</f>
        <v/>
      </c>
      <c r="BD115" s="190">
        <f>IF(OR(BD87=0,7&lt;='01_Вводные'!$B$297),0,BD87*IF('01_Вводные'!$B$239="Да",MeanMinAge07+BD204*SUMIF(ThresholdAge07,"&lt;"&amp;BD204,WeightedRevAge07)-SUMIF(ThresholdAge07,"&lt;"&amp;BD204,WeightedMinAge07),MAX(CapacityAge07*'01_Вводные'!$B$218*BD204,MeanMinAge07)))</f>
        <v/>
      </c>
      <c r="BE115" s="190">
        <f>IF(OR(BE87=0,7&lt;='01_Вводные'!$B$297),0,BE87*IF('01_Вводные'!$B$239="Да",MeanMinAge07+BE204*SUMIF(ThresholdAge07,"&lt;"&amp;BE204,WeightedRevAge07)-SUMIF(ThresholdAge07,"&lt;"&amp;BE204,WeightedMinAge07),MAX(CapacityAge07*'01_Вводные'!$B$218*BE204,MeanMinAge07)))</f>
        <v/>
      </c>
      <c r="BF115" s="190">
        <f>IF(OR(BF87=0,7&lt;='01_Вводные'!$B$297),0,BF87*IF('01_Вводные'!$B$239="Да",MeanMinAge07+BF204*SUMIF(ThresholdAge07,"&lt;"&amp;BF204,WeightedRevAge07)-SUMIF(ThresholdAge07,"&lt;"&amp;BF204,WeightedMinAge07),MAX(CapacityAge07*'01_Вводные'!$B$218*BF204,MeanMinAge07)))</f>
        <v/>
      </c>
      <c r="BG115" s="190">
        <f>IF(OR(BG87=0,7&lt;='01_Вводные'!$B$297),0,BG87*IF('01_Вводные'!$B$239="Да",MeanMinAge07+BG204*SUMIF(ThresholdAge07,"&lt;"&amp;BG204,WeightedRevAge07)-SUMIF(ThresholdAge07,"&lt;"&amp;BG204,WeightedMinAge07),MAX(CapacityAge07*'01_Вводные'!$B$218*BG204,MeanMinAge07)))</f>
        <v/>
      </c>
      <c r="BH115" s="190">
        <f>IF(OR(BH87=0,7&lt;='01_Вводные'!$B$297),0,BH87*IF('01_Вводные'!$B$239="Да",MeanMinAge07+BH204*SUMIF(ThresholdAge07,"&lt;"&amp;BH204,WeightedRevAge07)-SUMIF(ThresholdAge07,"&lt;"&amp;BH204,WeightedMinAge07),MAX(CapacityAge07*'01_Вводные'!$B$218*BH204,MeanMinAge07)))</f>
        <v/>
      </c>
      <c r="BI115" s="190">
        <f>IF(OR(BI87=0,7&lt;='01_Вводные'!$B$297),0,BI87*IF('01_Вводные'!$B$239="Да",MeanMinAge07+BI204*SUMIF(ThresholdAge07,"&lt;"&amp;BI204,WeightedRevAge07)-SUMIF(ThresholdAge07,"&lt;"&amp;BI204,WeightedMinAge07),MAX(CapacityAge07*'01_Вводные'!$B$218*BI204,MeanMinAge07)))</f>
        <v/>
      </c>
      <c r="BJ115" s="190">
        <f>IF(OR(BJ87=0,7&lt;='01_Вводные'!$B$297),0,BJ87*IF('01_Вводные'!$B$239="Да",MeanMinAge07+BJ204*SUMIF(ThresholdAge07,"&lt;"&amp;BJ204,WeightedRevAge07)-SUMIF(ThresholdAge07,"&lt;"&amp;BJ204,WeightedMinAge07),MAX(CapacityAge07*'01_Вводные'!$B$218*BJ204,MeanMinAge07)))</f>
        <v/>
      </c>
      <c r="BK115" s="190">
        <f>IF(OR(BK87=0,7&lt;='01_Вводные'!$B$297),0,BK87*IF('01_Вводные'!$B$239="Да",MeanMinAge07+BK204*SUMIF(ThresholdAge07,"&lt;"&amp;BK204,WeightedRevAge07)-SUMIF(ThresholdAge07,"&lt;"&amp;BK204,WeightedMinAge07),MAX(CapacityAge07*'01_Вводные'!$B$218*BK204,MeanMinAge07)))</f>
        <v/>
      </c>
      <c r="BL115" s="190">
        <f>IF(OR(BL87=0,7&lt;='01_Вводные'!$B$297),0,BL87*IF('01_Вводные'!$B$239="Да",MeanMinAge07+BL204*SUMIF(ThresholdAge07,"&lt;"&amp;BL204,WeightedRevAge07)-SUMIF(ThresholdAge07,"&lt;"&amp;BL204,WeightedMinAge07),MAX(CapacityAge07*'01_Вводные'!$B$218*BL204,MeanMinAge07)))</f>
        <v/>
      </c>
      <c r="BM115" s="190">
        <f>IF(OR(BM87=0,7&lt;='01_Вводные'!$B$297),0,BM87*IF('01_Вводные'!$B$239="Да",MeanMinAge07+BM204*SUMIF(ThresholdAge07,"&lt;"&amp;BM204,WeightedRevAge07)-SUMIF(ThresholdAge07,"&lt;"&amp;BM204,WeightedMinAge07),MAX(CapacityAge07*'01_Вводные'!$B$218*BM204,MeanMinAge07)))</f>
        <v/>
      </c>
      <c r="BN115" s="190">
        <f>IF(OR(BN87=0,7&lt;='01_Вводные'!$B$297),0,BN87*IF('01_Вводные'!$B$239="Да",MeanMinAge07+BN204*SUMIF(ThresholdAge07,"&lt;"&amp;BN204,WeightedRevAge07)-SUMIF(ThresholdAge07,"&lt;"&amp;BN204,WeightedMinAge07),MAX(CapacityAge07*'01_Вводные'!$B$218*BN204,MeanMinAge07)))</f>
        <v/>
      </c>
      <c r="BO115" s="190">
        <f>IF(OR(BO87=0,7&lt;='01_Вводные'!$B$297),0,BO87*IF('01_Вводные'!$B$239="Да",MeanMinAge07+BO204*SUMIF(ThresholdAge07,"&lt;"&amp;BO204,WeightedRevAge07)-SUMIF(ThresholdAge07,"&lt;"&amp;BO204,WeightedMinAge07),MAX(CapacityAge07*'01_Вводные'!$B$218*BO204,MeanMinAge07)))</f>
        <v/>
      </c>
    </row>
    <row r="116" hidden="1" outlineLevel="1">
      <c r="A116" t="inlineStr">
        <is>
          <t>8 мес.</t>
        </is>
      </c>
      <c r="B116" s="190">
        <f>IF(OR(B88=0,8&lt;='01_Вводные'!$B$297),0,B88*IF('01_Вводные'!$B$239="Да",MeanMinAge08+B204*SUMIF(ThresholdAge08,"&lt;"&amp;B204,WeightedRevAge08)-SUMIF(ThresholdAge08,"&lt;"&amp;B204,WeightedMinAge08),MAX(CapacityAge08*'01_Вводные'!$B$218*B204,MeanMinAge08)))</f>
        <v/>
      </c>
      <c r="C116" s="190">
        <f>IF(OR(C88=0,8&lt;='01_Вводные'!$B$297),0,C88*IF('01_Вводные'!$B$239="Да",MeanMinAge08+C204*SUMIF(ThresholdAge08,"&lt;"&amp;C204,WeightedRevAge08)-SUMIF(ThresholdAge08,"&lt;"&amp;C204,WeightedMinAge08),MAX(CapacityAge08*'01_Вводные'!$B$218*C204,MeanMinAge08)))</f>
        <v/>
      </c>
      <c r="D116" s="190">
        <f>IF(OR(D88=0,8&lt;='01_Вводные'!$B$297),0,D88*IF('01_Вводные'!$B$239="Да",MeanMinAge08+D204*SUMIF(ThresholdAge08,"&lt;"&amp;D204,WeightedRevAge08)-SUMIF(ThresholdAge08,"&lt;"&amp;D204,WeightedMinAge08),MAX(CapacityAge08*'01_Вводные'!$B$218*D204,MeanMinAge08)))</f>
        <v/>
      </c>
      <c r="E116" s="190">
        <f>IF(OR(E88=0,8&lt;='01_Вводные'!$B$297),0,E88*IF('01_Вводные'!$B$239="Да",MeanMinAge08+E204*SUMIF(ThresholdAge08,"&lt;"&amp;E204,WeightedRevAge08)-SUMIF(ThresholdAge08,"&lt;"&amp;E204,WeightedMinAge08),MAX(CapacityAge08*'01_Вводные'!$B$218*E204,MeanMinAge08)))</f>
        <v/>
      </c>
      <c r="F116" s="190">
        <f>IF(OR(F88=0,8&lt;='01_Вводные'!$B$297),0,F88*IF('01_Вводные'!$B$239="Да",MeanMinAge08+F204*SUMIF(ThresholdAge08,"&lt;"&amp;F204,WeightedRevAge08)-SUMIF(ThresholdAge08,"&lt;"&amp;F204,WeightedMinAge08),MAX(CapacityAge08*'01_Вводные'!$B$218*F204,MeanMinAge08)))</f>
        <v/>
      </c>
      <c r="G116" s="190">
        <f>IF(OR(G88=0,8&lt;='01_Вводные'!$B$297),0,G88*IF('01_Вводные'!$B$239="Да",MeanMinAge08+G204*SUMIF(ThresholdAge08,"&lt;"&amp;G204,WeightedRevAge08)-SUMIF(ThresholdAge08,"&lt;"&amp;G204,WeightedMinAge08),MAX(CapacityAge08*'01_Вводные'!$B$218*G204,MeanMinAge08)))</f>
        <v/>
      </c>
      <c r="H116" s="190">
        <f>IF(OR(H88=0,8&lt;='01_Вводные'!$B$297),0,H88*IF('01_Вводные'!$B$239="Да",MeanMinAge08+H204*SUMIF(ThresholdAge08,"&lt;"&amp;H204,WeightedRevAge08)-SUMIF(ThresholdAge08,"&lt;"&amp;H204,WeightedMinAge08),MAX(CapacityAge08*'01_Вводные'!$B$218*H204,MeanMinAge08)))</f>
        <v/>
      </c>
      <c r="I116" s="190">
        <f>IF(OR(I88=0,8&lt;='01_Вводные'!$B$297),0,I88*IF('01_Вводные'!$B$239="Да",MeanMinAge08+I204*SUMIF(ThresholdAge08,"&lt;"&amp;I204,WeightedRevAge08)-SUMIF(ThresholdAge08,"&lt;"&amp;I204,WeightedMinAge08),MAX(CapacityAge08*'01_Вводные'!$B$218*I204,MeanMinAge08)))</f>
        <v/>
      </c>
      <c r="J116" s="190">
        <f>IF(OR(J88=0,8&lt;='01_Вводные'!$B$297),0,J88*IF('01_Вводные'!$B$239="Да",MeanMinAge08+J204*SUMIF(ThresholdAge08,"&lt;"&amp;J204,WeightedRevAge08)-SUMIF(ThresholdAge08,"&lt;"&amp;J204,WeightedMinAge08),MAX(CapacityAge08*'01_Вводные'!$B$218*J204,MeanMinAge08)))</f>
        <v/>
      </c>
      <c r="K116" s="190">
        <f>IF(OR(K88=0,8&lt;='01_Вводные'!$B$297),0,K88*IF('01_Вводные'!$B$239="Да",MeanMinAge08+K204*SUMIF(ThresholdAge08,"&lt;"&amp;K204,WeightedRevAge08)-SUMIF(ThresholdAge08,"&lt;"&amp;K204,WeightedMinAge08),MAX(CapacityAge08*'01_Вводные'!$B$218*K204,MeanMinAge08)))</f>
        <v/>
      </c>
      <c r="L116" s="190">
        <f>IF(OR(L88=0,8&lt;='01_Вводные'!$B$297),0,L88*IF('01_Вводные'!$B$239="Да",MeanMinAge08+L204*SUMIF(ThresholdAge08,"&lt;"&amp;L204,WeightedRevAge08)-SUMIF(ThresholdAge08,"&lt;"&amp;L204,WeightedMinAge08),MAX(CapacityAge08*'01_Вводные'!$B$218*L204,MeanMinAge08)))</f>
        <v/>
      </c>
      <c r="M116" s="190">
        <f>IF(OR(M88=0,8&lt;='01_Вводные'!$B$297),0,M88*IF('01_Вводные'!$B$239="Да",MeanMinAge08+M204*SUMIF(ThresholdAge08,"&lt;"&amp;M204,WeightedRevAge08)-SUMIF(ThresholdAge08,"&lt;"&amp;M204,WeightedMinAge08),MAX(CapacityAge08*'01_Вводные'!$B$218*M204,MeanMinAge08)))</f>
        <v/>
      </c>
      <c r="N116" s="190">
        <f>IF(OR(N88=0,8&lt;='01_Вводные'!$B$297),0,N88*IF('01_Вводные'!$B$239="Да",MeanMinAge08+N204*SUMIF(ThresholdAge08,"&lt;"&amp;N204,WeightedRevAge08)-SUMIF(ThresholdAge08,"&lt;"&amp;N204,WeightedMinAge08),MAX(CapacityAge08*'01_Вводные'!$B$218*N204,MeanMinAge08)))</f>
        <v/>
      </c>
      <c r="O116" s="190">
        <f>IF(OR(O88=0,8&lt;='01_Вводные'!$B$297),0,O88*IF('01_Вводные'!$B$239="Да",MeanMinAge08+O204*SUMIF(ThresholdAge08,"&lt;"&amp;O204,WeightedRevAge08)-SUMIF(ThresholdAge08,"&lt;"&amp;O204,WeightedMinAge08),MAX(CapacityAge08*'01_Вводные'!$B$218*O204,MeanMinAge08)))</f>
        <v/>
      </c>
      <c r="P116" s="190">
        <f>IF(OR(P88=0,8&lt;='01_Вводные'!$B$297),0,P88*IF('01_Вводные'!$B$239="Да",MeanMinAge08+P204*SUMIF(ThresholdAge08,"&lt;"&amp;P204,WeightedRevAge08)-SUMIF(ThresholdAge08,"&lt;"&amp;P204,WeightedMinAge08),MAX(CapacityAge08*'01_Вводные'!$B$218*P204,MeanMinAge08)))</f>
        <v/>
      </c>
      <c r="Q116" s="190">
        <f>IF(OR(Q88=0,8&lt;='01_Вводные'!$B$297),0,Q88*IF('01_Вводные'!$B$239="Да",MeanMinAge08+Q204*SUMIF(ThresholdAge08,"&lt;"&amp;Q204,WeightedRevAge08)-SUMIF(ThresholdAge08,"&lt;"&amp;Q204,WeightedMinAge08),MAX(CapacityAge08*'01_Вводные'!$B$218*Q204,MeanMinAge08)))</f>
        <v/>
      </c>
      <c r="R116" s="190">
        <f>IF(OR(R88=0,8&lt;='01_Вводные'!$B$297),0,R88*IF('01_Вводные'!$B$239="Да",MeanMinAge08+R204*SUMIF(ThresholdAge08,"&lt;"&amp;R204,WeightedRevAge08)-SUMIF(ThresholdAge08,"&lt;"&amp;R204,WeightedMinAge08),MAX(CapacityAge08*'01_Вводные'!$B$218*R204,MeanMinAge08)))</f>
        <v/>
      </c>
      <c r="S116" s="190">
        <f>IF(OR(S88=0,8&lt;='01_Вводные'!$B$297),0,S88*IF('01_Вводные'!$B$239="Да",MeanMinAge08+S204*SUMIF(ThresholdAge08,"&lt;"&amp;S204,WeightedRevAge08)-SUMIF(ThresholdAge08,"&lt;"&amp;S204,WeightedMinAge08),MAX(CapacityAge08*'01_Вводные'!$B$218*S204,MeanMinAge08)))</f>
        <v/>
      </c>
      <c r="T116" s="190">
        <f>IF(OR(T88=0,8&lt;='01_Вводные'!$B$297),0,T88*IF('01_Вводные'!$B$239="Да",MeanMinAge08+T204*SUMIF(ThresholdAge08,"&lt;"&amp;T204,WeightedRevAge08)-SUMIF(ThresholdAge08,"&lt;"&amp;T204,WeightedMinAge08),MAX(CapacityAge08*'01_Вводные'!$B$218*T204,MeanMinAge08)))</f>
        <v/>
      </c>
      <c r="U116" s="190">
        <f>IF(OR(U88=0,8&lt;='01_Вводные'!$B$297),0,U88*IF('01_Вводные'!$B$239="Да",MeanMinAge08+U204*SUMIF(ThresholdAge08,"&lt;"&amp;U204,WeightedRevAge08)-SUMIF(ThresholdAge08,"&lt;"&amp;U204,WeightedMinAge08),MAX(CapacityAge08*'01_Вводные'!$B$218*U204,MeanMinAge08)))</f>
        <v/>
      </c>
      <c r="V116" s="190">
        <f>IF(OR(V88=0,8&lt;='01_Вводные'!$B$297),0,V88*IF('01_Вводные'!$B$239="Да",MeanMinAge08+V204*SUMIF(ThresholdAge08,"&lt;"&amp;V204,WeightedRevAge08)-SUMIF(ThresholdAge08,"&lt;"&amp;V204,WeightedMinAge08),MAX(CapacityAge08*'01_Вводные'!$B$218*V204,MeanMinAge08)))</f>
        <v/>
      </c>
      <c r="W116" s="190">
        <f>IF(OR(W88=0,8&lt;='01_Вводные'!$B$297),0,W88*IF('01_Вводные'!$B$239="Да",MeanMinAge08+W204*SUMIF(ThresholdAge08,"&lt;"&amp;W204,WeightedRevAge08)-SUMIF(ThresholdAge08,"&lt;"&amp;W204,WeightedMinAge08),MAX(CapacityAge08*'01_Вводные'!$B$218*W204,MeanMinAge08)))</f>
        <v/>
      </c>
      <c r="X116" s="190">
        <f>IF(OR(X88=0,8&lt;='01_Вводные'!$B$297),0,X88*IF('01_Вводные'!$B$239="Да",MeanMinAge08+X204*SUMIF(ThresholdAge08,"&lt;"&amp;X204,WeightedRevAge08)-SUMIF(ThresholdAge08,"&lt;"&amp;X204,WeightedMinAge08),MAX(CapacityAge08*'01_Вводные'!$B$218*X204,MeanMinAge08)))</f>
        <v/>
      </c>
      <c r="Y116" s="190">
        <f>IF(OR(Y88=0,8&lt;='01_Вводные'!$B$297),0,Y88*IF('01_Вводные'!$B$239="Да",MeanMinAge08+Y204*SUMIF(ThresholdAge08,"&lt;"&amp;Y204,WeightedRevAge08)-SUMIF(ThresholdAge08,"&lt;"&amp;Y204,WeightedMinAge08),MAX(CapacityAge08*'01_Вводные'!$B$218*Y204,MeanMinAge08)))</f>
        <v/>
      </c>
      <c r="Z116" s="190">
        <f>IF(OR(Z88=0,8&lt;='01_Вводные'!$B$297),0,Z88*IF('01_Вводные'!$B$239="Да",MeanMinAge08+Z204*SUMIF(ThresholdAge08,"&lt;"&amp;Z204,WeightedRevAge08)-SUMIF(ThresholdAge08,"&lt;"&amp;Z204,WeightedMinAge08),MAX(CapacityAge08*'01_Вводные'!$B$218*Z204,MeanMinAge08)))</f>
        <v/>
      </c>
      <c r="AA116" s="190">
        <f>IF(OR(AA88=0,8&lt;='01_Вводные'!$B$297),0,AA88*IF('01_Вводные'!$B$239="Да",MeanMinAge08+AA204*SUMIF(ThresholdAge08,"&lt;"&amp;AA204,WeightedRevAge08)-SUMIF(ThresholdAge08,"&lt;"&amp;AA204,WeightedMinAge08),MAX(CapacityAge08*'01_Вводные'!$B$218*AA204,MeanMinAge08)))</f>
        <v/>
      </c>
      <c r="AB116" s="190">
        <f>IF(OR(AB88=0,8&lt;='01_Вводные'!$B$297),0,AB88*IF('01_Вводные'!$B$239="Да",MeanMinAge08+AB204*SUMIF(ThresholdAge08,"&lt;"&amp;AB204,WeightedRevAge08)-SUMIF(ThresholdAge08,"&lt;"&amp;AB204,WeightedMinAge08),MAX(CapacityAge08*'01_Вводные'!$B$218*AB204,MeanMinAge08)))</f>
        <v/>
      </c>
      <c r="AC116" s="190">
        <f>IF(OR(AC88=0,8&lt;='01_Вводные'!$B$297),0,AC88*IF('01_Вводные'!$B$239="Да",MeanMinAge08+AC204*SUMIF(ThresholdAge08,"&lt;"&amp;AC204,WeightedRevAge08)-SUMIF(ThresholdAge08,"&lt;"&amp;AC204,WeightedMinAge08),MAX(CapacityAge08*'01_Вводные'!$B$218*AC204,MeanMinAge08)))</f>
        <v/>
      </c>
      <c r="AD116" s="190">
        <f>IF(OR(AD88=0,8&lt;='01_Вводные'!$B$297),0,AD88*IF('01_Вводные'!$B$239="Да",MeanMinAge08+AD204*SUMIF(ThresholdAge08,"&lt;"&amp;AD204,WeightedRevAge08)-SUMIF(ThresholdAge08,"&lt;"&amp;AD204,WeightedMinAge08),MAX(CapacityAge08*'01_Вводные'!$B$218*AD204,MeanMinAge08)))</f>
        <v/>
      </c>
      <c r="AE116" s="190">
        <f>IF(OR(AE88=0,8&lt;='01_Вводные'!$B$297),0,AE88*IF('01_Вводные'!$B$239="Да",MeanMinAge08+AE204*SUMIF(ThresholdAge08,"&lt;"&amp;AE204,WeightedRevAge08)-SUMIF(ThresholdAge08,"&lt;"&amp;AE204,WeightedMinAge08),MAX(CapacityAge08*'01_Вводные'!$B$218*AE204,MeanMinAge08)))</f>
        <v/>
      </c>
      <c r="AF116" s="190">
        <f>IF(OR(AF88=0,8&lt;='01_Вводные'!$B$297),0,AF88*IF('01_Вводные'!$B$239="Да",MeanMinAge08+AF204*SUMIF(ThresholdAge08,"&lt;"&amp;AF204,WeightedRevAge08)-SUMIF(ThresholdAge08,"&lt;"&amp;AF204,WeightedMinAge08),MAX(CapacityAge08*'01_Вводные'!$B$218*AF204,MeanMinAge08)))</f>
        <v/>
      </c>
      <c r="AG116" s="190">
        <f>IF(OR(AG88=0,8&lt;='01_Вводные'!$B$297),0,AG88*IF('01_Вводные'!$B$239="Да",MeanMinAge08+AG204*SUMIF(ThresholdAge08,"&lt;"&amp;AG204,WeightedRevAge08)-SUMIF(ThresholdAge08,"&lt;"&amp;AG204,WeightedMinAge08),MAX(CapacityAge08*'01_Вводные'!$B$218*AG204,MeanMinAge08)))</f>
        <v/>
      </c>
      <c r="AH116" s="190">
        <f>IF(OR(AH88=0,8&lt;='01_Вводные'!$B$297),0,AH88*IF('01_Вводные'!$B$239="Да",MeanMinAge08+AH204*SUMIF(ThresholdAge08,"&lt;"&amp;AH204,WeightedRevAge08)-SUMIF(ThresholdAge08,"&lt;"&amp;AH204,WeightedMinAge08),MAX(CapacityAge08*'01_Вводные'!$B$218*AH204,MeanMinAge08)))</f>
        <v/>
      </c>
      <c r="AI116" s="190">
        <f>IF(OR(AI88=0,8&lt;='01_Вводные'!$B$297),0,AI88*IF('01_Вводные'!$B$239="Да",MeanMinAge08+AI204*SUMIF(ThresholdAge08,"&lt;"&amp;AI204,WeightedRevAge08)-SUMIF(ThresholdAge08,"&lt;"&amp;AI204,WeightedMinAge08),MAX(CapacityAge08*'01_Вводные'!$B$218*AI204,MeanMinAge08)))</f>
        <v/>
      </c>
      <c r="AJ116" s="190">
        <f>IF(OR(AJ88=0,8&lt;='01_Вводные'!$B$297),0,AJ88*IF('01_Вводные'!$B$239="Да",MeanMinAge08+AJ204*SUMIF(ThresholdAge08,"&lt;"&amp;AJ204,WeightedRevAge08)-SUMIF(ThresholdAge08,"&lt;"&amp;AJ204,WeightedMinAge08),MAX(CapacityAge08*'01_Вводные'!$B$218*AJ204,MeanMinAge08)))</f>
        <v/>
      </c>
      <c r="AK116" s="190">
        <f>IF(OR(AK88=0,8&lt;='01_Вводные'!$B$297),0,AK88*IF('01_Вводные'!$B$239="Да",MeanMinAge08+AK204*SUMIF(ThresholdAge08,"&lt;"&amp;AK204,WeightedRevAge08)-SUMIF(ThresholdAge08,"&lt;"&amp;AK204,WeightedMinAge08),MAX(CapacityAge08*'01_Вводные'!$B$218*AK204,MeanMinAge08)))</f>
        <v/>
      </c>
      <c r="AL116" s="190">
        <f>IF(OR(AL88=0,8&lt;='01_Вводные'!$B$297),0,AL88*IF('01_Вводные'!$B$239="Да",MeanMinAge08+AL204*SUMIF(ThresholdAge08,"&lt;"&amp;AL204,WeightedRevAge08)-SUMIF(ThresholdAge08,"&lt;"&amp;AL204,WeightedMinAge08),MAX(CapacityAge08*'01_Вводные'!$B$218*AL204,MeanMinAge08)))</f>
        <v/>
      </c>
      <c r="AM116" s="190">
        <f>IF(OR(AM88=0,8&lt;='01_Вводные'!$B$297),0,AM88*IF('01_Вводные'!$B$239="Да",MeanMinAge08+AM204*SUMIF(ThresholdAge08,"&lt;"&amp;AM204,WeightedRevAge08)-SUMIF(ThresholdAge08,"&lt;"&amp;AM204,WeightedMinAge08),MAX(CapacityAge08*'01_Вводные'!$B$218*AM204,MeanMinAge08)))</f>
        <v/>
      </c>
      <c r="AN116" s="190">
        <f>IF(OR(AN88=0,8&lt;='01_Вводные'!$B$297),0,AN88*IF('01_Вводные'!$B$239="Да",MeanMinAge08+AN204*SUMIF(ThresholdAge08,"&lt;"&amp;AN204,WeightedRevAge08)-SUMIF(ThresholdAge08,"&lt;"&amp;AN204,WeightedMinAge08),MAX(CapacityAge08*'01_Вводные'!$B$218*AN204,MeanMinAge08)))</f>
        <v/>
      </c>
      <c r="AO116" s="190">
        <f>IF(OR(AO88=0,8&lt;='01_Вводные'!$B$297),0,AO88*IF('01_Вводные'!$B$239="Да",MeanMinAge08+AO204*SUMIF(ThresholdAge08,"&lt;"&amp;AO204,WeightedRevAge08)-SUMIF(ThresholdAge08,"&lt;"&amp;AO204,WeightedMinAge08),MAX(CapacityAge08*'01_Вводные'!$B$218*AO204,MeanMinAge08)))</f>
        <v/>
      </c>
      <c r="AP116" s="190">
        <f>IF(OR(AP88=0,8&lt;='01_Вводные'!$B$297),0,AP88*IF('01_Вводные'!$B$239="Да",MeanMinAge08+AP204*SUMIF(ThresholdAge08,"&lt;"&amp;AP204,WeightedRevAge08)-SUMIF(ThresholdAge08,"&lt;"&amp;AP204,WeightedMinAge08),MAX(CapacityAge08*'01_Вводные'!$B$218*AP204,MeanMinAge08)))</f>
        <v/>
      </c>
      <c r="AQ116" s="190">
        <f>IF(OR(AQ88=0,8&lt;='01_Вводные'!$B$297),0,AQ88*IF('01_Вводные'!$B$239="Да",MeanMinAge08+AQ204*SUMIF(ThresholdAge08,"&lt;"&amp;AQ204,WeightedRevAge08)-SUMIF(ThresholdAge08,"&lt;"&amp;AQ204,WeightedMinAge08),MAX(CapacityAge08*'01_Вводные'!$B$218*AQ204,MeanMinAge08)))</f>
        <v/>
      </c>
      <c r="AR116" s="190">
        <f>IF(OR(AR88=0,8&lt;='01_Вводные'!$B$297),0,AR88*IF('01_Вводные'!$B$239="Да",MeanMinAge08+AR204*SUMIF(ThresholdAge08,"&lt;"&amp;AR204,WeightedRevAge08)-SUMIF(ThresholdAge08,"&lt;"&amp;AR204,WeightedMinAge08),MAX(CapacityAge08*'01_Вводные'!$B$218*AR204,MeanMinAge08)))</f>
        <v/>
      </c>
      <c r="AS116" s="190">
        <f>IF(OR(AS88=0,8&lt;='01_Вводные'!$B$297),0,AS88*IF('01_Вводные'!$B$239="Да",MeanMinAge08+AS204*SUMIF(ThresholdAge08,"&lt;"&amp;AS204,WeightedRevAge08)-SUMIF(ThresholdAge08,"&lt;"&amp;AS204,WeightedMinAge08),MAX(CapacityAge08*'01_Вводные'!$B$218*AS204,MeanMinAge08)))</f>
        <v/>
      </c>
      <c r="AT116" s="190">
        <f>IF(OR(AT88=0,8&lt;='01_Вводные'!$B$297),0,AT88*IF('01_Вводные'!$B$239="Да",MeanMinAge08+AT204*SUMIF(ThresholdAge08,"&lt;"&amp;AT204,WeightedRevAge08)-SUMIF(ThresholdAge08,"&lt;"&amp;AT204,WeightedMinAge08),MAX(CapacityAge08*'01_Вводные'!$B$218*AT204,MeanMinAge08)))</f>
        <v/>
      </c>
      <c r="AU116" s="190">
        <f>IF(OR(AU88=0,8&lt;='01_Вводные'!$B$297),0,AU88*IF('01_Вводные'!$B$239="Да",MeanMinAge08+AU204*SUMIF(ThresholdAge08,"&lt;"&amp;AU204,WeightedRevAge08)-SUMIF(ThresholdAge08,"&lt;"&amp;AU204,WeightedMinAge08),MAX(CapacityAge08*'01_Вводные'!$B$218*AU204,MeanMinAge08)))</f>
        <v/>
      </c>
      <c r="AV116" s="190">
        <f>IF(OR(AV88=0,8&lt;='01_Вводные'!$B$297),0,AV88*IF('01_Вводные'!$B$239="Да",MeanMinAge08+AV204*SUMIF(ThresholdAge08,"&lt;"&amp;AV204,WeightedRevAge08)-SUMIF(ThresholdAge08,"&lt;"&amp;AV204,WeightedMinAge08),MAX(CapacityAge08*'01_Вводные'!$B$218*AV204,MeanMinAge08)))</f>
        <v/>
      </c>
      <c r="AW116" s="190">
        <f>IF(OR(AW88=0,8&lt;='01_Вводные'!$B$297),0,AW88*IF('01_Вводные'!$B$239="Да",MeanMinAge08+AW204*SUMIF(ThresholdAge08,"&lt;"&amp;AW204,WeightedRevAge08)-SUMIF(ThresholdAge08,"&lt;"&amp;AW204,WeightedMinAge08),MAX(CapacityAge08*'01_Вводные'!$B$218*AW204,MeanMinAge08)))</f>
        <v/>
      </c>
      <c r="AX116" s="190">
        <f>IF(OR(AX88=0,8&lt;='01_Вводные'!$B$297),0,AX88*IF('01_Вводные'!$B$239="Да",MeanMinAge08+AX204*SUMIF(ThresholdAge08,"&lt;"&amp;AX204,WeightedRevAge08)-SUMIF(ThresholdAge08,"&lt;"&amp;AX204,WeightedMinAge08),MAX(CapacityAge08*'01_Вводные'!$B$218*AX204,MeanMinAge08)))</f>
        <v/>
      </c>
      <c r="AY116" s="190">
        <f>IF(OR(AY88=0,8&lt;='01_Вводные'!$B$297),0,AY88*IF('01_Вводные'!$B$239="Да",MeanMinAge08+AY204*SUMIF(ThresholdAge08,"&lt;"&amp;AY204,WeightedRevAge08)-SUMIF(ThresholdAge08,"&lt;"&amp;AY204,WeightedMinAge08),MAX(CapacityAge08*'01_Вводные'!$B$218*AY204,MeanMinAge08)))</f>
        <v/>
      </c>
      <c r="AZ116" s="190">
        <f>IF(OR(AZ88=0,8&lt;='01_Вводные'!$B$297),0,AZ88*IF('01_Вводные'!$B$239="Да",MeanMinAge08+AZ204*SUMIF(ThresholdAge08,"&lt;"&amp;AZ204,WeightedRevAge08)-SUMIF(ThresholdAge08,"&lt;"&amp;AZ204,WeightedMinAge08),MAX(CapacityAge08*'01_Вводные'!$B$218*AZ204,MeanMinAge08)))</f>
        <v/>
      </c>
      <c r="BA116" s="190">
        <f>IF(OR(BA88=0,8&lt;='01_Вводные'!$B$297),0,BA88*IF('01_Вводные'!$B$239="Да",MeanMinAge08+BA204*SUMIF(ThresholdAge08,"&lt;"&amp;BA204,WeightedRevAge08)-SUMIF(ThresholdAge08,"&lt;"&amp;BA204,WeightedMinAge08),MAX(CapacityAge08*'01_Вводные'!$B$218*BA204,MeanMinAge08)))</f>
        <v/>
      </c>
      <c r="BB116" s="190">
        <f>IF(OR(BB88=0,8&lt;='01_Вводные'!$B$297),0,BB88*IF('01_Вводные'!$B$239="Да",MeanMinAge08+BB204*SUMIF(ThresholdAge08,"&lt;"&amp;BB204,WeightedRevAge08)-SUMIF(ThresholdAge08,"&lt;"&amp;BB204,WeightedMinAge08),MAX(CapacityAge08*'01_Вводные'!$B$218*BB204,MeanMinAge08)))</f>
        <v/>
      </c>
      <c r="BC116" s="190">
        <f>IF(OR(BC88=0,8&lt;='01_Вводные'!$B$297),0,BC88*IF('01_Вводные'!$B$239="Да",MeanMinAge08+BC204*SUMIF(ThresholdAge08,"&lt;"&amp;BC204,WeightedRevAge08)-SUMIF(ThresholdAge08,"&lt;"&amp;BC204,WeightedMinAge08),MAX(CapacityAge08*'01_Вводные'!$B$218*BC204,MeanMinAge08)))</f>
        <v/>
      </c>
      <c r="BD116" s="190">
        <f>IF(OR(BD88=0,8&lt;='01_Вводные'!$B$297),0,BD88*IF('01_Вводные'!$B$239="Да",MeanMinAge08+BD204*SUMIF(ThresholdAge08,"&lt;"&amp;BD204,WeightedRevAge08)-SUMIF(ThresholdAge08,"&lt;"&amp;BD204,WeightedMinAge08),MAX(CapacityAge08*'01_Вводные'!$B$218*BD204,MeanMinAge08)))</f>
        <v/>
      </c>
      <c r="BE116" s="190">
        <f>IF(OR(BE88=0,8&lt;='01_Вводные'!$B$297),0,BE88*IF('01_Вводные'!$B$239="Да",MeanMinAge08+BE204*SUMIF(ThresholdAge08,"&lt;"&amp;BE204,WeightedRevAge08)-SUMIF(ThresholdAge08,"&lt;"&amp;BE204,WeightedMinAge08),MAX(CapacityAge08*'01_Вводные'!$B$218*BE204,MeanMinAge08)))</f>
        <v/>
      </c>
      <c r="BF116" s="190">
        <f>IF(OR(BF88=0,8&lt;='01_Вводные'!$B$297),0,BF88*IF('01_Вводные'!$B$239="Да",MeanMinAge08+BF204*SUMIF(ThresholdAge08,"&lt;"&amp;BF204,WeightedRevAge08)-SUMIF(ThresholdAge08,"&lt;"&amp;BF204,WeightedMinAge08),MAX(CapacityAge08*'01_Вводные'!$B$218*BF204,MeanMinAge08)))</f>
        <v/>
      </c>
      <c r="BG116" s="190">
        <f>IF(OR(BG88=0,8&lt;='01_Вводные'!$B$297),0,BG88*IF('01_Вводные'!$B$239="Да",MeanMinAge08+BG204*SUMIF(ThresholdAge08,"&lt;"&amp;BG204,WeightedRevAge08)-SUMIF(ThresholdAge08,"&lt;"&amp;BG204,WeightedMinAge08),MAX(CapacityAge08*'01_Вводные'!$B$218*BG204,MeanMinAge08)))</f>
        <v/>
      </c>
      <c r="BH116" s="190">
        <f>IF(OR(BH88=0,8&lt;='01_Вводные'!$B$297),0,BH88*IF('01_Вводные'!$B$239="Да",MeanMinAge08+BH204*SUMIF(ThresholdAge08,"&lt;"&amp;BH204,WeightedRevAge08)-SUMIF(ThresholdAge08,"&lt;"&amp;BH204,WeightedMinAge08),MAX(CapacityAge08*'01_Вводные'!$B$218*BH204,MeanMinAge08)))</f>
        <v/>
      </c>
      <c r="BI116" s="190">
        <f>IF(OR(BI88=0,8&lt;='01_Вводные'!$B$297),0,BI88*IF('01_Вводные'!$B$239="Да",MeanMinAge08+BI204*SUMIF(ThresholdAge08,"&lt;"&amp;BI204,WeightedRevAge08)-SUMIF(ThresholdAge08,"&lt;"&amp;BI204,WeightedMinAge08),MAX(CapacityAge08*'01_Вводные'!$B$218*BI204,MeanMinAge08)))</f>
        <v/>
      </c>
      <c r="BJ116" s="190">
        <f>IF(OR(BJ88=0,8&lt;='01_Вводные'!$B$297),0,BJ88*IF('01_Вводные'!$B$239="Да",MeanMinAge08+BJ204*SUMIF(ThresholdAge08,"&lt;"&amp;BJ204,WeightedRevAge08)-SUMIF(ThresholdAge08,"&lt;"&amp;BJ204,WeightedMinAge08),MAX(CapacityAge08*'01_Вводные'!$B$218*BJ204,MeanMinAge08)))</f>
        <v/>
      </c>
      <c r="BK116" s="190">
        <f>IF(OR(BK88=0,8&lt;='01_Вводные'!$B$297),0,BK88*IF('01_Вводные'!$B$239="Да",MeanMinAge08+BK204*SUMIF(ThresholdAge08,"&lt;"&amp;BK204,WeightedRevAge08)-SUMIF(ThresholdAge08,"&lt;"&amp;BK204,WeightedMinAge08),MAX(CapacityAge08*'01_Вводные'!$B$218*BK204,MeanMinAge08)))</f>
        <v/>
      </c>
      <c r="BL116" s="190">
        <f>IF(OR(BL88=0,8&lt;='01_Вводные'!$B$297),0,BL88*IF('01_Вводные'!$B$239="Да",MeanMinAge08+BL204*SUMIF(ThresholdAge08,"&lt;"&amp;BL204,WeightedRevAge08)-SUMIF(ThresholdAge08,"&lt;"&amp;BL204,WeightedMinAge08),MAX(CapacityAge08*'01_Вводные'!$B$218*BL204,MeanMinAge08)))</f>
        <v/>
      </c>
      <c r="BM116" s="190">
        <f>IF(OR(BM88=0,8&lt;='01_Вводные'!$B$297),0,BM88*IF('01_Вводные'!$B$239="Да",MeanMinAge08+BM204*SUMIF(ThresholdAge08,"&lt;"&amp;BM204,WeightedRevAge08)-SUMIF(ThresholdAge08,"&lt;"&amp;BM204,WeightedMinAge08),MAX(CapacityAge08*'01_Вводные'!$B$218*BM204,MeanMinAge08)))</f>
        <v/>
      </c>
      <c r="BN116" s="190">
        <f>IF(OR(BN88=0,8&lt;='01_Вводные'!$B$297),0,BN88*IF('01_Вводные'!$B$239="Да",MeanMinAge08+BN204*SUMIF(ThresholdAge08,"&lt;"&amp;BN204,WeightedRevAge08)-SUMIF(ThresholdAge08,"&lt;"&amp;BN204,WeightedMinAge08),MAX(CapacityAge08*'01_Вводные'!$B$218*BN204,MeanMinAge08)))</f>
        <v/>
      </c>
      <c r="BO116" s="190">
        <f>IF(OR(BO88=0,8&lt;='01_Вводные'!$B$297),0,BO88*IF('01_Вводные'!$B$239="Да",MeanMinAge08+BO204*SUMIF(ThresholdAge08,"&lt;"&amp;BO204,WeightedRevAge08)-SUMIF(ThresholdAge08,"&lt;"&amp;BO204,WeightedMinAge08),MAX(CapacityAge08*'01_Вводные'!$B$218*BO204,MeanMinAge08)))</f>
        <v/>
      </c>
    </row>
    <row r="117" hidden="1" outlineLevel="1">
      <c r="A117" t="inlineStr">
        <is>
          <t>9 мес.</t>
        </is>
      </c>
      <c r="B117" s="190">
        <f>IF(OR(B89=0,9&lt;='01_Вводные'!$B$297),0,B89*IF('01_Вводные'!$B$239="Да",MeanMinAge09+B204*SUMIF(ThresholdAge09,"&lt;"&amp;B204,WeightedRevAge09)-SUMIF(ThresholdAge09,"&lt;"&amp;B204,WeightedMinAge09),MAX(CapacityAge09*'01_Вводные'!$B$218*B204,MeanMinAge09)))</f>
        <v/>
      </c>
      <c r="C117" s="190">
        <f>IF(OR(C89=0,9&lt;='01_Вводные'!$B$297),0,C89*IF('01_Вводные'!$B$239="Да",MeanMinAge09+C204*SUMIF(ThresholdAge09,"&lt;"&amp;C204,WeightedRevAge09)-SUMIF(ThresholdAge09,"&lt;"&amp;C204,WeightedMinAge09),MAX(CapacityAge09*'01_Вводные'!$B$218*C204,MeanMinAge09)))</f>
        <v/>
      </c>
      <c r="D117" s="190">
        <f>IF(OR(D89=0,9&lt;='01_Вводные'!$B$297),0,D89*IF('01_Вводные'!$B$239="Да",MeanMinAge09+D204*SUMIF(ThresholdAge09,"&lt;"&amp;D204,WeightedRevAge09)-SUMIF(ThresholdAge09,"&lt;"&amp;D204,WeightedMinAge09),MAX(CapacityAge09*'01_Вводные'!$B$218*D204,MeanMinAge09)))</f>
        <v/>
      </c>
      <c r="E117" s="190">
        <f>IF(OR(E89=0,9&lt;='01_Вводные'!$B$297),0,E89*IF('01_Вводные'!$B$239="Да",MeanMinAge09+E204*SUMIF(ThresholdAge09,"&lt;"&amp;E204,WeightedRevAge09)-SUMIF(ThresholdAge09,"&lt;"&amp;E204,WeightedMinAge09),MAX(CapacityAge09*'01_Вводные'!$B$218*E204,MeanMinAge09)))</f>
        <v/>
      </c>
      <c r="F117" s="190">
        <f>IF(OR(F89=0,9&lt;='01_Вводные'!$B$297),0,F89*IF('01_Вводные'!$B$239="Да",MeanMinAge09+F204*SUMIF(ThresholdAge09,"&lt;"&amp;F204,WeightedRevAge09)-SUMIF(ThresholdAge09,"&lt;"&amp;F204,WeightedMinAge09),MAX(CapacityAge09*'01_Вводные'!$B$218*F204,MeanMinAge09)))</f>
        <v/>
      </c>
      <c r="G117" s="190">
        <f>IF(OR(G89=0,9&lt;='01_Вводные'!$B$297),0,G89*IF('01_Вводные'!$B$239="Да",MeanMinAge09+G204*SUMIF(ThresholdAge09,"&lt;"&amp;G204,WeightedRevAge09)-SUMIF(ThresholdAge09,"&lt;"&amp;G204,WeightedMinAge09),MAX(CapacityAge09*'01_Вводные'!$B$218*G204,MeanMinAge09)))</f>
        <v/>
      </c>
      <c r="H117" s="190">
        <f>IF(OR(H89=0,9&lt;='01_Вводные'!$B$297),0,H89*IF('01_Вводные'!$B$239="Да",MeanMinAge09+H204*SUMIF(ThresholdAge09,"&lt;"&amp;H204,WeightedRevAge09)-SUMIF(ThresholdAge09,"&lt;"&amp;H204,WeightedMinAge09),MAX(CapacityAge09*'01_Вводные'!$B$218*H204,MeanMinAge09)))</f>
        <v/>
      </c>
      <c r="I117" s="190">
        <f>IF(OR(I89=0,9&lt;='01_Вводные'!$B$297),0,I89*IF('01_Вводные'!$B$239="Да",MeanMinAge09+I204*SUMIF(ThresholdAge09,"&lt;"&amp;I204,WeightedRevAge09)-SUMIF(ThresholdAge09,"&lt;"&amp;I204,WeightedMinAge09),MAX(CapacityAge09*'01_Вводные'!$B$218*I204,MeanMinAge09)))</f>
        <v/>
      </c>
      <c r="J117" s="190">
        <f>IF(OR(J89=0,9&lt;='01_Вводные'!$B$297),0,J89*IF('01_Вводные'!$B$239="Да",MeanMinAge09+J204*SUMIF(ThresholdAge09,"&lt;"&amp;J204,WeightedRevAge09)-SUMIF(ThresholdAge09,"&lt;"&amp;J204,WeightedMinAge09),MAX(CapacityAge09*'01_Вводные'!$B$218*J204,MeanMinAge09)))</f>
        <v/>
      </c>
      <c r="K117" s="190">
        <f>IF(OR(K89=0,9&lt;='01_Вводные'!$B$297),0,K89*IF('01_Вводные'!$B$239="Да",MeanMinAge09+K204*SUMIF(ThresholdAge09,"&lt;"&amp;K204,WeightedRevAge09)-SUMIF(ThresholdAge09,"&lt;"&amp;K204,WeightedMinAge09),MAX(CapacityAge09*'01_Вводные'!$B$218*K204,MeanMinAge09)))</f>
        <v/>
      </c>
      <c r="L117" s="190">
        <f>IF(OR(L89=0,9&lt;='01_Вводные'!$B$297),0,L89*IF('01_Вводные'!$B$239="Да",MeanMinAge09+L204*SUMIF(ThresholdAge09,"&lt;"&amp;L204,WeightedRevAge09)-SUMIF(ThresholdAge09,"&lt;"&amp;L204,WeightedMinAge09),MAX(CapacityAge09*'01_Вводные'!$B$218*L204,MeanMinAge09)))</f>
        <v/>
      </c>
      <c r="M117" s="190">
        <f>IF(OR(M89=0,9&lt;='01_Вводные'!$B$297),0,M89*IF('01_Вводные'!$B$239="Да",MeanMinAge09+M204*SUMIF(ThresholdAge09,"&lt;"&amp;M204,WeightedRevAge09)-SUMIF(ThresholdAge09,"&lt;"&amp;M204,WeightedMinAge09),MAX(CapacityAge09*'01_Вводные'!$B$218*M204,MeanMinAge09)))</f>
        <v/>
      </c>
      <c r="N117" s="190">
        <f>IF(OR(N89=0,9&lt;='01_Вводные'!$B$297),0,N89*IF('01_Вводные'!$B$239="Да",MeanMinAge09+N204*SUMIF(ThresholdAge09,"&lt;"&amp;N204,WeightedRevAge09)-SUMIF(ThresholdAge09,"&lt;"&amp;N204,WeightedMinAge09),MAX(CapacityAge09*'01_Вводные'!$B$218*N204,MeanMinAge09)))</f>
        <v/>
      </c>
      <c r="O117" s="190">
        <f>IF(OR(O89=0,9&lt;='01_Вводные'!$B$297),0,O89*IF('01_Вводные'!$B$239="Да",MeanMinAge09+O204*SUMIF(ThresholdAge09,"&lt;"&amp;O204,WeightedRevAge09)-SUMIF(ThresholdAge09,"&lt;"&amp;O204,WeightedMinAge09),MAX(CapacityAge09*'01_Вводные'!$B$218*O204,MeanMinAge09)))</f>
        <v/>
      </c>
      <c r="P117" s="190">
        <f>IF(OR(P89=0,9&lt;='01_Вводные'!$B$297),0,P89*IF('01_Вводные'!$B$239="Да",MeanMinAge09+P204*SUMIF(ThresholdAge09,"&lt;"&amp;P204,WeightedRevAge09)-SUMIF(ThresholdAge09,"&lt;"&amp;P204,WeightedMinAge09),MAX(CapacityAge09*'01_Вводные'!$B$218*P204,MeanMinAge09)))</f>
        <v/>
      </c>
      <c r="Q117" s="190">
        <f>IF(OR(Q89=0,9&lt;='01_Вводные'!$B$297),0,Q89*IF('01_Вводные'!$B$239="Да",MeanMinAge09+Q204*SUMIF(ThresholdAge09,"&lt;"&amp;Q204,WeightedRevAge09)-SUMIF(ThresholdAge09,"&lt;"&amp;Q204,WeightedMinAge09),MAX(CapacityAge09*'01_Вводные'!$B$218*Q204,MeanMinAge09)))</f>
        <v/>
      </c>
      <c r="R117" s="190">
        <f>IF(OR(R89=0,9&lt;='01_Вводные'!$B$297),0,R89*IF('01_Вводные'!$B$239="Да",MeanMinAge09+R204*SUMIF(ThresholdAge09,"&lt;"&amp;R204,WeightedRevAge09)-SUMIF(ThresholdAge09,"&lt;"&amp;R204,WeightedMinAge09),MAX(CapacityAge09*'01_Вводные'!$B$218*R204,MeanMinAge09)))</f>
        <v/>
      </c>
      <c r="S117" s="190">
        <f>IF(OR(S89=0,9&lt;='01_Вводные'!$B$297),0,S89*IF('01_Вводные'!$B$239="Да",MeanMinAge09+S204*SUMIF(ThresholdAge09,"&lt;"&amp;S204,WeightedRevAge09)-SUMIF(ThresholdAge09,"&lt;"&amp;S204,WeightedMinAge09),MAX(CapacityAge09*'01_Вводные'!$B$218*S204,MeanMinAge09)))</f>
        <v/>
      </c>
      <c r="T117" s="190">
        <f>IF(OR(T89=0,9&lt;='01_Вводные'!$B$297),0,T89*IF('01_Вводные'!$B$239="Да",MeanMinAge09+T204*SUMIF(ThresholdAge09,"&lt;"&amp;T204,WeightedRevAge09)-SUMIF(ThresholdAge09,"&lt;"&amp;T204,WeightedMinAge09),MAX(CapacityAge09*'01_Вводные'!$B$218*T204,MeanMinAge09)))</f>
        <v/>
      </c>
      <c r="U117" s="190">
        <f>IF(OR(U89=0,9&lt;='01_Вводные'!$B$297),0,U89*IF('01_Вводные'!$B$239="Да",MeanMinAge09+U204*SUMIF(ThresholdAge09,"&lt;"&amp;U204,WeightedRevAge09)-SUMIF(ThresholdAge09,"&lt;"&amp;U204,WeightedMinAge09),MAX(CapacityAge09*'01_Вводные'!$B$218*U204,MeanMinAge09)))</f>
        <v/>
      </c>
      <c r="V117" s="190">
        <f>IF(OR(V89=0,9&lt;='01_Вводные'!$B$297),0,V89*IF('01_Вводные'!$B$239="Да",MeanMinAge09+V204*SUMIF(ThresholdAge09,"&lt;"&amp;V204,WeightedRevAge09)-SUMIF(ThresholdAge09,"&lt;"&amp;V204,WeightedMinAge09),MAX(CapacityAge09*'01_Вводные'!$B$218*V204,MeanMinAge09)))</f>
        <v/>
      </c>
      <c r="W117" s="190">
        <f>IF(OR(W89=0,9&lt;='01_Вводные'!$B$297),0,W89*IF('01_Вводные'!$B$239="Да",MeanMinAge09+W204*SUMIF(ThresholdAge09,"&lt;"&amp;W204,WeightedRevAge09)-SUMIF(ThresholdAge09,"&lt;"&amp;W204,WeightedMinAge09),MAX(CapacityAge09*'01_Вводные'!$B$218*W204,MeanMinAge09)))</f>
        <v/>
      </c>
      <c r="X117" s="190">
        <f>IF(OR(X89=0,9&lt;='01_Вводные'!$B$297),0,X89*IF('01_Вводные'!$B$239="Да",MeanMinAge09+X204*SUMIF(ThresholdAge09,"&lt;"&amp;X204,WeightedRevAge09)-SUMIF(ThresholdAge09,"&lt;"&amp;X204,WeightedMinAge09),MAX(CapacityAge09*'01_Вводные'!$B$218*X204,MeanMinAge09)))</f>
        <v/>
      </c>
      <c r="Y117" s="190">
        <f>IF(OR(Y89=0,9&lt;='01_Вводные'!$B$297),0,Y89*IF('01_Вводные'!$B$239="Да",MeanMinAge09+Y204*SUMIF(ThresholdAge09,"&lt;"&amp;Y204,WeightedRevAge09)-SUMIF(ThresholdAge09,"&lt;"&amp;Y204,WeightedMinAge09),MAX(CapacityAge09*'01_Вводные'!$B$218*Y204,MeanMinAge09)))</f>
        <v/>
      </c>
      <c r="Z117" s="190">
        <f>IF(OR(Z89=0,9&lt;='01_Вводные'!$B$297),0,Z89*IF('01_Вводные'!$B$239="Да",MeanMinAge09+Z204*SUMIF(ThresholdAge09,"&lt;"&amp;Z204,WeightedRevAge09)-SUMIF(ThresholdAge09,"&lt;"&amp;Z204,WeightedMinAge09),MAX(CapacityAge09*'01_Вводные'!$B$218*Z204,MeanMinAge09)))</f>
        <v/>
      </c>
      <c r="AA117" s="190">
        <f>IF(OR(AA89=0,9&lt;='01_Вводные'!$B$297),0,AA89*IF('01_Вводные'!$B$239="Да",MeanMinAge09+AA204*SUMIF(ThresholdAge09,"&lt;"&amp;AA204,WeightedRevAge09)-SUMIF(ThresholdAge09,"&lt;"&amp;AA204,WeightedMinAge09),MAX(CapacityAge09*'01_Вводные'!$B$218*AA204,MeanMinAge09)))</f>
        <v/>
      </c>
      <c r="AB117" s="190">
        <f>IF(OR(AB89=0,9&lt;='01_Вводные'!$B$297),0,AB89*IF('01_Вводные'!$B$239="Да",MeanMinAge09+AB204*SUMIF(ThresholdAge09,"&lt;"&amp;AB204,WeightedRevAge09)-SUMIF(ThresholdAge09,"&lt;"&amp;AB204,WeightedMinAge09),MAX(CapacityAge09*'01_Вводные'!$B$218*AB204,MeanMinAge09)))</f>
        <v/>
      </c>
      <c r="AC117" s="190">
        <f>IF(OR(AC89=0,9&lt;='01_Вводные'!$B$297),0,AC89*IF('01_Вводные'!$B$239="Да",MeanMinAge09+AC204*SUMIF(ThresholdAge09,"&lt;"&amp;AC204,WeightedRevAge09)-SUMIF(ThresholdAge09,"&lt;"&amp;AC204,WeightedMinAge09),MAX(CapacityAge09*'01_Вводные'!$B$218*AC204,MeanMinAge09)))</f>
        <v/>
      </c>
      <c r="AD117" s="190">
        <f>IF(OR(AD89=0,9&lt;='01_Вводные'!$B$297),0,AD89*IF('01_Вводные'!$B$239="Да",MeanMinAge09+AD204*SUMIF(ThresholdAge09,"&lt;"&amp;AD204,WeightedRevAge09)-SUMIF(ThresholdAge09,"&lt;"&amp;AD204,WeightedMinAge09),MAX(CapacityAge09*'01_Вводные'!$B$218*AD204,MeanMinAge09)))</f>
        <v/>
      </c>
      <c r="AE117" s="190">
        <f>IF(OR(AE89=0,9&lt;='01_Вводные'!$B$297),0,AE89*IF('01_Вводные'!$B$239="Да",MeanMinAge09+AE204*SUMIF(ThresholdAge09,"&lt;"&amp;AE204,WeightedRevAge09)-SUMIF(ThresholdAge09,"&lt;"&amp;AE204,WeightedMinAge09),MAX(CapacityAge09*'01_Вводные'!$B$218*AE204,MeanMinAge09)))</f>
        <v/>
      </c>
      <c r="AF117" s="190">
        <f>IF(OR(AF89=0,9&lt;='01_Вводные'!$B$297),0,AF89*IF('01_Вводные'!$B$239="Да",MeanMinAge09+AF204*SUMIF(ThresholdAge09,"&lt;"&amp;AF204,WeightedRevAge09)-SUMIF(ThresholdAge09,"&lt;"&amp;AF204,WeightedMinAge09),MAX(CapacityAge09*'01_Вводные'!$B$218*AF204,MeanMinAge09)))</f>
        <v/>
      </c>
      <c r="AG117" s="190">
        <f>IF(OR(AG89=0,9&lt;='01_Вводные'!$B$297),0,AG89*IF('01_Вводные'!$B$239="Да",MeanMinAge09+AG204*SUMIF(ThresholdAge09,"&lt;"&amp;AG204,WeightedRevAge09)-SUMIF(ThresholdAge09,"&lt;"&amp;AG204,WeightedMinAge09),MAX(CapacityAge09*'01_Вводные'!$B$218*AG204,MeanMinAge09)))</f>
        <v/>
      </c>
      <c r="AH117" s="190">
        <f>IF(OR(AH89=0,9&lt;='01_Вводные'!$B$297),0,AH89*IF('01_Вводные'!$B$239="Да",MeanMinAge09+AH204*SUMIF(ThresholdAge09,"&lt;"&amp;AH204,WeightedRevAge09)-SUMIF(ThresholdAge09,"&lt;"&amp;AH204,WeightedMinAge09),MAX(CapacityAge09*'01_Вводные'!$B$218*AH204,MeanMinAge09)))</f>
        <v/>
      </c>
      <c r="AI117" s="190">
        <f>IF(OR(AI89=0,9&lt;='01_Вводные'!$B$297),0,AI89*IF('01_Вводные'!$B$239="Да",MeanMinAge09+AI204*SUMIF(ThresholdAge09,"&lt;"&amp;AI204,WeightedRevAge09)-SUMIF(ThresholdAge09,"&lt;"&amp;AI204,WeightedMinAge09),MAX(CapacityAge09*'01_Вводные'!$B$218*AI204,MeanMinAge09)))</f>
        <v/>
      </c>
      <c r="AJ117" s="190">
        <f>IF(OR(AJ89=0,9&lt;='01_Вводные'!$B$297),0,AJ89*IF('01_Вводные'!$B$239="Да",MeanMinAge09+AJ204*SUMIF(ThresholdAge09,"&lt;"&amp;AJ204,WeightedRevAge09)-SUMIF(ThresholdAge09,"&lt;"&amp;AJ204,WeightedMinAge09),MAX(CapacityAge09*'01_Вводные'!$B$218*AJ204,MeanMinAge09)))</f>
        <v/>
      </c>
      <c r="AK117" s="190">
        <f>IF(OR(AK89=0,9&lt;='01_Вводные'!$B$297),0,AK89*IF('01_Вводные'!$B$239="Да",MeanMinAge09+AK204*SUMIF(ThresholdAge09,"&lt;"&amp;AK204,WeightedRevAge09)-SUMIF(ThresholdAge09,"&lt;"&amp;AK204,WeightedMinAge09),MAX(CapacityAge09*'01_Вводные'!$B$218*AK204,MeanMinAge09)))</f>
        <v/>
      </c>
      <c r="AL117" s="190">
        <f>IF(OR(AL89=0,9&lt;='01_Вводные'!$B$297),0,AL89*IF('01_Вводные'!$B$239="Да",MeanMinAge09+AL204*SUMIF(ThresholdAge09,"&lt;"&amp;AL204,WeightedRevAge09)-SUMIF(ThresholdAge09,"&lt;"&amp;AL204,WeightedMinAge09),MAX(CapacityAge09*'01_Вводные'!$B$218*AL204,MeanMinAge09)))</f>
        <v/>
      </c>
      <c r="AM117" s="190">
        <f>IF(OR(AM89=0,9&lt;='01_Вводные'!$B$297),0,AM89*IF('01_Вводные'!$B$239="Да",MeanMinAge09+AM204*SUMIF(ThresholdAge09,"&lt;"&amp;AM204,WeightedRevAge09)-SUMIF(ThresholdAge09,"&lt;"&amp;AM204,WeightedMinAge09),MAX(CapacityAge09*'01_Вводные'!$B$218*AM204,MeanMinAge09)))</f>
        <v/>
      </c>
      <c r="AN117" s="190">
        <f>IF(OR(AN89=0,9&lt;='01_Вводные'!$B$297),0,AN89*IF('01_Вводные'!$B$239="Да",MeanMinAge09+AN204*SUMIF(ThresholdAge09,"&lt;"&amp;AN204,WeightedRevAge09)-SUMIF(ThresholdAge09,"&lt;"&amp;AN204,WeightedMinAge09),MAX(CapacityAge09*'01_Вводные'!$B$218*AN204,MeanMinAge09)))</f>
        <v/>
      </c>
      <c r="AO117" s="190">
        <f>IF(OR(AO89=0,9&lt;='01_Вводные'!$B$297),0,AO89*IF('01_Вводные'!$B$239="Да",MeanMinAge09+AO204*SUMIF(ThresholdAge09,"&lt;"&amp;AO204,WeightedRevAge09)-SUMIF(ThresholdAge09,"&lt;"&amp;AO204,WeightedMinAge09),MAX(CapacityAge09*'01_Вводные'!$B$218*AO204,MeanMinAge09)))</f>
        <v/>
      </c>
      <c r="AP117" s="190">
        <f>IF(OR(AP89=0,9&lt;='01_Вводные'!$B$297),0,AP89*IF('01_Вводные'!$B$239="Да",MeanMinAge09+AP204*SUMIF(ThresholdAge09,"&lt;"&amp;AP204,WeightedRevAge09)-SUMIF(ThresholdAge09,"&lt;"&amp;AP204,WeightedMinAge09),MAX(CapacityAge09*'01_Вводные'!$B$218*AP204,MeanMinAge09)))</f>
        <v/>
      </c>
      <c r="AQ117" s="190">
        <f>IF(OR(AQ89=0,9&lt;='01_Вводные'!$B$297),0,AQ89*IF('01_Вводные'!$B$239="Да",MeanMinAge09+AQ204*SUMIF(ThresholdAge09,"&lt;"&amp;AQ204,WeightedRevAge09)-SUMIF(ThresholdAge09,"&lt;"&amp;AQ204,WeightedMinAge09),MAX(CapacityAge09*'01_Вводные'!$B$218*AQ204,MeanMinAge09)))</f>
        <v/>
      </c>
      <c r="AR117" s="190">
        <f>IF(OR(AR89=0,9&lt;='01_Вводные'!$B$297),0,AR89*IF('01_Вводные'!$B$239="Да",MeanMinAge09+AR204*SUMIF(ThresholdAge09,"&lt;"&amp;AR204,WeightedRevAge09)-SUMIF(ThresholdAge09,"&lt;"&amp;AR204,WeightedMinAge09),MAX(CapacityAge09*'01_Вводные'!$B$218*AR204,MeanMinAge09)))</f>
        <v/>
      </c>
      <c r="AS117" s="190">
        <f>IF(OR(AS89=0,9&lt;='01_Вводные'!$B$297),0,AS89*IF('01_Вводные'!$B$239="Да",MeanMinAge09+AS204*SUMIF(ThresholdAge09,"&lt;"&amp;AS204,WeightedRevAge09)-SUMIF(ThresholdAge09,"&lt;"&amp;AS204,WeightedMinAge09),MAX(CapacityAge09*'01_Вводные'!$B$218*AS204,MeanMinAge09)))</f>
        <v/>
      </c>
      <c r="AT117" s="190">
        <f>IF(OR(AT89=0,9&lt;='01_Вводные'!$B$297),0,AT89*IF('01_Вводные'!$B$239="Да",MeanMinAge09+AT204*SUMIF(ThresholdAge09,"&lt;"&amp;AT204,WeightedRevAge09)-SUMIF(ThresholdAge09,"&lt;"&amp;AT204,WeightedMinAge09),MAX(CapacityAge09*'01_Вводные'!$B$218*AT204,MeanMinAge09)))</f>
        <v/>
      </c>
      <c r="AU117" s="190">
        <f>IF(OR(AU89=0,9&lt;='01_Вводные'!$B$297),0,AU89*IF('01_Вводные'!$B$239="Да",MeanMinAge09+AU204*SUMIF(ThresholdAge09,"&lt;"&amp;AU204,WeightedRevAge09)-SUMIF(ThresholdAge09,"&lt;"&amp;AU204,WeightedMinAge09),MAX(CapacityAge09*'01_Вводные'!$B$218*AU204,MeanMinAge09)))</f>
        <v/>
      </c>
      <c r="AV117" s="190">
        <f>IF(OR(AV89=0,9&lt;='01_Вводные'!$B$297),0,AV89*IF('01_Вводные'!$B$239="Да",MeanMinAge09+AV204*SUMIF(ThresholdAge09,"&lt;"&amp;AV204,WeightedRevAge09)-SUMIF(ThresholdAge09,"&lt;"&amp;AV204,WeightedMinAge09),MAX(CapacityAge09*'01_Вводные'!$B$218*AV204,MeanMinAge09)))</f>
        <v/>
      </c>
      <c r="AW117" s="190">
        <f>IF(OR(AW89=0,9&lt;='01_Вводные'!$B$297),0,AW89*IF('01_Вводные'!$B$239="Да",MeanMinAge09+AW204*SUMIF(ThresholdAge09,"&lt;"&amp;AW204,WeightedRevAge09)-SUMIF(ThresholdAge09,"&lt;"&amp;AW204,WeightedMinAge09),MAX(CapacityAge09*'01_Вводные'!$B$218*AW204,MeanMinAge09)))</f>
        <v/>
      </c>
      <c r="AX117" s="190">
        <f>IF(OR(AX89=0,9&lt;='01_Вводные'!$B$297),0,AX89*IF('01_Вводные'!$B$239="Да",MeanMinAge09+AX204*SUMIF(ThresholdAge09,"&lt;"&amp;AX204,WeightedRevAge09)-SUMIF(ThresholdAge09,"&lt;"&amp;AX204,WeightedMinAge09),MAX(CapacityAge09*'01_Вводные'!$B$218*AX204,MeanMinAge09)))</f>
        <v/>
      </c>
      <c r="AY117" s="190">
        <f>IF(OR(AY89=0,9&lt;='01_Вводные'!$B$297),0,AY89*IF('01_Вводные'!$B$239="Да",MeanMinAge09+AY204*SUMIF(ThresholdAge09,"&lt;"&amp;AY204,WeightedRevAge09)-SUMIF(ThresholdAge09,"&lt;"&amp;AY204,WeightedMinAge09),MAX(CapacityAge09*'01_Вводные'!$B$218*AY204,MeanMinAge09)))</f>
        <v/>
      </c>
      <c r="AZ117" s="190">
        <f>IF(OR(AZ89=0,9&lt;='01_Вводные'!$B$297),0,AZ89*IF('01_Вводные'!$B$239="Да",MeanMinAge09+AZ204*SUMIF(ThresholdAge09,"&lt;"&amp;AZ204,WeightedRevAge09)-SUMIF(ThresholdAge09,"&lt;"&amp;AZ204,WeightedMinAge09),MAX(CapacityAge09*'01_Вводные'!$B$218*AZ204,MeanMinAge09)))</f>
        <v/>
      </c>
      <c r="BA117" s="190">
        <f>IF(OR(BA89=0,9&lt;='01_Вводные'!$B$297),0,BA89*IF('01_Вводные'!$B$239="Да",MeanMinAge09+BA204*SUMIF(ThresholdAge09,"&lt;"&amp;BA204,WeightedRevAge09)-SUMIF(ThresholdAge09,"&lt;"&amp;BA204,WeightedMinAge09),MAX(CapacityAge09*'01_Вводные'!$B$218*BA204,MeanMinAge09)))</f>
        <v/>
      </c>
      <c r="BB117" s="190">
        <f>IF(OR(BB89=0,9&lt;='01_Вводные'!$B$297),0,BB89*IF('01_Вводные'!$B$239="Да",MeanMinAge09+BB204*SUMIF(ThresholdAge09,"&lt;"&amp;BB204,WeightedRevAge09)-SUMIF(ThresholdAge09,"&lt;"&amp;BB204,WeightedMinAge09),MAX(CapacityAge09*'01_Вводные'!$B$218*BB204,MeanMinAge09)))</f>
        <v/>
      </c>
      <c r="BC117" s="190">
        <f>IF(OR(BC89=0,9&lt;='01_Вводные'!$B$297),0,BC89*IF('01_Вводные'!$B$239="Да",MeanMinAge09+BC204*SUMIF(ThresholdAge09,"&lt;"&amp;BC204,WeightedRevAge09)-SUMIF(ThresholdAge09,"&lt;"&amp;BC204,WeightedMinAge09),MAX(CapacityAge09*'01_Вводные'!$B$218*BC204,MeanMinAge09)))</f>
        <v/>
      </c>
      <c r="BD117" s="190">
        <f>IF(OR(BD89=0,9&lt;='01_Вводные'!$B$297),0,BD89*IF('01_Вводные'!$B$239="Да",MeanMinAge09+BD204*SUMIF(ThresholdAge09,"&lt;"&amp;BD204,WeightedRevAge09)-SUMIF(ThresholdAge09,"&lt;"&amp;BD204,WeightedMinAge09),MAX(CapacityAge09*'01_Вводные'!$B$218*BD204,MeanMinAge09)))</f>
        <v/>
      </c>
      <c r="BE117" s="190">
        <f>IF(OR(BE89=0,9&lt;='01_Вводные'!$B$297),0,BE89*IF('01_Вводные'!$B$239="Да",MeanMinAge09+BE204*SUMIF(ThresholdAge09,"&lt;"&amp;BE204,WeightedRevAge09)-SUMIF(ThresholdAge09,"&lt;"&amp;BE204,WeightedMinAge09),MAX(CapacityAge09*'01_Вводные'!$B$218*BE204,MeanMinAge09)))</f>
        <v/>
      </c>
      <c r="BF117" s="190">
        <f>IF(OR(BF89=0,9&lt;='01_Вводные'!$B$297),0,BF89*IF('01_Вводные'!$B$239="Да",MeanMinAge09+BF204*SUMIF(ThresholdAge09,"&lt;"&amp;BF204,WeightedRevAge09)-SUMIF(ThresholdAge09,"&lt;"&amp;BF204,WeightedMinAge09),MAX(CapacityAge09*'01_Вводные'!$B$218*BF204,MeanMinAge09)))</f>
        <v/>
      </c>
      <c r="BG117" s="190">
        <f>IF(OR(BG89=0,9&lt;='01_Вводные'!$B$297),0,BG89*IF('01_Вводные'!$B$239="Да",MeanMinAge09+BG204*SUMIF(ThresholdAge09,"&lt;"&amp;BG204,WeightedRevAge09)-SUMIF(ThresholdAge09,"&lt;"&amp;BG204,WeightedMinAge09),MAX(CapacityAge09*'01_Вводные'!$B$218*BG204,MeanMinAge09)))</f>
        <v/>
      </c>
      <c r="BH117" s="190">
        <f>IF(OR(BH89=0,9&lt;='01_Вводные'!$B$297),0,BH89*IF('01_Вводные'!$B$239="Да",MeanMinAge09+BH204*SUMIF(ThresholdAge09,"&lt;"&amp;BH204,WeightedRevAge09)-SUMIF(ThresholdAge09,"&lt;"&amp;BH204,WeightedMinAge09),MAX(CapacityAge09*'01_Вводные'!$B$218*BH204,MeanMinAge09)))</f>
        <v/>
      </c>
      <c r="BI117" s="190">
        <f>IF(OR(BI89=0,9&lt;='01_Вводные'!$B$297),0,BI89*IF('01_Вводные'!$B$239="Да",MeanMinAge09+BI204*SUMIF(ThresholdAge09,"&lt;"&amp;BI204,WeightedRevAge09)-SUMIF(ThresholdAge09,"&lt;"&amp;BI204,WeightedMinAge09),MAX(CapacityAge09*'01_Вводные'!$B$218*BI204,MeanMinAge09)))</f>
        <v/>
      </c>
      <c r="BJ117" s="190">
        <f>IF(OR(BJ89=0,9&lt;='01_Вводные'!$B$297),0,BJ89*IF('01_Вводные'!$B$239="Да",MeanMinAge09+BJ204*SUMIF(ThresholdAge09,"&lt;"&amp;BJ204,WeightedRevAge09)-SUMIF(ThresholdAge09,"&lt;"&amp;BJ204,WeightedMinAge09),MAX(CapacityAge09*'01_Вводные'!$B$218*BJ204,MeanMinAge09)))</f>
        <v/>
      </c>
      <c r="BK117" s="190">
        <f>IF(OR(BK89=0,9&lt;='01_Вводные'!$B$297),0,BK89*IF('01_Вводные'!$B$239="Да",MeanMinAge09+BK204*SUMIF(ThresholdAge09,"&lt;"&amp;BK204,WeightedRevAge09)-SUMIF(ThresholdAge09,"&lt;"&amp;BK204,WeightedMinAge09),MAX(CapacityAge09*'01_Вводные'!$B$218*BK204,MeanMinAge09)))</f>
        <v/>
      </c>
      <c r="BL117" s="190">
        <f>IF(OR(BL89=0,9&lt;='01_Вводные'!$B$297),0,BL89*IF('01_Вводные'!$B$239="Да",MeanMinAge09+BL204*SUMIF(ThresholdAge09,"&lt;"&amp;BL204,WeightedRevAge09)-SUMIF(ThresholdAge09,"&lt;"&amp;BL204,WeightedMinAge09),MAX(CapacityAge09*'01_Вводные'!$B$218*BL204,MeanMinAge09)))</f>
        <v/>
      </c>
      <c r="BM117" s="190">
        <f>IF(OR(BM89=0,9&lt;='01_Вводные'!$B$297),0,BM89*IF('01_Вводные'!$B$239="Да",MeanMinAge09+BM204*SUMIF(ThresholdAge09,"&lt;"&amp;BM204,WeightedRevAge09)-SUMIF(ThresholdAge09,"&lt;"&amp;BM204,WeightedMinAge09),MAX(CapacityAge09*'01_Вводные'!$B$218*BM204,MeanMinAge09)))</f>
        <v/>
      </c>
      <c r="BN117" s="190">
        <f>IF(OR(BN89=0,9&lt;='01_Вводные'!$B$297),0,BN89*IF('01_Вводные'!$B$239="Да",MeanMinAge09+BN204*SUMIF(ThresholdAge09,"&lt;"&amp;BN204,WeightedRevAge09)-SUMIF(ThresholdAge09,"&lt;"&amp;BN204,WeightedMinAge09),MAX(CapacityAge09*'01_Вводные'!$B$218*BN204,MeanMinAge09)))</f>
        <v/>
      </c>
      <c r="BO117" s="190">
        <f>IF(OR(BO89=0,9&lt;='01_Вводные'!$B$297),0,BO89*IF('01_Вводные'!$B$239="Да",MeanMinAge09+BO204*SUMIF(ThresholdAge09,"&lt;"&amp;BO204,WeightedRevAge09)-SUMIF(ThresholdAge09,"&lt;"&amp;BO204,WeightedMinAge09),MAX(CapacityAge09*'01_Вводные'!$B$218*BO204,MeanMinAge09)))</f>
        <v/>
      </c>
    </row>
    <row r="118" hidden="1" outlineLevel="1">
      <c r="A118" t="inlineStr">
        <is>
          <t>10 мес.</t>
        </is>
      </c>
      <c r="B118" s="190">
        <f>IF(OR(B90=0,10&lt;='01_Вводные'!$B$297),0,B90*IF('01_Вводные'!$B$239="Да",MeanMinAge10+B204*SUMIF(ThresholdAge10,"&lt;"&amp;B204,WeightedRevAge10)-SUMIF(ThresholdAge10,"&lt;"&amp;B204,WeightedMinAge10),MAX(CapacityAge10*'01_Вводные'!$B$218*B204,MeanMinAge10)))</f>
        <v/>
      </c>
      <c r="C118" s="190">
        <f>IF(OR(C90=0,10&lt;='01_Вводные'!$B$297),0,C90*IF('01_Вводные'!$B$239="Да",MeanMinAge10+C204*SUMIF(ThresholdAge10,"&lt;"&amp;C204,WeightedRevAge10)-SUMIF(ThresholdAge10,"&lt;"&amp;C204,WeightedMinAge10),MAX(CapacityAge10*'01_Вводные'!$B$218*C204,MeanMinAge10)))</f>
        <v/>
      </c>
      <c r="D118" s="190">
        <f>IF(OR(D90=0,10&lt;='01_Вводные'!$B$297),0,D90*IF('01_Вводные'!$B$239="Да",MeanMinAge10+D204*SUMIF(ThresholdAge10,"&lt;"&amp;D204,WeightedRevAge10)-SUMIF(ThresholdAge10,"&lt;"&amp;D204,WeightedMinAge10),MAX(CapacityAge10*'01_Вводные'!$B$218*D204,MeanMinAge10)))</f>
        <v/>
      </c>
      <c r="E118" s="190">
        <f>IF(OR(E90=0,10&lt;='01_Вводные'!$B$297),0,E90*IF('01_Вводные'!$B$239="Да",MeanMinAge10+E204*SUMIF(ThresholdAge10,"&lt;"&amp;E204,WeightedRevAge10)-SUMIF(ThresholdAge10,"&lt;"&amp;E204,WeightedMinAge10),MAX(CapacityAge10*'01_Вводные'!$B$218*E204,MeanMinAge10)))</f>
        <v/>
      </c>
      <c r="F118" s="190">
        <f>IF(OR(F90=0,10&lt;='01_Вводные'!$B$297),0,F90*IF('01_Вводные'!$B$239="Да",MeanMinAge10+F204*SUMIF(ThresholdAge10,"&lt;"&amp;F204,WeightedRevAge10)-SUMIF(ThresholdAge10,"&lt;"&amp;F204,WeightedMinAge10),MAX(CapacityAge10*'01_Вводные'!$B$218*F204,MeanMinAge10)))</f>
        <v/>
      </c>
      <c r="G118" s="190">
        <f>IF(OR(G90=0,10&lt;='01_Вводные'!$B$297),0,G90*IF('01_Вводные'!$B$239="Да",MeanMinAge10+G204*SUMIF(ThresholdAge10,"&lt;"&amp;G204,WeightedRevAge10)-SUMIF(ThresholdAge10,"&lt;"&amp;G204,WeightedMinAge10),MAX(CapacityAge10*'01_Вводные'!$B$218*G204,MeanMinAge10)))</f>
        <v/>
      </c>
      <c r="H118" s="190">
        <f>IF(OR(H90=0,10&lt;='01_Вводные'!$B$297),0,H90*IF('01_Вводные'!$B$239="Да",MeanMinAge10+H204*SUMIF(ThresholdAge10,"&lt;"&amp;H204,WeightedRevAge10)-SUMIF(ThresholdAge10,"&lt;"&amp;H204,WeightedMinAge10),MAX(CapacityAge10*'01_Вводные'!$B$218*H204,MeanMinAge10)))</f>
        <v/>
      </c>
      <c r="I118" s="190">
        <f>IF(OR(I90=0,10&lt;='01_Вводные'!$B$297),0,I90*IF('01_Вводные'!$B$239="Да",MeanMinAge10+I204*SUMIF(ThresholdAge10,"&lt;"&amp;I204,WeightedRevAge10)-SUMIF(ThresholdAge10,"&lt;"&amp;I204,WeightedMinAge10),MAX(CapacityAge10*'01_Вводные'!$B$218*I204,MeanMinAge10)))</f>
        <v/>
      </c>
      <c r="J118" s="190">
        <f>IF(OR(J90=0,10&lt;='01_Вводные'!$B$297),0,J90*IF('01_Вводные'!$B$239="Да",MeanMinAge10+J204*SUMIF(ThresholdAge10,"&lt;"&amp;J204,WeightedRevAge10)-SUMIF(ThresholdAge10,"&lt;"&amp;J204,WeightedMinAge10),MAX(CapacityAge10*'01_Вводные'!$B$218*J204,MeanMinAge10)))</f>
        <v/>
      </c>
      <c r="K118" s="190">
        <f>IF(OR(K90=0,10&lt;='01_Вводные'!$B$297),0,K90*IF('01_Вводные'!$B$239="Да",MeanMinAge10+K204*SUMIF(ThresholdAge10,"&lt;"&amp;K204,WeightedRevAge10)-SUMIF(ThresholdAge10,"&lt;"&amp;K204,WeightedMinAge10),MAX(CapacityAge10*'01_Вводные'!$B$218*K204,MeanMinAge10)))</f>
        <v/>
      </c>
      <c r="L118" s="190">
        <f>IF(OR(L90=0,10&lt;='01_Вводные'!$B$297),0,L90*IF('01_Вводные'!$B$239="Да",MeanMinAge10+L204*SUMIF(ThresholdAge10,"&lt;"&amp;L204,WeightedRevAge10)-SUMIF(ThresholdAge10,"&lt;"&amp;L204,WeightedMinAge10),MAX(CapacityAge10*'01_Вводные'!$B$218*L204,MeanMinAge10)))</f>
        <v/>
      </c>
      <c r="M118" s="190">
        <f>IF(OR(M90=0,10&lt;='01_Вводные'!$B$297),0,M90*IF('01_Вводные'!$B$239="Да",MeanMinAge10+M204*SUMIF(ThresholdAge10,"&lt;"&amp;M204,WeightedRevAge10)-SUMIF(ThresholdAge10,"&lt;"&amp;M204,WeightedMinAge10),MAX(CapacityAge10*'01_Вводные'!$B$218*M204,MeanMinAge10)))</f>
        <v/>
      </c>
      <c r="N118" s="190">
        <f>IF(OR(N90=0,10&lt;='01_Вводные'!$B$297),0,N90*IF('01_Вводные'!$B$239="Да",MeanMinAge10+N204*SUMIF(ThresholdAge10,"&lt;"&amp;N204,WeightedRevAge10)-SUMIF(ThresholdAge10,"&lt;"&amp;N204,WeightedMinAge10),MAX(CapacityAge10*'01_Вводные'!$B$218*N204,MeanMinAge10)))</f>
        <v/>
      </c>
      <c r="O118" s="190">
        <f>IF(OR(O90=0,10&lt;='01_Вводные'!$B$297),0,O90*IF('01_Вводные'!$B$239="Да",MeanMinAge10+O204*SUMIF(ThresholdAge10,"&lt;"&amp;O204,WeightedRevAge10)-SUMIF(ThresholdAge10,"&lt;"&amp;O204,WeightedMinAge10),MAX(CapacityAge10*'01_Вводные'!$B$218*O204,MeanMinAge10)))</f>
        <v/>
      </c>
      <c r="P118" s="190">
        <f>IF(OR(P90=0,10&lt;='01_Вводные'!$B$297),0,P90*IF('01_Вводные'!$B$239="Да",MeanMinAge10+P204*SUMIF(ThresholdAge10,"&lt;"&amp;P204,WeightedRevAge10)-SUMIF(ThresholdAge10,"&lt;"&amp;P204,WeightedMinAge10),MAX(CapacityAge10*'01_Вводные'!$B$218*P204,MeanMinAge10)))</f>
        <v/>
      </c>
      <c r="Q118" s="190">
        <f>IF(OR(Q90=0,10&lt;='01_Вводные'!$B$297),0,Q90*IF('01_Вводные'!$B$239="Да",MeanMinAge10+Q204*SUMIF(ThresholdAge10,"&lt;"&amp;Q204,WeightedRevAge10)-SUMIF(ThresholdAge10,"&lt;"&amp;Q204,WeightedMinAge10),MAX(CapacityAge10*'01_Вводные'!$B$218*Q204,MeanMinAge10)))</f>
        <v/>
      </c>
      <c r="R118" s="190">
        <f>IF(OR(R90=0,10&lt;='01_Вводные'!$B$297),0,R90*IF('01_Вводные'!$B$239="Да",MeanMinAge10+R204*SUMIF(ThresholdAge10,"&lt;"&amp;R204,WeightedRevAge10)-SUMIF(ThresholdAge10,"&lt;"&amp;R204,WeightedMinAge10),MAX(CapacityAge10*'01_Вводные'!$B$218*R204,MeanMinAge10)))</f>
        <v/>
      </c>
      <c r="S118" s="190">
        <f>IF(OR(S90=0,10&lt;='01_Вводные'!$B$297),0,S90*IF('01_Вводные'!$B$239="Да",MeanMinAge10+S204*SUMIF(ThresholdAge10,"&lt;"&amp;S204,WeightedRevAge10)-SUMIF(ThresholdAge10,"&lt;"&amp;S204,WeightedMinAge10),MAX(CapacityAge10*'01_Вводные'!$B$218*S204,MeanMinAge10)))</f>
        <v/>
      </c>
      <c r="T118" s="190">
        <f>IF(OR(T90=0,10&lt;='01_Вводные'!$B$297),0,T90*IF('01_Вводные'!$B$239="Да",MeanMinAge10+T204*SUMIF(ThresholdAge10,"&lt;"&amp;T204,WeightedRevAge10)-SUMIF(ThresholdAge10,"&lt;"&amp;T204,WeightedMinAge10),MAX(CapacityAge10*'01_Вводные'!$B$218*T204,MeanMinAge10)))</f>
        <v/>
      </c>
      <c r="U118" s="190">
        <f>IF(OR(U90=0,10&lt;='01_Вводные'!$B$297),0,U90*IF('01_Вводные'!$B$239="Да",MeanMinAge10+U204*SUMIF(ThresholdAge10,"&lt;"&amp;U204,WeightedRevAge10)-SUMIF(ThresholdAge10,"&lt;"&amp;U204,WeightedMinAge10),MAX(CapacityAge10*'01_Вводные'!$B$218*U204,MeanMinAge10)))</f>
        <v/>
      </c>
      <c r="V118" s="190">
        <f>IF(OR(V90=0,10&lt;='01_Вводные'!$B$297),0,V90*IF('01_Вводные'!$B$239="Да",MeanMinAge10+V204*SUMIF(ThresholdAge10,"&lt;"&amp;V204,WeightedRevAge10)-SUMIF(ThresholdAge10,"&lt;"&amp;V204,WeightedMinAge10),MAX(CapacityAge10*'01_Вводные'!$B$218*V204,MeanMinAge10)))</f>
        <v/>
      </c>
      <c r="W118" s="190">
        <f>IF(OR(W90=0,10&lt;='01_Вводные'!$B$297),0,W90*IF('01_Вводные'!$B$239="Да",MeanMinAge10+W204*SUMIF(ThresholdAge10,"&lt;"&amp;W204,WeightedRevAge10)-SUMIF(ThresholdAge10,"&lt;"&amp;W204,WeightedMinAge10),MAX(CapacityAge10*'01_Вводные'!$B$218*W204,MeanMinAge10)))</f>
        <v/>
      </c>
      <c r="X118" s="190">
        <f>IF(OR(X90=0,10&lt;='01_Вводные'!$B$297),0,X90*IF('01_Вводные'!$B$239="Да",MeanMinAge10+X204*SUMIF(ThresholdAge10,"&lt;"&amp;X204,WeightedRevAge10)-SUMIF(ThresholdAge10,"&lt;"&amp;X204,WeightedMinAge10),MAX(CapacityAge10*'01_Вводные'!$B$218*X204,MeanMinAge10)))</f>
        <v/>
      </c>
      <c r="Y118" s="190">
        <f>IF(OR(Y90=0,10&lt;='01_Вводные'!$B$297),0,Y90*IF('01_Вводные'!$B$239="Да",MeanMinAge10+Y204*SUMIF(ThresholdAge10,"&lt;"&amp;Y204,WeightedRevAge10)-SUMIF(ThresholdAge10,"&lt;"&amp;Y204,WeightedMinAge10),MAX(CapacityAge10*'01_Вводные'!$B$218*Y204,MeanMinAge10)))</f>
        <v/>
      </c>
      <c r="Z118" s="190">
        <f>IF(OR(Z90=0,10&lt;='01_Вводные'!$B$297),0,Z90*IF('01_Вводные'!$B$239="Да",MeanMinAge10+Z204*SUMIF(ThresholdAge10,"&lt;"&amp;Z204,WeightedRevAge10)-SUMIF(ThresholdAge10,"&lt;"&amp;Z204,WeightedMinAge10),MAX(CapacityAge10*'01_Вводные'!$B$218*Z204,MeanMinAge10)))</f>
        <v/>
      </c>
      <c r="AA118" s="190">
        <f>IF(OR(AA90=0,10&lt;='01_Вводные'!$B$297),0,AA90*IF('01_Вводные'!$B$239="Да",MeanMinAge10+AA204*SUMIF(ThresholdAge10,"&lt;"&amp;AA204,WeightedRevAge10)-SUMIF(ThresholdAge10,"&lt;"&amp;AA204,WeightedMinAge10),MAX(CapacityAge10*'01_Вводные'!$B$218*AA204,MeanMinAge10)))</f>
        <v/>
      </c>
      <c r="AB118" s="190">
        <f>IF(OR(AB90=0,10&lt;='01_Вводные'!$B$297),0,AB90*IF('01_Вводные'!$B$239="Да",MeanMinAge10+AB204*SUMIF(ThresholdAge10,"&lt;"&amp;AB204,WeightedRevAge10)-SUMIF(ThresholdAge10,"&lt;"&amp;AB204,WeightedMinAge10),MAX(CapacityAge10*'01_Вводные'!$B$218*AB204,MeanMinAge10)))</f>
        <v/>
      </c>
      <c r="AC118" s="190">
        <f>IF(OR(AC90=0,10&lt;='01_Вводные'!$B$297),0,AC90*IF('01_Вводные'!$B$239="Да",MeanMinAge10+AC204*SUMIF(ThresholdAge10,"&lt;"&amp;AC204,WeightedRevAge10)-SUMIF(ThresholdAge10,"&lt;"&amp;AC204,WeightedMinAge10),MAX(CapacityAge10*'01_Вводные'!$B$218*AC204,MeanMinAge10)))</f>
        <v/>
      </c>
      <c r="AD118" s="190">
        <f>IF(OR(AD90=0,10&lt;='01_Вводные'!$B$297),0,AD90*IF('01_Вводные'!$B$239="Да",MeanMinAge10+AD204*SUMIF(ThresholdAge10,"&lt;"&amp;AD204,WeightedRevAge10)-SUMIF(ThresholdAge10,"&lt;"&amp;AD204,WeightedMinAge10),MAX(CapacityAge10*'01_Вводные'!$B$218*AD204,MeanMinAge10)))</f>
        <v/>
      </c>
      <c r="AE118" s="190">
        <f>IF(OR(AE90=0,10&lt;='01_Вводные'!$B$297),0,AE90*IF('01_Вводные'!$B$239="Да",MeanMinAge10+AE204*SUMIF(ThresholdAge10,"&lt;"&amp;AE204,WeightedRevAge10)-SUMIF(ThresholdAge10,"&lt;"&amp;AE204,WeightedMinAge10),MAX(CapacityAge10*'01_Вводные'!$B$218*AE204,MeanMinAge10)))</f>
        <v/>
      </c>
      <c r="AF118" s="190">
        <f>IF(OR(AF90=0,10&lt;='01_Вводные'!$B$297),0,AF90*IF('01_Вводные'!$B$239="Да",MeanMinAge10+AF204*SUMIF(ThresholdAge10,"&lt;"&amp;AF204,WeightedRevAge10)-SUMIF(ThresholdAge10,"&lt;"&amp;AF204,WeightedMinAge10),MAX(CapacityAge10*'01_Вводные'!$B$218*AF204,MeanMinAge10)))</f>
        <v/>
      </c>
      <c r="AG118" s="190">
        <f>IF(OR(AG90=0,10&lt;='01_Вводные'!$B$297),0,AG90*IF('01_Вводные'!$B$239="Да",MeanMinAge10+AG204*SUMIF(ThresholdAge10,"&lt;"&amp;AG204,WeightedRevAge10)-SUMIF(ThresholdAge10,"&lt;"&amp;AG204,WeightedMinAge10),MAX(CapacityAge10*'01_Вводные'!$B$218*AG204,MeanMinAge10)))</f>
        <v/>
      </c>
      <c r="AH118" s="190">
        <f>IF(OR(AH90=0,10&lt;='01_Вводные'!$B$297),0,AH90*IF('01_Вводные'!$B$239="Да",MeanMinAge10+AH204*SUMIF(ThresholdAge10,"&lt;"&amp;AH204,WeightedRevAge10)-SUMIF(ThresholdAge10,"&lt;"&amp;AH204,WeightedMinAge10),MAX(CapacityAge10*'01_Вводные'!$B$218*AH204,MeanMinAge10)))</f>
        <v/>
      </c>
      <c r="AI118" s="190">
        <f>IF(OR(AI90=0,10&lt;='01_Вводные'!$B$297),0,AI90*IF('01_Вводные'!$B$239="Да",MeanMinAge10+AI204*SUMIF(ThresholdAge10,"&lt;"&amp;AI204,WeightedRevAge10)-SUMIF(ThresholdAge10,"&lt;"&amp;AI204,WeightedMinAge10),MAX(CapacityAge10*'01_Вводные'!$B$218*AI204,MeanMinAge10)))</f>
        <v/>
      </c>
      <c r="AJ118" s="190">
        <f>IF(OR(AJ90=0,10&lt;='01_Вводные'!$B$297),0,AJ90*IF('01_Вводные'!$B$239="Да",MeanMinAge10+AJ204*SUMIF(ThresholdAge10,"&lt;"&amp;AJ204,WeightedRevAge10)-SUMIF(ThresholdAge10,"&lt;"&amp;AJ204,WeightedMinAge10),MAX(CapacityAge10*'01_Вводные'!$B$218*AJ204,MeanMinAge10)))</f>
        <v/>
      </c>
      <c r="AK118" s="190">
        <f>IF(OR(AK90=0,10&lt;='01_Вводные'!$B$297),0,AK90*IF('01_Вводные'!$B$239="Да",MeanMinAge10+AK204*SUMIF(ThresholdAge10,"&lt;"&amp;AK204,WeightedRevAge10)-SUMIF(ThresholdAge10,"&lt;"&amp;AK204,WeightedMinAge10),MAX(CapacityAge10*'01_Вводные'!$B$218*AK204,MeanMinAge10)))</f>
        <v/>
      </c>
      <c r="AL118" s="190">
        <f>IF(OR(AL90=0,10&lt;='01_Вводные'!$B$297),0,AL90*IF('01_Вводные'!$B$239="Да",MeanMinAge10+AL204*SUMIF(ThresholdAge10,"&lt;"&amp;AL204,WeightedRevAge10)-SUMIF(ThresholdAge10,"&lt;"&amp;AL204,WeightedMinAge10),MAX(CapacityAge10*'01_Вводные'!$B$218*AL204,MeanMinAge10)))</f>
        <v/>
      </c>
      <c r="AM118" s="190">
        <f>IF(OR(AM90=0,10&lt;='01_Вводные'!$B$297),0,AM90*IF('01_Вводные'!$B$239="Да",MeanMinAge10+AM204*SUMIF(ThresholdAge10,"&lt;"&amp;AM204,WeightedRevAge10)-SUMIF(ThresholdAge10,"&lt;"&amp;AM204,WeightedMinAge10),MAX(CapacityAge10*'01_Вводные'!$B$218*AM204,MeanMinAge10)))</f>
        <v/>
      </c>
      <c r="AN118" s="190">
        <f>IF(OR(AN90=0,10&lt;='01_Вводные'!$B$297),0,AN90*IF('01_Вводные'!$B$239="Да",MeanMinAge10+AN204*SUMIF(ThresholdAge10,"&lt;"&amp;AN204,WeightedRevAge10)-SUMIF(ThresholdAge10,"&lt;"&amp;AN204,WeightedMinAge10),MAX(CapacityAge10*'01_Вводные'!$B$218*AN204,MeanMinAge10)))</f>
        <v/>
      </c>
      <c r="AO118" s="190">
        <f>IF(OR(AO90=0,10&lt;='01_Вводные'!$B$297),0,AO90*IF('01_Вводные'!$B$239="Да",MeanMinAge10+AO204*SUMIF(ThresholdAge10,"&lt;"&amp;AO204,WeightedRevAge10)-SUMIF(ThresholdAge10,"&lt;"&amp;AO204,WeightedMinAge10),MAX(CapacityAge10*'01_Вводные'!$B$218*AO204,MeanMinAge10)))</f>
        <v/>
      </c>
      <c r="AP118" s="190">
        <f>IF(OR(AP90=0,10&lt;='01_Вводные'!$B$297),0,AP90*IF('01_Вводные'!$B$239="Да",MeanMinAge10+AP204*SUMIF(ThresholdAge10,"&lt;"&amp;AP204,WeightedRevAge10)-SUMIF(ThresholdAge10,"&lt;"&amp;AP204,WeightedMinAge10),MAX(CapacityAge10*'01_Вводные'!$B$218*AP204,MeanMinAge10)))</f>
        <v/>
      </c>
      <c r="AQ118" s="190">
        <f>IF(OR(AQ90=0,10&lt;='01_Вводные'!$B$297),0,AQ90*IF('01_Вводные'!$B$239="Да",MeanMinAge10+AQ204*SUMIF(ThresholdAge10,"&lt;"&amp;AQ204,WeightedRevAge10)-SUMIF(ThresholdAge10,"&lt;"&amp;AQ204,WeightedMinAge10),MAX(CapacityAge10*'01_Вводные'!$B$218*AQ204,MeanMinAge10)))</f>
        <v/>
      </c>
      <c r="AR118" s="190">
        <f>IF(OR(AR90=0,10&lt;='01_Вводные'!$B$297),0,AR90*IF('01_Вводные'!$B$239="Да",MeanMinAge10+AR204*SUMIF(ThresholdAge10,"&lt;"&amp;AR204,WeightedRevAge10)-SUMIF(ThresholdAge10,"&lt;"&amp;AR204,WeightedMinAge10),MAX(CapacityAge10*'01_Вводные'!$B$218*AR204,MeanMinAge10)))</f>
        <v/>
      </c>
      <c r="AS118" s="190">
        <f>IF(OR(AS90=0,10&lt;='01_Вводные'!$B$297),0,AS90*IF('01_Вводные'!$B$239="Да",MeanMinAge10+AS204*SUMIF(ThresholdAge10,"&lt;"&amp;AS204,WeightedRevAge10)-SUMIF(ThresholdAge10,"&lt;"&amp;AS204,WeightedMinAge10),MAX(CapacityAge10*'01_Вводные'!$B$218*AS204,MeanMinAge10)))</f>
        <v/>
      </c>
      <c r="AT118" s="190">
        <f>IF(OR(AT90=0,10&lt;='01_Вводные'!$B$297),0,AT90*IF('01_Вводные'!$B$239="Да",MeanMinAge10+AT204*SUMIF(ThresholdAge10,"&lt;"&amp;AT204,WeightedRevAge10)-SUMIF(ThresholdAge10,"&lt;"&amp;AT204,WeightedMinAge10),MAX(CapacityAge10*'01_Вводные'!$B$218*AT204,MeanMinAge10)))</f>
        <v/>
      </c>
      <c r="AU118" s="190">
        <f>IF(OR(AU90=0,10&lt;='01_Вводные'!$B$297),0,AU90*IF('01_Вводные'!$B$239="Да",MeanMinAge10+AU204*SUMIF(ThresholdAge10,"&lt;"&amp;AU204,WeightedRevAge10)-SUMIF(ThresholdAge10,"&lt;"&amp;AU204,WeightedMinAge10),MAX(CapacityAge10*'01_Вводные'!$B$218*AU204,MeanMinAge10)))</f>
        <v/>
      </c>
      <c r="AV118" s="190">
        <f>IF(OR(AV90=0,10&lt;='01_Вводные'!$B$297),0,AV90*IF('01_Вводные'!$B$239="Да",MeanMinAge10+AV204*SUMIF(ThresholdAge10,"&lt;"&amp;AV204,WeightedRevAge10)-SUMIF(ThresholdAge10,"&lt;"&amp;AV204,WeightedMinAge10),MAX(CapacityAge10*'01_Вводные'!$B$218*AV204,MeanMinAge10)))</f>
        <v/>
      </c>
      <c r="AW118" s="190">
        <f>IF(OR(AW90=0,10&lt;='01_Вводные'!$B$297),0,AW90*IF('01_Вводные'!$B$239="Да",MeanMinAge10+AW204*SUMIF(ThresholdAge10,"&lt;"&amp;AW204,WeightedRevAge10)-SUMIF(ThresholdAge10,"&lt;"&amp;AW204,WeightedMinAge10),MAX(CapacityAge10*'01_Вводные'!$B$218*AW204,MeanMinAge10)))</f>
        <v/>
      </c>
      <c r="AX118" s="190">
        <f>IF(OR(AX90=0,10&lt;='01_Вводные'!$B$297),0,AX90*IF('01_Вводные'!$B$239="Да",MeanMinAge10+AX204*SUMIF(ThresholdAge10,"&lt;"&amp;AX204,WeightedRevAge10)-SUMIF(ThresholdAge10,"&lt;"&amp;AX204,WeightedMinAge10),MAX(CapacityAge10*'01_Вводные'!$B$218*AX204,MeanMinAge10)))</f>
        <v/>
      </c>
      <c r="AY118" s="190">
        <f>IF(OR(AY90=0,10&lt;='01_Вводные'!$B$297),0,AY90*IF('01_Вводные'!$B$239="Да",MeanMinAge10+AY204*SUMIF(ThresholdAge10,"&lt;"&amp;AY204,WeightedRevAge10)-SUMIF(ThresholdAge10,"&lt;"&amp;AY204,WeightedMinAge10),MAX(CapacityAge10*'01_Вводные'!$B$218*AY204,MeanMinAge10)))</f>
        <v/>
      </c>
      <c r="AZ118" s="190">
        <f>IF(OR(AZ90=0,10&lt;='01_Вводные'!$B$297),0,AZ90*IF('01_Вводные'!$B$239="Да",MeanMinAge10+AZ204*SUMIF(ThresholdAge10,"&lt;"&amp;AZ204,WeightedRevAge10)-SUMIF(ThresholdAge10,"&lt;"&amp;AZ204,WeightedMinAge10),MAX(CapacityAge10*'01_Вводные'!$B$218*AZ204,MeanMinAge10)))</f>
        <v/>
      </c>
      <c r="BA118" s="190">
        <f>IF(OR(BA90=0,10&lt;='01_Вводные'!$B$297),0,BA90*IF('01_Вводные'!$B$239="Да",MeanMinAge10+BA204*SUMIF(ThresholdAge10,"&lt;"&amp;BA204,WeightedRevAge10)-SUMIF(ThresholdAge10,"&lt;"&amp;BA204,WeightedMinAge10),MAX(CapacityAge10*'01_Вводные'!$B$218*BA204,MeanMinAge10)))</f>
        <v/>
      </c>
      <c r="BB118" s="190">
        <f>IF(OR(BB90=0,10&lt;='01_Вводные'!$B$297),0,BB90*IF('01_Вводные'!$B$239="Да",MeanMinAge10+BB204*SUMIF(ThresholdAge10,"&lt;"&amp;BB204,WeightedRevAge10)-SUMIF(ThresholdAge10,"&lt;"&amp;BB204,WeightedMinAge10),MAX(CapacityAge10*'01_Вводные'!$B$218*BB204,MeanMinAge10)))</f>
        <v/>
      </c>
      <c r="BC118" s="190">
        <f>IF(OR(BC90=0,10&lt;='01_Вводные'!$B$297),0,BC90*IF('01_Вводные'!$B$239="Да",MeanMinAge10+BC204*SUMIF(ThresholdAge10,"&lt;"&amp;BC204,WeightedRevAge10)-SUMIF(ThresholdAge10,"&lt;"&amp;BC204,WeightedMinAge10),MAX(CapacityAge10*'01_Вводные'!$B$218*BC204,MeanMinAge10)))</f>
        <v/>
      </c>
      <c r="BD118" s="190">
        <f>IF(OR(BD90=0,10&lt;='01_Вводные'!$B$297),0,BD90*IF('01_Вводные'!$B$239="Да",MeanMinAge10+BD204*SUMIF(ThresholdAge10,"&lt;"&amp;BD204,WeightedRevAge10)-SUMIF(ThresholdAge10,"&lt;"&amp;BD204,WeightedMinAge10),MAX(CapacityAge10*'01_Вводные'!$B$218*BD204,MeanMinAge10)))</f>
        <v/>
      </c>
      <c r="BE118" s="190">
        <f>IF(OR(BE90=0,10&lt;='01_Вводные'!$B$297),0,BE90*IF('01_Вводные'!$B$239="Да",MeanMinAge10+BE204*SUMIF(ThresholdAge10,"&lt;"&amp;BE204,WeightedRevAge10)-SUMIF(ThresholdAge10,"&lt;"&amp;BE204,WeightedMinAge10),MAX(CapacityAge10*'01_Вводные'!$B$218*BE204,MeanMinAge10)))</f>
        <v/>
      </c>
      <c r="BF118" s="190">
        <f>IF(OR(BF90=0,10&lt;='01_Вводные'!$B$297),0,BF90*IF('01_Вводные'!$B$239="Да",MeanMinAge10+BF204*SUMIF(ThresholdAge10,"&lt;"&amp;BF204,WeightedRevAge10)-SUMIF(ThresholdAge10,"&lt;"&amp;BF204,WeightedMinAge10),MAX(CapacityAge10*'01_Вводные'!$B$218*BF204,MeanMinAge10)))</f>
        <v/>
      </c>
      <c r="BG118" s="190">
        <f>IF(OR(BG90=0,10&lt;='01_Вводные'!$B$297),0,BG90*IF('01_Вводные'!$B$239="Да",MeanMinAge10+BG204*SUMIF(ThresholdAge10,"&lt;"&amp;BG204,WeightedRevAge10)-SUMIF(ThresholdAge10,"&lt;"&amp;BG204,WeightedMinAge10),MAX(CapacityAge10*'01_Вводные'!$B$218*BG204,MeanMinAge10)))</f>
        <v/>
      </c>
      <c r="BH118" s="190">
        <f>IF(OR(BH90=0,10&lt;='01_Вводные'!$B$297),0,BH90*IF('01_Вводные'!$B$239="Да",MeanMinAge10+BH204*SUMIF(ThresholdAge10,"&lt;"&amp;BH204,WeightedRevAge10)-SUMIF(ThresholdAge10,"&lt;"&amp;BH204,WeightedMinAge10),MAX(CapacityAge10*'01_Вводные'!$B$218*BH204,MeanMinAge10)))</f>
        <v/>
      </c>
      <c r="BI118" s="190">
        <f>IF(OR(BI90=0,10&lt;='01_Вводные'!$B$297),0,BI90*IF('01_Вводные'!$B$239="Да",MeanMinAge10+BI204*SUMIF(ThresholdAge10,"&lt;"&amp;BI204,WeightedRevAge10)-SUMIF(ThresholdAge10,"&lt;"&amp;BI204,WeightedMinAge10),MAX(CapacityAge10*'01_Вводные'!$B$218*BI204,MeanMinAge10)))</f>
        <v/>
      </c>
      <c r="BJ118" s="190">
        <f>IF(OR(BJ90=0,10&lt;='01_Вводные'!$B$297),0,BJ90*IF('01_Вводные'!$B$239="Да",MeanMinAge10+BJ204*SUMIF(ThresholdAge10,"&lt;"&amp;BJ204,WeightedRevAge10)-SUMIF(ThresholdAge10,"&lt;"&amp;BJ204,WeightedMinAge10),MAX(CapacityAge10*'01_Вводные'!$B$218*BJ204,MeanMinAge10)))</f>
        <v/>
      </c>
      <c r="BK118" s="190">
        <f>IF(OR(BK90=0,10&lt;='01_Вводные'!$B$297),0,BK90*IF('01_Вводные'!$B$239="Да",MeanMinAge10+BK204*SUMIF(ThresholdAge10,"&lt;"&amp;BK204,WeightedRevAge10)-SUMIF(ThresholdAge10,"&lt;"&amp;BK204,WeightedMinAge10),MAX(CapacityAge10*'01_Вводные'!$B$218*BK204,MeanMinAge10)))</f>
        <v/>
      </c>
      <c r="BL118" s="190">
        <f>IF(OR(BL90=0,10&lt;='01_Вводные'!$B$297),0,BL90*IF('01_Вводные'!$B$239="Да",MeanMinAge10+BL204*SUMIF(ThresholdAge10,"&lt;"&amp;BL204,WeightedRevAge10)-SUMIF(ThresholdAge10,"&lt;"&amp;BL204,WeightedMinAge10),MAX(CapacityAge10*'01_Вводные'!$B$218*BL204,MeanMinAge10)))</f>
        <v/>
      </c>
      <c r="BM118" s="190">
        <f>IF(OR(BM90=0,10&lt;='01_Вводные'!$B$297),0,BM90*IF('01_Вводные'!$B$239="Да",MeanMinAge10+BM204*SUMIF(ThresholdAge10,"&lt;"&amp;BM204,WeightedRevAge10)-SUMIF(ThresholdAge10,"&lt;"&amp;BM204,WeightedMinAge10),MAX(CapacityAge10*'01_Вводные'!$B$218*BM204,MeanMinAge10)))</f>
        <v/>
      </c>
      <c r="BN118" s="190">
        <f>IF(OR(BN90=0,10&lt;='01_Вводные'!$B$297),0,BN90*IF('01_Вводные'!$B$239="Да",MeanMinAge10+BN204*SUMIF(ThresholdAge10,"&lt;"&amp;BN204,WeightedRevAge10)-SUMIF(ThresholdAge10,"&lt;"&amp;BN204,WeightedMinAge10),MAX(CapacityAge10*'01_Вводные'!$B$218*BN204,MeanMinAge10)))</f>
        <v/>
      </c>
      <c r="BO118" s="190">
        <f>IF(OR(BO90=0,10&lt;='01_Вводные'!$B$297),0,BO90*IF('01_Вводные'!$B$239="Да",MeanMinAge10+BO204*SUMIF(ThresholdAge10,"&lt;"&amp;BO204,WeightedRevAge10)-SUMIF(ThresholdAge10,"&lt;"&amp;BO204,WeightedMinAge10),MAX(CapacityAge10*'01_Вводные'!$B$218*BO204,MeanMinAge10)))</f>
        <v/>
      </c>
    </row>
    <row r="119" hidden="1" outlineLevel="1">
      <c r="A119" t="inlineStr">
        <is>
          <t>11 мес.</t>
        </is>
      </c>
      <c r="B119" s="190">
        <f>IF(OR(B91=0,11&lt;='01_Вводные'!$B$297),0,B91*IF('01_Вводные'!$B$239="Да",MeanMinAge11+B204*SUMIF(ThresholdAge11,"&lt;"&amp;B204,WeightedRevAge11)-SUMIF(ThresholdAge11,"&lt;"&amp;B204,WeightedMinAge11),MAX(CapacityAge11*'01_Вводные'!$B$218*B204,MeanMinAge11)))</f>
        <v/>
      </c>
      <c r="C119" s="190">
        <f>IF(OR(C91=0,11&lt;='01_Вводные'!$B$297),0,C91*IF('01_Вводные'!$B$239="Да",MeanMinAge11+C204*SUMIF(ThresholdAge11,"&lt;"&amp;C204,WeightedRevAge11)-SUMIF(ThresholdAge11,"&lt;"&amp;C204,WeightedMinAge11),MAX(CapacityAge11*'01_Вводные'!$B$218*C204,MeanMinAge11)))</f>
        <v/>
      </c>
      <c r="D119" s="190">
        <f>IF(OR(D91=0,11&lt;='01_Вводные'!$B$297),0,D91*IF('01_Вводные'!$B$239="Да",MeanMinAge11+D204*SUMIF(ThresholdAge11,"&lt;"&amp;D204,WeightedRevAge11)-SUMIF(ThresholdAge11,"&lt;"&amp;D204,WeightedMinAge11),MAX(CapacityAge11*'01_Вводные'!$B$218*D204,MeanMinAge11)))</f>
        <v/>
      </c>
      <c r="E119" s="190">
        <f>IF(OR(E91=0,11&lt;='01_Вводные'!$B$297),0,E91*IF('01_Вводные'!$B$239="Да",MeanMinAge11+E204*SUMIF(ThresholdAge11,"&lt;"&amp;E204,WeightedRevAge11)-SUMIF(ThresholdAge11,"&lt;"&amp;E204,WeightedMinAge11),MAX(CapacityAge11*'01_Вводные'!$B$218*E204,MeanMinAge11)))</f>
        <v/>
      </c>
      <c r="F119" s="190">
        <f>IF(OR(F91=0,11&lt;='01_Вводные'!$B$297),0,F91*IF('01_Вводные'!$B$239="Да",MeanMinAge11+F204*SUMIF(ThresholdAge11,"&lt;"&amp;F204,WeightedRevAge11)-SUMIF(ThresholdAge11,"&lt;"&amp;F204,WeightedMinAge11),MAX(CapacityAge11*'01_Вводные'!$B$218*F204,MeanMinAge11)))</f>
        <v/>
      </c>
      <c r="G119" s="190">
        <f>IF(OR(G91=0,11&lt;='01_Вводные'!$B$297),0,G91*IF('01_Вводные'!$B$239="Да",MeanMinAge11+G204*SUMIF(ThresholdAge11,"&lt;"&amp;G204,WeightedRevAge11)-SUMIF(ThresholdAge11,"&lt;"&amp;G204,WeightedMinAge11),MAX(CapacityAge11*'01_Вводные'!$B$218*G204,MeanMinAge11)))</f>
        <v/>
      </c>
      <c r="H119" s="190">
        <f>IF(OR(H91=0,11&lt;='01_Вводные'!$B$297),0,H91*IF('01_Вводные'!$B$239="Да",MeanMinAge11+H204*SUMIF(ThresholdAge11,"&lt;"&amp;H204,WeightedRevAge11)-SUMIF(ThresholdAge11,"&lt;"&amp;H204,WeightedMinAge11),MAX(CapacityAge11*'01_Вводные'!$B$218*H204,MeanMinAge11)))</f>
        <v/>
      </c>
      <c r="I119" s="190">
        <f>IF(OR(I91=0,11&lt;='01_Вводные'!$B$297),0,I91*IF('01_Вводные'!$B$239="Да",MeanMinAge11+I204*SUMIF(ThresholdAge11,"&lt;"&amp;I204,WeightedRevAge11)-SUMIF(ThresholdAge11,"&lt;"&amp;I204,WeightedMinAge11),MAX(CapacityAge11*'01_Вводные'!$B$218*I204,MeanMinAge11)))</f>
        <v/>
      </c>
      <c r="J119" s="190">
        <f>IF(OR(J91=0,11&lt;='01_Вводные'!$B$297),0,J91*IF('01_Вводные'!$B$239="Да",MeanMinAge11+J204*SUMIF(ThresholdAge11,"&lt;"&amp;J204,WeightedRevAge11)-SUMIF(ThresholdAge11,"&lt;"&amp;J204,WeightedMinAge11),MAX(CapacityAge11*'01_Вводные'!$B$218*J204,MeanMinAge11)))</f>
        <v/>
      </c>
      <c r="K119" s="190">
        <f>IF(OR(K91=0,11&lt;='01_Вводные'!$B$297),0,K91*IF('01_Вводные'!$B$239="Да",MeanMinAge11+K204*SUMIF(ThresholdAge11,"&lt;"&amp;K204,WeightedRevAge11)-SUMIF(ThresholdAge11,"&lt;"&amp;K204,WeightedMinAge11),MAX(CapacityAge11*'01_Вводные'!$B$218*K204,MeanMinAge11)))</f>
        <v/>
      </c>
      <c r="L119" s="190">
        <f>IF(OR(L91=0,11&lt;='01_Вводные'!$B$297),0,L91*IF('01_Вводные'!$B$239="Да",MeanMinAge11+L204*SUMIF(ThresholdAge11,"&lt;"&amp;L204,WeightedRevAge11)-SUMIF(ThresholdAge11,"&lt;"&amp;L204,WeightedMinAge11),MAX(CapacityAge11*'01_Вводные'!$B$218*L204,MeanMinAge11)))</f>
        <v/>
      </c>
      <c r="M119" s="190">
        <f>IF(OR(M91=0,11&lt;='01_Вводные'!$B$297),0,M91*IF('01_Вводные'!$B$239="Да",MeanMinAge11+M204*SUMIF(ThresholdAge11,"&lt;"&amp;M204,WeightedRevAge11)-SUMIF(ThresholdAge11,"&lt;"&amp;M204,WeightedMinAge11),MAX(CapacityAge11*'01_Вводные'!$B$218*M204,MeanMinAge11)))</f>
        <v/>
      </c>
      <c r="N119" s="190">
        <f>IF(OR(N91=0,11&lt;='01_Вводные'!$B$297),0,N91*IF('01_Вводные'!$B$239="Да",MeanMinAge11+N204*SUMIF(ThresholdAge11,"&lt;"&amp;N204,WeightedRevAge11)-SUMIF(ThresholdAge11,"&lt;"&amp;N204,WeightedMinAge11),MAX(CapacityAge11*'01_Вводные'!$B$218*N204,MeanMinAge11)))</f>
        <v/>
      </c>
      <c r="O119" s="190">
        <f>IF(OR(O91=0,11&lt;='01_Вводные'!$B$297),0,O91*IF('01_Вводные'!$B$239="Да",MeanMinAge11+O204*SUMIF(ThresholdAge11,"&lt;"&amp;O204,WeightedRevAge11)-SUMIF(ThresholdAge11,"&lt;"&amp;O204,WeightedMinAge11),MAX(CapacityAge11*'01_Вводные'!$B$218*O204,MeanMinAge11)))</f>
        <v/>
      </c>
      <c r="P119" s="190">
        <f>IF(OR(P91=0,11&lt;='01_Вводные'!$B$297),0,P91*IF('01_Вводные'!$B$239="Да",MeanMinAge11+P204*SUMIF(ThresholdAge11,"&lt;"&amp;P204,WeightedRevAge11)-SUMIF(ThresholdAge11,"&lt;"&amp;P204,WeightedMinAge11),MAX(CapacityAge11*'01_Вводные'!$B$218*P204,MeanMinAge11)))</f>
        <v/>
      </c>
      <c r="Q119" s="190">
        <f>IF(OR(Q91=0,11&lt;='01_Вводные'!$B$297),0,Q91*IF('01_Вводные'!$B$239="Да",MeanMinAge11+Q204*SUMIF(ThresholdAge11,"&lt;"&amp;Q204,WeightedRevAge11)-SUMIF(ThresholdAge11,"&lt;"&amp;Q204,WeightedMinAge11),MAX(CapacityAge11*'01_Вводные'!$B$218*Q204,MeanMinAge11)))</f>
        <v/>
      </c>
      <c r="R119" s="190">
        <f>IF(OR(R91=0,11&lt;='01_Вводные'!$B$297),0,R91*IF('01_Вводные'!$B$239="Да",MeanMinAge11+R204*SUMIF(ThresholdAge11,"&lt;"&amp;R204,WeightedRevAge11)-SUMIF(ThresholdAge11,"&lt;"&amp;R204,WeightedMinAge11),MAX(CapacityAge11*'01_Вводные'!$B$218*R204,MeanMinAge11)))</f>
        <v/>
      </c>
      <c r="S119" s="190">
        <f>IF(OR(S91=0,11&lt;='01_Вводные'!$B$297),0,S91*IF('01_Вводные'!$B$239="Да",MeanMinAge11+S204*SUMIF(ThresholdAge11,"&lt;"&amp;S204,WeightedRevAge11)-SUMIF(ThresholdAge11,"&lt;"&amp;S204,WeightedMinAge11),MAX(CapacityAge11*'01_Вводные'!$B$218*S204,MeanMinAge11)))</f>
        <v/>
      </c>
      <c r="T119" s="190">
        <f>IF(OR(T91=0,11&lt;='01_Вводные'!$B$297),0,T91*IF('01_Вводные'!$B$239="Да",MeanMinAge11+T204*SUMIF(ThresholdAge11,"&lt;"&amp;T204,WeightedRevAge11)-SUMIF(ThresholdAge11,"&lt;"&amp;T204,WeightedMinAge11),MAX(CapacityAge11*'01_Вводные'!$B$218*T204,MeanMinAge11)))</f>
        <v/>
      </c>
      <c r="U119" s="190">
        <f>IF(OR(U91=0,11&lt;='01_Вводные'!$B$297),0,U91*IF('01_Вводные'!$B$239="Да",MeanMinAge11+U204*SUMIF(ThresholdAge11,"&lt;"&amp;U204,WeightedRevAge11)-SUMIF(ThresholdAge11,"&lt;"&amp;U204,WeightedMinAge11),MAX(CapacityAge11*'01_Вводные'!$B$218*U204,MeanMinAge11)))</f>
        <v/>
      </c>
      <c r="V119" s="190">
        <f>IF(OR(V91=0,11&lt;='01_Вводные'!$B$297),0,V91*IF('01_Вводные'!$B$239="Да",MeanMinAge11+V204*SUMIF(ThresholdAge11,"&lt;"&amp;V204,WeightedRevAge11)-SUMIF(ThresholdAge11,"&lt;"&amp;V204,WeightedMinAge11),MAX(CapacityAge11*'01_Вводные'!$B$218*V204,MeanMinAge11)))</f>
        <v/>
      </c>
      <c r="W119" s="190">
        <f>IF(OR(W91=0,11&lt;='01_Вводные'!$B$297),0,W91*IF('01_Вводные'!$B$239="Да",MeanMinAge11+W204*SUMIF(ThresholdAge11,"&lt;"&amp;W204,WeightedRevAge11)-SUMIF(ThresholdAge11,"&lt;"&amp;W204,WeightedMinAge11),MAX(CapacityAge11*'01_Вводные'!$B$218*W204,MeanMinAge11)))</f>
        <v/>
      </c>
      <c r="X119" s="190">
        <f>IF(OR(X91=0,11&lt;='01_Вводные'!$B$297),0,X91*IF('01_Вводные'!$B$239="Да",MeanMinAge11+X204*SUMIF(ThresholdAge11,"&lt;"&amp;X204,WeightedRevAge11)-SUMIF(ThresholdAge11,"&lt;"&amp;X204,WeightedMinAge11),MAX(CapacityAge11*'01_Вводные'!$B$218*X204,MeanMinAge11)))</f>
        <v/>
      </c>
      <c r="Y119" s="190">
        <f>IF(OR(Y91=0,11&lt;='01_Вводные'!$B$297),0,Y91*IF('01_Вводные'!$B$239="Да",MeanMinAge11+Y204*SUMIF(ThresholdAge11,"&lt;"&amp;Y204,WeightedRevAge11)-SUMIF(ThresholdAge11,"&lt;"&amp;Y204,WeightedMinAge11),MAX(CapacityAge11*'01_Вводные'!$B$218*Y204,MeanMinAge11)))</f>
        <v/>
      </c>
      <c r="Z119" s="190">
        <f>IF(OR(Z91=0,11&lt;='01_Вводные'!$B$297),0,Z91*IF('01_Вводные'!$B$239="Да",MeanMinAge11+Z204*SUMIF(ThresholdAge11,"&lt;"&amp;Z204,WeightedRevAge11)-SUMIF(ThresholdAge11,"&lt;"&amp;Z204,WeightedMinAge11),MAX(CapacityAge11*'01_Вводные'!$B$218*Z204,MeanMinAge11)))</f>
        <v/>
      </c>
      <c r="AA119" s="190">
        <f>IF(OR(AA91=0,11&lt;='01_Вводные'!$B$297),0,AA91*IF('01_Вводные'!$B$239="Да",MeanMinAge11+AA204*SUMIF(ThresholdAge11,"&lt;"&amp;AA204,WeightedRevAge11)-SUMIF(ThresholdAge11,"&lt;"&amp;AA204,WeightedMinAge11),MAX(CapacityAge11*'01_Вводные'!$B$218*AA204,MeanMinAge11)))</f>
        <v/>
      </c>
      <c r="AB119" s="190">
        <f>IF(OR(AB91=0,11&lt;='01_Вводные'!$B$297),0,AB91*IF('01_Вводные'!$B$239="Да",MeanMinAge11+AB204*SUMIF(ThresholdAge11,"&lt;"&amp;AB204,WeightedRevAge11)-SUMIF(ThresholdAge11,"&lt;"&amp;AB204,WeightedMinAge11),MAX(CapacityAge11*'01_Вводные'!$B$218*AB204,MeanMinAge11)))</f>
        <v/>
      </c>
      <c r="AC119" s="190">
        <f>IF(OR(AC91=0,11&lt;='01_Вводные'!$B$297),0,AC91*IF('01_Вводные'!$B$239="Да",MeanMinAge11+AC204*SUMIF(ThresholdAge11,"&lt;"&amp;AC204,WeightedRevAge11)-SUMIF(ThresholdAge11,"&lt;"&amp;AC204,WeightedMinAge11),MAX(CapacityAge11*'01_Вводные'!$B$218*AC204,MeanMinAge11)))</f>
        <v/>
      </c>
      <c r="AD119" s="190">
        <f>IF(OR(AD91=0,11&lt;='01_Вводные'!$B$297),0,AD91*IF('01_Вводные'!$B$239="Да",MeanMinAge11+AD204*SUMIF(ThresholdAge11,"&lt;"&amp;AD204,WeightedRevAge11)-SUMIF(ThresholdAge11,"&lt;"&amp;AD204,WeightedMinAge11),MAX(CapacityAge11*'01_Вводные'!$B$218*AD204,MeanMinAge11)))</f>
        <v/>
      </c>
      <c r="AE119" s="190">
        <f>IF(OR(AE91=0,11&lt;='01_Вводные'!$B$297),0,AE91*IF('01_Вводные'!$B$239="Да",MeanMinAge11+AE204*SUMIF(ThresholdAge11,"&lt;"&amp;AE204,WeightedRevAge11)-SUMIF(ThresholdAge11,"&lt;"&amp;AE204,WeightedMinAge11),MAX(CapacityAge11*'01_Вводные'!$B$218*AE204,MeanMinAge11)))</f>
        <v/>
      </c>
      <c r="AF119" s="190">
        <f>IF(OR(AF91=0,11&lt;='01_Вводные'!$B$297),0,AF91*IF('01_Вводные'!$B$239="Да",MeanMinAge11+AF204*SUMIF(ThresholdAge11,"&lt;"&amp;AF204,WeightedRevAge11)-SUMIF(ThresholdAge11,"&lt;"&amp;AF204,WeightedMinAge11),MAX(CapacityAge11*'01_Вводные'!$B$218*AF204,MeanMinAge11)))</f>
        <v/>
      </c>
      <c r="AG119" s="190">
        <f>IF(OR(AG91=0,11&lt;='01_Вводные'!$B$297),0,AG91*IF('01_Вводные'!$B$239="Да",MeanMinAge11+AG204*SUMIF(ThresholdAge11,"&lt;"&amp;AG204,WeightedRevAge11)-SUMIF(ThresholdAge11,"&lt;"&amp;AG204,WeightedMinAge11),MAX(CapacityAge11*'01_Вводные'!$B$218*AG204,MeanMinAge11)))</f>
        <v/>
      </c>
      <c r="AH119" s="190">
        <f>IF(OR(AH91=0,11&lt;='01_Вводные'!$B$297),0,AH91*IF('01_Вводные'!$B$239="Да",MeanMinAge11+AH204*SUMIF(ThresholdAge11,"&lt;"&amp;AH204,WeightedRevAge11)-SUMIF(ThresholdAge11,"&lt;"&amp;AH204,WeightedMinAge11),MAX(CapacityAge11*'01_Вводные'!$B$218*AH204,MeanMinAge11)))</f>
        <v/>
      </c>
      <c r="AI119" s="190">
        <f>IF(OR(AI91=0,11&lt;='01_Вводные'!$B$297),0,AI91*IF('01_Вводные'!$B$239="Да",MeanMinAge11+AI204*SUMIF(ThresholdAge11,"&lt;"&amp;AI204,WeightedRevAge11)-SUMIF(ThresholdAge11,"&lt;"&amp;AI204,WeightedMinAge11),MAX(CapacityAge11*'01_Вводные'!$B$218*AI204,MeanMinAge11)))</f>
        <v/>
      </c>
      <c r="AJ119" s="190">
        <f>IF(OR(AJ91=0,11&lt;='01_Вводные'!$B$297),0,AJ91*IF('01_Вводные'!$B$239="Да",MeanMinAge11+AJ204*SUMIF(ThresholdAge11,"&lt;"&amp;AJ204,WeightedRevAge11)-SUMIF(ThresholdAge11,"&lt;"&amp;AJ204,WeightedMinAge11),MAX(CapacityAge11*'01_Вводные'!$B$218*AJ204,MeanMinAge11)))</f>
        <v/>
      </c>
      <c r="AK119" s="190">
        <f>IF(OR(AK91=0,11&lt;='01_Вводные'!$B$297),0,AK91*IF('01_Вводные'!$B$239="Да",MeanMinAge11+AK204*SUMIF(ThresholdAge11,"&lt;"&amp;AK204,WeightedRevAge11)-SUMIF(ThresholdAge11,"&lt;"&amp;AK204,WeightedMinAge11),MAX(CapacityAge11*'01_Вводные'!$B$218*AK204,MeanMinAge11)))</f>
        <v/>
      </c>
      <c r="AL119" s="190">
        <f>IF(OR(AL91=0,11&lt;='01_Вводные'!$B$297),0,AL91*IF('01_Вводные'!$B$239="Да",MeanMinAge11+AL204*SUMIF(ThresholdAge11,"&lt;"&amp;AL204,WeightedRevAge11)-SUMIF(ThresholdAge11,"&lt;"&amp;AL204,WeightedMinAge11),MAX(CapacityAge11*'01_Вводные'!$B$218*AL204,MeanMinAge11)))</f>
        <v/>
      </c>
      <c r="AM119" s="190">
        <f>IF(OR(AM91=0,11&lt;='01_Вводные'!$B$297),0,AM91*IF('01_Вводные'!$B$239="Да",MeanMinAge11+AM204*SUMIF(ThresholdAge11,"&lt;"&amp;AM204,WeightedRevAge11)-SUMIF(ThresholdAge11,"&lt;"&amp;AM204,WeightedMinAge11),MAX(CapacityAge11*'01_Вводные'!$B$218*AM204,MeanMinAge11)))</f>
        <v/>
      </c>
      <c r="AN119" s="190">
        <f>IF(OR(AN91=0,11&lt;='01_Вводные'!$B$297),0,AN91*IF('01_Вводные'!$B$239="Да",MeanMinAge11+AN204*SUMIF(ThresholdAge11,"&lt;"&amp;AN204,WeightedRevAge11)-SUMIF(ThresholdAge11,"&lt;"&amp;AN204,WeightedMinAge11),MAX(CapacityAge11*'01_Вводные'!$B$218*AN204,MeanMinAge11)))</f>
        <v/>
      </c>
      <c r="AO119" s="190">
        <f>IF(OR(AO91=0,11&lt;='01_Вводные'!$B$297),0,AO91*IF('01_Вводные'!$B$239="Да",MeanMinAge11+AO204*SUMIF(ThresholdAge11,"&lt;"&amp;AO204,WeightedRevAge11)-SUMIF(ThresholdAge11,"&lt;"&amp;AO204,WeightedMinAge11),MAX(CapacityAge11*'01_Вводные'!$B$218*AO204,MeanMinAge11)))</f>
        <v/>
      </c>
      <c r="AP119" s="190">
        <f>IF(OR(AP91=0,11&lt;='01_Вводные'!$B$297),0,AP91*IF('01_Вводные'!$B$239="Да",MeanMinAge11+AP204*SUMIF(ThresholdAge11,"&lt;"&amp;AP204,WeightedRevAge11)-SUMIF(ThresholdAge11,"&lt;"&amp;AP204,WeightedMinAge11),MAX(CapacityAge11*'01_Вводные'!$B$218*AP204,MeanMinAge11)))</f>
        <v/>
      </c>
      <c r="AQ119" s="190">
        <f>IF(OR(AQ91=0,11&lt;='01_Вводные'!$B$297),0,AQ91*IF('01_Вводные'!$B$239="Да",MeanMinAge11+AQ204*SUMIF(ThresholdAge11,"&lt;"&amp;AQ204,WeightedRevAge11)-SUMIF(ThresholdAge11,"&lt;"&amp;AQ204,WeightedMinAge11),MAX(CapacityAge11*'01_Вводные'!$B$218*AQ204,MeanMinAge11)))</f>
        <v/>
      </c>
      <c r="AR119" s="190">
        <f>IF(OR(AR91=0,11&lt;='01_Вводные'!$B$297),0,AR91*IF('01_Вводные'!$B$239="Да",MeanMinAge11+AR204*SUMIF(ThresholdAge11,"&lt;"&amp;AR204,WeightedRevAge11)-SUMIF(ThresholdAge11,"&lt;"&amp;AR204,WeightedMinAge11),MAX(CapacityAge11*'01_Вводные'!$B$218*AR204,MeanMinAge11)))</f>
        <v/>
      </c>
      <c r="AS119" s="190">
        <f>IF(OR(AS91=0,11&lt;='01_Вводные'!$B$297),0,AS91*IF('01_Вводные'!$B$239="Да",MeanMinAge11+AS204*SUMIF(ThresholdAge11,"&lt;"&amp;AS204,WeightedRevAge11)-SUMIF(ThresholdAge11,"&lt;"&amp;AS204,WeightedMinAge11),MAX(CapacityAge11*'01_Вводные'!$B$218*AS204,MeanMinAge11)))</f>
        <v/>
      </c>
      <c r="AT119" s="190">
        <f>IF(OR(AT91=0,11&lt;='01_Вводные'!$B$297),0,AT91*IF('01_Вводные'!$B$239="Да",MeanMinAge11+AT204*SUMIF(ThresholdAge11,"&lt;"&amp;AT204,WeightedRevAge11)-SUMIF(ThresholdAge11,"&lt;"&amp;AT204,WeightedMinAge11),MAX(CapacityAge11*'01_Вводные'!$B$218*AT204,MeanMinAge11)))</f>
        <v/>
      </c>
      <c r="AU119" s="190">
        <f>IF(OR(AU91=0,11&lt;='01_Вводные'!$B$297),0,AU91*IF('01_Вводные'!$B$239="Да",MeanMinAge11+AU204*SUMIF(ThresholdAge11,"&lt;"&amp;AU204,WeightedRevAge11)-SUMIF(ThresholdAge11,"&lt;"&amp;AU204,WeightedMinAge11),MAX(CapacityAge11*'01_Вводные'!$B$218*AU204,MeanMinAge11)))</f>
        <v/>
      </c>
      <c r="AV119" s="190">
        <f>IF(OR(AV91=0,11&lt;='01_Вводные'!$B$297),0,AV91*IF('01_Вводные'!$B$239="Да",MeanMinAge11+AV204*SUMIF(ThresholdAge11,"&lt;"&amp;AV204,WeightedRevAge11)-SUMIF(ThresholdAge11,"&lt;"&amp;AV204,WeightedMinAge11),MAX(CapacityAge11*'01_Вводные'!$B$218*AV204,MeanMinAge11)))</f>
        <v/>
      </c>
      <c r="AW119" s="190">
        <f>IF(OR(AW91=0,11&lt;='01_Вводные'!$B$297),0,AW91*IF('01_Вводные'!$B$239="Да",MeanMinAge11+AW204*SUMIF(ThresholdAge11,"&lt;"&amp;AW204,WeightedRevAge11)-SUMIF(ThresholdAge11,"&lt;"&amp;AW204,WeightedMinAge11),MAX(CapacityAge11*'01_Вводные'!$B$218*AW204,MeanMinAge11)))</f>
        <v/>
      </c>
      <c r="AX119" s="190">
        <f>IF(OR(AX91=0,11&lt;='01_Вводные'!$B$297),0,AX91*IF('01_Вводные'!$B$239="Да",MeanMinAge11+AX204*SUMIF(ThresholdAge11,"&lt;"&amp;AX204,WeightedRevAge11)-SUMIF(ThresholdAge11,"&lt;"&amp;AX204,WeightedMinAge11),MAX(CapacityAge11*'01_Вводные'!$B$218*AX204,MeanMinAge11)))</f>
        <v/>
      </c>
      <c r="AY119" s="190">
        <f>IF(OR(AY91=0,11&lt;='01_Вводные'!$B$297),0,AY91*IF('01_Вводные'!$B$239="Да",MeanMinAge11+AY204*SUMIF(ThresholdAge11,"&lt;"&amp;AY204,WeightedRevAge11)-SUMIF(ThresholdAge11,"&lt;"&amp;AY204,WeightedMinAge11),MAX(CapacityAge11*'01_Вводные'!$B$218*AY204,MeanMinAge11)))</f>
        <v/>
      </c>
      <c r="AZ119" s="190">
        <f>IF(OR(AZ91=0,11&lt;='01_Вводные'!$B$297),0,AZ91*IF('01_Вводные'!$B$239="Да",MeanMinAge11+AZ204*SUMIF(ThresholdAge11,"&lt;"&amp;AZ204,WeightedRevAge11)-SUMIF(ThresholdAge11,"&lt;"&amp;AZ204,WeightedMinAge11),MAX(CapacityAge11*'01_Вводные'!$B$218*AZ204,MeanMinAge11)))</f>
        <v/>
      </c>
      <c r="BA119" s="190">
        <f>IF(OR(BA91=0,11&lt;='01_Вводные'!$B$297),0,BA91*IF('01_Вводные'!$B$239="Да",MeanMinAge11+BA204*SUMIF(ThresholdAge11,"&lt;"&amp;BA204,WeightedRevAge11)-SUMIF(ThresholdAge11,"&lt;"&amp;BA204,WeightedMinAge11),MAX(CapacityAge11*'01_Вводные'!$B$218*BA204,MeanMinAge11)))</f>
        <v/>
      </c>
      <c r="BB119" s="190">
        <f>IF(OR(BB91=0,11&lt;='01_Вводные'!$B$297),0,BB91*IF('01_Вводные'!$B$239="Да",MeanMinAge11+BB204*SUMIF(ThresholdAge11,"&lt;"&amp;BB204,WeightedRevAge11)-SUMIF(ThresholdAge11,"&lt;"&amp;BB204,WeightedMinAge11),MAX(CapacityAge11*'01_Вводные'!$B$218*BB204,MeanMinAge11)))</f>
        <v/>
      </c>
      <c r="BC119" s="190">
        <f>IF(OR(BC91=0,11&lt;='01_Вводные'!$B$297),0,BC91*IF('01_Вводные'!$B$239="Да",MeanMinAge11+BC204*SUMIF(ThresholdAge11,"&lt;"&amp;BC204,WeightedRevAge11)-SUMIF(ThresholdAge11,"&lt;"&amp;BC204,WeightedMinAge11),MAX(CapacityAge11*'01_Вводные'!$B$218*BC204,MeanMinAge11)))</f>
        <v/>
      </c>
      <c r="BD119" s="190">
        <f>IF(OR(BD91=0,11&lt;='01_Вводные'!$B$297),0,BD91*IF('01_Вводные'!$B$239="Да",MeanMinAge11+BD204*SUMIF(ThresholdAge11,"&lt;"&amp;BD204,WeightedRevAge11)-SUMIF(ThresholdAge11,"&lt;"&amp;BD204,WeightedMinAge11),MAX(CapacityAge11*'01_Вводные'!$B$218*BD204,MeanMinAge11)))</f>
        <v/>
      </c>
      <c r="BE119" s="190">
        <f>IF(OR(BE91=0,11&lt;='01_Вводные'!$B$297),0,BE91*IF('01_Вводные'!$B$239="Да",MeanMinAge11+BE204*SUMIF(ThresholdAge11,"&lt;"&amp;BE204,WeightedRevAge11)-SUMIF(ThresholdAge11,"&lt;"&amp;BE204,WeightedMinAge11),MAX(CapacityAge11*'01_Вводные'!$B$218*BE204,MeanMinAge11)))</f>
        <v/>
      </c>
      <c r="BF119" s="190">
        <f>IF(OR(BF91=0,11&lt;='01_Вводные'!$B$297),0,BF91*IF('01_Вводные'!$B$239="Да",MeanMinAge11+BF204*SUMIF(ThresholdAge11,"&lt;"&amp;BF204,WeightedRevAge11)-SUMIF(ThresholdAge11,"&lt;"&amp;BF204,WeightedMinAge11),MAX(CapacityAge11*'01_Вводные'!$B$218*BF204,MeanMinAge11)))</f>
        <v/>
      </c>
      <c r="BG119" s="190">
        <f>IF(OR(BG91=0,11&lt;='01_Вводные'!$B$297),0,BG91*IF('01_Вводные'!$B$239="Да",MeanMinAge11+BG204*SUMIF(ThresholdAge11,"&lt;"&amp;BG204,WeightedRevAge11)-SUMIF(ThresholdAge11,"&lt;"&amp;BG204,WeightedMinAge11),MAX(CapacityAge11*'01_Вводные'!$B$218*BG204,MeanMinAge11)))</f>
        <v/>
      </c>
      <c r="BH119" s="190">
        <f>IF(OR(BH91=0,11&lt;='01_Вводные'!$B$297),0,BH91*IF('01_Вводные'!$B$239="Да",MeanMinAge11+BH204*SUMIF(ThresholdAge11,"&lt;"&amp;BH204,WeightedRevAge11)-SUMIF(ThresholdAge11,"&lt;"&amp;BH204,WeightedMinAge11),MAX(CapacityAge11*'01_Вводные'!$B$218*BH204,MeanMinAge11)))</f>
        <v/>
      </c>
      <c r="BI119" s="190">
        <f>IF(OR(BI91=0,11&lt;='01_Вводные'!$B$297),0,BI91*IF('01_Вводные'!$B$239="Да",MeanMinAge11+BI204*SUMIF(ThresholdAge11,"&lt;"&amp;BI204,WeightedRevAge11)-SUMIF(ThresholdAge11,"&lt;"&amp;BI204,WeightedMinAge11),MAX(CapacityAge11*'01_Вводные'!$B$218*BI204,MeanMinAge11)))</f>
        <v/>
      </c>
      <c r="BJ119" s="190">
        <f>IF(OR(BJ91=0,11&lt;='01_Вводные'!$B$297),0,BJ91*IF('01_Вводные'!$B$239="Да",MeanMinAge11+BJ204*SUMIF(ThresholdAge11,"&lt;"&amp;BJ204,WeightedRevAge11)-SUMIF(ThresholdAge11,"&lt;"&amp;BJ204,WeightedMinAge11),MAX(CapacityAge11*'01_Вводные'!$B$218*BJ204,MeanMinAge11)))</f>
        <v/>
      </c>
      <c r="BK119" s="190">
        <f>IF(OR(BK91=0,11&lt;='01_Вводные'!$B$297),0,BK91*IF('01_Вводные'!$B$239="Да",MeanMinAge11+BK204*SUMIF(ThresholdAge11,"&lt;"&amp;BK204,WeightedRevAge11)-SUMIF(ThresholdAge11,"&lt;"&amp;BK204,WeightedMinAge11),MAX(CapacityAge11*'01_Вводные'!$B$218*BK204,MeanMinAge11)))</f>
        <v/>
      </c>
      <c r="BL119" s="190">
        <f>IF(OR(BL91=0,11&lt;='01_Вводные'!$B$297),0,BL91*IF('01_Вводные'!$B$239="Да",MeanMinAge11+BL204*SUMIF(ThresholdAge11,"&lt;"&amp;BL204,WeightedRevAge11)-SUMIF(ThresholdAge11,"&lt;"&amp;BL204,WeightedMinAge11),MAX(CapacityAge11*'01_Вводные'!$B$218*BL204,MeanMinAge11)))</f>
        <v/>
      </c>
      <c r="BM119" s="190">
        <f>IF(OR(BM91=0,11&lt;='01_Вводные'!$B$297),0,BM91*IF('01_Вводные'!$B$239="Да",MeanMinAge11+BM204*SUMIF(ThresholdAge11,"&lt;"&amp;BM204,WeightedRevAge11)-SUMIF(ThresholdAge11,"&lt;"&amp;BM204,WeightedMinAge11),MAX(CapacityAge11*'01_Вводные'!$B$218*BM204,MeanMinAge11)))</f>
        <v/>
      </c>
      <c r="BN119" s="190">
        <f>IF(OR(BN91=0,11&lt;='01_Вводные'!$B$297),0,BN91*IF('01_Вводные'!$B$239="Да",MeanMinAge11+BN204*SUMIF(ThresholdAge11,"&lt;"&amp;BN204,WeightedRevAge11)-SUMIF(ThresholdAge11,"&lt;"&amp;BN204,WeightedMinAge11),MAX(CapacityAge11*'01_Вводные'!$B$218*BN204,MeanMinAge11)))</f>
        <v/>
      </c>
      <c r="BO119" s="190">
        <f>IF(OR(BO91=0,11&lt;='01_Вводные'!$B$297),0,BO91*IF('01_Вводные'!$B$239="Да",MeanMinAge11+BO204*SUMIF(ThresholdAge11,"&lt;"&amp;BO204,WeightedRevAge11)-SUMIF(ThresholdAge11,"&lt;"&amp;BO204,WeightedMinAge11),MAX(CapacityAge11*'01_Вводные'!$B$218*BO204,MeanMinAge11)))</f>
        <v/>
      </c>
    </row>
    <row r="120" hidden="1" outlineLevel="1">
      <c r="A120" t="inlineStr">
        <is>
          <t>12 мес.</t>
        </is>
      </c>
      <c r="B120" s="190">
        <f>IF(OR(B92=0,12&lt;='01_Вводные'!$B$297),0,B92*IF('01_Вводные'!$B$239="Да",MeanMinAge12+B204*SUMIF(ThresholdAge12,"&lt;"&amp;B204,WeightedRevAge12)-SUMIF(ThresholdAge12,"&lt;"&amp;B204,WeightedMinAge12),MAX(CapacityAge12*'01_Вводные'!$B$218*B204,MeanMinAge12)))</f>
        <v/>
      </c>
      <c r="C120" s="190">
        <f>IF(OR(C92=0,12&lt;='01_Вводные'!$B$297),0,C92*IF('01_Вводные'!$B$239="Да",MeanMinAge12+C204*SUMIF(ThresholdAge12,"&lt;"&amp;C204,WeightedRevAge12)-SUMIF(ThresholdAge12,"&lt;"&amp;C204,WeightedMinAge12),MAX(CapacityAge12*'01_Вводные'!$B$218*C204,MeanMinAge12)))</f>
        <v/>
      </c>
      <c r="D120" s="190">
        <f>IF(OR(D92=0,12&lt;='01_Вводные'!$B$297),0,D92*IF('01_Вводные'!$B$239="Да",MeanMinAge12+D204*SUMIF(ThresholdAge12,"&lt;"&amp;D204,WeightedRevAge12)-SUMIF(ThresholdAge12,"&lt;"&amp;D204,WeightedMinAge12),MAX(CapacityAge12*'01_Вводные'!$B$218*D204,MeanMinAge12)))</f>
        <v/>
      </c>
      <c r="E120" s="190">
        <f>IF(OR(E92=0,12&lt;='01_Вводные'!$B$297),0,E92*IF('01_Вводные'!$B$239="Да",MeanMinAge12+E204*SUMIF(ThresholdAge12,"&lt;"&amp;E204,WeightedRevAge12)-SUMIF(ThresholdAge12,"&lt;"&amp;E204,WeightedMinAge12),MAX(CapacityAge12*'01_Вводные'!$B$218*E204,MeanMinAge12)))</f>
        <v/>
      </c>
      <c r="F120" s="190">
        <f>IF(OR(F92=0,12&lt;='01_Вводные'!$B$297),0,F92*IF('01_Вводные'!$B$239="Да",MeanMinAge12+F204*SUMIF(ThresholdAge12,"&lt;"&amp;F204,WeightedRevAge12)-SUMIF(ThresholdAge12,"&lt;"&amp;F204,WeightedMinAge12),MAX(CapacityAge12*'01_Вводные'!$B$218*F204,MeanMinAge12)))</f>
        <v/>
      </c>
      <c r="G120" s="190">
        <f>IF(OR(G92=0,12&lt;='01_Вводные'!$B$297),0,G92*IF('01_Вводные'!$B$239="Да",MeanMinAge12+G204*SUMIF(ThresholdAge12,"&lt;"&amp;G204,WeightedRevAge12)-SUMIF(ThresholdAge12,"&lt;"&amp;G204,WeightedMinAge12),MAX(CapacityAge12*'01_Вводные'!$B$218*G204,MeanMinAge12)))</f>
        <v/>
      </c>
      <c r="H120" s="190">
        <f>IF(OR(H92=0,12&lt;='01_Вводные'!$B$297),0,H92*IF('01_Вводные'!$B$239="Да",MeanMinAge12+H204*SUMIF(ThresholdAge12,"&lt;"&amp;H204,WeightedRevAge12)-SUMIF(ThresholdAge12,"&lt;"&amp;H204,WeightedMinAge12),MAX(CapacityAge12*'01_Вводные'!$B$218*H204,MeanMinAge12)))</f>
        <v/>
      </c>
      <c r="I120" s="190">
        <f>IF(OR(I92=0,12&lt;='01_Вводные'!$B$297),0,I92*IF('01_Вводные'!$B$239="Да",MeanMinAge12+I204*SUMIF(ThresholdAge12,"&lt;"&amp;I204,WeightedRevAge12)-SUMIF(ThresholdAge12,"&lt;"&amp;I204,WeightedMinAge12),MAX(CapacityAge12*'01_Вводные'!$B$218*I204,MeanMinAge12)))</f>
        <v/>
      </c>
      <c r="J120" s="190">
        <f>IF(OR(J92=0,12&lt;='01_Вводные'!$B$297),0,J92*IF('01_Вводные'!$B$239="Да",MeanMinAge12+J204*SUMIF(ThresholdAge12,"&lt;"&amp;J204,WeightedRevAge12)-SUMIF(ThresholdAge12,"&lt;"&amp;J204,WeightedMinAge12),MAX(CapacityAge12*'01_Вводные'!$B$218*J204,MeanMinAge12)))</f>
        <v/>
      </c>
      <c r="K120" s="190">
        <f>IF(OR(K92=0,12&lt;='01_Вводные'!$B$297),0,K92*IF('01_Вводные'!$B$239="Да",MeanMinAge12+K204*SUMIF(ThresholdAge12,"&lt;"&amp;K204,WeightedRevAge12)-SUMIF(ThresholdAge12,"&lt;"&amp;K204,WeightedMinAge12),MAX(CapacityAge12*'01_Вводные'!$B$218*K204,MeanMinAge12)))</f>
        <v/>
      </c>
      <c r="L120" s="190">
        <f>IF(OR(L92=0,12&lt;='01_Вводные'!$B$297),0,L92*IF('01_Вводные'!$B$239="Да",MeanMinAge12+L204*SUMIF(ThresholdAge12,"&lt;"&amp;L204,WeightedRevAge12)-SUMIF(ThresholdAge12,"&lt;"&amp;L204,WeightedMinAge12),MAX(CapacityAge12*'01_Вводные'!$B$218*L204,MeanMinAge12)))</f>
        <v/>
      </c>
      <c r="M120" s="190">
        <f>IF(OR(M92=0,12&lt;='01_Вводные'!$B$297),0,M92*IF('01_Вводные'!$B$239="Да",MeanMinAge12+M204*SUMIF(ThresholdAge12,"&lt;"&amp;M204,WeightedRevAge12)-SUMIF(ThresholdAge12,"&lt;"&amp;M204,WeightedMinAge12),MAX(CapacityAge12*'01_Вводные'!$B$218*M204,MeanMinAge12)))</f>
        <v/>
      </c>
      <c r="N120" s="190">
        <f>IF(OR(N92=0,12&lt;='01_Вводные'!$B$297),0,N92*IF('01_Вводные'!$B$239="Да",MeanMinAge12+N204*SUMIF(ThresholdAge12,"&lt;"&amp;N204,WeightedRevAge12)-SUMIF(ThresholdAge12,"&lt;"&amp;N204,WeightedMinAge12),MAX(CapacityAge12*'01_Вводные'!$B$218*N204,MeanMinAge12)))</f>
        <v/>
      </c>
      <c r="O120" s="190">
        <f>IF(OR(O92=0,12&lt;='01_Вводные'!$B$297),0,O92*IF('01_Вводные'!$B$239="Да",MeanMinAge12+O204*SUMIF(ThresholdAge12,"&lt;"&amp;O204,WeightedRevAge12)-SUMIF(ThresholdAge12,"&lt;"&amp;O204,WeightedMinAge12),MAX(CapacityAge12*'01_Вводные'!$B$218*O204,MeanMinAge12)))</f>
        <v/>
      </c>
      <c r="P120" s="190">
        <f>IF(OR(P92=0,12&lt;='01_Вводные'!$B$297),0,P92*IF('01_Вводные'!$B$239="Да",MeanMinAge12+P204*SUMIF(ThresholdAge12,"&lt;"&amp;P204,WeightedRevAge12)-SUMIF(ThresholdAge12,"&lt;"&amp;P204,WeightedMinAge12),MAX(CapacityAge12*'01_Вводные'!$B$218*P204,MeanMinAge12)))</f>
        <v/>
      </c>
      <c r="Q120" s="190">
        <f>IF(OR(Q92=0,12&lt;='01_Вводные'!$B$297),0,Q92*IF('01_Вводные'!$B$239="Да",MeanMinAge12+Q204*SUMIF(ThresholdAge12,"&lt;"&amp;Q204,WeightedRevAge12)-SUMIF(ThresholdAge12,"&lt;"&amp;Q204,WeightedMinAge12),MAX(CapacityAge12*'01_Вводные'!$B$218*Q204,MeanMinAge12)))</f>
        <v/>
      </c>
      <c r="R120" s="190">
        <f>IF(OR(R92=0,12&lt;='01_Вводные'!$B$297),0,R92*IF('01_Вводные'!$B$239="Да",MeanMinAge12+R204*SUMIF(ThresholdAge12,"&lt;"&amp;R204,WeightedRevAge12)-SUMIF(ThresholdAge12,"&lt;"&amp;R204,WeightedMinAge12),MAX(CapacityAge12*'01_Вводные'!$B$218*R204,MeanMinAge12)))</f>
        <v/>
      </c>
      <c r="S120" s="190">
        <f>IF(OR(S92=0,12&lt;='01_Вводные'!$B$297),0,S92*IF('01_Вводные'!$B$239="Да",MeanMinAge12+S204*SUMIF(ThresholdAge12,"&lt;"&amp;S204,WeightedRevAge12)-SUMIF(ThresholdAge12,"&lt;"&amp;S204,WeightedMinAge12),MAX(CapacityAge12*'01_Вводные'!$B$218*S204,MeanMinAge12)))</f>
        <v/>
      </c>
      <c r="T120" s="190">
        <f>IF(OR(T92=0,12&lt;='01_Вводные'!$B$297),0,T92*IF('01_Вводные'!$B$239="Да",MeanMinAge12+T204*SUMIF(ThresholdAge12,"&lt;"&amp;T204,WeightedRevAge12)-SUMIF(ThresholdAge12,"&lt;"&amp;T204,WeightedMinAge12),MAX(CapacityAge12*'01_Вводные'!$B$218*T204,MeanMinAge12)))</f>
        <v/>
      </c>
      <c r="U120" s="190">
        <f>IF(OR(U92=0,12&lt;='01_Вводные'!$B$297),0,U92*IF('01_Вводные'!$B$239="Да",MeanMinAge12+U204*SUMIF(ThresholdAge12,"&lt;"&amp;U204,WeightedRevAge12)-SUMIF(ThresholdAge12,"&lt;"&amp;U204,WeightedMinAge12),MAX(CapacityAge12*'01_Вводные'!$B$218*U204,MeanMinAge12)))</f>
        <v/>
      </c>
      <c r="V120" s="190">
        <f>IF(OR(V92=0,12&lt;='01_Вводные'!$B$297),0,V92*IF('01_Вводные'!$B$239="Да",MeanMinAge12+V204*SUMIF(ThresholdAge12,"&lt;"&amp;V204,WeightedRevAge12)-SUMIF(ThresholdAge12,"&lt;"&amp;V204,WeightedMinAge12),MAX(CapacityAge12*'01_Вводные'!$B$218*V204,MeanMinAge12)))</f>
        <v/>
      </c>
      <c r="W120" s="190">
        <f>IF(OR(W92=0,12&lt;='01_Вводные'!$B$297),0,W92*IF('01_Вводные'!$B$239="Да",MeanMinAge12+W204*SUMIF(ThresholdAge12,"&lt;"&amp;W204,WeightedRevAge12)-SUMIF(ThresholdAge12,"&lt;"&amp;W204,WeightedMinAge12),MAX(CapacityAge12*'01_Вводные'!$B$218*W204,MeanMinAge12)))</f>
        <v/>
      </c>
      <c r="X120" s="190">
        <f>IF(OR(X92=0,12&lt;='01_Вводные'!$B$297),0,X92*IF('01_Вводные'!$B$239="Да",MeanMinAge12+X204*SUMIF(ThresholdAge12,"&lt;"&amp;X204,WeightedRevAge12)-SUMIF(ThresholdAge12,"&lt;"&amp;X204,WeightedMinAge12),MAX(CapacityAge12*'01_Вводные'!$B$218*X204,MeanMinAge12)))</f>
        <v/>
      </c>
      <c r="Y120" s="190">
        <f>IF(OR(Y92=0,12&lt;='01_Вводные'!$B$297),0,Y92*IF('01_Вводные'!$B$239="Да",MeanMinAge12+Y204*SUMIF(ThresholdAge12,"&lt;"&amp;Y204,WeightedRevAge12)-SUMIF(ThresholdAge12,"&lt;"&amp;Y204,WeightedMinAge12),MAX(CapacityAge12*'01_Вводные'!$B$218*Y204,MeanMinAge12)))</f>
        <v/>
      </c>
      <c r="Z120" s="190">
        <f>IF(OR(Z92=0,12&lt;='01_Вводные'!$B$297),0,Z92*IF('01_Вводные'!$B$239="Да",MeanMinAge12+Z204*SUMIF(ThresholdAge12,"&lt;"&amp;Z204,WeightedRevAge12)-SUMIF(ThresholdAge12,"&lt;"&amp;Z204,WeightedMinAge12),MAX(CapacityAge12*'01_Вводные'!$B$218*Z204,MeanMinAge12)))</f>
        <v/>
      </c>
      <c r="AA120" s="190">
        <f>IF(OR(AA92=0,12&lt;='01_Вводные'!$B$297),0,AA92*IF('01_Вводные'!$B$239="Да",MeanMinAge12+AA204*SUMIF(ThresholdAge12,"&lt;"&amp;AA204,WeightedRevAge12)-SUMIF(ThresholdAge12,"&lt;"&amp;AA204,WeightedMinAge12),MAX(CapacityAge12*'01_Вводные'!$B$218*AA204,MeanMinAge12)))</f>
        <v/>
      </c>
      <c r="AB120" s="190">
        <f>IF(OR(AB92=0,12&lt;='01_Вводные'!$B$297),0,AB92*IF('01_Вводные'!$B$239="Да",MeanMinAge12+AB204*SUMIF(ThresholdAge12,"&lt;"&amp;AB204,WeightedRevAge12)-SUMIF(ThresholdAge12,"&lt;"&amp;AB204,WeightedMinAge12),MAX(CapacityAge12*'01_Вводные'!$B$218*AB204,MeanMinAge12)))</f>
        <v/>
      </c>
      <c r="AC120" s="190">
        <f>IF(OR(AC92=0,12&lt;='01_Вводные'!$B$297),0,AC92*IF('01_Вводные'!$B$239="Да",MeanMinAge12+AC204*SUMIF(ThresholdAge12,"&lt;"&amp;AC204,WeightedRevAge12)-SUMIF(ThresholdAge12,"&lt;"&amp;AC204,WeightedMinAge12),MAX(CapacityAge12*'01_Вводные'!$B$218*AC204,MeanMinAge12)))</f>
        <v/>
      </c>
      <c r="AD120" s="190">
        <f>IF(OR(AD92=0,12&lt;='01_Вводные'!$B$297),0,AD92*IF('01_Вводные'!$B$239="Да",MeanMinAge12+AD204*SUMIF(ThresholdAge12,"&lt;"&amp;AD204,WeightedRevAge12)-SUMIF(ThresholdAge12,"&lt;"&amp;AD204,WeightedMinAge12),MAX(CapacityAge12*'01_Вводные'!$B$218*AD204,MeanMinAge12)))</f>
        <v/>
      </c>
      <c r="AE120" s="190">
        <f>IF(OR(AE92=0,12&lt;='01_Вводные'!$B$297),0,AE92*IF('01_Вводные'!$B$239="Да",MeanMinAge12+AE204*SUMIF(ThresholdAge12,"&lt;"&amp;AE204,WeightedRevAge12)-SUMIF(ThresholdAge12,"&lt;"&amp;AE204,WeightedMinAge12),MAX(CapacityAge12*'01_Вводные'!$B$218*AE204,MeanMinAge12)))</f>
        <v/>
      </c>
      <c r="AF120" s="190">
        <f>IF(OR(AF92=0,12&lt;='01_Вводные'!$B$297),0,AF92*IF('01_Вводные'!$B$239="Да",MeanMinAge12+AF204*SUMIF(ThresholdAge12,"&lt;"&amp;AF204,WeightedRevAge12)-SUMIF(ThresholdAge12,"&lt;"&amp;AF204,WeightedMinAge12),MAX(CapacityAge12*'01_Вводные'!$B$218*AF204,MeanMinAge12)))</f>
        <v/>
      </c>
      <c r="AG120" s="190">
        <f>IF(OR(AG92=0,12&lt;='01_Вводные'!$B$297),0,AG92*IF('01_Вводные'!$B$239="Да",MeanMinAge12+AG204*SUMIF(ThresholdAge12,"&lt;"&amp;AG204,WeightedRevAge12)-SUMIF(ThresholdAge12,"&lt;"&amp;AG204,WeightedMinAge12),MAX(CapacityAge12*'01_Вводные'!$B$218*AG204,MeanMinAge12)))</f>
        <v/>
      </c>
      <c r="AH120" s="190">
        <f>IF(OR(AH92=0,12&lt;='01_Вводные'!$B$297),0,AH92*IF('01_Вводные'!$B$239="Да",MeanMinAge12+AH204*SUMIF(ThresholdAge12,"&lt;"&amp;AH204,WeightedRevAge12)-SUMIF(ThresholdAge12,"&lt;"&amp;AH204,WeightedMinAge12),MAX(CapacityAge12*'01_Вводные'!$B$218*AH204,MeanMinAge12)))</f>
        <v/>
      </c>
      <c r="AI120" s="190">
        <f>IF(OR(AI92=0,12&lt;='01_Вводные'!$B$297),0,AI92*IF('01_Вводные'!$B$239="Да",MeanMinAge12+AI204*SUMIF(ThresholdAge12,"&lt;"&amp;AI204,WeightedRevAge12)-SUMIF(ThresholdAge12,"&lt;"&amp;AI204,WeightedMinAge12),MAX(CapacityAge12*'01_Вводные'!$B$218*AI204,MeanMinAge12)))</f>
        <v/>
      </c>
      <c r="AJ120" s="190">
        <f>IF(OR(AJ92=0,12&lt;='01_Вводные'!$B$297),0,AJ92*IF('01_Вводные'!$B$239="Да",MeanMinAge12+AJ204*SUMIF(ThresholdAge12,"&lt;"&amp;AJ204,WeightedRevAge12)-SUMIF(ThresholdAge12,"&lt;"&amp;AJ204,WeightedMinAge12),MAX(CapacityAge12*'01_Вводные'!$B$218*AJ204,MeanMinAge12)))</f>
        <v/>
      </c>
      <c r="AK120" s="190">
        <f>IF(OR(AK92=0,12&lt;='01_Вводные'!$B$297),0,AK92*IF('01_Вводные'!$B$239="Да",MeanMinAge12+AK204*SUMIF(ThresholdAge12,"&lt;"&amp;AK204,WeightedRevAge12)-SUMIF(ThresholdAge12,"&lt;"&amp;AK204,WeightedMinAge12),MAX(CapacityAge12*'01_Вводные'!$B$218*AK204,MeanMinAge12)))</f>
        <v/>
      </c>
      <c r="AL120" s="190">
        <f>IF(OR(AL92=0,12&lt;='01_Вводные'!$B$297),0,AL92*IF('01_Вводные'!$B$239="Да",MeanMinAge12+AL204*SUMIF(ThresholdAge12,"&lt;"&amp;AL204,WeightedRevAge12)-SUMIF(ThresholdAge12,"&lt;"&amp;AL204,WeightedMinAge12),MAX(CapacityAge12*'01_Вводные'!$B$218*AL204,MeanMinAge12)))</f>
        <v/>
      </c>
      <c r="AM120" s="190">
        <f>IF(OR(AM92=0,12&lt;='01_Вводные'!$B$297),0,AM92*IF('01_Вводные'!$B$239="Да",MeanMinAge12+AM204*SUMIF(ThresholdAge12,"&lt;"&amp;AM204,WeightedRevAge12)-SUMIF(ThresholdAge12,"&lt;"&amp;AM204,WeightedMinAge12),MAX(CapacityAge12*'01_Вводные'!$B$218*AM204,MeanMinAge12)))</f>
        <v/>
      </c>
      <c r="AN120" s="190">
        <f>IF(OR(AN92=0,12&lt;='01_Вводные'!$B$297),0,AN92*IF('01_Вводные'!$B$239="Да",MeanMinAge12+AN204*SUMIF(ThresholdAge12,"&lt;"&amp;AN204,WeightedRevAge12)-SUMIF(ThresholdAge12,"&lt;"&amp;AN204,WeightedMinAge12),MAX(CapacityAge12*'01_Вводные'!$B$218*AN204,MeanMinAge12)))</f>
        <v/>
      </c>
      <c r="AO120" s="190">
        <f>IF(OR(AO92=0,12&lt;='01_Вводные'!$B$297),0,AO92*IF('01_Вводные'!$B$239="Да",MeanMinAge12+AO204*SUMIF(ThresholdAge12,"&lt;"&amp;AO204,WeightedRevAge12)-SUMIF(ThresholdAge12,"&lt;"&amp;AO204,WeightedMinAge12),MAX(CapacityAge12*'01_Вводные'!$B$218*AO204,MeanMinAge12)))</f>
        <v/>
      </c>
      <c r="AP120" s="190">
        <f>IF(OR(AP92=0,12&lt;='01_Вводные'!$B$297),0,AP92*IF('01_Вводные'!$B$239="Да",MeanMinAge12+AP204*SUMIF(ThresholdAge12,"&lt;"&amp;AP204,WeightedRevAge12)-SUMIF(ThresholdAge12,"&lt;"&amp;AP204,WeightedMinAge12),MAX(CapacityAge12*'01_Вводные'!$B$218*AP204,MeanMinAge12)))</f>
        <v/>
      </c>
      <c r="AQ120" s="190">
        <f>IF(OR(AQ92=0,12&lt;='01_Вводные'!$B$297),0,AQ92*IF('01_Вводные'!$B$239="Да",MeanMinAge12+AQ204*SUMIF(ThresholdAge12,"&lt;"&amp;AQ204,WeightedRevAge12)-SUMIF(ThresholdAge12,"&lt;"&amp;AQ204,WeightedMinAge12),MAX(CapacityAge12*'01_Вводные'!$B$218*AQ204,MeanMinAge12)))</f>
        <v/>
      </c>
      <c r="AR120" s="190">
        <f>IF(OR(AR92=0,12&lt;='01_Вводные'!$B$297),0,AR92*IF('01_Вводные'!$B$239="Да",MeanMinAge12+AR204*SUMIF(ThresholdAge12,"&lt;"&amp;AR204,WeightedRevAge12)-SUMIF(ThresholdAge12,"&lt;"&amp;AR204,WeightedMinAge12),MAX(CapacityAge12*'01_Вводные'!$B$218*AR204,MeanMinAge12)))</f>
        <v/>
      </c>
      <c r="AS120" s="190">
        <f>IF(OR(AS92=0,12&lt;='01_Вводные'!$B$297),0,AS92*IF('01_Вводные'!$B$239="Да",MeanMinAge12+AS204*SUMIF(ThresholdAge12,"&lt;"&amp;AS204,WeightedRevAge12)-SUMIF(ThresholdAge12,"&lt;"&amp;AS204,WeightedMinAge12),MAX(CapacityAge12*'01_Вводные'!$B$218*AS204,MeanMinAge12)))</f>
        <v/>
      </c>
      <c r="AT120" s="190">
        <f>IF(OR(AT92=0,12&lt;='01_Вводные'!$B$297),0,AT92*IF('01_Вводные'!$B$239="Да",MeanMinAge12+AT204*SUMIF(ThresholdAge12,"&lt;"&amp;AT204,WeightedRevAge12)-SUMIF(ThresholdAge12,"&lt;"&amp;AT204,WeightedMinAge12),MAX(CapacityAge12*'01_Вводные'!$B$218*AT204,MeanMinAge12)))</f>
        <v/>
      </c>
      <c r="AU120" s="190">
        <f>IF(OR(AU92=0,12&lt;='01_Вводные'!$B$297),0,AU92*IF('01_Вводные'!$B$239="Да",MeanMinAge12+AU204*SUMIF(ThresholdAge12,"&lt;"&amp;AU204,WeightedRevAge12)-SUMIF(ThresholdAge12,"&lt;"&amp;AU204,WeightedMinAge12),MAX(CapacityAge12*'01_Вводные'!$B$218*AU204,MeanMinAge12)))</f>
        <v/>
      </c>
      <c r="AV120" s="190">
        <f>IF(OR(AV92=0,12&lt;='01_Вводные'!$B$297),0,AV92*IF('01_Вводные'!$B$239="Да",MeanMinAge12+AV204*SUMIF(ThresholdAge12,"&lt;"&amp;AV204,WeightedRevAge12)-SUMIF(ThresholdAge12,"&lt;"&amp;AV204,WeightedMinAge12),MAX(CapacityAge12*'01_Вводные'!$B$218*AV204,MeanMinAge12)))</f>
        <v/>
      </c>
      <c r="AW120" s="190">
        <f>IF(OR(AW92=0,12&lt;='01_Вводные'!$B$297),0,AW92*IF('01_Вводные'!$B$239="Да",MeanMinAge12+AW204*SUMIF(ThresholdAge12,"&lt;"&amp;AW204,WeightedRevAge12)-SUMIF(ThresholdAge12,"&lt;"&amp;AW204,WeightedMinAge12),MAX(CapacityAge12*'01_Вводные'!$B$218*AW204,MeanMinAge12)))</f>
        <v/>
      </c>
      <c r="AX120" s="190">
        <f>IF(OR(AX92=0,12&lt;='01_Вводные'!$B$297),0,AX92*IF('01_Вводные'!$B$239="Да",MeanMinAge12+AX204*SUMIF(ThresholdAge12,"&lt;"&amp;AX204,WeightedRevAge12)-SUMIF(ThresholdAge12,"&lt;"&amp;AX204,WeightedMinAge12),MAX(CapacityAge12*'01_Вводные'!$B$218*AX204,MeanMinAge12)))</f>
        <v/>
      </c>
      <c r="AY120" s="190">
        <f>IF(OR(AY92=0,12&lt;='01_Вводные'!$B$297),0,AY92*IF('01_Вводные'!$B$239="Да",MeanMinAge12+AY204*SUMIF(ThresholdAge12,"&lt;"&amp;AY204,WeightedRevAge12)-SUMIF(ThresholdAge12,"&lt;"&amp;AY204,WeightedMinAge12),MAX(CapacityAge12*'01_Вводные'!$B$218*AY204,MeanMinAge12)))</f>
        <v/>
      </c>
      <c r="AZ120" s="190">
        <f>IF(OR(AZ92=0,12&lt;='01_Вводные'!$B$297),0,AZ92*IF('01_Вводные'!$B$239="Да",MeanMinAge12+AZ204*SUMIF(ThresholdAge12,"&lt;"&amp;AZ204,WeightedRevAge12)-SUMIF(ThresholdAge12,"&lt;"&amp;AZ204,WeightedMinAge12),MAX(CapacityAge12*'01_Вводные'!$B$218*AZ204,MeanMinAge12)))</f>
        <v/>
      </c>
      <c r="BA120" s="190">
        <f>IF(OR(BA92=0,12&lt;='01_Вводные'!$B$297),0,BA92*IF('01_Вводные'!$B$239="Да",MeanMinAge12+BA204*SUMIF(ThresholdAge12,"&lt;"&amp;BA204,WeightedRevAge12)-SUMIF(ThresholdAge12,"&lt;"&amp;BA204,WeightedMinAge12),MAX(CapacityAge12*'01_Вводные'!$B$218*BA204,MeanMinAge12)))</f>
        <v/>
      </c>
      <c r="BB120" s="190">
        <f>IF(OR(BB92=0,12&lt;='01_Вводные'!$B$297),0,BB92*IF('01_Вводные'!$B$239="Да",MeanMinAge12+BB204*SUMIF(ThresholdAge12,"&lt;"&amp;BB204,WeightedRevAge12)-SUMIF(ThresholdAge12,"&lt;"&amp;BB204,WeightedMinAge12),MAX(CapacityAge12*'01_Вводные'!$B$218*BB204,MeanMinAge12)))</f>
        <v/>
      </c>
      <c r="BC120" s="190">
        <f>IF(OR(BC92=0,12&lt;='01_Вводные'!$B$297),0,BC92*IF('01_Вводные'!$B$239="Да",MeanMinAge12+BC204*SUMIF(ThresholdAge12,"&lt;"&amp;BC204,WeightedRevAge12)-SUMIF(ThresholdAge12,"&lt;"&amp;BC204,WeightedMinAge12),MAX(CapacityAge12*'01_Вводные'!$B$218*BC204,MeanMinAge12)))</f>
        <v/>
      </c>
      <c r="BD120" s="190">
        <f>IF(OR(BD92=0,12&lt;='01_Вводные'!$B$297),0,BD92*IF('01_Вводные'!$B$239="Да",MeanMinAge12+BD204*SUMIF(ThresholdAge12,"&lt;"&amp;BD204,WeightedRevAge12)-SUMIF(ThresholdAge12,"&lt;"&amp;BD204,WeightedMinAge12),MAX(CapacityAge12*'01_Вводные'!$B$218*BD204,MeanMinAge12)))</f>
        <v/>
      </c>
      <c r="BE120" s="190">
        <f>IF(OR(BE92=0,12&lt;='01_Вводные'!$B$297),0,BE92*IF('01_Вводные'!$B$239="Да",MeanMinAge12+BE204*SUMIF(ThresholdAge12,"&lt;"&amp;BE204,WeightedRevAge12)-SUMIF(ThresholdAge12,"&lt;"&amp;BE204,WeightedMinAge12),MAX(CapacityAge12*'01_Вводные'!$B$218*BE204,MeanMinAge12)))</f>
        <v/>
      </c>
      <c r="BF120" s="190">
        <f>IF(OR(BF92=0,12&lt;='01_Вводные'!$B$297),0,BF92*IF('01_Вводные'!$B$239="Да",MeanMinAge12+BF204*SUMIF(ThresholdAge12,"&lt;"&amp;BF204,WeightedRevAge12)-SUMIF(ThresholdAge12,"&lt;"&amp;BF204,WeightedMinAge12),MAX(CapacityAge12*'01_Вводные'!$B$218*BF204,MeanMinAge12)))</f>
        <v/>
      </c>
      <c r="BG120" s="190">
        <f>IF(OR(BG92=0,12&lt;='01_Вводные'!$B$297),0,BG92*IF('01_Вводные'!$B$239="Да",MeanMinAge12+BG204*SUMIF(ThresholdAge12,"&lt;"&amp;BG204,WeightedRevAge12)-SUMIF(ThresholdAge12,"&lt;"&amp;BG204,WeightedMinAge12),MAX(CapacityAge12*'01_Вводные'!$B$218*BG204,MeanMinAge12)))</f>
        <v/>
      </c>
      <c r="BH120" s="190">
        <f>IF(OR(BH92=0,12&lt;='01_Вводные'!$B$297),0,BH92*IF('01_Вводные'!$B$239="Да",MeanMinAge12+BH204*SUMIF(ThresholdAge12,"&lt;"&amp;BH204,WeightedRevAge12)-SUMIF(ThresholdAge12,"&lt;"&amp;BH204,WeightedMinAge12),MAX(CapacityAge12*'01_Вводные'!$B$218*BH204,MeanMinAge12)))</f>
        <v/>
      </c>
      <c r="BI120" s="190">
        <f>IF(OR(BI92=0,12&lt;='01_Вводные'!$B$297),0,BI92*IF('01_Вводные'!$B$239="Да",MeanMinAge12+BI204*SUMIF(ThresholdAge12,"&lt;"&amp;BI204,WeightedRevAge12)-SUMIF(ThresholdAge12,"&lt;"&amp;BI204,WeightedMinAge12),MAX(CapacityAge12*'01_Вводные'!$B$218*BI204,MeanMinAge12)))</f>
        <v/>
      </c>
      <c r="BJ120" s="190">
        <f>IF(OR(BJ92=0,12&lt;='01_Вводные'!$B$297),0,BJ92*IF('01_Вводные'!$B$239="Да",MeanMinAge12+BJ204*SUMIF(ThresholdAge12,"&lt;"&amp;BJ204,WeightedRevAge12)-SUMIF(ThresholdAge12,"&lt;"&amp;BJ204,WeightedMinAge12),MAX(CapacityAge12*'01_Вводные'!$B$218*BJ204,MeanMinAge12)))</f>
        <v/>
      </c>
      <c r="BK120" s="190">
        <f>IF(OR(BK92=0,12&lt;='01_Вводные'!$B$297),0,BK92*IF('01_Вводные'!$B$239="Да",MeanMinAge12+BK204*SUMIF(ThresholdAge12,"&lt;"&amp;BK204,WeightedRevAge12)-SUMIF(ThresholdAge12,"&lt;"&amp;BK204,WeightedMinAge12),MAX(CapacityAge12*'01_Вводные'!$B$218*BK204,MeanMinAge12)))</f>
        <v/>
      </c>
      <c r="BL120" s="190">
        <f>IF(OR(BL92=0,12&lt;='01_Вводные'!$B$297),0,BL92*IF('01_Вводные'!$B$239="Да",MeanMinAge12+BL204*SUMIF(ThresholdAge12,"&lt;"&amp;BL204,WeightedRevAge12)-SUMIF(ThresholdAge12,"&lt;"&amp;BL204,WeightedMinAge12),MAX(CapacityAge12*'01_Вводные'!$B$218*BL204,MeanMinAge12)))</f>
        <v/>
      </c>
      <c r="BM120" s="190">
        <f>IF(OR(BM92=0,12&lt;='01_Вводные'!$B$297),0,BM92*IF('01_Вводные'!$B$239="Да",MeanMinAge12+BM204*SUMIF(ThresholdAge12,"&lt;"&amp;BM204,WeightedRevAge12)-SUMIF(ThresholdAge12,"&lt;"&amp;BM204,WeightedMinAge12),MAX(CapacityAge12*'01_Вводные'!$B$218*BM204,MeanMinAge12)))</f>
        <v/>
      </c>
      <c r="BN120" s="190">
        <f>IF(OR(BN92=0,12&lt;='01_Вводные'!$B$297),0,BN92*IF('01_Вводные'!$B$239="Да",MeanMinAge12+BN204*SUMIF(ThresholdAge12,"&lt;"&amp;BN204,WeightedRevAge12)-SUMIF(ThresholdAge12,"&lt;"&amp;BN204,WeightedMinAge12),MAX(CapacityAge12*'01_Вводные'!$B$218*BN204,MeanMinAge12)))</f>
        <v/>
      </c>
      <c r="BO120" s="190">
        <f>IF(OR(BO92=0,12&lt;='01_Вводные'!$B$297),0,BO92*IF('01_Вводные'!$B$239="Да",MeanMinAge12+BO204*SUMIF(ThresholdAge12,"&lt;"&amp;BO204,WeightedRevAge12)-SUMIF(ThresholdAge12,"&lt;"&amp;BO204,WeightedMinAge12),MAX(CapacityAge12*'01_Вводные'!$B$218*BO204,MeanMinAge12)))</f>
        <v/>
      </c>
    </row>
    <row r="121" hidden="1" outlineLevel="1">
      <c r="A121" t="inlineStr">
        <is>
          <t>13 мес.</t>
        </is>
      </c>
      <c r="B121" s="190">
        <f>IF(OR(B93=0,13&lt;='01_Вводные'!$B$297),0,B93*IF('01_Вводные'!$B$239="Да",MeanMinAge13+B204*SUMIF(ThresholdAge13,"&lt;"&amp;B204,WeightedRevAge13)-SUMIF(ThresholdAge13,"&lt;"&amp;B204,WeightedMinAge13),MAX(CapacityAge13*'01_Вводные'!$B$218*B204,MeanMinAge13)))</f>
        <v/>
      </c>
      <c r="C121" s="190">
        <f>IF(OR(C93=0,13&lt;='01_Вводные'!$B$297),0,C93*IF('01_Вводные'!$B$239="Да",MeanMinAge13+C204*SUMIF(ThresholdAge13,"&lt;"&amp;C204,WeightedRevAge13)-SUMIF(ThresholdAge13,"&lt;"&amp;C204,WeightedMinAge13),MAX(CapacityAge13*'01_Вводные'!$B$218*C204,MeanMinAge13)))</f>
        <v/>
      </c>
      <c r="D121" s="190">
        <f>IF(OR(D93=0,13&lt;='01_Вводные'!$B$297),0,D93*IF('01_Вводные'!$B$239="Да",MeanMinAge13+D204*SUMIF(ThresholdAge13,"&lt;"&amp;D204,WeightedRevAge13)-SUMIF(ThresholdAge13,"&lt;"&amp;D204,WeightedMinAge13),MAX(CapacityAge13*'01_Вводные'!$B$218*D204,MeanMinAge13)))</f>
        <v/>
      </c>
      <c r="E121" s="190">
        <f>IF(OR(E93=0,13&lt;='01_Вводные'!$B$297),0,E93*IF('01_Вводные'!$B$239="Да",MeanMinAge13+E204*SUMIF(ThresholdAge13,"&lt;"&amp;E204,WeightedRevAge13)-SUMIF(ThresholdAge13,"&lt;"&amp;E204,WeightedMinAge13),MAX(CapacityAge13*'01_Вводные'!$B$218*E204,MeanMinAge13)))</f>
        <v/>
      </c>
      <c r="F121" s="190">
        <f>IF(OR(F93=0,13&lt;='01_Вводные'!$B$297),0,F93*IF('01_Вводные'!$B$239="Да",MeanMinAge13+F204*SUMIF(ThresholdAge13,"&lt;"&amp;F204,WeightedRevAge13)-SUMIF(ThresholdAge13,"&lt;"&amp;F204,WeightedMinAge13),MAX(CapacityAge13*'01_Вводные'!$B$218*F204,MeanMinAge13)))</f>
        <v/>
      </c>
      <c r="G121" s="190">
        <f>IF(OR(G93=0,13&lt;='01_Вводные'!$B$297),0,G93*IF('01_Вводные'!$B$239="Да",MeanMinAge13+G204*SUMIF(ThresholdAge13,"&lt;"&amp;G204,WeightedRevAge13)-SUMIF(ThresholdAge13,"&lt;"&amp;G204,WeightedMinAge13),MAX(CapacityAge13*'01_Вводные'!$B$218*G204,MeanMinAge13)))</f>
        <v/>
      </c>
      <c r="H121" s="190">
        <f>IF(OR(H93=0,13&lt;='01_Вводные'!$B$297),0,H93*IF('01_Вводные'!$B$239="Да",MeanMinAge13+H204*SUMIF(ThresholdAge13,"&lt;"&amp;H204,WeightedRevAge13)-SUMIF(ThresholdAge13,"&lt;"&amp;H204,WeightedMinAge13),MAX(CapacityAge13*'01_Вводные'!$B$218*H204,MeanMinAge13)))</f>
        <v/>
      </c>
      <c r="I121" s="190">
        <f>IF(OR(I93=0,13&lt;='01_Вводные'!$B$297),0,I93*IF('01_Вводные'!$B$239="Да",MeanMinAge13+I204*SUMIF(ThresholdAge13,"&lt;"&amp;I204,WeightedRevAge13)-SUMIF(ThresholdAge13,"&lt;"&amp;I204,WeightedMinAge13),MAX(CapacityAge13*'01_Вводные'!$B$218*I204,MeanMinAge13)))</f>
        <v/>
      </c>
      <c r="J121" s="190">
        <f>IF(OR(J93=0,13&lt;='01_Вводные'!$B$297),0,J93*IF('01_Вводные'!$B$239="Да",MeanMinAge13+J204*SUMIF(ThresholdAge13,"&lt;"&amp;J204,WeightedRevAge13)-SUMIF(ThresholdAge13,"&lt;"&amp;J204,WeightedMinAge13),MAX(CapacityAge13*'01_Вводные'!$B$218*J204,MeanMinAge13)))</f>
        <v/>
      </c>
      <c r="K121" s="190">
        <f>IF(OR(K93=0,13&lt;='01_Вводные'!$B$297),0,K93*IF('01_Вводные'!$B$239="Да",MeanMinAge13+K204*SUMIF(ThresholdAge13,"&lt;"&amp;K204,WeightedRevAge13)-SUMIF(ThresholdAge13,"&lt;"&amp;K204,WeightedMinAge13),MAX(CapacityAge13*'01_Вводные'!$B$218*K204,MeanMinAge13)))</f>
        <v/>
      </c>
      <c r="L121" s="190">
        <f>IF(OR(L93=0,13&lt;='01_Вводные'!$B$297),0,L93*IF('01_Вводные'!$B$239="Да",MeanMinAge13+L204*SUMIF(ThresholdAge13,"&lt;"&amp;L204,WeightedRevAge13)-SUMIF(ThresholdAge13,"&lt;"&amp;L204,WeightedMinAge13),MAX(CapacityAge13*'01_Вводные'!$B$218*L204,MeanMinAge13)))</f>
        <v/>
      </c>
      <c r="M121" s="190">
        <f>IF(OR(M93=0,13&lt;='01_Вводные'!$B$297),0,M93*IF('01_Вводные'!$B$239="Да",MeanMinAge13+M204*SUMIF(ThresholdAge13,"&lt;"&amp;M204,WeightedRevAge13)-SUMIF(ThresholdAge13,"&lt;"&amp;M204,WeightedMinAge13),MAX(CapacityAge13*'01_Вводные'!$B$218*M204,MeanMinAge13)))</f>
        <v/>
      </c>
      <c r="N121" s="190">
        <f>IF(OR(N93=0,13&lt;='01_Вводные'!$B$297),0,N93*IF('01_Вводные'!$B$239="Да",MeanMinAge13+N204*SUMIF(ThresholdAge13,"&lt;"&amp;N204,WeightedRevAge13)-SUMIF(ThresholdAge13,"&lt;"&amp;N204,WeightedMinAge13),MAX(CapacityAge13*'01_Вводные'!$B$218*N204,MeanMinAge13)))</f>
        <v/>
      </c>
      <c r="O121" s="190">
        <f>IF(OR(O93=0,13&lt;='01_Вводные'!$B$297),0,O93*IF('01_Вводные'!$B$239="Да",MeanMinAge13+O204*SUMIF(ThresholdAge13,"&lt;"&amp;O204,WeightedRevAge13)-SUMIF(ThresholdAge13,"&lt;"&amp;O204,WeightedMinAge13),MAX(CapacityAge13*'01_Вводные'!$B$218*O204,MeanMinAge13)))</f>
        <v/>
      </c>
      <c r="P121" s="190">
        <f>IF(OR(P93=0,13&lt;='01_Вводные'!$B$297),0,P93*IF('01_Вводные'!$B$239="Да",MeanMinAge13+P204*SUMIF(ThresholdAge13,"&lt;"&amp;P204,WeightedRevAge13)-SUMIF(ThresholdAge13,"&lt;"&amp;P204,WeightedMinAge13),MAX(CapacityAge13*'01_Вводные'!$B$218*P204,MeanMinAge13)))</f>
        <v/>
      </c>
      <c r="Q121" s="190">
        <f>IF(OR(Q93=0,13&lt;='01_Вводные'!$B$297),0,Q93*IF('01_Вводные'!$B$239="Да",MeanMinAge13+Q204*SUMIF(ThresholdAge13,"&lt;"&amp;Q204,WeightedRevAge13)-SUMIF(ThresholdAge13,"&lt;"&amp;Q204,WeightedMinAge13),MAX(CapacityAge13*'01_Вводные'!$B$218*Q204,MeanMinAge13)))</f>
        <v/>
      </c>
      <c r="R121" s="190">
        <f>IF(OR(R93=0,13&lt;='01_Вводные'!$B$297),0,R93*IF('01_Вводные'!$B$239="Да",MeanMinAge13+R204*SUMIF(ThresholdAge13,"&lt;"&amp;R204,WeightedRevAge13)-SUMIF(ThresholdAge13,"&lt;"&amp;R204,WeightedMinAge13),MAX(CapacityAge13*'01_Вводные'!$B$218*R204,MeanMinAge13)))</f>
        <v/>
      </c>
      <c r="S121" s="190">
        <f>IF(OR(S93=0,13&lt;='01_Вводные'!$B$297),0,S93*IF('01_Вводные'!$B$239="Да",MeanMinAge13+S204*SUMIF(ThresholdAge13,"&lt;"&amp;S204,WeightedRevAge13)-SUMIF(ThresholdAge13,"&lt;"&amp;S204,WeightedMinAge13),MAX(CapacityAge13*'01_Вводные'!$B$218*S204,MeanMinAge13)))</f>
        <v/>
      </c>
      <c r="T121" s="190">
        <f>IF(OR(T93=0,13&lt;='01_Вводные'!$B$297),0,T93*IF('01_Вводные'!$B$239="Да",MeanMinAge13+T204*SUMIF(ThresholdAge13,"&lt;"&amp;T204,WeightedRevAge13)-SUMIF(ThresholdAge13,"&lt;"&amp;T204,WeightedMinAge13),MAX(CapacityAge13*'01_Вводные'!$B$218*T204,MeanMinAge13)))</f>
        <v/>
      </c>
      <c r="U121" s="190">
        <f>IF(OR(U93=0,13&lt;='01_Вводные'!$B$297),0,U93*IF('01_Вводные'!$B$239="Да",MeanMinAge13+U204*SUMIF(ThresholdAge13,"&lt;"&amp;U204,WeightedRevAge13)-SUMIF(ThresholdAge13,"&lt;"&amp;U204,WeightedMinAge13),MAX(CapacityAge13*'01_Вводные'!$B$218*U204,MeanMinAge13)))</f>
        <v/>
      </c>
      <c r="V121" s="190">
        <f>IF(OR(V93=0,13&lt;='01_Вводные'!$B$297),0,V93*IF('01_Вводные'!$B$239="Да",MeanMinAge13+V204*SUMIF(ThresholdAge13,"&lt;"&amp;V204,WeightedRevAge13)-SUMIF(ThresholdAge13,"&lt;"&amp;V204,WeightedMinAge13),MAX(CapacityAge13*'01_Вводные'!$B$218*V204,MeanMinAge13)))</f>
        <v/>
      </c>
      <c r="W121" s="190">
        <f>IF(OR(W93=0,13&lt;='01_Вводные'!$B$297),0,W93*IF('01_Вводные'!$B$239="Да",MeanMinAge13+W204*SUMIF(ThresholdAge13,"&lt;"&amp;W204,WeightedRevAge13)-SUMIF(ThresholdAge13,"&lt;"&amp;W204,WeightedMinAge13),MAX(CapacityAge13*'01_Вводные'!$B$218*W204,MeanMinAge13)))</f>
        <v/>
      </c>
      <c r="X121" s="190">
        <f>IF(OR(X93=0,13&lt;='01_Вводные'!$B$297),0,X93*IF('01_Вводные'!$B$239="Да",MeanMinAge13+X204*SUMIF(ThresholdAge13,"&lt;"&amp;X204,WeightedRevAge13)-SUMIF(ThresholdAge13,"&lt;"&amp;X204,WeightedMinAge13),MAX(CapacityAge13*'01_Вводные'!$B$218*X204,MeanMinAge13)))</f>
        <v/>
      </c>
      <c r="Y121" s="190">
        <f>IF(OR(Y93=0,13&lt;='01_Вводные'!$B$297),0,Y93*IF('01_Вводные'!$B$239="Да",MeanMinAge13+Y204*SUMIF(ThresholdAge13,"&lt;"&amp;Y204,WeightedRevAge13)-SUMIF(ThresholdAge13,"&lt;"&amp;Y204,WeightedMinAge13),MAX(CapacityAge13*'01_Вводные'!$B$218*Y204,MeanMinAge13)))</f>
        <v/>
      </c>
      <c r="Z121" s="190">
        <f>IF(OR(Z93=0,13&lt;='01_Вводные'!$B$297),0,Z93*IF('01_Вводные'!$B$239="Да",MeanMinAge13+Z204*SUMIF(ThresholdAge13,"&lt;"&amp;Z204,WeightedRevAge13)-SUMIF(ThresholdAge13,"&lt;"&amp;Z204,WeightedMinAge13),MAX(CapacityAge13*'01_Вводные'!$B$218*Z204,MeanMinAge13)))</f>
        <v/>
      </c>
      <c r="AA121" s="190">
        <f>IF(OR(AA93=0,13&lt;='01_Вводные'!$B$297),0,AA93*IF('01_Вводные'!$B$239="Да",MeanMinAge13+AA204*SUMIF(ThresholdAge13,"&lt;"&amp;AA204,WeightedRevAge13)-SUMIF(ThresholdAge13,"&lt;"&amp;AA204,WeightedMinAge13),MAX(CapacityAge13*'01_Вводные'!$B$218*AA204,MeanMinAge13)))</f>
        <v/>
      </c>
      <c r="AB121" s="190">
        <f>IF(OR(AB93=0,13&lt;='01_Вводные'!$B$297),0,AB93*IF('01_Вводные'!$B$239="Да",MeanMinAge13+AB204*SUMIF(ThresholdAge13,"&lt;"&amp;AB204,WeightedRevAge13)-SUMIF(ThresholdAge13,"&lt;"&amp;AB204,WeightedMinAge13),MAX(CapacityAge13*'01_Вводные'!$B$218*AB204,MeanMinAge13)))</f>
        <v/>
      </c>
      <c r="AC121" s="190">
        <f>IF(OR(AC93=0,13&lt;='01_Вводные'!$B$297),0,AC93*IF('01_Вводные'!$B$239="Да",MeanMinAge13+AC204*SUMIF(ThresholdAge13,"&lt;"&amp;AC204,WeightedRevAge13)-SUMIF(ThresholdAge13,"&lt;"&amp;AC204,WeightedMinAge13),MAX(CapacityAge13*'01_Вводные'!$B$218*AC204,MeanMinAge13)))</f>
        <v/>
      </c>
      <c r="AD121" s="190">
        <f>IF(OR(AD93=0,13&lt;='01_Вводные'!$B$297),0,AD93*IF('01_Вводные'!$B$239="Да",MeanMinAge13+AD204*SUMIF(ThresholdAge13,"&lt;"&amp;AD204,WeightedRevAge13)-SUMIF(ThresholdAge13,"&lt;"&amp;AD204,WeightedMinAge13),MAX(CapacityAge13*'01_Вводные'!$B$218*AD204,MeanMinAge13)))</f>
        <v/>
      </c>
      <c r="AE121" s="190">
        <f>IF(OR(AE93=0,13&lt;='01_Вводные'!$B$297),0,AE93*IF('01_Вводные'!$B$239="Да",MeanMinAge13+AE204*SUMIF(ThresholdAge13,"&lt;"&amp;AE204,WeightedRevAge13)-SUMIF(ThresholdAge13,"&lt;"&amp;AE204,WeightedMinAge13),MAX(CapacityAge13*'01_Вводные'!$B$218*AE204,MeanMinAge13)))</f>
        <v/>
      </c>
      <c r="AF121" s="190">
        <f>IF(OR(AF93=0,13&lt;='01_Вводные'!$B$297),0,AF93*IF('01_Вводные'!$B$239="Да",MeanMinAge13+AF204*SUMIF(ThresholdAge13,"&lt;"&amp;AF204,WeightedRevAge13)-SUMIF(ThresholdAge13,"&lt;"&amp;AF204,WeightedMinAge13),MAX(CapacityAge13*'01_Вводные'!$B$218*AF204,MeanMinAge13)))</f>
        <v/>
      </c>
      <c r="AG121" s="190">
        <f>IF(OR(AG93=0,13&lt;='01_Вводные'!$B$297),0,AG93*IF('01_Вводные'!$B$239="Да",MeanMinAge13+AG204*SUMIF(ThresholdAge13,"&lt;"&amp;AG204,WeightedRevAge13)-SUMIF(ThresholdAge13,"&lt;"&amp;AG204,WeightedMinAge13),MAX(CapacityAge13*'01_Вводные'!$B$218*AG204,MeanMinAge13)))</f>
        <v/>
      </c>
      <c r="AH121" s="190">
        <f>IF(OR(AH93=0,13&lt;='01_Вводные'!$B$297),0,AH93*IF('01_Вводные'!$B$239="Да",MeanMinAge13+AH204*SUMIF(ThresholdAge13,"&lt;"&amp;AH204,WeightedRevAge13)-SUMIF(ThresholdAge13,"&lt;"&amp;AH204,WeightedMinAge13),MAX(CapacityAge13*'01_Вводные'!$B$218*AH204,MeanMinAge13)))</f>
        <v/>
      </c>
      <c r="AI121" s="190">
        <f>IF(OR(AI93=0,13&lt;='01_Вводные'!$B$297),0,AI93*IF('01_Вводные'!$B$239="Да",MeanMinAge13+AI204*SUMIF(ThresholdAge13,"&lt;"&amp;AI204,WeightedRevAge13)-SUMIF(ThresholdAge13,"&lt;"&amp;AI204,WeightedMinAge13),MAX(CapacityAge13*'01_Вводные'!$B$218*AI204,MeanMinAge13)))</f>
        <v/>
      </c>
      <c r="AJ121" s="190">
        <f>IF(OR(AJ93=0,13&lt;='01_Вводные'!$B$297),0,AJ93*IF('01_Вводные'!$B$239="Да",MeanMinAge13+AJ204*SUMIF(ThresholdAge13,"&lt;"&amp;AJ204,WeightedRevAge13)-SUMIF(ThresholdAge13,"&lt;"&amp;AJ204,WeightedMinAge13),MAX(CapacityAge13*'01_Вводные'!$B$218*AJ204,MeanMinAge13)))</f>
        <v/>
      </c>
      <c r="AK121" s="190">
        <f>IF(OR(AK93=0,13&lt;='01_Вводные'!$B$297),0,AK93*IF('01_Вводные'!$B$239="Да",MeanMinAge13+AK204*SUMIF(ThresholdAge13,"&lt;"&amp;AK204,WeightedRevAge13)-SUMIF(ThresholdAge13,"&lt;"&amp;AK204,WeightedMinAge13),MAX(CapacityAge13*'01_Вводные'!$B$218*AK204,MeanMinAge13)))</f>
        <v/>
      </c>
      <c r="AL121" s="190">
        <f>IF(OR(AL93=0,13&lt;='01_Вводные'!$B$297),0,AL93*IF('01_Вводные'!$B$239="Да",MeanMinAge13+AL204*SUMIF(ThresholdAge13,"&lt;"&amp;AL204,WeightedRevAge13)-SUMIF(ThresholdAge13,"&lt;"&amp;AL204,WeightedMinAge13),MAX(CapacityAge13*'01_Вводные'!$B$218*AL204,MeanMinAge13)))</f>
        <v/>
      </c>
      <c r="AM121" s="190">
        <f>IF(OR(AM93=0,13&lt;='01_Вводные'!$B$297),0,AM93*IF('01_Вводные'!$B$239="Да",MeanMinAge13+AM204*SUMIF(ThresholdAge13,"&lt;"&amp;AM204,WeightedRevAge13)-SUMIF(ThresholdAge13,"&lt;"&amp;AM204,WeightedMinAge13),MAX(CapacityAge13*'01_Вводные'!$B$218*AM204,MeanMinAge13)))</f>
        <v/>
      </c>
      <c r="AN121" s="190">
        <f>IF(OR(AN93=0,13&lt;='01_Вводные'!$B$297),0,AN93*IF('01_Вводные'!$B$239="Да",MeanMinAge13+AN204*SUMIF(ThresholdAge13,"&lt;"&amp;AN204,WeightedRevAge13)-SUMIF(ThresholdAge13,"&lt;"&amp;AN204,WeightedMinAge13),MAX(CapacityAge13*'01_Вводные'!$B$218*AN204,MeanMinAge13)))</f>
        <v/>
      </c>
      <c r="AO121" s="190">
        <f>IF(OR(AO93=0,13&lt;='01_Вводные'!$B$297),0,AO93*IF('01_Вводные'!$B$239="Да",MeanMinAge13+AO204*SUMIF(ThresholdAge13,"&lt;"&amp;AO204,WeightedRevAge13)-SUMIF(ThresholdAge13,"&lt;"&amp;AO204,WeightedMinAge13),MAX(CapacityAge13*'01_Вводные'!$B$218*AO204,MeanMinAge13)))</f>
        <v/>
      </c>
      <c r="AP121" s="190">
        <f>IF(OR(AP93=0,13&lt;='01_Вводные'!$B$297),0,AP93*IF('01_Вводные'!$B$239="Да",MeanMinAge13+AP204*SUMIF(ThresholdAge13,"&lt;"&amp;AP204,WeightedRevAge13)-SUMIF(ThresholdAge13,"&lt;"&amp;AP204,WeightedMinAge13),MAX(CapacityAge13*'01_Вводные'!$B$218*AP204,MeanMinAge13)))</f>
        <v/>
      </c>
      <c r="AQ121" s="190">
        <f>IF(OR(AQ93=0,13&lt;='01_Вводные'!$B$297),0,AQ93*IF('01_Вводные'!$B$239="Да",MeanMinAge13+AQ204*SUMIF(ThresholdAge13,"&lt;"&amp;AQ204,WeightedRevAge13)-SUMIF(ThresholdAge13,"&lt;"&amp;AQ204,WeightedMinAge13),MAX(CapacityAge13*'01_Вводные'!$B$218*AQ204,MeanMinAge13)))</f>
        <v/>
      </c>
      <c r="AR121" s="190">
        <f>IF(OR(AR93=0,13&lt;='01_Вводные'!$B$297),0,AR93*IF('01_Вводные'!$B$239="Да",MeanMinAge13+AR204*SUMIF(ThresholdAge13,"&lt;"&amp;AR204,WeightedRevAge13)-SUMIF(ThresholdAge13,"&lt;"&amp;AR204,WeightedMinAge13),MAX(CapacityAge13*'01_Вводные'!$B$218*AR204,MeanMinAge13)))</f>
        <v/>
      </c>
      <c r="AS121" s="190">
        <f>IF(OR(AS93=0,13&lt;='01_Вводные'!$B$297),0,AS93*IF('01_Вводные'!$B$239="Да",MeanMinAge13+AS204*SUMIF(ThresholdAge13,"&lt;"&amp;AS204,WeightedRevAge13)-SUMIF(ThresholdAge13,"&lt;"&amp;AS204,WeightedMinAge13),MAX(CapacityAge13*'01_Вводные'!$B$218*AS204,MeanMinAge13)))</f>
        <v/>
      </c>
      <c r="AT121" s="190">
        <f>IF(OR(AT93=0,13&lt;='01_Вводные'!$B$297),0,AT93*IF('01_Вводные'!$B$239="Да",MeanMinAge13+AT204*SUMIF(ThresholdAge13,"&lt;"&amp;AT204,WeightedRevAge13)-SUMIF(ThresholdAge13,"&lt;"&amp;AT204,WeightedMinAge13),MAX(CapacityAge13*'01_Вводные'!$B$218*AT204,MeanMinAge13)))</f>
        <v/>
      </c>
      <c r="AU121" s="190">
        <f>IF(OR(AU93=0,13&lt;='01_Вводные'!$B$297),0,AU93*IF('01_Вводные'!$B$239="Да",MeanMinAge13+AU204*SUMIF(ThresholdAge13,"&lt;"&amp;AU204,WeightedRevAge13)-SUMIF(ThresholdAge13,"&lt;"&amp;AU204,WeightedMinAge13),MAX(CapacityAge13*'01_Вводные'!$B$218*AU204,MeanMinAge13)))</f>
        <v/>
      </c>
      <c r="AV121" s="190">
        <f>IF(OR(AV93=0,13&lt;='01_Вводные'!$B$297),0,AV93*IF('01_Вводные'!$B$239="Да",MeanMinAge13+AV204*SUMIF(ThresholdAge13,"&lt;"&amp;AV204,WeightedRevAge13)-SUMIF(ThresholdAge13,"&lt;"&amp;AV204,WeightedMinAge13),MAX(CapacityAge13*'01_Вводные'!$B$218*AV204,MeanMinAge13)))</f>
        <v/>
      </c>
      <c r="AW121" s="190">
        <f>IF(OR(AW93=0,13&lt;='01_Вводные'!$B$297),0,AW93*IF('01_Вводные'!$B$239="Да",MeanMinAge13+AW204*SUMIF(ThresholdAge13,"&lt;"&amp;AW204,WeightedRevAge13)-SUMIF(ThresholdAge13,"&lt;"&amp;AW204,WeightedMinAge13),MAX(CapacityAge13*'01_Вводные'!$B$218*AW204,MeanMinAge13)))</f>
        <v/>
      </c>
      <c r="AX121" s="190">
        <f>IF(OR(AX93=0,13&lt;='01_Вводные'!$B$297),0,AX93*IF('01_Вводные'!$B$239="Да",MeanMinAge13+AX204*SUMIF(ThresholdAge13,"&lt;"&amp;AX204,WeightedRevAge13)-SUMIF(ThresholdAge13,"&lt;"&amp;AX204,WeightedMinAge13),MAX(CapacityAge13*'01_Вводные'!$B$218*AX204,MeanMinAge13)))</f>
        <v/>
      </c>
      <c r="AY121" s="190">
        <f>IF(OR(AY93=0,13&lt;='01_Вводные'!$B$297),0,AY93*IF('01_Вводные'!$B$239="Да",MeanMinAge13+AY204*SUMIF(ThresholdAge13,"&lt;"&amp;AY204,WeightedRevAge13)-SUMIF(ThresholdAge13,"&lt;"&amp;AY204,WeightedMinAge13),MAX(CapacityAge13*'01_Вводные'!$B$218*AY204,MeanMinAge13)))</f>
        <v/>
      </c>
      <c r="AZ121" s="190">
        <f>IF(OR(AZ93=0,13&lt;='01_Вводные'!$B$297),0,AZ93*IF('01_Вводные'!$B$239="Да",MeanMinAge13+AZ204*SUMIF(ThresholdAge13,"&lt;"&amp;AZ204,WeightedRevAge13)-SUMIF(ThresholdAge13,"&lt;"&amp;AZ204,WeightedMinAge13),MAX(CapacityAge13*'01_Вводные'!$B$218*AZ204,MeanMinAge13)))</f>
        <v/>
      </c>
      <c r="BA121" s="190">
        <f>IF(OR(BA93=0,13&lt;='01_Вводные'!$B$297),0,BA93*IF('01_Вводные'!$B$239="Да",MeanMinAge13+BA204*SUMIF(ThresholdAge13,"&lt;"&amp;BA204,WeightedRevAge13)-SUMIF(ThresholdAge13,"&lt;"&amp;BA204,WeightedMinAge13),MAX(CapacityAge13*'01_Вводные'!$B$218*BA204,MeanMinAge13)))</f>
        <v/>
      </c>
      <c r="BB121" s="190">
        <f>IF(OR(BB93=0,13&lt;='01_Вводные'!$B$297),0,BB93*IF('01_Вводные'!$B$239="Да",MeanMinAge13+BB204*SUMIF(ThresholdAge13,"&lt;"&amp;BB204,WeightedRevAge13)-SUMIF(ThresholdAge13,"&lt;"&amp;BB204,WeightedMinAge13),MAX(CapacityAge13*'01_Вводные'!$B$218*BB204,MeanMinAge13)))</f>
        <v/>
      </c>
      <c r="BC121" s="190">
        <f>IF(OR(BC93=0,13&lt;='01_Вводные'!$B$297),0,BC93*IF('01_Вводные'!$B$239="Да",MeanMinAge13+BC204*SUMIF(ThresholdAge13,"&lt;"&amp;BC204,WeightedRevAge13)-SUMIF(ThresholdAge13,"&lt;"&amp;BC204,WeightedMinAge13),MAX(CapacityAge13*'01_Вводные'!$B$218*BC204,MeanMinAge13)))</f>
        <v/>
      </c>
      <c r="BD121" s="190">
        <f>IF(OR(BD93=0,13&lt;='01_Вводные'!$B$297),0,BD93*IF('01_Вводные'!$B$239="Да",MeanMinAge13+BD204*SUMIF(ThresholdAge13,"&lt;"&amp;BD204,WeightedRevAge13)-SUMIF(ThresholdAge13,"&lt;"&amp;BD204,WeightedMinAge13),MAX(CapacityAge13*'01_Вводные'!$B$218*BD204,MeanMinAge13)))</f>
        <v/>
      </c>
      <c r="BE121" s="190">
        <f>IF(OR(BE93=0,13&lt;='01_Вводные'!$B$297),0,BE93*IF('01_Вводные'!$B$239="Да",MeanMinAge13+BE204*SUMIF(ThresholdAge13,"&lt;"&amp;BE204,WeightedRevAge13)-SUMIF(ThresholdAge13,"&lt;"&amp;BE204,WeightedMinAge13),MAX(CapacityAge13*'01_Вводные'!$B$218*BE204,MeanMinAge13)))</f>
        <v/>
      </c>
      <c r="BF121" s="190">
        <f>IF(OR(BF93=0,13&lt;='01_Вводные'!$B$297),0,BF93*IF('01_Вводные'!$B$239="Да",MeanMinAge13+BF204*SUMIF(ThresholdAge13,"&lt;"&amp;BF204,WeightedRevAge13)-SUMIF(ThresholdAge13,"&lt;"&amp;BF204,WeightedMinAge13),MAX(CapacityAge13*'01_Вводные'!$B$218*BF204,MeanMinAge13)))</f>
        <v/>
      </c>
      <c r="BG121" s="190">
        <f>IF(OR(BG93=0,13&lt;='01_Вводные'!$B$297),0,BG93*IF('01_Вводные'!$B$239="Да",MeanMinAge13+BG204*SUMIF(ThresholdAge13,"&lt;"&amp;BG204,WeightedRevAge13)-SUMIF(ThresholdAge13,"&lt;"&amp;BG204,WeightedMinAge13),MAX(CapacityAge13*'01_Вводные'!$B$218*BG204,MeanMinAge13)))</f>
        <v/>
      </c>
      <c r="BH121" s="190">
        <f>IF(OR(BH93=0,13&lt;='01_Вводные'!$B$297),0,BH93*IF('01_Вводные'!$B$239="Да",MeanMinAge13+BH204*SUMIF(ThresholdAge13,"&lt;"&amp;BH204,WeightedRevAge13)-SUMIF(ThresholdAge13,"&lt;"&amp;BH204,WeightedMinAge13),MAX(CapacityAge13*'01_Вводные'!$B$218*BH204,MeanMinAge13)))</f>
        <v/>
      </c>
      <c r="BI121" s="190">
        <f>IF(OR(BI93=0,13&lt;='01_Вводные'!$B$297),0,BI93*IF('01_Вводные'!$B$239="Да",MeanMinAge13+BI204*SUMIF(ThresholdAge13,"&lt;"&amp;BI204,WeightedRevAge13)-SUMIF(ThresholdAge13,"&lt;"&amp;BI204,WeightedMinAge13),MAX(CapacityAge13*'01_Вводные'!$B$218*BI204,MeanMinAge13)))</f>
        <v/>
      </c>
      <c r="BJ121" s="190">
        <f>IF(OR(BJ93=0,13&lt;='01_Вводные'!$B$297),0,BJ93*IF('01_Вводные'!$B$239="Да",MeanMinAge13+BJ204*SUMIF(ThresholdAge13,"&lt;"&amp;BJ204,WeightedRevAge13)-SUMIF(ThresholdAge13,"&lt;"&amp;BJ204,WeightedMinAge13),MAX(CapacityAge13*'01_Вводные'!$B$218*BJ204,MeanMinAge13)))</f>
        <v/>
      </c>
      <c r="BK121" s="190">
        <f>IF(OR(BK93=0,13&lt;='01_Вводные'!$B$297),0,BK93*IF('01_Вводные'!$B$239="Да",MeanMinAge13+BK204*SUMIF(ThresholdAge13,"&lt;"&amp;BK204,WeightedRevAge13)-SUMIF(ThresholdAge13,"&lt;"&amp;BK204,WeightedMinAge13),MAX(CapacityAge13*'01_Вводные'!$B$218*BK204,MeanMinAge13)))</f>
        <v/>
      </c>
      <c r="BL121" s="190">
        <f>IF(OR(BL93=0,13&lt;='01_Вводные'!$B$297),0,BL93*IF('01_Вводные'!$B$239="Да",MeanMinAge13+BL204*SUMIF(ThresholdAge13,"&lt;"&amp;BL204,WeightedRevAge13)-SUMIF(ThresholdAge13,"&lt;"&amp;BL204,WeightedMinAge13),MAX(CapacityAge13*'01_Вводные'!$B$218*BL204,MeanMinAge13)))</f>
        <v/>
      </c>
      <c r="BM121" s="190">
        <f>IF(OR(BM93=0,13&lt;='01_Вводные'!$B$297),0,BM93*IF('01_Вводные'!$B$239="Да",MeanMinAge13+BM204*SUMIF(ThresholdAge13,"&lt;"&amp;BM204,WeightedRevAge13)-SUMIF(ThresholdAge13,"&lt;"&amp;BM204,WeightedMinAge13),MAX(CapacityAge13*'01_Вводные'!$B$218*BM204,MeanMinAge13)))</f>
        <v/>
      </c>
      <c r="BN121" s="190">
        <f>IF(OR(BN93=0,13&lt;='01_Вводные'!$B$297),0,BN93*IF('01_Вводные'!$B$239="Да",MeanMinAge13+BN204*SUMIF(ThresholdAge13,"&lt;"&amp;BN204,WeightedRevAge13)-SUMIF(ThresholdAge13,"&lt;"&amp;BN204,WeightedMinAge13),MAX(CapacityAge13*'01_Вводные'!$B$218*BN204,MeanMinAge13)))</f>
        <v/>
      </c>
      <c r="BO121" s="190">
        <f>IF(OR(BO93=0,13&lt;='01_Вводные'!$B$297),0,BO93*IF('01_Вводные'!$B$239="Да",MeanMinAge13+BO204*SUMIF(ThresholdAge13,"&lt;"&amp;BO204,WeightedRevAge13)-SUMIF(ThresholdAge13,"&lt;"&amp;BO204,WeightedMinAge13),MAX(CapacityAge13*'01_Вводные'!$B$218*BO204,MeanMinAge13)))</f>
        <v/>
      </c>
    </row>
    <row r="122" hidden="1" outlineLevel="1">
      <c r="A122" t="inlineStr">
        <is>
          <t>14 мес.</t>
        </is>
      </c>
      <c r="B122" s="190">
        <f>IF(OR(B94=0,14&lt;='01_Вводные'!$B$297),0,B94*IF('01_Вводные'!$B$239="Да",MeanMinAge14+B204*SUMIF(ThresholdAge14,"&lt;"&amp;B204,WeightedRevAge14)-SUMIF(ThresholdAge14,"&lt;"&amp;B204,WeightedMinAge14),MAX(CapacityAge14*'01_Вводные'!$B$218*B204,MeanMinAge14)))</f>
        <v/>
      </c>
      <c r="C122" s="190">
        <f>IF(OR(C94=0,14&lt;='01_Вводные'!$B$297),0,C94*IF('01_Вводные'!$B$239="Да",MeanMinAge14+C204*SUMIF(ThresholdAge14,"&lt;"&amp;C204,WeightedRevAge14)-SUMIF(ThresholdAge14,"&lt;"&amp;C204,WeightedMinAge14),MAX(CapacityAge14*'01_Вводные'!$B$218*C204,MeanMinAge14)))</f>
        <v/>
      </c>
      <c r="D122" s="190">
        <f>IF(OR(D94=0,14&lt;='01_Вводные'!$B$297),0,D94*IF('01_Вводные'!$B$239="Да",MeanMinAge14+D204*SUMIF(ThresholdAge14,"&lt;"&amp;D204,WeightedRevAge14)-SUMIF(ThresholdAge14,"&lt;"&amp;D204,WeightedMinAge14),MAX(CapacityAge14*'01_Вводные'!$B$218*D204,MeanMinAge14)))</f>
        <v/>
      </c>
      <c r="E122" s="190">
        <f>IF(OR(E94=0,14&lt;='01_Вводные'!$B$297),0,E94*IF('01_Вводные'!$B$239="Да",MeanMinAge14+E204*SUMIF(ThresholdAge14,"&lt;"&amp;E204,WeightedRevAge14)-SUMIF(ThresholdAge14,"&lt;"&amp;E204,WeightedMinAge14),MAX(CapacityAge14*'01_Вводные'!$B$218*E204,MeanMinAge14)))</f>
        <v/>
      </c>
      <c r="F122" s="190">
        <f>IF(OR(F94=0,14&lt;='01_Вводные'!$B$297),0,F94*IF('01_Вводные'!$B$239="Да",MeanMinAge14+F204*SUMIF(ThresholdAge14,"&lt;"&amp;F204,WeightedRevAge14)-SUMIF(ThresholdAge14,"&lt;"&amp;F204,WeightedMinAge14),MAX(CapacityAge14*'01_Вводные'!$B$218*F204,MeanMinAge14)))</f>
        <v/>
      </c>
      <c r="G122" s="190">
        <f>IF(OR(G94=0,14&lt;='01_Вводные'!$B$297),0,G94*IF('01_Вводные'!$B$239="Да",MeanMinAge14+G204*SUMIF(ThresholdAge14,"&lt;"&amp;G204,WeightedRevAge14)-SUMIF(ThresholdAge14,"&lt;"&amp;G204,WeightedMinAge14),MAX(CapacityAge14*'01_Вводные'!$B$218*G204,MeanMinAge14)))</f>
        <v/>
      </c>
      <c r="H122" s="190">
        <f>IF(OR(H94=0,14&lt;='01_Вводные'!$B$297),0,H94*IF('01_Вводные'!$B$239="Да",MeanMinAge14+H204*SUMIF(ThresholdAge14,"&lt;"&amp;H204,WeightedRevAge14)-SUMIF(ThresholdAge14,"&lt;"&amp;H204,WeightedMinAge14),MAX(CapacityAge14*'01_Вводные'!$B$218*H204,MeanMinAge14)))</f>
        <v/>
      </c>
      <c r="I122" s="190">
        <f>IF(OR(I94=0,14&lt;='01_Вводные'!$B$297),0,I94*IF('01_Вводные'!$B$239="Да",MeanMinAge14+I204*SUMIF(ThresholdAge14,"&lt;"&amp;I204,WeightedRevAge14)-SUMIF(ThresholdAge14,"&lt;"&amp;I204,WeightedMinAge14),MAX(CapacityAge14*'01_Вводные'!$B$218*I204,MeanMinAge14)))</f>
        <v/>
      </c>
      <c r="J122" s="190">
        <f>IF(OR(J94=0,14&lt;='01_Вводные'!$B$297),0,J94*IF('01_Вводные'!$B$239="Да",MeanMinAge14+J204*SUMIF(ThresholdAge14,"&lt;"&amp;J204,WeightedRevAge14)-SUMIF(ThresholdAge14,"&lt;"&amp;J204,WeightedMinAge14),MAX(CapacityAge14*'01_Вводные'!$B$218*J204,MeanMinAge14)))</f>
        <v/>
      </c>
      <c r="K122" s="190">
        <f>IF(OR(K94=0,14&lt;='01_Вводные'!$B$297),0,K94*IF('01_Вводные'!$B$239="Да",MeanMinAge14+K204*SUMIF(ThresholdAge14,"&lt;"&amp;K204,WeightedRevAge14)-SUMIF(ThresholdAge14,"&lt;"&amp;K204,WeightedMinAge14),MAX(CapacityAge14*'01_Вводные'!$B$218*K204,MeanMinAge14)))</f>
        <v/>
      </c>
      <c r="L122" s="190">
        <f>IF(OR(L94=0,14&lt;='01_Вводные'!$B$297),0,L94*IF('01_Вводные'!$B$239="Да",MeanMinAge14+L204*SUMIF(ThresholdAge14,"&lt;"&amp;L204,WeightedRevAge14)-SUMIF(ThresholdAge14,"&lt;"&amp;L204,WeightedMinAge14),MAX(CapacityAge14*'01_Вводные'!$B$218*L204,MeanMinAge14)))</f>
        <v/>
      </c>
      <c r="M122" s="190">
        <f>IF(OR(M94=0,14&lt;='01_Вводные'!$B$297),0,M94*IF('01_Вводные'!$B$239="Да",MeanMinAge14+M204*SUMIF(ThresholdAge14,"&lt;"&amp;M204,WeightedRevAge14)-SUMIF(ThresholdAge14,"&lt;"&amp;M204,WeightedMinAge14),MAX(CapacityAge14*'01_Вводные'!$B$218*M204,MeanMinAge14)))</f>
        <v/>
      </c>
      <c r="N122" s="190">
        <f>IF(OR(N94=0,14&lt;='01_Вводные'!$B$297),0,N94*IF('01_Вводные'!$B$239="Да",MeanMinAge14+N204*SUMIF(ThresholdAge14,"&lt;"&amp;N204,WeightedRevAge14)-SUMIF(ThresholdAge14,"&lt;"&amp;N204,WeightedMinAge14),MAX(CapacityAge14*'01_Вводные'!$B$218*N204,MeanMinAge14)))</f>
        <v/>
      </c>
      <c r="O122" s="190">
        <f>IF(OR(O94=0,14&lt;='01_Вводные'!$B$297),0,O94*IF('01_Вводные'!$B$239="Да",MeanMinAge14+O204*SUMIF(ThresholdAge14,"&lt;"&amp;O204,WeightedRevAge14)-SUMIF(ThresholdAge14,"&lt;"&amp;O204,WeightedMinAge14),MAX(CapacityAge14*'01_Вводные'!$B$218*O204,MeanMinAge14)))</f>
        <v/>
      </c>
      <c r="P122" s="190">
        <f>IF(OR(P94=0,14&lt;='01_Вводные'!$B$297),0,P94*IF('01_Вводные'!$B$239="Да",MeanMinAge14+P204*SUMIF(ThresholdAge14,"&lt;"&amp;P204,WeightedRevAge14)-SUMIF(ThresholdAge14,"&lt;"&amp;P204,WeightedMinAge14),MAX(CapacityAge14*'01_Вводные'!$B$218*P204,MeanMinAge14)))</f>
        <v/>
      </c>
      <c r="Q122" s="190">
        <f>IF(OR(Q94=0,14&lt;='01_Вводные'!$B$297),0,Q94*IF('01_Вводные'!$B$239="Да",MeanMinAge14+Q204*SUMIF(ThresholdAge14,"&lt;"&amp;Q204,WeightedRevAge14)-SUMIF(ThresholdAge14,"&lt;"&amp;Q204,WeightedMinAge14),MAX(CapacityAge14*'01_Вводные'!$B$218*Q204,MeanMinAge14)))</f>
        <v/>
      </c>
      <c r="R122" s="190">
        <f>IF(OR(R94=0,14&lt;='01_Вводные'!$B$297),0,R94*IF('01_Вводные'!$B$239="Да",MeanMinAge14+R204*SUMIF(ThresholdAge14,"&lt;"&amp;R204,WeightedRevAge14)-SUMIF(ThresholdAge14,"&lt;"&amp;R204,WeightedMinAge14),MAX(CapacityAge14*'01_Вводные'!$B$218*R204,MeanMinAge14)))</f>
        <v/>
      </c>
      <c r="S122" s="190">
        <f>IF(OR(S94=0,14&lt;='01_Вводные'!$B$297),0,S94*IF('01_Вводные'!$B$239="Да",MeanMinAge14+S204*SUMIF(ThresholdAge14,"&lt;"&amp;S204,WeightedRevAge14)-SUMIF(ThresholdAge14,"&lt;"&amp;S204,WeightedMinAge14),MAX(CapacityAge14*'01_Вводные'!$B$218*S204,MeanMinAge14)))</f>
        <v/>
      </c>
      <c r="T122" s="190">
        <f>IF(OR(T94=0,14&lt;='01_Вводные'!$B$297),0,T94*IF('01_Вводные'!$B$239="Да",MeanMinAge14+T204*SUMIF(ThresholdAge14,"&lt;"&amp;T204,WeightedRevAge14)-SUMIF(ThresholdAge14,"&lt;"&amp;T204,WeightedMinAge14),MAX(CapacityAge14*'01_Вводные'!$B$218*T204,MeanMinAge14)))</f>
        <v/>
      </c>
      <c r="U122" s="190">
        <f>IF(OR(U94=0,14&lt;='01_Вводные'!$B$297),0,U94*IF('01_Вводные'!$B$239="Да",MeanMinAge14+U204*SUMIF(ThresholdAge14,"&lt;"&amp;U204,WeightedRevAge14)-SUMIF(ThresholdAge14,"&lt;"&amp;U204,WeightedMinAge14),MAX(CapacityAge14*'01_Вводные'!$B$218*U204,MeanMinAge14)))</f>
        <v/>
      </c>
      <c r="V122" s="190">
        <f>IF(OR(V94=0,14&lt;='01_Вводные'!$B$297),0,V94*IF('01_Вводные'!$B$239="Да",MeanMinAge14+V204*SUMIF(ThresholdAge14,"&lt;"&amp;V204,WeightedRevAge14)-SUMIF(ThresholdAge14,"&lt;"&amp;V204,WeightedMinAge14),MAX(CapacityAge14*'01_Вводные'!$B$218*V204,MeanMinAge14)))</f>
        <v/>
      </c>
      <c r="W122" s="190">
        <f>IF(OR(W94=0,14&lt;='01_Вводные'!$B$297),0,W94*IF('01_Вводные'!$B$239="Да",MeanMinAge14+W204*SUMIF(ThresholdAge14,"&lt;"&amp;W204,WeightedRevAge14)-SUMIF(ThresholdAge14,"&lt;"&amp;W204,WeightedMinAge14),MAX(CapacityAge14*'01_Вводные'!$B$218*W204,MeanMinAge14)))</f>
        <v/>
      </c>
      <c r="X122" s="190">
        <f>IF(OR(X94=0,14&lt;='01_Вводные'!$B$297),0,X94*IF('01_Вводные'!$B$239="Да",MeanMinAge14+X204*SUMIF(ThresholdAge14,"&lt;"&amp;X204,WeightedRevAge14)-SUMIF(ThresholdAge14,"&lt;"&amp;X204,WeightedMinAge14),MAX(CapacityAge14*'01_Вводные'!$B$218*X204,MeanMinAge14)))</f>
        <v/>
      </c>
      <c r="Y122" s="190">
        <f>IF(OR(Y94=0,14&lt;='01_Вводные'!$B$297),0,Y94*IF('01_Вводные'!$B$239="Да",MeanMinAge14+Y204*SUMIF(ThresholdAge14,"&lt;"&amp;Y204,WeightedRevAge14)-SUMIF(ThresholdAge14,"&lt;"&amp;Y204,WeightedMinAge14),MAX(CapacityAge14*'01_Вводные'!$B$218*Y204,MeanMinAge14)))</f>
        <v/>
      </c>
      <c r="Z122" s="190">
        <f>IF(OR(Z94=0,14&lt;='01_Вводные'!$B$297),0,Z94*IF('01_Вводные'!$B$239="Да",MeanMinAge14+Z204*SUMIF(ThresholdAge14,"&lt;"&amp;Z204,WeightedRevAge14)-SUMIF(ThresholdAge14,"&lt;"&amp;Z204,WeightedMinAge14),MAX(CapacityAge14*'01_Вводные'!$B$218*Z204,MeanMinAge14)))</f>
        <v/>
      </c>
      <c r="AA122" s="190">
        <f>IF(OR(AA94=0,14&lt;='01_Вводные'!$B$297),0,AA94*IF('01_Вводные'!$B$239="Да",MeanMinAge14+AA204*SUMIF(ThresholdAge14,"&lt;"&amp;AA204,WeightedRevAge14)-SUMIF(ThresholdAge14,"&lt;"&amp;AA204,WeightedMinAge14),MAX(CapacityAge14*'01_Вводные'!$B$218*AA204,MeanMinAge14)))</f>
        <v/>
      </c>
      <c r="AB122" s="190">
        <f>IF(OR(AB94=0,14&lt;='01_Вводные'!$B$297),0,AB94*IF('01_Вводные'!$B$239="Да",MeanMinAge14+AB204*SUMIF(ThresholdAge14,"&lt;"&amp;AB204,WeightedRevAge14)-SUMIF(ThresholdAge14,"&lt;"&amp;AB204,WeightedMinAge14),MAX(CapacityAge14*'01_Вводные'!$B$218*AB204,MeanMinAge14)))</f>
        <v/>
      </c>
      <c r="AC122" s="190">
        <f>IF(OR(AC94=0,14&lt;='01_Вводные'!$B$297),0,AC94*IF('01_Вводные'!$B$239="Да",MeanMinAge14+AC204*SUMIF(ThresholdAge14,"&lt;"&amp;AC204,WeightedRevAge14)-SUMIF(ThresholdAge14,"&lt;"&amp;AC204,WeightedMinAge14),MAX(CapacityAge14*'01_Вводные'!$B$218*AC204,MeanMinAge14)))</f>
        <v/>
      </c>
      <c r="AD122" s="190">
        <f>IF(OR(AD94=0,14&lt;='01_Вводные'!$B$297),0,AD94*IF('01_Вводные'!$B$239="Да",MeanMinAge14+AD204*SUMIF(ThresholdAge14,"&lt;"&amp;AD204,WeightedRevAge14)-SUMIF(ThresholdAge14,"&lt;"&amp;AD204,WeightedMinAge14),MAX(CapacityAge14*'01_Вводные'!$B$218*AD204,MeanMinAge14)))</f>
        <v/>
      </c>
      <c r="AE122" s="190">
        <f>IF(OR(AE94=0,14&lt;='01_Вводные'!$B$297),0,AE94*IF('01_Вводные'!$B$239="Да",MeanMinAge14+AE204*SUMIF(ThresholdAge14,"&lt;"&amp;AE204,WeightedRevAge14)-SUMIF(ThresholdAge14,"&lt;"&amp;AE204,WeightedMinAge14),MAX(CapacityAge14*'01_Вводные'!$B$218*AE204,MeanMinAge14)))</f>
        <v/>
      </c>
      <c r="AF122" s="190">
        <f>IF(OR(AF94=0,14&lt;='01_Вводные'!$B$297),0,AF94*IF('01_Вводные'!$B$239="Да",MeanMinAge14+AF204*SUMIF(ThresholdAge14,"&lt;"&amp;AF204,WeightedRevAge14)-SUMIF(ThresholdAge14,"&lt;"&amp;AF204,WeightedMinAge14),MAX(CapacityAge14*'01_Вводные'!$B$218*AF204,MeanMinAge14)))</f>
        <v/>
      </c>
      <c r="AG122" s="190">
        <f>IF(OR(AG94=0,14&lt;='01_Вводные'!$B$297),0,AG94*IF('01_Вводные'!$B$239="Да",MeanMinAge14+AG204*SUMIF(ThresholdAge14,"&lt;"&amp;AG204,WeightedRevAge14)-SUMIF(ThresholdAge14,"&lt;"&amp;AG204,WeightedMinAge14),MAX(CapacityAge14*'01_Вводные'!$B$218*AG204,MeanMinAge14)))</f>
        <v/>
      </c>
      <c r="AH122" s="190">
        <f>IF(OR(AH94=0,14&lt;='01_Вводные'!$B$297),0,AH94*IF('01_Вводные'!$B$239="Да",MeanMinAge14+AH204*SUMIF(ThresholdAge14,"&lt;"&amp;AH204,WeightedRevAge14)-SUMIF(ThresholdAge14,"&lt;"&amp;AH204,WeightedMinAge14),MAX(CapacityAge14*'01_Вводные'!$B$218*AH204,MeanMinAge14)))</f>
        <v/>
      </c>
      <c r="AI122" s="190">
        <f>IF(OR(AI94=0,14&lt;='01_Вводные'!$B$297),0,AI94*IF('01_Вводные'!$B$239="Да",MeanMinAge14+AI204*SUMIF(ThresholdAge14,"&lt;"&amp;AI204,WeightedRevAge14)-SUMIF(ThresholdAge14,"&lt;"&amp;AI204,WeightedMinAge14),MAX(CapacityAge14*'01_Вводные'!$B$218*AI204,MeanMinAge14)))</f>
        <v/>
      </c>
      <c r="AJ122" s="190">
        <f>IF(OR(AJ94=0,14&lt;='01_Вводные'!$B$297),0,AJ94*IF('01_Вводные'!$B$239="Да",MeanMinAge14+AJ204*SUMIF(ThresholdAge14,"&lt;"&amp;AJ204,WeightedRevAge14)-SUMIF(ThresholdAge14,"&lt;"&amp;AJ204,WeightedMinAge14),MAX(CapacityAge14*'01_Вводные'!$B$218*AJ204,MeanMinAge14)))</f>
        <v/>
      </c>
      <c r="AK122" s="190">
        <f>IF(OR(AK94=0,14&lt;='01_Вводные'!$B$297),0,AK94*IF('01_Вводные'!$B$239="Да",MeanMinAge14+AK204*SUMIF(ThresholdAge14,"&lt;"&amp;AK204,WeightedRevAge14)-SUMIF(ThresholdAge14,"&lt;"&amp;AK204,WeightedMinAge14),MAX(CapacityAge14*'01_Вводные'!$B$218*AK204,MeanMinAge14)))</f>
        <v/>
      </c>
      <c r="AL122" s="190">
        <f>IF(OR(AL94=0,14&lt;='01_Вводные'!$B$297),0,AL94*IF('01_Вводные'!$B$239="Да",MeanMinAge14+AL204*SUMIF(ThresholdAge14,"&lt;"&amp;AL204,WeightedRevAge14)-SUMIF(ThresholdAge14,"&lt;"&amp;AL204,WeightedMinAge14),MAX(CapacityAge14*'01_Вводные'!$B$218*AL204,MeanMinAge14)))</f>
        <v/>
      </c>
      <c r="AM122" s="190">
        <f>IF(OR(AM94=0,14&lt;='01_Вводные'!$B$297),0,AM94*IF('01_Вводные'!$B$239="Да",MeanMinAge14+AM204*SUMIF(ThresholdAge14,"&lt;"&amp;AM204,WeightedRevAge14)-SUMIF(ThresholdAge14,"&lt;"&amp;AM204,WeightedMinAge14),MAX(CapacityAge14*'01_Вводные'!$B$218*AM204,MeanMinAge14)))</f>
        <v/>
      </c>
      <c r="AN122" s="190">
        <f>IF(OR(AN94=0,14&lt;='01_Вводные'!$B$297),0,AN94*IF('01_Вводные'!$B$239="Да",MeanMinAge14+AN204*SUMIF(ThresholdAge14,"&lt;"&amp;AN204,WeightedRevAge14)-SUMIF(ThresholdAge14,"&lt;"&amp;AN204,WeightedMinAge14),MAX(CapacityAge14*'01_Вводные'!$B$218*AN204,MeanMinAge14)))</f>
        <v/>
      </c>
      <c r="AO122" s="190">
        <f>IF(OR(AO94=0,14&lt;='01_Вводные'!$B$297),0,AO94*IF('01_Вводные'!$B$239="Да",MeanMinAge14+AO204*SUMIF(ThresholdAge14,"&lt;"&amp;AO204,WeightedRevAge14)-SUMIF(ThresholdAge14,"&lt;"&amp;AO204,WeightedMinAge14),MAX(CapacityAge14*'01_Вводные'!$B$218*AO204,MeanMinAge14)))</f>
        <v/>
      </c>
      <c r="AP122" s="190">
        <f>IF(OR(AP94=0,14&lt;='01_Вводные'!$B$297),0,AP94*IF('01_Вводные'!$B$239="Да",MeanMinAge14+AP204*SUMIF(ThresholdAge14,"&lt;"&amp;AP204,WeightedRevAge14)-SUMIF(ThresholdAge14,"&lt;"&amp;AP204,WeightedMinAge14),MAX(CapacityAge14*'01_Вводные'!$B$218*AP204,MeanMinAge14)))</f>
        <v/>
      </c>
      <c r="AQ122" s="190">
        <f>IF(OR(AQ94=0,14&lt;='01_Вводные'!$B$297),0,AQ94*IF('01_Вводные'!$B$239="Да",MeanMinAge14+AQ204*SUMIF(ThresholdAge14,"&lt;"&amp;AQ204,WeightedRevAge14)-SUMIF(ThresholdAge14,"&lt;"&amp;AQ204,WeightedMinAge14),MAX(CapacityAge14*'01_Вводные'!$B$218*AQ204,MeanMinAge14)))</f>
        <v/>
      </c>
      <c r="AR122" s="190">
        <f>IF(OR(AR94=0,14&lt;='01_Вводные'!$B$297),0,AR94*IF('01_Вводные'!$B$239="Да",MeanMinAge14+AR204*SUMIF(ThresholdAge14,"&lt;"&amp;AR204,WeightedRevAge14)-SUMIF(ThresholdAge14,"&lt;"&amp;AR204,WeightedMinAge14),MAX(CapacityAge14*'01_Вводные'!$B$218*AR204,MeanMinAge14)))</f>
        <v/>
      </c>
      <c r="AS122" s="190">
        <f>IF(OR(AS94=0,14&lt;='01_Вводные'!$B$297),0,AS94*IF('01_Вводные'!$B$239="Да",MeanMinAge14+AS204*SUMIF(ThresholdAge14,"&lt;"&amp;AS204,WeightedRevAge14)-SUMIF(ThresholdAge14,"&lt;"&amp;AS204,WeightedMinAge14),MAX(CapacityAge14*'01_Вводные'!$B$218*AS204,MeanMinAge14)))</f>
        <v/>
      </c>
      <c r="AT122" s="190">
        <f>IF(OR(AT94=0,14&lt;='01_Вводные'!$B$297),0,AT94*IF('01_Вводные'!$B$239="Да",MeanMinAge14+AT204*SUMIF(ThresholdAge14,"&lt;"&amp;AT204,WeightedRevAge14)-SUMIF(ThresholdAge14,"&lt;"&amp;AT204,WeightedMinAge14),MAX(CapacityAge14*'01_Вводные'!$B$218*AT204,MeanMinAge14)))</f>
        <v/>
      </c>
      <c r="AU122" s="190">
        <f>IF(OR(AU94=0,14&lt;='01_Вводные'!$B$297),0,AU94*IF('01_Вводные'!$B$239="Да",MeanMinAge14+AU204*SUMIF(ThresholdAge14,"&lt;"&amp;AU204,WeightedRevAge14)-SUMIF(ThresholdAge14,"&lt;"&amp;AU204,WeightedMinAge14),MAX(CapacityAge14*'01_Вводные'!$B$218*AU204,MeanMinAge14)))</f>
        <v/>
      </c>
      <c r="AV122" s="190">
        <f>IF(OR(AV94=0,14&lt;='01_Вводные'!$B$297),0,AV94*IF('01_Вводные'!$B$239="Да",MeanMinAge14+AV204*SUMIF(ThresholdAge14,"&lt;"&amp;AV204,WeightedRevAge14)-SUMIF(ThresholdAge14,"&lt;"&amp;AV204,WeightedMinAge14),MAX(CapacityAge14*'01_Вводные'!$B$218*AV204,MeanMinAge14)))</f>
        <v/>
      </c>
      <c r="AW122" s="190">
        <f>IF(OR(AW94=0,14&lt;='01_Вводные'!$B$297),0,AW94*IF('01_Вводные'!$B$239="Да",MeanMinAge14+AW204*SUMIF(ThresholdAge14,"&lt;"&amp;AW204,WeightedRevAge14)-SUMIF(ThresholdAge14,"&lt;"&amp;AW204,WeightedMinAge14),MAX(CapacityAge14*'01_Вводные'!$B$218*AW204,MeanMinAge14)))</f>
        <v/>
      </c>
      <c r="AX122" s="190">
        <f>IF(OR(AX94=0,14&lt;='01_Вводные'!$B$297),0,AX94*IF('01_Вводные'!$B$239="Да",MeanMinAge14+AX204*SUMIF(ThresholdAge14,"&lt;"&amp;AX204,WeightedRevAge14)-SUMIF(ThresholdAge14,"&lt;"&amp;AX204,WeightedMinAge14),MAX(CapacityAge14*'01_Вводные'!$B$218*AX204,MeanMinAge14)))</f>
        <v/>
      </c>
      <c r="AY122" s="190">
        <f>IF(OR(AY94=0,14&lt;='01_Вводные'!$B$297),0,AY94*IF('01_Вводные'!$B$239="Да",MeanMinAge14+AY204*SUMIF(ThresholdAge14,"&lt;"&amp;AY204,WeightedRevAge14)-SUMIF(ThresholdAge14,"&lt;"&amp;AY204,WeightedMinAge14),MAX(CapacityAge14*'01_Вводные'!$B$218*AY204,MeanMinAge14)))</f>
        <v/>
      </c>
      <c r="AZ122" s="190">
        <f>IF(OR(AZ94=0,14&lt;='01_Вводные'!$B$297),0,AZ94*IF('01_Вводные'!$B$239="Да",MeanMinAge14+AZ204*SUMIF(ThresholdAge14,"&lt;"&amp;AZ204,WeightedRevAge14)-SUMIF(ThresholdAge14,"&lt;"&amp;AZ204,WeightedMinAge14),MAX(CapacityAge14*'01_Вводные'!$B$218*AZ204,MeanMinAge14)))</f>
        <v/>
      </c>
      <c r="BA122" s="190">
        <f>IF(OR(BA94=0,14&lt;='01_Вводные'!$B$297),0,BA94*IF('01_Вводные'!$B$239="Да",MeanMinAge14+BA204*SUMIF(ThresholdAge14,"&lt;"&amp;BA204,WeightedRevAge14)-SUMIF(ThresholdAge14,"&lt;"&amp;BA204,WeightedMinAge14),MAX(CapacityAge14*'01_Вводные'!$B$218*BA204,MeanMinAge14)))</f>
        <v/>
      </c>
      <c r="BB122" s="190">
        <f>IF(OR(BB94=0,14&lt;='01_Вводные'!$B$297),0,BB94*IF('01_Вводные'!$B$239="Да",MeanMinAge14+BB204*SUMIF(ThresholdAge14,"&lt;"&amp;BB204,WeightedRevAge14)-SUMIF(ThresholdAge14,"&lt;"&amp;BB204,WeightedMinAge14),MAX(CapacityAge14*'01_Вводные'!$B$218*BB204,MeanMinAge14)))</f>
        <v/>
      </c>
      <c r="BC122" s="190">
        <f>IF(OR(BC94=0,14&lt;='01_Вводные'!$B$297),0,BC94*IF('01_Вводные'!$B$239="Да",MeanMinAge14+BC204*SUMIF(ThresholdAge14,"&lt;"&amp;BC204,WeightedRevAge14)-SUMIF(ThresholdAge14,"&lt;"&amp;BC204,WeightedMinAge14),MAX(CapacityAge14*'01_Вводные'!$B$218*BC204,MeanMinAge14)))</f>
        <v/>
      </c>
      <c r="BD122" s="190">
        <f>IF(OR(BD94=0,14&lt;='01_Вводные'!$B$297),0,BD94*IF('01_Вводные'!$B$239="Да",MeanMinAge14+BD204*SUMIF(ThresholdAge14,"&lt;"&amp;BD204,WeightedRevAge14)-SUMIF(ThresholdAge14,"&lt;"&amp;BD204,WeightedMinAge14),MAX(CapacityAge14*'01_Вводные'!$B$218*BD204,MeanMinAge14)))</f>
        <v/>
      </c>
      <c r="BE122" s="190">
        <f>IF(OR(BE94=0,14&lt;='01_Вводные'!$B$297),0,BE94*IF('01_Вводные'!$B$239="Да",MeanMinAge14+BE204*SUMIF(ThresholdAge14,"&lt;"&amp;BE204,WeightedRevAge14)-SUMIF(ThresholdAge14,"&lt;"&amp;BE204,WeightedMinAge14),MAX(CapacityAge14*'01_Вводные'!$B$218*BE204,MeanMinAge14)))</f>
        <v/>
      </c>
      <c r="BF122" s="190">
        <f>IF(OR(BF94=0,14&lt;='01_Вводные'!$B$297),0,BF94*IF('01_Вводные'!$B$239="Да",MeanMinAge14+BF204*SUMIF(ThresholdAge14,"&lt;"&amp;BF204,WeightedRevAge14)-SUMIF(ThresholdAge14,"&lt;"&amp;BF204,WeightedMinAge14),MAX(CapacityAge14*'01_Вводные'!$B$218*BF204,MeanMinAge14)))</f>
        <v/>
      </c>
      <c r="BG122" s="190">
        <f>IF(OR(BG94=0,14&lt;='01_Вводные'!$B$297),0,BG94*IF('01_Вводные'!$B$239="Да",MeanMinAge14+BG204*SUMIF(ThresholdAge14,"&lt;"&amp;BG204,WeightedRevAge14)-SUMIF(ThresholdAge14,"&lt;"&amp;BG204,WeightedMinAge14),MAX(CapacityAge14*'01_Вводные'!$B$218*BG204,MeanMinAge14)))</f>
        <v/>
      </c>
      <c r="BH122" s="190">
        <f>IF(OR(BH94=0,14&lt;='01_Вводные'!$B$297),0,BH94*IF('01_Вводные'!$B$239="Да",MeanMinAge14+BH204*SUMIF(ThresholdAge14,"&lt;"&amp;BH204,WeightedRevAge14)-SUMIF(ThresholdAge14,"&lt;"&amp;BH204,WeightedMinAge14),MAX(CapacityAge14*'01_Вводные'!$B$218*BH204,MeanMinAge14)))</f>
        <v/>
      </c>
      <c r="BI122" s="190">
        <f>IF(OR(BI94=0,14&lt;='01_Вводные'!$B$297),0,BI94*IF('01_Вводные'!$B$239="Да",MeanMinAge14+BI204*SUMIF(ThresholdAge14,"&lt;"&amp;BI204,WeightedRevAge14)-SUMIF(ThresholdAge14,"&lt;"&amp;BI204,WeightedMinAge14),MAX(CapacityAge14*'01_Вводные'!$B$218*BI204,MeanMinAge14)))</f>
        <v/>
      </c>
      <c r="BJ122" s="190">
        <f>IF(OR(BJ94=0,14&lt;='01_Вводные'!$B$297),0,BJ94*IF('01_Вводные'!$B$239="Да",MeanMinAge14+BJ204*SUMIF(ThresholdAge14,"&lt;"&amp;BJ204,WeightedRevAge14)-SUMIF(ThresholdAge14,"&lt;"&amp;BJ204,WeightedMinAge14),MAX(CapacityAge14*'01_Вводные'!$B$218*BJ204,MeanMinAge14)))</f>
        <v/>
      </c>
      <c r="BK122" s="190">
        <f>IF(OR(BK94=0,14&lt;='01_Вводные'!$B$297),0,BK94*IF('01_Вводные'!$B$239="Да",MeanMinAge14+BK204*SUMIF(ThresholdAge14,"&lt;"&amp;BK204,WeightedRevAge14)-SUMIF(ThresholdAge14,"&lt;"&amp;BK204,WeightedMinAge14),MAX(CapacityAge14*'01_Вводные'!$B$218*BK204,MeanMinAge14)))</f>
        <v/>
      </c>
      <c r="BL122" s="190">
        <f>IF(OR(BL94=0,14&lt;='01_Вводные'!$B$297),0,BL94*IF('01_Вводные'!$B$239="Да",MeanMinAge14+BL204*SUMIF(ThresholdAge14,"&lt;"&amp;BL204,WeightedRevAge14)-SUMIF(ThresholdAge14,"&lt;"&amp;BL204,WeightedMinAge14),MAX(CapacityAge14*'01_Вводные'!$B$218*BL204,MeanMinAge14)))</f>
        <v/>
      </c>
      <c r="BM122" s="190">
        <f>IF(OR(BM94=0,14&lt;='01_Вводные'!$B$297),0,BM94*IF('01_Вводные'!$B$239="Да",MeanMinAge14+BM204*SUMIF(ThresholdAge14,"&lt;"&amp;BM204,WeightedRevAge14)-SUMIF(ThresholdAge14,"&lt;"&amp;BM204,WeightedMinAge14),MAX(CapacityAge14*'01_Вводные'!$B$218*BM204,MeanMinAge14)))</f>
        <v/>
      </c>
      <c r="BN122" s="190">
        <f>IF(OR(BN94=0,14&lt;='01_Вводные'!$B$297),0,BN94*IF('01_Вводные'!$B$239="Да",MeanMinAge14+BN204*SUMIF(ThresholdAge14,"&lt;"&amp;BN204,WeightedRevAge14)-SUMIF(ThresholdAge14,"&lt;"&amp;BN204,WeightedMinAge14),MAX(CapacityAge14*'01_Вводные'!$B$218*BN204,MeanMinAge14)))</f>
        <v/>
      </c>
      <c r="BO122" s="190">
        <f>IF(OR(BO94=0,14&lt;='01_Вводные'!$B$297),0,BO94*IF('01_Вводные'!$B$239="Да",MeanMinAge14+BO204*SUMIF(ThresholdAge14,"&lt;"&amp;BO204,WeightedRevAge14)-SUMIF(ThresholdAge14,"&lt;"&amp;BO204,WeightedMinAge14),MAX(CapacityAge14*'01_Вводные'!$B$218*BO204,MeanMinAge14)))</f>
        <v/>
      </c>
    </row>
    <row r="123" hidden="1" outlineLevel="1">
      <c r="A123" t="inlineStr">
        <is>
          <t>15 мес.</t>
        </is>
      </c>
      <c r="B123" s="190">
        <f>IF(OR(B95=0,15&lt;='01_Вводные'!$B$297),0,B95*IF('01_Вводные'!$B$239="Да",MeanMinAge15+B204*SUMIF(ThresholdAge15,"&lt;"&amp;B204,WeightedRevAge15)-SUMIF(ThresholdAge15,"&lt;"&amp;B204,WeightedMinAge15),MAX(CapacityAge15*'01_Вводные'!$B$218*B204,MeanMinAge15)))</f>
        <v/>
      </c>
      <c r="C123" s="190">
        <f>IF(OR(C95=0,15&lt;='01_Вводные'!$B$297),0,C95*IF('01_Вводные'!$B$239="Да",MeanMinAge15+C204*SUMIF(ThresholdAge15,"&lt;"&amp;C204,WeightedRevAge15)-SUMIF(ThresholdAge15,"&lt;"&amp;C204,WeightedMinAge15),MAX(CapacityAge15*'01_Вводные'!$B$218*C204,MeanMinAge15)))</f>
        <v/>
      </c>
      <c r="D123" s="190">
        <f>IF(OR(D95=0,15&lt;='01_Вводные'!$B$297),0,D95*IF('01_Вводные'!$B$239="Да",MeanMinAge15+D204*SUMIF(ThresholdAge15,"&lt;"&amp;D204,WeightedRevAge15)-SUMIF(ThresholdAge15,"&lt;"&amp;D204,WeightedMinAge15),MAX(CapacityAge15*'01_Вводные'!$B$218*D204,MeanMinAge15)))</f>
        <v/>
      </c>
      <c r="E123" s="190">
        <f>IF(OR(E95=0,15&lt;='01_Вводные'!$B$297),0,E95*IF('01_Вводные'!$B$239="Да",MeanMinAge15+E204*SUMIF(ThresholdAge15,"&lt;"&amp;E204,WeightedRevAge15)-SUMIF(ThresholdAge15,"&lt;"&amp;E204,WeightedMinAge15),MAX(CapacityAge15*'01_Вводные'!$B$218*E204,MeanMinAge15)))</f>
        <v/>
      </c>
      <c r="F123" s="190">
        <f>IF(OR(F95=0,15&lt;='01_Вводные'!$B$297),0,F95*IF('01_Вводные'!$B$239="Да",MeanMinAge15+F204*SUMIF(ThresholdAge15,"&lt;"&amp;F204,WeightedRevAge15)-SUMIF(ThresholdAge15,"&lt;"&amp;F204,WeightedMinAge15),MAX(CapacityAge15*'01_Вводные'!$B$218*F204,MeanMinAge15)))</f>
        <v/>
      </c>
      <c r="G123" s="190">
        <f>IF(OR(G95=0,15&lt;='01_Вводные'!$B$297),0,G95*IF('01_Вводные'!$B$239="Да",MeanMinAge15+G204*SUMIF(ThresholdAge15,"&lt;"&amp;G204,WeightedRevAge15)-SUMIF(ThresholdAge15,"&lt;"&amp;G204,WeightedMinAge15),MAX(CapacityAge15*'01_Вводные'!$B$218*G204,MeanMinAge15)))</f>
        <v/>
      </c>
      <c r="H123" s="190">
        <f>IF(OR(H95=0,15&lt;='01_Вводные'!$B$297),0,H95*IF('01_Вводные'!$B$239="Да",MeanMinAge15+H204*SUMIF(ThresholdAge15,"&lt;"&amp;H204,WeightedRevAge15)-SUMIF(ThresholdAge15,"&lt;"&amp;H204,WeightedMinAge15),MAX(CapacityAge15*'01_Вводные'!$B$218*H204,MeanMinAge15)))</f>
        <v/>
      </c>
      <c r="I123" s="190">
        <f>IF(OR(I95=0,15&lt;='01_Вводные'!$B$297),0,I95*IF('01_Вводные'!$B$239="Да",MeanMinAge15+I204*SUMIF(ThresholdAge15,"&lt;"&amp;I204,WeightedRevAge15)-SUMIF(ThresholdAge15,"&lt;"&amp;I204,WeightedMinAge15),MAX(CapacityAge15*'01_Вводные'!$B$218*I204,MeanMinAge15)))</f>
        <v/>
      </c>
      <c r="J123" s="190">
        <f>IF(OR(J95=0,15&lt;='01_Вводные'!$B$297),0,J95*IF('01_Вводные'!$B$239="Да",MeanMinAge15+J204*SUMIF(ThresholdAge15,"&lt;"&amp;J204,WeightedRevAge15)-SUMIF(ThresholdAge15,"&lt;"&amp;J204,WeightedMinAge15),MAX(CapacityAge15*'01_Вводные'!$B$218*J204,MeanMinAge15)))</f>
        <v/>
      </c>
      <c r="K123" s="190">
        <f>IF(OR(K95=0,15&lt;='01_Вводные'!$B$297),0,K95*IF('01_Вводные'!$B$239="Да",MeanMinAge15+K204*SUMIF(ThresholdAge15,"&lt;"&amp;K204,WeightedRevAge15)-SUMIF(ThresholdAge15,"&lt;"&amp;K204,WeightedMinAge15),MAX(CapacityAge15*'01_Вводные'!$B$218*K204,MeanMinAge15)))</f>
        <v/>
      </c>
      <c r="L123" s="190">
        <f>IF(OR(L95=0,15&lt;='01_Вводные'!$B$297),0,L95*IF('01_Вводные'!$B$239="Да",MeanMinAge15+L204*SUMIF(ThresholdAge15,"&lt;"&amp;L204,WeightedRevAge15)-SUMIF(ThresholdAge15,"&lt;"&amp;L204,WeightedMinAge15),MAX(CapacityAge15*'01_Вводные'!$B$218*L204,MeanMinAge15)))</f>
        <v/>
      </c>
      <c r="M123" s="190">
        <f>IF(OR(M95=0,15&lt;='01_Вводные'!$B$297),0,M95*IF('01_Вводные'!$B$239="Да",MeanMinAge15+M204*SUMIF(ThresholdAge15,"&lt;"&amp;M204,WeightedRevAge15)-SUMIF(ThresholdAge15,"&lt;"&amp;M204,WeightedMinAge15),MAX(CapacityAge15*'01_Вводные'!$B$218*M204,MeanMinAge15)))</f>
        <v/>
      </c>
      <c r="N123" s="190">
        <f>IF(OR(N95=0,15&lt;='01_Вводные'!$B$297),0,N95*IF('01_Вводные'!$B$239="Да",MeanMinAge15+N204*SUMIF(ThresholdAge15,"&lt;"&amp;N204,WeightedRevAge15)-SUMIF(ThresholdAge15,"&lt;"&amp;N204,WeightedMinAge15),MAX(CapacityAge15*'01_Вводные'!$B$218*N204,MeanMinAge15)))</f>
        <v/>
      </c>
      <c r="O123" s="190">
        <f>IF(OR(O95=0,15&lt;='01_Вводные'!$B$297),0,O95*IF('01_Вводные'!$B$239="Да",MeanMinAge15+O204*SUMIF(ThresholdAge15,"&lt;"&amp;O204,WeightedRevAge15)-SUMIF(ThresholdAge15,"&lt;"&amp;O204,WeightedMinAge15),MAX(CapacityAge15*'01_Вводные'!$B$218*O204,MeanMinAge15)))</f>
        <v/>
      </c>
      <c r="P123" s="190">
        <f>IF(OR(P95=0,15&lt;='01_Вводные'!$B$297),0,P95*IF('01_Вводные'!$B$239="Да",MeanMinAge15+P204*SUMIF(ThresholdAge15,"&lt;"&amp;P204,WeightedRevAge15)-SUMIF(ThresholdAge15,"&lt;"&amp;P204,WeightedMinAge15),MAX(CapacityAge15*'01_Вводные'!$B$218*P204,MeanMinAge15)))</f>
        <v/>
      </c>
      <c r="Q123" s="190">
        <f>IF(OR(Q95=0,15&lt;='01_Вводные'!$B$297),0,Q95*IF('01_Вводные'!$B$239="Да",MeanMinAge15+Q204*SUMIF(ThresholdAge15,"&lt;"&amp;Q204,WeightedRevAge15)-SUMIF(ThresholdAge15,"&lt;"&amp;Q204,WeightedMinAge15),MAX(CapacityAge15*'01_Вводные'!$B$218*Q204,MeanMinAge15)))</f>
        <v/>
      </c>
      <c r="R123" s="190">
        <f>IF(OR(R95=0,15&lt;='01_Вводные'!$B$297),0,R95*IF('01_Вводные'!$B$239="Да",MeanMinAge15+R204*SUMIF(ThresholdAge15,"&lt;"&amp;R204,WeightedRevAge15)-SUMIF(ThresholdAge15,"&lt;"&amp;R204,WeightedMinAge15),MAX(CapacityAge15*'01_Вводные'!$B$218*R204,MeanMinAge15)))</f>
        <v/>
      </c>
      <c r="S123" s="190">
        <f>IF(OR(S95=0,15&lt;='01_Вводные'!$B$297),0,S95*IF('01_Вводные'!$B$239="Да",MeanMinAge15+S204*SUMIF(ThresholdAge15,"&lt;"&amp;S204,WeightedRevAge15)-SUMIF(ThresholdAge15,"&lt;"&amp;S204,WeightedMinAge15),MAX(CapacityAge15*'01_Вводные'!$B$218*S204,MeanMinAge15)))</f>
        <v/>
      </c>
      <c r="T123" s="190">
        <f>IF(OR(T95=0,15&lt;='01_Вводные'!$B$297),0,T95*IF('01_Вводные'!$B$239="Да",MeanMinAge15+T204*SUMIF(ThresholdAge15,"&lt;"&amp;T204,WeightedRevAge15)-SUMIF(ThresholdAge15,"&lt;"&amp;T204,WeightedMinAge15),MAX(CapacityAge15*'01_Вводные'!$B$218*T204,MeanMinAge15)))</f>
        <v/>
      </c>
      <c r="U123" s="190">
        <f>IF(OR(U95=0,15&lt;='01_Вводные'!$B$297),0,U95*IF('01_Вводные'!$B$239="Да",MeanMinAge15+U204*SUMIF(ThresholdAge15,"&lt;"&amp;U204,WeightedRevAge15)-SUMIF(ThresholdAge15,"&lt;"&amp;U204,WeightedMinAge15),MAX(CapacityAge15*'01_Вводные'!$B$218*U204,MeanMinAge15)))</f>
        <v/>
      </c>
      <c r="V123" s="190">
        <f>IF(OR(V95=0,15&lt;='01_Вводные'!$B$297),0,V95*IF('01_Вводные'!$B$239="Да",MeanMinAge15+V204*SUMIF(ThresholdAge15,"&lt;"&amp;V204,WeightedRevAge15)-SUMIF(ThresholdAge15,"&lt;"&amp;V204,WeightedMinAge15),MAX(CapacityAge15*'01_Вводные'!$B$218*V204,MeanMinAge15)))</f>
        <v/>
      </c>
      <c r="W123" s="190">
        <f>IF(OR(W95=0,15&lt;='01_Вводные'!$B$297),0,W95*IF('01_Вводные'!$B$239="Да",MeanMinAge15+W204*SUMIF(ThresholdAge15,"&lt;"&amp;W204,WeightedRevAge15)-SUMIF(ThresholdAge15,"&lt;"&amp;W204,WeightedMinAge15),MAX(CapacityAge15*'01_Вводные'!$B$218*W204,MeanMinAge15)))</f>
        <v/>
      </c>
      <c r="X123" s="190">
        <f>IF(OR(X95=0,15&lt;='01_Вводные'!$B$297),0,X95*IF('01_Вводные'!$B$239="Да",MeanMinAge15+X204*SUMIF(ThresholdAge15,"&lt;"&amp;X204,WeightedRevAge15)-SUMIF(ThresholdAge15,"&lt;"&amp;X204,WeightedMinAge15),MAX(CapacityAge15*'01_Вводные'!$B$218*X204,MeanMinAge15)))</f>
        <v/>
      </c>
      <c r="Y123" s="190">
        <f>IF(OR(Y95=0,15&lt;='01_Вводные'!$B$297),0,Y95*IF('01_Вводные'!$B$239="Да",MeanMinAge15+Y204*SUMIF(ThresholdAge15,"&lt;"&amp;Y204,WeightedRevAge15)-SUMIF(ThresholdAge15,"&lt;"&amp;Y204,WeightedMinAge15),MAX(CapacityAge15*'01_Вводные'!$B$218*Y204,MeanMinAge15)))</f>
        <v/>
      </c>
      <c r="Z123" s="190">
        <f>IF(OR(Z95=0,15&lt;='01_Вводные'!$B$297),0,Z95*IF('01_Вводные'!$B$239="Да",MeanMinAge15+Z204*SUMIF(ThresholdAge15,"&lt;"&amp;Z204,WeightedRevAge15)-SUMIF(ThresholdAge15,"&lt;"&amp;Z204,WeightedMinAge15),MAX(CapacityAge15*'01_Вводные'!$B$218*Z204,MeanMinAge15)))</f>
        <v/>
      </c>
      <c r="AA123" s="190">
        <f>IF(OR(AA95=0,15&lt;='01_Вводные'!$B$297),0,AA95*IF('01_Вводные'!$B$239="Да",MeanMinAge15+AA204*SUMIF(ThresholdAge15,"&lt;"&amp;AA204,WeightedRevAge15)-SUMIF(ThresholdAge15,"&lt;"&amp;AA204,WeightedMinAge15),MAX(CapacityAge15*'01_Вводные'!$B$218*AA204,MeanMinAge15)))</f>
        <v/>
      </c>
      <c r="AB123" s="190">
        <f>IF(OR(AB95=0,15&lt;='01_Вводные'!$B$297),0,AB95*IF('01_Вводные'!$B$239="Да",MeanMinAge15+AB204*SUMIF(ThresholdAge15,"&lt;"&amp;AB204,WeightedRevAge15)-SUMIF(ThresholdAge15,"&lt;"&amp;AB204,WeightedMinAge15),MAX(CapacityAge15*'01_Вводные'!$B$218*AB204,MeanMinAge15)))</f>
        <v/>
      </c>
      <c r="AC123" s="190">
        <f>IF(OR(AC95=0,15&lt;='01_Вводные'!$B$297),0,AC95*IF('01_Вводные'!$B$239="Да",MeanMinAge15+AC204*SUMIF(ThresholdAge15,"&lt;"&amp;AC204,WeightedRevAge15)-SUMIF(ThresholdAge15,"&lt;"&amp;AC204,WeightedMinAge15),MAX(CapacityAge15*'01_Вводные'!$B$218*AC204,MeanMinAge15)))</f>
        <v/>
      </c>
      <c r="AD123" s="190">
        <f>IF(OR(AD95=0,15&lt;='01_Вводные'!$B$297),0,AD95*IF('01_Вводные'!$B$239="Да",MeanMinAge15+AD204*SUMIF(ThresholdAge15,"&lt;"&amp;AD204,WeightedRevAge15)-SUMIF(ThresholdAge15,"&lt;"&amp;AD204,WeightedMinAge15),MAX(CapacityAge15*'01_Вводные'!$B$218*AD204,MeanMinAge15)))</f>
        <v/>
      </c>
      <c r="AE123" s="190">
        <f>IF(OR(AE95=0,15&lt;='01_Вводные'!$B$297),0,AE95*IF('01_Вводные'!$B$239="Да",MeanMinAge15+AE204*SUMIF(ThresholdAge15,"&lt;"&amp;AE204,WeightedRevAge15)-SUMIF(ThresholdAge15,"&lt;"&amp;AE204,WeightedMinAge15),MAX(CapacityAge15*'01_Вводные'!$B$218*AE204,MeanMinAge15)))</f>
        <v/>
      </c>
      <c r="AF123" s="190">
        <f>IF(OR(AF95=0,15&lt;='01_Вводные'!$B$297),0,AF95*IF('01_Вводные'!$B$239="Да",MeanMinAge15+AF204*SUMIF(ThresholdAge15,"&lt;"&amp;AF204,WeightedRevAge15)-SUMIF(ThresholdAge15,"&lt;"&amp;AF204,WeightedMinAge15),MAX(CapacityAge15*'01_Вводные'!$B$218*AF204,MeanMinAge15)))</f>
        <v/>
      </c>
      <c r="AG123" s="190">
        <f>IF(OR(AG95=0,15&lt;='01_Вводные'!$B$297),0,AG95*IF('01_Вводные'!$B$239="Да",MeanMinAge15+AG204*SUMIF(ThresholdAge15,"&lt;"&amp;AG204,WeightedRevAge15)-SUMIF(ThresholdAge15,"&lt;"&amp;AG204,WeightedMinAge15),MAX(CapacityAge15*'01_Вводные'!$B$218*AG204,MeanMinAge15)))</f>
        <v/>
      </c>
      <c r="AH123" s="190">
        <f>IF(OR(AH95=0,15&lt;='01_Вводные'!$B$297),0,AH95*IF('01_Вводные'!$B$239="Да",MeanMinAge15+AH204*SUMIF(ThresholdAge15,"&lt;"&amp;AH204,WeightedRevAge15)-SUMIF(ThresholdAge15,"&lt;"&amp;AH204,WeightedMinAge15),MAX(CapacityAge15*'01_Вводные'!$B$218*AH204,MeanMinAge15)))</f>
        <v/>
      </c>
      <c r="AI123" s="190">
        <f>IF(OR(AI95=0,15&lt;='01_Вводные'!$B$297),0,AI95*IF('01_Вводные'!$B$239="Да",MeanMinAge15+AI204*SUMIF(ThresholdAge15,"&lt;"&amp;AI204,WeightedRevAge15)-SUMIF(ThresholdAge15,"&lt;"&amp;AI204,WeightedMinAge15),MAX(CapacityAge15*'01_Вводные'!$B$218*AI204,MeanMinAge15)))</f>
        <v/>
      </c>
      <c r="AJ123" s="190">
        <f>IF(OR(AJ95=0,15&lt;='01_Вводные'!$B$297),0,AJ95*IF('01_Вводные'!$B$239="Да",MeanMinAge15+AJ204*SUMIF(ThresholdAge15,"&lt;"&amp;AJ204,WeightedRevAge15)-SUMIF(ThresholdAge15,"&lt;"&amp;AJ204,WeightedMinAge15),MAX(CapacityAge15*'01_Вводные'!$B$218*AJ204,MeanMinAge15)))</f>
        <v/>
      </c>
      <c r="AK123" s="190">
        <f>IF(OR(AK95=0,15&lt;='01_Вводные'!$B$297),0,AK95*IF('01_Вводные'!$B$239="Да",MeanMinAge15+AK204*SUMIF(ThresholdAge15,"&lt;"&amp;AK204,WeightedRevAge15)-SUMIF(ThresholdAge15,"&lt;"&amp;AK204,WeightedMinAge15),MAX(CapacityAge15*'01_Вводные'!$B$218*AK204,MeanMinAge15)))</f>
        <v/>
      </c>
      <c r="AL123" s="190">
        <f>IF(OR(AL95=0,15&lt;='01_Вводные'!$B$297),0,AL95*IF('01_Вводные'!$B$239="Да",MeanMinAge15+AL204*SUMIF(ThresholdAge15,"&lt;"&amp;AL204,WeightedRevAge15)-SUMIF(ThresholdAge15,"&lt;"&amp;AL204,WeightedMinAge15),MAX(CapacityAge15*'01_Вводные'!$B$218*AL204,MeanMinAge15)))</f>
        <v/>
      </c>
      <c r="AM123" s="190">
        <f>IF(OR(AM95=0,15&lt;='01_Вводные'!$B$297),0,AM95*IF('01_Вводные'!$B$239="Да",MeanMinAge15+AM204*SUMIF(ThresholdAge15,"&lt;"&amp;AM204,WeightedRevAge15)-SUMIF(ThresholdAge15,"&lt;"&amp;AM204,WeightedMinAge15),MAX(CapacityAge15*'01_Вводные'!$B$218*AM204,MeanMinAge15)))</f>
        <v/>
      </c>
      <c r="AN123" s="190">
        <f>IF(OR(AN95=0,15&lt;='01_Вводные'!$B$297),0,AN95*IF('01_Вводные'!$B$239="Да",MeanMinAge15+AN204*SUMIF(ThresholdAge15,"&lt;"&amp;AN204,WeightedRevAge15)-SUMIF(ThresholdAge15,"&lt;"&amp;AN204,WeightedMinAge15),MAX(CapacityAge15*'01_Вводные'!$B$218*AN204,MeanMinAge15)))</f>
        <v/>
      </c>
      <c r="AO123" s="190">
        <f>IF(OR(AO95=0,15&lt;='01_Вводные'!$B$297),0,AO95*IF('01_Вводные'!$B$239="Да",MeanMinAge15+AO204*SUMIF(ThresholdAge15,"&lt;"&amp;AO204,WeightedRevAge15)-SUMIF(ThresholdAge15,"&lt;"&amp;AO204,WeightedMinAge15),MAX(CapacityAge15*'01_Вводные'!$B$218*AO204,MeanMinAge15)))</f>
        <v/>
      </c>
      <c r="AP123" s="190">
        <f>IF(OR(AP95=0,15&lt;='01_Вводные'!$B$297),0,AP95*IF('01_Вводные'!$B$239="Да",MeanMinAge15+AP204*SUMIF(ThresholdAge15,"&lt;"&amp;AP204,WeightedRevAge15)-SUMIF(ThresholdAge15,"&lt;"&amp;AP204,WeightedMinAge15),MAX(CapacityAge15*'01_Вводные'!$B$218*AP204,MeanMinAge15)))</f>
        <v/>
      </c>
      <c r="AQ123" s="190">
        <f>IF(OR(AQ95=0,15&lt;='01_Вводные'!$B$297),0,AQ95*IF('01_Вводные'!$B$239="Да",MeanMinAge15+AQ204*SUMIF(ThresholdAge15,"&lt;"&amp;AQ204,WeightedRevAge15)-SUMIF(ThresholdAge15,"&lt;"&amp;AQ204,WeightedMinAge15),MAX(CapacityAge15*'01_Вводные'!$B$218*AQ204,MeanMinAge15)))</f>
        <v/>
      </c>
      <c r="AR123" s="190">
        <f>IF(OR(AR95=0,15&lt;='01_Вводные'!$B$297),0,AR95*IF('01_Вводные'!$B$239="Да",MeanMinAge15+AR204*SUMIF(ThresholdAge15,"&lt;"&amp;AR204,WeightedRevAge15)-SUMIF(ThresholdAge15,"&lt;"&amp;AR204,WeightedMinAge15),MAX(CapacityAge15*'01_Вводные'!$B$218*AR204,MeanMinAge15)))</f>
        <v/>
      </c>
      <c r="AS123" s="190">
        <f>IF(OR(AS95=0,15&lt;='01_Вводные'!$B$297),0,AS95*IF('01_Вводные'!$B$239="Да",MeanMinAge15+AS204*SUMIF(ThresholdAge15,"&lt;"&amp;AS204,WeightedRevAge15)-SUMIF(ThresholdAge15,"&lt;"&amp;AS204,WeightedMinAge15),MAX(CapacityAge15*'01_Вводные'!$B$218*AS204,MeanMinAge15)))</f>
        <v/>
      </c>
      <c r="AT123" s="190">
        <f>IF(OR(AT95=0,15&lt;='01_Вводные'!$B$297),0,AT95*IF('01_Вводные'!$B$239="Да",MeanMinAge15+AT204*SUMIF(ThresholdAge15,"&lt;"&amp;AT204,WeightedRevAge15)-SUMIF(ThresholdAge15,"&lt;"&amp;AT204,WeightedMinAge15),MAX(CapacityAge15*'01_Вводные'!$B$218*AT204,MeanMinAge15)))</f>
        <v/>
      </c>
      <c r="AU123" s="190">
        <f>IF(OR(AU95=0,15&lt;='01_Вводные'!$B$297),0,AU95*IF('01_Вводные'!$B$239="Да",MeanMinAge15+AU204*SUMIF(ThresholdAge15,"&lt;"&amp;AU204,WeightedRevAge15)-SUMIF(ThresholdAge15,"&lt;"&amp;AU204,WeightedMinAge15),MAX(CapacityAge15*'01_Вводные'!$B$218*AU204,MeanMinAge15)))</f>
        <v/>
      </c>
      <c r="AV123" s="190">
        <f>IF(OR(AV95=0,15&lt;='01_Вводные'!$B$297),0,AV95*IF('01_Вводные'!$B$239="Да",MeanMinAge15+AV204*SUMIF(ThresholdAge15,"&lt;"&amp;AV204,WeightedRevAge15)-SUMIF(ThresholdAge15,"&lt;"&amp;AV204,WeightedMinAge15),MAX(CapacityAge15*'01_Вводные'!$B$218*AV204,MeanMinAge15)))</f>
        <v/>
      </c>
      <c r="AW123" s="190">
        <f>IF(OR(AW95=0,15&lt;='01_Вводные'!$B$297),0,AW95*IF('01_Вводные'!$B$239="Да",MeanMinAge15+AW204*SUMIF(ThresholdAge15,"&lt;"&amp;AW204,WeightedRevAge15)-SUMIF(ThresholdAge15,"&lt;"&amp;AW204,WeightedMinAge15),MAX(CapacityAge15*'01_Вводные'!$B$218*AW204,MeanMinAge15)))</f>
        <v/>
      </c>
      <c r="AX123" s="190">
        <f>IF(OR(AX95=0,15&lt;='01_Вводные'!$B$297),0,AX95*IF('01_Вводные'!$B$239="Да",MeanMinAge15+AX204*SUMIF(ThresholdAge15,"&lt;"&amp;AX204,WeightedRevAge15)-SUMIF(ThresholdAge15,"&lt;"&amp;AX204,WeightedMinAge15),MAX(CapacityAge15*'01_Вводные'!$B$218*AX204,MeanMinAge15)))</f>
        <v/>
      </c>
      <c r="AY123" s="190">
        <f>IF(OR(AY95=0,15&lt;='01_Вводные'!$B$297),0,AY95*IF('01_Вводные'!$B$239="Да",MeanMinAge15+AY204*SUMIF(ThresholdAge15,"&lt;"&amp;AY204,WeightedRevAge15)-SUMIF(ThresholdAge15,"&lt;"&amp;AY204,WeightedMinAge15),MAX(CapacityAge15*'01_Вводные'!$B$218*AY204,MeanMinAge15)))</f>
        <v/>
      </c>
      <c r="AZ123" s="190">
        <f>IF(OR(AZ95=0,15&lt;='01_Вводные'!$B$297),0,AZ95*IF('01_Вводные'!$B$239="Да",MeanMinAge15+AZ204*SUMIF(ThresholdAge15,"&lt;"&amp;AZ204,WeightedRevAge15)-SUMIF(ThresholdAge15,"&lt;"&amp;AZ204,WeightedMinAge15),MAX(CapacityAge15*'01_Вводные'!$B$218*AZ204,MeanMinAge15)))</f>
        <v/>
      </c>
      <c r="BA123" s="190">
        <f>IF(OR(BA95=0,15&lt;='01_Вводные'!$B$297),0,BA95*IF('01_Вводные'!$B$239="Да",MeanMinAge15+BA204*SUMIF(ThresholdAge15,"&lt;"&amp;BA204,WeightedRevAge15)-SUMIF(ThresholdAge15,"&lt;"&amp;BA204,WeightedMinAge15),MAX(CapacityAge15*'01_Вводные'!$B$218*BA204,MeanMinAge15)))</f>
        <v/>
      </c>
      <c r="BB123" s="190">
        <f>IF(OR(BB95=0,15&lt;='01_Вводные'!$B$297),0,BB95*IF('01_Вводные'!$B$239="Да",MeanMinAge15+BB204*SUMIF(ThresholdAge15,"&lt;"&amp;BB204,WeightedRevAge15)-SUMIF(ThresholdAge15,"&lt;"&amp;BB204,WeightedMinAge15),MAX(CapacityAge15*'01_Вводные'!$B$218*BB204,MeanMinAge15)))</f>
        <v/>
      </c>
      <c r="BC123" s="190">
        <f>IF(OR(BC95=0,15&lt;='01_Вводные'!$B$297),0,BC95*IF('01_Вводные'!$B$239="Да",MeanMinAge15+BC204*SUMIF(ThresholdAge15,"&lt;"&amp;BC204,WeightedRevAge15)-SUMIF(ThresholdAge15,"&lt;"&amp;BC204,WeightedMinAge15),MAX(CapacityAge15*'01_Вводные'!$B$218*BC204,MeanMinAge15)))</f>
        <v/>
      </c>
      <c r="BD123" s="190">
        <f>IF(OR(BD95=0,15&lt;='01_Вводные'!$B$297),0,BD95*IF('01_Вводные'!$B$239="Да",MeanMinAge15+BD204*SUMIF(ThresholdAge15,"&lt;"&amp;BD204,WeightedRevAge15)-SUMIF(ThresholdAge15,"&lt;"&amp;BD204,WeightedMinAge15),MAX(CapacityAge15*'01_Вводные'!$B$218*BD204,MeanMinAge15)))</f>
        <v/>
      </c>
      <c r="BE123" s="190">
        <f>IF(OR(BE95=0,15&lt;='01_Вводные'!$B$297),0,BE95*IF('01_Вводные'!$B$239="Да",MeanMinAge15+BE204*SUMIF(ThresholdAge15,"&lt;"&amp;BE204,WeightedRevAge15)-SUMIF(ThresholdAge15,"&lt;"&amp;BE204,WeightedMinAge15),MAX(CapacityAge15*'01_Вводные'!$B$218*BE204,MeanMinAge15)))</f>
        <v/>
      </c>
      <c r="BF123" s="190">
        <f>IF(OR(BF95=0,15&lt;='01_Вводные'!$B$297),0,BF95*IF('01_Вводные'!$B$239="Да",MeanMinAge15+BF204*SUMIF(ThresholdAge15,"&lt;"&amp;BF204,WeightedRevAge15)-SUMIF(ThresholdAge15,"&lt;"&amp;BF204,WeightedMinAge15),MAX(CapacityAge15*'01_Вводные'!$B$218*BF204,MeanMinAge15)))</f>
        <v/>
      </c>
      <c r="BG123" s="190">
        <f>IF(OR(BG95=0,15&lt;='01_Вводные'!$B$297),0,BG95*IF('01_Вводные'!$B$239="Да",MeanMinAge15+BG204*SUMIF(ThresholdAge15,"&lt;"&amp;BG204,WeightedRevAge15)-SUMIF(ThresholdAge15,"&lt;"&amp;BG204,WeightedMinAge15),MAX(CapacityAge15*'01_Вводные'!$B$218*BG204,MeanMinAge15)))</f>
        <v/>
      </c>
      <c r="BH123" s="190">
        <f>IF(OR(BH95=0,15&lt;='01_Вводные'!$B$297),0,BH95*IF('01_Вводные'!$B$239="Да",MeanMinAge15+BH204*SUMIF(ThresholdAge15,"&lt;"&amp;BH204,WeightedRevAge15)-SUMIF(ThresholdAge15,"&lt;"&amp;BH204,WeightedMinAge15),MAX(CapacityAge15*'01_Вводные'!$B$218*BH204,MeanMinAge15)))</f>
        <v/>
      </c>
      <c r="BI123" s="190">
        <f>IF(OR(BI95=0,15&lt;='01_Вводные'!$B$297),0,BI95*IF('01_Вводные'!$B$239="Да",MeanMinAge15+BI204*SUMIF(ThresholdAge15,"&lt;"&amp;BI204,WeightedRevAge15)-SUMIF(ThresholdAge15,"&lt;"&amp;BI204,WeightedMinAge15),MAX(CapacityAge15*'01_Вводные'!$B$218*BI204,MeanMinAge15)))</f>
        <v/>
      </c>
      <c r="BJ123" s="190">
        <f>IF(OR(BJ95=0,15&lt;='01_Вводные'!$B$297),0,BJ95*IF('01_Вводные'!$B$239="Да",MeanMinAge15+BJ204*SUMIF(ThresholdAge15,"&lt;"&amp;BJ204,WeightedRevAge15)-SUMIF(ThresholdAge15,"&lt;"&amp;BJ204,WeightedMinAge15),MAX(CapacityAge15*'01_Вводные'!$B$218*BJ204,MeanMinAge15)))</f>
        <v/>
      </c>
      <c r="BK123" s="190">
        <f>IF(OR(BK95=0,15&lt;='01_Вводные'!$B$297),0,BK95*IF('01_Вводные'!$B$239="Да",MeanMinAge15+BK204*SUMIF(ThresholdAge15,"&lt;"&amp;BK204,WeightedRevAge15)-SUMIF(ThresholdAge15,"&lt;"&amp;BK204,WeightedMinAge15),MAX(CapacityAge15*'01_Вводные'!$B$218*BK204,MeanMinAge15)))</f>
        <v/>
      </c>
      <c r="BL123" s="190">
        <f>IF(OR(BL95=0,15&lt;='01_Вводные'!$B$297),0,BL95*IF('01_Вводные'!$B$239="Да",MeanMinAge15+BL204*SUMIF(ThresholdAge15,"&lt;"&amp;BL204,WeightedRevAge15)-SUMIF(ThresholdAge15,"&lt;"&amp;BL204,WeightedMinAge15),MAX(CapacityAge15*'01_Вводные'!$B$218*BL204,MeanMinAge15)))</f>
        <v/>
      </c>
      <c r="BM123" s="190">
        <f>IF(OR(BM95=0,15&lt;='01_Вводные'!$B$297),0,BM95*IF('01_Вводные'!$B$239="Да",MeanMinAge15+BM204*SUMIF(ThresholdAge15,"&lt;"&amp;BM204,WeightedRevAge15)-SUMIF(ThresholdAge15,"&lt;"&amp;BM204,WeightedMinAge15),MAX(CapacityAge15*'01_Вводные'!$B$218*BM204,MeanMinAge15)))</f>
        <v/>
      </c>
      <c r="BN123" s="190">
        <f>IF(OR(BN95=0,15&lt;='01_Вводные'!$B$297),0,BN95*IF('01_Вводные'!$B$239="Да",MeanMinAge15+BN204*SUMIF(ThresholdAge15,"&lt;"&amp;BN204,WeightedRevAge15)-SUMIF(ThresholdAge15,"&lt;"&amp;BN204,WeightedMinAge15),MAX(CapacityAge15*'01_Вводные'!$B$218*BN204,MeanMinAge15)))</f>
        <v/>
      </c>
      <c r="BO123" s="190">
        <f>IF(OR(BO95=0,15&lt;='01_Вводные'!$B$297),0,BO95*IF('01_Вводные'!$B$239="Да",MeanMinAge15+BO204*SUMIF(ThresholdAge15,"&lt;"&amp;BO204,WeightedRevAge15)-SUMIF(ThresholdAge15,"&lt;"&amp;BO204,WeightedMinAge15),MAX(CapacityAge15*'01_Вводные'!$B$218*BO204,MeanMinAge15)))</f>
        <v/>
      </c>
    </row>
    <row r="124" hidden="1" outlineLevel="1">
      <c r="A124" t="inlineStr">
        <is>
          <t>16 мес.</t>
        </is>
      </c>
      <c r="B124" s="190">
        <f>IF(OR(B96=0,16&lt;='01_Вводные'!$B$297),0,B96*IF('01_Вводные'!$B$239="Да",MeanMinAge16+B204*SUMIF(ThresholdAge16,"&lt;"&amp;B204,WeightedRevAge16)-SUMIF(ThresholdAge16,"&lt;"&amp;B204,WeightedMinAge16),MAX(CapacityAge16*'01_Вводные'!$B$218*B204,MeanMinAge16)))</f>
        <v/>
      </c>
      <c r="C124" s="190">
        <f>IF(OR(C96=0,16&lt;='01_Вводные'!$B$297),0,C96*IF('01_Вводные'!$B$239="Да",MeanMinAge16+C204*SUMIF(ThresholdAge16,"&lt;"&amp;C204,WeightedRevAge16)-SUMIF(ThresholdAge16,"&lt;"&amp;C204,WeightedMinAge16),MAX(CapacityAge16*'01_Вводные'!$B$218*C204,MeanMinAge16)))</f>
        <v/>
      </c>
      <c r="D124" s="190">
        <f>IF(OR(D96=0,16&lt;='01_Вводные'!$B$297),0,D96*IF('01_Вводные'!$B$239="Да",MeanMinAge16+D204*SUMIF(ThresholdAge16,"&lt;"&amp;D204,WeightedRevAge16)-SUMIF(ThresholdAge16,"&lt;"&amp;D204,WeightedMinAge16),MAX(CapacityAge16*'01_Вводные'!$B$218*D204,MeanMinAge16)))</f>
        <v/>
      </c>
      <c r="E124" s="190">
        <f>IF(OR(E96=0,16&lt;='01_Вводные'!$B$297),0,E96*IF('01_Вводные'!$B$239="Да",MeanMinAge16+E204*SUMIF(ThresholdAge16,"&lt;"&amp;E204,WeightedRevAge16)-SUMIF(ThresholdAge16,"&lt;"&amp;E204,WeightedMinAge16),MAX(CapacityAge16*'01_Вводные'!$B$218*E204,MeanMinAge16)))</f>
        <v/>
      </c>
      <c r="F124" s="190">
        <f>IF(OR(F96=0,16&lt;='01_Вводные'!$B$297),0,F96*IF('01_Вводные'!$B$239="Да",MeanMinAge16+F204*SUMIF(ThresholdAge16,"&lt;"&amp;F204,WeightedRevAge16)-SUMIF(ThresholdAge16,"&lt;"&amp;F204,WeightedMinAge16),MAX(CapacityAge16*'01_Вводные'!$B$218*F204,MeanMinAge16)))</f>
        <v/>
      </c>
      <c r="G124" s="190">
        <f>IF(OR(G96=0,16&lt;='01_Вводные'!$B$297),0,G96*IF('01_Вводные'!$B$239="Да",MeanMinAge16+G204*SUMIF(ThresholdAge16,"&lt;"&amp;G204,WeightedRevAge16)-SUMIF(ThresholdAge16,"&lt;"&amp;G204,WeightedMinAge16),MAX(CapacityAge16*'01_Вводные'!$B$218*G204,MeanMinAge16)))</f>
        <v/>
      </c>
      <c r="H124" s="190">
        <f>IF(OR(H96=0,16&lt;='01_Вводные'!$B$297),0,H96*IF('01_Вводные'!$B$239="Да",MeanMinAge16+H204*SUMIF(ThresholdAge16,"&lt;"&amp;H204,WeightedRevAge16)-SUMIF(ThresholdAge16,"&lt;"&amp;H204,WeightedMinAge16),MAX(CapacityAge16*'01_Вводные'!$B$218*H204,MeanMinAge16)))</f>
        <v/>
      </c>
      <c r="I124" s="190">
        <f>IF(OR(I96=0,16&lt;='01_Вводные'!$B$297),0,I96*IF('01_Вводные'!$B$239="Да",MeanMinAge16+I204*SUMIF(ThresholdAge16,"&lt;"&amp;I204,WeightedRevAge16)-SUMIF(ThresholdAge16,"&lt;"&amp;I204,WeightedMinAge16),MAX(CapacityAge16*'01_Вводные'!$B$218*I204,MeanMinAge16)))</f>
        <v/>
      </c>
      <c r="J124" s="190">
        <f>IF(OR(J96=0,16&lt;='01_Вводные'!$B$297),0,J96*IF('01_Вводные'!$B$239="Да",MeanMinAge16+J204*SUMIF(ThresholdAge16,"&lt;"&amp;J204,WeightedRevAge16)-SUMIF(ThresholdAge16,"&lt;"&amp;J204,WeightedMinAge16),MAX(CapacityAge16*'01_Вводные'!$B$218*J204,MeanMinAge16)))</f>
        <v/>
      </c>
      <c r="K124" s="190">
        <f>IF(OR(K96=0,16&lt;='01_Вводные'!$B$297),0,K96*IF('01_Вводные'!$B$239="Да",MeanMinAge16+K204*SUMIF(ThresholdAge16,"&lt;"&amp;K204,WeightedRevAge16)-SUMIF(ThresholdAge16,"&lt;"&amp;K204,WeightedMinAge16),MAX(CapacityAge16*'01_Вводные'!$B$218*K204,MeanMinAge16)))</f>
        <v/>
      </c>
      <c r="L124" s="190">
        <f>IF(OR(L96=0,16&lt;='01_Вводные'!$B$297),0,L96*IF('01_Вводные'!$B$239="Да",MeanMinAge16+L204*SUMIF(ThresholdAge16,"&lt;"&amp;L204,WeightedRevAge16)-SUMIF(ThresholdAge16,"&lt;"&amp;L204,WeightedMinAge16),MAX(CapacityAge16*'01_Вводные'!$B$218*L204,MeanMinAge16)))</f>
        <v/>
      </c>
      <c r="M124" s="190">
        <f>IF(OR(M96=0,16&lt;='01_Вводные'!$B$297),0,M96*IF('01_Вводные'!$B$239="Да",MeanMinAge16+M204*SUMIF(ThresholdAge16,"&lt;"&amp;M204,WeightedRevAge16)-SUMIF(ThresholdAge16,"&lt;"&amp;M204,WeightedMinAge16),MAX(CapacityAge16*'01_Вводные'!$B$218*M204,MeanMinAge16)))</f>
        <v/>
      </c>
      <c r="N124" s="190">
        <f>IF(OR(N96=0,16&lt;='01_Вводные'!$B$297),0,N96*IF('01_Вводные'!$B$239="Да",MeanMinAge16+N204*SUMIF(ThresholdAge16,"&lt;"&amp;N204,WeightedRevAge16)-SUMIF(ThresholdAge16,"&lt;"&amp;N204,WeightedMinAge16),MAX(CapacityAge16*'01_Вводные'!$B$218*N204,MeanMinAge16)))</f>
        <v/>
      </c>
      <c r="O124" s="190">
        <f>IF(OR(O96=0,16&lt;='01_Вводные'!$B$297),0,O96*IF('01_Вводные'!$B$239="Да",MeanMinAge16+O204*SUMIF(ThresholdAge16,"&lt;"&amp;O204,WeightedRevAge16)-SUMIF(ThresholdAge16,"&lt;"&amp;O204,WeightedMinAge16),MAX(CapacityAge16*'01_Вводные'!$B$218*O204,MeanMinAge16)))</f>
        <v/>
      </c>
      <c r="P124" s="190">
        <f>IF(OR(P96=0,16&lt;='01_Вводные'!$B$297),0,P96*IF('01_Вводные'!$B$239="Да",MeanMinAge16+P204*SUMIF(ThresholdAge16,"&lt;"&amp;P204,WeightedRevAge16)-SUMIF(ThresholdAge16,"&lt;"&amp;P204,WeightedMinAge16),MAX(CapacityAge16*'01_Вводные'!$B$218*P204,MeanMinAge16)))</f>
        <v/>
      </c>
      <c r="Q124" s="190">
        <f>IF(OR(Q96=0,16&lt;='01_Вводные'!$B$297),0,Q96*IF('01_Вводные'!$B$239="Да",MeanMinAge16+Q204*SUMIF(ThresholdAge16,"&lt;"&amp;Q204,WeightedRevAge16)-SUMIF(ThresholdAge16,"&lt;"&amp;Q204,WeightedMinAge16),MAX(CapacityAge16*'01_Вводные'!$B$218*Q204,MeanMinAge16)))</f>
        <v/>
      </c>
      <c r="R124" s="190">
        <f>IF(OR(R96=0,16&lt;='01_Вводные'!$B$297),0,R96*IF('01_Вводные'!$B$239="Да",MeanMinAge16+R204*SUMIF(ThresholdAge16,"&lt;"&amp;R204,WeightedRevAge16)-SUMIF(ThresholdAge16,"&lt;"&amp;R204,WeightedMinAge16),MAX(CapacityAge16*'01_Вводные'!$B$218*R204,MeanMinAge16)))</f>
        <v/>
      </c>
      <c r="S124" s="190">
        <f>IF(OR(S96=0,16&lt;='01_Вводные'!$B$297),0,S96*IF('01_Вводные'!$B$239="Да",MeanMinAge16+S204*SUMIF(ThresholdAge16,"&lt;"&amp;S204,WeightedRevAge16)-SUMIF(ThresholdAge16,"&lt;"&amp;S204,WeightedMinAge16),MAX(CapacityAge16*'01_Вводные'!$B$218*S204,MeanMinAge16)))</f>
        <v/>
      </c>
      <c r="T124" s="190">
        <f>IF(OR(T96=0,16&lt;='01_Вводные'!$B$297),0,T96*IF('01_Вводные'!$B$239="Да",MeanMinAge16+T204*SUMIF(ThresholdAge16,"&lt;"&amp;T204,WeightedRevAge16)-SUMIF(ThresholdAge16,"&lt;"&amp;T204,WeightedMinAge16),MAX(CapacityAge16*'01_Вводные'!$B$218*T204,MeanMinAge16)))</f>
        <v/>
      </c>
      <c r="U124" s="190">
        <f>IF(OR(U96=0,16&lt;='01_Вводные'!$B$297),0,U96*IF('01_Вводные'!$B$239="Да",MeanMinAge16+U204*SUMIF(ThresholdAge16,"&lt;"&amp;U204,WeightedRevAge16)-SUMIF(ThresholdAge16,"&lt;"&amp;U204,WeightedMinAge16),MAX(CapacityAge16*'01_Вводные'!$B$218*U204,MeanMinAge16)))</f>
        <v/>
      </c>
      <c r="V124" s="190">
        <f>IF(OR(V96=0,16&lt;='01_Вводные'!$B$297),0,V96*IF('01_Вводные'!$B$239="Да",MeanMinAge16+V204*SUMIF(ThresholdAge16,"&lt;"&amp;V204,WeightedRevAge16)-SUMIF(ThresholdAge16,"&lt;"&amp;V204,WeightedMinAge16),MAX(CapacityAge16*'01_Вводные'!$B$218*V204,MeanMinAge16)))</f>
        <v/>
      </c>
      <c r="W124" s="190">
        <f>IF(OR(W96=0,16&lt;='01_Вводные'!$B$297),0,W96*IF('01_Вводные'!$B$239="Да",MeanMinAge16+W204*SUMIF(ThresholdAge16,"&lt;"&amp;W204,WeightedRevAge16)-SUMIF(ThresholdAge16,"&lt;"&amp;W204,WeightedMinAge16),MAX(CapacityAge16*'01_Вводные'!$B$218*W204,MeanMinAge16)))</f>
        <v/>
      </c>
      <c r="X124" s="190">
        <f>IF(OR(X96=0,16&lt;='01_Вводные'!$B$297),0,X96*IF('01_Вводные'!$B$239="Да",MeanMinAge16+X204*SUMIF(ThresholdAge16,"&lt;"&amp;X204,WeightedRevAge16)-SUMIF(ThresholdAge16,"&lt;"&amp;X204,WeightedMinAge16),MAX(CapacityAge16*'01_Вводные'!$B$218*X204,MeanMinAge16)))</f>
        <v/>
      </c>
      <c r="Y124" s="190">
        <f>IF(OR(Y96=0,16&lt;='01_Вводные'!$B$297),0,Y96*IF('01_Вводные'!$B$239="Да",MeanMinAge16+Y204*SUMIF(ThresholdAge16,"&lt;"&amp;Y204,WeightedRevAge16)-SUMIF(ThresholdAge16,"&lt;"&amp;Y204,WeightedMinAge16),MAX(CapacityAge16*'01_Вводные'!$B$218*Y204,MeanMinAge16)))</f>
        <v/>
      </c>
      <c r="Z124" s="190">
        <f>IF(OR(Z96=0,16&lt;='01_Вводные'!$B$297),0,Z96*IF('01_Вводные'!$B$239="Да",MeanMinAge16+Z204*SUMIF(ThresholdAge16,"&lt;"&amp;Z204,WeightedRevAge16)-SUMIF(ThresholdAge16,"&lt;"&amp;Z204,WeightedMinAge16),MAX(CapacityAge16*'01_Вводные'!$B$218*Z204,MeanMinAge16)))</f>
        <v/>
      </c>
      <c r="AA124" s="190">
        <f>IF(OR(AA96=0,16&lt;='01_Вводные'!$B$297),0,AA96*IF('01_Вводные'!$B$239="Да",MeanMinAge16+AA204*SUMIF(ThresholdAge16,"&lt;"&amp;AA204,WeightedRevAge16)-SUMIF(ThresholdAge16,"&lt;"&amp;AA204,WeightedMinAge16),MAX(CapacityAge16*'01_Вводные'!$B$218*AA204,MeanMinAge16)))</f>
        <v/>
      </c>
      <c r="AB124" s="190">
        <f>IF(OR(AB96=0,16&lt;='01_Вводные'!$B$297),0,AB96*IF('01_Вводные'!$B$239="Да",MeanMinAge16+AB204*SUMIF(ThresholdAge16,"&lt;"&amp;AB204,WeightedRevAge16)-SUMIF(ThresholdAge16,"&lt;"&amp;AB204,WeightedMinAge16),MAX(CapacityAge16*'01_Вводные'!$B$218*AB204,MeanMinAge16)))</f>
        <v/>
      </c>
      <c r="AC124" s="190">
        <f>IF(OR(AC96=0,16&lt;='01_Вводные'!$B$297),0,AC96*IF('01_Вводные'!$B$239="Да",MeanMinAge16+AC204*SUMIF(ThresholdAge16,"&lt;"&amp;AC204,WeightedRevAge16)-SUMIF(ThresholdAge16,"&lt;"&amp;AC204,WeightedMinAge16),MAX(CapacityAge16*'01_Вводные'!$B$218*AC204,MeanMinAge16)))</f>
        <v/>
      </c>
      <c r="AD124" s="190">
        <f>IF(OR(AD96=0,16&lt;='01_Вводные'!$B$297),0,AD96*IF('01_Вводные'!$B$239="Да",MeanMinAge16+AD204*SUMIF(ThresholdAge16,"&lt;"&amp;AD204,WeightedRevAge16)-SUMIF(ThresholdAge16,"&lt;"&amp;AD204,WeightedMinAge16),MAX(CapacityAge16*'01_Вводные'!$B$218*AD204,MeanMinAge16)))</f>
        <v/>
      </c>
      <c r="AE124" s="190">
        <f>IF(OR(AE96=0,16&lt;='01_Вводные'!$B$297),0,AE96*IF('01_Вводные'!$B$239="Да",MeanMinAge16+AE204*SUMIF(ThresholdAge16,"&lt;"&amp;AE204,WeightedRevAge16)-SUMIF(ThresholdAge16,"&lt;"&amp;AE204,WeightedMinAge16),MAX(CapacityAge16*'01_Вводные'!$B$218*AE204,MeanMinAge16)))</f>
        <v/>
      </c>
      <c r="AF124" s="190">
        <f>IF(OR(AF96=0,16&lt;='01_Вводные'!$B$297),0,AF96*IF('01_Вводные'!$B$239="Да",MeanMinAge16+AF204*SUMIF(ThresholdAge16,"&lt;"&amp;AF204,WeightedRevAge16)-SUMIF(ThresholdAge16,"&lt;"&amp;AF204,WeightedMinAge16),MAX(CapacityAge16*'01_Вводные'!$B$218*AF204,MeanMinAge16)))</f>
        <v/>
      </c>
      <c r="AG124" s="190">
        <f>IF(OR(AG96=0,16&lt;='01_Вводные'!$B$297),0,AG96*IF('01_Вводные'!$B$239="Да",MeanMinAge16+AG204*SUMIF(ThresholdAge16,"&lt;"&amp;AG204,WeightedRevAge16)-SUMIF(ThresholdAge16,"&lt;"&amp;AG204,WeightedMinAge16),MAX(CapacityAge16*'01_Вводные'!$B$218*AG204,MeanMinAge16)))</f>
        <v/>
      </c>
      <c r="AH124" s="190">
        <f>IF(OR(AH96=0,16&lt;='01_Вводные'!$B$297),0,AH96*IF('01_Вводные'!$B$239="Да",MeanMinAge16+AH204*SUMIF(ThresholdAge16,"&lt;"&amp;AH204,WeightedRevAge16)-SUMIF(ThresholdAge16,"&lt;"&amp;AH204,WeightedMinAge16),MAX(CapacityAge16*'01_Вводные'!$B$218*AH204,MeanMinAge16)))</f>
        <v/>
      </c>
      <c r="AI124" s="190">
        <f>IF(OR(AI96=0,16&lt;='01_Вводные'!$B$297),0,AI96*IF('01_Вводные'!$B$239="Да",MeanMinAge16+AI204*SUMIF(ThresholdAge16,"&lt;"&amp;AI204,WeightedRevAge16)-SUMIF(ThresholdAge16,"&lt;"&amp;AI204,WeightedMinAge16),MAX(CapacityAge16*'01_Вводные'!$B$218*AI204,MeanMinAge16)))</f>
        <v/>
      </c>
      <c r="AJ124" s="190">
        <f>IF(OR(AJ96=0,16&lt;='01_Вводные'!$B$297),0,AJ96*IF('01_Вводные'!$B$239="Да",MeanMinAge16+AJ204*SUMIF(ThresholdAge16,"&lt;"&amp;AJ204,WeightedRevAge16)-SUMIF(ThresholdAge16,"&lt;"&amp;AJ204,WeightedMinAge16),MAX(CapacityAge16*'01_Вводные'!$B$218*AJ204,MeanMinAge16)))</f>
        <v/>
      </c>
      <c r="AK124" s="190">
        <f>IF(OR(AK96=0,16&lt;='01_Вводные'!$B$297),0,AK96*IF('01_Вводные'!$B$239="Да",MeanMinAge16+AK204*SUMIF(ThresholdAge16,"&lt;"&amp;AK204,WeightedRevAge16)-SUMIF(ThresholdAge16,"&lt;"&amp;AK204,WeightedMinAge16),MAX(CapacityAge16*'01_Вводные'!$B$218*AK204,MeanMinAge16)))</f>
        <v/>
      </c>
      <c r="AL124" s="190">
        <f>IF(OR(AL96=0,16&lt;='01_Вводные'!$B$297),0,AL96*IF('01_Вводные'!$B$239="Да",MeanMinAge16+AL204*SUMIF(ThresholdAge16,"&lt;"&amp;AL204,WeightedRevAge16)-SUMIF(ThresholdAge16,"&lt;"&amp;AL204,WeightedMinAge16),MAX(CapacityAge16*'01_Вводные'!$B$218*AL204,MeanMinAge16)))</f>
        <v/>
      </c>
      <c r="AM124" s="190">
        <f>IF(OR(AM96=0,16&lt;='01_Вводные'!$B$297),0,AM96*IF('01_Вводные'!$B$239="Да",MeanMinAge16+AM204*SUMIF(ThresholdAge16,"&lt;"&amp;AM204,WeightedRevAge16)-SUMIF(ThresholdAge16,"&lt;"&amp;AM204,WeightedMinAge16),MAX(CapacityAge16*'01_Вводные'!$B$218*AM204,MeanMinAge16)))</f>
        <v/>
      </c>
      <c r="AN124" s="190">
        <f>IF(OR(AN96=0,16&lt;='01_Вводные'!$B$297),0,AN96*IF('01_Вводные'!$B$239="Да",MeanMinAge16+AN204*SUMIF(ThresholdAge16,"&lt;"&amp;AN204,WeightedRevAge16)-SUMIF(ThresholdAge16,"&lt;"&amp;AN204,WeightedMinAge16),MAX(CapacityAge16*'01_Вводные'!$B$218*AN204,MeanMinAge16)))</f>
        <v/>
      </c>
      <c r="AO124" s="190">
        <f>IF(OR(AO96=0,16&lt;='01_Вводные'!$B$297),0,AO96*IF('01_Вводные'!$B$239="Да",MeanMinAge16+AO204*SUMIF(ThresholdAge16,"&lt;"&amp;AO204,WeightedRevAge16)-SUMIF(ThresholdAge16,"&lt;"&amp;AO204,WeightedMinAge16),MAX(CapacityAge16*'01_Вводные'!$B$218*AO204,MeanMinAge16)))</f>
        <v/>
      </c>
      <c r="AP124" s="190">
        <f>IF(OR(AP96=0,16&lt;='01_Вводные'!$B$297),0,AP96*IF('01_Вводные'!$B$239="Да",MeanMinAge16+AP204*SUMIF(ThresholdAge16,"&lt;"&amp;AP204,WeightedRevAge16)-SUMIF(ThresholdAge16,"&lt;"&amp;AP204,WeightedMinAge16),MAX(CapacityAge16*'01_Вводные'!$B$218*AP204,MeanMinAge16)))</f>
        <v/>
      </c>
      <c r="AQ124" s="190">
        <f>IF(OR(AQ96=0,16&lt;='01_Вводные'!$B$297),0,AQ96*IF('01_Вводные'!$B$239="Да",MeanMinAge16+AQ204*SUMIF(ThresholdAge16,"&lt;"&amp;AQ204,WeightedRevAge16)-SUMIF(ThresholdAge16,"&lt;"&amp;AQ204,WeightedMinAge16),MAX(CapacityAge16*'01_Вводные'!$B$218*AQ204,MeanMinAge16)))</f>
        <v/>
      </c>
      <c r="AR124" s="190">
        <f>IF(OR(AR96=0,16&lt;='01_Вводные'!$B$297),0,AR96*IF('01_Вводные'!$B$239="Да",MeanMinAge16+AR204*SUMIF(ThresholdAge16,"&lt;"&amp;AR204,WeightedRevAge16)-SUMIF(ThresholdAge16,"&lt;"&amp;AR204,WeightedMinAge16),MAX(CapacityAge16*'01_Вводные'!$B$218*AR204,MeanMinAge16)))</f>
        <v/>
      </c>
      <c r="AS124" s="190">
        <f>IF(OR(AS96=0,16&lt;='01_Вводные'!$B$297),0,AS96*IF('01_Вводные'!$B$239="Да",MeanMinAge16+AS204*SUMIF(ThresholdAge16,"&lt;"&amp;AS204,WeightedRevAge16)-SUMIF(ThresholdAge16,"&lt;"&amp;AS204,WeightedMinAge16),MAX(CapacityAge16*'01_Вводные'!$B$218*AS204,MeanMinAge16)))</f>
        <v/>
      </c>
      <c r="AT124" s="190">
        <f>IF(OR(AT96=0,16&lt;='01_Вводные'!$B$297),0,AT96*IF('01_Вводные'!$B$239="Да",MeanMinAge16+AT204*SUMIF(ThresholdAge16,"&lt;"&amp;AT204,WeightedRevAge16)-SUMIF(ThresholdAge16,"&lt;"&amp;AT204,WeightedMinAge16),MAX(CapacityAge16*'01_Вводные'!$B$218*AT204,MeanMinAge16)))</f>
        <v/>
      </c>
      <c r="AU124" s="190">
        <f>IF(OR(AU96=0,16&lt;='01_Вводные'!$B$297),0,AU96*IF('01_Вводные'!$B$239="Да",MeanMinAge16+AU204*SUMIF(ThresholdAge16,"&lt;"&amp;AU204,WeightedRevAge16)-SUMIF(ThresholdAge16,"&lt;"&amp;AU204,WeightedMinAge16),MAX(CapacityAge16*'01_Вводные'!$B$218*AU204,MeanMinAge16)))</f>
        <v/>
      </c>
      <c r="AV124" s="190">
        <f>IF(OR(AV96=0,16&lt;='01_Вводные'!$B$297),0,AV96*IF('01_Вводные'!$B$239="Да",MeanMinAge16+AV204*SUMIF(ThresholdAge16,"&lt;"&amp;AV204,WeightedRevAge16)-SUMIF(ThresholdAge16,"&lt;"&amp;AV204,WeightedMinAge16),MAX(CapacityAge16*'01_Вводные'!$B$218*AV204,MeanMinAge16)))</f>
        <v/>
      </c>
      <c r="AW124" s="190">
        <f>IF(OR(AW96=0,16&lt;='01_Вводные'!$B$297),0,AW96*IF('01_Вводные'!$B$239="Да",MeanMinAge16+AW204*SUMIF(ThresholdAge16,"&lt;"&amp;AW204,WeightedRevAge16)-SUMIF(ThresholdAge16,"&lt;"&amp;AW204,WeightedMinAge16),MAX(CapacityAge16*'01_Вводные'!$B$218*AW204,MeanMinAge16)))</f>
        <v/>
      </c>
      <c r="AX124" s="190">
        <f>IF(OR(AX96=0,16&lt;='01_Вводные'!$B$297),0,AX96*IF('01_Вводные'!$B$239="Да",MeanMinAge16+AX204*SUMIF(ThresholdAge16,"&lt;"&amp;AX204,WeightedRevAge16)-SUMIF(ThresholdAge16,"&lt;"&amp;AX204,WeightedMinAge16),MAX(CapacityAge16*'01_Вводные'!$B$218*AX204,MeanMinAge16)))</f>
        <v/>
      </c>
      <c r="AY124" s="190">
        <f>IF(OR(AY96=0,16&lt;='01_Вводные'!$B$297),0,AY96*IF('01_Вводные'!$B$239="Да",MeanMinAge16+AY204*SUMIF(ThresholdAge16,"&lt;"&amp;AY204,WeightedRevAge16)-SUMIF(ThresholdAge16,"&lt;"&amp;AY204,WeightedMinAge16),MAX(CapacityAge16*'01_Вводные'!$B$218*AY204,MeanMinAge16)))</f>
        <v/>
      </c>
      <c r="AZ124" s="190">
        <f>IF(OR(AZ96=0,16&lt;='01_Вводные'!$B$297),0,AZ96*IF('01_Вводные'!$B$239="Да",MeanMinAge16+AZ204*SUMIF(ThresholdAge16,"&lt;"&amp;AZ204,WeightedRevAge16)-SUMIF(ThresholdAge16,"&lt;"&amp;AZ204,WeightedMinAge16),MAX(CapacityAge16*'01_Вводные'!$B$218*AZ204,MeanMinAge16)))</f>
        <v/>
      </c>
      <c r="BA124" s="190">
        <f>IF(OR(BA96=0,16&lt;='01_Вводные'!$B$297),0,BA96*IF('01_Вводные'!$B$239="Да",MeanMinAge16+BA204*SUMIF(ThresholdAge16,"&lt;"&amp;BA204,WeightedRevAge16)-SUMIF(ThresholdAge16,"&lt;"&amp;BA204,WeightedMinAge16),MAX(CapacityAge16*'01_Вводные'!$B$218*BA204,MeanMinAge16)))</f>
        <v/>
      </c>
      <c r="BB124" s="190">
        <f>IF(OR(BB96=0,16&lt;='01_Вводные'!$B$297),0,BB96*IF('01_Вводные'!$B$239="Да",MeanMinAge16+BB204*SUMIF(ThresholdAge16,"&lt;"&amp;BB204,WeightedRevAge16)-SUMIF(ThresholdAge16,"&lt;"&amp;BB204,WeightedMinAge16),MAX(CapacityAge16*'01_Вводные'!$B$218*BB204,MeanMinAge16)))</f>
        <v/>
      </c>
      <c r="BC124" s="190">
        <f>IF(OR(BC96=0,16&lt;='01_Вводные'!$B$297),0,BC96*IF('01_Вводные'!$B$239="Да",MeanMinAge16+BC204*SUMIF(ThresholdAge16,"&lt;"&amp;BC204,WeightedRevAge16)-SUMIF(ThresholdAge16,"&lt;"&amp;BC204,WeightedMinAge16),MAX(CapacityAge16*'01_Вводные'!$B$218*BC204,MeanMinAge16)))</f>
        <v/>
      </c>
      <c r="BD124" s="190">
        <f>IF(OR(BD96=0,16&lt;='01_Вводные'!$B$297),0,BD96*IF('01_Вводные'!$B$239="Да",MeanMinAge16+BD204*SUMIF(ThresholdAge16,"&lt;"&amp;BD204,WeightedRevAge16)-SUMIF(ThresholdAge16,"&lt;"&amp;BD204,WeightedMinAge16),MAX(CapacityAge16*'01_Вводные'!$B$218*BD204,MeanMinAge16)))</f>
        <v/>
      </c>
      <c r="BE124" s="190">
        <f>IF(OR(BE96=0,16&lt;='01_Вводные'!$B$297),0,BE96*IF('01_Вводные'!$B$239="Да",MeanMinAge16+BE204*SUMIF(ThresholdAge16,"&lt;"&amp;BE204,WeightedRevAge16)-SUMIF(ThresholdAge16,"&lt;"&amp;BE204,WeightedMinAge16),MAX(CapacityAge16*'01_Вводные'!$B$218*BE204,MeanMinAge16)))</f>
        <v/>
      </c>
      <c r="BF124" s="190">
        <f>IF(OR(BF96=0,16&lt;='01_Вводные'!$B$297),0,BF96*IF('01_Вводные'!$B$239="Да",MeanMinAge16+BF204*SUMIF(ThresholdAge16,"&lt;"&amp;BF204,WeightedRevAge16)-SUMIF(ThresholdAge16,"&lt;"&amp;BF204,WeightedMinAge16),MAX(CapacityAge16*'01_Вводные'!$B$218*BF204,MeanMinAge16)))</f>
        <v/>
      </c>
      <c r="BG124" s="190">
        <f>IF(OR(BG96=0,16&lt;='01_Вводные'!$B$297),0,BG96*IF('01_Вводные'!$B$239="Да",MeanMinAge16+BG204*SUMIF(ThresholdAge16,"&lt;"&amp;BG204,WeightedRevAge16)-SUMIF(ThresholdAge16,"&lt;"&amp;BG204,WeightedMinAge16),MAX(CapacityAge16*'01_Вводные'!$B$218*BG204,MeanMinAge16)))</f>
        <v/>
      </c>
      <c r="BH124" s="190">
        <f>IF(OR(BH96=0,16&lt;='01_Вводные'!$B$297),0,BH96*IF('01_Вводные'!$B$239="Да",MeanMinAge16+BH204*SUMIF(ThresholdAge16,"&lt;"&amp;BH204,WeightedRevAge16)-SUMIF(ThresholdAge16,"&lt;"&amp;BH204,WeightedMinAge16),MAX(CapacityAge16*'01_Вводные'!$B$218*BH204,MeanMinAge16)))</f>
        <v/>
      </c>
      <c r="BI124" s="190">
        <f>IF(OR(BI96=0,16&lt;='01_Вводные'!$B$297),0,BI96*IF('01_Вводные'!$B$239="Да",MeanMinAge16+BI204*SUMIF(ThresholdAge16,"&lt;"&amp;BI204,WeightedRevAge16)-SUMIF(ThresholdAge16,"&lt;"&amp;BI204,WeightedMinAge16),MAX(CapacityAge16*'01_Вводные'!$B$218*BI204,MeanMinAge16)))</f>
        <v/>
      </c>
      <c r="BJ124" s="190">
        <f>IF(OR(BJ96=0,16&lt;='01_Вводные'!$B$297),0,BJ96*IF('01_Вводные'!$B$239="Да",MeanMinAge16+BJ204*SUMIF(ThresholdAge16,"&lt;"&amp;BJ204,WeightedRevAge16)-SUMIF(ThresholdAge16,"&lt;"&amp;BJ204,WeightedMinAge16),MAX(CapacityAge16*'01_Вводные'!$B$218*BJ204,MeanMinAge16)))</f>
        <v/>
      </c>
      <c r="BK124" s="190">
        <f>IF(OR(BK96=0,16&lt;='01_Вводные'!$B$297),0,BK96*IF('01_Вводные'!$B$239="Да",MeanMinAge16+BK204*SUMIF(ThresholdAge16,"&lt;"&amp;BK204,WeightedRevAge16)-SUMIF(ThresholdAge16,"&lt;"&amp;BK204,WeightedMinAge16),MAX(CapacityAge16*'01_Вводные'!$B$218*BK204,MeanMinAge16)))</f>
        <v/>
      </c>
      <c r="BL124" s="190">
        <f>IF(OR(BL96=0,16&lt;='01_Вводные'!$B$297),0,BL96*IF('01_Вводные'!$B$239="Да",MeanMinAge16+BL204*SUMIF(ThresholdAge16,"&lt;"&amp;BL204,WeightedRevAge16)-SUMIF(ThresholdAge16,"&lt;"&amp;BL204,WeightedMinAge16),MAX(CapacityAge16*'01_Вводные'!$B$218*BL204,MeanMinAge16)))</f>
        <v/>
      </c>
      <c r="BM124" s="190">
        <f>IF(OR(BM96=0,16&lt;='01_Вводные'!$B$297),0,BM96*IF('01_Вводные'!$B$239="Да",MeanMinAge16+BM204*SUMIF(ThresholdAge16,"&lt;"&amp;BM204,WeightedRevAge16)-SUMIF(ThresholdAge16,"&lt;"&amp;BM204,WeightedMinAge16),MAX(CapacityAge16*'01_Вводные'!$B$218*BM204,MeanMinAge16)))</f>
        <v/>
      </c>
      <c r="BN124" s="190">
        <f>IF(OR(BN96=0,16&lt;='01_Вводные'!$B$297),0,BN96*IF('01_Вводные'!$B$239="Да",MeanMinAge16+BN204*SUMIF(ThresholdAge16,"&lt;"&amp;BN204,WeightedRevAge16)-SUMIF(ThresholdAge16,"&lt;"&amp;BN204,WeightedMinAge16),MAX(CapacityAge16*'01_Вводные'!$B$218*BN204,MeanMinAge16)))</f>
        <v/>
      </c>
      <c r="BO124" s="190">
        <f>IF(OR(BO96=0,16&lt;='01_Вводные'!$B$297),0,BO96*IF('01_Вводные'!$B$239="Да",MeanMinAge16+BO204*SUMIF(ThresholdAge16,"&lt;"&amp;BO204,WeightedRevAge16)-SUMIF(ThresholdAge16,"&lt;"&amp;BO204,WeightedMinAge16),MAX(CapacityAge16*'01_Вводные'!$B$218*BO204,MeanMinAge16)))</f>
        <v/>
      </c>
    </row>
    <row r="125" hidden="1" outlineLevel="1">
      <c r="A125" t="inlineStr">
        <is>
          <t>17 мес.</t>
        </is>
      </c>
      <c r="B125" s="190">
        <f>IF(OR(B97=0,17&lt;='01_Вводные'!$B$297),0,B97*IF('01_Вводные'!$B$239="Да",MeanMinAge17+B204*SUMIF(ThresholdAge17,"&lt;"&amp;B204,WeightedRevAge17)-SUMIF(ThresholdAge17,"&lt;"&amp;B204,WeightedMinAge17),MAX(CapacityAge17*'01_Вводные'!$B$218*B204,MeanMinAge17)))</f>
        <v/>
      </c>
      <c r="C125" s="190">
        <f>IF(OR(C97=0,17&lt;='01_Вводные'!$B$297),0,C97*IF('01_Вводные'!$B$239="Да",MeanMinAge17+C204*SUMIF(ThresholdAge17,"&lt;"&amp;C204,WeightedRevAge17)-SUMIF(ThresholdAge17,"&lt;"&amp;C204,WeightedMinAge17),MAX(CapacityAge17*'01_Вводные'!$B$218*C204,MeanMinAge17)))</f>
        <v/>
      </c>
      <c r="D125" s="190">
        <f>IF(OR(D97=0,17&lt;='01_Вводные'!$B$297),0,D97*IF('01_Вводные'!$B$239="Да",MeanMinAge17+D204*SUMIF(ThresholdAge17,"&lt;"&amp;D204,WeightedRevAge17)-SUMIF(ThresholdAge17,"&lt;"&amp;D204,WeightedMinAge17),MAX(CapacityAge17*'01_Вводные'!$B$218*D204,MeanMinAge17)))</f>
        <v/>
      </c>
      <c r="E125" s="190">
        <f>IF(OR(E97=0,17&lt;='01_Вводные'!$B$297),0,E97*IF('01_Вводные'!$B$239="Да",MeanMinAge17+E204*SUMIF(ThresholdAge17,"&lt;"&amp;E204,WeightedRevAge17)-SUMIF(ThresholdAge17,"&lt;"&amp;E204,WeightedMinAge17),MAX(CapacityAge17*'01_Вводные'!$B$218*E204,MeanMinAge17)))</f>
        <v/>
      </c>
      <c r="F125" s="190">
        <f>IF(OR(F97=0,17&lt;='01_Вводные'!$B$297),0,F97*IF('01_Вводные'!$B$239="Да",MeanMinAge17+F204*SUMIF(ThresholdAge17,"&lt;"&amp;F204,WeightedRevAge17)-SUMIF(ThresholdAge17,"&lt;"&amp;F204,WeightedMinAge17),MAX(CapacityAge17*'01_Вводные'!$B$218*F204,MeanMinAge17)))</f>
        <v/>
      </c>
      <c r="G125" s="190">
        <f>IF(OR(G97=0,17&lt;='01_Вводные'!$B$297),0,G97*IF('01_Вводные'!$B$239="Да",MeanMinAge17+G204*SUMIF(ThresholdAge17,"&lt;"&amp;G204,WeightedRevAge17)-SUMIF(ThresholdAge17,"&lt;"&amp;G204,WeightedMinAge17),MAX(CapacityAge17*'01_Вводные'!$B$218*G204,MeanMinAge17)))</f>
        <v/>
      </c>
      <c r="H125" s="190">
        <f>IF(OR(H97=0,17&lt;='01_Вводные'!$B$297),0,H97*IF('01_Вводные'!$B$239="Да",MeanMinAge17+H204*SUMIF(ThresholdAge17,"&lt;"&amp;H204,WeightedRevAge17)-SUMIF(ThresholdAge17,"&lt;"&amp;H204,WeightedMinAge17),MAX(CapacityAge17*'01_Вводные'!$B$218*H204,MeanMinAge17)))</f>
        <v/>
      </c>
      <c r="I125" s="190">
        <f>IF(OR(I97=0,17&lt;='01_Вводные'!$B$297),0,I97*IF('01_Вводные'!$B$239="Да",MeanMinAge17+I204*SUMIF(ThresholdAge17,"&lt;"&amp;I204,WeightedRevAge17)-SUMIF(ThresholdAge17,"&lt;"&amp;I204,WeightedMinAge17),MAX(CapacityAge17*'01_Вводные'!$B$218*I204,MeanMinAge17)))</f>
        <v/>
      </c>
      <c r="J125" s="190">
        <f>IF(OR(J97=0,17&lt;='01_Вводные'!$B$297),0,J97*IF('01_Вводные'!$B$239="Да",MeanMinAge17+J204*SUMIF(ThresholdAge17,"&lt;"&amp;J204,WeightedRevAge17)-SUMIF(ThresholdAge17,"&lt;"&amp;J204,WeightedMinAge17),MAX(CapacityAge17*'01_Вводные'!$B$218*J204,MeanMinAge17)))</f>
        <v/>
      </c>
      <c r="K125" s="190">
        <f>IF(OR(K97=0,17&lt;='01_Вводные'!$B$297),0,K97*IF('01_Вводные'!$B$239="Да",MeanMinAge17+K204*SUMIF(ThresholdAge17,"&lt;"&amp;K204,WeightedRevAge17)-SUMIF(ThresholdAge17,"&lt;"&amp;K204,WeightedMinAge17),MAX(CapacityAge17*'01_Вводные'!$B$218*K204,MeanMinAge17)))</f>
        <v/>
      </c>
      <c r="L125" s="190">
        <f>IF(OR(L97=0,17&lt;='01_Вводные'!$B$297),0,L97*IF('01_Вводные'!$B$239="Да",MeanMinAge17+L204*SUMIF(ThresholdAge17,"&lt;"&amp;L204,WeightedRevAge17)-SUMIF(ThresholdAge17,"&lt;"&amp;L204,WeightedMinAge17),MAX(CapacityAge17*'01_Вводные'!$B$218*L204,MeanMinAge17)))</f>
        <v/>
      </c>
      <c r="M125" s="190">
        <f>IF(OR(M97=0,17&lt;='01_Вводные'!$B$297),0,M97*IF('01_Вводные'!$B$239="Да",MeanMinAge17+M204*SUMIF(ThresholdAge17,"&lt;"&amp;M204,WeightedRevAge17)-SUMIF(ThresholdAge17,"&lt;"&amp;M204,WeightedMinAge17),MAX(CapacityAge17*'01_Вводные'!$B$218*M204,MeanMinAge17)))</f>
        <v/>
      </c>
      <c r="N125" s="190">
        <f>IF(OR(N97=0,17&lt;='01_Вводные'!$B$297),0,N97*IF('01_Вводные'!$B$239="Да",MeanMinAge17+N204*SUMIF(ThresholdAge17,"&lt;"&amp;N204,WeightedRevAge17)-SUMIF(ThresholdAge17,"&lt;"&amp;N204,WeightedMinAge17),MAX(CapacityAge17*'01_Вводные'!$B$218*N204,MeanMinAge17)))</f>
        <v/>
      </c>
      <c r="O125" s="190">
        <f>IF(OR(O97=0,17&lt;='01_Вводные'!$B$297),0,O97*IF('01_Вводные'!$B$239="Да",MeanMinAge17+O204*SUMIF(ThresholdAge17,"&lt;"&amp;O204,WeightedRevAge17)-SUMIF(ThresholdAge17,"&lt;"&amp;O204,WeightedMinAge17),MAX(CapacityAge17*'01_Вводные'!$B$218*O204,MeanMinAge17)))</f>
        <v/>
      </c>
      <c r="P125" s="190">
        <f>IF(OR(P97=0,17&lt;='01_Вводные'!$B$297),0,P97*IF('01_Вводные'!$B$239="Да",MeanMinAge17+P204*SUMIF(ThresholdAge17,"&lt;"&amp;P204,WeightedRevAge17)-SUMIF(ThresholdAge17,"&lt;"&amp;P204,WeightedMinAge17),MAX(CapacityAge17*'01_Вводные'!$B$218*P204,MeanMinAge17)))</f>
        <v/>
      </c>
      <c r="Q125" s="190">
        <f>IF(OR(Q97=0,17&lt;='01_Вводные'!$B$297),0,Q97*IF('01_Вводные'!$B$239="Да",MeanMinAge17+Q204*SUMIF(ThresholdAge17,"&lt;"&amp;Q204,WeightedRevAge17)-SUMIF(ThresholdAge17,"&lt;"&amp;Q204,WeightedMinAge17),MAX(CapacityAge17*'01_Вводные'!$B$218*Q204,MeanMinAge17)))</f>
        <v/>
      </c>
      <c r="R125" s="190">
        <f>IF(OR(R97=0,17&lt;='01_Вводные'!$B$297),0,R97*IF('01_Вводные'!$B$239="Да",MeanMinAge17+R204*SUMIF(ThresholdAge17,"&lt;"&amp;R204,WeightedRevAge17)-SUMIF(ThresholdAge17,"&lt;"&amp;R204,WeightedMinAge17),MAX(CapacityAge17*'01_Вводные'!$B$218*R204,MeanMinAge17)))</f>
        <v/>
      </c>
      <c r="S125" s="190">
        <f>IF(OR(S97=0,17&lt;='01_Вводные'!$B$297),0,S97*IF('01_Вводные'!$B$239="Да",MeanMinAge17+S204*SUMIF(ThresholdAge17,"&lt;"&amp;S204,WeightedRevAge17)-SUMIF(ThresholdAge17,"&lt;"&amp;S204,WeightedMinAge17),MAX(CapacityAge17*'01_Вводные'!$B$218*S204,MeanMinAge17)))</f>
        <v/>
      </c>
      <c r="T125" s="190">
        <f>IF(OR(T97=0,17&lt;='01_Вводные'!$B$297),0,T97*IF('01_Вводные'!$B$239="Да",MeanMinAge17+T204*SUMIF(ThresholdAge17,"&lt;"&amp;T204,WeightedRevAge17)-SUMIF(ThresholdAge17,"&lt;"&amp;T204,WeightedMinAge17),MAX(CapacityAge17*'01_Вводные'!$B$218*T204,MeanMinAge17)))</f>
        <v/>
      </c>
      <c r="U125" s="190">
        <f>IF(OR(U97=0,17&lt;='01_Вводные'!$B$297),0,U97*IF('01_Вводные'!$B$239="Да",MeanMinAge17+U204*SUMIF(ThresholdAge17,"&lt;"&amp;U204,WeightedRevAge17)-SUMIF(ThresholdAge17,"&lt;"&amp;U204,WeightedMinAge17),MAX(CapacityAge17*'01_Вводные'!$B$218*U204,MeanMinAge17)))</f>
        <v/>
      </c>
      <c r="V125" s="190">
        <f>IF(OR(V97=0,17&lt;='01_Вводные'!$B$297),0,V97*IF('01_Вводные'!$B$239="Да",MeanMinAge17+V204*SUMIF(ThresholdAge17,"&lt;"&amp;V204,WeightedRevAge17)-SUMIF(ThresholdAge17,"&lt;"&amp;V204,WeightedMinAge17),MAX(CapacityAge17*'01_Вводные'!$B$218*V204,MeanMinAge17)))</f>
        <v/>
      </c>
      <c r="W125" s="190">
        <f>IF(OR(W97=0,17&lt;='01_Вводные'!$B$297),0,W97*IF('01_Вводные'!$B$239="Да",MeanMinAge17+W204*SUMIF(ThresholdAge17,"&lt;"&amp;W204,WeightedRevAge17)-SUMIF(ThresholdAge17,"&lt;"&amp;W204,WeightedMinAge17),MAX(CapacityAge17*'01_Вводные'!$B$218*W204,MeanMinAge17)))</f>
        <v/>
      </c>
      <c r="X125" s="190">
        <f>IF(OR(X97=0,17&lt;='01_Вводные'!$B$297),0,X97*IF('01_Вводные'!$B$239="Да",MeanMinAge17+X204*SUMIF(ThresholdAge17,"&lt;"&amp;X204,WeightedRevAge17)-SUMIF(ThresholdAge17,"&lt;"&amp;X204,WeightedMinAge17),MAX(CapacityAge17*'01_Вводные'!$B$218*X204,MeanMinAge17)))</f>
        <v/>
      </c>
      <c r="Y125" s="190">
        <f>IF(OR(Y97=0,17&lt;='01_Вводные'!$B$297),0,Y97*IF('01_Вводные'!$B$239="Да",MeanMinAge17+Y204*SUMIF(ThresholdAge17,"&lt;"&amp;Y204,WeightedRevAge17)-SUMIF(ThresholdAge17,"&lt;"&amp;Y204,WeightedMinAge17),MAX(CapacityAge17*'01_Вводные'!$B$218*Y204,MeanMinAge17)))</f>
        <v/>
      </c>
      <c r="Z125" s="190">
        <f>IF(OR(Z97=0,17&lt;='01_Вводные'!$B$297),0,Z97*IF('01_Вводные'!$B$239="Да",MeanMinAge17+Z204*SUMIF(ThresholdAge17,"&lt;"&amp;Z204,WeightedRevAge17)-SUMIF(ThresholdAge17,"&lt;"&amp;Z204,WeightedMinAge17),MAX(CapacityAge17*'01_Вводные'!$B$218*Z204,MeanMinAge17)))</f>
        <v/>
      </c>
      <c r="AA125" s="190">
        <f>IF(OR(AA97=0,17&lt;='01_Вводные'!$B$297),0,AA97*IF('01_Вводные'!$B$239="Да",MeanMinAge17+AA204*SUMIF(ThresholdAge17,"&lt;"&amp;AA204,WeightedRevAge17)-SUMIF(ThresholdAge17,"&lt;"&amp;AA204,WeightedMinAge17),MAX(CapacityAge17*'01_Вводные'!$B$218*AA204,MeanMinAge17)))</f>
        <v/>
      </c>
      <c r="AB125" s="190">
        <f>IF(OR(AB97=0,17&lt;='01_Вводные'!$B$297),0,AB97*IF('01_Вводные'!$B$239="Да",MeanMinAge17+AB204*SUMIF(ThresholdAge17,"&lt;"&amp;AB204,WeightedRevAge17)-SUMIF(ThresholdAge17,"&lt;"&amp;AB204,WeightedMinAge17),MAX(CapacityAge17*'01_Вводные'!$B$218*AB204,MeanMinAge17)))</f>
        <v/>
      </c>
      <c r="AC125" s="190">
        <f>IF(OR(AC97=0,17&lt;='01_Вводные'!$B$297),0,AC97*IF('01_Вводные'!$B$239="Да",MeanMinAge17+AC204*SUMIF(ThresholdAge17,"&lt;"&amp;AC204,WeightedRevAge17)-SUMIF(ThresholdAge17,"&lt;"&amp;AC204,WeightedMinAge17),MAX(CapacityAge17*'01_Вводные'!$B$218*AC204,MeanMinAge17)))</f>
        <v/>
      </c>
      <c r="AD125" s="190">
        <f>IF(OR(AD97=0,17&lt;='01_Вводные'!$B$297),0,AD97*IF('01_Вводные'!$B$239="Да",MeanMinAge17+AD204*SUMIF(ThresholdAge17,"&lt;"&amp;AD204,WeightedRevAge17)-SUMIF(ThresholdAge17,"&lt;"&amp;AD204,WeightedMinAge17),MAX(CapacityAge17*'01_Вводные'!$B$218*AD204,MeanMinAge17)))</f>
        <v/>
      </c>
      <c r="AE125" s="190">
        <f>IF(OR(AE97=0,17&lt;='01_Вводные'!$B$297),0,AE97*IF('01_Вводные'!$B$239="Да",MeanMinAge17+AE204*SUMIF(ThresholdAge17,"&lt;"&amp;AE204,WeightedRevAge17)-SUMIF(ThresholdAge17,"&lt;"&amp;AE204,WeightedMinAge17),MAX(CapacityAge17*'01_Вводные'!$B$218*AE204,MeanMinAge17)))</f>
        <v/>
      </c>
      <c r="AF125" s="190">
        <f>IF(OR(AF97=0,17&lt;='01_Вводные'!$B$297),0,AF97*IF('01_Вводные'!$B$239="Да",MeanMinAge17+AF204*SUMIF(ThresholdAge17,"&lt;"&amp;AF204,WeightedRevAge17)-SUMIF(ThresholdAge17,"&lt;"&amp;AF204,WeightedMinAge17),MAX(CapacityAge17*'01_Вводные'!$B$218*AF204,MeanMinAge17)))</f>
        <v/>
      </c>
      <c r="AG125" s="190">
        <f>IF(OR(AG97=0,17&lt;='01_Вводные'!$B$297),0,AG97*IF('01_Вводные'!$B$239="Да",MeanMinAge17+AG204*SUMIF(ThresholdAge17,"&lt;"&amp;AG204,WeightedRevAge17)-SUMIF(ThresholdAge17,"&lt;"&amp;AG204,WeightedMinAge17),MAX(CapacityAge17*'01_Вводные'!$B$218*AG204,MeanMinAge17)))</f>
        <v/>
      </c>
      <c r="AH125" s="190">
        <f>IF(OR(AH97=0,17&lt;='01_Вводные'!$B$297),0,AH97*IF('01_Вводные'!$B$239="Да",MeanMinAge17+AH204*SUMIF(ThresholdAge17,"&lt;"&amp;AH204,WeightedRevAge17)-SUMIF(ThresholdAge17,"&lt;"&amp;AH204,WeightedMinAge17),MAX(CapacityAge17*'01_Вводные'!$B$218*AH204,MeanMinAge17)))</f>
        <v/>
      </c>
      <c r="AI125" s="190">
        <f>IF(OR(AI97=0,17&lt;='01_Вводные'!$B$297),0,AI97*IF('01_Вводные'!$B$239="Да",MeanMinAge17+AI204*SUMIF(ThresholdAge17,"&lt;"&amp;AI204,WeightedRevAge17)-SUMIF(ThresholdAge17,"&lt;"&amp;AI204,WeightedMinAge17),MAX(CapacityAge17*'01_Вводные'!$B$218*AI204,MeanMinAge17)))</f>
        <v/>
      </c>
      <c r="AJ125" s="190">
        <f>IF(OR(AJ97=0,17&lt;='01_Вводные'!$B$297),0,AJ97*IF('01_Вводные'!$B$239="Да",MeanMinAge17+AJ204*SUMIF(ThresholdAge17,"&lt;"&amp;AJ204,WeightedRevAge17)-SUMIF(ThresholdAge17,"&lt;"&amp;AJ204,WeightedMinAge17),MAX(CapacityAge17*'01_Вводные'!$B$218*AJ204,MeanMinAge17)))</f>
        <v/>
      </c>
      <c r="AK125" s="190">
        <f>IF(OR(AK97=0,17&lt;='01_Вводные'!$B$297),0,AK97*IF('01_Вводные'!$B$239="Да",MeanMinAge17+AK204*SUMIF(ThresholdAge17,"&lt;"&amp;AK204,WeightedRevAge17)-SUMIF(ThresholdAge17,"&lt;"&amp;AK204,WeightedMinAge17),MAX(CapacityAge17*'01_Вводные'!$B$218*AK204,MeanMinAge17)))</f>
        <v/>
      </c>
      <c r="AL125" s="190">
        <f>IF(OR(AL97=0,17&lt;='01_Вводные'!$B$297),0,AL97*IF('01_Вводные'!$B$239="Да",MeanMinAge17+AL204*SUMIF(ThresholdAge17,"&lt;"&amp;AL204,WeightedRevAge17)-SUMIF(ThresholdAge17,"&lt;"&amp;AL204,WeightedMinAge17),MAX(CapacityAge17*'01_Вводные'!$B$218*AL204,MeanMinAge17)))</f>
        <v/>
      </c>
      <c r="AM125" s="190">
        <f>IF(OR(AM97=0,17&lt;='01_Вводные'!$B$297),0,AM97*IF('01_Вводные'!$B$239="Да",MeanMinAge17+AM204*SUMIF(ThresholdAge17,"&lt;"&amp;AM204,WeightedRevAge17)-SUMIF(ThresholdAge17,"&lt;"&amp;AM204,WeightedMinAge17),MAX(CapacityAge17*'01_Вводные'!$B$218*AM204,MeanMinAge17)))</f>
        <v/>
      </c>
      <c r="AN125" s="190">
        <f>IF(OR(AN97=0,17&lt;='01_Вводные'!$B$297),0,AN97*IF('01_Вводные'!$B$239="Да",MeanMinAge17+AN204*SUMIF(ThresholdAge17,"&lt;"&amp;AN204,WeightedRevAge17)-SUMIF(ThresholdAge17,"&lt;"&amp;AN204,WeightedMinAge17),MAX(CapacityAge17*'01_Вводные'!$B$218*AN204,MeanMinAge17)))</f>
        <v/>
      </c>
      <c r="AO125" s="190">
        <f>IF(OR(AO97=0,17&lt;='01_Вводные'!$B$297),0,AO97*IF('01_Вводные'!$B$239="Да",MeanMinAge17+AO204*SUMIF(ThresholdAge17,"&lt;"&amp;AO204,WeightedRevAge17)-SUMIF(ThresholdAge17,"&lt;"&amp;AO204,WeightedMinAge17),MAX(CapacityAge17*'01_Вводные'!$B$218*AO204,MeanMinAge17)))</f>
        <v/>
      </c>
      <c r="AP125" s="190">
        <f>IF(OR(AP97=0,17&lt;='01_Вводные'!$B$297),0,AP97*IF('01_Вводные'!$B$239="Да",MeanMinAge17+AP204*SUMIF(ThresholdAge17,"&lt;"&amp;AP204,WeightedRevAge17)-SUMIF(ThresholdAge17,"&lt;"&amp;AP204,WeightedMinAge17),MAX(CapacityAge17*'01_Вводные'!$B$218*AP204,MeanMinAge17)))</f>
        <v/>
      </c>
      <c r="AQ125" s="190">
        <f>IF(OR(AQ97=0,17&lt;='01_Вводные'!$B$297),0,AQ97*IF('01_Вводные'!$B$239="Да",MeanMinAge17+AQ204*SUMIF(ThresholdAge17,"&lt;"&amp;AQ204,WeightedRevAge17)-SUMIF(ThresholdAge17,"&lt;"&amp;AQ204,WeightedMinAge17),MAX(CapacityAge17*'01_Вводные'!$B$218*AQ204,MeanMinAge17)))</f>
        <v/>
      </c>
      <c r="AR125" s="190">
        <f>IF(OR(AR97=0,17&lt;='01_Вводные'!$B$297),0,AR97*IF('01_Вводные'!$B$239="Да",MeanMinAge17+AR204*SUMIF(ThresholdAge17,"&lt;"&amp;AR204,WeightedRevAge17)-SUMIF(ThresholdAge17,"&lt;"&amp;AR204,WeightedMinAge17),MAX(CapacityAge17*'01_Вводные'!$B$218*AR204,MeanMinAge17)))</f>
        <v/>
      </c>
      <c r="AS125" s="190">
        <f>IF(OR(AS97=0,17&lt;='01_Вводные'!$B$297),0,AS97*IF('01_Вводные'!$B$239="Да",MeanMinAge17+AS204*SUMIF(ThresholdAge17,"&lt;"&amp;AS204,WeightedRevAge17)-SUMIF(ThresholdAge17,"&lt;"&amp;AS204,WeightedMinAge17),MAX(CapacityAge17*'01_Вводные'!$B$218*AS204,MeanMinAge17)))</f>
        <v/>
      </c>
      <c r="AT125" s="190">
        <f>IF(OR(AT97=0,17&lt;='01_Вводные'!$B$297),0,AT97*IF('01_Вводные'!$B$239="Да",MeanMinAge17+AT204*SUMIF(ThresholdAge17,"&lt;"&amp;AT204,WeightedRevAge17)-SUMIF(ThresholdAge17,"&lt;"&amp;AT204,WeightedMinAge17),MAX(CapacityAge17*'01_Вводные'!$B$218*AT204,MeanMinAge17)))</f>
        <v/>
      </c>
      <c r="AU125" s="190">
        <f>IF(OR(AU97=0,17&lt;='01_Вводные'!$B$297),0,AU97*IF('01_Вводные'!$B$239="Да",MeanMinAge17+AU204*SUMIF(ThresholdAge17,"&lt;"&amp;AU204,WeightedRevAge17)-SUMIF(ThresholdAge17,"&lt;"&amp;AU204,WeightedMinAge17),MAX(CapacityAge17*'01_Вводные'!$B$218*AU204,MeanMinAge17)))</f>
        <v/>
      </c>
      <c r="AV125" s="190">
        <f>IF(OR(AV97=0,17&lt;='01_Вводные'!$B$297),0,AV97*IF('01_Вводные'!$B$239="Да",MeanMinAge17+AV204*SUMIF(ThresholdAge17,"&lt;"&amp;AV204,WeightedRevAge17)-SUMIF(ThresholdAge17,"&lt;"&amp;AV204,WeightedMinAge17),MAX(CapacityAge17*'01_Вводные'!$B$218*AV204,MeanMinAge17)))</f>
        <v/>
      </c>
      <c r="AW125" s="190">
        <f>IF(OR(AW97=0,17&lt;='01_Вводные'!$B$297),0,AW97*IF('01_Вводные'!$B$239="Да",MeanMinAge17+AW204*SUMIF(ThresholdAge17,"&lt;"&amp;AW204,WeightedRevAge17)-SUMIF(ThresholdAge17,"&lt;"&amp;AW204,WeightedMinAge17),MAX(CapacityAge17*'01_Вводные'!$B$218*AW204,MeanMinAge17)))</f>
        <v/>
      </c>
      <c r="AX125" s="190">
        <f>IF(OR(AX97=0,17&lt;='01_Вводные'!$B$297),0,AX97*IF('01_Вводные'!$B$239="Да",MeanMinAge17+AX204*SUMIF(ThresholdAge17,"&lt;"&amp;AX204,WeightedRevAge17)-SUMIF(ThresholdAge17,"&lt;"&amp;AX204,WeightedMinAge17),MAX(CapacityAge17*'01_Вводные'!$B$218*AX204,MeanMinAge17)))</f>
        <v/>
      </c>
      <c r="AY125" s="190">
        <f>IF(OR(AY97=0,17&lt;='01_Вводные'!$B$297),0,AY97*IF('01_Вводные'!$B$239="Да",MeanMinAge17+AY204*SUMIF(ThresholdAge17,"&lt;"&amp;AY204,WeightedRevAge17)-SUMIF(ThresholdAge17,"&lt;"&amp;AY204,WeightedMinAge17),MAX(CapacityAge17*'01_Вводные'!$B$218*AY204,MeanMinAge17)))</f>
        <v/>
      </c>
      <c r="AZ125" s="190">
        <f>IF(OR(AZ97=0,17&lt;='01_Вводные'!$B$297),0,AZ97*IF('01_Вводные'!$B$239="Да",MeanMinAge17+AZ204*SUMIF(ThresholdAge17,"&lt;"&amp;AZ204,WeightedRevAge17)-SUMIF(ThresholdAge17,"&lt;"&amp;AZ204,WeightedMinAge17),MAX(CapacityAge17*'01_Вводные'!$B$218*AZ204,MeanMinAge17)))</f>
        <v/>
      </c>
      <c r="BA125" s="190">
        <f>IF(OR(BA97=0,17&lt;='01_Вводные'!$B$297),0,BA97*IF('01_Вводные'!$B$239="Да",MeanMinAge17+BA204*SUMIF(ThresholdAge17,"&lt;"&amp;BA204,WeightedRevAge17)-SUMIF(ThresholdAge17,"&lt;"&amp;BA204,WeightedMinAge17),MAX(CapacityAge17*'01_Вводные'!$B$218*BA204,MeanMinAge17)))</f>
        <v/>
      </c>
      <c r="BB125" s="190">
        <f>IF(OR(BB97=0,17&lt;='01_Вводные'!$B$297),0,BB97*IF('01_Вводные'!$B$239="Да",MeanMinAge17+BB204*SUMIF(ThresholdAge17,"&lt;"&amp;BB204,WeightedRevAge17)-SUMIF(ThresholdAge17,"&lt;"&amp;BB204,WeightedMinAge17),MAX(CapacityAge17*'01_Вводные'!$B$218*BB204,MeanMinAge17)))</f>
        <v/>
      </c>
      <c r="BC125" s="190">
        <f>IF(OR(BC97=0,17&lt;='01_Вводные'!$B$297),0,BC97*IF('01_Вводные'!$B$239="Да",MeanMinAge17+BC204*SUMIF(ThresholdAge17,"&lt;"&amp;BC204,WeightedRevAge17)-SUMIF(ThresholdAge17,"&lt;"&amp;BC204,WeightedMinAge17),MAX(CapacityAge17*'01_Вводные'!$B$218*BC204,MeanMinAge17)))</f>
        <v/>
      </c>
      <c r="BD125" s="190">
        <f>IF(OR(BD97=0,17&lt;='01_Вводные'!$B$297),0,BD97*IF('01_Вводные'!$B$239="Да",MeanMinAge17+BD204*SUMIF(ThresholdAge17,"&lt;"&amp;BD204,WeightedRevAge17)-SUMIF(ThresholdAge17,"&lt;"&amp;BD204,WeightedMinAge17),MAX(CapacityAge17*'01_Вводные'!$B$218*BD204,MeanMinAge17)))</f>
        <v/>
      </c>
      <c r="BE125" s="190">
        <f>IF(OR(BE97=0,17&lt;='01_Вводные'!$B$297),0,BE97*IF('01_Вводные'!$B$239="Да",MeanMinAge17+BE204*SUMIF(ThresholdAge17,"&lt;"&amp;BE204,WeightedRevAge17)-SUMIF(ThresholdAge17,"&lt;"&amp;BE204,WeightedMinAge17),MAX(CapacityAge17*'01_Вводные'!$B$218*BE204,MeanMinAge17)))</f>
        <v/>
      </c>
      <c r="BF125" s="190">
        <f>IF(OR(BF97=0,17&lt;='01_Вводные'!$B$297),0,BF97*IF('01_Вводные'!$B$239="Да",MeanMinAge17+BF204*SUMIF(ThresholdAge17,"&lt;"&amp;BF204,WeightedRevAge17)-SUMIF(ThresholdAge17,"&lt;"&amp;BF204,WeightedMinAge17),MAX(CapacityAge17*'01_Вводные'!$B$218*BF204,MeanMinAge17)))</f>
        <v/>
      </c>
      <c r="BG125" s="190">
        <f>IF(OR(BG97=0,17&lt;='01_Вводные'!$B$297),0,BG97*IF('01_Вводные'!$B$239="Да",MeanMinAge17+BG204*SUMIF(ThresholdAge17,"&lt;"&amp;BG204,WeightedRevAge17)-SUMIF(ThresholdAge17,"&lt;"&amp;BG204,WeightedMinAge17),MAX(CapacityAge17*'01_Вводные'!$B$218*BG204,MeanMinAge17)))</f>
        <v/>
      </c>
      <c r="BH125" s="190">
        <f>IF(OR(BH97=0,17&lt;='01_Вводные'!$B$297),0,BH97*IF('01_Вводные'!$B$239="Да",MeanMinAge17+BH204*SUMIF(ThresholdAge17,"&lt;"&amp;BH204,WeightedRevAge17)-SUMIF(ThresholdAge17,"&lt;"&amp;BH204,WeightedMinAge17),MAX(CapacityAge17*'01_Вводные'!$B$218*BH204,MeanMinAge17)))</f>
        <v/>
      </c>
      <c r="BI125" s="190">
        <f>IF(OR(BI97=0,17&lt;='01_Вводные'!$B$297),0,BI97*IF('01_Вводные'!$B$239="Да",MeanMinAge17+BI204*SUMIF(ThresholdAge17,"&lt;"&amp;BI204,WeightedRevAge17)-SUMIF(ThresholdAge17,"&lt;"&amp;BI204,WeightedMinAge17),MAX(CapacityAge17*'01_Вводные'!$B$218*BI204,MeanMinAge17)))</f>
        <v/>
      </c>
      <c r="BJ125" s="190">
        <f>IF(OR(BJ97=0,17&lt;='01_Вводные'!$B$297),0,BJ97*IF('01_Вводные'!$B$239="Да",MeanMinAge17+BJ204*SUMIF(ThresholdAge17,"&lt;"&amp;BJ204,WeightedRevAge17)-SUMIF(ThresholdAge17,"&lt;"&amp;BJ204,WeightedMinAge17),MAX(CapacityAge17*'01_Вводные'!$B$218*BJ204,MeanMinAge17)))</f>
        <v/>
      </c>
      <c r="BK125" s="190">
        <f>IF(OR(BK97=0,17&lt;='01_Вводные'!$B$297),0,BK97*IF('01_Вводные'!$B$239="Да",MeanMinAge17+BK204*SUMIF(ThresholdAge17,"&lt;"&amp;BK204,WeightedRevAge17)-SUMIF(ThresholdAge17,"&lt;"&amp;BK204,WeightedMinAge17),MAX(CapacityAge17*'01_Вводные'!$B$218*BK204,MeanMinAge17)))</f>
        <v/>
      </c>
      <c r="BL125" s="190">
        <f>IF(OR(BL97=0,17&lt;='01_Вводные'!$B$297),0,BL97*IF('01_Вводные'!$B$239="Да",MeanMinAge17+BL204*SUMIF(ThresholdAge17,"&lt;"&amp;BL204,WeightedRevAge17)-SUMIF(ThresholdAge17,"&lt;"&amp;BL204,WeightedMinAge17),MAX(CapacityAge17*'01_Вводные'!$B$218*BL204,MeanMinAge17)))</f>
        <v/>
      </c>
      <c r="BM125" s="190">
        <f>IF(OR(BM97=0,17&lt;='01_Вводные'!$B$297),0,BM97*IF('01_Вводные'!$B$239="Да",MeanMinAge17+BM204*SUMIF(ThresholdAge17,"&lt;"&amp;BM204,WeightedRevAge17)-SUMIF(ThresholdAge17,"&lt;"&amp;BM204,WeightedMinAge17),MAX(CapacityAge17*'01_Вводные'!$B$218*BM204,MeanMinAge17)))</f>
        <v/>
      </c>
      <c r="BN125" s="190">
        <f>IF(OR(BN97=0,17&lt;='01_Вводные'!$B$297),0,BN97*IF('01_Вводные'!$B$239="Да",MeanMinAge17+BN204*SUMIF(ThresholdAge17,"&lt;"&amp;BN204,WeightedRevAge17)-SUMIF(ThresholdAge17,"&lt;"&amp;BN204,WeightedMinAge17),MAX(CapacityAge17*'01_Вводные'!$B$218*BN204,MeanMinAge17)))</f>
        <v/>
      </c>
      <c r="BO125" s="190">
        <f>IF(OR(BO97=0,17&lt;='01_Вводные'!$B$297),0,BO97*IF('01_Вводные'!$B$239="Да",MeanMinAge17+BO204*SUMIF(ThresholdAge17,"&lt;"&amp;BO204,WeightedRevAge17)-SUMIF(ThresholdAge17,"&lt;"&amp;BO204,WeightedMinAge17),MAX(CapacityAge17*'01_Вводные'!$B$218*BO204,MeanMinAge17)))</f>
        <v/>
      </c>
    </row>
    <row r="126" hidden="1" outlineLevel="1">
      <c r="A126" t="inlineStr">
        <is>
          <t>18 мес.</t>
        </is>
      </c>
      <c r="B126" s="190">
        <f>IF(OR(B98=0,18&lt;='01_Вводные'!$B$297),0,B98*IF('01_Вводные'!$B$239="Да",MeanMinAge18+B204*SUMIF(ThresholdAge18,"&lt;"&amp;B204,WeightedRevAge18)-SUMIF(ThresholdAge18,"&lt;"&amp;B204,WeightedMinAge18),MAX(CapacityAge18*'01_Вводные'!$B$218*B204,MeanMinAge18)))</f>
        <v/>
      </c>
      <c r="C126" s="190">
        <f>IF(OR(C98=0,18&lt;='01_Вводные'!$B$297),0,C98*IF('01_Вводные'!$B$239="Да",MeanMinAge18+C204*SUMIF(ThresholdAge18,"&lt;"&amp;C204,WeightedRevAge18)-SUMIF(ThresholdAge18,"&lt;"&amp;C204,WeightedMinAge18),MAX(CapacityAge18*'01_Вводные'!$B$218*C204,MeanMinAge18)))</f>
        <v/>
      </c>
      <c r="D126" s="190">
        <f>IF(OR(D98=0,18&lt;='01_Вводные'!$B$297),0,D98*IF('01_Вводные'!$B$239="Да",MeanMinAge18+D204*SUMIF(ThresholdAge18,"&lt;"&amp;D204,WeightedRevAge18)-SUMIF(ThresholdAge18,"&lt;"&amp;D204,WeightedMinAge18),MAX(CapacityAge18*'01_Вводные'!$B$218*D204,MeanMinAge18)))</f>
        <v/>
      </c>
      <c r="E126" s="190">
        <f>IF(OR(E98=0,18&lt;='01_Вводные'!$B$297),0,E98*IF('01_Вводные'!$B$239="Да",MeanMinAge18+E204*SUMIF(ThresholdAge18,"&lt;"&amp;E204,WeightedRevAge18)-SUMIF(ThresholdAge18,"&lt;"&amp;E204,WeightedMinAge18),MAX(CapacityAge18*'01_Вводные'!$B$218*E204,MeanMinAge18)))</f>
        <v/>
      </c>
      <c r="F126" s="190">
        <f>IF(OR(F98=0,18&lt;='01_Вводные'!$B$297),0,F98*IF('01_Вводные'!$B$239="Да",MeanMinAge18+F204*SUMIF(ThresholdAge18,"&lt;"&amp;F204,WeightedRevAge18)-SUMIF(ThresholdAge18,"&lt;"&amp;F204,WeightedMinAge18),MAX(CapacityAge18*'01_Вводные'!$B$218*F204,MeanMinAge18)))</f>
        <v/>
      </c>
      <c r="G126" s="190">
        <f>IF(OR(G98=0,18&lt;='01_Вводные'!$B$297),0,G98*IF('01_Вводные'!$B$239="Да",MeanMinAge18+G204*SUMIF(ThresholdAge18,"&lt;"&amp;G204,WeightedRevAge18)-SUMIF(ThresholdAge18,"&lt;"&amp;G204,WeightedMinAge18),MAX(CapacityAge18*'01_Вводные'!$B$218*G204,MeanMinAge18)))</f>
        <v/>
      </c>
      <c r="H126" s="190">
        <f>IF(OR(H98=0,18&lt;='01_Вводные'!$B$297),0,H98*IF('01_Вводные'!$B$239="Да",MeanMinAge18+H204*SUMIF(ThresholdAge18,"&lt;"&amp;H204,WeightedRevAge18)-SUMIF(ThresholdAge18,"&lt;"&amp;H204,WeightedMinAge18),MAX(CapacityAge18*'01_Вводные'!$B$218*H204,MeanMinAge18)))</f>
        <v/>
      </c>
      <c r="I126" s="190">
        <f>IF(OR(I98=0,18&lt;='01_Вводные'!$B$297),0,I98*IF('01_Вводные'!$B$239="Да",MeanMinAge18+I204*SUMIF(ThresholdAge18,"&lt;"&amp;I204,WeightedRevAge18)-SUMIF(ThresholdAge18,"&lt;"&amp;I204,WeightedMinAge18),MAX(CapacityAge18*'01_Вводные'!$B$218*I204,MeanMinAge18)))</f>
        <v/>
      </c>
      <c r="J126" s="190">
        <f>IF(OR(J98=0,18&lt;='01_Вводные'!$B$297),0,J98*IF('01_Вводные'!$B$239="Да",MeanMinAge18+J204*SUMIF(ThresholdAge18,"&lt;"&amp;J204,WeightedRevAge18)-SUMIF(ThresholdAge18,"&lt;"&amp;J204,WeightedMinAge18),MAX(CapacityAge18*'01_Вводные'!$B$218*J204,MeanMinAge18)))</f>
        <v/>
      </c>
      <c r="K126" s="190">
        <f>IF(OR(K98=0,18&lt;='01_Вводные'!$B$297),0,K98*IF('01_Вводные'!$B$239="Да",MeanMinAge18+K204*SUMIF(ThresholdAge18,"&lt;"&amp;K204,WeightedRevAge18)-SUMIF(ThresholdAge18,"&lt;"&amp;K204,WeightedMinAge18),MAX(CapacityAge18*'01_Вводные'!$B$218*K204,MeanMinAge18)))</f>
        <v/>
      </c>
      <c r="L126" s="190">
        <f>IF(OR(L98=0,18&lt;='01_Вводные'!$B$297),0,L98*IF('01_Вводные'!$B$239="Да",MeanMinAge18+L204*SUMIF(ThresholdAge18,"&lt;"&amp;L204,WeightedRevAge18)-SUMIF(ThresholdAge18,"&lt;"&amp;L204,WeightedMinAge18),MAX(CapacityAge18*'01_Вводные'!$B$218*L204,MeanMinAge18)))</f>
        <v/>
      </c>
      <c r="M126" s="190">
        <f>IF(OR(M98=0,18&lt;='01_Вводные'!$B$297),0,M98*IF('01_Вводные'!$B$239="Да",MeanMinAge18+M204*SUMIF(ThresholdAge18,"&lt;"&amp;M204,WeightedRevAge18)-SUMIF(ThresholdAge18,"&lt;"&amp;M204,WeightedMinAge18),MAX(CapacityAge18*'01_Вводные'!$B$218*M204,MeanMinAge18)))</f>
        <v/>
      </c>
      <c r="N126" s="190">
        <f>IF(OR(N98=0,18&lt;='01_Вводные'!$B$297),0,N98*IF('01_Вводные'!$B$239="Да",MeanMinAge18+N204*SUMIF(ThresholdAge18,"&lt;"&amp;N204,WeightedRevAge18)-SUMIF(ThresholdAge18,"&lt;"&amp;N204,WeightedMinAge18),MAX(CapacityAge18*'01_Вводные'!$B$218*N204,MeanMinAge18)))</f>
        <v/>
      </c>
      <c r="O126" s="190">
        <f>IF(OR(O98=0,18&lt;='01_Вводные'!$B$297),0,O98*IF('01_Вводные'!$B$239="Да",MeanMinAge18+O204*SUMIF(ThresholdAge18,"&lt;"&amp;O204,WeightedRevAge18)-SUMIF(ThresholdAge18,"&lt;"&amp;O204,WeightedMinAge18),MAX(CapacityAge18*'01_Вводные'!$B$218*O204,MeanMinAge18)))</f>
        <v/>
      </c>
      <c r="P126" s="190">
        <f>IF(OR(P98=0,18&lt;='01_Вводные'!$B$297),0,P98*IF('01_Вводные'!$B$239="Да",MeanMinAge18+P204*SUMIF(ThresholdAge18,"&lt;"&amp;P204,WeightedRevAge18)-SUMIF(ThresholdAge18,"&lt;"&amp;P204,WeightedMinAge18),MAX(CapacityAge18*'01_Вводные'!$B$218*P204,MeanMinAge18)))</f>
        <v/>
      </c>
      <c r="Q126" s="190">
        <f>IF(OR(Q98=0,18&lt;='01_Вводные'!$B$297),0,Q98*IF('01_Вводные'!$B$239="Да",MeanMinAge18+Q204*SUMIF(ThresholdAge18,"&lt;"&amp;Q204,WeightedRevAge18)-SUMIF(ThresholdAge18,"&lt;"&amp;Q204,WeightedMinAge18),MAX(CapacityAge18*'01_Вводные'!$B$218*Q204,MeanMinAge18)))</f>
        <v/>
      </c>
      <c r="R126" s="190">
        <f>IF(OR(R98=0,18&lt;='01_Вводные'!$B$297),0,R98*IF('01_Вводные'!$B$239="Да",MeanMinAge18+R204*SUMIF(ThresholdAge18,"&lt;"&amp;R204,WeightedRevAge18)-SUMIF(ThresholdAge18,"&lt;"&amp;R204,WeightedMinAge18),MAX(CapacityAge18*'01_Вводные'!$B$218*R204,MeanMinAge18)))</f>
        <v/>
      </c>
      <c r="S126" s="190">
        <f>IF(OR(S98=0,18&lt;='01_Вводные'!$B$297),0,S98*IF('01_Вводные'!$B$239="Да",MeanMinAge18+S204*SUMIF(ThresholdAge18,"&lt;"&amp;S204,WeightedRevAge18)-SUMIF(ThresholdAge18,"&lt;"&amp;S204,WeightedMinAge18),MAX(CapacityAge18*'01_Вводные'!$B$218*S204,MeanMinAge18)))</f>
        <v/>
      </c>
      <c r="T126" s="190">
        <f>IF(OR(T98=0,18&lt;='01_Вводные'!$B$297),0,T98*IF('01_Вводные'!$B$239="Да",MeanMinAge18+T204*SUMIF(ThresholdAge18,"&lt;"&amp;T204,WeightedRevAge18)-SUMIF(ThresholdAge18,"&lt;"&amp;T204,WeightedMinAge18),MAX(CapacityAge18*'01_Вводные'!$B$218*T204,MeanMinAge18)))</f>
        <v/>
      </c>
      <c r="U126" s="190">
        <f>IF(OR(U98=0,18&lt;='01_Вводные'!$B$297),0,U98*IF('01_Вводные'!$B$239="Да",MeanMinAge18+U204*SUMIF(ThresholdAge18,"&lt;"&amp;U204,WeightedRevAge18)-SUMIF(ThresholdAge18,"&lt;"&amp;U204,WeightedMinAge18),MAX(CapacityAge18*'01_Вводные'!$B$218*U204,MeanMinAge18)))</f>
        <v/>
      </c>
      <c r="V126" s="190">
        <f>IF(OR(V98=0,18&lt;='01_Вводные'!$B$297),0,V98*IF('01_Вводные'!$B$239="Да",MeanMinAge18+V204*SUMIF(ThresholdAge18,"&lt;"&amp;V204,WeightedRevAge18)-SUMIF(ThresholdAge18,"&lt;"&amp;V204,WeightedMinAge18),MAX(CapacityAge18*'01_Вводные'!$B$218*V204,MeanMinAge18)))</f>
        <v/>
      </c>
      <c r="W126" s="190">
        <f>IF(OR(W98=0,18&lt;='01_Вводные'!$B$297),0,W98*IF('01_Вводные'!$B$239="Да",MeanMinAge18+W204*SUMIF(ThresholdAge18,"&lt;"&amp;W204,WeightedRevAge18)-SUMIF(ThresholdAge18,"&lt;"&amp;W204,WeightedMinAge18),MAX(CapacityAge18*'01_Вводные'!$B$218*W204,MeanMinAge18)))</f>
        <v/>
      </c>
      <c r="X126" s="190">
        <f>IF(OR(X98=0,18&lt;='01_Вводные'!$B$297),0,X98*IF('01_Вводные'!$B$239="Да",MeanMinAge18+X204*SUMIF(ThresholdAge18,"&lt;"&amp;X204,WeightedRevAge18)-SUMIF(ThresholdAge18,"&lt;"&amp;X204,WeightedMinAge18),MAX(CapacityAge18*'01_Вводные'!$B$218*X204,MeanMinAge18)))</f>
        <v/>
      </c>
      <c r="Y126" s="190">
        <f>IF(OR(Y98=0,18&lt;='01_Вводные'!$B$297),0,Y98*IF('01_Вводные'!$B$239="Да",MeanMinAge18+Y204*SUMIF(ThresholdAge18,"&lt;"&amp;Y204,WeightedRevAge18)-SUMIF(ThresholdAge18,"&lt;"&amp;Y204,WeightedMinAge18),MAX(CapacityAge18*'01_Вводные'!$B$218*Y204,MeanMinAge18)))</f>
        <v/>
      </c>
      <c r="Z126" s="190">
        <f>IF(OR(Z98=0,18&lt;='01_Вводные'!$B$297),0,Z98*IF('01_Вводные'!$B$239="Да",MeanMinAge18+Z204*SUMIF(ThresholdAge18,"&lt;"&amp;Z204,WeightedRevAge18)-SUMIF(ThresholdAge18,"&lt;"&amp;Z204,WeightedMinAge18),MAX(CapacityAge18*'01_Вводные'!$B$218*Z204,MeanMinAge18)))</f>
        <v/>
      </c>
      <c r="AA126" s="190">
        <f>IF(OR(AA98=0,18&lt;='01_Вводные'!$B$297),0,AA98*IF('01_Вводные'!$B$239="Да",MeanMinAge18+AA204*SUMIF(ThresholdAge18,"&lt;"&amp;AA204,WeightedRevAge18)-SUMIF(ThresholdAge18,"&lt;"&amp;AA204,WeightedMinAge18),MAX(CapacityAge18*'01_Вводные'!$B$218*AA204,MeanMinAge18)))</f>
        <v/>
      </c>
      <c r="AB126" s="190">
        <f>IF(OR(AB98=0,18&lt;='01_Вводные'!$B$297),0,AB98*IF('01_Вводные'!$B$239="Да",MeanMinAge18+AB204*SUMIF(ThresholdAge18,"&lt;"&amp;AB204,WeightedRevAge18)-SUMIF(ThresholdAge18,"&lt;"&amp;AB204,WeightedMinAge18),MAX(CapacityAge18*'01_Вводные'!$B$218*AB204,MeanMinAge18)))</f>
        <v/>
      </c>
      <c r="AC126" s="190">
        <f>IF(OR(AC98=0,18&lt;='01_Вводные'!$B$297),0,AC98*IF('01_Вводные'!$B$239="Да",MeanMinAge18+AC204*SUMIF(ThresholdAge18,"&lt;"&amp;AC204,WeightedRevAge18)-SUMIF(ThresholdAge18,"&lt;"&amp;AC204,WeightedMinAge18),MAX(CapacityAge18*'01_Вводные'!$B$218*AC204,MeanMinAge18)))</f>
        <v/>
      </c>
      <c r="AD126" s="190">
        <f>IF(OR(AD98=0,18&lt;='01_Вводные'!$B$297),0,AD98*IF('01_Вводные'!$B$239="Да",MeanMinAge18+AD204*SUMIF(ThresholdAge18,"&lt;"&amp;AD204,WeightedRevAge18)-SUMIF(ThresholdAge18,"&lt;"&amp;AD204,WeightedMinAge18),MAX(CapacityAge18*'01_Вводные'!$B$218*AD204,MeanMinAge18)))</f>
        <v/>
      </c>
      <c r="AE126" s="190">
        <f>IF(OR(AE98=0,18&lt;='01_Вводные'!$B$297),0,AE98*IF('01_Вводные'!$B$239="Да",MeanMinAge18+AE204*SUMIF(ThresholdAge18,"&lt;"&amp;AE204,WeightedRevAge18)-SUMIF(ThresholdAge18,"&lt;"&amp;AE204,WeightedMinAge18),MAX(CapacityAge18*'01_Вводные'!$B$218*AE204,MeanMinAge18)))</f>
        <v/>
      </c>
      <c r="AF126" s="190">
        <f>IF(OR(AF98=0,18&lt;='01_Вводные'!$B$297),0,AF98*IF('01_Вводные'!$B$239="Да",MeanMinAge18+AF204*SUMIF(ThresholdAge18,"&lt;"&amp;AF204,WeightedRevAge18)-SUMIF(ThresholdAge18,"&lt;"&amp;AF204,WeightedMinAge18),MAX(CapacityAge18*'01_Вводные'!$B$218*AF204,MeanMinAge18)))</f>
        <v/>
      </c>
      <c r="AG126" s="190">
        <f>IF(OR(AG98=0,18&lt;='01_Вводные'!$B$297),0,AG98*IF('01_Вводные'!$B$239="Да",MeanMinAge18+AG204*SUMIF(ThresholdAge18,"&lt;"&amp;AG204,WeightedRevAge18)-SUMIF(ThresholdAge18,"&lt;"&amp;AG204,WeightedMinAge18),MAX(CapacityAge18*'01_Вводные'!$B$218*AG204,MeanMinAge18)))</f>
        <v/>
      </c>
      <c r="AH126" s="190">
        <f>IF(OR(AH98=0,18&lt;='01_Вводные'!$B$297),0,AH98*IF('01_Вводные'!$B$239="Да",MeanMinAge18+AH204*SUMIF(ThresholdAge18,"&lt;"&amp;AH204,WeightedRevAge18)-SUMIF(ThresholdAge18,"&lt;"&amp;AH204,WeightedMinAge18),MAX(CapacityAge18*'01_Вводные'!$B$218*AH204,MeanMinAge18)))</f>
        <v/>
      </c>
      <c r="AI126" s="190">
        <f>IF(OR(AI98=0,18&lt;='01_Вводные'!$B$297),0,AI98*IF('01_Вводные'!$B$239="Да",MeanMinAge18+AI204*SUMIF(ThresholdAge18,"&lt;"&amp;AI204,WeightedRevAge18)-SUMIF(ThresholdAge18,"&lt;"&amp;AI204,WeightedMinAge18),MAX(CapacityAge18*'01_Вводные'!$B$218*AI204,MeanMinAge18)))</f>
        <v/>
      </c>
      <c r="AJ126" s="190">
        <f>IF(OR(AJ98=0,18&lt;='01_Вводные'!$B$297),0,AJ98*IF('01_Вводные'!$B$239="Да",MeanMinAge18+AJ204*SUMIF(ThresholdAge18,"&lt;"&amp;AJ204,WeightedRevAge18)-SUMIF(ThresholdAge18,"&lt;"&amp;AJ204,WeightedMinAge18),MAX(CapacityAge18*'01_Вводные'!$B$218*AJ204,MeanMinAge18)))</f>
        <v/>
      </c>
      <c r="AK126" s="190">
        <f>IF(OR(AK98=0,18&lt;='01_Вводные'!$B$297),0,AK98*IF('01_Вводные'!$B$239="Да",MeanMinAge18+AK204*SUMIF(ThresholdAge18,"&lt;"&amp;AK204,WeightedRevAge18)-SUMIF(ThresholdAge18,"&lt;"&amp;AK204,WeightedMinAge18),MAX(CapacityAge18*'01_Вводные'!$B$218*AK204,MeanMinAge18)))</f>
        <v/>
      </c>
      <c r="AL126" s="190">
        <f>IF(OR(AL98=0,18&lt;='01_Вводные'!$B$297),0,AL98*IF('01_Вводные'!$B$239="Да",MeanMinAge18+AL204*SUMIF(ThresholdAge18,"&lt;"&amp;AL204,WeightedRevAge18)-SUMIF(ThresholdAge18,"&lt;"&amp;AL204,WeightedMinAge18),MAX(CapacityAge18*'01_Вводные'!$B$218*AL204,MeanMinAge18)))</f>
        <v/>
      </c>
      <c r="AM126" s="190">
        <f>IF(OR(AM98=0,18&lt;='01_Вводные'!$B$297),0,AM98*IF('01_Вводные'!$B$239="Да",MeanMinAge18+AM204*SUMIF(ThresholdAge18,"&lt;"&amp;AM204,WeightedRevAge18)-SUMIF(ThresholdAge18,"&lt;"&amp;AM204,WeightedMinAge18),MAX(CapacityAge18*'01_Вводные'!$B$218*AM204,MeanMinAge18)))</f>
        <v/>
      </c>
      <c r="AN126" s="190">
        <f>IF(OR(AN98=0,18&lt;='01_Вводные'!$B$297),0,AN98*IF('01_Вводные'!$B$239="Да",MeanMinAge18+AN204*SUMIF(ThresholdAge18,"&lt;"&amp;AN204,WeightedRevAge18)-SUMIF(ThresholdAge18,"&lt;"&amp;AN204,WeightedMinAge18),MAX(CapacityAge18*'01_Вводные'!$B$218*AN204,MeanMinAge18)))</f>
        <v/>
      </c>
      <c r="AO126" s="190">
        <f>IF(OR(AO98=0,18&lt;='01_Вводные'!$B$297),0,AO98*IF('01_Вводные'!$B$239="Да",MeanMinAge18+AO204*SUMIF(ThresholdAge18,"&lt;"&amp;AO204,WeightedRevAge18)-SUMIF(ThresholdAge18,"&lt;"&amp;AO204,WeightedMinAge18),MAX(CapacityAge18*'01_Вводные'!$B$218*AO204,MeanMinAge18)))</f>
        <v/>
      </c>
      <c r="AP126" s="190">
        <f>IF(OR(AP98=0,18&lt;='01_Вводные'!$B$297),0,AP98*IF('01_Вводные'!$B$239="Да",MeanMinAge18+AP204*SUMIF(ThresholdAge18,"&lt;"&amp;AP204,WeightedRevAge18)-SUMIF(ThresholdAge18,"&lt;"&amp;AP204,WeightedMinAge18),MAX(CapacityAge18*'01_Вводные'!$B$218*AP204,MeanMinAge18)))</f>
        <v/>
      </c>
      <c r="AQ126" s="190">
        <f>IF(OR(AQ98=0,18&lt;='01_Вводные'!$B$297),0,AQ98*IF('01_Вводные'!$B$239="Да",MeanMinAge18+AQ204*SUMIF(ThresholdAge18,"&lt;"&amp;AQ204,WeightedRevAge18)-SUMIF(ThresholdAge18,"&lt;"&amp;AQ204,WeightedMinAge18),MAX(CapacityAge18*'01_Вводные'!$B$218*AQ204,MeanMinAge18)))</f>
        <v/>
      </c>
      <c r="AR126" s="190">
        <f>IF(OR(AR98=0,18&lt;='01_Вводные'!$B$297),0,AR98*IF('01_Вводные'!$B$239="Да",MeanMinAge18+AR204*SUMIF(ThresholdAge18,"&lt;"&amp;AR204,WeightedRevAge18)-SUMIF(ThresholdAge18,"&lt;"&amp;AR204,WeightedMinAge18),MAX(CapacityAge18*'01_Вводные'!$B$218*AR204,MeanMinAge18)))</f>
        <v/>
      </c>
      <c r="AS126" s="190">
        <f>IF(OR(AS98=0,18&lt;='01_Вводные'!$B$297),0,AS98*IF('01_Вводные'!$B$239="Да",MeanMinAge18+AS204*SUMIF(ThresholdAge18,"&lt;"&amp;AS204,WeightedRevAge18)-SUMIF(ThresholdAge18,"&lt;"&amp;AS204,WeightedMinAge18),MAX(CapacityAge18*'01_Вводные'!$B$218*AS204,MeanMinAge18)))</f>
        <v/>
      </c>
      <c r="AT126" s="190">
        <f>IF(OR(AT98=0,18&lt;='01_Вводные'!$B$297),0,AT98*IF('01_Вводные'!$B$239="Да",MeanMinAge18+AT204*SUMIF(ThresholdAge18,"&lt;"&amp;AT204,WeightedRevAge18)-SUMIF(ThresholdAge18,"&lt;"&amp;AT204,WeightedMinAge18),MAX(CapacityAge18*'01_Вводные'!$B$218*AT204,MeanMinAge18)))</f>
        <v/>
      </c>
      <c r="AU126" s="190">
        <f>IF(OR(AU98=0,18&lt;='01_Вводные'!$B$297),0,AU98*IF('01_Вводные'!$B$239="Да",MeanMinAge18+AU204*SUMIF(ThresholdAge18,"&lt;"&amp;AU204,WeightedRevAge18)-SUMIF(ThresholdAge18,"&lt;"&amp;AU204,WeightedMinAge18),MAX(CapacityAge18*'01_Вводные'!$B$218*AU204,MeanMinAge18)))</f>
        <v/>
      </c>
      <c r="AV126" s="190">
        <f>IF(OR(AV98=0,18&lt;='01_Вводные'!$B$297),0,AV98*IF('01_Вводные'!$B$239="Да",MeanMinAge18+AV204*SUMIF(ThresholdAge18,"&lt;"&amp;AV204,WeightedRevAge18)-SUMIF(ThresholdAge18,"&lt;"&amp;AV204,WeightedMinAge18),MAX(CapacityAge18*'01_Вводные'!$B$218*AV204,MeanMinAge18)))</f>
        <v/>
      </c>
      <c r="AW126" s="190">
        <f>IF(OR(AW98=0,18&lt;='01_Вводные'!$B$297),0,AW98*IF('01_Вводные'!$B$239="Да",MeanMinAge18+AW204*SUMIF(ThresholdAge18,"&lt;"&amp;AW204,WeightedRevAge18)-SUMIF(ThresholdAge18,"&lt;"&amp;AW204,WeightedMinAge18),MAX(CapacityAge18*'01_Вводные'!$B$218*AW204,MeanMinAge18)))</f>
        <v/>
      </c>
      <c r="AX126" s="190">
        <f>IF(OR(AX98=0,18&lt;='01_Вводные'!$B$297),0,AX98*IF('01_Вводные'!$B$239="Да",MeanMinAge18+AX204*SUMIF(ThresholdAge18,"&lt;"&amp;AX204,WeightedRevAge18)-SUMIF(ThresholdAge18,"&lt;"&amp;AX204,WeightedMinAge18),MAX(CapacityAge18*'01_Вводные'!$B$218*AX204,MeanMinAge18)))</f>
        <v/>
      </c>
      <c r="AY126" s="190">
        <f>IF(OR(AY98=0,18&lt;='01_Вводные'!$B$297),0,AY98*IF('01_Вводные'!$B$239="Да",MeanMinAge18+AY204*SUMIF(ThresholdAge18,"&lt;"&amp;AY204,WeightedRevAge18)-SUMIF(ThresholdAge18,"&lt;"&amp;AY204,WeightedMinAge18),MAX(CapacityAge18*'01_Вводные'!$B$218*AY204,MeanMinAge18)))</f>
        <v/>
      </c>
      <c r="AZ126" s="190">
        <f>IF(OR(AZ98=0,18&lt;='01_Вводные'!$B$297),0,AZ98*IF('01_Вводные'!$B$239="Да",MeanMinAge18+AZ204*SUMIF(ThresholdAge18,"&lt;"&amp;AZ204,WeightedRevAge18)-SUMIF(ThresholdAge18,"&lt;"&amp;AZ204,WeightedMinAge18),MAX(CapacityAge18*'01_Вводные'!$B$218*AZ204,MeanMinAge18)))</f>
        <v/>
      </c>
      <c r="BA126" s="190">
        <f>IF(OR(BA98=0,18&lt;='01_Вводные'!$B$297),0,BA98*IF('01_Вводные'!$B$239="Да",MeanMinAge18+BA204*SUMIF(ThresholdAge18,"&lt;"&amp;BA204,WeightedRevAge18)-SUMIF(ThresholdAge18,"&lt;"&amp;BA204,WeightedMinAge18),MAX(CapacityAge18*'01_Вводные'!$B$218*BA204,MeanMinAge18)))</f>
        <v/>
      </c>
      <c r="BB126" s="190">
        <f>IF(OR(BB98=0,18&lt;='01_Вводные'!$B$297),0,BB98*IF('01_Вводные'!$B$239="Да",MeanMinAge18+BB204*SUMIF(ThresholdAge18,"&lt;"&amp;BB204,WeightedRevAge18)-SUMIF(ThresholdAge18,"&lt;"&amp;BB204,WeightedMinAge18),MAX(CapacityAge18*'01_Вводные'!$B$218*BB204,MeanMinAge18)))</f>
        <v/>
      </c>
      <c r="BC126" s="190">
        <f>IF(OR(BC98=0,18&lt;='01_Вводные'!$B$297),0,BC98*IF('01_Вводные'!$B$239="Да",MeanMinAge18+BC204*SUMIF(ThresholdAge18,"&lt;"&amp;BC204,WeightedRevAge18)-SUMIF(ThresholdAge18,"&lt;"&amp;BC204,WeightedMinAge18),MAX(CapacityAge18*'01_Вводные'!$B$218*BC204,MeanMinAge18)))</f>
        <v/>
      </c>
      <c r="BD126" s="190">
        <f>IF(OR(BD98=0,18&lt;='01_Вводные'!$B$297),0,BD98*IF('01_Вводные'!$B$239="Да",MeanMinAge18+BD204*SUMIF(ThresholdAge18,"&lt;"&amp;BD204,WeightedRevAge18)-SUMIF(ThresholdAge18,"&lt;"&amp;BD204,WeightedMinAge18),MAX(CapacityAge18*'01_Вводные'!$B$218*BD204,MeanMinAge18)))</f>
        <v/>
      </c>
      <c r="BE126" s="190">
        <f>IF(OR(BE98=0,18&lt;='01_Вводные'!$B$297),0,BE98*IF('01_Вводные'!$B$239="Да",MeanMinAge18+BE204*SUMIF(ThresholdAge18,"&lt;"&amp;BE204,WeightedRevAge18)-SUMIF(ThresholdAge18,"&lt;"&amp;BE204,WeightedMinAge18),MAX(CapacityAge18*'01_Вводные'!$B$218*BE204,MeanMinAge18)))</f>
        <v/>
      </c>
      <c r="BF126" s="190">
        <f>IF(OR(BF98=0,18&lt;='01_Вводные'!$B$297),0,BF98*IF('01_Вводные'!$B$239="Да",MeanMinAge18+BF204*SUMIF(ThresholdAge18,"&lt;"&amp;BF204,WeightedRevAge18)-SUMIF(ThresholdAge18,"&lt;"&amp;BF204,WeightedMinAge18),MAX(CapacityAge18*'01_Вводные'!$B$218*BF204,MeanMinAge18)))</f>
        <v/>
      </c>
      <c r="BG126" s="190">
        <f>IF(OR(BG98=0,18&lt;='01_Вводные'!$B$297),0,BG98*IF('01_Вводные'!$B$239="Да",MeanMinAge18+BG204*SUMIF(ThresholdAge18,"&lt;"&amp;BG204,WeightedRevAge18)-SUMIF(ThresholdAge18,"&lt;"&amp;BG204,WeightedMinAge18),MAX(CapacityAge18*'01_Вводные'!$B$218*BG204,MeanMinAge18)))</f>
        <v/>
      </c>
      <c r="BH126" s="190">
        <f>IF(OR(BH98=0,18&lt;='01_Вводные'!$B$297),0,BH98*IF('01_Вводные'!$B$239="Да",MeanMinAge18+BH204*SUMIF(ThresholdAge18,"&lt;"&amp;BH204,WeightedRevAge18)-SUMIF(ThresholdAge18,"&lt;"&amp;BH204,WeightedMinAge18),MAX(CapacityAge18*'01_Вводные'!$B$218*BH204,MeanMinAge18)))</f>
        <v/>
      </c>
      <c r="BI126" s="190">
        <f>IF(OR(BI98=0,18&lt;='01_Вводные'!$B$297),0,BI98*IF('01_Вводные'!$B$239="Да",MeanMinAge18+BI204*SUMIF(ThresholdAge18,"&lt;"&amp;BI204,WeightedRevAge18)-SUMIF(ThresholdAge18,"&lt;"&amp;BI204,WeightedMinAge18),MAX(CapacityAge18*'01_Вводные'!$B$218*BI204,MeanMinAge18)))</f>
        <v/>
      </c>
      <c r="BJ126" s="190">
        <f>IF(OR(BJ98=0,18&lt;='01_Вводные'!$B$297),0,BJ98*IF('01_Вводные'!$B$239="Да",MeanMinAge18+BJ204*SUMIF(ThresholdAge18,"&lt;"&amp;BJ204,WeightedRevAge18)-SUMIF(ThresholdAge18,"&lt;"&amp;BJ204,WeightedMinAge18),MAX(CapacityAge18*'01_Вводные'!$B$218*BJ204,MeanMinAge18)))</f>
        <v/>
      </c>
      <c r="BK126" s="190">
        <f>IF(OR(BK98=0,18&lt;='01_Вводные'!$B$297),0,BK98*IF('01_Вводные'!$B$239="Да",MeanMinAge18+BK204*SUMIF(ThresholdAge18,"&lt;"&amp;BK204,WeightedRevAge18)-SUMIF(ThresholdAge18,"&lt;"&amp;BK204,WeightedMinAge18),MAX(CapacityAge18*'01_Вводные'!$B$218*BK204,MeanMinAge18)))</f>
        <v/>
      </c>
      <c r="BL126" s="190">
        <f>IF(OR(BL98=0,18&lt;='01_Вводные'!$B$297),0,BL98*IF('01_Вводные'!$B$239="Да",MeanMinAge18+BL204*SUMIF(ThresholdAge18,"&lt;"&amp;BL204,WeightedRevAge18)-SUMIF(ThresholdAge18,"&lt;"&amp;BL204,WeightedMinAge18),MAX(CapacityAge18*'01_Вводные'!$B$218*BL204,MeanMinAge18)))</f>
        <v/>
      </c>
      <c r="BM126" s="190">
        <f>IF(OR(BM98=0,18&lt;='01_Вводные'!$B$297),0,BM98*IF('01_Вводные'!$B$239="Да",MeanMinAge18+BM204*SUMIF(ThresholdAge18,"&lt;"&amp;BM204,WeightedRevAge18)-SUMIF(ThresholdAge18,"&lt;"&amp;BM204,WeightedMinAge18),MAX(CapacityAge18*'01_Вводные'!$B$218*BM204,MeanMinAge18)))</f>
        <v/>
      </c>
      <c r="BN126" s="190">
        <f>IF(OR(BN98=0,18&lt;='01_Вводные'!$B$297),0,BN98*IF('01_Вводные'!$B$239="Да",MeanMinAge18+BN204*SUMIF(ThresholdAge18,"&lt;"&amp;BN204,WeightedRevAge18)-SUMIF(ThresholdAge18,"&lt;"&amp;BN204,WeightedMinAge18),MAX(CapacityAge18*'01_Вводные'!$B$218*BN204,MeanMinAge18)))</f>
        <v/>
      </c>
      <c r="BO126" s="190">
        <f>IF(OR(BO98=0,18&lt;='01_Вводные'!$B$297),0,BO98*IF('01_Вводные'!$B$239="Да",MeanMinAge18+BO204*SUMIF(ThresholdAge18,"&lt;"&amp;BO204,WeightedRevAge18)-SUMIF(ThresholdAge18,"&lt;"&amp;BO204,WeightedMinAge18),MAX(CapacityAge18*'01_Вводные'!$B$218*BO204,MeanMinAge18)))</f>
        <v/>
      </c>
    </row>
    <row r="127" hidden="1" outlineLevel="1">
      <c r="A127" t="inlineStr">
        <is>
          <t>19 мес.</t>
        </is>
      </c>
      <c r="B127" s="190">
        <f>IF(OR(B99=0,19&lt;='01_Вводные'!$B$297),0,B99*IF('01_Вводные'!$B$239="Да",MeanMinAge19+B204*SUMIF(ThresholdAge19,"&lt;"&amp;B204,WeightedRevAge19)-SUMIF(ThresholdAge19,"&lt;"&amp;B204,WeightedMinAge19),MAX(CapacityAge19*'01_Вводные'!$B$218*B204,MeanMinAge19)))</f>
        <v/>
      </c>
      <c r="C127" s="190">
        <f>IF(OR(C99=0,19&lt;='01_Вводные'!$B$297),0,C99*IF('01_Вводные'!$B$239="Да",MeanMinAge19+C204*SUMIF(ThresholdAge19,"&lt;"&amp;C204,WeightedRevAge19)-SUMIF(ThresholdAge19,"&lt;"&amp;C204,WeightedMinAge19),MAX(CapacityAge19*'01_Вводные'!$B$218*C204,MeanMinAge19)))</f>
        <v/>
      </c>
      <c r="D127" s="190">
        <f>IF(OR(D99=0,19&lt;='01_Вводные'!$B$297),0,D99*IF('01_Вводные'!$B$239="Да",MeanMinAge19+D204*SUMIF(ThresholdAge19,"&lt;"&amp;D204,WeightedRevAge19)-SUMIF(ThresholdAge19,"&lt;"&amp;D204,WeightedMinAge19),MAX(CapacityAge19*'01_Вводные'!$B$218*D204,MeanMinAge19)))</f>
        <v/>
      </c>
      <c r="E127" s="190">
        <f>IF(OR(E99=0,19&lt;='01_Вводные'!$B$297),0,E99*IF('01_Вводные'!$B$239="Да",MeanMinAge19+E204*SUMIF(ThresholdAge19,"&lt;"&amp;E204,WeightedRevAge19)-SUMIF(ThresholdAge19,"&lt;"&amp;E204,WeightedMinAge19),MAX(CapacityAge19*'01_Вводные'!$B$218*E204,MeanMinAge19)))</f>
        <v/>
      </c>
      <c r="F127" s="190">
        <f>IF(OR(F99=0,19&lt;='01_Вводные'!$B$297),0,F99*IF('01_Вводные'!$B$239="Да",MeanMinAge19+F204*SUMIF(ThresholdAge19,"&lt;"&amp;F204,WeightedRevAge19)-SUMIF(ThresholdAge19,"&lt;"&amp;F204,WeightedMinAge19),MAX(CapacityAge19*'01_Вводные'!$B$218*F204,MeanMinAge19)))</f>
        <v/>
      </c>
      <c r="G127" s="190">
        <f>IF(OR(G99=0,19&lt;='01_Вводные'!$B$297),0,G99*IF('01_Вводные'!$B$239="Да",MeanMinAge19+G204*SUMIF(ThresholdAge19,"&lt;"&amp;G204,WeightedRevAge19)-SUMIF(ThresholdAge19,"&lt;"&amp;G204,WeightedMinAge19),MAX(CapacityAge19*'01_Вводные'!$B$218*G204,MeanMinAge19)))</f>
        <v/>
      </c>
      <c r="H127" s="190">
        <f>IF(OR(H99=0,19&lt;='01_Вводные'!$B$297),0,H99*IF('01_Вводные'!$B$239="Да",MeanMinAge19+H204*SUMIF(ThresholdAge19,"&lt;"&amp;H204,WeightedRevAge19)-SUMIF(ThresholdAge19,"&lt;"&amp;H204,WeightedMinAge19),MAX(CapacityAge19*'01_Вводные'!$B$218*H204,MeanMinAge19)))</f>
        <v/>
      </c>
      <c r="I127" s="190">
        <f>IF(OR(I99=0,19&lt;='01_Вводные'!$B$297),0,I99*IF('01_Вводные'!$B$239="Да",MeanMinAge19+I204*SUMIF(ThresholdAge19,"&lt;"&amp;I204,WeightedRevAge19)-SUMIF(ThresholdAge19,"&lt;"&amp;I204,WeightedMinAge19),MAX(CapacityAge19*'01_Вводные'!$B$218*I204,MeanMinAge19)))</f>
        <v/>
      </c>
      <c r="J127" s="190">
        <f>IF(OR(J99=0,19&lt;='01_Вводные'!$B$297),0,J99*IF('01_Вводные'!$B$239="Да",MeanMinAge19+J204*SUMIF(ThresholdAge19,"&lt;"&amp;J204,WeightedRevAge19)-SUMIF(ThresholdAge19,"&lt;"&amp;J204,WeightedMinAge19),MAX(CapacityAge19*'01_Вводные'!$B$218*J204,MeanMinAge19)))</f>
        <v/>
      </c>
      <c r="K127" s="190">
        <f>IF(OR(K99=0,19&lt;='01_Вводные'!$B$297),0,K99*IF('01_Вводные'!$B$239="Да",MeanMinAge19+K204*SUMIF(ThresholdAge19,"&lt;"&amp;K204,WeightedRevAge19)-SUMIF(ThresholdAge19,"&lt;"&amp;K204,WeightedMinAge19),MAX(CapacityAge19*'01_Вводные'!$B$218*K204,MeanMinAge19)))</f>
        <v/>
      </c>
      <c r="L127" s="190">
        <f>IF(OR(L99=0,19&lt;='01_Вводные'!$B$297),0,L99*IF('01_Вводные'!$B$239="Да",MeanMinAge19+L204*SUMIF(ThresholdAge19,"&lt;"&amp;L204,WeightedRevAge19)-SUMIF(ThresholdAge19,"&lt;"&amp;L204,WeightedMinAge19),MAX(CapacityAge19*'01_Вводные'!$B$218*L204,MeanMinAge19)))</f>
        <v/>
      </c>
      <c r="M127" s="190">
        <f>IF(OR(M99=0,19&lt;='01_Вводные'!$B$297),0,M99*IF('01_Вводные'!$B$239="Да",MeanMinAge19+M204*SUMIF(ThresholdAge19,"&lt;"&amp;M204,WeightedRevAge19)-SUMIF(ThresholdAge19,"&lt;"&amp;M204,WeightedMinAge19),MAX(CapacityAge19*'01_Вводные'!$B$218*M204,MeanMinAge19)))</f>
        <v/>
      </c>
      <c r="N127" s="190">
        <f>IF(OR(N99=0,19&lt;='01_Вводные'!$B$297),0,N99*IF('01_Вводные'!$B$239="Да",MeanMinAge19+N204*SUMIF(ThresholdAge19,"&lt;"&amp;N204,WeightedRevAge19)-SUMIF(ThresholdAge19,"&lt;"&amp;N204,WeightedMinAge19),MAX(CapacityAge19*'01_Вводные'!$B$218*N204,MeanMinAge19)))</f>
        <v/>
      </c>
      <c r="O127" s="190">
        <f>IF(OR(O99=0,19&lt;='01_Вводные'!$B$297),0,O99*IF('01_Вводные'!$B$239="Да",MeanMinAge19+O204*SUMIF(ThresholdAge19,"&lt;"&amp;O204,WeightedRevAge19)-SUMIF(ThresholdAge19,"&lt;"&amp;O204,WeightedMinAge19),MAX(CapacityAge19*'01_Вводные'!$B$218*O204,MeanMinAge19)))</f>
        <v/>
      </c>
      <c r="P127" s="190">
        <f>IF(OR(P99=0,19&lt;='01_Вводные'!$B$297),0,P99*IF('01_Вводные'!$B$239="Да",MeanMinAge19+P204*SUMIF(ThresholdAge19,"&lt;"&amp;P204,WeightedRevAge19)-SUMIF(ThresholdAge19,"&lt;"&amp;P204,WeightedMinAge19),MAX(CapacityAge19*'01_Вводные'!$B$218*P204,MeanMinAge19)))</f>
        <v/>
      </c>
      <c r="Q127" s="190">
        <f>IF(OR(Q99=0,19&lt;='01_Вводные'!$B$297),0,Q99*IF('01_Вводные'!$B$239="Да",MeanMinAge19+Q204*SUMIF(ThresholdAge19,"&lt;"&amp;Q204,WeightedRevAge19)-SUMIF(ThresholdAge19,"&lt;"&amp;Q204,WeightedMinAge19),MAX(CapacityAge19*'01_Вводные'!$B$218*Q204,MeanMinAge19)))</f>
        <v/>
      </c>
      <c r="R127" s="190">
        <f>IF(OR(R99=0,19&lt;='01_Вводные'!$B$297),0,R99*IF('01_Вводные'!$B$239="Да",MeanMinAge19+R204*SUMIF(ThresholdAge19,"&lt;"&amp;R204,WeightedRevAge19)-SUMIF(ThresholdAge19,"&lt;"&amp;R204,WeightedMinAge19),MAX(CapacityAge19*'01_Вводные'!$B$218*R204,MeanMinAge19)))</f>
        <v/>
      </c>
      <c r="S127" s="190">
        <f>IF(OR(S99=0,19&lt;='01_Вводные'!$B$297),0,S99*IF('01_Вводные'!$B$239="Да",MeanMinAge19+S204*SUMIF(ThresholdAge19,"&lt;"&amp;S204,WeightedRevAge19)-SUMIF(ThresholdAge19,"&lt;"&amp;S204,WeightedMinAge19),MAX(CapacityAge19*'01_Вводные'!$B$218*S204,MeanMinAge19)))</f>
        <v/>
      </c>
      <c r="T127" s="190">
        <f>IF(OR(T99=0,19&lt;='01_Вводные'!$B$297),0,T99*IF('01_Вводные'!$B$239="Да",MeanMinAge19+T204*SUMIF(ThresholdAge19,"&lt;"&amp;T204,WeightedRevAge19)-SUMIF(ThresholdAge19,"&lt;"&amp;T204,WeightedMinAge19),MAX(CapacityAge19*'01_Вводные'!$B$218*T204,MeanMinAge19)))</f>
        <v/>
      </c>
      <c r="U127" s="190">
        <f>IF(OR(U99=0,19&lt;='01_Вводные'!$B$297),0,U99*IF('01_Вводные'!$B$239="Да",MeanMinAge19+U204*SUMIF(ThresholdAge19,"&lt;"&amp;U204,WeightedRevAge19)-SUMIF(ThresholdAge19,"&lt;"&amp;U204,WeightedMinAge19),MAX(CapacityAge19*'01_Вводные'!$B$218*U204,MeanMinAge19)))</f>
        <v/>
      </c>
      <c r="V127" s="190">
        <f>IF(OR(V99=0,19&lt;='01_Вводные'!$B$297),0,V99*IF('01_Вводные'!$B$239="Да",MeanMinAge19+V204*SUMIF(ThresholdAge19,"&lt;"&amp;V204,WeightedRevAge19)-SUMIF(ThresholdAge19,"&lt;"&amp;V204,WeightedMinAge19),MAX(CapacityAge19*'01_Вводные'!$B$218*V204,MeanMinAge19)))</f>
        <v/>
      </c>
      <c r="W127" s="190">
        <f>IF(OR(W99=0,19&lt;='01_Вводные'!$B$297),0,W99*IF('01_Вводные'!$B$239="Да",MeanMinAge19+W204*SUMIF(ThresholdAge19,"&lt;"&amp;W204,WeightedRevAge19)-SUMIF(ThresholdAge19,"&lt;"&amp;W204,WeightedMinAge19),MAX(CapacityAge19*'01_Вводные'!$B$218*W204,MeanMinAge19)))</f>
        <v/>
      </c>
      <c r="X127" s="190">
        <f>IF(OR(X99=0,19&lt;='01_Вводные'!$B$297),0,X99*IF('01_Вводные'!$B$239="Да",MeanMinAge19+X204*SUMIF(ThresholdAge19,"&lt;"&amp;X204,WeightedRevAge19)-SUMIF(ThresholdAge19,"&lt;"&amp;X204,WeightedMinAge19),MAX(CapacityAge19*'01_Вводные'!$B$218*X204,MeanMinAge19)))</f>
        <v/>
      </c>
      <c r="Y127" s="190">
        <f>IF(OR(Y99=0,19&lt;='01_Вводные'!$B$297),0,Y99*IF('01_Вводные'!$B$239="Да",MeanMinAge19+Y204*SUMIF(ThresholdAge19,"&lt;"&amp;Y204,WeightedRevAge19)-SUMIF(ThresholdAge19,"&lt;"&amp;Y204,WeightedMinAge19),MAX(CapacityAge19*'01_Вводные'!$B$218*Y204,MeanMinAge19)))</f>
        <v/>
      </c>
      <c r="Z127" s="190">
        <f>IF(OR(Z99=0,19&lt;='01_Вводные'!$B$297),0,Z99*IF('01_Вводные'!$B$239="Да",MeanMinAge19+Z204*SUMIF(ThresholdAge19,"&lt;"&amp;Z204,WeightedRevAge19)-SUMIF(ThresholdAge19,"&lt;"&amp;Z204,WeightedMinAge19),MAX(CapacityAge19*'01_Вводные'!$B$218*Z204,MeanMinAge19)))</f>
        <v/>
      </c>
      <c r="AA127" s="190">
        <f>IF(OR(AA99=0,19&lt;='01_Вводные'!$B$297),0,AA99*IF('01_Вводные'!$B$239="Да",MeanMinAge19+AA204*SUMIF(ThresholdAge19,"&lt;"&amp;AA204,WeightedRevAge19)-SUMIF(ThresholdAge19,"&lt;"&amp;AA204,WeightedMinAge19),MAX(CapacityAge19*'01_Вводные'!$B$218*AA204,MeanMinAge19)))</f>
        <v/>
      </c>
      <c r="AB127" s="190">
        <f>IF(OR(AB99=0,19&lt;='01_Вводные'!$B$297),0,AB99*IF('01_Вводные'!$B$239="Да",MeanMinAge19+AB204*SUMIF(ThresholdAge19,"&lt;"&amp;AB204,WeightedRevAge19)-SUMIF(ThresholdAge19,"&lt;"&amp;AB204,WeightedMinAge19),MAX(CapacityAge19*'01_Вводные'!$B$218*AB204,MeanMinAge19)))</f>
        <v/>
      </c>
      <c r="AC127" s="190">
        <f>IF(OR(AC99=0,19&lt;='01_Вводные'!$B$297),0,AC99*IF('01_Вводные'!$B$239="Да",MeanMinAge19+AC204*SUMIF(ThresholdAge19,"&lt;"&amp;AC204,WeightedRevAge19)-SUMIF(ThresholdAge19,"&lt;"&amp;AC204,WeightedMinAge19),MAX(CapacityAge19*'01_Вводные'!$B$218*AC204,MeanMinAge19)))</f>
        <v/>
      </c>
      <c r="AD127" s="190">
        <f>IF(OR(AD99=0,19&lt;='01_Вводные'!$B$297),0,AD99*IF('01_Вводные'!$B$239="Да",MeanMinAge19+AD204*SUMIF(ThresholdAge19,"&lt;"&amp;AD204,WeightedRevAge19)-SUMIF(ThresholdAge19,"&lt;"&amp;AD204,WeightedMinAge19),MAX(CapacityAge19*'01_Вводные'!$B$218*AD204,MeanMinAge19)))</f>
        <v/>
      </c>
      <c r="AE127" s="190">
        <f>IF(OR(AE99=0,19&lt;='01_Вводные'!$B$297),0,AE99*IF('01_Вводные'!$B$239="Да",MeanMinAge19+AE204*SUMIF(ThresholdAge19,"&lt;"&amp;AE204,WeightedRevAge19)-SUMIF(ThresholdAge19,"&lt;"&amp;AE204,WeightedMinAge19),MAX(CapacityAge19*'01_Вводные'!$B$218*AE204,MeanMinAge19)))</f>
        <v/>
      </c>
      <c r="AF127" s="190">
        <f>IF(OR(AF99=0,19&lt;='01_Вводные'!$B$297),0,AF99*IF('01_Вводные'!$B$239="Да",MeanMinAge19+AF204*SUMIF(ThresholdAge19,"&lt;"&amp;AF204,WeightedRevAge19)-SUMIF(ThresholdAge19,"&lt;"&amp;AF204,WeightedMinAge19),MAX(CapacityAge19*'01_Вводные'!$B$218*AF204,MeanMinAge19)))</f>
        <v/>
      </c>
      <c r="AG127" s="190">
        <f>IF(OR(AG99=0,19&lt;='01_Вводные'!$B$297),0,AG99*IF('01_Вводные'!$B$239="Да",MeanMinAge19+AG204*SUMIF(ThresholdAge19,"&lt;"&amp;AG204,WeightedRevAge19)-SUMIF(ThresholdAge19,"&lt;"&amp;AG204,WeightedMinAge19),MAX(CapacityAge19*'01_Вводные'!$B$218*AG204,MeanMinAge19)))</f>
        <v/>
      </c>
      <c r="AH127" s="190">
        <f>IF(OR(AH99=0,19&lt;='01_Вводные'!$B$297),0,AH99*IF('01_Вводные'!$B$239="Да",MeanMinAge19+AH204*SUMIF(ThresholdAge19,"&lt;"&amp;AH204,WeightedRevAge19)-SUMIF(ThresholdAge19,"&lt;"&amp;AH204,WeightedMinAge19),MAX(CapacityAge19*'01_Вводные'!$B$218*AH204,MeanMinAge19)))</f>
        <v/>
      </c>
      <c r="AI127" s="190">
        <f>IF(OR(AI99=0,19&lt;='01_Вводные'!$B$297),0,AI99*IF('01_Вводные'!$B$239="Да",MeanMinAge19+AI204*SUMIF(ThresholdAge19,"&lt;"&amp;AI204,WeightedRevAge19)-SUMIF(ThresholdAge19,"&lt;"&amp;AI204,WeightedMinAge19),MAX(CapacityAge19*'01_Вводные'!$B$218*AI204,MeanMinAge19)))</f>
        <v/>
      </c>
      <c r="AJ127" s="190">
        <f>IF(OR(AJ99=0,19&lt;='01_Вводные'!$B$297),0,AJ99*IF('01_Вводные'!$B$239="Да",MeanMinAge19+AJ204*SUMIF(ThresholdAge19,"&lt;"&amp;AJ204,WeightedRevAge19)-SUMIF(ThresholdAge19,"&lt;"&amp;AJ204,WeightedMinAge19),MAX(CapacityAge19*'01_Вводные'!$B$218*AJ204,MeanMinAge19)))</f>
        <v/>
      </c>
      <c r="AK127" s="190">
        <f>IF(OR(AK99=0,19&lt;='01_Вводные'!$B$297),0,AK99*IF('01_Вводные'!$B$239="Да",MeanMinAge19+AK204*SUMIF(ThresholdAge19,"&lt;"&amp;AK204,WeightedRevAge19)-SUMIF(ThresholdAge19,"&lt;"&amp;AK204,WeightedMinAge19),MAX(CapacityAge19*'01_Вводные'!$B$218*AK204,MeanMinAge19)))</f>
        <v/>
      </c>
      <c r="AL127" s="190">
        <f>IF(OR(AL99=0,19&lt;='01_Вводные'!$B$297),0,AL99*IF('01_Вводные'!$B$239="Да",MeanMinAge19+AL204*SUMIF(ThresholdAge19,"&lt;"&amp;AL204,WeightedRevAge19)-SUMIF(ThresholdAge19,"&lt;"&amp;AL204,WeightedMinAge19),MAX(CapacityAge19*'01_Вводные'!$B$218*AL204,MeanMinAge19)))</f>
        <v/>
      </c>
      <c r="AM127" s="190">
        <f>IF(OR(AM99=0,19&lt;='01_Вводные'!$B$297),0,AM99*IF('01_Вводные'!$B$239="Да",MeanMinAge19+AM204*SUMIF(ThresholdAge19,"&lt;"&amp;AM204,WeightedRevAge19)-SUMIF(ThresholdAge19,"&lt;"&amp;AM204,WeightedMinAge19),MAX(CapacityAge19*'01_Вводные'!$B$218*AM204,MeanMinAge19)))</f>
        <v/>
      </c>
      <c r="AN127" s="190">
        <f>IF(OR(AN99=0,19&lt;='01_Вводные'!$B$297),0,AN99*IF('01_Вводные'!$B$239="Да",MeanMinAge19+AN204*SUMIF(ThresholdAge19,"&lt;"&amp;AN204,WeightedRevAge19)-SUMIF(ThresholdAge19,"&lt;"&amp;AN204,WeightedMinAge19),MAX(CapacityAge19*'01_Вводные'!$B$218*AN204,MeanMinAge19)))</f>
        <v/>
      </c>
      <c r="AO127" s="190">
        <f>IF(OR(AO99=0,19&lt;='01_Вводные'!$B$297),0,AO99*IF('01_Вводные'!$B$239="Да",MeanMinAge19+AO204*SUMIF(ThresholdAge19,"&lt;"&amp;AO204,WeightedRevAge19)-SUMIF(ThresholdAge19,"&lt;"&amp;AO204,WeightedMinAge19),MAX(CapacityAge19*'01_Вводные'!$B$218*AO204,MeanMinAge19)))</f>
        <v/>
      </c>
      <c r="AP127" s="190">
        <f>IF(OR(AP99=0,19&lt;='01_Вводные'!$B$297),0,AP99*IF('01_Вводные'!$B$239="Да",MeanMinAge19+AP204*SUMIF(ThresholdAge19,"&lt;"&amp;AP204,WeightedRevAge19)-SUMIF(ThresholdAge19,"&lt;"&amp;AP204,WeightedMinAge19),MAX(CapacityAge19*'01_Вводные'!$B$218*AP204,MeanMinAge19)))</f>
        <v/>
      </c>
      <c r="AQ127" s="190">
        <f>IF(OR(AQ99=0,19&lt;='01_Вводные'!$B$297),0,AQ99*IF('01_Вводные'!$B$239="Да",MeanMinAge19+AQ204*SUMIF(ThresholdAge19,"&lt;"&amp;AQ204,WeightedRevAge19)-SUMIF(ThresholdAge19,"&lt;"&amp;AQ204,WeightedMinAge19),MAX(CapacityAge19*'01_Вводные'!$B$218*AQ204,MeanMinAge19)))</f>
        <v/>
      </c>
      <c r="AR127" s="190">
        <f>IF(OR(AR99=0,19&lt;='01_Вводные'!$B$297),0,AR99*IF('01_Вводные'!$B$239="Да",MeanMinAge19+AR204*SUMIF(ThresholdAge19,"&lt;"&amp;AR204,WeightedRevAge19)-SUMIF(ThresholdAge19,"&lt;"&amp;AR204,WeightedMinAge19),MAX(CapacityAge19*'01_Вводные'!$B$218*AR204,MeanMinAge19)))</f>
        <v/>
      </c>
      <c r="AS127" s="190">
        <f>IF(OR(AS99=0,19&lt;='01_Вводные'!$B$297),0,AS99*IF('01_Вводные'!$B$239="Да",MeanMinAge19+AS204*SUMIF(ThresholdAge19,"&lt;"&amp;AS204,WeightedRevAge19)-SUMIF(ThresholdAge19,"&lt;"&amp;AS204,WeightedMinAge19),MAX(CapacityAge19*'01_Вводные'!$B$218*AS204,MeanMinAge19)))</f>
        <v/>
      </c>
      <c r="AT127" s="190">
        <f>IF(OR(AT99=0,19&lt;='01_Вводные'!$B$297),0,AT99*IF('01_Вводные'!$B$239="Да",MeanMinAge19+AT204*SUMIF(ThresholdAge19,"&lt;"&amp;AT204,WeightedRevAge19)-SUMIF(ThresholdAge19,"&lt;"&amp;AT204,WeightedMinAge19),MAX(CapacityAge19*'01_Вводные'!$B$218*AT204,MeanMinAge19)))</f>
        <v/>
      </c>
      <c r="AU127" s="190">
        <f>IF(OR(AU99=0,19&lt;='01_Вводные'!$B$297),0,AU99*IF('01_Вводные'!$B$239="Да",MeanMinAge19+AU204*SUMIF(ThresholdAge19,"&lt;"&amp;AU204,WeightedRevAge19)-SUMIF(ThresholdAge19,"&lt;"&amp;AU204,WeightedMinAge19),MAX(CapacityAge19*'01_Вводные'!$B$218*AU204,MeanMinAge19)))</f>
        <v/>
      </c>
      <c r="AV127" s="190">
        <f>IF(OR(AV99=0,19&lt;='01_Вводные'!$B$297),0,AV99*IF('01_Вводные'!$B$239="Да",MeanMinAge19+AV204*SUMIF(ThresholdAge19,"&lt;"&amp;AV204,WeightedRevAge19)-SUMIF(ThresholdAge19,"&lt;"&amp;AV204,WeightedMinAge19),MAX(CapacityAge19*'01_Вводные'!$B$218*AV204,MeanMinAge19)))</f>
        <v/>
      </c>
      <c r="AW127" s="190">
        <f>IF(OR(AW99=0,19&lt;='01_Вводные'!$B$297),0,AW99*IF('01_Вводные'!$B$239="Да",MeanMinAge19+AW204*SUMIF(ThresholdAge19,"&lt;"&amp;AW204,WeightedRevAge19)-SUMIF(ThresholdAge19,"&lt;"&amp;AW204,WeightedMinAge19),MAX(CapacityAge19*'01_Вводные'!$B$218*AW204,MeanMinAge19)))</f>
        <v/>
      </c>
      <c r="AX127" s="190">
        <f>IF(OR(AX99=0,19&lt;='01_Вводные'!$B$297),0,AX99*IF('01_Вводные'!$B$239="Да",MeanMinAge19+AX204*SUMIF(ThresholdAge19,"&lt;"&amp;AX204,WeightedRevAge19)-SUMIF(ThresholdAge19,"&lt;"&amp;AX204,WeightedMinAge19),MAX(CapacityAge19*'01_Вводные'!$B$218*AX204,MeanMinAge19)))</f>
        <v/>
      </c>
      <c r="AY127" s="190">
        <f>IF(OR(AY99=0,19&lt;='01_Вводные'!$B$297),0,AY99*IF('01_Вводные'!$B$239="Да",MeanMinAge19+AY204*SUMIF(ThresholdAge19,"&lt;"&amp;AY204,WeightedRevAge19)-SUMIF(ThresholdAge19,"&lt;"&amp;AY204,WeightedMinAge19),MAX(CapacityAge19*'01_Вводные'!$B$218*AY204,MeanMinAge19)))</f>
        <v/>
      </c>
      <c r="AZ127" s="190">
        <f>IF(OR(AZ99=0,19&lt;='01_Вводные'!$B$297),0,AZ99*IF('01_Вводные'!$B$239="Да",MeanMinAge19+AZ204*SUMIF(ThresholdAge19,"&lt;"&amp;AZ204,WeightedRevAge19)-SUMIF(ThresholdAge19,"&lt;"&amp;AZ204,WeightedMinAge19),MAX(CapacityAge19*'01_Вводные'!$B$218*AZ204,MeanMinAge19)))</f>
        <v/>
      </c>
      <c r="BA127" s="190">
        <f>IF(OR(BA99=0,19&lt;='01_Вводные'!$B$297),0,BA99*IF('01_Вводные'!$B$239="Да",MeanMinAge19+BA204*SUMIF(ThresholdAge19,"&lt;"&amp;BA204,WeightedRevAge19)-SUMIF(ThresholdAge19,"&lt;"&amp;BA204,WeightedMinAge19),MAX(CapacityAge19*'01_Вводные'!$B$218*BA204,MeanMinAge19)))</f>
        <v/>
      </c>
      <c r="BB127" s="190">
        <f>IF(OR(BB99=0,19&lt;='01_Вводные'!$B$297),0,BB99*IF('01_Вводные'!$B$239="Да",MeanMinAge19+BB204*SUMIF(ThresholdAge19,"&lt;"&amp;BB204,WeightedRevAge19)-SUMIF(ThresholdAge19,"&lt;"&amp;BB204,WeightedMinAge19),MAX(CapacityAge19*'01_Вводные'!$B$218*BB204,MeanMinAge19)))</f>
        <v/>
      </c>
      <c r="BC127" s="190">
        <f>IF(OR(BC99=0,19&lt;='01_Вводные'!$B$297),0,BC99*IF('01_Вводные'!$B$239="Да",MeanMinAge19+BC204*SUMIF(ThresholdAge19,"&lt;"&amp;BC204,WeightedRevAge19)-SUMIF(ThresholdAge19,"&lt;"&amp;BC204,WeightedMinAge19),MAX(CapacityAge19*'01_Вводные'!$B$218*BC204,MeanMinAge19)))</f>
        <v/>
      </c>
      <c r="BD127" s="190">
        <f>IF(OR(BD99=0,19&lt;='01_Вводные'!$B$297),0,BD99*IF('01_Вводные'!$B$239="Да",MeanMinAge19+BD204*SUMIF(ThresholdAge19,"&lt;"&amp;BD204,WeightedRevAge19)-SUMIF(ThresholdAge19,"&lt;"&amp;BD204,WeightedMinAge19),MAX(CapacityAge19*'01_Вводные'!$B$218*BD204,MeanMinAge19)))</f>
        <v/>
      </c>
      <c r="BE127" s="190">
        <f>IF(OR(BE99=0,19&lt;='01_Вводные'!$B$297),0,BE99*IF('01_Вводные'!$B$239="Да",MeanMinAge19+BE204*SUMIF(ThresholdAge19,"&lt;"&amp;BE204,WeightedRevAge19)-SUMIF(ThresholdAge19,"&lt;"&amp;BE204,WeightedMinAge19),MAX(CapacityAge19*'01_Вводные'!$B$218*BE204,MeanMinAge19)))</f>
        <v/>
      </c>
      <c r="BF127" s="190">
        <f>IF(OR(BF99=0,19&lt;='01_Вводные'!$B$297),0,BF99*IF('01_Вводные'!$B$239="Да",MeanMinAge19+BF204*SUMIF(ThresholdAge19,"&lt;"&amp;BF204,WeightedRevAge19)-SUMIF(ThresholdAge19,"&lt;"&amp;BF204,WeightedMinAge19),MAX(CapacityAge19*'01_Вводные'!$B$218*BF204,MeanMinAge19)))</f>
        <v/>
      </c>
      <c r="BG127" s="190">
        <f>IF(OR(BG99=0,19&lt;='01_Вводные'!$B$297),0,BG99*IF('01_Вводные'!$B$239="Да",MeanMinAge19+BG204*SUMIF(ThresholdAge19,"&lt;"&amp;BG204,WeightedRevAge19)-SUMIF(ThresholdAge19,"&lt;"&amp;BG204,WeightedMinAge19),MAX(CapacityAge19*'01_Вводные'!$B$218*BG204,MeanMinAge19)))</f>
        <v/>
      </c>
      <c r="BH127" s="190">
        <f>IF(OR(BH99=0,19&lt;='01_Вводные'!$B$297),0,BH99*IF('01_Вводные'!$B$239="Да",MeanMinAge19+BH204*SUMIF(ThresholdAge19,"&lt;"&amp;BH204,WeightedRevAge19)-SUMIF(ThresholdAge19,"&lt;"&amp;BH204,WeightedMinAge19),MAX(CapacityAge19*'01_Вводные'!$B$218*BH204,MeanMinAge19)))</f>
        <v/>
      </c>
      <c r="BI127" s="190">
        <f>IF(OR(BI99=0,19&lt;='01_Вводные'!$B$297),0,BI99*IF('01_Вводные'!$B$239="Да",MeanMinAge19+BI204*SUMIF(ThresholdAge19,"&lt;"&amp;BI204,WeightedRevAge19)-SUMIF(ThresholdAge19,"&lt;"&amp;BI204,WeightedMinAge19),MAX(CapacityAge19*'01_Вводные'!$B$218*BI204,MeanMinAge19)))</f>
        <v/>
      </c>
      <c r="BJ127" s="190">
        <f>IF(OR(BJ99=0,19&lt;='01_Вводные'!$B$297),0,BJ99*IF('01_Вводные'!$B$239="Да",MeanMinAge19+BJ204*SUMIF(ThresholdAge19,"&lt;"&amp;BJ204,WeightedRevAge19)-SUMIF(ThresholdAge19,"&lt;"&amp;BJ204,WeightedMinAge19),MAX(CapacityAge19*'01_Вводные'!$B$218*BJ204,MeanMinAge19)))</f>
        <v/>
      </c>
      <c r="BK127" s="190">
        <f>IF(OR(BK99=0,19&lt;='01_Вводные'!$B$297),0,BK99*IF('01_Вводные'!$B$239="Да",MeanMinAge19+BK204*SUMIF(ThresholdAge19,"&lt;"&amp;BK204,WeightedRevAge19)-SUMIF(ThresholdAge19,"&lt;"&amp;BK204,WeightedMinAge19),MAX(CapacityAge19*'01_Вводные'!$B$218*BK204,MeanMinAge19)))</f>
        <v/>
      </c>
      <c r="BL127" s="190">
        <f>IF(OR(BL99=0,19&lt;='01_Вводные'!$B$297),0,BL99*IF('01_Вводные'!$B$239="Да",MeanMinAge19+BL204*SUMIF(ThresholdAge19,"&lt;"&amp;BL204,WeightedRevAge19)-SUMIF(ThresholdAge19,"&lt;"&amp;BL204,WeightedMinAge19),MAX(CapacityAge19*'01_Вводные'!$B$218*BL204,MeanMinAge19)))</f>
        <v/>
      </c>
      <c r="BM127" s="190">
        <f>IF(OR(BM99=0,19&lt;='01_Вводные'!$B$297),0,BM99*IF('01_Вводные'!$B$239="Да",MeanMinAge19+BM204*SUMIF(ThresholdAge19,"&lt;"&amp;BM204,WeightedRevAge19)-SUMIF(ThresholdAge19,"&lt;"&amp;BM204,WeightedMinAge19),MAX(CapacityAge19*'01_Вводные'!$B$218*BM204,MeanMinAge19)))</f>
        <v/>
      </c>
      <c r="BN127" s="190">
        <f>IF(OR(BN99=0,19&lt;='01_Вводные'!$B$297),0,BN99*IF('01_Вводные'!$B$239="Да",MeanMinAge19+BN204*SUMIF(ThresholdAge19,"&lt;"&amp;BN204,WeightedRevAge19)-SUMIF(ThresholdAge19,"&lt;"&amp;BN204,WeightedMinAge19),MAX(CapacityAge19*'01_Вводные'!$B$218*BN204,MeanMinAge19)))</f>
        <v/>
      </c>
      <c r="BO127" s="190">
        <f>IF(OR(BO99=0,19&lt;='01_Вводные'!$B$297),0,BO99*IF('01_Вводные'!$B$239="Да",MeanMinAge19+BO204*SUMIF(ThresholdAge19,"&lt;"&amp;BO204,WeightedRevAge19)-SUMIF(ThresholdAge19,"&lt;"&amp;BO204,WeightedMinAge19),MAX(CapacityAge19*'01_Вводные'!$B$218*BO204,MeanMinAge19)))</f>
        <v/>
      </c>
    </row>
    <row r="128" hidden="1" outlineLevel="1">
      <c r="A128" t="inlineStr">
        <is>
          <t>20 мес.</t>
        </is>
      </c>
      <c r="B128" s="190">
        <f>IF(OR(B100=0,20&lt;='01_Вводные'!$B$297),0,B100*IF('01_Вводные'!$B$239="Да",MeanMinAge20+B204*SUMIF(ThresholdAge20,"&lt;"&amp;B204,WeightedRevAge20)-SUMIF(ThresholdAge20,"&lt;"&amp;B204,WeightedMinAge20),MAX(CapacityAge20*'01_Вводные'!$B$218*B204,MeanMinAge20)))</f>
        <v/>
      </c>
      <c r="C128" s="190">
        <f>IF(OR(C100=0,20&lt;='01_Вводные'!$B$297),0,C100*IF('01_Вводные'!$B$239="Да",MeanMinAge20+C204*SUMIF(ThresholdAge20,"&lt;"&amp;C204,WeightedRevAge20)-SUMIF(ThresholdAge20,"&lt;"&amp;C204,WeightedMinAge20),MAX(CapacityAge20*'01_Вводные'!$B$218*C204,MeanMinAge20)))</f>
        <v/>
      </c>
      <c r="D128" s="190">
        <f>IF(OR(D100=0,20&lt;='01_Вводные'!$B$297),0,D100*IF('01_Вводные'!$B$239="Да",MeanMinAge20+D204*SUMIF(ThresholdAge20,"&lt;"&amp;D204,WeightedRevAge20)-SUMIF(ThresholdAge20,"&lt;"&amp;D204,WeightedMinAge20),MAX(CapacityAge20*'01_Вводные'!$B$218*D204,MeanMinAge20)))</f>
        <v/>
      </c>
      <c r="E128" s="190">
        <f>IF(OR(E100=0,20&lt;='01_Вводные'!$B$297),0,E100*IF('01_Вводные'!$B$239="Да",MeanMinAge20+E204*SUMIF(ThresholdAge20,"&lt;"&amp;E204,WeightedRevAge20)-SUMIF(ThresholdAge20,"&lt;"&amp;E204,WeightedMinAge20),MAX(CapacityAge20*'01_Вводные'!$B$218*E204,MeanMinAge20)))</f>
        <v/>
      </c>
      <c r="F128" s="190">
        <f>IF(OR(F100=0,20&lt;='01_Вводные'!$B$297),0,F100*IF('01_Вводные'!$B$239="Да",MeanMinAge20+F204*SUMIF(ThresholdAge20,"&lt;"&amp;F204,WeightedRevAge20)-SUMIF(ThresholdAge20,"&lt;"&amp;F204,WeightedMinAge20),MAX(CapacityAge20*'01_Вводные'!$B$218*F204,MeanMinAge20)))</f>
        <v/>
      </c>
      <c r="G128" s="190">
        <f>IF(OR(G100=0,20&lt;='01_Вводные'!$B$297),0,G100*IF('01_Вводные'!$B$239="Да",MeanMinAge20+G204*SUMIF(ThresholdAge20,"&lt;"&amp;G204,WeightedRevAge20)-SUMIF(ThresholdAge20,"&lt;"&amp;G204,WeightedMinAge20),MAX(CapacityAge20*'01_Вводные'!$B$218*G204,MeanMinAge20)))</f>
        <v/>
      </c>
      <c r="H128" s="190">
        <f>IF(OR(H100=0,20&lt;='01_Вводные'!$B$297),0,H100*IF('01_Вводные'!$B$239="Да",MeanMinAge20+H204*SUMIF(ThresholdAge20,"&lt;"&amp;H204,WeightedRevAge20)-SUMIF(ThresholdAge20,"&lt;"&amp;H204,WeightedMinAge20),MAX(CapacityAge20*'01_Вводные'!$B$218*H204,MeanMinAge20)))</f>
        <v/>
      </c>
      <c r="I128" s="190">
        <f>IF(OR(I100=0,20&lt;='01_Вводные'!$B$297),0,I100*IF('01_Вводные'!$B$239="Да",MeanMinAge20+I204*SUMIF(ThresholdAge20,"&lt;"&amp;I204,WeightedRevAge20)-SUMIF(ThresholdAge20,"&lt;"&amp;I204,WeightedMinAge20),MAX(CapacityAge20*'01_Вводные'!$B$218*I204,MeanMinAge20)))</f>
        <v/>
      </c>
      <c r="J128" s="190">
        <f>IF(OR(J100=0,20&lt;='01_Вводные'!$B$297),0,J100*IF('01_Вводные'!$B$239="Да",MeanMinAge20+J204*SUMIF(ThresholdAge20,"&lt;"&amp;J204,WeightedRevAge20)-SUMIF(ThresholdAge20,"&lt;"&amp;J204,WeightedMinAge20),MAX(CapacityAge20*'01_Вводные'!$B$218*J204,MeanMinAge20)))</f>
        <v/>
      </c>
      <c r="K128" s="190">
        <f>IF(OR(K100=0,20&lt;='01_Вводные'!$B$297),0,K100*IF('01_Вводные'!$B$239="Да",MeanMinAge20+K204*SUMIF(ThresholdAge20,"&lt;"&amp;K204,WeightedRevAge20)-SUMIF(ThresholdAge20,"&lt;"&amp;K204,WeightedMinAge20),MAX(CapacityAge20*'01_Вводные'!$B$218*K204,MeanMinAge20)))</f>
        <v/>
      </c>
      <c r="L128" s="190">
        <f>IF(OR(L100=0,20&lt;='01_Вводные'!$B$297),0,L100*IF('01_Вводные'!$B$239="Да",MeanMinAge20+L204*SUMIF(ThresholdAge20,"&lt;"&amp;L204,WeightedRevAge20)-SUMIF(ThresholdAge20,"&lt;"&amp;L204,WeightedMinAge20),MAX(CapacityAge20*'01_Вводные'!$B$218*L204,MeanMinAge20)))</f>
        <v/>
      </c>
      <c r="M128" s="190">
        <f>IF(OR(M100=0,20&lt;='01_Вводные'!$B$297),0,M100*IF('01_Вводные'!$B$239="Да",MeanMinAge20+M204*SUMIF(ThresholdAge20,"&lt;"&amp;M204,WeightedRevAge20)-SUMIF(ThresholdAge20,"&lt;"&amp;M204,WeightedMinAge20),MAX(CapacityAge20*'01_Вводные'!$B$218*M204,MeanMinAge20)))</f>
        <v/>
      </c>
      <c r="N128" s="190">
        <f>IF(OR(N100=0,20&lt;='01_Вводные'!$B$297),0,N100*IF('01_Вводные'!$B$239="Да",MeanMinAge20+N204*SUMIF(ThresholdAge20,"&lt;"&amp;N204,WeightedRevAge20)-SUMIF(ThresholdAge20,"&lt;"&amp;N204,WeightedMinAge20),MAX(CapacityAge20*'01_Вводные'!$B$218*N204,MeanMinAge20)))</f>
        <v/>
      </c>
      <c r="O128" s="190">
        <f>IF(OR(O100=0,20&lt;='01_Вводные'!$B$297),0,O100*IF('01_Вводные'!$B$239="Да",MeanMinAge20+O204*SUMIF(ThresholdAge20,"&lt;"&amp;O204,WeightedRevAge20)-SUMIF(ThresholdAge20,"&lt;"&amp;O204,WeightedMinAge20),MAX(CapacityAge20*'01_Вводные'!$B$218*O204,MeanMinAge20)))</f>
        <v/>
      </c>
      <c r="P128" s="190">
        <f>IF(OR(P100=0,20&lt;='01_Вводные'!$B$297),0,P100*IF('01_Вводные'!$B$239="Да",MeanMinAge20+P204*SUMIF(ThresholdAge20,"&lt;"&amp;P204,WeightedRevAge20)-SUMIF(ThresholdAge20,"&lt;"&amp;P204,WeightedMinAge20),MAX(CapacityAge20*'01_Вводные'!$B$218*P204,MeanMinAge20)))</f>
        <v/>
      </c>
      <c r="Q128" s="190">
        <f>IF(OR(Q100=0,20&lt;='01_Вводные'!$B$297),0,Q100*IF('01_Вводные'!$B$239="Да",MeanMinAge20+Q204*SUMIF(ThresholdAge20,"&lt;"&amp;Q204,WeightedRevAge20)-SUMIF(ThresholdAge20,"&lt;"&amp;Q204,WeightedMinAge20),MAX(CapacityAge20*'01_Вводные'!$B$218*Q204,MeanMinAge20)))</f>
        <v/>
      </c>
      <c r="R128" s="190">
        <f>IF(OR(R100=0,20&lt;='01_Вводные'!$B$297),0,R100*IF('01_Вводные'!$B$239="Да",MeanMinAge20+R204*SUMIF(ThresholdAge20,"&lt;"&amp;R204,WeightedRevAge20)-SUMIF(ThresholdAge20,"&lt;"&amp;R204,WeightedMinAge20),MAX(CapacityAge20*'01_Вводные'!$B$218*R204,MeanMinAge20)))</f>
        <v/>
      </c>
      <c r="S128" s="190">
        <f>IF(OR(S100=0,20&lt;='01_Вводные'!$B$297),0,S100*IF('01_Вводные'!$B$239="Да",MeanMinAge20+S204*SUMIF(ThresholdAge20,"&lt;"&amp;S204,WeightedRevAge20)-SUMIF(ThresholdAge20,"&lt;"&amp;S204,WeightedMinAge20),MAX(CapacityAge20*'01_Вводные'!$B$218*S204,MeanMinAge20)))</f>
        <v/>
      </c>
      <c r="T128" s="190">
        <f>IF(OR(T100=0,20&lt;='01_Вводные'!$B$297),0,T100*IF('01_Вводные'!$B$239="Да",MeanMinAge20+T204*SUMIF(ThresholdAge20,"&lt;"&amp;T204,WeightedRevAge20)-SUMIF(ThresholdAge20,"&lt;"&amp;T204,WeightedMinAge20),MAX(CapacityAge20*'01_Вводные'!$B$218*T204,MeanMinAge20)))</f>
        <v/>
      </c>
      <c r="U128" s="190">
        <f>IF(OR(U100=0,20&lt;='01_Вводные'!$B$297),0,U100*IF('01_Вводные'!$B$239="Да",MeanMinAge20+U204*SUMIF(ThresholdAge20,"&lt;"&amp;U204,WeightedRevAge20)-SUMIF(ThresholdAge20,"&lt;"&amp;U204,WeightedMinAge20),MAX(CapacityAge20*'01_Вводные'!$B$218*U204,MeanMinAge20)))</f>
        <v/>
      </c>
      <c r="V128" s="190">
        <f>IF(OR(V100=0,20&lt;='01_Вводные'!$B$297),0,V100*IF('01_Вводные'!$B$239="Да",MeanMinAge20+V204*SUMIF(ThresholdAge20,"&lt;"&amp;V204,WeightedRevAge20)-SUMIF(ThresholdAge20,"&lt;"&amp;V204,WeightedMinAge20),MAX(CapacityAge20*'01_Вводные'!$B$218*V204,MeanMinAge20)))</f>
        <v/>
      </c>
      <c r="W128" s="190">
        <f>IF(OR(W100=0,20&lt;='01_Вводные'!$B$297),0,W100*IF('01_Вводные'!$B$239="Да",MeanMinAge20+W204*SUMIF(ThresholdAge20,"&lt;"&amp;W204,WeightedRevAge20)-SUMIF(ThresholdAge20,"&lt;"&amp;W204,WeightedMinAge20),MAX(CapacityAge20*'01_Вводные'!$B$218*W204,MeanMinAge20)))</f>
        <v/>
      </c>
      <c r="X128" s="190">
        <f>IF(OR(X100=0,20&lt;='01_Вводные'!$B$297),0,X100*IF('01_Вводные'!$B$239="Да",MeanMinAge20+X204*SUMIF(ThresholdAge20,"&lt;"&amp;X204,WeightedRevAge20)-SUMIF(ThresholdAge20,"&lt;"&amp;X204,WeightedMinAge20),MAX(CapacityAge20*'01_Вводные'!$B$218*X204,MeanMinAge20)))</f>
        <v/>
      </c>
      <c r="Y128" s="190">
        <f>IF(OR(Y100=0,20&lt;='01_Вводные'!$B$297),0,Y100*IF('01_Вводные'!$B$239="Да",MeanMinAge20+Y204*SUMIF(ThresholdAge20,"&lt;"&amp;Y204,WeightedRevAge20)-SUMIF(ThresholdAge20,"&lt;"&amp;Y204,WeightedMinAge20),MAX(CapacityAge20*'01_Вводные'!$B$218*Y204,MeanMinAge20)))</f>
        <v/>
      </c>
      <c r="Z128" s="190">
        <f>IF(OR(Z100=0,20&lt;='01_Вводные'!$B$297),0,Z100*IF('01_Вводные'!$B$239="Да",MeanMinAge20+Z204*SUMIF(ThresholdAge20,"&lt;"&amp;Z204,WeightedRevAge20)-SUMIF(ThresholdAge20,"&lt;"&amp;Z204,WeightedMinAge20),MAX(CapacityAge20*'01_Вводные'!$B$218*Z204,MeanMinAge20)))</f>
        <v/>
      </c>
      <c r="AA128" s="190">
        <f>IF(OR(AA100=0,20&lt;='01_Вводные'!$B$297),0,AA100*IF('01_Вводные'!$B$239="Да",MeanMinAge20+AA204*SUMIF(ThresholdAge20,"&lt;"&amp;AA204,WeightedRevAge20)-SUMIF(ThresholdAge20,"&lt;"&amp;AA204,WeightedMinAge20),MAX(CapacityAge20*'01_Вводные'!$B$218*AA204,MeanMinAge20)))</f>
        <v/>
      </c>
      <c r="AB128" s="190">
        <f>IF(OR(AB100=0,20&lt;='01_Вводные'!$B$297),0,AB100*IF('01_Вводные'!$B$239="Да",MeanMinAge20+AB204*SUMIF(ThresholdAge20,"&lt;"&amp;AB204,WeightedRevAge20)-SUMIF(ThresholdAge20,"&lt;"&amp;AB204,WeightedMinAge20),MAX(CapacityAge20*'01_Вводные'!$B$218*AB204,MeanMinAge20)))</f>
        <v/>
      </c>
      <c r="AC128" s="190">
        <f>IF(OR(AC100=0,20&lt;='01_Вводные'!$B$297),0,AC100*IF('01_Вводные'!$B$239="Да",MeanMinAge20+AC204*SUMIF(ThresholdAge20,"&lt;"&amp;AC204,WeightedRevAge20)-SUMIF(ThresholdAge20,"&lt;"&amp;AC204,WeightedMinAge20),MAX(CapacityAge20*'01_Вводные'!$B$218*AC204,MeanMinAge20)))</f>
        <v/>
      </c>
      <c r="AD128" s="190">
        <f>IF(OR(AD100=0,20&lt;='01_Вводные'!$B$297),0,AD100*IF('01_Вводные'!$B$239="Да",MeanMinAge20+AD204*SUMIF(ThresholdAge20,"&lt;"&amp;AD204,WeightedRevAge20)-SUMIF(ThresholdAge20,"&lt;"&amp;AD204,WeightedMinAge20),MAX(CapacityAge20*'01_Вводные'!$B$218*AD204,MeanMinAge20)))</f>
        <v/>
      </c>
      <c r="AE128" s="190">
        <f>IF(OR(AE100=0,20&lt;='01_Вводные'!$B$297),0,AE100*IF('01_Вводные'!$B$239="Да",MeanMinAge20+AE204*SUMIF(ThresholdAge20,"&lt;"&amp;AE204,WeightedRevAge20)-SUMIF(ThresholdAge20,"&lt;"&amp;AE204,WeightedMinAge20),MAX(CapacityAge20*'01_Вводные'!$B$218*AE204,MeanMinAge20)))</f>
        <v/>
      </c>
      <c r="AF128" s="190">
        <f>IF(OR(AF100=0,20&lt;='01_Вводные'!$B$297),0,AF100*IF('01_Вводные'!$B$239="Да",MeanMinAge20+AF204*SUMIF(ThresholdAge20,"&lt;"&amp;AF204,WeightedRevAge20)-SUMIF(ThresholdAge20,"&lt;"&amp;AF204,WeightedMinAge20),MAX(CapacityAge20*'01_Вводные'!$B$218*AF204,MeanMinAge20)))</f>
        <v/>
      </c>
      <c r="AG128" s="190">
        <f>IF(OR(AG100=0,20&lt;='01_Вводные'!$B$297),0,AG100*IF('01_Вводные'!$B$239="Да",MeanMinAge20+AG204*SUMIF(ThresholdAge20,"&lt;"&amp;AG204,WeightedRevAge20)-SUMIF(ThresholdAge20,"&lt;"&amp;AG204,WeightedMinAge20),MAX(CapacityAge20*'01_Вводные'!$B$218*AG204,MeanMinAge20)))</f>
        <v/>
      </c>
      <c r="AH128" s="190">
        <f>IF(OR(AH100=0,20&lt;='01_Вводные'!$B$297),0,AH100*IF('01_Вводные'!$B$239="Да",MeanMinAge20+AH204*SUMIF(ThresholdAge20,"&lt;"&amp;AH204,WeightedRevAge20)-SUMIF(ThresholdAge20,"&lt;"&amp;AH204,WeightedMinAge20),MAX(CapacityAge20*'01_Вводные'!$B$218*AH204,MeanMinAge20)))</f>
        <v/>
      </c>
      <c r="AI128" s="190">
        <f>IF(OR(AI100=0,20&lt;='01_Вводные'!$B$297),0,AI100*IF('01_Вводные'!$B$239="Да",MeanMinAge20+AI204*SUMIF(ThresholdAge20,"&lt;"&amp;AI204,WeightedRevAge20)-SUMIF(ThresholdAge20,"&lt;"&amp;AI204,WeightedMinAge20),MAX(CapacityAge20*'01_Вводные'!$B$218*AI204,MeanMinAge20)))</f>
        <v/>
      </c>
      <c r="AJ128" s="190">
        <f>IF(OR(AJ100=0,20&lt;='01_Вводные'!$B$297),0,AJ100*IF('01_Вводные'!$B$239="Да",MeanMinAge20+AJ204*SUMIF(ThresholdAge20,"&lt;"&amp;AJ204,WeightedRevAge20)-SUMIF(ThresholdAge20,"&lt;"&amp;AJ204,WeightedMinAge20),MAX(CapacityAge20*'01_Вводные'!$B$218*AJ204,MeanMinAge20)))</f>
        <v/>
      </c>
      <c r="AK128" s="190">
        <f>IF(OR(AK100=0,20&lt;='01_Вводные'!$B$297),0,AK100*IF('01_Вводные'!$B$239="Да",MeanMinAge20+AK204*SUMIF(ThresholdAge20,"&lt;"&amp;AK204,WeightedRevAge20)-SUMIF(ThresholdAge20,"&lt;"&amp;AK204,WeightedMinAge20),MAX(CapacityAge20*'01_Вводные'!$B$218*AK204,MeanMinAge20)))</f>
        <v/>
      </c>
      <c r="AL128" s="190">
        <f>IF(OR(AL100=0,20&lt;='01_Вводные'!$B$297),0,AL100*IF('01_Вводные'!$B$239="Да",MeanMinAge20+AL204*SUMIF(ThresholdAge20,"&lt;"&amp;AL204,WeightedRevAge20)-SUMIF(ThresholdAge20,"&lt;"&amp;AL204,WeightedMinAge20),MAX(CapacityAge20*'01_Вводные'!$B$218*AL204,MeanMinAge20)))</f>
        <v/>
      </c>
      <c r="AM128" s="190">
        <f>IF(OR(AM100=0,20&lt;='01_Вводные'!$B$297),0,AM100*IF('01_Вводные'!$B$239="Да",MeanMinAge20+AM204*SUMIF(ThresholdAge20,"&lt;"&amp;AM204,WeightedRevAge20)-SUMIF(ThresholdAge20,"&lt;"&amp;AM204,WeightedMinAge20),MAX(CapacityAge20*'01_Вводные'!$B$218*AM204,MeanMinAge20)))</f>
        <v/>
      </c>
      <c r="AN128" s="190">
        <f>IF(OR(AN100=0,20&lt;='01_Вводные'!$B$297),0,AN100*IF('01_Вводные'!$B$239="Да",MeanMinAge20+AN204*SUMIF(ThresholdAge20,"&lt;"&amp;AN204,WeightedRevAge20)-SUMIF(ThresholdAge20,"&lt;"&amp;AN204,WeightedMinAge20),MAX(CapacityAge20*'01_Вводные'!$B$218*AN204,MeanMinAge20)))</f>
        <v/>
      </c>
      <c r="AO128" s="190">
        <f>IF(OR(AO100=0,20&lt;='01_Вводные'!$B$297),0,AO100*IF('01_Вводные'!$B$239="Да",MeanMinAge20+AO204*SUMIF(ThresholdAge20,"&lt;"&amp;AO204,WeightedRevAge20)-SUMIF(ThresholdAge20,"&lt;"&amp;AO204,WeightedMinAge20),MAX(CapacityAge20*'01_Вводные'!$B$218*AO204,MeanMinAge20)))</f>
        <v/>
      </c>
      <c r="AP128" s="190">
        <f>IF(OR(AP100=0,20&lt;='01_Вводные'!$B$297),0,AP100*IF('01_Вводные'!$B$239="Да",MeanMinAge20+AP204*SUMIF(ThresholdAge20,"&lt;"&amp;AP204,WeightedRevAge20)-SUMIF(ThresholdAge20,"&lt;"&amp;AP204,WeightedMinAge20),MAX(CapacityAge20*'01_Вводные'!$B$218*AP204,MeanMinAge20)))</f>
        <v/>
      </c>
      <c r="AQ128" s="190">
        <f>IF(OR(AQ100=0,20&lt;='01_Вводные'!$B$297),0,AQ100*IF('01_Вводные'!$B$239="Да",MeanMinAge20+AQ204*SUMIF(ThresholdAge20,"&lt;"&amp;AQ204,WeightedRevAge20)-SUMIF(ThresholdAge20,"&lt;"&amp;AQ204,WeightedMinAge20),MAX(CapacityAge20*'01_Вводные'!$B$218*AQ204,MeanMinAge20)))</f>
        <v/>
      </c>
      <c r="AR128" s="190">
        <f>IF(OR(AR100=0,20&lt;='01_Вводные'!$B$297),0,AR100*IF('01_Вводные'!$B$239="Да",MeanMinAge20+AR204*SUMIF(ThresholdAge20,"&lt;"&amp;AR204,WeightedRevAge20)-SUMIF(ThresholdAge20,"&lt;"&amp;AR204,WeightedMinAge20),MAX(CapacityAge20*'01_Вводные'!$B$218*AR204,MeanMinAge20)))</f>
        <v/>
      </c>
      <c r="AS128" s="190">
        <f>IF(OR(AS100=0,20&lt;='01_Вводные'!$B$297),0,AS100*IF('01_Вводные'!$B$239="Да",MeanMinAge20+AS204*SUMIF(ThresholdAge20,"&lt;"&amp;AS204,WeightedRevAge20)-SUMIF(ThresholdAge20,"&lt;"&amp;AS204,WeightedMinAge20),MAX(CapacityAge20*'01_Вводные'!$B$218*AS204,MeanMinAge20)))</f>
        <v/>
      </c>
      <c r="AT128" s="190">
        <f>IF(OR(AT100=0,20&lt;='01_Вводные'!$B$297),0,AT100*IF('01_Вводные'!$B$239="Да",MeanMinAge20+AT204*SUMIF(ThresholdAge20,"&lt;"&amp;AT204,WeightedRevAge20)-SUMIF(ThresholdAge20,"&lt;"&amp;AT204,WeightedMinAge20),MAX(CapacityAge20*'01_Вводные'!$B$218*AT204,MeanMinAge20)))</f>
        <v/>
      </c>
      <c r="AU128" s="190">
        <f>IF(OR(AU100=0,20&lt;='01_Вводные'!$B$297),0,AU100*IF('01_Вводные'!$B$239="Да",MeanMinAge20+AU204*SUMIF(ThresholdAge20,"&lt;"&amp;AU204,WeightedRevAge20)-SUMIF(ThresholdAge20,"&lt;"&amp;AU204,WeightedMinAge20),MAX(CapacityAge20*'01_Вводные'!$B$218*AU204,MeanMinAge20)))</f>
        <v/>
      </c>
      <c r="AV128" s="190">
        <f>IF(OR(AV100=0,20&lt;='01_Вводные'!$B$297),0,AV100*IF('01_Вводные'!$B$239="Да",MeanMinAge20+AV204*SUMIF(ThresholdAge20,"&lt;"&amp;AV204,WeightedRevAge20)-SUMIF(ThresholdAge20,"&lt;"&amp;AV204,WeightedMinAge20),MAX(CapacityAge20*'01_Вводные'!$B$218*AV204,MeanMinAge20)))</f>
        <v/>
      </c>
      <c r="AW128" s="190">
        <f>IF(OR(AW100=0,20&lt;='01_Вводные'!$B$297),0,AW100*IF('01_Вводные'!$B$239="Да",MeanMinAge20+AW204*SUMIF(ThresholdAge20,"&lt;"&amp;AW204,WeightedRevAge20)-SUMIF(ThresholdAge20,"&lt;"&amp;AW204,WeightedMinAge20),MAX(CapacityAge20*'01_Вводные'!$B$218*AW204,MeanMinAge20)))</f>
        <v/>
      </c>
      <c r="AX128" s="190">
        <f>IF(OR(AX100=0,20&lt;='01_Вводные'!$B$297),0,AX100*IF('01_Вводные'!$B$239="Да",MeanMinAge20+AX204*SUMIF(ThresholdAge20,"&lt;"&amp;AX204,WeightedRevAge20)-SUMIF(ThresholdAge20,"&lt;"&amp;AX204,WeightedMinAge20),MAX(CapacityAge20*'01_Вводные'!$B$218*AX204,MeanMinAge20)))</f>
        <v/>
      </c>
      <c r="AY128" s="190">
        <f>IF(OR(AY100=0,20&lt;='01_Вводные'!$B$297),0,AY100*IF('01_Вводные'!$B$239="Да",MeanMinAge20+AY204*SUMIF(ThresholdAge20,"&lt;"&amp;AY204,WeightedRevAge20)-SUMIF(ThresholdAge20,"&lt;"&amp;AY204,WeightedMinAge20),MAX(CapacityAge20*'01_Вводные'!$B$218*AY204,MeanMinAge20)))</f>
        <v/>
      </c>
      <c r="AZ128" s="190">
        <f>IF(OR(AZ100=0,20&lt;='01_Вводные'!$B$297),0,AZ100*IF('01_Вводные'!$B$239="Да",MeanMinAge20+AZ204*SUMIF(ThresholdAge20,"&lt;"&amp;AZ204,WeightedRevAge20)-SUMIF(ThresholdAge20,"&lt;"&amp;AZ204,WeightedMinAge20),MAX(CapacityAge20*'01_Вводные'!$B$218*AZ204,MeanMinAge20)))</f>
        <v/>
      </c>
      <c r="BA128" s="190">
        <f>IF(OR(BA100=0,20&lt;='01_Вводные'!$B$297),0,BA100*IF('01_Вводные'!$B$239="Да",MeanMinAge20+BA204*SUMIF(ThresholdAge20,"&lt;"&amp;BA204,WeightedRevAge20)-SUMIF(ThresholdAge20,"&lt;"&amp;BA204,WeightedMinAge20),MAX(CapacityAge20*'01_Вводные'!$B$218*BA204,MeanMinAge20)))</f>
        <v/>
      </c>
      <c r="BB128" s="190">
        <f>IF(OR(BB100=0,20&lt;='01_Вводные'!$B$297),0,BB100*IF('01_Вводные'!$B$239="Да",MeanMinAge20+BB204*SUMIF(ThresholdAge20,"&lt;"&amp;BB204,WeightedRevAge20)-SUMIF(ThresholdAge20,"&lt;"&amp;BB204,WeightedMinAge20),MAX(CapacityAge20*'01_Вводные'!$B$218*BB204,MeanMinAge20)))</f>
        <v/>
      </c>
      <c r="BC128" s="190">
        <f>IF(OR(BC100=0,20&lt;='01_Вводные'!$B$297),0,BC100*IF('01_Вводные'!$B$239="Да",MeanMinAge20+BC204*SUMIF(ThresholdAge20,"&lt;"&amp;BC204,WeightedRevAge20)-SUMIF(ThresholdAge20,"&lt;"&amp;BC204,WeightedMinAge20),MAX(CapacityAge20*'01_Вводные'!$B$218*BC204,MeanMinAge20)))</f>
        <v/>
      </c>
      <c r="BD128" s="190">
        <f>IF(OR(BD100=0,20&lt;='01_Вводные'!$B$297),0,BD100*IF('01_Вводные'!$B$239="Да",MeanMinAge20+BD204*SUMIF(ThresholdAge20,"&lt;"&amp;BD204,WeightedRevAge20)-SUMIF(ThresholdAge20,"&lt;"&amp;BD204,WeightedMinAge20),MAX(CapacityAge20*'01_Вводные'!$B$218*BD204,MeanMinAge20)))</f>
        <v/>
      </c>
      <c r="BE128" s="190">
        <f>IF(OR(BE100=0,20&lt;='01_Вводные'!$B$297),0,BE100*IF('01_Вводные'!$B$239="Да",MeanMinAge20+BE204*SUMIF(ThresholdAge20,"&lt;"&amp;BE204,WeightedRevAge20)-SUMIF(ThresholdAge20,"&lt;"&amp;BE204,WeightedMinAge20),MAX(CapacityAge20*'01_Вводные'!$B$218*BE204,MeanMinAge20)))</f>
        <v/>
      </c>
      <c r="BF128" s="190">
        <f>IF(OR(BF100=0,20&lt;='01_Вводные'!$B$297),0,BF100*IF('01_Вводные'!$B$239="Да",MeanMinAge20+BF204*SUMIF(ThresholdAge20,"&lt;"&amp;BF204,WeightedRevAge20)-SUMIF(ThresholdAge20,"&lt;"&amp;BF204,WeightedMinAge20),MAX(CapacityAge20*'01_Вводные'!$B$218*BF204,MeanMinAge20)))</f>
        <v/>
      </c>
      <c r="BG128" s="190">
        <f>IF(OR(BG100=0,20&lt;='01_Вводные'!$B$297),0,BG100*IF('01_Вводные'!$B$239="Да",MeanMinAge20+BG204*SUMIF(ThresholdAge20,"&lt;"&amp;BG204,WeightedRevAge20)-SUMIF(ThresholdAge20,"&lt;"&amp;BG204,WeightedMinAge20),MAX(CapacityAge20*'01_Вводные'!$B$218*BG204,MeanMinAge20)))</f>
        <v/>
      </c>
      <c r="BH128" s="190">
        <f>IF(OR(BH100=0,20&lt;='01_Вводные'!$B$297),0,BH100*IF('01_Вводные'!$B$239="Да",MeanMinAge20+BH204*SUMIF(ThresholdAge20,"&lt;"&amp;BH204,WeightedRevAge20)-SUMIF(ThresholdAge20,"&lt;"&amp;BH204,WeightedMinAge20),MAX(CapacityAge20*'01_Вводные'!$B$218*BH204,MeanMinAge20)))</f>
        <v/>
      </c>
      <c r="BI128" s="190">
        <f>IF(OR(BI100=0,20&lt;='01_Вводные'!$B$297),0,BI100*IF('01_Вводные'!$B$239="Да",MeanMinAge20+BI204*SUMIF(ThresholdAge20,"&lt;"&amp;BI204,WeightedRevAge20)-SUMIF(ThresholdAge20,"&lt;"&amp;BI204,WeightedMinAge20),MAX(CapacityAge20*'01_Вводные'!$B$218*BI204,MeanMinAge20)))</f>
        <v/>
      </c>
      <c r="BJ128" s="190">
        <f>IF(OR(BJ100=0,20&lt;='01_Вводные'!$B$297),0,BJ100*IF('01_Вводные'!$B$239="Да",MeanMinAge20+BJ204*SUMIF(ThresholdAge20,"&lt;"&amp;BJ204,WeightedRevAge20)-SUMIF(ThresholdAge20,"&lt;"&amp;BJ204,WeightedMinAge20),MAX(CapacityAge20*'01_Вводные'!$B$218*BJ204,MeanMinAge20)))</f>
        <v/>
      </c>
      <c r="BK128" s="190">
        <f>IF(OR(BK100=0,20&lt;='01_Вводные'!$B$297),0,BK100*IF('01_Вводные'!$B$239="Да",MeanMinAge20+BK204*SUMIF(ThresholdAge20,"&lt;"&amp;BK204,WeightedRevAge20)-SUMIF(ThresholdAge20,"&lt;"&amp;BK204,WeightedMinAge20),MAX(CapacityAge20*'01_Вводные'!$B$218*BK204,MeanMinAge20)))</f>
        <v/>
      </c>
      <c r="BL128" s="190">
        <f>IF(OR(BL100=0,20&lt;='01_Вводные'!$B$297),0,BL100*IF('01_Вводные'!$B$239="Да",MeanMinAge20+BL204*SUMIF(ThresholdAge20,"&lt;"&amp;BL204,WeightedRevAge20)-SUMIF(ThresholdAge20,"&lt;"&amp;BL204,WeightedMinAge20),MAX(CapacityAge20*'01_Вводные'!$B$218*BL204,MeanMinAge20)))</f>
        <v/>
      </c>
      <c r="BM128" s="190">
        <f>IF(OR(BM100=0,20&lt;='01_Вводные'!$B$297),0,BM100*IF('01_Вводные'!$B$239="Да",MeanMinAge20+BM204*SUMIF(ThresholdAge20,"&lt;"&amp;BM204,WeightedRevAge20)-SUMIF(ThresholdAge20,"&lt;"&amp;BM204,WeightedMinAge20),MAX(CapacityAge20*'01_Вводные'!$B$218*BM204,MeanMinAge20)))</f>
        <v/>
      </c>
      <c r="BN128" s="190">
        <f>IF(OR(BN100=0,20&lt;='01_Вводные'!$B$297),0,BN100*IF('01_Вводные'!$B$239="Да",MeanMinAge20+BN204*SUMIF(ThresholdAge20,"&lt;"&amp;BN204,WeightedRevAge20)-SUMIF(ThresholdAge20,"&lt;"&amp;BN204,WeightedMinAge20),MAX(CapacityAge20*'01_Вводные'!$B$218*BN204,MeanMinAge20)))</f>
        <v/>
      </c>
      <c r="BO128" s="190">
        <f>IF(OR(BO100=0,20&lt;='01_Вводные'!$B$297),0,BO100*IF('01_Вводные'!$B$239="Да",MeanMinAge20+BO204*SUMIF(ThresholdAge20,"&lt;"&amp;BO204,WeightedRevAge20)-SUMIF(ThresholdAge20,"&lt;"&amp;BO204,WeightedMinAge20),MAX(CapacityAge20*'01_Вводные'!$B$218*BO204,MeanMinAge20)))</f>
        <v/>
      </c>
    </row>
    <row r="129" hidden="1" outlineLevel="1">
      <c r="A129" t="inlineStr">
        <is>
          <t>21 мес.</t>
        </is>
      </c>
      <c r="B129" s="190">
        <f>IF(OR(B101=0,21&lt;='01_Вводные'!$B$297),0,B101*IF('01_Вводные'!$B$239="Да",MeanMinAge21+B204*SUMIF(ThresholdAge21,"&lt;"&amp;B204,WeightedRevAge21)-SUMIF(ThresholdAge21,"&lt;"&amp;B204,WeightedMinAge21),MAX(CapacityAge21*'01_Вводные'!$B$218*B204,MeanMinAge21)))</f>
        <v/>
      </c>
      <c r="C129" s="190">
        <f>IF(OR(C101=0,21&lt;='01_Вводные'!$B$297),0,C101*IF('01_Вводные'!$B$239="Да",MeanMinAge21+C204*SUMIF(ThresholdAge21,"&lt;"&amp;C204,WeightedRevAge21)-SUMIF(ThresholdAge21,"&lt;"&amp;C204,WeightedMinAge21),MAX(CapacityAge21*'01_Вводные'!$B$218*C204,MeanMinAge21)))</f>
        <v/>
      </c>
      <c r="D129" s="190">
        <f>IF(OR(D101=0,21&lt;='01_Вводные'!$B$297),0,D101*IF('01_Вводные'!$B$239="Да",MeanMinAge21+D204*SUMIF(ThresholdAge21,"&lt;"&amp;D204,WeightedRevAge21)-SUMIF(ThresholdAge21,"&lt;"&amp;D204,WeightedMinAge21),MAX(CapacityAge21*'01_Вводные'!$B$218*D204,MeanMinAge21)))</f>
        <v/>
      </c>
      <c r="E129" s="190">
        <f>IF(OR(E101=0,21&lt;='01_Вводные'!$B$297),0,E101*IF('01_Вводные'!$B$239="Да",MeanMinAge21+E204*SUMIF(ThresholdAge21,"&lt;"&amp;E204,WeightedRevAge21)-SUMIF(ThresholdAge21,"&lt;"&amp;E204,WeightedMinAge21),MAX(CapacityAge21*'01_Вводные'!$B$218*E204,MeanMinAge21)))</f>
        <v/>
      </c>
      <c r="F129" s="190">
        <f>IF(OR(F101=0,21&lt;='01_Вводные'!$B$297),0,F101*IF('01_Вводные'!$B$239="Да",MeanMinAge21+F204*SUMIF(ThresholdAge21,"&lt;"&amp;F204,WeightedRevAge21)-SUMIF(ThresholdAge21,"&lt;"&amp;F204,WeightedMinAge21),MAX(CapacityAge21*'01_Вводные'!$B$218*F204,MeanMinAge21)))</f>
        <v/>
      </c>
      <c r="G129" s="190">
        <f>IF(OR(G101=0,21&lt;='01_Вводные'!$B$297),0,G101*IF('01_Вводные'!$B$239="Да",MeanMinAge21+G204*SUMIF(ThresholdAge21,"&lt;"&amp;G204,WeightedRevAge21)-SUMIF(ThresholdAge21,"&lt;"&amp;G204,WeightedMinAge21),MAX(CapacityAge21*'01_Вводные'!$B$218*G204,MeanMinAge21)))</f>
        <v/>
      </c>
      <c r="H129" s="190">
        <f>IF(OR(H101=0,21&lt;='01_Вводные'!$B$297),0,H101*IF('01_Вводные'!$B$239="Да",MeanMinAge21+H204*SUMIF(ThresholdAge21,"&lt;"&amp;H204,WeightedRevAge21)-SUMIF(ThresholdAge21,"&lt;"&amp;H204,WeightedMinAge21),MAX(CapacityAge21*'01_Вводные'!$B$218*H204,MeanMinAge21)))</f>
        <v/>
      </c>
      <c r="I129" s="190">
        <f>IF(OR(I101=0,21&lt;='01_Вводные'!$B$297),0,I101*IF('01_Вводные'!$B$239="Да",MeanMinAge21+I204*SUMIF(ThresholdAge21,"&lt;"&amp;I204,WeightedRevAge21)-SUMIF(ThresholdAge21,"&lt;"&amp;I204,WeightedMinAge21),MAX(CapacityAge21*'01_Вводные'!$B$218*I204,MeanMinAge21)))</f>
        <v/>
      </c>
      <c r="J129" s="190">
        <f>IF(OR(J101=0,21&lt;='01_Вводные'!$B$297),0,J101*IF('01_Вводные'!$B$239="Да",MeanMinAge21+J204*SUMIF(ThresholdAge21,"&lt;"&amp;J204,WeightedRevAge21)-SUMIF(ThresholdAge21,"&lt;"&amp;J204,WeightedMinAge21),MAX(CapacityAge21*'01_Вводные'!$B$218*J204,MeanMinAge21)))</f>
        <v/>
      </c>
      <c r="K129" s="190">
        <f>IF(OR(K101=0,21&lt;='01_Вводные'!$B$297),0,K101*IF('01_Вводные'!$B$239="Да",MeanMinAge21+K204*SUMIF(ThresholdAge21,"&lt;"&amp;K204,WeightedRevAge21)-SUMIF(ThresholdAge21,"&lt;"&amp;K204,WeightedMinAge21),MAX(CapacityAge21*'01_Вводные'!$B$218*K204,MeanMinAge21)))</f>
        <v/>
      </c>
      <c r="L129" s="190">
        <f>IF(OR(L101=0,21&lt;='01_Вводные'!$B$297),0,L101*IF('01_Вводные'!$B$239="Да",MeanMinAge21+L204*SUMIF(ThresholdAge21,"&lt;"&amp;L204,WeightedRevAge21)-SUMIF(ThresholdAge21,"&lt;"&amp;L204,WeightedMinAge21),MAX(CapacityAge21*'01_Вводные'!$B$218*L204,MeanMinAge21)))</f>
        <v/>
      </c>
      <c r="M129" s="190">
        <f>IF(OR(M101=0,21&lt;='01_Вводные'!$B$297),0,M101*IF('01_Вводные'!$B$239="Да",MeanMinAge21+M204*SUMIF(ThresholdAge21,"&lt;"&amp;M204,WeightedRevAge21)-SUMIF(ThresholdAge21,"&lt;"&amp;M204,WeightedMinAge21),MAX(CapacityAge21*'01_Вводные'!$B$218*M204,MeanMinAge21)))</f>
        <v/>
      </c>
      <c r="N129" s="190">
        <f>IF(OR(N101=0,21&lt;='01_Вводные'!$B$297),0,N101*IF('01_Вводные'!$B$239="Да",MeanMinAge21+N204*SUMIF(ThresholdAge21,"&lt;"&amp;N204,WeightedRevAge21)-SUMIF(ThresholdAge21,"&lt;"&amp;N204,WeightedMinAge21),MAX(CapacityAge21*'01_Вводные'!$B$218*N204,MeanMinAge21)))</f>
        <v/>
      </c>
      <c r="O129" s="190">
        <f>IF(OR(O101=0,21&lt;='01_Вводные'!$B$297),0,O101*IF('01_Вводные'!$B$239="Да",MeanMinAge21+O204*SUMIF(ThresholdAge21,"&lt;"&amp;O204,WeightedRevAge21)-SUMIF(ThresholdAge21,"&lt;"&amp;O204,WeightedMinAge21),MAX(CapacityAge21*'01_Вводные'!$B$218*O204,MeanMinAge21)))</f>
        <v/>
      </c>
      <c r="P129" s="190">
        <f>IF(OR(P101=0,21&lt;='01_Вводные'!$B$297),0,P101*IF('01_Вводные'!$B$239="Да",MeanMinAge21+P204*SUMIF(ThresholdAge21,"&lt;"&amp;P204,WeightedRevAge21)-SUMIF(ThresholdAge21,"&lt;"&amp;P204,WeightedMinAge21),MAX(CapacityAge21*'01_Вводные'!$B$218*P204,MeanMinAge21)))</f>
        <v/>
      </c>
      <c r="Q129" s="190">
        <f>IF(OR(Q101=0,21&lt;='01_Вводные'!$B$297),0,Q101*IF('01_Вводные'!$B$239="Да",MeanMinAge21+Q204*SUMIF(ThresholdAge21,"&lt;"&amp;Q204,WeightedRevAge21)-SUMIF(ThresholdAge21,"&lt;"&amp;Q204,WeightedMinAge21),MAX(CapacityAge21*'01_Вводные'!$B$218*Q204,MeanMinAge21)))</f>
        <v/>
      </c>
      <c r="R129" s="190">
        <f>IF(OR(R101=0,21&lt;='01_Вводные'!$B$297),0,R101*IF('01_Вводные'!$B$239="Да",MeanMinAge21+R204*SUMIF(ThresholdAge21,"&lt;"&amp;R204,WeightedRevAge21)-SUMIF(ThresholdAge21,"&lt;"&amp;R204,WeightedMinAge21),MAX(CapacityAge21*'01_Вводные'!$B$218*R204,MeanMinAge21)))</f>
        <v/>
      </c>
      <c r="S129" s="190">
        <f>IF(OR(S101=0,21&lt;='01_Вводные'!$B$297),0,S101*IF('01_Вводные'!$B$239="Да",MeanMinAge21+S204*SUMIF(ThresholdAge21,"&lt;"&amp;S204,WeightedRevAge21)-SUMIF(ThresholdAge21,"&lt;"&amp;S204,WeightedMinAge21),MAX(CapacityAge21*'01_Вводные'!$B$218*S204,MeanMinAge21)))</f>
        <v/>
      </c>
      <c r="T129" s="190">
        <f>IF(OR(T101=0,21&lt;='01_Вводные'!$B$297),0,T101*IF('01_Вводные'!$B$239="Да",MeanMinAge21+T204*SUMIF(ThresholdAge21,"&lt;"&amp;T204,WeightedRevAge21)-SUMIF(ThresholdAge21,"&lt;"&amp;T204,WeightedMinAge21),MAX(CapacityAge21*'01_Вводные'!$B$218*T204,MeanMinAge21)))</f>
        <v/>
      </c>
      <c r="U129" s="190">
        <f>IF(OR(U101=0,21&lt;='01_Вводные'!$B$297),0,U101*IF('01_Вводные'!$B$239="Да",MeanMinAge21+U204*SUMIF(ThresholdAge21,"&lt;"&amp;U204,WeightedRevAge21)-SUMIF(ThresholdAge21,"&lt;"&amp;U204,WeightedMinAge21),MAX(CapacityAge21*'01_Вводные'!$B$218*U204,MeanMinAge21)))</f>
        <v/>
      </c>
      <c r="V129" s="190">
        <f>IF(OR(V101=0,21&lt;='01_Вводные'!$B$297),0,V101*IF('01_Вводные'!$B$239="Да",MeanMinAge21+V204*SUMIF(ThresholdAge21,"&lt;"&amp;V204,WeightedRevAge21)-SUMIF(ThresholdAge21,"&lt;"&amp;V204,WeightedMinAge21),MAX(CapacityAge21*'01_Вводные'!$B$218*V204,MeanMinAge21)))</f>
        <v/>
      </c>
      <c r="W129" s="190">
        <f>IF(OR(W101=0,21&lt;='01_Вводные'!$B$297),0,W101*IF('01_Вводные'!$B$239="Да",MeanMinAge21+W204*SUMIF(ThresholdAge21,"&lt;"&amp;W204,WeightedRevAge21)-SUMIF(ThresholdAge21,"&lt;"&amp;W204,WeightedMinAge21),MAX(CapacityAge21*'01_Вводные'!$B$218*W204,MeanMinAge21)))</f>
        <v/>
      </c>
      <c r="X129" s="190">
        <f>IF(OR(X101=0,21&lt;='01_Вводные'!$B$297),0,X101*IF('01_Вводные'!$B$239="Да",MeanMinAge21+X204*SUMIF(ThresholdAge21,"&lt;"&amp;X204,WeightedRevAge21)-SUMIF(ThresholdAge21,"&lt;"&amp;X204,WeightedMinAge21),MAX(CapacityAge21*'01_Вводные'!$B$218*X204,MeanMinAge21)))</f>
        <v/>
      </c>
      <c r="Y129" s="190">
        <f>IF(OR(Y101=0,21&lt;='01_Вводные'!$B$297),0,Y101*IF('01_Вводные'!$B$239="Да",MeanMinAge21+Y204*SUMIF(ThresholdAge21,"&lt;"&amp;Y204,WeightedRevAge21)-SUMIF(ThresholdAge21,"&lt;"&amp;Y204,WeightedMinAge21),MAX(CapacityAge21*'01_Вводные'!$B$218*Y204,MeanMinAge21)))</f>
        <v/>
      </c>
      <c r="Z129" s="190">
        <f>IF(OR(Z101=0,21&lt;='01_Вводные'!$B$297),0,Z101*IF('01_Вводные'!$B$239="Да",MeanMinAge21+Z204*SUMIF(ThresholdAge21,"&lt;"&amp;Z204,WeightedRevAge21)-SUMIF(ThresholdAge21,"&lt;"&amp;Z204,WeightedMinAge21),MAX(CapacityAge21*'01_Вводные'!$B$218*Z204,MeanMinAge21)))</f>
        <v/>
      </c>
      <c r="AA129" s="190">
        <f>IF(OR(AA101=0,21&lt;='01_Вводные'!$B$297),0,AA101*IF('01_Вводные'!$B$239="Да",MeanMinAge21+AA204*SUMIF(ThresholdAge21,"&lt;"&amp;AA204,WeightedRevAge21)-SUMIF(ThresholdAge21,"&lt;"&amp;AA204,WeightedMinAge21),MAX(CapacityAge21*'01_Вводные'!$B$218*AA204,MeanMinAge21)))</f>
        <v/>
      </c>
      <c r="AB129" s="190">
        <f>IF(OR(AB101=0,21&lt;='01_Вводные'!$B$297),0,AB101*IF('01_Вводные'!$B$239="Да",MeanMinAge21+AB204*SUMIF(ThresholdAge21,"&lt;"&amp;AB204,WeightedRevAge21)-SUMIF(ThresholdAge21,"&lt;"&amp;AB204,WeightedMinAge21),MAX(CapacityAge21*'01_Вводные'!$B$218*AB204,MeanMinAge21)))</f>
        <v/>
      </c>
      <c r="AC129" s="190">
        <f>IF(OR(AC101=0,21&lt;='01_Вводные'!$B$297),0,AC101*IF('01_Вводные'!$B$239="Да",MeanMinAge21+AC204*SUMIF(ThresholdAge21,"&lt;"&amp;AC204,WeightedRevAge21)-SUMIF(ThresholdAge21,"&lt;"&amp;AC204,WeightedMinAge21),MAX(CapacityAge21*'01_Вводные'!$B$218*AC204,MeanMinAge21)))</f>
        <v/>
      </c>
      <c r="AD129" s="190">
        <f>IF(OR(AD101=0,21&lt;='01_Вводные'!$B$297),0,AD101*IF('01_Вводные'!$B$239="Да",MeanMinAge21+AD204*SUMIF(ThresholdAge21,"&lt;"&amp;AD204,WeightedRevAge21)-SUMIF(ThresholdAge21,"&lt;"&amp;AD204,WeightedMinAge21),MAX(CapacityAge21*'01_Вводные'!$B$218*AD204,MeanMinAge21)))</f>
        <v/>
      </c>
      <c r="AE129" s="190">
        <f>IF(OR(AE101=0,21&lt;='01_Вводные'!$B$297),0,AE101*IF('01_Вводные'!$B$239="Да",MeanMinAge21+AE204*SUMIF(ThresholdAge21,"&lt;"&amp;AE204,WeightedRevAge21)-SUMIF(ThresholdAge21,"&lt;"&amp;AE204,WeightedMinAge21),MAX(CapacityAge21*'01_Вводные'!$B$218*AE204,MeanMinAge21)))</f>
        <v/>
      </c>
      <c r="AF129" s="190">
        <f>IF(OR(AF101=0,21&lt;='01_Вводные'!$B$297),0,AF101*IF('01_Вводные'!$B$239="Да",MeanMinAge21+AF204*SUMIF(ThresholdAge21,"&lt;"&amp;AF204,WeightedRevAge21)-SUMIF(ThresholdAge21,"&lt;"&amp;AF204,WeightedMinAge21),MAX(CapacityAge21*'01_Вводные'!$B$218*AF204,MeanMinAge21)))</f>
        <v/>
      </c>
      <c r="AG129" s="190">
        <f>IF(OR(AG101=0,21&lt;='01_Вводные'!$B$297),0,AG101*IF('01_Вводные'!$B$239="Да",MeanMinAge21+AG204*SUMIF(ThresholdAge21,"&lt;"&amp;AG204,WeightedRevAge21)-SUMIF(ThresholdAge21,"&lt;"&amp;AG204,WeightedMinAge21),MAX(CapacityAge21*'01_Вводные'!$B$218*AG204,MeanMinAge21)))</f>
        <v/>
      </c>
      <c r="AH129" s="190">
        <f>IF(OR(AH101=0,21&lt;='01_Вводные'!$B$297),0,AH101*IF('01_Вводные'!$B$239="Да",MeanMinAge21+AH204*SUMIF(ThresholdAge21,"&lt;"&amp;AH204,WeightedRevAge21)-SUMIF(ThresholdAge21,"&lt;"&amp;AH204,WeightedMinAge21),MAX(CapacityAge21*'01_Вводные'!$B$218*AH204,MeanMinAge21)))</f>
        <v/>
      </c>
      <c r="AI129" s="190">
        <f>IF(OR(AI101=0,21&lt;='01_Вводные'!$B$297),0,AI101*IF('01_Вводные'!$B$239="Да",MeanMinAge21+AI204*SUMIF(ThresholdAge21,"&lt;"&amp;AI204,WeightedRevAge21)-SUMIF(ThresholdAge21,"&lt;"&amp;AI204,WeightedMinAge21),MAX(CapacityAge21*'01_Вводные'!$B$218*AI204,MeanMinAge21)))</f>
        <v/>
      </c>
      <c r="AJ129" s="190">
        <f>IF(OR(AJ101=0,21&lt;='01_Вводные'!$B$297),0,AJ101*IF('01_Вводные'!$B$239="Да",MeanMinAge21+AJ204*SUMIF(ThresholdAge21,"&lt;"&amp;AJ204,WeightedRevAge21)-SUMIF(ThresholdAge21,"&lt;"&amp;AJ204,WeightedMinAge21),MAX(CapacityAge21*'01_Вводные'!$B$218*AJ204,MeanMinAge21)))</f>
        <v/>
      </c>
      <c r="AK129" s="190">
        <f>IF(OR(AK101=0,21&lt;='01_Вводные'!$B$297),0,AK101*IF('01_Вводные'!$B$239="Да",MeanMinAge21+AK204*SUMIF(ThresholdAge21,"&lt;"&amp;AK204,WeightedRevAge21)-SUMIF(ThresholdAge21,"&lt;"&amp;AK204,WeightedMinAge21),MAX(CapacityAge21*'01_Вводные'!$B$218*AK204,MeanMinAge21)))</f>
        <v/>
      </c>
      <c r="AL129" s="190">
        <f>IF(OR(AL101=0,21&lt;='01_Вводные'!$B$297),0,AL101*IF('01_Вводные'!$B$239="Да",MeanMinAge21+AL204*SUMIF(ThresholdAge21,"&lt;"&amp;AL204,WeightedRevAge21)-SUMIF(ThresholdAge21,"&lt;"&amp;AL204,WeightedMinAge21),MAX(CapacityAge21*'01_Вводные'!$B$218*AL204,MeanMinAge21)))</f>
        <v/>
      </c>
      <c r="AM129" s="190">
        <f>IF(OR(AM101=0,21&lt;='01_Вводные'!$B$297),0,AM101*IF('01_Вводные'!$B$239="Да",MeanMinAge21+AM204*SUMIF(ThresholdAge21,"&lt;"&amp;AM204,WeightedRevAge21)-SUMIF(ThresholdAge21,"&lt;"&amp;AM204,WeightedMinAge21),MAX(CapacityAge21*'01_Вводные'!$B$218*AM204,MeanMinAge21)))</f>
        <v/>
      </c>
      <c r="AN129" s="190">
        <f>IF(OR(AN101=0,21&lt;='01_Вводные'!$B$297),0,AN101*IF('01_Вводные'!$B$239="Да",MeanMinAge21+AN204*SUMIF(ThresholdAge21,"&lt;"&amp;AN204,WeightedRevAge21)-SUMIF(ThresholdAge21,"&lt;"&amp;AN204,WeightedMinAge21),MAX(CapacityAge21*'01_Вводные'!$B$218*AN204,MeanMinAge21)))</f>
        <v/>
      </c>
      <c r="AO129" s="190">
        <f>IF(OR(AO101=0,21&lt;='01_Вводные'!$B$297),0,AO101*IF('01_Вводные'!$B$239="Да",MeanMinAge21+AO204*SUMIF(ThresholdAge21,"&lt;"&amp;AO204,WeightedRevAge21)-SUMIF(ThresholdAge21,"&lt;"&amp;AO204,WeightedMinAge21),MAX(CapacityAge21*'01_Вводные'!$B$218*AO204,MeanMinAge21)))</f>
        <v/>
      </c>
      <c r="AP129" s="190">
        <f>IF(OR(AP101=0,21&lt;='01_Вводные'!$B$297),0,AP101*IF('01_Вводные'!$B$239="Да",MeanMinAge21+AP204*SUMIF(ThresholdAge21,"&lt;"&amp;AP204,WeightedRevAge21)-SUMIF(ThresholdAge21,"&lt;"&amp;AP204,WeightedMinAge21),MAX(CapacityAge21*'01_Вводные'!$B$218*AP204,MeanMinAge21)))</f>
        <v/>
      </c>
      <c r="AQ129" s="190">
        <f>IF(OR(AQ101=0,21&lt;='01_Вводные'!$B$297),0,AQ101*IF('01_Вводные'!$B$239="Да",MeanMinAge21+AQ204*SUMIF(ThresholdAge21,"&lt;"&amp;AQ204,WeightedRevAge21)-SUMIF(ThresholdAge21,"&lt;"&amp;AQ204,WeightedMinAge21),MAX(CapacityAge21*'01_Вводные'!$B$218*AQ204,MeanMinAge21)))</f>
        <v/>
      </c>
      <c r="AR129" s="190">
        <f>IF(OR(AR101=0,21&lt;='01_Вводные'!$B$297),0,AR101*IF('01_Вводные'!$B$239="Да",MeanMinAge21+AR204*SUMIF(ThresholdAge21,"&lt;"&amp;AR204,WeightedRevAge21)-SUMIF(ThresholdAge21,"&lt;"&amp;AR204,WeightedMinAge21),MAX(CapacityAge21*'01_Вводные'!$B$218*AR204,MeanMinAge21)))</f>
        <v/>
      </c>
      <c r="AS129" s="190">
        <f>IF(OR(AS101=0,21&lt;='01_Вводные'!$B$297),0,AS101*IF('01_Вводные'!$B$239="Да",MeanMinAge21+AS204*SUMIF(ThresholdAge21,"&lt;"&amp;AS204,WeightedRevAge21)-SUMIF(ThresholdAge21,"&lt;"&amp;AS204,WeightedMinAge21),MAX(CapacityAge21*'01_Вводные'!$B$218*AS204,MeanMinAge21)))</f>
        <v/>
      </c>
      <c r="AT129" s="190">
        <f>IF(OR(AT101=0,21&lt;='01_Вводные'!$B$297),0,AT101*IF('01_Вводные'!$B$239="Да",MeanMinAge21+AT204*SUMIF(ThresholdAge21,"&lt;"&amp;AT204,WeightedRevAge21)-SUMIF(ThresholdAge21,"&lt;"&amp;AT204,WeightedMinAge21),MAX(CapacityAge21*'01_Вводные'!$B$218*AT204,MeanMinAge21)))</f>
        <v/>
      </c>
      <c r="AU129" s="190">
        <f>IF(OR(AU101=0,21&lt;='01_Вводные'!$B$297),0,AU101*IF('01_Вводные'!$B$239="Да",MeanMinAge21+AU204*SUMIF(ThresholdAge21,"&lt;"&amp;AU204,WeightedRevAge21)-SUMIF(ThresholdAge21,"&lt;"&amp;AU204,WeightedMinAge21),MAX(CapacityAge21*'01_Вводные'!$B$218*AU204,MeanMinAge21)))</f>
        <v/>
      </c>
      <c r="AV129" s="190">
        <f>IF(OR(AV101=0,21&lt;='01_Вводные'!$B$297),0,AV101*IF('01_Вводные'!$B$239="Да",MeanMinAge21+AV204*SUMIF(ThresholdAge21,"&lt;"&amp;AV204,WeightedRevAge21)-SUMIF(ThresholdAge21,"&lt;"&amp;AV204,WeightedMinAge21),MAX(CapacityAge21*'01_Вводные'!$B$218*AV204,MeanMinAge21)))</f>
        <v/>
      </c>
      <c r="AW129" s="190">
        <f>IF(OR(AW101=0,21&lt;='01_Вводные'!$B$297),0,AW101*IF('01_Вводные'!$B$239="Да",MeanMinAge21+AW204*SUMIF(ThresholdAge21,"&lt;"&amp;AW204,WeightedRevAge21)-SUMIF(ThresholdAge21,"&lt;"&amp;AW204,WeightedMinAge21),MAX(CapacityAge21*'01_Вводные'!$B$218*AW204,MeanMinAge21)))</f>
        <v/>
      </c>
      <c r="AX129" s="190">
        <f>IF(OR(AX101=0,21&lt;='01_Вводные'!$B$297),0,AX101*IF('01_Вводные'!$B$239="Да",MeanMinAge21+AX204*SUMIF(ThresholdAge21,"&lt;"&amp;AX204,WeightedRevAge21)-SUMIF(ThresholdAge21,"&lt;"&amp;AX204,WeightedMinAge21),MAX(CapacityAge21*'01_Вводные'!$B$218*AX204,MeanMinAge21)))</f>
        <v/>
      </c>
      <c r="AY129" s="190">
        <f>IF(OR(AY101=0,21&lt;='01_Вводные'!$B$297),0,AY101*IF('01_Вводные'!$B$239="Да",MeanMinAge21+AY204*SUMIF(ThresholdAge21,"&lt;"&amp;AY204,WeightedRevAge21)-SUMIF(ThresholdAge21,"&lt;"&amp;AY204,WeightedMinAge21),MAX(CapacityAge21*'01_Вводные'!$B$218*AY204,MeanMinAge21)))</f>
        <v/>
      </c>
      <c r="AZ129" s="190">
        <f>IF(OR(AZ101=0,21&lt;='01_Вводные'!$B$297),0,AZ101*IF('01_Вводные'!$B$239="Да",MeanMinAge21+AZ204*SUMIF(ThresholdAge21,"&lt;"&amp;AZ204,WeightedRevAge21)-SUMIF(ThresholdAge21,"&lt;"&amp;AZ204,WeightedMinAge21),MAX(CapacityAge21*'01_Вводные'!$B$218*AZ204,MeanMinAge21)))</f>
        <v/>
      </c>
      <c r="BA129" s="190">
        <f>IF(OR(BA101=0,21&lt;='01_Вводные'!$B$297),0,BA101*IF('01_Вводные'!$B$239="Да",MeanMinAge21+BA204*SUMIF(ThresholdAge21,"&lt;"&amp;BA204,WeightedRevAge21)-SUMIF(ThresholdAge21,"&lt;"&amp;BA204,WeightedMinAge21),MAX(CapacityAge21*'01_Вводные'!$B$218*BA204,MeanMinAge21)))</f>
        <v/>
      </c>
      <c r="BB129" s="190">
        <f>IF(OR(BB101=0,21&lt;='01_Вводные'!$B$297),0,BB101*IF('01_Вводные'!$B$239="Да",MeanMinAge21+BB204*SUMIF(ThresholdAge21,"&lt;"&amp;BB204,WeightedRevAge21)-SUMIF(ThresholdAge21,"&lt;"&amp;BB204,WeightedMinAge21),MAX(CapacityAge21*'01_Вводные'!$B$218*BB204,MeanMinAge21)))</f>
        <v/>
      </c>
      <c r="BC129" s="190">
        <f>IF(OR(BC101=0,21&lt;='01_Вводные'!$B$297),0,BC101*IF('01_Вводные'!$B$239="Да",MeanMinAge21+BC204*SUMIF(ThresholdAge21,"&lt;"&amp;BC204,WeightedRevAge21)-SUMIF(ThresholdAge21,"&lt;"&amp;BC204,WeightedMinAge21),MAX(CapacityAge21*'01_Вводные'!$B$218*BC204,MeanMinAge21)))</f>
        <v/>
      </c>
      <c r="BD129" s="190">
        <f>IF(OR(BD101=0,21&lt;='01_Вводные'!$B$297),0,BD101*IF('01_Вводные'!$B$239="Да",MeanMinAge21+BD204*SUMIF(ThresholdAge21,"&lt;"&amp;BD204,WeightedRevAge21)-SUMIF(ThresholdAge21,"&lt;"&amp;BD204,WeightedMinAge21),MAX(CapacityAge21*'01_Вводные'!$B$218*BD204,MeanMinAge21)))</f>
        <v/>
      </c>
      <c r="BE129" s="190">
        <f>IF(OR(BE101=0,21&lt;='01_Вводные'!$B$297),0,BE101*IF('01_Вводные'!$B$239="Да",MeanMinAge21+BE204*SUMIF(ThresholdAge21,"&lt;"&amp;BE204,WeightedRevAge21)-SUMIF(ThresholdAge21,"&lt;"&amp;BE204,WeightedMinAge21),MAX(CapacityAge21*'01_Вводные'!$B$218*BE204,MeanMinAge21)))</f>
        <v/>
      </c>
      <c r="BF129" s="190">
        <f>IF(OR(BF101=0,21&lt;='01_Вводные'!$B$297),0,BF101*IF('01_Вводные'!$B$239="Да",MeanMinAge21+BF204*SUMIF(ThresholdAge21,"&lt;"&amp;BF204,WeightedRevAge21)-SUMIF(ThresholdAge21,"&lt;"&amp;BF204,WeightedMinAge21),MAX(CapacityAge21*'01_Вводные'!$B$218*BF204,MeanMinAge21)))</f>
        <v/>
      </c>
      <c r="BG129" s="190">
        <f>IF(OR(BG101=0,21&lt;='01_Вводные'!$B$297),0,BG101*IF('01_Вводные'!$B$239="Да",MeanMinAge21+BG204*SUMIF(ThresholdAge21,"&lt;"&amp;BG204,WeightedRevAge21)-SUMIF(ThresholdAge21,"&lt;"&amp;BG204,WeightedMinAge21),MAX(CapacityAge21*'01_Вводные'!$B$218*BG204,MeanMinAge21)))</f>
        <v/>
      </c>
      <c r="BH129" s="190">
        <f>IF(OR(BH101=0,21&lt;='01_Вводные'!$B$297),0,BH101*IF('01_Вводные'!$B$239="Да",MeanMinAge21+BH204*SUMIF(ThresholdAge21,"&lt;"&amp;BH204,WeightedRevAge21)-SUMIF(ThresholdAge21,"&lt;"&amp;BH204,WeightedMinAge21),MAX(CapacityAge21*'01_Вводные'!$B$218*BH204,MeanMinAge21)))</f>
        <v/>
      </c>
      <c r="BI129" s="190">
        <f>IF(OR(BI101=0,21&lt;='01_Вводные'!$B$297),0,BI101*IF('01_Вводные'!$B$239="Да",MeanMinAge21+BI204*SUMIF(ThresholdAge21,"&lt;"&amp;BI204,WeightedRevAge21)-SUMIF(ThresholdAge21,"&lt;"&amp;BI204,WeightedMinAge21),MAX(CapacityAge21*'01_Вводные'!$B$218*BI204,MeanMinAge21)))</f>
        <v/>
      </c>
      <c r="BJ129" s="190">
        <f>IF(OR(BJ101=0,21&lt;='01_Вводные'!$B$297),0,BJ101*IF('01_Вводные'!$B$239="Да",MeanMinAge21+BJ204*SUMIF(ThresholdAge21,"&lt;"&amp;BJ204,WeightedRevAge21)-SUMIF(ThresholdAge21,"&lt;"&amp;BJ204,WeightedMinAge21),MAX(CapacityAge21*'01_Вводные'!$B$218*BJ204,MeanMinAge21)))</f>
        <v/>
      </c>
      <c r="BK129" s="190">
        <f>IF(OR(BK101=0,21&lt;='01_Вводные'!$B$297),0,BK101*IF('01_Вводные'!$B$239="Да",MeanMinAge21+BK204*SUMIF(ThresholdAge21,"&lt;"&amp;BK204,WeightedRevAge21)-SUMIF(ThresholdAge21,"&lt;"&amp;BK204,WeightedMinAge21),MAX(CapacityAge21*'01_Вводные'!$B$218*BK204,MeanMinAge21)))</f>
        <v/>
      </c>
      <c r="BL129" s="190">
        <f>IF(OR(BL101=0,21&lt;='01_Вводные'!$B$297),0,BL101*IF('01_Вводные'!$B$239="Да",MeanMinAge21+BL204*SUMIF(ThresholdAge21,"&lt;"&amp;BL204,WeightedRevAge21)-SUMIF(ThresholdAge21,"&lt;"&amp;BL204,WeightedMinAge21),MAX(CapacityAge21*'01_Вводные'!$B$218*BL204,MeanMinAge21)))</f>
        <v/>
      </c>
      <c r="BM129" s="190">
        <f>IF(OR(BM101=0,21&lt;='01_Вводные'!$B$297),0,BM101*IF('01_Вводные'!$B$239="Да",MeanMinAge21+BM204*SUMIF(ThresholdAge21,"&lt;"&amp;BM204,WeightedRevAge21)-SUMIF(ThresholdAge21,"&lt;"&amp;BM204,WeightedMinAge21),MAX(CapacityAge21*'01_Вводные'!$B$218*BM204,MeanMinAge21)))</f>
        <v/>
      </c>
      <c r="BN129" s="190">
        <f>IF(OR(BN101=0,21&lt;='01_Вводные'!$B$297),0,BN101*IF('01_Вводные'!$B$239="Да",MeanMinAge21+BN204*SUMIF(ThresholdAge21,"&lt;"&amp;BN204,WeightedRevAge21)-SUMIF(ThresholdAge21,"&lt;"&amp;BN204,WeightedMinAge21),MAX(CapacityAge21*'01_Вводные'!$B$218*BN204,MeanMinAge21)))</f>
        <v/>
      </c>
      <c r="BO129" s="190">
        <f>IF(OR(BO101=0,21&lt;='01_Вводные'!$B$297),0,BO101*IF('01_Вводные'!$B$239="Да",MeanMinAge21+BO204*SUMIF(ThresholdAge21,"&lt;"&amp;BO204,WeightedRevAge21)-SUMIF(ThresholdAge21,"&lt;"&amp;BO204,WeightedMinAge21),MAX(CapacityAge21*'01_Вводные'!$B$218*BO204,MeanMinAge21)))</f>
        <v/>
      </c>
    </row>
    <row r="130" hidden="1" outlineLevel="1">
      <c r="A130" t="inlineStr">
        <is>
          <t>22 мес.</t>
        </is>
      </c>
      <c r="B130" s="190">
        <f>IF(OR(B102=0,22&lt;='01_Вводные'!$B$297),0,B102*IF('01_Вводные'!$B$239="Да",MeanMinAge22+B204*SUMIF(ThresholdAge22,"&lt;"&amp;B204,WeightedRevAge22)-SUMIF(ThresholdAge22,"&lt;"&amp;B204,WeightedMinAge22),MAX(CapacityAge22*'01_Вводные'!$B$218*B204,MeanMinAge22)))</f>
        <v/>
      </c>
      <c r="C130" s="190">
        <f>IF(OR(C102=0,22&lt;='01_Вводные'!$B$297),0,C102*IF('01_Вводные'!$B$239="Да",MeanMinAge22+C204*SUMIF(ThresholdAge22,"&lt;"&amp;C204,WeightedRevAge22)-SUMIF(ThresholdAge22,"&lt;"&amp;C204,WeightedMinAge22),MAX(CapacityAge22*'01_Вводные'!$B$218*C204,MeanMinAge22)))</f>
        <v/>
      </c>
      <c r="D130" s="190">
        <f>IF(OR(D102=0,22&lt;='01_Вводные'!$B$297),0,D102*IF('01_Вводные'!$B$239="Да",MeanMinAge22+D204*SUMIF(ThresholdAge22,"&lt;"&amp;D204,WeightedRevAge22)-SUMIF(ThresholdAge22,"&lt;"&amp;D204,WeightedMinAge22),MAX(CapacityAge22*'01_Вводные'!$B$218*D204,MeanMinAge22)))</f>
        <v/>
      </c>
      <c r="E130" s="190">
        <f>IF(OR(E102=0,22&lt;='01_Вводные'!$B$297),0,E102*IF('01_Вводные'!$B$239="Да",MeanMinAge22+E204*SUMIF(ThresholdAge22,"&lt;"&amp;E204,WeightedRevAge22)-SUMIF(ThresholdAge22,"&lt;"&amp;E204,WeightedMinAge22),MAX(CapacityAge22*'01_Вводные'!$B$218*E204,MeanMinAge22)))</f>
        <v/>
      </c>
      <c r="F130" s="190">
        <f>IF(OR(F102=0,22&lt;='01_Вводные'!$B$297),0,F102*IF('01_Вводные'!$B$239="Да",MeanMinAge22+F204*SUMIF(ThresholdAge22,"&lt;"&amp;F204,WeightedRevAge22)-SUMIF(ThresholdAge22,"&lt;"&amp;F204,WeightedMinAge22),MAX(CapacityAge22*'01_Вводные'!$B$218*F204,MeanMinAge22)))</f>
        <v/>
      </c>
      <c r="G130" s="190">
        <f>IF(OR(G102=0,22&lt;='01_Вводные'!$B$297),0,G102*IF('01_Вводные'!$B$239="Да",MeanMinAge22+G204*SUMIF(ThresholdAge22,"&lt;"&amp;G204,WeightedRevAge22)-SUMIF(ThresholdAge22,"&lt;"&amp;G204,WeightedMinAge22),MAX(CapacityAge22*'01_Вводные'!$B$218*G204,MeanMinAge22)))</f>
        <v/>
      </c>
      <c r="H130" s="190">
        <f>IF(OR(H102=0,22&lt;='01_Вводные'!$B$297),0,H102*IF('01_Вводные'!$B$239="Да",MeanMinAge22+H204*SUMIF(ThresholdAge22,"&lt;"&amp;H204,WeightedRevAge22)-SUMIF(ThresholdAge22,"&lt;"&amp;H204,WeightedMinAge22),MAX(CapacityAge22*'01_Вводные'!$B$218*H204,MeanMinAge22)))</f>
        <v/>
      </c>
      <c r="I130" s="190">
        <f>IF(OR(I102=0,22&lt;='01_Вводные'!$B$297),0,I102*IF('01_Вводные'!$B$239="Да",MeanMinAge22+I204*SUMIF(ThresholdAge22,"&lt;"&amp;I204,WeightedRevAge22)-SUMIF(ThresholdAge22,"&lt;"&amp;I204,WeightedMinAge22),MAX(CapacityAge22*'01_Вводные'!$B$218*I204,MeanMinAge22)))</f>
        <v/>
      </c>
      <c r="J130" s="190">
        <f>IF(OR(J102=0,22&lt;='01_Вводные'!$B$297),0,J102*IF('01_Вводные'!$B$239="Да",MeanMinAge22+J204*SUMIF(ThresholdAge22,"&lt;"&amp;J204,WeightedRevAge22)-SUMIF(ThresholdAge22,"&lt;"&amp;J204,WeightedMinAge22),MAX(CapacityAge22*'01_Вводные'!$B$218*J204,MeanMinAge22)))</f>
        <v/>
      </c>
      <c r="K130" s="190">
        <f>IF(OR(K102=0,22&lt;='01_Вводные'!$B$297),0,K102*IF('01_Вводные'!$B$239="Да",MeanMinAge22+K204*SUMIF(ThresholdAge22,"&lt;"&amp;K204,WeightedRevAge22)-SUMIF(ThresholdAge22,"&lt;"&amp;K204,WeightedMinAge22),MAX(CapacityAge22*'01_Вводные'!$B$218*K204,MeanMinAge22)))</f>
        <v/>
      </c>
      <c r="L130" s="190">
        <f>IF(OR(L102=0,22&lt;='01_Вводные'!$B$297),0,L102*IF('01_Вводные'!$B$239="Да",MeanMinAge22+L204*SUMIF(ThresholdAge22,"&lt;"&amp;L204,WeightedRevAge22)-SUMIF(ThresholdAge22,"&lt;"&amp;L204,WeightedMinAge22),MAX(CapacityAge22*'01_Вводные'!$B$218*L204,MeanMinAge22)))</f>
        <v/>
      </c>
      <c r="M130" s="190">
        <f>IF(OR(M102=0,22&lt;='01_Вводные'!$B$297),0,M102*IF('01_Вводные'!$B$239="Да",MeanMinAge22+M204*SUMIF(ThresholdAge22,"&lt;"&amp;M204,WeightedRevAge22)-SUMIF(ThresholdAge22,"&lt;"&amp;M204,WeightedMinAge22),MAX(CapacityAge22*'01_Вводные'!$B$218*M204,MeanMinAge22)))</f>
        <v/>
      </c>
      <c r="N130" s="190">
        <f>IF(OR(N102=0,22&lt;='01_Вводные'!$B$297),0,N102*IF('01_Вводные'!$B$239="Да",MeanMinAge22+N204*SUMIF(ThresholdAge22,"&lt;"&amp;N204,WeightedRevAge22)-SUMIF(ThresholdAge22,"&lt;"&amp;N204,WeightedMinAge22),MAX(CapacityAge22*'01_Вводные'!$B$218*N204,MeanMinAge22)))</f>
        <v/>
      </c>
      <c r="O130" s="190">
        <f>IF(OR(O102=0,22&lt;='01_Вводные'!$B$297),0,O102*IF('01_Вводные'!$B$239="Да",MeanMinAge22+O204*SUMIF(ThresholdAge22,"&lt;"&amp;O204,WeightedRevAge22)-SUMIF(ThresholdAge22,"&lt;"&amp;O204,WeightedMinAge22),MAX(CapacityAge22*'01_Вводные'!$B$218*O204,MeanMinAge22)))</f>
        <v/>
      </c>
      <c r="P130" s="190">
        <f>IF(OR(P102=0,22&lt;='01_Вводные'!$B$297),0,P102*IF('01_Вводные'!$B$239="Да",MeanMinAge22+P204*SUMIF(ThresholdAge22,"&lt;"&amp;P204,WeightedRevAge22)-SUMIF(ThresholdAge22,"&lt;"&amp;P204,WeightedMinAge22),MAX(CapacityAge22*'01_Вводные'!$B$218*P204,MeanMinAge22)))</f>
        <v/>
      </c>
      <c r="Q130" s="190">
        <f>IF(OR(Q102=0,22&lt;='01_Вводные'!$B$297),0,Q102*IF('01_Вводные'!$B$239="Да",MeanMinAge22+Q204*SUMIF(ThresholdAge22,"&lt;"&amp;Q204,WeightedRevAge22)-SUMIF(ThresholdAge22,"&lt;"&amp;Q204,WeightedMinAge22),MAX(CapacityAge22*'01_Вводные'!$B$218*Q204,MeanMinAge22)))</f>
        <v/>
      </c>
      <c r="R130" s="190">
        <f>IF(OR(R102=0,22&lt;='01_Вводные'!$B$297),0,R102*IF('01_Вводные'!$B$239="Да",MeanMinAge22+R204*SUMIF(ThresholdAge22,"&lt;"&amp;R204,WeightedRevAge22)-SUMIF(ThresholdAge22,"&lt;"&amp;R204,WeightedMinAge22),MAX(CapacityAge22*'01_Вводные'!$B$218*R204,MeanMinAge22)))</f>
        <v/>
      </c>
      <c r="S130" s="190">
        <f>IF(OR(S102=0,22&lt;='01_Вводные'!$B$297),0,S102*IF('01_Вводные'!$B$239="Да",MeanMinAge22+S204*SUMIF(ThresholdAge22,"&lt;"&amp;S204,WeightedRevAge22)-SUMIF(ThresholdAge22,"&lt;"&amp;S204,WeightedMinAge22),MAX(CapacityAge22*'01_Вводные'!$B$218*S204,MeanMinAge22)))</f>
        <v/>
      </c>
      <c r="T130" s="190">
        <f>IF(OR(T102=0,22&lt;='01_Вводные'!$B$297),0,T102*IF('01_Вводные'!$B$239="Да",MeanMinAge22+T204*SUMIF(ThresholdAge22,"&lt;"&amp;T204,WeightedRevAge22)-SUMIF(ThresholdAge22,"&lt;"&amp;T204,WeightedMinAge22),MAX(CapacityAge22*'01_Вводные'!$B$218*T204,MeanMinAge22)))</f>
        <v/>
      </c>
      <c r="U130" s="190">
        <f>IF(OR(U102=0,22&lt;='01_Вводные'!$B$297),0,U102*IF('01_Вводные'!$B$239="Да",MeanMinAge22+U204*SUMIF(ThresholdAge22,"&lt;"&amp;U204,WeightedRevAge22)-SUMIF(ThresholdAge22,"&lt;"&amp;U204,WeightedMinAge22),MAX(CapacityAge22*'01_Вводные'!$B$218*U204,MeanMinAge22)))</f>
        <v/>
      </c>
      <c r="V130" s="190">
        <f>IF(OR(V102=0,22&lt;='01_Вводные'!$B$297),0,V102*IF('01_Вводные'!$B$239="Да",MeanMinAge22+V204*SUMIF(ThresholdAge22,"&lt;"&amp;V204,WeightedRevAge22)-SUMIF(ThresholdAge22,"&lt;"&amp;V204,WeightedMinAge22),MAX(CapacityAge22*'01_Вводные'!$B$218*V204,MeanMinAge22)))</f>
        <v/>
      </c>
      <c r="W130" s="190">
        <f>IF(OR(W102=0,22&lt;='01_Вводные'!$B$297),0,W102*IF('01_Вводные'!$B$239="Да",MeanMinAge22+W204*SUMIF(ThresholdAge22,"&lt;"&amp;W204,WeightedRevAge22)-SUMIF(ThresholdAge22,"&lt;"&amp;W204,WeightedMinAge22),MAX(CapacityAge22*'01_Вводные'!$B$218*W204,MeanMinAge22)))</f>
        <v/>
      </c>
      <c r="X130" s="190">
        <f>IF(OR(X102=0,22&lt;='01_Вводные'!$B$297),0,X102*IF('01_Вводные'!$B$239="Да",MeanMinAge22+X204*SUMIF(ThresholdAge22,"&lt;"&amp;X204,WeightedRevAge22)-SUMIF(ThresholdAge22,"&lt;"&amp;X204,WeightedMinAge22),MAX(CapacityAge22*'01_Вводные'!$B$218*X204,MeanMinAge22)))</f>
        <v/>
      </c>
      <c r="Y130" s="190">
        <f>IF(OR(Y102=0,22&lt;='01_Вводные'!$B$297),0,Y102*IF('01_Вводные'!$B$239="Да",MeanMinAge22+Y204*SUMIF(ThresholdAge22,"&lt;"&amp;Y204,WeightedRevAge22)-SUMIF(ThresholdAge22,"&lt;"&amp;Y204,WeightedMinAge22),MAX(CapacityAge22*'01_Вводные'!$B$218*Y204,MeanMinAge22)))</f>
        <v/>
      </c>
      <c r="Z130" s="190">
        <f>IF(OR(Z102=0,22&lt;='01_Вводные'!$B$297),0,Z102*IF('01_Вводные'!$B$239="Да",MeanMinAge22+Z204*SUMIF(ThresholdAge22,"&lt;"&amp;Z204,WeightedRevAge22)-SUMIF(ThresholdAge22,"&lt;"&amp;Z204,WeightedMinAge22),MAX(CapacityAge22*'01_Вводные'!$B$218*Z204,MeanMinAge22)))</f>
        <v/>
      </c>
      <c r="AA130" s="190">
        <f>IF(OR(AA102=0,22&lt;='01_Вводные'!$B$297),0,AA102*IF('01_Вводные'!$B$239="Да",MeanMinAge22+AA204*SUMIF(ThresholdAge22,"&lt;"&amp;AA204,WeightedRevAge22)-SUMIF(ThresholdAge22,"&lt;"&amp;AA204,WeightedMinAge22),MAX(CapacityAge22*'01_Вводные'!$B$218*AA204,MeanMinAge22)))</f>
        <v/>
      </c>
      <c r="AB130" s="190">
        <f>IF(OR(AB102=0,22&lt;='01_Вводные'!$B$297),0,AB102*IF('01_Вводные'!$B$239="Да",MeanMinAge22+AB204*SUMIF(ThresholdAge22,"&lt;"&amp;AB204,WeightedRevAge22)-SUMIF(ThresholdAge22,"&lt;"&amp;AB204,WeightedMinAge22),MAX(CapacityAge22*'01_Вводные'!$B$218*AB204,MeanMinAge22)))</f>
        <v/>
      </c>
      <c r="AC130" s="190">
        <f>IF(OR(AC102=0,22&lt;='01_Вводные'!$B$297),0,AC102*IF('01_Вводные'!$B$239="Да",MeanMinAge22+AC204*SUMIF(ThresholdAge22,"&lt;"&amp;AC204,WeightedRevAge22)-SUMIF(ThresholdAge22,"&lt;"&amp;AC204,WeightedMinAge22),MAX(CapacityAge22*'01_Вводные'!$B$218*AC204,MeanMinAge22)))</f>
        <v/>
      </c>
      <c r="AD130" s="190">
        <f>IF(OR(AD102=0,22&lt;='01_Вводные'!$B$297),0,AD102*IF('01_Вводные'!$B$239="Да",MeanMinAge22+AD204*SUMIF(ThresholdAge22,"&lt;"&amp;AD204,WeightedRevAge22)-SUMIF(ThresholdAge22,"&lt;"&amp;AD204,WeightedMinAge22),MAX(CapacityAge22*'01_Вводные'!$B$218*AD204,MeanMinAge22)))</f>
        <v/>
      </c>
      <c r="AE130" s="190">
        <f>IF(OR(AE102=0,22&lt;='01_Вводные'!$B$297),0,AE102*IF('01_Вводные'!$B$239="Да",MeanMinAge22+AE204*SUMIF(ThresholdAge22,"&lt;"&amp;AE204,WeightedRevAge22)-SUMIF(ThresholdAge22,"&lt;"&amp;AE204,WeightedMinAge22),MAX(CapacityAge22*'01_Вводные'!$B$218*AE204,MeanMinAge22)))</f>
        <v/>
      </c>
      <c r="AF130" s="190">
        <f>IF(OR(AF102=0,22&lt;='01_Вводные'!$B$297),0,AF102*IF('01_Вводные'!$B$239="Да",MeanMinAge22+AF204*SUMIF(ThresholdAge22,"&lt;"&amp;AF204,WeightedRevAge22)-SUMIF(ThresholdAge22,"&lt;"&amp;AF204,WeightedMinAge22),MAX(CapacityAge22*'01_Вводные'!$B$218*AF204,MeanMinAge22)))</f>
        <v/>
      </c>
      <c r="AG130" s="190">
        <f>IF(OR(AG102=0,22&lt;='01_Вводные'!$B$297),0,AG102*IF('01_Вводные'!$B$239="Да",MeanMinAge22+AG204*SUMIF(ThresholdAge22,"&lt;"&amp;AG204,WeightedRevAge22)-SUMIF(ThresholdAge22,"&lt;"&amp;AG204,WeightedMinAge22),MAX(CapacityAge22*'01_Вводные'!$B$218*AG204,MeanMinAge22)))</f>
        <v/>
      </c>
      <c r="AH130" s="190">
        <f>IF(OR(AH102=0,22&lt;='01_Вводные'!$B$297),0,AH102*IF('01_Вводные'!$B$239="Да",MeanMinAge22+AH204*SUMIF(ThresholdAge22,"&lt;"&amp;AH204,WeightedRevAge22)-SUMIF(ThresholdAge22,"&lt;"&amp;AH204,WeightedMinAge22),MAX(CapacityAge22*'01_Вводные'!$B$218*AH204,MeanMinAge22)))</f>
        <v/>
      </c>
      <c r="AI130" s="190">
        <f>IF(OR(AI102=0,22&lt;='01_Вводные'!$B$297),0,AI102*IF('01_Вводные'!$B$239="Да",MeanMinAge22+AI204*SUMIF(ThresholdAge22,"&lt;"&amp;AI204,WeightedRevAge22)-SUMIF(ThresholdAge22,"&lt;"&amp;AI204,WeightedMinAge22),MAX(CapacityAge22*'01_Вводные'!$B$218*AI204,MeanMinAge22)))</f>
        <v/>
      </c>
      <c r="AJ130" s="190">
        <f>IF(OR(AJ102=0,22&lt;='01_Вводные'!$B$297),0,AJ102*IF('01_Вводные'!$B$239="Да",MeanMinAge22+AJ204*SUMIF(ThresholdAge22,"&lt;"&amp;AJ204,WeightedRevAge22)-SUMIF(ThresholdAge22,"&lt;"&amp;AJ204,WeightedMinAge22),MAX(CapacityAge22*'01_Вводные'!$B$218*AJ204,MeanMinAge22)))</f>
        <v/>
      </c>
      <c r="AK130" s="190">
        <f>IF(OR(AK102=0,22&lt;='01_Вводные'!$B$297),0,AK102*IF('01_Вводные'!$B$239="Да",MeanMinAge22+AK204*SUMIF(ThresholdAge22,"&lt;"&amp;AK204,WeightedRevAge22)-SUMIF(ThresholdAge22,"&lt;"&amp;AK204,WeightedMinAge22),MAX(CapacityAge22*'01_Вводные'!$B$218*AK204,MeanMinAge22)))</f>
        <v/>
      </c>
      <c r="AL130" s="190">
        <f>IF(OR(AL102=0,22&lt;='01_Вводные'!$B$297),0,AL102*IF('01_Вводные'!$B$239="Да",MeanMinAge22+AL204*SUMIF(ThresholdAge22,"&lt;"&amp;AL204,WeightedRevAge22)-SUMIF(ThresholdAge22,"&lt;"&amp;AL204,WeightedMinAge22),MAX(CapacityAge22*'01_Вводные'!$B$218*AL204,MeanMinAge22)))</f>
        <v/>
      </c>
      <c r="AM130" s="190">
        <f>IF(OR(AM102=0,22&lt;='01_Вводные'!$B$297),0,AM102*IF('01_Вводные'!$B$239="Да",MeanMinAge22+AM204*SUMIF(ThresholdAge22,"&lt;"&amp;AM204,WeightedRevAge22)-SUMIF(ThresholdAge22,"&lt;"&amp;AM204,WeightedMinAge22),MAX(CapacityAge22*'01_Вводные'!$B$218*AM204,MeanMinAge22)))</f>
        <v/>
      </c>
      <c r="AN130" s="190">
        <f>IF(OR(AN102=0,22&lt;='01_Вводные'!$B$297),0,AN102*IF('01_Вводные'!$B$239="Да",MeanMinAge22+AN204*SUMIF(ThresholdAge22,"&lt;"&amp;AN204,WeightedRevAge22)-SUMIF(ThresholdAge22,"&lt;"&amp;AN204,WeightedMinAge22),MAX(CapacityAge22*'01_Вводные'!$B$218*AN204,MeanMinAge22)))</f>
        <v/>
      </c>
      <c r="AO130" s="190">
        <f>IF(OR(AO102=0,22&lt;='01_Вводные'!$B$297),0,AO102*IF('01_Вводные'!$B$239="Да",MeanMinAge22+AO204*SUMIF(ThresholdAge22,"&lt;"&amp;AO204,WeightedRevAge22)-SUMIF(ThresholdAge22,"&lt;"&amp;AO204,WeightedMinAge22),MAX(CapacityAge22*'01_Вводные'!$B$218*AO204,MeanMinAge22)))</f>
        <v/>
      </c>
      <c r="AP130" s="190">
        <f>IF(OR(AP102=0,22&lt;='01_Вводные'!$B$297),0,AP102*IF('01_Вводные'!$B$239="Да",MeanMinAge22+AP204*SUMIF(ThresholdAge22,"&lt;"&amp;AP204,WeightedRevAge22)-SUMIF(ThresholdAge22,"&lt;"&amp;AP204,WeightedMinAge22),MAX(CapacityAge22*'01_Вводные'!$B$218*AP204,MeanMinAge22)))</f>
        <v/>
      </c>
      <c r="AQ130" s="190">
        <f>IF(OR(AQ102=0,22&lt;='01_Вводные'!$B$297),0,AQ102*IF('01_Вводные'!$B$239="Да",MeanMinAge22+AQ204*SUMIF(ThresholdAge22,"&lt;"&amp;AQ204,WeightedRevAge22)-SUMIF(ThresholdAge22,"&lt;"&amp;AQ204,WeightedMinAge22),MAX(CapacityAge22*'01_Вводные'!$B$218*AQ204,MeanMinAge22)))</f>
        <v/>
      </c>
      <c r="AR130" s="190">
        <f>IF(OR(AR102=0,22&lt;='01_Вводные'!$B$297),0,AR102*IF('01_Вводные'!$B$239="Да",MeanMinAge22+AR204*SUMIF(ThresholdAge22,"&lt;"&amp;AR204,WeightedRevAge22)-SUMIF(ThresholdAge22,"&lt;"&amp;AR204,WeightedMinAge22),MAX(CapacityAge22*'01_Вводные'!$B$218*AR204,MeanMinAge22)))</f>
        <v/>
      </c>
      <c r="AS130" s="190">
        <f>IF(OR(AS102=0,22&lt;='01_Вводные'!$B$297),0,AS102*IF('01_Вводные'!$B$239="Да",MeanMinAge22+AS204*SUMIF(ThresholdAge22,"&lt;"&amp;AS204,WeightedRevAge22)-SUMIF(ThresholdAge22,"&lt;"&amp;AS204,WeightedMinAge22),MAX(CapacityAge22*'01_Вводные'!$B$218*AS204,MeanMinAge22)))</f>
        <v/>
      </c>
      <c r="AT130" s="190">
        <f>IF(OR(AT102=0,22&lt;='01_Вводные'!$B$297),0,AT102*IF('01_Вводные'!$B$239="Да",MeanMinAge22+AT204*SUMIF(ThresholdAge22,"&lt;"&amp;AT204,WeightedRevAge22)-SUMIF(ThresholdAge22,"&lt;"&amp;AT204,WeightedMinAge22),MAX(CapacityAge22*'01_Вводные'!$B$218*AT204,MeanMinAge22)))</f>
        <v/>
      </c>
      <c r="AU130" s="190">
        <f>IF(OR(AU102=0,22&lt;='01_Вводные'!$B$297),0,AU102*IF('01_Вводные'!$B$239="Да",MeanMinAge22+AU204*SUMIF(ThresholdAge22,"&lt;"&amp;AU204,WeightedRevAge22)-SUMIF(ThresholdAge22,"&lt;"&amp;AU204,WeightedMinAge22),MAX(CapacityAge22*'01_Вводные'!$B$218*AU204,MeanMinAge22)))</f>
        <v/>
      </c>
      <c r="AV130" s="190">
        <f>IF(OR(AV102=0,22&lt;='01_Вводные'!$B$297),0,AV102*IF('01_Вводные'!$B$239="Да",MeanMinAge22+AV204*SUMIF(ThresholdAge22,"&lt;"&amp;AV204,WeightedRevAge22)-SUMIF(ThresholdAge22,"&lt;"&amp;AV204,WeightedMinAge22),MAX(CapacityAge22*'01_Вводные'!$B$218*AV204,MeanMinAge22)))</f>
        <v/>
      </c>
      <c r="AW130" s="190">
        <f>IF(OR(AW102=0,22&lt;='01_Вводные'!$B$297),0,AW102*IF('01_Вводные'!$B$239="Да",MeanMinAge22+AW204*SUMIF(ThresholdAge22,"&lt;"&amp;AW204,WeightedRevAge22)-SUMIF(ThresholdAge22,"&lt;"&amp;AW204,WeightedMinAge22),MAX(CapacityAge22*'01_Вводные'!$B$218*AW204,MeanMinAge22)))</f>
        <v/>
      </c>
      <c r="AX130" s="190">
        <f>IF(OR(AX102=0,22&lt;='01_Вводные'!$B$297),0,AX102*IF('01_Вводные'!$B$239="Да",MeanMinAge22+AX204*SUMIF(ThresholdAge22,"&lt;"&amp;AX204,WeightedRevAge22)-SUMIF(ThresholdAge22,"&lt;"&amp;AX204,WeightedMinAge22),MAX(CapacityAge22*'01_Вводные'!$B$218*AX204,MeanMinAge22)))</f>
        <v/>
      </c>
      <c r="AY130" s="190">
        <f>IF(OR(AY102=0,22&lt;='01_Вводные'!$B$297),0,AY102*IF('01_Вводные'!$B$239="Да",MeanMinAge22+AY204*SUMIF(ThresholdAge22,"&lt;"&amp;AY204,WeightedRevAge22)-SUMIF(ThresholdAge22,"&lt;"&amp;AY204,WeightedMinAge22),MAX(CapacityAge22*'01_Вводные'!$B$218*AY204,MeanMinAge22)))</f>
        <v/>
      </c>
      <c r="AZ130" s="190">
        <f>IF(OR(AZ102=0,22&lt;='01_Вводные'!$B$297),0,AZ102*IF('01_Вводные'!$B$239="Да",MeanMinAge22+AZ204*SUMIF(ThresholdAge22,"&lt;"&amp;AZ204,WeightedRevAge22)-SUMIF(ThresholdAge22,"&lt;"&amp;AZ204,WeightedMinAge22),MAX(CapacityAge22*'01_Вводные'!$B$218*AZ204,MeanMinAge22)))</f>
        <v/>
      </c>
      <c r="BA130" s="190">
        <f>IF(OR(BA102=0,22&lt;='01_Вводные'!$B$297),0,BA102*IF('01_Вводные'!$B$239="Да",MeanMinAge22+BA204*SUMIF(ThresholdAge22,"&lt;"&amp;BA204,WeightedRevAge22)-SUMIF(ThresholdAge22,"&lt;"&amp;BA204,WeightedMinAge22),MAX(CapacityAge22*'01_Вводные'!$B$218*BA204,MeanMinAge22)))</f>
        <v/>
      </c>
      <c r="BB130" s="190">
        <f>IF(OR(BB102=0,22&lt;='01_Вводные'!$B$297),0,BB102*IF('01_Вводные'!$B$239="Да",MeanMinAge22+BB204*SUMIF(ThresholdAge22,"&lt;"&amp;BB204,WeightedRevAge22)-SUMIF(ThresholdAge22,"&lt;"&amp;BB204,WeightedMinAge22),MAX(CapacityAge22*'01_Вводные'!$B$218*BB204,MeanMinAge22)))</f>
        <v/>
      </c>
      <c r="BC130" s="190">
        <f>IF(OR(BC102=0,22&lt;='01_Вводные'!$B$297),0,BC102*IF('01_Вводные'!$B$239="Да",MeanMinAge22+BC204*SUMIF(ThresholdAge22,"&lt;"&amp;BC204,WeightedRevAge22)-SUMIF(ThresholdAge22,"&lt;"&amp;BC204,WeightedMinAge22),MAX(CapacityAge22*'01_Вводные'!$B$218*BC204,MeanMinAge22)))</f>
        <v/>
      </c>
      <c r="BD130" s="190">
        <f>IF(OR(BD102=0,22&lt;='01_Вводные'!$B$297),0,BD102*IF('01_Вводные'!$B$239="Да",MeanMinAge22+BD204*SUMIF(ThresholdAge22,"&lt;"&amp;BD204,WeightedRevAge22)-SUMIF(ThresholdAge22,"&lt;"&amp;BD204,WeightedMinAge22),MAX(CapacityAge22*'01_Вводные'!$B$218*BD204,MeanMinAge22)))</f>
        <v/>
      </c>
      <c r="BE130" s="190">
        <f>IF(OR(BE102=0,22&lt;='01_Вводные'!$B$297),0,BE102*IF('01_Вводные'!$B$239="Да",MeanMinAge22+BE204*SUMIF(ThresholdAge22,"&lt;"&amp;BE204,WeightedRevAge22)-SUMIF(ThresholdAge22,"&lt;"&amp;BE204,WeightedMinAge22),MAX(CapacityAge22*'01_Вводные'!$B$218*BE204,MeanMinAge22)))</f>
        <v/>
      </c>
      <c r="BF130" s="190">
        <f>IF(OR(BF102=0,22&lt;='01_Вводные'!$B$297),0,BF102*IF('01_Вводные'!$B$239="Да",MeanMinAge22+BF204*SUMIF(ThresholdAge22,"&lt;"&amp;BF204,WeightedRevAge22)-SUMIF(ThresholdAge22,"&lt;"&amp;BF204,WeightedMinAge22),MAX(CapacityAge22*'01_Вводные'!$B$218*BF204,MeanMinAge22)))</f>
        <v/>
      </c>
      <c r="BG130" s="190">
        <f>IF(OR(BG102=0,22&lt;='01_Вводные'!$B$297),0,BG102*IF('01_Вводные'!$B$239="Да",MeanMinAge22+BG204*SUMIF(ThresholdAge22,"&lt;"&amp;BG204,WeightedRevAge22)-SUMIF(ThresholdAge22,"&lt;"&amp;BG204,WeightedMinAge22),MAX(CapacityAge22*'01_Вводные'!$B$218*BG204,MeanMinAge22)))</f>
        <v/>
      </c>
      <c r="BH130" s="190">
        <f>IF(OR(BH102=0,22&lt;='01_Вводные'!$B$297),0,BH102*IF('01_Вводные'!$B$239="Да",MeanMinAge22+BH204*SUMIF(ThresholdAge22,"&lt;"&amp;BH204,WeightedRevAge22)-SUMIF(ThresholdAge22,"&lt;"&amp;BH204,WeightedMinAge22),MAX(CapacityAge22*'01_Вводные'!$B$218*BH204,MeanMinAge22)))</f>
        <v/>
      </c>
      <c r="BI130" s="190">
        <f>IF(OR(BI102=0,22&lt;='01_Вводные'!$B$297),0,BI102*IF('01_Вводные'!$B$239="Да",MeanMinAge22+BI204*SUMIF(ThresholdAge22,"&lt;"&amp;BI204,WeightedRevAge22)-SUMIF(ThresholdAge22,"&lt;"&amp;BI204,WeightedMinAge22),MAX(CapacityAge22*'01_Вводные'!$B$218*BI204,MeanMinAge22)))</f>
        <v/>
      </c>
      <c r="BJ130" s="190">
        <f>IF(OR(BJ102=0,22&lt;='01_Вводные'!$B$297),0,BJ102*IF('01_Вводные'!$B$239="Да",MeanMinAge22+BJ204*SUMIF(ThresholdAge22,"&lt;"&amp;BJ204,WeightedRevAge22)-SUMIF(ThresholdAge22,"&lt;"&amp;BJ204,WeightedMinAge22),MAX(CapacityAge22*'01_Вводные'!$B$218*BJ204,MeanMinAge22)))</f>
        <v/>
      </c>
      <c r="BK130" s="190">
        <f>IF(OR(BK102=0,22&lt;='01_Вводные'!$B$297),0,BK102*IF('01_Вводные'!$B$239="Да",MeanMinAge22+BK204*SUMIF(ThresholdAge22,"&lt;"&amp;BK204,WeightedRevAge22)-SUMIF(ThresholdAge22,"&lt;"&amp;BK204,WeightedMinAge22),MAX(CapacityAge22*'01_Вводные'!$B$218*BK204,MeanMinAge22)))</f>
        <v/>
      </c>
      <c r="BL130" s="190">
        <f>IF(OR(BL102=0,22&lt;='01_Вводные'!$B$297),0,BL102*IF('01_Вводные'!$B$239="Да",MeanMinAge22+BL204*SUMIF(ThresholdAge22,"&lt;"&amp;BL204,WeightedRevAge22)-SUMIF(ThresholdAge22,"&lt;"&amp;BL204,WeightedMinAge22),MAX(CapacityAge22*'01_Вводные'!$B$218*BL204,MeanMinAge22)))</f>
        <v/>
      </c>
      <c r="BM130" s="190">
        <f>IF(OR(BM102=0,22&lt;='01_Вводные'!$B$297),0,BM102*IF('01_Вводные'!$B$239="Да",MeanMinAge22+BM204*SUMIF(ThresholdAge22,"&lt;"&amp;BM204,WeightedRevAge22)-SUMIF(ThresholdAge22,"&lt;"&amp;BM204,WeightedMinAge22),MAX(CapacityAge22*'01_Вводные'!$B$218*BM204,MeanMinAge22)))</f>
        <v/>
      </c>
      <c r="BN130" s="190">
        <f>IF(OR(BN102=0,22&lt;='01_Вводные'!$B$297),0,BN102*IF('01_Вводные'!$B$239="Да",MeanMinAge22+BN204*SUMIF(ThresholdAge22,"&lt;"&amp;BN204,WeightedRevAge22)-SUMIF(ThresholdAge22,"&lt;"&amp;BN204,WeightedMinAge22),MAX(CapacityAge22*'01_Вводные'!$B$218*BN204,MeanMinAge22)))</f>
        <v/>
      </c>
      <c r="BO130" s="190">
        <f>IF(OR(BO102=0,22&lt;='01_Вводные'!$B$297),0,BO102*IF('01_Вводные'!$B$239="Да",MeanMinAge22+BO204*SUMIF(ThresholdAge22,"&lt;"&amp;BO204,WeightedRevAge22)-SUMIF(ThresholdAge22,"&lt;"&amp;BO204,WeightedMinAge22),MAX(CapacityAge22*'01_Вводные'!$B$218*BO204,MeanMinAge22)))</f>
        <v/>
      </c>
    </row>
    <row r="131" hidden="1" outlineLevel="1">
      <c r="A131" t="inlineStr">
        <is>
          <t>23 мес.</t>
        </is>
      </c>
      <c r="B131" s="190">
        <f>IF(OR(B103=0,23&lt;='01_Вводные'!$B$297),0,B103*IF('01_Вводные'!$B$239="Да",MeanMinAge23+B204*SUMIF(ThresholdAge23,"&lt;"&amp;B204,WeightedRevAge23)-SUMIF(ThresholdAge23,"&lt;"&amp;B204,WeightedMinAge23),MAX(CapacityAge23*'01_Вводные'!$B$218*B204,MeanMinAge23)))</f>
        <v/>
      </c>
      <c r="C131" s="190">
        <f>IF(OR(C103=0,23&lt;='01_Вводные'!$B$297),0,C103*IF('01_Вводные'!$B$239="Да",MeanMinAge23+C204*SUMIF(ThresholdAge23,"&lt;"&amp;C204,WeightedRevAge23)-SUMIF(ThresholdAge23,"&lt;"&amp;C204,WeightedMinAge23),MAX(CapacityAge23*'01_Вводные'!$B$218*C204,MeanMinAge23)))</f>
        <v/>
      </c>
      <c r="D131" s="190">
        <f>IF(OR(D103=0,23&lt;='01_Вводные'!$B$297),0,D103*IF('01_Вводные'!$B$239="Да",MeanMinAge23+D204*SUMIF(ThresholdAge23,"&lt;"&amp;D204,WeightedRevAge23)-SUMIF(ThresholdAge23,"&lt;"&amp;D204,WeightedMinAge23),MAX(CapacityAge23*'01_Вводные'!$B$218*D204,MeanMinAge23)))</f>
        <v/>
      </c>
      <c r="E131" s="190">
        <f>IF(OR(E103=0,23&lt;='01_Вводные'!$B$297),0,E103*IF('01_Вводные'!$B$239="Да",MeanMinAge23+E204*SUMIF(ThresholdAge23,"&lt;"&amp;E204,WeightedRevAge23)-SUMIF(ThresholdAge23,"&lt;"&amp;E204,WeightedMinAge23),MAX(CapacityAge23*'01_Вводные'!$B$218*E204,MeanMinAge23)))</f>
        <v/>
      </c>
      <c r="F131" s="190">
        <f>IF(OR(F103=0,23&lt;='01_Вводные'!$B$297),0,F103*IF('01_Вводные'!$B$239="Да",MeanMinAge23+F204*SUMIF(ThresholdAge23,"&lt;"&amp;F204,WeightedRevAge23)-SUMIF(ThresholdAge23,"&lt;"&amp;F204,WeightedMinAge23),MAX(CapacityAge23*'01_Вводные'!$B$218*F204,MeanMinAge23)))</f>
        <v/>
      </c>
      <c r="G131" s="190">
        <f>IF(OR(G103=0,23&lt;='01_Вводные'!$B$297),0,G103*IF('01_Вводные'!$B$239="Да",MeanMinAge23+G204*SUMIF(ThresholdAge23,"&lt;"&amp;G204,WeightedRevAge23)-SUMIF(ThresholdAge23,"&lt;"&amp;G204,WeightedMinAge23),MAX(CapacityAge23*'01_Вводные'!$B$218*G204,MeanMinAge23)))</f>
        <v/>
      </c>
      <c r="H131" s="190">
        <f>IF(OR(H103=0,23&lt;='01_Вводные'!$B$297),0,H103*IF('01_Вводные'!$B$239="Да",MeanMinAge23+H204*SUMIF(ThresholdAge23,"&lt;"&amp;H204,WeightedRevAge23)-SUMIF(ThresholdAge23,"&lt;"&amp;H204,WeightedMinAge23),MAX(CapacityAge23*'01_Вводные'!$B$218*H204,MeanMinAge23)))</f>
        <v/>
      </c>
      <c r="I131" s="190">
        <f>IF(OR(I103=0,23&lt;='01_Вводные'!$B$297),0,I103*IF('01_Вводные'!$B$239="Да",MeanMinAge23+I204*SUMIF(ThresholdAge23,"&lt;"&amp;I204,WeightedRevAge23)-SUMIF(ThresholdAge23,"&lt;"&amp;I204,WeightedMinAge23),MAX(CapacityAge23*'01_Вводные'!$B$218*I204,MeanMinAge23)))</f>
        <v/>
      </c>
      <c r="J131" s="190">
        <f>IF(OR(J103=0,23&lt;='01_Вводные'!$B$297),0,J103*IF('01_Вводные'!$B$239="Да",MeanMinAge23+J204*SUMIF(ThresholdAge23,"&lt;"&amp;J204,WeightedRevAge23)-SUMIF(ThresholdAge23,"&lt;"&amp;J204,WeightedMinAge23),MAX(CapacityAge23*'01_Вводные'!$B$218*J204,MeanMinAge23)))</f>
        <v/>
      </c>
      <c r="K131" s="190">
        <f>IF(OR(K103=0,23&lt;='01_Вводные'!$B$297),0,K103*IF('01_Вводные'!$B$239="Да",MeanMinAge23+K204*SUMIF(ThresholdAge23,"&lt;"&amp;K204,WeightedRevAge23)-SUMIF(ThresholdAge23,"&lt;"&amp;K204,WeightedMinAge23),MAX(CapacityAge23*'01_Вводные'!$B$218*K204,MeanMinAge23)))</f>
        <v/>
      </c>
      <c r="L131" s="190">
        <f>IF(OR(L103=0,23&lt;='01_Вводные'!$B$297),0,L103*IF('01_Вводные'!$B$239="Да",MeanMinAge23+L204*SUMIF(ThresholdAge23,"&lt;"&amp;L204,WeightedRevAge23)-SUMIF(ThresholdAge23,"&lt;"&amp;L204,WeightedMinAge23),MAX(CapacityAge23*'01_Вводные'!$B$218*L204,MeanMinAge23)))</f>
        <v/>
      </c>
      <c r="M131" s="190">
        <f>IF(OR(M103=0,23&lt;='01_Вводные'!$B$297),0,M103*IF('01_Вводные'!$B$239="Да",MeanMinAge23+M204*SUMIF(ThresholdAge23,"&lt;"&amp;M204,WeightedRevAge23)-SUMIF(ThresholdAge23,"&lt;"&amp;M204,WeightedMinAge23),MAX(CapacityAge23*'01_Вводные'!$B$218*M204,MeanMinAge23)))</f>
        <v/>
      </c>
      <c r="N131" s="190">
        <f>IF(OR(N103=0,23&lt;='01_Вводные'!$B$297),0,N103*IF('01_Вводные'!$B$239="Да",MeanMinAge23+N204*SUMIF(ThresholdAge23,"&lt;"&amp;N204,WeightedRevAge23)-SUMIF(ThresholdAge23,"&lt;"&amp;N204,WeightedMinAge23),MAX(CapacityAge23*'01_Вводные'!$B$218*N204,MeanMinAge23)))</f>
        <v/>
      </c>
      <c r="O131" s="190">
        <f>IF(OR(O103=0,23&lt;='01_Вводные'!$B$297),0,O103*IF('01_Вводные'!$B$239="Да",MeanMinAge23+O204*SUMIF(ThresholdAge23,"&lt;"&amp;O204,WeightedRevAge23)-SUMIF(ThresholdAge23,"&lt;"&amp;O204,WeightedMinAge23),MAX(CapacityAge23*'01_Вводные'!$B$218*O204,MeanMinAge23)))</f>
        <v/>
      </c>
      <c r="P131" s="190">
        <f>IF(OR(P103=0,23&lt;='01_Вводные'!$B$297),0,P103*IF('01_Вводные'!$B$239="Да",MeanMinAge23+P204*SUMIF(ThresholdAge23,"&lt;"&amp;P204,WeightedRevAge23)-SUMIF(ThresholdAge23,"&lt;"&amp;P204,WeightedMinAge23),MAX(CapacityAge23*'01_Вводные'!$B$218*P204,MeanMinAge23)))</f>
        <v/>
      </c>
      <c r="Q131" s="190">
        <f>IF(OR(Q103=0,23&lt;='01_Вводные'!$B$297),0,Q103*IF('01_Вводные'!$B$239="Да",MeanMinAge23+Q204*SUMIF(ThresholdAge23,"&lt;"&amp;Q204,WeightedRevAge23)-SUMIF(ThresholdAge23,"&lt;"&amp;Q204,WeightedMinAge23),MAX(CapacityAge23*'01_Вводные'!$B$218*Q204,MeanMinAge23)))</f>
        <v/>
      </c>
      <c r="R131" s="190">
        <f>IF(OR(R103=0,23&lt;='01_Вводные'!$B$297),0,R103*IF('01_Вводные'!$B$239="Да",MeanMinAge23+R204*SUMIF(ThresholdAge23,"&lt;"&amp;R204,WeightedRevAge23)-SUMIF(ThresholdAge23,"&lt;"&amp;R204,WeightedMinAge23),MAX(CapacityAge23*'01_Вводные'!$B$218*R204,MeanMinAge23)))</f>
        <v/>
      </c>
      <c r="S131" s="190">
        <f>IF(OR(S103=0,23&lt;='01_Вводные'!$B$297),0,S103*IF('01_Вводные'!$B$239="Да",MeanMinAge23+S204*SUMIF(ThresholdAge23,"&lt;"&amp;S204,WeightedRevAge23)-SUMIF(ThresholdAge23,"&lt;"&amp;S204,WeightedMinAge23),MAX(CapacityAge23*'01_Вводные'!$B$218*S204,MeanMinAge23)))</f>
        <v/>
      </c>
      <c r="T131" s="190">
        <f>IF(OR(T103=0,23&lt;='01_Вводные'!$B$297),0,T103*IF('01_Вводные'!$B$239="Да",MeanMinAge23+T204*SUMIF(ThresholdAge23,"&lt;"&amp;T204,WeightedRevAge23)-SUMIF(ThresholdAge23,"&lt;"&amp;T204,WeightedMinAge23),MAX(CapacityAge23*'01_Вводные'!$B$218*T204,MeanMinAge23)))</f>
        <v/>
      </c>
      <c r="U131" s="190">
        <f>IF(OR(U103=0,23&lt;='01_Вводные'!$B$297),0,U103*IF('01_Вводные'!$B$239="Да",MeanMinAge23+U204*SUMIF(ThresholdAge23,"&lt;"&amp;U204,WeightedRevAge23)-SUMIF(ThresholdAge23,"&lt;"&amp;U204,WeightedMinAge23),MAX(CapacityAge23*'01_Вводные'!$B$218*U204,MeanMinAge23)))</f>
        <v/>
      </c>
      <c r="V131" s="190">
        <f>IF(OR(V103=0,23&lt;='01_Вводные'!$B$297),0,V103*IF('01_Вводные'!$B$239="Да",MeanMinAge23+V204*SUMIF(ThresholdAge23,"&lt;"&amp;V204,WeightedRevAge23)-SUMIF(ThresholdAge23,"&lt;"&amp;V204,WeightedMinAge23),MAX(CapacityAge23*'01_Вводные'!$B$218*V204,MeanMinAge23)))</f>
        <v/>
      </c>
      <c r="W131" s="190">
        <f>IF(OR(W103=0,23&lt;='01_Вводные'!$B$297),0,W103*IF('01_Вводные'!$B$239="Да",MeanMinAge23+W204*SUMIF(ThresholdAge23,"&lt;"&amp;W204,WeightedRevAge23)-SUMIF(ThresholdAge23,"&lt;"&amp;W204,WeightedMinAge23),MAX(CapacityAge23*'01_Вводные'!$B$218*W204,MeanMinAge23)))</f>
        <v/>
      </c>
      <c r="X131" s="190">
        <f>IF(OR(X103=0,23&lt;='01_Вводные'!$B$297),0,X103*IF('01_Вводные'!$B$239="Да",MeanMinAge23+X204*SUMIF(ThresholdAge23,"&lt;"&amp;X204,WeightedRevAge23)-SUMIF(ThresholdAge23,"&lt;"&amp;X204,WeightedMinAge23),MAX(CapacityAge23*'01_Вводные'!$B$218*X204,MeanMinAge23)))</f>
        <v/>
      </c>
      <c r="Y131" s="190">
        <f>IF(OR(Y103=0,23&lt;='01_Вводные'!$B$297),0,Y103*IF('01_Вводные'!$B$239="Да",MeanMinAge23+Y204*SUMIF(ThresholdAge23,"&lt;"&amp;Y204,WeightedRevAge23)-SUMIF(ThresholdAge23,"&lt;"&amp;Y204,WeightedMinAge23),MAX(CapacityAge23*'01_Вводные'!$B$218*Y204,MeanMinAge23)))</f>
        <v/>
      </c>
      <c r="Z131" s="190">
        <f>IF(OR(Z103=0,23&lt;='01_Вводные'!$B$297),0,Z103*IF('01_Вводные'!$B$239="Да",MeanMinAge23+Z204*SUMIF(ThresholdAge23,"&lt;"&amp;Z204,WeightedRevAge23)-SUMIF(ThresholdAge23,"&lt;"&amp;Z204,WeightedMinAge23),MAX(CapacityAge23*'01_Вводные'!$B$218*Z204,MeanMinAge23)))</f>
        <v/>
      </c>
      <c r="AA131" s="190">
        <f>IF(OR(AA103=0,23&lt;='01_Вводные'!$B$297),0,AA103*IF('01_Вводные'!$B$239="Да",MeanMinAge23+AA204*SUMIF(ThresholdAge23,"&lt;"&amp;AA204,WeightedRevAge23)-SUMIF(ThresholdAge23,"&lt;"&amp;AA204,WeightedMinAge23),MAX(CapacityAge23*'01_Вводные'!$B$218*AA204,MeanMinAge23)))</f>
        <v/>
      </c>
      <c r="AB131" s="190">
        <f>IF(OR(AB103=0,23&lt;='01_Вводные'!$B$297),0,AB103*IF('01_Вводные'!$B$239="Да",MeanMinAge23+AB204*SUMIF(ThresholdAge23,"&lt;"&amp;AB204,WeightedRevAge23)-SUMIF(ThresholdAge23,"&lt;"&amp;AB204,WeightedMinAge23),MAX(CapacityAge23*'01_Вводные'!$B$218*AB204,MeanMinAge23)))</f>
        <v/>
      </c>
      <c r="AC131" s="190">
        <f>IF(OR(AC103=0,23&lt;='01_Вводные'!$B$297),0,AC103*IF('01_Вводные'!$B$239="Да",MeanMinAge23+AC204*SUMIF(ThresholdAge23,"&lt;"&amp;AC204,WeightedRevAge23)-SUMIF(ThresholdAge23,"&lt;"&amp;AC204,WeightedMinAge23),MAX(CapacityAge23*'01_Вводные'!$B$218*AC204,MeanMinAge23)))</f>
        <v/>
      </c>
      <c r="AD131" s="190">
        <f>IF(OR(AD103=0,23&lt;='01_Вводные'!$B$297),0,AD103*IF('01_Вводные'!$B$239="Да",MeanMinAge23+AD204*SUMIF(ThresholdAge23,"&lt;"&amp;AD204,WeightedRevAge23)-SUMIF(ThresholdAge23,"&lt;"&amp;AD204,WeightedMinAge23),MAX(CapacityAge23*'01_Вводные'!$B$218*AD204,MeanMinAge23)))</f>
        <v/>
      </c>
      <c r="AE131" s="190">
        <f>IF(OR(AE103=0,23&lt;='01_Вводные'!$B$297),0,AE103*IF('01_Вводные'!$B$239="Да",MeanMinAge23+AE204*SUMIF(ThresholdAge23,"&lt;"&amp;AE204,WeightedRevAge23)-SUMIF(ThresholdAge23,"&lt;"&amp;AE204,WeightedMinAge23),MAX(CapacityAge23*'01_Вводные'!$B$218*AE204,MeanMinAge23)))</f>
        <v/>
      </c>
      <c r="AF131" s="190">
        <f>IF(OR(AF103=0,23&lt;='01_Вводные'!$B$297),0,AF103*IF('01_Вводные'!$B$239="Да",MeanMinAge23+AF204*SUMIF(ThresholdAge23,"&lt;"&amp;AF204,WeightedRevAge23)-SUMIF(ThresholdAge23,"&lt;"&amp;AF204,WeightedMinAge23),MAX(CapacityAge23*'01_Вводные'!$B$218*AF204,MeanMinAge23)))</f>
        <v/>
      </c>
      <c r="AG131" s="190">
        <f>IF(OR(AG103=0,23&lt;='01_Вводные'!$B$297),0,AG103*IF('01_Вводные'!$B$239="Да",MeanMinAge23+AG204*SUMIF(ThresholdAge23,"&lt;"&amp;AG204,WeightedRevAge23)-SUMIF(ThresholdAge23,"&lt;"&amp;AG204,WeightedMinAge23),MAX(CapacityAge23*'01_Вводные'!$B$218*AG204,MeanMinAge23)))</f>
        <v/>
      </c>
      <c r="AH131" s="190">
        <f>IF(OR(AH103=0,23&lt;='01_Вводные'!$B$297),0,AH103*IF('01_Вводные'!$B$239="Да",MeanMinAge23+AH204*SUMIF(ThresholdAge23,"&lt;"&amp;AH204,WeightedRevAge23)-SUMIF(ThresholdAge23,"&lt;"&amp;AH204,WeightedMinAge23),MAX(CapacityAge23*'01_Вводные'!$B$218*AH204,MeanMinAge23)))</f>
        <v/>
      </c>
      <c r="AI131" s="190">
        <f>IF(OR(AI103=0,23&lt;='01_Вводные'!$B$297),0,AI103*IF('01_Вводные'!$B$239="Да",MeanMinAge23+AI204*SUMIF(ThresholdAge23,"&lt;"&amp;AI204,WeightedRevAge23)-SUMIF(ThresholdAge23,"&lt;"&amp;AI204,WeightedMinAge23),MAX(CapacityAge23*'01_Вводные'!$B$218*AI204,MeanMinAge23)))</f>
        <v/>
      </c>
      <c r="AJ131" s="190">
        <f>IF(OR(AJ103=0,23&lt;='01_Вводные'!$B$297),0,AJ103*IF('01_Вводные'!$B$239="Да",MeanMinAge23+AJ204*SUMIF(ThresholdAge23,"&lt;"&amp;AJ204,WeightedRevAge23)-SUMIF(ThresholdAge23,"&lt;"&amp;AJ204,WeightedMinAge23),MAX(CapacityAge23*'01_Вводные'!$B$218*AJ204,MeanMinAge23)))</f>
        <v/>
      </c>
      <c r="AK131" s="190">
        <f>IF(OR(AK103=0,23&lt;='01_Вводные'!$B$297),0,AK103*IF('01_Вводные'!$B$239="Да",MeanMinAge23+AK204*SUMIF(ThresholdAge23,"&lt;"&amp;AK204,WeightedRevAge23)-SUMIF(ThresholdAge23,"&lt;"&amp;AK204,WeightedMinAge23),MAX(CapacityAge23*'01_Вводные'!$B$218*AK204,MeanMinAge23)))</f>
        <v/>
      </c>
      <c r="AL131" s="190">
        <f>IF(OR(AL103=0,23&lt;='01_Вводные'!$B$297),0,AL103*IF('01_Вводные'!$B$239="Да",MeanMinAge23+AL204*SUMIF(ThresholdAge23,"&lt;"&amp;AL204,WeightedRevAge23)-SUMIF(ThresholdAge23,"&lt;"&amp;AL204,WeightedMinAge23),MAX(CapacityAge23*'01_Вводные'!$B$218*AL204,MeanMinAge23)))</f>
        <v/>
      </c>
      <c r="AM131" s="190">
        <f>IF(OR(AM103=0,23&lt;='01_Вводные'!$B$297),0,AM103*IF('01_Вводные'!$B$239="Да",MeanMinAge23+AM204*SUMIF(ThresholdAge23,"&lt;"&amp;AM204,WeightedRevAge23)-SUMIF(ThresholdAge23,"&lt;"&amp;AM204,WeightedMinAge23),MAX(CapacityAge23*'01_Вводные'!$B$218*AM204,MeanMinAge23)))</f>
        <v/>
      </c>
      <c r="AN131" s="190">
        <f>IF(OR(AN103=0,23&lt;='01_Вводные'!$B$297),0,AN103*IF('01_Вводные'!$B$239="Да",MeanMinAge23+AN204*SUMIF(ThresholdAge23,"&lt;"&amp;AN204,WeightedRevAge23)-SUMIF(ThresholdAge23,"&lt;"&amp;AN204,WeightedMinAge23),MAX(CapacityAge23*'01_Вводные'!$B$218*AN204,MeanMinAge23)))</f>
        <v/>
      </c>
      <c r="AO131" s="190">
        <f>IF(OR(AO103=0,23&lt;='01_Вводные'!$B$297),0,AO103*IF('01_Вводные'!$B$239="Да",MeanMinAge23+AO204*SUMIF(ThresholdAge23,"&lt;"&amp;AO204,WeightedRevAge23)-SUMIF(ThresholdAge23,"&lt;"&amp;AO204,WeightedMinAge23),MAX(CapacityAge23*'01_Вводные'!$B$218*AO204,MeanMinAge23)))</f>
        <v/>
      </c>
      <c r="AP131" s="190">
        <f>IF(OR(AP103=0,23&lt;='01_Вводные'!$B$297),0,AP103*IF('01_Вводные'!$B$239="Да",MeanMinAge23+AP204*SUMIF(ThresholdAge23,"&lt;"&amp;AP204,WeightedRevAge23)-SUMIF(ThresholdAge23,"&lt;"&amp;AP204,WeightedMinAge23),MAX(CapacityAge23*'01_Вводные'!$B$218*AP204,MeanMinAge23)))</f>
        <v/>
      </c>
      <c r="AQ131" s="190">
        <f>IF(OR(AQ103=0,23&lt;='01_Вводные'!$B$297),0,AQ103*IF('01_Вводные'!$B$239="Да",MeanMinAge23+AQ204*SUMIF(ThresholdAge23,"&lt;"&amp;AQ204,WeightedRevAge23)-SUMIF(ThresholdAge23,"&lt;"&amp;AQ204,WeightedMinAge23),MAX(CapacityAge23*'01_Вводные'!$B$218*AQ204,MeanMinAge23)))</f>
        <v/>
      </c>
      <c r="AR131" s="190">
        <f>IF(OR(AR103=0,23&lt;='01_Вводные'!$B$297),0,AR103*IF('01_Вводные'!$B$239="Да",MeanMinAge23+AR204*SUMIF(ThresholdAge23,"&lt;"&amp;AR204,WeightedRevAge23)-SUMIF(ThresholdAge23,"&lt;"&amp;AR204,WeightedMinAge23),MAX(CapacityAge23*'01_Вводные'!$B$218*AR204,MeanMinAge23)))</f>
        <v/>
      </c>
      <c r="AS131" s="190">
        <f>IF(OR(AS103=0,23&lt;='01_Вводные'!$B$297),0,AS103*IF('01_Вводные'!$B$239="Да",MeanMinAge23+AS204*SUMIF(ThresholdAge23,"&lt;"&amp;AS204,WeightedRevAge23)-SUMIF(ThresholdAge23,"&lt;"&amp;AS204,WeightedMinAge23),MAX(CapacityAge23*'01_Вводные'!$B$218*AS204,MeanMinAge23)))</f>
        <v/>
      </c>
      <c r="AT131" s="190">
        <f>IF(OR(AT103=0,23&lt;='01_Вводные'!$B$297),0,AT103*IF('01_Вводные'!$B$239="Да",MeanMinAge23+AT204*SUMIF(ThresholdAge23,"&lt;"&amp;AT204,WeightedRevAge23)-SUMIF(ThresholdAge23,"&lt;"&amp;AT204,WeightedMinAge23),MAX(CapacityAge23*'01_Вводные'!$B$218*AT204,MeanMinAge23)))</f>
        <v/>
      </c>
      <c r="AU131" s="190">
        <f>IF(OR(AU103=0,23&lt;='01_Вводные'!$B$297),0,AU103*IF('01_Вводные'!$B$239="Да",MeanMinAge23+AU204*SUMIF(ThresholdAge23,"&lt;"&amp;AU204,WeightedRevAge23)-SUMIF(ThresholdAge23,"&lt;"&amp;AU204,WeightedMinAge23),MAX(CapacityAge23*'01_Вводные'!$B$218*AU204,MeanMinAge23)))</f>
        <v/>
      </c>
      <c r="AV131" s="190">
        <f>IF(OR(AV103=0,23&lt;='01_Вводные'!$B$297),0,AV103*IF('01_Вводные'!$B$239="Да",MeanMinAge23+AV204*SUMIF(ThresholdAge23,"&lt;"&amp;AV204,WeightedRevAge23)-SUMIF(ThresholdAge23,"&lt;"&amp;AV204,WeightedMinAge23),MAX(CapacityAge23*'01_Вводные'!$B$218*AV204,MeanMinAge23)))</f>
        <v/>
      </c>
      <c r="AW131" s="190">
        <f>IF(OR(AW103=0,23&lt;='01_Вводные'!$B$297),0,AW103*IF('01_Вводные'!$B$239="Да",MeanMinAge23+AW204*SUMIF(ThresholdAge23,"&lt;"&amp;AW204,WeightedRevAge23)-SUMIF(ThresholdAge23,"&lt;"&amp;AW204,WeightedMinAge23),MAX(CapacityAge23*'01_Вводные'!$B$218*AW204,MeanMinAge23)))</f>
        <v/>
      </c>
      <c r="AX131" s="190">
        <f>IF(OR(AX103=0,23&lt;='01_Вводные'!$B$297),0,AX103*IF('01_Вводные'!$B$239="Да",MeanMinAge23+AX204*SUMIF(ThresholdAge23,"&lt;"&amp;AX204,WeightedRevAge23)-SUMIF(ThresholdAge23,"&lt;"&amp;AX204,WeightedMinAge23),MAX(CapacityAge23*'01_Вводные'!$B$218*AX204,MeanMinAge23)))</f>
        <v/>
      </c>
      <c r="AY131" s="190">
        <f>IF(OR(AY103=0,23&lt;='01_Вводные'!$B$297),0,AY103*IF('01_Вводные'!$B$239="Да",MeanMinAge23+AY204*SUMIF(ThresholdAge23,"&lt;"&amp;AY204,WeightedRevAge23)-SUMIF(ThresholdAge23,"&lt;"&amp;AY204,WeightedMinAge23),MAX(CapacityAge23*'01_Вводные'!$B$218*AY204,MeanMinAge23)))</f>
        <v/>
      </c>
      <c r="AZ131" s="190">
        <f>IF(OR(AZ103=0,23&lt;='01_Вводные'!$B$297),0,AZ103*IF('01_Вводные'!$B$239="Да",MeanMinAge23+AZ204*SUMIF(ThresholdAge23,"&lt;"&amp;AZ204,WeightedRevAge23)-SUMIF(ThresholdAge23,"&lt;"&amp;AZ204,WeightedMinAge23),MAX(CapacityAge23*'01_Вводные'!$B$218*AZ204,MeanMinAge23)))</f>
        <v/>
      </c>
      <c r="BA131" s="190">
        <f>IF(OR(BA103=0,23&lt;='01_Вводные'!$B$297),0,BA103*IF('01_Вводные'!$B$239="Да",MeanMinAge23+BA204*SUMIF(ThresholdAge23,"&lt;"&amp;BA204,WeightedRevAge23)-SUMIF(ThresholdAge23,"&lt;"&amp;BA204,WeightedMinAge23),MAX(CapacityAge23*'01_Вводные'!$B$218*BA204,MeanMinAge23)))</f>
        <v/>
      </c>
      <c r="BB131" s="190">
        <f>IF(OR(BB103=0,23&lt;='01_Вводные'!$B$297),0,BB103*IF('01_Вводные'!$B$239="Да",MeanMinAge23+BB204*SUMIF(ThresholdAge23,"&lt;"&amp;BB204,WeightedRevAge23)-SUMIF(ThresholdAge23,"&lt;"&amp;BB204,WeightedMinAge23),MAX(CapacityAge23*'01_Вводные'!$B$218*BB204,MeanMinAge23)))</f>
        <v/>
      </c>
      <c r="BC131" s="190">
        <f>IF(OR(BC103=0,23&lt;='01_Вводные'!$B$297),0,BC103*IF('01_Вводные'!$B$239="Да",MeanMinAge23+BC204*SUMIF(ThresholdAge23,"&lt;"&amp;BC204,WeightedRevAge23)-SUMIF(ThresholdAge23,"&lt;"&amp;BC204,WeightedMinAge23),MAX(CapacityAge23*'01_Вводные'!$B$218*BC204,MeanMinAge23)))</f>
        <v/>
      </c>
      <c r="BD131" s="190">
        <f>IF(OR(BD103=0,23&lt;='01_Вводные'!$B$297),0,BD103*IF('01_Вводные'!$B$239="Да",MeanMinAge23+BD204*SUMIF(ThresholdAge23,"&lt;"&amp;BD204,WeightedRevAge23)-SUMIF(ThresholdAge23,"&lt;"&amp;BD204,WeightedMinAge23),MAX(CapacityAge23*'01_Вводные'!$B$218*BD204,MeanMinAge23)))</f>
        <v/>
      </c>
      <c r="BE131" s="190">
        <f>IF(OR(BE103=0,23&lt;='01_Вводные'!$B$297),0,BE103*IF('01_Вводные'!$B$239="Да",MeanMinAge23+BE204*SUMIF(ThresholdAge23,"&lt;"&amp;BE204,WeightedRevAge23)-SUMIF(ThresholdAge23,"&lt;"&amp;BE204,WeightedMinAge23),MAX(CapacityAge23*'01_Вводные'!$B$218*BE204,MeanMinAge23)))</f>
        <v/>
      </c>
      <c r="BF131" s="190">
        <f>IF(OR(BF103=0,23&lt;='01_Вводные'!$B$297),0,BF103*IF('01_Вводные'!$B$239="Да",MeanMinAge23+BF204*SUMIF(ThresholdAge23,"&lt;"&amp;BF204,WeightedRevAge23)-SUMIF(ThresholdAge23,"&lt;"&amp;BF204,WeightedMinAge23),MAX(CapacityAge23*'01_Вводные'!$B$218*BF204,MeanMinAge23)))</f>
        <v/>
      </c>
      <c r="BG131" s="190">
        <f>IF(OR(BG103=0,23&lt;='01_Вводные'!$B$297),0,BG103*IF('01_Вводные'!$B$239="Да",MeanMinAge23+BG204*SUMIF(ThresholdAge23,"&lt;"&amp;BG204,WeightedRevAge23)-SUMIF(ThresholdAge23,"&lt;"&amp;BG204,WeightedMinAge23),MAX(CapacityAge23*'01_Вводные'!$B$218*BG204,MeanMinAge23)))</f>
        <v/>
      </c>
      <c r="BH131" s="190">
        <f>IF(OR(BH103=0,23&lt;='01_Вводные'!$B$297),0,BH103*IF('01_Вводные'!$B$239="Да",MeanMinAge23+BH204*SUMIF(ThresholdAge23,"&lt;"&amp;BH204,WeightedRevAge23)-SUMIF(ThresholdAge23,"&lt;"&amp;BH204,WeightedMinAge23),MAX(CapacityAge23*'01_Вводные'!$B$218*BH204,MeanMinAge23)))</f>
        <v/>
      </c>
      <c r="BI131" s="190">
        <f>IF(OR(BI103=0,23&lt;='01_Вводные'!$B$297),0,BI103*IF('01_Вводные'!$B$239="Да",MeanMinAge23+BI204*SUMIF(ThresholdAge23,"&lt;"&amp;BI204,WeightedRevAge23)-SUMIF(ThresholdAge23,"&lt;"&amp;BI204,WeightedMinAge23),MAX(CapacityAge23*'01_Вводные'!$B$218*BI204,MeanMinAge23)))</f>
        <v/>
      </c>
      <c r="BJ131" s="190">
        <f>IF(OR(BJ103=0,23&lt;='01_Вводные'!$B$297),0,BJ103*IF('01_Вводные'!$B$239="Да",MeanMinAge23+BJ204*SUMIF(ThresholdAge23,"&lt;"&amp;BJ204,WeightedRevAge23)-SUMIF(ThresholdAge23,"&lt;"&amp;BJ204,WeightedMinAge23),MAX(CapacityAge23*'01_Вводные'!$B$218*BJ204,MeanMinAge23)))</f>
        <v/>
      </c>
      <c r="BK131" s="190">
        <f>IF(OR(BK103=0,23&lt;='01_Вводные'!$B$297),0,BK103*IF('01_Вводные'!$B$239="Да",MeanMinAge23+BK204*SUMIF(ThresholdAge23,"&lt;"&amp;BK204,WeightedRevAge23)-SUMIF(ThresholdAge23,"&lt;"&amp;BK204,WeightedMinAge23),MAX(CapacityAge23*'01_Вводные'!$B$218*BK204,MeanMinAge23)))</f>
        <v/>
      </c>
      <c r="BL131" s="190">
        <f>IF(OR(BL103=0,23&lt;='01_Вводные'!$B$297),0,BL103*IF('01_Вводные'!$B$239="Да",MeanMinAge23+BL204*SUMIF(ThresholdAge23,"&lt;"&amp;BL204,WeightedRevAge23)-SUMIF(ThresholdAge23,"&lt;"&amp;BL204,WeightedMinAge23),MAX(CapacityAge23*'01_Вводные'!$B$218*BL204,MeanMinAge23)))</f>
        <v/>
      </c>
      <c r="BM131" s="190">
        <f>IF(OR(BM103=0,23&lt;='01_Вводные'!$B$297),0,BM103*IF('01_Вводные'!$B$239="Да",MeanMinAge23+BM204*SUMIF(ThresholdAge23,"&lt;"&amp;BM204,WeightedRevAge23)-SUMIF(ThresholdAge23,"&lt;"&amp;BM204,WeightedMinAge23),MAX(CapacityAge23*'01_Вводные'!$B$218*BM204,MeanMinAge23)))</f>
        <v/>
      </c>
      <c r="BN131" s="190">
        <f>IF(OR(BN103=0,23&lt;='01_Вводные'!$B$297),0,BN103*IF('01_Вводные'!$B$239="Да",MeanMinAge23+BN204*SUMIF(ThresholdAge23,"&lt;"&amp;BN204,WeightedRevAge23)-SUMIF(ThresholdAge23,"&lt;"&amp;BN204,WeightedMinAge23),MAX(CapacityAge23*'01_Вводные'!$B$218*BN204,MeanMinAge23)))</f>
        <v/>
      </c>
      <c r="BO131" s="190">
        <f>IF(OR(BO103=0,23&lt;='01_Вводные'!$B$297),0,BO103*IF('01_Вводные'!$B$239="Да",MeanMinAge23+BO204*SUMIF(ThresholdAge23,"&lt;"&amp;BO204,WeightedRevAge23)-SUMIF(ThresholdAge23,"&lt;"&amp;BO204,WeightedMinAge23),MAX(CapacityAge23*'01_Вводные'!$B$218*BO204,MeanMinAge23)))</f>
        <v/>
      </c>
    </row>
    <row r="132" hidden="1" outlineLevel="1">
      <c r="A132" t="inlineStr">
        <is>
          <t>24 мес.</t>
        </is>
      </c>
      <c r="B132" s="190">
        <f>IF(OR(B104=0,24&lt;='01_Вводные'!$B$297),0,B104*IF('01_Вводные'!$B$239="Да",MeanMinAge24+B204*SUMIF(ThresholdAge24,"&lt;"&amp;B204,WeightedRevAge24)-SUMIF(ThresholdAge24,"&lt;"&amp;B204,WeightedMinAge24),MAX(CapacityAge24*'01_Вводные'!$B$218*B204,MeanMinAge24)))</f>
        <v/>
      </c>
      <c r="C132" s="190">
        <f>IF(OR(C104=0,24&lt;='01_Вводные'!$B$297),0,C104*IF('01_Вводные'!$B$239="Да",MeanMinAge24+C204*SUMIF(ThresholdAge24,"&lt;"&amp;C204,WeightedRevAge24)-SUMIF(ThresholdAge24,"&lt;"&amp;C204,WeightedMinAge24),MAX(CapacityAge24*'01_Вводные'!$B$218*C204,MeanMinAge24)))</f>
        <v/>
      </c>
      <c r="D132" s="190">
        <f>IF(OR(D104=0,24&lt;='01_Вводные'!$B$297),0,D104*IF('01_Вводные'!$B$239="Да",MeanMinAge24+D204*SUMIF(ThresholdAge24,"&lt;"&amp;D204,WeightedRevAge24)-SUMIF(ThresholdAge24,"&lt;"&amp;D204,WeightedMinAge24),MAX(CapacityAge24*'01_Вводные'!$B$218*D204,MeanMinAge24)))</f>
        <v/>
      </c>
      <c r="E132" s="190">
        <f>IF(OR(E104=0,24&lt;='01_Вводные'!$B$297),0,E104*IF('01_Вводные'!$B$239="Да",MeanMinAge24+E204*SUMIF(ThresholdAge24,"&lt;"&amp;E204,WeightedRevAge24)-SUMIF(ThresholdAge24,"&lt;"&amp;E204,WeightedMinAge24),MAX(CapacityAge24*'01_Вводные'!$B$218*E204,MeanMinAge24)))</f>
        <v/>
      </c>
      <c r="F132" s="190">
        <f>IF(OR(F104=0,24&lt;='01_Вводные'!$B$297),0,F104*IF('01_Вводные'!$B$239="Да",MeanMinAge24+F204*SUMIF(ThresholdAge24,"&lt;"&amp;F204,WeightedRevAge24)-SUMIF(ThresholdAge24,"&lt;"&amp;F204,WeightedMinAge24),MAX(CapacityAge24*'01_Вводные'!$B$218*F204,MeanMinAge24)))</f>
        <v/>
      </c>
      <c r="G132" s="190">
        <f>IF(OR(G104=0,24&lt;='01_Вводные'!$B$297),0,G104*IF('01_Вводные'!$B$239="Да",MeanMinAge24+G204*SUMIF(ThresholdAge24,"&lt;"&amp;G204,WeightedRevAge24)-SUMIF(ThresholdAge24,"&lt;"&amp;G204,WeightedMinAge24),MAX(CapacityAge24*'01_Вводные'!$B$218*G204,MeanMinAge24)))</f>
        <v/>
      </c>
      <c r="H132" s="190">
        <f>IF(OR(H104=0,24&lt;='01_Вводные'!$B$297),0,H104*IF('01_Вводные'!$B$239="Да",MeanMinAge24+H204*SUMIF(ThresholdAge24,"&lt;"&amp;H204,WeightedRevAge24)-SUMIF(ThresholdAge24,"&lt;"&amp;H204,WeightedMinAge24),MAX(CapacityAge24*'01_Вводные'!$B$218*H204,MeanMinAge24)))</f>
        <v/>
      </c>
      <c r="I132" s="190">
        <f>IF(OR(I104=0,24&lt;='01_Вводные'!$B$297),0,I104*IF('01_Вводные'!$B$239="Да",MeanMinAge24+I204*SUMIF(ThresholdAge24,"&lt;"&amp;I204,WeightedRevAge24)-SUMIF(ThresholdAge24,"&lt;"&amp;I204,WeightedMinAge24),MAX(CapacityAge24*'01_Вводные'!$B$218*I204,MeanMinAge24)))</f>
        <v/>
      </c>
      <c r="J132" s="190">
        <f>IF(OR(J104=0,24&lt;='01_Вводные'!$B$297),0,J104*IF('01_Вводные'!$B$239="Да",MeanMinAge24+J204*SUMIF(ThresholdAge24,"&lt;"&amp;J204,WeightedRevAge24)-SUMIF(ThresholdAge24,"&lt;"&amp;J204,WeightedMinAge24),MAX(CapacityAge24*'01_Вводные'!$B$218*J204,MeanMinAge24)))</f>
        <v/>
      </c>
      <c r="K132" s="190">
        <f>IF(OR(K104=0,24&lt;='01_Вводные'!$B$297),0,K104*IF('01_Вводные'!$B$239="Да",MeanMinAge24+K204*SUMIF(ThresholdAge24,"&lt;"&amp;K204,WeightedRevAge24)-SUMIF(ThresholdAge24,"&lt;"&amp;K204,WeightedMinAge24),MAX(CapacityAge24*'01_Вводные'!$B$218*K204,MeanMinAge24)))</f>
        <v/>
      </c>
      <c r="L132" s="190">
        <f>IF(OR(L104=0,24&lt;='01_Вводные'!$B$297),0,L104*IF('01_Вводные'!$B$239="Да",MeanMinAge24+L204*SUMIF(ThresholdAge24,"&lt;"&amp;L204,WeightedRevAge24)-SUMIF(ThresholdAge24,"&lt;"&amp;L204,WeightedMinAge24),MAX(CapacityAge24*'01_Вводные'!$B$218*L204,MeanMinAge24)))</f>
        <v/>
      </c>
      <c r="M132" s="190">
        <f>IF(OR(M104=0,24&lt;='01_Вводные'!$B$297),0,M104*IF('01_Вводные'!$B$239="Да",MeanMinAge24+M204*SUMIF(ThresholdAge24,"&lt;"&amp;M204,WeightedRevAge24)-SUMIF(ThresholdAge24,"&lt;"&amp;M204,WeightedMinAge24),MAX(CapacityAge24*'01_Вводные'!$B$218*M204,MeanMinAge24)))</f>
        <v/>
      </c>
      <c r="N132" s="190">
        <f>IF(OR(N104=0,24&lt;='01_Вводные'!$B$297),0,N104*IF('01_Вводные'!$B$239="Да",MeanMinAge24+N204*SUMIF(ThresholdAge24,"&lt;"&amp;N204,WeightedRevAge24)-SUMIF(ThresholdAge24,"&lt;"&amp;N204,WeightedMinAge24),MAX(CapacityAge24*'01_Вводные'!$B$218*N204,MeanMinAge24)))</f>
        <v/>
      </c>
      <c r="O132" s="190">
        <f>IF(OR(O104=0,24&lt;='01_Вводные'!$B$297),0,O104*IF('01_Вводные'!$B$239="Да",MeanMinAge24+O204*SUMIF(ThresholdAge24,"&lt;"&amp;O204,WeightedRevAge24)-SUMIF(ThresholdAge24,"&lt;"&amp;O204,WeightedMinAge24),MAX(CapacityAge24*'01_Вводные'!$B$218*O204,MeanMinAge24)))</f>
        <v/>
      </c>
      <c r="P132" s="190">
        <f>IF(OR(P104=0,24&lt;='01_Вводные'!$B$297),0,P104*IF('01_Вводные'!$B$239="Да",MeanMinAge24+P204*SUMIF(ThresholdAge24,"&lt;"&amp;P204,WeightedRevAge24)-SUMIF(ThresholdAge24,"&lt;"&amp;P204,WeightedMinAge24),MAX(CapacityAge24*'01_Вводные'!$B$218*P204,MeanMinAge24)))</f>
        <v/>
      </c>
      <c r="Q132" s="190">
        <f>IF(OR(Q104=0,24&lt;='01_Вводные'!$B$297),0,Q104*IF('01_Вводные'!$B$239="Да",MeanMinAge24+Q204*SUMIF(ThresholdAge24,"&lt;"&amp;Q204,WeightedRevAge24)-SUMIF(ThresholdAge24,"&lt;"&amp;Q204,WeightedMinAge24),MAX(CapacityAge24*'01_Вводные'!$B$218*Q204,MeanMinAge24)))</f>
        <v/>
      </c>
      <c r="R132" s="190">
        <f>IF(OR(R104=0,24&lt;='01_Вводные'!$B$297),0,R104*IF('01_Вводные'!$B$239="Да",MeanMinAge24+R204*SUMIF(ThresholdAge24,"&lt;"&amp;R204,WeightedRevAge24)-SUMIF(ThresholdAge24,"&lt;"&amp;R204,WeightedMinAge24),MAX(CapacityAge24*'01_Вводные'!$B$218*R204,MeanMinAge24)))</f>
        <v/>
      </c>
      <c r="S132" s="190">
        <f>IF(OR(S104=0,24&lt;='01_Вводные'!$B$297),0,S104*IF('01_Вводные'!$B$239="Да",MeanMinAge24+S204*SUMIF(ThresholdAge24,"&lt;"&amp;S204,WeightedRevAge24)-SUMIF(ThresholdAge24,"&lt;"&amp;S204,WeightedMinAge24),MAX(CapacityAge24*'01_Вводные'!$B$218*S204,MeanMinAge24)))</f>
        <v/>
      </c>
      <c r="T132" s="190">
        <f>IF(OR(T104=0,24&lt;='01_Вводные'!$B$297),0,T104*IF('01_Вводные'!$B$239="Да",MeanMinAge24+T204*SUMIF(ThresholdAge24,"&lt;"&amp;T204,WeightedRevAge24)-SUMIF(ThresholdAge24,"&lt;"&amp;T204,WeightedMinAge24),MAX(CapacityAge24*'01_Вводные'!$B$218*T204,MeanMinAge24)))</f>
        <v/>
      </c>
      <c r="U132" s="190">
        <f>IF(OR(U104=0,24&lt;='01_Вводные'!$B$297),0,U104*IF('01_Вводные'!$B$239="Да",MeanMinAge24+U204*SUMIF(ThresholdAge24,"&lt;"&amp;U204,WeightedRevAge24)-SUMIF(ThresholdAge24,"&lt;"&amp;U204,WeightedMinAge24),MAX(CapacityAge24*'01_Вводные'!$B$218*U204,MeanMinAge24)))</f>
        <v/>
      </c>
      <c r="V132" s="190">
        <f>IF(OR(V104=0,24&lt;='01_Вводные'!$B$297),0,V104*IF('01_Вводные'!$B$239="Да",MeanMinAge24+V204*SUMIF(ThresholdAge24,"&lt;"&amp;V204,WeightedRevAge24)-SUMIF(ThresholdAge24,"&lt;"&amp;V204,WeightedMinAge24),MAX(CapacityAge24*'01_Вводные'!$B$218*V204,MeanMinAge24)))</f>
        <v/>
      </c>
      <c r="W132" s="190">
        <f>IF(OR(W104=0,24&lt;='01_Вводные'!$B$297),0,W104*IF('01_Вводные'!$B$239="Да",MeanMinAge24+W204*SUMIF(ThresholdAge24,"&lt;"&amp;W204,WeightedRevAge24)-SUMIF(ThresholdAge24,"&lt;"&amp;W204,WeightedMinAge24),MAX(CapacityAge24*'01_Вводные'!$B$218*W204,MeanMinAge24)))</f>
        <v/>
      </c>
      <c r="X132" s="190">
        <f>IF(OR(X104=0,24&lt;='01_Вводные'!$B$297),0,X104*IF('01_Вводные'!$B$239="Да",MeanMinAge24+X204*SUMIF(ThresholdAge24,"&lt;"&amp;X204,WeightedRevAge24)-SUMIF(ThresholdAge24,"&lt;"&amp;X204,WeightedMinAge24),MAX(CapacityAge24*'01_Вводные'!$B$218*X204,MeanMinAge24)))</f>
        <v/>
      </c>
      <c r="Y132" s="190">
        <f>IF(OR(Y104=0,24&lt;='01_Вводные'!$B$297),0,Y104*IF('01_Вводные'!$B$239="Да",MeanMinAge24+Y204*SUMIF(ThresholdAge24,"&lt;"&amp;Y204,WeightedRevAge24)-SUMIF(ThresholdAge24,"&lt;"&amp;Y204,WeightedMinAge24),MAX(CapacityAge24*'01_Вводные'!$B$218*Y204,MeanMinAge24)))</f>
        <v/>
      </c>
      <c r="Z132" s="190">
        <f>IF(OR(Z104=0,24&lt;='01_Вводные'!$B$297),0,Z104*IF('01_Вводные'!$B$239="Да",MeanMinAge24+Z204*SUMIF(ThresholdAge24,"&lt;"&amp;Z204,WeightedRevAge24)-SUMIF(ThresholdAge24,"&lt;"&amp;Z204,WeightedMinAge24),MAX(CapacityAge24*'01_Вводные'!$B$218*Z204,MeanMinAge24)))</f>
        <v/>
      </c>
      <c r="AA132" s="190">
        <f>IF(OR(AA104=0,24&lt;='01_Вводные'!$B$297),0,AA104*IF('01_Вводные'!$B$239="Да",MeanMinAge24+AA204*SUMIF(ThresholdAge24,"&lt;"&amp;AA204,WeightedRevAge24)-SUMIF(ThresholdAge24,"&lt;"&amp;AA204,WeightedMinAge24),MAX(CapacityAge24*'01_Вводные'!$B$218*AA204,MeanMinAge24)))</f>
        <v/>
      </c>
      <c r="AB132" s="190">
        <f>IF(OR(AB104=0,24&lt;='01_Вводные'!$B$297),0,AB104*IF('01_Вводные'!$B$239="Да",MeanMinAge24+AB204*SUMIF(ThresholdAge24,"&lt;"&amp;AB204,WeightedRevAge24)-SUMIF(ThresholdAge24,"&lt;"&amp;AB204,WeightedMinAge24),MAX(CapacityAge24*'01_Вводные'!$B$218*AB204,MeanMinAge24)))</f>
        <v/>
      </c>
      <c r="AC132" s="190">
        <f>IF(OR(AC104=0,24&lt;='01_Вводные'!$B$297),0,AC104*IF('01_Вводные'!$B$239="Да",MeanMinAge24+AC204*SUMIF(ThresholdAge24,"&lt;"&amp;AC204,WeightedRevAge24)-SUMIF(ThresholdAge24,"&lt;"&amp;AC204,WeightedMinAge24),MAX(CapacityAge24*'01_Вводные'!$B$218*AC204,MeanMinAge24)))</f>
        <v/>
      </c>
      <c r="AD132" s="190">
        <f>IF(OR(AD104=0,24&lt;='01_Вводные'!$B$297),0,AD104*IF('01_Вводные'!$B$239="Да",MeanMinAge24+AD204*SUMIF(ThresholdAge24,"&lt;"&amp;AD204,WeightedRevAge24)-SUMIF(ThresholdAge24,"&lt;"&amp;AD204,WeightedMinAge24),MAX(CapacityAge24*'01_Вводные'!$B$218*AD204,MeanMinAge24)))</f>
        <v/>
      </c>
      <c r="AE132" s="190">
        <f>IF(OR(AE104=0,24&lt;='01_Вводные'!$B$297),0,AE104*IF('01_Вводные'!$B$239="Да",MeanMinAge24+AE204*SUMIF(ThresholdAge24,"&lt;"&amp;AE204,WeightedRevAge24)-SUMIF(ThresholdAge24,"&lt;"&amp;AE204,WeightedMinAge24),MAX(CapacityAge24*'01_Вводные'!$B$218*AE204,MeanMinAge24)))</f>
        <v/>
      </c>
      <c r="AF132" s="190">
        <f>IF(OR(AF104=0,24&lt;='01_Вводные'!$B$297),0,AF104*IF('01_Вводные'!$B$239="Да",MeanMinAge24+AF204*SUMIF(ThresholdAge24,"&lt;"&amp;AF204,WeightedRevAge24)-SUMIF(ThresholdAge24,"&lt;"&amp;AF204,WeightedMinAge24),MAX(CapacityAge24*'01_Вводные'!$B$218*AF204,MeanMinAge24)))</f>
        <v/>
      </c>
      <c r="AG132" s="190">
        <f>IF(OR(AG104=0,24&lt;='01_Вводные'!$B$297),0,AG104*IF('01_Вводные'!$B$239="Да",MeanMinAge24+AG204*SUMIF(ThresholdAge24,"&lt;"&amp;AG204,WeightedRevAge24)-SUMIF(ThresholdAge24,"&lt;"&amp;AG204,WeightedMinAge24),MAX(CapacityAge24*'01_Вводные'!$B$218*AG204,MeanMinAge24)))</f>
        <v/>
      </c>
      <c r="AH132" s="190">
        <f>IF(OR(AH104=0,24&lt;='01_Вводные'!$B$297),0,AH104*IF('01_Вводные'!$B$239="Да",MeanMinAge24+AH204*SUMIF(ThresholdAge24,"&lt;"&amp;AH204,WeightedRevAge24)-SUMIF(ThresholdAge24,"&lt;"&amp;AH204,WeightedMinAge24),MAX(CapacityAge24*'01_Вводные'!$B$218*AH204,MeanMinAge24)))</f>
        <v/>
      </c>
      <c r="AI132" s="190">
        <f>IF(OR(AI104=0,24&lt;='01_Вводные'!$B$297),0,AI104*IF('01_Вводные'!$B$239="Да",MeanMinAge24+AI204*SUMIF(ThresholdAge24,"&lt;"&amp;AI204,WeightedRevAge24)-SUMIF(ThresholdAge24,"&lt;"&amp;AI204,WeightedMinAge24),MAX(CapacityAge24*'01_Вводные'!$B$218*AI204,MeanMinAge24)))</f>
        <v/>
      </c>
      <c r="AJ132" s="190">
        <f>IF(OR(AJ104=0,24&lt;='01_Вводные'!$B$297),0,AJ104*IF('01_Вводные'!$B$239="Да",MeanMinAge24+AJ204*SUMIF(ThresholdAge24,"&lt;"&amp;AJ204,WeightedRevAge24)-SUMIF(ThresholdAge24,"&lt;"&amp;AJ204,WeightedMinAge24),MAX(CapacityAge24*'01_Вводные'!$B$218*AJ204,MeanMinAge24)))</f>
        <v/>
      </c>
      <c r="AK132" s="190">
        <f>IF(OR(AK104=0,24&lt;='01_Вводные'!$B$297),0,AK104*IF('01_Вводные'!$B$239="Да",MeanMinAge24+AK204*SUMIF(ThresholdAge24,"&lt;"&amp;AK204,WeightedRevAge24)-SUMIF(ThresholdAge24,"&lt;"&amp;AK204,WeightedMinAge24),MAX(CapacityAge24*'01_Вводные'!$B$218*AK204,MeanMinAge24)))</f>
        <v/>
      </c>
      <c r="AL132" s="190">
        <f>IF(OR(AL104=0,24&lt;='01_Вводные'!$B$297),0,AL104*IF('01_Вводные'!$B$239="Да",MeanMinAge24+AL204*SUMIF(ThresholdAge24,"&lt;"&amp;AL204,WeightedRevAge24)-SUMIF(ThresholdAge24,"&lt;"&amp;AL204,WeightedMinAge24),MAX(CapacityAge24*'01_Вводные'!$B$218*AL204,MeanMinAge24)))</f>
        <v/>
      </c>
      <c r="AM132" s="190">
        <f>IF(OR(AM104=0,24&lt;='01_Вводные'!$B$297),0,AM104*IF('01_Вводные'!$B$239="Да",MeanMinAge24+AM204*SUMIF(ThresholdAge24,"&lt;"&amp;AM204,WeightedRevAge24)-SUMIF(ThresholdAge24,"&lt;"&amp;AM204,WeightedMinAge24),MAX(CapacityAge24*'01_Вводные'!$B$218*AM204,MeanMinAge24)))</f>
        <v/>
      </c>
      <c r="AN132" s="190">
        <f>IF(OR(AN104=0,24&lt;='01_Вводные'!$B$297),0,AN104*IF('01_Вводные'!$B$239="Да",MeanMinAge24+AN204*SUMIF(ThresholdAge24,"&lt;"&amp;AN204,WeightedRevAge24)-SUMIF(ThresholdAge24,"&lt;"&amp;AN204,WeightedMinAge24),MAX(CapacityAge24*'01_Вводные'!$B$218*AN204,MeanMinAge24)))</f>
        <v/>
      </c>
      <c r="AO132" s="190">
        <f>IF(OR(AO104=0,24&lt;='01_Вводные'!$B$297),0,AO104*IF('01_Вводные'!$B$239="Да",MeanMinAge24+AO204*SUMIF(ThresholdAge24,"&lt;"&amp;AO204,WeightedRevAge24)-SUMIF(ThresholdAge24,"&lt;"&amp;AO204,WeightedMinAge24),MAX(CapacityAge24*'01_Вводные'!$B$218*AO204,MeanMinAge24)))</f>
        <v/>
      </c>
      <c r="AP132" s="190">
        <f>IF(OR(AP104=0,24&lt;='01_Вводные'!$B$297),0,AP104*IF('01_Вводные'!$B$239="Да",MeanMinAge24+AP204*SUMIF(ThresholdAge24,"&lt;"&amp;AP204,WeightedRevAge24)-SUMIF(ThresholdAge24,"&lt;"&amp;AP204,WeightedMinAge24),MAX(CapacityAge24*'01_Вводные'!$B$218*AP204,MeanMinAge24)))</f>
        <v/>
      </c>
      <c r="AQ132" s="190">
        <f>IF(OR(AQ104=0,24&lt;='01_Вводные'!$B$297),0,AQ104*IF('01_Вводные'!$B$239="Да",MeanMinAge24+AQ204*SUMIF(ThresholdAge24,"&lt;"&amp;AQ204,WeightedRevAge24)-SUMIF(ThresholdAge24,"&lt;"&amp;AQ204,WeightedMinAge24),MAX(CapacityAge24*'01_Вводные'!$B$218*AQ204,MeanMinAge24)))</f>
        <v/>
      </c>
      <c r="AR132" s="190">
        <f>IF(OR(AR104=0,24&lt;='01_Вводные'!$B$297),0,AR104*IF('01_Вводные'!$B$239="Да",MeanMinAge24+AR204*SUMIF(ThresholdAge24,"&lt;"&amp;AR204,WeightedRevAge24)-SUMIF(ThresholdAge24,"&lt;"&amp;AR204,WeightedMinAge24),MAX(CapacityAge24*'01_Вводные'!$B$218*AR204,MeanMinAge24)))</f>
        <v/>
      </c>
      <c r="AS132" s="190">
        <f>IF(OR(AS104=0,24&lt;='01_Вводные'!$B$297),0,AS104*IF('01_Вводные'!$B$239="Да",MeanMinAge24+AS204*SUMIF(ThresholdAge24,"&lt;"&amp;AS204,WeightedRevAge24)-SUMIF(ThresholdAge24,"&lt;"&amp;AS204,WeightedMinAge24),MAX(CapacityAge24*'01_Вводные'!$B$218*AS204,MeanMinAge24)))</f>
        <v/>
      </c>
      <c r="AT132" s="190">
        <f>IF(OR(AT104=0,24&lt;='01_Вводные'!$B$297),0,AT104*IF('01_Вводные'!$B$239="Да",MeanMinAge24+AT204*SUMIF(ThresholdAge24,"&lt;"&amp;AT204,WeightedRevAge24)-SUMIF(ThresholdAge24,"&lt;"&amp;AT204,WeightedMinAge24),MAX(CapacityAge24*'01_Вводные'!$B$218*AT204,MeanMinAge24)))</f>
        <v/>
      </c>
      <c r="AU132" s="190">
        <f>IF(OR(AU104=0,24&lt;='01_Вводные'!$B$297),0,AU104*IF('01_Вводные'!$B$239="Да",MeanMinAge24+AU204*SUMIF(ThresholdAge24,"&lt;"&amp;AU204,WeightedRevAge24)-SUMIF(ThresholdAge24,"&lt;"&amp;AU204,WeightedMinAge24),MAX(CapacityAge24*'01_Вводные'!$B$218*AU204,MeanMinAge24)))</f>
        <v/>
      </c>
      <c r="AV132" s="190">
        <f>IF(OR(AV104=0,24&lt;='01_Вводные'!$B$297),0,AV104*IF('01_Вводные'!$B$239="Да",MeanMinAge24+AV204*SUMIF(ThresholdAge24,"&lt;"&amp;AV204,WeightedRevAge24)-SUMIF(ThresholdAge24,"&lt;"&amp;AV204,WeightedMinAge24),MAX(CapacityAge24*'01_Вводные'!$B$218*AV204,MeanMinAge24)))</f>
        <v/>
      </c>
      <c r="AW132" s="190">
        <f>IF(OR(AW104=0,24&lt;='01_Вводные'!$B$297),0,AW104*IF('01_Вводные'!$B$239="Да",MeanMinAge24+AW204*SUMIF(ThresholdAge24,"&lt;"&amp;AW204,WeightedRevAge24)-SUMIF(ThresholdAge24,"&lt;"&amp;AW204,WeightedMinAge24),MAX(CapacityAge24*'01_Вводные'!$B$218*AW204,MeanMinAge24)))</f>
        <v/>
      </c>
      <c r="AX132" s="190">
        <f>IF(OR(AX104=0,24&lt;='01_Вводные'!$B$297),0,AX104*IF('01_Вводные'!$B$239="Да",MeanMinAge24+AX204*SUMIF(ThresholdAge24,"&lt;"&amp;AX204,WeightedRevAge24)-SUMIF(ThresholdAge24,"&lt;"&amp;AX204,WeightedMinAge24),MAX(CapacityAge24*'01_Вводные'!$B$218*AX204,MeanMinAge24)))</f>
        <v/>
      </c>
      <c r="AY132" s="190">
        <f>IF(OR(AY104=0,24&lt;='01_Вводные'!$B$297),0,AY104*IF('01_Вводные'!$B$239="Да",MeanMinAge24+AY204*SUMIF(ThresholdAge24,"&lt;"&amp;AY204,WeightedRevAge24)-SUMIF(ThresholdAge24,"&lt;"&amp;AY204,WeightedMinAge24),MAX(CapacityAge24*'01_Вводные'!$B$218*AY204,MeanMinAge24)))</f>
        <v/>
      </c>
      <c r="AZ132" s="190">
        <f>IF(OR(AZ104=0,24&lt;='01_Вводные'!$B$297),0,AZ104*IF('01_Вводные'!$B$239="Да",MeanMinAge24+AZ204*SUMIF(ThresholdAge24,"&lt;"&amp;AZ204,WeightedRevAge24)-SUMIF(ThresholdAge24,"&lt;"&amp;AZ204,WeightedMinAge24),MAX(CapacityAge24*'01_Вводные'!$B$218*AZ204,MeanMinAge24)))</f>
        <v/>
      </c>
      <c r="BA132" s="190">
        <f>IF(OR(BA104=0,24&lt;='01_Вводные'!$B$297),0,BA104*IF('01_Вводные'!$B$239="Да",MeanMinAge24+BA204*SUMIF(ThresholdAge24,"&lt;"&amp;BA204,WeightedRevAge24)-SUMIF(ThresholdAge24,"&lt;"&amp;BA204,WeightedMinAge24),MAX(CapacityAge24*'01_Вводные'!$B$218*BA204,MeanMinAge24)))</f>
        <v/>
      </c>
      <c r="BB132" s="190">
        <f>IF(OR(BB104=0,24&lt;='01_Вводные'!$B$297),0,BB104*IF('01_Вводные'!$B$239="Да",MeanMinAge24+BB204*SUMIF(ThresholdAge24,"&lt;"&amp;BB204,WeightedRevAge24)-SUMIF(ThresholdAge24,"&lt;"&amp;BB204,WeightedMinAge24),MAX(CapacityAge24*'01_Вводные'!$B$218*BB204,MeanMinAge24)))</f>
        <v/>
      </c>
      <c r="BC132" s="190">
        <f>IF(OR(BC104=0,24&lt;='01_Вводные'!$B$297),0,BC104*IF('01_Вводные'!$B$239="Да",MeanMinAge24+BC204*SUMIF(ThresholdAge24,"&lt;"&amp;BC204,WeightedRevAge24)-SUMIF(ThresholdAge24,"&lt;"&amp;BC204,WeightedMinAge24),MAX(CapacityAge24*'01_Вводные'!$B$218*BC204,MeanMinAge24)))</f>
        <v/>
      </c>
      <c r="BD132" s="190">
        <f>IF(OR(BD104=0,24&lt;='01_Вводные'!$B$297),0,BD104*IF('01_Вводные'!$B$239="Да",MeanMinAge24+BD204*SUMIF(ThresholdAge24,"&lt;"&amp;BD204,WeightedRevAge24)-SUMIF(ThresholdAge24,"&lt;"&amp;BD204,WeightedMinAge24),MAX(CapacityAge24*'01_Вводные'!$B$218*BD204,MeanMinAge24)))</f>
        <v/>
      </c>
      <c r="BE132" s="190">
        <f>IF(OR(BE104=0,24&lt;='01_Вводные'!$B$297),0,BE104*IF('01_Вводные'!$B$239="Да",MeanMinAge24+BE204*SUMIF(ThresholdAge24,"&lt;"&amp;BE204,WeightedRevAge24)-SUMIF(ThresholdAge24,"&lt;"&amp;BE204,WeightedMinAge24),MAX(CapacityAge24*'01_Вводные'!$B$218*BE204,MeanMinAge24)))</f>
        <v/>
      </c>
      <c r="BF132" s="190">
        <f>IF(OR(BF104=0,24&lt;='01_Вводные'!$B$297),0,BF104*IF('01_Вводные'!$B$239="Да",MeanMinAge24+BF204*SUMIF(ThresholdAge24,"&lt;"&amp;BF204,WeightedRevAge24)-SUMIF(ThresholdAge24,"&lt;"&amp;BF204,WeightedMinAge24),MAX(CapacityAge24*'01_Вводные'!$B$218*BF204,MeanMinAge24)))</f>
        <v/>
      </c>
      <c r="BG132" s="190">
        <f>IF(OR(BG104=0,24&lt;='01_Вводные'!$B$297),0,BG104*IF('01_Вводные'!$B$239="Да",MeanMinAge24+BG204*SUMIF(ThresholdAge24,"&lt;"&amp;BG204,WeightedRevAge24)-SUMIF(ThresholdAge24,"&lt;"&amp;BG204,WeightedMinAge24),MAX(CapacityAge24*'01_Вводные'!$B$218*BG204,MeanMinAge24)))</f>
        <v/>
      </c>
      <c r="BH132" s="190">
        <f>IF(OR(BH104=0,24&lt;='01_Вводные'!$B$297),0,BH104*IF('01_Вводные'!$B$239="Да",MeanMinAge24+BH204*SUMIF(ThresholdAge24,"&lt;"&amp;BH204,WeightedRevAge24)-SUMIF(ThresholdAge24,"&lt;"&amp;BH204,WeightedMinAge24),MAX(CapacityAge24*'01_Вводные'!$B$218*BH204,MeanMinAge24)))</f>
        <v/>
      </c>
      <c r="BI132" s="190">
        <f>IF(OR(BI104=0,24&lt;='01_Вводные'!$B$297),0,BI104*IF('01_Вводные'!$B$239="Да",MeanMinAge24+BI204*SUMIF(ThresholdAge24,"&lt;"&amp;BI204,WeightedRevAge24)-SUMIF(ThresholdAge24,"&lt;"&amp;BI204,WeightedMinAge24),MAX(CapacityAge24*'01_Вводные'!$B$218*BI204,MeanMinAge24)))</f>
        <v/>
      </c>
      <c r="BJ132" s="190">
        <f>IF(OR(BJ104=0,24&lt;='01_Вводные'!$B$297),0,BJ104*IF('01_Вводные'!$B$239="Да",MeanMinAge24+BJ204*SUMIF(ThresholdAge24,"&lt;"&amp;BJ204,WeightedRevAge24)-SUMIF(ThresholdAge24,"&lt;"&amp;BJ204,WeightedMinAge24),MAX(CapacityAge24*'01_Вводные'!$B$218*BJ204,MeanMinAge24)))</f>
        <v/>
      </c>
      <c r="BK132" s="190">
        <f>IF(OR(BK104=0,24&lt;='01_Вводные'!$B$297),0,BK104*IF('01_Вводные'!$B$239="Да",MeanMinAge24+BK204*SUMIF(ThresholdAge24,"&lt;"&amp;BK204,WeightedRevAge24)-SUMIF(ThresholdAge24,"&lt;"&amp;BK204,WeightedMinAge24),MAX(CapacityAge24*'01_Вводные'!$B$218*BK204,MeanMinAge24)))</f>
        <v/>
      </c>
      <c r="BL132" s="190">
        <f>IF(OR(BL104=0,24&lt;='01_Вводные'!$B$297),0,BL104*IF('01_Вводные'!$B$239="Да",MeanMinAge24+BL204*SUMIF(ThresholdAge24,"&lt;"&amp;BL204,WeightedRevAge24)-SUMIF(ThresholdAge24,"&lt;"&amp;BL204,WeightedMinAge24),MAX(CapacityAge24*'01_Вводные'!$B$218*BL204,MeanMinAge24)))</f>
        <v/>
      </c>
      <c r="BM132" s="190">
        <f>IF(OR(BM104=0,24&lt;='01_Вводные'!$B$297),0,BM104*IF('01_Вводные'!$B$239="Да",MeanMinAge24+BM204*SUMIF(ThresholdAge24,"&lt;"&amp;BM204,WeightedRevAge24)-SUMIF(ThresholdAge24,"&lt;"&amp;BM204,WeightedMinAge24),MAX(CapacityAge24*'01_Вводные'!$B$218*BM204,MeanMinAge24)))</f>
        <v/>
      </c>
      <c r="BN132" s="190">
        <f>IF(OR(BN104=0,24&lt;='01_Вводные'!$B$297),0,BN104*IF('01_Вводные'!$B$239="Да",MeanMinAge24+BN204*SUMIF(ThresholdAge24,"&lt;"&amp;BN204,WeightedRevAge24)-SUMIF(ThresholdAge24,"&lt;"&amp;BN204,WeightedMinAge24),MAX(CapacityAge24*'01_Вводные'!$B$218*BN204,MeanMinAge24)))</f>
        <v/>
      </c>
      <c r="BO132" s="190">
        <f>IF(OR(BO104=0,24&lt;='01_Вводные'!$B$297),0,BO104*IF('01_Вводные'!$B$239="Да",MeanMinAge24+BO204*SUMIF(ThresholdAge24,"&lt;"&amp;BO204,WeightedRevAge24)-SUMIF(ThresholdAge24,"&lt;"&amp;BO204,WeightedMinAge24),MAX(CapacityAge24*'01_Вводные'!$B$218*BO204,MeanMinAge24)))</f>
        <v/>
      </c>
    </row>
    <row r="133" hidden="1" outlineLevel="1">
      <c r="A133" t="inlineStr">
        <is>
          <t>25+ мес.</t>
        </is>
      </c>
      <c r="B133" s="190">
        <f>IF(OR(B105=0,25&lt;='01_Вводные'!$B$297),0,B105*IF('01_Вводные'!$B$239="Да",MeanMinAge25+B204*SUMIF(ThresholdAge25,"&lt;"&amp;B204,WeightedRevAge25)-SUMIF(ThresholdAge25,"&lt;"&amp;B204,WeightedMinAge25),MAX(CapacityAge25*'01_Вводные'!$B$218*B204,MeanMinAge25)))</f>
        <v/>
      </c>
      <c r="C133" s="190">
        <f>IF(OR(C105=0,25&lt;='01_Вводные'!$B$297),0,C105*IF('01_Вводные'!$B$239="Да",MeanMinAge25+C204*SUMIF(ThresholdAge25,"&lt;"&amp;C204,WeightedRevAge25)-SUMIF(ThresholdAge25,"&lt;"&amp;C204,WeightedMinAge25),MAX(CapacityAge25*'01_Вводные'!$B$218*C204,MeanMinAge25)))</f>
        <v/>
      </c>
      <c r="D133" s="190">
        <f>IF(OR(D105=0,25&lt;='01_Вводные'!$B$297),0,D105*IF('01_Вводные'!$B$239="Да",MeanMinAge25+D204*SUMIF(ThresholdAge25,"&lt;"&amp;D204,WeightedRevAge25)-SUMIF(ThresholdAge25,"&lt;"&amp;D204,WeightedMinAge25),MAX(CapacityAge25*'01_Вводные'!$B$218*D204,MeanMinAge25)))</f>
        <v/>
      </c>
      <c r="E133" s="190">
        <f>IF(OR(E105=0,25&lt;='01_Вводные'!$B$297),0,E105*IF('01_Вводные'!$B$239="Да",MeanMinAge25+E204*SUMIF(ThresholdAge25,"&lt;"&amp;E204,WeightedRevAge25)-SUMIF(ThresholdAge25,"&lt;"&amp;E204,WeightedMinAge25),MAX(CapacityAge25*'01_Вводные'!$B$218*E204,MeanMinAge25)))</f>
        <v/>
      </c>
      <c r="F133" s="190">
        <f>IF(OR(F105=0,25&lt;='01_Вводные'!$B$297),0,F105*IF('01_Вводные'!$B$239="Да",MeanMinAge25+F204*SUMIF(ThresholdAge25,"&lt;"&amp;F204,WeightedRevAge25)-SUMIF(ThresholdAge25,"&lt;"&amp;F204,WeightedMinAge25),MAX(CapacityAge25*'01_Вводные'!$B$218*F204,MeanMinAge25)))</f>
        <v/>
      </c>
      <c r="G133" s="190">
        <f>IF(OR(G105=0,25&lt;='01_Вводные'!$B$297),0,G105*IF('01_Вводные'!$B$239="Да",MeanMinAge25+G204*SUMIF(ThresholdAge25,"&lt;"&amp;G204,WeightedRevAge25)-SUMIF(ThresholdAge25,"&lt;"&amp;G204,WeightedMinAge25),MAX(CapacityAge25*'01_Вводные'!$B$218*G204,MeanMinAge25)))</f>
        <v/>
      </c>
      <c r="H133" s="190">
        <f>IF(OR(H105=0,25&lt;='01_Вводные'!$B$297),0,H105*IF('01_Вводные'!$B$239="Да",MeanMinAge25+H204*SUMIF(ThresholdAge25,"&lt;"&amp;H204,WeightedRevAge25)-SUMIF(ThresholdAge25,"&lt;"&amp;H204,WeightedMinAge25),MAX(CapacityAge25*'01_Вводные'!$B$218*H204,MeanMinAge25)))</f>
        <v/>
      </c>
      <c r="I133" s="190">
        <f>IF(OR(I105=0,25&lt;='01_Вводные'!$B$297),0,I105*IF('01_Вводные'!$B$239="Да",MeanMinAge25+I204*SUMIF(ThresholdAge25,"&lt;"&amp;I204,WeightedRevAge25)-SUMIF(ThresholdAge25,"&lt;"&amp;I204,WeightedMinAge25),MAX(CapacityAge25*'01_Вводные'!$B$218*I204,MeanMinAge25)))</f>
        <v/>
      </c>
      <c r="J133" s="190">
        <f>IF(OR(J105=0,25&lt;='01_Вводные'!$B$297),0,J105*IF('01_Вводные'!$B$239="Да",MeanMinAge25+J204*SUMIF(ThresholdAge25,"&lt;"&amp;J204,WeightedRevAge25)-SUMIF(ThresholdAge25,"&lt;"&amp;J204,WeightedMinAge25),MAX(CapacityAge25*'01_Вводные'!$B$218*J204,MeanMinAge25)))</f>
        <v/>
      </c>
      <c r="K133" s="190">
        <f>IF(OR(K105=0,25&lt;='01_Вводные'!$B$297),0,K105*IF('01_Вводные'!$B$239="Да",MeanMinAge25+K204*SUMIF(ThresholdAge25,"&lt;"&amp;K204,WeightedRevAge25)-SUMIF(ThresholdAge25,"&lt;"&amp;K204,WeightedMinAge25),MAX(CapacityAge25*'01_Вводные'!$B$218*K204,MeanMinAge25)))</f>
        <v/>
      </c>
      <c r="L133" s="190">
        <f>IF(OR(L105=0,25&lt;='01_Вводные'!$B$297),0,L105*IF('01_Вводные'!$B$239="Да",MeanMinAge25+L204*SUMIF(ThresholdAge25,"&lt;"&amp;L204,WeightedRevAge25)-SUMIF(ThresholdAge25,"&lt;"&amp;L204,WeightedMinAge25),MAX(CapacityAge25*'01_Вводные'!$B$218*L204,MeanMinAge25)))</f>
        <v/>
      </c>
      <c r="M133" s="190">
        <f>IF(OR(M105=0,25&lt;='01_Вводные'!$B$297),0,M105*IF('01_Вводные'!$B$239="Да",MeanMinAge25+M204*SUMIF(ThresholdAge25,"&lt;"&amp;M204,WeightedRevAge25)-SUMIF(ThresholdAge25,"&lt;"&amp;M204,WeightedMinAge25),MAX(CapacityAge25*'01_Вводные'!$B$218*M204,MeanMinAge25)))</f>
        <v/>
      </c>
      <c r="N133" s="190">
        <f>IF(OR(N105=0,25&lt;='01_Вводные'!$B$297),0,N105*IF('01_Вводные'!$B$239="Да",MeanMinAge25+N204*SUMIF(ThresholdAge25,"&lt;"&amp;N204,WeightedRevAge25)-SUMIF(ThresholdAge25,"&lt;"&amp;N204,WeightedMinAge25),MAX(CapacityAge25*'01_Вводные'!$B$218*N204,MeanMinAge25)))</f>
        <v/>
      </c>
      <c r="O133" s="190">
        <f>IF(OR(O105=0,25&lt;='01_Вводные'!$B$297),0,O105*IF('01_Вводные'!$B$239="Да",MeanMinAge25+O204*SUMIF(ThresholdAge25,"&lt;"&amp;O204,WeightedRevAge25)-SUMIF(ThresholdAge25,"&lt;"&amp;O204,WeightedMinAge25),MAX(CapacityAge25*'01_Вводные'!$B$218*O204,MeanMinAge25)))</f>
        <v/>
      </c>
      <c r="P133" s="190">
        <f>IF(OR(P105=0,25&lt;='01_Вводные'!$B$297),0,P105*IF('01_Вводные'!$B$239="Да",MeanMinAge25+P204*SUMIF(ThresholdAge25,"&lt;"&amp;P204,WeightedRevAge25)-SUMIF(ThresholdAge25,"&lt;"&amp;P204,WeightedMinAge25),MAX(CapacityAge25*'01_Вводные'!$B$218*P204,MeanMinAge25)))</f>
        <v/>
      </c>
      <c r="Q133" s="190">
        <f>IF(OR(Q105=0,25&lt;='01_Вводные'!$B$297),0,Q105*IF('01_Вводные'!$B$239="Да",MeanMinAge25+Q204*SUMIF(ThresholdAge25,"&lt;"&amp;Q204,WeightedRevAge25)-SUMIF(ThresholdAge25,"&lt;"&amp;Q204,WeightedMinAge25),MAX(CapacityAge25*'01_Вводные'!$B$218*Q204,MeanMinAge25)))</f>
        <v/>
      </c>
      <c r="R133" s="190">
        <f>IF(OR(R105=0,25&lt;='01_Вводные'!$B$297),0,R105*IF('01_Вводные'!$B$239="Да",MeanMinAge25+R204*SUMIF(ThresholdAge25,"&lt;"&amp;R204,WeightedRevAge25)-SUMIF(ThresholdAge25,"&lt;"&amp;R204,WeightedMinAge25),MAX(CapacityAge25*'01_Вводные'!$B$218*R204,MeanMinAge25)))</f>
        <v/>
      </c>
      <c r="S133" s="190">
        <f>IF(OR(S105=0,25&lt;='01_Вводные'!$B$297),0,S105*IF('01_Вводные'!$B$239="Да",MeanMinAge25+S204*SUMIF(ThresholdAge25,"&lt;"&amp;S204,WeightedRevAge25)-SUMIF(ThresholdAge25,"&lt;"&amp;S204,WeightedMinAge25),MAX(CapacityAge25*'01_Вводные'!$B$218*S204,MeanMinAge25)))</f>
        <v/>
      </c>
      <c r="T133" s="190">
        <f>IF(OR(T105=0,25&lt;='01_Вводные'!$B$297),0,T105*IF('01_Вводные'!$B$239="Да",MeanMinAge25+T204*SUMIF(ThresholdAge25,"&lt;"&amp;T204,WeightedRevAge25)-SUMIF(ThresholdAge25,"&lt;"&amp;T204,WeightedMinAge25),MAX(CapacityAge25*'01_Вводные'!$B$218*T204,MeanMinAge25)))</f>
        <v/>
      </c>
      <c r="U133" s="190">
        <f>IF(OR(U105=0,25&lt;='01_Вводные'!$B$297),0,U105*IF('01_Вводные'!$B$239="Да",MeanMinAge25+U204*SUMIF(ThresholdAge25,"&lt;"&amp;U204,WeightedRevAge25)-SUMIF(ThresholdAge25,"&lt;"&amp;U204,WeightedMinAge25),MAX(CapacityAge25*'01_Вводные'!$B$218*U204,MeanMinAge25)))</f>
        <v/>
      </c>
      <c r="V133" s="190">
        <f>IF(OR(V105=0,25&lt;='01_Вводные'!$B$297),0,V105*IF('01_Вводные'!$B$239="Да",MeanMinAge25+V204*SUMIF(ThresholdAge25,"&lt;"&amp;V204,WeightedRevAge25)-SUMIF(ThresholdAge25,"&lt;"&amp;V204,WeightedMinAge25),MAX(CapacityAge25*'01_Вводные'!$B$218*V204,MeanMinAge25)))</f>
        <v/>
      </c>
      <c r="W133" s="190">
        <f>IF(OR(W105=0,25&lt;='01_Вводные'!$B$297),0,W105*IF('01_Вводные'!$B$239="Да",MeanMinAge25+W204*SUMIF(ThresholdAge25,"&lt;"&amp;W204,WeightedRevAge25)-SUMIF(ThresholdAge25,"&lt;"&amp;W204,WeightedMinAge25),MAX(CapacityAge25*'01_Вводные'!$B$218*W204,MeanMinAge25)))</f>
        <v/>
      </c>
      <c r="X133" s="190">
        <f>IF(OR(X105=0,25&lt;='01_Вводные'!$B$297),0,X105*IF('01_Вводные'!$B$239="Да",MeanMinAge25+X204*SUMIF(ThresholdAge25,"&lt;"&amp;X204,WeightedRevAge25)-SUMIF(ThresholdAge25,"&lt;"&amp;X204,WeightedMinAge25),MAX(CapacityAge25*'01_Вводные'!$B$218*X204,MeanMinAge25)))</f>
        <v/>
      </c>
      <c r="Y133" s="190">
        <f>IF(OR(Y105=0,25&lt;='01_Вводные'!$B$297),0,Y105*IF('01_Вводные'!$B$239="Да",MeanMinAge25+Y204*SUMIF(ThresholdAge25,"&lt;"&amp;Y204,WeightedRevAge25)-SUMIF(ThresholdAge25,"&lt;"&amp;Y204,WeightedMinAge25),MAX(CapacityAge25*'01_Вводные'!$B$218*Y204,MeanMinAge25)))</f>
        <v/>
      </c>
      <c r="Z133" s="190">
        <f>IF(OR(Z105=0,25&lt;='01_Вводные'!$B$297),0,Z105*IF('01_Вводные'!$B$239="Да",MeanMinAge25+Z204*SUMIF(ThresholdAge25,"&lt;"&amp;Z204,WeightedRevAge25)-SUMIF(ThresholdAge25,"&lt;"&amp;Z204,WeightedMinAge25),MAX(CapacityAge25*'01_Вводные'!$B$218*Z204,MeanMinAge25)))</f>
        <v/>
      </c>
      <c r="AA133" s="190">
        <f>IF(OR(AA105=0,25&lt;='01_Вводные'!$B$297),0,AA105*IF('01_Вводные'!$B$239="Да",MeanMinAge25+AA204*SUMIF(ThresholdAge25,"&lt;"&amp;AA204,WeightedRevAge25)-SUMIF(ThresholdAge25,"&lt;"&amp;AA204,WeightedMinAge25),MAX(CapacityAge25*'01_Вводные'!$B$218*AA204,MeanMinAge25)))</f>
        <v/>
      </c>
      <c r="AB133" s="190">
        <f>IF(OR(AB105=0,25&lt;='01_Вводные'!$B$297),0,AB105*IF('01_Вводные'!$B$239="Да",MeanMinAge25+AB204*SUMIF(ThresholdAge25,"&lt;"&amp;AB204,WeightedRevAge25)-SUMIF(ThresholdAge25,"&lt;"&amp;AB204,WeightedMinAge25),MAX(CapacityAge25*'01_Вводные'!$B$218*AB204,MeanMinAge25)))</f>
        <v/>
      </c>
      <c r="AC133" s="190">
        <f>IF(OR(AC105=0,25&lt;='01_Вводные'!$B$297),0,AC105*IF('01_Вводные'!$B$239="Да",MeanMinAge25+AC204*SUMIF(ThresholdAge25,"&lt;"&amp;AC204,WeightedRevAge25)-SUMIF(ThresholdAge25,"&lt;"&amp;AC204,WeightedMinAge25),MAX(CapacityAge25*'01_Вводные'!$B$218*AC204,MeanMinAge25)))</f>
        <v/>
      </c>
      <c r="AD133" s="190">
        <f>IF(OR(AD105=0,25&lt;='01_Вводные'!$B$297),0,AD105*IF('01_Вводные'!$B$239="Да",MeanMinAge25+AD204*SUMIF(ThresholdAge25,"&lt;"&amp;AD204,WeightedRevAge25)-SUMIF(ThresholdAge25,"&lt;"&amp;AD204,WeightedMinAge25),MAX(CapacityAge25*'01_Вводные'!$B$218*AD204,MeanMinAge25)))</f>
        <v/>
      </c>
      <c r="AE133" s="190">
        <f>IF(OR(AE105=0,25&lt;='01_Вводные'!$B$297),0,AE105*IF('01_Вводные'!$B$239="Да",MeanMinAge25+AE204*SUMIF(ThresholdAge25,"&lt;"&amp;AE204,WeightedRevAge25)-SUMIF(ThresholdAge25,"&lt;"&amp;AE204,WeightedMinAge25),MAX(CapacityAge25*'01_Вводные'!$B$218*AE204,MeanMinAge25)))</f>
        <v/>
      </c>
      <c r="AF133" s="190">
        <f>IF(OR(AF105=0,25&lt;='01_Вводные'!$B$297),0,AF105*IF('01_Вводные'!$B$239="Да",MeanMinAge25+AF204*SUMIF(ThresholdAge25,"&lt;"&amp;AF204,WeightedRevAge25)-SUMIF(ThresholdAge25,"&lt;"&amp;AF204,WeightedMinAge25),MAX(CapacityAge25*'01_Вводные'!$B$218*AF204,MeanMinAge25)))</f>
        <v/>
      </c>
      <c r="AG133" s="190">
        <f>IF(OR(AG105=0,25&lt;='01_Вводные'!$B$297),0,AG105*IF('01_Вводные'!$B$239="Да",MeanMinAge25+AG204*SUMIF(ThresholdAge25,"&lt;"&amp;AG204,WeightedRevAge25)-SUMIF(ThresholdAge25,"&lt;"&amp;AG204,WeightedMinAge25),MAX(CapacityAge25*'01_Вводные'!$B$218*AG204,MeanMinAge25)))</f>
        <v/>
      </c>
      <c r="AH133" s="190">
        <f>IF(OR(AH105=0,25&lt;='01_Вводные'!$B$297),0,AH105*IF('01_Вводные'!$B$239="Да",MeanMinAge25+AH204*SUMIF(ThresholdAge25,"&lt;"&amp;AH204,WeightedRevAge25)-SUMIF(ThresholdAge25,"&lt;"&amp;AH204,WeightedMinAge25),MAX(CapacityAge25*'01_Вводные'!$B$218*AH204,MeanMinAge25)))</f>
        <v/>
      </c>
      <c r="AI133" s="190">
        <f>IF(OR(AI105=0,25&lt;='01_Вводные'!$B$297),0,AI105*IF('01_Вводные'!$B$239="Да",MeanMinAge25+AI204*SUMIF(ThresholdAge25,"&lt;"&amp;AI204,WeightedRevAge25)-SUMIF(ThresholdAge25,"&lt;"&amp;AI204,WeightedMinAge25),MAX(CapacityAge25*'01_Вводные'!$B$218*AI204,MeanMinAge25)))</f>
        <v/>
      </c>
      <c r="AJ133" s="190">
        <f>IF(OR(AJ105=0,25&lt;='01_Вводные'!$B$297),0,AJ105*IF('01_Вводные'!$B$239="Да",MeanMinAge25+AJ204*SUMIF(ThresholdAge25,"&lt;"&amp;AJ204,WeightedRevAge25)-SUMIF(ThresholdAge25,"&lt;"&amp;AJ204,WeightedMinAge25),MAX(CapacityAge25*'01_Вводные'!$B$218*AJ204,MeanMinAge25)))</f>
        <v/>
      </c>
      <c r="AK133" s="190">
        <f>IF(OR(AK105=0,25&lt;='01_Вводные'!$B$297),0,AK105*IF('01_Вводные'!$B$239="Да",MeanMinAge25+AK204*SUMIF(ThresholdAge25,"&lt;"&amp;AK204,WeightedRevAge25)-SUMIF(ThresholdAge25,"&lt;"&amp;AK204,WeightedMinAge25),MAX(CapacityAge25*'01_Вводные'!$B$218*AK204,MeanMinAge25)))</f>
        <v/>
      </c>
      <c r="AL133" s="190">
        <f>IF(OR(AL105=0,25&lt;='01_Вводные'!$B$297),0,AL105*IF('01_Вводные'!$B$239="Да",MeanMinAge25+AL204*SUMIF(ThresholdAge25,"&lt;"&amp;AL204,WeightedRevAge25)-SUMIF(ThresholdAge25,"&lt;"&amp;AL204,WeightedMinAge25),MAX(CapacityAge25*'01_Вводные'!$B$218*AL204,MeanMinAge25)))</f>
        <v/>
      </c>
      <c r="AM133" s="190">
        <f>IF(OR(AM105=0,25&lt;='01_Вводные'!$B$297),0,AM105*IF('01_Вводные'!$B$239="Да",MeanMinAge25+AM204*SUMIF(ThresholdAge25,"&lt;"&amp;AM204,WeightedRevAge25)-SUMIF(ThresholdAge25,"&lt;"&amp;AM204,WeightedMinAge25),MAX(CapacityAge25*'01_Вводные'!$B$218*AM204,MeanMinAge25)))</f>
        <v/>
      </c>
      <c r="AN133" s="190">
        <f>IF(OR(AN105=0,25&lt;='01_Вводные'!$B$297),0,AN105*IF('01_Вводные'!$B$239="Да",MeanMinAge25+AN204*SUMIF(ThresholdAge25,"&lt;"&amp;AN204,WeightedRevAge25)-SUMIF(ThresholdAge25,"&lt;"&amp;AN204,WeightedMinAge25),MAX(CapacityAge25*'01_Вводные'!$B$218*AN204,MeanMinAge25)))</f>
        <v/>
      </c>
      <c r="AO133" s="190">
        <f>IF(OR(AO105=0,25&lt;='01_Вводные'!$B$297),0,AO105*IF('01_Вводные'!$B$239="Да",MeanMinAge25+AO204*SUMIF(ThresholdAge25,"&lt;"&amp;AO204,WeightedRevAge25)-SUMIF(ThresholdAge25,"&lt;"&amp;AO204,WeightedMinAge25),MAX(CapacityAge25*'01_Вводные'!$B$218*AO204,MeanMinAge25)))</f>
        <v/>
      </c>
      <c r="AP133" s="190">
        <f>IF(OR(AP105=0,25&lt;='01_Вводные'!$B$297),0,AP105*IF('01_Вводные'!$B$239="Да",MeanMinAge25+AP204*SUMIF(ThresholdAge25,"&lt;"&amp;AP204,WeightedRevAge25)-SUMIF(ThresholdAge25,"&lt;"&amp;AP204,WeightedMinAge25),MAX(CapacityAge25*'01_Вводные'!$B$218*AP204,MeanMinAge25)))</f>
        <v/>
      </c>
      <c r="AQ133" s="190">
        <f>IF(OR(AQ105=0,25&lt;='01_Вводные'!$B$297),0,AQ105*IF('01_Вводные'!$B$239="Да",MeanMinAge25+AQ204*SUMIF(ThresholdAge25,"&lt;"&amp;AQ204,WeightedRevAge25)-SUMIF(ThresholdAge25,"&lt;"&amp;AQ204,WeightedMinAge25),MAX(CapacityAge25*'01_Вводные'!$B$218*AQ204,MeanMinAge25)))</f>
        <v/>
      </c>
      <c r="AR133" s="190">
        <f>IF(OR(AR105=0,25&lt;='01_Вводные'!$B$297),0,AR105*IF('01_Вводные'!$B$239="Да",MeanMinAge25+AR204*SUMIF(ThresholdAge25,"&lt;"&amp;AR204,WeightedRevAge25)-SUMIF(ThresholdAge25,"&lt;"&amp;AR204,WeightedMinAge25),MAX(CapacityAge25*'01_Вводные'!$B$218*AR204,MeanMinAge25)))</f>
        <v/>
      </c>
      <c r="AS133" s="190">
        <f>IF(OR(AS105=0,25&lt;='01_Вводные'!$B$297),0,AS105*IF('01_Вводные'!$B$239="Да",MeanMinAge25+AS204*SUMIF(ThresholdAge25,"&lt;"&amp;AS204,WeightedRevAge25)-SUMIF(ThresholdAge25,"&lt;"&amp;AS204,WeightedMinAge25),MAX(CapacityAge25*'01_Вводные'!$B$218*AS204,MeanMinAge25)))</f>
        <v/>
      </c>
      <c r="AT133" s="190">
        <f>IF(OR(AT105=0,25&lt;='01_Вводные'!$B$297),0,AT105*IF('01_Вводные'!$B$239="Да",MeanMinAge25+AT204*SUMIF(ThresholdAge25,"&lt;"&amp;AT204,WeightedRevAge25)-SUMIF(ThresholdAge25,"&lt;"&amp;AT204,WeightedMinAge25),MAX(CapacityAge25*'01_Вводные'!$B$218*AT204,MeanMinAge25)))</f>
        <v/>
      </c>
      <c r="AU133" s="190">
        <f>IF(OR(AU105=0,25&lt;='01_Вводные'!$B$297),0,AU105*IF('01_Вводные'!$B$239="Да",MeanMinAge25+AU204*SUMIF(ThresholdAge25,"&lt;"&amp;AU204,WeightedRevAge25)-SUMIF(ThresholdAge25,"&lt;"&amp;AU204,WeightedMinAge25),MAX(CapacityAge25*'01_Вводные'!$B$218*AU204,MeanMinAge25)))</f>
        <v/>
      </c>
      <c r="AV133" s="190">
        <f>IF(OR(AV105=0,25&lt;='01_Вводные'!$B$297),0,AV105*IF('01_Вводные'!$B$239="Да",MeanMinAge25+AV204*SUMIF(ThresholdAge25,"&lt;"&amp;AV204,WeightedRevAge25)-SUMIF(ThresholdAge25,"&lt;"&amp;AV204,WeightedMinAge25),MAX(CapacityAge25*'01_Вводные'!$B$218*AV204,MeanMinAge25)))</f>
        <v/>
      </c>
      <c r="AW133" s="190">
        <f>IF(OR(AW105=0,25&lt;='01_Вводные'!$B$297),0,AW105*IF('01_Вводные'!$B$239="Да",MeanMinAge25+AW204*SUMIF(ThresholdAge25,"&lt;"&amp;AW204,WeightedRevAge25)-SUMIF(ThresholdAge25,"&lt;"&amp;AW204,WeightedMinAge25),MAX(CapacityAge25*'01_Вводные'!$B$218*AW204,MeanMinAge25)))</f>
        <v/>
      </c>
      <c r="AX133" s="190">
        <f>IF(OR(AX105=0,25&lt;='01_Вводные'!$B$297),0,AX105*IF('01_Вводные'!$B$239="Да",MeanMinAge25+AX204*SUMIF(ThresholdAge25,"&lt;"&amp;AX204,WeightedRevAge25)-SUMIF(ThresholdAge25,"&lt;"&amp;AX204,WeightedMinAge25),MAX(CapacityAge25*'01_Вводные'!$B$218*AX204,MeanMinAge25)))</f>
        <v/>
      </c>
      <c r="AY133" s="190">
        <f>IF(OR(AY105=0,25&lt;='01_Вводные'!$B$297),0,AY105*IF('01_Вводные'!$B$239="Да",MeanMinAge25+AY204*SUMIF(ThresholdAge25,"&lt;"&amp;AY204,WeightedRevAge25)-SUMIF(ThresholdAge25,"&lt;"&amp;AY204,WeightedMinAge25),MAX(CapacityAge25*'01_Вводные'!$B$218*AY204,MeanMinAge25)))</f>
        <v/>
      </c>
      <c r="AZ133" s="190">
        <f>IF(OR(AZ105=0,25&lt;='01_Вводные'!$B$297),0,AZ105*IF('01_Вводные'!$B$239="Да",MeanMinAge25+AZ204*SUMIF(ThresholdAge25,"&lt;"&amp;AZ204,WeightedRevAge25)-SUMIF(ThresholdAge25,"&lt;"&amp;AZ204,WeightedMinAge25),MAX(CapacityAge25*'01_Вводные'!$B$218*AZ204,MeanMinAge25)))</f>
        <v/>
      </c>
      <c r="BA133" s="190">
        <f>IF(OR(BA105=0,25&lt;='01_Вводные'!$B$297),0,BA105*IF('01_Вводные'!$B$239="Да",MeanMinAge25+BA204*SUMIF(ThresholdAge25,"&lt;"&amp;BA204,WeightedRevAge25)-SUMIF(ThresholdAge25,"&lt;"&amp;BA204,WeightedMinAge25),MAX(CapacityAge25*'01_Вводные'!$B$218*BA204,MeanMinAge25)))</f>
        <v/>
      </c>
      <c r="BB133" s="190">
        <f>IF(OR(BB105=0,25&lt;='01_Вводные'!$B$297),0,BB105*IF('01_Вводные'!$B$239="Да",MeanMinAge25+BB204*SUMIF(ThresholdAge25,"&lt;"&amp;BB204,WeightedRevAge25)-SUMIF(ThresholdAge25,"&lt;"&amp;BB204,WeightedMinAge25),MAX(CapacityAge25*'01_Вводные'!$B$218*BB204,MeanMinAge25)))</f>
        <v/>
      </c>
      <c r="BC133" s="190">
        <f>IF(OR(BC105=0,25&lt;='01_Вводные'!$B$297),0,BC105*IF('01_Вводные'!$B$239="Да",MeanMinAge25+BC204*SUMIF(ThresholdAge25,"&lt;"&amp;BC204,WeightedRevAge25)-SUMIF(ThresholdAge25,"&lt;"&amp;BC204,WeightedMinAge25),MAX(CapacityAge25*'01_Вводные'!$B$218*BC204,MeanMinAge25)))</f>
        <v/>
      </c>
      <c r="BD133" s="190">
        <f>IF(OR(BD105=0,25&lt;='01_Вводные'!$B$297),0,BD105*IF('01_Вводные'!$B$239="Да",MeanMinAge25+BD204*SUMIF(ThresholdAge25,"&lt;"&amp;BD204,WeightedRevAge25)-SUMIF(ThresholdAge25,"&lt;"&amp;BD204,WeightedMinAge25),MAX(CapacityAge25*'01_Вводные'!$B$218*BD204,MeanMinAge25)))</f>
        <v/>
      </c>
      <c r="BE133" s="190">
        <f>IF(OR(BE105=0,25&lt;='01_Вводные'!$B$297),0,BE105*IF('01_Вводные'!$B$239="Да",MeanMinAge25+BE204*SUMIF(ThresholdAge25,"&lt;"&amp;BE204,WeightedRevAge25)-SUMIF(ThresholdAge25,"&lt;"&amp;BE204,WeightedMinAge25),MAX(CapacityAge25*'01_Вводные'!$B$218*BE204,MeanMinAge25)))</f>
        <v/>
      </c>
      <c r="BF133" s="190">
        <f>IF(OR(BF105=0,25&lt;='01_Вводные'!$B$297),0,BF105*IF('01_Вводные'!$B$239="Да",MeanMinAge25+BF204*SUMIF(ThresholdAge25,"&lt;"&amp;BF204,WeightedRevAge25)-SUMIF(ThresholdAge25,"&lt;"&amp;BF204,WeightedMinAge25),MAX(CapacityAge25*'01_Вводные'!$B$218*BF204,MeanMinAge25)))</f>
        <v/>
      </c>
      <c r="BG133" s="190">
        <f>IF(OR(BG105=0,25&lt;='01_Вводные'!$B$297),0,BG105*IF('01_Вводные'!$B$239="Да",MeanMinAge25+BG204*SUMIF(ThresholdAge25,"&lt;"&amp;BG204,WeightedRevAge25)-SUMIF(ThresholdAge25,"&lt;"&amp;BG204,WeightedMinAge25),MAX(CapacityAge25*'01_Вводные'!$B$218*BG204,MeanMinAge25)))</f>
        <v/>
      </c>
      <c r="BH133" s="190">
        <f>IF(OR(BH105=0,25&lt;='01_Вводные'!$B$297),0,BH105*IF('01_Вводные'!$B$239="Да",MeanMinAge25+BH204*SUMIF(ThresholdAge25,"&lt;"&amp;BH204,WeightedRevAge25)-SUMIF(ThresholdAge25,"&lt;"&amp;BH204,WeightedMinAge25),MAX(CapacityAge25*'01_Вводные'!$B$218*BH204,MeanMinAge25)))</f>
        <v/>
      </c>
      <c r="BI133" s="190">
        <f>IF(OR(BI105=0,25&lt;='01_Вводные'!$B$297),0,BI105*IF('01_Вводные'!$B$239="Да",MeanMinAge25+BI204*SUMIF(ThresholdAge25,"&lt;"&amp;BI204,WeightedRevAge25)-SUMIF(ThresholdAge25,"&lt;"&amp;BI204,WeightedMinAge25),MAX(CapacityAge25*'01_Вводные'!$B$218*BI204,MeanMinAge25)))</f>
        <v/>
      </c>
      <c r="BJ133" s="190">
        <f>IF(OR(BJ105=0,25&lt;='01_Вводные'!$B$297),0,BJ105*IF('01_Вводные'!$B$239="Да",MeanMinAge25+BJ204*SUMIF(ThresholdAge25,"&lt;"&amp;BJ204,WeightedRevAge25)-SUMIF(ThresholdAge25,"&lt;"&amp;BJ204,WeightedMinAge25),MAX(CapacityAge25*'01_Вводные'!$B$218*BJ204,MeanMinAge25)))</f>
        <v/>
      </c>
      <c r="BK133" s="190">
        <f>IF(OR(BK105=0,25&lt;='01_Вводные'!$B$297),0,BK105*IF('01_Вводные'!$B$239="Да",MeanMinAge25+BK204*SUMIF(ThresholdAge25,"&lt;"&amp;BK204,WeightedRevAge25)-SUMIF(ThresholdAge25,"&lt;"&amp;BK204,WeightedMinAge25),MAX(CapacityAge25*'01_Вводные'!$B$218*BK204,MeanMinAge25)))</f>
        <v/>
      </c>
      <c r="BL133" s="190">
        <f>IF(OR(BL105=0,25&lt;='01_Вводные'!$B$297),0,BL105*IF('01_Вводные'!$B$239="Да",MeanMinAge25+BL204*SUMIF(ThresholdAge25,"&lt;"&amp;BL204,WeightedRevAge25)-SUMIF(ThresholdAge25,"&lt;"&amp;BL204,WeightedMinAge25),MAX(CapacityAge25*'01_Вводные'!$B$218*BL204,MeanMinAge25)))</f>
        <v/>
      </c>
      <c r="BM133" s="190">
        <f>IF(OR(BM105=0,25&lt;='01_Вводные'!$B$297),0,BM105*IF('01_Вводные'!$B$239="Да",MeanMinAge25+BM204*SUMIF(ThresholdAge25,"&lt;"&amp;BM204,WeightedRevAge25)-SUMIF(ThresholdAge25,"&lt;"&amp;BM204,WeightedMinAge25),MAX(CapacityAge25*'01_Вводные'!$B$218*BM204,MeanMinAge25)))</f>
        <v/>
      </c>
      <c r="BN133" s="190">
        <f>IF(OR(BN105=0,25&lt;='01_Вводные'!$B$297),0,BN105*IF('01_Вводные'!$B$239="Да",MeanMinAge25+BN204*SUMIF(ThresholdAge25,"&lt;"&amp;BN204,WeightedRevAge25)-SUMIF(ThresholdAge25,"&lt;"&amp;BN204,WeightedMinAge25),MAX(CapacityAge25*'01_Вводные'!$B$218*BN204,MeanMinAge25)))</f>
        <v/>
      </c>
      <c r="BO133" s="190">
        <f>IF(OR(BO105=0,25&lt;='01_Вводные'!$B$297),0,BO105*IF('01_Вводные'!$B$239="Да",MeanMinAge25+BO204*SUMIF(ThresholdAge25,"&lt;"&amp;BO204,WeightedRevAge25)-SUMIF(ThresholdAge25,"&lt;"&amp;BO204,WeightedMinAge25),MAX(CapacityAge25*'01_Вводные'!$B$218*BO204,MeanMinAge25)))</f>
        <v/>
      </c>
    </row>
    <row r="134" hidden="1" outlineLevel="1">
      <c r="B134" s="96" t="n"/>
      <c r="C134" s="96" t="n"/>
      <c r="D134" s="96" t="n"/>
      <c r="E134" s="96" t="n"/>
      <c r="F134" s="96" t="n"/>
      <c r="G134" s="96" t="n"/>
      <c r="H134" s="96" t="n"/>
      <c r="I134" s="96" t="n"/>
      <c r="J134" s="96" t="n"/>
      <c r="K134" s="96" t="n"/>
      <c r="L134" s="96" t="n"/>
      <c r="M134" s="96" t="n"/>
      <c r="N134" s="96" t="n"/>
      <c r="O134" s="96" t="n"/>
      <c r="P134" s="96" t="n"/>
      <c r="Q134" s="96" t="n"/>
      <c r="R134" s="96" t="n"/>
      <c r="S134" s="96" t="n"/>
      <c r="T134" s="96" t="n"/>
      <c r="U134" s="96" t="n"/>
      <c r="V134" s="96" t="n"/>
      <c r="W134" s="96" t="n"/>
      <c r="X134" s="96" t="n"/>
      <c r="Y134" s="96" t="n"/>
      <c r="Z134" s="96" t="n"/>
      <c r="AA134" s="96" t="n"/>
      <c r="AB134" s="96" t="n"/>
      <c r="AC134" s="96" t="n"/>
      <c r="AD134" s="96" t="n"/>
      <c r="AE134" s="96" t="n"/>
      <c r="AF134" s="96" t="n"/>
      <c r="AG134" s="96" t="n"/>
      <c r="AH134" s="96" t="n"/>
      <c r="AI134" s="96" t="n"/>
      <c r="AJ134" s="96" t="n"/>
      <c r="AK134" s="96" t="n"/>
      <c r="AL134" s="96" t="n"/>
      <c r="AM134" s="96" t="n"/>
      <c r="AN134" s="96" t="n"/>
      <c r="AO134" s="96" t="n"/>
      <c r="AP134" s="96" t="n"/>
      <c r="AQ134" s="96" t="n"/>
      <c r="AR134" s="96" t="n"/>
      <c r="AS134" s="96" t="n"/>
      <c r="AT134" s="96" t="n"/>
      <c r="AU134" s="96" t="n"/>
      <c r="AV134" s="96" t="n"/>
      <c r="AW134" s="96" t="n"/>
      <c r="AX134" s="96" t="n"/>
      <c r="AY134" s="96" t="n"/>
      <c r="AZ134" s="96" t="n"/>
      <c r="BA134" s="96" t="n"/>
      <c r="BB134" s="96" t="n"/>
      <c r="BC134" s="96" t="n"/>
      <c r="BD134" s="96" t="n"/>
      <c r="BE134" s="96" t="n"/>
      <c r="BF134" s="96" t="n"/>
      <c r="BG134" s="96" t="n"/>
      <c r="BH134" s="96" t="n"/>
      <c r="BI134" s="96" t="n"/>
      <c r="BJ134" s="96" t="n"/>
      <c r="BK134" s="96" t="n"/>
      <c r="BL134" s="96" t="n"/>
      <c r="BM134" s="96" t="n"/>
      <c r="BN134" s="96" t="n"/>
      <c r="BO134" s="96" t="n"/>
    </row>
    <row r="135" hidden="1" outlineLevel="1">
      <c r="B135" s="127" t="n"/>
      <c r="C135" s="127" t="n"/>
      <c r="D135" s="127" t="n"/>
      <c r="E135" s="127" t="n"/>
      <c r="F135" s="127" t="n"/>
      <c r="G135" s="127" t="n"/>
      <c r="H135" s="127" t="n"/>
      <c r="I135" s="127" t="n"/>
      <c r="J135" s="127" t="n"/>
      <c r="K135" s="127" t="n"/>
      <c r="L135" s="127" t="n"/>
      <c r="M135" s="127" t="n"/>
      <c r="N135" s="127" t="n"/>
      <c r="O135" s="127" t="n"/>
      <c r="P135" s="127" t="n"/>
      <c r="Q135" s="127" t="n"/>
      <c r="R135" s="127" t="n"/>
      <c r="S135" s="127" t="n"/>
      <c r="T135" s="127" t="n"/>
      <c r="U135" s="127" t="n"/>
      <c r="V135" s="127" t="n"/>
      <c r="W135" s="127" t="n"/>
      <c r="X135" s="127" t="n"/>
      <c r="Y135" s="127" t="n"/>
      <c r="Z135" s="127" t="n"/>
      <c r="AA135" s="127" t="n"/>
      <c r="AB135" s="127" t="n"/>
      <c r="AC135" s="127" t="n"/>
      <c r="AD135" s="127" t="n"/>
      <c r="AE135" s="127" t="n"/>
      <c r="AF135" s="127" t="n"/>
      <c r="AG135" s="127" t="n"/>
      <c r="AH135" s="127" t="n"/>
      <c r="AI135" s="127" t="n"/>
      <c r="AJ135" s="127" t="n"/>
      <c r="AK135" s="127" t="n"/>
      <c r="AL135" s="127" t="n"/>
      <c r="AM135" s="127" t="n"/>
      <c r="AN135" s="127" t="n"/>
      <c r="AO135" s="127" t="n"/>
      <c r="AP135" s="127" t="n"/>
      <c r="AQ135" s="127" t="n"/>
      <c r="AR135" s="127" t="n"/>
      <c r="AS135" s="127" t="n"/>
      <c r="AT135" s="127" t="n"/>
      <c r="AU135" s="127" t="n"/>
      <c r="AV135" s="127" t="n"/>
      <c r="AW135" s="127" t="n"/>
      <c r="AX135" s="127" t="n"/>
      <c r="AY135" s="127" t="n"/>
      <c r="AZ135" s="127" t="n"/>
      <c r="BA135" s="127" t="n"/>
      <c r="BB135" s="127" t="n"/>
      <c r="BC135" s="127" t="n"/>
      <c r="BD135" s="127" t="n"/>
      <c r="BE135" s="127" t="n"/>
      <c r="BF135" s="127" t="n"/>
      <c r="BG135" s="127" t="n"/>
      <c r="BH135" s="127" t="n"/>
      <c r="BI135" s="127" t="n"/>
      <c r="BJ135" s="127" t="n"/>
      <c r="BK135" s="127" t="n"/>
      <c r="BL135" s="127" t="n"/>
      <c r="BM135" s="127" t="n"/>
      <c r="BN135" s="127" t="n"/>
      <c r="BO135" s="127" t="n"/>
    </row>
    <row r="136" hidden="1" outlineLevel="1" ht="28" customHeight="1">
      <c r="A136" s="181" t="inlineStr">
        <is>
          <t>Роялти: новая ставка, по возрасту</t>
        </is>
      </c>
      <c r="I136" s="96" t="n"/>
      <c r="J136" s="96" t="n"/>
      <c r="K136" s="96" t="n"/>
      <c r="L136" s="96" t="n"/>
      <c r="M136" s="96" t="n"/>
      <c r="N136" s="96" t="n"/>
      <c r="O136" s="96" t="n"/>
      <c r="P136" s="96" t="n"/>
      <c r="Q136" s="96" t="n"/>
      <c r="R136" s="96" t="n"/>
      <c r="S136" s="96" t="n"/>
      <c r="T136" s="96" t="n"/>
      <c r="U136" s="96" t="n"/>
      <c r="V136" s="96" t="n"/>
      <c r="W136" s="96" t="n"/>
      <c r="X136" s="96" t="n"/>
      <c r="Y136" s="96" t="n"/>
      <c r="Z136" s="96" t="n"/>
      <c r="AA136" s="96" t="n"/>
      <c r="AB136" s="96" t="n"/>
      <c r="AC136" s="96" t="n"/>
      <c r="AD136" s="96" t="n"/>
      <c r="AE136" s="96" t="n"/>
      <c r="AF136" s="96" t="n"/>
      <c r="AG136" s="96" t="n"/>
      <c r="AH136" s="96" t="n"/>
      <c r="AI136" s="96" t="n"/>
      <c r="AJ136" s="96" t="n"/>
      <c r="AK136" s="96" t="n"/>
      <c r="AL136" s="96" t="n"/>
      <c r="AM136" s="96" t="n"/>
      <c r="AN136" s="96" t="n"/>
      <c r="AO136" s="96" t="n"/>
      <c r="AP136" s="96" t="n"/>
      <c r="AQ136" s="96" t="n"/>
      <c r="AR136" s="96" t="n"/>
      <c r="AS136" s="96" t="n"/>
      <c r="AT136" s="96" t="n"/>
      <c r="AU136" s="96" t="n"/>
      <c r="AV136" s="96" t="n"/>
      <c r="AW136" s="96" t="n"/>
      <c r="AX136" s="96" t="n"/>
      <c r="AY136" s="96" t="n"/>
      <c r="AZ136" s="96" t="n"/>
      <c r="BA136" s="96" t="n"/>
      <c r="BB136" s="96" t="n"/>
      <c r="BC136" s="96" t="n"/>
      <c r="BD136" s="96" t="n"/>
      <c r="BE136" s="96" t="n"/>
      <c r="BF136" s="96" t="n"/>
      <c r="BG136" s="96" t="n"/>
      <c r="BH136" s="96" t="n"/>
      <c r="BI136" s="96" t="n"/>
      <c r="BJ136" s="96" t="n"/>
      <c r="BK136" s="96" t="n"/>
      <c r="BL136" s="96" t="n"/>
      <c r="BM136" s="96" t="n"/>
      <c r="BN136" s="96" t="n"/>
      <c r="BO136" s="96" t="n"/>
    </row>
    <row r="137" hidden="1" outlineLevel="1">
      <c r="A137" t="inlineStr">
        <is>
          <t>1 мес.</t>
        </is>
      </c>
      <c r="B137" s="190">
        <f>IF(OR((B53-B81)=0,1&lt;='01_Вводные'!$B$297),0,(B53-B81)*IF('01_Вводные'!$B$239="Да",MeanMinAge01+B205*SUMIF(ThresholdAge01,"&lt;"&amp;B205,WeightedRevAge01)-SUMIF(ThresholdAge01,"&lt;"&amp;B205,WeightedMinAge01),MAX(CapacityAge01*'01_Вводные'!$B$218*B205,MeanMinAge01)))</f>
        <v/>
      </c>
      <c r="C137" s="190">
        <f>IF(OR((C53-C81)=0,1&lt;='01_Вводные'!$B$297),0,(C53-C81)*IF('01_Вводные'!$B$239="Да",MeanMinAge01+C205*SUMIF(ThresholdAge01,"&lt;"&amp;C205,WeightedRevAge01)-SUMIF(ThresholdAge01,"&lt;"&amp;C205,WeightedMinAge01),MAX(CapacityAge01*'01_Вводные'!$B$218*C205,MeanMinAge01)))</f>
        <v/>
      </c>
      <c r="D137" s="190">
        <f>IF(OR((D53-D81)=0,1&lt;='01_Вводные'!$B$297),0,(D53-D81)*IF('01_Вводные'!$B$239="Да",MeanMinAge01+D205*SUMIF(ThresholdAge01,"&lt;"&amp;D205,WeightedRevAge01)-SUMIF(ThresholdAge01,"&lt;"&amp;D205,WeightedMinAge01),MAX(CapacityAge01*'01_Вводные'!$B$218*D205,MeanMinAge01)))</f>
        <v/>
      </c>
      <c r="E137" s="190">
        <f>IF(OR((E53-E81)=0,1&lt;='01_Вводные'!$B$297),0,(E53-E81)*IF('01_Вводные'!$B$239="Да",MeanMinAge01+E205*SUMIF(ThresholdAge01,"&lt;"&amp;E205,WeightedRevAge01)-SUMIF(ThresholdAge01,"&lt;"&amp;E205,WeightedMinAge01),MAX(CapacityAge01*'01_Вводные'!$B$218*E205,MeanMinAge01)))</f>
        <v/>
      </c>
      <c r="F137" s="190">
        <f>IF(OR((F53-F81)=0,1&lt;='01_Вводные'!$B$297),0,(F53-F81)*IF('01_Вводные'!$B$239="Да",MeanMinAge01+F205*SUMIF(ThresholdAge01,"&lt;"&amp;F205,WeightedRevAge01)-SUMIF(ThresholdAge01,"&lt;"&amp;F205,WeightedMinAge01),MAX(CapacityAge01*'01_Вводные'!$B$218*F205,MeanMinAge01)))</f>
        <v/>
      </c>
      <c r="G137" s="190">
        <f>IF(OR((G53-G81)=0,1&lt;='01_Вводные'!$B$297),0,(G53-G81)*IF('01_Вводные'!$B$239="Да",MeanMinAge01+G205*SUMIF(ThresholdAge01,"&lt;"&amp;G205,WeightedRevAge01)-SUMIF(ThresholdAge01,"&lt;"&amp;G205,WeightedMinAge01),MAX(CapacityAge01*'01_Вводные'!$B$218*G205,MeanMinAge01)))</f>
        <v/>
      </c>
      <c r="H137" s="190">
        <f>IF(OR((H53-H81)=0,1&lt;='01_Вводные'!$B$297),0,(H53-H81)*IF('01_Вводные'!$B$239="Да",MeanMinAge01+H205*SUMIF(ThresholdAge01,"&lt;"&amp;H205,WeightedRevAge01)-SUMIF(ThresholdAge01,"&lt;"&amp;H205,WeightedMinAge01),MAX(CapacityAge01*'01_Вводные'!$B$218*H205,MeanMinAge01)))</f>
        <v/>
      </c>
      <c r="I137" s="190">
        <f>IF(OR((I53-I81)=0,1&lt;='01_Вводные'!$B$297),0,(I53-I81)*IF('01_Вводные'!$B$239="Да",MeanMinAge01+I205*SUMIF(ThresholdAge01,"&lt;"&amp;I205,WeightedRevAge01)-SUMIF(ThresholdAge01,"&lt;"&amp;I205,WeightedMinAge01),MAX(CapacityAge01*'01_Вводные'!$B$218*I205,MeanMinAge01)))</f>
        <v/>
      </c>
      <c r="J137" s="190">
        <f>IF(OR((J53-J81)=0,1&lt;='01_Вводные'!$B$297),0,(J53-J81)*IF('01_Вводные'!$B$239="Да",MeanMinAge01+J205*SUMIF(ThresholdAge01,"&lt;"&amp;J205,WeightedRevAge01)-SUMIF(ThresholdAge01,"&lt;"&amp;J205,WeightedMinAge01),MAX(CapacityAge01*'01_Вводные'!$B$218*J205,MeanMinAge01)))</f>
        <v/>
      </c>
      <c r="K137" s="190">
        <f>IF(OR((K53-K81)=0,1&lt;='01_Вводные'!$B$297),0,(K53-K81)*IF('01_Вводные'!$B$239="Да",MeanMinAge01+K205*SUMIF(ThresholdAge01,"&lt;"&amp;K205,WeightedRevAge01)-SUMIF(ThresholdAge01,"&lt;"&amp;K205,WeightedMinAge01),MAX(CapacityAge01*'01_Вводные'!$B$218*K205,MeanMinAge01)))</f>
        <v/>
      </c>
      <c r="L137" s="190">
        <f>IF(OR((L53-L81)=0,1&lt;='01_Вводные'!$B$297),0,(L53-L81)*IF('01_Вводные'!$B$239="Да",MeanMinAge01+L205*SUMIF(ThresholdAge01,"&lt;"&amp;L205,WeightedRevAge01)-SUMIF(ThresholdAge01,"&lt;"&amp;L205,WeightedMinAge01),MAX(CapacityAge01*'01_Вводные'!$B$218*L205,MeanMinAge01)))</f>
        <v/>
      </c>
      <c r="M137" s="190">
        <f>IF(OR((M53-M81)=0,1&lt;='01_Вводные'!$B$297),0,(M53-M81)*IF('01_Вводные'!$B$239="Да",MeanMinAge01+M205*SUMIF(ThresholdAge01,"&lt;"&amp;M205,WeightedRevAge01)-SUMIF(ThresholdAge01,"&lt;"&amp;M205,WeightedMinAge01),MAX(CapacityAge01*'01_Вводные'!$B$218*M205,MeanMinAge01)))</f>
        <v/>
      </c>
      <c r="N137" s="190">
        <f>IF(OR((N53-N81)=0,1&lt;='01_Вводные'!$B$297),0,(N53-N81)*IF('01_Вводные'!$B$239="Да",MeanMinAge01+N205*SUMIF(ThresholdAge01,"&lt;"&amp;N205,WeightedRevAge01)-SUMIF(ThresholdAge01,"&lt;"&amp;N205,WeightedMinAge01),MAX(CapacityAge01*'01_Вводные'!$B$218*N205,MeanMinAge01)))</f>
        <v/>
      </c>
      <c r="O137" s="190">
        <f>IF(OR((O53-O81)=0,1&lt;='01_Вводные'!$B$297),0,(O53-O81)*IF('01_Вводные'!$B$239="Да",MeanMinAge01+O205*SUMIF(ThresholdAge01,"&lt;"&amp;O205,WeightedRevAge01)-SUMIF(ThresholdAge01,"&lt;"&amp;O205,WeightedMinAge01),MAX(CapacityAge01*'01_Вводные'!$B$218*O205,MeanMinAge01)))</f>
        <v/>
      </c>
      <c r="P137" s="190">
        <f>IF(OR((P53-P81)=0,1&lt;='01_Вводные'!$B$297),0,(P53-P81)*IF('01_Вводные'!$B$239="Да",MeanMinAge01+P205*SUMIF(ThresholdAge01,"&lt;"&amp;P205,WeightedRevAge01)-SUMIF(ThresholdAge01,"&lt;"&amp;P205,WeightedMinAge01),MAX(CapacityAge01*'01_Вводные'!$B$218*P205,MeanMinAge01)))</f>
        <v/>
      </c>
      <c r="Q137" s="190">
        <f>IF(OR((Q53-Q81)=0,1&lt;='01_Вводные'!$B$297),0,(Q53-Q81)*IF('01_Вводные'!$B$239="Да",MeanMinAge01+Q205*SUMIF(ThresholdAge01,"&lt;"&amp;Q205,WeightedRevAge01)-SUMIF(ThresholdAge01,"&lt;"&amp;Q205,WeightedMinAge01),MAX(CapacityAge01*'01_Вводные'!$B$218*Q205,MeanMinAge01)))</f>
        <v/>
      </c>
      <c r="R137" s="190">
        <f>IF(OR((R53-R81)=0,1&lt;='01_Вводные'!$B$297),0,(R53-R81)*IF('01_Вводные'!$B$239="Да",MeanMinAge01+R205*SUMIF(ThresholdAge01,"&lt;"&amp;R205,WeightedRevAge01)-SUMIF(ThresholdAge01,"&lt;"&amp;R205,WeightedMinAge01),MAX(CapacityAge01*'01_Вводные'!$B$218*R205,MeanMinAge01)))</f>
        <v/>
      </c>
      <c r="S137" s="190">
        <f>IF(OR((S53-S81)=0,1&lt;='01_Вводные'!$B$297),0,(S53-S81)*IF('01_Вводные'!$B$239="Да",MeanMinAge01+S205*SUMIF(ThresholdAge01,"&lt;"&amp;S205,WeightedRevAge01)-SUMIF(ThresholdAge01,"&lt;"&amp;S205,WeightedMinAge01),MAX(CapacityAge01*'01_Вводные'!$B$218*S205,MeanMinAge01)))</f>
        <v/>
      </c>
      <c r="T137" s="190">
        <f>IF(OR((T53-T81)=0,1&lt;='01_Вводные'!$B$297),0,(T53-T81)*IF('01_Вводные'!$B$239="Да",MeanMinAge01+T205*SUMIF(ThresholdAge01,"&lt;"&amp;T205,WeightedRevAge01)-SUMIF(ThresholdAge01,"&lt;"&amp;T205,WeightedMinAge01),MAX(CapacityAge01*'01_Вводные'!$B$218*T205,MeanMinAge01)))</f>
        <v/>
      </c>
      <c r="U137" s="190">
        <f>IF(OR((U53-U81)=0,1&lt;='01_Вводные'!$B$297),0,(U53-U81)*IF('01_Вводные'!$B$239="Да",MeanMinAge01+U205*SUMIF(ThresholdAge01,"&lt;"&amp;U205,WeightedRevAge01)-SUMIF(ThresholdAge01,"&lt;"&amp;U205,WeightedMinAge01),MAX(CapacityAge01*'01_Вводные'!$B$218*U205,MeanMinAge01)))</f>
        <v/>
      </c>
      <c r="V137" s="190">
        <f>IF(OR((V53-V81)=0,1&lt;='01_Вводные'!$B$297),0,(V53-V81)*IF('01_Вводные'!$B$239="Да",MeanMinAge01+V205*SUMIF(ThresholdAge01,"&lt;"&amp;V205,WeightedRevAge01)-SUMIF(ThresholdAge01,"&lt;"&amp;V205,WeightedMinAge01),MAX(CapacityAge01*'01_Вводные'!$B$218*V205,MeanMinAge01)))</f>
        <v/>
      </c>
      <c r="W137" s="190">
        <f>IF(OR((W53-W81)=0,1&lt;='01_Вводные'!$B$297),0,(W53-W81)*IF('01_Вводные'!$B$239="Да",MeanMinAge01+W205*SUMIF(ThresholdAge01,"&lt;"&amp;W205,WeightedRevAge01)-SUMIF(ThresholdAge01,"&lt;"&amp;W205,WeightedMinAge01),MAX(CapacityAge01*'01_Вводные'!$B$218*W205,MeanMinAge01)))</f>
        <v/>
      </c>
      <c r="X137" s="190">
        <f>IF(OR((X53-X81)=0,1&lt;='01_Вводные'!$B$297),0,(X53-X81)*IF('01_Вводные'!$B$239="Да",MeanMinAge01+X205*SUMIF(ThresholdAge01,"&lt;"&amp;X205,WeightedRevAge01)-SUMIF(ThresholdAge01,"&lt;"&amp;X205,WeightedMinAge01),MAX(CapacityAge01*'01_Вводные'!$B$218*X205,MeanMinAge01)))</f>
        <v/>
      </c>
      <c r="Y137" s="190">
        <f>IF(OR((Y53-Y81)=0,1&lt;='01_Вводные'!$B$297),0,(Y53-Y81)*IF('01_Вводные'!$B$239="Да",MeanMinAge01+Y205*SUMIF(ThresholdAge01,"&lt;"&amp;Y205,WeightedRevAge01)-SUMIF(ThresholdAge01,"&lt;"&amp;Y205,WeightedMinAge01),MAX(CapacityAge01*'01_Вводные'!$B$218*Y205,MeanMinAge01)))</f>
        <v/>
      </c>
      <c r="Z137" s="190">
        <f>IF(OR((Z53-Z81)=0,1&lt;='01_Вводные'!$B$297),0,(Z53-Z81)*IF('01_Вводные'!$B$239="Да",MeanMinAge01+Z205*SUMIF(ThresholdAge01,"&lt;"&amp;Z205,WeightedRevAge01)-SUMIF(ThresholdAge01,"&lt;"&amp;Z205,WeightedMinAge01),MAX(CapacityAge01*'01_Вводные'!$B$218*Z205,MeanMinAge01)))</f>
        <v/>
      </c>
      <c r="AA137" s="190">
        <f>IF(OR((AA53-AA81)=0,1&lt;='01_Вводные'!$B$297),0,(AA53-AA81)*IF('01_Вводные'!$B$239="Да",MeanMinAge01+AA205*SUMIF(ThresholdAge01,"&lt;"&amp;AA205,WeightedRevAge01)-SUMIF(ThresholdAge01,"&lt;"&amp;AA205,WeightedMinAge01),MAX(CapacityAge01*'01_Вводные'!$B$218*AA205,MeanMinAge01)))</f>
        <v/>
      </c>
      <c r="AB137" s="190">
        <f>IF(OR((AB53-AB81)=0,1&lt;='01_Вводные'!$B$297),0,(AB53-AB81)*IF('01_Вводные'!$B$239="Да",MeanMinAge01+AB205*SUMIF(ThresholdAge01,"&lt;"&amp;AB205,WeightedRevAge01)-SUMIF(ThresholdAge01,"&lt;"&amp;AB205,WeightedMinAge01),MAX(CapacityAge01*'01_Вводные'!$B$218*AB205,MeanMinAge01)))</f>
        <v/>
      </c>
      <c r="AC137" s="190">
        <f>IF(OR((AC53-AC81)=0,1&lt;='01_Вводные'!$B$297),0,(AC53-AC81)*IF('01_Вводные'!$B$239="Да",MeanMinAge01+AC205*SUMIF(ThresholdAge01,"&lt;"&amp;AC205,WeightedRevAge01)-SUMIF(ThresholdAge01,"&lt;"&amp;AC205,WeightedMinAge01),MAX(CapacityAge01*'01_Вводные'!$B$218*AC205,MeanMinAge01)))</f>
        <v/>
      </c>
      <c r="AD137" s="190">
        <f>IF(OR((AD53-AD81)=0,1&lt;='01_Вводные'!$B$297),0,(AD53-AD81)*IF('01_Вводные'!$B$239="Да",MeanMinAge01+AD205*SUMIF(ThresholdAge01,"&lt;"&amp;AD205,WeightedRevAge01)-SUMIF(ThresholdAge01,"&lt;"&amp;AD205,WeightedMinAge01),MAX(CapacityAge01*'01_Вводные'!$B$218*AD205,MeanMinAge01)))</f>
        <v/>
      </c>
      <c r="AE137" s="190">
        <f>IF(OR((AE53-AE81)=0,1&lt;='01_Вводные'!$B$297),0,(AE53-AE81)*IF('01_Вводные'!$B$239="Да",MeanMinAge01+AE205*SUMIF(ThresholdAge01,"&lt;"&amp;AE205,WeightedRevAge01)-SUMIF(ThresholdAge01,"&lt;"&amp;AE205,WeightedMinAge01),MAX(CapacityAge01*'01_Вводные'!$B$218*AE205,MeanMinAge01)))</f>
        <v/>
      </c>
      <c r="AF137" s="190">
        <f>IF(OR((AF53-AF81)=0,1&lt;='01_Вводные'!$B$297),0,(AF53-AF81)*IF('01_Вводные'!$B$239="Да",MeanMinAge01+AF205*SUMIF(ThresholdAge01,"&lt;"&amp;AF205,WeightedRevAge01)-SUMIF(ThresholdAge01,"&lt;"&amp;AF205,WeightedMinAge01),MAX(CapacityAge01*'01_Вводные'!$B$218*AF205,MeanMinAge01)))</f>
        <v/>
      </c>
      <c r="AG137" s="190">
        <f>IF(OR((AG53-AG81)=0,1&lt;='01_Вводные'!$B$297),0,(AG53-AG81)*IF('01_Вводные'!$B$239="Да",MeanMinAge01+AG205*SUMIF(ThresholdAge01,"&lt;"&amp;AG205,WeightedRevAge01)-SUMIF(ThresholdAge01,"&lt;"&amp;AG205,WeightedMinAge01),MAX(CapacityAge01*'01_Вводные'!$B$218*AG205,MeanMinAge01)))</f>
        <v/>
      </c>
      <c r="AH137" s="190">
        <f>IF(OR((AH53-AH81)=0,1&lt;='01_Вводные'!$B$297),0,(AH53-AH81)*IF('01_Вводные'!$B$239="Да",MeanMinAge01+AH205*SUMIF(ThresholdAge01,"&lt;"&amp;AH205,WeightedRevAge01)-SUMIF(ThresholdAge01,"&lt;"&amp;AH205,WeightedMinAge01),MAX(CapacityAge01*'01_Вводные'!$B$218*AH205,MeanMinAge01)))</f>
        <v/>
      </c>
      <c r="AI137" s="190">
        <f>IF(OR((AI53-AI81)=0,1&lt;='01_Вводные'!$B$297),0,(AI53-AI81)*IF('01_Вводные'!$B$239="Да",MeanMinAge01+AI205*SUMIF(ThresholdAge01,"&lt;"&amp;AI205,WeightedRevAge01)-SUMIF(ThresholdAge01,"&lt;"&amp;AI205,WeightedMinAge01),MAX(CapacityAge01*'01_Вводные'!$B$218*AI205,MeanMinAge01)))</f>
        <v/>
      </c>
      <c r="AJ137" s="190">
        <f>IF(OR((AJ53-AJ81)=0,1&lt;='01_Вводные'!$B$297),0,(AJ53-AJ81)*IF('01_Вводные'!$B$239="Да",MeanMinAge01+AJ205*SUMIF(ThresholdAge01,"&lt;"&amp;AJ205,WeightedRevAge01)-SUMIF(ThresholdAge01,"&lt;"&amp;AJ205,WeightedMinAge01),MAX(CapacityAge01*'01_Вводные'!$B$218*AJ205,MeanMinAge01)))</f>
        <v/>
      </c>
      <c r="AK137" s="190">
        <f>IF(OR((AK53-AK81)=0,1&lt;='01_Вводные'!$B$297),0,(AK53-AK81)*IF('01_Вводные'!$B$239="Да",MeanMinAge01+AK205*SUMIF(ThresholdAge01,"&lt;"&amp;AK205,WeightedRevAge01)-SUMIF(ThresholdAge01,"&lt;"&amp;AK205,WeightedMinAge01),MAX(CapacityAge01*'01_Вводные'!$B$218*AK205,MeanMinAge01)))</f>
        <v/>
      </c>
      <c r="AL137" s="190">
        <f>IF(OR((AL53-AL81)=0,1&lt;='01_Вводные'!$B$297),0,(AL53-AL81)*IF('01_Вводные'!$B$239="Да",MeanMinAge01+AL205*SUMIF(ThresholdAge01,"&lt;"&amp;AL205,WeightedRevAge01)-SUMIF(ThresholdAge01,"&lt;"&amp;AL205,WeightedMinAge01),MAX(CapacityAge01*'01_Вводные'!$B$218*AL205,MeanMinAge01)))</f>
        <v/>
      </c>
      <c r="AM137" s="190">
        <f>IF(OR((AM53-AM81)=0,1&lt;='01_Вводные'!$B$297),0,(AM53-AM81)*IF('01_Вводные'!$B$239="Да",MeanMinAge01+AM205*SUMIF(ThresholdAge01,"&lt;"&amp;AM205,WeightedRevAge01)-SUMIF(ThresholdAge01,"&lt;"&amp;AM205,WeightedMinAge01),MAX(CapacityAge01*'01_Вводные'!$B$218*AM205,MeanMinAge01)))</f>
        <v/>
      </c>
      <c r="AN137" s="190">
        <f>IF(OR((AN53-AN81)=0,1&lt;='01_Вводные'!$B$297),0,(AN53-AN81)*IF('01_Вводные'!$B$239="Да",MeanMinAge01+AN205*SUMIF(ThresholdAge01,"&lt;"&amp;AN205,WeightedRevAge01)-SUMIF(ThresholdAge01,"&lt;"&amp;AN205,WeightedMinAge01),MAX(CapacityAge01*'01_Вводные'!$B$218*AN205,MeanMinAge01)))</f>
        <v/>
      </c>
      <c r="AO137" s="190">
        <f>IF(OR((AO53-AO81)=0,1&lt;='01_Вводные'!$B$297),0,(AO53-AO81)*IF('01_Вводные'!$B$239="Да",MeanMinAge01+AO205*SUMIF(ThresholdAge01,"&lt;"&amp;AO205,WeightedRevAge01)-SUMIF(ThresholdAge01,"&lt;"&amp;AO205,WeightedMinAge01),MAX(CapacityAge01*'01_Вводные'!$B$218*AO205,MeanMinAge01)))</f>
        <v/>
      </c>
      <c r="AP137" s="190">
        <f>IF(OR((AP53-AP81)=0,1&lt;='01_Вводные'!$B$297),0,(AP53-AP81)*IF('01_Вводные'!$B$239="Да",MeanMinAge01+AP205*SUMIF(ThresholdAge01,"&lt;"&amp;AP205,WeightedRevAge01)-SUMIF(ThresholdAge01,"&lt;"&amp;AP205,WeightedMinAge01),MAX(CapacityAge01*'01_Вводные'!$B$218*AP205,MeanMinAge01)))</f>
        <v/>
      </c>
      <c r="AQ137" s="190">
        <f>IF(OR((AQ53-AQ81)=0,1&lt;='01_Вводные'!$B$297),0,(AQ53-AQ81)*IF('01_Вводные'!$B$239="Да",MeanMinAge01+AQ205*SUMIF(ThresholdAge01,"&lt;"&amp;AQ205,WeightedRevAge01)-SUMIF(ThresholdAge01,"&lt;"&amp;AQ205,WeightedMinAge01),MAX(CapacityAge01*'01_Вводные'!$B$218*AQ205,MeanMinAge01)))</f>
        <v/>
      </c>
      <c r="AR137" s="190">
        <f>IF(OR((AR53-AR81)=0,1&lt;='01_Вводные'!$B$297),0,(AR53-AR81)*IF('01_Вводные'!$B$239="Да",MeanMinAge01+AR205*SUMIF(ThresholdAge01,"&lt;"&amp;AR205,WeightedRevAge01)-SUMIF(ThresholdAge01,"&lt;"&amp;AR205,WeightedMinAge01),MAX(CapacityAge01*'01_Вводные'!$B$218*AR205,MeanMinAge01)))</f>
        <v/>
      </c>
      <c r="AS137" s="190">
        <f>IF(OR((AS53-AS81)=0,1&lt;='01_Вводные'!$B$297),0,(AS53-AS81)*IF('01_Вводные'!$B$239="Да",MeanMinAge01+AS205*SUMIF(ThresholdAge01,"&lt;"&amp;AS205,WeightedRevAge01)-SUMIF(ThresholdAge01,"&lt;"&amp;AS205,WeightedMinAge01),MAX(CapacityAge01*'01_Вводные'!$B$218*AS205,MeanMinAge01)))</f>
        <v/>
      </c>
      <c r="AT137" s="190">
        <f>IF(OR((AT53-AT81)=0,1&lt;='01_Вводные'!$B$297),0,(AT53-AT81)*IF('01_Вводные'!$B$239="Да",MeanMinAge01+AT205*SUMIF(ThresholdAge01,"&lt;"&amp;AT205,WeightedRevAge01)-SUMIF(ThresholdAge01,"&lt;"&amp;AT205,WeightedMinAge01),MAX(CapacityAge01*'01_Вводные'!$B$218*AT205,MeanMinAge01)))</f>
        <v/>
      </c>
      <c r="AU137" s="190">
        <f>IF(OR((AU53-AU81)=0,1&lt;='01_Вводные'!$B$297),0,(AU53-AU81)*IF('01_Вводные'!$B$239="Да",MeanMinAge01+AU205*SUMIF(ThresholdAge01,"&lt;"&amp;AU205,WeightedRevAge01)-SUMIF(ThresholdAge01,"&lt;"&amp;AU205,WeightedMinAge01),MAX(CapacityAge01*'01_Вводные'!$B$218*AU205,MeanMinAge01)))</f>
        <v/>
      </c>
      <c r="AV137" s="190">
        <f>IF(OR((AV53-AV81)=0,1&lt;='01_Вводные'!$B$297),0,(AV53-AV81)*IF('01_Вводные'!$B$239="Да",MeanMinAge01+AV205*SUMIF(ThresholdAge01,"&lt;"&amp;AV205,WeightedRevAge01)-SUMIF(ThresholdAge01,"&lt;"&amp;AV205,WeightedMinAge01),MAX(CapacityAge01*'01_Вводные'!$B$218*AV205,MeanMinAge01)))</f>
        <v/>
      </c>
      <c r="AW137" s="190">
        <f>IF(OR((AW53-AW81)=0,1&lt;='01_Вводные'!$B$297),0,(AW53-AW81)*IF('01_Вводные'!$B$239="Да",MeanMinAge01+AW205*SUMIF(ThresholdAge01,"&lt;"&amp;AW205,WeightedRevAge01)-SUMIF(ThresholdAge01,"&lt;"&amp;AW205,WeightedMinAge01),MAX(CapacityAge01*'01_Вводные'!$B$218*AW205,MeanMinAge01)))</f>
        <v/>
      </c>
      <c r="AX137" s="190">
        <f>IF(OR((AX53-AX81)=0,1&lt;='01_Вводные'!$B$297),0,(AX53-AX81)*IF('01_Вводные'!$B$239="Да",MeanMinAge01+AX205*SUMIF(ThresholdAge01,"&lt;"&amp;AX205,WeightedRevAge01)-SUMIF(ThresholdAge01,"&lt;"&amp;AX205,WeightedMinAge01),MAX(CapacityAge01*'01_Вводные'!$B$218*AX205,MeanMinAge01)))</f>
        <v/>
      </c>
      <c r="AY137" s="190">
        <f>IF(OR((AY53-AY81)=0,1&lt;='01_Вводные'!$B$297),0,(AY53-AY81)*IF('01_Вводные'!$B$239="Да",MeanMinAge01+AY205*SUMIF(ThresholdAge01,"&lt;"&amp;AY205,WeightedRevAge01)-SUMIF(ThresholdAge01,"&lt;"&amp;AY205,WeightedMinAge01),MAX(CapacityAge01*'01_Вводные'!$B$218*AY205,MeanMinAge01)))</f>
        <v/>
      </c>
      <c r="AZ137" s="190">
        <f>IF(OR((AZ53-AZ81)=0,1&lt;='01_Вводные'!$B$297),0,(AZ53-AZ81)*IF('01_Вводные'!$B$239="Да",MeanMinAge01+AZ205*SUMIF(ThresholdAge01,"&lt;"&amp;AZ205,WeightedRevAge01)-SUMIF(ThresholdAge01,"&lt;"&amp;AZ205,WeightedMinAge01),MAX(CapacityAge01*'01_Вводные'!$B$218*AZ205,MeanMinAge01)))</f>
        <v/>
      </c>
      <c r="BA137" s="190">
        <f>IF(OR((BA53-BA81)=0,1&lt;='01_Вводные'!$B$297),0,(BA53-BA81)*IF('01_Вводные'!$B$239="Да",MeanMinAge01+BA205*SUMIF(ThresholdAge01,"&lt;"&amp;BA205,WeightedRevAge01)-SUMIF(ThresholdAge01,"&lt;"&amp;BA205,WeightedMinAge01),MAX(CapacityAge01*'01_Вводные'!$B$218*BA205,MeanMinAge01)))</f>
        <v/>
      </c>
      <c r="BB137" s="190">
        <f>IF(OR((BB53-BB81)=0,1&lt;='01_Вводные'!$B$297),0,(BB53-BB81)*IF('01_Вводные'!$B$239="Да",MeanMinAge01+BB205*SUMIF(ThresholdAge01,"&lt;"&amp;BB205,WeightedRevAge01)-SUMIF(ThresholdAge01,"&lt;"&amp;BB205,WeightedMinAge01),MAX(CapacityAge01*'01_Вводные'!$B$218*BB205,MeanMinAge01)))</f>
        <v/>
      </c>
      <c r="BC137" s="190">
        <f>IF(OR((BC53-BC81)=0,1&lt;='01_Вводные'!$B$297),0,(BC53-BC81)*IF('01_Вводные'!$B$239="Да",MeanMinAge01+BC205*SUMIF(ThresholdAge01,"&lt;"&amp;BC205,WeightedRevAge01)-SUMIF(ThresholdAge01,"&lt;"&amp;BC205,WeightedMinAge01),MAX(CapacityAge01*'01_Вводные'!$B$218*BC205,MeanMinAge01)))</f>
        <v/>
      </c>
      <c r="BD137" s="190">
        <f>IF(OR((BD53-BD81)=0,1&lt;='01_Вводные'!$B$297),0,(BD53-BD81)*IF('01_Вводные'!$B$239="Да",MeanMinAge01+BD205*SUMIF(ThresholdAge01,"&lt;"&amp;BD205,WeightedRevAge01)-SUMIF(ThresholdAge01,"&lt;"&amp;BD205,WeightedMinAge01),MAX(CapacityAge01*'01_Вводные'!$B$218*BD205,MeanMinAge01)))</f>
        <v/>
      </c>
      <c r="BE137" s="190">
        <f>IF(OR((BE53-BE81)=0,1&lt;='01_Вводные'!$B$297),0,(BE53-BE81)*IF('01_Вводные'!$B$239="Да",MeanMinAge01+BE205*SUMIF(ThresholdAge01,"&lt;"&amp;BE205,WeightedRevAge01)-SUMIF(ThresholdAge01,"&lt;"&amp;BE205,WeightedMinAge01),MAX(CapacityAge01*'01_Вводные'!$B$218*BE205,MeanMinAge01)))</f>
        <v/>
      </c>
      <c r="BF137" s="190">
        <f>IF(OR((BF53-BF81)=0,1&lt;='01_Вводные'!$B$297),0,(BF53-BF81)*IF('01_Вводные'!$B$239="Да",MeanMinAge01+BF205*SUMIF(ThresholdAge01,"&lt;"&amp;BF205,WeightedRevAge01)-SUMIF(ThresholdAge01,"&lt;"&amp;BF205,WeightedMinAge01),MAX(CapacityAge01*'01_Вводные'!$B$218*BF205,MeanMinAge01)))</f>
        <v/>
      </c>
      <c r="BG137" s="190">
        <f>IF(OR((BG53-BG81)=0,1&lt;='01_Вводные'!$B$297),0,(BG53-BG81)*IF('01_Вводные'!$B$239="Да",MeanMinAge01+BG205*SUMIF(ThresholdAge01,"&lt;"&amp;BG205,WeightedRevAge01)-SUMIF(ThresholdAge01,"&lt;"&amp;BG205,WeightedMinAge01),MAX(CapacityAge01*'01_Вводные'!$B$218*BG205,MeanMinAge01)))</f>
        <v/>
      </c>
      <c r="BH137" s="190">
        <f>IF(OR((BH53-BH81)=0,1&lt;='01_Вводные'!$B$297),0,(BH53-BH81)*IF('01_Вводные'!$B$239="Да",MeanMinAge01+BH205*SUMIF(ThresholdAge01,"&lt;"&amp;BH205,WeightedRevAge01)-SUMIF(ThresholdAge01,"&lt;"&amp;BH205,WeightedMinAge01),MAX(CapacityAge01*'01_Вводные'!$B$218*BH205,MeanMinAge01)))</f>
        <v/>
      </c>
      <c r="BI137" s="190">
        <f>IF(OR((BI53-BI81)=0,1&lt;='01_Вводные'!$B$297),0,(BI53-BI81)*IF('01_Вводные'!$B$239="Да",MeanMinAge01+BI205*SUMIF(ThresholdAge01,"&lt;"&amp;BI205,WeightedRevAge01)-SUMIF(ThresholdAge01,"&lt;"&amp;BI205,WeightedMinAge01),MAX(CapacityAge01*'01_Вводные'!$B$218*BI205,MeanMinAge01)))</f>
        <v/>
      </c>
      <c r="BJ137" s="190">
        <f>IF(OR((BJ53-BJ81)=0,1&lt;='01_Вводные'!$B$297),0,(BJ53-BJ81)*IF('01_Вводные'!$B$239="Да",MeanMinAge01+BJ205*SUMIF(ThresholdAge01,"&lt;"&amp;BJ205,WeightedRevAge01)-SUMIF(ThresholdAge01,"&lt;"&amp;BJ205,WeightedMinAge01),MAX(CapacityAge01*'01_Вводные'!$B$218*BJ205,MeanMinAge01)))</f>
        <v/>
      </c>
      <c r="BK137" s="190">
        <f>IF(OR((BK53-BK81)=0,1&lt;='01_Вводные'!$B$297),0,(BK53-BK81)*IF('01_Вводные'!$B$239="Да",MeanMinAge01+BK205*SUMIF(ThresholdAge01,"&lt;"&amp;BK205,WeightedRevAge01)-SUMIF(ThresholdAge01,"&lt;"&amp;BK205,WeightedMinAge01),MAX(CapacityAge01*'01_Вводные'!$B$218*BK205,MeanMinAge01)))</f>
        <v/>
      </c>
      <c r="BL137" s="190">
        <f>IF(OR((BL53-BL81)=0,1&lt;='01_Вводные'!$B$297),0,(BL53-BL81)*IF('01_Вводные'!$B$239="Да",MeanMinAge01+BL205*SUMIF(ThresholdAge01,"&lt;"&amp;BL205,WeightedRevAge01)-SUMIF(ThresholdAge01,"&lt;"&amp;BL205,WeightedMinAge01),MAX(CapacityAge01*'01_Вводные'!$B$218*BL205,MeanMinAge01)))</f>
        <v/>
      </c>
      <c r="BM137" s="190">
        <f>IF(OR((BM53-BM81)=0,1&lt;='01_Вводные'!$B$297),0,(BM53-BM81)*IF('01_Вводные'!$B$239="Да",MeanMinAge01+BM205*SUMIF(ThresholdAge01,"&lt;"&amp;BM205,WeightedRevAge01)-SUMIF(ThresholdAge01,"&lt;"&amp;BM205,WeightedMinAge01),MAX(CapacityAge01*'01_Вводные'!$B$218*BM205,MeanMinAge01)))</f>
        <v/>
      </c>
      <c r="BN137" s="190">
        <f>IF(OR((BN53-BN81)=0,1&lt;='01_Вводные'!$B$297),0,(BN53-BN81)*IF('01_Вводные'!$B$239="Да",MeanMinAge01+BN205*SUMIF(ThresholdAge01,"&lt;"&amp;BN205,WeightedRevAge01)-SUMIF(ThresholdAge01,"&lt;"&amp;BN205,WeightedMinAge01),MAX(CapacityAge01*'01_Вводные'!$B$218*BN205,MeanMinAge01)))</f>
        <v/>
      </c>
      <c r="BO137" s="190">
        <f>IF(OR((BO53-BO81)=0,1&lt;='01_Вводные'!$B$297),0,(BO53-BO81)*IF('01_Вводные'!$B$239="Да",MeanMinAge01+BO205*SUMIF(ThresholdAge01,"&lt;"&amp;BO205,WeightedRevAge01)-SUMIF(ThresholdAge01,"&lt;"&amp;BO205,WeightedMinAge01),MAX(CapacityAge01*'01_Вводные'!$B$218*BO205,MeanMinAge01)))</f>
        <v/>
      </c>
    </row>
    <row r="138" hidden="1" outlineLevel="1">
      <c r="A138" t="inlineStr">
        <is>
          <t>2 мес.</t>
        </is>
      </c>
      <c r="B138" s="190">
        <f>IF(OR((B54-B82)=0,2&lt;='01_Вводные'!$B$297),0,(B54-B82)*IF('01_Вводные'!$B$239="Да",MeanMinAge02+B205*SUMIF(ThresholdAge02,"&lt;"&amp;B205,WeightedRevAge02)-SUMIF(ThresholdAge02,"&lt;"&amp;B205,WeightedMinAge02),MAX(CapacityAge02*'01_Вводные'!$B$218*B205,MeanMinAge02)))</f>
        <v/>
      </c>
      <c r="C138" s="190">
        <f>IF(OR((C54-C82)=0,2&lt;='01_Вводные'!$B$297),0,(C54-C82)*IF('01_Вводные'!$B$239="Да",MeanMinAge02+C205*SUMIF(ThresholdAge02,"&lt;"&amp;C205,WeightedRevAge02)-SUMIF(ThresholdAge02,"&lt;"&amp;C205,WeightedMinAge02),MAX(CapacityAge02*'01_Вводные'!$B$218*C205,MeanMinAge02)))</f>
        <v/>
      </c>
      <c r="D138" s="190">
        <f>IF(OR((D54-D82)=0,2&lt;='01_Вводные'!$B$297),0,(D54-D82)*IF('01_Вводные'!$B$239="Да",MeanMinAge02+D205*SUMIF(ThresholdAge02,"&lt;"&amp;D205,WeightedRevAge02)-SUMIF(ThresholdAge02,"&lt;"&amp;D205,WeightedMinAge02),MAX(CapacityAge02*'01_Вводные'!$B$218*D205,MeanMinAge02)))</f>
        <v/>
      </c>
      <c r="E138" s="190">
        <f>IF(OR((E54-E82)=0,2&lt;='01_Вводные'!$B$297),0,(E54-E82)*IF('01_Вводные'!$B$239="Да",MeanMinAge02+E205*SUMIF(ThresholdAge02,"&lt;"&amp;E205,WeightedRevAge02)-SUMIF(ThresholdAge02,"&lt;"&amp;E205,WeightedMinAge02),MAX(CapacityAge02*'01_Вводные'!$B$218*E205,MeanMinAge02)))</f>
        <v/>
      </c>
      <c r="F138" s="190">
        <f>IF(OR((F54-F82)=0,2&lt;='01_Вводные'!$B$297),0,(F54-F82)*IF('01_Вводные'!$B$239="Да",MeanMinAge02+F205*SUMIF(ThresholdAge02,"&lt;"&amp;F205,WeightedRevAge02)-SUMIF(ThresholdAge02,"&lt;"&amp;F205,WeightedMinAge02),MAX(CapacityAge02*'01_Вводные'!$B$218*F205,MeanMinAge02)))</f>
        <v/>
      </c>
      <c r="G138" s="190">
        <f>IF(OR((G54-G82)=0,2&lt;='01_Вводные'!$B$297),0,(G54-G82)*IF('01_Вводные'!$B$239="Да",MeanMinAge02+G205*SUMIF(ThresholdAge02,"&lt;"&amp;G205,WeightedRevAge02)-SUMIF(ThresholdAge02,"&lt;"&amp;G205,WeightedMinAge02),MAX(CapacityAge02*'01_Вводные'!$B$218*G205,MeanMinAge02)))</f>
        <v/>
      </c>
      <c r="H138" s="190">
        <f>IF(OR((H54-H82)=0,2&lt;='01_Вводные'!$B$297),0,(H54-H82)*IF('01_Вводные'!$B$239="Да",MeanMinAge02+H205*SUMIF(ThresholdAge02,"&lt;"&amp;H205,WeightedRevAge02)-SUMIF(ThresholdAge02,"&lt;"&amp;H205,WeightedMinAge02),MAX(CapacityAge02*'01_Вводные'!$B$218*H205,MeanMinAge02)))</f>
        <v/>
      </c>
      <c r="I138" s="190">
        <f>IF(OR((I54-I82)=0,2&lt;='01_Вводные'!$B$297),0,(I54-I82)*IF('01_Вводные'!$B$239="Да",MeanMinAge02+I205*SUMIF(ThresholdAge02,"&lt;"&amp;I205,WeightedRevAge02)-SUMIF(ThresholdAge02,"&lt;"&amp;I205,WeightedMinAge02),MAX(CapacityAge02*'01_Вводные'!$B$218*I205,MeanMinAge02)))</f>
        <v/>
      </c>
      <c r="J138" s="190">
        <f>IF(OR((J54-J82)=0,2&lt;='01_Вводные'!$B$297),0,(J54-J82)*IF('01_Вводные'!$B$239="Да",MeanMinAge02+J205*SUMIF(ThresholdAge02,"&lt;"&amp;J205,WeightedRevAge02)-SUMIF(ThresholdAge02,"&lt;"&amp;J205,WeightedMinAge02),MAX(CapacityAge02*'01_Вводные'!$B$218*J205,MeanMinAge02)))</f>
        <v/>
      </c>
      <c r="K138" s="190">
        <f>IF(OR((K54-K82)=0,2&lt;='01_Вводные'!$B$297),0,(K54-K82)*IF('01_Вводные'!$B$239="Да",MeanMinAge02+K205*SUMIF(ThresholdAge02,"&lt;"&amp;K205,WeightedRevAge02)-SUMIF(ThresholdAge02,"&lt;"&amp;K205,WeightedMinAge02),MAX(CapacityAge02*'01_Вводные'!$B$218*K205,MeanMinAge02)))</f>
        <v/>
      </c>
      <c r="L138" s="190">
        <f>IF(OR((L54-L82)=0,2&lt;='01_Вводные'!$B$297),0,(L54-L82)*IF('01_Вводные'!$B$239="Да",MeanMinAge02+L205*SUMIF(ThresholdAge02,"&lt;"&amp;L205,WeightedRevAge02)-SUMIF(ThresholdAge02,"&lt;"&amp;L205,WeightedMinAge02),MAX(CapacityAge02*'01_Вводные'!$B$218*L205,MeanMinAge02)))</f>
        <v/>
      </c>
      <c r="M138" s="190">
        <f>IF(OR((M54-M82)=0,2&lt;='01_Вводные'!$B$297),0,(M54-M82)*IF('01_Вводные'!$B$239="Да",MeanMinAge02+M205*SUMIF(ThresholdAge02,"&lt;"&amp;M205,WeightedRevAge02)-SUMIF(ThresholdAge02,"&lt;"&amp;M205,WeightedMinAge02),MAX(CapacityAge02*'01_Вводные'!$B$218*M205,MeanMinAge02)))</f>
        <v/>
      </c>
      <c r="N138" s="190">
        <f>IF(OR((N54-N82)=0,2&lt;='01_Вводные'!$B$297),0,(N54-N82)*IF('01_Вводные'!$B$239="Да",MeanMinAge02+N205*SUMIF(ThresholdAge02,"&lt;"&amp;N205,WeightedRevAge02)-SUMIF(ThresholdAge02,"&lt;"&amp;N205,WeightedMinAge02),MAX(CapacityAge02*'01_Вводные'!$B$218*N205,MeanMinAge02)))</f>
        <v/>
      </c>
      <c r="O138" s="190">
        <f>IF(OR((O54-O82)=0,2&lt;='01_Вводные'!$B$297),0,(O54-O82)*IF('01_Вводные'!$B$239="Да",MeanMinAge02+O205*SUMIF(ThresholdAge02,"&lt;"&amp;O205,WeightedRevAge02)-SUMIF(ThresholdAge02,"&lt;"&amp;O205,WeightedMinAge02),MAX(CapacityAge02*'01_Вводные'!$B$218*O205,MeanMinAge02)))</f>
        <v/>
      </c>
      <c r="P138" s="190">
        <f>IF(OR((P54-P82)=0,2&lt;='01_Вводные'!$B$297),0,(P54-P82)*IF('01_Вводные'!$B$239="Да",MeanMinAge02+P205*SUMIF(ThresholdAge02,"&lt;"&amp;P205,WeightedRevAge02)-SUMIF(ThresholdAge02,"&lt;"&amp;P205,WeightedMinAge02),MAX(CapacityAge02*'01_Вводные'!$B$218*P205,MeanMinAge02)))</f>
        <v/>
      </c>
      <c r="Q138" s="190">
        <f>IF(OR((Q54-Q82)=0,2&lt;='01_Вводные'!$B$297),0,(Q54-Q82)*IF('01_Вводные'!$B$239="Да",MeanMinAge02+Q205*SUMIF(ThresholdAge02,"&lt;"&amp;Q205,WeightedRevAge02)-SUMIF(ThresholdAge02,"&lt;"&amp;Q205,WeightedMinAge02),MAX(CapacityAge02*'01_Вводные'!$B$218*Q205,MeanMinAge02)))</f>
        <v/>
      </c>
      <c r="R138" s="190">
        <f>IF(OR((R54-R82)=0,2&lt;='01_Вводные'!$B$297),0,(R54-R82)*IF('01_Вводные'!$B$239="Да",MeanMinAge02+R205*SUMIF(ThresholdAge02,"&lt;"&amp;R205,WeightedRevAge02)-SUMIF(ThresholdAge02,"&lt;"&amp;R205,WeightedMinAge02),MAX(CapacityAge02*'01_Вводные'!$B$218*R205,MeanMinAge02)))</f>
        <v/>
      </c>
      <c r="S138" s="190">
        <f>IF(OR((S54-S82)=0,2&lt;='01_Вводные'!$B$297),0,(S54-S82)*IF('01_Вводные'!$B$239="Да",MeanMinAge02+S205*SUMIF(ThresholdAge02,"&lt;"&amp;S205,WeightedRevAge02)-SUMIF(ThresholdAge02,"&lt;"&amp;S205,WeightedMinAge02),MAX(CapacityAge02*'01_Вводные'!$B$218*S205,MeanMinAge02)))</f>
        <v/>
      </c>
      <c r="T138" s="190">
        <f>IF(OR((T54-T82)=0,2&lt;='01_Вводные'!$B$297),0,(T54-T82)*IF('01_Вводные'!$B$239="Да",MeanMinAge02+T205*SUMIF(ThresholdAge02,"&lt;"&amp;T205,WeightedRevAge02)-SUMIF(ThresholdAge02,"&lt;"&amp;T205,WeightedMinAge02),MAX(CapacityAge02*'01_Вводные'!$B$218*T205,MeanMinAge02)))</f>
        <v/>
      </c>
      <c r="U138" s="190">
        <f>IF(OR((U54-U82)=0,2&lt;='01_Вводные'!$B$297),0,(U54-U82)*IF('01_Вводные'!$B$239="Да",MeanMinAge02+U205*SUMIF(ThresholdAge02,"&lt;"&amp;U205,WeightedRevAge02)-SUMIF(ThresholdAge02,"&lt;"&amp;U205,WeightedMinAge02),MAX(CapacityAge02*'01_Вводные'!$B$218*U205,MeanMinAge02)))</f>
        <v/>
      </c>
      <c r="V138" s="190">
        <f>IF(OR((V54-V82)=0,2&lt;='01_Вводные'!$B$297),0,(V54-V82)*IF('01_Вводные'!$B$239="Да",MeanMinAge02+V205*SUMIF(ThresholdAge02,"&lt;"&amp;V205,WeightedRevAge02)-SUMIF(ThresholdAge02,"&lt;"&amp;V205,WeightedMinAge02),MAX(CapacityAge02*'01_Вводные'!$B$218*V205,MeanMinAge02)))</f>
        <v/>
      </c>
      <c r="W138" s="190">
        <f>IF(OR((W54-W82)=0,2&lt;='01_Вводные'!$B$297),0,(W54-W82)*IF('01_Вводные'!$B$239="Да",MeanMinAge02+W205*SUMIF(ThresholdAge02,"&lt;"&amp;W205,WeightedRevAge02)-SUMIF(ThresholdAge02,"&lt;"&amp;W205,WeightedMinAge02),MAX(CapacityAge02*'01_Вводные'!$B$218*W205,MeanMinAge02)))</f>
        <v/>
      </c>
      <c r="X138" s="190">
        <f>IF(OR((X54-X82)=0,2&lt;='01_Вводные'!$B$297),0,(X54-X82)*IF('01_Вводные'!$B$239="Да",MeanMinAge02+X205*SUMIF(ThresholdAge02,"&lt;"&amp;X205,WeightedRevAge02)-SUMIF(ThresholdAge02,"&lt;"&amp;X205,WeightedMinAge02),MAX(CapacityAge02*'01_Вводные'!$B$218*X205,MeanMinAge02)))</f>
        <v/>
      </c>
      <c r="Y138" s="190">
        <f>IF(OR((Y54-Y82)=0,2&lt;='01_Вводные'!$B$297),0,(Y54-Y82)*IF('01_Вводные'!$B$239="Да",MeanMinAge02+Y205*SUMIF(ThresholdAge02,"&lt;"&amp;Y205,WeightedRevAge02)-SUMIF(ThresholdAge02,"&lt;"&amp;Y205,WeightedMinAge02),MAX(CapacityAge02*'01_Вводные'!$B$218*Y205,MeanMinAge02)))</f>
        <v/>
      </c>
      <c r="Z138" s="190">
        <f>IF(OR((Z54-Z82)=0,2&lt;='01_Вводные'!$B$297),0,(Z54-Z82)*IF('01_Вводные'!$B$239="Да",MeanMinAge02+Z205*SUMIF(ThresholdAge02,"&lt;"&amp;Z205,WeightedRevAge02)-SUMIF(ThresholdAge02,"&lt;"&amp;Z205,WeightedMinAge02),MAX(CapacityAge02*'01_Вводные'!$B$218*Z205,MeanMinAge02)))</f>
        <v/>
      </c>
      <c r="AA138" s="190">
        <f>IF(OR((AA54-AA82)=0,2&lt;='01_Вводные'!$B$297),0,(AA54-AA82)*IF('01_Вводные'!$B$239="Да",MeanMinAge02+AA205*SUMIF(ThresholdAge02,"&lt;"&amp;AA205,WeightedRevAge02)-SUMIF(ThresholdAge02,"&lt;"&amp;AA205,WeightedMinAge02),MAX(CapacityAge02*'01_Вводные'!$B$218*AA205,MeanMinAge02)))</f>
        <v/>
      </c>
      <c r="AB138" s="190">
        <f>IF(OR((AB54-AB82)=0,2&lt;='01_Вводные'!$B$297),0,(AB54-AB82)*IF('01_Вводные'!$B$239="Да",MeanMinAge02+AB205*SUMIF(ThresholdAge02,"&lt;"&amp;AB205,WeightedRevAge02)-SUMIF(ThresholdAge02,"&lt;"&amp;AB205,WeightedMinAge02),MAX(CapacityAge02*'01_Вводные'!$B$218*AB205,MeanMinAge02)))</f>
        <v/>
      </c>
      <c r="AC138" s="190">
        <f>IF(OR((AC54-AC82)=0,2&lt;='01_Вводные'!$B$297),0,(AC54-AC82)*IF('01_Вводные'!$B$239="Да",MeanMinAge02+AC205*SUMIF(ThresholdAge02,"&lt;"&amp;AC205,WeightedRevAge02)-SUMIF(ThresholdAge02,"&lt;"&amp;AC205,WeightedMinAge02),MAX(CapacityAge02*'01_Вводные'!$B$218*AC205,MeanMinAge02)))</f>
        <v/>
      </c>
      <c r="AD138" s="190">
        <f>IF(OR((AD54-AD82)=0,2&lt;='01_Вводные'!$B$297),0,(AD54-AD82)*IF('01_Вводные'!$B$239="Да",MeanMinAge02+AD205*SUMIF(ThresholdAge02,"&lt;"&amp;AD205,WeightedRevAge02)-SUMIF(ThresholdAge02,"&lt;"&amp;AD205,WeightedMinAge02),MAX(CapacityAge02*'01_Вводные'!$B$218*AD205,MeanMinAge02)))</f>
        <v/>
      </c>
      <c r="AE138" s="190">
        <f>IF(OR((AE54-AE82)=0,2&lt;='01_Вводные'!$B$297),0,(AE54-AE82)*IF('01_Вводные'!$B$239="Да",MeanMinAge02+AE205*SUMIF(ThresholdAge02,"&lt;"&amp;AE205,WeightedRevAge02)-SUMIF(ThresholdAge02,"&lt;"&amp;AE205,WeightedMinAge02),MAX(CapacityAge02*'01_Вводные'!$B$218*AE205,MeanMinAge02)))</f>
        <v/>
      </c>
      <c r="AF138" s="190">
        <f>IF(OR((AF54-AF82)=0,2&lt;='01_Вводные'!$B$297),0,(AF54-AF82)*IF('01_Вводные'!$B$239="Да",MeanMinAge02+AF205*SUMIF(ThresholdAge02,"&lt;"&amp;AF205,WeightedRevAge02)-SUMIF(ThresholdAge02,"&lt;"&amp;AF205,WeightedMinAge02),MAX(CapacityAge02*'01_Вводные'!$B$218*AF205,MeanMinAge02)))</f>
        <v/>
      </c>
      <c r="AG138" s="190">
        <f>IF(OR((AG54-AG82)=0,2&lt;='01_Вводные'!$B$297),0,(AG54-AG82)*IF('01_Вводные'!$B$239="Да",MeanMinAge02+AG205*SUMIF(ThresholdAge02,"&lt;"&amp;AG205,WeightedRevAge02)-SUMIF(ThresholdAge02,"&lt;"&amp;AG205,WeightedMinAge02),MAX(CapacityAge02*'01_Вводные'!$B$218*AG205,MeanMinAge02)))</f>
        <v/>
      </c>
      <c r="AH138" s="190">
        <f>IF(OR((AH54-AH82)=0,2&lt;='01_Вводные'!$B$297),0,(AH54-AH82)*IF('01_Вводные'!$B$239="Да",MeanMinAge02+AH205*SUMIF(ThresholdAge02,"&lt;"&amp;AH205,WeightedRevAge02)-SUMIF(ThresholdAge02,"&lt;"&amp;AH205,WeightedMinAge02),MAX(CapacityAge02*'01_Вводные'!$B$218*AH205,MeanMinAge02)))</f>
        <v/>
      </c>
      <c r="AI138" s="190">
        <f>IF(OR((AI54-AI82)=0,2&lt;='01_Вводные'!$B$297),0,(AI54-AI82)*IF('01_Вводные'!$B$239="Да",MeanMinAge02+AI205*SUMIF(ThresholdAge02,"&lt;"&amp;AI205,WeightedRevAge02)-SUMIF(ThresholdAge02,"&lt;"&amp;AI205,WeightedMinAge02),MAX(CapacityAge02*'01_Вводные'!$B$218*AI205,MeanMinAge02)))</f>
        <v/>
      </c>
      <c r="AJ138" s="190">
        <f>IF(OR((AJ54-AJ82)=0,2&lt;='01_Вводные'!$B$297),0,(AJ54-AJ82)*IF('01_Вводные'!$B$239="Да",MeanMinAge02+AJ205*SUMIF(ThresholdAge02,"&lt;"&amp;AJ205,WeightedRevAge02)-SUMIF(ThresholdAge02,"&lt;"&amp;AJ205,WeightedMinAge02),MAX(CapacityAge02*'01_Вводные'!$B$218*AJ205,MeanMinAge02)))</f>
        <v/>
      </c>
      <c r="AK138" s="190">
        <f>IF(OR((AK54-AK82)=0,2&lt;='01_Вводные'!$B$297),0,(AK54-AK82)*IF('01_Вводные'!$B$239="Да",MeanMinAge02+AK205*SUMIF(ThresholdAge02,"&lt;"&amp;AK205,WeightedRevAge02)-SUMIF(ThresholdAge02,"&lt;"&amp;AK205,WeightedMinAge02),MAX(CapacityAge02*'01_Вводные'!$B$218*AK205,MeanMinAge02)))</f>
        <v/>
      </c>
      <c r="AL138" s="190">
        <f>IF(OR((AL54-AL82)=0,2&lt;='01_Вводные'!$B$297),0,(AL54-AL82)*IF('01_Вводные'!$B$239="Да",MeanMinAge02+AL205*SUMIF(ThresholdAge02,"&lt;"&amp;AL205,WeightedRevAge02)-SUMIF(ThresholdAge02,"&lt;"&amp;AL205,WeightedMinAge02),MAX(CapacityAge02*'01_Вводные'!$B$218*AL205,MeanMinAge02)))</f>
        <v/>
      </c>
      <c r="AM138" s="190">
        <f>IF(OR((AM54-AM82)=0,2&lt;='01_Вводные'!$B$297),0,(AM54-AM82)*IF('01_Вводные'!$B$239="Да",MeanMinAge02+AM205*SUMIF(ThresholdAge02,"&lt;"&amp;AM205,WeightedRevAge02)-SUMIF(ThresholdAge02,"&lt;"&amp;AM205,WeightedMinAge02),MAX(CapacityAge02*'01_Вводные'!$B$218*AM205,MeanMinAge02)))</f>
        <v/>
      </c>
      <c r="AN138" s="190">
        <f>IF(OR((AN54-AN82)=0,2&lt;='01_Вводные'!$B$297),0,(AN54-AN82)*IF('01_Вводные'!$B$239="Да",MeanMinAge02+AN205*SUMIF(ThresholdAge02,"&lt;"&amp;AN205,WeightedRevAge02)-SUMIF(ThresholdAge02,"&lt;"&amp;AN205,WeightedMinAge02),MAX(CapacityAge02*'01_Вводные'!$B$218*AN205,MeanMinAge02)))</f>
        <v/>
      </c>
      <c r="AO138" s="190">
        <f>IF(OR((AO54-AO82)=0,2&lt;='01_Вводные'!$B$297),0,(AO54-AO82)*IF('01_Вводные'!$B$239="Да",MeanMinAge02+AO205*SUMIF(ThresholdAge02,"&lt;"&amp;AO205,WeightedRevAge02)-SUMIF(ThresholdAge02,"&lt;"&amp;AO205,WeightedMinAge02),MAX(CapacityAge02*'01_Вводные'!$B$218*AO205,MeanMinAge02)))</f>
        <v/>
      </c>
      <c r="AP138" s="190">
        <f>IF(OR((AP54-AP82)=0,2&lt;='01_Вводные'!$B$297),0,(AP54-AP82)*IF('01_Вводные'!$B$239="Да",MeanMinAge02+AP205*SUMIF(ThresholdAge02,"&lt;"&amp;AP205,WeightedRevAge02)-SUMIF(ThresholdAge02,"&lt;"&amp;AP205,WeightedMinAge02),MAX(CapacityAge02*'01_Вводные'!$B$218*AP205,MeanMinAge02)))</f>
        <v/>
      </c>
      <c r="AQ138" s="190">
        <f>IF(OR((AQ54-AQ82)=0,2&lt;='01_Вводные'!$B$297),0,(AQ54-AQ82)*IF('01_Вводные'!$B$239="Да",MeanMinAge02+AQ205*SUMIF(ThresholdAge02,"&lt;"&amp;AQ205,WeightedRevAge02)-SUMIF(ThresholdAge02,"&lt;"&amp;AQ205,WeightedMinAge02),MAX(CapacityAge02*'01_Вводные'!$B$218*AQ205,MeanMinAge02)))</f>
        <v/>
      </c>
      <c r="AR138" s="190">
        <f>IF(OR((AR54-AR82)=0,2&lt;='01_Вводные'!$B$297),0,(AR54-AR82)*IF('01_Вводные'!$B$239="Да",MeanMinAge02+AR205*SUMIF(ThresholdAge02,"&lt;"&amp;AR205,WeightedRevAge02)-SUMIF(ThresholdAge02,"&lt;"&amp;AR205,WeightedMinAge02),MAX(CapacityAge02*'01_Вводные'!$B$218*AR205,MeanMinAge02)))</f>
        <v/>
      </c>
      <c r="AS138" s="190">
        <f>IF(OR((AS54-AS82)=0,2&lt;='01_Вводные'!$B$297),0,(AS54-AS82)*IF('01_Вводные'!$B$239="Да",MeanMinAge02+AS205*SUMIF(ThresholdAge02,"&lt;"&amp;AS205,WeightedRevAge02)-SUMIF(ThresholdAge02,"&lt;"&amp;AS205,WeightedMinAge02),MAX(CapacityAge02*'01_Вводные'!$B$218*AS205,MeanMinAge02)))</f>
        <v/>
      </c>
      <c r="AT138" s="190">
        <f>IF(OR((AT54-AT82)=0,2&lt;='01_Вводные'!$B$297),0,(AT54-AT82)*IF('01_Вводные'!$B$239="Да",MeanMinAge02+AT205*SUMIF(ThresholdAge02,"&lt;"&amp;AT205,WeightedRevAge02)-SUMIF(ThresholdAge02,"&lt;"&amp;AT205,WeightedMinAge02),MAX(CapacityAge02*'01_Вводные'!$B$218*AT205,MeanMinAge02)))</f>
        <v/>
      </c>
      <c r="AU138" s="190">
        <f>IF(OR((AU54-AU82)=0,2&lt;='01_Вводные'!$B$297),0,(AU54-AU82)*IF('01_Вводные'!$B$239="Да",MeanMinAge02+AU205*SUMIF(ThresholdAge02,"&lt;"&amp;AU205,WeightedRevAge02)-SUMIF(ThresholdAge02,"&lt;"&amp;AU205,WeightedMinAge02),MAX(CapacityAge02*'01_Вводные'!$B$218*AU205,MeanMinAge02)))</f>
        <v/>
      </c>
      <c r="AV138" s="190">
        <f>IF(OR((AV54-AV82)=0,2&lt;='01_Вводные'!$B$297),0,(AV54-AV82)*IF('01_Вводные'!$B$239="Да",MeanMinAge02+AV205*SUMIF(ThresholdAge02,"&lt;"&amp;AV205,WeightedRevAge02)-SUMIF(ThresholdAge02,"&lt;"&amp;AV205,WeightedMinAge02),MAX(CapacityAge02*'01_Вводные'!$B$218*AV205,MeanMinAge02)))</f>
        <v/>
      </c>
      <c r="AW138" s="190">
        <f>IF(OR((AW54-AW82)=0,2&lt;='01_Вводные'!$B$297),0,(AW54-AW82)*IF('01_Вводные'!$B$239="Да",MeanMinAge02+AW205*SUMIF(ThresholdAge02,"&lt;"&amp;AW205,WeightedRevAge02)-SUMIF(ThresholdAge02,"&lt;"&amp;AW205,WeightedMinAge02),MAX(CapacityAge02*'01_Вводные'!$B$218*AW205,MeanMinAge02)))</f>
        <v/>
      </c>
      <c r="AX138" s="190">
        <f>IF(OR((AX54-AX82)=0,2&lt;='01_Вводные'!$B$297),0,(AX54-AX82)*IF('01_Вводные'!$B$239="Да",MeanMinAge02+AX205*SUMIF(ThresholdAge02,"&lt;"&amp;AX205,WeightedRevAge02)-SUMIF(ThresholdAge02,"&lt;"&amp;AX205,WeightedMinAge02),MAX(CapacityAge02*'01_Вводные'!$B$218*AX205,MeanMinAge02)))</f>
        <v/>
      </c>
      <c r="AY138" s="190">
        <f>IF(OR((AY54-AY82)=0,2&lt;='01_Вводные'!$B$297),0,(AY54-AY82)*IF('01_Вводные'!$B$239="Да",MeanMinAge02+AY205*SUMIF(ThresholdAge02,"&lt;"&amp;AY205,WeightedRevAge02)-SUMIF(ThresholdAge02,"&lt;"&amp;AY205,WeightedMinAge02),MAX(CapacityAge02*'01_Вводные'!$B$218*AY205,MeanMinAge02)))</f>
        <v/>
      </c>
      <c r="AZ138" s="190">
        <f>IF(OR((AZ54-AZ82)=0,2&lt;='01_Вводные'!$B$297),0,(AZ54-AZ82)*IF('01_Вводные'!$B$239="Да",MeanMinAge02+AZ205*SUMIF(ThresholdAge02,"&lt;"&amp;AZ205,WeightedRevAge02)-SUMIF(ThresholdAge02,"&lt;"&amp;AZ205,WeightedMinAge02),MAX(CapacityAge02*'01_Вводные'!$B$218*AZ205,MeanMinAge02)))</f>
        <v/>
      </c>
      <c r="BA138" s="190">
        <f>IF(OR((BA54-BA82)=0,2&lt;='01_Вводные'!$B$297),0,(BA54-BA82)*IF('01_Вводные'!$B$239="Да",MeanMinAge02+BA205*SUMIF(ThresholdAge02,"&lt;"&amp;BA205,WeightedRevAge02)-SUMIF(ThresholdAge02,"&lt;"&amp;BA205,WeightedMinAge02),MAX(CapacityAge02*'01_Вводные'!$B$218*BA205,MeanMinAge02)))</f>
        <v/>
      </c>
      <c r="BB138" s="190">
        <f>IF(OR((BB54-BB82)=0,2&lt;='01_Вводные'!$B$297),0,(BB54-BB82)*IF('01_Вводные'!$B$239="Да",MeanMinAge02+BB205*SUMIF(ThresholdAge02,"&lt;"&amp;BB205,WeightedRevAge02)-SUMIF(ThresholdAge02,"&lt;"&amp;BB205,WeightedMinAge02),MAX(CapacityAge02*'01_Вводные'!$B$218*BB205,MeanMinAge02)))</f>
        <v/>
      </c>
      <c r="BC138" s="190">
        <f>IF(OR((BC54-BC82)=0,2&lt;='01_Вводные'!$B$297),0,(BC54-BC82)*IF('01_Вводные'!$B$239="Да",MeanMinAge02+BC205*SUMIF(ThresholdAge02,"&lt;"&amp;BC205,WeightedRevAge02)-SUMIF(ThresholdAge02,"&lt;"&amp;BC205,WeightedMinAge02),MAX(CapacityAge02*'01_Вводные'!$B$218*BC205,MeanMinAge02)))</f>
        <v/>
      </c>
      <c r="BD138" s="190">
        <f>IF(OR((BD54-BD82)=0,2&lt;='01_Вводные'!$B$297),0,(BD54-BD82)*IF('01_Вводные'!$B$239="Да",MeanMinAge02+BD205*SUMIF(ThresholdAge02,"&lt;"&amp;BD205,WeightedRevAge02)-SUMIF(ThresholdAge02,"&lt;"&amp;BD205,WeightedMinAge02),MAX(CapacityAge02*'01_Вводные'!$B$218*BD205,MeanMinAge02)))</f>
        <v/>
      </c>
      <c r="BE138" s="190">
        <f>IF(OR((BE54-BE82)=0,2&lt;='01_Вводные'!$B$297),0,(BE54-BE82)*IF('01_Вводные'!$B$239="Да",MeanMinAge02+BE205*SUMIF(ThresholdAge02,"&lt;"&amp;BE205,WeightedRevAge02)-SUMIF(ThresholdAge02,"&lt;"&amp;BE205,WeightedMinAge02),MAX(CapacityAge02*'01_Вводные'!$B$218*BE205,MeanMinAge02)))</f>
        <v/>
      </c>
      <c r="BF138" s="190">
        <f>IF(OR((BF54-BF82)=0,2&lt;='01_Вводные'!$B$297),0,(BF54-BF82)*IF('01_Вводные'!$B$239="Да",MeanMinAge02+BF205*SUMIF(ThresholdAge02,"&lt;"&amp;BF205,WeightedRevAge02)-SUMIF(ThresholdAge02,"&lt;"&amp;BF205,WeightedMinAge02),MAX(CapacityAge02*'01_Вводные'!$B$218*BF205,MeanMinAge02)))</f>
        <v/>
      </c>
      <c r="BG138" s="190">
        <f>IF(OR((BG54-BG82)=0,2&lt;='01_Вводные'!$B$297),0,(BG54-BG82)*IF('01_Вводные'!$B$239="Да",MeanMinAge02+BG205*SUMIF(ThresholdAge02,"&lt;"&amp;BG205,WeightedRevAge02)-SUMIF(ThresholdAge02,"&lt;"&amp;BG205,WeightedMinAge02),MAX(CapacityAge02*'01_Вводные'!$B$218*BG205,MeanMinAge02)))</f>
        <v/>
      </c>
      <c r="BH138" s="190">
        <f>IF(OR((BH54-BH82)=0,2&lt;='01_Вводные'!$B$297),0,(BH54-BH82)*IF('01_Вводные'!$B$239="Да",MeanMinAge02+BH205*SUMIF(ThresholdAge02,"&lt;"&amp;BH205,WeightedRevAge02)-SUMIF(ThresholdAge02,"&lt;"&amp;BH205,WeightedMinAge02),MAX(CapacityAge02*'01_Вводные'!$B$218*BH205,MeanMinAge02)))</f>
        <v/>
      </c>
      <c r="BI138" s="190">
        <f>IF(OR((BI54-BI82)=0,2&lt;='01_Вводные'!$B$297),0,(BI54-BI82)*IF('01_Вводные'!$B$239="Да",MeanMinAge02+BI205*SUMIF(ThresholdAge02,"&lt;"&amp;BI205,WeightedRevAge02)-SUMIF(ThresholdAge02,"&lt;"&amp;BI205,WeightedMinAge02),MAX(CapacityAge02*'01_Вводные'!$B$218*BI205,MeanMinAge02)))</f>
        <v/>
      </c>
      <c r="BJ138" s="190">
        <f>IF(OR((BJ54-BJ82)=0,2&lt;='01_Вводные'!$B$297),0,(BJ54-BJ82)*IF('01_Вводные'!$B$239="Да",MeanMinAge02+BJ205*SUMIF(ThresholdAge02,"&lt;"&amp;BJ205,WeightedRevAge02)-SUMIF(ThresholdAge02,"&lt;"&amp;BJ205,WeightedMinAge02),MAX(CapacityAge02*'01_Вводные'!$B$218*BJ205,MeanMinAge02)))</f>
        <v/>
      </c>
      <c r="BK138" s="190">
        <f>IF(OR((BK54-BK82)=0,2&lt;='01_Вводные'!$B$297),0,(BK54-BK82)*IF('01_Вводные'!$B$239="Да",MeanMinAge02+BK205*SUMIF(ThresholdAge02,"&lt;"&amp;BK205,WeightedRevAge02)-SUMIF(ThresholdAge02,"&lt;"&amp;BK205,WeightedMinAge02),MAX(CapacityAge02*'01_Вводные'!$B$218*BK205,MeanMinAge02)))</f>
        <v/>
      </c>
      <c r="BL138" s="190">
        <f>IF(OR((BL54-BL82)=0,2&lt;='01_Вводные'!$B$297),0,(BL54-BL82)*IF('01_Вводные'!$B$239="Да",MeanMinAge02+BL205*SUMIF(ThresholdAge02,"&lt;"&amp;BL205,WeightedRevAge02)-SUMIF(ThresholdAge02,"&lt;"&amp;BL205,WeightedMinAge02),MAX(CapacityAge02*'01_Вводные'!$B$218*BL205,MeanMinAge02)))</f>
        <v/>
      </c>
      <c r="BM138" s="190">
        <f>IF(OR((BM54-BM82)=0,2&lt;='01_Вводные'!$B$297),0,(BM54-BM82)*IF('01_Вводные'!$B$239="Да",MeanMinAge02+BM205*SUMIF(ThresholdAge02,"&lt;"&amp;BM205,WeightedRevAge02)-SUMIF(ThresholdAge02,"&lt;"&amp;BM205,WeightedMinAge02),MAX(CapacityAge02*'01_Вводные'!$B$218*BM205,MeanMinAge02)))</f>
        <v/>
      </c>
      <c r="BN138" s="190">
        <f>IF(OR((BN54-BN82)=0,2&lt;='01_Вводные'!$B$297),0,(BN54-BN82)*IF('01_Вводные'!$B$239="Да",MeanMinAge02+BN205*SUMIF(ThresholdAge02,"&lt;"&amp;BN205,WeightedRevAge02)-SUMIF(ThresholdAge02,"&lt;"&amp;BN205,WeightedMinAge02),MAX(CapacityAge02*'01_Вводные'!$B$218*BN205,MeanMinAge02)))</f>
        <v/>
      </c>
      <c r="BO138" s="190">
        <f>IF(OR((BO54-BO82)=0,2&lt;='01_Вводные'!$B$297),0,(BO54-BO82)*IF('01_Вводные'!$B$239="Да",MeanMinAge02+BO205*SUMIF(ThresholdAge02,"&lt;"&amp;BO205,WeightedRevAge02)-SUMIF(ThresholdAge02,"&lt;"&amp;BO205,WeightedMinAge02),MAX(CapacityAge02*'01_Вводные'!$B$218*BO205,MeanMinAge02)))</f>
        <v/>
      </c>
    </row>
    <row r="139" hidden="1" outlineLevel="1">
      <c r="A139" t="inlineStr">
        <is>
          <t>3 мес.</t>
        </is>
      </c>
      <c r="B139" s="190">
        <f>IF(OR((B55-B83)=0,3&lt;='01_Вводные'!$B$297),0,(B55-B83)*IF('01_Вводные'!$B$239="Да",MeanMinAge03+B205*SUMIF(ThresholdAge03,"&lt;"&amp;B205,WeightedRevAge03)-SUMIF(ThresholdAge03,"&lt;"&amp;B205,WeightedMinAge03),MAX(CapacityAge03*'01_Вводные'!$B$218*B205,MeanMinAge03)))</f>
        <v/>
      </c>
      <c r="C139" s="190">
        <f>IF(OR((C55-C83)=0,3&lt;='01_Вводные'!$B$297),0,(C55-C83)*IF('01_Вводные'!$B$239="Да",MeanMinAge03+C205*SUMIF(ThresholdAge03,"&lt;"&amp;C205,WeightedRevAge03)-SUMIF(ThresholdAge03,"&lt;"&amp;C205,WeightedMinAge03),MAX(CapacityAge03*'01_Вводные'!$B$218*C205,MeanMinAge03)))</f>
        <v/>
      </c>
      <c r="D139" s="190">
        <f>IF(OR((D55-D83)=0,3&lt;='01_Вводные'!$B$297),0,(D55-D83)*IF('01_Вводные'!$B$239="Да",MeanMinAge03+D205*SUMIF(ThresholdAge03,"&lt;"&amp;D205,WeightedRevAge03)-SUMIF(ThresholdAge03,"&lt;"&amp;D205,WeightedMinAge03),MAX(CapacityAge03*'01_Вводные'!$B$218*D205,MeanMinAge03)))</f>
        <v/>
      </c>
      <c r="E139" s="190">
        <f>IF(OR((E55-E83)=0,3&lt;='01_Вводные'!$B$297),0,(E55-E83)*IF('01_Вводные'!$B$239="Да",MeanMinAge03+E205*SUMIF(ThresholdAge03,"&lt;"&amp;E205,WeightedRevAge03)-SUMIF(ThresholdAge03,"&lt;"&amp;E205,WeightedMinAge03),MAX(CapacityAge03*'01_Вводные'!$B$218*E205,MeanMinAge03)))</f>
        <v/>
      </c>
      <c r="F139" s="190">
        <f>IF(OR((F55-F83)=0,3&lt;='01_Вводные'!$B$297),0,(F55-F83)*IF('01_Вводные'!$B$239="Да",MeanMinAge03+F205*SUMIF(ThresholdAge03,"&lt;"&amp;F205,WeightedRevAge03)-SUMIF(ThresholdAge03,"&lt;"&amp;F205,WeightedMinAge03),MAX(CapacityAge03*'01_Вводные'!$B$218*F205,MeanMinAge03)))</f>
        <v/>
      </c>
      <c r="G139" s="190">
        <f>IF(OR((G55-G83)=0,3&lt;='01_Вводные'!$B$297),0,(G55-G83)*IF('01_Вводные'!$B$239="Да",MeanMinAge03+G205*SUMIF(ThresholdAge03,"&lt;"&amp;G205,WeightedRevAge03)-SUMIF(ThresholdAge03,"&lt;"&amp;G205,WeightedMinAge03),MAX(CapacityAge03*'01_Вводные'!$B$218*G205,MeanMinAge03)))</f>
        <v/>
      </c>
      <c r="H139" s="190">
        <f>IF(OR((H55-H83)=0,3&lt;='01_Вводные'!$B$297),0,(H55-H83)*IF('01_Вводные'!$B$239="Да",MeanMinAge03+H205*SUMIF(ThresholdAge03,"&lt;"&amp;H205,WeightedRevAge03)-SUMIF(ThresholdAge03,"&lt;"&amp;H205,WeightedMinAge03),MAX(CapacityAge03*'01_Вводные'!$B$218*H205,MeanMinAge03)))</f>
        <v/>
      </c>
      <c r="I139" s="190">
        <f>IF(OR((I55-I83)=0,3&lt;='01_Вводные'!$B$297),0,(I55-I83)*IF('01_Вводные'!$B$239="Да",MeanMinAge03+I205*SUMIF(ThresholdAge03,"&lt;"&amp;I205,WeightedRevAge03)-SUMIF(ThresholdAge03,"&lt;"&amp;I205,WeightedMinAge03),MAX(CapacityAge03*'01_Вводные'!$B$218*I205,MeanMinAge03)))</f>
        <v/>
      </c>
      <c r="J139" s="190">
        <f>IF(OR((J55-J83)=0,3&lt;='01_Вводные'!$B$297),0,(J55-J83)*IF('01_Вводные'!$B$239="Да",MeanMinAge03+J205*SUMIF(ThresholdAge03,"&lt;"&amp;J205,WeightedRevAge03)-SUMIF(ThresholdAge03,"&lt;"&amp;J205,WeightedMinAge03),MAX(CapacityAge03*'01_Вводные'!$B$218*J205,MeanMinAge03)))</f>
        <v/>
      </c>
      <c r="K139" s="190">
        <f>IF(OR((K55-K83)=0,3&lt;='01_Вводные'!$B$297),0,(K55-K83)*IF('01_Вводные'!$B$239="Да",MeanMinAge03+K205*SUMIF(ThresholdAge03,"&lt;"&amp;K205,WeightedRevAge03)-SUMIF(ThresholdAge03,"&lt;"&amp;K205,WeightedMinAge03),MAX(CapacityAge03*'01_Вводные'!$B$218*K205,MeanMinAge03)))</f>
        <v/>
      </c>
      <c r="L139" s="190">
        <f>IF(OR((L55-L83)=0,3&lt;='01_Вводные'!$B$297),0,(L55-L83)*IF('01_Вводные'!$B$239="Да",MeanMinAge03+L205*SUMIF(ThresholdAge03,"&lt;"&amp;L205,WeightedRevAge03)-SUMIF(ThresholdAge03,"&lt;"&amp;L205,WeightedMinAge03),MAX(CapacityAge03*'01_Вводные'!$B$218*L205,MeanMinAge03)))</f>
        <v/>
      </c>
      <c r="M139" s="190">
        <f>IF(OR((M55-M83)=0,3&lt;='01_Вводные'!$B$297),0,(M55-M83)*IF('01_Вводные'!$B$239="Да",MeanMinAge03+M205*SUMIF(ThresholdAge03,"&lt;"&amp;M205,WeightedRevAge03)-SUMIF(ThresholdAge03,"&lt;"&amp;M205,WeightedMinAge03),MAX(CapacityAge03*'01_Вводные'!$B$218*M205,MeanMinAge03)))</f>
        <v/>
      </c>
      <c r="N139" s="190">
        <f>IF(OR((N55-N83)=0,3&lt;='01_Вводные'!$B$297),0,(N55-N83)*IF('01_Вводные'!$B$239="Да",MeanMinAge03+N205*SUMIF(ThresholdAge03,"&lt;"&amp;N205,WeightedRevAge03)-SUMIF(ThresholdAge03,"&lt;"&amp;N205,WeightedMinAge03),MAX(CapacityAge03*'01_Вводные'!$B$218*N205,MeanMinAge03)))</f>
        <v/>
      </c>
      <c r="O139" s="190">
        <f>IF(OR((O55-O83)=0,3&lt;='01_Вводные'!$B$297),0,(O55-O83)*IF('01_Вводные'!$B$239="Да",MeanMinAge03+O205*SUMIF(ThresholdAge03,"&lt;"&amp;O205,WeightedRevAge03)-SUMIF(ThresholdAge03,"&lt;"&amp;O205,WeightedMinAge03),MAX(CapacityAge03*'01_Вводные'!$B$218*O205,MeanMinAge03)))</f>
        <v/>
      </c>
      <c r="P139" s="190">
        <f>IF(OR((P55-P83)=0,3&lt;='01_Вводные'!$B$297),0,(P55-P83)*IF('01_Вводные'!$B$239="Да",MeanMinAge03+P205*SUMIF(ThresholdAge03,"&lt;"&amp;P205,WeightedRevAge03)-SUMIF(ThresholdAge03,"&lt;"&amp;P205,WeightedMinAge03),MAX(CapacityAge03*'01_Вводные'!$B$218*P205,MeanMinAge03)))</f>
        <v/>
      </c>
      <c r="Q139" s="190">
        <f>IF(OR((Q55-Q83)=0,3&lt;='01_Вводные'!$B$297),0,(Q55-Q83)*IF('01_Вводные'!$B$239="Да",MeanMinAge03+Q205*SUMIF(ThresholdAge03,"&lt;"&amp;Q205,WeightedRevAge03)-SUMIF(ThresholdAge03,"&lt;"&amp;Q205,WeightedMinAge03),MAX(CapacityAge03*'01_Вводные'!$B$218*Q205,MeanMinAge03)))</f>
        <v/>
      </c>
      <c r="R139" s="190">
        <f>IF(OR((R55-R83)=0,3&lt;='01_Вводные'!$B$297),0,(R55-R83)*IF('01_Вводные'!$B$239="Да",MeanMinAge03+R205*SUMIF(ThresholdAge03,"&lt;"&amp;R205,WeightedRevAge03)-SUMIF(ThresholdAge03,"&lt;"&amp;R205,WeightedMinAge03),MAX(CapacityAge03*'01_Вводные'!$B$218*R205,MeanMinAge03)))</f>
        <v/>
      </c>
      <c r="S139" s="190">
        <f>IF(OR((S55-S83)=0,3&lt;='01_Вводные'!$B$297),0,(S55-S83)*IF('01_Вводные'!$B$239="Да",MeanMinAge03+S205*SUMIF(ThresholdAge03,"&lt;"&amp;S205,WeightedRevAge03)-SUMIF(ThresholdAge03,"&lt;"&amp;S205,WeightedMinAge03),MAX(CapacityAge03*'01_Вводные'!$B$218*S205,MeanMinAge03)))</f>
        <v/>
      </c>
      <c r="T139" s="190">
        <f>IF(OR((T55-T83)=0,3&lt;='01_Вводные'!$B$297),0,(T55-T83)*IF('01_Вводные'!$B$239="Да",MeanMinAge03+T205*SUMIF(ThresholdAge03,"&lt;"&amp;T205,WeightedRevAge03)-SUMIF(ThresholdAge03,"&lt;"&amp;T205,WeightedMinAge03),MAX(CapacityAge03*'01_Вводные'!$B$218*T205,MeanMinAge03)))</f>
        <v/>
      </c>
      <c r="U139" s="190">
        <f>IF(OR((U55-U83)=0,3&lt;='01_Вводные'!$B$297),0,(U55-U83)*IF('01_Вводные'!$B$239="Да",MeanMinAge03+U205*SUMIF(ThresholdAge03,"&lt;"&amp;U205,WeightedRevAge03)-SUMIF(ThresholdAge03,"&lt;"&amp;U205,WeightedMinAge03),MAX(CapacityAge03*'01_Вводные'!$B$218*U205,MeanMinAge03)))</f>
        <v/>
      </c>
      <c r="V139" s="190">
        <f>IF(OR((V55-V83)=0,3&lt;='01_Вводные'!$B$297),0,(V55-V83)*IF('01_Вводные'!$B$239="Да",MeanMinAge03+V205*SUMIF(ThresholdAge03,"&lt;"&amp;V205,WeightedRevAge03)-SUMIF(ThresholdAge03,"&lt;"&amp;V205,WeightedMinAge03),MAX(CapacityAge03*'01_Вводные'!$B$218*V205,MeanMinAge03)))</f>
        <v/>
      </c>
      <c r="W139" s="190">
        <f>IF(OR((W55-W83)=0,3&lt;='01_Вводные'!$B$297),0,(W55-W83)*IF('01_Вводные'!$B$239="Да",MeanMinAge03+W205*SUMIF(ThresholdAge03,"&lt;"&amp;W205,WeightedRevAge03)-SUMIF(ThresholdAge03,"&lt;"&amp;W205,WeightedMinAge03),MAX(CapacityAge03*'01_Вводные'!$B$218*W205,MeanMinAge03)))</f>
        <v/>
      </c>
      <c r="X139" s="190">
        <f>IF(OR((X55-X83)=0,3&lt;='01_Вводные'!$B$297),0,(X55-X83)*IF('01_Вводные'!$B$239="Да",MeanMinAge03+X205*SUMIF(ThresholdAge03,"&lt;"&amp;X205,WeightedRevAge03)-SUMIF(ThresholdAge03,"&lt;"&amp;X205,WeightedMinAge03),MAX(CapacityAge03*'01_Вводные'!$B$218*X205,MeanMinAge03)))</f>
        <v/>
      </c>
      <c r="Y139" s="190">
        <f>IF(OR((Y55-Y83)=0,3&lt;='01_Вводные'!$B$297),0,(Y55-Y83)*IF('01_Вводные'!$B$239="Да",MeanMinAge03+Y205*SUMIF(ThresholdAge03,"&lt;"&amp;Y205,WeightedRevAge03)-SUMIF(ThresholdAge03,"&lt;"&amp;Y205,WeightedMinAge03),MAX(CapacityAge03*'01_Вводные'!$B$218*Y205,MeanMinAge03)))</f>
        <v/>
      </c>
      <c r="Z139" s="190">
        <f>IF(OR((Z55-Z83)=0,3&lt;='01_Вводные'!$B$297),0,(Z55-Z83)*IF('01_Вводные'!$B$239="Да",MeanMinAge03+Z205*SUMIF(ThresholdAge03,"&lt;"&amp;Z205,WeightedRevAge03)-SUMIF(ThresholdAge03,"&lt;"&amp;Z205,WeightedMinAge03),MAX(CapacityAge03*'01_Вводные'!$B$218*Z205,MeanMinAge03)))</f>
        <v/>
      </c>
      <c r="AA139" s="190">
        <f>IF(OR((AA55-AA83)=0,3&lt;='01_Вводные'!$B$297),0,(AA55-AA83)*IF('01_Вводные'!$B$239="Да",MeanMinAge03+AA205*SUMIF(ThresholdAge03,"&lt;"&amp;AA205,WeightedRevAge03)-SUMIF(ThresholdAge03,"&lt;"&amp;AA205,WeightedMinAge03),MAX(CapacityAge03*'01_Вводные'!$B$218*AA205,MeanMinAge03)))</f>
        <v/>
      </c>
      <c r="AB139" s="190">
        <f>IF(OR((AB55-AB83)=0,3&lt;='01_Вводные'!$B$297),0,(AB55-AB83)*IF('01_Вводные'!$B$239="Да",MeanMinAge03+AB205*SUMIF(ThresholdAge03,"&lt;"&amp;AB205,WeightedRevAge03)-SUMIF(ThresholdAge03,"&lt;"&amp;AB205,WeightedMinAge03),MAX(CapacityAge03*'01_Вводные'!$B$218*AB205,MeanMinAge03)))</f>
        <v/>
      </c>
      <c r="AC139" s="190">
        <f>IF(OR((AC55-AC83)=0,3&lt;='01_Вводные'!$B$297),0,(AC55-AC83)*IF('01_Вводные'!$B$239="Да",MeanMinAge03+AC205*SUMIF(ThresholdAge03,"&lt;"&amp;AC205,WeightedRevAge03)-SUMIF(ThresholdAge03,"&lt;"&amp;AC205,WeightedMinAge03),MAX(CapacityAge03*'01_Вводные'!$B$218*AC205,MeanMinAge03)))</f>
        <v/>
      </c>
      <c r="AD139" s="190">
        <f>IF(OR((AD55-AD83)=0,3&lt;='01_Вводные'!$B$297),0,(AD55-AD83)*IF('01_Вводные'!$B$239="Да",MeanMinAge03+AD205*SUMIF(ThresholdAge03,"&lt;"&amp;AD205,WeightedRevAge03)-SUMIF(ThresholdAge03,"&lt;"&amp;AD205,WeightedMinAge03),MAX(CapacityAge03*'01_Вводные'!$B$218*AD205,MeanMinAge03)))</f>
        <v/>
      </c>
      <c r="AE139" s="190">
        <f>IF(OR((AE55-AE83)=0,3&lt;='01_Вводные'!$B$297),0,(AE55-AE83)*IF('01_Вводные'!$B$239="Да",MeanMinAge03+AE205*SUMIF(ThresholdAge03,"&lt;"&amp;AE205,WeightedRevAge03)-SUMIF(ThresholdAge03,"&lt;"&amp;AE205,WeightedMinAge03),MAX(CapacityAge03*'01_Вводные'!$B$218*AE205,MeanMinAge03)))</f>
        <v/>
      </c>
      <c r="AF139" s="190">
        <f>IF(OR((AF55-AF83)=0,3&lt;='01_Вводные'!$B$297),0,(AF55-AF83)*IF('01_Вводные'!$B$239="Да",MeanMinAge03+AF205*SUMIF(ThresholdAge03,"&lt;"&amp;AF205,WeightedRevAge03)-SUMIF(ThresholdAge03,"&lt;"&amp;AF205,WeightedMinAge03),MAX(CapacityAge03*'01_Вводные'!$B$218*AF205,MeanMinAge03)))</f>
        <v/>
      </c>
      <c r="AG139" s="190">
        <f>IF(OR((AG55-AG83)=0,3&lt;='01_Вводные'!$B$297),0,(AG55-AG83)*IF('01_Вводные'!$B$239="Да",MeanMinAge03+AG205*SUMIF(ThresholdAge03,"&lt;"&amp;AG205,WeightedRevAge03)-SUMIF(ThresholdAge03,"&lt;"&amp;AG205,WeightedMinAge03),MAX(CapacityAge03*'01_Вводные'!$B$218*AG205,MeanMinAge03)))</f>
        <v/>
      </c>
      <c r="AH139" s="190">
        <f>IF(OR((AH55-AH83)=0,3&lt;='01_Вводные'!$B$297),0,(AH55-AH83)*IF('01_Вводные'!$B$239="Да",MeanMinAge03+AH205*SUMIF(ThresholdAge03,"&lt;"&amp;AH205,WeightedRevAge03)-SUMIF(ThresholdAge03,"&lt;"&amp;AH205,WeightedMinAge03),MAX(CapacityAge03*'01_Вводные'!$B$218*AH205,MeanMinAge03)))</f>
        <v/>
      </c>
      <c r="AI139" s="190">
        <f>IF(OR((AI55-AI83)=0,3&lt;='01_Вводные'!$B$297),0,(AI55-AI83)*IF('01_Вводные'!$B$239="Да",MeanMinAge03+AI205*SUMIF(ThresholdAge03,"&lt;"&amp;AI205,WeightedRevAge03)-SUMIF(ThresholdAge03,"&lt;"&amp;AI205,WeightedMinAge03),MAX(CapacityAge03*'01_Вводные'!$B$218*AI205,MeanMinAge03)))</f>
        <v/>
      </c>
      <c r="AJ139" s="190">
        <f>IF(OR((AJ55-AJ83)=0,3&lt;='01_Вводные'!$B$297),0,(AJ55-AJ83)*IF('01_Вводные'!$B$239="Да",MeanMinAge03+AJ205*SUMIF(ThresholdAge03,"&lt;"&amp;AJ205,WeightedRevAge03)-SUMIF(ThresholdAge03,"&lt;"&amp;AJ205,WeightedMinAge03),MAX(CapacityAge03*'01_Вводные'!$B$218*AJ205,MeanMinAge03)))</f>
        <v/>
      </c>
      <c r="AK139" s="190">
        <f>IF(OR((AK55-AK83)=0,3&lt;='01_Вводные'!$B$297),0,(AK55-AK83)*IF('01_Вводные'!$B$239="Да",MeanMinAge03+AK205*SUMIF(ThresholdAge03,"&lt;"&amp;AK205,WeightedRevAge03)-SUMIF(ThresholdAge03,"&lt;"&amp;AK205,WeightedMinAge03),MAX(CapacityAge03*'01_Вводные'!$B$218*AK205,MeanMinAge03)))</f>
        <v/>
      </c>
      <c r="AL139" s="190">
        <f>IF(OR((AL55-AL83)=0,3&lt;='01_Вводные'!$B$297),0,(AL55-AL83)*IF('01_Вводные'!$B$239="Да",MeanMinAge03+AL205*SUMIF(ThresholdAge03,"&lt;"&amp;AL205,WeightedRevAge03)-SUMIF(ThresholdAge03,"&lt;"&amp;AL205,WeightedMinAge03),MAX(CapacityAge03*'01_Вводные'!$B$218*AL205,MeanMinAge03)))</f>
        <v/>
      </c>
      <c r="AM139" s="190">
        <f>IF(OR((AM55-AM83)=0,3&lt;='01_Вводные'!$B$297),0,(AM55-AM83)*IF('01_Вводные'!$B$239="Да",MeanMinAge03+AM205*SUMIF(ThresholdAge03,"&lt;"&amp;AM205,WeightedRevAge03)-SUMIF(ThresholdAge03,"&lt;"&amp;AM205,WeightedMinAge03),MAX(CapacityAge03*'01_Вводные'!$B$218*AM205,MeanMinAge03)))</f>
        <v/>
      </c>
      <c r="AN139" s="190">
        <f>IF(OR((AN55-AN83)=0,3&lt;='01_Вводные'!$B$297),0,(AN55-AN83)*IF('01_Вводные'!$B$239="Да",MeanMinAge03+AN205*SUMIF(ThresholdAge03,"&lt;"&amp;AN205,WeightedRevAge03)-SUMIF(ThresholdAge03,"&lt;"&amp;AN205,WeightedMinAge03),MAX(CapacityAge03*'01_Вводные'!$B$218*AN205,MeanMinAge03)))</f>
        <v/>
      </c>
      <c r="AO139" s="190">
        <f>IF(OR((AO55-AO83)=0,3&lt;='01_Вводные'!$B$297),0,(AO55-AO83)*IF('01_Вводные'!$B$239="Да",MeanMinAge03+AO205*SUMIF(ThresholdAge03,"&lt;"&amp;AO205,WeightedRevAge03)-SUMIF(ThresholdAge03,"&lt;"&amp;AO205,WeightedMinAge03),MAX(CapacityAge03*'01_Вводные'!$B$218*AO205,MeanMinAge03)))</f>
        <v/>
      </c>
      <c r="AP139" s="190">
        <f>IF(OR((AP55-AP83)=0,3&lt;='01_Вводные'!$B$297),0,(AP55-AP83)*IF('01_Вводные'!$B$239="Да",MeanMinAge03+AP205*SUMIF(ThresholdAge03,"&lt;"&amp;AP205,WeightedRevAge03)-SUMIF(ThresholdAge03,"&lt;"&amp;AP205,WeightedMinAge03),MAX(CapacityAge03*'01_Вводные'!$B$218*AP205,MeanMinAge03)))</f>
        <v/>
      </c>
      <c r="AQ139" s="190">
        <f>IF(OR((AQ55-AQ83)=0,3&lt;='01_Вводные'!$B$297),0,(AQ55-AQ83)*IF('01_Вводные'!$B$239="Да",MeanMinAge03+AQ205*SUMIF(ThresholdAge03,"&lt;"&amp;AQ205,WeightedRevAge03)-SUMIF(ThresholdAge03,"&lt;"&amp;AQ205,WeightedMinAge03),MAX(CapacityAge03*'01_Вводные'!$B$218*AQ205,MeanMinAge03)))</f>
        <v/>
      </c>
      <c r="AR139" s="190">
        <f>IF(OR((AR55-AR83)=0,3&lt;='01_Вводные'!$B$297),0,(AR55-AR83)*IF('01_Вводные'!$B$239="Да",MeanMinAge03+AR205*SUMIF(ThresholdAge03,"&lt;"&amp;AR205,WeightedRevAge03)-SUMIF(ThresholdAge03,"&lt;"&amp;AR205,WeightedMinAge03),MAX(CapacityAge03*'01_Вводные'!$B$218*AR205,MeanMinAge03)))</f>
        <v/>
      </c>
      <c r="AS139" s="190">
        <f>IF(OR((AS55-AS83)=0,3&lt;='01_Вводные'!$B$297),0,(AS55-AS83)*IF('01_Вводные'!$B$239="Да",MeanMinAge03+AS205*SUMIF(ThresholdAge03,"&lt;"&amp;AS205,WeightedRevAge03)-SUMIF(ThresholdAge03,"&lt;"&amp;AS205,WeightedMinAge03),MAX(CapacityAge03*'01_Вводные'!$B$218*AS205,MeanMinAge03)))</f>
        <v/>
      </c>
      <c r="AT139" s="190">
        <f>IF(OR((AT55-AT83)=0,3&lt;='01_Вводные'!$B$297),0,(AT55-AT83)*IF('01_Вводные'!$B$239="Да",MeanMinAge03+AT205*SUMIF(ThresholdAge03,"&lt;"&amp;AT205,WeightedRevAge03)-SUMIF(ThresholdAge03,"&lt;"&amp;AT205,WeightedMinAge03),MAX(CapacityAge03*'01_Вводные'!$B$218*AT205,MeanMinAge03)))</f>
        <v/>
      </c>
      <c r="AU139" s="190">
        <f>IF(OR((AU55-AU83)=0,3&lt;='01_Вводные'!$B$297),0,(AU55-AU83)*IF('01_Вводные'!$B$239="Да",MeanMinAge03+AU205*SUMIF(ThresholdAge03,"&lt;"&amp;AU205,WeightedRevAge03)-SUMIF(ThresholdAge03,"&lt;"&amp;AU205,WeightedMinAge03),MAX(CapacityAge03*'01_Вводные'!$B$218*AU205,MeanMinAge03)))</f>
        <v/>
      </c>
      <c r="AV139" s="190">
        <f>IF(OR((AV55-AV83)=0,3&lt;='01_Вводные'!$B$297),0,(AV55-AV83)*IF('01_Вводные'!$B$239="Да",MeanMinAge03+AV205*SUMIF(ThresholdAge03,"&lt;"&amp;AV205,WeightedRevAge03)-SUMIF(ThresholdAge03,"&lt;"&amp;AV205,WeightedMinAge03),MAX(CapacityAge03*'01_Вводные'!$B$218*AV205,MeanMinAge03)))</f>
        <v/>
      </c>
      <c r="AW139" s="190">
        <f>IF(OR((AW55-AW83)=0,3&lt;='01_Вводные'!$B$297),0,(AW55-AW83)*IF('01_Вводные'!$B$239="Да",MeanMinAge03+AW205*SUMIF(ThresholdAge03,"&lt;"&amp;AW205,WeightedRevAge03)-SUMIF(ThresholdAge03,"&lt;"&amp;AW205,WeightedMinAge03),MAX(CapacityAge03*'01_Вводные'!$B$218*AW205,MeanMinAge03)))</f>
        <v/>
      </c>
      <c r="AX139" s="190">
        <f>IF(OR((AX55-AX83)=0,3&lt;='01_Вводные'!$B$297),0,(AX55-AX83)*IF('01_Вводные'!$B$239="Да",MeanMinAge03+AX205*SUMIF(ThresholdAge03,"&lt;"&amp;AX205,WeightedRevAge03)-SUMIF(ThresholdAge03,"&lt;"&amp;AX205,WeightedMinAge03),MAX(CapacityAge03*'01_Вводные'!$B$218*AX205,MeanMinAge03)))</f>
        <v/>
      </c>
      <c r="AY139" s="190">
        <f>IF(OR((AY55-AY83)=0,3&lt;='01_Вводные'!$B$297),0,(AY55-AY83)*IF('01_Вводные'!$B$239="Да",MeanMinAge03+AY205*SUMIF(ThresholdAge03,"&lt;"&amp;AY205,WeightedRevAge03)-SUMIF(ThresholdAge03,"&lt;"&amp;AY205,WeightedMinAge03),MAX(CapacityAge03*'01_Вводные'!$B$218*AY205,MeanMinAge03)))</f>
        <v/>
      </c>
      <c r="AZ139" s="190">
        <f>IF(OR((AZ55-AZ83)=0,3&lt;='01_Вводные'!$B$297),0,(AZ55-AZ83)*IF('01_Вводные'!$B$239="Да",MeanMinAge03+AZ205*SUMIF(ThresholdAge03,"&lt;"&amp;AZ205,WeightedRevAge03)-SUMIF(ThresholdAge03,"&lt;"&amp;AZ205,WeightedMinAge03),MAX(CapacityAge03*'01_Вводные'!$B$218*AZ205,MeanMinAge03)))</f>
        <v/>
      </c>
      <c r="BA139" s="190">
        <f>IF(OR((BA55-BA83)=0,3&lt;='01_Вводные'!$B$297),0,(BA55-BA83)*IF('01_Вводные'!$B$239="Да",MeanMinAge03+BA205*SUMIF(ThresholdAge03,"&lt;"&amp;BA205,WeightedRevAge03)-SUMIF(ThresholdAge03,"&lt;"&amp;BA205,WeightedMinAge03),MAX(CapacityAge03*'01_Вводные'!$B$218*BA205,MeanMinAge03)))</f>
        <v/>
      </c>
      <c r="BB139" s="190">
        <f>IF(OR((BB55-BB83)=0,3&lt;='01_Вводные'!$B$297),0,(BB55-BB83)*IF('01_Вводные'!$B$239="Да",MeanMinAge03+BB205*SUMIF(ThresholdAge03,"&lt;"&amp;BB205,WeightedRevAge03)-SUMIF(ThresholdAge03,"&lt;"&amp;BB205,WeightedMinAge03),MAX(CapacityAge03*'01_Вводные'!$B$218*BB205,MeanMinAge03)))</f>
        <v/>
      </c>
      <c r="BC139" s="190">
        <f>IF(OR((BC55-BC83)=0,3&lt;='01_Вводные'!$B$297),0,(BC55-BC83)*IF('01_Вводные'!$B$239="Да",MeanMinAge03+BC205*SUMIF(ThresholdAge03,"&lt;"&amp;BC205,WeightedRevAge03)-SUMIF(ThresholdAge03,"&lt;"&amp;BC205,WeightedMinAge03),MAX(CapacityAge03*'01_Вводные'!$B$218*BC205,MeanMinAge03)))</f>
        <v/>
      </c>
      <c r="BD139" s="190">
        <f>IF(OR((BD55-BD83)=0,3&lt;='01_Вводные'!$B$297),0,(BD55-BD83)*IF('01_Вводные'!$B$239="Да",MeanMinAge03+BD205*SUMIF(ThresholdAge03,"&lt;"&amp;BD205,WeightedRevAge03)-SUMIF(ThresholdAge03,"&lt;"&amp;BD205,WeightedMinAge03),MAX(CapacityAge03*'01_Вводные'!$B$218*BD205,MeanMinAge03)))</f>
        <v/>
      </c>
      <c r="BE139" s="190">
        <f>IF(OR((BE55-BE83)=0,3&lt;='01_Вводные'!$B$297),0,(BE55-BE83)*IF('01_Вводные'!$B$239="Да",MeanMinAge03+BE205*SUMIF(ThresholdAge03,"&lt;"&amp;BE205,WeightedRevAge03)-SUMIF(ThresholdAge03,"&lt;"&amp;BE205,WeightedMinAge03),MAX(CapacityAge03*'01_Вводные'!$B$218*BE205,MeanMinAge03)))</f>
        <v/>
      </c>
      <c r="BF139" s="190">
        <f>IF(OR((BF55-BF83)=0,3&lt;='01_Вводные'!$B$297),0,(BF55-BF83)*IF('01_Вводные'!$B$239="Да",MeanMinAge03+BF205*SUMIF(ThresholdAge03,"&lt;"&amp;BF205,WeightedRevAge03)-SUMIF(ThresholdAge03,"&lt;"&amp;BF205,WeightedMinAge03),MAX(CapacityAge03*'01_Вводные'!$B$218*BF205,MeanMinAge03)))</f>
        <v/>
      </c>
      <c r="BG139" s="190">
        <f>IF(OR((BG55-BG83)=0,3&lt;='01_Вводные'!$B$297),0,(BG55-BG83)*IF('01_Вводные'!$B$239="Да",MeanMinAge03+BG205*SUMIF(ThresholdAge03,"&lt;"&amp;BG205,WeightedRevAge03)-SUMIF(ThresholdAge03,"&lt;"&amp;BG205,WeightedMinAge03),MAX(CapacityAge03*'01_Вводные'!$B$218*BG205,MeanMinAge03)))</f>
        <v/>
      </c>
      <c r="BH139" s="190">
        <f>IF(OR((BH55-BH83)=0,3&lt;='01_Вводные'!$B$297),0,(BH55-BH83)*IF('01_Вводные'!$B$239="Да",MeanMinAge03+BH205*SUMIF(ThresholdAge03,"&lt;"&amp;BH205,WeightedRevAge03)-SUMIF(ThresholdAge03,"&lt;"&amp;BH205,WeightedMinAge03),MAX(CapacityAge03*'01_Вводные'!$B$218*BH205,MeanMinAge03)))</f>
        <v/>
      </c>
      <c r="BI139" s="190">
        <f>IF(OR((BI55-BI83)=0,3&lt;='01_Вводные'!$B$297),0,(BI55-BI83)*IF('01_Вводные'!$B$239="Да",MeanMinAge03+BI205*SUMIF(ThresholdAge03,"&lt;"&amp;BI205,WeightedRevAge03)-SUMIF(ThresholdAge03,"&lt;"&amp;BI205,WeightedMinAge03),MAX(CapacityAge03*'01_Вводные'!$B$218*BI205,MeanMinAge03)))</f>
        <v/>
      </c>
      <c r="BJ139" s="190">
        <f>IF(OR((BJ55-BJ83)=0,3&lt;='01_Вводные'!$B$297),0,(BJ55-BJ83)*IF('01_Вводные'!$B$239="Да",MeanMinAge03+BJ205*SUMIF(ThresholdAge03,"&lt;"&amp;BJ205,WeightedRevAge03)-SUMIF(ThresholdAge03,"&lt;"&amp;BJ205,WeightedMinAge03),MAX(CapacityAge03*'01_Вводные'!$B$218*BJ205,MeanMinAge03)))</f>
        <v/>
      </c>
      <c r="BK139" s="190">
        <f>IF(OR((BK55-BK83)=0,3&lt;='01_Вводные'!$B$297),0,(BK55-BK83)*IF('01_Вводные'!$B$239="Да",MeanMinAge03+BK205*SUMIF(ThresholdAge03,"&lt;"&amp;BK205,WeightedRevAge03)-SUMIF(ThresholdAge03,"&lt;"&amp;BK205,WeightedMinAge03),MAX(CapacityAge03*'01_Вводные'!$B$218*BK205,MeanMinAge03)))</f>
        <v/>
      </c>
      <c r="BL139" s="190">
        <f>IF(OR((BL55-BL83)=0,3&lt;='01_Вводные'!$B$297),0,(BL55-BL83)*IF('01_Вводные'!$B$239="Да",MeanMinAge03+BL205*SUMIF(ThresholdAge03,"&lt;"&amp;BL205,WeightedRevAge03)-SUMIF(ThresholdAge03,"&lt;"&amp;BL205,WeightedMinAge03),MAX(CapacityAge03*'01_Вводные'!$B$218*BL205,MeanMinAge03)))</f>
        <v/>
      </c>
      <c r="BM139" s="190">
        <f>IF(OR((BM55-BM83)=0,3&lt;='01_Вводные'!$B$297),0,(BM55-BM83)*IF('01_Вводные'!$B$239="Да",MeanMinAge03+BM205*SUMIF(ThresholdAge03,"&lt;"&amp;BM205,WeightedRevAge03)-SUMIF(ThresholdAge03,"&lt;"&amp;BM205,WeightedMinAge03),MAX(CapacityAge03*'01_Вводные'!$B$218*BM205,MeanMinAge03)))</f>
        <v/>
      </c>
      <c r="BN139" s="190">
        <f>IF(OR((BN55-BN83)=0,3&lt;='01_Вводные'!$B$297),0,(BN55-BN83)*IF('01_Вводные'!$B$239="Да",MeanMinAge03+BN205*SUMIF(ThresholdAge03,"&lt;"&amp;BN205,WeightedRevAge03)-SUMIF(ThresholdAge03,"&lt;"&amp;BN205,WeightedMinAge03),MAX(CapacityAge03*'01_Вводные'!$B$218*BN205,MeanMinAge03)))</f>
        <v/>
      </c>
      <c r="BO139" s="190">
        <f>IF(OR((BO55-BO83)=0,3&lt;='01_Вводные'!$B$297),0,(BO55-BO83)*IF('01_Вводные'!$B$239="Да",MeanMinAge03+BO205*SUMIF(ThresholdAge03,"&lt;"&amp;BO205,WeightedRevAge03)-SUMIF(ThresholdAge03,"&lt;"&amp;BO205,WeightedMinAge03),MAX(CapacityAge03*'01_Вводные'!$B$218*BO205,MeanMinAge03)))</f>
        <v/>
      </c>
    </row>
    <row r="140" hidden="1" outlineLevel="1">
      <c r="A140" t="inlineStr">
        <is>
          <t>4 мес.</t>
        </is>
      </c>
      <c r="B140" s="190">
        <f>IF(OR((B56-B84)=0,4&lt;='01_Вводные'!$B$297),0,(B56-B84)*IF('01_Вводные'!$B$239="Да",MeanMinAge04+B205*SUMIF(ThresholdAge04,"&lt;"&amp;B205,WeightedRevAge04)-SUMIF(ThresholdAge04,"&lt;"&amp;B205,WeightedMinAge04),MAX(CapacityAge04*'01_Вводные'!$B$218*B205,MeanMinAge04)))</f>
        <v/>
      </c>
      <c r="C140" s="190">
        <f>IF(OR((C56-C84)=0,4&lt;='01_Вводные'!$B$297),0,(C56-C84)*IF('01_Вводные'!$B$239="Да",MeanMinAge04+C205*SUMIF(ThresholdAge04,"&lt;"&amp;C205,WeightedRevAge04)-SUMIF(ThresholdAge04,"&lt;"&amp;C205,WeightedMinAge04),MAX(CapacityAge04*'01_Вводные'!$B$218*C205,MeanMinAge04)))</f>
        <v/>
      </c>
      <c r="D140" s="190">
        <f>IF(OR((D56-D84)=0,4&lt;='01_Вводные'!$B$297),0,(D56-D84)*IF('01_Вводные'!$B$239="Да",MeanMinAge04+D205*SUMIF(ThresholdAge04,"&lt;"&amp;D205,WeightedRevAge04)-SUMIF(ThresholdAge04,"&lt;"&amp;D205,WeightedMinAge04),MAX(CapacityAge04*'01_Вводные'!$B$218*D205,MeanMinAge04)))</f>
        <v/>
      </c>
      <c r="E140" s="190">
        <f>IF(OR((E56-E84)=0,4&lt;='01_Вводные'!$B$297),0,(E56-E84)*IF('01_Вводные'!$B$239="Да",MeanMinAge04+E205*SUMIF(ThresholdAge04,"&lt;"&amp;E205,WeightedRevAge04)-SUMIF(ThresholdAge04,"&lt;"&amp;E205,WeightedMinAge04),MAX(CapacityAge04*'01_Вводные'!$B$218*E205,MeanMinAge04)))</f>
        <v/>
      </c>
      <c r="F140" s="190">
        <f>IF(OR((F56-F84)=0,4&lt;='01_Вводные'!$B$297),0,(F56-F84)*IF('01_Вводные'!$B$239="Да",MeanMinAge04+F205*SUMIF(ThresholdAge04,"&lt;"&amp;F205,WeightedRevAge04)-SUMIF(ThresholdAge04,"&lt;"&amp;F205,WeightedMinAge04),MAX(CapacityAge04*'01_Вводные'!$B$218*F205,MeanMinAge04)))</f>
        <v/>
      </c>
      <c r="G140" s="190">
        <f>IF(OR((G56-G84)=0,4&lt;='01_Вводные'!$B$297),0,(G56-G84)*IF('01_Вводные'!$B$239="Да",MeanMinAge04+G205*SUMIF(ThresholdAge04,"&lt;"&amp;G205,WeightedRevAge04)-SUMIF(ThresholdAge04,"&lt;"&amp;G205,WeightedMinAge04),MAX(CapacityAge04*'01_Вводные'!$B$218*G205,MeanMinAge04)))</f>
        <v/>
      </c>
      <c r="H140" s="190">
        <f>IF(OR((H56-H84)=0,4&lt;='01_Вводные'!$B$297),0,(H56-H84)*IF('01_Вводные'!$B$239="Да",MeanMinAge04+H205*SUMIF(ThresholdAge04,"&lt;"&amp;H205,WeightedRevAge04)-SUMIF(ThresholdAge04,"&lt;"&amp;H205,WeightedMinAge04),MAX(CapacityAge04*'01_Вводные'!$B$218*H205,MeanMinAge04)))</f>
        <v/>
      </c>
      <c r="I140" s="190">
        <f>IF(OR((I56-I84)=0,4&lt;='01_Вводные'!$B$297),0,(I56-I84)*IF('01_Вводные'!$B$239="Да",MeanMinAge04+I205*SUMIF(ThresholdAge04,"&lt;"&amp;I205,WeightedRevAge04)-SUMIF(ThresholdAge04,"&lt;"&amp;I205,WeightedMinAge04),MAX(CapacityAge04*'01_Вводные'!$B$218*I205,MeanMinAge04)))</f>
        <v/>
      </c>
      <c r="J140" s="190">
        <f>IF(OR((J56-J84)=0,4&lt;='01_Вводные'!$B$297),0,(J56-J84)*IF('01_Вводные'!$B$239="Да",MeanMinAge04+J205*SUMIF(ThresholdAge04,"&lt;"&amp;J205,WeightedRevAge04)-SUMIF(ThresholdAge04,"&lt;"&amp;J205,WeightedMinAge04),MAX(CapacityAge04*'01_Вводные'!$B$218*J205,MeanMinAge04)))</f>
        <v/>
      </c>
      <c r="K140" s="190">
        <f>IF(OR((K56-K84)=0,4&lt;='01_Вводные'!$B$297),0,(K56-K84)*IF('01_Вводные'!$B$239="Да",MeanMinAge04+K205*SUMIF(ThresholdAge04,"&lt;"&amp;K205,WeightedRevAge04)-SUMIF(ThresholdAge04,"&lt;"&amp;K205,WeightedMinAge04),MAX(CapacityAge04*'01_Вводные'!$B$218*K205,MeanMinAge04)))</f>
        <v/>
      </c>
      <c r="L140" s="190">
        <f>IF(OR((L56-L84)=0,4&lt;='01_Вводные'!$B$297),0,(L56-L84)*IF('01_Вводные'!$B$239="Да",MeanMinAge04+L205*SUMIF(ThresholdAge04,"&lt;"&amp;L205,WeightedRevAge04)-SUMIF(ThresholdAge04,"&lt;"&amp;L205,WeightedMinAge04),MAX(CapacityAge04*'01_Вводные'!$B$218*L205,MeanMinAge04)))</f>
        <v/>
      </c>
      <c r="M140" s="190">
        <f>IF(OR((M56-M84)=0,4&lt;='01_Вводные'!$B$297),0,(M56-M84)*IF('01_Вводные'!$B$239="Да",MeanMinAge04+M205*SUMIF(ThresholdAge04,"&lt;"&amp;M205,WeightedRevAge04)-SUMIF(ThresholdAge04,"&lt;"&amp;M205,WeightedMinAge04),MAX(CapacityAge04*'01_Вводные'!$B$218*M205,MeanMinAge04)))</f>
        <v/>
      </c>
      <c r="N140" s="190">
        <f>IF(OR((N56-N84)=0,4&lt;='01_Вводные'!$B$297),0,(N56-N84)*IF('01_Вводные'!$B$239="Да",MeanMinAge04+N205*SUMIF(ThresholdAge04,"&lt;"&amp;N205,WeightedRevAge04)-SUMIF(ThresholdAge04,"&lt;"&amp;N205,WeightedMinAge04),MAX(CapacityAge04*'01_Вводные'!$B$218*N205,MeanMinAge04)))</f>
        <v/>
      </c>
      <c r="O140" s="190">
        <f>IF(OR((O56-O84)=0,4&lt;='01_Вводные'!$B$297),0,(O56-O84)*IF('01_Вводные'!$B$239="Да",MeanMinAge04+O205*SUMIF(ThresholdAge04,"&lt;"&amp;O205,WeightedRevAge04)-SUMIF(ThresholdAge04,"&lt;"&amp;O205,WeightedMinAge04),MAX(CapacityAge04*'01_Вводные'!$B$218*O205,MeanMinAge04)))</f>
        <v/>
      </c>
      <c r="P140" s="190">
        <f>IF(OR((P56-P84)=0,4&lt;='01_Вводные'!$B$297),0,(P56-P84)*IF('01_Вводные'!$B$239="Да",MeanMinAge04+P205*SUMIF(ThresholdAge04,"&lt;"&amp;P205,WeightedRevAge04)-SUMIF(ThresholdAge04,"&lt;"&amp;P205,WeightedMinAge04),MAX(CapacityAge04*'01_Вводные'!$B$218*P205,MeanMinAge04)))</f>
        <v/>
      </c>
      <c r="Q140" s="190">
        <f>IF(OR((Q56-Q84)=0,4&lt;='01_Вводные'!$B$297),0,(Q56-Q84)*IF('01_Вводные'!$B$239="Да",MeanMinAge04+Q205*SUMIF(ThresholdAge04,"&lt;"&amp;Q205,WeightedRevAge04)-SUMIF(ThresholdAge04,"&lt;"&amp;Q205,WeightedMinAge04),MAX(CapacityAge04*'01_Вводные'!$B$218*Q205,MeanMinAge04)))</f>
        <v/>
      </c>
      <c r="R140" s="190">
        <f>IF(OR((R56-R84)=0,4&lt;='01_Вводные'!$B$297),0,(R56-R84)*IF('01_Вводные'!$B$239="Да",MeanMinAge04+R205*SUMIF(ThresholdAge04,"&lt;"&amp;R205,WeightedRevAge04)-SUMIF(ThresholdAge04,"&lt;"&amp;R205,WeightedMinAge04),MAX(CapacityAge04*'01_Вводные'!$B$218*R205,MeanMinAge04)))</f>
        <v/>
      </c>
      <c r="S140" s="190">
        <f>IF(OR((S56-S84)=0,4&lt;='01_Вводные'!$B$297),0,(S56-S84)*IF('01_Вводные'!$B$239="Да",MeanMinAge04+S205*SUMIF(ThresholdAge04,"&lt;"&amp;S205,WeightedRevAge04)-SUMIF(ThresholdAge04,"&lt;"&amp;S205,WeightedMinAge04),MAX(CapacityAge04*'01_Вводные'!$B$218*S205,MeanMinAge04)))</f>
        <v/>
      </c>
      <c r="T140" s="190">
        <f>IF(OR((T56-T84)=0,4&lt;='01_Вводные'!$B$297),0,(T56-T84)*IF('01_Вводные'!$B$239="Да",MeanMinAge04+T205*SUMIF(ThresholdAge04,"&lt;"&amp;T205,WeightedRevAge04)-SUMIF(ThresholdAge04,"&lt;"&amp;T205,WeightedMinAge04),MAX(CapacityAge04*'01_Вводные'!$B$218*T205,MeanMinAge04)))</f>
        <v/>
      </c>
      <c r="U140" s="190">
        <f>IF(OR((U56-U84)=0,4&lt;='01_Вводные'!$B$297),0,(U56-U84)*IF('01_Вводные'!$B$239="Да",MeanMinAge04+U205*SUMIF(ThresholdAge04,"&lt;"&amp;U205,WeightedRevAge04)-SUMIF(ThresholdAge04,"&lt;"&amp;U205,WeightedMinAge04),MAX(CapacityAge04*'01_Вводные'!$B$218*U205,MeanMinAge04)))</f>
        <v/>
      </c>
      <c r="V140" s="190">
        <f>IF(OR((V56-V84)=0,4&lt;='01_Вводные'!$B$297),0,(V56-V84)*IF('01_Вводные'!$B$239="Да",MeanMinAge04+V205*SUMIF(ThresholdAge04,"&lt;"&amp;V205,WeightedRevAge04)-SUMIF(ThresholdAge04,"&lt;"&amp;V205,WeightedMinAge04),MAX(CapacityAge04*'01_Вводные'!$B$218*V205,MeanMinAge04)))</f>
        <v/>
      </c>
      <c r="W140" s="190">
        <f>IF(OR((W56-W84)=0,4&lt;='01_Вводные'!$B$297),0,(W56-W84)*IF('01_Вводные'!$B$239="Да",MeanMinAge04+W205*SUMIF(ThresholdAge04,"&lt;"&amp;W205,WeightedRevAge04)-SUMIF(ThresholdAge04,"&lt;"&amp;W205,WeightedMinAge04),MAX(CapacityAge04*'01_Вводные'!$B$218*W205,MeanMinAge04)))</f>
        <v/>
      </c>
      <c r="X140" s="190">
        <f>IF(OR((X56-X84)=0,4&lt;='01_Вводные'!$B$297),0,(X56-X84)*IF('01_Вводные'!$B$239="Да",MeanMinAge04+X205*SUMIF(ThresholdAge04,"&lt;"&amp;X205,WeightedRevAge04)-SUMIF(ThresholdAge04,"&lt;"&amp;X205,WeightedMinAge04),MAX(CapacityAge04*'01_Вводные'!$B$218*X205,MeanMinAge04)))</f>
        <v/>
      </c>
      <c r="Y140" s="190">
        <f>IF(OR((Y56-Y84)=0,4&lt;='01_Вводные'!$B$297),0,(Y56-Y84)*IF('01_Вводные'!$B$239="Да",MeanMinAge04+Y205*SUMIF(ThresholdAge04,"&lt;"&amp;Y205,WeightedRevAge04)-SUMIF(ThresholdAge04,"&lt;"&amp;Y205,WeightedMinAge04),MAX(CapacityAge04*'01_Вводные'!$B$218*Y205,MeanMinAge04)))</f>
        <v/>
      </c>
      <c r="Z140" s="190">
        <f>IF(OR((Z56-Z84)=0,4&lt;='01_Вводные'!$B$297),0,(Z56-Z84)*IF('01_Вводные'!$B$239="Да",MeanMinAge04+Z205*SUMIF(ThresholdAge04,"&lt;"&amp;Z205,WeightedRevAge04)-SUMIF(ThresholdAge04,"&lt;"&amp;Z205,WeightedMinAge04),MAX(CapacityAge04*'01_Вводные'!$B$218*Z205,MeanMinAge04)))</f>
        <v/>
      </c>
      <c r="AA140" s="190">
        <f>IF(OR((AA56-AA84)=0,4&lt;='01_Вводные'!$B$297),0,(AA56-AA84)*IF('01_Вводные'!$B$239="Да",MeanMinAge04+AA205*SUMIF(ThresholdAge04,"&lt;"&amp;AA205,WeightedRevAge04)-SUMIF(ThresholdAge04,"&lt;"&amp;AA205,WeightedMinAge04),MAX(CapacityAge04*'01_Вводные'!$B$218*AA205,MeanMinAge04)))</f>
        <v/>
      </c>
      <c r="AB140" s="190">
        <f>IF(OR((AB56-AB84)=0,4&lt;='01_Вводные'!$B$297),0,(AB56-AB84)*IF('01_Вводные'!$B$239="Да",MeanMinAge04+AB205*SUMIF(ThresholdAge04,"&lt;"&amp;AB205,WeightedRevAge04)-SUMIF(ThresholdAge04,"&lt;"&amp;AB205,WeightedMinAge04),MAX(CapacityAge04*'01_Вводные'!$B$218*AB205,MeanMinAge04)))</f>
        <v/>
      </c>
      <c r="AC140" s="190">
        <f>IF(OR((AC56-AC84)=0,4&lt;='01_Вводные'!$B$297),0,(AC56-AC84)*IF('01_Вводные'!$B$239="Да",MeanMinAge04+AC205*SUMIF(ThresholdAge04,"&lt;"&amp;AC205,WeightedRevAge04)-SUMIF(ThresholdAge04,"&lt;"&amp;AC205,WeightedMinAge04),MAX(CapacityAge04*'01_Вводные'!$B$218*AC205,MeanMinAge04)))</f>
        <v/>
      </c>
      <c r="AD140" s="190">
        <f>IF(OR((AD56-AD84)=0,4&lt;='01_Вводные'!$B$297),0,(AD56-AD84)*IF('01_Вводные'!$B$239="Да",MeanMinAge04+AD205*SUMIF(ThresholdAge04,"&lt;"&amp;AD205,WeightedRevAge04)-SUMIF(ThresholdAge04,"&lt;"&amp;AD205,WeightedMinAge04),MAX(CapacityAge04*'01_Вводные'!$B$218*AD205,MeanMinAge04)))</f>
        <v/>
      </c>
      <c r="AE140" s="190">
        <f>IF(OR((AE56-AE84)=0,4&lt;='01_Вводные'!$B$297),0,(AE56-AE84)*IF('01_Вводные'!$B$239="Да",MeanMinAge04+AE205*SUMIF(ThresholdAge04,"&lt;"&amp;AE205,WeightedRevAge04)-SUMIF(ThresholdAge04,"&lt;"&amp;AE205,WeightedMinAge04),MAX(CapacityAge04*'01_Вводные'!$B$218*AE205,MeanMinAge04)))</f>
        <v/>
      </c>
      <c r="AF140" s="190">
        <f>IF(OR((AF56-AF84)=0,4&lt;='01_Вводные'!$B$297),0,(AF56-AF84)*IF('01_Вводные'!$B$239="Да",MeanMinAge04+AF205*SUMIF(ThresholdAge04,"&lt;"&amp;AF205,WeightedRevAge04)-SUMIF(ThresholdAge04,"&lt;"&amp;AF205,WeightedMinAge04),MAX(CapacityAge04*'01_Вводные'!$B$218*AF205,MeanMinAge04)))</f>
        <v/>
      </c>
      <c r="AG140" s="190">
        <f>IF(OR((AG56-AG84)=0,4&lt;='01_Вводные'!$B$297),0,(AG56-AG84)*IF('01_Вводные'!$B$239="Да",MeanMinAge04+AG205*SUMIF(ThresholdAge04,"&lt;"&amp;AG205,WeightedRevAge04)-SUMIF(ThresholdAge04,"&lt;"&amp;AG205,WeightedMinAge04),MAX(CapacityAge04*'01_Вводные'!$B$218*AG205,MeanMinAge04)))</f>
        <v/>
      </c>
      <c r="AH140" s="190">
        <f>IF(OR((AH56-AH84)=0,4&lt;='01_Вводные'!$B$297),0,(AH56-AH84)*IF('01_Вводные'!$B$239="Да",MeanMinAge04+AH205*SUMIF(ThresholdAge04,"&lt;"&amp;AH205,WeightedRevAge04)-SUMIF(ThresholdAge04,"&lt;"&amp;AH205,WeightedMinAge04),MAX(CapacityAge04*'01_Вводные'!$B$218*AH205,MeanMinAge04)))</f>
        <v/>
      </c>
      <c r="AI140" s="190">
        <f>IF(OR((AI56-AI84)=0,4&lt;='01_Вводные'!$B$297),0,(AI56-AI84)*IF('01_Вводные'!$B$239="Да",MeanMinAge04+AI205*SUMIF(ThresholdAge04,"&lt;"&amp;AI205,WeightedRevAge04)-SUMIF(ThresholdAge04,"&lt;"&amp;AI205,WeightedMinAge04),MAX(CapacityAge04*'01_Вводные'!$B$218*AI205,MeanMinAge04)))</f>
        <v/>
      </c>
      <c r="AJ140" s="190">
        <f>IF(OR((AJ56-AJ84)=0,4&lt;='01_Вводные'!$B$297),0,(AJ56-AJ84)*IF('01_Вводные'!$B$239="Да",MeanMinAge04+AJ205*SUMIF(ThresholdAge04,"&lt;"&amp;AJ205,WeightedRevAge04)-SUMIF(ThresholdAge04,"&lt;"&amp;AJ205,WeightedMinAge04),MAX(CapacityAge04*'01_Вводные'!$B$218*AJ205,MeanMinAge04)))</f>
        <v/>
      </c>
      <c r="AK140" s="190">
        <f>IF(OR((AK56-AK84)=0,4&lt;='01_Вводные'!$B$297),0,(AK56-AK84)*IF('01_Вводные'!$B$239="Да",MeanMinAge04+AK205*SUMIF(ThresholdAge04,"&lt;"&amp;AK205,WeightedRevAge04)-SUMIF(ThresholdAge04,"&lt;"&amp;AK205,WeightedMinAge04),MAX(CapacityAge04*'01_Вводные'!$B$218*AK205,MeanMinAge04)))</f>
        <v/>
      </c>
      <c r="AL140" s="190">
        <f>IF(OR((AL56-AL84)=0,4&lt;='01_Вводные'!$B$297),0,(AL56-AL84)*IF('01_Вводные'!$B$239="Да",MeanMinAge04+AL205*SUMIF(ThresholdAge04,"&lt;"&amp;AL205,WeightedRevAge04)-SUMIF(ThresholdAge04,"&lt;"&amp;AL205,WeightedMinAge04),MAX(CapacityAge04*'01_Вводные'!$B$218*AL205,MeanMinAge04)))</f>
        <v/>
      </c>
      <c r="AM140" s="190">
        <f>IF(OR((AM56-AM84)=0,4&lt;='01_Вводные'!$B$297),0,(AM56-AM84)*IF('01_Вводные'!$B$239="Да",MeanMinAge04+AM205*SUMIF(ThresholdAge04,"&lt;"&amp;AM205,WeightedRevAge04)-SUMIF(ThresholdAge04,"&lt;"&amp;AM205,WeightedMinAge04),MAX(CapacityAge04*'01_Вводные'!$B$218*AM205,MeanMinAge04)))</f>
        <v/>
      </c>
      <c r="AN140" s="190">
        <f>IF(OR((AN56-AN84)=0,4&lt;='01_Вводные'!$B$297),0,(AN56-AN84)*IF('01_Вводные'!$B$239="Да",MeanMinAge04+AN205*SUMIF(ThresholdAge04,"&lt;"&amp;AN205,WeightedRevAge04)-SUMIF(ThresholdAge04,"&lt;"&amp;AN205,WeightedMinAge04),MAX(CapacityAge04*'01_Вводные'!$B$218*AN205,MeanMinAge04)))</f>
        <v/>
      </c>
      <c r="AO140" s="190">
        <f>IF(OR((AO56-AO84)=0,4&lt;='01_Вводные'!$B$297),0,(AO56-AO84)*IF('01_Вводные'!$B$239="Да",MeanMinAge04+AO205*SUMIF(ThresholdAge04,"&lt;"&amp;AO205,WeightedRevAge04)-SUMIF(ThresholdAge04,"&lt;"&amp;AO205,WeightedMinAge04),MAX(CapacityAge04*'01_Вводные'!$B$218*AO205,MeanMinAge04)))</f>
        <v/>
      </c>
      <c r="AP140" s="190">
        <f>IF(OR((AP56-AP84)=0,4&lt;='01_Вводные'!$B$297),0,(AP56-AP84)*IF('01_Вводные'!$B$239="Да",MeanMinAge04+AP205*SUMIF(ThresholdAge04,"&lt;"&amp;AP205,WeightedRevAge04)-SUMIF(ThresholdAge04,"&lt;"&amp;AP205,WeightedMinAge04),MAX(CapacityAge04*'01_Вводные'!$B$218*AP205,MeanMinAge04)))</f>
        <v/>
      </c>
      <c r="AQ140" s="190">
        <f>IF(OR((AQ56-AQ84)=0,4&lt;='01_Вводные'!$B$297),0,(AQ56-AQ84)*IF('01_Вводные'!$B$239="Да",MeanMinAge04+AQ205*SUMIF(ThresholdAge04,"&lt;"&amp;AQ205,WeightedRevAge04)-SUMIF(ThresholdAge04,"&lt;"&amp;AQ205,WeightedMinAge04),MAX(CapacityAge04*'01_Вводные'!$B$218*AQ205,MeanMinAge04)))</f>
        <v/>
      </c>
      <c r="AR140" s="190">
        <f>IF(OR((AR56-AR84)=0,4&lt;='01_Вводные'!$B$297),0,(AR56-AR84)*IF('01_Вводные'!$B$239="Да",MeanMinAge04+AR205*SUMIF(ThresholdAge04,"&lt;"&amp;AR205,WeightedRevAge04)-SUMIF(ThresholdAge04,"&lt;"&amp;AR205,WeightedMinAge04),MAX(CapacityAge04*'01_Вводные'!$B$218*AR205,MeanMinAge04)))</f>
        <v/>
      </c>
      <c r="AS140" s="190">
        <f>IF(OR((AS56-AS84)=0,4&lt;='01_Вводные'!$B$297),0,(AS56-AS84)*IF('01_Вводные'!$B$239="Да",MeanMinAge04+AS205*SUMIF(ThresholdAge04,"&lt;"&amp;AS205,WeightedRevAge04)-SUMIF(ThresholdAge04,"&lt;"&amp;AS205,WeightedMinAge04),MAX(CapacityAge04*'01_Вводные'!$B$218*AS205,MeanMinAge04)))</f>
        <v/>
      </c>
      <c r="AT140" s="190">
        <f>IF(OR((AT56-AT84)=0,4&lt;='01_Вводные'!$B$297),0,(AT56-AT84)*IF('01_Вводные'!$B$239="Да",MeanMinAge04+AT205*SUMIF(ThresholdAge04,"&lt;"&amp;AT205,WeightedRevAge04)-SUMIF(ThresholdAge04,"&lt;"&amp;AT205,WeightedMinAge04),MAX(CapacityAge04*'01_Вводные'!$B$218*AT205,MeanMinAge04)))</f>
        <v/>
      </c>
      <c r="AU140" s="190">
        <f>IF(OR((AU56-AU84)=0,4&lt;='01_Вводные'!$B$297),0,(AU56-AU84)*IF('01_Вводные'!$B$239="Да",MeanMinAge04+AU205*SUMIF(ThresholdAge04,"&lt;"&amp;AU205,WeightedRevAge04)-SUMIF(ThresholdAge04,"&lt;"&amp;AU205,WeightedMinAge04),MAX(CapacityAge04*'01_Вводные'!$B$218*AU205,MeanMinAge04)))</f>
        <v/>
      </c>
      <c r="AV140" s="190">
        <f>IF(OR((AV56-AV84)=0,4&lt;='01_Вводные'!$B$297),0,(AV56-AV84)*IF('01_Вводные'!$B$239="Да",MeanMinAge04+AV205*SUMIF(ThresholdAge04,"&lt;"&amp;AV205,WeightedRevAge04)-SUMIF(ThresholdAge04,"&lt;"&amp;AV205,WeightedMinAge04),MAX(CapacityAge04*'01_Вводные'!$B$218*AV205,MeanMinAge04)))</f>
        <v/>
      </c>
      <c r="AW140" s="190">
        <f>IF(OR((AW56-AW84)=0,4&lt;='01_Вводные'!$B$297),0,(AW56-AW84)*IF('01_Вводные'!$B$239="Да",MeanMinAge04+AW205*SUMIF(ThresholdAge04,"&lt;"&amp;AW205,WeightedRevAge04)-SUMIF(ThresholdAge04,"&lt;"&amp;AW205,WeightedMinAge04),MAX(CapacityAge04*'01_Вводные'!$B$218*AW205,MeanMinAge04)))</f>
        <v/>
      </c>
      <c r="AX140" s="190">
        <f>IF(OR((AX56-AX84)=0,4&lt;='01_Вводные'!$B$297),0,(AX56-AX84)*IF('01_Вводные'!$B$239="Да",MeanMinAge04+AX205*SUMIF(ThresholdAge04,"&lt;"&amp;AX205,WeightedRevAge04)-SUMIF(ThresholdAge04,"&lt;"&amp;AX205,WeightedMinAge04),MAX(CapacityAge04*'01_Вводные'!$B$218*AX205,MeanMinAge04)))</f>
        <v/>
      </c>
      <c r="AY140" s="190">
        <f>IF(OR((AY56-AY84)=0,4&lt;='01_Вводные'!$B$297),0,(AY56-AY84)*IF('01_Вводные'!$B$239="Да",MeanMinAge04+AY205*SUMIF(ThresholdAge04,"&lt;"&amp;AY205,WeightedRevAge04)-SUMIF(ThresholdAge04,"&lt;"&amp;AY205,WeightedMinAge04),MAX(CapacityAge04*'01_Вводные'!$B$218*AY205,MeanMinAge04)))</f>
        <v/>
      </c>
      <c r="AZ140" s="190">
        <f>IF(OR((AZ56-AZ84)=0,4&lt;='01_Вводные'!$B$297),0,(AZ56-AZ84)*IF('01_Вводные'!$B$239="Да",MeanMinAge04+AZ205*SUMIF(ThresholdAge04,"&lt;"&amp;AZ205,WeightedRevAge04)-SUMIF(ThresholdAge04,"&lt;"&amp;AZ205,WeightedMinAge04),MAX(CapacityAge04*'01_Вводные'!$B$218*AZ205,MeanMinAge04)))</f>
        <v/>
      </c>
      <c r="BA140" s="190">
        <f>IF(OR((BA56-BA84)=0,4&lt;='01_Вводные'!$B$297),0,(BA56-BA84)*IF('01_Вводные'!$B$239="Да",MeanMinAge04+BA205*SUMIF(ThresholdAge04,"&lt;"&amp;BA205,WeightedRevAge04)-SUMIF(ThresholdAge04,"&lt;"&amp;BA205,WeightedMinAge04),MAX(CapacityAge04*'01_Вводные'!$B$218*BA205,MeanMinAge04)))</f>
        <v/>
      </c>
      <c r="BB140" s="190">
        <f>IF(OR((BB56-BB84)=0,4&lt;='01_Вводные'!$B$297),0,(BB56-BB84)*IF('01_Вводные'!$B$239="Да",MeanMinAge04+BB205*SUMIF(ThresholdAge04,"&lt;"&amp;BB205,WeightedRevAge04)-SUMIF(ThresholdAge04,"&lt;"&amp;BB205,WeightedMinAge04),MAX(CapacityAge04*'01_Вводные'!$B$218*BB205,MeanMinAge04)))</f>
        <v/>
      </c>
      <c r="BC140" s="190">
        <f>IF(OR((BC56-BC84)=0,4&lt;='01_Вводные'!$B$297),0,(BC56-BC84)*IF('01_Вводные'!$B$239="Да",MeanMinAge04+BC205*SUMIF(ThresholdAge04,"&lt;"&amp;BC205,WeightedRevAge04)-SUMIF(ThresholdAge04,"&lt;"&amp;BC205,WeightedMinAge04),MAX(CapacityAge04*'01_Вводные'!$B$218*BC205,MeanMinAge04)))</f>
        <v/>
      </c>
      <c r="BD140" s="190">
        <f>IF(OR((BD56-BD84)=0,4&lt;='01_Вводные'!$B$297),0,(BD56-BD84)*IF('01_Вводные'!$B$239="Да",MeanMinAge04+BD205*SUMIF(ThresholdAge04,"&lt;"&amp;BD205,WeightedRevAge04)-SUMIF(ThresholdAge04,"&lt;"&amp;BD205,WeightedMinAge04),MAX(CapacityAge04*'01_Вводные'!$B$218*BD205,MeanMinAge04)))</f>
        <v/>
      </c>
      <c r="BE140" s="190">
        <f>IF(OR((BE56-BE84)=0,4&lt;='01_Вводные'!$B$297),0,(BE56-BE84)*IF('01_Вводные'!$B$239="Да",MeanMinAge04+BE205*SUMIF(ThresholdAge04,"&lt;"&amp;BE205,WeightedRevAge04)-SUMIF(ThresholdAge04,"&lt;"&amp;BE205,WeightedMinAge04),MAX(CapacityAge04*'01_Вводные'!$B$218*BE205,MeanMinAge04)))</f>
        <v/>
      </c>
      <c r="BF140" s="190">
        <f>IF(OR((BF56-BF84)=0,4&lt;='01_Вводные'!$B$297),0,(BF56-BF84)*IF('01_Вводные'!$B$239="Да",MeanMinAge04+BF205*SUMIF(ThresholdAge04,"&lt;"&amp;BF205,WeightedRevAge04)-SUMIF(ThresholdAge04,"&lt;"&amp;BF205,WeightedMinAge04),MAX(CapacityAge04*'01_Вводные'!$B$218*BF205,MeanMinAge04)))</f>
        <v/>
      </c>
      <c r="BG140" s="190">
        <f>IF(OR((BG56-BG84)=0,4&lt;='01_Вводные'!$B$297),0,(BG56-BG84)*IF('01_Вводные'!$B$239="Да",MeanMinAge04+BG205*SUMIF(ThresholdAge04,"&lt;"&amp;BG205,WeightedRevAge04)-SUMIF(ThresholdAge04,"&lt;"&amp;BG205,WeightedMinAge04),MAX(CapacityAge04*'01_Вводные'!$B$218*BG205,MeanMinAge04)))</f>
        <v/>
      </c>
      <c r="BH140" s="190">
        <f>IF(OR((BH56-BH84)=0,4&lt;='01_Вводные'!$B$297),0,(BH56-BH84)*IF('01_Вводные'!$B$239="Да",MeanMinAge04+BH205*SUMIF(ThresholdAge04,"&lt;"&amp;BH205,WeightedRevAge04)-SUMIF(ThresholdAge04,"&lt;"&amp;BH205,WeightedMinAge04),MAX(CapacityAge04*'01_Вводные'!$B$218*BH205,MeanMinAge04)))</f>
        <v/>
      </c>
      <c r="BI140" s="190">
        <f>IF(OR((BI56-BI84)=0,4&lt;='01_Вводные'!$B$297),0,(BI56-BI84)*IF('01_Вводные'!$B$239="Да",MeanMinAge04+BI205*SUMIF(ThresholdAge04,"&lt;"&amp;BI205,WeightedRevAge04)-SUMIF(ThresholdAge04,"&lt;"&amp;BI205,WeightedMinAge04),MAX(CapacityAge04*'01_Вводные'!$B$218*BI205,MeanMinAge04)))</f>
        <v/>
      </c>
      <c r="BJ140" s="190">
        <f>IF(OR((BJ56-BJ84)=0,4&lt;='01_Вводные'!$B$297),0,(BJ56-BJ84)*IF('01_Вводные'!$B$239="Да",MeanMinAge04+BJ205*SUMIF(ThresholdAge04,"&lt;"&amp;BJ205,WeightedRevAge04)-SUMIF(ThresholdAge04,"&lt;"&amp;BJ205,WeightedMinAge04),MAX(CapacityAge04*'01_Вводные'!$B$218*BJ205,MeanMinAge04)))</f>
        <v/>
      </c>
      <c r="BK140" s="190">
        <f>IF(OR((BK56-BK84)=0,4&lt;='01_Вводные'!$B$297),0,(BK56-BK84)*IF('01_Вводные'!$B$239="Да",MeanMinAge04+BK205*SUMIF(ThresholdAge04,"&lt;"&amp;BK205,WeightedRevAge04)-SUMIF(ThresholdAge04,"&lt;"&amp;BK205,WeightedMinAge04),MAX(CapacityAge04*'01_Вводные'!$B$218*BK205,MeanMinAge04)))</f>
        <v/>
      </c>
      <c r="BL140" s="190">
        <f>IF(OR((BL56-BL84)=0,4&lt;='01_Вводные'!$B$297),0,(BL56-BL84)*IF('01_Вводные'!$B$239="Да",MeanMinAge04+BL205*SUMIF(ThresholdAge04,"&lt;"&amp;BL205,WeightedRevAge04)-SUMIF(ThresholdAge04,"&lt;"&amp;BL205,WeightedMinAge04),MAX(CapacityAge04*'01_Вводные'!$B$218*BL205,MeanMinAge04)))</f>
        <v/>
      </c>
      <c r="BM140" s="190">
        <f>IF(OR((BM56-BM84)=0,4&lt;='01_Вводные'!$B$297),0,(BM56-BM84)*IF('01_Вводные'!$B$239="Да",MeanMinAge04+BM205*SUMIF(ThresholdAge04,"&lt;"&amp;BM205,WeightedRevAge04)-SUMIF(ThresholdAge04,"&lt;"&amp;BM205,WeightedMinAge04),MAX(CapacityAge04*'01_Вводные'!$B$218*BM205,MeanMinAge04)))</f>
        <v/>
      </c>
      <c r="BN140" s="190">
        <f>IF(OR((BN56-BN84)=0,4&lt;='01_Вводные'!$B$297),0,(BN56-BN84)*IF('01_Вводные'!$B$239="Да",MeanMinAge04+BN205*SUMIF(ThresholdAge04,"&lt;"&amp;BN205,WeightedRevAge04)-SUMIF(ThresholdAge04,"&lt;"&amp;BN205,WeightedMinAge04),MAX(CapacityAge04*'01_Вводные'!$B$218*BN205,MeanMinAge04)))</f>
        <v/>
      </c>
      <c r="BO140" s="190">
        <f>IF(OR((BO56-BO84)=0,4&lt;='01_Вводные'!$B$297),0,(BO56-BO84)*IF('01_Вводные'!$B$239="Да",MeanMinAge04+BO205*SUMIF(ThresholdAge04,"&lt;"&amp;BO205,WeightedRevAge04)-SUMIF(ThresholdAge04,"&lt;"&amp;BO205,WeightedMinAge04),MAX(CapacityAge04*'01_Вводные'!$B$218*BO205,MeanMinAge04)))</f>
        <v/>
      </c>
    </row>
    <row r="141" hidden="1" outlineLevel="1">
      <c r="A141" t="inlineStr">
        <is>
          <t>5 мес.</t>
        </is>
      </c>
      <c r="B141" s="190">
        <f>IF(OR((B57-B85)=0,5&lt;='01_Вводные'!$B$297),0,(B57-B85)*IF('01_Вводные'!$B$239="Да",MeanMinAge05+B205*SUMIF(ThresholdAge05,"&lt;"&amp;B205,WeightedRevAge05)-SUMIF(ThresholdAge05,"&lt;"&amp;B205,WeightedMinAge05),MAX(CapacityAge05*'01_Вводные'!$B$218*B205,MeanMinAge05)))</f>
        <v/>
      </c>
      <c r="C141" s="190">
        <f>IF(OR((C57-C85)=0,5&lt;='01_Вводные'!$B$297),0,(C57-C85)*IF('01_Вводные'!$B$239="Да",MeanMinAge05+C205*SUMIF(ThresholdAge05,"&lt;"&amp;C205,WeightedRevAge05)-SUMIF(ThresholdAge05,"&lt;"&amp;C205,WeightedMinAge05),MAX(CapacityAge05*'01_Вводные'!$B$218*C205,MeanMinAge05)))</f>
        <v/>
      </c>
      <c r="D141" s="190">
        <f>IF(OR((D57-D85)=0,5&lt;='01_Вводные'!$B$297),0,(D57-D85)*IF('01_Вводные'!$B$239="Да",MeanMinAge05+D205*SUMIF(ThresholdAge05,"&lt;"&amp;D205,WeightedRevAge05)-SUMIF(ThresholdAge05,"&lt;"&amp;D205,WeightedMinAge05),MAX(CapacityAge05*'01_Вводные'!$B$218*D205,MeanMinAge05)))</f>
        <v/>
      </c>
      <c r="E141" s="190">
        <f>IF(OR((E57-E85)=0,5&lt;='01_Вводные'!$B$297),0,(E57-E85)*IF('01_Вводные'!$B$239="Да",MeanMinAge05+E205*SUMIF(ThresholdAge05,"&lt;"&amp;E205,WeightedRevAge05)-SUMIF(ThresholdAge05,"&lt;"&amp;E205,WeightedMinAge05),MAX(CapacityAge05*'01_Вводные'!$B$218*E205,MeanMinAge05)))</f>
        <v/>
      </c>
      <c r="F141" s="190">
        <f>IF(OR((F57-F85)=0,5&lt;='01_Вводные'!$B$297),0,(F57-F85)*IF('01_Вводные'!$B$239="Да",MeanMinAge05+F205*SUMIF(ThresholdAge05,"&lt;"&amp;F205,WeightedRevAge05)-SUMIF(ThresholdAge05,"&lt;"&amp;F205,WeightedMinAge05),MAX(CapacityAge05*'01_Вводные'!$B$218*F205,MeanMinAge05)))</f>
        <v/>
      </c>
      <c r="G141" s="190">
        <f>IF(OR((G57-G85)=0,5&lt;='01_Вводные'!$B$297),0,(G57-G85)*IF('01_Вводные'!$B$239="Да",MeanMinAge05+G205*SUMIF(ThresholdAge05,"&lt;"&amp;G205,WeightedRevAge05)-SUMIF(ThresholdAge05,"&lt;"&amp;G205,WeightedMinAge05),MAX(CapacityAge05*'01_Вводные'!$B$218*G205,MeanMinAge05)))</f>
        <v/>
      </c>
      <c r="H141" s="190">
        <f>IF(OR((H57-H85)=0,5&lt;='01_Вводные'!$B$297),0,(H57-H85)*IF('01_Вводные'!$B$239="Да",MeanMinAge05+H205*SUMIF(ThresholdAge05,"&lt;"&amp;H205,WeightedRevAge05)-SUMIF(ThresholdAge05,"&lt;"&amp;H205,WeightedMinAge05),MAX(CapacityAge05*'01_Вводные'!$B$218*H205,MeanMinAge05)))</f>
        <v/>
      </c>
      <c r="I141" s="190">
        <f>IF(OR((I57-I85)=0,5&lt;='01_Вводные'!$B$297),0,(I57-I85)*IF('01_Вводные'!$B$239="Да",MeanMinAge05+I205*SUMIF(ThresholdAge05,"&lt;"&amp;I205,WeightedRevAge05)-SUMIF(ThresholdAge05,"&lt;"&amp;I205,WeightedMinAge05),MAX(CapacityAge05*'01_Вводные'!$B$218*I205,MeanMinAge05)))</f>
        <v/>
      </c>
      <c r="J141" s="190">
        <f>IF(OR((J57-J85)=0,5&lt;='01_Вводные'!$B$297),0,(J57-J85)*IF('01_Вводные'!$B$239="Да",MeanMinAge05+J205*SUMIF(ThresholdAge05,"&lt;"&amp;J205,WeightedRevAge05)-SUMIF(ThresholdAge05,"&lt;"&amp;J205,WeightedMinAge05),MAX(CapacityAge05*'01_Вводные'!$B$218*J205,MeanMinAge05)))</f>
        <v/>
      </c>
      <c r="K141" s="190">
        <f>IF(OR((K57-K85)=0,5&lt;='01_Вводные'!$B$297),0,(K57-K85)*IF('01_Вводные'!$B$239="Да",MeanMinAge05+K205*SUMIF(ThresholdAge05,"&lt;"&amp;K205,WeightedRevAge05)-SUMIF(ThresholdAge05,"&lt;"&amp;K205,WeightedMinAge05),MAX(CapacityAge05*'01_Вводные'!$B$218*K205,MeanMinAge05)))</f>
        <v/>
      </c>
      <c r="L141" s="190">
        <f>IF(OR((L57-L85)=0,5&lt;='01_Вводные'!$B$297),0,(L57-L85)*IF('01_Вводные'!$B$239="Да",MeanMinAge05+L205*SUMIF(ThresholdAge05,"&lt;"&amp;L205,WeightedRevAge05)-SUMIF(ThresholdAge05,"&lt;"&amp;L205,WeightedMinAge05),MAX(CapacityAge05*'01_Вводные'!$B$218*L205,MeanMinAge05)))</f>
        <v/>
      </c>
      <c r="M141" s="190">
        <f>IF(OR((M57-M85)=0,5&lt;='01_Вводные'!$B$297),0,(M57-M85)*IF('01_Вводные'!$B$239="Да",MeanMinAge05+M205*SUMIF(ThresholdAge05,"&lt;"&amp;M205,WeightedRevAge05)-SUMIF(ThresholdAge05,"&lt;"&amp;M205,WeightedMinAge05),MAX(CapacityAge05*'01_Вводные'!$B$218*M205,MeanMinAge05)))</f>
        <v/>
      </c>
      <c r="N141" s="190">
        <f>IF(OR((N57-N85)=0,5&lt;='01_Вводные'!$B$297),0,(N57-N85)*IF('01_Вводные'!$B$239="Да",MeanMinAge05+N205*SUMIF(ThresholdAge05,"&lt;"&amp;N205,WeightedRevAge05)-SUMIF(ThresholdAge05,"&lt;"&amp;N205,WeightedMinAge05),MAX(CapacityAge05*'01_Вводные'!$B$218*N205,MeanMinAge05)))</f>
        <v/>
      </c>
      <c r="O141" s="190">
        <f>IF(OR((O57-O85)=0,5&lt;='01_Вводные'!$B$297),0,(O57-O85)*IF('01_Вводные'!$B$239="Да",MeanMinAge05+O205*SUMIF(ThresholdAge05,"&lt;"&amp;O205,WeightedRevAge05)-SUMIF(ThresholdAge05,"&lt;"&amp;O205,WeightedMinAge05),MAX(CapacityAge05*'01_Вводные'!$B$218*O205,MeanMinAge05)))</f>
        <v/>
      </c>
      <c r="P141" s="190">
        <f>IF(OR((P57-P85)=0,5&lt;='01_Вводные'!$B$297),0,(P57-P85)*IF('01_Вводные'!$B$239="Да",MeanMinAge05+P205*SUMIF(ThresholdAge05,"&lt;"&amp;P205,WeightedRevAge05)-SUMIF(ThresholdAge05,"&lt;"&amp;P205,WeightedMinAge05),MAX(CapacityAge05*'01_Вводные'!$B$218*P205,MeanMinAge05)))</f>
        <v/>
      </c>
      <c r="Q141" s="190">
        <f>IF(OR((Q57-Q85)=0,5&lt;='01_Вводные'!$B$297),0,(Q57-Q85)*IF('01_Вводные'!$B$239="Да",MeanMinAge05+Q205*SUMIF(ThresholdAge05,"&lt;"&amp;Q205,WeightedRevAge05)-SUMIF(ThresholdAge05,"&lt;"&amp;Q205,WeightedMinAge05),MAX(CapacityAge05*'01_Вводные'!$B$218*Q205,MeanMinAge05)))</f>
        <v/>
      </c>
      <c r="R141" s="190">
        <f>IF(OR((R57-R85)=0,5&lt;='01_Вводные'!$B$297),0,(R57-R85)*IF('01_Вводные'!$B$239="Да",MeanMinAge05+R205*SUMIF(ThresholdAge05,"&lt;"&amp;R205,WeightedRevAge05)-SUMIF(ThresholdAge05,"&lt;"&amp;R205,WeightedMinAge05),MAX(CapacityAge05*'01_Вводные'!$B$218*R205,MeanMinAge05)))</f>
        <v/>
      </c>
      <c r="S141" s="190">
        <f>IF(OR((S57-S85)=0,5&lt;='01_Вводные'!$B$297),0,(S57-S85)*IF('01_Вводные'!$B$239="Да",MeanMinAge05+S205*SUMIF(ThresholdAge05,"&lt;"&amp;S205,WeightedRevAge05)-SUMIF(ThresholdAge05,"&lt;"&amp;S205,WeightedMinAge05),MAX(CapacityAge05*'01_Вводные'!$B$218*S205,MeanMinAge05)))</f>
        <v/>
      </c>
      <c r="T141" s="190">
        <f>IF(OR((T57-T85)=0,5&lt;='01_Вводные'!$B$297),0,(T57-T85)*IF('01_Вводные'!$B$239="Да",MeanMinAge05+T205*SUMIF(ThresholdAge05,"&lt;"&amp;T205,WeightedRevAge05)-SUMIF(ThresholdAge05,"&lt;"&amp;T205,WeightedMinAge05),MAX(CapacityAge05*'01_Вводные'!$B$218*T205,MeanMinAge05)))</f>
        <v/>
      </c>
      <c r="U141" s="190">
        <f>IF(OR((U57-U85)=0,5&lt;='01_Вводные'!$B$297),0,(U57-U85)*IF('01_Вводные'!$B$239="Да",MeanMinAge05+U205*SUMIF(ThresholdAge05,"&lt;"&amp;U205,WeightedRevAge05)-SUMIF(ThresholdAge05,"&lt;"&amp;U205,WeightedMinAge05),MAX(CapacityAge05*'01_Вводные'!$B$218*U205,MeanMinAge05)))</f>
        <v/>
      </c>
      <c r="V141" s="190">
        <f>IF(OR((V57-V85)=0,5&lt;='01_Вводные'!$B$297),0,(V57-V85)*IF('01_Вводные'!$B$239="Да",MeanMinAge05+V205*SUMIF(ThresholdAge05,"&lt;"&amp;V205,WeightedRevAge05)-SUMIF(ThresholdAge05,"&lt;"&amp;V205,WeightedMinAge05),MAX(CapacityAge05*'01_Вводные'!$B$218*V205,MeanMinAge05)))</f>
        <v/>
      </c>
      <c r="W141" s="190">
        <f>IF(OR((W57-W85)=0,5&lt;='01_Вводные'!$B$297),0,(W57-W85)*IF('01_Вводные'!$B$239="Да",MeanMinAge05+W205*SUMIF(ThresholdAge05,"&lt;"&amp;W205,WeightedRevAge05)-SUMIF(ThresholdAge05,"&lt;"&amp;W205,WeightedMinAge05),MAX(CapacityAge05*'01_Вводные'!$B$218*W205,MeanMinAge05)))</f>
        <v/>
      </c>
      <c r="X141" s="190">
        <f>IF(OR((X57-X85)=0,5&lt;='01_Вводные'!$B$297),0,(X57-X85)*IF('01_Вводные'!$B$239="Да",MeanMinAge05+X205*SUMIF(ThresholdAge05,"&lt;"&amp;X205,WeightedRevAge05)-SUMIF(ThresholdAge05,"&lt;"&amp;X205,WeightedMinAge05),MAX(CapacityAge05*'01_Вводные'!$B$218*X205,MeanMinAge05)))</f>
        <v/>
      </c>
      <c r="Y141" s="190">
        <f>IF(OR((Y57-Y85)=0,5&lt;='01_Вводные'!$B$297),0,(Y57-Y85)*IF('01_Вводные'!$B$239="Да",MeanMinAge05+Y205*SUMIF(ThresholdAge05,"&lt;"&amp;Y205,WeightedRevAge05)-SUMIF(ThresholdAge05,"&lt;"&amp;Y205,WeightedMinAge05),MAX(CapacityAge05*'01_Вводные'!$B$218*Y205,MeanMinAge05)))</f>
        <v/>
      </c>
      <c r="Z141" s="190">
        <f>IF(OR((Z57-Z85)=0,5&lt;='01_Вводные'!$B$297),0,(Z57-Z85)*IF('01_Вводные'!$B$239="Да",MeanMinAge05+Z205*SUMIF(ThresholdAge05,"&lt;"&amp;Z205,WeightedRevAge05)-SUMIF(ThresholdAge05,"&lt;"&amp;Z205,WeightedMinAge05),MAX(CapacityAge05*'01_Вводные'!$B$218*Z205,MeanMinAge05)))</f>
        <v/>
      </c>
      <c r="AA141" s="190">
        <f>IF(OR((AA57-AA85)=0,5&lt;='01_Вводные'!$B$297),0,(AA57-AA85)*IF('01_Вводные'!$B$239="Да",MeanMinAge05+AA205*SUMIF(ThresholdAge05,"&lt;"&amp;AA205,WeightedRevAge05)-SUMIF(ThresholdAge05,"&lt;"&amp;AA205,WeightedMinAge05),MAX(CapacityAge05*'01_Вводные'!$B$218*AA205,MeanMinAge05)))</f>
        <v/>
      </c>
      <c r="AB141" s="190">
        <f>IF(OR((AB57-AB85)=0,5&lt;='01_Вводные'!$B$297),0,(AB57-AB85)*IF('01_Вводные'!$B$239="Да",MeanMinAge05+AB205*SUMIF(ThresholdAge05,"&lt;"&amp;AB205,WeightedRevAge05)-SUMIF(ThresholdAge05,"&lt;"&amp;AB205,WeightedMinAge05),MAX(CapacityAge05*'01_Вводные'!$B$218*AB205,MeanMinAge05)))</f>
        <v/>
      </c>
      <c r="AC141" s="190">
        <f>IF(OR((AC57-AC85)=0,5&lt;='01_Вводные'!$B$297),0,(AC57-AC85)*IF('01_Вводные'!$B$239="Да",MeanMinAge05+AC205*SUMIF(ThresholdAge05,"&lt;"&amp;AC205,WeightedRevAge05)-SUMIF(ThresholdAge05,"&lt;"&amp;AC205,WeightedMinAge05),MAX(CapacityAge05*'01_Вводные'!$B$218*AC205,MeanMinAge05)))</f>
        <v/>
      </c>
      <c r="AD141" s="190">
        <f>IF(OR((AD57-AD85)=0,5&lt;='01_Вводные'!$B$297),0,(AD57-AD85)*IF('01_Вводные'!$B$239="Да",MeanMinAge05+AD205*SUMIF(ThresholdAge05,"&lt;"&amp;AD205,WeightedRevAge05)-SUMIF(ThresholdAge05,"&lt;"&amp;AD205,WeightedMinAge05),MAX(CapacityAge05*'01_Вводные'!$B$218*AD205,MeanMinAge05)))</f>
        <v/>
      </c>
      <c r="AE141" s="190">
        <f>IF(OR((AE57-AE85)=0,5&lt;='01_Вводные'!$B$297),0,(AE57-AE85)*IF('01_Вводные'!$B$239="Да",MeanMinAge05+AE205*SUMIF(ThresholdAge05,"&lt;"&amp;AE205,WeightedRevAge05)-SUMIF(ThresholdAge05,"&lt;"&amp;AE205,WeightedMinAge05),MAX(CapacityAge05*'01_Вводные'!$B$218*AE205,MeanMinAge05)))</f>
        <v/>
      </c>
      <c r="AF141" s="190">
        <f>IF(OR((AF57-AF85)=0,5&lt;='01_Вводные'!$B$297),0,(AF57-AF85)*IF('01_Вводные'!$B$239="Да",MeanMinAge05+AF205*SUMIF(ThresholdAge05,"&lt;"&amp;AF205,WeightedRevAge05)-SUMIF(ThresholdAge05,"&lt;"&amp;AF205,WeightedMinAge05),MAX(CapacityAge05*'01_Вводные'!$B$218*AF205,MeanMinAge05)))</f>
        <v/>
      </c>
      <c r="AG141" s="190">
        <f>IF(OR((AG57-AG85)=0,5&lt;='01_Вводные'!$B$297),0,(AG57-AG85)*IF('01_Вводные'!$B$239="Да",MeanMinAge05+AG205*SUMIF(ThresholdAge05,"&lt;"&amp;AG205,WeightedRevAge05)-SUMIF(ThresholdAge05,"&lt;"&amp;AG205,WeightedMinAge05),MAX(CapacityAge05*'01_Вводные'!$B$218*AG205,MeanMinAge05)))</f>
        <v/>
      </c>
      <c r="AH141" s="190">
        <f>IF(OR((AH57-AH85)=0,5&lt;='01_Вводные'!$B$297),0,(AH57-AH85)*IF('01_Вводные'!$B$239="Да",MeanMinAge05+AH205*SUMIF(ThresholdAge05,"&lt;"&amp;AH205,WeightedRevAge05)-SUMIF(ThresholdAge05,"&lt;"&amp;AH205,WeightedMinAge05),MAX(CapacityAge05*'01_Вводные'!$B$218*AH205,MeanMinAge05)))</f>
        <v/>
      </c>
      <c r="AI141" s="190">
        <f>IF(OR((AI57-AI85)=0,5&lt;='01_Вводные'!$B$297),0,(AI57-AI85)*IF('01_Вводные'!$B$239="Да",MeanMinAge05+AI205*SUMIF(ThresholdAge05,"&lt;"&amp;AI205,WeightedRevAge05)-SUMIF(ThresholdAge05,"&lt;"&amp;AI205,WeightedMinAge05),MAX(CapacityAge05*'01_Вводные'!$B$218*AI205,MeanMinAge05)))</f>
        <v/>
      </c>
      <c r="AJ141" s="190">
        <f>IF(OR((AJ57-AJ85)=0,5&lt;='01_Вводные'!$B$297),0,(AJ57-AJ85)*IF('01_Вводные'!$B$239="Да",MeanMinAge05+AJ205*SUMIF(ThresholdAge05,"&lt;"&amp;AJ205,WeightedRevAge05)-SUMIF(ThresholdAge05,"&lt;"&amp;AJ205,WeightedMinAge05),MAX(CapacityAge05*'01_Вводные'!$B$218*AJ205,MeanMinAge05)))</f>
        <v/>
      </c>
      <c r="AK141" s="190">
        <f>IF(OR((AK57-AK85)=0,5&lt;='01_Вводные'!$B$297),0,(AK57-AK85)*IF('01_Вводные'!$B$239="Да",MeanMinAge05+AK205*SUMIF(ThresholdAge05,"&lt;"&amp;AK205,WeightedRevAge05)-SUMIF(ThresholdAge05,"&lt;"&amp;AK205,WeightedMinAge05),MAX(CapacityAge05*'01_Вводные'!$B$218*AK205,MeanMinAge05)))</f>
        <v/>
      </c>
      <c r="AL141" s="190">
        <f>IF(OR((AL57-AL85)=0,5&lt;='01_Вводные'!$B$297),0,(AL57-AL85)*IF('01_Вводные'!$B$239="Да",MeanMinAge05+AL205*SUMIF(ThresholdAge05,"&lt;"&amp;AL205,WeightedRevAge05)-SUMIF(ThresholdAge05,"&lt;"&amp;AL205,WeightedMinAge05),MAX(CapacityAge05*'01_Вводные'!$B$218*AL205,MeanMinAge05)))</f>
        <v/>
      </c>
      <c r="AM141" s="190">
        <f>IF(OR((AM57-AM85)=0,5&lt;='01_Вводные'!$B$297),0,(AM57-AM85)*IF('01_Вводные'!$B$239="Да",MeanMinAge05+AM205*SUMIF(ThresholdAge05,"&lt;"&amp;AM205,WeightedRevAge05)-SUMIF(ThresholdAge05,"&lt;"&amp;AM205,WeightedMinAge05),MAX(CapacityAge05*'01_Вводные'!$B$218*AM205,MeanMinAge05)))</f>
        <v/>
      </c>
      <c r="AN141" s="190">
        <f>IF(OR((AN57-AN85)=0,5&lt;='01_Вводные'!$B$297),0,(AN57-AN85)*IF('01_Вводные'!$B$239="Да",MeanMinAge05+AN205*SUMIF(ThresholdAge05,"&lt;"&amp;AN205,WeightedRevAge05)-SUMIF(ThresholdAge05,"&lt;"&amp;AN205,WeightedMinAge05),MAX(CapacityAge05*'01_Вводные'!$B$218*AN205,MeanMinAge05)))</f>
        <v/>
      </c>
      <c r="AO141" s="190">
        <f>IF(OR((AO57-AO85)=0,5&lt;='01_Вводные'!$B$297),0,(AO57-AO85)*IF('01_Вводные'!$B$239="Да",MeanMinAge05+AO205*SUMIF(ThresholdAge05,"&lt;"&amp;AO205,WeightedRevAge05)-SUMIF(ThresholdAge05,"&lt;"&amp;AO205,WeightedMinAge05),MAX(CapacityAge05*'01_Вводные'!$B$218*AO205,MeanMinAge05)))</f>
        <v/>
      </c>
      <c r="AP141" s="190">
        <f>IF(OR((AP57-AP85)=0,5&lt;='01_Вводные'!$B$297),0,(AP57-AP85)*IF('01_Вводные'!$B$239="Да",MeanMinAge05+AP205*SUMIF(ThresholdAge05,"&lt;"&amp;AP205,WeightedRevAge05)-SUMIF(ThresholdAge05,"&lt;"&amp;AP205,WeightedMinAge05),MAX(CapacityAge05*'01_Вводные'!$B$218*AP205,MeanMinAge05)))</f>
        <v/>
      </c>
      <c r="AQ141" s="190">
        <f>IF(OR((AQ57-AQ85)=0,5&lt;='01_Вводные'!$B$297),0,(AQ57-AQ85)*IF('01_Вводные'!$B$239="Да",MeanMinAge05+AQ205*SUMIF(ThresholdAge05,"&lt;"&amp;AQ205,WeightedRevAge05)-SUMIF(ThresholdAge05,"&lt;"&amp;AQ205,WeightedMinAge05),MAX(CapacityAge05*'01_Вводные'!$B$218*AQ205,MeanMinAge05)))</f>
        <v/>
      </c>
      <c r="AR141" s="190">
        <f>IF(OR((AR57-AR85)=0,5&lt;='01_Вводные'!$B$297),0,(AR57-AR85)*IF('01_Вводные'!$B$239="Да",MeanMinAge05+AR205*SUMIF(ThresholdAge05,"&lt;"&amp;AR205,WeightedRevAge05)-SUMIF(ThresholdAge05,"&lt;"&amp;AR205,WeightedMinAge05),MAX(CapacityAge05*'01_Вводные'!$B$218*AR205,MeanMinAge05)))</f>
        <v/>
      </c>
      <c r="AS141" s="190">
        <f>IF(OR((AS57-AS85)=0,5&lt;='01_Вводные'!$B$297),0,(AS57-AS85)*IF('01_Вводные'!$B$239="Да",MeanMinAge05+AS205*SUMIF(ThresholdAge05,"&lt;"&amp;AS205,WeightedRevAge05)-SUMIF(ThresholdAge05,"&lt;"&amp;AS205,WeightedMinAge05),MAX(CapacityAge05*'01_Вводные'!$B$218*AS205,MeanMinAge05)))</f>
        <v/>
      </c>
      <c r="AT141" s="190">
        <f>IF(OR((AT57-AT85)=0,5&lt;='01_Вводные'!$B$297),0,(AT57-AT85)*IF('01_Вводные'!$B$239="Да",MeanMinAge05+AT205*SUMIF(ThresholdAge05,"&lt;"&amp;AT205,WeightedRevAge05)-SUMIF(ThresholdAge05,"&lt;"&amp;AT205,WeightedMinAge05),MAX(CapacityAge05*'01_Вводные'!$B$218*AT205,MeanMinAge05)))</f>
        <v/>
      </c>
      <c r="AU141" s="190">
        <f>IF(OR((AU57-AU85)=0,5&lt;='01_Вводные'!$B$297),0,(AU57-AU85)*IF('01_Вводные'!$B$239="Да",MeanMinAge05+AU205*SUMIF(ThresholdAge05,"&lt;"&amp;AU205,WeightedRevAge05)-SUMIF(ThresholdAge05,"&lt;"&amp;AU205,WeightedMinAge05),MAX(CapacityAge05*'01_Вводные'!$B$218*AU205,MeanMinAge05)))</f>
        <v/>
      </c>
      <c r="AV141" s="190">
        <f>IF(OR((AV57-AV85)=0,5&lt;='01_Вводные'!$B$297),0,(AV57-AV85)*IF('01_Вводные'!$B$239="Да",MeanMinAge05+AV205*SUMIF(ThresholdAge05,"&lt;"&amp;AV205,WeightedRevAge05)-SUMIF(ThresholdAge05,"&lt;"&amp;AV205,WeightedMinAge05),MAX(CapacityAge05*'01_Вводные'!$B$218*AV205,MeanMinAge05)))</f>
        <v/>
      </c>
      <c r="AW141" s="190">
        <f>IF(OR((AW57-AW85)=0,5&lt;='01_Вводные'!$B$297),0,(AW57-AW85)*IF('01_Вводные'!$B$239="Да",MeanMinAge05+AW205*SUMIF(ThresholdAge05,"&lt;"&amp;AW205,WeightedRevAge05)-SUMIF(ThresholdAge05,"&lt;"&amp;AW205,WeightedMinAge05),MAX(CapacityAge05*'01_Вводные'!$B$218*AW205,MeanMinAge05)))</f>
        <v/>
      </c>
      <c r="AX141" s="190">
        <f>IF(OR((AX57-AX85)=0,5&lt;='01_Вводные'!$B$297),0,(AX57-AX85)*IF('01_Вводные'!$B$239="Да",MeanMinAge05+AX205*SUMIF(ThresholdAge05,"&lt;"&amp;AX205,WeightedRevAge05)-SUMIF(ThresholdAge05,"&lt;"&amp;AX205,WeightedMinAge05),MAX(CapacityAge05*'01_Вводные'!$B$218*AX205,MeanMinAge05)))</f>
        <v/>
      </c>
      <c r="AY141" s="190">
        <f>IF(OR((AY57-AY85)=0,5&lt;='01_Вводные'!$B$297),0,(AY57-AY85)*IF('01_Вводные'!$B$239="Да",MeanMinAge05+AY205*SUMIF(ThresholdAge05,"&lt;"&amp;AY205,WeightedRevAge05)-SUMIF(ThresholdAge05,"&lt;"&amp;AY205,WeightedMinAge05),MAX(CapacityAge05*'01_Вводные'!$B$218*AY205,MeanMinAge05)))</f>
        <v/>
      </c>
      <c r="AZ141" s="190">
        <f>IF(OR((AZ57-AZ85)=0,5&lt;='01_Вводные'!$B$297),0,(AZ57-AZ85)*IF('01_Вводные'!$B$239="Да",MeanMinAge05+AZ205*SUMIF(ThresholdAge05,"&lt;"&amp;AZ205,WeightedRevAge05)-SUMIF(ThresholdAge05,"&lt;"&amp;AZ205,WeightedMinAge05),MAX(CapacityAge05*'01_Вводные'!$B$218*AZ205,MeanMinAge05)))</f>
        <v/>
      </c>
      <c r="BA141" s="190">
        <f>IF(OR((BA57-BA85)=0,5&lt;='01_Вводные'!$B$297),0,(BA57-BA85)*IF('01_Вводные'!$B$239="Да",MeanMinAge05+BA205*SUMIF(ThresholdAge05,"&lt;"&amp;BA205,WeightedRevAge05)-SUMIF(ThresholdAge05,"&lt;"&amp;BA205,WeightedMinAge05),MAX(CapacityAge05*'01_Вводные'!$B$218*BA205,MeanMinAge05)))</f>
        <v/>
      </c>
      <c r="BB141" s="190">
        <f>IF(OR((BB57-BB85)=0,5&lt;='01_Вводные'!$B$297),0,(BB57-BB85)*IF('01_Вводные'!$B$239="Да",MeanMinAge05+BB205*SUMIF(ThresholdAge05,"&lt;"&amp;BB205,WeightedRevAge05)-SUMIF(ThresholdAge05,"&lt;"&amp;BB205,WeightedMinAge05),MAX(CapacityAge05*'01_Вводные'!$B$218*BB205,MeanMinAge05)))</f>
        <v/>
      </c>
      <c r="BC141" s="190">
        <f>IF(OR((BC57-BC85)=0,5&lt;='01_Вводные'!$B$297),0,(BC57-BC85)*IF('01_Вводные'!$B$239="Да",MeanMinAge05+BC205*SUMIF(ThresholdAge05,"&lt;"&amp;BC205,WeightedRevAge05)-SUMIF(ThresholdAge05,"&lt;"&amp;BC205,WeightedMinAge05),MAX(CapacityAge05*'01_Вводные'!$B$218*BC205,MeanMinAge05)))</f>
        <v/>
      </c>
      <c r="BD141" s="190">
        <f>IF(OR((BD57-BD85)=0,5&lt;='01_Вводные'!$B$297),0,(BD57-BD85)*IF('01_Вводные'!$B$239="Да",MeanMinAge05+BD205*SUMIF(ThresholdAge05,"&lt;"&amp;BD205,WeightedRevAge05)-SUMIF(ThresholdAge05,"&lt;"&amp;BD205,WeightedMinAge05),MAX(CapacityAge05*'01_Вводные'!$B$218*BD205,MeanMinAge05)))</f>
        <v/>
      </c>
      <c r="BE141" s="190">
        <f>IF(OR((BE57-BE85)=0,5&lt;='01_Вводные'!$B$297),0,(BE57-BE85)*IF('01_Вводные'!$B$239="Да",MeanMinAge05+BE205*SUMIF(ThresholdAge05,"&lt;"&amp;BE205,WeightedRevAge05)-SUMIF(ThresholdAge05,"&lt;"&amp;BE205,WeightedMinAge05),MAX(CapacityAge05*'01_Вводные'!$B$218*BE205,MeanMinAge05)))</f>
        <v/>
      </c>
      <c r="BF141" s="190">
        <f>IF(OR((BF57-BF85)=0,5&lt;='01_Вводные'!$B$297),0,(BF57-BF85)*IF('01_Вводные'!$B$239="Да",MeanMinAge05+BF205*SUMIF(ThresholdAge05,"&lt;"&amp;BF205,WeightedRevAge05)-SUMIF(ThresholdAge05,"&lt;"&amp;BF205,WeightedMinAge05),MAX(CapacityAge05*'01_Вводные'!$B$218*BF205,MeanMinAge05)))</f>
        <v/>
      </c>
      <c r="BG141" s="190">
        <f>IF(OR((BG57-BG85)=0,5&lt;='01_Вводные'!$B$297),0,(BG57-BG85)*IF('01_Вводные'!$B$239="Да",MeanMinAge05+BG205*SUMIF(ThresholdAge05,"&lt;"&amp;BG205,WeightedRevAge05)-SUMIF(ThresholdAge05,"&lt;"&amp;BG205,WeightedMinAge05),MAX(CapacityAge05*'01_Вводные'!$B$218*BG205,MeanMinAge05)))</f>
        <v/>
      </c>
      <c r="BH141" s="190">
        <f>IF(OR((BH57-BH85)=0,5&lt;='01_Вводные'!$B$297),0,(BH57-BH85)*IF('01_Вводные'!$B$239="Да",MeanMinAge05+BH205*SUMIF(ThresholdAge05,"&lt;"&amp;BH205,WeightedRevAge05)-SUMIF(ThresholdAge05,"&lt;"&amp;BH205,WeightedMinAge05),MAX(CapacityAge05*'01_Вводные'!$B$218*BH205,MeanMinAge05)))</f>
        <v/>
      </c>
      <c r="BI141" s="190">
        <f>IF(OR((BI57-BI85)=0,5&lt;='01_Вводные'!$B$297),0,(BI57-BI85)*IF('01_Вводные'!$B$239="Да",MeanMinAge05+BI205*SUMIF(ThresholdAge05,"&lt;"&amp;BI205,WeightedRevAge05)-SUMIF(ThresholdAge05,"&lt;"&amp;BI205,WeightedMinAge05),MAX(CapacityAge05*'01_Вводные'!$B$218*BI205,MeanMinAge05)))</f>
        <v/>
      </c>
      <c r="BJ141" s="190">
        <f>IF(OR((BJ57-BJ85)=0,5&lt;='01_Вводные'!$B$297),0,(BJ57-BJ85)*IF('01_Вводные'!$B$239="Да",MeanMinAge05+BJ205*SUMIF(ThresholdAge05,"&lt;"&amp;BJ205,WeightedRevAge05)-SUMIF(ThresholdAge05,"&lt;"&amp;BJ205,WeightedMinAge05),MAX(CapacityAge05*'01_Вводные'!$B$218*BJ205,MeanMinAge05)))</f>
        <v/>
      </c>
      <c r="BK141" s="190">
        <f>IF(OR((BK57-BK85)=0,5&lt;='01_Вводные'!$B$297),0,(BK57-BK85)*IF('01_Вводные'!$B$239="Да",MeanMinAge05+BK205*SUMIF(ThresholdAge05,"&lt;"&amp;BK205,WeightedRevAge05)-SUMIF(ThresholdAge05,"&lt;"&amp;BK205,WeightedMinAge05),MAX(CapacityAge05*'01_Вводные'!$B$218*BK205,MeanMinAge05)))</f>
        <v/>
      </c>
      <c r="BL141" s="190">
        <f>IF(OR((BL57-BL85)=0,5&lt;='01_Вводные'!$B$297),0,(BL57-BL85)*IF('01_Вводные'!$B$239="Да",MeanMinAge05+BL205*SUMIF(ThresholdAge05,"&lt;"&amp;BL205,WeightedRevAge05)-SUMIF(ThresholdAge05,"&lt;"&amp;BL205,WeightedMinAge05),MAX(CapacityAge05*'01_Вводные'!$B$218*BL205,MeanMinAge05)))</f>
        <v/>
      </c>
      <c r="BM141" s="190">
        <f>IF(OR((BM57-BM85)=0,5&lt;='01_Вводные'!$B$297),0,(BM57-BM85)*IF('01_Вводные'!$B$239="Да",MeanMinAge05+BM205*SUMIF(ThresholdAge05,"&lt;"&amp;BM205,WeightedRevAge05)-SUMIF(ThresholdAge05,"&lt;"&amp;BM205,WeightedMinAge05),MAX(CapacityAge05*'01_Вводные'!$B$218*BM205,MeanMinAge05)))</f>
        <v/>
      </c>
      <c r="BN141" s="190">
        <f>IF(OR((BN57-BN85)=0,5&lt;='01_Вводные'!$B$297),0,(BN57-BN85)*IF('01_Вводные'!$B$239="Да",MeanMinAge05+BN205*SUMIF(ThresholdAge05,"&lt;"&amp;BN205,WeightedRevAge05)-SUMIF(ThresholdAge05,"&lt;"&amp;BN205,WeightedMinAge05),MAX(CapacityAge05*'01_Вводные'!$B$218*BN205,MeanMinAge05)))</f>
        <v/>
      </c>
      <c r="BO141" s="190">
        <f>IF(OR((BO57-BO85)=0,5&lt;='01_Вводные'!$B$297),0,(BO57-BO85)*IF('01_Вводные'!$B$239="Да",MeanMinAge05+BO205*SUMIF(ThresholdAge05,"&lt;"&amp;BO205,WeightedRevAge05)-SUMIF(ThresholdAge05,"&lt;"&amp;BO205,WeightedMinAge05),MAX(CapacityAge05*'01_Вводные'!$B$218*BO205,MeanMinAge05)))</f>
        <v/>
      </c>
    </row>
    <row r="142" hidden="1" outlineLevel="1">
      <c r="A142" t="inlineStr">
        <is>
          <t>6 мес.</t>
        </is>
      </c>
      <c r="B142" s="190">
        <f>IF(OR((B58-B86)=0,6&lt;='01_Вводные'!$B$297),0,(B58-B86)*IF('01_Вводные'!$B$239="Да",MeanMinAge06+B205*SUMIF(ThresholdAge06,"&lt;"&amp;B205,WeightedRevAge06)-SUMIF(ThresholdAge06,"&lt;"&amp;B205,WeightedMinAge06),MAX(CapacityAge06*'01_Вводные'!$B$218*B205,MeanMinAge06)))</f>
        <v/>
      </c>
      <c r="C142" s="190">
        <f>IF(OR((C58-C86)=0,6&lt;='01_Вводные'!$B$297),0,(C58-C86)*IF('01_Вводные'!$B$239="Да",MeanMinAge06+C205*SUMIF(ThresholdAge06,"&lt;"&amp;C205,WeightedRevAge06)-SUMIF(ThresholdAge06,"&lt;"&amp;C205,WeightedMinAge06),MAX(CapacityAge06*'01_Вводные'!$B$218*C205,MeanMinAge06)))</f>
        <v/>
      </c>
      <c r="D142" s="190">
        <f>IF(OR((D58-D86)=0,6&lt;='01_Вводные'!$B$297),0,(D58-D86)*IF('01_Вводные'!$B$239="Да",MeanMinAge06+D205*SUMIF(ThresholdAge06,"&lt;"&amp;D205,WeightedRevAge06)-SUMIF(ThresholdAge06,"&lt;"&amp;D205,WeightedMinAge06),MAX(CapacityAge06*'01_Вводные'!$B$218*D205,MeanMinAge06)))</f>
        <v/>
      </c>
      <c r="E142" s="190">
        <f>IF(OR((E58-E86)=0,6&lt;='01_Вводные'!$B$297),0,(E58-E86)*IF('01_Вводные'!$B$239="Да",MeanMinAge06+E205*SUMIF(ThresholdAge06,"&lt;"&amp;E205,WeightedRevAge06)-SUMIF(ThresholdAge06,"&lt;"&amp;E205,WeightedMinAge06),MAX(CapacityAge06*'01_Вводные'!$B$218*E205,MeanMinAge06)))</f>
        <v/>
      </c>
      <c r="F142" s="190">
        <f>IF(OR((F58-F86)=0,6&lt;='01_Вводные'!$B$297),0,(F58-F86)*IF('01_Вводные'!$B$239="Да",MeanMinAge06+F205*SUMIF(ThresholdAge06,"&lt;"&amp;F205,WeightedRevAge06)-SUMIF(ThresholdAge06,"&lt;"&amp;F205,WeightedMinAge06),MAX(CapacityAge06*'01_Вводные'!$B$218*F205,MeanMinAge06)))</f>
        <v/>
      </c>
      <c r="G142" s="190">
        <f>IF(OR((G58-G86)=0,6&lt;='01_Вводные'!$B$297),0,(G58-G86)*IF('01_Вводные'!$B$239="Да",MeanMinAge06+G205*SUMIF(ThresholdAge06,"&lt;"&amp;G205,WeightedRevAge06)-SUMIF(ThresholdAge06,"&lt;"&amp;G205,WeightedMinAge06),MAX(CapacityAge06*'01_Вводные'!$B$218*G205,MeanMinAge06)))</f>
        <v/>
      </c>
      <c r="H142" s="190">
        <f>IF(OR((H58-H86)=0,6&lt;='01_Вводные'!$B$297),0,(H58-H86)*IF('01_Вводные'!$B$239="Да",MeanMinAge06+H205*SUMIF(ThresholdAge06,"&lt;"&amp;H205,WeightedRevAge06)-SUMIF(ThresholdAge06,"&lt;"&amp;H205,WeightedMinAge06),MAX(CapacityAge06*'01_Вводные'!$B$218*H205,MeanMinAge06)))</f>
        <v/>
      </c>
      <c r="I142" s="190">
        <f>IF(OR((I58-I86)=0,6&lt;='01_Вводные'!$B$297),0,(I58-I86)*IF('01_Вводные'!$B$239="Да",MeanMinAge06+I205*SUMIF(ThresholdAge06,"&lt;"&amp;I205,WeightedRevAge06)-SUMIF(ThresholdAge06,"&lt;"&amp;I205,WeightedMinAge06),MAX(CapacityAge06*'01_Вводные'!$B$218*I205,MeanMinAge06)))</f>
        <v/>
      </c>
      <c r="J142" s="190">
        <f>IF(OR((J58-J86)=0,6&lt;='01_Вводные'!$B$297),0,(J58-J86)*IF('01_Вводные'!$B$239="Да",MeanMinAge06+J205*SUMIF(ThresholdAge06,"&lt;"&amp;J205,WeightedRevAge06)-SUMIF(ThresholdAge06,"&lt;"&amp;J205,WeightedMinAge06),MAX(CapacityAge06*'01_Вводные'!$B$218*J205,MeanMinAge06)))</f>
        <v/>
      </c>
      <c r="K142" s="190">
        <f>IF(OR((K58-K86)=0,6&lt;='01_Вводные'!$B$297),0,(K58-K86)*IF('01_Вводные'!$B$239="Да",MeanMinAge06+K205*SUMIF(ThresholdAge06,"&lt;"&amp;K205,WeightedRevAge06)-SUMIF(ThresholdAge06,"&lt;"&amp;K205,WeightedMinAge06),MAX(CapacityAge06*'01_Вводные'!$B$218*K205,MeanMinAge06)))</f>
        <v/>
      </c>
      <c r="L142" s="190">
        <f>IF(OR((L58-L86)=0,6&lt;='01_Вводные'!$B$297),0,(L58-L86)*IF('01_Вводные'!$B$239="Да",MeanMinAge06+L205*SUMIF(ThresholdAge06,"&lt;"&amp;L205,WeightedRevAge06)-SUMIF(ThresholdAge06,"&lt;"&amp;L205,WeightedMinAge06),MAX(CapacityAge06*'01_Вводные'!$B$218*L205,MeanMinAge06)))</f>
        <v/>
      </c>
      <c r="M142" s="190">
        <f>IF(OR((M58-M86)=0,6&lt;='01_Вводные'!$B$297),0,(M58-M86)*IF('01_Вводные'!$B$239="Да",MeanMinAge06+M205*SUMIF(ThresholdAge06,"&lt;"&amp;M205,WeightedRevAge06)-SUMIF(ThresholdAge06,"&lt;"&amp;M205,WeightedMinAge06),MAX(CapacityAge06*'01_Вводные'!$B$218*M205,MeanMinAge06)))</f>
        <v/>
      </c>
      <c r="N142" s="190">
        <f>IF(OR((N58-N86)=0,6&lt;='01_Вводные'!$B$297),0,(N58-N86)*IF('01_Вводные'!$B$239="Да",MeanMinAge06+N205*SUMIF(ThresholdAge06,"&lt;"&amp;N205,WeightedRevAge06)-SUMIF(ThresholdAge06,"&lt;"&amp;N205,WeightedMinAge06),MAX(CapacityAge06*'01_Вводные'!$B$218*N205,MeanMinAge06)))</f>
        <v/>
      </c>
      <c r="O142" s="190">
        <f>IF(OR((O58-O86)=0,6&lt;='01_Вводные'!$B$297),0,(O58-O86)*IF('01_Вводные'!$B$239="Да",MeanMinAge06+O205*SUMIF(ThresholdAge06,"&lt;"&amp;O205,WeightedRevAge06)-SUMIF(ThresholdAge06,"&lt;"&amp;O205,WeightedMinAge06),MAX(CapacityAge06*'01_Вводные'!$B$218*O205,MeanMinAge06)))</f>
        <v/>
      </c>
      <c r="P142" s="190">
        <f>IF(OR((P58-P86)=0,6&lt;='01_Вводные'!$B$297),0,(P58-P86)*IF('01_Вводные'!$B$239="Да",MeanMinAge06+P205*SUMIF(ThresholdAge06,"&lt;"&amp;P205,WeightedRevAge06)-SUMIF(ThresholdAge06,"&lt;"&amp;P205,WeightedMinAge06),MAX(CapacityAge06*'01_Вводные'!$B$218*P205,MeanMinAge06)))</f>
        <v/>
      </c>
      <c r="Q142" s="190">
        <f>IF(OR((Q58-Q86)=0,6&lt;='01_Вводные'!$B$297),0,(Q58-Q86)*IF('01_Вводные'!$B$239="Да",MeanMinAge06+Q205*SUMIF(ThresholdAge06,"&lt;"&amp;Q205,WeightedRevAge06)-SUMIF(ThresholdAge06,"&lt;"&amp;Q205,WeightedMinAge06),MAX(CapacityAge06*'01_Вводные'!$B$218*Q205,MeanMinAge06)))</f>
        <v/>
      </c>
      <c r="R142" s="190">
        <f>IF(OR((R58-R86)=0,6&lt;='01_Вводные'!$B$297),0,(R58-R86)*IF('01_Вводные'!$B$239="Да",MeanMinAge06+R205*SUMIF(ThresholdAge06,"&lt;"&amp;R205,WeightedRevAge06)-SUMIF(ThresholdAge06,"&lt;"&amp;R205,WeightedMinAge06),MAX(CapacityAge06*'01_Вводные'!$B$218*R205,MeanMinAge06)))</f>
        <v/>
      </c>
      <c r="S142" s="190">
        <f>IF(OR((S58-S86)=0,6&lt;='01_Вводные'!$B$297),0,(S58-S86)*IF('01_Вводные'!$B$239="Да",MeanMinAge06+S205*SUMIF(ThresholdAge06,"&lt;"&amp;S205,WeightedRevAge06)-SUMIF(ThresholdAge06,"&lt;"&amp;S205,WeightedMinAge06),MAX(CapacityAge06*'01_Вводные'!$B$218*S205,MeanMinAge06)))</f>
        <v/>
      </c>
      <c r="T142" s="190">
        <f>IF(OR((T58-T86)=0,6&lt;='01_Вводные'!$B$297),0,(T58-T86)*IF('01_Вводные'!$B$239="Да",MeanMinAge06+T205*SUMIF(ThresholdAge06,"&lt;"&amp;T205,WeightedRevAge06)-SUMIF(ThresholdAge06,"&lt;"&amp;T205,WeightedMinAge06),MAX(CapacityAge06*'01_Вводные'!$B$218*T205,MeanMinAge06)))</f>
        <v/>
      </c>
      <c r="U142" s="190">
        <f>IF(OR((U58-U86)=0,6&lt;='01_Вводные'!$B$297),0,(U58-U86)*IF('01_Вводные'!$B$239="Да",MeanMinAge06+U205*SUMIF(ThresholdAge06,"&lt;"&amp;U205,WeightedRevAge06)-SUMIF(ThresholdAge06,"&lt;"&amp;U205,WeightedMinAge06),MAX(CapacityAge06*'01_Вводные'!$B$218*U205,MeanMinAge06)))</f>
        <v/>
      </c>
      <c r="V142" s="190">
        <f>IF(OR((V58-V86)=0,6&lt;='01_Вводные'!$B$297),0,(V58-V86)*IF('01_Вводные'!$B$239="Да",MeanMinAge06+V205*SUMIF(ThresholdAge06,"&lt;"&amp;V205,WeightedRevAge06)-SUMIF(ThresholdAge06,"&lt;"&amp;V205,WeightedMinAge06),MAX(CapacityAge06*'01_Вводные'!$B$218*V205,MeanMinAge06)))</f>
        <v/>
      </c>
      <c r="W142" s="190">
        <f>IF(OR((W58-W86)=0,6&lt;='01_Вводные'!$B$297),0,(W58-W86)*IF('01_Вводные'!$B$239="Да",MeanMinAge06+W205*SUMIF(ThresholdAge06,"&lt;"&amp;W205,WeightedRevAge06)-SUMIF(ThresholdAge06,"&lt;"&amp;W205,WeightedMinAge06),MAX(CapacityAge06*'01_Вводные'!$B$218*W205,MeanMinAge06)))</f>
        <v/>
      </c>
      <c r="X142" s="190">
        <f>IF(OR((X58-X86)=0,6&lt;='01_Вводные'!$B$297),0,(X58-X86)*IF('01_Вводные'!$B$239="Да",MeanMinAge06+X205*SUMIF(ThresholdAge06,"&lt;"&amp;X205,WeightedRevAge06)-SUMIF(ThresholdAge06,"&lt;"&amp;X205,WeightedMinAge06),MAX(CapacityAge06*'01_Вводные'!$B$218*X205,MeanMinAge06)))</f>
        <v/>
      </c>
      <c r="Y142" s="190">
        <f>IF(OR((Y58-Y86)=0,6&lt;='01_Вводные'!$B$297),0,(Y58-Y86)*IF('01_Вводные'!$B$239="Да",MeanMinAge06+Y205*SUMIF(ThresholdAge06,"&lt;"&amp;Y205,WeightedRevAge06)-SUMIF(ThresholdAge06,"&lt;"&amp;Y205,WeightedMinAge06),MAX(CapacityAge06*'01_Вводные'!$B$218*Y205,MeanMinAge06)))</f>
        <v/>
      </c>
      <c r="Z142" s="190">
        <f>IF(OR((Z58-Z86)=0,6&lt;='01_Вводные'!$B$297),0,(Z58-Z86)*IF('01_Вводные'!$B$239="Да",MeanMinAge06+Z205*SUMIF(ThresholdAge06,"&lt;"&amp;Z205,WeightedRevAge06)-SUMIF(ThresholdAge06,"&lt;"&amp;Z205,WeightedMinAge06),MAX(CapacityAge06*'01_Вводные'!$B$218*Z205,MeanMinAge06)))</f>
        <v/>
      </c>
      <c r="AA142" s="190">
        <f>IF(OR((AA58-AA86)=0,6&lt;='01_Вводные'!$B$297),0,(AA58-AA86)*IF('01_Вводные'!$B$239="Да",MeanMinAge06+AA205*SUMIF(ThresholdAge06,"&lt;"&amp;AA205,WeightedRevAge06)-SUMIF(ThresholdAge06,"&lt;"&amp;AA205,WeightedMinAge06),MAX(CapacityAge06*'01_Вводные'!$B$218*AA205,MeanMinAge06)))</f>
        <v/>
      </c>
      <c r="AB142" s="190">
        <f>IF(OR((AB58-AB86)=0,6&lt;='01_Вводные'!$B$297),0,(AB58-AB86)*IF('01_Вводные'!$B$239="Да",MeanMinAge06+AB205*SUMIF(ThresholdAge06,"&lt;"&amp;AB205,WeightedRevAge06)-SUMIF(ThresholdAge06,"&lt;"&amp;AB205,WeightedMinAge06),MAX(CapacityAge06*'01_Вводные'!$B$218*AB205,MeanMinAge06)))</f>
        <v/>
      </c>
      <c r="AC142" s="190">
        <f>IF(OR((AC58-AC86)=0,6&lt;='01_Вводные'!$B$297),0,(AC58-AC86)*IF('01_Вводные'!$B$239="Да",MeanMinAge06+AC205*SUMIF(ThresholdAge06,"&lt;"&amp;AC205,WeightedRevAge06)-SUMIF(ThresholdAge06,"&lt;"&amp;AC205,WeightedMinAge06),MAX(CapacityAge06*'01_Вводные'!$B$218*AC205,MeanMinAge06)))</f>
        <v/>
      </c>
      <c r="AD142" s="190">
        <f>IF(OR((AD58-AD86)=0,6&lt;='01_Вводные'!$B$297),0,(AD58-AD86)*IF('01_Вводные'!$B$239="Да",MeanMinAge06+AD205*SUMIF(ThresholdAge06,"&lt;"&amp;AD205,WeightedRevAge06)-SUMIF(ThresholdAge06,"&lt;"&amp;AD205,WeightedMinAge06),MAX(CapacityAge06*'01_Вводные'!$B$218*AD205,MeanMinAge06)))</f>
        <v/>
      </c>
      <c r="AE142" s="190">
        <f>IF(OR((AE58-AE86)=0,6&lt;='01_Вводные'!$B$297),0,(AE58-AE86)*IF('01_Вводные'!$B$239="Да",MeanMinAge06+AE205*SUMIF(ThresholdAge06,"&lt;"&amp;AE205,WeightedRevAge06)-SUMIF(ThresholdAge06,"&lt;"&amp;AE205,WeightedMinAge06),MAX(CapacityAge06*'01_Вводные'!$B$218*AE205,MeanMinAge06)))</f>
        <v/>
      </c>
      <c r="AF142" s="190">
        <f>IF(OR((AF58-AF86)=0,6&lt;='01_Вводные'!$B$297),0,(AF58-AF86)*IF('01_Вводные'!$B$239="Да",MeanMinAge06+AF205*SUMIF(ThresholdAge06,"&lt;"&amp;AF205,WeightedRevAge06)-SUMIF(ThresholdAge06,"&lt;"&amp;AF205,WeightedMinAge06),MAX(CapacityAge06*'01_Вводные'!$B$218*AF205,MeanMinAge06)))</f>
        <v/>
      </c>
      <c r="AG142" s="190">
        <f>IF(OR((AG58-AG86)=0,6&lt;='01_Вводные'!$B$297),0,(AG58-AG86)*IF('01_Вводные'!$B$239="Да",MeanMinAge06+AG205*SUMIF(ThresholdAge06,"&lt;"&amp;AG205,WeightedRevAge06)-SUMIF(ThresholdAge06,"&lt;"&amp;AG205,WeightedMinAge06),MAX(CapacityAge06*'01_Вводные'!$B$218*AG205,MeanMinAge06)))</f>
        <v/>
      </c>
      <c r="AH142" s="190">
        <f>IF(OR((AH58-AH86)=0,6&lt;='01_Вводные'!$B$297),0,(AH58-AH86)*IF('01_Вводные'!$B$239="Да",MeanMinAge06+AH205*SUMIF(ThresholdAge06,"&lt;"&amp;AH205,WeightedRevAge06)-SUMIF(ThresholdAge06,"&lt;"&amp;AH205,WeightedMinAge06),MAX(CapacityAge06*'01_Вводные'!$B$218*AH205,MeanMinAge06)))</f>
        <v/>
      </c>
      <c r="AI142" s="190">
        <f>IF(OR((AI58-AI86)=0,6&lt;='01_Вводные'!$B$297),0,(AI58-AI86)*IF('01_Вводные'!$B$239="Да",MeanMinAge06+AI205*SUMIF(ThresholdAge06,"&lt;"&amp;AI205,WeightedRevAge06)-SUMIF(ThresholdAge06,"&lt;"&amp;AI205,WeightedMinAge06),MAX(CapacityAge06*'01_Вводные'!$B$218*AI205,MeanMinAge06)))</f>
        <v/>
      </c>
      <c r="AJ142" s="190">
        <f>IF(OR((AJ58-AJ86)=0,6&lt;='01_Вводные'!$B$297),0,(AJ58-AJ86)*IF('01_Вводные'!$B$239="Да",MeanMinAge06+AJ205*SUMIF(ThresholdAge06,"&lt;"&amp;AJ205,WeightedRevAge06)-SUMIF(ThresholdAge06,"&lt;"&amp;AJ205,WeightedMinAge06),MAX(CapacityAge06*'01_Вводные'!$B$218*AJ205,MeanMinAge06)))</f>
        <v/>
      </c>
      <c r="AK142" s="190">
        <f>IF(OR((AK58-AK86)=0,6&lt;='01_Вводные'!$B$297),0,(AK58-AK86)*IF('01_Вводные'!$B$239="Да",MeanMinAge06+AK205*SUMIF(ThresholdAge06,"&lt;"&amp;AK205,WeightedRevAge06)-SUMIF(ThresholdAge06,"&lt;"&amp;AK205,WeightedMinAge06),MAX(CapacityAge06*'01_Вводные'!$B$218*AK205,MeanMinAge06)))</f>
        <v/>
      </c>
      <c r="AL142" s="190">
        <f>IF(OR((AL58-AL86)=0,6&lt;='01_Вводные'!$B$297),0,(AL58-AL86)*IF('01_Вводные'!$B$239="Да",MeanMinAge06+AL205*SUMIF(ThresholdAge06,"&lt;"&amp;AL205,WeightedRevAge06)-SUMIF(ThresholdAge06,"&lt;"&amp;AL205,WeightedMinAge06),MAX(CapacityAge06*'01_Вводные'!$B$218*AL205,MeanMinAge06)))</f>
        <v/>
      </c>
      <c r="AM142" s="190">
        <f>IF(OR((AM58-AM86)=0,6&lt;='01_Вводные'!$B$297),0,(AM58-AM86)*IF('01_Вводные'!$B$239="Да",MeanMinAge06+AM205*SUMIF(ThresholdAge06,"&lt;"&amp;AM205,WeightedRevAge06)-SUMIF(ThresholdAge06,"&lt;"&amp;AM205,WeightedMinAge06),MAX(CapacityAge06*'01_Вводные'!$B$218*AM205,MeanMinAge06)))</f>
        <v/>
      </c>
      <c r="AN142" s="190">
        <f>IF(OR((AN58-AN86)=0,6&lt;='01_Вводные'!$B$297),0,(AN58-AN86)*IF('01_Вводные'!$B$239="Да",MeanMinAge06+AN205*SUMIF(ThresholdAge06,"&lt;"&amp;AN205,WeightedRevAge06)-SUMIF(ThresholdAge06,"&lt;"&amp;AN205,WeightedMinAge06),MAX(CapacityAge06*'01_Вводные'!$B$218*AN205,MeanMinAge06)))</f>
        <v/>
      </c>
      <c r="AO142" s="190">
        <f>IF(OR((AO58-AO86)=0,6&lt;='01_Вводные'!$B$297),0,(AO58-AO86)*IF('01_Вводные'!$B$239="Да",MeanMinAge06+AO205*SUMIF(ThresholdAge06,"&lt;"&amp;AO205,WeightedRevAge06)-SUMIF(ThresholdAge06,"&lt;"&amp;AO205,WeightedMinAge06),MAX(CapacityAge06*'01_Вводные'!$B$218*AO205,MeanMinAge06)))</f>
        <v/>
      </c>
      <c r="AP142" s="190">
        <f>IF(OR((AP58-AP86)=0,6&lt;='01_Вводные'!$B$297),0,(AP58-AP86)*IF('01_Вводные'!$B$239="Да",MeanMinAge06+AP205*SUMIF(ThresholdAge06,"&lt;"&amp;AP205,WeightedRevAge06)-SUMIF(ThresholdAge06,"&lt;"&amp;AP205,WeightedMinAge06),MAX(CapacityAge06*'01_Вводные'!$B$218*AP205,MeanMinAge06)))</f>
        <v/>
      </c>
      <c r="AQ142" s="190">
        <f>IF(OR((AQ58-AQ86)=0,6&lt;='01_Вводные'!$B$297),0,(AQ58-AQ86)*IF('01_Вводные'!$B$239="Да",MeanMinAge06+AQ205*SUMIF(ThresholdAge06,"&lt;"&amp;AQ205,WeightedRevAge06)-SUMIF(ThresholdAge06,"&lt;"&amp;AQ205,WeightedMinAge06),MAX(CapacityAge06*'01_Вводные'!$B$218*AQ205,MeanMinAge06)))</f>
        <v/>
      </c>
      <c r="AR142" s="190">
        <f>IF(OR((AR58-AR86)=0,6&lt;='01_Вводные'!$B$297),0,(AR58-AR86)*IF('01_Вводные'!$B$239="Да",MeanMinAge06+AR205*SUMIF(ThresholdAge06,"&lt;"&amp;AR205,WeightedRevAge06)-SUMIF(ThresholdAge06,"&lt;"&amp;AR205,WeightedMinAge06),MAX(CapacityAge06*'01_Вводные'!$B$218*AR205,MeanMinAge06)))</f>
        <v/>
      </c>
      <c r="AS142" s="190">
        <f>IF(OR((AS58-AS86)=0,6&lt;='01_Вводные'!$B$297),0,(AS58-AS86)*IF('01_Вводные'!$B$239="Да",MeanMinAge06+AS205*SUMIF(ThresholdAge06,"&lt;"&amp;AS205,WeightedRevAge06)-SUMIF(ThresholdAge06,"&lt;"&amp;AS205,WeightedMinAge06),MAX(CapacityAge06*'01_Вводные'!$B$218*AS205,MeanMinAge06)))</f>
        <v/>
      </c>
      <c r="AT142" s="190">
        <f>IF(OR((AT58-AT86)=0,6&lt;='01_Вводные'!$B$297),0,(AT58-AT86)*IF('01_Вводные'!$B$239="Да",MeanMinAge06+AT205*SUMIF(ThresholdAge06,"&lt;"&amp;AT205,WeightedRevAge06)-SUMIF(ThresholdAge06,"&lt;"&amp;AT205,WeightedMinAge06),MAX(CapacityAge06*'01_Вводные'!$B$218*AT205,MeanMinAge06)))</f>
        <v/>
      </c>
      <c r="AU142" s="190">
        <f>IF(OR((AU58-AU86)=0,6&lt;='01_Вводные'!$B$297),0,(AU58-AU86)*IF('01_Вводные'!$B$239="Да",MeanMinAge06+AU205*SUMIF(ThresholdAge06,"&lt;"&amp;AU205,WeightedRevAge06)-SUMIF(ThresholdAge06,"&lt;"&amp;AU205,WeightedMinAge06),MAX(CapacityAge06*'01_Вводные'!$B$218*AU205,MeanMinAge06)))</f>
        <v/>
      </c>
      <c r="AV142" s="190">
        <f>IF(OR((AV58-AV86)=0,6&lt;='01_Вводные'!$B$297),0,(AV58-AV86)*IF('01_Вводные'!$B$239="Да",MeanMinAge06+AV205*SUMIF(ThresholdAge06,"&lt;"&amp;AV205,WeightedRevAge06)-SUMIF(ThresholdAge06,"&lt;"&amp;AV205,WeightedMinAge06),MAX(CapacityAge06*'01_Вводные'!$B$218*AV205,MeanMinAge06)))</f>
        <v/>
      </c>
      <c r="AW142" s="190">
        <f>IF(OR((AW58-AW86)=0,6&lt;='01_Вводные'!$B$297),0,(AW58-AW86)*IF('01_Вводные'!$B$239="Да",MeanMinAge06+AW205*SUMIF(ThresholdAge06,"&lt;"&amp;AW205,WeightedRevAge06)-SUMIF(ThresholdAge06,"&lt;"&amp;AW205,WeightedMinAge06),MAX(CapacityAge06*'01_Вводные'!$B$218*AW205,MeanMinAge06)))</f>
        <v/>
      </c>
      <c r="AX142" s="190">
        <f>IF(OR((AX58-AX86)=0,6&lt;='01_Вводные'!$B$297),0,(AX58-AX86)*IF('01_Вводные'!$B$239="Да",MeanMinAge06+AX205*SUMIF(ThresholdAge06,"&lt;"&amp;AX205,WeightedRevAge06)-SUMIF(ThresholdAge06,"&lt;"&amp;AX205,WeightedMinAge06),MAX(CapacityAge06*'01_Вводные'!$B$218*AX205,MeanMinAge06)))</f>
        <v/>
      </c>
      <c r="AY142" s="190">
        <f>IF(OR((AY58-AY86)=0,6&lt;='01_Вводные'!$B$297),0,(AY58-AY86)*IF('01_Вводные'!$B$239="Да",MeanMinAge06+AY205*SUMIF(ThresholdAge06,"&lt;"&amp;AY205,WeightedRevAge06)-SUMIF(ThresholdAge06,"&lt;"&amp;AY205,WeightedMinAge06),MAX(CapacityAge06*'01_Вводные'!$B$218*AY205,MeanMinAge06)))</f>
        <v/>
      </c>
      <c r="AZ142" s="190">
        <f>IF(OR((AZ58-AZ86)=0,6&lt;='01_Вводные'!$B$297),0,(AZ58-AZ86)*IF('01_Вводные'!$B$239="Да",MeanMinAge06+AZ205*SUMIF(ThresholdAge06,"&lt;"&amp;AZ205,WeightedRevAge06)-SUMIF(ThresholdAge06,"&lt;"&amp;AZ205,WeightedMinAge06),MAX(CapacityAge06*'01_Вводные'!$B$218*AZ205,MeanMinAge06)))</f>
        <v/>
      </c>
      <c r="BA142" s="190">
        <f>IF(OR((BA58-BA86)=0,6&lt;='01_Вводные'!$B$297),0,(BA58-BA86)*IF('01_Вводные'!$B$239="Да",MeanMinAge06+BA205*SUMIF(ThresholdAge06,"&lt;"&amp;BA205,WeightedRevAge06)-SUMIF(ThresholdAge06,"&lt;"&amp;BA205,WeightedMinAge06),MAX(CapacityAge06*'01_Вводные'!$B$218*BA205,MeanMinAge06)))</f>
        <v/>
      </c>
      <c r="BB142" s="190">
        <f>IF(OR((BB58-BB86)=0,6&lt;='01_Вводные'!$B$297),0,(BB58-BB86)*IF('01_Вводные'!$B$239="Да",MeanMinAge06+BB205*SUMIF(ThresholdAge06,"&lt;"&amp;BB205,WeightedRevAge06)-SUMIF(ThresholdAge06,"&lt;"&amp;BB205,WeightedMinAge06),MAX(CapacityAge06*'01_Вводные'!$B$218*BB205,MeanMinAge06)))</f>
        <v/>
      </c>
      <c r="BC142" s="190">
        <f>IF(OR((BC58-BC86)=0,6&lt;='01_Вводные'!$B$297),0,(BC58-BC86)*IF('01_Вводные'!$B$239="Да",MeanMinAge06+BC205*SUMIF(ThresholdAge06,"&lt;"&amp;BC205,WeightedRevAge06)-SUMIF(ThresholdAge06,"&lt;"&amp;BC205,WeightedMinAge06),MAX(CapacityAge06*'01_Вводные'!$B$218*BC205,MeanMinAge06)))</f>
        <v/>
      </c>
      <c r="BD142" s="190">
        <f>IF(OR((BD58-BD86)=0,6&lt;='01_Вводные'!$B$297),0,(BD58-BD86)*IF('01_Вводные'!$B$239="Да",MeanMinAge06+BD205*SUMIF(ThresholdAge06,"&lt;"&amp;BD205,WeightedRevAge06)-SUMIF(ThresholdAge06,"&lt;"&amp;BD205,WeightedMinAge06),MAX(CapacityAge06*'01_Вводные'!$B$218*BD205,MeanMinAge06)))</f>
        <v/>
      </c>
      <c r="BE142" s="190">
        <f>IF(OR((BE58-BE86)=0,6&lt;='01_Вводные'!$B$297),0,(BE58-BE86)*IF('01_Вводные'!$B$239="Да",MeanMinAge06+BE205*SUMIF(ThresholdAge06,"&lt;"&amp;BE205,WeightedRevAge06)-SUMIF(ThresholdAge06,"&lt;"&amp;BE205,WeightedMinAge06),MAX(CapacityAge06*'01_Вводные'!$B$218*BE205,MeanMinAge06)))</f>
        <v/>
      </c>
      <c r="BF142" s="190">
        <f>IF(OR((BF58-BF86)=0,6&lt;='01_Вводные'!$B$297),0,(BF58-BF86)*IF('01_Вводные'!$B$239="Да",MeanMinAge06+BF205*SUMIF(ThresholdAge06,"&lt;"&amp;BF205,WeightedRevAge06)-SUMIF(ThresholdAge06,"&lt;"&amp;BF205,WeightedMinAge06),MAX(CapacityAge06*'01_Вводные'!$B$218*BF205,MeanMinAge06)))</f>
        <v/>
      </c>
      <c r="BG142" s="190">
        <f>IF(OR((BG58-BG86)=0,6&lt;='01_Вводные'!$B$297),0,(BG58-BG86)*IF('01_Вводные'!$B$239="Да",MeanMinAge06+BG205*SUMIF(ThresholdAge06,"&lt;"&amp;BG205,WeightedRevAge06)-SUMIF(ThresholdAge06,"&lt;"&amp;BG205,WeightedMinAge06),MAX(CapacityAge06*'01_Вводные'!$B$218*BG205,MeanMinAge06)))</f>
        <v/>
      </c>
      <c r="BH142" s="190">
        <f>IF(OR((BH58-BH86)=0,6&lt;='01_Вводные'!$B$297),0,(BH58-BH86)*IF('01_Вводные'!$B$239="Да",MeanMinAge06+BH205*SUMIF(ThresholdAge06,"&lt;"&amp;BH205,WeightedRevAge06)-SUMIF(ThresholdAge06,"&lt;"&amp;BH205,WeightedMinAge06),MAX(CapacityAge06*'01_Вводные'!$B$218*BH205,MeanMinAge06)))</f>
        <v/>
      </c>
      <c r="BI142" s="190">
        <f>IF(OR((BI58-BI86)=0,6&lt;='01_Вводные'!$B$297),0,(BI58-BI86)*IF('01_Вводные'!$B$239="Да",MeanMinAge06+BI205*SUMIF(ThresholdAge06,"&lt;"&amp;BI205,WeightedRevAge06)-SUMIF(ThresholdAge06,"&lt;"&amp;BI205,WeightedMinAge06),MAX(CapacityAge06*'01_Вводные'!$B$218*BI205,MeanMinAge06)))</f>
        <v/>
      </c>
      <c r="BJ142" s="190">
        <f>IF(OR((BJ58-BJ86)=0,6&lt;='01_Вводные'!$B$297),0,(BJ58-BJ86)*IF('01_Вводные'!$B$239="Да",MeanMinAge06+BJ205*SUMIF(ThresholdAge06,"&lt;"&amp;BJ205,WeightedRevAge06)-SUMIF(ThresholdAge06,"&lt;"&amp;BJ205,WeightedMinAge06),MAX(CapacityAge06*'01_Вводные'!$B$218*BJ205,MeanMinAge06)))</f>
        <v/>
      </c>
      <c r="BK142" s="190">
        <f>IF(OR((BK58-BK86)=0,6&lt;='01_Вводные'!$B$297),0,(BK58-BK86)*IF('01_Вводные'!$B$239="Да",MeanMinAge06+BK205*SUMIF(ThresholdAge06,"&lt;"&amp;BK205,WeightedRevAge06)-SUMIF(ThresholdAge06,"&lt;"&amp;BK205,WeightedMinAge06),MAX(CapacityAge06*'01_Вводные'!$B$218*BK205,MeanMinAge06)))</f>
        <v/>
      </c>
      <c r="BL142" s="190">
        <f>IF(OR((BL58-BL86)=0,6&lt;='01_Вводные'!$B$297),0,(BL58-BL86)*IF('01_Вводные'!$B$239="Да",MeanMinAge06+BL205*SUMIF(ThresholdAge06,"&lt;"&amp;BL205,WeightedRevAge06)-SUMIF(ThresholdAge06,"&lt;"&amp;BL205,WeightedMinAge06),MAX(CapacityAge06*'01_Вводные'!$B$218*BL205,MeanMinAge06)))</f>
        <v/>
      </c>
      <c r="BM142" s="190">
        <f>IF(OR((BM58-BM86)=0,6&lt;='01_Вводные'!$B$297),0,(BM58-BM86)*IF('01_Вводные'!$B$239="Да",MeanMinAge06+BM205*SUMIF(ThresholdAge06,"&lt;"&amp;BM205,WeightedRevAge06)-SUMIF(ThresholdAge06,"&lt;"&amp;BM205,WeightedMinAge06),MAX(CapacityAge06*'01_Вводные'!$B$218*BM205,MeanMinAge06)))</f>
        <v/>
      </c>
      <c r="BN142" s="190">
        <f>IF(OR((BN58-BN86)=0,6&lt;='01_Вводные'!$B$297),0,(BN58-BN86)*IF('01_Вводные'!$B$239="Да",MeanMinAge06+BN205*SUMIF(ThresholdAge06,"&lt;"&amp;BN205,WeightedRevAge06)-SUMIF(ThresholdAge06,"&lt;"&amp;BN205,WeightedMinAge06),MAX(CapacityAge06*'01_Вводные'!$B$218*BN205,MeanMinAge06)))</f>
        <v/>
      </c>
      <c r="BO142" s="190">
        <f>IF(OR((BO58-BO86)=0,6&lt;='01_Вводные'!$B$297),0,(BO58-BO86)*IF('01_Вводные'!$B$239="Да",MeanMinAge06+BO205*SUMIF(ThresholdAge06,"&lt;"&amp;BO205,WeightedRevAge06)-SUMIF(ThresholdAge06,"&lt;"&amp;BO205,WeightedMinAge06),MAX(CapacityAge06*'01_Вводные'!$B$218*BO205,MeanMinAge06)))</f>
        <v/>
      </c>
    </row>
    <row r="143" hidden="1" outlineLevel="1">
      <c r="A143" t="inlineStr">
        <is>
          <t>7 мес.</t>
        </is>
      </c>
      <c r="B143" s="190">
        <f>IF(OR((B59-B87)=0,7&lt;='01_Вводные'!$B$297),0,(B59-B87)*IF('01_Вводные'!$B$239="Да",MeanMinAge07+B205*SUMIF(ThresholdAge07,"&lt;"&amp;B205,WeightedRevAge07)-SUMIF(ThresholdAge07,"&lt;"&amp;B205,WeightedMinAge07),MAX(CapacityAge07*'01_Вводные'!$B$218*B205,MeanMinAge07)))</f>
        <v/>
      </c>
      <c r="C143" s="190">
        <f>IF(OR((C59-C87)=0,7&lt;='01_Вводные'!$B$297),0,(C59-C87)*IF('01_Вводные'!$B$239="Да",MeanMinAge07+C205*SUMIF(ThresholdAge07,"&lt;"&amp;C205,WeightedRevAge07)-SUMIF(ThresholdAge07,"&lt;"&amp;C205,WeightedMinAge07),MAX(CapacityAge07*'01_Вводные'!$B$218*C205,MeanMinAge07)))</f>
        <v/>
      </c>
      <c r="D143" s="190">
        <f>IF(OR((D59-D87)=0,7&lt;='01_Вводные'!$B$297),0,(D59-D87)*IF('01_Вводные'!$B$239="Да",MeanMinAge07+D205*SUMIF(ThresholdAge07,"&lt;"&amp;D205,WeightedRevAge07)-SUMIF(ThresholdAge07,"&lt;"&amp;D205,WeightedMinAge07),MAX(CapacityAge07*'01_Вводные'!$B$218*D205,MeanMinAge07)))</f>
        <v/>
      </c>
      <c r="E143" s="190">
        <f>IF(OR((E59-E87)=0,7&lt;='01_Вводные'!$B$297),0,(E59-E87)*IF('01_Вводные'!$B$239="Да",MeanMinAge07+E205*SUMIF(ThresholdAge07,"&lt;"&amp;E205,WeightedRevAge07)-SUMIF(ThresholdAge07,"&lt;"&amp;E205,WeightedMinAge07),MAX(CapacityAge07*'01_Вводные'!$B$218*E205,MeanMinAge07)))</f>
        <v/>
      </c>
      <c r="F143" s="190">
        <f>IF(OR((F59-F87)=0,7&lt;='01_Вводные'!$B$297),0,(F59-F87)*IF('01_Вводные'!$B$239="Да",MeanMinAge07+F205*SUMIF(ThresholdAge07,"&lt;"&amp;F205,WeightedRevAge07)-SUMIF(ThresholdAge07,"&lt;"&amp;F205,WeightedMinAge07),MAX(CapacityAge07*'01_Вводные'!$B$218*F205,MeanMinAge07)))</f>
        <v/>
      </c>
      <c r="G143" s="190">
        <f>IF(OR((G59-G87)=0,7&lt;='01_Вводные'!$B$297),0,(G59-G87)*IF('01_Вводные'!$B$239="Да",MeanMinAge07+G205*SUMIF(ThresholdAge07,"&lt;"&amp;G205,WeightedRevAge07)-SUMIF(ThresholdAge07,"&lt;"&amp;G205,WeightedMinAge07),MAX(CapacityAge07*'01_Вводные'!$B$218*G205,MeanMinAge07)))</f>
        <v/>
      </c>
      <c r="H143" s="190">
        <f>IF(OR((H59-H87)=0,7&lt;='01_Вводные'!$B$297),0,(H59-H87)*IF('01_Вводные'!$B$239="Да",MeanMinAge07+H205*SUMIF(ThresholdAge07,"&lt;"&amp;H205,WeightedRevAge07)-SUMIF(ThresholdAge07,"&lt;"&amp;H205,WeightedMinAge07),MAX(CapacityAge07*'01_Вводные'!$B$218*H205,MeanMinAge07)))</f>
        <v/>
      </c>
      <c r="I143" s="190">
        <f>IF(OR((I59-I87)=0,7&lt;='01_Вводные'!$B$297),0,(I59-I87)*IF('01_Вводные'!$B$239="Да",MeanMinAge07+I205*SUMIF(ThresholdAge07,"&lt;"&amp;I205,WeightedRevAge07)-SUMIF(ThresholdAge07,"&lt;"&amp;I205,WeightedMinAge07),MAX(CapacityAge07*'01_Вводные'!$B$218*I205,MeanMinAge07)))</f>
        <v/>
      </c>
      <c r="J143" s="190">
        <f>IF(OR((J59-J87)=0,7&lt;='01_Вводные'!$B$297),0,(J59-J87)*IF('01_Вводные'!$B$239="Да",MeanMinAge07+J205*SUMIF(ThresholdAge07,"&lt;"&amp;J205,WeightedRevAge07)-SUMIF(ThresholdAge07,"&lt;"&amp;J205,WeightedMinAge07),MAX(CapacityAge07*'01_Вводные'!$B$218*J205,MeanMinAge07)))</f>
        <v/>
      </c>
      <c r="K143" s="190">
        <f>IF(OR((K59-K87)=0,7&lt;='01_Вводные'!$B$297),0,(K59-K87)*IF('01_Вводные'!$B$239="Да",MeanMinAge07+K205*SUMIF(ThresholdAge07,"&lt;"&amp;K205,WeightedRevAge07)-SUMIF(ThresholdAge07,"&lt;"&amp;K205,WeightedMinAge07),MAX(CapacityAge07*'01_Вводные'!$B$218*K205,MeanMinAge07)))</f>
        <v/>
      </c>
      <c r="L143" s="190">
        <f>IF(OR((L59-L87)=0,7&lt;='01_Вводные'!$B$297),0,(L59-L87)*IF('01_Вводные'!$B$239="Да",MeanMinAge07+L205*SUMIF(ThresholdAge07,"&lt;"&amp;L205,WeightedRevAge07)-SUMIF(ThresholdAge07,"&lt;"&amp;L205,WeightedMinAge07),MAX(CapacityAge07*'01_Вводные'!$B$218*L205,MeanMinAge07)))</f>
        <v/>
      </c>
      <c r="M143" s="190">
        <f>IF(OR((M59-M87)=0,7&lt;='01_Вводные'!$B$297),0,(M59-M87)*IF('01_Вводные'!$B$239="Да",MeanMinAge07+M205*SUMIF(ThresholdAge07,"&lt;"&amp;M205,WeightedRevAge07)-SUMIF(ThresholdAge07,"&lt;"&amp;M205,WeightedMinAge07),MAX(CapacityAge07*'01_Вводные'!$B$218*M205,MeanMinAge07)))</f>
        <v/>
      </c>
      <c r="N143" s="190">
        <f>IF(OR((N59-N87)=0,7&lt;='01_Вводные'!$B$297),0,(N59-N87)*IF('01_Вводные'!$B$239="Да",MeanMinAge07+N205*SUMIF(ThresholdAge07,"&lt;"&amp;N205,WeightedRevAge07)-SUMIF(ThresholdAge07,"&lt;"&amp;N205,WeightedMinAge07),MAX(CapacityAge07*'01_Вводные'!$B$218*N205,MeanMinAge07)))</f>
        <v/>
      </c>
      <c r="O143" s="190">
        <f>IF(OR((O59-O87)=0,7&lt;='01_Вводные'!$B$297),0,(O59-O87)*IF('01_Вводные'!$B$239="Да",MeanMinAge07+O205*SUMIF(ThresholdAge07,"&lt;"&amp;O205,WeightedRevAge07)-SUMIF(ThresholdAge07,"&lt;"&amp;O205,WeightedMinAge07),MAX(CapacityAge07*'01_Вводные'!$B$218*O205,MeanMinAge07)))</f>
        <v/>
      </c>
      <c r="P143" s="190">
        <f>IF(OR((P59-P87)=0,7&lt;='01_Вводные'!$B$297),0,(P59-P87)*IF('01_Вводные'!$B$239="Да",MeanMinAge07+P205*SUMIF(ThresholdAge07,"&lt;"&amp;P205,WeightedRevAge07)-SUMIF(ThresholdAge07,"&lt;"&amp;P205,WeightedMinAge07),MAX(CapacityAge07*'01_Вводные'!$B$218*P205,MeanMinAge07)))</f>
        <v/>
      </c>
      <c r="Q143" s="190">
        <f>IF(OR((Q59-Q87)=0,7&lt;='01_Вводные'!$B$297),0,(Q59-Q87)*IF('01_Вводные'!$B$239="Да",MeanMinAge07+Q205*SUMIF(ThresholdAge07,"&lt;"&amp;Q205,WeightedRevAge07)-SUMIF(ThresholdAge07,"&lt;"&amp;Q205,WeightedMinAge07),MAX(CapacityAge07*'01_Вводные'!$B$218*Q205,MeanMinAge07)))</f>
        <v/>
      </c>
      <c r="R143" s="190">
        <f>IF(OR((R59-R87)=0,7&lt;='01_Вводные'!$B$297),0,(R59-R87)*IF('01_Вводные'!$B$239="Да",MeanMinAge07+R205*SUMIF(ThresholdAge07,"&lt;"&amp;R205,WeightedRevAge07)-SUMIF(ThresholdAge07,"&lt;"&amp;R205,WeightedMinAge07),MAX(CapacityAge07*'01_Вводные'!$B$218*R205,MeanMinAge07)))</f>
        <v/>
      </c>
      <c r="S143" s="190">
        <f>IF(OR((S59-S87)=0,7&lt;='01_Вводные'!$B$297),0,(S59-S87)*IF('01_Вводные'!$B$239="Да",MeanMinAge07+S205*SUMIF(ThresholdAge07,"&lt;"&amp;S205,WeightedRevAge07)-SUMIF(ThresholdAge07,"&lt;"&amp;S205,WeightedMinAge07),MAX(CapacityAge07*'01_Вводные'!$B$218*S205,MeanMinAge07)))</f>
        <v/>
      </c>
      <c r="T143" s="190">
        <f>IF(OR((T59-T87)=0,7&lt;='01_Вводные'!$B$297),0,(T59-T87)*IF('01_Вводные'!$B$239="Да",MeanMinAge07+T205*SUMIF(ThresholdAge07,"&lt;"&amp;T205,WeightedRevAge07)-SUMIF(ThresholdAge07,"&lt;"&amp;T205,WeightedMinAge07),MAX(CapacityAge07*'01_Вводные'!$B$218*T205,MeanMinAge07)))</f>
        <v/>
      </c>
      <c r="U143" s="190">
        <f>IF(OR((U59-U87)=0,7&lt;='01_Вводные'!$B$297),0,(U59-U87)*IF('01_Вводные'!$B$239="Да",MeanMinAge07+U205*SUMIF(ThresholdAge07,"&lt;"&amp;U205,WeightedRevAge07)-SUMIF(ThresholdAge07,"&lt;"&amp;U205,WeightedMinAge07),MAX(CapacityAge07*'01_Вводные'!$B$218*U205,MeanMinAge07)))</f>
        <v/>
      </c>
      <c r="V143" s="190">
        <f>IF(OR((V59-V87)=0,7&lt;='01_Вводные'!$B$297),0,(V59-V87)*IF('01_Вводные'!$B$239="Да",MeanMinAge07+V205*SUMIF(ThresholdAge07,"&lt;"&amp;V205,WeightedRevAge07)-SUMIF(ThresholdAge07,"&lt;"&amp;V205,WeightedMinAge07),MAX(CapacityAge07*'01_Вводные'!$B$218*V205,MeanMinAge07)))</f>
        <v/>
      </c>
      <c r="W143" s="190">
        <f>IF(OR((W59-W87)=0,7&lt;='01_Вводные'!$B$297),0,(W59-W87)*IF('01_Вводные'!$B$239="Да",MeanMinAge07+W205*SUMIF(ThresholdAge07,"&lt;"&amp;W205,WeightedRevAge07)-SUMIF(ThresholdAge07,"&lt;"&amp;W205,WeightedMinAge07),MAX(CapacityAge07*'01_Вводные'!$B$218*W205,MeanMinAge07)))</f>
        <v/>
      </c>
      <c r="X143" s="190">
        <f>IF(OR((X59-X87)=0,7&lt;='01_Вводные'!$B$297),0,(X59-X87)*IF('01_Вводные'!$B$239="Да",MeanMinAge07+X205*SUMIF(ThresholdAge07,"&lt;"&amp;X205,WeightedRevAge07)-SUMIF(ThresholdAge07,"&lt;"&amp;X205,WeightedMinAge07),MAX(CapacityAge07*'01_Вводные'!$B$218*X205,MeanMinAge07)))</f>
        <v/>
      </c>
      <c r="Y143" s="190">
        <f>IF(OR((Y59-Y87)=0,7&lt;='01_Вводные'!$B$297),0,(Y59-Y87)*IF('01_Вводные'!$B$239="Да",MeanMinAge07+Y205*SUMIF(ThresholdAge07,"&lt;"&amp;Y205,WeightedRevAge07)-SUMIF(ThresholdAge07,"&lt;"&amp;Y205,WeightedMinAge07),MAX(CapacityAge07*'01_Вводные'!$B$218*Y205,MeanMinAge07)))</f>
        <v/>
      </c>
      <c r="Z143" s="190">
        <f>IF(OR((Z59-Z87)=0,7&lt;='01_Вводные'!$B$297),0,(Z59-Z87)*IF('01_Вводные'!$B$239="Да",MeanMinAge07+Z205*SUMIF(ThresholdAge07,"&lt;"&amp;Z205,WeightedRevAge07)-SUMIF(ThresholdAge07,"&lt;"&amp;Z205,WeightedMinAge07),MAX(CapacityAge07*'01_Вводные'!$B$218*Z205,MeanMinAge07)))</f>
        <v/>
      </c>
      <c r="AA143" s="190">
        <f>IF(OR((AA59-AA87)=0,7&lt;='01_Вводные'!$B$297),0,(AA59-AA87)*IF('01_Вводные'!$B$239="Да",MeanMinAge07+AA205*SUMIF(ThresholdAge07,"&lt;"&amp;AA205,WeightedRevAge07)-SUMIF(ThresholdAge07,"&lt;"&amp;AA205,WeightedMinAge07),MAX(CapacityAge07*'01_Вводные'!$B$218*AA205,MeanMinAge07)))</f>
        <v/>
      </c>
      <c r="AB143" s="190">
        <f>IF(OR((AB59-AB87)=0,7&lt;='01_Вводные'!$B$297),0,(AB59-AB87)*IF('01_Вводные'!$B$239="Да",MeanMinAge07+AB205*SUMIF(ThresholdAge07,"&lt;"&amp;AB205,WeightedRevAge07)-SUMIF(ThresholdAge07,"&lt;"&amp;AB205,WeightedMinAge07),MAX(CapacityAge07*'01_Вводные'!$B$218*AB205,MeanMinAge07)))</f>
        <v/>
      </c>
      <c r="AC143" s="190">
        <f>IF(OR((AC59-AC87)=0,7&lt;='01_Вводные'!$B$297),0,(AC59-AC87)*IF('01_Вводные'!$B$239="Да",MeanMinAge07+AC205*SUMIF(ThresholdAge07,"&lt;"&amp;AC205,WeightedRevAge07)-SUMIF(ThresholdAge07,"&lt;"&amp;AC205,WeightedMinAge07),MAX(CapacityAge07*'01_Вводные'!$B$218*AC205,MeanMinAge07)))</f>
        <v/>
      </c>
      <c r="AD143" s="190">
        <f>IF(OR((AD59-AD87)=0,7&lt;='01_Вводные'!$B$297),0,(AD59-AD87)*IF('01_Вводные'!$B$239="Да",MeanMinAge07+AD205*SUMIF(ThresholdAge07,"&lt;"&amp;AD205,WeightedRevAge07)-SUMIF(ThresholdAge07,"&lt;"&amp;AD205,WeightedMinAge07),MAX(CapacityAge07*'01_Вводные'!$B$218*AD205,MeanMinAge07)))</f>
        <v/>
      </c>
      <c r="AE143" s="190">
        <f>IF(OR((AE59-AE87)=0,7&lt;='01_Вводные'!$B$297),0,(AE59-AE87)*IF('01_Вводные'!$B$239="Да",MeanMinAge07+AE205*SUMIF(ThresholdAge07,"&lt;"&amp;AE205,WeightedRevAge07)-SUMIF(ThresholdAge07,"&lt;"&amp;AE205,WeightedMinAge07),MAX(CapacityAge07*'01_Вводные'!$B$218*AE205,MeanMinAge07)))</f>
        <v/>
      </c>
      <c r="AF143" s="190">
        <f>IF(OR((AF59-AF87)=0,7&lt;='01_Вводные'!$B$297),0,(AF59-AF87)*IF('01_Вводные'!$B$239="Да",MeanMinAge07+AF205*SUMIF(ThresholdAge07,"&lt;"&amp;AF205,WeightedRevAge07)-SUMIF(ThresholdAge07,"&lt;"&amp;AF205,WeightedMinAge07),MAX(CapacityAge07*'01_Вводные'!$B$218*AF205,MeanMinAge07)))</f>
        <v/>
      </c>
      <c r="AG143" s="190">
        <f>IF(OR((AG59-AG87)=0,7&lt;='01_Вводные'!$B$297),0,(AG59-AG87)*IF('01_Вводные'!$B$239="Да",MeanMinAge07+AG205*SUMIF(ThresholdAge07,"&lt;"&amp;AG205,WeightedRevAge07)-SUMIF(ThresholdAge07,"&lt;"&amp;AG205,WeightedMinAge07),MAX(CapacityAge07*'01_Вводные'!$B$218*AG205,MeanMinAge07)))</f>
        <v/>
      </c>
      <c r="AH143" s="190">
        <f>IF(OR((AH59-AH87)=0,7&lt;='01_Вводные'!$B$297),0,(AH59-AH87)*IF('01_Вводные'!$B$239="Да",MeanMinAge07+AH205*SUMIF(ThresholdAge07,"&lt;"&amp;AH205,WeightedRevAge07)-SUMIF(ThresholdAge07,"&lt;"&amp;AH205,WeightedMinAge07),MAX(CapacityAge07*'01_Вводные'!$B$218*AH205,MeanMinAge07)))</f>
        <v/>
      </c>
      <c r="AI143" s="190">
        <f>IF(OR((AI59-AI87)=0,7&lt;='01_Вводные'!$B$297),0,(AI59-AI87)*IF('01_Вводные'!$B$239="Да",MeanMinAge07+AI205*SUMIF(ThresholdAge07,"&lt;"&amp;AI205,WeightedRevAge07)-SUMIF(ThresholdAge07,"&lt;"&amp;AI205,WeightedMinAge07),MAX(CapacityAge07*'01_Вводные'!$B$218*AI205,MeanMinAge07)))</f>
        <v/>
      </c>
      <c r="AJ143" s="190">
        <f>IF(OR((AJ59-AJ87)=0,7&lt;='01_Вводные'!$B$297),0,(AJ59-AJ87)*IF('01_Вводные'!$B$239="Да",MeanMinAge07+AJ205*SUMIF(ThresholdAge07,"&lt;"&amp;AJ205,WeightedRevAge07)-SUMIF(ThresholdAge07,"&lt;"&amp;AJ205,WeightedMinAge07),MAX(CapacityAge07*'01_Вводные'!$B$218*AJ205,MeanMinAge07)))</f>
        <v/>
      </c>
      <c r="AK143" s="190">
        <f>IF(OR((AK59-AK87)=0,7&lt;='01_Вводные'!$B$297),0,(AK59-AK87)*IF('01_Вводные'!$B$239="Да",MeanMinAge07+AK205*SUMIF(ThresholdAge07,"&lt;"&amp;AK205,WeightedRevAge07)-SUMIF(ThresholdAge07,"&lt;"&amp;AK205,WeightedMinAge07),MAX(CapacityAge07*'01_Вводные'!$B$218*AK205,MeanMinAge07)))</f>
        <v/>
      </c>
      <c r="AL143" s="190">
        <f>IF(OR((AL59-AL87)=0,7&lt;='01_Вводные'!$B$297),0,(AL59-AL87)*IF('01_Вводные'!$B$239="Да",MeanMinAge07+AL205*SUMIF(ThresholdAge07,"&lt;"&amp;AL205,WeightedRevAge07)-SUMIF(ThresholdAge07,"&lt;"&amp;AL205,WeightedMinAge07),MAX(CapacityAge07*'01_Вводные'!$B$218*AL205,MeanMinAge07)))</f>
        <v/>
      </c>
      <c r="AM143" s="190">
        <f>IF(OR((AM59-AM87)=0,7&lt;='01_Вводные'!$B$297),0,(AM59-AM87)*IF('01_Вводные'!$B$239="Да",MeanMinAge07+AM205*SUMIF(ThresholdAge07,"&lt;"&amp;AM205,WeightedRevAge07)-SUMIF(ThresholdAge07,"&lt;"&amp;AM205,WeightedMinAge07),MAX(CapacityAge07*'01_Вводные'!$B$218*AM205,MeanMinAge07)))</f>
        <v/>
      </c>
      <c r="AN143" s="190">
        <f>IF(OR((AN59-AN87)=0,7&lt;='01_Вводные'!$B$297),0,(AN59-AN87)*IF('01_Вводные'!$B$239="Да",MeanMinAge07+AN205*SUMIF(ThresholdAge07,"&lt;"&amp;AN205,WeightedRevAge07)-SUMIF(ThresholdAge07,"&lt;"&amp;AN205,WeightedMinAge07),MAX(CapacityAge07*'01_Вводные'!$B$218*AN205,MeanMinAge07)))</f>
        <v/>
      </c>
      <c r="AO143" s="190">
        <f>IF(OR((AO59-AO87)=0,7&lt;='01_Вводные'!$B$297),0,(AO59-AO87)*IF('01_Вводные'!$B$239="Да",MeanMinAge07+AO205*SUMIF(ThresholdAge07,"&lt;"&amp;AO205,WeightedRevAge07)-SUMIF(ThresholdAge07,"&lt;"&amp;AO205,WeightedMinAge07),MAX(CapacityAge07*'01_Вводные'!$B$218*AO205,MeanMinAge07)))</f>
        <v/>
      </c>
      <c r="AP143" s="190">
        <f>IF(OR((AP59-AP87)=0,7&lt;='01_Вводные'!$B$297),0,(AP59-AP87)*IF('01_Вводные'!$B$239="Да",MeanMinAge07+AP205*SUMIF(ThresholdAge07,"&lt;"&amp;AP205,WeightedRevAge07)-SUMIF(ThresholdAge07,"&lt;"&amp;AP205,WeightedMinAge07),MAX(CapacityAge07*'01_Вводные'!$B$218*AP205,MeanMinAge07)))</f>
        <v/>
      </c>
      <c r="AQ143" s="190">
        <f>IF(OR((AQ59-AQ87)=0,7&lt;='01_Вводные'!$B$297),0,(AQ59-AQ87)*IF('01_Вводные'!$B$239="Да",MeanMinAge07+AQ205*SUMIF(ThresholdAge07,"&lt;"&amp;AQ205,WeightedRevAge07)-SUMIF(ThresholdAge07,"&lt;"&amp;AQ205,WeightedMinAge07),MAX(CapacityAge07*'01_Вводные'!$B$218*AQ205,MeanMinAge07)))</f>
        <v/>
      </c>
      <c r="AR143" s="190">
        <f>IF(OR((AR59-AR87)=0,7&lt;='01_Вводные'!$B$297),0,(AR59-AR87)*IF('01_Вводные'!$B$239="Да",MeanMinAge07+AR205*SUMIF(ThresholdAge07,"&lt;"&amp;AR205,WeightedRevAge07)-SUMIF(ThresholdAge07,"&lt;"&amp;AR205,WeightedMinAge07),MAX(CapacityAge07*'01_Вводные'!$B$218*AR205,MeanMinAge07)))</f>
        <v/>
      </c>
      <c r="AS143" s="190">
        <f>IF(OR((AS59-AS87)=0,7&lt;='01_Вводные'!$B$297),0,(AS59-AS87)*IF('01_Вводные'!$B$239="Да",MeanMinAge07+AS205*SUMIF(ThresholdAge07,"&lt;"&amp;AS205,WeightedRevAge07)-SUMIF(ThresholdAge07,"&lt;"&amp;AS205,WeightedMinAge07),MAX(CapacityAge07*'01_Вводные'!$B$218*AS205,MeanMinAge07)))</f>
        <v/>
      </c>
      <c r="AT143" s="190">
        <f>IF(OR((AT59-AT87)=0,7&lt;='01_Вводные'!$B$297),0,(AT59-AT87)*IF('01_Вводные'!$B$239="Да",MeanMinAge07+AT205*SUMIF(ThresholdAge07,"&lt;"&amp;AT205,WeightedRevAge07)-SUMIF(ThresholdAge07,"&lt;"&amp;AT205,WeightedMinAge07),MAX(CapacityAge07*'01_Вводные'!$B$218*AT205,MeanMinAge07)))</f>
        <v/>
      </c>
      <c r="AU143" s="190">
        <f>IF(OR((AU59-AU87)=0,7&lt;='01_Вводные'!$B$297),0,(AU59-AU87)*IF('01_Вводные'!$B$239="Да",MeanMinAge07+AU205*SUMIF(ThresholdAge07,"&lt;"&amp;AU205,WeightedRevAge07)-SUMIF(ThresholdAge07,"&lt;"&amp;AU205,WeightedMinAge07),MAX(CapacityAge07*'01_Вводные'!$B$218*AU205,MeanMinAge07)))</f>
        <v/>
      </c>
      <c r="AV143" s="190">
        <f>IF(OR((AV59-AV87)=0,7&lt;='01_Вводные'!$B$297),0,(AV59-AV87)*IF('01_Вводные'!$B$239="Да",MeanMinAge07+AV205*SUMIF(ThresholdAge07,"&lt;"&amp;AV205,WeightedRevAge07)-SUMIF(ThresholdAge07,"&lt;"&amp;AV205,WeightedMinAge07),MAX(CapacityAge07*'01_Вводные'!$B$218*AV205,MeanMinAge07)))</f>
        <v/>
      </c>
      <c r="AW143" s="190">
        <f>IF(OR((AW59-AW87)=0,7&lt;='01_Вводные'!$B$297),0,(AW59-AW87)*IF('01_Вводные'!$B$239="Да",MeanMinAge07+AW205*SUMIF(ThresholdAge07,"&lt;"&amp;AW205,WeightedRevAge07)-SUMIF(ThresholdAge07,"&lt;"&amp;AW205,WeightedMinAge07),MAX(CapacityAge07*'01_Вводные'!$B$218*AW205,MeanMinAge07)))</f>
        <v/>
      </c>
      <c r="AX143" s="190">
        <f>IF(OR((AX59-AX87)=0,7&lt;='01_Вводные'!$B$297),0,(AX59-AX87)*IF('01_Вводные'!$B$239="Да",MeanMinAge07+AX205*SUMIF(ThresholdAge07,"&lt;"&amp;AX205,WeightedRevAge07)-SUMIF(ThresholdAge07,"&lt;"&amp;AX205,WeightedMinAge07),MAX(CapacityAge07*'01_Вводные'!$B$218*AX205,MeanMinAge07)))</f>
        <v/>
      </c>
      <c r="AY143" s="190">
        <f>IF(OR((AY59-AY87)=0,7&lt;='01_Вводные'!$B$297),0,(AY59-AY87)*IF('01_Вводные'!$B$239="Да",MeanMinAge07+AY205*SUMIF(ThresholdAge07,"&lt;"&amp;AY205,WeightedRevAge07)-SUMIF(ThresholdAge07,"&lt;"&amp;AY205,WeightedMinAge07),MAX(CapacityAge07*'01_Вводные'!$B$218*AY205,MeanMinAge07)))</f>
        <v/>
      </c>
      <c r="AZ143" s="190">
        <f>IF(OR((AZ59-AZ87)=0,7&lt;='01_Вводные'!$B$297),0,(AZ59-AZ87)*IF('01_Вводные'!$B$239="Да",MeanMinAge07+AZ205*SUMIF(ThresholdAge07,"&lt;"&amp;AZ205,WeightedRevAge07)-SUMIF(ThresholdAge07,"&lt;"&amp;AZ205,WeightedMinAge07),MAX(CapacityAge07*'01_Вводные'!$B$218*AZ205,MeanMinAge07)))</f>
        <v/>
      </c>
      <c r="BA143" s="190">
        <f>IF(OR((BA59-BA87)=0,7&lt;='01_Вводные'!$B$297),0,(BA59-BA87)*IF('01_Вводные'!$B$239="Да",MeanMinAge07+BA205*SUMIF(ThresholdAge07,"&lt;"&amp;BA205,WeightedRevAge07)-SUMIF(ThresholdAge07,"&lt;"&amp;BA205,WeightedMinAge07),MAX(CapacityAge07*'01_Вводные'!$B$218*BA205,MeanMinAge07)))</f>
        <v/>
      </c>
      <c r="BB143" s="190">
        <f>IF(OR((BB59-BB87)=0,7&lt;='01_Вводные'!$B$297),0,(BB59-BB87)*IF('01_Вводные'!$B$239="Да",MeanMinAge07+BB205*SUMIF(ThresholdAge07,"&lt;"&amp;BB205,WeightedRevAge07)-SUMIF(ThresholdAge07,"&lt;"&amp;BB205,WeightedMinAge07),MAX(CapacityAge07*'01_Вводные'!$B$218*BB205,MeanMinAge07)))</f>
        <v/>
      </c>
      <c r="BC143" s="190">
        <f>IF(OR((BC59-BC87)=0,7&lt;='01_Вводные'!$B$297),0,(BC59-BC87)*IF('01_Вводные'!$B$239="Да",MeanMinAge07+BC205*SUMIF(ThresholdAge07,"&lt;"&amp;BC205,WeightedRevAge07)-SUMIF(ThresholdAge07,"&lt;"&amp;BC205,WeightedMinAge07),MAX(CapacityAge07*'01_Вводные'!$B$218*BC205,MeanMinAge07)))</f>
        <v/>
      </c>
      <c r="BD143" s="190">
        <f>IF(OR((BD59-BD87)=0,7&lt;='01_Вводные'!$B$297),0,(BD59-BD87)*IF('01_Вводные'!$B$239="Да",MeanMinAge07+BD205*SUMIF(ThresholdAge07,"&lt;"&amp;BD205,WeightedRevAge07)-SUMIF(ThresholdAge07,"&lt;"&amp;BD205,WeightedMinAge07),MAX(CapacityAge07*'01_Вводные'!$B$218*BD205,MeanMinAge07)))</f>
        <v/>
      </c>
      <c r="BE143" s="190">
        <f>IF(OR((BE59-BE87)=0,7&lt;='01_Вводные'!$B$297),0,(BE59-BE87)*IF('01_Вводные'!$B$239="Да",MeanMinAge07+BE205*SUMIF(ThresholdAge07,"&lt;"&amp;BE205,WeightedRevAge07)-SUMIF(ThresholdAge07,"&lt;"&amp;BE205,WeightedMinAge07),MAX(CapacityAge07*'01_Вводные'!$B$218*BE205,MeanMinAge07)))</f>
        <v/>
      </c>
      <c r="BF143" s="190">
        <f>IF(OR((BF59-BF87)=0,7&lt;='01_Вводные'!$B$297),0,(BF59-BF87)*IF('01_Вводные'!$B$239="Да",MeanMinAge07+BF205*SUMIF(ThresholdAge07,"&lt;"&amp;BF205,WeightedRevAge07)-SUMIF(ThresholdAge07,"&lt;"&amp;BF205,WeightedMinAge07),MAX(CapacityAge07*'01_Вводные'!$B$218*BF205,MeanMinAge07)))</f>
        <v/>
      </c>
      <c r="BG143" s="190">
        <f>IF(OR((BG59-BG87)=0,7&lt;='01_Вводные'!$B$297),0,(BG59-BG87)*IF('01_Вводные'!$B$239="Да",MeanMinAge07+BG205*SUMIF(ThresholdAge07,"&lt;"&amp;BG205,WeightedRevAge07)-SUMIF(ThresholdAge07,"&lt;"&amp;BG205,WeightedMinAge07),MAX(CapacityAge07*'01_Вводные'!$B$218*BG205,MeanMinAge07)))</f>
        <v/>
      </c>
      <c r="BH143" s="190">
        <f>IF(OR((BH59-BH87)=0,7&lt;='01_Вводные'!$B$297),0,(BH59-BH87)*IF('01_Вводные'!$B$239="Да",MeanMinAge07+BH205*SUMIF(ThresholdAge07,"&lt;"&amp;BH205,WeightedRevAge07)-SUMIF(ThresholdAge07,"&lt;"&amp;BH205,WeightedMinAge07),MAX(CapacityAge07*'01_Вводные'!$B$218*BH205,MeanMinAge07)))</f>
        <v/>
      </c>
      <c r="BI143" s="190">
        <f>IF(OR((BI59-BI87)=0,7&lt;='01_Вводные'!$B$297),0,(BI59-BI87)*IF('01_Вводные'!$B$239="Да",MeanMinAge07+BI205*SUMIF(ThresholdAge07,"&lt;"&amp;BI205,WeightedRevAge07)-SUMIF(ThresholdAge07,"&lt;"&amp;BI205,WeightedMinAge07),MAX(CapacityAge07*'01_Вводные'!$B$218*BI205,MeanMinAge07)))</f>
        <v/>
      </c>
      <c r="BJ143" s="190">
        <f>IF(OR((BJ59-BJ87)=0,7&lt;='01_Вводные'!$B$297),0,(BJ59-BJ87)*IF('01_Вводные'!$B$239="Да",MeanMinAge07+BJ205*SUMIF(ThresholdAge07,"&lt;"&amp;BJ205,WeightedRevAge07)-SUMIF(ThresholdAge07,"&lt;"&amp;BJ205,WeightedMinAge07),MAX(CapacityAge07*'01_Вводные'!$B$218*BJ205,MeanMinAge07)))</f>
        <v/>
      </c>
      <c r="BK143" s="190">
        <f>IF(OR((BK59-BK87)=0,7&lt;='01_Вводные'!$B$297),0,(BK59-BK87)*IF('01_Вводные'!$B$239="Да",MeanMinAge07+BK205*SUMIF(ThresholdAge07,"&lt;"&amp;BK205,WeightedRevAge07)-SUMIF(ThresholdAge07,"&lt;"&amp;BK205,WeightedMinAge07),MAX(CapacityAge07*'01_Вводные'!$B$218*BK205,MeanMinAge07)))</f>
        <v/>
      </c>
      <c r="BL143" s="190">
        <f>IF(OR((BL59-BL87)=0,7&lt;='01_Вводные'!$B$297),0,(BL59-BL87)*IF('01_Вводные'!$B$239="Да",MeanMinAge07+BL205*SUMIF(ThresholdAge07,"&lt;"&amp;BL205,WeightedRevAge07)-SUMIF(ThresholdAge07,"&lt;"&amp;BL205,WeightedMinAge07),MAX(CapacityAge07*'01_Вводные'!$B$218*BL205,MeanMinAge07)))</f>
        <v/>
      </c>
      <c r="BM143" s="190">
        <f>IF(OR((BM59-BM87)=0,7&lt;='01_Вводные'!$B$297),0,(BM59-BM87)*IF('01_Вводные'!$B$239="Да",MeanMinAge07+BM205*SUMIF(ThresholdAge07,"&lt;"&amp;BM205,WeightedRevAge07)-SUMIF(ThresholdAge07,"&lt;"&amp;BM205,WeightedMinAge07),MAX(CapacityAge07*'01_Вводные'!$B$218*BM205,MeanMinAge07)))</f>
        <v/>
      </c>
      <c r="BN143" s="190">
        <f>IF(OR((BN59-BN87)=0,7&lt;='01_Вводные'!$B$297),0,(BN59-BN87)*IF('01_Вводные'!$B$239="Да",MeanMinAge07+BN205*SUMIF(ThresholdAge07,"&lt;"&amp;BN205,WeightedRevAge07)-SUMIF(ThresholdAge07,"&lt;"&amp;BN205,WeightedMinAge07),MAX(CapacityAge07*'01_Вводные'!$B$218*BN205,MeanMinAge07)))</f>
        <v/>
      </c>
      <c r="BO143" s="190">
        <f>IF(OR((BO59-BO87)=0,7&lt;='01_Вводные'!$B$297),0,(BO59-BO87)*IF('01_Вводные'!$B$239="Да",MeanMinAge07+BO205*SUMIF(ThresholdAge07,"&lt;"&amp;BO205,WeightedRevAge07)-SUMIF(ThresholdAge07,"&lt;"&amp;BO205,WeightedMinAge07),MAX(CapacityAge07*'01_Вводные'!$B$218*BO205,MeanMinAge07)))</f>
        <v/>
      </c>
    </row>
    <row r="144" hidden="1" outlineLevel="1">
      <c r="A144" t="inlineStr">
        <is>
          <t>8 мес.</t>
        </is>
      </c>
      <c r="B144" s="190">
        <f>IF(OR((B60-B88)=0,8&lt;='01_Вводные'!$B$297),0,(B60-B88)*IF('01_Вводные'!$B$239="Да",MeanMinAge08+B205*SUMIF(ThresholdAge08,"&lt;"&amp;B205,WeightedRevAge08)-SUMIF(ThresholdAge08,"&lt;"&amp;B205,WeightedMinAge08),MAX(CapacityAge08*'01_Вводные'!$B$218*B205,MeanMinAge08)))</f>
        <v/>
      </c>
      <c r="C144" s="190">
        <f>IF(OR((C60-C88)=0,8&lt;='01_Вводные'!$B$297),0,(C60-C88)*IF('01_Вводные'!$B$239="Да",MeanMinAge08+C205*SUMIF(ThresholdAge08,"&lt;"&amp;C205,WeightedRevAge08)-SUMIF(ThresholdAge08,"&lt;"&amp;C205,WeightedMinAge08),MAX(CapacityAge08*'01_Вводные'!$B$218*C205,MeanMinAge08)))</f>
        <v/>
      </c>
      <c r="D144" s="190">
        <f>IF(OR((D60-D88)=0,8&lt;='01_Вводные'!$B$297),0,(D60-D88)*IF('01_Вводные'!$B$239="Да",MeanMinAge08+D205*SUMIF(ThresholdAge08,"&lt;"&amp;D205,WeightedRevAge08)-SUMIF(ThresholdAge08,"&lt;"&amp;D205,WeightedMinAge08),MAX(CapacityAge08*'01_Вводные'!$B$218*D205,MeanMinAge08)))</f>
        <v/>
      </c>
      <c r="E144" s="190">
        <f>IF(OR((E60-E88)=0,8&lt;='01_Вводные'!$B$297),0,(E60-E88)*IF('01_Вводные'!$B$239="Да",MeanMinAge08+E205*SUMIF(ThresholdAge08,"&lt;"&amp;E205,WeightedRevAge08)-SUMIF(ThresholdAge08,"&lt;"&amp;E205,WeightedMinAge08),MAX(CapacityAge08*'01_Вводные'!$B$218*E205,MeanMinAge08)))</f>
        <v/>
      </c>
      <c r="F144" s="190">
        <f>IF(OR((F60-F88)=0,8&lt;='01_Вводные'!$B$297),0,(F60-F88)*IF('01_Вводные'!$B$239="Да",MeanMinAge08+F205*SUMIF(ThresholdAge08,"&lt;"&amp;F205,WeightedRevAge08)-SUMIF(ThresholdAge08,"&lt;"&amp;F205,WeightedMinAge08),MAX(CapacityAge08*'01_Вводные'!$B$218*F205,MeanMinAge08)))</f>
        <v/>
      </c>
      <c r="G144" s="190">
        <f>IF(OR((G60-G88)=0,8&lt;='01_Вводные'!$B$297),0,(G60-G88)*IF('01_Вводные'!$B$239="Да",MeanMinAge08+G205*SUMIF(ThresholdAge08,"&lt;"&amp;G205,WeightedRevAge08)-SUMIF(ThresholdAge08,"&lt;"&amp;G205,WeightedMinAge08),MAX(CapacityAge08*'01_Вводные'!$B$218*G205,MeanMinAge08)))</f>
        <v/>
      </c>
      <c r="H144" s="190">
        <f>IF(OR((H60-H88)=0,8&lt;='01_Вводные'!$B$297),0,(H60-H88)*IF('01_Вводные'!$B$239="Да",MeanMinAge08+H205*SUMIF(ThresholdAge08,"&lt;"&amp;H205,WeightedRevAge08)-SUMIF(ThresholdAge08,"&lt;"&amp;H205,WeightedMinAge08),MAX(CapacityAge08*'01_Вводные'!$B$218*H205,MeanMinAge08)))</f>
        <v/>
      </c>
      <c r="I144" s="190">
        <f>IF(OR((I60-I88)=0,8&lt;='01_Вводные'!$B$297),0,(I60-I88)*IF('01_Вводные'!$B$239="Да",MeanMinAge08+I205*SUMIF(ThresholdAge08,"&lt;"&amp;I205,WeightedRevAge08)-SUMIF(ThresholdAge08,"&lt;"&amp;I205,WeightedMinAge08),MAX(CapacityAge08*'01_Вводные'!$B$218*I205,MeanMinAge08)))</f>
        <v/>
      </c>
      <c r="J144" s="190">
        <f>IF(OR((J60-J88)=0,8&lt;='01_Вводные'!$B$297),0,(J60-J88)*IF('01_Вводные'!$B$239="Да",MeanMinAge08+J205*SUMIF(ThresholdAge08,"&lt;"&amp;J205,WeightedRevAge08)-SUMIF(ThresholdAge08,"&lt;"&amp;J205,WeightedMinAge08),MAX(CapacityAge08*'01_Вводные'!$B$218*J205,MeanMinAge08)))</f>
        <v/>
      </c>
      <c r="K144" s="190">
        <f>IF(OR((K60-K88)=0,8&lt;='01_Вводные'!$B$297),0,(K60-K88)*IF('01_Вводные'!$B$239="Да",MeanMinAge08+K205*SUMIF(ThresholdAge08,"&lt;"&amp;K205,WeightedRevAge08)-SUMIF(ThresholdAge08,"&lt;"&amp;K205,WeightedMinAge08),MAX(CapacityAge08*'01_Вводные'!$B$218*K205,MeanMinAge08)))</f>
        <v/>
      </c>
      <c r="L144" s="190">
        <f>IF(OR((L60-L88)=0,8&lt;='01_Вводные'!$B$297),0,(L60-L88)*IF('01_Вводные'!$B$239="Да",MeanMinAge08+L205*SUMIF(ThresholdAge08,"&lt;"&amp;L205,WeightedRevAge08)-SUMIF(ThresholdAge08,"&lt;"&amp;L205,WeightedMinAge08),MAX(CapacityAge08*'01_Вводные'!$B$218*L205,MeanMinAge08)))</f>
        <v/>
      </c>
      <c r="M144" s="190">
        <f>IF(OR((M60-M88)=0,8&lt;='01_Вводные'!$B$297),0,(M60-M88)*IF('01_Вводные'!$B$239="Да",MeanMinAge08+M205*SUMIF(ThresholdAge08,"&lt;"&amp;M205,WeightedRevAge08)-SUMIF(ThresholdAge08,"&lt;"&amp;M205,WeightedMinAge08),MAX(CapacityAge08*'01_Вводные'!$B$218*M205,MeanMinAge08)))</f>
        <v/>
      </c>
      <c r="N144" s="190">
        <f>IF(OR((N60-N88)=0,8&lt;='01_Вводные'!$B$297),0,(N60-N88)*IF('01_Вводные'!$B$239="Да",MeanMinAge08+N205*SUMIF(ThresholdAge08,"&lt;"&amp;N205,WeightedRevAge08)-SUMIF(ThresholdAge08,"&lt;"&amp;N205,WeightedMinAge08),MAX(CapacityAge08*'01_Вводные'!$B$218*N205,MeanMinAge08)))</f>
        <v/>
      </c>
      <c r="O144" s="190">
        <f>IF(OR((O60-O88)=0,8&lt;='01_Вводные'!$B$297),0,(O60-O88)*IF('01_Вводные'!$B$239="Да",MeanMinAge08+O205*SUMIF(ThresholdAge08,"&lt;"&amp;O205,WeightedRevAge08)-SUMIF(ThresholdAge08,"&lt;"&amp;O205,WeightedMinAge08),MAX(CapacityAge08*'01_Вводные'!$B$218*O205,MeanMinAge08)))</f>
        <v/>
      </c>
      <c r="P144" s="190">
        <f>IF(OR((P60-P88)=0,8&lt;='01_Вводные'!$B$297),0,(P60-P88)*IF('01_Вводные'!$B$239="Да",MeanMinAge08+P205*SUMIF(ThresholdAge08,"&lt;"&amp;P205,WeightedRevAge08)-SUMIF(ThresholdAge08,"&lt;"&amp;P205,WeightedMinAge08),MAX(CapacityAge08*'01_Вводные'!$B$218*P205,MeanMinAge08)))</f>
        <v/>
      </c>
      <c r="Q144" s="190">
        <f>IF(OR((Q60-Q88)=0,8&lt;='01_Вводные'!$B$297),0,(Q60-Q88)*IF('01_Вводные'!$B$239="Да",MeanMinAge08+Q205*SUMIF(ThresholdAge08,"&lt;"&amp;Q205,WeightedRevAge08)-SUMIF(ThresholdAge08,"&lt;"&amp;Q205,WeightedMinAge08),MAX(CapacityAge08*'01_Вводные'!$B$218*Q205,MeanMinAge08)))</f>
        <v/>
      </c>
      <c r="R144" s="190">
        <f>IF(OR((R60-R88)=0,8&lt;='01_Вводные'!$B$297),0,(R60-R88)*IF('01_Вводные'!$B$239="Да",MeanMinAge08+R205*SUMIF(ThresholdAge08,"&lt;"&amp;R205,WeightedRevAge08)-SUMIF(ThresholdAge08,"&lt;"&amp;R205,WeightedMinAge08),MAX(CapacityAge08*'01_Вводные'!$B$218*R205,MeanMinAge08)))</f>
        <v/>
      </c>
      <c r="S144" s="190">
        <f>IF(OR((S60-S88)=0,8&lt;='01_Вводные'!$B$297),0,(S60-S88)*IF('01_Вводные'!$B$239="Да",MeanMinAge08+S205*SUMIF(ThresholdAge08,"&lt;"&amp;S205,WeightedRevAge08)-SUMIF(ThresholdAge08,"&lt;"&amp;S205,WeightedMinAge08),MAX(CapacityAge08*'01_Вводные'!$B$218*S205,MeanMinAge08)))</f>
        <v/>
      </c>
      <c r="T144" s="190">
        <f>IF(OR((T60-T88)=0,8&lt;='01_Вводные'!$B$297),0,(T60-T88)*IF('01_Вводные'!$B$239="Да",MeanMinAge08+T205*SUMIF(ThresholdAge08,"&lt;"&amp;T205,WeightedRevAge08)-SUMIF(ThresholdAge08,"&lt;"&amp;T205,WeightedMinAge08),MAX(CapacityAge08*'01_Вводные'!$B$218*T205,MeanMinAge08)))</f>
        <v/>
      </c>
      <c r="U144" s="190">
        <f>IF(OR((U60-U88)=0,8&lt;='01_Вводные'!$B$297),0,(U60-U88)*IF('01_Вводные'!$B$239="Да",MeanMinAge08+U205*SUMIF(ThresholdAge08,"&lt;"&amp;U205,WeightedRevAge08)-SUMIF(ThresholdAge08,"&lt;"&amp;U205,WeightedMinAge08),MAX(CapacityAge08*'01_Вводные'!$B$218*U205,MeanMinAge08)))</f>
        <v/>
      </c>
      <c r="V144" s="190">
        <f>IF(OR((V60-V88)=0,8&lt;='01_Вводные'!$B$297),0,(V60-V88)*IF('01_Вводные'!$B$239="Да",MeanMinAge08+V205*SUMIF(ThresholdAge08,"&lt;"&amp;V205,WeightedRevAge08)-SUMIF(ThresholdAge08,"&lt;"&amp;V205,WeightedMinAge08),MAX(CapacityAge08*'01_Вводные'!$B$218*V205,MeanMinAge08)))</f>
        <v/>
      </c>
      <c r="W144" s="190">
        <f>IF(OR((W60-W88)=0,8&lt;='01_Вводные'!$B$297),0,(W60-W88)*IF('01_Вводные'!$B$239="Да",MeanMinAge08+W205*SUMIF(ThresholdAge08,"&lt;"&amp;W205,WeightedRevAge08)-SUMIF(ThresholdAge08,"&lt;"&amp;W205,WeightedMinAge08),MAX(CapacityAge08*'01_Вводные'!$B$218*W205,MeanMinAge08)))</f>
        <v/>
      </c>
      <c r="X144" s="190">
        <f>IF(OR((X60-X88)=0,8&lt;='01_Вводные'!$B$297),0,(X60-X88)*IF('01_Вводные'!$B$239="Да",MeanMinAge08+X205*SUMIF(ThresholdAge08,"&lt;"&amp;X205,WeightedRevAge08)-SUMIF(ThresholdAge08,"&lt;"&amp;X205,WeightedMinAge08),MAX(CapacityAge08*'01_Вводные'!$B$218*X205,MeanMinAge08)))</f>
        <v/>
      </c>
      <c r="Y144" s="190">
        <f>IF(OR((Y60-Y88)=0,8&lt;='01_Вводные'!$B$297),0,(Y60-Y88)*IF('01_Вводные'!$B$239="Да",MeanMinAge08+Y205*SUMIF(ThresholdAge08,"&lt;"&amp;Y205,WeightedRevAge08)-SUMIF(ThresholdAge08,"&lt;"&amp;Y205,WeightedMinAge08),MAX(CapacityAge08*'01_Вводные'!$B$218*Y205,MeanMinAge08)))</f>
        <v/>
      </c>
      <c r="Z144" s="190">
        <f>IF(OR((Z60-Z88)=0,8&lt;='01_Вводные'!$B$297),0,(Z60-Z88)*IF('01_Вводные'!$B$239="Да",MeanMinAge08+Z205*SUMIF(ThresholdAge08,"&lt;"&amp;Z205,WeightedRevAge08)-SUMIF(ThresholdAge08,"&lt;"&amp;Z205,WeightedMinAge08),MAX(CapacityAge08*'01_Вводные'!$B$218*Z205,MeanMinAge08)))</f>
        <v/>
      </c>
      <c r="AA144" s="190">
        <f>IF(OR((AA60-AA88)=0,8&lt;='01_Вводные'!$B$297),0,(AA60-AA88)*IF('01_Вводные'!$B$239="Да",MeanMinAge08+AA205*SUMIF(ThresholdAge08,"&lt;"&amp;AA205,WeightedRevAge08)-SUMIF(ThresholdAge08,"&lt;"&amp;AA205,WeightedMinAge08),MAX(CapacityAge08*'01_Вводные'!$B$218*AA205,MeanMinAge08)))</f>
        <v/>
      </c>
      <c r="AB144" s="190">
        <f>IF(OR((AB60-AB88)=0,8&lt;='01_Вводные'!$B$297),0,(AB60-AB88)*IF('01_Вводные'!$B$239="Да",MeanMinAge08+AB205*SUMIF(ThresholdAge08,"&lt;"&amp;AB205,WeightedRevAge08)-SUMIF(ThresholdAge08,"&lt;"&amp;AB205,WeightedMinAge08),MAX(CapacityAge08*'01_Вводные'!$B$218*AB205,MeanMinAge08)))</f>
        <v/>
      </c>
      <c r="AC144" s="190">
        <f>IF(OR((AC60-AC88)=0,8&lt;='01_Вводные'!$B$297),0,(AC60-AC88)*IF('01_Вводные'!$B$239="Да",MeanMinAge08+AC205*SUMIF(ThresholdAge08,"&lt;"&amp;AC205,WeightedRevAge08)-SUMIF(ThresholdAge08,"&lt;"&amp;AC205,WeightedMinAge08),MAX(CapacityAge08*'01_Вводные'!$B$218*AC205,MeanMinAge08)))</f>
        <v/>
      </c>
      <c r="AD144" s="190">
        <f>IF(OR((AD60-AD88)=0,8&lt;='01_Вводные'!$B$297),0,(AD60-AD88)*IF('01_Вводные'!$B$239="Да",MeanMinAge08+AD205*SUMIF(ThresholdAge08,"&lt;"&amp;AD205,WeightedRevAge08)-SUMIF(ThresholdAge08,"&lt;"&amp;AD205,WeightedMinAge08),MAX(CapacityAge08*'01_Вводные'!$B$218*AD205,MeanMinAge08)))</f>
        <v/>
      </c>
      <c r="AE144" s="190">
        <f>IF(OR((AE60-AE88)=0,8&lt;='01_Вводные'!$B$297),0,(AE60-AE88)*IF('01_Вводные'!$B$239="Да",MeanMinAge08+AE205*SUMIF(ThresholdAge08,"&lt;"&amp;AE205,WeightedRevAge08)-SUMIF(ThresholdAge08,"&lt;"&amp;AE205,WeightedMinAge08),MAX(CapacityAge08*'01_Вводные'!$B$218*AE205,MeanMinAge08)))</f>
        <v/>
      </c>
      <c r="AF144" s="190">
        <f>IF(OR((AF60-AF88)=0,8&lt;='01_Вводные'!$B$297),0,(AF60-AF88)*IF('01_Вводные'!$B$239="Да",MeanMinAge08+AF205*SUMIF(ThresholdAge08,"&lt;"&amp;AF205,WeightedRevAge08)-SUMIF(ThresholdAge08,"&lt;"&amp;AF205,WeightedMinAge08),MAX(CapacityAge08*'01_Вводные'!$B$218*AF205,MeanMinAge08)))</f>
        <v/>
      </c>
      <c r="AG144" s="190">
        <f>IF(OR((AG60-AG88)=0,8&lt;='01_Вводные'!$B$297),0,(AG60-AG88)*IF('01_Вводные'!$B$239="Да",MeanMinAge08+AG205*SUMIF(ThresholdAge08,"&lt;"&amp;AG205,WeightedRevAge08)-SUMIF(ThresholdAge08,"&lt;"&amp;AG205,WeightedMinAge08),MAX(CapacityAge08*'01_Вводные'!$B$218*AG205,MeanMinAge08)))</f>
        <v/>
      </c>
      <c r="AH144" s="190">
        <f>IF(OR((AH60-AH88)=0,8&lt;='01_Вводные'!$B$297),0,(AH60-AH88)*IF('01_Вводные'!$B$239="Да",MeanMinAge08+AH205*SUMIF(ThresholdAge08,"&lt;"&amp;AH205,WeightedRevAge08)-SUMIF(ThresholdAge08,"&lt;"&amp;AH205,WeightedMinAge08),MAX(CapacityAge08*'01_Вводные'!$B$218*AH205,MeanMinAge08)))</f>
        <v/>
      </c>
      <c r="AI144" s="190">
        <f>IF(OR((AI60-AI88)=0,8&lt;='01_Вводные'!$B$297),0,(AI60-AI88)*IF('01_Вводные'!$B$239="Да",MeanMinAge08+AI205*SUMIF(ThresholdAge08,"&lt;"&amp;AI205,WeightedRevAge08)-SUMIF(ThresholdAge08,"&lt;"&amp;AI205,WeightedMinAge08),MAX(CapacityAge08*'01_Вводные'!$B$218*AI205,MeanMinAge08)))</f>
        <v/>
      </c>
      <c r="AJ144" s="190">
        <f>IF(OR((AJ60-AJ88)=0,8&lt;='01_Вводные'!$B$297),0,(AJ60-AJ88)*IF('01_Вводные'!$B$239="Да",MeanMinAge08+AJ205*SUMIF(ThresholdAge08,"&lt;"&amp;AJ205,WeightedRevAge08)-SUMIF(ThresholdAge08,"&lt;"&amp;AJ205,WeightedMinAge08),MAX(CapacityAge08*'01_Вводные'!$B$218*AJ205,MeanMinAge08)))</f>
        <v/>
      </c>
      <c r="AK144" s="190">
        <f>IF(OR((AK60-AK88)=0,8&lt;='01_Вводные'!$B$297),0,(AK60-AK88)*IF('01_Вводные'!$B$239="Да",MeanMinAge08+AK205*SUMIF(ThresholdAge08,"&lt;"&amp;AK205,WeightedRevAge08)-SUMIF(ThresholdAge08,"&lt;"&amp;AK205,WeightedMinAge08),MAX(CapacityAge08*'01_Вводные'!$B$218*AK205,MeanMinAge08)))</f>
        <v/>
      </c>
      <c r="AL144" s="190">
        <f>IF(OR((AL60-AL88)=0,8&lt;='01_Вводные'!$B$297),0,(AL60-AL88)*IF('01_Вводные'!$B$239="Да",MeanMinAge08+AL205*SUMIF(ThresholdAge08,"&lt;"&amp;AL205,WeightedRevAge08)-SUMIF(ThresholdAge08,"&lt;"&amp;AL205,WeightedMinAge08),MAX(CapacityAge08*'01_Вводные'!$B$218*AL205,MeanMinAge08)))</f>
        <v/>
      </c>
      <c r="AM144" s="190">
        <f>IF(OR((AM60-AM88)=0,8&lt;='01_Вводные'!$B$297),0,(AM60-AM88)*IF('01_Вводные'!$B$239="Да",MeanMinAge08+AM205*SUMIF(ThresholdAge08,"&lt;"&amp;AM205,WeightedRevAge08)-SUMIF(ThresholdAge08,"&lt;"&amp;AM205,WeightedMinAge08),MAX(CapacityAge08*'01_Вводные'!$B$218*AM205,MeanMinAge08)))</f>
        <v/>
      </c>
      <c r="AN144" s="190">
        <f>IF(OR((AN60-AN88)=0,8&lt;='01_Вводные'!$B$297),0,(AN60-AN88)*IF('01_Вводные'!$B$239="Да",MeanMinAge08+AN205*SUMIF(ThresholdAge08,"&lt;"&amp;AN205,WeightedRevAge08)-SUMIF(ThresholdAge08,"&lt;"&amp;AN205,WeightedMinAge08),MAX(CapacityAge08*'01_Вводные'!$B$218*AN205,MeanMinAge08)))</f>
        <v/>
      </c>
      <c r="AO144" s="190">
        <f>IF(OR((AO60-AO88)=0,8&lt;='01_Вводные'!$B$297),0,(AO60-AO88)*IF('01_Вводные'!$B$239="Да",MeanMinAge08+AO205*SUMIF(ThresholdAge08,"&lt;"&amp;AO205,WeightedRevAge08)-SUMIF(ThresholdAge08,"&lt;"&amp;AO205,WeightedMinAge08),MAX(CapacityAge08*'01_Вводные'!$B$218*AO205,MeanMinAge08)))</f>
        <v/>
      </c>
      <c r="AP144" s="190">
        <f>IF(OR((AP60-AP88)=0,8&lt;='01_Вводные'!$B$297),0,(AP60-AP88)*IF('01_Вводные'!$B$239="Да",MeanMinAge08+AP205*SUMIF(ThresholdAge08,"&lt;"&amp;AP205,WeightedRevAge08)-SUMIF(ThresholdAge08,"&lt;"&amp;AP205,WeightedMinAge08),MAX(CapacityAge08*'01_Вводные'!$B$218*AP205,MeanMinAge08)))</f>
        <v/>
      </c>
      <c r="AQ144" s="190">
        <f>IF(OR((AQ60-AQ88)=0,8&lt;='01_Вводные'!$B$297),0,(AQ60-AQ88)*IF('01_Вводные'!$B$239="Да",MeanMinAge08+AQ205*SUMIF(ThresholdAge08,"&lt;"&amp;AQ205,WeightedRevAge08)-SUMIF(ThresholdAge08,"&lt;"&amp;AQ205,WeightedMinAge08),MAX(CapacityAge08*'01_Вводные'!$B$218*AQ205,MeanMinAge08)))</f>
        <v/>
      </c>
      <c r="AR144" s="190">
        <f>IF(OR((AR60-AR88)=0,8&lt;='01_Вводные'!$B$297),0,(AR60-AR88)*IF('01_Вводные'!$B$239="Да",MeanMinAge08+AR205*SUMIF(ThresholdAge08,"&lt;"&amp;AR205,WeightedRevAge08)-SUMIF(ThresholdAge08,"&lt;"&amp;AR205,WeightedMinAge08),MAX(CapacityAge08*'01_Вводные'!$B$218*AR205,MeanMinAge08)))</f>
        <v/>
      </c>
      <c r="AS144" s="190">
        <f>IF(OR((AS60-AS88)=0,8&lt;='01_Вводные'!$B$297),0,(AS60-AS88)*IF('01_Вводные'!$B$239="Да",MeanMinAge08+AS205*SUMIF(ThresholdAge08,"&lt;"&amp;AS205,WeightedRevAge08)-SUMIF(ThresholdAge08,"&lt;"&amp;AS205,WeightedMinAge08),MAX(CapacityAge08*'01_Вводные'!$B$218*AS205,MeanMinAge08)))</f>
        <v/>
      </c>
      <c r="AT144" s="190">
        <f>IF(OR((AT60-AT88)=0,8&lt;='01_Вводные'!$B$297),0,(AT60-AT88)*IF('01_Вводные'!$B$239="Да",MeanMinAge08+AT205*SUMIF(ThresholdAge08,"&lt;"&amp;AT205,WeightedRevAge08)-SUMIF(ThresholdAge08,"&lt;"&amp;AT205,WeightedMinAge08),MAX(CapacityAge08*'01_Вводные'!$B$218*AT205,MeanMinAge08)))</f>
        <v/>
      </c>
      <c r="AU144" s="190">
        <f>IF(OR((AU60-AU88)=0,8&lt;='01_Вводные'!$B$297),0,(AU60-AU88)*IF('01_Вводные'!$B$239="Да",MeanMinAge08+AU205*SUMIF(ThresholdAge08,"&lt;"&amp;AU205,WeightedRevAge08)-SUMIF(ThresholdAge08,"&lt;"&amp;AU205,WeightedMinAge08),MAX(CapacityAge08*'01_Вводные'!$B$218*AU205,MeanMinAge08)))</f>
        <v/>
      </c>
      <c r="AV144" s="190">
        <f>IF(OR((AV60-AV88)=0,8&lt;='01_Вводные'!$B$297),0,(AV60-AV88)*IF('01_Вводные'!$B$239="Да",MeanMinAge08+AV205*SUMIF(ThresholdAge08,"&lt;"&amp;AV205,WeightedRevAge08)-SUMIF(ThresholdAge08,"&lt;"&amp;AV205,WeightedMinAge08),MAX(CapacityAge08*'01_Вводные'!$B$218*AV205,MeanMinAge08)))</f>
        <v/>
      </c>
      <c r="AW144" s="190">
        <f>IF(OR((AW60-AW88)=0,8&lt;='01_Вводные'!$B$297),0,(AW60-AW88)*IF('01_Вводные'!$B$239="Да",MeanMinAge08+AW205*SUMIF(ThresholdAge08,"&lt;"&amp;AW205,WeightedRevAge08)-SUMIF(ThresholdAge08,"&lt;"&amp;AW205,WeightedMinAge08),MAX(CapacityAge08*'01_Вводные'!$B$218*AW205,MeanMinAge08)))</f>
        <v/>
      </c>
      <c r="AX144" s="190">
        <f>IF(OR((AX60-AX88)=0,8&lt;='01_Вводные'!$B$297),0,(AX60-AX88)*IF('01_Вводные'!$B$239="Да",MeanMinAge08+AX205*SUMIF(ThresholdAge08,"&lt;"&amp;AX205,WeightedRevAge08)-SUMIF(ThresholdAge08,"&lt;"&amp;AX205,WeightedMinAge08),MAX(CapacityAge08*'01_Вводные'!$B$218*AX205,MeanMinAge08)))</f>
        <v/>
      </c>
      <c r="AY144" s="190">
        <f>IF(OR((AY60-AY88)=0,8&lt;='01_Вводные'!$B$297),0,(AY60-AY88)*IF('01_Вводные'!$B$239="Да",MeanMinAge08+AY205*SUMIF(ThresholdAge08,"&lt;"&amp;AY205,WeightedRevAge08)-SUMIF(ThresholdAge08,"&lt;"&amp;AY205,WeightedMinAge08),MAX(CapacityAge08*'01_Вводные'!$B$218*AY205,MeanMinAge08)))</f>
        <v/>
      </c>
      <c r="AZ144" s="190">
        <f>IF(OR((AZ60-AZ88)=0,8&lt;='01_Вводные'!$B$297),0,(AZ60-AZ88)*IF('01_Вводные'!$B$239="Да",MeanMinAge08+AZ205*SUMIF(ThresholdAge08,"&lt;"&amp;AZ205,WeightedRevAge08)-SUMIF(ThresholdAge08,"&lt;"&amp;AZ205,WeightedMinAge08),MAX(CapacityAge08*'01_Вводные'!$B$218*AZ205,MeanMinAge08)))</f>
        <v/>
      </c>
      <c r="BA144" s="190">
        <f>IF(OR((BA60-BA88)=0,8&lt;='01_Вводные'!$B$297),0,(BA60-BA88)*IF('01_Вводные'!$B$239="Да",MeanMinAge08+BA205*SUMIF(ThresholdAge08,"&lt;"&amp;BA205,WeightedRevAge08)-SUMIF(ThresholdAge08,"&lt;"&amp;BA205,WeightedMinAge08),MAX(CapacityAge08*'01_Вводные'!$B$218*BA205,MeanMinAge08)))</f>
        <v/>
      </c>
      <c r="BB144" s="190">
        <f>IF(OR((BB60-BB88)=0,8&lt;='01_Вводные'!$B$297),0,(BB60-BB88)*IF('01_Вводные'!$B$239="Да",MeanMinAge08+BB205*SUMIF(ThresholdAge08,"&lt;"&amp;BB205,WeightedRevAge08)-SUMIF(ThresholdAge08,"&lt;"&amp;BB205,WeightedMinAge08),MAX(CapacityAge08*'01_Вводные'!$B$218*BB205,MeanMinAge08)))</f>
        <v/>
      </c>
      <c r="BC144" s="190">
        <f>IF(OR((BC60-BC88)=0,8&lt;='01_Вводные'!$B$297),0,(BC60-BC88)*IF('01_Вводные'!$B$239="Да",MeanMinAge08+BC205*SUMIF(ThresholdAge08,"&lt;"&amp;BC205,WeightedRevAge08)-SUMIF(ThresholdAge08,"&lt;"&amp;BC205,WeightedMinAge08),MAX(CapacityAge08*'01_Вводные'!$B$218*BC205,MeanMinAge08)))</f>
        <v/>
      </c>
      <c r="BD144" s="190">
        <f>IF(OR((BD60-BD88)=0,8&lt;='01_Вводные'!$B$297),0,(BD60-BD88)*IF('01_Вводные'!$B$239="Да",MeanMinAge08+BD205*SUMIF(ThresholdAge08,"&lt;"&amp;BD205,WeightedRevAge08)-SUMIF(ThresholdAge08,"&lt;"&amp;BD205,WeightedMinAge08),MAX(CapacityAge08*'01_Вводные'!$B$218*BD205,MeanMinAge08)))</f>
        <v/>
      </c>
      <c r="BE144" s="190">
        <f>IF(OR((BE60-BE88)=0,8&lt;='01_Вводные'!$B$297),0,(BE60-BE88)*IF('01_Вводные'!$B$239="Да",MeanMinAge08+BE205*SUMIF(ThresholdAge08,"&lt;"&amp;BE205,WeightedRevAge08)-SUMIF(ThresholdAge08,"&lt;"&amp;BE205,WeightedMinAge08),MAX(CapacityAge08*'01_Вводные'!$B$218*BE205,MeanMinAge08)))</f>
        <v/>
      </c>
      <c r="BF144" s="190">
        <f>IF(OR((BF60-BF88)=0,8&lt;='01_Вводные'!$B$297),0,(BF60-BF88)*IF('01_Вводные'!$B$239="Да",MeanMinAge08+BF205*SUMIF(ThresholdAge08,"&lt;"&amp;BF205,WeightedRevAge08)-SUMIF(ThresholdAge08,"&lt;"&amp;BF205,WeightedMinAge08),MAX(CapacityAge08*'01_Вводные'!$B$218*BF205,MeanMinAge08)))</f>
        <v/>
      </c>
      <c r="BG144" s="190">
        <f>IF(OR((BG60-BG88)=0,8&lt;='01_Вводные'!$B$297),0,(BG60-BG88)*IF('01_Вводные'!$B$239="Да",MeanMinAge08+BG205*SUMIF(ThresholdAge08,"&lt;"&amp;BG205,WeightedRevAge08)-SUMIF(ThresholdAge08,"&lt;"&amp;BG205,WeightedMinAge08),MAX(CapacityAge08*'01_Вводные'!$B$218*BG205,MeanMinAge08)))</f>
        <v/>
      </c>
      <c r="BH144" s="190">
        <f>IF(OR((BH60-BH88)=0,8&lt;='01_Вводные'!$B$297),0,(BH60-BH88)*IF('01_Вводные'!$B$239="Да",MeanMinAge08+BH205*SUMIF(ThresholdAge08,"&lt;"&amp;BH205,WeightedRevAge08)-SUMIF(ThresholdAge08,"&lt;"&amp;BH205,WeightedMinAge08),MAX(CapacityAge08*'01_Вводные'!$B$218*BH205,MeanMinAge08)))</f>
        <v/>
      </c>
      <c r="BI144" s="190">
        <f>IF(OR((BI60-BI88)=0,8&lt;='01_Вводные'!$B$297),0,(BI60-BI88)*IF('01_Вводные'!$B$239="Да",MeanMinAge08+BI205*SUMIF(ThresholdAge08,"&lt;"&amp;BI205,WeightedRevAge08)-SUMIF(ThresholdAge08,"&lt;"&amp;BI205,WeightedMinAge08),MAX(CapacityAge08*'01_Вводные'!$B$218*BI205,MeanMinAge08)))</f>
        <v/>
      </c>
      <c r="BJ144" s="190">
        <f>IF(OR((BJ60-BJ88)=0,8&lt;='01_Вводные'!$B$297),0,(BJ60-BJ88)*IF('01_Вводные'!$B$239="Да",MeanMinAge08+BJ205*SUMIF(ThresholdAge08,"&lt;"&amp;BJ205,WeightedRevAge08)-SUMIF(ThresholdAge08,"&lt;"&amp;BJ205,WeightedMinAge08),MAX(CapacityAge08*'01_Вводные'!$B$218*BJ205,MeanMinAge08)))</f>
        <v/>
      </c>
      <c r="BK144" s="190">
        <f>IF(OR((BK60-BK88)=0,8&lt;='01_Вводные'!$B$297),0,(BK60-BK88)*IF('01_Вводные'!$B$239="Да",MeanMinAge08+BK205*SUMIF(ThresholdAge08,"&lt;"&amp;BK205,WeightedRevAge08)-SUMIF(ThresholdAge08,"&lt;"&amp;BK205,WeightedMinAge08),MAX(CapacityAge08*'01_Вводные'!$B$218*BK205,MeanMinAge08)))</f>
        <v/>
      </c>
      <c r="BL144" s="190">
        <f>IF(OR((BL60-BL88)=0,8&lt;='01_Вводные'!$B$297),0,(BL60-BL88)*IF('01_Вводные'!$B$239="Да",MeanMinAge08+BL205*SUMIF(ThresholdAge08,"&lt;"&amp;BL205,WeightedRevAge08)-SUMIF(ThresholdAge08,"&lt;"&amp;BL205,WeightedMinAge08),MAX(CapacityAge08*'01_Вводные'!$B$218*BL205,MeanMinAge08)))</f>
        <v/>
      </c>
      <c r="BM144" s="190">
        <f>IF(OR((BM60-BM88)=0,8&lt;='01_Вводные'!$B$297),0,(BM60-BM88)*IF('01_Вводные'!$B$239="Да",MeanMinAge08+BM205*SUMIF(ThresholdAge08,"&lt;"&amp;BM205,WeightedRevAge08)-SUMIF(ThresholdAge08,"&lt;"&amp;BM205,WeightedMinAge08),MAX(CapacityAge08*'01_Вводные'!$B$218*BM205,MeanMinAge08)))</f>
        <v/>
      </c>
      <c r="BN144" s="190">
        <f>IF(OR((BN60-BN88)=0,8&lt;='01_Вводные'!$B$297),0,(BN60-BN88)*IF('01_Вводные'!$B$239="Да",MeanMinAge08+BN205*SUMIF(ThresholdAge08,"&lt;"&amp;BN205,WeightedRevAge08)-SUMIF(ThresholdAge08,"&lt;"&amp;BN205,WeightedMinAge08),MAX(CapacityAge08*'01_Вводные'!$B$218*BN205,MeanMinAge08)))</f>
        <v/>
      </c>
      <c r="BO144" s="190">
        <f>IF(OR((BO60-BO88)=0,8&lt;='01_Вводные'!$B$297),0,(BO60-BO88)*IF('01_Вводные'!$B$239="Да",MeanMinAge08+BO205*SUMIF(ThresholdAge08,"&lt;"&amp;BO205,WeightedRevAge08)-SUMIF(ThresholdAge08,"&lt;"&amp;BO205,WeightedMinAge08),MAX(CapacityAge08*'01_Вводные'!$B$218*BO205,MeanMinAge08)))</f>
        <v/>
      </c>
    </row>
    <row r="145" hidden="1" outlineLevel="1">
      <c r="A145" t="inlineStr">
        <is>
          <t>9 мес.</t>
        </is>
      </c>
      <c r="B145" s="190">
        <f>IF(OR((B61-B89)=0,9&lt;='01_Вводные'!$B$297),0,(B61-B89)*IF('01_Вводные'!$B$239="Да",MeanMinAge09+B205*SUMIF(ThresholdAge09,"&lt;"&amp;B205,WeightedRevAge09)-SUMIF(ThresholdAge09,"&lt;"&amp;B205,WeightedMinAge09),MAX(CapacityAge09*'01_Вводные'!$B$218*B205,MeanMinAge09)))</f>
        <v/>
      </c>
      <c r="C145" s="190">
        <f>IF(OR((C61-C89)=0,9&lt;='01_Вводные'!$B$297),0,(C61-C89)*IF('01_Вводные'!$B$239="Да",MeanMinAge09+C205*SUMIF(ThresholdAge09,"&lt;"&amp;C205,WeightedRevAge09)-SUMIF(ThresholdAge09,"&lt;"&amp;C205,WeightedMinAge09),MAX(CapacityAge09*'01_Вводные'!$B$218*C205,MeanMinAge09)))</f>
        <v/>
      </c>
      <c r="D145" s="190">
        <f>IF(OR((D61-D89)=0,9&lt;='01_Вводные'!$B$297),0,(D61-D89)*IF('01_Вводные'!$B$239="Да",MeanMinAge09+D205*SUMIF(ThresholdAge09,"&lt;"&amp;D205,WeightedRevAge09)-SUMIF(ThresholdAge09,"&lt;"&amp;D205,WeightedMinAge09),MAX(CapacityAge09*'01_Вводные'!$B$218*D205,MeanMinAge09)))</f>
        <v/>
      </c>
      <c r="E145" s="190">
        <f>IF(OR((E61-E89)=0,9&lt;='01_Вводные'!$B$297),0,(E61-E89)*IF('01_Вводные'!$B$239="Да",MeanMinAge09+E205*SUMIF(ThresholdAge09,"&lt;"&amp;E205,WeightedRevAge09)-SUMIF(ThresholdAge09,"&lt;"&amp;E205,WeightedMinAge09),MAX(CapacityAge09*'01_Вводные'!$B$218*E205,MeanMinAge09)))</f>
        <v/>
      </c>
      <c r="F145" s="190">
        <f>IF(OR((F61-F89)=0,9&lt;='01_Вводные'!$B$297),0,(F61-F89)*IF('01_Вводные'!$B$239="Да",MeanMinAge09+F205*SUMIF(ThresholdAge09,"&lt;"&amp;F205,WeightedRevAge09)-SUMIF(ThresholdAge09,"&lt;"&amp;F205,WeightedMinAge09),MAX(CapacityAge09*'01_Вводные'!$B$218*F205,MeanMinAge09)))</f>
        <v/>
      </c>
      <c r="G145" s="190">
        <f>IF(OR((G61-G89)=0,9&lt;='01_Вводные'!$B$297),0,(G61-G89)*IF('01_Вводные'!$B$239="Да",MeanMinAge09+G205*SUMIF(ThresholdAge09,"&lt;"&amp;G205,WeightedRevAge09)-SUMIF(ThresholdAge09,"&lt;"&amp;G205,WeightedMinAge09),MAX(CapacityAge09*'01_Вводные'!$B$218*G205,MeanMinAge09)))</f>
        <v/>
      </c>
      <c r="H145" s="190">
        <f>IF(OR((H61-H89)=0,9&lt;='01_Вводные'!$B$297),0,(H61-H89)*IF('01_Вводные'!$B$239="Да",MeanMinAge09+H205*SUMIF(ThresholdAge09,"&lt;"&amp;H205,WeightedRevAge09)-SUMIF(ThresholdAge09,"&lt;"&amp;H205,WeightedMinAge09),MAX(CapacityAge09*'01_Вводные'!$B$218*H205,MeanMinAge09)))</f>
        <v/>
      </c>
      <c r="I145" s="190">
        <f>IF(OR((I61-I89)=0,9&lt;='01_Вводные'!$B$297),0,(I61-I89)*IF('01_Вводные'!$B$239="Да",MeanMinAge09+I205*SUMIF(ThresholdAge09,"&lt;"&amp;I205,WeightedRevAge09)-SUMIF(ThresholdAge09,"&lt;"&amp;I205,WeightedMinAge09),MAX(CapacityAge09*'01_Вводные'!$B$218*I205,MeanMinAge09)))</f>
        <v/>
      </c>
      <c r="J145" s="190">
        <f>IF(OR((J61-J89)=0,9&lt;='01_Вводные'!$B$297),0,(J61-J89)*IF('01_Вводные'!$B$239="Да",MeanMinAge09+J205*SUMIF(ThresholdAge09,"&lt;"&amp;J205,WeightedRevAge09)-SUMIF(ThresholdAge09,"&lt;"&amp;J205,WeightedMinAge09),MAX(CapacityAge09*'01_Вводные'!$B$218*J205,MeanMinAge09)))</f>
        <v/>
      </c>
      <c r="K145" s="190">
        <f>IF(OR((K61-K89)=0,9&lt;='01_Вводные'!$B$297),0,(K61-K89)*IF('01_Вводные'!$B$239="Да",MeanMinAge09+K205*SUMIF(ThresholdAge09,"&lt;"&amp;K205,WeightedRevAge09)-SUMIF(ThresholdAge09,"&lt;"&amp;K205,WeightedMinAge09),MAX(CapacityAge09*'01_Вводные'!$B$218*K205,MeanMinAge09)))</f>
        <v/>
      </c>
      <c r="L145" s="190">
        <f>IF(OR((L61-L89)=0,9&lt;='01_Вводные'!$B$297),0,(L61-L89)*IF('01_Вводные'!$B$239="Да",MeanMinAge09+L205*SUMIF(ThresholdAge09,"&lt;"&amp;L205,WeightedRevAge09)-SUMIF(ThresholdAge09,"&lt;"&amp;L205,WeightedMinAge09),MAX(CapacityAge09*'01_Вводные'!$B$218*L205,MeanMinAge09)))</f>
        <v/>
      </c>
      <c r="M145" s="190">
        <f>IF(OR((M61-M89)=0,9&lt;='01_Вводные'!$B$297),0,(M61-M89)*IF('01_Вводные'!$B$239="Да",MeanMinAge09+M205*SUMIF(ThresholdAge09,"&lt;"&amp;M205,WeightedRevAge09)-SUMIF(ThresholdAge09,"&lt;"&amp;M205,WeightedMinAge09),MAX(CapacityAge09*'01_Вводные'!$B$218*M205,MeanMinAge09)))</f>
        <v/>
      </c>
      <c r="N145" s="190">
        <f>IF(OR((N61-N89)=0,9&lt;='01_Вводные'!$B$297),0,(N61-N89)*IF('01_Вводные'!$B$239="Да",MeanMinAge09+N205*SUMIF(ThresholdAge09,"&lt;"&amp;N205,WeightedRevAge09)-SUMIF(ThresholdAge09,"&lt;"&amp;N205,WeightedMinAge09),MAX(CapacityAge09*'01_Вводные'!$B$218*N205,MeanMinAge09)))</f>
        <v/>
      </c>
      <c r="O145" s="190">
        <f>IF(OR((O61-O89)=0,9&lt;='01_Вводные'!$B$297),0,(O61-O89)*IF('01_Вводные'!$B$239="Да",MeanMinAge09+O205*SUMIF(ThresholdAge09,"&lt;"&amp;O205,WeightedRevAge09)-SUMIF(ThresholdAge09,"&lt;"&amp;O205,WeightedMinAge09),MAX(CapacityAge09*'01_Вводные'!$B$218*O205,MeanMinAge09)))</f>
        <v/>
      </c>
      <c r="P145" s="190">
        <f>IF(OR((P61-P89)=0,9&lt;='01_Вводные'!$B$297),0,(P61-P89)*IF('01_Вводные'!$B$239="Да",MeanMinAge09+P205*SUMIF(ThresholdAge09,"&lt;"&amp;P205,WeightedRevAge09)-SUMIF(ThresholdAge09,"&lt;"&amp;P205,WeightedMinAge09),MAX(CapacityAge09*'01_Вводные'!$B$218*P205,MeanMinAge09)))</f>
        <v/>
      </c>
      <c r="Q145" s="190">
        <f>IF(OR((Q61-Q89)=0,9&lt;='01_Вводные'!$B$297),0,(Q61-Q89)*IF('01_Вводные'!$B$239="Да",MeanMinAge09+Q205*SUMIF(ThresholdAge09,"&lt;"&amp;Q205,WeightedRevAge09)-SUMIF(ThresholdAge09,"&lt;"&amp;Q205,WeightedMinAge09),MAX(CapacityAge09*'01_Вводные'!$B$218*Q205,MeanMinAge09)))</f>
        <v/>
      </c>
      <c r="R145" s="190">
        <f>IF(OR((R61-R89)=0,9&lt;='01_Вводные'!$B$297),0,(R61-R89)*IF('01_Вводные'!$B$239="Да",MeanMinAge09+R205*SUMIF(ThresholdAge09,"&lt;"&amp;R205,WeightedRevAge09)-SUMIF(ThresholdAge09,"&lt;"&amp;R205,WeightedMinAge09),MAX(CapacityAge09*'01_Вводные'!$B$218*R205,MeanMinAge09)))</f>
        <v/>
      </c>
      <c r="S145" s="190">
        <f>IF(OR((S61-S89)=0,9&lt;='01_Вводные'!$B$297),0,(S61-S89)*IF('01_Вводные'!$B$239="Да",MeanMinAge09+S205*SUMIF(ThresholdAge09,"&lt;"&amp;S205,WeightedRevAge09)-SUMIF(ThresholdAge09,"&lt;"&amp;S205,WeightedMinAge09),MAX(CapacityAge09*'01_Вводные'!$B$218*S205,MeanMinAge09)))</f>
        <v/>
      </c>
      <c r="T145" s="190">
        <f>IF(OR((T61-T89)=0,9&lt;='01_Вводные'!$B$297),0,(T61-T89)*IF('01_Вводные'!$B$239="Да",MeanMinAge09+T205*SUMIF(ThresholdAge09,"&lt;"&amp;T205,WeightedRevAge09)-SUMIF(ThresholdAge09,"&lt;"&amp;T205,WeightedMinAge09),MAX(CapacityAge09*'01_Вводные'!$B$218*T205,MeanMinAge09)))</f>
        <v/>
      </c>
      <c r="U145" s="190">
        <f>IF(OR((U61-U89)=0,9&lt;='01_Вводные'!$B$297),0,(U61-U89)*IF('01_Вводные'!$B$239="Да",MeanMinAge09+U205*SUMIF(ThresholdAge09,"&lt;"&amp;U205,WeightedRevAge09)-SUMIF(ThresholdAge09,"&lt;"&amp;U205,WeightedMinAge09),MAX(CapacityAge09*'01_Вводные'!$B$218*U205,MeanMinAge09)))</f>
        <v/>
      </c>
      <c r="V145" s="190">
        <f>IF(OR((V61-V89)=0,9&lt;='01_Вводные'!$B$297),0,(V61-V89)*IF('01_Вводные'!$B$239="Да",MeanMinAge09+V205*SUMIF(ThresholdAge09,"&lt;"&amp;V205,WeightedRevAge09)-SUMIF(ThresholdAge09,"&lt;"&amp;V205,WeightedMinAge09),MAX(CapacityAge09*'01_Вводные'!$B$218*V205,MeanMinAge09)))</f>
        <v/>
      </c>
      <c r="W145" s="190">
        <f>IF(OR((W61-W89)=0,9&lt;='01_Вводные'!$B$297),0,(W61-W89)*IF('01_Вводные'!$B$239="Да",MeanMinAge09+W205*SUMIF(ThresholdAge09,"&lt;"&amp;W205,WeightedRevAge09)-SUMIF(ThresholdAge09,"&lt;"&amp;W205,WeightedMinAge09),MAX(CapacityAge09*'01_Вводные'!$B$218*W205,MeanMinAge09)))</f>
        <v/>
      </c>
      <c r="X145" s="190">
        <f>IF(OR((X61-X89)=0,9&lt;='01_Вводные'!$B$297),0,(X61-X89)*IF('01_Вводные'!$B$239="Да",MeanMinAge09+X205*SUMIF(ThresholdAge09,"&lt;"&amp;X205,WeightedRevAge09)-SUMIF(ThresholdAge09,"&lt;"&amp;X205,WeightedMinAge09),MAX(CapacityAge09*'01_Вводные'!$B$218*X205,MeanMinAge09)))</f>
        <v/>
      </c>
      <c r="Y145" s="190">
        <f>IF(OR((Y61-Y89)=0,9&lt;='01_Вводные'!$B$297),0,(Y61-Y89)*IF('01_Вводные'!$B$239="Да",MeanMinAge09+Y205*SUMIF(ThresholdAge09,"&lt;"&amp;Y205,WeightedRevAge09)-SUMIF(ThresholdAge09,"&lt;"&amp;Y205,WeightedMinAge09),MAX(CapacityAge09*'01_Вводные'!$B$218*Y205,MeanMinAge09)))</f>
        <v/>
      </c>
      <c r="Z145" s="190">
        <f>IF(OR((Z61-Z89)=0,9&lt;='01_Вводные'!$B$297),0,(Z61-Z89)*IF('01_Вводные'!$B$239="Да",MeanMinAge09+Z205*SUMIF(ThresholdAge09,"&lt;"&amp;Z205,WeightedRevAge09)-SUMIF(ThresholdAge09,"&lt;"&amp;Z205,WeightedMinAge09),MAX(CapacityAge09*'01_Вводные'!$B$218*Z205,MeanMinAge09)))</f>
        <v/>
      </c>
      <c r="AA145" s="190">
        <f>IF(OR((AA61-AA89)=0,9&lt;='01_Вводные'!$B$297),0,(AA61-AA89)*IF('01_Вводные'!$B$239="Да",MeanMinAge09+AA205*SUMIF(ThresholdAge09,"&lt;"&amp;AA205,WeightedRevAge09)-SUMIF(ThresholdAge09,"&lt;"&amp;AA205,WeightedMinAge09),MAX(CapacityAge09*'01_Вводные'!$B$218*AA205,MeanMinAge09)))</f>
        <v/>
      </c>
      <c r="AB145" s="190">
        <f>IF(OR((AB61-AB89)=0,9&lt;='01_Вводные'!$B$297),0,(AB61-AB89)*IF('01_Вводные'!$B$239="Да",MeanMinAge09+AB205*SUMIF(ThresholdAge09,"&lt;"&amp;AB205,WeightedRevAge09)-SUMIF(ThresholdAge09,"&lt;"&amp;AB205,WeightedMinAge09),MAX(CapacityAge09*'01_Вводные'!$B$218*AB205,MeanMinAge09)))</f>
        <v/>
      </c>
      <c r="AC145" s="190">
        <f>IF(OR((AC61-AC89)=0,9&lt;='01_Вводные'!$B$297),0,(AC61-AC89)*IF('01_Вводные'!$B$239="Да",MeanMinAge09+AC205*SUMIF(ThresholdAge09,"&lt;"&amp;AC205,WeightedRevAge09)-SUMIF(ThresholdAge09,"&lt;"&amp;AC205,WeightedMinAge09),MAX(CapacityAge09*'01_Вводные'!$B$218*AC205,MeanMinAge09)))</f>
        <v/>
      </c>
      <c r="AD145" s="190">
        <f>IF(OR((AD61-AD89)=0,9&lt;='01_Вводные'!$B$297),0,(AD61-AD89)*IF('01_Вводные'!$B$239="Да",MeanMinAge09+AD205*SUMIF(ThresholdAge09,"&lt;"&amp;AD205,WeightedRevAge09)-SUMIF(ThresholdAge09,"&lt;"&amp;AD205,WeightedMinAge09),MAX(CapacityAge09*'01_Вводные'!$B$218*AD205,MeanMinAge09)))</f>
        <v/>
      </c>
      <c r="AE145" s="190">
        <f>IF(OR((AE61-AE89)=0,9&lt;='01_Вводные'!$B$297),0,(AE61-AE89)*IF('01_Вводные'!$B$239="Да",MeanMinAge09+AE205*SUMIF(ThresholdAge09,"&lt;"&amp;AE205,WeightedRevAge09)-SUMIF(ThresholdAge09,"&lt;"&amp;AE205,WeightedMinAge09),MAX(CapacityAge09*'01_Вводные'!$B$218*AE205,MeanMinAge09)))</f>
        <v/>
      </c>
      <c r="AF145" s="190">
        <f>IF(OR((AF61-AF89)=0,9&lt;='01_Вводные'!$B$297),0,(AF61-AF89)*IF('01_Вводные'!$B$239="Да",MeanMinAge09+AF205*SUMIF(ThresholdAge09,"&lt;"&amp;AF205,WeightedRevAge09)-SUMIF(ThresholdAge09,"&lt;"&amp;AF205,WeightedMinAge09),MAX(CapacityAge09*'01_Вводные'!$B$218*AF205,MeanMinAge09)))</f>
        <v/>
      </c>
      <c r="AG145" s="190">
        <f>IF(OR((AG61-AG89)=0,9&lt;='01_Вводные'!$B$297),0,(AG61-AG89)*IF('01_Вводные'!$B$239="Да",MeanMinAge09+AG205*SUMIF(ThresholdAge09,"&lt;"&amp;AG205,WeightedRevAge09)-SUMIF(ThresholdAge09,"&lt;"&amp;AG205,WeightedMinAge09),MAX(CapacityAge09*'01_Вводные'!$B$218*AG205,MeanMinAge09)))</f>
        <v/>
      </c>
      <c r="AH145" s="190">
        <f>IF(OR((AH61-AH89)=0,9&lt;='01_Вводные'!$B$297),0,(AH61-AH89)*IF('01_Вводные'!$B$239="Да",MeanMinAge09+AH205*SUMIF(ThresholdAge09,"&lt;"&amp;AH205,WeightedRevAge09)-SUMIF(ThresholdAge09,"&lt;"&amp;AH205,WeightedMinAge09),MAX(CapacityAge09*'01_Вводные'!$B$218*AH205,MeanMinAge09)))</f>
        <v/>
      </c>
      <c r="AI145" s="190">
        <f>IF(OR((AI61-AI89)=0,9&lt;='01_Вводные'!$B$297),0,(AI61-AI89)*IF('01_Вводные'!$B$239="Да",MeanMinAge09+AI205*SUMIF(ThresholdAge09,"&lt;"&amp;AI205,WeightedRevAge09)-SUMIF(ThresholdAge09,"&lt;"&amp;AI205,WeightedMinAge09),MAX(CapacityAge09*'01_Вводные'!$B$218*AI205,MeanMinAge09)))</f>
        <v/>
      </c>
      <c r="AJ145" s="190">
        <f>IF(OR((AJ61-AJ89)=0,9&lt;='01_Вводные'!$B$297),0,(AJ61-AJ89)*IF('01_Вводные'!$B$239="Да",MeanMinAge09+AJ205*SUMIF(ThresholdAge09,"&lt;"&amp;AJ205,WeightedRevAge09)-SUMIF(ThresholdAge09,"&lt;"&amp;AJ205,WeightedMinAge09),MAX(CapacityAge09*'01_Вводные'!$B$218*AJ205,MeanMinAge09)))</f>
        <v/>
      </c>
      <c r="AK145" s="190">
        <f>IF(OR((AK61-AK89)=0,9&lt;='01_Вводные'!$B$297),0,(AK61-AK89)*IF('01_Вводные'!$B$239="Да",MeanMinAge09+AK205*SUMIF(ThresholdAge09,"&lt;"&amp;AK205,WeightedRevAge09)-SUMIF(ThresholdAge09,"&lt;"&amp;AK205,WeightedMinAge09),MAX(CapacityAge09*'01_Вводные'!$B$218*AK205,MeanMinAge09)))</f>
        <v/>
      </c>
      <c r="AL145" s="190">
        <f>IF(OR((AL61-AL89)=0,9&lt;='01_Вводные'!$B$297),0,(AL61-AL89)*IF('01_Вводные'!$B$239="Да",MeanMinAge09+AL205*SUMIF(ThresholdAge09,"&lt;"&amp;AL205,WeightedRevAge09)-SUMIF(ThresholdAge09,"&lt;"&amp;AL205,WeightedMinAge09),MAX(CapacityAge09*'01_Вводные'!$B$218*AL205,MeanMinAge09)))</f>
        <v/>
      </c>
      <c r="AM145" s="190">
        <f>IF(OR((AM61-AM89)=0,9&lt;='01_Вводные'!$B$297),0,(AM61-AM89)*IF('01_Вводные'!$B$239="Да",MeanMinAge09+AM205*SUMIF(ThresholdAge09,"&lt;"&amp;AM205,WeightedRevAge09)-SUMIF(ThresholdAge09,"&lt;"&amp;AM205,WeightedMinAge09),MAX(CapacityAge09*'01_Вводные'!$B$218*AM205,MeanMinAge09)))</f>
        <v/>
      </c>
      <c r="AN145" s="190">
        <f>IF(OR((AN61-AN89)=0,9&lt;='01_Вводные'!$B$297),0,(AN61-AN89)*IF('01_Вводные'!$B$239="Да",MeanMinAge09+AN205*SUMIF(ThresholdAge09,"&lt;"&amp;AN205,WeightedRevAge09)-SUMIF(ThresholdAge09,"&lt;"&amp;AN205,WeightedMinAge09),MAX(CapacityAge09*'01_Вводные'!$B$218*AN205,MeanMinAge09)))</f>
        <v/>
      </c>
      <c r="AO145" s="190">
        <f>IF(OR((AO61-AO89)=0,9&lt;='01_Вводные'!$B$297),0,(AO61-AO89)*IF('01_Вводные'!$B$239="Да",MeanMinAge09+AO205*SUMIF(ThresholdAge09,"&lt;"&amp;AO205,WeightedRevAge09)-SUMIF(ThresholdAge09,"&lt;"&amp;AO205,WeightedMinAge09),MAX(CapacityAge09*'01_Вводные'!$B$218*AO205,MeanMinAge09)))</f>
        <v/>
      </c>
      <c r="AP145" s="190">
        <f>IF(OR((AP61-AP89)=0,9&lt;='01_Вводные'!$B$297),0,(AP61-AP89)*IF('01_Вводные'!$B$239="Да",MeanMinAge09+AP205*SUMIF(ThresholdAge09,"&lt;"&amp;AP205,WeightedRevAge09)-SUMIF(ThresholdAge09,"&lt;"&amp;AP205,WeightedMinAge09),MAX(CapacityAge09*'01_Вводные'!$B$218*AP205,MeanMinAge09)))</f>
        <v/>
      </c>
      <c r="AQ145" s="190">
        <f>IF(OR((AQ61-AQ89)=0,9&lt;='01_Вводные'!$B$297),0,(AQ61-AQ89)*IF('01_Вводные'!$B$239="Да",MeanMinAge09+AQ205*SUMIF(ThresholdAge09,"&lt;"&amp;AQ205,WeightedRevAge09)-SUMIF(ThresholdAge09,"&lt;"&amp;AQ205,WeightedMinAge09),MAX(CapacityAge09*'01_Вводные'!$B$218*AQ205,MeanMinAge09)))</f>
        <v/>
      </c>
      <c r="AR145" s="190">
        <f>IF(OR((AR61-AR89)=0,9&lt;='01_Вводные'!$B$297),0,(AR61-AR89)*IF('01_Вводные'!$B$239="Да",MeanMinAge09+AR205*SUMIF(ThresholdAge09,"&lt;"&amp;AR205,WeightedRevAge09)-SUMIF(ThresholdAge09,"&lt;"&amp;AR205,WeightedMinAge09),MAX(CapacityAge09*'01_Вводные'!$B$218*AR205,MeanMinAge09)))</f>
        <v/>
      </c>
      <c r="AS145" s="190">
        <f>IF(OR((AS61-AS89)=0,9&lt;='01_Вводные'!$B$297),0,(AS61-AS89)*IF('01_Вводные'!$B$239="Да",MeanMinAge09+AS205*SUMIF(ThresholdAge09,"&lt;"&amp;AS205,WeightedRevAge09)-SUMIF(ThresholdAge09,"&lt;"&amp;AS205,WeightedMinAge09),MAX(CapacityAge09*'01_Вводные'!$B$218*AS205,MeanMinAge09)))</f>
        <v/>
      </c>
      <c r="AT145" s="190">
        <f>IF(OR((AT61-AT89)=0,9&lt;='01_Вводные'!$B$297),0,(AT61-AT89)*IF('01_Вводные'!$B$239="Да",MeanMinAge09+AT205*SUMIF(ThresholdAge09,"&lt;"&amp;AT205,WeightedRevAge09)-SUMIF(ThresholdAge09,"&lt;"&amp;AT205,WeightedMinAge09),MAX(CapacityAge09*'01_Вводные'!$B$218*AT205,MeanMinAge09)))</f>
        <v/>
      </c>
      <c r="AU145" s="190">
        <f>IF(OR((AU61-AU89)=0,9&lt;='01_Вводные'!$B$297),0,(AU61-AU89)*IF('01_Вводные'!$B$239="Да",MeanMinAge09+AU205*SUMIF(ThresholdAge09,"&lt;"&amp;AU205,WeightedRevAge09)-SUMIF(ThresholdAge09,"&lt;"&amp;AU205,WeightedMinAge09),MAX(CapacityAge09*'01_Вводные'!$B$218*AU205,MeanMinAge09)))</f>
        <v/>
      </c>
      <c r="AV145" s="190">
        <f>IF(OR((AV61-AV89)=0,9&lt;='01_Вводные'!$B$297),0,(AV61-AV89)*IF('01_Вводные'!$B$239="Да",MeanMinAge09+AV205*SUMIF(ThresholdAge09,"&lt;"&amp;AV205,WeightedRevAge09)-SUMIF(ThresholdAge09,"&lt;"&amp;AV205,WeightedMinAge09),MAX(CapacityAge09*'01_Вводные'!$B$218*AV205,MeanMinAge09)))</f>
        <v/>
      </c>
      <c r="AW145" s="190">
        <f>IF(OR((AW61-AW89)=0,9&lt;='01_Вводные'!$B$297),0,(AW61-AW89)*IF('01_Вводные'!$B$239="Да",MeanMinAge09+AW205*SUMIF(ThresholdAge09,"&lt;"&amp;AW205,WeightedRevAge09)-SUMIF(ThresholdAge09,"&lt;"&amp;AW205,WeightedMinAge09),MAX(CapacityAge09*'01_Вводные'!$B$218*AW205,MeanMinAge09)))</f>
        <v/>
      </c>
      <c r="AX145" s="190">
        <f>IF(OR((AX61-AX89)=0,9&lt;='01_Вводные'!$B$297),0,(AX61-AX89)*IF('01_Вводные'!$B$239="Да",MeanMinAge09+AX205*SUMIF(ThresholdAge09,"&lt;"&amp;AX205,WeightedRevAge09)-SUMIF(ThresholdAge09,"&lt;"&amp;AX205,WeightedMinAge09),MAX(CapacityAge09*'01_Вводные'!$B$218*AX205,MeanMinAge09)))</f>
        <v/>
      </c>
      <c r="AY145" s="190">
        <f>IF(OR((AY61-AY89)=0,9&lt;='01_Вводные'!$B$297),0,(AY61-AY89)*IF('01_Вводные'!$B$239="Да",MeanMinAge09+AY205*SUMIF(ThresholdAge09,"&lt;"&amp;AY205,WeightedRevAge09)-SUMIF(ThresholdAge09,"&lt;"&amp;AY205,WeightedMinAge09),MAX(CapacityAge09*'01_Вводные'!$B$218*AY205,MeanMinAge09)))</f>
        <v/>
      </c>
      <c r="AZ145" s="190">
        <f>IF(OR((AZ61-AZ89)=0,9&lt;='01_Вводные'!$B$297),0,(AZ61-AZ89)*IF('01_Вводные'!$B$239="Да",MeanMinAge09+AZ205*SUMIF(ThresholdAge09,"&lt;"&amp;AZ205,WeightedRevAge09)-SUMIF(ThresholdAge09,"&lt;"&amp;AZ205,WeightedMinAge09),MAX(CapacityAge09*'01_Вводные'!$B$218*AZ205,MeanMinAge09)))</f>
        <v/>
      </c>
      <c r="BA145" s="190">
        <f>IF(OR((BA61-BA89)=0,9&lt;='01_Вводные'!$B$297),0,(BA61-BA89)*IF('01_Вводные'!$B$239="Да",MeanMinAge09+BA205*SUMIF(ThresholdAge09,"&lt;"&amp;BA205,WeightedRevAge09)-SUMIF(ThresholdAge09,"&lt;"&amp;BA205,WeightedMinAge09),MAX(CapacityAge09*'01_Вводные'!$B$218*BA205,MeanMinAge09)))</f>
        <v/>
      </c>
      <c r="BB145" s="190">
        <f>IF(OR((BB61-BB89)=0,9&lt;='01_Вводные'!$B$297),0,(BB61-BB89)*IF('01_Вводные'!$B$239="Да",MeanMinAge09+BB205*SUMIF(ThresholdAge09,"&lt;"&amp;BB205,WeightedRevAge09)-SUMIF(ThresholdAge09,"&lt;"&amp;BB205,WeightedMinAge09),MAX(CapacityAge09*'01_Вводные'!$B$218*BB205,MeanMinAge09)))</f>
        <v/>
      </c>
      <c r="BC145" s="190">
        <f>IF(OR((BC61-BC89)=0,9&lt;='01_Вводные'!$B$297),0,(BC61-BC89)*IF('01_Вводные'!$B$239="Да",MeanMinAge09+BC205*SUMIF(ThresholdAge09,"&lt;"&amp;BC205,WeightedRevAge09)-SUMIF(ThresholdAge09,"&lt;"&amp;BC205,WeightedMinAge09),MAX(CapacityAge09*'01_Вводные'!$B$218*BC205,MeanMinAge09)))</f>
        <v/>
      </c>
      <c r="BD145" s="190">
        <f>IF(OR((BD61-BD89)=0,9&lt;='01_Вводные'!$B$297),0,(BD61-BD89)*IF('01_Вводные'!$B$239="Да",MeanMinAge09+BD205*SUMIF(ThresholdAge09,"&lt;"&amp;BD205,WeightedRevAge09)-SUMIF(ThresholdAge09,"&lt;"&amp;BD205,WeightedMinAge09),MAX(CapacityAge09*'01_Вводные'!$B$218*BD205,MeanMinAge09)))</f>
        <v/>
      </c>
      <c r="BE145" s="190">
        <f>IF(OR((BE61-BE89)=0,9&lt;='01_Вводные'!$B$297),0,(BE61-BE89)*IF('01_Вводные'!$B$239="Да",MeanMinAge09+BE205*SUMIF(ThresholdAge09,"&lt;"&amp;BE205,WeightedRevAge09)-SUMIF(ThresholdAge09,"&lt;"&amp;BE205,WeightedMinAge09),MAX(CapacityAge09*'01_Вводные'!$B$218*BE205,MeanMinAge09)))</f>
        <v/>
      </c>
      <c r="BF145" s="190">
        <f>IF(OR((BF61-BF89)=0,9&lt;='01_Вводные'!$B$297),0,(BF61-BF89)*IF('01_Вводные'!$B$239="Да",MeanMinAge09+BF205*SUMIF(ThresholdAge09,"&lt;"&amp;BF205,WeightedRevAge09)-SUMIF(ThresholdAge09,"&lt;"&amp;BF205,WeightedMinAge09),MAX(CapacityAge09*'01_Вводные'!$B$218*BF205,MeanMinAge09)))</f>
        <v/>
      </c>
      <c r="BG145" s="190">
        <f>IF(OR((BG61-BG89)=0,9&lt;='01_Вводные'!$B$297),0,(BG61-BG89)*IF('01_Вводные'!$B$239="Да",MeanMinAge09+BG205*SUMIF(ThresholdAge09,"&lt;"&amp;BG205,WeightedRevAge09)-SUMIF(ThresholdAge09,"&lt;"&amp;BG205,WeightedMinAge09),MAX(CapacityAge09*'01_Вводные'!$B$218*BG205,MeanMinAge09)))</f>
        <v/>
      </c>
      <c r="BH145" s="190">
        <f>IF(OR((BH61-BH89)=0,9&lt;='01_Вводные'!$B$297),0,(BH61-BH89)*IF('01_Вводные'!$B$239="Да",MeanMinAge09+BH205*SUMIF(ThresholdAge09,"&lt;"&amp;BH205,WeightedRevAge09)-SUMIF(ThresholdAge09,"&lt;"&amp;BH205,WeightedMinAge09),MAX(CapacityAge09*'01_Вводные'!$B$218*BH205,MeanMinAge09)))</f>
        <v/>
      </c>
      <c r="BI145" s="190">
        <f>IF(OR((BI61-BI89)=0,9&lt;='01_Вводные'!$B$297),0,(BI61-BI89)*IF('01_Вводные'!$B$239="Да",MeanMinAge09+BI205*SUMIF(ThresholdAge09,"&lt;"&amp;BI205,WeightedRevAge09)-SUMIF(ThresholdAge09,"&lt;"&amp;BI205,WeightedMinAge09),MAX(CapacityAge09*'01_Вводные'!$B$218*BI205,MeanMinAge09)))</f>
        <v/>
      </c>
      <c r="BJ145" s="190">
        <f>IF(OR((BJ61-BJ89)=0,9&lt;='01_Вводные'!$B$297),0,(BJ61-BJ89)*IF('01_Вводные'!$B$239="Да",MeanMinAge09+BJ205*SUMIF(ThresholdAge09,"&lt;"&amp;BJ205,WeightedRevAge09)-SUMIF(ThresholdAge09,"&lt;"&amp;BJ205,WeightedMinAge09),MAX(CapacityAge09*'01_Вводные'!$B$218*BJ205,MeanMinAge09)))</f>
        <v/>
      </c>
      <c r="BK145" s="190">
        <f>IF(OR((BK61-BK89)=0,9&lt;='01_Вводные'!$B$297),0,(BK61-BK89)*IF('01_Вводные'!$B$239="Да",MeanMinAge09+BK205*SUMIF(ThresholdAge09,"&lt;"&amp;BK205,WeightedRevAge09)-SUMIF(ThresholdAge09,"&lt;"&amp;BK205,WeightedMinAge09),MAX(CapacityAge09*'01_Вводные'!$B$218*BK205,MeanMinAge09)))</f>
        <v/>
      </c>
      <c r="BL145" s="190">
        <f>IF(OR((BL61-BL89)=0,9&lt;='01_Вводные'!$B$297),0,(BL61-BL89)*IF('01_Вводные'!$B$239="Да",MeanMinAge09+BL205*SUMIF(ThresholdAge09,"&lt;"&amp;BL205,WeightedRevAge09)-SUMIF(ThresholdAge09,"&lt;"&amp;BL205,WeightedMinAge09),MAX(CapacityAge09*'01_Вводные'!$B$218*BL205,MeanMinAge09)))</f>
        <v/>
      </c>
      <c r="BM145" s="190">
        <f>IF(OR((BM61-BM89)=0,9&lt;='01_Вводные'!$B$297),0,(BM61-BM89)*IF('01_Вводные'!$B$239="Да",MeanMinAge09+BM205*SUMIF(ThresholdAge09,"&lt;"&amp;BM205,WeightedRevAge09)-SUMIF(ThresholdAge09,"&lt;"&amp;BM205,WeightedMinAge09),MAX(CapacityAge09*'01_Вводные'!$B$218*BM205,MeanMinAge09)))</f>
        <v/>
      </c>
      <c r="BN145" s="190">
        <f>IF(OR((BN61-BN89)=0,9&lt;='01_Вводные'!$B$297),0,(BN61-BN89)*IF('01_Вводные'!$B$239="Да",MeanMinAge09+BN205*SUMIF(ThresholdAge09,"&lt;"&amp;BN205,WeightedRevAge09)-SUMIF(ThresholdAge09,"&lt;"&amp;BN205,WeightedMinAge09),MAX(CapacityAge09*'01_Вводные'!$B$218*BN205,MeanMinAge09)))</f>
        <v/>
      </c>
      <c r="BO145" s="190">
        <f>IF(OR((BO61-BO89)=0,9&lt;='01_Вводные'!$B$297),0,(BO61-BO89)*IF('01_Вводные'!$B$239="Да",MeanMinAge09+BO205*SUMIF(ThresholdAge09,"&lt;"&amp;BO205,WeightedRevAge09)-SUMIF(ThresholdAge09,"&lt;"&amp;BO205,WeightedMinAge09),MAX(CapacityAge09*'01_Вводные'!$B$218*BO205,MeanMinAge09)))</f>
        <v/>
      </c>
    </row>
    <row r="146" hidden="1" outlineLevel="1">
      <c r="A146" t="inlineStr">
        <is>
          <t>10 мес.</t>
        </is>
      </c>
      <c r="B146" s="190">
        <f>IF(OR((B62-B90)=0,10&lt;='01_Вводные'!$B$297),0,(B62-B90)*IF('01_Вводные'!$B$239="Да",MeanMinAge10+B205*SUMIF(ThresholdAge10,"&lt;"&amp;B205,WeightedRevAge10)-SUMIF(ThresholdAge10,"&lt;"&amp;B205,WeightedMinAge10),MAX(CapacityAge10*'01_Вводные'!$B$218*B205,MeanMinAge10)))</f>
        <v/>
      </c>
      <c r="C146" s="190">
        <f>IF(OR((C62-C90)=0,10&lt;='01_Вводные'!$B$297),0,(C62-C90)*IF('01_Вводные'!$B$239="Да",MeanMinAge10+C205*SUMIF(ThresholdAge10,"&lt;"&amp;C205,WeightedRevAge10)-SUMIF(ThresholdAge10,"&lt;"&amp;C205,WeightedMinAge10),MAX(CapacityAge10*'01_Вводные'!$B$218*C205,MeanMinAge10)))</f>
        <v/>
      </c>
      <c r="D146" s="190">
        <f>IF(OR((D62-D90)=0,10&lt;='01_Вводные'!$B$297),0,(D62-D90)*IF('01_Вводные'!$B$239="Да",MeanMinAge10+D205*SUMIF(ThresholdAge10,"&lt;"&amp;D205,WeightedRevAge10)-SUMIF(ThresholdAge10,"&lt;"&amp;D205,WeightedMinAge10),MAX(CapacityAge10*'01_Вводные'!$B$218*D205,MeanMinAge10)))</f>
        <v/>
      </c>
      <c r="E146" s="190">
        <f>IF(OR((E62-E90)=0,10&lt;='01_Вводные'!$B$297),0,(E62-E90)*IF('01_Вводные'!$B$239="Да",MeanMinAge10+E205*SUMIF(ThresholdAge10,"&lt;"&amp;E205,WeightedRevAge10)-SUMIF(ThresholdAge10,"&lt;"&amp;E205,WeightedMinAge10),MAX(CapacityAge10*'01_Вводные'!$B$218*E205,MeanMinAge10)))</f>
        <v/>
      </c>
      <c r="F146" s="190">
        <f>IF(OR((F62-F90)=0,10&lt;='01_Вводные'!$B$297),0,(F62-F90)*IF('01_Вводные'!$B$239="Да",MeanMinAge10+F205*SUMIF(ThresholdAge10,"&lt;"&amp;F205,WeightedRevAge10)-SUMIF(ThresholdAge10,"&lt;"&amp;F205,WeightedMinAge10),MAX(CapacityAge10*'01_Вводные'!$B$218*F205,MeanMinAge10)))</f>
        <v/>
      </c>
      <c r="G146" s="190">
        <f>IF(OR((G62-G90)=0,10&lt;='01_Вводные'!$B$297),0,(G62-G90)*IF('01_Вводные'!$B$239="Да",MeanMinAge10+G205*SUMIF(ThresholdAge10,"&lt;"&amp;G205,WeightedRevAge10)-SUMIF(ThresholdAge10,"&lt;"&amp;G205,WeightedMinAge10),MAX(CapacityAge10*'01_Вводные'!$B$218*G205,MeanMinAge10)))</f>
        <v/>
      </c>
      <c r="H146" s="190">
        <f>IF(OR((H62-H90)=0,10&lt;='01_Вводные'!$B$297),0,(H62-H90)*IF('01_Вводные'!$B$239="Да",MeanMinAge10+H205*SUMIF(ThresholdAge10,"&lt;"&amp;H205,WeightedRevAge10)-SUMIF(ThresholdAge10,"&lt;"&amp;H205,WeightedMinAge10),MAX(CapacityAge10*'01_Вводные'!$B$218*H205,MeanMinAge10)))</f>
        <v/>
      </c>
      <c r="I146" s="190">
        <f>IF(OR((I62-I90)=0,10&lt;='01_Вводные'!$B$297),0,(I62-I90)*IF('01_Вводные'!$B$239="Да",MeanMinAge10+I205*SUMIF(ThresholdAge10,"&lt;"&amp;I205,WeightedRevAge10)-SUMIF(ThresholdAge10,"&lt;"&amp;I205,WeightedMinAge10),MAX(CapacityAge10*'01_Вводные'!$B$218*I205,MeanMinAge10)))</f>
        <v/>
      </c>
      <c r="J146" s="190">
        <f>IF(OR((J62-J90)=0,10&lt;='01_Вводные'!$B$297),0,(J62-J90)*IF('01_Вводные'!$B$239="Да",MeanMinAge10+J205*SUMIF(ThresholdAge10,"&lt;"&amp;J205,WeightedRevAge10)-SUMIF(ThresholdAge10,"&lt;"&amp;J205,WeightedMinAge10),MAX(CapacityAge10*'01_Вводные'!$B$218*J205,MeanMinAge10)))</f>
        <v/>
      </c>
      <c r="K146" s="190">
        <f>IF(OR((K62-K90)=0,10&lt;='01_Вводные'!$B$297),0,(K62-K90)*IF('01_Вводные'!$B$239="Да",MeanMinAge10+K205*SUMIF(ThresholdAge10,"&lt;"&amp;K205,WeightedRevAge10)-SUMIF(ThresholdAge10,"&lt;"&amp;K205,WeightedMinAge10),MAX(CapacityAge10*'01_Вводные'!$B$218*K205,MeanMinAge10)))</f>
        <v/>
      </c>
      <c r="L146" s="190">
        <f>IF(OR((L62-L90)=0,10&lt;='01_Вводные'!$B$297),0,(L62-L90)*IF('01_Вводные'!$B$239="Да",MeanMinAge10+L205*SUMIF(ThresholdAge10,"&lt;"&amp;L205,WeightedRevAge10)-SUMIF(ThresholdAge10,"&lt;"&amp;L205,WeightedMinAge10),MAX(CapacityAge10*'01_Вводные'!$B$218*L205,MeanMinAge10)))</f>
        <v/>
      </c>
      <c r="M146" s="190">
        <f>IF(OR((M62-M90)=0,10&lt;='01_Вводные'!$B$297),0,(M62-M90)*IF('01_Вводные'!$B$239="Да",MeanMinAge10+M205*SUMIF(ThresholdAge10,"&lt;"&amp;M205,WeightedRevAge10)-SUMIF(ThresholdAge10,"&lt;"&amp;M205,WeightedMinAge10),MAX(CapacityAge10*'01_Вводные'!$B$218*M205,MeanMinAge10)))</f>
        <v/>
      </c>
      <c r="N146" s="190">
        <f>IF(OR((N62-N90)=0,10&lt;='01_Вводные'!$B$297),0,(N62-N90)*IF('01_Вводные'!$B$239="Да",MeanMinAge10+N205*SUMIF(ThresholdAge10,"&lt;"&amp;N205,WeightedRevAge10)-SUMIF(ThresholdAge10,"&lt;"&amp;N205,WeightedMinAge10),MAX(CapacityAge10*'01_Вводные'!$B$218*N205,MeanMinAge10)))</f>
        <v/>
      </c>
      <c r="O146" s="190">
        <f>IF(OR((O62-O90)=0,10&lt;='01_Вводные'!$B$297),0,(O62-O90)*IF('01_Вводные'!$B$239="Да",MeanMinAge10+O205*SUMIF(ThresholdAge10,"&lt;"&amp;O205,WeightedRevAge10)-SUMIF(ThresholdAge10,"&lt;"&amp;O205,WeightedMinAge10),MAX(CapacityAge10*'01_Вводные'!$B$218*O205,MeanMinAge10)))</f>
        <v/>
      </c>
      <c r="P146" s="190">
        <f>IF(OR((P62-P90)=0,10&lt;='01_Вводные'!$B$297),0,(P62-P90)*IF('01_Вводные'!$B$239="Да",MeanMinAge10+P205*SUMIF(ThresholdAge10,"&lt;"&amp;P205,WeightedRevAge10)-SUMIF(ThresholdAge10,"&lt;"&amp;P205,WeightedMinAge10),MAX(CapacityAge10*'01_Вводные'!$B$218*P205,MeanMinAge10)))</f>
        <v/>
      </c>
      <c r="Q146" s="190">
        <f>IF(OR((Q62-Q90)=0,10&lt;='01_Вводные'!$B$297),0,(Q62-Q90)*IF('01_Вводные'!$B$239="Да",MeanMinAge10+Q205*SUMIF(ThresholdAge10,"&lt;"&amp;Q205,WeightedRevAge10)-SUMIF(ThresholdAge10,"&lt;"&amp;Q205,WeightedMinAge10),MAX(CapacityAge10*'01_Вводные'!$B$218*Q205,MeanMinAge10)))</f>
        <v/>
      </c>
      <c r="R146" s="190">
        <f>IF(OR((R62-R90)=0,10&lt;='01_Вводные'!$B$297),0,(R62-R90)*IF('01_Вводные'!$B$239="Да",MeanMinAge10+R205*SUMIF(ThresholdAge10,"&lt;"&amp;R205,WeightedRevAge10)-SUMIF(ThresholdAge10,"&lt;"&amp;R205,WeightedMinAge10),MAX(CapacityAge10*'01_Вводные'!$B$218*R205,MeanMinAge10)))</f>
        <v/>
      </c>
      <c r="S146" s="190">
        <f>IF(OR((S62-S90)=0,10&lt;='01_Вводные'!$B$297),0,(S62-S90)*IF('01_Вводные'!$B$239="Да",MeanMinAge10+S205*SUMIF(ThresholdAge10,"&lt;"&amp;S205,WeightedRevAge10)-SUMIF(ThresholdAge10,"&lt;"&amp;S205,WeightedMinAge10),MAX(CapacityAge10*'01_Вводные'!$B$218*S205,MeanMinAge10)))</f>
        <v/>
      </c>
      <c r="T146" s="190">
        <f>IF(OR((T62-T90)=0,10&lt;='01_Вводные'!$B$297),0,(T62-T90)*IF('01_Вводные'!$B$239="Да",MeanMinAge10+T205*SUMIF(ThresholdAge10,"&lt;"&amp;T205,WeightedRevAge10)-SUMIF(ThresholdAge10,"&lt;"&amp;T205,WeightedMinAge10),MAX(CapacityAge10*'01_Вводные'!$B$218*T205,MeanMinAge10)))</f>
        <v/>
      </c>
      <c r="U146" s="190">
        <f>IF(OR((U62-U90)=0,10&lt;='01_Вводные'!$B$297),0,(U62-U90)*IF('01_Вводные'!$B$239="Да",MeanMinAge10+U205*SUMIF(ThresholdAge10,"&lt;"&amp;U205,WeightedRevAge10)-SUMIF(ThresholdAge10,"&lt;"&amp;U205,WeightedMinAge10),MAX(CapacityAge10*'01_Вводные'!$B$218*U205,MeanMinAge10)))</f>
        <v/>
      </c>
      <c r="V146" s="190">
        <f>IF(OR((V62-V90)=0,10&lt;='01_Вводные'!$B$297),0,(V62-V90)*IF('01_Вводные'!$B$239="Да",MeanMinAge10+V205*SUMIF(ThresholdAge10,"&lt;"&amp;V205,WeightedRevAge10)-SUMIF(ThresholdAge10,"&lt;"&amp;V205,WeightedMinAge10),MAX(CapacityAge10*'01_Вводные'!$B$218*V205,MeanMinAge10)))</f>
        <v/>
      </c>
      <c r="W146" s="190">
        <f>IF(OR((W62-W90)=0,10&lt;='01_Вводные'!$B$297),0,(W62-W90)*IF('01_Вводные'!$B$239="Да",MeanMinAge10+W205*SUMIF(ThresholdAge10,"&lt;"&amp;W205,WeightedRevAge10)-SUMIF(ThresholdAge10,"&lt;"&amp;W205,WeightedMinAge10),MAX(CapacityAge10*'01_Вводные'!$B$218*W205,MeanMinAge10)))</f>
        <v/>
      </c>
      <c r="X146" s="190">
        <f>IF(OR((X62-X90)=0,10&lt;='01_Вводные'!$B$297),0,(X62-X90)*IF('01_Вводные'!$B$239="Да",MeanMinAge10+X205*SUMIF(ThresholdAge10,"&lt;"&amp;X205,WeightedRevAge10)-SUMIF(ThresholdAge10,"&lt;"&amp;X205,WeightedMinAge10),MAX(CapacityAge10*'01_Вводные'!$B$218*X205,MeanMinAge10)))</f>
        <v/>
      </c>
      <c r="Y146" s="190">
        <f>IF(OR((Y62-Y90)=0,10&lt;='01_Вводные'!$B$297),0,(Y62-Y90)*IF('01_Вводные'!$B$239="Да",MeanMinAge10+Y205*SUMIF(ThresholdAge10,"&lt;"&amp;Y205,WeightedRevAge10)-SUMIF(ThresholdAge10,"&lt;"&amp;Y205,WeightedMinAge10),MAX(CapacityAge10*'01_Вводные'!$B$218*Y205,MeanMinAge10)))</f>
        <v/>
      </c>
      <c r="Z146" s="190">
        <f>IF(OR((Z62-Z90)=0,10&lt;='01_Вводные'!$B$297),0,(Z62-Z90)*IF('01_Вводные'!$B$239="Да",MeanMinAge10+Z205*SUMIF(ThresholdAge10,"&lt;"&amp;Z205,WeightedRevAge10)-SUMIF(ThresholdAge10,"&lt;"&amp;Z205,WeightedMinAge10),MAX(CapacityAge10*'01_Вводные'!$B$218*Z205,MeanMinAge10)))</f>
        <v/>
      </c>
      <c r="AA146" s="190">
        <f>IF(OR((AA62-AA90)=0,10&lt;='01_Вводные'!$B$297),0,(AA62-AA90)*IF('01_Вводные'!$B$239="Да",MeanMinAge10+AA205*SUMIF(ThresholdAge10,"&lt;"&amp;AA205,WeightedRevAge10)-SUMIF(ThresholdAge10,"&lt;"&amp;AA205,WeightedMinAge10),MAX(CapacityAge10*'01_Вводные'!$B$218*AA205,MeanMinAge10)))</f>
        <v/>
      </c>
      <c r="AB146" s="190">
        <f>IF(OR((AB62-AB90)=0,10&lt;='01_Вводные'!$B$297),0,(AB62-AB90)*IF('01_Вводные'!$B$239="Да",MeanMinAge10+AB205*SUMIF(ThresholdAge10,"&lt;"&amp;AB205,WeightedRevAge10)-SUMIF(ThresholdAge10,"&lt;"&amp;AB205,WeightedMinAge10),MAX(CapacityAge10*'01_Вводные'!$B$218*AB205,MeanMinAge10)))</f>
        <v/>
      </c>
      <c r="AC146" s="190">
        <f>IF(OR((AC62-AC90)=0,10&lt;='01_Вводные'!$B$297),0,(AC62-AC90)*IF('01_Вводные'!$B$239="Да",MeanMinAge10+AC205*SUMIF(ThresholdAge10,"&lt;"&amp;AC205,WeightedRevAge10)-SUMIF(ThresholdAge10,"&lt;"&amp;AC205,WeightedMinAge10),MAX(CapacityAge10*'01_Вводные'!$B$218*AC205,MeanMinAge10)))</f>
        <v/>
      </c>
      <c r="AD146" s="190">
        <f>IF(OR((AD62-AD90)=0,10&lt;='01_Вводные'!$B$297),0,(AD62-AD90)*IF('01_Вводные'!$B$239="Да",MeanMinAge10+AD205*SUMIF(ThresholdAge10,"&lt;"&amp;AD205,WeightedRevAge10)-SUMIF(ThresholdAge10,"&lt;"&amp;AD205,WeightedMinAge10),MAX(CapacityAge10*'01_Вводные'!$B$218*AD205,MeanMinAge10)))</f>
        <v/>
      </c>
      <c r="AE146" s="190">
        <f>IF(OR((AE62-AE90)=0,10&lt;='01_Вводные'!$B$297),0,(AE62-AE90)*IF('01_Вводные'!$B$239="Да",MeanMinAge10+AE205*SUMIF(ThresholdAge10,"&lt;"&amp;AE205,WeightedRevAge10)-SUMIF(ThresholdAge10,"&lt;"&amp;AE205,WeightedMinAge10),MAX(CapacityAge10*'01_Вводные'!$B$218*AE205,MeanMinAge10)))</f>
        <v/>
      </c>
      <c r="AF146" s="190">
        <f>IF(OR((AF62-AF90)=0,10&lt;='01_Вводные'!$B$297),0,(AF62-AF90)*IF('01_Вводные'!$B$239="Да",MeanMinAge10+AF205*SUMIF(ThresholdAge10,"&lt;"&amp;AF205,WeightedRevAge10)-SUMIF(ThresholdAge10,"&lt;"&amp;AF205,WeightedMinAge10),MAX(CapacityAge10*'01_Вводные'!$B$218*AF205,MeanMinAge10)))</f>
        <v/>
      </c>
      <c r="AG146" s="190">
        <f>IF(OR((AG62-AG90)=0,10&lt;='01_Вводные'!$B$297),0,(AG62-AG90)*IF('01_Вводные'!$B$239="Да",MeanMinAge10+AG205*SUMIF(ThresholdAge10,"&lt;"&amp;AG205,WeightedRevAge10)-SUMIF(ThresholdAge10,"&lt;"&amp;AG205,WeightedMinAge10),MAX(CapacityAge10*'01_Вводные'!$B$218*AG205,MeanMinAge10)))</f>
        <v/>
      </c>
      <c r="AH146" s="190">
        <f>IF(OR((AH62-AH90)=0,10&lt;='01_Вводные'!$B$297),0,(AH62-AH90)*IF('01_Вводные'!$B$239="Да",MeanMinAge10+AH205*SUMIF(ThresholdAge10,"&lt;"&amp;AH205,WeightedRevAge10)-SUMIF(ThresholdAge10,"&lt;"&amp;AH205,WeightedMinAge10),MAX(CapacityAge10*'01_Вводные'!$B$218*AH205,MeanMinAge10)))</f>
        <v/>
      </c>
      <c r="AI146" s="190">
        <f>IF(OR((AI62-AI90)=0,10&lt;='01_Вводные'!$B$297),0,(AI62-AI90)*IF('01_Вводные'!$B$239="Да",MeanMinAge10+AI205*SUMIF(ThresholdAge10,"&lt;"&amp;AI205,WeightedRevAge10)-SUMIF(ThresholdAge10,"&lt;"&amp;AI205,WeightedMinAge10),MAX(CapacityAge10*'01_Вводные'!$B$218*AI205,MeanMinAge10)))</f>
        <v/>
      </c>
      <c r="AJ146" s="190">
        <f>IF(OR((AJ62-AJ90)=0,10&lt;='01_Вводные'!$B$297),0,(AJ62-AJ90)*IF('01_Вводные'!$B$239="Да",MeanMinAge10+AJ205*SUMIF(ThresholdAge10,"&lt;"&amp;AJ205,WeightedRevAge10)-SUMIF(ThresholdAge10,"&lt;"&amp;AJ205,WeightedMinAge10),MAX(CapacityAge10*'01_Вводные'!$B$218*AJ205,MeanMinAge10)))</f>
        <v/>
      </c>
      <c r="AK146" s="190">
        <f>IF(OR((AK62-AK90)=0,10&lt;='01_Вводные'!$B$297),0,(AK62-AK90)*IF('01_Вводные'!$B$239="Да",MeanMinAge10+AK205*SUMIF(ThresholdAge10,"&lt;"&amp;AK205,WeightedRevAge10)-SUMIF(ThresholdAge10,"&lt;"&amp;AK205,WeightedMinAge10),MAX(CapacityAge10*'01_Вводные'!$B$218*AK205,MeanMinAge10)))</f>
        <v/>
      </c>
      <c r="AL146" s="190">
        <f>IF(OR((AL62-AL90)=0,10&lt;='01_Вводные'!$B$297),0,(AL62-AL90)*IF('01_Вводные'!$B$239="Да",MeanMinAge10+AL205*SUMIF(ThresholdAge10,"&lt;"&amp;AL205,WeightedRevAge10)-SUMIF(ThresholdAge10,"&lt;"&amp;AL205,WeightedMinAge10),MAX(CapacityAge10*'01_Вводные'!$B$218*AL205,MeanMinAge10)))</f>
        <v/>
      </c>
      <c r="AM146" s="190">
        <f>IF(OR((AM62-AM90)=0,10&lt;='01_Вводные'!$B$297),0,(AM62-AM90)*IF('01_Вводные'!$B$239="Да",MeanMinAge10+AM205*SUMIF(ThresholdAge10,"&lt;"&amp;AM205,WeightedRevAge10)-SUMIF(ThresholdAge10,"&lt;"&amp;AM205,WeightedMinAge10),MAX(CapacityAge10*'01_Вводные'!$B$218*AM205,MeanMinAge10)))</f>
        <v/>
      </c>
      <c r="AN146" s="190">
        <f>IF(OR((AN62-AN90)=0,10&lt;='01_Вводные'!$B$297),0,(AN62-AN90)*IF('01_Вводные'!$B$239="Да",MeanMinAge10+AN205*SUMIF(ThresholdAge10,"&lt;"&amp;AN205,WeightedRevAge10)-SUMIF(ThresholdAge10,"&lt;"&amp;AN205,WeightedMinAge10),MAX(CapacityAge10*'01_Вводные'!$B$218*AN205,MeanMinAge10)))</f>
        <v/>
      </c>
      <c r="AO146" s="190">
        <f>IF(OR((AO62-AO90)=0,10&lt;='01_Вводные'!$B$297),0,(AO62-AO90)*IF('01_Вводные'!$B$239="Да",MeanMinAge10+AO205*SUMIF(ThresholdAge10,"&lt;"&amp;AO205,WeightedRevAge10)-SUMIF(ThresholdAge10,"&lt;"&amp;AO205,WeightedMinAge10),MAX(CapacityAge10*'01_Вводные'!$B$218*AO205,MeanMinAge10)))</f>
        <v/>
      </c>
      <c r="AP146" s="190">
        <f>IF(OR((AP62-AP90)=0,10&lt;='01_Вводные'!$B$297),0,(AP62-AP90)*IF('01_Вводные'!$B$239="Да",MeanMinAge10+AP205*SUMIF(ThresholdAge10,"&lt;"&amp;AP205,WeightedRevAge10)-SUMIF(ThresholdAge10,"&lt;"&amp;AP205,WeightedMinAge10),MAX(CapacityAge10*'01_Вводные'!$B$218*AP205,MeanMinAge10)))</f>
        <v/>
      </c>
      <c r="AQ146" s="190">
        <f>IF(OR((AQ62-AQ90)=0,10&lt;='01_Вводные'!$B$297),0,(AQ62-AQ90)*IF('01_Вводные'!$B$239="Да",MeanMinAge10+AQ205*SUMIF(ThresholdAge10,"&lt;"&amp;AQ205,WeightedRevAge10)-SUMIF(ThresholdAge10,"&lt;"&amp;AQ205,WeightedMinAge10),MAX(CapacityAge10*'01_Вводные'!$B$218*AQ205,MeanMinAge10)))</f>
        <v/>
      </c>
      <c r="AR146" s="190">
        <f>IF(OR((AR62-AR90)=0,10&lt;='01_Вводные'!$B$297),0,(AR62-AR90)*IF('01_Вводные'!$B$239="Да",MeanMinAge10+AR205*SUMIF(ThresholdAge10,"&lt;"&amp;AR205,WeightedRevAge10)-SUMIF(ThresholdAge10,"&lt;"&amp;AR205,WeightedMinAge10),MAX(CapacityAge10*'01_Вводные'!$B$218*AR205,MeanMinAge10)))</f>
        <v/>
      </c>
      <c r="AS146" s="190">
        <f>IF(OR((AS62-AS90)=0,10&lt;='01_Вводные'!$B$297),0,(AS62-AS90)*IF('01_Вводные'!$B$239="Да",MeanMinAge10+AS205*SUMIF(ThresholdAge10,"&lt;"&amp;AS205,WeightedRevAge10)-SUMIF(ThresholdAge10,"&lt;"&amp;AS205,WeightedMinAge10),MAX(CapacityAge10*'01_Вводные'!$B$218*AS205,MeanMinAge10)))</f>
        <v/>
      </c>
      <c r="AT146" s="190">
        <f>IF(OR((AT62-AT90)=0,10&lt;='01_Вводные'!$B$297),0,(AT62-AT90)*IF('01_Вводные'!$B$239="Да",MeanMinAge10+AT205*SUMIF(ThresholdAge10,"&lt;"&amp;AT205,WeightedRevAge10)-SUMIF(ThresholdAge10,"&lt;"&amp;AT205,WeightedMinAge10),MAX(CapacityAge10*'01_Вводные'!$B$218*AT205,MeanMinAge10)))</f>
        <v/>
      </c>
      <c r="AU146" s="190">
        <f>IF(OR((AU62-AU90)=0,10&lt;='01_Вводные'!$B$297),0,(AU62-AU90)*IF('01_Вводные'!$B$239="Да",MeanMinAge10+AU205*SUMIF(ThresholdAge10,"&lt;"&amp;AU205,WeightedRevAge10)-SUMIF(ThresholdAge10,"&lt;"&amp;AU205,WeightedMinAge10),MAX(CapacityAge10*'01_Вводные'!$B$218*AU205,MeanMinAge10)))</f>
        <v/>
      </c>
      <c r="AV146" s="190">
        <f>IF(OR((AV62-AV90)=0,10&lt;='01_Вводные'!$B$297),0,(AV62-AV90)*IF('01_Вводные'!$B$239="Да",MeanMinAge10+AV205*SUMIF(ThresholdAge10,"&lt;"&amp;AV205,WeightedRevAge10)-SUMIF(ThresholdAge10,"&lt;"&amp;AV205,WeightedMinAge10),MAX(CapacityAge10*'01_Вводные'!$B$218*AV205,MeanMinAge10)))</f>
        <v/>
      </c>
      <c r="AW146" s="190">
        <f>IF(OR((AW62-AW90)=0,10&lt;='01_Вводные'!$B$297),0,(AW62-AW90)*IF('01_Вводные'!$B$239="Да",MeanMinAge10+AW205*SUMIF(ThresholdAge10,"&lt;"&amp;AW205,WeightedRevAge10)-SUMIF(ThresholdAge10,"&lt;"&amp;AW205,WeightedMinAge10),MAX(CapacityAge10*'01_Вводные'!$B$218*AW205,MeanMinAge10)))</f>
        <v/>
      </c>
      <c r="AX146" s="190">
        <f>IF(OR((AX62-AX90)=0,10&lt;='01_Вводные'!$B$297),0,(AX62-AX90)*IF('01_Вводные'!$B$239="Да",MeanMinAge10+AX205*SUMIF(ThresholdAge10,"&lt;"&amp;AX205,WeightedRevAge10)-SUMIF(ThresholdAge10,"&lt;"&amp;AX205,WeightedMinAge10),MAX(CapacityAge10*'01_Вводные'!$B$218*AX205,MeanMinAge10)))</f>
        <v/>
      </c>
      <c r="AY146" s="190">
        <f>IF(OR((AY62-AY90)=0,10&lt;='01_Вводные'!$B$297),0,(AY62-AY90)*IF('01_Вводные'!$B$239="Да",MeanMinAge10+AY205*SUMIF(ThresholdAge10,"&lt;"&amp;AY205,WeightedRevAge10)-SUMIF(ThresholdAge10,"&lt;"&amp;AY205,WeightedMinAge10),MAX(CapacityAge10*'01_Вводные'!$B$218*AY205,MeanMinAge10)))</f>
        <v/>
      </c>
      <c r="AZ146" s="190">
        <f>IF(OR((AZ62-AZ90)=0,10&lt;='01_Вводные'!$B$297),0,(AZ62-AZ90)*IF('01_Вводные'!$B$239="Да",MeanMinAge10+AZ205*SUMIF(ThresholdAge10,"&lt;"&amp;AZ205,WeightedRevAge10)-SUMIF(ThresholdAge10,"&lt;"&amp;AZ205,WeightedMinAge10),MAX(CapacityAge10*'01_Вводные'!$B$218*AZ205,MeanMinAge10)))</f>
        <v/>
      </c>
      <c r="BA146" s="190">
        <f>IF(OR((BA62-BA90)=0,10&lt;='01_Вводные'!$B$297),0,(BA62-BA90)*IF('01_Вводные'!$B$239="Да",MeanMinAge10+BA205*SUMIF(ThresholdAge10,"&lt;"&amp;BA205,WeightedRevAge10)-SUMIF(ThresholdAge10,"&lt;"&amp;BA205,WeightedMinAge10),MAX(CapacityAge10*'01_Вводные'!$B$218*BA205,MeanMinAge10)))</f>
        <v/>
      </c>
      <c r="BB146" s="190">
        <f>IF(OR((BB62-BB90)=0,10&lt;='01_Вводные'!$B$297),0,(BB62-BB90)*IF('01_Вводные'!$B$239="Да",MeanMinAge10+BB205*SUMIF(ThresholdAge10,"&lt;"&amp;BB205,WeightedRevAge10)-SUMIF(ThresholdAge10,"&lt;"&amp;BB205,WeightedMinAge10),MAX(CapacityAge10*'01_Вводные'!$B$218*BB205,MeanMinAge10)))</f>
        <v/>
      </c>
      <c r="BC146" s="190">
        <f>IF(OR((BC62-BC90)=0,10&lt;='01_Вводные'!$B$297),0,(BC62-BC90)*IF('01_Вводные'!$B$239="Да",MeanMinAge10+BC205*SUMIF(ThresholdAge10,"&lt;"&amp;BC205,WeightedRevAge10)-SUMIF(ThresholdAge10,"&lt;"&amp;BC205,WeightedMinAge10),MAX(CapacityAge10*'01_Вводные'!$B$218*BC205,MeanMinAge10)))</f>
        <v/>
      </c>
      <c r="BD146" s="190">
        <f>IF(OR((BD62-BD90)=0,10&lt;='01_Вводные'!$B$297),0,(BD62-BD90)*IF('01_Вводные'!$B$239="Да",MeanMinAge10+BD205*SUMIF(ThresholdAge10,"&lt;"&amp;BD205,WeightedRevAge10)-SUMIF(ThresholdAge10,"&lt;"&amp;BD205,WeightedMinAge10),MAX(CapacityAge10*'01_Вводные'!$B$218*BD205,MeanMinAge10)))</f>
        <v/>
      </c>
      <c r="BE146" s="190">
        <f>IF(OR((BE62-BE90)=0,10&lt;='01_Вводные'!$B$297),0,(BE62-BE90)*IF('01_Вводные'!$B$239="Да",MeanMinAge10+BE205*SUMIF(ThresholdAge10,"&lt;"&amp;BE205,WeightedRevAge10)-SUMIF(ThresholdAge10,"&lt;"&amp;BE205,WeightedMinAge10),MAX(CapacityAge10*'01_Вводные'!$B$218*BE205,MeanMinAge10)))</f>
        <v/>
      </c>
      <c r="BF146" s="190">
        <f>IF(OR((BF62-BF90)=0,10&lt;='01_Вводные'!$B$297),0,(BF62-BF90)*IF('01_Вводные'!$B$239="Да",MeanMinAge10+BF205*SUMIF(ThresholdAge10,"&lt;"&amp;BF205,WeightedRevAge10)-SUMIF(ThresholdAge10,"&lt;"&amp;BF205,WeightedMinAge10),MAX(CapacityAge10*'01_Вводные'!$B$218*BF205,MeanMinAge10)))</f>
        <v/>
      </c>
      <c r="BG146" s="190">
        <f>IF(OR((BG62-BG90)=0,10&lt;='01_Вводные'!$B$297),0,(BG62-BG90)*IF('01_Вводные'!$B$239="Да",MeanMinAge10+BG205*SUMIF(ThresholdAge10,"&lt;"&amp;BG205,WeightedRevAge10)-SUMIF(ThresholdAge10,"&lt;"&amp;BG205,WeightedMinAge10),MAX(CapacityAge10*'01_Вводные'!$B$218*BG205,MeanMinAge10)))</f>
        <v/>
      </c>
      <c r="BH146" s="190">
        <f>IF(OR((BH62-BH90)=0,10&lt;='01_Вводные'!$B$297),0,(BH62-BH90)*IF('01_Вводные'!$B$239="Да",MeanMinAge10+BH205*SUMIF(ThresholdAge10,"&lt;"&amp;BH205,WeightedRevAge10)-SUMIF(ThresholdAge10,"&lt;"&amp;BH205,WeightedMinAge10),MAX(CapacityAge10*'01_Вводные'!$B$218*BH205,MeanMinAge10)))</f>
        <v/>
      </c>
      <c r="BI146" s="190">
        <f>IF(OR((BI62-BI90)=0,10&lt;='01_Вводные'!$B$297),0,(BI62-BI90)*IF('01_Вводные'!$B$239="Да",MeanMinAge10+BI205*SUMIF(ThresholdAge10,"&lt;"&amp;BI205,WeightedRevAge10)-SUMIF(ThresholdAge10,"&lt;"&amp;BI205,WeightedMinAge10),MAX(CapacityAge10*'01_Вводные'!$B$218*BI205,MeanMinAge10)))</f>
        <v/>
      </c>
      <c r="BJ146" s="190">
        <f>IF(OR((BJ62-BJ90)=0,10&lt;='01_Вводные'!$B$297),0,(BJ62-BJ90)*IF('01_Вводные'!$B$239="Да",MeanMinAge10+BJ205*SUMIF(ThresholdAge10,"&lt;"&amp;BJ205,WeightedRevAge10)-SUMIF(ThresholdAge10,"&lt;"&amp;BJ205,WeightedMinAge10),MAX(CapacityAge10*'01_Вводные'!$B$218*BJ205,MeanMinAge10)))</f>
        <v/>
      </c>
      <c r="BK146" s="190">
        <f>IF(OR((BK62-BK90)=0,10&lt;='01_Вводные'!$B$297),0,(BK62-BK90)*IF('01_Вводные'!$B$239="Да",MeanMinAge10+BK205*SUMIF(ThresholdAge10,"&lt;"&amp;BK205,WeightedRevAge10)-SUMIF(ThresholdAge10,"&lt;"&amp;BK205,WeightedMinAge10),MAX(CapacityAge10*'01_Вводные'!$B$218*BK205,MeanMinAge10)))</f>
        <v/>
      </c>
      <c r="BL146" s="190">
        <f>IF(OR((BL62-BL90)=0,10&lt;='01_Вводные'!$B$297),0,(BL62-BL90)*IF('01_Вводные'!$B$239="Да",MeanMinAge10+BL205*SUMIF(ThresholdAge10,"&lt;"&amp;BL205,WeightedRevAge10)-SUMIF(ThresholdAge10,"&lt;"&amp;BL205,WeightedMinAge10),MAX(CapacityAge10*'01_Вводные'!$B$218*BL205,MeanMinAge10)))</f>
        <v/>
      </c>
      <c r="BM146" s="190">
        <f>IF(OR((BM62-BM90)=0,10&lt;='01_Вводные'!$B$297),0,(BM62-BM90)*IF('01_Вводные'!$B$239="Да",MeanMinAge10+BM205*SUMIF(ThresholdAge10,"&lt;"&amp;BM205,WeightedRevAge10)-SUMIF(ThresholdAge10,"&lt;"&amp;BM205,WeightedMinAge10),MAX(CapacityAge10*'01_Вводные'!$B$218*BM205,MeanMinAge10)))</f>
        <v/>
      </c>
      <c r="BN146" s="190">
        <f>IF(OR((BN62-BN90)=0,10&lt;='01_Вводные'!$B$297),0,(BN62-BN90)*IF('01_Вводные'!$B$239="Да",MeanMinAge10+BN205*SUMIF(ThresholdAge10,"&lt;"&amp;BN205,WeightedRevAge10)-SUMIF(ThresholdAge10,"&lt;"&amp;BN205,WeightedMinAge10),MAX(CapacityAge10*'01_Вводные'!$B$218*BN205,MeanMinAge10)))</f>
        <v/>
      </c>
      <c r="BO146" s="190">
        <f>IF(OR((BO62-BO90)=0,10&lt;='01_Вводные'!$B$297),0,(BO62-BO90)*IF('01_Вводные'!$B$239="Да",MeanMinAge10+BO205*SUMIF(ThresholdAge10,"&lt;"&amp;BO205,WeightedRevAge10)-SUMIF(ThresholdAge10,"&lt;"&amp;BO205,WeightedMinAge10),MAX(CapacityAge10*'01_Вводные'!$B$218*BO205,MeanMinAge10)))</f>
        <v/>
      </c>
    </row>
    <row r="147" hidden="1" outlineLevel="1">
      <c r="A147" t="inlineStr">
        <is>
          <t>11 мес.</t>
        </is>
      </c>
      <c r="B147" s="190">
        <f>IF(OR((B63-B91)=0,11&lt;='01_Вводные'!$B$297),0,(B63-B91)*IF('01_Вводные'!$B$239="Да",MeanMinAge11+B205*SUMIF(ThresholdAge11,"&lt;"&amp;B205,WeightedRevAge11)-SUMIF(ThresholdAge11,"&lt;"&amp;B205,WeightedMinAge11),MAX(CapacityAge11*'01_Вводные'!$B$218*B205,MeanMinAge11)))</f>
        <v/>
      </c>
      <c r="C147" s="190">
        <f>IF(OR((C63-C91)=0,11&lt;='01_Вводные'!$B$297),0,(C63-C91)*IF('01_Вводные'!$B$239="Да",MeanMinAge11+C205*SUMIF(ThresholdAge11,"&lt;"&amp;C205,WeightedRevAge11)-SUMIF(ThresholdAge11,"&lt;"&amp;C205,WeightedMinAge11),MAX(CapacityAge11*'01_Вводные'!$B$218*C205,MeanMinAge11)))</f>
        <v/>
      </c>
      <c r="D147" s="190">
        <f>IF(OR((D63-D91)=0,11&lt;='01_Вводные'!$B$297),0,(D63-D91)*IF('01_Вводные'!$B$239="Да",MeanMinAge11+D205*SUMIF(ThresholdAge11,"&lt;"&amp;D205,WeightedRevAge11)-SUMIF(ThresholdAge11,"&lt;"&amp;D205,WeightedMinAge11),MAX(CapacityAge11*'01_Вводные'!$B$218*D205,MeanMinAge11)))</f>
        <v/>
      </c>
      <c r="E147" s="190">
        <f>IF(OR((E63-E91)=0,11&lt;='01_Вводные'!$B$297),0,(E63-E91)*IF('01_Вводные'!$B$239="Да",MeanMinAge11+E205*SUMIF(ThresholdAge11,"&lt;"&amp;E205,WeightedRevAge11)-SUMIF(ThresholdAge11,"&lt;"&amp;E205,WeightedMinAge11),MAX(CapacityAge11*'01_Вводные'!$B$218*E205,MeanMinAge11)))</f>
        <v/>
      </c>
      <c r="F147" s="190">
        <f>IF(OR((F63-F91)=0,11&lt;='01_Вводные'!$B$297),0,(F63-F91)*IF('01_Вводные'!$B$239="Да",MeanMinAge11+F205*SUMIF(ThresholdAge11,"&lt;"&amp;F205,WeightedRevAge11)-SUMIF(ThresholdAge11,"&lt;"&amp;F205,WeightedMinAge11),MAX(CapacityAge11*'01_Вводные'!$B$218*F205,MeanMinAge11)))</f>
        <v/>
      </c>
      <c r="G147" s="190">
        <f>IF(OR((G63-G91)=0,11&lt;='01_Вводные'!$B$297),0,(G63-G91)*IF('01_Вводные'!$B$239="Да",MeanMinAge11+G205*SUMIF(ThresholdAge11,"&lt;"&amp;G205,WeightedRevAge11)-SUMIF(ThresholdAge11,"&lt;"&amp;G205,WeightedMinAge11),MAX(CapacityAge11*'01_Вводные'!$B$218*G205,MeanMinAge11)))</f>
        <v/>
      </c>
      <c r="H147" s="190">
        <f>IF(OR((H63-H91)=0,11&lt;='01_Вводные'!$B$297),0,(H63-H91)*IF('01_Вводные'!$B$239="Да",MeanMinAge11+H205*SUMIF(ThresholdAge11,"&lt;"&amp;H205,WeightedRevAge11)-SUMIF(ThresholdAge11,"&lt;"&amp;H205,WeightedMinAge11),MAX(CapacityAge11*'01_Вводные'!$B$218*H205,MeanMinAge11)))</f>
        <v/>
      </c>
      <c r="I147" s="190">
        <f>IF(OR((I63-I91)=0,11&lt;='01_Вводные'!$B$297),0,(I63-I91)*IF('01_Вводные'!$B$239="Да",MeanMinAge11+I205*SUMIF(ThresholdAge11,"&lt;"&amp;I205,WeightedRevAge11)-SUMIF(ThresholdAge11,"&lt;"&amp;I205,WeightedMinAge11),MAX(CapacityAge11*'01_Вводные'!$B$218*I205,MeanMinAge11)))</f>
        <v/>
      </c>
      <c r="J147" s="190">
        <f>IF(OR((J63-J91)=0,11&lt;='01_Вводные'!$B$297),0,(J63-J91)*IF('01_Вводные'!$B$239="Да",MeanMinAge11+J205*SUMIF(ThresholdAge11,"&lt;"&amp;J205,WeightedRevAge11)-SUMIF(ThresholdAge11,"&lt;"&amp;J205,WeightedMinAge11),MAX(CapacityAge11*'01_Вводные'!$B$218*J205,MeanMinAge11)))</f>
        <v/>
      </c>
      <c r="K147" s="190">
        <f>IF(OR((K63-K91)=0,11&lt;='01_Вводные'!$B$297),0,(K63-K91)*IF('01_Вводные'!$B$239="Да",MeanMinAge11+K205*SUMIF(ThresholdAge11,"&lt;"&amp;K205,WeightedRevAge11)-SUMIF(ThresholdAge11,"&lt;"&amp;K205,WeightedMinAge11),MAX(CapacityAge11*'01_Вводные'!$B$218*K205,MeanMinAge11)))</f>
        <v/>
      </c>
      <c r="L147" s="190">
        <f>IF(OR((L63-L91)=0,11&lt;='01_Вводные'!$B$297),0,(L63-L91)*IF('01_Вводные'!$B$239="Да",MeanMinAge11+L205*SUMIF(ThresholdAge11,"&lt;"&amp;L205,WeightedRevAge11)-SUMIF(ThresholdAge11,"&lt;"&amp;L205,WeightedMinAge11),MAX(CapacityAge11*'01_Вводные'!$B$218*L205,MeanMinAge11)))</f>
        <v/>
      </c>
      <c r="M147" s="190">
        <f>IF(OR((M63-M91)=0,11&lt;='01_Вводные'!$B$297),0,(M63-M91)*IF('01_Вводные'!$B$239="Да",MeanMinAge11+M205*SUMIF(ThresholdAge11,"&lt;"&amp;M205,WeightedRevAge11)-SUMIF(ThresholdAge11,"&lt;"&amp;M205,WeightedMinAge11),MAX(CapacityAge11*'01_Вводные'!$B$218*M205,MeanMinAge11)))</f>
        <v/>
      </c>
      <c r="N147" s="190">
        <f>IF(OR((N63-N91)=0,11&lt;='01_Вводные'!$B$297),0,(N63-N91)*IF('01_Вводные'!$B$239="Да",MeanMinAge11+N205*SUMIF(ThresholdAge11,"&lt;"&amp;N205,WeightedRevAge11)-SUMIF(ThresholdAge11,"&lt;"&amp;N205,WeightedMinAge11),MAX(CapacityAge11*'01_Вводные'!$B$218*N205,MeanMinAge11)))</f>
        <v/>
      </c>
      <c r="O147" s="190">
        <f>IF(OR((O63-O91)=0,11&lt;='01_Вводные'!$B$297),0,(O63-O91)*IF('01_Вводные'!$B$239="Да",MeanMinAge11+O205*SUMIF(ThresholdAge11,"&lt;"&amp;O205,WeightedRevAge11)-SUMIF(ThresholdAge11,"&lt;"&amp;O205,WeightedMinAge11),MAX(CapacityAge11*'01_Вводные'!$B$218*O205,MeanMinAge11)))</f>
        <v/>
      </c>
      <c r="P147" s="190">
        <f>IF(OR((P63-P91)=0,11&lt;='01_Вводные'!$B$297),0,(P63-P91)*IF('01_Вводные'!$B$239="Да",MeanMinAge11+P205*SUMIF(ThresholdAge11,"&lt;"&amp;P205,WeightedRevAge11)-SUMIF(ThresholdAge11,"&lt;"&amp;P205,WeightedMinAge11),MAX(CapacityAge11*'01_Вводные'!$B$218*P205,MeanMinAge11)))</f>
        <v/>
      </c>
      <c r="Q147" s="190">
        <f>IF(OR((Q63-Q91)=0,11&lt;='01_Вводные'!$B$297),0,(Q63-Q91)*IF('01_Вводные'!$B$239="Да",MeanMinAge11+Q205*SUMIF(ThresholdAge11,"&lt;"&amp;Q205,WeightedRevAge11)-SUMIF(ThresholdAge11,"&lt;"&amp;Q205,WeightedMinAge11),MAX(CapacityAge11*'01_Вводные'!$B$218*Q205,MeanMinAge11)))</f>
        <v/>
      </c>
      <c r="R147" s="190">
        <f>IF(OR((R63-R91)=0,11&lt;='01_Вводные'!$B$297),0,(R63-R91)*IF('01_Вводные'!$B$239="Да",MeanMinAge11+R205*SUMIF(ThresholdAge11,"&lt;"&amp;R205,WeightedRevAge11)-SUMIF(ThresholdAge11,"&lt;"&amp;R205,WeightedMinAge11),MAX(CapacityAge11*'01_Вводные'!$B$218*R205,MeanMinAge11)))</f>
        <v/>
      </c>
      <c r="S147" s="190">
        <f>IF(OR((S63-S91)=0,11&lt;='01_Вводные'!$B$297),0,(S63-S91)*IF('01_Вводные'!$B$239="Да",MeanMinAge11+S205*SUMIF(ThresholdAge11,"&lt;"&amp;S205,WeightedRevAge11)-SUMIF(ThresholdAge11,"&lt;"&amp;S205,WeightedMinAge11),MAX(CapacityAge11*'01_Вводные'!$B$218*S205,MeanMinAge11)))</f>
        <v/>
      </c>
      <c r="T147" s="190">
        <f>IF(OR((T63-T91)=0,11&lt;='01_Вводные'!$B$297),0,(T63-T91)*IF('01_Вводные'!$B$239="Да",MeanMinAge11+T205*SUMIF(ThresholdAge11,"&lt;"&amp;T205,WeightedRevAge11)-SUMIF(ThresholdAge11,"&lt;"&amp;T205,WeightedMinAge11),MAX(CapacityAge11*'01_Вводные'!$B$218*T205,MeanMinAge11)))</f>
        <v/>
      </c>
      <c r="U147" s="190">
        <f>IF(OR((U63-U91)=0,11&lt;='01_Вводные'!$B$297),0,(U63-U91)*IF('01_Вводные'!$B$239="Да",MeanMinAge11+U205*SUMIF(ThresholdAge11,"&lt;"&amp;U205,WeightedRevAge11)-SUMIF(ThresholdAge11,"&lt;"&amp;U205,WeightedMinAge11),MAX(CapacityAge11*'01_Вводные'!$B$218*U205,MeanMinAge11)))</f>
        <v/>
      </c>
      <c r="V147" s="190">
        <f>IF(OR((V63-V91)=0,11&lt;='01_Вводные'!$B$297),0,(V63-V91)*IF('01_Вводные'!$B$239="Да",MeanMinAge11+V205*SUMIF(ThresholdAge11,"&lt;"&amp;V205,WeightedRevAge11)-SUMIF(ThresholdAge11,"&lt;"&amp;V205,WeightedMinAge11),MAX(CapacityAge11*'01_Вводные'!$B$218*V205,MeanMinAge11)))</f>
        <v/>
      </c>
      <c r="W147" s="190">
        <f>IF(OR((W63-W91)=0,11&lt;='01_Вводные'!$B$297),0,(W63-W91)*IF('01_Вводные'!$B$239="Да",MeanMinAge11+W205*SUMIF(ThresholdAge11,"&lt;"&amp;W205,WeightedRevAge11)-SUMIF(ThresholdAge11,"&lt;"&amp;W205,WeightedMinAge11),MAX(CapacityAge11*'01_Вводные'!$B$218*W205,MeanMinAge11)))</f>
        <v/>
      </c>
      <c r="X147" s="190">
        <f>IF(OR((X63-X91)=0,11&lt;='01_Вводные'!$B$297),0,(X63-X91)*IF('01_Вводные'!$B$239="Да",MeanMinAge11+X205*SUMIF(ThresholdAge11,"&lt;"&amp;X205,WeightedRevAge11)-SUMIF(ThresholdAge11,"&lt;"&amp;X205,WeightedMinAge11),MAX(CapacityAge11*'01_Вводные'!$B$218*X205,MeanMinAge11)))</f>
        <v/>
      </c>
      <c r="Y147" s="190">
        <f>IF(OR((Y63-Y91)=0,11&lt;='01_Вводные'!$B$297),0,(Y63-Y91)*IF('01_Вводные'!$B$239="Да",MeanMinAge11+Y205*SUMIF(ThresholdAge11,"&lt;"&amp;Y205,WeightedRevAge11)-SUMIF(ThresholdAge11,"&lt;"&amp;Y205,WeightedMinAge11),MAX(CapacityAge11*'01_Вводные'!$B$218*Y205,MeanMinAge11)))</f>
        <v/>
      </c>
      <c r="Z147" s="190">
        <f>IF(OR((Z63-Z91)=0,11&lt;='01_Вводные'!$B$297),0,(Z63-Z91)*IF('01_Вводные'!$B$239="Да",MeanMinAge11+Z205*SUMIF(ThresholdAge11,"&lt;"&amp;Z205,WeightedRevAge11)-SUMIF(ThresholdAge11,"&lt;"&amp;Z205,WeightedMinAge11),MAX(CapacityAge11*'01_Вводные'!$B$218*Z205,MeanMinAge11)))</f>
        <v/>
      </c>
      <c r="AA147" s="190">
        <f>IF(OR((AA63-AA91)=0,11&lt;='01_Вводные'!$B$297),0,(AA63-AA91)*IF('01_Вводные'!$B$239="Да",MeanMinAge11+AA205*SUMIF(ThresholdAge11,"&lt;"&amp;AA205,WeightedRevAge11)-SUMIF(ThresholdAge11,"&lt;"&amp;AA205,WeightedMinAge11),MAX(CapacityAge11*'01_Вводные'!$B$218*AA205,MeanMinAge11)))</f>
        <v/>
      </c>
      <c r="AB147" s="190">
        <f>IF(OR((AB63-AB91)=0,11&lt;='01_Вводные'!$B$297),0,(AB63-AB91)*IF('01_Вводные'!$B$239="Да",MeanMinAge11+AB205*SUMIF(ThresholdAge11,"&lt;"&amp;AB205,WeightedRevAge11)-SUMIF(ThresholdAge11,"&lt;"&amp;AB205,WeightedMinAge11),MAX(CapacityAge11*'01_Вводные'!$B$218*AB205,MeanMinAge11)))</f>
        <v/>
      </c>
      <c r="AC147" s="190">
        <f>IF(OR((AC63-AC91)=0,11&lt;='01_Вводные'!$B$297),0,(AC63-AC91)*IF('01_Вводные'!$B$239="Да",MeanMinAge11+AC205*SUMIF(ThresholdAge11,"&lt;"&amp;AC205,WeightedRevAge11)-SUMIF(ThresholdAge11,"&lt;"&amp;AC205,WeightedMinAge11),MAX(CapacityAge11*'01_Вводные'!$B$218*AC205,MeanMinAge11)))</f>
        <v/>
      </c>
      <c r="AD147" s="190">
        <f>IF(OR((AD63-AD91)=0,11&lt;='01_Вводные'!$B$297),0,(AD63-AD91)*IF('01_Вводные'!$B$239="Да",MeanMinAge11+AD205*SUMIF(ThresholdAge11,"&lt;"&amp;AD205,WeightedRevAge11)-SUMIF(ThresholdAge11,"&lt;"&amp;AD205,WeightedMinAge11),MAX(CapacityAge11*'01_Вводные'!$B$218*AD205,MeanMinAge11)))</f>
        <v/>
      </c>
      <c r="AE147" s="190">
        <f>IF(OR((AE63-AE91)=0,11&lt;='01_Вводные'!$B$297),0,(AE63-AE91)*IF('01_Вводные'!$B$239="Да",MeanMinAge11+AE205*SUMIF(ThresholdAge11,"&lt;"&amp;AE205,WeightedRevAge11)-SUMIF(ThresholdAge11,"&lt;"&amp;AE205,WeightedMinAge11),MAX(CapacityAge11*'01_Вводные'!$B$218*AE205,MeanMinAge11)))</f>
        <v/>
      </c>
      <c r="AF147" s="190">
        <f>IF(OR((AF63-AF91)=0,11&lt;='01_Вводные'!$B$297),0,(AF63-AF91)*IF('01_Вводные'!$B$239="Да",MeanMinAge11+AF205*SUMIF(ThresholdAge11,"&lt;"&amp;AF205,WeightedRevAge11)-SUMIF(ThresholdAge11,"&lt;"&amp;AF205,WeightedMinAge11),MAX(CapacityAge11*'01_Вводные'!$B$218*AF205,MeanMinAge11)))</f>
        <v/>
      </c>
      <c r="AG147" s="190">
        <f>IF(OR((AG63-AG91)=0,11&lt;='01_Вводные'!$B$297),0,(AG63-AG91)*IF('01_Вводные'!$B$239="Да",MeanMinAge11+AG205*SUMIF(ThresholdAge11,"&lt;"&amp;AG205,WeightedRevAge11)-SUMIF(ThresholdAge11,"&lt;"&amp;AG205,WeightedMinAge11),MAX(CapacityAge11*'01_Вводные'!$B$218*AG205,MeanMinAge11)))</f>
        <v/>
      </c>
      <c r="AH147" s="190">
        <f>IF(OR((AH63-AH91)=0,11&lt;='01_Вводные'!$B$297),0,(AH63-AH91)*IF('01_Вводные'!$B$239="Да",MeanMinAge11+AH205*SUMIF(ThresholdAge11,"&lt;"&amp;AH205,WeightedRevAge11)-SUMIF(ThresholdAge11,"&lt;"&amp;AH205,WeightedMinAge11),MAX(CapacityAge11*'01_Вводные'!$B$218*AH205,MeanMinAge11)))</f>
        <v/>
      </c>
      <c r="AI147" s="190">
        <f>IF(OR((AI63-AI91)=0,11&lt;='01_Вводные'!$B$297),0,(AI63-AI91)*IF('01_Вводные'!$B$239="Да",MeanMinAge11+AI205*SUMIF(ThresholdAge11,"&lt;"&amp;AI205,WeightedRevAge11)-SUMIF(ThresholdAge11,"&lt;"&amp;AI205,WeightedMinAge11),MAX(CapacityAge11*'01_Вводные'!$B$218*AI205,MeanMinAge11)))</f>
        <v/>
      </c>
      <c r="AJ147" s="190">
        <f>IF(OR((AJ63-AJ91)=0,11&lt;='01_Вводные'!$B$297),0,(AJ63-AJ91)*IF('01_Вводные'!$B$239="Да",MeanMinAge11+AJ205*SUMIF(ThresholdAge11,"&lt;"&amp;AJ205,WeightedRevAge11)-SUMIF(ThresholdAge11,"&lt;"&amp;AJ205,WeightedMinAge11),MAX(CapacityAge11*'01_Вводные'!$B$218*AJ205,MeanMinAge11)))</f>
        <v/>
      </c>
      <c r="AK147" s="190">
        <f>IF(OR((AK63-AK91)=0,11&lt;='01_Вводные'!$B$297),0,(AK63-AK91)*IF('01_Вводные'!$B$239="Да",MeanMinAge11+AK205*SUMIF(ThresholdAge11,"&lt;"&amp;AK205,WeightedRevAge11)-SUMIF(ThresholdAge11,"&lt;"&amp;AK205,WeightedMinAge11),MAX(CapacityAge11*'01_Вводные'!$B$218*AK205,MeanMinAge11)))</f>
        <v/>
      </c>
      <c r="AL147" s="190">
        <f>IF(OR((AL63-AL91)=0,11&lt;='01_Вводные'!$B$297),0,(AL63-AL91)*IF('01_Вводные'!$B$239="Да",MeanMinAge11+AL205*SUMIF(ThresholdAge11,"&lt;"&amp;AL205,WeightedRevAge11)-SUMIF(ThresholdAge11,"&lt;"&amp;AL205,WeightedMinAge11),MAX(CapacityAge11*'01_Вводные'!$B$218*AL205,MeanMinAge11)))</f>
        <v/>
      </c>
      <c r="AM147" s="190">
        <f>IF(OR((AM63-AM91)=0,11&lt;='01_Вводные'!$B$297),0,(AM63-AM91)*IF('01_Вводные'!$B$239="Да",MeanMinAge11+AM205*SUMIF(ThresholdAge11,"&lt;"&amp;AM205,WeightedRevAge11)-SUMIF(ThresholdAge11,"&lt;"&amp;AM205,WeightedMinAge11),MAX(CapacityAge11*'01_Вводные'!$B$218*AM205,MeanMinAge11)))</f>
        <v/>
      </c>
      <c r="AN147" s="190">
        <f>IF(OR((AN63-AN91)=0,11&lt;='01_Вводные'!$B$297),0,(AN63-AN91)*IF('01_Вводные'!$B$239="Да",MeanMinAge11+AN205*SUMIF(ThresholdAge11,"&lt;"&amp;AN205,WeightedRevAge11)-SUMIF(ThresholdAge11,"&lt;"&amp;AN205,WeightedMinAge11),MAX(CapacityAge11*'01_Вводные'!$B$218*AN205,MeanMinAge11)))</f>
        <v/>
      </c>
      <c r="AO147" s="190">
        <f>IF(OR((AO63-AO91)=0,11&lt;='01_Вводные'!$B$297),0,(AO63-AO91)*IF('01_Вводные'!$B$239="Да",MeanMinAge11+AO205*SUMIF(ThresholdAge11,"&lt;"&amp;AO205,WeightedRevAge11)-SUMIF(ThresholdAge11,"&lt;"&amp;AO205,WeightedMinAge11),MAX(CapacityAge11*'01_Вводные'!$B$218*AO205,MeanMinAge11)))</f>
        <v/>
      </c>
      <c r="AP147" s="190">
        <f>IF(OR((AP63-AP91)=0,11&lt;='01_Вводные'!$B$297),0,(AP63-AP91)*IF('01_Вводные'!$B$239="Да",MeanMinAge11+AP205*SUMIF(ThresholdAge11,"&lt;"&amp;AP205,WeightedRevAge11)-SUMIF(ThresholdAge11,"&lt;"&amp;AP205,WeightedMinAge11),MAX(CapacityAge11*'01_Вводные'!$B$218*AP205,MeanMinAge11)))</f>
        <v/>
      </c>
      <c r="AQ147" s="190">
        <f>IF(OR((AQ63-AQ91)=0,11&lt;='01_Вводные'!$B$297),0,(AQ63-AQ91)*IF('01_Вводные'!$B$239="Да",MeanMinAge11+AQ205*SUMIF(ThresholdAge11,"&lt;"&amp;AQ205,WeightedRevAge11)-SUMIF(ThresholdAge11,"&lt;"&amp;AQ205,WeightedMinAge11),MAX(CapacityAge11*'01_Вводные'!$B$218*AQ205,MeanMinAge11)))</f>
        <v/>
      </c>
      <c r="AR147" s="190">
        <f>IF(OR((AR63-AR91)=0,11&lt;='01_Вводные'!$B$297),0,(AR63-AR91)*IF('01_Вводные'!$B$239="Да",MeanMinAge11+AR205*SUMIF(ThresholdAge11,"&lt;"&amp;AR205,WeightedRevAge11)-SUMIF(ThresholdAge11,"&lt;"&amp;AR205,WeightedMinAge11),MAX(CapacityAge11*'01_Вводные'!$B$218*AR205,MeanMinAge11)))</f>
        <v/>
      </c>
      <c r="AS147" s="190">
        <f>IF(OR((AS63-AS91)=0,11&lt;='01_Вводные'!$B$297),0,(AS63-AS91)*IF('01_Вводные'!$B$239="Да",MeanMinAge11+AS205*SUMIF(ThresholdAge11,"&lt;"&amp;AS205,WeightedRevAge11)-SUMIF(ThresholdAge11,"&lt;"&amp;AS205,WeightedMinAge11),MAX(CapacityAge11*'01_Вводные'!$B$218*AS205,MeanMinAge11)))</f>
        <v/>
      </c>
      <c r="AT147" s="190">
        <f>IF(OR((AT63-AT91)=0,11&lt;='01_Вводные'!$B$297),0,(AT63-AT91)*IF('01_Вводные'!$B$239="Да",MeanMinAge11+AT205*SUMIF(ThresholdAge11,"&lt;"&amp;AT205,WeightedRevAge11)-SUMIF(ThresholdAge11,"&lt;"&amp;AT205,WeightedMinAge11),MAX(CapacityAge11*'01_Вводные'!$B$218*AT205,MeanMinAge11)))</f>
        <v/>
      </c>
      <c r="AU147" s="190">
        <f>IF(OR((AU63-AU91)=0,11&lt;='01_Вводные'!$B$297),0,(AU63-AU91)*IF('01_Вводные'!$B$239="Да",MeanMinAge11+AU205*SUMIF(ThresholdAge11,"&lt;"&amp;AU205,WeightedRevAge11)-SUMIF(ThresholdAge11,"&lt;"&amp;AU205,WeightedMinAge11),MAX(CapacityAge11*'01_Вводные'!$B$218*AU205,MeanMinAge11)))</f>
        <v/>
      </c>
      <c r="AV147" s="190">
        <f>IF(OR((AV63-AV91)=0,11&lt;='01_Вводные'!$B$297),0,(AV63-AV91)*IF('01_Вводные'!$B$239="Да",MeanMinAge11+AV205*SUMIF(ThresholdAge11,"&lt;"&amp;AV205,WeightedRevAge11)-SUMIF(ThresholdAge11,"&lt;"&amp;AV205,WeightedMinAge11),MAX(CapacityAge11*'01_Вводные'!$B$218*AV205,MeanMinAge11)))</f>
        <v/>
      </c>
      <c r="AW147" s="190">
        <f>IF(OR((AW63-AW91)=0,11&lt;='01_Вводные'!$B$297),0,(AW63-AW91)*IF('01_Вводные'!$B$239="Да",MeanMinAge11+AW205*SUMIF(ThresholdAge11,"&lt;"&amp;AW205,WeightedRevAge11)-SUMIF(ThresholdAge11,"&lt;"&amp;AW205,WeightedMinAge11),MAX(CapacityAge11*'01_Вводные'!$B$218*AW205,MeanMinAge11)))</f>
        <v/>
      </c>
      <c r="AX147" s="190">
        <f>IF(OR((AX63-AX91)=0,11&lt;='01_Вводные'!$B$297),0,(AX63-AX91)*IF('01_Вводные'!$B$239="Да",MeanMinAge11+AX205*SUMIF(ThresholdAge11,"&lt;"&amp;AX205,WeightedRevAge11)-SUMIF(ThresholdAge11,"&lt;"&amp;AX205,WeightedMinAge11),MAX(CapacityAge11*'01_Вводные'!$B$218*AX205,MeanMinAge11)))</f>
        <v/>
      </c>
      <c r="AY147" s="190">
        <f>IF(OR((AY63-AY91)=0,11&lt;='01_Вводные'!$B$297),0,(AY63-AY91)*IF('01_Вводные'!$B$239="Да",MeanMinAge11+AY205*SUMIF(ThresholdAge11,"&lt;"&amp;AY205,WeightedRevAge11)-SUMIF(ThresholdAge11,"&lt;"&amp;AY205,WeightedMinAge11),MAX(CapacityAge11*'01_Вводные'!$B$218*AY205,MeanMinAge11)))</f>
        <v/>
      </c>
      <c r="AZ147" s="190">
        <f>IF(OR((AZ63-AZ91)=0,11&lt;='01_Вводные'!$B$297),0,(AZ63-AZ91)*IF('01_Вводные'!$B$239="Да",MeanMinAge11+AZ205*SUMIF(ThresholdAge11,"&lt;"&amp;AZ205,WeightedRevAge11)-SUMIF(ThresholdAge11,"&lt;"&amp;AZ205,WeightedMinAge11),MAX(CapacityAge11*'01_Вводные'!$B$218*AZ205,MeanMinAge11)))</f>
        <v/>
      </c>
      <c r="BA147" s="190">
        <f>IF(OR((BA63-BA91)=0,11&lt;='01_Вводные'!$B$297),0,(BA63-BA91)*IF('01_Вводные'!$B$239="Да",MeanMinAge11+BA205*SUMIF(ThresholdAge11,"&lt;"&amp;BA205,WeightedRevAge11)-SUMIF(ThresholdAge11,"&lt;"&amp;BA205,WeightedMinAge11),MAX(CapacityAge11*'01_Вводные'!$B$218*BA205,MeanMinAge11)))</f>
        <v/>
      </c>
      <c r="BB147" s="190">
        <f>IF(OR((BB63-BB91)=0,11&lt;='01_Вводные'!$B$297),0,(BB63-BB91)*IF('01_Вводные'!$B$239="Да",MeanMinAge11+BB205*SUMIF(ThresholdAge11,"&lt;"&amp;BB205,WeightedRevAge11)-SUMIF(ThresholdAge11,"&lt;"&amp;BB205,WeightedMinAge11),MAX(CapacityAge11*'01_Вводные'!$B$218*BB205,MeanMinAge11)))</f>
        <v/>
      </c>
      <c r="BC147" s="190">
        <f>IF(OR((BC63-BC91)=0,11&lt;='01_Вводные'!$B$297),0,(BC63-BC91)*IF('01_Вводные'!$B$239="Да",MeanMinAge11+BC205*SUMIF(ThresholdAge11,"&lt;"&amp;BC205,WeightedRevAge11)-SUMIF(ThresholdAge11,"&lt;"&amp;BC205,WeightedMinAge11),MAX(CapacityAge11*'01_Вводные'!$B$218*BC205,MeanMinAge11)))</f>
        <v/>
      </c>
      <c r="BD147" s="190">
        <f>IF(OR((BD63-BD91)=0,11&lt;='01_Вводные'!$B$297),0,(BD63-BD91)*IF('01_Вводные'!$B$239="Да",MeanMinAge11+BD205*SUMIF(ThresholdAge11,"&lt;"&amp;BD205,WeightedRevAge11)-SUMIF(ThresholdAge11,"&lt;"&amp;BD205,WeightedMinAge11),MAX(CapacityAge11*'01_Вводные'!$B$218*BD205,MeanMinAge11)))</f>
        <v/>
      </c>
      <c r="BE147" s="190">
        <f>IF(OR((BE63-BE91)=0,11&lt;='01_Вводные'!$B$297),0,(BE63-BE91)*IF('01_Вводные'!$B$239="Да",MeanMinAge11+BE205*SUMIF(ThresholdAge11,"&lt;"&amp;BE205,WeightedRevAge11)-SUMIF(ThresholdAge11,"&lt;"&amp;BE205,WeightedMinAge11),MAX(CapacityAge11*'01_Вводные'!$B$218*BE205,MeanMinAge11)))</f>
        <v/>
      </c>
      <c r="BF147" s="190">
        <f>IF(OR((BF63-BF91)=0,11&lt;='01_Вводные'!$B$297),0,(BF63-BF91)*IF('01_Вводные'!$B$239="Да",MeanMinAge11+BF205*SUMIF(ThresholdAge11,"&lt;"&amp;BF205,WeightedRevAge11)-SUMIF(ThresholdAge11,"&lt;"&amp;BF205,WeightedMinAge11),MAX(CapacityAge11*'01_Вводные'!$B$218*BF205,MeanMinAge11)))</f>
        <v/>
      </c>
      <c r="BG147" s="190">
        <f>IF(OR((BG63-BG91)=0,11&lt;='01_Вводные'!$B$297),0,(BG63-BG91)*IF('01_Вводные'!$B$239="Да",MeanMinAge11+BG205*SUMIF(ThresholdAge11,"&lt;"&amp;BG205,WeightedRevAge11)-SUMIF(ThresholdAge11,"&lt;"&amp;BG205,WeightedMinAge11),MAX(CapacityAge11*'01_Вводные'!$B$218*BG205,MeanMinAge11)))</f>
        <v/>
      </c>
      <c r="BH147" s="190">
        <f>IF(OR((BH63-BH91)=0,11&lt;='01_Вводные'!$B$297),0,(BH63-BH91)*IF('01_Вводные'!$B$239="Да",MeanMinAge11+BH205*SUMIF(ThresholdAge11,"&lt;"&amp;BH205,WeightedRevAge11)-SUMIF(ThresholdAge11,"&lt;"&amp;BH205,WeightedMinAge11),MAX(CapacityAge11*'01_Вводные'!$B$218*BH205,MeanMinAge11)))</f>
        <v/>
      </c>
      <c r="BI147" s="190">
        <f>IF(OR((BI63-BI91)=0,11&lt;='01_Вводные'!$B$297),0,(BI63-BI91)*IF('01_Вводные'!$B$239="Да",MeanMinAge11+BI205*SUMIF(ThresholdAge11,"&lt;"&amp;BI205,WeightedRevAge11)-SUMIF(ThresholdAge11,"&lt;"&amp;BI205,WeightedMinAge11),MAX(CapacityAge11*'01_Вводные'!$B$218*BI205,MeanMinAge11)))</f>
        <v/>
      </c>
      <c r="BJ147" s="190">
        <f>IF(OR((BJ63-BJ91)=0,11&lt;='01_Вводные'!$B$297),0,(BJ63-BJ91)*IF('01_Вводные'!$B$239="Да",MeanMinAge11+BJ205*SUMIF(ThresholdAge11,"&lt;"&amp;BJ205,WeightedRevAge11)-SUMIF(ThresholdAge11,"&lt;"&amp;BJ205,WeightedMinAge11),MAX(CapacityAge11*'01_Вводные'!$B$218*BJ205,MeanMinAge11)))</f>
        <v/>
      </c>
      <c r="BK147" s="190">
        <f>IF(OR((BK63-BK91)=0,11&lt;='01_Вводные'!$B$297),0,(BK63-BK91)*IF('01_Вводные'!$B$239="Да",MeanMinAge11+BK205*SUMIF(ThresholdAge11,"&lt;"&amp;BK205,WeightedRevAge11)-SUMIF(ThresholdAge11,"&lt;"&amp;BK205,WeightedMinAge11),MAX(CapacityAge11*'01_Вводные'!$B$218*BK205,MeanMinAge11)))</f>
        <v/>
      </c>
      <c r="BL147" s="190">
        <f>IF(OR((BL63-BL91)=0,11&lt;='01_Вводные'!$B$297),0,(BL63-BL91)*IF('01_Вводные'!$B$239="Да",MeanMinAge11+BL205*SUMIF(ThresholdAge11,"&lt;"&amp;BL205,WeightedRevAge11)-SUMIF(ThresholdAge11,"&lt;"&amp;BL205,WeightedMinAge11),MAX(CapacityAge11*'01_Вводные'!$B$218*BL205,MeanMinAge11)))</f>
        <v/>
      </c>
      <c r="BM147" s="190">
        <f>IF(OR((BM63-BM91)=0,11&lt;='01_Вводные'!$B$297),0,(BM63-BM91)*IF('01_Вводные'!$B$239="Да",MeanMinAge11+BM205*SUMIF(ThresholdAge11,"&lt;"&amp;BM205,WeightedRevAge11)-SUMIF(ThresholdAge11,"&lt;"&amp;BM205,WeightedMinAge11),MAX(CapacityAge11*'01_Вводные'!$B$218*BM205,MeanMinAge11)))</f>
        <v/>
      </c>
      <c r="BN147" s="190">
        <f>IF(OR((BN63-BN91)=0,11&lt;='01_Вводные'!$B$297),0,(BN63-BN91)*IF('01_Вводные'!$B$239="Да",MeanMinAge11+BN205*SUMIF(ThresholdAge11,"&lt;"&amp;BN205,WeightedRevAge11)-SUMIF(ThresholdAge11,"&lt;"&amp;BN205,WeightedMinAge11),MAX(CapacityAge11*'01_Вводные'!$B$218*BN205,MeanMinAge11)))</f>
        <v/>
      </c>
      <c r="BO147" s="190">
        <f>IF(OR((BO63-BO91)=0,11&lt;='01_Вводные'!$B$297),0,(BO63-BO91)*IF('01_Вводные'!$B$239="Да",MeanMinAge11+BO205*SUMIF(ThresholdAge11,"&lt;"&amp;BO205,WeightedRevAge11)-SUMIF(ThresholdAge11,"&lt;"&amp;BO205,WeightedMinAge11),MAX(CapacityAge11*'01_Вводные'!$B$218*BO205,MeanMinAge11)))</f>
        <v/>
      </c>
    </row>
    <row r="148" hidden="1" outlineLevel="1">
      <c r="A148" t="inlineStr">
        <is>
          <t>12 мес.</t>
        </is>
      </c>
      <c r="B148" s="190">
        <f>IF(OR((B64-B92)=0,12&lt;='01_Вводные'!$B$297),0,(B64-B92)*IF('01_Вводные'!$B$239="Да",MeanMinAge12+B205*SUMIF(ThresholdAge12,"&lt;"&amp;B205,WeightedRevAge12)-SUMIF(ThresholdAge12,"&lt;"&amp;B205,WeightedMinAge12),MAX(CapacityAge12*'01_Вводные'!$B$218*B205,MeanMinAge12)))</f>
        <v/>
      </c>
      <c r="C148" s="190">
        <f>IF(OR((C64-C92)=0,12&lt;='01_Вводные'!$B$297),0,(C64-C92)*IF('01_Вводные'!$B$239="Да",MeanMinAge12+C205*SUMIF(ThresholdAge12,"&lt;"&amp;C205,WeightedRevAge12)-SUMIF(ThresholdAge12,"&lt;"&amp;C205,WeightedMinAge12),MAX(CapacityAge12*'01_Вводные'!$B$218*C205,MeanMinAge12)))</f>
        <v/>
      </c>
      <c r="D148" s="190">
        <f>IF(OR((D64-D92)=0,12&lt;='01_Вводные'!$B$297),0,(D64-D92)*IF('01_Вводные'!$B$239="Да",MeanMinAge12+D205*SUMIF(ThresholdAge12,"&lt;"&amp;D205,WeightedRevAge12)-SUMIF(ThresholdAge12,"&lt;"&amp;D205,WeightedMinAge12),MAX(CapacityAge12*'01_Вводные'!$B$218*D205,MeanMinAge12)))</f>
        <v/>
      </c>
      <c r="E148" s="190">
        <f>IF(OR((E64-E92)=0,12&lt;='01_Вводные'!$B$297),0,(E64-E92)*IF('01_Вводные'!$B$239="Да",MeanMinAge12+E205*SUMIF(ThresholdAge12,"&lt;"&amp;E205,WeightedRevAge12)-SUMIF(ThresholdAge12,"&lt;"&amp;E205,WeightedMinAge12),MAX(CapacityAge12*'01_Вводные'!$B$218*E205,MeanMinAge12)))</f>
        <v/>
      </c>
      <c r="F148" s="190">
        <f>IF(OR((F64-F92)=0,12&lt;='01_Вводные'!$B$297),0,(F64-F92)*IF('01_Вводные'!$B$239="Да",MeanMinAge12+F205*SUMIF(ThresholdAge12,"&lt;"&amp;F205,WeightedRevAge12)-SUMIF(ThresholdAge12,"&lt;"&amp;F205,WeightedMinAge12),MAX(CapacityAge12*'01_Вводные'!$B$218*F205,MeanMinAge12)))</f>
        <v/>
      </c>
      <c r="G148" s="190">
        <f>IF(OR((G64-G92)=0,12&lt;='01_Вводные'!$B$297),0,(G64-G92)*IF('01_Вводные'!$B$239="Да",MeanMinAge12+G205*SUMIF(ThresholdAge12,"&lt;"&amp;G205,WeightedRevAge12)-SUMIF(ThresholdAge12,"&lt;"&amp;G205,WeightedMinAge12),MAX(CapacityAge12*'01_Вводные'!$B$218*G205,MeanMinAge12)))</f>
        <v/>
      </c>
      <c r="H148" s="190">
        <f>IF(OR((H64-H92)=0,12&lt;='01_Вводные'!$B$297),0,(H64-H92)*IF('01_Вводные'!$B$239="Да",MeanMinAge12+H205*SUMIF(ThresholdAge12,"&lt;"&amp;H205,WeightedRevAge12)-SUMIF(ThresholdAge12,"&lt;"&amp;H205,WeightedMinAge12),MAX(CapacityAge12*'01_Вводные'!$B$218*H205,MeanMinAge12)))</f>
        <v/>
      </c>
      <c r="I148" s="190">
        <f>IF(OR((I64-I92)=0,12&lt;='01_Вводные'!$B$297),0,(I64-I92)*IF('01_Вводные'!$B$239="Да",MeanMinAge12+I205*SUMIF(ThresholdAge12,"&lt;"&amp;I205,WeightedRevAge12)-SUMIF(ThresholdAge12,"&lt;"&amp;I205,WeightedMinAge12),MAX(CapacityAge12*'01_Вводные'!$B$218*I205,MeanMinAge12)))</f>
        <v/>
      </c>
      <c r="J148" s="190">
        <f>IF(OR((J64-J92)=0,12&lt;='01_Вводные'!$B$297),0,(J64-J92)*IF('01_Вводные'!$B$239="Да",MeanMinAge12+J205*SUMIF(ThresholdAge12,"&lt;"&amp;J205,WeightedRevAge12)-SUMIF(ThresholdAge12,"&lt;"&amp;J205,WeightedMinAge12),MAX(CapacityAge12*'01_Вводные'!$B$218*J205,MeanMinAge12)))</f>
        <v/>
      </c>
      <c r="K148" s="190">
        <f>IF(OR((K64-K92)=0,12&lt;='01_Вводные'!$B$297),0,(K64-K92)*IF('01_Вводные'!$B$239="Да",MeanMinAge12+K205*SUMIF(ThresholdAge12,"&lt;"&amp;K205,WeightedRevAge12)-SUMIF(ThresholdAge12,"&lt;"&amp;K205,WeightedMinAge12),MAX(CapacityAge12*'01_Вводные'!$B$218*K205,MeanMinAge12)))</f>
        <v/>
      </c>
      <c r="L148" s="190">
        <f>IF(OR((L64-L92)=0,12&lt;='01_Вводные'!$B$297),0,(L64-L92)*IF('01_Вводные'!$B$239="Да",MeanMinAge12+L205*SUMIF(ThresholdAge12,"&lt;"&amp;L205,WeightedRevAge12)-SUMIF(ThresholdAge12,"&lt;"&amp;L205,WeightedMinAge12),MAX(CapacityAge12*'01_Вводные'!$B$218*L205,MeanMinAge12)))</f>
        <v/>
      </c>
      <c r="M148" s="190">
        <f>IF(OR((M64-M92)=0,12&lt;='01_Вводные'!$B$297),0,(M64-M92)*IF('01_Вводные'!$B$239="Да",MeanMinAge12+M205*SUMIF(ThresholdAge12,"&lt;"&amp;M205,WeightedRevAge12)-SUMIF(ThresholdAge12,"&lt;"&amp;M205,WeightedMinAge12),MAX(CapacityAge12*'01_Вводные'!$B$218*M205,MeanMinAge12)))</f>
        <v/>
      </c>
      <c r="N148" s="190">
        <f>IF(OR((N64-N92)=0,12&lt;='01_Вводные'!$B$297),0,(N64-N92)*IF('01_Вводные'!$B$239="Да",MeanMinAge12+N205*SUMIF(ThresholdAge12,"&lt;"&amp;N205,WeightedRevAge12)-SUMIF(ThresholdAge12,"&lt;"&amp;N205,WeightedMinAge12),MAX(CapacityAge12*'01_Вводные'!$B$218*N205,MeanMinAge12)))</f>
        <v/>
      </c>
      <c r="O148" s="190">
        <f>IF(OR((O64-O92)=0,12&lt;='01_Вводные'!$B$297),0,(O64-O92)*IF('01_Вводные'!$B$239="Да",MeanMinAge12+O205*SUMIF(ThresholdAge12,"&lt;"&amp;O205,WeightedRevAge12)-SUMIF(ThresholdAge12,"&lt;"&amp;O205,WeightedMinAge12),MAX(CapacityAge12*'01_Вводные'!$B$218*O205,MeanMinAge12)))</f>
        <v/>
      </c>
      <c r="P148" s="190">
        <f>IF(OR((P64-P92)=0,12&lt;='01_Вводные'!$B$297),0,(P64-P92)*IF('01_Вводные'!$B$239="Да",MeanMinAge12+P205*SUMIF(ThresholdAge12,"&lt;"&amp;P205,WeightedRevAge12)-SUMIF(ThresholdAge12,"&lt;"&amp;P205,WeightedMinAge12),MAX(CapacityAge12*'01_Вводные'!$B$218*P205,MeanMinAge12)))</f>
        <v/>
      </c>
      <c r="Q148" s="190">
        <f>IF(OR((Q64-Q92)=0,12&lt;='01_Вводные'!$B$297),0,(Q64-Q92)*IF('01_Вводные'!$B$239="Да",MeanMinAge12+Q205*SUMIF(ThresholdAge12,"&lt;"&amp;Q205,WeightedRevAge12)-SUMIF(ThresholdAge12,"&lt;"&amp;Q205,WeightedMinAge12),MAX(CapacityAge12*'01_Вводные'!$B$218*Q205,MeanMinAge12)))</f>
        <v/>
      </c>
      <c r="R148" s="190">
        <f>IF(OR((R64-R92)=0,12&lt;='01_Вводные'!$B$297),0,(R64-R92)*IF('01_Вводные'!$B$239="Да",MeanMinAge12+R205*SUMIF(ThresholdAge12,"&lt;"&amp;R205,WeightedRevAge12)-SUMIF(ThresholdAge12,"&lt;"&amp;R205,WeightedMinAge12),MAX(CapacityAge12*'01_Вводные'!$B$218*R205,MeanMinAge12)))</f>
        <v/>
      </c>
      <c r="S148" s="190">
        <f>IF(OR((S64-S92)=0,12&lt;='01_Вводные'!$B$297),0,(S64-S92)*IF('01_Вводные'!$B$239="Да",MeanMinAge12+S205*SUMIF(ThresholdAge12,"&lt;"&amp;S205,WeightedRevAge12)-SUMIF(ThresholdAge12,"&lt;"&amp;S205,WeightedMinAge12),MAX(CapacityAge12*'01_Вводные'!$B$218*S205,MeanMinAge12)))</f>
        <v/>
      </c>
      <c r="T148" s="190">
        <f>IF(OR((T64-T92)=0,12&lt;='01_Вводные'!$B$297),0,(T64-T92)*IF('01_Вводные'!$B$239="Да",MeanMinAge12+T205*SUMIF(ThresholdAge12,"&lt;"&amp;T205,WeightedRevAge12)-SUMIF(ThresholdAge12,"&lt;"&amp;T205,WeightedMinAge12),MAX(CapacityAge12*'01_Вводные'!$B$218*T205,MeanMinAge12)))</f>
        <v/>
      </c>
      <c r="U148" s="190">
        <f>IF(OR((U64-U92)=0,12&lt;='01_Вводные'!$B$297),0,(U64-U92)*IF('01_Вводные'!$B$239="Да",MeanMinAge12+U205*SUMIF(ThresholdAge12,"&lt;"&amp;U205,WeightedRevAge12)-SUMIF(ThresholdAge12,"&lt;"&amp;U205,WeightedMinAge12),MAX(CapacityAge12*'01_Вводные'!$B$218*U205,MeanMinAge12)))</f>
        <v/>
      </c>
      <c r="V148" s="190">
        <f>IF(OR((V64-V92)=0,12&lt;='01_Вводные'!$B$297),0,(V64-V92)*IF('01_Вводные'!$B$239="Да",MeanMinAge12+V205*SUMIF(ThresholdAge12,"&lt;"&amp;V205,WeightedRevAge12)-SUMIF(ThresholdAge12,"&lt;"&amp;V205,WeightedMinAge12),MAX(CapacityAge12*'01_Вводные'!$B$218*V205,MeanMinAge12)))</f>
        <v/>
      </c>
      <c r="W148" s="190">
        <f>IF(OR((W64-W92)=0,12&lt;='01_Вводные'!$B$297),0,(W64-W92)*IF('01_Вводные'!$B$239="Да",MeanMinAge12+W205*SUMIF(ThresholdAge12,"&lt;"&amp;W205,WeightedRevAge12)-SUMIF(ThresholdAge12,"&lt;"&amp;W205,WeightedMinAge12),MAX(CapacityAge12*'01_Вводные'!$B$218*W205,MeanMinAge12)))</f>
        <v/>
      </c>
      <c r="X148" s="190">
        <f>IF(OR((X64-X92)=0,12&lt;='01_Вводные'!$B$297),0,(X64-X92)*IF('01_Вводные'!$B$239="Да",MeanMinAge12+X205*SUMIF(ThresholdAge12,"&lt;"&amp;X205,WeightedRevAge12)-SUMIF(ThresholdAge12,"&lt;"&amp;X205,WeightedMinAge12),MAX(CapacityAge12*'01_Вводные'!$B$218*X205,MeanMinAge12)))</f>
        <v/>
      </c>
      <c r="Y148" s="190">
        <f>IF(OR((Y64-Y92)=0,12&lt;='01_Вводные'!$B$297),0,(Y64-Y92)*IF('01_Вводные'!$B$239="Да",MeanMinAge12+Y205*SUMIF(ThresholdAge12,"&lt;"&amp;Y205,WeightedRevAge12)-SUMIF(ThresholdAge12,"&lt;"&amp;Y205,WeightedMinAge12),MAX(CapacityAge12*'01_Вводные'!$B$218*Y205,MeanMinAge12)))</f>
        <v/>
      </c>
      <c r="Z148" s="190">
        <f>IF(OR((Z64-Z92)=0,12&lt;='01_Вводные'!$B$297),0,(Z64-Z92)*IF('01_Вводные'!$B$239="Да",MeanMinAge12+Z205*SUMIF(ThresholdAge12,"&lt;"&amp;Z205,WeightedRevAge12)-SUMIF(ThresholdAge12,"&lt;"&amp;Z205,WeightedMinAge12),MAX(CapacityAge12*'01_Вводные'!$B$218*Z205,MeanMinAge12)))</f>
        <v/>
      </c>
      <c r="AA148" s="190">
        <f>IF(OR((AA64-AA92)=0,12&lt;='01_Вводные'!$B$297),0,(AA64-AA92)*IF('01_Вводные'!$B$239="Да",MeanMinAge12+AA205*SUMIF(ThresholdAge12,"&lt;"&amp;AA205,WeightedRevAge12)-SUMIF(ThresholdAge12,"&lt;"&amp;AA205,WeightedMinAge12),MAX(CapacityAge12*'01_Вводные'!$B$218*AA205,MeanMinAge12)))</f>
        <v/>
      </c>
      <c r="AB148" s="190">
        <f>IF(OR((AB64-AB92)=0,12&lt;='01_Вводные'!$B$297),0,(AB64-AB92)*IF('01_Вводные'!$B$239="Да",MeanMinAge12+AB205*SUMIF(ThresholdAge12,"&lt;"&amp;AB205,WeightedRevAge12)-SUMIF(ThresholdAge12,"&lt;"&amp;AB205,WeightedMinAge12),MAX(CapacityAge12*'01_Вводные'!$B$218*AB205,MeanMinAge12)))</f>
        <v/>
      </c>
      <c r="AC148" s="190">
        <f>IF(OR((AC64-AC92)=0,12&lt;='01_Вводные'!$B$297),0,(AC64-AC92)*IF('01_Вводные'!$B$239="Да",MeanMinAge12+AC205*SUMIF(ThresholdAge12,"&lt;"&amp;AC205,WeightedRevAge12)-SUMIF(ThresholdAge12,"&lt;"&amp;AC205,WeightedMinAge12),MAX(CapacityAge12*'01_Вводные'!$B$218*AC205,MeanMinAge12)))</f>
        <v/>
      </c>
      <c r="AD148" s="190">
        <f>IF(OR((AD64-AD92)=0,12&lt;='01_Вводные'!$B$297),0,(AD64-AD92)*IF('01_Вводные'!$B$239="Да",MeanMinAge12+AD205*SUMIF(ThresholdAge12,"&lt;"&amp;AD205,WeightedRevAge12)-SUMIF(ThresholdAge12,"&lt;"&amp;AD205,WeightedMinAge12),MAX(CapacityAge12*'01_Вводные'!$B$218*AD205,MeanMinAge12)))</f>
        <v/>
      </c>
      <c r="AE148" s="190">
        <f>IF(OR((AE64-AE92)=0,12&lt;='01_Вводные'!$B$297),0,(AE64-AE92)*IF('01_Вводные'!$B$239="Да",MeanMinAge12+AE205*SUMIF(ThresholdAge12,"&lt;"&amp;AE205,WeightedRevAge12)-SUMIF(ThresholdAge12,"&lt;"&amp;AE205,WeightedMinAge12),MAX(CapacityAge12*'01_Вводные'!$B$218*AE205,MeanMinAge12)))</f>
        <v/>
      </c>
      <c r="AF148" s="190">
        <f>IF(OR((AF64-AF92)=0,12&lt;='01_Вводные'!$B$297),0,(AF64-AF92)*IF('01_Вводные'!$B$239="Да",MeanMinAge12+AF205*SUMIF(ThresholdAge12,"&lt;"&amp;AF205,WeightedRevAge12)-SUMIF(ThresholdAge12,"&lt;"&amp;AF205,WeightedMinAge12),MAX(CapacityAge12*'01_Вводные'!$B$218*AF205,MeanMinAge12)))</f>
        <v/>
      </c>
      <c r="AG148" s="190">
        <f>IF(OR((AG64-AG92)=0,12&lt;='01_Вводные'!$B$297),0,(AG64-AG92)*IF('01_Вводные'!$B$239="Да",MeanMinAge12+AG205*SUMIF(ThresholdAge12,"&lt;"&amp;AG205,WeightedRevAge12)-SUMIF(ThresholdAge12,"&lt;"&amp;AG205,WeightedMinAge12),MAX(CapacityAge12*'01_Вводные'!$B$218*AG205,MeanMinAge12)))</f>
        <v/>
      </c>
      <c r="AH148" s="190">
        <f>IF(OR((AH64-AH92)=0,12&lt;='01_Вводные'!$B$297),0,(AH64-AH92)*IF('01_Вводные'!$B$239="Да",MeanMinAge12+AH205*SUMIF(ThresholdAge12,"&lt;"&amp;AH205,WeightedRevAge12)-SUMIF(ThresholdAge12,"&lt;"&amp;AH205,WeightedMinAge12),MAX(CapacityAge12*'01_Вводные'!$B$218*AH205,MeanMinAge12)))</f>
        <v/>
      </c>
      <c r="AI148" s="190">
        <f>IF(OR((AI64-AI92)=0,12&lt;='01_Вводные'!$B$297),0,(AI64-AI92)*IF('01_Вводные'!$B$239="Да",MeanMinAge12+AI205*SUMIF(ThresholdAge12,"&lt;"&amp;AI205,WeightedRevAge12)-SUMIF(ThresholdAge12,"&lt;"&amp;AI205,WeightedMinAge12),MAX(CapacityAge12*'01_Вводные'!$B$218*AI205,MeanMinAge12)))</f>
        <v/>
      </c>
      <c r="AJ148" s="190">
        <f>IF(OR((AJ64-AJ92)=0,12&lt;='01_Вводные'!$B$297),0,(AJ64-AJ92)*IF('01_Вводные'!$B$239="Да",MeanMinAge12+AJ205*SUMIF(ThresholdAge12,"&lt;"&amp;AJ205,WeightedRevAge12)-SUMIF(ThresholdAge12,"&lt;"&amp;AJ205,WeightedMinAge12),MAX(CapacityAge12*'01_Вводные'!$B$218*AJ205,MeanMinAge12)))</f>
        <v/>
      </c>
      <c r="AK148" s="190">
        <f>IF(OR((AK64-AK92)=0,12&lt;='01_Вводные'!$B$297),0,(AK64-AK92)*IF('01_Вводные'!$B$239="Да",MeanMinAge12+AK205*SUMIF(ThresholdAge12,"&lt;"&amp;AK205,WeightedRevAge12)-SUMIF(ThresholdAge12,"&lt;"&amp;AK205,WeightedMinAge12),MAX(CapacityAge12*'01_Вводные'!$B$218*AK205,MeanMinAge12)))</f>
        <v/>
      </c>
      <c r="AL148" s="190">
        <f>IF(OR((AL64-AL92)=0,12&lt;='01_Вводные'!$B$297),0,(AL64-AL92)*IF('01_Вводные'!$B$239="Да",MeanMinAge12+AL205*SUMIF(ThresholdAge12,"&lt;"&amp;AL205,WeightedRevAge12)-SUMIF(ThresholdAge12,"&lt;"&amp;AL205,WeightedMinAge12),MAX(CapacityAge12*'01_Вводные'!$B$218*AL205,MeanMinAge12)))</f>
        <v/>
      </c>
      <c r="AM148" s="190">
        <f>IF(OR((AM64-AM92)=0,12&lt;='01_Вводные'!$B$297),0,(AM64-AM92)*IF('01_Вводные'!$B$239="Да",MeanMinAge12+AM205*SUMIF(ThresholdAge12,"&lt;"&amp;AM205,WeightedRevAge12)-SUMIF(ThresholdAge12,"&lt;"&amp;AM205,WeightedMinAge12),MAX(CapacityAge12*'01_Вводные'!$B$218*AM205,MeanMinAge12)))</f>
        <v/>
      </c>
      <c r="AN148" s="190">
        <f>IF(OR((AN64-AN92)=0,12&lt;='01_Вводные'!$B$297),0,(AN64-AN92)*IF('01_Вводные'!$B$239="Да",MeanMinAge12+AN205*SUMIF(ThresholdAge12,"&lt;"&amp;AN205,WeightedRevAge12)-SUMIF(ThresholdAge12,"&lt;"&amp;AN205,WeightedMinAge12),MAX(CapacityAge12*'01_Вводные'!$B$218*AN205,MeanMinAge12)))</f>
        <v/>
      </c>
      <c r="AO148" s="190">
        <f>IF(OR((AO64-AO92)=0,12&lt;='01_Вводные'!$B$297),0,(AO64-AO92)*IF('01_Вводные'!$B$239="Да",MeanMinAge12+AO205*SUMIF(ThresholdAge12,"&lt;"&amp;AO205,WeightedRevAge12)-SUMIF(ThresholdAge12,"&lt;"&amp;AO205,WeightedMinAge12),MAX(CapacityAge12*'01_Вводные'!$B$218*AO205,MeanMinAge12)))</f>
        <v/>
      </c>
      <c r="AP148" s="190">
        <f>IF(OR((AP64-AP92)=0,12&lt;='01_Вводные'!$B$297),0,(AP64-AP92)*IF('01_Вводные'!$B$239="Да",MeanMinAge12+AP205*SUMIF(ThresholdAge12,"&lt;"&amp;AP205,WeightedRevAge12)-SUMIF(ThresholdAge12,"&lt;"&amp;AP205,WeightedMinAge12),MAX(CapacityAge12*'01_Вводные'!$B$218*AP205,MeanMinAge12)))</f>
        <v/>
      </c>
      <c r="AQ148" s="190">
        <f>IF(OR((AQ64-AQ92)=0,12&lt;='01_Вводные'!$B$297),0,(AQ64-AQ92)*IF('01_Вводные'!$B$239="Да",MeanMinAge12+AQ205*SUMIF(ThresholdAge12,"&lt;"&amp;AQ205,WeightedRevAge12)-SUMIF(ThresholdAge12,"&lt;"&amp;AQ205,WeightedMinAge12),MAX(CapacityAge12*'01_Вводные'!$B$218*AQ205,MeanMinAge12)))</f>
        <v/>
      </c>
      <c r="AR148" s="190">
        <f>IF(OR((AR64-AR92)=0,12&lt;='01_Вводные'!$B$297),0,(AR64-AR92)*IF('01_Вводные'!$B$239="Да",MeanMinAge12+AR205*SUMIF(ThresholdAge12,"&lt;"&amp;AR205,WeightedRevAge12)-SUMIF(ThresholdAge12,"&lt;"&amp;AR205,WeightedMinAge12),MAX(CapacityAge12*'01_Вводные'!$B$218*AR205,MeanMinAge12)))</f>
        <v/>
      </c>
      <c r="AS148" s="190">
        <f>IF(OR((AS64-AS92)=0,12&lt;='01_Вводные'!$B$297),0,(AS64-AS92)*IF('01_Вводные'!$B$239="Да",MeanMinAge12+AS205*SUMIF(ThresholdAge12,"&lt;"&amp;AS205,WeightedRevAge12)-SUMIF(ThresholdAge12,"&lt;"&amp;AS205,WeightedMinAge12),MAX(CapacityAge12*'01_Вводные'!$B$218*AS205,MeanMinAge12)))</f>
        <v/>
      </c>
      <c r="AT148" s="190">
        <f>IF(OR((AT64-AT92)=0,12&lt;='01_Вводные'!$B$297),0,(AT64-AT92)*IF('01_Вводные'!$B$239="Да",MeanMinAge12+AT205*SUMIF(ThresholdAge12,"&lt;"&amp;AT205,WeightedRevAge12)-SUMIF(ThresholdAge12,"&lt;"&amp;AT205,WeightedMinAge12),MAX(CapacityAge12*'01_Вводные'!$B$218*AT205,MeanMinAge12)))</f>
        <v/>
      </c>
      <c r="AU148" s="190">
        <f>IF(OR((AU64-AU92)=0,12&lt;='01_Вводные'!$B$297),0,(AU64-AU92)*IF('01_Вводные'!$B$239="Да",MeanMinAge12+AU205*SUMIF(ThresholdAge12,"&lt;"&amp;AU205,WeightedRevAge12)-SUMIF(ThresholdAge12,"&lt;"&amp;AU205,WeightedMinAge12),MAX(CapacityAge12*'01_Вводные'!$B$218*AU205,MeanMinAge12)))</f>
        <v/>
      </c>
      <c r="AV148" s="190">
        <f>IF(OR((AV64-AV92)=0,12&lt;='01_Вводные'!$B$297),0,(AV64-AV92)*IF('01_Вводные'!$B$239="Да",MeanMinAge12+AV205*SUMIF(ThresholdAge12,"&lt;"&amp;AV205,WeightedRevAge12)-SUMIF(ThresholdAge12,"&lt;"&amp;AV205,WeightedMinAge12),MAX(CapacityAge12*'01_Вводные'!$B$218*AV205,MeanMinAge12)))</f>
        <v/>
      </c>
      <c r="AW148" s="190">
        <f>IF(OR((AW64-AW92)=0,12&lt;='01_Вводные'!$B$297),0,(AW64-AW92)*IF('01_Вводные'!$B$239="Да",MeanMinAge12+AW205*SUMIF(ThresholdAge12,"&lt;"&amp;AW205,WeightedRevAge12)-SUMIF(ThresholdAge12,"&lt;"&amp;AW205,WeightedMinAge12),MAX(CapacityAge12*'01_Вводные'!$B$218*AW205,MeanMinAge12)))</f>
        <v/>
      </c>
      <c r="AX148" s="190">
        <f>IF(OR((AX64-AX92)=0,12&lt;='01_Вводные'!$B$297),0,(AX64-AX92)*IF('01_Вводные'!$B$239="Да",MeanMinAge12+AX205*SUMIF(ThresholdAge12,"&lt;"&amp;AX205,WeightedRevAge12)-SUMIF(ThresholdAge12,"&lt;"&amp;AX205,WeightedMinAge12),MAX(CapacityAge12*'01_Вводные'!$B$218*AX205,MeanMinAge12)))</f>
        <v/>
      </c>
      <c r="AY148" s="190">
        <f>IF(OR((AY64-AY92)=0,12&lt;='01_Вводные'!$B$297),0,(AY64-AY92)*IF('01_Вводные'!$B$239="Да",MeanMinAge12+AY205*SUMIF(ThresholdAge12,"&lt;"&amp;AY205,WeightedRevAge12)-SUMIF(ThresholdAge12,"&lt;"&amp;AY205,WeightedMinAge12),MAX(CapacityAge12*'01_Вводные'!$B$218*AY205,MeanMinAge12)))</f>
        <v/>
      </c>
      <c r="AZ148" s="190">
        <f>IF(OR((AZ64-AZ92)=0,12&lt;='01_Вводные'!$B$297),0,(AZ64-AZ92)*IF('01_Вводные'!$B$239="Да",MeanMinAge12+AZ205*SUMIF(ThresholdAge12,"&lt;"&amp;AZ205,WeightedRevAge12)-SUMIF(ThresholdAge12,"&lt;"&amp;AZ205,WeightedMinAge12),MAX(CapacityAge12*'01_Вводные'!$B$218*AZ205,MeanMinAge12)))</f>
        <v/>
      </c>
      <c r="BA148" s="190">
        <f>IF(OR((BA64-BA92)=0,12&lt;='01_Вводные'!$B$297),0,(BA64-BA92)*IF('01_Вводные'!$B$239="Да",MeanMinAge12+BA205*SUMIF(ThresholdAge12,"&lt;"&amp;BA205,WeightedRevAge12)-SUMIF(ThresholdAge12,"&lt;"&amp;BA205,WeightedMinAge12),MAX(CapacityAge12*'01_Вводные'!$B$218*BA205,MeanMinAge12)))</f>
        <v/>
      </c>
      <c r="BB148" s="190">
        <f>IF(OR((BB64-BB92)=0,12&lt;='01_Вводные'!$B$297),0,(BB64-BB92)*IF('01_Вводные'!$B$239="Да",MeanMinAge12+BB205*SUMIF(ThresholdAge12,"&lt;"&amp;BB205,WeightedRevAge12)-SUMIF(ThresholdAge12,"&lt;"&amp;BB205,WeightedMinAge12),MAX(CapacityAge12*'01_Вводные'!$B$218*BB205,MeanMinAge12)))</f>
        <v/>
      </c>
      <c r="BC148" s="190">
        <f>IF(OR((BC64-BC92)=0,12&lt;='01_Вводные'!$B$297),0,(BC64-BC92)*IF('01_Вводные'!$B$239="Да",MeanMinAge12+BC205*SUMIF(ThresholdAge12,"&lt;"&amp;BC205,WeightedRevAge12)-SUMIF(ThresholdAge12,"&lt;"&amp;BC205,WeightedMinAge12),MAX(CapacityAge12*'01_Вводные'!$B$218*BC205,MeanMinAge12)))</f>
        <v/>
      </c>
      <c r="BD148" s="190">
        <f>IF(OR((BD64-BD92)=0,12&lt;='01_Вводные'!$B$297),0,(BD64-BD92)*IF('01_Вводные'!$B$239="Да",MeanMinAge12+BD205*SUMIF(ThresholdAge12,"&lt;"&amp;BD205,WeightedRevAge12)-SUMIF(ThresholdAge12,"&lt;"&amp;BD205,WeightedMinAge12),MAX(CapacityAge12*'01_Вводные'!$B$218*BD205,MeanMinAge12)))</f>
        <v/>
      </c>
      <c r="BE148" s="190">
        <f>IF(OR((BE64-BE92)=0,12&lt;='01_Вводные'!$B$297),0,(BE64-BE92)*IF('01_Вводные'!$B$239="Да",MeanMinAge12+BE205*SUMIF(ThresholdAge12,"&lt;"&amp;BE205,WeightedRevAge12)-SUMIF(ThresholdAge12,"&lt;"&amp;BE205,WeightedMinAge12),MAX(CapacityAge12*'01_Вводные'!$B$218*BE205,MeanMinAge12)))</f>
        <v/>
      </c>
      <c r="BF148" s="190">
        <f>IF(OR((BF64-BF92)=0,12&lt;='01_Вводные'!$B$297),0,(BF64-BF92)*IF('01_Вводные'!$B$239="Да",MeanMinAge12+BF205*SUMIF(ThresholdAge12,"&lt;"&amp;BF205,WeightedRevAge12)-SUMIF(ThresholdAge12,"&lt;"&amp;BF205,WeightedMinAge12),MAX(CapacityAge12*'01_Вводные'!$B$218*BF205,MeanMinAge12)))</f>
        <v/>
      </c>
      <c r="BG148" s="190">
        <f>IF(OR((BG64-BG92)=0,12&lt;='01_Вводные'!$B$297),0,(BG64-BG92)*IF('01_Вводные'!$B$239="Да",MeanMinAge12+BG205*SUMIF(ThresholdAge12,"&lt;"&amp;BG205,WeightedRevAge12)-SUMIF(ThresholdAge12,"&lt;"&amp;BG205,WeightedMinAge12),MAX(CapacityAge12*'01_Вводные'!$B$218*BG205,MeanMinAge12)))</f>
        <v/>
      </c>
      <c r="BH148" s="190">
        <f>IF(OR((BH64-BH92)=0,12&lt;='01_Вводные'!$B$297),0,(BH64-BH92)*IF('01_Вводные'!$B$239="Да",MeanMinAge12+BH205*SUMIF(ThresholdAge12,"&lt;"&amp;BH205,WeightedRevAge12)-SUMIF(ThresholdAge12,"&lt;"&amp;BH205,WeightedMinAge12),MAX(CapacityAge12*'01_Вводные'!$B$218*BH205,MeanMinAge12)))</f>
        <v/>
      </c>
      <c r="BI148" s="190">
        <f>IF(OR((BI64-BI92)=0,12&lt;='01_Вводные'!$B$297),0,(BI64-BI92)*IF('01_Вводные'!$B$239="Да",MeanMinAge12+BI205*SUMIF(ThresholdAge12,"&lt;"&amp;BI205,WeightedRevAge12)-SUMIF(ThresholdAge12,"&lt;"&amp;BI205,WeightedMinAge12),MAX(CapacityAge12*'01_Вводные'!$B$218*BI205,MeanMinAge12)))</f>
        <v/>
      </c>
      <c r="BJ148" s="190">
        <f>IF(OR((BJ64-BJ92)=0,12&lt;='01_Вводные'!$B$297),0,(BJ64-BJ92)*IF('01_Вводные'!$B$239="Да",MeanMinAge12+BJ205*SUMIF(ThresholdAge12,"&lt;"&amp;BJ205,WeightedRevAge12)-SUMIF(ThresholdAge12,"&lt;"&amp;BJ205,WeightedMinAge12),MAX(CapacityAge12*'01_Вводные'!$B$218*BJ205,MeanMinAge12)))</f>
        <v/>
      </c>
      <c r="BK148" s="190">
        <f>IF(OR((BK64-BK92)=0,12&lt;='01_Вводные'!$B$297),0,(BK64-BK92)*IF('01_Вводные'!$B$239="Да",MeanMinAge12+BK205*SUMIF(ThresholdAge12,"&lt;"&amp;BK205,WeightedRevAge12)-SUMIF(ThresholdAge12,"&lt;"&amp;BK205,WeightedMinAge12),MAX(CapacityAge12*'01_Вводные'!$B$218*BK205,MeanMinAge12)))</f>
        <v/>
      </c>
      <c r="BL148" s="190">
        <f>IF(OR((BL64-BL92)=0,12&lt;='01_Вводные'!$B$297),0,(BL64-BL92)*IF('01_Вводные'!$B$239="Да",MeanMinAge12+BL205*SUMIF(ThresholdAge12,"&lt;"&amp;BL205,WeightedRevAge12)-SUMIF(ThresholdAge12,"&lt;"&amp;BL205,WeightedMinAge12),MAX(CapacityAge12*'01_Вводные'!$B$218*BL205,MeanMinAge12)))</f>
        <v/>
      </c>
      <c r="BM148" s="190">
        <f>IF(OR((BM64-BM92)=0,12&lt;='01_Вводные'!$B$297),0,(BM64-BM92)*IF('01_Вводные'!$B$239="Да",MeanMinAge12+BM205*SUMIF(ThresholdAge12,"&lt;"&amp;BM205,WeightedRevAge12)-SUMIF(ThresholdAge12,"&lt;"&amp;BM205,WeightedMinAge12),MAX(CapacityAge12*'01_Вводные'!$B$218*BM205,MeanMinAge12)))</f>
        <v/>
      </c>
      <c r="BN148" s="190">
        <f>IF(OR((BN64-BN92)=0,12&lt;='01_Вводные'!$B$297),0,(BN64-BN92)*IF('01_Вводные'!$B$239="Да",MeanMinAge12+BN205*SUMIF(ThresholdAge12,"&lt;"&amp;BN205,WeightedRevAge12)-SUMIF(ThresholdAge12,"&lt;"&amp;BN205,WeightedMinAge12),MAX(CapacityAge12*'01_Вводные'!$B$218*BN205,MeanMinAge12)))</f>
        <v/>
      </c>
      <c r="BO148" s="190">
        <f>IF(OR((BO64-BO92)=0,12&lt;='01_Вводные'!$B$297),0,(BO64-BO92)*IF('01_Вводные'!$B$239="Да",MeanMinAge12+BO205*SUMIF(ThresholdAge12,"&lt;"&amp;BO205,WeightedRevAge12)-SUMIF(ThresholdAge12,"&lt;"&amp;BO205,WeightedMinAge12),MAX(CapacityAge12*'01_Вводные'!$B$218*BO205,MeanMinAge12)))</f>
        <v/>
      </c>
    </row>
    <row r="149" hidden="1" outlineLevel="1">
      <c r="A149" t="inlineStr">
        <is>
          <t>13 мес.</t>
        </is>
      </c>
      <c r="B149" s="190">
        <f>IF(OR((B65-B93)=0,13&lt;='01_Вводные'!$B$297),0,(B65-B93)*IF('01_Вводные'!$B$239="Да",MeanMinAge13+B205*SUMIF(ThresholdAge13,"&lt;"&amp;B205,WeightedRevAge13)-SUMIF(ThresholdAge13,"&lt;"&amp;B205,WeightedMinAge13),MAX(CapacityAge13*'01_Вводные'!$B$218*B205,MeanMinAge13)))</f>
        <v/>
      </c>
      <c r="C149" s="190">
        <f>IF(OR((C65-C93)=0,13&lt;='01_Вводные'!$B$297),0,(C65-C93)*IF('01_Вводные'!$B$239="Да",MeanMinAge13+C205*SUMIF(ThresholdAge13,"&lt;"&amp;C205,WeightedRevAge13)-SUMIF(ThresholdAge13,"&lt;"&amp;C205,WeightedMinAge13),MAX(CapacityAge13*'01_Вводные'!$B$218*C205,MeanMinAge13)))</f>
        <v/>
      </c>
      <c r="D149" s="190">
        <f>IF(OR((D65-D93)=0,13&lt;='01_Вводные'!$B$297),0,(D65-D93)*IF('01_Вводные'!$B$239="Да",MeanMinAge13+D205*SUMIF(ThresholdAge13,"&lt;"&amp;D205,WeightedRevAge13)-SUMIF(ThresholdAge13,"&lt;"&amp;D205,WeightedMinAge13),MAX(CapacityAge13*'01_Вводные'!$B$218*D205,MeanMinAge13)))</f>
        <v/>
      </c>
      <c r="E149" s="190">
        <f>IF(OR((E65-E93)=0,13&lt;='01_Вводные'!$B$297),0,(E65-E93)*IF('01_Вводные'!$B$239="Да",MeanMinAge13+E205*SUMIF(ThresholdAge13,"&lt;"&amp;E205,WeightedRevAge13)-SUMIF(ThresholdAge13,"&lt;"&amp;E205,WeightedMinAge13),MAX(CapacityAge13*'01_Вводные'!$B$218*E205,MeanMinAge13)))</f>
        <v/>
      </c>
      <c r="F149" s="190">
        <f>IF(OR((F65-F93)=0,13&lt;='01_Вводные'!$B$297),0,(F65-F93)*IF('01_Вводные'!$B$239="Да",MeanMinAge13+F205*SUMIF(ThresholdAge13,"&lt;"&amp;F205,WeightedRevAge13)-SUMIF(ThresholdAge13,"&lt;"&amp;F205,WeightedMinAge13),MAX(CapacityAge13*'01_Вводные'!$B$218*F205,MeanMinAge13)))</f>
        <v/>
      </c>
      <c r="G149" s="190">
        <f>IF(OR((G65-G93)=0,13&lt;='01_Вводные'!$B$297),0,(G65-G93)*IF('01_Вводные'!$B$239="Да",MeanMinAge13+G205*SUMIF(ThresholdAge13,"&lt;"&amp;G205,WeightedRevAge13)-SUMIF(ThresholdAge13,"&lt;"&amp;G205,WeightedMinAge13),MAX(CapacityAge13*'01_Вводные'!$B$218*G205,MeanMinAge13)))</f>
        <v/>
      </c>
      <c r="H149" s="190">
        <f>IF(OR((H65-H93)=0,13&lt;='01_Вводные'!$B$297),0,(H65-H93)*IF('01_Вводные'!$B$239="Да",MeanMinAge13+H205*SUMIF(ThresholdAge13,"&lt;"&amp;H205,WeightedRevAge13)-SUMIF(ThresholdAge13,"&lt;"&amp;H205,WeightedMinAge13),MAX(CapacityAge13*'01_Вводные'!$B$218*H205,MeanMinAge13)))</f>
        <v/>
      </c>
      <c r="I149" s="190">
        <f>IF(OR((I65-I93)=0,13&lt;='01_Вводные'!$B$297),0,(I65-I93)*IF('01_Вводные'!$B$239="Да",MeanMinAge13+I205*SUMIF(ThresholdAge13,"&lt;"&amp;I205,WeightedRevAge13)-SUMIF(ThresholdAge13,"&lt;"&amp;I205,WeightedMinAge13),MAX(CapacityAge13*'01_Вводные'!$B$218*I205,MeanMinAge13)))</f>
        <v/>
      </c>
      <c r="J149" s="190">
        <f>IF(OR((J65-J93)=0,13&lt;='01_Вводные'!$B$297),0,(J65-J93)*IF('01_Вводные'!$B$239="Да",MeanMinAge13+J205*SUMIF(ThresholdAge13,"&lt;"&amp;J205,WeightedRevAge13)-SUMIF(ThresholdAge13,"&lt;"&amp;J205,WeightedMinAge13),MAX(CapacityAge13*'01_Вводные'!$B$218*J205,MeanMinAge13)))</f>
        <v/>
      </c>
      <c r="K149" s="190">
        <f>IF(OR((K65-K93)=0,13&lt;='01_Вводные'!$B$297),0,(K65-K93)*IF('01_Вводные'!$B$239="Да",MeanMinAge13+K205*SUMIF(ThresholdAge13,"&lt;"&amp;K205,WeightedRevAge13)-SUMIF(ThresholdAge13,"&lt;"&amp;K205,WeightedMinAge13),MAX(CapacityAge13*'01_Вводные'!$B$218*K205,MeanMinAge13)))</f>
        <v/>
      </c>
      <c r="L149" s="190">
        <f>IF(OR((L65-L93)=0,13&lt;='01_Вводные'!$B$297),0,(L65-L93)*IF('01_Вводные'!$B$239="Да",MeanMinAge13+L205*SUMIF(ThresholdAge13,"&lt;"&amp;L205,WeightedRevAge13)-SUMIF(ThresholdAge13,"&lt;"&amp;L205,WeightedMinAge13),MAX(CapacityAge13*'01_Вводные'!$B$218*L205,MeanMinAge13)))</f>
        <v/>
      </c>
      <c r="M149" s="190">
        <f>IF(OR((M65-M93)=0,13&lt;='01_Вводные'!$B$297),0,(M65-M93)*IF('01_Вводные'!$B$239="Да",MeanMinAge13+M205*SUMIF(ThresholdAge13,"&lt;"&amp;M205,WeightedRevAge13)-SUMIF(ThresholdAge13,"&lt;"&amp;M205,WeightedMinAge13),MAX(CapacityAge13*'01_Вводные'!$B$218*M205,MeanMinAge13)))</f>
        <v/>
      </c>
      <c r="N149" s="190">
        <f>IF(OR((N65-N93)=0,13&lt;='01_Вводные'!$B$297),0,(N65-N93)*IF('01_Вводные'!$B$239="Да",MeanMinAge13+N205*SUMIF(ThresholdAge13,"&lt;"&amp;N205,WeightedRevAge13)-SUMIF(ThresholdAge13,"&lt;"&amp;N205,WeightedMinAge13),MAX(CapacityAge13*'01_Вводные'!$B$218*N205,MeanMinAge13)))</f>
        <v/>
      </c>
      <c r="O149" s="190">
        <f>IF(OR((O65-O93)=0,13&lt;='01_Вводные'!$B$297),0,(O65-O93)*IF('01_Вводные'!$B$239="Да",MeanMinAge13+O205*SUMIF(ThresholdAge13,"&lt;"&amp;O205,WeightedRevAge13)-SUMIF(ThresholdAge13,"&lt;"&amp;O205,WeightedMinAge13),MAX(CapacityAge13*'01_Вводные'!$B$218*O205,MeanMinAge13)))</f>
        <v/>
      </c>
      <c r="P149" s="190">
        <f>IF(OR((P65-P93)=0,13&lt;='01_Вводные'!$B$297),0,(P65-P93)*IF('01_Вводные'!$B$239="Да",MeanMinAge13+P205*SUMIF(ThresholdAge13,"&lt;"&amp;P205,WeightedRevAge13)-SUMIF(ThresholdAge13,"&lt;"&amp;P205,WeightedMinAge13),MAX(CapacityAge13*'01_Вводные'!$B$218*P205,MeanMinAge13)))</f>
        <v/>
      </c>
      <c r="Q149" s="190">
        <f>IF(OR((Q65-Q93)=0,13&lt;='01_Вводные'!$B$297),0,(Q65-Q93)*IF('01_Вводные'!$B$239="Да",MeanMinAge13+Q205*SUMIF(ThresholdAge13,"&lt;"&amp;Q205,WeightedRevAge13)-SUMIF(ThresholdAge13,"&lt;"&amp;Q205,WeightedMinAge13),MAX(CapacityAge13*'01_Вводные'!$B$218*Q205,MeanMinAge13)))</f>
        <v/>
      </c>
      <c r="R149" s="190">
        <f>IF(OR((R65-R93)=0,13&lt;='01_Вводные'!$B$297),0,(R65-R93)*IF('01_Вводные'!$B$239="Да",MeanMinAge13+R205*SUMIF(ThresholdAge13,"&lt;"&amp;R205,WeightedRevAge13)-SUMIF(ThresholdAge13,"&lt;"&amp;R205,WeightedMinAge13),MAX(CapacityAge13*'01_Вводные'!$B$218*R205,MeanMinAge13)))</f>
        <v/>
      </c>
      <c r="S149" s="190">
        <f>IF(OR((S65-S93)=0,13&lt;='01_Вводные'!$B$297),0,(S65-S93)*IF('01_Вводные'!$B$239="Да",MeanMinAge13+S205*SUMIF(ThresholdAge13,"&lt;"&amp;S205,WeightedRevAge13)-SUMIF(ThresholdAge13,"&lt;"&amp;S205,WeightedMinAge13),MAX(CapacityAge13*'01_Вводные'!$B$218*S205,MeanMinAge13)))</f>
        <v/>
      </c>
      <c r="T149" s="190">
        <f>IF(OR((T65-T93)=0,13&lt;='01_Вводные'!$B$297),0,(T65-T93)*IF('01_Вводные'!$B$239="Да",MeanMinAge13+T205*SUMIF(ThresholdAge13,"&lt;"&amp;T205,WeightedRevAge13)-SUMIF(ThresholdAge13,"&lt;"&amp;T205,WeightedMinAge13),MAX(CapacityAge13*'01_Вводные'!$B$218*T205,MeanMinAge13)))</f>
        <v/>
      </c>
      <c r="U149" s="190">
        <f>IF(OR((U65-U93)=0,13&lt;='01_Вводные'!$B$297),0,(U65-U93)*IF('01_Вводные'!$B$239="Да",MeanMinAge13+U205*SUMIF(ThresholdAge13,"&lt;"&amp;U205,WeightedRevAge13)-SUMIF(ThresholdAge13,"&lt;"&amp;U205,WeightedMinAge13),MAX(CapacityAge13*'01_Вводные'!$B$218*U205,MeanMinAge13)))</f>
        <v/>
      </c>
      <c r="V149" s="190">
        <f>IF(OR((V65-V93)=0,13&lt;='01_Вводные'!$B$297),0,(V65-V93)*IF('01_Вводные'!$B$239="Да",MeanMinAge13+V205*SUMIF(ThresholdAge13,"&lt;"&amp;V205,WeightedRevAge13)-SUMIF(ThresholdAge13,"&lt;"&amp;V205,WeightedMinAge13),MAX(CapacityAge13*'01_Вводные'!$B$218*V205,MeanMinAge13)))</f>
        <v/>
      </c>
      <c r="W149" s="190">
        <f>IF(OR((W65-W93)=0,13&lt;='01_Вводные'!$B$297),0,(W65-W93)*IF('01_Вводные'!$B$239="Да",MeanMinAge13+W205*SUMIF(ThresholdAge13,"&lt;"&amp;W205,WeightedRevAge13)-SUMIF(ThresholdAge13,"&lt;"&amp;W205,WeightedMinAge13),MAX(CapacityAge13*'01_Вводные'!$B$218*W205,MeanMinAge13)))</f>
        <v/>
      </c>
      <c r="X149" s="190">
        <f>IF(OR((X65-X93)=0,13&lt;='01_Вводные'!$B$297),0,(X65-X93)*IF('01_Вводные'!$B$239="Да",MeanMinAge13+X205*SUMIF(ThresholdAge13,"&lt;"&amp;X205,WeightedRevAge13)-SUMIF(ThresholdAge13,"&lt;"&amp;X205,WeightedMinAge13),MAX(CapacityAge13*'01_Вводные'!$B$218*X205,MeanMinAge13)))</f>
        <v/>
      </c>
      <c r="Y149" s="190">
        <f>IF(OR((Y65-Y93)=0,13&lt;='01_Вводные'!$B$297),0,(Y65-Y93)*IF('01_Вводные'!$B$239="Да",MeanMinAge13+Y205*SUMIF(ThresholdAge13,"&lt;"&amp;Y205,WeightedRevAge13)-SUMIF(ThresholdAge13,"&lt;"&amp;Y205,WeightedMinAge13),MAX(CapacityAge13*'01_Вводные'!$B$218*Y205,MeanMinAge13)))</f>
        <v/>
      </c>
      <c r="Z149" s="190">
        <f>IF(OR((Z65-Z93)=0,13&lt;='01_Вводные'!$B$297),0,(Z65-Z93)*IF('01_Вводные'!$B$239="Да",MeanMinAge13+Z205*SUMIF(ThresholdAge13,"&lt;"&amp;Z205,WeightedRevAge13)-SUMIF(ThresholdAge13,"&lt;"&amp;Z205,WeightedMinAge13),MAX(CapacityAge13*'01_Вводные'!$B$218*Z205,MeanMinAge13)))</f>
        <v/>
      </c>
      <c r="AA149" s="190">
        <f>IF(OR((AA65-AA93)=0,13&lt;='01_Вводные'!$B$297),0,(AA65-AA93)*IF('01_Вводные'!$B$239="Да",MeanMinAge13+AA205*SUMIF(ThresholdAge13,"&lt;"&amp;AA205,WeightedRevAge13)-SUMIF(ThresholdAge13,"&lt;"&amp;AA205,WeightedMinAge13),MAX(CapacityAge13*'01_Вводные'!$B$218*AA205,MeanMinAge13)))</f>
        <v/>
      </c>
      <c r="AB149" s="190">
        <f>IF(OR((AB65-AB93)=0,13&lt;='01_Вводные'!$B$297),0,(AB65-AB93)*IF('01_Вводные'!$B$239="Да",MeanMinAge13+AB205*SUMIF(ThresholdAge13,"&lt;"&amp;AB205,WeightedRevAge13)-SUMIF(ThresholdAge13,"&lt;"&amp;AB205,WeightedMinAge13),MAX(CapacityAge13*'01_Вводные'!$B$218*AB205,MeanMinAge13)))</f>
        <v/>
      </c>
      <c r="AC149" s="190">
        <f>IF(OR((AC65-AC93)=0,13&lt;='01_Вводные'!$B$297),0,(AC65-AC93)*IF('01_Вводные'!$B$239="Да",MeanMinAge13+AC205*SUMIF(ThresholdAge13,"&lt;"&amp;AC205,WeightedRevAge13)-SUMIF(ThresholdAge13,"&lt;"&amp;AC205,WeightedMinAge13),MAX(CapacityAge13*'01_Вводные'!$B$218*AC205,MeanMinAge13)))</f>
        <v/>
      </c>
      <c r="AD149" s="190">
        <f>IF(OR((AD65-AD93)=0,13&lt;='01_Вводные'!$B$297),0,(AD65-AD93)*IF('01_Вводные'!$B$239="Да",MeanMinAge13+AD205*SUMIF(ThresholdAge13,"&lt;"&amp;AD205,WeightedRevAge13)-SUMIF(ThresholdAge13,"&lt;"&amp;AD205,WeightedMinAge13),MAX(CapacityAge13*'01_Вводные'!$B$218*AD205,MeanMinAge13)))</f>
        <v/>
      </c>
      <c r="AE149" s="190">
        <f>IF(OR((AE65-AE93)=0,13&lt;='01_Вводные'!$B$297),0,(AE65-AE93)*IF('01_Вводные'!$B$239="Да",MeanMinAge13+AE205*SUMIF(ThresholdAge13,"&lt;"&amp;AE205,WeightedRevAge13)-SUMIF(ThresholdAge13,"&lt;"&amp;AE205,WeightedMinAge13),MAX(CapacityAge13*'01_Вводные'!$B$218*AE205,MeanMinAge13)))</f>
        <v/>
      </c>
      <c r="AF149" s="190">
        <f>IF(OR((AF65-AF93)=0,13&lt;='01_Вводные'!$B$297),0,(AF65-AF93)*IF('01_Вводные'!$B$239="Да",MeanMinAge13+AF205*SUMIF(ThresholdAge13,"&lt;"&amp;AF205,WeightedRevAge13)-SUMIF(ThresholdAge13,"&lt;"&amp;AF205,WeightedMinAge13),MAX(CapacityAge13*'01_Вводные'!$B$218*AF205,MeanMinAge13)))</f>
        <v/>
      </c>
      <c r="AG149" s="190">
        <f>IF(OR((AG65-AG93)=0,13&lt;='01_Вводные'!$B$297),0,(AG65-AG93)*IF('01_Вводные'!$B$239="Да",MeanMinAge13+AG205*SUMIF(ThresholdAge13,"&lt;"&amp;AG205,WeightedRevAge13)-SUMIF(ThresholdAge13,"&lt;"&amp;AG205,WeightedMinAge13),MAX(CapacityAge13*'01_Вводные'!$B$218*AG205,MeanMinAge13)))</f>
        <v/>
      </c>
      <c r="AH149" s="190">
        <f>IF(OR((AH65-AH93)=0,13&lt;='01_Вводные'!$B$297),0,(AH65-AH93)*IF('01_Вводные'!$B$239="Да",MeanMinAge13+AH205*SUMIF(ThresholdAge13,"&lt;"&amp;AH205,WeightedRevAge13)-SUMIF(ThresholdAge13,"&lt;"&amp;AH205,WeightedMinAge13),MAX(CapacityAge13*'01_Вводные'!$B$218*AH205,MeanMinAge13)))</f>
        <v/>
      </c>
      <c r="AI149" s="190">
        <f>IF(OR((AI65-AI93)=0,13&lt;='01_Вводные'!$B$297),0,(AI65-AI93)*IF('01_Вводные'!$B$239="Да",MeanMinAge13+AI205*SUMIF(ThresholdAge13,"&lt;"&amp;AI205,WeightedRevAge13)-SUMIF(ThresholdAge13,"&lt;"&amp;AI205,WeightedMinAge13),MAX(CapacityAge13*'01_Вводные'!$B$218*AI205,MeanMinAge13)))</f>
        <v/>
      </c>
      <c r="AJ149" s="190">
        <f>IF(OR((AJ65-AJ93)=0,13&lt;='01_Вводные'!$B$297),0,(AJ65-AJ93)*IF('01_Вводные'!$B$239="Да",MeanMinAge13+AJ205*SUMIF(ThresholdAge13,"&lt;"&amp;AJ205,WeightedRevAge13)-SUMIF(ThresholdAge13,"&lt;"&amp;AJ205,WeightedMinAge13),MAX(CapacityAge13*'01_Вводные'!$B$218*AJ205,MeanMinAge13)))</f>
        <v/>
      </c>
      <c r="AK149" s="190">
        <f>IF(OR((AK65-AK93)=0,13&lt;='01_Вводные'!$B$297),0,(AK65-AK93)*IF('01_Вводные'!$B$239="Да",MeanMinAge13+AK205*SUMIF(ThresholdAge13,"&lt;"&amp;AK205,WeightedRevAge13)-SUMIF(ThresholdAge13,"&lt;"&amp;AK205,WeightedMinAge13),MAX(CapacityAge13*'01_Вводные'!$B$218*AK205,MeanMinAge13)))</f>
        <v/>
      </c>
      <c r="AL149" s="190">
        <f>IF(OR((AL65-AL93)=0,13&lt;='01_Вводные'!$B$297),0,(AL65-AL93)*IF('01_Вводные'!$B$239="Да",MeanMinAge13+AL205*SUMIF(ThresholdAge13,"&lt;"&amp;AL205,WeightedRevAge13)-SUMIF(ThresholdAge13,"&lt;"&amp;AL205,WeightedMinAge13),MAX(CapacityAge13*'01_Вводные'!$B$218*AL205,MeanMinAge13)))</f>
        <v/>
      </c>
      <c r="AM149" s="190">
        <f>IF(OR((AM65-AM93)=0,13&lt;='01_Вводные'!$B$297),0,(AM65-AM93)*IF('01_Вводные'!$B$239="Да",MeanMinAge13+AM205*SUMIF(ThresholdAge13,"&lt;"&amp;AM205,WeightedRevAge13)-SUMIF(ThresholdAge13,"&lt;"&amp;AM205,WeightedMinAge13),MAX(CapacityAge13*'01_Вводные'!$B$218*AM205,MeanMinAge13)))</f>
        <v/>
      </c>
      <c r="AN149" s="190">
        <f>IF(OR((AN65-AN93)=0,13&lt;='01_Вводные'!$B$297),0,(AN65-AN93)*IF('01_Вводные'!$B$239="Да",MeanMinAge13+AN205*SUMIF(ThresholdAge13,"&lt;"&amp;AN205,WeightedRevAge13)-SUMIF(ThresholdAge13,"&lt;"&amp;AN205,WeightedMinAge13),MAX(CapacityAge13*'01_Вводные'!$B$218*AN205,MeanMinAge13)))</f>
        <v/>
      </c>
      <c r="AO149" s="190">
        <f>IF(OR((AO65-AO93)=0,13&lt;='01_Вводные'!$B$297),0,(AO65-AO93)*IF('01_Вводные'!$B$239="Да",MeanMinAge13+AO205*SUMIF(ThresholdAge13,"&lt;"&amp;AO205,WeightedRevAge13)-SUMIF(ThresholdAge13,"&lt;"&amp;AO205,WeightedMinAge13),MAX(CapacityAge13*'01_Вводные'!$B$218*AO205,MeanMinAge13)))</f>
        <v/>
      </c>
      <c r="AP149" s="190">
        <f>IF(OR((AP65-AP93)=0,13&lt;='01_Вводные'!$B$297),0,(AP65-AP93)*IF('01_Вводные'!$B$239="Да",MeanMinAge13+AP205*SUMIF(ThresholdAge13,"&lt;"&amp;AP205,WeightedRevAge13)-SUMIF(ThresholdAge13,"&lt;"&amp;AP205,WeightedMinAge13),MAX(CapacityAge13*'01_Вводные'!$B$218*AP205,MeanMinAge13)))</f>
        <v/>
      </c>
      <c r="AQ149" s="190">
        <f>IF(OR((AQ65-AQ93)=0,13&lt;='01_Вводные'!$B$297),0,(AQ65-AQ93)*IF('01_Вводные'!$B$239="Да",MeanMinAge13+AQ205*SUMIF(ThresholdAge13,"&lt;"&amp;AQ205,WeightedRevAge13)-SUMIF(ThresholdAge13,"&lt;"&amp;AQ205,WeightedMinAge13),MAX(CapacityAge13*'01_Вводные'!$B$218*AQ205,MeanMinAge13)))</f>
        <v/>
      </c>
      <c r="AR149" s="190">
        <f>IF(OR((AR65-AR93)=0,13&lt;='01_Вводные'!$B$297),0,(AR65-AR93)*IF('01_Вводные'!$B$239="Да",MeanMinAge13+AR205*SUMIF(ThresholdAge13,"&lt;"&amp;AR205,WeightedRevAge13)-SUMIF(ThresholdAge13,"&lt;"&amp;AR205,WeightedMinAge13),MAX(CapacityAge13*'01_Вводные'!$B$218*AR205,MeanMinAge13)))</f>
        <v/>
      </c>
      <c r="AS149" s="190">
        <f>IF(OR((AS65-AS93)=0,13&lt;='01_Вводные'!$B$297),0,(AS65-AS93)*IF('01_Вводные'!$B$239="Да",MeanMinAge13+AS205*SUMIF(ThresholdAge13,"&lt;"&amp;AS205,WeightedRevAge13)-SUMIF(ThresholdAge13,"&lt;"&amp;AS205,WeightedMinAge13),MAX(CapacityAge13*'01_Вводные'!$B$218*AS205,MeanMinAge13)))</f>
        <v/>
      </c>
      <c r="AT149" s="190">
        <f>IF(OR((AT65-AT93)=0,13&lt;='01_Вводные'!$B$297),0,(AT65-AT93)*IF('01_Вводные'!$B$239="Да",MeanMinAge13+AT205*SUMIF(ThresholdAge13,"&lt;"&amp;AT205,WeightedRevAge13)-SUMIF(ThresholdAge13,"&lt;"&amp;AT205,WeightedMinAge13),MAX(CapacityAge13*'01_Вводные'!$B$218*AT205,MeanMinAge13)))</f>
        <v/>
      </c>
      <c r="AU149" s="190">
        <f>IF(OR((AU65-AU93)=0,13&lt;='01_Вводные'!$B$297),0,(AU65-AU93)*IF('01_Вводные'!$B$239="Да",MeanMinAge13+AU205*SUMIF(ThresholdAge13,"&lt;"&amp;AU205,WeightedRevAge13)-SUMIF(ThresholdAge13,"&lt;"&amp;AU205,WeightedMinAge13),MAX(CapacityAge13*'01_Вводные'!$B$218*AU205,MeanMinAge13)))</f>
        <v/>
      </c>
      <c r="AV149" s="190">
        <f>IF(OR((AV65-AV93)=0,13&lt;='01_Вводные'!$B$297),0,(AV65-AV93)*IF('01_Вводные'!$B$239="Да",MeanMinAge13+AV205*SUMIF(ThresholdAge13,"&lt;"&amp;AV205,WeightedRevAge13)-SUMIF(ThresholdAge13,"&lt;"&amp;AV205,WeightedMinAge13),MAX(CapacityAge13*'01_Вводные'!$B$218*AV205,MeanMinAge13)))</f>
        <v/>
      </c>
      <c r="AW149" s="190">
        <f>IF(OR((AW65-AW93)=0,13&lt;='01_Вводные'!$B$297),0,(AW65-AW93)*IF('01_Вводные'!$B$239="Да",MeanMinAge13+AW205*SUMIF(ThresholdAge13,"&lt;"&amp;AW205,WeightedRevAge13)-SUMIF(ThresholdAge13,"&lt;"&amp;AW205,WeightedMinAge13),MAX(CapacityAge13*'01_Вводные'!$B$218*AW205,MeanMinAge13)))</f>
        <v/>
      </c>
      <c r="AX149" s="190">
        <f>IF(OR((AX65-AX93)=0,13&lt;='01_Вводные'!$B$297),0,(AX65-AX93)*IF('01_Вводные'!$B$239="Да",MeanMinAge13+AX205*SUMIF(ThresholdAge13,"&lt;"&amp;AX205,WeightedRevAge13)-SUMIF(ThresholdAge13,"&lt;"&amp;AX205,WeightedMinAge13),MAX(CapacityAge13*'01_Вводные'!$B$218*AX205,MeanMinAge13)))</f>
        <v/>
      </c>
      <c r="AY149" s="190">
        <f>IF(OR((AY65-AY93)=0,13&lt;='01_Вводные'!$B$297),0,(AY65-AY93)*IF('01_Вводные'!$B$239="Да",MeanMinAge13+AY205*SUMIF(ThresholdAge13,"&lt;"&amp;AY205,WeightedRevAge13)-SUMIF(ThresholdAge13,"&lt;"&amp;AY205,WeightedMinAge13),MAX(CapacityAge13*'01_Вводные'!$B$218*AY205,MeanMinAge13)))</f>
        <v/>
      </c>
      <c r="AZ149" s="190">
        <f>IF(OR((AZ65-AZ93)=0,13&lt;='01_Вводные'!$B$297),0,(AZ65-AZ93)*IF('01_Вводные'!$B$239="Да",MeanMinAge13+AZ205*SUMIF(ThresholdAge13,"&lt;"&amp;AZ205,WeightedRevAge13)-SUMIF(ThresholdAge13,"&lt;"&amp;AZ205,WeightedMinAge13),MAX(CapacityAge13*'01_Вводные'!$B$218*AZ205,MeanMinAge13)))</f>
        <v/>
      </c>
      <c r="BA149" s="190">
        <f>IF(OR((BA65-BA93)=0,13&lt;='01_Вводные'!$B$297),0,(BA65-BA93)*IF('01_Вводные'!$B$239="Да",MeanMinAge13+BA205*SUMIF(ThresholdAge13,"&lt;"&amp;BA205,WeightedRevAge13)-SUMIF(ThresholdAge13,"&lt;"&amp;BA205,WeightedMinAge13),MAX(CapacityAge13*'01_Вводные'!$B$218*BA205,MeanMinAge13)))</f>
        <v/>
      </c>
      <c r="BB149" s="190">
        <f>IF(OR((BB65-BB93)=0,13&lt;='01_Вводные'!$B$297),0,(BB65-BB93)*IF('01_Вводные'!$B$239="Да",MeanMinAge13+BB205*SUMIF(ThresholdAge13,"&lt;"&amp;BB205,WeightedRevAge13)-SUMIF(ThresholdAge13,"&lt;"&amp;BB205,WeightedMinAge13),MAX(CapacityAge13*'01_Вводные'!$B$218*BB205,MeanMinAge13)))</f>
        <v/>
      </c>
      <c r="BC149" s="190">
        <f>IF(OR((BC65-BC93)=0,13&lt;='01_Вводные'!$B$297),0,(BC65-BC93)*IF('01_Вводные'!$B$239="Да",MeanMinAge13+BC205*SUMIF(ThresholdAge13,"&lt;"&amp;BC205,WeightedRevAge13)-SUMIF(ThresholdAge13,"&lt;"&amp;BC205,WeightedMinAge13),MAX(CapacityAge13*'01_Вводные'!$B$218*BC205,MeanMinAge13)))</f>
        <v/>
      </c>
      <c r="BD149" s="190">
        <f>IF(OR((BD65-BD93)=0,13&lt;='01_Вводные'!$B$297),0,(BD65-BD93)*IF('01_Вводные'!$B$239="Да",MeanMinAge13+BD205*SUMIF(ThresholdAge13,"&lt;"&amp;BD205,WeightedRevAge13)-SUMIF(ThresholdAge13,"&lt;"&amp;BD205,WeightedMinAge13),MAX(CapacityAge13*'01_Вводные'!$B$218*BD205,MeanMinAge13)))</f>
        <v/>
      </c>
      <c r="BE149" s="190">
        <f>IF(OR((BE65-BE93)=0,13&lt;='01_Вводные'!$B$297),0,(BE65-BE93)*IF('01_Вводные'!$B$239="Да",MeanMinAge13+BE205*SUMIF(ThresholdAge13,"&lt;"&amp;BE205,WeightedRevAge13)-SUMIF(ThresholdAge13,"&lt;"&amp;BE205,WeightedMinAge13),MAX(CapacityAge13*'01_Вводные'!$B$218*BE205,MeanMinAge13)))</f>
        <v/>
      </c>
      <c r="BF149" s="190">
        <f>IF(OR((BF65-BF93)=0,13&lt;='01_Вводные'!$B$297),0,(BF65-BF93)*IF('01_Вводные'!$B$239="Да",MeanMinAge13+BF205*SUMIF(ThresholdAge13,"&lt;"&amp;BF205,WeightedRevAge13)-SUMIF(ThresholdAge13,"&lt;"&amp;BF205,WeightedMinAge13),MAX(CapacityAge13*'01_Вводные'!$B$218*BF205,MeanMinAge13)))</f>
        <v/>
      </c>
      <c r="BG149" s="190">
        <f>IF(OR((BG65-BG93)=0,13&lt;='01_Вводные'!$B$297),0,(BG65-BG93)*IF('01_Вводные'!$B$239="Да",MeanMinAge13+BG205*SUMIF(ThresholdAge13,"&lt;"&amp;BG205,WeightedRevAge13)-SUMIF(ThresholdAge13,"&lt;"&amp;BG205,WeightedMinAge13),MAX(CapacityAge13*'01_Вводные'!$B$218*BG205,MeanMinAge13)))</f>
        <v/>
      </c>
      <c r="BH149" s="190">
        <f>IF(OR((BH65-BH93)=0,13&lt;='01_Вводные'!$B$297),0,(BH65-BH93)*IF('01_Вводные'!$B$239="Да",MeanMinAge13+BH205*SUMIF(ThresholdAge13,"&lt;"&amp;BH205,WeightedRevAge13)-SUMIF(ThresholdAge13,"&lt;"&amp;BH205,WeightedMinAge13),MAX(CapacityAge13*'01_Вводные'!$B$218*BH205,MeanMinAge13)))</f>
        <v/>
      </c>
      <c r="BI149" s="190">
        <f>IF(OR((BI65-BI93)=0,13&lt;='01_Вводные'!$B$297),0,(BI65-BI93)*IF('01_Вводные'!$B$239="Да",MeanMinAge13+BI205*SUMIF(ThresholdAge13,"&lt;"&amp;BI205,WeightedRevAge13)-SUMIF(ThresholdAge13,"&lt;"&amp;BI205,WeightedMinAge13),MAX(CapacityAge13*'01_Вводные'!$B$218*BI205,MeanMinAge13)))</f>
        <v/>
      </c>
      <c r="BJ149" s="190">
        <f>IF(OR((BJ65-BJ93)=0,13&lt;='01_Вводные'!$B$297),0,(BJ65-BJ93)*IF('01_Вводные'!$B$239="Да",MeanMinAge13+BJ205*SUMIF(ThresholdAge13,"&lt;"&amp;BJ205,WeightedRevAge13)-SUMIF(ThresholdAge13,"&lt;"&amp;BJ205,WeightedMinAge13),MAX(CapacityAge13*'01_Вводные'!$B$218*BJ205,MeanMinAge13)))</f>
        <v/>
      </c>
      <c r="BK149" s="190">
        <f>IF(OR((BK65-BK93)=0,13&lt;='01_Вводные'!$B$297),0,(BK65-BK93)*IF('01_Вводные'!$B$239="Да",MeanMinAge13+BK205*SUMIF(ThresholdAge13,"&lt;"&amp;BK205,WeightedRevAge13)-SUMIF(ThresholdAge13,"&lt;"&amp;BK205,WeightedMinAge13),MAX(CapacityAge13*'01_Вводные'!$B$218*BK205,MeanMinAge13)))</f>
        <v/>
      </c>
      <c r="BL149" s="190">
        <f>IF(OR((BL65-BL93)=0,13&lt;='01_Вводные'!$B$297),0,(BL65-BL93)*IF('01_Вводные'!$B$239="Да",MeanMinAge13+BL205*SUMIF(ThresholdAge13,"&lt;"&amp;BL205,WeightedRevAge13)-SUMIF(ThresholdAge13,"&lt;"&amp;BL205,WeightedMinAge13),MAX(CapacityAge13*'01_Вводные'!$B$218*BL205,MeanMinAge13)))</f>
        <v/>
      </c>
      <c r="BM149" s="190">
        <f>IF(OR((BM65-BM93)=0,13&lt;='01_Вводные'!$B$297),0,(BM65-BM93)*IF('01_Вводные'!$B$239="Да",MeanMinAge13+BM205*SUMIF(ThresholdAge13,"&lt;"&amp;BM205,WeightedRevAge13)-SUMIF(ThresholdAge13,"&lt;"&amp;BM205,WeightedMinAge13),MAX(CapacityAge13*'01_Вводные'!$B$218*BM205,MeanMinAge13)))</f>
        <v/>
      </c>
      <c r="BN149" s="190">
        <f>IF(OR((BN65-BN93)=0,13&lt;='01_Вводные'!$B$297),0,(BN65-BN93)*IF('01_Вводные'!$B$239="Да",MeanMinAge13+BN205*SUMIF(ThresholdAge13,"&lt;"&amp;BN205,WeightedRevAge13)-SUMIF(ThresholdAge13,"&lt;"&amp;BN205,WeightedMinAge13),MAX(CapacityAge13*'01_Вводные'!$B$218*BN205,MeanMinAge13)))</f>
        <v/>
      </c>
      <c r="BO149" s="190">
        <f>IF(OR((BO65-BO93)=0,13&lt;='01_Вводные'!$B$297),0,(BO65-BO93)*IF('01_Вводные'!$B$239="Да",MeanMinAge13+BO205*SUMIF(ThresholdAge13,"&lt;"&amp;BO205,WeightedRevAge13)-SUMIF(ThresholdAge13,"&lt;"&amp;BO205,WeightedMinAge13),MAX(CapacityAge13*'01_Вводные'!$B$218*BO205,MeanMinAge13)))</f>
        <v/>
      </c>
    </row>
    <row r="150" hidden="1" outlineLevel="1">
      <c r="A150" t="inlineStr">
        <is>
          <t>14 мес.</t>
        </is>
      </c>
      <c r="B150" s="190">
        <f>IF(OR((B66-B94)=0,14&lt;='01_Вводные'!$B$297),0,(B66-B94)*IF('01_Вводные'!$B$239="Да",MeanMinAge14+B205*SUMIF(ThresholdAge14,"&lt;"&amp;B205,WeightedRevAge14)-SUMIF(ThresholdAge14,"&lt;"&amp;B205,WeightedMinAge14),MAX(CapacityAge14*'01_Вводные'!$B$218*B205,MeanMinAge14)))</f>
        <v/>
      </c>
      <c r="C150" s="190">
        <f>IF(OR((C66-C94)=0,14&lt;='01_Вводные'!$B$297),0,(C66-C94)*IF('01_Вводные'!$B$239="Да",MeanMinAge14+C205*SUMIF(ThresholdAge14,"&lt;"&amp;C205,WeightedRevAge14)-SUMIF(ThresholdAge14,"&lt;"&amp;C205,WeightedMinAge14),MAX(CapacityAge14*'01_Вводные'!$B$218*C205,MeanMinAge14)))</f>
        <v/>
      </c>
      <c r="D150" s="190">
        <f>IF(OR((D66-D94)=0,14&lt;='01_Вводные'!$B$297),0,(D66-D94)*IF('01_Вводные'!$B$239="Да",MeanMinAge14+D205*SUMIF(ThresholdAge14,"&lt;"&amp;D205,WeightedRevAge14)-SUMIF(ThresholdAge14,"&lt;"&amp;D205,WeightedMinAge14),MAX(CapacityAge14*'01_Вводные'!$B$218*D205,MeanMinAge14)))</f>
        <v/>
      </c>
      <c r="E150" s="190">
        <f>IF(OR((E66-E94)=0,14&lt;='01_Вводные'!$B$297),0,(E66-E94)*IF('01_Вводные'!$B$239="Да",MeanMinAge14+E205*SUMIF(ThresholdAge14,"&lt;"&amp;E205,WeightedRevAge14)-SUMIF(ThresholdAge14,"&lt;"&amp;E205,WeightedMinAge14),MAX(CapacityAge14*'01_Вводные'!$B$218*E205,MeanMinAge14)))</f>
        <v/>
      </c>
      <c r="F150" s="190">
        <f>IF(OR((F66-F94)=0,14&lt;='01_Вводные'!$B$297),0,(F66-F94)*IF('01_Вводные'!$B$239="Да",MeanMinAge14+F205*SUMIF(ThresholdAge14,"&lt;"&amp;F205,WeightedRevAge14)-SUMIF(ThresholdAge14,"&lt;"&amp;F205,WeightedMinAge14),MAX(CapacityAge14*'01_Вводные'!$B$218*F205,MeanMinAge14)))</f>
        <v/>
      </c>
      <c r="G150" s="190">
        <f>IF(OR((G66-G94)=0,14&lt;='01_Вводные'!$B$297),0,(G66-G94)*IF('01_Вводные'!$B$239="Да",MeanMinAge14+G205*SUMIF(ThresholdAge14,"&lt;"&amp;G205,WeightedRevAge14)-SUMIF(ThresholdAge14,"&lt;"&amp;G205,WeightedMinAge14),MAX(CapacityAge14*'01_Вводные'!$B$218*G205,MeanMinAge14)))</f>
        <v/>
      </c>
      <c r="H150" s="190">
        <f>IF(OR((H66-H94)=0,14&lt;='01_Вводные'!$B$297),0,(H66-H94)*IF('01_Вводные'!$B$239="Да",MeanMinAge14+H205*SUMIF(ThresholdAge14,"&lt;"&amp;H205,WeightedRevAge14)-SUMIF(ThresholdAge14,"&lt;"&amp;H205,WeightedMinAge14),MAX(CapacityAge14*'01_Вводные'!$B$218*H205,MeanMinAge14)))</f>
        <v/>
      </c>
      <c r="I150" s="190">
        <f>IF(OR((I66-I94)=0,14&lt;='01_Вводные'!$B$297),0,(I66-I94)*IF('01_Вводные'!$B$239="Да",MeanMinAge14+I205*SUMIF(ThresholdAge14,"&lt;"&amp;I205,WeightedRevAge14)-SUMIF(ThresholdAge14,"&lt;"&amp;I205,WeightedMinAge14),MAX(CapacityAge14*'01_Вводные'!$B$218*I205,MeanMinAge14)))</f>
        <v/>
      </c>
      <c r="J150" s="190">
        <f>IF(OR((J66-J94)=0,14&lt;='01_Вводные'!$B$297),0,(J66-J94)*IF('01_Вводные'!$B$239="Да",MeanMinAge14+J205*SUMIF(ThresholdAge14,"&lt;"&amp;J205,WeightedRevAge14)-SUMIF(ThresholdAge14,"&lt;"&amp;J205,WeightedMinAge14),MAX(CapacityAge14*'01_Вводные'!$B$218*J205,MeanMinAge14)))</f>
        <v/>
      </c>
      <c r="K150" s="190">
        <f>IF(OR((K66-K94)=0,14&lt;='01_Вводные'!$B$297),0,(K66-K94)*IF('01_Вводные'!$B$239="Да",MeanMinAge14+K205*SUMIF(ThresholdAge14,"&lt;"&amp;K205,WeightedRevAge14)-SUMIF(ThresholdAge14,"&lt;"&amp;K205,WeightedMinAge14),MAX(CapacityAge14*'01_Вводные'!$B$218*K205,MeanMinAge14)))</f>
        <v/>
      </c>
      <c r="L150" s="190">
        <f>IF(OR((L66-L94)=0,14&lt;='01_Вводные'!$B$297),0,(L66-L94)*IF('01_Вводные'!$B$239="Да",MeanMinAge14+L205*SUMIF(ThresholdAge14,"&lt;"&amp;L205,WeightedRevAge14)-SUMIF(ThresholdAge14,"&lt;"&amp;L205,WeightedMinAge14),MAX(CapacityAge14*'01_Вводные'!$B$218*L205,MeanMinAge14)))</f>
        <v/>
      </c>
      <c r="M150" s="190">
        <f>IF(OR((M66-M94)=0,14&lt;='01_Вводные'!$B$297),0,(M66-M94)*IF('01_Вводные'!$B$239="Да",MeanMinAge14+M205*SUMIF(ThresholdAge14,"&lt;"&amp;M205,WeightedRevAge14)-SUMIF(ThresholdAge14,"&lt;"&amp;M205,WeightedMinAge14),MAX(CapacityAge14*'01_Вводные'!$B$218*M205,MeanMinAge14)))</f>
        <v/>
      </c>
      <c r="N150" s="190">
        <f>IF(OR((N66-N94)=0,14&lt;='01_Вводные'!$B$297),0,(N66-N94)*IF('01_Вводные'!$B$239="Да",MeanMinAge14+N205*SUMIF(ThresholdAge14,"&lt;"&amp;N205,WeightedRevAge14)-SUMIF(ThresholdAge14,"&lt;"&amp;N205,WeightedMinAge14),MAX(CapacityAge14*'01_Вводные'!$B$218*N205,MeanMinAge14)))</f>
        <v/>
      </c>
      <c r="O150" s="190">
        <f>IF(OR((O66-O94)=0,14&lt;='01_Вводные'!$B$297),0,(O66-O94)*IF('01_Вводные'!$B$239="Да",MeanMinAge14+O205*SUMIF(ThresholdAge14,"&lt;"&amp;O205,WeightedRevAge14)-SUMIF(ThresholdAge14,"&lt;"&amp;O205,WeightedMinAge14),MAX(CapacityAge14*'01_Вводные'!$B$218*O205,MeanMinAge14)))</f>
        <v/>
      </c>
      <c r="P150" s="190">
        <f>IF(OR((P66-P94)=0,14&lt;='01_Вводные'!$B$297),0,(P66-P94)*IF('01_Вводные'!$B$239="Да",MeanMinAge14+P205*SUMIF(ThresholdAge14,"&lt;"&amp;P205,WeightedRevAge14)-SUMIF(ThresholdAge14,"&lt;"&amp;P205,WeightedMinAge14),MAX(CapacityAge14*'01_Вводные'!$B$218*P205,MeanMinAge14)))</f>
        <v/>
      </c>
      <c r="Q150" s="190">
        <f>IF(OR((Q66-Q94)=0,14&lt;='01_Вводные'!$B$297),0,(Q66-Q94)*IF('01_Вводные'!$B$239="Да",MeanMinAge14+Q205*SUMIF(ThresholdAge14,"&lt;"&amp;Q205,WeightedRevAge14)-SUMIF(ThresholdAge14,"&lt;"&amp;Q205,WeightedMinAge14),MAX(CapacityAge14*'01_Вводные'!$B$218*Q205,MeanMinAge14)))</f>
        <v/>
      </c>
      <c r="R150" s="190">
        <f>IF(OR((R66-R94)=0,14&lt;='01_Вводные'!$B$297),0,(R66-R94)*IF('01_Вводные'!$B$239="Да",MeanMinAge14+R205*SUMIF(ThresholdAge14,"&lt;"&amp;R205,WeightedRevAge14)-SUMIF(ThresholdAge14,"&lt;"&amp;R205,WeightedMinAge14),MAX(CapacityAge14*'01_Вводные'!$B$218*R205,MeanMinAge14)))</f>
        <v/>
      </c>
      <c r="S150" s="190">
        <f>IF(OR((S66-S94)=0,14&lt;='01_Вводные'!$B$297),0,(S66-S94)*IF('01_Вводные'!$B$239="Да",MeanMinAge14+S205*SUMIF(ThresholdAge14,"&lt;"&amp;S205,WeightedRevAge14)-SUMIF(ThresholdAge14,"&lt;"&amp;S205,WeightedMinAge14),MAX(CapacityAge14*'01_Вводные'!$B$218*S205,MeanMinAge14)))</f>
        <v/>
      </c>
      <c r="T150" s="190">
        <f>IF(OR((T66-T94)=0,14&lt;='01_Вводные'!$B$297),0,(T66-T94)*IF('01_Вводные'!$B$239="Да",MeanMinAge14+T205*SUMIF(ThresholdAge14,"&lt;"&amp;T205,WeightedRevAge14)-SUMIF(ThresholdAge14,"&lt;"&amp;T205,WeightedMinAge14),MAX(CapacityAge14*'01_Вводные'!$B$218*T205,MeanMinAge14)))</f>
        <v/>
      </c>
      <c r="U150" s="190">
        <f>IF(OR((U66-U94)=0,14&lt;='01_Вводные'!$B$297),0,(U66-U94)*IF('01_Вводные'!$B$239="Да",MeanMinAge14+U205*SUMIF(ThresholdAge14,"&lt;"&amp;U205,WeightedRevAge14)-SUMIF(ThresholdAge14,"&lt;"&amp;U205,WeightedMinAge14),MAX(CapacityAge14*'01_Вводные'!$B$218*U205,MeanMinAge14)))</f>
        <v/>
      </c>
      <c r="V150" s="190">
        <f>IF(OR((V66-V94)=0,14&lt;='01_Вводные'!$B$297),0,(V66-V94)*IF('01_Вводные'!$B$239="Да",MeanMinAge14+V205*SUMIF(ThresholdAge14,"&lt;"&amp;V205,WeightedRevAge14)-SUMIF(ThresholdAge14,"&lt;"&amp;V205,WeightedMinAge14),MAX(CapacityAge14*'01_Вводные'!$B$218*V205,MeanMinAge14)))</f>
        <v/>
      </c>
      <c r="W150" s="190">
        <f>IF(OR((W66-W94)=0,14&lt;='01_Вводные'!$B$297),0,(W66-W94)*IF('01_Вводные'!$B$239="Да",MeanMinAge14+W205*SUMIF(ThresholdAge14,"&lt;"&amp;W205,WeightedRevAge14)-SUMIF(ThresholdAge14,"&lt;"&amp;W205,WeightedMinAge14),MAX(CapacityAge14*'01_Вводные'!$B$218*W205,MeanMinAge14)))</f>
        <v/>
      </c>
      <c r="X150" s="190">
        <f>IF(OR((X66-X94)=0,14&lt;='01_Вводные'!$B$297),0,(X66-X94)*IF('01_Вводные'!$B$239="Да",MeanMinAge14+X205*SUMIF(ThresholdAge14,"&lt;"&amp;X205,WeightedRevAge14)-SUMIF(ThresholdAge14,"&lt;"&amp;X205,WeightedMinAge14),MAX(CapacityAge14*'01_Вводные'!$B$218*X205,MeanMinAge14)))</f>
        <v/>
      </c>
      <c r="Y150" s="190">
        <f>IF(OR((Y66-Y94)=0,14&lt;='01_Вводные'!$B$297),0,(Y66-Y94)*IF('01_Вводные'!$B$239="Да",MeanMinAge14+Y205*SUMIF(ThresholdAge14,"&lt;"&amp;Y205,WeightedRevAge14)-SUMIF(ThresholdAge14,"&lt;"&amp;Y205,WeightedMinAge14),MAX(CapacityAge14*'01_Вводные'!$B$218*Y205,MeanMinAge14)))</f>
        <v/>
      </c>
      <c r="Z150" s="190">
        <f>IF(OR((Z66-Z94)=0,14&lt;='01_Вводные'!$B$297),0,(Z66-Z94)*IF('01_Вводные'!$B$239="Да",MeanMinAge14+Z205*SUMIF(ThresholdAge14,"&lt;"&amp;Z205,WeightedRevAge14)-SUMIF(ThresholdAge14,"&lt;"&amp;Z205,WeightedMinAge14),MAX(CapacityAge14*'01_Вводные'!$B$218*Z205,MeanMinAge14)))</f>
        <v/>
      </c>
      <c r="AA150" s="190">
        <f>IF(OR((AA66-AA94)=0,14&lt;='01_Вводные'!$B$297),0,(AA66-AA94)*IF('01_Вводные'!$B$239="Да",MeanMinAge14+AA205*SUMIF(ThresholdAge14,"&lt;"&amp;AA205,WeightedRevAge14)-SUMIF(ThresholdAge14,"&lt;"&amp;AA205,WeightedMinAge14),MAX(CapacityAge14*'01_Вводные'!$B$218*AA205,MeanMinAge14)))</f>
        <v/>
      </c>
      <c r="AB150" s="190">
        <f>IF(OR((AB66-AB94)=0,14&lt;='01_Вводные'!$B$297),0,(AB66-AB94)*IF('01_Вводные'!$B$239="Да",MeanMinAge14+AB205*SUMIF(ThresholdAge14,"&lt;"&amp;AB205,WeightedRevAge14)-SUMIF(ThresholdAge14,"&lt;"&amp;AB205,WeightedMinAge14),MAX(CapacityAge14*'01_Вводные'!$B$218*AB205,MeanMinAge14)))</f>
        <v/>
      </c>
      <c r="AC150" s="190">
        <f>IF(OR((AC66-AC94)=0,14&lt;='01_Вводные'!$B$297),0,(AC66-AC94)*IF('01_Вводные'!$B$239="Да",MeanMinAge14+AC205*SUMIF(ThresholdAge14,"&lt;"&amp;AC205,WeightedRevAge14)-SUMIF(ThresholdAge14,"&lt;"&amp;AC205,WeightedMinAge14),MAX(CapacityAge14*'01_Вводные'!$B$218*AC205,MeanMinAge14)))</f>
        <v/>
      </c>
      <c r="AD150" s="190">
        <f>IF(OR((AD66-AD94)=0,14&lt;='01_Вводные'!$B$297),0,(AD66-AD94)*IF('01_Вводные'!$B$239="Да",MeanMinAge14+AD205*SUMIF(ThresholdAge14,"&lt;"&amp;AD205,WeightedRevAge14)-SUMIF(ThresholdAge14,"&lt;"&amp;AD205,WeightedMinAge14),MAX(CapacityAge14*'01_Вводные'!$B$218*AD205,MeanMinAge14)))</f>
        <v/>
      </c>
      <c r="AE150" s="190">
        <f>IF(OR((AE66-AE94)=0,14&lt;='01_Вводные'!$B$297),0,(AE66-AE94)*IF('01_Вводные'!$B$239="Да",MeanMinAge14+AE205*SUMIF(ThresholdAge14,"&lt;"&amp;AE205,WeightedRevAge14)-SUMIF(ThresholdAge14,"&lt;"&amp;AE205,WeightedMinAge14),MAX(CapacityAge14*'01_Вводные'!$B$218*AE205,MeanMinAge14)))</f>
        <v/>
      </c>
      <c r="AF150" s="190">
        <f>IF(OR((AF66-AF94)=0,14&lt;='01_Вводные'!$B$297),0,(AF66-AF94)*IF('01_Вводные'!$B$239="Да",MeanMinAge14+AF205*SUMIF(ThresholdAge14,"&lt;"&amp;AF205,WeightedRevAge14)-SUMIF(ThresholdAge14,"&lt;"&amp;AF205,WeightedMinAge14),MAX(CapacityAge14*'01_Вводные'!$B$218*AF205,MeanMinAge14)))</f>
        <v/>
      </c>
      <c r="AG150" s="190">
        <f>IF(OR((AG66-AG94)=0,14&lt;='01_Вводные'!$B$297),0,(AG66-AG94)*IF('01_Вводные'!$B$239="Да",MeanMinAge14+AG205*SUMIF(ThresholdAge14,"&lt;"&amp;AG205,WeightedRevAge14)-SUMIF(ThresholdAge14,"&lt;"&amp;AG205,WeightedMinAge14),MAX(CapacityAge14*'01_Вводные'!$B$218*AG205,MeanMinAge14)))</f>
        <v/>
      </c>
      <c r="AH150" s="190">
        <f>IF(OR((AH66-AH94)=0,14&lt;='01_Вводные'!$B$297),0,(AH66-AH94)*IF('01_Вводные'!$B$239="Да",MeanMinAge14+AH205*SUMIF(ThresholdAge14,"&lt;"&amp;AH205,WeightedRevAge14)-SUMIF(ThresholdAge14,"&lt;"&amp;AH205,WeightedMinAge14),MAX(CapacityAge14*'01_Вводные'!$B$218*AH205,MeanMinAge14)))</f>
        <v/>
      </c>
      <c r="AI150" s="190">
        <f>IF(OR((AI66-AI94)=0,14&lt;='01_Вводные'!$B$297),0,(AI66-AI94)*IF('01_Вводные'!$B$239="Да",MeanMinAge14+AI205*SUMIF(ThresholdAge14,"&lt;"&amp;AI205,WeightedRevAge14)-SUMIF(ThresholdAge14,"&lt;"&amp;AI205,WeightedMinAge14),MAX(CapacityAge14*'01_Вводные'!$B$218*AI205,MeanMinAge14)))</f>
        <v/>
      </c>
      <c r="AJ150" s="190">
        <f>IF(OR((AJ66-AJ94)=0,14&lt;='01_Вводные'!$B$297),0,(AJ66-AJ94)*IF('01_Вводные'!$B$239="Да",MeanMinAge14+AJ205*SUMIF(ThresholdAge14,"&lt;"&amp;AJ205,WeightedRevAge14)-SUMIF(ThresholdAge14,"&lt;"&amp;AJ205,WeightedMinAge14),MAX(CapacityAge14*'01_Вводные'!$B$218*AJ205,MeanMinAge14)))</f>
        <v/>
      </c>
      <c r="AK150" s="190">
        <f>IF(OR((AK66-AK94)=0,14&lt;='01_Вводные'!$B$297),0,(AK66-AK94)*IF('01_Вводные'!$B$239="Да",MeanMinAge14+AK205*SUMIF(ThresholdAge14,"&lt;"&amp;AK205,WeightedRevAge14)-SUMIF(ThresholdAge14,"&lt;"&amp;AK205,WeightedMinAge14),MAX(CapacityAge14*'01_Вводные'!$B$218*AK205,MeanMinAge14)))</f>
        <v/>
      </c>
      <c r="AL150" s="190">
        <f>IF(OR((AL66-AL94)=0,14&lt;='01_Вводные'!$B$297),0,(AL66-AL94)*IF('01_Вводные'!$B$239="Да",MeanMinAge14+AL205*SUMIF(ThresholdAge14,"&lt;"&amp;AL205,WeightedRevAge14)-SUMIF(ThresholdAge14,"&lt;"&amp;AL205,WeightedMinAge14),MAX(CapacityAge14*'01_Вводные'!$B$218*AL205,MeanMinAge14)))</f>
        <v/>
      </c>
      <c r="AM150" s="190">
        <f>IF(OR((AM66-AM94)=0,14&lt;='01_Вводные'!$B$297),0,(AM66-AM94)*IF('01_Вводные'!$B$239="Да",MeanMinAge14+AM205*SUMIF(ThresholdAge14,"&lt;"&amp;AM205,WeightedRevAge14)-SUMIF(ThresholdAge14,"&lt;"&amp;AM205,WeightedMinAge14),MAX(CapacityAge14*'01_Вводные'!$B$218*AM205,MeanMinAge14)))</f>
        <v/>
      </c>
      <c r="AN150" s="190">
        <f>IF(OR((AN66-AN94)=0,14&lt;='01_Вводные'!$B$297),0,(AN66-AN94)*IF('01_Вводные'!$B$239="Да",MeanMinAge14+AN205*SUMIF(ThresholdAge14,"&lt;"&amp;AN205,WeightedRevAge14)-SUMIF(ThresholdAge14,"&lt;"&amp;AN205,WeightedMinAge14),MAX(CapacityAge14*'01_Вводные'!$B$218*AN205,MeanMinAge14)))</f>
        <v/>
      </c>
      <c r="AO150" s="190">
        <f>IF(OR((AO66-AO94)=0,14&lt;='01_Вводные'!$B$297),0,(AO66-AO94)*IF('01_Вводные'!$B$239="Да",MeanMinAge14+AO205*SUMIF(ThresholdAge14,"&lt;"&amp;AO205,WeightedRevAge14)-SUMIF(ThresholdAge14,"&lt;"&amp;AO205,WeightedMinAge14),MAX(CapacityAge14*'01_Вводные'!$B$218*AO205,MeanMinAge14)))</f>
        <v/>
      </c>
      <c r="AP150" s="190">
        <f>IF(OR((AP66-AP94)=0,14&lt;='01_Вводные'!$B$297),0,(AP66-AP94)*IF('01_Вводные'!$B$239="Да",MeanMinAge14+AP205*SUMIF(ThresholdAge14,"&lt;"&amp;AP205,WeightedRevAge14)-SUMIF(ThresholdAge14,"&lt;"&amp;AP205,WeightedMinAge14),MAX(CapacityAge14*'01_Вводные'!$B$218*AP205,MeanMinAge14)))</f>
        <v/>
      </c>
      <c r="AQ150" s="190">
        <f>IF(OR((AQ66-AQ94)=0,14&lt;='01_Вводные'!$B$297),0,(AQ66-AQ94)*IF('01_Вводные'!$B$239="Да",MeanMinAge14+AQ205*SUMIF(ThresholdAge14,"&lt;"&amp;AQ205,WeightedRevAge14)-SUMIF(ThresholdAge14,"&lt;"&amp;AQ205,WeightedMinAge14),MAX(CapacityAge14*'01_Вводные'!$B$218*AQ205,MeanMinAge14)))</f>
        <v/>
      </c>
      <c r="AR150" s="190">
        <f>IF(OR((AR66-AR94)=0,14&lt;='01_Вводные'!$B$297),0,(AR66-AR94)*IF('01_Вводные'!$B$239="Да",MeanMinAge14+AR205*SUMIF(ThresholdAge14,"&lt;"&amp;AR205,WeightedRevAge14)-SUMIF(ThresholdAge14,"&lt;"&amp;AR205,WeightedMinAge14),MAX(CapacityAge14*'01_Вводные'!$B$218*AR205,MeanMinAge14)))</f>
        <v/>
      </c>
      <c r="AS150" s="190">
        <f>IF(OR((AS66-AS94)=0,14&lt;='01_Вводные'!$B$297),0,(AS66-AS94)*IF('01_Вводные'!$B$239="Да",MeanMinAge14+AS205*SUMIF(ThresholdAge14,"&lt;"&amp;AS205,WeightedRevAge14)-SUMIF(ThresholdAge14,"&lt;"&amp;AS205,WeightedMinAge14),MAX(CapacityAge14*'01_Вводные'!$B$218*AS205,MeanMinAge14)))</f>
        <v/>
      </c>
      <c r="AT150" s="190">
        <f>IF(OR((AT66-AT94)=0,14&lt;='01_Вводные'!$B$297),0,(AT66-AT94)*IF('01_Вводные'!$B$239="Да",MeanMinAge14+AT205*SUMIF(ThresholdAge14,"&lt;"&amp;AT205,WeightedRevAge14)-SUMIF(ThresholdAge14,"&lt;"&amp;AT205,WeightedMinAge14),MAX(CapacityAge14*'01_Вводные'!$B$218*AT205,MeanMinAge14)))</f>
        <v/>
      </c>
      <c r="AU150" s="190">
        <f>IF(OR((AU66-AU94)=0,14&lt;='01_Вводные'!$B$297),0,(AU66-AU94)*IF('01_Вводные'!$B$239="Да",MeanMinAge14+AU205*SUMIF(ThresholdAge14,"&lt;"&amp;AU205,WeightedRevAge14)-SUMIF(ThresholdAge14,"&lt;"&amp;AU205,WeightedMinAge14),MAX(CapacityAge14*'01_Вводные'!$B$218*AU205,MeanMinAge14)))</f>
        <v/>
      </c>
      <c r="AV150" s="190">
        <f>IF(OR((AV66-AV94)=0,14&lt;='01_Вводные'!$B$297),0,(AV66-AV94)*IF('01_Вводные'!$B$239="Да",MeanMinAge14+AV205*SUMIF(ThresholdAge14,"&lt;"&amp;AV205,WeightedRevAge14)-SUMIF(ThresholdAge14,"&lt;"&amp;AV205,WeightedMinAge14),MAX(CapacityAge14*'01_Вводные'!$B$218*AV205,MeanMinAge14)))</f>
        <v/>
      </c>
      <c r="AW150" s="190">
        <f>IF(OR((AW66-AW94)=0,14&lt;='01_Вводные'!$B$297),0,(AW66-AW94)*IF('01_Вводные'!$B$239="Да",MeanMinAge14+AW205*SUMIF(ThresholdAge14,"&lt;"&amp;AW205,WeightedRevAge14)-SUMIF(ThresholdAge14,"&lt;"&amp;AW205,WeightedMinAge14),MAX(CapacityAge14*'01_Вводные'!$B$218*AW205,MeanMinAge14)))</f>
        <v/>
      </c>
      <c r="AX150" s="190">
        <f>IF(OR((AX66-AX94)=0,14&lt;='01_Вводные'!$B$297),0,(AX66-AX94)*IF('01_Вводные'!$B$239="Да",MeanMinAge14+AX205*SUMIF(ThresholdAge14,"&lt;"&amp;AX205,WeightedRevAge14)-SUMIF(ThresholdAge14,"&lt;"&amp;AX205,WeightedMinAge14),MAX(CapacityAge14*'01_Вводные'!$B$218*AX205,MeanMinAge14)))</f>
        <v/>
      </c>
      <c r="AY150" s="190">
        <f>IF(OR((AY66-AY94)=0,14&lt;='01_Вводные'!$B$297),0,(AY66-AY94)*IF('01_Вводные'!$B$239="Да",MeanMinAge14+AY205*SUMIF(ThresholdAge14,"&lt;"&amp;AY205,WeightedRevAge14)-SUMIF(ThresholdAge14,"&lt;"&amp;AY205,WeightedMinAge14),MAX(CapacityAge14*'01_Вводные'!$B$218*AY205,MeanMinAge14)))</f>
        <v/>
      </c>
      <c r="AZ150" s="190">
        <f>IF(OR((AZ66-AZ94)=0,14&lt;='01_Вводные'!$B$297),0,(AZ66-AZ94)*IF('01_Вводные'!$B$239="Да",MeanMinAge14+AZ205*SUMIF(ThresholdAge14,"&lt;"&amp;AZ205,WeightedRevAge14)-SUMIF(ThresholdAge14,"&lt;"&amp;AZ205,WeightedMinAge14),MAX(CapacityAge14*'01_Вводные'!$B$218*AZ205,MeanMinAge14)))</f>
        <v/>
      </c>
      <c r="BA150" s="190">
        <f>IF(OR((BA66-BA94)=0,14&lt;='01_Вводные'!$B$297),0,(BA66-BA94)*IF('01_Вводные'!$B$239="Да",MeanMinAge14+BA205*SUMIF(ThresholdAge14,"&lt;"&amp;BA205,WeightedRevAge14)-SUMIF(ThresholdAge14,"&lt;"&amp;BA205,WeightedMinAge14),MAX(CapacityAge14*'01_Вводные'!$B$218*BA205,MeanMinAge14)))</f>
        <v/>
      </c>
      <c r="BB150" s="190">
        <f>IF(OR((BB66-BB94)=0,14&lt;='01_Вводные'!$B$297),0,(BB66-BB94)*IF('01_Вводные'!$B$239="Да",MeanMinAge14+BB205*SUMIF(ThresholdAge14,"&lt;"&amp;BB205,WeightedRevAge14)-SUMIF(ThresholdAge14,"&lt;"&amp;BB205,WeightedMinAge14),MAX(CapacityAge14*'01_Вводные'!$B$218*BB205,MeanMinAge14)))</f>
        <v/>
      </c>
      <c r="BC150" s="190">
        <f>IF(OR((BC66-BC94)=0,14&lt;='01_Вводные'!$B$297),0,(BC66-BC94)*IF('01_Вводные'!$B$239="Да",MeanMinAge14+BC205*SUMIF(ThresholdAge14,"&lt;"&amp;BC205,WeightedRevAge14)-SUMIF(ThresholdAge14,"&lt;"&amp;BC205,WeightedMinAge14),MAX(CapacityAge14*'01_Вводные'!$B$218*BC205,MeanMinAge14)))</f>
        <v/>
      </c>
      <c r="BD150" s="190">
        <f>IF(OR((BD66-BD94)=0,14&lt;='01_Вводные'!$B$297),0,(BD66-BD94)*IF('01_Вводные'!$B$239="Да",MeanMinAge14+BD205*SUMIF(ThresholdAge14,"&lt;"&amp;BD205,WeightedRevAge14)-SUMIF(ThresholdAge14,"&lt;"&amp;BD205,WeightedMinAge14),MAX(CapacityAge14*'01_Вводные'!$B$218*BD205,MeanMinAge14)))</f>
        <v/>
      </c>
      <c r="BE150" s="190">
        <f>IF(OR((BE66-BE94)=0,14&lt;='01_Вводные'!$B$297),0,(BE66-BE94)*IF('01_Вводные'!$B$239="Да",MeanMinAge14+BE205*SUMIF(ThresholdAge14,"&lt;"&amp;BE205,WeightedRevAge14)-SUMIF(ThresholdAge14,"&lt;"&amp;BE205,WeightedMinAge14),MAX(CapacityAge14*'01_Вводные'!$B$218*BE205,MeanMinAge14)))</f>
        <v/>
      </c>
      <c r="BF150" s="190">
        <f>IF(OR((BF66-BF94)=0,14&lt;='01_Вводные'!$B$297),0,(BF66-BF94)*IF('01_Вводные'!$B$239="Да",MeanMinAge14+BF205*SUMIF(ThresholdAge14,"&lt;"&amp;BF205,WeightedRevAge14)-SUMIF(ThresholdAge14,"&lt;"&amp;BF205,WeightedMinAge14),MAX(CapacityAge14*'01_Вводные'!$B$218*BF205,MeanMinAge14)))</f>
        <v/>
      </c>
      <c r="BG150" s="190">
        <f>IF(OR((BG66-BG94)=0,14&lt;='01_Вводные'!$B$297),0,(BG66-BG94)*IF('01_Вводные'!$B$239="Да",MeanMinAge14+BG205*SUMIF(ThresholdAge14,"&lt;"&amp;BG205,WeightedRevAge14)-SUMIF(ThresholdAge14,"&lt;"&amp;BG205,WeightedMinAge14),MAX(CapacityAge14*'01_Вводные'!$B$218*BG205,MeanMinAge14)))</f>
        <v/>
      </c>
      <c r="BH150" s="190">
        <f>IF(OR((BH66-BH94)=0,14&lt;='01_Вводные'!$B$297),0,(BH66-BH94)*IF('01_Вводные'!$B$239="Да",MeanMinAge14+BH205*SUMIF(ThresholdAge14,"&lt;"&amp;BH205,WeightedRevAge14)-SUMIF(ThresholdAge14,"&lt;"&amp;BH205,WeightedMinAge14),MAX(CapacityAge14*'01_Вводные'!$B$218*BH205,MeanMinAge14)))</f>
        <v/>
      </c>
      <c r="BI150" s="190">
        <f>IF(OR((BI66-BI94)=0,14&lt;='01_Вводные'!$B$297),0,(BI66-BI94)*IF('01_Вводные'!$B$239="Да",MeanMinAge14+BI205*SUMIF(ThresholdAge14,"&lt;"&amp;BI205,WeightedRevAge14)-SUMIF(ThresholdAge14,"&lt;"&amp;BI205,WeightedMinAge14),MAX(CapacityAge14*'01_Вводные'!$B$218*BI205,MeanMinAge14)))</f>
        <v/>
      </c>
      <c r="BJ150" s="190">
        <f>IF(OR((BJ66-BJ94)=0,14&lt;='01_Вводные'!$B$297),0,(BJ66-BJ94)*IF('01_Вводные'!$B$239="Да",MeanMinAge14+BJ205*SUMIF(ThresholdAge14,"&lt;"&amp;BJ205,WeightedRevAge14)-SUMIF(ThresholdAge14,"&lt;"&amp;BJ205,WeightedMinAge14),MAX(CapacityAge14*'01_Вводные'!$B$218*BJ205,MeanMinAge14)))</f>
        <v/>
      </c>
      <c r="BK150" s="190">
        <f>IF(OR((BK66-BK94)=0,14&lt;='01_Вводные'!$B$297),0,(BK66-BK94)*IF('01_Вводные'!$B$239="Да",MeanMinAge14+BK205*SUMIF(ThresholdAge14,"&lt;"&amp;BK205,WeightedRevAge14)-SUMIF(ThresholdAge14,"&lt;"&amp;BK205,WeightedMinAge14),MAX(CapacityAge14*'01_Вводные'!$B$218*BK205,MeanMinAge14)))</f>
        <v/>
      </c>
      <c r="BL150" s="190">
        <f>IF(OR((BL66-BL94)=0,14&lt;='01_Вводные'!$B$297),0,(BL66-BL94)*IF('01_Вводные'!$B$239="Да",MeanMinAge14+BL205*SUMIF(ThresholdAge14,"&lt;"&amp;BL205,WeightedRevAge14)-SUMIF(ThresholdAge14,"&lt;"&amp;BL205,WeightedMinAge14),MAX(CapacityAge14*'01_Вводные'!$B$218*BL205,MeanMinAge14)))</f>
        <v/>
      </c>
      <c r="BM150" s="190">
        <f>IF(OR((BM66-BM94)=0,14&lt;='01_Вводные'!$B$297),0,(BM66-BM94)*IF('01_Вводные'!$B$239="Да",MeanMinAge14+BM205*SUMIF(ThresholdAge14,"&lt;"&amp;BM205,WeightedRevAge14)-SUMIF(ThresholdAge14,"&lt;"&amp;BM205,WeightedMinAge14),MAX(CapacityAge14*'01_Вводные'!$B$218*BM205,MeanMinAge14)))</f>
        <v/>
      </c>
      <c r="BN150" s="190">
        <f>IF(OR((BN66-BN94)=0,14&lt;='01_Вводные'!$B$297),0,(BN66-BN94)*IF('01_Вводные'!$B$239="Да",MeanMinAge14+BN205*SUMIF(ThresholdAge14,"&lt;"&amp;BN205,WeightedRevAge14)-SUMIF(ThresholdAge14,"&lt;"&amp;BN205,WeightedMinAge14),MAX(CapacityAge14*'01_Вводные'!$B$218*BN205,MeanMinAge14)))</f>
        <v/>
      </c>
      <c r="BO150" s="190">
        <f>IF(OR((BO66-BO94)=0,14&lt;='01_Вводные'!$B$297),0,(BO66-BO94)*IF('01_Вводные'!$B$239="Да",MeanMinAge14+BO205*SUMIF(ThresholdAge14,"&lt;"&amp;BO205,WeightedRevAge14)-SUMIF(ThresholdAge14,"&lt;"&amp;BO205,WeightedMinAge14),MAX(CapacityAge14*'01_Вводные'!$B$218*BO205,MeanMinAge14)))</f>
        <v/>
      </c>
    </row>
    <row r="151" hidden="1" outlineLevel="1">
      <c r="A151" t="inlineStr">
        <is>
          <t>15 мес.</t>
        </is>
      </c>
      <c r="B151" s="190">
        <f>IF(OR((B67-B95)=0,15&lt;='01_Вводные'!$B$297),0,(B67-B95)*IF('01_Вводные'!$B$239="Да",MeanMinAge15+B205*SUMIF(ThresholdAge15,"&lt;"&amp;B205,WeightedRevAge15)-SUMIF(ThresholdAge15,"&lt;"&amp;B205,WeightedMinAge15),MAX(CapacityAge15*'01_Вводные'!$B$218*B205,MeanMinAge15)))</f>
        <v/>
      </c>
      <c r="C151" s="190">
        <f>IF(OR((C67-C95)=0,15&lt;='01_Вводные'!$B$297),0,(C67-C95)*IF('01_Вводные'!$B$239="Да",MeanMinAge15+C205*SUMIF(ThresholdAge15,"&lt;"&amp;C205,WeightedRevAge15)-SUMIF(ThresholdAge15,"&lt;"&amp;C205,WeightedMinAge15),MAX(CapacityAge15*'01_Вводные'!$B$218*C205,MeanMinAge15)))</f>
        <v/>
      </c>
      <c r="D151" s="190">
        <f>IF(OR((D67-D95)=0,15&lt;='01_Вводные'!$B$297),0,(D67-D95)*IF('01_Вводные'!$B$239="Да",MeanMinAge15+D205*SUMIF(ThresholdAge15,"&lt;"&amp;D205,WeightedRevAge15)-SUMIF(ThresholdAge15,"&lt;"&amp;D205,WeightedMinAge15),MAX(CapacityAge15*'01_Вводные'!$B$218*D205,MeanMinAge15)))</f>
        <v/>
      </c>
      <c r="E151" s="190">
        <f>IF(OR((E67-E95)=0,15&lt;='01_Вводные'!$B$297),0,(E67-E95)*IF('01_Вводные'!$B$239="Да",MeanMinAge15+E205*SUMIF(ThresholdAge15,"&lt;"&amp;E205,WeightedRevAge15)-SUMIF(ThresholdAge15,"&lt;"&amp;E205,WeightedMinAge15),MAX(CapacityAge15*'01_Вводные'!$B$218*E205,MeanMinAge15)))</f>
        <v/>
      </c>
      <c r="F151" s="190">
        <f>IF(OR((F67-F95)=0,15&lt;='01_Вводные'!$B$297),0,(F67-F95)*IF('01_Вводные'!$B$239="Да",MeanMinAge15+F205*SUMIF(ThresholdAge15,"&lt;"&amp;F205,WeightedRevAge15)-SUMIF(ThresholdAge15,"&lt;"&amp;F205,WeightedMinAge15),MAX(CapacityAge15*'01_Вводные'!$B$218*F205,MeanMinAge15)))</f>
        <v/>
      </c>
      <c r="G151" s="190">
        <f>IF(OR((G67-G95)=0,15&lt;='01_Вводные'!$B$297),0,(G67-G95)*IF('01_Вводные'!$B$239="Да",MeanMinAge15+G205*SUMIF(ThresholdAge15,"&lt;"&amp;G205,WeightedRevAge15)-SUMIF(ThresholdAge15,"&lt;"&amp;G205,WeightedMinAge15),MAX(CapacityAge15*'01_Вводные'!$B$218*G205,MeanMinAge15)))</f>
        <v/>
      </c>
      <c r="H151" s="190">
        <f>IF(OR((H67-H95)=0,15&lt;='01_Вводные'!$B$297),0,(H67-H95)*IF('01_Вводные'!$B$239="Да",MeanMinAge15+H205*SUMIF(ThresholdAge15,"&lt;"&amp;H205,WeightedRevAge15)-SUMIF(ThresholdAge15,"&lt;"&amp;H205,WeightedMinAge15),MAX(CapacityAge15*'01_Вводные'!$B$218*H205,MeanMinAge15)))</f>
        <v/>
      </c>
      <c r="I151" s="190">
        <f>IF(OR((I67-I95)=0,15&lt;='01_Вводные'!$B$297),0,(I67-I95)*IF('01_Вводные'!$B$239="Да",MeanMinAge15+I205*SUMIF(ThresholdAge15,"&lt;"&amp;I205,WeightedRevAge15)-SUMIF(ThresholdAge15,"&lt;"&amp;I205,WeightedMinAge15),MAX(CapacityAge15*'01_Вводные'!$B$218*I205,MeanMinAge15)))</f>
        <v/>
      </c>
      <c r="J151" s="190">
        <f>IF(OR((J67-J95)=0,15&lt;='01_Вводные'!$B$297),0,(J67-J95)*IF('01_Вводные'!$B$239="Да",MeanMinAge15+J205*SUMIF(ThresholdAge15,"&lt;"&amp;J205,WeightedRevAge15)-SUMIF(ThresholdAge15,"&lt;"&amp;J205,WeightedMinAge15),MAX(CapacityAge15*'01_Вводные'!$B$218*J205,MeanMinAge15)))</f>
        <v/>
      </c>
      <c r="K151" s="190">
        <f>IF(OR((K67-K95)=0,15&lt;='01_Вводные'!$B$297),0,(K67-K95)*IF('01_Вводные'!$B$239="Да",MeanMinAge15+K205*SUMIF(ThresholdAge15,"&lt;"&amp;K205,WeightedRevAge15)-SUMIF(ThresholdAge15,"&lt;"&amp;K205,WeightedMinAge15),MAX(CapacityAge15*'01_Вводные'!$B$218*K205,MeanMinAge15)))</f>
        <v/>
      </c>
      <c r="L151" s="190">
        <f>IF(OR((L67-L95)=0,15&lt;='01_Вводные'!$B$297),0,(L67-L95)*IF('01_Вводные'!$B$239="Да",MeanMinAge15+L205*SUMIF(ThresholdAge15,"&lt;"&amp;L205,WeightedRevAge15)-SUMIF(ThresholdAge15,"&lt;"&amp;L205,WeightedMinAge15),MAX(CapacityAge15*'01_Вводные'!$B$218*L205,MeanMinAge15)))</f>
        <v/>
      </c>
      <c r="M151" s="190">
        <f>IF(OR((M67-M95)=0,15&lt;='01_Вводные'!$B$297),0,(M67-M95)*IF('01_Вводные'!$B$239="Да",MeanMinAge15+M205*SUMIF(ThresholdAge15,"&lt;"&amp;M205,WeightedRevAge15)-SUMIF(ThresholdAge15,"&lt;"&amp;M205,WeightedMinAge15),MAX(CapacityAge15*'01_Вводные'!$B$218*M205,MeanMinAge15)))</f>
        <v/>
      </c>
      <c r="N151" s="190">
        <f>IF(OR((N67-N95)=0,15&lt;='01_Вводные'!$B$297),0,(N67-N95)*IF('01_Вводные'!$B$239="Да",MeanMinAge15+N205*SUMIF(ThresholdAge15,"&lt;"&amp;N205,WeightedRevAge15)-SUMIF(ThresholdAge15,"&lt;"&amp;N205,WeightedMinAge15),MAX(CapacityAge15*'01_Вводные'!$B$218*N205,MeanMinAge15)))</f>
        <v/>
      </c>
      <c r="O151" s="190">
        <f>IF(OR((O67-O95)=0,15&lt;='01_Вводные'!$B$297),0,(O67-O95)*IF('01_Вводные'!$B$239="Да",MeanMinAge15+O205*SUMIF(ThresholdAge15,"&lt;"&amp;O205,WeightedRevAge15)-SUMIF(ThresholdAge15,"&lt;"&amp;O205,WeightedMinAge15),MAX(CapacityAge15*'01_Вводные'!$B$218*O205,MeanMinAge15)))</f>
        <v/>
      </c>
      <c r="P151" s="190">
        <f>IF(OR((P67-P95)=0,15&lt;='01_Вводные'!$B$297),0,(P67-P95)*IF('01_Вводные'!$B$239="Да",MeanMinAge15+P205*SUMIF(ThresholdAge15,"&lt;"&amp;P205,WeightedRevAge15)-SUMIF(ThresholdAge15,"&lt;"&amp;P205,WeightedMinAge15),MAX(CapacityAge15*'01_Вводные'!$B$218*P205,MeanMinAge15)))</f>
        <v/>
      </c>
      <c r="Q151" s="190">
        <f>IF(OR((Q67-Q95)=0,15&lt;='01_Вводные'!$B$297),0,(Q67-Q95)*IF('01_Вводные'!$B$239="Да",MeanMinAge15+Q205*SUMIF(ThresholdAge15,"&lt;"&amp;Q205,WeightedRevAge15)-SUMIF(ThresholdAge15,"&lt;"&amp;Q205,WeightedMinAge15),MAX(CapacityAge15*'01_Вводные'!$B$218*Q205,MeanMinAge15)))</f>
        <v/>
      </c>
      <c r="R151" s="190">
        <f>IF(OR((R67-R95)=0,15&lt;='01_Вводные'!$B$297),0,(R67-R95)*IF('01_Вводные'!$B$239="Да",MeanMinAge15+R205*SUMIF(ThresholdAge15,"&lt;"&amp;R205,WeightedRevAge15)-SUMIF(ThresholdAge15,"&lt;"&amp;R205,WeightedMinAge15),MAX(CapacityAge15*'01_Вводные'!$B$218*R205,MeanMinAge15)))</f>
        <v/>
      </c>
      <c r="S151" s="190">
        <f>IF(OR((S67-S95)=0,15&lt;='01_Вводные'!$B$297),0,(S67-S95)*IF('01_Вводные'!$B$239="Да",MeanMinAge15+S205*SUMIF(ThresholdAge15,"&lt;"&amp;S205,WeightedRevAge15)-SUMIF(ThresholdAge15,"&lt;"&amp;S205,WeightedMinAge15),MAX(CapacityAge15*'01_Вводные'!$B$218*S205,MeanMinAge15)))</f>
        <v/>
      </c>
      <c r="T151" s="190">
        <f>IF(OR((T67-T95)=0,15&lt;='01_Вводные'!$B$297),0,(T67-T95)*IF('01_Вводные'!$B$239="Да",MeanMinAge15+T205*SUMIF(ThresholdAge15,"&lt;"&amp;T205,WeightedRevAge15)-SUMIF(ThresholdAge15,"&lt;"&amp;T205,WeightedMinAge15),MAX(CapacityAge15*'01_Вводные'!$B$218*T205,MeanMinAge15)))</f>
        <v/>
      </c>
      <c r="U151" s="190">
        <f>IF(OR((U67-U95)=0,15&lt;='01_Вводные'!$B$297),0,(U67-U95)*IF('01_Вводные'!$B$239="Да",MeanMinAge15+U205*SUMIF(ThresholdAge15,"&lt;"&amp;U205,WeightedRevAge15)-SUMIF(ThresholdAge15,"&lt;"&amp;U205,WeightedMinAge15),MAX(CapacityAge15*'01_Вводные'!$B$218*U205,MeanMinAge15)))</f>
        <v/>
      </c>
      <c r="V151" s="190">
        <f>IF(OR((V67-V95)=0,15&lt;='01_Вводные'!$B$297),0,(V67-V95)*IF('01_Вводные'!$B$239="Да",MeanMinAge15+V205*SUMIF(ThresholdAge15,"&lt;"&amp;V205,WeightedRevAge15)-SUMIF(ThresholdAge15,"&lt;"&amp;V205,WeightedMinAge15),MAX(CapacityAge15*'01_Вводные'!$B$218*V205,MeanMinAge15)))</f>
        <v/>
      </c>
      <c r="W151" s="190">
        <f>IF(OR((W67-W95)=0,15&lt;='01_Вводные'!$B$297),0,(W67-W95)*IF('01_Вводные'!$B$239="Да",MeanMinAge15+W205*SUMIF(ThresholdAge15,"&lt;"&amp;W205,WeightedRevAge15)-SUMIF(ThresholdAge15,"&lt;"&amp;W205,WeightedMinAge15),MAX(CapacityAge15*'01_Вводные'!$B$218*W205,MeanMinAge15)))</f>
        <v/>
      </c>
      <c r="X151" s="190">
        <f>IF(OR((X67-X95)=0,15&lt;='01_Вводные'!$B$297),0,(X67-X95)*IF('01_Вводные'!$B$239="Да",MeanMinAge15+X205*SUMIF(ThresholdAge15,"&lt;"&amp;X205,WeightedRevAge15)-SUMIF(ThresholdAge15,"&lt;"&amp;X205,WeightedMinAge15),MAX(CapacityAge15*'01_Вводные'!$B$218*X205,MeanMinAge15)))</f>
        <v/>
      </c>
      <c r="Y151" s="190">
        <f>IF(OR((Y67-Y95)=0,15&lt;='01_Вводные'!$B$297),0,(Y67-Y95)*IF('01_Вводные'!$B$239="Да",MeanMinAge15+Y205*SUMIF(ThresholdAge15,"&lt;"&amp;Y205,WeightedRevAge15)-SUMIF(ThresholdAge15,"&lt;"&amp;Y205,WeightedMinAge15),MAX(CapacityAge15*'01_Вводные'!$B$218*Y205,MeanMinAge15)))</f>
        <v/>
      </c>
      <c r="Z151" s="190">
        <f>IF(OR((Z67-Z95)=0,15&lt;='01_Вводные'!$B$297),0,(Z67-Z95)*IF('01_Вводные'!$B$239="Да",MeanMinAge15+Z205*SUMIF(ThresholdAge15,"&lt;"&amp;Z205,WeightedRevAge15)-SUMIF(ThresholdAge15,"&lt;"&amp;Z205,WeightedMinAge15),MAX(CapacityAge15*'01_Вводные'!$B$218*Z205,MeanMinAge15)))</f>
        <v/>
      </c>
      <c r="AA151" s="190">
        <f>IF(OR((AA67-AA95)=0,15&lt;='01_Вводные'!$B$297),0,(AA67-AA95)*IF('01_Вводные'!$B$239="Да",MeanMinAge15+AA205*SUMIF(ThresholdAge15,"&lt;"&amp;AA205,WeightedRevAge15)-SUMIF(ThresholdAge15,"&lt;"&amp;AA205,WeightedMinAge15),MAX(CapacityAge15*'01_Вводные'!$B$218*AA205,MeanMinAge15)))</f>
        <v/>
      </c>
      <c r="AB151" s="190">
        <f>IF(OR((AB67-AB95)=0,15&lt;='01_Вводные'!$B$297),0,(AB67-AB95)*IF('01_Вводные'!$B$239="Да",MeanMinAge15+AB205*SUMIF(ThresholdAge15,"&lt;"&amp;AB205,WeightedRevAge15)-SUMIF(ThresholdAge15,"&lt;"&amp;AB205,WeightedMinAge15),MAX(CapacityAge15*'01_Вводные'!$B$218*AB205,MeanMinAge15)))</f>
        <v/>
      </c>
      <c r="AC151" s="190">
        <f>IF(OR((AC67-AC95)=0,15&lt;='01_Вводные'!$B$297),0,(AC67-AC95)*IF('01_Вводные'!$B$239="Да",MeanMinAge15+AC205*SUMIF(ThresholdAge15,"&lt;"&amp;AC205,WeightedRevAge15)-SUMIF(ThresholdAge15,"&lt;"&amp;AC205,WeightedMinAge15),MAX(CapacityAge15*'01_Вводные'!$B$218*AC205,MeanMinAge15)))</f>
        <v/>
      </c>
      <c r="AD151" s="190">
        <f>IF(OR((AD67-AD95)=0,15&lt;='01_Вводные'!$B$297),0,(AD67-AD95)*IF('01_Вводные'!$B$239="Да",MeanMinAge15+AD205*SUMIF(ThresholdAge15,"&lt;"&amp;AD205,WeightedRevAge15)-SUMIF(ThresholdAge15,"&lt;"&amp;AD205,WeightedMinAge15),MAX(CapacityAge15*'01_Вводные'!$B$218*AD205,MeanMinAge15)))</f>
        <v/>
      </c>
      <c r="AE151" s="190">
        <f>IF(OR((AE67-AE95)=0,15&lt;='01_Вводные'!$B$297),0,(AE67-AE95)*IF('01_Вводные'!$B$239="Да",MeanMinAge15+AE205*SUMIF(ThresholdAge15,"&lt;"&amp;AE205,WeightedRevAge15)-SUMIF(ThresholdAge15,"&lt;"&amp;AE205,WeightedMinAge15),MAX(CapacityAge15*'01_Вводные'!$B$218*AE205,MeanMinAge15)))</f>
        <v/>
      </c>
      <c r="AF151" s="190">
        <f>IF(OR((AF67-AF95)=0,15&lt;='01_Вводные'!$B$297),0,(AF67-AF95)*IF('01_Вводные'!$B$239="Да",MeanMinAge15+AF205*SUMIF(ThresholdAge15,"&lt;"&amp;AF205,WeightedRevAge15)-SUMIF(ThresholdAge15,"&lt;"&amp;AF205,WeightedMinAge15),MAX(CapacityAge15*'01_Вводные'!$B$218*AF205,MeanMinAge15)))</f>
        <v/>
      </c>
      <c r="AG151" s="190">
        <f>IF(OR((AG67-AG95)=0,15&lt;='01_Вводные'!$B$297),0,(AG67-AG95)*IF('01_Вводные'!$B$239="Да",MeanMinAge15+AG205*SUMIF(ThresholdAge15,"&lt;"&amp;AG205,WeightedRevAge15)-SUMIF(ThresholdAge15,"&lt;"&amp;AG205,WeightedMinAge15),MAX(CapacityAge15*'01_Вводные'!$B$218*AG205,MeanMinAge15)))</f>
        <v/>
      </c>
      <c r="AH151" s="190">
        <f>IF(OR((AH67-AH95)=0,15&lt;='01_Вводные'!$B$297),0,(AH67-AH95)*IF('01_Вводные'!$B$239="Да",MeanMinAge15+AH205*SUMIF(ThresholdAge15,"&lt;"&amp;AH205,WeightedRevAge15)-SUMIF(ThresholdAge15,"&lt;"&amp;AH205,WeightedMinAge15),MAX(CapacityAge15*'01_Вводные'!$B$218*AH205,MeanMinAge15)))</f>
        <v/>
      </c>
      <c r="AI151" s="190">
        <f>IF(OR((AI67-AI95)=0,15&lt;='01_Вводные'!$B$297),0,(AI67-AI95)*IF('01_Вводные'!$B$239="Да",MeanMinAge15+AI205*SUMIF(ThresholdAge15,"&lt;"&amp;AI205,WeightedRevAge15)-SUMIF(ThresholdAge15,"&lt;"&amp;AI205,WeightedMinAge15),MAX(CapacityAge15*'01_Вводные'!$B$218*AI205,MeanMinAge15)))</f>
        <v/>
      </c>
      <c r="AJ151" s="190">
        <f>IF(OR((AJ67-AJ95)=0,15&lt;='01_Вводные'!$B$297),0,(AJ67-AJ95)*IF('01_Вводные'!$B$239="Да",MeanMinAge15+AJ205*SUMIF(ThresholdAge15,"&lt;"&amp;AJ205,WeightedRevAge15)-SUMIF(ThresholdAge15,"&lt;"&amp;AJ205,WeightedMinAge15),MAX(CapacityAge15*'01_Вводные'!$B$218*AJ205,MeanMinAge15)))</f>
        <v/>
      </c>
      <c r="AK151" s="190">
        <f>IF(OR((AK67-AK95)=0,15&lt;='01_Вводные'!$B$297),0,(AK67-AK95)*IF('01_Вводные'!$B$239="Да",MeanMinAge15+AK205*SUMIF(ThresholdAge15,"&lt;"&amp;AK205,WeightedRevAge15)-SUMIF(ThresholdAge15,"&lt;"&amp;AK205,WeightedMinAge15),MAX(CapacityAge15*'01_Вводные'!$B$218*AK205,MeanMinAge15)))</f>
        <v/>
      </c>
      <c r="AL151" s="190">
        <f>IF(OR((AL67-AL95)=0,15&lt;='01_Вводные'!$B$297),0,(AL67-AL95)*IF('01_Вводные'!$B$239="Да",MeanMinAge15+AL205*SUMIF(ThresholdAge15,"&lt;"&amp;AL205,WeightedRevAge15)-SUMIF(ThresholdAge15,"&lt;"&amp;AL205,WeightedMinAge15),MAX(CapacityAge15*'01_Вводные'!$B$218*AL205,MeanMinAge15)))</f>
        <v/>
      </c>
      <c r="AM151" s="190">
        <f>IF(OR((AM67-AM95)=0,15&lt;='01_Вводные'!$B$297),0,(AM67-AM95)*IF('01_Вводные'!$B$239="Да",MeanMinAge15+AM205*SUMIF(ThresholdAge15,"&lt;"&amp;AM205,WeightedRevAge15)-SUMIF(ThresholdAge15,"&lt;"&amp;AM205,WeightedMinAge15),MAX(CapacityAge15*'01_Вводные'!$B$218*AM205,MeanMinAge15)))</f>
        <v/>
      </c>
      <c r="AN151" s="190">
        <f>IF(OR((AN67-AN95)=0,15&lt;='01_Вводные'!$B$297),0,(AN67-AN95)*IF('01_Вводные'!$B$239="Да",MeanMinAge15+AN205*SUMIF(ThresholdAge15,"&lt;"&amp;AN205,WeightedRevAge15)-SUMIF(ThresholdAge15,"&lt;"&amp;AN205,WeightedMinAge15),MAX(CapacityAge15*'01_Вводные'!$B$218*AN205,MeanMinAge15)))</f>
        <v/>
      </c>
      <c r="AO151" s="190">
        <f>IF(OR((AO67-AO95)=0,15&lt;='01_Вводные'!$B$297),0,(AO67-AO95)*IF('01_Вводные'!$B$239="Да",MeanMinAge15+AO205*SUMIF(ThresholdAge15,"&lt;"&amp;AO205,WeightedRevAge15)-SUMIF(ThresholdAge15,"&lt;"&amp;AO205,WeightedMinAge15),MAX(CapacityAge15*'01_Вводные'!$B$218*AO205,MeanMinAge15)))</f>
        <v/>
      </c>
      <c r="AP151" s="190">
        <f>IF(OR((AP67-AP95)=0,15&lt;='01_Вводные'!$B$297),0,(AP67-AP95)*IF('01_Вводные'!$B$239="Да",MeanMinAge15+AP205*SUMIF(ThresholdAge15,"&lt;"&amp;AP205,WeightedRevAge15)-SUMIF(ThresholdAge15,"&lt;"&amp;AP205,WeightedMinAge15),MAX(CapacityAge15*'01_Вводные'!$B$218*AP205,MeanMinAge15)))</f>
        <v/>
      </c>
      <c r="AQ151" s="190">
        <f>IF(OR((AQ67-AQ95)=0,15&lt;='01_Вводные'!$B$297),0,(AQ67-AQ95)*IF('01_Вводные'!$B$239="Да",MeanMinAge15+AQ205*SUMIF(ThresholdAge15,"&lt;"&amp;AQ205,WeightedRevAge15)-SUMIF(ThresholdAge15,"&lt;"&amp;AQ205,WeightedMinAge15),MAX(CapacityAge15*'01_Вводные'!$B$218*AQ205,MeanMinAge15)))</f>
        <v/>
      </c>
      <c r="AR151" s="190">
        <f>IF(OR((AR67-AR95)=0,15&lt;='01_Вводные'!$B$297),0,(AR67-AR95)*IF('01_Вводные'!$B$239="Да",MeanMinAge15+AR205*SUMIF(ThresholdAge15,"&lt;"&amp;AR205,WeightedRevAge15)-SUMIF(ThresholdAge15,"&lt;"&amp;AR205,WeightedMinAge15),MAX(CapacityAge15*'01_Вводные'!$B$218*AR205,MeanMinAge15)))</f>
        <v/>
      </c>
      <c r="AS151" s="190">
        <f>IF(OR((AS67-AS95)=0,15&lt;='01_Вводные'!$B$297),0,(AS67-AS95)*IF('01_Вводные'!$B$239="Да",MeanMinAge15+AS205*SUMIF(ThresholdAge15,"&lt;"&amp;AS205,WeightedRevAge15)-SUMIF(ThresholdAge15,"&lt;"&amp;AS205,WeightedMinAge15),MAX(CapacityAge15*'01_Вводные'!$B$218*AS205,MeanMinAge15)))</f>
        <v/>
      </c>
      <c r="AT151" s="190">
        <f>IF(OR((AT67-AT95)=0,15&lt;='01_Вводные'!$B$297),0,(AT67-AT95)*IF('01_Вводные'!$B$239="Да",MeanMinAge15+AT205*SUMIF(ThresholdAge15,"&lt;"&amp;AT205,WeightedRevAge15)-SUMIF(ThresholdAge15,"&lt;"&amp;AT205,WeightedMinAge15),MAX(CapacityAge15*'01_Вводные'!$B$218*AT205,MeanMinAge15)))</f>
        <v/>
      </c>
      <c r="AU151" s="190">
        <f>IF(OR((AU67-AU95)=0,15&lt;='01_Вводные'!$B$297),0,(AU67-AU95)*IF('01_Вводные'!$B$239="Да",MeanMinAge15+AU205*SUMIF(ThresholdAge15,"&lt;"&amp;AU205,WeightedRevAge15)-SUMIF(ThresholdAge15,"&lt;"&amp;AU205,WeightedMinAge15),MAX(CapacityAge15*'01_Вводные'!$B$218*AU205,MeanMinAge15)))</f>
        <v/>
      </c>
      <c r="AV151" s="190">
        <f>IF(OR((AV67-AV95)=0,15&lt;='01_Вводные'!$B$297),0,(AV67-AV95)*IF('01_Вводные'!$B$239="Да",MeanMinAge15+AV205*SUMIF(ThresholdAge15,"&lt;"&amp;AV205,WeightedRevAge15)-SUMIF(ThresholdAge15,"&lt;"&amp;AV205,WeightedMinAge15),MAX(CapacityAge15*'01_Вводные'!$B$218*AV205,MeanMinAge15)))</f>
        <v/>
      </c>
      <c r="AW151" s="190">
        <f>IF(OR((AW67-AW95)=0,15&lt;='01_Вводные'!$B$297),0,(AW67-AW95)*IF('01_Вводные'!$B$239="Да",MeanMinAge15+AW205*SUMIF(ThresholdAge15,"&lt;"&amp;AW205,WeightedRevAge15)-SUMIF(ThresholdAge15,"&lt;"&amp;AW205,WeightedMinAge15),MAX(CapacityAge15*'01_Вводные'!$B$218*AW205,MeanMinAge15)))</f>
        <v/>
      </c>
      <c r="AX151" s="190">
        <f>IF(OR((AX67-AX95)=0,15&lt;='01_Вводные'!$B$297),0,(AX67-AX95)*IF('01_Вводные'!$B$239="Да",MeanMinAge15+AX205*SUMIF(ThresholdAge15,"&lt;"&amp;AX205,WeightedRevAge15)-SUMIF(ThresholdAge15,"&lt;"&amp;AX205,WeightedMinAge15),MAX(CapacityAge15*'01_Вводные'!$B$218*AX205,MeanMinAge15)))</f>
        <v/>
      </c>
      <c r="AY151" s="190">
        <f>IF(OR((AY67-AY95)=0,15&lt;='01_Вводные'!$B$297),0,(AY67-AY95)*IF('01_Вводные'!$B$239="Да",MeanMinAge15+AY205*SUMIF(ThresholdAge15,"&lt;"&amp;AY205,WeightedRevAge15)-SUMIF(ThresholdAge15,"&lt;"&amp;AY205,WeightedMinAge15),MAX(CapacityAge15*'01_Вводные'!$B$218*AY205,MeanMinAge15)))</f>
        <v/>
      </c>
      <c r="AZ151" s="190">
        <f>IF(OR((AZ67-AZ95)=0,15&lt;='01_Вводные'!$B$297),0,(AZ67-AZ95)*IF('01_Вводные'!$B$239="Да",MeanMinAge15+AZ205*SUMIF(ThresholdAge15,"&lt;"&amp;AZ205,WeightedRevAge15)-SUMIF(ThresholdAge15,"&lt;"&amp;AZ205,WeightedMinAge15),MAX(CapacityAge15*'01_Вводные'!$B$218*AZ205,MeanMinAge15)))</f>
        <v/>
      </c>
      <c r="BA151" s="190">
        <f>IF(OR((BA67-BA95)=0,15&lt;='01_Вводные'!$B$297),0,(BA67-BA95)*IF('01_Вводные'!$B$239="Да",MeanMinAge15+BA205*SUMIF(ThresholdAge15,"&lt;"&amp;BA205,WeightedRevAge15)-SUMIF(ThresholdAge15,"&lt;"&amp;BA205,WeightedMinAge15),MAX(CapacityAge15*'01_Вводные'!$B$218*BA205,MeanMinAge15)))</f>
        <v/>
      </c>
      <c r="BB151" s="190">
        <f>IF(OR((BB67-BB95)=0,15&lt;='01_Вводные'!$B$297),0,(BB67-BB95)*IF('01_Вводные'!$B$239="Да",MeanMinAge15+BB205*SUMIF(ThresholdAge15,"&lt;"&amp;BB205,WeightedRevAge15)-SUMIF(ThresholdAge15,"&lt;"&amp;BB205,WeightedMinAge15),MAX(CapacityAge15*'01_Вводные'!$B$218*BB205,MeanMinAge15)))</f>
        <v/>
      </c>
      <c r="BC151" s="190">
        <f>IF(OR((BC67-BC95)=0,15&lt;='01_Вводные'!$B$297),0,(BC67-BC95)*IF('01_Вводные'!$B$239="Да",MeanMinAge15+BC205*SUMIF(ThresholdAge15,"&lt;"&amp;BC205,WeightedRevAge15)-SUMIF(ThresholdAge15,"&lt;"&amp;BC205,WeightedMinAge15),MAX(CapacityAge15*'01_Вводные'!$B$218*BC205,MeanMinAge15)))</f>
        <v/>
      </c>
      <c r="BD151" s="190">
        <f>IF(OR((BD67-BD95)=0,15&lt;='01_Вводные'!$B$297),0,(BD67-BD95)*IF('01_Вводные'!$B$239="Да",MeanMinAge15+BD205*SUMIF(ThresholdAge15,"&lt;"&amp;BD205,WeightedRevAge15)-SUMIF(ThresholdAge15,"&lt;"&amp;BD205,WeightedMinAge15),MAX(CapacityAge15*'01_Вводные'!$B$218*BD205,MeanMinAge15)))</f>
        <v/>
      </c>
      <c r="BE151" s="190">
        <f>IF(OR((BE67-BE95)=0,15&lt;='01_Вводные'!$B$297),0,(BE67-BE95)*IF('01_Вводные'!$B$239="Да",MeanMinAge15+BE205*SUMIF(ThresholdAge15,"&lt;"&amp;BE205,WeightedRevAge15)-SUMIF(ThresholdAge15,"&lt;"&amp;BE205,WeightedMinAge15),MAX(CapacityAge15*'01_Вводные'!$B$218*BE205,MeanMinAge15)))</f>
        <v/>
      </c>
      <c r="BF151" s="190">
        <f>IF(OR((BF67-BF95)=0,15&lt;='01_Вводные'!$B$297),0,(BF67-BF95)*IF('01_Вводные'!$B$239="Да",MeanMinAge15+BF205*SUMIF(ThresholdAge15,"&lt;"&amp;BF205,WeightedRevAge15)-SUMIF(ThresholdAge15,"&lt;"&amp;BF205,WeightedMinAge15),MAX(CapacityAge15*'01_Вводные'!$B$218*BF205,MeanMinAge15)))</f>
        <v/>
      </c>
      <c r="BG151" s="190">
        <f>IF(OR((BG67-BG95)=0,15&lt;='01_Вводные'!$B$297),0,(BG67-BG95)*IF('01_Вводные'!$B$239="Да",MeanMinAge15+BG205*SUMIF(ThresholdAge15,"&lt;"&amp;BG205,WeightedRevAge15)-SUMIF(ThresholdAge15,"&lt;"&amp;BG205,WeightedMinAge15),MAX(CapacityAge15*'01_Вводные'!$B$218*BG205,MeanMinAge15)))</f>
        <v/>
      </c>
      <c r="BH151" s="190">
        <f>IF(OR((BH67-BH95)=0,15&lt;='01_Вводные'!$B$297),0,(BH67-BH95)*IF('01_Вводные'!$B$239="Да",MeanMinAge15+BH205*SUMIF(ThresholdAge15,"&lt;"&amp;BH205,WeightedRevAge15)-SUMIF(ThresholdAge15,"&lt;"&amp;BH205,WeightedMinAge15),MAX(CapacityAge15*'01_Вводные'!$B$218*BH205,MeanMinAge15)))</f>
        <v/>
      </c>
      <c r="BI151" s="190">
        <f>IF(OR((BI67-BI95)=0,15&lt;='01_Вводные'!$B$297),0,(BI67-BI95)*IF('01_Вводные'!$B$239="Да",MeanMinAge15+BI205*SUMIF(ThresholdAge15,"&lt;"&amp;BI205,WeightedRevAge15)-SUMIF(ThresholdAge15,"&lt;"&amp;BI205,WeightedMinAge15),MAX(CapacityAge15*'01_Вводные'!$B$218*BI205,MeanMinAge15)))</f>
        <v/>
      </c>
      <c r="BJ151" s="190">
        <f>IF(OR((BJ67-BJ95)=0,15&lt;='01_Вводные'!$B$297),0,(BJ67-BJ95)*IF('01_Вводные'!$B$239="Да",MeanMinAge15+BJ205*SUMIF(ThresholdAge15,"&lt;"&amp;BJ205,WeightedRevAge15)-SUMIF(ThresholdAge15,"&lt;"&amp;BJ205,WeightedMinAge15),MAX(CapacityAge15*'01_Вводные'!$B$218*BJ205,MeanMinAge15)))</f>
        <v/>
      </c>
      <c r="BK151" s="190">
        <f>IF(OR((BK67-BK95)=0,15&lt;='01_Вводные'!$B$297),0,(BK67-BK95)*IF('01_Вводные'!$B$239="Да",MeanMinAge15+BK205*SUMIF(ThresholdAge15,"&lt;"&amp;BK205,WeightedRevAge15)-SUMIF(ThresholdAge15,"&lt;"&amp;BK205,WeightedMinAge15),MAX(CapacityAge15*'01_Вводные'!$B$218*BK205,MeanMinAge15)))</f>
        <v/>
      </c>
      <c r="BL151" s="190">
        <f>IF(OR((BL67-BL95)=0,15&lt;='01_Вводные'!$B$297),0,(BL67-BL95)*IF('01_Вводные'!$B$239="Да",MeanMinAge15+BL205*SUMIF(ThresholdAge15,"&lt;"&amp;BL205,WeightedRevAge15)-SUMIF(ThresholdAge15,"&lt;"&amp;BL205,WeightedMinAge15),MAX(CapacityAge15*'01_Вводные'!$B$218*BL205,MeanMinAge15)))</f>
        <v/>
      </c>
      <c r="BM151" s="190">
        <f>IF(OR((BM67-BM95)=0,15&lt;='01_Вводные'!$B$297),0,(BM67-BM95)*IF('01_Вводные'!$B$239="Да",MeanMinAge15+BM205*SUMIF(ThresholdAge15,"&lt;"&amp;BM205,WeightedRevAge15)-SUMIF(ThresholdAge15,"&lt;"&amp;BM205,WeightedMinAge15),MAX(CapacityAge15*'01_Вводные'!$B$218*BM205,MeanMinAge15)))</f>
        <v/>
      </c>
      <c r="BN151" s="190">
        <f>IF(OR((BN67-BN95)=0,15&lt;='01_Вводные'!$B$297),0,(BN67-BN95)*IF('01_Вводные'!$B$239="Да",MeanMinAge15+BN205*SUMIF(ThresholdAge15,"&lt;"&amp;BN205,WeightedRevAge15)-SUMIF(ThresholdAge15,"&lt;"&amp;BN205,WeightedMinAge15),MAX(CapacityAge15*'01_Вводные'!$B$218*BN205,MeanMinAge15)))</f>
        <v/>
      </c>
      <c r="BO151" s="190">
        <f>IF(OR((BO67-BO95)=0,15&lt;='01_Вводные'!$B$297),0,(BO67-BO95)*IF('01_Вводные'!$B$239="Да",MeanMinAge15+BO205*SUMIF(ThresholdAge15,"&lt;"&amp;BO205,WeightedRevAge15)-SUMIF(ThresholdAge15,"&lt;"&amp;BO205,WeightedMinAge15),MAX(CapacityAge15*'01_Вводные'!$B$218*BO205,MeanMinAge15)))</f>
        <v/>
      </c>
    </row>
    <row r="152" hidden="1" outlineLevel="1">
      <c r="A152" t="inlineStr">
        <is>
          <t>16 мес.</t>
        </is>
      </c>
      <c r="B152" s="190">
        <f>IF(OR((B68-B96)=0,16&lt;='01_Вводные'!$B$297),0,(B68-B96)*IF('01_Вводные'!$B$239="Да",MeanMinAge16+B205*SUMIF(ThresholdAge16,"&lt;"&amp;B205,WeightedRevAge16)-SUMIF(ThresholdAge16,"&lt;"&amp;B205,WeightedMinAge16),MAX(CapacityAge16*'01_Вводные'!$B$218*B205,MeanMinAge16)))</f>
        <v/>
      </c>
      <c r="C152" s="190">
        <f>IF(OR((C68-C96)=0,16&lt;='01_Вводные'!$B$297),0,(C68-C96)*IF('01_Вводные'!$B$239="Да",MeanMinAge16+C205*SUMIF(ThresholdAge16,"&lt;"&amp;C205,WeightedRevAge16)-SUMIF(ThresholdAge16,"&lt;"&amp;C205,WeightedMinAge16),MAX(CapacityAge16*'01_Вводные'!$B$218*C205,MeanMinAge16)))</f>
        <v/>
      </c>
      <c r="D152" s="190">
        <f>IF(OR((D68-D96)=0,16&lt;='01_Вводные'!$B$297),0,(D68-D96)*IF('01_Вводные'!$B$239="Да",MeanMinAge16+D205*SUMIF(ThresholdAge16,"&lt;"&amp;D205,WeightedRevAge16)-SUMIF(ThresholdAge16,"&lt;"&amp;D205,WeightedMinAge16),MAX(CapacityAge16*'01_Вводные'!$B$218*D205,MeanMinAge16)))</f>
        <v/>
      </c>
      <c r="E152" s="190">
        <f>IF(OR((E68-E96)=0,16&lt;='01_Вводные'!$B$297),0,(E68-E96)*IF('01_Вводные'!$B$239="Да",MeanMinAge16+E205*SUMIF(ThresholdAge16,"&lt;"&amp;E205,WeightedRevAge16)-SUMIF(ThresholdAge16,"&lt;"&amp;E205,WeightedMinAge16),MAX(CapacityAge16*'01_Вводные'!$B$218*E205,MeanMinAge16)))</f>
        <v/>
      </c>
      <c r="F152" s="190">
        <f>IF(OR((F68-F96)=0,16&lt;='01_Вводные'!$B$297),0,(F68-F96)*IF('01_Вводные'!$B$239="Да",MeanMinAge16+F205*SUMIF(ThresholdAge16,"&lt;"&amp;F205,WeightedRevAge16)-SUMIF(ThresholdAge16,"&lt;"&amp;F205,WeightedMinAge16),MAX(CapacityAge16*'01_Вводные'!$B$218*F205,MeanMinAge16)))</f>
        <v/>
      </c>
      <c r="G152" s="190">
        <f>IF(OR((G68-G96)=0,16&lt;='01_Вводные'!$B$297),0,(G68-G96)*IF('01_Вводные'!$B$239="Да",MeanMinAge16+G205*SUMIF(ThresholdAge16,"&lt;"&amp;G205,WeightedRevAge16)-SUMIF(ThresholdAge16,"&lt;"&amp;G205,WeightedMinAge16),MAX(CapacityAge16*'01_Вводные'!$B$218*G205,MeanMinAge16)))</f>
        <v/>
      </c>
      <c r="H152" s="190">
        <f>IF(OR((H68-H96)=0,16&lt;='01_Вводные'!$B$297),0,(H68-H96)*IF('01_Вводные'!$B$239="Да",MeanMinAge16+H205*SUMIF(ThresholdAge16,"&lt;"&amp;H205,WeightedRevAge16)-SUMIF(ThresholdAge16,"&lt;"&amp;H205,WeightedMinAge16),MAX(CapacityAge16*'01_Вводные'!$B$218*H205,MeanMinAge16)))</f>
        <v/>
      </c>
      <c r="I152" s="190">
        <f>IF(OR((I68-I96)=0,16&lt;='01_Вводные'!$B$297),0,(I68-I96)*IF('01_Вводные'!$B$239="Да",MeanMinAge16+I205*SUMIF(ThresholdAge16,"&lt;"&amp;I205,WeightedRevAge16)-SUMIF(ThresholdAge16,"&lt;"&amp;I205,WeightedMinAge16),MAX(CapacityAge16*'01_Вводные'!$B$218*I205,MeanMinAge16)))</f>
        <v/>
      </c>
      <c r="J152" s="190">
        <f>IF(OR((J68-J96)=0,16&lt;='01_Вводные'!$B$297),0,(J68-J96)*IF('01_Вводные'!$B$239="Да",MeanMinAge16+J205*SUMIF(ThresholdAge16,"&lt;"&amp;J205,WeightedRevAge16)-SUMIF(ThresholdAge16,"&lt;"&amp;J205,WeightedMinAge16),MAX(CapacityAge16*'01_Вводные'!$B$218*J205,MeanMinAge16)))</f>
        <v/>
      </c>
      <c r="K152" s="190">
        <f>IF(OR((K68-K96)=0,16&lt;='01_Вводные'!$B$297),0,(K68-K96)*IF('01_Вводные'!$B$239="Да",MeanMinAge16+K205*SUMIF(ThresholdAge16,"&lt;"&amp;K205,WeightedRevAge16)-SUMIF(ThresholdAge16,"&lt;"&amp;K205,WeightedMinAge16),MAX(CapacityAge16*'01_Вводные'!$B$218*K205,MeanMinAge16)))</f>
        <v/>
      </c>
      <c r="L152" s="190">
        <f>IF(OR((L68-L96)=0,16&lt;='01_Вводные'!$B$297),0,(L68-L96)*IF('01_Вводные'!$B$239="Да",MeanMinAge16+L205*SUMIF(ThresholdAge16,"&lt;"&amp;L205,WeightedRevAge16)-SUMIF(ThresholdAge16,"&lt;"&amp;L205,WeightedMinAge16),MAX(CapacityAge16*'01_Вводные'!$B$218*L205,MeanMinAge16)))</f>
        <v/>
      </c>
      <c r="M152" s="190">
        <f>IF(OR((M68-M96)=0,16&lt;='01_Вводные'!$B$297),0,(M68-M96)*IF('01_Вводные'!$B$239="Да",MeanMinAge16+M205*SUMIF(ThresholdAge16,"&lt;"&amp;M205,WeightedRevAge16)-SUMIF(ThresholdAge16,"&lt;"&amp;M205,WeightedMinAge16),MAX(CapacityAge16*'01_Вводные'!$B$218*M205,MeanMinAge16)))</f>
        <v/>
      </c>
      <c r="N152" s="190">
        <f>IF(OR((N68-N96)=0,16&lt;='01_Вводные'!$B$297),0,(N68-N96)*IF('01_Вводные'!$B$239="Да",MeanMinAge16+N205*SUMIF(ThresholdAge16,"&lt;"&amp;N205,WeightedRevAge16)-SUMIF(ThresholdAge16,"&lt;"&amp;N205,WeightedMinAge16),MAX(CapacityAge16*'01_Вводные'!$B$218*N205,MeanMinAge16)))</f>
        <v/>
      </c>
      <c r="O152" s="190">
        <f>IF(OR((O68-O96)=0,16&lt;='01_Вводные'!$B$297),0,(O68-O96)*IF('01_Вводные'!$B$239="Да",MeanMinAge16+O205*SUMIF(ThresholdAge16,"&lt;"&amp;O205,WeightedRevAge16)-SUMIF(ThresholdAge16,"&lt;"&amp;O205,WeightedMinAge16),MAX(CapacityAge16*'01_Вводные'!$B$218*O205,MeanMinAge16)))</f>
        <v/>
      </c>
      <c r="P152" s="190">
        <f>IF(OR((P68-P96)=0,16&lt;='01_Вводные'!$B$297),0,(P68-P96)*IF('01_Вводные'!$B$239="Да",MeanMinAge16+P205*SUMIF(ThresholdAge16,"&lt;"&amp;P205,WeightedRevAge16)-SUMIF(ThresholdAge16,"&lt;"&amp;P205,WeightedMinAge16),MAX(CapacityAge16*'01_Вводные'!$B$218*P205,MeanMinAge16)))</f>
        <v/>
      </c>
      <c r="Q152" s="190">
        <f>IF(OR((Q68-Q96)=0,16&lt;='01_Вводные'!$B$297),0,(Q68-Q96)*IF('01_Вводные'!$B$239="Да",MeanMinAge16+Q205*SUMIF(ThresholdAge16,"&lt;"&amp;Q205,WeightedRevAge16)-SUMIF(ThresholdAge16,"&lt;"&amp;Q205,WeightedMinAge16),MAX(CapacityAge16*'01_Вводные'!$B$218*Q205,MeanMinAge16)))</f>
        <v/>
      </c>
      <c r="R152" s="190">
        <f>IF(OR((R68-R96)=0,16&lt;='01_Вводные'!$B$297),0,(R68-R96)*IF('01_Вводные'!$B$239="Да",MeanMinAge16+R205*SUMIF(ThresholdAge16,"&lt;"&amp;R205,WeightedRevAge16)-SUMIF(ThresholdAge16,"&lt;"&amp;R205,WeightedMinAge16),MAX(CapacityAge16*'01_Вводные'!$B$218*R205,MeanMinAge16)))</f>
        <v/>
      </c>
      <c r="S152" s="190">
        <f>IF(OR((S68-S96)=0,16&lt;='01_Вводные'!$B$297),0,(S68-S96)*IF('01_Вводные'!$B$239="Да",MeanMinAge16+S205*SUMIF(ThresholdAge16,"&lt;"&amp;S205,WeightedRevAge16)-SUMIF(ThresholdAge16,"&lt;"&amp;S205,WeightedMinAge16),MAX(CapacityAge16*'01_Вводные'!$B$218*S205,MeanMinAge16)))</f>
        <v/>
      </c>
      <c r="T152" s="190">
        <f>IF(OR((T68-T96)=0,16&lt;='01_Вводные'!$B$297),0,(T68-T96)*IF('01_Вводные'!$B$239="Да",MeanMinAge16+T205*SUMIF(ThresholdAge16,"&lt;"&amp;T205,WeightedRevAge16)-SUMIF(ThresholdAge16,"&lt;"&amp;T205,WeightedMinAge16),MAX(CapacityAge16*'01_Вводные'!$B$218*T205,MeanMinAge16)))</f>
        <v/>
      </c>
      <c r="U152" s="190">
        <f>IF(OR((U68-U96)=0,16&lt;='01_Вводные'!$B$297),0,(U68-U96)*IF('01_Вводные'!$B$239="Да",MeanMinAge16+U205*SUMIF(ThresholdAge16,"&lt;"&amp;U205,WeightedRevAge16)-SUMIF(ThresholdAge16,"&lt;"&amp;U205,WeightedMinAge16),MAX(CapacityAge16*'01_Вводные'!$B$218*U205,MeanMinAge16)))</f>
        <v/>
      </c>
      <c r="V152" s="190">
        <f>IF(OR((V68-V96)=0,16&lt;='01_Вводные'!$B$297),0,(V68-V96)*IF('01_Вводные'!$B$239="Да",MeanMinAge16+V205*SUMIF(ThresholdAge16,"&lt;"&amp;V205,WeightedRevAge16)-SUMIF(ThresholdAge16,"&lt;"&amp;V205,WeightedMinAge16),MAX(CapacityAge16*'01_Вводные'!$B$218*V205,MeanMinAge16)))</f>
        <v/>
      </c>
      <c r="W152" s="190">
        <f>IF(OR((W68-W96)=0,16&lt;='01_Вводные'!$B$297),0,(W68-W96)*IF('01_Вводные'!$B$239="Да",MeanMinAge16+W205*SUMIF(ThresholdAge16,"&lt;"&amp;W205,WeightedRevAge16)-SUMIF(ThresholdAge16,"&lt;"&amp;W205,WeightedMinAge16),MAX(CapacityAge16*'01_Вводные'!$B$218*W205,MeanMinAge16)))</f>
        <v/>
      </c>
      <c r="X152" s="190">
        <f>IF(OR((X68-X96)=0,16&lt;='01_Вводные'!$B$297),0,(X68-X96)*IF('01_Вводные'!$B$239="Да",MeanMinAge16+X205*SUMIF(ThresholdAge16,"&lt;"&amp;X205,WeightedRevAge16)-SUMIF(ThresholdAge16,"&lt;"&amp;X205,WeightedMinAge16),MAX(CapacityAge16*'01_Вводные'!$B$218*X205,MeanMinAge16)))</f>
        <v/>
      </c>
      <c r="Y152" s="190">
        <f>IF(OR((Y68-Y96)=0,16&lt;='01_Вводные'!$B$297),0,(Y68-Y96)*IF('01_Вводные'!$B$239="Да",MeanMinAge16+Y205*SUMIF(ThresholdAge16,"&lt;"&amp;Y205,WeightedRevAge16)-SUMIF(ThresholdAge16,"&lt;"&amp;Y205,WeightedMinAge16),MAX(CapacityAge16*'01_Вводные'!$B$218*Y205,MeanMinAge16)))</f>
        <v/>
      </c>
      <c r="Z152" s="190">
        <f>IF(OR((Z68-Z96)=0,16&lt;='01_Вводные'!$B$297),0,(Z68-Z96)*IF('01_Вводные'!$B$239="Да",MeanMinAge16+Z205*SUMIF(ThresholdAge16,"&lt;"&amp;Z205,WeightedRevAge16)-SUMIF(ThresholdAge16,"&lt;"&amp;Z205,WeightedMinAge16),MAX(CapacityAge16*'01_Вводные'!$B$218*Z205,MeanMinAge16)))</f>
        <v/>
      </c>
      <c r="AA152" s="190">
        <f>IF(OR((AA68-AA96)=0,16&lt;='01_Вводные'!$B$297),0,(AA68-AA96)*IF('01_Вводные'!$B$239="Да",MeanMinAge16+AA205*SUMIF(ThresholdAge16,"&lt;"&amp;AA205,WeightedRevAge16)-SUMIF(ThresholdAge16,"&lt;"&amp;AA205,WeightedMinAge16),MAX(CapacityAge16*'01_Вводные'!$B$218*AA205,MeanMinAge16)))</f>
        <v/>
      </c>
      <c r="AB152" s="190">
        <f>IF(OR((AB68-AB96)=0,16&lt;='01_Вводные'!$B$297),0,(AB68-AB96)*IF('01_Вводные'!$B$239="Да",MeanMinAge16+AB205*SUMIF(ThresholdAge16,"&lt;"&amp;AB205,WeightedRevAge16)-SUMIF(ThresholdAge16,"&lt;"&amp;AB205,WeightedMinAge16),MAX(CapacityAge16*'01_Вводные'!$B$218*AB205,MeanMinAge16)))</f>
        <v/>
      </c>
      <c r="AC152" s="190">
        <f>IF(OR((AC68-AC96)=0,16&lt;='01_Вводные'!$B$297),0,(AC68-AC96)*IF('01_Вводные'!$B$239="Да",MeanMinAge16+AC205*SUMIF(ThresholdAge16,"&lt;"&amp;AC205,WeightedRevAge16)-SUMIF(ThresholdAge16,"&lt;"&amp;AC205,WeightedMinAge16),MAX(CapacityAge16*'01_Вводные'!$B$218*AC205,MeanMinAge16)))</f>
        <v/>
      </c>
      <c r="AD152" s="190">
        <f>IF(OR((AD68-AD96)=0,16&lt;='01_Вводные'!$B$297),0,(AD68-AD96)*IF('01_Вводные'!$B$239="Да",MeanMinAge16+AD205*SUMIF(ThresholdAge16,"&lt;"&amp;AD205,WeightedRevAge16)-SUMIF(ThresholdAge16,"&lt;"&amp;AD205,WeightedMinAge16),MAX(CapacityAge16*'01_Вводные'!$B$218*AD205,MeanMinAge16)))</f>
        <v/>
      </c>
      <c r="AE152" s="190">
        <f>IF(OR((AE68-AE96)=0,16&lt;='01_Вводные'!$B$297),0,(AE68-AE96)*IF('01_Вводные'!$B$239="Да",MeanMinAge16+AE205*SUMIF(ThresholdAge16,"&lt;"&amp;AE205,WeightedRevAge16)-SUMIF(ThresholdAge16,"&lt;"&amp;AE205,WeightedMinAge16),MAX(CapacityAge16*'01_Вводные'!$B$218*AE205,MeanMinAge16)))</f>
        <v/>
      </c>
      <c r="AF152" s="190">
        <f>IF(OR((AF68-AF96)=0,16&lt;='01_Вводные'!$B$297),0,(AF68-AF96)*IF('01_Вводные'!$B$239="Да",MeanMinAge16+AF205*SUMIF(ThresholdAge16,"&lt;"&amp;AF205,WeightedRevAge16)-SUMIF(ThresholdAge16,"&lt;"&amp;AF205,WeightedMinAge16),MAX(CapacityAge16*'01_Вводные'!$B$218*AF205,MeanMinAge16)))</f>
        <v/>
      </c>
      <c r="AG152" s="190">
        <f>IF(OR((AG68-AG96)=0,16&lt;='01_Вводные'!$B$297),0,(AG68-AG96)*IF('01_Вводные'!$B$239="Да",MeanMinAge16+AG205*SUMIF(ThresholdAge16,"&lt;"&amp;AG205,WeightedRevAge16)-SUMIF(ThresholdAge16,"&lt;"&amp;AG205,WeightedMinAge16),MAX(CapacityAge16*'01_Вводные'!$B$218*AG205,MeanMinAge16)))</f>
        <v/>
      </c>
      <c r="AH152" s="190">
        <f>IF(OR((AH68-AH96)=0,16&lt;='01_Вводные'!$B$297),0,(AH68-AH96)*IF('01_Вводные'!$B$239="Да",MeanMinAge16+AH205*SUMIF(ThresholdAge16,"&lt;"&amp;AH205,WeightedRevAge16)-SUMIF(ThresholdAge16,"&lt;"&amp;AH205,WeightedMinAge16),MAX(CapacityAge16*'01_Вводные'!$B$218*AH205,MeanMinAge16)))</f>
        <v/>
      </c>
      <c r="AI152" s="190">
        <f>IF(OR((AI68-AI96)=0,16&lt;='01_Вводные'!$B$297),0,(AI68-AI96)*IF('01_Вводные'!$B$239="Да",MeanMinAge16+AI205*SUMIF(ThresholdAge16,"&lt;"&amp;AI205,WeightedRevAge16)-SUMIF(ThresholdAge16,"&lt;"&amp;AI205,WeightedMinAge16),MAX(CapacityAge16*'01_Вводные'!$B$218*AI205,MeanMinAge16)))</f>
        <v/>
      </c>
      <c r="AJ152" s="190">
        <f>IF(OR((AJ68-AJ96)=0,16&lt;='01_Вводные'!$B$297),0,(AJ68-AJ96)*IF('01_Вводные'!$B$239="Да",MeanMinAge16+AJ205*SUMIF(ThresholdAge16,"&lt;"&amp;AJ205,WeightedRevAge16)-SUMIF(ThresholdAge16,"&lt;"&amp;AJ205,WeightedMinAge16),MAX(CapacityAge16*'01_Вводные'!$B$218*AJ205,MeanMinAge16)))</f>
        <v/>
      </c>
      <c r="AK152" s="190">
        <f>IF(OR((AK68-AK96)=0,16&lt;='01_Вводные'!$B$297),0,(AK68-AK96)*IF('01_Вводные'!$B$239="Да",MeanMinAge16+AK205*SUMIF(ThresholdAge16,"&lt;"&amp;AK205,WeightedRevAge16)-SUMIF(ThresholdAge16,"&lt;"&amp;AK205,WeightedMinAge16),MAX(CapacityAge16*'01_Вводные'!$B$218*AK205,MeanMinAge16)))</f>
        <v/>
      </c>
      <c r="AL152" s="190">
        <f>IF(OR((AL68-AL96)=0,16&lt;='01_Вводные'!$B$297),0,(AL68-AL96)*IF('01_Вводные'!$B$239="Да",MeanMinAge16+AL205*SUMIF(ThresholdAge16,"&lt;"&amp;AL205,WeightedRevAge16)-SUMIF(ThresholdAge16,"&lt;"&amp;AL205,WeightedMinAge16),MAX(CapacityAge16*'01_Вводные'!$B$218*AL205,MeanMinAge16)))</f>
        <v/>
      </c>
      <c r="AM152" s="190">
        <f>IF(OR((AM68-AM96)=0,16&lt;='01_Вводные'!$B$297),0,(AM68-AM96)*IF('01_Вводные'!$B$239="Да",MeanMinAge16+AM205*SUMIF(ThresholdAge16,"&lt;"&amp;AM205,WeightedRevAge16)-SUMIF(ThresholdAge16,"&lt;"&amp;AM205,WeightedMinAge16),MAX(CapacityAge16*'01_Вводные'!$B$218*AM205,MeanMinAge16)))</f>
        <v/>
      </c>
      <c r="AN152" s="190">
        <f>IF(OR((AN68-AN96)=0,16&lt;='01_Вводные'!$B$297),0,(AN68-AN96)*IF('01_Вводные'!$B$239="Да",MeanMinAge16+AN205*SUMIF(ThresholdAge16,"&lt;"&amp;AN205,WeightedRevAge16)-SUMIF(ThresholdAge16,"&lt;"&amp;AN205,WeightedMinAge16),MAX(CapacityAge16*'01_Вводные'!$B$218*AN205,MeanMinAge16)))</f>
        <v/>
      </c>
      <c r="AO152" s="190">
        <f>IF(OR((AO68-AO96)=0,16&lt;='01_Вводные'!$B$297),0,(AO68-AO96)*IF('01_Вводные'!$B$239="Да",MeanMinAge16+AO205*SUMIF(ThresholdAge16,"&lt;"&amp;AO205,WeightedRevAge16)-SUMIF(ThresholdAge16,"&lt;"&amp;AO205,WeightedMinAge16),MAX(CapacityAge16*'01_Вводные'!$B$218*AO205,MeanMinAge16)))</f>
        <v/>
      </c>
      <c r="AP152" s="190">
        <f>IF(OR((AP68-AP96)=0,16&lt;='01_Вводные'!$B$297),0,(AP68-AP96)*IF('01_Вводные'!$B$239="Да",MeanMinAge16+AP205*SUMIF(ThresholdAge16,"&lt;"&amp;AP205,WeightedRevAge16)-SUMIF(ThresholdAge16,"&lt;"&amp;AP205,WeightedMinAge16),MAX(CapacityAge16*'01_Вводные'!$B$218*AP205,MeanMinAge16)))</f>
        <v/>
      </c>
      <c r="AQ152" s="190">
        <f>IF(OR((AQ68-AQ96)=0,16&lt;='01_Вводные'!$B$297),0,(AQ68-AQ96)*IF('01_Вводные'!$B$239="Да",MeanMinAge16+AQ205*SUMIF(ThresholdAge16,"&lt;"&amp;AQ205,WeightedRevAge16)-SUMIF(ThresholdAge16,"&lt;"&amp;AQ205,WeightedMinAge16),MAX(CapacityAge16*'01_Вводные'!$B$218*AQ205,MeanMinAge16)))</f>
        <v/>
      </c>
      <c r="AR152" s="190">
        <f>IF(OR((AR68-AR96)=0,16&lt;='01_Вводные'!$B$297),0,(AR68-AR96)*IF('01_Вводные'!$B$239="Да",MeanMinAge16+AR205*SUMIF(ThresholdAge16,"&lt;"&amp;AR205,WeightedRevAge16)-SUMIF(ThresholdAge16,"&lt;"&amp;AR205,WeightedMinAge16),MAX(CapacityAge16*'01_Вводные'!$B$218*AR205,MeanMinAge16)))</f>
        <v/>
      </c>
      <c r="AS152" s="190">
        <f>IF(OR((AS68-AS96)=0,16&lt;='01_Вводные'!$B$297),0,(AS68-AS96)*IF('01_Вводные'!$B$239="Да",MeanMinAge16+AS205*SUMIF(ThresholdAge16,"&lt;"&amp;AS205,WeightedRevAge16)-SUMIF(ThresholdAge16,"&lt;"&amp;AS205,WeightedMinAge16),MAX(CapacityAge16*'01_Вводные'!$B$218*AS205,MeanMinAge16)))</f>
        <v/>
      </c>
      <c r="AT152" s="190">
        <f>IF(OR((AT68-AT96)=0,16&lt;='01_Вводные'!$B$297),0,(AT68-AT96)*IF('01_Вводные'!$B$239="Да",MeanMinAge16+AT205*SUMIF(ThresholdAge16,"&lt;"&amp;AT205,WeightedRevAge16)-SUMIF(ThresholdAge16,"&lt;"&amp;AT205,WeightedMinAge16),MAX(CapacityAge16*'01_Вводные'!$B$218*AT205,MeanMinAge16)))</f>
        <v/>
      </c>
      <c r="AU152" s="190">
        <f>IF(OR((AU68-AU96)=0,16&lt;='01_Вводные'!$B$297),0,(AU68-AU96)*IF('01_Вводные'!$B$239="Да",MeanMinAge16+AU205*SUMIF(ThresholdAge16,"&lt;"&amp;AU205,WeightedRevAge16)-SUMIF(ThresholdAge16,"&lt;"&amp;AU205,WeightedMinAge16),MAX(CapacityAge16*'01_Вводные'!$B$218*AU205,MeanMinAge16)))</f>
        <v/>
      </c>
      <c r="AV152" s="190">
        <f>IF(OR((AV68-AV96)=0,16&lt;='01_Вводные'!$B$297),0,(AV68-AV96)*IF('01_Вводные'!$B$239="Да",MeanMinAge16+AV205*SUMIF(ThresholdAge16,"&lt;"&amp;AV205,WeightedRevAge16)-SUMIF(ThresholdAge16,"&lt;"&amp;AV205,WeightedMinAge16),MAX(CapacityAge16*'01_Вводные'!$B$218*AV205,MeanMinAge16)))</f>
        <v/>
      </c>
      <c r="AW152" s="190">
        <f>IF(OR((AW68-AW96)=0,16&lt;='01_Вводные'!$B$297),0,(AW68-AW96)*IF('01_Вводные'!$B$239="Да",MeanMinAge16+AW205*SUMIF(ThresholdAge16,"&lt;"&amp;AW205,WeightedRevAge16)-SUMIF(ThresholdAge16,"&lt;"&amp;AW205,WeightedMinAge16),MAX(CapacityAge16*'01_Вводные'!$B$218*AW205,MeanMinAge16)))</f>
        <v/>
      </c>
      <c r="AX152" s="190">
        <f>IF(OR((AX68-AX96)=0,16&lt;='01_Вводные'!$B$297),0,(AX68-AX96)*IF('01_Вводные'!$B$239="Да",MeanMinAge16+AX205*SUMIF(ThresholdAge16,"&lt;"&amp;AX205,WeightedRevAge16)-SUMIF(ThresholdAge16,"&lt;"&amp;AX205,WeightedMinAge16),MAX(CapacityAge16*'01_Вводные'!$B$218*AX205,MeanMinAge16)))</f>
        <v/>
      </c>
      <c r="AY152" s="190">
        <f>IF(OR((AY68-AY96)=0,16&lt;='01_Вводные'!$B$297),0,(AY68-AY96)*IF('01_Вводные'!$B$239="Да",MeanMinAge16+AY205*SUMIF(ThresholdAge16,"&lt;"&amp;AY205,WeightedRevAge16)-SUMIF(ThresholdAge16,"&lt;"&amp;AY205,WeightedMinAge16),MAX(CapacityAge16*'01_Вводные'!$B$218*AY205,MeanMinAge16)))</f>
        <v/>
      </c>
      <c r="AZ152" s="190">
        <f>IF(OR((AZ68-AZ96)=0,16&lt;='01_Вводные'!$B$297),0,(AZ68-AZ96)*IF('01_Вводные'!$B$239="Да",MeanMinAge16+AZ205*SUMIF(ThresholdAge16,"&lt;"&amp;AZ205,WeightedRevAge16)-SUMIF(ThresholdAge16,"&lt;"&amp;AZ205,WeightedMinAge16),MAX(CapacityAge16*'01_Вводные'!$B$218*AZ205,MeanMinAge16)))</f>
        <v/>
      </c>
      <c r="BA152" s="190">
        <f>IF(OR((BA68-BA96)=0,16&lt;='01_Вводные'!$B$297),0,(BA68-BA96)*IF('01_Вводные'!$B$239="Да",MeanMinAge16+BA205*SUMIF(ThresholdAge16,"&lt;"&amp;BA205,WeightedRevAge16)-SUMIF(ThresholdAge16,"&lt;"&amp;BA205,WeightedMinAge16),MAX(CapacityAge16*'01_Вводные'!$B$218*BA205,MeanMinAge16)))</f>
        <v/>
      </c>
      <c r="BB152" s="190">
        <f>IF(OR((BB68-BB96)=0,16&lt;='01_Вводные'!$B$297),0,(BB68-BB96)*IF('01_Вводные'!$B$239="Да",MeanMinAge16+BB205*SUMIF(ThresholdAge16,"&lt;"&amp;BB205,WeightedRevAge16)-SUMIF(ThresholdAge16,"&lt;"&amp;BB205,WeightedMinAge16),MAX(CapacityAge16*'01_Вводные'!$B$218*BB205,MeanMinAge16)))</f>
        <v/>
      </c>
      <c r="BC152" s="190">
        <f>IF(OR((BC68-BC96)=0,16&lt;='01_Вводные'!$B$297),0,(BC68-BC96)*IF('01_Вводные'!$B$239="Да",MeanMinAge16+BC205*SUMIF(ThresholdAge16,"&lt;"&amp;BC205,WeightedRevAge16)-SUMIF(ThresholdAge16,"&lt;"&amp;BC205,WeightedMinAge16),MAX(CapacityAge16*'01_Вводные'!$B$218*BC205,MeanMinAge16)))</f>
        <v/>
      </c>
      <c r="BD152" s="190">
        <f>IF(OR((BD68-BD96)=0,16&lt;='01_Вводные'!$B$297),0,(BD68-BD96)*IF('01_Вводные'!$B$239="Да",MeanMinAge16+BD205*SUMIF(ThresholdAge16,"&lt;"&amp;BD205,WeightedRevAge16)-SUMIF(ThresholdAge16,"&lt;"&amp;BD205,WeightedMinAge16),MAX(CapacityAge16*'01_Вводные'!$B$218*BD205,MeanMinAge16)))</f>
        <v/>
      </c>
      <c r="BE152" s="190">
        <f>IF(OR((BE68-BE96)=0,16&lt;='01_Вводные'!$B$297),0,(BE68-BE96)*IF('01_Вводные'!$B$239="Да",MeanMinAge16+BE205*SUMIF(ThresholdAge16,"&lt;"&amp;BE205,WeightedRevAge16)-SUMIF(ThresholdAge16,"&lt;"&amp;BE205,WeightedMinAge16),MAX(CapacityAge16*'01_Вводные'!$B$218*BE205,MeanMinAge16)))</f>
        <v/>
      </c>
      <c r="BF152" s="190">
        <f>IF(OR((BF68-BF96)=0,16&lt;='01_Вводные'!$B$297),0,(BF68-BF96)*IF('01_Вводные'!$B$239="Да",MeanMinAge16+BF205*SUMIF(ThresholdAge16,"&lt;"&amp;BF205,WeightedRevAge16)-SUMIF(ThresholdAge16,"&lt;"&amp;BF205,WeightedMinAge16),MAX(CapacityAge16*'01_Вводные'!$B$218*BF205,MeanMinAge16)))</f>
        <v/>
      </c>
      <c r="BG152" s="190">
        <f>IF(OR((BG68-BG96)=0,16&lt;='01_Вводные'!$B$297),0,(BG68-BG96)*IF('01_Вводные'!$B$239="Да",MeanMinAge16+BG205*SUMIF(ThresholdAge16,"&lt;"&amp;BG205,WeightedRevAge16)-SUMIF(ThresholdAge16,"&lt;"&amp;BG205,WeightedMinAge16),MAX(CapacityAge16*'01_Вводные'!$B$218*BG205,MeanMinAge16)))</f>
        <v/>
      </c>
      <c r="BH152" s="190">
        <f>IF(OR((BH68-BH96)=0,16&lt;='01_Вводные'!$B$297),0,(BH68-BH96)*IF('01_Вводные'!$B$239="Да",MeanMinAge16+BH205*SUMIF(ThresholdAge16,"&lt;"&amp;BH205,WeightedRevAge16)-SUMIF(ThresholdAge16,"&lt;"&amp;BH205,WeightedMinAge16),MAX(CapacityAge16*'01_Вводные'!$B$218*BH205,MeanMinAge16)))</f>
        <v/>
      </c>
      <c r="BI152" s="190">
        <f>IF(OR((BI68-BI96)=0,16&lt;='01_Вводные'!$B$297),0,(BI68-BI96)*IF('01_Вводные'!$B$239="Да",MeanMinAge16+BI205*SUMIF(ThresholdAge16,"&lt;"&amp;BI205,WeightedRevAge16)-SUMIF(ThresholdAge16,"&lt;"&amp;BI205,WeightedMinAge16),MAX(CapacityAge16*'01_Вводные'!$B$218*BI205,MeanMinAge16)))</f>
        <v/>
      </c>
      <c r="BJ152" s="190">
        <f>IF(OR((BJ68-BJ96)=0,16&lt;='01_Вводные'!$B$297),0,(BJ68-BJ96)*IF('01_Вводные'!$B$239="Да",MeanMinAge16+BJ205*SUMIF(ThresholdAge16,"&lt;"&amp;BJ205,WeightedRevAge16)-SUMIF(ThresholdAge16,"&lt;"&amp;BJ205,WeightedMinAge16),MAX(CapacityAge16*'01_Вводные'!$B$218*BJ205,MeanMinAge16)))</f>
        <v/>
      </c>
      <c r="BK152" s="190">
        <f>IF(OR((BK68-BK96)=0,16&lt;='01_Вводные'!$B$297),0,(BK68-BK96)*IF('01_Вводные'!$B$239="Да",MeanMinAge16+BK205*SUMIF(ThresholdAge16,"&lt;"&amp;BK205,WeightedRevAge16)-SUMIF(ThresholdAge16,"&lt;"&amp;BK205,WeightedMinAge16),MAX(CapacityAge16*'01_Вводные'!$B$218*BK205,MeanMinAge16)))</f>
        <v/>
      </c>
      <c r="BL152" s="190">
        <f>IF(OR((BL68-BL96)=0,16&lt;='01_Вводные'!$B$297),0,(BL68-BL96)*IF('01_Вводные'!$B$239="Да",MeanMinAge16+BL205*SUMIF(ThresholdAge16,"&lt;"&amp;BL205,WeightedRevAge16)-SUMIF(ThresholdAge16,"&lt;"&amp;BL205,WeightedMinAge16),MAX(CapacityAge16*'01_Вводные'!$B$218*BL205,MeanMinAge16)))</f>
        <v/>
      </c>
      <c r="BM152" s="190">
        <f>IF(OR((BM68-BM96)=0,16&lt;='01_Вводные'!$B$297),0,(BM68-BM96)*IF('01_Вводные'!$B$239="Да",MeanMinAge16+BM205*SUMIF(ThresholdAge16,"&lt;"&amp;BM205,WeightedRevAge16)-SUMIF(ThresholdAge16,"&lt;"&amp;BM205,WeightedMinAge16),MAX(CapacityAge16*'01_Вводные'!$B$218*BM205,MeanMinAge16)))</f>
        <v/>
      </c>
      <c r="BN152" s="190">
        <f>IF(OR((BN68-BN96)=0,16&lt;='01_Вводные'!$B$297),0,(BN68-BN96)*IF('01_Вводные'!$B$239="Да",MeanMinAge16+BN205*SUMIF(ThresholdAge16,"&lt;"&amp;BN205,WeightedRevAge16)-SUMIF(ThresholdAge16,"&lt;"&amp;BN205,WeightedMinAge16),MAX(CapacityAge16*'01_Вводные'!$B$218*BN205,MeanMinAge16)))</f>
        <v/>
      </c>
      <c r="BO152" s="190">
        <f>IF(OR((BO68-BO96)=0,16&lt;='01_Вводные'!$B$297),0,(BO68-BO96)*IF('01_Вводные'!$B$239="Да",MeanMinAge16+BO205*SUMIF(ThresholdAge16,"&lt;"&amp;BO205,WeightedRevAge16)-SUMIF(ThresholdAge16,"&lt;"&amp;BO205,WeightedMinAge16),MAX(CapacityAge16*'01_Вводные'!$B$218*BO205,MeanMinAge16)))</f>
        <v/>
      </c>
    </row>
    <row r="153" hidden="1" outlineLevel="1">
      <c r="A153" t="inlineStr">
        <is>
          <t>17 мес.</t>
        </is>
      </c>
      <c r="B153" s="190">
        <f>IF(OR((B69-B97)=0,17&lt;='01_Вводные'!$B$297),0,(B69-B97)*IF('01_Вводные'!$B$239="Да",MeanMinAge17+B205*SUMIF(ThresholdAge17,"&lt;"&amp;B205,WeightedRevAge17)-SUMIF(ThresholdAge17,"&lt;"&amp;B205,WeightedMinAge17),MAX(CapacityAge17*'01_Вводные'!$B$218*B205,MeanMinAge17)))</f>
        <v/>
      </c>
      <c r="C153" s="190">
        <f>IF(OR((C69-C97)=0,17&lt;='01_Вводные'!$B$297),0,(C69-C97)*IF('01_Вводные'!$B$239="Да",MeanMinAge17+C205*SUMIF(ThresholdAge17,"&lt;"&amp;C205,WeightedRevAge17)-SUMIF(ThresholdAge17,"&lt;"&amp;C205,WeightedMinAge17),MAX(CapacityAge17*'01_Вводные'!$B$218*C205,MeanMinAge17)))</f>
        <v/>
      </c>
      <c r="D153" s="190">
        <f>IF(OR((D69-D97)=0,17&lt;='01_Вводные'!$B$297),0,(D69-D97)*IF('01_Вводные'!$B$239="Да",MeanMinAge17+D205*SUMIF(ThresholdAge17,"&lt;"&amp;D205,WeightedRevAge17)-SUMIF(ThresholdAge17,"&lt;"&amp;D205,WeightedMinAge17),MAX(CapacityAge17*'01_Вводные'!$B$218*D205,MeanMinAge17)))</f>
        <v/>
      </c>
      <c r="E153" s="190">
        <f>IF(OR((E69-E97)=0,17&lt;='01_Вводные'!$B$297),0,(E69-E97)*IF('01_Вводные'!$B$239="Да",MeanMinAge17+E205*SUMIF(ThresholdAge17,"&lt;"&amp;E205,WeightedRevAge17)-SUMIF(ThresholdAge17,"&lt;"&amp;E205,WeightedMinAge17),MAX(CapacityAge17*'01_Вводные'!$B$218*E205,MeanMinAge17)))</f>
        <v/>
      </c>
      <c r="F153" s="190">
        <f>IF(OR((F69-F97)=0,17&lt;='01_Вводные'!$B$297),0,(F69-F97)*IF('01_Вводные'!$B$239="Да",MeanMinAge17+F205*SUMIF(ThresholdAge17,"&lt;"&amp;F205,WeightedRevAge17)-SUMIF(ThresholdAge17,"&lt;"&amp;F205,WeightedMinAge17),MAX(CapacityAge17*'01_Вводные'!$B$218*F205,MeanMinAge17)))</f>
        <v/>
      </c>
      <c r="G153" s="190">
        <f>IF(OR((G69-G97)=0,17&lt;='01_Вводные'!$B$297),0,(G69-G97)*IF('01_Вводные'!$B$239="Да",MeanMinAge17+G205*SUMIF(ThresholdAge17,"&lt;"&amp;G205,WeightedRevAge17)-SUMIF(ThresholdAge17,"&lt;"&amp;G205,WeightedMinAge17),MAX(CapacityAge17*'01_Вводные'!$B$218*G205,MeanMinAge17)))</f>
        <v/>
      </c>
      <c r="H153" s="190">
        <f>IF(OR((H69-H97)=0,17&lt;='01_Вводные'!$B$297),0,(H69-H97)*IF('01_Вводные'!$B$239="Да",MeanMinAge17+H205*SUMIF(ThresholdAge17,"&lt;"&amp;H205,WeightedRevAge17)-SUMIF(ThresholdAge17,"&lt;"&amp;H205,WeightedMinAge17),MAX(CapacityAge17*'01_Вводные'!$B$218*H205,MeanMinAge17)))</f>
        <v/>
      </c>
      <c r="I153" s="190">
        <f>IF(OR((I69-I97)=0,17&lt;='01_Вводные'!$B$297),0,(I69-I97)*IF('01_Вводные'!$B$239="Да",MeanMinAge17+I205*SUMIF(ThresholdAge17,"&lt;"&amp;I205,WeightedRevAge17)-SUMIF(ThresholdAge17,"&lt;"&amp;I205,WeightedMinAge17),MAX(CapacityAge17*'01_Вводные'!$B$218*I205,MeanMinAge17)))</f>
        <v/>
      </c>
      <c r="J153" s="190">
        <f>IF(OR((J69-J97)=0,17&lt;='01_Вводные'!$B$297),0,(J69-J97)*IF('01_Вводные'!$B$239="Да",MeanMinAge17+J205*SUMIF(ThresholdAge17,"&lt;"&amp;J205,WeightedRevAge17)-SUMIF(ThresholdAge17,"&lt;"&amp;J205,WeightedMinAge17),MAX(CapacityAge17*'01_Вводные'!$B$218*J205,MeanMinAge17)))</f>
        <v/>
      </c>
      <c r="K153" s="190">
        <f>IF(OR((K69-K97)=0,17&lt;='01_Вводные'!$B$297),0,(K69-K97)*IF('01_Вводные'!$B$239="Да",MeanMinAge17+K205*SUMIF(ThresholdAge17,"&lt;"&amp;K205,WeightedRevAge17)-SUMIF(ThresholdAge17,"&lt;"&amp;K205,WeightedMinAge17),MAX(CapacityAge17*'01_Вводные'!$B$218*K205,MeanMinAge17)))</f>
        <v/>
      </c>
      <c r="L153" s="190">
        <f>IF(OR((L69-L97)=0,17&lt;='01_Вводные'!$B$297),0,(L69-L97)*IF('01_Вводные'!$B$239="Да",MeanMinAge17+L205*SUMIF(ThresholdAge17,"&lt;"&amp;L205,WeightedRevAge17)-SUMIF(ThresholdAge17,"&lt;"&amp;L205,WeightedMinAge17),MAX(CapacityAge17*'01_Вводные'!$B$218*L205,MeanMinAge17)))</f>
        <v/>
      </c>
      <c r="M153" s="190">
        <f>IF(OR((M69-M97)=0,17&lt;='01_Вводные'!$B$297),0,(M69-M97)*IF('01_Вводные'!$B$239="Да",MeanMinAge17+M205*SUMIF(ThresholdAge17,"&lt;"&amp;M205,WeightedRevAge17)-SUMIF(ThresholdAge17,"&lt;"&amp;M205,WeightedMinAge17),MAX(CapacityAge17*'01_Вводные'!$B$218*M205,MeanMinAge17)))</f>
        <v/>
      </c>
      <c r="N153" s="190">
        <f>IF(OR((N69-N97)=0,17&lt;='01_Вводные'!$B$297),0,(N69-N97)*IF('01_Вводные'!$B$239="Да",MeanMinAge17+N205*SUMIF(ThresholdAge17,"&lt;"&amp;N205,WeightedRevAge17)-SUMIF(ThresholdAge17,"&lt;"&amp;N205,WeightedMinAge17),MAX(CapacityAge17*'01_Вводные'!$B$218*N205,MeanMinAge17)))</f>
        <v/>
      </c>
      <c r="O153" s="190">
        <f>IF(OR((O69-O97)=0,17&lt;='01_Вводные'!$B$297),0,(O69-O97)*IF('01_Вводные'!$B$239="Да",MeanMinAge17+O205*SUMIF(ThresholdAge17,"&lt;"&amp;O205,WeightedRevAge17)-SUMIF(ThresholdAge17,"&lt;"&amp;O205,WeightedMinAge17),MAX(CapacityAge17*'01_Вводные'!$B$218*O205,MeanMinAge17)))</f>
        <v/>
      </c>
      <c r="P153" s="190">
        <f>IF(OR((P69-P97)=0,17&lt;='01_Вводные'!$B$297),0,(P69-P97)*IF('01_Вводные'!$B$239="Да",MeanMinAge17+P205*SUMIF(ThresholdAge17,"&lt;"&amp;P205,WeightedRevAge17)-SUMIF(ThresholdAge17,"&lt;"&amp;P205,WeightedMinAge17),MAX(CapacityAge17*'01_Вводные'!$B$218*P205,MeanMinAge17)))</f>
        <v/>
      </c>
      <c r="Q153" s="190">
        <f>IF(OR((Q69-Q97)=0,17&lt;='01_Вводные'!$B$297),0,(Q69-Q97)*IF('01_Вводные'!$B$239="Да",MeanMinAge17+Q205*SUMIF(ThresholdAge17,"&lt;"&amp;Q205,WeightedRevAge17)-SUMIF(ThresholdAge17,"&lt;"&amp;Q205,WeightedMinAge17),MAX(CapacityAge17*'01_Вводные'!$B$218*Q205,MeanMinAge17)))</f>
        <v/>
      </c>
      <c r="R153" s="190">
        <f>IF(OR((R69-R97)=0,17&lt;='01_Вводные'!$B$297),0,(R69-R97)*IF('01_Вводные'!$B$239="Да",MeanMinAge17+R205*SUMIF(ThresholdAge17,"&lt;"&amp;R205,WeightedRevAge17)-SUMIF(ThresholdAge17,"&lt;"&amp;R205,WeightedMinAge17),MAX(CapacityAge17*'01_Вводные'!$B$218*R205,MeanMinAge17)))</f>
        <v/>
      </c>
      <c r="S153" s="190">
        <f>IF(OR((S69-S97)=0,17&lt;='01_Вводные'!$B$297),0,(S69-S97)*IF('01_Вводные'!$B$239="Да",MeanMinAge17+S205*SUMIF(ThresholdAge17,"&lt;"&amp;S205,WeightedRevAge17)-SUMIF(ThresholdAge17,"&lt;"&amp;S205,WeightedMinAge17),MAX(CapacityAge17*'01_Вводные'!$B$218*S205,MeanMinAge17)))</f>
        <v/>
      </c>
      <c r="T153" s="190">
        <f>IF(OR((T69-T97)=0,17&lt;='01_Вводные'!$B$297),0,(T69-T97)*IF('01_Вводные'!$B$239="Да",MeanMinAge17+T205*SUMIF(ThresholdAge17,"&lt;"&amp;T205,WeightedRevAge17)-SUMIF(ThresholdAge17,"&lt;"&amp;T205,WeightedMinAge17),MAX(CapacityAge17*'01_Вводные'!$B$218*T205,MeanMinAge17)))</f>
        <v/>
      </c>
      <c r="U153" s="190">
        <f>IF(OR((U69-U97)=0,17&lt;='01_Вводные'!$B$297),0,(U69-U97)*IF('01_Вводные'!$B$239="Да",MeanMinAge17+U205*SUMIF(ThresholdAge17,"&lt;"&amp;U205,WeightedRevAge17)-SUMIF(ThresholdAge17,"&lt;"&amp;U205,WeightedMinAge17),MAX(CapacityAge17*'01_Вводные'!$B$218*U205,MeanMinAge17)))</f>
        <v/>
      </c>
      <c r="V153" s="190">
        <f>IF(OR((V69-V97)=0,17&lt;='01_Вводные'!$B$297),0,(V69-V97)*IF('01_Вводные'!$B$239="Да",MeanMinAge17+V205*SUMIF(ThresholdAge17,"&lt;"&amp;V205,WeightedRevAge17)-SUMIF(ThresholdAge17,"&lt;"&amp;V205,WeightedMinAge17),MAX(CapacityAge17*'01_Вводные'!$B$218*V205,MeanMinAge17)))</f>
        <v/>
      </c>
      <c r="W153" s="190">
        <f>IF(OR((W69-W97)=0,17&lt;='01_Вводные'!$B$297),0,(W69-W97)*IF('01_Вводные'!$B$239="Да",MeanMinAge17+W205*SUMIF(ThresholdAge17,"&lt;"&amp;W205,WeightedRevAge17)-SUMIF(ThresholdAge17,"&lt;"&amp;W205,WeightedMinAge17),MAX(CapacityAge17*'01_Вводные'!$B$218*W205,MeanMinAge17)))</f>
        <v/>
      </c>
      <c r="X153" s="190">
        <f>IF(OR((X69-X97)=0,17&lt;='01_Вводные'!$B$297),0,(X69-X97)*IF('01_Вводные'!$B$239="Да",MeanMinAge17+X205*SUMIF(ThresholdAge17,"&lt;"&amp;X205,WeightedRevAge17)-SUMIF(ThresholdAge17,"&lt;"&amp;X205,WeightedMinAge17),MAX(CapacityAge17*'01_Вводные'!$B$218*X205,MeanMinAge17)))</f>
        <v/>
      </c>
      <c r="Y153" s="190">
        <f>IF(OR((Y69-Y97)=0,17&lt;='01_Вводные'!$B$297),0,(Y69-Y97)*IF('01_Вводные'!$B$239="Да",MeanMinAge17+Y205*SUMIF(ThresholdAge17,"&lt;"&amp;Y205,WeightedRevAge17)-SUMIF(ThresholdAge17,"&lt;"&amp;Y205,WeightedMinAge17),MAX(CapacityAge17*'01_Вводные'!$B$218*Y205,MeanMinAge17)))</f>
        <v/>
      </c>
      <c r="Z153" s="190">
        <f>IF(OR((Z69-Z97)=0,17&lt;='01_Вводные'!$B$297),0,(Z69-Z97)*IF('01_Вводные'!$B$239="Да",MeanMinAge17+Z205*SUMIF(ThresholdAge17,"&lt;"&amp;Z205,WeightedRevAge17)-SUMIF(ThresholdAge17,"&lt;"&amp;Z205,WeightedMinAge17),MAX(CapacityAge17*'01_Вводные'!$B$218*Z205,MeanMinAge17)))</f>
        <v/>
      </c>
      <c r="AA153" s="190">
        <f>IF(OR((AA69-AA97)=0,17&lt;='01_Вводные'!$B$297),0,(AA69-AA97)*IF('01_Вводные'!$B$239="Да",MeanMinAge17+AA205*SUMIF(ThresholdAge17,"&lt;"&amp;AA205,WeightedRevAge17)-SUMIF(ThresholdAge17,"&lt;"&amp;AA205,WeightedMinAge17),MAX(CapacityAge17*'01_Вводные'!$B$218*AA205,MeanMinAge17)))</f>
        <v/>
      </c>
      <c r="AB153" s="190">
        <f>IF(OR((AB69-AB97)=0,17&lt;='01_Вводные'!$B$297),0,(AB69-AB97)*IF('01_Вводные'!$B$239="Да",MeanMinAge17+AB205*SUMIF(ThresholdAge17,"&lt;"&amp;AB205,WeightedRevAge17)-SUMIF(ThresholdAge17,"&lt;"&amp;AB205,WeightedMinAge17),MAX(CapacityAge17*'01_Вводные'!$B$218*AB205,MeanMinAge17)))</f>
        <v/>
      </c>
      <c r="AC153" s="190">
        <f>IF(OR((AC69-AC97)=0,17&lt;='01_Вводные'!$B$297),0,(AC69-AC97)*IF('01_Вводные'!$B$239="Да",MeanMinAge17+AC205*SUMIF(ThresholdAge17,"&lt;"&amp;AC205,WeightedRevAge17)-SUMIF(ThresholdAge17,"&lt;"&amp;AC205,WeightedMinAge17),MAX(CapacityAge17*'01_Вводные'!$B$218*AC205,MeanMinAge17)))</f>
        <v/>
      </c>
      <c r="AD153" s="190">
        <f>IF(OR((AD69-AD97)=0,17&lt;='01_Вводные'!$B$297),0,(AD69-AD97)*IF('01_Вводные'!$B$239="Да",MeanMinAge17+AD205*SUMIF(ThresholdAge17,"&lt;"&amp;AD205,WeightedRevAge17)-SUMIF(ThresholdAge17,"&lt;"&amp;AD205,WeightedMinAge17),MAX(CapacityAge17*'01_Вводные'!$B$218*AD205,MeanMinAge17)))</f>
        <v/>
      </c>
      <c r="AE153" s="190">
        <f>IF(OR((AE69-AE97)=0,17&lt;='01_Вводные'!$B$297),0,(AE69-AE97)*IF('01_Вводные'!$B$239="Да",MeanMinAge17+AE205*SUMIF(ThresholdAge17,"&lt;"&amp;AE205,WeightedRevAge17)-SUMIF(ThresholdAge17,"&lt;"&amp;AE205,WeightedMinAge17),MAX(CapacityAge17*'01_Вводные'!$B$218*AE205,MeanMinAge17)))</f>
        <v/>
      </c>
      <c r="AF153" s="190">
        <f>IF(OR((AF69-AF97)=0,17&lt;='01_Вводные'!$B$297),0,(AF69-AF97)*IF('01_Вводные'!$B$239="Да",MeanMinAge17+AF205*SUMIF(ThresholdAge17,"&lt;"&amp;AF205,WeightedRevAge17)-SUMIF(ThresholdAge17,"&lt;"&amp;AF205,WeightedMinAge17),MAX(CapacityAge17*'01_Вводные'!$B$218*AF205,MeanMinAge17)))</f>
        <v/>
      </c>
      <c r="AG153" s="190">
        <f>IF(OR((AG69-AG97)=0,17&lt;='01_Вводные'!$B$297),0,(AG69-AG97)*IF('01_Вводные'!$B$239="Да",MeanMinAge17+AG205*SUMIF(ThresholdAge17,"&lt;"&amp;AG205,WeightedRevAge17)-SUMIF(ThresholdAge17,"&lt;"&amp;AG205,WeightedMinAge17),MAX(CapacityAge17*'01_Вводные'!$B$218*AG205,MeanMinAge17)))</f>
        <v/>
      </c>
      <c r="AH153" s="190">
        <f>IF(OR((AH69-AH97)=0,17&lt;='01_Вводные'!$B$297),0,(AH69-AH97)*IF('01_Вводные'!$B$239="Да",MeanMinAge17+AH205*SUMIF(ThresholdAge17,"&lt;"&amp;AH205,WeightedRevAge17)-SUMIF(ThresholdAge17,"&lt;"&amp;AH205,WeightedMinAge17),MAX(CapacityAge17*'01_Вводные'!$B$218*AH205,MeanMinAge17)))</f>
        <v/>
      </c>
      <c r="AI153" s="190">
        <f>IF(OR((AI69-AI97)=0,17&lt;='01_Вводные'!$B$297),0,(AI69-AI97)*IF('01_Вводные'!$B$239="Да",MeanMinAge17+AI205*SUMIF(ThresholdAge17,"&lt;"&amp;AI205,WeightedRevAge17)-SUMIF(ThresholdAge17,"&lt;"&amp;AI205,WeightedMinAge17),MAX(CapacityAge17*'01_Вводные'!$B$218*AI205,MeanMinAge17)))</f>
        <v/>
      </c>
      <c r="AJ153" s="190">
        <f>IF(OR((AJ69-AJ97)=0,17&lt;='01_Вводные'!$B$297),0,(AJ69-AJ97)*IF('01_Вводные'!$B$239="Да",MeanMinAge17+AJ205*SUMIF(ThresholdAge17,"&lt;"&amp;AJ205,WeightedRevAge17)-SUMIF(ThresholdAge17,"&lt;"&amp;AJ205,WeightedMinAge17),MAX(CapacityAge17*'01_Вводные'!$B$218*AJ205,MeanMinAge17)))</f>
        <v/>
      </c>
      <c r="AK153" s="190">
        <f>IF(OR((AK69-AK97)=0,17&lt;='01_Вводные'!$B$297),0,(AK69-AK97)*IF('01_Вводные'!$B$239="Да",MeanMinAge17+AK205*SUMIF(ThresholdAge17,"&lt;"&amp;AK205,WeightedRevAge17)-SUMIF(ThresholdAge17,"&lt;"&amp;AK205,WeightedMinAge17),MAX(CapacityAge17*'01_Вводные'!$B$218*AK205,MeanMinAge17)))</f>
        <v/>
      </c>
      <c r="AL153" s="190">
        <f>IF(OR((AL69-AL97)=0,17&lt;='01_Вводные'!$B$297),0,(AL69-AL97)*IF('01_Вводные'!$B$239="Да",MeanMinAge17+AL205*SUMIF(ThresholdAge17,"&lt;"&amp;AL205,WeightedRevAge17)-SUMIF(ThresholdAge17,"&lt;"&amp;AL205,WeightedMinAge17),MAX(CapacityAge17*'01_Вводные'!$B$218*AL205,MeanMinAge17)))</f>
        <v/>
      </c>
      <c r="AM153" s="190">
        <f>IF(OR((AM69-AM97)=0,17&lt;='01_Вводные'!$B$297),0,(AM69-AM97)*IF('01_Вводные'!$B$239="Да",MeanMinAge17+AM205*SUMIF(ThresholdAge17,"&lt;"&amp;AM205,WeightedRevAge17)-SUMIF(ThresholdAge17,"&lt;"&amp;AM205,WeightedMinAge17),MAX(CapacityAge17*'01_Вводные'!$B$218*AM205,MeanMinAge17)))</f>
        <v/>
      </c>
      <c r="AN153" s="190">
        <f>IF(OR((AN69-AN97)=0,17&lt;='01_Вводные'!$B$297),0,(AN69-AN97)*IF('01_Вводные'!$B$239="Да",MeanMinAge17+AN205*SUMIF(ThresholdAge17,"&lt;"&amp;AN205,WeightedRevAge17)-SUMIF(ThresholdAge17,"&lt;"&amp;AN205,WeightedMinAge17),MAX(CapacityAge17*'01_Вводные'!$B$218*AN205,MeanMinAge17)))</f>
        <v/>
      </c>
      <c r="AO153" s="190">
        <f>IF(OR((AO69-AO97)=0,17&lt;='01_Вводные'!$B$297),0,(AO69-AO97)*IF('01_Вводные'!$B$239="Да",MeanMinAge17+AO205*SUMIF(ThresholdAge17,"&lt;"&amp;AO205,WeightedRevAge17)-SUMIF(ThresholdAge17,"&lt;"&amp;AO205,WeightedMinAge17),MAX(CapacityAge17*'01_Вводные'!$B$218*AO205,MeanMinAge17)))</f>
        <v/>
      </c>
      <c r="AP153" s="190">
        <f>IF(OR((AP69-AP97)=0,17&lt;='01_Вводные'!$B$297),0,(AP69-AP97)*IF('01_Вводные'!$B$239="Да",MeanMinAge17+AP205*SUMIF(ThresholdAge17,"&lt;"&amp;AP205,WeightedRevAge17)-SUMIF(ThresholdAge17,"&lt;"&amp;AP205,WeightedMinAge17),MAX(CapacityAge17*'01_Вводные'!$B$218*AP205,MeanMinAge17)))</f>
        <v/>
      </c>
      <c r="AQ153" s="190">
        <f>IF(OR((AQ69-AQ97)=0,17&lt;='01_Вводные'!$B$297),0,(AQ69-AQ97)*IF('01_Вводные'!$B$239="Да",MeanMinAge17+AQ205*SUMIF(ThresholdAge17,"&lt;"&amp;AQ205,WeightedRevAge17)-SUMIF(ThresholdAge17,"&lt;"&amp;AQ205,WeightedMinAge17),MAX(CapacityAge17*'01_Вводные'!$B$218*AQ205,MeanMinAge17)))</f>
        <v/>
      </c>
      <c r="AR153" s="190">
        <f>IF(OR((AR69-AR97)=0,17&lt;='01_Вводные'!$B$297),0,(AR69-AR97)*IF('01_Вводные'!$B$239="Да",MeanMinAge17+AR205*SUMIF(ThresholdAge17,"&lt;"&amp;AR205,WeightedRevAge17)-SUMIF(ThresholdAge17,"&lt;"&amp;AR205,WeightedMinAge17),MAX(CapacityAge17*'01_Вводные'!$B$218*AR205,MeanMinAge17)))</f>
        <v/>
      </c>
      <c r="AS153" s="190">
        <f>IF(OR((AS69-AS97)=0,17&lt;='01_Вводные'!$B$297),0,(AS69-AS97)*IF('01_Вводные'!$B$239="Да",MeanMinAge17+AS205*SUMIF(ThresholdAge17,"&lt;"&amp;AS205,WeightedRevAge17)-SUMIF(ThresholdAge17,"&lt;"&amp;AS205,WeightedMinAge17),MAX(CapacityAge17*'01_Вводные'!$B$218*AS205,MeanMinAge17)))</f>
        <v/>
      </c>
      <c r="AT153" s="190">
        <f>IF(OR((AT69-AT97)=0,17&lt;='01_Вводные'!$B$297),0,(AT69-AT97)*IF('01_Вводные'!$B$239="Да",MeanMinAge17+AT205*SUMIF(ThresholdAge17,"&lt;"&amp;AT205,WeightedRevAge17)-SUMIF(ThresholdAge17,"&lt;"&amp;AT205,WeightedMinAge17),MAX(CapacityAge17*'01_Вводные'!$B$218*AT205,MeanMinAge17)))</f>
        <v/>
      </c>
      <c r="AU153" s="190">
        <f>IF(OR((AU69-AU97)=0,17&lt;='01_Вводные'!$B$297),0,(AU69-AU97)*IF('01_Вводные'!$B$239="Да",MeanMinAge17+AU205*SUMIF(ThresholdAge17,"&lt;"&amp;AU205,WeightedRevAge17)-SUMIF(ThresholdAge17,"&lt;"&amp;AU205,WeightedMinAge17),MAX(CapacityAge17*'01_Вводные'!$B$218*AU205,MeanMinAge17)))</f>
        <v/>
      </c>
      <c r="AV153" s="190">
        <f>IF(OR((AV69-AV97)=0,17&lt;='01_Вводные'!$B$297),0,(AV69-AV97)*IF('01_Вводные'!$B$239="Да",MeanMinAge17+AV205*SUMIF(ThresholdAge17,"&lt;"&amp;AV205,WeightedRevAge17)-SUMIF(ThresholdAge17,"&lt;"&amp;AV205,WeightedMinAge17),MAX(CapacityAge17*'01_Вводные'!$B$218*AV205,MeanMinAge17)))</f>
        <v/>
      </c>
      <c r="AW153" s="190">
        <f>IF(OR((AW69-AW97)=0,17&lt;='01_Вводные'!$B$297),0,(AW69-AW97)*IF('01_Вводные'!$B$239="Да",MeanMinAge17+AW205*SUMIF(ThresholdAge17,"&lt;"&amp;AW205,WeightedRevAge17)-SUMIF(ThresholdAge17,"&lt;"&amp;AW205,WeightedMinAge17),MAX(CapacityAge17*'01_Вводные'!$B$218*AW205,MeanMinAge17)))</f>
        <v/>
      </c>
      <c r="AX153" s="190">
        <f>IF(OR((AX69-AX97)=0,17&lt;='01_Вводные'!$B$297),0,(AX69-AX97)*IF('01_Вводные'!$B$239="Да",MeanMinAge17+AX205*SUMIF(ThresholdAge17,"&lt;"&amp;AX205,WeightedRevAge17)-SUMIF(ThresholdAge17,"&lt;"&amp;AX205,WeightedMinAge17),MAX(CapacityAge17*'01_Вводные'!$B$218*AX205,MeanMinAge17)))</f>
        <v/>
      </c>
      <c r="AY153" s="190">
        <f>IF(OR((AY69-AY97)=0,17&lt;='01_Вводные'!$B$297),0,(AY69-AY97)*IF('01_Вводные'!$B$239="Да",MeanMinAge17+AY205*SUMIF(ThresholdAge17,"&lt;"&amp;AY205,WeightedRevAge17)-SUMIF(ThresholdAge17,"&lt;"&amp;AY205,WeightedMinAge17),MAX(CapacityAge17*'01_Вводные'!$B$218*AY205,MeanMinAge17)))</f>
        <v/>
      </c>
      <c r="AZ153" s="190">
        <f>IF(OR((AZ69-AZ97)=0,17&lt;='01_Вводные'!$B$297),0,(AZ69-AZ97)*IF('01_Вводные'!$B$239="Да",MeanMinAge17+AZ205*SUMIF(ThresholdAge17,"&lt;"&amp;AZ205,WeightedRevAge17)-SUMIF(ThresholdAge17,"&lt;"&amp;AZ205,WeightedMinAge17),MAX(CapacityAge17*'01_Вводные'!$B$218*AZ205,MeanMinAge17)))</f>
        <v/>
      </c>
      <c r="BA153" s="190">
        <f>IF(OR((BA69-BA97)=0,17&lt;='01_Вводные'!$B$297),0,(BA69-BA97)*IF('01_Вводные'!$B$239="Да",MeanMinAge17+BA205*SUMIF(ThresholdAge17,"&lt;"&amp;BA205,WeightedRevAge17)-SUMIF(ThresholdAge17,"&lt;"&amp;BA205,WeightedMinAge17),MAX(CapacityAge17*'01_Вводные'!$B$218*BA205,MeanMinAge17)))</f>
        <v/>
      </c>
      <c r="BB153" s="190">
        <f>IF(OR((BB69-BB97)=0,17&lt;='01_Вводные'!$B$297),0,(BB69-BB97)*IF('01_Вводные'!$B$239="Да",MeanMinAge17+BB205*SUMIF(ThresholdAge17,"&lt;"&amp;BB205,WeightedRevAge17)-SUMIF(ThresholdAge17,"&lt;"&amp;BB205,WeightedMinAge17),MAX(CapacityAge17*'01_Вводные'!$B$218*BB205,MeanMinAge17)))</f>
        <v/>
      </c>
      <c r="BC153" s="190">
        <f>IF(OR((BC69-BC97)=0,17&lt;='01_Вводные'!$B$297),0,(BC69-BC97)*IF('01_Вводные'!$B$239="Да",MeanMinAge17+BC205*SUMIF(ThresholdAge17,"&lt;"&amp;BC205,WeightedRevAge17)-SUMIF(ThresholdAge17,"&lt;"&amp;BC205,WeightedMinAge17),MAX(CapacityAge17*'01_Вводные'!$B$218*BC205,MeanMinAge17)))</f>
        <v/>
      </c>
      <c r="BD153" s="190">
        <f>IF(OR((BD69-BD97)=0,17&lt;='01_Вводные'!$B$297),0,(BD69-BD97)*IF('01_Вводные'!$B$239="Да",MeanMinAge17+BD205*SUMIF(ThresholdAge17,"&lt;"&amp;BD205,WeightedRevAge17)-SUMIF(ThresholdAge17,"&lt;"&amp;BD205,WeightedMinAge17),MAX(CapacityAge17*'01_Вводные'!$B$218*BD205,MeanMinAge17)))</f>
        <v/>
      </c>
      <c r="BE153" s="190">
        <f>IF(OR((BE69-BE97)=0,17&lt;='01_Вводные'!$B$297),0,(BE69-BE97)*IF('01_Вводные'!$B$239="Да",MeanMinAge17+BE205*SUMIF(ThresholdAge17,"&lt;"&amp;BE205,WeightedRevAge17)-SUMIF(ThresholdAge17,"&lt;"&amp;BE205,WeightedMinAge17),MAX(CapacityAge17*'01_Вводные'!$B$218*BE205,MeanMinAge17)))</f>
        <v/>
      </c>
      <c r="BF153" s="190">
        <f>IF(OR((BF69-BF97)=0,17&lt;='01_Вводные'!$B$297),0,(BF69-BF97)*IF('01_Вводные'!$B$239="Да",MeanMinAge17+BF205*SUMIF(ThresholdAge17,"&lt;"&amp;BF205,WeightedRevAge17)-SUMIF(ThresholdAge17,"&lt;"&amp;BF205,WeightedMinAge17),MAX(CapacityAge17*'01_Вводные'!$B$218*BF205,MeanMinAge17)))</f>
        <v/>
      </c>
      <c r="BG153" s="190">
        <f>IF(OR((BG69-BG97)=0,17&lt;='01_Вводные'!$B$297),0,(BG69-BG97)*IF('01_Вводные'!$B$239="Да",MeanMinAge17+BG205*SUMIF(ThresholdAge17,"&lt;"&amp;BG205,WeightedRevAge17)-SUMIF(ThresholdAge17,"&lt;"&amp;BG205,WeightedMinAge17),MAX(CapacityAge17*'01_Вводные'!$B$218*BG205,MeanMinAge17)))</f>
        <v/>
      </c>
      <c r="BH153" s="190">
        <f>IF(OR((BH69-BH97)=0,17&lt;='01_Вводные'!$B$297),0,(BH69-BH97)*IF('01_Вводные'!$B$239="Да",MeanMinAge17+BH205*SUMIF(ThresholdAge17,"&lt;"&amp;BH205,WeightedRevAge17)-SUMIF(ThresholdAge17,"&lt;"&amp;BH205,WeightedMinAge17),MAX(CapacityAge17*'01_Вводные'!$B$218*BH205,MeanMinAge17)))</f>
        <v/>
      </c>
      <c r="BI153" s="190">
        <f>IF(OR((BI69-BI97)=0,17&lt;='01_Вводные'!$B$297),0,(BI69-BI97)*IF('01_Вводные'!$B$239="Да",MeanMinAge17+BI205*SUMIF(ThresholdAge17,"&lt;"&amp;BI205,WeightedRevAge17)-SUMIF(ThresholdAge17,"&lt;"&amp;BI205,WeightedMinAge17),MAX(CapacityAge17*'01_Вводные'!$B$218*BI205,MeanMinAge17)))</f>
        <v/>
      </c>
      <c r="BJ153" s="190">
        <f>IF(OR((BJ69-BJ97)=0,17&lt;='01_Вводные'!$B$297),0,(BJ69-BJ97)*IF('01_Вводные'!$B$239="Да",MeanMinAge17+BJ205*SUMIF(ThresholdAge17,"&lt;"&amp;BJ205,WeightedRevAge17)-SUMIF(ThresholdAge17,"&lt;"&amp;BJ205,WeightedMinAge17),MAX(CapacityAge17*'01_Вводные'!$B$218*BJ205,MeanMinAge17)))</f>
        <v/>
      </c>
      <c r="BK153" s="190">
        <f>IF(OR((BK69-BK97)=0,17&lt;='01_Вводные'!$B$297),0,(BK69-BK97)*IF('01_Вводные'!$B$239="Да",MeanMinAge17+BK205*SUMIF(ThresholdAge17,"&lt;"&amp;BK205,WeightedRevAge17)-SUMIF(ThresholdAge17,"&lt;"&amp;BK205,WeightedMinAge17),MAX(CapacityAge17*'01_Вводные'!$B$218*BK205,MeanMinAge17)))</f>
        <v/>
      </c>
      <c r="BL153" s="190">
        <f>IF(OR((BL69-BL97)=0,17&lt;='01_Вводные'!$B$297),0,(BL69-BL97)*IF('01_Вводные'!$B$239="Да",MeanMinAge17+BL205*SUMIF(ThresholdAge17,"&lt;"&amp;BL205,WeightedRevAge17)-SUMIF(ThresholdAge17,"&lt;"&amp;BL205,WeightedMinAge17),MAX(CapacityAge17*'01_Вводные'!$B$218*BL205,MeanMinAge17)))</f>
        <v/>
      </c>
      <c r="BM153" s="190">
        <f>IF(OR((BM69-BM97)=0,17&lt;='01_Вводные'!$B$297),0,(BM69-BM97)*IF('01_Вводные'!$B$239="Да",MeanMinAge17+BM205*SUMIF(ThresholdAge17,"&lt;"&amp;BM205,WeightedRevAge17)-SUMIF(ThresholdAge17,"&lt;"&amp;BM205,WeightedMinAge17),MAX(CapacityAge17*'01_Вводные'!$B$218*BM205,MeanMinAge17)))</f>
        <v/>
      </c>
      <c r="BN153" s="190">
        <f>IF(OR((BN69-BN97)=0,17&lt;='01_Вводные'!$B$297),0,(BN69-BN97)*IF('01_Вводные'!$B$239="Да",MeanMinAge17+BN205*SUMIF(ThresholdAge17,"&lt;"&amp;BN205,WeightedRevAge17)-SUMIF(ThresholdAge17,"&lt;"&amp;BN205,WeightedMinAge17),MAX(CapacityAge17*'01_Вводные'!$B$218*BN205,MeanMinAge17)))</f>
        <v/>
      </c>
      <c r="BO153" s="190">
        <f>IF(OR((BO69-BO97)=0,17&lt;='01_Вводные'!$B$297),0,(BO69-BO97)*IF('01_Вводные'!$B$239="Да",MeanMinAge17+BO205*SUMIF(ThresholdAge17,"&lt;"&amp;BO205,WeightedRevAge17)-SUMIF(ThresholdAge17,"&lt;"&amp;BO205,WeightedMinAge17),MAX(CapacityAge17*'01_Вводные'!$B$218*BO205,MeanMinAge17)))</f>
        <v/>
      </c>
    </row>
    <row r="154" hidden="1" outlineLevel="1">
      <c r="A154" t="inlineStr">
        <is>
          <t>18 мес.</t>
        </is>
      </c>
      <c r="B154" s="190">
        <f>IF(OR((B70-B98)=0,18&lt;='01_Вводные'!$B$297),0,(B70-B98)*IF('01_Вводные'!$B$239="Да",MeanMinAge18+B205*SUMIF(ThresholdAge18,"&lt;"&amp;B205,WeightedRevAge18)-SUMIF(ThresholdAge18,"&lt;"&amp;B205,WeightedMinAge18),MAX(CapacityAge18*'01_Вводные'!$B$218*B205,MeanMinAge18)))</f>
        <v/>
      </c>
      <c r="C154" s="190">
        <f>IF(OR((C70-C98)=0,18&lt;='01_Вводные'!$B$297),0,(C70-C98)*IF('01_Вводные'!$B$239="Да",MeanMinAge18+C205*SUMIF(ThresholdAge18,"&lt;"&amp;C205,WeightedRevAge18)-SUMIF(ThresholdAge18,"&lt;"&amp;C205,WeightedMinAge18),MAX(CapacityAge18*'01_Вводные'!$B$218*C205,MeanMinAge18)))</f>
        <v/>
      </c>
      <c r="D154" s="190">
        <f>IF(OR((D70-D98)=0,18&lt;='01_Вводные'!$B$297),0,(D70-D98)*IF('01_Вводные'!$B$239="Да",MeanMinAge18+D205*SUMIF(ThresholdAge18,"&lt;"&amp;D205,WeightedRevAge18)-SUMIF(ThresholdAge18,"&lt;"&amp;D205,WeightedMinAge18),MAX(CapacityAge18*'01_Вводные'!$B$218*D205,MeanMinAge18)))</f>
        <v/>
      </c>
      <c r="E154" s="190">
        <f>IF(OR((E70-E98)=0,18&lt;='01_Вводные'!$B$297),0,(E70-E98)*IF('01_Вводные'!$B$239="Да",MeanMinAge18+E205*SUMIF(ThresholdAge18,"&lt;"&amp;E205,WeightedRevAge18)-SUMIF(ThresholdAge18,"&lt;"&amp;E205,WeightedMinAge18),MAX(CapacityAge18*'01_Вводные'!$B$218*E205,MeanMinAge18)))</f>
        <v/>
      </c>
      <c r="F154" s="190">
        <f>IF(OR((F70-F98)=0,18&lt;='01_Вводные'!$B$297),0,(F70-F98)*IF('01_Вводные'!$B$239="Да",MeanMinAge18+F205*SUMIF(ThresholdAge18,"&lt;"&amp;F205,WeightedRevAge18)-SUMIF(ThresholdAge18,"&lt;"&amp;F205,WeightedMinAge18),MAX(CapacityAge18*'01_Вводные'!$B$218*F205,MeanMinAge18)))</f>
        <v/>
      </c>
      <c r="G154" s="190">
        <f>IF(OR((G70-G98)=0,18&lt;='01_Вводные'!$B$297),0,(G70-G98)*IF('01_Вводные'!$B$239="Да",MeanMinAge18+G205*SUMIF(ThresholdAge18,"&lt;"&amp;G205,WeightedRevAge18)-SUMIF(ThresholdAge18,"&lt;"&amp;G205,WeightedMinAge18),MAX(CapacityAge18*'01_Вводные'!$B$218*G205,MeanMinAge18)))</f>
        <v/>
      </c>
      <c r="H154" s="190">
        <f>IF(OR((H70-H98)=0,18&lt;='01_Вводные'!$B$297),0,(H70-H98)*IF('01_Вводные'!$B$239="Да",MeanMinAge18+H205*SUMIF(ThresholdAge18,"&lt;"&amp;H205,WeightedRevAge18)-SUMIF(ThresholdAge18,"&lt;"&amp;H205,WeightedMinAge18),MAX(CapacityAge18*'01_Вводные'!$B$218*H205,MeanMinAge18)))</f>
        <v/>
      </c>
      <c r="I154" s="190">
        <f>IF(OR((I70-I98)=0,18&lt;='01_Вводные'!$B$297),0,(I70-I98)*IF('01_Вводные'!$B$239="Да",MeanMinAge18+I205*SUMIF(ThresholdAge18,"&lt;"&amp;I205,WeightedRevAge18)-SUMIF(ThresholdAge18,"&lt;"&amp;I205,WeightedMinAge18),MAX(CapacityAge18*'01_Вводные'!$B$218*I205,MeanMinAge18)))</f>
        <v/>
      </c>
      <c r="J154" s="190">
        <f>IF(OR((J70-J98)=0,18&lt;='01_Вводные'!$B$297),0,(J70-J98)*IF('01_Вводные'!$B$239="Да",MeanMinAge18+J205*SUMIF(ThresholdAge18,"&lt;"&amp;J205,WeightedRevAge18)-SUMIF(ThresholdAge18,"&lt;"&amp;J205,WeightedMinAge18),MAX(CapacityAge18*'01_Вводные'!$B$218*J205,MeanMinAge18)))</f>
        <v/>
      </c>
      <c r="K154" s="190">
        <f>IF(OR((K70-K98)=0,18&lt;='01_Вводные'!$B$297),0,(K70-K98)*IF('01_Вводные'!$B$239="Да",MeanMinAge18+K205*SUMIF(ThresholdAge18,"&lt;"&amp;K205,WeightedRevAge18)-SUMIF(ThresholdAge18,"&lt;"&amp;K205,WeightedMinAge18),MAX(CapacityAge18*'01_Вводные'!$B$218*K205,MeanMinAge18)))</f>
        <v/>
      </c>
      <c r="L154" s="190">
        <f>IF(OR((L70-L98)=0,18&lt;='01_Вводные'!$B$297),0,(L70-L98)*IF('01_Вводные'!$B$239="Да",MeanMinAge18+L205*SUMIF(ThresholdAge18,"&lt;"&amp;L205,WeightedRevAge18)-SUMIF(ThresholdAge18,"&lt;"&amp;L205,WeightedMinAge18),MAX(CapacityAge18*'01_Вводные'!$B$218*L205,MeanMinAge18)))</f>
        <v/>
      </c>
      <c r="M154" s="190">
        <f>IF(OR((M70-M98)=0,18&lt;='01_Вводные'!$B$297),0,(M70-M98)*IF('01_Вводные'!$B$239="Да",MeanMinAge18+M205*SUMIF(ThresholdAge18,"&lt;"&amp;M205,WeightedRevAge18)-SUMIF(ThresholdAge18,"&lt;"&amp;M205,WeightedMinAge18),MAX(CapacityAge18*'01_Вводные'!$B$218*M205,MeanMinAge18)))</f>
        <v/>
      </c>
      <c r="N154" s="190">
        <f>IF(OR((N70-N98)=0,18&lt;='01_Вводные'!$B$297),0,(N70-N98)*IF('01_Вводные'!$B$239="Да",MeanMinAge18+N205*SUMIF(ThresholdAge18,"&lt;"&amp;N205,WeightedRevAge18)-SUMIF(ThresholdAge18,"&lt;"&amp;N205,WeightedMinAge18),MAX(CapacityAge18*'01_Вводные'!$B$218*N205,MeanMinAge18)))</f>
        <v/>
      </c>
      <c r="O154" s="190">
        <f>IF(OR((O70-O98)=0,18&lt;='01_Вводные'!$B$297),0,(O70-O98)*IF('01_Вводные'!$B$239="Да",MeanMinAge18+O205*SUMIF(ThresholdAge18,"&lt;"&amp;O205,WeightedRevAge18)-SUMIF(ThresholdAge18,"&lt;"&amp;O205,WeightedMinAge18),MAX(CapacityAge18*'01_Вводные'!$B$218*O205,MeanMinAge18)))</f>
        <v/>
      </c>
      <c r="P154" s="190">
        <f>IF(OR((P70-P98)=0,18&lt;='01_Вводные'!$B$297),0,(P70-P98)*IF('01_Вводные'!$B$239="Да",MeanMinAge18+P205*SUMIF(ThresholdAge18,"&lt;"&amp;P205,WeightedRevAge18)-SUMIF(ThresholdAge18,"&lt;"&amp;P205,WeightedMinAge18),MAX(CapacityAge18*'01_Вводные'!$B$218*P205,MeanMinAge18)))</f>
        <v/>
      </c>
      <c r="Q154" s="190">
        <f>IF(OR((Q70-Q98)=0,18&lt;='01_Вводные'!$B$297),0,(Q70-Q98)*IF('01_Вводные'!$B$239="Да",MeanMinAge18+Q205*SUMIF(ThresholdAge18,"&lt;"&amp;Q205,WeightedRevAge18)-SUMIF(ThresholdAge18,"&lt;"&amp;Q205,WeightedMinAge18),MAX(CapacityAge18*'01_Вводные'!$B$218*Q205,MeanMinAge18)))</f>
        <v/>
      </c>
      <c r="R154" s="190">
        <f>IF(OR((R70-R98)=0,18&lt;='01_Вводные'!$B$297),0,(R70-R98)*IF('01_Вводные'!$B$239="Да",MeanMinAge18+R205*SUMIF(ThresholdAge18,"&lt;"&amp;R205,WeightedRevAge18)-SUMIF(ThresholdAge18,"&lt;"&amp;R205,WeightedMinAge18),MAX(CapacityAge18*'01_Вводные'!$B$218*R205,MeanMinAge18)))</f>
        <v/>
      </c>
      <c r="S154" s="190">
        <f>IF(OR((S70-S98)=0,18&lt;='01_Вводные'!$B$297),0,(S70-S98)*IF('01_Вводные'!$B$239="Да",MeanMinAge18+S205*SUMIF(ThresholdAge18,"&lt;"&amp;S205,WeightedRevAge18)-SUMIF(ThresholdAge18,"&lt;"&amp;S205,WeightedMinAge18),MAX(CapacityAge18*'01_Вводные'!$B$218*S205,MeanMinAge18)))</f>
        <v/>
      </c>
      <c r="T154" s="190">
        <f>IF(OR((T70-T98)=0,18&lt;='01_Вводные'!$B$297),0,(T70-T98)*IF('01_Вводные'!$B$239="Да",MeanMinAge18+T205*SUMIF(ThresholdAge18,"&lt;"&amp;T205,WeightedRevAge18)-SUMIF(ThresholdAge18,"&lt;"&amp;T205,WeightedMinAge18),MAX(CapacityAge18*'01_Вводные'!$B$218*T205,MeanMinAge18)))</f>
        <v/>
      </c>
      <c r="U154" s="190">
        <f>IF(OR((U70-U98)=0,18&lt;='01_Вводные'!$B$297),0,(U70-U98)*IF('01_Вводные'!$B$239="Да",MeanMinAge18+U205*SUMIF(ThresholdAge18,"&lt;"&amp;U205,WeightedRevAge18)-SUMIF(ThresholdAge18,"&lt;"&amp;U205,WeightedMinAge18),MAX(CapacityAge18*'01_Вводные'!$B$218*U205,MeanMinAge18)))</f>
        <v/>
      </c>
      <c r="V154" s="190">
        <f>IF(OR((V70-V98)=0,18&lt;='01_Вводные'!$B$297),0,(V70-V98)*IF('01_Вводные'!$B$239="Да",MeanMinAge18+V205*SUMIF(ThresholdAge18,"&lt;"&amp;V205,WeightedRevAge18)-SUMIF(ThresholdAge18,"&lt;"&amp;V205,WeightedMinAge18),MAX(CapacityAge18*'01_Вводные'!$B$218*V205,MeanMinAge18)))</f>
        <v/>
      </c>
      <c r="W154" s="190">
        <f>IF(OR((W70-W98)=0,18&lt;='01_Вводные'!$B$297),0,(W70-W98)*IF('01_Вводные'!$B$239="Да",MeanMinAge18+W205*SUMIF(ThresholdAge18,"&lt;"&amp;W205,WeightedRevAge18)-SUMIF(ThresholdAge18,"&lt;"&amp;W205,WeightedMinAge18),MAX(CapacityAge18*'01_Вводные'!$B$218*W205,MeanMinAge18)))</f>
        <v/>
      </c>
      <c r="X154" s="190">
        <f>IF(OR((X70-X98)=0,18&lt;='01_Вводные'!$B$297),0,(X70-X98)*IF('01_Вводные'!$B$239="Да",MeanMinAge18+X205*SUMIF(ThresholdAge18,"&lt;"&amp;X205,WeightedRevAge18)-SUMIF(ThresholdAge18,"&lt;"&amp;X205,WeightedMinAge18),MAX(CapacityAge18*'01_Вводные'!$B$218*X205,MeanMinAge18)))</f>
        <v/>
      </c>
      <c r="Y154" s="190">
        <f>IF(OR((Y70-Y98)=0,18&lt;='01_Вводные'!$B$297),0,(Y70-Y98)*IF('01_Вводные'!$B$239="Да",MeanMinAge18+Y205*SUMIF(ThresholdAge18,"&lt;"&amp;Y205,WeightedRevAge18)-SUMIF(ThresholdAge18,"&lt;"&amp;Y205,WeightedMinAge18),MAX(CapacityAge18*'01_Вводные'!$B$218*Y205,MeanMinAge18)))</f>
        <v/>
      </c>
      <c r="Z154" s="190">
        <f>IF(OR((Z70-Z98)=0,18&lt;='01_Вводные'!$B$297),0,(Z70-Z98)*IF('01_Вводные'!$B$239="Да",MeanMinAge18+Z205*SUMIF(ThresholdAge18,"&lt;"&amp;Z205,WeightedRevAge18)-SUMIF(ThresholdAge18,"&lt;"&amp;Z205,WeightedMinAge18),MAX(CapacityAge18*'01_Вводные'!$B$218*Z205,MeanMinAge18)))</f>
        <v/>
      </c>
      <c r="AA154" s="190">
        <f>IF(OR((AA70-AA98)=0,18&lt;='01_Вводные'!$B$297),0,(AA70-AA98)*IF('01_Вводные'!$B$239="Да",MeanMinAge18+AA205*SUMIF(ThresholdAge18,"&lt;"&amp;AA205,WeightedRevAge18)-SUMIF(ThresholdAge18,"&lt;"&amp;AA205,WeightedMinAge18),MAX(CapacityAge18*'01_Вводные'!$B$218*AA205,MeanMinAge18)))</f>
        <v/>
      </c>
      <c r="AB154" s="190">
        <f>IF(OR((AB70-AB98)=0,18&lt;='01_Вводные'!$B$297),0,(AB70-AB98)*IF('01_Вводные'!$B$239="Да",MeanMinAge18+AB205*SUMIF(ThresholdAge18,"&lt;"&amp;AB205,WeightedRevAge18)-SUMIF(ThresholdAge18,"&lt;"&amp;AB205,WeightedMinAge18),MAX(CapacityAge18*'01_Вводные'!$B$218*AB205,MeanMinAge18)))</f>
        <v/>
      </c>
      <c r="AC154" s="190">
        <f>IF(OR((AC70-AC98)=0,18&lt;='01_Вводные'!$B$297),0,(AC70-AC98)*IF('01_Вводные'!$B$239="Да",MeanMinAge18+AC205*SUMIF(ThresholdAge18,"&lt;"&amp;AC205,WeightedRevAge18)-SUMIF(ThresholdAge18,"&lt;"&amp;AC205,WeightedMinAge18),MAX(CapacityAge18*'01_Вводные'!$B$218*AC205,MeanMinAge18)))</f>
        <v/>
      </c>
      <c r="AD154" s="190">
        <f>IF(OR((AD70-AD98)=0,18&lt;='01_Вводные'!$B$297),0,(AD70-AD98)*IF('01_Вводные'!$B$239="Да",MeanMinAge18+AD205*SUMIF(ThresholdAge18,"&lt;"&amp;AD205,WeightedRevAge18)-SUMIF(ThresholdAge18,"&lt;"&amp;AD205,WeightedMinAge18),MAX(CapacityAge18*'01_Вводные'!$B$218*AD205,MeanMinAge18)))</f>
        <v/>
      </c>
      <c r="AE154" s="190">
        <f>IF(OR((AE70-AE98)=0,18&lt;='01_Вводные'!$B$297),0,(AE70-AE98)*IF('01_Вводные'!$B$239="Да",MeanMinAge18+AE205*SUMIF(ThresholdAge18,"&lt;"&amp;AE205,WeightedRevAge18)-SUMIF(ThresholdAge18,"&lt;"&amp;AE205,WeightedMinAge18),MAX(CapacityAge18*'01_Вводные'!$B$218*AE205,MeanMinAge18)))</f>
        <v/>
      </c>
      <c r="AF154" s="190">
        <f>IF(OR((AF70-AF98)=0,18&lt;='01_Вводные'!$B$297),0,(AF70-AF98)*IF('01_Вводные'!$B$239="Да",MeanMinAge18+AF205*SUMIF(ThresholdAge18,"&lt;"&amp;AF205,WeightedRevAge18)-SUMIF(ThresholdAge18,"&lt;"&amp;AF205,WeightedMinAge18),MAX(CapacityAge18*'01_Вводные'!$B$218*AF205,MeanMinAge18)))</f>
        <v/>
      </c>
      <c r="AG154" s="190">
        <f>IF(OR((AG70-AG98)=0,18&lt;='01_Вводные'!$B$297),0,(AG70-AG98)*IF('01_Вводные'!$B$239="Да",MeanMinAge18+AG205*SUMIF(ThresholdAge18,"&lt;"&amp;AG205,WeightedRevAge18)-SUMIF(ThresholdAge18,"&lt;"&amp;AG205,WeightedMinAge18),MAX(CapacityAge18*'01_Вводные'!$B$218*AG205,MeanMinAge18)))</f>
        <v/>
      </c>
      <c r="AH154" s="190">
        <f>IF(OR((AH70-AH98)=0,18&lt;='01_Вводные'!$B$297),0,(AH70-AH98)*IF('01_Вводные'!$B$239="Да",MeanMinAge18+AH205*SUMIF(ThresholdAge18,"&lt;"&amp;AH205,WeightedRevAge18)-SUMIF(ThresholdAge18,"&lt;"&amp;AH205,WeightedMinAge18),MAX(CapacityAge18*'01_Вводные'!$B$218*AH205,MeanMinAge18)))</f>
        <v/>
      </c>
      <c r="AI154" s="190">
        <f>IF(OR((AI70-AI98)=0,18&lt;='01_Вводные'!$B$297),0,(AI70-AI98)*IF('01_Вводные'!$B$239="Да",MeanMinAge18+AI205*SUMIF(ThresholdAge18,"&lt;"&amp;AI205,WeightedRevAge18)-SUMIF(ThresholdAge18,"&lt;"&amp;AI205,WeightedMinAge18),MAX(CapacityAge18*'01_Вводные'!$B$218*AI205,MeanMinAge18)))</f>
        <v/>
      </c>
      <c r="AJ154" s="190">
        <f>IF(OR((AJ70-AJ98)=0,18&lt;='01_Вводные'!$B$297),0,(AJ70-AJ98)*IF('01_Вводные'!$B$239="Да",MeanMinAge18+AJ205*SUMIF(ThresholdAge18,"&lt;"&amp;AJ205,WeightedRevAge18)-SUMIF(ThresholdAge18,"&lt;"&amp;AJ205,WeightedMinAge18),MAX(CapacityAge18*'01_Вводные'!$B$218*AJ205,MeanMinAge18)))</f>
        <v/>
      </c>
      <c r="AK154" s="190">
        <f>IF(OR((AK70-AK98)=0,18&lt;='01_Вводные'!$B$297),0,(AK70-AK98)*IF('01_Вводные'!$B$239="Да",MeanMinAge18+AK205*SUMIF(ThresholdAge18,"&lt;"&amp;AK205,WeightedRevAge18)-SUMIF(ThresholdAge18,"&lt;"&amp;AK205,WeightedMinAge18),MAX(CapacityAge18*'01_Вводные'!$B$218*AK205,MeanMinAge18)))</f>
        <v/>
      </c>
      <c r="AL154" s="190">
        <f>IF(OR((AL70-AL98)=0,18&lt;='01_Вводные'!$B$297),0,(AL70-AL98)*IF('01_Вводные'!$B$239="Да",MeanMinAge18+AL205*SUMIF(ThresholdAge18,"&lt;"&amp;AL205,WeightedRevAge18)-SUMIF(ThresholdAge18,"&lt;"&amp;AL205,WeightedMinAge18),MAX(CapacityAge18*'01_Вводные'!$B$218*AL205,MeanMinAge18)))</f>
        <v/>
      </c>
      <c r="AM154" s="190">
        <f>IF(OR((AM70-AM98)=0,18&lt;='01_Вводные'!$B$297),0,(AM70-AM98)*IF('01_Вводные'!$B$239="Да",MeanMinAge18+AM205*SUMIF(ThresholdAge18,"&lt;"&amp;AM205,WeightedRevAge18)-SUMIF(ThresholdAge18,"&lt;"&amp;AM205,WeightedMinAge18),MAX(CapacityAge18*'01_Вводные'!$B$218*AM205,MeanMinAge18)))</f>
        <v/>
      </c>
      <c r="AN154" s="190">
        <f>IF(OR((AN70-AN98)=0,18&lt;='01_Вводные'!$B$297),0,(AN70-AN98)*IF('01_Вводные'!$B$239="Да",MeanMinAge18+AN205*SUMIF(ThresholdAge18,"&lt;"&amp;AN205,WeightedRevAge18)-SUMIF(ThresholdAge18,"&lt;"&amp;AN205,WeightedMinAge18),MAX(CapacityAge18*'01_Вводные'!$B$218*AN205,MeanMinAge18)))</f>
        <v/>
      </c>
      <c r="AO154" s="190">
        <f>IF(OR((AO70-AO98)=0,18&lt;='01_Вводные'!$B$297),0,(AO70-AO98)*IF('01_Вводные'!$B$239="Да",MeanMinAge18+AO205*SUMIF(ThresholdAge18,"&lt;"&amp;AO205,WeightedRevAge18)-SUMIF(ThresholdAge18,"&lt;"&amp;AO205,WeightedMinAge18),MAX(CapacityAge18*'01_Вводные'!$B$218*AO205,MeanMinAge18)))</f>
        <v/>
      </c>
      <c r="AP154" s="190">
        <f>IF(OR((AP70-AP98)=0,18&lt;='01_Вводные'!$B$297),0,(AP70-AP98)*IF('01_Вводные'!$B$239="Да",MeanMinAge18+AP205*SUMIF(ThresholdAge18,"&lt;"&amp;AP205,WeightedRevAge18)-SUMIF(ThresholdAge18,"&lt;"&amp;AP205,WeightedMinAge18),MAX(CapacityAge18*'01_Вводные'!$B$218*AP205,MeanMinAge18)))</f>
        <v/>
      </c>
      <c r="AQ154" s="190">
        <f>IF(OR((AQ70-AQ98)=0,18&lt;='01_Вводные'!$B$297),0,(AQ70-AQ98)*IF('01_Вводные'!$B$239="Да",MeanMinAge18+AQ205*SUMIF(ThresholdAge18,"&lt;"&amp;AQ205,WeightedRevAge18)-SUMIF(ThresholdAge18,"&lt;"&amp;AQ205,WeightedMinAge18),MAX(CapacityAge18*'01_Вводные'!$B$218*AQ205,MeanMinAge18)))</f>
        <v/>
      </c>
      <c r="AR154" s="190">
        <f>IF(OR((AR70-AR98)=0,18&lt;='01_Вводные'!$B$297),0,(AR70-AR98)*IF('01_Вводные'!$B$239="Да",MeanMinAge18+AR205*SUMIF(ThresholdAge18,"&lt;"&amp;AR205,WeightedRevAge18)-SUMIF(ThresholdAge18,"&lt;"&amp;AR205,WeightedMinAge18),MAX(CapacityAge18*'01_Вводные'!$B$218*AR205,MeanMinAge18)))</f>
        <v/>
      </c>
      <c r="AS154" s="190">
        <f>IF(OR((AS70-AS98)=0,18&lt;='01_Вводные'!$B$297),0,(AS70-AS98)*IF('01_Вводные'!$B$239="Да",MeanMinAge18+AS205*SUMIF(ThresholdAge18,"&lt;"&amp;AS205,WeightedRevAge18)-SUMIF(ThresholdAge18,"&lt;"&amp;AS205,WeightedMinAge18),MAX(CapacityAge18*'01_Вводные'!$B$218*AS205,MeanMinAge18)))</f>
        <v/>
      </c>
      <c r="AT154" s="190">
        <f>IF(OR((AT70-AT98)=0,18&lt;='01_Вводные'!$B$297),0,(AT70-AT98)*IF('01_Вводные'!$B$239="Да",MeanMinAge18+AT205*SUMIF(ThresholdAge18,"&lt;"&amp;AT205,WeightedRevAge18)-SUMIF(ThresholdAge18,"&lt;"&amp;AT205,WeightedMinAge18),MAX(CapacityAge18*'01_Вводные'!$B$218*AT205,MeanMinAge18)))</f>
        <v/>
      </c>
      <c r="AU154" s="190">
        <f>IF(OR((AU70-AU98)=0,18&lt;='01_Вводные'!$B$297),0,(AU70-AU98)*IF('01_Вводные'!$B$239="Да",MeanMinAge18+AU205*SUMIF(ThresholdAge18,"&lt;"&amp;AU205,WeightedRevAge18)-SUMIF(ThresholdAge18,"&lt;"&amp;AU205,WeightedMinAge18),MAX(CapacityAge18*'01_Вводные'!$B$218*AU205,MeanMinAge18)))</f>
        <v/>
      </c>
      <c r="AV154" s="190">
        <f>IF(OR((AV70-AV98)=0,18&lt;='01_Вводные'!$B$297),0,(AV70-AV98)*IF('01_Вводные'!$B$239="Да",MeanMinAge18+AV205*SUMIF(ThresholdAge18,"&lt;"&amp;AV205,WeightedRevAge18)-SUMIF(ThresholdAge18,"&lt;"&amp;AV205,WeightedMinAge18),MAX(CapacityAge18*'01_Вводные'!$B$218*AV205,MeanMinAge18)))</f>
        <v/>
      </c>
      <c r="AW154" s="190">
        <f>IF(OR((AW70-AW98)=0,18&lt;='01_Вводные'!$B$297),0,(AW70-AW98)*IF('01_Вводные'!$B$239="Да",MeanMinAge18+AW205*SUMIF(ThresholdAge18,"&lt;"&amp;AW205,WeightedRevAge18)-SUMIF(ThresholdAge18,"&lt;"&amp;AW205,WeightedMinAge18),MAX(CapacityAge18*'01_Вводные'!$B$218*AW205,MeanMinAge18)))</f>
        <v/>
      </c>
      <c r="AX154" s="190">
        <f>IF(OR((AX70-AX98)=0,18&lt;='01_Вводные'!$B$297),0,(AX70-AX98)*IF('01_Вводные'!$B$239="Да",MeanMinAge18+AX205*SUMIF(ThresholdAge18,"&lt;"&amp;AX205,WeightedRevAge18)-SUMIF(ThresholdAge18,"&lt;"&amp;AX205,WeightedMinAge18),MAX(CapacityAge18*'01_Вводные'!$B$218*AX205,MeanMinAge18)))</f>
        <v/>
      </c>
      <c r="AY154" s="190">
        <f>IF(OR((AY70-AY98)=0,18&lt;='01_Вводные'!$B$297),0,(AY70-AY98)*IF('01_Вводные'!$B$239="Да",MeanMinAge18+AY205*SUMIF(ThresholdAge18,"&lt;"&amp;AY205,WeightedRevAge18)-SUMIF(ThresholdAge18,"&lt;"&amp;AY205,WeightedMinAge18),MAX(CapacityAge18*'01_Вводные'!$B$218*AY205,MeanMinAge18)))</f>
        <v/>
      </c>
      <c r="AZ154" s="190">
        <f>IF(OR((AZ70-AZ98)=0,18&lt;='01_Вводные'!$B$297),0,(AZ70-AZ98)*IF('01_Вводные'!$B$239="Да",MeanMinAge18+AZ205*SUMIF(ThresholdAge18,"&lt;"&amp;AZ205,WeightedRevAge18)-SUMIF(ThresholdAge18,"&lt;"&amp;AZ205,WeightedMinAge18),MAX(CapacityAge18*'01_Вводные'!$B$218*AZ205,MeanMinAge18)))</f>
        <v/>
      </c>
      <c r="BA154" s="190">
        <f>IF(OR((BA70-BA98)=0,18&lt;='01_Вводные'!$B$297),0,(BA70-BA98)*IF('01_Вводные'!$B$239="Да",MeanMinAge18+BA205*SUMIF(ThresholdAge18,"&lt;"&amp;BA205,WeightedRevAge18)-SUMIF(ThresholdAge18,"&lt;"&amp;BA205,WeightedMinAge18),MAX(CapacityAge18*'01_Вводные'!$B$218*BA205,MeanMinAge18)))</f>
        <v/>
      </c>
      <c r="BB154" s="190">
        <f>IF(OR((BB70-BB98)=0,18&lt;='01_Вводные'!$B$297),0,(BB70-BB98)*IF('01_Вводные'!$B$239="Да",MeanMinAge18+BB205*SUMIF(ThresholdAge18,"&lt;"&amp;BB205,WeightedRevAge18)-SUMIF(ThresholdAge18,"&lt;"&amp;BB205,WeightedMinAge18),MAX(CapacityAge18*'01_Вводные'!$B$218*BB205,MeanMinAge18)))</f>
        <v/>
      </c>
      <c r="BC154" s="190">
        <f>IF(OR((BC70-BC98)=0,18&lt;='01_Вводные'!$B$297),0,(BC70-BC98)*IF('01_Вводные'!$B$239="Да",MeanMinAge18+BC205*SUMIF(ThresholdAge18,"&lt;"&amp;BC205,WeightedRevAge18)-SUMIF(ThresholdAge18,"&lt;"&amp;BC205,WeightedMinAge18),MAX(CapacityAge18*'01_Вводные'!$B$218*BC205,MeanMinAge18)))</f>
        <v/>
      </c>
      <c r="BD154" s="190">
        <f>IF(OR((BD70-BD98)=0,18&lt;='01_Вводные'!$B$297),0,(BD70-BD98)*IF('01_Вводные'!$B$239="Да",MeanMinAge18+BD205*SUMIF(ThresholdAge18,"&lt;"&amp;BD205,WeightedRevAge18)-SUMIF(ThresholdAge18,"&lt;"&amp;BD205,WeightedMinAge18),MAX(CapacityAge18*'01_Вводные'!$B$218*BD205,MeanMinAge18)))</f>
        <v/>
      </c>
      <c r="BE154" s="190">
        <f>IF(OR((BE70-BE98)=0,18&lt;='01_Вводные'!$B$297),0,(BE70-BE98)*IF('01_Вводные'!$B$239="Да",MeanMinAge18+BE205*SUMIF(ThresholdAge18,"&lt;"&amp;BE205,WeightedRevAge18)-SUMIF(ThresholdAge18,"&lt;"&amp;BE205,WeightedMinAge18),MAX(CapacityAge18*'01_Вводные'!$B$218*BE205,MeanMinAge18)))</f>
        <v/>
      </c>
      <c r="BF154" s="190">
        <f>IF(OR((BF70-BF98)=0,18&lt;='01_Вводные'!$B$297),0,(BF70-BF98)*IF('01_Вводные'!$B$239="Да",MeanMinAge18+BF205*SUMIF(ThresholdAge18,"&lt;"&amp;BF205,WeightedRevAge18)-SUMIF(ThresholdAge18,"&lt;"&amp;BF205,WeightedMinAge18),MAX(CapacityAge18*'01_Вводные'!$B$218*BF205,MeanMinAge18)))</f>
        <v/>
      </c>
      <c r="BG154" s="190">
        <f>IF(OR((BG70-BG98)=0,18&lt;='01_Вводные'!$B$297),0,(BG70-BG98)*IF('01_Вводные'!$B$239="Да",MeanMinAge18+BG205*SUMIF(ThresholdAge18,"&lt;"&amp;BG205,WeightedRevAge18)-SUMIF(ThresholdAge18,"&lt;"&amp;BG205,WeightedMinAge18),MAX(CapacityAge18*'01_Вводные'!$B$218*BG205,MeanMinAge18)))</f>
        <v/>
      </c>
      <c r="BH154" s="190">
        <f>IF(OR((BH70-BH98)=0,18&lt;='01_Вводные'!$B$297),0,(BH70-BH98)*IF('01_Вводные'!$B$239="Да",MeanMinAge18+BH205*SUMIF(ThresholdAge18,"&lt;"&amp;BH205,WeightedRevAge18)-SUMIF(ThresholdAge18,"&lt;"&amp;BH205,WeightedMinAge18),MAX(CapacityAge18*'01_Вводные'!$B$218*BH205,MeanMinAge18)))</f>
        <v/>
      </c>
      <c r="BI154" s="190">
        <f>IF(OR((BI70-BI98)=0,18&lt;='01_Вводные'!$B$297),0,(BI70-BI98)*IF('01_Вводные'!$B$239="Да",MeanMinAge18+BI205*SUMIF(ThresholdAge18,"&lt;"&amp;BI205,WeightedRevAge18)-SUMIF(ThresholdAge18,"&lt;"&amp;BI205,WeightedMinAge18),MAX(CapacityAge18*'01_Вводные'!$B$218*BI205,MeanMinAge18)))</f>
        <v/>
      </c>
      <c r="BJ154" s="190">
        <f>IF(OR((BJ70-BJ98)=0,18&lt;='01_Вводные'!$B$297),0,(BJ70-BJ98)*IF('01_Вводные'!$B$239="Да",MeanMinAge18+BJ205*SUMIF(ThresholdAge18,"&lt;"&amp;BJ205,WeightedRevAge18)-SUMIF(ThresholdAge18,"&lt;"&amp;BJ205,WeightedMinAge18),MAX(CapacityAge18*'01_Вводные'!$B$218*BJ205,MeanMinAge18)))</f>
        <v/>
      </c>
      <c r="BK154" s="190">
        <f>IF(OR((BK70-BK98)=0,18&lt;='01_Вводные'!$B$297),0,(BK70-BK98)*IF('01_Вводные'!$B$239="Да",MeanMinAge18+BK205*SUMIF(ThresholdAge18,"&lt;"&amp;BK205,WeightedRevAge18)-SUMIF(ThresholdAge18,"&lt;"&amp;BK205,WeightedMinAge18),MAX(CapacityAge18*'01_Вводные'!$B$218*BK205,MeanMinAge18)))</f>
        <v/>
      </c>
      <c r="BL154" s="190">
        <f>IF(OR((BL70-BL98)=0,18&lt;='01_Вводные'!$B$297),0,(BL70-BL98)*IF('01_Вводные'!$B$239="Да",MeanMinAge18+BL205*SUMIF(ThresholdAge18,"&lt;"&amp;BL205,WeightedRevAge18)-SUMIF(ThresholdAge18,"&lt;"&amp;BL205,WeightedMinAge18),MAX(CapacityAge18*'01_Вводные'!$B$218*BL205,MeanMinAge18)))</f>
        <v/>
      </c>
      <c r="BM154" s="190">
        <f>IF(OR((BM70-BM98)=0,18&lt;='01_Вводные'!$B$297),0,(BM70-BM98)*IF('01_Вводные'!$B$239="Да",MeanMinAge18+BM205*SUMIF(ThresholdAge18,"&lt;"&amp;BM205,WeightedRevAge18)-SUMIF(ThresholdAge18,"&lt;"&amp;BM205,WeightedMinAge18),MAX(CapacityAge18*'01_Вводные'!$B$218*BM205,MeanMinAge18)))</f>
        <v/>
      </c>
      <c r="BN154" s="190">
        <f>IF(OR((BN70-BN98)=0,18&lt;='01_Вводные'!$B$297),0,(BN70-BN98)*IF('01_Вводные'!$B$239="Да",MeanMinAge18+BN205*SUMIF(ThresholdAge18,"&lt;"&amp;BN205,WeightedRevAge18)-SUMIF(ThresholdAge18,"&lt;"&amp;BN205,WeightedMinAge18),MAX(CapacityAge18*'01_Вводные'!$B$218*BN205,MeanMinAge18)))</f>
        <v/>
      </c>
      <c r="BO154" s="190">
        <f>IF(OR((BO70-BO98)=0,18&lt;='01_Вводные'!$B$297),0,(BO70-BO98)*IF('01_Вводные'!$B$239="Да",MeanMinAge18+BO205*SUMIF(ThresholdAge18,"&lt;"&amp;BO205,WeightedRevAge18)-SUMIF(ThresholdAge18,"&lt;"&amp;BO205,WeightedMinAge18),MAX(CapacityAge18*'01_Вводные'!$B$218*BO205,MeanMinAge18)))</f>
        <v/>
      </c>
    </row>
    <row r="155" hidden="1" outlineLevel="1">
      <c r="A155" t="inlineStr">
        <is>
          <t>19 мес.</t>
        </is>
      </c>
      <c r="B155" s="190">
        <f>IF(OR((B71-B99)=0,19&lt;='01_Вводные'!$B$297),0,(B71-B99)*IF('01_Вводные'!$B$239="Да",MeanMinAge19+B205*SUMIF(ThresholdAge19,"&lt;"&amp;B205,WeightedRevAge19)-SUMIF(ThresholdAge19,"&lt;"&amp;B205,WeightedMinAge19),MAX(CapacityAge19*'01_Вводные'!$B$218*B205,MeanMinAge19)))</f>
        <v/>
      </c>
      <c r="C155" s="190">
        <f>IF(OR((C71-C99)=0,19&lt;='01_Вводные'!$B$297),0,(C71-C99)*IF('01_Вводные'!$B$239="Да",MeanMinAge19+C205*SUMIF(ThresholdAge19,"&lt;"&amp;C205,WeightedRevAge19)-SUMIF(ThresholdAge19,"&lt;"&amp;C205,WeightedMinAge19),MAX(CapacityAge19*'01_Вводные'!$B$218*C205,MeanMinAge19)))</f>
        <v/>
      </c>
      <c r="D155" s="190">
        <f>IF(OR((D71-D99)=0,19&lt;='01_Вводные'!$B$297),0,(D71-D99)*IF('01_Вводные'!$B$239="Да",MeanMinAge19+D205*SUMIF(ThresholdAge19,"&lt;"&amp;D205,WeightedRevAge19)-SUMIF(ThresholdAge19,"&lt;"&amp;D205,WeightedMinAge19),MAX(CapacityAge19*'01_Вводные'!$B$218*D205,MeanMinAge19)))</f>
        <v/>
      </c>
      <c r="E155" s="190">
        <f>IF(OR((E71-E99)=0,19&lt;='01_Вводные'!$B$297),0,(E71-E99)*IF('01_Вводные'!$B$239="Да",MeanMinAge19+E205*SUMIF(ThresholdAge19,"&lt;"&amp;E205,WeightedRevAge19)-SUMIF(ThresholdAge19,"&lt;"&amp;E205,WeightedMinAge19),MAX(CapacityAge19*'01_Вводные'!$B$218*E205,MeanMinAge19)))</f>
        <v/>
      </c>
      <c r="F155" s="190">
        <f>IF(OR((F71-F99)=0,19&lt;='01_Вводные'!$B$297),0,(F71-F99)*IF('01_Вводные'!$B$239="Да",MeanMinAge19+F205*SUMIF(ThresholdAge19,"&lt;"&amp;F205,WeightedRevAge19)-SUMIF(ThresholdAge19,"&lt;"&amp;F205,WeightedMinAge19),MAX(CapacityAge19*'01_Вводные'!$B$218*F205,MeanMinAge19)))</f>
        <v/>
      </c>
      <c r="G155" s="190">
        <f>IF(OR((G71-G99)=0,19&lt;='01_Вводные'!$B$297),0,(G71-G99)*IF('01_Вводные'!$B$239="Да",MeanMinAge19+G205*SUMIF(ThresholdAge19,"&lt;"&amp;G205,WeightedRevAge19)-SUMIF(ThresholdAge19,"&lt;"&amp;G205,WeightedMinAge19),MAX(CapacityAge19*'01_Вводные'!$B$218*G205,MeanMinAge19)))</f>
        <v/>
      </c>
      <c r="H155" s="190">
        <f>IF(OR((H71-H99)=0,19&lt;='01_Вводные'!$B$297),0,(H71-H99)*IF('01_Вводные'!$B$239="Да",MeanMinAge19+H205*SUMIF(ThresholdAge19,"&lt;"&amp;H205,WeightedRevAge19)-SUMIF(ThresholdAge19,"&lt;"&amp;H205,WeightedMinAge19),MAX(CapacityAge19*'01_Вводные'!$B$218*H205,MeanMinAge19)))</f>
        <v/>
      </c>
      <c r="I155" s="190">
        <f>IF(OR((I71-I99)=0,19&lt;='01_Вводные'!$B$297),0,(I71-I99)*IF('01_Вводные'!$B$239="Да",MeanMinAge19+I205*SUMIF(ThresholdAge19,"&lt;"&amp;I205,WeightedRevAge19)-SUMIF(ThresholdAge19,"&lt;"&amp;I205,WeightedMinAge19),MAX(CapacityAge19*'01_Вводные'!$B$218*I205,MeanMinAge19)))</f>
        <v/>
      </c>
      <c r="J155" s="190">
        <f>IF(OR((J71-J99)=0,19&lt;='01_Вводные'!$B$297),0,(J71-J99)*IF('01_Вводные'!$B$239="Да",MeanMinAge19+J205*SUMIF(ThresholdAge19,"&lt;"&amp;J205,WeightedRevAge19)-SUMIF(ThresholdAge19,"&lt;"&amp;J205,WeightedMinAge19),MAX(CapacityAge19*'01_Вводные'!$B$218*J205,MeanMinAge19)))</f>
        <v/>
      </c>
      <c r="K155" s="190">
        <f>IF(OR((K71-K99)=0,19&lt;='01_Вводные'!$B$297),0,(K71-K99)*IF('01_Вводные'!$B$239="Да",MeanMinAge19+K205*SUMIF(ThresholdAge19,"&lt;"&amp;K205,WeightedRevAge19)-SUMIF(ThresholdAge19,"&lt;"&amp;K205,WeightedMinAge19),MAX(CapacityAge19*'01_Вводные'!$B$218*K205,MeanMinAge19)))</f>
        <v/>
      </c>
      <c r="L155" s="190">
        <f>IF(OR((L71-L99)=0,19&lt;='01_Вводные'!$B$297),0,(L71-L99)*IF('01_Вводные'!$B$239="Да",MeanMinAge19+L205*SUMIF(ThresholdAge19,"&lt;"&amp;L205,WeightedRevAge19)-SUMIF(ThresholdAge19,"&lt;"&amp;L205,WeightedMinAge19),MAX(CapacityAge19*'01_Вводные'!$B$218*L205,MeanMinAge19)))</f>
        <v/>
      </c>
      <c r="M155" s="190">
        <f>IF(OR((M71-M99)=0,19&lt;='01_Вводные'!$B$297),0,(M71-M99)*IF('01_Вводные'!$B$239="Да",MeanMinAge19+M205*SUMIF(ThresholdAge19,"&lt;"&amp;M205,WeightedRevAge19)-SUMIF(ThresholdAge19,"&lt;"&amp;M205,WeightedMinAge19),MAX(CapacityAge19*'01_Вводные'!$B$218*M205,MeanMinAge19)))</f>
        <v/>
      </c>
      <c r="N155" s="190">
        <f>IF(OR((N71-N99)=0,19&lt;='01_Вводные'!$B$297),0,(N71-N99)*IF('01_Вводные'!$B$239="Да",MeanMinAge19+N205*SUMIF(ThresholdAge19,"&lt;"&amp;N205,WeightedRevAge19)-SUMIF(ThresholdAge19,"&lt;"&amp;N205,WeightedMinAge19),MAX(CapacityAge19*'01_Вводные'!$B$218*N205,MeanMinAge19)))</f>
        <v/>
      </c>
      <c r="O155" s="190">
        <f>IF(OR((O71-O99)=0,19&lt;='01_Вводные'!$B$297),0,(O71-O99)*IF('01_Вводные'!$B$239="Да",MeanMinAge19+O205*SUMIF(ThresholdAge19,"&lt;"&amp;O205,WeightedRevAge19)-SUMIF(ThresholdAge19,"&lt;"&amp;O205,WeightedMinAge19),MAX(CapacityAge19*'01_Вводные'!$B$218*O205,MeanMinAge19)))</f>
        <v/>
      </c>
      <c r="P155" s="190">
        <f>IF(OR((P71-P99)=0,19&lt;='01_Вводные'!$B$297),0,(P71-P99)*IF('01_Вводные'!$B$239="Да",MeanMinAge19+P205*SUMIF(ThresholdAge19,"&lt;"&amp;P205,WeightedRevAge19)-SUMIF(ThresholdAge19,"&lt;"&amp;P205,WeightedMinAge19),MAX(CapacityAge19*'01_Вводные'!$B$218*P205,MeanMinAge19)))</f>
        <v/>
      </c>
      <c r="Q155" s="190">
        <f>IF(OR((Q71-Q99)=0,19&lt;='01_Вводные'!$B$297),0,(Q71-Q99)*IF('01_Вводные'!$B$239="Да",MeanMinAge19+Q205*SUMIF(ThresholdAge19,"&lt;"&amp;Q205,WeightedRevAge19)-SUMIF(ThresholdAge19,"&lt;"&amp;Q205,WeightedMinAge19),MAX(CapacityAge19*'01_Вводные'!$B$218*Q205,MeanMinAge19)))</f>
        <v/>
      </c>
      <c r="R155" s="190">
        <f>IF(OR((R71-R99)=0,19&lt;='01_Вводные'!$B$297),0,(R71-R99)*IF('01_Вводные'!$B$239="Да",MeanMinAge19+R205*SUMIF(ThresholdAge19,"&lt;"&amp;R205,WeightedRevAge19)-SUMIF(ThresholdAge19,"&lt;"&amp;R205,WeightedMinAge19),MAX(CapacityAge19*'01_Вводные'!$B$218*R205,MeanMinAge19)))</f>
        <v/>
      </c>
      <c r="S155" s="190">
        <f>IF(OR((S71-S99)=0,19&lt;='01_Вводные'!$B$297),0,(S71-S99)*IF('01_Вводные'!$B$239="Да",MeanMinAge19+S205*SUMIF(ThresholdAge19,"&lt;"&amp;S205,WeightedRevAge19)-SUMIF(ThresholdAge19,"&lt;"&amp;S205,WeightedMinAge19),MAX(CapacityAge19*'01_Вводные'!$B$218*S205,MeanMinAge19)))</f>
        <v/>
      </c>
      <c r="T155" s="190">
        <f>IF(OR((T71-T99)=0,19&lt;='01_Вводные'!$B$297),0,(T71-T99)*IF('01_Вводные'!$B$239="Да",MeanMinAge19+T205*SUMIF(ThresholdAge19,"&lt;"&amp;T205,WeightedRevAge19)-SUMIF(ThresholdAge19,"&lt;"&amp;T205,WeightedMinAge19),MAX(CapacityAge19*'01_Вводные'!$B$218*T205,MeanMinAge19)))</f>
        <v/>
      </c>
      <c r="U155" s="190">
        <f>IF(OR((U71-U99)=0,19&lt;='01_Вводные'!$B$297),0,(U71-U99)*IF('01_Вводные'!$B$239="Да",MeanMinAge19+U205*SUMIF(ThresholdAge19,"&lt;"&amp;U205,WeightedRevAge19)-SUMIF(ThresholdAge19,"&lt;"&amp;U205,WeightedMinAge19),MAX(CapacityAge19*'01_Вводные'!$B$218*U205,MeanMinAge19)))</f>
        <v/>
      </c>
      <c r="V155" s="190">
        <f>IF(OR((V71-V99)=0,19&lt;='01_Вводные'!$B$297),0,(V71-V99)*IF('01_Вводные'!$B$239="Да",MeanMinAge19+V205*SUMIF(ThresholdAge19,"&lt;"&amp;V205,WeightedRevAge19)-SUMIF(ThresholdAge19,"&lt;"&amp;V205,WeightedMinAge19),MAX(CapacityAge19*'01_Вводные'!$B$218*V205,MeanMinAge19)))</f>
        <v/>
      </c>
      <c r="W155" s="190">
        <f>IF(OR((W71-W99)=0,19&lt;='01_Вводные'!$B$297),0,(W71-W99)*IF('01_Вводные'!$B$239="Да",MeanMinAge19+W205*SUMIF(ThresholdAge19,"&lt;"&amp;W205,WeightedRevAge19)-SUMIF(ThresholdAge19,"&lt;"&amp;W205,WeightedMinAge19),MAX(CapacityAge19*'01_Вводные'!$B$218*W205,MeanMinAge19)))</f>
        <v/>
      </c>
      <c r="X155" s="190">
        <f>IF(OR((X71-X99)=0,19&lt;='01_Вводные'!$B$297),0,(X71-X99)*IF('01_Вводные'!$B$239="Да",MeanMinAge19+X205*SUMIF(ThresholdAge19,"&lt;"&amp;X205,WeightedRevAge19)-SUMIF(ThresholdAge19,"&lt;"&amp;X205,WeightedMinAge19),MAX(CapacityAge19*'01_Вводные'!$B$218*X205,MeanMinAge19)))</f>
        <v/>
      </c>
      <c r="Y155" s="190">
        <f>IF(OR((Y71-Y99)=0,19&lt;='01_Вводные'!$B$297),0,(Y71-Y99)*IF('01_Вводные'!$B$239="Да",MeanMinAge19+Y205*SUMIF(ThresholdAge19,"&lt;"&amp;Y205,WeightedRevAge19)-SUMIF(ThresholdAge19,"&lt;"&amp;Y205,WeightedMinAge19),MAX(CapacityAge19*'01_Вводные'!$B$218*Y205,MeanMinAge19)))</f>
        <v/>
      </c>
      <c r="Z155" s="190">
        <f>IF(OR((Z71-Z99)=0,19&lt;='01_Вводные'!$B$297),0,(Z71-Z99)*IF('01_Вводные'!$B$239="Да",MeanMinAge19+Z205*SUMIF(ThresholdAge19,"&lt;"&amp;Z205,WeightedRevAge19)-SUMIF(ThresholdAge19,"&lt;"&amp;Z205,WeightedMinAge19),MAX(CapacityAge19*'01_Вводные'!$B$218*Z205,MeanMinAge19)))</f>
        <v/>
      </c>
      <c r="AA155" s="190">
        <f>IF(OR((AA71-AA99)=0,19&lt;='01_Вводные'!$B$297),0,(AA71-AA99)*IF('01_Вводные'!$B$239="Да",MeanMinAge19+AA205*SUMIF(ThresholdAge19,"&lt;"&amp;AA205,WeightedRevAge19)-SUMIF(ThresholdAge19,"&lt;"&amp;AA205,WeightedMinAge19),MAX(CapacityAge19*'01_Вводные'!$B$218*AA205,MeanMinAge19)))</f>
        <v/>
      </c>
      <c r="AB155" s="190">
        <f>IF(OR((AB71-AB99)=0,19&lt;='01_Вводные'!$B$297),0,(AB71-AB99)*IF('01_Вводные'!$B$239="Да",MeanMinAge19+AB205*SUMIF(ThresholdAge19,"&lt;"&amp;AB205,WeightedRevAge19)-SUMIF(ThresholdAge19,"&lt;"&amp;AB205,WeightedMinAge19),MAX(CapacityAge19*'01_Вводные'!$B$218*AB205,MeanMinAge19)))</f>
        <v/>
      </c>
      <c r="AC155" s="190">
        <f>IF(OR((AC71-AC99)=0,19&lt;='01_Вводные'!$B$297),0,(AC71-AC99)*IF('01_Вводные'!$B$239="Да",MeanMinAge19+AC205*SUMIF(ThresholdAge19,"&lt;"&amp;AC205,WeightedRevAge19)-SUMIF(ThresholdAge19,"&lt;"&amp;AC205,WeightedMinAge19),MAX(CapacityAge19*'01_Вводные'!$B$218*AC205,MeanMinAge19)))</f>
        <v/>
      </c>
      <c r="AD155" s="190">
        <f>IF(OR((AD71-AD99)=0,19&lt;='01_Вводные'!$B$297),0,(AD71-AD99)*IF('01_Вводные'!$B$239="Да",MeanMinAge19+AD205*SUMIF(ThresholdAge19,"&lt;"&amp;AD205,WeightedRevAge19)-SUMIF(ThresholdAge19,"&lt;"&amp;AD205,WeightedMinAge19),MAX(CapacityAge19*'01_Вводные'!$B$218*AD205,MeanMinAge19)))</f>
        <v/>
      </c>
      <c r="AE155" s="190">
        <f>IF(OR((AE71-AE99)=0,19&lt;='01_Вводные'!$B$297),0,(AE71-AE99)*IF('01_Вводные'!$B$239="Да",MeanMinAge19+AE205*SUMIF(ThresholdAge19,"&lt;"&amp;AE205,WeightedRevAge19)-SUMIF(ThresholdAge19,"&lt;"&amp;AE205,WeightedMinAge19),MAX(CapacityAge19*'01_Вводные'!$B$218*AE205,MeanMinAge19)))</f>
        <v/>
      </c>
      <c r="AF155" s="190">
        <f>IF(OR((AF71-AF99)=0,19&lt;='01_Вводные'!$B$297),0,(AF71-AF99)*IF('01_Вводные'!$B$239="Да",MeanMinAge19+AF205*SUMIF(ThresholdAge19,"&lt;"&amp;AF205,WeightedRevAge19)-SUMIF(ThresholdAge19,"&lt;"&amp;AF205,WeightedMinAge19),MAX(CapacityAge19*'01_Вводные'!$B$218*AF205,MeanMinAge19)))</f>
        <v/>
      </c>
      <c r="AG155" s="190">
        <f>IF(OR((AG71-AG99)=0,19&lt;='01_Вводные'!$B$297),0,(AG71-AG99)*IF('01_Вводные'!$B$239="Да",MeanMinAge19+AG205*SUMIF(ThresholdAge19,"&lt;"&amp;AG205,WeightedRevAge19)-SUMIF(ThresholdAge19,"&lt;"&amp;AG205,WeightedMinAge19),MAX(CapacityAge19*'01_Вводные'!$B$218*AG205,MeanMinAge19)))</f>
        <v/>
      </c>
      <c r="AH155" s="190">
        <f>IF(OR((AH71-AH99)=0,19&lt;='01_Вводные'!$B$297),0,(AH71-AH99)*IF('01_Вводные'!$B$239="Да",MeanMinAge19+AH205*SUMIF(ThresholdAge19,"&lt;"&amp;AH205,WeightedRevAge19)-SUMIF(ThresholdAge19,"&lt;"&amp;AH205,WeightedMinAge19),MAX(CapacityAge19*'01_Вводные'!$B$218*AH205,MeanMinAge19)))</f>
        <v/>
      </c>
      <c r="AI155" s="190">
        <f>IF(OR((AI71-AI99)=0,19&lt;='01_Вводные'!$B$297),0,(AI71-AI99)*IF('01_Вводные'!$B$239="Да",MeanMinAge19+AI205*SUMIF(ThresholdAge19,"&lt;"&amp;AI205,WeightedRevAge19)-SUMIF(ThresholdAge19,"&lt;"&amp;AI205,WeightedMinAge19),MAX(CapacityAge19*'01_Вводные'!$B$218*AI205,MeanMinAge19)))</f>
        <v/>
      </c>
      <c r="AJ155" s="190">
        <f>IF(OR((AJ71-AJ99)=0,19&lt;='01_Вводные'!$B$297),0,(AJ71-AJ99)*IF('01_Вводные'!$B$239="Да",MeanMinAge19+AJ205*SUMIF(ThresholdAge19,"&lt;"&amp;AJ205,WeightedRevAge19)-SUMIF(ThresholdAge19,"&lt;"&amp;AJ205,WeightedMinAge19),MAX(CapacityAge19*'01_Вводные'!$B$218*AJ205,MeanMinAge19)))</f>
        <v/>
      </c>
      <c r="AK155" s="190">
        <f>IF(OR((AK71-AK99)=0,19&lt;='01_Вводные'!$B$297),0,(AK71-AK99)*IF('01_Вводные'!$B$239="Да",MeanMinAge19+AK205*SUMIF(ThresholdAge19,"&lt;"&amp;AK205,WeightedRevAge19)-SUMIF(ThresholdAge19,"&lt;"&amp;AK205,WeightedMinAge19),MAX(CapacityAge19*'01_Вводные'!$B$218*AK205,MeanMinAge19)))</f>
        <v/>
      </c>
      <c r="AL155" s="190">
        <f>IF(OR((AL71-AL99)=0,19&lt;='01_Вводные'!$B$297),0,(AL71-AL99)*IF('01_Вводные'!$B$239="Да",MeanMinAge19+AL205*SUMIF(ThresholdAge19,"&lt;"&amp;AL205,WeightedRevAge19)-SUMIF(ThresholdAge19,"&lt;"&amp;AL205,WeightedMinAge19),MAX(CapacityAge19*'01_Вводные'!$B$218*AL205,MeanMinAge19)))</f>
        <v/>
      </c>
      <c r="AM155" s="190">
        <f>IF(OR((AM71-AM99)=0,19&lt;='01_Вводные'!$B$297),0,(AM71-AM99)*IF('01_Вводные'!$B$239="Да",MeanMinAge19+AM205*SUMIF(ThresholdAge19,"&lt;"&amp;AM205,WeightedRevAge19)-SUMIF(ThresholdAge19,"&lt;"&amp;AM205,WeightedMinAge19),MAX(CapacityAge19*'01_Вводные'!$B$218*AM205,MeanMinAge19)))</f>
        <v/>
      </c>
      <c r="AN155" s="190">
        <f>IF(OR((AN71-AN99)=0,19&lt;='01_Вводные'!$B$297),0,(AN71-AN99)*IF('01_Вводные'!$B$239="Да",MeanMinAge19+AN205*SUMIF(ThresholdAge19,"&lt;"&amp;AN205,WeightedRevAge19)-SUMIF(ThresholdAge19,"&lt;"&amp;AN205,WeightedMinAge19),MAX(CapacityAge19*'01_Вводные'!$B$218*AN205,MeanMinAge19)))</f>
        <v/>
      </c>
      <c r="AO155" s="190">
        <f>IF(OR((AO71-AO99)=0,19&lt;='01_Вводные'!$B$297),0,(AO71-AO99)*IF('01_Вводные'!$B$239="Да",MeanMinAge19+AO205*SUMIF(ThresholdAge19,"&lt;"&amp;AO205,WeightedRevAge19)-SUMIF(ThresholdAge19,"&lt;"&amp;AO205,WeightedMinAge19),MAX(CapacityAge19*'01_Вводные'!$B$218*AO205,MeanMinAge19)))</f>
        <v/>
      </c>
      <c r="AP155" s="190">
        <f>IF(OR((AP71-AP99)=0,19&lt;='01_Вводные'!$B$297),0,(AP71-AP99)*IF('01_Вводные'!$B$239="Да",MeanMinAge19+AP205*SUMIF(ThresholdAge19,"&lt;"&amp;AP205,WeightedRevAge19)-SUMIF(ThresholdAge19,"&lt;"&amp;AP205,WeightedMinAge19),MAX(CapacityAge19*'01_Вводные'!$B$218*AP205,MeanMinAge19)))</f>
        <v/>
      </c>
      <c r="AQ155" s="190">
        <f>IF(OR((AQ71-AQ99)=0,19&lt;='01_Вводные'!$B$297),0,(AQ71-AQ99)*IF('01_Вводные'!$B$239="Да",MeanMinAge19+AQ205*SUMIF(ThresholdAge19,"&lt;"&amp;AQ205,WeightedRevAge19)-SUMIF(ThresholdAge19,"&lt;"&amp;AQ205,WeightedMinAge19),MAX(CapacityAge19*'01_Вводные'!$B$218*AQ205,MeanMinAge19)))</f>
        <v/>
      </c>
      <c r="AR155" s="190">
        <f>IF(OR((AR71-AR99)=0,19&lt;='01_Вводные'!$B$297),0,(AR71-AR99)*IF('01_Вводные'!$B$239="Да",MeanMinAge19+AR205*SUMIF(ThresholdAge19,"&lt;"&amp;AR205,WeightedRevAge19)-SUMIF(ThresholdAge19,"&lt;"&amp;AR205,WeightedMinAge19),MAX(CapacityAge19*'01_Вводные'!$B$218*AR205,MeanMinAge19)))</f>
        <v/>
      </c>
      <c r="AS155" s="190">
        <f>IF(OR((AS71-AS99)=0,19&lt;='01_Вводные'!$B$297),0,(AS71-AS99)*IF('01_Вводные'!$B$239="Да",MeanMinAge19+AS205*SUMIF(ThresholdAge19,"&lt;"&amp;AS205,WeightedRevAge19)-SUMIF(ThresholdAge19,"&lt;"&amp;AS205,WeightedMinAge19),MAX(CapacityAge19*'01_Вводные'!$B$218*AS205,MeanMinAge19)))</f>
        <v/>
      </c>
      <c r="AT155" s="190">
        <f>IF(OR((AT71-AT99)=0,19&lt;='01_Вводные'!$B$297),0,(AT71-AT99)*IF('01_Вводные'!$B$239="Да",MeanMinAge19+AT205*SUMIF(ThresholdAge19,"&lt;"&amp;AT205,WeightedRevAge19)-SUMIF(ThresholdAge19,"&lt;"&amp;AT205,WeightedMinAge19),MAX(CapacityAge19*'01_Вводные'!$B$218*AT205,MeanMinAge19)))</f>
        <v/>
      </c>
      <c r="AU155" s="190">
        <f>IF(OR((AU71-AU99)=0,19&lt;='01_Вводные'!$B$297),0,(AU71-AU99)*IF('01_Вводные'!$B$239="Да",MeanMinAge19+AU205*SUMIF(ThresholdAge19,"&lt;"&amp;AU205,WeightedRevAge19)-SUMIF(ThresholdAge19,"&lt;"&amp;AU205,WeightedMinAge19),MAX(CapacityAge19*'01_Вводные'!$B$218*AU205,MeanMinAge19)))</f>
        <v/>
      </c>
      <c r="AV155" s="190">
        <f>IF(OR((AV71-AV99)=0,19&lt;='01_Вводные'!$B$297),0,(AV71-AV99)*IF('01_Вводные'!$B$239="Да",MeanMinAge19+AV205*SUMIF(ThresholdAge19,"&lt;"&amp;AV205,WeightedRevAge19)-SUMIF(ThresholdAge19,"&lt;"&amp;AV205,WeightedMinAge19),MAX(CapacityAge19*'01_Вводные'!$B$218*AV205,MeanMinAge19)))</f>
        <v/>
      </c>
      <c r="AW155" s="190">
        <f>IF(OR((AW71-AW99)=0,19&lt;='01_Вводные'!$B$297),0,(AW71-AW99)*IF('01_Вводные'!$B$239="Да",MeanMinAge19+AW205*SUMIF(ThresholdAge19,"&lt;"&amp;AW205,WeightedRevAge19)-SUMIF(ThresholdAge19,"&lt;"&amp;AW205,WeightedMinAge19),MAX(CapacityAge19*'01_Вводные'!$B$218*AW205,MeanMinAge19)))</f>
        <v/>
      </c>
      <c r="AX155" s="190">
        <f>IF(OR((AX71-AX99)=0,19&lt;='01_Вводные'!$B$297),0,(AX71-AX99)*IF('01_Вводные'!$B$239="Да",MeanMinAge19+AX205*SUMIF(ThresholdAge19,"&lt;"&amp;AX205,WeightedRevAge19)-SUMIF(ThresholdAge19,"&lt;"&amp;AX205,WeightedMinAge19),MAX(CapacityAge19*'01_Вводные'!$B$218*AX205,MeanMinAge19)))</f>
        <v/>
      </c>
      <c r="AY155" s="190">
        <f>IF(OR((AY71-AY99)=0,19&lt;='01_Вводные'!$B$297),0,(AY71-AY99)*IF('01_Вводные'!$B$239="Да",MeanMinAge19+AY205*SUMIF(ThresholdAge19,"&lt;"&amp;AY205,WeightedRevAge19)-SUMIF(ThresholdAge19,"&lt;"&amp;AY205,WeightedMinAge19),MAX(CapacityAge19*'01_Вводные'!$B$218*AY205,MeanMinAge19)))</f>
        <v/>
      </c>
      <c r="AZ155" s="190">
        <f>IF(OR((AZ71-AZ99)=0,19&lt;='01_Вводные'!$B$297),0,(AZ71-AZ99)*IF('01_Вводные'!$B$239="Да",MeanMinAge19+AZ205*SUMIF(ThresholdAge19,"&lt;"&amp;AZ205,WeightedRevAge19)-SUMIF(ThresholdAge19,"&lt;"&amp;AZ205,WeightedMinAge19),MAX(CapacityAge19*'01_Вводные'!$B$218*AZ205,MeanMinAge19)))</f>
        <v/>
      </c>
      <c r="BA155" s="190">
        <f>IF(OR((BA71-BA99)=0,19&lt;='01_Вводные'!$B$297),0,(BA71-BA99)*IF('01_Вводные'!$B$239="Да",MeanMinAge19+BA205*SUMIF(ThresholdAge19,"&lt;"&amp;BA205,WeightedRevAge19)-SUMIF(ThresholdAge19,"&lt;"&amp;BA205,WeightedMinAge19),MAX(CapacityAge19*'01_Вводные'!$B$218*BA205,MeanMinAge19)))</f>
        <v/>
      </c>
      <c r="BB155" s="190">
        <f>IF(OR((BB71-BB99)=0,19&lt;='01_Вводные'!$B$297),0,(BB71-BB99)*IF('01_Вводные'!$B$239="Да",MeanMinAge19+BB205*SUMIF(ThresholdAge19,"&lt;"&amp;BB205,WeightedRevAge19)-SUMIF(ThresholdAge19,"&lt;"&amp;BB205,WeightedMinAge19),MAX(CapacityAge19*'01_Вводные'!$B$218*BB205,MeanMinAge19)))</f>
        <v/>
      </c>
      <c r="BC155" s="190">
        <f>IF(OR((BC71-BC99)=0,19&lt;='01_Вводные'!$B$297),0,(BC71-BC99)*IF('01_Вводные'!$B$239="Да",MeanMinAge19+BC205*SUMIF(ThresholdAge19,"&lt;"&amp;BC205,WeightedRevAge19)-SUMIF(ThresholdAge19,"&lt;"&amp;BC205,WeightedMinAge19),MAX(CapacityAge19*'01_Вводные'!$B$218*BC205,MeanMinAge19)))</f>
        <v/>
      </c>
      <c r="BD155" s="190">
        <f>IF(OR((BD71-BD99)=0,19&lt;='01_Вводные'!$B$297),0,(BD71-BD99)*IF('01_Вводные'!$B$239="Да",MeanMinAge19+BD205*SUMIF(ThresholdAge19,"&lt;"&amp;BD205,WeightedRevAge19)-SUMIF(ThresholdAge19,"&lt;"&amp;BD205,WeightedMinAge19),MAX(CapacityAge19*'01_Вводные'!$B$218*BD205,MeanMinAge19)))</f>
        <v/>
      </c>
      <c r="BE155" s="190">
        <f>IF(OR((BE71-BE99)=0,19&lt;='01_Вводные'!$B$297),0,(BE71-BE99)*IF('01_Вводные'!$B$239="Да",MeanMinAge19+BE205*SUMIF(ThresholdAge19,"&lt;"&amp;BE205,WeightedRevAge19)-SUMIF(ThresholdAge19,"&lt;"&amp;BE205,WeightedMinAge19),MAX(CapacityAge19*'01_Вводные'!$B$218*BE205,MeanMinAge19)))</f>
        <v/>
      </c>
      <c r="BF155" s="190">
        <f>IF(OR((BF71-BF99)=0,19&lt;='01_Вводные'!$B$297),0,(BF71-BF99)*IF('01_Вводные'!$B$239="Да",MeanMinAge19+BF205*SUMIF(ThresholdAge19,"&lt;"&amp;BF205,WeightedRevAge19)-SUMIF(ThresholdAge19,"&lt;"&amp;BF205,WeightedMinAge19),MAX(CapacityAge19*'01_Вводные'!$B$218*BF205,MeanMinAge19)))</f>
        <v/>
      </c>
      <c r="BG155" s="190">
        <f>IF(OR((BG71-BG99)=0,19&lt;='01_Вводные'!$B$297),0,(BG71-BG99)*IF('01_Вводные'!$B$239="Да",MeanMinAge19+BG205*SUMIF(ThresholdAge19,"&lt;"&amp;BG205,WeightedRevAge19)-SUMIF(ThresholdAge19,"&lt;"&amp;BG205,WeightedMinAge19),MAX(CapacityAge19*'01_Вводные'!$B$218*BG205,MeanMinAge19)))</f>
        <v/>
      </c>
      <c r="BH155" s="190">
        <f>IF(OR((BH71-BH99)=0,19&lt;='01_Вводные'!$B$297),0,(BH71-BH99)*IF('01_Вводные'!$B$239="Да",MeanMinAge19+BH205*SUMIF(ThresholdAge19,"&lt;"&amp;BH205,WeightedRevAge19)-SUMIF(ThresholdAge19,"&lt;"&amp;BH205,WeightedMinAge19),MAX(CapacityAge19*'01_Вводные'!$B$218*BH205,MeanMinAge19)))</f>
        <v/>
      </c>
      <c r="BI155" s="190">
        <f>IF(OR((BI71-BI99)=0,19&lt;='01_Вводные'!$B$297),0,(BI71-BI99)*IF('01_Вводные'!$B$239="Да",MeanMinAge19+BI205*SUMIF(ThresholdAge19,"&lt;"&amp;BI205,WeightedRevAge19)-SUMIF(ThresholdAge19,"&lt;"&amp;BI205,WeightedMinAge19),MAX(CapacityAge19*'01_Вводные'!$B$218*BI205,MeanMinAge19)))</f>
        <v/>
      </c>
      <c r="BJ155" s="190">
        <f>IF(OR((BJ71-BJ99)=0,19&lt;='01_Вводные'!$B$297),0,(BJ71-BJ99)*IF('01_Вводные'!$B$239="Да",MeanMinAge19+BJ205*SUMIF(ThresholdAge19,"&lt;"&amp;BJ205,WeightedRevAge19)-SUMIF(ThresholdAge19,"&lt;"&amp;BJ205,WeightedMinAge19),MAX(CapacityAge19*'01_Вводные'!$B$218*BJ205,MeanMinAge19)))</f>
        <v/>
      </c>
      <c r="BK155" s="190">
        <f>IF(OR((BK71-BK99)=0,19&lt;='01_Вводные'!$B$297),0,(BK71-BK99)*IF('01_Вводные'!$B$239="Да",MeanMinAge19+BK205*SUMIF(ThresholdAge19,"&lt;"&amp;BK205,WeightedRevAge19)-SUMIF(ThresholdAge19,"&lt;"&amp;BK205,WeightedMinAge19),MAX(CapacityAge19*'01_Вводные'!$B$218*BK205,MeanMinAge19)))</f>
        <v/>
      </c>
      <c r="BL155" s="190">
        <f>IF(OR((BL71-BL99)=0,19&lt;='01_Вводные'!$B$297),0,(BL71-BL99)*IF('01_Вводные'!$B$239="Да",MeanMinAge19+BL205*SUMIF(ThresholdAge19,"&lt;"&amp;BL205,WeightedRevAge19)-SUMIF(ThresholdAge19,"&lt;"&amp;BL205,WeightedMinAge19),MAX(CapacityAge19*'01_Вводные'!$B$218*BL205,MeanMinAge19)))</f>
        <v/>
      </c>
      <c r="BM155" s="190">
        <f>IF(OR((BM71-BM99)=0,19&lt;='01_Вводные'!$B$297),0,(BM71-BM99)*IF('01_Вводные'!$B$239="Да",MeanMinAge19+BM205*SUMIF(ThresholdAge19,"&lt;"&amp;BM205,WeightedRevAge19)-SUMIF(ThresholdAge19,"&lt;"&amp;BM205,WeightedMinAge19),MAX(CapacityAge19*'01_Вводные'!$B$218*BM205,MeanMinAge19)))</f>
        <v/>
      </c>
      <c r="BN155" s="190">
        <f>IF(OR((BN71-BN99)=0,19&lt;='01_Вводные'!$B$297),0,(BN71-BN99)*IF('01_Вводные'!$B$239="Да",MeanMinAge19+BN205*SUMIF(ThresholdAge19,"&lt;"&amp;BN205,WeightedRevAge19)-SUMIF(ThresholdAge19,"&lt;"&amp;BN205,WeightedMinAge19),MAX(CapacityAge19*'01_Вводные'!$B$218*BN205,MeanMinAge19)))</f>
        <v/>
      </c>
      <c r="BO155" s="190">
        <f>IF(OR((BO71-BO99)=0,19&lt;='01_Вводные'!$B$297),0,(BO71-BO99)*IF('01_Вводные'!$B$239="Да",MeanMinAge19+BO205*SUMIF(ThresholdAge19,"&lt;"&amp;BO205,WeightedRevAge19)-SUMIF(ThresholdAge19,"&lt;"&amp;BO205,WeightedMinAge19),MAX(CapacityAge19*'01_Вводные'!$B$218*BO205,MeanMinAge19)))</f>
        <v/>
      </c>
    </row>
    <row r="156" hidden="1" outlineLevel="1">
      <c r="A156" t="inlineStr">
        <is>
          <t>20 мес.</t>
        </is>
      </c>
      <c r="B156" s="191">
        <f>IF(OR((B72-B100)=0,20&lt;='01_Вводные'!$B$297),0,(B72-B100)*IF('01_Вводные'!$B$239="Да",MeanMinAge20+B205*SUMIF(ThresholdAge20,"&lt;"&amp;B205,WeightedRevAge20)-SUMIF(ThresholdAge20,"&lt;"&amp;B205,WeightedMinAge20),MAX(CapacityAge20*'01_Вводные'!$B$218*B205,MeanMinAge20)))</f>
        <v/>
      </c>
      <c r="C156" s="191">
        <f>IF(OR((C72-C100)=0,20&lt;='01_Вводные'!$B$297),0,(C72-C100)*IF('01_Вводные'!$B$239="Да",MeanMinAge20+C205*SUMIF(ThresholdAge20,"&lt;"&amp;C205,WeightedRevAge20)-SUMIF(ThresholdAge20,"&lt;"&amp;C205,WeightedMinAge20),MAX(CapacityAge20*'01_Вводные'!$B$218*C205,MeanMinAge20)))</f>
        <v/>
      </c>
      <c r="D156" s="191">
        <f>IF(OR((D72-D100)=0,20&lt;='01_Вводные'!$B$297),0,(D72-D100)*IF('01_Вводные'!$B$239="Да",MeanMinAge20+D205*SUMIF(ThresholdAge20,"&lt;"&amp;D205,WeightedRevAge20)-SUMIF(ThresholdAge20,"&lt;"&amp;D205,WeightedMinAge20),MAX(CapacityAge20*'01_Вводные'!$B$218*D205,MeanMinAge20)))</f>
        <v/>
      </c>
      <c r="E156" s="191">
        <f>IF(OR((E72-E100)=0,20&lt;='01_Вводные'!$B$297),0,(E72-E100)*IF('01_Вводные'!$B$239="Да",MeanMinAge20+E205*SUMIF(ThresholdAge20,"&lt;"&amp;E205,WeightedRevAge20)-SUMIF(ThresholdAge20,"&lt;"&amp;E205,WeightedMinAge20),MAX(CapacityAge20*'01_Вводные'!$B$218*E205,MeanMinAge20)))</f>
        <v/>
      </c>
      <c r="F156" s="191">
        <f>IF(OR((F72-F100)=0,20&lt;='01_Вводные'!$B$297),0,(F72-F100)*IF('01_Вводные'!$B$239="Да",MeanMinAge20+F205*SUMIF(ThresholdAge20,"&lt;"&amp;F205,WeightedRevAge20)-SUMIF(ThresholdAge20,"&lt;"&amp;F205,WeightedMinAge20),MAX(CapacityAge20*'01_Вводные'!$B$218*F205,MeanMinAge20)))</f>
        <v/>
      </c>
      <c r="G156" s="191">
        <f>IF(OR((G72-G100)=0,20&lt;='01_Вводные'!$B$297),0,(G72-G100)*IF('01_Вводные'!$B$239="Да",MeanMinAge20+G205*SUMIF(ThresholdAge20,"&lt;"&amp;G205,WeightedRevAge20)-SUMIF(ThresholdAge20,"&lt;"&amp;G205,WeightedMinAge20),MAX(CapacityAge20*'01_Вводные'!$B$218*G205,MeanMinAge20)))</f>
        <v/>
      </c>
      <c r="H156" s="191">
        <f>IF(OR((H72-H100)=0,20&lt;='01_Вводные'!$B$297),0,(H72-H100)*IF('01_Вводные'!$B$239="Да",MeanMinAge20+H205*SUMIF(ThresholdAge20,"&lt;"&amp;H205,WeightedRevAge20)-SUMIF(ThresholdAge20,"&lt;"&amp;H205,WeightedMinAge20),MAX(CapacityAge20*'01_Вводные'!$B$218*H205,MeanMinAge20)))</f>
        <v/>
      </c>
      <c r="I156" s="191">
        <f>IF(OR((I72-I100)=0,20&lt;='01_Вводные'!$B$297),0,(I72-I100)*IF('01_Вводные'!$B$239="Да",MeanMinAge20+I205*SUMIF(ThresholdAge20,"&lt;"&amp;I205,WeightedRevAge20)-SUMIF(ThresholdAge20,"&lt;"&amp;I205,WeightedMinAge20),MAX(CapacityAge20*'01_Вводные'!$B$218*I205,MeanMinAge20)))</f>
        <v/>
      </c>
      <c r="J156" s="191">
        <f>IF(OR((J72-J100)=0,20&lt;='01_Вводные'!$B$297),0,(J72-J100)*IF('01_Вводные'!$B$239="Да",MeanMinAge20+J205*SUMIF(ThresholdAge20,"&lt;"&amp;J205,WeightedRevAge20)-SUMIF(ThresholdAge20,"&lt;"&amp;J205,WeightedMinAge20),MAX(CapacityAge20*'01_Вводные'!$B$218*J205,MeanMinAge20)))</f>
        <v/>
      </c>
      <c r="K156" s="191">
        <f>IF(OR((K72-K100)=0,20&lt;='01_Вводные'!$B$297),0,(K72-K100)*IF('01_Вводные'!$B$239="Да",MeanMinAge20+K205*SUMIF(ThresholdAge20,"&lt;"&amp;K205,WeightedRevAge20)-SUMIF(ThresholdAge20,"&lt;"&amp;K205,WeightedMinAge20),MAX(CapacityAge20*'01_Вводные'!$B$218*K205,MeanMinAge20)))</f>
        <v/>
      </c>
      <c r="L156" s="191">
        <f>IF(OR((L72-L100)=0,20&lt;='01_Вводные'!$B$297),0,(L72-L100)*IF('01_Вводные'!$B$239="Да",MeanMinAge20+L205*SUMIF(ThresholdAge20,"&lt;"&amp;L205,WeightedRevAge20)-SUMIF(ThresholdAge20,"&lt;"&amp;L205,WeightedMinAge20),MAX(CapacityAge20*'01_Вводные'!$B$218*L205,MeanMinAge20)))</f>
        <v/>
      </c>
      <c r="M156" s="191">
        <f>IF(OR((M72-M100)=0,20&lt;='01_Вводные'!$B$297),0,(M72-M100)*IF('01_Вводные'!$B$239="Да",MeanMinAge20+M205*SUMIF(ThresholdAge20,"&lt;"&amp;M205,WeightedRevAge20)-SUMIF(ThresholdAge20,"&lt;"&amp;M205,WeightedMinAge20),MAX(CapacityAge20*'01_Вводные'!$B$218*M205,MeanMinAge20)))</f>
        <v/>
      </c>
      <c r="N156" s="191">
        <f>IF(OR((N72-N100)=0,20&lt;='01_Вводные'!$B$297),0,(N72-N100)*IF('01_Вводные'!$B$239="Да",MeanMinAge20+N205*SUMIF(ThresholdAge20,"&lt;"&amp;N205,WeightedRevAge20)-SUMIF(ThresholdAge20,"&lt;"&amp;N205,WeightedMinAge20),MAX(CapacityAge20*'01_Вводные'!$B$218*N205,MeanMinAge20)))</f>
        <v/>
      </c>
      <c r="O156" s="191">
        <f>IF(OR((O72-O100)=0,20&lt;='01_Вводные'!$B$297),0,(O72-O100)*IF('01_Вводные'!$B$239="Да",MeanMinAge20+O205*SUMIF(ThresholdAge20,"&lt;"&amp;O205,WeightedRevAge20)-SUMIF(ThresholdAge20,"&lt;"&amp;O205,WeightedMinAge20),MAX(CapacityAge20*'01_Вводные'!$B$218*O205,MeanMinAge20)))</f>
        <v/>
      </c>
      <c r="P156" s="191">
        <f>IF(OR((P72-P100)=0,20&lt;='01_Вводные'!$B$297),0,(P72-P100)*IF('01_Вводные'!$B$239="Да",MeanMinAge20+P205*SUMIF(ThresholdAge20,"&lt;"&amp;P205,WeightedRevAge20)-SUMIF(ThresholdAge20,"&lt;"&amp;P205,WeightedMinAge20),MAX(CapacityAge20*'01_Вводные'!$B$218*P205,MeanMinAge20)))</f>
        <v/>
      </c>
      <c r="Q156" s="191">
        <f>IF(OR((Q72-Q100)=0,20&lt;='01_Вводные'!$B$297),0,(Q72-Q100)*IF('01_Вводные'!$B$239="Да",MeanMinAge20+Q205*SUMIF(ThresholdAge20,"&lt;"&amp;Q205,WeightedRevAge20)-SUMIF(ThresholdAge20,"&lt;"&amp;Q205,WeightedMinAge20),MAX(CapacityAge20*'01_Вводные'!$B$218*Q205,MeanMinAge20)))</f>
        <v/>
      </c>
      <c r="R156" s="191">
        <f>IF(OR((R72-R100)=0,20&lt;='01_Вводные'!$B$297),0,(R72-R100)*IF('01_Вводные'!$B$239="Да",MeanMinAge20+R205*SUMIF(ThresholdAge20,"&lt;"&amp;R205,WeightedRevAge20)-SUMIF(ThresholdAge20,"&lt;"&amp;R205,WeightedMinAge20),MAX(CapacityAge20*'01_Вводные'!$B$218*R205,MeanMinAge20)))</f>
        <v/>
      </c>
      <c r="S156" s="191">
        <f>IF(OR((S72-S100)=0,20&lt;='01_Вводные'!$B$297),0,(S72-S100)*IF('01_Вводные'!$B$239="Да",MeanMinAge20+S205*SUMIF(ThresholdAge20,"&lt;"&amp;S205,WeightedRevAge20)-SUMIF(ThresholdAge20,"&lt;"&amp;S205,WeightedMinAge20),MAX(CapacityAge20*'01_Вводные'!$B$218*S205,MeanMinAge20)))</f>
        <v/>
      </c>
      <c r="T156" s="191">
        <f>IF(OR((T72-T100)=0,20&lt;='01_Вводные'!$B$297),0,(T72-T100)*IF('01_Вводные'!$B$239="Да",MeanMinAge20+T205*SUMIF(ThresholdAge20,"&lt;"&amp;T205,WeightedRevAge20)-SUMIF(ThresholdAge20,"&lt;"&amp;T205,WeightedMinAge20),MAX(CapacityAge20*'01_Вводные'!$B$218*T205,MeanMinAge20)))</f>
        <v/>
      </c>
      <c r="U156" s="191">
        <f>IF(OR((U72-U100)=0,20&lt;='01_Вводные'!$B$297),0,(U72-U100)*IF('01_Вводные'!$B$239="Да",MeanMinAge20+U205*SUMIF(ThresholdAge20,"&lt;"&amp;U205,WeightedRevAge20)-SUMIF(ThresholdAge20,"&lt;"&amp;U205,WeightedMinAge20),MAX(CapacityAge20*'01_Вводные'!$B$218*U205,MeanMinAge20)))</f>
        <v/>
      </c>
      <c r="V156" s="191">
        <f>IF(OR((V72-V100)=0,20&lt;='01_Вводные'!$B$297),0,(V72-V100)*IF('01_Вводные'!$B$239="Да",MeanMinAge20+V205*SUMIF(ThresholdAge20,"&lt;"&amp;V205,WeightedRevAge20)-SUMIF(ThresholdAge20,"&lt;"&amp;V205,WeightedMinAge20),MAX(CapacityAge20*'01_Вводные'!$B$218*V205,MeanMinAge20)))</f>
        <v/>
      </c>
      <c r="W156" s="191">
        <f>IF(OR((W72-W100)=0,20&lt;='01_Вводные'!$B$297),0,(W72-W100)*IF('01_Вводные'!$B$239="Да",MeanMinAge20+W205*SUMIF(ThresholdAge20,"&lt;"&amp;W205,WeightedRevAge20)-SUMIF(ThresholdAge20,"&lt;"&amp;W205,WeightedMinAge20),MAX(CapacityAge20*'01_Вводные'!$B$218*W205,MeanMinAge20)))</f>
        <v/>
      </c>
      <c r="X156" s="191">
        <f>IF(OR((X72-X100)=0,20&lt;='01_Вводные'!$B$297),0,(X72-X100)*IF('01_Вводные'!$B$239="Да",MeanMinAge20+X205*SUMIF(ThresholdAge20,"&lt;"&amp;X205,WeightedRevAge20)-SUMIF(ThresholdAge20,"&lt;"&amp;X205,WeightedMinAge20),MAX(CapacityAge20*'01_Вводные'!$B$218*X205,MeanMinAge20)))</f>
        <v/>
      </c>
      <c r="Y156" s="191">
        <f>IF(OR((Y72-Y100)=0,20&lt;='01_Вводные'!$B$297),0,(Y72-Y100)*IF('01_Вводные'!$B$239="Да",MeanMinAge20+Y205*SUMIF(ThresholdAge20,"&lt;"&amp;Y205,WeightedRevAge20)-SUMIF(ThresholdAge20,"&lt;"&amp;Y205,WeightedMinAge20),MAX(CapacityAge20*'01_Вводные'!$B$218*Y205,MeanMinAge20)))</f>
        <v/>
      </c>
      <c r="Z156" s="191">
        <f>IF(OR((Z72-Z100)=0,20&lt;='01_Вводные'!$B$297),0,(Z72-Z100)*IF('01_Вводные'!$B$239="Да",MeanMinAge20+Z205*SUMIF(ThresholdAge20,"&lt;"&amp;Z205,WeightedRevAge20)-SUMIF(ThresholdAge20,"&lt;"&amp;Z205,WeightedMinAge20),MAX(CapacityAge20*'01_Вводные'!$B$218*Z205,MeanMinAge20)))</f>
        <v/>
      </c>
      <c r="AA156" s="191">
        <f>IF(OR((AA72-AA100)=0,20&lt;='01_Вводные'!$B$297),0,(AA72-AA100)*IF('01_Вводные'!$B$239="Да",MeanMinAge20+AA205*SUMIF(ThresholdAge20,"&lt;"&amp;AA205,WeightedRevAge20)-SUMIF(ThresholdAge20,"&lt;"&amp;AA205,WeightedMinAge20),MAX(CapacityAge20*'01_Вводные'!$B$218*AA205,MeanMinAge20)))</f>
        <v/>
      </c>
      <c r="AB156" s="191">
        <f>IF(OR((AB72-AB100)=0,20&lt;='01_Вводные'!$B$297),0,(AB72-AB100)*IF('01_Вводные'!$B$239="Да",MeanMinAge20+AB205*SUMIF(ThresholdAge20,"&lt;"&amp;AB205,WeightedRevAge20)-SUMIF(ThresholdAge20,"&lt;"&amp;AB205,WeightedMinAge20),MAX(CapacityAge20*'01_Вводные'!$B$218*AB205,MeanMinAge20)))</f>
        <v/>
      </c>
      <c r="AC156" s="191">
        <f>IF(OR((AC72-AC100)=0,20&lt;='01_Вводные'!$B$297),0,(AC72-AC100)*IF('01_Вводные'!$B$239="Да",MeanMinAge20+AC205*SUMIF(ThresholdAge20,"&lt;"&amp;AC205,WeightedRevAge20)-SUMIF(ThresholdAge20,"&lt;"&amp;AC205,WeightedMinAge20),MAX(CapacityAge20*'01_Вводные'!$B$218*AC205,MeanMinAge20)))</f>
        <v/>
      </c>
      <c r="AD156" s="191">
        <f>IF(OR((AD72-AD100)=0,20&lt;='01_Вводные'!$B$297),0,(AD72-AD100)*IF('01_Вводные'!$B$239="Да",MeanMinAge20+AD205*SUMIF(ThresholdAge20,"&lt;"&amp;AD205,WeightedRevAge20)-SUMIF(ThresholdAge20,"&lt;"&amp;AD205,WeightedMinAge20),MAX(CapacityAge20*'01_Вводные'!$B$218*AD205,MeanMinAge20)))</f>
        <v/>
      </c>
      <c r="AE156" s="191">
        <f>IF(OR((AE72-AE100)=0,20&lt;='01_Вводные'!$B$297),0,(AE72-AE100)*IF('01_Вводные'!$B$239="Да",MeanMinAge20+AE205*SUMIF(ThresholdAge20,"&lt;"&amp;AE205,WeightedRevAge20)-SUMIF(ThresholdAge20,"&lt;"&amp;AE205,WeightedMinAge20),MAX(CapacityAge20*'01_Вводные'!$B$218*AE205,MeanMinAge20)))</f>
        <v/>
      </c>
      <c r="AF156" s="191">
        <f>IF(OR((AF72-AF100)=0,20&lt;='01_Вводные'!$B$297),0,(AF72-AF100)*IF('01_Вводные'!$B$239="Да",MeanMinAge20+AF205*SUMIF(ThresholdAge20,"&lt;"&amp;AF205,WeightedRevAge20)-SUMIF(ThresholdAge20,"&lt;"&amp;AF205,WeightedMinAge20),MAX(CapacityAge20*'01_Вводные'!$B$218*AF205,MeanMinAge20)))</f>
        <v/>
      </c>
      <c r="AG156" s="191">
        <f>IF(OR((AG72-AG100)=0,20&lt;='01_Вводные'!$B$297),0,(AG72-AG100)*IF('01_Вводные'!$B$239="Да",MeanMinAge20+AG205*SUMIF(ThresholdAge20,"&lt;"&amp;AG205,WeightedRevAge20)-SUMIF(ThresholdAge20,"&lt;"&amp;AG205,WeightedMinAge20),MAX(CapacityAge20*'01_Вводные'!$B$218*AG205,MeanMinAge20)))</f>
        <v/>
      </c>
      <c r="AH156" s="191">
        <f>IF(OR((AH72-AH100)=0,20&lt;='01_Вводные'!$B$297),0,(AH72-AH100)*IF('01_Вводные'!$B$239="Да",MeanMinAge20+AH205*SUMIF(ThresholdAge20,"&lt;"&amp;AH205,WeightedRevAge20)-SUMIF(ThresholdAge20,"&lt;"&amp;AH205,WeightedMinAge20),MAX(CapacityAge20*'01_Вводные'!$B$218*AH205,MeanMinAge20)))</f>
        <v/>
      </c>
      <c r="AI156" s="191">
        <f>IF(OR((AI72-AI100)=0,20&lt;='01_Вводные'!$B$297),0,(AI72-AI100)*IF('01_Вводные'!$B$239="Да",MeanMinAge20+AI205*SUMIF(ThresholdAge20,"&lt;"&amp;AI205,WeightedRevAge20)-SUMIF(ThresholdAge20,"&lt;"&amp;AI205,WeightedMinAge20),MAX(CapacityAge20*'01_Вводные'!$B$218*AI205,MeanMinAge20)))</f>
        <v/>
      </c>
      <c r="AJ156" s="191">
        <f>IF(OR((AJ72-AJ100)=0,20&lt;='01_Вводные'!$B$297),0,(AJ72-AJ100)*IF('01_Вводные'!$B$239="Да",MeanMinAge20+AJ205*SUMIF(ThresholdAge20,"&lt;"&amp;AJ205,WeightedRevAge20)-SUMIF(ThresholdAge20,"&lt;"&amp;AJ205,WeightedMinAge20),MAX(CapacityAge20*'01_Вводные'!$B$218*AJ205,MeanMinAge20)))</f>
        <v/>
      </c>
      <c r="AK156" s="191">
        <f>IF(OR((AK72-AK100)=0,20&lt;='01_Вводные'!$B$297),0,(AK72-AK100)*IF('01_Вводные'!$B$239="Да",MeanMinAge20+AK205*SUMIF(ThresholdAge20,"&lt;"&amp;AK205,WeightedRevAge20)-SUMIF(ThresholdAge20,"&lt;"&amp;AK205,WeightedMinAge20),MAX(CapacityAge20*'01_Вводные'!$B$218*AK205,MeanMinAge20)))</f>
        <v/>
      </c>
      <c r="AL156" s="191">
        <f>IF(OR((AL72-AL100)=0,20&lt;='01_Вводные'!$B$297),0,(AL72-AL100)*IF('01_Вводные'!$B$239="Да",MeanMinAge20+AL205*SUMIF(ThresholdAge20,"&lt;"&amp;AL205,WeightedRevAge20)-SUMIF(ThresholdAge20,"&lt;"&amp;AL205,WeightedMinAge20),MAX(CapacityAge20*'01_Вводные'!$B$218*AL205,MeanMinAge20)))</f>
        <v/>
      </c>
      <c r="AM156" s="191">
        <f>IF(OR((AM72-AM100)=0,20&lt;='01_Вводные'!$B$297),0,(AM72-AM100)*IF('01_Вводные'!$B$239="Да",MeanMinAge20+AM205*SUMIF(ThresholdAge20,"&lt;"&amp;AM205,WeightedRevAge20)-SUMIF(ThresholdAge20,"&lt;"&amp;AM205,WeightedMinAge20),MAX(CapacityAge20*'01_Вводные'!$B$218*AM205,MeanMinAge20)))</f>
        <v/>
      </c>
      <c r="AN156" s="191">
        <f>IF(OR((AN72-AN100)=0,20&lt;='01_Вводные'!$B$297),0,(AN72-AN100)*IF('01_Вводные'!$B$239="Да",MeanMinAge20+AN205*SUMIF(ThresholdAge20,"&lt;"&amp;AN205,WeightedRevAge20)-SUMIF(ThresholdAge20,"&lt;"&amp;AN205,WeightedMinAge20),MAX(CapacityAge20*'01_Вводные'!$B$218*AN205,MeanMinAge20)))</f>
        <v/>
      </c>
      <c r="AO156" s="191">
        <f>IF(OR((AO72-AO100)=0,20&lt;='01_Вводные'!$B$297),0,(AO72-AO100)*IF('01_Вводные'!$B$239="Да",MeanMinAge20+AO205*SUMIF(ThresholdAge20,"&lt;"&amp;AO205,WeightedRevAge20)-SUMIF(ThresholdAge20,"&lt;"&amp;AO205,WeightedMinAge20),MAX(CapacityAge20*'01_Вводные'!$B$218*AO205,MeanMinAge20)))</f>
        <v/>
      </c>
      <c r="AP156" s="191">
        <f>IF(OR((AP72-AP100)=0,20&lt;='01_Вводные'!$B$297),0,(AP72-AP100)*IF('01_Вводные'!$B$239="Да",MeanMinAge20+AP205*SUMIF(ThresholdAge20,"&lt;"&amp;AP205,WeightedRevAge20)-SUMIF(ThresholdAge20,"&lt;"&amp;AP205,WeightedMinAge20),MAX(CapacityAge20*'01_Вводные'!$B$218*AP205,MeanMinAge20)))</f>
        <v/>
      </c>
      <c r="AQ156" s="191">
        <f>IF(OR((AQ72-AQ100)=0,20&lt;='01_Вводные'!$B$297),0,(AQ72-AQ100)*IF('01_Вводные'!$B$239="Да",MeanMinAge20+AQ205*SUMIF(ThresholdAge20,"&lt;"&amp;AQ205,WeightedRevAge20)-SUMIF(ThresholdAge20,"&lt;"&amp;AQ205,WeightedMinAge20),MAX(CapacityAge20*'01_Вводные'!$B$218*AQ205,MeanMinAge20)))</f>
        <v/>
      </c>
      <c r="AR156" s="191">
        <f>IF(OR((AR72-AR100)=0,20&lt;='01_Вводные'!$B$297),0,(AR72-AR100)*IF('01_Вводные'!$B$239="Да",MeanMinAge20+AR205*SUMIF(ThresholdAge20,"&lt;"&amp;AR205,WeightedRevAge20)-SUMIF(ThresholdAge20,"&lt;"&amp;AR205,WeightedMinAge20),MAX(CapacityAge20*'01_Вводные'!$B$218*AR205,MeanMinAge20)))</f>
        <v/>
      </c>
      <c r="AS156" s="191">
        <f>IF(OR((AS72-AS100)=0,20&lt;='01_Вводные'!$B$297),0,(AS72-AS100)*IF('01_Вводные'!$B$239="Да",MeanMinAge20+AS205*SUMIF(ThresholdAge20,"&lt;"&amp;AS205,WeightedRevAge20)-SUMIF(ThresholdAge20,"&lt;"&amp;AS205,WeightedMinAge20),MAX(CapacityAge20*'01_Вводные'!$B$218*AS205,MeanMinAge20)))</f>
        <v/>
      </c>
      <c r="AT156" s="191">
        <f>IF(OR((AT72-AT100)=0,20&lt;='01_Вводные'!$B$297),0,(AT72-AT100)*IF('01_Вводные'!$B$239="Да",MeanMinAge20+AT205*SUMIF(ThresholdAge20,"&lt;"&amp;AT205,WeightedRevAge20)-SUMIF(ThresholdAge20,"&lt;"&amp;AT205,WeightedMinAge20),MAX(CapacityAge20*'01_Вводные'!$B$218*AT205,MeanMinAge20)))</f>
        <v/>
      </c>
      <c r="AU156" s="191">
        <f>IF(OR((AU72-AU100)=0,20&lt;='01_Вводные'!$B$297),0,(AU72-AU100)*IF('01_Вводные'!$B$239="Да",MeanMinAge20+AU205*SUMIF(ThresholdAge20,"&lt;"&amp;AU205,WeightedRevAge20)-SUMIF(ThresholdAge20,"&lt;"&amp;AU205,WeightedMinAge20),MAX(CapacityAge20*'01_Вводные'!$B$218*AU205,MeanMinAge20)))</f>
        <v/>
      </c>
      <c r="AV156" s="191">
        <f>IF(OR((AV72-AV100)=0,20&lt;='01_Вводные'!$B$297),0,(AV72-AV100)*IF('01_Вводные'!$B$239="Да",MeanMinAge20+AV205*SUMIF(ThresholdAge20,"&lt;"&amp;AV205,WeightedRevAge20)-SUMIF(ThresholdAge20,"&lt;"&amp;AV205,WeightedMinAge20),MAX(CapacityAge20*'01_Вводные'!$B$218*AV205,MeanMinAge20)))</f>
        <v/>
      </c>
      <c r="AW156" s="191">
        <f>IF(OR((AW72-AW100)=0,20&lt;='01_Вводные'!$B$297),0,(AW72-AW100)*IF('01_Вводные'!$B$239="Да",MeanMinAge20+AW205*SUMIF(ThresholdAge20,"&lt;"&amp;AW205,WeightedRevAge20)-SUMIF(ThresholdAge20,"&lt;"&amp;AW205,WeightedMinAge20),MAX(CapacityAge20*'01_Вводные'!$B$218*AW205,MeanMinAge20)))</f>
        <v/>
      </c>
      <c r="AX156" s="191">
        <f>IF(OR((AX72-AX100)=0,20&lt;='01_Вводные'!$B$297),0,(AX72-AX100)*IF('01_Вводные'!$B$239="Да",MeanMinAge20+AX205*SUMIF(ThresholdAge20,"&lt;"&amp;AX205,WeightedRevAge20)-SUMIF(ThresholdAge20,"&lt;"&amp;AX205,WeightedMinAge20),MAX(CapacityAge20*'01_Вводные'!$B$218*AX205,MeanMinAge20)))</f>
        <v/>
      </c>
      <c r="AY156" s="191">
        <f>IF(OR((AY72-AY100)=0,20&lt;='01_Вводные'!$B$297),0,(AY72-AY100)*IF('01_Вводные'!$B$239="Да",MeanMinAge20+AY205*SUMIF(ThresholdAge20,"&lt;"&amp;AY205,WeightedRevAge20)-SUMIF(ThresholdAge20,"&lt;"&amp;AY205,WeightedMinAge20),MAX(CapacityAge20*'01_Вводные'!$B$218*AY205,MeanMinAge20)))</f>
        <v/>
      </c>
      <c r="AZ156" s="191">
        <f>IF(OR((AZ72-AZ100)=0,20&lt;='01_Вводные'!$B$297),0,(AZ72-AZ100)*IF('01_Вводные'!$B$239="Да",MeanMinAge20+AZ205*SUMIF(ThresholdAge20,"&lt;"&amp;AZ205,WeightedRevAge20)-SUMIF(ThresholdAge20,"&lt;"&amp;AZ205,WeightedMinAge20),MAX(CapacityAge20*'01_Вводные'!$B$218*AZ205,MeanMinAge20)))</f>
        <v/>
      </c>
      <c r="BA156" s="191">
        <f>IF(OR((BA72-BA100)=0,20&lt;='01_Вводные'!$B$297),0,(BA72-BA100)*IF('01_Вводные'!$B$239="Да",MeanMinAge20+BA205*SUMIF(ThresholdAge20,"&lt;"&amp;BA205,WeightedRevAge20)-SUMIF(ThresholdAge20,"&lt;"&amp;BA205,WeightedMinAge20),MAX(CapacityAge20*'01_Вводные'!$B$218*BA205,MeanMinAge20)))</f>
        <v/>
      </c>
      <c r="BB156" s="191">
        <f>IF(OR((BB72-BB100)=0,20&lt;='01_Вводные'!$B$297),0,(BB72-BB100)*IF('01_Вводные'!$B$239="Да",MeanMinAge20+BB205*SUMIF(ThresholdAge20,"&lt;"&amp;BB205,WeightedRevAge20)-SUMIF(ThresholdAge20,"&lt;"&amp;BB205,WeightedMinAge20),MAX(CapacityAge20*'01_Вводные'!$B$218*BB205,MeanMinAge20)))</f>
        <v/>
      </c>
      <c r="BC156" s="191">
        <f>IF(OR((BC72-BC100)=0,20&lt;='01_Вводные'!$B$297),0,(BC72-BC100)*IF('01_Вводные'!$B$239="Да",MeanMinAge20+BC205*SUMIF(ThresholdAge20,"&lt;"&amp;BC205,WeightedRevAge20)-SUMIF(ThresholdAge20,"&lt;"&amp;BC205,WeightedMinAge20),MAX(CapacityAge20*'01_Вводные'!$B$218*BC205,MeanMinAge20)))</f>
        <v/>
      </c>
      <c r="BD156" s="191">
        <f>IF(OR((BD72-BD100)=0,20&lt;='01_Вводные'!$B$297),0,(BD72-BD100)*IF('01_Вводные'!$B$239="Да",MeanMinAge20+BD205*SUMIF(ThresholdAge20,"&lt;"&amp;BD205,WeightedRevAge20)-SUMIF(ThresholdAge20,"&lt;"&amp;BD205,WeightedMinAge20),MAX(CapacityAge20*'01_Вводные'!$B$218*BD205,MeanMinAge20)))</f>
        <v/>
      </c>
      <c r="BE156" s="191">
        <f>IF(OR((BE72-BE100)=0,20&lt;='01_Вводные'!$B$297),0,(BE72-BE100)*IF('01_Вводные'!$B$239="Да",MeanMinAge20+BE205*SUMIF(ThresholdAge20,"&lt;"&amp;BE205,WeightedRevAge20)-SUMIF(ThresholdAge20,"&lt;"&amp;BE205,WeightedMinAge20),MAX(CapacityAge20*'01_Вводные'!$B$218*BE205,MeanMinAge20)))</f>
        <v/>
      </c>
      <c r="BF156" s="191">
        <f>IF(OR((BF72-BF100)=0,20&lt;='01_Вводные'!$B$297),0,(BF72-BF100)*IF('01_Вводные'!$B$239="Да",MeanMinAge20+BF205*SUMIF(ThresholdAge20,"&lt;"&amp;BF205,WeightedRevAge20)-SUMIF(ThresholdAge20,"&lt;"&amp;BF205,WeightedMinAge20),MAX(CapacityAge20*'01_Вводные'!$B$218*BF205,MeanMinAge20)))</f>
        <v/>
      </c>
      <c r="BG156" s="191">
        <f>IF(OR((BG72-BG100)=0,20&lt;='01_Вводные'!$B$297),0,(BG72-BG100)*IF('01_Вводные'!$B$239="Да",MeanMinAge20+BG205*SUMIF(ThresholdAge20,"&lt;"&amp;BG205,WeightedRevAge20)-SUMIF(ThresholdAge20,"&lt;"&amp;BG205,WeightedMinAge20),MAX(CapacityAge20*'01_Вводные'!$B$218*BG205,MeanMinAge20)))</f>
        <v/>
      </c>
      <c r="BH156" s="191">
        <f>IF(OR((BH72-BH100)=0,20&lt;='01_Вводные'!$B$297),0,(BH72-BH100)*IF('01_Вводные'!$B$239="Да",MeanMinAge20+BH205*SUMIF(ThresholdAge20,"&lt;"&amp;BH205,WeightedRevAge20)-SUMIF(ThresholdAge20,"&lt;"&amp;BH205,WeightedMinAge20),MAX(CapacityAge20*'01_Вводные'!$B$218*BH205,MeanMinAge20)))</f>
        <v/>
      </c>
      <c r="BI156" s="191">
        <f>IF(OR((BI72-BI100)=0,20&lt;='01_Вводные'!$B$297),0,(BI72-BI100)*IF('01_Вводные'!$B$239="Да",MeanMinAge20+BI205*SUMIF(ThresholdAge20,"&lt;"&amp;BI205,WeightedRevAge20)-SUMIF(ThresholdAge20,"&lt;"&amp;BI205,WeightedMinAge20),MAX(CapacityAge20*'01_Вводные'!$B$218*BI205,MeanMinAge20)))</f>
        <v/>
      </c>
      <c r="BJ156" s="191">
        <f>IF(OR((BJ72-BJ100)=0,20&lt;='01_Вводные'!$B$297),0,(BJ72-BJ100)*IF('01_Вводные'!$B$239="Да",MeanMinAge20+BJ205*SUMIF(ThresholdAge20,"&lt;"&amp;BJ205,WeightedRevAge20)-SUMIF(ThresholdAge20,"&lt;"&amp;BJ205,WeightedMinAge20),MAX(CapacityAge20*'01_Вводные'!$B$218*BJ205,MeanMinAge20)))</f>
        <v/>
      </c>
      <c r="BK156" s="191">
        <f>IF(OR((BK72-BK100)=0,20&lt;='01_Вводные'!$B$297),0,(BK72-BK100)*IF('01_Вводные'!$B$239="Да",MeanMinAge20+BK205*SUMIF(ThresholdAge20,"&lt;"&amp;BK205,WeightedRevAge20)-SUMIF(ThresholdAge20,"&lt;"&amp;BK205,WeightedMinAge20),MAX(CapacityAge20*'01_Вводные'!$B$218*BK205,MeanMinAge20)))</f>
        <v/>
      </c>
      <c r="BL156" s="191">
        <f>IF(OR((BL72-BL100)=0,20&lt;='01_Вводные'!$B$297),0,(BL72-BL100)*IF('01_Вводные'!$B$239="Да",MeanMinAge20+BL205*SUMIF(ThresholdAge20,"&lt;"&amp;BL205,WeightedRevAge20)-SUMIF(ThresholdAge20,"&lt;"&amp;BL205,WeightedMinAge20),MAX(CapacityAge20*'01_Вводные'!$B$218*BL205,MeanMinAge20)))</f>
        <v/>
      </c>
      <c r="BM156" s="191">
        <f>IF(OR((BM72-BM100)=0,20&lt;='01_Вводные'!$B$297),0,(BM72-BM100)*IF('01_Вводные'!$B$239="Да",MeanMinAge20+BM205*SUMIF(ThresholdAge20,"&lt;"&amp;BM205,WeightedRevAge20)-SUMIF(ThresholdAge20,"&lt;"&amp;BM205,WeightedMinAge20),MAX(CapacityAge20*'01_Вводные'!$B$218*BM205,MeanMinAge20)))</f>
        <v/>
      </c>
      <c r="BN156" s="191">
        <f>IF(OR((BN72-BN100)=0,20&lt;='01_Вводные'!$B$297),0,(BN72-BN100)*IF('01_Вводные'!$B$239="Да",MeanMinAge20+BN205*SUMIF(ThresholdAge20,"&lt;"&amp;BN205,WeightedRevAge20)-SUMIF(ThresholdAge20,"&lt;"&amp;BN205,WeightedMinAge20),MAX(CapacityAge20*'01_Вводные'!$B$218*BN205,MeanMinAge20)))</f>
        <v/>
      </c>
      <c r="BO156" s="191">
        <f>IF(OR((BO72-BO100)=0,20&lt;='01_Вводные'!$B$297),0,(BO72-BO100)*IF('01_Вводные'!$B$239="Да",MeanMinAge20+BO205*SUMIF(ThresholdAge20,"&lt;"&amp;BO205,WeightedRevAge20)-SUMIF(ThresholdAge20,"&lt;"&amp;BO205,WeightedMinAge20),MAX(CapacityAge20*'01_Вводные'!$B$218*BO205,MeanMinAge20)))</f>
        <v/>
      </c>
    </row>
    <row r="157" hidden="1" outlineLevel="1">
      <c r="A157" t="inlineStr">
        <is>
          <t>21 мес.</t>
        </is>
      </c>
      <c r="B157" s="190">
        <f>IF(OR((B73-B101)=0,21&lt;='01_Вводные'!$B$297),0,(B73-B101)*IF('01_Вводные'!$B$239="Да",MeanMinAge21+B205*SUMIF(ThresholdAge21,"&lt;"&amp;B205,WeightedRevAge21)-SUMIF(ThresholdAge21,"&lt;"&amp;B205,WeightedMinAge21),MAX(CapacityAge21*'01_Вводные'!$B$218*B205,MeanMinAge21)))</f>
        <v/>
      </c>
      <c r="C157" s="190">
        <f>IF(OR((C73-C101)=0,21&lt;='01_Вводные'!$B$297),0,(C73-C101)*IF('01_Вводные'!$B$239="Да",MeanMinAge21+C205*SUMIF(ThresholdAge21,"&lt;"&amp;C205,WeightedRevAge21)-SUMIF(ThresholdAge21,"&lt;"&amp;C205,WeightedMinAge21),MAX(CapacityAge21*'01_Вводные'!$B$218*C205,MeanMinAge21)))</f>
        <v/>
      </c>
      <c r="D157" s="190">
        <f>IF(OR((D73-D101)=0,21&lt;='01_Вводные'!$B$297),0,(D73-D101)*IF('01_Вводные'!$B$239="Да",MeanMinAge21+D205*SUMIF(ThresholdAge21,"&lt;"&amp;D205,WeightedRevAge21)-SUMIF(ThresholdAge21,"&lt;"&amp;D205,WeightedMinAge21),MAX(CapacityAge21*'01_Вводные'!$B$218*D205,MeanMinAge21)))</f>
        <v/>
      </c>
      <c r="E157" s="190">
        <f>IF(OR((E73-E101)=0,21&lt;='01_Вводные'!$B$297),0,(E73-E101)*IF('01_Вводные'!$B$239="Да",MeanMinAge21+E205*SUMIF(ThresholdAge21,"&lt;"&amp;E205,WeightedRevAge21)-SUMIF(ThresholdAge21,"&lt;"&amp;E205,WeightedMinAge21),MAX(CapacityAge21*'01_Вводные'!$B$218*E205,MeanMinAge21)))</f>
        <v/>
      </c>
      <c r="F157" s="190">
        <f>IF(OR((F73-F101)=0,21&lt;='01_Вводные'!$B$297),0,(F73-F101)*IF('01_Вводные'!$B$239="Да",MeanMinAge21+F205*SUMIF(ThresholdAge21,"&lt;"&amp;F205,WeightedRevAge21)-SUMIF(ThresholdAge21,"&lt;"&amp;F205,WeightedMinAge21),MAX(CapacityAge21*'01_Вводные'!$B$218*F205,MeanMinAge21)))</f>
        <v/>
      </c>
      <c r="G157" s="190">
        <f>IF(OR((G73-G101)=0,21&lt;='01_Вводные'!$B$297),0,(G73-G101)*IF('01_Вводные'!$B$239="Да",MeanMinAge21+G205*SUMIF(ThresholdAge21,"&lt;"&amp;G205,WeightedRevAge21)-SUMIF(ThresholdAge21,"&lt;"&amp;G205,WeightedMinAge21),MAX(CapacityAge21*'01_Вводные'!$B$218*G205,MeanMinAge21)))</f>
        <v/>
      </c>
      <c r="H157" s="190">
        <f>IF(OR((H73-H101)=0,21&lt;='01_Вводные'!$B$297),0,(H73-H101)*IF('01_Вводные'!$B$239="Да",MeanMinAge21+H205*SUMIF(ThresholdAge21,"&lt;"&amp;H205,WeightedRevAge21)-SUMIF(ThresholdAge21,"&lt;"&amp;H205,WeightedMinAge21),MAX(CapacityAge21*'01_Вводные'!$B$218*H205,MeanMinAge21)))</f>
        <v/>
      </c>
      <c r="I157" s="190">
        <f>IF(OR((I73-I101)=0,21&lt;='01_Вводные'!$B$297),0,(I73-I101)*IF('01_Вводные'!$B$239="Да",MeanMinAge21+I205*SUMIF(ThresholdAge21,"&lt;"&amp;I205,WeightedRevAge21)-SUMIF(ThresholdAge21,"&lt;"&amp;I205,WeightedMinAge21),MAX(CapacityAge21*'01_Вводные'!$B$218*I205,MeanMinAge21)))</f>
        <v/>
      </c>
      <c r="J157" s="190">
        <f>IF(OR((J73-J101)=0,21&lt;='01_Вводные'!$B$297),0,(J73-J101)*IF('01_Вводные'!$B$239="Да",MeanMinAge21+J205*SUMIF(ThresholdAge21,"&lt;"&amp;J205,WeightedRevAge21)-SUMIF(ThresholdAge21,"&lt;"&amp;J205,WeightedMinAge21),MAX(CapacityAge21*'01_Вводные'!$B$218*J205,MeanMinAge21)))</f>
        <v/>
      </c>
      <c r="K157" s="190">
        <f>IF(OR((K73-K101)=0,21&lt;='01_Вводные'!$B$297),0,(K73-K101)*IF('01_Вводные'!$B$239="Да",MeanMinAge21+K205*SUMIF(ThresholdAge21,"&lt;"&amp;K205,WeightedRevAge21)-SUMIF(ThresholdAge21,"&lt;"&amp;K205,WeightedMinAge21),MAX(CapacityAge21*'01_Вводные'!$B$218*K205,MeanMinAge21)))</f>
        <v/>
      </c>
      <c r="L157" s="190">
        <f>IF(OR((L73-L101)=0,21&lt;='01_Вводные'!$B$297),0,(L73-L101)*IF('01_Вводные'!$B$239="Да",MeanMinAge21+L205*SUMIF(ThresholdAge21,"&lt;"&amp;L205,WeightedRevAge21)-SUMIF(ThresholdAge21,"&lt;"&amp;L205,WeightedMinAge21),MAX(CapacityAge21*'01_Вводные'!$B$218*L205,MeanMinAge21)))</f>
        <v/>
      </c>
      <c r="M157" s="190">
        <f>IF(OR((M73-M101)=0,21&lt;='01_Вводные'!$B$297),0,(M73-M101)*IF('01_Вводные'!$B$239="Да",MeanMinAge21+M205*SUMIF(ThresholdAge21,"&lt;"&amp;M205,WeightedRevAge21)-SUMIF(ThresholdAge21,"&lt;"&amp;M205,WeightedMinAge21),MAX(CapacityAge21*'01_Вводные'!$B$218*M205,MeanMinAge21)))</f>
        <v/>
      </c>
      <c r="N157" s="190">
        <f>IF(OR((N73-N101)=0,21&lt;='01_Вводные'!$B$297),0,(N73-N101)*IF('01_Вводные'!$B$239="Да",MeanMinAge21+N205*SUMIF(ThresholdAge21,"&lt;"&amp;N205,WeightedRevAge21)-SUMIF(ThresholdAge21,"&lt;"&amp;N205,WeightedMinAge21),MAX(CapacityAge21*'01_Вводные'!$B$218*N205,MeanMinAge21)))</f>
        <v/>
      </c>
      <c r="O157" s="190">
        <f>IF(OR((O73-O101)=0,21&lt;='01_Вводные'!$B$297),0,(O73-O101)*IF('01_Вводные'!$B$239="Да",MeanMinAge21+O205*SUMIF(ThresholdAge21,"&lt;"&amp;O205,WeightedRevAge21)-SUMIF(ThresholdAge21,"&lt;"&amp;O205,WeightedMinAge21),MAX(CapacityAge21*'01_Вводные'!$B$218*O205,MeanMinAge21)))</f>
        <v/>
      </c>
      <c r="P157" s="190">
        <f>IF(OR((P73-P101)=0,21&lt;='01_Вводные'!$B$297),0,(P73-P101)*IF('01_Вводные'!$B$239="Да",MeanMinAge21+P205*SUMIF(ThresholdAge21,"&lt;"&amp;P205,WeightedRevAge21)-SUMIF(ThresholdAge21,"&lt;"&amp;P205,WeightedMinAge21),MAX(CapacityAge21*'01_Вводные'!$B$218*P205,MeanMinAge21)))</f>
        <v/>
      </c>
      <c r="Q157" s="190">
        <f>IF(OR((Q73-Q101)=0,21&lt;='01_Вводные'!$B$297),0,(Q73-Q101)*IF('01_Вводные'!$B$239="Да",MeanMinAge21+Q205*SUMIF(ThresholdAge21,"&lt;"&amp;Q205,WeightedRevAge21)-SUMIF(ThresholdAge21,"&lt;"&amp;Q205,WeightedMinAge21),MAX(CapacityAge21*'01_Вводные'!$B$218*Q205,MeanMinAge21)))</f>
        <v/>
      </c>
      <c r="R157" s="190">
        <f>IF(OR((R73-R101)=0,21&lt;='01_Вводные'!$B$297),0,(R73-R101)*IF('01_Вводные'!$B$239="Да",MeanMinAge21+R205*SUMIF(ThresholdAge21,"&lt;"&amp;R205,WeightedRevAge21)-SUMIF(ThresholdAge21,"&lt;"&amp;R205,WeightedMinAge21),MAX(CapacityAge21*'01_Вводные'!$B$218*R205,MeanMinAge21)))</f>
        <v/>
      </c>
      <c r="S157" s="190">
        <f>IF(OR((S73-S101)=0,21&lt;='01_Вводные'!$B$297),0,(S73-S101)*IF('01_Вводные'!$B$239="Да",MeanMinAge21+S205*SUMIF(ThresholdAge21,"&lt;"&amp;S205,WeightedRevAge21)-SUMIF(ThresholdAge21,"&lt;"&amp;S205,WeightedMinAge21),MAX(CapacityAge21*'01_Вводные'!$B$218*S205,MeanMinAge21)))</f>
        <v/>
      </c>
      <c r="T157" s="190">
        <f>IF(OR((T73-T101)=0,21&lt;='01_Вводные'!$B$297),0,(T73-T101)*IF('01_Вводные'!$B$239="Да",MeanMinAge21+T205*SUMIF(ThresholdAge21,"&lt;"&amp;T205,WeightedRevAge21)-SUMIF(ThresholdAge21,"&lt;"&amp;T205,WeightedMinAge21),MAX(CapacityAge21*'01_Вводные'!$B$218*T205,MeanMinAge21)))</f>
        <v/>
      </c>
      <c r="U157" s="190">
        <f>IF(OR((U73-U101)=0,21&lt;='01_Вводные'!$B$297),0,(U73-U101)*IF('01_Вводные'!$B$239="Да",MeanMinAge21+U205*SUMIF(ThresholdAge21,"&lt;"&amp;U205,WeightedRevAge21)-SUMIF(ThresholdAge21,"&lt;"&amp;U205,WeightedMinAge21),MAX(CapacityAge21*'01_Вводные'!$B$218*U205,MeanMinAge21)))</f>
        <v/>
      </c>
      <c r="V157" s="190">
        <f>IF(OR((V73-V101)=0,21&lt;='01_Вводные'!$B$297),0,(V73-V101)*IF('01_Вводные'!$B$239="Да",MeanMinAge21+V205*SUMIF(ThresholdAge21,"&lt;"&amp;V205,WeightedRevAge21)-SUMIF(ThresholdAge21,"&lt;"&amp;V205,WeightedMinAge21),MAX(CapacityAge21*'01_Вводные'!$B$218*V205,MeanMinAge21)))</f>
        <v/>
      </c>
      <c r="W157" s="190">
        <f>IF(OR((W73-W101)=0,21&lt;='01_Вводные'!$B$297),0,(W73-W101)*IF('01_Вводные'!$B$239="Да",MeanMinAge21+W205*SUMIF(ThresholdAge21,"&lt;"&amp;W205,WeightedRevAge21)-SUMIF(ThresholdAge21,"&lt;"&amp;W205,WeightedMinAge21),MAX(CapacityAge21*'01_Вводные'!$B$218*W205,MeanMinAge21)))</f>
        <v/>
      </c>
      <c r="X157" s="190">
        <f>IF(OR((X73-X101)=0,21&lt;='01_Вводные'!$B$297),0,(X73-X101)*IF('01_Вводные'!$B$239="Да",MeanMinAge21+X205*SUMIF(ThresholdAge21,"&lt;"&amp;X205,WeightedRevAge21)-SUMIF(ThresholdAge21,"&lt;"&amp;X205,WeightedMinAge21),MAX(CapacityAge21*'01_Вводные'!$B$218*X205,MeanMinAge21)))</f>
        <v/>
      </c>
      <c r="Y157" s="190">
        <f>IF(OR((Y73-Y101)=0,21&lt;='01_Вводные'!$B$297),0,(Y73-Y101)*IF('01_Вводные'!$B$239="Да",MeanMinAge21+Y205*SUMIF(ThresholdAge21,"&lt;"&amp;Y205,WeightedRevAge21)-SUMIF(ThresholdAge21,"&lt;"&amp;Y205,WeightedMinAge21),MAX(CapacityAge21*'01_Вводные'!$B$218*Y205,MeanMinAge21)))</f>
        <v/>
      </c>
      <c r="Z157" s="190">
        <f>IF(OR((Z73-Z101)=0,21&lt;='01_Вводные'!$B$297),0,(Z73-Z101)*IF('01_Вводные'!$B$239="Да",MeanMinAge21+Z205*SUMIF(ThresholdAge21,"&lt;"&amp;Z205,WeightedRevAge21)-SUMIF(ThresholdAge21,"&lt;"&amp;Z205,WeightedMinAge21),MAX(CapacityAge21*'01_Вводные'!$B$218*Z205,MeanMinAge21)))</f>
        <v/>
      </c>
      <c r="AA157" s="190">
        <f>IF(OR((AA73-AA101)=0,21&lt;='01_Вводные'!$B$297),0,(AA73-AA101)*IF('01_Вводные'!$B$239="Да",MeanMinAge21+AA205*SUMIF(ThresholdAge21,"&lt;"&amp;AA205,WeightedRevAge21)-SUMIF(ThresholdAge21,"&lt;"&amp;AA205,WeightedMinAge21),MAX(CapacityAge21*'01_Вводные'!$B$218*AA205,MeanMinAge21)))</f>
        <v/>
      </c>
      <c r="AB157" s="190">
        <f>IF(OR((AB73-AB101)=0,21&lt;='01_Вводные'!$B$297),0,(AB73-AB101)*IF('01_Вводные'!$B$239="Да",MeanMinAge21+AB205*SUMIF(ThresholdAge21,"&lt;"&amp;AB205,WeightedRevAge21)-SUMIF(ThresholdAge21,"&lt;"&amp;AB205,WeightedMinAge21),MAX(CapacityAge21*'01_Вводные'!$B$218*AB205,MeanMinAge21)))</f>
        <v/>
      </c>
      <c r="AC157" s="190">
        <f>IF(OR((AC73-AC101)=0,21&lt;='01_Вводные'!$B$297),0,(AC73-AC101)*IF('01_Вводные'!$B$239="Да",MeanMinAge21+AC205*SUMIF(ThresholdAge21,"&lt;"&amp;AC205,WeightedRevAge21)-SUMIF(ThresholdAge21,"&lt;"&amp;AC205,WeightedMinAge21),MAX(CapacityAge21*'01_Вводные'!$B$218*AC205,MeanMinAge21)))</f>
        <v/>
      </c>
      <c r="AD157" s="190">
        <f>IF(OR((AD73-AD101)=0,21&lt;='01_Вводные'!$B$297),0,(AD73-AD101)*IF('01_Вводные'!$B$239="Да",MeanMinAge21+AD205*SUMIF(ThresholdAge21,"&lt;"&amp;AD205,WeightedRevAge21)-SUMIF(ThresholdAge21,"&lt;"&amp;AD205,WeightedMinAge21),MAX(CapacityAge21*'01_Вводные'!$B$218*AD205,MeanMinAge21)))</f>
        <v/>
      </c>
      <c r="AE157" s="190">
        <f>IF(OR((AE73-AE101)=0,21&lt;='01_Вводные'!$B$297),0,(AE73-AE101)*IF('01_Вводные'!$B$239="Да",MeanMinAge21+AE205*SUMIF(ThresholdAge21,"&lt;"&amp;AE205,WeightedRevAge21)-SUMIF(ThresholdAge21,"&lt;"&amp;AE205,WeightedMinAge21),MAX(CapacityAge21*'01_Вводные'!$B$218*AE205,MeanMinAge21)))</f>
        <v/>
      </c>
      <c r="AF157" s="190">
        <f>IF(OR((AF73-AF101)=0,21&lt;='01_Вводные'!$B$297),0,(AF73-AF101)*IF('01_Вводные'!$B$239="Да",MeanMinAge21+AF205*SUMIF(ThresholdAge21,"&lt;"&amp;AF205,WeightedRevAge21)-SUMIF(ThresholdAge21,"&lt;"&amp;AF205,WeightedMinAge21),MAX(CapacityAge21*'01_Вводные'!$B$218*AF205,MeanMinAge21)))</f>
        <v/>
      </c>
      <c r="AG157" s="190">
        <f>IF(OR((AG73-AG101)=0,21&lt;='01_Вводные'!$B$297),0,(AG73-AG101)*IF('01_Вводные'!$B$239="Да",MeanMinAge21+AG205*SUMIF(ThresholdAge21,"&lt;"&amp;AG205,WeightedRevAge21)-SUMIF(ThresholdAge21,"&lt;"&amp;AG205,WeightedMinAge21),MAX(CapacityAge21*'01_Вводные'!$B$218*AG205,MeanMinAge21)))</f>
        <v/>
      </c>
      <c r="AH157" s="190">
        <f>IF(OR((AH73-AH101)=0,21&lt;='01_Вводные'!$B$297),0,(AH73-AH101)*IF('01_Вводные'!$B$239="Да",MeanMinAge21+AH205*SUMIF(ThresholdAge21,"&lt;"&amp;AH205,WeightedRevAge21)-SUMIF(ThresholdAge21,"&lt;"&amp;AH205,WeightedMinAge21),MAX(CapacityAge21*'01_Вводные'!$B$218*AH205,MeanMinAge21)))</f>
        <v/>
      </c>
      <c r="AI157" s="190">
        <f>IF(OR((AI73-AI101)=0,21&lt;='01_Вводные'!$B$297),0,(AI73-AI101)*IF('01_Вводные'!$B$239="Да",MeanMinAge21+AI205*SUMIF(ThresholdAge21,"&lt;"&amp;AI205,WeightedRevAge21)-SUMIF(ThresholdAge21,"&lt;"&amp;AI205,WeightedMinAge21),MAX(CapacityAge21*'01_Вводные'!$B$218*AI205,MeanMinAge21)))</f>
        <v/>
      </c>
      <c r="AJ157" s="190">
        <f>IF(OR((AJ73-AJ101)=0,21&lt;='01_Вводные'!$B$297),0,(AJ73-AJ101)*IF('01_Вводные'!$B$239="Да",MeanMinAge21+AJ205*SUMIF(ThresholdAge21,"&lt;"&amp;AJ205,WeightedRevAge21)-SUMIF(ThresholdAge21,"&lt;"&amp;AJ205,WeightedMinAge21),MAX(CapacityAge21*'01_Вводные'!$B$218*AJ205,MeanMinAge21)))</f>
        <v/>
      </c>
      <c r="AK157" s="190">
        <f>IF(OR((AK73-AK101)=0,21&lt;='01_Вводные'!$B$297),0,(AK73-AK101)*IF('01_Вводные'!$B$239="Да",MeanMinAge21+AK205*SUMIF(ThresholdAge21,"&lt;"&amp;AK205,WeightedRevAge21)-SUMIF(ThresholdAge21,"&lt;"&amp;AK205,WeightedMinAge21),MAX(CapacityAge21*'01_Вводные'!$B$218*AK205,MeanMinAge21)))</f>
        <v/>
      </c>
      <c r="AL157" s="190">
        <f>IF(OR((AL73-AL101)=0,21&lt;='01_Вводные'!$B$297),0,(AL73-AL101)*IF('01_Вводные'!$B$239="Да",MeanMinAge21+AL205*SUMIF(ThresholdAge21,"&lt;"&amp;AL205,WeightedRevAge21)-SUMIF(ThresholdAge21,"&lt;"&amp;AL205,WeightedMinAge21),MAX(CapacityAge21*'01_Вводные'!$B$218*AL205,MeanMinAge21)))</f>
        <v/>
      </c>
      <c r="AM157" s="190">
        <f>IF(OR((AM73-AM101)=0,21&lt;='01_Вводные'!$B$297),0,(AM73-AM101)*IF('01_Вводные'!$B$239="Да",MeanMinAge21+AM205*SUMIF(ThresholdAge21,"&lt;"&amp;AM205,WeightedRevAge21)-SUMIF(ThresholdAge21,"&lt;"&amp;AM205,WeightedMinAge21),MAX(CapacityAge21*'01_Вводные'!$B$218*AM205,MeanMinAge21)))</f>
        <v/>
      </c>
      <c r="AN157" s="190">
        <f>IF(OR((AN73-AN101)=0,21&lt;='01_Вводные'!$B$297),0,(AN73-AN101)*IF('01_Вводные'!$B$239="Да",MeanMinAge21+AN205*SUMIF(ThresholdAge21,"&lt;"&amp;AN205,WeightedRevAge21)-SUMIF(ThresholdAge21,"&lt;"&amp;AN205,WeightedMinAge21),MAX(CapacityAge21*'01_Вводные'!$B$218*AN205,MeanMinAge21)))</f>
        <v/>
      </c>
      <c r="AO157" s="190">
        <f>IF(OR((AO73-AO101)=0,21&lt;='01_Вводные'!$B$297),0,(AO73-AO101)*IF('01_Вводные'!$B$239="Да",MeanMinAge21+AO205*SUMIF(ThresholdAge21,"&lt;"&amp;AO205,WeightedRevAge21)-SUMIF(ThresholdAge21,"&lt;"&amp;AO205,WeightedMinAge21),MAX(CapacityAge21*'01_Вводные'!$B$218*AO205,MeanMinAge21)))</f>
        <v/>
      </c>
      <c r="AP157" s="190">
        <f>IF(OR((AP73-AP101)=0,21&lt;='01_Вводные'!$B$297),0,(AP73-AP101)*IF('01_Вводные'!$B$239="Да",MeanMinAge21+AP205*SUMIF(ThresholdAge21,"&lt;"&amp;AP205,WeightedRevAge21)-SUMIF(ThresholdAge21,"&lt;"&amp;AP205,WeightedMinAge21),MAX(CapacityAge21*'01_Вводные'!$B$218*AP205,MeanMinAge21)))</f>
        <v/>
      </c>
      <c r="AQ157" s="190">
        <f>IF(OR((AQ73-AQ101)=0,21&lt;='01_Вводные'!$B$297),0,(AQ73-AQ101)*IF('01_Вводные'!$B$239="Да",MeanMinAge21+AQ205*SUMIF(ThresholdAge21,"&lt;"&amp;AQ205,WeightedRevAge21)-SUMIF(ThresholdAge21,"&lt;"&amp;AQ205,WeightedMinAge21),MAX(CapacityAge21*'01_Вводные'!$B$218*AQ205,MeanMinAge21)))</f>
        <v/>
      </c>
      <c r="AR157" s="190">
        <f>IF(OR((AR73-AR101)=0,21&lt;='01_Вводные'!$B$297),0,(AR73-AR101)*IF('01_Вводные'!$B$239="Да",MeanMinAge21+AR205*SUMIF(ThresholdAge21,"&lt;"&amp;AR205,WeightedRevAge21)-SUMIF(ThresholdAge21,"&lt;"&amp;AR205,WeightedMinAge21),MAX(CapacityAge21*'01_Вводные'!$B$218*AR205,MeanMinAge21)))</f>
        <v/>
      </c>
      <c r="AS157" s="190">
        <f>IF(OR((AS73-AS101)=0,21&lt;='01_Вводные'!$B$297),0,(AS73-AS101)*IF('01_Вводные'!$B$239="Да",MeanMinAge21+AS205*SUMIF(ThresholdAge21,"&lt;"&amp;AS205,WeightedRevAge21)-SUMIF(ThresholdAge21,"&lt;"&amp;AS205,WeightedMinAge21),MAX(CapacityAge21*'01_Вводные'!$B$218*AS205,MeanMinAge21)))</f>
        <v/>
      </c>
      <c r="AT157" s="190">
        <f>IF(OR((AT73-AT101)=0,21&lt;='01_Вводные'!$B$297),0,(AT73-AT101)*IF('01_Вводные'!$B$239="Да",MeanMinAge21+AT205*SUMIF(ThresholdAge21,"&lt;"&amp;AT205,WeightedRevAge21)-SUMIF(ThresholdAge21,"&lt;"&amp;AT205,WeightedMinAge21),MAX(CapacityAge21*'01_Вводные'!$B$218*AT205,MeanMinAge21)))</f>
        <v/>
      </c>
      <c r="AU157" s="190">
        <f>IF(OR((AU73-AU101)=0,21&lt;='01_Вводные'!$B$297),0,(AU73-AU101)*IF('01_Вводные'!$B$239="Да",MeanMinAge21+AU205*SUMIF(ThresholdAge21,"&lt;"&amp;AU205,WeightedRevAge21)-SUMIF(ThresholdAge21,"&lt;"&amp;AU205,WeightedMinAge21),MAX(CapacityAge21*'01_Вводные'!$B$218*AU205,MeanMinAge21)))</f>
        <v/>
      </c>
      <c r="AV157" s="190">
        <f>IF(OR((AV73-AV101)=0,21&lt;='01_Вводные'!$B$297),0,(AV73-AV101)*IF('01_Вводные'!$B$239="Да",MeanMinAge21+AV205*SUMIF(ThresholdAge21,"&lt;"&amp;AV205,WeightedRevAge21)-SUMIF(ThresholdAge21,"&lt;"&amp;AV205,WeightedMinAge21),MAX(CapacityAge21*'01_Вводные'!$B$218*AV205,MeanMinAge21)))</f>
        <v/>
      </c>
      <c r="AW157" s="190">
        <f>IF(OR((AW73-AW101)=0,21&lt;='01_Вводные'!$B$297),0,(AW73-AW101)*IF('01_Вводные'!$B$239="Да",MeanMinAge21+AW205*SUMIF(ThresholdAge21,"&lt;"&amp;AW205,WeightedRevAge21)-SUMIF(ThresholdAge21,"&lt;"&amp;AW205,WeightedMinAge21),MAX(CapacityAge21*'01_Вводные'!$B$218*AW205,MeanMinAge21)))</f>
        <v/>
      </c>
      <c r="AX157" s="190">
        <f>IF(OR((AX73-AX101)=0,21&lt;='01_Вводные'!$B$297),0,(AX73-AX101)*IF('01_Вводные'!$B$239="Да",MeanMinAge21+AX205*SUMIF(ThresholdAge21,"&lt;"&amp;AX205,WeightedRevAge21)-SUMIF(ThresholdAge21,"&lt;"&amp;AX205,WeightedMinAge21),MAX(CapacityAge21*'01_Вводные'!$B$218*AX205,MeanMinAge21)))</f>
        <v/>
      </c>
      <c r="AY157" s="190">
        <f>IF(OR((AY73-AY101)=0,21&lt;='01_Вводные'!$B$297),0,(AY73-AY101)*IF('01_Вводные'!$B$239="Да",MeanMinAge21+AY205*SUMIF(ThresholdAge21,"&lt;"&amp;AY205,WeightedRevAge21)-SUMIF(ThresholdAge21,"&lt;"&amp;AY205,WeightedMinAge21),MAX(CapacityAge21*'01_Вводные'!$B$218*AY205,MeanMinAge21)))</f>
        <v/>
      </c>
      <c r="AZ157" s="190">
        <f>IF(OR((AZ73-AZ101)=0,21&lt;='01_Вводные'!$B$297),0,(AZ73-AZ101)*IF('01_Вводные'!$B$239="Да",MeanMinAge21+AZ205*SUMIF(ThresholdAge21,"&lt;"&amp;AZ205,WeightedRevAge21)-SUMIF(ThresholdAge21,"&lt;"&amp;AZ205,WeightedMinAge21),MAX(CapacityAge21*'01_Вводные'!$B$218*AZ205,MeanMinAge21)))</f>
        <v/>
      </c>
      <c r="BA157" s="190">
        <f>IF(OR((BA73-BA101)=0,21&lt;='01_Вводные'!$B$297),0,(BA73-BA101)*IF('01_Вводные'!$B$239="Да",MeanMinAge21+BA205*SUMIF(ThresholdAge21,"&lt;"&amp;BA205,WeightedRevAge21)-SUMIF(ThresholdAge21,"&lt;"&amp;BA205,WeightedMinAge21),MAX(CapacityAge21*'01_Вводные'!$B$218*BA205,MeanMinAge21)))</f>
        <v/>
      </c>
      <c r="BB157" s="190">
        <f>IF(OR((BB73-BB101)=0,21&lt;='01_Вводные'!$B$297),0,(BB73-BB101)*IF('01_Вводные'!$B$239="Да",MeanMinAge21+BB205*SUMIF(ThresholdAge21,"&lt;"&amp;BB205,WeightedRevAge21)-SUMIF(ThresholdAge21,"&lt;"&amp;BB205,WeightedMinAge21),MAX(CapacityAge21*'01_Вводные'!$B$218*BB205,MeanMinAge21)))</f>
        <v/>
      </c>
      <c r="BC157" s="190">
        <f>IF(OR((BC73-BC101)=0,21&lt;='01_Вводные'!$B$297),0,(BC73-BC101)*IF('01_Вводные'!$B$239="Да",MeanMinAge21+BC205*SUMIF(ThresholdAge21,"&lt;"&amp;BC205,WeightedRevAge21)-SUMIF(ThresholdAge21,"&lt;"&amp;BC205,WeightedMinAge21),MAX(CapacityAge21*'01_Вводные'!$B$218*BC205,MeanMinAge21)))</f>
        <v/>
      </c>
      <c r="BD157" s="190">
        <f>IF(OR((BD73-BD101)=0,21&lt;='01_Вводные'!$B$297),0,(BD73-BD101)*IF('01_Вводные'!$B$239="Да",MeanMinAge21+BD205*SUMIF(ThresholdAge21,"&lt;"&amp;BD205,WeightedRevAge21)-SUMIF(ThresholdAge21,"&lt;"&amp;BD205,WeightedMinAge21),MAX(CapacityAge21*'01_Вводные'!$B$218*BD205,MeanMinAge21)))</f>
        <v/>
      </c>
      <c r="BE157" s="190">
        <f>IF(OR((BE73-BE101)=0,21&lt;='01_Вводные'!$B$297),0,(BE73-BE101)*IF('01_Вводные'!$B$239="Да",MeanMinAge21+BE205*SUMIF(ThresholdAge21,"&lt;"&amp;BE205,WeightedRevAge21)-SUMIF(ThresholdAge21,"&lt;"&amp;BE205,WeightedMinAge21),MAX(CapacityAge21*'01_Вводные'!$B$218*BE205,MeanMinAge21)))</f>
        <v/>
      </c>
      <c r="BF157" s="190">
        <f>IF(OR((BF73-BF101)=0,21&lt;='01_Вводные'!$B$297),0,(BF73-BF101)*IF('01_Вводные'!$B$239="Да",MeanMinAge21+BF205*SUMIF(ThresholdAge21,"&lt;"&amp;BF205,WeightedRevAge21)-SUMIF(ThresholdAge21,"&lt;"&amp;BF205,WeightedMinAge21),MAX(CapacityAge21*'01_Вводные'!$B$218*BF205,MeanMinAge21)))</f>
        <v/>
      </c>
      <c r="BG157" s="190">
        <f>IF(OR((BG73-BG101)=0,21&lt;='01_Вводные'!$B$297),0,(BG73-BG101)*IF('01_Вводные'!$B$239="Да",MeanMinAge21+BG205*SUMIF(ThresholdAge21,"&lt;"&amp;BG205,WeightedRevAge21)-SUMIF(ThresholdAge21,"&lt;"&amp;BG205,WeightedMinAge21),MAX(CapacityAge21*'01_Вводные'!$B$218*BG205,MeanMinAge21)))</f>
        <v/>
      </c>
      <c r="BH157" s="190">
        <f>IF(OR((BH73-BH101)=0,21&lt;='01_Вводные'!$B$297),0,(BH73-BH101)*IF('01_Вводные'!$B$239="Да",MeanMinAge21+BH205*SUMIF(ThresholdAge21,"&lt;"&amp;BH205,WeightedRevAge21)-SUMIF(ThresholdAge21,"&lt;"&amp;BH205,WeightedMinAge21),MAX(CapacityAge21*'01_Вводные'!$B$218*BH205,MeanMinAge21)))</f>
        <v/>
      </c>
      <c r="BI157" s="190">
        <f>IF(OR((BI73-BI101)=0,21&lt;='01_Вводные'!$B$297),0,(BI73-BI101)*IF('01_Вводные'!$B$239="Да",MeanMinAge21+BI205*SUMIF(ThresholdAge21,"&lt;"&amp;BI205,WeightedRevAge21)-SUMIF(ThresholdAge21,"&lt;"&amp;BI205,WeightedMinAge21),MAX(CapacityAge21*'01_Вводные'!$B$218*BI205,MeanMinAge21)))</f>
        <v/>
      </c>
      <c r="BJ157" s="190">
        <f>IF(OR((BJ73-BJ101)=0,21&lt;='01_Вводные'!$B$297),0,(BJ73-BJ101)*IF('01_Вводные'!$B$239="Да",MeanMinAge21+BJ205*SUMIF(ThresholdAge21,"&lt;"&amp;BJ205,WeightedRevAge21)-SUMIF(ThresholdAge21,"&lt;"&amp;BJ205,WeightedMinAge21),MAX(CapacityAge21*'01_Вводные'!$B$218*BJ205,MeanMinAge21)))</f>
        <v/>
      </c>
      <c r="BK157" s="190">
        <f>IF(OR((BK73-BK101)=0,21&lt;='01_Вводные'!$B$297),0,(BK73-BK101)*IF('01_Вводные'!$B$239="Да",MeanMinAge21+BK205*SUMIF(ThresholdAge21,"&lt;"&amp;BK205,WeightedRevAge21)-SUMIF(ThresholdAge21,"&lt;"&amp;BK205,WeightedMinAge21),MAX(CapacityAge21*'01_Вводные'!$B$218*BK205,MeanMinAge21)))</f>
        <v/>
      </c>
      <c r="BL157" s="190">
        <f>IF(OR((BL73-BL101)=0,21&lt;='01_Вводные'!$B$297),0,(BL73-BL101)*IF('01_Вводные'!$B$239="Да",MeanMinAge21+BL205*SUMIF(ThresholdAge21,"&lt;"&amp;BL205,WeightedRevAge21)-SUMIF(ThresholdAge21,"&lt;"&amp;BL205,WeightedMinAge21),MAX(CapacityAge21*'01_Вводные'!$B$218*BL205,MeanMinAge21)))</f>
        <v/>
      </c>
      <c r="BM157" s="190">
        <f>IF(OR((BM73-BM101)=0,21&lt;='01_Вводные'!$B$297),0,(BM73-BM101)*IF('01_Вводные'!$B$239="Да",MeanMinAge21+BM205*SUMIF(ThresholdAge21,"&lt;"&amp;BM205,WeightedRevAge21)-SUMIF(ThresholdAge21,"&lt;"&amp;BM205,WeightedMinAge21),MAX(CapacityAge21*'01_Вводные'!$B$218*BM205,MeanMinAge21)))</f>
        <v/>
      </c>
      <c r="BN157" s="190">
        <f>IF(OR((BN73-BN101)=0,21&lt;='01_Вводные'!$B$297),0,(BN73-BN101)*IF('01_Вводные'!$B$239="Да",MeanMinAge21+BN205*SUMIF(ThresholdAge21,"&lt;"&amp;BN205,WeightedRevAge21)-SUMIF(ThresholdAge21,"&lt;"&amp;BN205,WeightedMinAge21),MAX(CapacityAge21*'01_Вводные'!$B$218*BN205,MeanMinAge21)))</f>
        <v/>
      </c>
      <c r="BO157" s="190">
        <f>IF(OR((BO73-BO101)=0,21&lt;='01_Вводные'!$B$297),0,(BO73-BO101)*IF('01_Вводные'!$B$239="Да",MeanMinAge21+BO205*SUMIF(ThresholdAge21,"&lt;"&amp;BO205,WeightedRevAge21)-SUMIF(ThresholdAge21,"&lt;"&amp;BO205,WeightedMinAge21),MAX(CapacityAge21*'01_Вводные'!$B$218*BO205,MeanMinAge21)))</f>
        <v/>
      </c>
    </row>
    <row r="158" hidden="1" outlineLevel="1">
      <c r="A158" t="inlineStr">
        <is>
          <t>22 мес.</t>
        </is>
      </c>
      <c r="B158" s="190">
        <f>IF(OR((B74-B102)=0,22&lt;='01_Вводные'!$B$297),0,(B74-B102)*IF('01_Вводные'!$B$239="Да",MeanMinAge22+B205*SUMIF(ThresholdAge22,"&lt;"&amp;B205,WeightedRevAge22)-SUMIF(ThresholdAge22,"&lt;"&amp;B205,WeightedMinAge22),MAX(CapacityAge22*'01_Вводные'!$B$218*B205,MeanMinAge22)))</f>
        <v/>
      </c>
      <c r="C158" s="190">
        <f>IF(OR((C74-C102)=0,22&lt;='01_Вводные'!$B$297),0,(C74-C102)*IF('01_Вводные'!$B$239="Да",MeanMinAge22+C205*SUMIF(ThresholdAge22,"&lt;"&amp;C205,WeightedRevAge22)-SUMIF(ThresholdAge22,"&lt;"&amp;C205,WeightedMinAge22),MAX(CapacityAge22*'01_Вводные'!$B$218*C205,MeanMinAge22)))</f>
        <v/>
      </c>
      <c r="D158" s="190">
        <f>IF(OR((D74-D102)=0,22&lt;='01_Вводные'!$B$297),0,(D74-D102)*IF('01_Вводные'!$B$239="Да",MeanMinAge22+D205*SUMIF(ThresholdAge22,"&lt;"&amp;D205,WeightedRevAge22)-SUMIF(ThresholdAge22,"&lt;"&amp;D205,WeightedMinAge22),MAX(CapacityAge22*'01_Вводные'!$B$218*D205,MeanMinAge22)))</f>
        <v/>
      </c>
      <c r="E158" s="190">
        <f>IF(OR((E74-E102)=0,22&lt;='01_Вводные'!$B$297),0,(E74-E102)*IF('01_Вводные'!$B$239="Да",MeanMinAge22+E205*SUMIF(ThresholdAge22,"&lt;"&amp;E205,WeightedRevAge22)-SUMIF(ThresholdAge22,"&lt;"&amp;E205,WeightedMinAge22),MAX(CapacityAge22*'01_Вводные'!$B$218*E205,MeanMinAge22)))</f>
        <v/>
      </c>
      <c r="F158" s="190">
        <f>IF(OR((F74-F102)=0,22&lt;='01_Вводные'!$B$297),0,(F74-F102)*IF('01_Вводные'!$B$239="Да",MeanMinAge22+F205*SUMIF(ThresholdAge22,"&lt;"&amp;F205,WeightedRevAge22)-SUMIF(ThresholdAge22,"&lt;"&amp;F205,WeightedMinAge22),MAX(CapacityAge22*'01_Вводные'!$B$218*F205,MeanMinAge22)))</f>
        <v/>
      </c>
      <c r="G158" s="190">
        <f>IF(OR((G74-G102)=0,22&lt;='01_Вводные'!$B$297),0,(G74-G102)*IF('01_Вводные'!$B$239="Да",MeanMinAge22+G205*SUMIF(ThresholdAge22,"&lt;"&amp;G205,WeightedRevAge22)-SUMIF(ThresholdAge22,"&lt;"&amp;G205,WeightedMinAge22),MAX(CapacityAge22*'01_Вводные'!$B$218*G205,MeanMinAge22)))</f>
        <v/>
      </c>
      <c r="H158" s="190">
        <f>IF(OR((H74-H102)=0,22&lt;='01_Вводные'!$B$297),0,(H74-H102)*IF('01_Вводные'!$B$239="Да",MeanMinAge22+H205*SUMIF(ThresholdAge22,"&lt;"&amp;H205,WeightedRevAge22)-SUMIF(ThresholdAge22,"&lt;"&amp;H205,WeightedMinAge22),MAX(CapacityAge22*'01_Вводные'!$B$218*H205,MeanMinAge22)))</f>
        <v/>
      </c>
      <c r="I158" s="190">
        <f>IF(OR((I74-I102)=0,22&lt;='01_Вводные'!$B$297),0,(I74-I102)*IF('01_Вводные'!$B$239="Да",MeanMinAge22+I205*SUMIF(ThresholdAge22,"&lt;"&amp;I205,WeightedRevAge22)-SUMIF(ThresholdAge22,"&lt;"&amp;I205,WeightedMinAge22),MAX(CapacityAge22*'01_Вводные'!$B$218*I205,MeanMinAge22)))</f>
        <v/>
      </c>
      <c r="J158" s="190">
        <f>IF(OR((J74-J102)=0,22&lt;='01_Вводные'!$B$297),0,(J74-J102)*IF('01_Вводные'!$B$239="Да",MeanMinAge22+J205*SUMIF(ThresholdAge22,"&lt;"&amp;J205,WeightedRevAge22)-SUMIF(ThresholdAge22,"&lt;"&amp;J205,WeightedMinAge22),MAX(CapacityAge22*'01_Вводные'!$B$218*J205,MeanMinAge22)))</f>
        <v/>
      </c>
      <c r="K158" s="190">
        <f>IF(OR((K74-K102)=0,22&lt;='01_Вводные'!$B$297),0,(K74-K102)*IF('01_Вводные'!$B$239="Да",MeanMinAge22+K205*SUMIF(ThresholdAge22,"&lt;"&amp;K205,WeightedRevAge22)-SUMIF(ThresholdAge22,"&lt;"&amp;K205,WeightedMinAge22),MAX(CapacityAge22*'01_Вводные'!$B$218*K205,MeanMinAge22)))</f>
        <v/>
      </c>
      <c r="L158" s="190">
        <f>IF(OR((L74-L102)=0,22&lt;='01_Вводные'!$B$297),0,(L74-L102)*IF('01_Вводные'!$B$239="Да",MeanMinAge22+L205*SUMIF(ThresholdAge22,"&lt;"&amp;L205,WeightedRevAge22)-SUMIF(ThresholdAge22,"&lt;"&amp;L205,WeightedMinAge22),MAX(CapacityAge22*'01_Вводные'!$B$218*L205,MeanMinAge22)))</f>
        <v/>
      </c>
      <c r="M158" s="190">
        <f>IF(OR((M74-M102)=0,22&lt;='01_Вводные'!$B$297),0,(M74-M102)*IF('01_Вводные'!$B$239="Да",MeanMinAge22+M205*SUMIF(ThresholdAge22,"&lt;"&amp;M205,WeightedRevAge22)-SUMIF(ThresholdAge22,"&lt;"&amp;M205,WeightedMinAge22),MAX(CapacityAge22*'01_Вводные'!$B$218*M205,MeanMinAge22)))</f>
        <v/>
      </c>
      <c r="N158" s="190">
        <f>IF(OR((N74-N102)=0,22&lt;='01_Вводные'!$B$297),0,(N74-N102)*IF('01_Вводные'!$B$239="Да",MeanMinAge22+N205*SUMIF(ThresholdAge22,"&lt;"&amp;N205,WeightedRevAge22)-SUMIF(ThresholdAge22,"&lt;"&amp;N205,WeightedMinAge22),MAX(CapacityAge22*'01_Вводные'!$B$218*N205,MeanMinAge22)))</f>
        <v/>
      </c>
      <c r="O158" s="190">
        <f>IF(OR((O74-O102)=0,22&lt;='01_Вводные'!$B$297),0,(O74-O102)*IF('01_Вводные'!$B$239="Да",MeanMinAge22+O205*SUMIF(ThresholdAge22,"&lt;"&amp;O205,WeightedRevAge22)-SUMIF(ThresholdAge22,"&lt;"&amp;O205,WeightedMinAge22),MAX(CapacityAge22*'01_Вводные'!$B$218*O205,MeanMinAge22)))</f>
        <v/>
      </c>
      <c r="P158" s="190">
        <f>IF(OR((P74-P102)=0,22&lt;='01_Вводные'!$B$297),0,(P74-P102)*IF('01_Вводные'!$B$239="Да",MeanMinAge22+P205*SUMIF(ThresholdAge22,"&lt;"&amp;P205,WeightedRevAge22)-SUMIF(ThresholdAge22,"&lt;"&amp;P205,WeightedMinAge22),MAX(CapacityAge22*'01_Вводные'!$B$218*P205,MeanMinAge22)))</f>
        <v/>
      </c>
      <c r="Q158" s="190">
        <f>IF(OR((Q74-Q102)=0,22&lt;='01_Вводные'!$B$297),0,(Q74-Q102)*IF('01_Вводные'!$B$239="Да",MeanMinAge22+Q205*SUMIF(ThresholdAge22,"&lt;"&amp;Q205,WeightedRevAge22)-SUMIF(ThresholdAge22,"&lt;"&amp;Q205,WeightedMinAge22),MAX(CapacityAge22*'01_Вводные'!$B$218*Q205,MeanMinAge22)))</f>
        <v/>
      </c>
      <c r="R158" s="190">
        <f>IF(OR((R74-R102)=0,22&lt;='01_Вводные'!$B$297),0,(R74-R102)*IF('01_Вводные'!$B$239="Да",MeanMinAge22+R205*SUMIF(ThresholdAge22,"&lt;"&amp;R205,WeightedRevAge22)-SUMIF(ThresholdAge22,"&lt;"&amp;R205,WeightedMinAge22),MAX(CapacityAge22*'01_Вводные'!$B$218*R205,MeanMinAge22)))</f>
        <v/>
      </c>
      <c r="S158" s="190">
        <f>IF(OR((S74-S102)=0,22&lt;='01_Вводные'!$B$297),0,(S74-S102)*IF('01_Вводные'!$B$239="Да",MeanMinAge22+S205*SUMIF(ThresholdAge22,"&lt;"&amp;S205,WeightedRevAge22)-SUMIF(ThresholdAge22,"&lt;"&amp;S205,WeightedMinAge22),MAX(CapacityAge22*'01_Вводные'!$B$218*S205,MeanMinAge22)))</f>
        <v/>
      </c>
      <c r="T158" s="190">
        <f>IF(OR((T74-T102)=0,22&lt;='01_Вводные'!$B$297),0,(T74-T102)*IF('01_Вводные'!$B$239="Да",MeanMinAge22+T205*SUMIF(ThresholdAge22,"&lt;"&amp;T205,WeightedRevAge22)-SUMIF(ThresholdAge22,"&lt;"&amp;T205,WeightedMinAge22),MAX(CapacityAge22*'01_Вводные'!$B$218*T205,MeanMinAge22)))</f>
        <v/>
      </c>
      <c r="U158" s="190">
        <f>IF(OR((U74-U102)=0,22&lt;='01_Вводные'!$B$297),0,(U74-U102)*IF('01_Вводные'!$B$239="Да",MeanMinAge22+U205*SUMIF(ThresholdAge22,"&lt;"&amp;U205,WeightedRevAge22)-SUMIF(ThresholdAge22,"&lt;"&amp;U205,WeightedMinAge22),MAX(CapacityAge22*'01_Вводные'!$B$218*U205,MeanMinAge22)))</f>
        <v/>
      </c>
      <c r="V158" s="190">
        <f>IF(OR((V74-V102)=0,22&lt;='01_Вводные'!$B$297),0,(V74-V102)*IF('01_Вводные'!$B$239="Да",MeanMinAge22+V205*SUMIF(ThresholdAge22,"&lt;"&amp;V205,WeightedRevAge22)-SUMIF(ThresholdAge22,"&lt;"&amp;V205,WeightedMinAge22),MAX(CapacityAge22*'01_Вводные'!$B$218*V205,MeanMinAge22)))</f>
        <v/>
      </c>
      <c r="W158" s="190">
        <f>IF(OR((W74-W102)=0,22&lt;='01_Вводные'!$B$297),0,(W74-W102)*IF('01_Вводные'!$B$239="Да",MeanMinAge22+W205*SUMIF(ThresholdAge22,"&lt;"&amp;W205,WeightedRevAge22)-SUMIF(ThresholdAge22,"&lt;"&amp;W205,WeightedMinAge22),MAX(CapacityAge22*'01_Вводные'!$B$218*W205,MeanMinAge22)))</f>
        <v/>
      </c>
      <c r="X158" s="190">
        <f>IF(OR((X74-X102)=0,22&lt;='01_Вводные'!$B$297),0,(X74-X102)*IF('01_Вводные'!$B$239="Да",MeanMinAge22+X205*SUMIF(ThresholdAge22,"&lt;"&amp;X205,WeightedRevAge22)-SUMIF(ThresholdAge22,"&lt;"&amp;X205,WeightedMinAge22),MAX(CapacityAge22*'01_Вводные'!$B$218*X205,MeanMinAge22)))</f>
        <v/>
      </c>
      <c r="Y158" s="190">
        <f>IF(OR((Y74-Y102)=0,22&lt;='01_Вводные'!$B$297),0,(Y74-Y102)*IF('01_Вводные'!$B$239="Да",MeanMinAge22+Y205*SUMIF(ThresholdAge22,"&lt;"&amp;Y205,WeightedRevAge22)-SUMIF(ThresholdAge22,"&lt;"&amp;Y205,WeightedMinAge22),MAX(CapacityAge22*'01_Вводные'!$B$218*Y205,MeanMinAge22)))</f>
        <v/>
      </c>
      <c r="Z158" s="190">
        <f>IF(OR((Z74-Z102)=0,22&lt;='01_Вводные'!$B$297),0,(Z74-Z102)*IF('01_Вводные'!$B$239="Да",MeanMinAge22+Z205*SUMIF(ThresholdAge22,"&lt;"&amp;Z205,WeightedRevAge22)-SUMIF(ThresholdAge22,"&lt;"&amp;Z205,WeightedMinAge22),MAX(CapacityAge22*'01_Вводные'!$B$218*Z205,MeanMinAge22)))</f>
        <v/>
      </c>
      <c r="AA158" s="190">
        <f>IF(OR((AA74-AA102)=0,22&lt;='01_Вводные'!$B$297),0,(AA74-AA102)*IF('01_Вводные'!$B$239="Да",MeanMinAge22+AA205*SUMIF(ThresholdAge22,"&lt;"&amp;AA205,WeightedRevAge22)-SUMIF(ThresholdAge22,"&lt;"&amp;AA205,WeightedMinAge22),MAX(CapacityAge22*'01_Вводные'!$B$218*AA205,MeanMinAge22)))</f>
        <v/>
      </c>
      <c r="AB158" s="190">
        <f>IF(OR((AB74-AB102)=0,22&lt;='01_Вводные'!$B$297),0,(AB74-AB102)*IF('01_Вводные'!$B$239="Да",MeanMinAge22+AB205*SUMIF(ThresholdAge22,"&lt;"&amp;AB205,WeightedRevAge22)-SUMIF(ThresholdAge22,"&lt;"&amp;AB205,WeightedMinAge22),MAX(CapacityAge22*'01_Вводные'!$B$218*AB205,MeanMinAge22)))</f>
        <v/>
      </c>
      <c r="AC158" s="190">
        <f>IF(OR((AC74-AC102)=0,22&lt;='01_Вводные'!$B$297),0,(AC74-AC102)*IF('01_Вводные'!$B$239="Да",MeanMinAge22+AC205*SUMIF(ThresholdAge22,"&lt;"&amp;AC205,WeightedRevAge22)-SUMIF(ThresholdAge22,"&lt;"&amp;AC205,WeightedMinAge22),MAX(CapacityAge22*'01_Вводные'!$B$218*AC205,MeanMinAge22)))</f>
        <v/>
      </c>
      <c r="AD158" s="190">
        <f>IF(OR((AD74-AD102)=0,22&lt;='01_Вводные'!$B$297),0,(AD74-AD102)*IF('01_Вводные'!$B$239="Да",MeanMinAge22+AD205*SUMIF(ThresholdAge22,"&lt;"&amp;AD205,WeightedRevAge22)-SUMIF(ThresholdAge22,"&lt;"&amp;AD205,WeightedMinAge22),MAX(CapacityAge22*'01_Вводные'!$B$218*AD205,MeanMinAge22)))</f>
        <v/>
      </c>
      <c r="AE158" s="190">
        <f>IF(OR((AE74-AE102)=0,22&lt;='01_Вводные'!$B$297),0,(AE74-AE102)*IF('01_Вводные'!$B$239="Да",MeanMinAge22+AE205*SUMIF(ThresholdAge22,"&lt;"&amp;AE205,WeightedRevAge22)-SUMIF(ThresholdAge22,"&lt;"&amp;AE205,WeightedMinAge22),MAX(CapacityAge22*'01_Вводные'!$B$218*AE205,MeanMinAge22)))</f>
        <v/>
      </c>
      <c r="AF158" s="190">
        <f>IF(OR((AF74-AF102)=0,22&lt;='01_Вводные'!$B$297),0,(AF74-AF102)*IF('01_Вводные'!$B$239="Да",MeanMinAge22+AF205*SUMIF(ThresholdAge22,"&lt;"&amp;AF205,WeightedRevAge22)-SUMIF(ThresholdAge22,"&lt;"&amp;AF205,WeightedMinAge22),MAX(CapacityAge22*'01_Вводные'!$B$218*AF205,MeanMinAge22)))</f>
        <v/>
      </c>
      <c r="AG158" s="190">
        <f>IF(OR((AG74-AG102)=0,22&lt;='01_Вводные'!$B$297),0,(AG74-AG102)*IF('01_Вводные'!$B$239="Да",MeanMinAge22+AG205*SUMIF(ThresholdAge22,"&lt;"&amp;AG205,WeightedRevAge22)-SUMIF(ThresholdAge22,"&lt;"&amp;AG205,WeightedMinAge22),MAX(CapacityAge22*'01_Вводные'!$B$218*AG205,MeanMinAge22)))</f>
        <v/>
      </c>
      <c r="AH158" s="190">
        <f>IF(OR((AH74-AH102)=0,22&lt;='01_Вводные'!$B$297),0,(AH74-AH102)*IF('01_Вводные'!$B$239="Да",MeanMinAge22+AH205*SUMIF(ThresholdAge22,"&lt;"&amp;AH205,WeightedRevAge22)-SUMIF(ThresholdAge22,"&lt;"&amp;AH205,WeightedMinAge22),MAX(CapacityAge22*'01_Вводные'!$B$218*AH205,MeanMinAge22)))</f>
        <v/>
      </c>
      <c r="AI158" s="190">
        <f>IF(OR((AI74-AI102)=0,22&lt;='01_Вводные'!$B$297),0,(AI74-AI102)*IF('01_Вводные'!$B$239="Да",MeanMinAge22+AI205*SUMIF(ThresholdAge22,"&lt;"&amp;AI205,WeightedRevAge22)-SUMIF(ThresholdAge22,"&lt;"&amp;AI205,WeightedMinAge22),MAX(CapacityAge22*'01_Вводные'!$B$218*AI205,MeanMinAge22)))</f>
        <v/>
      </c>
      <c r="AJ158" s="190">
        <f>IF(OR((AJ74-AJ102)=0,22&lt;='01_Вводные'!$B$297),0,(AJ74-AJ102)*IF('01_Вводные'!$B$239="Да",MeanMinAge22+AJ205*SUMIF(ThresholdAge22,"&lt;"&amp;AJ205,WeightedRevAge22)-SUMIF(ThresholdAge22,"&lt;"&amp;AJ205,WeightedMinAge22),MAX(CapacityAge22*'01_Вводные'!$B$218*AJ205,MeanMinAge22)))</f>
        <v/>
      </c>
      <c r="AK158" s="190">
        <f>IF(OR((AK74-AK102)=0,22&lt;='01_Вводные'!$B$297),0,(AK74-AK102)*IF('01_Вводные'!$B$239="Да",MeanMinAge22+AK205*SUMIF(ThresholdAge22,"&lt;"&amp;AK205,WeightedRevAge22)-SUMIF(ThresholdAge22,"&lt;"&amp;AK205,WeightedMinAge22),MAX(CapacityAge22*'01_Вводные'!$B$218*AK205,MeanMinAge22)))</f>
        <v/>
      </c>
      <c r="AL158" s="190">
        <f>IF(OR((AL74-AL102)=0,22&lt;='01_Вводные'!$B$297),0,(AL74-AL102)*IF('01_Вводные'!$B$239="Да",MeanMinAge22+AL205*SUMIF(ThresholdAge22,"&lt;"&amp;AL205,WeightedRevAge22)-SUMIF(ThresholdAge22,"&lt;"&amp;AL205,WeightedMinAge22),MAX(CapacityAge22*'01_Вводные'!$B$218*AL205,MeanMinAge22)))</f>
        <v/>
      </c>
      <c r="AM158" s="190">
        <f>IF(OR((AM74-AM102)=0,22&lt;='01_Вводные'!$B$297),0,(AM74-AM102)*IF('01_Вводные'!$B$239="Да",MeanMinAge22+AM205*SUMIF(ThresholdAge22,"&lt;"&amp;AM205,WeightedRevAge22)-SUMIF(ThresholdAge22,"&lt;"&amp;AM205,WeightedMinAge22),MAX(CapacityAge22*'01_Вводные'!$B$218*AM205,MeanMinAge22)))</f>
        <v/>
      </c>
      <c r="AN158" s="190">
        <f>IF(OR((AN74-AN102)=0,22&lt;='01_Вводные'!$B$297),0,(AN74-AN102)*IF('01_Вводные'!$B$239="Да",MeanMinAge22+AN205*SUMIF(ThresholdAge22,"&lt;"&amp;AN205,WeightedRevAge22)-SUMIF(ThresholdAge22,"&lt;"&amp;AN205,WeightedMinAge22),MAX(CapacityAge22*'01_Вводные'!$B$218*AN205,MeanMinAge22)))</f>
        <v/>
      </c>
      <c r="AO158" s="190">
        <f>IF(OR((AO74-AO102)=0,22&lt;='01_Вводные'!$B$297),0,(AO74-AO102)*IF('01_Вводные'!$B$239="Да",MeanMinAge22+AO205*SUMIF(ThresholdAge22,"&lt;"&amp;AO205,WeightedRevAge22)-SUMIF(ThresholdAge22,"&lt;"&amp;AO205,WeightedMinAge22),MAX(CapacityAge22*'01_Вводные'!$B$218*AO205,MeanMinAge22)))</f>
        <v/>
      </c>
      <c r="AP158" s="190">
        <f>IF(OR((AP74-AP102)=0,22&lt;='01_Вводные'!$B$297),0,(AP74-AP102)*IF('01_Вводные'!$B$239="Да",MeanMinAge22+AP205*SUMIF(ThresholdAge22,"&lt;"&amp;AP205,WeightedRevAge22)-SUMIF(ThresholdAge22,"&lt;"&amp;AP205,WeightedMinAge22),MAX(CapacityAge22*'01_Вводные'!$B$218*AP205,MeanMinAge22)))</f>
        <v/>
      </c>
      <c r="AQ158" s="190">
        <f>IF(OR((AQ74-AQ102)=0,22&lt;='01_Вводные'!$B$297),0,(AQ74-AQ102)*IF('01_Вводные'!$B$239="Да",MeanMinAge22+AQ205*SUMIF(ThresholdAge22,"&lt;"&amp;AQ205,WeightedRevAge22)-SUMIF(ThresholdAge22,"&lt;"&amp;AQ205,WeightedMinAge22),MAX(CapacityAge22*'01_Вводные'!$B$218*AQ205,MeanMinAge22)))</f>
        <v/>
      </c>
      <c r="AR158" s="190">
        <f>IF(OR((AR74-AR102)=0,22&lt;='01_Вводные'!$B$297),0,(AR74-AR102)*IF('01_Вводные'!$B$239="Да",MeanMinAge22+AR205*SUMIF(ThresholdAge22,"&lt;"&amp;AR205,WeightedRevAge22)-SUMIF(ThresholdAge22,"&lt;"&amp;AR205,WeightedMinAge22),MAX(CapacityAge22*'01_Вводные'!$B$218*AR205,MeanMinAge22)))</f>
        <v/>
      </c>
      <c r="AS158" s="190">
        <f>IF(OR((AS74-AS102)=0,22&lt;='01_Вводные'!$B$297),0,(AS74-AS102)*IF('01_Вводные'!$B$239="Да",MeanMinAge22+AS205*SUMIF(ThresholdAge22,"&lt;"&amp;AS205,WeightedRevAge22)-SUMIF(ThresholdAge22,"&lt;"&amp;AS205,WeightedMinAge22),MAX(CapacityAge22*'01_Вводные'!$B$218*AS205,MeanMinAge22)))</f>
        <v/>
      </c>
      <c r="AT158" s="190">
        <f>IF(OR((AT74-AT102)=0,22&lt;='01_Вводные'!$B$297),0,(AT74-AT102)*IF('01_Вводные'!$B$239="Да",MeanMinAge22+AT205*SUMIF(ThresholdAge22,"&lt;"&amp;AT205,WeightedRevAge22)-SUMIF(ThresholdAge22,"&lt;"&amp;AT205,WeightedMinAge22),MAX(CapacityAge22*'01_Вводные'!$B$218*AT205,MeanMinAge22)))</f>
        <v/>
      </c>
      <c r="AU158" s="190">
        <f>IF(OR((AU74-AU102)=0,22&lt;='01_Вводные'!$B$297),0,(AU74-AU102)*IF('01_Вводные'!$B$239="Да",MeanMinAge22+AU205*SUMIF(ThresholdAge22,"&lt;"&amp;AU205,WeightedRevAge22)-SUMIF(ThresholdAge22,"&lt;"&amp;AU205,WeightedMinAge22),MAX(CapacityAge22*'01_Вводные'!$B$218*AU205,MeanMinAge22)))</f>
        <v/>
      </c>
      <c r="AV158" s="190">
        <f>IF(OR((AV74-AV102)=0,22&lt;='01_Вводные'!$B$297),0,(AV74-AV102)*IF('01_Вводные'!$B$239="Да",MeanMinAge22+AV205*SUMIF(ThresholdAge22,"&lt;"&amp;AV205,WeightedRevAge22)-SUMIF(ThresholdAge22,"&lt;"&amp;AV205,WeightedMinAge22),MAX(CapacityAge22*'01_Вводные'!$B$218*AV205,MeanMinAge22)))</f>
        <v/>
      </c>
      <c r="AW158" s="190">
        <f>IF(OR((AW74-AW102)=0,22&lt;='01_Вводные'!$B$297),0,(AW74-AW102)*IF('01_Вводные'!$B$239="Да",MeanMinAge22+AW205*SUMIF(ThresholdAge22,"&lt;"&amp;AW205,WeightedRevAge22)-SUMIF(ThresholdAge22,"&lt;"&amp;AW205,WeightedMinAge22),MAX(CapacityAge22*'01_Вводные'!$B$218*AW205,MeanMinAge22)))</f>
        <v/>
      </c>
      <c r="AX158" s="190">
        <f>IF(OR((AX74-AX102)=0,22&lt;='01_Вводные'!$B$297),0,(AX74-AX102)*IF('01_Вводные'!$B$239="Да",MeanMinAge22+AX205*SUMIF(ThresholdAge22,"&lt;"&amp;AX205,WeightedRevAge22)-SUMIF(ThresholdAge22,"&lt;"&amp;AX205,WeightedMinAge22),MAX(CapacityAge22*'01_Вводные'!$B$218*AX205,MeanMinAge22)))</f>
        <v/>
      </c>
      <c r="AY158" s="190">
        <f>IF(OR((AY74-AY102)=0,22&lt;='01_Вводные'!$B$297),0,(AY74-AY102)*IF('01_Вводные'!$B$239="Да",MeanMinAge22+AY205*SUMIF(ThresholdAge22,"&lt;"&amp;AY205,WeightedRevAge22)-SUMIF(ThresholdAge22,"&lt;"&amp;AY205,WeightedMinAge22),MAX(CapacityAge22*'01_Вводные'!$B$218*AY205,MeanMinAge22)))</f>
        <v/>
      </c>
      <c r="AZ158" s="190">
        <f>IF(OR((AZ74-AZ102)=0,22&lt;='01_Вводные'!$B$297),0,(AZ74-AZ102)*IF('01_Вводные'!$B$239="Да",MeanMinAge22+AZ205*SUMIF(ThresholdAge22,"&lt;"&amp;AZ205,WeightedRevAge22)-SUMIF(ThresholdAge22,"&lt;"&amp;AZ205,WeightedMinAge22),MAX(CapacityAge22*'01_Вводные'!$B$218*AZ205,MeanMinAge22)))</f>
        <v/>
      </c>
      <c r="BA158" s="190">
        <f>IF(OR((BA74-BA102)=0,22&lt;='01_Вводные'!$B$297),0,(BA74-BA102)*IF('01_Вводные'!$B$239="Да",MeanMinAge22+BA205*SUMIF(ThresholdAge22,"&lt;"&amp;BA205,WeightedRevAge22)-SUMIF(ThresholdAge22,"&lt;"&amp;BA205,WeightedMinAge22),MAX(CapacityAge22*'01_Вводные'!$B$218*BA205,MeanMinAge22)))</f>
        <v/>
      </c>
      <c r="BB158" s="190">
        <f>IF(OR((BB74-BB102)=0,22&lt;='01_Вводные'!$B$297),0,(BB74-BB102)*IF('01_Вводные'!$B$239="Да",MeanMinAge22+BB205*SUMIF(ThresholdAge22,"&lt;"&amp;BB205,WeightedRevAge22)-SUMIF(ThresholdAge22,"&lt;"&amp;BB205,WeightedMinAge22),MAX(CapacityAge22*'01_Вводные'!$B$218*BB205,MeanMinAge22)))</f>
        <v/>
      </c>
      <c r="BC158" s="190">
        <f>IF(OR((BC74-BC102)=0,22&lt;='01_Вводные'!$B$297),0,(BC74-BC102)*IF('01_Вводные'!$B$239="Да",MeanMinAge22+BC205*SUMIF(ThresholdAge22,"&lt;"&amp;BC205,WeightedRevAge22)-SUMIF(ThresholdAge22,"&lt;"&amp;BC205,WeightedMinAge22),MAX(CapacityAge22*'01_Вводные'!$B$218*BC205,MeanMinAge22)))</f>
        <v/>
      </c>
      <c r="BD158" s="190">
        <f>IF(OR((BD74-BD102)=0,22&lt;='01_Вводные'!$B$297),0,(BD74-BD102)*IF('01_Вводные'!$B$239="Да",MeanMinAge22+BD205*SUMIF(ThresholdAge22,"&lt;"&amp;BD205,WeightedRevAge22)-SUMIF(ThresholdAge22,"&lt;"&amp;BD205,WeightedMinAge22),MAX(CapacityAge22*'01_Вводные'!$B$218*BD205,MeanMinAge22)))</f>
        <v/>
      </c>
      <c r="BE158" s="190">
        <f>IF(OR((BE74-BE102)=0,22&lt;='01_Вводные'!$B$297),0,(BE74-BE102)*IF('01_Вводные'!$B$239="Да",MeanMinAge22+BE205*SUMIF(ThresholdAge22,"&lt;"&amp;BE205,WeightedRevAge22)-SUMIF(ThresholdAge22,"&lt;"&amp;BE205,WeightedMinAge22),MAX(CapacityAge22*'01_Вводные'!$B$218*BE205,MeanMinAge22)))</f>
        <v/>
      </c>
      <c r="BF158" s="190">
        <f>IF(OR((BF74-BF102)=0,22&lt;='01_Вводные'!$B$297),0,(BF74-BF102)*IF('01_Вводные'!$B$239="Да",MeanMinAge22+BF205*SUMIF(ThresholdAge22,"&lt;"&amp;BF205,WeightedRevAge22)-SUMIF(ThresholdAge22,"&lt;"&amp;BF205,WeightedMinAge22),MAX(CapacityAge22*'01_Вводные'!$B$218*BF205,MeanMinAge22)))</f>
        <v/>
      </c>
      <c r="BG158" s="190">
        <f>IF(OR((BG74-BG102)=0,22&lt;='01_Вводные'!$B$297),0,(BG74-BG102)*IF('01_Вводные'!$B$239="Да",MeanMinAge22+BG205*SUMIF(ThresholdAge22,"&lt;"&amp;BG205,WeightedRevAge22)-SUMIF(ThresholdAge22,"&lt;"&amp;BG205,WeightedMinAge22),MAX(CapacityAge22*'01_Вводные'!$B$218*BG205,MeanMinAge22)))</f>
        <v/>
      </c>
      <c r="BH158" s="190">
        <f>IF(OR((BH74-BH102)=0,22&lt;='01_Вводные'!$B$297),0,(BH74-BH102)*IF('01_Вводные'!$B$239="Да",MeanMinAge22+BH205*SUMIF(ThresholdAge22,"&lt;"&amp;BH205,WeightedRevAge22)-SUMIF(ThresholdAge22,"&lt;"&amp;BH205,WeightedMinAge22),MAX(CapacityAge22*'01_Вводные'!$B$218*BH205,MeanMinAge22)))</f>
        <v/>
      </c>
      <c r="BI158" s="190">
        <f>IF(OR((BI74-BI102)=0,22&lt;='01_Вводные'!$B$297),0,(BI74-BI102)*IF('01_Вводные'!$B$239="Да",MeanMinAge22+BI205*SUMIF(ThresholdAge22,"&lt;"&amp;BI205,WeightedRevAge22)-SUMIF(ThresholdAge22,"&lt;"&amp;BI205,WeightedMinAge22),MAX(CapacityAge22*'01_Вводные'!$B$218*BI205,MeanMinAge22)))</f>
        <v/>
      </c>
      <c r="BJ158" s="190">
        <f>IF(OR((BJ74-BJ102)=0,22&lt;='01_Вводные'!$B$297),0,(BJ74-BJ102)*IF('01_Вводные'!$B$239="Да",MeanMinAge22+BJ205*SUMIF(ThresholdAge22,"&lt;"&amp;BJ205,WeightedRevAge22)-SUMIF(ThresholdAge22,"&lt;"&amp;BJ205,WeightedMinAge22),MAX(CapacityAge22*'01_Вводные'!$B$218*BJ205,MeanMinAge22)))</f>
        <v/>
      </c>
      <c r="BK158" s="190">
        <f>IF(OR((BK74-BK102)=0,22&lt;='01_Вводные'!$B$297),0,(BK74-BK102)*IF('01_Вводные'!$B$239="Да",MeanMinAge22+BK205*SUMIF(ThresholdAge22,"&lt;"&amp;BK205,WeightedRevAge22)-SUMIF(ThresholdAge22,"&lt;"&amp;BK205,WeightedMinAge22),MAX(CapacityAge22*'01_Вводные'!$B$218*BK205,MeanMinAge22)))</f>
        <v/>
      </c>
      <c r="BL158" s="190">
        <f>IF(OR((BL74-BL102)=0,22&lt;='01_Вводные'!$B$297),0,(BL74-BL102)*IF('01_Вводные'!$B$239="Да",MeanMinAge22+BL205*SUMIF(ThresholdAge22,"&lt;"&amp;BL205,WeightedRevAge22)-SUMIF(ThresholdAge22,"&lt;"&amp;BL205,WeightedMinAge22),MAX(CapacityAge22*'01_Вводные'!$B$218*BL205,MeanMinAge22)))</f>
        <v/>
      </c>
      <c r="BM158" s="190">
        <f>IF(OR((BM74-BM102)=0,22&lt;='01_Вводные'!$B$297),0,(BM74-BM102)*IF('01_Вводные'!$B$239="Да",MeanMinAge22+BM205*SUMIF(ThresholdAge22,"&lt;"&amp;BM205,WeightedRevAge22)-SUMIF(ThresholdAge22,"&lt;"&amp;BM205,WeightedMinAge22),MAX(CapacityAge22*'01_Вводные'!$B$218*BM205,MeanMinAge22)))</f>
        <v/>
      </c>
      <c r="BN158" s="190">
        <f>IF(OR((BN74-BN102)=0,22&lt;='01_Вводные'!$B$297),0,(BN74-BN102)*IF('01_Вводные'!$B$239="Да",MeanMinAge22+BN205*SUMIF(ThresholdAge22,"&lt;"&amp;BN205,WeightedRevAge22)-SUMIF(ThresholdAge22,"&lt;"&amp;BN205,WeightedMinAge22),MAX(CapacityAge22*'01_Вводные'!$B$218*BN205,MeanMinAge22)))</f>
        <v/>
      </c>
      <c r="BO158" s="190">
        <f>IF(OR((BO74-BO102)=0,22&lt;='01_Вводные'!$B$297),0,(BO74-BO102)*IF('01_Вводные'!$B$239="Да",MeanMinAge22+BO205*SUMIF(ThresholdAge22,"&lt;"&amp;BO205,WeightedRevAge22)-SUMIF(ThresholdAge22,"&lt;"&amp;BO205,WeightedMinAge22),MAX(CapacityAge22*'01_Вводные'!$B$218*BO205,MeanMinAge22)))</f>
        <v/>
      </c>
    </row>
    <row r="159" hidden="1" outlineLevel="1">
      <c r="A159" t="inlineStr">
        <is>
          <t>23 мес.</t>
        </is>
      </c>
      <c r="B159" s="190">
        <f>IF(OR((B75-B103)=0,23&lt;='01_Вводные'!$B$297),0,(B75-B103)*IF('01_Вводные'!$B$239="Да",MeanMinAge23+B205*SUMIF(ThresholdAge23,"&lt;"&amp;B205,WeightedRevAge23)-SUMIF(ThresholdAge23,"&lt;"&amp;B205,WeightedMinAge23),MAX(CapacityAge23*'01_Вводные'!$B$218*B205,MeanMinAge23)))</f>
        <v/>
      </c>
      <c r="C159" s="190">
        <f>IF(OR((C75-C103)=0,23&lt;='01_Вводные'!$B$297),0,(C75-C103)*IF('01_Вводные'!$B$239="Да",MeanMinAge23+C205*SUMIF(ThresholdAge23,"&lt;"&amp;C205,WeightedRevAge23)-SUMIF(ThresholdAge23,"&lt;"&amp;C205,WeightedMinAge23),MAX(CapacityAge23*'01_Вводные'!$B$218*C205,MeanMinAge23)))</f>
        <v/>
      </c>
      <c r="D159" s="190">
        <f>IF(OR((D75-D103)=0,23&lt;='01_Вводные'!$B$297),0,(D75-D103)*IF('01_Вводные'!$B$239="Да",MeanMinAge23+D205*SUMIF(ThresholdAge23,"&lt;"&amp;D205,WeightedRevAge23)-SUMIF(ThresholdAge23,"&lt;"&amp;D205,WeightedMinAge23),MAX(CapacityAge23*'01_Вводные'!$B$218*D205,MeanMinAge23)))</f>
        <v/>
      </c>
      <c r="E159" s="190">
        <f>IF(OR((E75-E103)=0,23&lt;='01_Вводные'!$B$297),0,(E75-E103)*IF('01_Вводные'!$B$239="Да",MeanMinAge23+E205*SUMIF(ThresholdAge23,"&lt;"&amp;E205,WeightedRevAge23)-SUMIF(ThresholdAge23,"&lt;"&amp;E205,WeightedMinAge23),MAX(CapacityAge23*'01_Вводные'!$B$218*E205,MeanMinAge23)))</f>
        <v/>
      </c>
      <c r="F159" s="190">
        <f>IF(OR((F75-F103)=0,23&lt;='01_Вводные'!$B$297),0,(F75-F103)*IF('01_Вводные'!$B$239="Да",MeanMinAge23+F205*SUMIF(ThresholdAge23,"&lt;"&amp;F205,WeightedRevAge23)-SUMIF(ThresholdAge23,"&lt;"&amp;F205,WeightedMinAge23),MAX(CapacityAge23*'01_Вводные'!$B$218*F205,MeanMinAge23)))</f>
        <v/>
      </c>
      <c r="G159" s="190">
        <f>IF(OR((G75-G103)=0,23&lt;='01_Вводные'!$B$297),0,(G75-G103)*IF('01_Вводные'!$B$239="Да",MeanMinAge23+G205*SUMIF(ThresholdAge23,"&lt;"&amp;G205,WeightedRevAge23)-SUMIF(ThresholdAge23,"&lt;"&amp;G205,WeightedMinAge23),MAX(CapacityAge23*'01_Вводные'!$B$218*G205,MeanMinAge23)))</f>
        <v/>
      </c>
      <c r="H159" s="190">
        <f>IF(OR((H75-H103)=0,23&lt;='01_Вводные'!$B$297),0,(H75-H103)*IF('01_Вводные'!$B$239="Да",MeanMinAge23+H205*SUMIF(ThresholdAge23,"&lt;"&amp;H205,WeightedRevAge23)-SUMIF(ThresholdAge23,"&lt;"&amp;H205,WeightedMinAge23),MAX(CapacityAge23*'01_Вводные'!$B$218*H205,MeanMinAge23)))</f>
        <v/>
      </c>
      <c r="I159" s="190">
        <f>IF(OR((I75-I103)=0,23&lt;='01_Вводные'!$B$297),0,(I75-I103)*IF('01_Вводные'!$B$239="Да",MeanMinAge23+I205*SUMIF(ThresholdAge23,"&lt;"&amp;I205,WeightedRevAge23)-SUMIF(ThresholdAge23,"&lt;"&amp;I205,WeightedMinAge23),MAX(CapacityAge23*'01_Вводные'!$B$218*I205,MeanMinAge23)))</f>
        <v/>
      </c>
      <c r="J159" s="190">
        <f>IF(OR((J75-J103)=0,23&lt;='01_Вводные'!$B$297),0,(J75-J103)*IF('01_Вводные'!$B$239="Да",MeanMinAge23+J205*SUMIF(ThresholdAge23,"&lt;"&amp;J205,WeightedRevAge23)-SUMIF(ThresholdAge23,"&lt;"&amp;J205,WeightedMinAge23),MAX(CapacityAge23*'01_Вводные'!$B$218*J205,MeanMinAge23)))</f>
        <v/>
      </c>
      <c r="K159" s="190">
        <f>IF(OR((K75-K103)=0,23&lt;='01_Вводные'!$B$297),0,(K75-K103)*IF('01_Вводные'!$B$239="Да",MeanMinAge23+K205*SUMIF(ThresholdAge23,"&lt;"&amp;K205,WeightedRevAge23)-SUMIF(ThresholdAge23,"&lt;"&amp;K205,WeightedMinAge23),MAX(CapacityAge23*'01_Вводные'!$B$218*K205,MeanMinAge23)))</f>
        <v/>
      </c>
      <c r="L159" s="190">
        <f>IF(OR((L75-L103)=0,23&lt;='01_Вводные'!$B$297),0,(L75-L103)*IF('01_Вводные'!$B$239="Да",MeanMinAge23+L205*SUMIF(ThresholdAge23,"&lt;"&amp;L205,WeightedRevAge23)-SUMIF(ThresholdAge23,"&lt;"&amp;L205,WeightedMinAge23),MAX(CapacityAge23*'01_Вводные'!$B$218*L205,MeanMinAge23)))</f>
        <v/>
      </c>
      <c r="M159" s="190">
        <f>IF(OR((M75-M103)=0,23&lt;='01_Вводные'!$B$297),0,(M75-M103)*IF('01_Вводные'!$B$239="Да",MeanMinAge23+M205*SUMIF(ThresholdAge23,"&lt;"&amp;M205,WeightedRevAge23)-SUMIF(ThresholdAge23,"&lt;"&amp;M205,WeightedMinAge23),MAX(CapacityAge23*'01_Вводные'!$B$218*M205,MeanMinAge23)))</f>
        <v/>
      </c>
      <c r="N159" s="190">
        <f>IF(OR((N75-N103)=0,23&lt;='01_Вводные'!$B$297),0,(N75-N103)*IF('01_Вводные'!$B$239="Да",MeanMinAge23+N205*SUMIF(ThresholdAge23,"&lt;"&amp;N205,WeightedRevAge23)-SUMIF(ThresholdAge23,"&lt;"&amp;N205,WeightedMinAge23),MAX(CapacityAge23*'01_Вводные'!$B$218*N205,MeanMinAge23)))</f>
        <v/>
      </c>
      <c r="O159" s="190">
        <f>IF(OR((O75-O103)=0,23&lt;='01_Вводные'!$B$297),0,(O75-O103)*IF('01_Вводные'!$B$239="Да",MeanMinAge23+O205*SUMIF(ThresholdAge23,"&lt;"&amp;O205,WeightedRevAge23)-SUMIF(ThresholdAge23,"&lt;"&amp;O205,WeightedMinAge23),MAX(CapacityAge23*'01_Вводные'!$B$218*O205,MeanMinAge23)))</f>
        <v/>
      </c>
      <c r="P159" s="190">
        <f>IF(OR((P75-P103)=0,23&lt;='01_Вводные'!$B$297),0,(P75-P103)*IF('01_Вводные'!$B$239="Да",MeanMinAge23+P205*SUMIF(ThresholdAge23,"&lt;"&amp;P205,WeightedRevAge23)-SUMIF(ThresholdAge23,"&lt;"&amp;P205,WeightedMinAge23),MAX(CapacityAge23*'01_Вводные'!$B$218*P205,MeanMinAge23)))</f>
        <v/>
      </c>
      <c r="Q159" s="190">
        <f>IF(OR((Q75-Q103)=0,23&lt;='01_Вводные'!$B$297),0,(Q75-Q103)*IF('01_Вводные'!$B$239="Да",MeanMinAge23+Q205*SUMIF(ThresholdAge23,"&lt;"&amp;Q205,WeightedRevAge23)-SUMIF(ThresholdAge23,"&lt;"&amp;Q205,WeightedMinAge23),MAX(CapacityAge23*'01_Вводные'!$B$218*Q205,MeanMinAge23)))</f>
        <v/>
      </c>
      <c r="R159" s="190">
        <f>IF(OR((R75-R103)=0,23&lt;='01_Вводные'!$B$297),0,(R75-R103)*IF('01_Вводные'!$B$239="Да",MeanMinAge23+R205*SUMIF(ThresholdAge23,"&lt;"&amp;R205,WeightedRevAge23)-SUMIF(ThresholdAge23,"&lt;"&amp;R205,WeightedMinAge23),MAX(CapacityAge23*'01_Вводные'!$B$218*R205,MeanMinAge23)))</f>
        <v/>
      </c>
      <c r="S159" s="190">
        <f>IF(OR((S75-S103)=0,23&lt;='01_Вводные'!$B$297),0,(S75-S103)*IF('01_Вводные'!$B$239="Да",MeanMinAge23+S205*SUMIF(ThresholdAge23,"&lt;"&amp;S205,WeightedRevAge23)-SUMIF(ThresholdAge23,"&lt;"&amp;S205,WeightedMinAge23),MAX(CapacityAge23*'01_Вводные'!$B$218*S205,MeanMinAge23)))</f>
        <v/>
      </c>
      <c r="T159" s="190">
        <f>IF(OR((T75-T103)=0,23&lt;='01_Вводные'!$B$297),0,(T75-T103)*IF('01_Вводные'!$B$239="Да",MeanMinAge23+T205*SUMIF(ThresholdAge23,"&lt;"&amp;T205,WeightedRevAge23)-SUMIF(ThresholdAge23,"&lt;"&amp;T205,WeightedMinAge23),MAX(CapacityAge23*'01_Вводные'!$B$218*T205,MeanMinAge23)))</f>
        <v/>
      </c>
      <c r="U159" s="190">
        <f>IF(OR((U75-U103)=0,23&lt;='01_Вводные'!$B$297),0,(U75-U103)*IF('01_Вводные'!$B$239="Да",MeanMinAge23+U205*SUMIF(ThresholdAge23,"&lt;"&amp;U205,WeightedRevAge23)-SUMIF(ThresholdAge23,"&lt;"&amp;U205,WeightedMinAge23),MAX(CapacityAge23*'01_Вводные'!$B$218*U205,MeanMinAge23)))</f>
        <v/>
      </c>
      <c r="V159" s="190">
        <f>IF(OR((V75-V103)=0,23&lt;='01_Вводные'!$B$297),0,(V75-V103)*IF('01_Вводные'!$B$239="Да",MeanMinAge23+V205*SUMIF(ThresholdAge23,"&lt;"&amp;V205,WeightedRevAge23)-SUMIF(ThresholdAge23,"&lt;"&amp;V205,WeightedMinAge23),MAX(CapacityAge23*'01_Вводные'!$B$218*V205,MeanMinAge23)))</f>
        <v/>
      </c>
      <c r="W159" s="190">
        <f>IF(OR((W75-W103)=0,23&lt;='01_Вводные'!$B$297),0,(W75-W103)*IF('01_Вводные'!$B$239="Да",MeanMinAge23+W205*SUMIF(ThresholdAge23,"&lt;"&amp;W205,WeightedRevAge23)-SUMIF(ThresholdAge23,"&lt;"&amp;W205,WeightedMinAge23),MAX(CapacityAge23*'01_Вводные'!$B$218*W205,MeanMinAge23)))</f>
        <v/>
      </c>
      <c r="X159" s="190">
        <f>IF(OR((X75-X103)=0,23&lt;='01_Вводные'!$B$297),0,(X75-X103)*IF('01_Вводные'!$B$239="Да",MeanMinAge23+X205*SUMIF(ThresholdAge23,"&lt;"&amp;X205,WeightedRevAge23)-SUMIF(ThresholdAge23,"&lt;"&amp;X205,WeightedMinAge23),MAX(CapacityAge23*'01_Вводные'!$B$218*X205,MeanMinAge23)))</f>
        <v/>
      </c>
      <c r="Y159" s="190">
        <f>IF(OR((Y75-Y103)=0,23&lt;='01_Вводные'!$B$297),0,(Y75-Y103)*IF('01_Вводные'!$B$239="Да",MeanMinAge23+Y205*SUMIF(ThresholdAge23,"&lt;"&amp;Y205,WeightedRevAge23)-SUMIF(ThresholdAge23,"&lt;"&amp;Y205,WeightedMinAge23),MAX(CapacityAge23*'01_Вводные'!$B$218*Y205,MeanMinAge23)))</f>
        <v/>
      </c>
      <c r="Z159" s="190">
        <f>IF(OR((Z75-Z103)=0,23&lt;='01_Вводные'!$B$297),0,(Z75-Z103)*IF('01_Вводные'!$B$239="Да",MeanMinAge23+Z205*SUMIF(ThresholdAge23,"&lt;"&amp;Z205,WeightedRevAge23)-SUMIF(ThresholdAge23,"&lt;"&amp;Z205,WeightedMinAge23),MAX(CapacityAge23*'01_Вводные'!$B$218*Z205,MeanMinAge23)))</f>
        <v/>
      </c>
      <c r="AA159" s="190">
        <f>IF(OR((AA75-AA103)=0,23&lt;='01_Вводные'!$B$297),0,(AA75-AA103)*IF('01_Вводные'!$B$239="Да",MeanMinAge23+AA205*SUMIF(ThresholdAge23,"&lt;"&amp;AA205,WeightedRevAge23)-SUMIF(ThresholdAge23,"&lt;"&amp;AA205,WeightedMinAge23),MAX(CapacityAge23*'01_Вводные'!$B$218*AA205,MeanMinAge23)))</f>
        <v/>
      </c>
      <c r="AB159" s="190">
        <f>IF(OR((AB75-AB103)=0,23&lt;='01_Вводные'!$B$297),0,(AB75-AB103)*IF('01_Вводные'!$B$239="Да",MeanMinAge23+AB205*SUMIF(ThresholdAge23,"&lt;"&amp;AB205,WeightedRevAge23)-SUMIF(ThresholdAge23,"&lt;"&amp;AB205,WeightedMinAge23),MAX(CapacityAge23*'01_Вводные'!$B$218*AB205,MeanMinAge23)))</f>
        <v/>
      </c>
      <c r="AC159" s="190">
        <f>IF(OR((AC75-AC103)=0,23&lt;='01_Вводные'!$B$297),0,(AC75-AC103)*IF('01_Вводные'!$B$239="Да",MeanMinAge23+AC205*SUMIF(ThresholdAge23,"&lt;"&amp;AC205,WeightedRevAge23)-SUMIF(ThresholdAge23,"&lt;"&amp;AC205,WeightedMinAge23),MAX(CapacityAge23*'01_Вводные'!$B$218*AC205,MeanMinAge23)))</f>
        <v/>
      </c>
      <c r="AD159" s="190">
        <f>IF(OR((AD75-AD103)=0,23&lt;='01_Вводные'!$B$297),0,(AD75-AD103)*IF('01_Вводные'!$B$239="Да",MeanMinAge23+AD205*SUMIF(ThresholdAge23,"&lt;"&amp;AD205,WeightedRevAge23)-SUMIF(ThresholdAge23,"&lt;"&amp;AD205,WeightedMinAge23),MAX(CapacityAge23*'01_Вводные'!$B$218*AD205,MeanMinAge23)))</f>
        <v/>
      </c>
      <c r="AE159" s="190">
        <f>IF(OR((AE75-AE103)=0,23&lt;='01_Вводные'!$B$297),0,(AE75-AE103)*IF('01_Вводные'!$B$239="Да",MeanMinAge23+AE205*SUMIF(ThresholdAge23,"&lt;"&amp;AE205,WeightedRevAge23)-SUMIF(ThresholdAge23,"&lt;"&amp;AE205,WeightedMinAge23),MAX(CapacityAge23*'01_Вводные'!$B$218*AE205,MeanMinAge23)))</f>
        <v/>
      </c>
      <c r="AF159" s="190">
        <f>IF(OR((AF75-AF103)=0,23&lt;='01_Вводные'!$B$297),0,(AF75-AF103)*IF('01_Вводные'!$B$239="Да",MeanMinAge23+AF205*SUMIF(ThresholdAge23,"&lt;"&amp;AF205,WeightedRevAge23)-SUMIF(ThresholdAge23,"&lt;"&amp;AF205,WeightedMinAge23),MAX(CapacityAge23*'01_Вводные'!$B$218*AF205,MeanMinAge23)))</f>
        <v/>
      </c>
      <c r="AG159" s="190">
        <f>IF(OR((AG75-AG103)=0,23&lt;='01_Вводные'!$B$297),0,(AG75-AG103)*IF('01_Вводные'!$B$239="Да",MeanMinAge23+AG205*SUMIF(ThresholdAge23,"&lt;"&amp;AG205,WeightedRevAge23)-SUMIF(ThresholdAge23,"&lt;"&amp;AG205,WeightedMinAge23),MAX(CapacityAge23*'01_Вводные'!$B$218*AG205,MeanMinAge23)))</f>
        <v/>
      </c>
      <c r="AH159" s="190">
        <f>IF(OR((AH75-AH103)=0,23&lt;='01_Вводные'!$B$297),0,(AH75-AH103)*IF('01_Вводные'!$B$239="Да",MeanMinAge23+AH205*SUMIF(ThresholdAge23,"&lt;"&amp;AH205,WeightedRevAge23)-SUMIF(ThresholdAge23,"&lt;"&amp;AH205,WeightedMinAge23),MAX(CapacityAge23*'01_Вводные'!$B$218*AH205,MeanMinAge23)))</f>
        <v/>
      </c>
      <c r="AI159" s="190">
        <f>IF(OR((AI75-AI103)=0,23&lt;='01_Вводные'!$B$297),0,(AI75-AI103)*IF('01_Вводные'!$B$239="Да",MeanMinAge23+AI205*SUMIF(ThresholdAge23,"&lt;"&amp;AI205,WeightedRevAge23)-SUMIF(ThresholdAge23,"&lt;"&amp;AI205,WeightedMinAge23),MAX(CapacityAge23*'01_Вводные'!$B$218*AI205,MeanMinAge23)))</f>
        <v/>
      </c>
      <c r="AJ159" s="190">
        <f>IF(OR((AJ75-AJ103)=0,23&lt;='01_Вводные'!$B$297),0,(AJ75-AJ103)*IF('01_Вводные'!$B$239="Да",MeanMinAge23+AJ205*SUMIF(ThresholdAge23,"&lt;"&amp;AJ205,WeightedRevAge23)-SUMIF(ThresholdAge23,"&lt;"&amp;AJ205,WeightedMinAge23),MAX(CapacityAge23*'01_Вводные'!$B$218*AJ205,MeanMinAge23)))</f>
        <v/>
      </c>
      <c r="AK159" s="190">
        <f>IF(OR((AK75-AK103)=0,23&lt;='01_Вводные'!$B$297),0,(AK75-AK103)*IF('01_Вводные'!$B$239="Да",MeanMinAge23+AK205*SUMIF(ThresholdAge23,"&lt;"&amp;AK205,WeightedRevAge23)-SUMIF(ThresholdAge23,"&lt;"&amp;AK205,WeightedMinAge23),MAX(CapacityAge23*'01_Вводные'!$B$218*AK205,MeanMinAge23)))</f>
        <v/>
      </c>
      <c r="AL159" s="190">
        <f>IF(OR((AL75-AL103)=0,23&lt;='01_Вводные'!$B$297),0,(AL75-AL103)*IF('01_Вводные'!$B$239="Да",MeanMinAge23+AL205*SUMIF(ThresholdAge23,"&lt;"&amp;AL205,WeightedRevAge23)-SUMIF(ThresholdAge23,"&lt;"&amp;AL205,WeightedMinAge23),MAX(CapacityAge23*'01_Вводные'!$B$218*AL205,MeanMinAge23)))</f>
        <v/>
      </c>
      <c r="AM159" s="190">
        <f>IF(OR((AM75-AM103)=0,23&lt;='01_Вводные'!$B$297),0,(AM75-AM103)*IF('01_Вводные'!$B$239="Да",MeanMinAge23+AM205*SUMIF(ThresholdAge23,"&lt;"&amp;AM205,WeightedRevAge23)-SUMIF(ThresholdAge23,"&lt;"&amp;AM205,WeightedMinAge23),MAX(CapacityAge23*'01_Вводные'!$B$218*AM205,MeanMinAge23)))</f>
        <v/>
      </c>
      <c r="AN159" s="190">
        <f>IF(OR((AN75-AN103)=0,23&lt;='01_Вводные'!$B$297),0,(AN75-AN103)*IF('01_Вводные'!$B$239="Да",MeanMinAge23+AN205*SUMIF(ThresholdAge23,"&lt;"&amp;AN205,WeightedRevAge23)-SUMIF(ThresholdAge23,"&lt;"&amp;AN205,WeightedMinAge23),MAX(CapacityAge23*'01_Вводные'!$B$218*AN205,MeanMinAge23)))</f>
        <v/>
      </c>
      <c r="AO159" s="190">
        <f>IF(OR((AO75-AO103)=0,23&lt;='01_Вводные'!$B$297),0,(AO75-AO103)*IF('01_Вводные'!$B$239="Да",MeanMinAge23+AO205*SUMIF(ThresholdAge23,"&lt;"&amp;AO205,WeightedRevAge23)-SUMIF(ThresholdAge23,"&lt;"&amp;AO205,WeightedMinAge23),MAX(CapacityAge23*'01_Вводные'!$B$218*AO205,MeanMinAge23)))</f>
        <v/>
      </c>
      <c r="AP159" s="190">
        <f>IF(OR((AP75-AP103)=0,23&lt;='01_Вводные'!$B$297),0,(AP75-AP103)*IF('01_Вводные'!$B$239="Да",MeanMinAge23+AP205*SUMIF(ThresholdAge23,"&lt;"&amp;AP205,WeightedRevAge23)-SUMIF(ThresholdAge23,"&lt;"&amp;AP205,WeightedMinAge23),MAX(CapacityAge23*'01_Вводные'!$B$218*AP205,MeanMinAge23)))</f>
        <v/>
      </c>
      <c r="AQ159" s="190">
        <f>IF(OR((AQ75-AQ103)=0,23&lt;='01_Вводные'!$B$297),0,(AQ75-AQ103)*IF('01_Вводные'!$B$239="Да",MeanMinAge23+AQ205*SUMIF(ThresholdAge23,"&lt;"&amp;AQ205,WeightedRevAge23)-SUMIF(ThresholdAge23,"&lt;"&amp;AQ205,WeightedMinAge23),MAX(CapacityAge23*'01_Вводные'!$B$218*AQ205,MeanMinAge23)))</f>
        <v/>
      </c>
      <c r="AR159" s="190">
        <f>IF(OR((AR75-AR103)=0,23&lt;='01_Вводные'!$B$297),0,(AR75-AR103)*IF('01_Вводные'!$B$239="Да",MeanMinAge23+AR205*SUMIF(ThresholdAge23,"&lt;"&amp;AR205,WeightedRevAge23)-SUMIF(ThresholdAge23,"&lt;"&amp;AR205,WeightedMinAge23),MAX(CapacityAge23*'01_Вводные'!$B$218*AR205,MeanMinAge23)))</f>
        <v/>
      </c>
      <c r="AS159" s="190">
        <f>IF(OR((AS75-AS103)=0,23&lt;='01_Вводные'!$B$297),0,(AS75-AS103)*IF('01_Вводные'!$B$239="Да",MeanMinAge23+AS205*SUMIF(ThresholdAge23,"&lt;"&amp;AS205,WeightedRevAge23)-SUMIF(ThresholdAge23,"&lt;"&amp;AS205,WeightedMinAge23),MAX(CapacityAge23*'01_Вводные'!$B$218*AS205,MeanMinAge23)))</f>
        <v/>
      </c>
      <c r="AT159" s="190">
        <f>IF(OR((AT75-AT103)=0,23&lt;='01_Вводные'!$B$297),0,(AT75-AT103)*IF('01_Вводные'!$B$239="Да",MeanMinAge23+AT205*SUMIF(ThresholdAge23,"&lt;"&amp;AT205,WeightedRevAge23)-SUMIF(ThresholdAge23,"&lt;"&amp;AT205,WeightedMinAge23),MAX(CapacityAge23*'01_Вводные'!$B$218*AT205,MeanMinAge23)))</f>
        <v/>
      </c>
      <c r="AU159" s="190">
        <f>IF(OR((AU75-AU103)=0,23&lt;='01_Вводные'!$B$297),0,(AU75-AU103)*IF('01_Вводные'!$B$239="Да",MeanMinAge23+AU205*SUMIF(ThresholdAge23,"&lt;"&amp;AU205,WeightedRevAge23)-SUMIF(ThresholdAge23,"&lt;"&amp;AU205,WeightedMinAge23),MAX(CapacityAge23*'01_Вводные'!$B$218*AU205,MeanMinAge23)))</f>
        <v/>
      </c>
      <c r="AV159" s="190">
        <f>IF(OR((AV75-AV103)=0,23&lt;='01_Вводные'!$B$297),0,(AV75-AV103)*IF('01_Вводные'!$B$239="Да",MeanMinAge23+AV205*SUMIF(ThresholdAge23,"&lt;"&amp;AV205,WeightedRevAge23)-SUMIF(ThresholdAge23,"&lt;"&amp;AV205,WeightedMinAge23),MAX(CapacityAge23*'01_Вводные'!$B$218*AV205,MeanMinAge23)))</f>
        <v/>
      </c>
      <c r="AW159" s="190">
        <f>IF(OR((AW75-AW103)=0,23&lt;='01_Вводные'!$B$297),0,(AW75-AW103)*IF('01_Вводные'!$B$239="Да",MeanMinAge23+AW205*SUMIF(ThresholdAge23,"&lt;"&amp;AW205,WeightedRevAge23)-SUMIF(ThresholdAge23,"&lt;"&amp;AW205,WeightedMinAge23),MAX(CapacityAge23*'01_Вводные'!$B$218*AW205,MeanMinAge23)))</f>
        <v/>
      </c>
      <c r="AX159" s="190">
        <f>IF(OR((AX75-AX103)=0,23&lt;='01_Вводные'!$B$297),0,(AX75-AX103)*IF('01_Вводные'!$B$239="Да",MeanMinAge23+AX205*SUMIF(ThresholdAge23,"&lt;"&amp;AX205,WeightedRevAge23)-SUMIF(ThresholdAge23,"&lt;"&amp;AX205,WeightedMinAge23),MAX(CapacityAge23*'01_Вводные'!$B$218*AX205,MeanMinAge23)))</f>
        <v/>
      </c>
      <c r="AY159" s="190">
        <f>IF(OR((AY75-AY103)=0,23&lt;='01_Вводные'!$B$297),0,(AY75-AY103)*IF('01_Вводные'!$B$239="Да",MeanMinAge23+AY205*SUMIF(ThresholdAge23,"&lt;"&amp;AY205,WeightedRevAge23)-SUMIF(ThresholdAge23,"&lt;"&amp;AY205,WeightedMinAge23),MAX(CapacityAge23*'01_Вводные'!$B$218*AY205,MeanMinAge23)))</f>
        <v/>
      </c>
      <c r="AZ159" s="190">
        <f>IF(OR((AZ75-AZ103)=0,23&lt;='01_Вводные'!$B$297),0,(AZ75-AZ103)*IF('01_Вводные'!$B$239="Да",MeanMinAge23+AZ205*SUMIF(ThresholdAge23,"&lt;"&amp;AZ205,WeightedRevAge23)-SUMIF(ThresholdAge23,"&lt;"&amp;AZ205,WeightedMinAge23),MAX(CapacityAge23*'01_Вводные'!$B$218*AZ205,MeanMinAge23)))</f>
        <v/>
      </c>
      <c r="BA159" s="190">
        <f>IF(OR((BA75-BA103)=0,23&lt;='01_Вводные'!$B$297),0,(BA75-BA103)*IF('01_Вводные'!$B$239="Да",MeanMinAge23+BA205*SUMIF(ThresholdAge23,"&lt;"&amp;BA205,WeightedRevAge23)-SUMIF(ThresholdAge23,"&lt;"&amp;BA205,WeightedMinAge23),MAX(CapacityAge23*'01_Вводные'!$B$218*BA205,MeanMinAge23)))</f>
        <v/>
      </c>
      <c r="BB159" s="190">
        <f>IF(OR((BB75-BB103)=0,23&lt;='01_Вводные'!$B$297),0,(BB75-BB103)*IF('01_Вводные'!$B$239="Да",MeanMinAge23+BB205*SUMIF(ThresholdAge23,"&lt;"&amp;BB205,WeightedRevAge23)-SUMIF(ThresholdAge23,"&lt;"&amp;BB205,WeightedMinAge23),MAX(CapacityAge23*'01_Вводные'!$B$218*BB205,MeanMinAge23)))</f>
        <v/>
      </c>
      <c r="BC159" s="190">
        <f>IF(OR((BC75-BC103)=0,23&lt;='01_Вводные'!$B$297),0,(BC75-BC103)*IF('01_Вводные'!$B$239="Да",MeanMinAge23+BC205*SUMIF(ThresholdAge23,"&lt;"&amp;BC205,WeightedRevAge23)-SUMIF(ThresholdAge23,"&lt;"&amp;BC205,WeightedMinAge23),MAX(CapacityAge23*'01_Вводные'!$B$218*BC205,MeanMinAge23)))</f>
        <v/>
      </c>
      <c r="BD159" s="190">
        <f>IF(OR((BD75-BD103)=0,23&lt;='01_Вводные'!$B$297),0,(BD75-BD103)*IF('01_Вводные'!$B$239="Да",MeanMinAge23+BD205*SUMIF(ThresholdAge23,"&lt;"&amp;BD205,WeightedRevAge23)-SUMIF(ThresholdAge23,"&lt;"&amp;BD205,WeightedMinAge23),MAX(CapacityAge23*'01_Вводные'!$B$218*BD205,MeanMinAge23)))</f>
        <v/>
      </c>
      <c r="BE159" s="190">
        <f>IF(OR((BE75-BE103)=0,23&lt;='01_Вводные'!$B$297),0,(BE75-BE103)*IF('01_Вводные'!$B$239="Да",MeanMinAge23+BE205*SUMIF(ThresholdAge23,"&lt;"&amp;BE205,WeightedRevAge23)-SUMIF(ThresholdAge23,"&lt;"&amp;BE205,WeightedMinAge23),MAX(CapacityAge23*'01_Вводные'!$B$218*BE205,MeanMinAge23)))</f>
        <v/>
      </c>
      <c r="BF159" s="190">
        <f>IF(OR((BF75-BF103)=0,23&lt;='01_Вводные'!$B$297),0,(BF75-BF103)*IF('01_Вводные'!$B$239="Да",MeanMinAge23+BF205*SUMIF(ThresholdAge23,"&lt;"&amp;BF205,WeightedRevAge23)-SUMIF(ThresholdAge23,"&lt;"&amp;BF205,WeightedMinAge23),MAX(CapacityAge23*'01_Вводные'!$B$218*BF205,MeanMinAge23)))</f>
        <v/>
      </c>
      <c r="BG159" s="190">
        <f>IF(OR((BG75-BG103)=0,23&lt;='01_Вводные'!$B$297),0,(BG75-BG103)*IF('01_Вводные'!$B$239="Да",MeanMinAge23+BG205*SUMIF(ThresholdAge23,"&lt;"&amp;BG205,WeightedRevAge23)-SUMIF(ThresholdAge23,"&lt;"&amp;BG205,WeightedMinAge23),MAX(CapacityAge23*'01_Вводные'!$B$218*BG205,MeanMinAge23)))</f>
        <v/>
      </c>
      <c r="BH159" s="190">
        <f>IF(OR((BH75-BH103)=0,23&lt;='01_Вводные'!$B$297),0,(BH75-BH103)*IF('01_Вводные'!$B$239="Да",MeanMinAge23+BH205*SUMIF(ThresholdAge23,"&lt;"&amp;BH205,WeightedRevAge23)-SUMIF(ThresholdAge23,"&lt;"&amp;BH205,WeightedMinAge23),MAX(CapacityAge23*'01_Вводные'!$B$218*BH205,MeanMinAge23)))</f>
        <v/>
      </c>
      <c r="BI159" s="190">
        <f>IF(OR((BI75-BI103)=0,23&lt;='01_Вводные'!$B$297),0,(BI75-BI103)*IF('01_Вводные'!$B$239="Да",MeanMinAge23+BI205*SUMIF(ThresholdAge23,"&lt;"&amp;BI205,WeightedRevAge23)-SUMIF(ThresholdAge23,"&lt;"&amp;BI205,WeightedMinAge23),MAX(CapacityAge23*'01_Вводные'!$B$218*BI205,MeanMinAge23)))</f>
        <v/>
      </c>
      <c r="BJ159" s="190">
        <f>IF(OR((BJ75-BJ103)=0,23&lt;='01_Вводные'!$B$297),0,(BJ75-BJ103)*IF('01_Вводные'!$B$239="Да",MeanMinAge23+BJ205*SUMIF(ThresholdAge23,"&lt;"&amp;BJ205,WeightedRevAge23)-SUMIF(ThresholdAge23,"&lt;"&amp;BJ205,WeightedMinAge23),MAX(CapacityAge23*'01_Вводные'!$B$218*BJ205,MeanMinAge23)))</f>
        <v/>
      </c>
      <c r="BK159" s="190">
        <f>IF(OR((BK75-BK103)=0,23&lt;='01_Вводные'!$B$297),0,(BK75-BK103)*IF('01_Вводные'!$B$239="Да",MeanMinAge23+BK205*SUMIF(ThresholdAge23,"&lt;"&amp;BK205,WeightedRevAge23)-SUMIF(ThresholdAge23,"&lt;"&amp;BK205,WeightedMinAge23),MAX(CapacityAge23*'01_Вводные'!$B$218*BK205,MeanMinAge23)))</f>
        <v/>
      </c>
      <c r="BL159" s="190">
        <f>IF(OR((BL75-BL103)=0,23&lt;='01_Вводные'!$B$297),0,(BL75-BL103)*IF('01_Вводные'!$B$239="Да",MeanMinAge23+BL205*SUMIF(ThresholdAge23,"&lt;"&amp;BL205,WeightedRevAge23)-SUMIF(ThresholdAge23,"&lt;"&amp;BL205,WeightedMinAge23),MAX(CapacityAge23*'01_Вводные'!$B$218*BL205,MeanMinAge23)))</f>
        <v/>
      </c>
      <c r="BM159" s="190">
        <f>IF(OR((BM75-BM103)=0,23&lt;='01_Вводные'!$B$297),0,(BM75-BM103)*IF('01_Вводные'!$B$239="Да",MeanMinAge23+BM205*SUMIF(ThresholdAge23,"&lt;"&amp;BM205,WeightedRevAge23)-SUMIF(ThresholdAge23,"&lt;"&amp;BM205,WeightedMinAge23),MAX(CapacityAge23*'01_Вводные'!$B$218*BM205,MeanMinAge23)))</f>
        <v/>
      </c>
      <c r="BN159" s="190">
        <f>IF(OR((BN75-BN103)=0,23&lt;='01_Вводные'!$B$297),0,(BN75-BN103)*IF('01_Вводные'!$B$239="Да",MeanMinAge23+BN205*SUMIF(ThresholdAge23,"&lt;"&amp;BN205,WeightedRevAge23)-SUMIF(ThresholdAge23,"&lt;"&amp;BN205,WeightedMinAge23),MAX(CapacityAge23*'01_Вводные'!$B$218*BN205,MeanMinAge23)))</f>
        <v/>
      </c>
      <c r="BO159" s="190">
        <f>IF(OR((BO75-BO103)=0,23&lt;='01_Вводные'!$B$297),0,(BO75-BO103)*IF('01_Вводные'!$B$239="Да",MeanMinAge23+BO205*SUMIF(ThresholdAge23,"&lt;"&amp;BO205,WeightedRevAge23)-SUMIF(ThresholdAge23,"&lt;"&amp;BO205,WeightedMinAge23),MAX(CapacityAge23*'01_Вводные'!$B$218*BO205,MeanMinAge23)))</f>
        <v/>
      </c>
    </row>
    <row r="160" hidden="1" outlineLevel="1">
      <c r="A160" t="inlineStr">
        <is>
          <t>24 мес.</t>
        </is>
      </c>
      <c r="B160" s="190">
        <f>IF(OR((B76-B104)=0,24&lt;='01_Вводные'!$B$297),0,(B76-B104)*IF('01_Вводные'!$B$239="Да",MeanMinAge24+B205*SUMIF(ThresholdAge24,"&lt;"&amp;B205,WeightedRevAge24)-SUMIF(ThresholdAge24,"&lt;"&amp;B205,WeightedMinAge24),MAX(CapacityAge24*'01_Вводные'!$B$218*B205,MeanMinAge24)))</f>
        <v/>
      </c>
      <c r="C160" s="190">
        <f>IF(OR((C76-C104)=0,24&lt;='01_Вводные'!$B$297),0,(C76-C104)*IF('01_Вводные'!$B$239="Да",MeanMinAge24+C205*SUMIF(ThresholdAge24,"&lt;"&amp;C205,WeightedRevAge24)-SUMIF(ThresholdAge24,"&lt;"&amp;C205,WeightedMinAge24),MAX(CapacityAge24*'01_Вводные'!$B$218*C205,MeanMinAge24)))</f>
        <v/>
      </c>
      <c r="D160" s="190">
        <f>IF(OR((D76-D104)=0,24&lt;='01_Вводные'!$B$297),0,(D76-D104)*IF('01_Вводные'!$B$239="Да",MeanMinAge24+D205*SUMIF(ThresholdAge24,"&lt;"&amp;D205,WeightedRevAge24)-SUMIF(ThresholdAge24,"&lt;"&amp;D205,WeightedMinAge24),MAX(CapacityAge24*'01_Вводные'!$B$218*D205,MeanMinAge24)))</f>
        <v/>
      </c>
      <c r="E160" s="190">
        <f>IF(OR((E76-E104)=0,24&lt;='01_Вводные'!$B$297),0,(E76-E104)*IF('01_Вводные'!$B$239="Да",MeanMinAge24+E205*SUMIF(ThresholdAge24,"&lt;"&amp;E205,WeightedRevAge24)-SUMIF(ThresholdAge24,"&lt;"&amp;E205,WeightedMinAge24),MAX(CapacityAge24*'01_Вводные'!$B$218*E205,MeanMinAge24)))</f>
        <v/>
      </c>
      <c r="F160" s="190">
        <f>IF(OR((F76-F104)=0,24&lt;='01_Вводные'!$B$297),0,(F76-F104)*IF('01_Вводные'!$B$239="Да",MeanMinAge24+F205*SUMIF(ThresholdAge24,"&lt;"&amp;F205,WeightedRevAge24)-SUMIF(ThresholdAge24,"&lt;"&amp;F205,WeightedMinAge24),MAX(CapacityAge24*'01_Вводные'!$B$218*F205,MeanMinAge24)))</f>
        <v/>
      </c>
      <c r="G160" s="190">
        <f>IF(OR((G76-G104)=0,24&lt;='01_Вводные'!$B$297),0,(G76-G104)*IF('01_Вводные'!$B$239="Да",MeanMinAge24+G205*SUMIF(ThresholdAge24,"&lt;"&amp;G205,WeightedRevAge24)-SUMIF(ThresholdAge24,"&lt;"&amp;G205,WeightedMinAge24),MAX(CapacityAge24*'01_Вводные'!$B$218*G205,MeanMinAge24)))</f>
        <v/>
      </c>
      <c r="H160" s="190">
        <f>IF(OR((H76-H104)=0,24&lt;='01_Вводные'!$B$297),0,(H76-H104)*IF('01_Вводные'!$B$239="Да",MeanMinAge24+H205*SUMIF(ThresholdAge24,"&lt;"&amp;H205,WeightedRevAge24)-SUMIF(ThresholdAge24,"&lt;"&amp;H205,WeightedMinAge24),MAX(CapacityAge24*'01_Вводные'!$B$218*H205,MeanMinAge24)))</f>
        <v/>
      </c>
      <c r="I160" s="190">
        <f>IF(OR((I76-I104)=0,24&lt;='01_Вводные'!$B$297),0,(I76-I104)*IF('01_Вводные'!$B$239="Да",MeanMinAge24+I205*SUMIF(ThresholdAge24,"&lt;"&amp;I205,WeightedRevAge24)-SUMIF(ThresholdAge24,"&lt;"&amp;I205,WeightedMinAge24),MAX(CapacityAge24*'01_Вводные'!$B$218*I205,MeanMinAge24)))</f>
        <v/>
      </c>
      <c r="J160" s="190">
        <f>IF(OR((J76-J104)=0,24&lt;='01_Вводные'!$B$297),0,(J76-J104)*IF('01_Вводные'!$B$239="Да",MeanMinAge24+J205*SUMIF(ThresholdAge24,"&lt;"&amp;J205,WeightedRevAge24)-SUMIF(ThresholdAge24,"&lt;"&amp;J205,WeightedMinAge24),MAX(CapacityAge24*'01_Вводные'!$B$218*J205,MeanMinAge24)))</f>
        <v/>
      </c>
      <c r="K160" s="190">
        <f>IF(OR((K76-K104)=0,24&lt;='01_Вводные'!$B$297),0,(K76-K104)*IF('01_Вводные'!$B$239="Да",MeanMinAge24+K205*SUMIF(ThresholdAge24,"&lt;"&amp;K205,WeightedRevAge24)-SUMIF(ThresholdAge24,"&lt;"&amp;K205,WeightedMinAge24),MAX(CapacityAge24*'01_Вводные'!$B$218*K205,MeanMinAge24)))</f>
        <v/>
      </c>
      <c r="L160" s="190">
        <f>IF(OR((L76-L104)=0,24&lt;='01_Вводные'!$B$297),0,(L76-L104)*IF('01_Вводные'!$B$239="Да",MeanMinAge24+L205*SUMIF(ThresholdAge24,"&lt;"&amp;L205,WeightedRevAge24)-SUMIF(ThresholdAge24,"&lt;"&amp;L205,WeightedMinAge24),MAX(CapacityAge24*'01_Вводные'!$B$218*L205,MeanMinAge24)))</f>
        <v/>
      </c>
      <c r="M160" s="190">
        <f>IF(OR((M76-M104)=0,24&lt;='01_Вводные'!$B$297),0,(M76-M104)*IF('01_Вводные'!$B$239="Да",MeanMinAge24+M205*SUMIF(ThresholdAge24,"&lt;"&amp;M205,WeightedRevAge24)-SUMIF(ThresholdAge24,"&lt;"&amp;M205,WeightedMinAge24),MAX(CapacityAge24*'01_Вводные'!$B$218*M205,MeanMinAge24)))</f>
        <v/>
      </c>
      <c r="N160" s="190">
        <f>IF(OR((N76-N104)=0,24&lt;='01_Вводные'!$B$297),0,(N76-N104)*IF('01_Вводные'!$B$239="Да",MeanMinAge24+N205*SUMIF(ThresholdAge24,"&lt;"&amp;N205,WeightedRevAge24)-SUMIF(ThresholdAge24,"&lt;"&amp;N205,WeightedMinAge24),MAX(CapacityAge24*'01_Вводные'!$B$218*N205,MeanMinAge24)))</f>
        <v/>
      </c>
      <c r="O160" s="190">
        <f>IF(OR((O76-O104)=0,24&lt;='01_Вводные'!$B$297),0,(O76-O104)*IF('01_Вводные'!$B$239="Да",MeanMinAge24+O205*SUMIF(ThresholdAge24,"&lt;"&amp;O205,WeightedRevAge24)-SUMIF(ThresholdAge24,"&lt;"&amp;O205,WeightedMinAge24),MAX(CapacityAge24*'01_Вводные'!$B$218*O205,MeanMinAge24)))</f>
        <v/>
      </c>
      <c r="P160" s="190">
        <f>IF(OR((P76-P104)=0,24&lt;='01_Вводные'!$B$297),0,(P76-P104)*IF('01_Вводные'!$B$239="Да",MeanMinAge24+P205*SUMIF(ThresholdAge24,"&lt;"&amp;P205,WeightedRevAge24)-SUMIF(ThresholdAge24,"&lt;"&amp;P205,WeightedMinAge24),MAX(CapacityAge24*'01_Вводные'!$B$218*P205,MeanMinAge24)))</f>
        <v/>
      </c>
      <c r="Q160" s="190">
        <f>IF(OR((Q76-Q104)=0,24&lt;='01_Вводные'!$B$297),0,(Q76-Q104)*IF('01_Вводные'!$B$239="Да",MeanMinAge24+Q205*SUMIF(ThresholdAge24,"&lt;"&amp;Q205,WeightedRevAge24)-SUMIF(ThresholdAge24,"&lt;"&amp;Q205,WeightedMinAge24),MAX(CapacityAge24*'01_Вводные'!$B$218*Q205,MeanMinAge24)))</f>
        <v/>
      </c>
      <c r="R160" s="190">
        <f>IF(OR((R76-R104)=0,24&lt;='01_Вводные'!$B$297),0,(R76-R104)*IF('01_Вводные'!$B$239="Да",MeanMinAge24+R205*SUMIF(ThresholdAge24,"&lt;"&amp;R205,WeightedRevAge24)-SUMIF(ThresholdAge24,"&lt;"&amp;R205,WeightedMinAge24),MAX(CapacityAge24*'01_Вводные'!$B$218*R205,MeanMinAge24)))</f>
        <v/>
      </c>
      <c r="S160" s="190">
        <f>IF(OR((S76-S104)=0,24&lt;='01_Вводные'!$B$297),0,(S76-S104)*IF('01_Вводные'!$B$239="Да",MeanMinAge24+S205*SUMIF(ThresholdAge24,"&lt;"&amp;S205,WeightedRevAge24)-SUMIF(ThresholdAge24,"&lt;"&amp;S205,WeightedMinAge24),MAX(CapacityAge24*'01_Вводные'!$B$218*S205,MeanMinAge24)))</f>
        <v/>
      </c>
      <c r="T160" s="190">
        <f>IF(OR((T76-T104)=0,24&lt;='01_Вводные'!$B$297),0,(T76-T104)*IF('01_Вводные'!$B$239="Да",MeanMinAge24+T205*SUMIF(ThresholdAge24,"&lt;"&amp;T205,WeightedRevAge24)-SUMIF(ThresholdAge24,"&lt;"&amp;T205,WeightedMinAge24),MAX(CapacityAge24*'01_Вводные'!$B$218*T205,MeanMinAge24)))</f>
        <v/>
      </c>
      <c r="U160" s="190">
        <f>IF(OR((U76-U104)=0,24&lt;='01_Вводные'!$B$297),0,(U76-U104)*IF('01_Вводные'!$B$239="Да",MeanMinAge24+U205*SUMIF(ThresholdAge24,"&lt;"&amp;U205,WeightedRevAge24)-SUMIF(ThresholdAge24,"&lt;"&amp;U205,WeightedMinAge24),MAX(CapacityAge24*'01_Вводные'!$B$218*U205,MeanMinAge24)))</f>
        <v/>
      </c>
      <c r="V160" s="190">
        <f>IF(OR((V76-V104)=0,24&lt;='01_Вводные'!$B$297),0,(V76-V104)*IF('01_Вводные'!$B$239="Да",MeanMinAge24+V205*SUMIF(ThresholdAge24,"&lt;"&amp;V205,WeightedRevAge24)-SUMIF(ThresholdAge24,"&lt;"&amp;V205,WeightedMinAge24),MAX(CapacityAge24*'01_Вводные'!$B$218*V205,MeanMinAge24)))</f>
        <v/>
      </c>
      <c r="W160" s="190">
        <f>IF(OR((W76-W104)=0,24&lt;='01_Вводные'!$B$297),0,(W76-W104)*IF('01_Вводные'!$B$239="Да",MeanMinAge24+W205*SUMIF(ThresholdAge24,"&lt;"&amp;W205,WeightedRevAge24)-SUMIF(ThresholdAge24,"&lt;"&amp;W205,WeightedMinAge24),MAX(CapacityAge24*'01_Вводные'!$B$218*W205,MeanMinAge24)))</f>
        <v/>
      </c>
      <c r="X160" s="190">
        <f>IF(OR((X76-X104)=0,24&lt;='01_Вводные'!$B$297),0,(X76-X104)*IF('01_Вводные'!$B$239="Да",MeanMinAge24+X205*SUMIF(ThresholdAge24,"&lt;"&amp;X205,WeightedRevAge24)-SUMIF(ThresholdAge24,"&lt;"&amp;X205,WeightedMinAge24),MAX(CapacityAge24*'01_Вводные'!$B$218*X205,MeanMinAge24)))</f>
        <v/>
      </c>
      <c r="Y160" s="190">
        <f>IF(OR((Y76-Y104)=0,24&lt;='01_Вводные'!$B$297),0,(Y76-Y104)*IF('01_Вводные'!$B$239="Да",MeanMinAge24+Y205*SUMIF(ThresholdAge24,"&lt;"&amp;Y205,WeightedRevAge24)-SUMIF(ThresholdAge24,"&lt;"&amp;Y205,WeightedMinAge24),MAX(CapacityAge24*'01_Вводные'!$B$218*Y205,MeanMinAge24)))</f>
        <v/>
      </c>
      <c r="Z160" s="190">
        <f>IF(OR((Z76-Z104)=0,24&lt;='01_Вводные'!$B$297),0,(Z76-Z104)*IF('01_Вводные'!$B$239="Да",MeanMinAge24+Z205*SUMIF(ThresholdAge24,"&lt;"&amp;Z205,WeightedRevAge24)-SUMIF(ThresholdAge24,"&lt;"&amp;Z205,WeightedMinAge24),MAX(CapacityAge24*'01_Вводные'!$B$218*Z205,MeanMinAge24)))</f>
        <v/>
      </c>
      <c r="AA160" s="190">
        <f>IF(OR((AA76-AA104)=0,24&lt;='01_Вводные'!$B$297),0,(AA76-AA104)*IF('01_Вводные'!$B$239="Да",MeanMinAge24+AA205*SUMIF(ThresholdAge24,"&lt;"&amp;AA205,WeightedRevAge24)-SUMIF(ThresholdAge24,"&lt;"&amp;AA205,WeightedMinAge24),MAX(CapacityAge24*'01_Вводные'!$B$218*AA205,MeanMinAge24)))</f>
        <v/>
      </c>
      <c r="AB160" s="190">
        <f>IF(OR((AB76-AB104)=0,24&lt;='01_Вводные'!$B$297),0,(AB76-AB104)*IF('01_Вводные'!$B$239="Да",MeanMinAge24+AB205*SUMIF(ThresholdAge24,"&lt;"&amp;AB205,WeightedRevAge24)-SUMIF(ThresholdAge24,"&lt;"&amp;AB205,WeightedMinAge24),MAX(CapacityAge24*'01_Вводные'!$B$218*AB205,MeanMinAge24)))</f>
        <v/>
      </c>
      <c r="AC160" s="190">
        <f>IF(OR((AC76-AC104)=0,24&lt;='01_Вводные'!$B$297),0,(AC76-AC104)*IF('01_Вводные'!$B$239="Да",MeanMinAge24+AC205*SUMIF(ThresholdAge24,"&lt;"&amp;AC205,WeightedRevAge24)-SUMIF(ThresholdAge24,"&lt;"&amp;AC205,WeightedMinAge24),MAX(CapacityAge24*'01_Вводные'!$B$218*AC205,MeanMinAge24)))</f>
        <v/>
      </c>
      <c r="AD160" s="190">
        <f>IF(OR((AD76-AD104)=0,24&lt;='01_Вводные'!$B$297),0,(AD76-AD104)*IF('01_Вводные'!$B$239="Да",MeanMinAge24+AD205*SUMIF(ThresholdAge24,"&lt;"&amp;AD205,WeightedRevAge24)-SUMIF(ThresholdAge24,"&lt;"&amp;AD205,WeightedMinAge24),MAX(CapacityAge24*'01_Вводные'!$B$218*AD205,MeanMinAge24)))</f>
        <v/>
      </c>
      <c r="AE160" s="190">
        <f>IF(OR((AE76-AE104)=0,24&lt;='01_Вводные'!$B$297),0,(AE76-AE104)*IF('01_Вводные'!$B$239="Да",MeanMinAge24+AE205*SUMIF(ThresholdAge24,"&lt;"&amp;AE205,WeightedRevAge24)-SUMIF(ThresholdAge24,"&lt;"&amp;AE205,WeightedMinAge24),MAX(CapacityAge24*'01_Вводные'!$B$218*AE205,MeanMinAge24)))</f>
        <v/>
      </c>
      <c r="AF160" s="190">
        <f>IF(OR((AF76-AF104)=0,24&lt;='01_Вводные'!$B$297),0,(AF76-AF104)*IF('01_Вводные'!$B$239="Да",MeanMinAge24+AF205*SUMIF(ThresholdAge24,"&lt;"&amp;AF205,WeightedRevAge24)-SUMIF(ThresholdAge24,"&lt;"&amp;AF205,WeightedMinAge24),MAX(CapacityAge24*'01_Вводные'!$B$218*AF205,MeanMinAge24)))</f>
        <v/>
      </c>
      <c r="AG160" s="190">
        <f>IF(OR((AG76-AG104)=0,24&lt;='01_Вводные'!$B$297),0,(AG76-AG104)*IF('01_Вводные'!$B$239="Да",MeanMinAge24+AG205*SUMIF(ThresholdAge24,"&lt;"&amp;AG205,WeightedRevAge24)-SUMIF(ThresholdAge24,"&lt;"&amp;AG205,WeightedMinAge24),MAX(CapacityAge24*'01_Вводные'!$B$218*AG205,MeanMinAge24)))</f>
        <v/>
      </c>
      <c r="AH160" s="190">
        <f>IF(OR((AH76-AH104)=0,24&lt;='01_Вводные'!$B$297),0,(AH76-AH104)*IF('01_Вводные'!$B$239="Да",MeanMinAge24+AH205*SUMIF(ThresholdAge24,"&lt;"&amp;AH205,WeightedRevAge24)-SUMIF(ThresholdAge24,"&lt;"&amp;AH205,WeightedMinAge24),MAX(CapacityAge24*'01_Вводные'!$B$218*AH205,MeanMinAge24)))</f>
        <v/>
      </c>
      <c r="AI160" s="190">
        <f>IF(OR((AI76-AI104)=0,24&lt;='01_Вводные'!$B$297),0,(AI76-AI104)*IF('01_Вводные'!$B$239="Да",MeanMinAge24+AI205*SUMIF(ThresholdAge24,"&lt;"&amp;AI205,WeightedRevAge24)-SUMIF(ThresholdAge24,"&lt;"&amp;AI205,WeightedMinAge24),MAX(CapacityAge24*'01_Вводные'!$B$218*AI205,MeanMinAge24)))</f>
        <v/>
      </c>
      <c r="AJ160" s="190">
        <f>IF(OR((AJ76-AJ104)=0,24&lt;='01_Вводные'!$B$297),0,(AJ76-AJ104)*IF('01_Вводные'!$B$239="Да",MeanMinAge24+AJ205*SUMIF(ThresholdAge24,"&lt;"&amp;AJ205,WeightedRevAge24)-SUMIF(ThresholdAge24,"&lt;"&amp;AJ205,WeightedMinAge24),MAX(CapacityAge24*'01_Вводные'!$B$218*AJ205,MeanMinAge24)))</f>
        <v/>
      </c>
      <c r="AK160" s="190">
        <f>IF(OR((AK76-AK104)=0,24&lt;='01_Вводные'!$B$297),0,(AK76-AK104)*IF('01_Вводные'!$B$239="Да",MeanMinAge24+AK205*SUMIF(ThresholdAge24,"&lt;"&amp;AK205,WeightedRevAge24)-SUMIF(ThresholdAge24,"&lt;"&amp;AK205,WeightedMinAge24),MAX(CapacityAge24*'01_Вводные'!$B$218*AK205,MeanMinAge24)))</f>
        <v/>
      </c>
      <c r="AL160" s="190">
        <f>IF(OR((AL76-AL104)=0,24&lt;='01_Вводные'!$B$297),0,(AL76-AL104)*IF('01_Вводные'!$B$239="Да",MeanMinAge24+AL205*SUMIF(ThresholdAge24,"&lt;"&amp;AL205,WeightedRevAge24)-SUMIF(ThresholdAge24,"&lt;"&amp;AL205,WeightedMinAge24),MAX(CapacityAge24*'01_Вводные'!$B$218*AL205,MeanMinAge24)))</f>
        <v/>
      </c>
      <c r="AM160" s="190">
        <f>IF(OR((AM76-AM104)=0,24&lt;='01_Вводные'!$B$297),0,(AM76-AM104)*IF('01_Вводные'!$B$239="Да",MeanMinAge24+AM205*SUMIF(ThresholdAge24,"&lt;"&amp;AM205,WeightedRevAge24)-SUMIF(ThresholdAge24,"&lt;"&amp;AM205,WeightedMinAge24),MAX(CapacityAge24*'01_Вводные'!$B$218*AM205,MeanMinAge24)))</f>
        <v/>
      </c>
      <c r="AN160" s="190">
        <f>IF(OR((AN76-AN104)=0,24&lt;='01_Вводные'!$B$297),0,(AN76-AN104)*IF('01_Вводные'!$B$239="Да",MeanMinAge24+AN205*SUMIF(ThresholdAge24,"&lt;"&amp;AN205,WeightedRevAge24)-SUMIF(ThresholdAge24,"&lt;"&amp;AN205,WeightedMinAge24),MAX(CapacityAge24*'01_Вводные'!$B$218*AN205,MeanMinAge24)))</f>
        <v/>
      </c>
      <c r="AO160" s="190">
        <f>IF(OR((AO76-AO104)=0,24&lt;='01_Вводные'!$B$297),0,(AO76-AO104)*IF('01_Вводные'!$B$239="Да",MeanMinAge24+AO205*SUMIF(ThresholdAge24,"&lt;"&amp;AO205,WeightedRevAge24)-SUMIF(ThresholdAge24,"&lt;"&amp;AO205,WeightedMinAge24),MAX(CapacityAge24*'01_Вводные'!$B$218*AO205,MeanMinAge24)))</f>
        <v/>
      </c>
      <c r="AP160" s="190">
        <f>IF(OR((AP76-AP104)=0,24&lt;='01_Вводные'!$B$297),0,(AP76-AP104)*IF('01_Вводные'!$B$239="Да",MeanMinAge24+AP205*SUMIF(ThresholdAge24,"&lt;"&amp;AP205,WeightedRevAge24)-SUMIF(ThresholdAge24,"&lt;"&amp;AP205,WeightedMinAge24),MAX(CapacityAge24*'01_Вводные'!$B$218*AP205,MeanMinAge24)))</f>
        <v/>
      </c>
      <c r="AQ160" s="190">
        <f>IF(OR((AQ76-AQ104)=0,24&lt;='01_Вводные'!$B$297),0,(AQ76-AQ104)*IF('01_Вводные'!$B$239="Да",MeanMinAge24+AQ205*SUMIF(ThresholdAge24,"&lt;"&amp;AQ205,WeightedRevAge24)-SUMIF(ThresholdAge24,"&lt;"&amp;AQ205,WeightedMinAge24),MAX(CapacityAge24*'01_Вводные'!$B$218*AQ205,MeanMinAge24)))</f>
        <v/>
      </c>
      <c r="AR160" s="190">
        <f>IF(OR((AR76-AR104)=0,24&lt;='01_Вводные'!$B$297),0,(AR76-AR104)*IF('01_Вводные'!$B$239="Да",MeanMinAge24+AR205*SUMIF(ThresholdAge24,"&lt;"&amp;AR205,WeightedRevAge24)-SUMIF(ThresholdAge24,"&lt;"&amp;AR205,WeightedMinAge24),MAX(CapacityAge24*'01_Вводные'!$B$218*AR205,MeanMinAge24)))</f>
        <v/>
      </c>
      <c r="AS160" s="190">
        <f>IF(OR((AS76-AS104)=0,24&lt;='01_Вводные'!$B$297),0,(AS76-AS104)*IF('01_Вводные'!$B$239="Да",MeanMinAge24+AS205*SUMIF(ThresholdAge24,"&lt;"&amp;AS205,WeightedRevAge24)-SUMIF(ThresholdAge24,"&lt;"&amp;AS205,WeightedMinAge24),MAX(CapacityAge24*'01_Вводные'!$B$218*AS205,MeanMinAge24)))</f>
        <v/>
      </c>
      <c r="AT160" s="190">
        <f>IF(OR((AT76-AT104)=0,24&lt;='01_Вводные'!$B$297),0,(AT76-AT104)*IF('01_Вводные'!$B$239="Да",MeanMinAge24+AT205*SUMIF(ThresholdAge24,"&lt;"&amp;AT205,WeightedRevAge24)-SUMIF(ThresholdAge24,"&lt;"&amp;AT205,WeightedMinAge24),MAX(CapacityAge24*'01_Вводные'!$B$218*AT205,MeanMinAge24)))</f>
        <v/>
      </c>
      <c r="AU160" s="190">
        <f>IF(OR((AU76-AU104)=0,24&lt;='01_Вводные'!$B$297),0,(AU76-AU104)*IF('01_Вводные'!$B$239="Да",MeanMinAge24+AU205*SUMIF(ThresholdAge24,"&lt;"&amp;AU205,WeightedRevAge24)-SUMIF(ThresholdAge24,"&lt;"&amp;AU205,WeightedMinAge24),MAX(CapacityAge24*'01_Вводные'!$B$218*AU205,MeanMinAge24)))</f>
        <v/>
      </c>
      <c r="AV160" s="190">
        <f>IF(OR((AV76-AV104)=0,24&lt;='01_Вводные'!$B$297),0,(AV76-AV104)*IF('01_Вводные'!$B$239="Да",MeanMinAge24+AV205*SUMIF(ThresholdAge24,"&lt;"&amp;AV205,WeightedRevAge24)-SUMIF(ThresholdAge24,"&lt;"&amp;AV205,WeightedMinAge24),MAX(CapacityAge24*'01_Вводные'!$B$218*AV205,MeanMinAge24)))</f>
        <v/>
      </c>
      <c r="AW160" s="190">
        <f>IF(OR((AW76-AW104)=0,24&lt;='01_Вводные'!$B$297),0,(AW76-AW104)*IF('01_Вводные'!$B$239="Да",MeanMinAge24+AW205*SUMIF(ThresholdAge24,"&lt;"&amp;AW205,WeightedRevAge24)-SUMIF(ThresholdAge24,"&lt;"&amp;AW205,WeightedMinAge24),MAX(CapacityAge24*'01_Вводные'!$B$218*AW205,MeanMinAge24)))</f>
        <v/>
      </c>
      <c r="AX160" s="190">
        <f>IF(OR((AX76-AX104)=0,24&lt;='01_Вводные'!$B$297),0,(AX76-AX104)*IF('01_Вводные'!$B$239="Да",MeanMinAge24+AX205*SUMIF(ThresholdAge24,"&lt;"&amp;AX205,WeightedRevAge24)-SUMIF(ThresholdAge24,"&lt;"&amp;AX205,WeightedMinAge24),MAX(CapacityAge24*'01_Вводные'!$B$218*AX205,MeanMinAge24)))</f>
        <v/>
      </c>
      <c r="AY160" s="190">
        <f>IF(OR((AY76-AY104)=0,24&lt;='01_Вводные'!$B$297),0,(AY76-AY104)*IF('01_Вводные'!$B$239="Да",MeanMinAge24+AY205*SUMIF(ThresholdAge24,"&lt;"&amp;AY205,WeightedRevAge24)-SUMIF(ThresholdAge24,"&lt;"&amp;AY205,WeightedMinAge24),MAX(CapacityAge24*'01_Вводные'!$B$218*AY205,MeanMinAge24)))</f>
        <v/>
      </c>
      <c r="AZ160" s="190">
        <f>IF(OR((AZ76-AZ104)=0,24&lt;='01_Вводные'!$B$297),0,(AZ76-AZ104)*IF('01_Вводные'!$B$239="Да",MeanMinAge24+AZ205*SUMIF(ThresholdAge24,"&lt;"&amp;AZ205,WeightedRevAge24)-SUMIF(ThresholdAge24,"&lt;"&amp;AZ205,WeightedMinAge24),MAX(CapacityAge24*'01_Вводные'!$B$218*AZ205,MeanMinAge24)))</f>
        <v/>
      </c>
      <c r="BA160" s="190">
        <f>IF(OR((BA76-BA104)=0,24&lt;='01_Вводные'!$B$297),0,(BA76-BA104)*IF('01_Вводные'!$B$239="Да",MeanMinAge24+BA205*SUMIF(ThresholdAge24,"&lt;"&amp;BA205,WeightedRevAge24)-SUMIF(ThresholdAge24,"&lt;"&amp;BA205,WeightedMinAge24),MAX(CapacityAge24*'01_Вводные'!$B$218*BA205,MeanMinAge24)))</f>
        <v/>
      </c>
      <c r="BB160" s="190">
        <f>IF(OR((BB76-BB104)=0,24&lt;='01_Вводные'!$B$297),0,(BB76-BB104)*IF('01_Вводные'!$B$239="Да",MeanMinAge24+BB205*SUMIF(ThresholdAge24,"&lt;"&amp;BB205,WeightedRevAge24)-SUMIF(ThresholdAge24,"&lt;"&amp;BB205,WeightedMinAge24),MAX(CapacityAge24*'01_Вводные'!$B$218*BB205,MeanMinAge24)))</f>
        <v/>
      </c>
      <c r="BC160" s="190">
        <f>IF(OR((BC76-BC104)=0,24&lt;='01_Вводные'!$B$297),0,(BC76-BC104)*IF('01_Вводные'!$B$239="Да",MeanMinAge24+BC205*SUMIF(ThresholdAge24,"&lt;"&amp;BC205,WeightedRevAge24)-SUMIF(ThresholdAge24,"&lt;"&amp;BC205,WeightedMinAge24),MAX(CapacityAge24*'01_Вводные'!$B$218*BC205,MeanMinAge24)))</f>
        <v/>
      </c>
      <c r="BD160" s="190">
        <f>IF(OR((BD76-BD104)=0,24&lt;='01_Вводные'!$B$297),0,(BD76-BD104)*IF('01_Вводные'!$B$239="Да",MeanMinAge24+BD205*SUMIF(ThresholdAge24,"&lt;"&amp;BD205,WeightedRevAge24)-SUMIF(ThresholdAge24,"&lt;"&amp;BD205,WeightedMinAge24),MAX(CapacityAge24*'01_Вводные'!$B$218*BD205,MeanMinAge24)))</f>
        <v/>
      </c>
      <c r="BE160" s="190">
        <f>IF(OR((BE76-BE104)=0,24&lt;='01_Вводные'!$B$297),0,(BE76-BE104)*IF('01_Вводные'!$B$239="Да",MeanMinAge24+BE205*SUMIF(ThresholdAge24,"&lt;"&amp;BE205,WeightedRevAge24)-SUMIF(ThresholdAge24,"&lt;"&amp;BE205,WeightedMinAge24),MAX(CapacityAge24*'01_Вводные'!$B$218*BE205,MeanMinAge24)))</f>
        <v/>
      </c>
      <c r="BF160" s="190">
        <f>IF(OR((BF76-BF104)=0,24&lt;='01_Вводные'!$B$297),0,(BF76-BF104)*IF('01_Вводные'!$B$239="Да",MeanMinAge24+BF205*SUMIF(ThresholdAge24,"&lt;"&amp;BF205,WeightedRevAge24)-SUMIF(ThresholdAge24,"&lt;"&amp;BF205,WeightedMinAge24),MAX(CapacityAge24*'01_Вводные'!$B$218*BF205,MeanMinAge24)))</f>
        <v/>
      </c>
      <c r="BG160" s="190">
        <f>IF(OR((BG76-BG104)=0,24&lt;='01_Вводные'!$B$297),0,(BG76-BG104)*IF('01_Вводные'!$B$239="Да",MeanMinAge24+BG205*SUMIF(ThresholdAge24,"&lt;"&amp;BG205,WeightedRevAge24)-SUMIF(ThresholdAge24,"&lt;"&amp;BG205,WeightedMinAge24),MAX(CapacityAge24*'01_Вводные'!$B$218*BG205,MeanMinAge24)))</f>
        <v/>
      </c>
      <c r="BH160" s="190">
        <f>IF(OR((BH76-BH104)=0,24&lt;='01_Вводные'!$B$297),0,(BH76-BH104)*IF('01_Вводные'!$B$239="Да",MeanMinAge24+BH205*SUMIF(ThresholdAge24,"&lt;"&amp;BH205,WeightedRevAge24)-SUMIF(ThresholdAge24,"&lt;"&amp;BH205,WeightedMinAge24),MAX(CapacityAge24*'01_Вводные'!$B$218*BH205,MeanMinAge24)))</f>
        <v/>
      </c>
      <c r="BI160" s="190">
        <f>IF(OR((BI76-BI104)=0,24&lt;='01_Вводные'!$B$297),0,(BI76-BI104)*IF('01_Вводные'!$B$239="Да",MeanMinAge24+BI205*SUMIF(ThresholdAge24,"&lt;"&amp;BI205,WeightedRevAge24)-SUMIF(ThresholdAge24,"&lt;"&amp;BI205,WeightedMinAge24),MAX(CapacityAge24*'01_Вводные'!$B$218*BI205,MeanMinAge24)))</f>
        <v/>
      </c>
      <c r="BJ160" s="190">
        <f>IF(OR((BJ76-BJ104)=0,24&lt;='01_Вводные'!$B$297),0,(BJ76-BJ104)*IF('01_Вводные'!$B$239="Да",MeanMinAge24+BJ205*SUMIF(ThresholdAge24,"&lt;"&amp;BJ205,WeightedRevAge24)-SUMIF(ThresholdAge24,"&lt;"&amp;BJ205,WeightedMinAge24),MAX(CapacityAge24*'01_Вводные'!$B$218*BJ205,MeanMinAge24)))</f>
        <v/>
      </c>
      <c r="BK160" s="190">
        <f>IF(OR((BK76-BK104)=0,24&lt;='01_Вводные'!$B$297),0,(BK76-BK104)*IF('01_Вводные'!$B$239="Да",MeanMinAge24+BK205*SUMIF(ThresholdAge24,"&lt;"&amp;BK205,WeightedRevAge24)-SUMIF(ThresholdAge24,"&lt;"&amp;BK205,WeightedMinAge24),MAX(CapacityAge24*'01_Вводные'!$B$218*BK205,MeanMinAge24)))</f>
        <v/>
      </c>
      <c r="BL160" s="190">
        <f>IF(OR((BL76-BL104)=0,24&lt;='01_Вводные'!$B$297),0,(BL76-BL104)*IF('01_Вводные'!$B$239="Да",MeanMinAge24+BL205*SUMIF(ThresholdAge24,"&lt;"&amp;BL205,WeightedRevAge24)-SUMIF(ThresholdAge24,"&lt;"&amp;BL205,WeightedMinAge24),MAX(CapacityAge24*'01_Вводные'!$B$218*BL205,MeanMinAge24)))</f>
        <v/>
      </c>
      <c r="BM160" s="190">
        <f>IF(OR((BM76-BM104)=0,24&lt;='01_Вводные'!$B$297),0,(BM76-BM104)*IF('01_Вводные'!$B$239="Да",MeanMinAge24+BM205*SUMIF(ThresholdAge24,"&lt;"&amp;BM205,WeightedRevAge24)-SUMIF(ThresholdAge24,"&lt;"&amp;BM205,WeightedMinAge24),MAX(CapacityAge24*'01_Вводные'!$B$218*BM205,MeanMinAge24)))</f>
        <v/>
      </c>
      <c r="BN160" s="190">
        <f>IF(OR((BN76-BN104)=0,24&lt;='01_Вводные'!$B$297),0,(BN76-BN104)*IF('01_Вводные'!$B$239="Да",MeanMinAge24+BN205*SUMIF(ThresholdAge24,"&lt;"&amp;BN205,WeightedRevAge24)-SUMIF(ThresholdAge24,"&lt;"&amp;BN205,WeightedMinAge24),MAX(CapacityAge24*'01_Вводные'!$B$218*BN205,MeanMinAge24)))</f>
        <v/>
      </c>
      <c r="BO160" s="190">
        <f>IF(OR((BO76-BO104)=0,24&lt;='01_Вводные'!$B$297),0,(BO76-BO104)*IF('01_Вводные'!$B$239="Да",MeanMinAge24+BO205*SUMIF(ThresholdAge24,"&lt;"&amp;BO205,WeightedRevAge24)-SUMIF(ThresholdAge24,"&lt;"&amp;BO205,WeightedMinAge24),MAX(CapacityAge24*'01_Вводные'!$B$218*BO205,MeanMinAge24)))</f>
        <v/>
      </c>
    </row>
    <row r="161" hidden="1" outlineLevel="1">
      <c r="A161" t="inlineStr">
        <is>
          <t>25+ мес.</t>
        </is>
      </c>
      <c r="B161" s="190">
        <f>IF(OR((B77-B105)=0,25&lt;='01_Вводные'!$B$297),0,(B77-B105)*IF('01_Вводные'!$B$239="Да",MeanMinAge25+B205*SUMIF(ThresholdAge25,"&lt;"&amp;B205,WeightedRevAge25)-SUMIF(ThresholdAge25,"&lt;"&amp;B205,WeightedMinAge25),MAX(CapacityAge25*'01_Вводные'!$B$218*B205,MeanMinAge25)))</f>
        <v/>
      </c>
      <c r="C161" s="190">
        <f>IF(OR((C77-C105)=0,25&lt;='01_Вводные'!$B$297),0,(C77-C105)*IF('01_Вводные'!$B$239="Да",MeanMinAge25+C205*SUMIF(ThresholdAge25,"&lt;"&amp;C205,WeightedRevAge25)-SUMIF(ThresholdAge25,"&lt;"&amp;C205,WeightedMinAge25),MAX(CapacityAge25*'01_Вводные'!$B$218*C205,MeanMinAge25)))</f>
        <v/>
      </c>
      <c r="D161" s="190">
        <f>IF(OR((D77-D105)=0,25&lt;='01_Вводные'!$B$297),0,(D77-D105)*IF('01_Вводные'!$B$239="Да",MeanMinAge25+D205*SUMIF(ThresholdAge25,"&lt;"&amp;D205,WeightedRevAge25)-SUMIF(ThresholdAge25,"&lt;"&amp;D205,WeightedMinAge25),MAX(CapacityAge25*'01_Вводные'!$B$218*D205,MeanMinAge25)))</f>
        <v/>
      </c>
      <c r="E161" s="190">
        <f>IF(OR((E77-E105)=0,25&lt;='01_Вводные'!$B$297),0,(E77-E105)*IF('01_Вводные'!$B$239="Да",MeanMinAge25+E205*SUMIF(ThresholdAge25,"&lt;"&amp;E205,WeightedRevAge25)-SUMIF(ThresholdAge25,"&lt;"&amp;E205,WeightedMinAge25),MAX(CapacityAge25*'01_Вводные'!$B$218*E205,MeanMinAge25)))</f>
        <v/>
      </c>
      <c r="F161" s="190">
        <f>IF(OR((F77-F105)=0,25&lt;='01_Вводные'!$B$297),0,(F77-F105)*IF('01_Вводные'!$B$239="Да",MeanMinAge25+F205*SUMIF(ThresholdAge25,"&lt;"&amp;F205,WeightedRevAge25)-SUMIF(ThresholdAge25,"&lt;"&amp;F205,WeightedMinAge25),MAX(CapacityAge25*'01_Вводные'!$B$218*F205,MeanMinAge25)))</f>
        <v/>
      </c>
      <c r="G161" s="190">
        <f>IF(OR((G77-G105)=0,25&lt;='01_Вводные'!$B$297),0,(G77-G105)*IF('01_Вводные'!$B$239="Да",MeanMinAge25+G205*SUMIF(ThresholdAge25,"&lt;"&amp;G205,WeightedRevAge25)-SUMIF(ThresholdAge25,"&lt;"&amp;G205,WeightedMinAge25),MAX(CapacityAge25*'01_Вводные'!$B$218*G205,MeanMinAge25)))</f>
        <v/>
      </c>
      <c r="H161" s="190">
        <f>IF(OR((H77-H105)=0,25&lt;='01_Вводные'!$B$297),0,(H77-H105)*IF('01_Вводные'!$B$239="Да",MeanMinAge25+H205*SUMIF(ThresholdAge25,"&lt;"&amp;H205,WeightedRevAge25)-SUMIF(ThresholdAge25,"&lt;"&amp;H205,WeightedMinAge25),MAX(CapacityAge25*'01_Вводные'!$B$218*H205,MeanMinAge25)))</f>
        <v/>
      </c>
      <c r="I161" s="190">
        <f>IF(OR((I77-I105)=0,25&lt;='01_Вводные'!$B$297),0,(I77-I105)*IF('01_Вводные'!$B$239="Да",MeanMinAge25+I205*SUMIF(ThresholdAge25,"&lt;"&amp;I205,WeightedRevAge25)-SUMIF(ThresholdAge25,"&lt;"&amp;I205,WeightedMinAge25),MAX(CapacityAge25*'01_Вводные'!$B$218*I205,MeanMinAge25)))</f>
        <v/>
      </c>
      <c r="J161" s="190">
        <f>IF(OR((J77-J105)=0,25&lt;='01_Вводные'!$B$297),0,(J77-J105)*IF('01_Вводные'!$B$239="Да",MeanMinAge25+J205*SUMIF(ThresholdAge25,"&lt;"&amp;J205,WeightedRevAge25)-SUMIF(ThresholdAge25,"&lt;"&amp;J205,WeightedMinAge25),MAX(CapacityAge25*'01_Вводные'!$B$218*J205,MeanMinAge25)))</f>
        <v/>
      </c>
      <c r="K161" s="190">
        <f>IF(OR((K77-K105)=0,25&lt;='01_Вводные'!$B$297),0,(K77-K105)*IF('01_Вводные'!$B$239="Да",MeanMinAge25+K205*SUMIF(ThresholdAge25,"&lt;"&amp;K205,WeightedRevAge25)-SUMIF(ThresholdAge25,"&lt;"&amp;K205,WeightedMinAge25),MAX(CapacityAge25*'01_Вводные'!$B$218*K205,MeanMinAge25)))</f>
        <v/>
      </c>
      <c r="L161" s="190">
        <f>IF(OR((L77-L105)=0,25&lt;='01_Вводные'!$B$297),0,(L77-L105)*IF('01_Вводные'!$B$239="Да",MeanMinAge25+L205*SUMIF(ThresholdAge25,"&lt;"&amp;L205,WeightedRevAge25)-SUMIF(ThresholdAge25,"&lt;"&amp;L205,WeightedMinAge25),MAX(CapacityAge25*'01_Вводные'!$B$218*L205,MeanMinAge25)))</f>
        <v/>
      </c>
      <c r="M161" s="190">
        <f>IF(OR((M77-M105)=0,25&lt;='01_Вводные'!$B$297),0,(M77-M105)*IF('01_Вводные'!$B$239="Да",MeanMinAge25+M205*SUMIF(ThresholdAge25,"&lt;"&amp;M205,WeightedRevAge25)-SUMIF(ThresholdAge25,"&lt;"&amp;M205,WeightedMinAge25),MAX(CapacityAge25*'01_Вводные'!$B$218*M205,MeanMinAge25)))</f>
        <v/>
      </c>
      <c r="N161" s="190">
        <f>IF(OR((N77-N105)=0,25&lt;='01_Вводные'!$B$297),0,(N77-N105)*IF('01_Вводные'!$B$239="Да",MeanMinAge25+N205*SUMIF(ThresholdAge25,"&lt;"&amp;N205,WeightedRevAge25)-SUMIF(ThresholdAge25,"&lt;"&amp;N205,WeightedMinAge25),MAX(CapacityAge25*'01_Вводные'!$B$218*N205,MeanMinAge25)))</f>
        <v/>
      </c>
      <c r="O161" s="190">
        <f>IF(OR((O77-O105)=0,25&lt;='01_Вводные'!$B$297),0,(O77-O105)*IF('01_Вводные'!$B$239="Да",MeanMinAge25+O205*SUMIF(ThresholdAge25,"&lt;"&amp;O205,WeightedRevAge25)-SUMIF(ThresholdAge25,"&lt;"&amp;O205,WeightedMinAge25),MAX(CapacityAge25*'01_Вводные'!$B$218*O205,MeanMinAge25)))</f>
        <v/>
      </c>
      <c r="P161" s="190">
        <f>IF(OR((P77-P105)=0,25&lt;='01_Вводные'!$B$297),0,(P77-P105)*IF('01_Вводные'!$B$239="Да",MeanMinAge25+P205*SUMIF(ThresholdAge25,"&lt;"&amp;P205,WeightedRevAge25)-SUMIF(ThresholdAge25,"&lt;"&amp;P205,WeightedMinAge25),MAX(CapacityAge25*'01_Вводные'!$B$218*P205,MeanMinAge25)))</f>
        <v/>
      </c>
      <c r="Q161" s="190">
        <f>IF(OR((Q77-Q105)=0,25&lt;='01_Вводные'!$B$297),0,(Q77-Q105)*IF('01_Вводные'!$B$239="Да",MeanMinAge25+Q205*SUMIF(ThresholdAge25,"&lt;"&amp;Q205,WeightedRevAge25)-SUMIF(ThresholdAge25,"&lt;"&amp;Q205,WeightedMinAge25),MAX(CapacityAge25*'01_Вводные'!$B$218*Q205,MeanMinAge25)))</f>
        <v/>
      </c>
      <c r="R161" s="190">
        <f>IF(OR((R77-R105)=0,25&lt;='01_Вводные'!$B$297),0,(R77-R105)*IF('01_Вводные'!$B$239="Да",MeanMinAge25+R205*SUMIF(ThresholdAge25,"&lt;"&amp;R205,WeightedRevAge25)-SUMIF(ThresholdAge25,"&lt;"&amp;R205,WeightedMinAge25),MAX(CapacityAge25*'01_Вводные'!$B$218*R205,MeanMinAge25)))</f>
        <v/>
      </c>
      <c r="S161" s="190">
        <f>IF(OR((S77-S105)=0,25&lt;='01_Вводные'!$B$297),0,(S77-S105)*IF('01_Вводные'!$B$239="Да",MeanMinAge25+S205*SUMIF(ThresholdAge25,"&lt;"&amp;S205,WeightedRevAge25)-SUMIF(ThresholdAge25,"&lt;"&amp;S205,WeightedMinAge25),MAX(CapacityAge25*'01_Вводные'!$B$218*S205,MeanMinAge25)))</f>
        <v/>
      </c>
      <c r="T161" s="190">
        <f>IF(OR((T77-T105)=0,25&lt;='01_Вводные'!$B$297),0,(T77-T105)*IF('01_Вводные'!$B$239="Да",MeanMinAge25+T205*SUMIF(ThresholdAge25,"&lt;"&amp;T205,WeightedRevAge25)-SUMIF(ThresholdAge25,"&lt;"&amp;T205,WeightedMinAge25),MAX(CapacityAge25*'01_Вводные'!$B$218*T205,MeanMinAge25)))</f>
        <v/>
      </c>
      <c r="U161" s="190">
        <f>IF(OR((U77-U105)=0,25&lt;='01_Вводные'!$B$297),0,(U77-U105)*IF('01_Вводные'!$B$239="Да",MeanMinAge25+U205*SUMIF(ThresholdAge25,"&lt;"&amp;U205,WeightedRevAge25)-SUMIF(ThresholdAge25,"&lt;"&amp;U205,WeightedMinAge25),MAX(CapacityAge25*'01_Вводные'!$B$218*U205,MeanMinAge25)))</f>
        <v/>
      </c>
      <c r="V161" s="190">
        <f>IF(OR((V77-V105)=0,25&lt;='01_Вводные'!$B$297),0,(V77-V105)*IF('01_Вводные'!$B$239="Да",MeanMinAge25+V205*SUMIF(ThresholdAge25,"&lt;"&amp;V205,WeightedRevAge25)-SUMIF(ThresholdAge25,"&lt;"&amp;V205,WeightedMinAge25),MAX(CapacityAge25*'01_Вводные'!$B$218*V205,MeanMinAge25)))</f>
        <v/>
      </c>
      <c r="W161" s="190">
        <f>IF(OR((W77-W105)=0,25&lt;='01_Вводные'!$B$297),0,(W77-W105)*IF('01_Вводные'!$B$239="Да",MeanMinAge25+W205*SUMIF(ThresholdAge25,"&lt;"&amp;W205,WeightedRevAge25)-SUMIF(ThresholdAge25,"&lt;"&amp;W205,WeightedMinAge25),MAX(CapacityAge25*'01_Вводные'!$B$218*W205,MeanMinAge25)))</f>
        <v/>
      </c>
      <c r="X161" s="190">
        <f>IF(OR((X77-X105)=0,25&lt;='01_Вводные'!$B$297),0,(X77-X105)*IF('01_Вводные'!$B$239="Да",MeanMinAge25+X205*SUMIF(ThresholdAge25,"&lt;"&amp;X205,WeightedRevAge25)-SUMIF(ThresholdAge25,"&lt;"&amp;X205,WeightedMinAge25),MAX(CapacityAge25*'01_Вводные'!$B$218*X205,MeanMinAge25)))</f>
        <v/>
      </c>
      <c r="Y161" s="190">
        <f>IF(OR((Y77-Y105)=0,25&lt;='01_Вводные'!$B$297),0,(Y77-Y105)*IF('01_Вводные'!$B$239="Да",MeanMinAge25+Y205*SUMIF(ThresholdAge25,"&lt;"&amp;Y205,WeightedRevAge25)-SUMIF(ThresholdAge25,"&lt;"&amp;Y205,WeightedMinAge25),MAX(CapacityAge25*'01_Вводные'!$B$218*Y205,MeanMinAge25)))</f>
        <v/>
      </c>
      <c r="Z161" s="190">
        <f>IF(OR((Z77-Z105)=0,25&lt;='01_Вводные'!$B$297),0,(Z77-Z105)*IF('01_Вводные'!$B$239="Да",MeanMinAge25+Z205*SUMIF(ThresholdAge25,"&lt;"&amp;Z205,WeightedRevAge25)-SUMIF(ThresholdAge25,"&lt;"&amp;Z205,WeightedMinAge25),MAX(CapacityAge25*'01_Вводные'!$B$218*Z205,MeanMinAge25)))</f>
        <v/>
      </c>
      <c r="AA161" s="190">
        <f>IF(OR((AA77-AA105)=0,25&lt;='01_Вводные'!$B$297),0,(AA77-AA105)*IF('01_Вводные'!$B$239="Да",MeanMinAge25+AA205*SUMIF(ThresholdAge25,"&lt;"&amp;AA205,WeightedRevAge25)-SUMIF(ThresholdAge25,"&lt;"&amp;AA205,WeightedMinAge25),MAX(CapacityAge25*'01_Вводные'!$B$218*AA205,MeanMinAge25)))</f>
        <v/>
      </c>
      <c r="AB161" s="190">
        <f>IF(OR((AB77-AB105)=0,25&lt;='01_Вводные'!$B$297),0,(AB77-AB105)*IF('01_Вводные'!$B$239="Да",MeanMinAge25+AB205*SUMIF(ThresholdAge25,"&lt;"&amp;AB205,WeightedRevAge25)-SUMIF(ThresholdAge25,"&lt;"&amp;AB205,WeightedMinAge25),MAX(CapacityAge25*'01_Вводные'!$B$218*AB205,MeanMinAge25)))</f>
        <v/>
      </c>
      <c r="AC161" s="190">
        <f>IF(OR((AC77-AC105)=0,25&lt;='01_Вводные'!$B$297),0,(AC77-AC105)*IF('01_Вводные'!$B$239="Да",MeanMinAge25+AC205*SUMIF(ThresholdAge25,"&lt;"&amp;AC205,WeightedRevAge25)-SUMIF(ThresholdAge25,"&lt;"&amp;AC205,WeightedMinAge25),MAX(CapacityAge25*'01_Вводные'!$B$218*AC205,MeanMinAge25)))</f>
        <v/>
      </c>
      <c r="AD161" s="190">
        <f>IF(OR((AD77-AD105)=0,25&lt;='01_Вводные'!$B$297),0,(AD77-AD105)*IF('01_Вводные'!$B$239="Да",MeanMinAge25+AD205*SUMIF(ThresholdAge25,"&lt;"&amp;AD205,WeightedRevAge25)-SUMIF(ThresholdAge25,"&lt;"&amp;AD205,WeightedMinAge25),MAX(CapacityAge25*'01_Вводные'!$B$218*AD205,MeanMinAge25)))</f>
        <v/>
      </c>
      <c r="AE161" s="190">
        <f>IF(OR((AE77-AE105)=0,25&lt;='01_Вводные'!$B$297),0,(AE77-AE105)*IF('01_Вводные'!$B$239="Да",MeanMinAge25+AE205*SUMIF(ThresholdAge25,"&lt;"&amp;AE205,WeightedRevAge25)-SUMIF(ThresholdAge25,"&lt;"&amp;AE205,WeightedMinAge25),MAX(CapacityAge25*'01_Вводные'!$B$218*AE205,MeanMinAge25)))</f>
        <v/>
      </c>
      <c r="AF161" s="190">
        <f>IF(OR((AF77-AF105)=0,25&lt;='01_Вводные'!$B$297),0,(AF77-AF105)*IF('01_Вводные'!$B$239="Да",MeanMinAge25+AF205*SUMIF(ThresholdAge25,"&lt;"&amp;AF205,WeightedRevAge25)-SUMIF(ThresholdAge25,"&lt;"&amp;AF205,WeightedMinAge25),MAX(CapacityAge25*'01_Вводные'!$B$218*AF205,MeanMinAge25)))</f>
        <v/>
      </c>
      <c r="AG161" s="190">
        <f>IF(OR((AG77-AG105)=0,25&lt;='01_Вводные'!$B$297),0,(AG77-AG105)*IF('01_Вводные'!$B$239="Да",MeanMinAge25+AG205*SUMIF(ThresholdAge25,"&lt;"&amp;AG205,WeightedRevAge25)-SUMIF(ThresholdAge25,"&lt;"&amp;AG205,WeightedMinAge25),MAX(CapacityAge25*'01_Вводные'!$B$218*AG205,MeanMinAge25)))</f>
        <v/>
      </c>
      <c r="AH161" s="190">
        <f>IF(OR((AH77-AH105)=0,25&lt;='01_Вводные'!$B$297),0,(AH77-AH105)*IF('01_Вводные'!$B$239="Да",MeanMinAge25+AH205*SUMIF(ThresholdAge25,"&lt;"&amp;AH205,WeightedRevAge25)-SUMIF(ThresholdAge25,"&lt;"&amp;AH205,WeightedMinAge25),MAX(CapacityAge25*'01_Вводные'!$B$218*AH205,MeanMinAge25)))</f>
        <v/>
      </c>
      <c r="AI161" s="190">
        <f>IF(OR((AI77-AI105)=0,25&lt;='01_Вводные'!$B$297),0,(AI77-AI105)*IF('01_Вводные'!$B$239="Да",MeanMinAge25+AI205*SUMIF(ThresholdAge25,"&lt;"&amp;AI205,WeightedRevAge25)-SUMIF(ThresholdAge25,"&lt;"&amp;AI205,WeightedMinAge25),MAX(CapacityAge25*'01_Вводные'!$B$218*AI205,MeanMinAge25)))</f>
        <v/>
      </c>
      <c r="AJ161" s="190">
        <f>IF(OR((AJ77-AJ105)=0,25&lt;='01_Вводные'!$B$297),0,(AJ77-AJ105)*IF('01_Вводные'!$B$239="Да",MeanMinAge25+AJ205*SUMIF(ThresholdAge25,"&lt;"&amp;AJ205,WeightedRevAge25)-SUMIF(ThresholdAge25,"&lt;"&amp;AJ205,WeightedMinAge25),MAX(CapacityAge25*'01_Вводные'!$B$218*AJ205,MeanMinAge25)))</f>
        <v/>
      </c>
      <c r="AK161" s="190">
        <f>IF(OR((AK77-AK105)=0,25&lt;='01_Вводные'!$B$297),0,(AK77-AK105)*IF('01_Вводные'!$B$239="Да",MeanMinAge25+AK205*SUMIF(ThresholdAge25,"&lt;"&amp;AK205,WeightedRevAge25)-SUMIF(ThresholdAge25,"&lt;"&amp;AK205,WeightedMinAge25),MAX(CapacityAge25*'01_Вводные'!$B$218*AK205,MeanMinAge25)))</f>
        <v/>
      </c>
      <c r="AL161" s="190">
        <f>IF(OR((AL77-AL105)=0,25&lt;='01_Вводные'!$B$297),0,(AL77-AL105)*IF('01_Вводные'!$B$239="Да",MeanMinAge25+AL205*SUMIF(ThresholdAge25,"&lt;"&amp;AL205,WeightedRevAge25)-SUMIF(ThresholdAge25,"&lt;"&amp;AL205,WeightedMinAge25),MAX(CapacityAge25*'01_Вводные'!$B$218*AL205,MeanMinAge25)))</f>
        <v/>
      </c>
      <c r="AM161" s="190">
        <f>IF(OR((AM77-AM105)=0,25&lt;='01_Вводные'!$B$297),0,(AM77-AM105)*IF('01_Вводные'!$B$239="Да",MeanMinAge25+AM205*SUMIF(ThresholdAge25,"&lt;"&amp;AM205,WeightedRevAge25)-SUMIF(ThresholdAge25,"&lt;"&amp;AM205,WeightedMinAge25),MAX(CapacityAge25*'01_Вводные'!$B$218*AM205,MeanMinAge25)))</f>
        <v/>
      </c>
      <c r="AN161" s="190">
        <f>IF(OR((AN77-AN105)=0,25&lt;='01_Вводные'!$B$297),0,(AN77-AN105)*IF('01_Вводные'!$B$239="Да",MeanMinAge25+AN205*SUMIF(ThresholdAge25,"&lt;"&amp;AN205,WeightedRevAge25)-SUMIF(ThresholdAge25,"&lt;"&amp;AN205,WeightedMinAge25),MAX(CapacityAge25*'01_Вводные'!$B$218*AN205,MeanMinAge25)))</f>
        <v/>
      </c>
      <c r="AO161" s="190">
        <f>IF(OR((AO77-AO105)=0,25&lt;='01_Вводные'!$B$297),0,(AO77-AO105)*IF('01_Вводные'!$B$239="Да",MeanMinAge25+AO205*SUMIF(ThresholdAge25,"&lt;"&amp;AO205,WeightedRevAge25)-SUMIF(ThresholdAge25,"&lt;"&amp;AO205,WeightedMinAge25),MAX(CapacityAge25*'01_Вводные'!$B$218*AO205,MeanMinAge25)))</f>
        <v/>
      </c>
      <c r="AP161" s="190">
        <f>IF(OR((AP77-AP105)=0,25&lt;='01_Вводные'!$B$297),0,(AP77-AP105)*IF('01_Вводные'!$B$239="Да",MeanMinAge25+AP205*SUMIF(ThresholdAge25,"&lt;"&amp;AP205,WeightedRevAge25)-SUMIF(ThresholdAge25,"&lt;"&amp;AP205,WeightedMinAge25),MAX(CapacityAge25*'01_Вводные'!$B$218*AP205,MeanMinAge25)))</f>
        <v/>
      </c>
      <c r="AQ161" s="190">
        <f>IF(OR((AQ77-AQ105)=0,25&lt;='01_Вводные'!$B$297),0,(AQ77-AQ105)*IF('01_Вводные'!$B$239="Да",MeanMinAge25+AQ205*SUMIF(ThresholdAge25,"&lt;"&amp;AQ205,WeightedRevAge25)-SUMIF(ThresholdAge25,"&lt;"&amp;AQ205,WeightedMinAge25),MAX(CapacityAge25*'01_Вводные'!$B$218*AQ205,MeanMinAge25)))</f>
        <v/>
      </c>
      <c r="AR161" s="190">
        <f>IF(OR((AR77-AR105)=0,25&lt;='01_Вводные'!$B$297),0,(AR77-AR105)*IF('01_Вводные'!$B$239="Да",MeanMinAge25+AR205*SUMIF(ThresholdAge25,"&lt;"&amp;AR205,WeightedRevAge25)-SUMIF(ThresholdAge25,"&lt;"&amp;AR205,WeightedMinAge25),MAX(CapacityAge25*'01_Вводные'!$B$218*AR205,MeanMinAge25)))</f>
        <v/>
      </c>
      <c r="AS161" s="190">
        <f>IF(OR((AS77-AS105)=0,25&lt;='01_Вводные'!$B$297),0,(AS77-AS105)*IF('01_Вводные'!$B$239="Да",MeanMinAge25+AS205*SUMIF(ThresholdAge25,"&lt;"&amp;AS205,WeightedRevAge25)-SUMIF(ThresholdAge25,"&lt;"&amp;AS205,WeightedMinAge25),MAX(CapacityAge25*'01_Вводные'!$B$218*AS205,MeanMinAge25)))</f>
        <v/>
      </c>
      <c r="AT161" s="190">
        <f>IF(OR((AT77-AT105)=0,25&lt;='01_Вводные'!$B$297),0,(AT77-AT105)*IF('01_Вводные'!$B$239="Да",MeanMinAge25+AT205*SUMIF(ThresholdAge25,"&lt;"&amp;AT205,WeightedRevAge25)-SUMIF(ThresholdAge25,"&lt;"&amp;AT205,WeightedMinAge25),MAX(CapacityAge25*'01_Вводные'!$B$218*AT205,MeanMinAge25)))</f>
        <v/>
      </c>
      <c r="AU161" s="190">
        <f>IF(OR((AU77-AU105)=0,25&lt;='01_Вводные'!$B$297),0,(AU77-AU105)*IF('01_Вводные'!$B$239="Да",MeanMinAge25+AU205*SUMIF(ThresholdAge25,"&lt;"&amp;AU205,WeightedRevAge25)-SUMIF(ThresholdAge25,"&lt;"&amp;AU205,WeightedMinAge25),MAX(CapacityAge25*'01_Вводные'!$B$218*AU205,MeanMinAge25)))</f>
        <v/>
      </c>
      <c r="AV161" s="190">
        <f>IF(OR((AV77-AV105)=0,25&lt;='01_Вводные'!$B$297),0,(AV77-AV105)*IF('01_Вводные'!$B$239="Да",MeanMinAge25+AV205*SUMIF(ThresholdAge25,"&lt;"&amp;AV205,WeightedRevAge25)-SUMIF(ThresholdAge25,"&lt;"&amp;AV205,WeightedMinAge25),MAX(CapacityAge25*'01_Вводные'!$B$218*AV205,MeanMinAge25)))</f>
        <v/>
      </c>
      <c r="AW161" s="190">
        <f>IF(OR((AW77-AW105)=0,25&lt;='01_Вводные'!$B$297),0,(AW77-AW105)*IF('01_Вводные'!$B$239="Да",MeanMinAge25+AW205*SUMIF(ThresholdAge25,"&lt;"&amp;AW205,WeightedRevAge25)-SUMIF(ThresholdAge25,"&lt;"&amp;AW205,WeightedMinAge25),MAX(CapacityAge25*'01_Вводные'!$B$218*AW205,MeanMinAge25)))</f>
        <v/>
      </c>
      <c r="AX161" s="190">
        <f>IF(OR((AX77-AX105)=0,25&lt;='01_Вводные'!$B$297),0,(AX77-AX105)*IF('01_Вводные'!$B$239="Да",MeanMinAge25+AX205*SUMIF(ThresholdAge25,"&lt;"&amp;AX205,WeightedRevAge25)-SUMIF(ThresholdAge25,"&lt;"&amp;AX205,WeightedMinAge25),MAX(CapacityAge25*'01_Вводные'!$B$218*AX205,MeanMinAge25)))</f>
        <v/>
      </c>
      <c r="AY161" s="190">
        <f>IF(OR((AY77-AY105)=0,25&lt;='01_Вводные'!$B$297),0,(AY77-AY105)*IF('01_Вводные'!$B$239="Да",MeanMinAge25+AY205*SUMIF(ThresholdAge25,"&lt;"&amp;AY205,WeightedRevAge25)-SUMIF(ThresholdAge25,"&lt;"&amp;AY205,WeightedMinAge25),MAX(CapacityAge25*'01_Вводные'!$B$218*AY205,MeanMinAge25)))</f>
        <v/>
      </c>
      <c r="AZ161" s="190">
        <f>IF(OR((AZ77-AZ105)=0,25&lt;='01_Вводные'!$B$297),0,(AZ77-AZ105)*IF('01_Вводные'!$B$239="Да",MeanMinAge25+AZ205*SUMIF(ThresholdAge25,"&lt;"&amp;AZ205,WeightedRevAge25)-SUMIF(ThresholdAge25,"&lt;"&amp;AZ205,WeightedMinAge25),MAX(CapacityAge25*'01_Вводные'!$B$218*AZ205,MeanMinAge25)))</f>
        <v/>
      </c>
      <c r="BA161" s="190">
        <f>IF(OR((BA77-BA105)=0,25&lt;='01_Вводные'!$B$297),0,(BA77-BA105)*IF('01_Вводные'!$B$239="Да",MeanMinAge25+BA205*SUMIF(ThresholdAge25,"&lt;"&amp;BA205,WeightedRevAge25)-SUMIF(ThresholdAge25,"&lt;"&amp;BA205,WeightedMinAge25),MAX(CapacityAge25*'01_Вводные'!$B$218*BA205,MeanMinAge25)))</f>
        <v/>
      </c>
      <c r="BB161" s="190">
        <f>IF(OR((BB77-BB105)=0,25&lt;='01_Вводные'!$B$297),0,(BB77-BB105)*IF('01_Вводные'!$B$239="Да",MeanMinAge25+BB205*SUMIF(ThresholdAge25,"&lt;"&amp;BB205,WeightedRevAge25)-SUMIF(ThresholdAge25,"&lt;"&amp;BB205,WeightedMinAge25),MAX(CapacityAge25*'01_Вводные'!$B$218*BB205,MeanMinAge25)))</f>
        <v/>
      </c>
      <c r="BC161" s="190">
        <f>IF(OR((BC77-BC105)=0,25&lt;='01_Вводные'!$B$297),0,(BC77-BC105)*IF('01_Вводные'!$B$239="Да",MeanMinAge25+BC205*SUMIF(ThresholdAge25,"&lt;"&amp;BC205,WeightedRevAge25)-SUMIF(ThresholdAge25,"&lt;"&amp;BC205,WeightedMinAge25),MAX(CapacityAge25*'01_Вводные'!$B$218*BC205,MeanMinAge25)))</f>
        <v/>
      </c>
      <c r="BD161" s="190">
        <f>IF(OR((BD77-BD105)=0,25&lt;='01_Вводные'!$B$297),0,(BD77-BD105)*IF('01_Вводные'!$B$239="Да",MeanMinAge25+BD205*SUMIF(ThresholdAge25,"&lt;"&amp;BD205,WeightedRevAge25)-SUMIF(ThresholdAge25,"&lt;"&amp;BD205,WeightedMinAge25),MAX(CapacityAge25*'01_Вводные'!$B$218*BD205,MeanMinAge25)))</f>
        <v/>
      </c>
      <c r="BE161" s="190">
        <f>IF(OR((BE77-BE105)=0,25&lt;='01_Вводные'!$B$297),0,(BE77-BE105)*IF('01_Вводные'!$B$239="Да",MeanMinAge25+BE205*SUMIF(ThresholdAge25,"&lt;"&amp;BE205,WeightedRevAge25)-SUMIF(ThresholdAge25,"&lt;"&amp;BE205,WeightedMinAge25),MAX(CapacityAge25*'01_Вводные'!$B$218*BE205,MeanMinAge25)))</f>
        <v/>
      </c>
      <c r="BF161" s="190">
        <f>IF(OR((BF77-BF105)=0,25&lt;='01_Вводные'!$B$297),0,(BF77-BF105)*IF('01_Вводные'!$B$239="Да",MeanMinAge25+BF205*SUMIF(ThresholdAge25,"&lt;"&amp;BF205,WeightedRevAge25)-SUMIF(ThresholdAge25,"&lt;"&amp;BF205,WeightedMinAge25),MAX(CapacityAge25*'01_Вводные'!$B$218*BF205,MeanMinAge25)))</f>
        <v/>
      </c>
      <c r="BG161" s="190">
        <f>IF(OR((BG77-BG105)=0,25&lt;='01_Вводные'!$B$297),0,(BG77-BG105)*IF('01_Вводные'!$B$239="Да",MeanMinAge25+BG205*SUMIF(ThresholdAge25,"&lt;"&amp;BG205,WeightedRevAge25)-SUMIF(ThresholdAge25,"&lt;"&amp;BG205,WeightedMinAge25),MAX(CapacityAge25*'01_Вводные'!$B$218*BG205,MeanMinAge25)))</f>
        <v/>
      </c>
      <c r="BH161" s="190">
        <f>IF(OR((BH77-BH105)=0,25&lt;='01_Вводные'!$B$297),0,(BH77-BH105)*IF('01_Вводные'!$B$239="Да",MeanMinAge25+BH205*SUMIF(ThresholdAge25,"&lt;"&amp;BH205,WeightedRevAge25)-SUMIF(ThresholdAge25,"&lt;"&amp;BH205,WeightedMinAge25),MAX(CapacityAge25*'01_Вводные'!$B$218*BH205,MeanMinAge25)))</f>
        <v/>
      </c>
      <c r="BI161" s="190">
        <f>IF(OR((BI77-BI105)=0,25&lt;='01_Вводные'!$B$297),0,(BI77-BI105)*IF('01_Вводные'!$B$239="Да",MeanMinAge25+BI205*SUMIF(ThresholdAge25,"&lt;"&amp;BI205,WeightedRevAge25)-SUMIF(ThresholdAge25,"&lt;"&amp;BI205,WeightedMinAge25),MAX(CapacityAge25*'01_Вводные'!$B$218*BI205,MeanMinAge25)))</f>
        <v/>
      </c>
      <c r="BJ161" s="190">
        <f>IF(OR((BJ77-BJ105)=0,25&lt;='01_Вводные'!$B$297),0,(BJ77-BJ105)*IF('01_Вводные'!$B$239="Да",MeanMinAge25+BJ205*SUMIF(ThresholdAge25,"&lt;"&amp;BJ205,WeightedRevAge25)-SUMIF(ThresholdAge25,"&lt;"&amp;BJ205,WeightedMinAge25),MAX(CapacityAge25*'01_Вводные'!$B$218*BJ205,MeanMinAge25)))</f>
        <v/>
      </c>
      <c r="BK161" s="190">
        <f>IF(OR((BK77-BK105)=0,25&lt;='01_Вводные'!$B$297),0,(BK77-BK105)*IF('01_Вводные'!$B$239="Да",MeanMinAge25+BK205*SUMIF(ThresholdAge25,"&lt;"&amp;BK205,WeightedRevAge25)-SUMIF(ThresholdAge25,"&lt;"&amp;BK205,WeightedMinAge25),MAX(CapacityAge25*'01_Вводные'!$B$218*BK205,MeanMinAge25)))</f>
        <v/>
      </c>
      <c r="BL161" s="190">
        <f>IF(OR((BL77-BL105)=0,25&lt;='01_Вводные'!$B$297),0,(BL77-BL105)*IF('01_Вводные'!$B$239="Да",MeanMinAge25+BL205*SUMIF(ThresholdAge25,"&lt;"&amp;BL205,WeightedRevAge25)-SUMIF(ThresholdAge25,"&lt;"&amp;BL205,WeightedMinAge25),MAX(CapacityAge25*'01_Вводные'!$B$218*BL205,MeanMinAge25)))</f>
        <v/>
      </c>
      <c r="BM161" s="190">
        <f>IF(OR((BM77-BM105)=0,25&lt;='01_Вводные'!$B$297),0,(BM77-BM105)*IF('01_Вводные'!$B$239="Да",MeanMinAge25+BM205*SUMIF(ThresholdAge25,"&lt;"&amp;BM205,WeightedRevAge25)-SUMIF(ThresholdAge25,"&lt;"&amp;BM205,WeightedMinAge25),MAX(CapacityAge25*'01_Вводные'!$B$218*BM205,MeanMinAge25)))</f>
        <v/>
      </c>
      <c r="BN161" s="190">
        <f>IF(OR((BN77-BN105)=0,25&lt;='01_Вводные'!$B$297),0,(BN77-BN105)*IF('01_Вводные'!$B$239="Да",MeanMinAge25+BN205*SUMIF(ThresholdAge25,"&lt;"&amp;BN205,WeightedRevAge25)-SUMIF(ThresholdAge25,"&lt;"&amp;BN205,WeightedMinAge25),MAX(CapacityAge25*'01_Вводные'!$B$218*BN205,MeanMinAge25)))</f>
        <v/>
      </c>
      <c r="BO161" s="190">
        <f>IF(OR((BO77-BO105)=0,25&lt;='01_Вводные'!$B$297),0,(BO77-BO105)*IF('01_Вводные'!$B$239="Да",MeanMinAge25+BO205*SUMIF(ThresholdAge25,"&lt;"&amp;BO205,WeightedRevAge25)-SUMIF(ThresholdAge25,"&lt;"&amp;BO205,WeightedMinAge25),MAX(CapacityAge25*'01_Вводные'!$B$218*BO205,MeanMinAge25)))</f>
        <v/>
      </c>
    </row>
    <row r="162" hidden="1" outlineLevel="1">
      <c r="B162" s="96" t="n"/>
      <c r="C162" s="96" t="n"/>
      <c r="D162" s="96" t="n"/>
      <c r="E162" s="96" t="n"/>
      <c r="F162" s="96" t="n"/>
      <c r="G162" s="96" t="n"/>
      <c r="H162" s="96" t="n"/>
      <c r="I162" s="96" t="n"/>
      <c r="J162" s="96" t="n"/>
      <c r="K162" s="96" t="n"/>
      <c r="L162" s="96" t="n"/>
      <c r="M162" s="96" t="n"/>
      <c r="N162" s="96" t="n"/>
      <c r="O162" s="96" t="n"/>
      <c r="P162" s="96" t="n"/>
      <c r="Q162" s="96" t="n"/>
      <c r="R162" s="96" t="n"/>
      <c r="S162" s="96" t="n"/>
      <c r="T162" s="96" t="n"/>
      <c r="U162" s="96" t="n"/>
      <c r="V162" s="96" t="n"/>
      <c r="W162" s="96" t="n"/>
      <c r="X162" s="96" t="n"/>
      <c r="Y162" s="96" t="n"/>
      <c r="Z162" s="96" t="n"/>
      <c r="AA162" s="96" t="n"/>
      <c r="AB162" s="96" t="n"/>
      <c r="AC162" s="96" t="n"/>
      <c r="AD162" s="96" t="n"/>
      <c r="AE162" s="96" t="n"/>
      <c r="AF162" s="96" t="n"/>
      <c r="AG162" s="96" t="n"/>
      <c r="AH162" s="96" t="n"/>
      <c r="AI162" s="96" t="n"/>
      <c r="AJ162" s="96" t="n"/>
      <c r="AK162" s="96" t="n"/>
      <c r="AL162" s="96" t="n"/>
      <c r="AM162" s="96" t="n"/>
      <c r="AN162" s="96" t="n"/>
      <c r="AO162" s="96" t="n"/>
      <c r="AP162" s="96" t="n"/>
      <c r="AQ162" s="96" t="n"/>
      <c r="AR162" s="96" t="n"/>
      <c r="AS162" s="96" t="n"/>
      <c r="AT162" s="96" t="n"/>
      <c r="AU162" s="96" t="n"/>
      <c r="AV162" s="96" t="n"/>
      <c r="AW162" s="96" t="n"/>
      <c r="AX162" s="96" t="n"/>
      <c r="AY162" s="96" t="n"/>
      <c r="AZ162" s="96" t="n"/>
      <c r="BA162" s="96" t="n"/>
      <c r="BB162" s="96" t="n"/>
      <c r="BC162" s="96" t="n"/>
      <c r="BD162" s="96" t="n"/>
      <c r="BE162" s="96" t="n"/>
      <c r="BF162" s="96" t="n"/>
      <c r="BG162" s="96" t="n"/>
      <c r="BH162" s="96" t="n"/>
      <c r="BI162" s="96" t="n"/>
      <c r="BJ162" s="96" t="n"/>
      <c r="BK162" s="96" t="n"/>
      <c r="BL162" s="96" t="n"/>
      <c r="BM162" s="96" t="n"/>
      <c r="BN162" s="96" t="n"/>
      <c r="BO162" s="96" t="n"/>
    </row>
    <row r="163" hidden="1" outlineLevel="1">
      <c r="B163" s="96" t="n"/>
      <c r="C163" s="96" t="n"/>
      <c r="D163" s="96" t="n"/>
      <c r="E163" s="96" t="n"/>
      <c r="F163" s="96" t="n"/>
      <c r="G163" s="96" t="n"/>
      <c r="H163" s="96" t="n"/>
      <c r="I163" s="96" t="n"/>
      <c r="J163" s="96" t="n"/>
      <c r="K163" s="96" t="n"/>
      <c r="L163" s="96" t="n"/>
      <c r="M163" s="96" t="n"/>
      <c r="N163" s="96" t="n"/>
      <c r="O163" s="96" t="n"/>
      <c r="P163" s="96" t="n"/>
      <c r="Q163" s="96" t="n"/>
      <c r="R163" s="96" t="n"/>
      <c r="S163" s="96" t="n"/>
      <c r="T163" s="96" t="n"/>
      <c r="U163" s="96" t="n"/>
      <c r="V163" s="96" t="n"/>
      <c r="W163" s="96" t="n"/>
      <c r="X163" s="96" t="n"/>
      <c r="Y163" s="96" t="n"/>
      <c r="Z163" s="96" t="n"/>
      <c r="AA163" s="96" t="n"/>
      <c r="AB163" s="96" t="n"/>
      <c r="AC163" s="96" t="n"/>
      <c r="AD163" s="96" t="n"/>
      <c r="AE163" s="96" t="n"/>
      <c r="AF163" s="96" t="n"/>
      <c r="AG163" s="96" t="n"/>
      <c r="AH163" s="96" t="n"/>
      <c r="AI163" s="96" t="n"/>
      <c r="AJ163" s="96" t="n"/>
      <c r="AK163" s="96" t="n"/>
      <c r="AL163" s="96" t="n"/>
      <c r="AM163" s="96" t="n"/>
      <c r="AN163" s="96" t="n"/>
      <c r="AO163" s="96" t="n"/>
      <c r="AP163" s="96" t="n"/>
      <c r="AQ163" s="96" t="n"/>
      <c r="AR163" s="96" t="n"/>
      <c r="AS163" s="96" t="n"/>
      <c r="AT163" s="96" t="n"/>
      <c r="AU163" s="96" t="n"/>
      <c r="AV163" s="96" t="n"/>
      <c r="AW163" s="96" t="n"/>
      <c r="AX163" s="96" t="n"/>
      <c r="AY163" s="96" t="n"/>
      <c r="AZ163" s="96" t="n"/>
      <c r="BA163" s="96" t="n"/>
      <c r="BB163" s="96" t="n"/>
      <c r="BC163" s="96" t="n"/>
      <c r="BD163" s="96" t="n"/>
      <c r="BE163" s="96" t="n"/>
      <c r="BF163" s="96" t="n"/>
      <c r="BG163" s="96" t="n"/>
      <c r="BH163" s="96" t="n"/>
      <c r="BI163" s="96" t="n"/>
      <c r="BJ163" s="96" t="n"/>
      <c r="BK163" s="96" t="n"/>
      <c r="BL163" s="96" t="n"/>
      <c r="BM163" s="96" t="n"/>
      <c r="BN163" s="96" t="n"/>
      <c r="BO163" s="96" t="n"/>
    </row>
    <row r="164" hidden="1" outlineLevel="1" ht="28" customHeight="1">
      <c r="A164" s="181" t="inlineStr">
        <is>
          <t>Дети для повторной формы: без наложения на первичную</t>
        </is>
      </c>
      <c r="I164" s="96" t="n"/>
      <c r="J164" s="96" t="n"/>
      <c r="K164" s="96" t="n"/>
      <c r="L164" s="96" t="n"/>
      <c r="M164" s="96" t="n"/>
      <c r="N164" s="96" t="n"/>
      <c r="O164" s="96" t="n"/>
      <c r="P164" s="96" t="n"/>
      <c r="Q164" s="96" t="n"/>
      <c r="R164" s="96" t="n"/>
      <c r="S164" s="96" t="n"/>
      <c r="T164" s="96" t="n"/>
      <c r="U164" s="96" t="n"/>
      <c r="V164" s="96" t="n"/>
      <c r="W164" s="96" t="n"/>
      <c r="X164" s="96" t="n"/>
      <c r="Y164" s="96" t="n"/>
      <c r="Z164" s="96" t="n"/>
      <c r="AA164" s="96" t="n"/>
      <c r="AB164" s="96" t="n"/>
      <c r="AC164" s="96" t="n"/>
      <c r="AD164" s="96" t="n"/>
      <c r="AE164" s="96" t="n"/>
      <c r="AF164" s="96" t="n"/>
      <c r="AG164" s="96" t="n"/>
      <c r="AH164" s="96" t="n"/>
      <c r="AI164" s="96" t="n"/>
      <c r="AJ164" s="96" t="n"/>
      <c r="AK164" s="96" t="n"/>
      <c r="AL164" s="96" t="n"/>
      <c r="AM164" s="96" t="n"/>
      <c r="AN164" s="96" t="n"/>
      <c r="AO164" s="96" t="n"/>
      <c r="AP164" s="96" t="n"/>
      <c r="AQ164" s="96" t="n"/>
      <c r="AR164" s="96" t="n"/>
      <c r="AS164" s="96" t="n"/>
      <c r="AT164" s="96" t="n"/>
      <c r="AU164" s="96" t="n"/>
      <c r="AV164" s="96" t="n"/>
      <c r="AW164" s="96" t="n"/>
      <c r="AX164" s="96" t="n"/>
      <c r="AY164" s="96" t="n"/>
      <c r="AZ164" s="96" t="n"/>
      <c r="BA164" s="96" t="n"/>
      <c r="BB164" s="96" t="n"/>
      <c r="BC164" s="96" t="n"/>
      <c r="BD164" s="96" t="n"/>
      <c r="BE164" s="96" t="n"/>
      <c r="BF164" s="96" t="n"/>
      <c r="BG164" s="96" t="n"/>
      <c r="BH164" s="96" t="n"/>
      <c r="BI164" s="96" t="n"/>
      <c r="BJ164" s="96" t="n"/>
      <c r="BK164" s="96" t="n"/>
      <c r="BL164" s="96" t="n"/>
      <c r="BM164" s="96" t="n"/>
      <c r="BN164" s="96" t="n"/>
      <c r="BO164" s="96" t="n"/>
    </row>
    <row r="165" hidden="1" outlineLevel="1">
      <c r="A165" t="inlineStr">
        <is>
          <t>1 мес.</t>
        </is>
      </c>
      <c r="B165" s="190">
        <f>IF(IF('01_Вводные'!$B$296="Новый сезон",FALSE,FALSE),B53*CapacityAge01*'01_Вводные'!$F$199,0)</f>
        <v/>
      </c>
      <c r="C165" s="190">
        <f>IF(IF('01_Вводные'!$B$296="Новый сезон",FALSE,FALSE),C53*CapacityAge01*'01_Вводные'!$F$199,0)</f>
        <v/>
      </c>
      <c r="D165" s="190">
        <f>IF(IF('01_Вводные'!$B$296="Новый сезон",FALSE,FALSE),D53*CapacityAge01*'01_Вводные'!$F$199,0)</f>
        <v/>
      </c>
      <c r="E165" s="190">
        <f>IF(IF('01_Вводные'!$B$296="Новый сезон",FALSE,FALSE),E53*CapacityAge01*'01_Вводные'!$F$199,0)</f>
        <v/>
      </c>
      <c r="F165" s="190">
        <f>IF(IF('01_Вводные'!$B$296="Новый сезон",FALSE,FALSE),F53*CapacityAge01*'01_Вводные'!$F$199,0)</f>
        <v/>
      </c>
      <c r="G165" s="190">
        <f>IF(IF('01_Вводные'!$B$296="Новый сезон",FALSE,FALSE),G53*CapacityAge01*'01_Вводные'!$F$199,0)</f>
        <v/>
      </c>
      <c r="H165" s="190">
        <f>IF(IF('01_Вводные'!$B$296="Новый сезон",FALSE,FALSE),H53*CapacityAge01*'01_Вводные'!$F$199,0)</f>
        <v/>
      </c>
      <c r="I165" s="190">
        <f>IF(IF('01_Вводные'!$B$296="Новый сезон",FALSE,FALSE),I53*CapacityAge01*'01_Вводные'!$F$199,0)</f>
        <v/>
      </c>
      <c r="J165" s="190">
        <f>IF(IF('01_Вводные'!$B$296="Новый сезон",FALSE,FALSE),J53*CapacityAge01*'01_Вводные'!$F$199,0)</f>
        <v/>
      </c>
      <c r="K165" s="190">
        <f>IF(IF('01_Вводные'!$B$296="Новый сезон",FALSE,FALSE),K53*CapacityAge01*'01_Вводные'!$F$199,0)</f>
        <v/>
      </c>
      <c r="L165" s="190">
        <f>IF(IF('01_Вводные'!$B$296="Новый сезон",FALSE,FALSE),L53*CapacityAge01*'01_Вводные'!$F$199,0)</f>
        <v/>
      </c>
      <c r="M165" s="190">
        <f>IF(IF('01_Вводные'!$B$296="Новый сезон",FALSE,FALSE),M53*CapacityAge01*'01_Вводные'!$F$199,0)</f>
        <v/>
      </c>
      <c r="N165" s="190">
        <f>IF(IF('01_Вводные'!$B$296="Новый сезон",FALSE,FALSE),N53*CapacityAge01*'01_Вводные'!$F$199,0)</f>
        <v/>
      </c>
      <c r="O165" s="190">
        <f>IF(IF('01_Вводные'!$B$296="Новый сезон",FALSE,FALSE),O53*CapacityAge01*'01_Вводные'!$F$199,0)</f>
        <v/>
      </c>
      <c r="P165" s="190">
        <f>IF(IF('01_Вводные'!$B$296="Новый сезон",FALSE,FALSE),P53*CapacityAge01*'01_Вводные'!$F$199,0)</f>
        <v/>
      </c>
      <c r="Q165" s="190">
        <f>IF(IF('01_Вводные'!$B$296="Новый сезон",FALSE,FALSE),Q53*CapacityAge01*'01_Вводные'!$F$199,0)</f>
        <v/>
      </c>
      <c r="R165" s="190">
        <f>IF(IF('01_Вводные'!$B$296="Новый сезон",FALSE,FALSE),R53*CapacityAge01*'01_Вводные'!$F$199,0)</f>
        <v/>
      </c>
      <c r="S165" s="190">
        <f>IF(IF('01_Вводные'!$B$296="Новый сезон",FALSE,FALSE),S53*CapacityAge01*'01_Вводные'!$F$199,0)</f>
        <v/>
      </c>
      <c r="T165" s="190">
        <f>IF(IF('01_Вводные'!$B$296="Новый сезон",FALSE,FALSE),T53*CapacityAge01*'01_Вводные'!$F$199,0)</f>
        <v/>
      </c>
      <c r="U165" s="190">
        <f>IF(IF('01_Вводные'!$B$296="Новый сезон",FALSE,FALSE),U53*CapacityAge01*'01_Вводные'!$F$199,0)</f>
        <v/>
      </c>
      <c r="V165" s="190">
        <f>IF(IF('01_Вводные'!$B$296="Новый сезон",FALSE,FALSE),V53*CapacityAge01*'01_Вводные'!$F$199,0)</f>
        <v/>
      </c>
      <c r="W165" s="190">
        <f>IF(IF('01_Вводные'!$B$296="Новый сезон",FALSE,FALSE),W53*CapacityAge01*'01_Вводные'!$F$199,0)</f>
        <v/>
      </c>
      <c r="X165" s="190">
        <f>IF(IF('01_Вводные'!$B$296="Новый сезон",FALSE,FALSE),X53*CapacityAge01*'01_Вводные'!$F$199,0)</f>
        <v/>
      </c>
      <c r="Y165" s="190">
        <f>IF(IF('01_Вводные'!$B$296="Новый сезон",FALSE,FALSE),Y53*CapacityAge01*'01_Вводные'!$F$199,0)</f>
        <v/>
      </c>
      <c r="Z165" s="190">
        <f>IF(IF('01_Вводные'!$B$296="Новый сезон",FALSE,FALSE),Z53*CapacityAge01*'01_Вводные'!$F$199,0)</f>
        <v/>
      </c>
      <c r="AA165" s="190">
        <f>IF(IF('01_Вводные'!$B$296="Новый сезон",FALSE,FALSE),AA53*CapacityAge01*'01_Вводные'!$F$199,0)</f>
        <v/>
      </c>
      <c r="AB165" s="190">
        <f>IF(IF('01_Вводные'!$B$296="Новый сезон",FALSE,FALSE),AB53*CapacityAge01*'01_Вводные'!$F$199,0)</f>
        <v/>
      </c>
      <c r="AC165" s="190">
        <f>IF(IF('01_Вводные'!$B$296="Новый сезон",FALSE,FALSE),AC53*CapacityAge01*'01_Вводные'!$F$199,0)</f>
        <v/>
      </c>
      <c r="AD165" s="190">
        <f>IF(IF('01_Вводные'!$B$296="Новый сезон",FALSE,FALSE),AD53*CapacityAge01*'01_Вводные'!$F$199,0)</f>
        <v/>
      </c>
      <c r="AE165" s="190">
        <f>IF(IF('01_Вводные'!$B$296="Новый сезон",FALSE,FALSE),AE53*CapacityAge01*'01_Вводные'!$F$199,0)</f>
        <v/>
      </c>
      <c r="AF165" s="190">
        <f>IF(IF('01_Вводные'!$B$296="Новый сезон",FALSE,FALSE),AF53*CapacityAge01*'01_Вводные'!$F$199,0)</f>
        <v/>
      </c>
      <c r="AG165" s="190">
        <f>IF(IF('01_Вводные'!$B$296="Новый сезон",FALSE,FALSE),AG53*CapacityAge01*'01_Вводные'!$F$199,0)</f>
        <v/>
      </c>
      <c r="AH165" s="190">
        <f>IF(IF('01_Вводные'!$B$296="Новый сезон",FALSE,FALSE),AH53*CapacityAge01*'01_Вводные'!$F$199,0)</f>
        <v/>
      </c>
      <c r="AI165" s="190">
        <f>IF(IF('01_Вводные'!$B$296="Новый сезон",FALSE,FALSE),AI53*CapacityAge01*'01_Вводные'!$F$199,0)</f>
        <v/>
      </c>
      <c r="AJ165" s="190">
        <f>IF(IF('01_Вводные'!$B$296="Новый сезон",FALSE,FALSE),AJ53*CapacityAge01*'01_Вводные'!$F$199,0)</f>
        <v/>
      </c>
      <c r="AK165" s="190">
        <f>IF(IF('01_Вводные'!$B$296="Новый сезон",FALSE,FALSE),AK53*CapacityAge01*'01_Вводные'!$F$199,0)</f>
        <v/>
      </c>
      <c r="AL165" s="190">
        <f>IF(IF('01_Вводные'!$B$296="Новый сезон",FALSE,FALSE),AL53*CapacityAge01*'01_Вводные'!$F$199,0)</f>
        <v/>
      </c>
      <c r="AM165" s="190">
        <f>IF(IF('01_Вводные'!$B$296="Новый сезон",FALSE,FALSE),AM53*CapacityAge01*'01_Вводные'!$F$199,0)</f>
        <v/>
      </c>
      <c r="AN165" s="190">
        <f>IF(IF('01_Вводные'!$B$296="Новый сезон",FALSE,FALSE),AN53*CapacityAge01*'01_Вводные'!$F$199,0)</f>
        <v/>
      </c>
      <c r="AO165" s="190">
        <f>IF(IF('01_Вводные'!$B$296="Новый сезон",FALSE,FALSE),AO53*CapacityAge01*'01_Вводные'!$F$199,0)</f>
        <v/>
      </c>
      <c r="AP165" s="190">
        <f>IF(IF('01_Вводные'!$B$296="Новый сезон",FALSE,FALSE),AP53*CapacityAge01*'01_Вводные'!$F$199,0)</f>
        <v/>
      </c>
      <c r="AQ165" s="190">
        <f>IF(IF('01_Вводные'!$B$296="Новый сезон",FALSE,FALSE),AQ53*CapacityAge01*'01_Вводные'!$F$199,0)</f>
        <v/>
      </c>
      <c r="AR165" s="190">
        <f>IF(IF('01_Вводные'!$B$296="Новый сезон",FALSE,FALSE),AR53*CapacityAge01*'01_Вводные'!$F$199,0)</f>
        <v/>
      </c>
      <c r="AS165" s="190">
        <f>IF(IF('01_Вводные'!$B$296="Новый сезон",FALSE,FALSE),AS53*CapacityAge01*'01_Вводные'!$F$199,0)</f>
        <v/>
      </c>
      <c r="AT165" s="190">
        <f>IF(IF('01_Вводные'!$B$296="Новый сезон",FALSE,FALSE),AT53*CapacityAge01*'01_Вводные'!$F$199,0)</f>
        <v/>
      </c>
      <c r="AU165" s="190">
        <f>IF(IF('01_Вводные'!$B$296="Новый сезон",FALSE,FALSE),AU53*CapacityAge01*'01_Вводные'!$F$199,0)</f>
        <v/>
      </c>
      <c r="AV165" s="190">
        <f>IF(IF('01_Вводные'!$B$296="Новый сезон",FALSE,FALSE),AV53*CapacityAge01*'01_Вводные'!$F$199,0)</f>
        <v/>
      </c>
      <c r="AW165" s="190">
        <f>IF(IF('01_Вводные'!$B$296="Новый сезон",FALSE,FALSE),AW53*CapacityAge01*'01_Вводные'!$F$199,0)</f>
        <v/>
      </c>
      <c r="AX165" s="190">
        <f>IF(IF('01_Вводные'!$B$296="Новый сезон",FALSE,FALSE),AX53*CapacityAge01*'01_Вводные'!$F$199,0)</f>
        <v/>
      </c>
      <c r="AY165" s="190">
        <f>IF(IF('01_Вводные'!$B$296="Новый сезон",FALSE,FALSE),AY53*CapacityAge01*'01_Вводные'!$F$199,0)</f>
        <v/>
      </c>
      <c r="AZ165" s="190">
        <f>IF(IF('01_Вводные'!$B$296="Новый сезон",FALSE,FALSE),AZ53*CapacityAge01*'01_Вводные'!$F$199,0)</f>
        <v/>
      </c>
      <c r="BA165" s="190">
        <f>IF(IF('01_Вводные'!$B$296="Новый сезон",FALSE,FALSE),BA53*CapacityAge01*'01_Вводные'!$F$199,0)</f>
        <v/>
      </c>
      <c r="BB165" s="190">
        <f>IF(IF('01_Вводные'!$B$296="Новый сезон",FALSE,FALSE),BB53*CapacityAge01*'01_Вводные'!$F$199,0)</f>
        <v/>
      </c>
      <c r="BC165" s="190">
        <f>IF(IF('01_Вводные'!$B$296="Новый сезон",FALSE,FALSE),BC53*CapacityAge01*'01_Вводные'!$F$199,0)</f>
        <v/>
      </c>
      <c r="BD165" s="190">
        <f>IF(IF('01_Вводные'!$B$296="Новый сезон",FALSE,FALSE),BD53*CapacityAge01*'01_Вводные'!$F$199,0)</f>
        <v/>
      </c>
      <c r="BE165" s="190">
        <f>IF(IF('01_Вводные'!$B$296="Новый сезон",FALSE,FALSE),BE53*CapacityAge01*'01_Вводные'!$F$199,0)</f>
        <v/>
      </c>
      <c r="BF165" s="190">
        <f>IF(IF('01_Вводные'!$B$296="Новый сезон",FALSE,FALSE),BF53*CapacityAge01*'01_Вводные'!$F$199,0)</f>
        <v/>
      </c>
      <c r="BG165" s="190">
        <f>IF(IF('01_Вводные'!$B$296="Новый сезон",FALSE,FALSE),BG53*CapacityAge01*'01_Вводные'!$F$199,0)</f>
        <v/>
      </c>
      <c r="BH165" s="190">
        <f>IF(IF('01_Вводные'!$B$296="Новый сезон",FALSE,FALSE),BH53*CapacityAge01*'01_Вводные'!$F$199,0)</f>
        <v/>
      </c>
      <c r="BI165" s="190">
        <f>IF(IF('01_Вводные'!$B$296="Новый сезон",FALSE,FALSE),BI53*CapacityAge01*'01_Вводные'!$F$199,0)</f>
        <v/>
      </c>
      <c r="BJ165" s="190">
        <f>IF(IF('01_Вводные'!$B$296="Новый сезон",FALSE,FALSE),BJ53*CapacityAge01*'01_Вводные'!$F$199,0)</f>
        <v/>
      </c>
      <c r="BK165" s="190">
        <f>IF(IF('01_Вводные'!$B$296="Новый сезон",FALSE,FALSE),BK53*CapacityAge01*'01_Вводные'!$F$199,0)</f>
        <v/>
      </c>
      <c r="BL165" s="190">
        <f>IF(IF('01_Вводные'!$B$296="Новый сезон",FALSE,FALSE),BL53*CapacityAge01*'01_Вводные'!$F$199,0)</f>
        <v/>
      </c>
      <c r="BM165" s="190">
        <f>IF(IF('01_Вводные'!$B$296="Новый сезон",FALSE,FALSE),BM53*CapacityAge01*'01_Вводные'!$F$199,0)</f>
        <v/>
      </c>
      <c r="BN165" s="190">
        <f>IF(IF('01_Вводные'!$B$296="Новый сезон",FALSE,FALSE),BN53*CapacityAge01*'01_Вводные'!$F$199,0)</f>
        <v/>
      </c>
      <c r="BO165" s="190">
        <f>IF(IF('01_Вводные'!$B$296="Новый сезон",FALSE,FALSE),BO53*CapacityAge01*'01_Вводные'!$F$199,0)</f>
        <v/>
      </c>
    </row>
    <row r="166" hidden="1" outlineLevel="1">
      <c r="A166" t="inlineStr">
        <is>
          <t>2 мес.</t>
        </is>
      </c>
      <c r="B166" s="190">
        <f>IF(IF('01_Вводные'!$B$296="Новый сезон",FALSE,FALSE),B54*CapacityAge02*'01_Вводные'!$F$199,0)</f>
        <v/>
      </c>
      <c r="C166" s="190">
        <f>IF(IF('01_Вводные'!$B$296="Новый сезон",FALSE,FALSE),C54*CapacityAge02*'01_Вводные'!$F$199,0)</f>
        <v/>
      </c>
      <c r="D166" s="190">
        <f>IF(IF('01_Вводные'!$B$296="Новый сезон",FALSE,FALSE),D54*CapacityAge02*'01_Вводные'!$F$199,0)</f>
        <v/>
      </c>
      <c r="E166" s="190">
        <f>IF(IF('01_Вводные'!$B$296="Новый сезон",FALSE,FALSE),E54*CapacityAge02*'01_Вводные'!$F$199,0)</f>
        <v/>
      </c>
      <c r="F166" s="190">
        <f>IF(IF('01_Вводные'!$B$296="Новый сезон",FALSE,FALSE),F54*CapacityAge02*'01_Вводные'!$F$199,0)</f>
        <v/>
      </c>
      <c r="G166" s="190">
        <f>IF(IF('01_Вводные'!$B$296="Новый сезон",FALSE,FALSE),G54*CapacityAge02*'01_Вводные'!$F$199,0)</f>
        <v/>
      </c>
      <c r="H166" s="190">
        <f>IF(IF('01_Вводные'!$B$296="Новый сезон",FALSE,FALSE),H54*CapacityAge02*'01_Вводные'!$F$199,0)</f>
        <v/>
      </c>
      <c r="I166" s="190">
        <f>IF(IF('01_Вводные'!$B$296="Новый сезон",FALSE,FALSE),I54*CapacityAge02*'01_Вводные'!$F$199,0)</f>
        <v/>
      </c>
      <c r="J166" s="190">
        <f>IF(IF('01_Вводные'!$B$296="Новый сезон",FALSE,FALSE),J54*CapacityAge02*'01_Вводные'!$F$199,0)</f>
        <v/>
      </c>
      <c r="K166" s="190">
        <f>IF(IF('01_Вводные'!$B$296="Новый сезон",FALSE,FALSE),K54*CapacityAge02*'01_Вводные'!$F$199,0)</f>
        <v/>
      </c>
      <c r="L166" s="190">
        <f>IF(IF('01_Вводные'!$B$296="Новый сезон",FALSE,FALSE),L54*CapacityAge02*'01_Вводные'!$F$199,0)</f>
        <v/>
      </c>
      <c r="M166" s="190">
        <f>IF(IF('01_Вводные'!$B$296="Новый сезон",FALSE,FALSE),M54*CapacityAge02*'01_Вводные'!$F$199,0)</f>
        <v/>
      </c>
      <c r="N166" s="190">
        <f>IF(IF('01_Вводные'!$B$296="Новый сезон",FALSE,FALSE),N54*CapacityAge02*'01_Вводные'!$F$199,0)</f>
        <v/>
      </c>
      <c r="O166" s="190">
        <f>IF(IF('01_Вводные'!$B$296="Новый сезон",FALSE,FALSE),O54*CapacityAge02*'01_Вводные'!$F$199,0)</f>
        <v/>
      </c>
      <c r="P166" s="190">
        <f>IF(IF('01_Вводные'!$B$296="Новый сезон",FALSE,FALSE),P54*CapacityAge02*'01_Вводные'!$F$199,0)</f>
        <v/>
      </c>
      <c r="Q166" s="190">
        <f>IF(IF('01_Вводные'!$B$296="Новый сезон",FALSE,FALSE),Q54*CapacityAge02*'01_Вводные'!$F$199,0)</f>
        <v/>
      </c>
      <c r="R166" s="190">
        <f>IF(IF('01_Вводные'!$B$296="Новый сезон",FALSE,FALSE),R54*CapacityAge02*'01_Вводные'!$F$199,0)</f>
        <v/>
      </c>
      <c r="S166" s="190">
        <f>IF(IF('01_Вводные'!$B$296="Новый сезон",FALSE,FALSE),S54*CapacityAge02*'01_Вводные'!$F$199,0)</f>
        <v/>
      </c>
      <c r="T166" s="190">
        <f>IF(IF('01_Вводные'!$B$296="Новый сезон",FALSE,FALSE),T54*CapacityAge02*'01_Вводные'!$F$199,0)</f>
        <v/>
      </c>
      <c r="U166" s="190">
        <f>IF(IF('01_Вводные'!$B$296="Новый сезон",FALSE,FALSE),U54*CapacityAge02*'01_Вводные'!$F$199,0)</f>
        <v/>
      </c>
      <c r="V166" s="190">
        <f>IF(IF('01_Вводные'!$B$296="Новый сезон",FALSE,FALSE),V54*CapacityAge02*'01_Вводные'!$F$199,0)</f>
        <v/>
      </c>
      <c r="W166" s="190">
        <f>IF(IF('01_Вводные'!$B$296="Новый сезон",FALSE,FALSE),W54*CapacityAge02*'01_Вводные'!$F$199,0)</f>
        <v/>
      </c>
      <c r="X166" s="190">
        <f>IF(IF('01_Вводные'!$B$296="Новый сезон",FALSE,FALSE),X54*CapacityAge02*'01_Вводные'!$F$199,0)</f>
        <v/>
      </c>
      <c r="Y166" s="190">
        <f>IF(IF('01_Вводные'!$B$296="Новый сезон",FALSE,FALSE),Y54*CapacityAge02*'01_Вводные'!$F$199,0)</f>
        <v/>
      </c>
      <c r="Z166" s="190">
        <f>IF(IF('01_Вводные'!$B$296="Новый сезон",FALSE,FALSE),Z54*CapacityAge02*'01_Вводные'!$F$199,0)</f>
        <v/>
      </c>
      <c r="AA166" s="190">
        <f>IF(IF('01_Вводные'!$B$296="Новый сезон",FALSE,FALSE),AA54*CapacityAge02*'01_Вводные'!$F$199,0)</f>
        <v/>
      </c>
      <c r="AB166" s="190">
        <f>IF(IF('01_Вводные'!$B$296="Новый сезон",FALSE,FALSE),AB54*CapacityAge02*'01_Вводные'!$F$199,0)</f>
        <v/>
      </c>
      <c r="AC166" s="190">
        <f>IF(IF('01_Вводные'!$B$296="Новый сезон",FALSE,FALSE),AC54*CapacityAge02*'01_Вводные'!$F$199,0)</f>
        <v/>
      </c>
      <c r="AD166" s="190">
        <f>IF(IF('01_Вводные'!$B$296="Новый сезон",FALSE,FALSE),AD54*CapacityAge02*'01_Вводные'!$F$199,0)</f>
        <v/>
      </c>
      <c r="AE166" s="190">
        <f>IF(IF('01_Вводные'!$B$296="Новый сезон",FALSE,FALSE),AE54*CapacityAge02*'01_Вводные'!$F$199,0)</f>
        <v/>
      </c>
      <c r="AF166" s="190">
        <f>IF(IF('01_Вводные'!$B$296="Новый сезон",FALSE,FALSE),AF54*CapacityAge02*'01_Вводные'!$F$199,0)</f>
        <v/>
      </c>
      <c r="AG166" s="190">
        <f>IF(IF('01_Вводные'!$B$296="Новый сезон",FALSE,FALSE),AG54*CapacityAge02*'01_Вводные'!$F$199,0)</f>
        <v/>
      </c>
      <c r="AH166" s="190">
        <f>IF(IF('01_Вводные'!$B$296="Новый сезон",FALSE,FALSE),AH54*CapacityAge02*'01_Вводные'!$F$199,0)</f>
        <v/>
      </c>
      <c r="AI166" s="190">
        <f>IF(IF('01_Вводные'!$B$296="Новый сезон",FALSE,FALSE),AI54*CapacityAge02*'01_Вводные'!$F$199,0)</f>
        <v/>
      </c>
      <c r="AJ166" s="190">
        <f>IF(IF('01_Вводные'!$B$296="Новый сезон",FALSE,FALSE),AJ54*CapacityAge02*'01_Вводные'!$F$199,0)</f>
        <v/>
      </c>
      <c r="AK166" s="190">
        <f>IF(IF('01_Вводные'!$B$296="Новый сезон",FALSE,FALSE),AK54*CapacityAge02*'01_Вводные'!$F$199,0)</f>
        <v/>
      </c>
      <c r="AL166" s="190">
        <f>IF(IF('01_Вводные'!$B$296="Новый сезон",FALSE,FALSE),AL54*CapacityAge02*'01_Вводные'!$F$199,0)</f>
        <v/>
      </c>
      <c r="AM166" s="190">
        <f>IF(IF('01_Вводные'!$B$296="Новый сезон",FALSE,FALSE),AM54*CapacityAge02*'01_Вводные'!$F$199,0)</f>
        <v/>
      </c>
      <c r="AN166" s="190">
        <f>IF(IF('01_Вводные'!$B$296="Новый сезон",FALSE,FALSE),AN54*CapacityAge02*'01_Вводные'!$F$199,0)</f>
        <v/>
      </c>
      <c r="AO166" s="190">
        <f>IF(IF('01_Вводные'!$B$296="Новый сезон",FALSE,FALSE),AO54*CapacityAge02*'01_Вводные'!$F$199,0)</f>
        <v/>
      </c>
      <c r="AP166" s="190">
        <f>IF(IF('01_Вводные'!$B$296="Новый сезон",FALSE,FALSE),AP54*CapacityAge02*'01_Вводные'!$F$199,0)</f>
        <v/>
      </c>
      <c r="AQ166" s="190">
        <f>IF(IF('01_Вводные'!$B$296="Новый сезон",FALSE,FALSE),AQ54*CapacityAge02*'01_Вводные'!$F$199,0)</f>
        <v/>
      </c>
      <c r="AR166" s="190">
        <f>IF(IF('01_Вводные'!$B$296="Новый сезон",FALSE,FALSE),AR54*CapacityAge02*'01_Вводные'!$F$199,0)</f>
        <v/>
      </c>
      <c r="AS166" s="190">
        <f>IF(IF('01_Вводные'!$B$296="Новый сезон",FALSE,FALSE),AS54*CapacityAge02*'01_Вводные'!$F$199,0)</f>
        <v/>
      </c>
      <c r="AT166" s="190">
        <f>IF(IF('01_Вводные'!$B$296="Новый сезон",FALSE,FALSE),AT54*CapacityAge02*'01_Вводные'!$F$199,0)</f>
        <v/>
      </c>
      <c r="AU166" s="190">
        <f>IF(IF('01_Вводные'!$B$296="Новый сезон",FALSE,FALSE),AU54*CapacityAge02*'01_Вводные'!$F$199,0)</f>
        <v/>
      </c>
      <c r="AV166" s="190">
        <f>IF(IF('01_Вводные'!$B$296="Новый сезон",FALSE,FALSE),AV54*CapacityAge02*'01_Вводные'!$F$199,0)</f>
        <v/>
      </c>
      <c r="AW166" s="190">
        <f>IF(IF('01_Вводные'!$B$296="Новый сезон",FALSE,FALSE),AW54*CapacityAge02*'01_Вводные'!$F$199,0)</f>
        <v/>
      </c>
      <c r="AX166" s="190">
        <f>IF(IF('01_Вводные'!$B$296="Новый сезон",FALSE,FALSE),AX54*CapacityAge02*'01_Вводные'!$F$199,0)</f>
        <v/>
      </c>
      <c r="AY166" s="190">
        <f>IF(IF('01_Вводные'!$B$296="Новый сезон",FALSE,FALSE),AY54*CapacityAge02*'01_Вводные'!$F$199,0)</f>
        <v/>
      </c>
      <c r="AZ166" s="190">
        <f>IF(IF('01_Вводные'!$B$296="Новый сезон",FALSE,FALSE),AZ54*CapacityAge02*'01_Вводные'!$F$199,0)</f>
        <v/>
      </c>
      <c r="BA166" s="190">
        <f>IF(IF('01_Вводные'!$B$296="Новый сезон",FALSE,FALSE),BA54*CapacityAge02*'01_Вводные'!$F$199,0)</f>
        <v/>
      </c>
      <c r="BB166" s="190">
        <f>IF(IF('01_Вводные'!$B$296="Новый сезон",FALSE,FALSE),BB54*CapacityAge02*'01_Вводные'!$F$199,0)</f>
        <v/>
      </c>
      <c r="BC166" s="190">
        <f>IF(IF('01_Вводные'!$B$296="Новый сезон",FALSE,FALSE),BC54*CapacityAge02*'01_Вводные'!$F$199,0)</f>
        <v/>
      </c>
      <c r="BD166" s="190">
        <f>IF(IF('01_Вводные'!$B$296="Новый сезон",FALSE,FALSE),BD54*CapacityAge02*'01_Вводные'!$F$199,0)</f>
        <v/>
      </c>
      <c r="BE166" s="190">
        <f>IF(IF('01_Вводные'!$B$296="Новый сезон",FALSE,FALSE),BE54*CapacityAge02*'01_Вводные'!$F$199,0)</f>
        <v/>
      </c>
      <c r="BF166" s="190">
        <f>IF(IF('01_Вводные'!$B$296="Новый сезон",FALSE,FALSE),BF54*CapacityAge02*'01_Вводные'!$F$199,0)</f>
        <v/>
      </c>
      <c r="BG166" s="190">
        <f>IF(IF('01_Вводные'!$B$296="Новый сезон",FALSE,FALSE),BG54*CapacityAge02*'01_Вводные'!$F$199,0)</f>
        <v/>
      </c>
      <c r="BH166" s="190">
        <f>IF(IF('01_Вводные'!$B$296="Новый сезон",FALSE,FALSE),BH54*CapacityAge02*'01_Вводные'!$F$199,0)</f>
        <v/>
      </c>
      <c r="BI166" s="190">
        <f>IF(IF('01_Вводные'!$B$296="Новый сезон",FALSE,FALSE),BI54*CapacityAge02*'01_Вводные'!$F$199,0)</f>
        <v/>
      </c>
      <c r="BJ166" s="190">
        <f>IF(IF('01_Вводные'!$B$296="Новый сезон",FALSE,FALSE),BJ54*CapacityAge02*'01_Вводные'!$F$199,0)</f>
        <v/>
      </c>
      <c r="BK166" s="190">
        <f>IF(IF('01_Вводные'!$B$296="Новый сезон",FALSE,FALSE),BK54*CapacityAge02*'01_Вводные'!$F$199,0)</f>
        <v/>
      </c>
      <c r="BL166" s="190">
        <f>IF(IF('01_Вводные'!$B$296="Новый сезон",FALSE,FALSE),BL54*CapacityAge02*'01_Вводные'!$F$199,0)</f>
        <v/>
      </c>
      <c r="BM166" s="190">
        <f>IF(IF('01_Вводные'!$B$296="Новый сезон",FALSE,FALSE),BM54*CapacityAge02*'01_Вводные'!$F$199,0)</f>
        <v/>
      </c>
      <c r="BN166" s="190">
        <f>IF(IF('01_Вводные'!$B$296="Новый сезон",FALSE,FALSE),BN54*CapacityAge02*'01_Вводные'!$F$199,0)</f>
        <v/>
      </c>
      <c r="BO166" s="190">
        <f>IF(IF('01_Вводные'!$B$296="Новый сезон",FALSE,FALSE),BO54*CapacityAge02*'01_Вводные'!$F$199,0)</f>
        <v/>
      </c>
    </row>
    <row r="167" hidden="1" outlineLevel="1">
      <c r="A167" t="inlineStr">
        <is>
          <t>3 мес.</t>
        </is>
      </c>
      <c r="B167" s="190">
        <f>IF(IF('01_Вводные'!$B$296="Новый сезон",FALSE,FALSE),B55*CapacityAge03*'01_Вводные'!$F$199,0)</f>
        <v/>
      </c>
      <c r="C167" s="190">
        <f>IF(IF('01_Вводные'!$B$296="Новый сезон",FALSE,FALSE),C55*CapacityAge03*'01_Вводные'!$F$199,0)</f>
        <v/>
      </c>
      <c r="D167" s="190">
        <f>IF(IF('01_Вводные'!$B$296="Новый сезон",FALSE,FALSE),D55*CapacityAge03*'01_Вводные'!$F$199,0)</f>
        <v/>
      </c>
      <c r="E167" s="190">
        <f>IF(IF('01_Вводные'!$B$296="Новый сезон",FALSE,FALSE),E55*CapacityAge03*'01_Вводные'!$F$199,0)</f>
        <v/>
      </c>
      <c r="F167" s="190">
        <f>IF(IF('01_Вводные'!$B$296="Новый сезон",FALSE,FALSE),F55*CapacityAge03*'01_Вводные'!$F$199,0)</f>
        <v/>
      </c>
      <c r="G167" s="190">
        <f>IF(IF('01_Вводные'!$B$296="Новый сезон",FALSE,FALSE),G55*CapacityAge03*'01_Вводные'!$F$199,0)</f>
        <v/>
      </c>
      <c r="H167" s="190">
        <f>IF(IF('01_Вводные'!$B$296="Новый сезон",FALSE,FALSE),H55*CapacityAge03*'01_Вводные'!$F$199,0)</f>
        <v/>
      </c>
      <c r="I167" s="190">
        <f>IF(IF('01_Вводные'!$B$296="Новый сезон",FALSE,FALSE),I55*CapacityAge03*'01_Вводные'!$F$199,0)</f>
        <v/>
      </c>
      <c r="J167" s="190">
        <f>IF(IF('01_Вводные'!$B$296="Новый сезон",FALSE,FALSE),J55*CapacityAge03*'01_Вводные'!$F$199,0)</f>
        <v/>
      </c>
      <c r="K167" s="190">
        <f>IF(IF('01_Вводные'!$B$296="Новый сезон",FALSE,FALSE),K55*CapacityAge03*'01_Вводные'!$F$199,0)</f>
        <v/>
      </c>
      <c r="L167" s="190">
        <f>IF(IF('01_Вводные'!$B$296="Новый сезон",FALSE,FALSE),L55*CapacityAge03*'01_Вводные'!$F$199,0)</f>
        <v/>
      </c>
      <c r="M167" s="190">
        <f>IF(IF('01_Вводные'!$B$296="Новый сезон",FALSE,FALSE),M55*CapacityAge03*'01_Вводные'!$F$199,0)</f>
        <v/>
      </c>
      <c r="N167" s="190">
        <f>IF(IF('01_Вводные'!$B$296="Новый сезон",FALSE,FALSE),N55*CapacityAge03*'01_Вводные'!$F$199,0)</f>
        <v/>
      </c>
      <c r="O167" s="190">
        <f>IF(IF('01_Вводные'!$B$296="Новый сезон",FALSE,FALSE),O55*CapacityAge03*'01_Вводные'!$F$199,0)</f>
        <v/>
      </c>
      <c r="P167" s="190">
        <f>IF(IF('01_Вводные'!$B$296="Новый сезон",FALSE,FALSE),P55*CapacityAge03*'01_Вводные'!$F$199,0)</f>
        <v/>
      </c>
      <c r="Q167" s="190">
        <f>IF(IF('01_Вводные'!$B$296="Новый сезон",FALSE,FALSE),Q55*CapacityAge03*'01_Вводные'!$F$199,0)</f>
        <v/>
      </c>
      <c r="R167" s="190">
        <f>IF(IF('01_Вводные'!$B$296="Новый сезон",FALSE,FALSE),R55*CapacityAge03*'01_Вводные'!$F$199,0)</f>
        <v/>
      </c>
      <c r="S167" s="190">
        <f>IF(IF('01_Вводные'!$B$296="Новый сезон",FALSE,FALSE),S55*CapacityAge03*'01_Вводные'!$F$199,0)</f>
        <v/>
      </c>
      <c r="T167" s="190">
        <f>IF(IF('01_Вводные'!$B$296="Новый сезон",FALSE,FALSE),T55*CapacityAge03*'01_Вводные'!$F$199,0)</f>
        <v/>
      </c>
      <c r="U167" s="190">
        <f>IF(IF('01_Вводные'!$B$296="Новый сезон",FALSE,FALSE),U55*CapacityAge03*'01_Вводные'!$F$199,0)</f>
        <v/>
      </c>
      <c r="V167" s="190">
        <f>IF(IF('01_Вводные'!$B$296="Новый сезон",FALSE,FALSE),V55*CapacityAge03*'01_Вводные'!$F$199,0)</f>
        <v/>
      </c>
      <c r="W167" s="190">
        <f>IF(IF('01_Вводные'!$B$296="Новый сезон",FALSE,FALSE),W55*CapacityAge03*'01_Вводные'!$F$199,0)</f>
        <v/>
      </c>
      <c r="X167" s="190">
        <f>IF(IF('01_Вводные'!$B$296="Новый сезон",FALSE,FALSE),X55*CapacityAge03*'01_Вводные'!$F$199,0)</f>
        <v/>
      </c>
      <c r="Y167" s="190">
        <f>IF(IF('01_Вводные'!$B$296="Новый сезон",FALSE,FALSE),Y55*CapacityAge03*'01_Вводные'!$F$199,0)</f>
        <v/>
      </c>
      <c r="Z167" s="190">
        <f>IF(IF('01_Вводные'!$B$296="Новый сезон",FALSE,FALSE),Z55*CapacityAge03*'01_Вводные'!$F$199,0)</f>
        <v/>
      </c>
      <c r="AA167" s="190">
        <f>IF(IF('01_Вводные'!$B$296="Новый сезон",FALSE,FALSE),AA55*CapacityAge03*'01_Вводные'!$F$199,0)</f>
        <v/>
      </c>
      <c r="AB167" s="190">
        <f>IF(IF('01_Вводные'!$B$296="Новый сезон",FALSE,FALSE),AB55*CapacityAge03*'01_Вводные'!$F$199,0)</f>
        <v/>
      </c>
      <c r="AC167" s="190">
        <f>IF(IF('01_Вводные'!$B$296="Новый сезон",FALSE,FALSE),AC55*CapacityAge03*'01_Вводные'!$F$199,0)</f>
        <v/>
      </c>
      <c r="AD167" s="190">
        <f>IF(IF('01_Вводные'!$B$296="Новый сезон",FALSE,FALSE),AD55*CapacityAge03*'01_Вводные'!$F$199,0)</f>
        <v/>
      </c>
      <c r="AE167" s="190">
        <f>IF(IF('01_Вводные'!$B$296="Новый сезон",FALSE,FALSE),AE55*CapacityAge03*'01_Вводные'!$F$199,0)</f>
        <v/>
      </c>
      <c r="AF167" s="190">
        <f>IF(IF('01_Вводные'!$B$296="Новый сезон",FALSE,FALSE),AF55*CapacityAge03*'01_Вводные'!$F$199,0)</f>
        <v/>
      </c>
      <c r="AG167" s="190">
        <f>IF(IF('01_Вводные'!$B$296="Новый сезон",FALSE,FALSE),AG55*CapacityAge03*'01_Вводные'!$F$199,0)</f>
        <v/>
      </c>
      <c r="AH167" s="190">
        <f>IF(IF('01_Вводные'!$B$296="Новый сезон",FALSE,FALSE),AH55*CapacityAge03*'01_Вводные'!$F$199,0)</f>
        <v/>
      </c>
      <c r="AI167" s="190">
        <f>IF(IF('01_Вводные'!$B$296="Новый сезон",FALSE,FALSE),AI55*CapacityAge03*'01_Вводные'!$F$199,0)</f>
        <v/>
      </c>
      <c r="AJ167" s="190">
        <f>IF(IF('01_Вводные'!$B$296="Новый сезон",FALSE,FALSE),AJ55*CapacityAge03*'01_Вводные'!$F$199,0)</f>
        <v/>
      </c>
      <c r="AK167" s="190">
        <f>IF(IF('01_Вводные'!$B$296="Новый сезон",FALSE,FALSE),AK55*CapacityAge03*'01_Вводные'!$F$199,0)</f>
        <v/>
      </c>
      <c r="AL167" s="190">
        <f>IF(IF('01_Вводные'!$B$296="Новый сезон",FALSE,FALSE),AL55*CapacityAge03*'01_Вводные'!$F$199,0)</f>
        <v/>
      </c>
      <c r="AM167" s="190">
        <f>IF(IF('01_Вводные'!$B$296="Новый сезон",FALSE,FALSE),AM55*CapacityAge03*'01_Вводные'!$F$199,0)</f>
        <v/>
      </c>
      <c r="AN167" s="190">
        <f>IF(IF('01_Вводные'!$B$296="Новый сезон",FALSE,FALSE),AN55*CapacityAge03*'01_Вводные'!$F$199,0)</f>
        <v/>
      </c>
      <c r="AO167" s="190">
        <f>IF(IF('01_Вводные'!$B$296="Новый сезон",FALSE,FALSE),AO55*CapacityAge03*'01_Вводные'!$F$199,0)</f>
        <v/>
      </c>
      <c r="AP167" s="190">
        <f>IF(IF('01_Вводные'!$B$296="Новый сезон",FALSE,FALSE),AP55*CapacityAge03*'01_Вводные'!$F$199,0)</f>
        <v/>
      </c>
      <c r="AQ167" s="190">
        <f>IF(IF('01_Вводные'!$B$296="Новый сезон",FALSE,FALSE),AQ55*CapacityAge03*'01_Вводные'!$F$199,0)</f>
        <v/>
      </c>
      <c r="AR167" s="190">
        <f>IF(IF('01_Вводные'!$B$296="Новый сезон",FALSE,FALSE),AR55*CapacityAge03*'01_Вводные'!$F$199,0)</f>
        <v/>
      </c>
      <c r="AS167" s="190">
        <f>IF(IF('01_Вводные'!$B$296="Новый сезон",FALSE,FALSE),AS55*CapacityAge03*'01_Вводные'!$F$199,0)</f>
        <v/>
      </c>
      <c r="AT167" s="190">
        <f>IF(IF('01_Вводные'!$B$296="Новый сезон",FALSE,FALSE),AT55*CapacityAge03*'01_Вводные'!$F$199,0)</f>
        <v/>
      </c>
      <c r="AU167" s="190">
        <f>IF(IF('01_Вводные'!$B$296="Новый сезон",FALSE,FALSE),AU55*CapacityAge03*'01_Вводные'!$F$199,0)</f>
        <v/>
      </c>
      <c r="AV167" s="190">
        <f>IF(IF('01_Вводные'!$B$296="Новый сезон",FALSE,FALSE),AV55*CapacityAge03*'01_Вводные'!$F$199,0)</f>
        <v/>
      </c>
      <c r="AW167" s="190">
        <f>IF(IF('01_Вводные'!$B$296="Новый сезон",FALSE,FALSE),AW55*CapacityAge03*'01_Вводные'!$F$199,0)</f>
        <v/>
      </c>
      <c r="AX167" s="190">
        <f>IF(IF('01_Вводные'!$B$296="Новый сезон",FALSE,FALSE),AX55*CapacityAge03*'01_Вводные'!$F$199,0)</f>
        <v/>
      </c>
      <c r="AY167" s="190">
        <f>IF(IF('01_Вводные'!$B$296="Новый сезон",FALSE,FALSE),AY55*CapacityAge03*'01_Вводные'!$F$199,0)</f>
        <v/>
      </c>
      <c r="AZ167" s="190">
        <f>IF(IF('01_Вводные'!$B$296="Новый сезон",FALSE,FALSE),AZ55*CapacityAge03*'01_Вводные'!$F$199,0)</f>
        <v/>
      </c>
      <c r="BA167" s="190">
        <f>IF(IF('01_Вводные'!$B$296="Новый сезон",FALSE,FALSE),BA55*CapacityAge03*'01_Вводные'!$F$199,0)</f>
        <v/>
      </c>
      <c r="BB167" s="190">
        <f>IF(IF('01_Вводные'!$B$296="Новый сезон",FALSE,FALSE),BB55*CapacityAge03*'01_Вводные'!$F$199,0)</f>
        <v/>
      </c>
      <c r="BC167" s="190">
        <f>IF(IF('01_Вводные'!$B$296="Новый сезон",FALSE,FALSE),BC55*CapacityAge03*'01_Вводные'!$F$199,0)</f>
        <v/>
      </c>
      <c r="BD167" s="190">
        <f>IF(IF('01_Вводные'!$B$296="Новый сезон",FALSE,FALSE),BD55*CapacityAge03*'01_Вводные'!$F$199,0)</f>
        <v/>
      </c>
      <c r="BE167" s="190">
        <f>IF(IF('01_Вводные'!$B$296="Новый сезон",FALSE,FALSE),BE55*CapacityAge03*'01_Вводные'!$F$199,0)</f>
        <v/>
      </c>
      <c r="BF167" s="190">
        <f>IF(IF('01_Вводные'!$B$296="Новый сезон",FALSE,FALSE),BF55*CapacityAge03*'01_Вводные'!$F$199,0)</f>
        <v/>
      </c>
      <c r="BG167" s="190">
        <f>IF(IF('01_Вводные'!$B$296="Новый сезон",FALSE,FALSE),BG55*CapacityAge03*'01_Вводные'!$F$199,0)</f>
        <v/>
      </c>
      <c r="BH167" s="190">
        <f>IF(IF('01_Вводные'!$B$296="Новый сезон",FALSE,FALSE),BH55*CapacityAge03*'01_Вводные'!$F$199,0)</f>
        <v/>
      </c>
      <c r="BI167" s="190">
        <f>IF(IF('01_Вводные'!$B$296="Новый сезон",FALSE,FALSE),BI55*CapacityAge03*'01_Вводные'!$F$199,0)</f>
        <v/>
      </c>
      <c r="BJ167" s="190">
        <f>IF(IF('01_Вводные'!$B$296="Новый сезон",FALSE,FALSE),BJ55*CapacityAge03*'01_Вводные'!$F$199,0)</f>
        <v/>
      </c>
      <c r="BK167" s="190">
        <f>IF(IF('01_Вводные'!$B$296="Новый сезон",FALSE,FALSE),BK55*CapacityAge03*'01_Вводные'!$F$199,0)</f>
        <v/>
      </c>
      <c r="BL167" s="190">
        <f>IF(IF('01_Вводные'!$B$296="Новый сезон",FALSE,FALSE),BL55*CapacityAge03*'01_Вводные'!$F$199,0)</f>
        <v/>
      </c>
      <c r="BM167" s="190">
        <f>IF(IF('01_Вводные'!$B$296="Новый сезон",FALSE,FALSE),BM55*CapacityAge03*'01_Вводные'!$F$199,0)</f>
        <v/>
      </c>
      <c r="BN167" s="190">
        <f>IF(IF('01_Вводные'!$B$296="Новый сезон",FALSE,FALSE),BN55*CapacityAge03*'01_Вводные'!$F$199,0)</f>
        <v/>
      </c>
      <c r="BO167" s="190">
        <f>IF(IF('01_Вводные'!$B$296="Новый сезон",FALSE,FALSE),BO55*CapacityAge03*'01_Вводные'!$F$199,0)</f>
        <v/>
      </c>
    </row>
    <row r="168" hidden="1" outlineLevel="1">
      <c r="A168" t="inlineStr">
        <is>
          <t>4 мес.</t>
        </is>
      </c>
      <c r="B168" s="190">
        <f>IF(IF('01_Вводные'!$B$296="Новый сезон",FALSE,FALSE),B56*CapacityAge04*'01_Вводные'!$F$199,0)</f>
        <v/>
      </c>
      <c r="C168" s="190">
        <f>IF(IF('01_Вводные'!$B$296="Новый сезон",FALSE,FALSE),C56*CapacityAge04*'01_Вводные'!$F$199,0)</f>
        <v/>
      </c>
      <c r="D168" s="190">
        <f>IF(IF('01_Вводные'!$B$296="Новый сезон",FALSE,FALSE),D56*CapacityAge04*'01_Вводные'!$F$199,0)</f>
        <v/>
      </c>
      <c r="E168" s="190">
        <f>IF(IF('01_Вводные'!$B$296="Новый сезон",FALSE,FALSE),E56*CapacityAge04*'01_Вводные'!$F$199,0)</f>
        <v/>
      </c>
      <c r="F168" s="190">
        <f>IF(IF('01_Вводные'!$B$296="Новый сезон",FALSE,FALSE),F56*CapacityAge04*'01_Вводные'!$F$199,0)</f>
        <v/>
      </c>
      <c r="G168" s="190">
        <f>IF(IF('01_Вводные'!$B$296="Новый сезон",FALSE,FALSE),G56*CapacityAge04*'01_Вводные'!$F$199,0)</f>
        <v/>
      </c>
      <c r="H168" s="190">
        <f>IF(IF('01_Вводные'!$B$296="Новый сезон",FALSE,FALSE),H56*CapacityAge04*'01_Вводные'!$F$199,0)</f>
        <v/>
      </c>
      <c r="I168" s="190">
        <f>IF(IF('01_Вводные'!$B$296="Новый сезон",FALSE,FALSE),I56*CapacityAge04*'01_Вводные'!$F$199,0)</f>
        <v/>
      </c>
      <c r="J168" s="190">
        <f>IF(IF('01_Вводные'!$B$296="Новый сезон",FALSE,FALSE),J56*CapacityAge04*'01_Вводные'!$F$199,0)</f>
        <v/>
      </c>
      <c r="K168" s="190">
        <f>IF(IF('01_Вводные'!$B$296="Новый сезон",FALSE,FALSE),K56*CapacityAge04*'01_Вводные'!$F$199,0)</f>
        <v/>
      </c>
      <c r="L168" s="190">
        <f>IF(IF('01_Вводные'!$B$296="Новый сезон",FALSE,FALSE),L56*CapacityAge04*'01_Вводные'!$F$199,0)</f>
        <v/>
      </c>
      <c r="M168" s="190">
        <f>IF(IF('01_Вводные'!$B$296="Новый сезон",FALSE,FALSE),M56*CapacityAge04*'01_Вводные'!$F$199,0)</f>
        <v/>
      </c>
      <c r="N168" s="190">
        <f>IF(IF('01_Вводные'!$B$296="Новый сезон",FALSE,FALSE),N56*CapacityAge04*'01_Вводные'!$F$199,0)</f>
        <v/>
      </c>
      <c r="O168" s="190">
        <f>IF(IF('01_Вводные'!$B$296="Новый сезон",FALSE,FALSE),O56*CapacityAge04*'01_Вводные'!$F$199,0)</f>
        <v/>
      </c>
      <c r="P168" s="190">
        <f>IF(IF('01_Вводные'!$B$296="Новый сезон",FALSE,FALSE),P56*CapacityAge04*'01_Вводные'!$F$199,0)</f>
        <v/>
      </c>
      <c r="Q168" s="190">
        <f>IF(IF('01_Вводные'!$B$296="Новый сезон",FALSE,FALSE),Q56*CapacityAge04*'01_Вводные'!$F$199,0)</f>
        <v/>
      </c>
      <c r="R168" s="190">
        <f>IF(IF('01_Вводные'!$B$296="Новый сезон",FALSE,FALSE),R56*CapacityAge04*'01_Вводные'!$F$199,0)</f>
        <v/>
      </c>
      <c r="S168" s="190">
        <f>IF(IF('01_Вводные'!$B$296="Новый сезон",FALSE,FALSE),S56*CapacityAge04*'01_Вводные'!$F$199,0)</f>
        <v/>
      </c>
      <c r="T168" s="190">
        <f>IF(IF('01_Вводные'!$B$296="Новый сезон",FALSE,FALSE),T56*CapacityAge04*'01_Вводные'!$F$199,0)</f>
        <v/>
      </c>
      <c r="U168" s="190">
        <f>IF(IF('01_Вводные'!$B$296="Новый сезон",FALSE,FALSE),U56*CapacityAge04*'01_Вводные'!$F$199,0)</f>
        <v/>
      </c>
      <c r="V168" s="190">
        <f>IF(IF('01_Вводные'!$B$296="Новый сезон",FALSE,FALSE),V56*CapacityAge04*'01_Вводные'!$F$199,0)</f>
        <v/>
      </c>
      <c r="W168" s="190">
        <f>IF(IF('01_Вводные'!$B$296="Новый сезон",FALSE,FALSE),W56*CapacityAge04*'01_Вводные'!$F$199,0)</f>
        <v/>
      </c>
      <c r="X168" s="190">
        <f>IF(IF('01_Вводные'!$B$296="Новый сезон",FALSE,FALSE),X56*CapacityAge04*'01_Вводные'!$F$199,0)</f>
        <v/>
      </c>
      <c r="Y168" s="190">
        <f>IF(IF('01_Вводные'!$B$296="Новый сезон",FALSE,FALSE),Y56*CapacityAge04*'01_Вводные'!$F$199,0)</f>
        <v/>
      </c>
      <c r="Z168" s="190">
        <f>IF(IF('01_Вводные'!$B$296="Новый сезон",FALSE,FALSE),Z56*CapacityAge04*'01_Вводные'!$F$199,0)</f>
        <v/>
      </c>
      <c r="AA168" s="190">
        <f>IF(IF('01_Вводные'!$B$296="Новый сезон",FALSE,FALSE),AA56*CapacityAge04*'01_Вводные'!$F$199,0)</f>
        <v/>
      </c>
      <c r="AB168" s="190">
        <f>IF(IF('01_Вводные'!$B$296="Новый сезон",FALSE,FALSE),AB56*CapacityAge04*'01_Вводные'!$F$199,0)</f>
        <v/>
      </c>
      <c r="AC168" s="190">
        <f>IF(IF('01_Вводные'!$B$296="Новый сезон",FALSE,FALSE),AC56*CapacityAge04*'01_Вводные'!$F$199,0)</f>
        <v/>
      </c>
      <c r="AD168" s="190">
        <f>IF(IF('01_Вводные'!$B$296="Новый сезон",FALSE,FALSE),AD56*CapacityAge04*'01_Вводные'!$F$199,0)</f>
        <v/>
      </c>
      <c r="AE168" s="190">
        <f>IF(IF('01_Вводные'!$B$296="Новый сезон",FALSE,FALSE),AE56*CapacityAge04*'01_Вводные'!$F$199,0)</f>
        <v/>
      </c>
      <c r="AF168" s="190">
        <f>IF(IF('01_Вводные'!$B$296="Новый сезон",FALSE,FALSE),AF56*CapacityAge04*'01_Вводные'!$F$199,0)</f>
        <v/>
      </c>
      <c r="AG168" s="190">
        <f>IF(IF('01_Вводные'!$B$296="Новый сезон",FALSE,FALSE),AG56*CapacityAge04*'01_Вводные'!$F$199,0)</f>
        <v/>
      </c>
      <c r="AH168" s="190">
        <f>IF(IF('01_Вводные'!$B$296="Новый сезон",FALSE,FALSE),AH56*CapacityAge04*'01_Вводные'!$F$199,0)</f>
        <v/>
      </c>
      <c r="AI168" s="190">
        <f>IF(IF('01_Вводные'!$B$296="Новый сезон",FALSE,FALSE),AI56*CapacityAge04*'01_Вводные'!$F$199,0)</f>
        <v/>
      </c>
      <c r="AJ168" s="190">
        <f>IF(IF('01_Вводные'!$B$296="Новый сезон",FALSE,FALSE),AJ56*CapacityAge04*'01_Вводные'!$F$199,0)</f>
        <v/>
      </c>
      <c r="AK168" s="190">
        <f>IF(IF('01_Вводные'!$B$296="Новый сезон",FALSE,FALSE),AK56*CapacityAge04*'01_Вводные'!$F$199,0)</f>
        <v/>
      </c>
      <c r="AL168" s="190">
        <f>IF(IF('01_Вводные'!$B$296="Новый сезон",FALSE,FALSE),AL56*CapacityAge04*'01_Вводные'!$F$199,0)</f>
        <v/>
      </c>
      <c r="AM168" s="190">
        <f>IF(IF('01_Вводные'!$B$296="Новый сезон",FALSE,FALSE),AM56*CapacityAge04*'01_Вводные'!$F$199,0)</f>
        <v/>
      </c>
      <c r="AN168" s="190">
        <f>IF(IF('01_Вводные'!$B$296="Новый сезон",FALSE,FALSE),AN56*CapacityAge04*'01_Вводные'!$F$199,0)</f>
        <v/>
      </c>
      <c r="AO168" s="190">
        <f>IF(IF('01_Вводные'!$B$296="Новый сезон",FALSE,FALSE),AO56*CapacityAge04*'01_Вводные'!$F$199,0)</f>
        <v/>
      </c>
      <c r="AP168" s="190">
        <f>IF(IF('01_Вводные'!$B$296="Новый сезон",FALSE,FALSE),AP56*CapacityAge04*'01_Вводные'!$F$199,0)</f>
        <v/>
      </c>
      <c r="AQ168" s="190">
        <f>IF(IF('01_Вводные'!$B$296="Новый сезон",FALSE,FALSE),AQ56*CapacityAge04*'01_Вводные'!$F$199,0)</f>
        <v/>
      </c>
      <c r="AR168" s="190">
        <f>IF(IF('01_Вводные'!$B$296="Новый сезон",FALSE,FALSE),AR56*CapacityAge04*'01_Вводные'!$F$199,0)</f>
        <v/>
      </c>
      <c r="AS168" s="190">
        <f>IF(IF('01_Вводные'!$B$296="Новый сезон",FALSE,FALSE),AS56*CapacityAge04*'01_Вводные'!$F$199,0)</f>
        <v/>
      </c>
      <c r="AT168" s="190">
        <f>IF(IF('01_Вводные'!$B$296="Новый сезон",FALSE,FALSE),AT56*CapacityAge04*'01_Вводные'!$F$199,0)</f>
        <v/>
      </c>
      <c r="AU168" s="190">
        <f>IF(IF('01_Вводные'!$B$296="Новый сезон",FALSE,FALSE),AU56*CapacityAge04*'01_Вводные'!$F$199,0)</f>
        <v/>
      </c>
      <c r="AV168" s="190">
        <f>IF(IF('01_Вводные'!$B$296="Новый сезон",FALSE,FALSE),AV56*CapacityAge04*'01_Вводные'!$F$199,0)</f>
        <v/>
      </c>
      <c r="AW168" s="190">
        <f>IF(IF('01_Вводные'!$B$296="Новый сезон",FALSE,FALSE),AW56*CapacityAge04*'01_Вводные'!$F$199,0)</f>
        <v/>
      </c>
      <c r="AX168" s="190">
        <f>IF(IF('01_Вводные'!$B$296="Новый сезон",FALSE,FALSE),AX56*CapacityAge04*'01_Вводные'!$F$199,0)</f>
        <v/>
      </c>
      <c r="AY168" s="190">
        <f>IF(IF('01_Вводные'!$B$296="Новый сезон",FALSE,FALSE),AY56*CapacityAge04*'01_Вводные'!$F$199,0)</f>
        <v/>
      </c>
      <c r="AZ168" s="190">
        <f>IF(IF('01_Вводные'!$B$296="Новый сезон",FALSE,FALSE),AZ56*CapacityAge04*'01_Вводные'!$F$199,0)</f>
        <v/>
      </c>
      <c r="BA168" s="190">
        <f>IF(IF('01_Вводные'!$B$296="Новый сезон",FALSE,FALSE),BA56*CapacityAge04*'01_Вводные'!$F$199,0)</f>
        <v/>
      </c>
      <c r="BB168" s="190">
        <f>IF(IF('01_Вводные'!$B$296="Новый сезон",FALSE,FALSE),BB56*CapacityAge04*'01_Вводные'!$F$199,0)</f>
        <v/>
      </c>
      <c r="BC168" s="190">
        <f>IF(IF('01_Вводные'!$B$296="Новый сезон",FALSE,FALSE),BC56*CapacityAge04*'01_Вводные'!$F$199,0)</f>
        <v/>
      </c>
      <c r="BD168" s="190">
        <f>IF(IF('01_Вводные'!$B$296="Новый сезон",FALSE,FALSE),BD56*CapacityAge04*'01_Вводные'!$F$199,0)</f>
        <v/>
      </c>
      <c r="BE168" s="190">
        <f>IF(IF('01_Вводные'!$B$296="Новый сезон",FALSE,FALSE),BE56*CapacityAge04*'01_Вводные'!$F$199,0)</f>
        <v/>
      </c>
      <c r="BF168" s="190">
        <f>IF(IF('01_Вводные'!$B$296="Новый сезон",FALSE,FALSE),BF56*CapacityAge04*'01_Вводные'!$F$199,0)</f>
        <v/>
      </c>
      <c r="BG168" s="190">
        <f>IF(IF('01_Вводные'!$B$296="Новый сезон",FALSE,FALSE),BG56*CapacityAge04*'01_Вводные'!$F$199,0)</f>
        <v/>
      </c>
      <c r="BH168" s="190">
        <f>IF(IF('01_Вводные'!$B$296="Новый сезон",FALSE,FALSE),BH56*CapacityAge04*'01_Вводные'!$F$199,0)</f>
        <v/>
      </c>
      <c r="BI168" s="190">
        <f>IF(IF('01_Вводные'!$B$296="Новый сезон",FALSE,FALSE),BI56*CapacityAge04*'01_Вводные'!$F$199,0)</f>
        <v/>
      </c>
      <c r="BJ168" s="190">
        <f>IF(IF('01_Вводные'!$B$296="Новый сезон",FALSE,FALSE),BJ56*CapacityAge04*'01_Вводные'!$F$199,0)</f>
        <v/>
      </c>
      <c r="BK168" s="190">
        <f>IF(IF('01_Вводные'!$B$296="Новый сезон",FALSE,FALSE),BK56*CapacityAge04*'01_Вводные'!$F$199,0)</f>
        <v/>
      </c>
      <c r="BL168" s="190">
        <f>IF(IF('01_Вводные'!$B$296="Новый сезон",FALSE,FALSE),BL56*CapacityAge04*'01_Вводные'!$F$199,0)</f>
        <v/>
      </c>
      <c r="BM168" s="190">
        <f>IF(IF('01_Вводные'!$B$296="Новый сезон",FALSE,FALSE),BM56*CapacityAge04*'01_Вводные'!$F$199,0)</f>
        <v/>
      </c>
      <c r="BN168" s="190">
        <f>IF(IF('01_Вводные'!$B$296="Новый сезон",FALSE,FALSE),BN56*CapacityAge04*'01_Вводные'!$F$199,0)</f>
        <v/>
      </c>
      <c r="BO168" s="190">
        <f>IF(IF('01_Вводные'!$B$296="Новый сезон",FALSE,FALSE),BO56*CapacityAge04*'01_Вводные'!$F$199,0)</f>
        <v/>
      </c>
    </row>
    <row r="169" hidden="1" outlineLevel="1">
      <c r="A169" t="inlineStr">
        <is>
          <t>5 мес.</t>
        </is>
      </c>
      <c r="B169" s="190">
        <f>IF(IF('01_Вводные'!$B$296="Новый сезон",5-1&gt;MOD(MONTH(B$3)-9,12),FALSE),B57*CapacityAge05*'01_Вводные'!$F$199,0)</f>
        <v/>
      </c>
      <c r="C169" s="190">
        <f>IF(IF('01_Вводные'!$B$296="Новый сезон",5-1&gt;MOD(MONTH(C$3)-9,12),FALSE),C57*CapacityAge05*'01_Вводные'!$F$199,0)</f>
        <v/>
      </c>
      <c r="D169" s="190">
        <f>IF(IF('01_Вводные'!$B$296="Новый сезон",5-1&gt;MOD(MONTH(D$3)-9,12),FALSE),D57*CapacityAge05*'01_Вводные'!$F$199,0)</f>
        <v/>
      </c>
      <c r="E169" s="190">
        <f>IF(IF('01_Вводные'!$B$296="Новый сезон",5-1&gt;MOD(MONTH(E$3)-9,12),FALSE),E57*CapacityAge05*'01_Вводные'!$F$199,0)</f>
        <v/>
      </c>
      <c r="F169" s="190">
        <f>IF(IF('01_Вводные'!$B$296="Новый сезон",5-1&gt;MOD(MONTH(F$3)-9,12),FALSE),F57*CapacityAge05*'01_Вводные'!$F$199,0)</f>
        <v/>
      </c>
      <c r="G169" s="190">
        <f>IF(IF('01_Вводные'!$B$296="Новый сезон",5-1&gt;MOD(MONTH(G$3)-9,12),FALSE),G57*CapacityAge05*'01_Вводные'!$F$199,0)</f>
        <v/>
      </c>
      <c r="H169" s="190">
        <f>IF(IF('01_Вводные'!$B$296="Новый сезон",5-1&gt;MOD(MONTH(H$3)-9,12),FALSE),H57*CapacityAge05*'01_Вводные'!$F$199,0)</f>
        <v/>
      </c>
      <c r="I169" s="190">
        <f>IF(IF('01_Вводные'!$B$296="Новый сезон",5-1&gt;MOD(MONTH(I$3)-9,12),FALSE),I57*CapacityAge05*'01_Вводные'!$F$199,0)</f>
        <v/>
      </c>
      <c r="J169" s="190">
        <f>IF(IF('01_Вводные'!$B$296="Новый сезон",5-1&gt;MOD(MONTH(J$3)-9,12),FALSE),J57*CapacityAge05*'01_Вводные'!$F$199,0)</f>
        <v/>
      </c>
      <c r="K169" s="190">
        <f>IF(IF('01_Вводные'!$B$296="Новый сезон",5-1&gt;MOD(MONTH(K$3)-9,12),FALSE),K57*CapacityAge05*'01_Вводные'!$F$199,0)</f>
        <v/>
      </c>
      <c r="L169" s="190">
        <f>IF(IF('01_Вводные'!$B$296="Новый сезон",5-1&gt;MOD(MONTH(L$3)-9,12),FALSE),L57*CapacityAge05*'01_Вводные'!$F$199,0)</f>
        <v/>
      </c>
      <c r="M169" s="190">
        <f>IF(IF('01_Вводные'!$B$296="Новый сезон",5-1&gt;MOD(MONTH(M$3)-9,12),FALSE),M57*CapacityAge05*'01_Вводные'!$F$199,0)</f>
        <v/>
      </c>
      <c r="N169" s="190">
        <f>IF(IF('01_Вводные'!$B$296="Новый сезон",5-1&gt;MOD(MONTH(N$3)-9,12),FALSE),N57*CapacityAge05*'01_Вводные'!$F$199,0)</f>
        <v/>
      </c>
      <c r="O169" s="190">
        <f>IF(IF('01_Вводные'!$B$296="Новый сезон",5-1&gt;MOD(MONTH(O$3)-9,12),FALSE),O57*CapacityAge05*'01_Вводные'!$F$199,0)</f>
        <v/>
      </c>
      <c r="P169" s="190">
        <f>IF(IF('01_Вводные'!$B$296="Новый сезон",5-1&gt;MOD(MONTH(P$3)-9,12),FALSE),P57*CapacityAge05*'01_Вводные'!$F$199,0)</f>
        <v/>
      </c>
      <c r="Q169" s="190">
        <f>IF(IF('01_Вводные'!$B$296="Новый сезон",5-1&gt;MOD(MONTH(Q$3)-9,12),FALSE),Q57*CapacityAge05*'01_Вводные'!$F$199,0)</f>
        <v/>
      </c>
      <c r="R169" s="190">
        <f>IF(IF('01_Вводные'!$B$296="Новый сезон",5-1&gt;MOD(MONTH(R$3)-9,12),FALSE),R57*CapacityAge05*'01_Вводные'!$F$199,0)</f>
        <v/>
      </c>
      <c r="S169" s="190">
        <f>IF(IF('01_Вводные'!$B$296="Новый сезон",5-1&gt;MOD(MONTH(S$3)-9,12),FALSE),S57*CapacityAge05*'01_Вводные'!$F$199,0)</f>
        <v/>
      </c>
      <c r="T169" s="190">
        <f>IF(IF('01_Вводные'!$B$296="Новый сезон",5-1&gt;MOD(MONTH(T$3)-9,12),FALSE),T57*CapacityAge05*'01_Вводные'!$F$199,0)</f>
        <v/>
      </c>
      <c r="U169" s="190">
        <f>IF(IF('01_Вводные'!$B$296="Новый сезон",5-1&gt;MOD(MONTH(U$3)-9,12),FALSE),U57*CapacityAge05*'01_Вводные'!$F$199,0)</f>
        <v/>
      </c>
      <c r="V169" s="190">
        <f>IF(IF('01_Вводные'!$B$296="Новый сезон",5-1&gt;MOD(MONTH(V$3)-9,12),FALSE),V57*CapacityAge05*'01_Вводные'!$F$199,0)</f>
        <v/>
      </c>
      <c r="W169" s="190">
        <f>IF(IF('01_Вводные'!$B$296="Новый сезон",5-1&gt;MOD(MONTH(W$3)-9,12),FALSE),W57*CapacityAge05*'01_Вводные'!$F$199,0)</f>
        <v/>
      </c>
      <c r="X169" s="190">
        <f>IF(IF('01_Вводные'!$B$296="Новый сезон",5-1&gt;MOD(MONTH(X$3)-9,12),FALSE),X57*CapacityAge05*'01_Вводные'!$F$199,0)</f>
        <v/>
      </c>
      <c r="Y169" s="190">
        <f>IF(IF('01_Вводные'!$B$296="Новый сезон",5-1&gt;MOD(MONTH(Y$3)-9,12),FALSE),Y57*CapacityAge05*'01_Вводные'!$F$199,0)</f>
        <v/>
      </c>
      <c r="Z169" s="190">
        <f>IF(IF('01_Вводные'!$B$296="Новый сезон",5-1&gt;MOD(MONTH(Z$3)-9,12),FALSE),Z57*CapacityAge05*'01_Вводные'!$F$199,0)</f>
        <v/>
      </c>
      <c r="AA169" s="190">
        <f>IF(IF('01_Вводные'!$B$296="Новый сезон",5-1&gt;MOD(MONTH(AA$3)-9,12),FALSE),AA57*CapacityAge05*'01_Вводные'!$F$199,0)</f>
        <v/>
      </c>
      <c r="AB169" s="190">
        <f>IF(IF('01_Вводные'!$B$296="Новый сезон",5-1&gt;MOD(MONTH(AB$3)-9,12),FALSE),AB57*CapacityAge05*'01_Вводные'!$F$199,0)</f>
        <v/>
      </c>
      <c r="AC169" s="190">
        <f>IF(IF('01_Вводные'!$B$296="Новый сезон",5-1&gt;MOD(MONTH(AC$3)-9,12),FALSE),AC57*CapacityAge05*'01_Вводные'!$F$199,0)</f>
        <v/>
      </c>
      <c r="AD169" s="190">
        <f>IF(IF('01_Вводные'!$B$296="Новый сезон",5-1&gt;MOD(MONTH(AD$3)-9,12),FALSE),AD57*CapacityAge05*'01_Вводные'!$F$199,0)</f>
        <v/>
      </c>
      <c r="AE169" s="190">
        <f>IF(IF('01_Вводные'!$B$296="Новый сезон",5-1&gt;MOD(MONTH(AE$3)-9,12),FALSE),AE57*CapacityAge05*'01_Вводные'!$F$199,0)</f>
        <v/>
      </c>
      <c r="AF169" s="190">
        <f>IF(IF('01_Вводные'!$B$296="Новый сезон",5-1&gt;MOD(MONTH(AF$3)-9,12),FALSE),AF57*CapacityAge05*'01_Вводные'!$F$199,0)</f>
        <v/>
      </c>
      <c r="AG169" s="190">
        <f>IF(IF('01_Вводные'!$B$296="Новый сезон",5-1&gt;MOD(MONTH(AG$3)-9,12),FALSE),AG57*CapacityAge05*'01_Вводные'!$F$199,0)</f>
        <v/>
      </c>
      <c r="AH169" s="190">
        <f>IF(IF('01_Вводные'!$B$296="Новый сезон",5-1&gt;MOD(MONTH(AH$3)-9,12),FALSE),AH57*CapacityAge05*'01_Вводные'!$F$199,0)</f>
        <v/>
      </c>
      <c r="AI169" s="190">
        <f>IF(IF('01_Вводные'!$B$296="Новый сезон",5-1&gt;MOD(MONTH(AI$3)-9,12),FALSE),AI57*CapacityAge05*'01_Вводные'!$F$199,0)</f>
        <v/>
      </c>
      <c r="AJ169" s="190">
        <f>IF(IF('01_Вводные'!$B$296="Новый сезон",5-1&gt;MOD(MONTH(AJ$3)-9,12),FALSE),AJ57*CapacityAge05*'01_Вводные'!$F$199,0)</f>
        <v/>
      </c>
      <c r="AK169" s="190">
        <f>IF(IF('01_Вводные'!$B$296="Новый сезон",5-1&gt;MOD(MONTH(AK$3)-9,12),FALSE),AK57*CapacityAge05*'01_Вводные'!$F$199,0)</f>
        <v/>
      </c>
      <c r="AL169" s="190">
        <f>IF(IF('01_Вводные'!$B$296="Новый сезон",5-1&gt;MOD(MONTH(AL$3)-9,12),FALSE),AL57*CapacityAge05*'01_Вводные'!$F$199,0)</f>
        <v/>
      </c>
      <c r="AM169" s="190">
        <f>IF(IF('01_Вводные'!$B$296="Новый сезон",5-1&gt;MOD(MONTH(AM$3)-9,12),FALSE),AM57*CapacityAge05*'01_Вводные'!$F$199,0)</f>
        <v/>
      </c>
      <c r="AN169" s="190">
        <f>IF(IF('01_Вводные'!$B$296="Новый сезон",5-1&gt;MOD(MONTH(AN$3)-9,12),FALSE),AN57*CapacityAge05*'01_Вводные'!$F$199,0)</f>
        <v/>
      </c>
      <c r="AO169" s="190">
        <f>IF(IF('01_Вводные'!$B$296="Новый сезон",5-1&gt;MOD(MONTH(AO$3)-9,12),FALSE),AO57*CapacityAge05*'01_Вводные'!$F$199,0)</f>
        <v/>
      </c>
      <c r="AP169" s="190">
        <f>IF(IF('01_Вводные'!$B$296="Новый сезон",5-1&gt;MOD(MONTH(AP$3)-9,12),FALSE),AP57*CapacityAge05*'01_Вводные'!$F$199,0)</f>
        <v/>
      </c>
      <c r="AQ169" s="190">
        <f>IF(IF('01_Вводные'!$B$296="Новый сезон",5-1&gt;MOD(MONTH(AQ$3)-9,12),FALSE),AQ57*CapacityAge05*'01_Вводные'!$F$199,0)</f>
        <v/>
      </c>
      <c r="AR169" s="190">
        <f>IF(IF('01_Вводные'!$B$296="Новый сезон",5-1&gt;MOD(MONTH(AR$3)-9,12),FALSE),AR57*CapacityAge05*'01_Вводные'!$F$199,0)</f>
        <v/>
      </c>
      <c r="AS169" s="190">
        <f>IF(IF('01_Вводные'!$B$296="Новый сезон",5-1&gt;MOD(MONTH(AS$3)-9,12),FALSE),AS57*CapacityAge05*'01_Вводные'!$F$199,0)</f>
        <v/>
      </c>
      <c r="AT169" s="190">
        <f>IF(IF('01_Вводные'!$B$296="Новый сезон",5-1&gt;MOD(MONTH(AT$3)-9,12),FALSE),AT57*CapacityAge05*'01_Вводные'!$F$199,0)</f>
        <v/>
      </c>
      <c r="AU169" s="190">
        <f>IF(IF('01_Вводные'!$B$296="Новый сезон",5-1&gt;MOD(MONTH(AU$3)-9,12),FALSE),AU57*CapacityAge05*'01_Вводные'!$F$199,0)</f>
        <v/>
      </c>
      <c r="AV169" s="190">
        <f>IF(IF('01_Вводные'!$B$296="Новый сезон",5-1&gt;MOD(MONTH(AV$3)-9,12),FALSE),AV57*CapacityAge05*'01_Вводные'!$F$199,0)</f>
        <v/>
      </c>
      <c r="AW169" s="190">
        <f>IF(IF('01_Вводные'!$B$296="Новый сезон",5-1&gt;MOD(MONTH(AW$3)-9,12),FALSE),AW57*CapacityAge05*'01_Вводные'!$F$199,0)</f>
        <v/>
      </c>
      <c r="AX169" s="190">
        <f>IF(IF('01_Вводные'!$B$296="Новый сезон",5-1&gt;MOD(MONTH(AX$3)-9,12),FALSE),AX57*CapacityAge05*'01_Вводные'!$F$199,0)</f>
        <v/>
      </c>
      <c r="AY169" s="190">
        <f>IF(IF('01_Вводные'!$B$296="Новый сезон",5-1&gt;MOD(MONTH(AY$3)-9,12),FALSE),AY57*CapacityAge05*'01_Вводные'!$F$199,0)</f>
        <v/>
      </c>
      <c r="AZ169" s="190">
        <f>IF(IF('01_Вводные'!$B$296="Новый сезон",5-1&gt;MOD(MONTH(AZ$3)-9,12),FALSE),AZ57*CapacityAge05*'01_Вводные'!$F$199,0)</f>
        <v/>
      </c>
      <c r="BA169" s="190">
        <f>IF(IF('01_Вводные'!$B$296="Новый сезон",5-1&gt;MOD(MONTH(BA$3)-9,12),FALSE),BA57*CapacityAge05*'01_Вводные'!$F$199,0)</f>
        <v/>
      </c>
      <c r="BB169" s="190">
        <f>IF(IF('01_Вводные'!$B$296="Новый сезон",5-1&gt;MOD(MONTH(BB$3)-9,12),FALSE),BB57*CapacityAge05*'01_Вводные'!$F$199,0)</f>
        <v/>
      </c>
      <c r="BC169" s="190">
        <f>IF(IF('01_Вводные'!$B$296="Новый сезон",5-1&gt;MOD(MONTH(BC$3)-9,12),FALSE),BC57*CapacityAge05*'01_Вводные'!$F$199,0)</f>
        <v/>
      </c>
      <c r="BD169" s="190">
        <f>IF(IF('01_Вводные'!$B$296="Новый сезон",5-1&gt;MOD(MONTH(BD$3)-9,12),FALSE),BD57*CapacityAge05*'01_Вводные'!$F$199,0)</f>
        <v/>
      </c>
      <c r="BE169" s="190">
        <f>IF(IF('01_Вводные'!$B$296="Новый сезон",5-1&gt;MOD(MONTH(BE$3)-9,12),FALSE),BE57*CapacityAge05*'01_Вводные'!$F$199,0)</f>
        <v/>
      </c>
      <c r="BF169" s="190">
        <f>IF(IF('01_Вводные'!$B$296="Новый сезон",5-1&gt;MOD(MONTH(BF$3)-9,12),FALSE),BF57*CapacityAge05*'01_Вводные'!$F$199,0)</f>
        <v/>
      </c>
      <c r="BG169" s="190">
        <f>IF(IF('01_Вводные'!$B$296="Новый сезон",5-1&gt;MOD(MONTH(BG$3)-9,12),FALSE),BG57*CapacityAge05*'01_Вводные'!$F$199,0)</f>
        <v/>
      </c>
      <c r="BH169" s="190">
        <f>IF(IF('01_Вводные'!$B$296="Новый сезон",5-1&gt;MOD(MONTH(BH$3)-9,12),FALSE),BH57*CapacityAge05*'01_Вводные'!$F$199,0)</f>
        <v/>
      </c>
      <c r="BI169" s="190">
        <f>IF(IF('01_Вводные'!$B$296="Новый сезон",5-1&gt;MOD(MONTH(BI$3)-9,12),FALSE),BI57*CapacityAge05*'01_Вводные'!$F$199,0)</f>
        <v/>
      </c>
      <c r="BJ169" s="190">
        <f>IF(IF('01_Вводные'!$B$296="Новый сезон",5-1&gt;MOD(MONTH(BJ$3)-9,12),FALSE),BJ57*CapacityAge05*'01_Вводные'!$F$199,0)</f>
        <v/>
      </c>
      <c r="BK169" s="190">
        <f>IF(IF('01_Вводные'!$B$296="Новый сезон",5-1&gt;MOD(MONTH(BK$3)-9,12),FALSE),BK57*CapacityAge05*'01_Вводные'!$F$199,0)</f>
        <v/>
      </c>
      <c r="BL169" s="190">
        <f>IF(IF('01_Вводные'!$B$296="Новый сезон",5-1&gt;MOD(MONTH(BL$3)-9,12),FALSE),BL57*CapacityAge05*'01_Вводные'!$F$199,0)</f>
        <v/>
      </c>
      <c r="BM169" s="190">
        <f>IF(IF('01_Вводные'!$B$296="Новый сезон",5-1&gt;MOD(MONTH(BM$3)-9,12),FALSE),BM57*CapacityAge05*'01_Вводные'!$F$199,0)</f>
        <v/>
      </c>
      <c r="BN169" s="190">
        <f>IF(IF('01_Вводные'!$B$296="Новый сезон",5-1&gt;MOD(MONTH(BN$3)-9,12),FALSE),BN57*CapacityAge05*'01_Вводные'!$F$199,0)</f>
        <v/>
      </c>
      <c r="BO169" s="190">
        <f>IF(IF('01_Вводные'!$B$296="Новый сезон",5-1&gt;MOD(MONTH(BO$3)-9,12),FALSE),BO57*CapacityAge05*'01_Вводные'!$F$199,0)</f>
        <v/>
      </c>
    </row>
    <row r="170" hidden="1" outlineLevel="1">
      <c r="A170" t="inlineStr">
        <is>
          <t>6 мес.</t>
        </is>
      </c>
      <c r="B170" s="190">
        <f>IF(IF('01_Вводные'!$B$296="Новый сезон",6-1&gt;MOD(MONTH(B$3)-9,12),FALSE),B58*CapacityAge06*'01_Вводные'!$F$199,0)</f>
        <v/>
      </c>
      <c r="C170" s="190">
        <f>IF(IF('01_Вводные'!$B$296="Новый сезон",6-1&gt;MOD(MONTH(C$3)-9,12),FALSE),C58*CapacityAge06*'01_Вводные'!$F$199,0)</f>
        <v/>
      </c>
      <c r="D170" s="190">
        <f>IF(IF('01_Вводные'!$B$296="Новый сезон",6-1&gt;MOD(MONTH(D$3)-9,12),FALSE),D58*CapacityAge06*'01_Вводные'!$F$199,0)</f>
        <v/>
      </c>
      <c r="E170" s="190">
        <f>IF(IF('01_Вводные'!$B$296="Новый сезон",6-1&gt;MOD(MONTH(E$3)-9,12),FALSE),E58*CapacityAge06*'01_Вводные'!$F$199,0)</f>
        <v/>
      </c>
      <c r="F170" s="190">
        <f>IF(IF('01_Вводные'!$B$296="Новый сезон",6-1&gt;MOD(MONTH(F$3)-9,12),FALSE),F58*CapacityAge06*'01_Вводные'!$F$199,0)</f>
        <v/>
      </c>
      <c r="G170" s="190">
        <f>IF(IF('01_Вводные'!$B$296="Новый сезон",6-1&gt;MOD(MONTH(G$3)-9,12),FALSE),G58*CapacityAge06*'01_Вводные'!$F$199,0)</f>
        <v/>
      </c>
      <c r="H170" s="190">
        <f>IF(IF('01_Вводные'!$B$296="Новый сезон",6-1&gt;MOD(MONTH(H$3)-9,12),FALSE),H58*CapacityAge06*'01_Вводные'!$F$199,0)</f>
        <v/>
      </c>
      <c r="I170" s="190">
        <f>IF(IF('01_Вводные'!$B$296="Новый сезон",6-1&gt;MOD(MONTH(I$3)-9,12),FALSE),I58*CapacityAge06*'01_Вводные'!$F$199,0)</f>
        <v/>
      </c>
      <c r="J170" s="190">
        <f>IF(IF('01_Вводные'!$B$296="Новый сезон",6-1&gt;MOD(MONTH(J$3)-9,12),FALSE),J58*CapacityAge06*'01_Вводные'!$F$199,0)</f>
        <v/>
      </c>
      <c r="K170" s="190">
        <f>IF(IF('01_Вводные'!$B$296="Новый сезон",6-1&gt;MOD(MONTH(K$3)-9,12),FALSE),K58*CapacityAge06*'01_Вводные'!$F$199,0)</f>
        <v/>
      </c>
      <c r="L170" s="190">
        <f>IF(IF('01_Вводные'!$B$296="Новый сезон",6-1&gt;MOD(MONTH(L$3)-9,12),FALSE),L58*CapacityAge06*'01_Вводные'!$F$199,0)</f>
        <v/>
      </c>
      <c r="M170" s="190">
        <f>IF(IF('01_Вводные'!$B$296="Новый сезон",6-1&gt;MOD(MONTH(M$3)-9,12),FALSE),M58*CapacityAge06*'01_Вводные'!$F$199,0)</f>
        <v/>
      </c>
      <c r="N170" s="190">
        <f>IF(IF('01_Вводные'!$B$296="Новый сезон",6-1&gt;MOD(MONTH(N$3)-9,12),FALSE),N58*CapacityAge06*'01_Вводные'!$F$199,0)</f>
        <v/>
      </c>
      <c r="O170" s="190">
        <f>IF(IF('01_Вводные'!$B$296="Новый сезон",6-1&gt;MOD(MONTH(O$3)-9,12),FALSE),O58*CapacityAge06*'01_Вводные'!$F$199,0)</f>
        <v/>
      </c>
      <c r="P170" s="190">
        <f>IF(IF('01_Вводные'!$B$296="Новый сезон",6-1&gt;MOD(MONTH(P$3)-9,12),FALSE),P58*CapacityAge06*'01_Вводные'!$F$199,0)</f>
        <v/>
      </c>
      <c r="Q170" s="190">
        <f>IF(IF('01_Вводные'!$B$296="Новый сезон",6-1&gt;MOD(MONTH(Q$3)-9,12),FALSE),Q58*CapacityAge06*'01_Вводные'!$F$199,0)</f>
        <v/>
      </c>
      <c r="R170" s="190">
        <f>IF(IF('01_Вводные'!$B$296="Новый сезон",6-1&gt;MOD(MONTH(R$3)-9,12),FALSE),R58*CapacityAge06*'01_Вводные'!$F$199,0)</f>
        <v/>
      </c>
      <c r="S170" s="190">
        <f>IF(IF('01_Вводные'!$B$296="Новый сезон",6-1&gt;MOD(MONTH(S$3)-9,12),FALSE),S58*CapacityAge06*'01_Вводные'!$F$199,0)</f>
        <v/>
      </c>
      <c r="T170" s="190">
        <f>IF(IF('01_Вводные'!$B$296="Новый сезон",6-1&gt;MOD(MONTH(T$3)-9,12),FALSE),T58*CapacityAge06*'01_Вводные'!$F$199,0)</f>
        <v/>
      </c>
      <c r="U170" s="190">
        <f>IF(IF('01_Вводные'!$B$296="Новый сезон",6-1&gt;MOD(MONTH(U$3)-9,12),FALSE),U58*CapacityAge06*'01_Вводные'!$F$199,0)</f>
        <v/>
      </c>
      <c r="V170" s="190">
        <f>IF(IF('01_Вводные'!$B$296="Новый сезон",6-1&gt;MOD(MONTH(V$3)-9,12),FALSE),V58*CapacityAge06*'01_Вводные'!$F$199,0)</f>
        <v/>
      </c>
      <c r="W170" s="190">
        <f>IF(IF('01_Вводные'!$B$296="Новый сезон",6-1&gt;MOD(MONTH(W$3)-9,12),FALSE),W58*CapacityAge06*'01_Вводные'!$F$199,0)</f>
        <v/>
      </c>
      <c r="X170" s="190">
        <f>IF(IF('01_Вводные'!$B$296="Новый сезон",6-1&gt;MOD(MONTH(X$3)-9,12),FALSE),X58*CapacityAge06*'01_Вводные'!$F$199,0)</f>
        <v/>
      </c>
      <c r="Y170" s="190">
        <f>IF(IF('01_Вводные'!$B$296="Новый сезон",6-1&gt;MOD(MONTH(Y$3)-9,12),FALSE),Y58*CapacityAge06*'01_Вводные'!$F$199,0)</f>
        <v/>
      </c>
      <c r="Z170" s="190">
        <f>IF(IF('01_Вводные'!$B$296="Новый сезон",6-1&gt;MOD(MONTH(Z$3)-9,12),FALSE),Z58*CapacityAge06*'01_Вводные'!$F$199,0)</f>
        <v/>
      </c>
      <c r="AA170" s="190">
        <f>IF(IF('01_Вводные'!$B$296="Новый сезон",6-1&gt;MOD(MONTH(AA$3)-9,12),FALSE),AA58*CapacityAge06*'01_Вводные'!$F$199,0)</f>
        <v/>
      </c>
      <c r="AB170" s="190">
        <f>IF(IF('01_Вводные'!$B$296="Новый сезон",6-1&gt;MOD(MONTH(AB$3)-9,12),FALSE),AB58*CapacityAge06*'01_Вводные'!$F$199,0)</f>
        <v/>
      </c>
      <c r="AC170" s="190">
        <f>IF(IF('01_Вводные'!$B$296="Новый сезон",6-1&gt;MOD(MONTH(AC$3)-9,12),FALSE),AC58*CapacityAge06*'01_Вводные'!$F$199,0)</f>
        <v/>
      </c>
      <c r="AD170" s="190">
        <f>IF(IF('01_Вводные'!$B$296="Новый сезон",6-1&gt;MOD(MONTH(AD$3)-9,12),FALSE),AD58*CapacityAge06*'01_Вводные'!$F$199,0)</f>
        <v/>
      </c>
      <c r="AE170" s="190">
        <f>IF(IF('01_Вводные'!$B$296="Новый сезон",6-1&gt;MOD(MONTH(AE$3)-9,12),FALSE),AE58*CapacityAge06*'01_Вводные'!$F$199,0)</f>
        <v/>
      </c>
      <c r="AF170" s="190">
        <f>IF(IF('01_Вводные'!$B$296="Новый сезон",6-1&gt;MOD(MONTH(AF$3)-9,12),FALSE),AF58*CapacityAge06*'01_Вводные'!$F$199,0)</f>
        <v/>
      </c>
      <c r="AG170" s="190">
        <f>IF(IF('01_Вводные'!$B$296="Новый сезон",6-1&gt;MOD(MONTH(AG$3)-9,12),FALSE),AG58*CapacityAge06*'01_Вводные'!$F$199,0)</f>
        <v/>
      </c>
      <c r="AH170" s="190">
        <f>IF(IF('01_Вводные'!$B$296="Новый сезон",6-1&gt;MOD(MONTH(AH$3)-9,12),FALSE),AH58*CapacityAge06*'01_Вводные'!$F$199,0)</f>
        <v/>
      </c>
      <c r="AI170" s="190">
        <f>IF(IF('01_Вводные'!$B$296="Новый сезон",6-1&gt;MOD(MONTH(AI$3)-9,12),FALSE),AI58*CapacityAge06*'01_Вводные'!$F$199,0)</f>
        <v/>
      </c>
      <c r="AJ170" s="190">
        <f>IF(IF('01_Вводные'!$B$296="Новый сезон",6-1&gt;MOD(MONTH(AJ$3)-9,12),FALSE),AJ58*CapacityAge06*'01_Вводные'!$F$199,0)</f>
        <v/>
      </c>
      <c r="AK170" s="190">
        <f>IF(IF('01_Вводные'!$B$296="Новый сезон",6-1&gt;MOD(MONTH(AK$3)-9,12),FALSE),AK58*CapacityAge06*'01_Вводные'!$F$199,0)</f>
        <v/>
      </c>
      <c r="AL170" s="190">
        <f>IF(IF('01_Вводные'!$B$296="Новый сезон",6-1&gt;MOD(MONTH(AL$3)-9,12),FALSE),AL58*CapacityAge06*'01_Вводные'!$F$199,0)</f>
        <v/>
      </c>
      <c r="AM170" s="190">
        <f>IF(IF('01_Вводные'!$B$296="Новый сезон",6-1&gt;MOD(MONTH(AM$3)-9,12),FALSE),AM58*CapacityAge06*'01_Вводные'!$F$199,0)</f>
        <v/>
      </c>
      <c r="AN170" s="190">
        <f>IF(IF('01_Вводные'!$B$296="Новый сезон",6-1&gt;MOD(MONTH(AN$3)-9,12),FALSE),AN58*CapacityAge06*'01_Вводные'!$F$199,0)</f>
        <v/>
      </c>
      <c r="AO170" s="190">
        <f>IF(IF('01_Вводные'!$B$296="Новый сезон",6-1&gt;MOD(MONTH(AO$3)-9,12),FALSE),AO58*CapacityAge06*'01_Вводные'!$F$199,0)</f>
        <v/>
      </c>
      <c r="AP170" s="190">
        <f>IF(IF('01_Вводные'!$B$296="Новый сезон",6-1&gt;MOD(MONTH(AP$3)-9,12),FALSE),AP58*CapacityAge06*'01_Вводные'!$F$199,0)</f>
        <v/>
      </c>
      <c r="AQ170" s="190">
        <f>IF(IF('01_Вводные'!$B$296="Новый сезон",6-1&gt;MOD(MONTH(AQ$3)-9,12),FALSE),AQ58*CapacityAge06*'01_Вводные'!$F$199,0)</f>
        <v/>
      </c>
      <c r="AR170" s="190">
        <f>IF(IF('01_Вводные'!$B$296="Новый сезон",6-1&gt;MOD(MONTH(AR$3)-9,12),FALSE),AR58*CapacityAge06*'01_Вводные'!$F$199,0)</f>
        <v/>
      </c>
      <c r="AS170" s="190">
        <f>IF(IF('01_Вводные'!$B$296="Новый сезон",6-1&gt;MOD(MONTH(AS$3)-9,12),FALSE),AS58*CapacityAge06*'01_Вводные'!$F$199,0)</f>
        <v/>
      </c>
      <c r="AT170" s="190">
        <f>IF(IF('01_Вводные'!$B$296="Новый сезон",6-1&gt;MOD(MONTH(AT$3)-9,12),FALSE),AT58*CapacityAge06*'01_Вводные'!$F$199,0)</f>
        <v/>
      </c>
      <c r="AU170" s="190">
        <f>IF(IF('01_Вводные'!$B$296="Новый сезон",6-1&gt;MOD(MONTH(AU$3)-9,12),FALSE),AU58*CapacityAge06*'01_Вводные'!$F$199,0)</f>
        <v/>
      </c>
      <c r="AV170" s="190">
        <f>IF(IF('01_Вводные'!$B$296="Новый сезон",6-1&gt;MOD(MONTH(AV$3)-9,12),FALSE),AV58*CapacityAge06*'01_Вводные'!$F$199,0)</f>
        <v/>
      </c>
      <c r="AW170" s="190">
        <f>IF(IF('01_Вводные'!$B$296="Новый сезон",6-1&gt;MOD(MONTH(AW$3)-9,12),FALSE),AW58*CapacityAge06*'01_Вводные'!$F$199,0)</f>
        <v/>
      </c>
      <c r="AX170" s="190">
        <f>IF(IF('01_Вводные'!$B$296="Новый сезон",6-1&gt;MOD(MONTH(AX$3)-9,12),FALSE),AX58*CapacityAge06*'01_Вводные'!$F$199,0)</f>
        <v/>
      </c>
      <c r="AY170" s="190">
        <f>IF(IF('01_Вводные'!$B$296="Новый сезон",6-1&gt;MOD(MONTH(AY$3)-9,12),FALSE),AY58*CapacityAge06*'01_Вводные'!$F$199,0)</f>
        <v/>
      </c>
      <c r="AZ170" s="190">
        <f>IF(IF('01_Вводные'!$B$296="Новый сезон",6-1&gt;MOD(MONTH(AZ$3)-9,12),FALSE),AZ58*CapacityAge06*'01_Вводные'!$F$199,0)</f>
        <v/>
      </c>
      <c r="BA170" s="190">
        <f>IF(IF('01_Вводные'!$B$296="Новый сезон",6-1&gt;MOD(MONTH(BA$3)-9,12),FALSE),BA58*CapacityAge06*'01_Вводные'!$F$199,0)</f>
        <v/>
      </c>
      <c r="BB170" s="190">
        <f>IF(IF('01_Вводные'!$B$296="Новый сезон",6-1&gt;MOD(MONTH(BB$3)-9,12),FALSE),BB58*CapacityAge06*'01_Вводные'!$F$199,0)</f>
        <v/>
      </c>
      <c r="BC170" s="190">
        <f>IF(IF('01_Вводные'!$B$296="Новый сезон",6-1&gt;MOD(MONTH(BC$3)-9,12),FALSE),BC58*CapacityAge06*'01_Вводные'!$F$199,0)</f>
        <v/>
      </c>
      <c r="BD170" s="190">
        <f>IF(IF('01_Вводные'!$B$296="Новый сезон",6-1&gt;MOD(MONTH(BD$3)-9,12),FALSE),BD58*CapacityAge06*'01_Вводные'!$F$199,0)</f>
        <v/>
      </c>
      <c r="BE170" s="190">
        <f>IF(IF('01_Вводные'!$B$296="Новый сезон",6-1&gt;MOD(MONTH(BE$3)-9,12),FALSE),BE58*CapacityAge06*'01_Вводные'!$F$199,0)</f>
        <v/>
      </c>
      <c r="BF170" s="190">
        <f>IF(IF('01_Вводные'!$B$296="Новый сезон",6-1&gt;MOD(MONTH(BF$3)-9,12),FALSE),BF58*CapacityAge06*'01_Вводные'!$F$199,0)</f>
        <v/>
      </c>
      <c r="BG170" s="190">
        <f>IF(IF('01_Вводные'!$B$296="Новый сезон",6-1&gt;MOD(MONTH(BG$3)-9,12),FALSE),BG58*CapacityAge06*'01_Вводные'!$F$199,0)</f>
        <v/>
      </c>
      <c r="BH170" s="190">
        <f>IF(IF('01_Вводные'!$B$296="Новый сезон",6-1&gt;MOD(MONTH(BH$3)-9,12),FALSE),BH58*CapacityAge06*'01_Вводные'!$F$199,0)</f>
        <v/>
      </c>
      <c r="BI170" s="190">
        <f>IF(IF('01_Вводные'!$B$296="Новый сезон",6-1&gt;MOD(MONTH(BI$3)-9,12),FALSE),BI58*CapacityAge06*'01_Вводные'!$F$199,0)</f>
        <v/>
      </c>
      <c r="BJ170" s="190">
        <f>IF(IF('01_Вводные'!$B$296="Новый сезон",6-1&gt;MOD(MONTH(BJ$3)-9,12),FALSE),BJ58*CapacityAge06*'01_Вводные'!$F$199,0)</f>
        <v/>
      </c>
      <c r="BK170" s="190">
        <f>IF(IF('01_Вводные'!$B$296="Новый сезон",6-1&gt;MOD(MONTH(BK$3)-9,12),FALSE),BK58*CapacityAge06*'01_Вводные'!$F$199,0)</f>
        <v/>
      </c>
      <c r="BL170" s="190">
        <f>IF(IF('01_Вводные'!$B$296="Новый сезон",6-1&gt;MOD(MONTH(BL$3)-9,12),FALSE),BL58*CapacityAge06*'01_Вводные'!$F$199,0)</f>
        <v/>
      </c>
      <c r="BM170" s="190">
        <f>IF(IF('01_Вводные'!$B$296="Новый сезон",6-1&gt;MOD(MONTH(BM$3)-9,12),FALSE),BM58*CapacityAge06*'01_Вводные'!$F$199,0)</f>
        <v/>
      </c>
      <c r="BN170" s="190">
        <f>IF(IF('01_Вводные'!$B$296="Новый сезон",6-1&gt;MOD(MONTH(BN$3)-9,12),FALSE),BN58*CapacityAge06*'01_Вводные'!$F$199,0)</f>
        <v/>
      </c>
      <c r="BO170" s="190">
        <f>IF(IF('01_Вводные'!$B$296="Новый сезон",6-1&gt;MOD(MONTH(BO$3)-9,12),FALSE),BO58*CapacityAge06*'01_Вводные'!$F$199,0)</f>
        <v/>
      </c>
    </row>
    <row r="171" hidden="1" outlineLevel="1">
      <c r="A171" t="inlineStr">
        <is>
          <t>7 мес.</t>
        </is>
      </c>
      <c r="B171" s="190">
        <f>IF(IF('01_Вводные'!$B$296="Новый сезон",7-1&gt;MOD(MONTH(B$3)-9,12),FALSE),B59*CapacityAge07*'01_Вводные'!$F$199,0)</f>
        <v/>
      </c>
      <c r="C171" s="190">
        <f>IF(IF('01_Вводные'!$B$296="Новый сезон",7-1&gt;MOD(MONTH(C$3)-9,12),FALSE),C59*CapacityAge07*'01_Вводные'!$F$199,0)</f>
        <v/>
      </c>
      <c r="D171" s="190">
        <f>IF(IF('01_Вводные'!$B$296="Новый сезон",7-1&gt;MOD(MONTH(D$3)-9,12),FALSE),D59*CapacityAge07*'01_Вводные'!$F$199,0)</f>
        <v/>
      </c>
      <c r="E171" s="190">
        <f>IF(IF('01_Вводные'!$B$296="Новый сезон",7-1&gt;MOD(MONTH(E$3)-9,12),FALSE),E59*CapacityAge07*'01_Вводные'!$F$199,0)</f>
        <v/>
      </c>
      <c r="F171" s="190">
        <f>IF(IF('01_Вводные'!$B$296="Новый сезон",7-1&gt;MOD(MONTH(F$3)-9,12),FALSE),F59*CapacityAge07*'01_Вводные'!$F$199,0)</f>
        <v/>
      </c>
      <c r="G171" s="190">
        <f>IF(IF('01_Вводные'!$B$296="Новый сезон",7-1&gt;MOD(MONTH(G$3)-9,12),FALSE),G59*CapacityAge07*'01_Вводные'!$F$199,0)</f>
        <v/>
      </c>
      <c r="H171" s="190">
        <f>IF(IF('01_Вводные'!$B$296="Новый сезон",7-1&gt;MOD(MONTH(H$3)-9,12),FALSE),H59*CapacityAge07*'01_Вводные'!$F$199,0)</f>
        <v/>
      </c>
      <c r="I171" s="190">
        <f>IF(IF('01_Вводные'!$B$296="Новый сезон",7-1&gt;MOD(MONTH(I$3)-9,12),FALSE),I59*CapacityAge07*'01_Вводные'!$F$199,0)</f>
        <v/>
      </c>
      <c r="J171" s="190">
        <f>IF(IF('01_Вводные'!$B$296="Новый сезон",7-1&gt;MOD(MONTH(J$3)-9,12),FALSE),J59*CapacityAge07*'01_Вводные'!$F$199,0)</f>
        <v/>
      </c>
      <c r="K171" s="190">
        <f>IF(IF('01_Вводные'!$B$296="Новый сезон",7-1&gt;MOD(MONTH(K$3)-9,12),FALSE),K59*CapacityAge07*'01_Вводные'!$F$199,0)</f>
        <v/>
      </c>
      <c r="L171" s="190">
        <f>IF(IF('01_Вводные'!$B$296="Новый сезон",7-1&gt;MOD(MONTH(L$3)-9,12),FALSE),L59*CapacityAge07*'01_Вводные'!$F$199,0)</f>
        <v/>
      </c>
      <c r="M171" s="190">
        <f>IF(IF('01_Вводные'!$B$296="Новый сезон",7-1&gt;MOD(MONTH(M$3)-9,12),FALSE),M59*CapacityAge07*'01_Вводные'!$F$199,0)</f>
        <v/>
      </c>
      <c r="N171" s="190">
        <f>IF(IF('01_Вводные'!$B$296="Новый сезон",7-1&gt;MOD(MONTH(N$3)-9,12),FALSE),N59*CapacityAge07*'01_Вводные'!$F$199,0)</f>
        <v/>
      </c>
      <c r="O171" s="190">
        <f>IF(IF('01_Вводные'!$B$296="Новый сезон",7-1&gt;MOD(MONTH(O$3)-9,12),FALSE),O59*CapacityAge07*'01_Вводные'!$F$199,0)</f>
        <v/>
      </c>
      <c r="P171" s="190">
        <f>IF(IF('01_Вводные'!$B$296="Новый сезон",7-1&gt;MOD(MONTH(P$3)-9,12),FALSE),P59*CapacityAge07*'01_Вводные'!$F$199,0)</f>
        <v/>
      </c>
      <c r="Q171" s="190">
        <f>IF(IF('01_Вводные'!$B$296="Новый сезон",7-1&gt;MOD(MONTH(Q$3)-9,12),FALSE),Q59*CapacityAge07*'01_Вводные'!$F$199,0)</f>
        <v/>
      </c>
      <c r="R171" s="190">
        <f>IF(IF('01_Вводные'!$B$296="Новый сезон",7-1&gt;MOD(MONTH(R$3)-9,12),FALSE),R59*CapacityAge07*'01_Вводные'!$F$199,0)</f>
        <v/>
      </c>
      <c r="S171" s="190">
        <f>IF(IF('01_Вводные'!$B$296="Новый сезон",7-1&gt;MOD(MONTH(S$3)-9,12),FALSE),S59*CapacityAge07*'01_Вводные'!$F$199,0)</f>
        <v/>
      </c>
      <c r="T171" s="190">
        <f>IF(IF('01_Вводные'!$B$296="Новый сезон",7-1&gt;MOD(MONTH(T$3)-9,12),FALSE),T59*CapacityAge07*'01_Вводные'!$F$199,0)</f>
        <v/>
      </c>
      <c r="U171" s="190">
        <f>IF(IF('01_Вводные'!$B$296="Новый сезон",7-1&gt;MOD(MONTH(U$3)-9,12),FALSE),U59*CapacityAge07*'01_Вводные'!$F$199,0)</f>
        <v/>
      </c>
      <c r="V171" s="190">
        <f>IF(IF('01_Вводные'!$B$296="Новый сезон",7-1&gt;MOD(MONTH(V$3)-9,12),FALSE),V59*CapacityAge07*'01_Вводные'!$F$199,0)</f>
        <v/>
      </c>
      <c r="W171" s="190">
        <f>IF(IF('01_Вводные'!$B$296="Новый сезон",7-1&gt;MOD(MONTH(W$3)-9,12),FALSE),W59*CapacityAge07*'01_Вводные'!$F$199,0)</f>
        <v/>
      </c>
      <c r="X171" s="190">
        <f>IF(IF('01_Вводные'!$B$296="Новый сезон",7-1&gt;MOD(MONTH(X$3)-9,12),FALSE),X59*CapacityAge07*'01_Вводные'!$F$199,0)</f>
        <v/>
      </c>
      <c r="Y171" s="190">
        <f>IF(IF('01_Вводные'!$B$296="Новый сезон",7-1&gt;MOD(MONTH(Y$3)-9,12),FALSE),Y59*CapacityAge07*'01_Вводные'!$F$199,0)</f>
        <v/>
      </c>
      <c r="Z171" s="190">
        <f>IF(IF('01_Вводные'!$B$296="Новый сезон",7-1&gt;MOD(MONTH(Z$3)-9,12),FALSE),Z59*CapacityAge07*'01_Вводные'!$F$199,0)</f>
        <v/>
      </c>
      <c r="AA171" s="190">
        <f>IF(IF('01_Вводные'!$B$296="Новый сезон",7-1&gt;MOD(MONTH(AA$3)-9,12),FALSE),AA59*CapacityAge07*'01_Вводные'!$F$199,0)</f>
        <v/>
      </c>
      <c r="AB171" s="190">
        <f>IF(IF('01_Вводные'!$B$296="Новый сезон",7-1&gt;MOD(MONTH(AB$3)-9,12),FALSE),AB59*CapacityAge07*'01_Вводные'!$F$199,0)</f>
        <v/>
      </c>
      <c r="AC171" s="190">
        <f>IF(IF('01_Вводные'!$B$296="Новый сезон",7-1&gt;MOD(MONTH(AC$3)-9,12),FALSE),AC59*CapacityAge07*'01_Вводные'!$F$199,0)</f>
        <v/>
      </c>
      <c r="AD171" s="190">
        <f>IF(IF('01_Вводные'!$B$296="Новый сезон",7-1&gt;MOD(MONTH(AD$3)-9,12),FALSE),AD59*CapacityAge07*'01_Вводные'!$F$199,0)</f>
        <v/>
      </c>
      <c r="AE171" s="190">
        <f>IF(IF('01_Вводные'!$B$296="Новый сезон",7-1&gt;MOD(MONTH(AE$3)-9,12),FALSE),AE59*CapacityAge07*'01_Вводные'!$F$199,0)</f>
        <v/>
      </c>
      <c r="AF171" s="190">
        <f>IF(IF('01_Вводные'!$B$296="Новый сезон",7-1&gt;MOD(MONTH(AF$3)-9,12),FALSE),AF59*CapacityAge07*'01_Вводные'!$F$199,0)</f>
        <v/>
      </c>
      <c r="AG171" s="190">
        <f>IF(IF('01_Вводные'!$B$296="Новый сезон",7-1&gt;MOD(MONTH(AG$3)-9,12),FALSE),AG59*CapacityAge07*'01_Вводные'!$F$199,0)</f>
        <v/>
      </c>
      <c r="AH171" s="190">
        <f>IF(IF('01_Вводные'!$B$296="Новый сезон",7-1&gt;MOD(MONTH(AH$3)-9,12),FALSE),AH59*CapacityAge07*'01_Вводные'!$F$199,0)</f>
        <v/>
      </c>
      <c r="AI171" s="190">
        <f>IF(IF('01_Вводные'!$B$296="Новый сезон",7-1&gt;MOD(MONTH(AI$3)-9,12),FALSE),AI59*CapacityAge07*'01_Вводные'!$F$199,0)</f>
        <v/>
      </c>
      <c r="AJ171" s="190">
        <f>IF(IF('01_Вводные'!$B$296="Новый сезон",7-1&gt;MOD(MONTH(AJ$3)-9,12),FALSE),AJ59*CapacityAge07*'01_Вводные'!$F$199,0)</f>
        <v/>
      </c>
      <c r="AK171" s="190">
        <f>IF(IF('01_Вводные'!$B$296="Новый сезон",7-1&gt;MOD(MONTH(AK$3)-9,12),FALSE),AK59*CapacityAge07*'01_Вводные'!$F$199,0)</f>
        <v/>
      </c>
      <c r="AL171" s="190">
        <f>IF(IF('01_Вводные'!$B$296="Новый сезон",7-1&gt;MOD(MONTH(AL$3)-9,12),FALSE),AL59*CapacityAge07*'01_Вводные'!$F$199,0)</f>
        <v/>
      </c>
      <c r="AM171" s="190">
        <f>IF(IF('01_Вводные'!$B$296="Новый сезон",7-1&gt;MOD(MONTH(AM$3)-9,12),FALSE),AM59*CapacityAge07*'01_Вводные'!$F$199,0)</f>
        <v/>
      </c>
      <c r="AN171" s="190">
        <f>IF(IF('01_Вводные'!$B$296="Новый сезон",7-1&gt;MOD(MONTH(AN$3)-9,12),FALSE),AN59*CapacityAge07*'01_Вводные'!$F$199,0)</f>
        <v/>
      </c>
      <c r="AO171" s="190">
        <f>IF(IF('01_Вводные'!$B$296="Новый сезон",7-1&gt;MOD(MONTH(AO$3)-9,12),FALSE),AO59*CapacityAge07*'01_Вводные'!$F$199,0)</f>
        <v/>
      </c>
      <c r="AP171" s="190">
        <f>IF(IF('01_Вводные'!$B$296="Новый сезон",7-1&gt;MOD(MONTH(AP$3)-9,12),FALSE),AP59*CapacityAge07*'01_Вводные'!$F$199,0)</f>
        <v/>
      </c>
      <c r="AQ171" s="190">
        <f>IF(IF('01_Вводные'!$B$296="Новый сезон",7-1&gt;MOD(MONTH(AQ$3)-9,12),FALSE),AQ59*CapacityAge07*'01_Вводные'!$F$199,0)</f>
        <v/>
      </c>
      <c r="AR171" s="190">
        <f>IF(IF('01_Вводные'!$B$296="Новый сезон",7-1&gt;MOD(MONTH(AR$3)-9,12),FALSE),AR59*CapacityAge07*'01_Вводные'!$F$199,0)</f>
        <v/>
      </c>
      <c r="AS171" s="190">
        <f>IF(IF('01_Вводные'!$B$296="Новый сезон",7-1&gt;MOD(MONTH(AS$3)-9,12),FALSE),AS59*CapacityAge07*'01_Вводные'!$F$199,0)</f>
        <v/>
      </c>
      <c r="AT171" s="190">
        <f>IF(IF('01_Вводные'!$B$296="Новый сезон",7-1&gt;MOD(MONTH(AT$3)-9,12),FALSE),AT59*CapacityAge07*'01_Вводные'!$F$199,0)</f>
        <v/>
      </c>
      <c r="AU171" s="190">
        <f>IF(IF('01_Вводные'!$B$296="Новый сезон",7-1&gt;MOD(MONTH(AU$3)-9,12),FALSE),AU59*CapacityAge07*'01_Вводные'!$F$199,0)</f>
        <v/>
      </c>
      <c r="AV171" s="190">
        <f>IF(IF('01_Вводные'!$B$296="Новый сезон",7-1&gt;MOD(MONTH(AV$3)-9,12),FALSE),AV59*CapacityAge07*'01_Вводные'!$F$199,0)</f>
        <v/>
      </c>
      <c r="AW171" s="190">
        <f>IF(IF('01_Вводные'!$B$296="Новый сезон",7-1&gt;MOD(MONTH(AW$3)-9,12),FALSE),AW59*CapacityAge07*'01_Вводные'!$F$199,0)</f>
        <v/>
      </c>
      <c r="AX171" s="190">
        <f>IF(IF('01_Вводные'!$B$296="Новый сезон",7-1&gt;MOD(MONTH(AX$3)-9,12),FALSE),AX59*CapacityAge07*'01_Вводные'!$F$199,0)</f>
        <v/>
      </c>
      <c r="AY171" s="190">
        <f>IF(IF('01_Вводные'!$B$296="Новый сезон",7-1&gt;MOD(MONTH(AY$3)-9,12),FALSE),AY59*CapacityAge07*'01_Вводные'!$F$199,0)</f>
        <v/>
      </c>
      <c r="AZ171" s="190">
        <f>IF(IF('01_Вводные'!$B$296="Новый сезон",7-1&gt;MOD(MONTH(AZ$3)-9,12),FALSE),AZ59*CapacityAge07*'01_Вводные'!$F$199,0)</f>
        <v/>
      </c>
      <c r="BA171" s="190">
        <f>IF(IF('01_Вводные'!$B$296="Новый сезон",7-1&gt;MOD(MONTH(BA$3)-9,12),FALSE),BA59*CapacityAge07*'01_Вводные'!$F$199,0)</f>
        <v/>
      </c>
      <c r="BB171" s="190">
        <f>IF(IF('01_Вводные'!$B$296="Новый сезон",7-1&gt;MOD(MONTH(BB$3)-9,12),FALSE),BB59*CapacityAge07*'01_Вводные'!$F$199,0)</f>
        <v/>
      </c>
      <c r="BC171" s="190">
        <f>IF(IF('01_Вводные'!$B$296="Новый сезон",7-1&gt;MOD(MONTH(BC$3)-9,12),FALSE),BC59*CapacityAge07*'01_Вводные'!$F$199,0)</f>
        <v/>
      </c>
      <c r="BD171" s="190">
        <f>IF(IF('01_Вводные'!$B$296="Новый сезон",7-1&gt;MOD(MONTH(BD$3)-9,12),FALSE),BD59*CapacityAge07*'01_Вводные'!$F$199,0)</f>
        <v/>
      </c>
      <c r="BE171" s="190">
        <f>IF(IF('01_Вводные'!$B$296="Новый сезон",7-1&gt;MOD(MONTH(BE$3)-9,12),FALSE),BE59*CapacityAge07*'01_Вводные'!$F$199,0)</f>
        <v/>
      </c>
      <c r="BF171" s="190">
        <f>IF(IF('01_Вводные'!$B$296="Новый сезон",7-1&gt;MOD(MONTH(BF$3)-9,12),FALSE),BF59*CapacityAge07*'01_Вводные'!$F$199,0)</f>
        <v/>
      </c>
      <c r="BG171" s="190">
        <f>IF(IF('01_Вводные'!$B$296="Новый сезон",7-1&gt;MOD(MONTH(BG$3)-9,12),FALSE),BG59*CapacityAge07*'01_Вводные'!$F$199,0)</f>
        <v/>
      </c>
      <c r="BH171" s="190">
        <f>IF(IF('01_Вводные'!$B$296="Новый сезон",7-1&gt;MOD(MONTH(BH$3)-9,12),FALSE),BH59*CapacityAge07*'01_Вводные'!$F$199,0)</f>
        <v/>
      </c>
      <c r="BI171" s="190">
        <f>IF(IF('01_Вводные'!$B$296="Новый сезон",7-1&gt;MOD(MONTH(BI$3)-9,12),FALSE),BI59*CapacityAge07*'01_Вводные'!$F$199,0)</f>
        <v/>
      </c>
      <c r="BJ171" s="190">
        <f>IF(IF('01_Вводные'!$B$296="Новый сезон",7-1&gt;MOD(MONTH(BJ$3)-9,12),FALSE),BJ59*CapacityAge07*'01_Вводные'!$F$199,0)</f>
        <v/>
      </c>
      <c r="BK171" s="190">
        <f>IF(IF('01_Вводные'!$B$296="Новый сезон",7-1&gt;MOD(MONTH(BK$3)-9,12),FALSE),BK59*CapacityAge07*'01_Вводные'!$F$199,0)</f>
        <v/>
      </c>
      <c r="BL171" s="190">
        <f>IF(IF('01_Вводные'!$B$296="Новый сезон",7-1&gt;MOD(MONTH(BL$3)-9,12),FALSE),BL59*CapacityAge07*'01_Вводные'!$F$199,0)</f>
        <v/>
      </c>
      <c r="BM171" s="190">
        <f>IF(IF('01_Вводные'!$B$296="Новый сезон",7-1&gt;MOD(MONTH(BM$3)-9,12),FALSE),BM59*CapacityAge07*'01_Вводные'!$F$199,0)</f>
        <v/>
      </c>
      <c r="BN171" s="190">
        <f>IF(IF('01_Вводные'!$B$296="Новый сезон",7-1&gt;MOD(MONTH(BN$3)-9,12),FALSE),BN59*CapacityAge07*'01_Вводные'!$F$199,0)</f>
        <v/>
      </c>
      <c r="BO171" s="190">
        <f>IF(IF('01_Вводные'!$B$296="Новый сезон",7-1&gt;MOD(MONTH(BO$3)-9,12),FALSE),BO59*CapacityAge07*'01_Вводные'!$F$199,0)</f>
        <v/>
      </c>
    </row>
    <row r="172" hidden="1" outlineLevel="1">
      <c r="A172" t="inlineStr">
        <is>
          <t>8 мес.</t>
        </is>
      </c>
      <c r="B172" s="190">
        <f>IF(IF('01_Вводные'!$B$296="Новый сезон",8-1&gt;MOD(MONTH(B$3)-9,12),FALSE),B60*CapacityAge08*'01_Вводные'!$F$199,0)</f>
        <v/>
      </c>
      <c r="C172" s="190">
        <f>IF(IF('01_Вводные'!$B$296="Новый сезон",8-1&gt;MOD(MONTH(C$3)-9,12),FALSE),C60*CapacityAge08*'01_Вводные'!$F$199,0)</f>
        <v/>
      </c>
      <c r="D172" s="190">
        <f>IF(IF('01_Вводные'!$B$296="Новый сезон",8-1&gt;MOD(MONTH(D$3)-9,12),FALSE),D60*CapacityAge08*'01_Вводные'!$F$199,0)</f>
        <v/>
      </c>
      <c r="E172" s="190">
        <f>IF(IF('01_Вводные'!$B$296="Новый сезон",8-1&gt;MOD(MONTH(E$3)-9,12),FALSE),E60*CapacityAge08*'01_Вводные'!$F$199,0)</f>
        <v/>
      </c>
      <c r="F172" s="190">
        <f>IF(IF('01_Вводные'!$B$296="Новый сезон",8-1&gt;MOD(MONTH(F$3)-9,12),FALSE),F60*CapacityAge08*'01_Вводные'!$F$199,0)</f>
        <v/>
      </c>
      <c r="G172" s="190">
        <f>IF(IF('01_Вводные'!$B$296="Новый сезон",8-1&gt;MOD(MONTH(G$3)-9,12),FALSE),G60*CapacityAge08*'01_Вводные'!$F$199,0)</f>
        <v/>
      </c>
      <c r="H172" s="190">
        <f>IF(IF('01_Вводные'!$B$296="Новый сезон",8-1&gt;MOD(MONTH(H$3)-9,12),FALSE),H60*CapacityAge08*'01_Вводные'!$F$199,0)</f>
        <v/>
      </c>
      <c r="I172" s="190">
        <f>IF(IF('01_Вводные'!$B$296="Новый сезон",8-1&gt;MOD(MONTH(I$3)-9,12),FALSE),I60*CapacityAge08*'01_Вводные'!$F$199,0)</f>
        <v/>
      </c>
      <c r="J172" s="190">
        <f>IF(IF('01_Вводные'!$B$296="Новый сезон",8-1&gt;MOD(MONTH(J$3)-9,12),FALSE),J60*CapacityAge08*'01_Вводные'!$F$199,0)</f>
        <v/>
      </c>
      <c r="K172" s="190">
        <f>IF(IF('01_Вводные'!$B$296="Новый сезон",8-1&gt;MOD(MONTH(K$3)-9,12),FALSE),K60*CapacityAge08*'01_Вводные'!$F$199,0)</f>
        <v/>
      </c>
      <c r="L172" s="190">
        <f>IF(IF('01_Вводные'!$B$296="Новый сезон",8-1&gt;MOD(MONTH(L$3)-9,12),FALSE),L60*CapacityAge08*'01_Вводные'!$F$199,0)</f>
        <v/>
      </c>
      <c r="M172" s="190">
        <f>IF(IF('01_Вводные'!$B$296="Новый сезон",8-1&gt;MOD(MONTH(M$3)-9,12),FALSE),M60*CapacityAge08*'01_Вводные'!$F$199,0)</f>
        <v/>
      </c>
      <c r="N172" s="190">
        <f>IF(IF('01_Вводные'!$B$296="Новый сезон",8-1&gt;MOD(MONTH(N$3)-9,12),FALSE),N60*CapacityAge08*'01_Вводные'!$F$199,0)</f>
        <v/>
      </c>
      <c r="O172" s="190">
        <f>IF(IF('01_Вводные'!$B$296="Новый сезон",8-1&gt;MOD(MONTH(O$3)-9,12),FALSE),O60*CapacityAge08*'01_Вводные'!$F$199,0)</f>
        <v/>
      </c>
      <c r="P172" s="190">
        <f>IF(IF('01_Вводные'!$B$296="Новый сезон",8-1&gt;MOD(MONTH(P$3)-9,12),FALSE),P60*CapacityAge08*'01_Вводные'!$F$199,0)</f>
        <v/>
      </c>
      <c r="Q172" s="190">
        <f>IF(IF('01_Вводные'!$B$296="Новый сезон",8-1&gt;MOD(MONTH(Q$3)-9,12),FALSE),Q60*CapacityAge08*'01_Вводные'!$F$199,0)</f>
        <v/>
      </c>
      <c r="R172" s="190">
        <f>IF(IF('01_Вводные'!$B$296="Новый сезон",8-1&gt;MOD(MONTH(R$3)-9,12),FALSE),R60*CapacityAge08*'01_Вводные'!$F$199,0)</f>
        <v/>
      </c>
      <c r="S172" s="190">
        <f>IF(IF('01_Вводные'!$B$296="Новый сезон",8-1&gt;MOD(MONTH(S$3)-9,12),FALSE),S60*CapacityAge08*'01_Вводные'!$F$199,0)</f>
        <v/>
      </c>
      <c r="T172" s="190">
        <f>IF(IF('01_Вводные'!$B$296="Новый сезон",8-1&gt;MOD(MONTH(T$3)-9,12),FALSE),T60*CapacityAge08*'01_Вводные'!$F$199,0)</f>
        <v/>
      </c>
      <c r="U172" s="190">
        <f>IF(IF('01_Вводные'!$B$296="Новый сезон",8-1&gt;MOD(MONTH(U$3)-9,12),FALSE),U60*CapacityAge08*'01_Вводные'!$F$199,0)</f>
        <v/>
      </c>
      <c r="V172" s="190">
        <f>IF(IF('01_Вводные'!$B$296="Новый сезон",8-1&gt;MOD(MONTH(V$3)-9,12),FALSE),V60*CapacityAge08*'01_Вводные'!$F$199,0)</f>
        <v/>
      </c>
      <c r="W172" s="190">
        <f>IF(IF('01_Вводные'!$B$296="Новый сезон",8-1&gt;MOD(MONTH(W$3)-9,12),FALSE),W60*CapacityAge08*'01_Вводные'!$F$199,0)</f>
        <v/>
      </c>
      <c r="X172" s="190">
        <f>IF(IF('01_Вводные'!$B$296="Новый сезон",8-1&gt;MOD(MONTH(X$3)-9,12),FALSE),X60*CapacityAge08*'01_Вводные'!$F$199,0)</f>
        <v/>
      </c>
      <c r="Y172" s="190">
        <f>IF(IF('01_Вводные'!$B$296="Новый сезон",8-1&gt;MOD(MONTH(Y$3)-9,12),FALSE),Y60*CapacityAge08*'01_Вводные'!$F$199,0)</f>
        <v/>
      </c>
      <c r="Z172" s="190">
        <f>IF(IF('01_Вводные'!$B$296="Новый сезон",8-1&gt;MOD(MONTH(Z$3)-9,12),FALSE),Z60*CapacityAge08*'01_Вводные'!$F$199,0)</f>
        <v/>
      </c>
      <c r="AA172" s="190">
        <f>IF(IF('01_Вводные'!$B$296="Новый сезон",8-1&gt;MOD(MONTH(AA$3)-9,12),FALSE),AA60*CapacityAge08*'01_Вводные'!$F$199,0)</f>
        <v/>
      </c>
      <c r="AB172" s="190">
        <f>IF(IF('01_Вводные'!$B$296="Новый сезон",8-1&gt;MOD(MONTH(AB$3)-9,12),FALSE),AB60*CapacityAge08*'01_Вводные'!$F$199,0)</f>
        <v/>
      </c>
      <c r="AC172" s="190">
        <f>IF(IF('01_Вводные'!$B$296="Новый сезон",8-1&gt;MOD(MONTH(AC$3)-9,12),FALSE),AC60*CapacityAge08*'01_Вводные'!$F$199,0)</f>
        <v/>
      </c>
      <c r="AD172" s="190">
        <f>IF(IF('01_Вводные'!$B$296="Новый сезон",8-1&gt;MOD(MONTH(AD$3)-9,12),FALSE),AD60*CapacityAge08*'01_Вводные'!$F$199,0)</f>
        <v/>
      </c>
      <c r="AE172" s="190">
        <f>IF(IF('01_Вводные'!$B$296="Новый сезон",8-1&gt;MOD(MONTH(AE$3)-9,12),FALSE),AE60*CapacityAge08*'01_Вводные'!$F$199,0)</f>
        <v/>
      </c>
      <c r="AF172" s="190">
        <f>IF(IF('01_Вводные'!$B$296="Новый сезон",8-1&gt;MOD(MONTH(AF$3)-9,12),FALSE),AF60*CapacityAge08*'01_Вводные'!$F$199,0)</f>
        <v/>
      </c>
      <c r="AG172" s="190">
        <f>IF(IF('01_Вводные'!$B$296="Новый сезон",8-1&gt;MOD(MONTH(AG$3)-9,12),FALSE),AG60*CapacityAge08*'01_Вводные'!$F$199,0)</f>
        <v/>
      </c>
      <c r="AH172" s="190">
        <f>IF(IF('01_Вводные'!$B$296="Новый сезон",8-1&gt;MOD(MONTH(AH$3)-9,12),FALSE),AH60*CapacityAge08*'01_Вводные'!$F$199,0)</f>
        <v/>
      </c>
      <c r="AI172" s="190">
        <f>IF(IF('01_Вводные'!$B$296="Новый сезон",8-1&gt;MOD(MONTH(AI$3)-9,12),FALSE),AI60*CapacityAge08*'01_Вводные'!$F$199,0)</f>
        <v/>
      </c>
      <c r="AJ172" s="190">
        <f>IF(IF('01_Вводные'!$B$296="Новый сезон",8-1&gt;MOD(MONTH(AJ$3)-9,12),FALSE),AJ60*CapacityAge08*'01_Вводные'!$F$199,0)</f>
        <v/>
      </c>
      <c r="AK172" s="190">
        <f>IF(IF('01_Вводные'!$B$296="Новый сезон",8-1&gt;MOD(MONTH(AK$3)-9,12),FALSE),AK60*CapacityAge08*'01_Вводные'!$F$199,0)</f>
        <v/>
      </c>
      <c r="AL172" s="190">
        <f>IF(IF('01_Вводные'!$B$296="Новый сезон",8-1&gt;MOD(MONTH(AL$3)-9,12),FALSE),AL60*CapacityAge08*'01_Вводные'!$F$199,0)</f>
        <v/>
      </c>
      <c r="AM172" s="190">
        <f>IF(IF('01_Вводные'!$B$296="Новый сезон",8-1&gt;MOD(MONTH(AM$3)-9,12),FALSE),AM60*CapacityAge08*'01_Вводные'!$F$199,0)</f>
        <v/>
      </c>
      <c r="AN172" s="190">
        <f>IF(IF('01_Вводные'!$B$296="Новый сезон",8-1&gt;MOD(MONTH(AN$3)-9,12),FALSE),AN60*CapacityAge08*'01_Вводные'!$F$199,0)</f>
        <v/>
      </c>
      <c r="AO172" s="190">
        <f>IF(IF('01_Вводные'!$B$296="Новый сезон",8-1&gt;MOD(MONTH(AO$3)-9,12),FALSE),AO60*CapacityAge08*'01_Вводные'!$F$199,0)</f>
        <v/>
      </c>
      <c r="AP172" s="190">
        <f>IF(IF('01_Вводные'!$B$296="Новый сезон",8-1&gt;MOD(MONTH(AP$3)-9,12),FALSE),AP60*CapacityAge08*'01_Вводные'!$F$199,0)</f>
        <v/>
      </c>
      <c r="AQ172" s="190">
        <f>IF(IF('01_Вводные'!$B$296="Новый сезон",8-1&gt;MOD(MONTH(AQ$3)-9,12),FALSE),AQ60*CapacityAge08*'01_Вводные'!$F$199,0)</f>
        <v/>
      </c>
      <c r="AR172" s="190">
        <f>IF(IF('01_Вводные'!$B$296="Новый сезон",8-1&gt;MOD(MONTH(AR$3)-9,12),FALSE),AR60*CapacityAge08*'01_Вводные'!$F$199,0)</f>
        <v/>
      </c>
      <c r="AS172" s="190">
        <f>IF(IF('01_Вводные'!$B$296="Новый сезон",8-1&gt;MOD(MONTH(AS$3)-9,12),FALSE),AS60*CapacityAge08*'01_Вводные'!$F$199,0)</f>
        <v/>
      </c>
      <c r="AT172" s="190">
        <f>IF(IF('01_Вводные'!$B$296="Новый сезон",8-1&gt;MOD(MONTH(AT$3)-9,12),FALSE),AT60*CapacityAge08*'01_Вводные'!$F$199,0)</f>
        <v/>
      </c>
      <c r="AU172" s="190">
        <f>IF(IF('01_Вводные'!$B$296="Новый сезон",8-1&gt;MOD(MONTH(AU$3)-9,12),FALSE),AU60*CapacityAge08*'01_Вводные'!$F$199,0)</f>
        <v/>
      </c>
      <c r="AV172" s="190">
        <f>IF(IF('01_Вводные'!$B$296="Новый сезон",8-1&gt;MOD(MONTH(AV$3)-9,12),FALSE),AV60*CapacityAge08*'01_Вводные'!$F$199,0)</f>
        <v/>
      </c>
      <c r="AW172" s="190">
        <f>IF(IF('01_Вводные'!$B$296="Новый сезон",8-1&gt;MOD(MONTH(AW$3)-9,12),FALSE),AW60*CapacityAge08*'01_Вводные'!$F$199,0)</f>
        <v/>
      </c>
      <c r="AX172" s="190">
        <f>IF(IF('01_Вводные'!$B$296="Новый сезон",8-1&gt;MOD(MONTH(AX$3)-9,12),FALSE),AX60*CapacityAge08*'01_Вводные'!$F$199,0)</f>
        <v/>
      </c>
      <c r="AY172" s="190">
        <f>IF(IF('01_Вводные'!$B$296="Новый сезон",8-1&gt;MOD(MONTH(AY$3)-9,12),FALSE),AY60*CapacityAge08*'01_Вводные'!$F$199,0)</f>
        <v/>
      </c>
      <c r="AZ172" s="190">
        <f>IF(IF('01_Вводные'!$B$296="Новый сезон",8-1&gt;MOD(MONTH(AZ$3)-9,12),FALSE),AZ60*CapacityAge08*'01_Вводные'!$F$199,0)</f>
        <v/>
      </c>
      <c r="BA172" s="190">
        <f>IF(IF('01_Вводные'!$B$296="Новый сезон",8-1&gt;MOD(MONTH(BA$3)-9,12),FALSE),BA60*CapacityAge08*'01_Вводные'!$F$199,0)</f>
        <v/>
      </c>
      <c r="BB172" s="190">
        <f>IF(IF('01_Вводные'!$B$296="Новый сезон",8-1&gt;MOD(MONTH(BB$3)-9,12),FALSE),BB60*CapacityAge08*'01_Вводные'!$F$199,0)</f>
        <v/>
      </c>
      <c r="BC172" s="190">
        <f>IF(IF('01_Вводные'!$B$296="Новый сезон",8-1&gt;MOD(MONTH(BC$3)-9,12),FALSE),BC60*CapacityAge08*'01_Вводные'!$F$199,0)</f>
        <v/>
      </c>
      <c r="BD172" s="190">
        <f>IF(IF('01_Вводные'!$B$296="Новый сезон",8-1&gt;MOD(MONTH(BD$3)-9,12),FALSE),BD60*CapacityAge08*'01_Вводные'!$F$199,0)</f>
        <v/>
      </c>
      <c r="BE172" s="190">
        <f>IF(IF('01_Вводные'!$B$296="Новый сезон",8-1&gt;MOD(MONTH(BE$3)-9,12),FALSE),BE60*CapacityAge08*'01_Вводные'!$F$199,0)</f>
        <v/>
      </c>
      <c r="BF172" s="190">
        <f>IF(IF('01_Вводные'!$B$296="Новый сезон",8-1&gt;MOD(MONTH(BF$3)-9,12),FALSE),BF60*CapacityAge08*'01_Вводные'!$F$199,0)</f>
        <v/>
      </c>
      <c r="BG172" s="190">
        <f>IF(IF('01_Вводные'!$B$296="Новый сезон",8-1&gt;MOD(MONTH(BG$3)-9,12),FALSE),BG60*CapacityAge08*'01_Вводные'!$F$199,0)</f>
        <v/>
      </c>
      <c r="BH172" s="190">
        <f>IF(IF('01_Вводные'!$B$296="Новый сезон",8-1&gt;MOD(MONTH(BH$3)-9,12),FALSE),BH60*CapacityAge08*'01_Вводные'!$F$199,0)</f>
        <v/>
      </c>
      <c r="BI172" s="190">
        <f>IF(IF('01_Вводные'!$B$296="Новый сезон",8-1&gt;MOD(MONTH(BI$3)-9,12),FALSE),BI60*CapacityAge08*'01_Вводные'!$F$199,0)</f>
        <v/>
      </c>
      <c r="BJ172" s="190">
        <f>IF(IF('01_Вводные'!$B$296="Новый сезон",8-1&gt;MOD(MONTH(BJ$3)-9,12),FALSE),BJ60*CapacityAge08*'01_Вводные'!$F$199,0)</f>
        <v/>
      </c>
      <c r="BK172" s="190">
        <f>IF(IF('01_Вводные'!$B$296="Новый сезон",8-1&gt;MOD(MONTH(BK$3)-9,12),FALSE),BK60*CapacityAge08*'01_Вводные'!$F$199,0)</f>
        <v/>
      </c>
      <c r="BL172" s="190">
        <f>IF(IF('01_Вводные'!$B$296="Новый сезон",8-1&gt;MOD(MONTH(BL$3)-9,12),FALSE),BL60*CapacityAge08*'01_Вводные'!$F$199,0)</f>
        <v/>
      </c>
      <c r="BM172" s="190">
        <f>IF(IF('01_Вводные'!$B$296="Новый сезон",8-1&gt;MOD(MONTH(BM$3)-9,12),FALSE),BM60*CapacityAge08*'01_Вводные'!$F$199,0)</f>
        <v/>
      </c>
      <c r="BN172" s="190">
        <f>IF(IF('01_Вводные'!$B$296="Новый сезон",8-1&gt;MOD(MONTH(BN$3)-9,12),FALSE),BN60*CapacityAge08*'01_Вводные'!$F$199,0)</f>
        <v/>
      </c>
      <c r="BO172" s="190">
        <f>IF(IF('01_Вводные'!$B$296="Новый сезон",8-1&gt;MOD(MONTH(BO$3)-9,12),FALSE),BO60*CapacityAge08*'01_Вводные'!$F$199,0)</f>
        <v/>
      </c>
    </row>
    <row r="173" hidden="1" outlineLevel="1">
      <c r="A173" t="inlineStr">
        <is>
          <t>9 мес.</t>
        </is>
      </c>
      <c r="B173" s="190">
        <f>IF(IF('01_Вводные'!$B$296="Новый сезон",9-1&gt;MOD(MONTH(B$3)-9,12),FALSE),B61*CapacityAge09*'01_Вводные'!$F$199,0)</f>
        <v/>
      </c>
      <c r="C173" s="190">
        <f>IF(IF('01_Вводные'!$B$296="Новый сезон",9-1&gt;MOD(MONTH(C$3)-9,12),FALSE),C61*CapacityAge09*'01_Вводные'!$F$199,0)</f>
        <v/>
      </c>
      <c r="D173" s="190">
        <f>IF(IF('01_Вводные'!$B$296="Новый сезон",9-1&gt;MOD(MONTH(D$3)-9,12),FALSE),D61*CapacityAge09*'01_Вводные'!$F$199,0)</f>
        <v/>
      </c>
      <c r="E173" s="190">
        <f>IF(IF('01_Вводные'!$B$296="Новый сезон",9-1&gt;MOD(MONTH(E$3)-9,12),FALSE),E61*CapacityAge09*'01_Вводные'!$F$199,0)</f>
        <v/>
      </c>
      <c r="F173" s="190">
        <f>IF(IF('01_Вводные'!$B$296="Новый сезон",9-1&gt;MOD(MONTH(F$3)-9,12),FALSE),F61*CapacityAge09*'01_Вводные'!$F$199,0)</f>
        <v/>
      </c>
      <c r="G173" s="190">
        <f>IF(IF('01_Вводные'!$B$296="Новый сезон",9-1&gt;MOD(MONTH(G$3)-9,12),FALSE),G61*CapacityAge09*'01_Вводные'!$F$199,0)</f>
        <v/>
      </c>
      <c r="H173" s="190">
        <f>IF(IF('01_Вводные'!$B$296="Новый сезон",9-1&gt;MOD(MONTH(H$3)-9,12),FALSE),H61*CapacityAge09*'01_Вводные'!$F$199,0)</f>
        <v/>
      </c>
      <c r="I173" s="190">
        <f>IF(IF('01_Вводные'!$B$296="Новый сезон",9-1&gt;MOD(MONTH(I$3)-9,12),FALSE),I61*CapacityAge09*'01_Вводные'!$F$199,0)</f>
        <v/>
      </c>
      <c r="J173" s="190">
        <f>IF(IF('01_Вводные'!$B$296="Новый сезон",9-1&gt;MOD(MONTH(J$3)-9,12),FALSE),J61*CapacityAge09*'01_Вводные'!$F$199,0)</f>
        <v/>
      </c>
      <c r="K173" s="190">
        <f>IF(IF('01_Вводные'!$B$296="Новый сезон",9-1&gt;MOD(MONTH(K$3)-9,12),FALSE),K61*CapacityAge09*'01_Вводные'!$F$199,0)</f>
        <v/>
      </c>
      <c r="L173" s="190">
        <f>IF(IF('01_Вводные'!$B$296="Новый сезон",9-1&gt;MOD(MONTH(L$3)-9,12),FALSE),L61*CapacityAge09*'01_Вводные'!$F$199,0)</f>
        <v/>
      </c>
      <c r="M173" s="190">
        <f>IF(IF('01_Вводные'!$B$296="Новый сезон",9-1&gt;MOD(MONTH(M$3)-9,12),FALSE),M61*CapacityAge09*'01_Вводные'!$F$199,0)</f>
        <v/>
      </c>
      <c r="N173" s="190">
        <f>IF(IF('01_Вводные'!$B$296="Новый сезон",9-1&gt;MOD(MONTH(N$3)-9,12),FALSE),N61*CapacityAge09*'01_Вводные'!$F$199,0)</f>
        <v/>
      </c>
      <c r="O173" s="190">
        <f>IF(IF('01_Вводные'!$B$296="Новый сезон",9-1&gt;MOD(MONTH(O$3)-9,12),FALSE),O61*CapacityAge09*'01_Вводные'!$F$199,0)</f>
        <v/>
      </c>
      <c r="P173" s="190">
        <f>IF(IF('01_Вводные'!$B$296="Новый сезон",9-1&gt;MOD(MONTH(P$3)-9,12),FALSE),P61*CapacityAge09*'01_Вводные'!$F$199,0)</f>
        <v/>
      </c>
      <c r="Q173" s="190">
        <f>IF(IF('01_Вводные'!$B$296="Новый сезон",9-1&gt;MOD(MONTH(Q$3)-9,12),FALSE),Q61*CapacityAge09*'01_Вводные'!$F$199,0)</f>
        <v/>
      </c>
      <c r="R173" s="190">
        <f>IF(IF('01_Вводные'!$B$296="Новый сезон",9-1&gt;MOD(MONTH(R$3)-9,12),FALSE),R61*CapacityAge09*'01_Вводные'!$F$199,0)</f>
        <v/>
      </c>
      <c r="S173" s="190">
        <f>IF(IF('01_Вводные'!$B$296="Новый сезон",9-1&gt;MOD(MONTH(S$3)-9,12),FALSE),S61*CapacityAge09*'01_Вводные'!$F$199,0)</f>
        <v/>
      </c>
      <c r="T173" s="190">
        <f>IF(IF('01_Вводные'!$B$296="Новый сезон",9-1&gt;MOD(MONTH(T$3)-9,12),FALSE),T61*CapacityAge09*'01_Вводные'!$F$199,0)</f>
        <v/>
      </c>
      <c r="U173" s="190">
        <f>IF(IF('01_Вводные'!$B$296="Новый сезон",9-1&gt;MOD(MONTH(U$3)-9,12),FALSE),U61*CapacityAge09*'01_Вводные'!$F$199,0)</f>
        <v/>
      </c>
      <c r="V173" s="190">
        <f>IF(IF('01_Вводные'!$B$296="Новый сезон",9-1&gt;MOD(MONTH(V$3)-9,12),FALSE),V61*CapacityAge09*'01_Вводные'!$F$199,0)</f>
        <v/>
      </c>
      <c r="W173" s="190">
        <f>IF(IF('01_Вводные'!$B$296="Новый сезон",9-1&gt;MOD(MONTH(W$3)-9,12),FALSE),W61*CapacityAge09*'01_Вводные'!$F$199,0)</f>
        <v/>
      </c>
      <c r="X173" s="190">
        <f>IF(IF('01_Вводные'!$B$296="Новый сезон",9-1&gt;MOD(MONTH(X$3)-9,12),FALSE),X61*CapacityAge09*'01_Вводные'!$F$199,0)</f>
        <v/>
      </c>
      <c r="Y173" s="190">
        <f>IF(IF('01_Вводные'!$B$296="Новый сезон",9-1&gt;MOD(MONTH(Y$3)-9,12),FALSE),Y61*CapacityAge09*'01_Вводные'!$F$199,0)</f>
        <v/>
      </c>
      <c r="Z173" s="190">
        <f>IF(IF('01_Вводные'!$B$296="Новый сезон",9-1&gt;MOD(MONTH(Z$3)-9,12),FALSE),Z61*CapacityAge09*'01_Вводные'!$F$199,0)</f>
        <v/>
      </c>
      <c r="AA173" s="190">
        <f>IF(IF('01_Вводные'!$B$296="Новый сезон",9-1&gt;MOD(MONTH(AA$3)-9,12),FALSE),AA61*CapacityAge09*'01_Вводные'!$F$199,0)</f>
        <v/>
      </c>
      <c r="AB173" s="190">
        <f>IF(IF('01_Вводные'!$B$296="Новый сезон",9-1&gt;MOD(MONTH(AB$3)-9,12),FALSE),AB61*CapacityAge09*'01_Вводные'!$F$199,0)</f>
        <v/>
      </c>
      <c r="AC173" s="190">
        <f>IF(IF('01_Вводные'!$B$296="Новый сезон",9-1&gt;MOD(MONTH(AC$3)-9,12),FALSE),AC61*CapacityAge09*'01_Вводные'!$F$199,0)</f>
        <v/>
      </c>
      <c r="AD173" s="190">
        <f>IF(IF('01_Вводные'!$B$296="Новый сезон",9-1&gt;MOD(MONTH(AD$3)-9,12),FALSE),AD61*CapacityAge09*'01_Вводные'!$F$199,0)</f>
        <v/>
      </c>
      <c r="AE173" s="190">
        <f>IF(IF('01_Вводные'!$B$296="Новый сезон",9-1&gt;MOD(MONTH(AE$3)-9,12),FALSE),AE61*CapacityAge09*'01_Вводные'!$F$199,0)</f>
        <v/>
      </c>
      <c r="AF173" s="190">
        <f>IF(IF('01_Вводные'!$B$296="Новый сезон",9-1&gt;MOD(MONTH(AF$3)-9,12),FALSE),AF61*CapacityAge09*'01_Вводные'!$F$199,0)</f>
        <v/>
      </c>
      <c r="AG173" s="190">
        <f>IF(IF('01_Вводные'!$B$296="Новый сезон",9-1&gt;MOD(MONTH(AG$3)-9,12),FALSE),AG61*CapacityAge09*'01_Вводные'!$F$199,0)</f>
        <v/>
      </c>
      <c r="AH173" s="190">
        <f>IF(IF('01_Вводные'!$B$296="Новый сезон",9-1&gt;MOD(MONTH(AH$3)-9,12),FALSE),AH61*CapacityAge09*'01_Вводные'!$F$199,0)</f>
        <v/>
      </c>
      <c r="AI173" s="190">
        <f>IF(IF('01_Вводные'!$B$296="Новый сезон",9-1&gt;MOD(MONTH(AI$3)-9,12),FALSE),AI61*CapacityAge09*'01_Вводные'!$F$199,0)</f>
        <v/>
      </c>
      <c r="AJ173" s="190">
        <f>IF(IF('01_Вводные'!$B$296="Новый сезон",9-1&gt;MOD(MONTH(AJ$3)-9,12),FALSE),AJ61*CapacityAge09*'01_Вводные'!$F$199,0)</f>
        <v/>
      </c>
      <c r="AK173" s="190">
        <f>IF(IF('01_Вводные'!$B$296="Новый сезон",9-1&gt;MOD(MONTH(AK$3)-9,12),FALSE),AK61*CapacityAge09*'01_Вводные'!$F$199,0)</f>
        <v/>
      </c>
      <c r="AL173" s="190">
        <f>IF(IF('01_Вводные'!$B$296="Новый сезон",9-1&gt;MOD(MONTH(AL$3)-9,12),FALSE),AL61*CapacityAge09*'01_Вводные'!$F$199,0)</f>
        <v/>
      </c>
      <c r="AM173" s="190">
        <f>IF(IF('01_Вводные'!$B$296="Новый сезон",9-1&gt;MOD(MONTH(AM$3)-9,12),FALSE),AM61*CapacityAge09*'01_Вводные'!$F$199,0)</f>
        <v/>
      </c>
      <c r="AN173" s="190">
        <f>IF(IF('01_Вводные'!$B$296="Новый сезон",9-1&gt;MOD(MONTH(AN$3)-9,12),FALSE),AN61*CapacityAge09*'01_Вводные'!$F$199,0)</f>
        <v/>
      </c>
      <c r="AO173" s="190">
        <f>IF(IF('01_Вводные'!$B$296="Новый сезон",9-1&gt;MOD(MONTH(AO$3)-9,12),FALSE),AO61*CapacityAge09*'01_Вводные'!$F$199,0)</f>
        <v/>
      </c>
      <c r="AP173" s="190">
        <f>IF(IF('01_Вводные'!$B$296="Новый сезон",9-1&gt;MOD(MONTH(AP$3)-9,12),FALSE),AP61*CapacityAge09*'01_Вводные'!$F$199,0)</f>
        <v/>
      </c>
      <c r="AQ173" s="190">
        <f>IF(IF('01_Вводные'!$B$296="Новый сезон",9-1&gt;MOD(MONTH(AQ$3)-9,12),FALSE),AQ61*CapacityAge09*'01_Вводные'!$F$199,0)</f>
        <v/>
      </c>
      <c r="AR173" s="190">
        <f>IF(IF('01_Вводные'!$B$296="Новый сезон",9-1&gt;MOD(MONTH(AR$3)-9,12),FALSE),AR61*CapacityAge09*'01_Вводные'!$F$199,0)</f>
        <v/>
      </c>
      <c r="AS173" s="190">
        <f>IF(IF('01_Вводные'!$B$296="Новый сезон",9-1&gt;MOD(MONTH(AS$3)-9,12),FALSE),AS61*CapacityAge09*'01_Вводные'!$F$199,0)</f>
        <v/>
      </c>
      <c r="AT173" s="190">
        <f>IF(IF('01_Вводные'!$B$296="Новый сезон",9-1&gt;MOD(MONTH(AT$3)-9,12),FALSE),AT61*CapacityAge09*'01_Вводные'!$F$199,0)</f>
        <v/>
      </c>
      <c r="AU173" s="190">
        <f>IF(IF('01_Вводные'!$B$296="Новый сезон",9-1&gt;MOD(MONTH(AU$3)-9,12),FALSE),AU61*CapacityAge09*'01_Вводные'!$F$199,0)</f>
        <v/>
      </c>
      <c r="AV173" s="190">
        <f>IF(IF('01_Вводные'!$B$296="Новый сезон",9-1&gt;MOD(MONTH(AV$3)-9,12),FALSE),AV61*CapacityAge09*'01_Вводные'!$F$199,0)</f>
        <v/>
      </c>
      <c r="AW173" s="190">
        <f>IF(IF('01_Вводные'!$B$296="Новый сезон",9-1&gt;MOD(MONTH(AW$3)-9,12),FALSE),AW61*CapacityAge09*'01_Вводные'!$F$199,0)</f>
        <v/>
      </c>
      <c r="AX173" s="190">
        <f>IF(IF('01_Вводные'!$B$296="Новый сезон",9-1&gt;MOD(MONTH(AX$3)-9,12),FALSE),AX61*CapacityAge09*'01_Вводные'!$F$199,0)</f>
        <v/>
      </c>
      <c r="AY173" s="190">
        <f>IF(IF('01_Вводные'!$B$296="Новый сезон",9-1&gt;MOD(MONTH(AY$3)-9,12),FALSE),AY61*CapacityAge09*'01_Вводные'!$F$199,0)</f>
        <v/>
      </c>
      <c r="AZ173" s="190">
        <f>IF(IF('01_Вводные'!$B$296="Новый сезон",9-1&gt;MOD(MONTH(AZ$3)-9,12),FALSE),AZ61*CapacityAge09*'01_Вводные'!$F$199,0)</f>
        <v/>
      </c>
      <c r="BA173" s="190">
        <f>IF(IF('01_Вводные'!$B$296="Новый сезон",9-1&gt;MOD(MONTH(BA$3)-9,12),FALSE),BA61*CapacityAge09*'01_Вводные'!$F$199,0)</f>
        <v/>
      </c>
      <c r="BB173" s="190">
        <f>IF(IF('01_Вводные'!$B$296="Новый сезон",9-1&gt;MOD(MONTH(BB$3)-9,12),FALSE),BB61*CapacityAge09*'01_Вводные'!$F$199,0)</f>
        <v/>
      </c>
      <c r="BC173" s="190">
        <f>IF(IF('01_Вводные'!$B$296="Новый сезон",9-1&gt;MOD(MONTH(BC$3)-9,12),FALSE),BC61*CapacityAge09*'01_Вводные'!$F$199,0)</f>
        <v/>
      </c>
      <c r="BD173" s="190">
        <f>IF(IF('01_Вводные'!$B$296="Новый сезон",9-1&gt;MOD(MONTH(BD$3)-9,12),FALSE),BD61*CapacityAge09*'01_Вводные'!$F$199,0)</f>
        <v/>
      </c>
      <c r="BE173" s="190">
        <f>IF(IF('01_Вводные'!$B$296="Новый сезон",9-1&gt;MOD(MONTH(BE$3)-9,12),FALSE),BE61*CapacityAge09*'01_Вводные'!$F$199,0)</f>
        <v/>
      </c>
      <c r="BF173" s="190">
        <f>IF(IF('01_Вводные'!$B$296="Новый сезон",9-1&gt;MOD(MONTH(BF$3)-9,12),FALSE),BF61*CapacityAge09*'01_Вводные'!$F$199,0)</f>
        <v/>
      </c>
      <c r="BG173" s="190">
        <f>IF(IF('01_Вводные'!$B$296="Новый сезон",9-1&gt;MOD(MONTH(BG$3)-9,12),FALSE),BG61*CapacityAge09*'01_Вводные'!$F$199,0)</f>
        <v/>
      </c>
      <c r="BH173" s="190">
        <f>IF(IF('01_Вводные'!$B$296="Новый сезон",9-1&gt;MOD(MONTH(BH$3)-9,12),FALSE),BH61*CapacityAge09*'01_Вводные'!$F$199,0)</f>
        <v/>
      </c>
      <c r="BI173" s="190">
        <f>IF(IF('01_Вводные'!$B$296="Новый сезон",9-1&gt;MOD(MONTH(BI$3)-9,12),FALSE),BI61*CapacityAge09*'01_Вводные'!$F$199,0)</f>
        <v/>
      </c>
      <c r="BJ173" s="190">
        <f>IF(IF('01_Вводные'!$B$296="Новый сезон",9-1&gt;MOD(MONTH(BJ$3)-9,12),FALSE),BJ61*CapacityAge09*'01_Вводные'!$F$199,0)</f>
        <v/>
      </c>
      <c r="BK173" s="190">
        <f>IF(IF('01_Вводные'!$B$296="Новый сезон",9-1&gt;MOD(MONTH(BK$3)-9,12),FALSE),BK61*CapacityAge09*'01_Вводные'!$F$199,0)</f>
        <v/>
      </c>
      <c r="BL173" s="190">
        <f>IF(IF('01_Вводные'!$B$296="Новый сезон",9-1&gt;MOD(MONTH(BL$3)-9,12),FALSE),BL61*CapacityAge09*'01_Вводные'!$F$199,0)</f>
        <v/>
      </c>
      <c r="BM173" s="190">
        <f>IF(IF('01_Вводные'!$B$296="Новый сезон",9-1&gt;MOD(MONTH(BM$3)-9,12),FALSE),BM61*CapacityAge09*'01_Вводные'!$F$199,0)</f>
        <v/>
      </c>
      <c r="BN173" s="190">
        <f>IF(IF('01_Вводные'!$B$296="Новый сезон",9-1&gt;MOD(MONTH(BN$3)-9,12),FALSE),BN61*CapacityAge09*'01_Вводные'!$F$199,0)</f>
        <v/>
      </c>
      <c r="BO173" s="190">
        <f>IF(IF('01_Вводные'!$B$296="Новый сезон",9-1&gt;MOD(MONTH(BO$3)-9,12),FALSE),BO61*CapacityAge09*'01_Вводные'!$F$199,0)</f>
        <v/>
      </c>
    </row>
    <row r="174" hidden="1" outlineLevel="1">
      <c r="A174" t="inlineStr">
        <is>
          <t>10 мес.</t>
        </is>
      </c>
      <c r="B174" s="190">
        <f>IF(IF('01_Вводные'!$B$296="Новый сезон",10-1&gt;MOD(MONTH(B$3)-9,12),FALSE),B62*CapacityAge10*'01_Вводные'!$F$199,0)</f>
        <v/>
      </c>
      <c r="C174" s="190">
        <f>IF(IF('01_Вводные'!$B$296="Новый сезон",10-1&gt;MOD(MONTH(C$3)-9,12),FALSE),C62*CapacityAge10*'01_Вводные'!$F$199,0)</f>
        <v/>
      </c>
      <c r="D174" s="190">
        <f>IF(IF('01_Вводные'!$B$296="Новый сезон",10-1&gt;MOD(MONTH(D$3)-9,12),FALSE),D62*CapacityAge10*'01_Вводные'!$F$199,0)</f>
        <v/>
      </c>
      <c r="E174" s="190">
        <f>IF(IF('01_Вводные'!$B$296="Новый сезон",10-1&gt;MOD(MONTH(E$3)-9,12),FALSE),E62*CapacityAge10*'01_Вводные'!$F$199,0)</f>
        <v/>
      </c>
      <c r="F174" s="190">
        <f>IF(IF('01_Вводные'!$B$296="Новый сезон",10-1&gt;MOD(MONTH(F$3)-9,12),FALSE),F62*CapacityAge10*'01_Вводные'!$F$199,0)</f>
        <v/>
      </c>
      <c r="G174" s="190">
        <f>IF(IF('01_Вводные'!$B$296="Новый сезон",10-1&gt;MOD(MONTH(G$3)-9,12),FALSE),G62*CapacityAge10*'01_Вводные'!$F$199,0)</f>
        <v/>
      </c>
      <c r="H174" s="190">
        <f>IF(IF('01_Вводные'!$B$296="Новый сезон",10-1&gt;MOD(MONTH(H$3)-9,12),FALSE),H62*CapacityAge10*'01_Вводные'!$F$199,0)</f>
        <v/>
      </c>
      <c r="I174" s="190">
        <f>IF(IF('01_Вводные'!$B$296="Новый сезон",10-1&gt;MOD(MONTH(I$3)-9,12),FALSE),I62*CapacityAge10*'01_Вводные'!$F$199,0)</f>
        <v/>
      </c>
      <c r="J174" s="190">
        <f>IF(IF('01_Вводные'!$B$296="Новый сезон",10-1&gt;MOD(MONTH(J$3)-9,12),FALSE),J62*CapacityAge10*'01_Вводные'!$F$199,0)</f>
        <v/>
      </c>
      <c r="K174" s="190">
        <f>IF(IF('01_Вводные'!$B$296="Новый сезон",10-1&gt;MOD(MONTH(K$3)-9,12),FALSE),K62*CapacityAge10*'01_Вводные'!$F$199,0)</f>
        <v/>
      </c>
      <c r="L174" s="190">
        <f>IF(IF('01_Вводные'!$B$296="Новый сезон",10-1&gt;MOD(MONTH(L$3)-9,12),FALSE),L62*CapacityAge10*'01_Вводные'!$F$199,0)</f>
        <v/>
      </c>
      <c r="M174" s="190">
        <f>IF(IF('01_Вводные'!$B$296="Новый сезон",10-1&gt;MOD(MONTH(M$3)-9,12),FALSE),M62*CapacityAge10*'01_Вводные'!$F$199,0)</f>
        <v/>
      </c>
      <c r="N174" s="190">
        <f>IF(IF('01_Вводные'!$B$296="Новый сезон",10-1&gt;MOD(MONTH(N$3)-9,12),FALSE),N62*CapacityAge10*'01_Вводные'!$F$199,0)</f>
        <v/>
      </c>
      <c r="O174" s="190">
        <f>IF(IF('01_Вводные'!$B$296="Новый сезон",10-1&gt;MOD(MONTH(O$3)-9,12),FALSE),O62*CapacityAge10*'01_Вводные'!$F$199,0)</f>
        <v/>
      </c>
      <c r="P174" s="190">
        <f>IF(IF('01_Вводные'!$B$296="Новый сезон",10-1&gt;MOD(MONTH(P$3)-9,12),FALSE),P62*CapacityAge10*'01_Вводные'!$F$199,0)</f>
        <v/>
      </c>
      <c r="Q174" s="190">
        <f>IF(IF('01_Вводные'!$B$296="Новый сезон",10-1&gt;MOD(MONTH(Q$3)-9,12),FALSE),Q62*CapacityAge10*'01_Вводные'!$F$199,0)</f>
        <v/>
      </c>
      <c r="R174" s="190">
        <f>IF(IF('01_Вводные'!$B$296="Новый сезон",10-1&gt;MOD(MONTH(R$3)-9,12),FALSE),R62*CapacityAge10*'01_Вводные'!$F$199,0)</f>
        <v/>
      </c>
      <c r="S174" s="190">
        <f>IF(IF('01_Вводные'!$B$296="Новый сезон",10-1&gt;MOD(MONTH(S$3)-9,12),FALSE),S62*CapacityAge10*'01_Вводные'!$F$199,0)</f>
        <v/>
      </c>
      <c r="T174" s="190">
        <f>IF(IF('01_Вводные'!$B$296="Новый сезон",10-1&gt;MOD(MONTH(T$3)-9,12),FALSE),T62*CapacityAge10*'01_Вводные'!$F$199,0)</f>
        <v/>
      </c>
      <c r="U174" s="190">
        <f>IF(IF('01_Вводные'!$B$296="Новый сезон",10-1&gt;MOD(MONTH(U$3)-9,12),FALSE),U62*CapacityAge10*'01_Вводные'!$F$199,0)</f>
        <v/>
      </c>
      <c r="V174" s="190">
        <f>IF(IF('01_Вводные'!$B$296="Новый сезон",10-1&gt;MOD(MONTH(V$3)-9,12),FALSE),V62*CapacityAge10*'01_Вводные'!$F$199,0)</f>
        <v/>
      </c>
      <c r="W174" s="190">
        <f>IF(IF('01_Вводные'!$B$296="Новый сезон",10-1&gt;MOD(MONTH(W$3)-9,12),FALSE),W62*CapacityAge10*'01_Вводные'!$F$199,0)</f>
        <v/>
      </c>
      <c r="X174" s="190">
        <f>IF(IF('01_Вводные'!$B$296="Новый сезон",10-1&gt;MOD(MONTH(X$3)-9,12),FALSE),X62*CapacityAge10*'01_Вводные'!$F$199,0)</f>
        <v/>
      </c>
      <c r="Y174" s="190">
        <f>IF(IF('01_Вводные'!$B$296="Новый сезон",10-1&gt;MOD(MONTH(Y$3)-9,12),FALSE),Y62*CapacityAge10*'01_Вводные'!$F$199,0)</f>
        <v/>
      </c>
      <c r="Z174" s="190">
        <f>IF(IF('01_Вводные'!$B$296="Новый сезон",10-1&gt;MOD(MONTH(Z$3)-9,12),FALSE),Z62*CapacityAge10*'01_Вводные'!$F$199,0)</f>
        <v/>
      </c>
      <c r="AA174" s="190">
        <f>IF(IF('01_Вводные'!$B$296="Новый сезон",10-1&gt;MOD(MONTH(AA$3)-9,12),FALSE),AA62*CapacityAge10*'01_Вводные'!$F$199,0)</f>
        <v/>
      </c>
      <c r="AB174" s="190">
        <f>IF(IF('01_Вводные'!$B$296="Новый сезон",10-1&gt;MOD(MONTH(AB$3)-9,12),FALSE),AB62*CapacityAge10*'01_Вводные'!$F$199,0)</f>
        <v/>
      </c>
      <c r="AC174" s="190">
        <f>IF(IF('01_Вводные'!$B$296="Новый сезон",10-1&gt;MOD(MONTH(AC$3)-9,12),FALSE),AC62*CapacityAge10*'01_Вводные'!$F$199,0)</f>
        <v/>
      </c>
      <c r="AD174" s="190">
        <f>IF(IF('01_Вводные'!$B$296="Новый сезон",10-1&gt;MOD(MONTH(AD$3)-9,12),FALSE),AD62*CapacityAge10*'01_Вводные'!$F$199,0)</f>
        <v/>
      </c>
      <c r="AE174" s="190">
        <f>IF(IF('01_Вводные'!$B$296="Новый сезон",10-1&gt;MOD(MONTH(AE$3)-9,12),FALSE),AE62*CapacityAge10*'01_Вводные'!$F$199,0)</f>
        <v/>
      </c>
      <c r="AF174" s="190">
        <f>IF(IF('01_Вводные'!$B$296="Новый сезон",10-1&gt;MOD(MONTH(AF$3)-9,12),FALSE),AF62*CapacityAge10*'01_Вводные'!$F$199,0)</f>
        <v/>
      </c>
      <c r="AG174" s="190">
        <f>IF(IF('01_Вводные'!$B$296="Новый сезон",10-1&gt;MOD(MONTH(AG$3)-9,12),FALSE),AG62*CapacityAge10*'01_Вводные'!$F$199,0)</f>
        <v/>
      </c>
      <c r="AH174" s="190">
        <f>IF(IF('01_Вводные'!$B$296="Новый сезон",10-1&gt;MOD(MONTH(AH$3)-9,12),FALSE),AH62*CapacityAge10*'01_Вводные'!$F$199,0)</f>
        <v/>
      </c>
      <c r="AI174" s="190">
        <f>IF(IF('01_Вводные'!$B$296="Новый сезон",10-1&gt;MOD(MONTH(AI$3)-9,12),FALSE),AI62*CapacityAge10*'01_Вводные'!$F$199,0)</f>
        <v/>
      </c>
      <c r="AJ174" s="190">
        <f>IF(IF('01_Вводные'!$B$296="Новый сезон",10-1&gt;MOD(MONTH(AJ$3)-9,12),FALSE),AJ62*CapacityAge10*'01_Вводные'!$F$199,0)</f>
        <v/>
      </c>
      <c r="AK174" s="190">
        <f>IF(IF('01_Вводные'!$B$296="Новый сезон",10-1&gt;MOD(MONTH(AK$3)-9,12),FALSE),AK62*CapacityAge10*'01_Вводные'!$F$199,0)</f>
        <v/>
      </c>
      <c r="AL174" s="190">
        <f>IF(IF('01_Вводные'!$B$296="Новый сезон",10-1&gt;MOD(MONTH(AL$3)-9,12),FALSE),AL62*CapacityAge10*'01_Вводные'!$F$199,0)</f>
        <v/>
      </c>
      <c r="AM174" s="190">
        <f>IF(IF('01_Вводные'!$B$296="Новый сезон",10-1&gt;MOD(MONTH(AM$3)-9,12),FALSE),AM62*CapacityAge10*'01_Вводные'!$F$199,0)</f>
        <v/>
      </c>
      <c r="AN174" s="190">
        <f>IF(IF('01_Вводные'!$B$296="Новый сезон",10-1&gt;MOD(MONTH(AN$3)-9,12),FALSE),AN62*CapacityAge10*'01_Вводные'!$F$199,0)</f>
        <v/>
      </c>
      <c r="AO174" s="190">
        <f>IF(IF('01_Вводные'!$B$296="Новый сезон",10-1&gt;MOD(MONTH(AO$3)-9,12),FALSE),AO62*CapacityAge10*'01_Вводные'!$F$199,0)</f>
        <v/>
      </c>
      <c r="AP174" s="190">
        <f>IF(IF('01_Вводные'!$B$296="Новый сезон",10-1&gt;MOD(MONTH(AP$3)-9,12),FALSE),AP62*CapacityAge10*'01_Вводные'!$F$199,0)</f>
        <v/>
      </c>
      <c r="AQ174" s="190">
        <f>IF(IF('01_Вводные'!$B$296="Новый сезон",10-1&gt;MOD(MONTH(AQ$3)-9,12),FALSE),AQ62*CapacityAge10*'01_Вводные'!$F$199,0)</f>
        <v/>
      </c>
      <c r="AR174" s="190">
        <f>IF(IF('01_Вводные'!$B$296="Новый сезон",10-1&gt;MOD(MONTH(AR$3)-9,12),FALSE),AR62*CapacityAge10*'01_Вводные'!$F$199,0)</f>
        <v/>
      </c>
      <c r="AS174" s="190">
        <f>IF(IF('01_Вводные'!$B$296="Новый сезон",10-1&gt;MOD(MONTH(AS$3)-9,12),FALSE),AS62*CapacityAge10*'01_Вводные'!$F$199,0)</f>
        <v/>
      </c>
      <c r="AT174" s="190">
        <f>IF(IF('01_Вводные'!$B$296="Новый сезон",10-1&gt;MOD(MONTH(AT$3)-9,12),FALSE),AT62*CapacityAge10*'01_Вводные'!$F$199,0)</f>
        <v/>
      </c>
      <c r="AU174" s="190">
        <f>IF(IF('01_Вводные'!$B$296="Новый сезон",10-1&gt;MOD(MONTH(AU$3)-9,12),FALSE),AU62*CapacityAge10*'01_Вводные'!$F$199,0)</f>
        <v/>
      </c>
      <c r="AV174" s="190">
        <f>IF(IF('01_Вводные'!$B$296="Новый сезон",10-1&gt;MOD(MONTH(AV$3)-9,12),FALSE),AV62*CapacityAge10*'01_Вводные'!$F$199,0)</f>
        <v/>
      </c>
      <c r="AW174" s="190">
        <f>IF(IF('01_Вводные'!$B$296="Новый сезон",10-1&gt;MOD(MONTH(AW$3)-9,12),FALSE),AW62*CapacityAge10*'01_Вводные'!$F$199,0)</f>
        <v/>
      </c>
      <c r="AX174" s="190">
        <f>IF(IF('01_Вводные'!$B$296="Новый сезон",10-1&gt;MOD(MONTH(AX$3)-9,12),FALSE),AX62*CapacityAge10*'01_Вводные'!$F$199,0)</f>
        <v/>
      </c>
      <c r="AY174" s="190">
        <f>IF(IF('01_Вводные'!$B$296="Новый сезон",10-1&gt;MOD(MONTH(AY$3)-9,12),FALSE),AY62*CapacityAge10*'01_Вводные'!$F$199,0)</f>
        <v/>
      </c>
      <c r="AZ174" s="190">
        <f>IF(IF('01_Вводные'!$B$296="Новый сезон",10-1&gt;MOD(MONTH(AZ$3)-9,12),FALSE),AZ62*CapacityAge10*'01_Вводные'!$F$199,0)</f>
        <v/>
      </c>
      <c r="BA174" s="190">
        <f>IF(IF('01_Вводные'!$B$296="Новый сезон",10-1&gt;MOD(MONTH(BA$3)-9,12),FALSE),BA62*CapacityAge10*'01_Вводные'!$F$199,0)</f>
        <v/>
      </c>
      <c r="BB174" s="190">
        <f>IF(IF('01_Вводные'!$B$296="Новый сезон",10-1&gt;MOD(MONTH(BB$3)-9,12),FALSE),BB62*CapacityAge10*'01_Вводные'!$F$199,0)</f>
        <v/>
      </c>
      <c r="BC174" s="190">
        <f>IF(IF('01_Вводные'!$B$296="Новый сезон",10-1&gt;MOD(MONTH(BC$3)-9,12),FALSE),BC62*CapacityAge10*'01_Вводные'!$F$199,0)</f>
        <v/>
      </c>
      <c r="BD174" s="190">
        <f>IF(IF('01_Вводные'!$B$296="Новый сезон",10-1&gt;MOD(MONTH(BD$3)-9,12),FALSE),BD62*CapacityAge10*'01_Вводные'!$F$199,0)</f>
        <v/>
      </c>
      <c r="BE174" s="190">
        <f>IF(IF('01_Вводные'!$B$296="Новый сезон",10-1&gt;MOD(MONTH(BE$3)-9,12),FALSE),BE62*CapacityAge10*'01_Вводные'!$F$199,0)</f>
        <v/>
      </c>
      <c r="BF174" s="190">
        <f>IF(IF('01_Вводные'!$B$296="Новый сезон",10-1&gt;MOD(MONTH(BF$3)-9,12),FALSE),BF62*CapacityAge10*'01_Вводные'!$F$199,0)</f>
        <v/>
      </c>
      <c r="BG174" s="190">
        <f>IF(IF('01_Вводные'!$B$296="Новый сезон",10-1&gt;MOD(MONTH(BG$3)-9,12),FALSE),BG62*CapacityAge10*'01_Вводные'!$F$199,0)</f>
        <v/>
      </c>
      <c r="BH174" s="190">
        <f>IF(IF('01_Вводные'!$B$296="Новый сезон",10-1&gt;MOD(MONTH(BH$3)-9,12),FALSE),BH62*CapacityAge10*'01_Вводные'!$F$199,0)</f>
        <v/>
      </c>
      <c r="BI174" s="190">
        <f>IF(IF('01_Вводные'!$B$296="Новый сезон",10-1&gt;MOD(MONTH(BI$3)-9,12),FALSE),BI62*CapacityAge10*'01_Вводные'!$F$199,0)</f>
        <v/>
      </c>
      <c r="BJ174" s="190">
        <f>IF(IF('01_Вводные'!$B$296="Новый сезон",10-1&gt;MOD(MONTH(BJ$3)-9,12),FALSE),BJ62*CapacityAge10*'01_Вводные'!$F$199,0)</f>
        <v/>
      </c>
      <c r="BK174" s="190">
        <f>IF(IF('01_Вводные'!$B$296="Новый сезон",10-1&gt;MOD(MONTH(BK$3)-9,12),FALSE),BK62*CapacityAge10*'01_Вводные'!$F$199,0)</f>
        <v/>
      </c>
      <c r="BL174" s="190">
        <f>IF(IF('01_Вводные'!$B$296="Новый сезон",10-1&gt;MOD(MONTH(BL$3)-9,12),FALSE),BL62*CapacityAge10*'01_Вводные'!$F$199,0)</f>
        <v/>
      </c>
      <c r="BM174" s="190">
        <f>IF(IF('01_Вводные'!$B$296="Новый сезон",10-1&gt;MOD(MONTH(BM$3)-9,12),FALSE),BM62*CapacityAge10*'01_Вводные'!$F$199,0)</f>
        <v/>
      </c>
      <c r="BN174" s="190">
        <f>IF(IF('01_Вводные'!$B$296="Новый сезон",10-1&gt;MOD(MONTH(BN$3)-9,12),FALSE),BN62*CapacityAge10*'01_Вводные'!$F$199,0)</f>
        <v/>
      </c>
      <c r="BO174" s="190">
        <f>IF(IF('01_Вводные'!$B$296="Новый сезон",10-1&gt;MOD(MONTH(BO$3)-9,12),FALSE),BO62*CapacityAge10*'01_Вводные'!$F$199,0)</f>
        <v/>
      </c>
    </row>
    <row r="175" hidden="1" outlineLevel="1">
      <c r="A175" t="inlineStr">
        <is>
          <t>11 мес.</t>
        </is>
      </c>
      <c r="B175" s="190">
        <f>IF(IF('01_Вводные'!$B$296="Новый сезон",11-1&gt;MOD(MONTH(B$3)-9,12),FALSE),B63*CapacityAge11*'01_Вводные'!$F$199,0)</f>
        <v/>
      </c>
      <c r="C175" s="190">
        <f>IF(IF('01_Вводные'!$B$296="Новый сезон",11-1&gt;MOD(MONTH(C$3)-9,12),FALSE),C63*CapacityAge11*'01_Вводные'!$F$199,0)</f>
        <v/>
      </c>
      <c r="D175" s="190">
        <f>IF(IF('01_Вводные'!$B$296="Новый сезон",11-1&gt;MOD(MONTH(D$3)-9,12),FALSE),D63*CapacityAge11*'01_Вводные'!$F$199,0)</f>
        <v/>
      </c>
      <c r="E175" s="190">
        <f>IF(IF('01_Вводные'!$B$296="Новый сезон",11-1&gt;MOD(MONTH(E$3)-9,12),FALSE),E63*CapacityAge11*'01_Вводные'!$F$199,0)</f>
        <v/>
      </c>
      <c r="F175" s="190">
        <f>IF(IF('01_Вводные'!$B$296="Новый сезон",11-1&gt;MOD(MONTH(F$3)-9,12),FALSE),F63*CapacityAge11*'01_Вводные'!$F$199,0)</f>
        <v/>
      </c>
      <c r="G175" s="190">
        <f>IF(IF('01_Вводные'!$B$296="Новый сезон",11-1&gt;MOD(MONTH(G$3)-9,12),FALSE),G63*CapacityAge11*'01_Вводные'!$F$199,0)</f>
        <v/>
      </c>
      <c r="H175" s="190">
        <f>IF(IF('01_Вводные'!$B$296="Новый сезон",11-1&gt;MOD(MONTH(H$3)-9,12),FALSE),H63*CapacityAge11*'01_Вводные'!$F$199,0)</f>
        <v/>
      </c>
      <c r="I175" s="190">
        <f>IF(IF('01_Вводные'!$B$296="Новый сезон",11-1&gt;MOD(MONTH(I$3)-9,12),FALSE),I63*CapacityAge11*'01_Вводные'!$F$199,0)</f>
        <v/>
      </c>
      <c r="J175" s="190">
        <f>IF(IF('01_Вводные'!$B$296="Новый сезон",11-1&gt;MOD(MONTH(J$3)-9,12),FALSE),J63*CapacityAge11*'01_Вводные'!$F$199,0)</f>
        <v/>
      </c>
      <c r="K175" s="190">
        <f>IF(IF('01_Вводные'!$B$296="Новый сезон",11-1&gt;MOD(MONTH(K$3)-9,12),FALSE),K63*CapacityAge11*'01_Вводные'!$F$199,0)</f>
        <v/>
      </c>
      <c r="L175" s="190">
        <f>IF(IF('01_Вводные'!$B$296="Новый сезон",11-1&gt;MOD(MONTH(L$3)-9,12),FALSE),L63*CapacityAge11*'01_Вводные'!$F$199,0)</f>
        <v/>
      </c>
      <c r="M175" s="190">
        <f>IF(IF('01_Вводные'!$B$296="Новый сезон",11-1&gt;MOD(MONTH(M$3)-9,12),FALSE),M63*CapacityAge11*'01_Вводные'!$F$199,0)</f>
        <v/>
      </c>
      <c r="N175" s="190">
        <f>IF(IF('01_Вводные'!$B$296="Новый сезон",11-1&gt;MOD(MONTH(N$3)-9,12),FALSE),N63*CapacityAge11*'01_Вводные'!$F$199,0)</f>
        <v/>
      </c>
      <c r="O175" s="190">
        <f>IF(IF('01_Вводные'!$B$296="Новый сезон",11-1&gt;MOD(MONTH(O$3)-9,12),FALSE),O63*CapacityAge11*'01_Вводные'!$F$199,0)</f>
        <v/>
      </c>
      <c r="P175" s="190">
        <f>IF(IF('01_Вводные'!$B$296="Новый сезон",11-1&gt;MOD(MONTH(P$3)-9,12),FALSE),P63*CapacityAge11*'01_Вводные'!$F$199,0)</f>
        <v/>
      </c>
      <c r="Q175" s="190">
        <f>IF(IF('01_Вводные'!$B$296="Новый сезон",11-1&gt;MOD(MONTH(Q$3)-9,12),FALSE),Q63*CapacityAge11*'01_Вводные'!$F$199,0)</f>
        <v/>
      </c>
      <c r="R175" s="190">
        <f>IF(IF('01_Вводные'!$B$296="Новый сезон",11-1&gt;MOD(MONTH(R$3)-9,12),FALSE),R63*CapacityAge11*'01_Вводные'!$F$199,0)</f>
        <v/>
      </c>
      <c r="S175" s="190">
        <f>IF(IF('01_Вводные'!$B$296="Новый сезон",11-1&gt;MOD(MONTH(S$3)-9,12),FALSE),S63*CapacityAge11*'01_Вводные'!$F$199,0)</f>
        <v/>
      </c>
      <c r="T175" s="190">
        <f>IF(IF('01_Вводные'!$B$296="Новый сезон",11-1&gt;MOD(MONTH(T$3)-9,12),FALSE),T63*CapacityAge11*'01_Вводные'!$F$199,0)</f>
        <v/>
      </c>
      <c r="U175" s="190">
        <f>IF(IF('01_Вводные'!$B$296="Новый сезон",11-1&gt;MOD(MONTH(U$3)-9,12),FALSE),U63*CapacityAge11*'01_Вводные'!$F$199,0)</f>
        <v/>
      </c>
      <c r="V175" s="190">
        <f>IF(IF('01_Вводные'!$B$296="Новый сезон",11-1&gt;MOD(MONTH(V$3)-9,12),FALSE),V63*CapacityAge11*'01_Вводные'!$F$199,0)</f>
        <v/>
      </c>
      <c r="W175" s="190">
        <f>IF(IF('01_Вводные'!$B$296="Новый сезон",11-1&gt;MOD(MONTH(W$3)-9,12),FALSE),W63*CapacityAge11*'01_Вводные'!$F$199,0)</f>
        <v/>
      </c>
      <c r="X175" s="190">
        <f>IF(IF('01_Вводные'!$B$296="Новый сезон",11-1&gt;MOD(MONTH(X$3)-9,12),FALSE),X63*CapacityAge11*'01_Вводные'!$F$199,0)</f>
        <v/>
      </c>
      <c r="Y175" s="190">
        <f>IF(IF('01_Вводные'!$B$296="Новый сезон",11-1&gt;MOD(MONTH(Y$3)-9,12),FALSE),Y63*CapacityAge11*'01_Вводные'!$F$199,0)</f>
        <v/>
      </c>
      <c r="Z175" s="190">
        <f>IF(IF('01_Вводные'!$B$296="Новый сезон",11-1&gt;MOD(MONTH(Z$3)-9,12),FALSE),Z63*CapacityAge11*'01_Вводные'!$F$199,0)</f>
        <v/>
      </c>
      <c r="AA175" s="190">
        <f>IF(IF('01_Вводные'!$B$296="Новый сезон",11-1&gt;MOD(MONTH(AA$3)-9,12),FALSE),AA63*CapacityAge11*'01_Вводные'!$F$199,0)</f>
        <v/>
      </c>
      <c r="AB175" s="190">
        <f>IF(IF('01_Вводные'!$B$296="Новый сезон",11-1&gt;MOD(MONTH(AB$3)-9,12),FALSE),AB63*CapacityAge11*'01_Вводные'!$F$199,0)</f>
        <v/>
      </c>
      <c r="AC175" s="190">
        <f>IF(IF('01_Вводные'!$B$296="Новый сезон",11-1&gt;MOD(MONTH(AC$3)-9,12),FALSE),AC63*CapacityAge11*'01_Вводные'!$F$199,0)</f>
        <v/>
      </c>
      <c r="AD175" s="190">
        <f>IF(IF('01_Вводные'!$B$296="Новый сезон",11-1&gt;MOD(MONTH(AD$3)-9,12),FALSE),AD63*CapacityAge11*'01_Вводные'!$F$199,0)</f>
        <v/>
      </c>
      <c r="AE175" s="190">
        <f>IF(IF('01_Вводные'!$B$296="Новый сезон",11-1&gt;MOD(MONTH(AE$3)-9,12),FALSE),AE63*CapacityAge11*'01_Вводные'!$F$199,0)</f>
        <v/>
      </c>
      <c r="AF175" s="190">
        <f>IF(IF('01_Вводные'!$B$296="Новый сезон",11-1&gt;MOD(MONTH(AF$3)-9,12),FALSE),AF63*CapacityAge11*'01_Вводные'!$F$199,0)</f>
        <v/>
      </c>
      <c r="AG175" s="190">
        <f>IF(IF('01_Вводные'!$B$296="Новый сезон",11-1&gt;MOD(MONTH(AG$3)-9,12),FALSE),AG63*CapacityAge11*'01_Вводные'!$F$199,0)</f>
        <v/>
      </c>
      <c r="AH175" s="190">
        <f>IF(IF('01_Вводные'!$B$296="Новый сезон",11-1&gt;MOD(MONTH(AH$3)-9,12),FALSE),AH63*CapacityAge11*'01_Вводные'!$F$199,0)</f>
        <v/>
      </c>
      <c r="AI175" s="190">
        <f>IF(IF('01_Вводные'!$B$296="Новый сезон",11-1&gt;MOD(MONTH(AI$3)-9,12),FALSE),AI63*CapacityAge11*'01_Вводные'!$F$199,0)</f>
        <v/>
      </c>
      <c r="AJ175" s="190">
        <f>IF(IF('01_Вводные'!$B$296="Новый сезон",11-1&gt;MOD(MONTH(AJ$3)-9,12),FALSE),AJ63*CapacityAge11*'01_Вводные'!$F$199,0)</f>
        <v/>
      </c>
      <c r="AK175" s="190">
        <f>IF(IF('01_Вводные'!$B$296="Новый сезон",11-1&gt;MOD(MONTH(AK$3)-9,12),FALSE),AK63*CapacityAge11*'01_Вводные'!$F$199,0)</f>
        <v/>
      </c>
      <c r="AL175" s="190">
        <f>IF(IF('01_Вводные'!$B$296="Новый сезон",11-1&gt;MOD(MONTH(AL$3)-9,12),FALSE),AL63*CapacityAge11*'01_Вводные'!$F$199,0)</f>
        <v/>
      </c>
      <c r="AM175" s="190">
        <f>IF(IF('01_Вводные'!$B$296="Новый сезон",11-1&gt;MOD(MONTH(AM$3)-9,12),FALSE),AM63*CapacityAge11*'01_Вводные'!$F$199,0)</f>
        <v/>
      </c>
      <c r="AN175" s="190">
        <f>IF(IF('01_Вводные'!$B$296="Новый сезон",11-1&gt;MOD(MONTH(AN$3)-9,12),FALSE),AN63*CapacityAge11*'01_Вводные'!$F$199,0)</f>
        <v/>
      </c>
      <c r="AO175" s="190">
        <f>IF(IF('01_Вводные'!$B$296="Новый сезон",11-1&gt;MOD(MONTH(AO$3)-9,12),FALSE),AO63*CapacityAge11*'01_Вводные'!$F$199,0)</f>
        <v/>
      </c>
      <c r="AP175" s="190">
        <f>IF(IF('01_Вводные'!$B$296="Новый сезон",11-1&gt;MOD(MONTH(AP$3)-9,12),FALSE),AP63*CapacityAge11*'01_Вводные'!$F$199,0)</f>
        <v/>
      </c>
      <c r="AQ175" s="190">
        <f>IF(IF('01_Вводные'!$B$296="Новый сезон",11-1&gt;MOD(MONTH(AQ$3)-9,12),FALSE),AQ63*CapacityAge11*'01_Вводные'!$F$199,0)</f>
        <v/>
      </c>
      <c r="AR175" s="190">
        <f>IF(IF('01_Вводные'!$B$296="Новый сезон",11-1&gt;MOD(MONTH(AR$3)-9,12),FALSE),AR63*CapacityAge11*'01_Вводные'!$F$199,0)</f>
        <v/>
      </c>
      <c r="AS175" s="190">
        <f>IF(IF('01_Вводные'!$B$296="Новый сезон",11-1&gt;MOD(MONTH(AS$3)-9,12),FALSE),AS63*CapacityAge11*'01_Вводные'!$F$199,0)</f>
        <v/>
      </c>
      <c r="AT175" s="190">
        <f>IF(IF('01_Вводные'!$B$296="Новый сезон",11-1&gt;MOD(MONTH(AT$3)-9,12),FALSE),AT63*CapacityAge11*'01_Вводные'!$F$199,0)</f>
        <v/>
      </c>
      <c r="AU175" s="190">
        <f>IF(IF('01_Вводные'!$B$296="Новый сезон",11-1&gt;MOD(MONTH(AU$3)-9,12),FALSE),AU63*CapacityAge11*'01_Вводные'!$F$199,0)</f>
        <v/>
      </c>
      <c r="AV175" s="190">
        <f>IF(IF('01_Вводные'!$B$296="Новый сезон",11-1&gt;MOD(MONTH(AV$3)-9,12),FALSE),AV63*CapacityAge11*'01_Вводные'!$F$199,0)</f>
        <v/>
      </c>
      <c r="AW175" s="190">
        <f>IF(IF('01_Вводные'!$B$296="Новый сезон",11-1&gt;MOD(MONTH(AW$3)-9,12),FALSE),AW63*CapacityAge11*'01_Вводные'!$F$199,0)</f>
        <v/>
      </c>
      <c r="AX175" s="190">
        <f>IF(IF('01_Вводные'!$B$296="Новый сезон",11-1&gt;MOD(MONTH(AX$3)-9,12),FALSE),AX63*CapacityAge11*'01_Вводные'!$F$199,0)</f>
        <v/>
      </c>
      <c r="AY175" s="190">
        <f>IF(IF('01_Вводные'!$B$296="Новый сезон",11-1&gt;MOD(MONTH(AY$3)-9,12),FALSE),AY63*CapacityAge11*'01_Вводные'!$F$199,0)</f>
        <v/>
      </c>
      <c r="AZ175" s="190">
        <f>IF(IF('01_Вводные'!$B$296="Новый сезон",11-1&gt;MOD(MONTH(AZ$3)-9,12),FALSE),AZ63*CapacityAge11*'01_Вводные'!$F$199,0)</f>
        <v/>
      </c>
      <c r="BA175" s="190">
        <f>IF(IF('01_Вводные'!$B$296="Новый сезон",11-1&gt;MOD(MONTH(BA$3)-9,12),FALSE),BA63*CapacityAge11*'01_Вводные'!$F$199,0)</f>
        <v/>
      </c>
      <c r="BB175" s="190">
        <f>IF(IF('01_Вводные'!$B$296="Новый сезон",11-1&gt;MOD(MONTH(BB$3)-9,12),FALSE),BB63*CapacityAge11*'01_Вводные'!$F$199,0)</f>
        <v/>
      </c>
      <c r="BC175" s="190">
        <f>IF(IF('01_Вводные'!$B$296="Новый сезон",11-1&gt;MOD(MONTH(BC$3)-9,12),FALSE),BC63*CapacityAge11*'01_Вводные'!$F$199,0)</f>
        <v/>
      </c>
      <c r="BD175" s="190">
        <f>IF(IF('01_Вводные'!$B$296="Новый сезон",11-1&gt;MOD(MONTH(BD$3)-9,12),FALSE),BD63*CapacityAge11*'01_Вводные'!$F$199,0)</f>
        <v/>
      </c>
      <c r="BE175" s="190">
        <f>IF(IF('01_Вводные'!$B$296="Новый сезон",11-1&gt;MOD(MONTH(BE$3)-9,12),FALSE),BE63*CapacityAge11*'01_Вводные'!$F$199,0)</f>
        <v/>
      </c>
      <c r="BF175" s="190">
        <f>IF(IF('01_Вводные'!$B$296="Новый сезон",11-1&gt;MOD(MONTH(BF$3)-9,12),FALSE),BF63*CapacityAge11*'01_Вводные'!$F$199,0)</f>
        <v/>
      </c>
      <c r="BG175" s="190">
        <f>IF(IF('01_Вводные'!$B$296="Новый сезон",11-1&gt;MOD(MONTH(BG$3)-9,12),FALSE),BG63*CapacityAge11*'01_Вводные'!$F$199,0)</f>
        <v/>
      </c>
      <c r="BH175" s="190">
        <f>IF(IF('01_Вводные'!$B$296="Новый сезон",11-1&gt;MOD(MONTH(BH$3)-9,12),FALSE),BH63*CapacityAge11*'01_Вводные'!$F$199,0)</f>
        <v/>
      </c>
      <c r="BI175" s="190">
        <f>IF(IF('01_Вводные'!$B$296="Новый сезон",11-1&gt;MOD(MONTH(BI$3)-9,12),FALSE),BI63*CapacityAge11*'01_Вводные'!$F$199,0)</f>
        <v/>
      </c>
      <c r="BJ175" s="190">
        <f>IF(IF('01_Вводные'!$B$296="Новый сезон",11-1&gt;MOD(MONTH(BJ$3)-9,12),FALSE),BJ63*CapacityAge11*'01_Вводные'!$F$199,0)</f>
        <v/>
      </c>
      <c r="BK175" s="190">
        <f>IF(IF('01_Вводные'!$B$296="Новый сезон",11-1&gt;MOD(MONTH(BK$3)-9,12),FALSE),BK63*CapacityAge11*'01_Вводные'!$F$199,0)</f>
        <v/>
      </c>
      <c r="BL175" s="190">
        <f>IF(IF('01_Вводные'!$B$296="Новый сезон",11-1&gt;MOD(MONTH(BL$3)-9,12),FALSE),BL63*CapacityAge11*'01_Вводные'!$F$199,0)</f>
        <v/>
      </c>
      <c r="BM175" s="190">
        <f>IF(IF('01_Вводные'!$B$296="Новый сезон",11-1&gt;MOD(MONTH(BM$3)-9,12),FALSE),BM63*CapacityAge11*'01_Вводные'!$F$199,0)</f>
        <v/>
      </c>
      <c r="BN175" s="190">
        <f>IF(IF('01_Вводные'!$B$296="Новый сезон",11-1&gt;MOD(MONTH(BN$3)-9,12),FALSE),BN63*CapacityAge11*'01_Вводные'!$F$199,0)</f>
        <v/>
      </c>
      <c r="BO175" s="190">
        <f>IF(IF('01_Вводные'!$B$296="Новый сезон",11-1&gt;MOD(MONTH(BO$3)-9,12),FALSE),BO63*CapacityAge11*'01_Вводные'!$F$199,0)</f>
        <v/>
      </c>
    </row>
    <row r="176" hidden="1" outlineLevel="1">
      <c r="A176" t="inlineStr">
        <is>
          <t>12 мес.</t>
        </is>
      </c>
      <c r="B176" s="190">
        <f>IF(IF('01_Вводные'!$B$296="Новый сезон",12-1&gt;MOD(MONTH(B$3)-9,12),FALSE),B64*CapacityAge12*'01_Вводные'!$F$199,0)</f>
        <v/>
      </c>
      <c r="C176" s="190">
        <f>IF(IF('01_Вводные'!$B$296="Новый сезон",12-1&gt;MOD(MONTH(C$3)-9,12),FALSE),C64*CapacityAge12*'01_Вводные'!$F$199,0)</f>
        <v/>
      </c>
      <c r="D176" s="190">
        <f>IF(IF('01_Вводные'!$B$296="Новый сезон",12-1&gt;MOD(MONTH(D$3)-9,12),FALSE),D64*CapacityAge12*'01_Вводные'!$F$199,0)</f>
        <v/>
      </c>
      <c r="E176" s="190">
        <f>IF(IF('01_Вводные'!$B$296="Новый сезон",12-1&gt;MOD(MONTH(E$3)-9,12),FALSE),E64*CapacityAge12*'01_Вводные'!$F$199,0)</f>
        <v/>
      </c>
      <c r="F176" s="190">
        <f>IF(IF('01_Вводные'!$B$296="Новый сезон",12-1&gt;MOD(MONTH(F$3)-9,12),FALSE),F64*CapacityAge12*'01_Вводные'!$F$199,0)</f>
        <v/>
      </c>
      <c r="G176" s="190">
        <f>IF(IF('01_Вводные'!$B$296="Новый сезон",12-1&gt;MOD(MONTH(G$3)-9,12),FALSE),G64*CapacityAge12*'01_Вводные'!$F$199,0)</f>
        <v/>
      </c>
      <c r="H176" s="190">
        <f>IF(IF('01_Вводные'!$B$296="Новый сезон",12-1&gt;MOD(MONTH(H$3)-9,12),FALSE),H64*CapacityAge12*'01_Вводные'!$F$199,0)</f>
        <v/>
      </c>
      <c r="I176" s="190">
        <f>IF(IF('01_Вводные'!$B$296="Новый сезон",12-1&gt;MOD(MONTH(I$3)-9,12),FALSE),I64*CapacityAge12*'01_Вводные'!$F$199,0)</f>
        <v/>
      </c>
      <c r="J176" s="190">
        <f>IF(IF('01_Вводные'!$B$296="Новый сезон",12-1&gt;MOD(MONTH(J$3)-9,12),FALSE),J64*CapacityAge12*'01_Вводные'!$F$199,0)</f>
        <v/>
      </c>
      <c r="K176" s="190">
        <f>IF(IF('01_Вводные'!$B$296="Новый сезон",12-1&gt;MOD(MONTH(K$3)-9,12),FALSE),K64*CapacityAge12*'01_Вводные'!$F$199,0)</f>
        <v/>
      </c>
      <c r="L176" s="190">
        <f>IF(IF('01_Вводные'!$B$296="Новый сезон",12-1&gt;MOD(MONTH(L$3)-9,12),FALSE),L64*CapacityAge12*'01_Вводные'!$F$199,0)</f>
        <v/>
      </c>
      <c r="M176" s="190">
        <f>IF(IF('01_Вводные'!$B$296="Новый сезон",12-1&gt;MOD(MONTH(M$3)-9,12),FALSE),M64*CapacityAge12*'01_Вводные'!$F$199,0)</f>
        <v/>
      </c>
      <c r="N176" s="190">
        <f>IF(IF('01_Вводные'!$B$296="Новый сезон",12-1&gt;MOD(MONTH(N$3)-9,12),FALSE),N64*CapacityAge12*'01_Вводные'!$F$199,0)</f>
        <v/>
      </c>
      <c r="O176" s="190">
        <f>IF(IF('01_Вводные'!$B$296="Новый сезон",12-1&gt;MOD(MONTH(O$3)-9,12),FALSE),O64*CapacityAge12*'01_Вводные'!$F$199,0)</f>
        <v/>
      </c>
      <c r="P176" s="190">
        <f>IF(IF('01_Вводные'!$B$296="Новый сезон",12-1&gt;MOD(MONTH(P$3)-9,12),FALSE),P64*CapacityAge12*'01_Вводные'!$F$199,0)</f>
        <v/>
      </c>
      <c r="Q176" s="190">
        <f>IF(IF('01_Вводные'!$B$296="Новый сезон",12-1&gt;MOD(MONTH(Q$3)-9,12),FALSE),Q64*CapacityAge12*'01_Вводные'!$F$199,0)</f>
        <v/>
      </c>
      <c r="R176" s="190">
        <f>IF(IF('01_Вводные'!$B$296="Новый сезон",12-1&gt;MOD(MONTH(R$3)-9,12),FALSE),R64*CapacityAge12*'01_Вводные'!$F$199,0)</f>
        <v/>
      </c>
      <c r="S176" s="190">
        <f>IF(IF('01_Вводные'!$B$296="Новый сезон",12-1&gt;MOD(MONTH(S$3)-9,12),FALSE),S64*CapacityAge12*'01_Вводные'!$F$199,0)</f>
        <v/>
      </c>
      <c r="T176" s="190">
        <f>IF(IF('01_Вводные'!$B$296="Новый сезон",12-1&gt;MOD(MONTH(T$3)-9,12),FALSE),T64*CapacityAge12*'01_Вводные'!$F$199,0)</f>
        <v/>
      </c>
      <c r="U176" s="190">
        <f>IF(IF('01_Вводные'!$B$296="Новый сезон",12-1&gt;MOD(MONTH(U$3)-9,12),FALSE),U64*CapacityAge12*'01_Вводные'!$F$199,0)</f>
        <v/>
      </c>
      <c r="V176" s="190">
        <f>IF(IF('01_Вводные'!$B$296="Новый сезон",12-1&gt;MOD(MONTH(V$3)-9,12),FALSE),V64*CapacityAge12*'01_Вводные'!$F$199,0)</f>
        <v/>
      </c>
      <c r="W176" s="190">
        <f>IF(IF('01_Вводные'!$B$296="Новый сезон",12-1&gt;MOD(MONTH(W$3)-9,12),FALSE),W64*CapacityAge12*'01_Вводные'!$F$199,0)</f>
        <v/>
      </c>
      <c r="X176" s="190">
        <f>IF(IF('01_Вводные'!$B$296="Новый сезон",12-1&gt;MOD(MONTH(X$3)-9,12),FALSE),X64*CapacityAge12*'01_Вводные'!$F$199,0)</f>
        <v/>
      </c>
      <c r="Y176" s="190">
        <f>IF(IF('01_Вводные'!$B$296="Новый сезон",12-1&gt;MOD(MONTH(Y$3)-9,12),FALSE),Y64*CapacityAge12*'01_Вводные'!$F$199,0)</f>
        <v/>
      </c>
      <c r="Z176" s="190">
        <f>IF(IF('01_Вводные'!$B$296="Новый сезон",12-1&gt;MOD(MONTH(Z$3)-9,12),FALSE),Z64*CapacityAge12*'01_Вводные'!$F$199,0)</f>
        <v/>
      </c>
      <c r="AA176" s="190">
        <f>IF(IF('01_Вводные'!$B$296="Новый сезон",12-1&gt;MOD(MONTH(AA$3)-9,12),FALSE),AA64*CapacityAge12*'01_Вводные'!$F$199,0)</f>
        <v/>
      </c>
      <c r="AB176" s="190">
        <f>IF(IF('01_Вводные'!$B$296="Новый сезон",12-1&gt;MOD(MONTH(AB$3)-9,12),FALSE),AB64*CapacityAge12*'01_Вводные'!$F$199,0)</f>
        <v/>
      </c>
      <c r="AC176" s="190">
        <f>IF(IF('01_Вводные'!$B$296="Новый сезон",12-1&gt;MOD(MONTH(AC$3)-9,12),FALSE),AC64*CapacityAge12*'01_Вводные'!$F$199,0)</f>
        <v/>
      </c>
      <c r="AD176" s="190">
        <f>IF(IF('01_Вводные'!$B$296="Новый сезон",12-1&gt;MOD(MONTH(AD$3)-9,12),FALSE),AD64*CapacityAge12*'01_Вводные'!$F$199,0)</f>
        <v/>
      </c>
      <c r="AE176" s="190">
        <f>IF(IF('01_Вводные'!$B$296="Новый сезон",12-1&gt;MOD(MONTH(AE$3)-9,12),FALSE),AE64*CapacityAge12*'01_Вводные'!$F$199,0)</f>
        <v/>
      </c>
      <c r="AF176" s="190">
        <f>IF(IF('01_Вводные'!$B$296="Новый сезон",12-1&gt;MOD(MONTH(AF$3)-9,12),FALSE),AF64*CapacityAge12*'01_Вводные'!$F$199,0)</f>
        <v/>
      </c>
      <c r="AG176" s="190">
        <f>IF(IF('01_Вводные'!$B$296="Новый сезон",12-1&gt;MOD(MONTH(AG$3)-9,12),FALSE),AG64*CapacityAge12*'01_Вводные'!$F$199,0)</f>
        <v/>
      </c>
      <c r="AH176" s="190">
        <f>IF(IF('01_Вводные'!$B$296="Новый сезон",12-1&gt;MOD(MONTH(AH$3)-9,12),FALSE),AH64*CapacityAge12*'01_Вводные'!$F$199,0)</f>
        <v/>
      </c>
      <c r="AI176" s="190">
        <f>IF(IF('01_Вводные'!$B$296="Новый сезон",12-1&gt;MOD(MONTH(AI$3)-9,12),FALSE),AI64*CapacityAge12*'01_Вводные'!$F$199,0)</f>
        <v/>
      </c>
      <c r="AJ176" s="190">
        <f>IF(IF('01_Вводные'!$B$296="Новый сезон",12-1&gt;MOD(MONTH(AJ$3)-9,12),FALSE),AJ64*CapacityAge12*'01_Вводные'!$F$199,0)</f>
        <v/>
      </c>
      <c r="AK176" s="190">
        <f>IF(IF('01_Вводные'!$B$296="Новый сезон",12-1&gt;MOD(MONTH(AK$3)-9,12),FALSE),AK64*CapacityAge12*'01_Вводные'!$F$199,0)</f>
        <v/>
      </c>
      <c r="AL176" s="190">
        <f>IF(IF('01_Вводные'!$B$296="Новый сезон",12-1&gt;MOD(MONTH(AL$3)-9,12),FALSE),AL64*CapacityAge12*'01_Вводные'!$F$199,0)</f>
        <v/>
      </c>
      <c r="AM176" s="190">
        <f>IF(IF('01_Вводные'!$B$296="Новый сезон",12-1&gt;MOD(MONTH(AM$3)-9,12),FALSE),AM64*CapacityAge12*'01_Вводные'!$F$199,0)</f>
        <v/>
      </c>
      <c r="AN176" s="190">
        <f>IF(IF('01_Вводные'!$B$296="Новый сезон",12-1&gt;MOD(MONTH(AN$3)-9,12),FALSE),AN64*CapacityAge12*'01_Вводные'!$F$199,0)</f>
        <v/>
      </c>
      <c r="AO176" s="190">
        <f>IF(IF('01_Вводные'!$B$296="Новый сезон",12-1&gt;MOD(MONTH(AO$3)-9,12),FALSE),AO64*CapacityAge12*'01_Вводные'!$F$199,0)</f>
        <v/>
      </c>
      <c r="AP176" s="190">
        <f>IF(IF('01_Вводные'!$B$296="Новый сезон",12-1&gt;MOD(MONTH(AP$3)-9,12),FALSE),AP64*CapacityAge12*'01_Вводные'!$F$199,0)</f>
        <v/>
      </c>
      <c r="AQ176" s="190">
        <f>IF(IF('01_Вводные'!$B$296="Новый сезон",12-1&gt;MOD(MONTH(AQ$3)-9,12),FALSE),AQ64*CapacityAge12*'01_Вводные'!$F$199,0)</f>
        <v/>
      </c>
      <c r="AR176" s="190">
        <f>IF(IF('01_Вводные'!$B$296="Новый сезон",12-1&gt;MOD(MONTH(AR$3)-9,12),FALSE),AR64*CapacityAge12*'01_Вводные'!$F$199,0)</f>
        <v/>
      </c>
      <c r="AS176" s="190">
        <f>IF(IF('01_Вводные'!$B$296="Новый сезон",12-1&gt;MOD(MONTH(AS$3)-9,12),FALSE),AS64*CapacityAge12*'01_Вводные'!$F$199,0)</f>
        <v/>
      </c>
      <c r="AT176" s="190">
        <f>IF(IF('01_Вводные'!$B$296="Новый сезон",12-1&gt;MOD(MONTH(AT$3)-9,12),FALSE),AT64*CapacityAge12*'01_Вводные'!$F$199,0)</f>
        <v/>
      </c>
      <c r="AU176" s="190">
        <f>IF(IF('01_Вводные'!$B$296="Новый сезон",12-1&gt;MOD(MONTH(AU$3)-9,12),FALSE),AU64*CapacityAge12*'01_Вводные'!$F$199,0)</f>
        <v/>
      </c>
      <c r="AV176" s="190">
        <f>IF(IF('01_Вводные'!$B$296="Новый сезон",12-1&gt;MOD(MONTH(AV$3)-9,12),FALSE),AV64*CapacityAge12*'01_Вводные'!$F$199,0)</f>
        <v/>
      </c>
      <c r="AW176" s="190">
        <f>IF(IF('01_Вводные'!$B$296="Новый сезон",12-1&gt;MOD(MONTH(AW$3)-9,12),FALSE),AW64*CapacityAge12*'01_Вводные'!$F$199,0)</f>
        <v/>
      </c>
      <c r="AX176" s="190">
        <f>IF(IF('01_Вводные'!$B$296="Новый сезон",12-1&gt;MOD(MONTH(AX$3)-9,12),FALSE),AX64*CapacityAge12*'01_Вводные'!$F$199,0)</f>
        <v/>
      </c>
      <c r="AY176" s="190">
        <f>IF(IF('01_Вводные'!$B$296="Новый сезон",12-1&gt;MOD(MONTH(AY$3)-9,12),FALSE),AY64*CapacityAge12*'01_Вводные'!$F$199,0)</f>
        <v/>
      </c>
      <c r="AZ176" s="190">
        <f>IF(IF('01_Вводные'!$B$296="Новый сезон",12-1&gt;MOD(MONTH(AZ$3)-9,12),FALSE),AZ64*CapacityAge12*'01_Вводные'!$F$199,0)</f>
        <v/>
      </c>
      <c r="BA176" s="190">
        <f>IF(IF('01_Вводные'!$B$296="Новый сезон",12-1&gt;MOD(MONTH(BA$3)-9,12),FALSE),BA64*CapacityAge12*'01_Вводные'!$F$199,0)</f>
        <v/>
      </c>
      <c r="BB176" s="190">
        <f>IF(IF('01_Вводные'!$B$296="Новый сезон",12-1&gt;MOD(MONTH(BB$3)-9,12),FALSE),BB64*CapacityAge12*'01_Вводные'!$F$199,0)</f>
        <v/>
      </c>
      <c r="BC176" s="190">
        <f>IF(IF('01_Вводные'!$B$296="Новый сезон",12-1&gt;MOD(MONTH(BC$3)-9,12),FALSE),BC64*CapacityAge12*'01_Вводные'!$F$199,0)</f>
        <v/>
      </c>
      <c r="BD176" s="190">
        <f>IF(IF('01_Вводные'!$B$296="Новый сезон",12-1&gt;MOD(MONTH(BD$3)-9,12),FALSE),BD64*CapacityAge12*'01_Вводные'!$F$199,0)</f>
        <v/>
      </c>
      <c r="BE176" s="190">
        <f>IF(IF('01_Вводные'!$B$296="Новый сезон",12-1&gt;MOD(MONTH(BE$3)-9,12),FALSE),BE64*CapacityAge12*'01_Вводные'!$F$199,0)</f>
        <v/>
      </c>
      <c r="BF176" s="190">
        <f>IF(IF('01_Вводные'!$B$296="Новый сезон",12-1&gt;MOD(MONTH(BF$3)-9,12),FALSE),BF64*CapacityAge12*'01_Вводные'!$F$199,0)</f>
        <v/>
      </c>
      <c r="BG176" s="190">
        <f>IF(IF('01_Вводные'!$B$296="Новый сезон",12-1&gt;MOD(MONTH(BG$3)-9,12),FALSE),BG64*CapacityAge12*'01_Вводные'!$F$199,0)</f>
        <v/>
      </c>
      <c r="BH176" s="190">
        <f>IF(IF('01_Вводные'!$B$296="Новый сезон",12-1&gt;MOD(MONTH(BH$3)-9,12),FALSE),BH64*CapacityAge12*'01_Вводные'!$F$199,0)</f>
        <v/>
      </c>
      <c r="BI176" s="190">
        <f>IF(IF('01_Вводные'!$B$296="Новый сезон",12-1&gt;MOD(MONTH(BI$3)-9,12),FALSE),BI64*CapacityAge12*'01_Вводные'!$F$199,0)</f>
        <v/>
      </c>
      <c r="BJ176" s="190">
        <f>IF(IF('01_Вводные'!$B$296="Новый сезон",12-1&gt;MOD(MONTH(BJ$3)-9,12),FALSE),BJ64*CapacityAge12*'01_Вводные'!$F$199,0)</f>
        <v/>
      </c>
      <c r="BK176" s="190">
        <f>IF(IF('01_Вводные'!$B$296="Новый сезон",12-1&gt;MOD(MONTH(BK$3)-9,12),FALSE),BK64*CapacityAge12*'01_Вводные'!$F$199,0)</f>
        <v/>
      </c>
      <c r="BL176" s="190">
        <f>IF(IF('01_Вводные'!$B$296="Новый сезон",12-1&gt;MOD(MONTH(BL$3)-9,12),FALSE),BL64*CapacityAge12*'01_Вводные'!$F$199,0)</f>
        <v/>
      </c>
      <c r="BM176" s="190">
        <f>IF(IF('01_Вводные'!$B$296="Новый сезон",12-1&gt;MOD(MONTH(BM$3)-9,12),FALSE),BM64*CapacityAge12*'01_Вводные'!$F$199,0)</f>
        <v/>
      </c>
      <c r="BN176" s="190">
        <f>IF(IF('01_Вводные'!$B$296="Новый сезон",12-1&gt;MOD(MONTH(BN$3)-9,12),FALSE),BN64*CapacityAge12*'01_Вводные'!$F$199,0)</f>
        <v/>
      </c>
      <c r="BO176" s="190">
        <f>IF(IF('01_Вводные'!$B$296="Новый сезон",12-1&gt;MOD(MONTH(BO$3)-9,12),FALSE),BO64*CapacityAge12*'01_Вводные'!$F$199,0)</f>
        <v/>
      </c>
    </row>
    <row r="177" hidden="1" outlineLevel="1">
      <c r="A177" t="inlineStr">
        <is>
          <t>13 мес.</t>
        </is>
      </c>
      <c r="B177" s="191">
        <f>IF(IF('01_Вводные'!$B$296="Новый сезон",TRUE,TRUE),B65*CapacityAge13*'01_Вводные'!$F$199,0)</f>
        <v/>
      </c>
      <c r="C177" s="191">
        <f>IF(IF('01_Вводные'!$B$296="Новый сезон",TRUE,TRUE),C65*CapacityAge13*'01_Вводные'!$F$199,0)</f>
        <v/>
      </c>
      <c r="D177" s="191">
        <f>IF(IF('01_Вводные'!$B$296="Новый сезон",TRUE,TRUE),D65*CapacityAge13*'01_Вводные'!$F$199,0)</f>
        <v/>
      </c>
      <c r="E177" s="191">
        <f>IF(IF('01_Вводные'!$B$296="Новый сезон",TRUE,TRUE),E65*CapacityAge13*'01_Вводные'!$F$199,0)</f>
        <v/>
      </c>
      <c r="F177" s="191">
        <f>IF(IF('01_Вводные'!$B$296="Новый сезон",TRUE,TRUE),F65*CapacityAge13*'01_Вводные'!$F$199,0)</f>
        <v/>
      </c>
      <c r="G177" s="191">
        <f>IF(IF('01_Вводные'!$B$296="Новый сезон",TRUE,TRUE),G65*CapacityAge13*'01_Вводные'!$F$199,0)</f>
        <v/>
      </c>
      <c r="H177" s="191">
        <f>IF(IF('01_Вводные'!$B$296="Новый сезон",TRUE,TRUE),H65*CapacityAge13*'01_Вводные'!$F$199,0)</f>
        <v/>
      </c>
      <c r="I177" s="191">
        <f>IF(IF('01_Вводные'!$B$296="Новый сезон",TRUE,TRUE),I65*CapacityAge13*'01_Вводные'!$F$199,0)</f>
        <v/>
      </c>
      <c r="J177" s="191">
        <f>IF(IF('01_Вводные'!$B$296="Новый сезон",TRUE,TRUE),J65*CapacityAge13*'01_Вводные'!$F$199,0)</f>
        <v/>
      </c>
      <c r="K177" s="191">
        <f>IF(IF('01_Вводные'!$B$296="Новый сезон",TRUE,TRUE),K65*CapacityAge13*'01_Вводные'!$F$199,0)</f>
        <v/>
      </c>
      <c r="L177" s="191">
        <f>IF(IF('01_Вводные'!$B$296="Новый сезон",TRUE,TRUE),L65*CapacityAge13*'01_Вводные'!$F$199,0)</f>
        <v/>
      </c>
      <c r="M177" s="191">
        <f>IF(IF('01_Вводные'!$B$296="Новый сезон",TRUE,TRUE),M65*CapacityAge13*'01_Вводные'!$F$199,0)</f>
        <v/>
      </c>
      <c r="N177" s="191">
        <f>IF(IF('01_Вводные'!$B$296="Новый сезон",TRUE,TRUE),N65*CapacityAge13*'01_Вводные'!$F$199,0)</f>
        <v/>
      </c>
      <c r="O177" s="191">
        <f>IF(IF('01_Вводные'!$B$296="Новый сезон",TRUE,TRUE),O65*CapacityAge13*'01_Вводные'!$F$199,0)</f>
        <v/>
      </c>
      <c r="P177" s="191">
        <f>IF(IF('01_Вводные'!$B$296="Новый сезон",TRUE,TRUE),P65*CapacityAge13*'01_Вводные'!$F$199,0)</f>
        <v/>
      </c>
      <c r="Q177" s="191">
        <f>IF(IF('01_Вводные'!$B$296="Новый сезон",TRUE,TRUE),Q65*CapacityAge13*'01_Вводные'!$F$199,0)</f>
        <v/>
      </c>
      <c r="R177" s="191">
        <f>IF(IF('01_Вводные'!$B$296="Новый сезон",TRUE,TRUE),R65*CapacityAge13*'01_Вводные'!$F$199,0)</f>
        <v/>
      </c>
      <c r="S177" s="191">
        <f>IF(IF('01_Вводные'!$B$296="Новый сезон",TRUE,TRUE),S65*CapacityAge13*'01_Вводные'!$F$199,0)</f>
        <v/>
      </c>
      <c r="T177" s="191">
        <f>IF(IF('01_Вводные'!$B$296="Новый сезон",TRUE,TRUE),T65*CapacityAge13*'01_Вводные'!$F$199,0)</f>
        <v/>
      </c>
      <c r="U177" s="191">
        <f>IF(IF('01_Вводные'!$B$296="Новый сезон",TRUE,TRUE),U65*CapacityAge13*'01_Вводные'!$F$199,0)</f>
        <v/>
      </c>
      <c r="V177" s="191">
        <f>IF(IF('01_Вводные'!$B$296="Новый сезон",TRUE,TRUE),V65*CapacityAge13*'01_Вводные'!$F$199,0)</f>
        <v/>
      </c>
      <c r="W177" s="191">
        <f>IF(IF('01_Вводные'!$B$296="Новый сезон",TRUE,TRUE),W65*CapacityAge13*'01_Вводные'!$F$199,0)</f>
        <v/>
      </c>
      <c r="X177" s="191">
        <f>IF(IF('01_Вводные'!$B$296="Новый сезон",TRUE,TRUE),X65*CapacityAge13*'01_Вводные'!$F$199,0)</f>
        <v/>
      </c>
      <c r="Y177" s="191">
        <f>IF(IF('01_Вводные'!$B$296="Новый сезон",TRUE,TRUE),Y65*CapacityAge13*'01_Вводные'!$F$199,0)</f>
        <v/>
      </c>
      <c r="Z177" s="191">
        <f>IF(IF('01_Вводные'!$B$296="Новый сезон",TRUE,TRUE),Z65*CapacityAge13*'01_Вводные'!$F$199,0)</f>
        <v/>
      </c>
      <c r="AA177" s="191">
        <f>IF(IF('01_Вводные'!$B$296="Новый сезон",TRUE,TRUE),AA65*CapacityAge13*'01_Вводные'!$F$199,0)</f>
        <v/>
      </c>
      <c r="AB177" s="191">
        <f>IF(IF('01_Вводные'!$B$296="Новый сезон",TRUE,TRUE),AB65*CapacityAge13*'01_Вводные'!$F$199,0)</f>
        <v/>
      </c>
      <c r="AC177" s="191">
        <f>IF(IF('01_Вводные'!$B$296="Новый сезон",TRUE,TRUE),AC65*CapacityAge13*'01_Вводные'!$F$199,0)</f>
        <v/>
      </c>
      <c r="AD177" s="191">
        <f>IF(IF('01_Вводные'!$B$296="Новый сезон",TRUE,TRUE),AD65*CapacityAge13*'01_Вводные'!$F$199,0)</f>
        <v/>
      </c>
      <c r="AE177" s="191">
        <f>IF(IF('01_Вводные'!$B$296="Новый сезон",TRUE,TRUE),AE65*CapacityAge13*'01_Вводные'!$F$199,0)</f>
        <v/>
      </c>
      <c r="AF177" s="191">
        <f>IF(IF('01_Вводные'!$B$296="Новый сезон",TRUE,TRUE),AF65*CapacityAge13*'01_Вводные'!$F$199,0)</f>
        <v/>
      </c>
      <c r="AG177" s="191">
        <f>IF(IF('01_Вводные'!$B$296="Новый сезон",TRUE,TRUE),AG65*CapacityAge13*'01_Вводные'!$F$199,0)</f>
        <v/>
      </c>
      <c r="AH177" s="191">
        <f>IF(IF('01_Вводные'!$B$296="Новый сезон",TRUE,TRUE),AH65*CapacityAge13*'01_Вводные'!$F$199,0)</f>
        <v/>
      </c>
      <c r="AI177" s="191">
        <f>IF(IF('01_Вводные'!$B$296="Новый сезон",TRUE,TRUE),AI65*CapacityAge13*'01_Вводные'!$F$199,0)</f>
        <v/>
      </c>
      <c r="AJ177" s="191">
        <f>IF(IF('01_Вводные'!$B$296="Новый сезон",TRUE,TRUE),AJ65*CapacityAge13*'01_Вводные'!$F$199,0)</f>
        <v/>
      </c>
      <c r="AK177" s="191">
        <f>IF(IF('01_Вводные'!$B$296="Новый сезон",TRUE,TRUE),AK65*CapacityAge13*'01_Вводные'!$F$199,0)</f>
        <v/>
      </c>
      <c r="AL177" s="191">
        <f>IF(IF('01_Вводные'!$B$296="Новый сезон",TRUE,TRUE),AL65*CapacityAge13*'01_Вводные'!$F$199,0)</f>
        <v/>
      </c>
      <c r="AM177" s="191">
        <f>IF(IF('01_Вводные'!$B$296="Новый сезон",TRUE,TRUE),AM65*CapacityAge13*'01_Вводные'!$F$199,0)</f>
        <v/>
      </c>
      <c r="AN177" s="191">
        <f>IF(IF('01_Вводные'!$B$296="Новый сезон",TRUE,TRUE),AN65*CapacityAge13*'01_Вводные'!$F$199,0)</f>
        <v/>
      </c>
      <c r="AO177" s="191">
        <f>IF(IF('01_Вводные'!$B$296="Новый сезон",TRUE,TRUE),AO65*CapacityAge13*'01_Вводные'!$F$199,0)</f>
        <v/>
      </c>
      <c r="AP177" s="191">
        <f>IF(IF('01_Вводные'!$B$296="Новый сезон",TRUE,TRUE),AP65*CapacityAge13*'01_Вводные'!$F$199,0)</f>
        <v/>
      </c>
      <c r="AQ177" s="191">
        <f>IF(IF('01_Вводные'!$B$296="Новый сезон",TRUE,TRUE),AQ65*CapacityAge13*'01_Вводные'!$F$199,0)</f>
        <v/>
      </c>
      <c r="AR177" s="191">
        <f>IF(IF('01_Вводные'!$B$296="Новый сезон",TRUE,TRUE),AR65*CapacityAge13*'01_Вводные'!$F$199,0)</f>
        <v/>
      </c>
      <c r="AS177" s="191">
        <f>IF(IF('01_Вводные'!$B$296="Новый сезон",TRUE,TRUE),AS65*CapacityAge13*'01_Вводные'!$F$199,0)</f>
        <v/>
      </c>
      <c r="AT177" s="191">
        <f>IF(IF('01_Вводные'!$B$296="Новый сезон",TRUE,TRUE),AT65*CapacityAge13*'01_Вводные'!$F$199,0)</f>
        <v/>
      </c>
      <c r="AU177" s="191">
        <f>IF(IF('01_Вводные'!$B$296="Новый сезон",TRUE,TRUE),AU65*CapacityAge13*'01_Вводные'!$F$199,0)</f>
        <v/>
      </c>
      <c r="AV177" s="191">
        <f>IF(IF('01_Вводные'!$B$296="Новый сезон",TRUE,TRUE),AV65*CapacityAge13*'01_Вводные'!$F$199,0)</f>
        <v/>
      </c>
      <c r="AW177" s="191">
        <f>IF(IF('01_Вводные'!$B$296="Новый сезон",TRUE,TRUE),AW65*CapacityAge13*'01_Вводные'!$F$199,0)</f>
        <v/>
      </c>
      <c r="AX177" s="191">
        <f>IF(IF('01_Вводные'!$B$296="Новый сезон",TRUE,TRUE),AX65*CapacityAge13*'01_Вводные'!$F$199,0)</f>
        <v/>
      </c>
      <c r="AY177" s="191">
        <f>IF(IF('01_Вводные'!$B$296="Новый сезон",TRUE,TRUE),AY65*CapacityAge13*'01_Вводные'!$F$199,0)</f>
        <v/>
      </c>
      <c r="AZ177" s="191">
        <f>IF(IF('01_Вводные'!$B$296="Новый сезон",TRUE,TRUE),AZ65*CapacityAge13*'01_Вводные'!$F$199,0)</f>
        <v/>
      </c>
      <c r="BA177" s="191">
        <f>IF(IF('01_Вводные'!$B$296="Новый сезон",TRUE,TRUE),BA65*CapacityAge13*'01_Вводные'!$F$199,0)</f>
        <v/>
      </c>
      <c r="BB177" s="191">
        <f>IF(IF('01_Вводные'!$B$296="Новый сезон",TRUE,TRUE),BB65*CapacityAge13*'01_Вводные'!$F$199,0)</f>
        <v/>
      </c>
      <c r="BC177" s="191">
        <f>IF(IF('01_Вводные'!$B$296="Новый сезон",TRUE,TRUE),BC65*CapacityAge13*'01_Вводные'!$F$199,0)</f>
        <v/>
      </c>
      <c r="BD177" s="191">
        <f>IF(IF('01_Вводные'!$B$296="Новый сезон",TRUE,TRUE),BD65*CapacityAge13*'01_Вводные'!$F$199,0)</f>
        <v/>
      </c>
      <c r="BE177" s="191">
        <f>IF(IF('01_Вводные'!$B$296="Новый сезон",TRUE,TRUE),BE65*CapacityAge13*'01_Вводные'!$F$199,0)</f>
        <v/>
      </c>
      <c r="BF177" s="191">
        <f>IF(IF('01_Вводные'!$B$296="Новый сезон",TRUE,TRUE),BF65*CapacityAge13*'01_Вводные'!$F$199,0)</f>
        <v/>
      </c>
      <c r="BG177" s="191">
        <f>IF(IF('01_Вводные'!$B$296="Новый сезон",TRUE,TRUE),BG65*CapacityAge13*'01_Вводные'!$F$199,0)</f>
        <v/>
      </c>
      <c r="BH177" s="191">
        <f>IF(IF('01_Вводные'!$B$296="Новый сезон",TRUE,TRUE),BH65*CapacityAge13*'01_Вводные'!$F$199,0)</f>
        <v/>
      </c>
      <c r="BI177" s="191">
        <f>IF(IF('01_Вводные'!$B$296="Новый сезон",TRUE,TRUE),BI65*CapacityAge13*'01_Вводные'!$F$199,0)</f>
        <v/>
      </c>
      <c r="BJ177" s="191">
        <f>IF(IF('01_Вводные'!$B$296="Новый сезон",TRUE,TRUE),BJ65*CapacityAge13*'01_Вводные'!$F$199,0)</f>
        <v/>
      </c>
      <c r="BK177" s="191">
        <f>IF(IF('01_Вводные'!$B$296="Новый сезон",TRUE,TRUE),BK65*CapacityAge13*'01_Вводные'!$F$199,0)</f>
        <v/>
      </c>
      <c r="BL177" s="191">
        <f>IF(IF('01_Вводные'!$B$296="Новый сезон",TRUE,TRUE),BL65*CapacityAge13*'01_Вводные'!$F$199,0)</f>
        <v/>
      </c>
      <c r="BM177" s="191">
        <f>IF(IF('01_Вводные'!$B$296="Новый сезон",TRUE,TRUE),BM65*CapacityAge13*'01_Вводные'!$F$199,0)</f>
        <v/>
      </c>
      <c r="BN177" s="191">
        <f>IF(IF('01_Вводные'!$B$296="Новый сезон",TRUE,TRUE),BN65*CapacityAge13*'01_Вводные'!$F$199,0)</f>
        <v/>
      </c>
      <c r="BO177" s="191">
        <f>IF(IF('01_Вводные'!$B$296="Новый сезон",TRUE,TRUE),BO65*CapacityAge13*'01_Вводные'!$F$199,0)</f>
        <v/>
      </c>
    </row>
    <row r="178" hidden="1" outlineLevel="1">
      <c r="A178" t="inlineStr">
        <is>
          <t>14 мес.</t>
        </is>
      </c>
      <c r="B178" s="190">
        <f>IF(IF('01_Вводные'!$B$296="Новый сезон",TRUE,TRUE),B66*CapacityAge14*'01_Вводные'!$F$199,0)</f>
        <v/>
      </c>
      <c r="C178" s="190">
        <f>IF(IF('01_Вводные'!$B$296="Новый сезон",TRUE,TRUE),C66*CapacityAge14*'01_Вводные'!$F$199,0)</f>
        <v/>
      </c>
      <c r="D178" s="190">
        <f>IF(IF('01_Вводные'!$B$296="Новый сезон",TRUE,TRUE),D66*CapacityAge14*'01_Вводные'!$F$199,0)</f>
        <v/>
      </c>
      <c r="E178" s="190">
        <f>IF(IF('01_Вводные'!$B$296="Новый сезон",TRUE,TRUE),E66*CapacityAge14*'01_Вводные'!$F$199,0)</f>
        <v/>
      </c>
      <c r="F178" s="190">
        <f>IF(IF('01_Вводные'!$B$296="Новый сезон",TRUE,TRUE),F66*CapacityAge14*'01_Вводные'!$F$199,0)</f>
        <v/>
      </c>
      <c r="G178" s="190">
        <f>IF(IF('01_Вводные'!$B$296="Новый сезон",TRUE,TRUE),G66*CapacityAge14*'01_Вводные'!$F$199,0)</f>
        <v/>
      </c>
      <c r="H178" s="190">
        <f>IF(IF('01_Вводные'!$B$296="Новый сезон",TRUE,TRUE),H66*CapacityAge14*'01_Вводные'!$F$199,0)</f>
        <v/>
      </c>
      <c r="I178" s="190">
        <f>IF(IF('01_Вводные'!$B$296="Новый сезон",TRUE,TRUE),I66*CapacityAge14*'01_Вводные'!$F$199,0)</f>
        <v/>
      </c>
      <c r="J178" s="190">
        <f>IF(IF('01_Вводные'!$B$296="Новый сезон",TRUE,TRUE),J66*CapacityAge14*'01_Вводные'!$F$199,0)</f>
        <v/>
      </c>
      <c r="K178" s="190">
        <f>IF(IF('01_Вводные'!$B$296="Новый сезон",TRUE,TRUE),K66*CapacityAge14*'01_Вводные'!$F$199,0)</f>
        <v/>
      </c>
      <c r="L178" s="190">
        <f>IF(IF('01_Вводные'!$B$296="Новый сезон",TRUE,TRUE),L66*CapacityAge14*'01_Вводные'!$F$199,0)</f>
        <v/>
      </c>
      <c r="M178" s="190">
        <f>IF(IF('01_Вводные'!$B$296="Новый сезон",TRUE,TRUE),M66*CapacityAge14*'01_Вводные'!$F$199,0)</f>
        <v/>
      </c>
      <c r="N178" s="190">
        <f>IF(IF('01_Вводные'!$B$296="Новый сезон",TRUE,TRUE),N66*CapacityAge14*'01_Вводные'!$F$199,0)</f>
        <v/>
      </c>
      <c r="O178" s="190">
        <f>IF(IF('01_Вводные'!$B$296="Новый сезон",TRUE,TRUE),O66*CapacityAge14*'01_Вводные'!$F$199,0)</f>
        <v/>
      </c>
      <c r="P178" s="190">
        <f>IF(IF('01_Вводные'!$B$296="Новый сезон",TRUE,TRUE),P66*CapacityAge14*'01_Вводные'!$F$199,0)</f>
        <v/>
      </c>
      <c r="Q178" s="190">
        <f>IF(IF('01_Вводные'!$B$296="Новый сезон",TRUE,TRUE),Q66*CapacityAge14*'01_Вводные'!$F$199,0)</f>
        <v/>
      </c>
      <c r="R178" s="190">
        <f>IF(IF('01_Вводные'!$B$296="Новый сезон",TRUE,TRUE),R66*CapacityAge14*'01_Вводные'!$F$199,0)</f>
        <v/>
      </c>
      <c r="S178" s="190">
        <f>IF(IF('01_Вводные'!$B$296="Новый сезон",TRUE,TRUE),S66*CapacityAge14*'01_Вводные'!$F$199,0)</f>
        <v/>
      </c>
      <c r="T178" s="190">
        <f>IF(IF('01_Вводные'!$B$296="Новый сезон",TRUE,TRUE),T66*CapacityAge14*'01_Вводные'!$F$199,0)</f>
        <v/>
      </c>
      <c r="U178" s="190">
        <f>IF(IF('01_Вводные'!$B$296="Новый сезон",TRUE,TRUE),U66*CapacityAge14*'01_Вводные'!$F$199,0)</f>
        <v/>
      </c>
      <c r="V178" s="190">
        <f>IF(IF('01_Вводные'!$B$296="Новый сезон",TRUE,TRUE),V66*CapacityAge14*'01_Вводные'!$F$199,0)</f>
        <v/>
      </c>
      <c r="W178" s="190">
        <f>IF(IF('01_Вводные'!$B$296="Новый сезон",TRUE,TRUE),W66*CapacityAge14*'01_Вводные'!$F$199,0)</f>
        <v/>
      </c>
      <c r="X178" s="190">
        <f>IF(IF('01_Вводные'!$B$296="Новый сезон",TRUE,TRUE),X66*CapacityAge14*'01_Вводные'!$F$199,0)</f>
        <v/>
      </c>
      <c r="Y178" s="190">
        <f>IF(IF('01_Вводные'!$B$296="Новый сезон",TRUE,TRUE),Y66*CapacityAge14*'01_Вводные'!$F$199,0)</f>
        <v/>
      </c>
      <c r="Z178" s="190">
        <f>IF(IF('01_Вводные'!$B$296="Новый сезон",TRUE,TRUE),Z66*CapacityAge14*'01_Вводные'!$F$199,0)</f>
        <v/>
      </c>
      <c r="AA178" s="190">
        <f>IF(IF('01_Вводные'!$B$296="Новый сезон",TRUE,TRUE),AA66*CapacityAge14*'01_Вводные'!$F$199,0)</f>
        <v/>
      </c>
      <c r="AB178" s="190">
        <f>IF(IF('01_Вводные'!$B$296="Новый сезон",TRUE,TRUE),AB66*CapacityAge14*'01_Вводные'!$F$199,0)</f>
        <v/>
      </c>
      <c r="AC178" s="190">
        <f>IF(IF('01_Вводные'!$B$296="Новый сезон",TRUE,TRUE),AC66*CapacityAge14*'01_Вводные'!$F$199,0)</f>
        <v/>
      </c>
      <c r="AD178" s="190">
        <f>IF(IF('01_Вводные'!$B$296="Новый сезон",TRUE,TRUE),AD66*CapacityAge14*'01_Вводные'!$F$199,0)</f>
        <v/>
      </c>
      <c r="AE178" s="190">
        <f>IF(IF('01_Вводные'!$B$296="Новый сезон",TRUE,TRUE),AE66*CapacityAge14*'01_Вводные'!$F$199,0)</f>
        <v/>
      </c>
      <c r="AF178" s="190">
        <f>IF(IF('01_Вводные'!$B$296="Новый сезон",TRUE,TRUE),AF66*CapacityAge14*'01_Вводные'!$F$199,0)</f>
        <v/>
      </c>
      <c r="AG178" s="190">
        <f>IF(IF('01_Вводные'!$B$296="Новый сезон",TRUE,TRUE),AG66*CapacityAge14*'01_Вводные'!$F$199,0)</f>
        <v/>
      </c>
      <c r="AH178" s="190">
        <f>IF(IF('01_Вводные'!$B$296="Новый сезон",TRUE,TRUE),AH66*CapacityAge14*'01_Вводные'!$F$199,0)</f>
        <v/>
      </c>
      <c r="AI178" s="190">
        <f>IF(IF('01_Вводные'!$B$296="Новый сезон",TRUE,TRUE),AI66*CapacityAge14*'01_Вводные'!$F$199,0)</f>
        <v/>
      </c>
      <c r="AJ178" s="190">
        <f>IF(IF('01_Вводные'!$B$296="Новый сезон",TRUE,TRUE),AJ66*CapacityAge14*'01_Вводные'!$F$199,0)</f>
        <v/>
      </c>
      <c r="AK178" s="190">
        <f>IF(IF('01_Вводные'!$B$296="Новый сезон",TRUE,TRUE),AK66*CapacityAge14*'01_Вводные'!$F$199,0)</f>
        <v/>
      </c>
      <c r="AL178" s="190">
        <f>IF(IF('01_Вводные'!$B$296="Новый сезон",TRUE,TRUE),AL66*CapacityAge14*'01_Вводные'!$F$199,0)</f>
        <v/>
      </c>
      <c r="AM178" s="190">
        <f>IF(IF('01_Вводные'!$B$296="Новый сезон",TRUE,TRUE),AM66*CapacityAge14*'01_Вводные'!$F$199,0)</f>
        <v/>
      </c>
      <c r="AN178" s="190">
        <f>IF(IF('01_Вводные'!$B$296="Новый сезон",TRUE,TRUE),AN66*CapacityAge14*'01_Вводные'!$F$199,0)</f>
        <v/>
      </c>
      <c r="AO178" s="190">
        <f>IF(IF('01_Вводные'!$B$296="Новый сезон",TRUE,TRUE),AO66*CapacityAge14*'01_Вводные'!$F$199,0)</f>
        <v/>
      </c>
      <c r="AP178" s="190">
        <f>IF(IF('01_Вводные'!$B$296="Новый сезон",TRUE,TRUE),AP66*CapacityAge14*'01_Вводные'!$F$199,0)</f>
        <v/>
      </c>
      <c r="AQ178" s="190">
        <f>IF(IF('01_Вводные'!$B$296="Новый сезон",TRUE,TRUE),AQ66*CapacityAge14*'01_Вводные'!$F$199,0)</f>
        <v/>
      </c>
      <c r="AR178" s="190">
        <f>IF(IF('01_Вводные'!$B$296="Новый сезон",TRUE,TRUE),AR66*CapacityAge14*'01_Вводные'!$F$199,0)</f>
        <v/>
      </c>
      <c r="AS178" s="190">
        <f>IF(IF('01_Вводные'!$B$296="Новый сезон",TRUE,TRUE),AS66*CapacityAge14*'01_Вводные'!$F$199,0)</f>
        <v/>
      </c>
      <c r="AT178" s="190">
        <f>IF(IF('01_Вводные'!$B$296="Новый сезон",TRUE,TRUE),AT66*CapacityAge14*'01_Вводные'!$F$199,0)</f>
        <v/>
      </c>
      <c r="AU178" s="190">
        <f>IF(IF('01_Вводные'!$B$296="Новый сезон",TRUE,TRUE),AU66*CapacityAge14*'01_Вводные'!$F$199,0)</f>
        <v/>
      </c>
      <c r="AV178" s="190">
        <f>IF(IF('01_Вводные'!$B$296="Новый сезон",TRUE,TRUE),AV66*CapacityAge14*'01_Вводные'!$F$199,0)</f>
        <v/>
      </c>
      <c r="AW178" s="190">
        <f>IF(IF('01_Вводные'!$B$296="Новый сезон",TRUE,TRUE),AW66*CapacityAge14*'01_Вводные'!$F$199,0)</f>
        <v/>
      </c>
      <c r="AX178" s="190">
        <f>IF(IF('01_Вводные'!$B$296="Новый сезон",TRUE,TRUE),AX66*CapacityAge14*'01_Вводные'!$F$199,0)</f>
        <v/>
      </c>
      <c r="AY178" s="190">
        <f>IF(IF('01_Вводные'!$B$296="Новый сезон",TRUE,TRUE),AY66*CapacityAge14*'01_Вводные'!$F$199,0)</f>
        <v/>
      </c>
      <c r="AZ178" s="190">
        <f>IF(IF('01_Вводные'!$B$296="Новый сезон",TRUE,TRUE),AZ66*CapacityAge14*'01_Вводные'!$F$199,0)</f>
        <v/>
      </c>
      <c r="BA178" s="190">
        <f>IF(IF('01_Вводные'!$B$296="Новый сезон",TRUE,TRUE),BA66*CapacityAge14*'01_Вводные'!$F$199,0)</f>
        <v/>
      </c>
      <c r="BB178" s="190">
        <f>IF(IF('01_Вводные'!$B$296="Новый сезон",TRUE,TRUE),BB66*CapacityAge14*'01_Вводные'!$F$199,0)</f>
        <v/>
      </c>
      <c r="BC178" s="190">
        <f>IF(IF('01_Вводные'!$B$296="Новый сезон",TRUE,TRUE),BC66*CapacityAge14*'01_Вводные'!$F$199,0)</f>
        <v/>
      </c>
      <c r="BD178" s="190">
        <f>IF(IF('01_Вводные'!$B$296="Новый сезон",TRUE,TRUE),BD66*CapacityAge14*'01_Вводные'!$F$199,0)</f>
        <v/>
      </c>
      <c r="BE178" s="190">
        <f>IF(IF('01_Вводные'!$B$296="Новый сезон",TRUE,TRUE),BE66*CapacityAge14*'01_Вводные'!$F$199,0)</f>
        <v/>
      </c>
      <c r="BF178" s="190">
        <f>IF(IF('01_Вводные'!$B$296="Новый сезон",TRUE,TRUE),BF66*CapacityAge14*'01_Вводные'!$F$199,0)</f>
        <v/>
      </c>
      <c r="BG178" s="190">
        <f>IF(IF('01_Вводные'!$B$296="Новый сезон",TRUE,TRUE),BG66*CapacityAge14*'01_Вводные'!$F$199,0)</f>
        <v/>
      </c>
      <c r="BH178" s="190">
        <f>IF(IF('01_Вводные'!$B$296="Новый сезон",TRUE,TRUE),BH66*CapacityAge14*'01_Вводные'!$F$199,0)</f>
        <v/>
      </c>
      <c r="BI178" s="190">
        <f>IF(IF('01_Вводные'!$B$296="Новый сезон",TRUE,TRUE),BI66*CapacityAge14*'01_Вводные'!$F$199,0)</f>
        <v/>
      </c>
      <c r="BJ178" s="190">
        <f>IF(IF('01_Вводные'!$B$296="Новый сезон",TRUE,TRUE),BJ66*CapacityAge14*'01_Вводные'!$F$199,0)</f>
        <v/>
      </c>
      <c r="BK178" s="190">
        <f>IF(IF('01_Вводные'!$B$296="Новый сезон",TRUE,TRUE),BK66*CapacityAge14*'01_Вводные'!$F$199,0)</f>
        <v/>
      </c>
      <c r="BL178" s="190">
        <f>IF(IF('01_Вводные'!$B$296="Новый сезон",TRUE,TRUE),BL66*CapacityAge14*'01_Вводные'!$F$199,0)</f>
        <v/>
      </c>
      <c r="BM178" s="190">
        <f>IF(IF('01_Вводные'!$B$296="Новый сезон",TRUE,TRUE),BM66*CapacityAge14*'01_Вводные'!$F$199,0)</f>
        <v/>
      </c>
      <c r="BN178" s="190">
        <f>IF(IF('01_Вводные'!$B$296="Новый сезон",TRUE,TRUE),BN66*CapacityAge14*'01_Вводные'!$F$199,0)</f>
        <v/>
      </c>
      <c r="BO178" s="190">
        <f>IF(IF('01_Вводные'!$B$296="Новый сезон",TRUE,TRUE),BO66*CapacityAge14*'01_Вводные'!$F$199,0)</f>
        <v/>
      </c>
    </row>
    <row r="179" hidden="1" outlineLevel="1">
      <c r="A179" t="inlineStr">
        <is>
          <t>15 мес.</t>
        </is>
      </c>
      <c r="B179" s="190">
        <f>IF(IF('01_Вводные'!$B$296="Новый сезон",TRUE,TRUE),B67*CapacityAge15*'01_Вводные'!$F$199,0)</f>
        <v/>
      </c>
      <c r="C179" s="190">
        <f>IF(IF('01_Вводные'!$B$296="Новый сезон",TRUE,TRUE),C67*CapacityAge15*'01_Вводные'!$F$199,0)</f>
        <v/>
      </c>
      <c r="D179" s="190">
        <f>IF(IF('01_Вводные'!$B$296="Новый сезон",TRUE,TRUE),D67*CapacityAge15*'01_Вводные'!$F$199,0)</f>
        <v/>
      </c>
      <c r="E179" s="190">
        <f>IF(IF('01_Вводные'!$B$296="Новый сезон",TRUE,TRUE),E67*CapacityAge15*'01_Вводные'!$F$199,0)</f>
        <v/>
      </c>
      <c r="F179" s="190">
        <f>IF(IF('01_Вводные'!$B$296="Новый сезон",TRUE,TRUE),F67*CapacityAge15*'01_Вводные'!$F$199,0)</f>
        <v/>
      </c>
      <c r="G179" s="190">
        <f>IF(IF('01_Вводные'!$B$296="Новый сезон",TRUE,TRUE),G67*CapacityAge15*'01_Вводные'!$F$199,0)</f>
        <v/>
      </c>
      <c r="H179" s="190">
        <f>IF(IF('01_Вводные'!$B$296="Новый сезон",TRUE,TRUE),H67*CapacityAge15*'01_Вводные'!$F$199,0)</f>
        <v/>
      </c>
      <c r="I179" s="190">
        <f>IF(IF('01_Вводные'!$B$296="Новый сезон",TRUE,TRUE),I67*CapacityAge15*'01_Вводные'!$F$199,0)</f>
        <v/>
      </c>
      <c r="J179" s="190">
        <f>IF(IF('01_Вводные'!$B$296="Новый сезон",TRUE,TRUE),J67*CapacityAge15*'01_Вводные'!$F$199,0)</f>
        <v/>
      </c>
      <c r="K179" s="190">
        <f>IF(IF('01_Вводные'!$B$296="Новый сезон",TRUE,TRUE),K67*CapacityAge15*'01_Вводные'!$F$199,0)</f>
        <v/>
      </c>
      <c r="L179" s="190">
        <f>IF(IF('01_Вводные'!$B$296="Новый сезон",TRUE,TRUE),L67*CapacityAge15*'01_Вводные'!$F$199,0)</f>
        <v/>
      </c>
      <c r="M179" s="190">
        <f>IF(IF('01_Вводные'!$B$296="Новый сезон",TRUE,TRUE),M67*CapacityAge15*'01_Вводные'!$F$199,0)</f>
        <v/>
      </c>
      <c r="N179" s="190">
        <f>IF(IF('01_Вводные'!$B$296="Новый сезон",TRUE,TRUE),N67*CapacityAge15*'01_Вводные'!$F$199,0)</f>
        <v/>
      </c>
      <c r="O179" s="190">
        <f>IF(IF('01_Вводные'!$B$296="Новый сезон",TRUE,TRUE),O67*CapacityAge15*'01_Вводные'!$F$199,0)</f>
        <v/>
      </c>
      <c r="P179" s="190">
        <f>IF(IF('01_Вводные'!$B$296="Новый сезон",TRUE,TRUE),P67*CapacityAge15*'01_Вводные'!$F$199,0)</f>
        <v/>
      </c>
      <c r="Q179" s="190">
        <f>IF(IF('01_Вводные'!$B$296="Новый сезон",TRUE,TRUE),Q67*CapacityAge15*'01_Вводные'!$F$199,0)</f>
        <v/>
      </c>
      <c r="R179" s="190">
        <f>IF(IF('01_Вводные'!$B$296="Новый сезон",TRUE,TRUE),R67*CapacityAge15*'01_Вводные'!$F$199,0)</f>
        <v/>
      </c>
      <c r="S179" s="190">
        <f>IF(IF('01_Вводные'!$B$296="Новый сезон",TRUE,TRUE),S67*CapacityAge15*'01_Вводные'!$F$199,0)</f>
        <v/>
      </c>
      <c r="T179" s="190">
        <f>IF(IF('01_Вводные'!$B$296="Новый сезон",TRUE,TRUE),T67*CapacityAge15*'01_Вводные'!$F$199,0)</f>
        <v/>
      </c>
      <c r="U179" s="190">
        <f>IF(IF('01_Вводные'!$B$296="Новый сезон",TRUE,TRUE),U67*CapacityAge15*'01_Вводные'!$F$199,0)</f>
        <v/>
      </c>
      <c r="V179" s="190">
        <f>IF(IF('01_Вводные'!$B$296="Новый сезон",TRUE,TRUE),V67*CapacityAge15*'01_Вводные'!$F$199,0)</f>
        <v/>
      </c>
      <c r="W179" s="190">
        <f>IF(IF('01_Вводные'!$B$296="Новый сезон",TRUE,TRUE),W67*CapacityAge15*'01_Вводные'!$F$199,0)</f>
        <v/>
      </c>
      <c r="X179" s="190">
        <f>IF(IF('01_Вводные'!$B$296="Новый сезон",TRUE,TRUE),X67*CapacityAge15*'01_Вводные'!$F$199,0)</f>
        <v/>
      </c>
      <c r="Y179" s="190">
        <f>IF(IF('01_Вводные'!$B$296="Новый сезон",TRUE,TRUE),Y67*CapacityAge15*'01_Вводные'!$F$199,0)</f>
        <v/>
      </c>
      <c r="Z179" s="190">
        <f>IF(IF('01_Вводные'!$B$296="Новый сезон",TRUE,TRUE),Z67*CapacityAge15*'01_Вводные'!$F$199,0)</f>
        <v/>
      </c>
      <c r="AA179" s="190">
        <f>IF(IF('01_Вводные'!$B$296="Новый сезон",TRUE,TRUE),AA67*CapacityAge15*'01_Вводные'!$F$199,0)</f>
        <v/>
      </c>
      <c r="AB179" s="190">
        <f>IF(IF('01_Вводные'!$B$296="Новый сезон",TRUE,TRUE),AB67*CapacityAge15*'01_Вводные'!$F$199,0)</f>
        <v/>
      </c>
      <c r="AC179" s="190">
        <f>IF(IF('01_Вводные'!$B$296="Новый сезон",TRUE,TRUE),AC67*CapacityAge15*'01_Вводные'!$F$199,0)</f>
        <v/>
      </c>
      <c r="AD179" s="190">
        <f>IF(IF('01_Вводные'!$B$296="Новый сезон",TRUE,TRUE),AD67*CapacityAge15*'01_Вводные'!$F$199,0)</f>
        <v/>
      </c>
      <c r="AE179" s="190">
        <f>IF(IF('01_Вводные'!$B$296="Новый сезон",TRUE,TRUE),AE67*CapacityAge15*'01_Вводные'!$F$199,0)</f>
        <v/>
      </c>
      <c r="AF179" s="190">
        <f>IF(IF('01_Вводные'!$B$296="Новый сезон",TRUE,TRUE),AF67*CapacityAge15*'01_Вводные'!$F$199,0)</f>
        <v/>
      </c>
      <c r="AG179" s="190">
        <f>IF(IF('01_Вводные'!$B$296="Новый сезон",TRUE,TRUE),AG67*CapacityAge15*'01_Вводные'!$F$199,0)</f>
        <v/>
      </c>
      <c r="AH179" s="190">
        <f>IF(IF('01_Вводные'!$B$296="Новый сезон",TRUE,TRUE),AH67*CapacityAge15*'01_Вводные'!$F$199,0)</f>
        <v/>
      </c>
      <c r="AI179" s="190">
        <f>IF(IF('01_Вводные'!$B$296="Новый сезон",TRUE,TRUE),AI67*CapacityAge15*'01_Вводные'!$F$199,0)</f>
        <v/>
      </c>
      <c r="AJ179" s="190">
        <f>IF(IF('01_Вводные'!$B$296="Новый сезон",TRUE,TRUE),AJ67*CapacityAge15*'01_Вводные'!$F$199,0)</f>
        <v/>
      </c>
      <c r="AK179" s="190">
        <f>IF(IF('01_Вводные'!$B$296="Новый сезон",TRUE,TRUE),AK67*CapacityAge15*'01_Вводные'!$F$199,0)</f>
        <v/>
      </c>
      <c r="AL179" s="190">
        <f>IF(IF('01_Вводные'!$B$296="Новый сезон",TRUE,TRUE),AL67*CapacityAge15*'01_Вводные'!$F$199,0)</f>
        <v/>
      </c>
      <c r="AM179" s="190">
        <f>IF(IF('01_Вводные'!$B$296="Новый сезон",TRUE,TRUE),AM67*CapacityAge15*'01_Вводные'!$F$199,0)</f>
        <v/>
      </c>
      <c r="AN179" s="190">
        <f>IF(IF('01_Вводные'!$B$296="Новый сезон",TRUE,TRUE),AN67*CapacityAge15*'01_Вводные'!$F$199,0)</f>
        <v/>
      </c>
      <c r="AO179" s="190">
        <f>IF(IF('01_Вводные'!$B$296="Новый сезон",TRUE,TRUE),AO67*CapacityAge15*'01_Вводные'!$F$199,0)</f>
        <v/>
      </c>
      <c r="AP179" s="190">
        <f>IF(IF('01_Вводные'!$B$296="Новый сезон",TRUE,TRUE),AP67*CapacityAge15*'01_Вводные'!$F$199,0)</f>
        <v/>
      </c>
      <c r="AQ179" s="190">
        <f>IF(IF('01_Вводные'!$B$296="Новый сезон",TRUE,TRUE),AQ67*CapacityAge15*'01_Вводные'!$F$199,0)</f>
        <v/>
      </c>
      <c r="AR179" s="190">
        <f>IF(IF('01_Вводные'!$B$296="Новый сезон",TRUE,TRUE),AR67*CapacityAge15*'01_Вводные'!$F$199,0)</f>
        <v/>
      </c>
      <c r="AS179" s="190">
        <f>IF(IF('01_Вводные'!$B$296="Новый сезон",TRUE,TRUE),AS67*CapacityAge15*'01_Вводные'!$F$199,0)</f>
        <v/>
      </c>
      <c r="AT179" s="190">
        <f>IF(IF('01_Вводные'!$B$296="Новый сезон",TRUE,TRUE),AT67*CapacityAge15*'01_Вводные'!$F$199,0)</f>
        <v/>
      </c>
      <c r="AU179" s="190">
        <f>IF(IF('01_Вводные'!$B$296="Новый сезон",TRUE,TRUE),AU67*CapacityAge15*'01_Вводные'!$F$199,0)</f>
        <v/>
      </c>
      <c r="AV179" s="190">
        <f>IF(IF('01_Вводные'!$B$296="Новый сезон",TRUE,TRUE),AV67*CapacityAge15*'01_Вводные'!$F$199,0)</f>
        <v/>
      </c>
      <c r="AW179" s="190">
        <f>IF(IF('01_Вводные'!$B$296="Новый сезон",TRUE,TRUE),AW67*CapacityAge15*'01_Вводные'!$F$199,0)</f>
        <v/>
      </c>
      <c r="AX179" s="190">
        <f>IF(IF('01_Вводные'!$B$296="Новый сезон",TRUE,TRUE),AX67*CapacityAge15*'01_Вводные'!$F$199,0)</f>
        <v/>
      </c>
      <c r="AY179" s="190">
        <f>IF(IF('01_Вводные'!$B$296="Новый сезон",TRUE,TRUE),AY67*CapacityAge15*'01_Вводные'!$F$199,0)</f>
        <v/>
      </c>
      <c r="AZ179" s="190">
        <f>IF(IF('01_Вводные'!$B$296="Новый сезон",TRUE,TRUE),AZ67*CapacityAge15*'01_Вводные'!$F$199,0)</f>
        <v/>
      </c>
      <c r="BA179" s="190">
        <f>IF(IF('01_Вводные'!$B$296="Новый сезон",TRUE,TRUE),BA67*CapacityAge15*'01_Вводные'!$F$199,0)</f>
        <v/>
      </c>
      <c r="BB179" s="190">
        <f>IF(IF('01_Вводные'!$B$296="Новый сезон",TRUE,TRUE),BB67*CapacityAge15*'01_Вводные'!$F$199,0)</f>
        <v/>
      </c>
      <c r="BC179" s="190">
        <f>IF(IF('01_Вводные'!$B$296="Новый сезон",TRUE,TRUE),BC67*CapacityAge15*'01_Вводные'!$F$199,0)</f>
        <v/>
      </c>
      <c r="BD179" s="190">
        <f>IF(IF('01_Вводные'!$B$296="Новый сезон",TRUE,TRUE),BD67*CapacityAge15*'01_Вводные'!$F$199,0)</f>
        <v/>
      </c>
      <c r="BE179" s="190">
        <f>IF(IF('01_Вводные'!$B$296="Новый сезон",TRUE,TRUE),BE67*CapacityAge15*'01_Вводные'!$F$199,0)</f>
        <v/>
      </c>
      <c r="BF179" s="190">
        <f>IF(IF('01_Вводные'!$B$296="Новый сезон",TRUE,TRUE),BF67*CapacityAge15*'01_Вводные'!$F$199,0)</f>
        <v/>
      </c>
      <c r="BG179" s="190">
        <f>IF(IF('01_Вводные'!$B$296="Новый сезон",TRUE,TRUE),BG67*CapacityAge15*'01_Вводные'!$F$199,0)</f>
        <v/>
      </c>
      <c r="BH179" s="190">
        <f>IF(IF('01_Вводные'!$B$296="Новый сезон",TRUE,TRUE),BH67*CapacityAge15*'01_Вводные'!$F$199,0)</f>
        <v/>
      </c>
      <c r="BI179" s="190">
        <f>IF(IF('01_Вводные'!$B$296="Новый сезон",TRUE,TRUE),BI67*CapacityAge15*'01_Вводные'!$F$199,0)</f>
        <v/>
      </c>
      <c r="BJ179" s="190">
        <f>IF(IF('01_Вводные'!$B$296="Новый сезон",TRUE,TRUE),BJ67*CapacityAge15*'01_Вводные'!$F$199,0)</f>
        <v/>
      </c>
      <c r="BK179" s="190">
        <f>IF(IF('01_Вводные'!$B$296="Новый сезон",TRUE,TRUE),BK67*CapacityAge15*'01_Вводные'!$F$199,0)</f>
        <v/>
      </c>
      <c r="BL179" s="190">
        <f>IF(IF('01_Вводные'!$B$296="Новый сезон",TRUE,TRUE),BL67*CapacityAge15*'01_Вводные'!$F$199,0)</f>
        <v/>
      </c>
      <c r="BM179" s="190">
        <f>IF(IF('01_Вводные'!$B$296="Новый сезон",TRUE,TRUE),BM67*CapacityAge15*'01_Вводные'!$F$199,0)</f>
        <v/>
      </c>
      <c r="BN179" s="190">
        <f>IF(IF('01_Вводные'!$B$296="Новый сезон",TRUE,TRUE),BN67*CapacityAge15*'01_Вводные'!$F$199,0)</f>
        <v/>
      </c>
      <c r="BO179" s="190">
        <f>IF(IF('01_Вводные'!$B$296="Новый сезон",TRUE,TRUE),BO67*CapacityAge15*'01_Вводные'!$F$199,0)</f>
        <v/>
      </c>
    </row>
    <row r="180" hidden="1" outlineLevel="1">
      <c r="A180" t="inlineStr">
        <is>
          <t>16 мес.</t>
        </is>
      </c>
      <c r="B180" s="191">
        <f>IF(IF('01_Вводные'!$B$296="Новый сезон",TRUE,TRUE),B68*CapacityAge16*'01_Вводные'!$F$199,0)</f>
        <v/>
      </c>
      <c r="C180" s="191">
        <f>IF(IF('01_Вводные'!$B$296="Новый сезон",TRUE,TRUE),C68*CapacityAge16*'01_Вводные'!$F$199,0)</f>
        <v/>
      </c>
      <c r="D180" s="191">
        <f>IF(IF('01_Вводные'!$B$296="Новый сезон",TRUE,TRUE),D68*CapacityAge16*'01_Вводные'!$F$199,0)</f>
        <v/>
      </c>
      <c r="E180" s="191">
        <f>IF(IF('01_Вводные'!$B$296="Новый сезон",TRUE,TRUE),E68*CapacityAge16*'01_Вводные'!$F$199,0)</f>
        <v/>
      </c>
      <c r="F180" s="191">
        <f>IF(IF('01_Вводные'!$B$296="Новый сезон",TRUE,TRUE),F68*CapacityAge16*'01_Вводные'!$F$199,0)</f>
        <v/>
      </c>
      <c r="G180" s="191">
        <f>IF(IF('01_Вводные'!$B$296="Новый сезон",TRUE,TRUE),G68*CapacityAge16*'01_Вводные'!$F$199,0)</f>
        <v/>
      </c>
      <c r="H180" s="191">
        <f>IF(IF('01_Вводные'!$B$296="Новый сезон",TRUE,TRUE),H68*CapacityAge16*'01_Вводные'!$F$199,0)</f>
        <v/>
      </c>
      <c r="I180" s="191">
        <f>IF(IF('01_Вводные'!$B$296="Новый сезон",TRUE,TRUE),I68*CapacityAge16*'01_Вводные'!$F$199,0)</f>
        <v/>
      </c>
      <c r="J180" s="191">
        <f>IF(IF('01_Вводные'!$B$296="Новый сезон",TRUE,TRUE),J68*CapacityAge16*'01_Вводные'!$F$199,0)</f>
        <v/>
      </c>
      <c r="K180" s="191">
        <f>IF(IF('01_Вводные'!$B$296="Новый сезон",TRUE,TRUE),K68*CapacityAge16*'01_Вводные'!$F$199,0)</f>
        <v/>
      </c>
      <c r="L180" s="191">
        <f>IF(IF('01_Вводные'!$B$296="Новый сезон",TRUE,TRUE),L68*CapacityAge16*'01_Вводные'!$F$199,0)</f>
        <v/>
      </c>
      <c r="M180" s="191">
        <f>IF(IF('01_Вводные'!$B$296="Новый сезон",TRUE,TRUE),M68*CapacityAge16*'01_Вводные'!$F$199,0)</f>
        <v/>
      </c>
      <c r="N180" s="191">
        <f>IF(IF('01_Вводные'!$B$296="Новый сезон",TRUE,TRUE),N68*CapacityAge16*'01_Вводные'!$F$199,0)</f>
        <v/>
      </c>
      <c r="O180" s="191">
        <f>IF(IF('01_Вводные'!$B$296="Новый сезон",TRUE,TRUE),O68*CapacityAge16*'01_Вводные'!$F$199,0)</f>
        <v/>
      </c>
      <c r="P180" s="191">
        <f>IF(IF('01_Вводные'!$B$296="Новый сезон",TRUE,TRUE),P68*CapacityAge16*'01_Вводные'!$F$199,0)</f>
        <v/>
      </c>
      <c r="Q180" s="191">
        <f>IF(IF('01_Вводные'!$B$296="Новый сезон",TRUE,TRUE),Q68*CapacityAge16*'01_Вводные'!$F$199,0)</f>
        <v/>
      </c>
      <c r="R180" s="191">
        <f>IF(IF('01_Вводные'!$B$296="Новый сезон",TRUE,TRUE),R68*CapacityAge16*'01_Вводные'!$F$199,0)</f>
        <v/>
      </c>
      <c r="S180" s="191">
        <f>IF(IF('01_Вводные'!$B$296="Новый сезон",TRUE,TRUE),S68*CapacityAge16*'01_Вводные'!$F$199,0)</f>
        <v/>
      </c>
      <c r="T180" s="191">
        <f>IF(IF('01_Вводные'!$B$296="Новый сезон",TRUE,TRUE),T68*CapacityAge16*'01_Вводные'!$F$199,0)</f>
        <v/>
      </c>
      <c r="U180" s="191">
        <f>IF(IF('01_Вводные'!$B$296="Новый сезон",TRUE,TRUE),U68*CapacityAge16*'01_Вводные'!$F$199,0)</f>
        <v/>
      </c>
      <c r="V180" s="191">
        <f>IF(IF('01_Вводные'!$B$296="Новый сезон",TRUE,TRUE),V68*CapacityAge16*'01_Вводные'!$F$199,0)</f>
        <v/>
      </c>
      <c r="W180" s="191">
        <f>IF(IF('01_Вводные'!$B$296="Новый сезон",TRUE,TRUE),W68*CapacityAge16*'01_Вводные'!$F$199,0)</f>
        <v/>
      </c>
      <c r="X180" s="191">
        <f>IF(IF('01_Вводные'!$B$296="Новый сезон",TRUE,TRUE),X68*CapacityAge16*'01_Вводные'!$F$199,0)</f>
        <v/>
      </c>
      <c r="Y180" s="191">
        <f>IF(IF('01_Вводные'!$B$296="Новый сезон",TRUE,TRUE),Y68*CapacityAge16*'01_Вводные'!$F$199,0)</f>
        <v/>
      </c>
      <c r="Z180" s="191">
        <f>IF(IF('01_Вводные'!$B$296="Новый сезон",TRUE,TRUE),Z68*CapacityAge16*'01_Вводные'!$F$199,0)</f>
        <v/>
      </c>
      <c r="AA180" s="191">
        <f>IF(IF('01_Вводные'!$B$296="Новый сезон",TRUE,TRUE),AA68*CapacityAge16*'01_Вводные'!$F$199,0)</f>
        <v/>
      </c>
      <c r="AB180" s="191">
        <f>IF(IF('01_Вводные'!$B$296="Новый сезон",TRUE,TRUE),AB68*CapacityAge16*'01_Вводные'!$F$199,0)</f>
        <v/>
      </c>
      <c r="AC180" s="191">
        <f>IF(IF('01_Вводные'!$B$296="Новый сезон",TRUE,TRUE),AC68*CapacityAge16*'01_Вводные'!$F$199,0)</f>
        <v/>
      </c>
      <c r="AD180" s="191">
        <f>IF(IF('01_Вводные'!$B$296="Новый сезон",TRUE,TRUE),AD68*CapacityAge16*'01_Вводные'!$F$199,0)</f>
        <v/>
      </c>
      <c r="AE180" s="191">
        <f>IF(IF('01_Вводные'!$B$296="Новый сезон",TRUE,TRUE),AE68*CapacityAge16*'01_Вводные'!$F$199,0)</f>
        <v/>
      </c>
      <c r="AF180" s="191">
        <f>IF(IF('01_Вводные'!$B$296="Новый сезон",TRUE,TRUE),AF68*CapacityAge16*'01_Вводные'!$F$199,0)</f>
        <v/>
      </c>
      <c r="AG180" s="191">
        <f>IF(IF('01_Вводные'!$B$296="Новый сезон",TRUE,TRUE),AG68*CapacityAge16*'01_Вводные'!$F$199,0)</f>
        <v/>
      </c>
      <c r="AH180" s="191">
        <f>IF(IF('01_Вводные'!$B$296="Новый сезон",TRUE,TRUE),AH68*CapacityAge16*'01_Вводные'!$F$199,0)</f>
        <v/>
      </c>
      <c r="AI180" s="191">
        <f>IF(IF('01_Вводные'!$B$296="Новый сезон",TRUE,TRUE),AI68*CapacityAge16*'01_Вводные'!$F$199,0)</f>
        <v/>
      </c>
      <c r="AJ180" s="191">
        <f>IF(IF('01_Вводные'!$B$296="Новый сезон",TRUE,TRUE),AJ68*CapacityAge16*'01_Вводные'!$F$199,0)</f>
        <v/>
      </c>
      <c r="AK180" s="191">
        <f>IF(IF('01_Вводные'!$B$296="Новый сезон",TRUE,TRUE),AK68*CapacityAge16*'01_Вводные'!$F$199,0)</f>
        <v/>
      </c>
      <c r="AL180" s="190">
        <f>IF(IF('01_Вводные'!$B$296="Новый сезон",TRUE,TRUE),AL68*CapacityAge16*'01_Вводные'!$F$199,0)</f>
        <v/>
      </c>
      <c r="AM180" s="190">
        <f>IF(IF('01_Вводные'!$B$296="Новый сезон",TRUE,TRUE),AM68*CapacityAge16*'01_Вводные'!$F$199,0)</f>
        <v/>
      </c>
      <c r="AN180" s="190">
        <f>IF(IF('01_Вводные'!$B$296="Новый сезон",TRUE,TRUE),AN68*CapacityAge16*'01_Вводные'!$F$199,0)</f>
        <v/>
      </c>
      <c r="AO180" s="190">
        <f>IF(IF('01_Вводные'!$B$296="Новый сезон",TRUE,TRUE),AO68*CapacityAge16*'01_Вводные'!$F$199,0)</f>
        <v/>
      </c>
      <c r="AP180" s="190">
        <f>IF(IF('01_Вводные'!$B$296="Новый сезон",TRUE,TRUE),AP68*CapacityAge16*'01_Вводные'!$F$199,0)</f>
        <v/>
      </c>
      <c r="AQ180" s="190">
        <f>IF(IF('01_Вводные'!$B$296="Новый сезон",TRUE,TRUE),AQ68*CapacityAge16*'01_Вводные'!$F$199,0)</f>
        <v/>
      </c>
      <c r="AR180" s="190">
        <f>IF(IF('01_Вводные'!$B$296="Новый сезон",TRUE,TRUE),AR68*CapacityAge16*'01_Вводные'!$F$199,0)</f>
        <v/>
      </c>
      <c r="AS180" s="190">
        <f>IF(IF('01_Вводные'!$B$296="Новый сезон",TRUE,TRUE),AS68*CapacityAge16*'01_Вводные'!$F$199,0)</f>
        <v/>
      </c>
      <c r="AT180" s="190">
        <f>IF(IF('01_Вводные'!$B$296="Новый сезон",TRUE,TRUE),AT68*CapacityAge16*'01_Вводные'!$F$199,0)</f>
        <v/>
      </c>
      <c r="AU180" s="190">
        <f>IF(IF('01_Вводные'!$B$296="Новый сезон",TRUE,TRUE),AU68*CapacityAge16*'01_Вводные'!$F$199,0)</f>
        <v/>
      </c>
      <c r="AV180" s="190">
        <f>IF(IF('01_Вводные'!$B$296="Новый сезон",TRUE,TRUE),AV68*CapacityAge16*'01_Вводные'!$F$199,0)</f>
        <v/>
      </c>
      <c r="AW180" s="190">
        <f>IF(IF('01_Вводные'!$B$296="Новый сезон",TRUE,TRUE),AW68*CapacityAge16*'01_Вводные'!$F$199,0)</f>
        <v/>
      </c>
      <c r="AX180" s="190">
        <f>IF(IF('01_Вводные'!$B$296="Новый сезон",TRUE,TRUE),AX68*CapacityAge16*'01_Вводные'!$F$199,0)</f>
        <v/>
      </c>
      <c r="AY180" s="190">
        <f>IF(IF('01_Вводные'!$B$296="Новый сезон",TRUE,TRUE),AY68*CapacityAge16*'01_Вводные'!$F$199,0)</f>
        <v/>
      </c>
      <c r="AZ180" s="190">
        <f>IF(IF('01_Вводные'!$B$296="Новый сезон",TRUE,TRUE),AZ68*CapacityAge16*'01_Вводные'!$F$199,0)</f>
        <v/>
      </c>
      <c r="BA180" s="190">
        <f>IF(IF('01_Вводные'!$B$296="Новый сезон",TRUE,TRUE),BA68*CapacityAge16*'01_Вводные'!$F$199,0)</f>
        <v/>
      </c>
      <c r="BB180" s="190">
        <f>IF(IF('01_Вводные'!$B$296="Новый сезон",TRUE,TRUE),BB68*CapacityAge16*'01_Вводные'!$F$199,0)</f>
        <v/>
      </c>
      <c r="BC180" s="190">
        <f>IF(IF('01_Вводные'!$B$296="Новый сезон",TRUE,TRUE),BC68*CapacityAge16*'01_Вводные'!$F$199,0)</f>
        <v/>
      </c>
      <c r="BD180" s="190">
        <f>IF(IF('01_Вводные'!$B$296="Новый сезон",TRUE,TRUE),BD68*CapacityAge16*'01_Вводные'!$F$199,0)</f>
        <v/>
      </c>
      <c r="BE180" s="190">
        <f>IF(IF('01_Вводные'!$B$296="Новый сезон",TRUE,TRUE),BE68*CapacityAge16*'01_Вводные'!$F$199,0)</f>
        <v/>
      </c>
      <c r="BF180" s="190">
        <f>IF(IF('01_Вводные'!$B$296="Новый сезон",TRUE,TRUE),BF68*CapacityAge16*'01_Вводные'!$F$199,0)</f>
        <v/>
      </c>
      <c r="BG180" s="190">
        <f>IF(IF('01_Вводные'!$B$296="Новый сезон",TRUE,TRUE),BG68*CapacityAge16*'01_Вводные'!$F$199,0)</f>
        <v/>
      </c>
      <c r="BH180" s="190">
        <f>IF(IF('01_Вводные'!$B$296="Новый сезон",TRUE,TRUE),BH68*CapacityAge16*'01_Вводные'!$F$199,0)</f>
        <v/>
      </c>
      <c r="BI180" s="190">
        <f>IF(IF('01_Вводные'!$B$296="Новый сезон",TRUE,TRUE),BI68*CapacityAge16*'01_Вводные'!$F$199,0)</f>
        <v/>
      </c>
      <c r="BJ180" s="190">
        <f>IF(IF('01_Вводные'!$B$296="Новый сезон",TRUE,TRUE),BJ68*CapacityAge16*'01_Вводные'!$F$199,0)</f>
        <v/>
      </c>
      <c r="BK180" s="190">
        <f>IF(IF('01_Вводные'!$B$296="Новый сезон",TRUE,TRUE),BK68*CapacityAge16*'01_Вводные'!$F$199,0)</f>
        <v/>
      </c>
      <c r="BL180" s="190">
        <f>IF(IF('01_Вводные'!$B$296="Новый сезон",TRUE,TRUE),BL68*CapacityAge16*'01_Вводные'!$F$199,0)</f>
        <v/>
      </c>
      <c r="BM180" s="190">
        <f>IF(IF('01_Вводные'!$B$296="Новый сезон",TRUE,TRUE),BM68*CapacityAge16*'01_Вводные'!$F$199,0)</f>
        <v/>
      </c>
      <c r="BN180" s="190">
        <f>IF(IF('01_Вводные'!$B$296="Новый сезон",TRUE,TRUE),BN68*CapacityAge16*'01_Вводные'!$F$199,0)</f>
        <v/>
      </c>
      <c r="BO180" s="190">
        <f>IF(IF('01_Вводные'!$B$296="Новый сезон",TRUE,TRUE),BO68*CapacityAge16*'01_Вводные'!$F$199,0)</f>
        <v/>
      </c>
    </row>
    <row r="181" hidden="1" outlineLevel="1">
      <c r="A181" t="inlineStr">
        <is>
          <t>17 мес.</t>
        </is>
      </c>
      <c r="B181" s="191">
        <f>IF(IF('01_Вводные'!$B$296="Новый сезон",TRUE,TRUE),B69*CapacityAge17*'01_Вводные'!$F$199,0)</f>
        <v/>
      </c>
      <c r="C181" s="191">
        <f>IF(IF('01_Вводные'!$B$296="Новый сезон",TRUE,TRUE),C69*CapacityAge17*'01_Вводные'!$F$199,0)</f>
        <v/>
      </c>
      <c r="D181" s="191">
        <f>IF(IF('01_Вводные'!$B$296="Новый сезон",TRUE,TRUE),D69*CapacityAge17*'01_Вводные'!$F$199,0)</f>
        <v/>
      </c>
      <c r="E181" s="191">
        <f>IF(IF('01_Вводные'!$B$296="Новый сезон",TRUE,TRUE),E69*CapacityAge17*'01_Вводные'!$F$199,0)</f>
        <v/>
      </c>
      <c r="F181" s="191">
        <f>IF(IF('01_Вводные'!$B$296="Новый сезон",TRUE,TRUE),F69*CapacityAge17*'01_Вводные'!$F$199,0)</f>
        <v/>
      </c>
      <c r="G181" s="191">
        <f>IF(IF('01_Вводные'!$B$296="Новый сезон",TRUE,TRUE),G69*CapacityAge17*'01_Вводные'!$F$199,0)</f>
        <v/>
      </c>
      <c r="H181" s="191">
        <f>IF(IF('01_Вводные'!$B$296="Новый сезон",TRUE,TRUE),H69*CapacityAge17*'01_Вводные'!$F$199,0)</f>
        <v/>
      </c>
      <c r="I181" s="191">
        <f>IF(IF('01_Вводные'!$B$296="Новый сезон",TRUE,TRUE),I69*CapacityAge17*'01_Вводные'!$F$199,0)</f>
        <v/>
      </c>
      <c r="J181" s="191">
        <f>IF(IF('01_Вводные'!$B$296="Новый сезон",TRUE,TRUE),J69*CapacityAge17*'01_Вводные'!$F$199,0)</f>
        <v/>
      </c>
      <c r="K181" s="191">
        <f>IF(IF('01_Вводные'!$B$296="Новый сезон",TRUE,TRUE),K69*CapacityAge17*'01_Вводные'!$F$199,0)</f>
        <v/>
      </c>
      <c r="L181" s="191">
        <f>IF(IF('01_Вводные'!$B$296="Новый сезон",TRUE,TRUE),L69*CapacityAge17*'01_Вводные'!$F$199,0)</f>
        <v/>
      </c>
      <c r="M181" s="191">
        <f>IF(IF('01_Вводные'!$B$296="Новый сезон",TRUE,TRUE),M69*CapacityAge17*'01_Вводные'!$F$199,0)</f>
        <v/>
      </c>
      <c r="N181" s="191">
        <f>IF(IF('01_Вводные'!$B$296="Новый сезон",TRUE,TRUE),N69*CapacityAge17*'01_Вводные'!$F$199,0)</f>
        <v/>
      </c>
      <c r="O181" s="191">
        <f>IF(IF('01_Вводные'!$B$296="Новый сезон",TRUE,TRUE),O69*CapacityAge17*'01_Вводные'!$F$199,0)</f>
        <v/>
      </c>
      <c r="P181" s="191">
        <f>IF(IF('01_Вводные'!$B$296="Новый сезон",TRUE,TRUE),P69*CapacityAge17*'01_Вводные'!$F$199,0)</f>
        <v/>
      </c>
      <c r="Q181" s="191">
        <f>IF(IF('01_Вводные'!$B$296="Новый сезон",TRUE,TRUE),Q69*CapacityAge17*'01_Вводные'!$F$199,0)</f>
        <v/>
      </c>
      <c r="R181" s="191">
        <f>IF(IF('01_Вводные'!$B$296="Новый сезон",TRUE,TRUE),R69*CapacityAge17*'01_Вводные'!$F$199,0)</f>
        <v/>
      </c>
      <c r="S181" s="191">
        <f>IF(IF('01_Вводные'!$B$296="Новый сезон",TRUE,TRUE),S69*CapacityAge17*'01_Вводные'!$F$199,0)</f>
        <v/>
      </c>
      <c r="T181" s="191">
        <f>IF(IF('01_Вводные'!$B$296="Новый сезон",TRUE,TRUE),T69*CapacityAge17*'01_Вводные'!$F$199,0)</f>
        <v/>
      </c>
      <c r="U181" s="191">
        <f>IF(IF('01_Вводные'!$B$296="Новый сезон",TRUE,TRUE),U69*CapacityAge17*'01_Вводные'!$F$199,0)</f>
        <v/>
      </c>
      <c r="V181" s="191">
        <f>IF(IF('01_Вводные'!$B$296="Новый сезон",TRUE,TRUE),V69*CapacityAge17*'01_Вводные'!$F$199,0)</f>
        <v/>
      </c>
      <c r="W181" s="191">
        <f>IF(IF('01_Вводные'!$B$296="Новый сезон",TRUE,TRUE),W69*CapacityAge17*'01_Вводные'!$F$199,0)</f>
        <v/>
      </c>
      <c r="X181" s="191">
        <f>IF(IF('01_Вводные'!$B$296="Новый сезон",TRUE,TRUE),X69*CapacityAge17*'01_Вводные'!$F$199,0)</f>
        <v/>
      </c>
      <c r="Y181" s="191">
        <f>IF(IF('01_Вводные'!$B$296="Новый сезон",TRUE,TRUE),Y69*CapacityAge17*'01_Вводные'!$F$199,0)</f>
        <v/>
      </c>
      <c r="Z181" s="191">
        <f>IF(IF('01_Вводные'!$B$296="Новый сезон",TRUE,TRUE),Z69*CapacityAge17*'01_Вводные'!$F$199,0)</f>
        <v/>
      </c>
      <c r="AA181" s="191">
        <f>IF(IF('01_Вводные'!$B$296="Новый сезон",TRUE,TRUE),AA69*CapacityAge17*'01_Вводные'!$F$199,0)</f>
        <v/>
      </c>
      <c r="AB181" s="191">
        <f>IF(IF('01_Вводные'!$B$296="Новый сезон",TRUE,TRUE),AB69*CapacityAge17*'01_Вводные'!$F$199,0)</f>
        <v/>
      </c>
      <c r="AC181" s="191">
        <f>IF(IF('01_Вводные'!$B$296="Новый сезон",TRUE,TRUE),AC69*CapacityAge17*'01_Вводные'!$F$199,0)</f>
        <v/>
      </c>
      <c r="AD181" s="191">
        <f>IF(IF('01_Вводные'!$B$296="Новый сезон",TRUE,TRUE),AD69*CapacityAge17*'01_Вводные'!$F$199,0)</f>
        <v/>
      </c>
      <c r="AE181" s="191">
        <f>IF(IF('01_Вводные'!$B$296="Новый сезон",TRUE,TRUE),AE69*CapacityAge17*'01_Вводные'!$F$199,0)</f>
        <v/>
      </c>
      <c r="AF181" s="191">
        <f>IF(IF('01_Вводные'!$B$296="Новый сезон",TRUE,TRUE),AF69*CapacityAge17*'01_Вводные'!$F$199,0)</f>
        <v/>
      </c>
      <c r="AG181" s="191">
        <f>IF(IF('01_Вводные'!$B$296="Новый сезон",TRUE,TRUE),AG69*CapacityAge17*'01_Вводные'!$F$199,0)</f>
        <v/>
      </c>
      <c r="AH181" s="191">
        <f>IF(IF('01_Вводные'!$B$296="Новый сезон",TRUE,TRUE),AH69*CapacityAge17*'01_Вводные'!$F$199,0)</f>
        <v/>
      </c>
      <c r="AI181" s="191">
        <f>IF(IF('01_Вводные'!$B$296="Новый сезон",TRUE,TRUE),AI69*CapacityAge17*'01_Вводные'!$F$199,0)</f>
        <v/>
      </c>
      <c r="AJ181" s="191">
        <f>IF(IF('01_Вводные'!$B$296="Новый сезон",TRUE,TRUE),AJ69*CapacityAge17*'01_Вводные'!$F$199,0)</f>
        <v/>
      </c>
      <c r="AK181" s="191">
        <f>IF(IF('01_Вводные'!$B$296="Новый сезон",TRUE,TRUE),AK69*CapacityAge17*'01_Вводные'!$F$199,0)</f>
        <v/>
      </c>
      <c r="AL181" s="190">
        <f>IF(IF('01_Вводные'!$B$296="Новый сезон",TRUE,TRUE),AL69*CapacityAge17*'01_Вводные'!$F$199,0)</f>
        <v/>
      </c>
      <c r="AM181" s="190">
        <f>IF(IF('01_Вводные'!$B$296="Новый сезон",TRUE,TRUE),AM69*CapacityAge17*'01_Вводные'!$F$199,0)</f>
        <v/>
      </c>
      <c r="AN181" s="190">
        <f>IF(IF('01_Вводные'!$B$296="Новый сезон",TRUE,TRUE),AN69*CapacityAge17*'01_Вводные'!$F$199,0)</f>
        <v/>
      </c>
      <c r="AO181" s="190">
        <f>IF(IF('01_Вводные'!$B$296="Новый сезон",TRUE,TRUE),AO69*CapacityAge17*'01_Вводные'!$F$199,0)</f>
        <v/>
      </c>
      <c r="AP181" s="190">
        <f>IF(IF('01_Вводные'!$B$296="Новый сезон",TRUE,TRUE),AP69*CapacityAge17*'01_Вводные'!$F$199,0)</f>
        <v/>
      </c>
      <c r="AQ181" s="190">
        <f>IF(IF('01_Вводные'!$B$296="Новый сезон",TRUE,TRUE),AQ69*CapacityAge17*'01_Вводные'!$F$199,0)</f>
        <v/>
      </c>
      <c r="AR181" s="190">
        <f>IF(IF('01_Вводные'!$B$296="Новый сезон",TRUE,TRUE),AR69*CapacityAge17*'01_Вводные'!$F$199,0)</f>
        <v/>
      </c>
      <c r="AS181" s="190">
        <f>IF(IF('01_Вводные'!$B$296="Новый сезон",TRUE,TRUE),AS69*CapacityAge17*'01_Вводные'!$F$199,0)</f>
        <v/>
      </c>
      <c r="AT181" s="190">
        <f>IF(IF('01_Вводные'!$B$296="Новый сезон",TRUE,TRUE),AT69*CapacityAge17*'01_Вводные'!$F$199,0)</f>
        <v/>
      </c>
      <c r="AU181" s="190">
        <f>IF(IF('01_Вводные'!$B$296="Новый сезон",TRUE,TRUE),AU69*CapacityAge17*'01_Вводные'!$F$199,0)</f>
        <v/>
      </c>
      <c r="AV181" s="190">
        <f>IF(IF('01_Вводные'!$B$296="Новый сезон",TRUE,TRUE),AV69*CapacityAge17*'01_Вводные'!$F$199,0)</f>
        <v/>
      </c>
      <c r="AW181" s="190">
        <f>IF(IF('01_Вводные'!$B$296="Новый сезон",TRUE,TRUE),AW69*CapacityAge17*'01_Вводные'!$F$199,0)</f>
        <v/>
      </c>
      <c r="AX181" s="190">
        <f>IF(IF('01_Вводные'!$B$296="Новый сезон",TRUE,TRUE),AX69*CapacityAge17*'01_Вводные'!$F$199,0)</f>
        <v/>
      </c>
      <c r="AY181" s="190">
        <f>IF(IF('01_Вводные'!$B$296="Новый сезон",TRUE,TRUE),AY69*CapacityAge17*'01_Вводные'!$F$199,0)</f>
        <v/>
      </c>
      <c r="AZ181" s="190">
        <f>IF(IF('01_Вводные'!$B$296="Новый сезон",TRUE,TRUE),AZ69*CapacityAge17*'01_Вводные'!$F$199,0)</f>
        <v/>
      </c>
      <c r="BA181" s="190">
        <f>IF(IF('01_Вводные'!$B$296="Новый сезон",TRUE,TRUE),BA69*CapacityAge17*'01_Вводные'!$F$199,0)</f>
        <v/>
      </c>
      <c r="BB181" s="190">
        <f>IF(IF('01_Вводные'!$B$296="Новый сезон",TRUE,TRUE),BB69*CapacityAge17*'01_Вводные'!$F$199,0)</f>
        <v/>
      </c>
      <c r="BC181" s="190">
        <f>IF(IF('01_Вводные'!$B$296="Новый сезон",TRUE,TRUE),BC69*CapacityAge17*'01_Вводные'!$F$199,0)</f>
        <v/>
      </c>
      <c r="BD181" s="190">
        <f>IF(IF('01_Вводные'!$B$296="Новый сезон",TRUE,TRUE),BD69*CapacityAge17*'01_Вводные'!$F$199,0)</f>
        <v/>
      </c>
      <c r="BE181" s="190">
        <f>IF(IF('01_Вводные'!$B$296="Новый сезон",TRUE,TRUE),BE69*CapacityAge17*'01_Вводные'!$F$199,0)</f>
        <v/>
      </c>
      <c r="BF181" s="190">
        <f>IF(IF('01_Вводные'!$B$296="Новый сезон",TRUE,TRUE),BF69*CapacityAge17*'01_Вводные'!$F$199,0)</f>
        <v/>
      </c>
      <c r="BG181" s="190">
        <f>IF(IF('01_Вводные'!$B$296="Новый сезон",TRUE,TRUE),BG69*CapacityAge17*'01_Вводные'!$F$199,0)</f>
        <v/>
      </c>
      <c r="BH181" s="190">
        <f>IF(IF('01_Вводные'!$B$296="Новый сезон",TRUE,TRUE),BH69*CapacityAge17*'01_Вводные'!$F$199,0)</f>
        <v/>
      </c>
      <c r="BI181" s="190">
        <f>IF(IF('01_Вводные'!$B$296="Новый сезон",TRUE,TRUE),BI69*CapacityAge17*'01_Вводные'!$F$199,0)</f>
        <v/>
      </c>
      <c r="BJ181" s="190">
        <f>IF(IF('01_Вводные'!$B$296="Новый сезон",TRUE,TRUE),BJ69*CapacityAge17*'01_Вводные'!$F$199,0)</f>
        <v/>
      </c>
      <c r="BK181" s="190">
        <f>IF(IF('01_Вводные'!$B$296="Новый сезон",TRUE,TRUE),BK69*CapacityAge17*'01_Вводные'!$F$199,0)</f>
        <v/>
      </c>
      <c r="BL181" s="190">
        <f>IF(IF('01_Вводные'!$B$296="Новый сезон",TRUE,TRUE),BL69*CapacityAge17*'01_Вводные'!$F$199,0)</f>
        <v/>
      </c>
      <c r="BM181" s="190">
        <f>IF(IF('01_Вводные'!$B$296="Новый сезон",TRUE,TRUE),BM69*CapacityAge17*'01_Вводные'!$F$199,0)</f>
        <v/>
      </c>
      <c r="BN181" s="190">
        <f>IF(IF('01_Вводные'!$B$296="Новый сезон",TRUE,TRUE),BN69*CapacityAge17*'01_Вводные'!$F$199,0)</f>
        <v/>
      </c>
      <c r="BO181" s="190">
        <f>IF(IF('01_Вводные'!$B$296="Новый сезон",TRUE,TRUE),BO69*CapacityAge17*'01_Вводные'!$F$199,0)</f>
        <v/>
      </c>
    </row>
    <row r="182" hidden="1" outlineLevel="1">
      <c r="A182" t="inlineStr">
        <is>
          <t>18 мес.</t>
        </is>
      </c>
      <c r="B182" s="191">
        <f>IF(IF('01_Вводные'!$B$296="Новый сезон",TRUE,TRUE),B70*CapacityAge18*'01_Вводные'!$F$199,0)</f>
        <v/>
      </c>
      <c r="C182" s="191">
        <f>IF(IF('01_Вводные'!$B$296="Новый сезон",TRUE,TRUE),C70*CapacityAge18*'01_Вводные'!$F$199,0)</f>
        <v/>
      </c>
      <c r="D182" s="191">
        <f>IF(IF('01_Вводные'!$B$296="Новый сезон",TRUE,TRUE),D70*CapacityAge18*'01_Вводные'!$F$199,0)</f>
        <v/>
      </c>
      <c r="E182" s="191">
        <f>IF(IF('01_Вводные'!$B$296="Новый сезон",TRUE,TRUE),E70*CapacityAge18*'01_Вводные'!$F$199,0)</f>
        <v/>
      </c>
      <c r="F182" s="191">
        <f>IF(IF('01_Вводные'!$B$296="Новый сезон",TRUE,TRUE),F70*CapacityAge18*'01_Вводные'!$F$199,0)</f>
        <v/>
      </c>
      <c r="G182" s="191">
        <f>IF(IF('01_Вводные'!$B$296="Новый сезон",TRUE,TRUE),G70*CapacityAge18*'01_Вводные'!$F$199,0)</f>
        <v/>
      </c>
      <c r="H182" s="191">
        <f>IF(IF('01_Вводные'!$B$296="Новый сезон",TRUE,TRUE),H70*CapacityAge18*'01_Вводные'!$F$199,0)</f>
        <v/>
      </c>
      <c r="I182" s="191">
        <f>IF(IF('01_Вводные'!$B$296="Новый сезон",TRUE,TRUE),I70*CapacityAge18*'01_Вводные'!$F$199,0)</f>
        <v/>
      </c>
      <c r="J182" s="191">
        <f>IF(IF('01_Вводные'!$B$296="Новый сезон",TRUE,TRUE),J70*CapacityAge18*'01_Вводные'!$F$199,0)</f>
        <v/>
      </c>
      <c r="K182" s="191">
        <f>IF(IF('01_Вводные'!$B$296="Новый сезон",TRUE,TRUE),K70*CapacityAge18*'01_Вводные'!$F$199,0)</f>
        <v/>
      </c>
      <c r="L182" s="191">
        <f>IF(IF('01_Вводные'!$B$296="Новый сезон",TRUE,TRUE),L70*CapacityAge18*'01_Вводные'!$F$199,0)</f>
        <v/>
      </c>
      <c r="M182" s="191">
        <f>IF(IF('01_Вводные'!$B$296="Новый сезон",TRUE,TRUE),M70*CapacityAge18*'01_Вводные'!$F$199,0)</f>
        <v/>
      </c>
      <c r="N182" s="191">
        <f>IF(IF('01_Вводные'!$B$296="Новый сезон",TRUE,TRUE),N70*CapacityAge18*'01_Вводные'!$F$199,0)</f>
        <v/>
      </c>
      <c r="O182" s="191">
        <f>IF(IF('01_Вводные'!$B$296="Новый сезон",TRUE,TRUE),O70*CapacityAge18*'01_Вводные'!$F$199,0)</f>
        <v/>
      </c>
      <c r="P182" s="191">
        <f>IF(IF('01_Вводные'!$B$296="Новый сезон",TRUE,TRUE),P70*CapacityAge18*'01_Вводные'!$F$199,0)</f>
        <v/>
      </c>
      <c r="Q182" s="191">
        <f>IF(IF('01_Вводные'!$B$296="Новый сезон",TRUE,TRUE),Q70*CapacityAge18*'01_Вводные'!$F$199,0)</f>
        <v/>
      </c>
      <c r="R182" s="191">
        <f>IF(IF('01_Вводные'!$B$296="Новый сезон",TRUE,TRUE),R70*CapacityAge18*'01_Вводные'!$F$199,0)</f>
        <v/>
      </c>
      <c r="S182" s="191">
        <f>IF(IF('01_Вводные'!$B$296="Новый сезон",TRUE,TRUE),S70*CapacityAge18*'01_Вводные'!$F$199,0)</f>
        <v/>
      </c>
      <c r="T182" s="191">
        <f>IF(IF('01_Вводные'!$B$296="Новый сезон",TRUE,TRUE),T70*CapacityAge18*'01_Вводные'!$F$199,0)</f>
        <v/>
      </c>
      <c r="U182" s="191">
        <f>IF(IF('01_Вводные'!$B$296="Новый сезон",TRUE,TRUE),U70*CapacityAge18*'01_Вводные'!$F$199,0)</f>
        <v/>
      </c>
      <c r="V182" s="191">
        <f>IF(IF('01_Вводные'!$B$296="Новый сезон",TRUE,TRUE),V70*CapacityAge18*'01_Вводные'!$F$199,0)</f>
        <v/>
      </c>
      <c r="W182" s="191">
        <f>IF(IF('01_Вводные'!$B$296="Новый сезон",TRUE,TRUE),W70*CapacityAge18*'01_Вводные'!$F$199,0)</f>
        <v/>
      </c>
      <c r="X182" s="191">
        <f>IF(IF('01_Вводные'!$B$296="Новый сезон",TRUE,TRUE),X70*CapacityAge18*'01_Вводные'!$F$199,0)</f>
        <v/>
      </c>
      <c r="Y182" s="191">
        <f>IF(IF('01_Вводные'!$B$296="Новый сезон",TRUE,TRUE),Y70*CapacityAge18*'01_Вводные'!$F$199,0)</f>
        <v/>
      </c>
      <c r="Z182" s="191">
        <f>IF(IF('01_Вводные'!$B$296="Новый сезон",TRUE,TRUE),Z70*CapacityAge18*'01_Вводные'!$F$199,0)</f>
        <v/>
      </c>
      <c r="AA182" s="191">
        <f>IF(IF('01_Вводные'!$B$296="Новый сезон",TRUE,TRUE),AA70*CapacityAge18*'01_Вводные'!$F$199,0)</f>
        <v/>
      </c>
      <c r="AB182" s="191">
        <f>IF(IF('01_Вводные'!$B$296="Новый сезон",TRUE,TRUE),AB70*CapacityAge18*'01_Вводные'!$F$199,0)</f>
        <v/>
      </c>
      <c r="AC182" s="191">
        <f>IF(IF('01_Вводные'!$B$296="Новый сезон",TRUE,TRUE),AC70*CapacityAge18*'01_Вводные'!$F$199,0)</f>
        <v/>
      </c>
      <c r="AD182" s="191">
        <f>IF(IF('01_Вводные'!$B$296="Новый сезон",TRUE,TRUE),AD70*CapacityAge18*'01_Вводные'!$F$199,0)</f>
        <v/>
      </c>
      <c r="AE182" s="191">
        <f>IF(IF('01_Вводные'!$B$296="Новый сезон",TRUE,TRUE),AE70*CapacityAge18*'01_Вводные'!$F$199,0)</f>
        <v/>
      </c>
      <c r="AF182" s="191">
        <f>IF(IF('01_Вводные'!$B$296="Новый сезон",TRUE,TRUE),AF70*CapacityAge18*'01_Вводные'!$F$199,0)</f>
        <v/>
      </c>
      <c r="AG182" s="191">
        <f>IF(IF('01_Вводные'!$B$296="Новый сезон",TRUE,TRUE),AG70*CapacityAge18*'01_Вводные'!$F$199,0)</f>
        <v/>
      </c>
      <c r="AH182" s="191">
        <f>IF(IF('01_Вводные'!$B$296="Новый сезон",TRUE,TRUE),AH70*CapacityAge18*'01_Вводные'!$F$199,0)</f>
        <v/>
      </c>
      <c r="AI182" s="191">
        <f>IF(IF('01_Вводные'!$B$296="Новый сезон",TRUE,TRUE),AI70*CapacityAge18*'01_Вводные'!$F$199,0)</f>
        <v/>
      </c>
      <c r="AJ182" s="191">
        <f>IF(IF('01_Вводные'!$B$296="Новый сезон",TRUE,TRUE),AJ70*CapacityAge18*'01_Вводные'!$F$199,0)</f>
        <v/>
      </c>
      <c r="AK182" s="191">
        <f>IF(IF('01_Вводные'!$B$296="Новый сезон",TRUE,TRUE),AK70*CapacityAge18*'01_Вводные'!$F$199,0)</f>
        <v/>
      </c>
      <c r="AL182" s="190">
        <f>IF(IF('01_Вводные'!$B$296="Новый сезон",TRUE,TRUE),AL70*CapacityAge18*'01_Вводные'!$F$199,0)</f>
        <v/>
      </c>
      <c r="AM182" s="190">
        <f>IF(IF('01_Вводные'!$B$296="Новый сезон",TRUE,TRUE),AM70*CapacityAge18*'01_Вводные'!$F$199,0)</f>
        <v/>
      </c>
      <c r="AN182" s="190">
        <f>IF(IF('01_Вводные'!$B$296="Новый сезон",TRUE,TRUE),AN70*CapacityAge18*'01_Вводные'!$F$199,0)</f>
        <v/>
      </c>
      <c r="AO182" s="190">
        <f>IF(IF('01_Вводные'!$B$296="Новый сезон",TRUE,TRUE),AO70*CapacityAge18*'01_Вводные'!$F$199,0)</f>
        <v/>
      </c>
      <c r="AP182" s="190">
        <f>IF(IF('01_Вводные'!$B$296="Новый сезон",TRUE,TRUE),AP70*CapacityAge18*'01_Вводные'!$F$199,0)</f>
        <v/>
      </c>
      <c r="AQ182" s="190">
        <f>IF(IF('01_Вводные'!$B$296="Новый сезон",TRUE,TRUE),AQ70*CapacityAge18*'01_Вводные'!$F$199,0)</f>
        <v/>
      </c>
      <c r="AR182" s="190">
        <f>IF(IF('01_Вводные'!$B$296="Новый сезон",TRUE,TRUE),AR70*CapacityAge18*'01_Вводные'!$F$199,0)</f>
        <v/>
      </c>
      <c r="AS182" s="190">
        <f>IF(IF('01_Вводные'!$B$296="Новый сезон",TRUE,TRUE),AS70*CapacityAge18*'01_Вводные'!$F$199,0)</f>
        <v/>
      </c>
      <c r="AT182" s="190">
        <f>IF(IF('01_Вводные'!$B$296="Новый сезон",TRUE,TRUE),AT70*CapacityAge18*'01_Вводные'!$F$199,0)</f>
        <v/>
      </c>
      <c r="AU182" s="190">
        <f>IF(IF('01_Вводные'!$B$296="Новый сезон",TRUE,TRUE),AU70*CapacityAge18*'01_Вводные'!$F$199,0)</f>
        <v/>
      </c>
      <c r="AV182" s="190">
        <f>IF(IF('01_Вводные'!$B$296="Новый сезон",TRUE,TRUE),AV70*CapacityAge18*'01_Вводные'!$F$199,0)</f>
        <v/>
      </c>
      <c r="AW182" s="190">
        <f>IF(IF('01_Вводные'!$B$296="Новый сезон",TRUE,TRUE),AW70*CapacityAge18*'01_Вводные'!$F$199,0)</f>
        <v/>
      </c>
      <c r="AX182" s="190">
        <f>IF(IF('01_Вводные'!$B$296="Новый сезон",TRUE,TRUE),AX70*CapacityAge18*'01_Вводные'!$F$199,0)</f>
        <v/>
      </c>
      <c r="AY182" s="190">
        <f>IF(IF('01_Вводные'!$B$296="Новый сезон",TRUE,TRUE),AY70*CapacityAge18*'01_Вводные'!$F$199,0)</f>
        <v/>
      </c>
      <c r="AZ182" s="190">
        <f>IF(IF('01_Вводные'!$B$296="Новый сезон",TRUE,TRUE),AZ70*CapacityAge18*'01_Вводные'!$F$199,0)</f>
        <v/>
      </c>
      <c r="BA182" s="190">
        <f>IF(IF('01_Вводные'!$B$296="Новый сезон",TRUE,TRUE),BA70*CapacityAge18*'01_Вводные'!$F$199,0)</f>
        <v/>
      </c>
      <c r="BB182" s="190">
        <f>IF(IF('01_Вводные'!$B$296="Новый сезон",TRUE,TRUE),BB70*CapacityAge18*'01_Вводные'!$F$199,0)</f>
        <v/>
      </c>
      <c r="BC182" s="190">
        <f>IF(IF('01_Вводные'!$B$296="Новый сезон",TRUE,TRUE),BC70*CapacityAge18*'01_Вводные'!$F$199,0)</f>
        <v/>
      </c>
      <c r="BD182" s="190">
        <f>IF(IF('01_Вводные'!$B$296="Новый сезон",TRUE,TRUE),BD70*CapacityAge18*'01_Вводные'!$F$199,0)</f>
        <v/>
      </c>
      <c r="BE182" s="190">
        <f>IF(IF('01_Вводные'!$B$296="Новый сезон",TRUE,TRUE),BE70*CapacityAge18*'01_Вводные'!$F$199,0)</f>
        <v/>
      </c>
      <c r="BF182" s="190">
        <f>IF(IF('01_Вводные'!$B$296="Новый сезон",TRUE,TRUE),BF70*CapacityAge18*'01_Вводные'!$F$199,0)</f>
        <v/>
      </c>
      <c r="BG182" s="190">
        <f>IF(IF('01_Вводные'!$B$296="Новый сезон",TRUE,TRUE),BG70*CapacityAge18*'01_Вводные'!$F$199,0)</f>
        <v/>
      </c>
      <c r="BH182" s="190">
        <f>IF(IF('01_Вводные'!$B$296="Новый сезон",TRUE,TRUE),BH70*CapacityAge18*'01_Вводные'!$F$199,0)</f>
        <v/>
      </c>
      <c r="BI182" s="190">
        <f>IF(IF('01_Вводные'!$B$296="Новый сезон",TRUE,TRUE),BI70*CapacityAge18*'01_Вводные'!$F$199,0)</f>
        <v/>
      </c>
      <c r="BJ182" s="190">
        <f>IF(IF('01_Вводные'!$B$296="Новый сезон",TRUE,TRUE),BJ70*CapacityAge18*'01_Вводные'!$F$199,0)</f>
        <v/>
      </c>
      <c r="BK182" s="190">
        <f>IF(IF('01_Вводные'!$B$296="Новый сезон",TRUE,TRUE),BK70*CapacityAge18*'01_Вводные'!$F$199,0)</f>
        <v/>
      </c>
      <c r="BL182" s="190">
        <f>IF(IF('01_Вводные'!$B$296="Новый сезон",TRUE,TRUE),BL70*CapacityAge18*'01_Вводные'!$F$199,0)</f>
        <v/>
      </c>
      <c r="BM182" s="190">
        <f>IF(IF('01_Вводные'!$B$296="Новый сезон",TRUE,TRUE),BM70*CapacityAge18*'01_Вводные'!$F$199,0)</f>
        <v/>
      </c>
      <c r="BN182" s="190">
        <f>IF(IF('01_Вводные'!$B$296="Новый сезон",TRUE,TRUE),BN70*CapacityAge18*'01_Вводные'!$F$199,0)</f>
        <v/>
      </c>
      <c r="BO182" s="190">
        <f>IF(IF('01_Вводные'!$B$296="Новый сезон",TRUE,TRUE),BO70*CapacityAge18*'01_Вводные'!$F$199,0)</f>
        <v/>
      </c>
    </row>
    <row r="183" hidden="1" outlineLevel="1">
      <c r="A183" t="inlineStr">
        <is>
          <t>19 мес.</t>
        </is>
      </c>
      <c r="B183" s="191">
        <f>IF(IF('01_Вводные'!$B$296="Новый сезон",TRUE,TRUE),B71*CapacityAge19*'01_Вводные'!$F$199,0)</f>
        <v/>
      </c>
      <c r="C183" s="191">
        <f>IF(IF('01_Вводные'!$B$296="Новый сезон",TRUE,TRUE),C71*CapacityAge19*'01_Вводные'!$F$199,0)</f>
        <v/>
      </c>
      <c r="D183" s="191">
        <f>IF(IF('01_Вводные'!$B$296="Новый сезон",TRUE,TRUE),D71*CapacityAge19*'01_Вводные'!$F$199,0)</f>
        <v/>
      </c>
      <c r="E183" s="191">
        <f>IF(IF('01_Вводные'!$B$296="Новый сезон",TRUE,TRUE),E71*CapacityAge19*'01_Вводные'!$F$199,0)</f>
        <v/>
      </c>
      <c r="F183" s="191">
        <f>IF(IF('01_Вводные'!$B$296="Новый сезон",TRUE,TRUE),F71*CapacityAge19*'01_Вводные'!$F$199,0)</f>
        <v/>
      </c>
      <c r="G183" s="191">
        <f>IF(IF('01_Вводные'!$B$296="Новый сезон",TRUE,TRUE),G71*CapacityAge19*'01_Вводные'!$F$199,0)</f>
        <v/>
      </c>
      <c r="H183" s="191">
        <f>IF(IF('01_Вводные'!$B$296="Новый сезон",TRUE,TRUE),H71*CapacityAge19*'01_Вводные'!$F$199,0)</f>
        <v/>
      </c>
      <c r="I183" s="191">
        <f>IF(IF('01_Вводные'!$B$296="Новый сезон",TRUE,TRUE),I71*CapacityAge19*'01_Вводные'!$F$199,0)</f>
        <v/>
      </c>
      <c r="J183" s="191">
        <f>IF(IF('01_Вводные'!$B$296="Новый сезон",TRUE,TRUE),J71*CapacityAge19*'01_Вводные'!$F$199,0)</f>
        <v/>
      </c>
      <c r="K183" s="191">
        <f>IF(IF('01_Вводные'!$B$296="Новый сезон",TRUE,TRUE),K71*CapacityAge19*'01_Вводные'!$F$199,0)</f>
        <v/>
      </c>
      <c r="L183" s="191">
        <f>IF(IF('01_Вводные'!$B$296="Новый сезон",TRUE,TRUE),L71*CapacityAge19*'01_Вводные'!$F$199,0)</f>
        <v/>
      </c>
      <c r="M183" s="191">
        <f>IF(IF('01_Вводные'!$B$296="Новый сезон",TRUE,TRUE),M71*CapacityAge19*'01_Вводные'!$F$199,0)</f>
        <v/>
      </c>
      <c r="N183" s="191">
        <f>IF(IF('01_Вводные'!$B$296="Новый сезон",TRUE,TRUE),N71*CapacityAge19*'01_Вводные'!$F$199,0)</f>
        <v/>
      </c>
      <c r="O183" s="191">
        <f>IF(IF('01_Вводные'!$B$296="Новый сезон",TRUE,TRUE),O71*CapacityAge19*'01_Вводные'!$F$199,0)</f>
        <v/>
      </c>
      <c r="P183" s="191">
        <f>IF(IF('01_Вводные'!$B$296="Новый сезон",TRUE,TRUE),P71*CapacityAge19*'01_Вводные'!$F$199,0)</f>
        <v/>
      </c>
      <c r="Q183" s="191">
        <f>IF(IF('01_Вводные'!$B$296="Новый сезон",TRUE,TRUE),Q71*CapacityAge19*'01_Вводные'!$F$199,0)</f>
        <v/>
      </c>
      <c r="R183" s="191">
        <f>IF(IF('01_Вводные'!$B$296="Новый сезон",TRUE,TRUE),R71*CapacityAge19*'01_Вводные'!$F$199,0)</f>
        <v/>
      </c>
      <c r="S183" s="191">
        <f>IF(IF('01_Вводные'!$B$296="Новый сезон",TRUE,TRUE),S71*CapacityAge19*'01_Вводные'!$F$199,0)</f>
        <v/>
      </c>
      <c r="T183" s="191">
        <f>IF(IF('01_Вводные'!$B$296="Новый сезон",TRUE,TRUE),T71*CapacityAge19*'01_Вводные'!$F$199,0)</f>
        <v/>
      </c>
      <c r="U183" s="191">
        <f>IF(IF('01_Вводные'!$B$296="Новый сезон",TRUE,TRUE),U71*CapacityAge19*'01_Вводные'!$F$199,0)</f>
        <v/>
      </c>
      <c r="V183" s="191">
        <f>IF(IF('01_Вводные'!$B$296="Новый сезон",TRUE,TRUE),V71*CapacityAge19*'01_Вводные'!$F$199,0)</f>
        <v/>
      </c>
      <c r="W183" s="191">
        <f>IF(IF('01_Вводные'!$B$296="Новый сезон",TRUE,TRUE),W71*CapacityAge19*'01_Вводные'!$F$199,0)</f>
        <v/>
      </c>
      <c r="X183" s="191">
        <f>IF(IF('01_Вводные'!$B$296="Новый сезон",TRUE,TRUE),X71*CapacityAge19*'01_Вводные'!$F$199,0)</f>
        <v/>
      </c>
      <c r="Y183" s="191">
        <f>IF(IF('01_Вводные'!$B$296="Новый сезон",TRUE,TRUE),Y71*CapacityAge19*'01_Вводные'!$F$199,0)</f>
        <v/>
      </c>
      <c r="Z183" s="191">
        <f>IF(IF('01_Вводные'!$B$296="Новый сезон",TRUE,TRUE),Z71*CapacityAge19*'01_Вводные'!$F$199,0)</f>
        <v/>
      </c>
      <c r="AA183" s="191">
        <f>IF(IF('01_Вводные'!$B$296="Новый сезон",TRUE,TRUE),AA71*CapacityAge19*'01_Вводные'!$F$199,0)</f>
        <v/>
      </c>
      <c r="AB183" s="191">
        <f>IF(IF('01_Вводные'!$B$296="Новый сезон",TRUE,TRUE),AB71*CapacityAge19*'01_Вводные'!$F$199,0)</f>
        <v/>
      </c>
      <c r="AC183" s="191">
        <f>IF(IF('01_Вводные'!$B$296="Новый сезон",TRUE,TRUE),AC71*CapacityAge19*'01_Вводные'!$F$199,0)</f>
        <v/>
      </c>
      <c r="AD183" s="191">
        <f>IF(IF('01_Вводные'!$B$296="Новый сезон",TRUE,TRUE),AD71*CapacityAge19*'01_Вводные'!$F$199,0)</f>
        <v/>
      </c>
      <c r="AE183" s="191">
        <f>IF(IF('01_Вводные'!$B$296="Новый сезон",TRUE,TRUE),AE71*CapacityAge19*'01_Вводные'!$F$199,0)</f>
        <v/>
      </c>
      <c r="AF183" s="191">
        <f>IF(IF('01_Вводные'!$B$296="Новый сезон",TRUE,TRUE),AF71*CapacityAge19*'01_Вводные'!$F$199,0)</f>
        <v/>
      </c>
      <c r="AG183" s="191">
        <f>IF(IF('01_Вводные'!$B$296="Новый сезон",TRUE,TRUE),AG71*CapacityAge19*'01_Вводные'!$F$199,0)</f>
        <v/>
      </c>
      <c r="AH183" s="191">
        <f>IF(IF('01_Вводные'!$B$296="Новый сезон",TRUE,TRUE),AH71*CapacityAge19*'01_Вводные'!$F$199,0)</f>
        <v/>
      </c>
      <c r="AI183" s="191">
        <f>IF(IF('01_Вводные'!$B$296="Новый сезон",TRUE,TRUE),AI71*CapacityAge19*'01_Вводные'!$F$199,0)</f>
        <v/>
      </c>
      <c r="AJ183" s="191">
        <f>IF(IF('01_Вводные'!$B$296="Новый сезон",TRUE,TRUE),AJ71*CapacityAge19*'01_Вводные'!$F$199,0)</f>
        <v/>
      </c>
      <c r="AK183" s="191">
        <f>IF(IF('01_Вводные'!$B$296="Новый сезон",TRUE,TRUE),AK71*CapacityAge19*'01_Вводные'!$F$199,0)</f>
        <v/>
      </c>
      <c r="AL183" s="190">
        <f>IF(IF('01_Вводные'!$B$296="Новый сезон",TRUE,TRUE),AL71*CapacityAge19*'01_Вводные'!$F$199,0)</f>
        <v/>
      </c>
      <c r="AM183" s="190">
        <f>IF(IF('01_Вводные'!$B$296="Новый сезон",TRUE,TRUE),AM71*CapacityAge19*'01_Вводные'!$F$199,0)</f>
        <v/>
      </c>
      <c r="AN183" s="190">
        <f>IF(IF('01_Вводные'!$B$296="Новый сезон",TRUE,TRUE),AN71*CapacityAge19*'01_Вводные'!$F$199,0)</f>
        <v/>
      </c>
      <c r="AO183" s="190">
        <f>IF(IF('01_Вводные'!$B$296="Новый сезон",TRUE,TRUE),AO71*CapacityAge19*'01_Вводные'!$F$199,0)</f>
        <v/>
      </c>
      <c r="AP183" s="190">
        <f>IF(IF('01_Вводные'!$B$296="Новый сезон",TRUE,TRUE),AP71*CapacityAge19*'01_Вводные'!$F$199,0)</f>
        <v/>
      </c>
      <c r="AQ183" s="190">
        <f>IF(IF('01_Вводные'!$B$296="Новый сезон",TRUE,TRUE),AQ71*CapacityAge19*'01_Вводные'!$F$199,0)</f>
        <v/>
      </c>
      <c r="AR183" s="190">
        <f>IF(IF('01_Вводные'!$B$296="Новый сезон",TRUE,TRUE),AR71*CapacityAge19*'01_Вводные'!$F$199,0)</f>
        <v/>
      </c>
      <c r="AS183" s="190">
        <f>IF(IF('01_Вводные'!$B$296="Новый сезон",TRUE,TRUE),AS71*CapacityAge19*'01_Вводные'!$F$199,0)</f>
        <v/>
      </c>
      <c r="AT183" s="190">
        <f>IF(IF('01_Вводные'!$B$296="Новый сезон",TRUE,TRUE),AT71*CapacityAge19*'01_Вводные'!$F$199,0)</f>
        <v/>
      </c>
      <c r="AU183" s="190">
        <f>IF(IF('01_Вводные'!$B$296="Новый сезон",TRUE,TRUE),AU71*CapacityAge19*'01_Вводные'!$F$199,0)</f>
        <v/>
      </c>
      <c r="AV183" s="190">
        <f>IF(IF('01_Вводные'!$B$296="Новый сезон",TRUE,TRUE),AV71*CapacityAge19*'01_Вводные'!$F$199,0)</f>
        <v/>
      </c>
      <c r="AW183" s="190">
        <f>IF(IF('01_Вводные'!$B$296="Новый сезон",TRUE,TRUE),AW71*CapacityAge19*'01_Вводные'!$F$199,0)</f>
        <v/>
      </c>
      <c r="AX183" s="190">
        <f>IF(IF('01_Вводные'!$B$296="Новый сезон",TRUE,TRUE),AX71*CapacityAge19*'01_Вводные'!$F$199,0)</f>
        <v/>
      </c>
      <c r="AY183" s="190">
        <f>IF(IF('01_Вводные'!$B$296="Новый сезон",TRUE,TRUE),AY71*CapacityAge19*'01_Вводные'!$F$199,0)</f>
        <v/>
      </c>
      <c r="AZ183" s="190">
        <f>IF(IF('01_Вводные'!$B$296="Новый сезон",TRUE,TRUE),AZ71*CapacityAge19*'01_Вводные'!$F$199,0)</f>
        <v/>
      </c>
      <c r="BA183" s="190">
        <f>IF(IF('01_Вводные'!$B$296="Новый сезон",TRUE,TRUE),BA71*CapacityAge19*'01_Вводные'!$F$199,0)</f>
        <v/>
      </c>
      <c r="BB183" s="190">
        <f>IF(IF('01_Вводные'!$B$296="Новый сезон",TRUE,TRUE),BB71*CapacityAge19*'01_Вводные'!$F$199,0)</f>
        <v/>
      </c>
      <c r="BC183" s="190">
        <f>IF(IF('01_Вводные'!$B$296="Новый сезон",TRUE,TRUE),BC71*CapacityAge19*'01_Вводные'!$F$199,0)</f>
        <v/>
      </c>
      <c r="BD183" s="190">
        <f>IF(IF('01_Вводные'!$B$296="Новый сезон",TRUE,TRUE),BD71*CapacityAge19*'01_Вводные'!$F$199,0)</f>
        <v/>
      </c>
      <c r="BE183" s="190">
        <f>IF(IF('01_Вводные'!$B$296="Новый сезон",TRUE,TRUE),BE71*CapacityAge19*'01_Вводные'!$F$199,0)</f>
        <v/>
      </c>
      <c r="BF183" s="190">
        <f>IF(IF('01_Вводные'!$B$296="Новый сезон",TRUE,TRUE),BF71*CapacityAge19*'01_Вводные'!$F$199,0)</f>
        <v/>
      </c>
      <c r="BG183" s="190">
        <f>IF(IF('01_Вводные'!$B$296="Новый сезон",TRUE,TRUE),BG71*CapacityAge19*'01_Вводные'!$F$199,0)</f>
        <v/>
      </c>
      <c r="BH183" s="190">
        <f>IF(IF('01_Вводные'!$B$296="Новый сезон",TRUE,TRUE),BH71*CapacityAge19*'01_Вводные'!$F$199,0)</f>
        <v/>
      </c>
      <c r="BI183" s="190">
        <f>IF(IF('01_Вводные'!$B$296="Новый сезон",TRUE,TRUE),BI71*CapacityAge19*'01_Вводные'!$F$199,0)</f>
        <v/>
      </c>
      <c r="BJ183" s="190">
        <f>IF(IF('01_Вводные'!$B$296="Новый сезон",TRUE,TRUE),BJ71*CapacityAge19*'01_Вводные'!$F$199,0)</f>
        <v/>
      </c>
      <c r="BK183" s="190">
        <f>IF(IF('01_Вводные'!$B$296="Новый сезон",TRUE,TRUE),BK71*CapacityAge19*'01_Вводные'!$F$199,0)</f>
        <v/>
      </c>
      <c r="BL183" s="190">
        <f>IF(IF('01_Вводные'!$B$296="Новый сезон",TRUE,TRUE),BL71*CapacityAge19*'01_Вводные'!$F$199,0)</f>
        <v/>
      </c>
      <c r="BM183" s="190">
        <f>IF(IF('01_Вводные'!$B$296="Новый сезон",TRUE,TRUE),BM71*CapacityAge19*'01_Вводные'!$F$199,0)</f>
        <v/>
      </c>
      <c r="BN183" s="190">
        <f>IF(IF('01_Вводные'!$B$296="Новый сезон",TRUE,TRUE),BN71*CapacityAge19*'01_Вводные'!$F$199,0)</f>
        <v/>
      </c>
      <c r="BO183" s="190">
        <f>IF(IF('01_Вводные'!$B$296="Новый сезон",TRUE,TRUE),BO71*CapacityAge19*'01_Вводные'!$F$199,0)</f>
        <v/>
      </c>
    </row>
    <row r="184" hidden="1" outlineLevel="1">
      <c r="A184" t="inlineStr">
        <is>
          <t>20 мес.</t>
        </is>
      </c>
      <c r="B184" s="191">
        <f>IF(IF('01_Вводные'!$B$296="Новый сезон",TRUE,TRUE),B72*CapacityAge20*'01_Вводные'!$F$199,0)</f>
        <v/>
      </c>
      <c r="C184" s="191">
        <f>IF(IF('01_Вводные'!$B$296="Новый сезон",TRUE,TRUE),C72*CapacityAge20*'01_Вводные'!$F$199,0)</f>
        <v/>
      </c>
      <c r="D184" s="191">
        <f>IF(IF('01_Вводные'!$B$296="Новый сезон",TRUE,TRUE),D72*CapacityAge20*'01_Вводные'!$F$199,0)</f>
        <v/>
      </c>
      <c r="E184" s="191">
        <f>IF(IF('01_Вводные'!$B$296="Новый сезон",TRUE,TRUE),E72*CapacityAge20*'01_Вводные'!$F$199,0)</f>
        <v/>
      </c>
      <c r="F184" s="191">
        <f>IF(IF('01_Вводные'!$B$296="Новый сезон",TRUE,TRUE),F72*CapacityAge20*'01_Вводные'!$F$199,0)</f>
        <v/>
      </c>
      <c r="G184" s="191">
        <f>IF(IF('01_Вводные'!$B$296="Новый сезон",TRUE,TRUE),G72*CapacityAge20*'01_Вводные'!$F$199,0)</f>
        <v/>
      </c>
      <c r="H184" s="191">
        <f>IF(IF('01_Вводные'!$B$296="Новый сезон",TRUE,TRUE),H72*CapacityAge20*'01_Вводные'!$F$199,0)</f>
        <v/>
      </c>
      <c r="I184" s="191">
        <f>IF(IF('01_Вводные'!$B$296="Новый сезон",TRUE,TRUE),I72*CapacityAge20*'01_Вводные'!$F$199,0)</f>
        <v/>
      </c>
      <c r="J184" s="191">
        <f>IF(IF('01_Вводные'!$B$296="Новый сезон",TRUE,TRUE),J72*CapacityAge20*'01_Вводные'!$F$199,0)</f>
        <v/>
      </c>
      <c r="K184" s="191">
        <f>IF(IF('01_Вводные'!$B$296="Новый сезон",TRUE,TRUE),K72*CapacityAge20*'01_Вводные'!$F$199,0)</f>
        <v/>
      </c>
      <c r="L184" s="191">
        <f>IF(IF('01_Вводные'!$B$296="Новый сезон",TRUE,TRUE),L72*CapacityAge20*'01_Вводные'!$F$199,0)</f>
        <v/>
      </c>
      <c r="M184" s="191">
        <f>IF(IF('01_Вводные'!$B$296="Новый сезон",TRUE,TRUE),M72*CapacityAge20*'01_Вводные'!$F$199,0)</f>
        <v/>
      </c>
      <c r="N184" s="191">
        <f>IF(IF('01_Вводные'!$B$296="Новый сезон",TRUE,TRUE),N72*CapacityAge20*'01_Вводные'!$F$199,0)</f>
        <v/>
      </c>
      <c r="O184" s="191">
        <f>IF(IF('01_Вводные'!$B$296="Новый сезон",TRUE,TRUE),O72*CapacityAge20*'01_Вводные'!$F$199,0)</f>
        <v/>
      </c>
      <c r="P184" s="191">
        <f>IF(IF('01_Вводные'!$B$296="Новый сезон",TRUE,TRUE),P72*CapacityAge20*'01_Вводные'!$F$199,0)</f>
        <v/>
      </c>
      <c r="Q184" s="191">
        <f>IF(IF('01_Вводные'!$B$296="Новый сезон",TRUE,TRUE),Q72*CapacityAge20*'01_Вводные'!$F$199,0)</f>
        <v/>
      </c>
      <c r="R184" s="191">
        <f>IF(IF('01_Вводные'!$B$296="Новый сезон",TRUE,TRUE),R72*CapacityAge20*'01_Вводные'!$F$199,0)</f>
        <v/>
      </c>
      <c r="S184" s="191">
        <f>IF(IF('01_Вводные'!$B$296="Новый сезон",TRUE,TRUE),S72*CapacityAge20*'01_Вводные'!$F$199,0)</f>
        <v/>
      </c>
      <c r="T184" s="191">
        <f>IF(IF('01_Вводные'!$B$296="Новый сезон",TRUE,TRUE),T72*CapacityAge20*'01_Вводные'!$F$199,0)</f>
        <v/>
      </c>
      <c r="U184" s="191">
        <f>IF(IF('01_Вводные'!$B$296="Новый сезон",TRUE,TRUE),U72*CapacityAge20*'01_Вводные'!$F$199,0)</f>
        <v/>
      </c>
      <c r="V184" s="191">
        <f>IF(IF('01_Вводные'!$B$296="Новый сезон",TRUE,TRUE),V72*CapacityAge20*'01_Вводные'!$F$199,0)</f>
        <v/>
      </c>
      <c r="W184" s="191">
        <f>IF(IF('01_Вводные'!$B$296="Новый сезон",TRUE,TRUE),W72*CapacityAge20*'01_Вводные'!$F$199,0)</f>
        <v/>
      </c>
      <c r="X184" s="191">
        <f>IF(IF('01_Вводные'!$B$296="Новый сезон",TRUE,TRUE),X72*CapacityAge20*'01_Вводные'!$F$199,0)</f>
        <v/>
      </c>
      <c r="Y184" s="191">
        <f>IF(IF('01_Вводные'!$B$296="Новый сезон",TRUE,TRUE),Y72*CapacityAge20*'01_Вводные'!$F$199,0)</f>
        <v/>
      </c>
      <c r="Z184" s="191">
        <f>IF(IF('01_Вводные'!$B$296="Новый сезон",TRUE,TRUE),Z72*CapacityAge20*'01_Вводные'!$F$199,0)</f>
        <v/>
      </c>
      <c r="AA184" s="191">
        <f>IF(IF('01_Вводные'!$B$296="Новый сезон",TRUE,TRUE),AA72*CapacityAge20*'01_Вводные'!$F$199,0)</f>
        <v/>
      </c>
      <c r="AB184" s="191">
        <f>IF(IF('01_Вводные'!$B$296="Новый сезон",TRUE,TRUE),AB72*CapacityAge20*'01_Вводные'!$F$199,0)</f>
        <v/>
      </c>
      <c r="AC184" s="191">
        <f>IF(IF('01_Вводные'!$B$296="Новый сезон",TRUE,TRUE),AC72*CapacityAge20*'01_Вводные'!$F$199,0)</f>
        <v/>
      </c>
      <c r="AD184" s="191">
        <f>IF(IF('01_Вводные'!$B$296="Новый сезон",TRUE,TRUE),AD72*CapacityAge20*'01_Вводные'!$F$199,0)</f>
        <v/>
      </c>
      <c r="AE184" s="191">
        <f>IF(IF('01_Вводные'!$B$296="Новый сезон",TRUE,TRUE),AE72*CapacityAge20*'01_Вводные'!$F$199,0)</f>
        <v/>
      </c>
      <c r="AF184" s="191">
        <f>IF(IF('01_Вводные'!$B$296="Новый сезон",TRUE,TRUE),AF72*CapacityAge20*'01_Вводные'!$F$199,0)</f>
        <v/>
      </c>
      <c r="AG184" s="191">
        <f>IF(IF('01_Вводные'!$B$296="Новый сезон",TRUE,TRUE),AG72*CapacityAge20*'01_Вводные'!$F$199,0)</f>
        <v/>
      </c>
      <c r="AH184" s="191">
        <f>IF(IF('01_Вводные'!$B$296="Новый сезон",TRUE,TRUE),AH72*CapacityAge20*'01_Вводные'!$F$199,0)</f>
        <v/>
      </c>
      <c r="AI184" s="191">
        <f>IF(IF('01_Вводные'!$B$296="Новый сезон",TRUE,TRUE),AI72*CapacityAge20*'01_Вводные'!$F$199,0)</f>
        <v/>
      </c>
      <c r="AJ184" s="191">
        <f>IF(IF('01_Вводные'!$B$296="Новый сезон",TRUE,TRUE),AJ72*CapacityAge20*'01_Вводные'!$F$199,0)</f>
        <v/>
      </c>
      <c r="AK184" s="191">
        <f>IF(IF('01_Вводные'!$B$296="Новый сезон",TRUE,TRUE),AK72*CapacityAge20*'01_Вводные'!$F$199,0)</f>
        <v/>
      </c>
      <c r="AL184" s="190">
        <f>IF(IF('01_Вводные'!$B$296="Новый сезон",TRUE,TRUE),AL72*CapacityAge20*'01_Вводные'!$F$199,0)</f>
        <v/>
      </c>
      <c r="AM184" s="190">
        <f>IF(IF('01_Вводные'!$B$296="Новый сезон",TRUE,TRUE),AM72*CapacityAge20*'01_Вводные'!$F$199,0)</f>
        <v/>
      </c>
      <c r="AN184" s="190">
        <f>IF(IF('01_Вводные'!$B$296="Новый сезон",TRUE,TRUE),AN72*CapacityAge20*'01_Вводные'!$F$199,0)</f>
        <v/>
      </c>
      <c r="AO184" s="190">
        <f>IF(IF('01_Вводные'!$B$296="Новый сезон",TRUE,TRUE),AO72*CapacityAge20*'01_Вводные'!$F$199,0)</f>
        <v/>
      </c>
      <c r="AP184" s="190">
        <f>IF(IF('01_Вводные'!$B$296="Новый сезон",TRUE,TRUE),AP72*CapacityAge20*'01_Вводные'!$F$199,0)</f>
        <v/>
      </c>
      <c r="AQ184" s="190">
        <f>IF(IF('01_Вводные'!$B$296="Новый сезон",TRUE,TRUE),AQ72*CapacityAge20*'01_Вводные'!$F$199,0)</f>
        <v/>
      </c>
      <c r="AR184" s="190">
        <f>IF(IF('01_Вводные'!$B$296="Новый сезон",TRUE,TRUE),AR72*CapacityAge20*'01_Вводные'!$F$199,0)</f>
        <v/>
      </c>
      <c r="AS184" s="190">
        <f>IF(IF('01_Вводные'!$B$296="Новый сезон",TRUE,TRUE),AS72*CapacityAge20*'01_Вводные'!$F$199,0)</f>
        <v/>
      </c>
      <c r="AT184" s="190">
        <f>IF(IF('01_Вводные'!$B$296="Новый сезон",TRUE,TRUE),AT72*CapacityAge20*'01_Вводные'!$F$199,0)</f>
        <v/>
      </c>
      <c r="AU184" s="190">
        <f>IF(IF('01_Вводные'!$B$296="Новый сезон",TRUE,TRUE),AU72*CapacityAge20*'01_Вводные'!$F$199,0)</f>
        <v/>
      </c>
      <c r="AV184" s="190">
        <f>IF(IF('01_Вводные'!$B$296="Новый сезон",TRUE,TRUE),AV72*CapacityAge20*'01_Вводные'!$F$199,0)</f>
        <v/>
      </c>
      <c r="AW184" s="190">
        <f>IF(IF('01_Вводные'!$B$296="Новый сезон",TRUE,TRUE),AW72*CapacityAge20*'01_Вводные'!$F$199,0)</f>
        <v/>
      </c>
      <c r="AX184" s="190">
        <f>IF(IF('01_Вводные'!$B$296="Новый сезон",TRUE,TRUE),AX72*CapacityAge20*'01_Вводные'!$F$199,0)</f>
        <v/>
      </c>
      <c r="AY184" s="190">
        <f>IF(IF('01_Вводные'!$B$296="Новый сезон",TRUE,TRUE),AY72*CapacityAge20*'01_Вводные'!$F$199,0)</f>
        <v/>
      </c>
      <c r="AZ184" s="190">
        <f>IF(IF('01_Вводные'!$B$296="Новый сезон",TRUE,TRUE),AZ72*CapacityAge20*'01_Вводные'!$F$199,0)</f>
        <v/>
      </c>
      <c r="BA184" s="190">
        <f>IF(IF('01_Вводные'!$B$296="Новый сезон",TRUE,TRUE),BA72*CapacityAge20*'01_Вводные'!$F$199,0)</f>
        <v/>
      </c>
      <c r="BB184" s="190">
        <f>IF(IF('01_Вводные'!$B$296="Новый сезон",TRUE,TRUE),BB72*CapacityAge20*'01_Вводные'!$F$199,0)</f>
        <v/>
      </c>
      <c r="BC184" s="190">
        <f>IF(IF('01_Вводные'!$B$296="Новый сезон",TRUE,TRUE),BC72*CapacityAge20*'01_Вводные'!$F$199,0)</f>
        <v/>
      </c>
      <c r="BD184" s="190">
        <f>IF(IF('01_Вводные'!$B$296="Новый сезон",TRUE,TRUE),BD72*CapacityAge20*'01_Вводные'!$F$199,0)</f>
        <v/>
      </c>
      <c r="BE184" s="190">
        <f>IF(IF('01_Вводные'!$B$296="Новый сезон",TRUE,TRUE),BE72*CapacityAge20*'01_Вводные'!$F$199,0)</f>
        <v/>
      </c>
      <c r="BF184" s="190">
        <f>IF(IF('01_Вводные'!$B$296="Новый сезон",TRUE,TRUE),BF72*CapacityAge20*'01_Вводные'!$F$199,0)</f>
        <v/>
      </c>
      <c r="BG184" s="190">
        <f>IF(IF('01_Вводные'!$B$296="Новый сезон",TRUE,TRUE),BG72*CapacityAge20*'01_Вводные'!$F$199,0)</f>
        <v/>
      </c>
      <c r="BH184" s="190">
        <f>IF(IF('01_Вводные'!$B$296="Новый сезон",TRUE,TRUE),BH72*CapacityAge20*'01_Вводные'!$F$199,0)</f>
        <v/>
      </c>
      <c r="BI184" s="190">
        <f>IF(IF('01_Вводные'!$B$296="Новый сезон",TRUE,TRUE),BI72*CapacityAge20*'01_Вводные'!$F$199,0)</f>
        <v/>
      </c>
      <c r="BJ184" s="190">
        <f>IF(IF('01_Вводные'!$B$296="Новый сезон",TRUE,TRUE),BJ72*CapacityAge20*'01_Вводные'!$F$199,0)</f>
        <v/>
      </c>
      <c r="BK184" s="190">
        <f>IF(IF('01_Вводные'!$B$296="Новый сезон",TRUE,TRUE),BK72*CapacityAge20*'01_Вводные'!$F$199,0)</f>
        <v/>
      </c>
      <c r="BL184" s="190">
        <f>IF(IF('01_Вводные'!$B$296="Новый сезон",TRUE,TRUE),BL72*CapacityAge20*'01_Вводные'!$F$199,0)</f>
        <v/>
      </c>
      <c r="BM184" s="190">
        <f>IF(IF('01_Вводные'!$B$296="Новый сезон",TRUE,TRUE),BM72*CapacityAge20*'01_Вводные'!$F$199,0)</f>
        <v/>
      </c>
      <c r="BN184" s="190">
        <f>IF(IF('01_Вводные'!$B$296="Новый сезон",TRUE,TRUE),BN72*CapacityAge20*'01_Вводные'!$F$199,0)</f>
        <v/>
      </c>
      <c r="BO184" s="190">
        <f>IF(IF('01_Вводные'!$B$296="Новый сезон",TRUE,TRUE),BO72*CapacityAge20*'01_Вводные'!$F$199,0)</f>
        <v/>
      </c>
    </row>
    <row r="185" hidden="1" outlineLevel="1">
      <c r="A185" t="inlineStr">
        <is>
          <t>21 мес.</t>
        </is>
      </c>
      <c r="B185" s="191">
        <f>IF(IF('01_Вводные'!$B$296="Новый сезон",TRUE,TRUE),B73*CapacityAge21*'01_Вводные'!$F$199,0)</f>
        <v/>
      </c>
      <c r="C185" s="191">
        <f>IF(IF('01_Вводные'!$B$296="Новый сезон",TRUE,TRUE),C73*CapacityAge21*'01_Вводные'!$F$199,0)</f>
        <v/>
      </c>
      <c r="D185" s="191">
        <f>IF(IF('01_Вводные'!$B$296="Новый сезон",TRUE,TRUE),D73*CapacityAge21*'01_Вводные'!$F$199,0)</f>
        <v/>
      </c>
      <c r="E185" s="191">
        <f>IF(IF('01_Вводные'!$B$296="Новый сезон",TRUE,TRUE),E73*CapacityAge21*'01_Вводные'!$F$199,0)</f>
        <v/>
      </c>
      <c r="F185" s="191">
        <f>IF(IF('01_Вводные'!$B$296="Новый сезон",TRUE,TRUE),F73*CapacityAge21*'01_Вводные'!$F$199,0)</f>
        <v/>
      </c>
      <c r="G185" s="191">
        <f>IF(IF('01_Вводные'!$B$296="Новый сезон",TRUE,TRUE),G73*CapacityAge21*'01_Вводные'!$F$199,0)</f>
        <v/>
      </c>
      <c r="H185" s="191">
        <f>IF(IF('01_Вводные'!$B$296="Новый сезон",TRUE,TRUE),H73*CapacityAge21*'01_Вводные'!$F$199,0)</f>
        <v/>
      </c>
      <c r="I185" s="191">
        <f>IF(IF('01_Вводные'!$B$296="Новый сезон",TRUE,TRUE),I73*CapacityAge21*'01_Вводные'!$F$199,0)</f>
        <v/>
      </c>
      <c r="J185" s="191">
        <f>IF(IF('01_Вводные'!$B$296="Новый сезон",TRUE,TRUE),J73*CapacityAge21*'01_Вводные'!$F$199,0)</f>
        <v/>
      </c>
      <c r="K185" s="191">
        <f>IF(IF('01_Вводные'!$B$296="Новый сезон",TRUE,TRUE),K73*CapacityAge21*'01_Вводные'!$F$199,0)</f>
        <v/>
      </c>
      <c r="L185" s="191">
        <f>IF(IF('01_Вводные'!$B$296="Новый сезон",TRUE,TRUE),L73*CapacityAge21*'01_Вводные'!$F$199,0)</f>
        <v/>
      </c>
      <c r="M185" s="191">
        <f>IF(IF('01_Вводные'!$B$296="Новый сезон",TRUE,TRUE),M73*CapacityAge21*'01_Вводные'!$F$199,0)</f>
        <v/>
      </c>
      <c r="N185" s="191">
        <f>IF(IF('01_Вводные'!$B$296="Новый сезон",TRUE,TRUE),N73*CapacityAge21*'01_Вводные'!$F$199,0)</f>
        <v/>
      </c>
      <c r="O185" s="191">
        <f>IF(IF('01_Вводные'!$B$296="Новый сезон",TRUE,TRUE),O73*CapacityAge21*'01_Вводные'!$F$199,0)</f>
        <v/>
      </c>
      <c r="P185" s="191">
        <f>IF(IF('01_Вводные'!$B$296="Новый сезон",TRUE,TRUE),P73*CapacityAge21*'01_Вводные'!$F$199,0)</f>
        <v/>
      </c>
      <c r="Q185" s="191">
        <f>IF(IF('01_Вводные'!$B$296="Новый сезон",TRUE,TRUE),Q73*CapacityAge21*'01_Вводные'!$F$199,0)</f>
        <v/>
      </c>
      <c r="R185" s="191">
        <f>IF(IF('01_Вводные'!$B$296="Новый сезон",TRUE,TRUE),R73*CapacityAge21*'01_Вводные'!$F$199,0)</f>
        <v/>
      </c>
      <c r="S185" s="191">
        <f>IF(IF('01_Вводные'!$B$296="Новый сезон",TRUE,TRUE),S73*CapacityAge21*'01_Вводные'!$F$199,0)</f>
        <v/>
      </c>
      <c r="T185" s="191">
        <f>IF(IF('01_Вводные'!$B$296="Новый сезон",TRUE,TRUE),T73*CapacityAge21*'01_Вводные'!$F$199,0)</f>
        <v/>
      </c>
      <c r="U185" s="191">
        <f>IF(IF('01_Вводные'!$B$296="Новый сезон",TRUE,TRUE),U73*CapacityAge21*'01_Вводные'!$F$199,0)</f>
        <v/>
      </c>
      <c r="V185" s="191">
        <f>IF(IF('01_Вводные'!$B$296="Новый сезон",TRUE,TRUE),V73*CapacityAge21*'01_Вводные'!$F$199,0)</f>
        <v/>
      </c>
      <c r="W185" s="191">
        <f>IF(IF('01_Вводные'!$B$296="Новый сезон",TRUE,TRUE),W73*CapacityAge21*'01_Вводные'!$F$199,0)</f>
        <v/>
      </c>
      <c r="X185" s="191">
        <f>IF(IF('01_Вводные'!$B$296="Новый сезон",TRUE,TRUE),X73*CapacityAge21*'01_Вводные'!$F$199,0)</f>
        <v/>
      </c>
      <c r="Y185" s="191">
        <f>IF(IF('01_Вводные'!$B$296="Новый сезон",TRUE,TRUE),Y73*CapacityAge21*'01_Вводные'!$F$199,0)</f>
        <v/>
      </c>
      <c r="Z185" s="191">
        <f>IF(IF('01_Вводные'!$B$296="Новый сезон",TRUE,TRUE),Z73*CapacityAge21*'01_Вводные'!$F$199,0)</f>
        <v/>
      </c>
      <c r="AA185" s="191">
        <f>IF(IF('01_Вводные'!$B$296="Новый сезон",TRUE,TRUE),AA73*CapacityAge21*'01_Вводные'!$F$199,0)</f>
        <v/>
      </c>
      <c r="AB185" s="191">
        <f>IF(IF('01_Вводные'!$B$296="Новый сезон",TRUE,TRUE),AB73*CapacityAge21*'01_Вводные'!$F$199,0)</f>
        <v/>
      </c>
      <c r="AC185" s="191">
        <f>IF(IF('01_Вводные'!$B$296="Новый сезон",TRUE,TRUE),AC73*CapacityAge21*'01_Вводные'!$F$199,0)</f>
        <v/>
      </c>
      <c r="AD185" s="191">
        <f>IF(IF('01_Вводные'!$B$296="Новый сезон",TRUE,TRUE),AD73*CapacityAge21*'01_Вводные'!$F$199,0)</f>
        <v/>
      </c>
      <c r="AE185" s="191">
        <f>IF(IF('01_Вводные'!$B$296="Новый сезон",TRUE,TRUE),AE73*CapacityAge21*'01_Вводные'!$F$199,0)</f>
        <v/>
      </c>
      <c r="AF185" s="191">
        <f>IF(IF('01_Вводные'!$B$296="Новый сезон",TRUE,TRUE),AF73*CapacityAge21*'01_Вводные'!$F$199,0)</f>
        <v/>
      </c>
      <c r="AG185" s="191">
        <f>IF(IF('01_Вводные'!$B$296="Новый сезон",TRUE,TRUE),AG73*CapacityAge21*'01_Вводные'!$F$199,0)</f>
        <v/>
      </c>
      <c r="AH185" s="191">
        <f>IF(IF('01_Вводные'!$B$296="Новый сезон",TRUE,TRUE),AH73*CapacityAge21*'01_Вводные'!$F$199,0)</f>
        <v/>
      </c>
      <c r="AI185" s="191">
        <f>IF(IF('01_Вводные'!$B$296="Новый сезон",TRUE,TRUE),AI73*CapacityAge21*'01_Вводные'!$F$199,0)</f>
        <v/>
      </c>
      <c r="AJ185" s="191">
        <f>IF(IF('01_Вводные'!$B$296="Новый сезон",TRUE,TRUE),AJ73*CapacityAge21*'01_Вводные'!$F$199,0)</f>
        <v/>
      </c>
      <c r="AK185" s="191">
        <f>IF(IF('01_Вводные'!$B$296="Новый сезон",TRUE,TRUE),AK73*CapacityAge21*'01_Вводные'!$F$199,0)</f>
        <v/>
      </c>
      <c r="AL185" s="190">
        <f>IF(IF('01_Вводные'!$B$296="Новый сезон",TRUE,TRUE),AL73*CapacityAge21*'01_Вводные'!$F$199,0)</f>
        <v/>
      </c>
      <c r="AM185" s="190">
        <f>IF(IF('01_Вводные'!$B$296="Новый сезон",TRUE,TRUE),AM73*CapacityAge21*'01_Вводные'!$F$199,0)</f>
        <v/>
      </c>
      <c r="AN185" s="190">
        <f>IF(IF('01_Вводные'!$B$296="Новый сезон",TRUE,TRUE),AN73*CapacityAge21*'01_Вводные'!$F$199,0)</f>
        <v/>
      </c>
      <c r="AO185" s="190">
        <f>IF(IF('01_Вводные'!$B$296="Новый сезон",TRUE,TRUE),AO73*CapacityAge21*'01_Вводные'!$F$199,0)</f>
        <v/>
      </c>
      <c r="AP185" s="190">
        <f>IF(IF('01_Вводные'!$B$296="Новый сезон",TRUE,TRUE),AP73*CapacityAge21*'01_Вводные'!$F$199,0)</f>
        <v/>
      </c>
      <c r="AQ185" s="190">
        <f>IF(IF('01_Вводные'!$B$296="Новый сезон",TRUE,TRUE),AQ73*CapacityAge21*'01_Вводные'!$F$199,0)</f>
        <v/>
      </c>
      <c r="AR185" s="190">
        <f>IF(IF('01_Вводные'!$B$296="Новый сезон",TRUE,TRUE),AR73*CapacityAge21*'01_Вводные'!$F$199,0)</f>
        <v/>
      </c>
      <c r="AS185" s="190">
        <f>IF(IF('01_Вводные'!$B$296="Новый сезон",TRUE,TRUE),AS73*CapacityAge21*'01_Вводные'!$F$199,0)</f>
        <v/>
      </c>
      <c r="AT185" s="190">
        <f>IF(IF('01_Вводные'!$B$296="Новый сезон",TRUE,TRUE),AT73*CapacityAge21*'01_Вводные'!$F$199,0)</f>
        <v/>
      </c>
      <c r="AU185" s="190">
        <f>IF(IF('01_Вводные'!$B$296="Новый сезон",TRUE,TRUE),AU73*CapacityAge21*'01_Вводные'!$F$199,0)</f>
        <v/>
      </c>
      <c r="AV185" s="190">
        <f>IF(IF('01_Вводные'!$B$296="Новый сезон",TRUE,TRUE),AV73*CapacityAge21*'01_Вводные'!$F$199,0)</f>
        <v/>
      </c>
      <c r="AW185" s="190">
        <f>IF(IF('01_Вводные'!$B$296="Новый сезон",TRUE,TRUE),AW73*CapacityAge21*'01_Вводные'!$F$199,0)</f>
        <v/>
      </c>
      <c r="AX185" s="190">
        <f>IF(IF('01_Вводные'!$B$296="Новый сезон",TRUE,TRUE),AX73*CapacityAge21*'01_Вводные'!$F$199,0)</f>
        <v/>
      </c>
      <c r="AY185" s="190">
        <f>IF(IF('01_Вводные'!$B$296="Новый сезон",TRUE,TRUE),AY73*CapacityAge21*'01_Вводные'!$F$199,0)</f>
        <v/>
      </c>
      <c r="AZ185" s="190">
        <f>IF(IF('01_Вводные'!$B$296="Новый сезон",TRUE,TRUE),AZ73*CapacityAge21*'01_Вводные'!$F$199,0)</f>
        <v/>
      </c>
      <c r="BA185" s="190">
        <f>IF(IF('01_Вводные'!$B$296="Новый сезон",TRUE,TRUE),BA73*CapacityAge21*'01_Вводные'!$F$199,0)</f>
        <v/>
      </c>
      <c r="BB185" s="190">
        <f>IF(IF('01_Вводные'!$B$296="Новый сезон",TRUE,TRUE),BB73*CapacityAge21*'01_Вводные'!$F$199,0)</f>
        <v/>
      </c>
      <c r="BC185" s="190">
        <f>IF(IF('01_Вводные'!$B$296="Новый сезон",TRUE,TRUE),BC73*CapacityAge21*'01_Вводные'!$F$199,0)</f>
        <v/>
      </c>
      <c r="BD185" s="190">
        <f>IF(IF('01_Вводные'!$B$296="Новый сезон",TRUE,TRUE),BD73*CapacityAge21*'01_Вводные'!$F$199,0)</f>
        <v/>
      </c>
      <c r="BE185" s="190">
        <f>IF(IF('01_Вводные'!$B$296="Новый сезон",TRUE,TRUE),BE73*CapacityAge21*'01_Вводные'!$F$199,0)</f>
        <v/>
      </c>
      <c r="BF185" s="190">
        <f>IF(IF('01_Вводные'!$B$296="Новый сезон",TRUE,TRUE),BF73*CapacityAge21*'01_Вводные'!$F$199,0)</f>
        <v/>
      </c>
      <c r="BG185" s="190">
        <f>IF(IF('01_Вводные'!$B$296="Новый сезон",TRUE,TRUE),BG73*CapacityAge21*'01_Вводные'!$F$199,0)</f>
        <v/>
      </c>
      <c r="BH185" s="190">
        <f>IF(IF('01_Вводные'!$B$296="Новый сезон",TRUE,TRUE),BH73*CapacityAge21*'01_Вводные'!$F$199,0)</f>
        <v/>
      </c>
      <c r="BI185" s="190">
        <f>IF(IF('01_Вводные'!$B$296="Новый сезон",TRUE,TRUE),BI73*CapacityAge21*'01_Вводные'!$F$199,0)</f>
        <v/>
      </c>
      <c r="BJ185" s="190">
        <f>IF(IF('01_Вводные'!$B$296="Новый сезон",TRUE,TRUE),BJ73*CapacityAge21*'01_Вводные'!$F$199,0)</f>
        <v/>
      </c>
      <c r="BK185" s="190">
        <f>IF(IF('01_Вводные'!$B$296="Новый сезон",TRUE,TRUE),BK73*CapacityAge21*'01_Вводные'!$F$199,0)</f>
        <v/>
      </c>
      <c r="BL185" s="190">
        <f>IF(IF('01_Вводные'!$B$296="Новый сезон",TRUE,TRUE),BL73*CapacityAge21*'01_Вводные'!$F$199,0)</f>
        <v/>
      </c>
      <c r="BM185" s="190">
        <f>IF(IF('01_Вводные'!$B$296="Новый сезон",TRUE,TRUE),BM73*CapacityAge21*'01_Вводные'!$F$199,0)</f>
        <v/>
      </c>
      <c r="BN185" s="190">
        <f>IF(IF('01_Вводные'!$B$296="Новый сезон",TRUE,TRUE),BN73*CapacityAge21*'01_Вводные'!$F$199,0)</f>
        <v/>
      </c>
      <c r="BO185" s="190">
        <f>IF(IF('01_Вводные'!$B$296="Новый сезон",TRUE,TRUE),BO73*CapacityAge21*'01_Вводные'!$F$199,0)</f>
        <v/>
      </c>
    </row>
    <row r="186" hidden="1" outlineLevel="1">
      <c r="A186" t="inlineStr">
        <is>
          <t>22 мес.</t>
        </is>
      </c>
      <c r="B186" s="191">
        <f>IF(IF('01_Вводные'!$B$296="Новый сезон",TRUE,TRUE),B74*CapacityAge22*'01_Вводные'!$F$199,0)</f>
        <v/>
      </c>
      <c r="C186" s="191">
        <f>IF(IF('01_Вводные'!$B$296="Новый сезон",TRUE,TRUE),C74*CapacityAge22*'01_Вводные'!$F$199,0)</f>
        <v/>
      </c>
      <c r="D186" s="191">
        <f>IF(IF('01_Вводные'!$B$296="Новый сезон",TRUE,TRUE),D74*CapacityAge22*'01_Вводные'!$F$199,0)</f>
        <v/>
      </c>
      <c r="E186" s="191">
        <f>IF(IF('01_Вводные'!$B$296="Новый сезон",TRUE,TRUE),E74*CapacityAge22*'01_Вводные'!$F$199,0)</f>
        <v/>
      </c>
      <c r="F186" s="191">
        <f>IF(IF('01_Вводные'!$B$296="Новый сезон",TRUE,TRUE),F74*CapacityAge22*'01_Вводные'!$F$199,0)</f>
        <v/>
      </c>
      <c r="G186" s="191">
        <f>IF(IF('01_Вводные'!$B$296="Новый сезон",TRUE,TRUE),G74*CapacityAge22*'01_Вводные'!$F$199,0)</f>
        <v/>
      </c>
      <c r="H186" s="191">
        <f>IF(IF('01_Вводные'!$B$296="Новый сезон",TRUE,TRUE),H74*CapacityAge22*'01_Вводные'!$F$199,0)</f>
        <v/>
      </c>
      <c r="I186" s="191">
        <f>IF(IF('01_Вводные'!$B$296="Новый сезон",TRUE,TRUE),I74*CapacityAge22*'01_Вводные'!$F$199,0)</f>
        <v/>
      </c>
      <c r="J186" s="191">
        <f>IF(IF('01_Вводные'!$B$296="Новый сезон",TRUE,TRUE),J74*CapacityAge22*'01_Вводные'!$F$199,0)</f>
        <v/>
      </c>
      <c r="K186" s="191">
        <f>IF(IF('01_Вводные'!$B$296="Новый сезон",TRUE,TRUE),K74*CapacityAge22*'01_Вводные'!$F$199,0)</f>
        <v/>
      </c>
      <c r="L186" s="191">
        <f>IF(IF('01_Вводные'!$B$296="Новый сезон",TRUE,TRUE),L74*CapacityAge22*'01_Вводные'!$F$199,0)</f>
        <v/>
      </c>
      <c r="M186" s="191">
        <f>IF(IF('01_Вводные'!$B$296="Новый сезон",TRUE,TRUE),M74*CapacityAge22*'01_Вводные'!$F$199,0)</f>
        <v/>
      </c>
      <c r="N186" s="191">
        <f>IF(IF('01_Вводные'!$B$296="Новый сезон",TRUE,TRUE),N74*CapacityAge22*'01_Вводные'!$F$199,0)</f>
        <v/>
      </c>
      <c r="O186" s="191">
        <f>IF(IF('01_Вводные'!$B$296="Новый сезон",TRUE,TRUE),O74*CapacityAge22*'01_Вводные'!$F$199,0)</f>
        <v/>
      </c>
      <c r="P186" s="191">
        <f>IF(IF('01_Вводные'!$B$296="Новый сезон",TRUE,TRUE),P74*CapacityAge22*'01_Вводные'!$F$199,0)</f>
        <v/>
      </c>
      <c r="Q186" s="191">
        <f>IF(IF('01_Вводные'!$B$296="Новый сезон",TRUE,TRUE),Q74*CapacityAge22*'01_Вводные'!$F$199,0)</f>
        <v/>
      </c>
      <c r="R186" s="191">
        <f>IF(IF('01_Вводные'!$B$296="Новый сезон",TRUE,TRUE),R74*CapacityAge22*'01_Вводные'!$F$199,0)</f>
        <v/>
      </c>
      <c r="S186" s="191">
        <f>IF(IF('01_Вводные'!$B$296="Новый сезон",TRUE,TRUE),S74*CapacityAge22*'01_Вводные'!$F$199,0)</f>
        <v/>
      </c>
      <c r="T186" s="191">
        <f>IF(IF('01_Вводные'!$B$296="Новый сезон",TRUE,TRUE),T74*CapacityAge22*'01_Вводные'!$F$199,0)</f>
        <v/>
      </c>
      <c r="U186" s="191">
        <f>IF(IF('01_Вводные'!$B$296="Новый сезон",TRUE,TRUE),U74*CapacityAge22*'01_Вводные'!$F$199,0)</f>
        <v/>
      </c>
      <c r="V186" s="191">
        <f>IF(IF('01_Вводные'!$B$296="Новый сезон",TRUE,TRUE),V74*CapacityAge22*'01_Вводные'!$F$199,0)</f>
        <v/>
      </c>
      <c r="W186" s="191">
        <f>IF(IF('01_Вводные'!$B$296="Новый сезон",TRUE,TRUE),W74*CapacityAge22*'01_Вводные'!$F$199,0)</f>
        <v/>
      </c>
      <c r="X186" s="191">
        <f>IF(IF('01_Вводные'!$B$296="Новый сезон",TRUE,TRUE),X74*CapacityAge22*'01_Вводные'!$F$199,0)</f>
        <v/>
      </c>
      <c r="Y186" s="191">
        <f>IF(IF('01_Вводные'!$B$296="Новый сезон",TRUE,TRUE),Y74*CapacityAge22*'01_Вводные'!$F$199,0)</f>
        <v/>
      </c>
      <c r="Z186" s="191">
        <f>IF(IF('01_Вводные'!$B$296="Новый сезон",TRUE,TRUE),Z74*CapacityAge22*'01_Вводные'!$F$199,0)</f>
        <v/>
      </c>
      <c r="AA186" s="191">
        <f>IF(IF('01_Вводные'!$B$296="Новый сезон",TRUE,TRUE),AA74*CapacityAge22*'01_Вводные'!$F$199,0)</f>
        <v/>
      </c>
      <c r="AB186" s="191">
        <f>IF(IF('01_Вводные'!$B$296="Новый сезон",TRUE,TRUE),AB74*CapacityAge22*'01_Вводные'!$F$199,0)</f>
        <v/>
      </c>
      <c r="AC186" s="191">
        <f>IF(IF('01_Вводные'!$B$296="Новый сезон",TRUE,TRUE),AC74*CapacityAge22*'01_Вводные'!$F$199,0)</f>
        <v/>
      </c>
      <c r="AD186" s="191">
        <f>IF(IF('01_Вводные'!$B$296="Новый сезон",TRUE,TRUE),AD74*CapacityAge22*'01_Вводные'!$F$199,0)</f>
        <v/>
      </c>
      <c r="AE186" s="191">
        <f>IF(IF('01_Вводные'!$B$296="Новый сезон",TRUE,TRUE),AE74*CapacityAge22*'01_Вводные'!$F$199,0)</f>
        <v/>
      </c>
      <c r="AF186" s="191">
        <f>IF(IF('01_Вводные'!$B$296="Новый сезон",TRUE,TRUE),AF74*CapacityAge22*'01_Вводные'!$F$199,0)</f>
        <v/>
      </c>
      <c r="AG186" s="191">
        <f>IF(IF('01_Вводные'!$B$296="Новый сезон",TRUE,TRUE),AG74*CapacityAge22*'01_Вводные'!$F$199,0)</f>
        <v/>
      </c>
      <c r="AH186" s="191">
        <f>IF(IF('01_Вводные'!$B$296="Новый сезон",TRUE,TRUE),AH74*CapacityAge22*'01_Вводные'!$F$199,0)</f>
        <v/>
      </c>
      <c r="AI186" s="191">
        <f>IF(IF('01_Вводные'!$B$296="Новый сезон",TRUE,TRUE),AI74*CapacityAge22*'01_Вводные'!$F$199,0)</f>
        <v/>
      </c>
      <c r="AJ186" s="191">
        <f>IF(IF('01_Вводные'!$B$296="Новый сезон",TRUE,TRUE),AJ74*CapacityAge22*'01_Вводные'!$F$199,0)</f>
        <v/>
      </c>
      <c r="AK186" s="191">
        <f>IF(IF('01_Вводные'!$B$296="Новый сезон",TRUE,TRUE),AK74*CapacityAge22*'01_Вводные'!$F$199,0)</f>
        <v/>
      </c>
      <c r="AL186" s="190">
        <f>IF(IF('01_Вводные'!$B$296="Новый сезон",TRUE,TRUE),AL74*CapacityAge22*'01_Вводные'!$F$199,0)</f>
        <v/>
      </c>
      <c r="AM186" s="190">
        <f>IF(IF('01_Вводные'!$B$296="Новый сезон",TRUE,TRUE),AM74*CapacityAge22*'01_Вводные'!$F$199,0)</f>
        <v/>
      </c>
      <c r="AN186" s="190">
        <f>IF(IF('01_Вводные'!$B$296="Новый сезон",TRUE,TRUE),AN74*CapacityAge22*'01_Вводные'!$F$199,0)</f>
        <v/>
      </c>
      <c r="AO186" s="190">
        <f>IF(IF('01_Вводные'!$B$296="Новый сезон",TRUE,TRUE),AO74*CapacityAge22*'01_Вводные'!$F$199,0)</f>
        <v/>
      </c>
      <c r="AP186" s="190">
        <f>IF(IF('01_Вводные'!$B$296="Новый сезон",TRUE,TRUE),AP74*CapacityAge22*'01_Вводные'!$F$199,0)</f>
        <v/>
      </c>
      <c r="AQ186" s="190">
        <f>IF(IF('01_Вводные'!$B$296="Новый сезон",TRUE,TRUE),AQ74*CapacityAge22*'01_Вводные'!$F$199,0)</f>
        <v/>
      </c>
      <c r="AR186" s="190">
        <f>IF(IF('01_Вводные'!$B$296="Новый сезон",TRUE,TRUE),AR74*CapacityAge22*'01_Вводные'!$F$199,0)</f>
        <v/>
      </c>
      <c r="AS186" s="190">
        <f>IF(IF('01_Вводные'!$B$296="Новый сезон",TRUE,TRUE),AS74*CapacityAge22*'01_Вводные'!$F$199,0)</f>
        <v/>
      </c>
      <c r="AT186" s="190">
        <f>IF(IF('01_Вводные'!$B$296="Новый сезон",TRUE,TRUE),AT74*CapacityAge22*'01_Вводные'!$F$199,0)</f>
        <v/>
      </c>
      <c r="AU186" s="190">
        <f>IF(IF('01_Вводные'!$B$296="Новый сезон",TRUE,TRUE),AU74*CapacityAge22*'01_Вводные'!$F$199,0)</f>
        <v/>
      </c>
      <c r="AV186" s="190">
        <f>IF(IF('01_Вводные'!$B$296="Новый сезон",TRUE,TRUE),AV74*CapacityAge22*'01_Вводные'!$F$199,0)</f>
        <v/>
      </c>
      <c r="AW186" s="190">
        <f>IF(IF('01_Вводные'!$B$296="Новый сезон",TRUE,TRUE),AW74*CapacityAge22*'01_Вводные'!$F$199,0)</f>
        <v/>
      </c>
      <c r="AX186" s="190">
        <f>IF(IF('01_Вводные'!$B$296="Новый сезон",TRUE,TRUE),AX74*CapacityAge22*'01_Вводные'!$F$199,0)</f>
        <v/>
      </c>
      <c r="AY186" s="190">
        <f>IF(IF('01_Вводные'!$B$296="Новый сезон",TRUE,TRUE),AY74*CapacityAge22*'01_Вводные'!$F$199,0)</f>
        <v/>
      </c>
      <c r="AZ186" s="190">
        <f>IF(IF('01_Вводные'!$B$296="Новый сезон",TRUE,TRUE),AZ74*CapacityAge22*'01_Вводные'!$F$199,0)</f>
        <v/>
      </c>
      <c r="BA186" s="190">
        <f>IF(IF('01_Вводные'!$B$296="Новый сезон",TRUE,TRUE),BA74*CapacityAge22*'01_Вводные'!$F$199,0)</f>
        <v/>
      </c>
      <c r="BB186" s="190">
        <f>IF(IF('01_Вводные'!$B$296="Новый сезон",TRUE,TRUE),BB74*CapacityAge22*'01_Вводные'!$F$199,0)</f>
        <v/>
      </c>
      <c r="BC186" s="190">
        <f>IF(IF('01_Вводные'!$B$296="Новый сезон",TRUE,TRUE),BC74*CapacityAge22*'01_Вводные'!$F$199,0)</f>
        <v/>
      </c>
      <c r="BD186" s="190">
        <f>IF(IF('01_Вводные'!$B$296="Новый сезон",TRUE,TRUE),BD74*CapacityAge22*'01_Вводные'!$F$199,0)</f>
        <v/>
      </c>
      <c r="BE186" s="190">
        <f>IF(IF('01_Вводные'!$B$296="Новый сезон",TRUE,TRUE),BE74*CapacityAge22*'01_Вводные'!$F$199,0)</f>
        <v/>
      </c>
      <c r="BF186" s="190">
        <f>IF(IF('01_Вводные'!$B$296="Новый сезон",TRUE,TRUE),BF74*CapacityAge22*'01_Вводные'!$F$199,0)</f>
        <v/>
      </c>
      <c r="BG186" s="190">
        <f>IF(IF('01_Вводные'!$B$296="Новый сезон",TRUE,TRUE),BG74*CapacityAge22*'01_Вводные'!$F$199,0)</f>
        <v/>
      </c>
      <c r="BH186" s="190">
        <f>IF(IF('01_Вводные'!$B$296="Новый сезон",TRUE,TRUE),BH74*CapacityAge22*'01_Вводные'!$F$199,0)</f>
        <v/>
      </c>
      <c r="BI186" s="190">
        <f>IF(IF('01_Вводные'!$B$296="Новый сезон",TRUE,TRUE),BI74*CapacityAge22*'01_Вводные'!$F$199,0)</f>
        <v/>
      </c>
      <c r="BJ186" s="190">
        <f>IF(IF('01_Вводные'!$B$296="Новый сезон",TRUE,TRUE),BJ74*CapacityAge22*'01_Вводные'!$F$199,0)</f>
        <v/>
      </c>
      <c r="BK186" s="190">
        <f>IF(IF('01_Вводные'!$B$296="Новый сезон",TRUE,TRUE),BK74*CapacityAge22*'01_Вводные'!$F$199,0)</f>
        <v/>
      </c>
      <c r="BL186" s="190">
        <f>IF(IF('01_Вводные'!$B$296="Новый сезон",TRUE,TRUE),BL74*CapacityAge22*'01_Вводные'!$F$199,0)</f>
        <v/>
      </c>
      <c r="BM186" s="190">
        <f>IF(IF('01_Вводные'!$B$296="Новый сезон",TRUE,TRUE),BM74*CapacityAge22*'01_Вводные'!$F$199,0)</f>
        <v/>
      </c>
      <c r="BN186" s="190">
        <f>IF(IF('01_Вводные'!$B$296="Новый сезон",TRUE,TRUE),BN74*CapacityAge22*'01_Вводные'!$F$199,0)</f>
        <v/>
      </c>
      <c r="BO186" s="190">
        <f>IF(IF('01_Вводные'!$B$296="Новый сезон",TRUE,TRUE),BO74*CapacityAge22*'01_Вводные'!$F$199,0)</f>
        <v/>
      </c>
    </row>
    <row r="187" hidden="1" outlineLevel="1">
      <c r="A187" t="inlineStr">
        <is>
          <t>23 мес.</t>
        </is>
      </c>
      <c r="B187" s="191">
        <f>IF(IF('01_Вводные'!$B$296="Новый сезон",TRUE,TRUE),B75*CapacityAge23*'01_Вводные'!$F$199,0)</f>
        <v/>
      </c>
      <c r="C187" s="191">
        <f>IF(IF('01_Вводные'!$B$296="Новый сезон",TRUE,TRUE),C75*CapacityAge23*'01_Вводные'!$F$199,0)</f>
        <v/>
      </c>
      <c r="D187" s="191">
        <f>IF(IF('01_Вводные'!$B$296="Новый сезон",TRUE,TRUE),D75*CapacityAge23*'01_Вводные'!$F$199,0)</f>
        <v/>
      </c>
      <c r="E187" s="191">
        <f>IF(IF('01_Вводные'!$B$296="Новый сезон",TRUE,TRUE),E75*CapacityAge23*'01_Вводные'!$F$199,0)</f>
        <v/>
      </c>
      <c r="F187" s="191">
        <f>IF(IF('01_Вводные'!$B$296="Новый сезон",TRUE,TRUE),F75*CapacityAge23*'01_Вводные'!$F$199,0)</f>
        <v/>
      </c>
      <c r="G187" s="191">
        <f>IF(IF('01_Вводные'!$B$296="Новый сезон",TRUE,TRUE),G75*CapacityAge23*'01_Вводные'!$F$199,0)</f>
        <v/>
      </c>
      <c r="H187" s="191">
        <f>IF(IF('01_Вводные'!$B$296="Новый сезон",TRUE,TRUE),H75*CapacityAge23*'01_Вводные'!$F$199,0)</f>
        <v/>
      </c>
      <c r="I187" s="191">
        <f>IF(IF('01_Вводные'!$B$296="Новый сезон",TRUE,TRUE),I75*CapacityAge23*'01_Вводные'!$F$199,0)</f>
        <v/>
      </c>
      <c r="J187" s="191">
        <f>IF(IF('01_Вводные'!$B$296="Новый сезон",TRUE,TRUE),J75*CapacityAge23*'01_Вводные'!$F$199,0)</f>
        <v/>
      </c>
      <c r="K187" s="191">
        <f>IF(IF('01_Вводные'!$B$296="Новый сезон",TRUE,TRUE),K75*CapacityAge23*'01_Вводные'!$F$199,0)</f>
        <v/>
      </c>
      <c r="L187" s="191">
        <f>IF(IF('01_Вводные'!$B$296="Новый сезон",TRUE,TRUE),L75*CapacityAge23*'01_Вводные'!$F$199,0)</f>
        <v/>
      </c>
      <c r="M187" s="191">
        <f>IF(IF('01_Вводные'!$B$296="Новый сезон",TRUE,TRUE),M75*CapacityAge23*'01_Вводные'!$F$199,0)</f>
        <v/>
      </c>
      <c r="N187" s="191">
        <f>IF(IF('01_Вводные'!$B$296="Новый сезон",TRUE,TRUE),N75*CapacityAge23*'01_Вводные'!$F$199,0)</f>
        <v/>
      </c>
      <c r="O187" s="191">
        <f>IF(IF('01_Вводные'!$B$296="Новый сезон",TRUE,TRUE),O75*CapacityAge23*'01_Вводные'!$F$199,0)</f>
        <v/>
      </c>
      <c r="P187" s="191">
        <f>IF(IF('01_Вводные'!$B$296="Новый сезон",TRUE,TRUE),P75*CapacityAge23*'01_Вводные'!$F$199,0)</f>
        <v/>
      </c>
      <c r="Q187" s="191">
        <f>IF(IF('01_Вводные'!$B$296="Новый сезон",TRUE,TRUE),Q75*CapacityAge23*'01_Вводные'!$F$199,0)</f>
        <v/>
      </c>
      <c r="R187" s="191">
        <f>IF(IF('01_Вводные'!$B$296="Новый сезон",TRUE,TRUE),R75*CapacityAge23*'01_Вводные'!$F$199,0)</f>
        <v/>
      </c>
      <c r="S187" s="191">
        <f>IF(IF('01_Вводные'!$B$296="Новый сезон",TRUE,TRUE),S75*CapacityAge23*'01_Вводные'!$F$199,0)</f>
        <v/>
      </c>
      <c r="T187" s="191">
        <f>IF(IF('01_Вводные'!$B$296="Новый сезон",TRUE,TRUE),T75*CapacityAge23*'01_Вводные'!$F$199,0)</f>
        <v/>
      </c>
      <c r="U187" s="191">
        <f>IF(IF('01_Вводные'!$B$296="Новый сезон",TRUE,TRUE),U75*CapacityAge23*'01_Вводные'!$F$199,0)</f>
        <v/>
      </c>
      <c r="V187" s="191">
        <f>IF(IF('01_Вводные'!$B$296="Новый сезон",TRUE,TRUE),V75*CapacityAge23*'01_Вводные'!$F$199,0)</f>
        <v/>
      </c>
      <c r="W187" s="191">
        <f>IF(IF('01_Вводные'!$B$296="Новый сезон",TRUE,TRUE),W75*CapacityAge23*'01_Вводные'!$F$199,0)</f>
        <v/>
      </c>
      <c r="X187" s="191">
        <f>IF(IF('01_Вводные'!$B$296="Новый сезон",TRUE,TRUE),X75*CapacityAge23*'01_Вводные'!$F$199,0)</f>
        <v/>
      </c>
      <c r="Y187" s="191">
        <f>IF(IF('01_Вводные'!$B$296="Новый сезон",TRUE,TRUE),Y75*CapacityAge23*'01_Вводные'!$F$199,0)</f>
        <v/>
      </c>
      <c r="Z187" s="191">
        <f>IF(IF('01_Вводные'!$B$296="Новый сезон",TRUE,TRUE),Z75*CapacityAge23*'01_Вводные'!$F$199,0)</f>
        <v/>
      </c>
      <c r="AA187" s="191">
        <f>IF(IF('01_Вводные'!$B$296="Новый сезон",TRUE,TRUE),AA75*CapacityAge23*'01_Вводные'!$F$199,0)</f>
        <v/>
      </c>
      <c r="AB187" s="191">
        <f>IF(IF('01_Вводные'!$B$296="Новый сезон",TRUE,TRUE),AB75*CapacityAge23*'01_Вводные'!$F$199,0)</f>
        <v/>
      </c>
      <c r="AC187" s="191">
        <f>IF(IF('01_Вводные'!$B$296="Новый сезон",TRUE,TRUE),AC75*CapacityAge23*'01_Вводные'!$F$199,0)</f>
        <v/>
      </c>
      <c r="AD187" s="191">
        <f>IF(IF('01_Вводные'!$B$296="Новый сезон",TRUE,TRUE),AD75*CapacityAge23*'01_Вводные'!$F$199,0)</f>
        <v/>
      </c>
      <c r="AE187" s="191">
        <f>IF(IF('01_Вводные'!$B$296="Новый сезон",TRUE,TRUE),AE75*CapacityAge23*'01_Вводные'!$F$199,0)</f>
        <v/>
      </c>
      <c r="AF187" s="191">
        <f>IF(IF('01_Вводные'!$B$296="Новый сезон",TRUE,TRUE),AF75*CapacityAge23*'01_Вводные'!$F$199,0)</f>
        <v/>
      </c>
      <c r="AG187" s="191">
        <f>IF(IF('01_Вводные'!$B$296="Новый сезон",TRUE,TRUE),AG75*CapacityAge23*'01_Вводные'!$F$199,0)</f>
        <v/>
      </c>
      <c r="AH187" s="191">
        <f>IF(IF('01_Вводные'!$B$296="Новый сезон",TRUE,TRUE),AH75*CapacityAge23*'01_Вводные'!$F$199,0)</f>
        <v/>
      </c>
      <c r="AI187" s="191">
        <f>IF(IF('01_Вводные'!$B$296="Новый сезон",TRUE,TRUE),AI75*CapacityAge23*'01_Вводные'!$F$199,0)</f>
        <v/>
      </c>
      <c r="AJ187" s="191">
        <f>IF(IF('01_Вводные'!$B$296="Новый сезон",TRUE,TRUE),AJ75*CapacityAge23*'01_Вводные'!$F$199,0)</f>
        <v/>
      </c>
      <c r="AK187" s="191">
        <f>IF(IF('01_Вводные'!$B$296="Новый сезон",TRUE,TRUE),AK75*CapacityAge23*'01_Вводные'!$F$199,0)</f>
        <v/>
      </c>
      <c r="AL187" s="190">
        <f>IF(IF('01_Вводные'!$B$296="Новый сезон",TRUE,TRUE),AL75*CapacityAge23*'01_Вводные'!$F$199,0)</f>
        <v/>
      </c>
      <c r="AM187" s="190">
        <f>IF(IF('01_Вводные'!$B$296="Новый сезон",TRUE,TRUE),AM75*CapacityAge23*'01_Вводные'!$F$199,0)</f>
        <v/>
      </c>
      <c r="AN187" s="190">
        <f>IF(IF('01_Вводные'!$B$296="Новый сезон",TRUE,TRUE),AN75*CapacityAge23*'01_Вводные'!$F$199,0)</f>
        <v/>
      </c>
      <c r="AO187" s="190">
        <f>IF(IF('01_Вводные'!$B$296="Новый сезон",TRUE,TRUE),AO75*CapacityAge23*'01_Вводные'!$F$199,0)</f>
        <v/>
      </c>
      <c r="AP187" s="190">
        <f>IF(IF('01_Вводные'!$B$296="Новый сезон",TRUE,TRUE),AP75*CapacityAge23*'01_Вводные'!$F$199,0)</f>
        <v/>
      </c>
      <c r="AQ187" s="190">
        <f>IF(IF('01_Вводные'!$B$296="Новый сезон",TRUE,TRUE),AQ75*CapacityAge23*'01_Вводные'!$F$199,0)</f>
        <v/>
      </c>
      <c r="AR187" s="190">
        <f>IF(IF('01_Вводные'!$B$296="Новый сезон",TRUE,TRUE),AR75*CapacityAge23*'01_Вводные'!$F$199,0)</f>
        <v/>
      </c>
      <c r="AS187" s="190">
        <f>IF(IF('01_Вводные'!$B$296="Новый сезон",TRUE,TRUE),AS75*CapacityAge23*'01_Вводные'!$F$199,0)</f>
        <v/>
      </c>
      <c r="AT187" s="190">
        <f>IF(IF('01_Вводные'!$B$296="Новый сезон",TRUE,TRUE),AT75*CapacityAge23*'01_Вводные'!$F$199,0)</f>
        <v/>
      </c>
      <c r="AU187" s="190">
        <f>IF(IF('01_Вводные'!$B$296="Новый сезон",TRUE,TRUE),AU75*CapacityAge23*'01_Вводные'!$F$199,0)</f>
        <v/>
      </c>
      <c r="AV187" s="190">
        <f>IF(IF('01_Вводные'!$B$296="Новый сезон",TRUE,TRUE),AV75*CapacityAge23*'01_Вводные'!$F$199,0)</f>
        <v/>
      </c>
      <c r="AW187" s="190">
        <f>IF(IF('01_Вводные'!$B$296="Новый сезон",TRUE,TRUE),AW75*CapacityAge23*'01_Вводные'!$F$199,0)</f>
        <v/>
      </c>
      <c r="AX187" s="190">
        <f>IF(IF('01_Вводные'!$B$296="Новый сезон",TRUE,TRUE),AX75*CapacityAge23*'01_Вводные'!$F$199,0)</f>
        <v/>
      </c>
      <c r="AY187" s="190">
        <f>IF(IF('01_Вводные'!$B$296="Новый сезон",TRUE,TRUE),AY75*CapacityAge23*'01_Вводные'!$F$199,0)</f>
        <v/>
      </c>
      <c r="AZ187" s="190">
        <f>IF(IF('01_Вводные'!$B$296="Новый сезон",TRUE,TRUE),AZ75*CapacityAge23*'01_Вводные'!$F$199,0)</f>
        <v/>
      </c>
      <c r="BA187" s="190">
        <f>IF(IF('01_Вводные'!$B$296="Новый сезон",TRUE,TRUE),BA75*CapacityAge23*'01_Вводные'!$F$199,0)</f>
        <v/>
      </c>
      <c r="BB187" s="190">
        <f>IF(IF('01_Вводные'!$B$296="Новый сезон",TRUE,TRUE),BB75*CapacityAge23*'01_Вводные'!$F$199,0)</f>
        <v/>
      </c>
      <c r="BC187" s="190">
        <f>IF(IF('01_Вводные'!$B$296="Новый сезон",TRUE,TRUE),BC75*CapacityAge23*'01_Вводные'!$F$199,0)</f>
        <v/>
      </c>
      <c r="BD187" s="190">
        <f>IF(IF('01_Вводные'!$B$296="Новый сезон",TRUE,TRUE),BD75*CapacityAge23*'01_Вводные'!$F$199,0)</f>
        <v/>
      </c>
      <c r="BE187" s="190">
        <f>IF(IF('01_Вводные'!$B$296="Новый сезон",TRUE,TRUE),BE75*CapacityAge23*'01_Вводные'!$F$199,0)</f>
        <v/>
      </c>
      <c r="BF187" s="190">
        <f>IF(IF('01_Вводные'!$B$296="Новый сезон",TRUE,TRUE),BF75*CapacityAge23*'01_Вводные'!$F$199,0)</f>
        <v/>
      </c>
      <c r="BG187" s="190">
        <f>IF(IF('01_Вводные'!$B$296="Новый сезон",TRUE,TRUE),BG75*CapacityAge23*'01_Вводные'!$F$199,0)</f>
        <v/>
      </c>
      <c r="BH187" s="190">
        <f>IF(IF('01_Вводные'!$B$296="Новый сезон",TRUE,TRUE),BH75*CapacityAge23*'01_Вводные'!$F$199,0)</f>
        <v/>
      </c>
      <c r="BI187" s="190">
        <f>IF(IF('01_Вводные'!$B$296="Новый сезон",TRUE,TRUE),BI75*CapacityAge23*'01_Вводные'!$F$199,0)</f>
        <v/>
      </c>
      <c r="BJ187" s="190">
        <f>IF(IF('01_Вводные'!$B$296="Новый сезон",TRUE,TRUE),BJ75*CapacityAge23*'01_Вводные'!$F$199,0)</f>
        <v/>
      </c>
      <c r="BK187" s="190">
        <f>IF(IF('01_Вводные'!$B$296="Новый сезон",TRUE,TRUE),BK75*CapacityAge23*'01_Вводные'!$F$199,0)</f>
        <v/>
      </c>
      <c r="BL187" s="190">
        <f>IF(IF('01_Вводные'!$B$296="Новый сезон",TRUE,TRUE),BL75*CapacityAge23*'01_Вводные'!$F$199,0)</f>
        <v/>
      </c>
      <c r="BM187" s="190">
        <f>IF(IF('01_Вводные'!$B$296="Новый сезон",TRUE,TRUE),BM75*CapacityAge23*'01_Вводные'!$F$199,0)</f>
        <v/>
      </c>
      <c r="BN187" s="190">
        <f>IF(IF('01_Вводные'!$B$296="Новый сезон",TRUE,TRUE),BN75*CapacityAge23*'01_Вводные'!$F$199,0)</f>
        <v/>
      </c>
      <c r="BO187" s="190">
        <f>IF(IF('01_Вводные'!$B$296="Новый сезон",TRUE,TRUE),BO75*CapacityAge23*'01_Вводные'!$F$199,0)</f>
        <v/>
      </c>
    </row>
    <row r="188" hidden="1" outlineLevel="1">
      <c r="A188" t="inlineStr">
        <is>
          <t>24 мес.</t>
        </is>
      </c>
      <c r="B188" s="191">
        <f>IF(IF('01_Вводные'!$B$296="Новый сезон",TRUE,TRUE),B76*CapacityAge24*'01_Вводные'!$F$199,0)</f>
        <v/>
      </c>
      <c r="C188" s="191">
        <f>IF(IF('01_Вводные'!$B$296="Новый сезон",TRUE,TRUE),C76*CapacityAge24*'01_Вводные'!$F$199,0)</f>
        <v/>
      </c>
      <c r="D188" s="191">
        <f>IF(IF('01_Вводные'!$B$296="Новый сезон",TRUE,TRUE),D76*CapacityAge24*'01_Вводные'!$F$199,0)</f>
        <v/>
      </c>
      <c r="E188" s="191">
        <f>IF(IF('01_Вводные'!$B$296="Новый сезон",TRUE,TRUE),E76*CapacityAge24*'01_Вводные'!$F$199,0)</f>
        <v/>
      </c>
      <c r="F188" s="191">
        <f>IF(IF('01_Вводные'!$B$296="Новый сезон",TRUE,TRUE),F76*CapacityAge24*'01_Вводные'!$F$199,0)</f>
        <v/>
      </c>
      <c r="G188" s="191">
        <f>IF(IF('01_Вводные'!$B$296="Новый сезон",TRUE,TRUE),G76*CapacityAge24*'01_Вводные'!$F$199,0)</f>
        <v/>
      </c>
      <c r="H188" s="191">
        <f>IF(IF('01_Вводные'!$B$296="Новый сезон",TRUE,TRUE),H76*CapacityAge24*'01_Вводные'!$F$199,0)</f>
        <v/>
      </c>
      <c r="I188" s="191">
        <f>IF(IF('01_Вводные'!$B$296="Новый сезон",TRUE,TRUE),I76*CapacityAge24*'01_Вводные'!$F$199,0)</f>
        <v/>
      </c>
      <c r="J188" s="191">
        <f>IF(IF('01_Вводные'!$B$296="Новый сезон",TRUE,TRUE),J76*CapacityAge24*'01_Вводные'!$F$199,0)</f>
        <v/>
      </c>
      <c r="K188" s="191">
        <f>IF(IF('01_Вводные'!$B$296="Новый сезон",TRUE,TRUE),K76*CapacityAge24*'01_Вводные'!$F$199,0)</f>
        <v/>
      </c>
      <c r="L188" s="191">
        <f>IF(IF('01_Вводные'!$B$296="Новый сезон",TRUE,TRUE),L76*CapacityAge24*'01_Вводные'!$F$199,0)</f>
        <v/>
      </c>
      <c r="M188" s="191">
        <f>IF(IF('01_Вводные'!$B$296="Новый сезон",TRUE,TRUE),M76*CapacityAge24*'01_Вводные'!$F$199,0)</f>
        <v/>
      </c>
      <c r="N188" s="191">
        <f>IF(IF('01_Вводные'!$B$296="Новый сезон",TRUE,TRUE),N76*CapacityAge24*'01_Вводные'!$F$199,0)</f>
        <v/>
      </c>
      <c r="O188" s="191">
        <f>IF(IF('01_Вводные'!$B$296="Новый сезон",TRUE,TRUE),O76*CapacityAge24*'01_Вводные'!$F$199,0)</f>
        <v/>
      </c>
      <c r="P188" s="191">
        <f>IF(IF('01_Вводные'!$B$296="Новый сезон",TRUE,TRUE),P76*CapacityAge24*'01_Вводные'!$F$199,0)</f>
        <v/>
      </c>
      <c r="Q188" s="191">
        <f>IF(IF('01_Вводные'!$B$296="Новый сезон",TRUE,TRUE),Q76*CapacityAge24*'01_Вводные'!$F$199,0)</f>
        <v/>
      </c>
      <c r="R188" s="191">
        <f>IF(IF('01_Вводные'!$B$296="Новый сезон",TRUE,TRUE),R76*CapacityAge24*'01_Вводные'!$F$199,0)</f>
        <v/>
      </c>
      <c r="S188" s="191">
        <f>IF(IF('01_Вводные'!$B$296="Новый сезон",TRUE,TRUE),S76*CapacityAge24*'01_Вводные'!$F$199,0)</f>
        <v/>
      </c>
      <c r="T188" s="191">
        <f>IF(IF('01_Вводные'!$B$296="Новый сезон",TRUE,TRUE),T76*CapacityAge24*'01_Вводные'!$F$199,0)</f>
        <v/>
      </c>
      <c r="U188" s="191">
        <f>IF(IF('01_Вводные'!$B$296="Новый сезон",TRUE,TRUE),U76*CapacityAge24*'01_Вводные'!$F$199,0)</f>
        <v/>
      </c>
      <c r="V188" s="191">
        <f>IF(IF('01_Вводные'!$B$296="Новый сезон",TRUE,TRUE),V76*CapacityAge24*'01_Вводные'!$F$199,0)</f>
        <v/>
      </c>
      <c r="W188" s="191">
        <f>IF(IF('01_Вводные'!$B$296="Новый сезон",TRUE,TRUE),W76*CapacityAge24*'01_Вводные'!$F$199,0)</f>
        <v/>
      </c>
      <c r="X188" s="191">
        <f>IF(IF('01_Вводные'!$B$296="Новый сезон",TRUE,TRUE),X76*CapacityAge24*'01_Вводные'!$F$199,0)</f>
        <v/>
      </c>
      <c r="Y188" s="191">
        <f>IF(IF('01_Вводные'!$B$296="Новый сезон",TRUE,TRUE),Y76*CapacityAge24*'01_Вводные'!$F$199,0)</f>
        <v/>
      </c>
      <c r="Z188" s="191">
        <f>IF(IF('01_Вводные'!$B$296="Новый сезон",TRUE,TRUE),Z76*CapacityAge24*'01_Вводные'!$F$199,0)</f>
        <v/>
      </c>
      <c r="AA188" s="191">
        <f>IF(IF('01_Вводные'!$B$296="Новый сезон",TRUE,TRUE),AA76*CapacityAge24*'01_Вводные'!$F$199,0)</f>
        <v/>
      </c>
      <c r="AB188" s="191">
        <f>IF(IF('01_Вводные'!$B$296="Новый сезон",TRUE,TRUE),AB76*CapacityAge24*'01_Вводные'!$F$199,0)</f>
        <v/>
      </c>
      <c r="AC188" s="191">
        <f>IF(IF('01_Вводные'!$B$296="Новый сезон",TRUE,TRUE),AC76*CapacityAge24*'01_Вводные'!$F$199,0)</f>
        <v/>
      </c>
      <c r="AD188" s="191">
        <f>IF(IF('01_Вводные'!$B$296="Новый сезон",TRUE,TRUE),AD76*CapacityAge24*'01_Вводные'!$F$199,0)</f>
        <v/>
      </c>
      <c r="AE188" s="191">
        <f>IF(IF('01_Вводные'!$B$296="Новый сезон",TRUE,TRUE),AE76*CapacityAge24*'01_Вводные'!$F$199,0)</f>
        <v/>
      </c>
      <c r="AF188" s="191">
        <f>IF(IF('01_Вводные'!$B$296="Новый сезон",TRUE,TRUE),AF76*CapacityAge24*'01_Вводные'!$F$199,0)</f>
        <v/>
      </c>
      <c r="AG188" s="191">
        <f>IF(IF('01_Вводные'!$B$296="Новый сезон",TRUE,TRUE),AG76*CapacityAge24*'01_Вводные'!$F$199,0)</f>
        <v/>
      </c>
      <c r="AH188" s="191">
        <f>IF(IF('01_Вводные'!$B$296="Новый сезон",TRUE,TRUE),AH76*CapacityAge24*'01_Вводные'!$F$199,0)</f>
        <v/>
      </c>
      <c r="AI188" s="191">
        <f>IF(IF('01_Вводные'!$B$296="Новый сезон",TRUE,TRUE),AI76*CapacityAge24*'01_Вводные'!$F$199,0)</f>
        <v/>
      </c>
      <c r="AJ188" s="191">
        <f>IF(IF('01_Вводные'!$B$296="Новый сезон",TRUE,TRUE),AJ76*CapacityAge24*'01_Вводные'!$F$199,0)</f>
        <v/>
      </c>
      <c r="AK188" s="191">
        <f>IF(IF('01_Вводные'!$B$296="Новый сезон",TRUE,TRUE),AK76*CapacityAge24*'01_Вводные'!$F$199,0)</f>
        <v/>
      </c>
      <c r="AL188" s="190">
        <f>IF(IF('01_Вводные'!$B$296="Новый сезон",TRUE,TRUE),AL76*CapacityAge24*'01_Вводные'!$F$199,0)</f>
        <v/>
      </c>
      <c r="AM188" s="190">
        <f>IF(IF('01_Вводные'!$B$296="Новый сезон",TRUE,TRUE),AM76*CapacityAge24*'01_Вводные'!$F$199,0)</f>
        <v/>
      </c>
      <c r="AN188" s="190">
        <f>IF(IF('01_Вводные'!$B$296="Новый сезон",TRUE,TRUE),AN76*CapacityAge24*'01_Вводные'!$F$199,0)</f>
        <v/>
      </c>
      <c r="AO188" s="190">
        <f>IF(IF('01_Вводные'!$B$296="Новый сезон",TRUE,TRUE),AO76*CapacityAge24*'01_Вводные'!$F$199,0)</f>
        <v/>
      </c>
      <c r="AP188" s="190">
        <f>IF(IF('01_Вводные'!$B$296="Новый сезон",TRUE,TRUE),AP76*CapacityAge24*'01_Вводные'!$F$199,0)</f>
        <v/>
      </c>
      <c r="AQ188" s="190">
        <f>IF(IF('01_Вводные'!$B$296="Новый сезон",TRUE,TRUE),AQ76*CapacityAge24*'01_Вводные'!$F$199,0)</f>
        <v/>
      </c>
      <c r="AR188" s="190">
        <f>IF(IF('01_Вводные'!$B$296="Новый сезон",TRUE,TRUE),AR76*CapacityAge24*'01_Вводные'!$F$199,0)</f>
        <v/>
      </c>
      <c r="AS188" s="190">
        <f>IF(IF('01_Вводные'!$B$296="Новый сезон",TRUE,TRUE),AS76*CapacityAge24*'01_Вводные'!$F$199,0)</f>
        <v/>
      </c>
      <c r="AT188" s="190">
        <f>IF(IF('01_Вводные'!$B$296="Новый сезон",TRUE,TRUE),AT76*CapacityAge24*'01_Вводные'!$F$199,0)</f>
        <v/>
      </c>
      <c r="AU188" s="190">
        <f>IF(IF('01_Вводные'!$B$296="Новый сезон",TRUE,TRUE),AU76*CapacityAge24*'01_Вводные'!$F$199,0)</f>
        <v/>
      </c>
      <c r="AV188" s="190">
        <f>IF(IF('01_Вводные'!$B$296="Новый сезон",TRUE,TRUE),AV76*CapacityAge24*'01_Вводные'!$F$199,0)</f>
        <v/>
      </c>
      <c r="AW188" s="190">
        <f>IF(IF('01_Вводные'!$B$296="Новый сезон",TRUE,TRUE),AW76*CapacityAge24*'01_Вводные'!$F$199,0)</f>
        <v/>
      </c>
      <c r="AX188" s="190">
        <f>IF(IF('01_Вводные'!$B$296="Новый сезон",TRUE,TRUE),AX76*CapacityAge24*'01_Вводные'!$F$199,0)</f>
        <v/>
      </c>
      <c r="AY188" s="190">
        <f>IF(IF('01_Вводные'!$B$296="Новый сезон",TRUE,TRUE),AY76*CapacityAge24*'01_Вводные'!$F$199,0)</f>
        <v/>
      </c>
      <c r="AZ188" s="190">
        <f>IF(IF('01_Вводные'!$B$296="Новый сезон",TRUE,TRUE),AZ76*CapacityAge24*'01_Вводные'!$F$199,0)</f>
        <v/>
      </c>
      <c r="BA188" s="190">
        <f>IF(IF('01_Вводные'!$B$296="Новый сезон",TRUE,TRUE),BA76*CapacityAge24*'01_Вводные'!$F$199,0)</f>
        <v/>
      </c>
      <c r="BB188" s="190">
        <f>IF(IF('01_Вводные'!$B$296="Новый сезон",TRUE,TRUE),BB76*CapacityAge24*'01_Вводные'!$F$199,0)</f>
        <v/>
      </c>
      <c r="BC188" s="190">
        <f>IF(IF('01_Вводные'!$B$296="Новый сезон",TRUE,TRUE),BC76*CapacityAge24*'01_Вводные'!$F$199,0)</f>
        <v/>
      </c>
      <c r="BD188" s="190">
        <f>IF(IF('01_Вводные'!$B$296="Новый сезон",TRUE,TRUE),BD76*CapacityAge24*'01_Вводные'!$F$199,0)</f>
        <v/>
      </c>
      <c r="BE188" s="190">
        <f>IF(IF('01_Вводные'!$B$296="Новый сезон",TRUE,TRUE),BE76*CapacityAge24*'01_Вводные'!$F$199,0)</f>
        <v/>
      </c>
      <c r="BF188" s="190">
        <f>IF(IF('01_Вводные'!$B$296="Новый сезон",TRUE,TRUE),BF76*CapacityAge24*'01_Вводные'!$F$199,0)</f>
        <v/>
      </c>
      <c r="BG188" s="190">
        <f>IF(IF('01_Вводные'!$B$296="Новый сезон",TRUE,TRUE),BG76*CapacityAge24*'01_Вводные'!$F$199,0)</f>
        <v/>
      </c>
      <c r="BH188" s="190">
        <f>IF(IF('01_Вводные'!$B$296="Новый сезон",TRUE,TRUE),BH76*CapacityAge24*'01_Вводные'!$F$199,0)</f>
        <v/>
      </c>
      <c r="BI188" s="190">
        <f>IF(IF('01_Вводные'!$B$296="Новый сезон",TRUE,TRUE),BI76*CapacityAge24*'01_Вводные'!$F$199,0)</f>
        <v/>
      </c>
      <c r="BJ188" s="190">
        <f>IF(IF('01_Вводные'!$B$296="Новый сезон",TRUE,TRUE),BJ76*CapacityAge24*'01_Вводные'!$F$199,0)</f>
        <v/>
      </c>
      <c r="BK188" s="190">
        <f>IF(IF('01_Вводные'!$B$296="Новый сезон",TRUE,TRUE),BK76*CapacityAge24*'01_Вводные'!$F$199,0)</f>
        <v/>
      </c>
      <c r="BL188" s="190">
        <f>IF(IF('01_Вводные'!$B$296="Новый сезон",TRUE,TRUE),BL76*CapacityAge24*'01_Вводные'!$F$199,0)</f>
        <v/>
      </c>
      <c r="BM188" s="190">
        <f>IF(IF('01_Вводные'!$B$296="Новый сезон",TRUE,TRUE),BM76*CapacityAge24*'01_Вводные'!$F$199,0)</f>
        <v/>
      </c>
      <c r="BN188" s="190">
        <f>IF(IF('01_Вводные'!$B$296="Новый сезон",TRUE,TRUE),BN76*CapacityAge24*'01_Вводные'!$F$199,0)</f>
        <v/>
      </c>
      <c r="BO188" s="190">
        <f>IF(IF('01_Вводные'!$B$296="Новый сезон",TRUE,TRUE),BO76*CapacityAge24*'01_Вводные'!$F$199,0)</f>
        <v/>
      </c>
    </row>
    <row r="189" hidden="1" outlineLevel="1">
      <c r="A189" t="inlineStr">
        <is>
          <t>25+ мес.</t>
        </is>
      </c>
      <c r="B189" s="191">
        <f>IF(IF('01_Вводные'!$B$296="Новый сезон",TRUE,TRUE),B77*CapacityAge25*'01_Вводные'!$F$199,0)</f>
        <v/>
      </c>
      <c r="C189" s="191">
        <f>IF(IF('01_Вводные'!$B$296="Новый сезон",TRUE,TRUE),C77*CapacityAge25*'01_Вводные'!$F$199,0)</f>
        <v/>
      </c>
      <c r="D189" s="191">
        <f>IF(IF('01_Вводные'!$B$296="Новый сезон",TRUE,TRUE),D77*CapacityAge25*'01_Вводные'!$F$199,0)</f>
        <v/>
      </c>
      <c r="E189" s="191">
        <f>IF(IF('01_Вводные'!$B$296="Новый сезон",TRUE,TRUE),E77*CapacityAge25*'01_Вводные'!$F$199,0)</f>
        <v/>
      </c>
      <c r="F189" s="191">
        <f>IF(IF('01_Вводные'!$B$296="Новый сезон",TRUE,TRUE),F77*CapacityAge25*'01_Вводные'!$F$199,0)</f>
        <v/>
      </c>
      <c r="G189" s="191">
        <f>IF(IF('01_Вводные'!$B$296="Новый сезон",TRUE,TRUE),G77*CapacityAge25*'01_Вводные'!$F$199,0)</f>
        <v/>
      </c>
      <c r="H189" s="191">
        <f>IF(IF('01_Вводные'!$B$296="Новый сезон",TRUE,TRUE),H77*CapacityAge25*'01_Вводные'!$F$199,0)</f>
        <v/>
      </c>
      <c r="I189" s="191">
        <f>IF(IF('01_Вводные'!$B$296="Новый сезон",TRUE,TRUE),I77*CapacityAge25*'01_Вводные'!$F$199,0)</f>
        <v/>
      </c>
      <c r="J189" s="191">
        <f>IF(IF('01_Вводные'!$B$296="Новый сезон",TRUE,TRUE),J77*CapacityAge25*'01_Вводные'!$F$199,0)</f>
        <v/>
      </c>
      <c r="K189" s="191">
        <f>IF(IF('01_Вводные'!$B$296="Новый сезон",TRUE,TRUE),K77*CapacityAge25*'01_Вводные'!$F$199,0)</f>
        <v/>
      </c>
      <c r="L189" s="191">
        <f>IF(IF('01_Вводные'!$B$296="Новый сезон",TRUE,TRUE),L77*CapacityAge25*'01_Вводные'!$F$199,0)</f>
        <v/>
      </c>
      <c r="M189" s="191">
        <f>IF(IF('01_Вводные'!$B$296="Новый сезон",TRUE,TRUE),M77*CapacityAge25*'01_Вводные'!$F$199,0)</f>
        <v/>
      </c>
      <c r="N189" s="191">
        <f>IF(IF('01_Вводные'!$B$296="Новый сезон",TRUE,TRUE),N77*CapacityAge25*'01_Вводные'!$F$199,0)</f>
        <v/>
      </c>
      <c r="O189" s="191">
        <f>IF(IF('01_Вводные'!$B$296="Новый сезон",TRUE,TRUE),O77*CapacityAge25*'01_Вводные'!$F$199,0)</f>
        <v/>
      </c>
      <c r="P189" s="191">
        <f>IF(IF('01_Вводные'!$B$296="Новый сезон",TRUE,TRUE),P77*CapacityAge25*'01_Вводные'!$F$199,0)</f>
        <v/>
      </c>
      <c r="Q189" s="191">
        <f>IF(IF('01_Вводные'!$B$296="Новый сезон",TRUE,TRUE),Q77*CapacityAge25*'01_Вводные'!$F$199,0)</f>
        <v/>
      </c>
      <c r="R189" s="191">
        <f>IF(IF('01_Вводные'!$B$296="Новый сезон",TRUE,TRUE),R77*CapacityAge25*'01_Вводные'!$F$199,0)</f>
        <v/>
      </c>
      <c r="S189" s="191">
        <f>IF(IF('01_Вводные'!$B$296="Новый сезон",TRUE,TRUE),S77*CapacityAge25*'01_Вводные'!$F$199,0)</f>
        <v/>
      </c>
      <c r="T189" s="191">
        <f>IF(IF('01_Вводные'!$B$296="Новый сезон",TRUE,TRUE),T77*CapacityAge25*'01_Вводные'!$F$199,0)</f>
        <v/>
      </c>
      <c r="U189" s="191">
        <f>IF(IF('01_Вводные'!$B$296="Новый сезон",TRUE,TRUE),U77*CapacityAge25*'01_Вводные'!$F$199,0)</f>
        <v/>
      </c>
      <c r="V189" s="191">
        <f>IF(IF('01_Вводные'!$B$296="Новый сезон",TRUE,TRUE),V77*CapacityAge25*'01_Вводные'!$F$199,0)</f>
        <v/>
      </c>
      <c r="W189" s="191">
        <f>IF(IF('01_Вводные'!$B$296="Новый сезон",TRUE,TRUE),W77*CapacityAge25*'01_Вводные'!$F$199,0)</f>
        <v/>
      </c>
      <c r="X189" s="191">
        <f>IF(IF('01_Вводные'!$B$296="Новый сезон",TRUE,TRUE),X77*CapacityAge25*'01_Вводные'!$F$199,0)</f>
        <v/>
      </c>
      <c r="Y189" s="191">
        <f>IF(IF('01_Вводные'!$B$296="Новый сезон",TRUE,TRUE),Y77*CapacityAge25*'01_Вводные'!$F$199,0)</f>
        <v/>
      </c>
      <c r="Z189" s="191">
        <f>IF(IF('01_Вводные'!$B$296="Новый сезон",TRUE,TRUE),Z77*CapacityAge25*'01_Вводные'!$F$199,0)</f>
        <v/>
      </c>
      <c r="AA189" s="191">
        <f>IF(IF('01_Вводные'!$B$296="Новый сезон",TRUE,TRUE),AA77*CapacityAge25*'01_Вводные'!$F$199,0)</f>
        <v/>
      </c>
      <c r="AB189" s="191">
        <f>IF(IF('01_Вводные'!$B$296="Новый сезон",TRUE,TRUE),AB77*CapacityAge25*'01_Вводные'!$F$199,0)</f>
        <v/>
      </c>
      <c r="AC189" s="191">
        <f>IF(IF('01_Вводные'!$B$296="Новый сезон",TRUE,TRUE),AC77*CapacityAge25*'01_Вводные'!$F$199,0)</f>
        <v/>
      </c>
      <c r="AD189" s="191">
        <f>IF(IF('01_Вводные'!$B$296="Новый сезон",TRUE,TRUE),AD77*CapacityAge25*'01_Вводные'!$F$199,0)</f>
        <v/>
      </c>
      <c r="AE189" s="191">
        <f>IF(IF('01_Вводные'!$B$296="Новый сезон",TRUE,TRUE),AE77*CapacityAge25*'01_Вводные'!$F$199,0)</f>
        <v/>
      </c>
      <c r="AF189" s="191">
        <f>IF(IF('01_Вводные'!$B$296="Новый сезон",TRUE,TRUE),AF77*CapacityAge25*'01_Вводные'!$F$199,0)</f>
        <v/>
      </c>
      <c r="AG189" s="191">
        <f>IF(IF('01_Вводные'!$B$296="Новый сезон",TRUE,TRUE),AG77*CapacityAge25*'01_Вводные'!$F$199,0)</f>
        <v/>
      </c>
      <c r="AH189" s="191">
        <f>IF(IF('01_Вводные'!$B$296="Новый сезон",TRUE,TRUE),AH77*CapacityAge25*'01_Вводные'!$F$199,0)</f>
        <v/>
      </c>
      <c r="AI189" s="191">
        <f>IF(IF('01_Вводные'!$B$296="Новый сезон",TRUE,TRUE),AI77*CapacityAge25*'01_Вводные'!$F$199,0)</f>
        <v/>
      </c>
      <c r="AJ189" s="191">
        <f>IF(IF('01_Вводные'!$B$296="Новый сезон",TRUE,TRUE),AJ77*CapacityAge25*'01_Вводные'!$F$199,0)</f>
        <v/>
      </c>
      <c r="AK189" s="191">
        <f>IF(IF('01_Вводные'!$B$296="Новый сезон",TRUE,TRUE),AK77*CapacityAge25*'01_Вводные'!$F$199,0)</f>
        <v/>
      </c>
      <c r="AL189" s="190">
        <f>IF(IF('01_Вводные'!$B$296="Новый сезон",TRUE,TRUE),AL77*CapacityAge25*'01_Вводные'!$F$199,0)</f>
        <v/>
      </c>
      <c r="AM189" s="190">
        <f>IF(IF('01_Вводные'!$B$296="Новый сезон",TRUE,TRUE),AM77*CapacityAge25*'01_Вводные'!$F$199,0)</f>
        <v/>
      </c>
      <c r="AN189" s="190">
        <f>IF(IF('01_Вводные'!$B$296="Новый сезон",TRUE,TRUE),AN77*CapacityAge25*'01_Вводные'!$F$199,0)</f>
        <v/>
      </c>
      <c r="AO189" s="190">
        <f>IF(IF('01_Вводные'!$B$296="Новый сезон",TRUE,TRUE),AO77*CapacityAge25*'01_Вводные'!$F$199,0)</f>
        <v/>
      </c>
      <c r="AP189" s="190">
        <f>IF(IF('01_Вводные'!$B$296="Новый сезон",TRUE,TRUE),AP77*CapacityAge25*'01_Вводные'!$F$199,0)</f>
        <v/>
      </c>
      <c r="AQ189" s="190">
        <f>IF(IF('01_Вводные'!$B$296="Новый сезон",TRUE,TRUE),AQ77*CapacityAge25*'01_Вводные'!$F$199,0)</f>
        <v/>
      </c>
      <c r="AR189" s="190">
        <f>IF(IF('01_Вводные'!$B$296="Новый сезон",TRUE,TRUE),AR77*CapacityAge25*'01_Вводные'!$F$199,0)</f>
        <v/>
      </c>
      <c r="AS189" s="190">
        <f>IF(IF('01_Вводные'!$B$296="Новый сезон",TRUE,TRUE),AS77*CapacityAge25*'01_Вводные'!$F$199,0)</f>
        <v/>
      </c>
      <c r="AT189" s="190">
        <f>IF(IF('01_Вводные'!$B$296="Новый сезон",TRUE,TRUE),AT77*CapacityAge25*'01_Вводные'!$F$199,0)</f>
        <v/>
      </c>
      <c r="AU189" s="190">
        <f>IF(IF('01_Вводные'!$B$296="Новый сезон",TRUE,TRUE),AU77*CapacityAge25*'01_Вводные'!$F$199,0)</f>
        <v/>
      </c>
      <c r="AV189" s="190">
        <f>IF(IF('01_Вводные'!$B$296="Новый сезон",TRUE,TRUE),AV77*CapacityAge25*'01_Вводные'!$F$199,0)</f>
        <v/>
      </c>
      <c r="AW189" s="190">
        <f>IF(IF('01_Вводные'!$B$296="Новый сезон",TRUE,TRUE),AW77*CapacityAge25*'01_Вводные'!$F$199,0)</f>
        <v/>
      </c>
      <c r="AX189" s="190">
        <f>IF(IF('01_Вводные'!$B$296="Новый сезон",TRUE,TRUE),AX77*CapacityAge25*'01_Вводные'!$F$199,0)</f>
        <v/>
      </c>
      <c r="AY189" s="190">
        <f>IF(IF('01_Вводные'!$B$296="Новый сезон",TRUE,TRUE),AY77*CapacityAge25*'01_Вводные'!$F$199,0)</f>
        <v/>
      </c>
      <c r="AZ189" s="190">
        <f>IF(IF('01_Вводные'!$B$296="Новый сезон",TRUE,TRUE),AZ77*CapacityAge25*'01_Вводные'!$F$199,0)</f>
        <v/>
      </c>
      <c r="BA189" s="190">
        <f>IF(IF('01_Вводные'!$B$296="Новый сезон",TRUE,TRUE),BA77*CapacityAge25*'01_Вводные'!$F$199,0)</f>
        <v/>
      </c>
      <c r="BB189" s="190">
        <f>IF(IF('01_Вводные'!$B$296="Новый сезон",TRUE,TRUE),BB77*CapacityAge25*'01_Вводные'!$F$199,0)</f>
        <v/>
      </c>
      <c r="BC189" s="190">
        <f>IF(IF('01_Вводные'!$B$296="Новый сезон",TRUE,TRUE),BC77*CapacityAge25*'01_Вводные'!$F$199,0)</f>
        <v/>
      </c>
      <c r="BD189" s="190">
        <f>IF(IF('01_Вводные'!$B$296="Новый сезон",TRUE,TRUE),BD77*CapacityAge25*'01_Вводные'!$F$199,0)</f>
        <v/>
      </c>
      <c r="BE189" s="190">
        <f>IF(IF('01_Вводные'!$B$296="Новый сезон",TRUE,TRUE),BE77*CapacityAge25*'01_Вводные'!$F$199,0)</f>
        <v/>
      </c>
      <c r="BF189" s="190">
        <f>IF(IF('01_Вводные'!$B$296="Новый сезон",TRUE,TRUE),BF77*CapacityAge25*'01_Вводные'!$F$199,0)</f>
        <v/>
      </c>
      <c r="BG189" s="190">
        <f>IF(IF('01_Вводные'!$B$296="Новый сезон",TRUE,TRUE),BG77*CapacityAge25*'01_Вводные'!$F$199,0)</f>
        <v/>
      </c>
      <c r="BH189" s="190">
        <f>IF(IF('01_Вводные'!$B$296="Новый сезон",TRUE,TRUE),BH77*CapacityAge25*'01_Вводные'!$F$199,0)</f>
        <v/>
      </c>
      <c r="BI189" s="190">
        <f>IF(IF('01_Вводные'!$B$296="Новый сезон",TRUE,TRUE),BI77*CapacityAge25*'01_Вводные'!$F$199,0)</f>
        <v/>
      </c>
      <c r="BJ189" s="190">
        <f>IF(IF('01_Вводные'!$B$296="Новый сезон",TRUE,TRUE),BJ77*CapacityAge25*'01_Вводные'!$F$199,0)</f>
        <v/>
      </c>
      <c r="BK189" s="190">
        <f>IF(IF('01_Вводные'!$B$296="Новый сезон",TRUE,TRUE),BK77*CapacityAge25*'01_Вводные'!$F$199,0)</f>
        <v/>
      </c>
      <c r="BL189" s="190">
        <f>IF(IF('01_Вводные'!$B$296="Новый сезон",TRUE,TRUE),BL77*CapacityAge25*'01_Вводные'!$F$199,0)</f>
        <v/>
      </c>
      <c r="BM189" s="190">
        <f>IF(IF('01_Вводные'!$B$296="Новый сезон",TRUE,TRUE),BM77*CapacityAge25*'01_Вводные'!$F$199,0)</f>
        <v/>
      </c>
      <c r="BN189" s="190">
        <f>IF(IF('01_Вводные'!$B$296="Новый сезон",TRUE,TRUE),BN77*CapacityAge25*'01_Вводные'!$F$199,0)</f>
        <v/>
      </c>
      <c r="BO189" s="190">
        <f>IF(IF('01_Вводные'!$B$296="Новый сезон",TRUE,TRUE),BO77*CapacityAge25*'01_Вводные'!$F$199,0)</f>
        <v/>
      </c>
    </row>
    <row r="190" hidden="1" outlineLevel="1">
      <c r="B190" s="128" t="n"/>
      <c r="C190" s="128" t="n"/>
      <c r="D190" s="128" t="n"/>
      <c r="E190" s="128" t="n"/>
      <c r="F190" s="128" t="n"/>
      <c r="G190" s="128" t="n"/>
      <c r="H190" s="128" t="n"/>
      <c r="I190" s="128" t="n"/>
      <c r="J190" s="128" t="n"/>
      <c r="K190" s="128" t="n"/>
      <c r="L190" s="128" t="n"/>
      <c r="M190" s="128" t="n"/>
      <c r="N190" s="128" t="n"/>
      <c r="O190" s="128" t="n"/>
      <c r="P190" s="128" t="n"/>
      <c r="Q190" s="128" t="n"/>
      <c r="R190" s="128" t="n"/>
      <c r="S190" s="128" t="n"/>
      <c r="T190" s="128" t="n"/>
      <c r="U190" s="128" t="n"/>
      <c r="V190" s="128" t="n"/>
      <c r="W190" s="128" t="n"/>
      <c r="X190" s="128" t="n"/>
      <c r="Y190" s="128" t="n"/>
      <c r="Z190" s="128" t="n"/>
      <c r="AA190" s="128" t="n"/>
      <c r="AB190" s="128" t="n"/>
      <c r="AC190" s="128" t="n"/>
      <c r="AD190" s="128" t="n"/>
      <c r="AE190" s="128" t="n"/>
      <c r="AF190" s="128" t="n"/>
      <c r="AG190" s="128" t="n"/>
      <c r="AH190" s="128" t="n"/>
      <c r="AI190" s="128" t="n"/>
      <c r="AJ190" s="128" t="n"/>
      <c r="AK190" s="128" t="n"/>
    </row>
    <row r="191" hidden="1" outlineLevel="1">
      <c r="A191" t="inlineStr">
        <is>
          <t>Дети для повторной формы, без сезонности</t>
        </is>
      </c>
      <c r="B191" s="188">
        <f>SUM(B165:B189)</f>
        <v/>
      </c>
      <c r="C191" s="188">
        <f>SUM(C165:C189)</f>
        <v/>
      </c>
      <c r="D191" s="188">
        <f>SUM(D165:D189)</f>
        <v/>
      </c>
      <c r="E191" s="188">
        <f>SUM(E165:E189)</f>
        <v/>
      </c>
      <c r="F191" s="188">
        <f>SUM(F165:F189)</f>
        <v/>
      </c>
      <c r="G191" s="188">
        <f>SUM(G165:G189)</f>
        <v/>
      </c>
      <c r="H191" s="188">
        <f>SUM(H165:H189)</f>
        <v/>
      </c>
      <c r="I191" s="188">
        <f>SUM(I165:I189)</f>
        <v/>
      </c>
      <c r="J191" s="188">
        <f>SUM(J165:J189)</f>
        <v/>
      </c>
      <c r="K191" s="188">
        <f>SUM(K165:K189)</f>
        <v/>
      </c>
      <c r="L191" s="188">
        <f>SUM(L165:L189)</f>
        <v/>
      </c>
      <c r="M191" s="188">
        <f>SUM(M165:M189)</f>
        <v/>
      </c>
      <c r="N191" s="188">
        <f>SUM(N165:N189)</f>
        <v/>
      </c>
      <c r="O191" s="188">
        <f>SUM(O165:O189)</f>
        <v/>
      </c>
      <c r="P191" s="188">
        <f>SUM(P165:P189)</f>
        <v/>
      </c>
      <c r="Q191" s="188">
        <f>SUM(Q165:Q189)</f>
        <v/>
      </c>
      <c r="R191" s="188">
        <f>SUM(R165:R189)</f>
        <v/>
      </c>
      <c r="S191" s="188">
        <f>SUM(S165:S189)</f>
        <v/>
      </c>
      <c r="T191" s="188">
        <f>SUM(T165:T189)</f>
        <v/>
      </c>
      <c r="U191" s="188">
        <f>SUM(U165:U189)</f>
        <v/>
      </c>
      <c r="V191" s="188">
        <f>SUM(V165:V189)</f>
        <v/>
      </c>
      <c r="W191" s="188">
        <f>SUM(W165:W189)</f>
        <v/>
      </c>
      <c r="X191" s="188">
        <f>SUM(X165:X189)</f>
        <v/>
      </c>
      <c r="Y191" s="188">
        <f>SUM(Y165:Y189)</f>
        <v/>
      </c>
      <c r="Z191" s="188">
        <f>SUM(Z165:Z189)</f>
        <v/>
      </c>
      <c r="AA191" s="188">
        <f>SUM(AA165:AA189)</f>
        <v/>
      </c>
      <c r="AB191" s="188">
        <f>SUM(AB165:AB189)</f>
        <v/>
      </c>
      <c r="AC191" s="188">
        <f>SUM(AC165:AC189)</f>
        <v/>
      </c>
      <c r="AD191" s="188">
        <f>SUM(AD165:AD189)</f>
        <v/>
      </c>
      <c r="AE191" s="188">
        <f>SUM(AE165:AE189)</f>
        <v/>
      </c>
      <c r="AF191" s="188">
        <f>SUM(AF165:AF189)</f>
        <v/>
      </c>
      <c r="AG191" s="188">
        <f>SUM(AG165:AG189)</f>
        <v/>
      </c>
      <c r="AH191" s="188">
        <f>SUM(AH165:AH189)</f>
        <v/>
      </c>
      <c r="AI191" s="188">
        <f>SUM(AI165:AI189)</f>
        <v/>
      </c>
      <c r="AJ191" s="188">
        <f>SUM(AJ165:AJ189)</f>
        <v/>
      </c>
      <c r="AK191" s="188">
        <f>SUM(AK165:AK189)</f>
        <v/>
      </c>
      <c r="AL191" s="189">
        <f>SUM(AL165:AL189)</f>
        <v/>
      </c>
      <c r="AM191" s="189">
        <f>SUM(AM165:AM189)</f>
        <v/>
      </c>
      <c r="AN191" s="189">
        <f>SUM(AN165:AN189)</f>
        <v/>
      </c>
      <c r="AO191" s="189">
        <f>SUM(AO165:AO189)</f>
        <v/>
      </c>
      <c r="AP191" s="189">
        <f>SUM(AP165:AP189)</f>
        <v/>
      </c>
      <c r="AQ191" s="189">
        <f>SUM(AQ165:AQ189)</f>
        <v/>
      </c>
      <c r="AR191" s="189">
        <f>SUM(AR165:AR189)</f>
        <v/>
      </c>
      <c r="AS191" s="189">
        <f>SUM(AS165:AS189)</f>
        <v/>
      </c>
      <c r="AT191" s="189">
        <f>SUM(AT165:AT189)</f>
        <v/>
      </c>
      <c r="AU191" s="189">
        <f>SUM(AU165:AU189)</f>
        <v/>
      </c>
      <c r="AV191" s="189">
        <f>SUM(AV165:AV189)</f>
        <v/>
      </c>
      <c r="AW191" s="189">
        <f>SUM(AW165:AW189)</f>
        <v/>
      </c>
      <c r="AX191" s="189">
        <f>SUM(AX165:AX189)</f>
        <v/>
      </c>
      <c r="AY191" s="189">
        <f>SUM(AY165:AY189)</f>
        <v/>
      </c>
      <c r="AZ191" s="189">
        <f>SUM(AZ165:AZ189)</f>
        <v/>
      </c>
      <c r="BA191" s="189">
        <f>SUM(BA165:BA189)</f>
        <v/>
      </c>
      <c r="BB191" s="189">
        <f>SUM(BB165:BB189)</f>
        <v/>
      </c>
      <c r="BC191" s="189">
        <f>SUM(BC165:BC189)</f>
        <v/>
      </c>
      <c r="BD191" s="189">
        <f>SUM(BD165:BD189)</f>
        <v/>
      </c>
      <c r="BE191" s="189">
        <f>SUM(BE165:BE189)</f>
        <v/>
      </c>
      <c r="BF191" s="189">
        <f>SUM(BF165:BF189)</f>
        <v/>
      </c>
      <c r="BG191" s="189">
        <f>SUM(BG165:BG189)</f>
        <v/>
      </c>
      <c r="BH191" s="189">
        <f>SUM(BH165:BH189)</f>
        <v/>
      </c>
      <c r="BI191" s="189">
        <f>SUM(BI165:BI189)</f>
        <v/>
      </c>
      <c r="BJ191" s="189">
        <f>SUM(BJ165:BJ189)</f>
        <v/>
      </c>
      <c r="BK191" s="189">
        <f>SUM(BK165:BK189)</f>
        <v/>
      </c>
      <c r="BL191" s="189">
        <f>SUM(BL165:BL189)</f>
        <v/>
      </c>
      <c r="BM191" s="189">
        <f>SUM(BM165:BM189)</f>
        <v/>
      </c>
      <c r="BN191" s="189">
        <f>SUM(BN165:BN189)</f>
        <v/>
      </c>
      <c r="BO191" s="189">
        <f>SUM(BO165:BO189)</f>
        <v/>
      </c>
    </row>
    <row r="192" hidden="1" outlineLevel="1">
      <c r="B192" s="128" t="n"/>
      <c r="C192" s="128" t="n"/>
      <c r="D192" s="128" t="n"/>
      <c r="E192" s="128" t="n"/>
      <c r="F192" s="128" t="n"/>
      <c r="G192" s="128" t="n"/>
      <c r="H192" s="128" t="n"/>
      <c r="I192" s="128" t="n"/>
      <c r="J192" s="128" t="n"/>
      <c r="K192" s="128" t="n"/>
      <c r="L192" s="128" t="n"/>
      <c r="M192" s="128" t="n"/>
      <c r="N192" s="128" t="n"/>
      <c r="O192" s="128" t="n"/>
      <c r="P192" s="128" t="n"/>
      <c r="Q192" s="128" t="n"/>
      <c r="R192" s="128" t="n"/>
      <c r="S192" s="128" t="n"/>
      <c r="T192" s="128" t="n"/>
      <c r="U192" s="128" t="n"/>
      <c r="V192" s="128" t="n"/>
      <c r="W192" s="128" t="n"/>
      <c r="X192" s="128" t="n"/>
      <c r="Y192" s="128" t="n"/>
      <c r="Z192" s="128" t="n"/>
      <c r="AA192" s="128" t="n"/>
      <c r="AB192" s="128" t="n"/>
      <c r="AC192" s="128" t="n"/>
      <c r="AD192" s="128" t="n"/>
      <c r="AE192" s="128" t="n"/>
      <c r="AF192" s="128" t="n"/>
      <c r="AG192" s="128" t="n"/>
      <c r="AH192" s="128" t="n"/>
      <c r="AI192" s="128" t="n"/>
      <c r="AJ192" s="128" t="n"/>
      <c r="AK192" s="128" t="n"/>
    </row>
    <row r="193" hidden="1" outlineLevel="1">
      <c r="B193" s="128" t="n"/>
      <c r="C193" s="128" t="n"/>
      <c r="D193" s="128" t="n"/>
      <c r="E193" s="128" t="n"/>
      <c r="F193" s="128" t="n"/>
      <c r="G193" s="128" t="n"/>
      <c r="H193" s="128" t="n"/>
      <c r="I193" s="128" t="n"/>
      <c r="J193" s="128" t="n"/>
      <c r="K193" s="128" t="n"/>
      <c r="L193" s="128" t="n"/>
      <c r="M193" s="128" t="n"/>
      <c r="N193" s="128" t="n"/>
      <c r="O193" s="128" t="n"/>
      <c r="P193" s="128" t="n"/>
      <c r="Q193" s="128" t="n"/>
      <c r="R193" s="128" t="n"/>
      <c r="S193" s="128" t="n"/>
      <c r="T193" s="128" t="n"/>
      <c r="U193" s="128" t="n"/>
      <c r="V193" s="128" t="n"/>
      <c r="W193" s="128" t="n"/>
      <c r="X193" s="128" t="n"/>
      <c r="Y193" s="128" t="n"/>
      <c r="Z193" s="128" t="n"/>
      <c r="AA193" s="128" t="n"/>
      <c r="AB193" s="128" t="n"/>
      <c r="AC193" s="128" t="n"/>
      <c r="AD193" s="128" t="n"/>
      <c r="AE193" s="128" t="n"/>
      <c r="AF193" s="128" t="n"/>
      <c r="AG193" s="128" t="n"/>
      <c r="AH193" s="128" t="n"/>
      <c r="AI193" s="128" t="n"/>
      <c r="AJ193" s="128" t="n"/>
      <c r="AK193" s="128" t="n"/>
    </row>
    <row r="194" hidden="1" outlineLevel="1">
      <c r="B194" s="128" t="n"/>
      <c r="C194" s="128" t="n"/>
      <c r="D194" s="128" t="n"/>
      <c r="E194" s="128" t="n"/>
      <c r="F194" s="128" t="n"/>
      <c r="G194" s="128" t="n"/>
      <c r="H194" s="128" t="n"/>
      <c r="I194" s="128" t="n"/>
      <c r="J194" s="128" t="n"/>
      <c r="K194" s="128" t="n"/>
      <c r="L194" s="128" t="n"/>
      <c r="M194" s="128" t="n"/>
      <c r="N194" s="128" t="n"/>
      <c r="O194" s="128" t="n"/>
      <c r="P194" s="128" t="n"/>
      <c r="Q194" s="128" t="n"/>
      <c r="R194" s="128" t="n"/>
      <c r="S194" s="128" t="n"/>
      <c r="T194" s="128" t="n"/>
      <c r="U194" s="128" t="n"/>
      <c r="V194" s="128" t="n"/>
      <c r="W194" s="128" t="n"/>
      <c r="X194" s="128" t="n"/>
      <c r="Y194" s="128" t="n"/>
      <c r="Z194" s="128" t="n"/>
      <c r="AA194" s="128" t="n"/>
      <c r="AB194" s="128" t="n"/>
      <c r="AC194" s="128" t="n"/>
      <c r="AD194" s="128" t="n"/>
      <c r="AE194" s="128" t="n"/>
      <c r="AF194" s="128" t="n"/>
      <c r="AG194" s="128" t="n"/>
      <c r="AH194" s="128" t="n"/>
      <c r="AI194" s="128" t="n"/>
      <c r="AJ194" s="128" t="n"/>
      <c r="AK194" s="128" t="n"/>
    </row>
    <row r="195" hidden="1" outlineLevel="1">
      <c r="B195" s="128" t="n"/>
      <c r="C195" s="128" t="n"/>
      <c r="D195" s="128" t="n"/>
      <c r="E195" s="128" t="n"/>
      <c r="F195" s="128" t="n"/>
      <c r="G195" s="128" t="n"/>
      <c r="H195" s="128" t="n"/>
      <c r="I195" s="128" t="n"/>
      <c r="J195" s="128" t="n"/>
      <c r="K195" s="128" t="n"/>
      <c r="L195" s="128" t="n"/>
      <c r="M195" s="128" t="n"/>
      <c r="N195" s="128" t="n"/>
      <c r="O195" s="128" t="n"/>
      <c r="P195" s="128" t="n"/>
      <c r="Q195" s="128" t="n"/>
      <c r="R195" s="128" t="n"/>
      <c r="S195" s="128" t="n"/>
      <c r="T195" s="128" t="n"/>
      <c r="U195" s="128" t="n"/>
      <c r="V195" s="128" t="n"/>
      <c r="W195" s="128" t="n"/>
      <c r="X195" s="128" t="n"/>
      <c r="Y195" s="128" t="n"/>
      <c r="Z195" s="128" t="n"/>
      <c r="AA195" s="128" t="n"/>
      <c r="AB195" s="128" t="n"/>
      <c r="AC195" s="128" t="n"/>
      <c r="AD195" s="128" t="n"/>
      <c r="AE195" s="128" t="n"/>
      <c r="AF195" s="128" t="n"/>
      <c r="AG195" s="128" t="n"/>
      <c r="AH195" s="128" t="n"/>
      <c r="AI195" s="128" t="n"/>
      <c r="AJ195" s="128" t="n"/>
      <c r="AK195" s="128" t="n"/>
    </row>
    <row r="196" hidden="1" outlineLevel="1">
      <c r="B196" s="128" t="n"/>
      <c r="C196" s="128" t="n"/>
      <c r="D196" s="128" t="n"/>
      <c r="E196" s="128" t="n"/>
      <c r="F196" s="128" t="n"/>
      <c r="G196" s="128" t="n"/>
      <c r="H196" s="128" t="n"/>
      <c r="I196" s="128" t="n"/>
      <c r="J196" s="128" t="n"/>
      <c r="K196" s="128" t="n"/>
      <c r="L196" s="128" t="n"/>
      <c r="M196" s="128" t="n"/>
      <c r="N196" s="128" t="n"/>
      <c r="O196" s="128" t="n"/>
      <c r="P196" s="128" t="n"/>
      <c r="Q196" s="128" t="n"/>
      <c r="R196" s="128" t="n"/>
      <c r="S196" s="128" t="n"/>
      <c r="T196" s="128" t="n"/>
      <c r="U196" s="128" t="n"/>
      <c r="V196" s="128" t="n"/>
      <c r="W196" s="128" t="n"/>
      <c r="X196" s="128" t="n"/>
      <c r="Y196" s="128" t="n"/>
      <c r="Z196" s="128" t="n"/>
      <c r="AA196" s="128" t="n"/>
      <c r="AB196" s="128" t="n"/>
      <c r="AC196" s="128" t="n"/>
      <c r="AD196" s="128" t="n"/>
      <c r="AE196" s="128" t="n"/>
      <c r="AF196" s="128" t="n"/>
      <c r="AG196" s="128" t="n"/>
      <c r="AH196" s="128" t="n"/>
      <c r="AI196" s="128" t="n"/>
      <c r="AJ196" s="128" t="n"/>
      <c r="AK196" s="128" t="n"/>
    </row>
    <row r="197" hidden="1" outlineLevel="1">
      <c r="B197" s="128" t="n"/>
      <c r="C197" s="128" t="n"/>
      <c r="D197" s="128" t="n"/>
      <c r="E197" s="128" t="n"/>
      <c r="F197" s="128" t="n"/>
      <c r="G197" s="128" t="n"/>
      <c r="H197" s="128" t="n"/>
      <c r="I197" s="128" t="n"/>
      <c r="J197" s="128" t="n"/>
      <c r="K197" s="128" t="n"/>
      <c r="L197" s="128" t="n"/>
      <c r="M197" s="128" t="n"/>
      <c r="N197" s="128" t="n"/>
      <c r="O197" s="128" t="n"/>
      <c r="P197" s="128" t="n"/>
      <c r="Q197" s="128" t="n"/>
      <c r="R197" s="128" t="n"/>
      <c r="S197" s="128" t="n"/>
      <c r="T197" s="128" t="n"/>
      <c r="U197" s="128" t="n"/>
      <c r="V197" s="128" t="n"/>
      <c r="W197" s="128" t="n"/>
      <c r="X197" s="128" t="n"/>
      <c r="Y197" s="128" t="n"/>
      <c r="Z197" s="128" t="n"/>
      <c r="AA197" s="128" t="n"/>
      <c r="AB197" s="128" t="n"/>
      <c r="AC197" s="128" t="n"/>
      <c r="AD197" s="128" t="n"/>
      <c r="AE197" s="128" t="n"/>
      <c r="AF197" s="128" t="n"/>
      <c r="AG197" s="128" t="n"/>
      <c r="AH197" s="128" t="n"/>
      <c r="AI197" s="128" t="n"/>
      <c r="AJ197" s="128" t="n"/>
      <c r="AK197" s="128" t="n"/>
    </row>
    <row r="198" hidden="1" outlineLevel="1">
      <c r="B198" s="128" t="n"/>
      <c r="C198" s="128" t="n"/>
      <c r="D198" s="128" t="n"/>
      <c r="E198" s="128" t="n"/>
      <c r="F198" s="128" t="n"/>
      <c r="G198" s="128" t="n"/>
      <c r="H198" s="128" t="n"/>
      <c r="I198" s="128" t="n"/>
      <c r="J198" s="128" t="n"/>
      <c r="K198" s="128" t="n"/>
      <c r="L198" s="128" t="n"/>
      <c r="M198" s="128" t="n"/>
      <c r="N198" s="128" t="n"/>
      <c r="O198" s="128" t="n"/>
      <c r="P198" s="128" t="n"/>
      <c r="Q198" s="128" t="n"/>
      <c r="R198" s="128" t="n"/>
      <c r="S198" s="128" t="n"/>
      <c r="T198" s="128" t="n"/>
      <c r="U198" s="128" t="n"/>
      <c r="V198" s="128" t="n"/>
      <c r="W198" s="128" t="n"/>
      <c r="X198" s="128" t="n"/>
      <c r="Y198" s="128" t="n"/>
      <c r="Z198" s="128" t="n"/>
      <c r="AA198" s="128" t="n"/>
      <c r="AB198" s="128" t="n"/>
      <c r="AC198" s="128" t="n"/>
      <c r="AD198" s="128" t="n"/>
      <c r="AE198" s="128" t="n"/>
      <c r="AF198" s="128" t="n"/>
      <c r="AG198" s="128" t="n"/>
      <c r="AH198" s="128" t="n"/>
      <c r="AI198" s="128" t="n"/>
      <c r="AJ198" s="128" t="n"/>
      <c r="AK198" s="128" t="n"/>
    </row>
    <row r="199" hidden="1" outlineLevel="1">
      <c r="B199" s="128" t="n"/>
      <c r="C199" s="128" t="n"/>
      <c r="D199" s="128" t="n"/>
      <c r="E199" s="128" t="n"/>
      <c r="F199" s="128" t="n"/>
      <c r="G199" s="128" t="n"/>
      <c r="H199" s="128" t="n"/>
      <c r="I199" s="128" t="n"/>
      <c r="J199" s="128" t="n"/>
      <c r="K199" s="128" t="n"/>
      <c r="L199" s="128" t="n"/>
      <c r="M199" s="128" t="n"/>
      <c r="N199" s="128" t="n"/>
      <c r="O199" s="128" t="n"/>
      <c r="P199" s="128" t="n"/>
      <c r="Q199" s="128" t="n"/>
      <c r="R199" s="128" t="n"/>
      <c r="S199" s="128" t="n"/>
      <c r="T199" s="128" t="n"/>
      <c r="U199" s="128" t="n"/>
      <c r="V199" s="128" t="n"/>
      <c r="W199" s="128" t="n"/>
      <c r="X199" s="128" t="n"/>
      <c r="Y199" s="128" t="n"/>
      <c r="Z199" s="128" t="n"/>
      <c r="AA199" s="128" t="n"/>
      <c r="AB199" s="128" t="n"/>
      <c r="AC199" s="128" t="n"/>
      <c r="AD199" s="128" t="n"/>
      <c r="AE199" s="128" t="n"/>
      <c r="AF199" s="128" t="n"/>
      <c r="AG199" s="128" t="n"/>
      <c r="AH199" s="128" t="n"/>
      <c r="AI199" s="128" t="n"/>
      <c r="AJ199" s="128" t="n"/>
      <c r="AK199" s="128" t="n"/>
    </row>
    <row r="200" hidden="1" outlineLevel="1">
      <c r="B200" s="128" t="n"/>
      <c r="C200" s="128" t="n"/>
      <c r="D200" s="128" t="n"/>
      <c r="E200" s="128" t="n"/>
      <c r="F200" s="128" t="n"/>
      <c r="G200" s="128" t="n"/>
      <c r="H200" s="128" t="n"/>
      <c r="I200" s="128" t="n"/>
      <c r="J200" s="128" t="n"/>
      <c r="K200" s="128" t="n"/>
      <c r="L200" s="128" t="n"/>
      <c r="M200" s="128" t="n"/>
      <c r="N200" s="128" t="n"/>
      <c r="O200" s="128" t="n"/>
      <c r="P200" s="128" t="n"/>
      <c r="Q200" s="128" t="n"/>
      <c r="R200" s="128" t="n"/>
      <c r="S200" s="128" t="n"/>
      <c r="T200" s="128" t="n"/>
      <c r="U200" s="128" t="n"/>
      <c r="V200" s="128" t="n"/>
      <c r="W200" s="128" t="n"/>
      <c r="X200" s="128" t="n"/>
      <c r="Y200" s="128" t="n"/>
      <c r="Z200" s="128" t="n"/>
      <c r="AA200" s="128" t="n"/>
      <c r="AB200" s="128" t="n"/>
      <c r="AC200" s="128" t="n"/>
      <c r="AD200" s="128" t="n"/>
      <c r="AE200" s="128" t="n"/>
      <c r="AF200" s="128" t="n"/>
      <c r="AG200" s="128" t="n"/>
      <c r="AH200" s="128" t="n"/>
      <c r="AI200" s="128" t="n"/>
      <c r="AJ200" s="128" t="n"/>
      <c r="AK200" s="128" t="n"/>
    </row>
    <row r="201" hidden="1" outlineLevel="1">
      <c r="B201" s="128" t="n"/>
      <c r="C201" s="128" t="n"/>
      <c r="D201" s="128" t="n"/>
      <c r="E201" s="128" t="n"/>
      <c r="F201" s="128" t="n"/>
      <c r="G201" s="128" t="n"/>
      <c r="H201" s="128" t="n"/>
      <c r="I201" s="128" t="n"/>
      <c r="J201" s="128" t="n"/>
      <c r="K201" s="128" t="n"/>
      <c r="L201" s="128" t="n"/>
      <c r="M201" s="128" t="n"/>
      <c r="N201" s="128" t="n"/>
      <c r="O201" s="128" t="n"/>
      <c r="P201" s="128" t="n"/>
      <c r="Q201" s="128" t="n"/>
      <c r="R201" s="128" t="n"/>
      <c r="S201" s="128" t="n"/>
      <c r="T201" s="128" t="n"/>
      <c r="U201" s="128" t="n"/>
      <c r="V201" s="128" t="n"/>
      <c r="W201" s="128" t="n"/>
      <c r="X201" s="128" t="n"/>
      <c r="Y201" s="128" t="n"/>
      <c r="Z201" s="128" t="n"/>
      <c r="AA201" s="128" t="n"/>
      <c r="AB201" s="128" t="n"/>
      <c r="AC201" s="128" t="n"/>
      <c r="AD201" s="128" t="n"/>
      <c r="AE201" s="128" t="n"/>
      <c r="AF201" s="128" t="n"/>
      <c r="AG201" s="128" t="n"/>
      <c r="AH201" s="128" t="n"/>
      <c r="AI201" s="128" t="n"/>
      <c r="AJ201" s="128" t="n"/>
      <c r="AK201" s="128" t="n"/>
    </row>
    <row r="202" hidden="1" outlineLevel="1">
      <c r="A202" t="inlineStr">
        <is>
          <t>Множитель оборота</t>
        </is>
      </c>
      <c r="B202" s="191">
        <f>B5*'01_Вводные'!$F$199*'01_Вводные'!$F$200*'18_Календарь_тарифы'!B4</f>
        <v/>
      </c>
      <c r="C202" s="191">
        <f>C5*'01_Вводные'!$F$199*'01_Вводные'!$F$200*'18_Календарь_тарифы'!C4</f>
        <v/>
      </c>
      <c r="D202" s="191">
        <f>D5*'01_Вводные'!$F$199*'01_Вводные'!$F$200*'18_Календарь_тарифы'!D4</f>
        <v/>
      </c>
      <c r="E202" s="191">
        <f>E5*'01_Вводные'!$F$199*'01_Вводные'!$F$200*'18_Календарь_тарифы'!E4</f>
        <v/>
      </c>
      <c r="F202" s="191">
        <f>F5*'01_Вводные'!$F$199*'01_Вводные'!$F$200*'18_Календарь_тарифы'!F4</f>
        <v/>
      </c>
      <c r="G202" s="191">
        <f>G5*'01_Вводные'!$F$199*'01_Вводные'!$F$200*'18_Календарь_тарифы'!G4</f>
        <v/>
      </c>
      <c r="H202" s="191">
        <f>H5*'01_Вводные'!$F$199*'01_Вводные'!$F$200*'18_Календарь_тарифы'!H4</f>
        <v/>
      </c>
      <c r="I202" s="191">
        <f>I5*'01_Вводные'!$F$199*'01_Вводные'!$F$200*'18_Календарь_тарифы'!I4</f>
        <v/>
      </c>
      <c r="J202" s="191">
        <f>J5*'01_Вводные'!$F$199*'01_Вводные'!$F$200*'18_Календарь_тарифы'!J4</f>
        <v/>
      </c>
      <c r="K202" s="191">
        <f>K5*'01_Вводные'!$F$199*'01_Вводные'!$F$200*'18_Календарь_тарифы'!K4</f>
        <v/>
      </c>
      <c r="L202" s="191">
        <f>L5*'01_Вводные'!$F$199*'01_Вводные'!$F$200*'18_Календарь_тарифы'!L4</f>
        <v/>
      </c>
      <c r="M202" s="191">
        <f>M5*'01_Вводные'!$F$199*'01_Вводные'!$F$200*'18_Календарь_тарифы'!M4</f>
        <v/>
      </c>
      <c r="N202" s="191">
        <f>N5*'01_Вводные'!$F$199*'01_Вводные'!$F$200*'18_Календарь_тарифы'!N4</f>
        <v/>
      </c>
      <c r="O202" s="191">
        <f>O5*'01_Вводные'!$F$199*'01_Вводные'!$F$200*'18_Календарь_тарифы'!O4</f>
        <v/>
      </c>
      <c r="P202" s="191">
        <f>P5*'01_Вводные'!$F$199*'01_Вводные'!$F$200*'18_Календарь_тарифы'!P4</f>
        <v/>
      </c>
      <c r="Q202" s="191">
        <f>Q5*'01_Вводные'!$F$199*'01_Вводные'!$F$200*'18_Календарь_тарифы'!Q4</f>
        <v/>
      </c>
      <c r="R202" s="191">
        <f>R5*'01_Вводные'!$F$199*'01_Вводные'!$F$200*'18_Календарь_тарифы'!R4</f>
        <v/>
      </c>
      <c r="S202" s="191">
        <f>S5*'01_Вводные'!$F$199*'01_Вводные'!$F$200*'18_Календарь_тарифы'!S4</f>
        <v/>
      </c>
      <c r="T202" s="191">
        <f>T5*'01_Вводные'!$F$199*'01_Вводные'!$F$200*'18_Календарь_тарифы'!T4</f>
        <v/>
      </c>
      <c r="U202" s="191">
        <f>U5*'01_Вводные'!$F$199*'01_Вводные'!$F$200*'18_Календарь_тарифы'!U4</f>
        <v/>
      </c>
      <c r="V202" s="191">
        <f>V5*'01_Вводные'!$F$199*'01_Вводные'!$F$200*'18_Календарь_тарифы'!V4</f>
        <v/>
      </c>
      <c r="W202" s="191">
        <f>W5*'01_Вводные'!$F$199*'01_Вводные'!$F$200*'18_Календарь_тарифы'!W4</f>
        <v/>
      </c>
      <c r="X202" s="191">
        <f>X5*'01_Вводные'!$F$199*'01_Вводные'!$F$200*'18_Календарь_тарифы'!X4</f>
        <v/>
      </c>
      <c r="Y202" s="191">
        <f>Y5*'01_Вводные'!$F$199*'01_Вводные'!$F$200*'18_Календарь_тарифы'!Y4</f>
        <v/>
      </c>
      <c r="Z202" s="191">
        <f>Z5*'01_Вводные'!$F$199*'01_Вводные'!$F$200*'18_Календарь_тарифы'!Z4</f>
        <v/>
      </c>
      <c r="AA202" s="191">
        <f>AA5*'01_Вводные'!$F$199*'01_Вводные'!$F$200*'18_Календарь_тарифы'!AA4</f>
        <v/>
      </c>
      <c r="AB202" s="191">
        <f>AB5*'01_Вводные'!$F$199*'01_Вводные'!$F$200*'18_Календарь_тарифы'!AB4</f>
        <v/>
      </c>
      <c r="AC202" s="191">
        <f>AC5*'01_Вводные'!$F$199*'01_Вводные'!$F$200*'18_Календарь_тарифы'!AC4</f>
        <v/>
      </c>
      <c r="AD202" s="191">
        <f>AD5*'01_Вводные'!$F$199*'01_Вводные'!$F$200*'18_Календарь_тарифы'!AD4</f>
        <v/>
      </c>
      <c r="AE202" s="191">
        <f>AE5*'01_Вводные'!$F$199*'01_Вводные'!$F$200*'18_Календарь_тарифы'!AE4</f>
        <v/>
      </c>
      <c r="AF202" s="191">
        <f>AF5*'01_Вводные'!$F$199*'01_Вводные'!$F$200*'18_Календарь_тарифы'!AF4</f>
        <v/>
      </c>
      <c r="AG202" s="191">
        <f>AG5*'01_Вводные'!$F$199*'01_Вводные'!$F$200*'18_Календарь_тарифы'!AG4</f>
        <v/>
      </c>
      <c r="AH202" s="191">
        <f>AH5*'01_Вводные'!$F$199*'01_Вводные'!$F$200*'18_Календарь_тарифы'!AH4</f>
        <v/>
      </c>
      <c r="AI202" s="191">
        <f>AI5*'01_Вводные'!$F$199*'01_Вводные'!$F$200*'18_Календарь_тарифы'!AI4</f>
        <v/>
      </c>
      <c r="AJ202" s="191">
        <f>AJ5*'01_Вводные'!$F$199*'01_Вводные'!$F$200*'18_Календарь_тарифы'!AJ4</f>
        <v/>
      </c>
      <c r="AK202" s="191">
        <f>AK5*'01_Вводные'!$F$199*'01_Вводные'!$F$200*'18_Календарь_тарифы'!AK4</f>
        <v/>
      </c>
      <c r="AL202" s="190">
        <f>AL5*'01_Вводные'!$F$199*'01_Вводные'!$F$200*'18_Календарь_тарифы'!AL4</f>
        <v/>
      </c>
      <c r="AM202" s="190">
        <f>AM5*'01_Вводные'!$F$199*'01_Вводные'!$F$200*'18_Календарь_тарифы'!AM4</f>
        <v/>
      </c>
      <c r="AN202" s="190">
        <f>AN5*'01_Вводные'!$F$199*'01_Вводные'!$F$200*'18_Календарь_тарифы'!AN4</f>
        <v/>
      </c>
      <c r="AO202" s="190">
        <f>AO5*'01_Вводные'!$F$199*'01_Вводные'!$F$200*'18_Календарь_тарифы'!AO4</f>
        <v/>
      </c>
      <c r="AP202" s="190">
        <f>AP5*'01_Вводные'!$F$199*'01_Вводные'!$F$200*'18_Календарь_тарифы'!AP4</f>
        <v/>
      </c>
      <c r="AQ202" s="190">
        <f>AQ5*'01_Вводные'!$F$199*'01_Вводные'!$F$200*'18_Календарь_тарифы'!AQ4</f>
        <v/>
      </c>
      <c r="AR202" s="190">
        <f>AR5*'01_Вводные'!$F$199*'01_Вводные'!$F$200*'18_Календарь_тарифы'!AR4</f>
        <v/>
      </c>
      <c r="AS202" s="190">
        <f>AS5*'01_Вводные'!$F$199*'01_Вводные'!$F$200*'18_Календарь_тарифы'!AS4</f>
        <v/>
      </c>
      <c r="AT202" s="190">
        <f>AT5*'01_Вводные'!$F$199*'01_Вводные'!$F$200*'18_Календарь_тарифы'!AT4</f>
        <v/>
      </c>
      <c r="AU202" s="190">
        <f>AU5*'01_Вводные'!$F$199*'01_Вводные'!$F$200*'18_Календарь_тарифы'!AU4</f>
        <v/>
      </c>
      <c r="AV202" s="190">
        <f>AV5*'01_Вводные'!$F$199*'01_Вводные'!$F$200*'18_Календарь_тарифы'!AV4</f>
        <v/>
      </c>
      <c r="AW202" s="190">
        <f>AW5*'01_Вводные'!$F$199*'01_Вводные'!$F$200*'18_Календарь_тарифы'!AW4</f>
        <v/>
      </c>
      <c r="AX202" s="190">
        <f>AX5*'01_Вводные'!$F$199*'01_Вводные'!$F$200*'18_Календарь_тарифы'!AX4</f>
        <v/>
      </c>
      <c r="AY202" s="190">
        <f>AY5*'01_Вводные'!$F$199*'01_Вводные'!$F$200*'18_Календарь_тарифы'!AY4</f>
        <v/>
      </c>
      <c r="AZ202" s="190">
        <f>AZ5*'01_Вводные'!$F$199*'01_Вводные'!$F$200*'18_Календарь_тарифы'!AZ4</f>
        <v/>
      </c>
      <c r="BA202" s="190">
        <f>BA5*'01_Вводные'!$F$199*'01_Вводные'!$F$200*'18_Календарь_тарифы'!BA4</f>
        <v/>
      </c>
      <c r="BB202" s="190">
        <f>BB5*'01_Вводные'!$F$199*'01_Вводные'!$F$200*'18_Календарь_тарифы'!BB4</f>
        <v/>
      </c>
      <c r="BC202" s="190">
        <f>BC5*'01_Вводные'!$F$199*'01_Вводные'!$F$200*'18_Календарь_тарифы'!BC4</f>
        <v/>
      </c>
      <c r="BD202" s="190">
        <f>BD5*'01_Вводные'!$F$199*'01_Вводные'!$F$200*'18_Календарь_тарифы'!BD4</f>
        <v/>
      </c>
      <c r="BE202" s="190">
        <f>BE5*'01_Вводные'!$F$199*'01_Вводные'!$F$200*'18_Календарь_тарифы'!BE4</f>
        <v/>
      </c>
      <c r="BF202" s="190">
        <f>BF5*'01_Вводные'!$F$199*'01_Вводные'!$F$200*'18_Календарь_тарифы'!BF4</f>
        <v/>
      </c>
      <c r="BG202" s="190">
        <f>BG5*'01_Вводные'!$F$199*'01_Вводные'!$F$200*'18_Календарь_тарифы'!BG4</f>
        <v/>
      </c>
      <c r="BH202" s="190">
        <f>BH5*'01_Вводные'!$F$199*'01_Вводные'!$F$200*'18_Календарь_тарифы'!BH4</f>
        <v/>
      </c>
      <c r="BI202" s="190">
        <f>BI5*'01_Вводные'!$F$199*'01_Вводные'!$F$200*'18_Календарь_тарифы'!BI4</f>
        <v/>
      </c>
      <c r="BJ202" s="190">
        <f>BJ5*'01_Вводные'!$F$199*'01_Вводные'!$F$200*'18_Календарь_тарифы'!BJ4</f>
        <v/>
      </c>
      <c r="BK202" s="190">
        <f>BK5*'01_Вводные'!$F$199*'01_Вводные'!$F$200*'18_Календарь_тарифы'!BK4</f>
        <v/>
      </c>
      <c r="BL202" s="190">
        <f>BL5*'01_Вводные'!$F$199*'01_Вводные'!$F$200*'18_Календарь_тарифы'!BL4</f>
        <v/>
      </c>
      <c r="BM202" s="190">
        <f>BM5*'01_Вводные'!$F$199*'01_Вводные'!$F$200*'18_Календарь_тарифы'!BM4</f>
        <v/>
      </c>
      <c r="BN202" s="190">
        <f>BN5*'01_Вводные'!$F$199*'01_Вводные'!$F$200*'18_Календарь_тарифы'!BN4</f>
        <v/>
      </c>
      <c r="BO202" s="190">
        <f>BO5*'01_Вводные'!$F$199*'01_Вводные'!$F$200*'18_Календарь_тарифы'!BO4</f>
        <v/>
      </c>
    </row>
    <row r="203" hidden="1" outlineLevel="1">
      <c r="B203" s="128" t="n"/>
      <c r="C203" s="128" t="n"/>
      <c r="D203" s="128" t="n"/>
      <c r="E203" s="128" t="n"/>
      <c r="F203" s="128" t="n"/>
      <c r="G203" s="128" t="n"/>
      <c r="H203" s="128" t="n"/>
      <c r="I203" s="128" t="n"/>
      <c r="J203" s="128" t="n"/>
      <c r="K203" s="128" t="n"/>
      <c r="L203" s="128" t="n"/>
      <c r="M203" s="128" t="n"/>
      <c r="N203" s="128" t="n"/>
      <c r="O203" s="128" t="n"/>
      <c r="P203" s="128" t="n"/>
      <c r="Q203" s="128" t="n"/>
      <c r="R203" s="128" t="n"/>
      <c r="S203" s="128" t="n"/>
      <c r="T203" s="128" t="n"/>
      <c r="U203" s="128" t="n"/>
      <c r="V203" s="128" t="n"/>
      <c r="W203" s="128" t="n"/>
      <c r="X203" s="128" t="n"/>
      <c r="Y203" s="128" t="n"/>
      <c r="Z203" s="128" t="n"/>
      <c r="AA203" s="128" t="n"/>
      <c r="AB203" s="128" t="n"/>
      <c r="AC203" s="128" t="n"/>
      <c r="AD203" s="128" t="n"/>
      <c r="AE203" s="128" t="n"/>
      <c r="AF203" s="128" t="n"/>
      <c r="AG203" s="128" t="n"/>
      <c r="AH203" s="128" t="n"/>
      <c r="AI203" s="128" t="n"/>
      <c r="AJ203" s="128" t="n"/>
      <c r="AK203" s="128" t="n"/>
    </row>
    <row r="204" hidden="1" outlineLevel="1">
      <c r="A204" t="inlineStr">
        <is>
          <t>Множитель процентного роялти: старые</t>
        </is>
      </c>
      <c r="B204" s="191">
        <f>B202*IF(B$3&gt;='01_Вводные'!$B$245,'01_Вводные'!$B$57,'01_Вводные'!$B$55)</f>
        <v/>
      </c>
      <c r="C204" s="191">
        <f>C202*IF(C$3&gt;='01_Вводные'!$B$245,'01_Вводные'!$B$57,'01_Вводные'!$B$55)</f>
        <v/>
      </c>
      <c r="D204" s="191">
        <f>D202*IF(D$3&gt;='01_Вводные'!$B$245,'01_Вводные'!$B$57,'01_Вводные'!$B$55)</f>
        <v/>
      </c>
      <c r="E204" s="191">
        <f>E202*IF(E$3&gt;='01_Вводные'!$B$245,'01_Вводные'!$B$57,'01_Вводные'!$B$55)</f>
        <v/>
      </c>
      <c r="F204" s="191">
        <f>F202*IF(F$3&gt;='01_Вводные'!$B$245,'01_Вводные'!$B$57,'01_Вводные'!$B$55)</f>
        <v/>
      </c>
      <c r="G204" s="191">
        <f>G202*IF(G$3&gt;='01_Вводные'!$B$245,'01_Вводные'!$B$57,'01_Вводные'!$B$55)</f>
        <v/>
      </c>
      <c r="H204" s="191">
        <f>H202*IF(H$3&gt;='01_Вводные'!$B$245,'01_Вводные'!$B$57,'01_Вводные'!$B$55)</f>
        <v/>
      </c>
      <c r="I204" s="191">
        <f>I202*IF(I$3&gt;='01_Вводные'!$B$245,'01_Вводные'!$B$57,'01_Вводные'!$B$55)</f>
        <v/>
      </c>
      <c r="J204" s="191">
        <f>J202*IF(J$3&gt;='01_Вводные'!$B$245,'01_Вводные'!$B$57,'01_Вводные'!$B$55)</f>
        <v/>
      </c>
      <c r="K204" s="191">
        <f>K202*IF(K$3&gt;='01_Вводные'!$B$245,'01_Вводные'!$B$57,'01_Вводные'!$B$55)</f>
        <v/>
      </c>
      <c r="L204" s="191">
        <f>L202*IF(L$3&gt;='01_Вводные'!$B$245,'01_Вводные'!$B$57,'01_Вводные'!$B$55)</f>
        <v/>
      </c>
      <c r="M204" s="191">
        <f>M202*IF(M$3&gt;='01_Вводные'!$B$245,'01_Вводные'!$B$57,'01_Вводные'!$B$55)</f>
        <v/>
      </c>
      <c r="N204" s="191">
        <f>N202*IF(N$3&gt;='01_Вводные'!$B$245,'01_Вводные'!$B$57,'01_Вводные'!$B$55)</f>
        <v/>
      </c>
      <c r="O204" s="191">
        <f>O202*IF(O$3&gt;='01_Вводные'!$B$245,'01_Вводные'!$B$57,'01_Вводные'!$B$55)</f>
        <v/>
      </c>
      <c r="P204" s="191">
        <f>P202*IF(P$3&gt;='01_Вводные'!$B$245,'01_Вводные'!$B$57,'01_Вводные'!$B$55)</f>
        <v/>
      </c>
      <c r="Q204" s="191">
        <f>Q202*IF(Q$3&gt;='01_Вводные'!$B$245,'01_Вводные'!$B$57,'01_Вводные'!$B$55)</f>
        <v/>
      </c>
      <c r="R204" s="191">
        <f>R202*IF(R$3&gt;='01_Вводные'!$B$245,'01_Вводные'!$B$57,'01_Вводные'!$B$55)</f>
        <v/>
      </c>
      <c r="S204" s="191">
        <f>S202*IF(S$3&gt;='01_Вводные'!$B$245,'01_Вводные'!$B$57,'01_Вводные'!$B$55)</f>
        <v/>
      </c>
      <c r="T204" s="191">
        <f>T202*IF(T$3&gt;='01_Вводные'!$B$245,'01_Вводные'!$B$57,'01_Вводные'!$B$55)</f>
        <v/>
      </c>
      <c r="U204" s="191">
        <f>U202*IF(U$3&gt;='01_Вводные'!$B$245,'01_Вводные'!$B$57,'01_Вводные'!$B$55)</f>
        <v/>
      </c>
      <c r="V204" s="191">
        <f>V202*IF(V$3&gt;='01_Вводные'!$B$245,'01_Вводные'!$B$57,'01_Вводные'!$B$55)</f>
        <v/>
      </c>
      <c r="W204" s="191">
        <f>W202*IF(W$3&gt;='01_Вводные'!$B$245,'01_Вводные'!$B$57,'01_Вводные'!$B$55)</f>
        <v/>
      </c>
      <c r="X204" s="191">
        <f>X202*IF(X$3&gt;='01_Вводные'!$B$245,'01_Вводные'!$B$57,'01_Вводные'!$B$55)</f>
        <v/>
      </c>
      <c r="Y204" s="191">
        <f>Y202*IF(Y$3&gt;='01_Вводные'!$B$245,'01_Вводные'!$B$57,'01_Вводные'!$B$55)</f>
        <v/>
      </c>
      <c r="Z204" s="191">
        <f>Z202*IF(Z$3&gt;='01_Вводные'!$B$245,'01_Вводные'!$B$57,'01_Вводные'!$B$55)</f>
        <v/>
      </c>
      <c r="AA204" s="191">
        <f>AA202*IF(AA$3&gt;='01_Вводные'!$B$245,'01_Вводные'!$B$57,'01_Вводные'!$B$55)</f>
        <v/>
      </c>
      <c r="AB204" s="191">
        <f>AB202*IF(AB$3&gt;='01_Вводные'!$B$245,'01_Вводные'!$B$57,'01_Вводные'!$B$55)</f>
        <v/>
      </c>
      <c r="AC204" s="191">
        <f>AC202*IF(AC$3&gt;='01_Вводные'!$B$245,'01_Вводные'!$B$57,'01_Вводные'!$B$55)</f>
        <v/>
      </c>
      <c r="AD204" s="191">
        <f>AD202*IF(AD$3&gt;='01_Вводные'!$B$245,'01_Вводные'!$B$57,'01_Вводные'!$B$55)</f>
        <v/>
      </c>
      <c r="AE204" s="191">
        <f>AE202*IF(AE$3&gt;='01_Вводные'!$B$245,'01_Вводные'!$B$57,'01_Вводные'!$B$55)</f>
        <v/>
      </c>
      <c r="AF204" s="191">
        <f>AF202*IF(AF$3&gt;='01_Вводные'!$B$245,'01_Вводные'!$B$57,'01_Вводные'!$B$55)</f>
        <v/>
      </c>
      <c r="AG204" s="191">
        <f>AG202*IF(AG$3&gt;='01_Вводные'!$B$245,'01_Вводные'!$B$57,'01_Вводные'!$B$55)</f>
        <v/>
      </c>
      <c r="AH204" s="191">
        <f>AH202*IF(AH$3&gt;='01_Вводные'!$B$245,'01_Вводные'!$B$57,'01_Вводные'!$B$55)</f>
        <v/>
      </c>
      <c r="AI204" s="191">
        <f>AI202*IF(AI$3&gt;='01_Вводные'!$B$245,'01_Вводные'!$B$57,'01_Вводные'!$B$55)</f>
        <v/>
      </c>
      <c r="AJ204" s="191">
        <f>AJ202*IF(AJ$3&gt;='01_Вводные'!$B$245,'01_Вводные'!$B$57,'01_Вводные'!$B$55)</f>
        <v/>
      </c>
      <c r="AK204" s="191">
        <f>AK202*IF(AK$3&gt;='01_Вводные'!$B$245,'01_Вводные'!$B$57,'01_Вводные'!$B$55)</f>
        <v/>
      </c>
      <c r="AL204" s="190">
        <f>AL202*IF(AL$3&gt;='01_Вводные'!$B$245,'01_Вводные'!$B$57,'01_Вводные'!$B$55)</f>
        <v/>
      </c>
      <c r="AM204" s="190">
        <f>AM202*IF(AM$3&gt;='01_Вводные'!$B$245,'01_Вводные'!$B$57,'01_Вводные'!$B$55)</f>
        <v/>
      </c>
      <c r="AN204" s="190">
        <f>AN202*IF(AN$3&gt;='01_Вводные'!$B$245,'01_Вводные'!$B$57,'01_Вводные'!$B$55)</f>
        <v/>
      </c>
      <c r="AO204" s="190">
        <f>AO202*IF(AO$3&gt;='01_Вводные'!$B$245,'01_Вводные'!$B$57,'01_Вводные'!$B$55)</f>
        <v/>
      </c>
      <c r="AP204" s="190">
        <f>AP202*IF(AP$3&gt;='01_Вводные'!$B$245,'01_Вводные'!$B$57,'01_Вводные'!$B$55)</f>
        <v/>
      </c>
      <c r="AQ204" s="190">
        <f>AQ202*IF(AQ$3&gt;='01_Вводные'!$B$245,'01_Вводные'!$B$57,'01_Вводные'!$B$55)</f>
        <v/>
      </c>
      <c r="AR204" s="190">
        <f>AR202*IF(AR$3&gt;='01_Вводные'!$B$245,'01_Вводные'!$B$57,'01_Вводные'!$B$55)</f>
        <v/>
      </c>
      <c r="AS204" s="190">
        <f>AS202*IF(AS$3&gt;='01_Вводные'!$B$245,'01_Вводные'!$B$57,'01_Вводные'!$B$55)</f>
        <v/>
      </c>
      <c r="AT204" s="190">
        <f>AT202*IF(AT$3&gt;='01_Вводные'!$B$245,'01_Вводные'!$B$57,'01_Вводные'!$B$55)</f>
        <v/>
      </c>
      <c r="AU204" s="190">
        <f>AU202*IF(AU$3&gt;='01_Вводные'!$B$245,'01_Вводные'!$B$57,'01_Вводные'!$B$55)</f>
        <v/>
      </c>
      <c r="AV204" s="190">
        <f>AV202*IF(AV$3&gt;='01_Вводные'!$B$245,'01_Вводные'!$B$57,'01_Вводные'!$B$55)</f>
        <v/>
      </c>
      <c r="AW204" s="190">
        <f>AW202*IF(AW$3&gt;='01_Вводные'!$B$245,'01_Вводные'!$B$57,'01_Вводные'!$B$55)</f>
        <v/>
      </c>
      <c r="AX204" s="190">
        <f>AX202*IF(AX$3&gt;='01_Вводные'!$B$245,'01_Вводные'!$B$57,'01_Вводные'!$B$55)</f>
        <v/>
      </c>
      <c r="AY204" s="190">
        <f>AY202*IF(AY$3&gt;='01_Вводные'!$B$245,'01_Вводные'!$B$57,'01_Вводные'!$B$55)</f>
        <v/>
      </c>
      <c r="AZ204" s="190">
        <f>AZ202*IF(AZ$3&gt;='01_Вводные'!$B$245,'01_Вводные'!$B$57,'01_Вводные'!$B$55)</f>
        <v/>
      </c>
      <c r="BA204" s="190">
        <f>BA202*IF(BA$3&gt;='01_Вводные'!$B$245,'01_Вводные'!$B$57,'01_Вводные'!$B$55)</f>
        <v/>
      </c>
      <c r="BB204" s="190">
        <f>BB202*IF(BB$3&gt;='01_Вводные'!$B$245,'01_Вводные'!$B$57,'01_Вводные'!$B$55)</f>
        <v/>
      </c>
      <c r="BC204" s="190">
        <f>BC202*IF(BC$3&gt;='01_Вводные'!$B$245,'01_Вводные'!$B$57,'01_Вводные'!$B$55)</f>
        <v/>
      </c>
      <c r="BD204" s="190">
        <f>BD202*IF(BD$3&gt;='01_Вводные'!$B$245,'01_Вводные'!$B$57,'01_Вводные'!$B$55)</f>
        <v/>
      </c>
      <c r="BE204" s="190">
        <f>BE202*IF(BE$3&gt;='01_Вводные'!$B$245,'01_Вводные'!$B$57,'01_Вводные'!$B$55)</f>
        <v/>
      </c>
      <c r="BF204" s="190">
        <f>BF202*IF(BF$3&gt;='01_Вводные'!$B$245,'01_Вводные'!$B$57,'01_Вводные'!$B$55)</f>
        <v/>
      </c>
      <c r="BG204" s="190">
        <f>BG202*IF(BG$3&gt;='01_Вводные'!$B$245,'01_Вводные'!$B$57,'01_Вводные'!$B$55)</f>
        <v/>
      </c>
      <c r="BH204" s="190">
        <f>BH202*IF(BH$3&gt;='01_Вводные'!$B$245,'01_Вводные'!$B$57,'01_Вводные'!$B$55)</f>
        <v/>
      </c>
      <c r="BI204" s="190">
        <f>BI202*IF(BI$3&gt;='01_Вводные'!$B$245,'01_Вводные'!$B$57,'01_Вводные'!$B$55)</f>
        <v/>
      </c>
      <c r="BJ204" s="190">
        <f>BJ202*IF(BJ$3&gt;='01_Вводные'!$B$245,'01_Вводные'!$B$57,'01_Вводные'!$B$55)</f>
        <v/>
      </c>
      <c r="BK204" s="190">
        <f>BK202*IF(BK$3&gt;='01_Вводные'!$B$245,'01_Вводные'!$B$57,'01_Вводные'!$B$55)</f>
        <v/>
      </c>
      <c r="BL204" s="190">
        <f>BL202*IF(BL$3&gt;='01_Вводные'!$B$245,'01_Вводные'!$B$57,'01_Вводные'!$B$55)</f>
        <v/>
      </c>
      <c r="BM204" s="190">
        <f>BM202*IF(BM$3&gt;='01_Вводные'!$B$245,'01_Вводные'!$B$57,'01_Вводные'!$B$55)</f>
        <v/>
      </c>
      <c r="BN204" s="190">
        <f>BN202*IF(BN$3&gt;='01_Вводные'!$B$245,'01_Вводные'!$B$57,'01_Вводные'!$B$55)</f>
        <v/>
      </c>
      <c r="BO204" s="190">
        <f>BO202*IF(BO$3&gt;='01_Вводные'!$B$245,'01_Вводные'!$B$57,'01_Вводные'!$B$55)</f>
        <v/>
      </c>
    </row>
    <row r="205" hidden="1" outlineLevel="1">
      <c r="A205" t="inlineStr">
        <is>
          <t>Множитель процентного роялти: новые</t>
        </is>
      </c>
      <c r="B205" s="191">
        <f>B202*IF(B$3&gt;='01_Вводные'!$B$245,'01_Вводные'!$B$57,'01_Вводные'!$B$56)</f>
        <v/>
      </c>
      <c r="C205" s="191">
        <f>C202*IF(C$3&gt;='01_Вводные'!$B$245,'01_Вводные'!$B$57,'01_Вводные'!$B$56)</f>
        <v/>
      </c>
      <c r="D205" s="191">
        <f>D202*IF(D$3&gt;='01_Вводные'!$B$245,'01_Вводные'!$B$57,'01_Вводные'!$B$56)</f>
        <v/>
      </c>
      <c r="E205" s="191">
        <f>E202*IF(E$3&gt;='01_Вводные'!$B$245,'01_Вводные'!$B$57,'01_Вводные'!$B$56)</f>
        <v/>
      </c>
      <c r="F205" s="191">
        <f>F202*IF(F$3&gt;='01_Вводные'!$B$245,'01_Вводные'!$B$57,'01_Вводные'!$B$56)</f>
        <v/>
      </c>
      <c r="G205" s="191">
        <f>G202*IF(G$3&gt;='01_Вводные'!$B$245,'01_Вводные'!$B$57,'01_Вводные'!$B$56)</f>
        <v/>
      </c>
      <c r="H205" s="191">
        <f>H202*IF(H$3&gt;='01_Вводные'!$B$245,'01_Вводные'!$B$57,'01_Вводные'!$B$56)</f>
        <v/>
      </c>
      <c r="I205" s="191">
        <f>I202*IF(I$3&gt;='01_Вводные'!$B$245,'01_Вводные'!$B$57,'01_Вводные'!$B$56)</f>
        <v/>
      </c>
      <c r="J205" s="191">
        <f>J202*IF(J$3&gt;='01_Вводные'!$B$245,'01_Вводные'!$B$57,'01_Вводные'!$B$56)</f>
        <v/>
      </c>
      <c r="K205" s="191">
        <f>K202*IF(K$3&gt;='01_Вводные'!$B$245,'01_Вводные'!$B$57,'01_Вводные'!$B$56)</f>
        <v/>
      </c>
      <c r="L205" s="191">
        <f>L202*IF(L$3&gt;='01_Вводные'!$B$245,'01_Вводные'!$B$57,'01_Вводные'!$B$56)</f>
        <v/>
      </c>
      <c r="M205" s="191">
        <f>M202*IF(M$3&gt;='01_Вводные'!$B$245,'01_Вводные'!$B$57,'01_Вводные'!$B$56)</f>
        <v/>
      </c>
      <c r="N205" s="191">
        <f>N202*IF(N$3&gt;='01_Вводные'!$B$245,'01_Вводные'!$B$57,'01_Вводные'!$B$56)</f>
        <v/>
      </c>
      <c r="O205" s="191">
        <f>O202*IF(O$3&gt;='01_Вводные'!$B$245,'01_Вводные'!$B$57,'01_Вводные'!$B$56)</f>
        <v/>
      </c>
      <c r="P205" s="191">
        <f>P202*IF(P$3&gt;='01_Вводные'!$B$245,'01_Вводные'!$B$57,'01_Вводные'!$B$56)</f>
        <v/>
      </c>
      <c r="Q205" s="191">
        <f>Q202*IF(Q$3&gt;='01_Вводные'!$B$245,'01_Вводные'!$B$57,'01_Вводные'!$B$56)</f>
        <v/>
      </c>
      <c r="R205" s="191">
        <f>R202*IF(R$3&gt;='01_Вводные'!$B$245,'01_Вводные'!$B$57,'01_Вводные'!$B$56)</f>
        <v/>
      </c>
      <c r="S205" s="191">
        <f>S202*IF(S$3&gt;='01_Вводные'!$B$245,'01_Вводные'!$B$57,'01_Вводные'!$B$56)</f>
        <v/>
      </c>
      <c r="T205" s="191">
        <f>T202*IF(T$3&gt;='01_Вводные'!$B$245,'01_Вводные'!$B$57,'01_Вводные'!$B$56)</f>
        <v/>
      </c>
      <c r="U205" s="191">
        <f>U202*IF(U$3&gt;='01_Вводные'!$B$245,'01_Вводные'!$B$57,'01_Вводные'!$B$56)</f>
        <v/>
      </c>
      <c r="V205" s="191">
        <f>V202*IF(V$3&gt;='01_Вводные'!$B$245,'01_Вводные'!$B$57,'01_Вводные'!$B$56)</f>
        <v/>
      </c>
      <c r="W205" s="191">
        <f>W202*IF(W$3&gt;='01_Вводные'!$B$245,'01_Вводные'!$B$57,'01_Вводные'!$B$56)</f>
        <v/>
      </c>
      <c r="X205" s="191">
        <f>X202*IF(X$3&gt;='01_Вводные'!$B$245,'01_Вводные'!$B$57,'01_Вводные'!$B$56)</f>
        <v/>
      </c>
      <c r="Y205" s="191">
        <f>Y202*IF(Y$3&gt;='01_Вводные'!$B$245,'01_Вводные'!$B$57,'01_Вводные'!$B$56)</f>
        <v/>
      </c>
      <c r="Z205" s="191">
        <f>Z202*IF(Z$3&gt;='01_Вводные'!$B$245,'01_Вводные'!$B$57,'01_Вводные'!$B$56)</f>
        <v/>
      </c>
      <c r="AA205" s="191">
        <f>AA202*IF(AA$3&gt;='01_Вводные'!$B$245,'01_Вводные'!$B$57,'01_Вводные'!$B$56)</f>
        <v/>
      </c>
      <c r="AB205" s="191">
        <f>AB202*IF(AB$3&gt;='01_Вводные'!$B$245,'01_Вводные'!$B$57,'01_Вводные'!$B$56)</f>
        <v/>
      </c>
      <c r="AC205" s="191">
        <f>AC202*IF(AC$3&gt;='01_Вводные'!$B$245,'01_Вводные'!$B$57,'01_Вводные'!$B$56)</f>
        <v/>
      </c>
      <c r="AD205" s="191">
        <f>AD202*IF(AD$3&gt;='01_Вводные'!$B$245,'01_Вводные'!$B$57,'01_Вводные'!$B$56)</f>
        <v/>
      </c>
      <c r="AE205" s="191">
        <f>AE202*IF(AE$3&gt;='01_Вводные'!$B$245,'01_Вводные'!$B$57,'01_Вводные'!$B$56)</f>
        <v/>
      </c>
      <c r="AF205" s="191">
        <f>AF202*IF(AF$3&gt;='01_Вводные'!$B$245,'01_Вводные'!$B$57,'01_Вводные'!$B$56)</f>
        <v/>
      </c>
      <c r="AG205" s="191">
        <f>AG202*IF(AG$3&gt;='01_Вводные'!$B$245,'01_Вводные'!$B$57,'01_Вводные'!$B$56)</f>
        <v/>
      </c>
      <c r="AH205" s="191">
        <f>AH202*IF(AH$3&gt;='01_Вводные'!$B$245,'01_Вводные'!$B$57,'01_Вводные'!$B$56)</f>
        <v/>
      </c>
      <c r="AI205" s="191">
        <f>AI202*IF(AI$3&gt;='01_Вводные'!$B$245,'01_Вводные'!$B$57,'01_Вводные'!$B$56)</f>
        <v/>
      </c>
      <c r="AJ205" s="191">
        <f>AJ202*IF(AJ$3&gt;='01_Вводные'!$B$245,'01_Вводные'!$B$57,'01_Вводные'!$B$56)</f>
        <v/>
      </c>
      <c r="AK205" s="191">
        <f>AK202*IF(AK$3&gt;='01_Вводные'!$B$245,'01_Вводные'!$B$57,'01_Вводные'!$B$56)</f>
        <v/>
      </c>
      <c r="AL205" s="190">
        <f>AL202*IF(AL$3&gt;='01_Вводные'!$B$245,'01_Вводные'!$B$57,'01_Вводные'!$B$56)</f>
        <v/>
      </c>
      <c r="AM205" s="190">
        <f>AM202*IF(AM$3&gt;='01_Вводные'!$B$245,'01_Вводные'!$B$57,'01_Вводные'!$B$56)</f>
        <v/>
      </c>
      <c r="AN205" s="190">
        <f>AN202*IF(AN$3&gt;='01_Вводные'!$B$245,'01_Вводные'!$B$57,'01_Вводные'!$B$56)</f>
        <v/>
      </c>
      <c r="AO205" s="190">
        <f>AO202*IF(AO$3&gt;='01_Вводные'!$B$245,'01_Вводные'!$B$57,'01_Вводные'!$B$56)</f>
        <v/>
      </c>
      <c r="AP205" s="190">
        <f>AP202*IF(AP$3&gt;='01_Вводные'!$B$245,'01_Вводные'!$B$57,'01_Вводные'!$B$56)</f>
        <v/>
      </c>
      <c r="AQ205" s="190">
        <f>AQ202*IF(AQ$3&gt;='01_Вводные'!$B$245,'01_Вводные'!$B$57,'01_Вводные'!$B$56)</f>
        <v/>
      </c>
      <c r="AR205" s="190">
        <f>AR202*IF(AR$3&gt;='01_Вводные'!$B$245,'01_Вводные'!$B$57,'01_Вводные'!$B$56)</f>
        <v/>
      </c>
      <c r="AS205" s="190">
        <f>AS202*IF(AS$3&gt;='01_Вводные'!$B$245,'01_Вводные'!$B$57,'01_Вводные'!$B$56)</f>
        <v/>
      </c>
      <c r="AT205" s="190">
        <f>AT202*IF(AT$3&gt;='01_Вводные'!$B$245,'01_Вводные'!$B$57,'01_Вводные'!$B$56)</f>
        <v/>
      </c>
      <c r="AU205" s="190">
        <f>AU202*IF(AU$3&gt;='01_Вводные'!$B$245,'01_Вводные'!$B$57,'01_Вводные'!$B$56)</f>
        <v/>
      </c>
      <c r="AV205" s="190">
        <f>AV202*IF(AV$3&gt;='01_Вводные'!$B$245,'01_Вводные'!$B$57,'01_Вводные'!$B$56)</f>
        <v/>
      </c>
      <c r="AW205" s="190">
        <f>AW202*IF(AW$3&gt;='01_Вводные'!$B$245,'01_Вводные'!$B$57,'01_Вводные'!$B$56)</f>
        <v/>
      </c>
      <c r="AX205" s="190">
        <f>AX202*IF(AX$3&gt;='01_Вводные'!$B$245,'01_Вводные'!$B$57,'01_Вводные'!$B$56)</f>
        <v/>
      </c>
      <c r="AY205" s="190">
        <f>AY202*IF(AY$3&gt;='01_Вводные'!$B$245,'01_Вводные'!$B$57,'01_Вводные'!$B$56)</f>
        <v/>
      </c>
      <c r="AZ205" s="190">
        <f>AZ202*IF(AZ$3&gt;='01_Вводные'!$B$245,'01_Вводные'!$B$57,'01_Вводные'!$B$56)</f>
        <v/>
      </c>
      <c r="BA205" s="190">
        <f>BA202*IF(BA$3&gt;='01_Вводные'!$B$245,'01_Вводные'!$B$57,'01_Вводные'!$B$56)</f>
        <v/>
      </c>
      <c r="BB205" s="190">
        <f>BB202*IF(BB$3&gt;='01_Вводные'!$B$245,'01_Вводные'!$B$57,'01_Вводные'!$B$56)</f>
        <v/>
      </c>
      <c r="BC205" s="190">
        <f>BC202*IF(BC$3&gt;='01_Вводные'!$B$245,'01_Вводные'!$B$57,'01_Вводные'!$B$56)</f>
        <v/>
      </c>
      <c r="BD205" s="190">
        <f>BD202*IF(BD$3&gt;='01_Вводные'!$B$245,'01_Вводные'!$B$57,'01_Вводные'!$B$56)</f>
        <v/>
      </c>
      <c r="BE205" s="190">
        <f>BE202*IF(BE$3&gt;='01_Вводные'!$B$245,'01_Вводные'!$B$57,'01_Вводные'!$B$56)</f>
        <v/>
      </c>
      <c r="BF205" s="190">
        <f>BF202*IF(BF$3&gt;='01_Вводные'!$B$245,'01_Вводные'!$B$57,'01_Вводные'!$B$56)</f>
        <v/>
      </c>
      <c r="BG205" s="190">
        <f>BG202*IF(BG$3&gt;='01_Вводные'!$B$245,'01_Вводные'!$B$57,'01_Вводные'!$B$56)</f>
        <v/>
      </c>
      <c r="BH205" s="190">
        <f>BH202*IF(BH$3&gt;='01_Вводные'!$B$245,'01_Вводные'!$B$57,'01_Вводные'!$B$56)</f>
        <v/>
      </c>
      <c r="BI205" s="190">
        <f>BI202*IF(BI$3&gt;='01_Вводные'!$B$245,'01_Вводные'!$B$57,'01_Вводные'!$B$56)</f>
        <v/>
      </c>
      <c r="BJ205" s="190">
        <f>BJ202*IF(BJ$3&gt;='01_Вводные'!$B$245,'01_Вводные'!$B$57,'01_Вводные'!$B$56)</f>
        <v/>
      </c>
      <c r="BK205" s="190">
        <f>BK202*IF(BK$3&gt;='01_Вводные'!$B$245,'01_Вводные'!$B$57,'01_Вводные'!$B$56)</f>
        <v/>
      </c>
      <c r="BL205" s="190">
        <f>BL202*IF(BL$3&gt;='01_Вводные'!$B$245,'01_Вводные'!$B$57,'01_Вводные'!$B$56)</f>
        <v/>
      </c>
      <c r="BM205" s="190">
        <f>BM202*IF(BM$3&gt;='01_Вводные'!$B$245,'01_Вводные'!$B$57,'01_Вводные'!$B$56)</f>
        <v/>
      </c>
      <c r="BN205" s="190">
        <f>BN202*IF(BN$3&gt;='01_Вводные'!$B$245,'01_Вводные'!$B$57,'01_Вводные'!$B$56)</f>
        <v/>
      </c>
      <c r="BO205" s="190">
        <f>BO202*IF(BO$3&gt;='01_Вводные'!$B$245,'01_Вводные'!$B$57,'01_Вводные'!$B$56)</f>
        <v/>
      </c>
    </row>
    <row r="206" hidden="1" outlineLevel="1">
      <c r="B206" s="188">
        <f>SUM(B53:B77)-B16</f>
        <v/>
      </c>
      <c r="C206" s="188">
        <f>SUM(C53:C77)-C16</f>
        <v/>
      </c>
      <c r="D206" s="188">
        <f>SUM(D53:D77)-D16</f>
        <v/>
      </c>
      <c r="E206" s="188">
        <f>SUM(E53:E77)-E16</f>
        <v/>
      </c>
      <c r="F206" s="188">
        <f>SUM(F53:F77)-F16</f>
        <v/>
      </c>
      <c r="G206" s="188">
        <f>SUM(G53:G77)-G16</f>
        <v/>
      </c>
      <c r="H206" s="188">
        <f>SUM(H53:H77)-H16</f>
        <v/>
      </c>
      <c r="I206" s="188">
        <f>SUM(I53:I77)-I16</f>
        <v/>
      </c>
      <c r="J206" s="188">
        <f>SUM(J53:J77)-J16</f>
        <v/>
      </c>
      <c r="K206" s="188">
        <f>SUM(K53:K77)-K16</f>
        <v/>
      </c>
      <c r="L206" s="188">
        <f>SUM(L53:L77)-L16</f>
        <v/>
      </c>
      <c r="M206" s="188">
        <f>SUM(M53:M77)-M16</f>
        <v/>
      </c>
      <c r="N206" s="188">
        <f>SUM(N53:N77)-N16</f>
        <v/>
      </c>
      <c r="O206" s="188">
        <f>SUM(O53:O77)-O16</f>
        <v/>
      </c>
      <c r="P206" s="188">
        <f>SUM(P53:P77)-P16</f>
        <v/>
      </c>
      <c r="Q206" s="188">
        <f>SUM(Q53:Q77)-Q16</f>
        <v/>
      </c>
      <c r="R206" s="188">
        <f>SUM(R53:R77)-R16</f>
        <v/>
      </c>
      <c r="S206" s="188">
        <f>SUM(S53:S77)-S16</f>
        <v/>
      </c>
      <c r="T206" s="188">
        <f>SUM(T53:T77)-T16</f>
        <v/>
      </c>
      <c r="U206" s="188">
        <f>SUM(U53:U77)-U16</f>
        <v/>
      </c>
      <c r="V206" s="188">
        <f>SUM(V53:V77)-V16</f>
        <v/>
      </c>
      <c r="W206" s="188">
        <f>SUM(W53:W77)-W16</f>
        <v/>
      </c>
      <c r="X206" s="188">
        <f>SUM(X53:X77)-X16</f>
        <v/>
      </c>
      <c r="Y206" s="188">
        <f>SUM(Y53:Y77)-Y16</f>
        <v/>
      </c>
      <c r="Z206" s="188">
        <f>SUM(Z53:Z77)-Z16</f>
        <v/>
      </c>
      <c r="AA206" s="188">
        <f>SUM(AA53:AA77)-AA16</f>
        <v/>
      </c>
      <c r="AB206" s="188">
        <f>SUM(AB53:AB77)-AB16</f>
        <v/>
      </c>
      <c r="AC206" s="188">
        <f>SUM(AC53:AC77)-AC16</f>
        <v/>
      </c>
      <c r="AD206" s="188">
        <f>SUM(AD53:AD77)-AD16</f>
        <v/>
      </c>
      <c r="AE206" s="188">
        <f>SUM(AE53:AE77)-AE16</f>
        <v/>
      </c>
      <c r="AF206" s="188">
        <f>SUM(AF53:AF77)-AF16</f>
        <v/>
      </c>
      <c r="AG206" s="188">
        <f>SUM(AG53:AG77)-AG16</f>
        <v/>
      </c>
      <c r="AH206" s="188">
        <f>SUM(AH53:AH77)-AH16</f>
        <v/>
      </c>
      <c r="AI206" s="188">
        <f>SUM(AI53:AI77)-AI16</f>
        <v/>
      </c>
      <c r="AJ206" s="188">
        <f>SUM(AJ53:AJ77)-AJ16</f>
        <v/>
      </c>
      <c r="AK206" s="188">
        <f>SUM(AK53:AK77)-AK16</f>
        <v/>
      </c>
      <c r="AL206" s="189">
        <f>SUM(AL53:AL77)-AL16</f>
        <v/>
      </c>
      <c r="AM206" s="189">
        <f>SUM(AM53:AM77)-AM16</f>
        <v/>
      </c>
      <c r="AN206" s="189">
        <f>SUM(AN53:AN77)-AN16</f>
        <v/>
      </c>
      <c r="AO206" s="189">
        <f>SUM(AO53:AO77)-AO16</f>
        <v/>
      </c>
      <c r="AP206" s="189">
        <f>SUM(AP53:AP77)-AP16</f>
        <v/>
      </c>
      <c r="AQ206" s="189">
        <f>SUM(AQ53:AQ77)-AQ16</f>
        <v/>
      </c>
      <c r="AR206" s="189">
        <f>SUM(AR53:AR77)-AR16</f>
        <v/>
      </c>
      <c r="AS206" s="189">
        <f>SUM(AS53:AS77)-AS16</f>
        <v/>
      </c>
      <c r="AT206" s="189">
        <f>SUM(AT53:AT77)-AT16</f>
        <v/>
      </c>
      <c r="AU206" s="189">
        <f>SUM(AU53:AU77)-AU16</f>
        <v/>
      </c>
      <c r="AV206" s="189">
        <f>SUM(AV53:AV77)-AV16</f>
        <v/>
      </c>
      <c r="AW206" s="189">
        <f>SUM(AW53:AW77)-AW16</f>
        <v/>
      </c>
      <c r="AX206" s="189">
        <f>SUM(AX53:AX77)-AX16</f>
        <v/>
      </c>
      <c r="AY206" s="189">
        <f>SUM(AY53:AY77)-AY16</f>
        <v/>
      </c>
      <c r="AZ206" s="189">
        <f>SUM(AZ53:AZ77)-AZ16</f>
        <v/>
      </c>
      <c r="BA206" s="189">
        <f>SUM(BA53:BA77)-BA16</f>
        <v/>
      </c>
      <c r="BB206" s="189">
        <f>SUM(BB53:BB77)-BB16</f>
        <v/>
      </c>
      <c r="BC206" s="189">
        <f>SUM(BC53:BC77)-BC16</f>
        <v/>
      </c>
      <c r="BD206" s="189">
        <f>SUM(BD53:BD77)-BD16</f>
        <v/>
      </c>
      <c r="BE206" s="189">
        <f>SUM(BE53:BE77)-BE16</f>
        <v/>
      </c>
      <c r="BF206" s="189">
        <f>SUM(BF53:BF77)-BF16</f>
        <v/>
      </c>
      <c r="BG206" s="189">
        <f>SUM(BG53:BG77)-BG16</f>
        <v/>
      </c>
      <c r="BH206" s="189">
        <f>SUM(BH53:BH77)-BH16</f>
        <v/>
      </c>
      <c r="BI206" s="189">
        <f>SUM(BI53:BI77)-BI16</f>
        <v/>
      </c>
      <c r="BJ206" s="189">
        <f>SUM(BJ53:BJ77)-BJ16</f>
        <v/>
      </c>
      <c r="BK206" s="189">
        <f>SUM(BK53:BK77)-BK16</f>
        <v/>
      </c>
      <c r="BL206" s="189">
        <f>SUM(BL53:BL77)-BL16</f>
        <v/>
      </c>
      <c r="BM206" s="189">
        <f>SUM(BM53:BM77)-BM16</f>
        <v/>
      </c>
      <c r="BN206" s="189">
        <f>SUM(BN53:BN77)-BN16</f>
        <v/>
      </c>
      <c r="BO206" s="189">
        <f>SUM(BO53:BO77)-BO16</f>
        <v/>
      </c>
    </row>
    <row r="207" hidden="1" outlineLevel="1">
      <c r="B207" s="188">
        <f>B24-SUM(B21:B23)</f>
        <v/>
      </c>
      <c r="C207" s="188">
        <f>C24-SUM(C21:C23)</f>
        <v/>
      </c>
      <c r="D207" s="188">
        <f>D24-SUM(D21:D23)</f>
        <v/>
      </c>
      <c r="E207" s="188">
        <f>E24-SUM(E21:E23)</f>
        <v/>
      </c>
      <c r="F207" s="188">
        <f>F24-SUM(F21:F23)</f>
        <v/>
      </c>
      <c r="G207" s="188">
        <f>G24-SUM(G21:G23)</f>
        <v/>
      </c>
      <c r="H207" s="188">
        <f>H24-SUM(H21:H23)</f>
        <v/>
      </c>
      <c r="I207" s="188">
        <f>I24-SUM(I21:I23)</f>
        <v/>
      </c>
      <c r="J207" s="188">
        <f>J24-SUM(J21:J23)</f>
        <v/>
      </c>
      <c r="K207" s="188">
        <f>K24-SUM(K21:K23)</f>
        <v/>
      </c>
      <c r="L207" s="188">
        <f>L24-SUM(L21:L23)</f>
        <v/>
      </c>
      <c r="M207" s="188">
        <f>M24-SUM(M21:M23)</f>
        <v/>
      </c>
      <c r="N207" s="188">
        <f>N24-SUM(N21:N23)</f>
        <v/>
      </c>
      <c r="O207" s="188">
        <f>O24-SUM(O21:O23)</f>
        <v/>
      </c>
      <c r="P207" s="188">
        <f>P24-SUM(P21:P23)</f>
        <v/>
      </c>
      <c r="Q207" s="188">
        <f>Q24-SUM(Q21:Q23)</f>
        <v/>
      </c>
      <c r="R207" s="188">
        <f>R24-SUM(R21:R23)</f>
        <v/>
      </c>
      <c r="S207" s="188">
        <f>S24-SUM(S21:S23)</f>
        <v/>
      </c>
      <c r="T207" s="188">
        <f>T24-SUM(T21:T23)</f>
        <v/>
      </c>
      <c r="U207" s="188">
        <f>U24-SUM(U21:U23)</f>
        <v/>
      </c>
      <c r="V207" s="188">
        <f>V24-SUM(V21:V23)</f>
        <v/>
      </c>
      <c r="W207" s="188">
        <f>W24-SUM(W21:W23)</f>
        <v/>
      </c>
      <c r="X207" s="188">
        <f>X24-SUM(X21:X23)</f>
        <v/>
      </c>
      <c r="Y207" s="188">
        <f>Y24-SUM(Y21:Y23)</f>
        <v/>
      </c>
      <c r="Z207" s="188">
        <f>Z24-SUM(Z21:Z23)</f>
        <v/>
      </c>
      <c r="AA207" s="188">
        <f>AA24-SUM(AA21:AA23)</f>
        <v/>
      </c>
      <c r="AB207" s="188">
        <f>AB24-SUM(AB21:AB23)</f>
        <v/>
      </c>
      <c r="AC207" s="188">
        <f>AC24-SUM(AC21:AC23)</f>
        <v/>
      </c>
      <c r="AD207" s="188">
        <f>AD24-SUM(AD21:AD23)</f>
        <v/>
      </c>
      <c r="AE207" s="188">
        <f>AE24-SUM(AE21:AE23)</f>
        <v/>
      </c>
      <c r="AF207" s="188">
        <f>AF24-SUM(AF21:AF23)</f>
        <v/>
      </c>
      <c r="AG207" s="188">
        <f>AG24-SUM(AG21:AG23)</f>
        <v/>
      </c>
      <c r="AH207" s="188">
        <f>AH24-SUM(AH21:AH23)</f>
        <v/>
      </c>
      <c r="AI207" s="188">
        <f>AI24-SUM(AI21:AI23)</f>
        <v/>
      </c>
      <c r="AJ207" s="188">
        <f>AJ24-SUM(AJ21:AJ23)</f>
        <v/>
      </c>
      <c r="AK207" s="188">
        <f>AK24-SUM(AK21:AK23)</f>
        <v/>
      </c>
      <c r="AL207" s="189">
        <f>AL24-SUM(AL21:AL23)</f>
        <v/>
      </c>
      <c r="AM207" s="189">
        <f>AM24-SUM(AM21:AM23)</f>
        <v/>
      </c>
      <c r="AN207" s="189">
        <f>AN24-SUM(AN21:AN23)</f>
        <v/>
      </c>
      <c r="AO207" s="189">
        <f>AO24-SUM(AO21:AO23)</f>
        <v/>
      </c>
      <c r="AP207" s="189">
        <f>AP24-SUM(AP21:AP23)</f>
        <v/>
      </c>
      <c r="AQ207" s="189">
        <f>AQ24-SUM(AQ21:AQ23)</f>
        <v/>
      </c>
      <c r="AR207" s="189">
        <f>AR24-SUM(AR21:AR23)</f>
        <v/>
      </c>
      <c r="AS207" s="189">
        <f>AS24-SUM(AS21:AS23)</f>
        <v/>
      </c>
      <c r="AT207" s="189">
        <f>AT24-SUM(AT21:AT23)</f>
        <v/>
      </c>
      <c r="AU207" s="189">
        <f>AU24-SUM(AU21:AU23)</f>
        <v/>
      </c>
      <c r="AV207" s="189">
        <f>AV24-SUM(AV21:AV23)</f>
        <v/>
      </c>
      <c r="AW207" s="189">
        <f>AW24-SUM(AW21:AW23)</f>
        <v/>
      </c>
      <c r="AX207" s="189">
        <f>AX24-SUM(AX21:AX23)</f>
        <v/>
      </c>
      <c r="AY207" s="189">
        <f>AY24-SUM(AY21:AY23)</f>
        <v/>
      </c>
      <c r="AZ207" s="189">
        <f>AZ24-SUM(AZ21:AZ23)</f>
        <v/>
      </c>
      <c r="BA207" s="189">
        <f>BA24-SUM(BA21:BA23)</f>
        <v/>
      </c>
      <c r="BB207" s="189">
        <f>BB24-SUM(BB21:BB23)</f>
        <v/>
      </c>
      <c r="BC207" s="189">
        <f>BC24-SUM(BC21:BC23)</f>
        <v/>
      </c>
      <c r="BD207" s="189">
        <f>BD24-SUM(BD21:BD23)</f>
        <v/>
      </c>
      <c r="BE207" s="189">
        <f>BE24-SUM(BE21:BE23)</f>
        <v/>
      </c>
      <c r="BF207" s="189">
        <f>BF24-SUM(BF21:BF23)</f>
        <v/>
      </c>
      <c r="BG207" s="189">
        <f>BG24-SUM(BG21:BG23)</f>
        <v/>
      </c>
      <c r="BH207" s="189">
        <f>BH24-SUM(BH21:BH23)</f>
        <v/>
      </c>
      <c r="BI207" s="189">
        <f>BI24-SUM(BI21:BI23)</f>
        <v/>
      </c>
      <c r="BJ207" s="189">
        <f>BJ24-SUM(BJ21:BJ23)</f>
        <v/>
      </c>
      <c r="BK207" s="189">
        <f>BK24-SUM(BK21:BK23)</f>
        <v/>
      </c>
      <c r="BL207" s="189">
        <f>BL24-SUM(BL21:BL23)</f>
        <v/>
      </c>
      <c r="BM207" s="189">
        <f>BM24-SUM(BM21:BM23)</f>
        <v/>
      </c>
      <c r="BN207" s="189">
        <f>BN24-SUM(BN21:BN23)</f>
        <v/>
      </c>
      <c r="BO207" s="189">
        <f>BO24-SUM(BO21:BO23)</f>
        <v/>
      </c>
    </row>
    <row r="208" hidden="1" outlineLevel="1">
      <c r="B208" s="128" t="n"/>
      <c r="C208" s="128" t="n"/>
      <c r="D208" s="128" t="n"/>
      <c r="E208" s="128" t="n"/>
      <c r="F208" s="128" t="n"/>
      <c r="G208" s="128" t="n"/>
      <c r="H208" s="128" t="n"/>
      <c r="I208" s="128" t="n"/>
      <c r="J208" s="128" t="n"/>
      <c r="K208" s="128" t="n"/>
      <c r="L208" s="128" t="n"/>
      <c r="M208" s="128" t="n"/>
      <c r="N208" s="128" t="n"/>
      <c r="O208" s="128" t="n"/>
      <c r="P208" s="128" t="n"/>
      <c r="Q208" s="128" t="n"/>
      <c r="R208" s="128" t="n"/>
      <c r="S208" s="128" t="n"/>
      <c r="T208" s="128" t="n"/>
      <c r="U208" s="128" t="n"/>
      <c r="V208" s="128" t="n"/>
      <c r="W208" s="128" t="n"/>
      <c r="X208" s="128" t="n"/>
      <c r="Y208" s="128" t="n"/>
      <c r="Z208" s="128" t="n"/>
      <c r="AA208" s="128" t="n"/>
      <c r="AB208" s="128" t="n"/>
      <c r="AC208" s="128" t="n"/>
      <c r="AD208" s="128" t="n"/>
      <c r="AE208" s="128" t="n"/>
      <c r="AF208" s="128" t="n"/>
      <c r="AG208" s="128" t="n"/>
      <c r="AH208" s="128" t="n"/>
      <c r="AI208" s="128" t="n"/>
      <c r="AJ208" s="128" t="n"/>
      <c r="AK208" s="128" t="n"/>
    </row>
    <row r="209" hidden="1" outlineLevel="1">
      <c r="B209" s="128" t="n"/>
      <c r="C209" s="128" t="n"/>
      <c r="D209" s="128" t="n"/>
      <c r="E209" s="128" t="n"/>
      <c r="F209" s="128" t="n"/>
      <c r="G209" s="128" t="n"/>
      <c r="H209" s="128" t="n"/>
      <c r="I209" s="128" t="n"/>
      <c r="J209" s="128" t="n"/>
      <c r="K209" s="128" t="n"/>
      <c r="L209" s="128" t="n"/>
      <c r="M209" s="128" t="n"/>
      <c r="N209" s="128" t="n"/>
      <c r="O209" s="128" t="n"/>
      <c r="P209" s="128" t="n"/>
      <c r="Q209" s="128" t="n"/>
      <c r="R209" s="128" t="n"/>
      <c r="S209" s="128" t="n"/>
      <c r="T209" s="128" t="n"/>
      <c r="U209" s="128" t="n"/>
      <c r="V209" s="128" t="n"/>
      <c r="W209" s="128" t="n"/>
      <c r="X209" s="128" t="n"/>
      <c r="Y209" s="128" t="n"/>
      <c r="Z209" s="128" t="n"/>
      <c r="AA209" s="128" t="n"/>
      <c r="AB209" s="128" t="n"/>
      <c r="AC209" s="128" t="n"/>
      <c r="AD209" s="128" t="n"/>
      <c r="AE209" s="128" t="n"/>
      <c r="AF209" s="128" t="n"/>
      <c r="AG209" s="128" t="n"/>
      <c r="AH209" s="128" t="n"/>
      <c r="AI209" s="128" t="n"/>
      <c r="AJ209" s="128" t="n"/>
      <c r="AK209" s="128" t="n"/>
    </row>
    <row r="210" hidden="1" outlineLevel="1">
      <c r="B210" s="128" t="n"/>
      <c r="C210" s="128" t="n"/>
      <c r="D210" s="128" t="n"/>
      <c r="E210" s="128" t="n"/>
      <c r="F210" s="128" t="n"/>
      <c r="G210" s="128" t="n"/>
      <c r="H210" s="128" t="n"/>
      <c r="I210" s="128" t="n"/>
      <c r="J210" s="128" t="n"/>
      <c r="K210" s="128" t="n"/>
      <c r="L210" s="128" t="n"/>
      <c r="M210" s="128" t="n"/>
      <c r="N210" s="128" t="n"/>
      <c r="O210" s="128" t="n"/>
      <c r="P210" s="128" t="n"/>
      <c r="Q210" s="128" t="n"/>
      <c r="R210" s="128" t="n"/>
      <c r="S210" s="128" t="n"/>
      <c r="T210" s="128" t="n"/>
      <c r="U210" s="128" t="n"/>
      <c r="V210" s="128" t="n"/>
      <c r="W210" s="128" t="n"/>
      <c r="X210" s="128" t="n"/>
      <c r="Y210" s="128" t="n"/>
      <c r="Z210" s="128" t="n"/>
      <c r="AA210" s="128" t="n"/>
      <c r="AB210" s="128" t="n"/>
      <c r="AC210" s="128" t="n"/>
      <c r="AD210" s="128" t="n"/>
      <c r="AE210" s="128" t="n"/>
      <c r="AF210" s="128" t="n"/>
      <c r="AG210" s="128" t="n"/>
      <c r="AH210" s="128" t="n"/>
      <c r="AI210" s="128" t="n"/>
      <c r="AJ210" s="128" t="n"/>
      <c r="AK210" s="128" t="n"/>
    </row>
    <row r="211" hidden="1" outlineLevel="1">
      <c r="B211" s="128" t="n"/>
      <c r="C211" s="128" t="n"/>
      <c r="D211" s="128" t="n"/>
      <c r="E211" s="128" t="n"/>
      <c r="F211" s="128" t="n"/>
      <c r="G211" s="128" t="n"/>
      <c r="H211" s="128" t="n"/>
      <c r="I211" s="128" t="n"/>
      <c r="J211" s="128" t="n"/>
      <c r="K211" s="128" t="n"/>
      <c r="L211" s="128" t="n"/>
      <c r="M211" s="128" t="n"/>
      <c r="N211" s="128" t="n"/>
      <c r="O211" s="128" t="n"/>
      <c r="P211" s="128" t="n"/>
      <c r="Q211" s="128" t="n"/>
      <c r="R211" s="128" t="n"/>
      <c r="S211" s="128" t="n"/>
      <c r="T211" s="128" t="n"/>
      <c r="U211" s="128" t="n"/>
      <c r="V211" s="128" t="n"/>
      <c r="W211" s="128" t="n"/>
      <c r="X211" s="128" t="n"/>
      <c r="Y211" s="128" t="n"/>
      <c r="Z211" s="128" t="n"/>
      <c r="AA211" s="128" t="n"/>
      <c r="AB211" s="128" t="n"/>
      <c r="AC211" s="128" t="n"/>
      <c r="AD211" s="128" t="n"/>
      <c r="AE211" s="128" t="n"/>
      <c r="AF211" s="128" t="n"/>
      <c r="AG211" s="128" t="n"/>
      <c r="AH211" s="128" t="n"/>
      <c r="AI211" s="128" t="n"/>
      <c r="AJ211" s="128" t="n"/>
      <c r="AK211" s="128" t="n"/>
    </row>
    <row r="212" hidden="1" outlineLevel="1">
      <c r="B212" s="128" t="n"/>
      <c r="C212" s="128" t="n"/>
      <c r="D212" s="128" t="n"/>
      <c r="E212" s="128" t="n"/>
      <c r="F212" s="128" t="n"/>
      <c r="G212" s="128" t="n"/>
      <c r="H212" s="128" t="n"/>
      <c r="I212" s="128" t="n"/>
      <c r="J212" s="128" t="n"/>
      <c r="K212" s="128" t="n"/>
      <c r="L212" s="128" t="n"/>
      <c r="M212" s="128" t="n"/>
      <c r="N212" s="128" t="n"/>
      <c r="O212" s="128" t="n"/>
      <c r="P212" s="128" t="n"/>
      <c r="Q212" s="128" t="n"/>
      <c r="R212" s="128" t="n"/>
      <c r="S212" s="128" t="n"/>
      <c r="T212" s="128" t="n"/>
      <c r="U212" s="128" t="n"/>
      <c r="V212" s="128" t="n"/>
      <c r="W212" s="128" t="n"/>
      <c r="X212" s="128" t="n"/>
      <c r="Y212" s="128" t="n"/>
      <c r="Z212" s="128" t="n"/>
      <c r="AA212" s="128" t="n"/>
      <c r="AB212" s="128" t="n"/>
      <c r="AC212" s="128" t="n"/>
      <c r="AD212" s="128" t="n"/>
      <c r="AE212" s="128" t="n"/>
      <c r="AF212" s="128" t="n"/>
      <c r="AG212" s="128" t="n"/>
      <c r="AH212" s="128" t="n"/>
      <c r="AI212" s="128" t="n"/>
      <c r="AJ212" s="128" t="n"/>
      <c r="AK212" s="128" t="n"/>
    </row>
    <row r="213" hidden="1" outlineLevel="1">
      <c r="B213" s="128" t="n"/>
      <c r="C213" s="128" t="n"/>
      <c r="D213" s="128" t="n"/>
      <c r="E213" s="128" t="n"/>
      <c r="F213" s="128" t="n"/>
      <c r="G213" s="128" t="n"/>
      <c r="H213" s="128" t="n"/>
      <c r="I213" s="128" t="n"/>
      <c r="J213" s="128" t="n"/>
      <c r="K213" s="128" t="n"/>
      <c r="L213" s="128" t="n"/>
      <c r="M213" s="128" t="n"/>
      <c r="N213" s="128" t="n"/>
      <c r="O213" s="128" t="n"/>
      <c r="P213" s="128" t="n"/>
      <c r="Q213" s="128" t="n"/>
      <c r="R213" s="128" t="n"/>
      <c r="S213" s="128" t="n"/>
      <c r="T213" s="128" t="n"/>
      <c r="U213" s="128" t="n"/>
      <c r="V213" s="128" t="n"/>
      <c r="W213" s="128" t="n"/>
      <c r="X213" s="128" t="n"/>
      <c r="Y213" s="128" t="n"/>
      <c r="Z213" s="128" t="n"/>
      <c r="AA213" s="128" t="n"/>
      <c r="AB213" s="128" t="n"/>
      <c r="AC213" s="128" t="n"/>
      <c r="AD213" s="128" t="n"/>
      <c r="AE213" s="128" t="n"/>
      <c r="AF213" s="128" t="n"/>
      <c r="AG213" s="128" t="n"/>
      <c r="AH213" s="128" t="n"/>
      <c r="AI213" s="128" t="n"/>
      <c r="AJ213" s="128" t="n"/>
      <c r="AK213" s="128" t="n"/>
    </row>
    <row r="214" hidden="1" outlineLevel="1">
      <c r="B214" s="128" t="n"/>
      <c r="C214" s="128" t="n"/>
      <c r="D214" s="128" t="n"/>
      <c r="E214" s="128" t="n"/>
      <c r="F214" s="128" t="n"/>
      <c r="G214" s="128" t="n"/>
      <c r="H214" s="128" t="n"/>
      <c r="I214" s="128" t="n"/>
      <c r="J214" s="128" t="n"/>
      <c r="K214" s="128" t="n"/>
      <c r="L214" s="128" t="n"/>
      <c r="M214" s="128" t="n"/>
      <c r="N214" s="128" t="n"/>
      <c r="O214" s="128" t="n"/>
      <c r="P214" s="128" t="n"/>
      <c r="Q214" s="128" t="n"/>
      <c r="R214" s="128" t="n"/>
      <c r="S214" s="128" t="n"/>
      <c r="T214" s="128" t="n"/>
      <c r="U214" s="128" t="n"/>
      <c r="V214" s="128" t="n"/>
      <c r="W214" s="128" t="n"/>
      <c r="X214" s="128" t="n"/>
      <c r="Y214" s="128" t="n"/>
      <c r="Z214" s="128" t="n"/>
      <c r="AA214" s="128" t="n"/>
      <c r="AB214" s="128" t="n"/>
      <c r="AC214" s="128" t="n"/>
      <c r="AD214" s="128" t="n"/>
      <c r="AE214" s="128" t="n"/>
      <c r="AF214" s="128" t="n"/>
      <c r="AG214" s="128" t="n"/>
      <c r="AH214" s="128" t="n"/>
      <c r="AI214" s="128" t="n"/>
      <c r="AJ214" s="128" t="n"/>
      <c r="AK214" s="128" t="n"/>
    </row>
    <row r="215" hidden="1" outlineLevel="1">
      <c r="B215" s="128" t="n"/>
      <c r="C215" s="128" t="n"/>
      <c r="D215" s="128" t="n"/>
      <c r="E215" s="128" t="n"/>
      <c r="F215" s="128" t="n"/>
      <c r="G215" s="128" t="n"/>
      <c r="H215" s="128" t="n"/>
      <c r="I215" s="128" t="n"/>
      <c r="J215" s="128" t="n"/>
      <c r="K215" s="128" t="n"/>
      <c r="L215" s="128" t="n"/>
      <c r="M215" s="128" t="n"/>
      <c r="N215" s="128" t="n"/>
      <c r="O215" s="128" t="n"/>
      <c r="P215" s="128" t="n"/>
      <c r="Q215" s="128" t="n"/>
      <c r="R215" s="128" t="n"/>
      <c r="S215" s="128" t="n"/>
      <c r="T215" s="128" t="n"/>
      <c r="U215" s="128" t="n"/>
      <c r="V215" s="128" t="n"/>
      <c r="W215" s="128" t="n"/>
      <c r="X215" s="128" t="n"/>
      <c r="Y215" s="128" t="n"/>
      <c r="Z215" s="128" t="n"/>
      <c r="AA215" s="128" t="n"/>
      <c r="AB215" s="128" t="n"/>
      <c r="AC215" s="128" t="n"/>
      <c r="AD215" s="128" t="n"/>
      <c r="AE215" s="128" t="n"/>
      <c r="AF215" s="128" t="n"/>
      <c r="AG215" s="128" t="n"/>
      <c r="AH215" s="128" t="n"/>
      <c r="AI215" s="128" t="n"/>
      <c r="AJ215" s="128" t="n"/>
      <c r="AK215" s="128" t="n"/>
    </row>
    <row r="216" hidden="1" outlineLevel="1">
      <c r="B216" s="128" t="n"/>
      <c r="C216" s="128" t="n"/>
      <c r="D216" s="128" t="n"/>
      <c r="E216" s="128" t="n"/>
      <c r="F216" s="128" t="n"/>
      <c r="G216" s="128" t="n"/>
      <c r="H216" s="128" t="n"/>
      <c r="I216" s="128" t="n"/>
      <c r="J216" s="128" t="n"/>
      <c r="K216" s="128" t="n"/>
      <c r="L216" s="128" t="n"/>
      <c r="M216" s="128" t="n"/>
      <c r="N216" s="128" t="n"/>
      <c r="O216" s="128" t="n"/>
      <c r="P216" s="128" t="n"/>
      <c r="Q216" s="128" t="n"/>
      <c r="R216" s="128" t="n"/>
      <c r="S216" s="128" t="n"/>
      <c r="T216" s="128" t="n"/>
      <c r="U216" s="128" t="n"/>
      <c r="V216" s="128" t="n"/>
      <c r="W216" s="128" t="n"/>
      <c r="X216" s="128" t="n"/>
      <c r="Y216" s="128" t="n"/>
      <c r="Z216" s="128" t="n"/>
      <c r="AA216" s="128" t="n"/>
      <c r="AB216" s="128" t="n"/>
      <c r="AC216" s="128" t="n"/>
      <c r="AD216" s="128" t="n"/>
      <c r="AE216" s="128" t="n"/>
      <c r="AF216" s="128" t="n"/>
      <c r="AG216" s="128" t="n"/>
      <c r="AH216" s="128" t="n"/>
      <c r="AI216" s="128" t="n"/>
      <c r="AJ216" s="128" t="n"/>
      <c r="AK216" s="128" t="n"/>
    </row>
    <row r="217" hidden="1" outlineLevel="1">
      <c r="B217" s="128" t="n"/>
      <c r="C217" s="128" t="n"/>
      <c r="D217" s="128" t="n"/>
      <c r="E217" s="128" t="n"/>
      <c r="F217" s="128" t="n"/>
      <c r="G217" s="128" t="n"/>
      <c r="H217" s="128" t="n"/>
      <c r="I217" s="128" t="n"/>
      <c r="J217" s="128" t="n"/>
      <c r="K217" s="128" t="n"/>
      <c r="L217" s="128" t="n"/>
      <c r="M217" s="128" t="n"/>
      <c r="N217" s="128" t="n"/>
      <c r="O217" s="128" t="n"/>
      <c r="P217" s="128" t="n"/>
      <c r="Q217" s="128" t="n"/>
      <c r="R217" s="128" t="n"/>
      <c r="S217" s="128" t="n"/>
      <c r="T217" s="128" t="n"/>
      <c r="U217" s="128" t="n"/>
      <c r="V217" s="128" t="n"/>
      <c r="W217" s="128" t="n"/>
      <c r="X217" s="128" t="n"/>
      <c r="Y217" s="128" t="n"/>
      <c r="Z217" s="128" t="n"/>
      <c r="AA217" s="128" t="n"/>
      <c r="AB217" s="128" t="n"/>
      <c r="AC217" s="128" t="n"/>
      <c r="AD217" s="128" t="n"/>
      <c r="AE217" s="128" t="n"/>
      <c r="AF217" s="128" t="n"/>
      <c r="AG217" s="128" t="n"/>
      <c r="AH217" s="128" t="n"/>
      <c r="AI217" s="128" t="n"/>
      <c r="AJ217" s="128" t="n"/>
      <c r="AK217" s="128" t="n"/>
    </row>
    <row r="218" hidden="1" outlineLevel="1">
      <c r="B218" s="128" t="n"/>
      <c r="C218" s="128" t="n"/>
      <c r="D218" s="128" t="n"/>
      <c r="E218" s="128" t="n"/>
      <c r="F218" s="128" t="n"/>
      <c r="G218" s="128" t="n"/>
      <c r="H218" s="128" t="n"/>
      <c r="I218" s="128" t="n"/>
      <c r="J218" s="128" t="n"/>
      <c r="K218" s="128" t="n"/>
      <c r="L218" s="128" t="n"/>
      <c r="M218" s="128" t="n"/>
      <c r="N218" s="128" t="n"/>
      <c r="O218" s="128" t="n"/>
      <c r="P218" s="128" t="n"/>
      <c r="Q218" s="128" t="n"/>
      <c r="R218" s="128" t="n"/>
      <c r="S218" s="128" t="n"/>
      <c r="T218" s="128" t="n"/>
      <c r="U218" s="128" t="n"/>
      <c r="V218" s="128" t="n"/>
      <c r="W218" s="128" t="n"/>
      <c r="X218" s="128" t="n"/>
      <c r="Y218" s="128" t="n"/>
      <c r="Z218" s="128" t="n"/>
      <c r="AA218" s="128" t="n"/>
      <c r="AB218" s="128" t="n"/>
      <c r="AC218" s="128" t="n"/>
      <c r="AD218" s="128" t="n"/>
      <c r="AE218" s="128" t="n"/>
      <c r="AF218" s="128" t="n"/>
      <c r="AG218" s="128" t="n"/>
      <c r="AH218" s="128" t="n"/>
      <c r="AI218" s="128" t="n"/>
      <c r="AJ218" s="128" t="n"/>
      <c r="AK218" s="128" t="n"/>
    </row>
    <row r="219" hidden="1" outlineLevel="1">
      <c r="B219" s="128" t="n"/>
      <c r="C219" s="128" t="n"/>
      <c r="D219" s="128" t="n"/>
      <c r="E219" s="128" t="n"/>
      <c r="F219" s="128" t="n"/>
      <c r="G219" s="128" t="n"/>
      <c r="H219" s="128" t="n"/>
      <c r="I219" s="128" t="n"/>
      <c r="J219" s="128" t="n"/>
      <c r="K219" s="128" t="n"/>
      <c r="L219" s="128" t="n"/>
      <c r="M219" s="128" t="n"/>
      <c r="N219" s="128" t="n"/>
      <c r="O219" s="128" t="n"/>
      <c r="P219" s="128" t="n"/>
      <c r="Q219" s="128" t="n"/>
      <c r="R219" s="128" t="n"/>
      <c r="S219" s="128" t="n"/>
      <c r="T219" s="128" t="n"/>
      <c r="U219" s="128" t="n"/>
      <c r="V219" s="128" t="n"/>
      <c r="W219" s="128" t="n"/>
      <c r="X219" s="128" t="n"/>
      <c r="Y219" s="128" t="n"/>
      <c r="Z219" s="128" t="n"/>
      <c r="AA219" s="128" t="n"/>
      <c r="AB219" s="128" t="n"/>
      <c r="AC219" s="128" t="n"/>
      <c r="AD219" s="128" t="n"/>
      <c r="AE219" s="128" t="n"/>
      <c r="AF219" s="128" t="n"/>
      <c r="AG219" s="128" t="n"/>
      <c r="AH219" s="128" t="n"/>
      <c r="AI219" s="128" t="n"/>
      <c r="AJ219" s="128" t="n"/>
      <c r="AK219" s="128" t="n"/>
    </row>
    <row r="220" hidden="1" outlineLevel="1">
      <c r="B220" s="128" t="n"/>
      <c r="C220" s="128" t="n"/>
      <c r="D220" s="128" t="n"/>
      <c r="E220" s="128" t="n"/>
      <c r="F220" s="128" t="n"/>
      <c r="G220" s="128" t="n"/>
      <c r="H220" s="128" t="n"/>
      <c r="I220" s="128" t="n"/>
      <c r="J220" s="128" t="n"/>
      <c r="K220" s="128" t="n"/>
      <c r="L220" s="128" t="n"/>
      <c r="M220" s="128" t="n"/>
      <c r="N220" s="128" t="n"/>
      <c r="O220" s="128" t="n"/>
      <c r="P220" s="128" t="n"/>
      <c r="Q220" s="128" t="n"/>
      <c r="R220" s="128" t="n"/>
      <c r="S220" s="128" t="n"/>
      <c r="T220" s="128" t="n"/>
      <c r="U220" s="128" t="n"/>
      <c r="V220" s="128" t="n"/>
      <c r="W220" s="128" t="n"/>
      <c r="X220" s="128" t="n"/>
      <c r="Y220" s="128" t="n"/>
      <c r="Z220" s="128" t="n"/>
      <c r="AA220" s="128" t="n"/>
      <c r="AB220" s="128" t="n"/>
      <c r="AC220" s="128" t="n"/>
      <c r="AD220" s="128" t="n"/>
      <c r="AE220" s="128" t="n"/>
      <c r="AF220" s="128" t="n"/>
      <c r="AG220" s="128" t="n"/>
      <c r="AH220" s="128" t="n"/>
      <c r="AI220" s="128" t="n"/>
      <c r="AJ220" s="128" t="n"/>
      <c r="AK220" s="128" t="n"/>
    </row>
    <row r="221" hidden="1" outlineLevel="1">
      <c r="B221" s="128" t="n"/>
      <c r="C221" s="128" t="n"/>
      <c r="D221" s="128" t="n"/>
      <c r="E221" s="128" t="n"/>
      <c r="F221" s="128" t="n"/>
      <c r="G221" s="128" t="n"/>
      <c r="H221" s="128" t="n"/>
      <c r="I221" s="128" t="n"/>
      <c r="J221" s="128" t="n"/>
      <c r="K221" s="128" t="n"/>
      <c r="L221" s="128" t="n"/>
      <c r="M221" s="128" t="n"/>
      <c r="N221" s="128" t="n"/>
      <c r="O221" s="128" t="n"/>
      <c r="P221" s="128" t="n"/>
      <c r="Q221" s="128" t="n"/>
      <c r="R221" s="128" t="n"/>
      <c r="S221" s="128" t="n"/>
      <c r="T221" s="128" t="n"/>
      <c r="U221" s="128" t="n"/>
      <c r="V221" s="128" t="n"/>
      <c r="W221" s="128" t="n"/>
      <c r="X221" s="128" t="n"/>
      <c r="Y221" s="128" t="n"/>
      <c r="Z221" s="128" t="n"/>
      <c r="AA221" s="128" t="n"/>
      <c r="AB221" s="128" t="n"/>
      <c r="AC221" s="128" t="n"/>
      <c r="AD221" s="128" t="n"/>
      <c r="AE221" s="128" t="n"/>
      <c r="AF221" s="128" t="n"/>
      <c r="AG221" s="128" t="n"/>
      <c r="AH221" s="128" t="n"/>
      <c r="AI221" s="128" t="n"/>
      <c r="AJ221" s="128" t="n"/>
      <c r="AK221" s="128" t="n"/>
    </row>
    <row r="222" hidden="1" outlineLevel="1">
      <c r="B222" s="128" t="n"/>
      <c r="C222" s="128" t="n"/>
      <c r="D222" s="128" t="n"/>
      <c r="E222" s="128" t="n"/>
      <c r="F222" s="128" t="n"/>
      <c r="G222" s="128" t="n"/>
      <c r="H222" s="128" t="n"/>
      <c r="I222" s="128" t="n"/>
      <c r="J222" s="128" t="n"/>
      <c r="K222" s="128" t="n"/>
      <c r="L222" s="128" t="n"/>
      <c r="M222" s="128" t="n"/>
      <c r="N222" s="128" t="n"/>
      <c r="O222" s="128" t="n"/>
      <c r="P222" s="128" t="n"/>
      <c r="Q222" s="128" t="n"/>
      <c r="R222" s="128" t="n"/>
      <c r="S222" s="128" t="n"/>
      <c r="T222" s="128" t="n"/>
      <c r="U222" s="128" t="n"/>
      <c r="V222" s="128" t="n"/>
      <c r="W222" s="128" t="n"/>
      <c r="X222" s="128" t="n"/>
      <c r="Y222" s="128" t="n"/>
      <c r="Z222" s="128" t="n"/>
      <c r="AA222" s="128" t="n"/>
      <c r="AB222" s="128" t="n"/>
      <c r="AC222" s="128" t="n"/>
      <c r="AD222" s="128" t="n"/>
      <c r="AE222" s="128" t="n"/>
      <c r="AF222" s="128" t="n"/>
      <c r="AG222" s="128" t="n"/>
      <c r="AH222" s="128" t="n"/>
      <c r="AI222" s="128" t="n"/>
      <c r="AJ222" s="128" t="n"/>
      <c r="AK222" s="128" t="n"/>
    </row>
    <row r="223" hidden="1" outlineLevel="1">
      <c r="B223" s="128" t="n"/>
      <c r="C223" s="128" t="n"/>
      <c r="D223" s="128" t="n"/>
      <c r="E223" s="128" t="n"/>
      <c r="F223" s="128" t="n"/>
      <c r="G223" s="128" t="n"/>
      <c r="H223" s="128" t="n"/>
      <c r="I223" s="128" t="n"/>
      <c r="J223" s="128" t="n"/>
      <c r="K223" s="128" t="n"/>
      <c r="L223" s="128" t="n"/>
      <c r="M223" s="128" t="n"/>
      <c r="N223" s="128" t="n"/>
      <c r="O223" s="128" t="n"/>
      <c r="P223" s="128" t="n"/>
      <c r="Q223" s="128" t="n"/>
      <c r="R223" s="128" t="n"/>
      <c r="S223" s="128" t="n"/>
      <c r="T223" s="128" t="n"/>
      <c r="U223" s="128" t="n"/>
      <c r="V223" s="128" t="n"/>
      <c r="W223" s="128" t="n"/>
      <c r="X223" s="128" t="n"/>
      <c r="Y223" s="128" t="n"/>
      <c r="Z223" s="128" t="n"/>
      <c r="AA223" s="128" t="n"/>
      <c r="AB223" s="128" t="n"/>
      <c r="AC223" s="128" t="n"/>
      <c r="AD223" s="128" t="n"/>
      <c r="AE223" s="128" t="n"/>
      <c r="AF223" s="128" t="n"/>
      <c r="AG223" s="128" t="n"/>
      <c r="AH223" s="128" t="n"/>
      <c r="AI223" s="128" t="n"/>
      <c r="AJ223" s="128" t="n"/>
      <c r="AK223" s="128" t="n"/>
    </row>
    <row r="224" hidden="1" outlineLevel="1">
      <c r="B224" s="128" t="n"/>
      <c r="C224" s="128" t="n"/>
      <c r="D224" s="128" t="n"/>
      <c r="E224" s="128" t="n"/>
      <c r="F224" s="128" t="n"/>
      <c r="G224" s="128" t="n"/>
      <c r="H224" s="128" t="n"/>
      <c r="I224" s="128" t="n"/>
      <c r="J224" s="128" t="n"/>
      <c r="K224" s="128" t="n"/>
      <c r="L224" s="128" t="n"/>
      <c r="M224" s="128" t="n"/>
      <c r="N224" s="128" t="n"/>
      <c r="O224" s="128" t="n"/>
      <c r="P224" s="128" t="n"/>
      <c r="Q224" s="128" t="n"/>
      <c r="R224" s="128" t="n"/>
      <c r="S224" s="128" t="n"/>
      <c r="T224" s="128" t="n"/>
      <c r="U224" s="128" t="n"/>
      <c r="V224" s="128" t="n"/>
      <c r="W224" s="128" t="n"/>
      <c r="X224" s="128" t="n"/>
      <c r="Y224" s="128" t="n"/>
      <c r="Z224" s="128" t="n"/>
      <c r="AA224" s="128" t="n"/>
      <c r="AB224" s="128" t="n"/>
      <c r="AC224" s="128" t="n"/>
      <c r="AD224" s="128" t="n"/>
      <c r="AE224" s="128" t="n"/>
      <c r="AF224" s="128" t="n"/>
      <c r="AG224" s="128" t="n"/>
      <c r="AH224" s="128" t="n"/>
      <c r="AI224" s="128" t="n"/>
      <c r="AJ224" s="128" t="n"/>
      <c r="AK224" s="128" t="n"/>
    </row>
    <row r="225" hidden="1" outlineLevel="1">
      <c r="B225" s="128" t="n"/>
      <c r="C225" s="128" t="n"/>
      <c r="D225" s="128" t="n"/>
      <c r="E225" s="128" t="n"/>
      <c r="F225" s="128" t="n"/>
      <c r="G225" s="128" t="n"/>
      <c r="H225" s="128" t="n"/>
      <c r="I225" s="128" t="n"/>
      <c r="J225" s="128" t="n"/>
      <c r="K225" s="128" t="n"/>
      <c r="L225" s="128" t="n"/>
      <c r="M225" s="128" t="n"/>
      <c r="N225" s="128" t="n"/>
      <c r="O225" s="128" t="n"/>
      <c r="P225" s="128" t="n"/>
      <c r="Q225" s="128" t="n"/>
      <c r="R225" s="128" t="n"/>
      <c r="S225" s="128" t="n"/>
      <c r="T225" s="128" t="n"/>
      <c r="U225" s="128" t="n"/>
      <c r="V225" s="128" t="n"/>
      <c r="W225" s="128" t="n"/>
      <c r="X225" s="128" t="n"/>
      <c r="Y225" s="128" t="n"/>
      <c r="Z225" s="128" t="n"/>
      <c r="AA225" s="128" t="n"/>
      <c r="AB225" s="128" t="n"/>
      <c r="AC225" s="128" t="n"/>
      <c r="AD225" s="128" t="n"/>
      <c r="AE225" s="128" t="n"/>
      <c r="AF225" s="128" t="n"/>
      <c r="AG225" s="128" t="n"/>
      <c r="AH225" s="128" t="n"/>
      <c r="AI225" s="128" t="n"/>
      <c r="AJ225" s="128" t="n"/>
      <c r="AK225" s="128" t="n"/>
    </row>
    <row r="226" hidden="1" outlineLevel="1">
      <c r="B226" s="128" t="n"/>
      <c r="C226" s="128" t="n"/>
      <c r="D226" s="128" t="n"/>
      <c r="E226" s="128" t="n"/>
      <c r="F226" s="128" t="n"/>
      <c r="G226" s="128" t="n"/>
      <c r="H226" s="128" t="n"/>
      <c r="I226" s="128" t="n"/>
      <c r="J226" s="128" t="n"/>
      <c r="K226" s="128" t="n"/>
      <c r="L226" s="128" t="n"/>
      <c r="M226" s="128" t="n"/>
      <c r="N226" s="128" t="n"/>
      <c r="O226" s="128" t="n"/>
      <c r="P226" s="128" t="n"/>
      <c r="Q226" s="128" t="n"/>
      <c r="R226" s="128" t="n"/>
      <c r="S226" s="128" t="n"/>
      <c r="T226" s="128" t="n"/>
      <c r="U226" s="128" t="n"/>
      <c r="V226" s="128" t="n"/>
      <c r="W226" s="128" t="n"/>
      <c r="X226" s="128" t="n"/>
      <c r="Y226" s="128" t="n"/>
      <c r="Z226" s="128" t="n"/>
      <c r="AA226" s="128" t="n"/>
      <c r="AB226" s="128" t="n"/>
      <c r="AC226" s="128" t="n"/>
      <c r="AD226" s="128" t="n"/>
      <c r="AE226" s="128" t="n"/>
      <c r="AF226" s="128" t="n"/>
      <c r="AG226" s="128" t="n"/>
      <c r="AH226" s="128" t="n"/>
      <c r="AI226" s="128" t="n"/>
      <c r="AJ226" s="128" t="n"/>
      <c r="AK226" s="128" t="n"/>
    </row>
    <row r="227" hidden="1" outlineLevel="1">
      <c r="B227" s="128" t="n"/>
      <c r="C227" s="128" t="n"/>
      <c r="D227" s="128" t="n"/>
      <c r="E227" s="128" t="n"/>
      <c r="F227" s="128" t="n"/>
      <c r="G227" s="128" t="n"/>
      <c r="H227" s="128" t="n"/>
      <c r="I227" s="128" t="n"/>
      <c r="J227" s="128" t="n"/>
      <c r="K227" s="128" t="n"/>
      <c r="L227" s="128" t="n"/>
      <c r="M227" s="128" t="n"/>
      <c r="N227" s="128" t="n"/>
      <c r="O227" s="128" t="n"/>
      <c r="P227" s="128" t="n"/>
      <c r="Q227" s="128" t="n"/>
      <c r="R227" s="128" t="n"/>
      <c r="S227" s="128" t="n"/>
      <c r="T227" s="128" t="n"/>
      <c r="U227" s="128" t="n"/>
      <c r="V227" s="128" t="n"/>
      <c r="W227" s="128" t="n"/>
      <c r="X227" s="128" t="n"/>
      <c r="Y227" s="128" t="n"/>
      <c r="Z227" s="128" t="n"/>
      <c r="AA227" s="128" t="n"/>
      <c r="AB227" s="128" t="n"/>
      <c r="AC227" s="128" t="n"/>
      <c r="AD227" s="128" t="n"/>
      <c r="AE227" s="128" t="n"/>
      <c r="AF227" s="128" t="n"/>
      <c r="AG227" s="128" t="n"/>
      <c r="AH227" s="128" t="n"/>
      <c r="AI227" s="128" t="n"/>
      <c r="AJ227" s="128" t="n"/>
      <c r="AK227" s="128" t="n"/>
    </row>
    <row r="228" hidden="1" outlineLevel="1">
      <c r="B228" s="128" t="n"/>
      <c r="C228" s="128" t="n"/>
      <c r="D228" s="128" t="n"/>
      <c r="E228" s="128" t="n"/>
      <c r="F228" s="128" t="n"/>
      <c r="G228" s="128" t="n"/>
      <c r="H228" s="128" t="n"/>
      <c r="I228" s="128" t="n"/>
      <c r="J228" s="128" t="n"/>
      <c r="K228" s="128" t="n"/>
      <c r="L228" s="128" t="n"/>
      <c r="M228" s="128" t="n"/>
      <c r="N228" s="128" t="n"/>
      <c r="O228" s="128" t="n"/>
      <c r="P228" s="128" t="n"/>
      <c r="Q228" s="128" t="n"/>
      <c r="R228" s="128" t="n"/>
      <c r="S228" s="128" t="n"/>
      <c r="T228" s="128" t="n"/>
      <c r="U228" s="128" t="n"/>
      <c r="V228" s="128" t="n"/>
      <c r="W228" s="128" t="n"/>
      <c r="X228" s="128" t="n"/>
      <c r="Y228" s="128" t="n"/>
      <c r="Z228" s="128" t="n"/>
      <c r="AA228" s="128" t="n"/>
      <c r="AB228" s="128" t="n"/>
      <c r="AC228" s="128" t="n"/>
      <c r="AD228" s="128" t="n"/>
      <c r="AE228" s="128" t="n"/>
      <c r="AF228" s="128" t="n"/>
      <c r="AG228" s="128" t="n"/>
      <c r="AH228" s="128" t="n"/>
      <c r="AI228" s="128" t="n"/>
      <c r="AJ228" s="128" t="n"/>
      <c r="AK228" s="128" t="n"/>
    </row>
    <row r="229" hidden="1" outlineLevel="1">
      <c r="B229" s="128" t="n"/>
      <c r="C229" s="128" t="n"/>
      <c r="D229" s="128" t="n"/>
      <c r="E229" s="128" t="n"/>
      <c r="F229" s="128" t="n"/>
      <c r="G229" s="128" t="n"/>
      <c r="H229" s="128" t="n"/>
      <c r="I229" s="128" t="n"/>
      <c r="J229" s="128" t="n"/>
      <c r="K229" s="128" t="n"/>
      <c r="L229" s="128" t="n"/>
      <c r="M229" s="128" t="n"/>
      <c r="N229" s="128" t="n"/>
      <c r="O229" s="128" t="n"/>
      <c r="P229" s="128" t="n"/>
      <c r="Q229" s="128" t="n"/>
      <c r="R229" s="128" t="n"/>
      <c r="S229" s="128" t="n"/>
      <c r="T229" s="128" t="n"/>
      <c r="U229" s="128" t="n"/>
      <c r="V229" s="128" t="n"/>
      <c r="W229" s="128" t="n"/>
      <c r="X229" s="128" t="n"/>
      <c r="Y229" s="128" t="n"/>
      <c r="Z229" s="128" t="n"/>
      <c r="AA229" s="128" t="n"/>
      <c r="AB229" s="128" t="n"/>
      <c r="AC229" s="128" t="n"/>
      <c r="AD229" s="128" t="n"/>
      <c r="AE229" s="128" t="n"/>
      <c r="AF229" s="128" t="n"/>
      <c r="AG229" s="128" t="n"/>
      <c r="AH229" s="128" t="n"/>
      <c r="AI229" s="128" t="n"/>
      <c r="AJ229" s="128" t="n"/>
      <c r="AK229" s="128" t="n"/>
    </row>
    <row r="230" hidden="1" outlineLevel="1">
      <c r="B230" s="128" t="n"/>
      <c r="C230" s="128" t="n"/>
      <c r="D230" s="128" t="n"/>
      <c r="E230" s="128" t="n"/>
      <c r="F230" s="128" t="n"/>
      <c r="G230" s="128" t="n"/>
      <c r="H230" s="128" t="n"/>
      <c r="I230" s="128" t="n"/>
      <c r="J230" s="128" t="n"/>
      <c r="K230" s="128" t="n"/>
      <c r="L230" s="128" t="n"/>
      <c r="M230" s="128" t="n"/>
      <c r="N230" s="128" t="n"/>
      <c r="O230" s="128" t="n"/>
      <c r="P230" s="128" t="n"/>
      <c r="Q230" s="128" t="n"/>
      <c r="R230" s="128" t="n"/>
      <c r="S230" s="128" t="n"/>
      <c r="T230" s="128" t="n"/>
      <c r="U230" s="128" t="n"/>
      <c r="V230" s="128" t="n"/>
      <c r="W230" s="128" t="n"/>
      <c r="X230" s="128" t="n"/>
      <c r="Y230" s="128" t="n"/>
      <c r="Z230" s="128" t="n"/>
      <c r="AA230" s="128" t="n"/>
      <c r="AB230" s="128" t="n"/>
      <c r="AC230" s="128" t="n"/>
      <c r="AD230" s="128" t="n"/>
      <c r="AE230" s="128" t="n"/>
      <c r="AF230" s="128" t="n"/>
      <c r="AG230" s="128" t="n"/>
      <c r="AH230" s="128" t="n"/>
      <c r="AI230" s="128" t="n"/>
      <c r="AJ230" s="128" t="n"/>
      <c r="AK230" s="128" t="n"/>
    </row>
    <row r="231" hidden="1" outlineLevel="1">
      <c r="B231" s="128" t="n"/>
      <c r="C231" s="128" t="n"/>
      <c r="D231" s="128" t="n"/>
      <c r="E231" s="128" t="n"/>
      <c r="F231" s="128" t="n"/>
      <c r="G231" s="128" t="n"/>
      <c r="H231" s="128" t="n"/>
      <c r="I231" s="128" t="n"/>
      <c r="J231" s="128" t="n"/>
      <c r="K231" s="128" t="n"/>
      <c r="L231" s="128" t="n"/>
      <c r="M231" s="128" t="n"/>
      <c r="N231" s="128" t="n"/>
      <c r="O231" s="128" t="n"/>
      <c r="P231" s="128" t="n"/>
      <c r="Q231" s="128" t="n"/>
      <c r="R231" s="128" t="n"/>
      <c r="S231" s="128" t="n"/>
      <c r="T231" s="128" t="n"/>
      <c r="U231" s="128" t="n"/>
      <c r="V231" s="128" t="n"/>
      <c r="W231" s="128" t="n"/>
      <c r="X231" s="128" t="n"/>
      <c r="Y231" s="128" t="n"/>
      <c r="Z231" s="128" t="n"/>
      <c r="AA231" s="128" t="n"/>
      <c r="AB231" s="128" t="n"/>
      <c r="AC231" s="128" t="n"/>
      <c r="AD231" s="128" t="n"/>
      <c r="AE231" s="128" t="n"/>
      <c r="AF231" s="128" t="n"/>
      <c r="AG231" s="128" t="n"/>
      <c r="AH231" s="128" t="n"/>
      <c r="AI231" s="128" t="n"/>
      <c r="AJ231" s="128" t="n"/>
      <c r="AK231" s="128" t="n"/>
    </row>
    <row r="232" hidden="1" outlineLevel="1">
      <c r="B232" s="128" t="n"/>
      <c r="C232" s="128" t="n"/>
      <c r="D232" s="128" t="n"/>
      <c r="E232" s="128" t="n"/>
      <c r="F232" s="128" t="n"/>
      <c r="G232" s="128" t="n"/>
      <c r="H232" s="128" t="n"/>
      <c r="I232" s="128" t="n"/>
      <c r="J232" s="128" t="n"/>
      <c r="K232" s="128" t="n"/>
      <c r="L232" s="128" t="n"/>
      <c r="M232" s="128" t="n"/>
      <c r="N232" s="128" t="n"/>
      <c r="O232" s="128" t="n"/>
      <c r="P232" s="128" t="n"/>
      <c r="Q232" s="128" t="n"/>
      <c r="R232" s="128" t="n"/>
      <c r="S232" s="128" t="n"/>
      <c r="T232" s="128" t="n"/>
      <c r="U232" s="128" t="n"/>
      <c r="V232" s="128" t="n"/>
      <c r="W232" s="128" t="n"/>
      <c r="X232" s="128" t="n"/>
      <c r="Y232" s="128" t="n"/>
      <c r="Z232" s="128" t="n"/>
      <c r="AA232" s="128" t="n"/>
      <c r="AB232" s="128" t="n"/>
      <c r="AC232" s="128" t="n"/>
      <c r="AD232" s="128" t="n"/>
      <c r="AE232" s="128" t="n"/>
      <c r="AF232" s="128" t="n"/>
      <c r="AG232" s="128" t="n"/>
      <c r="AH232" s="128" t="n"/>
      <c r="AI232" s="128" t="n"/>
      <c r="AJ232" s="128" t="n"/>
      <c r="AK232" s="128" t="n"/>
    </row>
    <row r="233" hidden="1" outlineLevel="1">
      <c r="B233" s="128" t="n"/>
      <c r="C233" s="128" t="n"/>
      <c r="D233" s="128" t="n"/>
      <c r="E233" s="128" t="n"/>
      <c r="F233" s="128" t="n"/>
      <c r="G233" s="128" t="n"/>
      <c r="H233" s="128" t="n"/>
      <c r="I233" s="128" t="n"/>
      <c r="J233" s="128" t="n"/>
      <c r="K233" s="128" t="n"/>
      <c r="L233" s="128" t="n"/>
      <c r="M233" s="128" t="n"/>
      <c r="N233" s="128" t="n"/>
      <c r="O233" s="128" t="n"/>
      <c r="P233" s="128" t="n"/>
      <c r="Q233" s="128" t="n"/>
      <c r="R233" s="128" t="n"/>
      <c r="S233" s="128" t="n"/>
      <c r="T233" s="128" t="n"/>
      <c r="U233" s="128" t="n"/>
      <c r="V233" s="128" t="n"/>
      <c r="W233" s="128" t="n"/>
      <c r="X233" s="128" t="n"/>
      <c r="Y233" s="128" t="n"/>
      <c r="Z233" s="128" t="n"/>
      <c r="AA233" s="128" t="n"/>
      <c r="AB233" s="128" t="n"/>
      <c r="AC233" s="128" t="n"/>
      <c r="AD233" s="128" t="n"/>
      <c r="AE233" s="128" t="n"/>
      <c r="AF233" s="128" t="n"/>
      <c r="AG233" s="128" t="n"/>
      <c r="AH233" s="128" t="n"/>
      <c r="AI233" s="128" t="n"/>
      <c r="AJ233" s="128" t="n"/>
      <c r="AK233" s="128" t="n"/>
    </row>
    <row r="234" hidden="1" outlineLevel="1">
      <c r="B234" s="128" t="n"/>
      <c r="C234" s="128" t="n"/>
      <c r="D234" s="128" t="n"/>
      <c r="E234" s="128" t="n"/>
      <c r="F234" s="128" t="n"/>
      <c r="G234" s="128" t="n"/>
      <c r="H234" s="128" t="n"/>
      <c r="I234" s="128" t="n"/>
      <c r="J234" s="128" t="n"/>
      <c r="K234" s="128" t="n"/>
      <c r="L234" s="128" t="n"/>
      <c r="M234" s="128" t="n"/>
      <c r="N234" s="128" t="n"/>
      <c r="O234" s="128" t="n"/>
      <c r="P234" s="128" t="n"/>
      <c r="Q234" s="128" t="n"/>
      <c r="R234" s="128" t="n"/>
      <c r="S234" s="128" t="n"/>
      <c r="T234" s="128" t="n"/>
      <c r="U234" s="128" t="n"/>
      <c r="V234" s="128" t="n"/>
      <c r="W234" s="128" t="n"/>
      <c r="X234" s="128" t="n"/>
      <c r="Y234" s="128" t="n"/>
      <c r="Z234" s="128" t="n"/>
      <c r="AA234" s="128" t="n"/>
      <c r="AB234" s="128" t="n"/>
      <c r="AC234" s="128" t="n"/>
      <c r="AD234" s="128" t="n"/>
      <c r="AE234" s="128" t="n"/>
      <c r="AF234" s="128" t="n"/>
      <c r="AG234" s="128" t="n"/>
      <c r="AH234" s="128" t="n"/>
      <c r="AI234" s="128" t="n"/>
      <c r="AJ234" s="128" t="n"/>
      <c r="AK234" s="128" t="n"/>
    </row>
    <row r="235" hidden="1" outlineLevel="1">
      <c r="B235" s="128" t="n"/>
      <c r="C235" s="128" t="n"/>
      <c r="D235" s="128" t="n"/>
      <c r="E235" s="128" t="n"/>
      <c r="F235" s="128" t="n"/>
      <c r="G235" s="128" t="n"/>
      <c r="H235" s="128" t="n"/>
      <c r="I235" s="128" t="n"/>
      <c r="J235" s="128" t="n"/>
      <c r="K235" s="128" t="n"/>
      <c r="L235" s="128" t="n"/>
      <c r="M235" s="128" t="n"/>
      <c r="N235" s="128" t="n"/>
      <c r="O235" s="128" t="n"/>
      <c r="P235" s="128" t="n"/>
      <c r="Q235" s="128" t="n"/>
      <c r="R235" s="128" t="n"/>
      <c r="S235" s="128" t="n"/>
      <c r="T235" s="128" t="n"/>
      <c r="U235" s="128" t="n"/>
      <c r="V235" s="128" t="n"/>
      <c r="W235" s="128" t="n"/>
      <c r="X235" s="128" t="n"/>
      <c r="Y235" s="128" t="n"/>
      <c r="Z235" s="128" t="n"/>
      <c r="AA235" s="128" t="n"/>
      <c r="AB235" s="128" t="n"/>
      <c r="AC235" s="128" t="n"/>
      <c r="AD235" s="128" t="n"/>
      <c r="AE235" s="128" t="n"/>
      <c r="AF235" s="128" t="n"/>
      <c r="AG235" s="128" t="n"/>
      <c r="AH235" s="128" t="n"/>
      <c r="AI235" s="128" t="n"/>
      <c r="AJ235" s="128" t="n"/>
      <c r="AK235" s="128" t="n"/>
    </row>
    <row r="236" hidden="1" outlineLevel="1">
      <c r="B236" s="128" t="n"/>
      <c r="C236" s="128" t="n"/>
      <c r="D236" s="128" t="n"/>
      <c r="E236" s="128" t="n"/>
      <c r="F236" s="128" t="n"/>
      <c r="G236" s="128" t="n"/>
      <c r="H236" s="128" t="n"/>
      <c r="I236" s="128" t="n"/>
      <c r="J236" s="128" t="n"/>
      <c r="K236" s="128" t="n"/>
      <c r="L236" s="128" t="n"/>
      <c r="M236" s="128" t="n"/>
      <c r="N236" s="128" t="n"/>
      <c r="O236" s="128" t="n"/>
      <c r="P236" s="128" t="n"/>
      <c r="Q236" s="128" t="n"/>
      <c r="R236" s="128" t="n"/>
      <c r="S236" s="128" t="n"/>
      <c r="T236" s="128" t="n"/>
      <c r="U236" s="128" t="n"/>
      <c r="V236" s="128" t="n"/>
      <c r="W236" s="128" t="n"/>
      <c r="X236" s="128" t="n"/>
      <c r="Y236" s="128" t="n"/>
      <c r="Z236" s="128" t="n"/>
      <c r="AA236" s="128" t="n"/>
      <c r="AB236" s="128" t="n"/>
      <c r="AC236" s="128" t="n"/>
      <c r="AD236" s="128" t="n"/>
      <c r="AE236" s="128" t="n"/>
      <c r="AF236" s="128" t="n"/>
      <c r="AG236" s="128" t="n"/>
      <c r="AH236" s="128" t="n"/>
      <c r="AI236" s="128" t="n"/>
      <c r="AJ236" s="128" t="n"/>
      <c r="AK236" s="128" t="n"/>
    </row>
    <row r="237" hidden="1" outlineLevel="1">
      <c r="B237" s="128" t="n"/>
      <c r="C237" s="128" t="n"/>
      <c r="D237" s="128" t="n"/>
      <c r="E237" s="128" t="n"/>
      <c r="F237" s="128" t="n"/>
      <c r="G237" s="128" t="n"/>
      <c r="H237" s="128" t="n"/>
      <c r="I237" s="128" t="n"/>
      <c r="J237" s="128" t="n"/>
      <c r="K237" s="128" t="n"/>
      <c r="L237" s="128" t="n"/>
      <c r="M237" s="128" t="n"/>
      <c r="N237" s="128" t="n"/>
      <c r="O237" s="128" t="n"/>
      <c r="P237" s="128" t="n"/>
      <c r="Q237" s="128" t="n"/>
      <c r="R237" s="128" t="n"/>
      <c r="S237" s="128" t="n"/>
      <c r="T237" s="128" t="n"/>
      <c r="U237" s="128" t="n"/>
      <c r="V237" s="128" t="n"/>
      <c r="W237" s="128" t="n"/>
      <c r="X237" s="128" t="n"/>
      <c r="Y237" s="128" t="n"/>
      <c r="Z237" s="128" t="n"/>
      <c r="AA237" s="128" t="n"/>
      <c r="AB237" s="128" t="n"/>
      <c r="AC237" s="128" t="n"/>
      <c r="AD237" s="128" t="n"/>
      <c r="AE237" s="128" t="n"/>
      <c r="AF237" s="128" t="n"/>
      <c r="AG237" s="128" t="n"/>
      <c r="AH237" s="128" t="n"/>
      <c r="AI237" s="128" t="n"/>
      <c r="AJ237" s="128" t="n"/>
      <c r="AK237" s="128" t="n"/>
    </row>
    <row r="238" hidden="1" outlineLevel="1">
      <c r="B238" s="128" t="n"/>
      <c r="C238" s="128" t="n"/>
      <c r="D238" s="128" t="n"/>
      <c r="E238" s="128" t="n"/>
      <c r="F238" s="128" t="n"/>
      <c r="G238" s="128" t="n"/>
      <c r="H238" s="128" t="n"/>
      <c r="I238" s="128" t="n"/>
      <c r="J238" s="128" t="n"/>
      <c r="K238" s="128" t="n"/>
      <c r="L238" s="128" t="n"/>
      <c r="M238" s="128" t="n"/>
      <c r="N238" s="128" t="n"/>
      <c r="O238" s="128" t="n"/>
      <c r="P238" s="128" t="n"/>
      <c r="Q238" s="128" t="n"/>
      <c r="R238" s="128" t="n"/>
      <c r="S238" s="128" t="n"/>
      <c r="T238" s="128" t="n"/>
      <c r="U238" s="128" t="n"/>
      <c r="V238" s="128" t="n"/>
      <c r="W238" s="128" t="n"/>
      <c r="X238" s="128" t="n"/>
      <c r="Y238" s="128" t="n"/>
      <c r="Z238" s="128" t="n"/>
      <c r="AA238" s="128" t="n"/>
      <c r="AB238" s="128" t="n"/>
      <c r="AC238" s="128" t="n"/>
      <c r="AD238" s="128" t="n"/>
      <c r="AE238" s="128" t="n"/>
      <c r="AF238" s="128" t="n"/>
      <c r="AG238" s="128" t="n"/>
      <c r="AH238" s="128" t="n"/>
      <c r="AI238" s="128" t="n"/>
      <c r="AJ238" s="128" t="n"/>
      <c r="AK238" s="128" t="n"/>
    </row>
    <row r="239" hidden="1" outlineLevel="1">
      <c r="B239" s="128" t="n"/>
      <c r="C239" s="128" t="n"/>
      <c r="D239" s="128" t="n"/>
      <c r="E239" s="128" t="n"/>
      <c r="F239" s="128" t="n"/>
      <c r="G239" s="128" t="n"/>
      <c r="H239" s="128" t="n"/>
      <c r="I239" s="128" t="n"/>
      <c r="J239" s="128" t="n"/>
      <c r="K239" s="128" t="n"/>
      <c r="L239" s="128" t="n"/>
      <c r="M239" s="128" t="n"/>
      <c r="N239" s="128" t="n"/>
      <c r="O239" s="128" t="n"/>
      <c r="P239" s="128" t="n"/>
      <c r="Q239" s="128" t="n"/>
      <c r="R239" s="128" t="n"/>
      <c r="S239" s="128" t="n"/>
      <c r="T239" s="128" t="n"/>
      <c r="U239" s="128" t="n"/>
      <c r="V239" s="128" t="n"/>
      <c r="W239" s="128" t="n"/>
      <c r="X239" s="128" t="n"/>
      <c r="Y239" s="128" t="n"/>
      <c r="Z239" s="128" t="n"/>
      <c r="AA239" s="128" t="n"/>
      <c r="AB239" s="128" t="n"/>
      <c r="AC239" s="128" t="n"/>
      <c r="AD239" s="128" t="n"/>
      <c r="AE239" s="128" t="n"/>
      <c r="AF239" s="128" t="n"/>
      <c r="AG239" s="128" t="n"/>
      <c r="AH239" s="128" t="n"/>
      <c r="AI239" s="128" t="n"/>
      <c r="AJ239" s="128" t="n"/>
      <c r="AK239" s="128" t="n"/>
    </row>
    <row r="240" hidden="1" outlineLevel="1">
      <c r="B240" s="128" t="n"/>
      <c r="C240" s="128" t="n"/>
      <c r="D240" s="128" t="n"/>
      <c r="E240" s="128" t="n"/>
      <c r="F240" s="128" t="n"/>
      <c r="G240" s="128" t="n"/>
      <c r="H240" s="128" t="n"/>
      <c r="I240" s="128" t="n"/>
      <c r="J240" s="128" t="n"/>
      <c r="K240" s="128" t="n"/>
      <c r="L240" s="128" t="n"/>
      <c r="M240" s="128" t="n"/>
      <c r="N240" s="128" t="n"/>
      <c r="O240" s="128" t="n"/>
      <c r="P240" s="128" t="n"/>
      <c r="Q240" s="128" t="n"/>
      <c r="R240" s="128" t="n"/>
      <c r="S240" s="128" t="n"/>
      <c r="T240" s="128" t="n"/>
      <c r="U240" s="128" t="n"/>
      <c r="V240" s="128" t="n"/>
      <c r="W240" s="128" t="n"/>
      <c r="X240" s="128" t="n"/>
      <c r="Y240" s="128" t="n"/>
      <c r="Z240" s="128" t="n"/>
      <c r="AA240" s="128" t="n"/>
      <c r="AB240" s="128" t="n"/>
      <c r="AC240" s="128" t="n"/>
      <c r="AD240" s="128" t="n"/>
      <c r="AE240" s="128" t="n"/>
      <c r="AF240" s="128" t="n"/>
      <c r="AG240" s="128" t="n"/>
      <c r="AH240" s="128" t="n"/>
      <c r="AI240" s="128" t="n"/>
      <c r="AJ240" s="128" t="n"/>
      <c r="AK240" s="128" t="n"/>
    </row>
    <row r="241" hidden="1" outlineLevel="1">
      <c r="B241" s="128" t="n"/>
      <c r="C241" s="128" t="n"/>
      <c r="D241" s="128" t="n"/>
      <c r="E241" s="128" t="n"/>
      <c r="F241" s="128" t="n"/>
      <c r="G241" s="128" t="n"/>
      <c r="H241" s="128" t="n"/>
      <c r="I241" s="128" t="n"/>
      <c r="J241" s="128" t="n"/>
      <c r="K241" s="128" t="n"/>
      <c r="L241" s="128" t="n"/>
      <c r="M241" s="128" t="n"/>
      <c r="N241" s="128" t="n"/>
      <c r="O241" s="128" t="n"/>
      <c r="P241" s="128" t="n"/>
      <c r="Q241" s="128" t="n"/>
      <c r="R241" s="128" t="n"/>
      <c r="S241" s="128" t="n"/>
      <c r="T241" s="128" t="n"/>
      <c r="U241" s="128" t="n"/>
      <c r="V241" s="128" t="n"/>
      <c r="W241" s="128" t="n"/>
      <c r="X241" s="128" t="n"/>
      <c r="Y241" s="128" t="n"/>
      <c r="Z241" s="128" t="n"/>
      <c r="AA241" s="128" t="n"/>
      <c r="AB241" s="128" t="n"/>
      <c r="AC241" s="128" t="n"/>
      <c r="AD241" s="128" t="n"/>
      <c r="AE241" s="128" t="n"/>
      <c r="AF241" s="128" t="n"/>
      <c r="AG241" s="128" t="n"/>
      <c r="AH241" s="128" t="n"/>
      <c r="AI241" s="128" t="n"/>
      <c r="AJ241" s="128" t="n"/>
      <c r="AK241" s="128" t="n"/>
    </row>
    <row r="242" hidden="1" outlineLevel="1">
      <c r="B242" s="128" t="n"/>
      <c r="C242" s="128" t="n"/>
      <c r="D242" s="128" t="n"/>
      <c r="E242" s="128" t="n"/>
      <c r="F242" s="128" t="n"/>
      <c r="G242" s="128" t="n"/>
      <c r="H242" s="128" t="n"/>
      <c r="I242" s="128" t="n"/>
      <c r="J242" s="128" t="n"/>
      <c r="K242" s="128" t="n"/>
      <c r="L242" s="128" t="n"/>
      <c r="M242" s="128" t="n"/>
      <c r="N242" s="128" t="n"/>
      <c r="O242" s="128" t="n"/>
      <c r="P242" s="128" t="n"/>
      <c r="Q242" s="128" t="n"/>
      <c r="R242" s="128" t="n"/>
      <c r="S242" s="128" t="n"/>
      <c r="T242" s="128" t="n"/>
      <c r="U242" s="128" t="n"/>
      <c r="V242" s="128" t="n"/>
      <c r="W242" s="128" t="n"/>
      <c r="X242" s="128" t="n"/>
      <c r="Y242" s="128" t="n"/>
      <c r="Z242" s="128" t="n"/>
      <c r="AA242" s="128" t="n"/>
      <c r="AB242" s="128" t="n"/>
      <c r="AC242" s="128" t="n"/>
      <c r="AD242" s="128" t="n"/>
      <c r="AE242" s="128" t="n"/>
      <c r="AF242" s="128" t="n"/>
      <c r="AG242" s="128" t="n"/>
      <c r="AH242" s="128" t="n"/>
      <c r="AI242" s="128" t="n"/>
      <c r="AJ242" s="128" t="n"/>
      <c r="AK242" s="128" t="n"/>
    </row>
  </sheetData>
  <mergeCells count="10">
    <mergeCell ref="A136:H136"/>
    <mergeCell ref="A1:BO1"/>
    <mergeCell ref="A32:BO32"/>
    <mergeCell ref="A52:H52"/>
    <mergeCell ref="A164:H164"/>
    <mergeCell ref="A6:BO6"/>
    <mergeCell ref="A108:H108"/>
    <mergeCell ref="A18:BO18"/>
    <mergeCell ref="A27:BO27"/>
    <mergeCell ref="A80:H80"/>
  </mergeCells>
  <printOptions horizontalCentered="0"/>
  <pageMargins left="0.75" right="0.75" top="1" bottom="1" header="0.5" footer="0.5"/>
  <pageSetup orientation="landscape" fitToHeight="0" fitToWidth="1"/>
  <headerFooter>
    <oddHeader/>
    <oddFooter>&amp;LФинмодель Спартак · 06_Сеть_и_дети&amp;R&amp;P / &amp;N</oddFooter>
    <evenHeader/>
    <evenFooter/>
    <firstHeader/>
    <firstFooter/>
  </headerFooter>
</worksheet>
</file>

<file path=xl/worksheets/sheet9.xml><?xml version="1.0" encoding="utf-8"?>
<worksheet xmlns="http://schemas.openxmlformats.org/spreadsheetml/2006/main">
  <sheetPr>
    <tabColor rgb="009E1B31"/>
    <outlinePr summaryBelow="1" summaryRight="1"/>
    <pageSetUpPr fitToPage="1"/>
  </sheetPr>
  <dimension ref="A1:BO34"/>
  <sheetViews>
    <sheetView showGridLines="0" zoomScale="8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hidden="1" width="10" customWidth="1" min="62" max="62"/>
    <col hidden="1" width="10" customWidth="1" min="63" max="63"/>
    <col hidden="1" width="10" customWidth="1" min="64" max="64"/>
    <col hidden="1" width="10" customWidth="1" min="65" max="65"/>
    <col hidden="1" width="10" customWidth="1" min="66" max="66"/>
    <col hidden="1" width="10" customWidth="1" min="67" max="67"/>
  </cols>
  <sheetData>
    <row r="1" ht="24" customHeight="1">
      <c r="A1" s="1" t="inlineStr">
        <is>
          <t>Мерч, склад и займ</t>
        </is>
      </c>
    </row>
    <row r="2" ht="20" customHeight="1">
      <c r="A2" s="4" t="inlineStr">
        <is>
          <t>Продажи мерча</t>
        </is>
      </c>
    </row>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c r="BJ3" s="94">
        <f>DATE(YEAR('01_Вводные'!$B$7),MONTH('01_Вводные'!$B$7)+60,1)</f>
        <v/>
      </c>
      <c r="BK3" s="94">
        <f>DATE(YEAR('01_Вводные'!$B$7),MONTH('01_Вводные'!$B$7)+61,1)</f>
        <v/>
      </c>
      <c r="BL3" s="94">
        <f>DATE(YEAR('01_Вводные'!$B$7),MONTH('01_Вводные'!$B$7)+62,1)</f>
        <v/>
      </c>
      <c r="BM3" s="94">
        <f>DATE(YEAR('01_Вводные'!$B$7),MONTH('01_Вводные'!$B$7)+63,1)</f>
        <v/>
      </c>
      <c r="BN3" s="94">
        <f>DATE(YEAR('01_Вводные'!$B$7),MONTH('01_Вводные'!$B$7)+64,1)</f>
        <v/>
      </c>
      <c r="BO3" s="94">
        <f>DATE(YEAR('01_Вводные'!$B$7),MONTH('01_Вводные'!$B$7)+65,1)</f>
        <v/>
      </c>
    </row>
    <row r="4">
      <c r="A4" s="2" t="inlineStr">
        <is>
          <t>Сезонность повторных продаж</t>
        </is>
      </c>
      <c r="B4" s="97">
        <f>INDEX('01_Вводные'!$B$94:$M$94,1,MONTH(B$3))</f>
        <v/>
      </c>
      <c r="C4" s="97">
        <f>INDEX('01_Вводные'!$B$94:$M$94,1,MONTH(C$3))</f>
        <v/>
      </c>
      <c r="D4" s="97">
        <f>INDEX('01_Вводные'!$B$94:$M$94,1,MONTH(D$3))</f>
        <v/>
      </c>
      <c r="E4" s="97">
        <f>INDEX('01_Вводные'!$B$94:$M$94,1,MONTH(E$3))</f>
        <v/>
      </c>
      <c r="F4" s="97">
        <f>INDEX('01_Вводные'!$B$94:$M$94,1,MONTH(F$3))</f>
        <v/>
      </c>
      <c r="G4" s="97">
        <f>INDEX('01_Вводные'!$B$94:$M$94,1,MONTH(G$3))</f>
        <v/>
      </c>
      <c r="H4" s="97">
        <f>INDEX('01_Вводные'!$B$94:$M$94,1,MONTH(H$3))</f>
        <v/>
      </c>
      <c r="I4" s="97">
        <f>INDEX('01_Вводные'!$B$94:$M$94,1,MONTH(I$3))</f>
        <v/>
      </c>
      <c r="J4" s="97">
        <f>INDEX('01_Вводные'!$B$94:$M$94,1,MONTH(J$3))</f>
        <v/>
      </c>
      <c r="K4" s="97">
        <f>INDEX('01_Вводные'!$B$94:$M$94,1,MONTH(K$3))</f>
        <v/>
      </c>
      <c r="L4" s="97">
        <f>INDEX('01_Вводные'!$B$94:$M$94,1,MONTH(L$3))</f>
        <v/>
      </c>
      <c r="M4" s="97">
        <f>INDEX('01_Вводные'!$B$94:$M$94,1,MONTH(M$3))</f>
        <v/>
      </c>
      <c r="N4" s="97">
        <f>INDEX('01_Вводные'!$B$94:$M$94,1,MONTH(N$3))</f>
        <v/>
      </c>
      <c r="O4" s="97">
        <f>INDEX('01_Вводные'!$B$94:$M$94,1,MONTH(O$3))</f>
        <v/>
      </c>
      <c r="P4" s="97">
        <f>INDEX('01_Вводные'!$B$94:$M$94,1,MONTH(P$3))</f>
        <v/>
      </c>
      <c r="Q4" s="97">
        <f>INDEX('01_Вводные'!$B$94:$M$94,1,MONTH(Q$3))</f>
        <v/>
      </c>
      <c r="R4" s="97">
        <f>INDEX('01_Вводные'!$B$94:$M$94,1,MONTH(R$3))</f>
        <v/>
      </c>
      <c r="S4" s="97">
        <f>INDEX('01_Вводные'!$B$94:$M$94,1,MONTH(S$3))</f>
        <v/>
      </c>
      <c r="T4" s="97">
        <f>INDEX('01_Вводные'!$B$94:$M$94,1,MONTH(T$3))</f>
        <v/>
      </c>
      <c r="U4" s="97">
        <f>INDEX('01_Вводные'!$B$94:$M$94,1,MONTH(U$3))</f>
        <v/>
      </c>
      <c r="V4" s="97">
        <f>INDEX('01_Вводные'!$B$94:$M$94,1,MONTH(V$3))</f>
        <v/>
      </c>
      <c r="W4" s="97">
        <f>INDEX('01_Вводные'!$B$94:$M$94,1,MONTH(W$3))</f>
        <v/>
      </c>
      <c r="X4" s="97">
        <f>INDEX('01_Вводные'!$B$94:$M$94,1,MONTH(X$3))</f>
        <v/>
      </c>
      <c r="Y4" s="97">
        <f>INDEX('01_Вводные'!$B$94:$M$94,1,MONTH(Y$3))</f>
        <v/>
      </c>
      <c r="Z4" s="97">
        <f>INDEX('01_Вводные'!$B$94:$M$94,1,MONTH(Z$3))</f>
        <v/>
      </c>
      <c r="AA4" s="97">
        <f>INDEX('01_Вводные'!$B$94:$M$94,1,MONTH(AA$3))</f>
        <v/>
      </c>
      <c r="AB4" s="97">
        <f>INDEX('01_Вводные'!$B$94:$M$94,1,MONTH(AB$3))</f>
        <v/>
      </c>
      <c r="AC4" s="97">
        <f>INDEX('01_Вводные'!$B$94:$M$94,1,MONTH(AC$3))</f>
        <v/>
      </c>
      <c r="AD4" s="97">
        <f>INDEX('01_Вводные'!$B$94:$M$94,1,MONTH(AD$3))</f>
        <v/>
      </c>
      <c r="AE4" s="97">
        <f>INDEX('01_Вводные'!$B$94:$M$94,1,MONTH(AE$3))</f>
        <v/>
      </c>
      <c r="AF4" s="97">
        <f>INDEX('01_Вводные'!$B$94:$M$94,1,MONTH(AF$3))</f>
        <v/>
      </c>
      <c r="AG4" s="97">
        <f>INDEX('01_Вводные'!$B$94:$M$94,1,MONTH(AG$3))</f>
        <v/>
      </c>
      <c r="AH4" s="97">
        <f>INDEX('01_Вводные'!$B$94:$M$94,1,MONTH(AH$3))</f>
        <v/>
      </c>
      <c r="AI4" s="97">
        <f>INDEX('01_Вводные'!$B$94:$M$94,1,MONTH(AI$3))</f>
        <v/>
      </c>
      <c r="AJ4" s="97">
        <f>INDEX('01_Вводные'!$B$94:$M$94,1,MONTH(AJ$3))</f>
        <v/>
      </c>
      <c r="AK4" s="97">
        <f>INDEX('01_Вводные'!$B$94:$M$94,1,MONTH(AK$3))</f>
        <v/>
      </c>
      <c r="AL4" s="97">
        <f>INDEX('01_Вводные'!$B$94:$M$94,1,MONTH(AL$3))</f>
        <v/>
      </c>
      <c r="AM4" s="97">
        <f>INDEX('01_Вводные'!$B$94:$M$94,1,MONTH(AM$3))</f>
        <v/>
      </c>
      <c r="AN4" s="97">
        <f>INDEX('01_Вводные'!$B$94:$M$94,1,MONTH(AN$3))</f>
        <v/>
      </c>
      <c r="AO4" s="97">
        <f>INDEX('01_Вводные'!$B$94:$M$94,1,MONTH(AO$3))</f>
        <v/>
      </c>
      <c r="AP4" s="97">
        <f>INDEX('01_Вводные'!$B$94:$M$94,1,MONTH(AP$3))</f>
        <v/>
      </c>
      <c r="AQ4" s="97">
        <f>INDEX('01_Вводные'!$B$94:$M$94,1,MONTH(AQ$3))</f>
        <v/>
      </c>
      <c r="AR4" s="97">
        <f>INDEX('01_Вводные'!$B$94:$M$94,1,MONTH(AR$3))</f>
        <v/>
      </c>
      <c r="AS4" s="97">
        <f>INDEX('01_Вводные'!$B$94:$M$94,1,MONTH(AS$3))</f>
        <v/>
      </c>
      <c r="AT4" s="97">
        <f>INDEX('01_Вводные'!$B$94:$M$94,1,MONTH(AT$3))</f>
        <v/>
      </c>
      <c r="AU4" s="97">
        <f>INDEX('01_Вводные'!$B$94:$M$94,1,MONTH(AU$3))</f>
        <v/>
      </c>
      <c r="AV4" s="97">
        <f>INDEX('01_Вводные'!$B$94:$M$94,1,MONTH(AV$3))</f>
        <v/>
      </c>
      <c r="AW4" s="97">
        <f>INDEX('01_Вводные'!$B$94:$M$94,1,MONTH(AW$3))</f>
        <v/>
      </c>
      <c r="AX4" s="97">
        <f>INDEX('01_Вводные'!$B$94:$M$94,1,MONTH(AX$3))</f>
        <v/>
      </c>
      <c r="AY4" s="97">
        <f>INDEX('01_Вводные'!$B$94:$M$94,1,MONTH(AY$3))</f>
        <v/>
      </c>
      <c r="AZ4" s="97">
        <f>INDEX('01_Вводные'!$B$94:$M$94,1,MONTH(AZ$3))</f>
        <v/>
      </c>
      <c r="BA4" s="97">
        <f>INDEX('01_Вводные'!$B$94:$M$94,1,MONTH(BA$3))</f>
        <v/>
      </c>
      <c r="BB4" s="97">
        <f>INDEX('01_Вводные'!$B$94:$M$94,1,MONTH(BB$3))</f>
        <v/>
      </c>
      <c r="BC4" s="97">
        <f>INDEX('01_Вводные'!$B$94:$M$94,1,MONTH(BC$3))</f>
        <v/>
      </c>
      <c r="BD4" s="97">
        <f>INDEX('01_Вводные'!$B$94:$M$94,1,MONTH(BD$3))</f>
        <v/>
      </c>
      <c r="BE4" s="97">
        <f>INDEX('01_Вводные'!$B$94:$M$94,1,MONTH(BE$3))</f>
        <v/>
      </c>
      <c r="BF4" s="97">
        <f>INDEX('01_Вводные'!$B$94:$M$94,1,MONTH(BF$3))</f>
        <v/>
      </c>
      <c r="BG4" s="97">
        <f>INDEX('01_Вводные'!$B$94:$M$94,1,MONTH(BG$3))</f>
        <v/>
      </c>
      <c r="BH4" s="97">
        <f>INDEX('01_Вводные'!$B$94:$M$94,1,MONTH(BH$3))</f>
        <v/>
      </c>
      <c r="BI4" s="97">
        <f>INDEX('01_Вводные'!$B$94:$M$94,1,MONTH(BI$3))</f>
        <v/>
      </c>
      <c r="BJ4" s="97">
        <f>INDEX('01_Вводные'!$B$94:$M$94,1,MONTH(BJ$3))</f>
        <v/>
      </c>
      <c r="BK4" s="97">
        <f>INDEX('01_Вводные'!$B$94:$M$94,1,MONTH(BK$3))</f>
        <v/>
      </c>
      <c r="BL4" s="97">
        <f>INDEX('01_Вводные'!$B$94:$M$94,1,MONTH(BL$3))</f>
        <v/>
      </c>
      <c r="BM4" s="97">
        <f>INDEX('01_Вводные'!$B$94:$M$94,1,MONTH(BM$3))</f>
        <v/>
      </c>
      <c r="BN4" s="97">
        <f>INDEX('01_Вводные'!$B$94:$M$94,1,MONTH(BN$3))</f>
        <v/>
      </c>
      <c r="BO4" s="97">
        <f>INDEX('01_Вводные'!$B$94:$M$94,1,MONTH(BO$3))</f>
        <v/>
      </c>
    </row>
    <row r="5">
      <c r="A5" s="2" t="inlineStr">
        <is>
          <t>Действующая сеть — комплекты</t>
        </is>
      </c>
      <c r="B5" s="40">
        <f>IF(COUNTIF('01_Вводные'!$B$98:$E$98,B$3)&gt;0,SUMIF('01_Вводные'!$B$98:$E$98,B$3,'01_Вводные'!$B$99:$E$99),'06_Сеть_и_дети'!B19*'01_Вводные'!$B$74*B4)</f>
        <v/>
      </c>
      <c r="C5" s="40">
        <f>IF(COUNTIF('01_Вводные'!$B$98:$E$98,C$3)&gt;0,SUMIF('01_Вводные'!$B$98:$E$98,C$3,'01_Вводные'!$B$99:$E$99),'06_Сеть_и_дети'!C19*'01_Вводные'!$B$74*C4)</f>
        <v/>
      </c>
      <c r="D5" s="40">
        <f>IF(COUNTIF('01_Вводные'!$B$98:$E$98,D$3)&gt;0,SUMIF('01_Вводные'!$B$98:$E$98,D$3,'01_Вводные'!$B$99:$E$99),'06_Сеть_и_дети'!D19*'01_Вводные'!$B$74*D4)</f>
        <v/>
      </c>
      <c r="E5" s="40">
        <f>IF(COUNTIF('01_Вводные'!$B$98:$E$98,E$3)&gt;0,SUMIF('01_Вводные'!$B$98:$E$98,E$3,'01_Вводные'!$B$99:$E$99),'06_Сеть_и_дети'!E19*'01_Вводные'!$B$74*E4)</f>
        <v/>
      </c>
      <c r="F5" s="40">
        <f>IF(COUNTIF('01_Вводные'!$B$98:$E$98,F$3)&gt;0,SUMIF('01_Вводные'!$B$98:$E$98,F$3,'01_Вводные'!$B$99:$E$99),'06_Сеть_и_дети'!F19*'01_Вводные'!$B$74*F4)</f>
        <v/>
      </c>
      <c r="G5" s="40">
        <f>IF(COUNTIF('01_Вводные'!$B$98:$E$98,G$3)&gt;0,SUMIF('01_Вводные'!$B$98:$E$98,G$3,'01_Вводные'!$B$99:$E$99),'06_Сеть_и_дети'!G19*'01_Вводные'!$B$74*G4)</f>
        <v/>
      </c>
      <c r="H5" s="40">
        <f>IF(COUNTIF('01_Вводные'!$B$98:$E$98,H$3)&gt;0,SUMIF('01_Вводные'!$B$98:$E$98,H$3,'01_Вводные'!$B$99:$E$99),'06_Сеть_и_дети'!H19*'01_Вводные'!$B$74*H4)</f>
        <v/>
      </c>
      <c r="I5" s="40">
        <f>IF(COUNTIF('01_Вводные'!$B$98:$E$98,I$3)&gt;0,SUMIF('01_Вводные'!$B$98:$E$98,I$3,'01_Вводные'!$B$99:$E$99),'06_Сеть_и_дети'!I19*'01_Вводные'!$B$74*I4)</f>
        <v/>
      </c>
      <c r="J5" s="40">
        <f>IF(COUNTIF('01_Вводные'!$B$98:$E$98,J$3)&gt;0,SUMIF('01_Вводные'!$B$98:$E$98,J$3,'01_Вводные'!$B$99:$E$99),'06_Сеть_и_дети'!J19*'01_Вводные'!$B$74*J4)</f>
        <v/>
      </c>
      <c r="K5" s="40">
        <f>IF(COUNTIF('01_Вводные'!$B$98:$E$98,K$3)&gt;0,SUMIF('01_Вводные'!$B$98:$E$98,K$3,'01_Вводные'!$B$99:$E$99),'06_Сеть_и_дети'!K19*'01_Вводные'!$B$74*K4)</f>
        <v/>
      </c>
      <c r="L5" s="40">
        <f>IF(COUNTIF('01_Вводные'!$B$98:$E$98,L$3)&gt;0,SUMIF('01_Вводные'!$B$98:$E$98,L$3,'01_Вводные'!$B$99:$E$99),'06_Сеть_и_дети'!L19*'01_Вводные'!$B$74*L4)</f>
        <v/>
      </c>
      <c r="M5" s="40">
        <f>IF(COUNTIF('01_Вводные'!$B$98:$E$98,M$3)&gt;0,SUMIF('01_Вводные'!$B$98:$E$98,M$3,'01_Вводные'!$B$99:$E$99),'06_Сеть_и_дети'!M19*'01_Вводные'!$B$74*M4)</f>
        <v/>
      </c>
      <c r="N5" s="40">
        <f>IF(COUNTIF('01_Вводные'!$B$98:$E$98,N$3)&gt;0,SUMIF('01_Вводные'!$B$98:$E$98,N$3,'01_Вводные'!$B$99:$E$99),'06_Сеть_и_дети'!N19*'01_Вводные'!$B$74*N4)</f>
        <v/>
      </c>
      <c r="O5" s="40">
        <f>IF(COUNTIF('01_Вводные'!$B$98:$E$98,O$3)&gt;0,SUMIF('01_Вводные'!$B$98:$E$98,O$3,'01_Вводные'!$B$99:$E$99),'06_Сеть_и_дети'!O19*'01_Вводные'!$B$74*O4)</f>
        <v/>
      </c>
      <c r="P5" s="40">
        <f>IF(COUNTIF('01_Вводные'!$B$98:$E$98,P$3)&gt;0,SUMIF('01_Вводные'!$B$98:$E$98,P$3,'01_Вводные'!$B$99:$E$99),'06_Сеть_и_дети'!P19*'01_Вводные'!$B$74*P4)</f>
        <v/>
      </c>
      <c r="Q5" s="40">
        <f>IF(COUNTIF('01_Вводные'!$B$98:$E$98,Q$3)&gt;0,SUMIF('01_Вводные'!$B$98:$E$98,Q$3,'01_Вводные'!$B$99:$E$99),'06_Сеть_и_дети'!Q19*'01_Вводные'!$B$74*Q4)</f>
        <v/>
      </c>
      <c r="R5" s="40">
        <f>IF(COUNTIF('01_Вводные'!$B$98:$E$98,R$3)&gt;0,SUMIF('01_Вводные'!$B$98:$E$98,R$3,'01_Вводные'!$B$99:$E$99),'06_Сеть_и_дети'!R19*'01_Вводные'!$B$74*R4)</f>
        <v/>
      </c>
      <c r="S5" s="40">
        <f>IF(COUNTIF('01_Вводные'!$B$98:$E$98,S$3)&gt;0,SUMIF('01_Вводные'!$B$98:$E$98,S$3,'01_Вводные'!$B$99:$E$99),'06_Сеть_и_дети'!S19*'01_Вводные'!$B$74*S4)</f>
        <v/>
      </c>
      <c r="T5" s="40">
        <f>IF(COUNTIF('01_Вводные'!$B$98:$E$98,T$3)&gt;0,SUMIF('01_Вводные'!$B$98:$E$98,T$3,'01_Вводные'!$B$99:$E$99),'06_Сеть_и_дети'!T19*'01_Вводные'!$B$74*T4)</f>
        <v/>
      </c>
      <c r="U5" s="40">
        <f>IF(COUNTIF('01_Вводные'!$B$98:$E$98,U$3)&gt;0,SUMIF('01_Вводные'!$B$98:$E$98,U$3,'01_Вводные'!$B$99:$E$99),'06_Сеть_и_дети'!U19*'01_Вводные'!$B$74*U4)</f>
        <v/>
      </c>
      <c r="V5" s="40">
        <f>IF(COUNTIF('01_Вводные'!$B$98:$E$98,V$3)&gt;0,SUMIF('01_Вводные'!$B$98:$E$98,V$3,'01_Вводные'!$B$99:$E$99),'06_Сеть_и_дети'!V19*'01_Вводные'!$B$74*V4)</f>
        <v/>
      </c>
      <c r="W5" s="40">
        <f>IF(COUNTIF('01_Вводные'!$B$98:$E$98,W$3)&gt;0,SUMIF('01_Вводные'!$B$98:$E$98,W$3,'01_Вводные'!$B$99:$E$99),'06_Сеть_и_дети'!W19*'01_Вводные'!$B$74*W4)</f>
        <v/>
      </c>
      <c r="X5" s="40">
        <f>IF(COUNTIF('01_Вводные'!$B$98:$E$98,X$3)&gt;0,SUMIF('01_Вводные'!$B$98:$E$98,X$3,'01_Вводные'!$B$99:$E$99),'06_Сеть_и_дети'!X19*'01_Вводные'!$B$74*X4)</f>
        <v/>
      </c>
      <c r="Y5" s="40">
        <f>IF(COUNTIF('01_Вводные'!$B$98:$E$98,Y$3)&gt;0,SUMIF('01_Вводные'!$B$98:$E$98,Y$3,'01_Вводные'!$B$99:$E$99),'06_Сеть_и_дети'!Y19*'01_Вводные'!$B$74*Y4)</f>
        <v/>
      </c>
      <c r="Z5" s="40">
        <f>IF(COUNTIF('01_Вводные'!$B$98:$E$98,Z$3)&gt;0,SUMIF('01_Вводные'!$B$98:$E$98,Z$3,'01_Вводные'!$B$99:$E$99),'06_Сеть_и_дети'!Z19*'01_Вводные'!$B$74*Z4)</f>
        <v/>
      </c>
      <c r="AA5" s="40">
        <f>IF(COUNTIF('01_Вводные'!$B$98:$E$98,AA$3)&gt;0,SUMIF('01_Вводные'!$B$98:$E$98,AA$3,'01_Вводные'!$B$99:$E$99),'06_Сеть_и_дети'!AA19*'01_Вводные'!$B$74*AA4)</f>
        <v/>
      </c>
      <c r="AB5" s="40">
        <f>IF(COUNTIF('01_Вводные'!$B$98:$E$98,AB$3)&gt;0,SUMIF('01_Вводные'!$B$98:$E$98,AB$3,'01_Вводные'!$B$99:$E$99),'06_Сеть_и_дети'!AB19*'01_Вводные'!$B$74*AB4)</f>
        <v/>
      </c>
      <c r="AC5" s="40">
        <f>IF(COUNTIF('01_Вводные'!$B$98:$E$98,AC$3)&gt;0,SUMIF('01_Вводные'!$B$98:$E$98,AC$3,'01_Вводные'!$B$99:$E$99),'06_Сеть_и_дети'!AC19*'01_Вводные'!$B$74*AC4)</f>
        <v/>
      </c>
      <c r="AD5" s="40">
        <f>IF(COUNTIF('01_Вводные'!$B$98:$E$98,AD$3)&gt;0,SUMIF('01_Вводные'!$B$98:$E$98,AD$3,'01_Вводные'!$B$99:$E$99),'06_Сеть_и_дети'!AD19*'01_Вводные'!$B$74*AD4)</f>
        <v/>
      </c>
      <c r="AE5" s="40">
        <f>IF(COUNTIF('01_Вводные'!$B$98:$E$98,AE$3)&gt;0,SUMIF('01_Вводные'!$B$98:$E$98,AE$3,'01_Вводные'!$B$99:$E$99),'06_Сеть_и_дети'!AE19*'01_Вводные'!$B$74*AE4)</f>
        <v/>
      </c>
      <c r="AF5" s="40">
        <f>IF(COUNTIF('01_Вводные'!$B$98:$E$98,AF$3)&gt;0,SUMIF('01_Вводные'!$B$98:$E$98,AF$3,'01_Вводные'!$B$99:$E$99),'06_Сеть_и_дети'!AF19*'01_Вводные'!$B$74*AF4)</f>
        <v/>
      </c>
      <c r="AG5" s="40">
        <f>IF(COUNTIF('01_Вводные'!$B$98:$E$98,AG$3)&gt;0,SUMIF('01_Вводные'!$B$98:$E$98,AG$3,'01_Вводные'!$B$99:$E$99),'06_Сеть_и_дети'!AG19*'01_Вводные'!$B$74*AG4)</f>
        <v/>
      </c>
      <c r="AH5" s="40">
        <f>IF(COUNTIF('01_Вводные'!$B$98:$E$98,AH$3)&gt;0,SUMIF('01_Вводные'!$B$98:$E$98,AH$3,'01_Вводные'!$B$99:$E$99),'06_Сеть_и_дети'!AH19*'01_Вводные'!$B$74*AH4)</f>
        <v/>
      </c>
      <c r="AI5" s="40">
        <f>IF(COUNTIF('01_Вводные'!$B$98:$E$98,AI$3)&gt;0,SUMIF('01_Вводные'!$B$98:$E$98,AI$3,'01_Вводные'!$B$99:$E$99),'06_Сеть_и_дети'!AI19*'01_Вводные'!$B$74*AI4)</f>
        <v/>
      </c>
      <c r="AJ5" s="40">
        <f>IF(COUNTIF('01_Вводные'!$B$98:$E$98,AJ$3)&gt;0,SUMIF('01_Вводные'!$B$98:$E$98,AJ$3,'01_Вводные'!$B$99:$E$99),'06_Сеть_и_дети'!AJ19*'01_Вводные'!$B$74*AJ4)</f>
        <v/>
      </c>
      <c r="AK5" s="40">
        <f>IF(COUNTIF('01_Вводные'!$B$98:$E$98,AK$3)&gt;0,SUMIF('01_Вводные'!$B$98:$E$98,AK$3,'01_Вводные'!$B$99:$E$99),'06_Сеть_и_дети'!AK19*'01_Вводные'!$B$74*AK4)</f>
        <v/>
      </c>
      <c r="AL5" s="40">
        <f>IF(COUNTIF('01_Вводные'!$B$98:$E$98,AL$3)&gt;0,SUMIF('01_Вводные'!$B$98:$E$98,AL$3,'01_Вводные'!$B$99:$E$99),'06_Сеть_и_дети'!AL19*'01_Вводные'!$B$74*AL4)</f>
        <v/>
      </c>
      <c r="AM5" s="40">
        <f>IF(COUNTIF('01_Вводные'!$B$98:$E$98,AM$3)&gt;0,SUMIF('01_Вводные'!$B$98:$E$98,AM$3,'01_Вводные'!$B$99:$E$99),'06_Сеть_и_дети'!AM19*'01_Вводные'!$B$74*AM4)</f>
        <v/>
      </c>
      <c r="AN5" s="40">
        <f>IF(COUNTIF('01_Вводные'!$B$98:$E$98,AN$3)&gt;0,SUMIF('01_Вводные'!$B$98:$E$98,AN$3,'01_Вводные'!$B$99:$E$99),'06_Сеть_и_дети'!AN19*'01_Вводные'!$B$74*AN4)</f>
        <v/>
      </c>
      <c r="AO5" s="40">
        <f>IF(COUNTIF('01_Вводные'!$B$98:$E$98,AO$3)&gt;0,SUMIF('01_Вводные'!$B$98:$E$98,AO$3,'01_Вводные'!$B$99:$E$99),'06_Сеть_и_дети'!AO19*'01_Вводные'!$B$74*AO4)</f>
        <v/>
      </c>
      <c r="AP5" s="40">
        <f>IF(COUNTIF('01_Вводные'!$B$98:$E$98,AP$3)&gt;0,SUMIF('01_Вводные'!$B$98:$E$98,AP$3,'01_Вводные'!$B$99:$E$99),'06_Сеть_и_дети'!AP19*'01_Вводные'!$B$74*AP4)</f>
        <v/>
      </c>
      <c r="AQ5" s="40">
        <f>IF(COUNTIF('01_Вводные'!$B$98:$E$98,AQ$3)&gt;0,SUMIF('01_Вводные'!$B$98:$E$98,AQ$3,'01_Вводные'!$B$99:$E$99),'06_Сеть_и_дети'!AQ19*'01_Вводные'!$B$74*AQ4)</f>
        <v/>
      </c>
      <c r="AR5" s="40">
        <f>IF(COUNTIF('01_Вводные'!$B$98:$E$98,AR$3)&gt;0,SUMIF('01_Вводные'!$B$98:$E$98,AR$3,'01_Вводные'!$B$99:$E$99),'06_Сеть_и_дети'!AR19*'01_Вводные'!$B$74*AR4)</f>
        <v/>
      </c>
      <c r="AS5" s="40">
        <f>IF(COUNTIF('01_Вводные'!$B$98:$E$98,AS$3)&gt;0,SUMIF('01_Вводные'!$B$98:$E$98,AS$3,'01_Вводные'!$B$99:$E$99),'06_Сеть_и_дети'!AS19*'01_Вводные'!$B$74*AS4)</f>
        <v/>
      </c>
      <c r="AT5" s="40">
        <f>IF(COUNTIF('01_Вводные'!$B$98:$E$98,AT$3)&gt;0,SUMIF('01_Вводные'!$B$98:$E$98,AT$3,'01_Вводные'!$B$99:$E$99),'06_Сеть_и_дети'!AT19*'01_Вводные'!$B$74*AT4)</f>
        <v/>
      </c>
      <c r="AU5" s="40">
        <f>IF(COUNTIF('01_Вводные'!$B$98:$E$98,AU$3)&gt;0,SUMIF('01_Вводные'!$B$98:$E$98,AU$3,'01_Вводные'!$B$99:$E$99),'06_Сеть_и_дети'!AU19*'01_Вводные'!$B$74*AU4)</f>
        <v/>
      </c>
      <c r="AV5" s="40">
        <f>IF(COUNTIF('01_Вводные'!$B$98:$E$98,AV$3)&gt;0,SUMIF('01_Вводные'!$B$98:$E$98,AV$3,'01_Вводные'!$B$99:$E$99),'06_Сеть_и_дети'!AV19*'01_Вводные'!$B$74*AV4)</f>
        <v/>
      </c>
      <c r="AW5" s="40">
        <f>IF(COUNTIF('01_Вводные'!$B$98:$E$98,AW$3)&gt;0,SUMIF('01_Вводные'!$B$98:$E$98,AW$3,'01_Вводные'!$B$99:$E$99),'06_Сеть_и_дети'!AW19*'01_Вводные'!$B$74*AW4)</f>
        <v/>
      </c>
      <c r="AX5" s="40">
        <f>IF(COUNTIF('01_Вводные'!$B$98:$E$98,AX$3)&gt;0,SUMIF('01_Вводные'!$B$98:$E$98,AX$3,'01_Вводные'!$B$99:$E$99),'06_Сеть_и_дети'!AX19*'01_Вводные'!$B$74*AX4)</f>
        <v/>
      </c>
      <c r="AY5" s="40">
        <f>IF(COUNTIF('01_Вводные'!$B$98:$E$98,AY$3)&gt;0,SUMIF('01_Вводные'!$B$98:$E$98,AY$3,'01_Вводные'!$B$99:$E$99),'06_Сеть_и_дети'!AY19*'01_Вводные'!$B$74*AY4)</f>
        <v/>
      </c>
      <c r="AZ5" s="40">
        <f>IF(COUNTIF('01_Вводные'!$B$98:$E$98,AZ$3)&gt;0,SUMIF('01_Вводные'!$B$98:$E$98,AZ$3,'01_Вводные'!$B$99:$E$99),'06_Сеть_и_дети'!AZ19*'01_Вводные'!$B$74*AZ4)</f>
        <v/>
      </c>
      <c r="BA5" s="40">
        <f>IF(COUNTIF('01_Вводные'!$B$98:$E$98,BA$3)&gt;0,SUMIF('01_Вводные'!$B$98:$E$98,BA$3,'01_Вводные'!$B$99:$E$99),'06_Сеть_и_дети'!BA19*'01_Вводные'!$B$74*BA4)</f>
        <v/>
      </c>
      <c r="BB5" s="40">
        <f>IF(COUNTIF('01_Вводные'!$B$98:$E$98,BB$3)&gt;0,SUMIF('01_Вводные'!$B$98:$E$98,BB$3,'01_Вводные'!$B$99:$E$99),'06_Сеть_и_дети'!BB19*'01_Вводные'!$B$74*BB4)</f>
        <v/>
      </c>
      <c r="BC5" s="40">
        <f>IF(COUNTIF('01_Вводные'!$B$98:$E$98,BC$3)&gt;0,SUMIF('01_Вводные'!$B$98:$E$98,BC$3,'01_Вводные'!$B$99:$E$99),'06_Сеть_и_дети'!BC19*'01_Вводные'!$B$74*BC4)</f>
        <v/>
      </c>
      <c r="BD5" s="40">
        <f>IF(COUNTIF('01_Вводные'!$B$98:$E$98,BD$3)&gt;0,SUMIF('01_Вводные'!$B$98:$E$98,BD$3,'01_Вводные'!$B$99:$E$99),'06_Сеть_и_дети'!BD19*'01_Вводные'!$B$74*BD4)</f>
        <v/>
      </c>
      <c r="BE5" s="40">
        <f>IF(COUNTIF('01_Вводные'!$B$98:$E$98,BE$3)&gt;0,SUMIF('01_Вводные'!$B$98:$E$98,BE$3,'01_Вводные'!$B$99:$E$99),'06_Сеть_и_дети'!BE19*'01_Вводные'!$B$74*BE4)</f>
        <v/>
      </c>
      <c r="BF5" s="40">
        <f>IF(COUNTIF('01_Вводные'!$B$98:$E$98,BF$3)&gt;0,SUMIF('01_Вводные'!$B$98:$E$98,BF$3,'01_Вводные'!$B$99:$E$99),'06_Сеть_и_дети'!BF19*'01_Вводные'!$B$74*BF4)</f>
        <v/>
      </c>
      <c r="BG5" s="40">
        <f>IF(COUNTIF('01_Вводные'!$B$98:$E$98,BG$3)&gt;0,SUMIF('01_Вводные'!$B$98:$E$98,BG$3,'01_Вводные'!$B$99:$E$99),'06_Сеть_и_дети'!BG19*'01_Вводные'!$B$74*BG4)</f>
        <v/>
      </c>
      <c r="BH5" s="40">
        <f>IF(COUNTIF('01_Вводные'!$B$98:$E$98,BH$3)&gt;0,SUMIF('01_Вводные'!$B$98:$E$98,BH$3,'01_Вводные'!$B$99:$E$99),'06_Сеть_и_дети'!BH19*'01_Вводные'!$B$74*BH4)</f>
        <v/>
      </c>
      <c r="BI5" s="40">
        <f>IF(COUNTIF('01_Вводные'!$B$98:$E$98,BI$3)&gt;0,SUMIF('01_Вводные'!$B$98:$E$98,BI$3,'01_Вводные'!$B$99:$E$99),'06_Сеть_и_дети'!BI19*'01_Вводные'!$B$74*BI4)</f>
        <v/>
      </c>
      <c r="BJ5" s="40">
        <f>IF(COUNTIF('01_Вводные'!$B$98:$E$98,BJ$3)&gt;0,SUMIF('01_Вводные'!$B$98:$E$98,BJ$3,'01_Вводные'!$B$99:$E$99),'06_Сеть_и_дети'!BJ19*'01_Вводные'!$B$74*BJ4)</f>
        <v/>
      </c>
      <c r="BK5" s="40">
        <f>IF(COUNTIF('01_Вводные'!$B$98:$E$98,BK$3)&gt;0,SUMIF('01_Вводные'!$B$98:$E$98,BK$3,'01_Вводные'!$B$99:$E$99),'06_Сеть_и_дети'!BK19*'01_Вводные'!$B$74*BK4)</f>
        <v/>
      </c>
      <c r="BL5" s="40">
        <f>IF(COUNTIF('01_Вводные'!$B$98:$E$98,BL$3)&gt;0,SUMIF('01_Вводные'!$B$98:$E$98,BL$3,'01_Вводные'!$B$99:$E$99),'06_Сеть_и_дети'!BL19*'01_Вводные'!$B$74*BL4)</f>
        <v/>
      </c>
      <c r="BM5" s="40">
        <f>IF(COUNTIF('01_Вводные'!$B$98:$E$98,BM$3)&gt;0,SUMIF('01_Вводные'!$B$98:$E$98,BM$3,'01_Вводные'!$B$99:$E$99),'06_Сеть_и_дети'!BM19*'01_Вводные'!$B$74*BM4)</f>
        <v/>
      </c>
      <c r="BN5" s="40">
        <f>IF(COUNTIF('01_Вводные'!$B$98:$E$98,BN$3)&gt;0,SUMIF('01_Вводные'!$B$98:$E$98,BN$3,'01_Вводные'!$B$99:$E$99),'06_Сеть_и_дети'!BN19*'01_Вводные'!$B$74*BN4)</f>
        <v/>
      </c>
      <c r="BO5" s="40">
        <f>IF(COUNTIF('01_Вводные'!$B$98:$E$98,BO$3)&gt;0,SUMIF('01_Вводные'!$B$98:$E$98,BO$3,'01_Вводные'!$B$99:$E$99),'06_Сеть_и_дети'!BO19*'01_Вводные'!$B$74*BO4)</f>
        <v/>
      </c>
    </row>
    <row r="6">
      <c r="A6" s="2" t="inlineStr">
        <is>
          <t>Действующая сеть — выручка с НДС</t>
        </is>
      </c>
      <c r="B6" s="40">
        <f>IF(COUNTIF('01_Вводные'!$B$98:$E$98,B$3)&gt;0,SUMIF('01_Вводные'!$B$98:$E$98,B$3,'01_Вводные'!$B$100:$E$100),B5*'18_Календарь_тарифы'!B10)</f>
        <v/>
      </c>
      <c r="C6" s="40">
        <f>IF(COUNTIF('01_Вводные'!$B$98:$E$98,C$3)&gt;0,SUMIF('01_Вводные'!$B$98:$E$98,C$3,'01_Вводные'!$B$100:$E$100),C5*'18_Календарь_тарифы'!C10)</f>
        <v/>
      </c>
      <c r="D6" s="40">
        <f>IF(COUNTIF('01_Вводные'!$B$98:$E$98,D$3)&gt;0,SUMIF('01_Вводные'!$B$98:$E$98,D$3,'01_Вводные'!$B$100:$E$100),D5*'18_Календарь_тарифы'!D10)</f>
        <v/>
      </c>
      <c r="E6" s="40">
        <f>IF(COUNTIF('01_Вводные'!$B$98:$E$98,E$3)&gt;0,SUMIF('01_Вводные'!$B$98:$E$98,E$3,'01_Вводные'!$B$100:$E$100),E5*'18_Календарь_тарифы'!E10)</f>
        <v/>
      </c>
      <c r="F6" s="185">
        <f>IF(COUNTIF('01_Вводные'!$B$98:$E$98,F$3)&gt;0,SUMIF('01_Вводные'!$B$98:$E$98,F$3,'01_Вводные'!$B$100:$E$100),F5*'18_Календарь_тарифы'!F10)</f>
        <v/>
      </c>
      <c r="G6" s="185">
        <f>IF(COUNTIF('01_Вводные'!$B$98:$E$98,G$3)&gt;0,SUMIF('01_Вводные'!$B$98:$E$98,G$3,'01_Вводные'!$B$100:$E$100),G5*'18_Календарь_тарифы'!G10)</f>
        <v/>
      </c>
      <c r="H6" s="185">
        <f>IF(COUNTIF('01_Вводные'!$B$98:$E$98,H$3)&gt;0,SUMIF('01_Вводные'!$B$98:$E$98,H$3,'01_Вводные'!$B$100:$E$100),H5*'18_Календарь_тарифы'!H10)</f>
        <v/>
      </c>
      <c r="I6" s="185">
        <f>IF(COUNTIF('01_Вводные'!$B$98:$E$98,I$3)&gt;0,SUMIF('01_Вводные'!$B$98:$E$98,I$3,'01_Вводные'!$B$100:$E$100),I5*'18_Календарь_тарифы'!I10)</f>
        <v/>
      </c>
      <c r="J6" s="185">
        <f>IF(COUNTIF('01_Вводные'!$B$98:$E$98,J$3)&gt;0,SUMIF('01_Вводные'!$B$98:$E$98,J$3,'01_Вводные'!$B$100:$E$100),J5*'18_Календарь_тарифы'!J10)</f>
        <v/>
      </c>
      <c r="K6" s="185">
        <f>IF(COUNTIF('01_Вводные'!$B$98:$E$98,K$3)&gt;0,SUMIF('01_Вводные'!$B$98:$E$98,K$3,'01_Вводные'!$B$100:$E$100),K5*'18_Календарь_тарифы'!K10)</f>
        <v/>
      </c>
      <c r="L6" s="185">
        <f>IF(COUNTIF('01_Вводные'!$B$98:$E$98,L$3)&gt;0,SUMIF('01_Вводные'!$B$98:$E$98,L$3,'01_Вводные'!$B$100:$E$100),L5*'18_Календарь_тарифы'!L10)</f>
        <v/>
      </c>
      <c r="M6" s="185">
        <f>IF(COUNTIF('01_Вводные'!$B$98:$E$98,M$3)&gt;0,SUMIF('01_Вводные'!$B$98:$E$98,M$3,'01_Вводные'!$B$100:$E$100),M5*'18_Календарь_тарифы'!M10)</f>
        <v/>
      </c>
      <c r="N6" s="185">
        <f>IF(COUNTIF('01_Вводные'!$B$98:$E$98,N$3)&gt;0,SUMIF('01_Вводные'!$B$98:$E$98,N$3,'01_Вводные'!$B$100:$E$100),N5*'18_Календарь_тарифы'!N10)</f>
        <v/>
      </c>
      <c r="O6" s="185">
        <f>IF(COUNTIF('01_Вводные'!$B$98:$E$98,O$3)&gt;0,SUMIF('01_Вводные'!$B$98:$E$98,O$3,'01_Вводные'!$B$100:$E$100),O5*'18_Календарь_тарифы'!O10)</f>
        <v/>
      </c>
      <c r="P6" s="185">
        <f>IF(COUNTIF('01_Вводные'!$B$98:$E$98,P$3)&gt;0,SUMIF('01_Вводные'!$B$98:$E$98,P$3,'01_Вводные'!$B$100:$E$100),P5*'18_Календарь_тарифы'!P10)</f>
        <v/>
      </c>
      <c r="Q6" s="185">
        <f>IF(COUNTIF('01_Вводные'!$B$98:$E$98,Q$3)&gt;0,SUMIF('01_Вводные'!$B$98:$E$98,Q$3,'01_Вводные'!$B$100:$E$100),Q5*'18_Календарь_тарифы'!Q10)</f>
        <v/>
      </c>
      <c r="R6" s="185">
        <f>IF(COUNTIF('01_Вводные'!$B$98:$E$98,R$3)&gt;0,SUMIF('01_Вводные'!$B$98:$E$98,R$3,'01_Вводные'!$B$100:$E$100),R5*'18_Календарь_тарифы'!R10)</f>
        <v/>
      </c>
      <c r="S6" s="185">
        <f>IF(COUNTIF('01_Вводные'!$B$98:$E$98,S$3)&gt;0,SUMIF('01_Вводные'!$B$98:$E$98,S$3,'01_Вводные'!$B$100:$E$100),S5*'18_Календарь_тарифы'!S10)</f>
        <v/>
      </c>
      <c r="T6" s="185">
        <f>IF(COUNTIF('01_Вводные'!$B$98:$E$98,T$3)&gt;0,SUMIF('01_Вводные'!$B$98:$E$98,T$3,'01_Вводные'!$B$100:$E$100),T5*'18_Календарь_тарифы'!T10)</f>
        <v/>
      </c>
      <c r="U6" s="185">
        <f>IF(COUNTIF('01_Вводные'!$B$98:$E$98,U$3)&gt;0,SUMIF('01_Вводные'!$B$98:$E$98,U$3,'01_Вводные'!$B$100:$E$100),U5*'18_Календарь_тарифы'!U10)</f>
        <v/>
      </c>
      <c r="V6" s="185">
        <f>IF(COUNTIF('01_Вводные'!$B$98:$E$98,V$3)&gt;0,SUMIF('01_Вводные'!$B$98:$E$98,V$3,'01_Вводные'!$B$100:$E$100),V5*'18_Календарь_тарифы'!V10)</f>
        <v/>
      </c>
      <c r="W6" s="185">
        <f>IF(COUNTIF('01_Вводные'!$B$98:$E$98,W$3)&gt;0,SUMIF('01_Вводные'!$B$98:$E$98,W$3,'01_Вводные'!$B$100:$E$100),W5*'18_Календарь_тарифы'!W10)</f>
        <v/>
      </c>
      <c r="X6" s="185">
        <f>IF(COUNTIF('01_Вводные'!$B$98:$E$98,X$3)&gt;0,SUMIF('01_Вводные'!$B$98:$E$98,X$3,'01_Вводные'!$B$100:$E$100),X5*'18_Календарь_тарифы'!X10)</f>
        <v/>
      </c>
      <c r="Y6" s="185">
        <f>IF(COUNTIF('01_Вводные'!$B$98:$E$98,Y$3)&gt;0,SUMIF('01_Вводные'!$B$98:$E$98,Y$3,'01_Вводные'!$B$100:$E$100),Y5*'18_Календарь_тарифы'!Y10)</f>
        <v/>
      </c>
      <c r="Z6" s="185">
        <f>IF(COUNTIF('01_Вводные'!$B$98:$E$98,Z$3)&gt;0,SUMIF('01_Вводные'!$B$98:$E$98,Z$3,'01_Вводные'!$B$100:$E$100),Z5*'18_Календарь_тарифы'!Z10)</f>
        <v/>
      </c>
      <c r="AA6" s="185">
        <f>IF(COUNTIF('01_Вводные'!$B$98:$E$98,AA$3)&gt;0,SUMIF('01_Вводные'!$B$98:$E$98,AA$3,'01_Вводные'!$B$100:$E$100),AA5*'18_Календарь_тарифы'!AA10)</f>
        <v/>
      </c>
      <c r="AB6" s="185">
        <f>IF(COUNTIF('01_Вводные'!$B$98:$E$98,AB$3)&gt;0,SUMIF('01_Вводные'!$B$98:$E$98,AB$3,'01_Вводные'!$B$100:$E$100),AB5*'18_Календарь_тарифы'!AB10)</f>
        <v/>
      </c>
      <c r="AC6" s="185">
        <f>IF(COUNTIF('01_Вводные'!$B$98:$E$98,AC$3)&gt;0,SUMIF('01_Вводные'!$B$98:$E$98,AC$3,'01_Вводные'!$B$100:$E$100),AC5*'18_Календарь_тарифы'!AC10)</f>
        <v/>
      </c>
      <c r="AD6" s="185">
        <f>IF(COUNTIF('01_Вводные'!$B$98:$E$98,AD$3)&gt;0,SUMIF('01_Вводные'!$B$98:$E$98,AD$3,'01_Вводные'!$B$100:$E$100),AD5*'18_Календарь_тарифы'!AD10)</f>
        <v/>
      </c>
      <c r="AE6" s="185">
        <f>IF(COUNTIF('01_Вводные'!$B$98:$E$98,AE$3)&gt;0,SUMIF('01_Вводные'!$B$98:$E$98,AE$3,'01_Вводные'!$B$100:$E$100),AE5*'18_Календарь_тарифы'!AE10)</f>
        <v/>
      </c>
      <c r="AF6" s="185">
        <f>IF(COUNTIF('01_Вводные'!$B$98:$E$98,AF$3)&gt;0,SUMIF('01_Вводные'!$B$98:$E$98,AF$3,'01_Вводные'!$B$100:$E$100),AF5*'18_Календарь_тарифы'!AF10)</f>
        <v/>
      </c>
      <c r="AG6" s="185">
        <f>IF(COUNTIF('01_Вводные'!$B$98:$E$98,AG$3)&gt;0,SUMIF('01_Вводные'!$B$98:$E$98,AG$3,'01_Вводные'!$B$100:$E$100),AG5*'18_Календарь_тарифы'!AG10)</f>
        <v/>
      </c>
      <c r="AH6" s="185">
        <f>IF(COUNTIF('01_Вводные'!$B$98:$E$98,AH$3)&gt;0,SUMIF('01_Вводные'!$B$98:$E$98,AH$3,'01_Вводные'!$B$100:$E$100),AH5*'18_Календарь_тарифы'!AH10)</f>
        <v/>
      </c>
      <c r="AI6" s="185">
        <f>IF(COUNTIF('01_Вводные'!$B$98:$E$98,AI$3)&gt;0,SUMIF('01_Вводные'!$B$98:$E$98,AI$3,'01_Вводные'!$B$100:$E$100),AI5*'18_Календарь_тарифы'!AI10)</f>
        <v/>
      </c>
      <c r="AJ6" s="185">
        <f>IF(COUNTIF('01_Вводные'!$B$98:$E$98,AJ$3)&gt;0,SUMIF('01_Вводные'!$B$98:$E$98,AJ$3,'01_Вводные'!$B$100:$E$100),AJ5*'18_Календарь_тарифы'!AJ10)</f>
        <v/>
      </c>
      <c r="AK6" s="185">
        <f>IF(COUNTIF('01_Вводные'!$B$98:$E$98,AK$3)&gt;0,SUMIF('01_Вводные'!$B$98:$E$98,AK$3,'01_Вводные'!$B$100:$E$100),AK5*'18_Календарь_тарифы'!AK10)</f>
        <v/>
      </c>
      <c r="AL6" s="185">
        <f>IF(COUNTIF('01_Вводные'!$B$98:$E$98,AL$3)&gt;0,SUMIF('01_Вводные'!$B$98:$E$98,AL$3,'01_Вводные'!$B$100:$E$100),AL5*'18_Календарь_тарифы'!AL10)</f>
        <v/>
      </c>
      <c r="AM6" s="185">
        <f>IF(COUNTIF('01_Вводные'!$B$98:$E$98,AM$3)&gt;0,SUMIF('01_Вводные'!$B$98:$E$98,AM$3,'01_Вводные'!$B$100:$E$100),AM5*'18_Календарь_тарифы'!AM10)</f>
        <v/>
      </c>
      <c r="AN6" s="185">
        <f>IF(COUNTIF('01_Вводные'!$B$98:$E$98,AN$3)&gt;0,SUMIF('01_Вводные'!$B$98:$E$98,AN$3,'01_Вводные'!$B$100:$E$100),AN5*'18_Календарь_тарифы'!AN10)</f>
        <v/>
      </c>
      <c r="AO6" s="185">
        <f>IF(COUNTIF('01_Вводные'!$B$98:$E$98,AO$3)&gt;0,SUMIF('01_Вводные'!$B$98:$E$98,AO$3,'01_Вводные'!$B$100:$E$100),AO5*'18_Календарь_тарифы'!AO10)</f>
        <v/>
      </c>
      <c r="AP6" s="185">
        <f>IF(COUNTIF('01_Вводные'!$B$98:$E$98,AP$3)&gt;0,SUMIF('01_Вводные'!$B$98:$E$98,AP$3,'01_Вводные'!$B$100:$E$100),AP5*'18_Календарь_тарифы'!AP10)</f>
        <v/>
      </c>
      <c r="AQ6" s="185">
        <f>IF(COUNTIF('01_Вводные'!$B$98:$E$98,AQ$3)&gt;0,SUMIF('01_Вводные'!$B$98:$E$98,AQ$3,'01_Вводные'!$B$100:$E$100),AQ5*'18_Календарь_тарифы'!AQ10)</f>
        <v/>
      </c>
      <c r="AR6" s="185">
        <f>IF(COUNTIF('01_Вводные'!$B$98:$E$98,AR$3)&gt;0,SUMIF('01_Вводные'!$B$98:$E$98,AR$3,'01_Вводные'!$B$100:$E$100),AR5*'18_Календарь_тарифы'!AR10)</f>
        <v/>
      </c>
      <c r="AS6" s="185">
        <f>IF(COUNTIF('01_Вводные'!$B$98:$E$98,AS$3)&gt;0,SUMIF('01_Вводные'!$B$98:$E$98,AS$3,'01_Вводные'!$B$100:$E$100),AS5*'18_Календарь_тарифы'!AS10)</f>
        <v/>
      </c>
      <c r="AT6" s="185">
        <f>IF(COUNTIF('01_Вводные'!$B$98:$E$98,AT$3)&gt;0,SUMIF('01_Вводные'!$B$98:$E$98,AT$3,'01_Вводные'!$B$100:$E$100),AT5*'18_Календарь_тарифы'!AT10)</f>
        <v/>
      </c>
      <c r="AU6" s="185">
        <f>IF(COUNTIF('01_Вводные'!$B$98:$E$98,AU$3)&gt;0,SUMIF('01_Вводные'!$B$98:$E$98,AU$3,'01_Вводные'!$B$100:$E$100),AU5*'18_Календарь_тарифы'!AU10)</f>
        <v/>
      </c>
      <c r="AV6" s="185">
        <f>IF(COUNTIF('01_Вводные'!$B$98:$E$98,AV$3)&gt;0,SUMIF('01_Вводные'!$B$98:$E$98,AV$3,'01_Вводные'!$B$100:$E$100),AV5*'18_Календарь_тарифы'!AV10)</f>
        <v/>
      </c>
      <c r="AW6" s="185">
        <f>IF(COUNTIF('01_Вводные'!$B$98:$E$98,AW$3)&gt;0,SUMIF('01_Вводные'!$B$98:$E$98,AW$3,'01_Вводные'!$B$100:$E$100),AW5*'18_Календарь_тарифы'!AW10)</f>
        <v/>
      </c>
      <c r="AX6" s="185">
        <f>IF(COUNTIF('01_Вводные'!$B$98:$E$98,AX$3)&gt;0,SUMIF('01_Вводные'!$B$98:$E$98,AX$3,'01_Вводные'!$B$100:$E$100),AX5*'18_Календарь_тарифы'!AX10)</f>
        <v/>
      </c>
      <c r="AY6" s="185">
        <f>IF(COUNTIF('01_Вводные'!$B$98:$E$98,AY$3)&gt;0,SUMIF('01_Вводные'!$B$98:$E$98,AY$3,'01_Вводные'!$B$100:$E$100),AY5*'18_Календарь_тарифы'!AY10)</f>
        <v/>
      </c>
      <c r="AZ6" s="185">
        <f>IF(COUNTIF('01_Вводные'!$B$98:$E$98,AZ$3)&gt;0,SUMIF('01_Вводные'!$B$98:$E$98,AZ$3,'01_Вводные'!$B$100:$E$100),AZ5*'18_Календарь_тарифы'!AZ10)</f>
        <v/>
      </c>
      <c r="BA6" s="185">
        <f>IF(COUNTIF('01_Вводные'!$B$98:$E$98,BA$3)&gt;0,SUMIF('01_Вводные'!$B$98:$E$98,BA$3,'01_Вводные'!$B$100:$E$100),BA5*'18_Календарь_тарифы'!BA10)</f>
        <v/>
      </c>
      <c r="BB6" s="185">
        <f>IF(COUNTIF('01_Вводные'!$B$98:$E$98,BB$3)&gt;0,SUMIF('01_Вводные'!$B$98:$E$98,BB$3,'01_Вводные'!$B$100:$E$100),BB5*'18_Календарь_тарифы'!BB10)</f>
        <v/>
      </c>
      <c r="BC6" s="185">
        <f>IF(COUNTIF('01_Вводные'!$B$98:$E$98,BC$3)&gt;0,SUMIF('01_Вводные'!$B$98:$E$98,BC$3,'01_Вводные'!$B$100:$E$100),BC5*'18_Календарь_тарифы'!BC10)</f>
        <v/>
      </c>
      <c r="BD6" s="185">
        <f>IF(COUNTIF('01_Вводные'!$B$98:$E$98,BD$3)&gt;0,SUMIF('01_Вводные'!$B$98:$E$98,BD$3,'01_Вводные'!$B$100:$E$100),BD5*'18_Календарь_тарифы'!BD10)</f>
        <v/>
      </c>
      <c r="BE6" s="185">
        <f>IF(COUNTIF('01_Вводные'!$B$98:$E$98,BE$3)&gt;0,SUMIF('01_Вводные'!$B$98:$E$98,BE$3,'01_Вводные'!$B$100:$E$100),BE5*'18_Календарь_тарифы'!BE10)</f>
        <v/>
      </c>
      <c r="BF6" s="185">
        <f>IF(COUNTIF('01_Вводные'!$B$98:$E$98,BF$3)&gt;0,SUMIF('01_Вводные'!$B$98:$E$98,BF$3,'01_Вводные'!$B$100:$E$100),BF5*'18_Календарь_тарифы'!BF10)</f>
        <v/>
      </c>
      <c r="BG6" s="185">
        <f>IF(COUNTIF('01_Вводные'!$B$98:$E$98,BG$3)&gt;0,SUMIF('01_Вводные'!$B$98:$E$98,BG$3,'01_Вводные'!$B$100:$E$100),BG5*'18_Календарь_тарифы'!BG10)</f>
        <v/>
      </c>
      <c r="BH6" s="185">
        <f>IF(COUNTIF('01_Вводные'!$B$98:$E$98,BH$3)&gt;0,SUMIF('01_Вводные'!$B$98:$E$98,BH$3,'01_Вводные'!$B$100:$E$100),BH5*'18_Календарь_тарифы'!BH10)</f>
        <v/>
      </c>
      <c r="BI6" s="185">
        <f>IF(COUNTIF('01_Вводные'!$B$98:$E$98,BI$3)&gt;0,SUMIF('01_Вводные'!$B$98:$E$98,BI$3,'01_Вводные'!$B$100:$E$100),BI5*'18_Календарь_тарифы'!BI10)</f>
        <v/>
      </c>
      <c r="BJ6" s="185">
        <f>IF(COUNTIF('01_Вводные'!$B$98:$E$98,BJ$3)&gt;0,SUMIF('01_Вводные'!$B$98:$E$98,BJ$3,'01_Вводные'!$B$100:$E$100),BJ5*'18_Календарь_тарифы'!BJ10)</f>
        <v/>
      </c>
      <c r="BK6" s="185">
        <f>IF(COUNTIF('01_Вводные'!$B$98:$E$98,BK$3)&gt;0,SUMIF('01_Вводные'!$B$98:$E$98,BK$3,'01_Вводные'!$B$100:$E$100),BK5*'18_Календарь_тарифы'!BK10)</f>
        <v/>
      </c>
      <c r="BL6" s="185">
        <f>IF(COUNTIF('01_Вводные'!$B$98:$E$98,BL$3)&gt;0,SUMIF('01_Вводные'!$B$98:$E$98,BL$3,'01_Вводные'!$B$100:$E$100),BL5*'18_Календарь_тарифы'!BL10)</f>
        <v/>
      </c>
      <c r="BM6" s="185">
        <f>IF(COUNTIF('01_Вводные'!$B$98:$E$98,BM$3)&gt;0,SUMIF('01_Вводные'!$B$98:$E$98,BM$3,'01_Вводные'!$B$100:$E$100),BM5*'18_Календарь_тарифы'!BM10)</f>
        <v/>
      </c>
      <c r="BN6" s="185">
        <f>IF(COUNTIF('01_Вводные'!$B$98:$E$98,BN$3)&gt;0,SUMIF('01_Вводные'!$B$98:$E$98,BN$3,'01_Вводные'!$B$100:$E$100),BN5*'18_Календарь_тарифы'!BN10)</f>
        <v/>
      </c>
      <c r="BO6" s="185">
        <f>IF(COUNTIF('01_Вводные'!$B$98:$E$98,BO$3)&gt;0,SUMIF('01_Вводные'!$B$98:$E$98,BO$3,'01_Вводные'!$B$100:$E$100),BO5*'18_Календарь_тарифы'!BO10)</f>
        <v/>
      </c>
    </row>
    <row r="7">
      <c r="A7" s="2" t="inlineStr">
        <is>
          <t>Действующая сеть — COGS</t>
        </is>
      </c>
      <c r="B7" s="40">
        <f>IF(COUNTIF('01_Вводные'!$B$98:$E$98,B$3)&gt;0,SUMIF('01_Вводные'!$B$98:$E$98,B$3,'01_Вводные'!$B$101:$E$101),B5*'18_Календарь_тарифы'!B9)</f>
        <v/>
      </c>
      <c r="C7" s="40">
        <f>IF(COUNTIF('01_Вводные'!$B$98:$E$98,C$3)&gt;0,SUMIF('01_Вводные'!$B$98:$E$98,C$3,'01_Вводные'!$B$101:$E$101),C5*'18_Календарь_тарифы'!C9)</f>
        <v/>
      </c>
      <c r="D7" s="40">
        <f>IF(COUNTIF('01_Вводные'!$B$98:$E$98,D$3)&gt;0,SUMIF('01_Вводные'!$B$98:$E$98,D$3,'01_Вводные'!$B$101:$E$101),D5*'18_Календарь_тарифы'!D9)</f>
        <v/>
      </c>
      <c r="E7" s="40">
        <f>IF(COUNTIF('01_Вводные'!$B$98:$E$98,E$3)&gt;0,SUMIF('01_Вводные'!$B$98:$E$98,E$3,'01_Вводные'!$B$101:$E$101),E5*'18_Календарь_тарифы'!E9)</f>
        <v/>
      </c>
      <c r="F7" s="185">
        <f>IF(COUNTIF('01_Вводные'!$B$98:$E$98,F$3)&gt;0,SUMIF('01_Вводные'!$B$98:$E$98,F$3,'01_Вводные'!$B$101:$E$101),F5*'18_Календарь_тарифы'!F9)</f>
        <v/>
      </c>
      <c r="G7" s="185">
        <f>IF(COUNTIF('01_Вводные'!$B$98:$E$98,G$3)&gt;0,SUMIF('01_Вводные'!$B$98:$E$98,G$3,'01_Вводные'!$B$101:$E$101),G5*'18_Календарь_тарифы'!G9)</f>
        <v/>
      </c>
      <c r="H7" s="185">
        <f>IF(COUNTIF('01_Вводные'!$B$98:$E$98,H$3)&gt;0,SUMIF('01_Вводные'!$B$98:$E$98,H$3,'01_Вводные'!$B$101:$E$101),H5*'18_Календарь_тарифы'!H9)</f>
        <v/>
      </c>
      <c r="I7" s="185">
        <f>IF(COUNTIF('01_Вводные'!$B$98:$E$98,I$3)&gt;0,SUMIF('01_Вводные'!$B$98:$E$98,I$3,'01_Вводные'!$B$101:$E$101),I5*'18_Календарь_тарифы'!I9)</f>
        <v/>
      </c>
      <c r="J7" s="185">
        <f>IF(COUNTIF('01_Вводные'!$B$98:$E$98,J$3)&gt;0,SUMIF('01_Вводные'!$B$98:$E$98,J$3,'01_Вводные'!$B$101:$E$101),J5*'18_Календарь_тарифы'!J9)</f>
        <v/>
      </c>
      <c r="K7" s="185">
        <f>IF(COUNTIF('01_Вводные'!$B$98:$E$98,K$3)&gt;0,SUMIF('01_Вводные'!$B$98:$E$98,K$3,'01_Вводные'!$B$101:$E$101),K5*'18_Календарь_тарифы'!K9)</f>
        <v/>
      </c>
      <c r="L7" s="185">
        <f>IF(COUNTIF('01_Вводные'!$B$98:$E$98,L$3)&gt;0,SUMIF('01_Вводные'!$B$98:$E$98,L$3,'01_Вводные'!$B$101:$E$101),L5*'18_Календарь_тарифы'!L9)</f>
        <v/>
      </c>
      <c r="M7" s="185">
        <f>IF(COUNTIF('01_Вводные'!$B$98:$E$98,M$3)&gt;0,SUMIF('01_Вводные'!$B$98:$E$98,M$3,'01_Вводные'!$B$101:$E$101),M5*'18_Календарь_тарифы'!M9)</f>
        <v/>
      </c>
      <c r="N7" s="185">
        <f>IF(COUNTIF('01_Вводные'!$B$98:$E$98,N$3)&gt;0,SUMIF('01_Вводные'!$B$98:$E$98,N$3,'01_Вводные'!$B$101:$E$101),N5*'18_Календарь_тарифы'!N9)</f>
        <v/>
      </c>
      <c r="O7" s="185">
        <f>IF(COUNTIF('01_Вводные'!$B$98:$E$98,O$3)&gt;0,SUMIF('01_Вводные'!$B$98:$E$98,O$3,'01_Вводные'!$B$101:$E$101),O5*'18_Календарь_тарифы'!O9)</f>
        <v/>
      </c>
      <c r="P7" s="185">
        <f>IF(COUNTIF('01_Вводные'!$B$98:$E$98,P$3)&gt;0,SUMIF('01_Вводные'!$B$98:$E$98,P$3,'01_Вводные'!$B$101:$E$101),P5*'18_Календарь_тарифы'!P9)</f>
        <v/>
      </c>
      <c r="Q7" s="185">
        <f>IF(COUNTIF('01_Вводные'!$B$98:$E$98,Q$3)&gt;0,SUMIF('01_Вводные'!$B$98:$E$98,Q$3,'01_Вводные'!$B$101:$E$101),Q5*'18_Календарь_тарифы'!Q9)</f>
        <v/>
      </c>
      <c r="R7" s="185">
        <f>IF(COUNTIF('01_Вводные'!$B$98:$E$98,R$3)&gt;0,SUMIF('01_Вводные'!$B$98:$E$98,R$3,'01_Вводные'!$B$101:$E$101),R5*'18_Календарь_тарифы'!R9)</f>
        <v/>
      </c>
      <c r="S7" s="185">
        <f>IF(COUNTIF('01_Вводные'!$B$98:$E$98,S$3)&gt;0,SUMIF('01_Вводные'!$B$98:$E$98,S$3,'01_Вводные'!$B$101:$E$101),S5*'18_Календарь_тарифы'!S9)</f>
        <v/>
      </c>
      <c r="T7" s="185">
        <f>IF(COUNTIF('01_Вводные'!$B$98:$E$98,T$3)&gt;0,SUMIF('01_Вводные'!$B$98:$E$98,T$3,'01_Вводные'!$B$101:$E$101),T5*'18_Календарь_тарифы'!T9)</f>
        <v/>
      </c>
      <c r="U7" s="185">
        <f>IF(COUNTIF('01_Вводные'!$B$98:$E$98,U$3)&gt;0,SUMIF('01_Вводные'!$B$98:$E$98,U$3,'01_Вводные'!$B$101:$E$101),U5*'18_Календарь_тарифы'!U9)</f>
        <v/>
      </c>
      <c r="V7" s="185">
        <f>IF(COUNTIF('01_Вводные'!$B$98:$E$98,V$3)&gt;0,SUMIF('01_Вводные'!$B$98:$E$98,V$3,'01_Вводные'!$B$101:$E$101),V5*'18_Календарь_тарифы'!V9)</f>
        <v/>
      </c>
      <c r="W7" s="185">
        <f>IF(COUNTIF('01_Вводные'!$B$98:$E$98,W$3)&gt;0,SUMIF('01_Вводные'!$B$98:$E$98,W$3,'01_Вводные'!$B$101:$E$101),W5*'18_Календарь_тарифы'!W9)</f>
        <v/>
      </c>
      <c r="X7" s="185">
        <f>IF(COUNTIF('01_Вводные'!$B$98:$E$98,X$3)&gt;0,SUMIF('01_Вводные'!$B$98:$E$98,X$3,'01_Вводные'!$B$101:$E$101),X5*'18_Календарь_тарифы'!X9)</f>
        <v/>
      </c>
      <c r="Y7" s="185">
        <f>IF(COUNTIF('01_Вводные'!$B$98:$E$98,Y$3)&gt;0,SUMIF('01_Вводные'!$B$98:$E$98,Y$3,'01_Вводные'!$B$101:$E$101),Y5*'18_Календарь_тарифы'!Y9)</f>
        <v/>
      </c>
      <c r="Z7" s="185">
        <f>IF(COUNTIF('01_Вводные'!$B$98:$E$98,Z$3)&gt;0,SUMIF('01_Вводные'!$B$98:$E$98,Z$3,'01_Вводные'!$B$101:$E$101),Z5*'18_Календарь_тарифы'!Z9)</f>
        <v/>
      </c>
      <c r="AA7" s="185">
        <f>IF(COUNTIF('01_Вводные'!$B$98:$E$98,AA$3)&gt;0,SUMIF('01_Вводные'!$B$98:$E$98,AA$3,'01_Вводные'!$B$101:$E$101),AA5*'18_Календарь_тарифы'!AA9)</f>
        <v/>
      </c>
      <c r="AB7" s="185">
        <f>IF(COUNTIF('01_Вводные'!$B$98:$E$98,AB$3)&gt;0,SUMIF('01_Вводные'!$B$98:$E$98,AB$3,'01_Вводные'!$B$101:$E$101),AB5*'18_Календарь_тарифы'!AB9)</f>
        <v/>
      </c>
      <c r="AC7" s="185">
        <f>IF(COUNTIF('01_Вводные'!$B$98:$E$98,AC$3)&gt;0,SUMIF('01_Вводные'!$B$98:$E$98,AC$3,'01_Вводные'!$B$101:$E$101),AC5*'18_Календарь_тарифы'!AC9)</f>
        <v/>
      </c>
      <c r="AD7" s="185">
        <f>IF(COUNTIF('01_Вводные'!$B$98:$E$98,AD$3)&gt;0,SUMIF('01_Вводные'!$B$98:$E$98,AD$3,'01_Вводные'!$B$101:$E$101),AD5*'18_Календарь_тарифы'!AD9)</f>
        <v/>
      </c>
      <c r="AE7" s="185">
        <f>IF(COUNTIF('01_Вводные'!$B$98:$E$98,AE$3)&gt;0,SUMIF('01_Вводные'!$B$98:$E$98,AE$3,'01_Вводные'!$B$101:$E$101),AE5*'18_Календарь_тарифы'!AE9)</f>
        <v/>
      </c>
      <c r="AF7" s="185">
        <f>IF(COUNTIF('01_Вводные'!$B$98:$E$98,AF$3)&gt;0,SUMIF('01_Вводные'!$B$98:$E$98,AF$3,'01_Вводные'!$B$101:$E$101),AF5*'18_Календарь_тарифы'!AF9)</f>
        <v/>
      </c>
      <c r="AG7" s="185">
        <f>IF(COUNTIF('01_Вводные'!$B$98:$E$98,AG$3)&gt;0,SUMIF('01_Вводные'!$B$98:$E$98,AG$3,'01_Вводные'!$B$101:$E$101),AG5*'18_Календарь_тарифы'!AG9)</f>
        <v/>
      </c>
      <c r="AH7" s="185">
        <f>IF(COUNTIF('01_Вводные'!$B$98:$E$98,AH$3)&gt;0,SUMIF('01_Вводные'!$B$98:$E$98,AH$3,'01_Вводные'!$B$101:$E$101),AH5*'18_Календарь_тарифы'!AH9)</f>
        <v/>
      </c>
      <c r="AI7" s="185">
        <f>IF(COUNTIF('01_Вводные'!$B$98:$E$98,AI$3)&gt;0,SUMIF('01_Вводные'!$B$98:$E$98,AI$3,'01_Вводные'!$B$101:$E$101),AI5*'18_Календарь_тарифы'!AI9)</f>
        <v/>
      </c>
      <c r="AJ7" s="185">
        <f>IF(COUNTIF('01_Вводные'!$B$98:$E$98,AJ$3)&gt;0,SUMIF('01_Вводные'!$B$98:$E$98,AJ$3,'01_Вводные'!$B$101:$E$101),AJ5*'18_Календарь_тарифы'!AJ9)</f>
        <v/>
      </c>
      <c r="AK7" s="185">
        <f>IF(COUNTIF('01_Вводные'!$B$98:$E$98,AK$3)&gt;0,SUMIF('01_Вводные'!$B$98:$E$98,AK$3,'01_Вводные'!$B$101:$E$101),AK5*'18_Календарь_тарифы'!AK9)</f>
        <v/>
      </c>
      <c r="AL7" s="185">
        <f>IF(COUNTIF('01_Вводные'!$B$98:$E$98,AL$3)&gt;0,SUMIF('01_Вводные'!$B$98:$E$98,AL$3,'01_Вводные'!$B$101:$E$101),AL5*'18_Календарь_тарифы'!AL9)</f>
        <v/>
      </c>
      <c r="AM7" s="185">
        <f>IF(COUNTIF('01_Вводные'!$B$98:$E$98,AM$3)&gt;0,SUMIF('01_Вводные'!$B$98:$E$98,AM$3,'01_Вводные'!$B$101:$E$101),AM5*'18_Календарь_тарифы'!AM9)</f>
        <v/>
      </c>
      <c r="AN7" s="185">
        <f>IF(COUNTIF('01_Вводные'!$B$98:$E$98,AN$3)&gt;0,SUMIF('01_Вводные'!$B$98:$E$98,AN$3,'01_Вводные'!$B$101:$E$101),AN5*'18_Календарь_тарифы'!AN9)</f>
        <v/>
      </c>
      <c r="AO7" s="185">
        <f>IF(COUNTIF('01_Вводные'!$B$98:$E$98,AO$3)&gt;0,SUMIF('01_Вводные'!$B$98:$E$98,AO$3,'01_Вводные'!$B$101:$E$101),AO5*'18_Календарь_тарифы'!AO9)</f>
        <v/>
      </c>
      <c r="AP7" s="185">
        <f>IF(COUNTIF('01_Вводные'!$B$98:$E$98,AP$3)&gt;0,SUMIF('01_Вводные'!$B$98:$E$98,AP$3,'01_Вводные'!$B$101:$E$101),AP5*'18_Календарь_тарифы'!AP9)</f>
        <v/>
      </c>
      <c r="AQ7" s="185">
        <f>IF(COUNTIF('01_Вводные'!$B$98:$E$98,AQ$3)&gt;0,SUMIF('01_Вводные'!$B$98:$E$98,AQ$3,'01_Вводные'!$B$101:$E$101),AQ5*'18_Календарь_тарифы'!AQ9)</f>
        <v/>
      </c>
      <c r="AR7" s="185">
        <f>IF(COUNTIF('01_Вводные'!$B$98:$E$98,AR$3)&gt;0,SUMIF('01_Вводные'!$B$98:$E$98,AR$3,'01_Вводные'!$B$101:$E$101),AR5*'18_Календарь_тарифы'!AR9)</f>
        <v/>
      </c>
      <c r="AS7" s="185">
        <f>IF(COUNTIF('01_Вводные'!$B$98:$E$98,AS$3)&gt;0,SUMIF('01_Вводные'!$B$98:$E$98,AS$3,'01_Вводные'!$B$101:$E$101),AS5*'18_Календарь_тарифы'!AS9)</f>
        <v/>
      </c>
      <c r="AT7" s="185">
        <f>IF(COUNTIF('01_Вводные'!$B$98:$E$98,AT$3)&gt;0,SUMIF('01_Вводные'!$B$98:$E$98,AT$3,'01_Вводные'!$B$101:$E$101),AT5*'18_Календарь_тарифы'!AT9)</f>
        <v/>
      </c>
      <c r="AU7" s="185">
        <f>IF(COUNTIF('01_Вводные'!$B$98:$E$98,AU$3)&gt;0,SUMIF('01_Вводные'!$B$98:$E$98,AU$3,'01_Вводные'!$B$101:$E$101),AU5*'18_Календарь_тарифы'!AU9)</f>
        <v/>
      </c>
      <c r="AV7" s="185">
        <f>IF(COUNTIF('01_Вводные'!$B$98:$E$98,AV$3)&gt;0,SUMIF('01_Вводные'!$B$98:$E$98,AV$3,'01_Вводные'!$B$101:$E$101),AV5*'18_Календарь_тарифы'!AV9)</f>
        <v/>
      </c>
      <c r="AW7" s="185">
        <f>IF(COUNTIF('01_Вводные'!$B$98:$E$98,AW$3)&gt;0,SUMIF('01_Вводные'!$B$98:$E$98,AW$3,'01_Вводные'!$B$101:$E$101),AW5*'18_Календарь_тарифы'!AW9)</f>
        <v/>
      </c>
      <c r="AX7" s="185">
        <f>IF(COUNTIF('01_Вводные'!$B$98:$E$98,AX$3)&gt;0,SUMIF('01_Вводные'!$B$98:$E$98,AX$3,'01_Вводные'!$B$101:$E$101),AX5*'18_Календарь_тарифы'!AX9)</f>
        <v/>
      </c>
      <c r="AY7" s="185">
        <f>IF(COUNTIF('01_Вводные'!$B$98:$E$98,AY$3)&gt;0,SUMIF('01_Вводные'!$B$98:$E$98,AY$3,'01_Вводные'!$B$101:$E$101),AY5*'18_Календарь_тарифы'!AY9)</f>
        <v/>
      </c>
      <c r="AZ7" s="185">
        <f>IF(COUNTIF('01_Вводные'!$B$98:$E$98,AZ$3)&gt;0,SUMIF('01_Вводные'!$B$98:$E$98,AZ$3,'01_Вводные'!$B$101:$E$101),AZ5*'18_Календарь_тарифы'!AZ9)</f>
        <v/>
      </c>
      <c r="BA7" s="185">
        <f>IF(COUNTIF('01_Вводные'!$B$98:$E$98,BA$3)&gt;0,SUMIF('01_Вводные'!$B$98:$E$98,BA$3,'01_Вводные'!$B$101:$E$101),BA5*'18_Календарь_тарифы'!BA9)</f>
        <v/>
      </c>
      <c r="BB7" s="185">
        <f>IF(COUNTIF('01_Вводные'!$B$98:$E$98,BB$3)&gt;0,SUMIF('01_Вводные'!$B$98:$E$98,BB$3,'01_Вводные'!$B$101:$E$101),BB5*'18_Календарь_тарифы'!BB9)</f>
        <v/>
      </c>
      <c r="BC7" s="185">
        <f>IF(COUNTIF('01_Вводные'!$B$98:$E$98,BC$3)&gt;0,SUMIF('01_Вводные'!$B$98:$E$98,BC$3,'01_Вводные'!$B$101:$E$101),BC5*'18_Календарь_тарифы'!BC9)</f>
        <v/>
      </c>
      <c r="BD7" s="185">
        <f>IF(COUNTIF('01_Вводные'!$B$98:$E$98,BD$3)&gt;0,SUMIF('01_Вводные'!$B$98:$E$98,BD$3,'01_Вводные'!$B$101:$E$101),BD5*'18_Календарь_тарифы'!BD9)</f>
        <v/>
      </c>
      <c r="BE7" s="185">
        <f>IF(COUNTIF('01_Вводные'!$B$98:$E$98,BE$3)&gt;0,SUMIF('01_Вводные'!$B$98:$E$98,BE$3,'01_Вводные'!$B$101:$E$101),BE5*'18_Календарь_тарифы'!BE9)</f>
        <v/>
      </c>
      <c r="BF7" s="185">
        <f>IF(COUNTIF('01_Вводные'!$B$98:$E$98,BF$3)&gt;0,SUMIF('01_Вводные'!$B$98:$E$98,BF$3,'01_Вводные'!$B$101:$E$101),BF5*'18_Календарь_тарифы'!BF9)</f>
        <v/>
      </c>
      <c r="BG7" s="185">
        <f>IF(COUNTIF('01_Вводные'!$B$98:$E$98,BG$3)&gt;0,SUMIF('01_Вводные'!$B$98:$E$98,BG$3,'01_Вводные'!$B$101:$E$101),BG5*'18_Календарь_тарифы'!BG9)</f>
        <v/>
      </c>
      <c r="BH7" s="185">
        <f>IF(COUNTIF('01_Вводные'!$B$98:$E$98,BH$3)&gt;0,SUMIF('01_Вводные'!$B$98:$E$98,BH$3,'01_Вводные'!$B$101:$E$101),BH5*'18_Календарь_тарифы'!BH9)</f>
        <v/>
      </c>
      <c r="BI7" s="185">
        <f>IF(COUNTIF('01_Вводные'!$B$98:$E$98,BI$3)&gt;0,SUMIF('01_Вводные'!$B$98:$E$98,BI$3,'01_Вводные'!$B$101:$E$101),BI5*'18_Календарь_тарифы'!BI9)</f>
        <v/>
      </c>
      <c r="BJ7" s="185">
        <f>IF(COUNTIF('01_Вводные'!$B$98:$E$98,BJ$3)&gt;0,SUMIF('01_Вводные'!$B$98:$E$98,BJ$3,'01_Вводные'!$B$101:$E$101),BJ5*'18_Календарь_тарифы'!BJ9)</f>
        <v/>
      </c>
      <c r="BK7" s="185">
        <f>IF(COUNTIF('01_Вводные'!$B$98:$E$98,BK$3)&gt;0,SUMIF('01_Вводные'!$B$98:$E$98,BK$3,'01_Вводные'!$B$101:$E$101),BK5*'18_Календарь_тарифы'!BK9)</f>
        <v/>
      </c>
      <c r="BL7" s="185">
        <f>IF(COUNTIF('01_Вводные'!$B$98:$E$98,BL$3)&gt;0,SUMIF('01_Вводные'!$B$98:$E$98,BL$3,'01_Вводные'!$B$101:$E$101),BL5*'18_Календарь_тарифы'!BL9)</f>
        <v/>
      </c>
      <c r="BM7" s="185">
        <f>IF(COUNTIF('01_Вводные'!$B$98:$E$98,BM$3)&gt;0,SUMIF('01_Вводные'!$B$98:$E$98,BM$3,'01_Вводные'!$B$101:$E$101),BM5*'18_Календарь_тарифы'!BM9)</f>
        <v/>
      </c>
      <c r="BN7" s="185">
        <f>IF(COUNTIF('01_Вводные'!$B$98:$E$98,BN$3)&gt;0,SUMIF('01_Вводные'!$B$98:$E$98,BN$3,'01_Вводные'!$B$101:$E$101),BN5*'18_Календарь_тарифы'!BN9)</f>
        <v/>
      </c>
      <c r="BO7" s="185">
        <f>IF(COUNTIF('01_Вводные'!$B$98:$E$98,BO$3)&gt;0,SUMIF('01_Вводные'!$B$98:$E$98,BO$3,'01_Вводные'!$B$101:$E$101),BO5*'18_Календарь_тарифы'!BO9)</f>
        <v/>
      </c>
    </row>
    <row r="8">
      <c r="B8" s="73" t="n"/>
      <c r="C8" s="73" t="n"/>
      <c r="D8" s="73" t="n"/>
      <c r="E8" s="73" t="n"/>
      <c r="F8" s="73" t="n"/>
      <c r="G8" s="73" t="n"/>
      <c r="H8" s="73" t="n"/>
      <c r="I8" s="73" t="n"/>
      <c r="J8" s="73" t="n"/>
      <c r="K8" s="73" t="n"/>
      <c r="L8" s="73" t="n"/>
      <c r="M8" s="73" t="n"/>
      <c r="N8" s="73" t="n"/>
      <c r="O8" s="73" t="n"/>
      <c r="P8" s="73" t="n"/>
      <c r="Q8" s="73" t="n"/>
      <c r="R8" s="73" t="n"/>
      <c r="S8" s="73" t="n"/>
      <c r="T8" s="73" t="n"/>
      <c r="U8" s="73" t="n"/>
      <c r="V8" s="73" t="n"/>
      <c r="W8" s="73" t="n"/>
      <c r="X8" s="73" t="n"/>
      <c r="Y8" s="73" t="n"/>
      <c r="Z8" s="73" t="n"/>
      <c r="AA8" s="73" t="n"/>
      <c r="AB8" s="73" t="n"/>
      <c r="AC8" s="73" t="n"/>
      <c r="AD8" s="73" t="n"/>
      <c r="AE8" s="73" t="n"/>
      <c r="AF8" s="73" t="n"/>
      <c r="AG8" s="73" t="n"/>
      <c r="AH8" s="73" t="n"/>
      <c r="AI8" s="73" t="n"/>
      <c r="AJ8" s="73" t="n"/>
      <c r="AK8" s="73" t="n"/>
      <c r="AL8" s="73" t="n"/>
      <c r="AM8" s="73" t="n"/>
      <c r="AN8" s="73" t="n"/>
      <c r="AO8" s="73" t="n"/>
      <c r="AP8" s="73" t="n"/>
      <c r="AQ8" s="73" t="n"/>
      <c r="AR8" s="73" t="n"/>
      <c r="AS8" s="73" t="n"/>
      <c r="AT8" s="73" t="n"/>
      <c r="AU8" s="73" t="n"/>
      <c r="AV8" s="73" t="n"/>
      <c r="AW8" s="73" t="n"/>
      <c r="AX8" s="73" t="n"/>
      <c r="AY8" s="73" t="n"/>
      <c r="AZ8" s="73" t="n"/>
      <c r="BA8" s="73" t="n"/>
      <c r="BB8" s="73" t="n"/>
      <c r="BC8" s="73" t="n"/>
      <c r="BD8" s="73" t="n"/>
      <c r="BE8" s="73" t="n"/>
      <c r="BF8" s="73" t="n"/>
      <c r="BG8" s="73" t="n"/>
      <c r="BH8" s="73" t="n"/>
      <c r="BI8" s="73" t="n"/>
      <c r="BJ8" s="73" t="n"/>
      <c r="BK8" s="73" t="n"/>
      <c r="BL8" s="73" t="n"/>
      <c r="BM8" s="73" t="n"/>
      <c r="BN8" s="73" t="n"/>
      <c r="BO8" s="73" t="n"/>
    </row>
    <row r="9">
      <c r="A9" s="2" t="inlineStr">
        <is>
          <t>Первичная закупка новых школ, комплекты</t>
        </is>
      </c>
      <c r="B9" s="77">
        <f>0</f>
        <v/>
      </c>
      <c r="C9" s="95">
        <f>('06_Сеть_и_дети'!B8*'01_Вводные'!$B$87*'01_Вводные'!$B$14^1)*'01_Вводные'!$B$46*'01_Вводные'!$B$74</f>
        <v/>
      </c>
      <c r="D9" s="95">
        <f>('06_Сеть_и_дети'!C8*'01_Вводные'!$B$87*'01_Вводные'!$B$14^1+'06_Сеть_и_дети'!B8*'01_Вводные'!$B$88*'01_Вводные'!$B$14^2)*'01_Вводные'!$B$46*'01_Вводные'!$B$74</f>
        <v/>
      </c>
      <c r="E9" s="95">
        <f>('06_Сеть_и_дети'!D8*'01_Вводные'!$B$87*'01_Вводные'!$B$14^1+'06_Сеть_и_дети'!C8*'01_Вводные'!$B$88*'01_Вводные'!$B$14^2+'06_Сеть_и_дети'!B8*'01_Вводные'!$B$89*'01_Вводные'!$B$14^3)*'01_Вводные'!$B$46*'01_Вводные'!$B$74</f>
        <v/>
      </c>
      <c r="F9" s="95">
        <f>('06_Сеть_и_дети'!E8*'01_Вводные'!$B$87*'01_Вводные'!$B$14^1+'06_Сеть_и_дети'!D8*'01_Вводные'!$B$88*'01_Вводные'!$B$14^2+'06_Сеть_и_дети'!C8*'01_Вводные'!$B$89*'01_Вводные'!$B$14^3)*'01_Вводные'!$B$46*'01_Вводные'!$B$74</f>
        <v/>
      </c>
      <c r="G9" s="95">
        <f>('06_Сеть_и_дети'!F8*'01_Вводные'!$B$87*'01_Вводные'!$B$14^1+'06_Сеть_и_дети'!E8*'01_Вводные'!$B$88*'01_Вводные'!$B$14^2+'06_Сеть_и_дети'!D8*'01_Вводные'!$B$89*'01_Вводные'!$B$14^3)*'01_Вводные'!$B$46*'01_Вводные'!$B$74</f>
        <v/>
      </c>
      <c r="H9" s="95">
        <f>('06_Сеть_и_дети'!G8*'01_Вводные'!$B$87*'01_Вводные'!$B$14^1+'06_Сеть_и_дети'!F8*'01_Вводные'!$B$88*'01_Вводные'!$B$14^2+'06_Сеть_и_дети'!E8*'01_Вводные'!$B$89*'01_Вводные'!$B$14^3)*'01_Вводные'!$B$46*'01_Вводные'!$B$74</f>
        <v/>
      </c>
      <c r="I9" s="95">
        <f>('06_Сеть_и_дети'!H8*'01_Вводные'!$B$87*'01_Вводные'!$B$14^1+'06_Сеть_и_дети'!G8*'01_Вводные'!$B$88*'01_Вводные'!$B$14^2+'06_Сеть_и_дети'!F8*'01_Вводные'!$B$89*'01_Вводные'!$B$14^3)*'01_Вводные'!$B$46*'01_Вводные'!$B$74</f>
        <v/>
      </c>
      <c r="J9" s="95">
        <f>('06_Сеть_и_дети'!I8*'01_Вводные'!$B$87*'01_Вводные'!$B$14^1+'06_Сеть_и_дети'!H8*'01_Вводные'!$B$88*'01_Вводные'!$B$14^2+'06_Сеть_и_дети'!G8*'01_Вводные'!$B$89*'01_Вводные'!$B$14^3)*'01_Вводные'!$B$46*'01_Вводные'!$B$74</f>
        <v/>
      </c>
      <c r="K9" s="95">
        <f>('06_Сеть_и_дети'!J8*'01_Вводные'!$B$87*'01_Вводные'!$B$14^1+'06_Сеть_и_дети'!I8*'01_Вводные'!$B$88*'01_Вводные'!$B$14^2+'06_Сеть_и_дети'!H8*'01_Вводные'!$B$89*'01_Вводные'!$B$14^3)*'01_Вводные'!$B$46*'01_Вводные'!$B$74</f>
        <v/>
      </c>
      <c r="L9" s="95">
        <f>('06_Сеть_и_дети'!K8*'01_Вводные'!$B$87*'01_Вводные'!$B$14^1+'06_Сеть_и_дети'!J8*'01_Вводные'!$B$88*'01_Вводные'!$B$14^2+'06_Сеть_и_дети'!I8*'01_Вводные'!$B$89*'01_Вводные'!$B$14^3)*'01_Вводные'!$B$46*'01_Вводные'!$B$74</f>
        <v/>
      </c>
      <c r="M9" s="95">
        <f>('06_Сеть_и_дети'!L8*'01_Вводные'!$B$87*'01_Вводные'!$B$14^1+'06_Сеть_и_дети'!K8*'01_Вводные'!$B$88*'01_Вводные'!$B$14^2+'06_Сеть_и_дети'!J8*'01_Вводные'!$B$89*'01_Вводные'!$B$14^3)*'01_Вводные'!$B$46*'01_Вводные'!$B$74</f>
        <v/>
      </c>
      <c r="N9" s="95">
        <f>('06_Сеть_и_дети'!M8*'01_Вводные'!$B$87*'01_Вводные'!$B$14^1+'06_Сеть_и_дети'!L8*'01_Вводные'!$B$88*'01_Вводные'!$B$14^2+'06_Сеть_и_дети'!K8*'01_Вводные'!$B$89*'01_Вводные'!$B$14^3)*'01_Вводные'!$B$46*'01_Вводные'!$B$74</f>
        <v/>
      </c>
      <c r="O9" s="95">
        <f>('06_Сеть_и_дети'!N8*'01_Вводные'!$B$87*'01_Вводные'!$B$14^1+'06_Сеть_и_дети'!M8*'01_Вводные'!$B$88*'01_Вводные'!$B$14^2+'06_Сеть_и_дети'!L8*'01_Вводные'!$B$89*'01_Вводные'!$B$14^3)*'01_Вводные'!$B$46*'01_Вводные'!$B$74</f>
        <v/>
      </c>
      <c r="P9" s="95">
        <f>('06_Сеть_и_дети'!O8*'01_Вводные'!$B$87*'01_Вводные'!$B$14^1+'06_Сеть_и_дети'!N8*'01_Вводные'!$B$88*'01_Вводные'!$B$14^2+'06_Сеть_и_дети'!M8*'01_Вводные'!$B$89*'01_Вводные'!$B$14^3)*'01_Вводные'!$B$46*'01_Вводные'!$B$74</f>
        <v/>
      </c>
      <c r="Q9" s="95">
        <f>('06_Сеть_и_дети'!P8*'01_Вводные'!$B$87*'01_Вводные'!$B$14^1+'06_Сеть_и_дети'!O8*'01_Вводные'!$B$88*'01_Вводные'!$B$14^2+'06_Сеть_и_дети'!N8*'01_Вводные'!$B$89*'01_Вводные'!$B$14^3)*'01_Вводные'!$B$46*'01_Вводные'!$B$74</f>
        <v/>
      </c>
      <c r="R9" s="95">
        <f>('06_Сеть_и_дети'!Q8*'01_Вводные'!$B$87*'01_Вводные'!$B$14^1+'06_Сеть_и_дети'!P8*'01_Вводные'!$B$88*'01_Вводные'!$B$14^2+'06_Сеть_и_дети'!O8*'01_Вводные'!$B$89*'01_Вводные'!$B$14^3)*'01_Вводные'!$B$46*'01_Вводные'!$B$74</f>
        <v/>
      </c>
      <c r="S9" s="95">
        <f>('06_Сеть_и_дети'!R8*'01_Вводные'!$B$87*'01_Вводные'!$B$14^1+'06_Сеть_и_дети'!Q8*'01_Вводные'!$B$88*'01_Вводные'!$B$14^2+'06_Сеть_и_дети'!P8*'01_Вводные'!$B$89*'01_Вводные'!$B$14^3)*'01_Вводные'!$B$46*'01_Вводные'!$B$74</f>
        <v/>
      </c>
      <c r="T9" s="95">
        <f>('06_Сеть_и_дети'!S8*'01_Вводные'!$B$87*'01_Вводные'!$B$14^1+'06_Сеть_и_дети'!R8*'01_Вводные'!$B$88*'01_Вводные'!$B$14^2+'06_Сеть_и_дети'!Q8*'01_Вводные'!$B$89*'01_Вводные'!$B$14^3)*'01_Вводные'!$B$46*'01_Вводные'!$B$74</f>
        <v/>
      </c>
      <c r="U9" s="95">
        <f>('06_Сеть_и_дети'!T8*'01_Вводные'!$B$87*'01_Вводные'!$B$14^1+'06_Сеть_и_дети'!S8*'01_Вводные'!$B$88*'01_Вводные'!$B$14^2+'06_Сеть_и_дети'!R8*'01_Вводные'!$B$89*'01_Вводные'!$B$14^3)*'01_Вводные'!$B$46*'01_Вводные'!$B$74</f>
        <v/>
      </c>
      <c r="V9" s="95">
        <f>('06_Сеть_и_дети'!U8*'01_Вводные'!$B$87*'01_Вводные'!$B$14^1+'06_Сеть_и_дети'!T8*'01_Вводные'!$B$88*'01_Вводные'!$B$14^2+'06_Сеть_и_дети'!S8*'01_Вводные'!$B$89*'01_Вводные'!$B$14^3)*'01_Вводные'!$B$46*'01_Вводные'!$B$74</f>
        <v/>
      </c>
      <c r="W9" s="95">
        <f>('06_Сеть_и_дети'!V8*'01_Вводные'!$B$87*'01_Вводные'!$B$14^1+'06_Сеть_и_дети'!U8*'01_Вводные'!$B$88*'01_Вводные'!$B$14^2+'06_Сеть_и_дети'!T8*'01_Вводные'!$B$89*'01_Вводные'!$B$14^3)*'01_Вводные'!$B$46*'01_Вводные'!$B$74</f>
        <v/>
      </c>
      <c r="X9" s="95">
        <f>('06_Сеть_и_дети'!W8*'01_Вводные'!$B$87*'01_Вводные'!$B$14^1+'06_Сеть_и_дети'!V8*'01_Вводные'!$B$88*'01_Вводные'!$B$14^2+'06_Сеть_и_дети'!U8*'01_Вводные'!$B$89*'01_Вводные'!$B$14^3)*'01_Вводные'!$B$46*'01_Вводные'!$B$74</f>
        <v/>
      </c>
      <c r="Y9" s="95">
        <f>('06_Сеть_и_дети'!X8*'01_Вводные'!$B$87*'01_Вводные'!$B$14^1+'06_Сеть_и_дети'!W8*'01_Вводные'!$B$88*'01_Вводные'!$B$14^2+'06_Сеть_и_дети'!V8*'01_Вводные'!$B$89*'01_Вводные'!$B$14^3)*'01_Вводные'!$B$46*'01_Вводные'!$B$74</f>
        <v/>
      </c>
      <c r="Z9" s="95">
        <f>('06_Сеть_и_дети'!Y8*'01_Вводные'!$B$87*'01_Вводные'!$B$14^1+'06_Сеть_и_дети'!X8*'01_Вводные'!$B$88*'01_Вводные'!$B$14^2+'06_Сеть_и_дети'!W8*'01_Вводные'!$B$89*'01_Вводные'!$B$14^3)*'01_Вводные'!$B$46*'01_Вводные'!$B$74</f>
        <v/>
      </c>
      <c r="AA9" s="95">
        <f>('06_Сеть_и_дети'!Z8*'01_Вводные'!$B$87*'01_Вводные'!$B$14^1+'06_Сеть_и_дети'!Y8*'01_Вводные'!$B$88*'01_Вводные'!$B$14^2+'06_Сеть_и_дети'!X8*'01_Вводные'!$B$89*'01_Вводные'!$B$14^3)*'01_Вводные'!$B$46*'01_Вводные'!$B$74</f>
        <v/>
      </c>
      <c r="AB9" s="95">
        <f>('06_Сеть_и_дети'!AA8*'01_Вводные'!$B$87*'01_Вводные'!$B$14^1+'06_Сеть_и_дети'!Z8*'01_Вводные'!$B$88*'01_Вводные'!$B$14^2+'06_Сеть_и_дети'!Y8*'01_Вводные'!$B$89*'01_Вводные'!$B$14^3)*'01_Вводные'!$B$46*'01_Вводные'!$B$74</f>
        <v/>
      </c>
      <c r="AC9" s="95">
        <f>('06_Сеть_и_дети'!AB8*'01_Вводные'!$B$87*'01_Вводные'!$B$14^1+'06_Сеть_и_дети'!AA8*'01_Вводные'!$B$88*'01_Вводные'!$B$14^2+'06_Сеть_и_дети'!Z8*'01_Вводные'!$B$89*'01_Вводные'!$B$14^3)*'01_Вводные'!$B$46*'01_Вводные'!$B$74</f>
        <v/>
      </c>
      <c r="AD9" s="95">
        <f>('06_Сеть_и_дети'!AC8*'01_Вводные'!$B$87*'01_Вводные'!$B$14^1+'06_Сеть_и_дети'!AB8*'01_Вводные'!$B$88*'01_Вводные'!$B$14^2+'06_Сеть_и_дети'!AA8*'01_Вводные'!$B$89*'01_Вводные'!$B$14^3)*'01_Вводные'!$B$46*'01_Вводные'!$B$74</f>
        <v/>
      </c>
      <c r="AE9" s="95">
        <f>('06_Сеть_и_дети'!AD8*'01_Вводные'!$B$87*'01_Вводные'!$B$14^1+'06_Сеть_и_дети'!AC8*'01_Вводные'!$B$88*'01_Вводные'!$B$14^2+'06_Сеть_и_дети'!AB8*'01_Вводные'!$B$89*'01_Вводные'!$B$14^3)*'01_Вводные'!$B$46*'01_Вводные'!$B$74</f>
        <v/>
      </c>
      <c r="AF9" s="95">
        <f>('06_Сеть_и_дети'!AE8*'01_Вводные'!$B$87*'01_Вводные'!$B$14^1+'06_Сеть_и_дети'!AD8*'01_Вводные'!$B$88*'01_Вводные'!$B$14^2+'06_Сеть_и_дети'!AC8*'01_Вводные'!$B$89*'01_Вводные'!$B$14^3)*'01_Вводные'!$B$46*'01_Вводные'!$B$74</f>
        <v/>
      </c>
      <c r="AG9" s="95">
        <f>('06_Сеть_и_дети'!AF8*'01_Вводные'!$B$87*'01_Вводные'!$B$14^1+'06_Сеть_и_дети'!AE8*'01_Вводные'!$B$88*'01_Вводные'!$B$14^2+'06_Сеть_и_дети'!AD8*'01_Вводные'!$B$89*'01_Вводные'!$B$14^3)*'01_Вводные'!$B$46*'01_Вводные'!$B$74</f>
        <v/>
      </c>
      <c r="AH9" s="95">
        <f>('06_Сеть_и_дети'!AG8*'01_Вводные'!$B$87*'01_Вводные'!$B$14^1+'06_Сеть_и_дети'!AF8*'01_Вводные'!$B$88*'01_Вводные'!$B$14^2+'06_Сеть_и_дети'!AE8*'01_Вводные'!$B$89*'01_Вводные'!$B$14^3)*'01_Вводные'!$B$46*'01_Вводные'!$B$74</f>
        <v/>
      </c>
      <c r="AI9" s="95">
        <f>('06_Сеть_и_дети'!AH8*'01_Вводные'!$B$87*'01_Вводные'!$B$14^1+'06_Сеть_и_дети'!AG8*'01_Вводные'!$B$88*'01_Вводные'!$B$14^2+'06_Сеть_и_дети'!AF8*'01_Вводные'!$B$89*'01_Вводные'!$B$14^3)*'01_Вводные'!$B$46*'01_Вводные'!$B$74</f>
        <v/>
      </c>
      <c r="AJ9" s="95">
        <f>('06_Сеть_и_дети'!AI8*'01_Вводные'!$B$87*'01_Вводные'!$B$14^1+'06_Сеть_и_дети'!AH8*'01_Вводные'!$B$88*'01_Вводные'!$B$14^2+'06_Сеть_и_дети'!AG8*'01_Вводные'!$B$89*'01_Вводные'!$B$14^3)*'01_Вводные'!$B$46*'01_Вводные'!$B$74</f>
        <v/>
      </c>
      <c r="AK9" s="95">
        <f>('06_Сеть_и_дети'!AJ8*'01_Вводные'!$B$87*'01_Вводные'!$B$14^1+'06_Сеть_и_дети'!AI8*'01_Вводные'!$B$88*'01_Вводные'!$B$14^2+'06_Сеть_и_дети'!AH8*'01_Вводные'!$B$89*'01_Вводные'!$B$14^3)*'01_Вводные'!$B$46*'01_Вводные'!$B$74</f>
        <v/>
      </c>
      <c r="AL9" s="95">
        <f>('06_Сеть_и_дети'!AK8*'01_Вводные'!$B$87*'01_Вводные'!$B$14^1+'06_Сеть_и_дети'!AJ8*'01_Вводные'!$B$88*'01_Вводные'!$B$14^2+'06_Сеть_и_дети'!AI8*'01_Вводные'!$B$89*'01_Вводные'!$B$14^3)*'01_Вводные'!$B$46*'01_Вводные'!$B$74</f>
        <v/>
      </c>
      <c r="AM9" s="95">
        <f>('06_Сеть_и_дети'!AL8*'01_Вводные'!$B$87*'01_Вводные'!$B$14^1+'06_Сеть_и_дети'!AK8*'01_Вводные'!$B$88*'01_Вводные'!$B$14^2+'06_Сеть_и_дети'!AJ8*'01_Вводные'!$B$89*'01_Вводные'!$B$14^3)*'01_Вводные'!$B$46*'01_Вводные'!$B$74</f>
        <v/>
      </c>
      <c r="AN9" s="95">
        <f>('06_Сеть_и_дети'!AM8*'01_Вводные'!$B$87*'01_Вводные'!$B$14^1+'06_Сеть_и_дети'!AL8*'01_Вводные'!$B$88*'01_Вводные'!$B$14^2+'06_Сеть_и_дети'!AK8*'01_Вводные'!$B$89*'01_Вводные'!$B$14^3)*'01_Вводные'!$B$46*'01_Вводные'!$B$74</f>
        <v/>
      </c>
      <c r="AO9" s="95">
        <f>('06_Сеть_и_дети'!AN8*'01_Вводные'!$B$87*'01_Вводные'!$B$14^1+'06_Сеть_и_дети'!AM8*'01_Вводные'!$B$88*'01_Вводные'!$B$14^2+'06_Сеть_и_дети'!AL8*'01_Вводные'!$B$89*'01_Вводные'!$B$14^3)*'01_Вводные'!$B$46*'01_Вводные'!$B$74</f>
        <v/>
      </c>
      <c r="AP9" s="95">
        <f>('06_Сеть_и_дети'!AO8*'01_Вводные'!$B$87*'01_Вводные'!$B$14^1+'06_Сеть_и_дети'!AN8*'01_Вводные'!$B$88*'01_Вводные'!$B$14^2+'06_Сеть_и_дети'!AM8*'01_Вводные'!$B$89*'01_Вводные'!$B$14^3)*'01_Вводные'!$B$46*'01_Вводные'!$B$74</f>
        <v/>
      </c>
      <c r="AQ9" s="95">
        <f>('06_Сеть_и_дети'!AP8*'01_Вводные'!$B$87*'01_Вводные'!$B$14^1+'06_Сеть_и_дети'!AO8*'01_Вводные'!$B$88*'01_Вводные'!$B$14^2+'06_Сеть_и_дети'!AN8*'01_Вводные'!$B$89*'01_Вводные'!$B$14^3)*'01_Вводные'!$B$46*'01_Вводные'!$B$74</f>
        <v/>
      </c>
      <c r="AR9" s="95">
        <f>('06_Сеть_и_дети'!AQ8*'01_Вводные'!$B$87*'01_Вводные'!$B$14^1+'06_Сеть_и_дети'!AP8*'01_Вводные'!$B$88*'01_Вводные'!$B$14^2+'06_Сеть_и_дети'!AO8*'01_Вводные'!$B$89*'01_Вводные'!$B$14^3)*'01_Вводные'!$B$46*'01_Вводные'!$B$74</f>
        <v/>
      </c>
      <c r="AS9" s="95">
        <f>('06_Сеть_и_дети'!AR8*'01_Вводные'!$B$87*'01_Вводные'!$B$14^1+'06_Сеть_и_дети'!AQ8*'01_Вводные'!$B$88*'01_Вводные'!$B$14^2+'06_Сеть_и_дети'!AP8*'01_Вводные'!$B$89*'01_Вводные'!$B$14^3)*'01_Вводные'!$B$46*'01_Вводные'!$B$74</f>
        <v/>
      </c>
      <c r="AT9" s="95">
        <f>('06_Сеть_и_дети'!AS8*'01_Вводные'!$B$87*'01_Вводные'!$B$14^1+'06_Сеть_и_дети'!AR8*'01_Вводные'!$B$88*'01_Вводные'!$B$14^2+'06_Сеть_и_дети'!AQ8*'01_Вводные'!$B$89*'01_Вводные'!$B$14^3)*'01_Вводные'!$B$46*'01_Вводные'!$B$74</f>
        <v/>
      </c>
      <c r="AU9" s="95">
        <f>('06_Сеть_и_дети'!AT8*'01_Вводные'!$B$87*'01_Вводные'!$B$14^1+'06_Сеть_и_дети'!AS8*'01_Вводные'!$B$88*'01_Вводные'!$B$14^2+'06_Сеть_и_дети'!AR8*'01_Вводные'!$B$89*'01_Вводные'!$B$14^3)*'01_Вводные'!$B$46*'01_Вводные'!$B$74</f>
        <v/>
      </c>
      <c r="AV9" s="95">
        <f>('06_Сеть_и_дети'!AU8*'01_Вводные'!$B$87*'01_Вводные'!$B$14^1+'06_Сеть_и_дети'!AT8*'01_Вводные'!$B$88*'01_Вводные'!$B$14^2+'06_Сеть_и_дети'!AS8*'01_Вводные'!$B$89*'01_Вводные'!$B$14^3)*'01_Вводные'!$B$46*'01_Вводные'!$B$74</f>
        <v/>
      </c>
      <c r="AW9" s="95">
        <f>('06_Сеть_и_дети'!AV8*'01_Вводные'!$B$87*'01_Вводные'!$B$14^1+'06_Сеть_и_дети'!AU8*'01_Вводные'!$B$88*'01_Вводные'!$B$14^2+'06_Сеть_и_дети'!AT8*'01_Вводные'!$B$89*'01_Вводные'!$B$14^3)*'01_Вводные'!$B$46*'01_Вводные'!$B$74</f>
        <v/>
      </c>
      <c r="AX9" s="95">
        <f>('06_Сеть_и_дети'!AW8*'01_Вводные'!$B$87*'01_Вводные'!$B$14^1+'06_Сеть_и_дети'!AV8*'01_Вводные'!$B$88*'01_Вводные'!$B$14^2+'06_Сеть_и_дети'!AU8*'01_Вводные'!$B$89*'01_Вводные'!$B$14^3)*'01_Вводные'!$B$46*'01_Вводные'!$B$74</f>
        <v/>
      </c>
      <c r="AY9" s="95">
        <f>('06_Сеть_и_дети'!AX8*'01_Вводные'!$B$87*'01_Вводные'!$B$14^1+'06_Сеть_и_дети'!AW8*'01_Вводные'!$B$88*'01_Вводные'!$B$14^2+'06_Сеть_и_дети'!AV8*'01_Вводные'!$B$89*'01_Вводные'!$B$14^3)*'01_Вводные'!$B$46*'01_Вводные'!$B$74</f>
        <v/>
      </c>
      <c r="AZ9" s="95">
        <f>('06_Сеть_и_дети'!AY8*'01_Вводные'!$B$87*'01_Вводные'!$B$14^1+'06_Сеть_и_дети'!AX8*'01_Вводные'!$B$88*'01_Вводные'!$B$14^2+'06_Сеть_и_дети'!AW8*'01_Вводные'!$B$89*'01_Вводные'!$B$14^3)*'01_Вводные'!$B$46*'01_Вводные'!$B$74</f>
        <v/>
      </c>
      <c r="BA9" s="95">
        <f>('06_Сеть_и_дети'!AZ8*'01_Вводные'!$B$87*'01_Вводные'!$B$14^1+'06_Сеть_и_дети'!AY8*'01_Вводные'!$B$88*'01_Вводные'!$B$14^2+'06_Сеть_и_дети'!AX8*'01_Вводные'!$B$89*'01_Вводные'!$B$14^3)*'01_Вводные'!$B$46*'01_Вводные'!$B$74</f>
        <v/>
      </c>
      <c r="BB9" s="95">
        <f>('06_Сеть_и_дети'!BA8*'01_Вводные'!$B$87*'01_Вводные'!$B$14^1+'06_Сеть_и_дети'!AZ8*'01_Вводные'!$B$88*'01_Вводные'!$B$14^2+'06_Сеть_и_дети'!AY8*'01_Вводные'!$B$89*'01_Вводные'!$B$14^3)*'01_Вводные'!$B$46*'01_Вводные'!$B$74</f>
        <v/>
      </c>
      <c r="BC9" s="95">
        <f>('06_Сеть_и_дети'!BB8*'01_Вводные'!$B$87*'01_Вводные'!$B$14^1+'06_Сеть_и_дети'!BA8*'01_Вводные'!$B$88*'01_Вводные'!$B$14^2+'06_Сеть_и_дети'!AZ8*'01_Вводные'!$B$89*'01_Вводные'!$B$14^3)*'01_Вводные'!$B$46*'01_Вводные'!$B$74</f>
        <v/>
      </c>
      <c r="BD9" s="95">
        <f>('06_Сеть_и_дети'!BC8*'01_Вводные'!$B$87*'01_Вводные'!$B$14^1+'06_Сеть_и_дети'!BB8*'01_Вводные'!$B$88*'01_Вводные'!$B$14^2+'06_Сеть_и_дети'!BA8*'01_Вводные'!$B$89*'01_Вводные'!$B$14^3)*'01_Вводные'!$B$46*'01_Вводные'!$B$74</f>
        <v/>
      </c>
      <c r="BE9" s="95">
        <f>('06_Сеть_и_дети'!BD8*'01_Вводные'!$B$87*'01_Вводные'!$B$14^1+'06_Сеть_и_дети'!BC8*'01_Вводные'!$B$88*'01_Вводные'!$B$14^2+'06_Сеть_и_дети'!BB8*'01_Вводные'!$B$89*'01_Вводные'!$B$14^3)*'01_Вводные'!$B$46*'01_Вводные'!$B$74</f>
        <v/>
      </c>
      <c r="BF9" s="95">
        <f>('06_Сеть_и_дети'!BE8*'01_Вводные'!$B$87*'01_Вводные'!$B$14^1+'06_Сеть_и_дети'!BD8*'01_Вводные'!$B$88*'01_Вводные'!$B$14^2+'06_Сеть_и_дети'!BC8*'01_Вводные'!$B$89*'01_Вводные'!$B$14^3)*'01_Вводные'!$B$46*'01_Вводные'!$B$74</f>
        <v/>
      </c>
      <c r="BG9" s="95">
        <f>('06_Сеть_и_дети'!BF8*'01_Вводные'!$B$87*'01_Вводные'!$B$14^1+'06_Сеть_и_дети'!BE8*'01_Вводные'!$B$88*'01_Вводные'!$B$14^2+'06_Сеть_и_дети'!BD8*'01_Вводные'!$B$89*'01_Вводные'!$B$14^3)*'01_Вводные'!$B$46*'01_Вводные'!$B$74</f>
        <v/>
      </c>
      <c r="BH9" s="95">
        <f>('06_Сеть_и_дети'!BG8*'01_Вводные'!$B$87*'01_Вводные'!$B$14^1+'06_Сеть_и_дети'!BF8*'01_Вводные'!$B$88*'01_Вводные'!$B$14^2+'06_Сеть_и_дети'!BE8*'01_Вводные'!$B$89*'01_Вводные'!$B$14^3)*'01_Вводные'!$B$46*'01_Вводные'!$B$74</f>
        <v/>
      </c>
      <c r="BI9" s="95">
        <f>('06_Сеть_и_дети'!BH8*'01_Вводные'!$B$87*'01_Вводные'!$B$14^1+'06_Сеть_и_дети'!BG8*'01_Вводные'!$B$88*'01_Вводные'!$B$14^2+'06_Сеть_и_дети'!BF8*'01_Вводные'!$B$89*'01_Вводные'!$B$14^3)*'01_Вводные'!$B$46*'01_Вводные'!$B$74</f>
        <v/>
      </c>
      <c r="BJ9" s="95">
        <f>('06_Сеть_и_дети'!BI8*'01_Вводные'!$B$87*'01_Вводные'!$B$14^1+'06_Сеть_и_дети'!BH8*'01_Вводные'!$B$88*'01_Вводные'!$B$14^2+'06_Сеть_и_дети'!BG8*'01_Вводные'!$B$89*'01_Вводные'!$B$14^3)*'01_Вводные'!$B$46*'01_Вводные'!$B$74</f>
        <v/>
      </c>
      <c r="BK9" s="95">
        <f>('06_Сеть_и_дети'!BJ8*'01_Вводные'!$B$87*'01_Вводные'!$B$14^1+'06_Сеть_и_дети'!BI8*'01_Вводные'!$B$88*'01_Вводные'!$B$14^2+'06_Сеть_и_дети'!BH8*'01_Вводные'!$B$89*'01_Вводные'!$B$14^3)*'01_Вводные'!$B$46*'01_Вводные'!$B$74</f>
        <v/>
      </c>
      <c r="BL9" s="95">
        <f>('06_Сеть_и_дети'!BK8*'01_Вводные'!$B$87*'01_Вводные'!$B$14^1+'06_Сеть_и_дети'!BJ8*'01_Вводные'!$B$88*'01_Вводные'!$B$14^2+'06_Сеть_и_дети'!BI8*'01_Вводные'!$B$89*'01_Вводные'!$B$14^3)*'01_Вводные'!$B$46*'01_Вводные'!$B$74</f>
        <v/>
      </c>
      <c r="BM9" s="95">
        <f>('06_Сеть_и_дети'!BL8*'01_Вводные'!$B$87*'01_Вводные'!$B$14^1+'06_Сеть_и_дети'!BK8*'01_Вводные'!$B$88*'01_Вводные'!$B$14^2+'06_Сеть_и_дети'!BJ8*'01_Вводные'!$B$89*'01_Вводные'!$B$14^3)*'01_Вводные'!$B$46*'01_Вводные'!$B$74</f>
        <v/>
      </c>
      <c r="BN9" s="95">
        <f>('06_Сеть_и_дети'!BM8*'01_Вводные'!$B$87*'01_Вводные'!$B$14^1+'06_Сеть_и_дети'!BL8*'01_Вводные'!$B$88*'01_Вводные'!$B$14^2+'06_Сеть_и_дети'!BK8*'01_Вводные'!$B$89*'01_Вводные'!$B$14^3)*'01_Вводные'!$B$46*'01_Вводные'!$B$74</f>
        <v/>
      </c>
      <c r="BO9" s="95">
        <f>('06_Сеть_и_дети'!BN8*'01_Вводные'!$B$87*'01_Вводные'!$B$14^1+'06_Сеть_и_дети'!BM8*'01_Вводные'!$B$88*'01_Вводные'!$B$14^2+'06_Сеть_и_дети'!BL8*'01_Вводные'!$B$89*'01_Вводные'!$B$14^3)*'01_Вводные'!$B$46*'01_Вводные'!$B$74</f>
        <v/>
      </c>
    </row>
    <row r="10">
      <c r="A10" s="2" t="inlineStr">
        <is>
          <t>Повторная закупка новых школ, комплекты</t>
        </is>
      </c>
      <c r="B10" s="185">
        <f>'06_Сеть_и_дети'!B191*'01_Вводные'!$B$74*B4</f>
        <v/>
      </c>
      <c r="C10" s="185">
        <f>'06_Сеть_и_дети'!C191*'01_Вводные'!$B$74*C4</f>
        <v/>
      </c>
      <c r="D10" s="185">
        <f>'06_Сеть_и_дети'!D191*'01_Вводные'!$B$74*D4</f>
        <v/>
      </c>
      <c r="E10" s="185">
        <f>'06_Сеть_и_дети'!E191*'01_Вводные'!$B$74*E4</f>
        <v/>
      </c>
      <c r="F10" s="185">
        <f>'06_Сеть_и_дети'!F191*'01_Вводные'!$B$74*F4</f>
        <v/>
      </c>
      <c r="G10" s="185">
        <f>'06_Сеть_и_дети'!G191*'01_Вводные'!$B$74*G4</f>
        <v/>
      </c>
      <c r="H10" s="185">
        <f>'06_Сеть_и_дети'!H191*'01_Вводные'!$B$74*H4</f>
        <v/>
      </c>
      <c r="I10" s="185">
        <f>'06_Сеть_и_дети'!I191*'01_Вводные'!$B$74*I4</f>
        <v/>
      </c>
      <c r="J10" s="185">
        <f>'06_Сеть_и_дети'!J191*'01_Вводные'!$B$74*J4</f>
        <v/>
      </c>
      <c r="K10" s="185">
        <f>'06_Сеть_и_дети'!K191*'01_Вводные'!$B$74*K4</f>
        <v/>
      </c>
      <c r="L10" s="185">
        <f>'06_Сеть_и_дети'!L191*'01_Вводные'!$B$74*L4</f>
        <v/>
      </c>
      <c r="M10" s="185">
        <f>'06_Сеть_и_дети'!M191*'01_Вводные'!$B$74*M4</f>
        <v/>
      </c>
      <c r="N10" s="185">
        <f>'06_Сеть_и_дети'!N191*'01_Вводные'!$B$74*N4</f>
        <v/>
      </c>
      <c r="O10" s="185">
        <f>'06_Сеть_и_дети'!O191*'01_Вводные'!$B$74*O4</f>
        <v/>
      </c>
      <c r="P10" s="185">
        <f>'06_Сеть_и_дети'!P191*'01_Вводные'!$B$74*P4</f>
        <v/>
      </c>
      <c r="Q10" s="185">
        <f>'06_Сеть_и_дети'!Q191*'01_Вводные'!$B$74*Q4</f>
        <v/>
      </c>
      <c r="R10" s="185">
        <f>'06_Сеть_и_дети'!R191*'01_Вводные'!$B$74*R4</f>
        <v/>
      </c>
      <c r="S10" s="185">
        <f>'06_Сеть_и_дети'!S191*'01_Вводные'!$B$74*S4</f>
        <v/>
      </c>
      <c r="T10" s="185">
        <f>'06_Сеть_и_дети'!T191*'01_Вводные'!$B$74*T4</f>
        <v/>
      </c>
      <c r="U10" s="185">
        <f>'06_Сеть_и_дети'!U191*'01_Вводные'!$B$74*U4</f>
        <v/>
      </c>
      <c r="V10" s="185">
        <f>'06_Сеть_и_дети'!V191*'01_Вводные'!$B$74*V4</f>
        <v/>
      </c>
      <c r="W10" s="185">
        <f>'06_Сеть_и_дети'!W191*'01_Вводные'!$B$74*W4</f>
        <v/>
      </c>
      <c r="X10" s="185">
        <f>'06_Сеть_и_дети'!X191*'01_Вводные'!$B$74*X4</f>
        <v/>
      </c>
      <c r="Y10" s="185">
        <f>'06_Сеть_и_дети'!Y191*'01_Вводные'!$B$74*Y4</f>
        <v/>
      </c>
      <c r="Z10" s="185">
        <f>'06_Сеть_и_дети'!Z191*'01_Вводные'!$B$74*Z4</f>
        <v/>
      </c>
      <c r="AA10" s="185">
        <f>'06_Сеть_и_дети'!AA191*'01_Вводные'!$B$74*AA4</f>
        <v/>
      </c>
      <c r="AB10" s="185">
        <f>'06_Сеть_и_дети'!AB191*'01_Вводные'!$B$74*AB4</f>
        <v/>
      </c>
      <c r="AC10" s="185">
        <f>'06_Сеть_и_дети'!AC191*'01_Вводные'!$B$74*AC4</f>
        <v/>
      </c>
      <c r="AD10" s="185">
        <f>'06_Сеть_и_дети'!AD191*'01_Вводные'!$B$74*AD4</f>
        <v/>
      </c>
      <c r="AE10" s="185">
        <f>'06_Сеть_и_дети'!AE191*'01_Вводные'!$B$74*AE4</f>
        <v/>
      </c>
      <c r="AF10" s="185">
        <f>'06_Сеть_и_дети'!AF191*'01_Вводные'!$B$74*AF4</f>
        <v/>
      </c>
      <c r="AG10" s="185">
        <f>'06_Сеть_и_дети'!AG191*'01_Вводные'!$B$74*AG4</f>
        <v/>
      </c>
      <c r="AH10" s="185">
        <f>'06_Сеть_и_дети'!AH191*'01_Вводные'!$B$74*AH4</f>
        <v/>
      </c>
      <c r="AI10" s="185">
        <f>'06_Сеть_и_дети'!AI191*'01_Вводные'!$B$74*AI4</f>
        <v/>
      </c>
      <c r="AJ10" s="185">
        <f>'06_Сеть_и_дети'!AJ191*'01_Вводные'!$B$74*AJ4</f>
        <v/>
      </c>
      <c r="AK10" s="185">
        <f>'06_Сеть_и_дети'!AK191*'01_Вводные'!$B$74*AK4</f>
        <v/>
      </c>
      <c r="AL10" s="185">
        <f>'06_Сеть_и_дети'!AL191*'01_Вводные'!$B$74*AL4</f>
        <v/>
      </c>
      <c r="AM10" s="185">
        <f>'06_Сеть_и_дети'!AM191*'01_Вводные'!$B$74*AM4</f>
        <v/>
      </c>
      <c r="AN10" s="185">
        <f>'06_Сеть_и_дети'!AN191*'01_Вводные'!$B$74*AN4</f>
        <v/>
      </c>
      <c r="AO10" s="185">
        <f>'06_Сеть_и_дети'!AO191*'01_Вводные'!$B$74*AO4</f>
        <v/>
      </c>
      <c r="AP10" s="185">
        <f>'06_Сеть_и_дети'!AP191*'01_Вводные'!$B$74*AP4</f>
        <v/>
      </c>
      <c r="AQ10" s="185">
        <f>'06_Сеть_и_дети'!AQ191*'01_Вводные'!$B$74*AQ4</f>
        <v/>
      </c>
      <c r="AR10" s="185">
        <f>'06_Сеть_и_дети'!AR191*'01_Вводные'!$B$74*AR4</f>
        <v/>
      </c>
      <c r="AS10" s="185">
        <f>'06_Сеть_и_дети'!AS191*'01_Вводные'!$B$74*AS4</f>
        <v/>
      </c>
      <c r="AT10" s="185">
        <f>'06_Сеть_и_дети'!AT191*'01_Вводные'!$B$74*AT4</f>
        <v/>
      </c>
      <c r="AU10" s="185">
        <f>'06_Сеть_и_дети'!AU191*'01_Вводные'!$B$74*AU4</f>
        <v/>
      </c>
      <c r="AV10" s="185">
        <f>'06_Сеть_и_дети'!AV191*'01_Вводные'!$B$74*AV4</f>
        <v/>
      </c>
      <c r="AW10" s="185">
        <f>'06_Сеть_и_дети'!AW191*'01_Вводные'!$B$74*AW4</f>
        <v/>
      </c>
      <c r="AX10" s="185">
        <f>'06_Сеть_и_дети'!AX191*'01_Вводные'!$B$74*AX4</f>
        <v/>
      </c>
      <c r="AY10" s="185">
        <f>'06_Сеть_и_дети'!AY191*'01_Вводные'!$B$74*AY4</f>
        <v/>
      </c>
      <c r="AZ10" s="185">
        <f>'06_Сеть_и_дети'!AZ191*'01_Вводные'!$B$74*AZ4</f>
        <v/>
      </c>
      <c r="BA10" s="185">
        <f>'06_Сеть_и_дети'!BA191*'01_Вводные'!$B$74*BA4</f>
        <v/>
      </c>
      <c r="BB10" s="185">
        <f>'06_Сеть_и_дети'!BB191*'01_Вводные'!$B$74*BB4</f>
        <v/>
      </c>
      <c r="BC10" s="185">
        <f>'06_Сеть_и_дети'!BC191*'01_Вводные'!$B$74*BC4</f>
        <v/>
      </c>
      <c r="BD10" s="185">
        <f>'06_Сеть_и_дети'!BD191*'01_Вводные'!$B$74*BD4</f>
        <v/>
      </c>
      <c r="BE10" s="185">
        <f>'06_Сеть_и_дети'!BE191*'01_Вводные'!$B$74*BE4</f>
        <v/>
      </c>
      <c r="BF10" s="185">
        <f>'06_Сеть_и_дети'!BF191*'01_Вводные'!$B$74*BF4</f>
        <v/>
      </c>
      <c r="BG10" s="185">
        <f>'06_Сеть_и_дети'!BG191*'01_Вводные'!$B$74*BG4</f>
        <v/>
      </c>
      <c r="BH10" s="185">
        <f>'06_Сеть_и_дети'!BH191*'01_Вводные'!$B$74*BH4</f>
        <v/>
      </c>
      <c r="BI10" s="185">
        <f>'06_Сеть_и_дети'!BI191*'01_Вводные'!$B$74*BI4</f>
        <v/>
      </c>
      <c r="BJ10" s="185">
        <f>'06_Сеть_и_дети'!BJ191*'01_Вводные'!$B$74*BJ4</f>
        <v/>
      </c>
      <c r="BK10" s="185">
        <f>'06_Сеть_и_дети'!BK191*'01_Вводные'!$B$74*BK4</f>
        <v/>
      </c>
      <c r="BL10" s="185">
        <f>'06_Сеть_и_дети'!BL191*'01_Вводные'!$B$74*BL4</f>
        <v/>
      </c>
      <c r="BM10" s="185">
        <f>'06_Сеть_и_дети'!BM191*'01_Вводные'!$B$74*BM4</f>
        <v/>
      </c>
      <c r="BN10" s="185">
        <f>'06_Сеть_и_дети'!BN191*'01_Вводные'!$B$74*BN4</f>
        <v/>
      </c>
      <c r="BO10" s="185">
        <f>'06_Сеть_и_дети'!BO191*'01_Вводные'!$B$74*BO4</f>
        <v/>
      </c>
    </row>
    <row r="11">
      <c r="A11" s="2" t="inlineStr">
        <is>
          <t>Новые школы — выручка с НДС</t>
        </is>
      </c>
      <c r="B11" s="185">
        <f>SUM(B9:B10)*'18_Календарь_тарифы'!B10</f>
        <v/>
      </c>
      <c r="C11" s="185">
        <f>SUM(C9:C10)*'18_Календарь_тарифы'!C10</f>
        <v/>
      </c>
      <c r="D11" s="185">
        <f>SUM(D9:D10)*'18_Календарь_тарифы'!D10</f>
        <v/>
      </c>
      <c r="E11" s="185">
        <f>SUM(E9:E10)*'18_Календарь_тарифы'!E10</f>
        <v/>
      </c>
      <c r="F11" s="185">
        <f>SUM(F9:F10)*'18_Календарь_тарифы'!F10</f>
        <v/>
      </c>
      <c r="G11" s="185">
        <f>SUM(G9:G10)*'18_Календарь_тарифы'!G10</f>
        <v/>
      </c>
      <c r="H11" s="185">
        <f>SUM(H9:H10)*'18_Календарь_тарифы'!H10</f>
        <v/>
      </c>
      <c r="I11" s="185">
        <f>SUM(I9:I10)*'18_Календарь_тарифы'!I10</f>
        <v/>
      </c>
      <c r="J11" s="185">
        <f>SUM(J9:J10)*'18_Календарь_тарифы'!J10</f>
        <v/>
      </c>
      <c r="K11" s="185">
        <f>SUM(K9:K10)*'18_Календарь_тарифы'!K10</f>
        <v/>
      </c>
      <c r="L11" s="185">
        <f>SUM(L9:L10)*'18_Календарь_тарифы'!L10</f>
        <v/>
      </c>
      <c r="M11" s="185">
        <f>SUM(M9:M10)*'18_Календарь_тарифы'!M10</f>
        <v/>
      </c>
      <c r="N11" s="185">
        <f>SUM(N9:N10)*'18_Календарь_тарифы'!N10</f>
        <v/>
      </c>
      <c r="O11" s="185">
        <f>SUM(O9:O10)*'18_Календарь_тарифы'!O10</f>
        <v/>
      </c>
      <c r="P11" s="185">
        <f>SUM(P9:P10)*'18_Календарь_тарифы'!P10</f>
        <v/>
      </c>
      <c r="Q11" s="185">
        <f>SUM(Q9:Q10)*'18_Календарь_тарифы'!Q10</f>
        <v/>
      </c>
      <c r="R11" s="185">
        <f>SUM(R9:R10)*'18_Календарь_тарифы'!R10</f>
        <v/>
      </c>
      <c r="S11" s="185">
        <f>SUM(S9:S10)*'18_Календарь_тарифы'!S10</f>
        <v/>
      </c>
      <c r="T11" s="185">
        <f>SUM(T9:T10)*'18_Календарь_тарифы'!T10</f>
        <v/>
      </c>
      <c r="U11" s="185">
        <f>SUM(U9:U10)*'18_Календарь_тарифы'!U10</f>
        <v/>
      </c>
      <c r="V11" s="185">
        <f>SUM(V9:V10)*'18_Календарь_тарифы'!V10</f>
        <v/>
      </c>
      <c r="W11" s="185">
        <f>SUM(W9:W10)*'18_Календарь_тарифы'!W10</f>
        <v/>
      </c>
      <c r="X11" s="185">
        <f>SUM(X9:X10)*'18_Календарь_тарифы'!X10</f>
        <v/>
      </c>
      <c r="Y11" s="185">
        <f>SUM(Y9:Y10)*'18_Календарь_тарифы'!Y10</f>
        <v/>
      </c>
      <c r="Z11" s="185">
        <f>SUM(Z9:Z10)*'18_Календарь_тарифы'!Z10</f>
        <v/>
      </c>
      <c r="AA11" s="185">
        <f>SUM(AA9:AA10)*'18_Календарь_тарифы'!AA10</f>
        <v/>
      </c>
      <c r="AB11" s="185">
        <f>SUM(AB9:AB10)*'18_Календарь_тарифы'!AB10</f>
        <v/>
      </c>
      <c r="AC11" s="185">
        <f>SUM(AC9:AC10)*'18_Календарь_тарифы'!AC10</f>
        <v/>
      </c>
      <c r="AD11" s="185">
        <f>SUM(AD9:AD10)*'18_Календарь_тарифы'!AD10</f>
        <v/>
      </c>
      <c r="AE11" s="185">
        <f>SUM(AE9:AE10)*'18_Календарь_тарифы'!AE10</f>
        <v/>
      </c>
      <c r="AF11" s="185">
        <f>SUM(AF9:AF10)*'18_Календарь_тарифы'!AF10</f>
        <v/>
      </c>
      <c r="AG11" s="185">
        <f>SUM(AG9:AG10)*'18_Календарь_тарифы'!AG10</f>
        <v/>
      </c>
      <c r="AH11" s="185">
        <f>SUM(AH9:AH10)*'18_Календарь_тарифы'!AH10</f>
        <v/>
      </c>
      <c r="AI11" s="185">
        <f>SUM(AI9:AI10)*'18_Календарь_тарифы'!AI10</f>
        <v/>
      </c>
      <c r="AJ11" s="185">
        <f>SUM(AJ9:AJ10)*'18_Календарь_тарифы'!AJ10</f>
        <v/>
      </c>
      <c r="AK11" s="185">
        <f>SUM(AK9:AK10)*'18_Календарь_тарифы'!AK10</f>
        <v/>
      </c>
      <c r="AL11" s="185">
        <f>SUM(AL9:AL10)*'18_Календарь_тарифы'!AL10</f>
        <v/>
      </c>
      <c r="AM11" s="185">
        <f>SUM(AM9:AM10)*'18_Календарь_тарифы'!AM10</f>
        <v/>
      </c>
      <c r="AN11" s="185">
        <f>SUM(AN9:AN10)*'18_Календарь_тарифы'!AN10</f>
        <v/>
      </c>
      <c r="AO11" s="185">
        <f>SUM(AO9:AO10)*'18_Календарь_тарифы'!AO10</f>
        <v/>
      </c>
      <c r="AP11" s="185">
        <f>SUM(AP9:AP10)*'18_Календарь_тарифы'!AP10</f>
        <v/>
      </c>
      <c r="AQ11" s="185">
        <f>SUM(AQ9:AQ10)*'18_Календарь_тарифы'!AQ10</f>
        <v/>
      </c>
      <c r="AR11" s="185">
        <f>SUM(AR9:AR10)*'18_Календарь_тарифы'!AR10</f>
        <v/>
      </c>
      <c r="AS11" s="185">
        <f>SUM(AS9:AS10)*'18_Календарь_тарифы'!AS10</f>
        <v/>
      </c>
      <c r="AT11" s="185">
        <f>SUM(AT9:AT10)*'18_Календарь_тарифы'!AT10</f>
        <v/>
      </c>
      <c r="AU11" s="185">
        <f>SUM(AU9:AU10)*'18_Календарь_тарифы'!AU10</f>
        <v/>
      </c>
      <c r="AV11" s="185">
        <f>SUM(AV9:AV10)*'18_Календарь_тарифы'!AV10</f>
        <v/>
      </c>
      <c r="AW11" s="185">
        <f>SUM(AW9:AW10)*'18_Календарь_тарифы'!AW10</f>
        <v/>
      </c>
      <c r="AX11" s="185">
        <f>SUM(AX9:AX10)*'18_Календарь_тарифы'!AX10</f>
        <v/>
      </c>
      <c r="AY11" s="185">
        <f>SUM(AY9:AY10)*'18_Календарь_тарифы'!AY10</f>
        <v/>
      </c>
      <c r="AZ11" s="185">
        <f>SUM(AZ9:AZ10)*'18_Календарь_тарифы'!AZ10</f>
        <v/>
      </c>
      <c r="BA11" s="185">
        <f>SUM(BA9:BA10)*'18_Календарь_тарифы'!BA10</f>
        <v/>
      </c>
      <c r="BB11" s="185">
        <f>SUM(BB9:BB10)*'18_Календарь_тарифы'!BB10</f>
        <v/>
      </c>
      <c r="BC11" s="185">
        <f>SUM(BC9:BC10)*'18_Календарь_тарифы'!BC10</f>
        <v/>
      </c>
      <c r="BD11" s="185">
        <f>SUM(BD9:BD10)*'18_Календарь_тарифы'!BD10</f>
        <v/>
      </c>
      <c r="BE11" s="185">
        <f>SUM(BE9:BE10)*'18_Календарь_тарифы'!BE10</f>
        <v/>
      </c>
      <c r="BF11" s="185">
        <f>SUM(BF9:BF10)*'18_Календарь_тарифы'!BF10</f>
        <v/>
      </c>
      <c r="BG11" s="185">
        <f>SUM(BG9:BG10)*'18_Календарь_тарифы'!BG10</f>
        <v/>
      </c>
      <c r="BH11" s="185">
        <f>SUM(BH9:BH10)*'18_Календарь_тарифы'!BH10</f>
        <v/>
      </c>
      <c r="BI11" s="185">
        <f>SUM(BI9:BI10)*'18_Календарь_тарифы'!BI10</f>
        <v/>
      </c>
      <c r="BJ11" s="185">
        <f>SUM(BJ9:BJ10)*'18_Календарь_тарифы'!BJ10</f>
        <v/>
      </c>
      <c r="BK11" s="185">
        <f>SUM(BK9:BK10)*'18_Календарь_тарифы'!BK10</f>
        <v/>
      </c>
      <c r="BL11" s="185">
        <f>SUM(BL9:BL10)*'18_Календарь_тарифы'!BL10</f>
        <v/>
      </c>
      <c r="BM11" s="185">
        <f>SUM(BM9:BM10)*'18_Календарь_тарифы'!BM10</f>
        <v/>
      </c>
      <c r="BN11" s="185">
        <f>SUM(BN9:BN10)*'18_Календарь_тарифы'!BN10</f>
        <v/>
      </c>
      <c r="BO11" s="185">
        <f>SUM(BO9:BO10)*'18_Календарь_тарифы'!BO10</f>
        <v/>
      </c>
    </row>
    <row r="12">
      <c r="A12" s="2" t="inlineStr">
        <is>
          <t>Новые школы — COGS</t>
        </is>
      </c>
      <c r="B12" s="185">
        <f>SUM(B9:B10)*'18_Календарь_тарифы'!B9</f>
        <v/>
      </c>
      <c r="C12" s="185">
        <f>SUM(C9:C10)*'18_Календарь_тарифы'!C9</f>
        <v/>
      </c>
      <c r="D12" s="185">
        <f>SUM(D9:D10)*'18_Календарь_тарифы'!D9</f>
        <v/>
      </c>
      <c r="E12" s="185">
        <f>SUM(E9:E10)*'18_Календарь_тарифы'!E9</f>
        <v/>
      </c>
      <c r="F12" s="185">
        <f>SUM(F9:F10)*'18_Календарь_тарифы'!F9</f>
        <v/>
      </c>
      <c r="G12" s="185">
        <f>SUM(G9:G10)*'18_Календарь_тарифы'!G9</f>
        <v/>
      </c>
      <c r="H12" s="185">
        <f>SUM(H9:H10)*'18_Календарь_тарифы'!H9</f>
        <v/>
      </c>
      <c r="I12" s="185">
        <f>SUM(I9:I10)*'18_Календарь_тарифы'!I9</f>
        <v/>
      </c>
      <c r="J12" s="185">
        <f>SUM(J9:J10)*'18_Календарь_тарифы'!J9</f>
        <v/>
      </c>
      <c r="K12" s="185">
        <f>SUM(K9:K10)*'18_Календарь_тарифы'!K9</f>
        <v/>
      </c>
      <c r="L12" s="185">
        <f>SUM(L9:L10)*'18_Календарь_тарифы'!L9</f>
        <v/>
      </c>
      <c r="M12" s="185">
        <f>SUM(M9:M10)*'18_Календарь_тарифы'!M9</f>
        <v/>
      </c>
      <c r="N12" s="185">
        <f>SUM(N9:N10)*'18_Календарь_тарифы'!N9</f>
        <v/>
      </c>
      <c r="O12" s="185">
        <f>SUM(O9:O10)*'18_Календарь_тарифы'!O9</f>
        <v/>
      </c>
      <c r="P12" s="185">
        <f>SUM(P9:P10)*'18_Календарь_тарифы'!P9</f>
        <v/>
      </c>
      <c r="Q12" s="185">
        <f>SUM(Q9:Q10)*'18_Календарь_тарифы'!Q9</f>
        <v/>
      </c>
      <c r="R12" s="185">
        <f>SUM(R9:R10)*'18_Календарь_тарифы'!R9</f>
        <v/>
      </c>
      <c r="S12" s="185">
        <f>SUM(S9:S10)*'18_Календарь_тарифы'!S9</f>
        <v/>
      </c>
      <c r="T12" s="185">
        <f>SUM(T9:T10)*'18_Календарь_тарифы'!T9</f>
        <v/>
      </c>
      <c r="U12" s="185">
        <f>SUM(U9:U10)*'18_Календарь_тарифы'!U9</f>
        <v/>
      </c>
      <c r="V12" s="185">
        <f>SUM(V9:V10)*'18_Календарь_тарифы'!V9</f>
        <v/>
      </c>
      <c r="W12" s="185">
        <f>SUM(W9:W10)*'18_Календарь_тарифы'!W9</f>
        <v/>
      </c>
      <c r="X12" s="185">
        <f>SUM(X9:X10)*'18_Календарь_тарифы'!X9</f>
        <v/>
      </c>
      <c r="Y12" s="185">
        <f>SUM(Y9:Y10)*'18_Календарь_тарифы'!Y9</f>
        <v/>
      </c>
      <c r="Z12" s="185">
        <f>SUM(Z9:Z10)*'18_Календарь_тарифы'!Z9</f>
        <v/>
      </c>
      <c r="AA12" s="185">
        <f>SUM(AA9:AA10)*'18_Календарь_тарифы'!AA9</f>
        <v/>
      </c>
      <c r="AB12" s="185">
        <f>SUM(AB9:AB10)*'18_Календарь_тарифы'!AB9</f>
        <v/>
      </c>
      <c r="AC12" s="185">
        <f>SUM(AC9:AC10)*'18_Календарь_тарифы'!AC9</f>
        <v/>
      </c>
      <c r="AD12" s="185">
        <f>SUM(AD9:AD10)*'18_Календарь_тарифы'!AD9</f>
        <v/>
      </c>
      <c r="AE12" s="185">
        <f>SUM(AE9:AE10)*'18_Календарь_тарифы'!AE9</f>
        <v/>
      </c>
      <c r="AF12" s="185">
        <f>SUM(AF9:AF10)*'18_Календарь_тарифы'!AF9</f>
        <v/>
      </c>
      <c r="AG12" s="185">
        <f>SUM(AG9:AG10)*'18_Календарь_тарифы'!AG9</f>
        <v/>
      </c>
      <c r="AH12" s="185">
        <f>SUM(AH9:AH10)*'18_Календарь_тарифы'!AH9</f>
        <v/>
      </c>
      <c r="AI12" s="185">
        <f>SUM(AI9:AI10)*'18_Календарь_тарифы'!AI9</f>
        <v/>
      </c>
      <c r="AJ12" s="185">
        <f>SUM(AJ9:AJ10)*'18_Календарь_тарифы'!AJ9</f>
        <v/>
      </c>
      <c r="AK12" s="185">
        <f>SUM(AK9:AK10)*'18_Календарь_тарифы'!AK9</f>
        <v/>
      </c>
      <c r="AL12" s="185">
        <f>SUM(AL9:AL10)*'18_Календарь_тарифы'!AL9</f>
        <v/>
      </c>
      <c r="AM12" s="185">
        <f>SUM(AM9:AM10)*'18_Календарь_тарифы'!AM9</f>
        <v/>
      </c>
      <c r="AN12" s="185">
        <f>SUM(AN9:AN10)*'18_Календарь_тарифы'!AN9</f>
        <v/>
      </c>
      <c r="AO12" s="185">
        <f>SUM(AO9:AO10)*'18_Календарь_тарифы'!AO9</f>
        <v/>
      </c>
      <c r="AP12" s="185">
        <f>SUM(AP9:AP10)*'18_Календарь_тарифы'!AP9</f>
        <v/>
      </c>
      <c r="AQ12" s="185">
        <f>SUM(AQ9:AQ10)*'18_Календарь_тарифы'!AQ9</f>
        <v/>
      </c>
      <c r="AR12" s="185">
        <f>SUM(AR9:AR10)*'18_Календарь_тарифы'!AR9</f>
        <v/>
      </c>
      <c r="AS12" s="185">
        <f>SUM(AS9:AS10)*'18_Календарь_тарифы'!AS9</f>
        <v/>
      </c>
      <c r="AT12" s="185">
        <f>SUM(AT9:AT10)*'18_Календарь_тарифы'!AT9</f>
        <v/>
      </c>
      <c r="AU12" s="185">
        <f>SUM(AU9:AU10)*'18_Календарь_тарифы'!AU9</f>
        <v/>
      </c>
      <c r="AV12" s="185">
        <f>SUM(AV9:AV10)*'18_Календарь_тарифы'!AV9</f>
        <v/>
      </c>
      <c r="AW12" s="185">
        <f>SUM(AW9:AW10)*'18_Календарь_тарифы'!AW9</f>
        <v/>
      </c>
      <c r="AX12" s="185">
        <f>SUM(AX9:AX10)*'18_Календарь_тарифы'!AX9</f>
        <v/>
      </c>
      <c r="AY12" s="185">
        <f>SUM(AY9:AY10)*'18_Календарь_тарифы'!AY9</f>
        <v/>
      </c>
      <c r="AZ12" s="185">
        <f>SUM(AZ9:AZ10)*'18_Календарь_тарифы'!AZ9</f>
        <v/>
      </c>
      <c r="BA12" s="185">
        <f>SUM(BA9:BA10)*'18_Календарь_тарифы'!BA9</f>
        <v/>
      </c>
      <c r="BB12" s="185">
        <f>SUM(BB9:BB10)*'18_Календарь_тарифы'!BB9</f>
        <v/>
      </c>
      <c r="BC12" s="185">
        <f>SUM(BC9:BC10)*'18_Календарь_тарифы'!BC9</f>
        <v/>
      </c>
      <c r="BD12" s="185">
        <f>SUM(BD9:BD10)*'18_Календарь_тарифы'!BD9</f>
        <v/>
      </c>
      <c r="BE12" s="185">
        <f>SUM(BE9:BE10)*'18_Календарь_тарифы'!BE9</f>
        <v/>
      </c>
      <c r="BF12" s="185">
        <f>SUM(BF9:BF10)*'18_Календарь_тарифы'!BF9</f>
        <v/>
      </c>
      <c r="BG12" s="185">
        <f>SUM(BG9:BG10)*'18_Календарь_тарифы'!BG9</f>
        <v/>
      </c>
      <c r="BH12" s="185">
        <f>SUM(BH9:BH10)*'18_Календарь_тарифы'!BH9</f>
        <v/>
      </c>
      <c r="BI12" s="185">
        <f>SUM(BI9:BI10)*'18_Календарь_тарифы'!BI9</f>
        <v/>
      </c>
      <c r="BJ12" s="185">
        <f>SUM(BJ9:BJ10)*'18_Календарь_тарифы'!BJ9</f>
        <v/>
      </c>
      <c r="BK12" s="185">
        <f>SUM(BK9:BK10)*'18_Календарь_тарифы'!BK9</f>
        <v/>
      </c>
      <c r="BL12" s="185">
        <f>SUM(BL9:BL10)*'18_Календарь_тарифы'!BL9</f>
        <v/>
      </c>
      <c r="BM12" s="185">
        <f>SUM(BM9:BM10)*'18_Календарь_тарифы'!BM9</f>
        <v/>
      </c>
      <c r="BN12" s="185">
        <f>SUM(BN9:BN10)*'18_Календарь_тарифы'!BN9</f>
        <v/>
      </c>
      <c r="BO12" s="185">
        <f>SUM(BO9:BO10)*'18_Календарь_тарифы'!BO9</f>
        <v/>
      </c>
    </row>
    <row r="13">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c r="AA13" s="73" t="n"/>
      <c r="AB13" s="73" t="n"/>
      <c r="AC13" s="73" t="n"/>
      <c r="AD13" s="73" t="n"/>
      <c r="AE13" s="73" t="n"/>
      <c r="AF13" s="73" t="n"/>
      <c r="AG13" s="73" t="n"/>
      <c r="AH13" s="73" t="n"/>
      <c r="AI13" s="73" t="n"/>
      <c r="AJ13" s="73" t="n"/>
      <c r="AK13" s="73" t="n"/>
      <c r="AL13" s="73" t="n"/>
      <c r="AM13" s="73" t="n"/>
      <c r="AN13" s="73" t="n"/>
      <c r="AO13" s="73" t="n"/>
      <c r="AP13" s="73" t="n"/>
      <c r="AQ13" s="73" t="n"/>
      <c r="AR13" s="73" t="n"/>
      <c r="AS13" s="73" t="n"/>
      <c r="AT13" s="73" t="n"/>
      <c r="AU13" s="73" t="n"/>
      <c r="AV13" s="73" t="n"/>
      <c r="AW13" s="73" t="n"/>
      <c r="AX13" s="73" t="n"/>
      <c r="AY13" s="73" t="n"/>
      <c r="AZ13" s="73" t="n"/>
      <c r="BA13" s="73" t="n"/>
      <c r="BB13" s="73" t="n"/>
      <c r="BC13" s="73" t="n"/>
      <c r="BD13" s="73" t="n"/>
      <c r="BE13" s="73" t="n"/>
      <c r="BF13" s="73" t="n"/>
      <c r="BG13" s="73" t="n"/>
      <c r="BH13" s="73" t="n"/>
      <c r="BI13" s="73" t="n"/>
      <c r="BJ13" s="73" t="n"/>
      <c r="BK13" s="73" t="n"/>
      <c r="BL13" s="73" t="n"/>
      <c r="BM13" s="73" t="n"/>
      <c r="BN13" s="73" t="n"/>
      <c r="BO13" s="73" t="n"/>
    </row>
    <row r="14">
      <c r="A14" s="10" t="inlineStr">
        <is>
          <t>Всего выручка мерча, с НДС</t>
        </is>
      </c>
      <c r="B14" s="43">
        <f>B6+B11</f>
        <v/>
      </c>
      <c r="C14" s="43">
        <f>C6+C11</f>
        <v/>
      </c>
      <c r="D14" s="43">
        <f>D6+D11</f>
        <v/>
      </c>
      <c r="E14" s="43">
        <f>E6+E11</f>
        <v/>
      </c>
      <c r="F14" s="43">
        <f>F6+F11</f>
        <v/>
      </c>
      <c r="G14" s="43">
        <f>G6+G11</f>
        <v/>
      </c>
      <c r="H14" s="43">
        <f>H6+H11</f>
        <v/>
      </c>
      <c r="I14" s="43">
        <f>I6+I11</f>
        <v/>
      </c>
      <c r="J14" s="43">
        <f>J6+J11</f>
        <v/>
      </c>
      <c r="K14" s="43">
        <f>K6+K11</f>
        <v/>
      </c>
      <c r="L14" s="43">
        <f>L6+L11</f>
        <v/>
      </c>
      <c r="M14" s="43">
        <f>M6+M11</f>
        <v/>
      </c>
      <c r="N14" s="43">
        <f>N6+N11</f>
        <v/>
      </c>
      <c r="O14" s="43">
        <f>O6+O11</f>
        <v/>
      </c>
      <c r="P14" s="43">
        <f>P6+P11</f>
        <v/>
      </c>
      <c r="Q14" s="43">
        <f>Q6+Q11</f>
        <v/>
      </c>
      <c r="R14" s="43">
        <f>R6+R11</f>
        <v/>
      </c>
      <c r="S14" s="43">
        <f>S6+S11</f>
        <v/>
      </c>
      <c r="T14" s="43">
        <f>T6+T11</f>
        <v/>
      </c>
      <c r="U14" s="43">
        <f>U6+U11</f>
        <v/>
      </c>
      <c r="V14" s="43">
        <f>V6+V11</f>
        <v/>
      </c>
      <c r="W14" s="43">
        <f>W6+W11</f>
        <v/>
      </c>
      <c r="X14" s="43">
        <f>X6+X11</f>
        <v/>
      </c>
      <c r="Y14" s="43">
        <f>Y6+Y11</f>
        <v/>
      </c>
      <c r="Z14" s="43">
        <f>Z6+Z11</f>
        <v/>
      </c>
      <c r="AA14" s="43">
        <f>AA6+AA11</f>
        <v/>
      </c>
      <c r="AB14" s="43">
        <f>AB6+AB11</f>
        <v/>
      </c>
      <c r="AC14" s="43">
        <f>AC6+AC11</f>
        <v/>
      </c>
      <c r="AD14" s="43">
        <f>AD6+AD11</f>
        <v/>
      </c>
      <c r="AE14" s="43">
        <f>AE6+AE11</f>
        <v/>
      </c>
      <c r="AF14" s="43">
        <f>AF6+AF11</f>
        <v/>
      </c>
      <c r="AG14" s="43">
        <f>AG6+AG11</f>
        <v/>
      </c>
      <c r="AH14" s="43">
        <f>AH6+AH11</f>
        <v/>
      </c>
      <c r="AI14" s="43">
        <f>AI6+AI11</f>
        <v/>
      </c>
      <c r="AJ14" s="43">
        <f>AJ6+AJ11</f>
        <v/>
      </c>
      <c r="AK14" s="43">
        <f>AK6+AK11</f>
        <v/>
      </c>
      <c r="AL14" s="43">
        <f>AL6+AL11</f>
        <v/>
      </c>
      <c r="AM14" s="43">
        <f>AM6+AM11</f>
        <v/>
      </c>
      <c r="AN14" s="43">
        <f>AN6+AN11</f>
        <v/>
      </c>
      <c r="AO14" s="43">
        <f>AO6+AO11</f>
        <v/>
      </c>
      <c r="AP14" s="43">
        <f>AP6+AP11</f>
        <v/>
      </c>
      <c r="AQ14" s="43">
        <f>AQ6+AQ11</f>
        <v/>
      </c>
      <c r="AR14" s="43">
        <f>AR6+AR11</f>
        <v/>
      </c>
      <c r="AS14" s="43">
        <f>AS6+AS11</f>
        <v/>
      </c>
      <c r="AT14" s="43">
        <f>AT6+AT11</f>
        <v/>
      </c>
      <c r="AU14" s="43">
        <f>AU6+AU11</f>
        <v/>
      </c>
      <c r="AV14" s="43">
        <f>AV6+AV11</f>
        <v/>
      </c>
      <c r="AW14" s="43">
        <f>AW6+AW11</f>
        <v/>
      </c>
      <c r="AX14" s="43">
        <f>AX6+AX11</f>
        <v/>
      </c>
      <c r="AY14" s="43">
        <f>AY6+AY11</f>
        <v/>
      </c>
      <c r="AZ14" s="43">
        <f>AZ6+AZ11</f>
        <v/>
      </c>
      <c r="BA14" s="43">
        <f>BA6+BA11</f>
        <v/>
      </c>
      <c r="BB14" s="43">
        <f>BB6+BB11</f>
        <v/>
      </c>
      <c r="BC14" s="43">
        <f>BC6+BC11</f>
        <v/>
      </c>
      <c r="BD14" s="43">
        <f>BD6+BD11</f>
        <v/>
      </c>
      <c r="BE14" s="43">
        <f>BE6+BE11</f>
        <v/>
      </c>
      <c r="BF14" s="43">
        <f>BF6+BF11</f>
        <v/>
      </c>
      <c r="BG14" s="43">
        <f>BG6+BG11</f>
        <v/>
      </c>
      <c r="BH14" s="43">
        <f>BH6+BH11</f>
        <v/>
      </c>
      <c r="BI14" s="43">
        <f>BI6+BI11</f>
        <v/>
      </c>
      <c r="BJ14" s="43">
        <f>BJ6+BJ11</f>
        <v/>
      </c>
      <c r="BK14" s="43">
        <f>BK6+BK11</f>
        <v/>
      </c>
      <c r="BL14" s="43">
        <f>BL6+BL11</f>
        <v/>
      </c>
      <c r="BM14" s="43">
        <f>BM6+BM11</f>
        <v/>
      </c>
      <c r="BN14" s="43">
        <f>BN6+BN11</f>
        <v/>
      </c>
      <c r="BO14" s="43">
        <f>BO6+BO11</f>
        <v/>
      </c>
    </row>
    <row r="15">
      <c r="A15" s="10" t="inlineStr">
        <is>
          <t>Всего выручка мерча, без НДС</t>
        </is>
      </c>
      <c r="B15" s="43">
        <f>B14/(1+'01_Вводные'!$B$58)</f>
        <v/>
      </c>
      <c r="C15" s="43">
        <f>C14/(1+'01_Вводные'!$B$58)</f>
        <v/>
      </c>
      <c r="D15" s="43">
        <f>D14/(1+'01_Вводные'!$B$58)</f>
        <v/>
      </c>
      <c r="E15" s="43">
        <f>E14/(1+'01_Вводные'!$B$58)</f>
        <v/>
      </c>
      <c r="F15" s="43">
        <f>F14/(1+'01_Вводные'!$B$58)</f>
        <v/>
      </c>
      <c r="G15" s="43">
        <f>G14/(1+'01_Вводные'!$B$58)</f>
        <v/>
      </c>
      <c r="H15" s="43">
        <f>H14/(1+'01_Вводные'!$B$58)</f>
        <v/>
      </c>
      <c r="I15" s="43">
        <f>I14/(1+'01_Вводные'!$B$58)</f>
        <v/>
      </c>
      <c r="J15" s="43">
        <f>J14/(1+'01_Вводные'!$B$58)</f>
        <v/>
      </c>
      <c r="K15" s="43">
        <f>K14/(1+'01_Вводные'!$B$58)</f>
        <v/>
      </c>
      <c r="L15" s="43">
        <f>L14/(1+'01_Вводные'!$B$58)</f>
        <v/>
      </c>
      <c r="M15" s="43">
        <f>M14/(1+'01_Вводные'!$B$58)</f>
        <v/>
      </c>
      <c r="N15" s="43">
        <f>N14/(1+'01_Вводные'!$B$58)</f>
        <v/>
      </c>
      <c r="O15" s="43">
        <f>O14/(1+'01_Вводные'!$B$58)</f>
        <v/>
      </c>
      <c r="P15" s="43">
        <f>P14/(1+'01_Вводные'!$B$58)</f>
        <v/>
      </c>
      <c r="Q15" s="43">
        <f>Q14/(1+'01_Вводные'!$B$58)</f>
        <v/>
      </c>
      <c r="R15" s="43">
        <f>R14/(1+'01_Вводные'!$B$58)</f>
        <v/>
      </c>
      <c r="S15" s="43">
        <f>S14/(1+'01_Вводные'!$B$58)</f>
        <v/>
      </c>
      <c r="T15" s="43">
        <f>T14/(1+'01_Вводные'!$B$58)</f>
        <v/>
      </c>
      <c r="U15" s="43">
        <f>U14/(1+'01_Вводные'!$B$58)</f>
        <v/>
      </c>
      <c r="V15" s="43">
        <f>V14/(1+'01_Вводные'!$B$58)</f>
        <v/>
      </c>
      <c r="W15" s="43">
        <f>W14/(1+'01_Вводные'!$B$58)</f>
        <v/>
      </c>
      <c r="X15" s="43">
        <f>X14/(1+'01_Вводные'!$B$58)</f>
        <v/>
      </c>
      <c r="Y15" s="43">
        <f>Y14/(1+'01_Вводные'!$B$58)</f>
        <v/>
      </c>
      <c r="Z15" s="43">
        <f>Z14/(1+'01_Вводные'!$B$58)</f>
        <v/>
      </c>
      <c r="AA15" s="43">
        <f>AA14/(1+'01_Вводные'!$B$58)</f>
        <v/>
      </c>
      <c r="AB15" s="43">
        <f>AB14/(1+'01_Вводные'!$B$58)</f>
        <v/>
      </c>
      <c r="AC15" s="43">
        <f>AC14/(1+'01_Вводные'!$B$58)</f>
        <v/>
      </c>
      <c r="AD15" s="43">
        <f>AD14/(1+'01_Вводные'!$B$58)</f>
        <v/>
      </c>
      <c r="AE15" s="43">
        <f>AE14/(1+'01_Вводные'!$B$58)</f>
        <v/>
      </c>
      <c r="AF15" s="43">
        <f>AF14/(1+'01_Вводные'!$B$58)</f>
        <v/>
      </c>
      <c r="AG15" s="43">
        <f>AG14/(1+'01_Вводные'!$B$58)</f>
        <v/>
      </c>
      <c r="AH15" s="43">
        <f>AH14/(1+'01_Вводные'!$B$58)</f>
        <v/>
      </c>
      <c r="AI15" s="43">
        <f>AI14/(1+'01_Вводные'!$B$58)</f>
        <v/>
      </c>
      <c r="AJ15" s="43">
        <f>AJ14/(1+'01_Вводные'!$B$58)</f>
        <v/>
      </c>
      <c r="AK15" s="43">
        <f>AK14/(1+'01_Вводные'!$B$58)</f>
        <v/>
      </c>
      <c r="AL15" s="43">
        <f>AL14/(1+'01_Вводные'!$B$58)</f>
        <v/>
      </c>
      <c r="AM15" s="43">
        <f>AM14/(1+'01_Вводные'!$B$58)</f>
        <v/>
      </c>
      <c r="AN15" s="43">
        <f>AN14/(1+'01_Вводные'!$B$58)</f>
        <v/>
      </c>
      <c r="AO15" s="43">
        <f>AO14/(1+'01_Вводные'!$B$58)</f>
        <v/>
      </c>
      <c r="AP15" s="43">
        <f>AP14/(1+'01_Вводные'!$B$58)</f>
        <v/>
      </c>
      <c r="AQ15" s="43">
        <f>AQ14/(1+'01_Вводные'!$B$58)</f>
        <v/>
      </c>
      <c r="AR15" s="43">
        <f>AR14/(1+'01_Вводные'!$B$58)</f>
        <v/>
      </c>
      <c r="AS15" s="43">
        <f>AS14/(1+'01_Вводные'!$B$58)</f>
        <v/>
      </c>
      <c r="AT15" s="43">
        <f>AT14/(1+'01_Вводные'!$B$58)</f>
        <v/>
      </c>
      <c r="AU15" s="43">
        <f>AU14/(1+'01_Вводные'!$B$58)</f>
        <v/>
      </c>
      <c r="AV15" s="43">
        <f>AV14/(1+'01_Вводные'!$B$58)</f>
        <v/>
      </c>
      <c r="AW15" s="43">
        <f>AW14/(1+'01_Вводные'!$B$58)</f>
        <v/>
      </c>
      <c r="AX15" s="43">
        <f>AX14/(1+'01_Вводные'!$B$58)</f>
        <v/>
      </c>
      <c r="AY15" s="43">
        <f>AY14/(1+'01_Вводные'!$B$58)</f>
        <v/>
      </c>
      <c r="AZ15" s="43">
        <f>AZ14/(1+'01_Вводные'!$B$58)</f>
        <v/>
      </c>
      <c r="BA15" s="43">
        <f>BA14/(1+'01_Вводные'!$B$58)</f>
        <v/>
      </c>
      <c r="BB15" s="43">
        <f>BB14/(1+'01_Вводные'!$B$58)</f>
        <v/>
      </c>
      <c r="BC15" s="43">
        <f>BC14/(1+'01_Вводные'!$B$58)</f>
        <v/>
      </c>
      <c r="BD15" s="43">
        <f>BD14/(1+'01_Вводные'!$B$58)</f>
        <v/>
      </c>
      <c r="BE15" s="43">
        <f>BE14/(1+'01_Вводные'!$B$58)</f>
        <v/>
      </c>
      <c r="BF15" s="43">
        <f>BF14/(1+'01_Вводные'!$B$58)</f>
        <v/>
      </c>
      <c r="BG15" s="43">
        <f>BG14/(1+'01_Вводные'!$B$58)</f>
        <v/>
      </c>
      <c r="BH15" s="43">
        <f>BH14/(1+'01_Вводные'!$B$58)</f>
        <v/>
      </c>
      <c r="BI15" s="43">
        <f>BI14/(1+'01_Вводные'!$B$58)</f>
        <v/>
      </c>
      <c r="BJ15" s="43">
        <f>BJ14/(1+'01_Вводные'!$B$58)</f>
        <v/>
      </c>
      <c r="BK15" s="43">
        <f>BK14/(1+'01_Вводные'!$B$58)</f>
        <v/>
      </c>
      <c r="BL15" s="43">
        <f>BL14/(1+'01_Вводные'!$B$58)</f>
        <v/>
      </c>
      <c r="BM15" s="43">
        <f>BM14/(1+'01_Вводные'!$B$58)</f>
        <v/>
      </c>
      <c r="BN15" s="43">
        <f>BN14/(1+'01_Вводные'!$B$58)</f>
        <v/>
      </c>
      <c r="BO15" s="43">
        <f>BO14/(1+'01_Вводные'!$B$58)</f>
        <v/>
      </c>
    </row>
    <row r="16">
      <c r="A16" s="10" t="inlineStr">
        <is>
          <t>Всего COGS</t>
        </is>
      </c>
      <c r="B16" s="43">
        <f>B7+B12</f>
        <v/>
      </c>
      <c r="C16" s="43">
        <f>C7+C12</f>
        <v/>
      </c>
      <c r="D16" s="43">
        <f>D7+D12</f>
        <v/>
      </c>
      <c r="E16" s="43">
        <f>E7+E12</f>
        <v/>
      </c>
      <c r="F16" s="43">
        <f>F7+F12</f>
        <v/>
      </c>
      <c r="G16" s="43">
        <f>G7+G12</f>
        <v/>
      </c>
      <c r="H16" s="43">
        <f>H7+H12</f>
        <v/>
      </c>
      <c r="I16" s="43">
        <f>I7+I12</f>
        <v/>
      </c>
      <c r="J16" s="43">
        <f>J7+J12</f>
        <v/>
      </c>
      <c r="K16" s="43">
        <f>K7+K12</f>
        <v/>
      </c>
      <c r="L16" s="43">
        <f>L7+L12</f>
        <v/>
      </c>
      <c r="M16" s="43">
        <f>M7+M12</f>
        <v/>
      </c>
      <c r="N16" s="43">
        <f>N7+N12</f>
        <v/>
      </c>
      <c r="O16" s="43">
        <f>O7+O12</f>
        <v/>
      </c>
      <c r="P16" s="43">
        <f>P7+P12</f>
        <v/>
      </c>
      <c r="Q16" s="43">
        <f>Q7+Q12</f>
        <v/>
      </c>
      <c r="R16" s="43">
        <f>R7+R12</f>
        <v/>
      </c>
      <c r="S16" s="43">
        <f>S7+S12</f>
        <v/>
      </c>
      <c r="T16" s="43">
        <f>T7+T12</f>
        <v/>
      </c>
      <c r="U16" s="43">
        <f>U7+U12</f>
        <v/>
      </c>
      <c r="V16" s="43">
        <f>V7+V12</f>
        <v/>
      </c>
      <c r="W16" s="43">
        <f>W7+W12</f>
        <v/>
      </c>
      <c r="X16" s="43">
        <f>X7+X12</f>
        <v/>
      </c>
      <c r="Y16" s="43">
        <f>Y7+Y12</f>
        <v/>
      </c>
      <c r="Z16" s="43">
        <f>Z7+Z12</f>
        <v/>
      </c>
      <c r="AA16" s="43">
        <f>AA7+AA12</f>
        <v/>
      </c>
      <c r="AB16" s="43">
        <f>AB7+AB12</f>
        <v/>
      </c>
      <c r="AC16" s="43">
        <f>AC7+AC12</f>
        <v/>
      </c>
      <c r="AD16" s="43">
        <f>AD7+AD12</f>
        <v/>
      </c>
      <c r="AE16" s="43">
        <f>AE7+AE12</f>
        <v/>
      </c>
      <c r="AF16" s="43">
        <f>AF7+AF12</f>
        <v/>
      </c>
      <c r="AG16" s="43">
        <f>AG7+AG12</f>
        <v/>
      </c>
      <c r="AH16" s="43">
        <f>AH7+AH12</f>
        <v/>
      </c>
      <c r="AI16" s="43">
        <f>AI7+AI12</f>
        <v/>
      </c>
      <c r="AJ16" s="43">
        <f>AJ7+AJ12</f>
        <v/>
      </c>
      <c r="AK16" s="43">
        <f>AK7+AK12</f>
        <v/>
      </c>
      <c r="AL16" s="43">
        <f>AL7+AL12</f>
        <v/>
      </c>
      <c r="AM16" s="43">
        <f>AM7+AM12</f>
        <v/>
      </c>
      <c r="AN16" s="43">
        <f>AN7+AN12</f>
        <v/>
      </c>
      <c r="AO16" s="43">
        <f>AO7+AO12</f>
        <v/>
      </c>
      <c r="AP16" s="43">
        <f>AP7+AP12</f>
        <v/>
      </c>
      <c r="AQ16" s="43">
        <f>AQ7+AQ12</f>
        <v/>
      </c>
      <c r="AR16" s="43">
        <f>AR7+AR12</f>
        <v/>
      </c>
      <c r="AS16" s="43">
        <f>AS7+AS12</f>
        <v/>
      </c>
      <c r="AT16" s="43">
        <f>AT7+AT12</f>
        <v/>
      </c>
      <c r="AU16" s="43">
        <f>AU7+AU12</f>
        <v/>
      </c>
      <c r="AV16" s="43">
        <f>AV7+AV12</f>
        <v/>
      </c>
      <c r="AW16" s="43">
        <f>AW7+AW12</f>
        <v/>
      </c>
      <c r="AX16" s="43">
        <f>AX7+AX12</f>
        <v/>
      </c>
      <c r="AY16" s="43">
        <f>AY7+AY12</f>
        <v/>
      </c>
      <c r="AZ16" s="43">
        <f>AZ7+AZ12</f>
        <v/>
      </c>
      <c r="BA16" s="43">
        <f>BA7+BA12</f>
        <v/>
      </c>
      <c r="BB16" s="43">
        <f>BB7+BB12</f>
        <v/>
      </c>
      <c r="BC16" s="43">
        <f>BC7+BC12</f>
        <v/>
      </c>
      <c r="BD16" s="43">
        <f>BD7+BD12</f>
        <v/>
      </c>
      <c r="BE16" s="43">
        <f>BE7+BE12</f>
        <v/>
      </c>
      <c r="BF16" s="43">
        <f>BF7+BF12</f>
        <v/>
      </c>
      <c r="BG16" s="43">
        <f>BG7+BG12</f>
        <v/>
      </c>
      <c r="BH16" s="43">
        <f>BH7+BH12</f>
        <v/>
      </c>
      <c r="BI16" s="43">
        <f>BI7+BI12</f>
        <v/>
      </c>
      <c r="BJ16" s="43">
        <f>BJ7+BJ12</f>
        <v/>
      </c>
      <c r="BK16" s="43">
        <f>BK7+BK12</f>
        <v/>
      </c>
      <c r="BL16" s="43">
        <f>BL7+BL12</f>
        <v/>
      </c>
      <c r="BM16" s="43">
        <f>BM7+BM12</f>
        <v/>
      </c>
      <c r="BN16" s="43">
        <f>BN7+BN12</f>
        <v/>
      </c>
      <c r="BO16" s="43">
        <f>BO7+BO12</f>
        <v/>
      </c>
    </row>
    <row r="17">
      <c r="A17" s="2" t="inlineStr">
        <is>
          <t>Логистика/возвраты/брак</t>
        </is>
      </c>
      <c r="B17" s="42">
        <f>B15*'01_Вводные'!$B$75</f>
        <v/>
      </c>
      <c r="C17" s="42">
        <f>C15*'01_Вводные'!$B$75</f>
        <v/>
      </c>
      <c r="D17" s="42">
        <f>D15*'01_Вводные'!$B$75</f>
        <v/>
      </c>
      <c r="E17" s="42">
        <f>E15*'01_Вводные'!$B$75</f>
        <v/>
      </c>
      <c r="F17" s="42">
        <f>F15*'01_Вводные'!$B$75</f>
        <v/>
      </c>
      <c r="G17" s="42">
        <f>G15*'01_Вводные'!$B$75</f>
        <v/>
      </c>
      <c r="H17" s="42">
        <f>H15*'01_Вводные'!$B$75</f>
        <v/>
      </c>
      <c r="I17" s="42">
        <f>I15*'01_Вводные'!$B$75</f>
        <v/>
      </c>
      <c r="J17" s="42">
        <f>J15*'01_Вводные'!$B$75</f>
        <v/>
      </c>
      <c r="K17" s="42">
        <f>K15*'01_Вводные'!$B$75</f>
        <v/>
      </c>
      <c r="L17" s="42">
        <f>L15*'01_Вводные'!$B$75</f>
        <v/>
      </c>
      <c r="M17" s="42">
        <f>M15*'01_Вводные'!$B$75</f>
        <v/>
      </c>
      <c r="N17" s="42">
        <f>N15*'01_Вводные'!$B$75</f>
        <v/>
      </c>
      <c r="O17" s="42">
        <f>O15*'01_Вводные'!$B$75</f>
        <v/>
      </c>
      <c r="P17" s="42">
        <f>P15*'01_Вводные'!$B$75</f>
        <v/>
      </c>
      <c r="Q17" s="42">
        <f>Q15*'01_Вводные'!$B$75</f>
        <v/>
      </c>
      <c r="R17" s="42">
        <f>R15*'01_Вводные'!$B$75</f>
        <v/>
      </c>
      <c r="S17" s="42">
        <f>S15*'01_Вводные'!$B$75</f>
        <v/>
      </c>
      <c r="T17" s="42">
        <f>T15*'01_Вводные'!$B$75</f>
        <v/>
      </c>
      <c r="U17" s="42">
        <f>U15*'01_Вводные'!$B$75</f>
        <v/>
      </c>
      <c r="V17" s="42">
        <f>V15*'01_Вводные'!$B$75</f>
        <v/>
      </c>
      <c r="W17" s="42">
        <f>W15*'01_Вводные'!$B$75</f>
        <v/>
      </c>
      <c r="X17" s="42">
        <f>X15*'01_Вводные'!$B$75</f>
        <v/>
      </c>
      <c r="Y17" s="42">
        <f>Y15*'01_Вводные'!$B$75</f>
        <v/>
      </c>
      <c r="Z17" s="42">
        <f>Z15*'01_Вводные'!$B$75</f>
        <v/>
      </c>
      <c r="AA17" s="42">
        <f>AA15*'01_Вводные'!$B$75</f>
        <v/>
      </c>
      <c r="AB17" s="42">
        <f>AB15*'01_Вводные'!$B$75</f>
        <v/>
      </c>
      <c r="AC17" s="42">
        <f>AC15*'01_Вводные'!$B$75</f>
        <v/>
      </c>
      <c r="AD17" s="42">
        <f>AD15*'01_Вводные'!$B$75</f>
        <v/>
      </c>
      <c r="AE17" s="42">
        <f>AE15*'01_Вводные'!$B$75</f>
        <v/>
      </c>
      <c r="AF17" s="42">
        <f>AF15*'01_Вводные'!$B$75</f>
        <v/>
      </c>
      <c r="AG17" s="42">
        <f>AG15*'01_Вводные'!$B$75</f>
        <v/>
      </c>
      <c r="AH17" s="42">
        <f>AH15*'01_Вводные'!$B$75</f>
        <v/>
      </c>
      <c r="AI17" s="42">
        <f>AI15*'01_Вводные'!$B$75</f>
        <v/>
      </c>
      <c r="AJ17" s="42">
        <f>AJ15*'01_Вводные'!$B$75</f>
        <v/>
      </c>
      <c r="AK17" s="42">
        <f>AK15*'01_Вводные'!$B$75</f>
        <v/>
      </c>
      <c r="AL17" s="42">
        <f>AL15*'01_Вводные'!$B$75</f>
        <v/>
      </c>
      <c r="AM17" s="42">
        <f>AM15*'01_Вводные'!$B$75</f>
        <v/>
      </c>
      <c r="AN17" s="42">
        <f>AN15*'01_Вводные'!$B$75</f>
        <v/>
      </c>
      <c r="AO17" s="42">
        <f>AO15*'01_Вводные'!$B$75</f>
        <v/>
      </c>
      <c r="AP17" s="42">
        <f>AP15*'01_Вводные'!$B$75</f>
        <v/>
      </c>
      <c r="AQ17" s="42">
        <f>AQ15*'01_Вводные'!$B$75</f>
        <v/>
      </c>
      <c r="AR17" s="42">
        <f>AR15*'01_Вводные'!$B$75</f>
        <v/>
      </c>
      <c r="AS17" s="42">
        <f>AS15*'01_Вводные'!$B$75</f>
        <v/>
      </c>
      <c r="AT17" s="42">
        <f>AT15*'01_Вводные'!$B$75</f>
        <v/>
      </c>
      <c r="AU17" s="42">
        <f>AU15*'01_Вводные'!$B$75</f>
        <v/>
      </c>
      <c r="AV17" s="42">
        <f>AV15*'01_Вводные'!$B$75</f>
        <v/>
      </c>
      <c r="AW17" s="42">
        <f>AW15*'01_Вводные'!$B$75</f>
        <v/>
      </c>
      <c r="AX17" s="42">
        <f>AX15*'01_Вводные'!$B$75</f>
        <v/>
      </c>
      <c r="AY17" s="42">
        <f>AY15*'01_Вводные'!$B$75</f>
        <v/>
      </c>
      <c r="AZ17" s="42">
        <f>AZ15*'01_Вводные'!$B$75</f>
        <v/>
      </c>
      <c r="BA17" s="42">
        <f>BA15*'01_Вводные'!$B$75</f>
        <v/>
      </c>
      <c r="BB17" s="42">
        <f>BB15*'01_Вводные'!$B$75</f>
        <v/>
      </c>
      <c r="BC17" s="42">
        <f>BC15*'01_Вводные'!$B$75</f>
        <v/>
      </c>
      <c r="BD17" s="42">
        <f>BD15*'01_Вводные'!$B$75</f>
        <v/>
      </c>
      <c r="BE17" s="42">
        <f>BE15*'01_Вводные'!$B$75</f>
        <v/>
      </c>
      <c r="BF17" s="42">
        <f>BF15*'01_Вводные'!$B$75</f>
        <v/>
      </c>
      <c r="BG17" s="42">
        <f>BG15*'01_Вводные'!$B$75</f>
        <v/>
      </c>
      <c r="BH17" s="42">
        <f>BH15*'01_Вводные'!$B$75</f>
        <v/>
      </c>
      <c r="BI17" s="42">
        <f>BI15*'01_Вводные'!$B$75</f>
        <v/>
      </c>
      <c r="BJ17" s="42">
        <f>BJ15*'01_Вводные'!$B$75</f>
        <v/>
      </c>
      <c r="BK17" s="42">
        <f>BK15*'01_Вводные'!$B$75</f>
        <v/>
      </c>
      <c r="BL17" s="42">
        <f>BL15*'01_Вводные'!$B$75</f>
        <v/>
      </c>
      <c r="BM17" s="42">
        <f>BM15*'01_Вводные'!$B$75</f>
        <v/>
      </c>
      <c r="BN17" s="42">
        <f>BN15*'01_Вводные'!$B$75</f>
        <v/>
      </c>
      <c r="BO17" s="42">
        <f>BO15*'01_Вводные'!$B$75</f>
        <v/>
      </c>
    </row>
    <row r="18">
      <c r="A18" s="10" t="inlineStr">
        <is>
          <t>Прибыль мерча до ФК (не ниже нуля для распределения)</t>
        </is>
      </c>
      <c r="B18" s="43">
        <f>MAX(0,B15-B16-B17)</f>
        <v/>
      </c>
      <c r="C18" s="43">
        <f>MAX(0,C15-C16-C17)</f>
        <v/>
      </c>
      <c r="D18" s="43">
        <f>MAX(0,D15-D16-D17)</f>
        <v/>
      </c>
      <c r="E18" s="43">
        <f>MAX(0,E15-E16-E17)</f>
        <v/>
      </c>
      <c r="F18" s="43">
        <f>MAX(0,F15-F16-F17)</f>
        <v/>
      </c>
      <c r="G18" s="43">
        <f>MAX(0,G15-G16-G17)</f>
        <v/>
      </c>
      <c r="H18" s="43">
        <f>MAX(0,H15-H16-H17)</f>
        <v/>
      </c>
      <c r="I18" s="43">
        <f>MAX(0,I15-I16-I17)</f>
        <v/>
      </c>
      <c r="J18" s="43">
        <f>MAX(0,J15-J16-J17)</f>
        <v/>
      </c>
      <c r="K18" s="43">
        <f>MAX(0,K15-K16-K17)</f>
        <v/>
      </c>
      <c r="L18" s="43">
        <f>MAX(0,L15-L16-L17)</f>
        <v/>
      </c>
      <c r="M18" s="43">
        <f>MAX(0,M15-M16-M17)</f>
        <v/>
      </c>
      <c r="N18" s="43">
        <f>MAX(0,N15-N16-N17)</f>
        <v/>
      </c>
      <c r="O18" s="43">
        <f>MAX(0,O15-O16-O17)</f>
        <v/>
      </c>
      <c r="P18" s="43">
        <f>MAX(0,P15-P16-P17)</f>
        <v/>
      </c>
      <c r="Q18" s="43">
        <f>MAX(0,Q15-Q16-Q17)</f>
        <v/>
      </c>
      <c r="R18" s="43">
        <f>MAX(0,R15-R16-R17)</f>
        <v/>
      </c>
      <c r="S18" s="43">
        <f>MAX(0,S15-S16-S17)</f>
        <v/>
      </c>
      <c r="T18" s="43">
        <f>MAX(0,T15-T16-T17)</f>
        <v/>
      </c>
      <c r="U18" s="43">
        <f>MAX(0,U15-U16-U17)</f>
        <v/>
      </c>
      <c r="V18" s="43">
        <f>MAX(0,V15-V16-V17)</f>
        <v/>
      </c>
      <c r="W18" s="43">
        <f>MAX(0,W15-W16-W17)</f>
        <v/>
      </c>
      <c r="X18" s="43">
        <f>MAX(0,X15-X16-X17)</f>
        <v/>
      </c>
      <c r="Y18" s="43">
        <f>MAX(0,Y15-Y16-Y17)</f>
        <v/>
      </c>
      <c r="Z18" s="43">
        <f>MAX(0,Z15-Z16-Z17)</f>
        <v/>
      </c>
      <c r="AA18" s="43">
        <f>MAX(0,AA15-AA16-AA17)</f>
        <v/>
      </c>
      <c r="AB18" s="43">
        <f>MAX(0,AB15-AB16-AB17)</f>
        <v/>
      </c>
      <c r="AC18" s="43">
        <f>MAX(0,AC15-AC16-AC17)</f>
        <v/>
      </c>
      <c r="AD18" s="43">
        <f>MAX(0,AD15-AD16-AD17)</f>
        <v/>
      </c>
      <c r="AE18" s="43">
        <f>MAX(0,AE15-AE16-AE17)</f>
        <v/>
      </c>
      <c r="AF18" s="43">
        <f>MAX(0,AF15-AF16-AF17)</f>
        <v/>
      </c>
      <c r="AG18" s="43">
        <f>MAX(0,AG15-AG16-AG17)</f>
        <v/>
      </c>
      <c r="AH18" s="43">
        <f>MAX(0,AH15-AH16-AH17)</f>
        <v/>
      </c>
      <c r="AI18" s="43">
        <f>MAX(0,AI15-AI16-AI17)</f>
        <v/>
      </c>
      <c r="AJ18" s="43">
        <f>MAX(0,AJ15-AJ16-AJ17)</f>
        <v/>
      </c>
      <c r="AK18" s="43">
        <f>MAX(0,AK15-AK16-AK17)</f>
        <v/>
      </c>
      <c r="AL18" s="43">
        <f>MAX(0,AL15-AL16-AL17)</f>
        <v/>
      </c>
      <c r="AM18" s="43">
        <f>MAX(0,AM15-AM16-AM17)</f>
        <v/>
      </c>
      <c r="AN18" s="43">
        <f>MAX(0,AN15-AN16-AN17)</f>
        <v/>
      </c>
      <c r="AO18" s="43">
        <f>MAX(0,AO15-AO16-AO17)</f>
        <v/>
      </c>
      <c r="AP18" s="43">
        <f>MAX(0,AP15-AP16-AP17)</f>
        <v/>
      </c>
      <c r="AQ18" s="43">
        <f>MAX(0,AQ15-AQ16-AQ17)</f>
        <v/>
      </c>
      <c r="AR18" s="43">
        <f>MAX(0,AR15-AR16-AR17)</f>
        <v/>
      </c>
      <c r="AS18" s="43">
        <f>MAX(0,AS15-AS16-AS17)</f>
        <v/>
      </c>
      <c r="AT18" s="43">
        <f>MAX(0,AT15-AT16-AT17)</f>
        <v/>
      </c>
      <c r="AU18" s="43">
        <f>MAX(0,AU15-AU16-AU17)</f>
        <v/>
      </c>
      <c r="AV18" s="43">
        <f>MAX(0,AV15-AV16-AV17)</f>
        <v/>
      </c>
      <c r="AW18" s="43">
        <f>MAX(0,AW15-AW16-AW17)</f>
        <v/>
      </c>
      <c r="AX18" s="43">
        <f>MAX(0,AX15-AX16-AX17)</f>
        <v/>
      </c>
      <c r="AY18" s="43">
        <f>MAX(0,AY15-AY16-AY17)</f>
        <v/>
      </c>
      <c r="AZ18" s="43">
        <f>MAX(0,AZ15-AZ16-AZ17)</f>
        <v/>
      </c>
      <c r="BA18" s="43">
        <f>MAX(0,BA15-BA16-BA17)</f>
        <v/>
      </c>
      <c r="BB18" s="43">
        <f>MAX(0,BB15-BB16-BB17)</f>
        <v/>
      </c>
      <c r="BC18" s="43">
        <f>MAX(0,BC15-BC16-BC17)</f>
        <v/>
      </c>
      <c r="BD18" s="43">
        <f>MAX(0,BD15-BD16-BD17)</f>
        <v/>
      </c>
      <c r="BE18" s="43">
        <f>MAX(0,BE15-BE16-BE17)</f>
        <v/>
      </c>
      <c r="BF18" s="43">
        <f>MAX(0,BF15-BF16-BF17)</f>
        <v/>
      </c>
      <c r="BG18" s="43">
        <f>MAX(0,BG15-BG16-BG17)</f>
        <v/>
      </c>
      <c r="BH18" s="43">
        <f>MAX(0,BH15-BH16-BH17)</f>
        <v/>
      </c>
      <c r="BI18" s="43">
        <f>MAX(0,BI15-BI16-BI17)</f>
        <v/>
      </c>
      <c r="BJ18" s="43">
        <f>MAX(0,BJ15-BJ16-BJ17)</f>
        <v/>
      </c>
      <c r="BK18" s="43">
        <f>MAX(0,BK15-BK16-BK17)</f>
        <v/>
      </c>
      <c r="BL18" s="43">
        <f>MAX(0,BL15-BL16-BL17)</f>
        <v/>
      </c>
      <c r="BM18" s="43">
        <f>MAX(0,BM15-BM16-BM17)</f>
        <v/>
      </c>
      <c r="BN18" s="43">
        <f>MAX(0,BN15-BN16-BN17)</f>
        <v/>
      </c>
      <c r="BO18" s="43">
        <f>MAX(0,BO15-BO16-BO17)</f>
        <v/>
      </c>
    </row>
    <row r="19">
      <c r="A19" s="10" t="inlineStr">
        <is>
          <t>35% ФК от прибыли мерча</t>
        </is>
      </c>
      <c r="B19" s="43">
        <f>B18*'01_Вводные'!$B$76</f>
        <v/>
      </c>
      <c r="C19" s="43">
        <f>C18*'01_Вводные'!$B$76</f>
        <v/>
      </c>
      <c r="D19" s="43">
        <f>D18*'01_Вводные'!$B$76</f>
        <v/>
      </c>
      <c r="E19" s="43">
        <f>E18*'01_Вводные'!$B$76</f>
        <v/>
      </c>
      <c r="F19" s="43">
        <f>F18*'01_Вводные'!$B$76</f>
        <v/>
      </c>
      <c r="G19" s="43">
        <f>G18*'01_Вводные'!$B$76</f>
        <v/>
      </c>
      <c r="H19" s="43">
        <f>H18*'01_Вводные'!$B$76</f>
        <v/>
      </c>
      <c r="I19" s="43">
        <f>I18*'01_Вводные'!$B$76</f>
        <v/>
      </c>
      <c r="J19" s="43">
        <f>J18*'01_Вводные'!$B$76</f>
        <v/>
      </c>
      <c r="K19" s="43">
        <f>K18*'01_Вводные'!$B$76</f>
        <v/>
      </c>
      <c r="L19" s="43">
        <f>L18*'01_Вводные'!$B$76</f>
        <v/>
      </c>
      <c r="M19" s="43">
        <f>M18*'01_Вводные'!$B$76</f>
        <v/>
      </c>
      <c r="N19" s="43">
        <f>N18*'01_Вводные'!$B$76</f>
        <v/>
      </c>
      <c r="O19" s="43">
        <f>O18*'01_Вводные'!$B$76</f>
        <v/>
      </c>
      <c r="P19" s="43">
        <f>P18*'01_Вводные'!$B$76</f>
        <v/>
      </c>
      <c r="Q19" s="43">
        <f>Q18*'01_Вводные'!$B$76</f>
        <v/>
      </c>
      <c r="R19" s="43">
        <f>R18*'01_Вводные'!$B$76</f>
        <v/>
      </c>
      <c r="S19" s="43">
        <f>S18*'01_Вводные'!$B$76</f>
        <v/>
      </c>
      <c r="T19" s="43">
        <f>T18*'01_Вводные'!$B$76</f>
        <v/>
      </c>
      <c r="U19" s="43">
        <f>U18*'01_Вводные'!$B$76</f>
        <v/>
      </c>
      <c r="V19" s="43">
        <f>V18*'01_Вводные'!$B$76</f>
        <v/>
      </c>
      <c r="W19" s="43">
        <f>W18*'01_Вводные'!$B$76</f>
        <v/>
      </c>
      <c r="X19" s="43">
        <f>X18*'01_Вводные'!$B$76</f>
        <v/>
      </c>
      <c r="Y19" s="43">
        <f>Y18*'01_Вводные'!$B$76</f>
        <v/>
      </c>
      <c r="Z19" s="43">
        <f>Z18*'01_Вводные'!$B$76</f>
        <v/>
      </c>
      <c r="AA19" s="43">
        <f>AA18*'01_Вводные'!$B$76</f>
        <v/>
      </c>
      <c r="AB19" s="43">
        <f>AB18*'01_Вводные'!$B$76</f>
        <v/>
      </c>
      <c r="AC19" s="43">
        <f>AC18*'01_Вводные'!$B$76</f>
        <v/>
      </c>
      <c r="AD19" s="43">
        <f>AD18*'01_Вводные'!$B$76</f>
        <v/>
      </c>
      <c r="AE19" s="43">
        <f>AE18*'01_Вводные'!$B$76</f>
        <v/>
      </c>
      <c r="AF19" s="43">
        <f>AF18*'01_Вводные'!$B$76</f>
        <v/>
      </c>
      <c r="AG19" s="43">
        <f>AG18*'01_Вводные'!$B$76</f>
        <v/>
      </c>
      <c r="AH19" s="43">
        <f>AH18*'01_Вводные'!$B$76</f>
        <v/>
      </c>
      <c r="AI19" s="43">
        <f>AI18*'01_Вводные'!$B$76</f>
        <v/>
      </c>
      <c r="AJ19" s="43">
        <f>AJ18*'01_Вводные'!$B$76</f>
        <v/>
      </c>
      <c r="AK19" s="43">
        <f>AK18*'01_Вводные'!$B$76</f>
        <v/>
      </c>
      <c r="AL19" s="43">
        <f>AL18*'01_Вводные'!$B$76</f>
        <v/>
      </c>
      <c r="AM19" s="43">
        <f>AM18*'01_Вводные'!$B$76</f>
        <v/>
      </c>
      <c r="AN19" s="43">
        <f>AN18*'01_Вводные'!$B$76</f>
        <v/>
      </c>
      <c r="AO19" s="43">
        <f>AO18*'01_Вводные'!$B$76</f>
        <v/>
      </c>
      <c r="AP19" s="43">
        <f>AP18*'01_Вводные'!$B$76</f>
        <v/>
      </c>
      <c r="AQ19" s="43">
        <f>AQ18*'01_Вводные'!$B$76</f>
        <v/>
      </c>
      <c r="AR19" s="43">
        <f>AR18*'01_Вводные'!$B$76</f>
        <v/>
      </c>
      <c r="AS19" s="43">
        <f>AS18*'01_Вводные'!$B$76</f>
        <v/>
      </c>
      <c r="AT19" s="43">
        <f>AT18*'01_Вводные'!$B$76</f>
        <v/>
      </c>
      <c r="AU19" s="43">
        <f>AU18*'01_Вводные'!$B$76</f>
        <v/>
      </c>
      <c r="AV19" s="43">
        <f>AV18*'01_Вводные'!$B$76</f>
        <v/>
      </c>
      <c r="AW19" s="43">
        <f>AW18*'01_Вводные'!$B$76</f>
        <v/>
      </c>
      <c r="AX19" s="43">
        <f>AX18*'01_Вводные'!$B$76</f>
        <v/>
      </c>
      <c r="AY19" s="43">
        <f>AY18*'01_Вводные'!$B$76</f>
        <v/>
      </c>
      <c r="AZ19" s="43">
        <f>AZ18*'01_Вводные'!$B$76</f>
        <v/>
      </c>
      <c r="BA19" s="43">
        <f>BA18*'01_Вводные'!$B$76</f>
        <v/>
      </c>
      <c r="BB19" s="43">
        <f>BB18*'01_Вводные'!$B$76</f>
        <v/>
      </c>
      <c r="BC19" s="43">
        <f>BC18*'01_Вводные'!$B$76</f>
        <v/>
      </c>
      <c r="BD19" s="43">
        <f>BD18*'01_Вводные'!$B$76</f>
        <v/>
      </c>
      <c r="BE19" s="43">
        <f>BE18*'01_Вводные'!$B$76</f>
        <v/>
      </c>
      <c r="BF19" s="43">
        <f>BF18*'01_Вводные'!$B$76</f>
        <v/>
      </c>
      <c r="BG19" s="43">
        <f>BG18*'01_Вводные'!$B$76</f>
        <v/>
      </c>
      <c r="BH19" s="43">
        <f>BH18*'01_Вводные'!$B$76</f>
        <v/>
      </c>
      <c r="BI19" s="43">
        <f>BI18*'01_Вводные'!$B$76</f>
        <v/>
      </c>
      <c r="BJ19" s="43">
        <f>BJ18*'01_Вводные'!$B$76</f>
        <v/>
      </c>
      <c r="BK19" s="43">
        <f>BK18*'01_Вводные'!$B$76</f>
        <v/>
      </c>
      <c r="BL19" s="43">
        <f>BL18*'01_Вводные'!$B$76</f>
        <v/>
      </c>
      <c r="BM19" s="43">
        <f>BM18*'01_Вводные'!$B$76</f>
        <v/>
      </c>
      <c r="BN19" s="43">
        <f>BN18*'01_Вводные'!$B$76</f>
        <v/>
      </c>
      <c r="BO19" s="43">
        <f>BO18*'01_Вводные'!$B$76</f>
        <v/>
      </c>
    </row>
    <row r="20">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c r="AA20" s="73" t="n"/>
      <c r="AB20" s="73" t="n"/>
      <c r="AC20" s="73" t="n"/>
      <c r="AD20" s="73" t="n"/>
      <c r="AE20" s="73" t="n"/>
      <c r="AF20" s="73" t="n"/>
      <c r="AG20" s="73" t="n"/>
      <c r="AH20" s="73" t="n"/>
      <c r="AI20" s="73" t="n"/>
      <c r="AJ20" s="73" t="n"/>
      <c r="AK20" s="73" t="n"/>
      <c r="AL20" s="73" t="n"/>
      <c r="AM20" s="73" t="n"/>
      <c r="AN20" s="73" t="n"/>
      <c r="AO20" s="73" t="n"/>
      <c r="AP20" s="73" t="n"/>
      <c r="AQ20" s="73" t="n"/>
      <c r="AR20" s="73" t="n"/>
      <c r="AS20" s="73" t="n"/>
      <c r="AT20" s="73" t="n"/>
      <c r="AU20" s="73" t="n"/>
      <c r="AV20" s="73" t="n"/>
      <c r="AW20" s="73" t="n"/>
      <c r="AX20" s="73" t="n"/>
      <c r="AY20" s="73" t="n"/>
      <c r="AZ20" s="73" t="n"/>
      <c r="BA20" s="73" t="n"/>
      <c r="BB20" s="73" t="n"/>
      <c r="BC20" s="73" t="n"/>
      <c r="BD20" s="73" t="n"/>
      <c r="BE20" s="73" t="n"/>
      <c r="BF20" s="73" t="n"/>
      <c r="BG20" s="73" t="n"/>
      <c r="BH20" s="73" t="n"/>
      <c r="BI20" s="73" t="n"/>
      <c r="BJ20" s="73" t="n"/>
      <c r="BK20" s="73" t="n"/>
      <c r="BL20" s="73" t="n"/>
      <c r="BM20" s="73" t="n"/>
      <c r="BN20" s="73" t="n"/>
      <c r="BO20" s="73" t="n"/>
    </row>
    <row r="21" ht="20" customHeight="1">
      <c r="A21" s="4" t="inlineStr">
        <is>
          <t>Склад</t>
        </is>
      </c>
    </row>
    <row r="22">
      <c r="A22" s="2" t="inlineStr">
        <is>
          <t>Склад на начало</t>
        </is>
      </c>
      <c r="B22" s="42">
        <f>'01_Вводные'!$B$77</f>
        <v/>
      </c>
      <c r="C22" s="42">
        <f>B26</f>
        <v/>
      </c>
      <c r="D22" s="42">
        <f>C26</f>
        <v/>
      </c>
      <c r="E22" s="42">
        <f>D26</f>
        <v/>
      </c>
      <c r="F22" s="42">
        <f>E26</f>
        <v/>
      </c>
      <c r="G22" s="42">
        <f>F26</f>
        <v/>
      </c>
      <c r="H22" s="42">
        <f>G26</f>
        <v/>
      </c>
      <c r="I22" s="42">
        <f>H26</f>
        <v/>
      </c>
      <c r="J22" s="42">
        <f>I26</f>
        <v/>
      </c>
      <c r="K22" s="42">
        <f>J26</f>
        <v/>
      </c>
      <c r="L22" s="42">
        <f>K26</f>
        <v/>
      </c>
      <c r="M22" s="42">
        <f>L26</f>
        <v/>
      </c>
      <c r="N22" s="42">
        <f>M26</f>
        <v/>
      </c>
      <c r="O22" s="42">
        <f>N26</f>
        <v/>
      </c>
      <c r="P22" s="42">
        <f>O26</f>
        <v/>
      </c>
      <c r="Q22" s="42">
        <f>P26</f>
        <v/>
      </c>
      <c r="R22" s="42">
        <f>Q26</f>
        <v/>
      </c>
      <c r="S22" s="42">
        <f>R26</f>
        <v/>
      </c>
      <c r="T22" s="42">
        <f>S26</f>
        <v/>
      </c>
      <c r="U22" s="42">
        <f>T26</f>
        <v/>
      </c>
      <c r="V22" s="42">
        <f>U26</f>
        <v/>
      </c>
      <c r="W22" s="42">
        <f>V26</f>
        <v/>
      </c>
      <c r="X22" s="42">
        <f>W26</f>
        <v/>
      </c>
      <c r="Y22" s="42">
        <f>X26</f>
        <v/>
      </c>
      <c r="Z22" s="42">
        <f>Y26</f>
        <v/>
      </c>
      <c r="AA22" s="42">
        <f>Z26</f>
        <v/>
      </c>
      <c r="AB22" s="42">
        <f>AA26</f>
        <v/>
      </c>
      <c r="AC22" s="42">
        <f>AB26</f>
        <v/>
      </c>
      <c r="AD22" s="42">
        <f>AC26</f>
        <v/>
      </c>
      <c r="AE22" s="42">
        <f>AD26</f>
        <v/>
      </c>
      <c r="AF22" s="42">
        <f>AE26</f>
        <v/>
      </c>
      <c r="AG22" s="42">
        <f>AF26</f>
        <v/>
      </c>
      <c r="AH22" s="42">
        <f>AG26</f>
        <v/>
      </c>
      <c r="AI22" s="42">
        <f>AH26</f>
        <v/>
      </c>
      <c r="AJ22" s="42">
        <f>AI26</f>
        <v/>
      </c>
      <c r="AK22" s="42">
        <f>AJ26</f>
        <v/>
      </c>
      <c r="AL22" s="42">
        <f>AK26</f>
        <v/>
      </c>
      <c r="AM22" s="42">
        <f>AL26</f>
        <v/>
      </c>
      <c r="AN22" s="42">
        <f>AM26</f>
        <v/>
      </c>
      <c r="AO22" s="42">
        <f>AN26</f>
        <v/>
      </c>
      <c r="AP22" s="42">
        <f>AO26</f>
        <v/>
      </c>
      <c r="AQ22" s="42">
        <f>AP26</f>
        <v/>
      </c>
      <c r="AR22" s="42">
        <f>AQ26</f>
        <v/>
      </c>
      <c r="AS22" s="42">
        <f>AR26</f>
        <v/>
      </c>
      <c r="AT22" s="42">
        <f>AS26</f>
        <v/>
      </c>
      <c r="AU22" s="42">
        <f>AT26</f>
        <v/>
      </c>
      <c r="AV22" s="42">
        <f>AU26</f>
        <v/>
      </c>
      <c r="AW22" s="42">
        <f>AV26</f>
        <v/>
      </c>
      <c r="AX22" s="42">
        <f>AW26</f>
        <v/>
      </c>
      <c r="AY22" s="42">
        <f>AX26</f>
        <v/>
      </c>
      <c r="AZ22" s="42">
        <f>AY26</f>
        <v/>
      </c>
      <c r="BA22" s="42">
        <f>AZ26</f>
        <v/>
      </c>
      <c r="BB22" s="42">
        <f>BA26</f>
        <v/>
      </c>
      <c r="BC22" s="42">
        <f>BB26</f>
        <v/>
      </c>
      <c r="BD22" s="42">
        <f>BC26</f>
        <v/>
      </c>
      <c r="BE22" s="42">
        <f>BD26</f>
        <v/>
      </c>
      <c r="BF22" s="42">
        <f>BE26</f>
        <v/>
      </c>
      <c r="BG22" s="42">
        <f>BF26</f>
        <v/>
      </c>
      <c r="BH22" s="42">
        <f>BG26</f>
        <v/>
      </c>
      <c r="BI22" s="42">
        <f>BH26</f>
        <v/>
      </c>
      <c r="BJ22" s="42">
        <f>BI26</f>
        <v/>
      </c>
      <c r="BK22" s="42">
        <f>BJ26</f>
        <v/>
      </c>
      <c r="BL22" s="42">
        <f>BK26</f>
        <v/>
      </c>
      <c r="BM22" s="42">
        <f>BL26</f>
        <v/>
      </c>
      <c r="BN22" s="42">
        <f>BM26</f>
        <v/>
      </c>
      <c r="BO22" s="42">
        <f>BN26</f>
        <v/>
      </c>
    </row>
    <row r="23">
      <c r="A23" s="2" t="inlineStr">
        <is>
          <t>Списание COGS</t>
        </is>
      </c>
      <c r="B23" s="42">
        <f>B16</f>
        <v/>
      </c>
      <c r="C23" s="42">
        <f>C16</f>
        <v/>
      </c>
      <c r="D23" s="42">
        <f>D16</f>
        <v/>
      </c>
      <c r="E23" s="42">
        <f>E16</f>
        <v/>
      </c>
      <c r="F23" s="42">
        <f>F16</f>
        <v/>
      </c>
      <c r="G23" s="42">
        <f>G16</f>
        <v/>
      </c>
      <c r="H23" s="42">
        <f>H16</f>
        <v/>
      </c>
      <c r="I23" s="42">
        <f>I16</f>
        <v/>
      </c>
      <c r="J23" s="42">
        <f>J16</f>
        <v/>
      </c>
      <c r="K23" s="42">
        <f>K16</f>
        <v/>
      </c>
      <c r="L23" s="42">
        <f>L16</f>
        <v/>
      </c>
      <c r="M23" s="42">
        <f>M16</f>
        <v/>
      </c>
      <c r="N23" s="42">
        <f>N16</f>
        <v/>
      </c>
      <c r="O23" s="42">
        <f>O16</f>
        <v/>
      </c>
      <c r="P23" s="42">
        <f>P16</f>
        <v/>
      </c>
      <c r="Q23" s="42">
        <f>Q16</f>
        <v/>
      </c>
      <c r="R23" s="42">
        <f>R16</f>
        <v/>
      </c>
      <c r="S23" s="42">
        <f>S16</f>
        <v/>
      </c>
      <c r="T23" s="42">
        <f>T16</f>
        <v/>
      </c>
      <c r="U23" s="42">
        <f>U16</f>
        <v/>
      </c>
      <c r="V23" s="42">
        <f>V16</f>
        <v/>
      </c>
      <c r="W23" s="42">
        <f>W16</f>
        <v/>
      </c>
      <c r="X23" s="42">
        <f>X16</f>
        <v/>
      </c>
      <c r="Y23" s="42">
        <f>Y16</f>
        <v/>
      </c>
      <c r="Z23" s="42">
        <f>Z16</f>
        <v/>
      </c>
      <c r="AA23" s="42">
        <f>AA16</f>
        <v/>
      </c>
      <c r="AB23" s="42">
        <f>AB16</f>
        <v/>
      </c>
      <c r="AC23" s="42">
        <f>AC16</f>
        <v/>
      </c>
      <c r="AD23" s="42">
        <f>AD16</f>
        <v/>
      </c>
      <c r="AE23" s="42">
        <f>AE16</f>
        <v/>
      </c>
      <c r="AF23" s="42">
        <f>AF16</f>
        <v/>
      </c>
      <c r="AG23" s="42">
        <f>AG16</f>
        <v/>
      </c>
      <c r="AH23" s="42">
        <f>AH16</f>
        <v/>
      </c>
      <c r="AI23" s="42">
        <f>AI16</f>
        <v/>
      </c>
      <c r="AJ23" s="42">
        <f>AJ16</f>
        <v/>
      </c>
      <c r="AK23" s="42">
        <f>AK16</f>
        <v/>
      </c>
      <c r="AL23" s="42">
        <f>AL16</f>
        <v/>
      </c>
      <c r="AM23" s="42">
        <f>AM16</f>
        <v/>
      </c>
      <c r="AN23" s="42">
        <f>AN16</f>
        <v/>
      </c>
      <c r="AO23" s="42">
        <f>AO16</f>
        <v/>
      </c>
      <c r="AP23" s="42">
        <f>AP16</f>
        <v/>
      </c>
      <c r="AQ23" s="42">
        <f>AQ16</f>
        <v/>
      </c>
      <c r="AR23" s="42">
        <f>AR16</f>
        <v/>
      </c>
      <c r="AS23" s="42">
        <f>AS16</f>
        <v/>
      </c>
      <c r="AT23" s="42">
        <f>AT16</f>
        <v/>
      </c>
      <c r="AU23" s="42">
        <f>AU16</f>
        <v/>
      </c>
      <c r="AV23" s="42">
        <f>AV16</f>
        <v/>
      </c>
      <c r="AW23" s="42">
        <f>AW16</f>
        <v/>
      </c>
      <c r="AX23" s="42">
        <f>AX16</f>
        <v/>
      </c>
      <c r="AY23" s="42">
        <f>AY16</f>
        <v/>
      </c>
      <c r="AZ23" s="42">
        <f>AZ16</f>
        <v/>
      </c>
      <c r="BA23" s="42">
        <f>BA16</f>
        <v/>
      </c>
      <c r="BB23" s="42">
        <f>BB16</f>
        <v/>
      </c>
      <c r="BC23" s="42">
        <f>BC16</f>
        <v/>
      </c>
      <c r="BD23" s="42">
        <f>BD16</f>
        <v/>
      </c>
      <c r="BE23" s="42">
        <f>BE16</f>
        <v/>
      </c>
      <c r="BF23" s="42">
        <f>BF16</f>
        <v/>
      </c>
      <c r="BG23" s="42">
        <f>BG16</f>
        <v/>
      </c>
      <c r="BH23" s="42">
        <f>BH16</f>
        <v/>
      </c>
      <c r="BI23" s="42">
        <f>BI16</f>
        <v/>
      </c>
      <c r="BJ23" s="42">
        <f>BJ16</f>
        <v/>
      </c>
      <c r="BK23" s="42">
        <f>BK16</f>
        <v/>
      </c>
      <c r="BL23" s="42">
        <f>BL16</f>
        <v/>
      </c>
      <c r="BM23" s="42">
        <f>BM16</f>
        <v/>
      </c>
      <c r="BN23" s="42">
        <f>BN16</f>
        <v/>
      </c>
      <c r="BO23" s="42">
        <f>BO16</f>
        <v/>
      </c>
    </row>
    <row r="24">
      <c r="A24" s="2" t="inlineStr">
        <is>
          <t>Целевой запас на следующие 6 мес.</t>
        </is>
      </c>
      <c r="B24" s="95">
        <f>SUM(IF('01_Вводные'!$B$80&gt;=1,C16,0),IF('01_Вводные'!$B$80&gt;=2,D16,0),IF('01_Вводные'!$B$80&gt;=3,E16,0),IF('01_Вводные'!$B$80&gt;=4,F16,0),IF('01_Вводные'!$B$80&gt;=5,G16,0),IF('01_Вводные'!$B$80&gt;=6,H16,0))</f>
        <v/>
      </c>
      <c r="C24" s="95">
        <f>SUM(IF('01_Вводные'!$B$80&gt;=1,D16,0),IF('01_Вводные'!$B$80&gt;=2,E16,0),IF('01_Вводные'!$B$80&gt;=3,F16,0),IF('01_Вводные'!$B$80&gt;=4,G16,0),IF('01_Вводные'!$B$80&gt;=5,H16,0),IF('01_Вводные'!$B$80&gt;=6,I16,0))</f>
        <v/>
      </c>
      <c r="D24" s="95">
        <f>SUM(IF('01_Вводные'!$B$80&gt;=1,E16,0),IF('01_Вводные'!$B$80&gt;=2,F16,0),IF('01_Вводные'!$B$80&gt;=3,G16,0),IF('01_Вводные'!$B$80&gt;=4,H16,0),IF('01_Вводные'!$B$80&gt;=5,I16,0),IF('01_Вводные'!$B$80&gt;=6,J16,0))</f>
        <v/>
      </c>
      <c r="E24" s="95">
        <f>SUM(IF('01_Вводные'!$B$80&gt;=1,F16,0),IF('01_Вводные'!$B$80&gt;=2,G16,0),IF('01_Вводные'!$B$80&gt;=3,H16,0),IF('01_Вводные'!$B$80&gt;=4,I16,0),IF('01_Вводные'!$B$80&gt;=5,J16,0),IF('01_Вводные'!$B$80&gt;=6,K16,0))</f>
        <v/>
      </c>
      <c r="F24" s="95">
        <f>SUM(IF('01_Вводные'!$B$80&gt;=1,G16,0),IF('01_Вводные'!$B$80&gt;=2,H16,0),IF('01_Вводные'!$B$80&gt;=3,I16,0),IF('01_Вводные'!$B$80&gt;=4,J16,0),IF('01_Вводные'!$B$80&gt;=5,K16,0),IF('01_Вводные'!$B$80&gt;=6,L16,0))</f>
        <v/>
      </c>
      <c r="G24" s="95">
        <f>SUM(IF('01_Вводные'!$B$80&gt;=1,H16,0),IF('01_Вводные'!$B$80&gt;=2,I16,0),IF('01_Вводные'!$B$80&gt;=3,J16,0),IF('01_Вводные'!$B$80&gt;=4,K16,0),IF('01_Вводные'!$B$80&gt;=5,L16,0),IF('01_Вводные'!$B$80&gt;=6,M16,0))</f>
        <v/>
      </c>
      <c r="H24" s="95">
        <f>SUM(IF('01_Вводные'!$B$80&gt;=1,I16,0),IF('01_Вводные'!$B$80&gt;=2,J16,0),IF('01_Вводные'!$B$80&gt;=3,K16,0),IF('01_Вводные'!$B$80&gt;=4,L16,0),IF('01_Вводные'!$B$80&gt;=5,M16,0),IF('01_Вводные'!$B$80&gt;=6,N16,0))</f>
        <v/>
      </c>
      <c r="I24" s="95">
        <f>SUM(IF('01_Вводные'!$B$80&gt;=1,J16,0),IF('01_Вводные'!$B$80&gt;=2,K16,0),IF('01_Вводные'!$B$80&gt;=3,L16,0),IF('01_Вводные'!$B$80&gt;=4,M16,0),IF('01_Вводные'!$B$80&gt;=5,N16,0),IF('01_Вводные'!$B$80&gt;=6,O16,0))</f>
        <v/>
      </c>
      <c r="J24" s="95">
        <f>SUM(IF('01_Вводные'!$B$80&gt;=1,K16,0),IF('01_Вводные'!$B$80&gt;=2,L16,0),IF('01_Вводные'!$B$80&gt;=3,M16,0),IF('01_Вводные'!$B$80&gt;=4,N16,0),IF('01_Вводные'!$B$80&gt;=5,O16,0),IF('01_Вводные'!$B$80&gt;=6,P16,0))</f>
        <v/>
      </c>
      <c r="K24" s="95">
        <f>SUM(IF('01_Вводные'!$B$80&gt;=1,L16,0),IF('01_Вводные'!$B$80&gt;=2,M16,0),IF('01_Вводные'!$B$80&gt;=3,N16,0),IF('01_Вводные'!$B$80&gt;=4,O16,0),IF('01_Вводные'!$B$80&gt;=5,P16,0),IF('01_Вводные'!$B$80&gt;=6,Q16,0))</f>
        <v/>
      </c>
      <c r="L24" s="95">
        <f>SUM(IF('01_Вводные'!$B$80&gt;=1,M16,0),IF('01_Вводные'!$B$80&gt;=2,N16,0),IF('01_Вводные'!$B$80&gt;=3,O16,0),IF('01_Вводные'!$B$80&gt;=4,P16,0),IF('01_Вводные'!$B$80&gt;=5,Q16,0),IF('01_Вводные'!$B$80&gt;=6,R16,0))</f>
        <v/>
      </c>
      <c r="M24" s="95">
        <f>SUM(IF('01_Вводные'!$B$80&gt;=1,N16,0),IF('01_Вводные'!$B$80&gt;=2,O16,0),IF('01_Вводные'!$B$80&gt;=3,P16,0),IF('01_Вводные'!$B$80&gt;=4,Q16,0),IF('01_Вводные'!$B$80&gt;=5,R16,0),IF('01_Вводные'!$B$80&gt;=6,S16,0))</f>
        <v/>
      </c>
      <c r="N24" s="95">
        <f>SUM(IF('01_Вводные'!$B$80&gt;=1,O16,0),IF('01_Вводные'!$B$80&gt;=2,P16,0),IF('01_Вводные'!$B$80&gt;=3,Q16,0),IF('01_Вводные'!$B$80&gt;=4,R16,0),IF('01_Вводные'!$B$80&gt;=5,S16,0),IF('01_Вводные'!$B$80&gt;=6,T16,0))</f>
        <v/>
      </c>
      <c r="O24" s="95">
        <f>SUM(IF('01_Вводные'!$B$80&gt;=1,P16,0),IF('01_Вводные'!$B$80&gt;=2,Q16,0),IF('01_Вводные'!$B$80&gt;=3,R16,0),IF('01_Вводные'!$B$80&gt;=4,S16,0),IF('01_Вводные'!$B$80&gt;=5,T16,0),IF('01_Вводные'!$B$80&gt;=6,U16,0))</f>
        <v/>
      </c>
      <c r="P24" s="95">
        <f>SUM(IF('01_Вводные'!$B$80&gt;=1,Q16,0),IF('01_Вводные'!$B$80&gt;=2,R16,0),IF('01_Вводные'!$B$80&gt;=3,S16,0),IF('01_Вводные'!$B$80&gt;=4,T16,0),IF('01_Вводные'!$B$80&gt;=5,U16,0),IF('01_Вводные'!$B$80&gt;=6,V16,0))</f>
        <v/>
      </c>
      <c r="Q24" s="95">
        <f>SUM(IF('01_Вводные'!$B$80&gt;=1,R16,0),IF('01_Вводные'!$B$80&gt;=2,S16,0),IF('01_Вводные'!$B$80&gt;=3,T16,0),IF('01_Вводные'!$B$80&gt;=4,U16,0),IF('01_Вводные'!$B$80&gt;=5,V16,0),IF('01_Вводные'!$B$80&gt;=6,W16,0))</f>
        <v/>
      </c>
      <c r="R24" s="95">
        <f>SUM(IF('01_Вводные'!$B$80&gt;=1,S16,0),IF('01_Вводные'!$B$80&gt;=2,T16,0),IF('01_Вводные'!$B$80&gt;=3,U16,0),IF('01_Вводные'!$B$80&gt;=4,V16,0),IF('01_Вводные'!$B$80&gt;=5,W16,0),IF('01_Вводные'!$B$80&gt;=6,X16,0))</f>
        <v/>
      </c>
      <c r="S24" s="95">
        <f>SUM(IF('01_Вводные'!$B$80&gt;=1,T16,0),IF('01_Вводные'!$B$80&gt;=2,U16,0),IF('01_Вводные'!$B$80&gt;=3,V16,0),IF('01_Вводные'!$B$80&gt;=4,W16,0),IF('01_Вводные'!$B$80&gt;=5,X16,0),IF('01_Вводные'!$B$80&gt;=6,Y16,0))</f>
        <v/>
      </c>
      <c r="T24" s="95">
        <f>SUM(IF('01_Вводные'!$B$80&gt;=1,U16,0),IF('01_Вводные'!$B$80&gt;=2,V16,0),IF('01_Вводные'!$B$80&gt;=3,W16,0),IF('01_Вводные'!$B$80&gt;=4,X16,0),IF('01_Вводные'!$B$80&gt;=5,Y16,0),IF('01_Вводные'!$B$80&gt;=6,Z16,0))</f>
        <v/>
      </c>
      <c r="U24" s="95">
        <f>SUM(IF('01_Вводные'!$B$80&gt;=1,V16,0),IF('01_Вводные'!$B$80&gt;=2,W16,0),IF('01_Вводные'!$B$80&gt;=3,X16,0),IF('01_Вводные'!$B$80&gt;=4,Y16,0),IF('01_Вводные'!$B$80&gt;=5,Z16,0),IF('01_Вводные'!$B$80&gt;=6,AA16,0))</f>
        <v/>
      </c>
      <c r="V24" s="95">
        <f>SUM(IF('01_Вводные'!$B$80&gt;=1,W16,0),IF('01_Вводные'!$B$80&gt;=2,X16,0),IF('01_Вводные'!$B$80&gt;=3,Y16,0),IF('01_Вводные'!$B$80&gt;=4,Z16,0),IF('01_Вводные'!$B$80&gt;=5,AA16,0),IF('01_Вводные'!$B$80&gt;=6,AB16,0))</f>
        <v/>
      </c>
      <c r="W24" s="95">
        <f>SUM(IF('01_Вводные'!$B$80&gt;=1,X16,0),IF('01_Вводные'!$B$80&gt;=2,Y16,0),IF('01_Вводные'!$B$80&gt;=3,Z16,0),IF('01_Вводные'!$B$80&gt;=4,AA16,0),IF('01_Вводные'!$B$80&gt;=5,AB16,0),IF('01_Вводные'!$B$80&gt;=6,AC16,0))</f>
        <v/>
      </c>
      <c r="X24" s="95">
        <f>SUM(IF('01_Вводные'!$B$80&gt;=1,Y16,0),IF('01_Вводные'!$B$80&gt;=2,Z16,0),IF('01_Вводные'!$B$80&gt;=3,AA16,0),IF('01_Вводные'!$B$80&gt;=4,AB16,0),IF('01_Вводные'!$B$80&gt;=5,AC16,0),IF('01_Вводные'!$B$80&gt;=6,AD16,0))</f>
        <v/>
      </c>
      <c r="Y24" s="95">
        <f>SUM(IF('01_Вводные'!$B$80&gt;=1,Z16,0),IF('01_Вводные'!$B$80&gt;=2,AA16,0),IF('01_Вводные'!$B$80&gt;=3,AB16,0),IF('01_Вводные'!$B$80&gt;=4,AC16,0),IF('01_Вводные'!$B$80&gt;=5,AD16,0),IF('01_Вводные'!$B$80&gt;=6,AE16,0))</f>
        <v/>
      </c>
      <c r="Z24" s="95">
        <f>SUM(IF('01_Вводные'!$B$80&gt;=1,AA16,0),IF('01_Вводные'!$B$80&gt;=2,AB16,0),IF('01_Вводные'!$B$80&gt;=3,AC16,0),IF('01_Вводные'!$B$80&gt;=4,AD16,0),IF('01_Вводные'!$B$80&gt;=5,AE16,0),IF('01_Вводные'!$B$80&gt;=6,AF16,0))</f>
        <v/>
      </c>
      <c r="AA24" s="95">
        <f>SUM(IF('01_Вводные'!$B$80&gt;=1,AB16,0),IF('01_Вводные'!$B$80&gt;=2,AC16,0),IF('01_Вводные'!$B$80&gt;=3,AD16,0),IF('01_Вводные'!$B$80&gt;=4,AE16,0),IF('01_Вводные'!$B$80&gt;=5,AF16,0),IF('01_Вводные'!$B$80&gt;=6,AG16,0))</f>
        <v/>
      </c>
      <c r="AB24" s="95">
        <f>SUM(IF('01_Вводные'!$B$80&gt;=1,AC16,0),IF('01_Вводные'!$B$80&gt;=2,AD16,0),IF('01_Вводные'!$B$80&gt;=3,AE16,0),IF('01_Вводные'!$B$80&gt;=4,AF16,0),IF('01_Вводные'!$B$80&gt;=5,AG16,0),IF('01_Вводные'!$B$80&gt;=6,AH16,0))</f>
        <v/>
      </c>
      <c r="AC24" s="95">
        <f>SUM(IF('01_Вводные'!$B$80&gt;=1,AD16,0),IF('01_Вводные'!$B$80&gt;=2,AE16,0),IF('01_Вводные'!$B$80&gt;=3,AF16,0),IF('01_Вводные'!$B$80&gt;=4,AG16,0),IF('01_Вводные'!$B$80&gt;=5,AH16,0),IF('01_Вводные'!$B$80&gt;=6,AI16,0))</f>
        <v/>
      </c>
      <c r="AD24" s="95">
        <f>SUM(IF('01_Вводные'!$B$80&gt;=1,AE16,0),IF('01_Вводные'!$B$80&gt;=2,AF16,0),IF('01_Вводные'!$B$80&gt;=3,AG16,0),IF('01_Вводные'!$B$80&gt;=4,AH16,0),IF('01_Вводные'!$B$80&gt;=5,AI16,0),IF('01_Вводные'!$B$80&gt;=6,AJ16,0))</f>
        <v/>
      </c>
      <c r="AE24" s="95">
        <f>SUM(IF('01_Вводные'!$B$80&gt;=1,AF16,0),IF('01_Вводные'!$B$80&gt;=2,AG16,0),IF('01_Вводные'!$B$80&gt;=3,AH16,0),IF('01_Вводные'!$B$80&gt;=4,AI16,0),IF('01_Вводные'!$B$80&gt;=5,AJ16,0),IF('01_Вводные'!$B$80&gt;=6,AK16,0))</f>
        <v/>
      </c>
      <c r="AF24" s="95">
        <f>SUM(IF('01_Вводные'!$B$80&gt;=1,AG16,0),IF('01_Вводные'!$B$80&gt;=2,AH16,0),IF('01_Вводные'!$B$80&gt;=3,AI16,0),IF('01_Вводные'!$B$80&gt;=4,AJ16,0),IF('01_Вводные'!$B$80&gt;=5,AK16,0),IF('01_Вводные'!$B$80&gt;=6,AL16,0))</f>
        <v/>
      </c>
      <c r="AG24" s="95">
        <f>SUM(IF('01_Вводные'!$B$80&gt;=1,AH16,0),IF('01_Вводные'!$B$80&gt;=2,AI16,0),IF('01_Вводные'!$B$80&gt;=3,AJ16,0),IF('01_Вводные'!$B$80&gt;=4,AK16,0),IF('01_Вводные'!$B$80&gt;=5,AL16,0),IF('01_Вводные'!$B$80&gt;=6,AM16,0))</f>
        <v/>
      </c>
      <c r="AH24" s="95">
        <f>SUM(IF('01_Вводные'!$B$80&gt;=1,AI16,0),IF('01_Вводные'!$B$80&gt;=2,AJ16,0),IF('01_Вводные'!$B$80&gt;=3,AK16,0),IF('01_Вводные'!$B$80&gt;=4,AL16,0),IF('01_Вводные'!$B$80&gt;=5,AM16,0),IF('01_Вводные'!$B$80&gt;=6,AN16,0))</f>
        <v/>
      </c>
      <c r="AI24" s="95">
        <f>SUM(IF('01_Вводные'!$B$80&gt;=1,AJ16,0),IF('01_Вводные'!$B$80&gt;=2,AK16,0),IF('01_Вводные'!$B$80&gt;=3,AL16,0),IF('01_Вводные'!$B$80&gt;=4,AM16,0),IF('01_Вводные'!$B$80&gt;=5,AN16,0),IF('01_Вводные'!$B$80&gt;=6,AO16,0))</f>
        <v/>
      </c>
      <c r="AJ24" s="95">
        <f>SUM(IF('01_Вводные'!$B$80&gt;=1,AK16,0),IF('01_Вводные'!$B$80&gt;=2,AL16,0),IF('01_Вводные'!$B$80&gt;=3,AM16,0),IF('01_Вводные'!$B$80&gt;=4,AN16,0),IF('01_Вводные'!$B$80&gt;=5,AO16,0),IF('01_Вводные'!$B$80&gt;=6,AP16,0))</f>
        <v/>
      </c>
      <c r="AK24" s="95">
        <f>SUM(IF('01_Вводные'!$B$80&gt;=1,AL16,0),IF('01_Вводные'!$B$80&gt;=2,AM16,0),IF('01_Вводные'!$B$80&gt;=3,AN16,0),IF('01_Вводные'!$B$80&gt;=4,AO16,0),IF('01_Вводные'!$B$80&gt;=5,AP16,0),IF('01_Вводные'!$B$80&gt;=6,AQ16,0))</f>
        <v/>
      </c>
      <c r="AL24" s="95">
        <f>SUM(IF('01_Вводные'!$B$80&gt;=1,AM16,0),IF('01_Вводные'!$B$80&gt;=2,AN16,0),IF('01_Вводные'!$B$80&gt;=3,AO16,0),IF('01_Вводные'!$B$80&gt;=4,AP16,0),IF('01_Вводные'!$B$80&gt;=5,AQ16,0),IF('01_Вводные'!$B$80&gt;=6,AR16,0))</f>
        <v/>
      </c>
      <c r="AM24" s="95">
        <f>SUM(IF('01_Вводные'!$B$80&gt;=1,AN16,0),IF('01_Вводные'!$B$80&gt;=2,AO16,0),IF('01_Вводные'!$B$80&gt;=3,AP16,0),IF('01_Вводные'!$B$80&gt;=4,AQ16,0),IF('01_Вводные'!$B$80&gt;=5,AR16,0),IF('01_Вводные'!$B$80&gt;=6,AS16,0))</f>
        <v/>
      </c>
      <c r="AN24" s="95">
        <f>SUM(IF('01_Вводные'!$B$80&gt;=1,AO16,0),IF('01_Вводные'!$B$80&gt;=2,AP16,0),IF('01_Вводные'!$B$80&gt;=3,AQ16,0),IF('01_Вводные'!$B$80&gt;=4,AR16,0),IF('01_Вводные'!$B$80&gt;=5,AS16,0),IF('01_Вводные'!$B$80&gt;=6,AT16,0))</f>
        <v/>
      </c>
      <c r="AO24" s="95">
        <f>SUM(IF('01_Вводные'!$B$80&gt;=1,AP16,0),IF('01_Вводные'!$B$80&gt;=2,AQ16,0),IF('01_Вводные'!$B$80&gt;=3,AR16,0),IF('01_Вводные'!$B$80&gt;=4,AS16,0),IF('01_Вводные'!$B$80&gt;=5,AT16,0),IF('01_Вводные'!$B$80&gt;=6,AU16,0))</f>
        <v/>
      </c>
      <c r="AP24" s="95">
        <f>SUM(IF('01_Вводные'!$B$80&gt;=1,AQ16,0),IF('01_Вводные'!$B$80&gt;=2,AR16,0),IF('01_Вводные'!$B$80&gt;=3,AS16,0),IF('01_Вводные'!$B$80&gt;=4,AT16,0),IF('01_Вводные'!$B$80&gt;=5,AU16,0),IF('01_Вводные'!$B$80&gt;=6,AV16,0))</f>
        <v/>
      </c>
      <c r="AQ24" s="95">
        <f>SUM(IF('01_Вводные'!$B$80&gt;=1,AR16,0),IF('01_Вводные'!$B$80&gt;=2,AS16,0),IF('01_Вводные'!$B$80&gt;=3,AT16,0),IF('01_Вводные'!$B$80&gt;=4,AU16,0),IF('01_Вводные'!$B$80&gt;=5,AV16,0),IF('01_Вводные'!$B$80&gt;=6,AW16,0))</f>
        <v/>
      </c>
      <c r="AR24" s="95">
        <f>SUM(IF('01_Вводные'!$B$80&gt;=1,AS16,0),IF('01_Вводные'!$B$80&gt;=2,AT16,0),IF('01_Вводные'!$B$80&gt;=3,AU16,0),IF('01_Вводные'!$B$80&gt;=4,AV16,0),IF('01_Вводные'!$B$80&gt;=5,AW16,0),IF('01_Вводные'!$B$80&gt;=6,AX16,0))</f>
        <v/>
      </c>
      <c r="AS24" s="95">
        <f>SUM(IF('01_Вводные'!$B$80&gt;=1,AT16,0),IF('01_Вводные'!$B$80&gt;=2,AU16,0),IF('01_Вводные'!$B$80&gt;=3,AV16,0),IF('01_Вводные'!$B$80&gt;=4,AW16,0),IF('01_Вводные'!$B$80&gt;=5,AX16,0),IF('01_Вводные'!$B$80&gt;=6,AY16,0))</f>
        <v/>
      </c>
      <c r="AT24" s="95">
        <f>SUM(IF('01_Вводные'!$B$80&gt;=1,AU16,0),IF('01_Вводные'!$B$80&gt;=2,AV16,0),IF('01_Вводные'!$B$80&gt;=3,AW16,0),IF('01_Вводные'!$B$80&gt;=4,AX16,0),IF('01_Вводные'!$B$80&gt;=5,AY16,0),IF('01_Вводные'!$B$80&gt;=6,AZ16,0))</f>
        <v/>
      </c>
      <c r="AU24" s="95">
        <f>SUM(IF('01_Вводные'!$B$80&gt;=1,AV16,0),IF('01_Вводные'!$B$80&gt;=2,AW16,0),IF('01_Вводные'!$B$80&gt;=3,AX16,0),IF('01_Вводные'!$B$80&gt;=4,AY16,0),IF('01_Вводные'!$B$80&gt;=5,AZ16,0),IF('01_Вводные'!$B$80&gt;=6,BA16,0))</f>
        <v/>
      </c>
      <c r="AV24" s="95">
        <f>SUM(IF('01_Вводные'!$B$80&gt;=1,AW16,0),IF('01_Вводные'!$B$80&gt;=2,AX16,0),IF('01_Вводные'!$B$80&gt;=3,AY16,0),IF('01_Вводные'!$B$80&gt;=4,AZ16,0),IF('01_Вводные'!$B$80&gt;=5,BA16,0),IF('01_Вводные'!$B$80&gt;=6,BB16,0))</f>
        <v/>
      </c>
      <c r="AW24" s="95">
        <f>SUM(IF('01_Вводные'!$B$80&gt;=1,AX16,0),IF('01_Вводные'!$B$80&gt;=2,AY16,0),IF('01_Вводные'!$B$80&gt;=3,AZ16,0),IF('01_Вводные'!$B$80&gt;=4,BA16,0),IF('01_Вводные'!$B$80&gt;=5,BB16,0),IF('01_Вводные'!$B$80&gt;=6,BC16,0))</f>
        <v/>
      </c>
      <c r="AX24" s="95">
        <f>SUM(IF('01_Вводные'!$B$80&gt;=1,AY16,0),IF('01_Вводные'!$B$80&gt;=2,AZ16,0),IF('01_Вводные'!$B$80&gt;=3,BA16,0),IF('01_Вводные'!$B$80&gt;=4,BB16,0),IF('01_Вводные'!$B$80&gt;=5,BC16,0),IF('01_Вводные'!$B$80&gt;=6,BD16,0))</f>
        <v/>
      </c>
      <c r="AY24" s="95">
        <f>SUM(IF('01_Вводные'!$B$80&gt;=1,AZ16,0),IF('01_Вводные'!$B$80&gt;=2,BA16,0),IF('01_Вводные'!$B$80&gt;=3,BB16,0),IF('01_Вводные'!$B$80&gt;=4,BC16,0),IF('01_Вводные'!$B$80&gt;=5,BD16,0),IF('01_Вводные'!$B$80&gt;=6,BE16,0))</f>
        <v/>
      </c>
      <c r="AZ24" s="95">
        <f>SUM(IF('01_Вводные'!$B$80&gt;=1,BA16,0),IF('01_Вводные'!$B$80&gt;=2,BB16,0),IF('01_Вводные'!$B$80&gt;=3,BC16,0),IF('01_Вводные'!$B$80&gt;=4,BD16,0),IF('01_Вводные'!$B$80&gt;=5,BE16,0),IF('01_Вводные'!$B$80&gt;=6,BF16,0))</f>
        <v/>
      </c>
      <c r="BA24" s="95">
        <f>SUM(IF('01_Вводные'!$B$80&gt;=1,BB16,0),IF('01_Вводные'!$B$80&gt;=2,BC16,0),IF('01_Вводные'!$B$80&gt;=3,BD16,0),IF('01_Вводные'!$B$80&gt;=4,BE16,0),IF('01_Вводные'!$B$80&gt;=5,BF16,0),IF('01_Вводные'!$B$80&gt;=6,BG16,0))</f>
        <v/>
      </c>
      <c r="BB24" s="95">
        <f>SUM(IF('01_Вводные'!$B$80&gt;=1,BC16,0),IF('01_Вводные'!$B$80&gt;=2,BD16,0),IF('01_Вводные'!$B$80&gt;=3,BE16,0),IF('01_Вводные'!$B$80&gt;=4,BF16,0),IF('01_Вводные'!$B$80&gt;=5,BG16,0),IF('01_Вводные'!$B$80&gt;=6,BH16,0))</f>
        <v/>
      </c>
      <c r="BC24" s="95">
        <f>SUM(IF('01_Вводные'!$B$80&gt;=1,BD16,0),IF('01_Вводные'!$B$80&gt;=2,BE16,0),IF('01_Вводные'!$B$80&gt;=3,BF16,0),IF('01_Вводные'!$B$80&gt;=4,BG16,0),IF('01_Вводные'!$B$80&gt;=5,BH16,0),IF('01_Вводные'!$B$80&gt;=6,BI16,0))</f>
        <v/>
      </c>
      <c r="BD24" s="95">
        <f>SUM(IF('01_Вводные'!$B$80&gt;=1,BE16,0),IF('01_Вводные'!$B$80&gt;=2,BF16,0),IF('01_Вводные'!$B$80&gt;=3,BG16,0),IF('01_Вводные'!$B$80&gt;=4,BH16,0),IF('01_Вводные'!$B$80&gt;=5,BI16,0),IF('01_Вводные'!$B$80&gt;=6,BJ16,0))</f>
        <v/>
      </c>
      <c r="BE24" s="95">
        <f>SUM(IF('01_Вводные'!$B$80&gt;=1,BF16,0),IF('01_Вводные'!$B$80&gt;=2,BG16,0),IF('01_Вводные'!$B$80&gt;=3,BH16,0),IF('01_Вводные'!$B$80&gt;=4,BI16,0),IF('01_Вводные'!$B$80&gt;=5,BJ16,0),IF('01_Вводные'!$B$80&gt;=6,BK16,0))</f>
        <v/>
      </c>
      <c r="BF24" s="95">
        <f>SUM(IF('01_Вводные'!$B$80&gt;=1,BG16,0),IF('01_Вводные'!$B$80&gt;=2,BH16,0),IF('01_Вводные'!$B$80&gt;=3,BI16,0),IF('01_Вводные'!$B$80&gt;=4,BJ16,0),IF('01_Вводные'!$B$80&gt;=5,BK16,0),IF('01_Вводные'!$B$80&gt;=6,BL16,0))</f>
        <v/>
      </c>
      <c r="BG24" s="95">
        <f>SUM(IF('01_Вводные'!$B$80&gt;=1,BH16,0),IF('01_Вводные'!$B$80&gt;=2,BI16,0),IF('01_Вводные'!$B$80&gt;=3,BJ16,0),IF('01_Вводные'!$B$80&gt;=4,BK16,0),IF('01_Вводные'!$B$80&gt;=5,BL16,0),IF('01_Вводные'!$B$80&gt;=6,BM16,0))</f>
        <v/>
      </c>
      <c r="BH24" s="95">
        <f>SUM(IF('01_Вводные'!$B$80&gt;=1,BI16,0),IF('01_Вводные'!$B$80&gt;=2,BJ16,0),IF('01_Вводные'!$B$80&gt;=3,BK16,0),IF('01_Вводные'!$B$80&gt;=4,BL16,0),IF('01_Вводные'!$B$80&gt;=5,BM16,0),IF('01_Вводные'!$B$80&gt;=6,BN16,0))</f>
        <v/>
      </c>
      <c r="BI24" s="95">
        <f>SUM(IF('01_Вводные'!$B$80&gt;=1,BJ16,0),IF('01_Вводные'!$B$80&gt;=2,BK16,0),IF('01_Вводные'!$B$80&gt;=3,BL16,0),IF('01_Вводные'!$B$80&gt;=4,BM16,0),IF('01_Вводные'!$B$80&gt;=5,BN16,0),IF('01_Вводные'!$B$80&gt;=6,BO16,0))</f>
        <v/>
      </c>
      <c r="BJ24" s="77">
        <f>0</f>
        <v/>
      </c>
      <c r="BK24" s="77">
        <f>0</f>
        <v/>
      </c>
      <c r="BL24" s="77">
        <f>0</f>
        <v/>
      </c>
      <c r="BM24" s="77">
        <f>0</f>
        <v/>
      </c>
      <c r="BN24" s="77">
        <f>0</f>
        <v/>
      </c>
      <c r="BO24" s="77">
        <f>0</f>
        <v/>
      </c>
    </row>
    <row r="25">
      <c r="A25" s="2" t="inlineStr">
        <is>
          <t>Закупка на склад</t>
        </is>
      </c>
      <c r="B25" s="95">
        <f>IF(AND(B$3&gt;='01_Вводные'!$B$81,OR(MONTH(B$3)='01_Вводные'!$B$82,MONTH(B$3)='01_Вводные'!$B$83,MONTH(B$3)='01_Вводные'!$B$84,MONTH(B$3)='01_Вводные'!$B$85)),MAX(0,B24-(B22-B23)),0)</f>
        <v/>
      </c>
      <c r="C25" s="95">
        <f>IF(AND(C$3&gt;='01_Вводные'!$B$81,OR(MONTH(C$3)='01_Вводные'!$B$82,MONTH(C$3)='01_Вводные'!$B$83,MONTH(C$3)='01_Вводные'!$B$84,MONTH(C$3)='01_Вводные'!$B$85)),MAX(0,C24-(C22-C23)),0)</f>
        <v/>
      </c>
      <c r="D25" s="95">
        <f>IF(AND(D$3&gt;='01_Вводные'!$B$81,OR(MONTH(D$3)='01_Вводные'!$B$82,MONTH(D$3)='01_Вводные'!$B$83,MONTH(D$3)='01_Вводные'!$B$84,MONTH(D$3)='01_Вводные'!$B$85)),MAX(0,D24-(D22-D23)),0)</f>
        <v/>
      </c>
      <c r="E25" s="95">
        <f>IF(AND(E$3&gt;='01_Вводные'!$B$81,OR(MONTH(E$3)='01_Вводные'!$B$82,MONTH(E$3)='01_Вводные'!$B$83,MONTH(E$3)='01_Вводные'!$B$84,MONTH(E$3)='01_Вводные'!$B$85)),MAX(0,E24-(E22-E23)),0)</f>
        <v/>
      </c>
      <c r="F25" s="95">
        <f>IF(AND(F$3&gt;='01_Вводные'!$B$81,OR(MONTH(F$3)='01_Вводные'!$B$82,MONTH(F$3)='01_Вводные'!$B$83,MONTH(F$3)='01_Вводные'!$B$84,MONTH(F$3)='01_Вводные'!$B$85)),MAX(0,F24-(F22-F23)),0)</f>
        <v/>
      </c>
      <c r="G25" s="95">
        <f>IF(AND(G$3&gt;='01_Вводные'!$B$81,OR(MONTH(G$3)='01_Вводные'!$B$82,MONTH(G$3)='01_Вводные'!$B$83,MONTH(G$3)='01_Вводные'!$B$84,MONTH(G$3)='01_Вводные'!$B$85)),MAX(0,G24-(G22-G23)),0)</f>
        <v/>
      </c>
      <c r="H25" s="95">
        <f>IF(AND(H$3&gt;='01_Вводные'!$B$81,OR(MONTH(H$3)='01_Вводные'!$B$82,MONTH(H$3)='01_Вводные'!$B$83,MONTH(H$3)='01_Вводные'!$B$84,MONTH(H$3)='01_Вводные'!$B$85)),MAX(0,H24-(H22-H23)),0)</f>
        <v/>
      </c>
      <c r="I25" s="95">
        <f>IF(AND(I$3&gt;='01_Вводные'!$B$81,OR(MONTH(I$3)='01_Вводные'!$B$82,MONTH(I$3)='01_Вводные'!$B$83,MONTH(I$3)='01_Вводные'!$B$84,MONTH(I$3)='01_Вводные'!$B$85)),MAX(0,I24-(I22-I23)),0)</f>
        <v/>
      </c>
      <c r="J25" s="95">
        <f>IF(AND(J$3&gt;='01_Вводные'!$B$81,OR(MONTH(J$3)='01_Вводные'!$B$82,MONTH(J$3)='01_Вводные'!$B$83,MONTH(J$3)='01_Вводные'!$B$84,MONTH(J$3)='01_Вводные'!$B$85)),MAX(0,J24-(J22-J23)),0)</f>
        <v/>
      </c>
      <c r="K25" s="95">
        <f>IF(AND(K$3&gt;='01_Вводные'!$B$81,OR(MONTH(K$3)='01_Вводные'!$B$82,MONTH(K$3)='01_Вводные'!$B$83,MONTH(K$3)='01_Вводные'!$B$84,MONTH(K$3)='01_Вводные'!$B$85)),MAX(0,K24-(K22-K23)),0)</f>
        <v/>
      </c>
      <c r="L25" s="95">
        <f>IF(AND(L$3&gt;='01_Вводные'!$B$81,OR(MONTH(L$3)='01_Вводные'!$B$82,MONTH(L$3)='01_Вводные'!$B$83,MONTH(L$3)='01_Вводные'!$B$84,MONTH(L$3)='01_Вводные'!$B$85)),MAX(0,L24-(L22-L23)),0)</f>
        <v/>
      </c>
      <c r="M25" s="95">
        <f>IF(AND(M$3&gt;='01_Вводные'!$B$81,OR(MONTH(M$3)='01_Вводные'!$B$82,MONTH(M$3)='01_Вводные'!$B$83,MONTH(M$3)='01_Вводные'!$B$84,MONTH(M$3)='01_Вводные'!$B$85)),MAX(0,M24-(M22-M23)),0)</f>
        <v/>
      </c>
      <c r="N25" s="95">
        <f>IF(AND(N$3&gt;='01_Вводные'!$B$81,OR(MONTH(N$3)='01_Вводные'!$B$82,MONTH(N$3)='01_Вводные'!$B$83,MONTH(N$3)='01_Вводные'!$B$84,MONTH(N$3)='01_Вводные'!$B$85)),MAX(0,N24-(N22-N23)),0)</f>
        <v/>
      </c>
      <c r="O25" s="95">
        <f>IF(AND(O$3&gt;='01_Вводные'!$B$81,OR(MONTH(O$3)='01_Вводные'!$B$82,MONTH(O$3)='01_Вводные'!$B$83,MONTH(O$3)='01_Вводные'!$B$84,MONTH(O$3)='01_Вводные'!$B$85)),MAX(0,O24-(O22-O23)),0)</f>
        <v/>
      </c>
      <c r="P25" s="95">
        <f>IF(AND(P$3&gt;='01_Вводные'!$B$81,OR(MONTH(P$3)='01_Вводные'!$B$82,MONTH(P$3)='01_Вводные'!$B$83,MONTH(P$3)='01_Вводные'!$B$84,MONTH(P$3)='01_Вводные'!$B$85)),MAX(0,P24-(P22-P23)),0)</f>
        <v/>
      </c>
      <c r="Q25" s="95">
        <f>IF(AND(Q$3&gt;='01_Вводные'!$B$81,OR(MONTH(Q$3)='01_Вводные'!$B$82,MONTH(Q$3)='01_Вводные'!$B$83,MONTH(Q$3)='01_Вводные'!$B$84,MONTH(Q$3)='01_Вводные'!$B$85)),MAX(0,Q24-(Q22-Q23)),0)</f>
        <v/>
      </c>
      <c r="R25" s="95">
        <f>IF(AND(R$3&gt;='01_Вводные'!$B$81,OR(MONTH(R$3)='01_Вводные'!$B$82,MONTH(R$3)='01_Вводные'!$B$83,MONTH(R$3)='01_Вводные'!$B$84,MONTH(R$3)='01_Вводные'!$B$85)),MAX(0,R24-(R22-R23)),0)</f>
        <v/>
      </c>
      <c r="S25" s="95">
        <f>IF(AND(S$3&gt;='01_Вводные'!$B$81,OR(MONTH(S$3)='01_Вводные'!$B$82,MONTH(S$3)='01_Вводные'!$B$83,MONTH(S$3)='01_Вводные'!$B$84,MONTH(S$3)='01_Вводные'!$B$85)),MAX(0,S24-(S22-S23)),0)</f>
        <v/>
      </c>
      <c r="T25" s="95">
        <f>IF(AND(T$3&gt;='01_Вводные'!$B$81,OR(MONTH(T$3)='01_Вводные'!$B$82,MONTH(T$3)='01_Вводные'!$B$83,MONTH(T$3)='01_Вводные'!$B$84,MONTH(T$3)='01_Вводные'!$B$85)),MAX(0,T24-(T22-T23)),0)</f>
        <v/>
      </c>
      <c r="U25" s="95">
        <f>IF(AND(U$3&gt;='01_Вводные'!$B$81,OR(MONTH(U$3)='01_Вводные'!$B$82,MONTH(U$3)='01_Вводные'!$B$83,MONTH(U$3)='01_Вводные'!$B$84,MONTH(U$3)='01_Вводные'!$B$85)),MAX(0,U24-(U22-U23)),0)</f>
        <v/>
      </c>
      <c r="V25" s="95">
        <f>IF(AND(V$3&gt;='01_Вводные'!$B$81,OR(MONTH(V$3)='01_Вводные'!$B$82,MONTH(V$3)='01_Вводные'!$B$83,MONTH(V$3)='01_Вводные'!$B$84,MONTH(V$3)='01_Вводные'!$B$85)),MAX(0,V24-(V22-V23)),0)</f>
        <v/>
      </c>
      <c r="W25" s="95">
        <f>IF(AND(W$3&gt;='01_Вводные'!$B$81,OR(MONTH(W$3)='01_Вводные'!$B$82,MONTH(W$3)='01_Вводные'!$B$83,MONTH(W$3)='01_Вводные'!$B$84,MONTH(W$3)='01_Вводные'!$B$85)),MAX(0,W24-(W22-W23)),0)</f>
        <v/>
      </c>
      <c r="X25" s="95">
        <f>IF(AND(X$3&gt;='01_Вводные'!$B$81,OR(MONTH(X$3)='01_Вводные'!$B$82,MONTH(X$3)='01_Вводные'!$B$83,MONTH(X$3)='01_Вводные'!$B$84,MONTH(X$3)='01_Вводные'!$B$85)),MAX(0,X24-(X22-X23)),0)</f>
        <v/>
      </c>
      <c r="Y25" s="95">
        <f>IF(AND(Y$3&gt;='01_Вводные'!$B$81,OR(MONTH(Y$3)='01_Вводные'!$B$82,MONTH(Y$3)='01_Вводные'!$B$83,MONTH(Y$3)='01_Вводные'!$B$84,MONTH(Y$3)='01_Вводные'!$B$85)),MAX(0,Y24-(Y22-Y23)),0)</f>
        <v/>
      </c>
      <c r="Z25" s="95">
        <f>IF(AND(Z$3&gt;='01_Вводные'!$B$81,OR(MONTH(Z$3)='01_Вводные'!$B$82,MONTH(Z$3)='01_Вводные'!$B$83,MONTH(Z$3)='01_Вводные'!$B$84,MONTH(Z$3)='01_Вводные'!$B$85)),MAX(0,Z24-(Z22-Z23)),0)</f>
        <v/>
      </c>
      <c r="AA25" s="95">
        <f>IF(AND(AA$3&gt;='01_Вводные'!$B$81,OR(MONTH(AA$3)='01_Вводные'!$B$82,MONTH(AA$3)='01_Вводные'!$B$83,MONTH(AA$3)='01_Вводные'!$B$84,MONTH(AA$3)='01_Вводные'!$B$85)),MAX(0,AA24-(AA22-AA23)),0)</f>
        <v/>
      </c>
      <c r="AB25" s="95">
        <f>IF(AND(AB$3&gt;='01_Вводные'!$B$81,OR(MONTH(AB$3)='01_Вводные'!$B$82,MONTH(AB$3)='01_Вводные'!$B$83,MONTH(AB$3)='01_Вводные'!$B$84,MONTH(AB$3)='01_Вводные'!$B$85)),MAX(0,AB24-(AB22-AB23)),0)</f>
        <v/>
      </c>
      <c r="AC25" s="95">
        <f>IF(AND(AC$3&gt;='01_Вводные'!$B$81,OR(MONTH(AC$3)='01_Вводные'!$B$82,MONTH(AC$3)='01_Вводные'!$B$83,MONTH(AC$3)='01_Вводные'!$B$84,MONTH(AC$3)='01_Вводные'!$B$85)),MAX(0,AC24-(AC22-AC23)),0)</f>
        <v/>
      </c>
      <c r="AD25" s="95">
        <f>IF(AND(AD$3&gt;='01_Вводные'!$B$81,OR(MONTH(AD$3)='01_Вводные'!$B$82,MONTH(AD$3)='01_Вводные'!$B$83,MONTH(AD$3)='01_Вводные'!$B$84,MONTH(AD$3)='01_Вводные'!$B$85)),MAX(0,AD24-(AD22-AD23)),0)</f>
        <v/>
      </c>
      <c r="AE25" s="95">
        <f>IF(AND(AE$3&gt;='01_Вводные'!$B$81,OR(MONTH(AE$3)='01_Вводные'!$B$82,MONTH(AE$3)='01_Вводные'!$B$83,MONTH(AE$3)='01_Вводные'!$B$84,MONTH(AE$3)='01_Вводные'!$B$85)),MAX(0,AE24-(AE22-AE23)),0)</f>
        <v/>
      </c>
      <c r="AF25" s="95">
        <f>IF(AND(AF$3&gt;='01_Вводные'!$B$81,OR(MONTH(AF$3)='01_Вводные'!$B$82,MONTH(AF$3)='01_Вводные'!$B$83,MONTH(AF$3)='01_Вводные'!$B$84,MONTH(AF$3)='01_Вводные'!$B$85)),MAX(0,AF24-(AF22-AF23)),0)</f>
        <v/>
      </c>
      <c r="AG25" s="95">
        <f>IF(AND(AG$3&gt;='01_Вводные'!$B$81,OR(MONTH(AG$3)='01_Вводные'!$B$82,MONTH(AG$3)='01_Вводные'!$B$83,MONTH(AG$3)='01_Вводные'!$B$84,MONTH(AG$3)='01_Вводные'!$B$85)),MAX(0,AG24-(AG22-AG23)),0)</f>
        <v/>
      </c>
      <c r="AH25" s="95">
        <f>IF(AND(AH$3&gt;='01_Вводные'!$B$81,OR(MONTH(AH$3)='01_Вводные'!$B$82,MONTH(AH$3)='01_Вводные'!$B$83,MONTH(AH$3)='01_Вводные'!$B$84,MONTH(AH$3)='01_Вводные'!$B$85)),MAX(0,AH24-(AH22-AH23)),0)</f>
        <v/>
      </c>
      <c r="AI25" s="95">
        <f>IF(AND(AI$3&gt;='01_Вводные'!$B$81,OR(MONTH(AI$3)='01_Вводные'!$B$82,MONTH(AI$3)='01_Вводные'!$B$83,MONTH(AI$3)='01_Вводные'!$B$84,MONTH(AI$3)='01_Вводные'!$B$85)),MAX(0,AI24-(AI22-AI23)),0)</f>
        <v/>
      </c>
      <c r="AJ25" s="95">
        <f>IF(AND(AJ$3&gt;='01_Вводные'!$B$81,OR(MONTH(AJ$3)='01_Вводные'!$B$82,MONTH(AJ$3)='01_Вводные'!$B$83,MONTH(AJ$3)='01_Вводные'!$B$84,MONTH(AJ$3)='01_Вводные'!$B$85)),MAX(0,AJ24-(AJ22-AJ23)),0)</f>
        <v/>
      </c>
      <c r="AK25" s="95">
        <f>IF(AND(AK$3&gt;='01_Вводные'!$B$81,OR(MONTH(AK$3)='01_Вводные'!$B$82,MONTH(AK$3)='01_Вводные'!$B$83,MONTH(AK$3)='01_Вводные'!$B$84,MONTH(AK$3)='01_Вводные'!$B$85)),MAX(0,AK24-(AK22-AK23)),0)</f>
        <v/>
      </c>
      <c r="AL25" s="95">
        <f>IF(AND(AL$3&gt;='01_Вводные'!$B$81,OR(MONTH(AL$3)='01_Вводные'!$B$82,MONTH(AL$3)='01_Вводные'!$B$83,MONTH(AL$3)='01_Вводные'!$B$84,MONTH(AL$3)='01_Вводные'!$B$85)),MAX(0,AL24-(AL22-AL23)),0)</f>
        <v/>
      </c>
      <c r="AM25" s="95">
        <f>IF(AND(AM$3&gt;='01_Вводные'!$B$81,OR(MONTH(AM$3)='01_Вводные'!$B$82,MONTH(AM$3)='01_Вводные'!$B$83,MONTH(AM$3)='01_Вводные'!$B$84,MONTH(AM$3)='01_Вводные'!$B$85)),MAX(0,AM24-(AM22-AM23)),0)</f>
        <v/>
      </c>
      <c r="AN25" s="95">
        <f>IF(AND(AN$3&gt;='01_Вводные'!$B$81,OR(MONTH(AN$3)='01_Вводные'!$B$82,MONTH(AN$3)='01_Вводные'!$B$83,MONTH(AN$3)='01_Вводные'!$B$84,MONTH(AN$3)='01_Вводные'!$B$85)),MAX(0,AN24-(AN22-AN23)),0)</f>
        <v/>
      </c>
      <c r="AO25" s="95">
        <f>IF(AND(AO$3&gt;='01_Вводные'!$B$81,OR(MONTH(AO$3)='01_Вводные'!$B$82,MONTH(AO$3)='01_Вводные'!$B$83,MONTH(AO$3)='01_Вводные'!$B$84,MONTH(AO$3)='01_Вводные'!$B$85)),MAX(0,AO24-(AO22-AO23)),0)</f>
        <v/>
      </c>
      <c r="AP25" s="95">
        <f>IF(AND(AP$3&gt;='01_Вводные'!$B$81,OR(MONTH(AP$3)='01_Вводные'!$B$82,MONTH(AP$3)='01_Вводные'!$B$83,MONTH(AP$3)='01_Вводные'!$B$84,MONTH(AP$3)='01_Вводные'!$B$85)),MAX(0,AP24-(AP22-AP23)),0)</f>
        <v/>
      </c>
      <c r="AQ25" s="95">
        <f>IF(AND(AQ$3&gt;='01_Вводные'!$B$81,OR(MONTH(AQ$3)='01_Вводные'!$B$82,MONTH(AQ$3)='01_Вводные'!$B$83,MONTH(AQ$3)='01_Вводные'!$B$84,MONTH(AQ$3)='01_Вводные'!$B$85)),MAX(0,AQ24-(AQ22-AQ23)),0)</f>
        <v/>
      </c>
      <c r="AR25" s="95">
        <f>IF(AND(AR$3&gt;='01_Вводные'!$B$81,OR(MONTH(AR$3)='01_Вводные'!$B$82,MONTH(AR$3)='01_Вводные'!$B$83,MONTH(AR$3)='01_Вводные'!$B$84,MONTH(AR$3)='01_Вводные'!$B$85)),MAX(0,AR24-(AR22-AR23)),0)</f>
        <v/>
      </c>
      <c r="AS25" s="95">
        <f>IF(AND(AS$3&gt;='01_Вводные'!$B$81,OR(MONTH(AS$3)='01_Вводные'!$B$82,MONTH(AS$3)='01_Вводные'!$B$83,MONTH(AS$3)='01_Вводные'!$B$84,MONTH(AS$3)='01_Вводные'!$B$85)),MAX(0,AS24-(AS22-AS23)),0)</f>
        <v/>
      </c>
      <c r="AT25" s="95">
        <f>IF(AND(AT$3&gt;='01_Вводные'!$B$81,OR(MONTH(AT$3)='01_Вводные'!$B$82,MONTH(AT$3)='01_Вводные'!$B$83,MONTH(AT$3)='01_Вводные'!$B$84,MONTH(AT$3)='01_Вводные'!$B$85)),MAX(0,AT24-(AT22-AT23)),0)</f>
        <v/>
      </c>
      <c r="AU25" s="95">
        <f>IF(AND(AU$3&gt;='01_Вводные'!$B$81,OR(MONTH(AU$3)='01_Вводные'!$B$82,MONTH(AU$3)='01_Вводные'!$B$83,MONTH(AU$3)='01_Вводные'!$B$84,MONTH(AU$3)='01_Вводные'!$B$85)),MAX(0,AU24-(AU22-AU23)),0)</f>
        <v/>
      </c>
      <c r="AV25" s="95">
        <f>IF(AND(AV$3&gt;='01_Вводные'!$B$81,OR(MONTH(AV$3)='01_Вводные'!$B$82,MONTH(AV$3)='01_Вводные'!$B$83,MONTH(AV$3)='01_Вводные'!$B$84,MONTH(AV$3)='01_Вводные'!$B$85)),MAX(0,AV24-(AV22-AV23)),0)</f>
        <v/>
      </c>
      <c r="AW25" s="95">
        <f>IF(AND(AW$3&gt;='01_Вводные'!$B$81,OR(MONTH(AW$3)='01_Вводные'!$B$82,MONTH(AW$3)='01_Вводные'!$B$83,MONTH(AW$3)='01_Вводные'!$B$84,MONTH(AW$3)='01_Вводные'!$B$85)),MAX(0,AW24-(AW22-AW23)),0)</f>
        <v/>
      </c>
      <c r="AX25" s="95">
        <f>IF(AND(AX$3&gt;='01_Вводные'!$B$81,OR(MONTH(AX$3)='01_Вводные'!$B$82,MONTH(AX$3)='01_Вводные'!$B$83,MONTH(AX$3)='01_Вводные'!$B$84,MONTH(AX$3)='01_Вводные'!$B$85)),MAX(0,AX24-(AX22-AX23)),0)</f>
        <v/>
      </c>
      <c r="AY25" s="95">
        <f>IF(AND(AY$3&gt;='01_Вводные'!$B$81,OR(MONTH(AY$3)='01_Вводные'!$B$82,MONTH(AY$3)='01_Вводные'!$B$83,MONTH(AY$3)='01_Вводные'!$B$84,MONTH(AY$3)='01_Вводные'!$B$85)),MAX(0,AY24-(AY22-AY23)),0)</f>
        <v/>
      </c>
      <c r="AZ25" s="95">
        <f>IF(AND(AZ$3&gt;='01_Вводные'!$B$81,OR(MONTH(AZ$3)='01_Вводные'!$B$82,MONTH(AZ$3)='01_Вводные'!$B$83,MONTH(AZ$3)='01_Вводные'!$B$84,MONTH(AZ$3)='01_Вводные'!$B$85)),MAX(0,AZ24-(AZ22-AZ23)),0)</f>
        <v/>
      </c>
      <c r="BA25" s="95">
        <f>IF(AND(BA$3&gt;='01_Вводные'!$B$81,OR(MONTH(BA$3)='01_Вводные'!$B$82,MONTH(BA$3)='01_Вводные'!$B$83,MONTH(BA$3)='01_Вводные'!$B$84,MONTH(BA$3)='01_Вводные'!$B$85)),MAX(0,BA24-(BA22-BA23)),0)</f>
        <v/>
      </c>
      <c r="BB25" s="95">
        <f>IF(AND(BB$3&gt;='01_Вводные'!$B$81,OR(MONTH(BB$3)='01_Вводные'!$B$82,MONTH(BB$3)='01_Вводные'!$B$83,MONTH(BB$3)='01_Вводные'!$B$84,MONTH(BB$3)='01_Вводные'!$B$85)),MAX(0,BB24-(BB22-BB23)),0)</f>
        <v/>
      </c>
      <c r="BC25" s="95">
        <f>IF(AND(BC$3&gt;='01_Вводные'!$B$81,OR(MONTH(BC$3)='01_Вводные'!$B$82,MONTH(BC$3)='01_Вводные'!$B$83,MONTH(BC$3)='01_Вводные'!$B$84,MONTH(BC$3)='01_Вводные'!$B$85)),MAX(0,BC24-(BC22-BC23)),0)</f>
        <v/>
      </c>
      <c r="BD25" s="95">
        <f>IF(AND(BD$3&gt;='01_Вводные'!$B$81,OR(MONTH(BD$3)='01_Вводные'!$B$82,MONTH(BD$3)='01_Вводные'!$B$83,MONTH(BD$3)='01_Вводные'!$B$84,MONTH(BD$3)='01_Вводные'!$B$85)),MAX(0,BD24-(BD22-BD23)),0)</f>
        <v/>
      </c>
      <c r="BE25" s="95">
        <f>IF(AND(BE$3&gt;='01_Вводные'!$B$81,OR(MONTH(BE$3)='01_Вводные'!$B$82,MONTH(BE$3)='01_Вводные'!$B$83,MONTH(BE$3)='01_Вводные'!$B$84,MONTH(BE$3)='01_Вводные'!$B$85)),MAX(0,BE24-(BE22-BE23)),0)</f>
        <v/>
      </c>
      <c r="BF25" s="95">
        <f>IF(AND(BF$3&gt;='01_Вводные'!$B$81,OR(MONTH(BF$3)='01_Вводные'!$B$82,MONTH(BF$3)='01_Вводные'!$B$83,MONTH(BF$3)='01_Вводные'!$B$84,MONTH(BF$3)='01_Вводные'!$B$85)),MAX(0,BF24-(BF22-BF23)),0)</f>
        <v/>
      </c>
      <c r="BG25" s="95">
        <f>IF(AND(BG$3&gt;='01_Вводные'!$B$81,OR(MONTH(BG$3)='01_Вводные'!$B$82,MONTH(BG$3)='01_Вводные'!$B$83,MONTH(BG$3)='01_Вводные'!$B$84,MONTH(BG$3)='01_Вводные'!$B$85)),MAX(0,BG24-(BG22-BG23)),0)</f>
        <v/>
      </c>
      <c r="BH25" s="95">
        <f>IF(AND(BH$3&gt;='01_Вводные'!$B$81,OR(MONTH(BH$3)='01_Вводные'!$B$82,MONTH(BH$3)='01_Вводные'!$B$83,MONTH(BH$3)='01_Вводные'!$B$84,MONTH(BH$3)='01_Вводные'!$B$85)),MAX(0,BH24-(BH22-BH23)),0)</f>
        <v/>
      </c>
      <c r="BI25" s="95">
        <f>IF(AND(BI$3&gt;='01_Вводные'!$B$81,OR(MONTH(BI$3)='01_Вводные'!$B$82,MONTH(BI$3)='01_Вводные'!$B$83,MONTH(BI$3)='01_Вводные'!$B$84,MONTH(BI$3)='01_Вводные'!$B$85)),MAX(0,BI24-(BI22-BI23)),0)</f>
        <v/>
      </c>
      <c r="BJ25" s="95">
        <f>IF(AND(BJ$3&gt;='01_Вводные'!$B$81,OR(MONTH(BJ$3)='01_Вводные'!$B$82,MONTH(BJ$3)='01_Вводные'!$B$83,MONTH(BJ$3)='01_Вводные'!$B$84,MONTH(BJ$3)='01_Вводные'!$B$85)),MAX(0,BJ24-(BJ22-BJ23)),0)</f>
        <v/>
      </c>
      <c r="BK25" s="95">
        <f>IF(AND(BK$3&gt;='01_Вводные'!$B$81,OR(MONTH(BK$3)='01_Вводные'!$B$82,MONTH(BK$3)='01_Вводные'!$B$83,MONTH(BK$3)='01_Вводные'!$B$84,MONTH(BK$3)='01_Вводные'!$B$85)),MAX(0,BK24-(BK22-BK23)),0)</f>
        <v/>
      </c>
      <c r="BL25" s="95">
        <f>IF(AND(BL$3&gt;='01_Вводные'!$B$81,OR(MONTH(BL$3)='01_Вводные'!$B$82,MONTH(BL$3)='01_Вводные'!$B$83,MONTH(BL$3)='01_Вводные'!$B$84,MONTH(BL$3)='01_Вводные'!$B$85)),MAX(0,BL24-(BL22-BL23)),0)</f>
        <v/>
      </c>
      <c r="BM25" s="95">
        <f>IF(AND(BM$3&gt;='01_Вводные'!$B$81,OR(MONTH(BM$3)='01_Вводные'!$B$82,MONTH(BM$3)='01_Вводные'!$B$83,MONTH(BM$3)='01_Вводные'!$B$84,MONTH(BM$3)='01_Вводные'!$B$85)),MAX(0,BM24-(BM22-BM23)),0)</f>
        <v/>
      </c>
      <c r="BN25" s="95">
        <f>IF(AND(BN$3&gt;='01_Вводные'!$B$81,OR(MONTH(BN$3)='01_Вводные'!$B$82,MONTH(BN$3)='01_Вводные'!$B$83,MONTH(BN$3)='01_Вводные'!$B$84,MONTH(BN$3)='01_Вводные'!$B$85)),MAX(0,BN24-(BN22-BN23)),0)</f>
        <v/>
      </c>
      <c r="BO25" s="95">
        <f>IF(AND(BO$3&gt;='01_Вводные'!$B$81,OR(MONTH(BO$3)='01_Вводные'!$B$82,MONTH(BO$3)='01_Вводные'!$B$83,MONTH(BO$3)='01_Вводные'!$B$84,MONTH(BO$3)='01_Вводные'!$B$85)),MAX(0,BO24-(BO22-BO23)),0)</f>
        <v/>
      </c>
    </row>
    <row r="26">
      <c r="A26" s="10" t="inlineStr">
        <is>
          <t>Склад на конец / необеспеченный спрос (−)</t>
        </is>
      </c>
      <c r="B26" s="98">
        <f>B22+B25-B23</f>
        <v/>
      </c>
      <c r="C26" s="98">
        <f>C22+C25-C23</f>
        <v/>
      </c>
      <c r="D26" s="98">
        <f>D22+D25-D23</f>
        <v/>
      </c>
      <c r="E26" s="98">
        <f>E22+E25-E23</f>
        <v/>
      </c>
      <c r="F26" s="98">
        <f>F22+F25-F23</f>
        <v/>
      </c>
      <c r="G26" s="98">
        <f>G22+G25-G23</f>
        <v/>
      </c>
      <c r="H26" s="98">
        <f>H22+H25-H23</f>
        <v/>
      </c>
      <c r="I26" s="98">
        <f>I22+I25-I23</f>
        <v/>
      </c>
      <c r="J26" s="98">
        <f>J22+J25-J23</f>
        <v/>
      </c>
      <c r="K26" s="98">
        <f>K22+K25-K23</f>
        <v/>
      </c>
      <c r="L26" s="98">
        <f>L22+L25-L23</f>
        <v/>
      </c>
      <c r="M26" s="98">
        <f>M22+M25-M23</f>
        <v/>
      </c>
      <c r="N26" s="98">
        <f>N22+N25-N23</f>
        <v/>
      </c>
      <c r="O26" s="98">
        <f>O22+O25-O23</f>
        <v/>
      </c>
      <c r="P26" s="98">
        <f>P22+P25-P23</f>
        <v/>
      </c>
      <c r="Q26" s="98">
        <f>Q22+Q25-Q23</f>
        <v/>
      </c>
      <c r="R26" s="98">
        <f>R22+R25-R23</f>
        <v/>
      </c>
      <c r="S26" s="98">
        <f>S22+S25-S23</f>
        <v/>
      </c>
      <c r="T26" s="98">
        <f>T22+T25-T23</f>
        <v/>
      </c>
      <c r="U26" s="98">
        <f>U22+U25-U23</f>
        <v/>
      </c>
      <c r="V26" s="98">
        <f>V22+V25-V23</f>
        <v/>
      </c>
      <c r="W26" s="98">
        <f>W22+W25-W23</f>
        <v/>
      </c>
      <c r="X26" s="98">
        <f>X22+X25-X23</f>
        <v/>
      </c>
      <c r="Y26" s="98">
        <f>Y22+Y25-Y23</f>
        <v/>
      </c>
      <c r="Z26" s="98">
        <f>Z22+Z25-Z23</f>
        <v/>
      </c>
      <c r="AA26" s="98">
        <f>AA22+AA25-AA23</f>
        <v/>
      </c>
      <c r="AB26" s="98">
        <f>AB22+AB25-AB23</f>
        <v/>
      </c>
      <c r="AC26" s="98">
        <f>AC22+AC25-AC23</f>
        <v/>
      </c>
      <c r="AD26" s="98">
        <f>AD22+AD25-AD23</f>
        <v/>
      </c>
      <c r="AE26" s="98">
        <f>AE22+AE25-AE23</f>
        <v/>
      </c>
      <c r="AF26" s="98">
        <f>AF22+AF25-AF23</f>
        <v/>
      </c>
      <c r="AG26" s="98">
        <f>AG22+AG25-AG23</f>
        <v/>
      </c>
      <c r="AH26" s="98">
        <f>AH22+AH25-AH23</f>
        <v/>
      </c>
      <c r="AI26" s="98">
        <f>AI22+AI25-AI23</f>
        <v/>
      </c>
      <c r="AJ26" s="98">
        <f>AJ22+AJ25-AJ23</f>
        <v/>
      </c>
      <c r="AK26" s="98">
        <f>AK22+AK25-AK23</f>
        <v/>
      </c>
      <c r="AL26" s="98">
        <f>AL22+AL25-AL23</f>
        <v/>
      </c>
      <c r="AM26" s="98">
        <f>AM22+AM25-AM23</f>
        <v/>
      </c>
      <c r="AN26" s="98">
        <f>AN22+AN25-AN23</f>
        <v/>
      </c>
      <c r="AO26" s="98">
        <f>AO22+AO25-AO23</f>
        <v/>
      </c>
      <c r="AP26" s="98">
        <f>AP22+AP25-AP23</f>
        <v/>
      </c>
      <c r="AQ26" s="98">
        <f>AQ22+AQ25-AQ23</f>
        <v/>
      </c>
      <c r="AR26" s="98">
        <f>AR22+AR25-AR23</f>
        <v/>
      </c>
      <c r="AS26" s="98">
        <f>AS22+AS25-AS23</f>
        <v/>
      </c>
      <c r="AT26" s="98">
        <f>AT22+AT25-AT23</f>
        <v/>
      </c>
      <c r="AU26" s="98">
        <f>AU22+AU25-AU23</f>
        <v/>
      </c>
      <c r="AV26" s="98">
        <f>AV22+AV25-AV23</f>
        <v/>
      </c>
      <c r="AW26" s="98">
        <f>AW22+AW25-AW23</f>
        <v/>
      </c>
      <c r="AX26" s="98">
        <f>AX22+AX25-AX23</f>
        <v/>
      </c>
      <c r="AY26" s="98">
        <f>AY22+AY25-AY23</f>
        <v/>
      </c>
      <c r="AZ26" s="98">
        <f>AZ22+AZ25-AZ23</f>
        <v/>
      </c>
      <c r="BA26" s="98">
        <f>BA22+BA25-BA23</f>
        <v/>
      </c>
      <c r="BB26" s="98">
        <f>BB22+BB25-BB23</f>
        <v/>
      </c>
      <c r="BC26" s="98">
        <f>BC22+BC25-BC23</f>
        <v/>
      </c>
      <c r="BD26" s="98">
        <f>BD22+BD25-BD23</f>
        <v/>
      </c>
      <c r="BE26" s="98">
        <f>BE22+BE25-BE23</f>
        <v/>
      </c>
      <c r="BF26" s="98">
        <f>BF22+BF25-BF23</f>
        <v/>
      </c>
      <c r="BG26" s="98">
        <f>BG22+BG25-BG23</f>
        <v/>
      </c>
      <c r="BH26" s="98">
        <f>BH22+BH25-BH23</f>
        <v/>
      </c>
      <c r="BI26" s="98">
        <f>BI22+BI25-BI23</f>
        <v/>
      </c>
      <c r="BJ26" s="98">
        <f>BJ22+BJ25-BJ23</f>
        <v/>
      </c>
      <c r="BK26" s="98">
        <f>BK22+BK25-BK23</f>
        <v/>
      </c>
      <c r="BL26" s="98">
        <f>BL22+BL25-BL23</f>
        <v/>
      </c>
      <c r="BM26" s="98">
        <f>BM22+BM25-BM23</f>
        <v/>
      </c>
      <c r="BN26" s="98">
        <f>BN22+BN25-BN23</f>
        <v/>
      </c>
      <c r="BO26" s="98">
        <f>BO22+BO25-BO23</f>
        <v/>
      </c>
    </row>
    <row r="27">
      <c r="A27" s="2" t="inlineStr">
        <is>
          <t>Необеспеченный спрос по себестоимости</t>
        </is>
      </c>
      <c r="B27" s="77">
        <f>MAX(0,-B26)</f>
        <v/>
      </c>
      <c r="C27" s="77">
        <f>MAX(0,-C26)</f>
        <v/>
      </c>
      <c r="D27" s="77">
        <f>MAX(0,-D26)</f>
        <v/>
      </c>
      <c r="E27" s="77">
        <f>MAX(0,-E26)</f>
        <v/>
      </c>
      <c r="F27" s="77">
        <f>MAX(0,-F26)</f>
        <v/>
      </c>
      <c r="G27" s="77">
        <f>MAX(0,-G26)</f>
        <v/>
      </c>
      <c r="H27" s="77">
        <f>MAX(0,-H26)</f>
        <v/>
      </c>
      <c r="I27" s="77">
        <f>MAX(0,-I26)</f>
        <v/>
      </c>
      <c r="J27" s="77">
        <f>MAX(0,-J26)</f>
        <v/>
      </c>
      <c r="K27" s="77">
        <f>MAX(0,-K26)</f>
        <v/>
      </c>
      <c r="L27" s="77">
        <f>MAX(0,-L26)</f>
        <v/>
      </c>
      <c r="M27" s="77">
        <f>MAX(0,-M26)</f>
        <v/>
      </c>
      <c r="N27" s="77">
        <f>MAX(0,-N26)</f>
        <v/>
      </c>
      <c r="O27" s="77">
        <f>MAX(0,-O26)</f>
        <v/>
      </c>
      <c r="P27" s="77">
        <f>MAX(0,-P26)</f>
        <v/>
      </c>
      <c r="Q27" s="77">
        <f>MAX(0,-Q26)</f>
        <v/>
      </c>
      <c r="R27" s="77">
        <f>MAX(0,-R26)</f>
        <v/>
      </c>
      <c r="S27" s="77">
        <f>MAX(0,-S26)</f>
        <v/>
      </c>
      <c r="T27" s="77">
        <f>MAX(0,-T26)</f>
        <v/>
      </c>
      <c r="U27" s="77">
        <f>MAX(0,-U26)</f>
        <v/>
      </c>
      <c r="V27" s="77">
        <f>MAX(0,-V26)</f>
        <v/>
      </c>
      <c r="W27" s="77">
        <f>MAX(0,-W26)</f>
        <v/>
      </c>
      <c r="X27" s="77">
        <f>MAX(0,-X26)</f>
        <v/>
      </c>
      <c r="Y27" s="77">
        <f>MAX(0,-Y26)</f>
        <v/>
      </c>
      <c r="Z27" s="77">
        <f>MAX(0,-Z26)</f>
        <v/>
      </c>
      <c r="AA27" s="77">
        <f>MAX(0,-AA26)</f>
        <v/>
      </c>
      <c r="AB27" s="77">
        <f>MAX(0,-AB26)</f>
        <v/>
      </c>
      <c r="AC27" s="77">
        <f>MAX(0,-AC26)</f>
        <v/>
      </c>
      <c r="AD27" s="77">
        <f>MAX(0,-AD26)</f>
        <v/>
      </c>
      <c r="AE27" s="77">
        <f>MAX(0,-AE26)</f>
        <v/>
      </c>
      <c r="AF27" s="77">
        <f>MAX(0,-AF26)</f>
        <v/>
      </c>
      <c r="AG27" s="77">
        <f>MAX(0,-AG26)</f>
        <v/>
      </c>
      <c r="AH27" s="77">
        <f>MAX(0,-AH26)</f>
        <v/>
      </c>
      <c r="AI27" s="77">
        <f>MAX(0,-AI26)</f>
        <v/>
      </c>
      <c r="AJ27" s="77">
        <f>MAX(0,-AJ26)</f>
        <v/>
      </c>
      <c r="AK27" s="77">
        <f>MAX(0,-AK26)</f>
        <v/>
      </c>
      <c r="AL27" s="77">
        <f>MAX(0,-AL26)</f>
        <v/>
      </c>
      <c r="AM27" s="77">
        <f>MAX(0,-AM26)</f>
        <v/>
      </c>
      <c r="AN27" s="77">
        <f>MAX(0,-AN26)</f>
        <v/>
      </c>
      <c r="AO27" s="77">
        <f>MAX(0,-AO26)</f>
        <v/>
      </c>
      <c r="AP27" s="77">
        <f>MAX(0,-AP26)</f>
        <v/>
      </c>
      <c r="AQ27" s="77">
        <f>MAX(0,-AQ26)</f>
        <v/>
      </c>
      <c r="AR27" s="77">
        <f>MAX(0,-AR26)</f>
        <v/>
      </c>
      <c r="AS27" s="77">
        <f>MAX(0,-AS26)</f>
        <v/>
      </c>
      <c r="AT27" s="77">
        <f>MAX(0,-AT26)</f>
        <v/>
      </c>
      <c r="AU27" s="77">
        <f>MAX(0,-AU26)</f>
        <v/>
      </c>
      <c r="AV27" s="77">
        <f>MAX(0,-AV26)</f>
        <v/>
      </c>
      <c r="AW27" s="77">
        <f>MAX(0,-AW26)</f>
        <v/>
      </c>
      <c r="AX27" s="77">
        <f>MAX(0,-AX26)</f>
        <v/>
      </c>
      <c r="AY27" s="77">
        <f>MAX(0,-AY26)</f>
        <v/>
      </c>
      <c r="AZ27" s="77">
        <f>MAX(0,-AZ26)</f>
        <v/>
      </c>
      <c r="BA27" s="77">
        <f>MAX(0,-BA26)</f>
        <v/>
      </c>
      <c r="BB27" s="77">
        <f>MAX(0,-BB26)</f>
        <v/>
      </c>
      <c r="BC27" s="77">
        <f>MAX(0,-BC26)</f>
        <v/>
      </c>
      <c r="BD27" s="77">
        <f>MAX(0,-BD26)</f>
        <v/>
      </c>
      <c r="BE27" s="77">
        <f>MAX(0,-BE26)</f>
        <v/>
      </c>
      <c r="BF27" s="77">
        <f>MAX(0,-BF26)</f>
        <v/>
      </c>
      <c r="BG27" s="77">
        <f>MAX(0,-BG26)</f>
        <v/>
      </c>
      <c r="BH27" s="77">
        <f>MAX(0,-BH26)</f>
        <v/>
      </c>
      <c r="BI27" s="77">
        <f>MAX(0,-BI26)</f>
        <v/>
      </c>
      <c r="BJ27" s="77">
        <f>MAX(0,-BJ26)</f>
        <v/>
      </c>
      <c r="BK27" s="77">
        <f>MAX(0,-BK26)</f>
        <v/>
      </c>
      <c r="BL27" s="77">
        <f>MAX(0,-BL26)</f>
        <v/>
      </c>
      <c r="BM27" s="77">
        <f>MAX(0,-BM26)</f>
        <v/>
      </c>
      <c r="BN27" s="77">
        <f>MAX(0,-BN26)</f>
        <v/>
      </c>
      <c r="BO27" s="77">
        <f>MAX(0,-BO26)</f>
        <v/>
      </c>
    </row>
    <row r="28" ht="20" customHeight="1">
      <c r="A28" s="4" t="inlineStr">
        <is>
          <t>Возврат займа</t>
        </is>
      </c>
    </row>
    <row r="29">
      <c r="A29" s="2" t="inlineStr">
        <is>
          <t>Займ на начало</t>
        </is>
      </c>
      <c r="B29" s="42">
        <f>'01_Вводные'!$B$78</f>
        <v/>
      </c>
      <c r="C29" s="42">
        <f>B32</f>
        <v/>
      </c>
      <c r="D29" s="42">
        <f>C32</f>
        <v/>
      </c>
      <c r="E29" s="42">
        <f>D32</f>
        <v/>
      </c>
      <c r="F29" s="42">
        <f>E32</f>
        <v/>
      </c>
      <c r="G29" s="42">
        <f>F32</f>
        <v/>
      </c>
      <c r="H29" s="42">
        <f>G32</f>
        <v/>
      </c>
      <c r="I29" s="42">
        <f>H32</f>
        <v/>
      </c>
      <c r="J29" s="42">
        <f>I32</f>
        <v/>
      </c>
      <c r="K29" s="42">
        <f>J32</f>
        <v/>
      </c>
      <c r="L29" s="42">
        <f>K32</f>
        <v/>
      </c>
      <c r="M29" s="42">
        <f>L32</f>
        <v/>
      </c>
      <c r="N29" s="42">
        <f>M32</f>
        <v/>
      </c>
      <c r="O29" s="42">
        <f>N32</f>
        <v/>
      </c>
      <c r="P29" s="42">
        <f>O32</f>
        <v/>
      </c>
      <c r="Q29" s="42">
        <f>P32</f>
        <v/>
      </c>
      <c r="R29" s="42">
        <f>Q32</f>
        <v/>
      </c>
      <c r="S29" s="42">
        <f>R32</f>
        <v/>
      </c>
      <c r="T29" s="42">
        <f>S32</f>
        <v/>
      </c>
      <c r="U29" s="42">
        <f>T32</f>
        <v/>
      </c>
      <c r="V29" s="42">
        <f>U32</f>
        <v/>
      </c>
      <c r="W29" s="42">
        <f>V32</f>
        <v/>
      </c>
      <c r="X29" s="42">
        <f>W32</f>
        <v/>
      </c>
      <c r="Y29" s="42">
        <f>X32</f>
        <v/>
      </c>
      <c r="Z29" s="42">
        <f>Y32</f>
        <v/>
      </c>
      <c r="AA29" s="42">
        <f>Z32</f>
        <v/>
      </c>
      <c r="AB29" s="42">
        <f>AA32</f>
        <v/>
      </c>
      <c r="AC29" s="42">
        <f>AB32</f>
        <v/>
      </c>
      <c r="AD29" s="42">
        <f>AC32</f>
        <v/>
      </c>
      <c r="AE29" s="42">
        <f>AD32</f>
        <v/>
      </c>
      <c r="AF29" s="42">
        <f>AE32</f>
        <v/>
      </c>
      <c r="AG29" s="42">
        <f>AF32</f>
        <v/>
      </c>
      <c r="AH29" s="42">
        <f>AG32</f>
        <v/>
      </c>
      <c r="AI29" s="42">
        <f>AH32</f>
        <v/>
      </c>
      <c r="AJ29" s="42">
        <f>AI32</f>
        <v/>
      </c>
      <c r="AK29" s="42">
        <f>AJ32</f>
        <v/>
      </c>
      <c r="AL29" s="42">
        <f>AK32</f>
        <v/>
      </c>
      <c r="AM29" s="42">
        <f>AL32</f>
        <v/>
      </c>
      <c r="AN29" s="42">
        <f>AM32</f>
        <v/>
      </c>
      <c r="AO29" s="42">
        <f>AN32</f>
        <v/>
      </c>
      <c r="AP29" s="42">
        <f>AO32</f>
        <v/>
      </c>
      <c r="AQ29" s="42">
        <f>AP32</f>
        <v/>
      </c>
      <c r="AR29" s="42">
        <f>AQ32</f>
        <v/>
      </c>
      <c r="AS29" s="42">
        <f>AR32</f>
        <v/>
      </c>
      <c r="AT29" s="42">
        <f>AS32</f>
        <v/>
      </c>
      <c r="AU29" s="42">
        <f>AT32</f>
        <v/>
      </c>
      <c r="AV29" s="42">
        <f>AU32</f>
        <v/>
      </c>
      <c r="AW29" s="42">
        <f>AV32</f>
        <v/>
      </c>
      <c r="AX29" s="42">
        <f>AW32</f>
        <v/>
      </c>
      <c r="AY29" s="42">
        <f>AX32</f>
        <v/>
      </c>
      <c r="AZ29" s="42">
        <f>AY32</f>
        <v/>
      </c>
      <c r="BA29" s="42">
        <f>AZ32</f>
        <v/>
      </c>
      <c r="BB29" s="42">
        <f>BA32</f>
        <v/>
      </c>
      <c r="BC29" s="42">
        <f>BB32</f>
        <v/>
      </c>
      <c r="BD29" s="42">
        <f>BC32</f>
        <v/>
      </c>
      <c r="BE29" s="42">
        <f>BD32</f>
        <v/>
      </c>
      <c r="BF29" s="42">
        <f>BE32</f>
        <v/>
      </c>
      <c r="BG29" s="42">
        <f>BF32</f>
        <v/>
      </c>
      <c r="BH29" s="42">
        <f>BG32</f>
        <v/>
      </c>
      <c r="BI29" s="42">
        <f>BH32</f>
        <v/>
      </c>
      <c r="BJ29" s="42">
        <f>BI32</f>
        <v/>
      </c>
      <c r="BK29" s="42">
        <f>BJ32</f>
        <v/>
      </c>
      <c r="BL29" s="42">
        <f>BK32</f>
        <v/>
      </c>
      <c r="BM29" s="42">
        <f>BL32</f>
        <v/>
      </c>
      <c r="BN29" s="42">
        <f>BM32</f>
        <v/>
      </c>
      <c r="BO29" s="42">
        <f>BN32</f>
        <v/>
      </c>
    </row>
    <row r="30">
      <c r="A30" s="2" t="inlineStr">
        <is>
          <t>Базовое погашение 60% COGS</t>
        </is>
      </c>
      <c r="B30" s="42">
        <f>MIN(B29,B16*'01_Вводные'!$B$79)</f>
        <v/>
      </c>
      <c r="C30" s="42">
        <f>MIN(C29,C16*'01_Вводные'!$B$79)</f>
        <v/>
      </c>
      <c r="D30" s="42">
        <f>MIN(D29,D16*'01_Вводные'!$B$79)</f>
        <v/>
      </c>
      <c r="E30" s="42">
        <f>MIN(E29,E16*'01_Вводные'!$B$79)</f>
        <v/>
      </c>
      <c r="F30" s="42">
        <f>MIN(F29,F16*'01_Вводные'!$B$79)</f>
        <v/>
      </c>
      <c r="G30" s="42">
        <f>MIN(G29,G16*'01_Вводные'!$B$79)</f>
        <v/>
      </c>
      <c r="H30" s="42">
        <f>MIN(H29,H16*'01_Вводные'!$B$79)</f>
        <v/>
      </c>
      <c r="I30" s="42">
        <f>MIN(I29,I16*'01_Вводные'!$B$79)</f>
        <v/>
      </c>
      <c r="J30" s="42">
        <f>MIN(J29,J16*'01_Вводные'!$B$79)</f>
        <v/>
      </c>
      <c r="K30" s="42">
        <f>MIN(K29,K16*'01_Вводные'!$B$79)</f>
        <v/>
      </c>
      <c r="L30" s="42">
        <f>MIN(L29,L16*'01_Вводные'!$B$79)</f>
        <v/>
      </c>
      <c r="M30" s="42">
        <f>MIN(M29,M16*'01_Вводные'!$B$79)</f>
        <v/>
      </c>
      <c r="N30" s="42">
        <f>MIN(N29,N16*'01_Вводные'!$B$79)</f>
        <v/>
      </c>
      <c r="O30" s="42">
        <f>MIN(O29,O16*'01_Вводные'!$B$79)</f>
        <v/>
      </c>
      <c r="P30" s="42">
        <f>MIN(P29,P16*'01_Вводные'!$B$79)</f>
        <v/>
      </c>
      <c r="Q30" s="42">
        <f>MIN(Q29,Q16*'01_Вводные'!$B$79)</f>
        <v/>
      </c>
      <c r="R30" s="42">
        <f>MIN(R29,R16*'01_Вводные'!$B$79)</f>
        <v/>
      </c>
      <c r="S30" s="42">
        <f>MIN(S29,S16*'01_Вводные'!$B$79)</f>
        <v/>
      </c>
      <c r="T30" s="42">
        <f>MIN(T29,T16*'01_Вводные'!$B$79)</f>
        <v/>
      </c>
      <c r="U30" s="42">
        <f>MIN(U29,U16*'01_Вводные'!$B$79)</f>
        <v/>
      </c>
      <c r="V30" s="42">
        <f>MIN(V29,V16*'01_Вводные'!$B$79)</f>
        <v/>
      </c>
      <c r="W30" s="42">
        <f>MIN(W29,W16*'01_Вводные'!$B$79)</f>
        <v/>
      </c>
      <c r="X30" s="42">
        <f>MIN(X29,X16*'01_Вводные'!$B$79)</f>
        <v/>
      </c>
      <c r="Y30" s="42">
        <f>MIN(Y29,Y16*'01_Вводные'!$B$79)</f>
        <v/>
      </c>
      <c r="Z30" s="42">
        <f>MIN(Z29,Z16*'01_Вводные'!$B$79)</f>
        <v/>
      </c>
      <c r="AA30" s="42">
        <f>MIN(AA29,AA16*'01_Вводные'!$B$79)</f>
        <v/>
      </c>
      <c r="AB30" s="42">
        <f>MIN(AB29,AB16*'01_Вводные'!$B$79)</f>
        <v/>
      </c>
      <c r="AC30" s="42">
        <f>MIN(AC29,AC16*'01_Вводные'!$B$79)</f>
        <v/>
      </c>
      <c r="AD30" s="42">
        <f>MIN(AD29,AD16*'01_Вводные'!$B$79)</f>
        <v/>
      </c>
      <c r="AE30" s="42">
        <f>MIN(AE29,AE16*'01_Вводные'!$B$79)</f>
        <v/>
      </c>
      <c r="AF30" s="42">
        <f>MIN(AF29,AF16*'01_Вводные'!$B$79)</f>
        <v/>
      </c>
      <c r="AG30" s="42">
        <f>MIN(AG29,AG16*'01_Вводные'!$B$79)</f>
        <v/>
      </c>
      <c r="AH30" s="42">
        <f>MIN(AH29,AH16*'01_Вводные'!$B$79)</f>
        <v/>
      </c>
      <c r="AI30" s="42">
        <f>MIN(AI29,AI16*'01_Вводные'!$B$79)</f>
        <v/>
      </c>
      <c r="AJ30" s="42">
        <f>MIN(AJ29,AJ16*'01_Вводные'!$B$79)</f>
        <v/>
      </c>
      <c r="AK30" s="42">
        <f>MIN(AK29,AK16*'01_Вводные'!$B$79)</f>
        <v/>
      </c>
      <c r="AL30" s="42">
        <f>MIN(AL29,AL16*'01_Вводные'!$B$79)</f>
        <v/>
      </c>
      <c r="AM30" s="42">
        <f>MIN(AM29,AM16*'01_Вводные'!$B$79)</f>
        <v/>
      </c>
      <c r="AN30" s="42">
        <f>MIN(AN29,AN16*'01_Вводные'!$B$79)</f>
        <v/>
      </c>
      <c r="AO30" s="42">
        <f>MIN(AO29,AO16*'01_Вводные'!$B$79)</f>
        <v/>
      </c>
      <c r="AP30" s="42">
        <f>MIN(AP29,AP16*'01_Вводные'!$B$79)</f>
        <v/>
      </c>
      <c r="AQ30" s="42">
        <f>MIN(AQ29,AQ16*'01_Вводные'!$B$79)</f>
        <v/>
      </c>
      <c r="AR30" s="42">
        <f>MIN(AR29,AR16*'01_Вводные'!$B$79)</f>
        <v/>
      </c>
      <c r="AS30" s="42">
        <f>MIN(AS29,AS16*'01_Вводные'!$B$79)</f>
        <v/>
      </c>
      <c r="AT30" s="42">
        <f>MIN(AT29,AT16*'01_Вводные'!$B$79)</f>
        <v/>
      </c>
      <c r="AU30" s="42">
        <f>MIN(AU29,AU16*'01_Вводные'!$B$79)</f>
        <v/>
      </c>
      <c r="AV30" s="42">
        <f>MIN(AV29,AV16*'01_Вводные'!$B$79)</f>
        <v/>
      </c>
      <c r="AW30" s="42">
        <f>MIN(AW29,AW16*'01_Вводные'!$B$79)</f>
        <v/>
      </c>
      <c r="AX30" s="42">
        <f>MIN(AX29,AX16*'01_Вводные'!$B$79)</f>
        <v/>
      </c>
      <c r="AY30" s="42">
        <f>MIN(AY29,AY16*'01_Вводные'!$B$79)</f>
        <v/>
      </c>
      <c r="AZ30" s="42">
        <f>MIN(AZ29,AZ16*'01_Вводные'!$B$79)</f>
        <v/>
      </c>
      <c r="BA30" s="42">
        <f>MIN(BA29,BA16*'01_Вводные'!$B$79)</f>
        <v/>
      </c>
      <c r="BB30" s="42">
        <f>MIN(BB29,BB16*'01_Вводные'!$B$79)</f>
        <v/>
      </c>
      <c r="BC30" s="42">
        <f>MIN(BC29,BC16*'01_Вводные'!$B$79)</f>
        <v/>
      </c>
      <c r="BD30" s="42">
        <f>MIN(BD29,BD16*'01_Вводные'!$B$79)</f>
        <v/>
      </c>
      <c r="BE30" s="42">
        <f>MIN(BE29,BE16*'01_Вводные'!$B$79)</f>
        <v/>
      </c>
      <c r="BF30" s="42">
        <f>MIN(BF29,BF16*'01_Вводные'!$B$79)</f>
        <v/>
      </c>
      <c r="BG30" s="42">
        <f>MIN(BG29,BG16*'01_Вводные'!$B$79)</f>
        <v/>
      </c>
      <c r="BH30" s="42">
        <f>MIN(BH29,BH16*'01_Вводные'!$B$79)</f>
        <v/>
      </c>
      <c r="BI30" s="42">
        <f>MIN(BI29,BI16*'01_Вводные'!$B$79)</f>
        <v/>
      </c>
      <c r="BJ30" s="42">
        <f>MIN(BJ29,BJ16*'01_Вводные'!$B$79)</f>
        <v/>
      </c>
      <c r="BK30" s="42">
        <f>MIN(BK29,BK16*'01_Вводные'!$B$79)</f>
        <v/>
      </c>
      <c r="BL30" s="42">
        <f>MIN(BL29,BL16*'01_Вводные'!$B$79)</f>
        <v/>
      </c>
      <c r="BM30" s="42">
        <f>MIN(BM29,BM16*'01_Вводные'!$B$79)</f>
        <v/>
      </c>
      <c r="BN30" s="42">
        <f>MIN(BN29,BN16*'01_Вводные'!$B$79)</f>
        <v/>
      </c>
      <c r="BO30" s="42">
        <f>MIN(BO29,BO16*'01_Вводные'!$B$79)</f>
        <v/>
      </c>
    </row>
    <row r="31">
      <c r="A31" s="2" t="inlineStr">
        <is>
          <t>Погашение с учетом cash cap</t>
        </is>
      </c>
      <c r="B31" s="95">
        <f>IF(OR('01_Вводные'!$B$238="Нет",B26&gt;=B34-0.01),MIN(B30,MAX(0,'02_Модель'!B93)),0)</f>
        <v/>
      </c>
      <c r="C31" s="95">
        <f>IF(OR('01_Вводные'!$B$238="Нет",C26&gt;=C34-0.01),MIN(C30,MAX(0,'02_Модель'!C93)),0)</f>
        <v/>
      </c>
      <c r="D31" s="95">
        <f>IF(OR('01_Вводные'!$B$238="Нет",D26&gt;=D34-0.01),MIN(D30,MAX(0,'02_Модель'!D93)),0)</f>
        <v/>
      </c>
      <c r="E31" s="95">
        <f>IF(OR('01_Вводные'!$B$238="Нет",E26&gt;=E34-0.01),MIN(E30,MAX(0,'02_Модель'!E93)),0)</f>
        <v/>
      </c>
      <c r="F31" s="95">
        <f>IF(OR('01_Вводные'!$B$238="Нет",F26&gt;=F34-0.01),MIN(F30,MAX(0,'02_Модель'!F93)),0)</f>
        <v/>
      </c>
      <c r="G31" s="95">
        <f>IF(OR('01_Вводные'!$B$238="Нет",G26&gt;=G34-0.01),MIN(G30,MAX(0,'02_Модель'!G93)),0)</f>
        <v/>
      </c>
      <c r="H31" s="95">
        <f>IF(OR('01_Вводные'!$B$238="Нет",H26&gt;=H34-0.01),MIN(H30,MAX(0,'02_Модель'!H93)),0)</f>
        <v/>
      </c>
      <c r="I31" s="95">
        <f>IF(OR('01_Вводные'!$B$238="Нет",I26&gt;=I34-0.01),MIN(I30,MAX(0,'02_Модель'!I93)),0)</f>
        <v/>
      </c>
      <c r="J31" s="95">
        <f>IF(OR('01_Вводные'!$B$238="Нет",J26&gt;=J34-0.01),MIN(J30,MAX(0,'02_Модель'!J93)),0)</f>
        <v/>
      </c>
      <c r="K31" s="95">
        <f>IF(OR('01_Вводные'!$B$238="Нет",K26&gt;=K34-0.01),MIN(K30,MAX(0,'02_Модель'!K93)),0)</f>
        <v/>
      </c>
      <c r="L31" s="95">
        <f>IF(OR('01_Вводные'!$B$238="Нет",L26&gt;=L34-0.01),MIN(L30,MAX(0,'02_Модель'!L93)),0)</f>
        <v/>
      </c>
      <c r="M31" s="95">
        <f>IF(OR('01_Вводные'!$B$238="Нет",M26&gt;=M34-0.01),MIN(M30,MAX(0,'02_Модель'!M93)),0)</f>
        <v/>
      </c>
      <c r="N31" s="95">
        <f>IF(OR('01_Вводные'!$B$238="Нет",N26&gt;=N34-0.01),MIN(N30,MAX(0,'02_Модель'!N93)),0)</f>
        <v/>
      </c>
      <c r="O31" s="95">
        <f>IF(OR('01_Вводные'!$B$238="Нет",O26&gt;=O34-0.01),MIN(O30,MAX(0,'02_Модель'!O93)),0)</f>
        <v/>
      </c>
      <c r="P31" s="95">
        <f>IF(OR('01_Вводные'!$B$238="Нет",P26&gt;=P34-0.01),MIN(P30,MAX(0,'02_Модель'!P93)),0)</f>
        <v/>
      </c>
      <c r="Q31" s="95">
        <f>IF(OR('01_Вводные'!$B$238="Нет",Q26&gt;=Q34-0.01),MIN(Q30,MAX(0,'02_Модель'!Q93)),0)</f>
        <v/>
      </c>
      <c r="R31" s="95">
        <f>IF(OR('01_Вводные'!$B$238="Нет",R26&gt;=R34-0.01),MIN(R30,MAX(0,'02_Модель'!R93)),0)</f>
        <v/>
      </c>
      <c r="S31" s="95">
        <f>IF(OR('01_Вводные'!$B$238="Нет",S26&gt;=S34-0.01),MIN(S30,MAX(0,'02_Модель'!S93)),0)</f>
        <v/>
      </c>
      <c r="T31" s="95">
        <f>IF(OR('01_Вводные'!$B$238="Нет",T26&gt;=T34-0.01),MIN(T30,MAX(0,'02_Модель'!T93)),0)</f>
        <v/>
      </c>
      <c r="U31" s="95">
        <f>IF(OR('01_Вводные'!$B$238="Нет",U26&gt;=U34-0.01),MIN(U30,MAX(0,'02_Модель'!U93)),0)</f>
        <v/>
      </c>
      <c r="V31" s="95">
        <f>IF(OR('01_Вводные'!$B$238="Нет",V26&gt;=V34-0.01),MIN(V30,MAX(0,'02_Модель'!V93)),0)</f>
        <v/>
      </c>
      <c r="W31" s="95">
        <f>IF(OR('01_Вводные'!$B$238="Нет",W26&gt;=W34-0.01),MIN(W30,MAX(0,'02_Модель'!W93)),0)</f>
        <v/>
      </c>
      <c r="X31" s="95">
        <f>IF(OR('01_Вводные'!$B$238="Нет",X26&gt;=X34-0.01),MIN(X30,MAX(0,'02_Модель'!X93)),0)</f>
        <v/>
      </c>
      <c r="Y31" s="95">
        <f>IF(OR('01_Вводные'!$B$238="Нет",Y26&gt;=Y34-0.01),MIN(Y30,MAX(0,'02_Модель'!Y93)),0)</f>
        <v/>
      </c>
      <c r="Z31" s="95">
        <f>IF(OR('01_Вводные'!$B$238="Нет",Z26&gt;=Z34-0.01),MIN(Z30,MAX(0,'02_Модель'!Z93)),0)</f>
        <v/>
      </c>
      <c r="AA31" s="95">
        <f>IF(OR('01_Вводные'!$B$238="Нет",AA26&gt;=AA34-0.01),MIN(AA30,MAX(0,'02_Модель'!AA93)),0)</f>
        <v/>
      </c>
      <c r="AB31" s="95">
        <f>IF(OR('01_Вводные'!$B$238="Нет",AB26&gt;=AB34-0.01),MIN(AB30,MAX(0,'02_Модель'!AB93)),0)</f>
        <v/>
      </c>
      <c r="AC31" s="95">
        <f>IF(OR('01_Вводные'!$B$238="Нет",AC26&gt;=AC34-0.01),MIN(AC30,MAX(0,'02_Модель'!AC93)),0)</f>
        <v/>
      </c>
      <c r="AD31" s="95">
        <f>IF(OR('01_Вводные'!$B$238="Нет",AD26&gt;=AD34-0.01),MIN(AD30,MAX(0,'02_Модель'!AD93)),0)</f>
        <v/>
      </c>
      <c r="AE31" s="95">
        <f>IF(OR('01_Вводные'!$B$238="Нет",AE26&gt;=AE34-0.01),MIN(AE30,MAX(0,'02_Модель'!AE93)),0)</f>
        <v/>
      </c>
      <c r="AF31" s="95">
        <f>IF(OR('01_Вводные'!$B$238="Нет",AF26&gt;=AF34-0.01),MIN(AF30,MAX(0,'02_Модель'!AF93)),0)</f>
        <v/>
      </c>
      <c r="AG31" s="95">
        <f>IF(OR('01_Вводные'!$B$238="Нет",AG26&gt;=AG34-0.01),MIN(AG30,MAX(0,'02_Модель'!AG93)),0)</f>
        <v/>
      </c>
      <c r="AH31" s="95">
        <f>IF(OR('01_Вводные'!$B$238="Нет",AH26&gt;=AH34-0.01),MIN(AH30,MAX(0,'02_Модель'!AH93)),0)</f>
        <v/>
      </c>
      <c r="AI31" s="95">
        <f>IF(OR('01_Вводные'!$B$238="Нет",AI26&gt;=AI34-0.01),MIN(AI30,MAX(0,'02_Модель'!AI93)),0)</f>
        <v/>
      </c>
      <c r="AJ31" s="95">
        <f>IF(OR('01_Вводные'!$B$238="Нет",AJ26&gt;=AJ34-0.01),MIN(AJ30,MAX(0,'02_Модель'!AJ93)),0)</f>
        <v/>
      </c>
      <c r="AK31" s="95">
        <f>IF(OR('01_Вводные'!$B$238="Нет",AK26&gt;=AK34-0.01),MIN(AK30,MAX(0,'02_Модель'!AK93)),0)</f>
        <v/>
      </c>
      <c r="AL31" s="95">
        <f>IF(OR('01_Вводные'!$B$238="Нет",AL26&gt;=AL34-0.01),MIN(AL30,MAX(0,'02_Модель'!AL93)),0)</f>
        <v/>
      </c>
      <c r="AM31" s="95">
        <f>IF(OR('01_Вводные'!$B$238="Нет",AM26&gt;=AM34-0.01),MIN(AM30,MAX(0,'02_Модель'!AM93)),0)</f>
        <v/>
      </c>
      <c r="AN31" s="95">
        <f>IF(OR('01_Вводные'!$B$238="Нет",AN26&gt;=AN34-0.01),MIN(AN30,MAX(0,'02_Модель'!AN93)),0)</f>
        <v/>
      </c>
      <c r="AO31" s="95">
        <f>IF(OR('01_Вводные'!$B$238="Нет",AO26&gt;=AO34-0.01),MIN(AO30,MAX(0,'02_Модель'!AO93)),0)</f>
        <v/>
      </c>
      <c r="AP31" s="95">
        <f>IF(OR('01_Вводные'!$B$238="Нет",AP26&gt;=AP34-0.01),MIN(AP30,MAX(0,'02_Модель'!AP93)),0)</f>
        <v/>
      </c>
      <c r="AQ31" s="95">
        <f>IF(OR('01_Вводные'!$B$238="Нет",AQ26&gt;=AQ34-0.01),MIN(AQ30,MAX(0,'02_Модель'!AQ93)),0)</f>
        <v/>
      </c>
      <c r="AR31" s="95">
        <f>IF(OR('01_Вводные'!$B$238="Нет",AR26&gt;=AR34-0.01),MIN(AR30,MAX(0,'02_Модель'!AR93)),0)</f>
        <v/>
      </c>
      <c r="AS31" s="95">
        <f>IF(OR('01_Вводные'!$B$238="Нет",AS26&gt;=AS34-0.01),MIN(AS30,MAX(0,'02_Модель'!AS93)),0)</f>
        <v/>
      </c>
      <c r="AT31" s="95">
        <f>IF(OR('01_Вводные'!$B$238="Нет",AT26&gt;=AT34-0.01),MIN(AT30,MAX(0,'02_Модель'!AT93)),0)</f>
        <v/>
      </c>
      <c r="AU31" s="95">
        <f>IF(OR('01_Вводные'!$B$238="Нет",AU26&gt;=AU34-0.01),MIN(AU30,MAX(0,'02_Модель'!AU93)),0)</f>
        <v/>
      </c>
      <c r="AV31" s="95">
        <f>IF(OR('01_Вводные'!$B$238="Нет",AV26&gt;=AV34-0.01),MIN(AV30,MAX(0,'02_Модель'!AV93)),0)</f>
        <v/>
      </c>
      <c r="AW31" s="95">
        <f>IF(OR('01_Вводные'!$B$238="Нет",AW26&gt;=AW34-0.01),MIN(AW30,MAX(0,'02_Модель'!AW93)),0)</f>
        <v/>
      </c>
      <c r="AX31" s="95">
        <f>IF(OR('01_Вводные'!$B$238="Нет",AX26&gt;=AX34-0.01),MIN(AX30,MAX(0,'02_Модель'!AX93)),0)</f>
        <v/>
      </c>
      <c r="AY31" s="95">
        <f>IF(OR('01_Вводные'!$B$238="Нет",AY26&gt;=AY34-0.01),MIN(AY30,MAX(0,'02_Модель'!AY93)),0)</f>
        <v/>
      </c>
      <c r="AZ31" s="95">
        <f>IF(OR('01_Вводные'!$B$238="Нет",AZ26&gt;=AZ34-0.01),MIN(AZ30,MAX(0,'02_Модель'!AZ93)),0)</f>
        <v/>
      </c>
      <c r="BA31" s="95">
        <f>IF(OR('01_Вводные'!$B$238="Нет",BA26&gt;=BA34-0.01),MIN(BA30,MAX(0,'02_Модель'!BA93)),0)</f>
        <v/>
      </c>
      <c r="BB31" s="95">
        <f>IF(OR('01_Вводные'!$B$238="Нет",BB26&gt;=BB34-0.01),MIN(BB30,MAX(0,'02_Модель'!BB93)),0)</f>
        <v/>
      </c>
      <c r="BC31" s="95">
        <f>IF(OR('01_Вводные'!$B$238="Нет",BC26&gt;=BC34-0.01),MIN(BC30,MAX(0,'02_Модель'!BC93)),0)</f>
        <v/>
      </c>
      <c r="BD31" s="95">
        <f>IF(OR('01_Вводные'!$B$238="Нет",BD26&gt;=BD34-0.01),MIN(BD30,MAX(0,'02_Модель'!BD93)),0)</f>
        <v/>
      </c>
      <c r="BE31" s="95">
        <f>IF(OR('01_Вводные'!$B$238="Нет",BE26&gt;=BE34-0.01),MIN(BE30,MAX(0,'02_Модель'!BE93)),0)</f>
        <v/>
      </c>
      <c r="BF31" s="95">
        <f>IF(OR('01_Вводные'!$B$238="Нет",BF26&gt;=BF34-0.01),MIN(BF30,MAX(0,'02_Модель'!BF93)),0)</f>
        <v/>
      </c>
      <c r="BG31" s="95">
        <f>IF(OR('01_Вводные'!$B$238="Нет",BG26&gt;=BG34-0.01),MIN(BG30,MAX(0,'02_Модель'!BG93)),0)</f>
        <v/>
      </c>
      <c r="BH31" s="95">
        <f>IF(OR('01_Вводные'!$B$238="Нет",BH26&gt;=BH34-0.01),MIN(BH30,MAX(0,'02_Модель'!BH93)),0)</f>
        <v/>
      </c>
      <c r="BI31" s="95">
        <f>IF(OR('01_Вводные'!$B$238="Нет",BI26&gt;=BI34-0.01),MIN(BI30,MAX(0,'02_Модель'!BI93)),0)</f>
        <v/>
      </c>
      <c r="BJ31" s="72" t="n">
        <v>0</v>
      </c>
      <c r="BK31" s="72" t="n">
        <v>0</v>
      </c>
      <c r="BL31" s="72" t="n">
        <v>0</v>
      </c>
      <c r="BM31" s="72" t="n">
        <v>0</v>
      </c>
      <c r="BN31" s="72" t="n">
        <v>0</v>
      </c>
      <c r="BO31" s="72" t="n">
        <v>0</v>
      </c>
    </row>
    <row r="32">
      <c r="A32" s="10" t="inlineStr">
        <is>
          <t>Займ на конец</t>
        </is>
      </c>
      <c r="B32" s="43">
        <f>MAX(0,B29-B31)</f>
        <v/>
      </c>
      <c r="C32" s="43">
        <f>MAX(0,C29-C31)</f>
        <v/>
      </c>
      <c r="D32" s="43">
        <f>MAX(0,D29-D31)</f>
        <v/>
      </c>
      <c r="E32" s="43">
        <f>MAX(0,E29-E31)</f>
        <v/>
      </c>
      <c r="F32" s="43">
        <f>MAX(0,F29-F31)</f>
        <v/>
      </c>
      <c r="G32" s="43">
        <f>MAX(0,G29-G31)</f>
        <v/>
      </c>
      <c r="H32" s="43">
        <f>MAX(0,H29-H31)</f>
        <v/>
      </c>
      <c r="I32" s="43">
        <f>MAX(0,I29-I31)</f>
        <v/>
      </c>
      <c r="J32" s="43">
        <f>MAX(0,J29-J31)</f>
        <v/>
      </c>
      <c r="K32" s="43">
        <f>MAX(0,K29-K31)</f>
        <v/>
      </c>
      <c r="L32" s="43">
        <f>MAX(0,L29-L31)</f>
        <v/>
      </c>
      <c r="M32" s="43">
        <f>MAX(0,M29-M31)</f>
        <v/>
      </c>
      <c r="N32" s="43">
        <f>MAX(0,N29-N31)</f>
        <v/>
      </c>
      <c r="O32" s="43">
        <f>MAX(0,O29-O31)</f>
        <v/>
      </c>
      <c r="P32" s="43">
        <f>MAX(0,P29-P31)</f>
        <v/>
      </c>
      <c r="Q32" s="43">
        <f>MAX(0,Q29-Q31)</f>
        <v/>
      </c>
      <c r="R32" s="43">
        <f>MAX(0,R29-R31)</f>
        <v/>
      </c>
      <c r="S32" s="43">
        <f>MAX(0,S29-S31)</f>
        <v/>
      </c>
      <c r="T32" s="43">
        <f>MAX(0,T29-T31)</f>
        <v/>
      </c>
      <c r="U32" s="43">
        <f>MAX(0,U29-U31)</f>
        <v/>
      </c>
      <c r="V32" s="43">
        <f>MAX(0,V29-V31)</f>
        <v/>
      </c>
      <c r="W32" s="43">
        <f>MAX(0,W29-W31)</f>
        <v/>
      </c>
      <c r="X32" s="43">
        <f>MAX(0,X29-X31)</f>
        <v/>
      </c>
      <c r="Y32" s="43">
        <f>MAX(0,Y29-Y31)</f>
        <v/>
      </c>
      <c r="Z32" s="43">
        <f>MAX(0,Z29-Z31)</f>
        <v/>
      </c>
      <c r="AA32" s="43">
        <f>MAX(0,AA29-AA31)</f>
        <v/>
      </c>
      <c r="AB32" s="43">
        <f>MAX(0,AB29-AB31)</f>
        <v/>
      </c>
      <c r="AC32" s="43">
        <f>MAX(0,AC29-AC31)</f>
        <v/>
      </c>
      <c r="AD32" s="43">
        <f>MAX(0,AD29-AD31)</f>
        <v/>
      </c>
      <c r="AE32" s="43">
        <f>MAX(0,AE29-AE31)</f>
        <v/>
      </c>
      <c r="AF32" s="43">
        <f>MAX(0,AF29-AF31)</f>
        <v/>
      </c>
      <c r="AG32" s="43">
        <f>MAX(0,AG29-AG31)</f>
        <v/>
      </c>
      <c r="AH32" s="43">
        <f>MAX(0,AH29-AH31)</f>
        <v/>
      </c>
      <c r="AI32" s="43">
        <f>MAX(0,AI29-AI31)</f>
        <v/>
      </c>
      <c r="AJ32" s="43">
        <f>MAX(0,AJ29-AJ31)</f>
        <v/>
      </c>
      <c r="AK32" s="43">
        <f>MAX(0,AK29-AK31)</f>
        <v/>
      </c>
      <c r="AL32" s="43">
        <f>MAX(0,AL29-AL31)</f>
        <v/>
      </c>
      <c r="AM32" s="43">
        <f>MAX(0,AM29-AM31)</f>
        <v/>
      </c>
      <c r="AN32" s="43">
        <f>MAX(0,AN29-AN31)</f>
        <v/>
      </c>
      <c r="AO32" s="43">
        <f>MAX(0,AO29-AO31)</f>
        <v/>
      </c>
      <c r="AP32" s="43">
        <f>MAX(0,AP29-AP31)</f>
        <v/>
      </c>
      <c r="AQ32" s="43">
        <f>MAX(0,AQ29-AQ31)</f>
        <v/>
      </c>
      <c r="AR32" s="43">
        <f>MAX(0,AR29-AR31)</f>
        <v/>
      </c>
      <c r="AS32" s="43">
        <f>MAX(0,AS29-AS31)</f>
        <v/>
      </c>
      <c r="AT32" s="43">
        <f>MAX(0,AT29-AT31)</f>
        <v/>
      </c>
      <c r="AU32" s="43">
        <f>MAX(0,AU29-AU31)</f>
        <v/>
      </c>
      <c r="AV32" s="43">
        <f>MAX(0,AV29-AV31)</f>
        <v/>
      </c>
      <c r="AW32" s="43">
        <f>MAX(0,AW29-AW31)</f>
        <v/>
      </c>
      <c r="AX32" s="43">
        <f>MAX(0,AX29-AX31)</f>
        <v/>
      </c>
      <c r="AY32" s="43">
        <f>MAX(0,AY29-AY31)</f>
        <v/>
      </c>
      <c r="AZ32" s="43">
        <f>MAX(0,AZ29-AZ31)</f>
        <v/>
      </c>
      <c r="BA32" s="43">
        <f>MAX(0,BA29-BA31)</f>
        <v/>
      </c>
      <c r="BB32" s="43">
        <f>MAX(0,BB29-BB31)</f>
        <v/>
      </c>
      <c r="BC32" s="43">
        <f>MAX(0,BC29-BC31)</f>
        <v/>
      </c>
      <c r="BD32" s="43">
        <f>MAX(0,BD29-BD31)</f>
        <v/>
      </c>
      <c r="BE32" s="43">
        <f>MAX(0,BE29-BE31)</f>
        <v/>
      </c>
      <c r="BF32" s="43">
        <f>MAX(0,BF29-BF31)</f>
        <v/>
      </c>
      <c r="BG32" s="43">
        <f>MAX(0,BG29-BG31)</f>
        <v/>
      </c>
      <c r="BH32" s="43">
        <f>MAX(0,BH29-BH31)</f>
        <v/>
      </c>
      <c r="BI32" s="43">
        <f>MAX(0,BI29-BI31)</f>
        <v/>
      </c>
      <c r="BJ32" s="43">
        <f>MAX(0,BJ29-BJ31)</f>
        <v/>
      </c>
      <c r="BK32" s="43">
        <f>MAX(0,BK29-BK31)</f>
        <v/>
      </c>
      <c r="BL32" s="43">
        <f>MAX(0,BL29-BL31)</f>
        <v/>
      </c>
      <c r="BM32" s="43">
        <f>MAX(0,BM29-BM31)</f>
        <v/>
      </c>
      <c r="BN32" s="43">
        <f>MAX(0,BN29-BN31)</f>
        <v/>
      </c>
      <c r="BO32" s="43">
        <f>MAX(0,BO29-BO31)</f>
        <v/>
      </c>
    </row>
    <row r="34">
      <c r="A34" s="264" t="inlineStr">
        <is>
          <t>Минимальный запас для возврата займа</t>
        </is>
      </c>
      <c r="B34">
        <f>SUM(IF('01_Вводные'!$B$310&gt;=1,C16,0),IF('01_Вводные'!$B$310&gt;=2,D16,0),IF('01_Вводные'!$B$310&gt;=3,E16,0),IF('01_Вводные'!$B$310&gt;=4,F16,0),IF('01_Вводные'!$B$310&gt;=5,G16,0),IF('01_Вводные'!$B$310&gt;=6,H16,0))</f>
        <v/>
      </c>
      <c r="C34">
        <f>SUM(IF('01_Вводные'!$B$310&gt;=1,D16,0),IF('01_Вводные'!$B$310&gt;=2,E16,0),IF('01_Вводные'!$B$310&gt;=3,F16,0),IF('01_Вводные'!$B$310&gt;=4,G16,0),IF('01_Вводные'!$B$310&gt;=5,H16,0),IF('01_Вводные'!$B$310&gt;=6,I16,0))</f>
        <v/>
      </c>
      <c r="D34">
        <f>SUM(IF('01_Вводные'!$B$310&gt;=1,E16,0),IF('01_Вводные'!$B$310&gt;=2,F16,0),IF('01_Вводные'!$B$310&gt;=3,G16,0),IF('01_Вводные'!$B$310&gt;=4,H16,0),IF('01_Вводные'!$B$310&gt;=5,I16,0),IF('01_Вводные'!$B$310&gt;=6,J16,0))</f>
        <v/>
      </c>
      <c r="E34">
        <f>SUM(IF('01_Вводные'!$B$310&gt;=1,F16,0),IF('01_Вводные'!$B$310&gt;=2,G16,0),IF('01_Вводные'!$B$310&gt;=3,H16,0),IF('01_Вводные'!$B$310&gt;=4,I16,0),IF('01_Вводные'!$B$310&gt;=5,J16,0),IF('01_Вводные'!$B$310&gt;=6,K16,0))</f>
        <v/>
      </c>
      <c r="F34">
        <f>SUM(IF('01_Вводные'!$B$310&gt;=1,G16,0),IF('01_Вводные'!$B$310&gt;=2,H16,0),IF('01_Вводные'!$B$310&gt;=3,I16,0),IF('01_Вводные'!$B$310&gt;=4,J16,0),IF('01_Вводные'!$B$310&gt;=5,K16,0),IF('01_Вводные'!$B$310&gt;=6,L16,0))</f>
        <v/>
      </c>
      <c r="G34">
        <f>SUM(IF('01_Вводные'!$B$310&gt;=1,H16,0),IF('01_Вводные'!$B$310&gt;=2,I16,0),IF('01_Вводные'!$B$310&gt;=3,J16,0),IF('01_Вводные'!$B$310&gt;=4,K16,0),IF('01_Вводные'!$B$310&gt;=5,L16,0),IF('01_Вводные'!$B$310&gt;=6,M16,0))</f>
        <v/>
      </c>
      <c r="H34">
        <f>SUM(IF('01_Вводные'!$B$310&gt;=1,I16,0),IF('01_Вводные'!$B$310&gt;=2,J16,0),IF('01_Вводные'!$B$310&gt;=3,K16,0),IF('01_Вводные'!$B$310&gt;=4,L16,0),IF('01_Вводные'!$B$310&gt;=5,M16,0),IF('01_Вводные'!$B$310&gt;=6,N16,0))</f>
        <v/>
      </c>
      <c r="I34">
        <f>SUM(IF('01_Вводные'!$B$310&gt;=1,J16,0),IF('01_Вводные'!$B$310&gt;=2,K16,0),IF('01_Вводные'!$B$310&gt;=3,L16,0),IF('01_Вводные'!$B$310&gt;=4,M16,0),IF('01_Вводные'!$B$310&gt;=5,N16,0),IF('01_Вводные'!$B$310&gt;=6,O16,0))</f>
        <v/>
      </c>
      <c r="J34">
        <f>SUM(IF('01_Вводные'!$B$310&gt;=1,K16,0),IF('01_Вводные'!$B$310&gt;=2,L16,0),IF('01_Вводные'!$B$310&gt;=3,M16,0),IF('01_Вводные'!$B$310&gt;=4,N16,0),IF('01_Вводные'!$B$310&gt;=5,O16,0),IF('01_Вводные'!$B$310&gt;=6,P16,0))</f>
        <v/>
      </c>
      <c r="K34">
        <f>SUM(IF('01_Вводные'!$B$310&gt;=1,L16,0),IF('01_Вводные'!$B$310&gt;=2,M16,0),IF('01_Вводные'!$B$310&gt;=3,N16,0),IF('01_Вводные'!$B$310&gt;=4,O16,0),IF('01_Вводные'!$B$310&gt;=5,P16,0),IF('01_Вводные'!$B$310&gt;=6,Q16,0))</f>
        <v/>
      </c>
      <c r="L34">
        <f>SUM(IF('01_Вводные'!$B$310&gt;=1,M16,0),IF('01_Вводные'!$B$310&gt;=2,N16,0),IF('01_Вводные'!$B$310&gt;=3,O16,0),IF('01_Вводные'!$B$310&gt;=4,P16,0),IF('01_Вводные'!$B$310&gt;=5,Q16,0),IF('01_Вводные'!$B$310&gt;=6,R16,0))</f>
        <v/>
      </c>
      <c r="M34">
        <f>SUM(IF('01_Вводные'!$B$310&gt;=1,N16,0),IF('01_Вводные'!$B$310&gt;=2,O16,0),IF('01_Вводные'!$B$310&gt;=3,P16,0),IF('01_Вводные'!$B$310&gt;=4,Q16,0),IF('01_Вводные'!$B$310&gt;=5,R16,0),IF('01_Вводные'!$B$310&gt;=6,S16,0))</f>
        <v/>
      </c>
      <c r="N34">
        <f>SUM(IF('01_Вводные'!$B$310&gt;=1,O16,0),IF('01_Вводные'!$B$310&gt;=2,P16,0),IF('01_Вводные'!$B$310&gt;=3,Q16,0),IF('01_Вводные'!$B$310&gt;=4,R16,0),IF('01_Вводные'!$B$310&gt;=5,S16,0),IF('01_Вводные'!$B$310&gt;=6,T16,0))</f>
        <v/>
      </c>
      <c r="O34">
        <f>SUM(IF('01_Вводные'!$B$310&gt;=1,P16,0),IF('01_Вводные'!$B$310&gt;=2,Q16,0),IF('01_Вводные'!$B$310&gt;=3,R16,0),IF('01_Вводные'!$B$310&gt;=4,S16,0),IF('01_Вводные'!$B$310&gt;=5,T16,0),IF('01_Вводные'!$B$310&gt;=6,U16,0))</f>
        <v/>
      </c>
      <c r="P34">
        <f>SUM(IF('01_Вводные'!$B$310&gt;=1,Q16,0),IF('01_Вводные'!$B$310&gt;=2,R16,0),IF('01_Вводные'!$B$310&gt;=3,S16,0),IF('01_Вводные'!$B$310&gt;=4,T16,0),IF('01_Вводные'!$B$310&gt;=5,U16,0),IF('01_Вводные'!$B$310&gt;=6,V16,0))</f>
        <v/>
      </c>
      <c r="Q34">
        <f>SUM(IF('01_Вводные'!$B$310&gt;=1,R16,0),IF('01_Вводные'!$B$310&gt;=2,S16,0),IF('01_Вводные'!$B$310&gt;=3,T16,0),IF('01_Вводные'!$B$310&gt;=4,U16,0),IF('01_Вводные'!$B$310&gt;=5,V16,0),IF('01_Вводные'!$B$310&gt;=6,W16,0))</f>
        <v/>
      </c>
      <c r="R34">
        <f>SUM(IF('01_Вводные'!$B$310&gt;=1,S16,0),IF('01_Вводные'!$B$310&gt;=2,T16,0),IF('01_Вводные'!$B$310&gt;=3,U16,0),IF('01_Вводные'!$B$310&gt;=4,V16,0),IF('01_Вводные'!$B$310&gt;=5,W16,0),IF('01_Вводные'!$B$310&gt;=6,X16,0))</f>
        <v/>
      </c>
      <c r="S34">
        <f>SUM(IF('01_Вводные'!$B$310&gt;=1,T16,0),IF('01_Вводные'!$B$310&gt;=2,U16,0),IF('01_Вводные'!$B$310&gt;=3,V16,0),IF('01_Вводные'!$B$310&gt;=4,W16,0),IF('01_Вводные'!$B$310&gt;=5,X16,0),IF('01_Вводные'!$B$310&gt;=6,Y16,0))</f>
        <v/>
      </c>
      <c r="T34">
        <f>SUM(IF('01_Вводные'!$B$310&gt;=1,U16,0),IF('01_Вводные'!$B$310&gt;=2,V16,0),IF('01_Вводные'!$B$310&gt;=3,W16,0),IF('01_Вводные'!$B$310&gt;=4,X16,0),IF('01_Вводные'!$B$310&gt;=5,Y16,0),IF('01_Вводные'!$B$310&gt;=6,Z16,0))</f>
        <v/>
      </c>
      <c r="U34">
        <f>SUM(IF('01_Вводные'!$B$310&gt;=1,V16,0),IF('01_Вводные'!$B$310&gt;=2,W16,0),IF('01_Вводные'!$B$310&gt;=3,X16,0),IF('01_Вводные'!$B$310&gt;=4,Y16,0),IF('01_Вводные'!$B$310&gt;=5,Z16,0),IF('01_Вводные'!$B$310&gt;=6,AA16,0))</f>
        <v/>
      </c>
      <c r="V34">
        <f>SUM(IF('01_Вводные'!$B$310&gt;=1,W16,0),IF('01_Вводные'!$B$310&gt;=2,X16,0),IF('01_Вводные'!$B$310&gt;=3,Y16,0),IF('01_Вводные'!$B$310&gt;=4,Z16,0),IF('01_Вводные'!$B$310&gt;=5,AA16,0),IF('01_Вводные'!$B$310&gt;=6,AB16,0))</f>
        <v/>
      </c>
      <c r="W34">
        <f>SUM(IF('01_Вводные'!$B$310&gt;=1,X16,0),IF('01_Вводные'!$B$310&gt;=2,Y16,0),IF('01_Вводные'!$B$310&gt;=3,Z16,0),IF('01_Вводные'!$B$310&gt;=4,AA16,0),IF('01_Вводные'!$B$310&gt;=5,AB16,0),IF('01_Вводные'!$B$310&gt;=6,AC16,0))</f>
        <v/>
      </c>
      <c r="X34">
        <f>SUM(IF('01_Вводные'!$B$310&gt;=1,Y16,0),IF('01_Вводные'!$B$310&gt;=2,Z16,0),IF('01_Вводные'!$B$310&gt;=3,AA16,0),IF('01_Вводные'!$B$310&gt;=4,AB16,0),IF('01_Вводные'!$B$310&gt;=5,AC16,0),IF('01_Вводные'!$B$310&gt;=6,AD16,0))</f>
        <v/>
      </c>
      <c r="Y34">
        <f>SUM(IF('01_Вводные'!$B$310&gt;=1,Z16,0),IF('01_Вводные'!$B$310&gt;=2,AA16,0),IF('01_Вводные'!$B$310&gt;=3,AB16,0),IF('01_Вводные'!$B$310&gt;=4,AC16,0),IF('01_Вводные'!$B$310&gt;=5,AD16,0),IF('01_Вводные'!$B$310&gt;=6,AE16,0))</f>
        <v/>
      </c>
      <c r="Z34">
        <f>SUM(IF('01_Вводные'!$B$310&gt;=1,AA16,0),IF('01_Вводные'!$B$310&gt;=2,AB16,0),IF('01_Вводные'!$B$310&gt;=3,AC16,0),IF('01_Вводные'!$B$310&gt;=4,AD16,0),IF('01_Вводные'!$B$310&gt;=5,AE16,0),IF('01_Вводные'!$B$310&gt;=6,AF16,0))</f>
        <v/>
      </c>
      <c r="AA34">
        <f>SUM(IF('01_Вводные'!$B$310&gt;=1,AB16,0),IF('01_Вводные'!$B$310&gt;=2,AC16,0),IF('01_Вводные'!$B$310&gt;=3,AD16,0),IF('01_Вводные'!$B$310&gt;=4,AE16,0),IF('01_Вводные'!$B$310&gt;=5,AF16,0),IF('01_Вводные'!$B$310&gt;=6,AG16,0))</f>
        <v/>
      </c>
      <c r="AB34">
        <f>SUM(IF('01_Вводные'!$B$310&gt;=1,AC16,0),IF('01_Вводные'!$B$310&gt;=2,AD16,0),IF('01_Вводные'!$B$310&gt;=3,AE16,0),IF('01_Вводные'!$B$310&gt;=4,AF16,0),IF('01_Вводные'!$B$310&gt;=5,AG16,0),IF('01_Вводные'!$B$310&gt;=6,AH16,0))</f>
        <v/>
      </c>
      <c r="AC34">
        <f>SUM(IF('01_Вводные'!$B$310&gt;=1,AD16,0),IF('01_Вводные'!$B$310&gt;=2,AE16,0),IF('01_Вводные'!$B$310&gt;=3,AF16,0),IF('01_Вводные'!$B$310&gt;=4,AG16,0),IF('01_Вводные'!$B$310&gt;=5,AH16,0),IF('01_Вводные'!$B$310&gt;=6,AI16,0))</f>
        <v/>
      </c>
      <c r="AD34">
        <f>SUM(IF('01_Вводные'!$B$310&gt;=1,AE16,0),IF('01_Вводные'!$B$310&gt;=2,AF16,0),IF('01_Вводные'!$B$310&gt;=3,AG16,0),IF('01_Вводные'!$B$310&gt;=4,AH16,0),IF('01_Вводные'!$B$310&gt;=5,AI16,0),IF('01_Вводные'!$B$310&gt;=6,AJ16,0))</f>
        <v/>
      </c>
      <c r="AE34">
        <f>SUM(IF('01_Вводные'!$B$310&gt;=1,AF16,0),IF('01_Вводные'!$B$310&gt;=2,AG16,0),IF('01_Вводные'!$B$310&gt;=3,AH16,0),IF('01_Вводные'!$B$310&gt;=4,AI16,0),IF('01_Вводные'!$B$310&gt;=5,AJ16,0),IF('01_Вводные'!$B$310&gt;=6,AK16,0))</f>
        <v/>
      </c>
      <c r="AF34">
        <f>SUM(IF('01_Вводные'!$B$310&gt;=1,AG16,0),IF('01_Вводные'!$B$310&gt;=2,AH16,0),IF('01_Вводные'!$B$310&gt;=3,AI16,0),IF('01_Вводные'!$B$310&gt;=4,AJ16,0),IF('01_Вводные'!$B$310&gt;=5,AK16,0),IF('01_Вводные'!$B$310&gt;=6,AL16,0))</f>
        <v/>
      </c>
      <c r="AG34">
        <f>SUM(IF('01_Вводные'!$B$310&gt;=1,AH16,0),IF('01_Вводные'!$B$310&gt;=2,AI16,0),IF('01_Вводные'!$B$310&gt;=3,AJ16,0),IF('01_Вводные'!$B$310&gt;=4,AK16,0),IF('01_Вводные'!$B$310&gt;=5,AL16,0),IF('01_Вводные'!$B$310&gt;=6,AM16,0))</f>
        <v/>
      </c>
      <c r="AH34">
        <f>SUM(IF('01_Вводные'!$B$310&gt;=1,AI16,0),IF('01_Вводные'!$B$310&gt;=2,AJ16,0),IF('01_Вводные'!$B$310&gt;=3,AK16,0),IF('01_Вводные'!$B$310&gt;=4,AL16,0),IF('01_Вводные'!$B$310&gt;=5,AM16,0),IF('01_Вводные'!$B$310&gt;=6,AN16,0))</f>
        <v/>
      </c>
      <c r="AI34">
        <f>SUM(IF('01_Вводные'!$B$310&gt;=1,AJ16,0),IF('01_Вводные'!$B$310&gt;=2,AK16,0),IF('01_Вводные'!$B$310&gt;=3,AL16,0),IF('01_Вводные'!$B$310&gt;=4,AM16,0),IF('01_Вводные'!$B$310&gt;=5,AN16,0),IF('01_Вводные'!$B$310&gt;=6,AO16,0))</f>
        <v/>
      </c>
      <c r="AJ34">
        <f>SUM(IF('01_Вводные'!$B$310&gt;=1,AK16,0),IF('01_Вводные'!$B$310&gt;=2,AL16,0),IF('01_Вводные'!$B$310&gt;=3,AM16,0),IF('01_Вводные'!$B$310&gt;=4,AN16,0),IF('01_Вводные'!$B$310&gt;=5,AO16,0),IF('01_Вводные'!$B$310&gt;=6,AP16,0))</f>
        <v/>
      </c>
      <c r="AK34">
        <f>SUM(IF('01_Вводные'!$B$310&gt;=1,AL16,0),IF('01_Вводные'!$B$310&gt;=2,AM16,0),IF('01_Вводные'!$B$310&gt;=3,AN16,0),IF('01_Вводные'!$B$310&gt;=4,AO16,0),IF('01_Вводные'!$B$310&gt;=5,AP16,0),IF('01_Вводные'!$B$310&gt;=6,AQ16,0))</f>
        <v/>
      </c>
      <c r="AL34">
        <f>SUM(IF('01_Вводные'!$B$310&gt;=1,AM16,0),IF('01_Вводные'!$B$310&gt;=2,AN16,0),IF('01_Вводные'!$B$310&gt;=3,AO16,0),IF('01_Вводные'!$B$310&gt;=4,AP16,0),IF('01_Вводные'!$B$310&gt;=5,AQ16,0),IF('01_Вводные'!$B$310&gt;=6,AR16,0))</f>
        <v/>
      </c>
      <c r="AM34">
        <f>SUM(IF('01_Вводные'!$B$310&gt;=1,AN16,0),IF('01_Вводные'!$B$310&gt;=2,AO16,0),IF('01_Вводные'!$B$310&gt;=3,AP16,0),IF('01_Вводные'!$B$310&gt;=4,AQ16,0),IF('01_Вводные'!$B$310&gt;=5,AR16,0),IF('01_Вводные'!$B$310&gt;=6,AS16,0))</f>
        <v/>
      </c>
      <c r="AN34">
        <f>SUM(IF('01_Вводные'!$B$310&gt;=1,AO16,0),IF('01_Вводные'!$B$310&gt;=2,AP16,0),IF('01_Вводные'!$B$310&gt;=3,AQ16,0),IF('01_Вводные'!$B$310&gt;=4,AR16,0),IF('01_Вводные'!$B$310&gt;=5,AS16,0),IF('01_Вводные'!$B$310&gt;=6,AT16,0))</f>
        <v/>
      </c>
      <c r="AO34">
        <f>SUM(IF('01_Вводные'!$B$310&gt;=1,AP16,0),IF('01_Вводные'!$B$310&gt;=2,AQ16,0),IF('01_Вводные'!$B$310&gt;=3,AR16,0),IF('01_Вводные'!$B$310&gt;=4,AS16,0),IF('01_Вводные'!$B$310&gt;=5,AT16,0),IF('01_Вводные'!$B$310&gt;=6,AU16,0))</f>
        <v/>
      </c>
      <c r="AP34">
        <f>SUM(IF('01_Вводные'!$B$310&gt;=1,AQ16,0),IF('01_Вводные'!$B$310&gt;=2,AR16,0),IF('01_Вводные'!$B$310&gt;=3,AS16,0),IF('01_Вводные'!$B$310&gt;=4,AT16,0),IF('01_Вводные'!$B$310&gt;=5,AU16,0),IF('01_Вводные'!$B$310&gt;=6,AV16,0))</f>
        <v/>
      </c>
      <c r="AQ34">
        <f>SUM(IF('01_Вводные'!$B$310&gt;=1,AR16,0),IF('01_Вводные'!$B$310&gt;=2,AS16,0),IF('01_Вводные'!$B$310&gt;=3,AT16,0),IF('01_Вводные'!$B$310&gt;=4,AU16,0),IF('01_Вводные'!$B$310&gt;=5,AV16,0),IF('01_Вводные'!$B$310&gt;=6,AW16,0))</f>
        <v/>
      </c>
      <c r="AR34">
        <f>SUM(IF('01_Вводные'!$B$310&gt;=1,AS16,0),IF('01_Вводные'!$B$310&gt;=2,AT16,0),IF('01_Вводные'!$B$310&gt;=3,AU16,0),IF('01_Вводные'!$B$310&gt;=4,AV16,0),IF('01_Вводные'!$B$310&gt;=5,AW16,0),IF('01_Вводные'!$B$310&gt;=6,AX16,0))</f>
        <v/>
      </c>
      <c r="AS34">
        <f>SUM(IF('01_Вводные'!$B$310&gt;=1,AT16,0),IF('01_Вводные'!$B$310&gt;=2,AU16,0),IF('01_Вводные'!$B$310&gt;=3,AV16,0),IF('01_Вводные'!$B$310&gt;=4,AW16,0),IF('01_Вводные'!$B$310&gt;=5,AX16,0),IF('01_Вводные'!$B$310&gt;=6,AY16,0))</f>
        <v/>
      </c>
      <c r="AT34">
        <f>SUM(IF('01_Вводные'!$B$310&gt;=1,AU16,0),IF('01_Вводные'!$B$310&gt;=2,AV16,0),IF('01_Вводные'!$B$310&gt;=3,AW16,0),IF('01_Вводные'!$B$310&gt;=4,AX16,0),IF('01_Вводные'!$B$310&gt;=5,AY16,0),IF('01_Вводные'!$B$310&gt;=6,AZ16,0))</f>
        <v/>
      </c>
      <c r="AU34">
        <f>SUM(IF('01_Вводные'!$B$310&gt;=1,AV16,0),IF('01_Вводные'!$B$310&gt;=2,AW16,0),IF('01_Вводные'!$B$310&gt;=3,AX16,0),IF('01_Вводные'!$B$310&gt;=4,AY16,0),IF('01_Вводные'!$B$310&gt;=5,AZ16,0),IF('01_Вводные'!$B$310&gt;=6,BA16,0))</f>
        <v/>
      </c>
      <c r="AV34">
        <f>SUM(IF('01_Вводные'!$B$310&gt;=1,AW16,0),IF('01_Вводные'!$B$310&gt;=2,AX16,0),IF('01_Вводные'!$B$310&gt;=3,AY16,0),IF('01_Вводные'!$B$310&gt;=4,AZ16,0),IF('01_Вводные'!$B$310&gt;=5,BA16,0),IF('01_Вводные'!$B$310&gt;=6,BB16,0))</f>
        <v/>
      </c>
      <c r="AW34">
        <f>SUM(IF('01_Вводные'!$B$310&gt;=1,AX16,0),IF('01_Вводные'!$B$310&gt;=2,AY16,0),IF('01_Вводные'!$B$310&gt;=3,AZ16,0),IF('01_Вводные'!$B$310&gt;=4,BA16,0),IF('01_Вводные'!$B$310&gt;=5,BB16,0),IF('01_Вводные'!$B$310&gt;=6,BC16,0))</f>
        <v/>
      </c>
      <c r="AX34">
        <f>SUM(IF('01_Вводные'!$B$310&gt;=1,AY16,0),IF('01_Вводные'!$B$310&gt;=2,AZ16,0),IF('01_Вводные'!$B$310&gt;=3,BA16,0),IF('01_Вводные'!$B$310&gt;=4,BB16,0),IF('01_Вводные'!$B$310&gt;=5,BC16,0),IF('01_Вводные'!$B$310&gt;=6,BD16,0))</f>
        <v/>
      </c>
      <c r="AY34">
        <f>SUM(IF('01_Вводные'!$B$310&gt;=1,AZ16,0),IF('01_Вводные'!$B$310&gt;=2,BA16,0),IF('01_Вводные'!$B$310&gt;=3,BB16,0),IF('01_Вводные'!$B$310&gt;=4,BC16,0),IF('01_Вводные'!$B$310&gt;=5,BD16,0),IF('01_Вводные'!$B$310&gt;=6,BE16,0))</f>
        <v/>
      </c>
      <c r="AZ34">
        <f>SUM(IF('01_Вводные'!$B$310&gt;=1,BA16,0),IF('01_Вводные'!$B$310&gt;=2,BB16,0),IF('01_Вводные'!$B$310&gt;=3,BC16,0),IF('01_Вводные'!$B$310&gt;=4,BD16,0),IF('01_Вводные'!$B$310&gt;=5,BE16,0),IF('01_Вводные'!$B$310&gt;=6,BF16,0))</f>
        <v/>
      </c>
      <c r="BA34">
        <f>SUM(IF('01_Вводные'!$B$310&gt;=1,BB16,0),IF('01_Вводные'!$B$310&gt;=2,BC16,0),IF('01_Вводные'!$B$310&gt;=3,BD16,0),IF('01_Вводные'!$B$310&gt;=4,BE16,0),IF('01_Вводные'!$B$310&gt;=5,BF16,0),IF('01_Вводные'!$B$310&gt;=6,BG16,0))</f>
        <v/>
      </c>
      <c r="BB34">
        <f>SUM(IF('01_Вводные'!$B$310&gt;=1,BC16,0),IF('01_Вводные'!$B$310&gt;=2,BD16,0),IF('01_Вводные'!$B$310&gt;=3,BE16,0),IF('01_Вводные'!$B$310&gt;=4,BF16,0),IF('01_Вводные'!$B$310&gt;=5,BG16,0),IF('01_Вводные'!$B$310&gt;=6,BH16,0))</f>
        <v/>
      </c>
      <c r="BC34">
        <f>SUM(IF('01_Вводные'!$B$310&gt;=1,BD16,0),IF('01_Вводные'!$B$310&gt;=2,BE16,0),IF('01_Вводные'!$B$310&gt;=3,BF16,0),IF('01_Вводные'!$B$310&gt;=4,BG16,0),IF('01_Вводные'!$B$310&gt;=5,BH16,0),IF('01_Вводные'!$B$310&gt;=6,BI16,0))</f>
        <v/>
      </c>
      <c r="BD34">
        <f>SUM(IF('01_Вводные'!$B$310&gt;=1,BE16,0),IF('01_Вводные'!$B$310&gt;=2,BF16,0),IF('01_Вводные'!$B$310&gt;=3,BG16,0),IF('01_Вводные'!$B$310&gt;=4,BH16,0),IF('01_Вводные'!$B$310&gt;=5,BI16,0),IF('01_Вводные'!$B$310&gt;=6,BJ16,0))</f>
        <v/>
      </c>
      <c r="BE34">
        <f>SUM(IF('01_Вводные'!$B$310&gt;=1,BF16,0),IF('01_Вводные'!$B$310&gt;=2,BG16,0),IF('01_Вводные'!$B$310&gt;=3,BH16,0),IF('01_Вводные'!$B$310&gt;=4,BI16,0),IF('01_Вводные'!$B$310&gt;=5,BJ16,0),IF('01_Вводные'!$B$310&gt;=6,BK16,0))</f>
        <v/>
      </c>
      <c r="BF34">
        <f>SUM(IF('01_Вводные'!$B$310&gt;=1,BG16,0),IF('01_Вводные'!$B$310&gt;=2,BH16,0),IF('01_Вводные'!$B$310&gt;=3,BI16,0),IF('01_Вводные'!$B$310&gt;=4,BJ16,0),IF('01_Вводные'!$B$310&gt;=5,BK16,0),IF('01_Вводные'!$B$310&gt;=6,BL16,0))</f>
        <v/>
      </c>
      <c r="BG34">
        <f>SUM(IF('01_Вводные'!$B$310&gt;=1,BH16,0),IF('01_Вводные'!$B$310&gt;=2,BI16,0),IF('01_Вводные'!$B$310&gt;=3,BJ16,0),IF('01_Вводные'!$B$310&gt;=4,BK16,0),IF('01_Вводные'!$B$310&gt;=5,BL16,0),IF('01_Вводные'!$B$310&gt;=6,BM16,0))</f>
        <v/>
      </c>
      <c r="BH34">
        <f>SUM(IF('01_Вводные'!$B$310&gt;=1,BI16,0),IF('01_Вводные'!$B$310&gt;=2,BJ16,0),IF('01_Вводные'!$B$310&gt;=3,BK16,0),IF('01_Вводные'!$B$310&gt;=4,BL16,0),IF('01_Вводные'!$B$310&gt;=5,BM16,0),IF('01_Вводные'!$B$310&gt;=6,BN16,0))</f>
        <v/>
      </c>
      <c r="BI34">
        <f>SUM(IF('01_Вводные'!$B$310&gt;=1,BJ16,0),IF('01_Вводные'!$B$310&gt;=2,BK16,0),IF('01_Вводные'!$B$310&gt;=3,BL16,0),IF('01_Вводные'!$B$310&gt;=4,BM16,0),IF('01_Вводные'!$B$310&gt;=5,BN16,0),IF('01_Вводные'!$B$310&gt;=6,BO16,0))</f>
        <v/>
      </c>
      <c r="BJ34">
        <f>SUM(IF('01_Вводные'!$B$310&gt;=1,BK16,0),IF('01_Вводные'!$B$310&gt;=2,BL16,0),IF('01_Вводные'!$B$310&gt;=3,BM16,0),IF('01_Вводные'!$B$310&gt;=4,BN16,0),IF('01_Вводные'!$B$310&gt;=5,BO16,0),IF('01_Вводные'!$B$310&gt;=6,BP16,0))</f>
        <v/>
      </c>
      <c r="BK34">
        <f>SUM(IF('01_Вводные'!$B$310&gt;=1,BL16,0),IF('01_Вводные'!$B$310&gt;=2,BM16,0),IF('01_Вводные'!$B$310&gt;=3,BN16,0),IF('01_Вводные'!$B$310&gt;=4,BO16,0),IF('01_Вводные'!$B$310&gt;=5,BP16,0),IF('01_Вводные'!$B$310&gt;=6,BQ16,0))</f>
        <v/>
      </c>
      <c r="BL34">
        <f>SUM(IF('01_Вводные'!$B$310&gt;=1,BM16,0),IF('01_Вводные'!$B$310&gt;=2,BN16,0),IF('01_Вводные'!$B$310&gt;=3,BO16,0),IF('01_Вводные'!$B$310&gt;=4,BP16,0),IF('01_Вводные'!$B$310&gt;=5,BQ16,0),IF('01_Вводные'!$B$310&gt;=6,BR16,0))</f>
        <v/>
      </c>
      <c r="BM34">
        <f>SUM(IF('01_Вводные'!$B$310&gt;=1,BN16,0),IF('01_Вводные'!$B$310&gt;=2,BO16,0),IF('01_Вводные'!$B$310&gt;=3,BP16,0),IF('01_Вводные'!$B$310&gt;=4,BQ16,0),IF('01_Вводные'!$B$310&gt;=5,BR16,0),IF('01_Вводные'!$B$310&gt;=6,BS16,0))</f>
        <v/>
      </c>
      <c r="BN34">
        <f>SUM(IF('01_Вводные'!$B$310&gt;=1,BO16,0),IF('01_Вводные'!$B$310&gt;=2,BP16,0),IF('01_Вводные'!$B$310&gt;=3,BQ16,0),IF('01_Вводные'!$B$310&gt;=4,BR16,0),IF('01_Вводные'!$B$310&gt;=5,BS16,0),IF('01_Вводные'!$B$310&gt;=6,BT16,0))</f>
        <v/>
      </c>
      <c r="BO34">
        <f>SUM(IF('01_Вводные'!$B$310&gt;=1,BP16,0),IF('01_Вводные'!$B$310&gt;=2,BQ16,0),IF('01_Вводные'!$B$310&gt;=3,BR16,0),IF('01_Вводные'!$B$310&gt;=4,BS16,0),IF('01_Вводные'!$B$310&gt;=5,BT16,0),IF('01_Вводные'!$B$310&gt;=6,BU16,0))</f>
        <v/>
      </c>
    </row>
  </sheetData>
  <mergeCells count="4">
    <mergeCell ref="A2:BO2"/>
    <mergeCell ref="A21:BO21"/>
    <mergeCell ref="A1:BO1"/>
    <mergeCell ref="A28:BO28"/>
  </mergeCells>
  <printOptions horizontalCentered="0"/>
  <pageMargins left="0.75" right="0.75" top="1" bottom="1" header="0.5" footer="0.5"/>
  <pageSetup orientation="landscape" fitToHeight="0" fitToWidth="1"/>
  <headerFooter>
    <oddHeader/>
    <oddFooter>&amp;LФинмодель Спартак · 07_Мерч&amp;R&amp;P / &amp;N</oddFooter>
    <evenHeader/>
    <evenFooter/>
    <firstHeader/>
    <firstFooter/>
  </headerFooter>
</worksheet>
</file>

<file path=xl/worksheets/sheet10.xml><?xml version="1.0" encoding="utf-8"?>
<worksheet xmlns="http://schemas.openxmlformats.org/spreadsheetml/2006/main">
  <sheetPr>
    <tabColor rgb="009E1B31"/>
    <outlinePr summaryBelow="1" summaryRight="1"/>
    <pageSetUpPr fitToPage="1"/>
  </sheetPr>
  <dimension ref="A1:BI30"/>
  <sheetViews>
    <sheetView showGridLines="0" zoomScale="82"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ФОТ, премии и кадровые триггеры</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c r="A4" s="2" t="inlineStr">
        <is>
          <t>Сезон</t>
        </is>
      </c>
      <c r="B4" s="117">
        <f>INT((0)/12)+1</f>
        <v/>
      </c>
      <c r="C4" s="117">
        <f>INT((1)/12)+1</f>
        <v/>
      </c>
      <c r="D4" s="117">
        <f>INT((2)/12)+1</f>
        <v/>
      </c>
      <c r="E4" s="117">
        <f>INT((3)/12)+1</f>
        <v/>
      </c>
      <c r="F4" s="117">
        <f>INT((4)/12)+1</f>
        <v/>
      </c>
      <c r="G4" s="117">
        <f>INT((5)/12)+1</f>
        <v/>
      </c>
      <c r="H4" s="117">
        <f>INT((6)/12)+1</f>
        <v/>
      </c>
      <c r="I4" s="117">
        <f>INT((7)/12)+1</f>
        <v/>
      </c>
      <c r="J4" s="117">
        <f>INT((8)/12)+1</f>
        <v/>
      </c>
      <c r="K4" s="117">
        <f>INT((9)/12)+1</f>
        <v/>
      </c>
      <c r="L4" s="117">
        <f>INT((10)/12)+1</f>
        <v/>
      </c>
      <c r="M4" s="117">
        <f>INT((11)/12)+1</f>
        <v/>
      </c>
      <c r="N4" s="117">
        <f>INT((12)/12)+1</f>
        <v/>
      </c>
      <c r="O4" s="117">
        <f>INT((13)/12)+1</f>
        <v/>
      </c>
      <c r="P4" s="117">
        <f>INT((14)/12)+1</f>
        <v/>
      </c>
      <c r="Q4" s="117">
        <f>INT((15)/12)+1</f>
        <v/>
      </c>
      <c r="R4" s="117">
        <f>INT((16)/12)+1</f>
        <v/>
      </c>
      <c r="S4" s="117">
        <f>INT((17)/12)+1</f>
        <v/>
      </c>
      <c r="T4" s="117">
        <f>INT((18)/12)+1</f>
        <v/>
      </c>
      <c r="U4" s="117">
        <f>INT((19)/12)+1</f>
        <v/>
      </c>
      <c r="V4" s="117">
        <f>INT((20)/12)+1</f>
        <v/>
      </c>
      <c r="W4" s="117">
        <f>INT((21)/12)+1</f>
        <v/>
      </c>
      <c r="X4" s="117">
        <f>INT((22)/12)+1</f>
        <v/>
      </c>
      <c r="Y4" s="117">
        <f>INT((23)/12)+1</f>
        <v/>
      </c>
      <c r="Z4" s="117">
        <f>INT((24)/12)+1</f>
        <v/>
      </c>
      <c r="AA4" s="117">
        <f>INT((25)/12)+1</f>
        <v/>
      </c>
      <c r="AB4" s="117">
        <f>INT((26)/12)+1</f>
        <v/>
      </c>
      <c r="AC4" s="117">
        <f>INT((27)/12)+1</f>
        <v/>
      </c>
      <c r="AD4" s="117">
        <f>INT((28)/12)+1</f>
        <v/>
      </c>
      <c r="AE4" s="117">
        <f>INT((29)/12)+1</f>
        <v/>
      </c>
      <c r="AF4" s="117">
        <f>INT((30)/12)+1</f>
        <v/>
      </c>
      <c r="AG4" s="117">
        <f>INT((31)/12)+1</f>
        <v/>
      </c>
      <c r="AH4" s="117">
        <f>INT((32)/12)+1</f>
        <v/>
      </c>
      <c r="AI4" s="117">
        <f>INT((33)/12)+1</f>
        <v/>
      </c>
      <c r="AJ4" s="117">
        <f>INT((34)/12)+1</f>
        <v/>
      </c>
      <c r="AK4" s="117">
        <f>INT((35)/12)+1</f>
        <v/>
      </c>
      <c r="AL4" s="117">
        <f>INT((36)/12)+1</f>
        <v/>
      </c>
      <c r="AM4" s="117">
        <f>INT((37)/12)+1</f>
        <v/>
      </c>
      <c r="AN4" s="117">
        <f>INT((38)/12)+1</f>
        <v/>
      </c>
      <c r="AO4" s="117">
        <f>INT((39)/12)+1</f>
        <v/>
      </c>
      <c r="AP4" s="117">
        <f>INT((40)/12)+1</f>
        <v/>
      </c>
      <c r="AQ4" s="117">
        <f>INT((41)/12)+1</f>
        <v/>
      </c>
      <c r="AR4" s="117">
        <f>INT((42)/12)+1</f>
        <v/>
      </c>
      <c r="AS4" s="117">
        <f>INT((43)/12)+1</f>
        <v/>
      </c>
      <c r="AT4" s="117">
        <f>INT((44)/12)+1</f>
        <v/>
      </c>
      <c r="AU4" s="117">
        <f>INT((45)/12)+1</f>
        <v/>
      </c>
      <c r="AV4" s="117">
        <f>INT((46)/12)+1</f>
        <v/>
      </c>
      <c r="AW4" s="117">
        <f>INT((47)/12)+1</f>
        <v/>
      </c>
      <c r="AX4" s="117">
        <f>INT((48)/12)+1</f>
        <v/>
      </c>
      <c r="AY4" s="117">
        <f>INT((49)/12)+1</f>
        <v/>
      </c>
      <c r="AZ4" s="117">
        <f>INT((50)/12)+1</f>
        <v/>
      </c>
      <c r="BA4" s="117">
        <f>INT((51)/12)+1</f>
        <v/>
      </c>
      <c r="BB4" s="117">
        <f>INT((52)/12)+1</f>
        <v/>
      </c>
      <c r="BC4" s="117">
        <f>INT((53)/12)+1</f>
        <v/>
      </c>
      <c r="BD4" s="117">
        <f>INT((54)/12)+1</f>
        <v/>
      </c>
      <c r="BE4" s="117">
        <f>INT((55)/12)+1</f>
        <v/>
      </c>
      <c r="BF4" s="117">
        <f>INT((56)/12)+1</f>
        <v/>
      </c>
      <c r="BG4" s="117">
        <f>INT((57)/12)+1</f>
        <v/>
      </c>
      <c r="BH4" s="117">
        <f>INT((58)/12)+1</f>
        <v/>
      </c>
      <c r="BI4" s="117">
        <f>INT((59)/12)+1</f>
        <v/>
      </c>
    </row>
    <row r="5">
      <c r="A5" s="2" t="inlineStr">
        <is>
          <t>Индекс базовых окладов</t>
        </is>
      </c>
      <c r="B5" s="99">
        <f>(1-0+'01_Вводные'!$B$116)^(MAX(0,YEAR(B$3)-YEAR('01_Вводные'!$B$251)+IF(MONTH(B$3)&gt;=MONTH('01_Вводные'!$B$251),1,0)))</f>
        <v/>
      </c>
      <c r="C5" s="99">
        <f>(1-0+'01_Вводные'!$B$116)^(MAX(0,YEAR(C$3)-YEAR('01_Вводные'!$B$251)+IF(MONTH(C$3)&gt;=MONTH('01_Вводные'!$B$251),1,0)))</f>
        <v/>
      </c>
      <c r="D5" s="99">
        <f>(1-0+'01_Вводные'!$B$116)^(MAX(0,YEAR(D$3)-YEAR('01_Вводные'!$B$251)+IF(MONTH(D$3)&gt;=MONTH('01_Вводные'!$B$251),1,0)))</f>
        <v/>
      </c>
      <c r="E5" s="99">
        <f>(1-0+'01_Вводные'!$B$116)^(MAX(0,YEAR(E$3)-YEAR('01_Вводные'!$B$251)+IF(MONTH(E$3)&gt;=MONTH('01_Вводные'!$B$251),1,0)))</f>
        <v/>
      </c>
      <c r="F5" s="99">
        <f>(1-0+'01_Вводные'!$B$116)^(MAX(0,YEAR(F$3)-YEAR('01_Вводные'!$B$251)+IF(MONTH(F$3)&gt;=MONTH('01_Вводные'!$B$251),1,0)))</f>
        <v/>
      </c>
      <c r="G5" s="99">
        <f>(1-0+'01_Вводные'!$B$116)^(MAX(0,YEAR(G$3)-YEAR('01_Вводные'!$B$251)+IF(MONTH(G$3)&gt;=MONTH('01_Вводные'!$B$251),1,0)))</f>
        <v/>
      </c>
      <c r="H5" s="99">
        <f>(1-0+'01_Вводные'!$B$116)^(MAX(0,YEAR(H$3)-YEAR('01_Вводные'!$B$251)+IF(MONTH(H$3)&gt;=MONTH('01_Вводные'!$B$251),1,0)))</f>
        <v/>
      </c>
      <c r="I5" s="99">
        <f>(1-0+'01_Вводные'!$B$116)^(MAX(0,YEAR(I$3)-YEAR('01_Вводные'!$B$251)+IF(MONTH(I$3)&gt;=MONTH('01_Вводные'!$B$251),1,0)))</f>
        <v/>
      </c>
      <c r="J5" s="99">
        <f>(1-0+'01_Вводные'!$B$116)^(MAX(0,YEAR(J$3)-YEAR('01_Вводные'!$B$251)+IF(MONTH(J$3)&gt;=MONTH('01_Вводные'!$B$251),1,0)))</f>
        <v/>
      </c>
      <c r="K5" s="99">
        <f>(1-0+'01_Вводные'!$B$116)^(MAX(0,YEAR(K$3)-YEAR('01_Вводные'!$B$251)+IF(MONTH(K$3)&gt;=MONTH('01_Вводные'!$B$251),1,0)))</f>
        <v/>
      </c>
      <c r="L5" s="99">
        <f>(1-0+'01_Вводные'!$B$116)^(MAX(0,YEAR(L$3)-YEAR('01_Вводные'!$B$251)+IF(MONTH(L$3)&gt;=MONTH('01_Вводные'!$B$251),1,0)))</f>
        <v/>
      </c>
      <c r="M5" s="99">
        <f>(1-0+'01_Вводные'!$B$116)^(MAX(0,YEAR(M$3)-YEAR('01_Вводные'!$B$251)+IF(MONTH(M$3)&gt;=MONTH('01_Вводные'!$B$251),1,0)))</f>
        <v/>
      </c>
      <c r="N5" s="99">
        <f>(1-0+'01_Вводные'!$B$116)^(MAX(0,YEAR(N$3)-YEAR('01_Вводные'!$B$251)+IF(MONTH(N$3)&gt;=MONTH('01_Вводные'!$B$251),1,0)))</f>
        <v/>
      </c>
      <c r="O5" s="99">
        <f>(1-0+'01_Вводные'!$B$116)^(MAX(0,YEAR(O$3)-YEAR('01_Вводные'!$B$251)+IF(MONTH(O$3)&gt;=MONTH('01_Вводные'!$B$251),1,0)))</f>
        <v/>
      </c>
      <c r="P5" s="99">
        <f>(1-0+'01_Вводные'!$B$116)^(MAX(0,YEAR(P$3)-YEAR('01_Вводные'!$B$251)+IF(MONTH(P$3)&gt;=MONTH('01_Вводные'!$B$251),1,0)))</f>
        <v/>
      </c>
      <c r="Q5" s="99">
        <f>(1-0+'01_Вводные'!$B$116)^(MAX(0,YEAR(Q$3)-YEAR('01_Вводные'!$B$251)+IF(MONTH(Q$3)&gt;=MONTH('01_Вводные'!$B$251),1,0)))</f>
        <v/>
      </c>
      <c r="R5" s="99">
        <f>(1-0+'01_Вводные'!$B$116)^(MAX(0,YEAR(R$3)-YEAR('01_Вводные'!$B$251)+IF(MONTH(R$3)&gt;=MONTH('01_Вводные'!$B$251),1,0)))</f>
        <v/>
      </c>
      <c r="S5" s="99">
        <f>(1-0+'01_Вводные'!$B$116)^(MAX(0,YEAR(S$3)-YEAR('01_Вводные'!$B$251)+IF(MONTH(S$3)&gt;=MONTH('01_Вводные'!$B$251),1,0)))</f>
        <v/>
      </c>
      <c r="T5" s="99">
        <f>(1-0+'01_Вводные'!$B$116)^(MAX(0,YEAR(T$3)-YEAR('01_Вводные'!$B$251)+IF(MONTH(T$3)&gt;=MONTH('01_Вводные'!$B$251),1,0)))</f>
        <v/>
      </c>
      <c r="U5" s="99">
        <f>(1-0+'01_Вводные'!$B$116)^(MAX(0,YEAR(U$3)-YEAR('01_Вводные'!$B$251)+IF(MONTH(U$3)&gt;=MONTH('01_Вводные'!$B$251),1,0)))</f>
        <v/>
      </c>
      <c r="V5" s="99">
        <f>(1-0+'01_Вводные'!$B$116)^(MAX(0,YEAR(V$3)-YEAR('01_Вводные'!$B$251)+IF(MONTH(V$3)&gt;=MONTH('01_Вводные'!$B$251),1,0)))</f>
        <v/>
      </c>
      <c r="W5" s="99">
        <f>(1-0+'01_Вводные'!$B$116)^(MAX(0,YEAR(W$3)-YEAR('01_Вводные'!$B$251)+IF(MONTH(W$3)&gt;=MONTH('01_Вводные'!$B$251),1,0)))</f>
        <v/>
      </c>
      <c r="X5" s="99">
        <f>(1-0+'01_Вводные'!$B$116)^(MAX(0,YEAR(X$3)-YEAR('01_Вводные'!$B$251)+IF(MONTH(X$3)&gt;=MONTH('01_Вводные'!$B$251),1,0)))</f>
        <v/>
      </c>
      <c r="Y5" s="99">
        <f>(1-0+'01_Вводные'!$B$116)^(MAX(0,YEAR(Y$3)-YEAR('01_Вводные'!$B$251)+IF(MONTH(Y$3)&gt;=MONTH('01_Вводные'!$B$251),1,0)))</f>
        <v/>
      </c>
      <c r="Z5" s="99">
        <f>(1-0+'01_Вводные'!$B$116)^(MAX(0,YEAR(Z$3)-YEAR('01_Вводные'!$B$251)+IF(MONTH(Z$3)&gt;=MONTH('01_Вводные'!$B$251),1,0)))</f>
        <v/>
      </c>
      <c r="AA5" s="99">
        <f>(1-0+'01_Вводные'!$B$116)^(MAX(0,YEAR(AA$3)-YEAR('01_Вводные'!$B$251)+IF(MONTH(AA$3)&gt;=MONTH('01_Вводные'!$B$251),1,0)))</f>
        <v/>
      </c>
      <c r="AB5" s="99">
        <f>(1-0+'01_Вводные'!$B$116)^(MAX(0,YEAR(AB$3)-YEAR('01_Вводные'!$B$251)+IF(MONTH(AB$3)&gt;=MONTH('01_Вводные'!$B$251),1,0)))</f>
        <v/>
      </c>
      <c r="AC5" s="99">
        <f>(1-0+'01_Вводные'!$B$116)^(MAX(0,YEAR(AC$3)-YEAR('01_Вводные'!$B$251)+IF(MONTH(AC$3)&gt;=MONTH('01_Вводные'!$B$251),1,0)))</f>
        <v/>
      </c>
      <c r="AD5" s="99">
        <f>(1-0+'01_Вводные'!$B$116)^(MAX(0,YEAR(AD$3)-YEAR('01_Вводные'!$B$251)+IF(MONTH(AD$3)&gt;=MONTH('01_Вводные'!$B$251),1,0)))</f>
        <v/>
      </c>
      <c r="AE5" s="99">
        <f>(1-0+'01_Вводные'!$B$116)^(MAX(0,YEAR(AE$3)-YEAR('01_Вводные'!$B$251)+IF(MONTH(AE$3)&gt;=MONTH('01_Вводные'!$B$251),1,0)))</f>
        <v/>
      </c>
      <c r="AF5" s="99">
        <f>(1-0+'01_Вводные'!$B$116)^(MAX(0,YEAR(AF$3)-YEAR('01_Вводные'!$B$251)+IF(MONTH(AF$3)&gt;=MONTH('01_Вводные'!$B$251),1,0)))</f>
        <v/>
      </c>
      <c r="AG5" s="99">
        <f>(1-0+'01_Вводные'!$B$116)^(MAX(0,YEAR(AG$3)-YEAR('01_Вводные'!$B$251)+IF(MONTH(AG$3)&gt;=MONTH('01_Вводные'!$B$251),1,0)))</f>
        <v/>
      </c>
      <c r="AH5" s="99">
        <f>(1-0+'01_Вводные'!$B$116)^(MAX(0,YEAR(AH$3)-YEAR('01_Вводные'!$B$251)+IF(MONTH(AH$3)&gt;=MONTH('01_Вводные'!$B$251),1,0)))</f>
        <v/>
      </c>
      <c r="AI5" s="99">
        <f>(1-0+'01_Вводные'!$B$116)^(MAX(0,YEAR(AI$3)-YEAR('01_Вводные'!$B$251)+IF(MONTH(AI$3)&gt;=MONTH('01_Вводные'!$B$251),1,0)))</f>
        <v/>
      </c>
      <c r="AJ5" s="99">
        <f>(1-0+'01_Вводные'!$B$116)^(MAX(0,YEAR(AJ$3)-YEAR('01_Вводные'!$B$251)+IF(MONTH(AJ$3)&gt;=MONTH('01_Вводные'!$B$251),1,0)))</f>
        <v/>
      </c>
      <c r="AK5" s="99">
        <f>(1-0+'01_Вводные'!$B$116)^(MAX(0,YEAR(AK$3)-YEAR('01_Вводные'!$B$251)+IF(MONTH(AK$3)&gt;=MONTH('01_Вводные'!$B$251),1,0)))</f>
        <v/>
      </c>
      <c r="AL5" s="99">
        <f>(1-0+'01_Вводные'!$B$116)^(MAX(0,YEAR(AL$3)-YEAR('01_Вводные'!$B$251)+IF(MONTH(AL$3)&gt;=MONTH('01_Вводные'!$B$251),1,0)))</f>
        <v/>
      </c>
      <c r="AM5" s="99">
        <f>(1-0+'01_Вводные'!$B$116)^(MAX(0,YEAR(AM$3)-YEAR('01_Вводные'!$B$251)+IF(MONTH(AM$3)&gt;=MONTH('01_Вводные'!$B$251),1,0)))</f>
        <v/>
      </c>
      <c r="AN5" s="99">
        <f>(1-0+'01_Вводные'!$B$116)^(MAX(0,YEAR(AN$3)-YEAR('01_Вводные'!$B$251)+IF(MONTH(AN$3)&gt;=MONTH('01_Вводные'!$B$251),1,0)))</f>
        <v/>
      </c>
      <c r="AO5" s="99">
        <f>(1-0+'01_Вводные'!$B$116)^(MAX(0,YEAR(AO$3)-YEAR('01_Вводные'!$B$251)+IF(MONTH(AO$3)&gt;=MONTH('01_Вводные'!$B$251),1,0)))</f>
        <v/>
      </c>
      <c r="AP5" s="99">
        <f>(1-0+'01_Вводные'!$B$116)^(MAX(0,YEAR(AP$3)-YEAR('01_Вводные'!$B$251)+IF(MONTH(AP$3)&gt;=MONTH('01_Вводные'!$B$251),1,0)))</f>
        <v/>
      </c>
      <c r="AQ5" s="99">
        <f>(1-0+'01_Вводные'!$B$116)^(MAX(0,YEAR(AQ$3)-YEAR('01_Вводные'!$B$251)+IF(MONTH(AQ$3)&gt;=MONTH('01_Вводные'!$B$251),1,0)))</f>
        <v/>
      </c>
      <c r="AR5" s="99">
        <f>(1-0+'01_Вводные'!$B$116)^(MAX(0,YEAR(AR$3)-YEAR('01_Вводные'!$B$251)+IF(MONTH(AR$3)&gt;=MONTH('01_Вводные'!$B$251),1,0)))</f>
        <v/>
      </c>
      <c r="AS5" s="99">
        <f>(1-0+'01_Вводные'!$B$116)^(MAX(0,YEAR(AS$3)-YEAR('01_Вводные'!$B$251)+IF(MONTH(AS$3)&gt;=MONTH('01_Вводные'!$B$251),1,0)))</f>
        <v/>
      </c>
      <c r="AT5" s="99">
        <f>(1-0+'01_Вводные'!$B$116)^(MAX(0,YEAR(AT$3)-YEAR('01_Вводные'!$B$251)+IF(MONTH(AT$3)&gt;=MONTH('01_Вводные'!$B$251),1,0)))</f>
        <v/>
      </c>
      <c r="AU5" s="99">
        <f>(1-0+'01_Вводные'!$B$116)^(MAX(0,YEAR(AU$3)-YEAR('01_Вводные'!$B$251)+IF(MONTH(AU$3)&gt;=MONTH('01_Вводные'!$B$251),1,0)))</f>
        <v/>
      </c>
      <c r="AV5" s="99">
        <f>(1-0+'01_Вводные'!$B$116)^(MAX(0,YEAR(AV$3)-YEAR('01_Вводные'!$B$251)+IF(MONTH(AV$3)&gt;=MONTH('01_Вводные'!$B$251),1,0)))</f>
        <v/>
      </c>
      <c r="AW5" s="99">
        <f>(1-0+'01_Вводные'!$B$116)^(MAX(0,YEAR(AW$3)-YEAR('01_Вводные'!$B$251)+IF(MONTH(AW$3)&gt;=MONTH('01_Вводные'!$B$251),1,0)))</f>
        <v/>
      </c>
      <c r="AX5" s="99">
        <f>(1-0+'01_Вводные'!$B$116)^(MAX(0,YEAR(AX$3)-YEAR('01_Вводные'!$B$251)+IF(MONTH(AX$3)&gt;=MONTH('01_Вводные'!$B$251),1,0)))</f>
        <v/>
      </c>
      <c r="AY5" s="99">
        <f>(1-0+'01_Вводные'!$B$116)^(MAX(0,YEAR(AY$3)-YEAR('01_Вводные'!$B$251)+IF(MONTH(AY$3)&gt;=MONTH('01_Вводные'!$B$251),1,0)))</f>
        <v/>
      </c>
      <c r="AZ5" s="99">
        <f>(1-0+'01_Вводные'!$B$116)^(MAX(0,YEAR(AZ$3)-YEAR('01_Вводные'!$B$251)+IF(MONTH(AZ$3)&gt;=MONTH('01_Вводные'!$B$251),1,0)))</f>
        <v/>
      </c>
      <c r="BA5" s="99">
        <f>(1-0+'01_Вводные'!$B$116)^(MAX(0,YEAR(BA$3)-YEAR('01_Вводные'!$B$251)+IF(MONTH(BA$3)&gt;=MONTH('01_Вводные'!$B$251),1,0)))</f>
        <v/>
      </c>
      <c r="BB5" s="99">
        <f>(1-0+'01_Вводные'!$B$116)^(MAX(0,YEAR(BB$3)-YEAR('01_Вводные'!$B$251)+IF(MONTH(BB$3)&gt;=MONTH('01_Вводные'!$B$251),1,0)))</f>
        <v/>
      </c>
      <c r="BC5" s="99">
        <f>(1-0+'01_Вводные'!$B$116)^(MAX(0,YEAR(BC$3)-YEAR('01_Вводные'!$B$251)+IF(MONTH(BC$3)&gt;=MONTH('01_Вводные'!$B$251),1,0)))</f>
        <v/>
      </c>
      <c r="BD5" s="99">
        <f>(1-0+'01_Вводные'!$B$116)^(MAX(0,YEAR(BD$3)-YEAR('01_Вводные'!$B$251)+IF(MONTH(BD$3)&gt;=MONTH('01_Вводные'!$B$251),1,0)))</f>
        <v/>
      </c>
      <c r="BE5" s="99">
        <f>(1-0+'01_Вводные'!$B$116)^(MAX(0,YEAR(BE$3)-YEAR('01_Вводные'!$B$251)+IF(MONTH(BE$3)&gt;=MONTH('01_Вводные'!$B$251),1,0)))</f>
        <v/>
      </c>
      <c r="BF5" s="99">
        <f>(1-0+'01_Вводные'!$B$116)^(MAX(0,YEAR(BF$3)-YEAR('01_Вводные'!$B$251)+IF(MONTH(BF$3)&gt;=MONTH('01_Вводные'!$B$251),1,0)))</f>
        <v/>
      </c>
      <c r="BG5" s="99">
        <f>(1-0+'01_Вводные'!$B$116)^(MAX(0,YEAR(BG$3)-YEAR('01_Вводные'!$B$251)+IF(MONTH(BG$3)&gt;=MONTH('01_Вводные'!$B$251),1,0)))</f>
        <v/>
      </c>
      <c r="BH5" s="99">
        <f>(1-0+'01_Вводные'!$B$116)^(MAX(0,YEAR(BH$3)-YEAR('01_Вводные'!$B$251)+IF(MONTH(BH$3)&gt;=MONTH('01_Вводные'!$B$251),1,0)))</f>
        <v/>
      </c>
      <c r="BI5" s="99">
        <f>(1-0+'01_Вводные'!$B$116)^(MAX(0,YEAR(BI$3)-YEAR('01_Вводные'!$B$251)+IF(MONTH(BI$3)&gt;=MONTH('01_Вводные'!$B$251),1,0)))</f>
        <v/>
      </c>
    </row>
    <row r="6" ht="20" customHeight="1">
      <c r="A6" s="4" t="inlineStr">
        <is>
          <t>Оклады</t>
        </is>
      </c>
    </row>
    <row r="7">
      <c r="A7" s="2" t="inlineStr">
        <is>
          <t>ФОТ ядра — gross</t>
        </is>
      </c>
      <c r="B7" s="95">
        <f>'01_Вводные'!$B$151*B5+B30</f>
        <v/>
      </c>
      <c r="C7" s="95">
        <f>'01_Вводные'!$B$151*C5+C30</f>
        <v/>
      </c>
      <c r="D7" s="95">
        <f>'01_Вводные'!$B$151*D5+D30</f>
        <v/>
      </c>
      <c r="E7" s="95">
        <f>'01_Вводные'!$B$151*E5+E30</f>
        <v/>
      </c>
      <c r="F7" s="95">
        <f>'01_Вводные'!$B$151*F5+F30</f>
        <v/>
      </c>
      <c r="G7" s="95">
        <f>'01_Вводные'!$B$151*G5+G30</f>
        <v/>
      </c>
      <c r="H7" s="95">
        <f>'01_Вводные'!$B$151*H5+H30</f>
        <v/>
      </c>
      <c r="I7" s="95">
        <f>'01_Вводные'!$B$151*I5+I30</f>
        <v/>
      </c>
      <c r="J7" s="95">
        <f>'01_Вводные'!$B$151*J5+J30</f>
        <v/>
      </c>
      <c r="K7" s="95">
        <f>'01_Вводные'!$B$151*K5+K30</f>
        <v/>
      </c>
      <c r="L7" s="95">
        <f>'01_Вводные'!$B$151*L5+L30</f>
        <v/>
      </c>
      <c r="M7" s="95">
        <f>'01_Вводные'!$B$151*M5+M30</f>
        <v/>
      </c>
      <c r="N7" s="95">
        <f>'01_Вводные'!$B$151*N5+N30</f>
        <v/>
      </c>
      <c r="O7" s="95">
        <f>'01_Вводные'!$B$151*O5+O30</f>
        <v/>
      </c>
      <c r="P7" s="95">
        <f>'01_Вводные'!$B$151*P5+P30</f>
        <v/>
      </c>
      <c r="Q7" s="95">
        <f>'01_Вводные'!$B$151*Q5+Q30</f>
        <v/>
      </c>
      <c r="R7" s="95">
        <f>'01_Вводные'!$B$151*R5+R30</f>
        <v/>
      </c>
      <c r="S7" s="95">
        <f>'01_Вводные'!$B$151*S5+S30</f>
        <v/>
      </c>
      <c r="T7" s="95">
        <f>'01_Вводные'!$B$151*T5+T30</f>
        <v/>
      </c>
      <c r="U7" s="95">
        <f>'01_Вводные'!$B$151*U5+U30</f>
        <v/>
      </c>
      <c r="V7" s="95">
        <f>'01_Вводные'!$B$151*V5+V30</f>
        <v/>
      </c>
      <c r="W7" s="95">
        <f>'01_Вводные'!$B$151*W5+W30</f>
        <v/>
      </c>
      <c r="X7" s="95">
        <f>'01_Вводные'!$B$151*X5+X30</f>
        <v/>
      </c>
      <c r="Y7" s="95">
        <f>'01_Вводные'!$B$151*Y5+Y30</f>
        <v/>
      </c>
      <c r="Z7" s="95">
        <f>'01_Вводные'!$B$151*Z5+Z30</f>
        <v/>
      </c>
      <c r="AA7" s="95">
        <f>'01_Вводные'!$B$151*AA5+AA30</f>
        <v/>
      </c>
      <c r="AB7" s="95">
        <f>'01_Вводные'!$B$151*AB5+AB30</f>
        <v/>
      </c>
      <c r="AC7" s="95">
        <f>'01_Вводные'!$B$151*AC5+AC30</f>
        <v/>
      </c>
      <c r="AD7" s="95">
        <f>'01_Вводные'!$B$151*AD5+AD30</f>
        <v/>
      </c>
      <c r="AE7" s="95">
        <f>'01_Вводные'!$B$151*AE5+AE30</f>
        <v/>
      </c>
      <c r="AF7" s="95">
        <f>'01_Вводные'!$B$151*AF5+AF30</f>
        <v/>
      </c>
      <c r="AG7" s="95">
        <f>'01_Вводные'!$B$151*AG5+AG30</f>
        <v/>
      </c>
      <c r="AH7" s="95">
        <f>'01_Вводные'!$B$151*AH5+AH30</f>
        <v/>
      </c>
      <c r="AI7" s="95">
        <f>'01_Вводные'!$B$151*AI5+AI30</f>
        <v/>
      </c>
      <c r="AJ7" s="95">
        <f>'01_Вводные'!$B$151*AJ5+AJ30</f>
        <v/>
      </c>
      <c r="AK7" s="95">
        <f>'01_Вводные'!$B$151*AK5+AK30</f>
        <v/>
      </c>
      <c r="AL7" s="95">
        <f>'01_Вводные'!$B$151*AL5+AL30</f>
        <v/>
      </c>
      <c r="AM7" s="95">
        <f>'01_Вводные'!$B$151*AM5+AM30</f>
        <v/>
      </c>
      <c r="AN7" s="95">
        <f>'01_Вводные'!$B$151*AN5+AN30</f>
        <v/>
      </c>
      <c r="AO7" s="95">
        <f>'01_Вводные'!$B$151*AO5+AO30</f>
        <v/>
      </c>
      <c r="AP7" s="95">
        <f>'01_Вводные'!$B$151*AP5+AP30</f>
        <v/>
      </c>
      <c r="AQ7" s="95">
        <f>'01_Вводные'!$B$151*AQ5+AQ30</f>
        <v/>
      </c>
      <c r="AR7" s="95">
        <f>'01_Вводные'!$B$151*AR5+AR30</f>
        <v/>
      </c>
      <c r="AS7" s="95">
        <f>'01_Вводные'!$B$151*AS5+AS30</f>
        <v/>
      </c>
      <c r="AT7" s="95">
        <f>'01_Вводные'!$B$151*AT5+AT30</f>
        <v/>
      </c>
      <c r="AU7" s="95">
        <f>'01_Вводные'!$B$151*AU5+AU30</f>
        <v/>
      </c>
      <c r="AV7" s="95">
        <f>'01_Вводные'!$B$151*AV5+AV30</f>
        <v/>
      </c>
      <c r="AW7" s="95">
        <f>'01_Вводные'!$B$151*AW5+AW30</f>
        <v/>
      </c>
      <c r="AX7" s="95">
        <f>'01_Вводные'!$B$151*AX5+AX30</f>
        <v/>
      </c>
      <c r="AY7" s="95">
        <f>'01_Вводные'!$B$151*AY5+AY30</f>
        <v/>
      </c>
      <c r="AZ7" s="95">
        <f>'01_Вводные'!$B$151*AZ5+AZ30</f>
        <v/>
      </c>
      <c r="BA7" s="95">
        <f>'01_Вводные'!$B$151*BA5+BA30</f>
        <v/>
      </c>
      <c r="BB7" s="95">
        <f>'01_Вводные'!$B$151*BB5+BB30</f>
        <v/>
      </c>
      <c r="BC7" s="95">
        <f>'01_Вводные'!$B$151*BC5+BC30</f>
        <v/>
      </c>
      <c r="BD7" s="95">
        <f>'01_Вводные'!$B$151*BD5+BD30</f>
        <v/>
      </c>
      <c r="BE7" s="95">
        <f>'01_Вводные'!$B$151*BE5+BE30</f>
        <v/>
      </c>
      <c r="BF7" s="95">
        <f>'01_Вводные'!$B$151*BF5+BF30</f>
        <v/>
      </c>
      <c r="BG7" s="95">
        <f>'01_Вводные'!$B$151*BG5+BG30</f>
        <v/>
      </c>
      <c r="BH7" s="95">
        <f>'01_Вводные'!$B$151*BH5+BH30</f>
        <v/>
      </c>
      <c r="BI7" s="95">
        <f>'01_Вводные'!$B$151*BI5+BI30</f>
        <v/>
      </c>
    </row>
    <row r="8">
      <c r="A8" s="2" t="inlineStr">
        <is>
          <t>Офис-менеджер gross</t>
        </is>
      </c>
      <c r="B8" s="95">
        <f>IF(B$3&gt;='01_Вводные'!$B$247,'01_Вводные'!$B$133/'01_Вводные'!$B$132*B5,0)</f>
        <v/>
      </c>
      <c r="C8" s="95">
        <f>IF(C$3&gt;='01_Вводные'!$B$247,'01_Вводные'!$B$133/'01_Вводные'!$B$132*C5,0)</f>
        <v/>
      </c>
      <c r="D8" s="95">
        <f>IF(D$3&gt;='01_Вводные'!$B$247,'01_Вводные'!$B$133/'01_Вводные'!$B$132*D5,0)</f>
        <v/>
      </c>
      <c r="E8" s="95">
        <f>IF(E$3&gt;='01_Вводные'!$B$247,'01_Вводные'!$B$133/'01_Вводные'!$B$132*E5,0)</f>
        <v/>
      </c>
      <c r="F8" s="95">
        <f>IF(F$3&gt;='01_Вводные'!$B$247,'01_Вводные'!$B$133/'01_Вводные'!$B$132*F5,0)</f>
        <v/>
      </c>
      <c r="G8" s="95">
        <f>IF(G$3&gt;='01_Вводные'!$B$247,'01_Вводные'!$B$133/'01_Вводные'!$B$132*G5,0)</f>
        <v/>
      </c>
      <c r="H8" s="95">
        <f>IF(H$3&gt;='01_Вводные'!$B$247,'01_Вводные'!$B$133/'01_Вводные'!$B$132*H5,0)</f>
        <v/>
      </c>
      <c r="I8" s="95">
        <f>IF(I$3&gt;='01_Вводные'!$B$247,'01_Вводные'!$B$133/'01_Вводные'!$B$132*I5,0)</f>
        <v/>
      </c>
      <c r="J8" s="95">
        <f>IF(J$3&gt;='01_Вводные'!$B$247,'01_Вводные'!$B$133/'01_Вводные'!$B$132*J5,0)</f>
        <v/>
      </c>
      <c r="K8" s="95">
        <f>IF(K$3&gt;='01_Вводные'!$B$247,'01_Вводные'!$B$133/'01_Вводные'!$B$132*K5,0)</f>
        <v/>
      </c>
      <c r="L8" s="95">
        <f>IF(L$3&gt;='01_Вводные'!$B$247,'01_Вводные'!$B$133/'01_Вводные'!$B$132*L5,0)</f>
        <v/>
      </c>
      <c r="M8" s="95">
        <f>IF(M$3&gt;='01_Вводные'!$B$247,'01_Вводные'!$B$133/'01_Вводные'!$B$132*M5,0)</f>
        <v/>
      </c>
      <c r="N8" s="95">
        <f>IF(N$3&gt;='01_Вводные'!$B$247,'01_Вводные'!$B$133/'01_Вводные'!$B$132*N5,0)</f>
        <v/>
      </c>
      <c r="O8" s="95">
        <f>IF(O$3&gt;='01_Вводные'!$B$247,'01_Вводные'!$B$133/'01_Вводные'!$B$132*O5,0)</f>
        <v/>
      </c>
      <c r="P8" s="95">
        <f>IF(P$3&gt;='01_Вводные'!$B$247,'01_Вводные'!$B$133/'01_Вводные'!$B$132*P5,0)</f>
        <v/>
      </c>
      <c r="Q8" s="95">
        <f>IF(Q$3&gt;='01_Вводные'!$B$247,'01_Вводные'!$B$133/'01_Вводные'!$B$132*Q5,0)</f>
        <v/>
      </c>
      <c r="R8" s="95">
        <f>IF(R$3&gt;='01_Вводные'!$B$247,'01_Вводные'!$B$133/'01_Вводные'!$B$132*R5,0)</f>
        <v/>
      </c>
      <c r="S8" s="95">
        <f>IF(S$3&gt;='01_Вводные'!$B$247,'01_Вводные'!$B$133/'01_Вводные'!$B$132*S5,0)</f>
        <v/>
      </c>
      <c r="T8" s="95">
        <f>IF(T$3&gt;='01_Вводные'!$B$247,'01_Вводные'!$B$133/'01_Вводные'!$B$132*T5,0)</f>
        <v/>
      </c>
      <c r="U8" s="95">
        <f>IF(U$3&gt;='01_Вводные'!$B$247,'01_Вводные'!$B$133/'01_Вводные'!$B$132*U5,0)</f>
        <v/>
      </c>
      <c r="V8" s="95">
        <f>IF(V$3&gt;='01_Вводные'!$B$247,'01_Вводные'!$B$133/'01_Вводные'!$B$132*V5,0)</f>
        <v/>
      </c>
      <c r="W8" s="95">
        <f>IF(W$3&gt;='01_Вводные'!$B$247,'01_Вводные'!$B$133/'01_Вводные'!$B$132*W5,0)</f>
        <v/>
      </c>
      <c r="X8" s="95">
        <f>IF(X$3&gt;='01_Вводные'!$B$247,'01_Вводные'!$B$133/'01_Вводные'!$B$132*X5,0)</f>
        <v/>
      </c>
      <c r="Y8" s="95">
        <f>IF(Y$3&gt;='01_Вводные'!$B$247,'01_Вводные'!$B$133/'01_Вводные'!$B$132*Y5,0)</f>
        <v/>
      </c>
      <c r="Z8" s="95">
        <f>IF(Z$3&gt;='01_Вводные'!$B$247,'01_Вводные'!$B$133/'01_Вводные'!$B$132*Z5,0)</f>
        <v/>
      </c>
      <c r="AA8" s="95">
        <f>IF(AA$3&gt;='01_Вводные'!$B$247,'01_Вводные'!$B$133/'01_Вводные'!$B$132*AA5,0)</f>
        <v/>
      </c>
      <c r="AB8" s="95">
        <f>IF(AB$3&gt;='01_Вводные'!$B$247,'01_Вводные'!$B$133/'01_Вводные'!$B$132*AB5,0)</f>
        <v/>
      </c>
      <c r="AC8" s="95">
        <f>IF(AC$3&gt;='01_Вводные'!$B$247,'01_Вводные'!$B$133/'01_Вводные'!$B$132*AC5,0)</f>
        <v/>
      </c>
      <c r="AD8" s="95">
        <f>IF(AD$3&gt;='01_Вводные'!$B$247,'01_Вводные'!$B$133/'01_Вводные'!$B$132*AD5,0)</f>
        <v/>
      </c>
      <c r="AE8" s="95">
        <f>IF(AE$3&gt;='01_Вводные'!$B$247,'01_Вводные'!$B$133/'01_Вводные'!$B$132*AE5,0)</f>
        <v/>
      </c>
      <c r="AF8" s="95">
        <f>IF(AF$3&gt;='01_Вводные'!$B$247,'01_Вводные'!$B$133/'01_Вводные'!$B$132*AF5,0)</f>
        <v/>
      </c>
      <c r="AG8" s="95">
        <f>IF(AG$3&gt;='01_Вводные'!$B$247,'01_Вводные'!$B$133/'01_Вводные'!$B$132*AG5,0)</f>
        <v/>
      </c>
      <c r="AH8" s="95">
        <f>IF(AH$3&gt;='01_Вводные'!$B$247,'01_Вводные'!$B$133/'01_Вводные'!$B$132*AH5,0)</f>
        <v/>
      </c>
      <c r="AI8" s="95">
        <f>IF(AI$3&gt;='01_Вводные'!$B$247,'01_Вводные'!$B$133/'01_Вводные'!$B$132*AI5,0)</f>
        <v/>
      </c>
      <c r="AJ8" s="95">
        <f>IF(AJ$3&gt;='01_Вводные'!$B$247,'01_Вводные'!$B$133/'01_Вводные'!$B$132*AJ5,0)</f>
        <v/>
      </c>
      <c r="AK8" s="95">
        <f>IF(AK$3&gt;='01_Вводные'!$B$247,'01_Вводные'!$B$133/'01_Вводные'!$B$132*AK5,0)</f>
        <v/>
      </c>
      <c r="AL8" s="95">
        <f>IF(AL$3&gt;='01_Вводные'!$B$247,'01_Вводные'!$B$133/'01_Вводные'!$B$132*AL5,0)</f>
        <v/>
      </c>
      <c r="AM8" s="95">
        <f>IF(AM$3&gt;='01_Вводные'!$B$247,'01_Вводные'!$B$133/'01_Вводные'!$B$132*AM5,0)</f>
        <v/>
      </c>
      <c r="AN8" s="95">
        <f>IF(AN$3&gt;='01_Вводные'!$B$247,'01_Вводные'!$B$133/'01_Вводные'!$B$132*AN5,0)</f>
        <v/>
      </c>
      <c r="AO8" s="95">
        <f>IF(AO$3&gt;='01_Вводные'!$B$247,'01_Вводные'!$B$133/'01_Вводные'!$B$132*AO5,0)</f>
        <v/>
      </c>
      <c r="AP8" s="95">
        <f>IF(AP$3&gt;='01_Вводные'!$B$247,'01_Вводные'!$B$133/'01_Вводные'!$B$132*AP5,0)</f>
        <v/>
      </c>
      <c r="AQ8" s="95">
        <f>IF(AQ$3&gt;='01_Вводные'!$B$247,'01_Вводные'!$B$133/'01_Вводные'!$B$132*AQ5,0)</f>
        <v/>
      </c>
      <c r="AR8" s="95">
        <f>IF(AR$3&gt;='01_Вводные'!$B$247,'01_Вводные'!$B$133/'01_Вводные'!$B$132*AR5,0)</f>
        <v/>
      </c>
      <c r="AS8" s="95">
        <f>IF(AS$3&gt;='01_Вводные'!$B$247,'01_Вводные'!$B$133/'01_Вводные'!$B$132*AS5,0)</f>
        <v/>
      </c>
      <c r="AT8" s="95">
        <f>IF(AT$3&gt;='01_Вводные'!$B$247,'01_Вводные'!$B$133/'01_Вводные'!$B$132*AT5,0)</f>
        <v/>
      </c>
      <c r="AU8" s="95">
        <f>IF(AU$3&gt;='01_Вводные'!$B$247,'01_Вводные'!$B$133/'01_Вводные'!$B$132*AU5,0)</f>
        <v/>
      </c>
      <c r="AV8" s="95">
        <f>IF(AV$3&gt;='01_Вводные'!$B$247,'01_Вводные'!$B$133/'01_Вводные'!$B$132*AV5,0)</f>
        <v/>
      </c>
      <c r="AW8" s="95">
        <f>IF(AW$3&gt;='01_Вводные'!$B$247,'01_Вводные'!$B$133/'01_Вводные'!$B$132*AW5,0)</f>
        <v/>
      </c>
      <c r="AX8" s="95">
        <f>IF(AX$3&gt;='01_Вводные'!$B$247,'01_Вводные'!$B$133/'01_Вводные'!$B$132*AX5,0)</f>
        <v/>
      </c>
      <c r="AY8" s="95">
        <f>IF(AY$3&gt;='01_Вводные'!$B$247,'01_Вводные'!$B$133/'01_Вводные'!$B$132*AY5,0)</f>
        <v/>
      </c>
      <c r="AZ8" s="95">
        <f>IF(AZ$3&gt;='01_Вводные'!$B$247,'01_Вводные'!$B$133/'01_Вводные'!$B$132*AZ5,0)</f>
        <v/>
      </c>
      <c r="BA8" s="95">
        <f>IF(BA$3&gt;='01_Вводные'!$B$247,'01_Вводные'!$B$133/'01_Вводные'!$B$132*BA5,0)</f>
        <v/>
      </c>
      <c r="BB8" s="95">
        <f>IF(BB$3&gt;='01_Вводные'!$B$247,'01_Вводные'!$B$133/'01_Вводные'!$B$132*BB5,0)</f>
        <v/>
      </c>
      <c r="BC8" s="95">
        <f>IF(BC$3&gt;='01_Вводные'!$B$247,'01_Вводные'!$B$133/'01_Вводные'!$B$132*BC5,0)</f>
        <v/>
      </c>
      <c r="BD8" s="95">
        <f>IF(BD$3&gt;='01_Вводные'!$B$247,'01_Вводные'!$B$133/'01_Вводные'!$B$132*BD5,0)</f>
        <v/>
      </c>
      <c r="BE8" s="95">
        <f>IF(BE$3&gt;='01_Вводные'!$B$247,'01_Вводные'!$B$133/'01_Вводные'!$B$132*BE5,0)</f>
        <v/>
      </c>
      <c r="BF8" s="95">
        <f>IF(BF$3&gt;='01_Вводные'!$B$247,'01_Вводные'!$B$133/'01_Вводные'!$B$132*BF5,0)</f>
        <v/>
      </c>
      <c r="BG8" s="95">
        <f>IF(BG$3&gt;='01_Вводные'!$B$247,'01_Вводные'!$B$133/'01_Вводные'!$B$132*BG5,0)</f>
        <v/>
      </c>
      <c r="BH8" s="95">
        <f>IF(BH$3&gt;='01_Вводные'!$B$247,'01_Вводные'!$B$133/'01_Вводные'!$B$132*BH5,0)</f>
        <v/>
      </c>
      <c r="BI8" s="95">
        <f>IF(BI$3&gt;='01_Вводные'!$B$247,'01_Вводные'!$B$133/'01_Вводные'!$B$132*BI5,0)</f>
        <v/>
      </c>
    </row>
    <row r="9">
      <c r="A9" s="2" t="inlineStr">
        <is>
          <t>SMM gross</t>
        </is>
      </c>
      <c r="B9" s="95">
        <f>IF(B$3&gt;='01_Вводные'!$B$248,'01_Вводные'!$B$134/'01_Вводные'!$B$132*(1+'01_Вводные'!$B$116)^MAX(0,YEAR(B$3)-YEAR('01_Вводные'!$B$248)+IF(MONTH(B$3)&gt;=9,1,0)-IF(MONTH('01_Вводные'!$B$248)&gt;=9,1,0)),0)</f>
        <v/>
      </c>
      <c r="C9" s="95">
        <f>IF(C$3&gt;='01_Вводные'!$B$248,'01_Вводные'!$B$134/'01_Вводные'!$B$132*(1+'01_Вводные'!$B$116)^MAX(0,YEAR(C$3)-YEAR('01_Вводные'!$B$248)+IF(MONTH(C$3)&gt;=9,1,0)-IF(MONTH('01_Вводные'!$B$248)&gt;=9,1,0)),0)</f>
        <v/>
      </c>
      <c r="D9" s="95">
        <f>IF(D$3&gt;='01_Вводные'!$B$248,'01_Вводные'!$B$134/'01_Вводные'!$B$132*(1+'01_Вводные'!$B$116)^MAX(0,YEAR(D$3)-YEAR('01_Вводные'!$B$248)+IF(MONTH(D$3)&gt;=9,1,0)-IF(MONTH('01_Вводные'!$B$248)&gt;=9,1,0)),0)</f>
        <v/>
      </c>
      <c r="E9" s="95">
        <f>IF(E$3&gt;='01_Вводные'!$B$248,'01_Вводные'!$B$134/'01_Вводные'!$B$132*(1+'01_Вводные'!$B$116)^MAX(0,YEAR(E$3)-YEAR('01_Вводные'!$B$248)+IF(MONTH(E$3)&gt;=9,1,0)-IF(MONTH('01_Вводные'!$B$248)&gt;=9,1,0)),0)</f>
        <v/>
      </c>
      <c r="F9" s="95">
        <f>IF(F$3&gt;='01_Вводные'!$B$248,'01_Вводные'!$B$134/'01_Вводные'!$B$132*(1+'01_Вводные'!$B$116)^MAX(0,YEAR(F$3)-YEAR('01_Вводные'!$B$248)+IF(MONTH(F$3)&gt;=9,1,0)-IF(MONTH('01_Вводные'!$B$248)&gt;=9,1,0)),0)</f>
        <v/>
      </c>
      <c r="G9" s="95">
        <f>IF(G$3&gt;='01_Вводные'!$B$248,'01_Вводные'!$B$134/'01_Вводные'!$B$132*(1+'01_Вводные'!$B$116)^MAX(0,YEAR(G$3)-YEAR('01_Вводные'!$B$248)+IF(MONTH(G$3)&gt;=9,1,0)-IF(MONTH('01_Вводные'!$B$248)&gt;=9,1,0)),0)</f>
        <v/>
      </c>
      <c r="H9" s="95">
        <f>IF(H$3&gt;='01_Вводные'!$B$248,'01_Вводные'!$B$134/'01_Вводные'!$B$132*(1+'01_Вводные'!$B$116)^MAX(0,YEAR(H$3)-YEAR('01_Вводные'!$B$248)+IF(MONTH(H$3)&gt;=9,1,0)-IF(MONTH('01_Вводные'!$B$248)&gt;=9,1,0)),0)</f>
        <v/>
      </c>
      <c r="I9" s="95">
        <f>IF(I$3&gt;='01_Вводные'!$B$248,'01_Вводные'!$B$134/'01_Вводные'!$B$132*(1+'01_Вводные'!$B$116)^MAX(0,YEAR(I$3)-YEAR('01_Вводные'!$B$248)+IF(MONTH(I$3)&gt;=9,1,0)-IF(MONTH('01_Вводные'!$B$248)&gt;=9,1,0)),0)</f>
        <v/>
      </c>
      <c r="J9" s="95">
        <f>IF(J$3&gt;='01_Вводные'!$B$248,'01_Вводные'!$B$134/'01_Вводные'!$B$132*(1+'01_Вводные'!$B$116)^MAX(0,YEAR(J$3)-YEAR('01_Вводные'!$B$248)+IF(MONTH(J$3)&gt;=9,1,0)-IF(MONTH('01_Вводные'!$B$248)&gt;=9,1,0)),0)</f>
        <v/>
      </c>
      <c r="K9" s="95">
        <f>IF(K$3&gt;='01_Вводные'!$B$248,'01_Вводные'!$B$134/'01_Вводные'!$B$132*(1+'01_Вводные'!$B$116)^MAX(0,YEAR(K$3)-YEAR('01_Вводные'!$B$248)+IF(MONTH(K$3)&gt;=9,1,0)-IF(MONTH('01_Вводные'!$B$248)&gt;=9,1,0)),0)</f>
        <v/>
      </c>
      <c r="L9" s="95">
        <f>IF(L$3&gt;='01_Вводные'!$B$248,'01_Вводные'!$B$134/'01_Вводные'!$B$132*(1+'01_Вводные'!$B$116)^MAX(0,YEAR(L$3)-YEAR('01_Вводные'!$B$248)+IF(MONTH(L$3)&gt;=9,1,0)-IF(MONTH('01_Вводные'!$B$248)&gt;=9,1,0)),0)</f>
        <v/>
      </c>
      <c r="M9" s="95">
        <f>IF(M$3&gt;='01_Вводные'!$B$248,'01_Вводные'!$B$134/'01_Вводные'!$B$132*(1+'01_Вводные'!$B$116)^MAX(0,YEAR(M$3)-YEAR('01_Вводные'!$B$248)+IF(MONTH(M$3)&gt;=9,1,0)-IF(MONTH('01_Вводные'!$B$248)&gt;=9,1,0)),0)</f>
        <v/>
      </c>
      <c r="N9" s="95">
        <f>IF(N$3&gt;='01_Вводные'!$B$248,'01_Вводные'!$B$134/'01_Вводные'!$B$132*(1+'01_Вводные'!$B$116)^MAX(0,YEAR(N$3)-YEAR('01_Вводные'!$B$248)+IF(MONTH(N$3)&gt;=9,1,0)-IF(MONTH('01_Вводные'!$B$248)&gt;=9,1,0)),0)</f>
        <v/>
      </c>
      <c r="O9" s="95">
        <f>IF(O$3&gt;='01_Вводные'!$B$248,'01_Вводные'!$B$134/'01_Вводные'!$B$132*(1+'01_Вводные'!$B$116)^MAX(0,YEAR(O$3)-YEAR('01_Вводные'!$B$248)+IF(MONTH(O$3)&gt;=9,1,0)-IF(MONTH('01_Вводные'!$B$248)&gt;=9,1,0)),0)</f>
        <v/>
      </c>
      <c r="P9" s="95">
        <f>IF(P$3&gt;='01_Вводные'!$B$248,'01_Вводные'!$B$134/'01_Вводные'!$B$132*(1+'01_Вводные'!$B$116)^MAX(0,YEAR(P$3)-YEAR('01_Вводные'!$B$248)+IF(MONTH(P$3)&gt;=9,1,0)-IF(MONTH('01_Вводные'!$B$248)&gt;=9,1,0)),0)</f>
        <v/>
      </c>
      <c r="Q9" s="95">
        <f>IF(Q$3&gt;='01_Вводные'!$B$248,'01_Вводные'!$B$134/'01_Вводные'!$B$132*(1+'01_Вводные'!$B$116)^MAX(0,YEAR(Q$3)-YEAR('01_Вводные'!$B$248)+IF(MONTH(Q$3)&gt;=9,1,0)-IF(MONTH('01_Вводные'!$B$248)&gt;=9,1,0)),0)</f>
        <v/>
      </c>
      <c r="R9" s="95">
        <f>IF(R$3&gt;='01_Вводные'!$B$248,'01_Вводные'!$B$134/'01_Вводные'!$B$132*(1+'01_Вводные'!$B$116)^MAX(0,YEAR(R$3)-YEAR('01_Вводные'!$B$248)+IF(MONTH(R$3)&gt;=9,1,0)-IF(MONTH('01_Вводные'!$B$248)&gt;=9,1,0)),0)</f>
        <v/>
      </c>
      <c r="S9" s="95">
        <f>IF(S$3&gt;='01_Вводные'!$B$248,'01_Вводные'!$B$134/'01_Вводные'!$B$132*(1+'01_Вводные'!$B$116)^MAX(0,YEAR(S$3)-YEAR('01_Вводные'!$B$248)+IF(MONTH(S$3)&gt;=9,1,0)-IF(MONTH('01_Вводные'!$B$248)&gt;=9,1,0)),0)</f>
        <v/>
      </c>
      <c r="T9" s="95">
        <f>IF(T$3&gt;='01_Вводные'!$B$248,'01_Вводные'!$B$134/'01_Вводные'!$B$132*(1+'01_Вводные'!$B$116)^MAX(0,YEAR(T$3)-YEAR('01_Вводные'!$B$248)+IF(MONTH(T$3)&gt;=9,1,0)-IF(MONTH('01_Вводные'!$B$248)&gt;=9,1,0)),0)</f>
        <v/>
      </c>
      <c r="U9" s="95">
        <f>IF(U$3&gt;='01_Вводные'!$B$248,'01_Вводные'!$B$134/'01_Вводные'!$B$132*(1+'01_Вводные'!$B$116)^MAX(0,YEAR(U$3)-YEAR('01_Вводные'!$B$248)+IF(MONTH(U$3)&gt;=9,1,0)-IF(MONTH('01_Вводные'!$B$248)&gt;=9,1,0)),0)</f>
        <v/>
      </c>
      <c r="V9" s="95">
        <f>IF(V$3&gt;='01_Вводные'!$B$248,'01_Вводные'!$B$134/'01_Вводные'!$B$132*(1+'01_Вводные'!$B$116)^MAX(0,YEAR(V$3)-YEAR('01_Вводные'!$B$248)+IF(MONTH(V$3)&gt;=9,1,0)-IF(MONTH('01_Вводные'!$B$248)&gt;=9,1,0)),0)</f>
        <v/>
      </c>
      <c r="W9" s="95">
        <f>IF(W$3&gt;='01_Вводные'!$B$248,'01_Вводные'!$B$134/'01_Вводные'!$B$132*(1+'01_Вводные'!$B$116)^MAX(0,YEAR(W$3)-YEAR('01_Вводные'!$B$248)+IF(MONTH(W$3)&gt;=9,1,0)-IF(MONTH('01_Вводные'!$B$248)&gt;=9,1,0)),0)</f>
        <v/>
      </c>
      <c r="X9" s="95">
        <f>IF(X$3&gt;='01_Вводные'!$B$248,'01_Вводные'!$B$134/'01_Вводные'!$B$132*(1+'01_Вводные'!$B$116)^MAX(0,YEAR(X$3)-YEAR('01_Вводные'!$B$248)+IF(MONTH(X$3)&gt;=9,1,0)-IF(MONTH('01_Вводные'!$B$248)&gt;=9,1,0)),0)</f>
        <v/>
      </c>
      <c r="Y9" s="95">
        <f>IF(Y$3&gt;='01_Вводные'!$B$248,'01_Вводные'!$B$134/'01_Вводные'!$B$132*(1+'01_Вводные'!$B$116)^MAX(0,YEAR(Y$3)-YEAR('01_Вводные'!$B$248)+IF(MONTH(Y$3)&gt;=9,1,0)-IF(MONTH('01_Вводные'!$B$248)&gt;=9,1,0)),0)</f>
        <v/>
      </c>
      <c r="Z9" s="95">
        <f>IF(Z$3&gt;='01_Вводные'!$B$248,'01_Вводные'!$B$134/'01_Вводные'!$B$132*(1+'01_Вводные'!$B$116)^MAX(0,YEAR(Z$3)-YEAR('01_Вводные'!$B$248)+IF(MONTH(Z$3)&gt;=9,1,0)-IF(MONTH('01_Вводные'!$B$248)&gt;=9,1,0)),0)</f>
        <v/>
      </c>
      <c r="AA9" s="95">
        <f>IF(AA$3&gt;='01_Вводные'!$B$248,'01_Вводные'!$B$134/'01_Вводные'!$B$132*(1+'01_Вводные'!$B$116)^MAX(0,YEAR(AA$3)-YEAR('01_Вводные'!$B$248)+IF(MONTH(AA$3)&gt;=9,1,0)-IF(MONTH('01_Вводные'!$B$248)&gt;=9,1,0)),0)</f>
        <v/>
      </c>
      <c r="AB9" s="95">
        <f>IF(AB$3&gt;='01_Вводные'!$B$248,'01_Вводные'!$B$134/'01_Вводные'!$B$132*(1+'01_Вводные'!$B$116)^MAX(0,YEAR(AB$3)-YEAR('01_Вводные'!$B$248)+IF(MONTH(AB$3)&gt;=9,1,0)-IF(MONTH('01_Вводные'!$B$248)&gt;=9,1,0)),0)</f>
        <v/>
      </c>
      <c r="AC9" s="95">
        <f>IF(AC$3&gt;='01_Вводные'!$B$248,'01_Вводные'!$B$134/'01_Вводные'!$B$132*(1+'01_Вводные'!$B$116)^MAX(0,YEAR(AC$3)-YEAR('01_Вводные'!$B$248)+IF(MONTH(AC$3)&gt;=9,1,0)-IF(MONTH('01_Вводные'!$B$248)&gt;=9,1,0)),0)</f>
        <v/>
      </c>
      <c r="AD9" s="95">
        <f>IF(AD$3&gt;='01_Вводные'!$B$248,'01_Вводные'!$B$134/'01_Вводные'!$B$132*(1+'01_Вводные'!$B$116)^MAX(0,YEAR(AD$3)-YEAR('01_Вводные'!$B$248)+IF(MONTH(AD$3)&gt;=9,1,0)-IF(MONTH('01_Вводные'!$B$248)&gt;=9,1,0)),0)</f>
        <v/>
      </c>
      <c r="AE9" s="95">
        <f>IF(AE$3&gt;='01_Вводные'!$B$248,'01_Вводные'!$B$134/'01_Вводные'!$B$132*(1+'01_Вводные'!$B$116)^MAX(0,YEAR(AE$3)-YEAR('01_Вводные'!$B$248)+IF(MONTH(AE$3)&gt;=9,1,0)-IF(MONTH('01_Вводные'!$B$248)&gt;=9,1,0)),0)</f>
        <v/>
      </c>
      <c r="AF9" s="95">
        <f>IF(AF$3&gt;='01_Вводные'!$B$248,'01_Вводные'!$B$134/'01_Вводные'!$B$132*(1+'01_Вводные'!$B$116)^MAX(0,YEAR(AF$3)-YEAR('01_Вводные'!$B$248)+IF(MONTH(AF$3)&gt;=9,1,0)-IF(MONTH('01_Вводные'!$B$248)&gt;=9,1,0)),0)</f>
        <v/>
      </c>
      <c r="AG9" s="95">
        <f>IF(AG$3&gt;='01_Вводные'!$B$248,'01_Вводные'!$B$134/'01_Вводные'!$B$132*(1+'01_Вводные'!$B$116)^MAX(0,YEAR(AG$3)-YEAR('01_Вводные'!$B$248)+IF(MONTH(AG$3)&gt;=9,1,0)-IF(MONTH('01_Вводные'!$B$248)&gt;=9,1,0)),0)</f>
        <v/>
      </c>
      <c r="AH9" s="95">
        <f>IF(AH$3&gt;='01_Вводные'!$B$248,'01_Вводные'!$B$134/'01_Вводные'!$B$132*(1+'01_Вводные'!$B$116)^MAX(0,YEAR(AH$3)-YEAR('01_Вводные'!$B$248)+IF(MONTH(AH$3)&gt;=9,1,0)-IF(MONTH('01_Вводные'!$B$248)&gt;=9,1,0)),0)</f>
        <v/>
      </c>
      <c r="AI9" s="95">
        <f>IF(AI$3&gt;='01_Вводные'!$B$248,'01_Вводные'!$B$134/'01_Вводные'!$B$132*(1+'01_Вводные'!$B$116)^MAX(0,YEAR(AI$3)-YEAR('01_Вводные'!$B$248)+IF(MONTH(AI$3)&gt;=9,1,0)-IF(MONTH('01_Вводные'!$B$248)&gt;=9,1,0)),0)</f>
        <v/>
      </c>
      <c r="AJ9" s="95">
        <f>IF(AJ$3&gt;='01_Вводные'!$B$248,'01_Вводные'!$B$134/'01_Вводные'!$B$132*(1+'01_Вводные'!$B$116)^MAX(0,YEAR(AJ$3)-YEAR('01_Вводные'!$B$248)+IF(MONTH(AJ$3)&gt;=9,1,0)-IF(MONTH('01_Вводные'!$B$248)&gt;=9,1,0)),0)</f>
        <v/>
      </c>
      <c r="AK9" s="95">
        <f>IF(AK$3&gt;='01_Вводные'!$B$248,'01_Вводные'!$B$134/'01_Вводные'!$B$132*(1+'01_Вводные'!$B$116)^MAX(0,YEAR(AK$3)-YEAR('01_Вводные'!$B$248)+IF(MONTH(AK$3)&gt;=9,1,0)-IF(MONTH('01_Вводные'!$B$248)&gt;=9,1,0)),0)</f>
        <v/>
      </c>
      <c r="AL9" s="95">
        <f>IF(AL$3&gt;='01_Вводные'!$B$248,'01_Вводные'!$B$134/'01_Вводные'!$B$132*(1+'01_Вводные'!$B$116)^MAX(0,YEAR(AL$3)-YEAR('01_Вводные'!$B$248)+IF(MONTH(AL$3)&gt;=9,1,0)-IF(MONTH('01_Вводные'!$B$248)&gt;=9,1,0)),0)</f>
        <v/>
      </c>
      <c r="AM9" s="95">
        <f>IF(AM$3&gt;='01_Вводные'!$B$248,'01_Вводные'!$B$134/'01_Вводные'!$B$132*(1+'01_Вводные'!$B$116)^MAX(0,YEAR(AM$3)-YEAR('01_Вводные'!$B$248)+IF(MONTH(AM$3)&gt;=9,1,0)-IF(MONTH('01_Вводные'!$B$248)&gt;=9,1,0)),0)</f>
        <v/>
      </c>
      <c r="AN9" s="95">
        <f>IF(AN$3&gt;='01_Вводные'!$B$248,'01_Вводные'!$B$134/'01_Вводные'!$B$132*(1+'01_Вводные'!$B$116)^MAX(0,YEAR(AN$3)-YEAR('01_Вводные'!$B$248)+IF(MONTH(AN$3)&gt;=9,1,0)-IF(MONTH('01_Вводные'!$B$248)&gt;=9,1,0)),0)</f>
        <v/>
      </c>
      <c r="AO9" s="95">
        <f>IF(AO$3&gt;='01_Вводные'!$B$248,'01_Вводные'!$B$134/'01_Вводные'!$B$132*(1+'01_Вводные'!$B$116)^MAX(0,YEAR(AO$3)-YEAR('01_Вводные'!$B$248)+IF(MONTH(AO$3)&gt;=9,1,0)-IF(MONTH('01_Вводные'!$B$248)&gt;=9,1,0)),0)</f>
        <v/>
      </c>
      <c r="AP9" s="95">
        <f>IF(AP$3&gt;='01_Вводные'!$B$248,'01_Вводные'!$B$134/'01_Вводные'!$B$132*(1+'01_Вводные'!$B$116)^MAX(0,YEAR(AP$3)-YEAR('01_Вводные'!$B$248)+IF(MONTH(AP$3)&gt;=9,1,0)-IF(MONTH('01_Вводные'!$B$248)&gt;=9,1,0)),0)</f>
        <v/>
      </c>
      <c r="AQ9" s="95">
        <f>IF(AQ$3&gt;='01_Вводные'!$B$248,'01_Вводные'!$B$134/'01_Вводные'!$B$132*(1+'01_Вводные'!$B$116)^MAX(0,YEAR(AQ$3)-YEAR('01_Вводные'!$B$248)+IF(MONTH(AQ$3)&gt;=9,1,0)-IF(MONTH('01_Вводные'!$B$248)&gt;=9,1,0)),0)</f>
        <v/>
      </c>
      <c r="AR9" s="95">
        <f>IF(AR$3&gt;='01_Вводные'!$B$248,'01_Вводные'!$B$134/'01_Вводные'!$B$132*(1+'01_Вводные'!$B$116)^MAX(0,YEAR(AR$3)-YEAR('01_Вводные'!$B$248)+IF(MONTH(AR$3)&gt;=9,1,0)-IF(MONTH('01_Вводные'!$B$248)&gt;=9,1,0)),0)</f>
        <v/>
      </c>
      <c r="AS9" s="95">
        <f>IF(AS$3&gt;='01_Вводные'!$B$248,'01_Вводные'!$B$134/'01_Вводные'!$B$132*(1+'01_Вводные'!$B$116)^MAX(0,YEAR(AS$3)-YEAR('01_Вводные'!$B$248)+IF(MONTH(AS$3)&gt;=9,1,0)-IF(MONTH('01_Вводные'!$B$248)&gt;=9,1,0)),0)</f>
        <v/>
      </c>
      <c r="AT9" s="95">
        <f>IF(AT$3&gt;='01_Вводные'!$B$248,'01_Вводные'!$B$134/'01_Вводные'!$B$132*(1+'01_Вводные'!$B$116)^MAX(0,YEAR(AT$3)-YEAR('01_Вводные'!$B$248)+IF(MONTH(AT$3)&gt;=9,1,0)-IF(MONTH('01_Вводные'!$B$248)&gt;=9,1,0)),0)</f>
        <v/>
      </c>
      <c r="AU9" s="95">
        <f>IF(AU$3&gt;='01_Вводные'!$B$248,'01_Вводные'!$B$134/'01_Вводные'!$B$132*(1+'01_Вводные'!$B$116)^MAX(0,YEAR(AU$3)-YEAR('01_Вводные'!$B$248)+IF(MONTH(AU$3)&gt;=9,1,0)-IF(MONTH('01_Вводные'!$B$248)&gt;=9,1,0)),0)</f>
        <v/>
      </c>
      <c r="AV9" s="95">
        <f>IF(AV$3&gt;='01_Вводные'!$B$248,'01_Вводные'!$B$134/'01_Вводные'!$B$132*(1+'01_Вводные'!$B$116)^MAX(0,YEAR(AV$3)-YEAR('01_Вводные'!$B$248)+IF(MONTH(AV$3)&gt;=9,1,0)-IF(MONTH('01_Вводные'!$B$248)&gt;=9,1,0)),0)</f>
        <v/>
      </c>
      <c r="AW9" s="95">
        <f>IF(AW$3&gt;='01_Вводные'!$B$248,'01_Вводные'!$B$134/'01_Вводные'!$B$132*(1+'01_Вводные'!$B$116)^MAX(0,YEAR(AW$3)-YEAR('01_Вводные'!$B$248)+IF(MONTH(AW$3)&gt;=9,1,0)-IF(MONTH('01_Вводные'!$B$248)&gt;=9,1,0)),0)</f>
        <v/>
      </c>
      <c r="AX9" s="95">
        <f>IF(AX$3&gt;='01_Вводные'!$B$248,'01_Вводные'!$B$134/'01_Вводные'!$B$132*(1+'01_Вводные'!$B$116)^MAX(0,YEAR(AX$3)-YEAR('01_Вводные'!$B$248)+IF(MONTH(AX$3)&gt;=9,1,0)-IF(MONTH('01_Вводные'!$B$248)&gt;=9,1,0)),0)</f>
        <v/>
      </c>
      <c r="AY9" s="95">
        <f>IF(AY$3&gt;='01_Вводные'!$B$248,'01_Вводные'!$B$134/'01_Вводные'!$B$132*(1+'01_Вводные'!$B$116)^MAX(0,YEAR(AY$3)-YEAR('01_Вводные'!$B$248)+IF(MONTH(AY$3)&gt;=9,1,0)-IF(MONTH('01_Вводные'!$B$248)&gt;=9,1,0)),0)</f>
        <v/>
      </c>
      <c r="AZ9" s="95">
        <f>IF(AZ$3&gt;='01_Вводные'!$B$248,'01_Вводные'!$B$134/'01_Вводные'!$B$132*(1+'01_Вводные'!$B$116)^MAX(0,YEAR(AZ$3)-YEAR('01_Вводные'!$B$248)+IF(MONTH(AZ$3)&gt;=9,1,0)-IF(MONTH('01_Вводные'!$B$248)&gt;=9,1,0)),0)</f>
        <v/>
      </c>
      <c r="BA9" s="95">
        <f>IF(BA$3&gt;='01_Вводные'!$B$248,'01_Вводные'!$B$134/'01_Вводные'!$B$132*(1+'01_Вводные'!$B$116)^MAX(0,YEAR(BA$3)-YEAR('01_Вводные'!$B$248)+IF(MONTH(BA$3)&gt;=9,1,0)-IF(MONTH('01_Вводные'!$B$248)&gt;=9,1,0)),0)</f>
        <v/>
      </c>
      <c r="BB9" s="95">
        <f>IF(BB$3&gt;='01_Вводные'!$B$248,'01_Вводные'!$B$134/'01_Вводные'!$B$132*(1+'01_Вводные'!$B$116)^MAX(0,YEAR(BB$3)-YEAR('01_Вводные'!$B$248)+IF(MONTH(BB$3)&gt;=9,1,0)-IF(MONTH('01_Вводные'!$B$248)&gt;=9,1,0)),0)</f>
        <v/>
      </c>
      <c r="BC9" s="95">
        <f>IF(BC$3&gt;='01_Вводные'!$B$248,'01_Вводные'!$B$134/'01_Вводные'!$B$132*(1+'01_Вводные'!$B$116)^MAX(0,YEAR(BC$3)-YEAR('01_Вводные'!$B$248)+IF(MONTH(BC$3)&gt;=9,1,0)-IF(MONTH('01_Вводные'!$B$248)&gt;=9,1,0)),0)</f>
        <v/>
      </c>
      <c r="BD9" s="95">
        <f>IF(BD$3&gt;='01_Вводные'!$B$248,'01_Вводные'!$B$134/'01_Вводные'!$B$132*(1+'01_Вводные'!$B$116)^MAX(0,YEAR(BD$3)-YEAR('01_Вводные'!$B$248)+IF(MONTH(BD$3)&gt;=9,1,0)-IF(MONTH('01_Вводные'!$B$248)&gt;=9,1,0)),0)</f>
        <v/>
      </c>
      <c r="BE9" s="95">
        <f>IF(BE$3&gt;='01_Вводные'!$B$248,'01_Вводные'!$B$134/'01_Вводные'!$B$132*(1+'01_Вводные'!$B$116)^MAX(0,YEAR(BE$3)-YEAR('01_Вводные'!$B$248)+IF(MONTH(BE$3)&gt;=9,1,0)-IF(MONTH('01_Вводные'!$B$248)&gt;=9,1,0)),0)</f>
        <v/>
      </c>
      <c r="BF9" s="95">
        <f>IF(BF$3&gt;='01_Вводные'!$B$248,'01_Вводные'!$B$134/'01_Вводные'!$B$132*(1+'01_Вводные'!$B$116)^MAX(0,YEAR(BF$3)-YEAR('01_Вводные'!$B$248)+IF(MONTH(BF$3)&gt;=9,1,0)-IF(MONTH('01_Вводные'!$B$248)&gt;=9,1,0)),0)</f>
        <v/>
      </c>
      <c r="BG9" s="95">
        <f>IF(BG$3&gt;='01_Вводные'!$B$248,'01_Вводные'!$B$134/'01_Вводные'!$B$132*(1+'01_Вводные'!$B$116)^MAX(0,YEAR(BG$3)-YEAR('01_Вводные'!$B$248)+IF(MONTH(BG$3)&gt;=9,1,0)-IF(MONTH('01_Вводные'!$B$248)&gt;=9,1,0)),0)</f>
        <v/>
      </c>
      <c r="BH9" s="95">
        <f>IF(BH$3&gt;='01_Вводные'!$B$248,'01_Вводные'!$B$134/'01_Вводные'!$B$132*(1+'01_Вводные'!$B$116)^MAX(0,YEAR(BH$3)-YEAR('01_Вводные'!$B$248)+IF(MONTH(BH$3)&gt;=9,1,0)-IF(MONTH('01_Вводные'!$B$248)&gt;=9,1,0)),0)</f>
        <v/>
      </c>
      <c r="BI9" s="95">
        <f>IF(BI$3&gt;='01_Вводные'!$B$248,'01_Вводные'!$B$134/'01_Вводные'!$B$132*(1+'01_Вводные'!$B$116)^MAX(0,YEAR(BI$3)-YEAR('01_Вводные'!$B$248)+IF(MONTH(BI$3)&gt;=9,1,0)-IF(MONTH('01_Вводные'!$B$248)&gt;=9,1,0)),0)</f>
        <v/>
      </c>
    </row>
    <row r="10">
      <c r="A10" s="2" t="inlineStr">
        <is>
          <t>Доп. менеджеры развития — количество</t>
        </is>
      </c>
      <c r="B10" s="124">
        <f>MAX(0,MAX('01_Вводные'!$B$118,INT('02_Модель'!B13/'01_Вводные'!$B$117)+1)-'01_Вводные'!$B$118)</f>
        <v/>
      </c>
      <c r="C10" s="124">
        <f>MAX(0,MAX('01_Вводные'!$B$118,INT('02_Модель'!C13/'01_Вводные'!$B$117)+1)-'01_Вводные'!$B$118)</f>
        <v/>
      </c>
      <c r="D10" s="124">
        <f>MAX(0,MAX('01_Вводные'!$B$118,INT('02_Модель'!D13/'01_Вводные'!$B$117)+1)-'01_Вводные'!$B$118)</f>
        <v/>
      </c>
      <c r="E10" s="124">
        <f>MAX(0,MAX('01_Вводные'!$B$118,INT('02_Модель'!E13/'01_Вводные'!$B$117)+1)-'01_Вводные'!$B$118)</f>
        <v/>
      </c>
      <c r="F10" s="124">
        <f>MAX(0,MAX('01_Вводные'!$B$118,INT('02_Модель'!F13/'01_Вводные'!$B$117)+1)-'01_Вводные'!$B$118)</f>
        <v/>
      </c>
      <c r="G10" s="124">
        <f>MAX(0,MAX('01_Вводные'!$B$118,INT('02_Модель'!G13/'01_Вводные'!$B$117)+1)-'01_Вводные'!$B$118)</f>
        <v/>
      </c>
      <c r="H10" s="124">
        <f>MAX(0,MAX('01_Вводные'!$B$118,INT('02_Модель'!H13/'01_Вводные'!$B$117)+1)-'01_Вводные'!$B$118)</f>
        <v/>
      </c>
      <c r="I10" s="124">
        <f>MAX(0,MAX('01_Вводные'!$B$118,INT('02_Модель'!I13/'01_Вводные'!$B$117)+1)-'01_Вводные'!$B$118)</f>
        <v/>
      </c>
      <c r="J10" s="124">
        <f>MAX(0,MAX('01_Вводные'!$B$118,INT('02_Модель'!J13/'01_Вводные'!$B$117)+1)-'01_Вводные'!$B$118)</f>
        <v/>
      </c>
      <c r="K10" s="124">
        <f>MAX(0,MAX('01_Вводные'!$B$118,INT('02_Модель'!K13/'01_Вводные'!$B$117)+1)-'01_Вводные'!$B$118)</f>
        <v/>
      </c>
      <c r="L10" s="124">
        <f>MAX(0,MAX('01_Вводные'!$B$118,INT('02_Модель'!L13/'01_Вводные'!$B$117)+1)-'01_Вводные'!$B$118)</f>
        <v/>
      </c>
      <c r="M10" s="124">
        <f>MAX(0,MAX('01_Вводные'!$B$118,INT('02_Модель'!M13/'01_Вводные'!$B$117)+1)-'01_Вводные'!$B$118)</f>
        <v/>
      </c>
      <c r="N10" s="124">
        <f>MAX(0,MAX('01_Вводные'!$B$118,INT('02_Модель'!N13/'01_Вводные'!$B$117)+1)-'01_Вводные'!$B$118)</f>
        <v/>
      </c>
      <c r="O10" s="124">
        <f>MAX(0,MAX('01_Вводные'!$B$118,INT('02_Модель'!O13/'01_Вводные'!$B$117)+1)-'01_Вводные'!$B$118)</f>
        <v/>
      </c>
      <c r="P10" s="124">
        <f>MAX(0,MAX('01_Вводные'!$B$118,INT('02_Модель'!P13/'01_Вводные'!$B$117)+1)-'01_Вводные'!$B$118)</f>
        <v/>
      </c>
      <c r="Q10" s="124">
        <f>MAX(0,MAX('01_Вводные'!$B$118,INT('02_Модель'!Q13/'01_Вводные'!$B$117)+1)-'01_Вводные'!$B$118)</f>
        <v/>
      </c>
      <c r="R10" s="124">
        <f>MAX(0,MAX('01_Вводные'!$B$118,INT('02_Модель'!R13/'01_Вводные'!$B$117)+1)-'01_Вводные'!$B$118)</f>
        <v/>
      </c>
      <c r="S10" s="124">
        <f>MAX(0,MAX('01_Вводные'!$B$118,INT('02_Модель'!S13/'01_Вводные'!$B$117)+1)-'01_Вводные'!$B$118)</f>
        <v/>
      </c>
      <c r="T10" s="124">
        <f>MAX(0,MAX('01_Вводные'!$B$118,INT('02_Модель'!T13/'01_Вводные'!$B$117)+1)-'01_Вводные'!$B$118)</f>
        <v/>
      </c>
      <c r="U10" s="124">
        <f>MAX(0,MAX('01_Вводные'!$B$118,INT('02_Модель'!U13/'01_Вводные'!$B$117)+1)-'01_Вводные'!$B$118)</f>
        <v/>
      </c>
      <c r="V10" s="124">
        <f>MAX(0,MAX('01_Вводные'!$B$118,INT('02_Модель'!V13/'01_Вводные'!$B$117)+1)-'01_Вводные'!$B$118)</f>
        <v/>
      </c>
      <c r="W10" s="124">
        <f>MAX(0,MAX('01_Вводные'!$B$118,INT('02_Модель'!W13/'01_Вводные'!$B$117)+1)-'01_Вводные'!$B$118)</f>
        <v/>
      </c>
      <c r="X10" s="124">
        <f>MAX(0,MAX('01_Вводные'!$B$118,INT('02_Модель'!X13/'01_Вводные'!$B$117)+1)-'01_Вводные'!$B$118)</f>
        <v/>
      </c>
      <c r="Y10" s="124">
        <f>MAX(0,MAX('01_Вводные'!$B$118,INT('02_Модель'!Y13/'01_Вводные'!$B$117)+1)-'01_Вводные'!$B$118)</f>
        <v/>
      </c>
      <c r="Z10" s="124">
        <f>MAX(0,MAX('01_Вводные'!$B$118,INT('02_Модель'!Z13/'01_Вводные'!$B$117)+1)-'01_Вводные'!$B$118)</f>
        <v/>
      </c>
      <c r="AA10" s="124">
        <f>MAX(0,MAX('01_Вводные'!$B$118,INT('02_Модель'!AA13/'01_Вводные'!$B$117)+1)-'01_Вводные'!$B$118)</f>
        <v/>
      </c>
      <c r="AB10" s="124">
        <f>MAX(0,MAX('01_Вводные'!$B$118,INT('02_Модель'!AB13/'01_Вводные'!$B$117)+1)-'01_Вводные'!$B$118)</f>
        <v/>
      </c>
      <c r="AC10" s="124">
        <f>MAX(0,MAX('01_Вводные'!$B$118,INT('02_Модель'!AC13/'01_Вводные'!$B$117)+1)-'01_Вводные'!$B$118)</f>
        <v/>
      </c>
      <c r="AD10" s="124">
        <f>MAX(0,MAX('01_Вводные'!$B$118,INT('02_Модель'!AD13/'01_Вводные'!$B$117)+1)-'01_Вводные'!$B$118)</f>
        <v/>
      </c>
      <c r="AE10" s="124">
        <f>MAX(0,MAX('01_Вводные'!$B$118,INT('02_Модель'!AE13/'01_Вводные'!$B$117)+1)-'01_Вводные'!$B$118)</f>
        <v/>
      </c>
      <c r="AF10" s="124">
        <f>MAX(0,MAX('01_Вводные'!$B$118,INT('02_Модель'!AF13/'01_Вводные'!$B$117)+1)-'01_Вводные'!$B$118)</f>
        <v/>
      </c>
      <c r="AG10" s="124">
        <f>MAX(0,MAX('01_Вводные'!$B$118,INT('02_Модель'!AG13/'01_Вводные'!$B$117)+1)-'01_Вводные'!$B$118)</f>
        <v/>
      </c>
      <c r="AH10" s="124">
        <f>MAX(0,MAX('01_Вводные'!$B$118,INT('02_Модель'!AH13/'01_Вводные'!$B$117)+1)-'01_Вводные'!$B$118)</f>
        <v/>
      </c>
      <c r="AI10" s="124">
        <f>MAX(0,MAX('01_Вводные'!$B$118,INT('02_Модель'!AI13/'01_Вводные'!$B$117)+1)-'01_Вводные'!$B$118)</f>
        <v/>
      </c>
      <c r="AJ10" s="124">
        <f>MAX(0,MAX('01_Вводные'!$B$118,INT('02_Модель'!AJ13/'01_Вводные'!$B$117)+1)-'01_Вводные'!$B$118)</f>
        <v/>
      </c>
      <c r="AK10" s="124">
        <f>MAX(0,MAX('01_Вводные'!$B$118,INT('02_Модель'!AK13/'01_Вводные'!$B$117)+1)-'01_Вводные'!$B$118)</f>
        <v/>
      </c>
      <c r="AL10" s="124">
        <f>MAX(0,MAX('01_Вводные'!$B$118,INT('02_Модель'!AL13/'01_Вводные'!$B$117)+1)-'01_Вводные'!$B$118)</f>
        <v/>
      </c>
      <c r="AM10" s="124">
        <f>MAX(0,MAX('01_Вводные'!$B$118,INT('02_Модель'!AM13/'01_Вводные'!$B$117)+1)-'01_Вводные'!$B$118)</f>
        <v/>
      </c>
      <c r="AN10" s="124">
        <f>MAX(0,MAX('01_Вводные'!$B$118,INT('02_Модель'!AN13/'01_Вводные'!$B$117)+1)-'01_Вводные'!$B$118)</f>
        <v/>
      </c>
      <c r="AO10" s="124">
        <f>MAX(0,MAX('01_Вводные'!$B$118,INT('02_Модель'!AO13/'01_Вводные'!$B$117)+1)-'01_Вводные'!$B$118)</f>
        <v/>
      </c>
      <c r="AP10" s="124">
        <f>MAX(0,MAX('01_Вводные'!$B$118,INT('02_Модель'!AP13/'01_Вводные'!$B$117)+1)-'01_Вводные'!$B$118)</f>
        <v/>
      </c>
      <c r="AQ10" s="124">
        <f>MAX(0,MAX('01_Вводные'!$B$118,INT('02_Модель'!AQ13/'01_Вводные'!$B$117)+1)-'01_Вводные'!$B$118)</f>
        <v/>
      </c>
      <c r="AR10" s="124">
        <f>MAX(0,MAX('01_Вводные'!$B$118,INT('02_Модель'!AR13/'01_Вводные'!$B$117)+1)-'01_Вводные'!$B$118)</f>
        <v/>
      </c>
      <c r="AS10" s="124">
        <f>MAX(0,MAX('01_Вводные'!$B$118,INT('02_Модель'!AS13/'01_Вводные'!$B$117)+1)-'01_Вводные'!$B$118)</f>
        <v/>
      </c>
      <c r="AT10" s="124">
        <f>MAX(0,MAX('01_Вводные'!$B$118,INT('02_Модель'!AT13/'01_Вводные'!$B$117)+1)-'01_Вводные'!$B$118)</f>
        <v/>
      </c>
      <c r="AU10" s="124">
        <f>MAX(0,MAX('01_Вводные'!$B$118,INT('02_Модель'!AU13/'01_Вводные'!$B$117)+1)-'01_Вводные'!$B$118)</f>
        <v/>
      </c>
      <c r="AV10" s="124">
        <f>MAX(0,MAX('01_Вводные'!$B$118,INT('02_Модель'!AV13/'01_Вводные'!$B$117)+1)-'01_Вводные'!$B$118)</f>
        <v/>
      </c>
      <c r="AW10" s="124">
        <f>MAX(0,MAX('01_Вводные'!$B$118,INT('02_Модель'!AW13/'01_Вводные'!$B$117)+1)-'01_Вводные'!$B$118)</f>
        <v/>
      </c>
      <c r="AX10" s="124">
        <f>MAX(0,MAX('01_Вводные'!$B$118,INT('02_Модель'!AX13/'01_Вводные'!$B$117)+1)-'01_Вводные'!$B$118)</f>
        <v/>
      </c>
      <c r="AY10" s="124">
        <f>MAX(0,MAX('01_Вводные'!$B$118,INT('02_Модель'!AY13/'01_Вводные'!$B$117)+1)-'01_Вводные'!$B$118)</f>
        <v/>
      </c>
      <c r="AZ10" s="124">
        <f>MAX(0,MAX('01_Вводные'!$B$118,INT('02_Модель'!AZ13/'01_Вводные'!$B$117)+1)-'01_Вводные'!$B$118)</f>
        <v/>
      </c>
      <c r="BA10" s="124">
        <f>MAX(0,MAX('01_Вводные'!$B$118,INT('02_Модель'!BA13/'01_Вводные'!$B$117)+1)-'01_Вводные'!$B$118)</f>
        <v/>
      </c>
      <c r="BB10" s="124">
        <f>MAX(0,MAX('01_Вводные'!$B$118,INT('02_Модель'!BB13/'01_Вводные'!$B$117)+1)-'01_Вводные'!$B$118)</f>
        <v/>
      </c>
      <c r="BC10" s="124">
        <f>MAX(0,MAX('01_Вводные'!$B$118,INT('02_Модель'!BC13/'01_Вводные'!$B$117)+1)-'01_Вводные'!$B$118)</f>
        <v/>
      </c>
      <c r="BD10" s="124">
        <f>MAX(0,MAX('01_Вводные'!$B$118,INT('02_Модель'!BD13/'01_Вводные'!$B$117)+1)-'01_Вводные'!$B$118)</f>
        <v/>
      </c>
      <c r="BE10" s="124">
        <f>MAX(0,MAX('01_Вводные'!$B$118,INT('02_Модель'!BE13/'01_Вводные'!$B$117)+1)-'01_Вводные'!$B$118)</f>
        <v/>
      </c>
      <c r="BF10" s="124">
        <f>MAX(0,MAX('01_Вводные'!$B$118,INT('02_Модель'!BF13/'01_Вводные'!$B$117)+1)-'01_Вводные'!$B$118)</f>
        <v/>
      </c>
      <c r="BG10" s="124">
        <f>MAX(0,MAX('01_Вводные'!$B$118,INT('02_Модель'!BG13/'01_Вводные'!$B$117)+1)-'01_Вводные'!$B$118)</f>
        <v/>
      </c>
      <c r="BH10" s="124">
        <f>MAX(0,MAX('01_Вводные'!$B$118,INT('02_Модель'!BH13/'01_Вводные'!$B$117)+1)-'01_Вводные'!$B$118)</f>
        <v/>
      </c>
      <c r="BI10" s="124">
        <f>MAX(0,MAX('01_Вводные'!$B$118,INT('02_Модель'!BI13/'01_Вводные'!$B$117)+1)-'01_Вводные'!$B$118)</f>
        <v/>
      </c>
    </row>
    <row r="11">
      <c r="A11" s="2" t="inlineStr">
        <is>
          <t>Доп. менеджеры развития — gross</t>
        </is>
      </c>
      <c r="B11" s="42">
        <f>B10*'01_Вводные'!$B$119*B5</f>
        <v/>
      </c>
      <c r="C11" s="42">
        <f>C10*'01_Вводные'!$B$119*C5</f>
        <v/>
      </c>
      <c r="D11" s="42">
        <f>D10*'01_Вводные'!$B$119*D5</f>
        <v/>
      </c>
      <c r="E11" s="42">
        <f>E10*'01_Вводные'!$B$119*E5</f>
        <v/>
      </c>
      <c r="F11" s="42">
        <f>F10*'01_Вводные'!$B$119*F5</f>
        <v/>
      </c>
      <c r="G11" s="42">
        <f>G10*'01_Вводные'!$B$119*G5</f>
        <v/>
      </c>
      <c r="H11" s="42">
        <f>H10*'01_Вводные'!$B$119*H5</f>
        <v/>
      </c>
      <c r="I11" s="42">
        <f>I10*'01_Вводные'!$B$119*I5</f>
        <v/>
      </c>
      <c r="J11" s="42">
        <f>J10*'01_Вводные'!$B$119*J5</f>
        <v/>
      </c>
      <c r="K11" s="42">
        <f>K10*'01_Вводные'!$B$119*K5</f>
        <v/>
      </c>
      <c r="L11" s="42">
        <f>L10*'01_Вводные'!$B$119*L5</f>
        <v/>
      </c>
      <c r="M11" s="42">
        <f>M10*'01_Вводные'!$B$119*M5</f>
        <v/>
      </c>
      <c r="N11" s="42">
        <f>N10*'01_Вводные'!$B$119*N5</f>
        <v/>
      </c>
      <c r="O11" s="42">
        <f>O10*'01_Вводные'!$B$119*O5</f>
        <v/>
      </c>
      <c r="P11" s="42">
        <f>P10*'01_Вводные'!$B$119*P5</f>
        <v/>
      </c>
      <c r="Q11" s="42">
        <f>Q10*'01_Вводные'!$B$119*Q5</f>
        <v/>
      </c>
      <c r="R11" s="42">
        <f>R10*'01_Вводные'!$B$119*R5</f>
        <v/>
      </c>
      <c r="S11" s="42">
        <f>S10*'01_Вводные'!$B$119*S5</f>
        <v/>
      </c>
      <c r="T11" s="42">
        <f>T10*'01_Вводные'!$B$119*T5</f>
        <v/>
      </c>
      <c r="U11" s="42">
        <f>U10*'01_Вводные'!$B$119*U5</f>
        <v/>
      </c>
      <c r="V11" s="42">
        <f>V10*'01_Вводные'!$B$119*V5</f>
        <v/>
      </c>
      <c r="W11" s="42">
        <f>W10*'01_Вводные'!$B$119*W5</f>
        <v/>
      </c>
      <c r="X11" s="42">
        <f>X10*'01_Вводные'!$B$119*X5</f>
        <v/>
      </c>
      <c r="Y11" s="42">
        <f>Y10*'01_Вводные'!$B$119*Y5</f>
        <v/>
      </c>
      <c r="Z11" s="42">
        <f>Z10*'01_Вводные'!$B$119*Z5</f>
        <v/>
      </c>
      <c r="AA11" s="42">
        <f>AA10*'01_Вводные'!$B$119*AA5</f>
        <v/>
      </c>
      <c r="AB11" s="42">
        <f>AB10*'01_Вводные'!$B$119*AB5</f>
        <v/>
      </c>
      <c r="AC11" s="42">
        <f>AC10*'01_Вводные'!$B$119*AC5</f>
        <v/>
      </c>
      <c r="AD11" s="42">
        <f>AD10*'01_Вводные'!$B$119*AD5</f>
        <v/>
      </c>
      <c r="AE11" s="42">
        <f>AE10*'01_Вводные'!$B$119*AE5</f>
        <v/>
      </c>
      <c r="AF11" s="42">
        <f>AF10*'01_Вводные'!$B$119*AF5</f>
        <v/>
      </c>
      <c r="AG11" s="42">
        <f>AG10*'01_Вводные'!$B$119*AG5</f>
        <v/>
      </c>
      <c r="AH11" s="42">
        <f>AH10*'01_Вводные'!$B$119*AH5</f>
        <v/>
      </c>
      <c r="AI11" s="42">
        <f>AI10*'01_Вводные'!$B$119*AI5</f>
        <v/>
      </c>
      <c r="AJ11" s="42">
        <f>AJ10*'01_Вводные'!$B$119*AJ5</f>
        <v/>
      </c>
      <c r="AK11" s="42">
        <f>AK10*'01_Вводные'!$B$119*AK5</f>
        <v/>
      </c>
      <c r="AL11" s="42">
        <f>AL10*'01_Вводные'!$B$119*AL5</f>
        <v/>
      </c>
      <c r="AM11" s="42">
        <f>AM10*'01_Вводные'!$B$119*AM5</f>
        <v/>
      </c>
      <c r="AN11" s="42">
        <f>AN10*'01_Вводные'!$B$119*AN5</f>
        <v/>
      </c>
      <c r="AO11" s="42">
        <f>AO10*'01_Вводные'!$B$119*AO5</f>
        <v/>
      </c>
      <c r="AP11" s="42">
        <f>AP10*'01_Вводные'!$B$119*AP5</f>
        <v/>
      </c>
      <c r="AQ11" s="42">
        <f>AQ10*'01_Вводные'!$B$119*AQ5</f>
        <v/>
      </c>
      <c r="AR11" s="42">
        <f>AR10*'01_Вводные'!$B$119*AR5</f>
        <v/>
      </c>
      <c r="AS11" s="42">
        <f>AS10*'01_Вводные'!$B$119*AS5</f>
        <v/>
      </c>
      <c r="AT11" s="42">
        <f>AT10*'01_Вводные'!$B$119*AT5</f>
        <v/>
      </c>
      <c r="AU11" s="42">
        <f>AU10*'01_Вводные'!$B$119*AU5</f>
        <v/>
      </c>
      <c r="AV11" s="42">
        <f>AV10*'01_Вводные'!$B$119*AV5</f>
        <v/>
      </c>
      <c r="AW11" s="42">
        <f>AW10*'01_Вводные'!$B$119*AW5</f>
        <v/>
      </c>
      <c r="AX11" s="42">
        <f>AX10*'01_Вводные'!$B$119*AX5</f>
        <v/>
      </c>
      <c r="AY11" s="42">
        <f>AY10*'01_Вводные'!$B$119*AY5</f>
        <v/>
      </c>
      <c r="AZ11" s="42">
        <f>AZ10*'01_Вводные'!$B$119*AZ5</f>
        <v/>
      </c>
      <c r="BA11" s="42">
        <f>BA10*'01_Вводные'!$B$119*BA5</f>
        <v/>
      </c>
      <c r="BB11" s="42">
        <f>BB10*'01_Вводные'!$B$119*BB5</f>
        <v/>
      </c>
      <c r="BC11" s="42">
        <f>BC10*'01_Вводные'!$B$119*BC5</f>
        <v/>
      </c>
      <c r="BD11" s="42">
        <f>BD10*'01_Вводные'!$B$119*BD5</f>
        <v/>
      </c>
      <c r="BE11" s="42">
        <f>BE10*'01_Вводные'!$B$119*BE5</f>
        <v/>
      </c>
      <c r="BF11" s="42">
        <f>BF10*'01_Вводные'!$B$119*BF5</f>
        <v/>
      </c>
      <c r="BG11" s="42">
        <f>BG10*'01_Вводные'!$B$119*BG5</f>
        <v/>
      </c>
      <c r="BH11" s="42">
        <f>BH10*'01_Вводные'!$B$119*BH5</f>
        <v/>
      </c>
      <c r="BI11" s="42">
        <f>BI10*'01_Вводные'!$B$119*BI5</f>
        <v/>
      </c>
    </row>
    <row r="12">
      <c r="A12" s="2" t="inlineStr">
        <is>
          <t>Всего оклады gross</t>
        </is>
      </c>
      <c r="B12" s="42">
        <f>SUM(B7:B9,B11)</f>
        <v/>
      </c>
      <c r="C12" s="42">
        <f>SUM(C7:C9,C11)</f>
        <v/>
      </c>
      <c r="D12" s="42">
        <f>SUM(D7:D9,D11)</f>
        <v/>
      </c>
      <c r="E12" s="42">
        <f>SUM(E7:E9,E11)</f>
        <v/>
      </c>
      <c r="F12" s="42">
        <f>SUM(F7:F9,F11)</f>
        <v/>
      </c>
      <c r="G12" s="42">
        <f>SUM(G7:G9,G11)</f>
        <v/>
      </c>
      <c r="H12" s="42">
        <f>SUM(H7:H9,H11)</f>
        <v/>
      </c>
      <c r="I12" s="42">
        <f>SUM(I7:I9,I11)</f>
        <v/>
      </c>
      <c r="J12" s="42">
        <f>SUM(J7:J9,J11)</f>
        <v/>
      </c>
      <c r="K12" s="42">
        <f>SUM(K7:K9,K11)</f>
        <v/>
      </c>
      <c r="L12" s="42">
        <f>SUM(L7:L9,L11)</f>
        <v/>
      </c>
      <c r="M12" s="42">
        <f>SUM(M7:M9,M11)</f>
        <v/>
      </c>
      <c r="N12" s="42">
        <f>SUM(N7:N9,N11)</f>
        <v/>
      </c>
      <c r="O12" s="42">
        <f>SUM(O7:O9,O11)</f>
        <v/>
      </c>
      <c r="P12" s="42">
        <f>SUM(P7:P9,P11)</f>
        <v/>
      </c>
      <c r="Q12" s="42">
        <f>SUM(Q7:Q9,Q11)</f>
        <v/>
      </c>
      <c r="R12" s="42">
        <f>SUM(R7:R9,R11)</f>
        <v/>
      </c>
      <c r="S12" s="42">
        <f>SUM(S7:S9,S11)</f>
        <v/>
      </c>
      <c r="T12" s="42">
        <f>SUM(T7:T9,T11)</f>
        <v/>
      </c>
      <c r="U12" s="42">
        <f>SUM(U7:U9,U11)</f>
        <v/>
      </c>
      <c r="V12" s="42">
        <f>SUM(V7:V9,V11)</f>
        <v/>
      </c>
      <c r="W12" s="42">
        <f>SUM(W7:W9,W11)</f>
        <v/>
      </c>
      <c r="X12" s="42">
        <f>SUM(X7:X9,X11)</f>
        <v/>
      </c>
      <c r="Y12" s="42">
        <f>SUM(Y7:Y9,Y11)</f>
        <v/>
      </c>
      <c r="Z12" s="42">
        <f>SUM(Z7:Z9,Z11)</f>
        <v/>
      </c>
      <c r="AA12" s="42">
        <f>SUM(AA7:AA9,AA11)</f>
        <v/>
      </c>
      <c r="AB12" s="42">
        <f>SUM(AB7:AB9,AB11)</f>
        <v/>
      </c>
      <c r="AC12" s="42">
        <f>SUM(AC7:AC9,AC11)</f>
        <v/>
      </c>
      <c r="AD12" s="42">
        <f>SUM(AD7:AD9,AD11)</f>
        <v/>
      </c>
      <c r="AE12" s="42">
        <f>SUM(AE7:AE9,AE11)</f>
        <v/>
      </c>
      <c r="AF12" s="42">
        <f>SUM(AF7:AF9,AF11)</f>
        <v/>
      </c>
      <c r="AG12" s="42">
        <f>SUM(AG7:AG9,AG11)</f>
        <v/>
      </c>
      <c r="AH12" s="42">
        <f>SUM(AH7:AH9,AH11)</f>
        <v/>
      </c>
      <c r="AI12" s="42">
        <f>SUM(AI7:AI9,AI11)</f>
        <v/>
      </c>
      <c r="AJ12" s="42">
        <f>SUM(AJ7:AJ9,AJ11)</f>
        <v/>
      </c>
      <c r="AK12" s="42">
        <f>SUM(AK7:AK9,AK11)</f>
        <v/>
      </c>
      <c r="AL12" s="42">
        <f>SUM(AL7:AL9,AL11)</f>
        <v/>
      </c>
      <c r="AM12" s="42">
        <f>SUM(AM7:AM9,AM11)</f>
        <v/>
      </c>
      <c r="AN12" s="42">
        <f>SUM(AN7:AN9,AN11)</f>
        <v/>
      </c>
      <c r="AO12" s="42">
        <f>SUM(AO7:AO9,AO11)</f>
        <v/>
      </c>
      <c r="AP12" s="42">
        <f>SUM(AP7:AP9,AP11)</f>
        <v/>
      </c>
      <c r="AQ12" s="42">
        <f>SUM(AQ7:AQ9,AQ11)</f>
        <v/>
      </c>
      <c r="AR12" s="42">
        <f>SUM(AR7:AR9,AR11)</f>
        <v/>
      </c>
      <c r="AS12" s="42">
        <f>SUM(AS7:AS9,AS11)</f>
        <v/>
      </c>
      <c r="AT12" s="42">
        <f>SUM(AT7:AT9,AT11)</f>
        <v/>
      </c>
      <c r="AU12" s="42">
        <f>SUM(AU7:AU9,AU11)</f>
        <v/>
      </c>
      <c r="AV12" s="42">
        <f>SUM(AV7:AV9,AV11)</f>
        <v/>
      </c>
      <c r="AW12" s="42">
        <f>SUM(AW7:AW9,AW11)</f>
        <v/>
      </c>
      <c r="AX12" s="42">
        <f>SUM(AX7:AX9,AX11)</f>
        <v/>
      </c>
      <c r="AY12" s="42">
        <f>SUM(AY7:AY9,AY11)</f>
        <v/>
      </c>
      <c r="AZ12" s="42">
        <f>SUM(AZ7:AZ9,AZ11)</f>
        <v/>
      </c>
      <c r="BA12" s="42">
        <f>SUM(BA7:BA9,BA11)</f>
        <v/>
      </c>
      <c r="BB12" s="42">
        <f>SUM(BB7:BB9,BB11)</f>
        <v/>
      </c>
      <c r="BC12" s="42">
        <f>SUM(BC7:BC9,BC11)</f>
        <v/>
      </c>
      <c r="BD12" s="42">
        <f>SUM(BD7:BD9,BD11)</f>
        <v/>
      </c>
      <c r="BE12" s="42">
        <f>SUM(BE7:BE9,BE11)</f>
        <v/>
      </c>
      <c r="BF12" s="42">
        <f>SUM(BF7:BF9,BF11)</f>
        <v/>
      </c>
      <c r="BG12" s="42">
        <f>SUM(BG7:BG9,BG11)</f>
        <v/>
      </c>
      <c r="BH12" s="42">
        <f>SUM(BH7:BH9,BH11)</f>
        <v/>
      </c>
      <c r="BI12" s="42">
        <f>SUM(BI7:BI9,BI11)</f>
        <v/>
      </c>
    </row>
    <row r="13">
      <c r="A13" s="2" t="inlineStr">
        <is>
          <t>Страховые взносы на оклады</t>
        </is>
      </c>
      <c r="B13" s="42">
        <f>B12*'01_Вводные'!$B$131</f>
        <v/>
      </c>
      <c r="C13" s="42">
        <f>C12*'01_Вводные'!$B$131</f>
        <v/>
      </c>
      <c r="D13" s="42">
        <f>D12*'01_Вводные'!$B$131</f>
        <v/>
      </c>
      <c r="E13" s="42">
        <f>E12*'01_Вводные'!$B$131</f>
        <v/>
      </c>
      <c r="F13" s="42">
        <f>F12*'01_Вводные'!$B$131</f>
        <v/>
      </c>
      <c r="G13" s="42">
        <f>G12*'01_Вводные'!$B$131</f>
        <v/>
      </c>
      <c r="H13" s="42">
        <f>H12*'01_Вводные'!$B$131</f>
        <v/>
      </c>
      <c r="I13" s="42">
        <f>I12*'01_Вводные'!$B$131</f>
        <v/>
      </c>
      <c r="J13" s="42">
        <f>J12*'01_Вводные'!$B$131</f>
        <v/>
      </c>
      <c r="K13" s="42">
        <f>K12*'01_Вводные'!$B$131</f>
        <v/>
      </c>
      <c r="L13" s="42">
        <f>L12*'01_Вводные'!$B$131</f>
        <v/>
      </c>
      <c r="M13" s="42">
        <f>M12*'01_Вводные'!$B$131</f>
        <v/>
      </c>
      <c r="N13" s="42">
        <f>N12*'01_Вводные'!$B$131</f>
        <v/>
      </c>
      <c r="O13" s="42">
        <f>O12*'01_Вводные'!$B$131</f>
        <v/>
      </c>
      <c r="P13" s="42">
        <f>P12*'01_Вводные'!$B$131</f>
        <v/>
      </c>
      <c r="Q13" s="42">
        <f>Q12*'01_Вводные'!$B$131</f>
        <v/>
      </c>
      <c r="R13" s="42">
        <f>R12*'01_Вводные'!$B$131</f>
        <v/>
      </c>
      <c r="S13" s="42">
        <f>S12*'01_Вводные'!$B$131</f>
        <v/>
      </c>
      <c r="T13" s="42">
        <f>T12*'01_Вводные'!$B$131</f>
        <v/>
      </c>
      <c r="U13" s="42">
        <f>U12*'01_Вводные'!$B$131</f>
        <v/>
      </c>
      <c r="V13" s="42">
        <f>V12*'01_Вводные'!$B$131</f>
        <v/>
      </c>
      <c r="W13" s="42">
        <f>W12*'01_Вводные'!$B$131</f>
        <v/>
      </c>
      <c r="X13" s="42">
        <f>X12*'01_Вводные'!$B$131</f>
        <v/>
      </c>
      <c r="Y13" s="42">
        <f>Y12*'01_Вводные'!$B$131</f>
        <v/>
      </c>
      <c r="Z13" s="42">
        <f>Z12*'01_Вводные'!$B$131</f>
        <v/>
      </c>
      <c r="AA13" s="42">
        <f>AA12*'01_Вводные'!$B$131</f>
        <v/>
      </c>
      <c r="AB13" s="42">
        <f>AB12*'01_Вводные'!$B$131</f>
        <v/>
      </c>
      <c r="AC13" s="42">
        <f>AC12*'01_Вводные'!$B$131</f>
        <v/>
      </c>
      <c r="AD13" s="42">
        <f>AD12*'01_Вводные'!$B$131</f>
        <v/>
      </c>
      <c r="AE13" s="42">
        <f>AE12*'01_Вводные'!$B$131</f>
        <v/>
      </c>
      <c r="AF13" s="42">
        <f>AF12*'01_Вводные'!$B$131</f>
        <v/>
      </c>
      <c r="AG13" s="42">
        <f>AG12*'01_Вводные'!$B$131</f>
        <v/>
      </c>
      <c r="AH13" s="42">
        <f>AH12*'01_Вводные'!$B$131</f>
        <v/>
      </c>
      <c r="AI13" s="42">
        <f>AI12*'01_Вводные'!$B$131</f>
        <v/>
      </c>
      <c r="AJ13" s="42">
        <f>AJ12*'01_Вводные'!$B$131</f>
        <v/>
      </c>
      <c r="AK13" s="42">
        <f>AK12*'01_Вводные'!$B$131</f>
        <v/>
      </c>
      <c r="AL13" s="42">
        <f>AL12*'01_Вводные'!$B$131</f>
        <v/>
      </c>
      <c r="AM13" s="42">
        <f>AM12*'01_Вводные'!$B$131</f>
        <v/>
      </c>
      <c r="AN13" s="42">
        <f>AN12*'01_Вводные'!$B$131</f>
        <v/>
      </c>
      <c r="AO13" s="42">
        <f>AO12*'01_Вводные'!$B$131</f>
        <v/>
      </c>
      <c r="AP13" s="42">
        <f>AP12*'01_Вводные'!$B$131</f>
        <v/>
      </c>
      <c r="AQ13" s="42">
        <f>AQ12*'01_Вводные'!$B$131</f>
        <v/>
      </c>
      <c r="AR13" s="42">
        <f>AR12*'01_Вводные'!$B$131</f>
        <v/>
      </c>
      <c r="AS13" s="42">
        <f>AS12*'01_Вводные'!$B$131</f>
        <v/>
      </c>
      <c r="AT13" s="42">
        <f>AT12*'01_Вводные'!$B$131</f>
        <v/>
      </c>
      <c r="AU13" s="42">
        <f>AU12*'01_Вводные'!$B$131</f>
        <v/>
      </c>
      <c r="AV13" s="42">
        <f>AV12*'01_Вводные'!$B$131</f>
        <v/>
      </c>
      <c r="AW13" s="42">
        <f>AW12*'01_Вводные'!$B$131</f>
        <v/>
      </c>
      <c r="AX13" s="42">
        <f>AX12*'01_Вводные'!$B$131</f>
        <v/>
      </c>
      <c r="AY13" s="42">
        <f>AY12*'01_Вводные'!$B$131</f>
        <v/>
      </c>
      <c r="AZ13" s="42">
        <f>AZ12*'01_Вводные'!$B$131</f>
        <v/>
      </c>
      <c r="BA13" s="42">
        <f>BA12*'01_Вводные'!$B$131</f>
        <v/>
      </c>
      <c r="BB13" s="42">
        <f>BB12*'01_Вводные'!$B$131</f>
        <v/>
      </c>
      <c r="BC13" s="42">
        <f>BC12*'01_Вводные'!$B$131</f>
        <v/>
      </c>
      <c r="BD13" s="42">
        <f>BD12*'01_Вводные'!$B$131</f>
        <v/>
      </c>
      <c r="BE13" s="42">
        <f>BE12*'01_Вводные'!$B$131</f>
        <v/>
      </c>
      <c r="BF13" s="42">
        <f>BF12*'01_Вводные'!$B$131</f>
        <v/>
      </c>
      <c r="BG13" s="42">
        <f>BG12*'01_Вводные'!$B$131</f>
        <v/>
      </c>
      <c r="BH13" s="42">
        <f>BH12*'01_Вводные'!$B$131</f>
        <v/>
      </c>
      <c r="BI13" s="42">
        <f>BI12*'01_Вводные'!$B$131</f>
        <v/>
      </c>
    </row>
    <row r="14" ht="20" customHeight="1">
      <c r="A14" s="4" t="inlineStr">
        <is>
          <t>Премии</t>
        </is>
      </c>
    </row>
    <row r="15">
      <c r="A15" s="2" t="inlineStr">
        <is>
          <t>Премия развития — gross</t>
        </is>
      </c>
      <c r="B15" s="95">
        <f>('01_Вводные'!$B$118+B10+1)*IF(B$3&lt;'01_Вводные'!$B$250,'01_Вводные'!$B$123,'01_Вводные'!$B$124)/'01_Вводные'!$B$132</f>
        <v/>
      </c>
      <c r="C15" s="95">
        <f>('01_Вводные'!$B$118+C10+1)*IF(C$3&lt;'01_Вводные'!$B$250,'01_Вводные'!$B$123,'01_Вводные'!$B$124)/'01_Вводные'!$B$132</f>
        <v/>
      </c>
      <c r="D15" s="95">
        <f>('01_Вводные'!$B$118+D10+1)*IF(D$3&lt;'01_Вводные'!$B$250,'01_Вводные'!$B$123,'01_Вводные'!$B$124)/'01_Вводные'!$B$132</f>
        <v/>
      </c>
      <c r="E15" s="95">
        <f>('01_Вводные'!$B$118+E10+1)*IF(E$3&lt;'01_Вводные'!$B$250,'01_Вводные'!$B$123,'01_Вводные'!$B$124)/'01_Вводные'!$B$132</f>
        <v/>
      </c>
      <c r="F15" s="95">
        <f>('01_Вводные'!$B$118+F10+1)*IF(F$3&lt;'01_Вводные'!$B$250,'01_Вводные'!$B$123,'01_Вводные'!$B$124)/'01_Вводные'!$B$132</f>
        <v/>
      </c>
      <c r="G15" s="95">
        <f>('01_Вводные'!$B$118+G10+1)*IF(G$3&lt;'01_Вводные'!$B$250,'01_Вводные'!$B$123,'01_Вводные'!$B$124)/'01_Вводные'!$B$132</f>
        <v/>
      </c>
      <c r="H15" s="95">
        <f>('01_Вводные'!$B$118+H10+1)*IF(H$3&lt;'01_Вводные'!$B$250,'01_Вводные'!$B$123,'01_Вводные'!$B$124)/'01_Вводные'!$B$132</f>
        <v/>
      </c>
      <c r="I15" s="95">
        <f>('01_Вводные'!$B$118+I10+1)*IF(I$3&lt;'01_Вводные'!$B$250,'01_Вводные'!$B$123,'01_Вводные'!$B$124)/'01_Вводные'!$B$132</f>
        <v/>
      </c>
      <c r="J15" s="95">
        <f>('01_Вводные'!$B$118+J10+1)*IF(J$3&lt;'01_Вводные'!$B$250,'01_Вводные'!$B$123,'01_Вводные'!$B$124)/'01_Вводные'!$B$132</f>
        <v/>
      </c>
      <c r="K15" s="95">
        <f>('01_Вводные'!$B$118+K10+1)*IF(K$3&lt;'01_Вводные'!$B$250,'01_Вводные'!$B$123,'01_Вводные'!$B$124)/'01_Вводные'!$B$132</f>
        <v/>
      </c>
      <c r="L15" s="95">
        <f>('01_Вводные'!$B$118+L10+1)*IF(L$3&lt;'01_Вводные'!$B$250,'01_Вводные'!$B$123,'01_Вводные'!$B$124)/'01_Вводные'!$B$132</f>
        <v/>
      </c>
      <c r="M15" s="95">
        <f>('01_Вводные'!$B$118+M10+1)*IF(M$3&lt;'01_Вводные'!$B$250,'01_Вводные'!$B$123,'01_Вводные'!$B$124)/'01_Вводные'!$B$132</f>
        <v/>
      </c>
      <c r="N15" s="95">
        <f>('01_Вводные'!$B$118+N10+1)*IF(N$3&lt;'01_Вводные'!$B$250,'01_Вводные'!$B$123,'01_Вводные'!$B$124)/'01_Вводные'!$B$132</f>
        <v/>
      </c>
      <c r="O15" s="95">
        <f>('01_Вводные'!$B$118+O10+1)*IF(O$3&lt;'01_Вводные'!$B$250,'01_Вводные'!$B$123,'01_Вводные'!$B$124)/'01_Вводные'!$B$132</f>
        <v/>
      </c>
      <c r="P15" s="95">
        <f>('01_Вводные'!$B$118+P10+1)*IF(P$3&lt;'01_Вводные'!$B$250,'01_Вводные'!$B$123,'01_Вводные'!$B$124)/'01_Вводные'!$B$132</f>
        <v/>
      </c>
      <c r="Q15" s="95">
        <f>('01_Вводные'!$B$118+Q10+1)*IF(Q$3&lt;'01_Вводные'!$B$250,'01_Вводные'!$B$123,'01_Вводные'!$B$124)/'01_Вводные'!$B$132</f>
        <v/>
      </c>
      <c r="R15" s="95">
        <f>('01_Вводные'!$B$118+R10+1)*IF(R$3&lt;'01_Вводные'!$B$250,'01_Вводные'!$B$123,'01_Вводные'!$B$124)/'01_Вводные'!$B$132</f>
        <v/>
      </c>
      <c r="S15" s="95">
        <f>('01_Вводные'!$B$118+S10+1)*IF(S$3&lt;'01_Вводные'!$B$250,'01_Вводные'!$B$123,'01_Вводные'!$B$124)/'01_Вводные'!$B$132</f>
        <v/>
      </c>
      <c r="T15" s="95">
        <f>('01_Вводные'!$B$118+T10+1)*IF(T$3&lt;'01_Вводные'!$B$250,'01_Вводные'!$B$123,'01_Вводные'!$B$124)/'01_Вводные'!$B$132</f>
        <v/>
      </c>
      <c r="U15" s="95">
        <f>('01_Вводные'!$B$118+U10+1)*IF(U$3&lt;'01_Вводные'!$B$250,'01_Вводные'!$B$123,'01_Вводные'!$B$124)/'01_Вводные'!$B$132</f>
        <v/>
      </c>
      <c r="V15" s="95">
        <f>('01_Вводные'!$B$118+V10+1)*IF(V$3&lt;'01_Вводные'!$B$250,'01_Вводные'!$B$123,'01_Вводные'!$B$124)/'01_Вводные'!$B$132</f>
        <v/>
      </c>
      <c r="W15" s="95">
        <f>('01_Вводные'!$B$118+W10+1)*IF(W$3&lt;'01_Вводные'!$B$250,'01_Вводные'!$B$123,'01_Вводные'!$B$124)/'01_Вводные'!$B$132</f>
        <v/>
      </c>
      <c r="X15" s="95">
        <f>('01_Вводные'!$B$118+X10+1)*IF(X$3&lt;'01_Вводные'!$B$250,'01_Вводные'!$B$123,'01_Вводные'!$B$124)/'01_Вводные'!$B$132</f>
        <v/>
      </c>
      <c r="Y15" s="95">
        <f>('01_Вводные'!$B$118+Y10+1)*IF(Y$3&lt;'01_Вводные'!$B$250,'01_Вводные'!$B$123,'01_Вводные'!$B$124)/'01_Вводные'!$B$132</f>
        <v/>
      </c>
      <c r="Z15" s="95">
        <f>('01_Вводные'!$B$118+Z10+1)*IF(Z$3&lt;'01_Вводные'!$B$250,'01_Вводные'!$B$123,'01_Вводные'!$B$124)/'01_Вводные'!$B$132</f>
        <v/>
      </c>
      <c r="AA15" s="95">
        <f>('01_Вводные'!$B$118+AA10+1)*IF(AA$3&lt;'01_Вводные'!$B$250,'01_Вводные'!$B$123,'01_Вводные'!$B$124)/'01_Вводные'!$B$132</f>
        <v/>
      </c>
      <c r="AB15" s="95">
        <f>('01_Вводные'!$B$118+AB10+1)*IF(AB$3&lt;'01_Вводные'!$B$250,'01_Вводные'!$B$123,'01_Вводные'!$B$124)/'01_Вводные'!$B$132</f>
        <v/>
      </c>
      <c r="AC15" s="95">
        <f>('01_Вводные'!$B$118+AC10+1)*IF(AC$3&lt;'01_Вводные'!$B$250,'01_Вводные'!$B$123,'01_Вводные'!$B$124)/'01_Вводные'!$B$132</f>
        <v/>
      </c>
      <c r="AD15" s="95">
        <f>('01_Вводные'!$B$118+AD10+1)*IF(AD$3&lt;'01_Вводные'!$B$250,'01_Вводные'!$B$123,'01_Вводные'!$B$124)/'01_Вводные'!$B$132</f>
        <v/>
      </c>
      <c r="AE15" s="95">
        <f>('01_Вводные'!$B$118+AE10+1)*IF(AE$3&lt;'01_Вводные'!$B$250,'01_Вводные'!$B$123,'01_Вводные'!$B$124)/'01_Вводные'!$B$132</f>
        <v/>
      </c>
      <c r="AF15" s="95">
        <f>('01_Вводные'!$B$118+AF10+1)*IF(AF$3&lt;'01_Вводные'!$B$250,'01_Вводные'!$B$123,'01_Вводные'!$B$124)/'01_Вводные'!$B$132</f>
        <v/>
      </c>
      <c r="AG15" s="95">
        <f>('01_Вводные'!$B$118+AG10+1)*IF(AG$3&lt;'01_Вводные'!$B$250,'01_Вводные'!$B$123,'01_Вводные'!$B$124)/'01_Вводные'!$B$132</f>
        <v/>
      </c>
      <c r="AH15" s="95">
        <f>('01_Вводные'!$B$118+AH10+1)*IF(AH$3&lt;'01_Вводные'!$B$250,'01_Вводные'!$B$123,'01_Вводные'!$B$124)/'01_Вводные'!$B$132</f>
        <v/>
      </c>
      <c r="AI15" s="95">
        <f>('01_Вводные'!$B$118+AI10+1)*IF(AI$3&lt;'01_Вводные'!$B$250,'01_Вводные'!$B$123,'01_Вводные'!$B$124)/'01_Вводные'!$B$132</f>
        <v/>
      </c>
      <c r="AJ15" s="95">
        <f>('01_Вводные'!$B$118+AJ10+1)*IF(AJ$3&lt;'01_Вводные'!$B$250,'01_Вводные'!$B$123,'01_Вводные'!$B$124)/'01_Вводные'!$B$132</f>
        <v/>
      </c>
      <c r="AK15" s="95">
        <f>('01_Вводные'!$B$118+AK10+1)*IF(AK$3&lt;'01_Вводные'!$B$250,'01_Вводные'!$B$123,'01_Вводные'!$B$124)/'01_Вводные'!$B$132</f>
        <v/>
      </c>
      <c r="AL15" s="95">
        <f>('01_Вводные'!$B$118+AL10+1)*IF(AL$3&lt;'01_Вводные'!$B$250,'01_Вводные'!$B$123,'01_Вводные'!$B$124)/'01_Вводные'!$B$132</f>
        <v/>
      </c>
      <c r="AM15" s="95">
        <f>('01_Вводные'!$B$118+AM10+1)*IF(AM$3&lt;'01_Вводные'!$B$250,'01_Вводные'!$B$123,'01_Вводные'!$B$124)/'01_Вводные'!$B$132</f>
        <v/>
      </c>
      <c r="AN15" s="95">
        <f>('01_Вводные'!$B$118+AN10+1)*IF(AN$3&lt;'01_Вводные'!$B$250,'01_Вводные'!$B$123,'01_Вводные'!$B$124)/'01_Вводные'!$B$132</f>
        <v/>
      </c>
      <c r="AO15" s="95">
        <f>('01_Вводные'!$B$118+AO10+1)*IF(AO$3&lt;'01_Вводные'!$B$250,'01_Вводные'!$B$123,'01_Вводные'!$B$124)/'01_Вводные'!$B$132</f>
        <v/>
      </c>
      <c r="AP15" s="95">
        <f>('01_Вводные'!$B$118+AP10+1)*IF(AP$3&lt;'01_Вводные'!$B$250,'01_Вводные'!$B$123,'01_Вводные'!$B$124)/'01_Вводные'!$B$132</f>
        <v/>
      </c>
      <c r="AQ15" s="95">
        <f>('01_Вводные'!$B$118+AQ10+1)*IF(AQ$3&lt;'01_Вводные'!$B$250,'01_Вводные'!$B$123,'01_Вводные'!$B$124)/'01_Вводные'!$B$132</f>
        <v/>
      </c>
      <c r="AR15" s="95">
        <f>('01_Вводные'!$B$118+AR10+1)*IF(AR$3&lt;'01_Вводные'!$B$250,'01_Вводные'!$B$123,'01_Вводные'!$B$124)/'01_Вводные'!$B$132</f>
        <v/>
      </c>
      <c r="AS15" s="95">
        <f>('01_Вводные'!$B$118+AS10+1)*IF(AS$3&lt;'01_Вводные'!$B$250,'01_Вводные'!$B$123,'01_Вводные'!$B$124)/'01_Вводные'!$B$132</f>
        <v/>
      </c>
      <c r="AT15" s="95">
        <f>('01_Вводные'!$B$118+AT10+1)*IF(AT$3&lt;'01_Вводные'!$B$250,'01_Вводные'!$B$123,'01_Вводные'!$B$124)/'01_Вводные'!$B$132</f>
        <v/>
      </c>
      <c r="AU15" s="95">
        <f>('01_Вводные'!$B$118+AU10+1)*IF(AU$3&lt;'01_Вводные'!$B$250,'01_Вводные'!$B$123,'01_Вводные'!$B$124)/'01_Вводные'!$B$132</f>
        <v/>
      </c>
      <c r="AV15" s="95">
        <f>('01_Вводные'!$B$118+AV10+1)*IF(AV$3&lt;'01_Вводные'!$B$250,'01_Вводные'!$B$123,'01_Вводные'!$B$124)/'01_Вводные'!$B$132</f>
        <v/>
      </c>
      <c r="AW15" s="95">
        <f>('01_Вводные'!$B$118+AW10+1)*IF(AW$3&lt;'01_Вводные'!$B$250,'01_Вводные'!$B$123,'01_Вводные'!$B$124)/'01_Вводные'!$B$132</f>
        <v/>
      </c>
      <c r="AX15" s="95">
        <f>('01_Вводные'!$B$118+AX10+1)*IF(AX$3&lt;'01_Вводные'!$B$250,'01_Вводные'!$B$123,'01_Вводные'!$B$124)/'01_Вводные'!$B$132</f>
        <v/>
      </c>
      <c r="AY15" s="95">
        <f>('01_Вводные'!$B$118+AY10+1)*IF(AY$3&lt;'01_Вводные'!$B$250,'01_Вводные'!$B$123,'01_Вводные'!$B$124)/'01_Вводные'!$B$132</f>
        <v/>
      </c>
      <c r="AZ15" s="95">
        <f>('01_Вводные'!$B$118+AZ10+1)*IF(AZ$3&lt;'01_Вводные'!$B$250,'01_Вводные'!$B$123,'01_Вводные'!$B$124)/'01_Вводные'!$B$132</f>
        <v/>
      </c>
      <c r="BA15" s="95">
        <f>('01_Вводные'!$B$118+BA10+1)*IF(BA$3&lt;'01_Вводные'!$B$250,'01_Вводные'!$B$123,'01_Вводные'!$B$124)/'01_Вводные'!$B$132</f>
        <v/>
      </c>
      <c r="BB15" s="95">
        <f>('01_Вводные'!$B$118+BB10+1)*IF(BB$3&lt;'01_Вводные'!$B$250,'01_Вводные'!$B$123,'01_Вводные'!$B$124)/'01_Вводные'!$B$132</f>
        <v/>
      </c>
      <c r="BC15" s="95">
        <f>('01_Вводные'!$B$118+BC10+1)*IF(BC$3&lt;'01_Вводные'!$B$250,'01_Вводные'!$B$123,'01_Вводные'!$B$124)/'01_Вводные'!$B$132</f>
        <v/>
      </c>
      <c r="BD15" s="95">
        <f>('01_Вводные'!$B$118+BD10+1)*IF(BD$3&lt;'01_Вводные'!$B$250,'01_Вводные'!$B$123,'01_Вводные'!$B$124)/'01_Вводные'!$B$132</f>
        <v/>
      </c>
      <c r="BE15" s="95">
        <f>('01_Вводные'!$B$118+BE10+1)*IF(BE$3&lt;'01_Вводные'!$B$250,'01_Вводные'!$B$123,'01_Вводные'!$B$124)/'01_Вводные'!$B$132</f>
        <v/>
      </c>
      <c r="BF15" s="95">
        <f>('01_Вводные'!$B$118+BF10+1)*IF(BF$3&lt;'01_Вводные'!$B$250,'01_Вводные'!$B$123,'01_Вводные'!$B$124)/'01_Вводные'!$B$132</f>
        <v/>
      </c>
      <c r="BG15" s="95">
        <f>('01_Вводные'!$B$118+BG10+1)*IF(BG$3&lt;'01_Вводные'!$B$250,'01_Вводные'!$B$123,'01_Вводные'!$B$124)/'01_Вводные'!$B$132</f>
        <v/>
      </c>
      <c r="BH15" s="95">
        <f>('01_Вводные'!$B$118+BH10+1)*IF(BH$3&lt;'01_Вводные'!$B$250,'01_Вводные'!$B$123,'01_Вводные'!$B$124)/'01_Вводные'!$B$132</f>
        <v/>
      </c>
      <c r="BI15" s="95">
        <f>('01_Вводные'!$B$118+BI10+1)*IF(BI$3&lt;'01_Вводные'!$B$250,'01_Вводные'!$B$123,'01_Вводные'!$B$124)/'01_Вводные'!$B$132</f>
        <v/>
      </c>
    </row>
    <row r="16">
      <c r="A16" s="2" t="inlineStr">
        <is>
          <t>Взносы на премию развития</t>
        </is>
      </c>
      <c r="B16" s="42">
        <f>B15*'01_Вводные'!$B$131</f>
        <v/>
      </c>
      <c r="C16" s="42">
        <f>C15*'01_Вводные'!$B$131</f>
        <v/>
      </c>
      <c r="D16" s="42">
        <f>D15*'01_Вводные'!$B$131</f>
        <v/>
      </c>
      <c r="E16" s="42">
        <f>E15*'01_Вводные'!$B$131</f>
        <v/>
      </c>
      <c r="F16" s="42">
        <f>F15*'01_Вводные'!$B$131</f>
        <v/>
      </c>
      <c r="G16" s="42">
        <f>G15*'01_Вводные'!$B$131</f>
        <v/>
      </c>
      <c r="H16" s="42">
        <f>H15*'01_Вводные'!$B$131</f>
        <v/>
      </c>
      <c r="I16" s="42">
        <f>I15*'01_Вводные'!$B$131</f>
        <v/>
      </c>
      <c r="J16" s="42">
        <f>J15*'01_Вводные'!$B$131</f>
        <v/>
      </c>
      <c r="K16" s="42">
        <f>K15*'01_Вводные'!$B$131</f>
        <v/>
      </c>
      <c r="L16" s="42">
        <f>L15*'01_Вводные'!$B$131</f>
        <v/>
      </c>
      <c r="M16" s="42">
        <f>M15*'01_Вводные'!$B$131</f>
        <v/>
      </c>
      <c r="N16" s="42">
        <f>N15*'01_Вводные'!$B$131</f>
        <v/>
      </c>
      <c r="O16" s="42">
        <f>O15*'01_Вводные'!$B$131</f>
        <v/>
      </c>
      <c r="P16" s="42">
        <f>P15*'01_Вводные'!$B$131</f>
        <v/>
      </c>
      <c r="Q16" s="42">
        <f>Q15*'01_Вводные'!$B$131</f>
        <v/>
      </c>
      <c r="R16" s="42">
        <f>R15*'01_Вводные'!$B$131</f>
        <v/>
      </c>
      <c r="S16" s="42">
        <f>S15*'01_Вводные'!$B$131</f>
        <v/>
      </c>
      <c r="T16" s="42">
        <f>T15*'01_Вводные'!$B$131</f>
        <v/>
      </c>
      <c r="U16" s="42">
        <f>U15*'01_Вводные'!$B$131</f>
        <v/>
      </c>
      <c r="V16" s="42">
        <f>V15*'01_Вводные'!$B$131</f>
        <v/>
      </c>
      <c r="W16" s="42">
        <f>W15*'01_Вводные'!$B$131</f>
        <v/>
      </c>
      <c r="X16" s="42">
        <f>X15*'01_Вводные'!$B$131</f>
        <v/>
      </c>
      <c r="Y16" s="42">
        <f>Y15*'01_Вводные'!$B$131</f>
        <v/>
      </c>
      <c r="Z16" s="42">
        <f>Z15*'01_Вводные'!$B$131</f>
        <v/>
      </c>
      <c r="AA16" s="42">
        <f>AA15*'01_Вводные'!$B$131</f>
        <v/>
      </c>
      <c r="AB16" s="42">
        <f>AB15*'01_Вводные'!$B$131</f>
        <v/>
      </c>
      <c r="AC16" s="42">
        <f>AC15*'01_Вводные'!$B$131</f>
        <v/>
      </c>
      <c r="AD16" s="42">
        <f>AD15*'01_Вводные'!$B$131</f>
        <v/>
      </c>
      <c r="AE16" s="42">
        <f>AE15*'01_Вводные'!$B$131</f>
        <v/>
      </c>
      <c r="AF16" s="42">
        <f>AF15*'01_Вводные'!$B$131</f>
        <v/>
      </c>
      <c r="AG16" s="42">
        <f>AG15*'01_Вводные'!$B$131</f>
        <v/>
      </c>
      <c r="AH16" s="42">
        <f>AH15*'01_Вводные'!$B$131</f>
        <v/>
      </c>
      <c r="AI16" s="42">
        <f>AI15*'01_Вводные'!$B$131</f>
        <v/>
      </c>
      <c r="AJ16" s="42">
        <f>AJ15*'01_Вводные'!$B$131</f>
        <v/>
      </c>
      <c r="AK16" s="42">
        <f>AK15*'01_Вводные'!$B$131</f>
        <v/>
      </c>
      <c r="AL16" s="42">
        <f>AL15*'01_Вводные'!$B$131</f>
        <v/>
      </c>
      <c r="AM16" s="42">
        <f>AM15*'01_Вводные'!$B$131</f>
        <v/>
      </c>
      <c r="AN16" s="42">
        <f>AN15*'01_Вводные'!$B$131</f>
        <v/>
      </c>
      <c r="AO16" s="42">
        <f>AO15*'01_Вводные'!$B$131</f>
        <v/>
      </c>
      <c r="AP16" s="42">
        <f>AP15*'01_Вводные'!$B$131</f>
        <v/>
      </c>
      <c r="AQ16" s="42">
        <f>AQ15*'01_Вводные'!$B$131</f>
        <v/>
      </c>
      <c r="AR16" s="42">
        <f>AR15*'01_Вводные'!$B$131</f>
        <v/>
      </c>
      <c r="AS16" s="42">
        <f>AS15*'01_Вводные'!$B$131</f>
        <v/>
      </c>
      <c r="AT16" s="42">
        <f>AT15*'01_Вводные'!$B$131</f>
        <v/>
      </c>
      <c r="AU16" s="42">
        <f>AU15*'01_Вводные'!$B$131</f>
        <v/>
      </c>
      <c r="AV16" s="42">
        <f>AV15*'01_Вводные'!$B$131</f>
        <v/>
      </c>
      <c r="AW16" s="42">
        <f>AW15*'01_Вводные'!$B$131</f>
        <v/>
      </c>
      <c r="AX16" s="42">
        <f>AX15*'01_Вводные'!$B$131</f>
        <v/>
      </c>
      <c r="AY16" s="42">
        <f>AY15*'01_Вводные'!$B$131</f>
        <v/>
      </c>
      <c r="AZ16" s="42">
        <f>AZ15*'01_Вводные'!$B$131</f>
        <v/>
      </c>
      <c r="BA16" s="42">
        <f>BA15*'01_Вводные'!$B$131</f>
        <v/>
      </c>
      <c r="BB16" s="42">
        <f>BB15*'01_Вводные'!$B$131</f>
        <v/>
      </c>
      <c r="BC16" s="42">
        <f>BC15*'01_Вводные'!$B$131</f>
        <v/>
      </c>
      <c r="BD16" s="42">
        <f>BD15*'01_Вводные'!$B$131</f>
        <v/>
      </c>
      <c r="BE16" s="42">
        <f>BE15*'01_Вводные'!$B$131</f>
        <v/>
      </c>
      <c r="BF16" s="42">
        <f>BF15*'01_Вводные'!$B$131</f>
        <v/>
      </c>
      <c r="BG16" s="42">
        <f>BG15*'01_Вводные'!$B$131</f>
        <v/>
      </c>
      <c r="BH16" s="42">
        <f>BH15*'01_Вводные'!$B$131</f>
        <v/>
      </c>
      <c r="BI16" s="42">
        <f>BI15*'01_Вводные'!$B$131</f>
        <v/>
      </c>
    </row>
    <row r="17">
      <c r="A17" s="2" t="inlineStr">
        <is>
          <t>Премия Евгения — gross (4% за вычетом взносов)</t>
        </is>
      </c>
      <c r="B17" s="40">
        <f>IF('04_Продажи'!B15&gt;=2,'04_Продажи'!B26*'01_Вводные'!$B$125/(1+'01_Вводные'!$B$131),0)</f>
        <v/>
      </c>
      <c r="C17" s="40">
        <f>IF('04_Продажи'!C15&gt;=2,'04_Продажи'!C26*'01_Вводные'!$B$125/(1+'01_Вводные'!$B$131),0)</f>
        <v/>
      </c>
      <c r="D17" s="40">
        <f>IF('04_Продажи'!D15&gt;=2,'04_Продажи'!D26*'01_Вводные'!$B$125/(1+'01_Вводные'!$B$131),0)</f>
        <v/>
      </c>
      <c r="E17" s="40">
        <f>IF('04_Продажи'!E15&gt;=2,'04_Продажи'!E26*'01_Вводные'!$B$125/(1+'01_Вводные'!$B$131),0)</f>
        <v/>
      </c>
      <c r="F17" s="40">
        <f>IF('04_Продажи'!F15&gt;=2,'04_Продажи'!F26*'01_Вводные'!$B$125/(1+'01_Вводные'!$B$131),0)</f>
        <v/>
      </c>
      <c r="G17" s="40">
        <f>IF('04_Продажи'!G15&gt;=2,'04_Продажи'!G26*'01_Вводные'!$B$125/(1+'01_Вводные'!$B$131),0)</f>
        <v/>
      </c>
      <c r="H17" s="40">
        <f>IF('04_Продажи'!H15&gt;=2,'04_Продажи'!H26*'01_Вводные'!$B$125/(1+'01_Вводные'!$B$131),0)</f>
        <v/>
      </c>
      <c r="I17" s="40">
        <f>IF('04_Продажи'!I15&gt;=2,'04_Продажи'!I26*'01_Вводные'!$B$125/(1+'01_Вводные'!$B$131),0)</f>
        <v/>
      </c>
      <c r="J17" s="40">
        <f>IF('04_Продажи'!J15&gt;=2,'04_Продажи'!J26*'01_Вводные'!$B$125/(1+'01_Вводные'!$B$131),0)</f>
        <v/>
      </c>
      <c r="K17" s="40">
        <f>IF('04_Продажи'!K15&gt;=2,'04_Продажи'!K26*'01_Вводные'!$B$125/(1+'01_Вводные'!$B$131),0)</f>
        <v/>
      </c>
      <c r="L17" s="40">
        <f>IF('04_Продажи'!L15&gt;=2,'04_Продажи'!L26*'01_Вводные'!$B$125/(1+'01_Вводные'!$B$131),0)</f>
        <v/>
      </c>
      <c r="M17" s="40">
        <f>IF('04_Продажи'!M15&gt;=2,'04_Продажи'!M26*'01_Вводные'!$B$125/(1+'01_Вводные'!$B$131),0)</f>
        <v/>
      </c>
      <c r="N17" s="40">
        <f>IF('04_Продажи'!N15&gt;=2,'04_Продажи'!N26*'01_Вводные'!$B$125/(1+'01_Вводные'!$B$131),0)</f>
        <v/>
      </c>
      <c r="O17" s="40">
        <f>IF('04_Продажи'!O15&gt;=2,'04_Продажи'!O26*'01_Вводные'!$B$125/(1+'01_Вводные'!$B$131),0)</f>
        <v/>
      </c>
      <c r="P17" s="40">
        <f>IF('04_Продажи'!P15&gt;=2,'04_Продажи'!P26*'01_Вводные'!$B$125/(1+'01_Вводные'!$B$131),0)</f>
        <v/>
      </c>
      <c r="Q17" s="40">
        <f>IF('04_Продажи'!Q15&gt;=2,'04_Продажи'!Q26*'01_Вводные'!$B$125/(1+'01_Вводные'!$B$131),0)</f>
        <v/>
      </c>
      <c r="R17" s="40">
        <f>IF('04_Продажи'!R15&gt;=2,'04_Продажи'!R26*'01_Вводные'!$B$125/(1+'01_Вводные'!$B$131),0)</f>
        <v/>
      </c>
      <c r="S17" s="40">
        <f>IF('04_Продажи'!S15&gt;=2,'04_Продажи'!S26*'01_Вводные'!$B$125/(1+'01_Вводные'!$B$131),0)</f>
        <v/>
      </c>
      <c r="T17" s="40">
        <f>IF('04_Продажи'!T15&gt;=2,'04_Продажи'!T26*'01_Вводные'!$B$125/(1+'01_Вводные'!$B$131),0)</f>
        <v/>
      </c>
      <c r="U17" s="40">
        <f>IF('04_Продажи'!U15&gt;=2,'04_Продажи'!U26*'01_Вводные'!$B$125/(1+'01_Вводные'!$B$131),0)</f>
        <v/>
      </c>
      <c r="V17" s="40">
        <f>IF('04_Продажи'!V15&gt;=2,'04_Продажи'!V26*'01_Вводные'!$B$125/(1+'01_Вводные'!$B$131),0)</f>
        <v/>
      </c>
      <c r="W17" s="40">
        <f>IF('04_Продажи'!W15&gt;=2,'04_Продажи'!W26*'01_Вводные'!$B$125/(1+'01_Вводные'!$B$131),0)</f>
        <v/>
      </c>
      <c r="X17" s="40">
        <f>IF('04_Продажи'!X15&gt;=2,'04_Продажи'!X26*'01_Вводные'!$B$125/(1+'01_Вводные'!$B$131),0)</f>
        <v/>
      </c>
      <c r="Y17" s="40">
        <f>IF('04_Продажи'!Y15&gt;=2,'04_Продажи'!Y26*'01_Вводные'!$B$125/(1+'01_Вводные'!$B$131),0)</f>
        <v/>
      </c>
      <c r="Z17" s="40">
        <f>IF('04_Продажи'!Z15&gt;=2,'04_Продажи'!Z26*'01_Вводные'!$B$125/(1+'01_Вводные'!$B$131),0)</f>
        <v/>
      </c>
      <c r="AA17" s="40">
        <f>IF('04_Продажи'!AA15&gt;=2,'04_Продажи'!AA26*'01_Вводные'!$B$125/(1+'01_Вводные'!$B$131),0)</f>
        <v/>
      </c>
      <c r="AB17" s="40">
        <f>IF('04_Продажи'!AB15&gt;=2,'04_Продажи'!AB26*'01_Вводные'!$B$125/(1+'01_Вводные'!$B$131),0)</f>
        <v/>
      </c>
      <c r="AC17" s="40">
        <f>IF('04_Продажи'!AC15&gt;=2,'04_Продажи'!AC26*'01_Вводные'!$B$125/(1+'01_Вводные'!$B$131),0)</f>
        <v/>
      </c>
      <c r="AD17" s="40">
        <f>IF('04_Продажи'!AD15&gt;=2,'04_Продажи'!AD26*'01_Вводные'!$B$125/(1+'01_Вводные'!$B$131),0)</f>
        <v/>
      </c>
      <c r="AE17" s="40">
        <f>IF('04_Продажи'!AE15&gt;=2,'04_Продажи'!AE26*'01_Вводные'!$B$125/(1+'01_Вводные'!$B$131),0)</f>
        <v/>
      </c>
      <c r="AF17" s="40">
        <f>IF('04_Продажи'!AF15&gt;=2,'04_Продажи'!AF26*'01_Вводные'!$B$125/(1+'01_Вводные'!$B$131),0)</f>
        <v/>
      </c>
      <c r="AG17" s="40">
        <f>IF('04_Продажи'!AG15&gt;=2,'04_Продажи'!AG26*'01_Вводные'!$B$125/(1+'01_Вводные'!$B$131),0)</f>
        <v/>
      </c>
      <c r="AH17" s="40">
        <f>IF('04_Продажи'!AH15&gt;=2,'04_Продажи'!AH26*'01_Вводные'!$B$125/(1+'01_Вводные'!$B$131),0)</f>
        <v/>
      </c>
      <c r="AI17" s="40">
        <f>IF('04_Продажи'!AI15&gt;=2,'04_Продажи'!AI26*'01_Вводные'!$B$125/(1+'01_Вводные'!$B$131),0)</f>
        <v/>
      </c>
      <c r="AJ17" s="40">
        <f>IF('04_Продажи'!AJ15&gt;=2,'04_Продажи'!AJ26*'01_Вводные'!$B$125/(1+'01_Вводные'!$B$131),0)</f>
        <v/>
      </c>
      <c r="AK17" s="40">
        <f>IF('04_Продажи'!AK15&gt;=2,'04_Продажи'!AK26*'01_Вводные'!$B$125/(1+'01_Вводные'!$B$131),0)</f>
        <v/>
      </c>
      <c r="AL17" s="40">
        <f>IF('04_Продажи'!AL15&gt;=2,'04_Продажи'!AL26*'01_Вводные'!$B$125/(1+'01_Вводные'!$B$131),0)</f>
        <v/>
      </c>
      <c r="AM17" s="40">
        <f>IF('04_Продажи'!AM15&gt;=2,'04_Продажи'!AM26*'01_Вводные'!$B$125/(1+'01_Вводные'!$B$131),0)</f>
        <v/>
      </c>
      <c r="AN17" s="40">
        <f>IF('04_Продажи'!AN15&gt;=2,'04_Продажи'!AN26*'01_Вводные'!$B$125/(1+'01_Вводные'!$B$131),0)</f>
        <v/>
      </c>
      <c r="AO17" s="40">
        <f>IF('04_Продажи'!AO15&gt;=2,'04_Продажи'!AO26*'01_Вводные'!$B$125/(1+'01_Вводные'!$B$131),0)</f>
        <v/>
      </c>
      <c r="AP17" s="40">
        <f>IF('04_Продажи'!AP15&gt;=2,'04_Продажи'!AP26*'01_Вводные'!$B$125/(1+'01_Вводные'!$B$131),0)</f>
        <v/>
      </c>
      <c r="AQ17" s="40">
        <f>IF('04_Продажи'!AQ15&gt;=2,'04_Продажи'!AQ26*'01_Вводные'!$B$125/(1+'01_Вводные'!$B$131),0)</f>
        <v/>
      </c>
      <c r="AR17" s="40">
        <f>IF('04_Продажи'!AR15&gt;=2,'04_Продажи'!AR26*'01_Вводные'!$B$125/(1+'01_Вводные'!$B$131),0)</f>
        <v/>
      </c>
      <c r="AS17" s="40">
        <f>IF('04_Продажи'!AS15&gt;=2,'04_Продажи'!AS26*'01_Вводные'!$B$125/(1+'01_Вводные'!$B$131),0)</f>
        <v/>
      </c>
      <c r="AT17" s="40">
        <f>IF('04_Продажи'!AT15&gt;=2,'04_Продажи'!AT26*'01_Вводные'!$B$125/(1+'01_Вводные'!$B$131),0)</f>
        <v/>
      </c>
      <c r="AU17" s="40">
        <f>IF('04_Продажи'!AU15&gt;=2,'04_Продажи'!AU26*'01_Вводные'!$B$125/(1+'01_Вводные'!$B$131),0)</f>
        <v/>
      </c>
      <c r="AV17" s="40">
        <f>IF('04_Продажи'!AV15&gt;=2,'04_Продажи'!AV26*'01_Вводные'!$B$125/(1+'01_Вводные'!$B$131),0)</f>
        <v/>
      </c>
      <c r="AW17" s="40">
        <f>IF('04_Продажи'!AW15&gt;=2,'04_Продажи'!AW26*'01_Вводные'!$B$125/(1+'01_Вводные'!$B$131),0)</f>
        <v/>
      </c>
      <c r="AX17" s="40">
        <f>IF('04_Продажи'!AX15&gt;=2,'04_Продажи'!AX26*'01_Вводные'!$B$125/(1+'01_Вводные'!$B$131),0)</f>
        <v/>
      </c>
      <c r="AY17" s="40">
        <f>IF('04_Продажи'!AY15&gt;=2,'04_Продажи'!AY26*'01_Вводные'!$B$125/(1+'01_Вводные'!$B$131),0)</f>
        <v/>
      </c>
      <c r="AZ17" s="40">
        <f>IF('04_Продажи'!AZ15&gt;=2,'04_Продажи'!AZ26*'01_Вводные'!$B$125/(1+'01_Вводные'!$B$131),0)</f>
        <v/>
      </c>
      <c r="BA17" s="40">
        <f>IF('04_Продажи'!BA15&gt;=2,'04_Продажи'!BA26*'01_Вводные'!$B$125/(1+'01_Вводные'!$B$131),0)</f>
        <v/>
      </c>
      <c r="BB17" s="40">
        <f>IF('04_Продажи'!BB15&gt;=2,'04_Продажи'!BB26*'01_Вводные'!$B$125/(1+'01_Вводные'!$B$131),0)</f>
        <v/>
      </c>
      <c r="BC17" s="40">
        <f>IF('04_Продажи'!BC15&gt;=2,'04_Продажи'!BC26*'01_Вводные'!$B$125/(1+'01_Вводные'!$B$131),0)</f>
        <v/>
      </c>
      <c r="BD17" s="40">
        <f>IF('04_Продажи'!BD15&gt;=2,'04_Продажи'!BD26*'01_Вводные'!$B$125/(1+'01_Вводные'!$B$131),0)</f>
        <v/>
      </c>
      <c r="BE17" s="40">
        <f>IF('04_Продажи'!BE15&gt;=2,'04_Продажи'!BE26*'01_Вводные'!$B$125/(1+'01_Вводные'!$B$131),0)</f>
        <v/>
      </c>
      <c r="BF17" s="40">
        <f>IF('04_Продажи'!BF15&gt;=2,'04_Продажи'!BF26*'01_Вводные'!$B$125/(1+'01_Вводные'!$B$131),0)</f>
        <v/>
      </c>
      <c r="BG17" s="40">
        <f>IF('04_Продажи'!BG15&gt;=2,'04_Продажи'!BG26*'01_Вводные'!$B$125/(1+'01_Вводные'!$B$131),0)</f>
        <v/>
      </c>
      <c r="BH17" s="40">
        <f>IF('04_Продажи'!BH15&gt;=2,'04_Продажи'!BH26*'01_Вводные'!$B$125/(1+'01_Вводные'!$B$131),0)</f>
        <v/>
      </c>
      <c r="BI17" s="40">
        <f>IF('04_Продажи'!BI15&gt;=2,'04_Продажи'!BI26*'01_Вводные'!$B$125/(1+'01_Вводные'!$B$131),0)</f>
        <v/>
      </c>
    </row>
    <row r="18">
      <c r="A18" s="2" t="inlineStr">
        <is>
          <t>Взносы на премию Евгения</t>
        </is>
      </c>
      <c r="B18" s="42">
        <f>B17*'01_Вводные'!$B$131</f>
        <v/>
      </c>
      <c r="C18" s="42">
        <f>C17*'01_Вводные'!$B$131</f>
        <v/>
      </c>
      <c r="D18" s="42">
        <f>D17*'01_Вводные'!$B$131</f>
        <v/>
      </c>
      <c r="E18" s="42">
        <f>E17*'01_Вводные'!$B$131</f>
        <v/>
      </c>
      <c r="F18" s="42">
        <f>F17*'01_Вводные'!$B$131</f>
        <v/>
      </c>
      <c r="G18" s="42">
        <f>G17*'01_Вводные'!$B$131</f>
        <v/>
      </c>
      <c r="H18" s="42">
        <f>H17*'01_Вводные'!$B$131</f>
        <v/>
      </c>
      <c r="I18" s="42">
        <f>I17*'01_Вводные'!$B$131</f>
        <v/>
      </c>
      <c r="J18" s="42">
        <f>J17*'01_Вводные'!$B$131</f>
        <v/>
      </c>
      <c r="K18" s="42">
        <f>K17*'01_Вводные'!$B$131</f>
        <v/>
      </c>
      <c r="L18" s="42">
        <f>L17*'01_Вводные'!$B$131</f>
        <v/>
      </c>
      <c r="M18" s="42">
        <f>M17*'01_Вводные'!$B$131</f>
        <v/>
      </c>
      <c r="N18" s="42">
        <f>N17*'01_Вводные'!$B$131</f>
        <v/>
      </c>
      <c r="O18" s="42">
        <f>O17*'01_Вводные'!$B$131</f>
        <v/>
      </c>
      <c r="P18" s="42">
        <f>P17*'01_Вводные'!$B$131</f>
        <v/>
      </c>
      <c r="Q18" s="42">
        <f>Q17*'01_Вводные'!$B$131</f>
        <v/>
      </c>
      <c r="R18" s="42">
        <f>R17*'01_Вводные'!$B$131</f>
        <v/>
      </c>
      <c r="S18" s="42">
        <f>S17*'01_Вводные'!$B$131</f>
        <v/>
      </c>
      <c r="T18" s="42">
        <f>T17*'01_Вводные'!$B$131</f>
        <v/>
      </c>
      <c r="U18" s="42">
        <f>U17*'01_Вводные'!$B$131</f>
        <v/>
      </c>
      <c r="V18" s="42">
        <f>V17*'01_Вводные'!$B$131</f>
        <v/>
      </c>
      <c r="W18" s="42">
        <f>W17*'01_Вводные'!$B$131</f>
        <v/>
      </c>
      <c r="X18" s="42">
        <f>X17*'01_Вводные'!$B$131</f>
        <v/>
      </c>
      <c r="Y18" s="42">
        <f>Y17*'01_Вводные'!$B$131</f>
        <v/>
      </c>
      <c r="Z18" s="42">
        <f>Z17*'01_Вводные'!$B$131</f>
        <v/>
      </c>
      <c r="AA18" s="42">
        <f>AA17*'01_Вводные'!$B$131</f>
        <v/>
      </c>
      <c r="AB18" s="42">
        <f>AB17*'01_Вводные'!$B$131</f>
        <v/>
      </c>
      <c r="AC18" s="42">
        <f>AC17*'01_Вводные'!$B$131</f>
        <v/>
      </c>
      <c r="AD18" s="42">
        <f>AD17*'01_Вводные'!$B$131</f>
        <v/>
      </c>
      <c r="AE18" s="42">
        <f>AE17*'01_Вводные'!$B$131</f>
        <v/>
      </c>
      <c r="AF18" s="42">
        <f>AF17*'01_Вводные'!$B$131</f>
        <v/>
      </c>
      <c r="AG18" s="42">
        <f>AG17*'01_Вводные'!$B$131</f>
        <v/>
      </c>
      <c r="AH18" s="42">
        <f>AH17*'01_Вводные'!$B$131</f>
        <v/>
      </c>
      <c r="AI18" s="42">
        <f>AI17*'01_Вводные'!$B$131</f>
        <v/>
      </c>
      <c r="AJ18" s="42">
        <f>AJ17*'01_Вводные'!$B$131</f>
        <v/>
      </c>
      <c r="AK18" s="42">
        <f>AK17*'01_Вводные'!$B$131</f>
        <v/>
      </c>
      <c r="AL18" s="42">
        <f>AL17*'01_Вводные'!$B$131</f>
        <v/>
      </c>
      <c r="AM18" s="42">
        <f>AM17*'01_Вводные'!$B$131</f>
        <v/>
      </c>
      <c r="AN18" s="42">
        <f>AN17*'01_Вводные'!$B$131</f>
        <v/>
      </c>
      <c r="AO18" s="42">
        <f>AO17*'01_Вводные'!$B$131</f>
        <v/>
      </c>
      <c r="AP18" s="42">
        <f>AP17*'01_Вводные'!$B$131</f>
        <v/>
      </c>
      <c r="AQ18" s="42">
        <f>AQ17*'01_Вводные'!$B$131</f>
        <v/>
      </c>
      <c r="AR18" s="42">
        <f>AR17*'01_Вводные'!$B$131</f>
        <v/>
      </c>
      <c r="AS18" s="42">
        <f>AS17*'01_Вводные'!$B$131</f>
        <v/>
      </c>
      <c r="AT18" s="42">
        <f>AT17*'01_Вводные'!$B$131</f>
        <v/>
      </c>
      <c r="AU18" s="42">
        <f>AU17*'01_Вводные'!$B$131</f>
        <v/>
      </c>
      <c r="AV18" s="42">
        <f>AV17*'01_Вводные'!$B$131</f>
        <v/>
      </c>
      <c r="AW18" s="42">
        <f>AW17*'01_Вводные'!$B$131</f>
        <v/>
      </c>
      <c r="AX18" s="42">
        <f>AX17*'01_Вводные'!$B$131</f>
        <v/>
      </c>
      <c r="AY18" s="42">
        <f>AY17*'01_Вводные'!$B$131</f>
        <v/>
      </c>
      <c r="AZ18" s="42">
        <f>AZ17*'01_Вводные'!$B$131</f>
        <v/>
      </c>
      <c r="BA18" s="42">
        <f>BA17*'01_Вводные'!$B$131</f>
        <v/>
      </c>
      <c r="BB18" s="42">
        <f>BB17*'01_Вводные'!$B$131</f>
        <v/>
      </c>
      <c r="BC18" s="42">
        <f>BC17*'01_Вводные'!$B$131</f>
        <v/>
      </c>
      <c r="BD18" s="42">
        <f>BD17*'01_Вводные'!$B$131</f>
        <v/>
      </c>
      <c r="BE18" s="42">
        <f>BE17*'01_Вводные'!$B$131</f>
        <v/>
      </c>
      <c r="BF18" s="42">
        <f>BF17*'01_Вводные'!$B$131</f>
        <v/>
      </c>
      <c r="BG18" s="42">
        <f>BG17*'01_Вводные'!$B$131</f>
        <v/>
      </c>
      <c r="BH18" s="42">
        <f>BH17*'01_Вводные'!$B$131</f>
        <v/>
      </c>
      <c r="BI18" s="42">
        <f>BI17*'01_Вводные'!$B$131</f>
        <v/>
      </c>
    </row>
    <row r="19">
      <c r="A19" s="2" t="inlineStr">
        <is>
          <t>Временный продавец — полная стоимость</t>
        </is>
      </c>
      <c r="B19" s="95">
        <f>IF('04_Продажи'!B15&gt;='01_Вводные'!$B$126,IF('01_Вводные'!$B$129="ИП",'01_Вводные'!$B$127+'04_Продажи'!B26*'01_Вводные'!$B$128,('01_Вводные'!$B$127/'01_Вводные'!$B$132+'04_Продажи'!B26*'01_Вводные'!$B$128)*(1+'01_Вводные'!$B$131)),0)</f>
        <v/>
      </c>
      <c r="C19" s="95">
        <f>IF('04_Продажи'!C15&gt;='01_Вводные'!$B$126,IF('01_Вводные'!$B$129="ИП",'01_Вводные'!$B$127+'04_Продажи'!C26*'01_Вводные'!$B$128,('01_Вводные'!$B$127/'01_Вводные'!$B$132+'04_Продажи'!C26*'01_Вводные'!$B$128)*(1+'01_Вводные'!$B$131)),0)</f>
        <v/>
      </c>
      <c r="D19" s="95">
        <f>IF('04_Продажи'!D15&gt;='01_Вводные'!$B$126,IF('01_Вводные'!$B$129="ИП",'01_Вводные'!$B$127+'04_Продажи'!D26*'01_Вводные'!$B$128,('01_Вводные'!$B$127/'01_Вводные'!$B$132+'04_Продажи'!D26*'01_Вводные'!$B$128)*(1+'01_Вводные'!$B$131)),0)</f>
        <v/>
      </c>
      <c r="E19" s="95">
        <f>IF('04_Продажи'!E15&gt;='01_Вводные'!$B$126,IF('01_Вводные'!$B$129="ИП",'01_Вводные'!$B$127+'04_Продажи'!E26*'01_Вводные'!$B$128,('01_Вводные'!$B$127/'01_Вводные'!$B$132+'04_Продажи'!E26*'01_Вводные'!$B$128)*(1+'01_Вводные'!$B$131)),0)</f>
        <v/>
      </c>
      <c r="F19" s="95">
        <f>IF('04_Продажи'!F15&gt;='01_Вводные'!$B$126,IF('01_Вводные'!$B$129="ИП",'01_Вводные'!$B$127+'04_Продажи'!F26*'01_Вводные'!$B$128,('01_Вводные'!$B$127/'01_Вводные'!$B$132+'04_Продажи'!F26*'01_Вводные'!$B$128)*(1+'01_Вводные'!$B$131)),0)</f>
        <v/>
      </c>
      <c r="G19" s="95">
        <f>IF('04_Продажи'!G15&gt;='01_Вводные'!$B$126,IF('01_Вводные'!$B$129="ИП",'01_Вводные'!$B$127+'04_Продажи'!G26*'01_Вводные'!$B$128,('01_Вводные'!$B$127/'01_Вводные'!$B$132+'04_Продажи'!G26*'01_Вводные'!$B$128)*(1+'01_Вводные'!$B$131)),0)</f>
        <v/>
      </c>
      <c r="H19" s="95">
        <f>IF('04_Продажи'!H15&gt;='01_Вводные'!$B$126,IF('01_Вводные'!$B$129="ИП",'01_Вводные'!$B$127+'04_Продажи'!H26*'01_Вводные'!$B$128,('01_Вводные'!$B$127/'01_Вводные'!$B$132+'04_Продажи'!H26*'01_Вводные'!$B$128)*(1+'01_Вводные'!$B$131)),0)</f>
        <v/>
      </c>
      <c r="I19" s="95">
        <f>IF('04_Продажи'!I15&gt;='01_Вводные'!$B$126,IF('01_Вводные'!$B$129="ИП",'01_Вводные'!$B$127+'04_Продажи'!I26*'01_Вводные'!$B$128,('01_Вводные'!$B$127/'01_Вводные'!$B$132+'04_Продажи'!I26*'01_Вводные'!$B$128)*(1+'01_Вводные'!$B$131)),0)</f>
        <v/>
      </c>
      <c r="J19" s="95">
        <f>IF('04_Продажи'!J15&gt;='01_Вводные'!$B$126,IF('01_Вводные'!$B$129="ИП",'01_Вводные'!$B$127+'04_Продажи'!J26*'01_Вводные'!$B$128,('01_Вводные'!$B$127/'01_Вводные'!$B$132+'04_Продажи'!J26*'01_Вводные'!$B$128)*(1+'01_Вводные'!$B$131)),0)</f>
        <v/>
      </c>
      <c r="K19" s="95">
        <f>IF('04_Продажи'!K15&gt;='01_Вводные'!$B$126,IF('01_Вводные'!$B$129="ИП",'01_Вводные'!$B$127+'04_Продажи'!K26*'01_Вводные'!$B$128,('01_Вводные'!$B$127/'01_Вводные'!$B$132+'04_Продажи'!K26*'01_Вводные'!$B$128)*(1+'01_Вводные'!$B$131)),0)</f>
        <v/>
      </c>
      <c r="L19" s="95">
        <f>IF('04_Продажи'!L15&gt;='01_Вводные'!$B$126,IF('01_Вводные'!$B$129="ИП",'01_Вводные'!$B$127+'04_Продажи'!L26*'01_Вводные'!$B$128,('01_Вводные'!$B$127/'01_Вводные'!$B$132+'04_Продажи'!L26*'01_Вводные'!$B$128)*(1+'01_Вводные'!$B$131)),0)</f>
        <v/>
      </c>
      <c r="M19" s="95">
        <f>IF('04_Продажи'!M15&gt;='01_Вводные'!$B$126,IF('01_Вводные'!$B$129="ИП",'01_Вводные'!$B$127+'04_Продажи'!M26*'01_Вводные'!$B$128,('01_Вводные'!$B$127/'01_Вводные'!$B$132+'04_Продажи'!M26*'01_Вводные'!$B$128)*(1+'01_Вводные'!$B$131)),0)</f>
        <v/>
      </c>
      <c r="N19" s="95">
        <f>IF('04_Продажи'!N15&gt;='01_Вводные'!$B$126,IF('01_Вводные'!$B$129="ИП",'01_Вводные'!$B$127+'04_Продажи'!N26*'01_Вводные'!$B$128,('01_Вводные'!$B$127/'01_Вводные'!$B$132+'04_Продажи'!N26*'01_Вводные'!$B$128)*(1+'01_Вводные'!$B$131)),0)</f>
        <v/>
      </c>
      <c r="O19" s="95">
        <f>IF('04_Продажи'!O15&gt;='01_Вводные'!$B$126,IF('01_Вводные'!$B$129="ИП",'01_Вводные'!$B$127+'04_Продажи'!O26*'01_Вводные'!$B$128,('01_Вводные'!$B$127/'01_Вводные'!$B$132+'04_Продажи'!O26*'01_Вводные'!$B$128)*(1+'01_Вводные'!$B$131)),0)</f>
        <v/>
      </c>
      <c r="P19" s="95">
        <f>IF('04_Продажи'!P15&gt;='01_Вводные'!$B$126,IF('01_Вводные'!$B$129="ИП",'01_Вводные'!$B$127+'04_Продажи'!P26*'01_Вводные'!$B$128,('01_Вводные'!$B$127/'01_Вводные'!$B$132+'04_Продажи'!P26*'01_Вводные'!$B$128)*(1+'01_Вводные'!$B$131)),0)</f>
        <v/>
      </c>
      <c r="Q19" s="95">
        <f>IF('04_Продажи'!Q15&gt;='01_Вводные'!$B$126,IF('01_Вводные'!$B$129="ИП",'01_Вводные'!$B$127+'04_Продажи'!Q26*'01_Вводные'!$B$128,('01_Вводные'!$B$127/'01_Вводные'!$B$132+'04_Продажи'!Q26*'01_Вводные'!$B$128)*(1+'01_Вводные'!$B$131)),0)</f>
        <v/>
      </c>
      <c r="R19" s="95">
        <f>IF('04_Продажи'!R15&gt;='01_Вводные'!$B$126,IF('01_Вводные'!$B$129="ИП",'01_Вводные'!$B$127+'04_Продажи'!R26*'01_Вводные'!$B$128,('01_Вводные'!$B$127/'01_Вводные'!$B$132+'04_Продажи'!R26*'01_Вводные'!$B$128)*(1+'01_Вводные'!$B$131)),0)</f>
        <v/>
      </c>
      <c r="S19" s="95">
        <f>IF('04_Продажи'!S15&gt;='01_Вводные'!$B$126,IF('01_Вводные'!$B$129="ИП",'01_Вводные'!$B$127+'04_Продажи'!S26*'01_Вводные'!$B$128,('01_Вводные'!$B$127/'01_Вводные'!$B$132+'04_Продажи'!S26*'01_Вводные'!$B$128)*(1+'01_Вводные'!$B$131)),0)</f>
        <v/>
      </c>
      <c r="T19" s="95">
        <f>IF('04_Продажи'!T15&gt;='01_Вводные'!$B$126,IF('01_Вводные'!$B$129="ИП",'01_Вводные'!$B$127+'04_Продажи'!T26*'01_Вводные'!$B$128,('01_Вводные'!$B$127/'01_Вводные'!$B$132+'04_Продажи'!T26*'01_Вводные'!$B$128)*(1+'01_Вводные'!$B$131)),0)</f>
        <v/>
      </c>
      <c r="U19" s="95">
        <f>IF('04_Продажи'!U15&gt;='01_Вводные'!$B$126,IF('01_Вводные'!$B$129="ИП",'01_Вводные'!$B$127+'04_Продажи'!U26*'01_Вводные'!$B$128,('01_Вводные'!$B$127/'01_Вводные'!$B$132+'04_Продажи'!U26*'01_Вводные'!$B$128)*(1+'01_Вводные'!$B$131)),0)</f>
        <v/>
      </c>
      <c r="V19" s="95">
        <f>IF('04_Продажи'!V15&gt;='01_Вводные'!$B$126,IF('01_Вводные'!$B$129="ИП",'01_Вводные'!$B$127+'04_Продажи'!V26*'01_Вводные'!$B$128,('01_Вводные'!$B$127/'01_Вводные'!$B$132+'04_Продажи'!V26*'01_Вводные'!$B$128)*(1+'01_Вводные'!$B$131)),0)</f>
        <v/>
      </c>
      <c r="W19" s="95">
        <f>IF('04_Продажи'!W15&gt;='01_Вводные'!$B$126,IF('01_Вводные'!$B$129="ИП",'01_Вводные'!$B$127+'04_Продажи'!W26*'01_Вводные'!$B$128,('01_Вводные'!$B$127/'01_Вводные'!$B$132+'04_Продажи'!W26*'01_Вводные'!$B$128)*(1+'01_Вводные'!$B$131)),0)</f>
        <v/>
      </c>
      <c r="X19" s="95">
        <f>IF('04_Продажи'!X15&gt;='01_Вводные'!$B$126,IF('01_Вводные'!$B$129="ИП",'01_Вводные'!$B$127+'04_Продажи'!X26*'01_Вводные'!$B$128,('01_Вводные'!$B$127/'01_Вводные'!$B$132+'04_Продажи'!X26*'01_Вводные'!$B$128)*(1+'01_Вводные'!$B$131)),0)</f>
        <v/>
      </c>
      <c r="Y19" s="95">
        <f>IF('04_Продажи'!Y15&gt;='01_Вводные'!$B$126,IF('01_Вводные'!$B$129="ИП",'01_Вводные'!$B$127+'04_Продажи'!Y26*'01_Вводные'!$B$128,('01_Вводные'!$B$127/'01_Вводные'!$B$132+'04_Продажи'!Y26*'01_Вводные'!$B$128)*(1+'01_Вводные'!$B$131)),0)</f>
        <v/>
      </c>
      <c r="Z19" s="95">
        <f>IF('04_Продажи'!Z15&gt;='01_Вводные'!$B$126,IF('01_Вводные'!$B$129="ИП",'01_Вводные'!$B$127+'04_Продажи'!Z26*'01_Вводные'!$B$128,('01_Вводные'!$B$127/'01_Вводные'!$B$132+'04_Продажи'!Z26*'01_Вводные'!$B$128)*(1+'01_Вводные'!$B$131)),0)</f>
        <v/>
      </c>
      <c r="AA19" s="95">
        <f>IF('04_Продажи'!AA15&gt;='01_Вводные'!$B$126,IF('01_Вводные'!$B$129="ИП",'01_Вводные'!$B$127+'04_Продажи'!AA26*'01_Вводные'!$B$128,('01_Вводные'!$B$127/'01_Вводные'!$B$132+'04_Продажи'!AA26*'01_Вводные'!$B$128)*(1+'01_Вводные'!$B$131)),0)</f>
        <v/>
      </c>
      <c r="AB19" s="95">
        <f>IF('04_Продажи'!AB15&gt;='01_Вводные'!$B$126,IF('01_Вводные'!$B$129="ИП",'01_Вводные'!$B$127+'04_Продажи'!AB26*'01_Вводные'!$B$128,('01_Вводные'!$B$127/'01_Вводные'!$B$132+'04_Продажи'!AB26*'01_Вводные'!$B$128)*(1+'01_Вводные'!$B$131)),0)</f>
        <v/>
      </c>
      <c r="AC19" s="95">
        <f>IF('04_Продажи'!AC15&gt;='01_Вводные'!$B$126,IF('01_Вводные'!$B$129="ИП",'01_Вводные'!$B$127+'04_Продажи'!AC26*'01_Вводные'!$B$128,('01_Вводные'!$B$127/'01_Вводные'!$B$132+'04_Продажи'!AC26*'01_Вводные'!$B$128)*(1+'01_Вводные'!$B$131)),0)</f>
        <v/>
      </c>
      <c r="AD19" s="95">
        <f>IF('04_Продажи'!AD15&gt;='01_Вводные'!$B$126,IF('01_Вводные'!$B$129="ИП",'01_Вводные'!$B$127+'04_Продажи'!AD26*'01_Вводные'!$B$128,('01_Вводные'!$B$127/'01_Вводные'!$B$132+'04_Продажи'!AD26*'01_Вводные'!$B$128)*(1+'01_Вводные'!$B$131)),0)</f>
        <v/>
      </c>
      <c r="AE19" s="95">
        <f>IF('04_Продажи'!AE15&gt;='01_Вводные'!$B$126,IF('01_Вводные'!$B$129="ИП",'01_Вводные'!$B$127+'04_Продажи'!AE26*'01_Вводные'!$B$128,('01_Вводные'!$B$127/'01_Вводные'!$B$132+'04_Продажи'!AE26*'01_Вводные'!$B$128)*(1+'01_Вводные'!$B$131)),0)</f>
        <v/>
      </c>
      <c r="AF19" s="95">
        <f>IF('04_Продажи'!AF15&gt;='01_Вводные'!$B$126,IF('01_Вводные'!$B$129="ИП",'01_Вводные'!$B$127+'04_Продажи'!AF26*'01_Вводные'!$B$128,('01_Вводные'!$B$127/'01_Вводные'!$B$132+'04_Продажи'!AF26*'01_Вводные'!$B$128)*(1+'01_Вводные'!$B$131)),0)</f>
        <v/>
      </c>
      <c r="AG19" s="95">
        <f>IF('04_Продажи'!AG15&gt;='01_Вводные'!$B$126,IF('01_Вводные'!$B$129="ИП",'01_Вводные'!$B$127+'04_Продажи'!AG26*'01_Вводные'!$B$128,('01_Вводные'!$B$127/'01_Вводные'!$B$132+'04_Продажи'!AG26*'01_Вводные'!$B$128)*(1+'01_Вводные'!$B$131)),0)</f>
        <v/>
      </c>
      <c r="AH19" s="95">
        <f>IF('04_Продажи'!AH15&gt;='01_Вводные'!$B$126,IF('01_Вводные'!$B$129="ИП",'01_Вводные'!$B$127+'04_Продажи'!AH26*'01_Вводные'!$B$128,('01_Вводные'!$B$127/'01_Вводные'!$B$132+'04_Продажи'!AH26*'01_Вводные'!$B$128)*(1+'01_Вводные'!$B$131)),0)</f>
        <v/>
      </c>
      <c r="AI19" s="95">
        <f>IF('04_Продажи'!AI15&gt;='01_Вводные'!$B$126,IF('01_Вводные'!$B$129="ИП",'01_Вводные'!$B$127+'04_Продажи'!AI26*'01_Вводные'!$B$128,('01_Вводные'!$B$127/'01_Вводные'!$B$132+'04_Продажи'!AI26*'01_Вводные'!$B$128)*(1+'01_Вводные'!$B$131)),0)</f>
        <v/>
      </c>
      <c r="AJ19" s="95">
        <f>IF('04_Продажи'!AJ15&gt;='01_Вводные'!$B$126,IF('01_Вводные'!$B$129="ИП",'01_Вводные'!$B$127+'04_Продажи'!AJ26*'01_Вводные'!$B$128,('01_Вводные'!$B$127/'01_Вводные'!$B$132+'04_Продажи'!AJ26*'01_Вводные'!$B$128)*(1+'01_Вводные'!$B$131)),0)</f>
        <v/>
      </c>
      <c r="AK19" s="95">
        <f>IF('04_Продажи'!AK15&gt;='01_Вводные'!$B$126,IF('01_Вводные'!$B$129="ИП",'01_Вводные'!$B$127+'04_Продажи'!AK26*'01_Вводные'!$B$128,('01_Вводные'!$B$127/'01_Вводные'!$B$132+'04_Продажи'!AK26*'01_Вводные'!$B$128)*(1+'01_Вводные'!$B$131)),0)</f>
        <v/>
      </c>
      <c r="AL19" s="95">
        <f>IF('04_Продажи'!AL15&gt;='01_Вводные'!$B$126,IF('01_Вводные'!$B$129="ИП",'01_Вводные'!$B$127+'04_Продажи'!AL26*'01_Вводные'!$B$128,('01_Вводные'!$B$127/'01_Вводные'!$B$132+'04_Продажи'!AL26*'01_Вводные'!$B$128)*(1+'01_Вводные'!$B$131)),0)</f>
        <v/>
      </c>
      <c r="AM19" s="95">
        <f>IF('04_Продажи'!AM15&gt;='01_Вводные'!$B$126,IF('01_Вводные'!$B$129="ИП",'01_Вводные'!$B$127+'04_Продажи'!AM26*'01_Вводные'!$B$128,('01_Вводные'!$B$127/'01_Вводные'!$B$132+'04_Продажи'!AM26*'01_Вводные'!$B$128)*(1+'01_Вводные'!$B$131)),0)</f>
        <v/>
      </c>
      <c r="AN19" s="95">
        <f>IF('04_Продажи'!AN15&gt;='01_Вводные'!$B$126,IF('01_Вводные'!$B$129="ИП",'01_Вводные'!$B$127+'04_Продажи'!AN26*'01_Вводные'!$B$128,('01_Вводные'!$B$127/'01_Вводные'!$B$132+'04_Продажи'!AN26*'01_Вводные'!$B$128)*(1+'01_Вводные'!$B$131)),0)</f>
        <v/>
      </c>
      <c r="AO19" s="95">
        <f>IF('04_Продажи'!AO15&gt;='01_Вводные'!$B$126,IF('01_Вводные'!$B$129="ИП",'01_Вводные'!$B$127+'04_Продажи'!AO26*'01_Вводные'!$B$128,('01_Вводные'!$B$127/'01_Вводные'!$B$132+'04_Продажи'!AO26*'01_Вводные'!$B$128)*(1+'01_Вводные'!$B$131)),0)</f>
        <v/>
      </c>
      <c r="AP19" s="95">
        <f>IF('04_Продажи'!AP15&gt;='01_Вводные'!$B$126,IF('01_Вводные'!$B$129="ИП",'01_Вводные'!$B$127+'04_Продажи'!AP26*'01_Вводные'!$B$128,('01_Вводные'!$B$127/'01_Вводные'!$B$132+'04_Продажи'!AP26*'01_Вводные'!$B$128)*(1+'01_Вводные'!$B$131)),0)</f>
        <v/>
      </c>
      <c r="AQ19" s="95">
        <f>IF('04_Продажи'!AQ15&gt;='01_Вводные'!$B$126,IF('01_Вводные'!$B$129="ИП",'01_Вводные'!$B$127+'04_Продажи'!AQ26*'01_Вводные'!$B$128,('01_Вводные'!$B$127/'01_Вводные'!$B$132+'04_Продажи'!AQ26*'01_Вводные'!$B$128)*(1+'01_Вводные'!$B$131)),0)</f>
        <v/>
      </c>
      <c r="AR19" s="95">
        <f>IF('04_Продажи'!AR15&gt;='01_Вводные'!$B$126,IF('01_Вводные'!$B$129="ИП",'01_Вводные'!$B$127+'04_Продажи'!AR26*'01_Вводные'!$B$128,('01_Вводные'!$B$127/'01_Вводные'!$B$132+'04_Продажи'!AR26*'01_Вводные'!$B$128)*(1+'01_Вводные'!$B$131)),0)</f>
        <v/>
      </c>
      <c r="AS19" s="95">
        <f>IF('04_Продажи'!AS15&gt;='01_Вводные'!$B$126,IF('01_Вводные'!$B$129="ИП",'01_Вводные'!$B$127+'04_Продажи'!AS26*'01_Вводные'!$B$128,('01_Вводные'!$B$127/'01_Вводные'!$B$132+'04_Продажи'!AS26*'01_Вводные'!$B$128)*(1+'01_Вводные'!$B$131)),0)</f>
        <v/>
      </c>
      <c r="AT19" s="95">
        <f>IF('04_Продажи'!AT15&gt;='01_Вводные'!$B$126,IF('01_Вводные'!$B$129="ИП",'01_Вводные'!$B$127+'04_Продажи'!AT26*'01_Вводные'!$B$128,('01_Вводные'!$B$127/'01_Вводные'!$B$132+'04_Продажи'!AT26*'01_Вводные'!$B$128)*(1+'01_Вводные'!$B$131)),0)</f>
        <v/>
      </c>
      <c r="AU19" s="95">
        <f>IF('04_Продажи'!AU15&gt;='01_Вводные'!$B$126,IF('01_Вводные'!$B$129="ИП",'01_Вводные'!$B$127+'04_Продажи'!AU26*'01_Вводные'!$B$128,('01_Вводные'!$B$127/'01_Вводные'!$B$132+'04_Продажи'!AU26*'01_Вводные'!$B$128)*(1+'01_Вводные'!$B$131)),0)</f>
        <v/>
      </c>
      <c r="AV19" s="95">
        <f>IF('04_Продажи'!AV15&gt;='01_Вводные'!$B$126,IF('01_Вводные'!$B$129="ИП",'01_Вводные'!$B$127+'04_Продажи'!AV26*'01_Вводные'!$B$128,('01_Вводные'!$B$127/'01_Вводные'!$B$132+'04_Продажи'!AV26*'01_Вводные'!$B$128)*(1+'01_Вводные'!$B$131)),0)</f>
        <v/>
      </c>
      <c r="AW19" s="95">
        <f>IF('04_Продажи'!AW15&gt;='01_Вводные'!$B$126,IF('01_Вводные'!$B$129="ИП",'01_Вводные'!$B$127+'04_Продажи'!AW26*'01_Вводные'!$B$128,('01_Вводные'!$B$127/'01_Вводные'!$B$132+'04_Продажи'!AW26*'01_Вводные'!$B$128)*(1+'01_Вводные'!$B$131)),0)</f>
        <v/>
      </c>
      <c r="AX19" s="95">
        <f>IF('04_Продажи'!AX15&gt;='01_Вводные'!$B$126,IF('01_Вводные'!$B$129="ИП",'01_Вводные'!$B$127+'04_Продажи'!AX26*'01_Вводные'!$B$128,('01_Вводные'!$B$127/'01_Вводные'!$B$132+'04_Продажи'!AX26*'01_Вводные'!$B$128)*(1+'01_Вводные'!$B$131)),0)</f>
        <v/>
      </c>
      <c r="AY19" s="95">
        <f>IF('04_Продажи'!AY15&gt;='01_Вводные'!$B$126,IF('01_Вводные'!$B$129="ИП",'01_Вводные'!$B$127+'04_Продажи'!AY26*'01_Вводные'!$B$128,('01_Вводные'!$B$127/'01_Вводные'!$B$132+'04_Продажи'!AY26*'01_Вводные'!$B$128)*(1+'01_Вводные'!$B$131)),0)</f>
        <v/>
      </c>
      <c r="AZ19" s="95">
        <f>IF('04_Продажи'!AZ15&gt;='01_Вводные'!$B$126,IF('01_Вводные'!$B$129="ИП",'01_Вводные'!$B$127+'04_Продажи'!AZ26*'01_Вводные'!$B$128,('01_Вводные'!$B$127/'01_Вводные'!$B$132+'04_Продажи'!AZ26*'01_Вводные'!$B$128)*(1+'01_Вводные'!$B$131)),0)</f>
        <v/>
      </c>
      <c r="BA19" s="95">
        <f>IF('04_Продажи'!BA15&gt;='01_Вводные'!$B$126,IF('01_Вводные'!$B$129="ИП",'01_Вводные'!$B$127+'04_Продажи'!BA26*'01_Вводные'!$B$128,('01_Вводные'!$B$127/'01_Вводные'!$B$132+'04_Продажи'!BA26*'01_Вводные'!$B$128)*(1+'01_Вводные'!$B$131)),0)</f>
        <v/>
      </c>
      <c r="BB19" s="95">
        <f>IF('04_Продажи'!BB15&gt;='01_Вводные'!$B$126,IF('01_Вводные'!$B$129="ИП",'01_Вводные'!$B$127+'04_Продажи'!BB26*'01_Вводные'!$B$128,('01_Вводные'!$B$127/'01_Вводные'!$B$132+'04_Продажи'!BB26*'01_Вводные'!$B$128)*(1+'01_Вводные'!$B$131)),0)</f>
        <v/>
      </c>
      <c r="BC19" s="95">
        <f>IF('04_Продажи'!BC15&gt;='01_Вводные'!$B$126,IF('01_Вводные'!$B$129="ИП",'01_Вводные'!$B$127+'04_Продажи'!BC26*'01_Вводные'!$B$128,('01_Вводные'!$B$127/'01_Вводные'!$B$132+'04_Продажи'!BC26*'01_Вводные'!$B$128)*(1+'01_Вводные'!$B$131)),0)</f>
        <v/>
      </c>
      <c r="BD19" s="95">
        <f>IF('04_Продажи'!BD15&gt;='01_Вводные'!$B$126,IF('01_Вводные'!$B$129="ИП",'01_Вводные'!$B$127+'04_Продажи'!BD26*'01_Вводные'!$B$128,('01_Вводные'!$B$127/'01_Вводные'!$B$132+'04_Продажи'!BD26*'01_Вводные'!$B$128)*(1+'01_Вводные'!$B$131)),0)</f>
        <v/>
      </c>
      <c r="BE19" s="95">
        <f>IF('04_Продажи'!BE15&gt;='01_Вводные'!$B$126,IF('01_Вводные'!$B$129="ИП",'01_Вводные'!$B$127+'04_Продажи'!BE26*'01_Вводные'!$B$128,('01_Вводные'!$B$127/'01_Вводные'!$B$132+'04_Продажи'!BE26*'01_Вводные'!$B$128)*(1+'01_Вводные'!$B$131)),0)</f>
        <v/>
      </c>
      <c r="BF19" s="95">
        <f>IF('04_Продажи'!BF15&gt;='01_Вводные'!$B$126,IF('01_Вводные'!$B$129="ИП",'01_Вводные'!$B$127+'04_Продажи'!BF26*'01_Вводные'!$B$128,('01_Вводные'!$B$127/'01_Вводные'!$B$132+'04_Продажи'!BF26*'01_Вводные'!$B$128)*(1+'01_Вводные'!$B$131)),0)</f>
        <v/>
      </c>
      <c r="BG19" s="95">
        <f>IF('04_Продажи'!BG15&gt;='01_Вводные'!$B$126,IF('01_Вводные'!$B$129="ИП",'01_Вводные'!$B$127+'04_Продажи'!BG26*'01_Вводные'!$B$128,('01_Вводные'!$B$127/'01_Вводные'!$B$132+'04_Продажи'!BG26*'01_Вводные'!$B$128)*(1+'01_Вводные'!$B$131)),0)</f>
        <v/>
      </c>
      <c r="BH19" s="95">
        <f>IF('04_Продажи'!BH15&gt;='01_Вводные'!$B$126,IF('01_Вводные'!$B$129="ИП",'01_Вводные'!$B$127+'04_Продажи'!BH26*'01_Вводные'!$B$128,('01_Вводные'!$B$127/'01_Вводные'!$B$132+'04_Продажи'!BH26*'01_Вводные'!$B$128)*(1+'01_Вводные'!$B$131)),0)</f>
        <v/>
      </c>
      <c r="BI19" s="95">
        <f>IF('04_Продажи'!BI15&gt;='01_Вводные'!$B$126,IF('01_Вводные'!$B$129="ИП",'01_Вводные'!$B$127+'04_Продажи'!BI26*'01_Вводные'!$B$128,('01_Вводные'!$B$127/'01_Вводные'!$B$132+'04_Продажи'!BI26*'01_Вводные'!$B$128)*(1+'01_Вводные'!$B$131)),0)</f>
        <v/>
      </c>
    </row>
    <row r="20"/>
    <row r="21">
      <c r="A21" s="2" t="inlineStr">
        <is>
          <t>Квартальная премия — gross</t>
        </is>
      </c>
      <c r="B21" s="95">
        <f>IF(AND(B$3&gt;='01_Вводные'!$B$246,MOD(MONTH(B$3),3)=0),('01_Вводные'!$B$152*B5+IF('01_Вводные'!$D$138="Да",B30,0)+B8+B9)*'01_Вводные'!$B$130,0)</f>
        <v/>
      </c>
      <c r="C21" s="95">
        <f>IF(AND(C$3&gt;='01_Вводные'!$B$246,MOD(MONTH(C$3),3)=0),('01_Вводные'!$B$152*C5+IF('01_Вводные'!$D$138="Да",C30,0)+C8+C9)*'01_Вводные'!$B$130,0)</f>
        <v/>
      </c>
      <c r="D21" s="95">
        <f>IF(AND(D$3&gt;='01_Вводные'!$B$246,MOD(MONTH(D$3),3)=0),('01_Вводные'!$B$152*D5+IF('01_Вводные'!$D$138="Да",D30,0)+D8+D9)*'01_Вводные'!$B$130,0)</f>
        <v/>
      </c>
      <c r="E21" s="95">
        <f>IF(AND(E$3&gt;='01_Вводные'!$B$246,MOD(MONTH(E$3),3)=0),('01_Вводные'!$B$152*E5+IF('01_Вводные'!$D$138="Да",E30,0)+E8+E9)*'01_Вводные'!$B$130,0)</f>
        <v/>
      </c>
      <c r="F21" s="95">
        <f>IF(AND(F$3&gt;='01_Вводные'!$B$246,MOD(MONTH(F$3),3)=0),('01_Вводные'!$B$152*F5+IF('01_Вводные'!$D$138="Да",F30,0)+F8+F9)*'01_Вводные'!$B$130,0)</f>
        <v/>
      </c>
      <c r="G21" s="95">
        <f>IF(AND(G$3&gt;='01_Вводные'!$B$246,MOD(MONTH(G$3),3)=0),('01_Вводные'!$B$152*G5+IF('01_Вводные'!$D$138="Да",G30,0)+G8+G9)*'01_Вводные'!$B$130,0)</f>
        <v/>
      </c>
      <c r="H21" s="95">
        <f>IF(AND(H$3&gt;='01_Вводные'!$B$246,MOD(MONTH(H$3),3)=0),('01_Вводные'!$B$152*H5+IF('01_Вводные'!$D$138="Да",H30,0)+H8+H9)*'01_Вводные'!$B$130,0)</f>
        <v/>
      </c>
      <c r="I21" s="95">
        <f>IF(AND(I$3&gt;='01_Вводные'!$B$246,MOD(MONTH(I$3),3)=0),('01_Вводные'!$B$152*I5+IF('01_Вводные'!$D$138="Да",I30,0)+I8+I9)*'01_Вводные'!$B$130,0)</f>
        <v/>
      </c>
      <c r="J21" s="95">
        <f>IF(AND(J$3&gt;='01_Вводные'!$B$246,MOD(MONTH(J$3),3)=0),('01_Вводные'!$B$152*J5+IF('01_Вводные'!$D$138="Да",J30,0)+J8+J9)*'01_Вводные'!$B$130,0)</f>
        <v/>
      </c>
      <c r="K21" s="95">
        <f>IF(AND(K$3&gt;='01_Вводные'!$B$246,MOD(MONTH(K$3),3)=0),('01_Вводные'!$B$152*K5+IF('01_Вводные'!$D$138="Да",K30,0)+K8+K9)*'01_Вводные'!$B$130,0)</f>
        <v/>
      </c>
      <c r="L21" s="95">
        <f>IF(AND(L$3&gt;='01_Вводные'!$B$246,MOD(MONTH(L$3),3)=0),('01_Вводные'!$B$152*L5+IF('01_Вводные'!$D$138="Да",L30,0)+L8+L9)*'01_Вводные'!$B$130,0)</f>
        <v/>
      </c>
      <c r="M21" s="95">
        <f>IF(AND(M$3&gt;='01_Вводные'!$B$246,MOD(MONTH(M$3),3)=0),('01_Вводные'!$B$152*M5+IF('01_Вводные'!$D$138="Да",M30,0)+M8+M9)*'01_Вводные'!$B$130,0)</f>
        <v/>
      </c>
      <c r="N21" s="95">
        <f>IF(AND(N$3&gt;='01_Вводные'!$B$246,MOD(MONTH(N$3),3)=0),('01_Вводные'!$B$152*N5+IF('01_Вводные'!$D$138="Да",N30,0)+N8+N9)*'01_Вводные'!$B$130,0)</f>
        <v/>
      </c>
      <c r="O21" s="95">
        <f>IF(AND(O$3&gt;='01_Вводные'!$B$246,MOD(MONTH(O$3),3)=0),('01_Вводные'!$B$152*O5+IF('01_Вводные'!$D$138="Да",O30,0)+O8+O9)*'01_Вводные'!$B$130,0)</f>
        <v/>
      </c>
      <c r="P21" s="95">
        <f>IF(AND(P$3&gt;='01_Вводные'!$B$246,MOD(MONTH(P$3),3)=0),('01_Вводные'!$B$152*P5+IF('01_Вводные'!$D$138="Да",P30,0)+P8+P9)*'01_Вводные'!$B$130,0)</f>
        <v/>
      </c>
      <c r="Q21" s="95">
        <f>IF(AND(Q$3&gt;='01_Вводные'!$B$246,MOD(MONTH(Q$3),3)=0),('01_Вводные'!$B$152*Q5+IF('01_Вводные'!$D$138="Да",Q30,0)+Q8+Q9)*'01_Вводные'!$B$130,0)</f>
        <v/>
      </c>
      <c r="R21" s="95">
        <f>IF(AND(R$3&gt;='01_Вводные'!$B$246,MOD(MONTH(R$3),3)=0),('01_Вводные'!$B$152*R5+IF('01_Вводные'!$D$138="Да",R30,0)+R8+R9)*'01_Вводные'!$B$130,0)</f>
        <v/>
      </c>
      <c r="S21" s="95">
        <f>IF(AND(S$3&gt;='01_Вводные'!$B$246,MOD(MONTH(S$3),3)=0),('01_Вводные'!$B$152*S5+IF('01_Вводные'!$D$138="Да",S30,0)+S8+S9)*'01_Вводные'!$B$130,0)</f>
        <v/>
      </c>
      <c r="T21" s="95">
        <f>IF(AND(T$3&gt;='01_Вводные'!$B$246,MOD(MONTH(T$3),3)=0),('01_Вводные'!$B$152*T5+IF('01_Вводные'!$D$138="Да",T30,0)+T8+T9)*'01_Вводные'!$B$130,0)</f>
        <v/>
      </c>
      <c r="U21" s="95">
        <f>IF(AND(U$3&gt;='01_Вводные'!$B$246,MOD(MONTH(U$3),3)=0),('01_Вводные'!$B$152*U5+IF('01_Вводные'!$D$138="Да",U30,0)+U8+U9)*'01_Вводные'!$B$130,0)</f>
        <v/>
      </c>
      <c r="V21" s="95">
        <f>IF(AND(V$3&gt;='01_Вводные'!$B$246,MOD(MONTH(V$3),3)=0),('01_Вводные'!$B$152*V5+IF('01_Вводные'!$D$138="Да",V30,0)+V8+V9)*'01_Вводные'!$B$130,0)</f>
        <v/>
      </c>
      <c r="W21" s="95">
        <f>IF(AND(W$3&gt;='01_Вводные'!$B$246,MOD(MONTH(W$3),3)=0),('01_Вводные'!$B$152*W5+IF('01_Вводные'!$D$138="Да",W30,0)+W8+W9)*'01_Вводные'!$B$130,0)</f>
        <v/>
      </c>
      <c r="X21" s="95">
        <f>IF(AND(X$3&gt;='01_Вводные'!$B$246,MOD(MONTH(X$3),3)=0),('01_Вводные'!$B$152*X5+IF('01_Вводные'!$D$138="Да",X30,0)+X8+X9)*'01_Вводные'!$B$130,0)</f>
        <v/>
      </c>
      <c r="Y21" s="95">
        <f>IF(AND(Y$3&gt;='01_Вводные'!$B$246,MOD(MONTH(Y$3),3)=0),('01_Вводные'!$B$152*Y5+IF('01_Вводные'!$D$138="Да",Y30,0)+Y8+Y9)*'01_Вводные'!$B$130,0)</f>
        <v/>
      </c>
      <c r="Z21" s="95">
        <f>IF(AND(Z$3&gt;='01_Вводные'!$B$246,MOD(MONTH(Z$3),3)=0),('01_Вводные'!$B$152*Z5+IF('01_Вводные'!$D$138="Да",Z30,0)+Z8+Z9)*'01_Вводные'!$B$130,0)</f>
        <v/>
      </c>
      <c r="AA21" s="95">
        <f>IF(AND(AA$3&gt;='01_Вводные'!$B$246,MOD(MONTH(AA$3),3)=0),('01_Вводные'!$B$152*AA5+IF('01_Вводные'!$D$138="Да",AA30,0)+AA8+AA9)*'01_Вводные'!$B$130,0)</f>
        <v/>
      </c>
      <c r="AB21" s="95">
        <f>IF(AND(AB$3&gt;='01_Вводные'!$B$246,MOD(MONTH(AB$3),3)=0),('01_Вводные'!$B$152*AB5+IF('01_Вводные'!$D$138="Да",AB30,0)+AB8+AB9)*'01_Вводные'!$B$130,0)</f>
        <v/>
      </c>
      <c r="AC21" s="95">
        <f>IF(AND(AC$3&gt;='01_Вводные'!$B$246,MOD(MONTH(AC$3),3)=0),('01_Вводные'!$B$152*AC5+IF('01_Вводные'!$D$138="Да",AC30,0)+AC8+AC9)*'01_Вводные'!$B$130,0)</f>
        <v/>
      </c>
      <c r="AD21" s="95">
        <f>IF(AND(AD$3&gt;='01_Вводные'!$B$246,MOD(MONTH(AD$3),3)=0),('01_Вводные'!$B$152*AD5+IF('01_Вводные'!$D$138="Да",AD30,0)+AD8+AD9)*'01_Вводные'!$B$130,0)</f>
        <v/>
      </c>
      <c r="AE21" s="95">
        <f>IF(AND(AE$3&gt;='01_Вводные'!$B$246,MOD(MONTH(AE$3),3)=0),('01_Вводные'!$B$152*AE5+IF('01_Вводные'!$D$138="Да",AE30,0)+AE8+AE9)*'01_Вводные'!$B$130,0)</f>
        <v/>
      </c>
      <c r="AF21" s="95">
        <f>IF(AND(AF$3&gt;='01_Вводные'!$B$246,MOD(MONTH(AF$3),3)=0),('01_Вводные'!$B$152*AF5+IF('01_Вводные'!$D$138="Да",AF30,0)+AF8+AF9)*'01_Вводные'!$B$130,0)</f>
        <v/>
      </c>
      <c r="AG21" s="95">
        <f>IF(AND(AG$3&gt;='01_Вводные'!$B$246,MOD(MONTH(AG$3),3)=0),('01_Вводные'!$B$152*AG5+IF('01_Вводные'!$D$138="Да",AG30,0)+AG8+AG9)*'01_Вводные'!$B$130,0)</f>
        <v/>
      </c>
      <c r="AH21" s="95">
        <f>IF(AND(AH$3&gt;='01_Вводные'!$B$246,MOD(MONTH(AH$3),3)=0),('01_Вводные'!$B$152*AH5+IF('01_Вводные'!$D$138="Да",AH30,0)+AH8+AH9)*'01_Вводные'!$B$130,0)</f>
        <v/>
      </c>
      <c r="AI21" s="95">
        <f>IF(AND(AI$3&gt;='01_Вводные'!$B$246,MOD(MONTH(AI$3),3)=0),('01_Вводные'!$B$152*AI5+IF('01_Вводные'!$D$138="Да",AI30,0)+AI8+AI9)*'01_Вводные'!$B$130,0)</f>
        <v/>
      </c>
      <c r="AJ21" s="95">
        <f>IF(AND(AJ$3&gt;='01_Вводные'!$B$246,MOD(MONTH(AJ$3),3)=0),('01_Вводные'!$B$152*AJ5+IF('01_Вводные'!$D$138="Да",AJ30,0)+AJ8+AJ9)*'01_Вводные'!$B$130,0)</f>
        <v/>
      </c>
      <c r="AK21" s="95">
        <f>IF(AND(AK$3&gt;='01_Вводные'!$B$246,MOD(MONTH(AK$3),3)=0),('01_Вводные'!$B$152*AK5+IF('01_Вводные'!$D$138="Да",AK30,0)+AK8+AK9)*'01_Вводные'!$B$130,0)</f>
        <v/>
      </c>
      <c r="AL21" s="95">
        <f>IF(AND(AL$3&gt;='01_Вводные'!$B$246,MOD(MONTH(AL$3),3)=0),('01_Вводные'!$B$152*AL5+IF('01_Вводные'!$D$138="Да",AL30,0)+AL8+AL9)*'01_Вводные'!$B$130,0)</f>
        <v/>
      </c>
      <c r="AM21" s="95">
        <f>IF(AND(AM$3&gt;='01_Вводные'!$B$246,MOD(MONTH(AM$3),3)=0),('01_Вводные'!$B$152*AM5+IF('01_Вводные'!$D$138="Да",AM30,0)+AM8+AM9)*'01_Вводные'!$B$130,0)</f>
        <v/>
      </c>
      <c r="AN21" s="95">
        <f>IF(AND(AN$3&gt;='01_Вводные'!$B$246,MOD(MONTH(AN$3),3)=0),('01_Вводные'!$B$152*AN5+IF('01_Вводные'!$D$138="Да",AN30,0)+AN8+AN9)*'01_Вводные'!$B$130,0)</f>
        <v/>
      </c>
      <c r="AO21" s="95">
        <f>IF(AND(AO$3&gt;='01_Вводные'!$B$246,MOD(MONTH(AO$3),3)=0),('01_Вводные'!$B$152*AO5+IF('01_Вводные'!$D$138="Да",AO30,0)+AO8+AO9)*'01_Вводные'!$B$130,0)</f>
        <v/>
      </c>
      <c r="AP21" s="95">
        <f>IF(AND(AP$3&gt;='01_Вводные'!$B$246,MOD(MONTH(AP$3),3)=0),('01_Вводные'!$B$152*AP5+IF('01_Вводные'!$D$138="Да",AP30,0)+AP8+AP9)*'01_Вводные'!$B$130,0)</f>
        <v/>
      </c>
      <c r="AQ21" s="95">
        <f>IF(AND(AQ$3&gt;='01_Вводные'!$B$246,MOD(MONTH(AQ$3),3)=0),('01_Вводные'!$B$152*AQ5+IF('01_Вводные'!$D$138="Да",AQ30,0)+AQ8+AQ9)*'01_Вводные'!$B$130,0)</f>
        <v/>
      </c>
      <c r="AR21" s="95">
        <f>IF(AND(AR$3&gt;='01_Вводные'!$B$246,MOD(MONTH(AR$3),3)=0),('01_Вводные'!$B$152*AR5+IF('01_Вводные'!$D$138="Да",AR30,0)+AR8+AR9)*'01_Вводные'!$B$130,0)</f>
        <v/>
      </c>
      <c r="AS21" s="95">
        <f>IF(AND(AS$3&gt;='01_Вводные'!$B$246,MOD(MONTH(AS$3),3)=0),('01_Вводные'!$B$152*AS5+IF('01_Вводные'!$D$138="Да",AS30,0)+AS8+AS9)*'01_Вводные'!$B$130,0)</f>
        <v/>
      </c>
      <c r="AT21" s="95">
        <f>IF(AND(AT$3&gt;='01_Вводные'!$B$246,MOD(MONTH(AT$3),3)=0),('01_Вводные'!$B$152*AT5+IF('01_Вводные'!$D$138="Да",AT30,0)+AT8+AT9)*'01_Вводные'!$B$130,0)</f>
        <v/>
      </c>
      <c r="AU21" s="95">
        <f>IF(AND(AU$3&gt;='01_Вводные'!$B$246,MOD(MONTH(AU$3),3)=0),('01_Вводные'!$B$152*AU5+IF('01_Вводные'!$D$138="Да",AU30,0)+AU8+AU9)*'01_Вводные'!$B$130,0)</f>
        <v/>
      </c>
      <c r="AV21" s="95">
        <f>IF(AND(AV$3&gt;='01_Вводные'!$B$246,MOD(MONTH(AV$3),3)=0),('01_Вводные'!$B$152*AV5+IF('01_Вводные'!$D$138="Да",AV30,0)+AV8+AV9)*'01_Вводные'!$B$130,0)</f>
        <v/>
      </c>
      <c r="AW21" s="95">
        <f>IF(AND(AW$3&gt;='01_Вводные'!$B$246,MOD(MONTH(AW$3),3)=0),('01_Вводные'!$B$152*AW5+IF('01_Вводные'!$D$138="Да",AW30,0)+AW8+AW9)*'01_Вводные'!$B$130,0)</f>
        <v/>
      </c>
      <c r="AX21" s="95">
        <f>IF(AND(AX$3&gt;='01_Вводные'!$B$246,MOD(MONTH(AX$3),3)=0),('01_Вводные'!$B$152*AX5+IF('01_Вводные'!$D$138="Да",AX30,0)+AX8+AX9)*'01_Вводные'!$B$130,0)</f>
        <v/>
      </c>
      <c r="AY21" s="95">
        <f>IF(AND(AY$3&gt;='01_Вводные'!$B$246,MOD(MONTH(AY$3),3)=0),('01_Вводные'!$B$152*AY5+IF('01_Вводные'!$D$138="Да",AY30,0)+AY8+AY9)*'01_Вводные'!$B$130,0)</f>
        <v/>
      </c>
      <c r="AZ21" s="95">
        <f>IF(AND(AZ$3&gt;='01_Вводные'!$B$246,MOD(MONTH(AZ$3),3)=0),('01_Вводные'!$B$152*AZ5+IF('01_Вводные'!$D$138="Да",AZ30,0)+AZ8+AZ9)*'01_Вводные'!$B$130,0)</f>
        <v/>
      </c>
      <c r="BA21" s="95">
        <f>IF(AND(BA$3&gt;='01_Вводные'!$B$246,MOD(MONTH(BA$3),3)=0),('01_Вводные'!$B$152*BA5+IF('01_Вводные'!$D$138="Да",BA30,0)+BA8+BA9)*'01_Вводные'!$B$130,0)</f>
        <v/>
      </c>
      <c r="BB21" s="95">
        <f>IF(AND(BB$3&gt;='01_Вводные'!$B$246,MOD(MONTH(BB$3),3)=0),('01_Вводные'!$B$152*BB5+IF('01_Вводные'!$D$138="Да",BB30,0)+BB8+BB9)*'01_Вводные'!$B$130,0)</f>
        <v/>
      </c>
      <c r="BC21" s="95">
        <f>IF(AND(BC$3&gt;='01_Вводные'!$B$246,MOD(MONTH(BC$3),3)=0),('01_Вводные'!$B$152*BC5+IF('01_Вводные'!$D$138="Да",BC30,0)+BC8+BC9)*'01_Вводные'!$B$130,0)</f>
        <v/>
      </c>
      <c r="BD21" s="95">
        <f>IF(AND(BD$3&gt;='01_Вводные'!$B$246,MOD(MONTH(BD$3),3)=0),('01_Вводные'!$B$152*BD5+IF('01_Вводные'!$D$138="Да",BD30,0)+BD8+BD9)*'01_Вводные'!$B$130,0)</f>
        <v/>
      </c>
      <c r="BE21" s="95">
        <f>IF(AND(BE$3&gt;='01_Вводные'!$B$246,MOD(MONTH(BE$3),3)=0),('01_Вводные'!$B$152*BE5+IF('01_Вводные'!$D$138="Да",BE30,0)+BE8+BE9)*'01_Вводные'!$B$130,0)</f>
        <v/>
      </c>
      <c r="BF21" s="95">
        <f>IF(AND(BF$3&gt;='01_Вводные'!$B$246,MOD(MONTH(BF$3),3)=0),('01_Вводные'!$B$152*BF5+IF('01_Вводные'!$D$138="Да",BF30,0)+BF8+BF9)*'01_Вводные'!$B$130,0)</f>
        <v/>
      </c>
      <c r="BG21" s="95">
        <f>IF(AND(BG$3&gt;='01_Вводные'!$B$246,MOD(MONTH(BG$3),3)=0),('01_Вводные'!$B$152*BG5+IF('01_Вводные'!$D$138="Да",BG30,0)+BG8+BG9)*'01_Вводные'!$B$130,0)</f>
        <v/>
      </c>
      <c r="BH21" s="95">
        <f>IF(AND(BH$3&gt;='01_Вводные'!$B$246,MOD(MONTH(BH$3),3)=0),('01_Вводные'!$B$152*BH5+IF('01_Вводные'!$D$138="Да",BH30,0)+BH8+BH9)*'01_Вводные'!$B$130,0)</f>
        <v/>
      </c>
      <c r="BI21" s="95">
        <f>IF(AND(BI$3&gt;='01_Вводные'!$B$246,MOD(MONTH(BI$3),3)=0),('01_Вводные'!$B$152*BI5+IF('01_Вводные'!$D$138="Да",BI30,0)+BI8+BI9)*'01_Вводные'!$B$130,0)</f>
        <v/>
      </c>
    </row>
    <row r="22">
      <c r="A22" s="2" t="inlineStr">
        <is>
          <t>Взносы на квартальную премию</t>
        </is>
      </c>
      <c r="B22" s="42">
        <f>B21*'01_Вводные'!$B$131</f>
        <v/>
      </c>
      <c r="C22" s="42">
        <f>C21*'01_Вводные'!$B$131</f>
        <v/>
      </c>
      <c r="D22" s="42">
        <f>D21*'01_Вводные'!$B$131</f>
        <v/>
      </c>
      <c r="E22" s="42">
        <f>E21*'01_Вводные'!$B$131</f>
        <v/>
      </c>
      <c r="F22" s="42">
        <f>F21*'01_Вводные'!$B$131</f>
        <v/>
      </c>
      <c r="G22" s="42">
        <f>G21*'01_Вводные'!$B$131</f>
        <v/>
      </c>
      <c r="H22" s="42">
        <f>H21*'01_Вводные'!$B$131</f>
        <v/>
      </c>
      <c r="I22" s="42">
        <f>I21*'01_Вводные'!$B$131</f>
        <v/>
      </c>
      <c r="J22" s="42">
        <f>J21*'01_Вводные'!$B$131</f>
        <v/>
      </c>
      <c r="K22" s="42">
        <f>K21*'01_Вводные'!$B$131</f>
        <v/>
      </c>
      <c r="L22" s="42">
        <f>L21*'01_Вводные'!$B$131</f>
        <v/>
      </c>
      <c r="M22" s="42">
        <f>M21*'01_Вводные'!$B$131</f>
        <v/>
      </c>
      <c r="N22" s="42">
        <f>N21*'01_Вводные'!$B$131</f>
        <v/>
      </c>
      <c r="O22" s="42">
        <f>O21*'01_Вводные'!$B$131</f>
        <v/>
      </c>
      <c r="P22" s="42">
        <f>P21*'01_Вводные'!$B$131</f>
        <v/>
      </c>
      <c r="Q22" s="42">
        <f>Q21*'01_Вводные'!$B$131</f>
        <v/>
      </c>
      <c r="R22" s="42">
        <f>R21*'01_Вводные'!$B$131</f>
        <v/>
      </c>
      <c r="S22" s="42">
        <f>S21*'01_Вводные'!$B$131</f>
        <v/>
      </c>
      <c r="T22" s="42">
        <f>T21*'01_Вводные'!$B$131</f>
        <v/>
      </c>
      <c r="U22" s="42">
        <f>U21*'01_Вводные'!$B$131</f>
        <v/>
      </c>
      <c r="V22" s="42">
        <f>V21*'01_Вводные'!$B$131</f>
        <v/>
      </c>
      <c r="W22" s="42">
        <f>W21*'01_Вводные'!$B$131</f>
        <v/>
      </c>
      <c r="X22" s="42">
        <f>X21*'01_Вводные'!$B$131</f>
        <v/>
      </c>
      <c r="Y22" s="42">
        <f>Y21*'01_Вводные'!$B$131</f>
        <v/>
      </c>
      <c r="Z22" s="42">
        <f>Z21*'01_Вводные'!$B$131</f>
        <v/>
      </c>
      <c r="AA22" s="42">
        <f>AA21*'01_Вводные'!$B$131</f>
        <v/>
      </c>
      <c r="AB22" s="42">
        <f>AB21*'01_Вводные'!$B$131</f>
        <v/>
      </c>
      <c r="AC22" s="42">
        <f>AC21*'01_Вводные'!$B$131</f>
        <v/>
      </c>
      <c r="AD22" s="42">
        <f>AD21*'01_Вводные'!$B$131</f>
        <v/>
      </c>
      <c r="AE22" s="42">
        <f>AE21*'01_Вводные'!$B$131</f>
        <v/>
      </c>
      <c r="AF22" s="42">
        <f>AF21*'01_Вводные'!$B$131</f>
        <v/>
      </c>
      <c r="AG22" s="42">
        <f>AG21*'01_Вводные'!$B$131</f>
        <v/>
      </c>
      <c r="AH22" s="42">
        <f>AH21*'01_Вводные'!$B$131</f>
        <v/>
      </c>
      <c r="AI22" s="42">
        <f>AI21*'01_Вводные'!$B$131</f>
        <v/>
      </c>
      <c r="AJ22" s="42">
        <f>AJ21*'01_Вводные'!$B$131</f>
        <v/>
      </c>
      <c r="AK22" s="42">
        <f>AK21*'01_Вводные'!$B$131</f>
        <v/>
      </c>
      <c r="AL22" s="42">
        <f>AL21*'01_Вводные'!$B$131</f>
        <v/>
      </c>
      <c r="AM22" s="42">
        <f>AM21*'01_Вводные'!$B$131</f>
        <v/>
      </c>
      <c r="AN22" s="42">
        <f>AN21*'01_Вводные'!$B$131</f>
        <v/>
      </c>
      <c r="AO22" s="42">
        <f>AO21*'01_Вводные'!$B$131</f>
        <v/>
      </c>
      <c r="AP22" s="42">
        <f>AP21*'01_Вводные'!$B$131</f>
        <v/>
      </c>
      <c r="AQ22" s="42">
        <f>AQ21*'01_Вводные'!$B$131</f>
        <v/>
      </c>
      <c r="AR22" s="42">
        <f>AR21*'01_Вводные'!$B$131</f>
        <v/>
      </c>
      <c r="AS22" s="42">
        <f>AS21*'01_Вводные'!$B$131</f>
        <v/>
      </c>
      <c r="AT22" s="42">
        <f>AT21*'01_Вводные'!$B$131</f>
        <v/>
      </c>
      <c r="AU22" s="42">
        <f>AU21*'01_Вводные'!$B$131</f>
        <v/>
      </c>
      <c r="AV22" s="42">
        <f>AV21*'01_Вводные'!$B$131</f>
        <v/>
      </c>
      <c r="AW22" s="42">
        <f>AW21*'01_Вводные'!$B$131</f>
        <v/>
      </c>
      <c r="AX22" s="42">
        <f>AX21*'01_Вводные'!$B$131</f>
        <v/>
      </c>
      <c r="AY22" s="42">
        <f>AY21*'01_Вводные'!$B$131</f>
        <v/>
      </c>
      <c r="AZ22" s="42">
        <f>AZ21*'01_Вводные'!$B$131</f>
        <v/>
      </c>
      <c r="BA22" s="42">
        <f>BA21*'01_Вводные'!$B$131</f>
        <v/>
      </c>
      <c r="BB22" s="42">
        <f>BB21*'01_Вводные'!$B$131</f>
        <v/>
      </c>
      <c r="BC22" s="42">
        <f>BC21*'01_Вводные'!$B$131</f>
        <v/>
      </c>
      <c r="BD22" s="42">
        <f>BD21*'01_Вводные'!$B$131</f>
        <v/>
      </c>
      <c r="BE22" s="42">
        <f>BE21*'01_Вводные'!$B$131</f>
        <v/>
      </c>
      <c r="BF22" s="42">
        <f>BF21*'01_Вводные'!$B$131</f>
        <v/>
      </c>
      <c r="BG22" s="42">
        <f>BG21*'01_Вводные'!$B$131</f>
        <v/>
      </c>
      <c r="BH22" s="42">
        <f>BH21*'01_Вводные'!$B$131</f>
        <v/>
      </c>
      <c r="BI22" s="42">
        <f>BI21*'01_Вводные'!$B$131</f>
        <v/>
      </c>
    </row>
    <row r="23" ht="20" customHeight="1">
      <c r="A23" s="4" t="inlineStr">
        <is>
          <t>Разовые кадровые расходы</t>
        </is>
      </c>
    </row>
    <row r="24">
      <c r="A24" s="2" t="inlineStr">
        <is>
          <t>Комиссия агентства</t>
        </is>
      </c>
      <c r="B24" s="95">
        <f>(MAX(0,B10-0)*'01_Вводные'!$B$119*B5+IF(B$3='01_Вводные'!$B$247,'01_Вводные'!$B$133/'01_Вводные'!$B$132,0)+IF(B$3='01_Вводные'!$B$248,'01_Вводные'!$B$134/'01_Вводные'!$B$132,0))*'01_Вводные'!$B$120</f>
        <v/>
      </c>
      <c r="C24" s="95">
        <f>(MAX(0,C10-B10)*'01_Вводные'!$B$119*C5+IF(C$3='01_Вводные'!$B$247,'01_Вводные'!$B$133/'01_Вводные'!$B$132,0)+IF(C$3='01_Вводные'!$B$248,'01_Вводные'!$B$134/'01_Вводные'!$B$132,0))*'01_Вводные'!$B$120</f>
        <v/>
      </c>
      <c r="D24" s="95">
        <f>(MAX(0,D10-C10)*'01_Вводные'!$B$119*D5+IF(D$3='01_Вводные'!$B$247,'01_Вводные'!$B$133/'01_Вводные'!$B$132,0)+IF(D$3='01_Вводные'!$B$248,'01_Вводные'!$B$134/'01_Вводные'!$B$132,0))*'01_Вводные'!$B$120</f>
        <v/>
      </c>
      <c r="E24" s="95">
        <f>(MAX(0,E10-D10)*'01_Вводные'!$B$119*E5+IF(E$3='01_Вводные'!$B$247,'01_Вводные'!$B$133/'01_Вводные'!$B$132,0)+IF(E$3='01_Вводные'!$B$248,'01_Вводные'!$B$134/'01_Вводные'!$B$132,0))*'01_Вводные'!$B$120</f>
        <v/>
      </c>
      <c r="F24" s="95">
        <f>(MAX(0,F10-E10)*'01_Вводные'!$B$119*F5+IF(F$3='01_Вводные'!$B$247,'01_Вводные'!$B$133/'01_Вводные'!$B$132,0)+IF(F$3='01_Вводные'!$B$248,'01_Вводные'!$B$134/'01_Вводные'!$B$132,0))*'01_Вводные'!$B$120</f>
        <v/>
      </c>
      <c r="G24" s="95">
        <f>(MAX(0,G10-F10)*'01_Вводные'!$B$119*G5+IF(G$3='01_Вводные'!$B$247,'01_Вводные'!$B$133/'01_Вводные'!$B$132,0)+IF(G$3='01_Вводные'!$B$248,'01_Вводные'!$B$134/'01_Вводные'!$B$132,0))*'01_Вводные'!$B$120</f>
        <v/>
      </c>
      <c r="H24" s="95">
        <f>(MAX(0,H10-G10)*'01_Вводные'!$B$119*H5+IF(H$3='01_Вводные'!$B$247,'01_Вводные'!$B$133/'01_Вводные'!$B$132,0)+IF(H$3='01_Вводные'!$B$248,'01_Вводные'!$B$134/'01_Вводные'!$B$132,0))*'01_Вводные'!$B$120</f>
        <v/>
      </c>
      <c r="I24" s="95">
        <f>(MAX(0,I10-H10)*'01_Вводные'!$B$119*I5+IF(I$3='01_Вводные'!$B$247,'01_Вводные'!$B$133/'01_Вводные'!$B$132,0)+IF(I$3='01_Вводные'!$B$248,'01_Вводные'!$B$134/'01_Вводные'!$B$132,0))*'01_Вводные'!$B$120</f>
        <v/>
      </c>
      <c r="J24" s="95">
        <f>(MAX(0,J10-I10)*'01_Вводные'!$B$119*J5+IF(J$3='01_Вводные'!$B$247,'01_Вводные'!$B$133/'01_Вводные'!$B$132,0)+IF(J$3='01_Вводные'!$B$248,'01_Вводные'!$B$134/'01_Вводные'!$B$132,0))*'01_Вводные'!$B$120</f>
        <v/>
      </c>
      <c r="K24" s="95">
        <f>(MAX(0,K10-J10)*'01_Вводные'!$B$119*K5+IF(K$3='01_Вводные'!$B$247,'01_Вводные'!$B$133/'01_Вводные'!$B$132,0)+IF(K$3='01_Вводные'!$B$248,'01_Вводные'!$B$134/'01_Вводные'!$B$132,0))*'01_Вводные'!$B$120</f>
        <v/>
      </c>
      <c r="L24" s="95">
        <f>(MAX(0,L10-K10)*'01_Вводные'!$B$119*L5+IF(L$3='01_Вводные'!$B$247,'01_Вводные'!$B$133/'01_Вводные'!$B$132,0)+IF(L$3='01_Вводные'!$B$248,'01_Вводные'!$B$134/'01_Вводные'!$B$132,0))*'01_Вводные'!$B$120</f>
        <v/>
      </c>
      <c r="M24" s="95">
        <f>(MAX(0,M10-L10)*'01_Вводные'!$B$119*M5+IF(M$3='01_Вводные'!$B$247,'01_Вводные'!$B$133/'01_Вводные'!$B$132,0)+IF(M$3='01_Вводные'!$B$248,'01_Вводные'!$B$134/'01_Вводные'!$B$132,0))*'01_Вводные'!$B$120</f>
        <v/>
      </c>
      <c r="N24" s="95">
        <f>(MAX(0,N10-M10)*'01_Вводные'!$B$119*N5+IF(N$3='01_Вводные'!$B$247,'01_Вводные'!$B$133/'01_Вводные'!$B$132,0)+IF(N$3='01_Вводные'!$B$248,'01_Вводные'!$B$134/'01_Вводные'!$B$132,0))*'01_Вводные'!$B$120</f>
        <v/>
      </c>
      <c r="O24" s="95">
        <f>(MAX(0,O10-N10)*'01_Вводные'!$B$119*O5+IF(O$3='01_Вводные'!$B$247,'01_Вводные'!$B$133/'01_Вводные'!$B$132,0)+IF(O$3='01_Вводные'!$B$248,'01_Вводные'!$B$134/'01_Вводные'!$B$132,0))*'01_Вводные'!$B$120</f>
        <v/>
      </c>
      <c r="P24" s="95">
        <f>(MAX(0,P10-O10)*'01_Вводные'!$B$119*P5+IF(P$3='01_Вводные'!$B$247,'01_Вводные'!$B$133/'01_Вводные'!$B$132,0)+IF(P$3='01_Вводные'!$B$248,'01_Вводные'!$B$134/'01_Вводные'!$B$132,0))*'01_Вводные'!$B$120</f>
        <v/>
      </c>
      <c r="Q24" s="95">
        <f>(MAX(0,Q10-P10)*'01_Вводные'!$B$119*Q5+IF(Q$3='01_Вводные'!$B$247,'01_Вводные'!$B$133/'01_Вводные'!$B$132,0)+IF(Q$3='01_Вводные'!$B$248,'01_Вводные'!$B$134/'01_Вводные'!$B$132,0))*'01_Вводные'!$B$120</f>
        <v/>
      </c>
      <c r="R24" s="95">
        <f>(MAX(0,R10-Q10)*'01_Вводные'!$B$119*R5+IF(R$3='01_Вводные'!$B$247,'01_Вводные'!$B$133/'01_Вводные'!$B$132,0)+IF(R$3='01_Вводные'!$B$248,'01_Вводные'!$B$134/'01_Вводные'!$B$132,0))*'01_Вводные'!$B$120</f>
        <v/>
      </c>
      <c r="S24" s="95">
        <f>(MAX(0,S10-R10)*'01_Вводные'!$B$119*S5+IF(S$3='01_Вводные'!$B$247,'01_Вводные'!$B$133/'01_Вводные'!$B$132,0)+IF(S$3='01_Вводные'!$B$248,'01_Вводные'!$B$134/'01_Вводные'!$B$132,0))*'01_Вводные'!$B$120</f>
        <v/>
      </c>
      <c r="T24" s="95">
        <f>(MAX(0,T10-S10)*'01_Вводные'!$B$119*T5+IF(T$3='01_Вводные'!$B$247,'01_Вводные'!$B$133/'01_Вводные'!$B$132,0)+IF(T$3='01_Вводные'!$B$248,'01_Вводные'!$B$134/'01_Вводные'!$B$132,0))*'01_Вводные'!$B$120</f>
        <v/>
      </c>
      <c r="U24" s="95">
        <f>(MAX(0,U10-T10)*'01_Вводные'!$B$119*U5+IF(U$3='01_Вводные'!$B$247,'01_Вводные'!$B$133/'01_Вводные'!$B$132,0)+IF(U$3='01_Вводные'!$B$248,'01_Вводные'!$B$134/'01_Вводные'!$B$132,0))*'01_Вводные'!$B$120</f>
        <v/>
      </c>
      <c r="V24" s="95">
        <f>(MAX(0,V10-U10)*'01_Вводные'!$B$119*V5+IF(V$3='01_Вводные'!$B$247,'01_Вводные'!$B$133/'01_Вводные'!$B$132,0)+IF(V$3='01_Вводные'!$B$248,'01_Вводные'!$B$134/'01_Вводные'!$B$132,0))*'01_Вводные'!$B$120</f>
        <v/>
      </c>
      <c r="W24" s="95">
        <f>(MAX(0,W10-V10)*'01_Вводные'!$B$119*W5+IF(W$3='01_Вводные'!$B$247,'01_Вводные'!$B$133/'01_Вводные'!$B$132,0)+IF(W$3='01_Вводные'!$B$248,'01_Вводные'!$B$134/'01_Вводные'!$B$132,0))*'01_Вводные'!$B$120</f>
        <v/>
      </c>
      <c r="X24" s="95">
        <f>(MAX(0,X10-W10)*'01_Вводные'!$B$119*X5+IF(X$3='01_Вводные'!$B$247,'01_Вводные'!$B$133/'01_Вводные'!$B$132,0)+IF(X$3='01_Вводные'!$B$248,'01_Вводные'!$B$134/'01_Вводные'!$B$132,0))*'01_Вводные'!$B$120</f>
        <v/>
      </c>
      <c r="Y24" s="95">
        <f>(MAX(0,Y10-X10)*'01_Вводные'!$B$119*Y5+IF(Y$3='01_Вводные'!$B$247,'01_Вводные'!$B$133/'01_Вводные'!$B$132,0)+IF(Y$3='01_Вводные'!$B$248,'01_Вводные'!$B$134/'01_Вводные'!$B$132,0))*'01_Вводные'!$B$120</f>
        <v/>
      </c>
      <c r="Z24" s="95">
        <f>(MAX(0,Z10-Y10)*'01_Вводные'!$B$119*Z5+IF(Z$3='01_Вводные'!$B$247,'01_Вводные'!$B$133/'01_Вводные'!$B$132,0)+IF(Z$3='01_Вводные'!$B$248,'01_Вводные'!$B$134/'01_Вводные'!$B$132,0))*'01_Вводные'!$B$120</f>
        <v/>
      </c>
      <c r="AA24" s="95">
        <f>(MAX(0,AA10-Z10)*'01_Вводные'!$B$119*AA5+IF(AA$3='01_Вводные'!$B$247,'01_Вводные'!$B$133/'01_Вводные'!$B$132,0)+IF(AA$3='01_Вводные'!$B$248,'01_Вводные'!$B$134/'01_Вводные'!$B$132,0))*'01_Вводные'!$B$120</f>
        <v/>
      </c>
      <c r="AB24" s="95">
        <f>(MAX(0,AB10-AA10)*'01_Вводные'!$B$119*AB5+IF(AB$3='01_Вводные'!$B$247,'01_Вводные'!$B$133/'01_Вводные'!$B$132,0)+IF(AB$3='01_Вводные'!$B$248,'01_Вводные'!$B$134/'01_Вводные'!$B$132,0))*'01_Вводные'!$B$120</f>
        <v/>
      </c>
      <c r="AC24" s="95">
        <f>(MAX(0,AC10-AB10)*'01_Вводные'!$B$119*AC5+IF(AC$3='01_Вводные'!$B$247,'01_Вводные'!$B$133/'01_Вводные'!$B$132,0)+IF(AC$3='01_Вводные'!$B$248,'01_Вводные'!$B$134/'01_Вводные'!$B$132,0))*'01_Вводные'!$B$120</f>
        <v/>
      </c>
      <c r="AD24" s="95">
        <f>(MAX(0,AD10-AC10)*'01_Вводные'!$B$119*AD5+IF(AD$3='01_Вводные'!$B$247,'01_Вводные'!$B$133/'01_Вводные'!$B$132,0)+IF(AD$3='01_Вводные'!$B$248,'01_Вводные'!$B$134/'01_Вводные'!$B$132,0))*'01_Вводные'!$B$120</f>
        <v/>
      </c>
      <c r="AE24" s="95">
        <f>(MAX(0,AE10-AD10)*'01_Вводные'!$B$119*AE5+IF(AE$3='01_Вводные'!$B$247,'01_Вводные'!$B$133/'01_Вводные'!$B$132,0)+IF(AE$3='01_Вводные'!$B$248,'01_Вводные'!$B$134/'01_Вводные'!$B$132,0))*'01_Вводные'!$B$120</f>
        <v/>
      </c>
      <c r="AF24" s="95">
        <f>(MAX(0,AF10-AE10)*'01_Вводные'!$B$119*AF5+IF(AF$3='01_Вводные'!$B$247,'01_Вводные'!$B$133/'01_Вводные'!$B$132,0)+IF(AF$3='01_Вводные'!$B$248,'01_Вводные'!$B$134/'01_Вводные'!$B$132,0))*'01_Вводные'!$B$120</f>
        <v/>
      </c>
      <c r="AG24" s="95">
        <f>(MAX(0,AG10-AF10)*'01_Вводные'!$B$119*AG5+IF(AG$3='01_Вводные'!$B$247,'01_Вводные'!$B$133/'01_Вводные'!$B$132,0)+IF(AG$3='01_Вводные'!$B$248,'01_Вводные'!$B$134/'01_Вводные'!$B$132,0))*'01_Вводные'!$B$120</f>
        <v/>
      </c>
      <c r="AH24" s="95">
        <f>(MAX(0,AH10-AG10)*'01_Вводные'!$B$119*AH5+IF(AH$3='01_Вводные'!$B$247,'01_Вводные'!$B$133/'01_Вводные'!$B$132,0)+IF(AH$3='01_Вводные'!$B$248,'01_Вводные'!$B$134/'01_Вводные'!$B$132,0))*'01_Вводные'!$B$120</f>
        <v/>
      </c>
      <c r="AI24" s="95">
        <f>(MAX(0,AI10-AH10)*'01_Вводные'!$B$119*AI5+IF(AI$3='01_Вводные'!$B$247,'01_Вводные'!$B$133/'01_Вводные'!$B$132,0)+IF(AI$3='01_Вводные'!$B$248,'01_Вводные'!$B$134/'01_Вводные'!$B$132,0))*'01_Вводные'!$B$120</f>
        <v/>
      </c>
      <c r="AJ24" s="95">
        <f>(MAX(0,AJ10-AI10)*'01_Вводные'!$B$119*AJ5+IF(AJ$3='01_Вводные'!$B$247,'01_Вводные'!$B$133/'01_Вводные'!$B$132,0)+IF(AJ$3='01_Вводные'!$B$248,'01_Вводные'!$B$134/'01_Вводные'!$B$132,0))*'01_Вводные'!$B$120</f>
        <v/>
      </c>
      <c r="AK24" s="95">
        <f>(MAX(0,AK10-AJ10)*'01_Вводные'!$B$119*AK5+IF(AK$3='01_Вводные'!$B$247,'01_Вводные'!$B$133/'01_Вводные'!$B$132,0)+IF(AK$3='01_Вводные'!$B$248,'01_Вводные'!$B$134/'01_Вводные'!$B$132,0))*'01_Вводные'!$B$120</f>
        <v/>
      </c>
      <c r="AL24" s="95">
        <f>(MAX(0,AL10-AK10)*'01_Вводные'!$B$119*AL5+IF(AL$3='01_Вводные'!$B$247,'01_Вводные'!$B$133/'01_Вводные'!$B$132,0)+IF(AL$3='01_Вводные'!$B$248,'01_Вводные'!$B$134/'01_Вводные'!$B$132,0))*'01_Вводные'!$B$120</f>
        <v/>
      </c>
      <c r="AM24" s="95">
        <f>(MAX(0,AM10-AL10)*'01_Вводные'!$B$119*AM5+IF(AM$3='01_Вводные'!$B$247,'01_Вводные'!$B$133/'01_Вводные'!$B$132,0)+IF(AM$3='01_Вводные'!$B$248,'01_Вводные'!$B$134/'01_Вводные'!$B$132,0))*'01_Вводные'!$B$120</f>
        <v/>
      </c>
      <c r="AN24" s="95">
        <f>(MAX(0,AN10-AM10)*'01_Вводные'!$B$119*AN5+IF(AN$3='01_Вводные'!$B$247,'01_Вводные'!$B$133/'01_Вводные'!$B$132,0)+IF(AN$3='01_Вводные'!$B$248,'01_Вводные'!$B$134/'01_Вводные'!$B$132,0))*'01_Вводные'!$B$120</f>
        <v/>
      </c>
      <c r="AO24" s="95">
        <f>(MAX(0,AO10-AN10)*'01_Вводные'!$B$119*AO5+IF(AO$3='01_Вводные'!$B$247,'01_Вводные'!$B$133/'01_Вводные'!$B$132,0)+IF(AO$3='01_Вводные'!$B$248,'01_Вводные'!$B$134/'01_Вводные'!$B$132,0))*'01_Вводные'!$B$120</f>
        <v/>
      </c>
      <c r="AP24" s="95">
        <f>(MAX(0,AP10-AO10)*'01_Вводные'!$B$119*AP5+IF(AP$3='01_Вводные'!$B$247,'01_Вводные'!$B$133/'01_Вводные'!$B$132,0)+IF(AP$3='01_Вводные'!$B$248,'01_Вводные'!$B$134/'01_Вводные'!$B$132,0))*'01_Вводные'!$B$120</f>
        <v/>
      </c>
      <c r="AQ24" s="95">
        <f>(MAX(0,AQ10-AP10)*'01_Вводные'!$B$119*AQ5+IF(AQ$3='01_Вводные'!$B$247,'01_Вводные'!$B$133/'01_Вводные'!$B$132,0)+IF(AQ$3='01_Вводные'!$B$248,'01_Вводные'!$B$134/'01_Вводные'!$B$132,0))*'01_Вводные'!$B$120</f>
        <v/>
      </c>
      <c r="AR24" s="95">
        <f>(MAX(0,AR10-AQ10)*'01_Вводные'!$B$119*AR5+IF(AR$3='01_Вводные'!$B$247,'01_Вводные'!$B$133/'01_Вводные'!$B$132,0)+IF(AR$3='01_Вводные'!$B$248,'01_Вводные'!$B$134/'01_Вводные'!$B$132,0))*'01_Вводные'!$B$120</f>
        <v/>
      </c>
      <c r="AS24" s="95">
        <f>(MAX(0,AS10-AR10)*'01_Вводные'!$B$119*AS5+IF(AS$3='01_Вводные'!$B$247,'01_Вводные'!$B$133/'01_Вводные'!$B$132,0)+IF(AS$3='01_Вводные'!$B$248,'01_Вводные'!$B$134/'01_Вводные'!$B$132,0))*'01_Вводные'!$B$120</f>
        <v/>
      </c>
      <c r="AT24" s="95">
        <f>(MAX(0,AT10-AS10)*'01_Вводные'!$B$119*AT5+IF(AT$3='01_Вводные'!$B$247,'01_Вводные'!$B$133/'01_Вводные'!$B$132,0)+IF(AT$3='01_Вводные'!$B$248,'01_Вводные'!$B$134/'01_Вводные'!$B$132,0))*'01_Вводные'!$B$120</f>
        <v/>
      </c>
      <c r="AU24" s="95">
        <f>(MAX(0,AU10-AT10)*'01_Вводные'!$B$119*AU5+IF(AU$3='01_Вводные'!$B$247,'01_Вводные'!$B$133/'01_Вводные'!$B$132,0)+IF(AU$3='01_Вводные'!$B$248,'01_Вводные'!$B$134/'01_Вводные'!$B$132,0))*'01_Вводные'!$B$120</f>
        <v/>
      </c>
      <c r="AV24" s="95">
        <f>(MAX(0,AV10-AU10)*'01_Вводные'!$B$119*AV5+IF(AV$3='01_Вводные'!$B$247,'01_Вводные'!$B$133/'01_Вводные'!$B$132,0)+IF(AV$3='01_Вводные'!$B$248,'01_Вводные'!$B$134/'01_Вводные'!$B$132,0))*'01_Вводные'!$B$120</f>
        <v/>
      </c>
      <c r="AW24" s="95">
        <f>(MAX(0,AW10-AV10)*'01_Вводные'!$B$119*AW5+IF(AW$3='01_Вводные'!$B$247,'01_Вводные'!$B$133/'01_Вводные'!$B$132,0)+IF(AW$3='01_Вводные'!$B$248,'01_Вводные'!$B$134/'01_Вводные'!$B$132,0))*'01_Вводные'!$B$120</f>
        <v/>
      </c>
      <c r="AX24" s="95">
        <f>(MAX(0,AX10-AW10)*'01_Вводные'!$B$119*AX5+IF(AX$3='01_Вводные'!$B$247,'01_Вводные'!$B$133/'01_Вводные'!$B$132,0)+IF(AX$3='01_Вводные'!$B$248,'01_Вводные'!$B$134/'01_Вводные'!$B$132,0))*'01_Вводные'!$B$120</f>
        <v/>
      </c>
      <c r="AY24" s="95">
        <f>(MAX(0,AY10-AX10)*'01_Вводные'!$B$119*AY5+IF(AY$3='01_Вводные'!$B$247,'01_Вводные'!$B$133/'01_Вводные'!$B$132,0)+IF(AY$3='01_Вводные'!$B$248,'01_Вводные'!$B$134/'01_Вводные'!$B$132,0))*'01_Вводные'!$B$120</f>
        <v/>
      </c>
      <c r="AZ24" s="95">
        <f>(MAX(0,AZ10-AY10)*'01_Вводные'!$B$119*AZ5+IF(AZ$3='01_Вводные'!$B$247,'01_Вводные'!$B$133/'01_Вводные'!$B$132,0)+IF(AZ$3='01_Вводные'!$B$248,'01_Вводные'!$B$134/'01_Вводные'!$B$132,0))*'01_Вводные'!$B$120</f>
        <v/>
      </c>
      <c r="BA24" s="95">
        <f>(MAX(0,BA10-AZ10)*'01_Вводные'!$B$119*BA5+IF(BA$3='01_Вводные'!$B$247,'01_Вводные'!$B$133/'01_Вводные'!$B$132,0)+IF(BA$3='01_Вводные'!$B$248,'01_Вводные'!$B$134/'01_Вводные'!$B$132,0))*'01_Вводные'!$B$120</f>
        <v/>
      </c>
      <c r="BB24" s="95">
        <f>(MAX(0,BB10-BA10)*'01_Вводные'!$B$119*BB5+IF(BB$3='01_Вводные'!$B$247,'01_Вводные'!$B$133/'01_Вводные'!$B$132,0)+IF(BB$3='01_Вводные'!$B$248,'01_Вводные'!$B$134/'01_Вводные'!$B$132,0))*'01_Вводные'!$B$120</f>
        <v/>
      </c>
      <c r="BC24" s="95">
        <f>(MAX(0,BC10-BB10)*'01_Вводные'!$B$119*BC5+IF(BC$3='01_Вводные'!$B$247,'01_Вводные'!$B$133/'01_Вводные'!$B$132,0)+IF(BC$3='01_Вводные'!$B$248,'01_Вводные'!$B$134/'01_Вводные'!$B$132,0))*'01_Вводные'!$B$120</f>
        <v/>
      </c>
      <c r="BD24" s="95">
        <f>(MAX(0,BD10-BC10)*'01_Вводные'!$B$119*BD5+IF(BD$3='01_Вводные'!$B$247,'01_Вводные'!$B$133/'01_Вводные'!$B$132,0)+IF(BD$3='01_Вводные'!$B$248,'01_Вводные'!$B$134/'01_Вводные'!$B$132,0))*'01_Вводные'!$B$120</f>
        <v/>
      </c>
      <c r="BE24" s="95">
        <f>(MAX(0,BE10-BD10)*'01_Вводные'!$B$119*BE5+IF(BE$3='01_Вводные'!$B$247,'01_Вводные'!$B$133/'01_Вводные'!$B$132,0)+IF(BE$3='01_Вводные'!$B$248,'01_Вводные'!$B$134/'01_Вводные'!$B$132,0))*'01_Вводные'!$B$120</f>
        <v/>
      </c>
      <c r="BF24" s="95">
        <f>(MAX(0,BF10-BE10)*'01_Вводные'!$B$119*BF5+IF(BF$3='01_Вводные'!$B$247,'01_Вводные'!$B$133/'01_Вводные'!$B$132,0)+IF(BF$3='01_Вводные'!$B$248,'01_Вводные'!$B$134/'01_Вводные'!$B$132,0))*'01_Вводные'!$B$120</f>
        <v/>
      </c>
      <c r="BG24" s="95">
        <f>(MAX(0,BG10-BF10)*'01_Вводные'!$B$119*BG5+IF(BG$3='01_Вводные'!$B$247,'01_Вводные'!$B$133/'01_Вводные'!$B$132,0)+IF(BG$3='01_Вводные'!$B$248,'01_Вводные'!$B$134/'01_Вводные'!$B$132,0))*'01_Вводные'!$B$120</f>
        <v/>
      </c>
      <c r="BH24" s="95">
        <f>(MAX(0,BH10-BG10)*'01_Вводные'!$B$119*BH5+IF(BH$3='01_Вводные'!$B$247,'01_Вводные'!$B$133/'01_Вводные'!$B$132,0)+IF(BH$3='01_Вводные'!$B$248,'01_Вводные'!$B$134/'01_Вводные'!$B$132,0))*'01_Вводные'!$B$120</f>
        <v/>
      </c>
      <c r="BI24" s="95">
        <f>(MAX(0,BI10-BH10)*'01_Вводные'!$B$119*BI5+IF(BI$3='01_Вводные'!$B$247,'01_Вводные'!$B$133/'01_Вводные'!$B$132,0)+IF(BI$3='01_Вводные'!$B$248,'01_Вводные'!$B$134/'01_Вводные'!$B$132,0))*'01_Вводные'!$B$120</f>
        <v/>
      </c>
    </row>
    <row r="25">
      <c r="A25" s="2" t="inlineStr">
        <is>
          <t>Замена директора маркетинга</t>
        </is>
      </c>
      <c r="B25" s="95">
        <f>IF(B$3='01_Вводные'!$B$255,'01_Вводные'!$B$121,0)</f>
        <v/>
      </c>
      <c r="C25" s="95">
        <f>IF(C$3='01_Вводные'!$B$255,'01_Вводные'!$B$121,0)</f>
        <v/>
      </c>
      <c r="D25" s="95">
        <f>IF(D$3='01_Вводные'!$B$255,'01_Вводные'!$B$121,0)</f>
        <v/>
      </c>
      <c r="E25" s="95">
        <f>IF(E$3='01_Вводные'!$B$255,'01_Вводные'!$B$121,0)</f>
        <v/>
      </c>
      <c r="F25" s="95">
        <f>IF(F$3='01_Вводные'!$B$255,'01_Вводные'!$B$121,0)</f>
        <v/>
      </c>
      <c r="G25" s="95">
        <f>IF(G$3='01_Вводные'!$B$255,'01_Вводные'!$B$121,0)</f>
        <v/>
      </c>
      <c r="H25" s="95">
        <f>IF(H$3='01_Вводные'!$B$255,'01_Вводные'!$B$121,0)</f>
        <v/>
      </c>
      <c r="I25" s="95">
        <f>IF(I$3='01_Вводные'!$B$255,'01_Вводные'!$B$121,0)</f>
        <v/>
      </c>
      <c r="J25" s="95">
        <f>IF(J$3='01_Вводные'!$B$255,'01_Вводные'!$B$121,0)</f>
        <v/>
      </c>
      <c r="K25" s="95">
        <f>IF(K$3='01_Вводные'!$B$255,'01_Вводные'!$B$121,0)</f>
        <v/>
      </c>
      <c r="L25" s="95">
        <f>IF(L$3='01_Вводные'!$B$255,'01_Вводные'!$B$121,0)</f>
        <v/>
      </c>
      <c r="M25" s="95">
        <f>IF(M$3='01_Вводные'!$B$255,'01_Вводные'!$B$121,0)</f>
        <v/>
      </c>
      <c r="N25" s="95">
        <f>IF(N$3='01_Вводные'!$B$255,'01_Вводные'!$B$121,0)</f>
        <v/>
      </c>
      <c r="O25" s="95">
        <f>IF(O$3='01_Вводные'!$B$255,'01_Вводные'!$B$121,0)</f>
        <v/>
      </c>
      <c r="P25" s="95">
        <f>IF(P$3='01_Вводные'!$B$255,'01_Вводные'!$B$121,0)</f>
        <v/>
      </c>
      <c r="Q25" s="95">
        <f>IF(Q$3='01_Вводные'!$B$255,'01_Вводные'!$B$121,0)</f>
        <v/>
      </c>
      <c r="R25" s="95">
        <f>IF(R$3='01_Вводные'!$B$255,'01_Вводные'!$B$121,0)</f>
        <v/>
      </c>
      <c r="S25" s="95">
        <f>IF(S$3='01_Вводные'!$B$255,'01_Вводные'!$B$121,0)</f>
        <v/>
      </c>
      <c r="T25" s="95">
        <f>IF(T$3='01_Вводные'!$B$255,'01_Вводные'!$B$121,0)</f>
        <v/>
      </c>
      <c r="U25" s="95">
        <f>IF(U$3='01_Вводные'!$B$255,'01_Вводные'!$B$121,0)</f>
        <v/>
      </c>
      <c r="V25" s="95">
        <f>IF(V$3='01_Вводные'!$B$255,'01_Вводные'!$B$121,0)</f>
        <v/>
      </c>
      <c r="W25" s="95">
        <f>IF(W$3='01_Вводные'!$B$255,'01_Вводные'!$B$121,0)</f>
        <v/>
      </c>
      <c r="X25" s="95">
        <f>IF(X$3='01_Вводные'!$B$255,'01_Вводные'!$B$121,0)</f>
        <v/>
      </c>
      <c r="Y25" s="95">
        <f>IF(Y$3='01_Вводные'!$B$255,'01_Вводные'!$B$121,0)</f>
        <v/>
      </c>
      <c r="Z25" s="95">
        <f>IF(Z$3='01_Вводные'!$B$255,'01_Вводные'!$B$121,0)</f>
        <v/>
      </c>
      <c r="AA25" s="95">
        <f>IF(AA$3='01_Вводные'!$B$255,'01_Вводные'!$B$121,0)</f>
        <v/>
      </c>
      <c r="AB25" s="95">
        <f>IF(AB$3='01_Вводные'!$B$255,'01_Вводные'!$B$121,0)</f>
        <v/>
      </c>
      <c r="AC25" s="95">
        <f>IF(AC$3='01_Вводные'!$B$255,'01_Вводные'!$B$121,0)</f>
        <v/>
      </c>
      <c r="AD25" s="95">
        <f>IF(AD$3='01_Вводные'!$B$255,'01_Вводные'!$B$121,0)</f>
        <v/>
      </c>
      <c r="AE25" s="95">
        <f>IF(AE$3='01_Вводные'!$B$255,'01_Вводные'!$B$121,0)</f>
        <v/>
      </c>
      <c r="AF25" s="95">
        <f>IF(AF$3='01_Вводные'!$B$255,'01_Вводные'!$B$121,0)</f>
        <v/>
      </c>
      <c r="AG25" s="95">
        <f>IF(AG$3='01_Вводные'!$B$255,'01_Вводные'!$B$121,0)</f>
        <v/>
      </c>
      <c r="AH25" s="95">
        <f>IF(AH$3='01_Вводные'!$B$255,'01_Вводные'!$B$121,0)</f>
        <v/>
      </c>
      <c r="AI25" s="95">
        <f>IF(AI$3='01_Вводные'!$B$255,'01_Вводные'!$B$121,0)</f>
        <v/>
      </c>
      <c r="AJ25" s="95">
        <f>IF(AJ$3='01_Вводные'!$B$255,'01_Вводные'!$B$121,0)</f>
        <v/>
      </c>
      <c r="AK25" s="95">
        <f>IF(AK$3='01_Вводные'!$B$255,'01_Вводные'!$B$121,0)</f>
        <v/>
      </c>
      <c r="AL25" s="95">
        <f>IF(AL$3='01_Вводные'!$B$255,'01_Вводные'!$B$121,0)</f>
        <v/>
      </c>
      <c r="AM25" s="95">
        <f>IF(AM$3='01_Вводные'!$B$255,'01_Вводные'!$B$121,0)</f>
        <v/>
      </c>
      <c r="AN25" s="95">
        <f>IF(AN$3='01_Вводные'!$B$255,'01_Вводные'!$B$121,0)</f>
        <v/>
      </c>
      <c r="AO25" s="95">
        <f>IF(AO$3='01_Вводные'!$B$255,'01_Вводные'!$B$121,0)</f>
        <v/>
      </c>
      <c r="AP25" s="95">
        <f>IF(AP$3='01_Вводные'!$B$255,'01_Вводные'!$B$121,0)</f>
        <v/>
      </c>
      <c r="AQ25" s="95">
        <f>IF(AQ$3='01_Вводные'!$B$255,'01_Вводные'!$B$121,0)</f>
        <v/>
      </c>
      <c r="AR25" s="95">
        <f>IF(AR$3='01_Вводные'!$B$255,'01_Вводные'!$B$121,0)</f>
        <v/>
      </c>
      <c r="AS25" s="95">
        <f>IF(AS$3='01_Вводные'!$B$255,'01_Вводные'!$B$121,0)</f>
        <v/>
      </c>
      <c r="AT25" s="95">
        <f>IF(AT$3='01_Вводные'!$B$255,'01_Вводные'!$B$121,0)</f>
        <v/>
      </c>
      <c r="AU25" s="95">
        <f>IF(AU$3='01_Вводные'!$B$255,'01_Вводные'!$B$121,0)</f>
        <v/>
      </c>
      <c r="AV25" s="95">
        <f>IF(AV$3='01_Вводные'!$B$255,'01_Вводные'!$B$121,0)</f>
        <v/>
      </c>
      <c r="AW25" s="95">
        <f>IF(AW$3='01_Вводные'!$B$255,'01_Вводные'!$B$121,0)</f>
        <v/>
      </c>
      <c r="AX25" s="95">
        <f>IF(AX$3='01_Вводные'!$B$255,'01_Вводные'!$B$121,0)</f>
        <v/>
      </c>
      <c r="AY25" s="95">
        <f>IF(AY$3='01_Вводные'!$B$255,'01_Вводные'!$B$121,0)</f>
        <v/>
      </c>
      <c r="AZ25" s="95">
        <f>IF(AZ$3='01_Вводные'!$B$255,'01_Вводные'!$B$121,0)</f>
        <v/>
      </c>
      <c r="BA25" s="95">
        <f>IF(BA$3='01_Вводные'!$B$255,'01_Вводные'!$B$121,0)</f>
        <v/>
      </c>
      <c r="BB25" s="95">
        <f>IF(BB$3='01_Вводные'!$B$255,'01_Вводные'!$B$121,0)</f>
        <v/>
      </c>
      <c r="BC25" s="95">
        <f>IF(BC$3='01_Вводные'!$B$255,'01_Вводные'!$B$121,0)</f>
        <v/>
      </c>
      <c r="BD25" s="95">
        <f>IF(BD$3='01_Вводные'!$B$255,'01_Вводные'!$B$121,0)</f>
        <v/>
      </c>
      <c r="BE25" s="95">
        <f>IF(BE$3='01_Вводные'!$B$255,'01_Вводные'!$B$121,0)</f>
        <v/>
      </c>
      <c r="BF25" s="95">
        <f>IF(BF$3='01_Вводные'!$B$255,'01_Вводные'!$B$121,0)</f>
        <v/>
      </c>
      <c r="BG25" s="95">
        <f>IF(BG$3='01_Вводные'!$B$255,'01_Вводные'!$B$121,0)</f>
        <v/>
      </c>
      <c r="BH25" s="95">
        <f>IF(BH$3='01_Вводные'!$B$255,'01_Вводные'!$B$121,0)</f>
        <v/>
      </c>
      <c r="BI25" s="95">
        <f>IF(BI$3='01_Вводные'!$B$255,'01_Вводные'!$B$121,0)</f>
        <v/>
      </c>
    </row>
    <row r="26">
      <c r="A26" s="2" t="inlineStr">
        <is>
          <t>Резерв на ротацию</t>
        </is>
      </c>
      <c r="B26" s="185">
        <f>IF(MONTH(B$3)='01_Вводные'!$B$256,'18_Календарь_тарифы'!B14,0)</f>
        <v/>
      </c>
      <c r="C26" s="185">
        <f>IF(MONTH(C$3)='01_Вводные'!$B$256,'18_Календарь_тарифы'!C14,0)</f>
        <v/>
      </c>
      <c r="D26" s="185">
        <f>IF(MONTH(D$3)='01_Вводные'!$B$256,'18_Календарь_тарифы'!D14,0)</f>
        <v/>
      </c>
      <c r="E26" s="185">
        <f>IF(MONTH(E$3)='01_Вводные'!$B$256,'18_Календарь_тарифы'!E14,0)</f>
        <v/>
      </c>
      <c r="F26" s="185">
        <f>IF(MONTH(F$3)='01_Вводные'!$B$256,'18_Календарь_тарифы'!F14,0)</f>
        <v/>
      </c>
      <c r="G26" s="185">
        <f>IF(MONTH(G$3)='01_Вводные'!$B$256,'18_Календарь_тарифы'!G14,0)</f>
        <v/>
      </c>
      <c r="H26" s="185">
        <f>IF(MONTH(H$3)='01_Вводные'!$B$256,'18_Календарь_тарифы'!H14,0)</f>
        <v/>
      </c>
      <c r="I26" s="185">
        <f>IF(MONTH(I$3)='01_Вводные'!$B$256,'18_Календарь_тарифы'!I14,0)</f>
        <v/>
      </c>
      <c r="J26" s="185">
        <f>IF(MONTH(J$3)='01_Вводные'!$B$256,'18_Календарь_тарифы'!J14,0)</f>
        <v/>
      </c>
      <c r="K26" s="185">
        <f>IF(MONTH(K$3)='01_Вводные'!$B$256,'18_Календарь_тарифы'!K14,0)</f>
        <v/>
      </c>
      <c r="L26" s="185">
        <f>IF(MONTH(L$3)='01_Вводные'!$B$256,'18_Календарь_тарифы'!L14,0)</f>
        <v/>
      </c>
      <c r="M26" s="185">
        <f>IF(MONTH(M$3)='01_Вводные'!$B$256,'18_Календарь_тарифы'!M14,0)</f>
        <v/>
      </c>
      <c r="N26" s="185">
        <f>IF(MONTH(N$3)='01_Вводные'!$B$256,'18_Календарь_тарифы'!N14,0)</f>
        <v/>
      </c>
      <c r="O26" s="185">
        <f>IF(MONTH(O$3)='01_Вводные'!$B$256,'18_Календарь_тарифы'!O14,0)</f>
        <v/>
      </c>
      <c r="P26" s="185">
        <f>IF(MONTH(P$3)='01_Вводные'!$B$256,'18_Календарь_тарифы'!P14,0)</f>
        <v/>
      </c>
      <c r="Q26" s="185">
        <f>IF(MONTH(Q$3)='01_Вводные'!$B$256,'18_Календарь_тарифы'!Q14,0)</f>
        <v/>
      </c>
      <c r="R26" s="185">
        <f>IF(MONTH(R$3)='01_Вводные'!$B$256,'18_Календарь_тарифы'!R14,0)</f>
        <v/>
      </c>
      <c r="S26" s="185">
        <f>IF(MONTH(S$3)='01_Вводные'!$B$256,'18_Календарь_тарифы'!S14,0)</f>
        <v/>
      </c>
      <c r="T26" s="185">
        <f>IF(MONTH(T$3)='01_Вводные'!$B$256,'18_Календарь_тарифы'!T14,0)</f>
        <v/>
      </c>
      <c r="U26" s="185">
        <f>IF(MONTH(U$3)='01_Вводные'!$B$256,'18_Календарь_тарифы'!U14,0)</f>
        <v/>
      </c>
      <c r="V26" s="185">
        <f>IF(MONTH(V$3)='01_Вводные'!$B$256,'18_Календарь_тарифы'!V14,0)</f>
        <v/>
      </c>
      <c r="W26" s="185">
        <f>IF(MONTH(W$3)='01_Вводные'!$B$256,'18_Календарь_тарифы'!W14,0)</f>
        <v/>
      </c>
      <c r="X26" s="185">
        <f>IF(MONTH(X$3)='01_Вводные'!$B$256,'18_Календарь_тарифы'!X14,0)</f>
        <v/>
      </c>
      <c r="Y26" s="185">
        <f>IF(MONTH(Y$3)='01_Вводные'!$B$256,'18_Календарь_тарифы'!Y14,0)</f>
        <v/>
      </c>
      <c r="Z26" s="185">
        <f>IF(MONTH(Z$3)='01_Вводные'!$B$256,'18_Календарь_тарифы'!Z14,0)</f>
        <v/>
      </c>
      <c r="AA26" s="185">
        <f>IF(MONTH(AA$3)='01_Вводные'!$B$256,'18_Календарь_тарифы'!AA14,0)</f>
        <v/>
      </c>
      <c r="AB26" s="185">
        <f>IF(MONTH(AB$3)='01_Вводные'!$B$256,'18_Календарь_тарифы'!AB14,0)</f>
        <v/>
      </c>
      <c r="AC26" s="185">
        <f>IF(MONTH(AC$3)='01_Вводные'!$B$256,'18_Календарь_тарифы'!AC14,0)</f>
        <v/>
      </c>
      <c r="AD26" s="185">
        <f>IF(MONTH(AD$3)='01_Вводные'!$B$256,'18_Календарь_тарифы'!AD14,0)</f>
        <v/>
      </c>
      <c r="AE26" s="185">
        <f>IF(MONTH(AE$3)='01_Вводные'!$B$256,'18_Календарь_тарифы'!AE14,0)</f>
        <v/>
      </c>
      <c r="AF26" s="185">
        <f>IF(MONTH(AF$3)='01_Вводные'!$B$256,'18_Календарь_тарифы'!AF14,0)</f>
        <v/>
      </c>
      <c r="AG26" s="185">
        <f>IF(MONTH(AG$3)='01_Вводные'!$B$256,'18_Календарь_тарифы'!AG14,0)</f>
        <v/>
      </c>
      <c r="AH26" s="185">
        <f>IF(MONTH(AH$3)='01_Вводные'!$B$256,'18_Календарь_тарифы'!AH14,0)</f>
        <v/>
      </c>
      <c r="AI26" s="185">
        <f>IF(MONTH(AI$3)='01_Вводные'!$B$256,'18_Календарь_тарифы'!AI14,0)</f>
        <v/>
      </c>
      <c r="AJ26" s="185">
        <f>IF(MONTH(AJ$3)='01_Вводные'!$B$256,'18_Календарь_тарифы'!AJ14,0)</f>
        <v/>
      </c>
      <c r="AK26" s="185">
        <f>IF(MONTH(AK$3)='01_Вводные'!$B$256,'18_Календарь_тарифы'!AK14,0)</f>
        <v/>
      </c>
      <c r="AL26" s="185">
        <f>IF(MONTH(AL$3)='01_Вводные'!$B$256,'18_Календарь_тарифы'!AL14,0)</f>
        <v/>
      </c>
      <c r="AM26" s="185">
        <f>IF(MONTH(AM$3)='01_Вводные'!$B$256,'18_Календарь_тарифы'!AM14,0)</f>
        <v/>
      </c>
      <c r="AN26" s="185">
        <f>IF(MONTH(AN$3)='01_Вводные'!$B$256,'18_Календарь_тарифы'!AN14,0)</f>
        <v/>
      </c>
      <c r="AO26" s="185">
        <f>IF(MONTH(AO$3)='01_Вводные'!$B$256,'18_Календарь_тарифы'!AO14,0)</f>
        <v/>
      </c>
      <c r="AP26" s="185">
        <f>IF(MONTH(AP$3)='01_Вводные'!$B$256,'18_Календарь_тарифы'!AP14,0)</f>
        <v/>
      </c>
      <c r="AQ26" s="185">
        <f>IF(MONTH(AQ$3)='01_Вводные'!$B$256,'18_Календарь_тарифы'!AQ14,0)</f>
        <v/>
      </c>
      <c r="AR26" s="185">
        <f>IF(MONTH(AR$3)='01_Вводные'!$B$256,'18_Календарь_тарифы'!AR14,0)</f>
        <v/>
      </c>
      <c r="AS26" s="185">
        <f>IF(MONTH(AS$3)='01_Вводные'!$B$256,'18_Календарь_тарифы'!AS14,0)</f>
        <v/>
      </c>
      <c r="AT26" s="185">
        <f>IF(MONTH(AT$3)='01_Вводные'!$B$256,'18_Календарь_тарифы'!AT14,0)</f>
        <v/>
      </c>
      <c r="AU26" s="185">
        <f>IF(MONTH(AU$3)='01_Вводные'!$B$256,'18_Календарь_тарифы'!AU14,0)</f>
        <v/>
      </c>
      <c r="AV26" s="185">
        <f>IF(MONTH(AV$3)='01_Вводные'!$B$256,'18_Календарь_тарифы'!AV14,0)</f>
        <v/>
      </c>
      <c r="AW26" s="185">
        <f>IF(MONTH(AW$3)='01_Вводные'!$B$256,'18_Календарь_тарифы'!AW14,0)</f>
        <v/>
      </c>
      <c r="AX26" s="185">
        <f>IF(MONTH(AX$3)='01_Вводные'!$B$256,'18_Календарь_тарифы'!AX14,0)</f>
        <v/>
      </c>
      <c r="AY26" s="185">
        <f>IF(MONTH(AY$3)='01_Вводные'!$B$256,'18_Календарь_тарифы'!AY14,0)</f>
        <v/>
      </c>
      <c r="AZ26" s="185">
        <f>IF(MONTH(AZ$3)='01_Вводные'!$B$256,'18_Календарь_тарифы'!AZ14,0)</f>
        <v/>
      </c>
      <c r="BA26" s="185">
        <f>IF(MONTH(BA$3)='01_Вводные'!$B$256,'18_Календарь_тарифы'!BA14,0)</f>
        <v/>
      </c>
      <c r="BB26" s="185">
        <f>IF(MONTH(BB$3)='01_Вводные'!$B$256,'18_Календарь_тарифы'!BB14,0)</f>
        <v/>
      </c>
      <c r="BC26" s="185">
        <f>IF(MONTH(BC$3)='01_Вводные'!$B$256,'18_Календарь_тарифы'!BC14,0)</f>
        <v/>
      </c>
      <c r="BD26" s="185">
        <f>IF(MONTH(BD$3)='01_Вводные'!$B$256,'18_Календарь_тарифы'!BD14,0)</f>
        <v/>
      </c>
      <c r="BE26" s="185">
        <f>IF(MONTH(BE$3)='01_Вводные'!$B$256,'18_Календарь_тарифы'!BE14,0)</f>
        <v/>
      </c>
      <c r="BF26" s="185">
        <f>IF(MONTH(BF$3)='01_Вводные'!$B$256,'18_Календарь_тарифы'!BF14,0)</f>
        <v/>
      </c>
      <c r="BG26" s="185">
        <f>IF(MONTH(BG$3)='01_Вводные'!$B$256,'18_Календарь_тарифы'!BG14,0)</f>
        <v/>
      </c>
      <c r="BH26" s="185">
        <f>IF(MONTH(BH$3)='01_Вводные'!$B$256,'18_Календарь_тарифы'!BH14,0)</f>
        <v/>
      </c>
      <c r="BI26" s="185">
        <f>IF(MONTH(BI$3)='01_Вводные'!$B$256,'18_Календарь_тарифы'!BI14,0)</f>
        <v/>
      </c>
    </row>
    <row r="27"/>
    <row r="28">
      <c r="A28" s="10" t="inlineStr">
        <is>
          <t>Всего ФОТ и кадровые расходы</t>
        </is>
      </c>
      <c r="B28" s="43">
        <f>SUM(B12:B13,B15:B19,B21:B22,B24:B26)</f>
        <v/>
      </c>
      <c r="C28" s="43">
        <f>SUM(C12:C13,C15:C19,C21:C22,C24:C26)</f>
        <v/>
      </c>
      <c r="D28" s="43">
        <f>SUM(D12:D13,D15:D19,D21:D22,D24:D26)</f>
        <v/>
      </c>
      <c r="E28" s="43">
        <f>SUM(E12:E13,E15:E19,E21:E22,E24:E26)</f>
        <v/>
      </c>
      <c r="F28" s="43">
        <f>SUM(F12:F13,F15:F19,F21:F22,F24:F26)</f>
        <v/>
      </c>
      <c r="G28" s="43">
        <f>SUM(G12:G13,G15:G19,G21:G22,G24:G26)</f>
        <v/>
      </c>
      <c r="H28" s="43">
        <f>SUM(H12:H13,H15:H19,H21:H22,H24:H26)</f>
        <v/>
      </c>
      <c r="I28" s="43">
        <f>SUM(I12:I13,I15:I19,I21:I22,I24:I26)</f>
        <v/>
      </c>
      <c r="J28" s="43">
        <f>SUM(J12:J13,J15:J19,J21:J22,J24:J26)</f>
        <v/>
      </c>
      <c r="K28" s="43">
        <f>SUM(K12:K13,K15:K19,K21:K22,K24:K26)</f>
        <v/>
      </c>
      <c r="L28" s="43">
        <f>SUM(L12:L13,L15:L19,L21:L22,L24:L26)</f>
        <v/>
      </c>
      <c r="M28" s="43">
        <f>SUM(M12:M13,M15:M19,M21:M22,M24:M26)</f>
        <v/>
      </c>
      <c r="N28" s="43">
        <f>SUM(N12:N13,N15:N19,N21:N22,N24:N26)</f>
        <v/>
      </c>
      <c r="O28" s="43">
        <f>SUM(O12:O13,O15:O19,O21:O22,O24:O26)</f>
        <v/>
      </c>
      <c r="P28" s="43">
        <f>SUM(P12:P13,P15:P19,P21:P22,P24:P26)</f>
        <v/>
      </c>
      <c r="Q28" s="43">
        <f>SUM(Q12:Q13,Q15:Q19,Q21:Q22,Q24:Q26)</f>
        <v/>
      </c>
      <c r="R28" s="43">
        <f>SUM(R12:R13,R15:R19,R21:R22,R24:R26)</f>
        <v/>
      </c>
      <c r="S28" s="43">
        <f>SUM(S12:S13,S15:S19,S21:S22,S24:S26)</f>
        <v/>
      </c>
      <c r="T28" s="43">
        <f>SUM(T12:T13,T15:T19,T21:T22,T24:T26)</f>
        <v/>
      </c>
      <c r="U28" s="43">
        <f>SUM(U12:U13,U15:U19,U21:U22,U24:U26)</f>
        <v/>
      </c>
      <c r="V28" s="43">
        <f>SUM(V12:V13,V15:V19,V21:V22,V24:V26)</f>
        <v/>
      </c>
      <c r="W28" s="43">
        <f>SUM(W12:W13,W15:W19,W21:W22,W24:W26)</f>
        <v/>
      </c>
      <c r="X28" s="43">
        <f>SUM(X12:X13,X15:X19,X21:X22,X24:X26)</f>
        <v/>
      </c>
      <c r="Y28" s="43">
        <f>SUM(Y12:Y13,Y15:Y19,Y21:Y22,Y24:Y26)</f>
        <v/>
      </c>
      <c r="Z28" s="43">
        <f>SUM(Z12:Z13,Z15:Z19,Z21:Z22,Z24:Z26)</f>
        <v/>
      </c>
      <c r="AA28" s="43">
        <f>SUM(AA12:AA13,AA15:AA19,AA21:AA22,AA24:AA26)</f>
        <v/>
      </c>
      <c r="AB28" s="43">
        <f>SUM(AB12:AB13,AB15:AB19,AB21:AB22,AB24:AB26)</f>
        <v/>
      </c>
      <c r="AC28" s="43">
        <f>SUM(AC12:AC13,AC15:AC19,AC21:AC22,AC24:AC26)</f>
        <v/>
      </c>
      <c r="AD28" s="43">
        <f>SUM(AD12:AD13,AD15:AD19,AD21:AD22,AD24:AD26)</f>
        <v/>
      </c>
      <c r="AE28" s="43">
        <f>SUM(AE12:AE13,AE15:AE19,AE21:AE22,AE24:AE26)</f>
        <v/>
      </c>
      <c r="AF28" s="43">
        <f>SUM(AF12:AF13,AF15:AF19,AF21:AF22,AF24:AF26)</f>
        <v/>
      </c>
      <c r="AG28" s="43">
        <f>SUM(AG12:AG13,AG15:AG19,AG21:AG22,AG24:AG26)</f>
        <v/>
      </c>
      <c r="AH28" s="43">
        <f>SUM(AH12:AH13,AH15:AH19,AH21:AH22,AH24:AH26)</f>
        <v/>
      </c>
      <c r="AI28" s="43">
        <f>SUM(AI12:AI13,AI15:AI19,AI21:AI22,AI24:AI26)</f>
        <v/>
      </c>
      <c r="AJ28" s="43">
        <f>SUM(AJ12:AJ13,AJ15:AJ19,AJ21:AJ22,AJ24:AJ26)</f>
        <v/>
      </c>
      <c r="AK28" s="43">
        <f>SUM(AK12:AK13,AK15:AK19,AK21:AK22,AK24:AK26)</f>
        <v/>
      </c>
      <c r="AL28" s="43">
        <f>SUM(AL12:AL13,AL15:AL19,AL21:AL22,AL24:AL26)</f>
        <v/>
      </c>
      <c r="AM28" s="43">
        <f>SUM(AM12:AM13,AM15:AM19,AM21:AM22,AM24:AM26)</f>
        <v/>
      </c>
      <c r="AN28" s="43">
        <f>SUM(AN12:AN13,AN15:AN19,AN21:AN22,AN24:AN26)</f>
        <v/>
      </c>
      <c r="AO28" s="43">
        <f>SUM(AO12:AO13,AO15:AO19,AO21:AO22,AO24:AO26)</f>
        <v/>
      </c>
      <c r="AP28" s="43">
        <f>SUM(AP12:AP13,AP15:AP19,AP21:AP22,AP24:AP26)</f>
        <v/>
      </c>
      <c r="AQ28" s="43">
        <f>SUM(AQ12:AQ13,AQ15:AQ19,AQ21:AQ22,AQ24:AQ26)</f>
        <v/>
      </c>
      <c r="AR28" s="43">
        <f>SUM(AR12:AR13,AR15:AR19,AR21:AR22,AR24:AR26)</f>
        <v/>
      </c>
      <c r="AS28" s="43">
        <f>SUM(AS12:AS13,AS15:AS19,AS21:AS22,AS24:AS26)</f>
        <v/>
      </c>
      <c r="AT28" s="43">
        <f>SUM(AT12:AT13,AT15:AT19,AT21:AT22,AT24:AT26)</f>
        <v/>
      </c>
      <c r="AU28" s="43">
        <f>SUM(AU12:AU13,AU15:AU19,AU21:AU22,AU24:AU26)</f>
        <v/>
      </c>
      <c r="AV28" s="43">
        <f>SUM(AV12:AV13,AV15:AV19,AV21:AV22,AV24:AV26)</f>
        <v/>
      </c>
      <c r="AW28" s="43">
        <f>SUM(AW12:AW13,AW15:AW19,AW21:AW22,AW24:AW26)</f>
        <v/>
      </c>
      <c r="AX28" s="43">
        <f>SUM(AX12:AX13,AX15:AX19,AX21:AX22,AX24:AX26)</f>
        <v/>
      </c>
      <c r="AY28" s="43">
        <f>SUM(AY12:AY13,AY15:AY19,AY21:AY22,AY24:AY26)</f>
        <v/>
      </c>
      <c r="AZ28" s="43">
        <f>SUM(AZ12:AZ13,AZ15:AZ19,AZ21:AZ22,AZ24:AZ26)</f>
        <v/>
      </c>
      <c r="BA28" s="43">
        <f>SUM(BA12:BA13,BA15:BA19,BA21:BA22,BA24:BA26)</f>
        <v/>
      </c>
      <c r="BB28" s="43">
        <f>SUM(BB12:BB13,BB15:BB19,BB21:BB22,BB24:BB26)</f>
        <v/>
      </c>
      <c r="BC28" s="43">
        <f>SUM(BC12:BC13,BC15:BC19,BC21:BC22,BC24:BC26)</f>
        <v/>
      </c>
      <c r="BD28" s="43">
        <f>SUM(BD12:BD13,BD15:BD19,BD21:BD22,BD24:BD26)</f>
        <v/>
      </c>
      <c r="BE28" s="43">
        <f>SUM(BE12:BE13,BE15:BE19,BE21:BE22,BE24:BE26)</f>
        <v/>
      </c>
      <c r="BF28" s="43">
        <f>SUM(BF12:BF13,BF15:BF19,BF21:BF22,BF24:BF26)</f>
        <v/>
      </c>
      <c r="BG28" s="43">
        <f>SUM(BG12:BG13,BG15:BG19,BG21:BG22,BG24:BG26)</f>
        <v/>
      </c>
      <c r="BH28" s="43">
        <f>SUM(BH12:BH13,BH15:BH19,BH21:BH22,BH24:BH26)</f>
        <v/>
      </c>
      <c r="BI28" s="43">
        <f>SUM(BI12:BI13,BI15:BI19,BI21:BI22,BI24:BI26)</f>
        <v/>
      </c>
    </row>
    <row r="29"/>
    <row r="30">
      <c r="A30" t="inlineStr">
        <is>
          <t>Повышение оклада ГД — gross</t>
        </is>
      </c>
      <c r="B30" s="126">
        <f>IF(B$3&gt;='01_Вводные'!$B$249,'01_Вводные'!$B$135/'01_Вводные'!$B$132*(1+'01_Вводные'!$B$116)^MAX(0,YEAR(B$3)-YEAR('01_Вводные'!$B$249)+IF(MONTH(B$3)&gt;=9,1,0)-IF(MONTH('01_Вводные'!$B$249)&gt;=9,1,0)),0)</f>
        <v/>
      </c>
      <c r="C30" s="126">
        <f>IF(C$3&gt;='01_Вводные'!$B$249,'01_Вводные'!$B$135/'01_Вводные'!$B$132*(1+'01_Вводные'!$B$116)^MAX(0,YEAR(C$3)-YEAR('01_Вводные'!$B$249)+IF(MONTH(C$3)&gt;=9,1,0)-IF(MONTH('01_Вводные'!$B$249)&gt;=9,1,0)),0)</f>
        <v/>
      </c>
      <c r="D30" s="126">
        <f>IF(D$3&gt;='01_Вводные'!$B$249,'01_Вводные'!$B$135/'01_Вводные'!$B$132*(1+'01_Вводные'!$B$116)^MAX(0,YEAR(D$3)-YEAR('01_Вводные'!$B$249)+IF(MONTH(D$3)&gt;=9,1,0)-IF(MONTH('01_Вводные'!$B$249)&gt;=9,1,0)),0)</f>
        <v/>
      </c>
      <c r="E30" s="126">
        <f>IF(E$3&gt;='01_Вводные'!$B$249,'01_Вводные'!$B$135/'01_Вводные'!$B$132*(1+'01_Вводные'!$B$116)^MAX(0,YEAR(E$3)-YEAR('01_Вводные'!$B$249)+IF(MONTH(E$3)&gt;=9,1,0)-IF(MONTH('01_Вводные'!$B$249)&gt;=9,1,0)),0)</f>
        <v/>
      </c>
      <c r="F30" s="126">
        <f>IF(F$3&gt;='01_Вводные'!$B$249,'01_Вводные'!$B$135/'01_Вводные'!$B$132*(1+'01_Вводные'!$B$116)^MAX(0,YEAR(F$3)-YEAR('01_Вводные'!$B$249)+IF(MONTH(F$3)&gt;=9,1,0)-IF(MONTH('01_Вводные'!$B$249)&gt;=9,1,0)),0)</f>
        <v/>
      </c>
      <c r="G30" s="126">
        <f>IF(G$3&gt;='01_Вводные'!$B$249,'01_Вводные'!$B$135/'01_Вводные'!$B$132*(1+'01_Вводные'!$B$116)^MAX(0,YEAR(G$3)-YEAR('01_Вводные'!$B$249)+IF(MONTH(G$3)&gt;=9,1,0)-IF(MONTH('01_Вводные'!$B$249)&gt;=9,1,0)),0)</f>
        <v/>
      </c>
      <c r="H30" s="126">
        <f>IF(H$3&gt;='01_Вводные'!$B$249,'01_Вводные'!$B$135/'01_Вводные'!$B$132*(1+'01_Вводные'!$B$116)^MAX(0,YEAR(H$3)-YEAR('01_Вводные'!$B$249)+IF(MONTH(H$3)&gt;=9,1,0)-IF(MONTH('01_Вводные'!$B$249)&gt;=9,1,0)),0)</f>
        <v/>
      </c>
      <c r="I30" s="126">
        <f>IF(I$3&gt;='01_Вводные'!$B$249,'01_Вводные'!$B$135/'01_Вводные'!$B$132*(1+'01_Вводные'!$B$116)^MAX(0,YEAR(I$3)-YEAR('01_Вводные'!$B$249)+IF(MONTH(I$3)&gt;=9,1,0)-IF(MONTH('01_Вводные'!$B$249)&gt;=9,1,0)),0)</f>
        <v/>
      </c>
      <c r="J30" s="126">
        <f>IF(J$3&gt;='01_Вводные'!$B$249,'01_Вводные'!$B$135/'01_Вводные'!$B$132*(1+'01_Вводные'!$B$116)^MAX(0,YEAR(J$3)-YEAR('01_Вводные'!$B$249)+IF(MONTH(J$3)&gt;=9,1,0)-IF(MONTH('01_Вводные'!$B$249)&gt;=9,1,0)),0)</f>
        <v/>
      </c>
      <c r="K30" s="126">
        <f>IF(K$3&gt;='01_Вводные'!$B$249,'01_Вводные'!$B$135/'01_Вводные'!$B$132*(1+'01_Вводные'!$B$116)^MAX(0,YEAR(K$3)-YEAR('01_Вводные'!$B$249)+IF(MONTH(K$3)&gt;=9,1,0)-IF(MONTH('01_Вводные'!$B$249)&gt;=9,1,0)),0)</f>
        <v/>
      </c>
      <c r="L30" s="126">
        <f>IF(L$3&gt;='01_Вводные'!$B$249,'01_Вводные'!$B$135/'01_Вводные'!$B$132*(1+'01_Вводные'!$B$116)^MAX(0,YEAR(L$3)-YEAR('01_Вводные'!$B$249)+IF(MONTH(L$3)&gt;=9,1,0)-IF(MONTH('01_Вводные'!$B$249)&gt;=9,1,0)),0)</f>
        <v/>
      </c>
      <c r="M30" s="126">
        <f>IF(M$3&gt;='01_Вводные'!$B$249,'01_Вводные'!$B$135/'01_Вводные'!$B$132*(1+'01_Вводные'!$B$116)^MAX(0,YEAR(M$3)-YEAR('01_Вводные'!$B$249)+IF(MONTH(M$3)&gt;=9,1,0)-IF(MONTH('01_Вводные'!$B$249)&gt;=9,1,0)),0)</f>
        <v/>
      </c>
      <c r="N30" s="126">
        <f>IF(N$3&gt;='01_Вводные'!$B$249,'01_Вводные'!$B$135/'01_Вводные'!$B$132*(1+'01_Вводные'!$B$116)^MAX(0,YEAR(N$3)-YEAR('01_Вводные'!$B$249)+IF(MONTH(N$3)&gt;=9,1,0)-IF(MONTH('01_Вводные'!$B$249)&gt;=9,1,0)),0)</f>
        <v/>
      </c>
      <c r="O30" s="126">
        <f>IF(O$3&gt;='01_Вводные'!$B$249,'01_Вводные'!$B$135/'01_Вводные'!$B$132*(1+'01_Вводные'!$B$116)^MAX(0,YEAR(O$3)-YEAR('01_Вводные'!$B$249)+IF(MONTH(O$3)&gt;=9,1,0)-IF(MONTH('01_Вводные'!$B$249)&gt;=9,1,0)),0)</f>
        <v/>
      </c>
      <c r="P30" s="126">
        <f>IF(P$3&gt;='01_Вводные'!$B$249,'01_Вводные'!$B$135/'01_Вводные'!$B$132*(1+'01_Вводные'!$B$116)^MAX(0,YEAR(P$3)-YEAR('01_Вводные'!$B$249)+IF(MONTH(P$3)&gt;=9,1,0)-IF(MONTH('01_Вводные'!$B$249)&gt;=9,1,0)),0)</f>
        <v/>
      </c>
      <c r="Q30" s="126">
        <f>IF(Q$3&gt;='01_Вводные'!$B$249,'01_Вводные'!$B$135/'01_Вводные'!$B$132*(1+'01_Вводные'!$B$116)^MAX(0,YEAR(Q$3)-YEAR('01_Вводные'!$B$249)+IF(MONTH(Q$3)&gt;=9,1,0)-IF(MONTH('01_Вводные'!$B$249)&gt;=9,1,0)),0)</f>
        <v/>
      </c>
      <c r="R30" s="126">
        <f>IF(R$3&gt;='01_Вводные'!$B$249,'01_Вводные'!$B$135/'01_Вводные'!$B$132*(1+'01_Вводные'!$B$116)^MAX(0,YEAR(R$3)-YEAR('01_Вводные'!$B$249)+IF(MONTH(R$3)&gt;=9,1,0)-IF(MONTH('01_Вводные'!$B$249)&gt;=9,1,0)),0)</f>
        <v/>
      </c>
      <c r="S30" s="126">
        <f>IF(S$3&gt;='01_Вводные'!$B$249,'01_Вводные'!$B$135/'01_Вводные'!$B$132*(1+'01_Вводные'!$B$116)^MAX(0,YEAR(S$3)-YEAR('01_Вводные'!$B$249)+IF(MONTH(S$3)&gt;=9,1,0)-IF(MONTH('01_Вводные'!$B$249)&gt;=9,1,0)),0)</f>
        <v/>
      </c>
      <c r="T30" s="126">
        <f>IF(T$3&gt;='01_Вводные'!$B$249,'01_Вводные'!$B$135/'01_Вводные'!$B$132*(1+'01_Вводные'!$B$116)^MAX(0,YEAR(T$3)-YEAR('01_Вводные'!$B$249)+IF(MONTH(T$3)&gt;=9,1,0)-IF(MONTH('01_Вводные'!$B$249)&gt;=9,1,0)),0)</f>
        <v/>
      </c>
      <c r="U30" s="126">
        <f>IF(U$3&gt;='01_Вводные'!$B$249,'01_Вводные'!$B$135/'01_Вводные'!$B$132*(1+'01_Вводные'!$B$116)^MAX(0,YEAR(U$3)-YEAR('01_Вводные'!$B$249)+IF(MONTH(U$3)&gt;=9,1,0)-IF(MONTH('01_Вводные'!$B$249)&gt;=9,1,0)),0)</f>
        <v/>
      </c>
      <c r="V30" s="126">
        <f>IF(V$3&gt;='01_Вводные'!$B$249,'01_Вводные'!$B$135/'01_Вводные'!$B$132*(1+'01_Вводные'!$B$116)^MAX(0,YEAR(V$3)-YEAR('01_Вводные'!$B$249)+IF(MONTH(V$3)&gt;=9,1,0)-IF(MONTH('01_Вводные'!$B$249)&gt;=9,1,0)),0)</f>
        <v/>
      </c>
      <c r="W30" s="126">
        <f>IF(W$3&gt;='01_Вводные'!$B$249,'01_Вводные'!$B$135/'01_Вводные'!$B$132*(1+'01_Вводные'!$B$116)^MAX(0,YEAR(W$3)-YEAR('01_Вводные'!$B$249)+IF(MONTH(W$3)&gt;=9,1,0)-IF(MONTH('01_Вводные'!$B$249)&gt;=9,1,0)),0)</f>
        <v/>
      </c>
      <c r="X30" s="126">
        <f>IF(X$3&gt;='01_Вводные'!$B$249,'01_Вводные'!$B$135/'01_Вводные'!$B$132*(1+'01_Вводные'!$B$116)^MAX(0,YEAR(X$3)-YEAR('01_Вводные'!$B$249)+IF(MONTH(X$3)&gt;=9,1,0)-IF(MONTH('01_Вводные'!$B$249)&gt;=9,1,0)),0)</f>
        <v/>
      </c>
      <c r="Y30" s="126">
        <f>IF(Y$3&gt;='01_Вводные'!$B$249,'01_Вводные'!$B$135/'01_Вводные'!$B$132*(1+'01_Вводные'!$B$116)^MAX(0,YEAR(Y$3)-YEAR('01_Вводные'!$B$249)+IF(MONTH(Y$3)&gt;=9,1,0)-IF(MONTH('01_Вводные'!$B$249)&gt;=9,1,0)),0)</f>
        <v/>
      </c>
      <c r="Z30" s="126">
        <f>IF(Z$3&gt;='01_Вводные'!$B$249,'01_Вводные'!$B$135/'01_Вводные'!$B$132*(1+'01_Вводные'!$B$116)^MAX(0,YEAR(Z$3)-YEAR('01_Вводные'!$B$249)+IF(MONTH(Z$3)&gt;=9,1,0)-IF(MONTH('01_Вводные'!$B$249)&gt;=9,1,0)),0)</f>
        <v/>
      </c>
      <c r="AA30" s="126">
        <f>IF(AA$3&gt;='01_Вводные'!$B$249,'01_Вводные'!$B$135/'01_Вводные'!$B$132*(1+'01_Вводные'!$B$116)^MAX(0,YEAR(AA$3)-YEAR('01_Вводные'!$B$249)+IF(MONTH(AA$3)&gt;=9,1,0)-IF(MONTH('01_Вводные'!$B$249)&gt;=9,1,0)),0)</f>
        <v/>
      </c>
      <c r="AB30" s="126">
        <f>IF(AB$3&gt;='01_Вводные'!$B$249,'01_Вводные'!$B$135/'01_Вводные'!$B$132*(1+'01_Вводные'!$B$116)^MAX(0,YEAR(AB$3)-YEAR('01_Вводные'!$B$249)+IF(MONTH(AB$3)&gt;=9,1,0)-IF(MONTH('01_Вводные'!$B$249)&gt;=9,1,0)),0)</f>
        <v/>
      </c>
      <c r="AC30" s="126">
        <f>IF(AC$3&gt;='01_Вводные'!$B$249,'01_Вводные'!$B$135/'01_Вводные'!$B$132*(1+'01_Вводные'!$B$116)^MAX(0,YEAR(AC$3)-YEAR('01_Вводные'!$B$249)+IF(MONTH(AC$3)&gt;=9,1,0)-IF(MONTH('01_Вводные'!$B$249)&gt;=9,1,0)),0)</f>
        <v/>
      </c>
      <c r="AD30" s="126">
        <f>IF(AD$3&gt;='01_Вводные'!$B$249,'01_Вводные'!$B$135/'01_Вводные'!$B$132*(1+'01_Вводные'!$B$116)^MAX(0,YEAR(AD$3)-YEAR('01_Вводные'!$B$249)+IF(MONTH(AD$3)&gt;=9,1,0)-IF(MONTH('01_Вводные'!$B$249)&gt;=9,1,0)),0)</f>
        <v/>
      </c>
      <c r="AE30" s="126">
        <f>IF(AE$3&gt;='01_Вводные'!$B$249,'01_Вводные'!$B$135/'01_Вводные'!$B$132*(1+'01_Вводные'!$B$116)^MAX(0,YEAR(AE$3)-YEAR('01_Вводные'!$B$249)+IF(MONTH(AE$3)&gt;=9,1,0)-IF(MONTH('01_Вводные'!$B$249)&gt;=9,1,0)),0)</f>
        <v/>
      </c>
      <c r="AF30" s="126">
        <f>IF(AF$3&gt;='01_Вводные'!$B$249,'01_Вводные'!$B$135/'01_Вводные'!$B$132*(1+'01_Вводные'!$B$116)^MAX(0,YEAR(AF$3)-YEAR('01_Вводные'!$B$249)+IF(MONTH(AF$3)&gt;=9,1,0)-IF(MONTH('01_Вводные'!$B$249)&gt;=9,1,0)),0)</f>
        <v/>
      </c>
      <c r="AG30" s="126">
        <f>IF(AG$3&gt;='01_Вводные'!$B$249,'01_Вводные'!$B$135/'01_Вводные'!$B$132*(1+'01_Вводные'!$B$116)^MAX(0,YEAR(AG$3)-YEAR('01_Вводные'!$B$249)+IF(MONTH(AG$3)&gt;=9,1,0)-IF(MONTH('01_Вводные'!$B$249)&gt;=9,1,0)),0)</f>
        <v/>
      </c>
      <c r="AH30" s="126">
        <f>IF(AH$3&gt;='01_Вводные'!$B$249,'01_Вводные'!$B$135/'01_Вводные'!$B$132*(1+'01_Вводные'!$B$116)^MAX(0,YEAR(AH$3)-YEAR('01_Вводные'!$B$249)+IF(MONTH(AH$3)&gt;=9,1,0)-IF(MONTH('01_Вводные'!$B$249)&gt;=9,1,0)),0)</f>
        <v/>
      </c>
      <c r="AI30" s="126">
        <f>IF(AI$3&gt;='01_Вводные'!$B$249,'01_Вводные'!$B$135/'01_Вводные'!$B$132*(1+'01_Вводные'!$B$116)^MAX(0,YEAR(AI$3)-YEAR('01_Вводные'!$B$249)+IF(MONTH(AI$3)&gt;=9,1,0)-IF(MONTH('01_Вводные'!$B$249)&gt;=9,1,0)),0)</f>
        <v/>
      </c>
      <c r="AJ30" s="126">
        <f>IF(AJ$3&gt;='01_Вводные'!$B$249,'01_Вводные'!$B$135/'01_Вводные'!$B$132*(1+'01_Вводные'!$B$116)^MAX(0,YEAR(AJ$3)-YEAR('01_Вводные'!$B$249)+IF(MONTH(AJ$3)&gt;=9,1,0)-IF(MONTH('01_Вводные'!$B$249)&gt;=9,1,0)),0)</f>
        <v/>
      </c>
      <c r="AK30" s="126">
        <f>IF(AK$3&gt;='01_Вводные'!$B$249,'01_Вводные'!$B$135/'01_Вводные'!$B$132*(1+'01_Вводные'!$B$116)^MAX(0,YEAR(AK$3)-YEAR('01_Вводные'!$B$249)+IF(MONTH(AK$3)&gt;=9,1,0)-IF(MONTH('01_Вводные'!$B$249)&gt;=9,1,0)),0)</f>
        <v/>
      </c>
      <c r="AL30" s="126">
        <f>IF(AL$3&gt;='01_Вводные'!$B$249,'01_Вводные'!$B$135/'01_Вводные'!$B$132*(1+'01_Вводные'!$B$116)^MAX(0,YEAR(AL$3)-YEAR('01_Вводные'!$B$249)+IF(MONTH(AL$3)&gt;=9,1,0)-IF(MONTH('01_Вводные'!$B$249)&gt;=9,1,0)),0)</f>
        <v/>
      </c>
      <c r="AM30" s="126">
        <f>IF(AM$3&gt;='01_Вводные'!$B$249,'01_Вводные'!$B$135/'01_Вводные'!$B$132*(1+'01_Вводные'!$B$116)^MAX(0,YEAR(AM$3)-YEAR('01_Вводные'!$B$249)+IF(MONTH(AM$3)&gt;=9,1,0)-IF(MONTH('01_Вводные'!$B$249)&gt;=9,1,0)),0)</f>
        <v/>
      </c>
      <c r="AN30" s="126">
        <f>IF(AN$3&gt;='01_Вводные'!$B$249,'01_Вводные'!$B$135/'01_Вводные'!$B$132*(1+'01_Вводные'!$B$116)^MAX(0,YEAR(AN$3)-YEAR('01_Вводные'!$B$249)+IF(MONTH(AN$3)&gt;=9,1,0)-IF(MONTH('01_Вводные'!$B$249)&gt;=9,1,0)),0)</f>
        <v/>
      </c>
      <c r="AO30" s="126">
        <f>IF(AO$3&gt;='01_Вводные'!$B$249,'01_Вводные'!$B$135/'01_Вводные'!$B$132*(1+'01_Вводные'!$B$116)^MAX(0,YEAR(AO$3)-YEAR('01_Вводные'!$B$249)+IF(MONTH(AO$3)&gt;=9,1,0)-IF(MONTH('01_Вводные'!$B$249)&gt;=9,1,0)),0)</f>
        <v/>
      </c>
      <c r="AP30" s="126">
        <f>IF(AP$3&gt;='01_Вводные'!$B$249,'01_Вводные'!$B$135/'01_Вводные'!$B$132*(1+'01_Вводные'!$B$116)^MAX(0,YEAR(AP$3)-YEAR('01_Вводные'!$B$249)+IF(MONTH(AP$3)&gt;=9,1,0)-IF(MONTH('01_Вводные'!$B$249)&gt;=9,1,0)),0)</f>
        <v/>
      </c>
      <c r="AQ30" s="126">
        <f>IF(AQ$3&gt;='01_Вводные'!$B$249,'01_Вводные'!$B$135/'01_Вводные'!$B$132*(1+'01_Вводные'!$B$116)^MAX(0,YEAR(AQ$3)-YEAR('01_Вводные'!$B$249)+IF(MONTH(AQ$3)&gt;=9,1,0)-IF(MONTH('01_Вводные'!$B$249)&gt;=9,1,0)),0)</f>
        <v/>
      </c>
      <c r="AR30" s="126">
        <f>IF(AR$3&gt;='01_Вводные'!$B$249,'01_Вводные'!$B$135/'01_Вводные'!$B$132*(1+'01_Вводные'!$B$116)^MAX(0,YEAR(AR$3)-YEAR('01_Вводные'!$B$249)+IF(MONTH(AR$3)&gt;=9,1,0)-IF(MONTH('01_Вводные'!$B$249)&gt;=9,1,0)),0)</f>
        <v/>
      </c>
      <c r="AS30" s="126">
        <f>IF(AS$3&gt;='01_Вводные'!$B$249,'01_Вводные'!$B$135/'01_Вводные'!$B$132*(1+'01_Вводные'!$B$116)^MAX(0,YEAR(AS$3)-YEAR('01_Вводные'!$B$249)+IF(MONTH(AS$3)&gt;=9,1,0)-IF(MONTH('01_Вводные'!$B$249)&gt;=9,1,0)),0)</f>
        <v/>
      </c>
      <c r="AT30" s="126">
        <f>IF(AT$3&gt;='01_Вводные'!$B$249,'01_Вводные'!$B$135/'01_Вводные'!$B$132*(1+'01_Вводные'!$B$116)^MAX(0,YEAR(AT$3)-YEAR('01_Вводные'!$B$249)+IF(MONTH(AT$3)&gt;=9,1,0)-IF(MONTH('01_Вводные'!$B$249)&gt;=9,1,0)),0)</f>
        <v/>
      </c>
      <c r="AU30" s="126">
        <f>IF(AU$3&gt;='01_Вводные'!$B$249,'01_Вводные'!$B$135/'01_Вводные'!$B$132*(1+'01_Вводные'!$B$116)^MAX(0,YEAR(AU$3)-YEAR('01_Вводные'!$B$249)+IF(MONTH(AU$3)&gt;=9,1,0)-IF(MONTH('01_Вводные'!$B$249)&gt;=9,1,0)),0)</f>
        <v/>
      </c>
      <c r="AV30" s="126">
        <f>IF(AV$3&gt;='01_Вводные'!$B$249,'01_Вводные'!$B$135/'01_Вводные'!$B$132*(1+'01_Вводные'!$B$116)^MAX(0,YEAR(AV$3)-YEAR('01_Вводные'!$B$249)+IF(MONTH(AV$3)&gt;=9,1,0)-IF(MONTH('01_Вводные'!$B$249)&gt;=9,1,0)),0)</f>
        <v/>
      </c>
      <c r="AW30" s="126">
        <f>IF(AW$3&gt;='01_Вводные'!$B$249,'01_Вводные'!$B$135/'01_Вводные'!$B$132*(1+'01_Вводные'!$B$116)^MAX(0,YEAR(AW$3)-YEAR('01_Вводные'!$B$249)+IF(MONTH(AW$3)&gt;=9,1,0)-IF(MONTH('01_Вводные'!$B$249)&gt;=9,1,0)),0)</f>
        <v/>
      </c>
      <c r="AX30" s="126">
        <f>IF(AX$3&gt;='01_Вводные'!$B$249,'01_Вводные'!$B$135/'01_Вводные'!$B$132*(1+'01_Вводные'!$B$116)^MAX(0,YEAR(AX$3)-YEAR('01_Вводные'!$B$249)+IF(MONTH(AX$3)&gt;=9,1,0)-IF(MONTH('01_Вводные'!$B$249)&gt;=9,1,0)),0)</f>
        <v/>
      </c>
      <c r="AY30" s="126">
        <f>IF(AY$3&gt;='01_Вводные'!$B$249,'01_Вводные'!$B$135/'01_Вводные'!$B$132*(1+'01_Вводные'!$B$116)^MAX(0,YEAR(AY$3)-YEAR('01_Вводные'!$B$249)+IF(MONTH(AY$3)&gt;=9,1,0)-IF(MONTH('01_Вводные'!$B$249)&gt;=9,1,0)),0)</f>
        <v/>
      </c>
      <c r="AZ30" s="126">
        <f>IF(AZ$3&gt;='01_Вводные'!$B$249,'01_Вводные'!$B$135/'01_Вводные'!$B$132*(1+'01_Вводные'!$B$116)^MAX(0,YEAR(AZ$3)-YEAR('01_Вводные'!$B$249)+IF(MONTH(AZ$3)&gt;=9,1,0)-IF(MONTH('01_Вводные'!$B$249)&gt;=9,1,0)),0)</f>
        <v/>
      </c>
      <c r="BA30" s="126">
        <f>IF(BA$3&gt;='01_Вводные'!$B$249,'01_Вводные'!$B$135/'01_Вводные'!$B$132*(1+'01_Вводные'!$B$116)^MAX(0,YEAR(BA$3)-YEAR('01_Вводные'!$B$249)+IF(MONTH(BA$3)&gt;=9,1,0)-IF(MONTH('01_Вводные'!$B$249)&gt;=9,1,0)),0)</f>
        <v/>
      </c>
      <c r="BB30" s="126">
        <f>IF(BB$3&gt;='01_Вводные'!$B$249,'01_Вводные'!$B$135/'01_Вводные'!$B$132*(1+'01_Вводные'!$B$116)^MAX(0,YEAR(BB$3)-YEAR('01_Вводные'!$B$249)+IF(MONTH(BB$3)&gt;=9,1,0)-IF(MONTH('01_Вводные'!$B$249)&gt;=9,1,0)),0)</f>
        <v/>
      </c>
      <c r="BC30" s="126">
        <f>IF(BC$3&gt;='01_Вводные'!$B$249,'01_Вводные'!$B$135/'01_Вводные'!$B$132*(1+'01_Вводные'!$B$116)^MAX(0,YEAR(BC$3)-YEAR('01_Вводные'!$B$249)+IF(MONTH(BC$3)&gt;=9,1,0)-IF(MONTH('01_Вводные'!$B$249)&gt;=9,1,0)),0)</f>
        <v/>
      </c>
      <c r="BD30" s="126">
        <f>IF(BD$3&gt;='01_Вводные'!$B$249,'01_Вводные'!$B$135/'01_Вводные'!$B$132*(1+'01_Вводные'!$B$116)^MAX(0,YEAR(BD$3)-YEAR('01_Вводные'!$B$249)+IF(MONTH(BD$3)&gt;=9,1,0)-IF(MONTH('01_Вводные'!$B$249)&gt;=9,1,0)),0)</f>
        <v/>
      </c>
      <c r="BE30" s="126">
        <f>IF(BE$3&gt;='01_Вводные'!$B$249,'01_Вводные'!$B$135/'01_Вводные'!$B$132*(1+'01_Вводные'!$B$116)^MAX(0,YEAR(BE$3)-YEAR('01_Вводные'!$B$249)+IF(MONTH(BE$3)&gt;=9,1,0)-IF(MONTH('01_Вводные'!$B$249)&gt;=9,1,0)),0)</f>
        <v/>
      </c>
      <c r="BF30" s="126">
        <f>IF(BF$3&gt;='01_Вводные'!$B$249,'01_Вводные'!$B$135/'01_Вводные'!$B$132*(1+'01_Вводные'!$B$116)^MAX(0,YEAR(BF$3)-YEAR('01_Вводные'!$B$249)+IF(MONTH(BF$3)&gt;=9,1,0)-IF(MONTH('01_Вводные'!$B$249)&gt;=9,1,0)),0)</f>
        <v/>
      </c>
      <c r="BG30" s="126">
        <f>IF(BG$3&gt;='01_Вводные'!$B$249,'01_Вводные'!$B$135/'01_Вводные'!$B$132*(1+'01_Вводные'!$B$116)^MAX(0,YEAR(BG$3)-YEAR('01_Вводные'!$B$249)+IF(MONTH(BG$3)&gt;=9,1,0)-IF(MONTH('01_Вводные'!$B$249)&gt;=9,1,0)),0)</f>
        <v/>
      </c>
      <c r="BH30" s="126">
        <f>IF(BH$3&gt;='01_Вводные'!$B$249,'01_Вводные'!$B$135/'01_Вводные'!$B$132*(1+'01_Вводные'!$B$116)^MAX(0,YEAR(BH$3)-YEAR('01_Вводные'!$B$249)+IF(MONTH(BH$3)&gt;=9,1,0)-IF(MONTH('01_Вводные'!$B$249)&gt;=9,1,0)),0)</f>
        <v/>
      </c>
      <c r="BI30" s="126">
        <f>IF(BI$3&gt;='01_Вводные'!$B$249,'01_Вводные'!$B$135/'01_Вводные'!$B$132*(1+'01_Вводные'!$B$116)^MAX(0,YEAR(BI$3)-YEAR('01_Вводные'!$B$249)+IF(MONTH(BI$3)&gt;=9,1,0)-IF(MONTH('01_Вводные'!$B$249)&gt;=9,1,0)),0)</f>
        <v/>
      </c>
    </row>
  </sheetData>
  <mergeCells count="4">
    <mergeCell ref="A6:BI6"/>
    <mergeCell ref="A1:BI1"/>
    <mergeCell ref="A23:BI23"/>
    <mergeCell ref="A14:BI14"/>
  </mergeCells>
  <printOptions horizontalCentered="0"/>
  <pageMargins left="0.75" right="0.75" top="1" bottom="1" header="0.5" footer="0.5"/>
  <pageSetup orientation="landscape" fitToHeight="0" fitToWidth="1"/>
  <headerFooter>
    <oddHeader/>
    <oddFooter>&amp;LФинмодель Спартак · 08_ФОТ&amp;R&amp;P / &amp;N</oddFooter>
    <evenHeader/>
    <evenFooter/>
    <firstHeader/>
    <firstFooter/>
  </headerFooter>
</worksheet>
</file>

<file path=xl/worksheets/sheet11.xml><?xml version="1.0" encoding="utf-8"?>
<worksheet xmlns="http://schemas.openxmlformats.org/spreadsheetml/2006/main">
  <sheetPr>
    <tabColor rgb="009E1B31"/>
    <outlinePr summaryBelow="1" summaryRight="1"/>
    <pageSetUpPr fitToPage="1"/>
  </sheetPr>
  <dimension ref="A1:BI19"/>
  <sheetViews>
    <sheetView showGridLines="0" zoomScale="82"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Лагеря — БДР и денежный график</t>
        </is>
      </c>
    </row>
    <row r="2">
      <c r="A2" s="323">
        <f>"Статус блока: "&amp;IF('01_Вводные'!$B$241="Да","ВКЛЮЧЁН — лагеря участвуют в выручке, EBITDA и деньгах","ОТКЛЮЧЁН — все строки ниже обнулены. Включить: 01_Вводные!B241 = Да")</f>
        <v/>
      </c>
    </row>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ht="20" customHeight="1">
      <c r="A4" s="4" t="inlineStr">
        <is>
          <t>Помесячно</t>
        </is>
      </c>
    </row>
    <row r="5">
      <c r="A5" s="2" t="inlineStr">
        <is>
          <t>Участники / продажи</t>
        </is>
      </c>
      <c r="B5" s="95">
        <f>IF(AND('01_Вводные'!$B$241="Да",MONTH(B$3)&gt;='01_Вводные'!$B$253,MONTH(B$3)&lt;='01_Вводные'!$B$254),('01_Вводные'!$B$162+'01_Вводные'!$B$163)*'01_Вводные'!$B$161/('01_Вводные'!$B$254-'01_Вводные'!$B$253+1),0)</f>
        <v/>
      </c>
      <c r="C5" s="95">
        <f>IF(AND('01_Вводные'!$B$241="Да",MONTH(C$3)&gt;='01_Вводные'!$B$253,MONTH(C$3)&lt;='01_Вводные'!$B$254),('01_Вводные'!$B$162+'01_Вводные'!$B$163)*'01_Вводные'!$B$161/('01_Вводные'!$B$254-'01_Вводные'!$B$253+1),0)</f>
        <v/>
      </c>
      <c r="D5" s="95">
        <f>IF(AND('01_Вводные'!$B$241="Да",MONTH(D$3)&gt;='01_Вводные'!$B$253,MONTH(D$3)&lt;='01_Вводные'!$B$254),('01_Вводные'!$B$162+'01_Вводные'!$B$163)*'01_Вводные'!$B$161/('01_Вводные'!$B$254-'01_Вводные'!$B$253+1),0)</f>
        <v/>
      </c>
      <c r="E5" s="95">
        <f>IF(AND('01_Вводные'!$B$241="Да",MONTH(E$3)&gt;='01_Вводные'!$B$253,MONTH(E$3)&lt;='01_Вводные'!$B$254),('01_Вводные'!$B$162+'01_Вводные'!$B$163)*'01_Вводные'!$B$161/('01_Вводные'!$B$254-'01_Вводные'!$B$253+1),0)</f>
        <v/>
      </c>
      <c r="F5" s="95">
        <f>IF(AND('01_Вводные'!$B$241="Да",MONTH(F$3)&gt;='01_Вводные'!$B$253,MONTH(F$3)&lt;='01_Вводные'!$B$254),('01_Вводные'!$B$162+'01_Вводные'!$B$163)*'01_Вводные'!$B$161/('01_Вводные'!$B$254-'01_Вводные'!$B$253+1),0)</f>
        <v/>
      </c>
      <c r="G5" s="95">
        <f>IF(AND('01_Вводные'!$B$241="Да",MONTH(G$3)&gt;='01_Вводные'!$B$253,MONTH(G$3)&lt;='01_Вводные'!$B$254),('01_Вводные'!$B$162+'01_Вводные'!$B$163)*'01_Вводные'!$B$161/('01_Вводные'!$B$254-'01_Вводные'!$B$253+1),0)</f>
        <v/>
      </c>
      <c r="H5" s="95">
        <f>IF(AND('01_Вводные'!$B$241="Да",MONTH(H$3)&gt;='01_Вводные'!$B$253,MONTH(H$3)&lt;='01_Вводные'!$B$254),('01_Вводные'!$B$162+'01_Вводные'!$B$163)*'01_Вводные'!$B$161/('01_Вводные'!$B$254-'01_Вводные'!$B$253+1),0)</f>
        <v/>
      </c>
      <c r="I5" s="95">
        <f>IF(AND('01_Вводные'!$B$241="Да",MONTH(I$3)&gt;='01_Вводные'!$B$253,MONTH(I$3)&lt;='01_Вводные'!$B$254),('01_Вводные'!$B$162+'01_Вводные'!$B$163)*'01_Вводные'!$B$161/('01_Вводные'!$B$254-'01_Вводные'!$B$253+1),0)</f>
        <v/>
      </c>
      <c r="J5" s="95">
        <f>IF(AND('01_Вводные'!$B$241="Да",MONTH(J$3)&gt;='01_Вводные'!$B$253,MONTH(J$3)&lt;='01_Вводные'!$B$254),('01_Вводные'!$B$162+'01_Вводные'!$B$163)*'01_Вводные'!$B$161/('01_Вводные'!$B$254-'01_Вводные'!$B$253+1),0)</f>
        <v/>
      </c>
      <c r="K5" s="95">
        <f>IF(AND('01_Вводные'!$B$241="Да",MONTH(K$3)&gt;='01_Вводные'!$B$253,MONTH(K$3)&lt;='01_Вводные'!$B$254),('01_Вводные'!$B$162+'01_Вводные'!$B$163)*'01_Вводные'!$B$161/('01_Вводные'!$B$254-'01_Вводные'!$B$253+1),0)</f>
        <v/>
      </c>
      <c r="L5" s="95">
        <f>IF(AND('01_Вводные'!$B$241="Да",MONTH(L$3)&gt;='01_Вводные'!$B$253,MONTH(L$3)&lt;='01_Вводные'!$B$254),('01_Вводные'!$B$162+'01_Вводные'!$B$163)*'01_Вводные'!$B$161/('01_Вводные'!$B$254-'01_Вводные'!$B$253+1),0)</f>
        <v/>
      </c>
      <c r="M5" s="95">
        <f>IF(AND('01_Вводные'!$B$241="Да",MONTH(M$3)&gt;='01_Вводные'!$B$253,MONTH(M$3)&lt;='01_Вводные'!$B$254),('01_Вводные'!$B$162+'01_Вводные'!$B$163)*'01_Вводные'!$B$161/('01_Вводные'!$B$254-'01_Вводные'!$B$253+1),0)</f>
        <v/>
      </c>
      <c r="N5" s="95">
        <f>IF(AND('01_Вводные'!$B$241="Да",MONTH(N$3)&gt;='01_Вводные'!$B$253,MONTH(N$3)&lt;='01_Вводные'!$B$254),('01_Вводные'!$B$162+'01_Вводные'!$B$163)*'01_Вводные'!$B$161/('01_Вводные'!$B$254-'01_Вводные'!$B$253+1),0)</f>
        <v/>
      </c>
      <c r="O5" s="95">
        <f>IF(AND('01_Вводные'!$B$241="Да",MONTH(O$3)&gt;='01_Вводные'!$B$253,MONTH(O$3)&lt;='01_Вводные'!$B$254),('01_Вводные'!$B$162+'01_Вводные'!$B$163)*'01_Вводные'!$B$161/('01_Вводные'!$B$254-'01_Вводные'!$B$253+1),0)</f>
        <v/>
      </c>
      <c r="P5" s="95">
        <f>IF(AND('01_Вводные'!$B$241="Да",MONTH(P$3)&gt;='01_Вводные'!$B$253,MONTH(P$3)&lt;='01_Вводные'!$B$254),('01_Вводные'!$B$162+'01_Вводные'!$B$163)*'01_Вводные'!$B$161/('01_Вводные'!$B$254-'01_Вводные'!$B$253+1),0)</f>
        <v/>
      </c>
      <c r="Q5" s="95">
        <f>IF(AND('01_Вводные'!$B$241="Да",MONTH(Q$3)&gt;='01_Вводные'!$B$253,MONTH(Q$3)&lt;='01_Вводные'!$B$254),('01_Вводные'!$B$162+'01_Вводные'!$B$163)*'01_Вводные'!$B$161/('01_Вводные'!$B$254-'01_Вводные'!$B$253+1),0)</f>
        <v/>
      </c>
      <c r="R5" s="95">
        <f>IF(AND('01_Вводные'!$B$241="Да",MONTH(R$3)&gt;='01_Вводные'!$B$253,MONTH(R$3)&lt;='01_Вводные'!$B$254),('01_Вводные'!$B$162+'01_Вводные'!$B$163)*'01_Вводные'!$B$161/('01_Вводные'!$B$254-'01_Вводные'!$B$253+1),0)</f>
        <v/>
      </c>
      <c r="S5" s="95">
        <f>IF(AND('01_Вводные'!$B$241="Да",MONTH(S$3)&gt;='01_Вводные'!$B$253,MONTH(S$3)&lt;='01_Вводные'!$B$254),('01_Вводные'!$B$162+'01_Вводные'!$B$163)*'01_Вводные'!$B$161/('01_Вводные'!$B$254-'01_Вводные'!$B$253+1),0)</f>
        <v/>
      </c>
      <c r="T5" s="95">
        <f>IF(AND('01_Вводные'!$B$241="Да",MONTH(T$3)&gt;='01_Вводные'!$B$253,MONTH(T$3)&lt;='01_Вводные'!$B$254),('01_Вводные'!$B$162+'01_Вводные'!$B$163)*'01_Вводные'!$B$161/('01_Вводные'!$B$254-'01_Вводные'!$B$253+1),0)</f>
        <v/>
      </c>
      <c r="U5" s="95">
        <f>IF(AND('01_Вводные'!$B$241="Да",MONTH(U$3)&gt;='01_Вводные'!$B$253,MONTH(U$3)&lt;='01_Вводные'!$B$254),('01_Вводные'!$B$162+'01_Вводные'!$B$163)*'01_Вводные'!$B$161/('01_Вводные'!$B$254-'01_Вводные'!$B$253+1),0)</f>
        <v/>
      </c>
      <c r="V5" s="95">
        <f>IF(AND('01_Вводные'!$B$241="Да",MONTH(V$3)&gt;='01_Вводные'!$B$253,MONTH(V$3)&lt;='01_Вводные'!$B$254),('01_Вводные'!$B$162+'01_Вводные'!$B$163)*'01_Вводные'!$B$161/('01_Вводные'!$B$254-'01_Вводные'!$B$253+1),0)</f>
        <v/>
      </c>
      <c r="W5" s="95">
        <f>IF(AND('01_Вводные'!$B$241="Да",MONTH(W$3)&gt;='01_Вводные'!$B$253,MONTH(W$3)&lt;='01_Вводные'!$B$254),('01_Вводные'!$B$162+'01_Вводные'!$B$163)*'01_Вводные'!$B$161/('01_Вводные'!$B$254-'01_Вводные'!$B$253+1),0)</f>
        <v/>
      </c>
      <c r="X5" s="95">
        <f>IF(AND('01_Вводные'!$B$241="Да",MONTH(X$3)&gt;='01_Вводные'!$B$253,MONTH(X$3)&lt;='01_Вводные'!$B$254),('01_Вводные'!$B$162+'01_Вводные'!$B$163)*'01_Вводные'!$B$161/('01_Вводные'!$B$254-'01_Вводные'!$B$253+1),0)</f>
        <v/>
      </c>
      <c r="Y5" s="95">
        <f>IF(AND('01_Вводные'!$B$241="Да",MONTH(Y$3)&gt;='01_Вводные'!$B$253,MONTH(Y$3)&lt;='01_Вводные'!$B$254),('01_Вводные'!$B$162+'01_Вводные'!$B$163)*'01_Вводные'!$B$161/('01_Вводные'!$B$254-'01_Вводные'!$B$253+1),0)</f>
        <v/>
      </c>
      <c r="Z5" s="95">
        <f>IF(AND('01_Вводные'!$B$241="Да",MONTH(Z$3)&gt;='01_Вводные'!$B$253,MONTH(Z$3)&lt;='01_Вводные'!$B$254),('01_Вводные'!$B$162+'01_Вводные'!$B$163)*'01_Вводные'!$B$161/('01_Вводные'!$B$254-'01_Вводные'!$B$253+1),0)</f>
        <v/>
      </c>
      <c r="AA5" s="95">
        <f>IF(AND('01_Вводные'!$B$241="Да",MONTH(AA$3)&gt;='01_Вводные'!$B$253,MONTH(AA$3)&lt;='01_Вводные'!$B$254),('01_Вводные'!$B$162+'01_Вводные'!$B$163)*'01_Вводные'!$B$161/('01_Вводные'!$B$254-'01_Вводные'!$B$253+1),0)</f>
        <v/>
      </c>
      <c r="AB5" s="95">
        <f>IF(AND('01_Вводные'!$B$241="Да",MONTH(AB$3)&gt;='01_Вводные'!$B$253,MONTH(AB$3)&lt;='01_Вводные'!$B$254),('01_Вводные'!$B$162+'01_Вводные'!$B$163)*'01_Вводные'!$B$161/('01_Вводные'!$B$254-'01_Вводные'!$B$253+1),0)</f>
        <v/>
      </c>
      <c r="AC5" s="95">
        <f>IF(AND('01_Вводные'!$B$241="Да",MONTH(AC$3)&gt;='01_Вводные'!$B$253,MONTH(AC$3)&lt;='01_Вводные'!$B$254),('01_Вводные'!$B$162+'01_Вводные'!$B$163)*'01_Вводные'!$B$161/('01_Вводные'!$B$254-'01_Вводные'!$B$253+1),0)</f>
        <v/>
      </c>
      <c r="AD5" s="95">
        <f>IF(AND('01_Вводные'!$B$241="Да",MONTH(AD$3)&gt;='01_Вводные'!$B$253,MONTH(AD$3)&lt;='01_Вводные'!$B$254),('01_Вводные'!$B$162+'01_Вводные'!$B$163)*'01_Вводные'!$B$161/('01_Вводные'!$B$254-'01_Вводные'!$B$253+1),0)</f>
        <v/>
      </c>
      <c r="AE5" s="95">
        <f>IF(AND('01_Вводные'!$B$241="Да",MONTH(AE$3)&gt;='01_Вводные'!$B$253,MONTH(AE$3)&lt;='01_Вводные'!$B$254),('01_Вводные'!$B$162+'01_Вводные'!$B$163)*'01_Вводные'!$B$161/('01_Вводные'!$B$254-'01_Вводные'!$B$253+1),0)</f>
        <v/>
      </c>
      <c r="AF5" s="95">
        <f>IF(AND('01_Вводные'!$B$241="Да",MONTH(AF$3)&gt;='01_Вводные'!$B$253,MONTH(AF$3)&lt;='01_Вводные'!$B$254),('01_Вводные'!$B$162+'01_Вводные'!$B$163)*'01_Вводные'!$B$161/('01_Вводные'!$B$254-'01_Вводные'!$B$253+1),0)</f>
        <v/>
      </c>
      <c r="AG5" s="95">
        <f>IF(AND('01_Вводные'!$B$241="Да",MONTH(AG$3)&gt;='01_Вводные'!$B$253,MONTH(AG$3)&lt;='01_Вводные'!$B$254),('01_Вводные'!$B$162+'01_Вводные'!$B$163)*'01_Вводные'!$B$161/('01_Вводные'!$B$254-'01_Вводные'!$B$253+1),0)</f>
        <v/>
      </c>
      <c r="AH5" s="95">
        <f>IF(AND('01_Вводные'!$B$241="Да",MONTH(AH$3)&gt;='01_Вводные'!$B$253,MONTH(AH$3)&lt;='01_Вводные'!$B$254),('01_Вводные'!$B$162+'01_Вводные'!$B$163)*'01_Вводные'!$B$161/('01_Вводные'!$B$254-'01_Вводные'!$B$253+1),0)</f>
        <v/>
      </c>
      <c r="AI5" s="95">
        <f>IF(AND('01_Вводные'!$B$241="Да",MONTH(AI$3)&gt;='01_Вводные'!$B$253,MONTH(AI$3)&lt;='01_Вводные'!$B$254),('01_Вводные'!$B$162+'01_Вводные'!$B$163)*'01_Вводные'!$B$161/('01_Вводные'!$B$254-'01_Вводные'!$B$253+1),0)</f>
        <v/>
      </c>
      <c r="AJ5" s="95">
        <f>IF(AND('01_Вводные'!$B$241="Да",MONTH(AJ$3)&gt;='01_Вводные'!$B$253,MONTH(AJ$3)&lt;='01_Вводные'!$B$254),('01_Вводные'!$B$162+'01_Вводные'!$B$163)*'01_Вводные'!$B$161/('01_Вводные'!$B$254-'01_Вводные'!$B$253+1),0)</f>
        <v/>
      </c>
      <c r="AK5" s="95">
        <f>IF(AND('01_Вводные'!$B$241="Да",MONTH(AK$3)&gt;='01_Вводные'!$B$253,MONTH(AK$3)&lt;='01_Вводные'!$B$254),('01_Вводные'!$B$162+'01_Вводные'!$B$163)*'01_Вводные'!$B$161/('01_Вводные'!$B$254-'01_Вводные'!$B$253+1),0)</f>
        <v/>
      </c>
      <c r="AL5" s="95">
        <f>IF(AND('01_Вводные'!$B$241="Да",MONTH(AL$3)&gt;='01_Вводные'!$B$253,MONTH(AL$3)&lt;='01_Вводные'!$B$254),('01_Вводные'!$B$162+'01_Вводные'!$B$163)*'01_Вводные'!$B$161/('01_Вводные'!$B$254-'01_Вводные'!$B$253+1),0)</f>
        <v/>
      </c>
      <c r="AM5" s="95">
        <f>IF(AND('01_Вводные'!$B$241="Да",MONTH(AM$3)&gt;='01_Вводные'!$B$253,MONTH(AM$3)&lt;='01_Вводные'!$B$254),('01_Вводные'!$B$162+'01_Вводные'!$B$163)*'01_Вводные'!$B$161/('01_Вводные'!$B$254-'01_Вводные'!$B$253+1),0)</f>
        <v/>
      </c>
      <c r="AN5" s="95">
        <f>IF(AND('01_Вводные'!$B$241="Да",MONTH(AN$3)&gt;='01_Вводные'!$B$253,MONTH(AN$3)&lt;='01_Вводные'!$B$254),('01_Вводные'!$B$162+'01_Вводные'!$B$163)*'01_Вводные'!$B$161/('01_Вводные'!$B$254-'01_Вводные'!$B$253+1),0)</f>
        <v/>
      </c>
      <c r="AO5" s="95">
        <f>IF(AND('01_Вводные'!$B$241="Да",MONTH(AO$3)&gt;='01_Вводные'!$B$253,MONTH(AO$3)&lt;='01_Вводные'!$B$254),('01_Вводные'!$B$162+'01_Вводные'!$B$163)*'01_Вводные'!$B$161/('01_Вводные'!$B$254-'01_Вводные'!$B$253+1),0)</f>
        <v/>
      </c>
      <c r="AP5" s="95">
        <f>IF(AND('01_Вводные'!$B$241="Да",MONTH(AP$3)&gt;='01_Вводные'!$B$253,MONTH(AP$3)&lt;='01_Вводные'!$B$254),('01_Вводные'!$B$162+'01_Вводные'!$B$163)*'01_Вводные'!$B$161/('01_Вводные'!$B$254-'01_Вводные'!$B$253+1),0)</f>
        <v/>
      </c>
      <c r="AQ5" s="95">
        <f>IF(AND('01_Вводные'!$B$241="Да",MONTH(AQ$3)&gt;='01_Вводные'!$B$253,MONTH(AQ$3)&lt;='01_Вводные'!$B$254),('01_Вводные'!$B$162+'01_Вводные'!$B$163)*'01_Вводные'!$B$161/('01_Вводные'!$B$254-'01_Вводные'!$B$253+1),0)</f>
        <v/>
      </c>
      <c r="AR5" s="95">
        <f>IF(AND('01_Вводные'!$B$241="Да",MONTH(AR$3)&gt;='01_Вводные'!$B$253,MONTH(AR$3)&lt;='01_Вводные'!$B$254),('01_Вводные'!$B$162+'01_Вводные'!$B$163)*'01_Вводные'!$B$161/('01_Вводные'!$B$254-'01_Вводные'!$B$253+1),0)</f>
        <v/>
      </c>
      <c r="AS5" s="95">
        <f>IF(AND('01_Вводные'!$B$241="Да",MONTH(AS$3)&gt;='01_Вводные'!$B$253,MONTH(AS$3)&lt;='01_Вводные'!$B$254),('01_Вводные'!$B$162+'01_Вводные'!$B$163)*'01_Вводные'!$B$161/('01_Вводные'!$B$254-'01_Вводные'!$B$253+1),0)</f>
        <v/>
      </c>
      <c r="AT5" s="95">
        <f>IF(AND('01_Вводные'!$B$241="Да",MONTH(AT$3)&gt;='01_Вводные'!$B$253,MONTH(AT$3)&lt;='01_Вводные'!$B$254),('01_Вводные'!$B$162+'01_Вводные'!$B$163)*'01_Вводные'!$B$161/('01_Вводные'!$B$254-'01_Вводные'!$B$253+1),0)</f>
        <v/>
      </c>
      <c r="AU5" s="95">
        <f>IF(AND('01_Вводные'!$B$241="Да",MONTH(AU$3)&gt;='01_Вводные'!$B$253,MONTH(AU$3)&lt;='01_Вводные'!$B$254),('01_Вводные'!$B$162+'01_Вводные'!$B$163)*'01_Вводные'!$B$161/('01_Вводные'!$B$254-'01_Вводные'!$B$253+1),0)</f>
        <v/>
      </c>
      <c r="AV5" s="95">
        <f>IF(AND('01_Вводные'!$B$241="Да",MONTH(AV$3)&gt;='01_Вводные'!$B$253,MONTH(AV$3)&lt;='01_Вводные'!$B$254),('01_Вводные'!$B$162+'01_Вводные'!$B$163)*'01_Вводные'!$B$161/('01_Вводные'!$B$254-'01_Вводные'!$B$253+1),0)</f>
        <v/>
      </c>
      <c r="AW5" s="95">
        <f>IF(AND('01_Вводные'!$B$241="Да",MONTH(AW$3)&gt;='01_Вводные'!$B$253,MONTH(AW$3)&lt;='01_Вводные'!$B$254),('01_Вводные'!$B$162+'01_Вводные'!$B$163)*'01_Вводные'!$B$161/('01_Вводные'!$B$254-'01_Вводные'!$B$253+1),0)</f>
        <v/>
      </c>
      <c r="AX5" s="95">
        <f>IF(AND('01_Вводные'!$B$241="Да",MONTH(AX$3)&gt;='01_Вводные'!$B$253,MONTH(AX$3)&lt;='01_Вводные'!$B$254),('01_Вводные'!$B$162+'01_Вводные'!$B$163)*'01_Вводные'!$B$161/('01_Вводные'!$B$254-'01_Вводные'!$B$253+1),0)</f>
        <v/>
      </c>
      <c r="AY5" s="95">
        <f>IF(AND('01_Вводные'!$B$241="Да",MONTH(AY$3)&gt;='01_Вводные'!$B$253,MONTH(AY$3)&lt;='01_Вводные'!$B$254),('01_Вводные'!$B$162+'01_Вводные'!$B$163)*'01_Вводные'!$B$161/('01_Вводные'!$B$254-'01_Вводные'!$B$253+1),0)</f>
        <v/>
      </c>
      <c r="AZ5" s="95">
        <f>IF(AND('01_Вводные'!$B$241="Да",MONTH(AZ$3)&gt;='01_Вводные'!$B$253,MONTH(AZ$3)&lt;='01_Вводные'!$B$254),('01_Вводные'!$B$162+'01_Вводные'!$B$163)*'01_Вводные'!$B$161/('01_Вводные'!$B$254-'01_Вводные'!$B$253+1),0)</f>
        <v/>
      </c>
      <c r="BA5" s="95">
        <f>IF(AND('01_Вводные'!$B$241="Да",MONTH(BA$3)&gt;='01_Вводные'!$B$253,MONTH(BA$3)&lt;='01_Вводные'!$B$254),('01_Вводные'!$B$162+'01_Вводные'!$B$163)*'01_Вводные'!$B$161/('01_Вводные'!$B$254-'01_Вводные'!$B$253+1),0)</f>
        <v/>
      </c>
      <c r="BB5" s="95">
        <f>IF(AND('01_Вводные'!$B$241="Да",MONTH(BB$3)&gt;='01_Вводные'!$B$253,MONTH(BB$3)&lt;='01_Вводные'!$B$254),('01_Вводные'!$B$162+'01_Вводные'!$B$163)*'01_Вводные'!$B$161/('01_Вводные'!$B$254-'01_Вводные'!$B$253+1),0)</f>
        <v/>
      </c>
      <c r="BC5" s="95">
        <f>IF(AND('01_Вводные'!$B$241="Да",MONTH(BC$3)&gt;='01_Вводные'!$B$253,MONTH(BC$3)&lt;='01_Вводные'!$B$254),('01_Вводные'!$B$162+'01_Вводные'!$B$163)*'01_Вводные'!$B$161/('01_Вводные'!$B$254-'01_Вводные'!$B$253+1),0)</f>
        <v/>
      </c>
      <c r="BD5" s="95">
        <f>IF(AND('01_Вводные'!$B$241="Да",MONTH(BD$3)&gt;='01_Вводные'!$B$253,MONTH(BD$3)&lt;='01_Вводные'!$B$254),('01_Вводные'!$B$162+'01_Вводные'!$B$163)*'01_Вводные'!$B$161/('01_Вводные'!$B$254-'01_Вводные'!$B$253+1),0)</f>
        <v/>
      </c>
      <c r="BE5" s="95">
        <f>IF(AND('01_Вводные'!$B$241="Да",MONTH(BE$3)&gt;='01_Вводные'!$B$253,MONTH(BE$3)&lt;='01_Вводные'!$B$254),('01_Вводные'!$B$162+'01_Вводные'!$B$163)*'01_Вводные'!$B$161/('01_Вводные'!$B$254-'01_Вводные'!$B$253+1),0)</f>
        <v/>
      </c>
      <c r="BF5" s="95">
        <f>IF(AND('01_Вводные'!$B$241="Да",MONTH(BF$3)&gt;='01_Вводные'!$B$253,MONTH(BF$3)&lt;='01_Вводные'!$B$254),('01_Вводные'!$B$162+'01_Вводные'!$B$163)*'01_Вводные'!$B$161/('01_Вводные'!$B$254-'01_Вводные'!$B$253+1),0)</f>
        <v/>
      </c>
      <c r="BG5" s="95">
        <f>IF(AND('01_Вводные'!$B$241="Да",MONTH(BG$3)&gt;='01_Вводные'!$B$253,MONTH(BG$3)&lt;='01_Вводные'!$B$254),('01_Вводные'!$B$162+'01_Вводные'!$B$163)*'01_Вводные'!$B$161/('01_Вводные'!$B$254-'01_Вводные'!$B$253+1),0)</f>
        <v/>
      </c>
      <c r="BH5" s="95">
        <f>IF(AND('01_Вводные'!$B$241="Да",MONTH(BH$3)&gt;='01_Вводные'!$B$253,MONTH(BH$3)&lt;='01_Вводные'!$B$254),('01_Вводные'!$B$162+'01_Вводные'!$B$163)*'01_Вводные'!$B$161/('01_Вводные'!$B$254-'01_Вводные'!$B$253+1),0)</f>
        <v/>
      </c>
      <c r="BI5" s="95">
        <f>IF(AND('01_Вводные'!$B$241="Да",MONTH(BI$3)&gt;='01_Вводные'!$B$253,MONTH(BI$3)&lt;='01_Вводные'!$B$254),('01_Вводные'!$B$162+'01_Вводные'!$B$163)*'01_Вводные'!$B$161/('01_Вводные'!$B$254-'01_Вводные'!$B$253+1),0)</f>
        <v/>
      </c>
    </row>
    <row r="6">
      <c r="A6" s="2" t="inlineStr">
        <is>
          <t>Авансы клиентов 40%</t>
        </is>
      </c>
      <c r="B6" s="95">
        <f>IF('01_Вводные'!$B$162+'01_Вводные'!$B$163&gt;0,B5*'01_Вводные'!$B$166/('01_Вводные'!$B$162+'01_Вводные'!$B$163)*'01_Вводные'!$B$171,0)</f>
        <v/>
      </c>
      <c r="C6" s="95">
        <f>IF('01_Вводные'!$B$162+'01_Вводные'!$B$163&gt;0,C5*'01_Вводные'!$B$166/('01_Вводные'!$B$162+'01_Вводные'!$B$163)*'01_Вводные'!$B$171,0)</f>
        <v/>
      </c>
      <c r="D6" s="95">
        <f>IF('01_Вводные'!$B$162+'01_Вводные'!$B$163&gt;0,D5*'01_Вводные'!$B$166/('01_Вводные'!$B$162+'01_Вводные'!$B$163)*'01_Вводные'!$B$171,0)</f>
        <v/>
      </c>
      <c r="E6" s="95">
        <f>IF('01_Вводные'!$B$162+'01_Вводные'!$B$163&gt;0,E5*'01_Вводные'!$B$166/('01_Вводные'!$B$162+'01_Вводные'!$B$163)*'01_Вводные'!$B$171,0)</f>
        <v/>
      </c>
      <c r="F6" s="95">
        <f>IF('01_Вводные'!$B$162+'01_Вводные'!$B$163&gt;0,F5*'01_Вводные'!$B$166/('01_Вводные'!$B$162+'01_Вводные'!$B$163)*'01_Вводные'!$B$171,0)</f>
        <v/>
      </c>
      <c r="G6" s="95">
        <f>IF('01_Вводные'!$B$162+'01_Вводные'!$B$163&gt;0,G5*'01_Вводные'!$B$166/('01_Вводные'!$B$162+'01_Вводные'!$B$163)*'01_Вводные'!$B$171,0)</f>
        <v/>
      </c>
      <c r="H6" s="95">
        <f>IF('01_Вводные'!$B$162+'01_Вводные'!$B$163&gt;0,H5*'01_Вводные'!$B$166/('01_Вводные'!$B$162+'01_Вводные'!$B$163)*'01_Вводные'!$B$171,0)</f>
        <v/>
      </c>
      <c r="I6" s="95">
        <f>IF('01_Вводные'!$B$162+'01_Вводные'!$B$163&gt;0,I5*'01_Вводные'!$B$166/('01_Вводные'!$B$162+'01_Вводные'!$B$163)*'01_Вводные'!$B$171,0)</f>
        <v/>
      </c>
      <c r="J6" s="95">
        <f>IF('01_Вводные'!$B$162+'01_Вводные'!$B$163&gt;0,J5*'01_Вводные'!$B$166/('01_Вводные'!$B$162+'01_Вводные'!$B$163)*'01_Вводные'!$B$171,0)</f>
        <v/>
      </c>
      <c r="K6" s="95">
        <f>IF('01_Вводные'!$B$162+'01_Вводные'!$B$163&gt;0,K5*'01_Вводные'!$B$166/('01_Вводные'!$B$162+'01_Вводные'!$B$163)*'01_Вводные'!$B$171,0)</f>
        <v/>
      </c>
      <c r="L6" s="95">
        <f>IF('01_Вводные'!$B$162+'01_Вводные'!$B$163&gt;0,L5*'01_Вводные'!$B$166/('01_Вводные'!$B$162+'01_Вводные'!$B$163)*'01_Вводные'!$B$171,0)</f>
        <v/>
      </c>
      <c r="M6" s="95">
        <f>IF('01_Вводные'!$B$162+'01_Вводные'!$B$163&gt;0,M5*'01_Вводные'!$B$166/('01_Вводные'!$B$162+'01_Вводные'!$B$163)*'01_Вводные'!$B$171,0)</f>
        <v/>
      </c>
      <c r="N6" s="95">
        <f>IF('01_Вводные'!$B$162+'01_Вводные'!$B$163&gt;0,N5*'01_Вводные'!$B$166/('01_Вводные'!$B$162+'01_Вводные'!$B$163)*'01_Вводные'!$B$171,0)</f>
        <v/>
      </c>
      <c r="O6" s="95">
        <f>IF('01_Вводные'!$B$162+'01_Вводные'!$B$163&gt;0,O5*'01_Вводные'!$B$166/('01_Вводные'!$B$162+'01_Вводные'!$B$163)*'01_Вводные'!$B$171,0)</f>
        <v/>
      </c>
      <c r="P6" s="95">
        <f>IF('01_Вводные'!$B$162+'01_Вводные'!$B$163&gt;0,P5*'01_Вводные'!$B$166/('01_Вводные'!$B$162+'01_Вводные'!$B$163)*'01_Вводные'!$B$171,0)</f>
        <v/>
      </c>
      <c r="Q6" s="95">
        <f>IF('01_Вводные'!$B$162+'01_Вводные'!$B$163&gt;0,Q5*'01_Вводные'!$B$166/('01_Вводные'!$B$162+'01_Вводные'!$B$163)*'01_Вводные'!$B$171,0)</f>
        <v/>
      </c>
      <c r="R6" s="95">
        <f>IF('01_Вводные'!$B$162+'01_Вводные'!$B$163&gt;0,R5*'01_Вводные'!$B$166/('01_Вводные'!$B$162+'01_Вводные'!$B$163)*'01_Вводные'!$B$171,0)</f>
        <v/>
      </c>
      <c r="S6" s="95">
        <f>IF('01_Вводные'!$B$162+'01_Вводные'!$B$163&gt;0,S5*'01_Вводные'!$B$166/('01_Вводные'!$B$162+'01_Вводные'!$B$163)*'01_Вводные'!$B$171,0)</f>
        <v/>
      </c>
      <c r="T6" s="95">
        <f>IF('01_Вводные'!$B$162+'01_Вводные'!$B$163&gt;0,T5*'01_Вводные'!$B$166/('01_Вводные'!$B$162+'01_Вводные'!$B$163)*'01_Вводные'!$B$171,0)</f>
        <v/>
      </c>
      <c r="U6" s="95">
        <f>IF('01_Вводные'!$B$162+'01_Вводные'!$B$163&gt;0,U5*'01_Вводные'!$B$166/('01_Вводные'!$B$162+'01_Вводные'!$B$163)*'01_Вводные'!$B$171,0)</f>
        <v/>
      </c>
      <c r="V6" s="95">
        <f>IF('01_Вводные'!$B$162+'01_Вводные'!$B$163&gt;0,V5*'01_Вводные'!$B$166/('01_Вводные'!$B$162+'01_Вводные'!$B$163)*'01_Вводные'!$B$171,0)</f>
        <v/>
      </c>
      <c r="W6" s="95">
        <f>IF('01_Вводные'!$B$162+'01_Вводные'!$B$163&gt;0,W5*'01_Вводные'!$B$166/('01_Вводные'!$B$162+'01_Вводные'!$B$163)*'01_Вводные'!$B$171,0)</f>
        <v/>
      </c>
      <c r="X6" s="95">
        <f>IF('01_Вводные'!$B$162+'01_Вводные'!$B$163&gt;0,X5*'01_Вводные'!$B$166/('01_Вводные'!$B$162+'01_Вводные'!$B$163)*'01_Вводные'!$B$171,0)</f>
        <v/>
      </c>
      <c r="Y6" s="95">
        <f>IF('01_Вводные'!$B$162+'01_Вводные'!$B$163&gt;0,Y5*'01_Вводные'!$B$166/('01_Вводные'!$B$162+'01_Вводные'!$B$163)*'01_Вводные'!$B$171,0)</f>
        <v/>
      </c>
      <c r="Z6" s="95">
        <f>IF('01_Вводные'!$B$162+'01_Вводные'!$B$163&gt;0,Z5*'01_Вводные'!$B$166/('01_Вводные'!$B$162+'01_Вводные'!$B$163)*'01_Вводные'!$B$171,0)</f>
        <v/>
      </c>
      <c r="AA6" s="95">
        <f>IF('01_Вводные'!$B$162+'01_Вводные'!$B$163&gt;0,AA5*'01_Вводные'!$B$166/('01_Вводные'!$B$162+'01_Вводные'!$B$163)*'01_Вводные'!$B$171,0)</f>
        <v/>
      </c>
      <c r="AB6" s="95">
        <f>IF('01_Вводные'!$B$162+'01_Вводные'!$B$163&gt;0,AB5*'01_Вводные'!$B$166/('01_Вводные'!$B$162+'01_Вводные'!$B$163)*'01_Вводные'!$B$171,0)</f>
        <v/>
      </c>
      <c r="AC6" s="95">
        <f>IF('01_Вводные'!$B$162+'01_Вводные'!$B$163&gt;0,AC5*'01_Вводные'!$B$166/('01_Вводные'!$B$162+'01_Вводные'!$B$163)*'01_Вводные'!$B$171,0)</f>
        <v/>
      </c>
      <c r="AD6" s="95">
        <f>IF('01_Вводные'!$B$162+'01_Вводные'!$B$163&gt;0,AD5*'01_Вводные'!$B$166/('01_Вводные'!$B$162+'01_Вводные'!$B$163)*'01_Вводные'!$B$171,0)</f>
        <v/>
      </c>
      <c r="AE6" s="95">
        <f>IF('01_Вводные'!$B$162+'01_Вводные'!$B$163&gt;0,AE5*'01_Вводные'!$B$166/('01_Вводные'!$B$162+'01_Вводные'!$B$163)*'01_Вводные'!$B$171,0)</f>
        <v/>
      </c>
      <c r="AF6" s="95">
        <f>IF('01_Вводные'!$B$162+'01_Вводные'!$B$163&gt;0,AF5*'01_Вводные'!$B$166/('01_Вводные'!$B$162+'01_Вводные'!$B$163)*'01_Вводные'!$B$171,0)</f>
        <v/>
      </c>
      <c r="AG6" s="95">
        <f>IF('01_Вводные'!$B$162+'01_Вводные'!$B$163&gt;0,AG5*'01_Вводные'!$B$166/('01_Вводные'!$B$162+'01_Вводные'!$B$163)*'01_Вводные'!$B$171,0)</f>
        <v/>
      </c>
      <c r="AH6" s="95">
        <f>IF('01_Вводные'!$B$162+'01_Вводные'!$B$163&gt;0,AH5*'01_Вводные'!$B$166/('01_Вводные'!$B$162+'01_Вводные'!$B$163)*'01_Вводные'!$B$171,0)</f>
        <v/>
      </c>
      <c r="AI6" s="95">
        <f>IF('01_Вводные'!$B$162+'01_Вводные'!$B$163&gt;0,AI5*'01_Вводные'!$B$166/('01_Вводные'!$B$162+'01_Вводные'!$B$163)*'01_Вводные'!$B$171,0)</f>
        <v/>
      </c>
      <c r="AJ6" s="95">
        <f>IF('01_Вводные'!$B$162+'01_Вводные'!$B$163&gt;0,AJ5*'01_Вводные'!$B$166/('01_Вводные'!$B$162+'01_Вводные'!$B$163)*'01_Вводные'!$B$171,0)</f>
        <v/>
      </c>
      <c r="AK6" s="95">
        <f>IF('01_Вводные'!$B$162+'01_Вводные'!$B$163&gt;0,AK5*'01_Вводные'!$B$166/('01_Вводные'!$B$162+'01_Вводные'!$B$163)*'01_Вводные'!$B$171,0)</f>
        <v/>
      </c>
      <c r="AL6" s="95">
        <f>IF('01_Вводные'!$B$162+'01_Вводные'!$B$163&gt;0,AL5*'01_Вводные'!$B$166/('01_Вводные'!$B$162+'01_Вводные'!$B$163)*'01_Вводные'!$B$171,0)</f>
        <v/>
      </c>
      <c r="AM6" s="95">
        <f>IF('01_Вводные'!$B$162+'01_Вводные'!$B$163&gt;0,AM5*'01_Вводные'!$B$166/('01_Вводные'!$B$162+'01_Вводные'!$B$163)*'01_Вводные'!$B$171,0)</f>
        <v/>
      </c>
      <c r="AN6" s="95">
        <f>IF('01_Вводные'!$B$162+'01_Вводные'!$B$163&gt;0,AN5*'01_Вводные'!$B$166/('01_Вводные'!$B$162+'01_Вводные'!$B$163)*'01_Вводные'!$B$171,0)</f>
        <v/>
      </c>
      <c r="AO6" s="95">
        <f>IF('01_Вводные'!$B$162+'01_Вводные'!$B$163&gt;0,AO5*'01_Вводные'!$B$166/('01_Вводные'!$B$162+'01_Вводные'!$B$163)*'01_Вводные'!$B$171,0)</f>
        <v/>
      </c>
      <c r="AP6" s="95">
        <f>IF('01_Вводные'!$B$162+'01_Вводные'!$B$163&gt;0,AP5*'01_Вводные'!$B$166/('01_Вводные'!$B$162+'01_Вводные'!$B$163)*'01_Вводные'!$B$171,0)</f>
        <v/>
      </c>
      <c r="AQ6" s="95">
        <f>IF('01_Вводные'!$B$162+'01_Вводные'!$B$163&gt;0,AQ5*'01_Вводные'!$B$166/('01_Вводные'!$B$162+'01_Вводные'!$B$163)*'01_Вводные'!$B$171,0)</f>
        <v/>
      </c>
      <c r="AR6" s="95">
        <f>IF('01_Вводные'!$B$162+'01_Вводные'!$B$163&gt;0,AR5*'01_Вводные'!$B$166/('01_Вводные'!$B$162+'01_Вводные'!$B$163)*'01_Вводные'!$B$171,0)</f>
        <v/>
      </c>
      <c r="AS6" s="95">
        <f>IF('01_Вводные'!$B$162+'01_Вводные'!$B$163&gt;0,AS5*'01_Вводные'!$B$166/('01_Вводные'!$B$162+'01_Вводные'!$B$163)*'01_Вводные'!$B$171,0)</f>
        <v/>
      </c>
      <c r="AT6" s="95">
        <f>IF('01_Вводные'!$B$162+'01_Вводные'!$B$163&gt;0,AT5*'01_Вводные'!$B$166/('01_Вводные'!$B$162+'01_Вводные'!$B$163)*'01_Вводные'!$B$171,0)</f>
        <v/>
      </c>
      <c r="AU6" s="95">
        <f>IF('01_Вводные'!$B$162+'01_Вводные'!$B$163&gt;0,AU5*'01_Вводные'!$B$166/('01_Вводные'!$B$162+'01_Вводные'!$B$163)*'01_Вводные'!$B$171,0)</f>
        <v/>
      </c>
      <c r="AV6" s="95">
        <f>IF('01_Вводные'!$B$162+'01_Вводные'!$B$163&gt;0,AV5*'01_Вводные'!$B$166/('01_Вводные'!$B$162+'01_Вводные'!$B$163)*'01_Вводные'!$B$171,0)</f>
        <v/>
      </c>
      <c r="AW6" s="95">
        <f>IF('01_Вводные'!$B$162+'01_Вводные'!$B$163&gt;0,AW5*'01_Вводные'!$B$166/('01_Вводные'!$B$162+'01_Вводные'!$B$163)*'01_Вводные'!$B$171,0)</f>
        <v/>
      </c>
      <c r="AX6" s="95">
        <f>IF('01_Вводные'!$B$162+'01_Вводные'!$B$163&gt;0,AX5*'01_Вводные'!$B$166/('01_Вводные'!$B$162+'01_Вводные'!$B$163)*'01_Вводные'!$B$171,0)</f>
        <v/>
      </c>
      <c r="AY6" s="95">
        <f>IF('01_Вводные'!$B$162+'01_Вводные'!$B$163&gt;0,AY5*'01_Вводные'!$B$166/('01_Вводные'!$B$162+'01_Вводные'!$B$163)*'01_Вводные'!$B$171,0)</f>
        <v/>
      </c>
      <c r="AZ6" s="95">
        <f>IF('01_Вводные'!$B$162+'01_Вводные'!$B$163&gt;0,AZ5*'01_Вводные'!$B$166/('01_Вводные'!$B$162+'01_Вводные'!$B$163)*'01_Вводные'!$B$171,0)</f>
        <v/>
      </c>
      <c r="BA6" s="95">
        <f>IF('01_Вводные'!$B$162+'01_Вводные'!$B$163&gt;0,BA5*'01_Вводные'!$B$166/('01_Вводные'!$B$162+'01_Вводные'!$B$163)*'01_Вводные'!$B$171,0)</f>
        <v/>
      </c>
      <c r="BB6" s="95">
        <f>IF('01_Вводные'!$B$162+'01_Вводные'!$B$163&gt;0,BB5*'01_Вводные'!$B$166/('01_Вводные'!$B$162+'01_Вводные'!$B$163)*'01_Вводные'!$B$171,0)</f>
        <v/>
      </c>
      <c r="BC6" s="95">
        <f>IF('01_Вводные'!$B$162+'01_Вводные'!$B$163&gt;0,BC5*'01_Вводные'!$B$166/('01_Вводные'!$B$162+'01_Вводные'!$B$163)*'01_Вводные'!$B$171,0)</f>
        <v/>
      </c>
      <c r="BD6" s="95">
        <f>IF('01_Вводные'!$B$162+'01_Вводные'!$B$163&gt;0,BD5*'01_Вводные'!$B$166/('01_Вводные'!$B$162+'01_Вводные'!$B$163)*'01_Вводные'!$B$171,0)</f>
        <v/>
      </c>
      <c r="BE6" s="95">
        <f>IF('01_Вводные'!$B$162+'01_Вводные'!$B$163&gt;0,BE5*'01_Вводные'!$B$166/('01_Вводные'!$B$162+'01_Вводные'!$B$163)*'01_Вводные'!$B$171,0)</f>
        <v/>
      </c>
      <c r="BF6" s="95">
        <f>IF('01_Вводные'!$B$162+'01_Вводные'!$B$163&gt;0,BF5*'01_Вводные'!$B$166/('01_Вводные'!$B$162+'01_Вводные'!$B$163)*'01_Вводные'!$B$171,0)</f>
        <v/>
      </c>
      <c r="BG6" s="95">
        <f>IF('01_Вводные'!$B$162+'01_Вводные'!$B$163&gt;0,BG5*'01_Вводные'!$B$166/('01_Вводные'!$B$162+'01_Вводные'!$B$163)*'01_Вводные'!$B$171,0)</f>
        <v/>
      </c>
      <c r="BH6" s="95">
        <f>IF('01_Вводные'!$B$162+'01_Вводные'!$B$163&gt;0,BH5*'01_Вводные'!$B$166/('01_Вводные'!$B$162+'01_Вводные'!$B$163)*'01_Вводные'!$B$171,0)</f>
        <v/>
      </c>
      <c r="BI6" s="95">
        <f>IF('01_Вводные'!$B$162+'01_Вводные'!$B$163&gt;0,BI5*'01_Вводные'!$B$166/('01_Вводные'!$B$162+'01_Вводные'!$B$163)*'01_Вводные'!$B$171,0)</f>
        <v/>
      </c>
    </row>
    <row r="7">
      <c r="A7" s="2" t="inlineStr">
        <is>
          <t>Финальные оплаты клиентов 60%</t>
        </is>
      </c>
      <c r="B7" s="95">
        <f>IF(AND('01_Вводные'!$B$241="Да",MONTH(B$3)='01_Вводные'!$B$173),'01_Вводные'!$B$166*'01_Вводные'!$B$161*'01_Вводные'!$B$172,0)</f>
        <v/>
      </c>
      <c r="C7" s="95">
        <f>IF(AND('01_Вводные'!$B$241="Да",MONTH(C$3)='01_Вводные'!$B$173),'01_Вводные'!$B$166*'01_Вводные'!$B$161*'01_Вводные'!$B$172,0)</f>
        <v/>
      </c>
      <c r="D7" s="95">
        <f>IF(AND('01_Вводные'!$B$241="Да",MONTH(D$3)='01_Вводные'!$B$173),'01_Вводные'!$B$166*'01_Вводные'!$B$161*'01_Вводные'!$B$172,0)</f>
        <v/>
      </c>
      <c r="E7" s="95">
        <f>IF(AND('01_Вводные'!$B$241="Да",MONTH(E$3)='01_Вводные'!$B$173),'01_Вводные'!$B$166*'01_Вводные'!$B$161*'01_Вводные'!$B$172,0)</f>
        <v/>
      </c>
      <c r="F7" s="95">
        <f>IF(AND('01_Вводные'!$B$241="Да",MONTH(F$3)='01_Вводные'!$B$173),'01_Вводные'!$B$166*'01_Вводные'!$B$161*'01_Вводные'!$B$172,0)</f>
        <v/>
      </c>
      <c r="G7" s="95">
        <f>IF(AND('01_Вводные'!$B$241="Да",MONTH(G$3)='01_Вводные'!$B$173),'01_Вводные'!$B$166*'01_Вводные'!$B$161*'01_Вводные'!$B$172,0)</f>
        <v/>
      </c>
      <c r="H7" s="95">
        <f>IF(AND('01_Вводные'!$B$241="Да",MONTH(H$3)='01_Вводные'!$B$173),'01_Вводные'!$B$166*'01_Вводные'!$B$161*'01_Вводные'!$B$172,0)</f>
        <v/>
      </c>
      <c r="I7" s="95">
        <f>IF(AND('01_Вводные'!$B$241="Да",MONTH(I$3)='01_Вводные'!$B$173),'01_Вводные'!$B$166*'01_Вводные'!$B$161*'01_Вводные'!$B$172,0)</f>
        <v/>
      </c>
      <c r="J7" s="95">
        <f>IF(AND('01_Вводные'!$B$241="Да",MONTH(J$3)='01_Вводные'!$B$173),'01_Вводные'!$B$166*'01_Вводные'!$B$161*'01_Вводные'!$B$172,0)</f>
        <v/>
      </c>
      <c r="K7" s="95">
        <f>IF(AND('01_Вводные'!$B$241="Да",MONTH(K$3)='01_Вводные'!$B$173),'01_Вводные'!$B$166*'01_Вводные'!$B$161*'01_Вводные'!$B$172,0)</f>
        <v/>
      </c>
      <c r="L7" s="95">
        <f>IF(AND('01_Вводные'!$B$241="Да",MONTH(L$3)='01_Вводные'!$B$173),'01_Вводные'!$B$166*'01_Вводные'!$B$161*'01_Вводные'!$B$172,0)</f>
        <v/>
      </c>
      <c r="M7" s="95">
        <f>IF(AND('01_Вводные'!$B$241="Да",MONTH(M$3)='01_Вводные'!$B$173),'01_Вводные'!$B$166*'01_Вводные'!$B$161*'01_Вводные'!$B$172,0)</f>
        <v/>
      </c>
      <c r="N7" s="95">
        <f>IF(AND('01_Вводные'!$B$241="Да",MONTH(N$3)='01_Вводные'!$B$173),'01_Вводные'!$B$166*'01_Вводные'!$B$161*'01_Вводные'!$B$172,0)</f>
        <v/>
      </c>
      <c r="O7" s="95">
        <f>IF(AND('01_Вводные'!$B$241="Да",MONTH(O$3)='01_Вводные'!$B$173),'01_Вводные'!$B$166*'01_Вводные'!$B$161*'01_Вводные'!$B$172,0)</f>
        <v/>
      </c>
      <c r="P7" s="95">
        <f>IF(AND('01_Вводные'!$B$241="Да",MONTH(P$3)='01_Вводные'!$B$173),'01_Вводные'!$B$166*'01_Вводные'!$B$161*'01_Вводные'!$B$172,0)</f>
        <v/>
      </c>
      <c r="Q7" s="95">
        <f>IF(AND('01_Вводные'!$B$241="Да",MONTH(Q$3)='01_Вводные'!$B$173),'01_Вводные'!$B$166*'01_Вводные'!$B$161*'01_Вводные'!$B$172,0)</f>
        <v/>
      </c>
      <c r="R7" s="95">
        <f>IF(AND('01_Вводные'!$B$241="Да",MONTH(R$3)='01_Вводные'!$B$173),'01_Вводные'!$B$166*'01_Вводные'!$B$161*'01_Вводные'!$B$172,0)</f>
        <v/>
      </c>
      <c r="S7" s="95">
        <f>IF(AND('01_Вводные'!$B$241="Да",MONTH(S$3)='01_Вводные'!$B$173),'01_Вводные'!$B$166*'01_Вводные'!$B$161*'01_Вводные'!$B$172,0)</f>
        <v/>
      </c>
      <c r="T7" s="95">
        <f>IF(AND('01_Вводные'!$B$241="Да",MONTH(T$3)='01_Вводные'!$B$173),'01_Вводные'!$B$166*'01_Вводные'!$B$161*'01_Вводные'!$B$172,0)</f>
        <v/>
      </c>
      <c r="U7" s="95">
        <f>IF(AND('01_Вводные'!$B$241="Да",MONTH(U$3)='01_Вводные'!$B$173),'01_Вводные'!$B$166*'01_Вводные'!$B$161*'01_Вводные'!$B$172,0)</f>
        <v/>
      </c>
      <c r="V7" s="95">
        <f>IF(AND('01_Вводные'!$B$241="Да",MONTH(V$3)='01_Вводные'!$B$173),'01_Вводные'!$B$166*'01_Вводные'!$B$161*'01_Вводные'!$B$172,0)</f>
        <v/>
      </c>
      <c r="W7" s="95">
        <f>IF(AND('01_Вводные'!$B$241="Да",MONTH(W$3)='01_Вводные'!$B$173),'01_Вводные'!$B$166*'01_Вводные'!$B$161*'01_Вводные'!$B$172,0)</f>
        <v/>
      </c>
      <c r="X7" s="95">
        <f>IF(AND('01_Вводные'!$B$241="Да",MONTH(X$3)='01_Вводные'!$B$173),'01_Вводные'!$B$166*'01_Вводные'!$B$161*'01_Вводные'!$B$172,0)</f>
        <v/>
      </c>
      <c r="Y7" s="95">
        <f>IF(AND('01_Вводные'!$B$241="Да",MONTH(Y$3)='01_Вводные'!$B$173),'01_Вводные'!$B$166*'01_Вводные'!$B$161*'01_Вводные'!$B$172,0)</f>
        <v/>
      </c>
      <c r="Z7" s="95">
        <f>IF(AND('01_Вводные'!$B$241="Да",MONTH(Z$3)='01_Вводные'!$B$173),'01_Вводные'!$B$166*'01_Вводные'!$B$161*'01_Вводные'!$B$172,0)</f>
        <v/>
      </c>
      <c r="AA7" s="95">
        <f>IF(AND('01_Вводные'!$B$241="Да",MONTH(AA$3)='01_Вводные'!$B$173),'01_Вводные'!$B$166*'01_Вводные'!$B$161*'01_Вводные'!$B$172,0)</f>
        <v/>
      </c>
      <c r="AB7" s="95">
        <f>IF(AND('01_Вводные'!$B$241="Да",MONTH(AB$3)='01_Вводные'!$B$173),'01_Вводные'!$B$166*'01_Вводные'!$B$161*'01_Вводные'!$B$172,0)</f>
        <v/>
      </c>
      <c r="AC7" s="95">
        <f>IF(AND('01_Вводные'!$B$241="Да",MONTH(AC$3)='01_Вводные'!$B$173),'01_Вводные'!$B$166*'01_Вводные'!$B$161*'01_Вводные'!$B$172,0)</f>
        <v/>
      </c>
      <c r="AD7" s="95">
        <f>IF(AND('01_Вводные'!$B$241="Да",MONTH(AD$3)='01_Вводные'!$B$173),'01_Вводные'!$B$166*'01_Вводные'!$B$161*'01_Вводные'!$B$172,0)</f>
        <v/>
      </c>
      <c r="AE7" s="95">
        <f>IF(AND('01_Вводные'!$B$241="Да",MONTH(AE$3)='01_Вводные'!$B$173),'01_Вводные'!$B$166*'01_Вводные'!$B$161*'01_Вводные'!$B$172,0)</f>
        <v/>
      </c>
      <c r="AF7" s="95">
        <f>IF(AND('01_Вводные'!$B$241="Да",MONTH(AF$3)='01_Вводные'!$B$173),'01_Вводные'!$B$166*'01_Вводные'!$B$161*'01_Вводные'!$B$172,0)</f>
        <v/>
      </c>
      <c r="AG7" s="95">
        <f>IF(AND('01_Вводные'!$B$241="Да",MONTH(AG$3)='01_Вводные'!$B$173),'01_Вводные'!$B$166*'01_Вводные'!$B$161*'01_Вводные'!$B$172,0)</f>
        <v/>
      </c>
      <c r="AH7" s="95">
        <f>IF(AND('01_Вводные'!$B$241="Да",MONTH(AH$3)='01_Вводные'!$B$173),'01_Вводные'!$B$166*'01_Вводные'!$B$161*'01_Вводные'!$B$172,0)</f>
        <v/>
      </c>
      <c r="AI7" s="95">
        <f>IF(AND('01_Вводные'!$B$241="Да",MONTH(AI$3)='01_Вводные'!$B$173),'01_Вводные'!$B$166*'01_Вводные'!$B$161*'01_Вводные'!$B$172,0)</f>
        <v/>
      </c>
      <c r="AJ7" s="95">
        <f>IF(AND('01_Вводные'!$B$241="Да",MONTH(AJ$3)='01_Вводные'!$B$173),'01_Вводные'!$B$166*'01_Вводные'!$B$161*'01_Вводные'!$B$172,0)</f>
        <v/>
      </c>
      <c r="AK7" s="95">
        <f>IF(AND('01_Вводные'!$B$241="Да",MONTH(AK$3)='01_Вводные'!$B$173),'01_Вводные'!$B$166*'01_Вводные'!$B$161*'01_Вводные'!$B$172,0)</f>
        <v/>
      </c>
      <c r="AL7" s="95">
        <f>IF(AND('01_Вводные'!$B$241="Да",MONTH(AL$3)='01_Вводные'!$B$173),'01_Вводные'!$B$166*'01_Вводные'!$B$161*'01_Вводные'!$B$172,0)</f>
        <v/>
      </c>
      <c r="AM7" s="95">
        <f>IF(AND('01_Вводные'!$B$241="Да",MONTH(AM$3)='01_Вводные'!$B$173),'01_Вводные'!$B$166*'01_Вводные'!$B$161*'01_Вводные'!$B$172,0)</f>
        <v/>
      </c>
      <c r="AN7" s="95">
        <f>IF(AND('01_Вводные'!$B$241="Да",MONTH(AN$3)='01_Вводные'!$B$173),'01_Вводные'!$B$166*'01_Вводные'!$B$161*'01_Вводные'!$B$172,0)</f>
        <v/>
      </c>
      <c r="AO7" s="95">
        <f>IF(AND('01_Вводные'!$B$241="Да",MONTH(AO$3)='01_Вводные'!$B$173),'01_Вводные'!$B$166*'01_Вводные'!$B$161*'01_Вводные'!$B$172,0)</f>
        <v/>
      </c>
      <c r="AP7" s="95">
        <f>IF(AND('01_Вводные'!$B$241="Да",MONTH(AP$3)='01_Вводные'!$B$173),'01_Вводные'!$B$166*'01_Вводные'!$B$161*'01_Вводные'!$B$172,0)</f>
        <v/>
      </c>
      <c r="AQ7" s="95">
        <f>IF(AND('01_Вводные'!$B$241="Да",MONTH(AQ$3)='01_Вводные'!$B$173),'01_Вводные'!$B$166*'01_Вводные'!$B$161*'01_Вводные'!$B$172,0)</f>
        <v/>
      </c>
      <c r="AR7" s="95">
        <f>IF(AND('01_Вводные'!$B$241="Да",MONTH(AR$3)='01_Вводные'!$B$173),'01_Вводные'!$B$166*'01_Вводные'!$B$161*'01_Вводные'!$B$172,0)</f>
        <v/>
      </c>
      <c r="AS7" s="95">
        <f>IF(AND('01_Вводные'!$B$241="Да",MONTH(AS$3)='01_Вводные'!$B$173),'01_Вводные'!$B$166*'01_Вводные'!$B$161*'01_Вводные'!$B$172,0)</f>
        <v/>
      </c>
      <c r="AT7" s="95">
        <f>IF(AND('01_Вводные'!$B$241="Да",MONTH(AT$3)='01_Вводные'!$B$173),'01_Вводные'!$B$166*'01_Вводные'!$B$161*'01_Вводные'!$B$172,0)</f>
        <v/>
      </c>
      <c r="AU7" s="95">
        <f>IF(AND('01_Вводные'!$B$241="Да",MONTH(AU$3)='01_Вводные'!$B$173),'01_Вводные'!$B$166*'01_Вводные'!$B$161*'01_Вводные'!$B$172,0)</f>
        <v/>
      </c>
      <c r="AV7" s="95">
        <f>IF(AND('01_Вводные'!$B$241="Да",MONTH(AV$3)='01_Вводные'!$B$173),'01_Вводные'!$B$166*'01_Вводные'!$B$161*'01_Вводные'!$B$172,0)</f>
        <v/>
      </c>
      <c r="AW7" s="95">
        <f>IF(AND('01_Вводные'!$B$241="Да",MONTH(AW$3)='01_Вводные'!$B$173),'01_Вводные'!$B$166*'01_Вводные'!$B$161*'01_Вводные'!$B$172,0)</f>
        <v/>
      </c>
      <c r="AX7" s="95">
        <f>IF(AND('01_Вводные'!$B$241="Да",MONTH(AX$3)='01_Вводные'!$B$173),'01_Вводные'!$B$166*'01_Вводные'!$B$161*'01_Вводные'!$B$172,0)</f>
        <v/>
      </c>
      <c r="AY7" s="95">
        <f>IF(AND('01_Вводные'!$B$241="Да",MONTH(AY$3)='01_Вводные'!$B$173),'01_Вводные'!$B$166*'01_Вводные'!$B$161*'01_Вводные'!$B$172,0)</f>
        <v/>
      </c>
      <c r="AZ7" s="95">
        <f>IF(AND('01_Вводные'!$B$241="Да",MONTH(AZ$3)='01_Вводные'!$B$173),'01_Вводные'!$B$166*'01_Вводные'!$B$161*'01_Вводные'!$B$172,0)</f>
        <v/>
      </c>
      <c r="BA7" s="95">
        <f>IF(AND('01_Вводные'!$B$241="Да",MONTH(BA$3)='01_Вводные'!$B$173),'01_Вводные'!$B$166*'01_Вводные'!$B$161*'01_Вводные'!$B$172,0)</f>
        <v/>
      </c>
      <c r="BB7" s="95">
        <f>IF(AND('01_Вводные'!$B$241="Да",MONTH(BB$3)='01_Вводные'!$B$173),'01_Вводные'!$B$166*'01_Вводные'!$B$161*'01_Вводные'!$B$172,0)</f>
        <v/>
      </c>
      <c r="BC7" s="95">
        <f>IF(AND('01_Вводные'!$B$241="Да",MONTH(BC$3)='01_Вводные'!$B$173),'01_Вводные'!$B$166*'01_Вводные'!$B$161*'01_Вводные'!$B$172,0)</f>
        <v/>
      </c>
      <c r="BD7" s="95">
        <f>IF(AND('01_Вводные'!$B$241="Да",MONTH(BD$3)='01_Вводные'!$B$173),'01_Вводные'!$B$166*'01_Вводные'!$B$161*'01_Вводные'!$B$172,0)</f>
        <v/>
      </c>
      <c r="BE7" s="95">
        <f>IF(AND('01_Вводные'!$B$241="Да",MONTH(BE$3)='01_Вводные'!$B$173),'01_Вводные'!$B$166*'01_Вводные'!$B$161*'01_Вводные'!$B$172,0)</f>
        <v/>
      </c>
      <c r="BF7" s="95">
        <f>IF(AND('01_Вводные'!$B$241="Да",MONTH(BF$3)='01_Вводные'!$B$173),'01_Вводные'!$B$166*'01_Вводные'!$B$161*'01_Вводные'!$B$172,0)</f>
        <v/>
      </c>
      <c r="BG7" s="95">
        <f>IF(AND('01_Вводные'!$B$241="Да",MONTH(BG$3)='01_Вводные'!$B$173),'01_Вводные'!$B$166*'01_Вводные'!$B$161*'01_Вводные'!$B$172,0)</f>
        <v/>
      </c>
      <c r="BH7" s="95">
        <f>IF(AND('01_Вводные'!$B$241="Да",MONTH(BH$3)='01_Вводные'!$B$173),'01_Вводные'!$B$166*'01_Вводные'!$B$161*'01_Вводные'!$B$172,0)</f>
        <v/>
      </c>
      <c r="BI7" s="95">
        <f>IF(AND('01_Вводные'!$B$241="Да",MONTH(BI$3)='01_Вводные'!$B$173),'01_Вводные'!$B$166*'01_Вводные'!$B$161*'01_Вводные'!$B$172,0)</f>
        <v/>
      </c>
    </row>
    <row r="8">
      <c r="A8" s="2" t="inlineStr">
        <is>
          <t>Денежные поступления от клиентов</t>
        </is>
      </c>
      <c r="B8" s="42">
        <f>B6+B7</f>
        <v/>
      </c>
      <c r="C8" s="42">
        <f>C6+C7</f>
        <v/>
      </c>
      <c r="D8" s="42">
        <f>D6+D7</f>
        <v/>
      </c>
      <c r="E8" s="42">
        <f>E6+E7</f>
        <v/>
      </c>
      <c r="F8" s="42">
        <f>F6+F7</f>
        <v/>
      </c>
      <c r="G8" s="42">
        <f>G6+G7</f>
        <v/>
      </c>
      <c r="H8" s="42">
        <f>H6+H7</f>
        <v/>
      </c>
      <c r="I8" s="42">
        <f>I6+I7</f>
        <v/>
      </c>
      <c r="J8" s="42">
        <f>J6+J7</f>
        <v/>
      </c>
      <c r="K8" s="42">
        <f>K6+K7</f>
        <v/>
      </c>
      <c r="L8" s="42">
        <f>L6+L7</f>
        <v/>
      </c>
      <c r="M8" s="42">
        <f>M6+M7</f>
        <v/>
      </c>
      <c r="N8" s="42">
        <f>N6+N7</f>
        <v/>
      </c>
      <c r="O8" s="42">
        <f>O6+O7</f>
        <v/>
      </c>
      <c r="P8" s="42">
        <f>P6+P7</f>
        <v/>
      </c>
      <c r="Q8" s="42">
        <f>Q6+Q7</f>
        <v/>
      </c>
      <c r="R8" s="42">
        <f>R6+R7</f>
        <v/>
      </c>
      <c r="S8" s="42">
        <f>S6+S7</f>
        <v/>
      </c>
      <c r="T8" s="42">
        <f>T6+T7</f>
        <v/>
      </c>
      <c r="U8" s="42">
        <f>U6+U7</f>
        <v/>
      </c>
      <c r="V8" s="42">
        <f>V6+V7</f>
        <v/>
      </c>
      <c r="W8" s="42">
        <f>W6+W7</f>
        <v/>
      </c>
      <c r="X8" s="42">
        <f>X6+X7</f>
        <v/>
      </c>
      <c r="Y8" s="42">
        <f>Y6+Y7</f>
        <v/>
      </c>
      <c r="Z8" s="42">
        <f>Z6+Z7</f>
        <v/>
      </c>
      <c r="AA8" s="42">
        <f>AA6+AA7</f>
        <v/>
      </c>
      <c r="AB8" s="42">
        <f>AB6+AB7</f>
        <v/>
      </c>
      <c r="AC8" s="42">
        <f>AC6+AC7</f>
        <v/>
      </c>
      <c r="AD8" s="42">
        <f>AD6+AD7</f>
        <v/>
      </c>
      <c r="AE8" s="42">
        <f>AE6+AE7</f>
        <v/>
      </c>
      <c r="AF8" s="42">
        <f>AF6+AF7</f>
        <v/>
      </c>
      <c r="AG8" s="42">
        <f>AG6+AG7</f>
        <v/>
      </c>
      <c r="AH8" s="42">
        <f>AH6+AH7</f>
        <v/>
      </c>
      <c r="AI8" s="42">
        <f>AI6+AI7</f>
        <v/>
      </c>
      <c r="AJ8" s="42">
        <f>AJ6+AJ7</f>
        <v/>
      </c>
      <c r="AK8" s="42">
        <f>AK6+AK7</f>
        <v/>
      </c>
      <c r="AL8" s="42">
        <f>AL6+AL7</f>
        <v/>
      </c>
      <c r="AM8" s="42">
        <f>AM6+AM7</f>
        <v/>
      </c>
      <c r="AN8" s="42">
        <f>AN6+AN7</f>
        <v/>
      </c>
      <c r="AO8" s="42">
        <f>AO6+AO7</f>
        <v/>
      </c>
      <c r="AP8" s="42">
        <f>AP6+AP7</f>
        <v/>
      </c>
      <c r="AQ8" s="42">
        <f>AQ6+AQ7</f>
        <v/>
      </c>
      <c r="AR8" s="42">
        <f>AR6+AR7</f>
        <v/>
      </c>
      <c r="AS8" s="42">
        <f>AS6+AS7</f>
        <v/>
      </c>
      <c r="AT8" s="42">
        <f>AT6+AT7</f>
        <v/>
      </c>
      <c r="AU8" s="42">
        <f>AU6+AU7</f>
        <v/>
      </c>
      <c r="AV8" s="42">
        <f>AV6+AV7</f>
        <v/>
      </c>
      <c r="AW8" s="42">
        <f>AW6+AW7</f>
        <v/>
      </c>
      <c r="AX8" s="42">
        <f>AX6+AX7</f>
        <v/>
      </c>
      <c r="AY8" s="42">
        <f>AY6+AY7</f>
        <v/>
      </c>
      <c r="AZ8" s="42">
        <f>AZ6+AZ7</f>
        <v/>
      </c>
      <c r="BA8" s="42">
        <f>BA6+BA7</f>
        <v/>
      </c>
      <c r="BB8" s="42">
        <f>BB6+BB7</f>
        <v/>
      </c>
      <c r="BC8" s="42">
        <f>BC6+BC7</f>
        <v/>
      </c>
      <c r="BD8" s="42">
        <f>BD6+BD7</f>
        <v/>
      </c>
      <c r="BE8" s="42">
        <f>BE6+BE7</f>
        <v/>
      </c>
      <c r="BF8" s="42">
        <f>BF6+BF7</f>
        <v/>
      </c>
      <c r="BG8" s="42">
        <f>BG6+BG7</f>
        <v/>
      </c>
      <c r="BH8" s="42">
        <f>BH6+BH7</f>
        <v/>
      </c>
      <c r="BI8" s="42">
        <f>BI6+BI7</f>
        <v/>
      </c>
    </row>
    <row r="9"/>
    <row r="10">
      <c r="A10" s="2" t="inlineStr">
        <is>
          <t>Выручка начисленная, с НДС</t>
        </is>
      </c>
      <c r="B10" s="95">
        <f>IF(AND('01_Вводные'!$B$241="Да",MONTH(B$3)='01_Вводные'!$B$252),'01_Вводные'!$B$166*'01_Вводные'!$B$161,0)</f>
        <v/>
      </c>
      <c r="C10" s="95">
        <f>IF(AND('01_Вводные'!$B$241="Да",MONTH(C$3)='01_Вводные'!$B$252),'01_Вводные'!$B$166*'01_Вводные'!$B$161,0)</f>
        <v/>
      </c>
      <c r="D10" s="95">
        <f>IF(AND('01_Вводные'!$B$241="Да",MONTH(D$3)='01_Вводные'!$B$252),'01_Вводные'!$B$166*'01_Вводные'!$B$161,0)</f>
        <v/>
      </c>
      <c r="E10" s="95">
        <f>IF(AND('01_Вводные'!$B$241="Да",MONTH(E$3)='01_Вводные'!$B$252),'01_Вводные'!$B$166*'01_Вводные'!$B$161,0)</f>
        <v/>
      </c>
      <c r="F10" s="95">
        <f>IF(AND('01_Вводные'!$B$241="Да",MONTH(F$3)='01_Вводные'!$B$252),'01_Вводные'!$B$166*'01_Вводные'!$B$161,0)</f>
        <v/>
      </c>
      <c r="G10" s="95">
        <f>IF(AND('01_Вводные'!$B$241="Да",MONTH(G$3)='01_Вводные'!$B$252),'01_Вводные'!$B$166*'01_Вводные'!$B$161,0)</f>
        <v/>
      </c>
      <c r="H10" s="95">
        <f>IF(AND('01_Вводные'!$B$241="Да",MONTH(H$3)='01_Вводные'!$B$252),'01_Вводные'!$B$166*'01_Вводные'!$B$161,0)</f>
        <v/>
      </c>
      <c r="I10" s="95">
        <f>IF(AND('01_Вводные'!$B$241="Да",MONTH(I$3)='01_Вводные'!$B$252),'01_Вводные'!$B$166*'01_Вводные'!$B$161,0)</f>
        <v/>
      </c>
      <c r="J10" s="95">
        <f>IF(AND('01_Вводные'!$B$241="Да",MONTH(J$3)='01_Вводные'!$B$252),'01_Вводные'!$B$166*'01_Вводные'!$B$161,0)</f>
        <v/>
      </c>
      <c r="K10" s="95">
        <f>IF(AND('01_Вводные'!$B$241="Да",MONTH(K$3)='01_Вводные'!$B$252),'01_Вводные'!$B$166*'01_Вводные'!$B$161,0)</f>
        <v/>
      </c>
      <c r="L10" s="95">
        <f>IF(AND('01_Вводные'!$B$241="Да",MONTH(L$3)='01_Вводные'!$B$252),'01_Вводные'!$B$166*'01_Вводные'!$B$161,0)</f>
        <v/>
      </c>
      <c r="M10" s="95">
        <f>IF(AND('01_Вводные'!$B$241="Да",MONTH(M$3)='01_Вводные'!$B$252),'01_Вводные'!$B$166*'01_Вводные'!$B$161,0)</f>
        <v/>
      </c>
      <c r="N10" s="95">
        <f>IF(AND('01_Вводные'!$B$241="Да",MONTH(N$3)='01_Вводные'!$B$252),'01_Вводные'!$B$166*'01_Вводные'!$B$161,0)</f>
        <v/>
      </c>
      <c r="O10" s="95">
        <f>IF(AND('01_Вводные'!$B$241="Да",MONTH(O$3)='01_Вводные'!$B$252),'01_Вводные'!$B$166*'01_Вводные'!$B$161,0)</f>
        <v/>
      </c>
      <c r="P10" s="95">
        <f>IF(AND('01_Вводные'!$B$241="Да",MONTH(P$3)='01_Вводные'!$B$252),'01_Вводные'!$B$166*'01_Вводные'!$B$161,0)</f>
        <v/>
      </c>
      <c r="Q10" s="95">
        <f>IF(AND('01_Вводные'!$B$241="Да",MONTH(Q$3)='01_Вводные'!$B$252),'01_Вводные'!$B$166*'01_Вводные'!$B$161,0)</f>
        <v/>
      </c>
      <c r="R10" s="95">
        <f>IF(AND('01_Вводные'!$B$241="Да",MONTH(R$3)='01_Вводные'!$B$252),'01_Вводные'!$B$166*'01_Вводные'!$B$161,0)</f>
        <v/>
      </c>
      <c r="S10" s="95">
        <f>IF(AND('01_Вводные'!$B$241="Да",MONTH(S$3)='01_Вводные'!$B$252),'01_Вводные'!$B$166*'01_Вводные'!$B$161,0)</f>
        <v/>
      </c>
      <c r="T10" s="95">
        <f>IF(AND('01_Вводные'!$B$241="Да",MONTH(T$3)='01_Вводные'!$B$252),'01_Вводные'!$B$166*'01_Вводные'!$B$161,0)</f>
        <v/>
      </c>
      <c r="U10" s="95">
        <f>IF(AND('01_Вводные'!$B$241="Да",MONTH(U$3)='01_Вводные'!$B$252),'01_Вводные'!$B$166*'01_Вводные'!$B$161,0)</f>
        <v/>
      </c>
      <c r="V10" s="95">
        <f>IF(AND('01_Вводные'!$B$241="Да",MONTH(V$3)='01_Вводные'!$B$252),'01_Вводные'!$B$166*'01_Вводные'!$B$161,0)</f>
        <v/>
      </c>
      <c r="W10" s="95">
        <f>IF(AND('01_Вводные'!$B$241="Да",MONTH(W$3)='01_Вводные'!$B$252),'01_Вводные'!$B$166*'01_Вводные'!$B$161,0)</f>
        <v/>
      </c>
      <c r="X10" s="95">
        <f>IF(AND('01_Вводные'!$B$241="Да",MONTH(X$3)='01_Вводные'!$B$252),'01_Вводные'!$B$166*'01_Вводные'!$B$161,0)</f>
        <v/>
      </c>
      <c r="Y10" s="95">
        <f>IF(AND('01_Вводные'!$B$241="Да",MONTH(Y$3)='01_Вводные'!$B$252),'01_Вводные'!$B$166*'01_Вводные'!$B$161,0)</f>
        <v/>
      </c>
      <c r="Z10" s="95">
        <f>IF(AND('01_Вводные'!$B$241="Да",MONTH(Z$3)='01_Вводные'!$B$252),'01_Вводные'!$B$166*'01_Вводные'!$B$161,0)</f>
        <v/>
      </c>
      <c r="AA10" s="95">
        <f>IF(AND('01_Вводные'!$B$241="Да",MONTH(AA$3)='01_Вводные'!$B$252),'01_Вводные'!$B$166*'01_Вводные'!$B$161,0)</f>
        <v/>
      </c>
      <c r="AB10" s="95">
        <f>IF(AND('01_Вводные'!$B$241="Да",MONTH(AB$3)='01_Вводные'!$B$252),'01_Вводные'!$B$166*'01_Вводные'!$B$161,0)</f>
        <v/>
      </c>
      <c r="AC10" s="95">
        <f>IF(AND('01_Вводные'!$B$241="Да",MONTH(AC$3)='01_Вводные'!$B$252),'01_Вводные'!$B$166*'01_Вводные'!$B$161,0)</f>
        <v/>
      </c>
      <c r="AD10" s="95">
        <f>IF(AND('01_Вводные'!$B$241="Да",MONTH(AD$3)='01_Вводные'!$B$252),'01_Вводные'!$B$166*'01_Вводные'!$B$161,0)</f>
        <v/>
      </c>
      <c r="AE10" s="95">
        <f>IF(AND('01_Вводные'!$B$241="Да",MONTH(AE$3)='01_Вводные'!$B$252),'01_Вводные'!$B$166*'01_Вводные'!$B$161,0)</f>
        <v/>
      </c>
      <c r="AF10" s="95">
        <f>IF(AND('01_Вводные'!$B$241="Да",MONTH(AF$3)='01_Вводные'!$B$252),'01_Вводные'!$B$166*'01_Вводные'!$B$161,0)</f>
        <v/>
      </c>
      <c r="AG10" s="95">
        <f>IF(AND('01_Вводные'!$B$241="Да",MONTH(AG$3)='01_Вводные'!$B$252),'01_Вводные'!$B$166*'01_Вводные'!$B$161,0)</f>
        <v/>
      </c>
      <c r="AH10" s="95">
        <f>IF(AND('01_Вводные'!$B$241="Да",MONTH(AH$3)='01_Вводные'!$B$252),'01_Вводные'!$B$166*'01_Вводные'!$B$161,0)</f>
        <v/>
      </c>
      <c r="AI10" s="95">
        <f>IF(AND('01_Вводные'!$B$241="Да",MONTH(AI$3)='01_Вводные'!$B$252),'01_Вводные'!$B$166*'01_Вводные'!$B$161,0)</f>
        <v/>
      </c>
      <c r="AJ10" s="95">
        <f>IF(AND('01_Вводные'!$B$241="Да",MONTH(AJ$3)='01_Вводные'!$B$252),'01_Вводные'!$B$166*'01_Вводные'!$B$161,0)</f>
        <v/>
      </c>
      <c r="AK10" s="95">
        <f>IF(AND('01_Вводные'!$B$241="Да",MONTH(AK$3)='01_Вводные'!$B$252),'01_Вводные'!$B$166*'01_Вводные'!$B$161,0)</f>
        <v/>
      </c>
      <c r="AL10" s="95">
        <f>IF(AND('01_Вводные'!$B$241="Да",MONTH(AL$3)='01_Вводные'!$B$252),'01_Вводные'!$B$166*'01_Вводные'!$B$161,0)</f>
        <v/>
      </c>
      <c r="AM10" s="95">
        <f>IF(AND('01_Вводные'!$B$241="Да",MONTH(AM$3)='01_Вводные'!$B$252),'01_Вводные'!$B$166*'01_Вводные'!$B$161,0)</f>
        <v/>
      </c>
      <c r="AN10" s="95">
        <f>IF(AND('01_Вводные'!$B$241="Да",MONTH(AN$3)='01_Вводные'!$B$252),'01_Вводные'!$B$166*'01_Вводные'!$B$161,0)</f>
        <v/>
      </c>
      <c r="AO10" s="95">
        <f>IF(AND('01_Вводные'!$B$241="Да",MONTH(AO$3)='01_Вводные'!$B$252),'01_Вводные'!$B$166*'01_Вводные'!$B$161,0)</f>
        <v/>
      </c>
      <c r="AP10" s="95">
        <f>IF(AND('01_Вводные'!$B$241="Да",MONTH(AP$3)='01_Вводные'!$B$252),'01_Вводные'!$B$166*'01_Вводные'!$B$161,0)</f>
        <v/>
      </c>
      <c r="AQ10" s="95">
        <f>IF(AND('01_Вводные'!$B$241="Да",MONTH(AQ$3)='01_Вводные'!$B$252),'01_Вводные'!$B$166*'01_Вводные'!$B$161,0)</f>
        <v/>
      </c>
      <c r="AR10" s="95">
        <f>IF(AND('01_Вводные'!$B$241="Да",MONTH(AR$3)='01_Вводные'!$B$252),'01_Вводные'!$B$166*'01_Вводные'!$B$161,0)</f>
        <v/>
      </c>
      <c r="AS10" s="95">
        <f>IF(AND('01_Вводные'!$B$241="Да",MONTH(AS$3)='01_Вводные'!$B$252),'01_Вводные'!$B$166*'01_Вводные'!$B$161,0)</f>
        <v/>
      </c>
      <c r="AT10" s="95">
        <f>IF(AND('01_Вводные'!$B$241="Да",MONTH(AT$3)='01_Вводные'!$B$252),'01_Вводные'!$B$166*'01_Вводные'!$B$161,0)</f>
        <v/>
      </c>
      <c r="AU10" s="95">
        <f>IF(AND('01_Вводные'!$B$241="Да",MONTH(AU$3)='01_Вводные'!$B$252),'01_Вводные'!$B$166*'01_Вводные'!$B$161,0)</f>
        <v/>
      </c>
      <c r="AV10" s="95">
        <f>IF(AND('01_Вводные'!$B$241="Да",MONTH(AV$3)='01_Вводные'!$B$252),'01_Вводные'!$B$166*'01_Вводные'!$B$161,0)</f>
        <v/>
      </c>
      <c r="AW10" s="95">
        <f>IF(AND('01_Вводные'!$B$241="Да",MONTH(AW$3)='01_Вводные'!$B$252),'01_Вводные'!$B$166*'01_Вводные'!$B$161,0)</f>
        <v/>
      </c>
      <c r="AX10" s="95">
        <f>IF(AND('01_Вводные'!$B$241="Да",MONTH(AX$3)='01_Вводные'!$B$252),'01_Вводные'!$B$166*'01_Вводные'!$B$161,0)</f>
        <v/>
      </c>
      <c r="AY10" s="95">
        <f>IF(AND('01_Вводные'!$B$241="Да",MONTH(AY$3)='01_Вводные'!$B$252),'01_Вводные'!$B$166*'01_Вводные'!$B$161,0)</f>
        <v/>
      </c>
      <c r="AZ10" s="95">
        <f>IF(AND('01_Вводные'!$B$241="Да",MONTH(AZ$3)='01_Вводные'!$B$252),'01_Вводные'!$B$166*'01_Вводные'!$B$161,0)</f>
        <v/>
      </c>
      <c r="BA10" s="95">
        <f>IF(AND('01_Вводные'!$B$241="Да",MONTH(BA$3)='01_Вводные'!$B$252),'01_Вводные'!$B$166*'01_Вводные'!$B$161,0)</f>
        <v/>
      </c>
      <c r="BB10" s="95">
        <f>IF(AND('01_Вводные'!$B$241="Да",MONTH(BB$3)='01_Вводные'!$B$252),'01_Вводные'!$B$166*'01_Вводные'!$B$161,0)</f>
        <v/>
      </c>
      <c r="BC10" s="95">
        <f>IF(AND('01_Вводные'!$B$241="Да",MONTH(BC$3)='01_Вводные'!$B$252),'01_Вводные'!$B$166*'01_Вводные'!$B$161,0)</f>
        <v/>
      </c>
      <c r="BD10" s="95">
        <f>IF(AND('01_Вводные'!$B$241="Да",MONTH(BD$3)='01_Вводные'!$B$252),'01_Вводные'!$B$166*'01_Вводные'!$B$161,0)</f>
        <v/>
      </c>
      <c r="BE10" s="95">
        <f>IF(AND('01_Вводные'!$B$241="Да",MONTH(BE$3)='01_Вводные'!$B$252),'01_Вводные'!$B$166*'01_Вводные'!$B$161,0)</f>
        <v/>
      </c>
      <c r="BF10" s="95">
        <f>IF(AND('01_Вводные'!$B$241="Да",MONTH(BF$3)='01_Вводные'!$B$252),'01_Вводные'!$B$166*'01_Вводные'!$B$161,0)</f>
        <v/>
      </c>
      <c r="BG10" s="95">
        <f>IF(AND('01_Вводные'!$B$241="Да",MONTH(BG$3)='01_Вводные'!$B$252),'01_Вводные'!$B$166*'01_Вводные'!$B$161,0)</f>
        <v/>
      </c>
      <c r="BH10" s="95">
        <f>IF(AND('01_Вводные'!$B$241="Да",MONTH(BH$3)='01_Вводные'!$B$252),'01_Вводные'!$B$166*'01_Вводные'!$B$161,0)</f>
        <v/>
      </c>
      <c r="BI10" s="95">
        <f>IF(AND('01_Вводные'!$B$241="Да",MONTH(BI$3)='01_Вводные'!$B$252),'01_Вводные'!$B$166*'01_Вводные'!$B$161,0)</f>
        <v/>
      </c>
    </row>
    <row r="11">
      <c r="A11" s="2" t="inlineStr">
        <is>
          <t>Налоговый резерв по источнику (не проверенный НДС)</t>
        </is>
      </c>
      <c r="B11" s="42">
        <f>B10*'01_Вводные'!$B$168</f>
        <v/>
      </c>
      <c r="C11" s="42">
        <f>C10*'01_Вводные'!$B$168</f>
        <v/>
      </c>
      <c r="D11" s="42">
        <f>D10*'01_Вводные'!$B$168</f>
        <v/>
      </c>
      <c r="E11" s="42">
        <f>E10*'01_Вводные'!$B$168</f>
        <v/>
      </c>
      <c r="F11" s="42">
        <f>F10*'01_Вводные'!$B$168</f>
        <v/>
      </c>
      <c r="G11" s="42">
        <f>G10*'01_Вводные'!$B$168</f>
        <v/>
      </c>
      <c r="H11" s="42">
        <f>H10*'01_Вводные'!$B$168</f>
        <v/>
      </c>
      <c r="I11" s="42">
        <f>I10*'01_Вводные'!$B$168</f>
        <v/>
      </c>
      <c r="J11" s="42">
        <f>J10*'01_Вводные'!$B$168</f>
        <v/>
      </c>
      <c r="K11" s="42">
        <f>K10*'01_Вводные'!$B$168</f>
        <v/>
      </c>
      <c r="L11" s="42">
        <f>L10*'01_Вводные'!$B$168</f>
        <v/>
      </c>
      <c r="M11" s="42">
        <f>M10*'01_Вводные'!$B$168</f>
        <v/>
      </c>
      <c r="N11" s="42">
        <f>N10*'01_Вводные'!$B$168</f>
        <v/>
      </c>
      <c r="O11" s="42">
        <f>O10*'01_Вводные'!$B$168</f>
        <v/>
      </c>
      <c r="P11" s="42">
        <f>P10*'01_Вводные'!$B$168</f>
        <v/>
      </c>
      <c r="Q11" s="42">
        <f>Q10*'01_Вводные'!$B$168</f>
        <v/>
      </c>
      <c r="R11" s="42">
        <f>R10*'01_Вводные'!$B$168</f>
        <v/>
      </c>
      <c r="S11" s="42">
        <f>S10*'01_Вводные'!$B$168</f>
        <v/>
      </c>
      <c r="T11" s="42">
        <f>T10*'01_Вводные'!$B$168</f>
        <v/>
      </c>
      <c r="U11" s="42">
        <f>U10*'01_Вводные'!$B$168</f>
        <v/>
      </c>
      <c r="V11" s="42">
        <f>V10*'01_Вводные'!$B$168</f>
        <v/>
      </c>
      <c r="W11" s="42">
        <f>W10*'01_Вводные'!$B$168</f>
        <v/>
      </c>
      <c r="X11" s="42">
        <f>X10*'01_Вводные'!$B$168</f>
        <v/>
      </c>
      <c r="Y11" s="42">
        <f>Y10*'01_Вводные'!$B$168</f>
        <v/>
      </c>
      <c r="Z11" s="42">
        <f>Z10*'01_Вводные'!$B$168</f>
        <v/>
      </c>
      <c r="AA11" s="42">
        <f>AA10*'01_Вводные'!$B$168</f>
        <v/>
      </c>
      <c r="AB11" s="42">
        <f>AB10*'01_Вводные'!$B$168</f>
        <v/>
      </c>
      <c r="AC11" s="42">
        <f>AC10*'01_Вводные'!$B$168</f>
        <v/>
      </c>
      <c r="AD11" s="42">
        <f>AD10*'01_Вводные'!$B$168</f>
        <v/>
      </c>
      <c r="AE11" s="42">
        <f>AE10*'01_Вводные'!$B$168</f>
        <v/>
      </c>
      <c r="AF11" s="42">
        <f>AF10*'01_Вводные'!$B$168</f>
        <v/>
      </c>
      <c r="AG11" s="42">
        <f>AG10*'01_Вводные'!$B$168</f>
        <v/>
      </c>
      <c r="AH11" s="42">
        <f>AH10*'01_Вводные'!$B$168</f>
        <v/>
      </c>
      <c r="AI11" s="42">
        <f>AI10*'01_Вводные'!$B$168</f>
        <v/>
      </c>
      <c r="AJ11" s="42">
        <f>AJ10*'01_Вводные'!$B$168</f>
        <v/>
      </c>
      <c r="AK11" s="42">
        <f>AK10*'01_Вводные'!$B$168</f>
        <v/>
      </c>
      <c r="AL11" s="42">
        <f>AL10*'01_Вводные'!$B$168</f>
        <v/>
      </c>
      <c r="AM11" s="42">
        <f>AM10*'01_Вводные'!$B$168</f>
        <v/>
      </c>
      <c r="AN11" s="42">
        <f>AN10*'01_Вводные'!$B$168</f>
        <v/>
      </c>
      <c r="AO11" s="42">
        <f>AO10*'01_Вводные'!$B$168</f>
        <v/>
      </c>
      <c r="AP11" s="42">
        <f>AP10*'01_Вводные'!$B$168</f>
        <v/>
      </c>
      <c r="AQ11" s="42">
        <f>AQ10*'01_Вводные'!$B$168</f>
        <v/>
      </c>
      <c r="AR11" s="42">
        <f>AR10*'01_Вводные'!$B$168</f>
        <v/>
      </c>
      <c r="AS11" s="42">
        <f>AS10*'01_Вводные'!$B$168</f>
        <v/>
      </c>
      <c r="AT11" s="42">
        <f>AT10*'01_Вводные'!$B$168</f>
        <v/>
      </c>
      <c r="AU11" s="42">
        <f>AU10*'01_Вводные'!$B$168</f>
        <v/>
      </c>
      <c r="AV11" s="42">
        <f>AV10*'01_Вводные'!$B$168</f>
        <v/>
      </c>
      <c r="AW11" s="42">
        <f>AW10*'01_Вводные'!$B$168</f>
        <v/>
      </c>
      <c r="AX11" s="42">
        <f>AX10*'01_Вводные'!$B$168</f>
        <v/>
      </c>
      <c r="AY11" s="42">
        <f>AY10*'01_Вводные'!$B$168</f>
        <v/>
      </c>
      <c r="AZ11" s="42">
        <f>AZ10*'01_Вводные'!$B$168</f>
        <v/>
      </c>
      <c r="BA11" s="42">
        <f>BA10*'01_Вводные'!$B$168</f>
        <v/>
      </c>
      <c r="BB11" s="42">
        <f>BB10*'01_Вводные'!$B$168</f>
        <v/>
      </c>
      <c r="BC11" s="42">
        <f>BC10*'01_Вводные'!$B$168</f>
        <v/>
      </c>
      <c r="BD11" s="42">
        <f>BD10*'01_Вводные'!$B$168</f>
        <v/>
      </c>
      <c r="BE11" s="42">
        <f>BE10*'01_Вводные'!$B$168</f>
        <v/>
      </c>
      <c r="BF11" s="42">
        <f>BF10*'01_Вводные'!$B$168</f>
        <v/>
      </c>
      <c r="BG11" s="42">
        <f>BG10*'01_Вводные'!$B$168</f>
        <v/>
      </c>
      <c r="BH11" s="42">
        <f>BH10*'01_Вводные'!$B$168</f>
        <v/>
      </c>
      <c r="BI11" s="42">
        <f>BI10*'01_Вводные'!$B$168</f>
        <v/>
      </c>
    </row>
    <row r="12">
      <c r="A12" s="2" t="inlineStr">
        <is>
          <t>Расходы лагеря, начисленные</t>
        </is>
      </c>
      <c r="B12" s="95">
        <f>IF(AND('01_Вводные'!$B$241="Да",MONTH(B$3)='01_Вводные'!$B$252),'01_Вводные'!$B$167*'01_Вводные'!$B$161,0)</f>
        <v/>
      </c>
      <c r="C12" s="95">
        <f>IF(AND('01_Вводные'!$B$241="Да",MONTH(C$3)='01_Вводные'!$B$252),'01_Вводные'!$B$167*'01_Вводные'!$B$161,0)</f>
        <v/>
      </c>
      <c r="D12" s="95">
        <f>IF(AND('01_Вводные'!$B$241="Да",MONTH(D$3)='01_Вводные'!$B$252),'01_Вводные'!$B$167*'01_Вводные'!$B$161,0)</f>
        <v/>
      </c>
      <c r="E12" s="95">
        <f>IF(AND('01_Вводные'!$B$241="Да",MONTH(E$3)='01_Вводные'!$B$252),'01_Вводные'!$B$167*'01_Вводные'!$B$161,0)</f>
        <v/>
      </c>
      <c r="F12" s="95">
        <f>IF(AND('01_Вводные'!$B$241="Да",MONTH(F$3)='01_Вводные'!$B$252),'01_Вводные'!$B$167*'01_Вводные'!$B$161,0)</f>
        <v/>
      </c>
      <c r="G12" s="95">
        <f>IF(AND('01_Вводные'!$B$241="Да",MONTH(G$3)='01_Вводные'!$B$252),'01_Вводные'!$B$167*'01_Вводные'!$B$161,0)</f>
        <v/>
      </c>
      <c r="H12" s="95">
        <f>IF(AND('01_Вводные'!$B$241="Да",MONTH(H$3)='01_Вводные'!$B$252),'01_Вводные'!$B$167*'01_Вводные'!$B$161,0)</f>
        <v/>
      </c>
      <c r="I12" s="95">
        <f>IF(AND('01_Вводные'!$B$241="Да",MONTH(I$3)='01_Вводные'!$B$252),'01_Вводные'!$B$167*'01_Вводные'!$B$161,0)</f>
        <v/>
      </c>
      <c r="J12" s="95">
        <f>IF(AND('01_Вводные'!$B$241="Да",MONTH(J$3)='01_Вводные'!$B$252),'01_Вводные'!$B$167*'01_Вводные'!$B$161,0)</f>
        <v/>
      </c>
      <c r="K12" s="95">
        <f>IF(AND('01_Вводные'!$B$241="Да",MONTH(K$3)='01_Вводные'!$B$252),'01_Вводные'!$B$167*'01_Вводные'!$B$161,0)</f>
        <v/>
      </c>
      <c r="L12" s="95">
        <f>IF(AND('01_Вводные'!$B$241="Да",MONTH(L$3)='01_Вводные'!$B$252),'01_Вводные'!$B$167*'01_Вводные'!$B$161,0)</f>
        <v/>
      </c>
      <c r="M12" s="95">
        <f>IF(AND('01_Вводные'!$B$241="Да",MONTH(M$3)='01_Вводные'!$B$252),'01_Вводные'!$B$167*'01_Вводные'!$B$161,0)</f>
        <v/>
      </c>
      <c r="N12" s="95">
        <f>IF(AND('01_Вводные'!$B$241="Да",MONTH(N$3)='01_Вводные'!$B$252),'01_Вводные'!$B$167*'01_Вводные'!$B$161,0)</f>
        <v/>
      </c>
      <c r="O12" s="95">
        <f>IF(AND('01_Вводные'!$B$241="Да",MONTH(O$3)='01_Вводные'!$B$252),'01_Вводные'!$B$167*'01_Вводные'!$B$161,0)</f>
        <v/>
      </c>
      <c r="P12" s="95">
        <f>IF(AND('01_Вводные'!$B$241="Да",MONTH(P$3)='01_Вводные'!$B$252),'01_Вводные'!$B$167*'01_Вводные'!$B$161,0)</f>
        <v/>
      </c>
      <c r="Q12" s="95">
        <f>IF(AND('01_Вводные'!$B$241="Да",MONTH(Q$3)='01_Вводные'!$B$252),'01_Вводные'!$B$167*'01_Вводные'!$B$161,0)</f>
        <v/>
      </c>
      <c r="R12" s="95">
        <f>IF(AND('01_Вводные'!$B$241="Да",MONTH(R$3)='01_Вводные'!$B$252),'01_Вводные'!$B$167*'01_Вводные'!$B$161,0)</f>
        <v/>
      </c>
      <c r="S12" s="95">
        <f>IF(AND('01_Вводные'!$B$241="Да",MONTH(S$3)='01_Вводные'!$B$252),'01_Вводные'!$B$167*'01_Вводные'!$B$161,0)</f>
        <v/>
      </c>
      <c r="T12" s="95">
        <f>IF(AND('01_Вводные'!$B$241="Да",MONTH(T$3)='01_Вводные'!$B$252),'01_Вводные'!$B$167*'01_Вводные'!$B$161,0)</f>
        <v/>
      </c>
      <c r="U12" s="95">
        <f>IF(AND('01_Вводные'!$B$241="Да",MONTH(U$3)='01_Вводные'!$B$252),'01_Вводные'!$B$167*'01_Вводные'!$B$161,0)</f>
        <v/>
      </c>
      <c r="V12" s="95">
        <f>IF(AND('01_Вводные'!$B$241="Да",MONTH(V$3)='01_Вводные'!$B$252),'01_Вводные'!$B$167*'01_Вводные'!$B$161,0)</f>
        <v/>
      </c>
      <c r="W12" s="95">
        <f>IF(AND('01_Вводные'!$B$241="Да",MONTH(W$3)='01_Вводные'!$B$252),'01_Вводные'!$B$167*'01_Вводные'!$B$161,0)</f>
        <v/>
      </c>
      <c r="X12" s="95">
        <f>IF(AND('01_Вводные'!$B$241="Да",MONTH(X$3)='01_Вводные'!$B$252),'01_Вводные'!$B$167*'01_Вводные'!$B$161,0)</f>
        <v/>
      </c>
      <c r="Y12" s="95">
        <f>IF(AND('01_Вводные'!$B$241="Да",MONTH(Y$3)='01_Вводные'!$B$252),'01_Вводные'!$B$167*'01_Вводные'!$B$161,0)</f>
        <v/>
      </c>
      <c r="Z12" s="95">
        <f>IF(AND('01_Вводные'!$B$241="Да",MONTH(Z$3)='01_Вводные'!$B$252),'01_Вводные'!$B$167*'01_Вводные'!$B$161,0)</f>
        <v/>
      </c>
      <c r="AA12" s="95">
        <f>IF(AND('01_Вводные'!$B$241="Да",MONTH(AA$3)='01_Вводные'!$B$252),'01_Вводные'!$B$167*'01_Вводные'!$B$161,0)</f>
        <v/>
      </c>
      <c r="AB12" s="95">
        <f>IF(AND('01_Вводные'!$B$241="Да",MONTH(AB$3)='01_Вводные'!$B$252),'01_Вводные'!$B$167*'01_Вводные'!$B$161,0)</f>
        <v/>
      </c>
      <c r="AC12" s="95">
        <f>IF(AND('01_Вводные'!$B$241="Да",MONTH(AC$3)='01_Вводные'!$B$252),'01_Вводные'!$B$167*'01_Вводные'!$B$161,0)</f>
        <v/>
      </c>
      <c r="AD12" s="95">
        <f>IF(AND('01_Вводные'!$B$241="Да",MONTH(AD$3)='01_Вводные'!$B$252),'01_Вводные'!$B$167*'01_Вводные'!$B$161,0)</f>
        <v/>
      </c>
      <c r="AE12" s="95">
        <f>IF(AND('01_Вводные'!$B$241="Да",MONTH(AE$3)='01_Вводные'!$B$252),'01_Вводные'!$B$167*'01_Вводные'!$B$161,0)</f>
        <v/>
      </c>
      <c r="AF12" s="95">
        <f>IF(AND('01_Вводные'!$B$241="Да",MONTH(AF$3)='01_Вводные'!$B$252),'01_Вводные'!$B$167*'01_Вводные'!$B$161,0)</f>
        <v/>
      </c>
      <c r="AG12" s="95">
        <f>IF(AND('01_Вводные'!$B$241="Да",MONTH(AG$3)='01_Вводные'!$B$252),'01_Вводные'!$B$167*'01_Вводные'!$B$161,0)</f>
        <v/>
      </c>
      <c r="AH12" s="95">
        <f>IF(AND('01_Вводные'!$B$241="Да",MONTH(AH$3)='01_Вводные'!$B$252),'01_Вводные'!$B$167*'01_Вводные'!$B$161,0)</f>
        <v/>
      </c>
      <c r="AI12" s="95">
        <f>IF(AND('01_Вводные'!$B$241="Да",MONTH(AI$3)='01_Вводные'!$B$252),'01_Вводные'!$B$167*'01_Вводные'!$B$161,0)</f>
        <v/>
      </c>
      <c r="AJ12" s="95">
        <f>IF(AND('01_Вводные'!$B$241="Да",MONTH(AJ$3)='01_Вводные'!$B$252),'01_Вводные'!$B$167*'01_Вводные'!$B$161,0)</f>
        <v/>
      </c>
      <c r="AK12" s="95">
        <f>IF(AND('01_Вводные'!$B$241="Да",MONTH(AK$3)='01_Вводные'!$B$252),'01_Вводные'!$B$167*'01_Вводные'!$B$161,0)</f>
        <v/>
      </c>
      <c r="AL12" s="95">
        <f>IF(AND('01_Вводные'!$B$241="Да",MONTH(AL$3)='01_Вводные'!$B$252),'01_Вводные'!$B$167*'01_Вводные'!$B$161,0)</f>
        <v/>
      </c>
      <c r="AM12" s="95">
        <f>IF(AND('01_Вводные'!$B$241="Да",MONTH(AM$3)='01_Вводные'!$B$252),'01_Вводные'!$B$167*'01_Вводные'!$B$161,0)</f>
        <v/>
      </c>
      <c r="AN12" s="95">
        <f>IF(AND('01_Вводные'!$B$241="Да",MONTH(AN$3)='01_Вводные'!$B$252),'01_Вводные'!$B$167*'01_Вводные'!$B$161,0)</f>
        <v/>
      </c>
      <c r="AO12" s="95">
        <f>IF(AND('01_Вводные'!$B$241="Да",MONTH(AO$3)='01_Вводные'!$B$252),'01_Вводные'!$B$167*'01_Вводные'!$B$161,0)</f>
        <v/>
      </c>
      <c r="AP12" s="95">
        <f>IF(AND('01_Вводные'!$B$241="Да",MONTH(AP$3)='01_Вводные'!$B$252),'01_Вводные'!$B$167*'01_Вводные'!$B$161,0)</f>
        <v/>
      </c>
      <c r="AQ12" s="95">
        <f>IF(AND('01_Вводные'!$B$241="Да",MONTH(AQ$3)='01_Вводные'!$B$252),'01_Вводные'!$B$167*'01_Вводные'!$B$161,0)</f>
        <v/>
      </c>
      <c r="AR12" s="95">
        <f>IF(AND('01_Вводные'!$B$241="Да",MONTH(AR$3)='01_Вводные'!$B$252),'01_Вводные'!$B$167*'01_Вводные'!$B$161,0)</f>
        <v/>
      </c>
      <c r="AS12" s="95">
        <f>IF(AND('01_Вводные'!$B$241="Да",MONTH(AS$3)='01_Вводные'!$B$252),'01_Вводные'!$B$167*'01_Вводные'!$B$161,0)</f>
        <v/>
      </c>
      <c r="AT12" s="95">
        <f>IF(AND('01_Вводные'!$B$241="Да",MONTH(AT$3)='01_Вводные'!$B$252),'01_Вводные'!$B$167*'01_Вводные'!$B$161,0)</f>
        <v/>
      </c>
      <c r="AU12" s="95">
        <f>IF(AND('01_Вводные'!$B$241="Да",MONTH(AU$3)='01_Вводные'!$B$252),'01_Вводные'!$B$167*'01_Вводные'!$B$161,0)</f>
        <v/>
      </c>
      <c r="AV12" s="95">
        <f>IF(AND('01_Вводные'!$B$241="Да",MONTH(AV$3)='01_Вводные'!$B$252),'01_Вводные'!$B$167*'01_Вводные'!$B$161,0)</f>
        <v/>
      </c>
      <c r="AW12" s="95">
        <f>IF(AND('01_Вводные'!$B$241="Да",MONTH(AW$3)='01_Вводные'!$B$252),'01_Вводные'!$B$167*'01_Вводные'!$B$161,0)</f>
        <v/>
      </c>
      <c r="AX12" s="95">
        <f>IF(AND('01_Вводные'!$B$241="Да",MONTH(AX$3)='01_Вводные'!$B$252),'01_Вводные'!$B$167*'01_Вводные'!$B$161,0)</f>
        <v/>
      </c>
      <c r="AY12" s="95">
        <f>IF(AND('01_Вводные'!$B$241="Да",MONTH(AY$3)='01_Вводные'!$B$252),'01_Вводные'!$B$167*'01_Вводные'!$B$161,0)</f>
        <v/>
      </c>
      <c r="AZ12" s="95">
        <f>IF(AND('01_Вводные'!$B$241="Да",MONTH(AZ$3)='01_Вводные'!$B$252),'01_Вводные'!$B$167*'01_Вводные'!$B$161,0)</f>
        <v/>
      </c>
      <c r="BA12" s="95">
        <f>IF(AND('01_Вводные'!$B$241="Да",MONTH(BA$3)='01_Вводные'!$B$252),'01_Вводные'!$B$167*'01_Вводные'!$B$161,0)</f>
        <v/>
      </c>
      <c r="BB12" s="95">
        <f>IF(AND('01_Вводные'!$B$241="Да",MONTH(BB$3)='01_Вводные'!$B$252),'01_Вводные'!$B$167*'01_Вводные'!$B$161,0)</f>
        <v/>
      </c>
      <c r="BC12" s="95">
        <f>IF(AND('01_Вводные'!$B$241="Да",MONTH(BC$3)='01_Вводные'!$B$252),'01_Вводные'!$B$167*'01_Вводные'!$B$161,0)</f>
        <v/>
      </c>
      <c r="BD12" s="95">
        <f>IF(AND('01_Вводные'!$B$241="Да",MONTH(BD$3)='01_Вводные'!$B$252),'01_Вводные'!$B$167*'01_Вводные'!$B$161,0)</f>
        <v/>
      </c>
      <c r="BE12" s="95">
        <f>IF(AND('01_Вводные'!$B$241="Да",MONTH(BE$3)='01_Вводные'!$B$252),'01_Вводные'!$B$167*'01_Вводные'!$B$161,0)</f>
        <v/>
      </c>
      <c r="BF12" s="95">
        <f>IF(AND('01_Вводные'!$B$241="Да",MONTH(BF$3)='01_Вводные'!$B$252),'01_Вводные'!$B$167*'01_Вводные'!$B$161,0)</f>
        <v/>
      </c>
      <c r="BG12" s="95">
        <f>IF(AND('01_Вводные'!$B$241="Да",MONTH(BG$3)='01_Вводные'!$B$252),'01_Вводные'!$B$167*'01_Вводные'!$B$161,0)</f>
        <v/>
      </c>
      <c r="BH12" s="95">
        <f>IF(AND('01_Вводные'!$B$241="Да",MONTH(BH$3)='01_Вводные'!$B$252),'01_Вводные'!$B$167*'01_Вводные'!$B$161,0)</f>
        <v/>
      </c>
      <c r="BI12" s="95">
        <f>IF(AND('01_Вводные'!$B$241="Да",MONTH(BI$3)='01_Вводные'!$B$252),'01_Вводные'!$B$167*'01_Вводные'!$B$161,0)</f>
        <v/>
      </c>
    </row>
    <row r="13">
      <c r="A13" s="2" t="inlineStr">
        <is>
          <t>Доля партнёра-продавца</t>
        </is>
      </c>
      <c r="B13" s="42">
        <f>MAX(0,B10-B11-B12)*'01_Вводные'!$B$169</f>
        <v/>
      </c>
      <c r="C13" s="42">
        <f>MAX(0,C10-C11-C12)*'01_Вводные'!$B$169</f>
        <v/>
      </c>
      <c r="D13" s="42">
        <f>MAX(0,D10-D11-D12)*'01_Вводные'!$B$169</f>
        <v/>
      </c>
      <c r="E13" s="42">
        <f>MAX(0,E10-E11-E12)*'01_Вводные'!$B$169</f>
        <v/>
      </c>
      <c r="F13" s="42">
        <f>MAX(0,F10-F11-F12)*'01_Вводные'!$B$169</f>
        <v/>
      </c>
      <c r="G13" s="42">
        <f>MAX(0,G10-G11-G12)*'01_Вводные'!$B$169</f>
        <v/>
      </c>
      <c r="H13" s="42">
        <f>MAX(0,H10-H11-H12)*'01_Вводные'!$B$169</f>
        <v/>
      </c>
      <c r="I13" s="42">
        <f>MAX(0,I10-I11-I12)*'01_Вводные'!$B$169</f>
        <v/>
      </c>
      <c r="J13" s="42">
        <f>MAX(0,J10-J11-J12)*'01_Вводные'!$B$169</f>
        <v/>
      </c>
      <c r="K13" s="42">
        <f>MAX(0,K10-K11-K12)*'01_Вводные'!$B$169</f>
        <v/>
      </c>
      <c r="L13" s="42">
        <f>MAX(0,L10-L11-L12)*'01_Вводные'!$B$169</f>
        <v/>
      </c>
      <c r="M13" s="42">
        <f>MAX(0,M10-M11-M12)*'01_Вводные'!$B$169</f>
        <v/>
      </c>
      <c r="N13" s="42">
        <f>MAX(0,N10-N11-N12)*'01_Вводные'!$B$169</f>
        <v/>
      </c>
      <c r="O13" s="42">
        <f>MAX(0,O10-O11-O12)*'01_Вводные'!$B$169</f>
        <v/>
      </c>
      <c r="P13" s="42">
        <f>MAX(0,P10-P11-P12)*'01_Вводные'!$B$169</f>
        <v/>
      </c>
      <c r="Q13" s="42">
        <f>MAX(0,Q10-Q11-Q12)*'01_Вводные'!$B$169</f>
        <v/>
      </c>
      <c r="R13" s="42">
        <f>MAX(0,R10-R11-R12)*'01_Вводные'!$B$169</f>
        <v/>
      </c>
      <c r="S13" s="42">
        <f>MAX(0,S10-S11-S12)*'01_Вводные'!$B$169</f>
        <v/>
      </c>
      <c r="T13" s="42">
        <f>MAX(0,T10-T11-T12)*'01_Вводные'!$B$169</f>
        <v/>
      </c>
      <c r="U13" s="42">
        <f>MAX(0,U10-U11-U12)*'01_Вводные'!$B$169</f>
        <v/>
      </c>
      <c r="V13" s="42">
        <f>MAX(0,V10-V11-V12)*'01_Вводные'!$B$169</f>
        <v/>
      </c>
      <c r="W13" s="42">
        <f>MAX(0,W10-W11-W12)*'01_Вводные'!$B$169</f>
        <v/>
      </c>
      <c r="X13" s="42">
        <f>MAX(0,X10-X11-X12)*'01_Вводные'!$B$169</f>
        <v/>
      </c>
      <c r="Y13" s="42">
        <f>MAX(0,Y10-Y11-Y12)*'01_Вводные'!$B$169</f>
        <v/>
      </c>
      <c r="Z13" s="42">
        <f>MAX(0,Z10-Z11-Z12)*'01_Вводные'!$B$169</f>
        <v/>
      </c>
      <c r="AA13" s="42">
        <f>MAX(0,AA10-AA11-AA12)*'01_Вводные'!$B$169</f>
        <v/>
      </c>
      <c r="AB13" s="42">
        <f>MAX(0,AB10-AB11-AB12)*'01_Вводные'!$B$169</f>
        <v/>
      </c>
      <c r="AC13" s="42">
        <f>MAX(0,AC10-AC11-AC12)*'01_Вводные'!$B$169</f>
        <v/>
      </c>
      <c r="AD13" s="42">
        <f>MAX(0,AD10-AD11-AD12)*'01_Вводные'!$B$169</f>
        <v/>
      </c>
      <c r="AE13" s="42">
        <f>MAX(0,AE10-AE11-AE12)*'01_Вводные'!$B$169</f>
        <v/>
      </c>
      <c r="AF13" s="42">
        <f>MAX(0,AF10-AF11-AF12)*'01_Вводные'!$B$169</f>
        <v/>
      </c>
      <c r="AG13" s="42">
        <f>MAX(0,AG10-AG11-AG12)*'01_Вводные'!$B$169</f>
        <v/>
      </c>
      <c r="AH13" s="42">
        <f>MAX(0,AH10-AH11-AH12)*'01_Вводные'!$B$169</f>
        <v/>
      </c>
      <c r="AI13" s="42">
        <f>MAX(0,AI10-AI11-AI12)*'01_Вводные'!$B$169</f>
        <v/>
      </c>
      <c r="AJ13" s="42">
        <f>MAX(0,AJ10-AJ11-AJ12)*'01_Вводные'!$B$169</f>
        <v/>
      </c>
      <c r="AK13" s="42">
        <f>MAX(0,AK10-AK11-AK12)*'01_Вводные'!$B$169</f>
        <v/>
      </c>
      <c r="AL13" s="42">
        <f>MAX(0,AL10-AL11-AL12)*'01_Вводные'!$B$169</f>
        <v/>
      </c>
      <c r="AM13" s="42">
        <f>MAX(0,AM10-AM11-AM12)*'01_Вводные'!$B$169</f>
        <v/>
      </c>
      <c r="AN13" s="42">
        <f>MAX(0,AN10-AN11-AN12)*'01_Вводные'!$B$169</f>
        <v/>
      </c>
      <c r="AO13" s="42">
        <f>MAX(0,AO10-AO11-AO12)*'01_Вводные'!$B$169</f>
        <v/>
      </c>
      <c r="AP13" s="42">
        <f>MAX(0,AP10-AP11-AP12)*'01_Вводные'!$B$169</f>
        <v/>
      </c>
      <c r="AQ13" s="42">
        <f>MAX(0,AQ10-AQ11-AQ12)*'01_Вводные'!$B$169</f>
        <v/>
      </c>
      <c r="AR13" s="42">
        <f>MAX(0,AR10-AR11-AR12)*'01_Вводные'!$B$169</f>
        <v/>
      </c>
      <c r="AS13" s="42">
        <f>MAX(0,AS10-AS11-AS12)*'01_Вводные'!$B$169</f>
        <v/>
      </c>
      <c r="AT13" s="42">
        <f>MAX(0,AT10-AT11-AT12)*'01_Вводные'!$B$169</f>
        <v/>
      </c>
      <c r="AU13" s="42">
        <f>MAX(0,AU10-AU11-AU12)*'01_Вводные'!$B$169</f>
        <v/>
      </c>
      <c r="AV13" s="42">
        <f>MAX(0,AV10-AV11-AV12)*'01_Вводные'!$B$169</f>
        <v/>
      </c>
      <c r="AW13" s="42">
        <f>MAX(0,AW10-AW11-AW12)*'01_Вводные'!$B$169</f>
        <v/>
      </c>
      <c r="AX13" s="42">
        <f>MAX(0,AX10-AX11-AX12)*'01_Вводные'!$B$169</f>
        <v/>
      </c>
      <c r="AY13" s="42">
        <f>MAX(0,AY10-AY11-AY12)*'01_Вводные'!$B$169</f>
        <v/>
      </c>
      <c r="AZ13" s="42">
        <f>MAX(0,AZ10-AZ11-AZ12)*'01_Вводные'!$B$169</f>
        <v/>
      </c>
      <c r="BA13" s="42">
        <f>MAX(0,BA10-BA11-BA12)*'01_Вводные'!$B$169</f>
        <v/>
      </c>
      <c r="BB13" s="42">
        <f>MAX(0,BB10-BB11-BB12)*'01_Вводные'!$B$169</f>
        <v/>
      </c>
      <c r="BC13" s="42">
        <f>MAX(0,BC10-BC11-BC12)*'01_Вводные'!$B$169</f>
        <v/>
      </c>
      <c r="BD13" s="42">
        <f>MAX(0,BD10-BD11-BD12)*'01_Вводные'!$B$169</f>
        <v/>
      </c>
      <c r="BE13" s="42">
        <f>MAX(0,BE10-BE11-BE12)*'01_Вводные'!$B$169</f>
        <v/>
      </c>
      <c r="BF13" s="42">
        <f>MAX(0,BF10-BF11-BF12)*'01_Вводные'!$B$169</f>
        <v/>
      </c>
      <c r="BG13" s="42">
        <f>MAX(0,BG10-BG11-BG12)*'01_Вводные'!$B$169</f>
        <v/>
      </c>
      <c r="BH13" s="42">
        <f>MAX(0,BH10-BH11-BH12)*'01_Вводные'!$B$169</f>
        <v/>
      </c>
      <c r="BI13" s="42">
        <f>MAX(0,BI10-BI11-BI12)*'01_Вводные'!$B$169</f>
        <v/>
      </c>
    </row>
    <row r="14">
      <c r="A14" s="10" t="inlineStr">
        <is>
          <t>EBITDA лагеря</t>
        </is>
      </c>
      <c r="B14" s="43">
        <f>B10-B11-B12-B13</f>
        <v/>
      </c>
      <c r="C14" s="43">
        <f>C10-C11-C12-C13</f>
        <v/>
      </c>
      <c r="D14" s="43">
        <f>D10-D11-D12-D13</f>
        <v/>
      </c>
      <c r="E14" s="43">
        <f>E10-E11-E12-E13</f>
        <v/>
      </c>
      <c r="F14" s="43">
        <f>F10-F11-F12-F13</f>
        <v/>
      </c>
      <c r="G14" s="43">
        <f>G10-G11-G12-G13</f>
        <v/>
      </c>
      <c r="H14" s="43">
        <f>H10-H11-H12-H13</f>
        <v/>
      </c>
      <c r="I14" s="43">
        <f>I10-I11-I12-I13</f>
        <v/>
      </c>
      <c r="J14" s="43">
        <f>J10-J11-J12-J13</f>
        <v/>
      </c>
      <c r="K14" s="43">
        <f>K10-K11-K12-K13</f>
        <v/>
      </c>
      <c r="L14" s="43">
        <f>L10-L11-L12-L13</f>
        <v/>
      </c>
      <c r="M14" s="43">
        <f>M10-M11-M12-M13</f>
        <v/>
      </c>
      <c r="N14" s="43">
        <f>N10-N11-N12-N13</f>
        <v/>
      </c>
      <c r="O14" s="43">
        <f>O10-O11-O12-O13</f>
        <v/>
      </c>
      <c r="P14" s="43">
        <f>P10-P11-P12-P13</f>
        <v/>
      </c>
      <c r="Q14" s="43">
        <f>Q10-Q11-Q12-Q13</f>
        <v/>
      </c>
      <c r="R14" s="43">
        <f>R10-R11-R12-R13</f>
        <v/>
      </c>
      <c r="S14" s="43">
        <f>S10-S11-S12-S13</f>
        <v/>
      </c>
      <c r="T14" s="43">
        <f>T10-T11-T12-T13</f>
        <v/>
      </c>
      <c r="U14" s="43">
        <f>U10-U11-U12-U13</f>
        <v/>
      </c>
      <c r="V14" s="43">
        <f>V10-V11-V12-V13</f>
        <v/>
      </c>
      <c r="W14" s="43">
        <f>W10-W11-W12-W13</f>
        <v/>
      </c>
      <c r="X14" s="43">
        <f>X10-X11-X12-X13</f>
        <v/>
      </c>
      <c r="Y14" s="43">
        <f>Y10-Y11-Y12-Y13</f>
        <v/>
      </c>
      <c r="Z14" s="43">
        <f>Z10-Z11-Z12-Z13</f>
        <v/>
      </c>
      <c r="AA14" s="43">
        <f>AA10-AA11-AA12-AA13</f>
        <v/>
      </c>
      <c r="AB14" s="43">
        <f>AB10-AB11-AB12-AB13</f>
        <v/>
      </c>
      <c r="AC14" s="43">
        <f>AC10-AC11-AC12-AC13</f>
        <v/>
      </c>
      <c r="AD14" s="43">
        <f>AD10-AD11-AD12-AD13</f>
        <v/>
      </c>
      <c r="AE14" s="43">
        <f>AE10-AE11-AE12-AE13</f>
        <v/>
      </c>
      <c r="AF14" s="43">
        <f>AF10-AF11-AF12-AF13</f>
        <v/>
      </c>
      <c r="AG14" s="43">
        <f>AG10-AG11-AG12-AG13</f>
        <v/>
      </c>
      <c r="AH14" s="43">
        <f>AH10-AH11-AH12-AH13</f>
        <v/>
      </c>
      <c r="AI14" s="43">
        <f>AI10-AI11-AI12-AI13</f>
        <v/>
      </c>
      <c r="AJ14" s="43">
        <f>AJ10-AJ11-AJ12-AJ13</f>
        <v/>
      </c>
      <c r="AK14" s="43">
        <f>AK10-AK11-AK12-AK13</f>
        <v/>
      </c>
      <c r="AL14" s="43">
        <f>AL10-AL11-AL12-AL13</f>
        <v/>
      </c>
      <c r="AM14" s="43">
        <f>AM10-AM11-AM12-AM13</f>
        <v/>
      </c>
      <c r="AN14" s="43">
        <f>AN10-AN11-AN12-AN13</f>
        <v/>
      </c>
      <c r="AO14" s="43">
        <f>AO10-AO11-AO12-AO13</f>
        <v/>
      </c>
      <c r="AP14" s="43">
        <f>AP10-AP11-AP12-AP13</f>
        <v/>
      </c>
      <c r="AQ14" s="43">
        <f>AQ10-AQ11-AQ12-AQ13</f>
        <v/>
      </c>
      <c r="AR14" s="43">
        <f>AR10-AR11-AR12-AR13</f>
        <v/>
      </c>
      <c r="AS14" s="43">
        <f>AS10-AS11-AS12-AS13</f>
        <v/>
      </c>
      <c r="AT14" s="43">
        <f>AT10-AT11-AT12-AT13</f>
        <v/>
      </c>
      <c r="AU14" s="43">
        <f>AU10-AU11-AU12-AU13</f>
        <v/>
      </c>
      <c r="AV14" s="43">
        <f>AV10-AV11-AV12-AV13</f>
        <v/>
      </c>
      <c r="AW14" s="43">
        <f>AW10-AW11-AW12-AW13</f>
        <v/>
      </c>
      <c r="AX14" s="43">
        <f>AX10-AX11-AX12-AX13</f>
        <v/>
      </c>
      <c r="AY14" s="43">
        <f>AY10-AY11-AY12-AY13</f>
        <v/>
      </c>
      <c r="AZ14" s="43">
        <f>AZ10-AZ11-AZ12-AZ13</f>
        <v/>
      </c>
      <c r="BA14" s="43">
        <f>BA10-BA11-BA12-BA13</f>
        <v/>
      </c>
      <c r="BB14" s="43">
        <f>BB10-BB11-BB12-BB13</f>
        <v/>
      </c>
      <c r="BC14" s="43">
        <f>BC10-BC11-BC12-BC13</f>
        <v/>
      </c>
      <c r="BD14" s="43">
        <f>BD10-BD11-BD12-BD13</f>
        <v/>
      </c>
      <c r="BE14" s="43">
        <f>BE10-BE11-BE12-BE13</f>
        <v/>
      </c>
      <c r="BF14" s="43">
        <f>BF10-BF11-BF12-BF13</f>
        <v/>
      </c>
      <c r="BG14" s="43">
        <f>BG10-BG11-BG12-BG13</f>
        <v/>
      </c>
      <c r="BH14" s="43">
        <f>BH10-BH11-BH12-BH13</f>
        <v/>
      </c>
      <c r="BI14" s="43">
        <f>BI10-BI11-BI12-BI13</f>
        <v/>
      </c>
    </row>
    <row r="15" ht="20" customHeight="1">
      <c r="A15" s="4" t="inlineStr">
        <is>
          <t>Денежные расходы</t>
        </is>
      </c>
    </row>
    <row r="16">
      <c r="A16" s="2" t="inlineStr">
        <is>
          <t>Оплата проживания 40%</t>
        </is>
      </c>
      <c r="B16" s="95">
        <f>IF(AND('01_Вводные'!$B$241="Да",MONTH(B$3)='01_Вводные'!$B$175),'01_Вводные'!$B$170*'01_Вводные'!$B$161*'01_Вводные'!$B$174,0)</f>
        <v/>
      </c>
      <c r="C16" s="95">
        <f>IF(AND('01_Вводные'!$B$241="Да",MONTH(C$3)='01_Вводные'!$B$175),'01_Вводные'!$B$170*'01_Вводные'!$B$161*'01_Вводные'!$B$174,0)</f>
        <v/>
      </c>
      <c r="D16" s="95">
        <f>IF(AND('01_Вводные'!$B$241="Да",MONTH(D$3)='01_Вводные'!$B$175),'01_Вводные'!$B$170*'01_Вводные'!$B$161*'01_Вводные'!$B$174,0)</f>
        <v/>
      </c>
      <c r="E16" s="95">
        <f>IF(AND('01_Вводные'!$B$241="Да",MONTH(E$3)='01_Вводные'!$B$175),'01_Вводные'!$B$170*'01_Вводные'!$B$161*'01_Вводные'!$B$174,0)</f>
        <v/>
      </c>
      <c r="F16" s="95">
        <f>IF(AND('01_Вводные'!$B$241="Да",MONTH(F$3)='01_Вводные'!$B$175),'01_Вводные'!$B$170*'01_Вводные'!$B$161*'01_Вводные'!$B$174,0)</f>
        <v/>
      </c>
      <c r="G16" s="95">
        <f>IF(AND('01_Вводные'!$B$241="Да",MONTH(G$3)='01_Вводные'!$B$175),'01_Вводные'!$B$170*'01_Вводные'!$B$161*'01_Вводные'!$B$174,0)</f>
        <v/>
      </c>
      <c r="H16" s="95">
        <f>IF(AND('01_Вводные'!$B$241="Да",MONTH(H$3)='01_Вводные'!$B$175),'01_Вводные'!$B$170*'01_Вводные'!$B$161*'01_Вводные'!$B$174,0)</f>
        <v/>
      </c>
      <c r="I16" s="95">
        <f>IF(AND('01_Вводные'!$B$241="Да",MONTH(I$3)='01_Вводные'!$B$175),'01_Вводные'!$B$170*'01_Вводные'!$B$161*'01_Вводные'!$B$174,0)</f>
        <v/>
      </c>
      <c r="J16" s="95">
        <f>IF(AND('01_Вводные'!$B$241="Да",MONTH(J$3)='01_Вводные'!$B$175),'01_Вводные'!$B$170*'01_Вводные'!$B$161*'01_Вводные'!$B$174,0)</f>
        <v/>
      </c>
      <c r="K16" s="95">
        <f>IF(AND('01_Вводные'!$B$241="Да",MONTH(K$3)='01_Вводные'!$B$175),'01_Вводные'!$B$170*'01_Вводные'!$B$161*'01_Вводные'!$B$174,0)</f>
        <v/>
      </c>
      <c r="L16" s="95">
        <f>IF(AND('01_Вводные'!$B$241="Да",MONTH(L$3)='01_Вводные'!$B$175),'01_Вводные'!$B$170*'01_Вводные'!$B$161*'01_Вводные'!$B$174,0)</f>
        <v/>
      </c>
      <c r="M16" s="95">
        <f>IF(AND('01_Вводные'!$B$241="Да",MONTH(M$3)='01_Вводные'!$B$175),'01_Вводные'!$B$170*'01_Вводные'!$B$161*'01_Вводные'!$B$174,0)</f>
        <v/>
      </c>
      <c r="N16" s="95">
        <f>IF(AND('01_Вводные'!$B$241="Да",MONTH(N$3)='01_Вводные'!$B$175),'01_Вводные'!$B$170*'01_Вводные'!$B$161*'01_Вводные'!$B$174,0)</f>
        <v/>
      </c>
      <c r="O16" s="95">
        <f>IF(AND('01_Вводные'!$B$241="Да",MONTH(O$3)='01_Вводные'!$B$175),'01_Вводные'!$B$170*'01_Вводные'!$B$161*'01_Вводные'!$B$174,0)</f>
        <v/>
      </c>
      <c r="P16" s="95">
        <f>IF(AND('01_Вводные'!$B$241="Да",MONTH(P$3)='01_Вводные'!$B$175),'01_Вводные'!$B$170*'01_Вводные'!$B$161*'01_Вводные'!$B$174,0)</f>
        <v/>
      </c>
      <c r="Q16" s="95">
        <f>IF(AND('01_Вводные'!$B$241="Да",MONTH(Q$3)='01_Вводные'!$B$175),'01_Вводные'!$B$170*'01_Вводные'!$B$161*'01_Вводные'!$B$174,0)</f>
        <v/>
      </c>
      <c r="R16" s="95">
        <f>IF(AND('01_Вводные'!$B$241="Да",MONTH(R$3)='01_Вводные'!$B$175),'01_Вводные'!$B$170*'01_Вводные'!$B$161*'01_Вводные'!$B$174,0)</f>
        <v/>
      </c>
      <c r="S16" s="95">
        <f>IF(AND('01_Вводные'!$B$241="Да",MONTH(S$3)='01_Вводные'!$B$175),'01_Вводные'!$B$170*'01_Вводные'!$B$161*'01_Вводные'!$B$174,0)</f>
        <v/>
      </c>
      <c r="T16" s="95">
        <f>IF(AND('01_Вводные'!$B$241="Да",MONTH(T$3)='01_Вводные'!$B$175),'01_Вводные'!$B$170*'01_Вводные'!$B$161*'01_Вводные'!$B$174,0)</f>
        <v/>
      </c>
      <c r="U16" s="95">
        <f>IF(AND('01_Вводные'!$B$241="Да",MONTH(U$3)='01_Вводные'!$B$175),'01_Вводные'!$B$170*'01_Вводные'!$B$161*'01_Вводные'!$B$174,0)</f>
        <v/>
      </c>
      <c r="V16" s="95">
        <f>IF(AND('01_Вводные'!$B$241="Да",MONTH(V$3)='01_Вводные'!$B$175),'01_Вводные'!$B$170*'01_Вводные'!$B$161*'01_Вводные'!$B$174,0)</f>
        <v/>
      </c>
      <c r="W16" s="95">
        <f>IF(AND('01_Вводные'!$B$241="Да",MONTH(W$3)='01_Вводные'!$B$175),'01_Вводные'!$B$170*'01_Вводные'!$B$161*'01_Вводные'!$B$174,0)</f>
        <v/>
      </c>
      <c r="X16" s="95">
        <f>IF(AND('01_Вводные'!$B$241="Да",MONTH(X$3)='01_Вводные'!$B$175),'01_Вводные'!$B$170*'01_Вводные'!$B$161*'01_Вводные'!$B$174,0)</f>
        <v/>
      </c>
      <c r="Y16" s="95">
        <f>IF(AND('01_Вводные'!$B$241="Да",MONTH(Y$3)='01_Вводные'!$B$175),'01_Вводные'!$B$170*'01_Вводные'!$B$161*'01_Вводные'!$B$174,0)</f>
        <v/>
      </c>
      <c r="Z16" s="95">
        <f>IF(AND('01_Вводные'!$B$241="Да",MONTH(Z$3)='01_Вводные'!$B$175),'01_Вводные'!$B$170*'01_Вводные'!$B$161*'01_Вводные'!$B$174,0)</f>
        <v/>
      </c>
      <c r="AA16" s="95">
        <f>IF(AND('01_Вводные'!$B$241="Да",MONTH(AA$3)='01_Вводные'!$B$175),'01_Вводные'!$B$170*'01_Вводные'!$B$161*'01_Вводные'!$B$174,0)</f>
        <v/>
      </c>
      <c r="AB16" s="95">
        <f>IF(AND('01_Вводные'!$B$241="Да",MONTH(AB$3)='01_Вводные'!$B$175),'01_Вводные'!$B$170*'01_Вводные'!$B$161*'01_Вводные'!$B$174,0)</f>
        <v/>
      </c>
      <c r="AC16" s="95">
        <f>IF(AND('01_Вводные'!$B$241="Да",MONTH(AC$3)='01_Вводные'!$B$175),'01_Вводные'!$B$170*'01_Вводные'!$B$161*'01_Вводные'!$B$174,0)</f>
        <v/>
      </c>
      <c r="AD16" s="95">
        <f>IF(AND('01_Вводные'!$B$241="Да",MONTH(AD$3)='01_Вводные'!$B$175),'01_Вводные'!$B$170*'01_Вводные'!$B$161*'01_Вводные'!$B$174,0)</f>
        <v/>
      </c>
      <c r="AE16" s="95">
        <f>IF(AND('01_Вводные'!$B$241="Да",MONTH(AE$3)='01_Вводные'!$B$175),'01_Вводные'!$B$170*'01_Вводные'!$B$161*'01_Вводные'!$B$174,0)</f>
        <v/>
      </c>
      <c r="AF16" s="95">
        <f>IF(AND('01_Вводные'!$B$241="Да",MONTH(AF$3)='01_Вводные'!$B$175),'01_Вводные'!$B$170*'01_Вводные'!$B$161*'01_Вводные'!$B$174,0)</f>
        <v/>
      </c>
      <c r="AG16" s="95">
        <f>IF(AND('01_Вводные'!$B$241="Да",MONTH(AG$3)='01_Вводные'!$B$175),'01_Вводные'!$B$170*'01_Вводные'!$B$161*'01_Вводные'!$B$174,0)</f>
        <v/>
      </c>
      <c r="AH16" s="95">
        <f>IF(AND('01_Вводные'!$B$241="Да",MONTH(AH$3)='01_Вводные'!$B$175),'01_Вводные'!$B$170*'01_Вводные'!$B$161*'01_Вводные'!$B$174,0)</f>
        <v/>
      </c>
      <c r="AI16" s="95">
        <f>IF(AND('01_Вводные'!$B$241="Да",MONTH(AI$3)='01_Вводные'!$B$175),'01_Вводные'!$B$170*'01_Вводные'!$B$161*'01_Вводные'!$B$174,0)</f>
        <v/>
      </c>
      <c r="AJ16" s="95">
        <f>IF(AND('01_Вводные'!$B$241="Да",MONTH(AJ$3)='01_Вводные'!$B$175),'01_Вводные'!$B$170*'01_Вводные'!$B$161*'01_Вводные'!$B$174,0)</f>
        <v/>
      </c>
      <c r="AK16" s="95">
        <f>IF(AND('01_Вводные'!$B$241="Да",MONTH(AK$3)='01_Вводные'!$B$175),'01_Вводные'!$B$170*'01_Вводные'!$B$161*'01_Вводные'!$B$174,0)</f>
        <v/>
      </c>
      <c r="AL16" s="95">
        <f>IF(AND('01_Вводные'!$B$241="Да",MONTH(AL$3)='01_Вводные'!$B$175),'01_Вводные'!$B$170*'01_Вводные'!$B$161*'01_Вводные'!$B$174,0)</f>
        <v/>
      </c>
      <c r="AM16" s="95">
        <f>IF(AND('01_Вводные'!$B$241="Да",MONTH(AM$3)='01_Вводные'!$B$175),'01_Вводные'!$B$170*'01_Вводные'!$B$161*'01_Вводные'!$B$174,0)</f>
        <v/>
      </c>
      <c r="AN16" s="95">
        <f>IF(AND('01_Вводные'!$B$241="Да",MONTH(AN$3)='01_Вводные'!$B$175),'01_Вводные'!$B$170*'01_Вводные'!$B$161*'01_Вводные'!$B$174,0)</f>
        <v/>
      </c>
      <c r="AO16" s="95">
        <f>IF(AND('01_Вводные'!$B$241="Да",MONTH(AO$3)='01_Вводные'!$B$175),'01_Вводные'!$B$170*'01_Вводные'!$B$161*'01_Вводные'!$B$174,0)</f>
        <v/>
      </c>
      <c r="AP16" s="95">
        <f>IF(AND('01_Вводные'!$B$241="Да",MONTH(AP$3)='01_Вводные'!$B$175),'01_Вводные'!$B$170*'01_Вводные'!$B$161*'01_Вводные'!$B$174,0)</f>
        <v/>
      </c>
      <c r="AQ16" s="95">
        <f>IF(AND('01_Вводные'!$B$241="Да",MONTH(AQ$3)='01_Вводные'!$B$175),'01_Вводные'!$B$170*'01_Вводные'!$B$161*'01_Вводные'!$B$174,0)</f>
        <v/>
      </c>
      <c r="AR16" s="95">
        <f>IF(AND('01_Вводные'!$B$241="Да",MONTH(AR$3)='01_Вводные'!$B$175),'01_Вводные'!$B$170*'01_Вводные'!$B$161*'01_Вводные'!$B$174,0)</f>
        <v/>
      </c>
      <c r="AS16" s="95">
        <f>IF(AND('01_Вводные'!$B$241="Да",MONTH(AS$3)='01_Вводные'!$B$175),'01_Вводные'!$B$170*'01_Вводные'!$B$161*'01_Вводные'!$B$174,0)</f>
        <v/>
      </c>
      <c r="AT16" s="95">
        <f>IF(AND('01_Вводные'!$B$241="Да",MONTH(AT$3)='01_Вводные'!$B$175),'01_Вводные'!$B$170*'01_Вводные'!$B$161*'01_Вводные'!$B$174,0)</f>
        <v/>
      </c>
      <c r="AU16" s="95">
        <f>IF(AND('01_Вводные'!$B$241="Да",MONTH(AU$3)='01_Вводные'!$B$175),'01_Вводные'!$B$170*'01_Вводные'!$B$161*'01_Вводные'!$B$174,0)</f>
        <v/>
      </c>
      <c r="AV16" s="95">
        <f>IF(AND('01_Вводные'!$B$241="Да",MONTH(AV$3)='01_Вводные'!$B$175),'01_Вводные'!$B$170*'01_Вводные'!$B$161*'01_Вводные'!$B$174,0)</f>
        <v/>
      </c>
      <c r="AW16" s="95">
        <f>IF(AND('01_Вводные'!$B$241="Да",MONTH(AW$3)='01_Вводные'!$B$175),'01_Вводные'!$B$170*'01_Вводные'!$B$161*'01_Вводные'!$B$174,0)</f>
        <v/>
      </c>
      <c r="AX16" s="95">
        <f>IF(AND('01_Вводные'!$B$241="Да",MONTH(AX$3)='01_Вводные'!$B$175),'01_Вводные'!$B$170*'01_Вводные'!$B$161*'01_Вводные'!$B$174,0)</f>
        <v/>
      </c>
      <c r="AY16" s="95">
        <f>IF(AND('01_Вводные'!$B$241="Да",MONTH(AY$3)='01_Вводные'!$B$175),'01_Вводные'!$B$170*'01_Вводные'!$B$161*'01_Вводные'!$B$174,0)</f>
        <v/>
      </c>
      <c r="AZ16" s="95">
        <f>IF(AND('01_Вводные'!$B$241="Да",MONTH(AZ$3)='01_Вводные'!$B$175),'01_Вводные'!$B$170*'01_Вводные'!$B$161*'01_Вводные'!$B$174,0)</f>
        <v/>
      </c>
      <c r="BA16" s="95">
        <f>IF(AND('01_Вводные'!$B$241="Да",MONTH(BA$3)='01_Вводные'!$B$175),'01_Вводные'!$B$170*'01_Вводные'!$B$161*'01_Вводные'!$B$174,0)</f>
        <v/>
      </c>
      <c r="BB16" s="95">
        <f>IF(AND('01_Вводные'!$B$241="Да",MONTH(BB$3)='01_Вводные'!$B$175),'01_Вводные'!$B$170*'01_Вводные'!$B$161*'01_Вводные'!$B$174,0)</f>
        <v/>
      </c>
      <c r="BC16" s="95">
        <f>IF(AND('01_Вводные'!$B$241="Да",MONTH(BC$3)='01_Вводные'!$B$175),'01_Вводные'!$B$170*'01_Вводные'!$B$161*'01_Вводные'!$B$174,0)</f>
        <v/>
      </c>
      <c r="BD16" s="95">
        <f>IF(AND('01_Вводные'!$B$241="Да",MONTH(BD$3)='01_Вводные'!$B$175),'01_Вводные'!$B$170*'01_Вводные'!$B$161*'01_Вводные'!$B$174,0)</f>
        <v/>
      </c>
      <c r="BE16" s="95">
        <f>IF(AND('01_Вводные'!$B$241="Да",MONTH(BE$3)='01_Вводные'!$B$175),'01_Вводные'!$B$170*'01_Вводные'!$B$161*'01_Вводные'!$B$174,0)</f>
        <v/>
      </c>
      <c r="BF16" s="95">
        <f>IF(AND('01_Вводные'!$B$241="Да",MONTH(BF$3)='01_Вводные'!$B$175),'01_Вводные'!$B$170*'01_Вводные'!$B$161*'01_Вводные'!$B$174,0)</f>
        <v/>
      </c>
      <c r="BG16" s="95">
        <f>IF(AND('01_Вводные'!$B$241="Да",MONTH(BG$3)='01_Вводные'!$B$175),'01_Вводные'!$B$170*'01_Вводные'!$B$161*'01_Вводные'!$B$174,0)</f>
        <v/>
      </c>
      <c r="BH16" s="95">
        <f>IF(AND('01_Вводные'!$B$241="Да",MONTH(BH$3)='01_Вводные'!$B$175),'01_Вводные'!$B$170*'01_Вводные'!$B$161*'01_Вводные'!$B$174,0)</f>
        <v/>
      </c>
      <c r="BI16" s="95">
        <f>IF(AND('01_Вводные'!$B$241="Да",MONTH(BI$3)='01_Вводные'!$B$175),'01_Вводные'!$B$170*'01_Вводные'!$B$161*'01_Вводные'!$B$174,0)</f>
        <v/>
      </c>
    </row>
    <row r="17">
      <c r="A17" s="2" t="inlineStr">
        <is>
          <t>Оплата проживания 60%</t>
        </is>
      </c>
      <c r="B17" s="95">
        <f>IF(AND('01_Вводные'!$B$241="Да",MONTH(B$3)='01_Вводные'!$B$177),'01_Вводные'!$B$170*'01_Вводные'!$B$161*'01_Вводные'!$B$176,0)</f>
        <v/>
      </c>
      <c r="C17" s="95">
        <f>IF(AND('01_Вводные'!$B$241="Да",MONTH(C$3)='01_Вводные'!$B$177),'01_Вводные'!$B$170*'01_Вводные'!$B$161*'01_Вводные'!$B$176,0)</f>
        <v/>
      </c>
      <c r="D17" s="95">
        <f>IF(AND('01_Вводные'!$B$241="Да",MONTH(D$3)='01_Вводные'!$B$177),'01_Вводные'!$B$170*'01_Вводные'!$B$161*'01_Вводные'!$B$176,0)</f>
        <v/>
      </c>
      <c r="E17" s="95">
        <f>IF(AND('01_Вводные'!$B$241="Да",MONTH(E$3)='01_Вводные'!$B$177),'01_Вводные'!$B$170*'01_Вводные'!$B$161*'01_Вводные'!$B$176,0)</f>
        <v/>
      </c>
      <c r="F17" s="95">
        <f>IF(AND('01_Вводные'!$B$241="Да",MONTH(F$3)='01_Вводные'!$B$177),'01_Вводные'!$B$170*'01_Вводные'!$B$161*'01_Вводные'!$B$176,0)</f>
        <v/>
      </c>
      <c r="G17" s="95">
        <f>IF(AND('01_Вводные'!$B$241="Да",MONTH(G$3)='01_Вводные'!$B$177),'01_Вводные'!$B$170*'01_Вводные'!$B$161*'01_Вводные'!$B$176,0)</f>
        <v/>
      </c>
      <c r="H17" s="95">
        <f>IF(AND('01_Вводные'!$B$241="Да",MONTH(H$3)='01_Вводные'!$B$177),'01_Вводные'!$B$170*'01_Вводные'!$B$161*'01_Вводные'!$B$176,0)</f>
        <v/>
      </c>
      <c r="I17" s="95">
        <f>IF(AND('01_Вводные'!$B$241="Да",MONTH(I$3)='01_Вводные'!$B$177),'01_Вводные'!$B$170*'01_Вводные'!$B$161*'01_Вводные'!$B$176,0)</f>
        <v/>
      </c>
      <c r="J17" s="95">
        <f>IF(AND('01_Вводные'!$B$241="Да",MONTH(J$3)='01_Вводные'!$B$177),'01_Вводные'!$B$170*'01_Вводные'!$B$161*'01_Вводные'!$B$176,0)</f>
        <v/>
      </c>
      <c r="K17" s="95">
        <f>IF(AND('01_Вводные'!$B$241="Да",MONTH(K$3)='01_Вводные'!$B$177),'01_Вводные'!$B$170*'01_Вводные'!$B$161*'01_Вводные'!$B$176,0)</f>
        <v/>
      </c>
      <c r="L17" s="95">
        <f>IF(AND('01_Вводные'!$B$241="Да",MONTH(L$3)='01_Вводные'!$B$177),'01_Вводные'!$B$170*'01_Вводные'!$B$161*'01_Вводные'!$B$176,0)</f>
        <v/>
      </c>
      <c r="M17" s="95">
        <f>IF(AND('01_Вводные'!$B$241="Да",MONTH(M$3)='01_Вводные'!$B$177),'01_Вводные'!$B$170*'01_Вводные'!$B$161*'01_Вводные'!$B$176,0)</f>
        <v/>
      </c>
      <c r="N17" s="95">
        <f>IF(AND('01_Вводные'!$B$241="Да",MONTH(N$3)='01_Вводные'!$B$177),'01_Вводные'!$B$170*'01_Вводные'!$B$161*'01_Вводные'!$B$176,0)</f>
        <v/>
      </c>
      <c r="O17" s="95">
        <f>IF(AND('01_Вводные'!$B$241="Да",MONTH(O$3)='01_Вводные'!$B$177),'01_Вводные'!$B$170*'01_Вводные'!$B$161*'01_Вводные'!$B$176,0)</f>
        <v/>
      </c>
      <c r="P17" s="95">
        <f>IF(AND('01_Вводные'!$B$241="Да",MONTH(P$3)='01_Вводные'!$B$177),'01_Вводные'!$B$170*'01_Вводные'!$B$161*'01_Вводные'!$B$176,0)</f>
        <v/>
      </c>
      <c r="Q17" s="95">
        <f>IF(AND('01_Вводные'!$B$241="Да",MONTH(Q$3)='01_Вводные'!$B$177),'01_Вводные'!$B$170*'01_Вводные'!$B$161*'01_Вводные'!$B$176,0)</f>
        <v/>
      </c>
      <c r="R17" s="95">
        <f>IF(AND('01_Вводные'!$B$241="Да",MONTH(R$3)='01_Вводные'!$B$177),'01_Вводные'!$B$170*'01_Вводные'!$B$161*'01_Вводные'!$B$176,0)</f>
        <v/>
      </c>
      <c r="S17" s="95">
        <f>IF(AND('01_Вводные'!$B$241="Да",MONTH(S$3)='01_Вводные'!$B$177),'01_Вводные'!$B$170*'01_Вводные'!$B$161*'01_Вводные'!$B$176,0)</f>
        <v/>
      </c>
      <c r="T17" s="95">
        <f>IF(AND('01_Вводные'!$B$241="Да",MONTH(T$3)='01_Вводные'!$B$177),'01_Вводные'!$B$170*'01_Вводные'!$B$161*'01_Вводные'!$B$176,0)</f>
        <v/>
      </c>
      <c r="U17" s="95">
        <f>IF(AND('01_Вводные'!$B$241="Да",MONTH(U$3)='01_Вводные'!$B$177),'01_Вводные'!$B$170*'01_Вводные'!$B$161*'01_Вводные'!$B$176,0)</f>
        <v/>
      </c>
      <c r="V17" s="95">
        <f>IF(AND('01_Вводные'!$B$241="Да",MONTH(V$3)='01_Вводные'!$B$177),'01_Вводные'!$B$170*'01_Вводные'!$B$161*'01_Вводные'!$B$176,0)</f>
        <v/>
      </c>
      <c r="W17" s="95">
        <f>IF(AND('01_Вводные'!$B$241="Да",MONTH(W$3)='01_Вводные'!$B$177),'01_Вводные'!$B$170*'01_Вводные'!$B$161*'01_Вводные'!$B$176,0)</f>
        <v/>
      </c>
      <c r="X17" s="95">
        <f>IF(AND('01_Вводные'!$B$241="Да",MONTH(X$3)='01_Вводные'!$B$177),'01_Вводные'!$B$170*'01_Вводные'!$B$161*'01_Вводные'!$B$176,0)</f>
        <v/>
      </c>
      <c r="Y17" s="95">
        <f>IF(AND('01_Вводные'!$B$241="Да",MONTH(Y$3)='01_Вводные'!$B$177),'01_Вводные'!$B$170*'01_Вводные'!$B$161*'01_Вводные'!$B$176,0)</f>
        <v/>
      </c>
      <c r="Z17" s="95">
        <f>IF(AND('01_Вводные'!$B$241="Да",MONTH(Z$3)='01_Вводные'!$B$177),'01_Вводные'!$B$170*'01_Вводные'!$B$161*'01_Вводные'!$B$176,0)</f>
        <v/>
      </c>
      <c r="AA17" s="95">
        <f>IF(AND('01_Вводные'!$B$241="Да",MONTH(AA$3)='01_Вводные'!$B$177),'01_Вводные'!$B$170*'01_Вводные'!$B$161*'01_Вводные'!$B$176,0)</f>
        <v/>
      </c>
      <c r="AB17" s="95">
        <f>IF(AND('01_Вводные'!$B$241="Да",MONTH(AB$3)='01_Вводные'!$B$177),'01_Вводные'!$B$170*'01_Вводные'!$B$161*'01_Вводные'!$B$176,0)</f>
        <v/>
      </c>
      <c r="AC17" s="95">
        <f>IF(AND('01_Вводные'!$B$241="Да",MONTH(AC$3)='01_Вводные'!$B$177),'01_Вводные'!$B$170*'01_Вводные'!$B$161*'01_Вводные'!$B$176,0)</f>
        <v/>
      </c>
      <c r="AD17" s="95">
        <f>IF(AND('01_Вводные'!$B$241="Да",MONTH(AD$3)='01_Вводные'!$B$177),'01_Вводные'!$B$170*'01_Вводные'!$B$161*'01_Вводные'!$B$176,0)</f>
        <v/>
      </c>
      <c r="AE17" s="95">
        <f>IF(AND('01_Вводные'!$B$241="Да",MONTH(AE$3)='01_Вводные'!$B$177),'01_Вводные'!$B$170*'01_Вводные'!$B$161*'01_Вводные'!$B$176,0)</f>
        <v/>
      </c>
      <c r="AF17" s="95">
        <f>IF(AND('01_Вводные'!$B$241="Да",MONTH(AF$3)='01_Вводные'!$B$177),'01_Вводные'!$B$170*'01_Вводные'!$B$161*'01_Вводные'!$B$176,0)</f>
        <v/>
      </c>
      <c r="AG17" s="95">
        <f>IF(AND('01_Вводные'!$B$241="Да",MONTH(AG$3)='01_Вводные'!$B$177),'01_Вводные'!$B$170*'01_Вводные'!$B$161*'01_Вводные'!$B$176,0)</f>
        <v/>
      </c>
      <c r="AH17" s="95">
        <f>IF(AND('01_Вводные'!$B$241="Да",MONTH(AH$3)='01_Вводные'!$B$177),'01_Вводные'!$B$170*'01_Вводные'!$B$161*'01_Вводные'!$B$176,0)</f>
        <v/>
      </c>
      <c r="AI17" s="95">
        <f>IF(AND('01_Вводные'!$B$241="Да",MONTH(AI$3)='01_Вводные'!$B$177),'01_Вводные'!$B$170*'01_Вводные'!$B$161*'01_Вводные'!$B$176,0)</f>
        <v/>
      </c>
      <c r="AJ17" s="95">
        <f>IF(AND('01_Вводные'!$B$241="Да",MONTH(AJ$3)='01_Вводные'!$B$177),'01_Вводные'!$B$170*'01_Вводные'!$B$161*'01_Вводные'!$B$176,0)</f>
        <v/>
      </c>
      <c r="AK17" s="95">
        <f>IF(AND('01_Вводные'!$B$241="Да",MONTH(AK$3)='01_Вводные'!$B$177),'01_Вводные'!$B$170*'01_Вводные'!$B$161*'01_Вводные'!$B$176,0)</f>
        <v/>
      </c>
      <c r="AL17" s="95">
        <f>IF(AND('01_Вводные'!$B$241="Да",MONTH(AL$3)='01_Вводные'!$B$177),'01_Вводные'!$B$170*'01_Вводные'!$B$161*'01_Вводные'!$B$176,0)</f>
        <v/>
      </c>
      <c r="AM17" s="95">
        <f>IF(AND('01_Вводные'!$B$241="Да",MONTH(AM$3)='01_Вводные'!$B$177),'01_Вводные'!$B$170*'01_Вводные'!$B$161*'01_Вводные'!$B$176,0)</f>
        <v/>
      </c>
      <c r="AN17" s="95">
        <f>IF(AND('01_Вводные'!$B$241="Да",MONTH(AN$3)='01_Вводные'!$B$177),'01_Вводные'!$B$170*'01_Вводные'!$B$161*'01_Вводные'!$B$176,0)</f>
        <v/>
      </c>
      <c r="AO17" s="95">
        <f>IF(AND('01_Вводные'!$B$241="Да",MONTH(AO$3)='01_Вводные'!$B$177),'01_Вводные'!$B$170*'01_Вводные'!$B$161*'01_Вводные'!$B$176,0)</f>
        <v/>
      </c>
      <c r="AP17" s="95">
        <f>IF(AND('01_Вводные'!$B$241="Да",MONTH(AP$3)='01_Вводные'!$B$177),'01_Вводные'!$B$170*'01_Вводные'!$B$161*'01_Вводные'!$B$176,0)</f>
        <v/>
      </c>
      <c r="AQ17" s="95">
        <f>IF(AND('01_Вводные'!$B$241="Да",MONTH(AQ$3)='01_Вводные'!$B$177),'01_Вводные'!$B$170*'01_Вводные'!$B$161*'01_Вводные'!$B$176,0)</f>
        <v/>
      </c>
      <c r="AR17" s="95">
        <f>IF(AND('01_Вводные'!$B$241="Да",MONTH(AR$3)='01_Вводные'!$B$177),'01_Вводные'!$B$170*'01_Вводные'!$B$161*'01_Вводные'!$B$176,0)</f>
        <v/>
      </c>
      <c r="AS17" s="95">
        <f>IF(AND('01_Вводные'!$B$241="Да",MONTH(AS$3)='01_Вводные'!$B$177),'01_Вводные'!$B$170*'01_Вводные'!$B$161*'01_Вводные'!$B$176,0)</f>
        <v/>
      </c>
      <c r="AT17" s="95">
        <f>IF(AND('01_Вводные'!$B$241="Да",MONTH(AT$3)='01_Вводные'!$B$177),'01_Вводные'!$B$170*'01_Вводные'!$B$161*'01_Вводные'!$B$176,0)</f>
        <v/>
      </c>
      <c r="AU17" s="95">
        <f>IF(AND('01_Вводные'!$B$241="Да",MONTH(AU$3)='01_Вводные'!$B$177),'01_Вводные'!$B$170*'01_Вводные'!$B$161*'01_Вводные'!$B$176,0)</f>
        <v/>
      </c>
      <c r="AV17" s="95">
        <f>IF(AND('01_Вводные'!$B$241="Да",MONTH(AV$3)='01_Вводные'!$B$177),'01_Вводные'!$B$170*'01_Вводные'!$B$161*'01_Вводные'!$B$176,0)</f>
        <v/>
      </c>
      <c r="AW17" s="95">
        <f>IF(AND('01_Вводные'!$B$241="Да",MONTH(AW$3)='01_Вводные'!$B$177),'01_Вводные'!$B$170*'01_Вводные'!$B$161*'01_Вводные'!$B$176,0)</f>
        <v/>
      </c>
      <c r="AX17" s="95">
        <f>IF(AND('01_Вводные'!$B$241="Да",MONTH(AX$3)='01_Вводные'!$B$177),'01_Вводные'!$B$170*'01_Вводные'!$B$161*'01_Вводные'!$B$176,0)</f>
        <v/>
      </c>
      <c r="AY17" s="95">
        <f>IF(AND('01_Вводные'!$B$241="Да",MONTH(AY$3)='01_Вводные'!$B$177),'01_Вводные'!$B$170*'01_Вводные'!$B$161*'01_Вводные'!$B$176,0)</f>
        <v/>
      </c>
      <c r="AZ17" s="95">
        <f>IF(AND('01_Вводные'!$B$241="Да",MONTH(AZ$3)='01_Вводные'!$B$177),'01_Вводные'!$B$170*'01_Вводные'!$B$161*'01_Вводные'!$B$176,0)</f>
        <v/>
      </c>
      <c r="BA17" s="95">
        <f>IF(AND('01_Вводные'!$B$241="Да",MONTH(BA$3)='01_Вводные'!$B$177),'01_Вводные'!$B$170*'01_Вводные'!$B$161*'01_Вводные'!$B$176,0)</f>
        <v/>
      </c>
      <c r="BB17" s="95">
        <f>IF(AND('01_Вводные'!$B$241="Да",MONTH(BB$3)='01_Вводные'!$B$177),'01_Вводные'!$B$170*'01_Вводные'!$B$161*'01_Вводные'!$B$176,0)</f>
        <v/>
      </c>
      <c r="BC17" s="95">
        <f>IF(AND('01_Вводные'!$B$241="Да",MONTH(BC$3)='01_Вводные'!$B$177),'01_Вводные'!$B$170*'01_Вводные'!$B$161*'01_Вводные'!$B$176,0)</f>
        <v/>
      </c>
      <c r="BD17" s="95">
        <f>IF(AND('01_Вводные'!$B$241="Да",MONTH(BD$3)='01_Вводные'!$B$177),'01_Вводные'!$B$170*'01_Вводные'!$B$161*'01_Вводные'!$B$176,0)</f>
        <v/>
      </c>
      <c r="BE17" s="95">
        <f>IF(AND('01_Вводные'!$B$241="Да",MONTH(BE$3)='01_Вводные'!$B$177),'01_Вводные'!$B$170*'01_Вводные'!$B$161*'01_Вводные'!$B$176,0)</f>
        <v/>
      </c>
      <c r="BF17" s="95">
        <f>IF(AND('01_Вводные'!$B$241="Да",MONTH(BF$3)='01_Вводные'!$B$177),'01_Вводные'!$B$170*'01_Вводные'!$B$161*'01_Вводные'!$B$176,0)</f>
        <v/>
      </c>
      <c r="BG17" s="95">
        <f>IF(AND('01_Вводные'!$B$241="Да",MONTH(BG$3)='01_Вводные'!$B$177),'01_Вводные'!$B$170*'01_Вводные'!$B$161*'01_Вводные'!$B$176,0)</f>
        <v/>
      </c>
      <c r="BH17" s="95">
        <f>IF(AND('01_Вводные'!$B$241="Да",MONTH(BH$3)='01_Вводные'!$B$177),'01_Вводные'!$B$170*'01_Вводные'!$B$161*'01_Вводные'!$B$176,0)</f>
        <v/>
      </c>
      <c r="BI17" s="95">
        <f>IF(AND('01_Вводные'!$B$241="Да",MONTH(BI$3)='01_Вводные'!$B$177),'01_Вводные'!$B$170*'01_Вводные'!$B$161*'01_Вводные'!$B$176,0)</f>
        <v/>
      </c>
    </row>
    <row r="18">
      <c r="A18" s="2" t="inlineStr">
        <is>
          <t>Прочие расходы cash</t>
        </is>
      </c>
      <c r="B18" s="95">
        <f>IF(AND('01_Вводные'!$B$241="Да",MONTH(B$3)='01_Вводные'!$B$252),MAX(0,'01_Вводные'!$B$167-'01_Вводные'!$B$170)*'01_Вводные'!$B$161+B13,0)</f>
        <v/>
      </c>
      <c r="C18" s="95">
        <f>IF(AND('01_Вводные'!$B$241="Да",MONTH(C$3)='01_Вводные'!$B$252),MAX(0,'01_Вводные'!$B$167-'01_Вводные'!$B$170)*'01_Вводные'!$B$161+C13,0)</f>
        <v/>
      </c>
      <c r="D18" s="95">
        <f>IF(AND('01_Вводные'!$B$241="Да",MONTH(D$3)='01_Вводные'!$B$252),MAX(0,'01_Вводные'!$B$167-'01_Вводные'!$B$170)*'01_Вводные'!$B$161+D13,0)</f>
        <v/>
      </c>
      <c r="E18" s="95">
        <f>IF(AND('01_Вводные'!$B$241="Да",MONTH(E$3)='01_Вводные'!$B$252),MAX(0,'01_Вводные'!$B$167-'01_Вводные'!$B$170)*'01_Вводные'!$B$161+E13,0)</f>
        <v/>
      </c>
      <c r="F18" s="95">
        <f>IF(AND('01_Вводные'!$B$241="Да",MONTH(F$3)='01_Вводные'!$B$252),MAX(0,'01_Вводные'!$B$167-'01_Вводные'!$B$170)*'01_Вводные'!$B$161+F13,0)</f>
        <v/>
      </c>
      <c r="G18" s="95">
        <f>IF(AND('01_Вводные'!$B$241="Да",MONTH(G$3)='01_Вводные'!$B$252),MAX(0,'01_Вводные'!$B$167-'01_Вводные'!$B$170)*'01_Вводные'!$B$161+G13,0)</f>
        <v/>
      </c>
      <c r="H18" s="95">
        <f>IF(AND('01_Вводные'!$B$241="Да",MONTH(H$3)='01_Вводные'!$B$252),MAX(0,'01_Вводные'!$B$167-'01_Вводные'!$B$170)*'01_Вводные'!$B$161+H13,0)</f>
        <v/>
      </c>
      <c r="I18" s="95">
        <f>IF(AND('01_Вводные'!$B$241="Да",MONTH(I$3)='01_Вводные'!$B$252),MAX(0,'01_Вводные'!$B$167-'01_Вводные'!$B$170)*'01_Вводные'!$B$161+I13,0)</f>
        <v/>
      </c>
      <c r="J18" s="95">
        <f>IF(AND('01_Вводные'!$B$241="Да",MONTH(J$3)='01_Вводные'!$B$252),MAX(0,'01_Вводные'!$B$167-'01_Вводные'!$B$170)*'01_Вводные'!$B$161+J13,0)</f>
        <v/>
      </c>
      <c r="K18" s="95">
        <f>IF(AND('01_Вводные'!$B$241="Да",MONTH(K$3)='01_Вводные'!$B$252),MAX(0,'01_Вводные'!$B$167-'01_Вводные'!$B$170)*'01_Вводные'!$B$161+K13,0)</f>
        <v/>
      </c>
      <c r="L18" s="95">
        <f>IF(AND('01_Вводные'!$B$241="Да",MONTH(L$3)='01_Вводные'!$B$252),MAX(0,'01_Вводные'!$B$167-'01_Вводные'!$B$170)*'01_Вводные'!$B$161+L13,0)</f>
        <v/>
      </c>
      <c r="M18" s="95">
        <f>IF(AND('01_Вводные'!$B$241="Да",MONTH(M$3)='01_Вводные'!$B$252),MAX(0,'01_Вводные'!$B$167-'01_Вводные'!$B$170)*'01_Вводные'!$B$161+M13,0)</f>
        <v/>
      </c>
      <c r="N18" s="95">
        <f>IF(AND('01_Вводные'!$B$241="Да",MONTH(N$3)='01_Вводные'!$B$252),MAX(0,'01_Вводные'!$B$167-'01_Вводные'!$B$170)*'01_Вводные'!$B$161+N13,0)</f>
        <v/>
      </c>
      <c r="O18" s="95">
        <f>IF(AND('01_Вводные'!$B$241="Да",MONTH(O$3)='01_Вводные'!$B$252),MAX(0,'01_Вводные'!$B$167-'01_Вводные'!$B$170)*'01_Вводные'!$B$161+O13,0)</f>
        <v/>
      </c>
      <c r="P18" s="95">
        <f>IF(AND('01_Вводные'!$B$241="Да",MONTH(P$3)='01_Вводные'!$B$252),MAX(0,'01_Вводные'!$B$167-'01_Вводные'!$B$170)*'01_Вводные'!$B$161+P13,0)</f>
        <v/>
      </c>
      <c r="Q18" s="95">
        <f>IF(AND('01_Вводные'!$B$241="Да",MONTH(Q$3)='01_Вводные'!$B$252),MAX(0,'01_Вводные'!$B$167-'01_Вводные'!$B$170)*'01_Вводные'!$B$161+Q13,0)</f>
        <v/>
      </c>
      <c r="R18" s="95">
        <f>IF(AND('01_Вводные'!$B$241="Да",MONTH(R$3)='01_Вводные'!$B$252),MAX(0,'01_Вводные'!$B$167-'01_Вводные'!$B$170)*'01_Вводные'!$B$161+R13,0)</f>
        <v/>
      </c>
      <c r="S18" s="95">
        <f>IF(AND('01_Вводные'!$B$241="Да",MONTH(S$3)='01_Вводные'!$B$252),MAX(0,'01_Вводные'!$B$167-'01_Вводные'!$B$170)*'01_Вводные'!$B$161+S13,0)</f>
        <v/>
      </c>
      <c r="T18" s="95">
        <f>IF(AND('01_Вводные'!$B$241="Да",MONTH(T$3)='01_Вводные'!$B$252),MAX(0,'01_Вводные'!$B$167-'01_Вводные'!$B$170)*'01_Вводные'!$B$161+T13,0)</f>
        <v/>
      </c>
      <c r="U18" s="95">
        <f>IF(AND('01_Вводные'!$B$241="Да",MONTH(U$3)='01_Вводные'!$B$252),MAX(0,'01_Вводные'!$B$167-'01_Вводные'!$B$170)*'01_Вводные'!$B$161+U13,0)</f>
        <v/>
      </c>
      <c r="V18" s="95">
        <f>IF(AND('01_Вводные'!$B$241="Да",MONTH(V$3)='01_Вводные'!$B$252),MAX(0,'01_Вводные'!$B$167-'01_Вводные'!$B$170)*'01_Вводные'!$B$161+V13,0)</f>
        <v/>
      </c>
      <c r="W18" s="95">
        <f>IF(AND('01_Вводные'!$B$241="Да",MONTH(W$3)='01_Вводные'!$B$252),MAX(0,'01_Вводные'!$B$167-'01_Вводные'!$B$170)*'01_Вводные'!$B$161+W13,0)</f>
        <v/>
      </c>
      <c r="X18" s="95">
        <f>IF(AND('01_Вводные'!$B$241="Да",MONTH(X$3)='01_Вводные'!$B$252),MAX(0,'01_Вводные'!$B$167-'01_Вводные'!$B$170)*'01_Вводные'!$B$161+X13,0)</f>
        <v/>
      </c>
      <c r="Y18" s="95">
        <f>IF(AND('01_Вводные'!$B$241="Да",MONTH(Y$3)='01_Вводные'!$B$252),MAX(0,'01_Вводные'!$B$167-'01_Вводные'!$B$170)*'01_Вводные'!$B$161+Y13,0)</f>
        <v/>
      </c>
      <c r="Z18" s="95">
        <f>IF(AND('01_Вводные'!$B$241="Да",MONTH(Z$3)='01_Вводные'!$B$252),MAX(0,'01_Вводные'!$B$167-'01_Вводные'!$B$170)*'01_Вводные'!$B$161+Z13,0)</f>
        <v/>
      </c>
      <c r="AA18" s="95">
        <f>IF(AND('01_Вводные'!$B$241="Да",MONTH(AA$3)='01_Вводные'!$B$252),MAX(0,'01_Вводные'!$B$167-'01_Вводные'!$B$170)*'01_Вводные'!$B$161+AA13,0)</f>
        <v/>
      </c>
      <c r="AB18" s="95">
        <f>IF(AND('01_Вводные'!$B$241="Да",MONTH(AB$3)='01_Вводные'!$B$252),MAX(0,'01_Вводные'!$B$167-'01_Вводные'!$B$170)*'01_Вводные'!$B$161+AB13,0)</f>
        <v/>
      </c>
      <c r="AC18" s="95">
        <f>IF(AND('01_Вводные'!$B$241="Да",MONTH(AC$3)='01_Вводные'!$B$252),MAX(0,'01_Вводные'!$B$167-'01_Вводные'!$B$170)*'01_Вводные'!$B$161+AC13,0)</f>
        <v/>
      </c>
      <c r="AD18" s="95">
        <f>IF(AND('01_Вводные'!$B$241="Да",MONTH(AD$3)='01_Вводные'!$B$252),MAX(0,'01_Вводные'!$B$167-'01_Вводные'!$B$170)*'01_Вводные'!$B$161+AD13,0)</f>
        <v/>
      </c>
      <c r="AE18" s="95">
        <f>IF(AND('01_Вводные'!$B$241="Да",MONTH(AE$3)='01_Вводные'!$B$252),MAX(0,'01_Вводные'!$B$167-'01_Вводные'!$B$170)*'01_Вводные'!$B$161+AE13,0)</f>
        <v/>
      </c>
      <c r="AF18" s="95">
        <f>IF(AND('01_Вводные'!$B$241="Да",MONTH(AF$3)='01_Вводные'!$B$252),MAX(0,'01_Вводные'!$B$167-'01_Вводные'!$B$170)*'01_Вводные'!$B$161+AF13,0)</f>
        <v/>
      </c>
      <c r="AG18" s="95">
        <f>IF(AND('01_Вводные'!$B$241="Да",MONTH(AG$3)='01_Вводные'!$B$252),MAX(0,'01_Вводные'!$B$167-'01_Вводные'!$B$170)*'01_Вводные'!$B$161+AG13,0)</f>
        <v/>
      </c>
      <c r="AH18" s="95">
        <f>IF(AND('01_Вводные'!$B$241="Да",MONTH(AH$3)='01_Вводные'!$B$252),MAX(0,'01_Вводные'!$B$167-'01_Вводные'!$B$170)*'01_Вводные'!$B$161+AH13,0)</f>
        <v/>
      </c>
      <c r="AI18" s="95">
        <f>IF(AND('01_Вводные'!$B$241="Да",MONTH(AI$3)='01_Вводные'!$B$252),MAX(0,'01_Вводные'!$B$167-'01_Вводные'!$B$170)*'01_Вводные'!$B$161+AI13,0)</f>
        <v/>
      </c>
      <c r="AJ18" s="95">
        <f>IF(AND('01_Вводные'!$B$241="Да",MONTH(AJ$3)='01_Вводные'!$B$252),MAX(0,'01_Вводные'!$B$167-'01_Вводные'!$B$170)*'01_Вводные'!$B$161+AJ13,0)</f>
        <v/>
      </c>
      <c r="AK18" s="95">
        <f>IF(AND('01_Вводные'!$B$241="Да",MONTH(AK$3)='01_Вводные'!$B$252),MAX(0,'01_Вводные'!$B$167-'01_Вводные'!$B$170)*'01_Вводные'!$B$161+AK13,0)</f>
        <v/>
      </c>
      <c r="AL18" s="95">
        <f>IF(AND('01_Вводные'!$B$241="Да",MONTH(AL$3)='01_Вводные'!$B$252),MAX(0,'01_Вводные'!$B$167-'01_Вводные'!$B$170)*'01_Вводные'!$B$161+AL13,0)</f>
        <v/>
      </c>
      <c r="AM18" s="95">
        <f>IF(AND('01_Вводные'!$B$241="Да",MONTH(AM$3)='01_Вводные'!$B$252),MAX(0,'01_Вводные'!$B$167-'01_Вводные'!$B$170)*'01_Вводные'!$B$161+AM13,0)</f>
        <v/>
      </c>
      <c r="AN18" s="95">
        <f>IF(AND('01_Вводные'!$B$241="Да",MONTH(AN$3)='01_Вводные'!$B$252),MAX(0,'01_Вводные'!$B$167-'01_Вводные'!$B$170)*'01_Вводные'!$B$161+AN13,0)</f>
        <v/>
      </c>
      <c r="AO18" s="95">
        <f>IF(AND('01_Вводные'!$B$241="Да",MONTH(AO$3)='01_Вводные'!$B$252),MAX(0,'01_Вводные'!$B$167-'01_Вводные'!$B$170)*'01_Вводные'!$B$161+AO13,0)</f>
        <v/>
      </c>
      <c r="AP18" s="95">
        <f>IF(AND('01_Вводные'!$B$241="Да",MONTH(AP$3)='01_Вводные'!$B$252),MAX(0,'01_Вводные'!$B$167-'01_Вводные'!$B$170)*'01_Вводные'!$B$161+AP13,0)</f>
        <v/>
      </c>
      <c r="AQ18" s="95">
        <f>IF(AND('01_Вводные'!$B$241="Да",MONTH(AQ$3)='01_Вводные'!$B$252),MAX(0,'01_Вводные'!$B$167-'01_Вводные'!$B$170)*'01_Вводные'!$B$161+AQ13,0)</f>
        <v/>
      </c>
      <c r="AR18" s="95">
        <f>IF(AND('01_Вводные'!$B$241="Да",MONTH(AR$3)='01_Вводные'!$B$252),MAX(0,'01_Вводные'!$B$167-'01_Вводные'!$B$170)*'01_Вводные'!$B$161+AR13,0)</f>
        <v/>
      </c>
      <c r="AS18" s="95">
        <f>IF(AND('01_Вводные'!$B$241="Да",MONTH(AS$3)='01_Вводные'!$B$252),MAX(0,'01_Вводные'!$B$167-'01_Вводные'!$B$170)*'01_Вводные'!$B$161+AS13,0)</f>
        <v/>
      </c>
      <c r="AT18" s="95">
        <f>IF(AND('01_Вводные'!$B$241="Да",MONTH(AT$3)='01_Вводные'!$B$252),MAX(0,'01_Вводные'!$B$167-'01_Вводные'!$B$170)*'01_Вводные'!$B$161+AT13,0)</f>
        <v/>
      </c>
      <c r="AU18" s="95">
        <f>IF(AND('01_Вводные'!$B$241="Да",MONTH(AU$3)='01_Вводные'!$B$252),MAX(0,'01_Вводные'!$B$167-'01_Вводные'!$B$170)*'01_Вводные'!$B$161+AU13,0)</f>
        <v/>
      </c>
      <c r="AV18" s="95">
        <f>IF(AND('01_Вводные'!$B$241="Да",MONTH(AV$3)='01_Вводные'!$B$252),MAX(0,'01_Вводные'!$B$167-'01_Вводные'!$B$170)*'01_Вводные'!$B$161+AV13,0)</f>
        <v/>
      </c>
      <c r="AW18" s="95">
        <f>IF(AND('01_Вводные'!$B$241="Да",MONTH(AW$3)='01_Вводные'!$B$252),MAX(0,'01_Вводные'!$B$167-'01_Вводные'!$B$170)*'01_Вводные'!$B$161+AW13,0)</f>
        <v/>
      </c>
      <c r="AX18" s="95">
        <f>IF(AND('01_Вводные'!$B$241="Да",MONTH(AX$3)='01_Вводные'!$B$252),MAX(0,'01_Вводные'!$B$167-'01_Вводные'!$B$170)*'01_Вводные'!$B$161+AX13,0)</f>
        <v/>
      </c>
      <c r="AY18" s="95">
        <f>IF(AND('01_Вводные'!$B$241="Да",MONTH(AY$3)='01_Вводные'!$B$252),MAX(0,'01_Вводные'!$B$167-'01_Вводные'!$B$170)*'01_Вводные'!$B$161+AY13,0)</f>
        <v/>
      </c>
      <c r="AZ18" s="95">
        <f>IF(AND('01_Вводные'!$B$241="Да",MONTH(AZ$3)='01_Вводные'!$B$252),MAX(0,'01_Вводные'!$B$167-'01_Вводные'!$B$170)*'01_Вводные'!$B$161+AZ13,0)</f>
        <v/>
      </c>
      <c r="BA18" s="95">
        <f>IF(AND('01_Вводные'!$B$241="Да",MONTH(BA$3)='01_Вводные'!$B$252),MAX(0,'01_Вводные'!$B$167-'01_Вводные'!$B$170)*'01_Вводные'!$B$161+BA13,0)</f>
        <v/>
      </c>
      <c r="BB18" s="95">
        <f>IF(AND('01_Вводные'!$B$241="Да",MONTH(BB$3)='01_Вводные'!$B$252),MAX(0,'01_Вводные'!$B$167-'01_Вводные'!$B$170)*'01_Вводные'!$B$161+BB13,0)</f>
        <v/>
      </c>
      <c r="BC18" s="95">
        <f>IF(AND('01_Вводные'!$B$241="Да",MONTH(BC$3)='01_Вводные'!$B$252),MAX(0,'01_Вводные'!$B$167-'01_Вводные'!$B$170)*'01_Вводные'!$B$161+BC13,0)</f>
        <v/>
      </c>
      <c r="BD18" s="95">
        <f>IF(AND('01_Вводные'!$B$241="Да",MONTH(BD$3)='01_Вводные'!$B$252),MAX(0,'01_Вводные'!$B$167-'01_Вводные'!$B$170)*'01_Вводные'!$B$161+BD13,0)</f>
        <v/>
      </c>
      <c r="BE18" s="95">
        <f>IF(AND('01_Вводные'!$B$241="Да",MONTH(BE$3)='01_Вводные'!$B$252),MAX(0,'01_Вводные'!$B$167-'01_Вводные'!$B$170)*'01_Вводные'!$B$161+BE13,0)</f>
        <v/>
      </c>
      <c r="BF18" s="95">
        <f>IF(AND('01_Вводные'!$B$241="Да",MONTH(BF$3)='01_Вводные'!$B$252),MAX(0,'01_Вводные'!$B$167-'01_Вводные'!$B$170)*'01_Вводные'!$B$161+BF13,0)</f>
        <v/>
      </c>
      <c r="BG18" s="95">
        <f>IF(AND('01_Вводные'!$B$241="Да",MONTH(BG$3)='01_Вводные'!$B$252),MAX(0,'01_Вводные'!$B$167-'01_Вводные'!$B$170)*'01_Вводные'!$B$161+BG13,0)</f>
        <v/>
      </c>
      <c r="BH18" s="95">
        <f>IF(AND('01_Вводные'!$B$241="Да",MONTH(BH$3)='01_Вводные'!$B$252),MAX(0,'01_Вводные'!$B$167-'01_Вводные'!$B$170)*'01_Вводные'!$B$161+BH13,0)</f>
        <v/>
      </c>
      <c r="BI18" s="95">
        <f>IF(AND('01_Вводные'!$B$241="Да",MONTH(BI$3)='01_Вводные'!$B$252),MAX(0,'01_Вводные'!$B$167-'01_Вводные'!$B$170)*'01_Вводные'!$B$161+BI13,0)</f>
        <v/>
      </c>
    </row>
    <row r="19">
      <c r="A19" s="10" t="inlineStr">
        <is>
          <t>Cash out лагеря</t>
        </is>
      </c>
      <c r="B19" s="43">
        <f>SUM(B16:B18)</f>
        <v/>
      </c>
      <c r="C19" s="43">
        <f>SUM(C16:C18)</f>
        <v/>
      </c>
      <c r="D19" s="43">
        <f>SUM(D16:D18)</f>
        <v/>
      </c>
      <c r="E19" s="43">
        <f>SUM(E16:E18)</f>
        <v/>
      </c>
      <c r="F19" s="43">
        <f>SUM(F16:F18)</f>
        <v/>
      </c>
      <c r="G19" s="43">
        <f>SUM(G16:G18)</f>
        <v/>
      </c>
      <c r="H19" s="43">
        <f>SUM(H16:H18)</f>
        <v/>
      </c>
      <c r="I19" s="43">
        <f>SUM(I16:I18)</f>
        <v/>
      </c>
      <c r="J19" s="43">
        <f>SUM(J16:J18)</f>
        <v/>
      </c>
      <c r="K19" s="43">
        <f>SUM(K16:K18)</f>
        <v/>
      </c>
      <c r="L19" s="43">
        <f>SUM(L16:L18)</f>
        <v/>
      </c>
      <c r="M19" s="43">
        <f>SUM(M16:M18)</f>
        <v/>
      </c>
      <c r="N19" s="43">
        <f>SUM(N16:N18)</f>
        <v/>
      </c>
      <c r="O19" s="43">
        <f>SUM(O16:O18)</f>
        <v/>
      </c>
      <c r="P19" s="43">
        <f>SUM(P16:P18)</f>
        <v/>
      </c>
      <c r="Q19" s="43">
        <f>SUM(Q16:Q18)</f>
        <v/>
      </c>
      <c r="R19" s="43">
        <f>SUM(R16:R18)</f>
        <v/>
      </c>
      <c r="S19" s="43">
        <f>SUM(S16:S18)</f>
        <v/>
      </c>
      <c r="T19" s="43">
        <f>SUM(T16:T18)</f>
        <v/>
      </c>
      <c r="U19" s="43">
        <f>SUM(U16:U18)</f>
        <v/>
      </c>
      <c r="V19" s="43">
        <f>SUM(V16:V18)</f>
        <v/>
      </c>
      <c r="W19" s="43">
        <f>SUM(W16:W18)</f>
        <v/>
      </c>
      <c r="X19" s="43">
        <f>SUM(X16:X18)</f>
        <v/>
      </c>
      <c r="Y19" s="43">
        <f>SUM(Y16:Y18)</f>
        <v/>
      </c>
      <c r="Z19" s="43">
        <f>SUM(Z16:Z18)</f>
        <v/>
      </c>
      <c r="AA19" s="43">
        <f>SUM(AA16:AA18)</f>
        <v/>
      </c>
      <c r="AB19" s="43">
        <f>SUM(AB16:AB18)</f>
        <v/>
      </c>
      <c r="AC19" s="43">
        <f>SUM(AC16:AC18)</f>
        <v/>
      </c>
      <c r="AD19" s="43">
        <f>SUM(AD16:AD18)</f>
        <v/>
      </c>
      <c r="AE19" s="43">
        <f>SUM(AE16:AE18)</f>
        <v/>
      </c>
      <c r="AF19" s="43">
        <f>SUM(AF16:AF18)</f>
        <v/>
      </c>
      <c r="AG19" s="43">
        <f>SUM(AG16:AG18)</f>
        <v/>
      </c>
      <c r="AH19" s="43">
        <f>SUM(AH16:AH18)</f>
        <v/>
      </c>
      <c r="AI19" s="43">
        <f>SUM(AI16:AI18)</f>
        <v/>
      </c>
      <c r="AJ19" s="43">
        <f>SUM(AJ16:AJ18)</f>
        <v/>
      </c>
      <c r="AK19" s="43">
        <f>SUM(AK16:AK18)</f>
        <v/>
      </c>
      <c r="AL19" s="43">
        <f>SUM(AL16:AL18)</f>
        <v/>
      </c>
      <c r="AM19" s="43">
        <f>SUM(AM16:AM18)</f>
        <v/>
      </c>
      <c r="AN19" s="43">
        <f>SUM(AN16:AN18)</f>
        <v/>
      </c>
      <c r="AO19" s="43">
        <f>SUM(AO16:AO18)</f>
        <v/>
      </c>
      <c r="AP19" s="43">
        <f>SUM(AP16:AP18)</f>
        <v/>
      </c>
      <c r="AQ19" s="43">
        <f>SUM(AQ16:AQ18)</f>
        <v/>
      </c>
      <c r="AR19" s="43">
        <f>SUM(AR16:AR18)</f>
        <v/>
      </c>
      <c r="AS19" s="43">
        <f>SUM(AS16:AS18)</f>
        <v/>
      </c>
      <c r="AT19" s="43">
        <f>SUM(AT16:AT18)</f>
        <v/>
      </c>
      <c r="AU19" s="43">
        <f>SUM(AU16:AU18)</f>
        <v/>
      </c>
      <c r="AV19" s="43">
        <f>SUM(AV16:AV18)</f>
        <v/>
      </c>
      <c r="AW19" s="43">
        <f>SUM(AW16:AW18)</f>
        <v/>
      </c>
      <c r="AX19" s="43">
        <f>SUM(AX16:AX18)</f>
        <v/>
      </c>
      <c r="AY19" s="43">
        <f>SUM(AY16:AY18)</f>
        <v/>
      </c>
      <c r="AZ19" s="43">
        <f>SUM(AZ16:AZ18)</f>
        <v/>
      </c>
      <c r="BA19" s="43">
        <f>SUM(BA16:BA18)</f>
        <v/>
      </c>
      <c r="BB19" s="43">
        <f>SUM(BB16:BB18)</f>
        <v/>
      </c>
      <c r="BC19" s="43">
        <f>SUM(BC16:BC18)</f>
        <v/>
      </c>
      <c r="BD19" s="43">
        <f>SUM(BD16:BD18)</f>
        <v/>
      </c>
      <c r="BE19" s="43">
        <f>SUM(BE16:BE18)</f>
        <v/>
      </c>
      <c r="BF19" s="43">
        <f>SUM(BF16:BF18)</f>
        <v/>
      </c>
      <c r="BG19" s="43">
        <f>SUM(BG16:BG18)</f>
        <v/>
      </c>
      <c r="BH19" s="43">
        <f>SUM(BH16:BH18)</f>
        <v/>
      </c>
      <c r="BI19" s="43">
        <f>SUM(BI16:BI18)</f>
        <v/>
      </c>
    </row>
  </sheetData>
  <mergeCells count="3">
    <mergeCell ref="A1:BI1"/>
    <mergeCell ref="A4:BI4"/>
    <mergeCell ref="A15:BI15"/>
  </mergeCells>
  <printOptions horizontalCentered="0"/>
  <pageMargins left="0.75" right="0.75" top="1" bottom="1" header="0.5" footer="0.5"/>
  <pageSetup orientation="landscape" fitToHeight="0" fitToWidth="1"/>
  <headerFooter>
    <oddHeader/>
    <oddFooter>&amp;LФинмодель Спартак · 09_Лагеря&amp;R&amp;P / &amp;N</oddFooter>
    <evenHeader/>
    <evenFooter/>
    <firstHeader/>
    <firstFooter/>
  </headerFooter>
</worksheet>
</file>

<file path=xl/worksheets/sheet12.xml><?xml version="1.0" encoding="utf-8"?>
<worksheet xmlns="http://schemas.openxmlformats.org/spreadsheetml/2006/main">
  <sheetPr>
    <tabColor rgb="009E1B31"/>
    <outlinePr summaryBelow="1" summaryRight="1"/>
    <pageSetUpPr fitToPage="1"/>
  </sheetPr>
  <dimension ref="A1:BI37"/>
  <sheetViews>
    <sheetView showGridLines="0" workbookViewId="0">
      <pane xSplit="1" ySplit="23" topLeftCell="B24"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7" customWidth="1" min="1" max="1"/>
    <col width="17" customWidth="1" min="2" max="2"/>
    <col width="17" customWidth="1" min="3" max="3"/>
    <col width="17" customWidth="1" min="4" max="4"/>
    <col width="17" customWidth="1" min="5" max="5"/>
    <col width="17" customWidth="1" min="6" max="6"/>
    <col width="18" customWidth="1" min="7" max="7"/>
    <col width="40"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16" customWidth="1" min="49" max="49"/>
    <col width="16" customWidth="1" min="50" max="50"/>
    <col width="16" customWidth="1" min="51" max="51"/>
    <col width="16" customWidth="1" min="52" max="52"/>
    <col width="16" customWidth="1" min="53" max="53"/>
    <col width="16" customWidth="1" min="54" max="54"/>
    <col width="16" customWidth="1" min="55" max="55"/>
    <col width="16" customWidth="1" min="56" max="56"/>
    <col width="16" customWidth="1" min="57" max="57"/>
    <col width="16" customWidth="1" min="58" max="58"/>
    <col width="16" customWidth="1" min="59" max="59"/>
    <col width="16" customWidth="1" min="60" max="60"/>
    <col width="16" customWidth="1" min="61" max="61"/>
  </cols>
  <sheetData>
    <row r="1" ht="27" customHeight="1">
      <c r="A1" s="60" t="inlineStr">
        <is>
          <t>СПАРТАК | Начисления и выплаты футбольному клубу</t>
        </is>
      </c>
    </row>
    <row r="2"/>
    <row r="3" ht="38" customHeight="1">
      <c r="A3" s="111" t="inlineStr">
        <is>
          <t>Операционные выплаты и возврат тела займа разделены. В БДР — начисленные расходы; в БДДС — денежные выплаты. Итоги не прибавляются повторно к модели.</t>
        </is>
      </c>
    </row>
    <row r="4"/>
    <row r="5" ht="33" customHeight="1">
      <c r="A5" s="87" t="inlineStr">
        <is>
          <t>Показатель</t>
        </is>
      </c>
      <c r="B5" s="87" t="inlineStr">
        <is>
          <t>2026/27</t>
        </is>
      </c>
      <c r="C5" s="87" t="inlineStr">
        <is>
          <t>2027/28</t>
        </is>
      </c>
      <c r="D5" s="87" t="inlineStr">
        <is>
          <t>2028/29</t>
        </is>
      </c>
      <c r="E5" s="87" t="inlineStr">
        <is>
          <t>2029/30</t>
        </is>
      </c>
      <c r="F5" s="87" t="inlineStr">
        <is>
          <t>2030/31</t>
        </is>
      </c>
      <c r="G5" s="87" t="inlineStr">
        <is>
          <t>Итого / конец</t>
        </is>
      </c>
      <c r="H5" s="87" t="inlineStr">
        <is>
          <t>Пояснение</t>
        </is>
      </c>
    </row>
    <row r="6" ht="26" customHeight="1">
      <c r="A6" s="104" t="inlineStr">
        <is>
          <t>Начислено ФК: паушальные</t>
        </is>
      </c>
      <c r="B6" s="117">
        <f>SUM(B24:M24)</f>
        <v/>
      </c>
      <c r="C6" s="117">
        <f>SUM(N24:Y24)</f>
        <v/>
      </c>
      <c r="D6" s="117">
        <f>SUM(Z24:AK24)</f>
        <v/>
      </c>
      <c r="E6" s="117">
        <f>SUM(AL24:AW24)</f>
        <v/>
      </c>
      <c r="F6" s="117">
        <f>SUM(AX24:BI24)</f>
        <v/>
      </c>
      <c r="G6" s="117">
        <f>SUM(B6:F6)</f>
        <v/>
      </c>
      <c r="H6" s="104" t="n"/>
    </row>
    <row r="7" ht="26" customHeight="1">
      <c r="A7" s="104" t="inlineStr">
        <is>
          <t>Начислено ФК: роялти</t>
        </is>
      </c>
      <c r="B7" s="117">
        <f>SUM(B25:M25)</f>
        <v/>
      </c>
      <c r="C7" s="117">
        <f>SUM(N25:Y25)</f>
        <v/>
      </c>
      <c r="D7" s="117">
        <f>SUM(Z25:AK25)</f>
        <v/>
      </c>
      <c r="E7" s="117">
        <f>SUM(AL25:AW25)</f>
        <v/>
      </c>
      <c r="F7" s="117">
        <f>SUM(AX25:BI25)</f>
        <v/>
      </c>
      <c r="G7" s="117">
        <f>SUM(B7:F7)</f>
        <v/>
      </c>
      <c r="H7" s="104" t="n"/>
    </row>
    <row r="8" ht="26" customHeight="1">
      <c r="A8" s="104" t="inlineStr">
        <is>
          <t>Начислено ФК: прибыль мерча</t>
        </is>
      </c>
      <c r="B8" s="117">
        <f>SUM(B26:M26)</f>
        <v/>
      </c>
      <c r="C8" s="117">
        <f>SUM(N26:Y26)</f>
        <v/>
      </c>
      <c r="D8" s="117">
        <f>SUM(Z26:AK26)</f>
        <v/>
      </c>
      <c r="E8" s="117">
        <f>SUM(AL26:AW26)</f>
        <v/>
      </c>
      <c r="F8" s="117">
        <f>SUM(AX26:BI26)</f>
        <v/>
      </c>
      <c r="G8" s="117">
        <f>SUM(B8:F8)</f>
        <v/>
      </c>
      <c r="H8" s="104" t="n"/>
    </row>
    <row r="9" ht="26" customHeight="1">
      <c r="A9" s="104" t="inlineStr">
        <is>
          <t>Начислено — всего</t>
        </is>
      </c>
      <c r="B9" s="117">
        <f>SUM(B27:M27)</f>
        <v/>
      </c>
      <c r="C9" s="117">
        <f>SUM(N27:Y27)</f>
        <v/>
      </c>
      <c r="D9" s="117">
        <f>SUM(Z27:AK27)</f>
        <v/>
      </c>
      <c r="E9" s="117">
        <f>SUM(AL27:AW27)</f>
        <v/>
      </c>
      <c r="F9" s="117">
        <f>SUM(AX27:BI27)</f>
        <v/>
      </c>
      <c r="G9" s="117">
        <f>SUM(B9:F9)</f>
        <v/>
      </c>
      <c r="H9" s="104" t="inlineStr">
        <is>
          <t>Расход БДР, не отдельная оплата.</t>
        </is>
      </c>
    </row>
    <row r="10" ht="26" customHeight="1">
      <c r="A10" s="104" t="n"/>
      <c r="B10" s="115" t="n"/>
      <c r="C10" s="115" t="n"/>
      <c r="D10" s="115" t="n"/>
      <c r="E10" s="115" t="n"/>
      <c r="F10" s="115" t="n"/>
      <c r="G10" s="115" t="n"/>
      <c r="H10" s="104" t="n"/>
    </row>
    <row r="11" ht="26" customHeight="1">
      <c r="A11" s="104" t="inlineStr">
        <is>
          <t>Оплачено ФК: паушальные</t>
        </is>
      </c>
      <c r="B11" s="117">
        <f>SUM(B29:M29)</f>
        <v/>
      </c>
      <c r="C11" s="117">
        <f>SUM(N29:Y29)</f>
        <v/>
      </c>
      <c r="D11" s="117">
        <f>SUM(Z29:AK29)</f>
        <v/>
      </c>
      <c r="E11" s="117">
        <f>SUM(AL29:AW29)</f>
        <v/>
      </c>
      <c r="F11" s="117">
        <f>SUM(AX29:BI29)</f>
        <v/>
      </c>
      <c r="G11" s="117">
        <f>SUM(B11:F11)</f>
        <v/>
      </c>
      <c r="H11" s="104" t="n"/>
    </row>
    <row r="12" ht="26" customHeight="1">
      <c r="A12" s="104" t="inlineStr">
        <is>
          <t>Оплачено ФК: роялти</t>
        </is>
      </c>
      <c r="B12" s="117">
        <f>SUM(B30:M30)</f>
        <v/>
      </c>
      <c r="C12" s="117">
        <f>SUM(N30:Y30)</f>
        <v/>
      </c>
      <c r="D12" s="117">
        <f>SUM(Z30:AK30)</f>
        <v/>
      </c>
      <c r="E12" s="117">
        <f>SUM(AL30:AW30)</f>
        <v/>
      </c>
      <c r="F12" s="117">
        <f>SUM(AX30:BI30)</f>
        <v/>
      </c>
      <c r="G12" s="117">
        <f>SUM(B12:F12)</f>
        <v/>
      </c>
      <c r="H12" s="104" t="n"/>
    </row>
    <row r="13" ht="26" customHeight="1">
      <c r="A13" s="104" t="inlineStr">
        <is>
          <t>Оплачено ФК: прибыль мерча</t>
        </is>
      </c>
      <c r="B13" s="117">
        <f>SUM(B31:M31)</f>
        <v/>
      </c>
      <c r="C13" s="117">
        <f>SUM(N31:Y31)</f>
        <v/>
      </c>
      <c r="D13" s="117">
        <f>SUM(Z31:AK31)</f>
        <v/>
      </c>
      <c r="E13" s="117">
        <f>SUM(AL31:AW31)</f>
        <v/>
      </c>
      <c r="F13" s="117">
        <f>SUM(AX31:BI31)</f>
        <v/>
      </c>
      <c r="G13" s="117">
        <f>SUM(B13:F13)</f>
        <v/>
      </c>
      <c r="H13" s="104" t="n"/>
    </row>
    <row r="14" ht="26" customHeight="1">
      <c r="A14" s="104" t="inlineStr">
        <is>
          <t>Операционные выплаты — всего</t>
        </is>
      </c>
      <c r="B14" s="117">
        <f>SUM(B32:M32)</f>
        <v/>
      </c>
      <c r="C14" s="117">
        <f>SUM(N32:Y32)</f>
        <v/>
      </c>
      <c r="D14" s="117">
        <f>SUM(Z32:AK32)</f>
        <v/>
      </c>
      <c r="E14" s="117">
        <f>SUM(AL32:AW32)</f>
        <v/>
      </c>
      <c r="F14" s="117">
        <f>SUM(AX32:BI32)</f>
        <v/>
      </c>
      <c r="G14" s="117">
        <f>SUM(B14:F14)</f>
        <v/>
      </c>
      <c r="H14" s="104" t="n"/>
    </row>
    <row r="15" ht="26" customHeight="1">
      <c r="A15" s="104" t="inlineStr">
        <is>
          <t>Погашение тела займа на мерч</t>
        </is>
      </c>
      <c r="B15" s="117">
        <f>SUM(B33:M33)</f>
        <v/>
      </c>
      <c r="C15" s="117">
        <f>SUM(N33:Y33)</f>
        <v/>
      </c>
      <c r="D15" s="117">
        <f>SUM(Z33:AK33)</f>
        <v/>
      </c>
      <c r="E15" s="117">
        <f>SUM(AL33:AW33)</f>
        <v/>
      </c>
      <c r="F15" s="117">
        <f>SUM(AX33:BI33)</f>
        <v/>
      </c>
      <c r="G15" s="117">
        <f>SUM(B15:F15)</f>
        <v/>
      </c>
      <c r="H15" s="104" t="inlineStr">
        <is>
          <t>Не уменьшает EBITDA.</t>
        </is>
      </c>
    </row>
    <row r="16" ht="26" customHeight="1">
      <c r="A16" s="104" t="inlineStr">
        <is>
          <t>Все денежные перечисления ФК</t>
        </is>
      </c>
      <c r="B16" s="117">
        <f>SUM(B34:M34)</f>
        <v/>
      </c>
      <c r="C16" s="117">
        <f>SUM(N34:Y34)</f>
        <v/>
      </c>
      <c r="D16" s="117">
        <f>SUM(Z34:AK34)</f>
        <v/>
      </c>
      <c r="E16" s="117">
        <f>SUM(AL34:AW34)</f>
        <v/>
      </c>
      <c r="F16" s="117">
        <f>SUM(AX34:BI34)</f>
        <v/>
      </c>
      <c r="G16" s="117">
        <f>SUM(B16:F16)</f>
        <v/>
      </c>
      <c r="H16" s="104" t="inlineStr">
        <is>
          <t>Именно деньги: операционные выплаты + тело займа.</t>
        </is>
      </c>
    </row>
    <row r="17" ht="26" customHeight="1">
      <c r="A17" s="104" t="inlineStr">
        <is>
          <t>Остаток займа на конец</t>
        </is>
      </c>
      <c r="B17" s="117">
        <f>M35</f>
        <v/>
      </c>
      <c r="C17" s="117">
        <f>Y35</f>
        <v/>
      </c>
      <c r="D17" s="117">
        <f>AK35</f>
        <v/>
      </c>
      <c r="E17" s="117">
        <f>AW35</f>
        <v/>
      </c>
      <c r="F17" s="117">
        <f>BI35</f>
        <v/>
      </c>
      <c r="G17" s="117">
        <f>F17</f>
        <v/>
      </c>
      <c r="H17" s="104" t="n"/>
    </row>
    <row r="18" ht="26" customHeight="1">
      <c r="A18" s="104" t="inlineStr">
        <is>
          <t>Начислено, но не оплачено — на конец</t>
        </is>
      </c>
      <c r="B18" s="117">
        <f>M36</f>
        <v/>
      </c>
      <c r="C18" s="117">
        <f>Y36</f>
        <v/>
      </c>
      <c r="D18" s="117">
        <f>AK36</f>
        <v/>
      </c>
      <c r="E18" s="117">
        <f>AW36</f>
        <v/>
      </c>
      <c r="F18" s="117">
        <f>BI36</f>
        <v/>
      </c>
      <c r="G18" s="117">
        <f>F18</f>
        <v/>
      </c>
      <c r="H18" s="104" t="n"/>
    </row>
    <row r="19" ht="26" customHeight="1">
      <c r="A19" s="104" t="inlineStr">
        <is>
          <t>Сверка с БДДС — должна быть 0</t>
        </is>
      </c>
      <c r="B19" s="117">
        <f>SUM(B37:M37)</f>
        <v/>
      </c>
      <c r="C19" s="117">
        <f>SUM(N37:Y37)</f>
        <v/>
      </c>
      <c r="D19" s="117">
        <f>SUM(Z37:AK37)</f>
        <v/>
      </c>
      <c r="E19" s="117">
        <f>SUM(AL37:AW37)</f>
        <v/>
      </c>
      <c r="F19" s="117">
        <f>SUM(AX37:BI37)</f>
        <v/>
      </c>
      <c r="G19" s="117">
        <f>SUM(B19:F19)</f>
        <v/>
      </c>
      <c r="H19" s="104" t="n"/>
    </row>
    <row r="20"/>
    <row r="21"/>
    <row r="22" ht="27" customHeight="1">
      <c r="A22" s="60" t="inlineStr">
        <is>
          <t>Помесячно, ₽</t>
        </is>
      </c>
    </row>
    <row r="23">
      <c r="B23" s="120">
        <f>'02_Модель'!B3</f>
        <v/>
      </c>
      <c r="C23" s="120">
        <f>'02_Модель'!C3</f>
        <v/>
      </c>
      <c r="D23" s="120">
        <f>'02_Модель'!D3</f>
        <v/>
      </c>
      <c r="E23" s="120">
        <f>'02_Модель'!E3</f>
        <v/>
      </c>
      <c r="F23" s="120">
        <f>'02_Модель'!F3</f>
        <v/>
      </c>
      <c r="G23" s="120">
        <f>'02_Модель'!G3</f>
        <v/>
      </c>
      <c r="H23" s="120">
        <f>'02_Модель'!H3</f>
        <v/>
      </c>
      <c r="I23" s="120">
        <f>'02_Модель'!I3</f>
        <v/>
      </c>
      <c r="J23" s="120">
        <f>'02_Модель'!J3</f>
        <v/>
      </c>
      <c r="K23" s="120">
        <f>'02_Модель'!K3</f>
        <v/>
      </c>
      <c r="L23" s="120">
        <f>'02_Модель'!L3</f>
        <v/>
      </c>
      <c r="M23" s="120">
        <f>'02_Модель'!M3</f>
        <v/>
      </c>
      <c r="N23" s="120">
        <f>'02_Модель'!N3</f>
        <v/>
      </c>
      <c r="O23" s="120">
        <f>'02_Модель'!O3</f>
        <v/>
      </c>
      <c r="P23" s="120">
        <f>'02_Модель'!P3</f>
        <v/>
      </c>
      <c r="Q23" s="120">
        <f>'02_Модель'!Q3</f>
        <v/>
      </c>
      <c r="R23" s="120">
        <f>'02_Модель'!R3</f>
        <v/>
      </c>
      <c r="S23" s="120">
        <f>'02_Модель'!S3</f>
        <v/>
      </c>
      <c r="T23" s="120">
        <f>'02_Модель'!T3</f>
        <v/>
      </c>
      <c r="U23" s="120">
        <f>'02_Модель'!U3</f>
        <v/>
      </c>
      <c r="V23" s="120">
        <f>'02_Модель'!V3</f>
        <v/>
      </c>
      <c r="W23" s="120">
        <f>'02_Модель'!W3</f>
        <v/>
      </c>
      <c r="X23" s="120">
        <f>'02_Модель'!X3</f>
        <v/>
      </c>
      <c r="Y23" s="120">
        <f>'02_Модель'!Y3</f>
        <v/>
      </c>
      <c r="Z23" s="120">
        <f>'02_Модель'!Z3</f>
        <v/>
      </c>
      <c r="AA23" s="120">
        <f>'02_Модель'!AA3</f>
        <v/>
      </c>
      <c r="AB23" s="120">
        <f>'02_Модель'!AB3</f>
        <v/>
      </c>
      <c r="AC23" s="120">
        <f>'02_Модель'!AC3</f>
        <v/>
      </c>
      <c r="AD23" s="120">
        <f>'02_Модель'!AD3</f>
        <v/>
      </c>
      <c r="AE23" s="120">
        <f>'02_Модель'!AE3</f>
        <v/>
      </c>
      <c r="AF23" s="120">
        <f>'02_Модель'!AF3</f>
        <v/>
      </c>
      <c r="AG23" s="120">
        <f>'02_Модель'!AG3</f>
        <v/>
      </c>
      <c r="AH23" s="120">
        <f>'02_Модель'!AH3</f>
        <v/>
      </c>
      <c r="AI23" s="120">
        <f>'02_Модель'!AI3</f>
        <v/>
      </c>
      <c r="AJ23" s="120">
        <f>'02_Модель'!AJ3</f>
        <v/>
      </c>
      <c r="AK23" s="120">
        <f>'02_Модель'!AK3</f>
        <v/>
      </c>
      <c r="AL23" s="120">
        <f>'02_Модель'!AL3</f>
        <v/>
      </c>
      <c r="AM23" s="120">
        <f>'02_Модель'!AM3</f>
        <v/>
      </c>
      <c r="AN23" s="120">
        <f>'02_Модель'!AN3</f>
        <v/>
      </c>
      <c r="AO23" s="120">
        <f>'02_Модель'!AO3</f>
        <v/>
      </c>
      <c r="AP23" s="120">
        <f>'02_Модель'!AP3</f>
        <v/>
      </c>
      <c r="AQ23" s="120">
        <f>'02_Модель'!AQ3</f>
        <v/>
      </c>
      <c r="AR23" s="120">
        <f>'02_Модель'!AR3</f>
        <v/>
      </c>
      <c r="AS23" s="120">
        <f>'02_Модель'!AS3</f>
        <v/>
      </c>
      <c r="AT23" s="120">
        <f>'02_Модель'!AT3</f>
        <v/>
      </c>
      <c r="AU23" s="120">
        <f>'02_Модель'!AU3</f>
        <v/>
      </c>
      <c r="AV23" s="120">
        <f>'02_Модель'!AV3</f>
        <v/>
      </c>
      <c r="AW23" s="120">
        <f>'02_Модель'!AW3</f>
        <v/>
      </c>
      <c r="AX23" s="120">
        <f>'02_Модель'!AX3</f>
        <v/>
      </c>
      <c r="AY23" s="120">
        <f>'02_Модель'!AY3</f>
        <v/>
      </c>
      <c r="AZ23" s="120">
        <f>'02_Модель'!AZ3</f>
        <v/>
      </c>
      <c r="BA23" s="120">
        <f>'02_Модель'!BA3</f>
        <v/>
      </c>
      <c r="BB23" s="120">
        <f>'02_Модель'!BB3</f>
        <v/>
      </c>
      <c r="BC23" s="120">
        <f>'02_Модель'!BC3</f>
        <v/>
      </c>
      <c r="BD23" s="120">
        <f>'02_Модель'!BD3</f>
        <v/>
      </c>
      <c r="BE23" s="120">
        <f>'02_Модель'!BE3</f>
        <v/>
      </c>
      <c r="BF23" s="120">
        <f>'02_Модель'!BF3</f>
        <v/>
      </c>
      <c r="BG23" s="120">
        <f>'02_Модель'!BG3</f>
        <v/>
      </c>
      <c r="BH23" s="120">
        <f>'02_Модель'!BH3</f>
        <v/>
      </c>
      <c r="BI23" s="120">
        <f>'02_Модель'!BI3</f>
        <v/>
      </c>
    </row>
    <row r="24" ht="26" customHeight="1">
      <c r="A24" s="104" t="inlineStr">
        <is>
          <t>Начислено: паушальные</t>
        </is>
      </c>
      <c r="B24" s="103">
        <f>'02_Модель'!B29</f>
        <v/>
      </c>
      <c r="C24" s="103">
        <f>'02_Модель'!C29</f>
        <v/>
      </c>
      <c r="D24" s="103">
        <f>'02_Модель'!D29</f>
        <v/>
      </c>
      <c r="E24" s="103">
        <f>'02_Модель'!E29</f>
        <v/>
      </c>
      <c r="F24" s="103">
        <f>'02_Модель'!F29</f>
        <v/>
      </c>
      <c r="G24" s="103">
        <f>'02_Модель'!G29</f>
        <v/>
      </c>
      <c r="H24" s="103">
        <f>'02_Модель'!H29</f>
        <v/>
      </c>
      <c r="I24" s="103">
        <f>'02_Модель'!I29</f>
        <v/>
      </c>
      <c r="J24" s="103">
        <f>'02_Модель'!J29</f>
        <v/>
      </c>
      <c r="K24" s="103">
        <f>'02_Модель'!K29</f>
        <v/>
      </c>
      <c r="L24" s="103">
        <f>'02_Модель'!L29</f>
        <v/>
      </c>
      <c r="M24" s="103">
        <f>'02_Модель'!M29</f>
        <v/>
      </c>
      <c r="N24" s="103">
        <f>'02_Модель'!N29</f>
        <v/>
      </c>
      <c r="O24" s="103">
        <f>'02_Модель'!O29</f>
        <v/>
      </c>
      <c r="P24" s="103">
        <f>'02_Модель'!P29</f>
        <v/>
      </c>
      <c r="Q24" s="103">
        <f>'02_Модель'!Q29</f>
        <v/>
      </c>
      <c r="R24" s="103">
        <f>'02_Модель'!R29</f>
        <v/>
      </c>
      <c r="S24" s="103">
        <f>'02_Модель'!S29</f>
        <v/>
      </c>
      <c r="T24" s="103">
        <f>'02_Модель'!T29</f>
        <v/>
      </c>
      <c r="U24" s="103">
        <f>'02_Модель'!U29</f>
        <v/>
      </c>
      <c r="V24" s="103">
        <f>'02_Модель'!V29</f>
        <v/>
      </c>
      <c r="W24" s="103">
        <f>'02_Модель'!W29</f>
        <v/>
      </c>
      <c r="X24" s="103">
        <f>'02_Модель'!X29</f>
        <v/>
      </c>
      <c r="Y24" s="103">
        <f>'02_Модель'!Y29</f>
        <v/>
      </c>
      <c r="Z24" s="103">
        <f>'02_Модель'!Z29</f>
        <v/>
      </c>
      <c r="AA24" s="103">
        <f>'02_Модель'!AA29</f>
        <v/>
      </c>
      <c r="AB24" s="103">
        <f>'02_Модель'!AB29</f>
        <v/>
      </c>
      <c r="AC24" s="103">
        <f>'02_Модель'!AC29</f>
        <v/>
      </c>
      <c r="AD24" s="103">
        <f>'02_Модель'!AD29</f>
        <v/>
      </c>
      <c r="AE24" s="103">
        <f>'02_Модель'!AE29</f>
        <v/>
      </c>
      <c r="AF24" s="103">
        <f>'02_Модель'!AF29</f>
        <v/>
      </c>
      <c r="AG24" s="103">
        <f>'02_Модель'!AG29</f>
        <v/>
      </c>
      <c r="AH24" s="103">
        <f>'02_Модель'!AH29</f>
        <v/>
      </c>
      <c r="AI24" s="103">
        <f>'02_Модель'!AI29</f>
        <v/>
      </c>
      <c r="AJ24" s="103">
        <f>'02_Модель'!AJ29</f>
        <v/>
      </c>
      <c r="AK24" s="103">
        <f>'02_Модель'!AK29</f>
        <v/>
      </c>
      <c r="AL24" s="103">
        <f>'02_Модель'!AL29</f>
        <v/>
      </c>
      <c r="AM24" s="103">
        <f>'02_Модель'!AM29</f>
        <v/>
      </c>
      <c r="AN24" s="103">
        <f>'02_Модель'!AN29</f>
        <v/>
      </c>
      <c r="AO24" s="103">
        <f>'02_Модель'!AO29</f>
        <v/>
      </c>
      <c r="AP24" s="103">
        <f>'02_Модель'!AP29</f>
        <v/>
      </c>
      <c r="AQ24" s="103">
        <f>'02_Модель'!AQ29</f>
        <v/>
      </c>
      <c r="AR24" s="103">
        <f>'02_Модель'!AR29</f>
        <v/>
      </c>
      <c r="AS24" s="103">
        <f>'02_Модель'!AS29</f>
        <v/>
      </c>
      <c r="AT24" s="103">
        <f>'02_Модель'!AT29</f>
        <v/>
      </c>
      <c r="AU24" s="103">
        <f>'02_Модель'!AU29</f>
        <v/>
      </c>
      <c r="AV24" s="103">
        <f>'02_Модель'!AV29</f>
        <v/>
      </c>
      <c r="AW24" s="103">
        <f>'02_Модель'!AW29</f>
        <v/>
      </c>
      <c r="AX24" s="103">
        <f>'02_Модель'!AX29</f>
        <v/>
      </c>
      <c r="AY24" s="103">
        <f>'02_Модель'!AY29</f>
        <v/>
      </c>
      <c r="AZ24" s="103">
        <f>'02_Модель'!AZ29</f>
        <v/>
      </c>
      <c r="BA24" s="103">
        <f>'02_Модель'!BA29</f>
        <v/>
      </c>
      <c r="BB24" s="103">
        <f>'02_Модель'!BB29</f>
        <v/>
      </c>
      <c r="BC24" s="103">
        <f>'02_Модель'!BC29</f>
        <v/>
      </c>
      <c r="BD24" s="103">
        <f>'02_Модель'!BD29</f>
        <v/>
      </c>
      <c r="BE24" s="103">
        <f>'02_Модель'!BE29</f>
        <v/>
      </c>
      <c r="BF24" s="103">
        <f>'02_Модель'!BF29</f>
        <v/>
      </c>
      <c r="BG24" s="103">
        <f>'02_Модель'!BG29</f>
        <v/>
      </c>
      <c r="BH24" s="103">
        <f>'02_Модель'!BH29</f>
        <v/>
      </c>
      <c r="BI24" s="121">
        <f>'02_Модель'!BI29</f>
        <v/>
      </c>
    </row>
    <row r="25" ht="26" customHeight="1">
      <c r="A25" s="104" t="inlineStr">
        <is>
          <t>Начислено: роялти</t>
        </is>
      </c>
      <c r="B25" s="103">
        <f>'02_Модель'!B30</f>
        <v/>
      </c>
      <c r="C25" s="103">
        <f>'02_Модель'!C30</f>
        <v/>
      </c>
      <c r="D25" s="103">
        <f>'02_Модель'!D30</f>
        <v/>
      </c>
      <c r="E25" s="103">
        <f>'02_Модель'!E30</f>
        <v/>
      </c>
      <c r="F25" s="103">
        <f>'02_Модель'!F30</f>
        <v/>
      </c>
      <c r="G25" s="103">
        <f>'02_Модель'!G30</f>
        <v/>
      </c>
      <c r="H25" s="103">
        <f>'02_Модель'!H30</f>
        <v/>
      </c>
      <c r="I25" s="103">
        <f>'02_Модель'!I30</f>
        <v/>
      </c>
      <c r="J25" s="103">
        <f>'02_Модель'!J30</f>
        <v/>
      </c>
      <c r="K25" s="103">
        <f>'02_Модель'!K30</f>
        <v/>
      </c>
      <c r="L25" s="103">
        <f>'02_Модель'!L30</f>
        <v/>
      </c>
      <c r="M25" s="103">
        <f>'02_Модель'!M30</f>
        <v/>
      </c>
      <c r="N25" s="103">
        <f>'02_Модель'!N30</f>
        <v/>
      </c>
      <c r="O25" s="103">
        <f>'02_Модель'!O30</f>
        <v/>
      </c>
      <c r="P25" s="103">
        <f>'02_Модель'!P30</f>
        <v/>
      </c>
      <c r="Q25" s="103">
        <f>'02_Модель'!Q30</f>
        <v/>
      </c>
      <c r="R25" s="103">
        <f>'02_Модель'!R30</f>
        <v/>
      </c>
      <c r="S25" s="103">
        <f>'02_Модель'!S30</f>
        <v/>
      </c>
      <c r="T25" s="103">
        <f>'02_Модель'!T30</f>
        <v/>
      </c>
      <c r="U25" s="103">
        <f>'02_Модель'!U30</f>
        <v/>
      </c>
      <c r="V25" s="103">
        <f>'02_Модель'!V30</f>
        <v/>
      </c>
      <c r="W25" s="103">
        <f>'02_Модель'!W30</f>
        <v/>
      </c>
      <c r="X25" s="103">
        <f>'02_Модель'!X30</f>
        <v/>
      </c>
      <c r="Y25" s="103">
        <f>'02_Модель'!Y30</f>
        <v/>
      </c>
      <c r="Z25" s="103">
        <f>'02_Модель'!Z30</f>
        <v/>
      </c>
      <c r="AA25" s="103">
        <f>'02_Модель'!AA30</f>
        <v/>
      </c>
      <c r="AB25" s="103">
        <f>'02_Модель'!AB30</f>
        <v/>
      </c>
      <c r="AC25" s="103">
        <f>'02_Модель'!AC30</f>
        <v/>
      </c>
      <c r="AD25" s="103">
        <f>'02_Модель'!AD30</f>
        <v/>
      </c>
      <c r="AE25" s="103">
        <f>'02_Модель'!AE30</f>
        <v/>
      </c>
      <c r="AF25" s="103">
        <f>'02_Модель'!AF30</f>
        <v/>
      </c>
      <c r="AG25" s="103">
        <f>'02_Модель'!AG30</f>
        <v/>
      </c>
      <c r="AH25" s="103">
        <f>'02_Модель'!AH30</f>
        <v/>
      </c>
      <c r="AI25" s="103">
        <f>'02_Модель'!AI30</f>
        <v/>
      </c>
      <c r="AJ25" s="103">
        <f>'02_Модель'!AJ30</f>
        <v/>
      </c>
      <c r="AK25" s="103">
        <f>'02_Модель'!AK30</f>
        <v/>
      </c>
      <c r="AL25" s="103">
        <f>'02_Модель'!AL30</f>
        <v/>
      </c>
      <c r="AM25" s="103">
        <f>'02_Модель'!AM30</f>
        <v/>
      </c>
      <c r="AN25" s="103">
        <f>'02_Модель'!AN30</f>
        <v/>
      </c>
      <c r="AO25" s="103">
        <f>'02_Модель'!AO30</f>
        <v/>
      </c>
      <c r="AP25" s="103">
        <f>'02_Модель'!AP30</f>
        <v/>
      </c>
      <c r="AQ25" s="103">
        <f>'02_Модель'!AQ30</f>
        <v/>
      </c>
      <c r="AR25" s="103">
        <f>'02_Модель'!AR30</f>
        <v/>
      </c>
      <c r="AS25" s="103">
        <f>'02_Модель'!AS30</f>
        <v/>
      </c>
      <c r="AT25" s="103">
        <f>'02_Модель'!AT30</f>
        <v/>
      </c>
      <c r="AU25" s="103">
        <f>'02_Модель'!AU30</f>
        <v/>
      </c>
      <c r="AV25" s="103">
        <f>'02_Модель'!AV30</f>
        <v/>
      </c>
      <c r="AW25" s="103">
        <f>'02_Модель'!AW30</f>
        <v/>
      </c>
      <c r="AX25" s="103">
        <f>'02_Модель'!AX30</f>
        <v/>
      </c>
      <c r="AY25" s="103">
        <f>'02_Модель'!AY30</f>
        <v/>
      </c>
      <c r="AZ25" s="103">
        <f>'02_Модель'!AZ30</f>
        <v/>
      </c>
      <c r="BA25" s="103">
        <f>'02_Модель'!BA30</f>
        <v/>
      </c>
      <c r="BB25" s="103">
        <f>'02_Модель'!BB30</f>
        <v/>
      </c>
      <c r="BC25" s="103">
        <f>'02_Модель'!BC30</f>
        <v/>
      </c>
      <c r="BD25" s="103">
        <f>'02_Модель'!BD30</f>
        <v/>
      </c>
      <c r="BE25" s="103">
        <f>'02_Модель'!BE30</f>
        <v/>
      </c>
      <c r="BF25" s="103">
        <f>'02_Модель'!BF30</f>
        <v/>
      </c>
      <c r="BG25" s="103">
        <f>'02_Модель'!BG30</f>
        <v/>
      </c>
      <c r="BH25" s="103">
        <f>'02_Модель'!BH30</f>
        <v/>
      </c>
      <c r="BI25" s="121">
        <f>'02_Модель'!BI30</f>
        <v/>
      </c>
    </row>
    <row r="26" ht="26" customHeight="1">
      <c r="A26" s="104" t="inlineStr">
        <is>
          <t>Начислено: мерч</t>
        </is>
      </c>
      <c r="B26" s="103">
        <f>'02_Модель'!B28</f>
        <v/>
      </c>
      <c r="C26" s="103">
        <f>'02_Модель'!C28</f>
        <v/>
      </c>
      <c r="D26" s="103">
        <f>'02_Модель'!D28</f>
        <v/>
      </c>
      <c r="E26" s="103">
        <f>'02_Модель'!E28</f>
        <v/>
      </c>
      <c r="F26" s="103">
        <f>'02_Модель'!F28</f>
        <v/>
      </c>
      <c r="G26" s="103">
        <f>'02_Модель'!G28</f>
        <v/>
      </c>
      <c r="H26" s="103">
        <f>'02_Модель'!H28</f>
        <v/>
      </c>
      <c r="I26" s="103">
        <f>'02_Модель'!I28</f>
        <v/>
      </c>
      <c r="J26" s="103">
        <f>'02_Модель'!J28</f>
        <v/>
      </c>
      <c r="K26" s="103">
        <f>'02_Модель'!K28</f>
        <v/>
      </c>
      <c r="L26" s="103">
        <f>'02_Модель'!L28</f>
        <v/>
      </c>
      <c r="M26" s="103">
        <f>'02_Модель'!M28</f>
        <v/>
      </c>
      <c r="N26" s="103">
        <f>'02_Модель'!N28</f>
        <v/>
      </c>
      <c r="O26" s="103">
        <f>'02_Модель'!O28</f>
        <v/>
      </c>
      <c r="P26" s="103">
        <f>'02_Модель'!P28</f>
        <v/>
      </c>
      <c r="Q26" s="103">
        <f>'02_Модель'!Q28</f>
        <v/>
      </c>
      <c r="R26" s="103">
        <f>'02_Модель'!R28</f>
        <v/>
      </c>
      <c r="S26" s="103">
        <f>'02_Модель'!S28</f>
        <v/>
      </c>
      <c r="T26" s="103">
        <f>'02_Модель'!T28</f>
        <v/>
      </c>
      <c r="U26" s="103">
        <f>'02_Модель'!U28</f>
        <v/>
      </c>
      <c r="V26" s="103">
        <f>'02_Модель'!V28</f>
        <v/>
      </c>
      <c r="W26" s="103">
        <f>'02_Модель'!W28</f>
        <v/>
      </c>
      <c r="X26" s="103">
        <f>'02_Модель'!X28</f>
        <v/>
      </c>
      <c r="Y26" s="103">
        <f>'02_Модель'!Y28</f>
        <v/>
      </c>
      <c r="Z26" s="103">
        <f>'02_Модель'!Z28</f>
        <v/>
      </c>
      <c r="AA26" s="103">
        <f>'02_Модель'!AA28</f>
        <v/>
      </c>
      <c r="AB26" s="103">
        <f>'02_Модель'!AB28</f>
        <v/>
      </c>
      <c r="AC26" s="103">
        <f>'02_Модель'!AC28</f>
        <v/>
      </c>
      <c r="AD26" s="103">
        <f>'02_Модель'!AD28</f>
        <v/>
      </c>
      <c r="AE26" s="103">
        <f>'02_Модель'!AE28</f>
        <v/>
      </c>
      <c r="AF26" s="103">
        <f>'02_Модель'!AF28</f>
        <v/>
      </c>
      <c r="AG26" s="103">
        <f>'02_Модель'!AG28</f>
        <v/>
      </c>
      <c r="AH26" s="103">
        <f>'02_Модель'!AH28</f>
        <v/>
      </c>
      <c r="AI26" s="103">
        <f>'02_Модель'!AI28</f>
        <v/>
      </c>
      <c r="AJ26" s="103">
        <f>'02_Модель'!AJ28</f>
        <v/>
      </c>
      <c r="AK26" s="103">
        <f>'02_Модель'!AK28</f>
        <v/>
      </c>
      <c r="AL26" s="103">
        <f>'02_Модель'!AL28</f>
        <v/>
      </c>
      <c r="AM26" s="103">
        <f>'02_Модель'!AM28</f>
        <v/>
      </c>
      <c r="AN26" s="103">
        <f>'02_Модель'!AN28</f>
        <v/>
      </c>
      <c r="AO26" s="103">
        <f>'02_Модель'!AO28</f>
        <v/>
      </c>
      <c r="AP26" s="103">
        <f>'02_Модель'!AP28</f>
        <v/>
      </c>
      <c r="AQ26" s="103">
        <f>'02_Модель'!AQ28</f>
        <v/>
      </c>
      <c r="AR26" s="103">
        <f>'02_Модель'!AR28</f>
        <v/>
      </c>
      <c r="AS26" s="103">
        <f>'02_Модель'!AS28</f>
        <v/>
      </c>
      <c r="AT26" s="103">
        <f>'02_Модель'!AT28</f>
        <v/>
      </c>
      <c r="AU26" s="103">
        <f>'02_Модель'!AU28</f>
        <v/>
      </c>
      <c r="AV26" s="103">
        <f>'02_Модель'!AV28</f>
        <v/>
      </c>
      <c r="AW26" s="103">
        <f>'02_Модель'!AW28</f>
        <v/>
      </c>
      <c r="AX26" s="103">
        <f>'02_Модель'!AX28</f>
        <v/>
      </c>
      <c r="AY26" s="103">
        <f>'02_Модель'!AY28</f>
        <v/>
      </c>
      <c r="AZ26" s="103">
        <f>'02_Модель'!AZ28</f>
        <v/>
      </c>
      <c r="BA26" s="103">
        <f>'02_Модель'!BA28</f>
        <v/>
      </c>
      <c r="BB26" s="103">
        <f>'02_Модель'!BB28</f>
        <v/>
      </c>
      <c r="BC26" s="103">
        <f>'02_Модель'!BC28</f>
        <v/>
      </c>
      <c r="BD26" s="103">
        <f>'02_Модель'!BD28</f>
        <v/>
      </c>
      <c r="BE26" s="103">
        <f>'02_Модель'!BE28</f>
        <v/>
      </c>
      <c r="BF26" s="103">
        <f>'02_Модель'!BF28</f>
        <v/>
      </c>
      <c r="BG26" s="103">
        <f>'02_Модель'!BG28</f>
        <v/>
      </c>
      <c r="BH26" s="103">
        <f>'02_Модель'!BH28</f>
        <v/>
      </c>
      <c r="BI26" s="121">
        <f>'02_Модель'!BI28</f>
        <v/>
      </c>
    </row>
    <row r="27" ht="26" customHeight="1">
      <c r="A27" s="104" t="inlineStr">
        <is>
          <t>Начислено: итого</t>
        </is>
      </c>
      <c r="B27" s="117">
        <f>SUM(B24:B26)</f>
        <v/>
      </c>
      <c r="C27" s="117">
        <f>SUM(C24:C26)</f>
        <v/>
      </c>
      <c r="D27" s="117">
        <f>SUM(D24:D26)</f>
        <v/>
      </c>
      <c r="E27" s="117">
        <f>SUM(E24:E26)</f>
        <v/>
      </c>
      <c r="F27" s="117">
        <f>SUM(F24:F26)</f>
        <v/>
      </c>
      <c r="G27" s="117">
        <f>SUM(G24:G26)</f>
        <v/>
      </c>
      <c r="H27" s="117">
        <f>SUM(H24:H26)</f>
        <v/>
      </c>
      <c r="I27" s="117">
        <f>SUM(I24:I26)</f>
        <v/>
      </c>
      <c r="J27" s="117">
        <f>SUM(J24:J26)</f>
        <v/>
      </c>
      <c r="K27" s="117">
        <f>SUM(K24:K26)</f>
        <v/>
      </c>
      <c r="L27" s="117">
        <f>SUM(L24:L26)</f>
        <v/>
      </c>
      <c r="M27" s="117">
        <f>SUM(M24:M26)</f>
        <v/>
      </c>
      <c r="N27" s="117">
        <f>SUM(N24:N26)</f>
        <v/>
      </c>
      <c r="O27" s="117">
        <f>SUM(O24:O26)</f>
        <v/>
      </c>
      <c r="P27" s="117">
        <f>SUM(P24:P26)</f>
        <v/>
      </c>
      <c r="Q27" s="117">
        <f>SUM(Q24:Q26)</f>
        <v/>
      </c>
      <c r="R27" s="117">
        <f>SUM(R24:R26)</f>
        <v/>
      </c>
      <c r="S27" s="117">
        <f>SUM(S24:S26)</f>
        <v/>
      </c>
      <c r="T27" s="117">
        <f>SUM(T24:T26)</f>
        <v/>
      </c>
      <c r="U27" s="117">
        <f>SUM(U24:U26)</f>
        <v/>
      </c>
      <c r="V27" s="117">
        <f>SUM(V24:V26)</f>
        <v/>
      </c>
      <c r="W27" s="117">
        <f>SUM(W24:W26)</f>
        <v/>
      </c>
      <c r="X27" s="117">
        <f>SUM(X24:X26)</f>
        <v/>
      </c>
      <c r="Y27" s="117">
        <f>SUM(Y24:Y26)</f>
        <v/>
      </c>
      <c r="Z27" s="117">
        <f>SUM(Z24:Z26)</f>
        <v/>
      </c>
      <c r="AA27" s="117">
        <f>SUM(AA24:AA26)</f>
        <v/>
      </c>
      <c r="AB27" s="117">
        <f>SUM(AB24:AB26)</f>
        <v/>
      </c>
      <c r="AC27" s="117">
        <f>SUM(AC24:AC26)</f>
        <v/>
      </c>
      <c r="AD27" s="117">
        <f>SUM(AD24:AD26)</f>
        <v/>
      </c>
      <c r="AE27" s="117">
        <f>SUM(AE24:AE26)</f>
        <v/>
      </c>
      <c r="AF27" s="117">
        <f>SUM(AF24:AF26)</f>
        <v/>
      </c>
      <c r="AG27" s="117">
        <f>SUM(AG24:AG26)</f>
        <v/>
      </c>
      <c r="AH27" s="117">
        <f>SUM(AH24:AH26)</f>
        <v/>
      </c>
      <c r="AI27" s="117">
        <f>SUM(AI24:AI26)</f>
        <v/>
      </c>
      <c r="AJ27" s="117">
        <f>SUM(AJ24:AJ26)</f>
        <v/>
      </c>
      <c r="AK27" s="117">
        <f>SUM(AK24:AK26)</f>
        <v/>
      </c>
      <c r="AL27" s="117">
        <f>SUM(AL24:AL26)</f>
        <v/>
      </c>
      <c r="AM27" s="117">
        <f>SUM(AM24:AM26)</f>
        <v/>
      </c>
      <c r="AN27" s="117">
        <f>SUM(AN24:AN26)</f>
        <v/>
      </c>
      <c r="AO27" s="117">
        <f>SUM(AO24:AO26)</f>
        <v/>
      </c>
      <c r="AP27" s="117">
        <f>SUM(AP24:AP26)</f>
        <v/>
      </c>
      <c r="AQ27" s="117">
        <f>SUM(AQ24:AQ26)</f>
        <v/>
      </c>
      <c r="AR27" s="117">
        <f>SUM(AR24:AR26)</f>
        <v/>
      </c>
      <c r="AS27" s="117">
        <f>SUM(AS24:AS26)</f>
        <v/>
      </c>
      <c r="AT27" s="117">
        <f>SUM(AT24:AT26)</f>
        <v/>
      </c>
      <c r="AU27" s="117">
        <f>SUM(AU24:AU26)</f>
        <v/>
      </c>
      <c r="AV27" s="117">
        <f>SUM(AV24:AV26)</f>
        <v/>
      </c>
      <c r="AW27" s="117">
        <f>SUM(AW24:AW26)</f>
        <v/>
      </c>
      <c r="AX27" s="117">
        <f>SUM(AX24:AX26)</f>
        <v/>
      </c>
      <c r="AY27" s="117">
        <f>SUM(AY24:AY26)</f>
        <v/>
      </c>
      <c r="AZ27" s="117">
        <f>SUM(AZ24:AZ26)</f>
        <v/>
      </c>
      <c r="BA27" s="117">
        <f>SUM(BA24:BA26)</f>
        <v/>
      </c>
      <c r="BB27" s="117">
        <f>SUM(BB24:BB26)</f>
        <v/>
      </c>
      <c r="BC27" s="117">
        <f>SUM(BC24:BC26)</f>
        <v/>
      </c>
      <c r="BD27" s="117">
        <f>SUM(BD24:BD26)</f>
        <v/>
      </c>
      <c r="BE27" s="117">
        <f>SUM(BE24:BE26)</f>
        <v/>
      </c>
      <c r="BF27" s="117">
        <f>SUM(BF24:BF26)</f>
        <v/>
      </c>
      <c r="BG27" s="117">
        <f>SUM(BG24:BG26)</f>
        <v/>
      </c>
      <c r="BH27" s="117">
        <f>SUM(BH24:BH26)</f>
        <v/>
      </c>
      <c r="BI27" s="122">
        <f>SUM(BI24:BI26)</f>
        <v/>
      </c>
    </row>
    <row r="28" ht="26" customHeight="1">
      <c r="A28" s="104" t="n"/>
      <c r="B28" s="115" t="n"/>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04" t="n"/>
    </row>
    <row r="29" ht="26" customHeight="1">
      <c r="A29" s="104" t="inlineStr">
        <is>
          <t>Оплата: паушальные</t>
        </is>
      </c>
      <c r="B29" s="103">
        <f>'02_Модель'!B29</f>
        <v/>
      </c>
      <c r="C29" s="103">
        <f>'02_Модель'!C29</f>
        <v/>
      </c>
      <c r="D29" s="103">
        <f>'02_Модель'!D29</f>
        <v/>
      </c>
      <c r="E29" s="103">
        <f>'02_Модель'!E29</f>
        <v/>
      </c>
      <c r="F29" s="103">
        <f>'02_Модель'!F29</f>
        <v/>
      </c>
      <c r="G29" s="103">
        <f>'02_Модель'!G29</f>
        <v/>
      </c>
      <c r="H29" s="103">
        <f>'02_Модель'!H29</f>
        <v/>
      </c>
      <c r="I29" s="103">
        <f>'02_Модель'!I29</f>
        <v/>
      </c>
      <c r="J29" s="103">
        <f>'02_Модель'!J29</f>
        <v/>
      </c>
      <c r="K29" s="103">
        <f>'02_Модель'!K29</f>
        <v/>
      </c>
      <c r="L29" s="103">
        <f>'02_Модель'!L29</f>
        <v/>
      </c>
      <c r="M29" s="103">
        <f>'02_Модель'!M29</f>
        <v/>
      </c>
      <c r="N29" s="103">
        <f>'02_Модель'!N29</f>
        <v/>
      </c>
      <c r="O29" s="103">
        <f>'02_Модель'!O29</f>
        <v/>
      </c>
      <c r="P29" s="103">
        <f>'02_Модель'!P29</f>
        <v/>
      </c>
      <c r="Q29" s="103">
        <f>'02_Модель'!Q29</f>
        <v/>
      </c>
      <c r="R29" s="103">
        <f>'02_Модель'!R29</f>
        <v/>
      </c>
      <c r="S29" s="103">
        <f>'02_Модель'!S29</f>
        <v/>
      </c>
      <c r="T29" s="103">
        <f>'02_Модель'!T29</f>
        <v/>
      </c>
      <c r="U29" s="103">
        <f>'02_Модель'!U29</f>
        <v/>
      </c>
      <c r="V29" s="103">
        <f>'02_Модель'!V29</f>
        <v/>
      </c>
      <c r="W29" s="103">
        <f>'02_Модель'!W29</f>
        <v/>
      </c>
      <c r="X29" s="103">
        <f>'02_Модель'!X29</f>
        <v/>
      </c>
      <c r="Y29" s="103">
        <f>'02_Модель'!Y29</f>
        <v/>
      </c>
      <c r="Z29" s="103">
        <f>'02_Модель'!Z29</f>
        <v/>
      </c>
      <c r="AA29" s="103">
        <f>'02_Модель'!AA29</f>
        <v/>
      </c>
      <c r="AB29" s="103">
        <f>'02_Модель'!AB29</f>
        <v/>
      </c>
      <c r="AC29" s="103">
        <f>'02_Модель'!AC29</f>
        <v/>
      </c>
      <c r="AD29" s="103">
        <f>'02_Модель'!AD29</f>
        <v/>
      </c>
      <c r="AE29" s="103">
        <f>'02_Модель'!AE29</f>
        <v/>
      </c>
      <c r="AF29" s="103">
        <f>'02_Модель'!AF29</f>
        <v/>
      </c>
      <c r="AG29" s="103">
        <f>'02_Модель'!AG29</f>
        <v/>
      </c>
      <c r="AH29" s="103">
        <f>'02_Модель'!AH29</f>
        <v/>
      </c>
      <c r="AI29" s="103">
        <f>'02_Модель'!AI29</f>
        <v/>
      </c>
      <c r="AJ29" s="103">
        <f>'02_Модель'!AJ29</f>
        <v/>
      </c>
      <c r="AK29" s="103">
        <f>'02_Модель'!AK29</f>
        <v/>
      </c>
      <c r="AL29" s="103">
        <f>'02_Модель'!AL29</f>
        <v/>
      </c>
      <c r="AM29" s="103">
        <f>'02_Модель'!AM29</f>
        <v/>
      </c>
      <c r="AN29" s="103">
        <f>'02_Модель'!AN29</f>
        <v/>
      </c>
      <c r="AO29" s="103">
        <f>'02_Модель'!AO29</f>
        <v/>
      </c>
      <c r="AP29" s="103">
        <f>'02_Модель'!AP29</f>
        <v/>
      </c>
      <c r="AQ29" s="103">
        <f>'02_Модель'!AQ29</f>
        <v/>
      </c>
      <c r="AR29" s="103">
        <f>'02_Модель'!AR29</f>
        <v/>
      </c>
      <c r="AS29" s="103">
        <f>'02_Модель'!AS29</f>
        <v/>
      </c>
      <c r="AT29" s="103">
        <f>'02_Модель'!AT29</f>
        <v/>
      </c>
      <c r="AU29" s="103">
        <f>'02_Модель'!AU29</f>
        <v/>
      </c>
      <c r="AV29" s="103">
        <f>'02_Модель'!AV29</f>
        <v/>
      </c>
      <c r="AW29" s="103">
        <f>'02_Модель'!AW29</f>
        <v/>
      </c>
      <c r="AX29" s="103">
        <f>'02_Модель'!AX29</f>
        <v/>
      </c>
      <c r="AY29" s="103">
        <f>'02_Модель'!AY29</f>
        <v/>
      </c>
      <c r="AZ29" s="103">
        <f>'02_Модель'!AZ29</f>
        <v/>
      </c>
      <c r="BA29" s="103">
        <f>'02_Модель'!BA29</f>
        <v/>
      </c>
      <c r="BB29" s="103">
        <f>'02_Модель'!BB29</f>
        <v/>
      </c>
      <c r="BC29" s="103">
        <f>'02_Модель'!BC29</f>
        <v/>
      </c>
      <c r="BD29" s="103">
        <f>'02_Модель'!BD29</f>
        <v/>
      </c>
      <c r="BE29" s="103">
        <f>'02_Модель'!BE29</f>
        <v/>
      </c>
      <c r="BF29" s="103">
        <f>'02_Модель'!BF29</f>
        <v/>
      </c>
      <c r="BG29" s="103">
        <f>'02_Модель'!BG29</f>
        <v/>
      </c>
      <c r="BH29" s="103">
        <f>'02_Модель'!BH29</f>
        <v/>
      </c>
      <c r="BI29" s="121">
        <f>'02_Модель'!BI29</f>
        <v/>
      </c>
    </row>
    <row r="30" ht="26" customHeight="1">
      <c r="A30" s="104" t="inlineStr">
        <is>
          <t>Оплата: роялти</t>
        </is>
      </c>
      <c r="B30" s="103">
        <f>'02_Модель'!B53/(1+'01_Вводные'!$B$58)*'01_Вводные'!$B$60</f>
        <v/>
      </c>
      <c r="C30" s="103">
        <f>'02_Модель'!C53/(1+'01_Вводные'!$B$58)*'01_Вводные'!$B$60</f>
        <v/>
      </c>
      <c r="D30" s="103">
        <f>'02_Модель'!D53/(1+'01_Вводные'!$B$58)*'01_Вводные'!$B$60</f>
        <v/>
      </c>
      <c r="E30" s="103">
        <f>'02_Модель'!E53/(1+'01_Вводные'!$B$58)*'01_Вводные'!$B$60</f>
        <v/>
      </c>
      <c r="F30" s="103">
        <f>'02_Модель'!F53/(1+'01_Вводные'!$B$58)*'01_Вводные'!$B$60</f>
        <v/>
      </c>
      <c r="G30" s="103">
        <f>'02_Модель'!G53/(1+'01_Вводные'!$B$58)*'01_Вводные'!$B$60</f>
        <v/>
      </c>
      <c r="H30" s="103">
        <f>'02_Модель'!H53/(1+'01_Вводные'!$B$58)*'01_Вводные'!$B$60</f>
        <v/>
      </c>
      <c r="I30" s="103">
        <f>'02_Модель'!I53/(1+'01_Вводные'!$B$58)*'01_Вводные'!$B$60</f>
        <v/>
      </c>
      <c r="J30" s="103">
        <f>'02_Модель'!J53/(1+'01_Вводные'!$B$58)*'01_Вводные'!$B$60</f>
        <v/>
      </c>
      <c r="K30" s="103">
        <f>'02_Модель'!K53/(1+'01_Вводные'!$B$58)*'01_Вводные'!$B$60</f>
        <v/>
      </c>
      <c r="L30" s="103">
        <f>'02_Модель'!L53/(1+'01_Вводные'!$B$58)*'01_Вводные'!$B$60</f>
        <v/>
      </c>
      <c r="M30" s="103">
        <f>'02_Модель'!M53/(1+'01_Вводные'!$B$58)*'01_Вводные'!$B$60</f>
        <v/>
      </c>
      <c r="N30" s="103">
        <f>'02_Модель'!N53/(1+'01_Вводные'!$B$58)*'01_Вводные'!$B$60</f>
        <v/>
      </c>
      <c r="O30" s="103">
        <f>'02_Модель'!O53/(1+'01_Вводные'!$B$58)*'01_Вводные'!$B$60</f>
        <v/>
      </c>
      <c r="P30" s="103">
        <f>'02_Модель'!P53/(1+'01_Вводные'!$B$58)*'01_Вводные'!$B$60</f>
        <v/>
      </c>
      <c r="Q30" s="103">
        <f>'02_Модель'!Q53/(1+'01_Вводные'!$B$58)*'01_Вводные'!$B$60</f>
        <v/>
      </c>
      <c r="R30" s="103">
        <f>'02_Модель'!R53/(1+'01_Вводные'!$B$58)*'01_Вводные'!$B$60</f>
        <v/>
      </c>
      <c r="S30" s="103">
        <f>'02_Модель'!S53/(1+'01_Вводные'!$B$58)*'01_Вводные'!$B$60</f>
        <v/>
      </c>
      <c r="T30" s="103">
        <f>'02_Модель'!T53/(1+'01_Вводные'!$B$58)*'01_Вводные'!$B$60</f>
        <v/>
      </c>
      <c r="U30" s="103">
        <f>'02_Модель'!U53/(1+'01_Вводные'!$B$58)*'01_Вводные'!$B$60</f>
        <v/>
      </c>
      <c r="V30" s="103">
        <f>'02_Модель'!V53/(1+'01_Вводные'!$B$58)*'01_Вводные'!$B$60</f>
        <v/>
      </c>
      <c r="W30" s="103">
        <f>'02_Модель'!W53/(1+'01_Вводные'!$B$58)*'01_Вводные'!$B$60</f>
        <v/>
      </c>
      <c r="X30" s="103">
        <f>'02_Модель'!X53/(1+'01_Вводные'!$B$58)*'01_Вводные'!$B$60</f>
        <v/>
      </c>
      <c r="Y30" s="103">
        <f>'02_Модель'!Y53/(1+'01_Вводные'!$B$58)*'01_Вводные'!$B$60</f>
        <v/>
      </c>
      <c r="Z30" s="103">
        <f>'02_Модель'!Z53/(1+'01_Вводные'!$B$58)*'01_Вводные'!$B$60</f>
        <v/>
      </c>
      <c r="AA30" s="103">
        <f>'02_Модель'!AA53/(1+'01_Вводные'!$B$58)*'01_Вводные'!$B$60</f>
        <v/>
      </c>
      <c r="AB30" s="103">
        <f>'02_Модель'!AB53/(1+'01_Вводные'!$B$58)*'01_Вводные'!$B$60</f>
        <v/>
      </c>
      <c r="AC30" s="103">
        <f>'02_Модель'!AC53/(1+'01_Вводные'!$B$58)*'01_Вводные'!$B$60</f>
        <v/>
      </c>
      <c r="AD30" s="103">
        <f>'02_Модель'!AD53/(1+'01_Вводные'!$B$58)*'01_Вводные'!$B$60</f>
        <v/>
      </c>
      <c r="AE30" s="103">
        <f>'02_Модель'!AE53/(1+'01_Вводные'!$B$58)*'01_Вводные'!$B$60</f>
        <v/>
      </c>
      <c r="AF30" s="103">
        <f>'02_Модель'!AF53/(1+'01_Вводные'!$B$58)*'01_Вводные'!$B$60</f>
        <v/>
      </c>
      <c r="AG30" s="103">
        <f>'02_Модель'!AG53/(1+'01_Вводные'!$B$58)*'01_Вводные'!$B$60</f>
        <v/>
      </c>
      <c r="AH30" s="103">
        <f>'02_Модель'!AH53/(1+'01_Вводные'!$B$58)*'01_Вводные'!$B$60</f>
        <v/>
      </c>
      <c r="AI30" s="103">
        <f>'02_Модель'!AI53/(1+'01_Вводные'!$B$58)*'01_Вводные'!$B$60</f>
        <v/>
      </c>
      <c r="AJ30" s="103">
        <f>'02_Модель'!AJ53/(1+'01_Вводные'!$B$58)*'01_Вводные'!$B$60</f>
        <v/>
      </c>
      <c r="AK30" s="103">
        <f>'02_Модель'!AK53/(1+'01_Вводные'!$B$58)*'01_Вводные'!$B$60</f>
        <v/>
      </c>
      <c r="AL30" s="103">
        <f>'02_Модель'!AL53/(1+'01_Вводные'!$B$58)*'01_Вводные'!$B$60</f>
        <v/>
      </c>
      <c r="AM30" s="103">
        <f>'02_Модель'!AM53/(1+'01_Вводные'!$B$58)*'01_Вводные'!$B$60</f>
        <v/>
      </c>
      <c r="AN30" s="103">
        <f>'02_Модель'!AN53/(1+'01_Вводные'!$B$58)*'01_Вводные'!$B$60</f>
        <v/>
      </c>
      <c r="AO30" s="103">
        <f>'02_Модель'!AO53/(1+'01_Вводные'!$B$58)*'01_Вводные'!$B$60</f>
        <v/>
      </c>
      <c r="AP30" s="103">
        <f>'02_Модель'!AP53/(1+'01_Вводные'!$B$58)*'01_Вводные'!$B$60</f>
        <v/>
      </c>
      <c r="AQ30" s="103">
        <f>'02_Модель'!AQ53/(1+'01_Вводные'!$B$58)*'01_Вводные'!$B$60</f>
        <v/>
      </c>
      <c r="AR30" s="103">
        <f>'02_Модель'!AR53/(1+'01_Вводные'!$B$58)*'01_Вводные'!$B$60</f>
        <v/>
      </c>
      <c r="AS30" s="103">
        <f>'02_Модель'!AS53/(1+'01_Вводные'!$B$58)*'01_Вводные'!$B$60</f>
        <v/>
      </c>
      <c r="AT30" s="103">
        <f>'02_Модель'!AT53/(1+'01_Вводные'!$B$58)*'01_Вводные'!$B$60</f>
        <v/>
      </c>
      <c r="AU30" s="103">
        <f>'02_Модель'!AU53/(1+'01_Вводные'!$B$58)*'01_Вводные'!$B$60</f>
        <v/>
      </c>
      <c r="AV30" s="103">
        <f>'02_Модель'!AV53/(1+'01_Вводные'!$B$58)*'01_Вводные'!$B$60</f>
        <v/>
      </c>
      <c r="AW30" s="103">
        <f>'02_Модель'!AW53/(1+'01_Вводные'!$B$58)*'01_Вводные'!$B$60</f>
        <v/>
      </c>
      <c r="AX30" s="103">
        <f>'02_Модель'!AX53/(1+'01_Вводные'!$B$58)*'01_Вводные'!$B$60</f>
        <v/>
      </c>
      <c r="AY30" s="103">
        <f>'02_Модель'!AY53/(1+'01_Вводные'!$B$58)*'01_Вводные'!$B$60</f>
        <v/>
      </c>
      <c r="AZ30" s="103">
        <f>'02_Модель'!AZ53/(1+'01_Вводные'!$B$58)*'01_Вводные'!$B$60</f>
        <v/>
      </c>
      <c r="BA30" s="103">
        <f>'02_Модель'!BA53/(1+'01_Вводные'!$B$58)*'01_Вводные'!$B$60</f>
        <v/>
      </c>
      <c r="BB30" s="103">
        <f>'02_Модель'!BB53/(1+'01_Вводные'!$B$58)*'01_Вводные'!$B$60</f>
        <v/>
      </c>
      <c r="BC30" s="103">
        <f>'02_Модель'!BC53/(1+'01_Вводные'!$B$58)*'01_Вводные'!$B$60</f>
        <v/>
      </c>
      <c r="BD30" s="103">
        <f>'02_Модель'!BD53/(1+'01_Вводные'!$B$58)*'01_Вводные'!$B$60</f>
        <v/>
      </c>
      <c r="BE30" s="103">
        <f>'02_Модель'!BE53/(1+'01_Вводные'!$B$58)*'01_Вводные'!$B$60</f>
        <v/>
      </c>
      <c r="BF30" s="103">
        <f>'02_Модель'!BF53/(1+'01_Вводные'!$B$58)*'01_Вводные'!$B$60</f>
        <v/>
      </c>
      <c r="BG30" s="103">
        <f>'02_Модель'!BG53/(1+'01_Вводные'!$B$58)*'01_Вводные'!$B$60</f>
        <v/>
      </c>
      <c r="BH30" s="103">
        <f>'02_Модель'!BH53/(1+'01_Вводные'!$B$58)*'01_Вводные'!$B$60</f>
        <v/>
      </c>
      <c r="BI30" s="121">
        <f>'02_Модель'!BI53/(1+'01_Вводные'!$B$58)*'01_Вводные'!$B$60</f>
        <v/>
      </c>
    </row>
    <row r="31" ht="26" customHeight="1">
      <c r="A31" s="104" t="inlineStr">
        <is>
          <t>Оплата: мерч</t>
        </is>
      </c>
      <c r="B31" s="103">
        <f>'02_Модель'!B28</f>
        <v/>
      </c>
      <c r="C31" s="103">
        <f>'02_Модель'!C28</f>
        <v/>
      </c>
      <c r="D31" s="103">
        <f>'02_Модель'!D28</f>
        <v/>
      </c>
      <c r="E31" s="103">
        <f>'02_Модель'!E28</f>
        <v/>
      </c>
      <c r="F31" s="103">
        <f>'02_Модель'!F28</f>
        <v/>
      </c>
      <c r="G31" s="103">
        <f>'02_Модель'!G28</f>
        <v/>
      </c>
      <c r="H31" s="103">
        <f>'02_Модель'!H28</f>
        <v/>
      </c>
      <c r="I31" s="103">
        <f>'02_Модель'!I28</f>
        <v/>
      </c>
      <c r="J31" s="103">
        <f>'02_Модель'!J28</f>
        <v/>
      </c>
      <c r="K31" s="103">
        <f>'02_Модель'!K28</f>
        <v/>
      </c>
      <c r="L31" s="103">
        <f>'02_Модель'!L28</f>
        <v/>
      </c>
      <c r="M31" s="103">
        <f>'02_Модель'!M28</f>
        <v/>
      </c>
      <c r="N31" s="103">
        <f>'02_Модель'!N28</f>
        <v/>
      </c>
      <c r="O31" s="103">
        <f>'02_Модель'!O28</f>
        <v/>
      </c>
      <c r="P31" s="103">
        <f>'02_Модель'!P28</f>
        <v/>
      </c>
      <c r="Q31" s="103">
        <f>'02_Модель'!Q28</f>
        <v/>
      </c>
      <c r="R31" s="103">
        <f>'02_Модель'!R28</f>
        <v/>
      </c>
      <c r="S31" s="103">
        <f>'02_Модель'!S28</f>
        <v/>
      </c>
      <c r="T31" s="103">
        <f>'02_Модель'!T28</f>
        <v/>
      </c>
      <c r="U31" s="103">
        <f>'02_Модель'!U28</f>
        <v/>
      </c>
      <c r="V31" s="103">
        <f>'02_Модель'!V28</f>
        <v/>
      </c>
      <c r="W31" s="103">
        <f>'02_Модель'!W28</f>
        <v/>
      </c>
      <c r="X31" s="103">
        <f>'02_Модель'!X28</f>
        <v/>
      </c>
      <c r="Y31" s="103">
        <f>'02_Модель'!Y28</f>
        <v/>
      </c>
      <c r="Z31" s="103">
        <f>'02_Модель'!Z28</f>
        <v/>
      </c>
      <c r="AA31" s="103">
        <f>'02_Модель'!AA28</f>
        <v/>
      </c>
      <c r="AB31" s="103">
        <f>'02_Модель'!AB28</f>
        <v/>
      </c>
      <c r="AC31" s="103">
        <f>'02_Модель'!AC28</f>
        <v/>
      </c>
      <c r="AD31" s="103">
        <f>'02_Модель'!AD28</f>
        <v/>
      </c>
      <c r="AE31" s="103">
        <f>'02_Модель'!AE28</f>
        <v/>
      </c>
      <c r="AF31" s="103">
        <f>'02_Модель'!AF28</f>
        <v/>
      </c>
      <c r="AG31" s="103">
        <f>'02_Модель'!AG28</f>
        <v/>
      </c>
      <c r="AH31" s="103">
        <f>'02_Модель'!AH28</f>
        <v/>
      </c>
      <c r="AI31" s="103">
        <f>'02_Модель'!AI28</f>
        <v/>
      </c>
      <c r="AJ31" s="103">
        <f>'02_Модель'!AJ28</f>
        <v/>
      </c>
      <c r="AK31" s="103">
        <f>'02_Модель'!AK28</f>
        <v/>
      </c>
      <c r="AL31" s="103">
        <f>'02_Модель'!AL28</f>
        <v/>
      </c>
      <c r="AM31" s="103">
        <f>'02_Модель'!AM28</f>
        <v/>
      </c>
      <c r="AN31" s="103">
        <f>'02_Модель'!AN28</f>
        <v/>
      </c>
      <c r="AO31" s="103">
        <f>'02_Модель'!AO28</f>
        <v/>
      </c>
      <c r="AP31" s="103">
        <f>'02_Модель'!AP28</f>
        <v/>
      </c>
      <c r="AQ31" s="103">
        <f>'02_Модель'!AQ28</f>
        <v/>
      </c>
      <c r="AR31" s="103">
        <f>'02_Модель'!AR28</f>
        <v/>
      </c>
      <c r="AS31" s="103">
        <f>'02_Модель'!AS28</f>
        <v/>
      </c>
      <c r="AT31" s="103">
        <f>'02_Модель'!AT28</f>
        <v/>
      </c>
      <c r="AU31" s="103">
        <f>'02_Модель'!AU28</f>
        <v/>
      </c>
      <c r="AV31" s="103">
        <f>'02_Модель'!AV28</f>
        <v/>
      </c>
      <c r="AW31" s="103">
        <f>'02_Модель'!AW28</f>
        <v/>
      </c>
      <c r="AX31" s="103">
        <f>'02_Модель'!AX28</f>
        <v/>
      </c>
      <c r="AY31" s="103">
        <f>'02_Модель'!AY28</f>
        <v/>
      </c>
      <c r="AZ31" s="103">
        <f>'02_Модель'!AZ28</f>
        <v/>
      </c>
      <c r="BA31" s="103">
        <f>'02_Модель'!BA28</f>
        <v/>
      </c>
      <c r="BB31" s="103">
        <f>'02_Модель'!BB28</f>
        <v/>
      </c>
      <c r="BC31" s="103">
        <f>'02_Модель'!BC28</f>
        <v/>
      </c>
      <c r="BD31" s="103">
        <f>'02_Модель'!BD28</f>
        <v/>
      </c>
      <c r="BE31" s="103">
        <f>'02_Модель'!BE28</f>
        <v/>
      </c>
      <c r="BF31" s="103">
        <f>'02_Модель'!BF28</f>
        <v/>
      </c>
      <c r="BG31" s="103">
        <f>'02_Модель'!BG28</f>
        <v/>
      </c>
      <c r="BH31" s="103">
        <f>'02_Модель'!BH28</f>
        <v/>
      </c>
      <c r="BI31" s="121">
        <f>'02_Модель'!BI28</f>
        <v/>
      </c>
    </row>
    <row r="32" ht="26" customHeight="1">
      <c r="A32" s="104" t="inlineStr">
        <is>
          <t>Операционные выплаты</t>
        </is>
      </c>
      <c r="B32" s="117">
        <f>SUM(B29:B31)</f>
        <v/>
      </c>
      <c r="C32" s="117">
        <f>SUM(C29:C31)</f>
        <v/>
      </c>
      <c r="D32" s="117">
        <f>SUM(D29:D31)</f>
        <v/>
      </c>
      <c r="E32" s="117">
        <f>SUM(E29:E31)</f>
        <v/>
      </c>
      <c r="F32" s="117">
        <f>SUM(F29:F31)</f>
        <v/>
      </c>
      <c r="G32" s="117">
        <f>SUM(G29:G31)</f>
        <v/>
      </c>
      <c r="H32" s="117">
        <f>SUM(H29:H31)</f>
        <v/>
      </c>
      <c r="I32" s="117">
        <f>SUM(I29:I31)</f>
        <v/>
      </c>
      <c r="J32" s="117">
        <f>SUM(J29:J31)</f>
        <v/>
      </c>
      <c r="K32" s="117">
        <f>SUM(K29:K31)</f>
        <v/>
      </c>
      <c r="L32" s="117">
        <f>SUM(L29:L31)</f>
        <v/>
      </c>
      <c r="M32" s="117">
        <f>SUM(M29:M31)</f>
        <v/>
      </c>
      <c r="N32" s="117">
        <f>SUM(N29:N31)</f>
        <v/>
      </c>
      <c r="O32" s="117">
        <f>SUM(O29:O31)</f>
        <v/>
      </c>
      <c r="P32" s="117">
        <f>SUM(P29:P31)</f>
        <v/>
      </c>
      <c r="Q32" s="117">
        <f>SUM(Q29:Q31)</f>
        <v/>
      </c>
      <c r="R32" s="117">
        <f>SUM(R29:R31)</f>
        <v/>
      </c>
      <c r="S32" s="117">
        <f>SUM(S29:S31)</f>
        <v/>
      </c>
      <c r="T32" s="117">
        <f>SUM(T29:T31)</f>
        <v/>
      </c>
      <c r="U32" s="117">
        <f>SUM(U29:U31)</f>
        <v/>
      </c>
      <c r="V32" s="117">
        <f>SUM(V29:V31)</f>
        <v/>
      </c>
      <c r="W32" s="117">
        <f>SUM(W29:W31)</f>
        <v/>
      </c>
      <c r="X32" s="117">
        <f>SUM(X29:X31)</f>
        <v/>
      </c>
      <c r="Y32" s="117">
        <f>SUM(Y29:Y31)</f>
        <v/>
      </c>
      <c r="Z32" s="117">
        <f>SUM(Z29:Z31)</f>
        <v/>
      </c>
      <c r="AA32" s="117">
        <f>SUM(AA29:AA31)</f>
        <v/>
      </c>
      <c r="AB32" s="117">
        <f>SUM(AB29:AB31)</f>
        <v/>
      </c>
      <c r="AC32" s="117">
        <f>SUM(AC29:AC31)</f>
        <v/>
      </c>
      <c r="AD32" s="117">
        <f>SUM(AD29:AD31)</f>
        <v/>
      </c>
      <c r="AE32" s="117">
        <f>SUM(AE29:AE31)</f>
        <v/>
      </c>
      <c r="AF32" s="117">
        <f>SUM(AF29:AF31)</f>
        <v/>
      </c>
      <c r="AG32" s="117">
        <f>SUM(AG29:AG31)</f>
        <v/>
      </c>
      <c r="AH32" s="117">
        <f>SUM(AH29:AH31)</f>
        <v/>
      </c>
      <c r="AI32" s="117">
        <f>SUM(AI29:AI31)</f>
        <v/>
      </c>
      <c r="AJ32" s="117">
        <f>SUM(AJ29:AJ31)</f>
        <v/>
      </c>
      <c r="AK32" s="117">
        <f>SUM(AK29:AK31)</f>
        <v/>
      </c>
      <c r="AL32" s="117">
        <f>SUM(AL29:AL31)</f>
        <v/>
      </c>
      <c r="AM32" s="117">
        <f>SUM(AM29:AM31)</f>
        <v/>
      </c>
      <c r="AN32" s="117">
        <f>SUM(AN29:AN31)</f>
        <v/>
      </c>
      <c r="AO32" s="117">
        <f>SUM(AO29:AO31)</f>
        <v/>
      </c>
      <c r="AP32" s="117">
        <f>SUM(AP29:AP31)</f>
        <v/>
      </c>
      <c r="AQ32" s="117">
        <f>SUM(AQ29:AQ31)</f>
        <v/>
      </c>
      <c r="AR32" s="117">
        <f>SUM(AR29:AR31)</f>
        <v/>
      </c>
      <c r="AS32" s="117">
        <f>SUM(AS29:AS31)</f>
        <v/>
      </c>
      <c r="AT32" s="117">
        <f>SUM(AT29:AT31)</f>
        <v/>
      </c>
      <c r="AU32" s="117">
        <f>SUM(AU29:AU31)</f>
        <v/>
      </c>
      <c r="AV32" s="117">
        <f>SUM(AV29:AV31)</f>
        <v/>
      </c>
      <c r="AW32" s="117">
        <f>SUM(AW29:AW31)</f>
        <v/>
      </c>
      <c r="AX32" s="117">
        <f>SUM(AX29:AX31)</f>
        <v/>
      </c>
      <c r="AY32" s="117">
        <f>SUM(AY29:AY31)</f>
        <v/>
      </c>
      <c r="AZ32" s="117">
        <f>SUM(AZ29:AZ31)</f>
        <v/>
      </c>
      <c r="BA32" s="117">
        <f>SUM(BA29:BA31)</f>
        <v/>
      </c>
      <c r="BB32" s="117">
        <f>SUM(BB29:BB31)</f>
        <v/>
      </c>
      <c r="BC32" s="117">
        <f>SUM(BC29:BC31)</f>
        <v/>
      </c>
      <c r="BD32" s="117">
        <f>SUM(BD29:BD31)</f>
        <v/>
      </c>
      <c r="BE32" s="117">
        <f>SUM(BE29:BE31)</f>
        <v/>
      </c>
      <c r="BF32" s="117">
        <f>SUM(BF29:BF31)</f>
        <v/>
      </c>
      <c r="BG32" s="117">
        <f>SUM(BG29:BG31)</f>
        <v/>
      </c>
      <c r="BH32" s="117">
        <f>SUM(BH29:BH31)</f>
        <v/>
      </c>
      <c r="BI32" s="122">
        <f>SUM(BI29:BI31)</f>
        <v/>
      </c>
    </row>
    <row r="33" ht="26" customHeight="1">
      <c r="A33" s="104" t="inlineStr">
        <is>
          <t>Возврат тела займа</t>
        </is>
      </c>
      <c r="B33" s="103">
        <f>'02_Модель'!B70</f>
        <v/>
      </c>
      <c r="C33" s="103">
        <f>'02_Модель'!C70</f>
        <v/>
      </c>
      <c r="D33" s="103">
        <f>'02_Модель'!D70</f>
        <v/>
      </c>
      <c r="E33" s="103">
        <f>'02_Модель'!E70</f>
        <v/>
      </c>
      <c r="F33" s="103">
        <f>'02_Модель'!F70</f>
        <v/>
      </c>
      <c r="G33" s="103">
        <f>'02_Модель'!G70</f>
        <v/>
      </c>
      <c r="H33" s="103">
        <f>'02_Модель'!H70</f>
        <v/>
      </c>
      <c r="I33" s="103">
        <f>'02_Модель'!I70</f>
        <v/>
      </c>
      <c r="J33" s="103">
        <f>'02_Модель'!J70</f>
        <v/>
      </c>
      <c r="K33" s="103">
        <f>'02_Модель'!K70</f>
        <v/>
      </c>
      <c r="L33" s="103">
        <f>'02_Модель'!L70</f>
        <v/>
      </c>
      <c r="M33" s="103">
        <f>'02_Модель'!M70</f>
        <v/>
      </c>
      <c r="N33" s="103">
        <f>'02_Модель'!N70</f>
        <v/>
      </c>
      <c r="O33" s="103">
        <f>'02_Модель'!O70</f>
        <v/>
      </c>
      <c r="P33" s="103">
        <f>'02_Модель'!P70</f>
        <v/>
      </c>
      <c r="Q33" s="103">
        <f>'02_Модель'!Q70</f>
        <v/>
      </c>
      <c r="R33" s="103">
        <f>'02_Модель'!R70</f>
        <v/>
      </c>
      <c r="S33" s="103">
        <f>'02_Модель'!S70</f>
        <v/>
      </c>
      <c r="T33" s="103">
        <f>'02_Модель'!T70</f>
        <v/>
      </c>
      <c r="U33" s="103">
        <f>'02_Модель'!U70</f>
        <v/>
      </c>
      <c r="V33" s="103">
        <f>'02_Модель'!V70</f>
        <v/>
      </c>
      <c r="W33" s="103">
        <f>'02_Модель'!W70</f>
        <v/>
      </c>
      <c r="X33" s="103">
        <f>'02_Модель'!X70</f>
        <v/>
      </c>
      <c r="Y33" s="103">
        <f>'02_Модель'!Y70</f>
        <v/>
      </c>
      <c r="Z33" s="103">
        <f>'02_Модель'!Z70</f>
        <v/>
      </c>
      <c r="AA33" s="103">
        <f>'02_Модель'!AA70</f>
        <v/>
      </c>
      <c r="AB33" s="103">
        <f>'02_Модель'!AB70</f>
        <v/>
      </c>
      <c r="AC33" s="103">
        <f>'02_Модель'!AC70</f>
        <v/>
      </c>
      <c r="AD33" s="103">
        <f>'02_Модель'!AD70</f>
        <v/>
      </c>
      <c r="AE33" s="103">
        <f>'02_Модель'!AE70</f>
        <v/>
      </c>
      <c r="AF33" s="103">
        <f>'02_Модель'!AF70</f>
        <v/>
      </c>
      <c r="AG33" s="103">
        <f>'02_Модель'!AG70</f>
        <v/>
      </c>
      <c r="AH33" s="103">
        <f>'02_Модель'!AH70</f>
        <v/>
      </c>
      <c r="AI33" s="103">
        <f>'02_Модель'!AI70</f>
        <v/>
      </c>
      <c r="AJ33" s="103">
        <f>'02_Модель'!AJ70</f>
        <v/>
      </c>
      <c r="AK33" s="103">
        <f>'02_Модель'!AK70</f>
        <v/>
      </c>
      <c r="AL33" s="103">
        <f>'02_Модель'!AL70</f>
        <v/>
      </c>
      <c r="AM33" s="103">
        <f>'02_Модель'!AM70</f>
        <v/>
      </c>
      <c r="AN33" s="103">
        <f>'02_Модель'!AN70</f>
        <v/>
      </c>
      <c r="AO33" s="103">
        <f>'02_Модель'!AO70</f>
        <v/>
      </c>
      <c r="AP33" s="103">
        <f>'02_Модель'!AP70</f>
        <v/>
      </c>
      <c r="AQ33" s="103">
        <f>'02_Модель'!AQ70</f>
        <v/>
      </c>
      <c r="AR33" s="103">
        <f>'02_Модель'!AR70</f>
        <v/>
      </c>
      <c r="AS33" s="103">
        <f>'02_Модель'!AS70</f>
        <v/>
      </c>
      <c r="AT33" s="103">
        <f>'02_Модель'!AT70</f>
        <v/>
      </c>
      <c r="AU33" s="103">
        <f>'02_Модель'!AU70</f>
        <v/>
      </c>
      <c r="AV33" s="103">
        <f>'02_Модель'!AV70</f>
        <v/>
      </c>
      <c r="AW33" s="103">
        <f>'02_Модель'!AW70</f>
        <v/>
      </c>
      <c r="AX33" s="103">
        <f>'02_Модель'!AX70</f>
        <v/>
      </c>
      <c r="AY33" s="103">
        <f>'02_Модель'!AY70</f>
        <v/>
      </c>
      <c r="AZ33" s="103">
        <f>'02_Модель'!AZ70</f>
        <v/>
      </c>
      <c r="BA33" s="103">
        <f>'02_Модель'!BA70</f>
        <v/>
      </c>
      <c r="BB33" s="103">
        <f>'02_Модель'!BB70</f>
        <v/>
      </c>
      <c r="BC33" s="103">
        <f>'02_Модель'!BC70</f>
        <v/>
      </c>
      <c r="BD33" s="103">
        <f>'02_Модель'!BD70</f>
        <v/>
      </c>
      <c r="BE33" s="103">
        <f>'02_Модель'!BE70</f>
        <v/>
      </c>
      <c r="BF33" s="103">
        <f>'02_Модель'!BF70</f>
        <v/>
      </c>
      <c r="BG33" s="103">
        <f>'02_Модель'!BG70</f>
        <v/>
      </c>
      <c r="BH33" s="103">
        <f>'02_Модель'!BH70</f>
        <v/>
      </c>
      <c r="BI33" s="121">
        <f>'02_Модель'!BI70</f>
        <v/>
      </c>
    </row>
    <row r="34" ht="26" customHeight="1">
      <c r="A34" s="104" t="inlineStr">
        <is>
          <t>Все перечисления</t>
        </is>
      </c>
      <c r="B34" s="117">
        <f>B32+B33</f>
        <v/>
      </c>
      <c r="C34" s="117">
        <f>C32+C33</f>
        <v/>
      </c>
      <c r="D34" s="117">
        <f>D32+D33</f>
        <v/>
      </c>
      <c r="E34" s="117">
        <f>E32+E33</f>
        <v/>
      </c>
      <c r="F34" s="117">
        <f>F32+F33</f>
        <v/>
      </c>
      <c r="G34" s="117">
        <f>G32+G33</f>
        <v/>
      </c>
      <c r="H34" s="117">
        <f>H32+H33</f>
        <v/>
      </c>
      <c r="I34" s="117">
        <f>I32+I33</f>
        <v/>
      </c>
      <c r="J34" s="117">
        <f>J32+J33</f>
        <v/>
      </c>
      <c r="K34" s="117">
        <f>K32+K33</f>
        <v/>
      </c>
      <c r="L34" s="117">
        <f>L32+L33</f>
        <v/>
      </c>
      <c r="M34" s="117">
        <f>M32+M33</f>
        <v/>
      </c>
      <c r="N34" s="117">
        <f>N32+N33</f>
        <v/>
      </c>
      <c r="O34" s="117">
        <f>O32+O33</f>
        <v/>
      </c>
      <c r="P34" s="117">
        <f>P32+P33</f>
        <v/>
      </c>
      <c r="Q34" s="117">
        <f>Q32+Q33</f>
        <v/>
      </c>
      <c r="R34" s="117">
        <f>R32+R33</f>
        <v/>
      </c>
      <c r="S34" s="117">
        <f>S32+S33</f>
        <v/>
      </c>
      <c r="T34" s="117">
        <f>T32+T33</f>
        <v/>
      </c>
      <c r="U34" s="117">
        <f>U32+U33</f>
        <v/>
      </c>
      <c r="V34" s="117">
        <f>V32+V33</f>
        <v/>
      </c>
      <c r="W34" s="117">
        <f>W32+W33</f>
        <v/>
      </c>
      <c r="X34" s="117">
        <f>X32+X33</f>
        <v/>
      </c>
      <c r="Y34" s="117">
        <f>Y32+Y33</f>
        <v/>
      </c>
      <c r="Z34" s="117">
        <f>Z32+Z33</f>
        <v/>
      </c>
      <c r="AA34" s="117">
        <f>AA32+AA33</f>
        <v/>
      </c>
      <c r="AB34" s="117">
        <f>AB32+AB33</f>
        <v/>
      </c>
      <c r="AC34" s="117">
        <f>AC32+AC33</f>
        <v/>
      </c>
      <c r="AD34" s="117">
        <f>AD32+AD33</f>
        <v/>
      </c>
      <c r="AE34" s="117">
        <f>AE32+AE33</f>
        <v/>
      </c>
      <c r="AF34" s="117">
        <f>AF32+AF33</f>
        <v/>
      </c>
      <c r="AG34" s="117">
        <f>AG32+AG33</f>
        <v/>
      </c>
      <c r="AH34" s="117">
        <f>AH32+AH33</f>
        <v/>
      </c>
      <c r="AI34" s="117">
        <f>AI32+AI33</f>
        <v/>
      </c>
      <c r="AJ34" s="117">
        <f>AJ32+AJ33</f>
        <v/>
      </c>
      <c r="AK34" s="117">
        <f>AK32+AK33</f>
        <v/>
      </c>
      <c r="AL34" s="117">
        <f>AL32+AL33</f>
        <v/>
      </c>
      <c r="AM34" s="117">
        <f>AM32+AM33</f>
        <v/>
      </c>
      <c r="AN34" s="117">
        <f>AN32+AN33</f>
        <v/>
      </c>
      <c r="AO34" s="117">
        <f>AO32+AO33</f>
        <v/>
      </c>
      <c r="AP34" s="117">
        <f>AP32+AP33</f>
        <v/>
      </c>
      <c r="AQ34" s="117">
        <f>AQ32+AQ33</f>
        <v/>
      </c>
      <c r="AR34" s="117">
        <f>AR32+AR33</f>
        <v/>
      </c>
      <c r="AS34" s="117">
        <f>AS32+AS33</f>
        <v/>
      </c>
      <c r="AT34" s="117">
        <f>AT32+AT33</f>
        <v/>
      </c>
      <c r="AU34" s="117">
        <f>AU32+AU33</f>
        <v/>
      </c>
      <c r="AV34" s="117">
        <f>AV32+AV33</f>
        <v/>
      </c>
      <c r="AW34" s="117">
        <f>AW32+AW33</f>
        <v/>
      </c>
      <c r="AX34" s="117">
        <f>AX32+AX33</f>
        <v/>
      </c>
      <c r="AY34" s="117">
        <f>AY32+AY33</f>
        <v/>
      </c>
      <c r="AZ34" s="117">
        <f>AZ32+AZ33</f>
        <v/>
      </c>
      <c r="BA34" s="117">
        <f>BA32+BA33</f>
        <v/>
      </c>
      <c r="BB34" s="117">
        <f>BB32+BB33</f>
        <v/>
      </c>
      <c r="BC34" s="117">
        <f>BC32+BC33</f>
        <v/>
      </c>
      <c r="BD34" s="117">
        <f>BD32+BD33</f>
        <v/>
      </c>
      <c r="BE34" s="117">
        <f>BE32+BE33</f>
        <v/>
      </c>
      <c r="BF34" s="117">
        <f>BF32+BF33</f>
        <v/>
      </c>
      <c r="BG34" s="117">
        <f>BG32+BG33</f>
        <v/>
      </c>
      <c r="BH34" s="117">
        <f>BH32+BH33</f>
        <v/>
      </c>
      <c r="BI34" s="122">
        <f>BI32+BI33</f>
        <v/>
      </c>
    </row>
    <row r="35" ht="26" customHeight="1">
      <c r="A35" s="104" t="inlineStr">
        <is>
          <t>Займ на конец</t>
        </is>
      </c>
      <c r="B35" s="103">
        <f>'02_Модель'!B75</f>
        <v/>
      </c>
      <c r="C35" s="103">
        <f>'02_Модель'!C75</f>
        <v/>
      </c>
      <c r="D35" s="103">
        <f>'02_Модель'!D75</f>
        <v/>
      </c>
      <c r="E35" s="103">
        <f>'02_Модель'!E75</f>
        <v/>
      </c>
      <c r="F35" s="103">
        <f>'02_Модель'!F75</f>
        <v/>
      </c>
      <c r="G35" s="103">
        <f>'02_Модель'!G75</f>
        <v/>
      </c>
      <c r="H35" s="103">
        <f>'02_Модель'!H75</f>
        <v/>
      </c>
      <c r="I35" s="103">
        <f>'02_Модель'!I75</f>
        <v/>
      </c>
      <c r="J35" s="103">
        <f>'02_Модель'!J75</f>
        <v/>
      </c>
      <c r="K35" s="103">
        <f>'02_Модель'!K75</f>
        <v/>
      </c>
      <c r="L35" s="103">
        <f>'02_Модель'!L75</f>
        <v/>
      </c>
      <c r="M35" s="103">
        <f>'02_Модель'!M75</f>
        <v/>
      </c>
      <c r="N35" s="103">
        <f>'02_Модель'!N75</f>
        <v/>
      </c>
      <c r="O35" s="103">
        <f>'02_Модель'!O75</f>
        <v/>
      </c>
      <c r="P35" s="103">
        <f>'02_Модель'!P75</f>
        <v/>
      </c>
      <c r="Q35" s="103">
        <f>'02_Модель'!Q75</f>
        <v/>
      </c>
      <c r="R35" s="103">
        <f>'02_Модель'!R75</f>
        <v/>
      </c>
      <c r="S35" s="103">
        <f>'02_Модель'!S75</f>
        <v/>
      </c>
      <c r="T35" s="103">
        <f>'02_Модель'!T75</f>
        <v/>
      </c>
      <c r="U35" s="103">
        <f>'02_Модель'!U75</f>
        <v/>
      </c>
      <c r="V35" s="103">
        <f>'02_Модель'!V75</f>
        <v/>
      </c>
      <c r="W35" s="103">
        <f>'02_Модель'!W75</f>
        <v/>
      </c>
      <c r="X35" s="103">
        <f>'02_Модель'!X75</f>
        <v/>
      </c>
      <c r="Y35" s="103">
        <f>'02_Модель'!Y75</f>
        <v/>
      </c>
      <c r="Z35" s="103">
        <f>'02_Модель'!Z75</f>
        <v/>
      </c>
      <c r="AA35" s="103">
        <f>'02_Модель'!AA75</f>
        <v/>
      </c>
      <c r="AB35" s="103">
        <f>'02_Модель'!AB75</f>
        <v/>
      </c>
      <c r="AC35" s="103">
        <f>'02_Модель'!AC75</f>
        <v/>
      </c>
      <c r="AD35" s="103">
        <f>'02_Модель'!AD75</f>
        <v/>
      </c>
      <c r="AE35" s="103">
        <f>'02_Модель'!AE75</f>
        <v/>
      </c>
      <c r="AF35" s="103">
        <f>'02_Модель'!AF75</f>
        <v/>
      </c>
      <c r="AG35" s="103">
        <f>'02_Модель'!AG75</f>
        <v/>
      </c>
      <c r="AH35" s="103">
        <f>'02_Модель'!AH75</f>
        <v/>
      </c>
      <c r="AI35" s="103">
        <f>'02_Модель'!AI75</f>
        <v/>
      </c>
      <c r="AJ35" s="103">
        <f>'02_Модель'!AJ75</f>
        <v/>
      </c>
      <c r="AK35" s="103">
        <f>'02_Модель'!AK75</f>
        <v/>
      </c>
      <c r="AL35" s="103">
        <f>'02_Модель'!AL75</f>
        <v/>
      </c>
      <c r="AM35" s="103">
        <f>'02_Модель'!AM75</f>
        <v/>
      </c>
      <c r="AN35" s="103">
        <f>'02_Модель'!AN75</f>
        <v/>
      </c>
      <c r="AO35" s="103">
        <f>'02_Модель'!AO75</f>
        <v/>
      </c>
      <c r="AP35" s="103">
        <f>'02_Модель'!AP75</f>
        <v/>
      </c>
      <c r="AQ35" s="103">
        <f>'02_Модель'!AQ75</f>
        <v/>
      </c>
      <c r="AR35" s="103">
        <f>'02_Модель'!AR75</f>
        <v/>
      </c>
      <c r="AS35" s="103">
        <f>'02_Модель'!AS75</f>
        <v/>
      </c>
      <c r="AT35" s="103">
        <f>'02_Модель'!AT75</f>
        <v/>
      </c>
      <c r="AU35" s="103">
        <f>'02_Модель'!AU75</f>
        <v/>
      </c>
      <c r="AV35" s="103">
        <f>'02_Модель'!AV75</f>
        <v/>
      </c>
      <c r="AW35" s="103">
        <f>'02_Модель'!AW75</f>
        <v/>
      </c>
      <c r="AX35" s="103">
        <f>'02_Модель'!AX75</f>
        <v/>
      </c>
      <c r="AY35" s="103">
        <f>'02_Модель'!AY75</f>
        <v/>
      </c>
      <c r="AZ35" s="103">
        <f>'02_Модель'!AZ75</f>
        <v/>
      </c>
      <c r="BA35" s="103">
        <f>'02_Модель'!BA75</f>
        <v/>
      </c>
      <c r="BB35" s="103">
        <f>'02_Модель'!BB75</f>
        <v/>
      </c>
      <c r="BC35" s="103">
        <f>'02_Модель'!BC75</f>
        <v/>
      </c>
      <c r="BD35" s="103">
        <f>'02_Модель'!BD75</f>
        <v/>
      </c>
      <c r="BE35" s="103">
        <f>'02_Модель'!BE75</f>
        <v/>
      </c>
      <c r="BF35" s="103">
        <f>'02_Модель'!BF75</f>
        <v/>
      </c>
      <c r="BG35" s="103">
        <f>'02_Модель'!BG75</f>
        <v/>
      </c>
      <c r="BH35" s="103">
        <f>'02_Модель'!BH75</f>
        <v/>
      </c>
      <c r="BI35" s="121">
        <f>'02_Модель'!BI75</f>
        <v/>
      </c>
    </row>
    <row r="36" ht="26" customHeight="1">
      <c r="A36" s="104" t="inlineStr">
        <is>
          <t>Начислено, но не оплачено</t>
        </is>
      </c>
      <c r="B36" s="117">
        <f>0+B27-B32</f>
        <v/>
      </c>
      <c r="C36" s="117">
        <f>B36+C27-C32</f>
        <v/>
      </c>
      <c r="D36" s="117">
        <f>C36+D27-D32</f>
        <v/>
      </c>
      <c r="E36" s="117">
        <f>D36+E27-E32</f>
        <v/>
      </c>
      <c r="F36" s="117">
        <f>E36+F27-F32</f>
        <v/>
      </c>
      <c r="G36" s="117">
        <f>F36+G27-G32</f>
        <v/>
      </c>
      <c r="H36" s="117">
        <f>G36+H27-H32</f>
        <v/>
      </c>
      <c r="I36" s="117">
        <f>H36+I27-I32</f>
        <v/>
      </c>
      <c r="J36" s="117">
        <f>I36+J27-J32</f>
        <v/>
      </c>
      <c r="K36" s="117">
        <f>J36+K27-K32</f>
        <v/>
      </c>
      <c r="L36" s="117">
        <f>K36+L27-L32</f>
        <v/>
      </c>
      <c r="M36" s="117">
        <f>L36+M27-M32</f>
        <v/>
      </c>
      <c r="N36" s="117">
        <f>M36+N27-N32</f>
        <v/>
      </c>
      <c r="O36" s="117">
        <f>N36+O27-O32</f>
        <v/>
      </c>
      <c r="P36" s="117">
        <f>O36+P27-P32</f>
        <v/>
      </c>
      <c r="Q36" s="117">
        <f>P36+Q27-Q32</f>
        <v/>
      </c>
      <c r="R36" s="117">
        <f>Q36+R27-R32</f>
        <v/>
      </c>
      <c r="S36" s="117">
        <f>R36+S27-S32</f>
        <v/>
      </c>
      <c r="T36" s="117">
        <f>S36+T27-T32</f>
        <v/>
      </c>
      <c r="U36" s="117">
        <f>T36+U27-U32</f>
        <v/>
      </c>
      <c r="V36" s="117">
        <f>U36+V27-V32</f>
        <v/>
      </c>
      <c r="W36" s="117">
        <f>V36+W27-W32</f>
        <v/>
      </c>
      <c r="X36" s="117">
        <f>W36+X27-X32</f>
        <v/>
      </c>
      <c r="Y36" s="117">
        <f>X36+Y27-Y32</f>
        <v/>
      </c>
      <c r="Z36" s="117">
        <f>Y36+Z27-Z32</f>
        <v/>
      </c>
      <c r="AA36" s="117">
        <f>Z36+AA27-AA32</f>
        <v/>
      </c>
      <c r="AB36" s="117">
        <f>AA36+AB27-AB32</f>
        <v/>
      </c>
      <c r="AC36" s="117">
        <f>AB36+AC27-AC32</f>
        <v/>
      </c>
      <c r="AD36" s="117">
        <f>AC36+AD27-AD32</f>
        <v/>
      </c>
      <c r="AE36" s="117">
        <f>AD36+AE27-AE32</f>
        <v/>
      </c>
      <c r="AF36" s="117">
        <f>AE36+AF27-AF32</f>
        <v/>
      </c>
      <c r="AG36" s="117">
        <f>AF36+AG27-AG32</f>
        <v/>
      </c>
      <c r="AH36" s="117">
        <f>AG36+AH27-AH32</f>
        <v/>
      </c>
      <c r="AI36" s="117">
        <f>AH36+AI27-AI32</f>
        <v/>
      </c>
      <c r="AJ36" s="117">
        <f>AI36+AJ27-AJ32</f>
        <v/>
      </c>
      <c r="AK36" s="117">
        <f>AJ36+AK27-AK32</f>
        <v/>
      </c>
      <c r="AL36" s="117">
        <f>AK36+AL27-AL32</f>
        <v/>
      </c>
      <c r="AM36" s="117">
        <f>AL36+AM27-AM32</f>
        <v/>
      </c>
      <c r="AN36" s="117">
        <f>AM36+AN27-AN32</f>
        <v/>
      </c>
      <c r="AO36" s="117">
        <f>AN36+AO27-AO32</f>
        <v/>
      </c>
      <c r="AP36" s="117">
        <f>AO36+AP27-AP32</f>
        <v/>
      </c>
      <c r="AQ36" s="117">
        <f>AP36+AQ27-AQ32</f>
        <v/>
      </c>
      <c r="AR36" s="117">
        <f>AQ36+AR27-AR32</f>
        <v/>
      </c>
      <c r="AS36" s="117">
        <f>AR36+AS27-AS32</f>
        <v/>
      </c>
      <c r="AT36" s="117">
        <f>AS36+AT27-AT32</f>
        <v/>
      </c>
      <c r="AU36" s="117">
        <f>AT36+AU27-AU32</f>
        <v/>
      </c>
      <c r="AV36" s="117">
        <f>AU36+AV27-AV32</f>
        <v/>
      </c>
      <c r="AW36" s="117">
        <f>AV36+AW27-AW32</f>
        <v/>
      </c>
      <c r="AX36" s="117">
        <f>AW36+AX27-AX32</f>
        <v/>
      </c>
      <c r="AY36" s="117">
        <f>AX36+AY27-AY32</f>
        <v/>
      </c>
      <c r="AZ36" s="117">
        <f>AY36+AZ27-AZ32</f>
        <v/>
      </c>
      <c r="BA36" s="117">
        <f>AZ36+BA27-BA32</f>
        <v/>
      </c>
      <c r="BB36" s="117">
        <f>BA36+BB27-BB32</f>
        <v/>
      </c>
      <c r="BC36" s="117">
        <f>BB36+BC27-BC32</f>
        <v/>
      </c>
      <c r="BD36" s="117">
        <f>BC36+BD27-BD32</f>
        <v/>
      </c>
      <c r="BE36" s="117">
        <f>BD36+BE27-BE32</f>
        <v/>
      </c>
      <c r="BF36" s="117">
        <f>BE36+BF27-BF32</f>
        <v/>
      </c>
      <c r="BG36" s="117">
        <f>BF36+BG27-BG32</f>
        <v/>
      </c>
      <c r="BH36" s="117">
        <f>BG36+BH27-BH32</f>
        <v/>
      </c>
      <c r="BI36" s="122">
        <f>BH36+BI27-BI32</f>
        <v/>
      </c>
    </row>
    <row r="37" ht="26" customHeight="1">
      <c r="A37" s="104" t="inlineStr">
        <is>
          <t>Сверка с БДДС</t>
        </is>
      </c>
      <c r="B37" s="103">
        <f>ROUND(B32-'02_Модель'!B61,6)</f>
        <v/>
      </c>
      <c r="C37" s="103">
        <f>ROUND(C32-'02_Модель'!C61,6)</f>
        <v/>
      </c>
      <c r="D37" s="103">
        <f>ROUND(D32-'02_Модель'!D61,6)</f>
        <v/>
      </c>
      <c r="E37" s="103">
        <f>ROUND(E32-'02_Модель'!E61,6)</f>
        <v/>
      </c>
      <c r="F37" s="103">
        <f>ROUND(F32-'02_Модель'!F61,6)</f>
        <v/>
      </c>
      <c r="G37" s="103">
        <f>ROUND(G32-'02_Модель'!G61,6)</f>
        <v/>
      </c>
      <c r="H37" s="103">
        <f>ROUND(H32-'02_Модель'!H61,6)</f>
        <v/>
      </c>
      <c r="I37" s="103">
        <f>ROUND(I32-'02_Модель'!I61,6)</f>
        <v/>
      </c>
      <c r="J37" s="103">
        <f>ROUND(J32-'02_Модель'!J61,6)</f>
        <v/>
      </c>
      <c r="K37" s="103">
        <f>ROUND(K32-'02_Модель'!K61,6)</f>
        <v/>
      </c>
      <c r="L37" s="103">
        <f>ROUND(L32-'02_Модель'!L61,6)</f>
        <v/>
      </c>
      <c r="M37" s="103">
        <f>ROUND(M32-'02_Модель'!M61,6)</f>
        <v/>
      </c>
      <c r="N37" s="103">
        <f>ROUND(N32-'02_Модель'!N61,6)</f>
        <v/>
      </c>
      <c r="O37" s="103">
        <f>ROUND(O32-'02_Модель'!O61,6)</f>
        <v/>
      </c>
      <c r="P37" s="103">
        <f>ROUND(P32-'02_Модель'!P61,6)</f>
        <v/>
      </c>
      <c r="Q37" s="103">
        <f>ROUND(Q32-'02_Модель'!Q61,6)</f>
        <v/>
      </c>
      <c r="R37" s="103">
        <f>ROUND(R32-'02_Модель'!R61,6)</f>
        <v/>
      </c>
      <c r="S37" s="103">
        <f>ROUND(S32-'02_Модель'!S61,6)</f>
        <v/>
      </c>
      <c r="T37" s="103">
        <f>ROUND(T32-'02_Модель'!T61,6)</f>
        <v/>
      </c>
      <c r="U37" s="103">
        <f>ROUND(U32-'02_Модель'!U61,6)</f>
        <v/>
      </c>
      <c r="V37" s="103">
        <f>ROUND(V32-'02_Модель'!V61,6)</f>
        <v/>
      </c>
      <c r="W37" s="103">
        <f>ROUND(W32-'02_Модель'!W61,6)</f>
        <v/>
      </c>
      <c r="X37" s="103">
        <f>ROUND(X32-'02_Модель'!X61,6)</f>
        <v/>
      </c>
      <c r="Y37" s="103">
        <f>ROUND(Y32-'02_Модель'!Y61,6)</f>
        <v/>
      </c>
      <c r="Z37" s="103">
        <f>ROUND(Z32-'02_Модель'!Z61,6)</f>
        <v/>
      </c>
      <c r="AA37" s="103">
        <f>ROUND(AA32-'02_Модель'!AA61,6)</f>
        <v/>
      </c>
      <c r="AB37" s="103">
        <f>ROUND(AB32-'02_Модель'!AB61,6)</f>
        <v/>
      </c>
      <c r="AC37" s="103">
        <f>ROUND(AC32-'02_Модель'!AC61,6)</f>
        <v/>
      </c>
      <c r="AD37" s="103">
        <f>ROUND(AD32-'02_Модель'!AD61,6)</f>
        <v/>
      </c>
      <c r="AE37" s="103">
        <f>ROUND(AE32-'02_Модель'!AE61,6)</f>
        <v/>
      </c>
      <c r="AF37" s="103">
        <f>ROUND(AF32-'02_Модель'!AF61,6)</f>
        <v/>
      </c>
      <c r="AG37" s="103">
        <f>ROUND(AG32-'02_Модель'!AG61,6)</f>
        <v/>
      </c>
      <c r="AH37" s="103">
        <f>ROUND(AH32-'02_Модель'!AH61,6)</f>
        <v/>
      </c>
      <c r="AI37" s="103">
        <f>ROUND(AI32-'02_Модель'!AI61,6)</f>
        <v/>
      </c>
      <c r="AJ37" s="103">
        <f>ROUND(AJ32-'02_Модель'!AJ61,6)</f>
        <v/>
      </c>
      <c r="AK37" s="103">
        <f>ROUND(AK32-'02_Модель'!AK61,6)</f>
        <v/>
      </c>
      <c r="AL37" s="103">
        <f>ROUND(AL32-'02_Модель'!AL61,6)</f>
        <v/>
      </c>
      <c r="AM37" s="103">
        <f>ROUND(AM32-'02_Модель'!AM61,6)</f>
        <v/>
      </c>
      <c r="AN37" s="103">
        <f>ROUND(AN32-'02_Модель'!AN61,6)</f>
        <v/>
      </c>
      <c r="AO37" s="103">
        <f>ROUND(AO32-'02_Модель'!AO61,6)</f>
        <v/>
      </c>
      <c r="AP37" s="103">
        <f>ROUND(AP32-'02_Модель'!AP61,6)</f>
        <v/>
      </c>
      <c r="AQ37" s="103">
        <f>ROUND(AQ32-'02_Модель'!AQ61,6)</f>
        <v/>
      </c>
      <c r="AR37" s="103">
        <f>ROUND(AR32-'02_Модель'!AR61,6)</f>
        <v/>
      </c>
      <c r="AS37" s="103">
        <f>ROUND(AS32-'02_Модель'!AS61,6)</f>
        <v/>
      </c>
      <c r="AT37" s="103">
        <f>ROUND(AT32-'02_Модель'!AT61,6)</f>
        <v/>
      </c>
      <c r="AU37" s="103">
        <f>ROUND(AU32-'02_Модель'!AU61,6)</f>
        <v/>
      </c>
      <c r="AV37" s="103">
        <f>ROUND(AV32-'02_Модель'!AV61,6)</f>
        <v/>
      </c>
      <c r="AW37" s="103">
        <f>ROUND(AW32-'02_Модель'!AW61,6)</f>
        <v/>
      </c>
      <c r="AX37" s="103">
        <f>ROUND(AX32-'02_Модель'!AX61,6)</f>
        <v/>
      </c>
      <c r="AY37" s="103">
        <f>ROUND(AY32-'02_Модель'!AY61,6)</f>
        <v/>
      </c>
      <c r="AZ37" s="103">
        <f>ROUND(AZ32-'02_Модель'!AZ61,6)</f>
        <v/>
      </c>
      <c r="BA37" s="103">
        <f>ROUND(BA32-'02_Модель'!BA61,6)</f>
        <v/>
      </c>
      <c r="BB37" s="103">
        <f>ROUND(BB32-'02_Модель'!BB61,6)</f>
        <v/>
      </c>
      <c r="BC37" s="103">
        <f>ROUND(BC32-'02_Модель'!BC61,6)</f>
        <v/>
      </c>
      <c r="BD37" s="103">
        <f>ROUND(BD32-'02_Модель'!BD61,6)</f>
        <v/>
      </c>
      <c r="BE37" s="103">
        <f>ROUND(BE32-'02_Модель'!BE61,6)</f>
        <v/>
      </c>
      <c r="BF37" s="103">
        <f>ROUND(BF32-'02_Модель'!BF61,6)</f>
        <v/>
      </c>
      <c r="BG37" s="103">
        <f>ROUND(BG32-'02_Модель'!BG61,6)</f>
        <v/>
      </c>
      <c r="BH37" s="103">
        <f>ROUND(BH32-'02_Модель'!BH61,6)</f>
        <v/>
      </c>
      <c r="BI37" s="121">
        <f>ROUND(BI32-'02_Модель'!BI61,6)</f>
        <v/>
      </c>
    </row>
  </sheetData>
  <mergeCells count="3">
    <mergeCell ref="A3:H3"/>
    <mergeCell ref="A22:H22"/>
    <mergeCell ref="A1:H1"/>
  </mergeCells>
  <printOptions horizontalCentered="0"/>
  <pageMargins left="0.75" right="0.75" top="1" bottom="1" header="0.5" footer="0.5"/>
  <pageSetup orientation="landscape" fitToHeight="0" fitToWidth="1"/>
  <headerFooter>
    <oddHeader/>
    <oddFooter>&amp;LФинмодель Спартак · 10_Выплаты_ФК&amp;R&amp;P / &amp;N</oddFooter>
    <evenHeader/>
    <evenFooter/>
    <firstHeader/>
    <firstFooter/>
  </headerFooter>
</worksheet>
</file>

<file path=xl/worksheets/sheet13.xml><?xml version="1.0" encoding="utf-8"?>
<worksheet xmlns="http://schemas.openxmlformats.org/spreadsheetml/2006/main">
  <sheetPr>
    <tabColor rgb="009E1B31"/>
    <outlinePr summaryBelow="1" summaryRight="1"/>
    <pageSetUpPr fitToPage="1"/>
  </sheetPr>
  <dimension ref="A1:N12"/>
  <sheetViews>
    <sheetView showGridLines="0" zoomScale="9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История сезона 2025/26</t>
        </is>
      </c>
    </row>
    <row r="2"/>
    <row r="3">
      <c r="A3" s="6" t="inlineStr">
        <is>
          <t>Показатель</t>
        </is>
      </c>
      <c r="B3" s="29" t="n">
        <v>45901</v>
      </c>
      <c r="C3" s="29" t="n">
        <v>45931</v>
      </c>
      <c r="D3" s="29" t="n">
        <v>45962</v>
      </c>
      <c r="E3" s="29" t="n">
        <v>45992</v>
      </c>
      <c r="F3" s="29" t="n">
        <v>46023</v>
      </c>
      <c r="G3" s="29" t="n">
        <v>46054</v>
      </c>
      <c r="H3" s="29" t="n">
        <v>46082</v>
      </c>
      <c r="I3" s="29" t="n">
        <v>46113</v>
      </c>
      <c r="J3" s="29" t="n">
        <v>46143</v>
      </c>
      <c r="K3" s="29" t="n">
        <v>46174</v>
      </c>
      <c r="L3" s="29" t="n">
        <v>46204</v>
      </c>
      <c r="M3" s="29" t="n">
        <v>46235</v>
      </c>
      <c r="N3" s="6" t="inlineStr">
        <is>
          <t>Итого доступно</t>
        </is>
      </c>
    </row>
    <row r="4">
      <c r="A4" s="2" t="inlineStr">
        <is>
          <t>Выручка</t>
        </is>
      </c>
      <c r="B4" s="40">
        <f>'01_Вводные'!B$181</f>
        <v/>
      </c>
      <c r="C4" s="40">
        <f>'01_Вводные'!C$181</f>
        <v/>
      </c>
      <c r="D4" s="40">
        <f>'01_Вводные'!D$181</f>
        <v/>
      </c>
      <c r="E4" s="40">
        <f>'01_Вводные'!E$181</f>
        <v/>
      </c>
      <c r="F4" s="40">
        <f>'01_Вводные'!F$181</f>
        <v/>
      </c>
      <c r="G4" s="40">
        <f>'01_Вводные'!G$181</f>
        <v/>
      </c>
      <c r="H4" s="40">
        <f>'01_Вводные'!H$181</f>
        <v/>
      </c>
      <c r="I4" s="40">
        <f>'01_Вводные'!I$181</f>
        <v/>
      </c>
      <c r="J4" s="40">
        <f>'01_Вводные'!J$181</f>
        <v/>
      </c>
      <c r="K4" s="40">
        <f>'01_Вводные'!K$181</f>
        <v/>
      </c>
      <c r="L4" s="40">
        <f>'01_Вводные'!L$181</f>
        <v/>
      </c>
      <c r="M4" s="40">
        <f>'01_Вводные'!M$181</f>
        <v/>
      </c>
      <c r="N4" s="42">
        <f>SUM(B4:M4)</f>
        <v/>
      </c>
    </row>
    <row r="5">
      <c r="A5" s="2" t="inlineStr">
        <is>
          <t>Себестоимость</t>
        </is>
      </c>
      <c r="B5" s="40">
        <f>'01_Вводные'!B$182</f>
        <v/>
      </c>
      <c r="C5" s="40">
        <f>'01_Вводные'!C$182</f>
        <v/>
      </c>
      <c r="D5" s="40">
        <f>'01_Вводные'!D$182</f>
        <v/>
      </c>
      <c r="E5" s="40">
        <f>'01_Вводные'!E$182</f>
        <v/>
      </c>
      <c r="F5" s="40">
        <f>'01_Вводные'!F$182</f>
        <v/>
      </c>
      <c r="G5" s="40">
        <f>'01_Вводные'!G$182</f>
        <v/>
      </c>
      <c r="H5" s="40">
        <f>'01_Вводные'!H$182</f>
        <v/>
      </c>
      <c r="I5" s="40">
        <f>'01_Вводные'!I$182</f>
        <v/>
      </c>
      <c r="J5" s="40">
        <f>'01_Вводные'!J$182</f>
        <v/>
      </c>
      <c r="K5" s="40">
        <f>'01_Вводные'!K$182</f>
        <v/>
      </c>
      <c r="L5" s="40">
        <f>'01_Вводные'!L$182</f>
        <v/>
      </c>
      <c r="M5" s="40">
        <f>'01_Вводные'!M$182</f>
        <v/>
      </c>
      <c r="N5" s="42">
        <f>SUM(B5:M5)</f>
        <v/>
      </c>
    </row>
    <row r="6">
      <c r="A6" s="2" t="inlineStr">
        <is>
          <t>Коммерческие расходы</t>
        </is>
      </c>
      <c r="B6" s="40">
        <f>'01_Вводные'!B$183</f>
        <v/>
      </c>
      <c r="C6" s="40">
        <f>'01_Вводные'!C$183</f>
        <v/>
      </c>
      <c r="D6" s="40">
        <f>'01_Вводные'!D$183</f>
        <v/>
      </c>
      <c r="E6" s="40">
        <f>'01_Вводные'!E$183</f>
        <v/>
      </c>
      <c r="F6" s="40">
        <f>'01_Вводные'!F$183</f>
        <v/>
      </c>
      <c r="G6" s="40">
        <f>'01_Вводные'!G$183</f>
        <v/>
      </c>
      <c r="H6" s="40">
        <f>'01_Вводные'!H$183</f>
        <v/>
      </c>
      <c r="I6" s="40">
        <f>'01_Вводные'!I$183</f>
        <v/>
      </c>
      <c r="J6" s="40">
        <f>'01_Вводные'!J$183</f>
        <v/>
      </c>
      <c r="K6" s="40">
        <f>'01_Вводные'!K$183</f>
        <v/>
      </c>
      <c r="L6" s="40">
        <f>'01_Вводные'!L$183</f>
        <v/>
      </c>
      <c r="M6" s="40">
        <f>'01_Вводные'!M$183</f>
        <v/>
      </c>
      <c r="N6" s="42">
        <f>SUM(B6:M6)</f>
        <v/>
      </c>
    </row>
    <row r="7">
      <c r="A7" s="2" t="inlineStr">
        <is>
          <t>Административные расходы</t>
        </is>
      </c>
      <c r="B7" s="40">
        <f>'01_Вводные'!B$184</f>
        <v/>
      </c>
      <c r="C7" s="40">
        <f>'01_Вводные'!C$184</f>
        <v/>
      </c>
      <c r="D7" s="40">
        <f>'01_Вводные'!D$184</f>
        <v/>
      </c>
      <c r="E7" s="40">
        <f>'01_Вводные'!E$184</f>
        <v/>
      </c>
      <c r="F7" s="40">
        <f>'01_Вводные'!F$184</f>
        <v/>
      </c>
      <c r="G7" s="40">
        <f>'01_Вводные'!G$184</f>
        <v/>
      </c>
      <c r="H7" s="40">
        <f>'01_Вводные'!H$184</f>
        <v/>
      </c>
      <c r="I7" s="40">
        <f>'01_Вводные'!I$184</f>
        <v/>
      </c>
      <c r="J7" s="40">
        <f>'01_Вводные'!J$184</f>
        <v/>
      </c>
      <c r="K7" s="40">
        <f>'01_Вводные'!K$184</f>
        <v/>
      </c>
      <c r="L7" s="40">
        <f>'01_Вводные'!L$184</f>
        <v/>
      </c>
      <c r="M7" s="40">
        <f>'01_Вводные'!M$184</f>
        <v/>
      </c>
      <c r="N7" s="42">
        <f>SUM(B7:M7)</f>
        <v/>
      </c>
    </row>
    <row r="8">
      <c r="A8" s="2" t="inlineStr">
        <is>
          <t>Прочие расходы</t>
        </is>
      </c>
      <c r="B8" s="40">
        <f>'01_Вводные'!B$185</f>
        <v/>
      </c>
      <c r="C8" s="40">
        <f>'01_Вводные'!C$185</f>
        <v/>
      </c>
      <c r="D8" s="40">
        <f>'01_Вводные'!D$185</f>
        <v/>
      </c>
      <c r="E8" s="40">
        <f>'01_Вводные'!E$185</f>
        <v/>
      </c>
      <c r="F8" s="40">
        <f>'01_Вводные'!F$185</f>
        <v/>
      </c>
      <c r="G8" s="40">
        <f>'01_Вводные'!G$185</f>
        <v/>
      </c>
      <c r="H8" s="40">
        <f>'01_Вводные'!H$185</f>
        <v/>
      </c>
      <c r="I8" s="40">
        <f>'01_Вводные'!I$185</f>
        <v/>
      </c>
      <c r="J8" s="40">
        <f>'01_Вводные'!J$185</f>
        <v/>
      </c>
      <c r="K8" s="40">
        <f>'01_Вводные'!K$185</f>
        <v/>
      </c>
      <c r="L8" s="40">
        <f>'01_Вводные'!L$185</f>
        <v/>
      </c>
      <c r="M8" s="40">
        <f>'01_Вводные'!M$185</f>
        <v/>
      </c>
      <c r="N8" s="42">
        <f>SUM(B8:M8)</f>
        <v/>
      </c>
    </row>
    <row r="9">
      <c r="A9" s="10" t="inlineStr">
        <is>
          <t>EBITDA</t>
        </is>
      </c>
      <c r="B9" s="43">
        <f>'01_Вводные'!B$186</f>
        <v/>
      </c>
      <c r="C9" s="43">
        <f>'01_Вводные'!C$186</f>
        <v/>
      </c>
      <c r="D9" s="43">
        <f>'01_Вводные'!D$186</f>
        <v/>
      </c>
      <c r="E9" s="43">
        <f>'01_Вводные'!E$186</f>
        <v/>
      </c>
      <c r="F9" s="43">
        <f>'01_Вводные'!F$186</f>
        <v/>
      </c>
      <c r="G9" s="43">
        <f>'01_Вводные'!G$186</f>
        <v/>
      </c>
      <c r="H9" s="43">
        <f>'01_Вводные'!H$186</f>
        <v/>
      </c>
      <c r="I9" s="43">
        <f>'01_Вводные'!I$186</f>
        <v/>
      </c>
      <c r="J9" s="43">
        <f>'01_Вводные'!J$186</f>
        <v/>
      </c>
      <c r="K9" s="43">
        <f>'01_Вводные'!K$186</f>
        <v/>
      </c>
      <c r="L9" s="43">
        <f>'01_Вводные'!L$186</f>
        <v/>
      </c>
      <c r="M9" s="43">
        <f>'01_Вводные'!M$186</f>
        <v/>
      </c>
      <c r="N9" s="43">
        <f>SUM(B9:M9)</f>
        <v/>
      </c>
    </row>
    <row r="10">
      <c r="A10" s="10" t="inlineStr">
        <is>
          <t>Чистый денежный поток</t>
        </is>
      </c>
      <c r="B10" s="43">
        <f>'01_Вводные'!B$187</f>
        <v/>
      </c>
      <c r="C10" s="43">
        <f>'01_Вводные'!C$187</f>
        <v/>
      </c>
      <c r="D10" s="43">
        <f>'01_Вводные'!D$187</f>
        <v/>
      </c>
      <c r="E10" s="43">
        <f>'01_Вводные'!E$187</f>
        <v/>
      </c>
      <c r="F10" s="43">
        <f>'01_Вводные'!F$187</f>
        <v/>
      </c>
      <c r="G10" s="43">
        <f>'01_Вводные'!G$187</f>
        <v/>
      </c>
      <c r="H10" s="43">
        <f>'01_Вводные'!H$187</f>
        <v/>
      </c>
      <c r="I10" s="43">
        <f>'01_Вводные'!I$187</f>
        <v/>
      </c>
      <c r="J10" s="43">
        <f>'01_Вводные'!J$187</f>
        <v/>
      </c>
      <c r="K10" s="43">
        <f>'01_Вводные'!K$187</f>
        <v/>
      </c>
      <c r="L10" s="43">
        <f>'01_Вводные'!L$187</f>
        <v/>
      </c>
      <c r="M10" s="43">
        <f>'01_Вводные'!M$187</f>
        <v/>
      </c>
      <c r="N10" s="43">
        <f>SUM(B10:M10)</f>
        <v/>
      </c>
    </row>
    <row r="11"/>
    <row r="12">
      <c r="A12" s="2" t="inlineStr">
        <is>
          <t>Примечание</t>
        </is>
      </c>
      <c r="B12" s="36" t="inlineStr">
        <is>
          <t>История 25/26 заполняется только на листе 01_Вводные. Июль 2026 добавлен. Август 2026 пока отсутствует; поэтому вариант «С историей» использует доступный факт, а не полный сезон.</t>
        </is>
      </c>
    </row>
  </sheetData>
  <mergeCells count="2">
    <mergeCell ref="B12:N12"/>
    <mergeCell ref="A1:N1"/>
  </mergeCells>
  <printOptions horizontalCentered="0"/>
  <pageMargins left="0.75" right="0.75" top="1" bottom="1" header="0.5" footer="0.5"/>
  <pageSetup orientation="landscape" fitToHeight="0" fitToWidth="1"/>
  <headerFooter>
    <oddHeader/>
    <oddFooter>&amp;LФинмодель Спартак · 11_История_25_26&amp;R&amp;P / &amp;N</oddFooter>
    <evenHeader/>
    <evenFooter/>
    <firstHeader/>
    <firstFooter/>
  </headerFooter>
</worksheet>
</file>

<file path=xl/worksheets/sheet14.xml><?xml version="1.0" encoding="utf-8"?>
<worksheet xmlns="http://schemas.openxmlformats.org/spreadsheetml/2006/main">
  <sheetPr>
    <tabColor rgb="009E1B31"/>
    <outlinePr summaryBelow="1" summaryRight="1"/>
    <pageSetUpPr fitToPage="1"/>
  </sheetPr>
  <dimension ref="A1:H23"/>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9" customWidth="1" min="2" max="2"/>
    <col width="19" customWidth="1" min="3" max="3"/>
    <col width="19" customWidth="1" min="4" max="4"/>
    <col width="21" customWidth="1" min="5" max="5"/>
    <col width="21" customWidth="1" min="6" max="6"/>
    <col width="20" customWidth="1" min="7" max="7"/>
    <col width="34" customWidth="1" min="8" max="8"/>
  </cols>
  <sheetData>
    <row r="1" ht="27" customHeight="1">
      <c r="A1" s="60" t="inlineStr">
        <is>
          <t>СПАРТАК | Чувствительность без 12 лишних расчётов</t>
        </is>
      </c>
    </row>
    <row r="2"/>
    <row r="3" ht="38" customHeight="1">
      <c r="A3" s="111" t="inlineStr">
        <is>
          <t>Выбери один из шести драйверов в 01_Вводные!B233. Все остальные вводные остаются базовыми. Шаги для каждого драйвера сохранены в G198:G203. Эффекты разных правок не складывать.</t>
        </is>
      </c>
    </row>
    <row r="4"/>
    <row r="5">
      <c r="A5" t="inlineStr">
        <is>
          <t>Драйвер</t>
        </is>
      </c>
      <c r="B5">
        <f>'01_Вводные'!B233</f>
        <v/>
      </c>
    </row>
    <row r="6">
      <c r="A6" t="inlineStr">
        <is>
          <t>Шаг</t>
        </is>
      </c>
      <c r="B6" s="91">
        <f>'01_Вводные'!B258</f>
        <v/>
      </c>
      <c r="D6" t="inlineStr">
        <is>
          <t>Расчёт включён</t>
        </is>
      </c>
      <c r="E6">
        <f>'01_Вводные'!B234</f>
        <v/>
      </c>
    </row>
    <row r="7"/>
    <row r="8" ht="33" customHeight="1">
      <c r="A8" s="87" t="inlineStr">
        <is>
          <t>Показатель</t>
        </is>
      </c>
      <c r="B8" s="87" t="inlineStr">
        <is>
          <t>− шаг</t>
        </is>
      </c>
      <c r="C8" s="87" t="inlineStr">
        <is>
          <t>База</t>
        </is>
      </c>
      <c r="D8" s="87" t="inlineStr">
        <is>
          <t>+ шаг</t>
        </is>
      </c>
      <c r="E8" s="87" t="inlineStr">
        <is>
          <t>Изменение −</t>
        </is>
      </c>
      <c r="F8" s="87" t="inlineStr">
        <is>
          <t>Изменение +</t>
        </is>
      </c>
      <c r="G8" s="87" t="inlineStr">
        <is>
          <t>Ед.</t>
        </is>
      </c>
      <c r="H8" s="87" t="inlineStr">
        <is>
          <t>Смысл</t>
        </is>
      </c>
    </row>
    <row r="9" ht="26" customHeight="1">
      <c r="A9" s="104" t="inlineStr">
        <is>
          <t>Выручка</t>
        </is>
      </c>
      <c r="B9" s="153">
        <f>IF('01_Вводные'!$B$234="Да",SUM('19_Расчет_аналитики'!$B$3753:$BI$3753)/1000000,"")</f>
        <v/>
      </c>
      <c r="C9" s="153">
        <f>SUM('19_Расчет_аналитики'!$B$1729:$BI$1729)/1000000</f>
        <v/>
      </c>
      <c r="D9" s="153">
        <f>IF('01_Вводные'!$B$234="Да",SUM('19_Расчет_аналитики'!$B$4765:$BI$4765)/1000000,"")</f>
        <v/>
      </c>
      <c r="E9" s="153">
        <f>IF('01_Вводные'!$B$234="Да",B9-C9,"")</f>
        <v/>
      </c>
      <c r="F9" s="153">
        <f>IF('01_Вводные'!$B$234="Да",D9-C9,"")</f>
        <v/>
      </c>
      <c r="G9" s="115" t="inlineStr">
        <is>
          <t>млн ₽</t>
        </is>
      </c>
      <c r="H9" s="104" t="n"/>
    </row>
    <row r="10" ht="26" customHeight="1">
      <c r="A10" s="104" t="inlineStr">
        <is>
          <t>EBITDA</t>
        </is>
      </c>
      <c r="B10" s="153">
        <f>IF('01_Вводные'!$B$234="Да",SUM('19_Расчет_аналитики'!$B$3774:$BI$3774)/1000000,"")</f>
        <v/>
      </c>
      <c r="C10" s="153">
        <f>SUM('19_Расчет_аналитики'!$B$1750:$BI$1750)/1000000</f>
        <v/>
      </c>
      <c r="D10" s="153">
        <f>IF('01_Вводные'!$B$234="Да",SUM('19_Расчет_аналитики'!$B$4786:$BI$4786)/1000000,"")</f>
        <v/>
      </c>
      <c r="E10" s="153">
        <f>IF('01_Вводные'!$B$234="Да",B10-C10,"")</f>
        <v/>
      </c>
      <c r="F10" s="153">
        <f>IF('01_Вводные'!$B$234="Да",D10-C10,"")</f>
        <v/>
      </c>
      <c r="G10" s="115" t="inlineStr">
        <is>
          <t>млн ₽</t>
        </is>
      </c>
      <c r="H10" s="104" t="n"/>
    </row>
    <row r="11" ht="26" customHeight="1">
      <c r="A11" s="104" t="inlineStr">
        <is>
          <t>Рентабельность EBITDA</t>
        </is>
      </c>
      <c r="B11" s="152">
        <f>IF('01_Вводные'!$B$234="Да",IF(SUM('19_Расчет_аналитики'!$B$3753:$BI$3753)=0,0,SUM('19_Расчет_аналитики'!$B$3774:$BI$3774)/SUM('19_Расчет_аналитики'!$B$3753:$BI$3753)),"")</f>
        <v/>
      </c>
      <c r="C11" s="152">
        <f>IF(SUM('19_Расчет_аналитики'!$B$1729:$BI$1729)=0,0,SUM('19_Расчет_аналитики'!$B$1750:$BI$1750)/SUM('19_Расчет_аналитики'!$B$1729:$BI$1729))</f>
        <v/>
      </c>
      <c r="D11" s="152">
        <f>IF('01_Вводные'!$B$234="Да",IF(SUM('19_Расчет_аналитики'!$B$4765:$BI$4765)=0,0,SUM('19_Расчет_аналитики'!$B$4786:$BI$4786)/SUM('19_Расчет_аналитики'!$B$4765:$BI$4765)),"")</f>
        <v/>
      </c>
      <c r="E11" s="152">
        <f>IF('01_Вводные'!$B$234="Да",B11-C11,"")</f>
        <v/>
      </c>
      <c r="F11" s="152">
        <f>IF('01_Вводные'!$B$234="Да",D11-C11,"")</f>
        <v/>
      </c>
      <c r="G11" s="115" t="inlineStr">
        <is>
          <t>%</t>
        </is>
      </c>
      <c r="H11" s="104" t="n"/>
    </row>
    <row r="12" ht="26" customHeight="1">
      <c r="A12" s="104" t="inlineStr">
        <is>
          <t>Деньги на конец</t>
        </is>
      </c>
      <c r="B12" s="153">
        <f>IF('01_Вводные'!$B$234="Да",'19_Расчет_аналитики'!$BI$3802/1000000,"")</f>
        <v/>
      </c>
      <c r="C12" s="153">
        <f>'19_Расчет_аналитики'!$BI$1778/1000000</f>
        <v/>
      </c>
      <c r="D12" s="153">
        <f>IF('01_Вводные'!$B$234="Да",'19_Расчет_аналитики'!$BI$4814/1000000,"")</f>
        <v/>
      </c>
      <c r="E12" s="153">
        <f>IF('01_Вводные'!$B$234="Да",B12-C12,"")</f>
        <v/>
      </c>
      <c r="F12" s="153">
        <f>IF('01_Вводные'!$B$234="Да",D12-C12,"")</f>
        <v/>
      </c>
      <c r="G12" s="115" t="inlineStr">
        <is>
          <t>млн ₽</t>
        </is>
      </c>
      <c r="H12" s="104" t="n"/>
    </row>
    <row r="13" ht="26" customHeight="1">
      <c r="A13" s="104" t="inlineStr">
        <is>
          <t>Пиковый кассовый дефицит</t>
        </is>
      </c>
      <c r="B13" s="153">
        <f>IF('01_Вводные'!$B$234="Да",MAX(0,-MIN('19_Расчет_аналитики'!$B$3802:$BI$3802))/1000000,"")</f>
        <v/>
      </c>
      <c r="C13" s="153">
        <f>MAX(0,-MIN('19_Расчет_аналитики'!$B$1778:$BI$1778))/1000000</f>
        <v/>
      </c>
      <c r="D13" s="153">
        <f>IF('01_Вводные'!$B$234="Да",MAX(0,-MIN('19_Расчет_аналитики'!$B$4814:$BI$4814))/1000000,"")</f>
        <v/>
      </c>
      <c r="E13" s="153">
        <f>IF('01_Вводные'!$B$234="Да",B13-C13,"")</f>
        <v/>
      </c>
      <c r="F13" s="153">
        <f>IF('01_Вводные'!$B$234="Да",D13-C13,"")</f>
        <v/>
      </c>
      <c r="G13" s="115" t="inlineStr">
        <is>
          <t>млн ₽</t>
        </is>
      </c>
      <c r="H13" s="104" t="n"/>
    </row>
    <row r="14" ht="26" customHeight="1">
      <c r="A14" s="104" t="inlineStr">
        <is>
          <t>Максимальный склад</t>
        </is>
      </c>
      <c r="B14" s="153">
        <f>IF('01_Вводные'!$B$234="Да",MAX('19_Расчет_аналитики'!$B$3663:$BI$3663)/1000000,"")</f>
        <v/>
      </c>
      <c r="C14" s="153">
        <f>MAX('19_Расчет_аналитики'!$B$1639:$BI$1639)/1000000</f>
        <v/>
      </c>
      <c r="D14" s="153">
        <f>IF('01_Вводные'!$B$234="Да",MAX('19_Расчет_аналитики'!$B$4675:$BI$4675)/1000000,"")</f>
        <v/>
      </c>
      <c r="E14" s="153">
        <f>IF('01_Вводные'!$B$234="Да",B14-C14,"")</f>
        <v/>
      </c>
      <c r="F14" s="153">
        <f>IF('01_Вводные'!$B$234="Да",D14-C14,"")</f>
        <v/>
      </c>
      <c r="G14" s="115" t="inlineStr">
        <is>
          <t>млн ₽</t>
        </is>
      </c>
      <c r="H14" s="104" t="n"/>
    </row>
    <row r="15" ht="26" customHeight="1">
      <c r="A15" s="104" t="inlineStr">
        <is>
          <t>Нехватка товара</t>
        </is>
      </c>
      <c r="B15" s="153">
        <f>IF('01_Вводные'!$B$234="Да",MAX('19_Расчет_аналитики'!$B$3664:$BI$3664)/1000000,"")</f>
        <v/>
      </c>
      <c r="C15" s="153">
        <f>MAX('19_Расчет_аналитики'!$B$1640:$BI$1640)/1000000</f>
        <v/>
      </c>
      <c r="D15" s="153">
        <f>IF('01_Вводные'!$B$234="Да",MAX('19_Расчет_аналитики'!$B$4676:$BI$4676)/1000000,"")</f>
        <v/>
      </c>
      <c r="E15" s="153">
        <f>IF('01_Вводные'!$B$234="Да",B15-C15,"")</f>
        <v/>
      </c>
      <c r="F15" s="153">
        <f>IF('01_Вводные'!$B$234="Да",D15-C15,"")</f>
        <v/>
      </c>
      <c r="G15" s="115" t="inlineStr">
        <is>
          <t>млн ₽</t>
        </is>
      </c>
      <c r="H15" s="104" t="n"/>
    </row>
    <row r="16" ht="26" customHeight="1">
      <c r="A16" s="104" t="inlineStr">
        <is>
          <t>Операционные выплаты ФК</t>
        </is>
      </c>
      <c r="B16" s="153">
        <f>IF('01_Вводные'!$B$234="Да",SUM('19_Расчет_аналитики'!$B$3791:$BI$3791)/1000000,"")</f>
        <v/>
      </c>
      <c r="C16" s="153">
        <f>SUM('19_Расчет_аналитики'!$B$1767:$BI$1767)/1000000</f>
        <v/>
      </c>
      <c r="D16" s="153">
        <f>IF('01_Вводные'!$B$234="Да",SUM('19_Расчет_аналитики'!$B$4803:$BI$4803)/1000000,"")</f>
        <v/>
      </c>
      <c r="E16" s="153">
        <f>IF('01_Вводные'!$B$234="Да",B16-C16,"")</f>
        <v/>
      </c>
      <c r="F16" s="153">
        <f>IF('01_Вводные'!$B$234="Да",D16-C16,"")</f>
        <v/>
      </c>
      <c r="G16" s="115" t="inlineStr">
        <is>
          <t>млн ₽</t>
        </is>
      </c>
      <c r="H16" s="104" t="n"/>
    </row>
    <row r="17" ht="26" customHeight="1">
      <c r="A17" s="104" t="inlineStr">
        <is>
          <t>Активные школы на конец</t>
        </is>
      </c>
      <c r="B17" s="153">
        <f>IF('01_Вводные'!$B$234="Да",'19_Расчет_аналитики'!$BI$3408,"")</f>
        <v/>
      </c>
      <c r="C17" s="153">
        <f>'19_Расчет_аналитики'!$BI$1384</f>
        <v/>
      </c>
      <c r="D17" s="153">
        <f>IF('01_Вводные'!$B$234="Да",'19_Расчет_аналитики'!$BI$4420,"")</f>
        <v/>
      </c>
      <c r="E17" s="153">
        <f>IF('01_Вводные'!$B$234="Да",B17-C17,"")</f>
        <v/>
      </c>
      <c r="F17" s="153">
        <f>IF('01_Вводные'!$B$234="Да",D17-C17,"")</f>
        <v/>
      </c>
      <c r="G17" s="115" t="inlineStr">
        <is>
          <t>шт.</t>
        </is>
      </c>
      <c r="H17" s="104" t="n"/>
    </row>
    <row r="18" ht="26" customHeight="1">
      <c r="A18" s="104" t="inlineStr">
        <is>
          <t>Среднее детей за месяц</t>
        </is>
      </c>
      <c r="B18" s="153">
        <f>IF('01_Вводные'!$B$234="Да",AVERAGE('19_Расчет_аналитики'!$B$3416:$BI$3416),"")</f>
        <v/>
      </c>
      <c r="C18" s="153">
        <f>AVERAGE('19_Расчет_аналитики'!$B$1392:$BI$1392)</f>
        <v/>
      </c>
      <c r="D18" s="153">
        <f>IF('01_Вводные'!$B$234="Да",AVERAGE('19_Расчет_аналитики'!$B$4428:$BI$4428),"")</f>
        <v/>
      </c>
      <c r="E18" s="153">
        <f>IF('01_Вводные'!$B$234="Да",B18-C18,"")</f>
        <v/>
      </c>
      <c r="F18" s="153">
        <f>IF('01_Вводные'!$B$234="Да",D18-C18,"")</f>
        <v/>
      </c>
      <c r="G18" s="115" t="inlineStr">
        <is>
          <t>чел.</t>
        </is>
      </c>
      <c r="H18" s="104" t="n"/>
    </row>
    <row r="19">
      <c r="A19" s="104" t="inlineStr">
        <is>
          <t>CAPEX — всего</t>
        </is>
      </c>
      <c r="B19" s="163">
        <f>IF('01_Вводные'!$B$234="Да",SUM('19_Расчет_аналитики'!$B$3787:$BI$3787)/1000000,"")</f>
        <v/>
      </c>
      <c r="C19" s="163">
        <f>SUM('19_Расчет_аналитики'!$B$1763:$BI$1763)/1000000</f>
        <v/>
      </c>
      <c r="D19" s="163">
        <f>IF('01_Вводные'!$B$234="Да",SUM('19_Расчет_аналитики'!$B$4799:$BI$4799)/1000000,"")</f>
        <v/>
      </c>
      <c r="E19" s="163">
        <f>IF('01_Вводные'!$B$234="Да",B19-C19,"")</f>
        <v/>
      </c>
      <c r="F19" s="163">
        <f>IF('01_Вводные'!$B$234="Да",D19-C19,"")</f>
        <v/>
      </c>
      <c r="G19" s="115" t="n"/>
      <c r="H19" s="104" t="n"/>
    </row>
    <row r="20"/>
    <row r="21" ht="45" customHeight="1">
      <c r="A21" s="111" t="inlineStr">
        <is>
          <t>Почему легче: в книге одновременно считаются 3 сценария и только 2 отклонения выбранного драйвера. Доступны все 6 драйверов, но 12 независимых расчётов больше не работают при каждом изменении ячейки.</t>
        </is>
      </c>
    </row>
    <row r="22"/>
    <row r="23" ht="38" customHeight="1">
      <c r="A23" s="111" t="inlineStr">
        <is>
          <t>Полный независимый прогон всех 12 тестов выполнен при ревизии; результаты и ограничения зафиксированы на 14_Ревизия. Проверка на вашем Excel/Google Sheets всё равно необходима.</t>
        </is>
      </c>
    </row>
  </sheetData>
  <mergeCells count="5">
    <mergeCell ref="A3:H3"/>
    <mergeCell ref="A21:H21"/>
    <mergeCell ref="B5:F5"/>
    <mergeCell ref="A1:H1"/>
    <mergeCell ref="A23:H23"/>
  </mergeCells>
  <printOptions horizontalCentered="0"/>
  <pageMargins left="0.75" right="0.75" top="1" bottom="1" header="0.5" footer="0.5"/>
  <pageSetup orientation="portrait" fitToHeight="0" fitToWidth="1"/>
  <headerFooter>
    <oddHeader/>
    <oddFooter>&amp;LФинмодель Спартак · 12_Чувствительность&amp;R&amp;P / &amp;N</oddFooter>
    <evenHeader/>
    <evenFooter/>
    <firstHeader/>
    <firstFooter/>
  </headerFooter>
</worksheet>
</file>

<file path=xl/worksheets/sheet15.xml><?xml version="1.0" encoding="utf-8"?>
<worksheet xmlns="http://schemas.openxmlformats.org/spreadsheetml/2006/main">
  <sheetPr>
    <tabColor rgb="00548235"/>
    <outlinePr summaryBelow="1" summaryRight="1"/>
    <pageSetUpPr fitToPage="1"/>
  </sheetPr>
  <dimension ref="A1:G8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53" customWidth="1" min="1" max="1"/>
    <col width="24" customWidth="1" min="2" max="2"/>
    <col width="20" customWidth="1" min="3" max="3"/>
    <col width="70" customWidth="1" min="4" max="4"/>
    <col width="34" customWidth="1" min="6" max="6"/>
    <col width="46" customWidth="1" min="7" max="7"/>
  </cols>
  <sheetData>
    <row r="1" ht="27" customHeight="1">
      <c r="A1" s="60" t="inlineStr">
        <is>
          <t>СПАРТАК | Контроль расчёта и ограничения</t>
        </is>
      </c>
      <c r="F1" s="257" t="inlineStr">
        <is>
          <t>Итог автопроверок</t>
        </is>
      </c>
    </row>
    <row r="2"/>
    <row r="3" ht="33" customHeight="1">
      <c r="A3" s="87" t="inlineStr">
        <is>
          <t>Проверка</t>
        </is>
      </c>
      <c r="B3" s="87" t="inlineStr">
        <is>
          <t>Отклонение / значение</t>
        </is>
      </c>
      <c r="C3" s="87" t="inlineStr">
        <is>
          <t>Статус</t>
        </is>
      </c>
      <c r="D3" s="87" t="inlineStr">
        <is>
          <t>Пояснение</t>
        </is>
      </c>
      <c r="F3" s="258" t="inlineStr">
        <is>
          <t>Пройдено</t>
        </is>
      </c>
      <c r="G3" s="324">
        <f>COUNTIF(C4:C74,"OK")</f>
        <v/>
      </c>
    </row>
    <row r="4" ht="26" customHeight="1">
      <c r="A4" s="104" t="inlineStr">
        <is>
          <t>Сезон 1: продажи = план</t>
        </is>
      </c>
      <c r="B4" s="103">
        <f>SUM('04_Продажи'!B15:M15)-'01_Вводные'!B36</f>
        <v/>
      </c>
      <c r="C4" s="117">
        <f>IF(ABS(B4)&lt;0.01,"OK","ПРОВЕРИТЬ")</f>
        <v/>
      </c>
      <c r="D4" s="104" t="inlineStr"/>
      <c r="F4" s="258" t="inlineStr">
        <is>
          <t>Требует проверки</t>
        </is>
      </c>
      <c r="G4" s="324">
        <f>COUNTIF(C4:C74,"ПРОВЕРИТЬ")</f>
        <v/>
      </c>
    </row>
    <row r="5" ht="26" customHeight="1">
      <c r="A5" s="104" t="inlineStr">
        <is>
          <t>Сезон 1: целые продажи = округлённый план</t>
        </is>
      </c>
      <c r="B5" s="103">
        <f>SUM('04_Продажи'!B16:M16)-ROUND('01_Вводные'!B36,0)</f>
        <v/>
      </c>
      <c r="C5" s="117">
        <f>IF(ABS(B5)&lt;0.01,"OK","ПРОВЕРИТЬ")</f>
        <v/>
      </c>
      <c r="D5" s="104" t="inlineStr"/>
      <c r="F5" s="258" t="inlineStr">
        <is>
          <t>Риск плана (не ошибка формул)</t>
        </is>
      </c>
      <c r="G5" s="324">
        <f>COUNTIF(C4:C74,"РИСК ПЛАНА")</f>
        <v/>
      </c>
    </row>
    <row r="6" ht="26" customHeight="1">
      <c r="A6" s="104" t="inlineStr">
        <is>
          <t>Сезон 1: контроль на листе продаж</t>
        </is>
      </c>
      <c r="B6" s="103">
        <f>'04_Продажи'!E5</f>
        <v/>
      </c>
      <c r="C6" s="117">
        <f>IF(ABS(B6)&lt;0.01,"OK","ПРОВЕРИТЬ")</f>
        <v/>
      </c>
      <c r="D6" s="104" t="inlineStr"/>
      <c r="F6" s="258" t="inlineStr">
        <is>
          <t>Сознательное упрощение</t>
        </is>
      </c>
      <c r="G6" s="324">
        <f>COUNTIF(C4:C74,"УПРОЩЕНИЕ")</f>
        <v/>
      </c>
    </row>
    <row r="7" ht="26" customHeight="1">
      <c r="A7" s="104" t="inlineStr">
        <is>
          <t>Сезон 2: продажи = план</t>
        </is>
      </c>
      <c r="B7" s="103">
        <f>SUM('04_Продажи'!N15:Y15)-'01_Вводные'!B37</f>
        <v/>
      </c>
      <c r="C7" s="117">
        <f>IF(ABS(B7)&lt;0.01,"OK","ПРОВЕРИТЬ")</f>
        <v/>
      </c>
      <c r="D7" s="104" t="inlineStr"/>
      <c r="F7" s="258" t="inlineStr">
        <is>
          <t>Двойное премирование</t>
        </is>
      </c>
      <c r="G7" s="324">
        <f>COUNTIF(C4:C74,"ДВОЙНАЯ ПРЕМИЯ")</f>
        <v/>
      </c>
    </row>
    <row r="8" ht="26" customHeight="1">
      <c r="A8" s="104" t="inlineStr">
        <is>
          <t>Сезон 2: целые продажи = округлённый план</t>
        </is>
      </c>
      <c r="B8" s="103">
        <f>SUM('04_Продажи'!N16:Y16)-ROUND('01_Вводные'!B37,0)</f>
        <v/>
      </c>
      <c r="C8" s="117">
        <f>IF(ABS(B8)&lt;0.01,"OK","ПРОВЕРИТЬ")</f>
        <v/>
      </c>
      <c r="D8" s="104" t="inlineStr"/>
      <c r="F8" s="325" t="n"/>
    </row>
    <row r="9" ht="26" customHeight="1">
      <c r="A9" s="104" t="inlineStr">
        <is>
          <t>Сезон 2: контроль на листе продаж</t>
        </is>
      </c>
      <c r="B9" s="103">
        <f>'04_Продажи'!E6</f>
        <v/>
      </c>
      <c r="C9" s="117">
        <f>IF(ABS(B9)&lt;0.01,"OK","ПРОВЕРИТЬ")</f>
        <v/>
      </c>
      <c r="D9" s="104" t="inlineStr"/>
      <c r="F9" t="inlineStr">
        <is>
          <t>Статус</t>
        </is>
      </c>
      <c r="G9" s="325">
        <f>IF(G4=0,"Модель сходится","Есть расхождения — смотри строки со статусом ПРОВЕРИТЬ")</f>
        <v/>
      </c>
    </row>
    <row r="10" ht="26" customHeight="1">
      <c r="A10" s="104" t="inlineStr">
        <is>
          <t>Сезон 3: продажи = план</t>
        </is>
      </c>
      <c r="B10" s="103">
        <f>SUM('04_Продажи'!Z15:AK15)-'01_Вводные'!B38</f>
        <v/>
      </c>
      <c r="C10" s="117">
        <f>IF(ABS(B10)&lt;0.01,"OK","ПРОВЕРИТЬ")</f>
        <v/>
      </c>
      <c r="D10" s="104" t="inlineStr"/>
    </row>
    <row r="11" ht="26" customHeight="1">
      <c r="A11" s="104" t="inlineStr">
        <is>
          <t>Сезон 3: целые продажи = округлённый план</t>
        </is>
      </c>
      <c r="B11" s="103">
        <f>SUM('04_Продажи'!Z16:AK16)-ROUND('01_Вводные'!B38,0)</f>
        <v/>
      </c>
      <c r="C11" s="117">
        <f>IF(ABS(B11)&lt;0.01,"OK","ПРОВЕРИТЬ")</f>
        <v/>
      </c>
      <c r="D11" s="104" t="inlineStr"/>
      <c r="F11" s="326" t="inlineStr">
        <is>
          <t>«РИСК ПЛАНА» и «УПРОЩЕНИЕ» — это не поломка формул, а честно показанные ограничения плана.</t>
        </is>
      </c>
    </row>
    <row r="12" ht="26" customHeight="1">
      <c r="A12" s="104" t="inlineStr">
        <is>
          <t>Сезон 3: контроль на листе продаж</t>
        </is>
      </c>
      <c r="B12" s="103">
        <f>'04_Продажи'!E7</f>
        <v/>
      </c>
      <c r="C12" s="117">
        <f>IF(ABS(B12)&lt;0.01,"OK","ПРОВЕРИТЬ")</f>
        <v/>
      </c>
      <c r="D12" s="104" t="inlineStr"/>
    </row>
    <row r="13" ht="26" customHeight="1">
      <c r="A13" s="104" t="inlineStr">
        <is>
          <t>Сезон 4: продажи = план</t>
        </is>
      </c>
      <c r="B13" s="103">
        <f>SUM('04_Продажи'!AL15:AW15)-'01_Вводные'!B39</f>
        <v/>
      </c>
      <c r="C13" s="117">
        <f>IF(ABS(B13)&lt;0.01,"OK","ПРОВЕРИТЬ")</f>
        <v/>
      </c>
      <c r="D13" s="104" t="inlineStr"/>
    </row>
    <row r="14" ht="26" customHeight="1">
      <c r="A14" s="104" t="inlineStr">
        <is>
          <t>Сезон 4: целые продажи = округлённый план</t>
        </is>
      </c>
      <c r="B14" s="103">
        <f>SUM('04_Продажи'!AL16:AW16)-ROUND('01_Вводные'!B39,0)</f>
        <v/>
      </c>
      <c r="C14" s="117">
        <f>IF(ABS(B14)&lt;0.01,"OK","ПРОВЕРИТЬ")</f>
        <v/>
      </c>
      <c r="D14" s="104" t="inlineStr"/>
    </row>
    <row r="15" ht="26" customHeight="1">
      <c r="A15" s="104" t="inlineStr">
        <is>
          <t>Сезон 4: контроль на листе продаж</t>
        </is>
      </c>
      <c r="B15" s="103">
        <f>'04_Продажи'!E8</f>
        <v/>
      </c>
      <c r="C15" s="117">
        <f>IF(ABS(B15)&lt;0.01,"OK","ПРОВЕРИТЬ")</f>
        <v/>
      </c>
      <c r="D15" s="104" t="inlineStr"/>
    </row>
    <row r="16" ht="26" customHeight="1">
      <c r="A16" s="104" t="inlineStr">
        <is>
          <t>Сезон 5: продажи = план</t>
        </is>
      </c>
      <c r="B16" s="103">
        <f>SUM('04_Продажи'!AX15:BI15)-'01_Вводные'!B40</f>
        <v/>
      </c>
      <c r="C16" s="117">
        <f>IF(ABS(B16)&lt;0.01,"OK","ПРОВЕРИТЬ")</f>
        <v/>
      </c>
      <c r="D16" s="104" t="inlineStr"/>
    </row>
    <row r="17" ht="26" customHeight="1">
      <c r="A17" s="104" t="inlineStr">
        <is>
          <t>Сезон 5: целые продажи = округлённый план</t>
        </is>
      </c>
      <c r="B17" s="103">
        <f>SUM('04_Продажи'!AX16:BI16)-ROUND('01_Вводные'!B40,0)</f>
        <v/>
      </c>
      <c r="C17" s="117">
        <f>IF(ABS(B17)&lt;0.01,"OK","ПРОВЕРИТЬ")</f>
        <v/>
      </c>
      <c r="D17" s="104" t="inlineStr"/>
    </row>
    <row r="18" ht="26" customHeight="1">
      <c r="A18" s="104" t="inlineStr">
        <is>
          <t>Сезон 5: контроль на листе продаж</t>
        </is>
      </c>
      <c r="B18" s="103">
        <f>'04_Продажи'!E9</f>
        <v/>
      </c>
      <c r="C18" s="117">
        <f>IF(ABS(B18)&lt;0.01,"OK","ПРОВЕРИТЬ")</f>
        <v/>
      </c>
      <c r="D18" s="104" t="inlineStr"/>
    </row>
    <row r="19" ht="26" customHeight="1">
      <c r="A19" s="104" t="inlineStr">
        <is>
          <t>Первый месяц: ноль продаж</t>
        </is>
      </c>
      <c r="B19" s="103">
        <f>'04_Продажи'!B15</f>
        <v/>
      </c>
      <c r="C19" s="117">
        <f>IF(ABS(B19)&lt;0.01,"OK","ПРОВЕРИТЬ")</f>
        <v/>
      </c>
      <c r="D19" s="104" t="inlineStr"/>
    </row>
    <row r="20" ht="26" customHeight="1">
      <c r="A20" s="104" t="inlineStr">
        <is>
          <t>Микс тарифных групп = 100%</t>
        </is>
      </c>
      <c r="B20" s="103">
        <f>'01_Вводные'!C283-1</f>
        <v/>
      </c>
      <c r="C20" s="117">
        <f>IF(ABS(B20)&lt;0.01,"OK","ПРОВЕРИТЬ")</f>
        <v/>
      </c>
      <c r="D20" s="104" t="inlineStr"/>
    </row>
    <row r="21" ht="26" customHeight="1">
      <c r="A21" s="104" t="inlineStr">
        <is>
          <t>Распределение первичной формы = 100%</t>
        </is>
      </c>
      <c r="B21" s="103">
        <f>'01_Вводные'!B90-1</f>
        <v/>
      </c>
      <c r="C21" s="117">
        <f>IF(ABS(B21)&lt;0.01,"OK","ПРОВЕРИТЬ")</f>
        <v/>
      </c>
      <c r="D21" s="104" t="inlineStr"/>
    </row>
    <row r="22" ht="26" customHeight="1">
      <c r="A22" s="104" t="inlineStr">
        <is>
          <t>Распределение повторной формы = 100%</t>
        </is>
      </c>
      <c r="B22" s="103">
        <f>'01_Вводные'!B95-1</f>
        <v/>
      </c>
      <c r="C22" s="117">
        <f>IF(ABS(B22)&lt;0.01,"OK","ПРОВЕРИТЬ")</f>
        <v/>
      </c>
      <c r="D22" s="104" t="inlineStr"/>
    </row>
    <row r="23" ht="26" customHeight="1">
      <c r="A23" s="104" t="inlineStr">
        <is>
          <t>Клиентские платежи лагеря = 100%</t>
        </is>
      </c>
      <c r="B23" s="103">
        <f>'01_Вводные'!B171+'01_Вводные'!B172-1</f>
        <v/>
      </c>
      <c r="C23" s="117">
        <f>IF(ABS(B23)&lt;0.01,"OK","ПРОВЕРИТЬ")</f>
        <v/>
      </c>
      <c r="D23" s="104" t="inlineStr"/>
    </row>
    <row r="24" ht="26" customHeight="1">
      <c r="A24" s="104" t="inlineStr">
        <is>
          <t>Платежи проживания = 100%</t>
        </is>
      </c>
      <c r="B24" s="103">
        <f>'01_Вводные'!B174+'01_Вводные'!B176-1</f>
        <v/>
      </c>
      <c r="C24" s="117">
        <f>IF(ABS(B24)&lt;0.01,"OK","ПРОВЕРИТЬ")</f>
        <v/>
      </c>
      <c r="D24" s="104" t="inlineStr"/>
    </row>
    <row r="25" ht="26" customHeight="1">
      <c r="A25" s="104" t="inlineStr">
        <is>
          <t>Продажи лагеря соответствуют участникам</t>
        </is>
      </c>
      <c r="B25" s="103">
        <f>SUM('09_Лагеря'!B5:M5)-IF('01_Вводные'!B241="Да",('01_Вводные'!B162+'01_Вводные'!B163)*'01_Вводные'!B161,0)</f>
        <v/>
      </c>
      <c r="C25" s="117">
        <f>IF(ABS(B25)&lt;0.01,"OK","ПРОВЕРИТЬ")</f>
        <v/>
      </c>
      <c r="D25" s="104" t="inlineStr"/>
    </row>
    <row r="26" ht="26" customHeight="1">
      <c r="A26" s="104" t="inlineStr">
        <is>
          <t>Нет двойного налога лагеря в денежных расходах</t>
        </is>
      </c>
      <c r="B26" s="103">
        <f>SUM('09_Лагеря'!B19:BI19)-SUM('09_Лагеря'!B12:BI12)-SUM('09_Лагеря'!B13:BI13)</f>
        <v/>
      </c>
      <c r="C26" s="117">
        <f>IF(ABS(B26)&lt;0.01,"OK","ПРОВЕРИТЬ")</f>
        <v/>
      </c>
      <c r="D26" s="104" t="inlineStr">
        <is>
          <t>В расходах лагеря налог исключён; отдельная оплата только в БДДС.</t>
        </is>
      </c>
    </row>
    <row r="27" ht="26" customHeight="1">
      <c r="A27" s="104" t="inlineStr">
        <is>
          <t>Логистика мерча полностью оплачена</t>
        </is>
      </c>
      <c r="B27" s="103">
        <f>SUM('02_Модель'!B58:BI58)-SUM('02_Модель'!B27:BI27)</f>
        <v/>
      </c>
      <c r="C27" s="117">
        <f>IF(ABS(B27)&lt;0.01,"OK","ПРОВЕРИТЬ")</f>
        <v/>
      </c>
      <c r="D27" s="104" t="inlineStr"/>
    </row>
    <row r="28" ht="26" customHeight="1">
      <c r="A28" s="104" t="inlineStr">
        <is>
          <t>Баланс товарного запаса</t>
        </is>
      </c>
      <c r="B28" s="103">
        <f>MAX(MAX('02_Модель'!B87:BI87),-MIN('02_Модель'!B87:BI87))</f>
        <v/>
      </c>
      <c r="C28" s="117">
        <f>IF(ABS(B28)&lt;0.01,"OK","ПРОВЕРИТЬ")</f>
        <v/>
      </c>
      <c r="D28" s="104" t="inlineStr"/>
    </row>
    <row r="29" ht="26" customHeight="1">
      <c r="A29" s="104" t="inlineStr">
        <is>
          <t>БДР → БДДС сходится</t>
        </is>
      </c>
      <c r="B29" s="103">
        <f>MAX(MAX('02_Модель'!B86:BI86),-MIN('02_Модель'!B86:BI86))</f>
        <v/>
      </c>
      <c r="C29" s="117">
        <f>IF(ABS(B29)&lt;0.01,"OK","ПРОВЕРИТЬ")</f>
        <v/>
      </c>
      <c r="D29" s="104" t="inlineStr">
        <is>
          <t>Дебиторка, кредиторка, склад, авансы, ФК, CAPEX и тело займа.</t>
        </is>
      </c>
    </row>
    <row r="30" ht="26" customHeight="1">
      <c r="A30" s="104" t="inlineStr">
        <is>
          <t>Баланс займа</t>
        </is>
      </c>
      <c r="B30" s="103">
        <f>'01_Вводные'!B78-SUM('02_Модель'!B70:BI70)-'02_Модель'!BI75</f>
        <v/>
      </c>
      <c r="C30" s="117">
        <f>IF(ABS(B30)&lt;0.01,"OK","ПРОВЕРИТЬ")</f>
        <v/>
      </c>
      <c r="D30" s="104" t="inlineStr"/>
    </row>
    <row r="31" ht="26" customHeight="1">
      <c r="A31" s="104" t="inlineStr">
        <is>
          <t>Погашение не превышает начальный займ</t>
        </is>
      </c>
      <c r="B31" s="103">
        <f>MAX(0,SUM('02_Модель'!B70:BI70)-'01_Вводные'!B78)</f>
        <v/>
      </c>
      <c r="C31" s="117">
        <f>IF(ABS(B31)&lt;0.01,"OK","ПРОВЕРИТЬ")</f>
        <v/>
      </c>
      <c r="D31" s="104" t="inlineStr"/>
    </row>
    <row r="32" ht="26" customHeight="1">
      <c r="A32" s="104" t="inlineStr">
        <is>
          <t>Отчёт ФК = БДДС</t>
        </is>
      </c>
      <c r="B32" s="103">
        <f>MAX(MAX('10_Выплаты_ФК'!B37:BI37),-MIN('10_Выплаты_ФК'!B37:BI37))</f>
        <v/>
      </c>
      <c r="C32" s="117">
        <f>IF(ABS(B32)&lt;0.01,"OK","ПРОВЕРИТЬ")</f>
        <v/>
      </c>
      <c r="D32" s="104" t="inlineStr"/>
    </row>
    <row r="33" ht="26" customHeight="1">
      <c r="A33" s="104" t="inlineStr">
        <is>
          <t>Среднее детей на дашборде = среднее за 60 месяцев</t>
        </is>
      </c>
      <c r="B33" s="103">
        <f>'00_Дашборд'!H23-AVERAGE('06_Сеть_и_дети'!B25:BI25)</f>
        <v/>
      </c>
      <c r="C33" s="117">
        <f>IF(ABS(B33)&lt;0.01,"OK","ПРОВЕРИТЬ")</f>
        <v/>
      </c>
      <c r="D33" s="104" t="inlineStr"/>
    </row>
    <row r="34" ht="26" customHeight="1">
      <c r="A34" s="104" t="inlineStr">
        <is>
          <t>Выбранный сценарий совпадает с EBITDA</t>
        </is>
      </c>
      <c r="B34" s="103">
        <f>SUM('02_Модель'!B44:BI44)-INDEX('03_Сценарии'!B11:D11,1,'01_Вводные'!B194)*1000000</f>
        <v/>
      </c>
      <c r="C34" s="117">
        <f>IF(ABS(B34)&lt;0.01,"OK","ПРОВЕРИТЬ")</f>
        <v/>
      </c>
      <c r="D34" s="104" t="inlineStr"/>
    </row>
    <row r="35" ht="26" customHeight="1">
      <c r="A35" s="104" t="inlineStr">
        <is>
          <t>Выбранный сценарий совпадает с деньгами</t>
        </is>
      </c>
      <c r="B35" s="103">
        <f>'02_Модель'!BI72-INDEX('03_Сценарии'!B16:D16,1,'01_Вводные'!B194)*1000000</f>
        <v/>
      </c>
      <c r="C35" s="117">
        <f>IF(ABS(B35)&lt;0.01,"OK","ПРОВЕРИТЬ")</f>
        <v/>
      </c>
      <c r="D35" s="104" t="inlineStr"/>
    </row>
    <row r="36" ht="26" customHeight="1">
      <c r="A36" s="104" t="inlineStr">
        <is>
          <t>Положительная конверсия лидов</t>
        </is>
      </c>
      <c r="B36" s="103">
        <f>IF('01_Вводные'!B25&gt;0,0,1)</f>
        <v/>
      </c>
      <c r="C36" s="117">
        <f>IF(ABS(B36)&lt;0.01,"OK","ПРОВЕРИТЬ")</f>
        <v/>
      </c>
      <c r="D36" s="104" t="inlineStr"/>
    </row>
    <row r="37" ht="26" customHeight="1">
      <c r="A37" s="104" t="inlineStr">
        <is>
          <t>Допустимые сроки расчётов 0–30 дней</t>
        </is>
      </c>
      <c r="B37" s="103">
        <f>IF(AND('01_Вводные'!B19&gt;=0,'01_Вводные'!B19&lt;=30,'01_Вводные'!B227="OK"),0,1)</f>
        <v/>
      </c>
      <c r="C37" s="117">
        <f>IF(ABS(B37)&lt;0.01,"OK","ПРОВЕРИТЬ")</f>
        <v/>
      </c>
      <c r="D37" s="104" t="inlineStr"/>
    </row>
    <row r="38" ht="26" customHeight="1">
      <c r="A38" s="104" t="inlineStr">
        <is>
          <t>Целевой склад в поддерживаемых границах 1–6 мес.</t>
        </is>
      </c>
      <c r="B38" s="103">
        <f>IF(AND('01_Вводные'!B80&gt;=1,'01_Вводные'!B80&lt;=6),0,1)</f>
        <v/>
      </c>
      <c r="C38" s="117">
        <f>IF(ABS(B38)&lt;0.01,"OK","ПРОВЕРИТЬ")</f>
        <v/>
      </c>
      <c r="D38" s="104" t="inlineStr"/>
    </row>
    <row r="39" ht="26" customHeight="1">
      <c r="A39" s="104" t="inlineStr">
        <is>
          <t>Прогнозный горизонт 60 месяцев</t>
        </is>
      </c>
      <c r="B39" s="103">
        <f>'01_Вводные'!B8-60</f>
        <v/>
      </c>
      <c r="C39" s="117">
        <f>IF(ABS(B39)&lt;0.01,"OK","ПРОВЕРИТЬ")</f>
        <v/>
      </c>
      <c r="D39" s="104" t="inlineStr">
        <is>
          <t>Иная длина требует расширения структуры, а не только смены цифры.</t>
        </is>
      </c>
    </row>
    <row r="40" ht="26" customHeight="1">
      <c r="A40" s="104" t="inlineStr">
        <is>
          <t>Закрытие: коэффициент 0–1</t>
        </is>
      </c>
      <c r="B40" s="103">
        <f>IF(AND('01_Вводные'!B13&gt;=0,'01_Вводные'!B13&lt;=1),0,1)</f>
        <v/>
      </c>
      <c r="C40" s="117">
        <f>IF(ABS(B40)&lt;0.01,"OK","ПРОВЕРИТЬ")</f>
        <v/>
      </c>
      <c r="D40" s="104" t="inlineStr"/>
    </row>
    <row r="41" ht="26" customHeight="1">
      <c r="A41" s="130" t="inlineStr">
        <is>
          <t>Максимальный дефицит товара</t>
        </is>
      </c>
      <c r="B41" s="131">
        <f>MAX('07_Мерч'!B27:BI27)</f>
        <v/>
      </c>
      <c r="C41" s="132">
        <f>IF(ABS(B41)&lt;0.01,"OK","РИСК ПЛАНА")</f>
        <v/>
      </c>
      <c r="D41" s="130" t="inlineStr">
        <is>
          <t>Риск плана продаж, не исправляется скрытым созданием товара.</t>
        </is>
      </c>
    </row>
    <row r="42" ht="26" customHeight="1">
      <c r="A42" s="130" t="inlineStr">
        <is>
          <t>Пиковый кассовый дефицит</t>
        </is>
      </c>
      <c r="B42" s="131">
        <f>MAX(0,-MIN('02_Модель'!B72:BI72))</f>
        <v/>
      </c>
      <c r="C42" s="132">
        <f>IF(ABS(B42)&lt;0.01,"OK","РИСК ПЛАНА")</f>
        <v/>
      </c>
      <c r="D42" s="130" t="inlineStr">
        <is>
          <t>Не включён дополнительный кредит и стоимость его обслуживания.</t>
        </is>
      </c>
    </row>
    <row r="43" ht="42" customHeight="1">
      <c r="A43" s="136" t="inlineStr">
        <is>
          <t>Персональные схемы не дублируются квартальными премиями</t>
        </is>
      </c>
      <c r="B43" s="137">
        <f>IF(OR('01_Вводные'!D141="Да",'01_Вводные'!D142="Да",'01_Вводные'!D143="Да",'01_Вводные'!D150="Да"),1,0)</f>
        <v/>
      </c>
      <c r="C43" s="136">
        <f>IF(ABS(B43)&lt;0.01,"OK","ПРОВЕРИТЬ")</f>
        <v/>
      </c>
      <c r="D43" s="136" t="inlineStr">
        <is>
          <t>Развитие, проектный менеджер и продажи имеют отдельные схемы.</t>
        </is>
      </c>
    </row>
    <row r="44" ht="42" customHeight="1">
      <c r="A44" s="136" t="inlineStr">
        <is>
          <t>Месяцы закупок без повторов</t>
        </is>
      </c>
      <c r="B44" s="137">
        <f>IF(OR('01_Вводные'!B82='01_Вводные'!B83,'01_Вводные'!B82='01_Вводные'!B84,'01_Вводные'!B82='01_Вводные'!B85,'01_Вводные'!B83='01_Вводные'!B84,'01_Вводные'!B83='01_Вводные'!B85,'01_Вводные'!B84='01_Вводные'!B85),1,0)</f>
        <v/>
      </c>
      <c r="C44" s="136">
        <f>IF(ABS(B44)&lt;0.01,"OK","ПРОВЕРИТЬ")</f>
        <v/>
      </c>
      <c r="D44" s="136" t="inlineStr">
        <is>
          <t>Повтор номера месяца уменьшит число доступных закупок.</t>
        </is>
      </c>
    </row>
    <row r="45" ht="44" customHeight="1">
      <c r="A45" s="136" t="inlineStr">
        <is>
          <t>Роялти: включён детальный расчёт</t>
        </is>
      </c>
      <c r="B45" s="137">
        <f>IF('01_Вводные'!B239="Да",0,1)</f>
        <v/>
      </c>
      <c r="C45" s="136">
        <f>IF(B45=0,"OK","УПРОЩЕНИЕ")</f>
        <v/>
      </c>
      <c r="D45" s="136" t="inlineStr">
        <is>
          <t>Нет воспроизводит прежнее усреднение для сравнения, не является точной договорной моделью.</t>
        </is>
      </c>
    </row>
    <row r="46"/>
    <row r="47" ht="32" customHeight="1">
      <c r="A47" s="104" t="inlineStr">
        <is>
          <t>CAPEX включён в БДДС полностью</t>
        </is>
      </c>
      <c r="B47" s="103">
        <f>SUM('02_Модель'!B57:BI57)-SUM('02_Модель'!B99:BI99)</f>
        <v/>
      </c>
      <c r="C47" s="117">
        <f>IF(ABS(B47)&lt;0.01,"OK","ПРОВЕРИТЬ")</f>
        <v/>
      </c>
      <c r="D47" s="104" t="inlineStr">
        <is>
          <t>Оплата равна сумме разового и поддерживающего CAPEX.</t>
        </is>
      </c>
    </row>
    <row r="48" ht="32" customHeight="1">
      <c r="A48" s="104" t="inlineStr">
        <is>
          <t>CAPEX сценария совпадает с отчётом</t>
        </is>
      </c>
      <c r="B48" s="103">
        <f>SUM('02_Модель'!B57:BI57)-INDEX('03_Сценарии'!B28:D28,1,'01_Вводные'!B194)*1000000</f>
        <v/>
      </c>
      <c r="C48" s="117">
        <f>IF(ABS(B48)&lt;0.01,"OK","ПРОВЕРИТЬ")</f>
        <v/>
      </c>
      <c r="D48" s="104" t="inlineStr">
        <is>
          <t>Каждый сценарий использует свою выручку.</t>
        </is>
      </c>
    </row>
    <row r="49" ht="32" customHeight="1">
      <c r="A49" s="104" t="inlineStr">
        <is>
          <t>CAPEX не задвоен</t>
        </is>
      </c>
      <c r="B49" s="103">
        <f>SUM('02_Модель'!B57:BI57)-SUM('02_Модель'!B97:BI98)</f>
        <v/>
      </c>
      <c r="C49" s="117">
        <f>IF(ABS(B49)&lt;0.01,"OK","ПРОВЕРИТЬ")</f>
        <v/>
      </c>
      <c r="D49" s="104" t="inlineStr">
        <is>
          <t>Одна выплата, без включения в OPEX / EBITDA.</t>
        </is>
      </c>
    </row>
    <row r="50" ht="32" customHeight="1">
      <c r="A50" s="104" t="inlineStr">
        <is>
          <t>Разовый CAPEX учтён один раз</t>
        </is>
      </c>
      <c r="B50" s="103">
        <f>SUM('02_Модель'!B98:BI98)-IF(AND('01_Вводные'!B290="Да",'01_Вводные'!B289&gt;='02_Модель'!B3,'01_Вводные'!B289&lt;='02_Модель'!BI3),'01_Вводные'!B287,0)</f>
        <v/>
      </c>
      <c r="C50" s="117">
        <f>IF(ABS(B50)&lt;0.01,"OK","ПРОВЕРИТЬ")</f>
        <v/>
      </c>
      <c r="D50" s="104" t="inlineStr">
        <is>
          <t>В заданном месяце внутри горизонта при включённом CAPEX.</t>
        </is>
      </c>
    </row>
    <row r="51"/>
    <row r="52" ht="30" customHeight="1">
      <c r="A52" s="104" t="inlineStr">
        <is>
          <t>Все возрасты дают все новые школы</t>
        </is>
      </c>
      <c r="B52" s="103">
        <f>MAX(MAX('06_Сеть_и_дети'!B206:BI206),-MIN('06_Сеть_и_дети'!B206:BI206))</f>
        <v/>
      </c>
      <c r="C52" s="117">
        <f>IF(ABS(B52)&lt;0.01,"OK","ПРОВЕРИТЬ")</f>
        <v/>
      </c>
    </row>
    <row r="53" ht="30" customHeight="1">
      <c r="A53" s="104" t="inlineStr">
        <is>
          <t>Дети собраны из всех возрастов</t>
        </is>
      </c>
      <c r="B53" s="103">
        <f>MAX(MAX('06_Сеть_и_дети'!B207:BI207),-MIN('06_Сеть_и_дети'!B207:BI207))</f>
        <v/>
      </c>
      <c r="C53" s="117">
        <f>IF(ABS(B53)&lt;0.01,"OK","ПРОВЕРИТЬ")</f>
        <v/>
      </c>
    </row>
    <row r="54" ht="30" customHeight="1">
      <c r="A54" s="104" t="inlineStr">
        <is>
          <t>Постепенный набор включен</t>
        </is>
      </c>
      <c r="B54" s="103">
        <f>IF('01_Вводные'!B295="Да",0,1)</f>
        <v/>
      </c>
      <c r="C54" s="117">
        <f>IF(ABS(B54)&lt;0.01,"OK","ПРОВЕРИТЬ")</f>
        <v/>
      </c>
    </row>
    <row r="55" ht="30" customHeight="1">
      <c r="A55" s="104" t="inlineStr">
        <is>
          <t>Новый сезон повторных заказов</t>
        </is>
      </c>
      <c r="B55" s="103">
        <f>IF('01_Вводные'!B296="Новый сезон",0,1)</f>
        <v/>
      </c>
      <c r="C55" s="117">
        <f>IF(ABS(B55)&lt;0.01,"OK","ПРОВЕРИТЬ")</f>
        <v/>
      </c>
    </row>
    <row r="56" ht="30" customHeight="1">
      <c r="A56" s="104" t="inlineStr">
        <is>
          <t>В первые 4 мес. повторной формы нет</t>
        </is>
      </c>
      <c r="B56" s="103">
        <f>SUM('06_Сеть_и_дети'!B165:BI168)</f>
        <v/>
      </c>
      <c r="C56" s="117">
        <f>IF(ABS(B56)&lt;0.01,"OK","ПРОВЕРИТЬ")</f>
        <v/>
      </c>
      <c r="D56" t="inlineStr">
        <is>
          <t>Месяц открытия + 3 первичных поставки; нет одновременного учета.</t>
        </is>
      </c>
    </row>
    <row r="57" ht="30" customHeight="1">
      <c r="A57" s="104" t="inlineStr">
        <is>
          <t>Конверсия 0-100%</t>
        </is>
      </c>
      <c r="B57" s="103">
        <f>IF(AND('01_Вводные'!B298&gt;=0,'01_Вводные'!B298&lt;=1),0,1)</f>
        <v/>
      </c>
      <c r="C57" s="117">
        <f>IF(ABS(B57)&lt;0.01,"OK","ПРОВЕРИТЬ")</f>
        <v/>
      </c>
    </row>
    <row r="58" ht="30" customHeight="1">
      <c r="A58" s="104" t="inlineStr">
        <is>
          <t>Индексация вне ФОТ включена</t>
        </is>
      </c>
      <c r="B58" s="103">
        <f>IF('01_Вводные'!B294="Да",0,1)</f>
        <v/>
      </c>
      <c r="C58" s="117">
        <f>IF(ABS(B58)&lt;0.01,"OK","ПРОВЕРИТЬ")</f>
        <v/>
      </c>
    </row>
    <row r="59" ht="30" customHeight="1">
      <c r="A59" s="104" t="inlineStr">
        <is>
          <t>Офис оставлен фиксированным</t>
        </is>
      </c>
      <c r="B59" s="103">
        <f>SUM('02_Модель'!B38:BI38)-60*'01_Вводные'!B108</f>
        <v/>
      </c>
      <c r="C59" s="117">
        <f>IF(ABS(B59)&lt;0.01,"OK","ПРОВЕРИТЬ")</f>
        <v/>
      </c>
    </row>
    <row r="60" ht="30" customHeight="1">
      <c r="A60" s="104" t="inlineStr">
        <is>
          <t>Согласованный мерч 2026 не менялся (в пределах горизонта)</t>
        </is>
      </c>
      <c r="B60" s="103">
        <f>SUMPRODUCT('07_Мерч'!$B$6:$BO$6*(COUNTIF('01_Вводные'!$B$98:$E$98,'07_Мерч'!$B$3:$BO$3)&gt;0))-SUMPRODUCT('01_Вводные'!$B$100:$E$100*(COUNTIF('07_Мерч'!$B$3:$BO$3,'01_Вводные'!$B$98:$E$98)&gt;0))</f>
        <v/>
      </c>
      <c r="C60" s="117">
        <f>IF(ABS(B60)&lt;0.01,"OK","ПРОВЕРИТЬ")</f>
        <v/>
      </c>
    </row>
    <row r="61"/>
    <row r="62">
      <c r="A62" s="104" t="inlineStr">
        <is>
          <t>История: июль 2026 загружен</t>
        </is>
      </c>
      <c r="B62" s="103">
        <f>'01_Вводные'!L181+'01_Вводные'!L182+'01_Вводные'!L183+'01_Вводные'!L184+'01_Вводные'!L185+'01_Вводные'!L186</f>
        <v/>
      </c>
      <c r="C62" s="117">
        <f>IF(AND('01_Вводные'!L181=3136928,'01_Вводные'!L182=44505,'01_Вводные'!L183=314803,'01_Вводные'!L184=5348614,'01_Вводные'!L185=5010,'01_Вводные'!L186=-2576003),"OK","ПРОВЕРИТЬ")</f>
        <v/>
      </c>
      <c r="D62" s="104" t="inlineStr">
        <is>
          <t>Проверка июльского P&amp;L по предоставленному отчету.</t>
        </is>
      </c>
    </row>
    <row r="63">
      <c r="A63" s="104" t="inlineStr">
        <is>
          <t>Режим истории допустим</t>
        </is>
      </c>
      <c r="B63" s="103">
        <f>'01_Вводные'!B188</f>
        <v/>
      </c>
      <c r="C63" s="117">
        <f>IF(OR(B63="Без истории",B63="С историей"),"OK","ПРОВЕРИТЬ")</f>
        <v/>
      </c>
      <c r="D63" s="104" t="inlineStr">
        <is>
          <t>Переключатель влияет только на представление общего результата на дашборде, а не на прогнозные формулы.</t>
        </is>
      </c>
    </row>
    <row r="64"/>
    <row r="65">
      <c r="A65" s="218" t="inlineStr">
        <is>
          <t>Дополнительные проверки V8.7</t>
        </is>
      </c>
    </row>
    <row r="66">
      <c r="A66" t="inlineStr">
        <is>
          <t>Коэффициент новых юрлиц &gt;= 0</t>
        </is>
      </c>
      <c r="B66">
        <f>IF('01_Вводные'!B16&gt;=0,0,1)</f>
        <v/>
      </c>
      <c r="C66">
        <f>IF(B66=0,"OK","ПРОВЕРИТЬ")</f>
        <v/>
      </c>
    </row>
    <row r="67">
      <c r="A67" t="inlineStr">
        <is>
          <t>Коэффициент новых школ &gt;= 0</t>
        </is>
      </c>
      <c r="B67">
        <f>IF('01_Вводные'!B22&gt;=0,0,1)</f>
        <v/>
      </c>
      <c r="C67">
        <f>IF(B67=0,"OK","ПРОВЕРИТЬ")</f>
        <v/>
      </c>
    </row>
    <row r="68">
      <c r="A68" t="inlineStr">
        <is>
          <t>Старт: 51 партнёр / 104 школы</t>
        </is>
      </c>
      <c r="B68">
        <f>IF(AND('01_Вводные'!B10=51,'01_Вводные'!B9=104),0,1)</f>
        <v/>
      </c>
      <c r="C68">
        <f>IF(B68=0,"OK","ПРОВЕРИТЬ")</f>
        <v/>
      </c>
    </row>
    <row r="70">
      <c r="A70" s="257" t="inlineStr">
        <is>
          <t>Дополнительные проверки по разбору 09.09.2026</t>
        </is>
      </c>
    </row>
    <row r="71" ht="30" customHeight="1">
      <c r="A71" s="243" t="inlineStr">
        <is>
          <t>Двойное премирование: месяцев с 4% и 5% одновременно</t>
        </is>
      </c>
      <c r="B71" s="73">
        <f>SUMPRODUCT(--('04_Продажи'!$B$15:$BI$15&gt;='01_Вводные'!$B$126))</f>
        <v/>
      </c>
      <c r="C71" s="325">
        <f>IF(B71=0,"OK","ДВОЙНАЯ ПРЕМИЯ")</f>
        <v/>
      </c>
      <c r="D71" s="245" t="inlineStr">
        <is>
          <t>При продажах ≥ 5 Евгений получает 4%, а временный продавец 5% с ОДНОЙ И ТОЙ ЖЕ паушальной выручки. Решение по разделению баз не принято — см. 14а_Сверка_с_ТЗ.</t>
        </is>
      </c>
    </row>
    <row r="72" ht="30" customHeight="1">
      <c r="A72" s="243" t="inlineStr">
        <is>
          <t>Лагеря включены в расчёт</t>
        </is>
      </c>
      <c r="B72" s="73">
        <f>IF('01_Вводные'!$B$241="Да",1,0)</f>
        <v/>
      </c>
      <c r="C72" s="325">
        <f>IF(B72=1,"ВКЛЮЧЕНЫ","ОТКЛЮЧЕНЫ")</f>
        <v/>
      </c>
      <c r="D72" s="245" t="inlineStr">
        <is>
          <t>Отключено по запросу 09.09.2026. Вернуть: 01_Вводные!B241 = Да.</t>
        </is>
      </c>
    </row>
    <row r="73" ht="30" customHeight="1">
      <c r="A73" s="243" t="inlineStr">
        <is>
          <t>Выручка лагерей при отключении = 0</t>
        </is>
      </c>
      <c r="B73" s="73">
        <f>SUM('09_Лагеря'!B10:BI10)</f>
        <v/>
      </c>
      <c r="C73" s="325">
        <f>IF(ABS(B73)&lt;0.01,"OK","ПРОВЕРИТЬ")</f>
        <v/>
      </c>
      <c r="D73" s="245" t="inlineStr">
        <is>
          <t>Контроль, что переключатель действительно обнуляет блок.</t>
        </is>
      </c>
    </row>
    <row r="74" ht="30" customHeight="1">
      <c r="A74" s="243" t="inlineStr">
        <is>
          <t>Деньги лагерей при отключении = 0</t>
        </is>
      </c>
      <c r="B74" s="73">
        <f>SUM('09_Лагеря'!B8:BI8)+SUM('09_Лагеря'!B19:BI19)</f>
        <v/>
      </c>
      <c r="C74" s="325">
        <f>IF(ABS(B74)&lt;0.01,"OK","ПРОВЕРИТЬ")</f>
        <v/>
      </c>
      <c r="D74" s="245" t="inlineStr">
        <is>
          <t>Ни поступлений, ни оплат.</t>
        </is>
      </c>
    </row>
    <row r="76">
      <c r="A76" s="327" t="inlineStr">
        <is>
          <t>Дополнительные проверки по разбору 11.09.2026</t>
        </is>
      </c>
    </row>
    <row r="77">
      <c r="A77" t="inlineStr">
        <is>
          <t>Когорты школ сходятся со стадиями — негативный</t>
        </is>
      </c>
      <c r="B77">
        <f>SUM('19_Расчет_аналитики'!$B$561:$BI$561)</f>
        <v/>
      </c>
      <c r="C77">
        <f>IF(ABS(B77)&lt;0.01,"OK","ПРОВЕРИТЬ")</f>
        <v/>
      </c>
      <c r="D77" t="inlineStr">
        <is>
          <t>Сумма школ по 25 месяцам жизни против суммы трёх стадий (1–12, 13–24, зрелые). Считалось в движке, но никуда не выводилось.</t>
        </is>
      </c>
    </row>
    <row r="78">
      <c r="A78" t="inlineStr">
        <is>
          <t>Когорты школ сходятся со стадиями — базовый</t>
        </is>
      </c>
      <c r="B78">
        <f>SUM('19_Расчет_аналитики'!$B$1573:$BI$1573)</f>
        <v/>
      </c>
      <c r="C78">
        <f>IF(ABS(B78)&lt;0.01,"OK","ПРОВЕРИТЬ")</f>
        <v/>
      </c>
      <c r="D78" t="inlineStr">
        <is>
          <t>Сумма школ по 25 месяцам жизни против суммы трёх стадий (1–12, 13–24, зрелые). Считалось в движке, но никуда не выводилось.</t>
        </is>
      </c>
    </row>
    <row r="79">
      <c r="A79" t="inlineStr">
        <is>
          <t>Когорты школ сходятся со стадиями — позитивный</t>
        </is>
      </c>
      <c r="B79">
        <f>SUM('19_Расчет_аналитики'!$B$2585:$BI$2585)</f>
        <v/>
      </c>
      <c r="C79">
        <f>IF(ABS(B79)&lt;0.01,"OK","ПРОВЕРИТЬ")</f>
        <v/>
      </c>
      <c r="D79" t="inlineStr">
        <is>
          <t>Сумма школ по 25 месяцам жизни против суммы трёх стадий (1–12, 13–24, зрелые). Считалось в движке, но никуда не выводилось.</t>
        </is>
      </c>
    </row>
    <row r="80">
      <c r="A80" t="inlineStr">
        <is>
          <t>Продажи движка совпадают с листом продаж</t>
        </is>
      </c>
      <c r="B80">
        <f>CHOOSE('01_Вводные'!$B$194,SUM('19_Расчет_аналитики'!$B$338:$BI$338),SUM('19_Расчет_аналитики'!$B$1350:$BI$1350),SUM('19_Расчет_аналитики'!$B$2362:$BI$2362))-SUM('04_Продажи'!$B$15:$BI$15)</f>
        <v/>
      </c>
      <c r="C80">
        <f>IF(ABS(B80)&lt;0.01,"OK","ПРОВЕРИТЬ")</f>
        <v/>
      </c>
      <c r="D80" t="inlineStr">
        <is>
          <t>Заменяет сломанный контроль внутри движка: там ссылки разъехались при протяжке и строка сравнивала движок сам с собой.</t>
        </is>
      </c>
    </row>
  </sheetData>
  <mergeCells count="1">
    <mergeCell ref="A1:D1"/>
  </mergeCells>
  <conditionalFormatting sqref="B4:B42">
    <cfRule type="cellIs" priority="1" operator="greaterThan" dxfId="1">
      <formula>0.01</formula>
    </cfRule>
  </conditionalFormatting>
  <conditionalFormatting sqref="C4:C68">
    <cfRule type="cellIs" priority="2" operator="equal" dxfId="2">
      <formula>"ПРОВЕРИТЬ"</formula>
    </cfRule>
    <cfRule type="cellIs" priority="3" operator="equal" dxfId="3">
      <formula>"РИСК ПЛАНА"</formula>
    </cfRule>
    <cfRule type="cellIs" priority="4" operator="equal" dxfId="4">
      <formula>"УПРОЩЕНИЕ"</formula>
    </cfRule>
    <cfRule type="cellIs" priority="5" operator="equal" dxfId="5">
      <formula>"OK"</formula>
    </cfRule>
  </conditionalFormatting>
  <conditionalFormatting sqref="G4:G7">
    <cfRule type="cellIs" priority="6" operator="greaterThan" dxfId="2">
      <formula>0</formula>
    </cfRule>
  </conditionalFormatting>
  <conditionalFormatting sqref="C71:C74">
    <cfRule type="cellIs" priority="7" operator="equal" dxfId="2">
      <formula>"ДВОЙНАЯ ПРЕМИЯ"</formula>
    </cfRule>
    <cfRule type="cellIs" priority="8" operator="equal" dxfId="6">
      <formula>"ОТКЛЮЧЕНЫ"</formula>
    </cfRule>
  </conditionalFormatting>
  <printOptions horizontalCentered="0"/>
  <pageMargins left="0.75" right="0.75" top="1" bottom="1" header="0.5" footer="0.5"/>
  <pageSetup orientation="portrait" fitToHeight="0" fitToWidth="1"/>
  <headerFooter>
    <oddHeader/>
    <oddFooter>&amp;LФинмодель Спартак · 13_Проверки&amp;R&amp;P / &amp;N</oddFooter>
    <evenHeader/>
    <evenFooter/>
    <firstHeader/>
    <firstFooter/>
  </headerFooter>
</worksheet>
</file>

<file path=xl/worksheets/sheet16.xml><?xml version="1.0" encoding="utf-8"?>
<worksheet xmlns="http://schemas.openxmlformats.org/spreadsheetml/2006/main">
  <sheetPr>
    <tabColor rgb="00548235"/>
    <outlinePr summaryBelow="1" summaryRight="1"/>
    <pageSetUpPr fitToPage="1"/>
  </sheetPr>
  <dimension ref="A1:D14"/>
  <sheetViews>
    <sheetView showGridLines="0"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9" customWidth="1" min="1" max="1"/>
    <col width="65" customWidth="1" min="2" max="2"/>
    <col width="59" customWidth="1" min="3" max="3"/>
    <col width="35" customWidth="1" min="4" max="4"/>
    <col width="58" customWidth="1" min="5" max="5"/>
    <col width="38" customWidth="1" min="6" max="6"/>
    <col width="20" customWidth="1" min="7" max="7"/>
    <col width="26" customWidth="1" min="8" max="8"/>
  </cols>
  <sheetData>
    <row r="1" ht="38" customHeight="1">
      <c r="A1" s="197" t="inlineStr">
        <is>
          <t>Существенные вопросы и ограничения</t>
        </is>
      </c>
    </row>
    <row r="2"/>
    <row r="3" ht="40" customHeight="1"/>
    <row r="4" ht="30" customHeight="1">
      <c r="A4" s="198" t="inlineStr">
        <is>
          <t>Статус</t>
        </is>
      </c>
      <c r="B4" s="198" t="inlineStr">
        <is>
          <t>Что нужно решить</t>
        </is>
      </c>
      <c r="C4" s="198" t="inlineStr">
        <is>
          <t>Что сейчас</t>
        </is>
      </c>
      <c r="D4" s="198" t="inlineStr">
        <is>
          <t>Где</t>
        </is>
      </c>
    </row>
    <row r="5" ht="65" customHeight="1">
      <c r="A5" s="199" t="inlineStr">
        <is>
          <t>1. Уточнить</t>
        </is>
      </c>
      <c r="B5" s="199" t="inlineStr">
        <is>
          <t>Подтвердить каникулы по роялти, долю продаж, переходящих в открытия, и ежегодные закрытия школ.</t>
        </is>
      </c>
      <c r="C5" s="199" t="inlineStr">
        <is>
          <t>В базе первоначальной v4 — 2 месяца / 95% / 3%. В текущей модели — 0 месяцев / 100% / 0%. Постепенный набор детей предусмотрен в обеих моделях.</t>
        </is>
      </c>
      <c r="D5" s="199" t="inlineStr">
        <is>
          <t>01_Вводные!B297:B298; B13</t>
        </is>
      </c>
    </row>
    <row r="6" ht="82" customHeight="1">
      <c r="A6" s="200" t="inlineStr">
        <is>
          <t>2. Уточнить</t>
        </is>
      </c>
      <c r="B6" s="200" t="inlineStr">
        <is>
          <t>Какие месяцы и объемы пополнения склада подтверждаем? Источник и стоимость денег при кассовом разрыве?</t>
        </is>
      </c>
      <c r="C6" s="200" t="inlineStr">
        <is>
          <t>Цель 6 мес., окна закупок февраль / май / август / ноябрь не менялись. Дефицит товара и денег показан, не закрыт придуманным займом.</t>
        </is>
      </c>
      <c r="D6" s="200" t="inlineStr">
        <is>
          <t>01_Вводные!B80:B85; 03_Сценарии</t>
        </is>
      </c>
    </row>
    <row r="7" ht="82" customHeight="1">
      <c r="A7" s="199" t="inlineStr">
        <is>
          <t>Данные позже</t>
        </is>
      </c>
      <c r="B7" s="199" t="inlineStr">
        <is>
          <t>Подтвердить связь новых продаж с юрлицами и школами и стартовый cash на 31.08.2026.</t>
        </is>
      </c>
      <c r="C7" s="199" t="inlineStr">
        <is>
          <t>Факт сети: 51 действующий партнёр и 104 школы. Сейчас 1 продажа = 1 новое юрлицо и отдельно 1 новая школа; оба коэффициента вынесены во вводные. Cash 187 878 ₽ временный.</t>
        </is>
      </c>
      <c r="D7" s="199" t="inlineStr">
        <is>
          <t>01_Вводные!B9:B22</t>
        </is>
      </c>
    </row>
    <row r="8" ht="82" customHeight="1">
      <c r="A8" s="200" t="inlineStr">
        <is>
          <t>Уточнить</t>
        </is>
      </c>
      <c r="B8" s="200" t="inlineStr">
        <is>
          <t>Премия Евгения: 4% — начисленная премия (gross) с взносами работодателя сверху или полный бюджет работодателя 4% включая взносы?</t>
        </is>
      </c>
      <c r="C8" s="200" t="inlineStr">
        <is>
          <t>Сейчас 4% считается gross, НДФЛ удерживается из выплаты, страховые взносы 30% начисляются сверху. Стоимость компании = 5,2% от базы.</t>
        </is>
      </c>
      <c r="D8" s="200" t="inlineStr">
        <is>
          <t>01_Вводные!B125; 08_ФОТ!17:18</t>
        </is>
      </c>
    </row>
    <row r="9" ht="82" customHeight="1">
      <c r="A9" s="199" t="inlineStr">
        <is>
          <t>Уточнить</t>
        </is>
      </c>
      <c r="B9" s="199" t="inlineStr">
        <is>
          <t>Нужен ли пошкольный/партнёрский расчет минимального роялти действующей сети?</t>
        </is>
      </c>
      <c r="C9" s="199" t="inlineStr">
        <is>
          <t>Сейчас действующая сеть агрегирована: MAX(% с общего оборота; 104 × минимум). Для расчёта по каждой школе нужен реестр оборота/детей или хотя бы базового роялти по партнёрам и количества школ.</t>
        </is>
      </c>
      <c r="D9" s="199" t="inlineStr">
        <is>
          <t>06_Сеть_и_дети; 01_Вводные!B52</t>
        </is>
      </c>
    </row>
    <row r="10" ht="65" customHeight="1">
      <c r="A10" s="200" t="inlineStr">
        <is>
          <t>Уточнить</t>
        </is>
      </c>
      <c r="B10" s="200" t="inlineStr">
        <is>
          <t>Подтвердить средний абонемент и минимальный роялти действующей сети.</t>
        </is>
      </c>
      <c r="C10" s="200" t="inlineStr">
        <is>
          <t>В приложенной v4 — 7 800 ₽ и 17 500 ₽. В текущей модели — 6 000 ₽ и 15 000 ₽.</t>
        </is>
      </c>
      <c r="D10" s="200" t="inlineStr">
        <is>
          <t>01_Вводные!B217; B51:B52</t>
        </is>
      </c>
    </row>
    <row r="11" ht="70" customHeight="1"/>
    <row r="12" ht="30" customHeight="1">
      <c r="A12" s="181" t="inlineStr">
        <is>
          <t>Живые ограничения плана</t>
        </is>
      </c>
    </row>
    <row r="13" ht="40" customHeight="1">
      <c r="A13" s="199" t="inlineStr">
        <is>
          <t>Деньги</t>
        </is>
      </c>
      <c r="B13" s="201">
        <f>MAX(0,-MIN('02_Модель'!B72:BI72))/1000000</f>
        <v/>
      </c>
      <c r="C13" s="199" t="inlineStr">
        <is>
          <t>млн ₽; пиковый кассовый дефицит, не оформленный кредит.</t>
        </is>
      </c>
      <c r="D13" s="199" t="inlineStr">
        <is>
          <t>00_Дашборд!E12</t>
        </is>
      </c>
    </row>
    <row r="14" ht="40" customHeight="1">
      <c r="A14" s="200" t="inlineStr">
        <is>
          <t>Товар</t>
        </is>
      </c>
      <c r="B14" s="202">
        <f>'03_Сценарии'!D22</f>
        <v/>
      </c>
      <c r="C14" s="200" t="inlineStr">
        <is>
          <t>млн ₽ себестоимости; необеспеченный спрос в позитиве.</t>
        </is>
      </c>
      <c r="D14" s="200" t="inlineStr">
        <is>
          <t>03_Сценарии!D22</t>
        </is>
      </c>
    </row>
    <row r="15" ht="70" customHeight="1"/>
    <row r="17" ht="28" customHeight="1"/>
    <row r="19" ht="35" customHeight="1"/>
    <row r="20" ht="70" customHeight="1"/>
    <row r="21" ht="70" customHeight="1"/>
    <row r="22" ht="70" customHeight="1"/>
    <row r="23" ht="70" customHeight="1"/>
    <row r="24" ht="70" customHeight="1"/>
    <row r="25" ht="70" customHeight="1"/>
    <row r="26" ht="70" customHeight="1"/>
    <row r="27" ht="70" customHeight="1"/>
    <row r="28" ht="70" customHeight="1"/>
    <row r="29" ht="70" customHeight="1"/>
    <row r="30" ht="70" customHeight="1"/>
    <row r="34" ht="28" customHeight="1"/>
    <row r="36" ht="35" customHeight="1"/>
    <row r="37" ht="33" customHeight="1"/>
    <row r="38" ht="33" customHeight="1"/>
    <row r="39" ht="33" customHeight="1"/>
    <row r="40" ht="33" customHeight="1"/>
    <row r="41" ht="33" customHeight="1"/>
    <row r="42" ht="33" customHeight="1"/>
    <row r="43" ht="33" customHeight="1"/>
    <row r="44" ht="33" customHeight="1"/>
    <row r="45" ht="33" customHeight="1"/>
    <row r="46" ht="33" customHeight="1"/>
    <row r="47" ht="33" customHeight="1"/>
    <row r="48" ht="33" customHeight="1"/>
    <row r="50" ht="38" customHeight="1"/>
  </sheetData>
  <mergeCells count="2">
    <mergeCell ref="A1:D1"/>
    <mergeCell ref="A12:D12"/>
  </mergeCells>
  <printOptions horizontalCentered="0"/>
  <pageMargins left="0.75" right="0.75" top="1" bottom="1" header="0.5" footer="0.5"/>
  <pageSetup orientation="portrait" fitToHeight="0" fitToWidth="1"/>
  <headerFooter>
    <oddHeader/>
    <oddFooter>&amp;LФинмодель Спартак · 14_Ревизия&amp;R&amp;P / &amp;N</oddFooter>
    <evenHeader/>
    <evenFooter/>
    <firstHeader/>
    <firstFooter/>
  </headerFooter>
</worksheet>
</file>

<file path=xl/worksheets/sheet17.xml><?xml version="1.0" encoding="utf-8"?>
<worksheet xmlns="http://schemas.openxmlformats.org/spreadsheetml/2006/main">
  <sheetPr>
    <tabColor rgb="009E1B31"/>
    <outlinePr summaryBelow="1" summaryRight="1"/>
    <pageSetUpPr fitToPage="1"/>
  </sheetPr>
  <dimension ref="A1:E29"/>
  <sheetViews>
    <sheetView showGridLines="0" zoomScale="80"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7" customWidth="1" min="1" max="1"/>
    <col width="49" customWidth="1" min="2" max="2"/>
    <col width="54" customWidth="1" min="3" max="3"/>
    <col width="52" customWidth="1" min="4" max="4"/>
    <col width="42" customWidth="1" min="5" max="5"/>
  </cols>
  <sheetData>
    <row r="1" ht="30" customHeight="1">
      <c r="A1" s="205" t="inlineStr">
        <is>
          <t>Сравнение с первоначальной моделью v4</t>
        </is>
      </c>
    </row>
    <row r="2" ht="30" customHeight="1">
      <c r="A2" s="206" t="inlineStr">
        <is>
          <t>Основа сравнения: приложенный файл «Финмодель франшизы Спартак — чистовая версия v4.0(2).xlsx» и текущая модель.</t>
        </is>
      </c>
    </row>
    <row r="3" ht="30" customHeight="1">
      <c r="A3" s="207" t="inlineStr">
        <is>
          <t>Сравниваются только две модели. Для числовых планов указан базовый сценарий. Изменения бизнес-условий отделены от упрощения расчётов.</t>
        </is>
      </c>
    </row>
    <row r="4" ht="32" customHeight="1">
      <c r="A4" s="208" t="inlineStr">
        <is>
          <t>Что сравниваем</t>
        </is>
      </c>
      <c r="B4" s="208" t="inlineStr">
        <is>
          <t>В первоначальной v4</t>
        </is>
      </c>
      <c r="C4" s="208" t="inlineStr">
        <is>
          <t>В текущей модели</t>
        </is>
      </c>
      <c r="D4" s="208" t="inlineStr">
        <is>
          <t>Почему и влияет ли на результат</t>
        </is>
      </c>
      <c r="E4" s="208" t="inlineStr">
        <is>
          <t>Где проверить</t>
        </is>
      </c>
    </row>
    <row r="5" ht="86" customHeight="1">
      <c r="A5" s="209" t="inlineStr">
        <is>
          <t>Вводные и организация файла</t>
        </is>
      </c>
      <c r="B5" s="210" t="inlineStr">
        <is>
          <t>Данные распределены между листами «Допущения», «План_продаж», «Микс_продаж», «Типы_продукта» и штатным расписанием.</t>
        </is>
      </c>
      <c r="C5" s="210" t="inlineStr">
        <is>
          <t>Все ручные вводные собраны на «01_Вводные». Расчёты и отчёты вынесены отдельно.</t>
        </is>
      </c>
      <c r="D5" s="210" t="inlineStr">
        <is>
          <t>Упрощено. Меньше поиска и повторного ввода. Сам перенос данных не должен менять финансовый результат.</t>
        </is>
      </c>
      <c r="E5" s="211" t="inlineStr">
        <is>
          <t>v4: перечисленные листы. Сейчас: 01_Вводные.</t>
        </is>
      </c>
    </row>
    <row r="6" ht="86" customHeight="1">
      <c r="A6" s="212" t="inlineStr">
        <is>
          <t>Сценарии и чувствительность</t>
        </is>
      </c>
      <c r="B6" s="213" t="inlineStr">
        <is>
          <t>Три сценария с тремя отдельными помесячными листами. Есть сравнение сценариев; отдельного анализа чувствительности нет.</t>
        </is>
      </c>
      <c r="C6" s="213" t="inlineStr">
        <is>
          <t>Один основной расчёт с переключателем; отдельное сравнение трёх сценариев. Добавлен тест влияния одного параметра с двумя отклонениями.</t>
        </is>
      </c>
      <c r="D6" s="213" t="inlineStr">
        <is>
          <t>Упрощена работа со сценариями; добавлена чувствительность. Технические расчёты остаются в книге. Сценарные коэффициенты могут отличаться от v4.</t>
        </is>
      </c>
      <c r="E6" s="214" t="inlineStr">
        <is>
          <t>v4: Помесячно_Негатив / База / Позитив; Сравнение_сценариев. Сейчас: 01_Вводные!B192; 03_Сценарии; 12_Чувствительность.</t>
        </is>
      </c>
    </row>
    <row r="7" ht="86" customHeight="1">
      <c r="A7" s="209" t="inlineStr">
        <is>
          <t>Календарь и продажи</t>
        </is>
      </c>
      <c r="B7" s="210" t="inlineStr">
        <is>
          <t>Старт 01.08.2026, сезон август–июль. Базовый план по сезонам: 37,84 / 43 / 43 / 43 / 43 франшизы.</t>
        </is>
      </c>
      <c r="C7" s="210" t="inlineStr">
        <is>
          <t>Старт 01.09.2026, сезон сентябрь–август. Базовый план: 66 / 72 / 72 / 60 / 50. В сентябре 2026 продаж нет.</t>
        </is>
      </c>
      <c r="D7" s="210" t="inlineStr">
        <is>
          <t>Изменено по новому ТЗ. Меняются объём продаж, доходы и сроки денег. Нормировка месячных долей обеспечивает точный годовой план.</t>
        </is>
      </c>
      <c r="E7" s="211" t="inlineStr">
        <is>
          <t>v4: Допущения!B16; План_продаж!D4:D8. Сейчас: 01_Вводные!B7; B210:B214; C36:N40.</t>
        </is>
      </c>
    </row>
    <row r="8" ht="86" customHeight="1">
      <c r="A8" s="212" t="inlineStr">
        <is>
          <t>Стартовая сеть</t>
        </is>
      </c>
      <c r="B8" s="213" t="inlineStr">
        <is>
          <t>51 школа × 100 детей = 5 100 детей при полной загрузке. Отдельного счётчика юрлиц нет.</t>
        </is>
      </c>
      <c r="C8" s="213" t="inlineStr">
        <is>
          <t>104 действующие школы и 51 действующий партнёр на 09.09.2026, база 5 200 детей. Три новых партнёра пока без школ. В прогнозе юрлица и школы теперь имеют отдельные коэффициенты.</t>
        </is>
      </c>
      <c r="D8" s="213" t="inlineStr">
        <is>
          <t>Фактический реестр заменяет старое число 49 юрлиц. Разделение важно: менеджерская нагрузка зависит от партнёров/юрлиц, ERP и дети — от школ. Один партнёр может иметь несколько школ.</t>
        </is>
      </c>
      <c r="E8" s="214" t="inlineStr">
        <is>
          <t>v4: Допущения!B18:B19; C10:E10. Сейчас: 01_Вводные!B9:B16.</t>
        </is>
      </c>
    </row>
    <row r="9" ht="86" customHeight="1">
      <c r="A9" s="209" t="inlineStr">
        <is>
          <t>Набор детей новой школой</t>
        </is>
      </c>
      <c r="B9" s="210" t="inlineStr">
        <is>
          <t>Первые 12 месяцев — постепенный выход на план первого года; месяцы 13–24 — плавный переход к плану второго года. Сезонность применяется отдельно.</t>
        </is>
      </c>
      <c r="C9" s="210" t="inlineStr">
        <is>
          <t>Тот же принцип постепенного набора и сезонности. Длинная формула разбита на месячные возрастные группы и понятные промежуточные расчёты.</t>
        </is>
      </c>
      <c r="D9" s="210" t="inlineStr">
        <is>
          <t>Упрощён способ расчёта, а не принцип роста. При одинаковых мощностях, открытиях, закрытиях и сезонности такая группировка должна давать тот же результат.</t>
        </is>
      </c>
      <c r="E9" s="211" t="inlineStr">
        <is>
          <t>v4: Помесячно_База!C16:BJ16. Сейчас: 06_Сеть_и_дети; 01_Вводные!B46:B47; B295.</t>
        </is>
      </c>
    </row>
    <row r="10" ht="86" customHeight="1">
      <c r="A10" s="212" t="inlineStr">
        <is>
          <t>Роялти новых школ</t>
        </is>
      </c>
      <c r="B10" s="213" t="inlineStr">
        <is>
          <t>В помесячном расчёте сравниваются две общие суммы: процентный роялти всей новой сети и сумма минимумов.</t>
        </is>
      </c>
      <c r="C10" s="213" t="inlineStr">
        <is>
          <t>Для новых школ процент и минимум сравниваются для школы соответствующего тарифа и возраста, затем платежи суммируются. Сохранены 20 сочетаний территории и формата. Действующая сеть считается отдельно агрегированно.</t>
        </is>
      </c>
      <c r="D10" s="213" t="inlineStr">
        <is>
          <t>Для новых школ это соответствует подтверждённому правилу «минимум по каждой школе». По действующей сети пошкольный MAX без данных по детям/обороту каждой школы математически не восстановить, поэтому там сохраняется агрегированный расчет.</t>
        </is>
      </c>
      <c r="E10" s="214" t="inlineStr">
        <is>
          <t>v4: Помесячно_База!C26:BJ26; Типы_продукта!A14:M33. Сейчас: 01_Вводные!A263:K282; 06_Сеть_и_дети.</t>
        </is>
      </c>
    </row>
    <row r="11" ht="86" customHeight="1">
      <c r="A11" s="209" t="inlineStr">
        <is>
          <t>Ставки роялти</t>
        </is>
      </c>
      <c r="B11" s="210" t="inlineStr">
        <is>
          <t>6,5% для действующих и продаж до 2027 года; 8,5% для новых продаж с 2027 года. Общая ставка 10% — с 01.10.2030.</t>
        </is>
      </c>
      <c r="C11" s="210" t="inlineStr">
        <is>
          <t>6,5% и 8,5% сохранены. Все партнёры переходят на 10% с 01.01.2030.</t>
        </is>
      </c>
      <c r="D11" s="210" t="inlineStr">
        <is>
          <t>Изменена дата общего повышения по новому ТЗ. Это увеличивает начисления за январь–сентябрь 2030 относительно прежней даты, при прочих равных.</t>
        </is>
      </c>
      <c r="E11" s="211" t="inlineStr">
        <is>
          <t>v4: Допущения!B64:B69. Сейчас: 01_Вводные!B55:B57; 06_Сеть_и_дети.</t>
        </is>
      </c>
    </row>
    <row r="12" ht="86" customHeight="1">
      <c r="A12" s="212" t="inlineStr">
        <is>
          <t>Первая и повторная форма</t>
        </is>
      </c>
      <c r="B12" s="213" t="inlineStr">
        <is>
          <t>Первый заказ 50/30/20 начинается в месяц открытия. Повторный объём новых школ рассчитывается по детям школ старше 12 месяцев.</t>
        </is>
      </c>
      <c r="C12" s="213" t="inlineStr">
        <is>
          <t>Первый заказ 50/30/20 начинается в следующем месяце после открытия. Повторный — с нового сентября, но после завершения первого заказа; пересечения исключены.</t>
        </is>
      </c>
      <c r="D12" s="213" t="inlineStr">
        <is>
          <t>Изменены сроки по новому ТЗ и комментариям. Принцип ежегодной докупки сохранён. Сроки и объём повторных продаж могут отличаться от v4.</t>
        </is>
      </c>
      <c r="E12" s="214" t="inlineStr">
        <is>
          <t>v4: Помесячно_База!C28:C29; C134; Допущения!B78:B80. Сейчас: 01_Вводные!B87:B89; B296; 07_Мерч.</t>
        </is>
      </c>
    </row>
    <row r="13" ht="86" customHeight="1">
      <c r="A13" s="209" t="inlineStr">
        <is>
          <t>Стоимость формы и план на старт</t>
        </is>
      </c>
      <c r="B13" s="210" t="inlineStr">
        <is>
          <t>Себестоимость комплекта 4 400 ₽, наценка 70%. Отдельного согласованного плана действующей сети на сентябрь–декабрь 2026 нет.</t>
        </is>
      </c>
      <c r="C13" s="210" t="inlineStr">
        <is>
          <t>Себестоимость 2 100 ₽, наценка 85%, расчётная цена 3 885 ₽ до индексации. На сентябрь–декабрь 2026 введён отдельный план из файла экипировки.</t>
        </is>
      </c>
      <c r="D13" s="210" t="inlineStr">
        <is>
          <t>Изменены коммерческие вводные и добавлен стартовый план. Меняются выручка, себестоимость, маржа, склад и выплаты клубу.</t>
        </is>
      </c>
      <c r="E13" s="211" t="inlineStr">
        <is>
          <t>v4: Допущения!B25:B26. Сейчас: 01_Вводные!B71:B73; B99:E101.</t>
        </is>
      </c>
    </row>
    <row r="14" ht="86" customHeight="1">
      <c r="A14" s="212" t="inlineStr">
        <is>
          <t>Товарный запас</t>
        </is>
      </c>
      <c r="B14" s="213" t="inlineStr">
        <is>
          <t>Стартовый склад 50 млн ₽. Вводная «4 месяца» не управляет закупками: пополнение покрывает нехватку текущего товара после расходования стартового остатка.</t>
        </is>
      </c>
      <c r="C14" s="213" t="inlineStr">
        <is>
          <t>Стартовый склад 50 млн ₽ сохранён. Целевой запас — 6 будущих месяцев; пополнение в заданные месяцы. Нехватка товара показана отдельно.</t>
        </is>
      </c>
      <c r="D14" s="213" t="inlineStr">
        <is>
          <t>Изменено правило закупок по новому ТЗ. Влияет на деньги и обеспеченность продаж; сама закупка запаса не является расходом EBITDA.</t>
        </is>
      </c>
      <c r="E14" s="214" t="inlineStr">
        <is>
          <t>v4: Допущения!B28; B92; Помесячно_База!C95:C98. Сейчас: 01_Вводные!B77; B80:B85; 07_Мерч.</t>
        </is>
      </c>
    </row>
    <row r="15" ht="86" customHeight="1">
      <c r="A15" s="209" t="inlineStr">
        <is>
          <t>Займ и выплаты ФК</t>
        </is>
      </c>
      <c r="B15" s="210" t="inlineStr">
        <is>
          <t>Займ 50 млн ₽; погашение — 50% себестоимости продаж, не больше остатка долга. Доли ФК: 35% паушального, 10% роялти, 35% прибыли формы.</t>
        </is>
      </c>
      <c r="C15" s="210" t="inlineStr">
        <is>
          <t>Займ и доли ФК сохранены. На погашение направляется 60% себестоимости; платёж ограничивается также деньгами и условием по запасу. Выплаты раскрыты отдельным отчётом.</t>
        </is>
      </c>
      <c r="D15" s="210" t="inlineStr">
        <is>
          <t>Изменены условия погашения по новому ТЗ. Меняются сроки денег и остаток долга. Возврат тела займа ни в одной модели не уменьшает EBITDA.</t>
        </is>
      </c>
      <c r="E15" s="211" t="inlineStr">
        <is>
          <t>v4: Допущения!B31:B33; B49; B93; Помесячно_База!C93. Сейчас: 01_Вводные!B59:B60; B76; B78:B79; 10_Выплаты_ФК.</t>
        </is>
      </c>
    </row>
    <row r="16" ht="86" customHeight="1">
      <c r="A16" s="212" t="inlineStr">
        <is>
          <t>Индексация цен и расходов</t>
        </is>
      </c>
      <c r="B16" s="213" t="inlineStr">
        <is>
          <t>Ежегодное повышение в июне. Индекс использует ставку инфляции 2026 года для всех лет. Офис тоже индексируется.</t>
        </is>
      </c>
      <c r="C16" s="213" t="inlineStr">
        <is>
          <t>Цены и соответствующие текущие расходы индексируются в июне по ставке своего года. Зарплаты — в сентябре; офис до переезда фиксирован.</t>
        </is>
      </c>
      <c r="D16" s="213" t="inlineStr">
        <is>
          <t>Принцип индексации сохранён. Исправлен выбор годовой ставки; отдельно изменены срок повышения зарплат и правило офиса. Это влияет на результат.</t>
        </is>
      </c>
      <c r="E16" s="214" t="inlineStr">
        <is>
          <t>v4: Допущения!C109:BJ109; Помесячно_База!C54. Сейчас: 01_Вводные!B108; B116; B293:B294; A301:B307.</t>
        </is>
      </c>
    </row>
    <row r="17" ht="86" customHeight="1">
      <c r="A17" s="209" t="inlineStr">
        <is>
          <t>ERP, найм и команда</t>
        </is>
      </c>
      <c r="B17" s="210" t="inlineStr">
        <is>
          <t>ERP — 180 тыс. ₽ плюс доплата 3 тыс. ₽ за рост сети. В развитии минимум 3 менеджера, норматив 45 школ. Дополнительный продавец — от 6 сделок.</t>
        </is>
      </c>
      <c r="C17" s="210" t="inlineStr">
        <is>
          <t>ERP — 80 тыс. ₽ плюс 3 тыс. ₽ за новую подключённую школу. В развитии 2 менеджера; найм на порогах 70 / 105 / 140 юрлиц. Временный продавец-ИП — от 5 сделок; добавлены новые роли.</t>
        </is>
      </c>
      <c r="D17" s="210" t="inlineStr">
        <is>
          <t>Изменены затраты и кадровые триггеры по новому ТЗ. Нагрузка менеджеров зависит от юрлиц, а ERP — от школ. Это не нейтральное сокращение формул.</t>
        </is>
      </c>
      <c r="E17" s="211" t="inlineStr">
        <is>
          <t>v4: Допущения!B29:B30; Штатное_расписание!B25:B29. Сейчас: 01_Вводные!B105:B107; B117:B150; 08_ФОТ.</t>
        </is>
      </c>
    </row>
    <row r="18" ht="86" customHeight="1">
      <c r="A18" s="212" t="inlineStr">
        <is>
          <t>Премии</t>
        </is>
      </c>
      <c r="B18" s="213" t="inlineStr">
        <is>
          <t>Квартальные максимумы заданы по сотрудникам. Отдел продаж получает 5% с оплаченных продаж после первой сделки месяца.</t>
        </is>
      </c>
      <c r="C18" s="213" t="inlineStr">
        <is>
          <t>У развития ежемесячные премии; у Евгения 4% при двух и более продажах; у временного продавца отдельная схема. Остальным — 60% оклада ежеквартально с IV квартала 2027.</t>
        </is>
      </c>
      <c r="D18" s="213" t="inlineStr">
        <is>
          <t>Изменены схемы по новому ТЗ. Максимальная бюджетная выплата сохранена; получатели специальных премий не получают обычную квартальную автоматически.</t>
        </is>
      </c>
      <c r="E18" s="214" t="inlineStr">
        <is>
          <t>v4: Штатное_расписание!H8:H20; B36:B39; Помесячно_База!C140. Сейчас: 01_Вводные!B123:B135; D138:D150; 08_ФОТ.</t>
        </is>
      </c>
    </row>
    <row r="19" ht="86" customHeight="1">
      <c r="A19" s="209" t="inlineStr">
        <is>
          <t>Маркетинг</t>
        </is>
      </c>
      <c r="B19" s="210" t="inlineStr">
        <is>
          <t>Расход на привлечение уже привязан к будущим продажам за два месяца до них. В базе — 160 тыс. ₽ на продажу.</t>
        </is>
      </c>
      <c r="C19" s="210" t="inlineStr">
        <is>
          <t>Эта связь сохранена. Для октября 2026 расход перенесён в сентябрь. Добавлены ежегодные размещения и отдельный бюджет маркетинга / SMM.</t>
        </is>
      </c>
      <c r="D19" s="210" t="inlineStr">
        <is>
          <t>Уточнён календарь и добавлены расходы из нового ТЗ. Сам двухмесячный лаг рекламы не является новым правилом.</t>
        </is>
      </c>
      <c r="E19" s="211" t="inlineStr">
        <is>
          <t>v4: Допущения!D12; Помесячно_База!C49:BJ49. Сейчас: 01_Вводные!B26:B33; B111:B112; 04_Продажи.</t>
        </is>
      </c>
    </row>
    <row r="20" ht="86" customHeight="1">
      <c r="A20" s="212" t="inlineStr">
        <is>
          <t>CAPEX</t>
        </is>
      </c>
      <c r="B20" s="213" t="inlineStr">
        <is>
          <t>1% выручки с НДС плюс 1 000 ₽ разово в первом месяце. Уменьшает деньги, но не EBITDA.</t>
        </is>
      </c>
      <c r="C20" s="213" t="inlineStr">
        <is>
          <t>То же правило, с отдельными настройками на едином листе. CAPEX участвует в основном расчёте, сценариях и чувствительности.</t>
        </is>
      </c>
      <c r="D20" s="213" t="inlineStr">
        <is>
          <t>Сохранено. При одинаковой выручке и дате старта сумма должна совпадать. В текущей модели сумма другая из-за другой выручки, в том числе лагерей.</t>
        </is>
      </c>
      <c r="E20" s="214" t="inlineStr">
        <is>
          <t>v4: Допущения!B41:B42; Помесячно_База!C87:BJ87. Сейчас: 01_Вводные!B286:B290; 02_Модель.</t>
        </is>
      </c>
    </row>
    <row r="21" ht="86" customHeight="1">
      <c r="A21" s="209" t="inlineStr">
        <is>
          <t>Поступления и потребность в деньгах</t>
        </is>
      </c>
      <c r="B21" s="210" t="inlineStr">
        <is>
          <t>Паушальный поступает с общей отсрочкой. Отрицательный остаток закрывается строкой внешнего финансирования.</t>
        </is>
      </c>
      <c r="C21" s="210" t="inlineStr">
        <is>
          <t>Паушальный поступает в месяц продажи. Кассовый дефицит показан отдельно; новый кредит и проценты автоматически не добавляются.</t>
        </is>
      </c>
      <c r="D21" s="210" t="inlineStr">
        <is>
          <t>Изменены сроки поступлений по ТЗ и представление дефицита. Отрицательные деньги — потребность в финансировании, а не уже согласованный кредит.</t>
        </is>
      </c>
      <c r="E21" s="211" t="inlineStr">
        <is>
          <t>v4: Допущения!B39; Помесячно_База!C65; C89:C90. Сейчас: 01_Вводные!B18:B21; 02_Модель; 00_Дашборд.</t>
        </is>
      </c>
    </row>
    <row r="22" ht="86" customHeight="1">
      <c r="A22" s="212" t="inlineStr">
        <is>
          <t>Лагеря и исторический факт</t>
        </is>
      </c>
      <c r="B22" s="213" t="inlineStr">
        <is>
          <t>Отдельной экономики лагерей и отдельного блока факта сезона 25/26 нет.</t>
        </is>
      </c>
      <c r="C22" s="213" t="inlineStr">
        <is>
          <t>Добавлены лагеря: участники, выручка, расходы и авансы. Доступный факт сезона 25/26 показан отдельно от прогноза.</t>
        </is>
      </c>
      <c r="D22" s="213" t="inlineStr">
        <is>
          <t>Добавлено. Лагеря меняют прибыль и денежный поток. Исторические данные не заменяют прогноз и пока заполнены не за все месяцы.</t>
        </is>
      </c>
      <c r="E22" s="214" t="inlineStr">
        <is>
          <t>v4: состав листов книги. Сейчас: 09_Лагеря; 11_История_25_26; 01_Вводные!B161:B188.</t>
        </is>
      </c>
    </row>
    <row r="23" ht="86" customHeight="1">
      <c r="A23" s="209" t="inlineStr">
        <is>
          <t>Воронка, выплаты и графики</t>
        </is>
      </c>
      <c r="B23" s="210" t="inlineStr">
        <is>
          <t>Воронка, выплаты ФК, дашборд и проверки уже были в v4.</t>
        </is>
      </c>
      <c r="C23" s="210" t="inlineStr">
        <is>
          <t>Эти отчёты сохранены в новой структуре. Добавлены графики детей и школ, анализ чувствительности и отдельный список ограничений.</t>
        </is>
      </c>
      <c r="D23" s="210" t="inlineStr">
        <is>
          <t>Упрощено чтение; добавлена аналитика. Воронка и выплаты ФК не выдаются за новую деятельность и не начисляют второй доход или расход.</t>
        </is>
      </c>
      <c r="E23" s="211" t="inlineStr">
        <is>
          <t>v4: Воронка_продаж; Выплаты_ФК; Дашборд; Проверка_модели. Сейчас: 00_Дашборд; 13_Проверки; 12_Чувствительность; 05_Воронка; 10_Выплаты_ФК.</t>
        </is>
      </c>
    </row>
    <row r="24" ht="86" customHeight="1">
      <c r="A24" s="212" t="inlineStr">
        <is>
          <t>Налоги и страховые взносы</t>
        </is>
      </c>
      <c r="B24" s="213" t="inlineStr">
        <is>
          <t>УСН и НДС — помесячное управленческое приближение. Основной ФОТ учитывает индивидуальную накопленную базу взносов; бонус продаж — 30%.</t>
        </is>
      </c>
      <c r="C24" s="213" t="inlineStr">
        <is>
          <t>Помесячная налоговая схема сохранена. ФОТ и премии считаются по единой ставке 30%; перевод net в gross — через коэффициент 0,87.</t>
        </is>
      </c>
      <c r="D24" s="213" t="inlineStr">
        <is>
          <t>Налоги не стали полноценным налоговым регистром. Взносы упрощены с потерей индивидуальных порогов: это может менять общий расход. Оставлено по указанию пользователя.</t>
        </is>
      </c>
      <c r="E24" s="214" t="inlineStr">
        <is>
          <t>v4: Допущения!B44:B47; B55:D60; Штатное_расписание. Сейчас: 01_Вводные!B58; B131:B132; B156:B157; 08_ФОТ.</t>
        </is>
      </c>
    </row>
    <row r="25" ht="86" customHeight="1">
      <c r="A25" s="215" t="inlineStr">
        <is>
          <t>Различия, требующие решения: запуск и закрытия</t>
        </is>
      </c>
      <c r="B25" s="216" t="inlineStr">
        <is>
          <t>В базе v4: каникулы по роялти 2 месяца; открываются 95% проданных франшиз; закрытия действующих и новых школ — 3% в год.</t>
        </is>
      </c>
      <c r="C25" s="216" t="inlineStr">
        <is>
          <t>Сейчас: каникулы 0 месяцев, открытие 100%, закрытия 0%. Постепенный набор детей при этом включён.</t>
        </is>
      </c>
      <c r="D25" s="216" t="inlineStr">
        <is>
          <t>Не следует считать нейтральным упрощением. Эти вводные различаются и меняют школы, детей, роялти и расходы. Решение об их изменении пока не принято.</t>
        </is>
      </c>
      <c r="E25" s="217" t="inlineStr">
        <is>
          <t>v4: Допущения!B23; D7:D9. Сейчас: 01_Вводные!B297:B298; B13.</t>
        </is>
      </c>
    </row>
    <row r="26" ht="86" customHeight="1">
      <c r="A26" s="215" t="inlineStr">
        <is>
          <t>Различия, требующие решения: действующая сеть</t>
        </is>
      </c>
      <c r="B26" s="216" t="inlineStr">
        <is>
          <t>Средний абонемент 7 800 ₽; минимальный роялти 17 500 ₽ в месяц на школу.</t>
        </is>
      </c>
      <c r="C26" s="216" t="inlineStr">
        <is>
          <t>Средний абонемент 6 000 ₽; минимум 15 000 ₽. Значения отличаются от приложенной v4.</t>
        </is>
      </c>
      <c r="D26" s="216" t="inlineStr">
        <is>
          <t>Это изменение доходных вводных, а не формы расчёта. Отдельное подтверждение именно этих двух замен в последнем ТЗ не найдено; требуется согласование.</t>
        </is>
      </c>
      <c r="E26" s="217" t="inlineStr">
        <is>
          <t>v4: Допущения!B20; B22. Сейчас: 01_Вводные!B217; B51:B52.</t>
        </is>
      </c>
    </row>
    <row r="27"/>
    <row r="28" ht="30" customHeight="1">
      <c r="A28" s="208" t="inlineStr">
        <is>
          <t>Как понимать различия</t>
        </is>
      </c>
    </row>
    <row r="29" ht="45" customHeight="1">
      <c r="A29" s="206" t="inlineStr">
        <is>
          <t>Перенос вводных и оформление отчётов сами по себе не меняют экономику. Новые планы, цены, сроки, правила роялти и затрат — меняют. Суммарную разницу итогов нельзя считать только эффектом упрощения формул.</t>
        </is>
      </c>
    </row>
  </sheetData>
  <autoFilter ref="A4:E26"/>
  <mergeCells count="5">
    <mergeCell ref="A29:E29"/>
    <mergeCell ref="A2:E2"/>
    <mergeCell ref="A28:E28"/>
    <mergeCell ref="A1:E1"/>
    <mergeCell ref="A3:E3"/>
  </mergeCells>
  <printOptions horizontalCentered="0"/>
  <pageMargins left="0.75" right="0.75" top="1" bottom="1" header="0.5" footer="0.5"/>
  <pageSetup orientation="portrait" paperSize="8" fitToHeight="0" fitToWidth="1"/>
  <headerFooter>
    <oddHeader/>
    <oddFooter>&amp;LФинмодель Спартак · 15_Изменения&amp;R&amp;P /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E1B31"/>
    <outlinePr summaryBelow="1" summaryRight="1"/>
    <pageSetUpPr fitToPage="1"/>
  </sheetPr>
  <dimension ref="A1:D51"/>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7" customWidth="1" min="1" max="1"/>
    <col width="95" customWidth="1" min="2" max="2"/>
  </cols>
  <sheetData>
    <row r="1" ht="38" customHeight="1">
      <c r="A1" s="197" t="inlineStr">
        <is>
          <t>Как пользоваться моделью</t>
        </is>
      </c>
    </row>
    <row r="2">
      <c r="A2" s="328" t="inlineStr">
        <is>
          <t>Начни отсюда</t>
        </is>
      </c>
      <c r="B2" s="329" t="inlineStr">
        <is>
          <t>Лист 00_Старт — один экран: текущий результат, все переключатели со ссылками, итог автопроверок, легенда цветов и карта листов.</t>
        </is>
      </c>
    </row>
    <row r="3">
      <c r="A3" s="328" t="inlineStr">
        <is>
          <t>Почему цифры такие</t>
        </is>
      </c>
      <c r="B3" s="329" t="inlineStr">
        <is>
          <t>Лист 16а_Логика_модели — вся экономика словами: 27 шагов от лида до денег, с указанием листа и вводных для каждого шага.</t>
        </is>
      </c>
    </row>
    <row r="4" ht="30" customHeight="1">
      <c r="A4" s="198" t="inlineStr">
        <is>
          <t>Что нужно сделать</t>
        </is>
      </c>
      <c r="B4" s="198" t="inlineStr">
        <is>
          <t>Куда зайти и что менять</t>
        </is>
      </c>
    </row>
    <row r="5" ht="60" customHeight="1">
      <c r="A5" s="199" t="inlineStr">
        <is>
          <t>Внести или изменить данные</t>
        </is>
      </c>
      <c r="B5" s="199" t="inlineStr">
        <is>
          <t>Меняй только желтые ячейки на листе 01_Вводные. Зеленая заливка отмечает исправленные формулы; их не нужно менять вручную.</t>
        </is>
      </c>
    </row>
    <row r="6" ht="70" customHeight="1">
      <c r="A6" s="200" t="inlineStr">
        <is>
          <t>Выбрать сценарий</t>
        </is>
      </c>
      <c r="B6" s="200" t="inlineStr">
        <is>
          <t>На 01_Вводные!B192 выбери негативный, базовый или позитивный вариант. Итоги появятся на дашборде и в основной модели. На 03_Сценарии все три варианта видны рядом.</t>
        </is>
      </c>
    </row>
    <row r="7" ht="68" customHeight="1">
      <c r="A7" s="199" t="inlineStr">
        <is>
          <t>Ключевые настройки</t>
        </is>
      </c>
      <c r="B7" s="199" t="inlineStr">
        <is>
          <t>01_Вводные!B293:B298 — индексация, набор детей, повторный заказ и запуск; A301:B307 — инфляция по годам; B286:B290 — CAPEX.</t>
        </is>
      </c>
    </row>
    <row r="8" ht="76" customHeight="1">
      <c r="A8" s="200" t="inlineStr">
        <is>
          <t>Проверить влияние одного параметра</t>
        </is>
      </c>
      <c r="B8" s="200" t="inlineStr">
        <is>
          <t>На 01_Вводные!B233 выбери параметр, в G198:G203 - величину изменения. На 12_Чувствительность сравни три результата. B234 = Нет отключает дополнительные расчеты.</t>
        </is>
      </c>
    </row>
    <row r="9" ht="65" customHeight="1">
      <c r="A9" s="199" t="inlineStr">
        <is>
          <t>Проверить предупреждения</t>
        </is>
      </c>
      <c r="B9" s="199" t="inlineStr">
        <is>
          <t>После изменений открой 13_Проверки. Нехватка денег или товара не обязательно означает поломку формулы: возможно, план требует другого графика закупок или финансирования.</t>
        </is>
      </c>
    </row>
    <row r="10" ht="58" customHeight="1">
      <c r="A10" s="200" t="inlineStr">
        <is>
          <t>Продажи и воронка</t>
        </is>
      </c>
      <c r="B10" s="200" t="inlineStr">
        <is>
          <t>04_Продажи и 05_Воронка: лиды, оплаты, открытия и маркетинг. Количество новых юрлиц и школ на одну продажу задаются отдельно на 01_Вводные.</t>
        </is>
      </c>
    </row>
    <row r="11" ht="66" customHeight="1">
      <c r="A11" s="199" t="inlineStr">
        <is>
          <t>Школы и дети</t>
        </is>
      </c>
      <c r="B11" s="199" t="inlineStr">
        <is>
          <t>06_Сеть_и_дети: отдельно юрлица, школы, постепенный набор детей, сезонность, ERP и роялти. Для новых школ минимальный роялти считается по тарифным группам; действующая сеть пока агрегирована.</t>
        </is>
      </c>
    </row>
    <row r="12" ht="58" customHeight="1">
      <c r="A12" s="200" t="inlineStr">
        <is>
          <t>Форма, команда, лагеря</t>
        </is>
      </c>
      <c r="B12" s="200" t="inlineStr">
        <is>
          <t>07_Мерч - продажи формы, склад и займ; 08_ФОТ - зарплаты и премии; 09_Лагеря - экономика и оплаты лагерей.</t>
        </is>
      </c>
    </row>
    <row r="13" ht="62" customHeight="1">
      <c r="A13" s="199" t="inlineStr">
        <is>
          <t>Прибыль, деньги, выплаты клубу</t>
        </is>
      </c>
      <c r="B13" s="199" t="inlineStr">
        <is>
          <t>02_Модель - доходы, расходы, движение денег и CAPEX. 10_Выплаты_ФК - за что и сколько перечисляется клубу; возврат займа отдельно.</t>
        </is>
      </c>
    </row>
    <row r="14" ht="82" customHeight="1">
      <c r="A14" s="200" t="inlineStr">
        <is>
          <t>История и режим сравнения</t>
        </is>
      </c>
      <c r="B14" s="200" t="inlineStr">
        <is>
          <t>11_История_25_26 — доступный факт. На 01_Вводные!B188 выбери «Без истории» или «С историей». Дашборд покажет выбранный общий результат. Июль 2026 заполнен; август 2026 пока отсутствует.</t>
        </is>
      </c>
    </row>
    <row r="15" ht="64" customHeight="1">
      <c r="A15" s="199" t="inlineStr">
        <is>
          <t>Скрытые расчетные листы</t>
        </is>
      </c>
      <c r="B15" s="199" t="inlineStr">
        <is>
          <t>19_Расчет_аналитики и 18_Календарь_тарифы содержат общие расчёты. Архивная техническая сверка также скрыта. Для работы достаточно вводных и основных отчётов.</t>
        </is>
      </c>
    </row>
    <row r="16"/>
    <row r="17" ht="30" customHeight="1">
      <c r="A17" s="181" t="inlineStr">
        <is>
          <t>Как школа постепенно набирает детей</t>
        </is>
      </c>
    </row>
    <row r="18" ht="70" customHeight="1">
      <c r="A18" s="200" t="inlineStr">
        <is>
          <t>Что означают нормативы</t>
        </is>
      </c>
      <c r="B18" s="200" t="inlineStr">
        <is>
          <t>75,05 детей - цель к 12-му месяцу, а не число детей сразу после открытия. 165,125 - цель к 24-му месяцу. Ниже показаны значения до сезонного снижения или повышения посещаемости.</t>
        </is>
      </c>
    </row>
    <row r="19"/>
    <row r="20" ht="27" customHeight="1">
      <c r="A20" s="200" t="inlineStr">
        <is>
          <t>1 мес. жизни</t>
        </is>
      </c>
      <c r="B20" s="200">
        <f>CapacityAge01</f>
        <v/>
      </c>
    </row>
    <row r="21" ht="27" customHeight="1">
      <c r="A21" s="199" t="inlineStr">
        <is>
          <t>6 мес. жизни</t>
        </is>
      </c>
      <c r="B21" s="199">
        <f>CapacityAge06</f>
        <v/>
      </c>
    </row>
    <row r="22" ht="27" customHeight="1">
      <c r="A22" s="200" t="inlineStr">
        <is>
          <t>12 мес. жизни</t>
        </is>
      </c>
      <c r="B22" s="200">
        <f>CapacityAge12</f>
        <v/>
      </c>
    </row>
    <row r="23" ht="27" customHeight="1">
      <c r="A23" s="199" t="inlineStr">
        <is>
          <t>13 мес. жизни</t>
        </is>
      </c>
      <c r="B23" s="199">
        <f>CapacityAge13</f>
        <v/>
      </c>
    </row>
    <row r="24" ht="27" customHeight="1">
      <c r="A24" s="200" t="inlineStr">
        <is>
          <t>18 мес. жизни</t>
        </is>
      </c>
      <c r="B24" s="200">
        <f>CapacityAge18</f>
        <v/>
      </c>
    </row>
    <row r="25" ht="27" customHeight="1">
      <c r="A25" s="199" t="inlineStr">
        <is>
          <t>24 мес. жизни</t>
        </is>
      </c>
      <c r="B25" s="199">
        <f>CapacityAge24</f>
        <v/>
      </c>
    </row>
    <row r="26" ht="27" customHeight="1">
      <c r="A26" s="200" t="inlineStr">
        <is>
          <t>25 мес. жизни</t>
        </is>
      </c>
      <c r="B26" s="200">
        <f>CapacityAge25</f>
        <v/>
      </c>
    </row>
    <row r="27"/>
    <row r="28" ht="88" customHeight="1">
      <c r="A28" s="200" t="inlineStr">
        <is>
          <t>Когда начинается повторная форма</t>
        </is>
      </c>
      <c r="B28" s="200" t="inlineStr">
        <is>
          <t>Пример: школа открылась в июле, первый заказ поставляется в августе-октябре. Повторный заказ нового сезона может начаться с ноября, чтобы не считать два заказа одновременно. Пропущенные доли повтора не переносятся автоматически.</t>
        </is>
      </c>
    </row>
    <row r="29" ht="78" customHeight="1">
      <c r="A29" s="199" t="inlineStr">
        <is>
          <t>Открытие в Excel и Google Sheets</t>
        </is>
      </c>
      <c r="B29" s="199" t="inlineStr">
        <is>
          <t>В файле обычные формулы, без макросов и ссылок на другие книги. Сохранение туда и обратно между Google Sheets и настольным Excel не проверено. После импорта сверь 13_Проверки и итоги на дашборде.</t>
        </is>
      </c>
    </row>
    <row r="30">
      <c r="A30" s="200" t="inlineStr">
        <is>
          <t>Что смотреть на дашборде</t>
        </is>
      </c>
      <c r="B30" s="200" t="inlineStr">
        <is>
          <t>Пять графиков: школы/юрлица, дети, продажи/открытия, EBITDA, деньги/остаток займа/выплаты ФК.</t>
        </is>
      </c>
    </row>
    <row r="31"/>
    <row r="32">
      <c r="A32" s="223" t="inlineStr">
        <is>
          <t>Структура модели — в каком порядке смотреть</t>
        </is>
      </c>
    </row>
    <row r="33">
      <c r="A33" s="224" t="inlineStr">
        <is>
          <t>00_Дашборд</t>
        </is>
      </c>
      <c r="B33" s="225" t="inlineStr">
        <is>
          <t>Главный экран: ключевые KPI, сезонные итоги и графики.</t>
        </is>
      </c>
    </row>
    <row r="34">
      <c r="A34" s="224" t="inlineStr">
        <is>
          <t>01_Вводные</t>
        </is>
      </c>
      <c r="B34" s="225" t="inlineStr">
        <is>
          <t>Единственный лист для ручного изменения параметров и выбора сценария.</t>
        </is>
      </c>
    </row>
    <row r="35">
      <c r="A35" s="224" t="inlineStr">
        <is>
          <t>02_Модель</t>
        </is>
      </c>
      <c r="B35" s="225" t="inlineStr">
        <is>
          <t>Сводный БДР/БДДС: доходы, расходы, EBITDA, cash flow, CAPEX, склад и займ.</t>
        </is>
      </c>
    </row>
    <row r="36">
      <c r="A36" s="224" t="inlineStr">
        <is>
          <t>03_Сценарии</t>
        </is>
      </c>
      <c r="B36" s="225" t="inlineStr">
        <is>
          <t>Сравнение негативного, базового и позитивного вариантов.</t>
        </is>
      </c>
    </row>
    <row r="37">
      <c r="A37" s="224" t="inlineStr">
        <is>
          <t>04_Продажи</t>
        </is>
      </c>
      <c r="B37" s="225" t="inlineStr">
        <is>
          <t>Помесячный план продаж, нормировка сезонности, открытия и маркетинговый лаг.</t>
        </is>
      </c>
    </row>
    <row r="38">
      <c r="A38" s="224" t="inlineStr">
        <is>
          <t>05_Воронка</t>
        </is>
      </c>
      <c r="B38" s="225" t="inlineStr">
        <is>
          <t>Лиды → продажи → открытия → ERP; управленческий взгляд на коммерческий план.</t>
        </is>
      </c>
    </row>
    <row r="39">
      <c r="A39" s="224" t="inlineStr">
        <is>
          <t>06_Сеть_и_дети</t>
        </is>
      </c>
      <c r="B39" s="225" t="inlineStr">
        <is>
          <t>Юрлица, школы, возраст когорт, постепенный набор детей, сезонность, ERP и роялти.</t>
        </is>
      </c>
    </row>
    <row r="40">
      <c r="A40" s="224" t="inlineStr">
        <is>
          <t>07_Мерч</t>
        </is>
      </c>
      <c r="B40" s="225" t="inlineStr">
        <is>
          <t>Первичные/повторные продажи формы, COGS, склад, закупки и займ.</t>
        </is>
      </c>
    </row>
    <row r="41">
      <c r="A41" s="224" t="inlineStr">
        <is>
          <t>08_ФОТ</t>
        </is>
      </c>
      <c r="B41" s="225" t="inlineStr">
        <is>
          <t>Штат, найм, индексация, премии и кадровые расходы.</t>
        </is>
      </c>
    </row>
    <row r="42">
      <c r="A42" s="224" t="inlineStr">
        <is>
          <t>09_Лагеря</t>
        </is>
      </c>
      <c r="B42" s="225" t="inlineStr">
        <is>
          <t>Отдельная экономика лагерей и график оплат.</t>
        </is>
      </c>
    </row>
    <row r="43">
      <c r="A43" s="224" t="inlineStr">
        <is>
          <t>10_Выплаты_ФК</t>
        </is>
      </c>
      <c r="B43" s="225" t="inlineStr">
        <is>
          <t>Начисления и денежные выплаты клубу, отдельно возврат займа.</t>
        </is>
      </c>
    </row>
    <row r="44">
      <c r="A44" s="224" t="inlineStr">
        <is>
          <t>11_История_25_26</t>
        </is>
      </c>
      <c r="B44" s="225" t="inlineStr">
        <is>
          <t>Доступный исторический факт; используется переключателем «с историей / без истории».</t>
        </is>
      </c>
    </row>
    <row r="45">
      <c r="A45" s="224" t="inlineStr">
        <is>
          <t>12_Чувствительность</t>
        </is>
      </c>
      <c r="B45" s="225" t="inlineStr">
        <is>
          <t>Влияние одного выбранного драйвера на финансовый результат.</t>
        </is>
      </c>
    </row>
    <row r="46">
      <c r="A46" s="224" t="inlineStr">
        <is>
          <t>13_Проверки</t>
        </is>
      </c>
      <c r="B46" s="225" t="inlineStr">
        <is>
          <t>Автоматические контрольные тесты модели.</t>
        </is>
      </c>
    </row>
    <row r="47">
      <c r="A47" s="224" t="inlineStr">
        <is>
          <t>14_Ревизия</t>
        </is>
      </c>
      <c r="B47" s="225" t="inlineStr">
        <is>
          <t>Только существенные нерешённые вопросы и ограничения.</t>
        </is>
      </c>
    </row>
    <row r="48">
      <c r="A48" s="224" t="inlineStr">
        <is>
          <t>15_Изменения</t>
        </is>
      </c>
      <c r="B48" s="225" t="inlineStr">
        <is>
          <t>Краткое сравнение текущей логики с первоначальной моделью.</t>
        </is>
      </c>
    </row>
    <row r="49">
      <c r="A49" s="224" t="inlineStr">
        <is>
          <t>16_Инструкция</t>
        </is>
      </c>
      <c r="B49" s="225" t="inlineStr">
        <is>
          <t>Краткая инструкция и маршрут пользователя.</t>
        </is>
      </c>
      <c r="C49" s="222" t="inlineStr">
        <is>
          <t>14а_Сверка_с_ТЗ</t>
        </is>
      </c>
      <c r="D49" s="243" t="inlineStr">
        <is>
          <t>Каждый пункт ТЗ v6.0 — что требуется, что в модели, где посмотреть.</t>
        </is>
      </c>
    </row>
    <row r="50">
      <c r="A50" s="222" t="inlineStr">
        <is>
          <t>00_Старт</t>
        </is>
      </c>
      <c r="B50" s="329" t="inlineStr">
        <is>
          <t>Стартовый экран: результат, переключатели, проверки, навигация.</t>
        </is>
      </c>
    </row>
    <row r="51">
      <c r="A51" s="222" t="inlineStr">
        <is>
          <t>16а_Логика_модели</t>
        </is>
      </c>
      <c r="B51" s="329" t="inlineStr">
        <is>
          <t>Цепочка расчёта словами и список того, что модель сознательно не делает.</t>
        </is>
      </c>
    </row>
  </sheetData>
  <mergeCells count="3">
    <mergeCell ref="A32:B32"/>
    <mergeCell ref="A1:B1"/>
    <mergeCell ref="A17:B17"/>
  </mergeCells>
  <hyperlinks>
    <hyperlink ref="A33" location="'00_Дашборд'!A1"/>
    <hyperlink ref="A34" location="'01_Вводные'!A1"/>
    <hyperlink ref="A35" location="'02_Модель'!A1"/>
    <hyperlink ref="A36" location="'03_Сценарии'!A1"/>
    <hyperlink ref="A37" location="'04_Продажи'!A1"/>
    <hyperlink ref="A38" location="'05_Воронка'!A1"/>
    <hyperlink ref="A39" location="'06_Сеть_и_дети'!A1"/>
    <hyperlink ref="A40" location="'07_Мерч'!A1"/>
    <hyperlink ref="A41" location="'08_ФОТ'!A1"/>
    <hyperlink ref="A42" location="'09_Лагеря'!A1"/>
    <hyperlink ref="A43" location="'10_Выплаты_ФК'!A1"/>
    <hyperlink ref="A44" location="'11_История_25_26'!A1"/>
    <hyperlink ref="A45" location="'12_Чувствительность'!A1"/>
    <hyperlink ref="A46" location="'13_Проверки'!A1"/>
    <hyperlink ref="A47" location="'14_Ревизия'!A1"/>
    <hyperlink ref="A48" location="'15_Изменения'!A1"/>
    <hyperlink ref="A49" location="'16_Инструкция'!A1"/>
    <hyperlink ref="C49" location="'14а_Сверка_с_ТЗ'!A1"/>
    <hyperlink ref="A50" location="'00_Старт'!A1"/>
    <hyperlink ref="A51" location="'16а_Логика_модели'!A1"/>
  </hyperlinks>
  <printOptions horizontalCentered="0"/>
  <pageMargins left="0.75" right="0.75" top="1" bottom="1" header="0.5" footer="0.5"/>
  <pageSetup orientation="portrait" fitToHeight="0" fitToWidth="1"/>
  <headerFooter>
    <oddHeader/>
    <oddFooter>&amp;LФинмодель Спартак · 16_Инструкция&amp;R&amp;P / &amp;N</oddFooter>
    <evenHeader/>
    <evenFooter/>
    <firstHeader/>
    <firstFooter/>
  </headerFooter>
</worksheet>
</file>

<file path=xl/worksheets/sheet19.xml><?xml version="1.0" encoding="utf-8"?>
<worksheet xmlns="http://schemas.openxmlformats.org/spreadsheetml/2006/main">
  <sheetPr>
    <tabColor rgb="00808080"/>
    <outlinePr summaryBelow="1" summaryRight="1"/>
    <pageSetUpPr/>
  </sheetPr>
  <dimension ref="A1:L417"/>
  <sheetViews>
    <sheetView showGridLines="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3" customWidth="1" min="1" max="1"/>
    <col width="18" customWidth="1" min="2" max="2"/>
    <col width="18" customWidth="1" min="3" max="3"/>
    <col width="18" customWidth="1" min="4" max="4"/>
    <col width="19" customWidth="1" min="5" max="5"/>
    <col width="19" customWidth="1" min="6" max="6"/>
    <col width="19" customWidth="1" min="7" max="7"/>
    <col width="55" customWidth="1" min="8" max="8"/>
    <col hidden="1" width="34" customWidth="1" min="10" max="10"/>
    <col hidden="1" width="19" customWidth="1" min="11" max="11"/>
    <col hidden="1" width="15" customWidth="1" min="12" max="12"/>
  </cols>
  <sheetData>
    <row r="1" ht="28" customHeight="1">
      <c r="A1" s="60" t="inlineStr">
        <is>
          <t>СПАРТАК | Сверка версий при одинаковых вводных</t>
        </is>
      </c>
    </row>
    <row r="2"/>
    <row r="3" ht="48" customHeight="1">
      <c r="A3" s="111" t="inlineStr">
        <is>
          <t>Архивные снимки V7/V8/V8.1. Колонка E - живой текущий результат, теперь с набором, индексацией и новым сезоном мерча. Отдельное сравнение с V8.3 - на листе 17.</t>
        </is>
      </c>
    </row>
    <row r="4">
      <c r="A4" t="inlineStr">
        <is>
          <t>Сопоставимость вводных</t>
        </is>
      </c>
      <c r="B4" s="138">
        <f>IF(SUM(L5:L417)=0,"ИСХОДНАЯ БАЗА","ВВОДНЫЕ ИЗМЕНЕНЫ")</f>
        <v/>
      </c>
    </row>
    <row r="5">
      <c r="J5" t="inlineStr">
        <is>
          <t>B10</t>
        </is>
      </c>
      <c r="K5" t="n">
        <v>49</v>
      </c>
      <c r="L5">
        <f>IF(ABS('01_Вводные'!B10-K5)&lt;0.00000001,0,1)</f>
        <v/>
      </c>
    </row>
    <row r="6" ht="35" customHeight="1">
      <c r="A6" s="87" t="inlineStr">
        <is>
          <t>Показатель</t>
        </is>
      </c>
      <c r="B6" s="87" t="inlineStr">
        <is>
          <t>V7</t>
        </is>
      </c>
      <c r="C6" s="87" t="inlineStr">
        <is>
          <t>V8</t>
        </is>
      </c>
      <c r="D6" s="87" t="inlineStr">
        <is>
          <t>V8.1</t>
        </is>
      </c>
      <c r="E6" s="87" t="inlineStr">
        <is>
          <t>Текущая модель</t>
        </is>
      </c>
      <c r="F6" s="87" t="inlineStr">
        <is>
          <t>Δ к V8.1</t>
        </is>
      </c>
      <c r="G6" s="87" t="inlineStr">
        <is>
          <t>Ед.</t>
        </is>
      </c>
      <c r="H6" s="87" t="inlineStr">
        <is>
          <t>Причина / трактовка</t>
        </is>
      </c>
      <c r="J6" t="inlineStr">
        <is>
          <t>B100</t>
        </is>
      </c>
      <c r="K6" t="n">
        <v>10022370</v>
      </c>
      <c r="L6">
        <f>IF(ABS('01_Вводные'!B100-K6)&lt;0.00000001,0,1)</f>
        <v/>
      </c>
    </row>
    <row r="7" ht="30" customHeight="1">
      <c r="A7" s="136" t="inlineStr">
        <is>
          <t>Выручка без НДС</t>
        </is>
      </c>
      <c r="B7" s="137" t="n">
        <v>1639.618020669331</v>
      </c>
      <c r="C7" s="137" t="n">
        <v>1639.618020669331</v>
      </c>
      <c r="D7" s="137" t="n">
        <v>1639.618020669331</v>
      </c>
      <c r="E7" s="137">
        <f>SUM('02_Модель'!B23:BI23)/1000000.0</f>
        <v/>
      </c>
      <c r="F7" s="136">
        <f>ROUND(E7-D7,8)</f>
        <v/>
      </c>
      <c r="G7" s="136" t="inlineStr">
        <is>
          <t>млн ₽</t>
        </is>
      </c>
      <c r="H7" s="136" t="inlineStr">
        <is>
          <t>Не только ревизия: включены новые подтвержденные правила.</t>
        </is>
      </c>
      <c r="J7" t="inlineStr">
        <is>
          <t>B101</t>
        </is>
      </c>
      <c r="K7" t="n">
        <v>5237418.6</v>
      </c>
      <c r="L7">
        <f>IF(ABS('01_Вводные'!B101-K7)&lt;0.00000001,0,1)</f>
        <v/>
      </c>
    </row>
    <row r="8" ht="30" customHeight="1">
      <c r="A8" s="136" t="inlineStr">
        <is>
          <t>Роялти без НДС</t>
        </is>
      </c>
      <c r="B8" s="137" t="n">
        <v>687.7083930762142</v>
      </c>
      <c r="C8" s="137" t="n">
        <v>687.7083930762142</v>
      </c>
      <c r="D8" s="137" t="n">
        <v>687.7083930762142</v>
      </c>
      <c r="E8" s="137">
        <f>SUM('02_Модель'!B19:BI20)/1000000.0</f>
        <v/>
      </c>
      <c r="F8" s="136">
        <f>ROUND(E8-D8,8)</f>
        <v/>
      </c>
      <c r="G8" s="136" t="inlineStr">
        <is>
          <t>млн ₽</t>
        </is>
      </c>
      <c r="H8" s="136" t="inlineStr"/>
      <c r="J8" t="inlineStr">
        <is>
          <t>B105</t>
        </is>
      </c>
      <c r="K8" t="n">
        <v>80000</v>
      </c>
      <c r="L8">
        <f>IF(ABS('01_Вводные'!B105-K8)&lt;0.00000001,0,1)</f>
        <v/>
      </c>
    </row>
    <row r="9" ht="30" customHeight="1">
      <c r="A9" s="136" t="inlineStr">
        <is>
          <t>Мерч без НДС</t>
        </is>
      </c>
      <c r="B9" s="137" t="n">
        <v>576.114072037561</v>
      </c>
      <c r="C9" s="137" t="n">
        <v>576.114072037561</v>
      </c>
      <c r="D9" s="137" t="n">
        <v>576.114072037561</v>
      </c>
      <c r="E9" s="137">
        <f>SUM('02_Модель'!B21:BI21)/1000000.0</f>
        <v/>
      </c>
      <c r="F9" s="136">
        <f>ROUND(E9-D9,8)</f>
        <v/>
      </c>
      <c r="G9" s="136" t="inlineStr">
        <is>
          <t>млн ₽</t>
        </is>
      </c>
      <c r="H9" s="136" t="inlineStr"/>
      <c r="J9" t="inlineStr">
        <is>
          <t>B106</t>
        </is>
      </c>
      <c r="K9" t="n">
        <v>60</v>
      </c>
      <c r="L9">
        <f>IF(ABS('01_Вводные'!B106-K9)&lt;0.00000001,0,1)</f>
        <v/>
      </c>
    </row>
    <row r="10" ht="58" customHeight="1">
      <c r="A10" s="139" t="inlineStr">
        <is>
          <t>EBITDA</t>
        </is>
      </c>
      <c r="B10" s="140" t="n">
        <v>431.6383195418817</v>
      </c>
      <c r="C10" s="140" t="n">
        <v>433.0516325177438</v>
      </c>
      <c r="D10" s="140" t="n">
        <v>433.0516325177438</v>
      </c>
      <c r="E10" s="140">
        <f>SUM('02_Модель'!B44:BI44)/1000000.0</f>
        <v/>
      </c>
      <c r="F10" s="139">
        <f>ROUND(E10-D10,8)</f>
        <v/>
      </c>
      <c r="G10" s="139" t="inlineStr">
        <is>
          <t>млн ₽</t>
        </is>
      </c>
      <c r="H10" s="139" t="inlineStr">
        <is>
          <t>V8 потеряла премию на повышение оклада ГД. V7 также имела ошибку 367,90 ₽: число менеджеров попало в сумму окладов.</t>
        </is>
      </c>
      <c r="J10" t="inlineStr">
        <is>
          <t>B107</t>
        </is>
      </c>
      <c r="K10" t="n">
        <v>3000</v>
      </c>
      <c r="L10">
        <f>IF(ABS('01_Вводные'!B107-K10)&lt;0.00000001,0,1)</f>
        <v/>
      </c>
    </row>
    <row r="11" ht="30" customHeight="1">
      <c r="A11" s="136" t="inlineStr">
        <is>
          <t>ФОТ и кадровые расходы</t>
        </is>
      </c>
      <c r="B11" s="137" t="n">
        <v>437.0785228471387</v>
      </c>
      <c r="C11" s="137" t="n">
        <v>435.6652098712767</v>
      </c>
      <c r="D11" s="137" t="n">
        <v>435.6652098712767</v>
      </c>
      <c r="E11" s="137">
        <f>SUM('02_Модель'!B36:BI36)/1000000.0</f>
        <v/>
      </c>
      <c r="F11" s="136">
        <f>ROUND(E11-D11,8)</f>
        <v/>
      </c>
      <c r="G11" s="136" t="inlineStr">
        <is>
          <t>млн ₽</t>
        </is>
      </c>
      <c r="H11" s="136" t="inlineStr"/>
      <c r="J11" t="inlineStr">
        <is>
          <t>B108</t>
        </is>
      </c>
      <c r="K11" t="n">
        <v>390000</v>
      </c>
      <c r="L11">
        <f>IF(ABS('01_Вводные'!B108-K11)&lt;0.00000001,0,1)</f>
        <v/>
      </c>
    </row>
    <row r="12" ht="30" customHeight="1">
      <c r="A12" s="139" t="inlineStr">
        <is>
          <t>Деньги на конец горизонта</t>
        </is>
      </c>
      <c r="B12" s="140" t="n">
        <v>258.2067332338193</v>
      </c>
      <c r="C12" s="140" t="n">
        <v>259.4493424901986</v>
      </c>
      <c r="D12" s="140" t="n">
        <v>259.4493424901986</v>
      </c>
      <c r="E12" s="140">
        <f>'02_Модель'!BI72/1000000.0</f>
        <v/>
      </c>
      <c r="F12" s="139">
        <f>ROUND(E12-D12,8)</f>
        <v/>
      </c>
      <c r="G12" s="139" t="inlineStr">
        <is>
          <t>млн ₽</t>
        </is>
      </c>
      <c r="H12" s="139" t="inlineStr"/>
      <c r="J12" t="inlineStr">
        <is>
          <t>B109</t>
        </is>
      </c>
      <c r="K12" t="n">
        <v>40000</v>
      </c>
      <c r="L12">
        <f>IF(ABS('01_Вводные'!B109-K12)&lt;0.00000001,0,1)</f>
        <v/>
      </c>
    </row>
    <row r="13" ht="58" customHeight="1">
      <c r="A13" s="139" t="inlineStr">
        <is>
          <t>Пиковый кассовый дефицит</t>
        </is>
      </c>
      <c r="B13" s="140" t="n">
        <v>24.92639016862698</v>
      </c>
      <c r="C13" s="140" t="n">
        <v>24.40642182138557</v>
      </c>
      <c r="D13" s="140" t="n">
        <v>24.40642182138557</v>
      </c>
      <c r="E13" s="140">
        <f>MAX(0,-MIN('02_Модель'!B72:BI72))/1000000.0</f>
        <v/>
      </c>
      <c r="F13" s="139">
        <f>ROUND(E13-D13,8)</f>
        <v/>
      </c>
      <c r="G13" s="139" t="inlineStr">
        <is>
          <t>млн ₽</t>
        </is>
      </c>
      <c r="H13" s="139" t="inlineStr">
        <is>
          <t>Снижение связано также с переносом возврата займа при недостатке запаса. Это не дополнительная прибыль.</t>
        </is>
      </c>
      <c r="J13" t="inlineStr">
        <is>
          <t>B11</t>
        </is>
      </c>
      <c r="K13" t="n">
        <v>5200</v>
      </c>
      <c r="L13">
        <f>IF(ABS('01_Вводные'!B11-K13)&lt;0.00000001,0,1)</f>
        <v/>
      </c>
    </row>
    <row r="14" ht="30" customHeight="1">
      <c r="A14" s="136" t="inlineStr">
        <is>
          <t>Операционные выплаты ФК</t>
        </is>
      </c>
      <c r="B14" s="137" t="n">
        <v>251.532913751789</v>
      </c>
      <c r="C14" s="137" t="n">
        <v>251.532913751789</v>
      </c>
      <c r="D14" s="137" t="n">
        <v>251.532913751789</v>
      </c>
      <c r="E14" s="137">
        <f>SUM('02_Модель'!B61:BI61)/1000000.0</f>
        <v/>
      </c>
      <c r="F14" s="136">
        <f>ROUND(E14-D14,8)</f>
        <v/>
      </c>
      <c r="G14" s="136" t="inlineStr">
        <is>
          <t>млн ₽</t>
        </is>
      </c>
      <c r="H14" s="136" t="inlineStr"/>
      <c r="J14" t="inlineStr">
        <is>
          <t>B110</t>
        </is>
      </c>
      <c r="K14" t="n">
        <v>80000</v>
      </c>
      <c r="L14">
        <f>IF(ABS('01_Вводные'!B110-K14)&lt;0.00000001,0,1)</f>
        <v/>
      </c>
    </row>
    <row r="15" ht="30" customHeight="1">
      <c r="A15" s="136" t="inlineStr">
        <is>
          <t>Погашение займа ФК</t>
        </is>
      </c>
      <c r="B15" s="137" t="n">
        <v>50.00000000000001</v>
      </c>
      <c r="C15" s="137" t="n">
        <v>50.00000000000001</v>
      </c>
      <c r="D15" s="137" t="n">
        <v>50.00000000000001</v>
      </c>
      <c r="E15" s="137">
        <f>SUM('02_Модель'!B70:BI70)/1000000.0</f>
        <v/>
      </c>
      <c r="F15" s="136">
        <f>ROUND(E15-D15,8)</f>
        <v/>
      </c>
      <c r="G15" s="136" t="inlineStr">
        <is>
          <t>млн ₽</t>
        </is>
      </c>
      <c r="H15" s="136" t="inlineStr"/>
      <c r="J15" t="inlineStr">
        <is>
          <t>B111</t>
        </is>
      </c>
      <c r="K15" t="n">
        <v>100000</v>
      </c>
      <c r="L15">
        <f>IF(ABS('01_Вводные'!B111-K15)&lt;0.00000001,0,1)</f>
        <v/>
      </c>
    </row>
    <row r="16" ht="30" customHeight="1">
      <c r="A16" s="136" t="inlineStr">
        <is>
          <t>Активные школы на конец</t>
        </is>
      </c>
      <c r="B16" s="137" t="n">
        <v>368.5</v>
      </c>
      <c r="C16" s="137" t="n">
        <v>368.4999999999999</v>
      </c>
      <c r="D16" s="137" t="n">
        <v>368.4999999999999</v>
      </c>
      <c r="E16" s="137">
        <f>'06_Сеть_и_дети'!BI17/1</f>
        <v/>
      </c>
      <c r="F16" s="136">
        <f>ROUND(E16-D16,8)</f>
        <v/>
      </c>
      <c r="G16" s="136" t="inlineStr">
        <is>
          <t>шт.</t>
        </is>
      </c>
      <c r="H16" s="136" t="inlineStr">
        <is>
          <t>Количество школ не изменилось из-за ревизии.</t>
        </is>
      </c>
      <c r="J16" t="inlineStr">
        <is>
          <t>B112</t>
        </is>
      </c>
      <c r="K16" t="n">
        <v>40000</v>
      </c>
      <c r="L16">
        <f>IF(ABS('01_Вводные'!B112-K16)&lt;0.00000001,0,1)</f>
        <v/>
      </c>
    </row>
    <row r="17" ht="30" customHeight="1">
      <c r="A17" s="136" t="inlineStr">
        <is>
          <t>Среднее детей за 60 месяцев</t>
        </is>
      </c>
      <c r="B17" s="137" t="n">
        <v>19660.79905419058</v>
      </c>
      <c r="C17" s="137" t="n">
        <v>19660.79905419058</v>
      </c>
      <c r="D17" s="137" t="n">
        <v>19660.79905419058</v>
      </c>
      <c r="E17" s="137">
        <f>AVERAGE('02_Модель'!B15:BI15)/1</f>
        <v/>
      </c>
      <c r="F17" s="136">
        <f>ROUND(E17-D17,8)</f>
        <v/>
      </c>
      <c r="G17" s="136" t="inlineStr">
        <is>
          <t>чел.</t>
        </is>
      </c>
      <c r="H17" s="136" t="inlineStr">
        <is>
          <t>Когортное сжатие проверено отдельно; среднее не равно августовскому минимуму.</t>
        </is>
      </c>
      <c r="J17" t="inlineStr">
        <is>
          <t>B116</t>
        </is>
      </c>
      <c r="K17" t="n">
        <v>0.07000000000000001</v>
      </c>
      <c r="L17">
        <f>IF(ABS('01_Вводные'!B116-K17)&lt;0.00000001,0,1)</f>
        <v/>
      </c>
    </row>
    <row r="18">
      <c r="J18" t="inlineStr">
        <is>
          <t>B117</t>
        </is>
      </c>
      <c r="K18" t="n">
        <v>35</v>
      </c>
      <c r="L18">
        <f>IF(ABS('01_Вводные'!B117-K18)&lt;0.00000001,0,1)</f>
        <v/>
      </c>
    </row>
    <row r="19">
      <c r="J19" t="inlineStr">
        <is>
          <t>B118</t>
        </is>
      </c>
      <c r="K19" t="n">
        <v>2</v>
      </c>
      <c r="L19">
        <f>IF(ABS('01_Вводные'!B118-K19)&lt;0.00000001,0,1)</f>
        <v/>
      </c>
    </row>
    <row r="20" ht="28" customHeight="1">
      <c r="A20" s="60" t="inlineStr">
        <is>
          <t>Влияние каждой правки отдельно — контрольный снимок базы</t>
        </is>
      </c>
      <c r="J20" t="inlineStr">
        <is>
          <t>B119</t>
        </is>
      </c>
      <c r="K20" t="n">
        <v>114943</v>
      </c>
      <c r="L20">
        <f>IF(ABS('01_Вводные'!B119-K20)&lt;0.00000001,0,1)</f>
        <v/>
      </c>
    </row>
    <row r="21">
      <c r="J21" t="inlineStr">
        <is>
          <t>B12</t>
        </is>
      </c>
      <c r="K21" t="n">
        <v>0.1</v>
      </c>
      <c r="L21">
        <f>IF(ABS('01_Вводные'!B12-K21)&lt;0.00000001,0,1)</f>
        <v/>
      </c>
    </row>
    <row r="22" ht="35" customHeight="1">
      <c r="A22" s="87" t="inlineStr">
        <is>
          <t>Шаг</t>
        </is>
      </c>
      <c r="B22" s="87" t="inlineStr">
        <is>
          <t>Выручка</t>
        </is>
      </c>
      <c r="C22" s="87" t="inlineStr">
        <is>
          <t>EBITDA</t>
        </is>
      </c>
      <c r="D22" s="87" t="inlineStr">
        <is>
          <t>Деньги</t>
        </is>
      </c>
      <c r="E22" s="87" t="inlineStr">
        <is>
          <t>Δ выручки</t>
        </is>
      </c>
      <c r="F22" s="87" t="inlineStr">
        <is>
          <t>Δ EBITDA</t>
        </is>
      </c>
      <c r="G22" s="87" t="inlineStr">
        <is>
          <t>Δ денег</t>
        </is>
      </c>
      <c r="H22" s="87" t="inlineStr">
        <is>
          <t>Пояснение</t>
        </is>
      </c>
      <c r="J22" t="inlineStr">
        <is>
          <t>B120</t>
        </is>
      </c>
      <c r="K22" t="n">
        <v>1</v>
      </c>
      <c r="L22">
        <f>IF(ABS('01_Вводные'!B120-K22)&lt;0.00000001,0,1)</f>
        <v/>
      </c>
    </row>
    <row r="23" ht="45" customHeight="1">
      <c r="A23" s="136" t="inlineStr">
        <is>
          <t>V8.1 до правок</t>
        </is>
      </c>
      <c r="B23" s="136" t="n">
        <v>1639.618020669331</v>
      </c>
      <c r="C23" s="136" t="n">
        <v>433.0516325177438</v>
      </c>
      <c r="D23" s="136" t="n">
        <v>259.4493424901986</v>
      </c>
      <c r="E23" s="136">
        <f>0</f>
        <v/>
      </c>
      <c r="F23" s="136">
        <f>0</f>
        <v/>
      </c>
      <c r="G23" s="136">
        <f>0</f>
        <v/>
      </c>
      <c r="H23" s="136" t="inlineStr"/>
      <c r="J23" t="inlineStr">
        <is>
          <t>B121</t>
        </is>
      </c>
      <c r="K23" t="n">
        <v>240000</v>
      </c>
      <c r="L23">
        <f>IF(ABS('01_Вводные'!B121-K23)&lt;0.00000001,0,1)</f>
        <v/>
      </c>
    </row>
    <row r="24" ht="45" customHeight="1">
      <c r="A24" s="136" t="inlineStr">
        <is>
          <t>Технические вводные и календарь</t>
        </is>
      </c>
      <c r="B24" s="136" t="n">
        <v>1639.618020669331</v>
      </c>
      <c r="C24" s="136" t="n">
        <v>433.0516325177437</v>
      </c>
      <c r="D24" s="136" t="n">
        <v>259.4493424901985</v>
      </c>
      <c r="E24" s="136">
        <f>B24-B23</f>
        <v/>
      </c>
      <c r="F24" s="136">
        <f>C24-C23</f>
        <v/>
      </c>
      <c r="G24" s="136">
        <f>D24-D23</f>
        <v/>
      </c>
      <c r="H24" s="136" t="inlineStr"/>
      <c r="J24" t="inlineStr">
        <is>
          <t>B122</t>
        </is>
      </c>
      <c r="K24" t="n">
        <v>350000</v>
      </c>
      <c r="L24">
        <f>IF(ABS('01_Вводные'!B122-K24)&lt;0.00000001,0,1)</f>
        <v/>
      </c>
    </row>
    <row r="25" ht="66" customHeight="1">
      <c r="A25" s="136" t="inlineStr">
        <is>
          <t>БДДС: налог лагеря один раз и оплата логистики</t>
        </is>
      </c>
      <c r="B25" s="136" t="n">
        <v>1639.618020669331</v>
      </c>
      <c r="C25" s="136" t="n">
        <v>433.0516325177437</v>
      </c>
      <c r="D25" s="136" t="n">
        <v>257.9270610494473</v>
      </c>
      <c r="E25" s="136">
        <f>B25-B24</f>
        <v/>
      </c>
      <c r="F25" s="136">
        <f>C25-C24</f>
        <v/>
      </c>
      <c r="G25" s="136">
        <f>D25-D24</f>
        <v/>
      </c>
      <c r="H25" s="136" t="inlineStr">
        <is>
          <t>Убран второй платёж налога лагеря: +10 млн ₽. Добавлена пропущенная оплата логистики: −11,522 млн ₽.</t>
        </is>
      </c>
      <c r="J25" t="inlineStr">
        <is>
          <t>B123</t>
        </is>
      </c>
      <c r="K25" t="n">
        <v>25000</v>
      </c>
      <c r="L25">
        <f>IF(ABS('01_Вводные'!B123-K25)&lt;0.00000001,0,1)</f>
        <v/>
      </c>
    </row>
    <row r="26" ht="66" customHeight="1">
      <c r="A26" s="136" t="inlineStr">
        <is>
          <t>ФОТ: восстановлена премия на повышение ГД</t>
        </is>
      </c>
      <c r="B26" s="136" t="n">
        <v>1639.618020669331</v>
      </c>
      <c r="C26" s="136" t="n">
        <v>431.6386874418816</v>
      </c>
      <c r="D26" s="136" t="n">
        <v>256.684771528068</v>
      </c>
      <c r="E26" s="136">
        <f>B26-B25</f>
        <v/>
      </c>
      <c r="F26" s="136">
        <f>C26-C25</f>
        <v/>
      </c>
      <c r="G26" s="136">
        <f>D26-D25</f>
        <v/>
      </c>
      <c r="H26" s="136" t="inlineStr">
        <is>
          <t>Повышение ГД участвует в квартальной премии. Добавлено 1,413 млн ₽ затрат с начислениями.</t>
        </is>
      </c>
      <c r="J26" t="inlineStr">
        <is>
          <t>B124</t>
        </is>
      </c>
      <c r="K26" t="n">
        <v>30000</v>
      </c>
      <c r="L26">
        <f>IF(ABS('01_Вводные'!B124-K26)&lt;0.00000001,0,1)</f>
        <v/>
      </c>
    </row>
    <row r="27" ht="66" customHeight="1">
      <c r="A27" s="136" t="inlineStr">
        <is>
          <t>Склад: норматив и ограничение займа по ТЗ</t>
        </is>
      </c>
      <c r="B27" s="136" t="n">
        <v>1639.618020669331</v>
      </c>
      <c r="C27" s="136" t="n">
        <v>431.6386874418816</v>
      </c>
      <c r="D27" s="136" t="n">
        <v>256.684771528068</v>
      </c>
      <c r="E27" s="136">
        <f>B27-B26</f>
        <v/>
      </c>
      <c r="F27" s="136">
        <f>C27-C26</f>
        <v/>
      </c>
      <c r="G27" s="136">
        <f>D27-D26</f>
        <v/>
      </c>
      <c r="H27" s="136" t="inlineStr">
        <is>
          <t>Займ нельзя погашать в ущерб оговорённому запасу. Итог 5 лет не изменился, но график выплат изменился.</t>
        </is>
      </c>
      <c r="J27" t="inlineStr">
        <is>
          <t>B125</t>
        </is>
      </c>
      <c r="K27" t="n">
        <v>0.04</v>
      </c>
      <c r="L27">
        <f>IF(ABS('01_Вводные'!B125-K27)&lt;0.00000001,0,1)</f>
        <v/>
      </c>
    </row>
    <row r="28" ht="66" customHeight="1">
      <c r="A28" s="136" t="inlineStr">
        <is>
          <t>Роялти: точные тарифные группы</t>
        </is>
      </c>
      <c r="B28" s="136" t="n">
        <v>1668.173851037389</v>
      </c>
      <c r="C28" s="136" t="n">
        <v>457.3389347731345</v>
      </c>
      <c r="D28" s="136" t="n">
        <v>278.6914901501144</v>
      </c>
      <c r="E28" s="136">
        <f>B28-B27</f>
        <v/>
      </c>
      <c r="F28" s="136">
        <f>C28-C27</f>
        <v/>
      </c>
      <c r="G28" s="136">
        <f>D28-D27</f>
        <v/>
      </c>
      <c r="H28" s="136" t="inlineStr">
        <is>
          <t>Применение минимума до суммирования по неодинаковым форматам. Произведение средних также заменено взвешенным оборотом.</t>
        </is>
      </c>
      <c r="J28" t="inlineStr">
        <is>
          <t>B126</t>
        </is>
      </c>
      <c r="K28" t="n">
        <v>5</v>
      </c>
      <c r="L28">
        <f>IF(ABS('01_Вводные'!B126-K28)&lt;0.00000001,0,1)</f>
        <v/>
      </c>
    </row>
    <row r="29">
      <c r="J29" t="inlineStr">
        <is>
          <t>B127</t>
        </is>
      </c>
      <c r="K29" t="n">
        <v>80000</v>
      </c>
      <c r="L29">
        <f>IF(ABS('01_Вводные'!B127-K29)&lt;0.00000001,0,1)</f>
        <v/>
      </c>
    </row>
    <row r="30" ht="45" customHeight="1">
      <c r="A30" s="111" t="inlineStr">
        <is>
          <t>Погашение займа не является расходом EBITDA. Кассовый дефицит — минимальный отрицательный остаток модели; внешнее финансирование и его стоимость не добавлены. Положительный остаток на конце не исключает кассовых разрывов внутри периода.</t>
        </is>
      </c>
      <c r="J30" t="inlineStr">
        <is>
          <t>B128</t>
        </is>
      </c>
      <c r="K30" t="n">
        <v>0.05</v>
      </c>
      <c r="L30">
        <f>IF(ABS('01_Вводные'!B128-K30)&lt;0.00000001,0,1)</f>
        <v/>
      </c>
    </row>
    <row r="31">
      <c r="J31" t="inlineStr">
        <is>
          <t>B129</t>
        </is>
      </c>
      <c r="K31" t="inlineStr">
        <is>
          <t>ИП</t>
        </is>
      </c>
      <c r="L31">
        <f>IF('01_Вводные'!B129=K31,0,1)</f>
        <v/>
      </c>
    </row>
    <row r="32">
      <c r="J32" t="inlineStr">
        <is>
          <t>B13</t>
        </is>
      </c>
      <c r="K32" t="n">
        <v>0</v>
      </c>
      <c r="L32">
        <f>IF(ABS('01_Вводные'!B13-K32)&lt;0.00000001,0,1)</f>
        <v/>
      </c>
    </row>
    <row r="33" ht="28" customHeight="1">
      <c r="A33" s="60" t="inlineStr">
        <is>
          <t>Проверка сокращения когорт</t>
        </is>
      </c>
      <c r="J33" t="inlineStr">
        <is>
          <t>B130</t>
        </is>
      </c>
      <c r="K33" t="n">
        <v>0.6</v>
      </c>
      <c r="L33">
        <f>IF(ABS('01_Вводные'!B130-K33)&lt;0.00000001,0,1)</f>
        <v/>
      </c>
    </row>
    <row r="34">
      <c r="J34" t="inlineStr">
        <is>
          <t>B131</t>
        </is>
      </c>
      <c r="K34" t="n">
        <v>0.3</v>
      </c>
      <c r="L34">
        <f>IF(ABS('01_Вводные'!B131-K34)&lt;0.00000001,0,1)</f>
        <v/>
      </c>
    </row>
    <row r="35" ht="35" customHeight="1">
      <c r="A35" s="87" t="inlineStr">
        <is>
          <t>Условия</t>
        </is>
      </c>
      <c r="B35" s="87" t="inlineStr">
        <is>
          <t>Разница школ</t>
        </is>
      </c>
      <c r="C35" s="87" t="inlineStr">
        <is>
          <t>Разница детей</t>
        </is>
      </c>
      <c r="D35" s="87" t="inlineStr">
        <is>
          <t>Разница роялти, ₽</t>
        </is>
      </c>
      <c r="E35" s="87" t="inlineStr">
        <is>
          <t>Статус</t>
        </is>
      </c>
      <c r="F35" s="87" t="inlineStr"/>
      <c r="G35" s="87" t="inlineStr"/>
      <c r="H35" s="87" t="inlineStr">
        <is>
          <t>Метод</t>
        </is>
      </c>
      <c r="J35" t="inlineStr">
        <is>
          <t>B132</t>
        </is>
      </c>
      <c r="K35" t="n">
        <v>0.87</v>
      </c>
      <c r="L35">
        <f>IF(ABS('01_Вводные'!B132-K35)&lt;0.00000001,0,1)</f>
        <v/>
      </c>
    </row>
    <row r="36" ht="39" customHeight="1">
      <c r="A36" s="136" t="inlineStr">
        <is>
          <t>Закрытие 0%; лаг 2 мес.</t>
        </is>
      </c>
      <c r="B36" s="146" t="n">
        <v>2.842170943040401e-14</v>
      </c>
      <c r="C36" s="146" t="n">
        <v>2.182787284255028e-11</v>
      </c>
      <c r="D36" s="146" t="n">
        <v>1.490116119384766e-08</v>
      </c>
      <c r="E36" s="136" t="inlineStr">
        <is>
          <t>OK</t>
        </is>
      </c>
      <c r="H36" s="136" t="inlineStr">
        <is>
          <t>Независимое суммирование каждой месячной когорты и 20 тарифов.</t>
        </is>
      </c>
      <c r="J36" t="inlineStr">
        <is>
          <t>B133</t>
        </is>
      </c>
      <c r="K36" t="n">
        <v>70000</v>
      </c>
      <c r="L36">
        <f>IF(ABS('01_Вводные'!B133-K36)&lt;0.00000001,0,1)</f>
        <v/>
      </c>
    </row>
    <row r="37" ht="39" customHeight="1">
      <c r="A37" s="136" t="inlineStr">
        <is>
          <t>Закрытие 12%; лаг 2 мес.</t>
        </is>
      </c>
      <c r="B37" s="146" t="n">
        <v>5.684341886080801e-14</v>
      </c>
      <c r="C37" s="146" t="n">
        <v>2.182787284255028e-11</v>
      </c>
      <c r="D37" s="146" t="n">
        <v>1.862645149230957e-08</v>
      </c>
      <c r="E37" s="136" t="inlineStr">
        <is>
          <t>OK</t>
        </is>
      </c>
      <c r="H37" s="136" t="inlineStr">
        <is>
          <t>Независимое суммирование каждой месячной когорты и 20 тарифов.</t>
        </is>
      </c>
      <c r="J37" t="inlineStr">
        <is>
          <t>B134</t>
        </is>
      </c>
      <c r="K37" t="n">
        <v>100000</v>
      </c>
      <c r="L37">
        <f>IF(ABS('01_Вводные'!B134-K37)&lt;0.00000001,0,1)</f>
        <v/>
      </c>
    </row>
    <row r="38" ht="39" customHeight="1">
      <c r="A38" s="136" t="inlineStr">
        <is>
          <t>Закрытие 30%; лаг 3 мес.</t>
        </is>
      </c>
      <c r="B38" s="146" t="n">
        <v>4.263256414560601e-14</v>
      </c>
      <c r="C38" s="146" t="n">
        <v>7.275957614183426e-12</v>
      </c>
      <c r="D38" s="146" t="n">
        <v>7.450580596923828e-09</v>
      </c>
      <c r="E38" s="136" t="inlineStr">
        <is>
          <t>OK</t>
        </is>
      </c>
      <c r="H38" s="136" t="inlineStr">
        <is>
          <t>Независимое суммирование каждой месячной когорты и 20 тарифов.</t>
        </is>
      </c>
      <c r="J38" t="inlineStr">
        <is>
          <t>B135</t>
        </is>
      </c>
      <c r="K38" t="n">
        <v>100000</v>
      </c>
      <c r="L38">
        <f>IF(ABS('01_Вводные'!B135-K38)&lt;0.00000001,0,1)</f>
        <v/>
      </c>
    </row>
    <row r="39" ht="39" customHeight="1">
      <c r="A39" s="136" t="inlineStr">
        <is>
          <t>Закрытие 0%; лаг 0 мес.</t>
        </is>
      </c>
      <c r="B39" s="146" t="n">
        <v>2.842170943040401e-14</v>
      </c>
      <c r="C39" s="146" t="n">
        <v>2.91038304567337e-11</v>
      </c>
      <c r="D39" s="146" t="n">
        <v>2.60770320892334e-08</v>
      </c>
      <c r="E39" s="136" t="inlineStr">
        <is>
          <t>OK</t>
        </is>
      </c>
      <c r="H39" s="136" t="inlineStr">
        <is>
          <t>Независимое суммирование каждой месячной когорты и 20 тарифов.</t>
        </is>
      </c>
      <c r="J39" t="inlineStr">
        <is>
          <t>B15</t>
        </is>
      </c>
      <c r="K39" t="n">
        <v>2</v>
      </c>
      <c r="L39">
        <f>IF(ABS('01_Вводные'!B15-K39)&lt;0.00000001,0,1)</f>
        <v/>
      </c>
    </row>
    <row r="40" ht="39" customHeight="1">
      <c r="A40" s="136" t="inlineStr">
        <is>
          <t>Закрытие 100%; лаг 2 мес.</t>
        </is>
      </c>
      <c r="B40" s="146" t="n">
        <v>0</v>
      </c>
      <c r="C40" s="146" t="n">
        <v>0</v>
      </c>
      <c r="D40" s="146" t="n">
        <v>0</v>
      </c>
      <c r="E40" s="136" t="inlineStr">
        <is>
          <t>OK</t>
        </is>
      </c>
      <c r="H40" s="136" t="inlineStr">
        <is>
          <t>Независимое суммирование каждой месячной когорты и 20 тарифов.</t>
        </is>
      </c>
      <c r="J40" t="inlineStr">
        <is>
          <t>B156</t>
        </is>
      </c>
      <c r="K40" t="n">
        <v>0.15</v>
      </c>
      <c r="L40">
        <f>IF(ABS('01_Вводные'!B156-K40)&lt;0.00000001,0,1)</f>
        <v/>
      </c>
    </row>
    <row r="41">
      <c r="J41" t="inlineStr">
        <is>
          <t>B157</t>
        </is>
      </c>
      <c r="K41" t="n">
        <v>0.01</v>
      </c>
      <c r="L41">
        <f>IF(ABS('01_Вводные'!B157-K41)&lt;0.00000001,0,1)</f>
        <v/>
      </c>
    </row>
    <row r="42" ht="48" customHeight="1">
      <c r="A42" s="111" t="inlineStr">
        <is>
          <t>Эквивалентность сокращённого расчёта детей подтверждена при текущих правилах: одинаковая вероятность закрытия и норматив численности внутри возрастной группы. При разных профилях разгона, сезонности или закрытия по форматам потребуется дополнительная детализация.</t>
        </is>
      </c>
      <c r="J42" t="inlineStr">
        <is>
          <t>B16</t>
        </is>
      </c>
      <c r="K42" t="n">
        <v>1</v>
      </c>
      <c r="L42">
        <f>IF(ABS('01_Вводные'!B16-K42)&lt;0.00000001,0,1)</f>
        <v/>
      </c>
    </row>
    <row r="43">
      <c r="J43" t="inlineStr">
        <is>
          <t>B161</t>
        </is>
      </c>
      <c r="K43" t="n">
        <v>2</v>
      </c>
      <c r="L43">
        <f>IF(ABS('01_Вводные'!B161-K43)&lt;0.00000001,0,1)</f>
        <v/>
      </c>
    </row>
    <row r="44">
      <c r="J44" t="inlineStr">
        <is>
          <t>B162</t>
        </is>
      </c>
      <c r="K44" t="n">
        <v>50</v>
      </c>
      <c r="L44">
        <f>IF(ABS('01_Вводные'!B162-K44)&lt;0.00000001,0,1)</f>
        <v/>
      </c>
    </row>
    <row r="45">
      <c r="J45" t="inlineStr">
        <is>
          <t>B163</t>
        </is>
      </c>
      <c r="K45" t="n">
        <v>50</v>
      </c>
      <c r="L45">
        <f>IF(ABS('01_Вводные'!B163-K45)&lt;0.00000001,0,1)</f>
        <v/>
      </c>
    </row>
    <row r="46">
      <c r="J46" t="inlineStr">
        <is>
          <t>B164</t>
        </is>
      </c>
      <c r="K46" t="n">
        <v>80000</v>
      </c>
      <c r="L46">
        <f>IF(ABS('01_Вводные'!B164-K46)&lt;0.00000001,0,1)</f>
        <v/>
      </c>
    </row>
    <row r="47">
      <c r="J47" t="inlineStr">
        <is>
          <t>B165</t>
        </is>
      </c>
      <c r="K47" t="n">
        <v>120000</v>
      </c>
      <c r="L47">
        <f>IF(ABS('01_Вводные'!B165-K47)&lt;0.00000001,0,1)</f>
        <v/>
      </c>
    </row>
    <row r="48">
      <c r="J48" t="inlineStr">
        <is>
          <t>B167</t>
        </is>
      </c>
      <c r="K48" t="n">
        <v>5386000</v>
      </c>
      <c r="L48">
        <f>IF(ABS('01_Вводные'!B167-K48)&lt;0.00000001,0,1)</f>
        <v/>
      </c>
    </row>
    <row r="49">
      <c r="J49" t="inlineStr">
        <is>
          <t>B169</t>
        </is>
      </c>
      <c r="K49" t="n">
        <v>0.125</v>
      </c>
      <c r="L49">
        <f>IF(ABS('01_Вводные'!B169-K49)&lt;0.00000001,0,1)</f>
        <v/>
      </c>
    </row>
    <row r="50">
      <c r="J50" t="inlineStr">
        <is>
          <t>B17</t>
        </is>
      </c>
      <c r="K50" t="n">
        <v>187878</v>
      </c>
      <c r="L50">
        <f>IF(ABS('01_Вводные'!B17-K50)&lt;0.00000001,0,1)</f>
        <v/>
      </c>
    </row>
    <row r="51">
      <c r="J51" t="inlineStr">
        <is>
          <t>B170</t>
        </is>
      </c>
      <c r="K51" t="n">
        <v>700000</v>
      </c>
      <c r="L51">
        <f>IF(ABS('01_Вводные'!B170-K51)&lt;0.00000001,0,1)</f>
        <v/>
      </c>
    </row>
    <row r="52">
      <c r="J52" t="inlineStr">
        <is>
          <t>B171</t>
        </is>
      </c>
      <c r="K52" t="n">
        <v>0.4</v>
      </c>
      <c r="L52">
        <f>IF(ABS('01_Вводные'!B171-K52)&lt;0.00000001,0,1)</f>
        <v/>
      </c>
    </row>
    <row r="53">
      <c r="J53" t="inlineStr">
        <is>
          <t>B172</t>
        </is>
      </c>
      <c r="K53" t="n">
        <v>0.6</v>
      </c>
      <c r="L53">
        <f>IF(ABS('01_Вводные'!B172-K53)&lt;0.00000001,0,1)</f>
        <v/>
      </c>
    </row>
    <row r="54">
      <c r="J54" t="inlineStr">
        <is>
          <t>B173</t>
        </is>
      </c>
      <c r="K54" t="n">
        <v>5</v>
      </c>
      <c r="L54">
        <f>IF(ABS('01_Вводные'!B173-K54)&lt;0.00000001,0,1)</f>
        <v/>
      </c>
    </row>
    <row r="55">
      <c r="J55" t="inlineStr">
        <is>
          <t>B174</t>
        </is>
      </c>
      <c r="K55" t="n">
        <v>0.4</v>
      </c>
      <c r="L55">
        <f>IF(ABS('01_Вводные'!B174-K55)&lt;0.00000001,0,1)</f>
        <v/>
      </c>
    </row>
    <row r="56">
      <c r="J56" t="inlineStr">
        <is>
          <t>B175</t>
        </is>
      </c>
      <c r="K56" t="n">
        <v>3</v>
      </c>
      <c r="L56">
        <f>IF(ABS('01_Вводные'!B175-K56)&lt;0.00000001,0,1)</f>
        <v/>
      </c>
    </row>
    <row r="57">
      <c r="J57" t="inlineStr">
        <is>
          <t>B176</t>
        </is>
      </c>
      <c r="K57" t="n">
        <v>0.6</v>
      </c>
      <c r="L57">
        <f>IF(ABS('01_Вводные'!B176-K57)&lt;0.00000001,0,1)</f>
        <v/>
      </c>
    </row>
    <row r="58">
      <c r="J58" t="inlineStr">
        <is>
          <t>B177</t>
        </is>
      </c>
      <c r="K58" t="n">
        <v>5</v>
      </c>
      <c r="L58">
        <f>IF(ABS('01_Вводные'!B177-K58)&lt;0.00000001,0,1)</f>
        <v/>
      </c>
    </row>
    <row r="59">
      <c r="J59" t="inlineStr">
        <is>
          <t>B19</t>
        </is>
      </c>
      <c r="K59" t="n">
        <v>15</v>
      </c>
      <c r="L59">
        <f>IF(ABS('01_Вводные'!B19-K59)&lt;0.00000001,0,1)</f>
        <v/>
      </c>
    </row>
    <row r="60">
      <c r="J60" t="inlineStr">
        <is>
          <t>B192</t>
        </is>
      </c>
      <c r="K60" t="inlineStr">
        <is>
          <t>Базовый</t>
        </is>
      </c>
      <c r="L60">
        <f>IF('01_Вводные'!B192=K60,0,1)</f>
        <v/>
      </c>
    </row>
    <row r="61">
      <c r="J61" t="inlineStr">
        <is>
          <t>B210</t>
        </is>
      </c>
      <c r="K61" t="n">
        <v>66</v>
      </c>
      <c r="L61">
        <f>IF(ABS('01_Вводные'!B210-K61)&lt;0.00000001,0,1)</f>
        <v/>
      </c>
    </row>
    <row r="62">
      <c r="J62" t="inlineStr">
        <is>
          <t>B211</t>
        </is>
      </c>
      <c r="K62" t="n">
        <v>72</v>
      </c>
      <c r="L62">
        <f>IF(ABS('01_Вводные'!B211-K62)&lt;0.00000001,0,1)</f>
        <v/>
      </c>
    </row>
    <row r="63">
      <c r="J63" t="inlineStr">
        <is>
          <t>B212</t>
        </is>
      </c>
      <c r="K63" t="n">
        <v>72</v>
      </c>
      <c r="L63">
        <f>IF(ABS('01_Вводные'!B212-K63)&lt;0.00000001,0,1)</f>
        <v/>
      </c>
    </row>
    <row r="64">
      <c r="J64" t="inlineStr">
        <is>
          <t>B213</t>
        </is>
      </c>
      <c r="K64" t="n">
        <v>60</v>
      </c>
      <c r="L64">
        <f>IF(ABS('01_Вводные'!B213-K64)&lt;0.00000001,0,1)</f>
        <v/>
      </c>
    </row>
    <row r="65">
      <c r="J65" t="inlineStr">
        <is>
          <t>B214</t>
        </is>
      </c>
      <c r="K65" t="n">
        <v>50</v>
      </c>
      <c r="L65">
        <f>IF(ABS('01_Вводные'!B214-K65)&lt;0.00000001,0,1)</f>
        <v/>
      </c>
    </row>
    <row r="66">
      <c r="J66" t="inlineStr">
        <is>
          <t>B217</t>
        </is>
      </c>
      <c r="K66" t="n">
        <v>6000</v>
      </c>
      <c r="L66">
        <f>IF(ABS('01_Вводные'!B217-K66)&lt;0.00000001,0,1)</f>
        <v/>
      </c>
    </row>
    <row r="67">
      <c r="J67" t="inlineStr">
        <is>
          <t>B223</t>
        </is>
      </c>
      <c r="K67" t="n">
        <v>1.2</v>
      </c>
      <c r="L67">
        <f>IF(ABS('01_Вводные'!B223-K67)&lt;0.00000001,0,1)</f>
        <v/>
      </c>
    </row>
    <row r="68">
      <c r="J68" t="inlineStr">
        <is>
          <t>B224</t>
        </is>
      </c>
      <c r="K68" t="n">
        <v>160000</v>
      </c>
      <c r="L68">
        <f>IF(ABS('01_Вводные'!B224-K68)&lt;0.00000001,0,1)</f>
        <v/>
      </c>
    </row>
    <row r="69">
      <c r="J69" t="inlineStr">
        <is>
          <t>B225</t>
        </is>
      </c>
      <c r="K69" t="n">
        <v>15</v>
      </c>
      <c r="L69">
        <f>IF(ABS('01_Вводные'!B225-K69)&lt;0.00000001,0,1)</f>
        <v/>
      </c>
    </row>
    <row r="70">
      <c r="J70" t="inlineStr">
        <is>
          <t>B235</t>
        </is>
      </c>
      <c r="K70" t="n">
        <v>0</v>
      </c>
      <c r="L70">
        <f>IF(ABS('01_Вводные'!B235-K70)&lt;0.00000001,0,1)</f>
        <v/>
      </c>
    </row>
    <row r="71">
      <c r="J71" t="inlineStr">
        <is>
          <t>B237</t>
        </is>
      </c>
      <c r="K71" t="n">
        <v>0</v>
      </c>
      <c r="L71">
        <f>IF(ABS('01_Вводные'!B237-K71)&lt;0.00000001,0,1)</f>
        <v/>
      </c>
    </row>
    <row r="72">
      <c r="J72" t="inlineStr">
        <is>
          <t>B238</t>
        </is>
      </c>
      <c r="K72" t="inlineStr">
        <is>
          <t>Да</t>
        </is>
      </c>
      <c r="L72">
        <f>IF('01_Вводные'!B238=K72,0,1)</f>
        <v/>
      </c>
    </row>
    <row r="73">
      <c r="J73" t="inlineStr">
        <is>
          <t>B239</t>
        </is>
      </c>
      <c r="K73" t="inlineStr">
        <is>
          <t>Да</t>
        </is>
      </c>
      <c r="L73">
        <f>IF('01_Вводные'!B239=K73,0,1)</f>
        <v/>
      </c>
    </row>
    <row r="74">
      <c r="J74" t="inlineStr">
        <is>
          <t>B240</t>
        </is>
      </c>
      <c r="K74" t="n">
        <v>0.1</v>
      </c>
      <c r="L74">
        <f>IF(ABS('01_Вводные'!B240-K74)&lt;0.00000001,0,1)</f>
        <v/>
      </c>
    </row>
    <row r="75">
      <c r="J75" t="inlineStr">
        <is>
          <t>B241</t>
        </is>
      </c>
      <c r="K75" t="inlineStr">
        <is>
          <t>Да</t>
        </is>
      </c>
      <c r="L75">
        <f>IF('01_Вводные'!B241=K75,0,1)</f>
        <v/>
      </c>
    </row>
    <row r="76">
      <c r="J76" t="inlineStr">
        <is>
          <t>B242</t>
        </is>
      </c>
      <c r="K76" s="142" t="n">
        <v>46296</v>
      </c>
      <c r="L76">
        <f>IF('01_Вводные'!B242=K76,0,1)</f>
        <v/>
      </c>
    </row>
    <row r="77">
      <c r="J77" t="inlineStr">
        <is>
          <t>B243</t>
        </is>
      </c>
      <c r="K77" t="n">
        <v>1</v>
      </c>
      <c r="L77">
        <f>IF(ABS('01_Вводные'!B243-K77)&lt;0.00000001,0,1)</f>
        <v/>
      </c>
    </row>
    <row r="78">
      <c r="J78" t="inlineStr">
        <is>
          <t>B244</t>
        </is>
      </c>
      <c r="K78" s="142" t="n">
        <v>46387</v>
      </c>
      <c r="L78">
        <f>IF('01_Вводные'!B244=K78,0,1)</f>
        <v/>
      </c>
    </row>
    <row r="79">
      <c r="J79" t="inlineStr">
        <is>
          <t>B245</t>
        </is>
      </c>
      <c r="K79" s="142" t="n">
        <v>47484</v>
      </c>
      <c r="L79">
        <f>IF('01_Вводные'!B245=K79,0,1)</f>
        <v/>
      </c>
    </row>
    <row r="80">
      <c r="J80" t="inlineStr">
        <is>
          <t>B246</t>
        </is>
      </c>
      <c r="K80" s="142" t="n">
        <v>46722</v>
      </c>
      <c r="L80">
        <f>IF('01_Вводные'!B246=K80,0,1)</f>
        <v/>
      </c>
    </row>
    <row r="81">
      <c r="J81" t="inlineStr">
        <is>
          <t>B247</t>
        </is>
      </c>
      <c r="K81" s="142" t="n">
        <v>46388</v>
      </c>
      <c r="L81">
        <f>IF('01_Вводные'!B247=K81,0,1)</f>
        <v/>
      </c>
    </row>
    <row r="82">
      <c r="J82" t="inlineStr">
        <is>
          <t>B248</t>
        </is>
      </c>
      <c r="K82" s="142" t="n">
        <v>46631</v>
      </c>
      <c r="L82">
        <f>IF('01_Вводные'!B248=K82,0,1)</f>
        <v/>
      </c>
    </row>
    <row r="83">
      <c r="J83" t="inlineStr">
        <is>
          <t>B249</t>
        </is>
      </c>
      <c r="K83" s="142" t="n">
        <v>46753</v>
      </c>
      <c r="L83">
        <f>IF('01_Вводные'!B249=K83,0,1)</f>
        <v/>
      </c>
    </row>
    <row r="84">
      <c r="J84" t="inlineStr">
        <is>
          <t>B250</t>
        </is>
      </c>
      <c r="K84" s="142" t="n">
        <v>46388</v>
      </c>
      <c r="L84">
        <f>IF('01_Вводные'!B250=K84,0,1)</f>
        <v/>
      </c>
    </row>
    <row r="85">
      <c r="J85" t="inlineStr">
        <is>
          <t>B251</t>
        </is>
      </c>
      <c r="K85" s="142" t="n">
        <v>46631</v>
      </c>
      <c r="L85">
        <f>IF('01_Вводные'!B251=K85,0,1)</f>
        <v/>
      </c>
    </row>
    <row r="86">
      <c r="J86" t="inlineStr">
        <is>
          <t>B252</t>
        </is>
      </c>
      <c r="K86" t="n">
        <v>6</v>
      </c>
      <c r="L86">
        <f>IF(ABS('01_Вводные'!B252-K86)&lt;0.00000001,0,1)</f>
        <v/>
      </c>
    </row>
    <row r="87">
      <c r="J87" t="inlineStr">
        <is>
          <t>B253</t>
        </is>
      </c>
      <c r="K87" t="n">
        <v>2</v>
      </c>
      <c r="L87">
        <f>IF(ABS('01_Вводные'!B253-K87)&lt;0.00000001,0,1)</f>
        <v/>
      </c>
    </row>
    <row r="88">
      <c r="J88" t="inlineStr">
        <is>
          <t>B254</t>
        </is>
      </c>
      <c r="K88" t="n">
        <v>5</v>
      </c>
      <c r="L88">
        <f>IF(ABS('01_Вводные'!B254-K88)&lt;0.00000001,0,1)</f>
        <v/>
      </c>
    </row>
    <row r="89">
      <c r="J89" t="inlineStr">
        <is>
          <t>B255</t>
        </is>
      </c>
      <c r="K89" s="142" t="n">
        <v>46296</v>
      </c>
      <c r="L89">
        <f>IF('01_Вводные'!B255=K89,0,1)</f>
        <v/>
      </c>
    </row>
    <row r="90">
      <c r="J90" t="inlineStr">
        <is>
          <t>B256</t>
        </is>
      </c>
      <c r="K90" t="n">
        <v>9</v>
      </c>
      <c r="L90">
        <f>IF(ABS('01_Вводные'!B256-K90)&lt;0.00000001,0,1)</f>
        <v/>
      </c>
    </row>
    <row r="91">
      <c r="J91" t="inlineStr">
        <is>
          <t>B27</t>
        </is>
      </c>
      <c r="K91" t="n">
        <v>2</v>
      </c>
      <c r="L91">
        <f>IF(ABS('01_Вводные'!B27-K91)&lt;0.00000001,0,1)</f>
        <v/>
      </c>
    </row>
    <row r="92">
      <c r="J92" t="inlineStr">
        <is>
          <t>B28</t>
        </is>
      </c>
      <c r="K92" t="n">
        <v>250000</v>
      </c>
      <c r="L92">
        <f>IF(ABS('01_Вводные'!B28-K92)&lt;0.00000001,0,1)</f>
        <v/>
      </c>
    </row>
    <row r="93">
      <c r="J93" t="inlineStr">
        <is>
          <t>B29</t>
        </is>
      </c>
      <c r="K93" t="n">
        <v>10</v>
      </c>
      <c r="L93">
        <f>IF(ABS('01_Вводные'!B29-K93)&lt;0.00000001,0,1)</f>
        <v/>
      </c>
    </row>
    <row r="94">
      <c r="J94" t="inlineStr">
        <is>
          <t>B30</t>
        </is>
      </c>
      <c r="K94" t="n">
        <v>250000</v>
      </c>
      <c r="L94">
        <f>IF(ABS('01_Вводные'!B30-K94)&lt;0.00000001,0,1)</f>
        <v/>
      </c>
    </row>
    <row r="95">
      <c r="J95" t="inlineStr">
        <is>
          <t>B31</t>
        </is>
      </c>
      <c r="K95" t="n">
        <v>11</v>
      </c>
      <c r="L95">
        <f>IF(ABS('01_Вводные'!B31-K95)&lt;0.00000001,0,1)</f>
        <v/>
      </c>
    </row>
    <row r="96">
      <c r="J96" t="inlineStr">
        <is>
          <t>B32</t>
        </is>
      </c>
      <c r="K96" t="n">
        <v>250000</v>
      </c>
      <c r="L96">
        <f>IF(ABS('01_Вводные'!B32-K96)&lt;0.00000001,0,1)</f>
        <v/>
      </c>
    </row>
    <row r="97">
      <c r="J97" t="inlineStr">
        <is>
          <t>B33</t>
        </is>
      </c>
      <c r="K97" t="n">
        <v>12</v>
      </c>
      <c r="L97">
        <f>IF(ABS('01_Вводные'!B33-K97)&lt;0.00000001,0,1)</f>
        <v/>
      </c>
    </row>
    <row r="98">
      <c r="J98" t="inlineStr">
        <is>
          <t>B44</t>
        </is>
      </c>
      <c r="K98" t="n">
        <v>0.963235294117647</v>
      </c>
      <c r="L98">
        <f>IF(ABS('01_Вводные'!B44-K98)&lt;0.00000001,0,1)</f>
        <v/>
      </c>
    </row>
    <row r="99">
      <c r="J99" t="inlineStr">
        <is>
          <t>B52</t>
        </is>
      </c>
      <c r="K99" t="n">
        <v>15000</v>
      </c>
      <c r="L99">
        <f>IF(ABS('01_Вводные'!B52-K99)&lt;0.00000001,0,1)</f>
        <v/>
      </c>
    </row>
    <row r="100">
      <c r="J100" t="inlineStr">
        <is>
          <t>B55</t>
        </is>
      </c>
      <c r="K100" t="n">
        <v>0.065</v>
      </c>
      <c r="L100">
        <f>IF(ABS('01_Вводные'!B55-K100)&lt;0.00000001,0,1)</f>
        <v/>
      </c>
    </row>
    <row r="101">
      <c r="J101" t="inlineStr">
        <is>
          <t>B56</t>
        </is>
      </c>
      <c r="K101" t="n">
        <v>0.08500000000000001</v>
      </c>
      <c r="L101">
        <f>IF(ABS('01_Вводные'!B56-K101)&lt;0.00000001,0,1)</f>
        <v/>
      </c>
    </row>
    <row r="102">
      <c r="J102" t="inlineStr">
        <is>
          <t>B57</t>
        </is>
      </c>
      <c r="K102" t="n">
        <v>0.1</v>
      </c>
      <c r="L102">
        <f>IF(ABS('01_Вводные'!B57-K102)&lt;0.00000001,0,1)</f>
        <v/>
      </c>
    </row>
    <row r="103">
      <c r="J103" t="inlineStr">
        <is>
          <t>B58</t>
        </is>
      </c>
      <c r="K103" t="n">
        <v>0.05</v>
      </c>
      <c r="L103">
        <f>IF(ABS('01_Вводные'!B58-K103)&lt;0.00000001,0,1)</f>
        <v/>
      </c>
    </row>
    <row r="104">
      <c r="J104" t="inlineStr">
        <is>
          <t>B59</t>
        </is>
      </c>
      <c r="K104" t="n">
        <v>0.35</v>
      </c>
      <c r="L104">
        <f>IF(ABS('01_Вводные'!B59-K104)&lt;0.00000001,0,1)</f>
        <v/>
      </c>
    </row>
    <row r="105">
      <c r="J105" t="inlineStr">
        <is>
          <t>B60</t>
        </is>
      </c>
      <c r="K105" t="n">
        <v>0.1</v>
      </c>
      <c r="L105">
        <f>IF(ABS('01_Вводные'!B60-K105)&lt;0.00000001,0,1)</f>
        <v/>
      </c>
    </row>
    <row r="106">
      <c r="J106" t="inlineStr">
        <is>
          <t>B7</t>
        </is>
      </c>
      <c r="K106" s="142" t="n">
        <v>46266</v>
      </c>
      <c r="L106">
        <f>IF('01_Вводные'!B7=K106,0,1)</f>
        <v/>
      </c>
    </row>
    <row r="107">
      <c r="J107" t="inlineStr">
        <is>
          <t>B71</t>
        </is>
      </c>
      <c r="K107" t="n">
        <v>2100</v>
      </c>
      <c r="L107">
        <f>IF(ABS('01_Вводные'!B71-K107)&lt;0.00000001,0,1)</f>
        <v/>
      </c>
    </row>
    <row r="108">
      <c r="J108" t="inlineStr">
        <is>
          <t>B72</t>
        </is>
      </c>
      <c r="K108" t="n">
        <v>0.85</v>
      </c>
      <c r="L108">
        <f>IF(ABS('01_Вводные'!B72-K108)&lt;0.00000001,0,1)</f>
        <v/>
      </c>
    </row>
    <row r="109">
      <c r="J109" t="inlineStr">
        <is>
          <t>B75</t>
        </is>
      </c>
      <c r="K109" t="n">
        <v>0.02</v>
      </c>
      <c r="L109">
        <f>IF(ABS('01_Вводные'!B75-K109)&lt;0.00000001,0,1)</f>
        <v/>
      </c>
    </row>
    <row r="110">
      <c r="J110" t="inlineStr">
        <is>
          <t>B76</t>
        </is>
      </c>
      <c r="K110" t="n">
        <v>0.35</v>
      </c>
      <c r="L110">
        <f>IF(ABS('01_Вводные'!B76-K110)&lt;0.00000001,0,1)</f>
        <v/>
      </c>
    </row>
    <row r="111">
      <c r="J111" t="inlineStr">
        <is>
          <t>B77</t>
        </is>
      </c>
      <c r="K111" t="n">
        <v>50000000</v>
      </c>
      <c r="L111">
        <f>IF(ABS('01_Вводные'!B77-K111)&lt;0.00000001,0,1)</f>
        <v/>
      </c>
    </row>
    <row r="112">
      <c r="J112" t="inlineStr">
        <is>
          <t>B78</t>
        </is>
      </c>
      <c r="K112" t="n">
        <v>50000000</v>
      </c>
      <c r="L112">
        <f>IF(ABS('01_Вводные'!B78-K112)&lt;0.00000001,0,1)</f>
        <v/>
      </c>
    </row>
    <row r="113">
      <c r="J113" t="inlineStr">
        <is>
          <t>B79</t>
        </is>
      </c>
      <c r="K113" t="n">
        <v>0.6</v>
      </c>
      <c r="L113">
        <f>IF(ABS('01_Вводные'!B79-K113)&lt;0.00000001,0,1)</f>
        <v/>
      </c>
    </row>
    <row r="114">
      <c r="J114" t="inlineStr">
        <is>
          <t>B80</t>
        </is>
      </c>
      <c r="K114" t="n">
        <v>6</v>
      </c>
      <c r="L114">
        <f>IF(ABS('01_Вводные'!B80-K114)&lt;0.00000001,0,1)</f>
        <v/>
      </c>
    </row>
    <row r="115">
      <c r="J115" t="inlineStr">
        <is>
          <t>B81</t>
        </is>
      </c>
      <c r="K115" s="142" t="n">
        <v>46966</v>
      </c>
      <c r="L115">
        <f>IF('01_Вводные'!B81=K115,0,1)</f>
        <v/>
      </c>
    </row>
    <row r="116">
      <c r="J116" t="inlineStr">
        <is>
          <t>B82</t>
        </is>
      </c>
      <c r="K116" t="n">
        <v>2</v>
      </c>
      <c r="L116">
        <f>IF(ABS('01_Вводные'!B82-K116)&lt;0.00000001,0,1)</f>
        <v/>
      </c>
    </row>
    <row r="117">
      <c r="J117" t="inlineStr">
        <is>
          <t>B83</t>
        </is>
      </c>
      <c r="K117" t="n">
        <v>5</v>
      </c>
      <c r="L117">
        <f>IF(ABS('01_Вводные'!B83-K117)&lt;0.00000001,0,1)</f>
        <v/>
      </c>
    </row>
    <row r="118">
      <c r="J118" t="inlineStr">
        <is>
          <t>B84</t>
        </is>
      </c>
      <c r="K118" t="n">
        <v>8</v>
      </c>
      <c r="L118">
        <f>IF(ABS('01_Вводные'!B84-K118)&lt;0.00000001,0,1)</f>
        <v/>
      </c>
    </row>
    <row r="119">
      <c r="J119" t="inlineStr">
        <is>
          <t>B85</t>
        </is>
      </c>
      <c r="K119" t="n">
        <v>11</v>
      </c>
      <c r="L119">
        <f>IF(ABS('01_Вводные'!B85-K119)&lt;0.00000001,0,1)</f>
        <v/>
      </c>
    </row>
    <row r="120">
      <c r="J120" t="inlineStr">
        <is>
          <t>B87</t>
        </is>
      </c>
      <c r="K120" t="n">
        <v>0.5</v>
      </c>
      <c r="L120">
        <f>IF(ABS('01_Вводные'!B87-K120)&lt;0.00000001,0,1)</f>
        <v/>
      </c>
    </row>
    <row r="121">
      <c r="J121" t="inlineStr">
        <is>
          <t>B88</t>
        </is>
      </c>
      <c r="K121" t="n">
        <v>0.3</v>
      </c>
      <c r="L121">
        <f>IF(ABS('01_Вводные'!B88-K121)&lt;0.00000001,0,1)</f>
        <v/>
      </c>
    </row>
    <row r="122">
      <c r="J122" t="inlineStr">
        <is>
          <t>B89</t>
        </is>
      </c>
      <c r="K122" t="n">
        <v>0.2</v>
      </c>
      <c r="L122">
        <f>IF(ABS('01_Вводные'!B89-K122)&lt;0.00000001,0,1)</f>
        <v/>
      </c>
    </row>
    <row r="123">
      <c r="J123" t="inlineStr">
        <is>
          <t>B9</t>
        </is>
      </c>
      <c r="K123" t="n">
        <v>60</v>
      </c>
      <c r="L123">
        <f>IF(ABS('01_Вводные'!B9-K123)&lt;0.00000001,0,1)</f>
        <v/>
      </c>
    </row>
    <row r="124">
      <c r="J124" t="inlineStr">
        <is>
          <t>B94</t>
        </is>
      </c>
      <c r="K124" t="n">
        <v>0</v>
      </c>
      <c r="L124">
        <f>IF(ABS('01_Вводные'!B94-K124)&lt;0.00000001,0,1)</f>
        <v/>
      </c>
    </row>
    <row r="125">
      <c r="J125" t="inlineStr">
        <is>
          <t>C100</t>
        </is>
      </c>
      <c r="K125" t="n">
        <v>4335000</v>
      </c>
      <c r="L125">
        <f>IF(ABS('01_Вводные'!C100-K125)&lt;0.00000001,0,1)</f>
        <v/>
      </c>
    </row>
    <row r="126">
      <c r="J126" t="inlineStr">
        <is>
          <t>C101</t>
        </is>
      </c>
      <c r="K126" t="n">
        <v>2167500</v>
      </c>
      <c r="L126">
        <f>IF(ABS('01_Вводные'!C101-K126)&lt;0.00000001,0,1)</f>
        <v/>
      </c>
    </row>
    <row r="127">
      <c r="J127" t="inlineStr">
        <is>
          <t>C138</t>
        </is>
      </c>
      <c r="K127" t="n">
        <v>402300</v>
      </c>
      <c r="L127">
        <f>IF(ABS('01_Вводные'!C138-K127)&lt;0.00000001,0,1)</f>
        <v/>
      </c>
    </row>
    <row r="128">
      <c r="J128" t="inlineStr">
        <is>
          <t>C139</t>
        </is>
      </c>
      <c r="K128" t="n">
        <v>230000</v>
      </c>
      <c r="L128">
        <f>IF(ABS('01_Вводные'!C139-K128)&lt;0.00000001,0,1)</f>
        <v/>
      </c>
    </row>
    <row r="129">
      <c r="J129" t="inlineStr">
        <is>
          <t>C140</t>
        </is>
      </c>
      <c r="K129" t="n">
        <v>287360</v>
      </c>
      <c r="L129">
        <f>IF(ABS('01_Вводные'!C140-K129)&lt;0.00000001,0,1)</f>
        <v/>
      </c>
    </row>
    <row r="130">
      <c r="J130" t="inlineStr">
        <is>
          <t>C141</t>
        </is>
      </c>
      <c r="K130" t="n">
        <v>126436</v>
      </c>
      <c r="L130">
        <f>IF(ABS('01_Вводные'!C141-K130)&lt;0.00000001,0,1)</f>
        <v/>
      </c>
    </row>
    <row r="131">
      <c r="J131" t="inlineStr">
        <is>
          <t>C142</t>
        </is>
      </c>
      <c r="K131" t="n">
        <v>114943</v>
      </c>
      <c r="L131">
        <f>IF(ABS('01_Вводные'!C142-K131)&lt;0.00000001,0,1)</f>
        <v/>
      </c>
    </row>
    <row r="132">
      <c r="J132" t="inlineStr">
        <is>
          <t>C143</t>
        </is>
      </c>
      <c r="K132" t="n">
        <v>114943</v>
      </c>
      <c r="L132">
        <f>IF(ABS('01_Вводные'!C143-K132)&lt;0.00000001,0,1)</f>
        <v/>
      </c>
    </row>
    <row r="133">
      <c r="J133" t="inlineStr">
        <is>
          <t>C144</t>
        </is>
      </c>
      <c r="K133" t="n">
        <v>229890</v>
      </c>
      <c r="L133">
        <f>IF(ABS('01_Вводные'!C144-K133)&lt;0.00000001,0,1)</f>
        <v/>
      </c>
    </row>
    <row r="134">
      <c r="J134" t="inlineStr">
        <is>
          <t>C145</t>
        </is>
      </c>
      <c r="K134" t="n">
        <v>229885</v>
      </c>
      <c r="L134">
        <f>IF(ABS('01_Вводные'!C145-K134)&lt;0.00000001,0,1)</f>
        <v/>
      </c>
    </row>
    <row r="135">
      <c r="J135" t="inlineStr">
        <is>
          <t>C146</t>
        </is>
      </c>
      <c r="K135" t="n">
        <v>287360</v>
      </c>
      <c r="L135">
        <f>IF(ABS('01_Вводные'!C146-K135)&lt;0.00000001,0,1)</f>
        <v/>
      </c>
    </row>
    <row r="136">
      <c r="J136" t="inlineStr">
        <is>
          <t>C147</t>
        </is>
      </c>
      <c r="K136" t="n">
        <v>229885</v>
      </c>
      <c r="L136">
        <f>IF(ABS('01_Вводные'!C147-K136)&lt;0.00000001,0,1)</f>
        <v/>
      </c>
    </row>
    <row r="137">
      <c r="J137" t="inlineStr">
        <is>
          <t>C148</t>
        </is>
      </c>
      <c r="K137" t="n">
        <v>288000</v>
      </c>
      <c r="L137">
        <f>IF(ABS('01_Вводные'!C148-K137)&lt;0.00000001,0,1)</f>
        <v/>
      </c>
    </row>
    <row r="138">
      <c r="J138" t="inlineStr">
        <is>
          <t>C149</t>
        </is>
      </c>
      <c r="K138" t="n">
        <v>287400</v>
      </c>
      <c r="L138">
        <f>IF(ABS('01_Вводные'!C149-K138)&lt;0.00000001,0,1)</f>
        <v/>
      </c>
    </row>
    <row r="139">
      <c r="J139" t="inlineStr">
        <is>
          <t>C150</t>
        </is>
      </c>
      <c r="K139" t="n">
        <v>230000</v>
      </c>
      <c r="L139">
        <f>IF(ABS('01_Вводные'!C150-K139)&lt;0.00000001,0,1)</f>
        <v/>
      </c>
    </row>
    <row r="140">
      <c r="J140" t="inlineStr">
        <is>
          <t>C197</t>
        </is>
      </c>
      <c r="K140" t="inlineStr">
        <is>
          <t>Негативный</t>
        </is>
      </c>
      <c r="L140">
        <f>IF('01_Вводные'!C197=K140,0,1)</f>
        <v/>
      </c>
    </row>
    <row r="141">
      <c r="J141" t="inlineStr">
        <is>
          <t>C198</t>
        </is>
      </c>
      <c r="K141" t="n">
        <v>0.8</v>
      </c>
      <c r="L141">
        <f>IF(ABS('01_Вводные'!C198-K141)&lt;0.00000001,0,1)</f>
        <v/>
      </c>
    </row>
    <row r="142">
      <c r="J142" t="inlineStr">
        <is>
          <t>C199</t>
        </is>
      </c>
      <c r="K142" t="n">
        <v>0.9</v>
      </c>
      <c r="L142">
        <f>IF(ABS('01_Вводные'!C199-K142)&lt;0.00000001,0,1)</f>
        <v/>
      </c>
    </row>
    <row r="143">
      <c r="J143" t="inlineStr">
        <is>
          <t>C200</t>
        </is>
      </c>
      <c r="K143" t="n">
        <v>0.95</v>
      </c>
      <c r="L143">
        <f>IF(ABS('01_Вводные'!C200-K143)&lt;0.00000001,0,1)</f>
        <v/>
      </c>
    </row>
    <row r="144">
      <c r="J144" t="inlineStr">
        <is>
          <t>C201</t>
        </is>
      </c>
      <c r="K144" t="n">
        <v>0.9</v>
      </c>
      <c r="L144">
        <f>IF(ABS('01_Вводные'!C201-K144)&lt;0.00000001,0,1)</f>
        <v/>
      </c>
    </row>
    <row r="145">
      <c r="J145" t="inlineStr">
        <is>
          <t>C202</t>
        </is>
      </c>
      <c r="K145" t="n">
        <v>1.2</v>
      </c>
      <c r="L145">
        <f>IF(ABS('01_Вводные'!C202-K145)&lt;0.00000001,0,1)</f>
        <v/>
      </c>
    </row>
    <row r="146">
      <c r="J146" t="inlineStr">
        <is>
          <t>C203</t>
        </is>
      </c>
      <c r="K146" t="n">
        <v>2</v>
      </c>
      <c r="L146">
        <f>IF(ABS('01_Вводные'!C203-K146)&lt;0.00000001,0,1)</f>
        <v/>
      </c>
    </row>
    <row r="147">
      <c r="J147" t="inlineStr">
        <is>
          <t>C263</t>
        </is>
      </c>
      <c r="K147" t="n">
        <v>0.005000000000000001</v>
      </c>
      <c r="L147">
        <f>IF(ABS('01_Вводные'!C263-K147)&lt;0.00000001,0,1)</f>
        <v/>
      </c>
    </row>
    <row r="148">
      <c r="J148" t="inlineStr">
        <is>
          <t>C264</t>
        </is>
      </c>
      <c r="K148" t="n">
        <v>0.02</v>
      </c>
      <c r="L148">
        <f>IF(ABS('01_Вводные'!C264-K148)&lt;0.00000001,0,1)</f>
        <v/>
      </c>
    </row>
    <row r="149">
      <c r="J149" t="inlineStr">
        <is>
          <t>C265</t>
        </is>
      </c>
      <c r="K149" t="n">
        <v>0.05066666666666667</v>
      </c>
      <c r="L149">
        <f>IF(ABS('01_Вводные'!C265-K149)&lt;0.00000001,0,1)</f>
        <v/>
      </c>
    </row>
    <row r="150">
      <c r="J150" t="inlineStr">
        <is>
          <t>C266</t>
        </is>
      </c>
      <c r="K150" t="n">
        <v>0.02433333333333333</v>
      </c>
      <c r="L150">
        <f>IF(ABS('01_Вводные'!C266-K150)&lt;0.00000001,0,1)</f>
        <v/>
      </c>
    </row>
    <row r="151">
      <c r="J151" t="inlineStr">
        <is>
          <t>C267</t>
        </is>
      </c>
      <c r="K151" t="n">
        <v>0.015</v>
      </c>
      <c r="L151">
        <f>IF(ABS('01_Вводные'!C267-K151)&lt;0.00000001,0,1)</f>
        <v/>
      </c>
    </row>
    <row r="152">
      <c r="J152" t="inlineStr">
        <is>
          <t>C268</t>
        </is>
      </c>
      <c r="K152" t="n">
        <v>0.06</v>
      </c>
      <c r="L152">
        <f>IF(ABS('01_Вводные'!C268-K152)&lt;0.00000001,0,1)</f>
        <v/>
      </c>
    </row>
    <row r="153">
      <c r="J153" t="inlineStr">
        <is>
          <t>C269</t>
        </is>
      </c>
      <c r="K153" t="n">
        <v>0.152</v>
      </c>
      <c r="L153">
        <f>IF(ABS('01_Вводные'!C269-K153)&lt;0.00000001,0,1)</f>
        <v/>
      </c>
    </row>
    <row r="154">
      <c r="J154" t="inlineStr">
        <is>
          <t>C270</t>
        </is>
      </c>
      <c r="K154" t="n">
        <v>0.07299999999999998</v>
      </c>
      <c r="L154">
        <f>IF(ABS('01_Вводные'!C270-K154)&lt;0.00000001,0,1)</f>
        <v/>
      </c>
    </row>
    <row r="155">
      <c r="J155" t="inlineStr">
        <is>
          <t>C271</t>
        </is>
      </c>
      <c r="K155" t="n">
        <v>0.0125</v>
      </c>
      <c r="L155">
        <f>IF(ABS('01_Вводные'!C271-K155)&lt;0.00000001,0,1)</f>
        <v/>
      </c>
    </row>
    <row r="156">
      <c r="J156" t="inlineStr">
        <is>
          <t>C272</t>
        </is>
      </c>
      <c r="K156" t="n">
        <v>0.05</v>
      </c>
      <c r="L156">
        <f>IF(ABS('01_Вводные'!C272-K156)&lt;0.00000001,0,1)</f>
        <v/>
      </c>
    </row>
    <row r="157">
      <c r="J157" t="inlineStr">
        <is>
          <t>C273</t>
        </is>
      </c>
      <c r="K157" t="n">
        <v>0.1266666666666667</v>
      </c>
      <c r="L157">
        <f>IF(ABS('01_Вводные'!C273-K157)&lt;0.00000001,0,1)</f>
        <v/>
      </c>
    </row>
    <row r="158">
      <c r="J158" t="inlineStr">
        <is>
          <t>C274</t>
        </is>
      </c>
      <c r="K158" t="n">
        <v>0.06083333333333332</v>
      </c>
      <c r="L158">
        <f>IF(ABS('01_Вводные'!C274-K158)&lt;0.00000001,0,1)</f>
        <v/>
      </c>
    </row>
    <row r="159">
      <c r="J159" t="inlineStr">
        <is>
          <t>C275</t>
        </is>
      </c>
      <c r="K159" t="n">
        <v>0.0125</v>
      </c>
      <c r="L159">
        <f>IF(ABS('01_Вводные'!C275-K159)&lt;0.00000001,0,1)</f>
        <v/>
      </c>
    </row>
    <row r="160">
      <c r="J160" t="inlineStr">
        <is>
          <t>C276</t>
        </is>
      </c>
      <c r="K160" t="n">
        <v>0.05</v>
      </c>
      <c r="L160">
        <f>IF(ABS('01_Вводные'!C276-K160)&lt;0.00000001,0,1)</f>
        <v/>
      </c>
    </row>
    <row r="161">
      <c r="J161" t="inlineStr">
        <is>
          <t>C277</t>
        </is>
      </c>
      <c r="K161" t="n">
        <v>0.1266666666666667</v>
      </c>
      <c r="L161">
        <f>IF(ABS('01_Вводные'!C277-K161)&lt;0.00000001,0,1)</f>
        <v/>
      </c>
    </row>
    <row r="162">
      <c r="J162" t="inlineStr">
        <is>
          <t>C278</t>
        </is>
      </c>
      <c r="K162" t="n">
        <v>0.06083333333333332</v>
      </c>
      <c r="L162">
        <f>IF(ABS('01_Вводные'!C278-K162)&lt;0.00000001,0,1)</f>
        <v/>
      </c>
    </row>
    <row r="163">
      <c r="J163" t="inlineStr">
        <is>
          <t>C279</t>
        </is>
      </c>
      <c r="K163" t="n">
        <v>0.005000000000000001</v>
      </c>
      <c r="L163">
        <f>IF(ABS('01_Вводные'!C279-K163)&lt;0.00000001,0,1)</f>
        <v/>
      </c>
    </row>
    <row r="164">
      <c r="J164" t="inlineStr">
        <is>
          <t>C280</t>
        </is>
      </c>
      <c r="K164" t="n">
        <v>0.02</v>
      </c>
      <c r="L164">
        <f>IF(ABS('01_Вводные'!C280-K164)&lt;0.00000001,0,1)</f>
        <v/>
      </c>
    </row>
    <row r="165">
      <c r="J165" t="inlineStr">
        <is>
          <t>C281</t>
        </is>
      </c>
      <c r="K165" t="n">
        <v>0.05066666666666667</v>
      </c>
      <c r="L165">
        <f>IF(ABS('01_Вводные'!C281-K165)&lt;0.00000001,0,1)</f>
        <v/>
      </c>
    </row>
    <row r="166">
      <c r="J166" t="inlineStr">
        <is>
          <t>C282</t>
        </is>
      </c>
      <c r="K166" t="n">
        <v>0.02433333333333333</v>
      </c>
      <c r="L166">
        <f>IF(ABS('01_Вводные'!C282-K166)&lt;0.00000001,0,1)</f>
        <v/>
      </c>
    </row>
    <row r="167">
      <c r="J167" t="inlineStr">
        <is>
          <t>C37</t>
        </is>
      </c>
      <c r="K167" t="n">
        <v>0.18</v>
      </c>
      <c r="L167">
        <f>IF(ABS('01_Вводные'!C37-K167)&lt;0.00000001,0,1)</f>
        <v/>
      </c>
    </row>
    <row r="168">
      <c r="J168" t="inlineStr">
        <is>
          <t>C38</t>
        </is>
      </c>
      <c r="K168" t="n">
        <v>0.18</v>
      </c>
      <c r="L168">
        <f>IF(ABS('01_Вводные'!C38-K168)&lt;0.00000001,0,1)</f>
        <v/>
      </c>
    </row>
    <row r="169">
      <c r="J169" t="inlineStr">
        <is>
          <t>C39</t>
        </is>
      </c>
      <c r="K169" t="n">
        <v>0.18</v>
      </c>
      <c r="L169">
        <f>IF(ABS('01_Вводные'!C39-K169)&lt;0.00000001,0,1)</f>
        <v/>
      </c>
    </row>
    <row r="170">
      <c r="J170" t="inlineStr">
        <is>
          <t>C40</t>
        </is>
      </c>
      <c r="K170" t="n">
        <v>0.18</v>
      </c>
      <c r="L170">
        <f>IF(ABS('01_Вводные'!C40-K170)&lt;0.00000001,0,1)</f>
        <v/>
      </c>
    </row>
    <row r="171">
      <c r="J171" t="inlineStr">
        <is>
          <t>C44</t>
        </is>
      </c>
      <c r="K171" t="n">
        <v>1</v>
      </c>
      <c r="L171">
        <f>IF(ABS('01_Вводные'!C44-K171)&lt;0.00000001,0,1)</f>
        <v/>
      </c>
    </row>
    <row r="172">
      <c r="J172" t="inlineStr">
        <is>
          <t>C94</t>
        </is>
      </c>
      <c r="K172" t="n">
        <v>0</v>
      </c>
      <c r="L172">
        <f>IF(ABS('01_Вводные'!C94-K172)&lt;0.00000001,0,1)</f>
        <v/>
      </c>
    </row>
    <row r="173">
      <c r="J173" t="inlineStr">
        <is>
          <t>D100</t>
        </is>
      </c>
      <c r="K173" t="n">
        <v>2142000</v>
      </c>
      <c r="L173">
        <f>IF(ABS('01_Вводные'!D100-K173)&lt;0.00000001,0,1)</f>
        <v/>
      </c>
    </row>
    <row r="174">
      <c r="J174" t="inlineStr">
        <is>
          <t>D101</t>
        </is>
      </c>
      <c r="K174" t="n">
        <v>1178100</v>
      </c>
      <c r="L174">
        <f>IF(ABS('01_Вводные'!D101-K174)&lt;0.00000001,0,1)</f>
        <v/>
      </c>
    </row>
    <row r="175">
      <c r="J175" t="inlineStr">
        <is>
          <t>D138</t>
        </is>
      </c>
      <c r="K175" t="inlineStr">
        <is>
          <t>Да</t>
        </is>
      </c>
      <c r="L175">
        <f>IF('01_Вводные'!D138=K175,0,1)</f>
        <v/>
      </c>
    </row>
    <row r="176">
      <c r="J176" t="inlineStr">
        <is>
          <t>D139</t>
        </is>
      </c>
      <c r="K176" t="inlineStr">
        <is>
          <t>Да</t>
        </is>
      </c>
      <c r="L176">
        <f>IF('01_Вводные'!D139=K176,0,1)</f>
        <v/>
      </c>
    </row>
    <row r="177">
      <c r="J177" t="inlineStr">
        <is>
          <t>D140</t>
        </is>
      </c>
      <c r="K177" t="inlineStr">
        <is>
          <t>Да</t>
        </is>
      </c>
      <c r="L177">
        <f>IF('01_Вводные'!D140=K177,0,1)</f>
        <v/>
      </c>
    </row>
    <row r="178">
      <c r="J178" t="inlineStr">
        <is>
          <t>D141</t>
        </is>
      </c>
      <c r="K178" t="inlineStr">
        <is>
          <t>Нет</t>
        </is>
      </c>
      <c r="L178">
        <f>IF('01_Вводные'!D141=K178,0,1)</f>
        <v/>
      </c>
    </row>
    <row r="179">
      <c r="J179" t="inlineStr">
        <is>
          <t>D142</t>
        </is>
      </c>
      <c r="K179" t="inlineStr">
        <is>
          <t>Нет</t>
        </is>
      </c>
      <c r="L179">
        <f>IF('01_Вводные'!D142=K179,0,1)</f>
        <v/>
      </c>
    </row>
    <row r="180">
      <c r="J180" t="inlineStr">
        <is>
          <t>D143</t>
        </is>
      </c>
      <c r="K180" t="inlineStr">
        <is>
          <t>Нет</t>
        </is>
      </c>
      <c r="L180">
        <f>IF('01_Вводные'!D143=K180,0,1)</f>
        <v/>
      </c>
    </row>
    <row r="181">
      <c r="J181" t="inlineStr">
        <is>
          <t>D144</t>
        </is>
      </c>
      <c r="K181" t="inlineStr">
        <is>
          <t>Да</t>
        </is>
      </c>
      <c r="L181">
        <f>IF('01_Вводные'!D144=K181,0,1)</f>
        <v/>
      </c>
    </row>
    <row r="182">
      <c r="J182" t="inlineStr">
        <is>
          <t>D145</t>
        </is>
      </c>
      <c r="K182" t="inlineStr">
        <is>
          <t>Да</t>
        </is>
      </c>
      <c r="L182">
        <f>IF('01_Вводные'!D145=K182,0,1)</f>
        <v/>
      </c>
    </row>
    <row r="183">
      <c r="J183" t="inlineStr">
        <is>
          <t>D146</t>
        </is>
      </c>
      <c r="K183" t="inlineStr">
        <is>
          <t>Да</t>
        </is>
      </c>
      <c r="L183">
        <f>IF('01_Вводные'!D146=K183,0,1)</f>
        <v/>
      </c>
    </row>
    <row r="184">
      <c r="J184" t="inlineStr">
        <is>
          <t>D147</t>
        </is>
      </c>
      <c r="K184" t="inlineStr">
        <is>
          <t>Да</t>
        </is>
      </c>
      <c r="L184">
        <f>IF('01_Вводные'!D147=K184,0,1)</f>
        <v/>
      </c>
    </row>
    <row r="185">
      <c r="J185" t="inlineStr">
        <is>
          <t>D148</t>
        </is>
      </c>
      <c r="K185" t="inlineStr">
        <is>
          <t>Да</t>
        </is>
      </c>
      <c r="L185">
        <f>IF('01_Вводные'!D148=K185,0,1)</f>
        <v/>
      </c>
    </row>
    <row r="186">
      <c r="J186" t="inlineStr">
        <is>
          <t>D149</t>
        </is>
      </c>
      <c r="K186" t="inlineStr">
        <is>
          <t>Да</t>
        </is>
      </c>
      <c r="L186">
        <f>IF('01_Вводные'!D149=K186,0,1)</f>
        <v/>
      </c>
    </row>
    <row r="187">
      <c r="J187" t="inlineStr">
        <is>
          <t>D150</t>
        </is>
      </c>
      <c r="K187" t="inlineStr">
        <is>
          <t>Нет</t>
        </is>
      </c>
      <c r="L187">
        <f>IF('01_Вводные'!D150=K187,0,1)</f>
        <v/>
      </c>
    </row>
    <row r="188">
      <c r="J188" t="inlineStr">
        <is>
          <t>D197</t>
        </is>
      </c>
      <c r="K188" t="inlineStr">
        <is>
          <t>Базовый</t>
        </is>
      </c>
      <c r="L188">
        <f>IF('01_Вводные'!D197=K188,0,1)</f>
        <v/>
      </c>
    </row>
    <row r="189">
      <c r="J189" t="inlineStr">
        <is>
          <t>D198</t>
        </is>
      </c>
      <c r="K189" t="n">
        <v>1</v>
      </c>
      <c r="L189">
        <f>IF(ABS('01_Вводные'!D198-K189)&lt;0.00000001,0,1)</f>
        <v/>
      </c>
    </row>
    <row r="190">
      <c r="J190" t="inlineStr">
        <is>
          <t>D199</t>
        </is>
      </c>
      <c r="K190" t="n">
        <v>1</v>
      </c>
      <c r="L190">
        <f>IF(ABS('01_Вводные'!D199-K190)&lt;0.00000001,0,1)</f>
        <v/>
      </c>
    </row>
    <row r="191">
      <c r="J191" t="inlineStr">
        <is>
          <t>D200</t>
        </is>
      </c>
      <c r="K191" t="n">
        <v>1</v>
      </c>
      <c r="L191">
        <f>IF(ABS('01_Вводные'!D200-K191)&lt;0.00000001,0,1)</f>
        <v/>
      </c>
    </row>
    <row r="192">
      <c r="J192" t="inlineStr">
        <is>
          <t>D201</t>
        </is>
      </c>
      <c r="K192" t="n">
        <v>1</v>
      </c>
      <c r="L192">
        <f>IF(ABS('01_Вводные'!D201-K192)&lt;0.00000001,0,1)</f>
        <v/>
      </c>
    </row>
    <row r="193">
      <c r="J193" t="inlineStr">
        <is>
          <t>D202</t>
        </is>
      </c>
      <c r="K193" t="n">
        <v>1</v>
      </c>
      <c r="L193">
        <f>IF(ABS('01_Вводные'!D202-K193)&lt;0.00000001,0,1)</f>
        <v/>
      </c>
    </row>
    <row r="194">
      <c r="J194" t="inlineStr">
        <is>
          <t>D203</t>
        </is>
      </c>
      <c r="K194" t="n">
        <v>1</v>
      </c>
      <c r="L194">
        <f>IF(ABS('01_Вводные'!D203-K194)&lt;0.00000001,0,1)</f>
        <v/>
      </c>
    </row>
    <row r="195">
      <c r="J195" t="inlineStr">
        <is>
          <t>D263</t>
        </is>
      </c>
      <c r="K195" t="n">
        <v>890000</v>
      </c>
      <c r="L195">
        <f>IF(ABS('01_Вводные'!D263-K195)&lt;0.00000001,0,1)</f>
        <v/>
      </c>
    </row>
    <row r="196">
      <c r="J196" t="inlineStr">
        <is>
          <t>D264</t>
        </is>
      </c>
      <c r="K196" t="n">
        <v>990000</v>
      </c>
      <c r="L196">
        <f>IF(ABS('01_Вводные'!D264-K196)&lt;0.00000001,0,1)</f>
        <v/>
      </c>
    </row>
    <row r="197">
      <c r="J197" t="inlineStr">
        <is>
          <t>D265</t>
        </is>
      </c>
      <c r="K197" t="n">
        <v>1290000</v>
      </c>
      <c r="L197">
        <f>IF(ABS('01_Вводные'!D265-K197)&lt;0.00000001,0,1)</f>
        <v/>
      </c>
    </row>
    <row r="198">
      <c r="J198" t="inlineStr">
        <is>
          <t>D266</t>
        </is>
      </c>
      <c r="K198" t="n">
        <v>1490000</v>
      </c>
      <c r="L198">
        <f>IF(ABS('01_Вводные'!D266-K198)&lt;0.00000001,0,1)</f>
        <v/>
      </c>
    </row>
    <row r="199">
      <c r="J199" t="inlineStr">
        <is>
          <t>D267</t>
        </is>
      </c>
      <c r="K199" t="n">
        <v>690000</v>
      </c>
      <c r="L199">
        <f>IF(ABS('01_Вводные'!D267-K199)&lt;0.00000001,0,1)</f>
        <v/>
      </c>
    </row>
    <row r="200">
      <c r="J200" t="inlineStr">
        <is>
          <t>D268</t>
        </is>
      </c>
      <c r="K200" t="n">
        <v>890000</v>
      </c>
      <c r="L200">
        <f>IF(ABS('01_Вводные'!D268-K200)&lt;0.00000001,0,1)</f>
        <v/>
      </c>
    </row>
    <row r="201">
      <c r="J201" t="inlineStr">
        <is>
          <t>D269</t>
        </is>
      </c>
      <c r="K201" t="n">
        <v>1190000</v>
      </c>
      <c r="L201">
        <f>IF(ABS('01_Вводные'!D269-K201)&lt;0.00000001,0,1)</f>
        <v/>
      </c>
    </row>
    <row r="202">
      <c r="J202" t="inlineStr">
        <is>
          <t>D270</t>
        </is>
      </c>
      <c r="K202" t="n">
        <v>1290000</v>
      </c>
      <c r="L202">
        <f>IF(ABS('01_Вводные'!D270-K202)&lt;0.00000001,0,1)</f>
        <v/>
      </c>
    </row>
    <row r="203">
      <c r="J203" t="inlineStr">
        <is>
          <t>D271</t>
        </is>
      </c>
      <c r="K203" t="n">
        <v>590000</v>
      </c>
      <c r="L203">
        <f>IF(ABS('01_Вводные'!D271-K203)&lt;0.00000001,0,1)</f>
        <v/>
      </c>
    </row>
    <row r="204">
      <c r="J204" t="inlineStr">
        <is>
          <t>D272</t>
        </is>
      </c>
      <c r="K204" t="n">
        <v>790000</v>
      </c>
      <c r="L204">
        <f>IF(ABS('01_Вводные'!D272-K204)&lt;0.00000001,0,1)</f>
        <v/>
      </c>
    </row>
    <row r="205">
      <c r="J205" t="inlineStr">
        <is>
          <t>D273</t>
        </is>
      </c>
      <c r="K205" t="n">
        <v>890000</v>
      </c>
      <c r="L205">
        <f>IF(ABS('01_Вводные'!D273-K205)&lt;0.00000001,0,1)</f>
        <v/>
      </c>
    </row>
    <row r="206">
      <c r="J206" t="inlineStr">
        <is>
          <t>D274</t>
        </is>
      </c>
      <c r="K206" t="n">
        <v>990000</v>
      </c>
      <c r="L206">
        <f>IF(ABS('01_Вводные'!D274-K206)&lt;0.00000001,0,1)</f>
        <v/>
      </c>
    </row>
    <row r="207">
      <c r="J207" t="inlineStr">
        <is>
          <t>D275</t>
        </is>
      </c>
      <c r="K207" t="n">
        <v>490000</v>
      </c>
      <c r="L207">
        <f>IF(ABS('01_Вводные'!D275-K207)&lt;0.00000001,0,1)</f>
        <v/>
      </c>
    </row>
    <row r="208">
      <c r="J208" t="inlineStr">
        <is>
          <t>D276</t>
        </is>
      </c>
      <c r="K208" t="n">
        <v>690000</v>
      </c>
      <c r="L208">
        <f>IF(ABS('01_Вводные'!D276-K208)&lt;0.00000001,0,1)</f>
        <v/>
      </c>
    </row>
    <row r="209">
      <c r="J209" t="inlineStr">
        <is>
          <t>D277</t>
        </is>
      </c>
      <c r="K209" t="n">
        <v>790000</v>
      </c>
      <c r="L209">
        <f>IF(ABS('01_Вводные'!D277-K209)&lt;0.00000001,0,1)</f>
        <v/>
      </c>
    </row>
    <row r="210">
      <c r="J210" t="inlineStr">
        <is>
          <t>D278</t>
        </is>
      </c>
      <c r="K210" t="n">
        <v>890000</v>
      </c>
      <c r="L210">
        <f>IF(ABS('01_Вводные'!D278-K210)&lt;0.00000001,0,1)</f>
        <v/>
      </c>
    </row>
    <row r="211">
      <c r="J211" t="inlineStr">
        <is>
          <t>D279</t>
        </is>
      </c>
      <c r="K211" t="n">
        <v>390000</v>
      </c>
      <c r="L211">
        <f>IF(ABS('01_Вводные'!D279-K211)&lt;0.00000001,0,1)</f>
        <v/>
      </c>
    </row>
    <row r="212">
      <c r="J212" t="inlineStr">
        <is>
          <t>D280</t>
        </is>
      </c>
      <c r="K212" t="n">
        <v>490000</v>
      </c>
      <c r="L212">
        <f>IF(ABS('01_Вводные'!D280-K212)&lt;0.00000001,0,1)</f>
        <v/>
      </c>
    </row>
    <row r="213">
      <c r="J213" t="inlineStr">
        <is>
          <t>D281</t>
        </is>
      </c>
      <c r="K213" t="n">
        <v>590000</v>
      </c>
      <c r="L213">
        <f>IF(ABS('01_Вводные'!D281-K213)&lt;0.00000001,0,1)</f>
        <v/>
      </c>
    </row>
    <row r="214">
      <c r="J214" t="inlineStr">
        <is>
          <t>D282</t>
        </is>
      </c>
      <c r="K214" t="n">
        <v>690000</v>
      </c>
      <c r="L214">
        <f>IF(ABS('01_Вводные'!D282-K214)&lt;0.00000001,0,1)</f>
        <v/>
      </c>
    </row>
    <row r="215">
      <c r="J215" t="inlineStr">
        <is>
          <t>D36</t>
        </is>
      </c>
      <c r="K215" t="n">
        <v>0.1097560975609756</v>
      </c>
      <c r="L215">
        <f>IF(ABS('01_Вводные'!D36-K215)&lt;0.00000001,0,1)</f>
        <v/>
      </c>
    </row>
    <row r="216">
      <c r="J216" t="inlineStr">
        <is>
          <t>D37</t>
        </is>
      </c>
      <c r="K216" t="n">
        <v>0.09</v>
      </c>
      <c r="L216">
        <f>IF(ABS('01_Вводные'!D37-K216)&lt;0.00000001,0,1)</f>
        <v/>
      </c>
    </row>
    <row r="217">
      <c r="J217" t="inlineStr">
        <is>
          <t>D38</t>
        </is>
      </c>
      <c r="K217" t="n">
        <v>0.09</v>
      </c>
      <c r="L217">
        <f>IF(ABS('01_Вводные'!D38-K217)&lt;0.00000001,0,1)</f>
        <v/>
      </c>
    </row>
    <row r="218">
      <c r="J218" t="inlineStr">
        <is>
          <t>D39</t>
        </is>
      </c>
      <c r="K218" t="n">
        <v>0.09</v>
      </c>
      <c r="L218">
        <f>IF(ABS('01_Вводные'!D39-K218)&lt;0.00000001,0,1)</f>
        <v/>
      </c>
    </row>
    <row r="219">
      <c r="J219" t="inlineStr">
        <is>
          <t>D40</t>
        </is>
      </c>
      <c r="K219" t="n">
        <v>0.09</v>
      </c>
      <c r="L219">
        <f>IF(ABS('01_Вводные'!D40-K219)&lt;0.00000001,0,1)</f>
        <v/>
      </c>
    </row>
    <row r="220">
      <c r="J220" t="inlineStr">
        <is>
          <t>D44</t>
        </is>
      </c>
      <c r="K220" t="n">
        <v>0.9926470588235294</v>
      </c>
      <c r="L220">
        <f>IF(ABS('01_Вводные'!D44-K220)&lt;0.00000001,0,1)</f>
        <v/>
      </c>
    </row>
    <row r="221">
      <c r="J221" t="inlineStr">
        <is>
          <t>D94</t>
        </is>
      </c>
      <c r="K221" t="n">
        <v>0</v>
      </c>
      <c r="L221">
        <f>IF(ABS('01_Вводные'!D94-K221)&lt;0.00000001,0,1)</f>
        <v/>
      </c>
    </row>
    <row r="222">
      <c r="J222" t="inlineStr">
        <is>
          <t>E100</t>
        </is>
      </c>
      <c r="K222" t="n">
        <v>1224000</v>
      </c>
      <c r="L222">
        <f>IF(ABS('01_Вводные'!E100-K222)&lt;0.00000001,0,1)</f>
        <v/>
      </c>
    </row>
    <row r="223">
      <c r="J223" t="inlineStr">
        <is>
          <t>E101</t>
        </is>
      </c>
      <c r="K223" t="n">
        <v>673200</v>
      </c>
      <c r="L223">
        <f>IF(ABS('01_Вводные'!E101-K223)&lt;0.00000001,0,1)</f>
        <v/>
      </c>
    </row>
    <row r="224">
      <c r="J224" t="inlineStr">
        <is>
          <t>E198</t>
        </is>
      </c>
      <c r="K224" t="n">
        <v>1.2</v>
      </c>
      <c r="L224">
        <f>IF(ABS('01_Вводные'!E198-K224)&lt;0.00000001,0,1)</f>
        <v/>
      </c>
    </row>
    <row r="225">
      <c r="J225" t="inlineStr">
        <is>
          <t>E199</t>
        </is>
      </c>
      <c r="K225" t="n">
        <v>1.1</v>
      </c>
      <c r="L225">
        <f>IF(ABS('01_Вводные'!E199-K225)&lt;0.00000001,0,1)</f>
        <v/>
      </c>
    </row>
    <row r="226">
      <c r="J226" t="inlineStr">
        <is>
          <t>E200</t>
        </is>
      </c>
      <c r="K226" t="n">
        <v>1.05</v>
      </c>
      <c r="L226">
        <f>IF(ABS('01_Вводные'!E200-K226)&lt;0.00000001,0,1)</f>
        <v/>
      </c>
    </row>
    <row r="227">
      <c r="J227" t="inlineStr">
        <is>
          <t>E201</t>
        </is>
      </c>
      <c r="K227" t="n">
        <v>1.1</v>
      </c>
      <c r="L227">
        <f>IF(ABS('01_Вводные'!E201-K227)&lt;0.00000001,0,1)</f>
        <v/>
      </c>
    </row>
    <row r="228">
      <c r="J228" t="inlineStr">
        <is>
          <t>E202</t>
        </is>
      </c>
      <c r="K228" t="n">
        <v>0.8</v>
      </c>
      <c r="L228">
        <f>IF(ABS('01_Вводные'!E202-K228)&lt;0.00000001,0,1)</f>
        <v/>
      </c>
    </row>
    <row r="229">
      <c r="J229" t="inlineStr">
        <is>
          <t>E203</t>
        </is>
      </c>
      <c r="K229" t="n">
        <v>0.5</v>
      </c>
      <c r="L229">
        <f>IF(ABS('01_Вводные'!E203-K229)&lt;0.00000001,0,1)</f>
        <v/>
      </c>
    </row>
    <row r="230">
      <c r="J230" t="inlineStr">
        <is>
          <t>E263</t>
        </is>
      </c>
      <c r="K230" t="n">
        <v>25</v>
      </c>
      <c r="L230">
        <f>IF(ABS('01_Вводные'!E263-K230)&lt;0.00000001,0,1)</f>
        <v/>
      </c>
    </row>
    <row r="231">
      <c r="J231" t="inlineStr">
        <is>
          <t>E264</t>
        </is>
      </c>
      <c r="K231" t="n">
        <v>75</v>
      </c>
      <c r="L231">
        <f>IF(ABS('01_Вводные'!E264-K231)&lt;0.00000001,0,1)</f>
        <v/>
      </c>
    </row>
    <row r="232">
      <c r="J232" t="inlineStr">
        <is>
          <t>E265</t>
        </is>
      </c>
      <c r="K232" t="n">
        <v>87.5</v>
      </c>
      <c r="L232">
        <f>IF(ABS('01_Вводные'!E265-K232)&lt;0.00000001,0,1)</f>
        <v/>
      </c>
    </row>
    <row r="233">
      <c r="J233" t="inlineStr">
        <is>
          <t>E266</t>
        </is>
      </c>
      <c r="K233" t="n">
        <v>87.5</v>
      </c>
      <c r="L233">
        <f>IF(ABS('01_Вводные'!E266-K233)&lt;0.00000001,0,1)</f>
        <v/>
      </c>
    </row>
    <row r="234">
      <c r="J234" t="inlineStr">
        <is>
          <t>E267</t>
        </is>
      </c>
      <c r="K234" t="n">
        <v>18.75</v>
      </c>
      <c r="L234">
        <f>IF(ABS('01_Вводные'!E267-K234)&lt;0.00000001,0,1)</f>
        <v/>
      </c>
    </row>
    <row r="235">
      <c r="J235" t="inlineStr">
        <is>
          <t>E268</t>
        </is>
      </c>
      <c r="K235" t="n">
        <v>75</v>
      </c>
      <c r="L235">
        <f>IF(ABS('01_Вводные'!E268-K235)&lt;0.00000001,0,1)</f>
        <v/>
      </c>
    </row>
    <row r="236">
      <c r="J236" t="inlineStr">
        <is>
          <t>E269</t>
        </is>
      </c>
      <c r="K236" t="n">
        <v>87.5</v>
      </c>
      <c r="L236">
        <f>IF(ABS('01_Вводные'!E269-K236)&lt;0.00000001,0,1)</f>
        <v/>
      </c>
    </row>
    <row r="237">
      <c r="J237" t="inlineStr">
        <is>
          <t>E270</t>
        </is>
      </c>
      <c r="K237" t="n">
        <v>87.5</v>
      </c>
      <c r="L237">
        <f>IF(ABS('01_Вводные'!E270-K237)&lt;0.00000001,0,1)</f>
        <v/>
      </c>
    </row>
    <row r="238">
      <c r="J238" t="inlineStr">
        <is>
          <t>E271</t>
        </is>
      </c>
      <c r="K238" t="n">
        <v>12.5</v>
      </c>
      <c r="L238">
        <f>IF(ABS('01_Вводные'!E271-K238)&lt;0.00000001,0,1)</f>
        <v/>
      </c>
    </row>
    <row r="239">
      <c r="J239" t="inlineStr">
        <is>
          <t>E272</t>
        </is>
      </c>
      <c r="K239" t="n">
        <v>75</v>
      </c>
      <c r="L239">
        <f>IF(ABS('01_Вводные'!E272-K239)&lt;0.00000001,0,1)</f>
        <v/>
      </c>
    </row>
    <row r="240">
      <c r="J240" t="inlineStr">
        <is>
          <t>E273</t>
        </is>
      </c>
      <c r="K240" t="n">
        <v>87.5</v>
      </c>
      <c r="L240">
        <f>IF(ABS('01_Вводные'!E273-K240)&lt;0.00000001,0,1)</f>
        <v/>
      </c>
    </row>
    <row r="241">
      <c r="J241" t="inlineStr">
        <is>
          <t>E274</t>
        </is>
      </c>
      <c r="K241" t="n">
        <v>87.5</v>
      </c>
      <c r="L241">
        <f>IF(ABS('01_Вводные'!E274-K241)&lt;0.00000001,0,1)</f>
        <v/>
      </c>
    </row>
    <row r="242">
      <c r="J242" t="inlineStr">
        <is>
          <t>E275</t>
        </is>
      </c>
      <c r="K242" t="n">
        <v>12.5</v>
      </c>
      <c r="L242">
        <f>IF(ABS('01_Вводные'!E275-K242)&lt;0.00000001,0,1)</f>
        <v/>
      </c>
    </row>
    <row r="243">
      <c r="J243" t="inlineStr">
        <is>
          <t>E276</t>
        </is>
      </c>
      <c r="K243" t="n">
        <v>60</v>
      </c>
      <c r="L243">
        <f>IF(ABS('01_Вводные'!E276-K243)&lt;0.00000001,0,1)</f>
        <v/>
      </c>
    </row>
    <row r="244">
      <c r="J244" t="inlineStr">
        <is>
          <t>E277</t>
        </is>
      </c>
      <c r="K244" t="n">
        <v>70</v>
      </c>
      <c r="L244">
        <f>IF(ABS('01_Вводные'!E277-K244)&lt;0.00000001,0,1)</f>
        <v/>
      </c>
    </row>
    <row r="245">
      <c r="J245" t="inlineStr">
        <is>
          <t>E278</t>
        </is>
      </c>
      <c r="K245" t="n">
        <v>70</v>
      </c>
      <c r="L245">
        <f>IF(ABS('01_Вводные'!E278-K245)&lt;0.00000001,0,1)</f>
        <v/>
      </c>
    </row>
    <row r="246">
      <c r="J246" t="inlineStr">
        <is>
          <t>E279</t>
        </is>
      </c>
      <c r="K246" t="n">
        <v>12.5</v>
      </c>
      <c r="L246">
        <f>IF(ABS('01_Вводные'!E279-K246)&lt;0.00000001,0,1)</f>
        <v/>
      </c>
    </row>
    <row r="247">
      <c r="J247" t="inlineStr">
        <is>
          <t>E280</t>
        </is>
      </c>
      <c r="K247" t="n">
        <v>52.5</v>
      </c>
      <c r="L247">
        <f>IF(ABS('01_Вводные'!E280-K247)&lt;0.00000001,0,1)</f>
        <v/>
      </c>
    </row>
    <row r="248">
      <c r="J248" t="inlineStr">
        <is>
          <t>E281</t>
        </is>
      </c>
      <c r="K248" t="n">
        <v>62.5</v>
      </c>
      <c r="L248">
        <f>IF(ABS('01_Вводные'!E281-K248)&lt;0.00000001,0,1)</f>
        <v/>
      </c>
    </row>
    <row r="249">
      <c r="J249" t="inlineStr">
        <is>
          <t>E282</t>
        </is>
      </c>
      <c r="K249" t="n">
        <v>62.5</v>
      </c>
      <c r="L249">
        <f>IF(ABS('01_Вводные'!E282-K249)&lt;0.00000001,0,1)</f>
        <v/>
      </c>
    </row>
    <row r="250">
      <c r="J250" t="inlineStr">
        <is>
          <t>E36</t>
        </is>
      </c>
      <c r="K250" t="n">
        <v>0.03658536585365853</v>
      </c>
      <c r="L250">
        <f>IF(ABS('01_Вводные'!E36-K250)&lt;0.00000001,0,1)</f>
        <v/>
      </c>
    </row>
    <row r="251">
      <c r="J251" t="inlineStr">
        <is>
          <t>E37</t>
        </is>
      </c>
      <c r="K251" t="n">
        <v>0.03</v>
      </c>
      <c r="L251">
        <f>IF(ABS('01_Вводные'!E37-K251)&lt;0.00000001,0,1)</f>
        <v/>
      </c>
    </row>
    <row r="252">
      <c r="J252" t="inlineStr">
        <is>
          <t>E38</t>
        </is>
      </c>
      <c r="K252" t="n">
        <v>0.03</v>
      </c>
      <c r="L252">
        <f>IF(ABS('01_Вводные'!E38-K252)&lt;0.00000001,0,1)</f>
        <v/>
      </c>
    </row>
    <row r="253">
      <c r="J253" t="inlineStr">
        <is>
          <t>E39</t>
        </is>
      </c>
      <c r="K253" t="n">
        <v>0.03</v>
      </c>
      <c r="L253">
        <f>IF(ABS('01_Вводные'!E39-K253)&lt;0.00000001,0,1)</f>
        <v/>
      </c>
    </row>
    <row r="254">
      <c r="J254" t="inlineStr">
        <is>
          <t>E40</t>
        </is>
      </c>
      <c r="K254" t="n">
        <v>0.03</v>
      </c>
      <c r="L254">
        <f>IF(ABS('01_Вводные'!E40-K254)&lt;0.00000001,0,1)</f>
        <v/>
      </c>
    </row>
    <row r="255">
      <c r="J255" t="inlineStr">
        <is>
          <t>E44</t>
        </is>
      </c>
      <c r="K255" t="n">
        <v>0.926470588235294</v>
      </c>
      <c r="L255">
        <f>IF(ABS('01_Вводные'!E44-K255)&lt;0.00000001,0,1)</f>
        <v/>
      </c>
    </row>
    <row r="256">
      <c r="J256" t="inlineStr">
        <is>
          <t>E94</t>
        </is>
      </c>
      <c r="K256" t="n">
        <v>0</v>
      </c>
      <c r="L256">
        <f>IF(ABS('01_Вводные'!E94-K256)&lt;0.00000001,0,1)</f>
        <v/>
      </c>
    </row>
    <row r="257">
      <c r="J257" t="inlineStr">
        <is>
          <t>F263</t>
        </is>
      </c>
      <c r="K257" t="n">
        <v>37.5</v>
      </c>
      <c r="L257">
        <f>IF(ABS('01_Вводные'!F263-K257)&lt;0.00000001,0,1)</f>
        <v/>
      </c>
    </row>
    <row r="258">
      <c r="J258" t="inlineStr">
        <is>
          <t>F264</t>
        </is>
      </c>
      <c r="K258" t="n">
        <v>112.5</v>
      </c>
      <c r="L258">
        <f>IF(ABS('01_Вводные'!F264-K258)&lt;0.00000001,0,1)</f>
        <v/>
      </c>
    </row>
    <row r="259">
      <c r="J259" t="inlineStr">
        <is>
          <t>F265</t>
        </is>
      </c>
      <c r="K259" t="n">
        <v>187.5</v>
      </c>
      <c r="L259">
        <f>IF(ABS('01_Вводные'!F265-K259)&lt;0.00000001,0,1)</f>
        <v/>
      </c>
    </row>
    <row r="260">
      <c r="J260" t="inlineStr">
        <is>
          <t>F266</t>
        </is>
      </c>
      <c r="K260" t="n">
        <v>250</v>
      </c>
      <c r="L260">
        <f>IF(ABS('01_Вводные'!F266-K260)&lt;0.00000001,0,1)</f>
        <v/>
      </c>
    </row>
    <row r="261">
      <c r="J261" t="inlineStr">
        <is>
          <t>F267</t>
        </is>
      </c>
      <c r="K261" t="n">
        <v>31.25</v>
      </c>
      <c r="L261">
        <f>IF(ABS('01_Вводные'!F267-K261)&lt;0.00000001,0,1)</f>
        <v/>
      </c>
    </row>
    <row r="262">
      <c r="J262" t="inlineStr">
        <is>
          <t>F268</t>
        </is>
      </c>
      <c r="K262" t="n">
        <v>112.5</v>
      </c>
      <c r="L262">
        <f>IF(ABS('01_Вводные'!F268-K262)&lt;0.00000001,0,1)</f>
        <v/>
      </c>
    </row>
    <row r="263">
      <c r="J263" t="inlineStr">
        <is>
          <t>F269</t>
        </is>
      </c>
      <c r="K263" t="n">
        <v>187.5</v>
      </c>
      <c r="L263">
        <f>IF(ABS('01_Вводные'!F269-K263)&lt;0.00000001,0,1)</f>
        <v/>
      </c>
    </row>
    <row r="264">
      <c r="J264" t="inlineStr">
        <is>
          <t>F270</t>
        </is>
      </c>
      <c r="K264" t="n">
        <v>250</v>
      </c>
      <c r="L264">
        <f>IF(ABS('01_Вводные'!F270-K264)&lt;0.00000001,0,1)</f>
        <v/>
      </c>
    </row>
    <row r="265">
      <c r="J265" t="inlineStr">
        <is>
          <t>F271</t>
        </is>
      </c>
      <c r="K265" t="n">
        <v>25</v>
      </c>
      <c r="L265">
        <f>IF(ABS('01_Вводные'!F271-K265)&lt;0.00000001,0,1)</f>
        <v/>
      </c>
    </row>
    <row r="266">
      <c r="J266" t="inlineStr">
        <is>
          <t>F272</t>
        </is>
      </c>
      <c r="K266" t="n">
        <v>112.5</v>
      </c>
      <c r="L266">
        <f>IF(ABS('01_Вводные'!F272-K266)&lt;0.00000001,0,1)</f>
        <v/>
      </c>
    </row>
    <row r="267">
      <c r="J267" t="inlineStr">
        <is>
          <t>F273</t>
        </is>
      </c>
      <c r="K267" t="n">
        <v>187.5</v>
      </c>
      <c r="L267">
        <f>IF(ABS('01_Вводные'!F273-K267)&lt;0.00000001,0,1)</f>
        <v/>
      </c>
    </row>
    <row r="268">
      <c r="J268" t="inlineStr">
        <is>
          <t>F274</t>
        </is>
      </c>
      <c r="K268" t="n">
        <v>250</v>
      </c>
      <c r="L268">
        <f>IF(ABS('01_Вводные'!F274-K268)&lt;0.00000001,0,1)</f>
        <v/>
      </c>
    </row>
    <row r="269">
      <c r="J269" t="inlineStr">
        <is>
          <t>F275</t>
        </is>
      </c>
      <c r="K269" t="n">
        <v>25</v>
      </c>
      <c r="L269">
        <f>IF(ABS('01_Вводные'!F275-K269)&lt;0.00000001,0,1)</f>
        <v/>
      </c>
    </row>
    <row r="270">
      <c r="J270" t="inlineStr">
        <is>
          <t>F276</t>
        </is>
      </c>
      <c r="K270" t="n">
        <v>90</v>
      </c>
      <c r="L270">
        <f>IF(ABS('01_Вводные'!F276-K270)&lt;0.00000001,0,1)</f>
        <v/>
      </c>
    </row>
    <row r="271">
      <c r="J271" t="inlineStr">
        <is>
          <t>F277</t>
        </is>
      </c>
      <c r="K271" t="n">
        <v>150</v>
      </c>
      <c r="L271">
        <f>IF(ABS('01_Вводные'!F277-K271)&lt;0.00000001,0,1)</f>
        <v/>
      </c>
    </row>
    <row r="272">
      <c r="J272" t="inlineStr">
        <is>
          <t>F278</t>
        </is>
      </c>
      <c r="K272" t="n">
        <v>200</v>
      </c>
      <c r="L272">
        <f>IF(ABS('01_Вводные'!F278-K272)&lt;0.00000001,0,1)</f>
        <v/>
      </c>
    </row>
    <row r="273">
      <c r="J273" t="inlineStr">
        <is>
          <t>F279</t>
        </is>
      </c>
      <c r="K273" t="n">
        <v>18.75</v>
      </c>
      <c r="L273">
        <f>IF(ABS('01_Вводные'!F279-K273)&lt;0.00000001,0,1)</f>
        <v/>
      </c>
    </row>
    <row r="274">
      <c r="J274" t="inlineStr">
        <is>
          <t>F280</t>
        </is>
      </c>
      <c r="K274" t="n">
        <v>78.75</v>
      </c>
      <c r="L274">
        <f>IF(ABS('01_Вводные'!F280-K274)&lt;0.00000001,0,1)</f>
        <v/>
      </c>
    </row>
    <row r="275">
      <c r="J275" t="inlineStr">
        <is>
          <t>F281</t>
        </is>
      </c>
      <c r="K275" t="n">
        <v>125</v>
      </c>
      <c r="L275">
        <f>IF(ABS('01_Вводные'!F281-K275)&lt;0.00000001,0,1)</f>
        <v/>
      </c>
    </row>
    <row r="276">
      <c r="J276" t="inlineStr">
        <is>
          <t>F282</t>
        </is>
      </c>
      <c r="K276" t="n">
        <v>175</v>
      </c>
      <c r="L276">
        <f>IF(ABS('01_Вводные'!F282-K276)&lt;0.00000001,0,1)</f>
        <v/>
      </c>
    </row>
    <row r="277">
      <c r="J277" t="inlineStr">
        <is>
          <t>F36</t>
        </is>
      </c>
      <c r="K277" t="n">
        <v>0.02439024390243902</v>
      </c>
      <c r="L277">
        <f>IF(ABS('01_Вводные'!F36-K277)&lt;0.00000001,0,1)</f>
        <v/>
      </c>
    </row>
    <row r="278">
      <c r="J278" t="inlineStr">
        <is>
          <t>F37</t>
        </is>
      </c>
      <c r="K278" t="n">
        <v>0.02</v>
      </c>
      <c r="L278">
        <f>IF(ABS('01_Вводные'!F37-K278)&lt;0.00000001,0,1)</f>
        <v/>
      </c>
    </row>
    <row r="279">
      <c r="J279" t="inlineStr">
        <is>
          <t>F38</t>
        </is>
      </c>
      <c r="K279" t="n">
        <v>0.02</v>
      </c>
      <c r="L279">
        <f>IF(ABS('01_Вводные'!F38-K279)&lt;0.00000001,0,1)</f>
        <v/>
      </c>
    </row>
    <row r="280">
      <c r="J280" t="inlineStr">
        <is>
          <t>F39</t>
        </is>
      </c>
      <c r="K280" t="n">
        <v>0.02</v>
      </c>
      <c r="L280">
        <f>IF(ABS('01_Вводные'!F39-K280)&lt;0.00000001,0,1)</f>
        <v/>
      </c>
    </row>
    <row r="281">
      <c r="J281" t="inlineStr">
        <is>
          <t>F40</t>
        </is>
      </c>
      <c r="K281" t="n">
        <v>0.02</v>
      </c>
      <c r="L281">
        <f>IF(ABS('01_Вводные'!F40-K281)&lt;0.00000001,0,1)</f>
        <v/>
      </c>
    </row>
    <row r="282">
      <c r="J282" t="inlineStr">
        <is>
          <t>F44</t>
        </is>
      </c>
      <c r="K282" t="n">
        <v>0.8235294117647058</v>
      </c>
      <c r="L282">
        <f>IF(ABS('01_Вводные'!F44-K282)&lt;0.00000001,0,1)</f>
        <v/>
      </c>
    </row>
    <row r="283">
      <c r="J283" t="inlineStr">
        <is>
          <t>F94</t>
        </is>
      </c>
      <c r="K283" t="n">
        <v>0</v>
      </c>
      <c r="L283">
        <f>IF(ABS('01_Вводные'!F94-K283)&lt;0.00000001,0,1)</f>
        <v/>
      </c>
    </row>
    <row r="284">
      <c r="J284" t="inlineStr">
        <is>
          <t>G263</t>
        </is>
      </c>
      <c r="K284" t="n">
        <v>37.5</v>
      </c>
      <c r="L284">
        <f>IF(ABS('01_Вводные'!G263-K284)&lt;0.00000001,0,1)</f>
        <v/>
      </c>
    </row>
    <row r="285">
      <c r="J285" t="inlineStr">
        <is>
          <t>G264</t>
        </is>
      </c>
      <c r="K285" t="n">
        <v>112.5</v>
      </c>
      <c r="L285">
        <f>IF(ABS('01_Вводные'!G264-K285)&lt;0.00000001,0,1)</f>
        <v/>
      </c>
    </row>
    <row r="286">
      <c r="J286" t="inlineStr">
        <is>
          <t>G265</t>
        </is>
      </c>
      <c r="K286" t="n">
        <v>187.5</v>
      </c>
      <c r="L286">
        <f>IF(ABS('01_Вводные'!G265-K286)&lt;0.00000001,0,1)</f>
        <v/>
      </c>
    </row>
    <row r="287">
      <c r="J287" t="inlineStr">
        <is>
          <t>G266</t>
        </is>
      </c>
      <c r="K287" t="n">
        <v>250</v>
      </c>
      <c r="L287">
        <f>IF(ABS('01_Вводные'!G266-K287)&lt;0.00000001,0,1)</f>
        <v/>
      </c>
    </row>
    <row r="288">
      <c r="J288" t="inlineStr">
        <is>
          <t>G267</t>
        </is>
      </c>
      <c r="K288" t="n">
        <v>31.25</v>
      </c>
      <c r="L288">
        <f>IF(ABS('01_Вводные'!G267-K288)&lt;0.00000001,0,1)</f>
        <v/>
      </c>
    </row>
    <row r="289">
      <c r="J289" t="inlineStr">
        <is>
          <t>G268</t>
        </is>
      </c>
      <c r="K289" t="n">
        <v>112.5</v>
      </c>
      <c r="L289">
        <f>IF(ABS('01_Вводные'!G268-K289)&lt;0.00000001,0,1)</f>
        <v/>
      </c>
    </row>
    <row r="290">
      <c r="J290" t="inlineStr">
        <is>
          <t>G269</t>
        </is>
      </c>
      <c r="K290" t="n">
        <v>187.5</v>
      </c>
      <c r="L290">
        <f>IF(ABS('01_Вводные'!G269-K290)&lt;0.00000001,0,1)</f>
        <v/>
      </c>
    </row>
    <row r="291">
      <c r="J291" t="inlineStr">
        <is>
          <t>G270</t>
        </is>
      </c>
      <c r="K291" t="n">
        <v>250</v>
      </c>
      <c r="L291">
        <f>IF(ABS('01_Вводные'!G270-K291)&lt;0.00000001,0,1)</f>
        <v/>
      </c>
    </row>
    <row r="292">
      <c r="J292" t="inlineStr">
        <is>
          <t>G271</t>
        </is>
      </c>
      <c r="K292" t="n">
        <v>25</v>
      </c>
      <c r="L292">
        <f>IF(ABS('01_Вводные'!G271-K292)&lt;0.00000001,0,1)</f>
        <v/>
      </c>
    </row>
    <row r="293">
      <c r="J293" t="inlineStr">
        <is>
          <t>G272</t>
        </is>
      </c>
      <c r="K293" t="n">
        <v>112.5</v>
      </c>
      <c r="L293">
        <f>IF(ABS('01_Вводные'!G272-K293)&lt;0.00000001,0,1)</f>
        <v/>
      </c>
    </row>
    <row r="294">
      <c r="J294" t="inlineStr">
        <is>
          <t>G273</t>
        </is>
      </c>
      <c r="K294" t="n">
        <v>187.5</v>
      </c>
      <c r="L294">
        <f>IF(ABS('01_Вводные'!G273-K294)&lt;0.00000001,0,1)</f>
        <v/>
      </c>
    </row>
    <row r="295">
      <c r="J295" t="inlineStr">
        <is>
          <t>G274</t>
        </is>
      </c>
      <c r="K295" t="n">
        <v>250</v>
      </c>
      <c r="L295">
        <f>IF(ABS('01_Вводные'!G274-K295)&lt;0.00000001,0,1)</f>
        <v/>
      </c>
    </row>
    <row r="296">
      <c r="J296" t="inlineStr">
        <is>
          <t>G275</t>
        </is>
      </c>
      <c r="K296" t="n">
        <v>25</v>
      </c>
      <c r="L296">
        <f>IF(ABS('01_Вводные'!G275-K296)&lt;0.00000001,0,1)</f>
        <v/>
      </c>
    </row>
    <row r="297">
      <c r="J297" t="inlineStr">
        <is>
          <t>G276</t>
        </is>
      </c>
      <c r="K297" t="n">
        <v>90</v>
      </c>
      <c r="L297">
        <f>IF(ABS('01_Вводные'!G276-K297)&lt;0.00000001,0,1)</f>
        <v/>
      </c>
    </row>
    <row r="298">
      <c r="J298" t="inlineStr">
        <is>
          <t>G277</t>
        </is>
      </c>
      <c r="K298" t="n">
        <v>150</v>
      </c>
      <c r="L298">
        <f>IF(ABS('01_Вводные'!G277-K298)&lt;0.00000001,0,1)</f>
        <v/>
      </c>
    </row>
    <row r="299">
      <c r="J299" t="inlineStr">
        <is>
          <t>G278</t>
        </is>
      </c>
      <c r="K299" t="n">
        <v>200</v>
      </c>
      <c r="L299">
        <f>IF(ABS('01_Вводные'!G278-K299)&lt;0.00000001,0,1)</f>
        <v/>
      </c>
    </row>
    <row r="300">
      <c r="J300" t="inlineStr">
        <is>
          <t>G279</t>
        </is>
      </c>
      <c r="K300" t="n">
        <v>18.75</v>
      </c>
      <c r="L300">
        <f>IF(ABS('01_Вводные'!G279-K300)&lt;0.00000001,0,1)</f>
        <v/>
      </c>
    </row>
    <row r="301">
      <c r="J301" t="inlineStr">
        <is>
          <t>G280</t>
        </is>
      </c>
      <c r="K301" t="n">
        <v>78.75</v>
      </c>
      <c r="L301">
        <f>IF(ABS('01_Вводные'!G280-K301)&lt;0.00000001,0,1)</f>
        <v/>
      </c>
    </row>
    <row r="302">
      <c r="J302" t="inlineStr">
        <is>
          <t>G281</t>
        </is>
      </c>
      <c r="K302" t="n">
        <v>125</v>
      </c>
      <c r="L302">
        <f>IF(ABS('01_Вводные'!G281-K302)&lt;0.00000001,0,1)</f>
        <v/>
      </c>
    </row>
    <row r="303">
      <c r="J303" t="inlineStr">
        <is>
          <t>G282</t>
        </is>
      </c>
      <c r="K303" t="n">
        <v>175</v>
      </c>
      <c r="L303">
        <f>IF(ABS('01_Вводные'!G282-K303)&lt;0.00000001,0,1)</f>
        <v/>
      </c>
    </row>
    <row r="304">
      <c r="J304" t="inlineStr">
        <is>
          <t>G36</t>
        </is>
      </c>
      <c r="K304" t="n">
        <v>0.09756097560975609</v>
      </c>
      <c r="L304">
        <f>IF(ABS('01_Вводные'!G36-K304)&lt;0.00000001,0,1)</f>
        <v/>
      </c>
    </row>
    <row r="305">
      <c r="J305" t="inlineStr">
        <is>
          <t>G37</t>
        </is>
      </c>
      <c r="K305" t="n">
        <v>0.08</v>
      </c>
      <c r="L305">
        <f>IF(ABS('01_Вводные'!G37-K305)&lt;0.00000001,0,1)</f>
        <v/>
      </c>
    </row>
    <row r="306">
      <c r="J306" t="inlineStr">
        <is>
          <t>G38</t>
        </is>
      </c>
      <c r="K306" t="n">
        <v>0.08</v>
      </c>
      <c r="L306">
        <f>IF(ABS('01_Вводные'!G38-K306)&lt;0.00000001,0,1)</f>
        <v/>
      </c>
    </row>
    <row r="307">
      <c r="J307" t="inlineStr">
        <is>
          <t>G39</t>
        </is>
      </c>
      <c r="K307" t="n">
        <v>0.08</v>
      </c>
      <c r="L307">
        <f>IF(ABS('01_Вводные'!G39-K307)&lt;0.00000001,0,1)</f>
        <v/>
      </c>
    </row>
    <row r="308">
      <c r="J308" t="inlineStr">
        <is>
          <t>G40</t>
        </is>
      </c>
      <c r="K308" t="n">
        <v>0.08</v>
      </c>
      <c r="L308">
        <f>IF(ABS('01_Вводные'!G40-K308)&lt;0.00000001,0,1)</f>
        <v/>
      </c>
    </row>
    <row r="309">
      <c r="J309" t="inlineStr">
        <is>
          <t>G44</t>
        </is>
      </c>
      <c r="K309" t="n">
        <v>0.3161764705882353</v>
      </c>
      <c r="L309">
        <f>IF(ABS('01_Вводные'!G44-K309)&lt;0.00000001,0,1)</f>
        <v/>
      </c>
    </row>
    <row r="310">
      <c r="J310" t="inlineStr">
        <is>
          <t>G94</t>
        </is>
      </c>
      <c r="K310" t="n">
        <v>0</v>
      </c>
      <c r="L310">
        <f>IF(ABS('01_Вводные'!G94-K310)&lt;0.00000001,0,1)</f>
        <v/>
      </c>
    </row>
    <row r="311">
      <c r="J311" t="inlineStr">
        <is>
          <t>H263</t>
        </is>
      </c>
      <c r="K311" t="n">
        <v>6000</v>
      </c>
      <c r="L311">
        <f>IF(ABS('01_Вводные'!H263-K311)&lt;0.00000001,0,1)</f>
        <v/>
      </c>
    </row>
    <row r="312">
      <c r="J312" t="inlineStr">
        <is>
          <t>H264</t>
        </is>
      </c>
      <c r="K312" t="n">
        <v>10500</v>
      </c>
      <c r="L312">
        <f>IF(ABS('01_Вводные'!H264-K312)&lt;0.00000001,0,1)</f>
        <v/>
      </c>
    </row>
    <row r="313">
      <c r="J313" t="inlineStr">
        <is>
          <t>H265</t>
        </is>
      </c>
      <c r="K313" t="n">
        <v>11500</v>
      </c>
      <c r="L313">
        <f>IF(ABS('01_Вводные'!H265-K313)&lt;0.00000001,0,1)</f>
        <v/>
      </c>
    </row>
    <row r="314">
      <c r="J314" t="inlineStr">
        <is>
          <t>H266</t>
        </is>
      </c>
      <c r="K314" t="n">
        <v>14000</v>
      </c>
      <c r="L314">
        <f>IF(ABS('01_Вводные'!H266-K314)&lt;0.00000001,0,1)</f>
        <v/>
      </c>
    </row>
    <row r="315">
      <c r="J315" t="inlineStr">
        <is>
          <t>H267</t>
        </is>
      </c>
      <c r="K315" t="n">
        <v>4200</v>
      </c>
      <c r="L315">
        <f>IF(ABS('01_Вводные'!H267-K315)&lt;0.00000001,0,1)</f>
        <v/>
      </c>
    </row>
    <row r="316">
      <c r="J316" t="inlineStr">
        <is>
          <t>H268</t>
        </is>
      </c>
      <c r="K316" t="n">
        <v>6750</v>
      </c>
      <c r="L316">
        <f>IF(ABS('01_Вводные'!H268-K316)&lt;0.00000001,0,1)</f>
        <v/>
      </c>
    </row>
    <row r="317">
      <c r="J317" t="inlineStr">
        <is>
          <t>H269</t>
        </is>
      </c>
      <c r="K317" t="n">
        <v>7250</v>
      </c>
      <c r="L317">
        <f>IF(ABS('01_Вводные'!H269-K317)&lt;0.00000001,0,1)</f>
        <v/>
      </c>
    </row>
    <row r="318">
      <c r="J318" t="inlineStr">
        <is>
          <t>H270</t>
        </is>
      </c>
      <c r="K318" t="n">
        <v>7250</v>
      </c>
      <c r="L318">
        <f>IF(ABS('01_Вводные'!H270-K318)&lt;0.00000001,0,1)</f>
        <v/>
      </c>
    </row>
    <row r="319">
      <c r="J319" t="inlineStr">
        <is>
          <t>H271</t>
        </is>
      </c>
      <c r="K319" t="n">
        <v>3800</v>
      </c>
      <c r="L319">
        <f>IF(ABS('01_Вводные'!H271-K319)&lt;0.00000001,0,1)</f>
        <v/>
      </c>
    </row>
    <row r="320">
      <c r="J320" t="inlineStr">
        <is>
          <t>H272</t>
        </is>
      </c>
      <c r="K320" t="n">
        <v>4900</v>
      </c>
      <c r="L320">
        <f>IF(ABS('01_Вводные'!H272-K320)&lt;0.00000001,0,1)</f>
        <v/>
      </c>
    </row>
    <row r="321">
      <c r="J321" t="inlineStr">
        <is>
          <t>H273</t>
        </is>
      </c>
      <c r="K321" t="n">
        <v>5750</v>
      </c>
      <c r="L321">
        <f>IF(ABS('01_Вводные'!H273-K321)&lt;0.00000001,0,1)</f>
        <v/>
      </c>
    </row>
    <row r="322">
      <c r="J322" t="inlineStr">
        <is>
          <t>H274</t>
        </is>
      </c>
      <c r="K322" t="n">
        <v>5750</v>
      </c>
      <c r="L322">
        <f>IF(ABS('01_Вводные'!H274-K322)&lt;0.00000001,0,1)</f>
        <v/>
      </c>
    </row>
    <row r="323">
      <c r="J323" t="inlineStr">
        <is>
          <t>H275</t>
        </is>
      </c>
      <c r="K323" t="n">
        <v>3300</v>
      </c>
      <c r="L323">
        <f>IF(ABS('01_Вводные'!H275-K323)&lt;0.00000001,0,1)</f>
        <v/>
      </c>
    </row>
    <row r="324">
      <c r="J324" t="inlineStr">
        <is>
          <t>H276</t>
        </is>
      </c>
      <c r="K324" t="n">
        <v>4650</v>
      </c>
      <c r="L324">
        <f>IF(ABS('01_Вводные'!H276-K324)&lt;0.00000001,0,1)</f>
        <v/>
      </c>
    </row>
    <row r="325">
      <c r="J325" t="inlineStr">
        <is>
          <t>H277</t>
        </is>
      </c>
      <c r="K325" t="n">
        <v>5750</v>
      </c>
      <c r="L325">
        <f>IF(ABS('01_Вводные'!H277-K325)&lt;0.00000001,0,1)</f>
        <v/>
      </c>
    </row>
    <row r="326">
      <c r="J326" t="inlineStr">
        <is>
          <t>H278</t>
        </is>
      </c>
      <c r="K326" t="n">
        <v>5750</v>
      </c>
      <c r="L326">
        <f>IF(ABS('01_Вводные'!H278-K326)&lt;0.00000001,0,1)</f>
        <v/>
      </c>
    </row>
    <row r="327">
      <c r="J327" t="inlineStr">
        <is>
          <t>H279</t>
        </is>
      </c>
      <c r="K327" t="n">
        <v>3000</v>
      </c>
      <c r="L327">
        <f>IF(ABS('01_Вводные'!H279-K327)&lt;0.00000001,0,1)</f>
        <v/>
      </c>
    </row>
    <row r="328">
      <c r="J328" t="inlineStr">
        <is>
          <t>H280</t>
        </is>
      </c>
      <c r="K328" t="n">
        <v>4000</v>
      </c>
      <c r="L328">
        <f>IF(ABS('01_Вводные'!H280-K328)&lt;0.00000001,0,1)</f>
        <v/>
      </c>
    </row>
    <row r="329">
      <c r="J329" t="inlineStr">
        <is>
          <t>H281</t>
        </is>
      </c>
      <c r="K329" t="n">
        <v>4500</v>
      </c>
      <c r="L329">
        <f>IF(ABS('01_Вводные'!H281-K329)&lt;0.00000001,0,1)</f>
        <v/>
      </c>
    </row>
    <row r="330">
      <c r="J330" t="inlineStr">
        <is>
          <t>H282</t>
        </is>
      </c>
      <c r="K330" t="n">
        <v>4500</v>
      </c>
      <c r="L330">
        <f>IF(ABS('01_Вводные'!H282-K330)&lt;0.00000001,0,1)</f>
        <v/>
      </c>
    </row>
    <row r="331">
      <c r="J331" t="inlineStr">
        <is>
          <t>H36</t>
        </is>
      </c>
      <c r="K331" t="n">
        <v>0.1585365853658537</v>
      </c>
      <c r="L331">
        <f>IF(ABS('01_Вводные'!H36-K331)&lt;0.00000001,0,1)</f>
        <v/>
      </c>
    </row>
    <row r="332">
      <c r="J332" t="inlineStr">
        <is>
          <t>H37</t>
        </is>
      </c>
      <c r="K332" t="n">
        <v>0.13</v>
      </c>
      <c r="L332">
        <f>IF(ABS('01_Вводные'!H37-K332)&lt;0.00000001,0,1)</f>
        <v/>
      </c>
    </row>
    <row r="333">
      <c r="J333" t="inlineStr">
        <is>
          <t>H38</t>
        </is>
      </c>
      <c r="K333" t="n">
        <v>0.13</v>
      </c>
      <c r="L333">
        <f>IF(ABS('01_Вводные'!H38-K333)&lt;0.00000001,0,1)</f>
        <v/>
      </c>
    </row>
    <row r="334">
      <c r="J334" t="inlineStr">
        <is>
          <t>H39</t>
        </is>
      </c>
      <c r="K334" t="n">
        <v>0.13</v>
      </c>
      <c r="L334">
        <f>IF(ABS('01_Вводные'!H39-K334)&lt;0.00000001,0,1)</f>
        <v/>
      </c>
    </row>
    <row r="335">
      <c r="J335" t="inlineStr">
        <is>
          <t>H40</t>
        </is>
      </c>
      <c r="K335" t="n">
        <v>0.13</v>
      </c>
      <c r="L335">
        <f>IF(ABS('01_Вводные'!H40-K335)&lt;0.00000001,0,1)</f>
        <v/>
      </c>
    </row>
    <row r="336">
      <c r="J336" t="inlineStr">
        <is>
          <t>H44</t>
        </is>
      </c>
      <c r="K336" t="n">
        <v>0.1397058823529412</v>
      </c>
      <c r="L336">
        <f>IF(ABS('01_Вводные'!H44-K336)&lt;0.00000001,0,1)</f>
        <v/>
      </c>
    </row>
    <row r="337">
      <c r="J337" t="inlineStr">
        <is>
          <t>H94</t>
        </is>
      </c>
      <c r="K337" t="n">
        <v>0</v>
      </c>
      <c r="L337">
        <f>IF(ABS('01_Вводные'!H94-K337)&lt;0.00000001,0,1)</f>
        <v/>
      </c>
    </row>
    <row r="338">
      <c r="J338" t="inlineStr">
        <is>
          <t>I263</t>
        </is>
      </c>
      <c r="K338" t="n">
        <v>20000</v>
      </c>
      <c r="L338">
        <f>IF(ABS('01_Вводные'!I263-K338)&lt;0.00000001,0,1)</f>
        <v/>
      </c>
    </row>
    <row r="339">
      <c r="J339" t="inlineStr">
        <is>
          <t>I264</t>
        </is>
      </c>
      <c r="K339" t="n">
        <v>20000</v>
      </c>
      <c r="L339">
        <f>IF(ABS('01_Вводные'!I264-K339)&lt;0.00000001,0,1)</f>
        <v/>
      </c>
    </row>
    <row r="340">
      <c r="J340" t="inlineStr">
        <is>
          <t>I265</t>
        </is>
      </c>
      <c r="K340" t="n">
        <v>20000</v>
      </c>
      <c r="L340">
        <f>IF(ABS('01_Вводные'!I265-K340)&lt;0.00000001,0,1)</f>
        <v/>
      </c>
    </row>
    <row r="341">
      <c r="J341" t="inlineStr">
        <is>
          <t>I266</t>
        </is>
      </c>
      <c r="K341" t="n">
        <v>20000</v>
      </c>
      <c r="L341">
        <f>IF(ABS('01_Вводные'!I266-K341)&lt;0.00000001,0,1)</f>
        <v/>
      </c>
    </row>
    <row r="342">
      <c r="J342" t="inlineStr">
        <is>
          <t>I267</t>
        </is>
      </c>
      <c r="K342" t="n">
        <v>12000</v>
      </c>
      <c r="L342">
        <f>IF(ABS('01_Вводные'!I267-K342)&lt;0.00000001,0,1)</f>
        <v/>
      </c>
    </row>
    <row r="343">
      <c r="J343" t="inlineStr">
        <is>
          <t>I268</t>
        </is>
      </c>
      <c r="K343" t="n">
        <v>20000</v>
      </c>
      <c r="L343">
        <f>IF(ABS('01_Вводные'!I268-K343)&lt;0.00000001,0,1)</f>
        <v/>
      </c>
    </row>
    <row r="344">
      <c r="J344" t="inlineStr">
        <is>
          <t>I269</t>
        </is>
      </c>
      <c r="K344" t="n">
        <v>20000</v>
      </c>
      <c r="L344">
        <f>IF(ABS('01_Вводные'!I269-K344)&lt;0.00000001,0,1)</f>
        <v/>
      </c>
    </row>
    <row r="345">
      <c r="J345" t="inlineStr">
        <is>
          <t>I270</t>
        </is>
      </c>
      <c r="K345" t="n">
        <v>20000</v>
      </c>
      <c r="L345">
        <f>IF(ABS('01_Вводные'!I270-K345)&lt;0.00000001,0,1)</f>
        <v/>
      </c>
    </row>
    <row r="346">
      <c r="J346" t="inlineStr">
        <is>
          <t>I271</t>
        </is>
      </c>
      <c r="K346" t="n">
        <v>7000</v>
      </c>
      <c r="L346">
        <f>IF(ABS('01_Вводные'!I271-K346)&lt;0.00000001,0,1)</f>
        <v/>
      </c>
    </row>
    <row r="347">
      <c r="J347" t="inlineStr">
        <is>
          <t>I272</t>
        </is>
      </c>
      <c r="K347" t="n">
        <v>20000</v>
      </c>
      <c r="L347">
        <f>IF(ABS('01_Вводные'!I272-K347)&lt;0.00000001,0,1)</f>
        <v/>
      </c>
    </row>
    <row r="348">
      <c r="J348" t="inlineStr">
        <is>
          <t>I273</t>
        </is>
      </c>
      <c r="K348" t="n">
        <v>20000</v>
      </c>
      <c r="L348">
        <f>IF(ABS('01_Вводные'!I273-K348)&lt;0.00000001,0,1)</f>
        <v/>
      </c>
    </row>
    <row r="349">
      <c r="J349" t="inlineStr">
        <is>
          <t>I274</t>
        </is>
      </c>
      <c r="K349" t="n">
        <v>20000</v>
      </c>
      <c r="L349">
        <f>IF(ABS('01_Вводные'!I274-K349)&lt;0.00000001,0,1)</f>
        <v/>
      </c>
    </row>
    <row r="350">
      <c r="J350" t="inlineStr">
        <is>
          <t>I275</t>
        </is>
      </c>
      <c r="K350" t="n">
        <v>6000</v>
      </c>
      <c r="L350">
        <f>IF(ABS('01_Вводные'!I275-K350)&lt;0.00000001,0,1)</f>
        <v/>
      </c>
    </row>
    <row r="351">
      <c r="J351" t="inlineStr">
        <is>
          <t>I276</t>
        </is>
      </c>
      <c r="K351" t="n">
        <v>20000</v>
      </c>
      <c r="L351">
        <f>IF(ABS('01_Вводные'!I276-K351)&lt;0.00000001,0,1)</f>
        <v/>
      </c>
    </row>
    <row r="352">
      <c r="J352" t="inlineStr">
        <is>
          <t>I277</t>
        </is>
      </c>
      <c r="K352" t="n">
        <v>20000</v>
      </c>
      <c r="L352">
        <f>IF(ABS('01_Вводные'!I277-K352)&lt;0.00000001,0,1)</f>
        <v/>
      </c>
    </row>
    <row r="353">
      <c r="J353" t="inlineStr">
        <is>
          <t>I278</t>
        </is>
      </c>
      <c r="K353" t="n">
        <v>20000</v>
      </c>
      <c r="L353">
        <f>IF(ABS('01_Вводные'!I278-K353)&lt;0.00000001,0,1)</f>
        <v/>
      </c>
    </row>
    <row r="354">
      <c r="J354" t="inlineStr">
        <is>
          <t>I279</t>
        </is>
      </c>
      <c r="K354" t="n">
        <v>5000</v>
      </c>
      <c r="L354">
        <f>IF(ABS('01_Вводные'!I279-K354)&lt;0.00000001,0,1)</f>
        <v/>
      </c>
    </row>
    <row r="355">
      <c r="J355" t="inlineStr">
        <is>
          <t>I280</t>
        </is>
      </c>
      <c r="K355" t="n">
        <v>20000</v>
      </c>
      <c r="L355">
        <f>IF(ABS('01_Вводные'!I280-K355)&lt;0.00000001,0,1)</f>
        <v/>
      </c>
    </row>
    <row r="356">
      <c r="J356" t="inlineStr">
        <is>
          <t>I281</t>
        </is>
      </c>
      <c r="K356" t="n">
        <v>20000</v>
      </c>
      <c r="L356">
        <f>IF(ABS('01_Вводные'!I281-K356)&lt;0.00000001,0,1)</f>
        <v/>
      </c>
    </row>
    <row r="357">
      <c r="J357" t="inlineStr">
        <is>
          <t>I282</t>
        </is>
      </c>
      <c r="K357" t="n">
        <v>20000</v>
      </c>
      <c r="L357">
        <f>IF(ABS('01_Вводные'!I282-K357)&lt;0.00000001,0,1)</f>
        <v/>
      </c>
    </row>
    <row r="358">
      <c r="J358" t="inlineStr">
        <is>
          <t>I36</t>
        </is>
      </c>
      <c r="K358" t="n">
        <v>0.06097560975609756</v>
      </c>
      <c r="L358">
        <f>IF(ABS('01_Вводные'!I36-K358)&lt;0.00000001,0,1)</f>
        <v/>
      </c>
    </row>
    <row r="359">
      <c r="J359" t="inlineStr">
        <is>
          <t>I37</t>
        </is>
      </c>
      <c r="K359" t="n">
        <v>0.05</v>
      </c>
      <c r="L359">
        <f>IF(ABS('01_Вводные'!I37-K359)&lt;0.00000001,0,1)</f>
        <v/>
      </c>
    </row>
    <row r="360">
      <c r="J360" t="inlineStr">
        <is>
          <t>I38</t>
        </is>
      </c>
      <c r="K360" t="n">
        <v>0.05</v>
      </c>
      <c r="L360">
        <f>IF(ABS('01_Вводные'!I38-K360)&lt;0.00000001,0,1)</f>
        <v/>
      </c>
    </row>
    <row r="361">
      <c r="J361" t="inlineStr">
        <is>
          <t>I39</t>
        </is>
      </c>
      <c r="K361" t="n">
        <v>0.05</v>
      </c>
      <c r="L361">
        <f>IF(ABS('01_Вводные'!I39-K361)&lt;0.00000001,0,1)</f>
        <v/>
      </c>
    </row>
    <row r="362">
      <c r="J362" t="inlineStr">
        <is>
          <t>I40</t>
        </is>
      </c>
      <c r="K362" t="n">
        <v>0.05</v>
      </c>
      <c r="L362">
        <f>IF(ABS('01_Вводные'!I40-K362)&lt;0.00000001,0,1)</f>
        <v/>
      </c>
    </row>
    <row r="363">
      <c r="J363" t="inlineStr">
        <is>
          <t>I44</t>
        </is>
      </c>
      <c r="K363" t="n">
        <v>0.05882352941176471</v>
      </c>
      <c r="L363">
        <f>IF(ABS('01_Вводные'!I44-K363)&lt;0.00000001,0,1)</f>
        <v/>
      </c>
    </row>
    <row r="364">
      <c r="J364" t="inlineStr">
        <is>
          <t>I94</t>
        </is>
      </c>
      <c r="K364" t="n">
        <v>0.25</v>
      </c>
      <c r="L364">
        <f>IF(ABS('01_Вводные'!I94-K364)&lt;0.00000001,0,1)</f>
        <v/>
      </c>
    </row>
    <row r="365">
      <c r="J365" t="inlineStr">
        <is>
          <t>J263</t>
        </is>
      </c>
      <c r="K365" t="n">
        <v>35000</v>
      </c>
      <c r="L365">
        <f>IF(ABS('01_Вводные'!J263-K365)&lt;0.00000001,0,1)</f>
        <v/>
      </c>
    </row>
    <row r="366">
      <c r="J366" t="inlineStr">
        <is>
          <t>J264</t>
        </is>
      </c>
      <c r="K366" t="n">
        <v>90000</v>
      </c>
      <c r="L366">
        <f>IF(ABS('01_Вводные'!J264-K366)&lt;0.00000001,0,1)</f>
        <v/>
      </c>
    </row>
    <row r="367">
      <c r="J367" t="inlineStr">
        <is>
          <t>J265</t>
        </is>
      </c>
      <c r="K367" t="n">
        <v>55000</v>
      </c>
      <c r="L367">
        <f>IF(ABS('01_Вводные'!J265-K367)&lt;0.00000001,0,1)</f>
        <v/>
      </c>
    </row>
    <row r="368">
      <c r="J368" t="inlineStr">
        <is>
          <t>J266</t>
        </is>
      </c>
      <c r="K368" t="n">
        <v>90000</v>
      </c>
      <c r="L368">
        <f>IF(ABS('01_Вводные'!J266-K368)&lt;0.00000001,0,1)</f>
        <v/>
      </c>
    </row>
    <row r="369">
      <c r="J369" t="inlineStr">
        <is>
          <t>J267</t>
        </is>
      </c>
      <c r="K369" t="n">
        <v>20000</v>
      </c>
      <c r="L369">
        <f>IF(ABS('01_Вводные'!J267-K369)&lt;0.00000001,0,1)</f>
        <v/>
      </c>
    </row>
    <row r="370">
      <c r="J370" t="inlineStr">
        <is>
          <t>J268</t>
        </is>
      </c>
      <c r="K370" t="n">
        <v>60000</v>
      </c>
      <c r="L370">
        <f>IF(ABS('01_Вводные'!J268-K370)&lt;0.00000001,0,1)</f>
        <v/>
      </c>
    </row>
    <row r="371">
      <c r="J371" t="inlineStr">
        <is>
          <t>J269</t>
        </is>
      </c>
      <c r="K371" t="n">
        <v>35000</v>
      </c>
      <c r="L371">
        <f>IF(ABS('01_Вводные'!J269-K371)&lt;0.00000001,0,1)</f>
        <v/>
      </c>
    </row>
    <row r="372">
      <c r="J372" t="inlineStr">
        <is>
          <t>J270</t>
        </is>
      </c>
      <c r="K372" t="n">
        <v>45000</v>
      </c>
      <c r="L372">
        <f>IF(ABS('01_Вводные'!J270-K372)&lt;0.00000001,0,1)</f>
        <v/>
      </c>
    </row>
    <row r="373">
      <c r="J373" t="inlineStr">
        <is>
          <t>J271</t>
        </is>
      </c>
      <c r="K373" t="n">
        <v>14000</v>
      </c>
      <c r="L373">
        <f>IF(ABS('01_Вводные'!J271-K373)&lt;0.00000001,0,1)</f>
        <v/>
      </c>
    </row>
    <row r="374">
      <c r="J374" t="inlineStr">
        <is>
          <t>J272</t>
        </is>
      </c>
      <c r="K374" t="n">
        <v>45000</v>
      </c>
      <c r="L374">
        <f>IF(ABS('01_Вводные'!J272-K374)&lt;0.00000001,0,1)</f>
        <v/>
      </c>
    </row>
    <row r="375">
      <c r="J375" t="inlineStr">
        <is>
          <t>J273</t>
        </is>
      </c>
      <c r="K375" t="n">
        <v>30000</v>
      </c>
      <c r="L375">
        <f>IF(ABS('01_Вводные'!J273-K375)&lt;0.00000001,0,1)</f>
        <v/>
      </c>
    </row>
    <row r="376">
      <c r="J376" t="inlineStr">
        <is>
          <t>J274</t>
        </is>
      </c>
      <c r="K376" t="n">
        <v>35000</v>
      </c>
      <c r="L376">
        <f>IF(ABS('01_Вводные'!J274-K376)&lt;0.00000001,0,1)</f>
        <v/>
      </c>
    </row>
    <row r="377">
      <c r="J377" t="inlineStr">
        <is>
          <t>J275</t>
        </is>
      </c>
      <c r="K377" t="n">
        <v>12000</v>
      </c>
      <c r="L377">
        <f>IF(ABS('01_Вводные'!J275-K377)&lt;0.00000001,0,1)</f>
        <v/>
      </c>
    </row>
    <row r="378">
      <c r="J378" t="inlineStr">
        <is>
          <t>J276</t>
        </is>
      </c>
      <c r="K378" t="n">
        <v>30000</v>
      </c>
      <c r="L378">
        <f>IF(ABS('01_Вводные'!J276-K378)&lt;0.00000001,0,1)</f>
        <v/>
      </c>
    </row>
    <row r="379">
      <c r="J379" t="inlineStr">
        <is>
          <t>J277</t>
        </is>
      </c>
      <c r="K379" t="n">
        <v>25000</v>
      </c>
      <c r="L379">
        <f>IF(ABS('01_Вводные'!J277-K379)&lt;0.00000001,0,1)</f>
        <v/>
      </c>
    </row>
    <row r="380">
      <c r="J380" t="inlineStr">
        <is>
          <t>J278</t>
        </is>
      </c>
      <c r="K380" t="n">
        <v>30000</v>
      </c>
      <c r="L380">
        <f>IF(ABS('01_Вводные'!J278-K380)&lt;0.00000001,0,1)</f>
        <v/>
      </c>
    </row>
    <row r="381">
      <c r="J381" t="inlineStr">
        <is>
          <t>J279</t>
        </is>
      </c>
      <c r="K381" t="n">
        <v>8000</v>
      </c>
      <c r="L381">
        <f>IF(ABS('01_Вводные'!J279-K381)&lt;0.00000001,0,1)</f>
        <v/>
      </c>
    </row>
    <row r="382">
      <c r="J382" t="inlineStr">
        <is>
          <t>J280</t>
        </is>
      </c>
      <c r="K382" t="n">
        <v>25000</v>
      </c>
      <c r="L382">
        <f>IF(ABS('01_Вводные'!J280-K382)&lt;0.00000001,0,1)</f>
        <v/>
      </c>
    </row>
    <row r="383">
      <c r="J383" t="inlineStr">
        <is>
          <t>J281</t>
        </is>
      </c>
      <c r="K383" t="n">
        <v>25000</v>
      </c>
      <c r="L383">
        <f>IF(ABS('01_Вводные'!J281-K383)&lt;0.00000001,0,1)</f>
        <v/>
      </c>
    </row>
    <row r="384">
      <c r="J384" t="inlineStr">
        <is>
          <t>J282</t>
        </is>
      </c>
      <c r="K384" t="n">
        <v>30000</v>
      </c>
      <c r="L384">
        <f>IF(ABS('01_Вводные'!J282-K384)&lt;0.00000001,0,1)</f>
        <v/>
      </c>
    </row>
    <row r="385">
      <c r="J385" t="inlineStr">
        <is>
          <t>J36</t>
        </is>
      </c>
      <c r="K385" t="n">
        <v>0.07317073170731707</v>
      </c>
      <c r="L385">
        <f>IF(ABS('01_Вводные'!J36-K385)&lt;0.00000001,0,1)</f>
        <v/>
      </c>
    </row>
    <row r="386">
      <c r="J386" t="inlineStr">
        <is>
          <t>J37</t>
        </is>
      </c>
      <c r="K386" t="n">
        <v>0.06</v>
      </c>
      <c r="L386">
        <f>IF(ABS('01_Вводные'!J37-K386)&lt;0.00000001,0,1)</f>
        <v/>
      </c>
    </row>
    <row r="387">
      <c r="J387" t="inlineStr">
        <is>
          <t>J38</t>
        </is>
      </c>
      <c r="K387" t="n">
        <v>0.06</v>
      </c>
      <c r="L387">
        <f>IF(ABS('01_Вводные'!J38-K387)&lt;0.00000001,0,1)</f>
        <v/>
      </c>
    </row>
    <row r="388">
      <c r="J388" t="inlineStr">
        <is>
          <t>J39</t>
        </is>
      </c>
      <c r="K388" t="n">
        <v>0.06</v>
      </c>
      <c r="L388">
        <f>IF(ABS('01_Вводные'!J39-K388)&lt;0.00000001,0,1)</f>
        <v/>
      </c>
    </row>
    <row r="389">
      <c r="J389" t="inlineStr">
        <is>
          <t>J40</t>
        </is>
      </c>
      <c r="K389" t="n">
        <v>0.06</v>
      </c>
      <c r="L389">
        <f>IF(ABS('01_Вводные'!J40-K389)&lt;0.00000001,0,1)</f>
        <v/>
      </c>
    </row>
    <row r="390">
      <c r="J390" t="inlineStr">
        <is>
          <t>J44</t>
        </is>
      </c>
      <c r="K390" t="n">
        <v>0.7941176470588235</v>
      </c>
      <c r="L390">
        <f>IF(ABS('01_Вводные'!J44-K390)&lt;0.00000001,0,1)</f>
        <v/>
      </c>
    </row>
    <row r="391">
      <c r="J391" t="inlineStr">
        <is>
          <t>J94</t>
        </is>
      </c>
      <c r="K391" t="n">
        <v>0.4</v>
      </c>
      <c r="L391">
        <f>IF(ABS('01_Вводные'!J94-K391)&lt;0.00000001,0,1)</f>
        <v/>
      </c>
    </row>
    <row r="392">
      <c r="J392" t="inlineStr">
        <is>
          <t>K36</t>
        </is>
      </c>
      <c r="K392" t="n">
        <v>0.09756097560975609</v>
      </c>
      <c r="L392">
        <f>IF(ABS('01_Вводные'!K36-K392)&lt;0.00000001,0,1)</f>
        <v/>
      </c>
    </row>
    <row r="393">
      <c r="J393" t="inlineStr">
        <is>
          <t>K37</t>
        </is>
      </c>
      <c r="K393" t="n">
        <v>0.08</v>
      </c>
      <c r="L393">
        <f>IF(ABS('01_Вводные'!K37-K393)&lt;0.00000001,0,1)</f>
        <v/>
      </c>
    </row>
    <row r="394">
      <c r="J394" t="inlineStr">
        <is>
          <t>K38</t>
        </is>
      </c>
      <c r="K394" t="n">
        <v>0.08</v>
      </c>
      <c r="L394">
        <f>IF(ABS('01_Вводные'!K38-K394)&lt;0.00000001,0,1)</f>
        <v/>
      </c>
    </row>
    <row r="395">
      <c r="J395" t="inlineStr">
        <is>
          <t>K39</t>
        </is>
      </c>
      <c r="K395" t="n">
        <v>0.08</v>
      </c>
      <c r="L395">
        <f>IF(ABS('01_Вводные'!K39-K395)&lt;0.00000001,0,1)</f>
        <v/>
      </c>
    </row>
    <row r="396">
      <c r="J396" t="inlineStr">
        <is>
          <t>K40</t>
        </is>
      </c>
      <c r="K396" t="n">
        <v>0.08</v>
      </c>
      <c r="L396">
        <f>IF(ABS('01_Вводные'!K40-K396)&lt;0.00000001,0,1)</f>
        <v/>
      </c>
    </row>
    <row r="397">
      <c r="J397" t="inlineStr">
        <is>
          <t>K44</t>
        </is>
      </c>
      <c r="K397" t="n">
        <v>0.9411764705882353</v>
      </c>
      <c r="L397">
        <f>IF(ABS('01_Вводные'!K44-K397)&lt;0.00000001,0,1)</f>
        <v/>
      </c>
    </row>
    <row r="398">
      <c r="J398" t="inlineStr">
        <is>
          <t>K94</t>
        </is>
      </c>
      <c r="K398" t="n">
        <v>0.25</v>
      </c>
      <c r="L398">
        <f>IF(ABS('01_Вводные'!K94-K398)&lt;0.00000001,0,1)</f>
        <v/>
      </c>
    </row>
    <row r="399">
      <c r="J399" t="inlineStr">
        <is>
          <t>L36</t>
        </is>
      </c>
      <c r="K399" t="n">
        <v>0.06097560975609756</v>
      </c>
      <c r="L399">
        <f>IF(ABS('01_Вводные'!L36-K399)&lt;0.00000001,0,1)</f>
        <v/>
      </c>
    </row>
    <row r="400">
      <c r="J400" t="inlineStr">
        <is>
          <t>L37</t>
        </is>
      </c>
      <c r="K400" t="n">
        <v>0.05</v>
      </c>
      <c r="L400">
        <f>IF(ABS('01_Вводные'!L37-K400)&lt;0.00000001,0,1)</f>
        <v/>
      </c>
    </row>
    <row r="401">
      <c r="J401" t="inlineStr">
        <is>
          <t>L38</t>
        </is>
      </c>
      <c r="K401" t="n">
        <v>0.05</v>
      </c>
      <c r="L401">
        <f>IF(ABS('01_Вводные'!L38-K401)&lt;0.00000001,0,1)</f>
        <v/>
      </c>
    </row>
    <row r="402">
      <c r="J402" t="inlineStr">
        <is>
          <t>L39</t>
        </is>
      </c>
      <c r="K402" t="n">
        <v>0.05</v>
      </c>
      <c r="L402">
        <f>IF(ABS('01_Вводные'!L39-K402)&lt;0.00000001,0,1)</f>
        <v/>
      </c>
    </row>
    <row r="403">
      <c r="J403" t="inlineStr">
        <is>
          <t>L40</t>
        </is>
      </c>
      <c r="K403" t="n">
        <v>0.05</v>
      </c>
      <c r="L403">
        <f>IF(ABS('01_Вводные'!L40-K403)&lt;0.00000001,0,1)</f>
        <v/>
      </c>
    </row>
    <row r="404">
      <c r="J404" t="inlineStr">
        <is>
          <t>L44</t>
        </is>
      </c>
      <c r="K404" t="n">
        <v>0.9411764705882353</v>
      </c>
      <c r="L404">
        <f>IF(ABS('01_Вводные'!L44-K404)&lt;0.00000001,0,1)</f>
        <v/>
      </c>
    </row>
    <row r="405">
      <c r="J405" t="inlineStr">
        <is>
          <t>L94</t>
        </is>
      </c>
      <c r="K405" t="n">
        <v>0.1</v>
      </c>
      <c r="L405">
        <f>IF(ABS('01_Вводные'!L94-K405)&lt;0.00000001,0,1)</f>
        <v/>
      </c>
    </row>
    <row r="406">
      <c r="J406" t="inlineStr">
        <is>
          <t>M36</t>
        </is>
      </c>
      <c r="K406" t="n">
        <v>0.1097560975609756</v>
      </c>
      <c r="L406">
        <f>IF(ABS('01_Вводные'!M36-K406)&lt;0.00000001,0,1)</f>
        <v/>
      </c>
    </row>
    <row r="407">
      <c r="J407" t="inlineStr">
        <is>
          <t>M37</t>
        </is>
      </c>
      <c r="K407" t="n">
        <v>0.09</v>
      </c>
      <c r="L407">
        <f>IF(ABS('01_Вводные'!M37-K407)&lt;0.00000001,0,1)</f>
        <v/>
      </c>
    </row>
    <row r="408">
      <c r="J408" t="inlineStr">
        <is>
          <t>M38</t>
        </is>
      </c>
      <c r="K408" t="n">
        <v>0.09</v>
      </c>
      <c r="L408">
        <f>IF(ABS('01_Вводные'!M38-K408)&lt;0.00000001,0,1)</f>
        <v/>
      </c>
    </row>
    <row r="409">
      <c r="J409" t="inlineStr">
        <is>
          <t>M39</t>
        </is>
      </c>
      <c r="K409" t="n">
        <v>0.09</v>
      </c>
      <c r="L409">
        <f>IF(ABS('01_Вводные'!M39-K409)&lt;0.00000001,0,1)</f>
        <v/>
      </c>
    </row>
    <row r="410">
      <c r="J410" t="inlineStr">
        <is>
          <t>M40</t>
        </is>
      </c>
      <c r="K410" t="n">
        <v>0.09</v>
      </c>
      <c r="L410">
        <f>IF(ABS('01_Вводные'!M40-K410)&lt;0.00000001,0,1)</f>
        <v/>
      </c>
    </row>
    <row r="411">
      <c r="J411" t="inlineStr">
        <is>
          <t>M44</t>
        </is>
      </c>
      <c r="K411" t="n">
        <v>0.926470588235294</v>
      </c>
      <c r="L411">
        <f>IF(ABS('01_Вводные'!M44-K411)&lt;0.00000001,0,1)</f>
        <v/>
      </c>
    </row>
    <row r="412">
      <c r="J412" t="inlineStr">
        <is>
          <t>M94</t>
        </is>
      </c>
      <c r="K412" t="n">
        <v>0</v>
      </c>
      <c r="L412">
        <f>IF(ABS('01_Вводные'!M94-K412)&lt;0.00000001,0,1)</f>
        <v/>
      </c>
    </row>
    <row r="413">
      <c r="J413" t="inlineStr">
        <is>
          <t>N36</t>
        </is>
      </c>
      <c r="K413" t="n">
        <v>0.1707317073170732</v>
      </c>
      <c r="L413">
        <f>IF(ABS('01_Вводные'!N36-K413)&lt;0.00000001,0,1)</f>
        <v/>
      </c>
    </row>
    <row r="414">
      <c r="J414" t="inlineStr">
        <is>
          <t>N37</t>
        </is>
      </c>
      <c r="K414" t="n">
        <v>0.14</v>
      </c>
      <c r="L414">
        <f>IF(ABS('01_Вводные'!N37-K414)&lt;0.00000001,0,1)</f>
        <v/>
      </c>
    </row>
    <row r="415">
      <c r="J415" t="inlineStr">
        <is>
          <t>N38</t>
        </is>
      </c>
      <c r="K415" t="n">
        <v>0.14</v>
      </c>
      <c r="L415">
        <f>IF(ABS('01_Вводные'!N38-K415)&lt;0.00000001,0,1)</f>
        <v/>
      </c>
    </row>
    <row r="416">
      <c r="J416" t="inlineStr">
        <is>
          <t>N39</t>
        </is>
      </c>
      <c r="K416" t="n">
        <v>0.14</v>
      </c>
      <c r="L416">
        <f>IF(ABS('01_Вводные'!N39-K416)&lt;0.00000001,0,1)</f>
        <v/>
      </c>
    </row>
    <row r="417">
      <c r="J417" t="inlineStr">
        <is>
          <t>N40</t>
        </is>
      </c>
      <c r="K417" t="n">
        <v>0.14</v>
      </c>
      <c r="L417">
        <f>IF(ABS('01_Вводные'!N40-K417)&lt;0.00000001,0,1)</f>
        <v/>
      </c>
    </row>
  </sheetData>
  <mergeCells count="7">
    <mergeCell ref="A3:H3"/>
    <mergeCell ref="A30:H30"/>
    <mergeCell ref="A20:H20"/>
    <mergeCell ref="B4:H4"/>
    <mergeCell ref="A42:H42"/>
    <mergeCell ref="A33:H33"/>
    <mergeCell ref="A1:H1"/>
  </mergeCell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808080"/>
    <outlinePr summaryBelow="1" summaryRight="1"/>
    <pageSetUpPr/>
  </sheetPr>
  <dimension ref="A1:BO198"/>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s>
  <sheetData>
    <row r="1">
      <c r="A1" s="192" t="inlineStr">
        <is>
          <t>Календарь и возрастные тарифы - только формулы</t>
        </is>
      </c>
    </row>
    <row r="2"/>
    <row r="3">
      <c r="B3" s="193">
        <f>DATE(YEAR('01_Вводные'!$B$7),MONTH('01_Вводные'!$B$7)+0,1)</f>
        <v/>
      </c>
      <c r="C3" s="193">
        <f>DATE(YEAR('01_Вводные'!$B$7),MONTH('01_Вводные'!$B$7)+1,1)</f>
        <v/>
      </c>
      <c r="D3" s="193">
        <f>DATE(YEAR('01_Вводные'!$B$7),MONTH('01_Вводные'!$B$7)+2,1)</f>
        <v/>
      </c>
      <c r="E3" s="193">
        <f>DATE(YEAR('01_Вводные'!$B$7),MONTH('01_Вводные'!$B$7)+3,1)</f>
        <v/>
      </c>
      <c r="F3" s="193">
        <f>DATE(YEAR('01_Вводные'!$B$7),MONTH('01_Вводные'!$B$7)+4,1)</f>
        <v/>
      </c>
      <c r="G3" s="193">
        <f>DATE(YEAR('01_Вводные'!$B$7),MONTH('01_Вводные'!$B$7)+5,1)</f>
        <v/>
      </c>
      <c r="H3" s="193">
        <f>DATE(YEAR('01_Вводные'!$B$7),MONTH('01_Вводные'!$B$7)+6,1)</f>
        <v/>
      </c>
      <c r="I3" s="193">
        <f>DATE(YEAR('01_Вводные'!$B$7),MONTH('01_Вводные'!$B$7)+7,1)</f>
        <v/>
      </c>
      <c r="J3" s="193">
        <f>DATE(YEAR('01_Вводные'!$B$7),MONTH('01_Вводные'!$B$7)+8,1)</f>
        <v/>
      </c>
      <c r="K3" s="193">
        <f>DATE(YEAR('01_Вводные'!$B$7),MONTH('01_Вводные'!$B$7)+9,1)</f>
        <v/>
      </c>
      <c r="L3" s="193">
        <f>DATE(YEAR('01_Вводные'!$B$7),MONTH('01_Вводные'!$B$7)+10,1)</f>
        <v/>
      </c>
      <c r="M3" s="193">
        <f>DATE(YEAR('01_Вводные'!$B$7),MONTH('01_Вводные'!$B$7)+11,1)</f>
        <v/>
      </c>
      <c r="N3" s="193">
        <f>DATE(YEAR('01_Вводные'!$B$7),MONTH('01_Вводные'!$B$7)+12,1)</f>
        <v/>
      </c>
      <c r="O3" s="193">
        <f>DATE(YEAR('01_Вводные'!$B$7),MONTH('01_Вводные'!$B$7)+13,1)</f>
        <v/>
      </c>
      <c r="P3" s="193">
        <f>DATE(YEAR('01_Вводные'!$B$7),MONTH('01_Вводные'!$B$7)+14,1)</f>
        <v/>
      </c>
      <c r="Q3" s="193">
        <f>DATE(YEAR('01_Вводные'!$B$7),MONTH('01_Вводные'!$B$7)+15,1)</f>
        <v/>
      </c>
      <c r="R3" s="193">
        <f>DATE(YEAR('01_Вводные'!$B$7),MONTH('01_Вводные'!$B$7)+16,1)</f>
        <v/>
      </c>
      <c r="S3" s="193">
        <f>DATE(YEAR('01_Вводные'!$B$7),MONTH('01_Вводные'!$B$7)+17,1)</f>
        <v/>
      </c>
      <c r="T3" s="193">
        <f>DATE(YEAR('01_Вводные'!$B$7),MONTH('01_Вводные'!$B$7)+18,1)</f>
        <v/>
      </c>
      <c r="U3" s="193">
        <f>DATE(YEAR('01_Вводные'!$B$7),MONTH('01_Вводные'!$B$7)+19,1)</f>
        <v/>
      </c>
      <c r="V3" s="193">
        <f>DATE(YEAR('01_Вводные'!$B$7),MONTH('01_Вводные'!$B$7)+20,1)</f>
        <v/>
      </c>
      <c r="W3" s="193">
        <f>DATE(YEAR('01_Вводные'!$B$7),MONTH('01_Вводные'!$B$7)+21,1)</f>
        <v/>
      </c>
      <c r="X3" s="193">
        <f>DATE(YEAR('01_Вводные'!$B$7),MONTH('01_Вводные'!$B$7)+22,1)</f>
        <v/>
      </c>
      <c r="Y3" s="193">
        <f>DATE(YEAR('01_Вводные'!$B$7),MONTH('01_Вводные'!$B$7)+23,1)</f>
        <v/>
      </c>
      <c r="Z3" s="193">
        <f>DATE(YEAR('01_Вводные'!$B$7),MONTH('01_Вводные'!$B$7)+24,1)</f>
        <v/>
      </c>
      <c r="AA3" s="193">
        <f>DATE(YEAR('01_Вводные'!$B$7),MONTH('01_Вводные'!$B$7)+25,1)</f>
        <v/>
      </c>
      <c r="AB3" s="193">
        <f>DATE(YEAR('01_Вводные'!$B$7),MONTH('01_Вводные'!$B$7)+26,1)</f>
        <v/>
      </c>
      <c r="AC3" s="193">
        <f>DATE(YEAR('01_Вводные'!$B$7),MONTH('01_Вводные'!$B$7)+27,1)</f>
        <v/>
      </c>
      <c r="AD3" s="193">
        <f>DATE(YEAR('01_Вводные'!$B$7),MONTH('01_Вводные'!$B$7)+28,1)</f>
        <v/>
      </c>
      <c r="AE3" s="193">
        <f>DATE(YEAR('01_Вводные'!$B$7),MONTH('01_Вводные'!$B$7)+29,1)</f>
        <v/>
      </c>
      <c r="AF3" s="193">
        <f>DATE(YEAR('01_Вводные'!$B$7),MONTH('01_Вводные'!$B$7)+30,1)</f>
        <v/>
      </c>
      <c r="AG3" s="193">
        <f>DATE(YEAR('01_Вводные'!$B$7),MONTH('01_Вводные'!$B$7)+31,1)</f>
        <v/>
      </c>
      <c r="AH3" s="193">
        <f>DATE(YEAR('01_Вводные'!$B$7),MONTH('01_Вводные'!$B$7)+32,1)</f>
        <v/>
      </c>
      <c r="AI3" s="193">
        <f>DATE(YEAR('01_Вводные'!$B$7),MONTH('01_Вводные'!$B$7)+33,1)</f>
        <v/>
      </c>
      <c r="AJ3" s="193">
        <f>DATE(YEAR('01_Вводные'!$B$7),MONTH('01_Вводные'!$B$7)+34,1)</f>
        <v/>
      </c>
      <c r="AK3" s="193">
        <f>DATE(YEAR('01_Вводные'!$B$7),MONTH('01_Вводные'!$B$7)+35,1)</f>
        <v/>
      </c>
      <c r="AL3" s="193">
        <f>DATE(YEAR('01_Вводные'!$B$7),MONTH('01_Вводные'!$B$7)+36,1)</f>
        <v/>
      </c>
      <c r="AM3" s="193">
        <f>DATE(YEAR('01_Вводные'!$B$7),MONTH('01_Вводные'!$B$7)+37,1)</f>
        <v/>
      </c>
      <c r="AN3" s="193">
        <f>DATE(YEAR('01_Вводные'!$B$7),MONTH('01_Вводные'!$B$7)+38,1)</f>
        <v/>
      </c>
      <c r="AO3" s="193">
        <f>DATE(YEAR('01_Вводные'!$B$7),MONTH('01_Вводные'!$B$7)+39,1)</f>
        <v/>
      </c>
      <c r="AP3" s="193">
        <f>DATE(YEAR('01_Вводные'!$B$7),MONTH('01_Вводные'!$B$7)+40,1)</f>
        <v/>
      </c>
      <c r="AQ3" s="193">
        <f>DATE(YEAR('01_Вводные'!$B$7),MONTH('01_Вводные'!$B$7)+41,1)</f>
        <v/>
      </c>
      <c r="AR3" s="193">
        <f>DATE(YEAR('01_Вводные'!$B$7),MONTH('01_Вводные'!$B$7)+42,1)</f>
        <v/>
      </c>
      <c r="AS3" s="193">
        <f>DATE(YEAR('01_Вводные'!$B$7),MONTH('01_Вводные'!$B$7)+43,1)</f>
        <v/>
      </c>
      <c r="AT3" s="193">
        <f>DATE(YEAR('01_Вводные'!$B$7),MONTH('01_Вводные'!$B$7)+44,1)</f>
        <v/>
      </c>
      <c r="AU3" s="193">
        <f>DATE(YEAR('01_Вводные'!$B$7),MONTH('01_Вводные'!$B$7)+45,1)</f>
        <v/>
      </c>
      <c r="AV3" s="193">
        <f>DATE(YEAR('01_Вводные'!$B$7),MONTH('01_Вводные'!$B$7)+46,1)</f>
        <v/>
      </c>
      <c r="AW3" s="193">
        <f>DATE(YEAR('01_Вводные'!$B$7),MONTH('01_Вводные'!$B$7)+47,1)</f>
        <v/>
      </c>
      <c r="AX3" s="193">
        <f>DATE(YEAR('01_Вводные'!$B$7),MONTH('01_Вводные'!$B$7)+48,1)</f>
        <v/>
      </c>
      <c r="AY3" s="193">
        <f>DATE(YEAR('01_Вводные'!$B$7),MONTH('01_Вводные'!$B$7)+49,1)</f>
        <v/>
      </c>
      <c r="AZ3" s="193">
        <f>DATE(YEAR('01_Вводные'!$B$7),MONTH('01_Вводные'!$B$7)+50,1)</f>
        <v/>
      </c>
      <c r="BA3" s="193">
        <f>DATE(YEAR('01_Вводные'!$B$7),MONTH('01_Вводные'!$B$7)+51,1)</f>
        <v/>
      </c>
      <c r="BB3" s="193">
        <f>DATE(YEAR('01_Вводные'!$B$7),MONTH('01_Вводные'!$B$7)+52,1)</f>
        <v/>
      </c>
      <c r="BC3" s="193">
        <f>DATE(YEAR('01_Вводные'!$B$7),MONTH('01_Вводные'!$B$7)+53,1)</f>
        <v/>
      </c>
      <c r="BD3" s="193">
        <f>DATE(YEAR('01_Вводные'!$B$7),MONTH('01_Вводные'!$B$7)+54,1)</f>
        <v/>
      </c>
      <c r="BE3" s="193">
        <f>DATE(YEAR('01_Вводные'!$B$7),MONTH('01_Вводные'!$B$7)+55,1)</f>
        <v/>
      </c>
      <c r="BF3" s="193">
        <f>DATE(YEAR('01_Вводные'!$B$7),MONTH('01_Вводные'!$B$7)+56,1)</f>
        <v/>
      </c>
      <c r="BG3" s="193">
        <f>DATE(YEAR('01_Вводные'!$B$7),MONTH('01_Вводные'!$B$7)+57,1)</f>
        <v/>
      </c>
      <c r="BH3" s="193">
        <f>DATE(YEAR('01_Вводные'!$B$7),MONTH('01_Вводные'!$B$7)+58,1)</f>
        <v/>
      </c>
      <c r="BI3" s="193">
        <f>DATE(YEAR('01_Вводные'!$B$7),MONTH('01_Вводные'!$B$7)+59,1)</f>
        <v/>
      </c>
      <c r="BJ3" s="193">
        <f>DATE(YEAR('01_Вводные'!$B$7),MONTH('01_Вводные'!$B$7)+60,1)</f>
        <v/>
      </c>
      <c r="BK3" s="193">
        <f>DATE(YEAR('01_Вводные'!$B$7),MONTH('01_Вводные'!$B$7)+61,1)</f>
        <v/>
      </c>
      <c r="BL3" s="193">
        <f>DATE(YEAR('01_Вводные'!$B$7),MONTH('01_Вводные'!$B$7)+62,1)</f>
        <v/>
      </c>
      <c r="BM3" s="193">
        <f>DATE(YEAR('01_Вводные'!$B$7),MONTH('01_Вводные'!$B$7)+63,1)</f>
        <v/>
      </c>
      <c r="BN3" s="193">
        <f>DATE(YEAR('01_Вводные'!$B$7),MONTH('01_Вводные'!$B$7)+64,1)</f>
        <v/>
      </c>
      <c r="BO3" s="193">
        <f>DATE(YEAR('01_Вводные'!$B$7),MONTH('01_Вводные'!$B$7)+65,1)</f>
        <v/>
      </c>
    </row>
    <row r="4">
      <c r="A4" s="192" t="inlineStr">
        <is>
          <t>Накопленный индекс цен / OPEX</t>
        </is>
      </c>
      <c r="B4" s="194">
        <f>1*IF(AND('01_Вводные'!$B$294="Да",B$3&gt;='01_Вводные'!$B$293,MONTH(B$3)=MONTH('01_Вводные'!$B$293)),1+B5,1)</f>
        <v/>
      </c>
      <c r="C4" s="194">
        <f>B4*IF(AND('01_Вводные'!$B$294="Да",C$3&gt;='01_Вводные'!$B$293,MONTH(C$3)=MONTH('01_Вводные'!$B$293)),1+C5,1)</f>
        <v/>
      </c>
      <c r="D4" s="194">
        <f>C4*IF(AND('01_Вводные'!$B$294="Да",D$3&gt;='01_Вводные'!$B$293,MONTH(D$3)=MONTH('01_Вводные'!$B$293)),1+D5,1)</f>
        <v/>
      </c>
      <c r="E4" s="194">
        <f>D4*IF(AND('01_Вводные'!$B$294="Да",E$3&gt;='01_Вводные'!$B$293,MONTH(E$3)=MONTH('01_Вводные'!$B$293)),1+E5,1)</f>
        <v/>
      </c>
      <c r="F4" s="194">
        <f>E4*IF(AND('01_Вводные'!$B$294="Да",F$3&gt;='01_Вводные'!$B$293,MONTH(F$3)=MONTH('01_Вводные'!$B$293)),1+F5,1)</f>
        <v/>
      </c>
      <c r="G4" s="194">
        <f>F4*IF(AND('01_Вводные'!$B$294="Да",G$3&gt;='01_Вводные'!$B$293,MONTH(G$3)=MONTH('01_Вводные'!$B$293)),1+G5,1)</f>
        <v/>
      </c>
      <c r="H4" s="194">
        <f>G4*IF(AND('01_Вводные'!$B$294="Да",H$3&gt;='01_Вводные'!$B$293,MONTH(H$3)=MONTH('01_Вводные'!$B$293)),1+H5,1)</f>
        <v/>
      </c>
      <c r="I4" s="194">
        <f>H4*IF(AND('01_Вводные'!$B$294="Да",I$3&gt;='01_Вводные'!$B$293,MONTH(I$3)=MONTH('01_Вводные'!$B$293)),1+I5,1)</f>
        <v/>
      </c>
      <c r="J4" s="194">
        <f>I4*IF(AND('01_Вводные'!$B$294="Да",J$3&gt;='01_Вводные'!$B$293,MONTH(J$3)=MONTH('01_Вводные'!$B$293)),1+J5,1)</f>
        <v/>
      </c>
      <c r="K4" s="194">
        <f>J4*IF(AND('01_Вводные'!$B$294="Да",K$3&gt;='01_Вводные'!$B$293,MONTH(K$3)=MONTH('01_Вводные'!$B$293)),1+K5,1)</f>
        <v/>
      </c>
      <c r="L4" s="194">
        <f>K4*IF(AND('01_Вводные'!$B$294="Да",L$3&gt;='01_Вводные'!$B$293,MONTH(L$3)=MONTH('01_Вводные'!$B$293)),1+L5,1)</f>
        <v/>
      </c>
      <c r="M4" s="194">
        <f>L4*IF(AND('01_Вводные'!$B$294="Да",M$3&gt;='01_Вводные'!$B$293,MONTH(M$3)=MONTH('01_Вводные'!$B$293)),1+M5,1)</f>
        <v/>
      </c>
      <c r="N4" s="194">
        <f>M4*IF(AND('01_Вводные'!$B$294="Да",N$3&gt;='01_Вводные'!$B$293,MONTH(N$3)=MONTH('01_Вводные'!$B$293)),1+N5,1)</f>
        <v/>
      </c>
      <c r="O4" s="194">
        <f>N4*IF(AND('01_Вводные'!$B$294="Да",O$3&gt;='01_Вводные'!$B$293,MONTH(O$3)=MONTH('01_Вводные'!$B$293)),1+O5,1)</f>
        <v/>
      </c>
      <c r="P4" s="194">
        <f>O4*IF(AND('01_Вводные'!$B$294="Да",P$3&gt;='01_Вводные'!$B$293,MONTH(P$3)=MONTH('01_Вводные'!$B$293)),1+P5,1)</f>
        <v/>
      </c>
      <c r="Q4" s="194">
        <f>P4*IF(AND('01_Вводные'!$B$294="Да",Q$3&gt;='01_Вводные'!$B$293,MONTH(Q$3)=MONTH('01_Вводные'!$B$293)),1+Q5,1)</f>
        <v/>
      </c>
      <c r="R4" s="194">
        <f>Q4*IF(AND('01_Вводные'!$B$294="Да",R$3&gt;='01_Вводные'!$B$293,MONTH(R$3)=MONTH('01_Вводные'!$B$293)),1+R5,1)</f>
        <v/>
      </c>
      <c r="S4" s="194">
        <f>R4*IF(AND('01_Вводные'!$B$294="Да",S$3&gt;='01_Вводные'!$B$293,MONTH(S$3)=MONTH('01_Вводные'!$B$293)),1+S5,1)</f>
        <v/>
      </c>
      <c r="T4" s="194">
        <f>S4*IF(AND('01_Вводные'!$B$294="Да",T$3&gt;='01_Вводные'!$B$293,MONTH(T$3)=MONTH('01_Вводные'!$B$293)),1+T5,1)</f>
        <v/>
      </c>
      <c r="U4" s="194">
        <f>T4*IF(AND('01_Вводные'!$B$294="Да",U$3&gt;='01_Вводные'!$B$293,MONTH(U$3)=MONTH('01_Вводные'!$B$293)),1+U5,1)</f>
        <v/>
      </c>
      <c r="V4" s="194">
        <f>U4*IF(AND('01_Вводные'!$B$294="Да",V$3&gt;='01_Вводные'!$B$293,MONTH(V$3)=MONTH('01_Вводные'!$B$293)),1+V5,1)</f>
        <v/>
      </c>
      <c r="W4" s="194">
        <f>V4*IF(AND('01_Вводные'!$B$294="Да",W$3&gt;='01_Вводные'!$B$293,MONTH(W$3)=MONTH('01_Вводные'!$B$293)),1+W5,1)</f>
        <v/>
      </c>
      <c r="X4" s="194">
        <f>W4*IF(AND('01_Вводные'!$B$294="Да",X$3&gt;='01_Вводные'!$B$293,MONTH(X$3)=MONTH('01_Вводные'!$B$293)),1+X5,1)</f>
        <v/>
      </c>
      <c r="Y4" s="194">
        <f>X4*IF(AND('01_Вводные'!$B$294="Да",Y$3&gt;='01_Вводные'!$B$293,MONTH(Y$3)=MONTH('01_Вводные'!$B$293)),1+Y5,1)</f>
        <v/>
      </c>
      <c r="Z4" s="194">
        <f>Y4*IF(AND('01_Вводные'!$B$294="Да",Z$3&gt;='01_Вводные'!$B$293,MONTH(Z$3)=MONTH('01_Вводные'!$B$293)),1+Z5,1)</f>
        <v/>
      </c>
      <c r="AA4" s="194">
        <f>Z4*IF(AND('01_Вводные'!$B$294="Да",AA$3&gt;='01_Вводные'!$B$293,MONTH(AA$3)=MONTH('01_Вводные'!$B$293)),1+AA5,1)</f>
        <v/>
      </c>
      <c r="AB4" s="194">
        <f>AA4*IF(AND('01_Вводные'!$B$294="Да",AB$3&gt;='01_Вводные'!$B$293,MONTH(AB$3)=MONTH('01_Вводные'!$B$293)),1+AB5,1)</f>
        <v/>
      </c>
      <c r="AC4" s="194">
        <f>AB4*IF(AND('01_Вводные'!$B$294="Да",AC$3&gt;='01_Вводные'!$B$293,MONTH(AC$3)=MONTH('01_Вводные'!$B$293)),1+AC5,1)</f>
        <v/>
      </c>
      <c r="AD4" s="194">
        <f>AC4*IF(AND('01_Вводные'!$B$294="Да",AD$3&gt;='01_Вводные'!$B$293,MONTH(AD$3)=MONTH('01_Вводные'!$B$293)),1+AD5,1)</f>
        <v/>
      </c>
      <c r="AE4" s="194">
        <f>AD4*IF(AND('01_Вводные'!$B$294="Да",AE$3&gt;='01_Вводные'!$B$293,MONTH(AE$3)=MONTH('01_Вводные'!$B$293)),1+AE5,1)</f>
        <v/>
      </c>
      <c r="AF4" s="194">
        <f>AE4*IF(AND('01_Вводные'!$B$294="Да",AF$3&gt;='01_Вводные'!$B$293,MONTH(AF$3)=MONTH('01_Вводные'!$B$293)),1+AF5,1)</f>
        <v/>
      </c>
      <c r="AG4" s="194">
        <f>AF4*IF(AND('01_Вводные'!$B$294="Да",AG$3&gt;='01_Вводные'!$B$293,MONTH(AG$3)=MONTH('01_Вводные'!$B$293)),1+AG5,1)</f>
        <v/>
      </c>
      <c r="AH4" s="194">
        <f>AG4*IF(AND('01_Вводные'!$B$294="Да",AH$3&gt;='01_Вводные'!$B$293,MONTH(AH$3)=MONTH('01_Вводные'!$B$293)),1+AH5,1)</f>
        <v/>
      </c>
      <c r="AI4" s="194">
        <f>AH4*IF(AND('01_Вводные'!$B$294="Да",AI$3&gt;='01_Вводные'!$B$293,MONTH(AI$3)=MONTH('01_Вводные'!$B$293)),1+AI5,1)</f>
        <v/>
      </c>
      <c r="AJ4" s="194">
        <f>AI4*IF(AND('01_Вводные'!$B$294="Да",AJ$3&gt;='01_Вводные'!$B$293,MONTH(AJ$3)=MONTH('01_Вводные'!$B$293)),1+AJ5,1)</f>
        <v/>
      </c>
      <c r="AK4" s="194">
        <f>AJ4*IF(AND('01_Вводные'!$B$294="Да",AK$3&gt;='01_Вводные'!$B$293,MONTH(AK$3)=MONTH('01_Вводные'!$B$293)),1+AK5,1)</f>
        <v/>
      </c>
      <c r="AL4" s="194">
        <f>AK4*IF(AND('01_Вводные'!$B$294="Да",AL$3&gt;='01_Вводные'!$B$293,MONTH(AL$3)=MONTH('01_Вводные'!$B$293)),1+AL5,1)</f>
        <v/>
      </c>
      <c r="AM4" s="194">
        <f>AL4*IF(AND('01_Вводные'!$B$294="Да",AM$3&gt;='01_Вводные'!$B$293,MONTH(AM$3)=MONTH('01_Вводные'!$B$293)),1+AM5,1)</f>
        <v/>
      </c>
      <c r="AN4" s="194">
        <f>AM4*IF(AND('01_Вводные'!$B$294="Да",AN$3&gt;='01_Вводные'!$B$293,MONTH(AN$3)=MONTH('01_Вводные'!$B$293)),1+AN5,1)</f>
        <v/>
      </c>
      <c r="AO4" s="194">
        <f>AN4*IF(AND('01_Вводные'!$B$294="Да",AO$3&gt;='01_Вводные'!$B$293,MONTH(AO$3)=MONTH('01_Вводные'!$B$293)),1+AO5,1)</f>
        <v/>
      </c>
      <c r="AP4" s="194">
        <f>AO4*IF(AND('01_Вводные'!$B$294="Да",AP$3&gt;='01_Вводные'!$B$293,MONTH(AP$3)=MONTH('01_Вводные'!$B$293)),1+AP5,1)</f>
        <v/>
      </c>
      <c r="AQ4" s="194">
        <f>AP4*IF(AND('01_Вводные'!$B$294="Да",AQ$3&gt;='01_Вводные'!$B$293,MONTH(AQ$3)=MONTH('01_Вводные'!$B$293)),1+AQ5,1)</f>
        <v/>
      </c>
      <c r="AR4" s="194">
        <f>AQ4*IF(AND('01_Вводные'!$B$294="Да",AR$3&gt;='01_Вводные'!$B$293,MONTH(AR$3)=MONTH('01_Вводные'!$B$293)),1+AR5,1)</f>
        <v/>
      </c>
      <c r="AS4" s="194">
        <f>AR4*IF(AND('01_Вводные'!$B$294="Да",AS$3&gt;='01_Вводные'!$B$293,MONTH(AS$3)=MONTH('01_Вводные'!$B$293)),1+AS5,1)</f>
        <v/>
      </c>
      <c r="AT4" s="194">
        <f>AS4*IF(AND('01_Вводные'!$B$294="Да",AT$3&gt;='01_Вводные'!$B$293,MONTH(AT$3)=MONTH('01_Вводные'!$B$293)),1+AT5,1)</f>
        <v/>
      </c>
      <c r="AU4" s="194">
        <f>AT4*IF(AND('01_Вводные'!$B$294="Да",AU$3&gt;='01_Вводные'!$B$293,MONTH(AU$3)=MONTH('01_Вводные'!$B$293)),1+AU5,1)</f>
        <v/>
      </c>
      <c r="AV4" s="194">
        <f>AU4*IF(AND('01_Вводные'!$B$294="Да",AV$3&gt;='01_Вводные'!$B$293,MONTH(AV$3)=MONTH('01_Вводные'!$B$293)),1+AV5,1)</f>
        <v/>
      </c>
      <c r="AW4" s="194">
        <f>AV4*IF(AND('01_Вводные'!$B$294="Да",AW$3&gt;='01_Вводные'!$B$293,MONTH(AW$3)=MONTH('01_Вводные'!$B$293)),1+AW5,1)</f>
        <v/>
      </c>
      <c r="AX4" s="194">
        <f>AW4*IF(AND('01_Вводные'!$B$294="Да",AX$3&gt;='01_Вводные'!$B$293,MONTH(AX$3)=MONTH('01_Вводные'!$B$293)),1+AX5,1)</f>
        <v/>
      </c>
      <c r="AY4" s="194">
        <f>AX4*IF(AND('01_Вводные'!$B$294="Да",AY$3&gt;='01_Вводные'!$B$293,MONTH(AY$3)=MONTH('01_Вводные'!$B$293)),1+AY5,1)</f>
        <v/>
      </c>
      <c r="AZ4" s="194">
        <f>AY4*IF(AND('01_Вводные'!$B$294="Да",AZ$3&gt;='01_Вводные'!$B$293,MONTH(AZ$3)=MONTH('01_Вводные'!$B$293)),1+AZ5,1)</f>
        <v/>
      </c>
      <c r="BA4" s="194">
        <f>AZ4*IF(AND('01_Вводные'!$B$294="Да",BA$3&gt;='01_Вводные'!$B$293,MONTH(BA$3)=MONTH('01_Вводные'!$B$293)),1+BA5,1)</f>
        <v/>
      </c>
      <c r="BB4" s="194">
        <f>BA4*IF(AND('01_Вводные'!$B$294="Да",BB$3&gt;='01_Вводные'!$B$293,MONTH(BB$3)=MONTH('01_Вводные'!$B$293)),1+BB5,1)</f>
        <v/>
      </c>
      <c r="BC4" s="194">
        <f>BB4*IF(AND('01_Вводные'!$B$294="Да",BC$3&gt;='01_Вводные'!$B$293,MONTH(BC$3)=MONTH('01_Вводные'!$B$293)),1+BC5,1)</f>
        <v/>
      </c>
      <c r="BD4" s="194">
        <f>BC4*IF(AND('01_Вводные'!$B$294="Да",BD$3&gt;='01_Вводные'!$B$293,MONTH(BD$3)=MONTH('01_Вводные'!$B$293)),1+BD5,1)</f>
        <v/>
      </c>
      <c r="BE4" s="194">
        <f>BD4*IF(AND('01_Вводные'!$B$294="Да",BE$3&gt;='01_Вводные'!$B$293,MONTH(BE$3)=MONTH('01_Вводные'!$B$293)),1+BE5,1)</f>
        <v/>
      </c>
      <c r="BF4" s="194">
        <f>BE4*IF(AND('01_Вводные'!$B$294="Да",BF$3&gt;='01_Вводные'!$B$293,MONTH(BF$3)=MONTH('01_Вводные'!$B$293)),1+BF5,1)</f>
        <v/>
      </c>
      <c r="BG4" s="194">
        <f>BF4*IF(AND('01_Вводные'!$B$294="Да",BG$3&gt;='01_Вводные'!$B$293,MONTH(BG$3)=MONTH('01_Вводные'!$B$293)),1+BG5,1)</f>
        <v/>
      </c>
      <c r="BH4" s="194">
        <f>BG4*IF(AND('01_Вводные'!$B$294="Да",BH$3&gt;='01_Вводные'!$B$293,MONTH(BH$3)=MONTH('01_Вводные'!$B$293)),1+BH5,1)</f>
        <v/>
      </c>
      <c r="BI4" s="194">
        <f>BH4*IF(AND('01_Вводные'!$B$294="Да",BI$3&gt;='01_Вводные'!$B$293,MONTH(BI$3)=MONTH('01_Вводные'!$B$293)),1+BI5,1)</f>
        <v/>
      </c>
      <c r="BJ4" s="194">
        <f>BI4*IF(AND('01_Вводные'!$B$294="Да",BJ$3&gt;='01_Вводные'!$B$293,MONTH(BJ$3)=MONTH('01_Вводные'!$B$293)),1+BJ5,1)</f>
        <v/>
      </c>
      <c r="BK4" s="194">
        <f>BJ4*IF(AND('01_Вводные'!$B$294="Да",BK$3&gt;='01_Вводные'!$B$293,MONTH(BK$3)=MONTH('01_Вводные'!$B$293)),1+BK5,1)</f>
        <v/>
      </c>
      <c r="BL4" s="194">
        <f>BK4*IF(AND('01_Вводные'!$B$294="Да",BL$3&gt;='01_Вводные'!$B$293,MONTH(BL$3)=MONTH('01_Вводные'!$B$293)),1+BL5,1)</f>
        <v/>
      </c>
      <c r="BM4" s="194">
        <f>BL4*IF(AND('01_Вводные'!$B$294="Да",BM$3&gt;='01_Вводные'!$B$293,MONTH(BM$3)=MONTH('01_Вводные'!$B$293)),1+BM5,1)</f>
        <v/>
      </c>
      <c r="BN4" s="194">
        <f>BM4*IF(AND('01_Вводные'!$B$294="Да",BN$3&gt;='01_Вводные'!$B$293,MONTH(BN$3)=MONTH('01_Вводные'!$B$293)),1+BN5,1)</f>
        <v/>
      </c>
      <c r="BO4" s="194">
        <f>BN4*IF(AND('01_Вводные'!$B$294="Да",BO$3&gt;='01_Вводные'!$B$293,MONTH(BO$3)=MONTH('01_Вводные'!$B$293)),1+BO5,1)</f>
        <v/>
      </c>
    </row>
    <row r="5">
      <c r="A5" s="192" t="inlineStr">
        <is>
          <t>Инфляция года</t>
        </is>
      </c>
      <c r="B5" s="194">
        <f>SUMIF('01_Вводные'!$A$301:$A$307,YEAR(B$3),'01_Вводные'!$B$301:$B$307)</f>
        <v/>
      </c>
      <c r="C5" s="194">
        <f>SUMIF('01_Вводные'!$A$301:$A$307,YEAR(C$3),'01_Вводные'!$B$301:$B$307)</f>
        <v/>
      </c>
      <c r="D5" s="194">
        <f>SUMIF('01_Вводные'!$A$301:$A$307,YEAR(D$3),'01_Вводные'!$B$301:$B$307)</f>
        <v/>
      </c>
      <c r="E5" s="194">
        <f>SUMIF('01_Вводные'!$A$301:$A$307,YEAR(E$3),'01_Вводные'!$B$301:$B$307)</f>
        <v/>
      </c>
      <c r="F5" s="194">
        <f>SUMIF('01_Вводные'!$A$301:$A$307,YEAR(F$3),'01_Вводные'!$B$301:$B$307)</f>
        <v/>
      </c>
      <c r="G5" s="194">
        <f>SUMIF('01_Вводные'!$A$301:$A$307,YEAR(G$3),'01_Вводные'!$B$301:$B$307)</f>
        <v/>
      </c>
      <c r="H5" s="194">
        <f>SUMIF('01_Вводные'!$A$301:$A$307,YEAR(H$3),'01_Вводные'!$B$301:$B$307)</f>
        <v/>
      </c>
      <c r="I5" s="194">
        <f>SUMIF('01_Вводные'!$A$301:$A$307,YEAR(I$3),'01_Вводные'!$B$301:$B$307)</f>
        <v/>
      </c>
      <c r="J5" s="194">
        <f>SUMIF('01_Вводные'!$A$301:$A$307,YEAR(J$3),'01_Вводные'!$B$301:$B$307)</f>
        <v/>
      </c>
      <c r="K5" s="194">
        <f>SUMIF('01_Вводные'!$A$301:$A$307,YEAR(K$3),'01_Вводные'!$B$301:$B$307)</f>
        <v/>
      </c>
      <c r="L5" s="194">
        <f>SUMIF('01_Вводные'!$A$301:$A$307,YEAR(L$3),'01_Вводные'!$B$301:$B$307)</f>
        <v/>
      </c>
      <c r="M5" s="194">
        <f>SUMIF('01_Вводные'!$A$301:$A$307,YEAR(M$3),'01_Вводные'!$B$301:$B$307)</f>
        <v/>
      </c>
      <c r="N5" s="194">
        <f>SUMIF('01_Вводные'!$A$301:$A$307,YEAR(N$3),'01_Вводные'!$B$301:$B$307)</f>
        <v/>
      </c>
      <c r="O5" s="194">
        <f>SUMIF('01_Вводные'!$A$301:$A$307,YEAR(O$3),'01_Вводные'!$B$301:$B$307)</f>
        <v/>
      </c>
      <c r="P5" s="194">
        <f>SUMIF('01_Вводные'!$A$301:$A$307,YEAR(P$3),'01_Вводные'!$B$301:$B$307)</f>
        <v/>
      </c>
      <c r="Q5" s="194">
        <f>SUMIF('01_Вводные'!$A$301:$A$307,YEAR(Q$3),'01_Вводные'!$B$301:$B$307)</f>
        <v/>
      </c>
      <c r="R5" s="194">
        <f>SUMIF('01_Вводные'!$A$301:$A$307,YEAR(R$3),'01_Вводные'!$B$301:$B$307)</f>
        <v/>
      </c>
      <c r="S5" s="194">
        <f>SUMIF('01_Вводные'!$A$301:$A$307,YEAR(S$3),'01_Вводные'!$B$301:$B$307)</f>
        <v/>
      </c>
      <c r="T5" s="194">
        <f>SUMIF('01_Вводные'!$A$301:$A$307,YEAR(T$3),'01_Вводные'!$B$301:$B$307)</f>
        <v/>
      </c>
      <c r="U5" s="194">
        <f>SUMIF('01_Вводные'!$A$301:$A$307,YEAR(U$3),'01_Вводные'!$B$301:$B$307)</f>
        <v/>
      </c>
      <c r="V5" s="194">
        <f>SUMIF('01_Вводные'!$A$301:$A$307,YEAR(V$3),'01_Вводные'!$B$301:$B$307)</f>
        <v/>
      </c>
      <c r="W5" s="194">
        <f>SUMIF('01_Вводные'!$A$301:$A$307,YEAR(W$3),'01_Вводные'!$B$301:$B$307)</f>
        <v/>
      </c>
      <c r="X5" s="194">
        <f>SUMIF('01_Вводные'!$A$301:$A$307,YEAR(X$3),'01_Вводные'!$B$301:$B$307)</f>
        <v/>
      </c>
      <c r="Y5" s="194">
        <f>SUMIF('01_Вводные'!$A$301:$A$307,YEAR(Y$3),'01_Вводные'!$B$301:$B$307)</f>
        <v/>
      </c>
      <c r="Z5" s="194">
        <f>SUMIF('01_Вводные'!$A$301:$A$307,YEAR(Z$3),'01_Вводные'!$B$301:$B$307)</f>
        <v/>
      </c>
      <c r="AA5" s="194">
        <f>SUMIF('01_Вводные'!$A$301:$A$307,YEAR(AA$3),'01_Вводные'!$B$301:$B$307)</f>
        <v/>
      </c>
      <c r="AB5" s="194">
        <f>SUMIF('01_Вводные'!$A$301:$A$307,YEAR(AB$3),'01_Вводные'!$B$301:$B$307)</f>
        <v/>
      </c>
      <c r="AC5" s="194">
        <f>SUMIF('01_Вводные'!$A$301:$A$307,YEAR(AC$3),'01_Вводные'!$B$301:$B$307)</f>
        <v/>
      </c>
      <c r="AD5" s="194">
        <f>SUMIF('01_Вводные'!$A$301:$A$307,YEAR(AD$3),'01_Вводные'!$B$301:$B$307)</f>
        <v/>
      </c>
      <c r="AE5" s="194">
        <f>SUMIF('01_Вводные'!$A$301:$A$307,YEAR(AE$3),'01_Вводные'!$B$301:$B$307)</f>
        <v/>
      </c>
      <c r="AF5" s="194">
        <f>SUMIF('01_Вводные'!$A$301:$A$307,YEAR(AF$3),'01_Вводные'!$B$301:$B$307)</f>
        <v/>
      </c>
      <c r="AG5" s="194">
        <f>SUMIF('01_Вводные'!$A$301:$A$307,YEAR(AG$3),'01_Вводные'!$B$301:$B$307)</f>
        <v/>
      </c>
      <c r="AH5" s="194">
        <f>SUMIF('01_Вводные'!$A$301:$A$307,YEAR(AH$3),'01_Вводные'!$B$301:$B$307)</f>
        <v/>
      </c>
      <c r="AI5" s="194">
        <f>SUMIF('01_Вводные'!$A$301:$A$307,YEAR(AI$3),'01_Вводные'!$B$301:$B$307)</f>
        <v/>
      </c>
      <c r="AJ5" s="194">
        <f>SUMIF('01_Вводные'!$A$301:$A$307,YEAR(AJ$3),'01_Вводные'!$B$301:$B$307)</f>
        <v/>
      </c>
      <c r="AK5" s="194">
        <f>SUMIF('01_Вводные'!$A$301:$A$307,YEAR(AK$3),'01_Вводные'!$B$301:$B$307)</f>
        <v/>
      </c>
      <c r="AL5" s="194">
        <f>SUMIF('01_Вводные'!$A$301:$A$307,YEAR(AL$3),'01_Вводные'!$B$301:$B$307)</f>
        <v/>
      </c>
      <c r="AM5" s="194">
        <f>SUMIF('01_Вводные'!$A$301:$A$307,YEAR(AM$3),'01_Вводные'!$B$301:$B$307)</f>
        <v/>
      </c>
      <c r="AN5" s="194">
        <f>SUMIF('01_Вводные'!$A$301:$A$307,YEAR(AN$3),'01_Вводные'!$B$301:$B$307)</f>
        <v/>
      </c>
      <c r="AO5" s="194">
        <f>SUMIF('01_Вводные'!$A$301:$A$307,YEAR(AO$3),'01_Вводные'!$B$301:$B$307)</f>
        <v/>
      </c>
      <c r="AP5" s="194">
        <f>SUMIF('01_Вводные'!$A$301:$A$307,YEAR(AP$3),'01_Вводные'!$B$301:$B$307)</f>
        <v/>
      </c>
      <c r="AQ5" s="194">
        <f>SUMIF('01_Вводные'!$A$301:$A$307,YEAR(AQ$3),'01_Вводные'!$B$301:$B$307)</f>
        <v/>
      </c>
      <c r="AR5" s="194">
        <f>SUMIF('01_Вводные'!$A$301:$A$307,YEAR(AR$3),'01_Вводные'!$B$301:$B$307)</f>
        <v/>
      </c>
      <c r="AS5" s="194">
        <f>SUMIF('01_Вводные'!$A$301:$A$307,YEAR(AS$3),'01_Вводные'!$B$301:$B$307)</f>
        <v/>
      </c>
      <c r="AT5" s="194">
        <f>SUMIF('01_Вводные'!$A$301:$A$307,YEAR(AT$3),'01_Вводные'!$B$301:$B$307)</f>
        <v/>
      </c>
      <c r="AU5" s="194">
        <f>SUMIF('01_Вводные'!$A$301:$A$307,YEAR(AU$3),'01_Вводные'!$B$301:$B$307)</f>
        <v/>
      </c>
      <c r="AV5" s="194">
        <f>SUMIF('01_Вводные'!$A$301:$A$307,YEAR(AV$3),'01_Вводные'!$B$301:$B$307)</f>
        <v/>
      </c>
      <c r="AW5" s="194">
        <f>SUMIF('01_Вводные'!$A$301:$A$307,YEAR(AW$3),'01_Вводные'!$B$301:$B$307)</f>
        <v/>
      </c>
      <c r="AX5" s="194">
        <f>SUMIF('01_Вводные'!$A$301:$A$307,YEAR(AX$3),'01_Вводные'!$B$301:$B$307)</f>
        <v/>
      </c>
      <c r="AY5" s="194">
        <f>SUMIF('01_Вводные'!$A$301:$A$307,YEAR(AY$3),'01_Вводные'!$B$301:$B$307)</f>
        <v/>
      </c>
      <c r="AZ5" s="194">
        <f>SUMIF('01_Вводные'!$A$301:$A$307,YEAR(AZ$3),'01_Вводные'!$B$301:$B$307)</f>
        <v/>
      </c>
      <c r="BA5" s="194">
        <f>SUMIF('01_Вводные'!$A$301:$A$307,YEAR(BA$3),'01_Вводные'!$B$301:$B$307)</f>
        <v/>
      </c>
      <c r="BB5" s="194">
        <f>SUMIF('01_Вводные'!$A$301:$A$307,YEAR(BB$3),'01_Вводные'!$B$301:$B$307)</f>
        <v/>
      </c>
      <c r="BC5" s="194">
        <f>SUMIF('01_Вводные'!$A$301:$A$307,YEAR(BC$3),'01_Вводные'!$B$301:$B$307)</f>
        <v/>
      </c>
      <c r="BD5" s="194">
        <f>SUMIF('01_Вводные'!$A$301:$A$307,YEAR(BD$3),'01_Вводные'!$B$301:$B$307)</f>
        <v/>
      </c>
      <c r="BE5" s="194">
        <f>SUMIF('01_Вводные'!$A$301:$A$307,YEAR(BE$3),'01_Вводные'!$B$301:$B$307)</f>
        <v/>
      </c>
      <c r="BF5" s="194">
        <f>SUMIF('01_Вводные'!$A$301:$A$307,YEAR(BF$3),'01_Вводные'!$B$301:$B$307)</f>
        <v/>
      </c>
      <c r="BG5" s="194">
        <f>SUMIF('01_Вводные'!$A$301:$A$307,YEAR(BG$3),'01_Вводные'!$B$301:$B$307)</f>
        <v/>
      </c>
      <c r="BH5" s="194">
        <f>SUMIF('01_Вводные'!$A$301:$A$307,YEAR(BH$3),'01_Вводные'!$B$301:$B$307)</f>
        <v/>
      </c>
      <c r="BI5" s="194">
        <f>SUMIF('01_Вводные'!$A$301:$A$307,YEAR(BI$3),'01_Вводные'!$B$301:$B$307)</f>
        <v/>
      </c>
      <c r="BJ5" s="194">
        <f>SUMIF('01_Вводные'!$A$301:$A$307,YEAR(BJ$3),'01_Вводные'!$B$301:$B$307)</f>
        <v/>
      </c>
      <c r="BK5" s="194">
        <f>SUMIF('01_Вводные'!$A$301:$A$307,YEAR(BK$3),'01_Вводные'!$B$301:$B$307)</f>
        <v/>
      </c>
      <c r="BL5" s="194">
        <f>SUMIF('01_Вводные'!$A$301:$A$307,YEAR(BL$3),'01_Вводные'!$B$301:$B$307)</f>
        <v/>
      </c>
      <c r="BM5" s="194">
        <f>SUMIF('01_Вводные'!$A$301:$A$307,YEAR(BM$3),'01_Вводные'!$B$301:$B$307)</f>
        <v/>
      </c>
      <c r="BN5" s="194">
        <f>SUMIF('01_Вводные'!$A$301:$A$307,YEAR(BN$3),'01_Вводные'!$B$301:$B$307)</f>
        <v/>
      </c>
      <c r="BO5" s="194">
        <f>SUMIF('01_Вводные'!$A$301:$A$307,YEAR(BO$3),'01_Вводные'!$B$301:$B$307)</f>
        <v/>
      </c>
    </row>
    <row r="6">
      <c r="A6" s="192" t="inlineStr">
        <is>
          <t>Паушальный, с НДС</t>
        </is>
      </c>
      <c r="B6" s="194">
        <f>INDEX('01_Вводные'!$B$63:$B$67,MIN(5,INT(0/12)+1),1)*B4</f>
        <v/>
      </c>
      <c r="C6" s="194">
        <f>INDEX('01_Вводные'!$B$63:$B$67,MIN(5,INT(1/12)+1),1)*C4</f>
        <v/>
      </c>
      <c r="D6" s="194">
        <f>INDEX('01_Вводные'!$B$63:$B$67,MIN(5,INT(2/12)+1),1)*D4</f>
        <v/>
      </c>
      <c r="E6" s="194">
        <f>INDEX('01_Вводные'!$B$63:$B$67,MIN(5,INT(3/12)+1),1)*E4</f>
        <v/>
      </c>
      <c r="F6" s="194">
        <f>INDEX('01_Вводные'!$B$63:$B$67,MIN(5,INT(4/12)+1),1)*F4</f>
        <v/>
      </c>
      <c r="G6" s="194">
        <f>INDEX('01_Вводные'!$B$63:$B$67,MIN(5,INT(5/12)+1),1)*G4</f>
        <v/>
      </c>
      <c r="H6" s="194">
        <f>INDEX('01_Вводные'!$B$63:$B$67,MIN(5,INT(6/12)+1),1)*H4</f>
        <v/>
      </c>
      <c r="I6" s="194">
        <f>INDEX('01_Вводные'!$B$63:$B$67,MIN(5,INT(7/12)+1),1)*I4</f>
        <v/>
      </c>
      <c r="J6" s="194">
        <f>INDEX('01_Вводные'!$B$63:$B$67,MIN(5,INT(8/12)+1),1)*J4</f>
        <v/>
      </c>
      <c r="K6" s="194">
        <f>INDEX('01_Вводные'!$B$63:$B$67,MIN(5,INT(9/12)+1),1)*K4</f>
        <v/>
      </c>
      <c r="L6" s="194">
        <f>INDEX('01_Вводные'!$B$63:$B$67,MIN(5,INT(10/12)+1),1)*L4</f>
        <v/>
      </c>
      <c r="M6" s="194">
        <f>INDEX('01_Вводные'!$B$63:$B$67,MIN(5,INT(11/12)+1),1)*M4</f>
        <v/>
      </c>
      <c r="N6" s="194">
        <f>INDEX('01_Вводные'!$B$63:$B$67,MIN(5,INT(12/12)+1),1)*N4</f>
        <v/>
      </c>
      <c r="O6" s="194">
        <f>INDEX('01_Вводные'!$B$63:$B$67,MIN(5,INT(13/12)+1),1)*O4</f>
        <v/>
      </c>
      <c r="P6" s="194">
        <f>INDEX('01_Вводные'!$B$63:$B$67,MIN(5,INT(14/12)+1),1)*P4</f>
        <v/>
      </c>
      <c r="Q6" s="194">
        <f>INDEX('01_Вводные'!$B$63:$B$67,MIN(5,INT(15/12)+1),1)*Q4</f>
        <v/>
      </c>
      <c r="R6" s="194">
        <f>INDEX('01_Вводные'!$B$63:$B$67,MIN(5,INT(16/12)+1),1)*R4</f>
        <v/>
      </c>
      <c r="S6" s="194">
        <f>INDEX('01_Вводные'!$B$63:$B$67,MIN(5,INT(17/12)+1),1)*S4</f>
        <v/>
      </c>
      <c r="T6" s="194">
        <f>INDEX('01_Вводные'!$B$63:$B$67,MIN(5,INT(18/12)+1),1)*T4</f>
        <v/>
      </c>
      <c r="U6" s="194">
        <f>INDEX('01_Вводные'!$B$63:$B$67,MIN(5,INT(19/12)+1),1)*U4</f>
        <v/>
      </c>
      <c r="V6" s="194">
        <f>INDEX('01_Вводные'!$B$63:$B$67,MIN(5,INT(20/12)+1),1)*V4</f>
        <v/>
      </c>
      <c r="W6" s="194">
        <f>INDEX('01_Вводные'!$B$63:$B$67,MIN(5,INT(21/12)+1),1)*W4</f>
        <v/>
      </c>
      <c r="X6" s="194">
        <f>INDEX('01_Вводные'!$B$63:$B$67,MIN(5,INT(22/12)+1),1)*X4</f>
        <v/>
      </c>
      <c r="Y6" s="194">
        <f>INDEX('01_Вводные'!$B$63:$B$67,MIN(5,INT(23/12)+1),1)*Y4</f>
        <v/>
      </c>
      <c r="Z6" s="194">
        <f>INDEX('01_Вводные'!$B$63:$B$67,MIN(5,INT(24/12)+1),1)*Z4</f>
        <v/>
      </c>
      <c r="AA6" s="194">
        <f>INDEX('01_Вводные'!$B$63:$B$67,MIN(5,INT(25/12)+1),1)*AA4</f>
        <v/>
      </c>
      <c r="AB6" s="194">
        <f>INDEX('01_Вводные'!$B$63:$B$67,MIN(5,INT(26/12)+1),1)*AB4</f>
        <v/>
      </c>
      <c r="AC6" s="194">
        <f>INDEX('01_Вводные'!$B$63:$B$67,MIN(5,INT(27/12)+1),1)*AC4</f>
        <v/>
      </c>
      <c r="AD6" s="194">
        <f>INDEX('01_Вводные'!$B$63:$B$67,MIN(5,INT(28/12)+1),1)*AD4</f>
        <v/>
      </c>
      <c r="AE6" s="194">
        <f>INDEX('01_Вводные'!$B$63:$B$67,MIN(5,INT(29/12)+1),1)*AE4</f>
        <v/>
      </c>
      <c r="AF6" s="194">
        <f>INDEX('01_Вводные'!$B$63:$B$67,MIN(5,INT(30/12)+1),1)*AF4</f>
        <v/>
      </c>
      <c r="AG6" s="194">
        <f>INDEX('01_Вводные'!$B$63:$B$67,MIN(5,INT(31/12)+1),1)*AG4</f>
        <v/>
      </c>
      <c r="AH6" s="194">
        <f>INDEX('01_Вводные'!$B$63:$B$67,MIN(5,INT(32/12)+1),1)*AH4</f>
        <v/>
      </c>
      <c r="AI6" s="194">
        <f>INDEX('01_Вводные'!$B$63:$B$67,MIN(5,INT(33/12)+1),1)*AI4</f>
        <v/>
      </c>
      <c r="AJ6" s="194">
        <f>INDEX('01_Вводные'!$B$63:$B$67,MIN(5,INT(34/12)+1),1)*AJ4</f>
        <v/>
      </c>
      <c r="AK6" s="194">
        <f>INDEX('01_Вводные'!$B$63:$B$67,MIN(5,INT(35/12)+1),1)*AK4</f>
        <v/>
      </c>
      <c r="AL6" s="194">
        <f>INDEX('01_Вводные'!$B$63:$B$67,MIN(5,INT(36/12)+1),1)*AL4</f>
        <v/>
      </c>
      <c r="AM6" s="194">
        <f>INDEX('01_Вводные'!$B$63:$B$67,MIN(5,INT(37/12)+1),1)*AM4</f>
        <v/>
      </c>
      <c r="AN6" s="194">
        <f>INDEX('01_Вводные'!$B$63:$B$67,MIN(5,INT(38/12)+1),1)*AN4</f>
        <v/>
      </c>
      <c r="AO6" s="194">
        <f>INDEX('01_Вводные'!$B$63:$B$67,MIN(5,INT(39/12)+1),1)*AO4</f>
        <v/>
      </c>
      <c r="AP6" s="194">
        <f>INDEX('01_Вводные'!$B$63:$B$67,MIN(5,INT(40/12)+1),1)*AP4</f>
        <v/>
      </c>
      <c r="AQ6" s="194">
        <f>INDEX('01_Вводные'!$B$63:$B$67,MIN(5,INT(41/12)+1),1)*AQ4</f>
        <v/>
      </c>
      <c r="AR6" s="194">
        <f>INDEX('01_Вводные'!$B$63:$B$67,MIN(5,INT(42/12)+1),1)*AR4</f>
        <v/>
      </c>
      <c r="AS6" s="194">
        <f>INDEX('01_Вводные'!$B$63:$B$67,MIN(5,INT(43/12)+1),1)*AS4</f>
        <v/>
      </c>
      <c r="AT6" s="194">
        <f>INDEX('01_Вводные'!$B$63:$B$67,MIN(5,INT(44/12)+1),1)*AT4</f>
        <v/>
      </c>
      <c r="AU6" s="194">
        <f>INDEX('01_Вводные'!$B$63:$B$67,MIN(5,INT(45/12)+1),1)*AU4</f>
        <v/>
      </c>
      <c r="AV6" s="194">
        <f>INDEX('01_Вводные'!$B$63:$B$67,MIN(5,INT(46/12)+1),1)*AV4</f>
        <v/>
      </c>
      <c r="AW6" s="194">
        <f>INDEX('01_Вводные'!$B$63:$B$67,MIN(5,INT(47/12)+1),1)*AW4</f>
        <v/>
      </c>
      <c r="AX6" s="194">
        <f>INDEX('01_Вводные'!$B$63:$B$67,MIN(5,INT(48/12)+1),1)*AX4</f>
        <v/>
      </c>
      <c r="AY6" s="194">
        <f>INDEX('01_Вводные'!$B$63:$B$67,MIN(5,INT(49/12)+1),1)*AY4</f>
        <v/>
      </c>
      <c r="AZ6" s="194">
        <f>INDEX('01_Вводные'!$B$63:$B$67,MIN(5,INT(50/12)+1),1)*AZ4</f>
        <v/>
      </c>
      <c r="BA6" s="194">
        <f>INDEX('01_Вводные'!$B$63:$B$67,MIN(5,INT(51/12)+1),1)*BA4</f>
        <v/>
      </c>
      <c r="BB6" s="194">
        <f>INDEX('01_Вводные'!$B$63:$B$67,MIN(5,INT(52/12)+1),1)*BB4</f>
        <v/>
      </c>
      <c r="BC6" s="194">
        <f>INDEX('01_Вводные'!$B$63:$B$67,MIN(5,INT(53/12)+1),1)*BC4</f>
        <v/>
      </c>
      <c r="BD6" s="194">
        <f>INDEX('01_Вводные'!$B$63:$B$67,MIN(5,INT(54/12)+1),1)*BD4</f>
        <v/>
      </c>
      <c r="BE6" s="194">
        <f>INDEX('01_Вводные'!$B$63:$B$67,MIN(5,INT(55/12)+1),1)*BE4</f>
        <v/>
      </c>
      <c r="BF6" s="194">
        <f>INDEX('01_Вводные'!$B$63:$B$67,MIN(5,INT(56/12)+1),1)*BF4</f>
        <v/>
      </c>
      <c r="BG6" s="194">
        <f>INDEX('01_Вводные'!$B$63:$B$67,MIN(5,INT(57/12)+1),1)*BG4</f>
        <v/>
      </c>
      <c r="BH6" s="194">
        <f>INDEX('01_Вводные'!$B$63:$B$67,MIN(5,INT(58/12)+1),1)*BH4</f>
        <v/>
      </c>
      <c r="BI6" s="194">
        <f>INDEX('01_Вводные'!$B$63:$B$67,MIN(5,INT(59/12)+1),1)*BI4</f>
        <v/>
      </c>
      <c r="BJ6" s="194">
        <f>INDEX('01_Вводные'!$B$63:$B$67,MIN(5,INT(60/12)+1),1)*BJ4</f>
        <v/>
      </c>
      <c r="BK6" s="194">
        <f>INDEX('01_Вводные'!$B$63:$B$67,MIN(5,INT(61/12)+1),1)*BK4</f>
        <v/>
      </c>
      <c r="BL6" s="194">
        <f>INDEX('01_Вводные'!$B$63:$B$67,MIN(5,INT(62/12)+1),1)*BL4</f>
        <v/>
      </c>
      <c r="BM6" s="194">
        <f>INDEX('01_Вводные'!$B$63:$B$67,MIN(5,INT(63/12)+1),1)*BM4</f>
        <v/>
      </c>
      <c r="BN6" s="194">
        <f>INDEX('01_Вводные'!$B$63:$B$67,MIN(5,INT(64/12)+1),1)*BN4</f>
        <v/>
      </c>
      <c r="BO6" s="194">
        <f>INDEX('01_Вводные'!$B$63:$B$67,MIN(5,INT(65/12)+1),1)*BO4</f>
        <v/>
      </c>
    </row>
    <row r="7">
      <c r="A7" s="192" t="inlineStr">
        <is>
          <t>Абонемент новой школы</t>
        </is>
      </c>
      <c r="B7" s="194">
        <f>INDEX('01_Вводные'!$C$63:$C$67,MIN(5,INT(0/12)+1),1)*B4</f>
        <v/>
      </c>
      <c r="C7" s="194">
        <f>INDEX('01_Вводные'!$C$63:$C$67,MIN(5,INT(1/12)+1),1)*C4</f>
        <v/>
      </c>
      <c r="D7" s="194">
        <f>INDEX('01_Вводные'!$C$63:$C$67,MIN(5,INT(2/12)+1),1)*D4</f>
        <v/>
      </c>
      <c r="E7" s="194">
        <f>INDEX('01_Вводные'!$C$63:$C$67,MIN(5,INT(3/12)+1),1)*E4</f>
        <v/>
      </c>
      <c r="F7" s="194">
        <f>INDEX('01_Вводные'!$C$63:$C$67,MIN(5,INT(4/12)+1),1)*F4</f>
        <v/>
      </c>
      <c r="G7" s="194">
        <f>INDEX('01_Вводные'!$C$63:$C$67,MIN(5,INT(5/12)+1),1)*G4</f>
        <v/>
      </c>
      <c r="H7" s="194">
        <f>INDEX('01_Вводные'!$C$63:$C$67,MIN(5,INT(6/12)+1),1)*H4</f>
        <v/>
      </c>
      <c r="I7" s="194">
        <f>INDEX('01_Вводные'!$C$63:$C$67,MIN(5,INT(7/12)+1),1)*I4</f>
        <v/>
      </c>
      <c r="J7" s="194">
        <f>INDEX('01_Вводные'!$C$63:$C$67,MIN(5,INT(8/12)+1),1)*J4</f>
        <v/>
      </c>
      <c r="K7" s="194">
        <f>INDEX('01_Вводные'!$C$63:$C$67,MIN(5,INT(9/12)+1),1)*K4</f>
        <v/>
      </c>
      <c r="L7" s="194">
        <f>INDEX('01_Вводные'!$C$63:$C$67,MIN(5,INT(10/12)+1),1)*L4</f>
        <v/>
      </c>
      <c r="M7" s="194">
        <f>INDEX('01_Вводные'!$C$63:$C$67,MIN(5,INT(11/12)+1),1)*M4</f>
        <v/>
      </c>
      <c r="N7" s="194">
        <f>INDEX('01_Вводные'!$C$63:$C$67,MIN(5,INT(12/12)+1),1)*N4</f>
        <v/>
      </c>
      <c r="O7" s="194">
        <f>INDEX('01_Вводные'!$C$63:$C$67,MIN(5,INT(13/12)+1),1)*O4</f>
        <v/>
      </c>
      <c r="P7" s="194">
        <f>INDEX('01_Вводные'!$C$63:$C$67,MIN(5,INT(14/12)+1),1)*P4</f>
        <v/>
      </c>
      <c r="Q7" s="194">
        <f>INDEX('01_Вводные'!$C$63:$C$67,MIN(5,INT(15/12)+1),1)*Q4</f>
        <v/>
      </c>
      <c r="R7" s="194">
        <f>INDEX('01_Вводные'!$C$63:$C$67,MIN(5,INT(16/12)+1),1)*R4</f>
        <v/>
      </c>
      <c r="S7" s="194">
        <f>INDEX('01_Вводные'!$C$63:$C$67,MIN(5,INT(17/12)+1),1)*S4</f>
        <v/>
      </c>
      <c r="T7" s="194">
        <f>INDEX('01_Вводные'!$C$63:$C$67,MIN(5,INT(18/12)+1),1)*T4</f>
        <v/>
      </c>
      <c r="U7" s="194">
        <f>INDEX('01_Вводные'!$C$63:$C$67,MIN(5,INT(19/12)+1),1)*U4</f>
        <v/>
      </c>
      <c r="V7" s="194">
        <f>INDEX('01_Вводные'!$C$63:$C$67,MIN(5,INT(20/12)+1),1)*V4</f>
        <v/>
      </c>
      <c r="W7" s="194">
        <f>INDEX('01_Вводные'!$C$63:$C$67,MIN(5,INT(21/12)+1),1)*W4</f>
        <v/>
      </c>
      <c r="X7" s="194">
        <f>INDEX('01_Вводные'!$C$63:$C$67,MIN(5,INT(22/12)+1),1)*X4</f>
        <v/>
      </c>
      <c r="Y7" s="194">
        <f>INDEX('01_Вводные'!$C$63:$C$67,MIN(5,INT(23/12)+1),1)*Y4</f>
        <v/>
      </c>
      <c r="Z7" s="194">
        <f>INDEX('01_Вводные'!$C$63:$C$67,MIN(5,INT(24/12)+1),1)*Z4</f>
        <v/>
      </c>
      <c r="AA7" s="194">
        <f>INDEX('01_Вводные'!$C$63:$C$67,MIN(5,INT(25/12)+1),1)*AA4</f>
        <v/>
      </c>
      <c r="AB7" s="194">
        <f>INDEX('01_Вводные'!$C$63:$C$67,MIN(5,INT(26/12)+1),1)*AB4</f>
        <v/>
      </c>
      <c r="AC7" s="194">
        <f>INDEX('01_Вводные'!$C$63:$C$67,MIN(5,INT(27/12)+1),1)*AC4</f>
        <v/>
      </c>
      <c r="AD7" s="194">
        <f>INDEX('01_Вводные'!$C$63:$C$67,MIN(5,INT(28/12)+1),1)*AD4</f>
        <v/>
      </c>
      <c r="AE7" s="194">
        <f>INDEX('01_Вводные'!$C$63:$C$67,MIN(5,INT(29/12)+1),1)*AE4</f>
        <v/>
      </c>
      <c r="AF7" s="194">
        <f>INDEX('01_Вводные'!$C$63:$C$67,MIN(5,INT(30/12)+1),1)*AF4</f>
        <v/>
      </c>
      <c r="AG7" s="194">
        <f>INDEX('01_Вводные'!$C$63:$C$67,MIN(5,INT(31/12)+1),1)*AG4</f>
        <v/>
      </c>
      <c r="AH7" s="194">
        <f>INDEX('01_Вводные'!$C$63:$C$67,MIN(5,INT(32/12)+1),1)*AH4</f>
        <v/>
      </c>
      <c r="AI7" s="194">
        <f>INDEX('01_Вводные'!$C$63:$C$67,MIN(5,INT(33/12)+1),1)*AI4</f>
        <v/>
      </c>
      <c r="AJ7" s="194">
        <f>INDEX('01_Вводные'!$C$63:$C$67,MIN(5,INT(34/12)+1),1)*AJ4</f>
        <v/>
      </c>
      <c r="AK7" s="194">
        <f>INDEX('01_Вводные'!$C$63:$C$67,MIN(5,INT(35/12)+1),1)*AK4</f>
        <v/>
      </c>
      <c r="AL7" s="194">
        <f>INDEX('01_Вводные'!$C$63:$C$67,MIN(5,INT(36/12)+1),1)*AL4</f>
        <v/>
      </c>
      <c r="AM7" s="194">
        <f>INDEX('01_Вводные'!$C$63:$C$67,MIN(5,INT(37/12)+1),1)*AM4</f>
        <v/>
      </c>
      <c r="AN7" s="194">
        <f>INDEX('01_Вводные'!$C$63:$C$67,MIN(5,INT(38/12)+1),1)*AN4</f>
        <v/>
      </c>
      <c r="AO7" s="194">
        <f>INDEX('01_Вводные'!$C$63:$C$67,MIN(5,INT(39/12)+1),1)*AO4</f>
        <v/>
      </c>
      <c r="AP7" s="194">
        <f>INDEX('01_Вводные'!$C$63:$C$67,MIN(5,INT(40/12)+1),1)*AP4</f>
        <v/>
      </c>
      <c r="AQ7" s="194">
        <f>INDEX('01_Вводные'!$C$63:$C$67,MIN(5,INT(41/12)+1),1)*AQ4</f>
        <v/>
      </c>
      <c r="AR7" s="194">
        <f>INDEX('01_Вводные'!$C$63:$C$67,MIN(5,INT(42/12)+1),1)*AR4</f>
        <v/>
      </c>
      <c r="AS7" s="194">
        <f>INDEX('01_Вводные'!$C$63:$C$67,MIN(5,INT(43/12)+1),1)*AS4</f>
        <v/>
      </c>
      <c r="AT7" s="194">
        <f>INDEX('01_Вводные'!$C$63:$C$67,MIN(5,INT(44/12)+1),1)*AT4</f>
        <v/>
      </c>
      <c r="AU7" s="194">
        <f>INDEX('01_Вводные'!$C$63:$C$67,MIN(5,INT(45/12)+1),1)*AU4</f>
        <v/>
      </c>
      <c r="AV7" s="194">
        <f>INDEX('01_Вводные'!$C$63:$C$67,MIN(5,INT(46/12)+1),1)*AV4</f>
        <v/>
      </c>
      <c r="AW7" s="194">
        <f>INDEX('01_Вводные'!$C$63:$C$67,MIN(5,INT(47/12)+1),1)*AW4</f>
        <v/>
      </c>
      <c r="AX7" s="194">
        <f>INDEX('01_Вводные'!$C$63:$C$67,MIN(5,INT(48/12)+1),1)*AX4</f>
        <v/>
      </c>
      <c r="AY7" s="194">
        <f>INDEX('01_Вводные'!$C$63:$C$67,MIN(5,INT(49/12)+1),1)*AY4</f>
        <v/>
      </c>
      <c r="AZ7" s="194">
        <f>INDEX('01_Вводные'!$C$63:$C$67,MIN(5,INT(50/12)+1),1)*AZ4</f>
        <v/>
      </c>
      <c r="BA7" s="194">
        <f>INDEX('01_Вводные'!$C$63:$C$67,MIN(5,INT(51/12)+1),1)*BA4</f>
        <v/>
      </c>
      <c r="BB7" s="194">
        <f>INDEX('01_Вводные'!$C$63:$C$67,MIN(5,INT(52/12)+1),1)*BB4</f>
        <v/>
      </c>
      <c r="BC7" s="194">
        <f>INDEX('01_Вводные'!$C$63:$C$67,MIN(5,INT(53/12)+1),1)*BC4</f>
        <v/>
      </c>
      <c r="BD7" s="194">
        <f>INDEX('01_Вводные'!$C$63:$C$67,MIN(5,INT(54/12)+1),1)*BD4</f>
        <v/>
      </c>
      <c r="BE7" s="194">
        <f>INDEX('01_Вводные'!$C$63:$C$67,MIN(5,INT(55/12)+1),1)*BE4</f>
        <v/>
      </c>
      <c r="BF7" s="194">
        <f>INDEX('01_Вводные'!$C$63:$C$67,MIN(5,INT(56/12)+1),1)*BF4</f>
        <v/>
      </c>
      <c r="BG7" s="194">
        <f>INDEX('01_Вводные'!$C$63:$C$67,MIN(5,INT(57/12)+1),1)*BG4</f>
        <v/>
      </c>
      <c r="BH7" s="194">
        <f>INDEX('01_Вводные'!$C$63:$C$67,MIN(5,INT(58/12)+1),1)*BH4</f>
        <v/>
      </c>
      <c r="BI7" s="194">
        <f>INDEX('01_Вводные'!$C$63:$C$67,MIN(5,INT(59/12)+1),1)*BI4</f>
        <v/>
      </c>
      <c r="BJ7" s="194">
        <f>INDEX('01_Вводные'!$C$63:$C$67,MIN(5,INT(60/12)+1),1)*BJ4</f>
        <v/>
      </c>
      <c r="BK7" s="194">
        <f>INDEX('01_Вводные'!$C$63:$C$67,MIN(5,INT(61/12)+1),1)*BK4</f>
        <v/>
      </c>
      <c r="BL7" s="194">
        <f>INDEX('01_Вводные'!$C$63:$C$67,MIN(5,INT(62/12)+1),1)*BL4</f>
        <v/>
      </c>
      <c r="BM7" s="194">
        <f>INDEX('01_Вводные'!$C$63:$C$67,MIN(5,INT(63/12)+1),1)*BM4</f>
        <v/>
      </c>
      <c r="BN7" s="194">
        <f>INDEX('01_Вводные'!$C$63:$C$67,MIN(5,INT(64/12)+1),1)*BN4</f>
        <v/>
      </c>
      <c r="BO7" s="194">
        <f>INDEX('01_Вводные'!$C$63:$C$67,MIN(5,INT(65/12)+1),1)*BO4</f>
        <v/>
      </c>
    </row>
    <row r="8">
      <c r="A8" s="192" t="inlineStr">
        <is>
          <t>Абонемент действующей сети</t>
        </is>
      </c>
      <c r="B8" s="194">
        <f>'01_Вводные'!$B$51*B4</f>
        <v/>
      </c>
      <c r="C8" s="194">
        <f>'01_Вводные'!$B$51*C4</f>
        <v/>
      </c>
      <c r="D8" s="194">
        <f>'01_Вводные'!$B$51*D4</f>
        <v/>
      </c>
      <c r="E8" s="194">
        <f>'01_Вводные'!$B$51*E4</f>
        <v/>
      </c>
      <c r="F8" s="194">
        <f>'01_Вводные'!$B$51*F4</f>
        <v/>
      </c>
      <c r="G8" s="194">
        <f>'01_Вводные'!$B$51*G4</f>
        <v/>
      </c>
      <c r="H8" s="194">
        <f>'01_Вводные'!$B$51*H4</f>
        <v/>
      </c>
      <c r="I8" s="194">
        <f>'01_Вводные'!$B$51*I4</f>
        <v/>
      </c>
      <c r="J8" s="194">
        <f>'01_Вводные'!$B$51*J4</f>
        <v/>
      </c>
      <c r="K8" s="194">
        <f>'01_Вводные'!$B$51*K4</f>
        <v/>
      </c>
      <c r="L8" s="194">
        <f>'01_Вводные'!$B$51*L4</f>
        <v/>
      </c>
      <c r="M8" s="194">
        <f>'01_Вводные'!$B$51*M4</f>
        <v/>
      </c>
      <c r="N8" s="194">
        <f>'01_Вводные'!$B$51*N4</f>
        <v/>
      </c>
      <c r="O8" s="194">
        <f>'01_Вводные'!$B$51*O4</f>
        <v/>
      </c>
      <c r="P8" s="194">
        <f>'01_Вводные'!$B$51*P4</f>
        <v/>
      </c>
      <c r="Q8" s="194">
        <f>'01_Вводные'!$B$51*Q4</f>
        <v/>
      </c>
      <c r="R8" s="194">
        <f>'01_Вводные'!$B$51*R4</f>
        <v/>
      </c>
      <c r="S8" s="194">
        <f>'01_Вводные'!$B$51*S4</f>
        <v/>
      </c>
      <c r="T8" s="194">
        <f>'01_Вводные'!$B$51*T4</f>
        <v/>
      </c>
      <c r="U8" s="194">
        <f>'01_Вводные'!$B$51*U4</f>
        <v/>
      </c>
      <c r="V8" s="194">
        <f>'01_Вводные'!$B$51*V4</f>
        <v/>
      </c>
      <c r="W8" s="194">
        <f>'01_Вводные'!$B$51*W4</f>
        <v/>
      </c>
      <c r="X8" s="194">
        <f>'01_Вводные'!$B$51*X4</f>
        <v/>
      </c>
      <c r="Y8" s="194">
        <f>'01_Вводные'!$B$51*Y4</f>
        <v/>
      </c>
      <c r="Z8" s="194">
        <f>'01_Вводные'!$B$51*Z4</f>
        <v/>
      </c>
      <c r="AA8" s="194">
        <f>'01_Вводные'!$B$51*AA4</f>
        <v/>
      </c>
      <c r="AB8" s="194">
        <f>'01_Вводные'!$B$51*AB4</f>
        <v/>
      </c>
      <c r="AC8" s="194">
        <f>'01_Вводные'!$B$51*AC4</f>
        <v/>
      </c>
      <c r="AD8" s="194">
        <f>'01_Вводные'!$B$51*AD4</f>
        <v/>
      </c>
      <c r="AE8" s="194">
        <f>'01_Вводные'!$B$51*AE4</f>
        <v/>
      </c>
      <c r="AF8" s="194">
        <f>'01_Вводные'!$B$51*AF4</f>
        <v/>
      </c>
      <c r="AG8" s="194">
        <f>'01_Вводные'!$B$51*AG4</f>
        <v/>
      </c>
      <c r="AH8" s="194">
        <f>'01_Вводные'!$B$51*AH4</f>
        <v/>
      </c>
      <c r="AI8" s="194">
        <f>'01_Вводные'!$B$51*AI4</f>
        <v/>
      </c>
      <c r="AJ8" s="194">
        <f>'01_Вводные'!$B$51*AJ4</f>
        <v/>
      </c>
      <c r="AK8" s="194">
        <f>'01_Вводные'!$B$51*AK4</f>
        <v/>
      </c>
      <c r="AL8" s="194">
        <f>'01_Вводные'!$B$51*AL4</f>
        <v/>
      </c>
      <c r="AM8" s="194">
        <f>'01_Вводные'!$B$51*AM4</f>
        <v/>
      </c>
      <c r="AN8" s="194">
        <f>'01_Вводные'!$B$51*AN4</f>
        <v/>
      </c>
      <c r="AO8" s="194">
        <f>'01_Вводные'!$B$51*AO4</f>
        <v/>
      </c>
      <c r="AP8" s="194">
        <f>'01_Вводные'!$B$51*AP4</f>
        <v/>
      </c>
      <c r="AQ8" s="194">
        <f>'01_Вводные'!$B$51*AQ4</f>
        <v/>
      </c>
      <c r="AR8" s="194">
        <f>'01_Вводные'!$B$51*AR4</f>
        <v/>
      </c>
      <c r="AS8" s="194">
        <f>'01_Вводные'!$B$51*AS4</f>
        <v/>
      </c>
      <c r="AT8" s="194">
        <f>'01_Вводные'!$B$51*AT4</f>
        <v/>
      </c>
      <c r="AU8" s="194">
        <f>'01_Вводные'!$B$51*AU4</f>
        <v/>
      </c>
      <c r="AV8" s="194">
        <f>'01_Вводные'!$B$51*AV4</f>
        <v/>
      </c>
      <c r="AW8" s="194">
        <f>'01_Вводные'!$B$51*AW4</f>
        <v/>
      </c>
      <c r="AX8" s="194">
        <f>'01_Вводные'!$B$51*AX4</f>
        <v/>
      </c>
      <c r="AY8" s="194">
        <f>'01_Вводные'!$B$51*AY4</f>
        <v/>
      </c>
      <c r="AZ8" s="194">
        <f>'01_Вводные'!$B$51*AZ4</f>
        <v/>
      </c>
      <c r="BA8" s="194">
        <f>'01_Вводные'!$B$51*BA4</f>
        <v/>
      </c>
      <c r="BB8" s="194">
        <f>'01_Вводные'!$B$51*BB4</f>
        <v/>
      </c>
      <c r="BC8" s="194">
        <f>'01_Вводные'!$B$51*BC4</f>
        <v/>
      </c>
      <c r="BD8" s="194">
        <f>'01_Вводные'!$B$51*BD4</f>
        <v/>
      </c>
      <c r="BE8" s="194">
        <f>'01_Вводные'!$B$51*BE4</f>
        <v/>
      </c>
      <c r="BF8" s="194">
        <f>'01_Вводные'!$B$51*BF4</f>
        <v/>
      </c>
      <c r="BG8" s="194">
        <f>'01_Вводные'!$B$51*BG4</f>
        <v/>
      </c>
      <c r="BH8" s="194">
        <f>'01_Вводные'!$B$51*BH4</f>
        <v/>
      </c>
      <c r="BI8" s="194">
        <f>'01_Вводные'!$B$51*BI4</f>
        <v/>
      </c>
      <c r="BJ8" s="194">
        <f>'01_Вводные'!$B$51*BJ4</f>
        <v/>
      </c>
      <c r="BK8" s="194">
        <f>'01_Вводные'!$B$51*BK4</f>
        <v/>
      </c>
      <c r="BL8" s="194">
        <f>'01_Вводные'!$B$51*BL4</f>
        <v/>
      </c>
      <c r="BM8" s="194">
        <f>'01_Вводные'!$B$51*BM4</f>
        <v/>
      </c>
      <c r="BN8" s="194">
        <f>'01_Вводные'!$B$51*BN4</f>
        <v/>
      </c>
      <c r="BO8" s="194">
        <f>'01_Вводные'!$B$51*BO4</f>
        <v/>
      </c>
    </row>
    <row r="9">
      <c r="A9" s="192" t="inlineStr">
        <is>
          <t>Себестоимость комплекта</t>
        </is>
      </c>
      <c r="B9" s="194">
        <f>'01_Вводные'!$B$71*B4</f>
        <v/>
      </c>
      <c r="C9" s="194">
        <f>'01_Вводные'!$B$71*C4</f>
        <v/>
      </c>
      <c r="D9" s="194">
        <f>'01_Вводные'!$B$71*D4</f>
        <v/>
      </c>
      <c r="E9" s="194">
        <f>'01_Вводные'!$B$71*E4</f>
        <v/>
      </c>
      <c r="F9" s="194">
        <f>'01_Вводные'!$B$71*F4</f>
        <v/>
      </c>
      <c r="G9" s="194">
        <f>'01_Вводные'!$B$71*G4</f>
        <v/>
      </c>
      <c r="H9" s="194">
        <f>'01_Вводные'!$B$71*H4</f>
        <v/>
      </c>
      <c r="I9" s="194">
        <f>'01_Вводные'!$B$71*I4</f>
        <v/>
      </c>
      <c r="J9" s="194">
        <f>'01_Вводные'!$B$71*J4</f>
        <v/>
      </c>
      <c r="K9" s="194">
        <f>'01_Вводные'!$B$71*K4</f>
        <v/>
      </c>
      <c r="L9" s="194">
        <f>'01_Вводные'!$B$71*L4</f>
        <v/>
      </c>
      <c r="M9" s="194">
        <f>'01_Вводные'!$B$71*M4</f>
        <v/>
      </c>
      <c r="N9" s="194">
        <f>'01_Вводные'!$B$71*N4</f>
        <v/>
      </c>
      <c r="O9" s="194">
        <f>'01_Вводные'!$B$71*O4</f>
        <v/>
      </c>
      <c r="P9" s="194">
        <f>'01_Вводные'!$B$71*P4</f>
        <v/>
      </c>
      <c r="Q9" s="194">
        <f>'01_Вводные'!$B$71*Q4</f>
        <v/>
      </c>
      <c r="R9" s="194">
        <f>'01_Вводные'!$B$71*R4</f>
        <v/>
      </c>
      <c r="S9" s="194">
        <f>'01_Вводные'!$B$71*S4</f>
        <v/>
      </c>
      <c r="T9" s="194">
        <f>'01_Вводные'!$B$71*T4</f>
        <v/>
      </c>
      <c r="U9" s="194">
        <f>'01_Вводные'!$B$71*U4</f>
        <v/>
      </c>
      <c r="V9" s="194">
        <f>'01_Вводные'!$B$71*V4</f>
        <v/>
      </c>
      <c r="W9" s="194">
        <f>'01_Вводные'!$B$71*W4</f>
        <v/>
      </c>
      <c r="X9" s="194">
        <f>'01_Вводные'!$B$71*X4</f>
        <v/>
      </c>
      <c r="Y9" s="194">
        <f>'01_Вводные'!$B$71*Y4</f>
        <v/>
      </c>
      <c r="Z9" s="194">
        <f>'01_Вводные'!$B$71*Z4</f>
        <v/>
      </c>
      <c r="AA9" s="194">
        <f>'01_Вводные'!$B$71*AA4</f>
        <v/>
      </c>
      <c r="AB9" s="194">
        <f>'01_Вводные'!$B$71*AB4</f>
        <v/>
      </c>
      <c r="AC9" s="194">
        <f>'01_Вводные'!$B$71*AC4</f>
        <v/>
      </c>
      <c r="AD9" s="194">
        <f>'01_Вводные'!$B$71*AD4</f>
        <v/>
      </c>
      <c r="AE9" s="194">
        <f>'01_Вводные'!$B$71*AE4</f>
        <v/>
      </c>
      <c r="AF9" s="194">
        <f>'01_Вводные'!$B$71*AF4</f>
        <v/>
      </c>
      <c r="AG9" s="194">
        <f>'01_Вводные'!$B$71*AG4</f>
        <v/>
      </c>
      <c r="AH9" s="194">
        <f>'01_Вводные'!$B$71*AH4</f>
        <v/>
      </c>
      <c r="AI9" s="194">
        <f>'01_Вводные'!$B$71*AI4</f>
        <v/>
      </c>
      <c r="AJ9" s="194">
        <f>'01_Вводные'!$B$71*AJ4</f>
        <v/>
      </c>
      <c r="AK9" s="194">
        <f>'01_Вводные'!$B$71*AK4</f>
        <v/>
      </c>
      <c r="AL9" s="194">
        <f>'01_Вводные'!$B$71*AL4</f>
        <v/>
      </c>
      <c r="AM9" s="194">
        <f>'01_Вводные'!$B$71*AM4</f>
        <v/>
      </c>
      <c r="AN9" s="194">
        <f>'01_Вводные'!$B$71*AN4</f>
        <v/>
      </c>
      <c r="AO9" s="194">
        <f>'01_Вводные'!$B$71*AO4</f>
        <v/>
      </c>
      <c r="AP9" s="194">
        <f>'01_Вводные'!$B$71*AP4</f>
        <v/>
      </c>
      <c r="AQ9" s="194">
        <f>'01_Вводные'!$B$71*AQ4</f>
        <v/>
      </c>
      <c r="AR9" s="194">
        <f>'01_Вводные'!$B$71*AR4</f>
        <v/>
      </c>
      <c r="AS9" s="194">
        <f>'01_Вводные'!$B$71*AS4</f>
        <v/>
      </c>
      <c r="AT9" s="194">
        <f>'01_Вводные'!$B$71*AT4</f>
        <v/>
      </c>
      <c r="AU9" s="194">
        <f>'01_Вводные'!$B$71*AU4</f>
        <v/>
      </c>
      <c r="AV9" s="194">
        <f>'01_Вводные'!$B$71*AV4</f>
        <v/>
      </c>
      <c r="AW9" s="194">
        <f>'01_Вводные'!$B$71*AW4</f>
        <v/>
      </c>
      <c r="AX9" s="194">
        <f>'01_Вводные'!$B$71*AX4</f>
        <v/>
      </c>
      <c r="AY9" s="194">
        <f>'01_Вводные'!$B$71*AY4</f>
        <v/>
      </c>
      <c r="AZ9" s="194">
        <f>'01_Вводные'!$B$71*AZ4</f>
        <v/>
      </c>
      <c r="BA9" s="194">
        <f>'01_Вводные'!$B$71*BA4</f>
        <v/>
      </c>
      <c r="BB9" s="194">
        <f>'01_Вводные'!$B$71*BB4</f>
        <v/>
      </c>
      <c r="BC9" s="194">
        <f>'01_Вводные'!$B$71*BC4</f>
        <v/>
      </c>
      <c r="BD9" s="194">
        <f>'01_Вводные'!$B$71*BD4</f>
        <v/>
      </c>
      <c r="BE9" s="194">
        <f>'01_Вводные'!$B$71*BE4</f>
        <v/>
      </c>
      <c r="BF9" s="194">
        <f>'01_Вводные'!$B$71*BF4</f>
        <v/>
      </c>
      <c r="BG9" s="194">
        <f>'01_Вводные'!$B$71*BG4</f>
        <v/>
      </c>
      <c r="BH9" s="194">
        <f>'01_Вводные'!$B$71*BH4</f>
        <v/>
      </c>
      <c r="BI9" s="194">
        <f>'01_Вводные'!$B$71*BI4</f>
        <v/>
      </c>
      <c r="BJ9" s="194">
        <f>'01_Вводные'!$B$71*BJ4</f>
        <v/>
      </c>
      <c r="BK9" s="194">
        <f>'01_Вводные'!$B$71*BK4</f>
        <v/>
      </c>
      <c r="BL9" s="194">
        <f>'01_Вводные'!$B$71*BL4</f>
        <v/>
      </c>
      <c r="BM9" s="194">
        <f>'01_Вводные'!$B$71*BM4</f>
        <v/>
      </c>
      <c r="BN9" s="194">
        <f>'01_Вводные'!$B$71*BN4</f>
        <v/>
      </c>
      <c r="BO9" s="194">
        <f>'01_Вводные'!$B$71*BO4</f>
        <v/>
      </c>
    </row>
    <row r="10">
      <c r="A10" s="192" t="inlineStr">
        <is>
          <t>Цена комплекта</t>
        </is>
      </c>
      <c r="B10" s="194">
        <f>'01_Вводные'!$B$73*B4</f>
        <v/>
      </c>
      <c r="C10" s="194">
        <f>'01_Вводные'!$B$73*C4</f>
        <v/>
      </c>
      <c r="D10" s="194">
        <f>'01_Вводные'!$B$73*D4</f>
        <v/>
      </c>
      <c r="E10" s="194">
        <f>'01_Вводные'!$B$73*E4</f>
        <v/>
      </c>
      <c r="F10" s="194">
        <f>'01_Вводные'!$B$73*F4</f>
        <v/>
      </c>
      <c r="G10" s="194">
        <f>'01_Вводные'!$B$73*G4</f>
        <v/>
      </c>
      <c r="H10" s="194">
        <f>'01_Вводные'!$B$73*H4</f>
        <v/>
      </c>
      <c r="I10" s="194">
        <f>'01_Вводные'!$B$73*I4</f>
        <v/>
      </c>
      <c r="J10" s="194">
        <f>'01_Вводные'!$B$73*J4</f>
        <v/>
      </c>
      <c r="K10" s="194">
        <f>'01_Вводные'!$B$73*K4</f>
        <v/>
      </c>
      <c r="L10" s="194">
        <f>'01_Вводные'!$B$73*L4</f>
        <v/>
      </c>
      <c r="M10" s="194">
        <f>'01_Вводные'!$B$73*M4</f>
        <v/>
      </c>
      <c r="N10" s="194">
        <f>'01_Вводные'!$B$73*N4</f>
        <v/>
      </c>
      <c r="O10" s="194">
        <f>'01_Вводные'!$B$73*O4</f>
        <v/>
      </c>
      <c r="P10" s="194">
        <f>'01_Вводные'!$B$73*P4</f>
        <v/>
      </c>
      <c r="Q10" s="194">
        <f>'01_Вводные'!$B$73*Q4</f>
        <v/>
      </c>
      <c r="R10" s="194">
        <f>'01_Вводные'!$B$73*R4</f>
        <v/>
      </c>
      <c r="S10" s="194">
        <f>'01_Вводные'!$B$73*S4</f>
        <v/>
      </c>
      <c r="T10" s="194">
        <f>'01_Вводные'!$B$73*T4</f>
        <v/>
      </c>
      <c r="U10" s="194">
        <f>'01_Вводные'!$B$73*U4</f>
        <v/>
      </c>
      <c r="V10" s="194">
        <f>'01_Вводные'!$B$73*V4</f>
        <v/>
      </c>
      <c r="W10" s="194">
        <f>'01_Вводные'!$B$73*W4</f>
        <v/>
      </c>
      <c r="X10" s="194">
        <f>'01_Вводные'!$B$73*X4</f>
        <v/>
      </c>
      <c r="Y10" s="194">
        <f>'01_Вводные'!$B$73*Y4</f>
        <v/>
      </c>
      <c r="Z10" s="194">
        <f>'01_Вводные'!$B$73*Z4</f>
        <v/>
      </c>
      <c r="AA10" s="194">
        <f>'01_Вводные'!$B$73*AA4</f>
        <v/>
      </c>
      <c r="AB10" s="194">
        <f>'01_Вводные'!$B$73*AB4</f>
        <v/>
      </c>
      <c r="AC10" s="194">
        <f>'01_Вводные'!$B$73*AC4</f>
        <v/>
      </c>
      <c r="AD10" s="194">
        <f>'01_Вводные'!$B$73*AD4</f>
        <v/>
      </c>
      <c r="AE10" s="194">
        <f>'01_Вводные'!$B$73*AE4</f>
        <v/>
      </c>
      <c r="AF10" s="194">
        <f>'01_Вводные'!$B$73*AF4</f>
        <v/>
      </c>
      <c r="AG10" s="194">
        <f>'01_Вводные'!$B$73*AG4</f>
        <v/>
      </c>
      <c r="AH10" s="194">
        <f>'01_Вводные'!$B$73*AH4</f>
        <v/>
      </c>
      <c r="AI10" s="194">
        <f>'01_Вводные'!$B$73*AI4</f>
        <v/>
      </c>
      <c r="AJ10" s="194">
        <f>'01_Вводные'!$B$73*AJ4</f>
        <v/>
      </c>
      <c r="AK10" s="194">
        <f>'01_Вводные'!$B$73*AK4</f>
        <v/>
      </c>
      <c r="AL10" s="194">
        <f>'01_Вводные'!$B$73*AL4</f>
        <v/>
      </c>
      <c r="AM10" s="194">
        <f>'01_Вводные'!$B$73*AM4</f>
        <v/>
      </c>
      <c r="AN10" s="194">
        <f>'01_Вводные'!$B$73*AN4</f>
        <v/>
      </c>
      <c r="AO10" s="194">
        <f>'01_Вводные'!$B$73*AO4</f>
        <v/>
      </c>
      <c r="AP10" s="194">
        <f>'01_Вводные'!$B$73*AP4</f>
        <v/>
      </c>
      <c r="AQ10" s="194">
        <f>'01_Вводные'!$B$73*AQ4</f>
        <v/>
      </c>
      <c r="AR10" s="194">
        <f>'01_Вводные'!$B$73*AR4</f>
        <v/>
      </c>
      <c r="AS10" s="194">
        <f>'01_Вводные'!$B$73*AS4</f>
        <v/>
      </c>
      <c r="AT10" s="194">
        <f>'01_Вводные'!$B$73*AT4</f>
        <v/>
      </c>
      <c r="AU10" s="194">
        <f>'01_Вводные'!$B$73*AU4</f>
        <v/>
      </c>
      <c r="AV10" s="194">
        <f>'01_Вводные'!$B$73*AV4</f>
        <v/>
      </c>
      <c r="AW10" s="194">
        <f>'01_Вводные'!$B$73*AW4</f>
        <v/>
      </c>
      <c r="AX10" s="194">
        <f>'01_Вводные'!$B$73*AX4</f>
        <v/>
      </c>
      <c r="AY10" s="194">
        <f>'01_Вводные'!$B$73*AY4</f>
        <v/>
      </c>
      <c r="AZ10" s="194">
        <f>'01_Вводные'!$B$73*AZ4</f>
        <v/>
      </c>
      <c r="BA10" s="194">
        <f>'01_Вводные'!$B$73*BA4</f>
        <v/>
      </c>
      <c r="BB10" s="194">
        <f>'01_Вводные'!$B$73*BB4</f>
        <v/>
      </c>
      <c r="BC10" s="194">
        <f>'01_Вводные'!$B$73*BC4</f>
        <v/>
      </c>
      <c r="BD10" s="194">
        <f>'01_Вводные'!$B$73*BD4</f>
        <v/>
      </c>
      <c r="BE10" s="194">
        <f>'01_Вводные'!$B$73*BE4</f>
        <v/>
      </c>
      <c r="BF10" s="194">
        <f>'01_Вводные'!$B$73*BF4</f>
        <v/>
      </c>
      <c r="BG10" s="194">
        <f>'01_Вводные'!$B$73*BG4</f>
        <v/>
      </c>
      <c r="BH10" s="194">
        <f>'01_Вводные'!$B$73*BH4</f>
        <v/>
      </c>
      <c r="BI10" s="194">
        <f>'01_Вводные'!$B$73*BI4</f>
        <v/>
      </c>
      <c r="BJ10" s="194">
        <f>'01_Вводные'!$B$73*BJ4</f>
        <v/>
      </c>
      <c r="BK10" s="194">
        <f>'01_Вводные'!$B$73*BK4</f>
        <v/>
      </c>
      <c r="BL10" s="194">
        <f>'01_Вводные'!$B$73*BL4</f>
        <v/>
      </c>
      <c r="BM10" s="194">
        <f>'01_Вводные'!$B$73*BM4</f>
        <v/>
      </c>
      <c r="BN10" s="194">
        <f>'01_Вводные'!$B$73*BN4</f>
        <v/>
      </c>
      <c r="BO10" s="194">
        <f>'01_Вводные'!$B$73*BO4</f>
        <v/>
      </c>
    </row>
    <row r="11">
      <c r="A11" s="192" t="inlineStr">
        <is>
          <t>Таргет на продажу</t>
        </is>
      </c>
      <c r="B11" s="194">
        <f>'01_Вводные'!$B$26*B4</f>
        <v/>
      </c>
      <c r="C11" s="194">
        <f>'01_Вводные'!$B$26*C4</f>
        <v/>
      </c>
      <c r="D11" s="194">
        <f>'01_Вводные'!$B$26*D4</f>
        <v/>
      </c>
      <c r="E11" s="194">
        <f>'01_Вводные'!$B$26*E4</f>
        <v/>
      </c>
      <c r="F11" s="194">
        <f>'01_Вводные'!$B$26*F4</f>
        <v/>
      </c>
      <c r="G11" s="194">
        <f>'01_Вводные'!$B$26*G4</f>
        <v/>
      </c>
      <c r="H11" s="194">
        <f>'01_Вводные'!$B$26*H4</f>
        <v/>
      </c>
      <c r="I11" s="194">
        <f>'01_Вводные'!$B$26*I4</f>
        <v/>
      </c>
      <c r="J11" s="194">
        <f>'01_Вводные'!$B$26*J4</f>
        <v/>
      </c>
      <c r="K11" s="194">
        <f>'01_Вводные'!$B$26*K4</f>
        <v/>
      </c>
      <c r="L11" s="194">
        <f>'01_Вводные'!$B$26*L4</f>
        <v/>
      </c>
      <c r="M11" s="194">
        <f>'01_Вводные'!$B$26*M4</f>
        <v/>
      </c>
      <c r="N11" s="194">
        <f>'01_Вводные'!$B$26*N4</f>
        <v/>
      </c>
      <c r="O11" s="194">
        <f>'01_Вводные'!$B$26*O4</f>
        <v/>
      </c>
      <c r="P11" s="194">
        <f>'01_Вводные'!$B$26*P4</f>
        <v/>
      </c>
      <c r="Q11" s="194">
        <f>'01_Вводные'!$B$26*Q4</f>
        <v/>
      </c>
      <c r="R11" s="194">
        <f>'01_Вводные'!$B$26*R4</f>
        <v/>
      </c>
      <c r="S11" s="194">
        <f>'01_Вводные'!$B$26*S4</f>
        <v/>
      </c>
      <c r="T11" s="194">
        <f>'01_Вводные'!$B$26*T4</f>
        <v/>
      </c>
      <c r="U11" s="194">
        <f>'01_Вводные'!$B$26*U4</f>
        <v/>
      </c>
      <c r="V11" s="194">
        <f>'01_Вводные'!$B$26*V4</f>
        <v/>
      </c>
      <c r="W11" s="194">
        <f>'01_Вводные'!$B$26*W4</f>
        <v/>
      </c>
      <c r="X11" s="194">
        <f>'01_Вводные'!$B$26*X4</f>
        <v/>
      </c>
      <c r="Y11" s="194">
        <f>'01_Вводные'!$B$26*Y4</f>
        <v/>
      </c>
      <c r="Z11" s="194">
        <f>'01_Вводные'!$B$26*Z4</f>
        <v/>
      </c>
      <c r="AA11" s="194">
        <f>'01_Вводные'!$B$26*AA4</f>
        <v/>
      </c>
      <c r="AB11" s="194">
        <f>'01_Вводные'!$B$26*AB4</f>
        <v/>
      </c>
      <c r="AC11" s="194">
        <f>'01_Вводные'!$B$26*AC4</f>
        <v/>
      </c>
      <c r="AD11" s="194">
        <f>'01_Вводные'!$B$26*AD4</f>
        <v/>
      </c>
      <c r="AE11" s="194">
        <f>'01_Вводные'!$B$26*AE4</f>
        <v/>
      </c>
      <c r="AF11" s="194">
        <f>'01_Вводные'!$B$26*AF4</f>
        <v/>
      </c>
      <c r="AG11" s="194">
        <f>'01_Вводные'!$B$26*AG4</f>
        <v/>
      </c>
      <c r="AH11" s="194">
        <f>'01_Вводные'!$B$26*AH4</f>
        <v/>
      </c>
      <c r="AI11" s="194">
        <f>'01_Вводные'!$B$26*AI4</f>
        <v/>
      </c>
      <c r="AJ11" s="194">
        <f>'01_Вводные'!$B$26*AJ4</f>
        <v/>
      </c>
      <c r="AK11" s="194">
        <f>'01_Вводные'!$B$26*AK4</f>
        <v/>
      </c>
      <c r="AL11" s="194">
        <f>'01_Вводные'!$B$26*AL4</f>
        <v/>
      </c>
      <c r="AM11" s="194">
        <f>'01_Вводные'!$B$26*AM4</f>
        <v/>
      </c>
      <c r="AN11" s="194">
        <f>'01_Вводные'!$B$26*AN4</f>
        <v/>
      </c>
      <c r="AO11" s="194">
        <f>'01_Вводные'!$B$26*AO4</f>
        <v/>
      </c>
      <c r="AP11" s="194">
        <f>'01_Вводные'!$B$26*AP4</f>
        <v/>
      </c>
      <c r="AQ11" s="194">
        <f>'01_Вводные'!$B$26*AQ4</f>
        <v/>
      </c>
      <c r="AR11" s="194">
        <f>'01_Вводные'!$B$26*AR4</f>
        <v/>
      </c>
      <c r="AS11" s="194">
        <f>'01_Вводные'!$B$26*AS4</f>
        <v/>
      </c>
      <c r="AT11" s="194">
        <f>'01_Вводные'!$B$26*AT4</f>
        <v/>
      </c>
      <c r="AU11" s="194">
        <f>'01_Вводные'!$B$26*AU4</f>
        <v/>
      </c>
      <c r="AV11" s="194">
        <f>'01_Вводные'!$B$26*AV4</f>
        <v/>
      </c>
      <c r="AW11" s="194">
        <f>'01_Вводные'!$B$26*AW4</f>
        <v/>
      </c>
      <c r="AX11" s="194">
        <f>'01_Вводные'!$B$26*AX4</f>
        <v/>
      </c>
      <c r="AY11" s="194">
        <f>'01_Вводные'!$B$26*AY4</f>
        <v/>
      </c>
      <c r="AZ11" s="194">
        <f>'01_Вводные'!$B$26*AZ4</f>
        <v/>
      </c>
      <c r="BA11" s="194">
        <f>'01_Вводные'!$B$26*BA4</f>
        <v/>
      </c>
      <c r="BB11" s="194">
        <f>'01_Вводные'!$B$26*BB4</f>
        <v/>
      </c>
      <c r="BC11" s="194">
        <f>'01_Вводные'!$B$26*BC4</f>
        <v/>
      </c>
      <c r="BD11" s="194">
        <f>'01_Вводные'!$B$26*BD4</f>
        <v/>
      </c>
      <c r="BE11" s="194">
        <f>'01_Вводные'!$B$26*BE4</f>
        <v/>
      </c>
      <c r="BF11" s="194">
        <f>'01_Вводные'!$B$26*BF4</f>
        <v/>
      </c>
      <c r="BG11" s="194">
        <f>'01_Вводные'!$B$26*BG4</f>
        <v/>
      </c>
      <c r="BH11" s="194">
        <f>'01_Вводные'!$B$26*BH4</f>
        <v/>
      </c>
      <c r="BI11" s="194">
        <f>'01_Вводные'!$B$26*BI4</f>
        <v/>
      </c>
      <c r="BJ11" s="194">
        <f>'01_Вводные'!$B$26*BJ4</f>
        <v/>
      </c>
      <c r="BK11" s="194">
        <f>'01_Вводные'!$B$26*BK4</f>
        <v/>
      </c>
      <c r="BL11" s="194">
        <f>'01_Вводные'!$B$26*BL4</f>
        <v/>
      </c>
      <c r="BM11" s="194">
        <f>'01_Вводные'!$B$26*BM4</f>
        <v/>
      </c>
      <c r="BN11" s="194">
        <f>'01_Вводные'!$B$26*BN4</f>
        <v/>
      </c>
      <c r="BO11" s="194">
        <f>'01_Вводные'!$B$26*BO4</f>
        <v/>
      </c>
    </row>
    <row r="12">
      <c r="B12" s="128" t="n"/>
      <c r="C12" s="128" t="n"/>
      <c r="D12" s="128" t="n"/>
      <c r="E12" s="128" t="n"/>
      <c r="F12" s="128" t="n"/>
      <c r="G12" s="128" t="n"/>
      <c r="H12" s="128" t="n"/>
      <c r="I12" s="128" t="n"/>
      <c r="J12" s="128" t="n"/>
      <c r="K12" s="128" t="n"/>
      <c r="L12" s="128" t="n"/>
      <c r="M12" s="128" t="n"/>
      <c r="N12" s="128" t="n"/>
      <c r="O12" s="128" t="n"/>
      <c r="P12" s="128" t="n"/>
      <c r="Q12" s="128" t="n"/>
      <c r="R12" s="128" t="n"/>
      <c r="S12" s="128" t="n"/>
      <c r="T12" s="128" t="n"/>
      <c r="U12" s="128" t="n"/>
      <c r="V12" s="128" t="n"/>
      <c r="W12" s="128" t="n"/>
      <c r="X12" s="128" t="n"/>
      <c r="Y12" s="128" t="n"/>
      <c r="Z12" s="128" t="n"/>
      <c r="AA12" s="128" t="n"/>
      <c r="AB12" s="128" t="n"/>
      <c r="AC12" s="128" t="n"/>
      <c r="AD12" s="128" t="n"/>
      <c r="AE12" s="128" t="n"/>
      <c r="AF12" s="128" t="n"/>
      <c r="AG12" s="128" t="n"/>
      <c r="AH12" s="128" t="n"/>
      <c r="AI12" s="128" t="n"/>
      <c r="AJ12" s="128" t="n"/>
      <c r="AK12" s="128" t="n"/>
      <c r="AL12" s="128" t="n"/>
      <c r="AM12" s="128" t="n"/>
      <c r="AN12" s="128" t="n"/>
      <c r="AO12" s="128" t="n"/>
      <c r="AP12" s="128" t="n"/>
      <c r="AQ12" s="128" t="n"/>
      <c r="AR12" s="128" t="n"/>
      <c r="AS12" s="128" t="n"/>
      <c r="AT12" s="128" t="n"/>
      <c r="AU12" s="128" t="n"/>
      <c r="AV12" s="128" t="n"/>
      <c r="AW12" s="128" t="n"/>
      <c r="AX12" s="128" t="n"/>
      <c r="AY12" s="128" t="n"/>
      <c r="AZ12" s="128" t="n"/>
      <c r="BA12" s="128" t="n"/>
      <c r="BB12" s="128" t="n"/>
      <c r="BC12" s="128" t="n"/>
      <c r="BD12" s="128" t="n"/>
      <c r="BE12" s="128" t="n"/>
      <c r="BF12" s="128" t="n"/>
      <c r="BG12" s="128" t="n"/>
      <c r="BH12" s="128" t="n"/>
      <c r="BI12" s="128" t="n"/>
      <c r="BJ12" s="128" t="n"/>
      <c r="BK12" s="128" t="n"/>
      <c r="BL12" s="128" t="n"/>
      <c r="BM12" s="128" t="n"/>
      <c r="BN12" s="128" t="n"/>
      <c r="BO12" s="128" t="n"/>
    </row>
    <row r="13">
      <c r="A13" s="192" t="inlineStr">
        <is>
          <t>SMM-подрядчики</t>
        </is>
      </c>
      <c r="B13" s="194">
        <f>IF(B$3&lt;'01_Вводные'!$B$248,'01_Вводные'!$B$111*B4,'01_Вводные'!$B$112*B4/$B$16)</f>
        <v/>
      </c>
      <c r="C13" s="194">
        <f>IF(C$3&lt;'01_Вводные'!$B$248,'01_Вводные'!$B$111*C4,'01_Вводные'!$B$112*C4/$B$16)</f>
        <v/>
      </c>
      <c r="D13" s="194">
        <f>IF(D$3&lt;'01_Вводные'!$B$248,'01_Вводные'!$B$111*D4,'01_Вводные'!$B$112*D4/$B$16)</f>
        <v/>
      </c>
      <c r="E13" s="194">
        <f>IF(E$3&lt;'01_Вводные'!$B$248,'01_Вводные'!$B$111*E4,'01_Вводные'!$B$112*E4/$B$16)</f>
        <v/>
      </c>
      <c r="F13" s="194">
        <f>IF(F$3&lt;'01_Вводные'!$B$248,'01_Вводные'!$B$111*F4,'01_Вводные'!$B$112*F4/$B$16)</f>
        <v/>
      </c>
      <c r="G13" s="194">
        <f>IF(G$3&lt;'01_Вводные'!$B$248,'01_Вводные'!$B$111*G4,'01_Вводные'!$B$112*G4/$B$16)</f>
        <v/>
      </c>
      <c r="H13" s="194">
        <f>IF(H$3&lt;'01_Вводные'!$B$248,'01_Вводные'!$B$111*H4,'01_Вводные'!$B$112*H4/$B$16)</f>
        <v/>
      </c>
      <c r="I13" s="194">
        <f>IF(I$3&lt;'01_Вводные'!$B$248,'01_Вводные'!$B$111*I4,'01_Вводные'!$B$112*I4/$B$16)</f>
        <v/>
      </c>
      <c r="J13" s="194">
        <f>IF(J$3&lt;'01_Вводные'!$B$248,'01_Вводные'!$B$111*J4,'01_Вводные'!$B$112*J4/$B$16)</f>
        <v/>
      </c>
      <c r="K13" s="194">
        <f>IF(K$3&lt;'01_Вводные'!$B$248,'01_Вводные'!$B$111*K4,'01_Вводные'!$B$112*K4/$B$16)</f>
        <v/>
      </c>
      <c r="L13" s="194">
        <f>IF(L$3&lt;'01_Вводные'!$B$248,'01_Вводные'!$B$111*L4,'01_Вводные'!$B$112*L4/$B$16)</f>
        <v/>
      </c>
      <c r="M13" s="194">
        <f>IF(M$3&lt;'01_Вводные'!$B$248,'01_Вводные'!$B$111*M4,'01_Вводные'!$B$112*M4/$B$16)</f>
        <v/>
      </c>
      <c r="N13" s="194">
        <f>IF(N$3&lt;'01_Вводные'!$B$248,'01_Вводные'!$B$111*N4,'01_Вводные'!$B$112*N4/$B$16)</f>
        <v/>
      </c>
      <c r="O13" s="194">
        <f>IF(O$3&lt;'01_Вводные'!$B$248,'01_Вводные'!$B$111*O4,'01_Вводные'!$B$112*O4/$B$16)</f>
        <v/>
      </c>
      <c r="P13" s="194">
        <f>IF(P$3&lt;'01_Вводные'!$B$248,'01_Вводные'!$B$111*P4,'01_Вводные'!$B$112*P4/$B$16)</f>
        <v/>
      </c>
      <c r="Q13" s="194">
        <f>IF(Q$3&lt;'01_Вводные'!$B$248,'01_Вводные'!$B$111*Q4,'01_Вводные'!$B$112*Q4/$B$16)</f>
        <v/>
      </c>
      <c r="R13" s="194">
        <f>IF(R$3&lt;'01_Вводные'!$B$248,'01_Вводные'!$B$111*R4,'01_Вводные'!$B$112*R4/$B$16)</f>
        <v/>
      </c>
      <c r="S13" s="194">
        <f>IF(S$3&lt;'01_Вводные'!$B$248,'01_Вводные'!$B$111*S4,'01_Вводные'!$B$112*S4/$B$16)</f>
        <v/>
      </c>
      <c r="T13" s="194">
        <f>IF(T$3&lt;'01_Вводные'!$B$248,'01_Вводные'!$B$111*T4,'01_Вводные'!$B$112*T4/$B$16)</f>
        <v/>
      </c>
      <c r="U13" s="194">
        <f>IF(U$3&lt;'01_Вводные'!$B$248,'01_Вводные'!$B$111*U4,'01_Вводные'!$B$112*U4/$B$16)</f>
        <v/>
      </c>
      <c r="V13" s="194">
        <f>IF(V$3&lt;'01_Вводные'!$B$248,'01_Вводные'!$B$111*V4,'01_Вводные'!$B$112*V4/$B$16)</f>
        <v/>
      </c>
      <c r="W13" s="194">
        <f>IF(W$3&lt;'01_Вводные'!$B$248,'01_Вводные'!$B$111*W4,'01_Вводные'!$B$112*W4/$B$16)</f>
        <v/>
      </c>
      <c r="X13" s="194">
        <f>IF(X$3&lt;'01_Вводные'!$B$248,'01_Вводные'!$B$111*X4,'01_Вводные'!$B$112*X4/$B$16)</f>
        <v/>
      </c>
      <c r="Y13" s="194">
        <f>IF(Y$3&lt;'01_Вводные'!$B$248,'01_Вводные'!$B$111*Y4,'01_Вводные'!$B$112*Y4/$B$16)</f>
        <v/>
      </c>
      <c r="Z13" s="194">
        <f>IF(Z$3&lt;'01_Вводные'!$B$248,'01_Вводные'!$B$111*Z4,'01_Вводные'!$B$112*Z4/$B$16)</f>
        <v/>
      </c>
      <c r="AA13" s="194">
        <f>IF(AA$3&lt;'01_Вводные'!$B$248,'01_Вводные'!$B$111*AA4,'01_Вводные'!$B$112*AA4/$B$16)</f>
        <v/>
      </c>
      <c r="AB13" s="194">
        <f>IF(AB$3&lt;'01_Вводные'!$B$248,'01_Вводные'!$B$111*AB4,'01_Вводные'!$B$112*AB4/$B$16)</f>
        <v/>
      </c>
      <c r="AC13" s="194">
        <f>IF(AC$3&lt;'01_Вводные'!$B$248,'01_Вводные'!$B$111*AC4,'01_Вводные'!$B$112*AC4/$B$16)</f>
        <v/>
      </c>
      <c r="AD13" s="194">
        <f>IF(AD$3&lt;'01_Вводные'!$B$248,'01_Вводные'!$B$111*AD4,'01_Вводные'!$B$112*AD4/$B$16)</f>
        <v/>
      </c>
      <c r="AE13" s="194">
        <f>IF(AE$3&lt;'01_Вводные'!$B$248,'01_Вводные'!$B$111*AE4,'01_Вводные'!$B$112*AE4/$B$16)</f>
        <v/>
      </c>
      <c r="AF13" s="194">
        <f>IF(AF$3&lt;'01_Вводные'!$B$248,'01_Вводные'!$B$111*AF4,'01_Вводные'!$B$112*AF4/$B$16)</f>
        <v/>
      </c>
      <c r="AG13" s="194">
        <f>IF(AG$3&lt;'01_Вводные'!$B$248,'01_Вводные'!$B$111*AG4,'01_Вводные'!$B$112*AG4/$B$16)</f>
        <v/>
      </c>
      <c r="AH13" s="194">
        <f>IF(AH$3&lt;'01_Вводные'!$B$248,'01_Вводные'!$B$111*AH4,'01_Вводные'!$B$112*AH4/$B$16)</f>
        <v/>
      </c>
      <c r="AI13" s="194">
        <f>IF(AI$3&lt;'01_Вводные'!$B$248,'01_Вводные'!$B$111*AI4,'01_Вводные'!$B$112*AI4/$B$16)</f>
        <v/>
      </c>
      <c r="AJ13" s="194">
        <f>IF(AJ$3&lt;'01_Вводные'!$B$248,'01_Вводные'!$B$111*AJ4,'01_Вводные'!$B$112*AJ4/$B$16)</f>
        <v/>
      </c>
      <c r="AK13" s="194">
        <f>IF(AK$3&lt;'01_Вводные'!$B$248,'01_Вводные'!$B$111*AK4,'01_Вводные'!$B$112*AK4/$B$16)</f>
        <v/>
      </c>
      <c r="AL13" s="194">
        <f>IF(AL$3&lt;'01_Вводные'!$B$248,'01_Вводные'!$B$111*AL4,'01_Вводные'!$B$112*AL4/$B$16)</f>
        <v/>
      </c>
      <c r="AM13" s="194">
        <f>IF(AM$3&lt;'01_Вводные'!$B$248,'01_Вводные'!$B$111*AM4,'01_Вводные'!$B$112*AM4/$B$16)</f>
        <v/>
      </c>
      <c r="AN13" s="194">
        <f>IF(AN$3&lt;'01_Вводные'!$B$248,'01_Вводные'!$B$111*AN4,'01_Вводные'!$B$112*AN4/$B$16)</f>
        <v/>
      </c>
      <c r="AO13" s="194">
        <f>IF(AO$3&lt;'01_Вводные'!$B$248,'01_Вводные'!$B$111*AO4,'01_Вводные'!$B$112*AO4/$B$16)</f>
        <v/>
      </c>
      <c r="AP13" s="194">
        <f>IF(AP$3&lt;'01_Вводные'!$B$248,'01_Вводные'!$B$111*AP4,'01_Вводные'!$B$112*AP4/$B$16)</f>
        <v/>
      </c>
      <c r="AQ13" s="194">
        <f>IF(AQ$3&lt;'01_Вводные'!$B$248,'01_Вводные'!$B$111*AQ4,'01_Вводные'!$B$112*AQ4/$B$16)</f>
        <v/>
      </c>
      <c r="AR13" s="194">
        <f>IF(AR$3&lt;'01_Вводные'!$B$248,'01_Вводные'!$B$111*AR4,'01_Вводные'!$B$112*AR4/$B$16)</f>
        <v/>
      </c>
      <c r="AS13" s="194">
        <f>IF(AS$3&lt;'01_Вводные'!$B$248,'01_Вводные'!$B$111*AS4,'01_Вводные'!$B$112*AS4/$B$16)</f>
        <v/>
      </c>
      <c r="AT13" s="194">
        <f>IF(AT$3&lt;'01_Вводные'!$B$248,'01_Вводные'!$B$111*AT4,'01_Вводные'!$B$112*AT4/$B$16)</f>
        <v/>
      </c>
      <c r="AU13" s="194">
        <f>IF(AU$3&lt;'01_Вводные'!$B$248,'01_Вводные'!$B$111*AU4,'01_Вводные'!$B$112*AU4/$B$16)</f>
        <v/>
      </c>
      <c r="AV13" s="194">
        <f>IF(AV$3&lt;'01_Вводные'!$B$248,'01_Вводные'!$B$111*AV4,'01_Вводные'!$B$112*AV4/$B$16)</f>
        <v/>
      </c>
      <c r="AW13" s="194">
        <f>IF(AW$3&lt;'01_Вводные'!$B$248,'01_Вводные'!$B$111*AW4,'01_Вводные'!$B$112*AW4/$B$16)</f>
        <v/>
      </c>
      <c r="AX13" s="194">
        <f>IF(AX$3&lt;'01_Вводные'!$B$248,'01_Вводные'!$B$111*AX4,'01_Вводные'!$B$112*AX4/$B$16)</f>
        <v/>
      </c>
      <c r="AY13" s="194">
        <f>IF(AY$3&lt;'01_Вводные'!$B$248,'01_Вводные'!$B$111*AY4,'01_Вводные'!$B$112*AY4/$B$16)</f>
        <v/>
      </c>
      <c r="AZ13" s="194">
        <f>IF(AZ$3&lt;'01_Вводные'!$B$248,'01_Вводные'!$B$111*AZ4,'01_Вводные'!$B$112*AZ4/$B$16)</f>
        <v/>
      </c>
      <c r="BA13" s="194">
        <f>IF(BA$3&lt;'01_Вводные'!$B$248,'01_Вводные'!$B$111*BA4,'01_Вводные'!$B$112*BA4/$B$16)</f>
        <v/>
      </c>
      <c r="BB13" s="194">
        <f>IF(BB$3&lt;'01_Вводные'!$B$248,'01_Вводные'!$B$111*BB4,'01_Вводные'!$B$112*BB4/$B$16)</f>
        <v/>
      </c>
      <c r="BC13" s="194">
        <f>IF(BC$3&lt;'01_Вводные'!$B$248,'01_Вводные'!$B$111*BC4,'01_Вводные'!$B$112*BC4/$B$16)</f>
        <v/>
      </c>
      <c r="BD13" s="194">
        <f>IF(BD$3&lt;'01_Вводные'!$B$248,'01_Вводные'!$B$111*BD4,'01_Вводные'!$B$112*BD4/$B$16)</f>
        <v/>
      </c>
      <c r="BE13" s="194">
        <f>IF(BE$3&lt;'01_Вводные'!$B$248,'01_Вводные'!$B$111*BE4,'01_Вводные'!$B$112*BE4/$B$16)</f>
        <v/>
      </c>
      <c r="BF13" s="194">
        <f>IF(BF$3&lt;'01_Вводные'!$B$248,'01_Вводные'!$B$111*BF4,'01_Вводные'!$B$112*BF4/$B$16)</f>
        <v/>
      </c>
      <c r="BG13" s="194">
        <f>IF(BG$3&lt;'01_Вводные'!$B$248,'01_Вводные'!$B$111*BG4,'01_Вводные'!$B$112*BG4/$B$16)</f>
        <v/>
      </c>
      <c r="BH13" s="194">
        <f>IF(BH$3&lt;'01_Вводные'!$B$248,'01_Вводные'!$B$111*BH4,'01_Вводные'!$B$112*BH4/$B$16)</f>
        <v/>
      </c>
      <c r="BI13" s="194">
        <f>IF(BI$3&lt;'01_Вводные'!$B$248,'01_Вводные'!$B$111*BI4,'01_Вводные'!$B$112*BI4/$B$16)</f>
        <v/>
      </c>
      <c r="BJ13" s="194">
        <f>IF(BJ$3&lt;'01_Вводные'!$B$248,'01_Вводные'!$B$111*BJ4,'01_Вводные'!$B$112*BJ4/$B$16)</f>
        <v/>
      </c>
      <c r="BK13" s="194">
        <f>IF(BK$3&lt;'01_Вводные'!$B$248,'01_Вводные'!$B$111*BK4,'01_Вводные'!$B$112*BK4/$B$16)</f>
        <v/>
      </c>
      <c r="BL13" s="194">
        <f>IF(BL$3&lt;'01_Вводные'!$B$248,'01_Вводные'!$B$111*BL4,'01_Вводные'!$B$112*BL4/$B$16)</f>
        <v/>
      </c>
      <c r="BM13" s="194">
        <f>IF(BM$3&lt;'01_Вводные'!$B$248,'01_Вводные'!$B$111*BM4,'01_Вводные'!$B$112*BM4/$B$16)</f>
        <v/>
      </c>
      <c r="BN13" s="194">
        <f>IF(BN$3&lt;'01_Вводные'!$B$248,'01_Вводные'!$B$111*BN4,'01_Вводные'!$B$112*BN4/$B$16)</f>
        <v/>
      </c>
      <c r="BO13" s="194">
        <f>IF(BO$3&lt;'01_Вводные'!$B$248,'01_Вводные'!$B$111*BO4,'01_Вводные'!$B$112*BO4/$B$16)</f>
        <v/>
      </c>
    </row>
    <row r="14">
      <c r="A14" s="192" t="inlineStr">
        <is>
          <t>Резерв ротации</t>
        </is>
      </c>
      <c r="B14" s="194">
        <f>'01_Вводные'!$B$122*B4</f>
        <v/>
      </c>
      <c r="C14" s="194">
        <f>'01_Вводные'!$B$122*C4</f>
        <v/>
      </c>
      <c r="D14" s="194">
        <f>'01_Вводные'!$B$122*D4</f>
        <v/>
      </c>
      <c r="E14" s="194">
        <f>'01_Вводные'!$B$122*E4</f>
        <v/>
      </c>
      <c r="F14" s="194">
        <f>'01_Вводные'!$B$122*F4</f>
        <v/>
      </c>
      <c r="G14" s="194">
        <f>'01_Вводные'!$B$122*G4</f>
        <v/>
      </c>
      <c r="H14" s="194">
        <f>'01_Вводные'!$B$122*H4</f>
        <v/>
      </c>
      <c r="I14" s="194">
        <f>'01_Вводные'!$B$122*I4</f>
        <v/>
      </c>
      <c r="J14" s="194">
        <f>'01_Вводные'!$B$122*J4</f>
        <v/>
      </c>
      <c r="K14" s="194">
        <f>'01_Вводные'!$B$122*K4</f>
        <v/>
      </c>
      <c r="L14" s="194">
        <f>'01_Вводные'!$B$122*L4</f>
        <v/>
      </c>
      <c r="M14" s="194">
        <f>'01_Вводные'!$B$122*M4</f>
        <v/>
      </c>
      <c r="N14" s="194">
        <f>'01_Вводные'!$B$122*N4</f>
        <v/>
      </c>
      <c r="O14" s="194">
        <f>'01_Вводные'!$B$122*O4</f>
        <v/>
      </c>
      <c r="P14" s="194">
        <f>'01_Вводные'!$B$122*P4</f>
        <v/>
      </c>
      <c r="Q14" s="194">
        <f>'01_Вводные'!$B$122*Q4</f>
        <v/>
      </c>
      <c r="R14" s="194">
        <f>'01_Вводные'!$B$122*R4</f>
        <v/>
      </c>
      <c r="S14" s="194">
        <f>'01_Вводные'!$B$122*S4</f>
        <v/>
      </c>
      <c r="T14" s="194">
        <f>'01_Вводные'!$B$122*T4</f>
        <v/>
      </c>
      <c r="U14" s="194">
        <f>'01_Вводные'!$B$122*U4</f>
        <v/>
      </c>
      <c r="V14" s="194">
        <f>'01_Вводные'!$B$122*V4</f>
        <v/>
      </c>
      <c r="W14" s="194">
        <f>'01_Вводные'!$B$122*W4</f>
        <v/>
      </c>
      <c r="X14" s="194">
        <f>'01_Вводные'!$B$122*X4</f>
        <v/>
      </c>
      <c r="Y14" s="194">
        <f>'01_Вводные'!$B$122*Y4</f>
        <v/>
      </c>
      <c r="Z14" s="194">
        <f>'01_Вводные'!$B$122*Z4</f>
        <v/>
      </c>
      <c r="AA14" s="194">
        <f>'01_Вводные'!$B$122*AA4</f>
        <v/>
      </c>
      <c r="AB14" s="194">
        <f>'01_Вводные'!$B$122*AB4</f>
        <v/>
      </c>
      <c r="AC14" s="194">
        <f>'01_Вводные'!$B$122*AC4</f>
        <v/>
      </c>
      <c r="AD14" s="194">
        <f>'01_Вводные'!$B$122*AD4</f>
        <v/>
      </c>
      <c r="AE14" s="194">
        <f>'01_Вводные'!$B$122*AE4</f>
        <v/>
      </c>
      <c r="AF14" s="194">
        <f>'01_Вводные'!$B$122*AF4</f>
        <v/>
      </c>
      <c r="AG14" s="194">
        <f>'01_Вводные'!$B$122*AG4</f>
        <v/>
      </c>
      <c r="AH14" s="194">
        <f>'01_Вводные'!$B$122*AH4</f>
        <v/>
      </c>
      <c r="AI14" s="194">
        <f>'01_Вводные'!$B$122*AI4</f>
        <v/>
      </c>
      <c r="AJ14" s="194">
        <f>'01_Вводные'!$B$122*AJ4</f>
        <v/>
      </c>
      <c r="AK14" s="194">
        <f>'01_Вводные'!$B$122*AK4</f>
        <v/>
      </c>
      <c r="AL14" s="194">
        <f>'01_Вводные'!$B$122*AL4</f>
        <v/>
      </c>
      <c r="AM14" s="194">
        <f>'01_Вводные'!$B$122*AM4</f>
        <v/>
      </c>
      <c r="AN14" s="194">
        <f>'01_Вводные'!$B$122*AN4</f>
        <v/>
      </c>
      <c r="AO14" s="194">
        <f>'01_Вводные'!$B$122*AO4</f>
        <v/>
      </c>
      <c r="AP14" s="194">
        <f>'01_Вводные'!$B$122*AP4</f>
        <v/>
      </c>
      <c r="AQ14" s="194">
        <f>'01_Вводные'!$B$122*AQ4</f>
        <v/>
      </c>
      <c r="AR14" s="194">
        <f>'01_Вводные'!$B$122*AR4</f>
        <v/>
      </c>
      <c r="AS14" s="194">
        <f>'01_Вводные'!$B$122*AS4</f>
        <v/>
      </c>
      <c r="AT14" s="194">
        <f>'01_Вводные'!$B$122*AT4</f>
        <v/>
      </c>
      <c r="AU14" s="194">
        <f>'01_Вводные'!$B$122*AU4</f>
        <v/>
      </c>
      <c r="AV14" s="194">
        <f>'01_Вводные'!$B$122*AV4</f>
        <v/>
      </c>
      <c r="AW14" s="194">
        <f>'01_Вводные'!$B$122*AW4</f>
        <v/>
      </c>
      <c r="AX14" s="194">
        <f>'01_Вводные'!$B$122*AX4</f>
        <v/>
      </c>
      <c r="AY14" s="194">
        <f>'01_Вводные'!$B$122*AY4</f>
        <v/>
      </c>
      <c r="AZ14" s="194">
        <f>'01_Вводные'!$B$122*AZ4</f>
        <v/>
      </c>
      <c r="BA14" s="194">
        <f>'01_Вводные'!$B$122*BA4</f>
        <v/>
      </c>
      <c r="BB14" s="194">
        <f>'01_Вводные'!$B$122*BB4</f>
        <v/>
      </c>
      <c r="BC14" s="194">
        <f>'01_Вводные'!$B$122*BC4</f>
        <v/>
      </c>
      <c r="BD14" s="194">
        <f>'01_Вводные'!$B$122*BD4</f>
        <v/>
      </c>
      <c r="BE14" s="194">
        <f>'01_Вводные'!$B$122*BE4</f>
        <v/>
      </c>
      <c r="BF14" s="194">
        <f>'01_Вводные'!$B$122*BF4</f>
        <v/>
      </c>
      <c r="BG14" s="194">
        <f>'01_Вводные'!$B$122*BG4</f>
        <v/>
      </c>
      <c r="BH14" s="194">
        <f>'01_Вводные'!$B$122*BH4</f>
        <v/>
      </c>
      <c r="BI14" s="194">
        <f>'01_Вводные'!$B$122*BI4</f>
        <v/>
      </c>
      <c r="BJ14" s="194">
        <f>'01_Вводные'!$B$122*BJ4</f>
        <v/>
      </c>
      <c r="BK14" s="194">
        <f>'01_Вводные'!$B$122*BK4</f>
        <v/>
      </c>
      <c r="BL14" s="194">
        <f>'01_Вводные'!$B$122*BL4</f>
        <v/>
      </c>
      <c r="BM14" s="194">
        <f>'01_Вводные'!$B$122*BM4</f>
        <v/>
      </c>
      <c r="BN14" s="194">
        <f>'01_Вводные'!$B$122*BN4</f>
        <v/>
      </c>
      <c r="BO14" s="194">
        <f>'01_Вводные'!$B$122*BO4</f>
        <v/>
      </c>
    </row>
    <row r="15"/>
    <row r="16">
      <c r="A16" s="192" t="inlineStr">
        <is>
          <t>Индекс на дату нового SMM-тарифа</t>
        </is>
      </c>
      <c r="B16" s="194">
        <f>INDEX($B$4:$BO$4,1,MAX(1,MIN(66,(YEAR('01_Вводные'!$B$248)-YEAR('01_Вводные'!$B$7))*12+MONTH('01_Вводные'!$B$248)-MONTH('01_Вводные'!$B$7)+1)))</f>
        <v/>
      </c>
    </row>
    <row r="17"/>
    <row r="18"/>
    <row r="19"/>
    <row r="20"/>
    <row r="21"/>
    <row r="22">
      <c r="A22" s="192" t="inlineStr">
        <is>
          <t>Веса тарифов</t>
        </is>
      </c>
      <c r="B22" s="194">
        <f>'01_Вводные'!$C$263/'01_Вводные'!$C$283</f>
        <v/>
      </c>
      <c r="C22" s="194">
        <f>'01_Вводные'!$C$264/'01_Вводные'!$C$283</f>
        <v/>
      </c>
      <c r="D22" s="194">
        <f>'01_Вводные'!$C$265/'01_Вводные'!$C$283</f>
        <v/>
      </c>
      <c r="E22" s="194">
        <f>'01_Вводные'!$C$266/'01_Вводные'!$C$283</f>
        <v/>
      </c>
      <c r="F22" s="194">
        <f>'01_Вводные'!$C$267/'01_Вводные'!$C$283</f>
        <v/>
      </c>
      <c r="G22" s="194">
        <f>'01_Вводные'!$C$268/'01_Вводные'!$C$283</f>
        <v/>
      </c>
      <c r="H22" s="194">
        <f>'01_Вводные'!$C$269/'01_Вводные'!$C$283</f>
        <v/>
      </c>
      <c r="I22" s="194">
        <f>'01_Вводные'!$C$270/'01_Вводные'!$C$283</f>
        <v/>
      </c>
      <c r="J22" s="194">
        <f>'01_Вводные'!$C$271/'01_Вводные'!$C$283</f>
        <v/>
      </c>
      <c r="K22" s="194">
        <f>'01_Вводные'!$C$272/'01_Вводные'!$C$283</f>
        <v/>
      </c>
      <c r="L22" s="194">
        <f>'01_Вводные'!$C$273/'01_Вводные'!$C$283</f>
        <v/>
      </c>
      <c r="M22" s="194">
        <f>'01_Вводные'!$C$274/'01_Вводные'!$C$283</f>
        <v/>
      </c>
      <c r="N22" s="194">
        <f>'01_Вводные'!$C$275/'01_Вводные'!$C$283</f>
        <v/>
      </c>
      <c r="O22" s="194">
        <f>'01_Вводные'!$C$276/'01_Вводные'!$C$283</f>
        <v/>
      </c>
      <c r="P22" s="194">
        <f>'01_Вводные'!$C$277/'01_Вводные'!$C$283</f>
        <v/>
      </c>
      <c r="Q22" s="194">
        <f>'01_Вводные'!$C$278/'01_Вводные'!$C$283</f>
        <v/>
      </c>
      <c r="R22" s="194">
        <f>'01_Вводные'!$C$279/'01_Вводные'!$C$283</f>
        <v/>
      </c>
      <c r="S22" s="194">
        <f>'01_Вводные'!$C$280/'01_Вводные'!$C$283</f>
        <v/>
      </c>
      <c r="T22" s="194">
        <f>'01_Вводные'!$C$281/'01_Вводные'!$C$283</f>
        <v/>
      </c>
      <c r="U22" s="194">
        <f>'01_Вводные'!$C$282/'01_Вводные'!$C$283</f>
        <v/>
      </c>
    </row>
    <row r="23"/>
    <row r="24">
      <c r="A24" s="192" t="inlineStr">
        <is>
          <t>1</t>
        </is>
      </c>
      <c r="B24" s="194">
        <f>B86*'01_Вводные'!$H$263</f>
        <v/>
      </c>
      <c r="C24" s="194">
        <f>C86*'01_Вводные'!$H$264</f>
        <v/>
      </c>
      <c r="D24" s="194">
        <f>D86*'01_Вводные'!$H$265</f>
        <v/>
      </c>
      <c r="E24" s="194">
        <f>E86*'01_Вводные'!$H$266</f>
        <v/>
      </c>
      <c r="F24" s="194">
        <f>F86*'01_Вводные'!$H$267</f>
        <v/>
      </c>
      <c r="G24" s="194">
        <f>G86*'01_Вводные'!$H$268</f>
        <v/>
      </c>
      <c r="H24" s="194">
        <f>H86*'01_Вводные'!$H$269</f>
        <v/>
      </c>
      <c r="I24" s="194">
        <f>I86*'01_Вводные'!$H$270</f>
        <v/>
      </c>
      <c r="J24" s="194">
        <f>J86*'01_Вводные'!$H$271</f>
        <v/>
      </c>
      <c r="K24" s="194">
        <f>K86*'01_Вводные'!$H$272</f>
        <v/>
      </c>
      <c r="L24" s="194">
        <f>L86*'01_Вводные'!$H$273</f>
        <v/>
      </c>
      <c r="M24" s="194">
        <f>M86*'01_Вводные'!$H$274</f>
        <v/>
      </c>
      <c r="N24" s="194">
        <f>N86*'01_Вводные'!$H$275</f>
        <v/>
      </c>
      <c r="O24" s="194">
        <f>O86*'01_Вводные'!$H$276</f>
        <v/>
      </c>
      <c r="P24" s="194">
        <f>P86*'01_Вводные'!$H$277</f>
        <v/>
      </c>
      <c r="Q24" s="194">
        <f>Q86*'01_Вводные'!$H$278</f>
        <v/>
      </c>
      <c r="R24" s="194">
        <f>R86*'01_Вводные'!$H$279</f>
        <v/>
      </c>
      <c r="S24" s="194">
        <f>S86*'01_Вводные'!$H$280</f>
        <v/>
      </c>
      <c r="T24" s="194">
        <f>T86*'01_Вводные'!$H$281</f>
        <v/>
      </c>
      <c r="U24" s="194">
        <f>U86*'01_Вводные'!$H$282</f>
        <v/>
      </c>
      <c r="W24" s="195">
        <f>SUMPRODUCT($B$22:$U$22,B86:U86)</f>
        <v/>
      </c>
      <c r="X24" s="195">
        <f>SUMPRODUCT($B$22:$U$22,B54:U54)</f>
        <v/>
      </c>
    </row>
    <row r="25">
      <c r="A25" s="192" t="inlineStr">
        <is>
          <t>2</t>
        </is>
      </c>
      <c r="B25" s="194">
        <f>B87*'01_Вводные'!$H$263</f>
        <v/>
      </c>
      <c r="C25" s="194">
        <f>C87*'01_Вводные'!$H$264</f>
        <v/>
      </c>
      <c r="D25" s="194">
        <f>D87*'01_Вводные'!$H$265</f>
        <v/>
      </c>
      <c r="E25" s="194">
        <f>E87*'01_Вводные'!$H$266</f>
        <v/>
      </c>
      <c r="F25" s="194">
        <f>F87*'01_Вводные'!$H$267</f>
        <v/>
      </c>
      <c r="G25" s="194">
        <f>G87*'01_Вводные'!$H$268</f>
        <v/>
      </c>
      <c r="H25" s="194">
        <f>H87*'01_Вводные'!$H$269</f>
        <v/>
      </c>
      <c r="I25" s="194">
        <f>I87*'01_Вводные'!$H$270</f>
        <v/>
      </c>
      <c r="J25" s="194">
        <f>J87*'01_Вводные'!$H$271</f>
        <v/>
      </c>
      <c r="K25" s="194">
        <f>K87*'01_Вводные'!$H$272</f>
        <v/>
      </c>
      <c r="L25" s="194">
        <f>L87*'01_Вводные'!$H$273</f>
        <v/>
      </c>
      <c r="M25" s="194">
        <f>M87*'01_Вводные'!$H$274</f>
        <v/>
      </c>
      <c r="N25" s="194">
        <f>N87*'01_Вводные'!$H$275</f>
        <v/>
      </c>
      <c r="O25" s="194">
        <f>O87*'01_Вводные'!$H$276</f>
        <v/>
      </c>
      <c r="P25" s="194">
        <f>P87*'01_Вводные'!$H$277</f>
        <v/>
      </c>
      <c r="Q25" s="194">
        <f>Q87*'01_Вводные'!$H$278</f>
        <v/>
      </c>
      <c r="R25" s="194">
        <f>R87*'01_Вводные'!$H$279</f>
        <v/>
      </c>
      <c r="S25" s="194">
        <f>S87*'01_Вводные'!$H$280</f>
        <v/>
      </c>
      <c r="T25" s="194">
        <f>T87*'01_Вводные'!$H$281</f>
        <v/>
      </c>
      <c r="U25" s="194">
        <f>U87*'01_Вводные'!$H$282</f>
        <v/>
      </c>
      <c r="W25" s="195">
        <f>SUMPRODUCT($B$22:$U$22,B87:U87)</f>
        <v/>
      </c>
      <c r="X25" s="195">
        <f>SUMPRODUCT($B$22:$U$22,B55:U55)</f>
        <v/>
      </c>
    </row>
    <row r="26">
      <c r="A26" s="192" t="inlineStr">
        <is>
          <t>3</t>
        </is>
      </c>
      <c r="B26" s="194">
        <f>B88*'01_Вводные'!$H$263</f>
        <v/>
      </c>
      <c r="C26" s="194">
        <f>C88*'01_Вводные'!$H$264</f>
        <v/>
      </c>
      <c r="D26" s="194">
        <f>D88*'01_Вводные'!$H$265</f>
        <v/>
      </c>
      <c r="E26" s="194">
        <f>E88*'01_Вводные'!$H$266</f>
        <v/>
      </c>
      <c r="F26" s="194">
        <f>F88*'01_Вводные'!$H$267</f>
        <v/>
      </c>
      <c r="G26" s="194">
        <f>G88*'01_Вводные'!$H$268</f>
        <v/>
      </c>
      <c r="H26" s="194">
        <f>H88*'01_Вводные'!$H$269</f>
        <v/>
      </c>
      <c r="I26" s="194">
        <f>I88*'01_Вводные'!$H$270</f>
        <v/>
      </c>
      <c r="J26" s="194">
        <f>J88*'01_Вводные'!$H$271</f>
        <v/>
      </c>
      <c r="K26" s="194">
        <f>K88*'01_Вводные'!$H$272</f>
        <v/>
      </c>
      <c r="L26" s="194">
        <f>L88*'01_Вводные'!$H$273</f>
        <v/>
      </c>
      <c r="M26" s="194">
        <f>M88*'01_Вводные'!$H$274</f>
        <v/>
      </c>
      <c r="N26" s="194">
        <f>N88*'01_Вводные'!$H$275</f>
        <v/>
      </c>
      <c r="O26" s="194">
        <f>O88*'01_Вводные'!$H$276</f>
        <v/>
      </c>
      <c r="P26" s="194">
        <f>P88*'01_Вводные'!$H$277</f>
        <v/>
      </c>
      <c r="Q26" s="194">
        <f>Q88*'01_Вводные'!$H$278</f>
        <v/>
      </c>
      <c r="R26" s="194">
        <f>R88*'01_Вводные'!$H$279</f>
        <v/>
      </c>
      <c r="S26" s="194">
        <f>S88*'01_Вводные'!$H$280</f>
        <v/>
      </c>
      <c r="T26" s="194">
        <f>T88*'01_Вводные'!$H$281</f>
        <v/>
      </c>
      <c r="U26" s="194">
        <f>U88*'01_Вводные'!$H$282</f>
        <v/>
      </c>
      <c r="W26" s="195">
        <f>SUMPRODUCT($B$22:$U$22,B88:U88)</f>
        <v/>
      </c>
      <c r="X26" s="195">
        <f>SUMPRODUCT($B$22:$U$22,B56:U56)</f>
        <v/>
      </c>
    </row>
    <row r="27">
      <c r="A27" s="192" t="inlineStr">
        <is>
          <t>4</t>
        </is>
      </c>
      <c r="B27" s="194">
        <f>B89*'01_Вводные'!$H$263</f>
        <v/>
      </c>
      <c r="C27" s="194">
        <f>C89*'01_Вводные'!$H$264</f>
        <v/>
      </c>
      <c r="D27" s="194">
        <f>D89*'01_Вводные'!$H$265</f>
        <v/>
      </c>
      <c r="E27" s="194">
        <f>E89*'01_Вводные'!$H$266</f>
        <v/>
      </c>
      <c r="F27" s="194">
        <f>F89*'01_Вводные'!$H$267</f>
        <v/>
      </c>
      <c r="G27" s="194">
        <f>G89*'01_Вводные'!$H$268</f>
        <v/>
      </c>
      <c r="H27" s="194">
        <f>H89*'01_Вводные'!$H$269</f>
        <v/>
      </c>
      <c r="I27" s="194">
        <f>I89*'01_Вводные'!$H$270</f>
        <v/>
      </c>
      <c r="J27" s="194">
        <f>J89*'01_Вводные'!$H$271</f>
        <v/>
      </c>
      <c r="K27" s="194">
        <f>K89*'01_Вводные'!$H$272</f>
        <v/>
      </c>
      <c r="L27" s="194">
        <f>L89*'01_Вводные'!$H$273</f>
        <v/>
      </c>
      <c r="M27" s="194">
        <f>M89*'01_Вводные'!$H$274</f>
        <v/>
      </c>
      <c r="N27" s="194">
        <f>N89*'01_Вводные'!$H$275</f>
        <v/>
      </c>
      <c r="O27" s="194">
        <f>O89*'01_Вводные'!$H$276</f>
        <v/>
      </c>
      <c r="P27" s="194">
        <f>P89*'01_Вводные'!$H$277</f>
        <v/>
      </c>
      <c r="Q27" s="194">
        <f>Q89*'01_Вводные'!$H$278</f>
        <v/>
      </c>
      <c r="R27" s="194">
        <f>R89*'01_Вводные'!$H$279</f>
        <v/>
      </c>
      <c r="S27" s="194">
        <f>S89*'01_Вводные'!$H$280</f>
        <v/>
      </c>
      <c r="T27" s="194">
        <f>T89*'01_Вводные'!$H$281</f>
        <v/>
      </c>
      <c r="U27" s="194">
        <f>U89*'01_Вводные'!$H$282</f>
        <v/>
      </c>
      <c r="W27" s="195">
        <f>SUMPRODUCT($B$22:$U$22,B89:U89)</f>
        <v/>
      </c>
      <c r="X27" s="195">
        <f>SUMPRODUCT($B$22:$U$22,B57:U57)</f>
        <v/>
      </c>
    </row>
    <row r="28">
      <c r="A28" s="192" t="inlineStr">
        <is>
          <t>5</t>
        </is>
      </c>
      <c r="B28" s="194">
        <f>B90*'01_Вводные'!$H$263</f>
        <v/>
      </c>
      <c r="C28" s="194">
        <f>C90*'01_Вводные'!$H$264</f>
        <v/>
      </c>
      <c r="D28" s="194">
        <f>D90*'01_Вводные'!$H$265</f>
        <v/>
      </c>
      <c r="E28" s="194">
        <f>E90*'01_Вводные'!$H$266</f>
        <v/>
      </c>
      <c r="F28" s="194">
        <f>F90*'01_Вводные'!$H$267</f>
        <v/>
      </c>
      <c r="G28" s="194">
        <f>G90*'01_Вводные'!$H$268</f>
        <v/>
      </c>
      <c r="H28" s="194">
        <f>H90*'01_Вводные'!$H$269</f>
        <v/>
      </c>
      <c r="I28" s="194">
        <f>I90*'01_Вводные'!$H$270</f>
        <v/>
      </c>
      <c r="J28" s="194">
        <f>J90*'01_Вводные'!$H$271</f>
        <v/>
      </c>
      <c r="K28" s="194">
        <f>K90*'01_Вводные'!$H$272</f>
        <v/>
      </c>
      <c r="L28" s="194">
        <f>L90*'01_Вводные'!$H$273</f>
        <v/>
      </c>
      <c r="M28" s="194">
        <f>M90*'01_Вводные'!$H$274</f>
        <v/>
      </c>
      <c r="N28" s="194">
        <f>N90*'01_Вводные'!$H$275</f>
        <v/>
      </c>
      <c r="O28" s="194">
        <f>O90*'01_Вводные'!$H$276</f>
        <v/>
      </c>
      <c r="P28" s="194">
        <f>P90*'01_Вводные'!$H$277</f>
        <v/>
      </c>
      <c r="Q28" s="194">
        <f>Q90*'01_Вводные'!$H$278</f>
        <v/>
      </c>
      <c r="R28" s="194">
        <f>R90*'01_Вводные'!$H$279</f>
        <v/>
      </c>
      <c r="S28" s="194">
        <f>S90*'01_Вводные'!$H$280</f>
        <v/>
      </c>
      <c r="T28" s="194">
        <f>T90*'01_Вводные'!$H$281</f>
        <v/>
      </c>
      <c r="U28" s="194">
        <f>U90*'01_Вводные'!$H$282</f>
        <v/>
      </c>
      <c r="W28" s="195">
        <f>SUMPRODUCT($B$22:$U$22,B90:U90)</f>
        <v/>
      </c>
      <c r="X28" s="195">
        <f>SUMPRODUCT($B$22:$U$22,B58:U58)</f>
        <v/>
      </c>
    </row>
    <row r="29">
      <c r="A29" s="192" t="inlineStr">
        <is>
          <t>6</t>
        </is>
      </c>
      <c r="B29" s="194">
        <f>B91*'01_Вводные'!$H$263</f>
        <v/>
      </c>
      <c r="C29" s="194">
        <f>C91*'01_Вводные'!$H$264</f>
        <v/>
      </c>
      <c r="D29" s="194">
        <f>D91*'01_Вводные'!$H$265</f>
        <v/>
      </c>
      <c r="E29" s="194">
        <f>E91*'01_Вводные'!$H$266</f>
        <v/>
      </c>
      <c r="F29" s="194">
        <f>F91*'01_Вводные'!$H$267</f>
        <v/>
      </c>
      <c r="G29" s="194">
        <f>G91*'01_Вводные'!$H$268</f>
        <v/>
      </c>
      <c r="H29" s="194">
        <f>H91*'01_Вводные'!$H$269</f>
        <v/>
      </c>
      <c r="I29" s="194">
        <f>I91*'01_Вводные'!$H$270</f>
        <v/>
      </c>
      <c r="J29" s="194">
        <f>J91*'01_Вводные'!$H$271</f>
        <v/>
      </c>
      <c r="K29" s="194">
        <f>K91*'01_Вводные'!$H$272</f>
        <v/>
      </c>
      <c r="L29" s="194">
        <f>L91*'01_Вводные'!$H$273</f>
        <v/>
      </c>
      <c r="M29" s="194">
        <f>M91*'01_Вводные'!$H$274</f>
        <v/>
      </c>
      <c r="N29" s="194">
        <f>N91*'01_Вводные'!$H$275</f>
        <v/>
      </c>
      <c r="O29" s="194">
        <f>O91*'01_Вводные'!$H$276</f>
        <v/>
      </c>
      <c r="P29" s="194">
        <f>P91*'01_Вводные'!$H$277</f>
        <v/>
      </c>
      <c r="Q29" s="194">
        <f>Q91*'01_Вводные'!$H$278</f>
        <v/>
      </c>
      <c r="R29" s="194">
        <f>R91*'01_Вводные'!$H$279</f>
        <v/>
      </c>
      <c r="S29" s="194">
        <f>S91*'01_Вводные'!$H$280</f>
        <v/>
      </c>
      <c r="T29" s="194">
        <f>T91*'01_Вводные'!$H$281</f>
        <v/>
      </c>
      <c r="U29" s="194">
        <f>U91*'01_Вводные'!$H$282</f>
        <v/>
      </c>
      <c r="W29" s="195">
        <f>SUMPRODUCT($B$22:$U$22,B91:U91)</f>
        <v/>
      </c>
      <c r="X29" s="195">
        <f>SUMPRODUCT($B$22:$U$22,B59:U59)</f>
        <v/>
      </c>
    </row>
    <row r="30">
      <c r="A30" s="192" t="inlineStr">
        <is>
          <t>7</t>
        </is>
      </c>
      <c r="B30" s="194">
        <f>B92*'01_Вводные'!$H$263</f>
        <v/>
      </c>
      <c r="C30" s="194">
        <f>C92*'01_Вводные'!$H$264</f>
        <v/>
      </c>
      <c r="D30" s="194">
        <f>D92*'01_Вводные'!$H$265</f>
        <v/>
      </c>
      <c r="E30" s="194">
        <f>E92*'01_Вводные'!$H$266</f>
        <v/>
      </c>
      <c r="F30" s="194">
        <f>F92*'01_Вводные'!$H$267</f>
        <v/>
      </c>
      <c r="G30" s="194">
        <f>G92*'01_Вводные'!$H$268</f>
        <v/>
      </c>
      <c r="H30" s="194">
        <f>H92*'01_Вводные'!$H$269</f>
        <v/>
      </c>
      <c r="I30" s="194">
        <f>I92*'01_Вводные'!$H$270</f>
        <v/>
      </c>
      <c r="J30" s="194">
        <f>J92*'01_Вводные'!$H$271</f>
        <v/>
      </c>
      <c r="K30" s="194">
        <f>K92*'01_Вводные'!$H$272</f>
        <v/>
      </c>
      <c r="L30" s="194">
        <f>L92*'01_Вводные'!$H$273</f>
        <v/>
      </c>
      <c r="M30" s="194">
        <f>M92*'01_Вводные'!$H$274</f>
        <v/>
      </c>
      <c r="N30" s="194">
        <f>N92*'01_Вводные'!$H$275</f>
        <v/>
      </c>
      <c r="O30" s="194">
        <f>O92*'01_Вводные'!$H$276</f>
        <v/>
      </c>
      <c r="P30" s="194">
        <f>P92*'01_Вводные'!$H$277</f>
        <v/>
      </c>
      <c r="Q30" s="194">
        <f>Q92*'01_Вводные'!$H$278</f>
        <v/>
      </c>
      <c r="R30" s="194">
        <f>R92*'01_Вводные'!$H$279</f>
        <v/>
      </c>
      <c r="S30" s="194">
        <f>S92*'01_Вводные'!$H$280</f>
        <v/>
      </c>
      <c r="T30" s="194">
        <f>T92*'01_Вводные'!$H$281</f>
        <v/>
      </c>
      <c r="U30" s="194">
        <f>U92*'01_Вводные'!$H$282</f>
        <v/>
      </c>
      <c r="W30" s="195">
        <f>SUMPRODUCT($B$22:$U$22,B92:U92)</f>
        <v/>
      </c>
      <c r="X30" s="195">
        <f>SUMPRODUCT($B$22:$U$22,B60:U60)</f>
        <v/>
      </c>
    </row>
    <row r="31">
      <c r="A31" s="192" t="inlineStr">
        <is>
          <t>8</t>
        </is>
      </c>
      <c r="B31" s="194">
        <f>B93*'01_Вводные'!$H$263</f>
        <v/>
      </c>
      <c r="C31" s="194">
        <f>C93*'01_Вводные'!$H$264</f>
        <v/>
      </c>
      <c r="D31" s="194">
        <f>D93*'01_Вводные'!$H$265</f>
        <v/>
      </c>
      <c r="E31" s="194">
        <f>E93*'01_Вводные'!$H$266</f>
        <v/>
      </c>
      <c r="F31" s="194">
        <f>F93*'01_Вводные'!$H$267</f>
        <v/>
      </c>
      <c r="G31" s="194">
        <f>G93*'01_Вводные'!$H$268</f>
        <v/>
      </c>
      <c r="H31" s="194">
        <f>H93*'01_Вводные'!$H$269</f>
        <v/>
      </c>
      <c r="I31" s="194">
        <f>I93*'01_Вводные'!$H$270</f>
        <v/>
      </c>
      <c r="J31" s="194">
        <f>J93*'01_Вводные'!$H$271</f>
        <v/>
      </c>
      <c r="K31" s="194">
        <f>K93*'01_Вводные'!$H$272</f>
        <v/>
      </c>
      <c r="L31" s="194">
        <f>L93*'01_Вводные'!$H$273</f>
        <v/>
      </c>
      <c r="M31" s="194">
        <f>M93*'01_Вводные'!$H$274</f>
        <v/>
      </c>
      <c r="N31" s="194">
        <f>N93*'01_Вводные'!$H$275</f>
        <v/>
      </c>
      <c r="O31" s="194">
        <f>O93*'01_Вводные'!$H$276</f>
        <v/>
      </c>
      <c r="P31" s="194">
        <f>P93*'01_Вводные'!$H$277</f>
        <v/>
      </c>
      <c r="Q31" s="194">
        <f>Q93*'01_Вводные'!$H$278</f>
        <v/>
      </c>
      <c r="R31" s="194">
        <f>R93*'01_Вводные'!$H$279</f>
        <v/>
      </c>
      <c r="S31" s="194">
        <f>S93*'01_Вводные'!$H$280</f>
        <v/>
      </c>
      <c r="T31" s="194">
        <f>T93*'01_Вводные'!$H$281</f>
        <v/>
      </c>
      <c r="U31" s="194">
        <f>U93*'01_Вводные'!$H$282</f>
        <v/>
      </c>
      <c r="W31" s="195">
        <f>SUMPRODUCT($B$22:$U$22,B93:U93)</f>
        <v/>
      </c>
      <c r="X31" s="195">
        <f>SUMPRODUCT($B$22:$U$22,B61:U61)</f>
        <v/>
      </c>
    </row>
    <row r="32">
      <c r="A32" s="192" t="inlineStr">
        <is>
          <t>9</t>
        </is>
      </c>
      <c r="B32" s="194">
        <f>B94*'01_Вводные'!$H$263</f>
        <v/>
      </c>
      <c r="C32" s="194">
        <f>C94*'01_Вводные'!$H$264</f>
        <v/>
      </c>
      <c r="D32" s="194">
        <f>D94*'01_Вводные'!$H$265</f>
        <v/>
      </c>
      <c r="E32" s="194">
        <f>E94*'01_Вводные'!$H$266</f>
        <v/>
      </c>
      <c r="F32" s="194">
        <f>F94*'01_Вводные'!$H$267</f>
        <v/>
      </c>
      <c r="G32" s="194">
        <f>G94*'01_Вводные'!$H$268</f>
        <v/>
      </c>
      <c r="H32" s="194">
        <f>H94*'01_Вводные'!$H$269</f>
        <v/>
      </c>
      <c r="I32" s="194">
        <f>I94*'01_Вводные'!$H$270</f>
        <v/>
      </c>
      <c r="J32" s="194">
        <f>J94*'01_Вводные'!$H$271</f>
        <v/>
      </c>
      <c r="K32" s="194">
        <f>K94*'01_Вводные'!$H$272</f>
        <v/>
      </c>
      <c r="L32" s="194">
        <f>L94*'01_Вводные'!$H$273</f>
        <v/>
      </c>
      <c r="M32" s="194">
        <f>M94*'01_Вводные'!$H$274</f>
        <v/>
      </c>
      <c r="N32" s="194">
        <f>N94*'01_Вводные'!$H$275</f>
        <v/>
      </c>
      <c r="O32" s="194">
        <f>O94*'01_Вводные'!$H$276</f>
        <v/>
      </c>
      <c r="P32" s="194">
        <f>P94*'01_Вводные'!$H$277</f>
        <v/>
      </c>
      <c r="Q32" s="194">
        <f>Q94*'01_Вводные'!$H$278</f>
        <v/>
      </c>
      <c r="R32" s="194">
        <f>R94*'01_Вводные'!$H$279</f>
        <v/>
      </c>
      <c r="S32" s="194">
        <f>S94*'01_Вводные'!$H$280</f>
        <v/>
      </c>
      <c r="T32" s="194">
        <f>T94*'01_Вводные'!$H$281</f>
        <v/>
      </c>
      <c r="U32" s="194">
        <f>U94*'01_Вводные'!$H$282</f>
        <v/>
      </c>
      <c r="W32" s="195">
        <f>SUMPRODUCT($B$22:$U$22,B94:U94)</f>
        <v/>
      </c>
      <c r="X32" s="195">
        <f>SUMPRODUCT($B$22:$U$22,B62:U62)</f>
        <v/>
      </c>
    </row>
    <row r="33">
      <c r="A33" s="192" t="inlineStr">
        <is>
          <t>10</t>
        </is>
      </c>
      <c r="B33" s="194">
        <f>B95*'01_Вводные'!$H$263</f>
        <v/>
      </c>
      <c r="C33" s="194">
        <f>C95*'01_Вводные'!$H$264</f>
        <v/>
      </c>
      <c r="D33" s="194">
        <f>D95*'01_Вводные'!$H$265</f>
        <v/>
      </c>
      <c r="E33" s="194">
        <f>E95*'01_Вводные'!$H$266</f>
        <v/>
      </c>
      <c r="F33" s="194">
        <f>F95*'01_Вводные'!$H$267</f>
        <v/>
      </c>
      <c r="G33" s="194">
        <f>G95*'01_Вводные'!$H$268</f>
        <v/>
      </c>
      <c r="H33" s="194">
        <f>H95*'01_Вводные'!$H$269</f>
        <v/>
      </c>
      <c r="I33" s="194">
        <f>I95*'01_Вводные'!$H$270</f>
        <v/>
      </c>
      <c r="J33" s="194">
        <f>J95*'01_Вводные'!$H$271</f>
        <v/>
      </c>
      <c r="K33" s="194">
        <f>K95*'01_Вводные'!$H$272</f>
        <v/>
      </c>
      <c r="L33" s="194">
        <f>L95*'01_Вводные'!$H$273</f>
        <v/>
      </c>
      <c r="M33" s="194">
        <f>M95*'01_Вводные'!$H$274</f>
        <v/>
      </c>
      <c r="N33" s="194">
        <f>N95*'01_Вводные'!$H$275</f>
        <v/>
      </c>
      <c r="O33" s="194">
        <f>O95*'01_Вводные'!$H$276</f>
        <v/>
      </c>
      <c r="P33" s="194">
        <f>P95*'01_Вводные'!$H$277</f>
        <v/>
      </c>
      <c r="Q33" s="194">
        <f>Q95*'01_Вводные'!$H$278</f>
        <v/>
      </c>
      <c r="R33" s="194">
        <f>R95*'01_Вводные'!$H$279</f>
        <v/>
      </c>
      <c r="S33" s="194">
        <f>S95*'01_Вводные'!$H$280</f>
        <v/>
      </c>
      <c r="T33" s="194">
        <f>T95*'01_Вводные'!$H$281</f>
        <v/>
      </c>
      <c r="U33" s="194">
        <f>U95*'01_Вводные'!$H$282</f>
        <v/>
      </c>
      <c r="W33" s="195">
        <f>SUMPRODUCT($B$22:$U$22,B95:U95)</f>
        <v/>
      </c>
      <c r="X33" s="195">
        <f>SUMPRODUCT($B$22:$U$22,B63:U63)</f>
        <v/>
      </c>
    </row>
    <row r="34">
      <c r="A34" s="192" t="inlineStr">
        <is>
          <t>11</t>
        </is>
      </c>
      <c r="B34" s="194">
        <f>B96*'01_Вводные'!$H$263</f>
        <v/>
      </c>
      <c r="C34" s="194">
        <f>C96*'01_Вводные'!$H$264</f>
        <v/>
      </c>
      <c r="D34" s="194">
        <f>D96*'01_Вводные'!$H$265</f>
        <v/>
      </c>
      <c r="E34" s="194">
        <f>E96*'01_Вводные'!$H$266</f>
        <v/>
      </c>
      <c r="F34" s="194">
        <f>F96*'01_Вводные'!$H$267</f>
        <v/>
      </c>
      <c r="G34" s="194">
        <f>G96*'01_Вводные'!$H$268</f>
        <v/>
      </c>
      <c r="H34" s="194">
        <f>H96*'01_Вводные'!$H$269</f>
        <v/>
      </c>
      <c r="I34" s="194">
        <f>I96*'01_Вводные'!$H$270</f>
        <v/>
      </c>
      <c r="J34" s="194">
        <f>J96*'01_Вводные'!$H$271</f>
        <v/>
      </c>
      <c r="K34" s="194">
        <f>K96*'01_Вводные'!$H$272</f>
        <v/>
      </c>
      <c r="L34" s="194">
        <f>L96*'01_Вводные'!$H$273</f>
        <v/>
      </c>
      <c r="M34" s="194">
        <f>M96*'01_Вводные'!$H$274</f>
        <v/>
      </c>
      <c r="N34" s="194">
        <f>N96*'01_Вводные'!$H$275</f>
        <v/>
      </c>
      <c r="O34" s="194">
        <f>O96*'01_Вводные'!$H$276</f>
        <v/>
      </c>
      <c r="P34" s="194">
        <f>P96*'01_Вводные'!$H$277</f>
        <v/>
      </c>
      <c r="Q34" s="194">
        <f>Q96*'01_Вводные'!$H$278</f>
        <v/>
      </c>
      <c r="R34" s="194">
        <f>R96*'01_Вводные'!$H$279</f>
        <v/>
      </c>
      <c r="S34" s="194">
        <f>S96*'01_Вводные'!$H$280</f>
        <v/>
      </c>
      <c r="T34" s="194">
        <f>T96*'01_Вводные'!$H$281</f>
        <v/>
      </c>
      <c r="U34" s="194">
        <f>U96*'01_Вводные'!$H$282</f>
        <v/>
      </c>
      <c r="W34" s="195">
        <f>SUMPRODUCT($B$22:$U$22,B96:U96)</f>
        <v/>
      </c>
      <c r="X34" s="195">
        <f>SUMPRODUCT($B$22:$U$22,B64:U64)</f>
        <v/>
      </c>
    </row>
    <row r="35">
      <c r="A35" s="192" t="inlineStr">
        <is>
          <t>12</t>
        </is>
      </c>
      <c r="B35" s="194">
        <f>B97*'01_Вводные'!$H$263</f>
        <v/>
      </c>
      <c r="C35" s="194">
        <f>C97*'01_Вводные'!$H$264</f>
        <v/>
      </c>
      <c r="D35" s="194">
        <f>D97*'01_Вводные'!$H$265</f>
        <v/>
      </c>
      <c r="E35" s="194">
        <f>E97*'01_Вводные'!$H$266</f>
        <v/>
      </c>
      <c r="F35" s="194">
        <f>F97*'01_Вводные'!$H$267</f>
        <v/>
      </c>
      <c r="G35" s="194">
        <f>G97*'01_Вводные'!$H$268</f>
        <v/>
      </c>
      <c r="H35" s="194">
        <f>H97*'01_Вводные'!$H$269</f>
        <v/>
      </c>
      <c r="I35" s="194">
        <f>I97*'01_Вводные'!$H$270</f>
        <v/>
      </c>
      <c r="J35" s="194">
        <f>J97*'01_Вводные'!$H$271</f>
        <v/>
      </c>
      <c r="K35" s="194">
        <f>K97*'01_Вводные'!$H$272</f>
        <v/>
      </c>
      <c r="L35" s="194">
        <f>L97*'01_Вводные'!$H$273</f>
        <v/>
      </c>
      <c r="M35" s="194">
        <f>M97*'01_Вводные'!$H$274</f>
        <v/>
      </c>
      <c r="N35" s="194">
        <f>N97*'01_Вводные'!$H$275</f>
        <v/>
      </c>
      <c r="O35" s="194">
        <f>O97*'01_Вводные'!$H$276</f>
        <v/>
      </c>
      <c r="P35" s="194">
        <f>P97*'01_Вводные'!$H$277</f>
        <v/>
      </c>
      <c r="Q35" s="194">
        <f>Q97*'01_Вводные'!$H$278</f>
        <v/>
      </c>
      <c r="R35" s="194">
        <f>R97*'01_Вводные'!$H$279</f>
        <v/>
      </c>
      <c r="S35" s="194">
        <f>S97*'01_Вводные'!$H$280</f>
        <v/>
      </c>
      <c r="T35" s="194">
        <f>T97*'01_Вводные'!$H$281</f>
        <v/>
      </c>
      <c r="U35" s="194">
        <f>U97*'01_Вводные'!$H$282</f>
        <v/>
      </c>
      <c r="W35" s="195">
        <f>SUMPRODUCT($B$22:$U$22,B97:U97)</f>
        <v/>
      </c>
      <c r="X35" s="195">
        <f>SUMPRODUCT($B$22:$U$22,B65:U65)</f>
        <v/>
      </c>
    </row>
    <row r="36">
      <c r="A36" s="192" t="inlineStr">
        <is>
          <t>13</t>
        </is>
      </c>
      <c r="B36" s="194">
        <f>B98*'01_Вводные'!$H$263</f>
        <v/>
      </c>
      <c r="C36" s="194">
        <f>C98*'01_Вводные'!$H$264</f>
        <v/>
      </c>
      <c r="D36" s="194">
        <f>D98*'01_Вводные'!$H$265</f>
        <v/>
      </c>
      <c r="E36" s="194">
        <f>E98*'01_Вводные'!$H$266</f>
        <v/>
      </c>
      <c r="F36" s="194">
        <f>F98*'01_Вводные'!$H$267</f>
        <v/>
      </c>
      <c r="G36" s="194">
        <f>G98*'01_Вводные'!$H$268</f>
        <v/>
      </c>
      <c r="H36" s="194">
        <f>H98*'01_Вводные'!$H$269</f>
        <v/>
      </c>
      <c r="I36" s="194">
        <f>I98*'01_Вводные'!$H$270</f>
        <v/>
      </c>
      <c r="J36" s="194">
        <f>J98*'01_Вводные'!$H$271</f>
        <v/>
      </c>
      <c r="K36" s="194">
        <f>K98*'01_Вводные'!$H$272</f>
        <v/>
      </c>
      <c r="L36" s="194">
        <f>L98*'01_Вводные'!$H$273</f>
        <v/>
      </c>
      <c r="M36" s="194">
        <f>M98*'01_Вводные'!$H$274</f>
        <v/>
      </c>
      <c r="N36" s="194">
        <f>N98*'01_Вводные'!$H$275</f>
        <v/>
      </c>
      <c r="O36" s="194">
        <f>O98*'01_Вводные'!$H$276</f>
        <v/>
      </c>
      <c r="P36" s="194">
        <f>P98*'01_Вводные'!$H$277</f>
        <v/>
      </c>
      <c r="Q36" s="194">
        <f>Q98*'01_Вводные'!$H$278</f>
        <v/>
      </c>
      <c r="R36" s="194">
        <f>R98*'01_Вводные'!$H$279</f>
        <v/>
      </c>
      <c r="S36" s="194">
        <f>S98*'01_Вводные'!$H$280</f>
        <v/>
      </c>
      <c r="T36" s="194">
        <f>T98*'01_Вводные'!$H$281</f>
        <v/>
      </c>
      <c r="U36" s="194">
        <f>U98*'01_Вводные'!$H$282</f>
        <v/>
      </c>
      <c r="W36" s="195">
        <f>SUMPRODUCT($B$22:$U$22,B98:U98)</f>
        <v/>
      </c>
      <c r="X36" s="195">
        <f>SUMPRODUCT($B$22:$U$22,B66:U66)</f>
        <v/>
      </c>
    </row>
    <row r="37">
      <c r="A37" s="192" t="inlineStr">
        <is>
          <t>14</t>
        </is>
      </c>
      <c r="B37" s="194">
        <f>B99*'01_Вводные'!$H$263</f>
        <v/>
      </c>
      <c r="C37" s="194">
        <f>C99*'01_Вводные'!$H$264</f>
        <v/>
      </c>
      <c r="D37" s="194">
        <f>D99*'01_Вводные'!$H$265</f>
        <v/>
      </c>
      <c r="E37" s="194">
        <f>E99*'01_Вводные'!$H$266</f>
        <v/>
      </c>
      <c r="F37" s="194">
        <f>F99*'01_Вводные'!$H$267</f>
        <v/>
      </c>
      <c r="G37" s="194">
        <f>G99*'01_Вводные'!$H$268</f>
        <v/>
      </c>
      <c r="H37" s="194">
        <f>H99*'01_Вводные'!$H$269</f>
        <v/>
      </c>
      <c r="I37" s="194">
        <f>I99*'01_Вводные'!$H$270</f>
        <v/>
      </c>
      <c r="J37" s="194">
        <f>J99*'01_Вводные'!$H$271</f>
        <v/>
      </c>
      <c r="K37" s="194">
        <f>K99*'01_Вводные'!$H$272</f>
        <v/>
      </c>
      <c r="L37" s="194">
        <f>L99*'01_Вводные'!$H$273</f>
        <v/>
      </c>
      <c r="M37" s="194">
        <f>M99*'01_Вводные'!$H$274</f>
        <v/>
      </c>
      <c r="N37" s="194">
        <f>N99*'01_Вводные'!$H$275</f>
        <v/>
      </c>
      <c r="O37" s="194">
        <f>O99*'01_Вводные'!$H$276</f>
        <v/>
      </c>
      <c r="P37" s="194">
        <f>P99*'01_Вводные'!$H$277</f>
        <v/>
      </c>
      <c r="Q37" s="194">
        <f>Q99*'01_Вводные'!$H$278</f>
        <v/>
      </c>
      <c r="R37" s="194">
        <f>R99*'01_Вводные'!$H$279</f>
        <v/>
      </c>
      <c r="S37" s="194">
        <f>S99*'01_Вводные'!$H$280</f>
        <v/>
      </c>
      <c r="T37" s="194">
        <f>T99*'01_Вводные'!$H$281</f>
        <v/>
      </c>
      <c r="U37" s="194">
        <f>U99*'01_Вводные'!$H$282</f>
        <v/>
      </c>
      <c r="W37" s="195">
        <f>SUMPRODUCT($B$22:$U$22,B99:U99)</f>
        <v/>
      </c>
      <c r="X37" s="195">
        <f>SUMPRODUCT($B$22:$U$22,B67:U67)</f>
        <v/>
      </c>
    </row>
    <row r="38">
      <c r="A38" s="192" t="inlineStr">
        <is>
          <t>15</t>
        </is>
      </c>
      <c r="B38" s="194">
        <f>B100*'01_Вводные'!$H$263</f>
        <v/>
      </c>
      <c r="C38" s="194">
        <f>C100*'01_Вводные'!$H$264</f>
        <v/>
      </c>
      <c r="D38" s="194">
        <f>D100*'01_Вводные'!$H$265</f>
        <v/>
      </c>
      <c r="E38" s="194">
        <f>E100*'01_Вводные'!$H$266</f>
        <v/>
      </c>
      <c r="F38" s="194">
        <f>F100*'01_Вводные'!$H$267</f>
        <v/>
      </c>
      <c r="G38" s="194">
        <f>G100*'01_Вводные'!$H$268</f>
        <v/>
      </c>
      <c r="H38" s="194">
        <f>H100*'01_Вводные'!$H$269</f>
        <v/>
      </c>
      <c r="I38" s="194">
        <f>I100*'01_Вводные'!$H$270</f>
        <v/>
      </c>
      <c r="J38" s="194">
        <f>J100*'01_Вводные'!$H$271</f>
        <v/>
      </c>
      <c r="K38" s="194">
        <f>K100*'01_Вводные'!$H$272</f>
        <v/>
      </c>
      <c r="L38" s="194">
        <f>L100*'01_Вводные'!$H$273</f>
        <v/>
      </c>
      <c r="M38" s="194">
        <f>M100*'01_Вводные'!$H$274</f>
        <v/>
      </c>
      <c r="N38" s="194">
        <f>N100*'01_Вводные'!$H$275</f>
        <v/>
      </c>
      <c r="O38" s="194">
        <f>O100*'01_Вводные'!$H$276</f>
        <v/>
      </c>
      <c r="P38" s="194">
        <f>P100*'01_Вводные'!$H$277</f>
        <v/>
      </c>
      <c r="Q38" s="194">
        <f>Q100*'01_Вводные'!$H$278</f>
        <v/>
      </c>
      <c r="R38" s="194">
        <f>R100*'01_Вводные'!$H$279</f>
        <v/>
      </c>
      <c r="S38" s="194">
        <f>S100*'01_Вводные'!$H$280</f>
        <v/>
      </c>
      <c r="T38" s="194">
        <f>T100*'01_Вводные'!$H$281</f>
        <v/>
      </c>
      <c r="U38" s="194">
        <f>U100*'01_Вводные'!$H$282</f>
        <v/>
      </c>
      <c r="W38" s="195">
        <f>SUMPRODUCT($B$22:$U$22,B100:U100)</f>
        <v/>
      </c>
      <c r="X38" s="195">
        <f>SUMPRODUCT($B$22:$U$22,B68:U68)</f>
        <v/>
      </c>
    </row>
    <row r="39">
      <c r="A39" s="192" t="inlineStr">
        <is>
          <t>16</t>
        </is>
      </c>
      <c r="B39" s="194">
        <f>B101*'01_Вводные'!$H$263</f>
        <v/>
      </c>
      <c r="C39" s="194">
        <f>C101*'01_Вводные'!$H$264</f>
        <v/>
      </c>
      <c r="D39" s="194">
        <f>D101*'01_Вводные'!$H$265</f>
        <v/>
      </c>
      <c r="E39" s="194">
        <f>E101*'01_Вводные'!$H$266</f>
        <v/>
      </c>
      <c r="F39" s="194">
        <f>F101*'01_Вводные'!$H$267</f>
        <v/>
      </c>
      <c r="G39" s="194">
        <f>G101*'01_Вводные'!$H$268</f>
        <v/>
      </c>
      <c r="H39" s="194">
        <f>H101*'01_Вводные'!$H$269</f>
        <v/>
      </c>
      <c r="I39" s="194">
        <f>I101*'01_Вводные'!$H$270</f>
        <v/>
      </c>
      <c r="J39" s="194">
        <f>J101*'01_Вводные'!$H$271</f>
        <v/>
      </c>
      <c r="K39" s="194">
        <f>K101*'01_Вводные'!$H$272</f>
        <v/>
      </c>
      <c r="L39" s="194">
        <f>L101*'01_Вводные'!$H$273</f>
        <v/>
      </c>
      <c r="M39" s="194">
        <f>M101*'01_Вводные'!$H$274</f>
        <v/>
      </c>
      <c r="N39" s="194">
        <f>N101*'01_Вводные'!$H$275</f>
        <v/>
      </c>
      <c r="O39" s="194">
        <f>O101*'01_Вводные'!$H$276</f>
        <v/>
      </c>
      <c r="P39" s="194">
        <f>P101*'01_Вводные'!$H$277</f>
        <v/>
      </c>
      <c r="Q39" s="194">
        <f>Q101*'01_Вводные'!$H$278</f>
        <v/>
      </c>
      <c r="R39" s="194">
        <f>R101*'01_Вводные'!$H$279</f>
        <v/>
      </c>
      <c r="S39" s="194">
        <f>S101*'01_Вводные'!$H$280</f>
        <v/>
      </c>
      <c r="T39" s="194">
        <f>T101*'01_Вводные'!$H$281</f>
        <v/>
      </c>
      <c r="U39" s="194">
        <f>U101*'01_Вводные'!$H$282</f>
        <v/>
      </c>
      <c r="W39" s="195">
        <f>SUMPRODUCT($B$22:$U$22,B101:U101)</f>
        <v/>
      </c>
      <c r="X39" s="195">
        <f>SUMPRODUCT($B$22:$U$22,B69:U69)</f>
        <v/>
      </c>
    </row>
    <row r="40">
      <c r="A40" s="192" t="inlineStr">
        <is>
          <t>17</t>
        </is>
      </c>
      <c r="B40" s="194">
        <f>B102*'01_Вводные'!$H$263</f>
        <v/>
      </c>
      <c r="C40" s="194">
        <f>C102*'01_Вводные'!$H$264</f>
        <v/>
      </c>
      <c r="D40" s="194">
        <f>D102*'01_Вводные'!$H$265</f>
        <v/>
      </c>
      <c r="E40" s="194">
        <f>E102*'01_Вводные'!$H$266</f>
        <v/>
      </c>
      <c r="F40" s="194">
        <f>F102*'01_Вводные'!$H$267</f>
        <v/>
      </c>
      <c r="G40" s="194">
        <f>G102*'01_Вводные'!$H$268</f>
        <v/>
      </c>
      <c r="H40" s="194">
        <f>H102*'01_Вводные'!$H$269</f>
        <v/>
      </c>
      <c r="I40" s="194">
        <f>I102*'01_Вводные'!$H$270</f>
        <v/>
      </c>
      <c r="J40" s="194">
        <f>J102*'01_Вводные'!$H$271</f>
        <v/>
      </c>
      <c r="K40" s="194">
        <f>K102*'01_Вводные'!$H$272</f>
        <v/>
      </c>
      <c r="L40" s="194">
        <f>L102*'01_Вводные'!$H$273</f>
        <v/>
      </c>
      <c r="M40" s="194">
        <f>M102*'01_Вводные'!$H$274</f>
        <v/>
      </c>
      <c r="N40" s="194">
        <f>N102*'01_Вводные'!$H$275</f>
        <v/>
      </c>
      <c r="O40" s="194">
        <f>O102*'01_Вводные'!$H$276</f>
        <v/>
      </c>
      <c r="P40" s="194">
        <f>P102*'01_Вводные'!$H$277</f>
        <v/>
      </c>
      <c r="Q40" s="194">
        <f>Q102*'01_Вводные'!$H$278</f>
        <v/>
      </c>
      <c r="R40" s="194">
        <f>R102*'01_Вводные'!$H$279</f>
        <v/>
      </c>
      <c r="S40" s="194">
        <f>S102*'01_Вводные'!$H$280</f>
        <v/>
      </c>
      <c r="T40" s="194">
        <f>T102*'01_Вводные'!$H$281</f>
        <v/>
      </c>
      <c r="U40" s="194">
        <f>U102*'01_Вводные'!$H$282</f>
        <v/>
      </c>
      <c r="W40" s="195">
        <f>SUMPRODUCT($B$22:$U$22,B102:U102)</f>
        <v/>
      </c>
      <c r="X40" s="195">
        <f>SUMPRODUCT($B$22:$U$22,B70:U70)</f>
        <v/>
      </c>
    </row>
    <row r="41">
      <c r="A41" s="192" t="inlineStr">
        <is>
          <t>18</t>
        </is>
      </c>
      <c r="B41" s="194">
        <f>B103*'01_Вводные'!$H$263</f>
        <v/>
      </c>
      <c r="C41" s="194">
        <f>C103*'01_Вводные'!$H$264</f>
        <v/>
      </c>
      <c r="D41" s="194">
        <f>D103*'01_Вводные'!$H$265</f>
        <v/>
      </c>
      <c r="E41" s="194">
        <f>E103*'01_Вводные'!$H$266</f>
        <v/>
      </c>
      <c r="F41" s="194">
        <f>F103*'01_Вводные'!$H$267</f>
        <v/>
      </c>
      <c r="G41" s="194">
        <f>G103*'01_Вводные'!$H$268</f>
        <v/>
      </c>
      <c r="H41" s="194">
        <f>H103*'01_Вводные'!$H$269</f>
        <v/>
      </c>
      <c r="I41" s="194">
        <f>I103*'01_Вводные'!$H$270</f>
        <v/>
      </c>
      <c r="J41" s="194">
        <f>J103*'01_Вводные'!$H$271</f>
        <v/>
      </c>
      <c r="K41" s="194">
        <f>K103*'01_Вводные'!$H$272</f>
        <v/>
      </c>
      <c r="L41" s="194">
        <f>L103*'01_Вводные'!$H$273</f>
        <v/>
      </c>
      <c r="M41" s="194">
        <f>M103*'01_Вводные'!$H$274</f>
        <v/>
      </c>
      <c r="N41" s="194">
        <f>N103*'01_Вводные'!$H$275</f>
        <v/>
      </c>
      <c r="O41" s="194">
        <f>O103*'01_Вводные'!$H$276</f>
        <v/>
      </c>
      <c r="P41" s="194">
        <f>P103*'01_Вводные'!$H$277</f>
        <v/>
      </c>
      <c r="Q41" s="194">
        <f>Q103*'01_Вводные'!$H$278</f>
        <v/>
      </c>
      <c r="R41" s="194">
        <f>R103*'01_Вводные'!$H$279</f>
        <v/>
      </c>
      <c r="S41" s="194">
        <f>S103*'01_Вводные'!$H$280</f>
        <v/>
      </c>
      <c r="T41" s="194">
        <f>T103*'01_Вводные'!$H$281</f>
        <v/>
      </c>
      <c r="U41" s="194">
        <f>U103*'01_Вводные'!$H$282</f>
        <v/>
      </c>
      <c r="W41" s="195">
        <f>SUMPRODUCT($B$22:$U$22,B103:U103)</f>
        <v/>
      </c>
      <c r="X41" s="195">
        <f>SUMPRODUCT($B$22:$U$22,B71:U71)</f>
        <v/>
      </c>
    </row>
    <row r="42">
      <c r="A42" s="192" t="inlineStr">
        <is>
          <t>19</t>
        </is>
      </c>
      <c r="B42" s="194">
        <f>B104*'01_Вводные'!$H$263</f>
        <v/>
      </c>
      <c r="C42" s="194">
        <f>C104*'01_Вводные'!$H$264</f>
        <v/>
      </c>
      <c r="D42" s="194">
        <f>D104*'01_Вводные'!$H$265</f>
        <v/>
      </c>
      <c r="E42" s="194">
        <f>E104*'01_Вводные'!$H$266</f>
        <v/>
      </c>
      <c r="F42" s="194">
        <f>F104*'01_Вводные'!$H$267</f>
        <v/>
      </c>
      <c r="G42" s="194">
        <f>G104*'01_Вводные'!$H$268</f>
        <v/>
      </c>
      <c r="H42" s="194">
        <f>H104*'01_Вводные'!$H$269</f>
        <v/>
      </c>
      <c r="I42" s="194">
        <f>I104*'01_Вводные'!$H$270</f>
        <v/>
      </c>
      <c r="J42" s="194">
        <f>J104*'01_Вводные'!$H$271</f>
        <v/>
      </c>
      <c r="K42" s="194">
        <f>K104*'01_Вводные'!$H$272</f>
        <v/>
      </c>
      <c r="L42" s="194">
        <f>L104*'01_Вводные'!$H$273</f>
        <v/>
      </c>
      <c r="M42" s="194">
        <f>M104*'01_Вводные'!$H$274</f>
        <v/>
      </c>
      <c r="N42" s="194">
        <f>N104*'01_Вводные'!$H$275</f>
        <v/>
      </c>
      <c r="O42" s="194">
        <f>O104*'01_Вводные'!$H$276</f>
        <v/>
      </c>
      <c r="P42" s="194">
        <f>P104*'01_Вводные'!$H$277</f>
        <v/>
      </c>
      <c r="Q42" s="194">
        <f>Q104*'01_Вводные'!$H$278</f>
        <v/>
      </c>
      <c r="R42" s="194">
        <f>R104*'01_Вводные'!$H$279</f>
        <v/>
      </c>
      <c r="S42" s="194">
        <f>S104*'01_Вводные'!$H$280</f>
        <v/>
      </c>
      <c r="T42" s="194">
        <f>T104*'01_Вводные'!$H$281</f>
        <v/>
      </c>
      <c r="U42" s="194">
        <f>U104*'01_Вводные'!$H$282</f>
        <v/>
      </c>
      <c r="W42" s="195">
        <f>SUMPRODUCT($B$22:$U$22,B104:U104)</f>
        <v/>
      </c>
      <c r="X42" s="195">
        <f>SUMPRODUCT($B$22:$U$22,B72:U72)</f>
        <v/>
      </c>
    </row>
    <row r="43">
      <c r="A43" s="192" t="inlineStr">
        <is>
          <t>20</t>
        </is>
      </c>
      <c r="B43" s="194">
        <f>B105*'01_Вводные'!$H$263</f>
        <v/>
      </c>
      <c r="C43" s="194">
        <f>C105*'01_Вводные'!$H$264</f>
        <v/>
      </c>
      <c r="D43" s="194">
        <f>D105*'01_Вводные'!$H$265</f>
        <v/>
      </c>
      <c r="E43" s="194">
        <f>E105*'01_Вводные'!$H$266</f>
        <v/>
      </c>
      <c r="F43" s="194">
        <f>F105*'01_Вводные'!$H$267</f>
        <v/>
      </c>
      <c r="G43" s="194">
        <f>G105*'01_Вводные'!$H$268</f>
        <v/>
      </c>
      <c r="H43" s="194">
        <f>H105*'01_Вводные'!$H$269</f>
        <v/>
      </c>
      <c r="I43" s="194">
        <f>I105*'01_Вводные'!$H$270</f>
        <v/>
      </c>
      <c r="J43" s="194">
        <f>J105*'01_Вводные'!$H$271</f>
        <v/>
      </c>
      <c r="K43" s="194">
        <f>K105*'01_Вводные'!$H$272</f>
        <v/>
      </c>
      <c r="L43" s="194">
        <f>L105*'01_Вводные'!$H$273</f>
        <v/>
      </c>
      <c r="M43" s="194">
        <f>M105*'01_Вводные'!$H$274</f>
        <v/>
      </c>
      <c r="N43" s="194">
        <f>N105*'01_Вводные'!$H$275</f>
        <v/>
      </c>
      <c r="O43" s="194">
        <f>O105*'01_Вводные'!$H$276</f>
        <v/>
      </c>
      <c r="P43" s="194">
        <f>P105*'01_Вводные'!$H$277</f>
        <v/>
      </c>
      <c r="Q43" s="194">
        <f>Q105*'01_Вводные'!$H$278</f>
        <v/>
      </c>
      <c r="R43" s="194">
        <f>R105*'01_Вводные'!$H$279</f>
        <v/>
      </c>
      <c r="S43" s="194">
        <f>S105*'01_Вводные'!$H$280</f>
        <v/>
      </c>
      <c r="T43" s="194">
        <f>T105*'01_Вводные'!$H$281</f>
        <v/>
      </c>
      <c r="U43" s="194">
        <f>U105*'01_Вводные'!$H$282</f>
        <v/>
      </c>
      <c r="W43" s="195">
        <f>SUMPRODUCT($B$22:$U$22,B105:U105)</f>
        <v/>
      </c>
      <c r="X43" s="195">
        <f>SUMPRODUCT($B$22:$U$22,B73:U73)</f>
        <v/>
      </c>
    </row>
    <row r="44">
      <c r="A44" s="192" t="inlineStr">
        <is>
          <t>21</t>
        </is>
      </c>
      <c r="B44" s="194">
        <f>B106*'01_Вводные'!$H$263</f>
        <v/>
      </c>
      <c r="C44" s="194">
        <f>C106*'01_Вводные'!$H$264</f>
        <v/>
      </c>
      <c r="D44" s="194">
        <f>D106*'01_Вводные'!$H$265</f>
        <v/>
      </c>
      <c r="E44" s="194">
        <f>E106*'01_Вводные'!$H$266</f>
        <v/>
      </c>
      <c r="F44" s="194">
        <f>F106*'01_Вводные'!$H$267</f>
        <v/>
      </c>
      <c r="G44" s="194">
        <f>G106*'01_Вводные'!$H$268</f>
        <v/>
      </c>
      <c r="H44" s="194">
        <f>H106*'01_Вводные'!$H$269</f>
        <v/>
      </c>
      <c r="I44" s="194">
        <f>I106*'01_Вводные'!$H$270</f>
        <v/>
      </c>
      <c r="J44" s="194">
        <f>J106*'01_Вводные'!$H$271</f>
        <v/>
      </c>
      <c r="K44" s="194">
        <f>K106*'01_Вводные'!$H$272</f>
        <v/>
      </c>
      <c r="L44" s="194">
        <f>L106*'01_Вводные'!$H$273</f>
        <v/>
      </c>
      <c r="M44" s="194">
        <f>M106*'01_Вводные'!$H$274</f>
        <v/>
      </c>
      <c r="N44" s="194">
        <f>N106*'01_Вводные'!$H$275</f>
        <v/>
      </c>
      <c r="O44" s="194">
        <f>O106*'01_Вводные'!$H$276</f>
        <v/>
      </c>
      <c r="P44" s="194">
        <f>P106*'01_Вводные'!$H$277</f>
        <v/>
      </c>
      <c r="Q44" s="194">
        <f>Q106*'01_Вводные'!$H$278</f>
        <v/>
      </c>
      <c r="R44" s="194">
        <f>R106*'01_Вводные'!$H$279</f>
        <v/>
      </c>
      <c r="S44" s="194">
        <f>S106*'01_Вводные'!$H$280</f>
        <v/>
      </c>
      <c r="T44" s="194">
        <f>T106*'01_Вводные'!$H$281</f>
        <v/>
      </c>
      <c r="U44" s="194">
        <f>U106*'01_Вводные'!$H$282</f>
        <v/>
      </c>
      <c r="W44" s="195">
        <f>SUMPRODUCT($B$22:$U$22,B106:U106)</f>
        <v/>
      </c>
      <c r="X44" s="195">
        <f>SUMPRODUCT($B$22:$U$22,B74:U74)</f>
        <v/>
      </c>
    </row>
    <row r="45">
      <c r="A45" s="192" t="inlineStr">
        <is>
          <t>22</t>
        </is>
      </c>
      <c r="B45" s="194">
        <f>B107*'01_Вводные'!$H$263</f>
        <v/>
      </c>
      <c r="C45" s="194">
        <f>C107*'01_Вводные'!$H$264</f>
        <v/>
      </c>
      <c r="D45" s="194">
        <f>D107*'01_Вводные'!$H$265</f>
        <v/>
      </c>
      <c r="E45" s="194">
        <f>E107*'01_Вводные'!$H$266</f>
        <v/>
      </c>
      <c r="F45" s="194">
        <f>F107*'01_Вводные'!$H$267</f>
        <v/>
      </c>
      <c r="G45" s="194">
        <f>G107*'01_Вводные'!$H$268</f>
        <v/>
      </c>
      <c r="H45" s="194">
        <f>H107*'01_Вводные'!$H$269</f>
        <v/>
      </c>
      <c r="I45" s="194">
        <f>I107*'01_Вводные'!$H$270</f>
        <v/>
      </c>
      <c r="J45" s="194">
        <f>J107*'01_Вводные'!$H$271</f>
        <v/>
      </c>
      <c r="K45" s="194">
        <f>K107*'01_Вводные'!$H$272</f>
        <v/>
      </c>
      <c r="L45" s="194">
        <f>L107*'01_Вводные'!$H$273</f>
        <v/>
      </c>
      <c r="M45" s="194">
        <f>M107*'01_Вводные'!$H$274</f>
        <v/>
      </c>
      <c r="N45" s="194">
        <f>N107*'01_Вводные'!$H$275</f>
        <v/>
      </c>
      <c r="O45" s="194">
        <f>O107*'01_Вводные'!$H$276</f>
        <v/>
      </c>
      <c r="P45" s="194">
        <f>P107*'01_Вводные'!$H$277</f>
        <v/>
      </c>
      <c r="Q45" s="194">
        <f>Q107*'01_Вводные'!$H$278</f>
        <v/>
      </c>
      <c r="R45" s="194">
        <f>R107*'01_Вводные'!$H$279</f>
        <v/>
      </c>
      <c r="S45" s="194">
        <f>S107*'01_Вводные'!$H$280</f>
        <v/>
      </c>
      <c r="T45" s="194">
        <f>T107*'01_Вводные'!$H$281</f>
        <v/>
      </c>
      <c r="U45" s="194">
        <f>U107*'01_Вводные'!$H$282</f>
        <v/>
      </c>
      <c r="W45" s="195">
        <f>SUMPRODUCT($B$22:$U$22,B107:U107)</f>
        <v/>
      </c>
      <c r="X45" s="195">
        <f>SUMPRODUCT($B$22:$U$22,B75:U75)</f>
        <v/>
      </c>
    </row>
    <row r="46">
      <c r="A46" s="192" t="inlineStr">
        <is>
          <t>23</t>
        </is>
      </c>
      <c r="B46" s="194">
        <f>B108*'01_Вводные'!$H$263</f>
        <v/>
      </c>
      <c r="C46" s="194">
        <f>C108*'01_Вводные'!$H$264</f>
        <v/>
      </c>
      <c r="D46" s="194">
        <f>D108*'01_Вводные'!$H$265</f>
        <v/>
      </c>
      <c r="E46" s="194">
        <f>E108*'01_Вводные'!$H$266</f>
        <v/>
      </c>
      <c r="F46" s="194">
        <f>F108*'01_Вводные'!$H$267</f>
        <v/>
      </c>
      <c r="G46" s="194">
        <f>G108*'01_Вводные'!$H$268</f>
        <v/>
      </c>
      <c r="H46" s="194">
        <f>H108*'01_Вводные'!$H$269</f>
        <v/>
      </c>
      <c r="I46" s="194">
        <f>I108*'01_Вводные'!$H$270</f>
        <v/>
      </c>
      <c r="J46" s="194">
        <f>J108*'01_Вводные'!$H$271</f>
        <v/>
      </c>
      <c r="K46" s="194">
        <f>K108*'01_Вводные'!$H$272</f>
        <v/>
      </c>
      <c r="L46" s="194">
        <f>L108*'01_Вводные'!$H$273</f>
        <v/>
      </c>
      <c r="M46" s="194">
        <f>M108*'01_Вводные'!$H$274</f>
        <v/>
      </c>
      <c r="N46" s="194">
        <f>N108*'01_Вводные'!$H$275</f>
        <v/>
      </c>
      <c r="O46" s="194">
        <f>O108*'01_Вводные'!$H$276</f>
        <v/>
      </c>
      <c r="P46" s="194">
        <f>P108*'01_Вводные'!$H$277</f>
        <v/>
      </c>
      <c r="Q46" s="194">
        <f>Q108*'01_Вводные'!$H$278</f>
        <v/>
      </c>
      <c r="R46" s="194">
        <f>R108*'01_Вводные'!$H$279</f>
        <v/>
      </c>
      <c r="S46" s="194">
        <f>S108*'01_Вводные'!$H$280</f>
        <v/>
      </c>
      <c r="T46" s="194">
        <f>T108*'01_Вводные'!$H$281</f>
        <v/>
      </c>
      <c r="U46" s="194">
        <f>U108*'01_Вводные'!$H$282</f>
        <v/>
      </c>
      <c r="W46" s="195">
        <f>SUMPRODUCT($B$22:$U$22,B108:U108)</f>
        <v/>
      </c>
      <c r="X46" s="195">
        <f>SUMPRODUCT($B$22:$U$22,B76:U76)</f>
        <v/>
      </c>
    </row>
    <row r="47">
      <c r="A47" s="192" t="inlineStr">
        <is>
          <t>24</t>
        </is>
      </c>
      <c r="B47" s="194">
        <f>B109*'01_Вводные'!$H$263</f>
        <v/>
      </c>
      <c r="C47" s="194">
        <f>C109*'01_Вводные'!$H$264</f>
        <v/>
      </c>
      <c r="D47" s="194">
        <f>D109*'01_Вводные'!$H$265</f>
        <v/>
      </c>
      <c r="E47" s="194">
        <f>E109*'01_Вводные'!$H$266</f>
        <v/>
      </c>
      <c r="F47" s="194">
        <f>F109*'01_Вводные'!$H$267</f>
        <v/>
      </c>
      <c r="G47" s="194">
        <f>G109*'01_Вводные'!$H$268</f>
        <v/>
      </c>
      <c r="H47" s="194">
        <f>H109*'01_Вводные'!$H$269</f>
        <v/>
      </c>
      <c r="I47" s="194">
        <f>I109*'01_Вводные'!$H$270</f>
        <v/>
      </c>
      <c r="J47" s="194">
        <f>J109*'01_Вводные'!$H$271</f>
        <v/>
      </c>
      <c r="K47" s="194">
        <f>K109*'01_Вводные'!$H$272</f>
        <v/>
      </c>
      <c r="L47" s="194">
        <f>L109*'01_Вводные'!$H$273</f>
        <v/>
      </c>
      <c r="M47" s="194">
        <f>M109*'01_Вводные'!$H$274</f>
        <v/>
      </c>
      <c r="N47" s="194">
        <f>N109*'01_Вводные'!$H$275</f>
        <v/>
      </c>
      <c r="O47" s="194">
        <f>O109*'01_Вводные'!$H$276</f>
        <v/>
      </c>
      <c r="P47" s="194">
        <f>P109*'01_Вводные'!$H$277</f>
        <v/>
      </c>
      <c r="Q47" s="194">
        <f>Q109*'01_Вводные'!$H$278</f>
        <v/>
      </c>
      <c r="R47" s="194">
        <f>R109*'01_Вводные'!$H$279</f>
        <v/>
      </c>
      <c r="S47" s="194">
        <f>S109*'01_Вводные'!$H$280</f>
        <v/>
      </c>
      <c r="T47" s="194">
        <f>T109*'01_Вводные'!$H$281</f>
        <v/>
      </c>
      <c r="U47" s="194">
        <f>U109*'01_Вводные'!$H$282</f>
        <v/>
      </c>
      <c r="W47" s="195">
        <f>SUMPRODUCT($B$22:$U$22,B109:U109)</f>
        <v/>
      </c>
      <c r="X47" s="195">
        <f>SUMPRODUCT($B$22:$U$22,B77:U77)</f>
        <v/>
      </c>
    </row>
    <row r="48">
      <c r="A48" s="192" t="inlineStr">
        <is>
          <t>25+</t>
        </is>
      </c>
      <c r="B48" s="194">
        <f>B110*'01_Вводные'!$H$263</f>
        <v/>
      </c>
      <c r="C48" s="194">
        <f>C110*'01_Вводные'!$H$264</f>
        <v/>
      </c>
      <c r="D48" s="194">
        <f>D110*'01_Вводные'!$H$265</f>
        <v/>
      </c>
      <c r="E48" s="194">
        <f>E110*'01_Вводные'!$H$266</f>
        <v/>
      </c>
      <c r="F48" s="194">
        <f>F110*'01_Вводные'!$H$267</f>
        <v/>
      </c>
      <c r="G48" s="194">
        <f>G110*'01_Вводные'!$H$268</f>
        <v/>
      </c>
      <c r="H48" s="194">
        <f>H110*'01_Вводные'!$H$269</f>
        <v/>
      </c>
      <c r="I48" s="194">
        <f>I110*'01_Вводные'!$H$270</f>
        <v/>
      </c>
      <c r="J48" s="194">
        <f>J110*'01_Вводные'!$H$271</f>
        <v/>
      </c>
      <c r="K48" s="194">
        <f>K110*'01_Вводные'!$H$272</f>
        <v/>
      </c>
      <c r="L48" s="194">
        <f>L110*'01_Вводные'!$H$273</f>
        <v/>
      </c>
      <c r="M48" s="194">
        <f>M110*'01_Вводные'!$H$274</f>
        <v/>
      </c>
      <c r="N48" s="194">
        <f>N110*'01_Вводные'!$H$275</f>
        <v/>
      </c>
      <c r="O48" s="194">
        <f>O110*'01_Вводные'!$H$276</f>
        <v/>
      </c>
      <c r="P48" s="194">
        <f>P110*'01_Вводные'!$H$277</f>
        <v/>
      </c>
      <c r="Q48" s="194">
        <f>Q110*'01_Вводные'!$H$278</f>
        <v/>
      </c>
      <c r="R48" s="194">
        <f>R110*'01_Вводные'!$H$279</f>
        <v/>
      </c>
      <c r="S48" s="194">
        <f>S110*'01_Вводные'!$H$280</f>
        <v/>
      </c>
      <c r="T48" s="194">
        <f>T110*'01_Вводные'!$H$281</f>
        <v/>
      </c>
      <c r="U48" s="194">
        <f>U110*'01_Вводные'!$H$282</f>
        <v/>
      </c>
      <c r="W48" s="195">
        <f>SUMPRODUCT($B$22:$U$22,B110:U110)</f>
        <v/>
      </c>
      <c r="X48" s="195">
        <f>SUMPRODUCT($B$22:$U$22,B78:U78)</f>
        <v/>
      </c>
    </row>
    <row r="49"/>
    <row r="50"/>
    <row r="51"/>
    <row r="52"/>
    <row r="53"/>
    <row r="54">
      <c r="A54" s="192" t="inlineStr">
        <is>
          <t>1</t>
        </is>
      </c>
      <c r="B54" s="194">
        <f>'01_Вводные'!$I$263</f>
        <v/>
      </c>
      <c r="C54" s="194">
        <f>'01_Вводные'!$I$264</f>
        <v/>
      </c>
      <c r="D54" s="194">
        <f>'01_Вводные'!$I$265</f>
        <v/>
      </c>
      <c r="E54" s="194">
        <f>'01_Вводные'!$I$266</f>
        <v/>
      </c>
      <c r="F54" s="194">
        <f>'01_Вводные'!$I$267</f>
        <v/>
      </c>
      <c r="G54" s="194">
        <f>'01_Вводные'!$I$268</f>
        <v/>
      </c>
      <c r="H54" s="194">
        <f>'01_Вводные'!$I$269</f>
        <v/>
      </c>
      <c r="I54" s="194">
        <f>'01_Вводные'!$I$270</f>
        <v/>
      </c>
      <c r="J54" s="194">
        <f>'01_Вводные'!$I$271</f>
        <v/>
      </c>
      <c r="K54" s="194">
        <f>'01_Вводные'!$I$272</f>
        <v/>
      </c>
      <c r="L54" s="194">
        <f>'01_Вводные'!$I$273</f>
        <v/>
      </c>
      <c r="M54" s="194">
        <f>'01_Вводные'!$I$274</f>
        <v/>
      </c>
      <c r="N54" s="194">
        <f>'01_Вводные'!$I$275</f>
        <v/>
      </c>
      <c r="O54" s="194">
        <f>'01_Вводные'!$I$276</f>
        <v/>
      </c>
      <c r="P54" s="194">
        <f>'01_Вводные'!$I$277</f>
        <v/>
      </c>
      <c r="Q54" s="194">
        <f>'01_Вводные'!$I$278</f>
        <v/>
      </c>
      <c r="R54" s="194">
        <f>'01_Вводные'!$I$279</f>
        <v/>
      </c>
      <c r="S54" s="194">
        <f>'01_Вводные'!$I$280</f>
        <v/>
      </c>
      <c r="T54" s="194">
        <f>'01_Вводные'!$I$281</f>
        <v/>
      </c>
      <c r="U54" s="194">
        <f>'01_Вводные'!$I$282</f>
        <v/>
      </c>
    </row>
    <row r="55">
      <c r="A55" s="192" t="inlineStr">
        <is>
          <t>2</t>
        </is>
      </c>
      <c r="B55" s="194">
        <f>'01_Вводные'!$I$263</f>
        <v/>
      </c>
      <c r="C55" s="194">
        <f>'01_Вводные'!$I$264</f>
        <v/>
      </c>
      <c r="D55" s="194">
        <f>'01_Вводные'!$I$265</f>
        <v/>
      </c>
      <c r="E55" s="194">
        <f>'01_Вводные'!$I$266</f>
        <v/>
      </c>
      <c r="F55" s="194">
        <f>'01_Вводные'!$I$267</f>
        <v/>
      </c>
      <c r="G55" s="194">
        <f>'01_Вводные'!$I$268</f>
        <v/>
      </c>
      <c r="H55" s="194">
        <f>'01_Вводные'!$I$269</f>
        <v/>
      </c>
      <c r="I55" s="194">
        <f>'01_Вводные'!$I$270</f>
        <v/>
      </c>
      <c r="J55" s="194">
        <f>'01_Вводные'!$I$271</f>
        <v/>
      </c>
      <c r="K55" s="194">
        <f>'01_Вводные'!$I$272</f>
        <v/>
      </c>
      <c r="L55" s="194">
        <f>'01_Вводные'!$I$273</f>
        <v/>
      </c>
      <c r="M55" s="194">
        <f>'01_Вводные'!$I$274</f>
        <v/>
      </c>
      <c r="N55" s="194">
        <f>'01_Вводные'!$I$275</f>
        <v/>
      </c>
      <c r="O55" s="194">
        <f>'01_Вводные'!$I$276</f>
        <v/>
      </c>
      <c r="P55" s="194">
        <f>'01_Вводные'!$I$277</f>
        <v/>
      </c>
      <c r="Q55" s="194">
        <f>'01_Вводные'!$I$278</f>
        <v/>
      </c>
      <c r="R55" s="194">
        <f>'01_Вводные'!$I$279</f>
        <v/>
      </c>
      <c r="S55" s="194">
        <f>'01_Вводные'!$I$280</f>
        <v/>
      </c>
      <c r="T55" s="194">
        <f>'01_Вводные'!$I$281</f>
        <v/>
      </c>
      <c r="U55" s="194">
        <f>'01_Вводные'!$I$282</f>
        <v/>
      </c>
    </row>
    <row r="56">
      <c r="A56" s="192" t="inlineStr">
        <is>
          <t>3</t>
        </is>
      </c>
      <c r="B56" s="194">
        <f>'01_Вводные'!$I$263</f>
        <v/>
      </c>
      <c r="C56" s="194">
        <f>'01_Вводные'!$I$264</f>
        <v/>
      </c>
      <c r="D56" s="194">
        <f>'01_Вводные'!$I$265</f>
        <v/>
      </c>
      <c r="E56" s="194">
        <f>'01_Вводные'!$I$266</f>
        <v/>
      </c>
      <c r="F56" s="194">
        <f>'01_Вводные'!$I$267</f>
        <v/>
      </c>
      <c r="G56" s="194">
        <f>'01_Вводные'!$I$268</f>
        <v/>
      </c>
      <c r="H56" s="194">
        <f>'01_Вводные'!$I$269</f>
        <v/>
      </c>
      <c r="I56" s="194">
        <f>'01_Вводные'!$I$270</f>
        <v/>
      </c>
      <c r="J56" s="194">
        <f>'01_Вводные'!$I$271</f>
        <v/>
      </c>
      <c r="K56" s="194">
        <f>'01_Вводные'!$I$272</f>
        <v/>
      </c>
      <c r="L56" s="194">
        <f>'01_Вводные'!$I$273</f>
        <v/>
      </c>
      <c r="M56" s="194">
        <f>'01_Вводные'!$I$274</f>
        <v/>
      </c>
      <c r="N56" s="194">
        <f>'01_Вводные'!$I$275</f>
        <v/>
      </c>
      <c r="O56" s="194">
        <f>'01_Вводные'!$I$276</f>
        <v/>
      </c>
      <c r="P56" s="194">
        <f>'01_Вводные'!$I$277</f>
        <v/>
      </c>
      <c r="Q56" s="194">
        <f>'01_Вводные'!$I$278</f>
        <v/>
      </c>
      <c r="R56" s="194">
        <f>'01_Вводные'!$I$279</f>
        <v/>
      </c>
      <c r="S56" s="194">
        <f>'01_Вводные'!$I$280</f>
        <v/>
      </c>
      <c r="T56" s="194">
        <f>'01_Вводные'!$I$281</f>
        <v/>
      </c>
      <c r="U56" s="194">
        <f>'01_Вводные'!$I$282</f>
        <v/>
      </c>
    </row>
    <row r="57">
      <c r="A57" s="192" t="inlineStr">
        <is>
          <t>4</t>
        </is>
      </c>
      <c r="B57" s="194">
        <f>'01_Вводные'!$I$263</f>
        <v/>
      </c>
      <c r="C57" s="194">
        <f>'01_Вводные'!$I$264</f>
        <v/>
      </c>
      <c r="D57" s="194">
        <f>'01_Вводные'!$I$265</f>
        <v/>
      </c>
      <c r="E57" s="194">
        <f>'01_Вводные'!$I$266</f>
        <v/>
      </c>
      <c r="F57" s="194">
        <f>'01_Вводные'!$I$267</f>
        <v/>
      </c>
      <c r="G57" s="194">
        <f>'01_Вводные'!$I$268</f>
        <v/>
      </c>
      <c r="H57" s="194">
        <f>'01_Вводные'!$I$269</f>
        <v/>
      </c>
      <c r="I57" s="194">
        <f>'01_Вводные'!$I$270</f>
        <v/>
      </c>
      <c r="J57" s="194">
        <f>'01_Вводные'!$I$271</f>
        <v/>
      </c>
      <c r="K57" s="194">
        <f>'01_Вводные'!$I$272</f>
        <v/>
      </c>
      <c r="L57" s="194">
        <f>'01_Вводные'!$I$273</f>
        <v/>
      </c>
      <c r="M57" s="194">
        <f>'01_Вводные'!$I$274</f>
        <v/>
      </c>
      <c r="N57" s="194">
        <f>'01_Вводные'!$I$275</f>
        <v/>
      </c>
      <c r="O57" s="194">
        <f>'01_Вводные'!$I$276</f>
        <v/>
      </c>
      <c r="P57" s="194">
        <f>'01_Вводные'!$I$277</f>
        <v/>
      </c>
      <c r="Q57" s="194">
        <f>'01_Вводные'!$I$278</f>
        <v/>
      </c>
      <c r="R57" s="194">
        <f>'01_Вводные'!$I$279</f>
        <v/>
      </c>
      <c r="S57" s="194">
        <f>'01_Вводные'!$I$280</f>
        <v/>
      </c>
      <c r="T57" s="194">
        <f>'01_Вводные'!$I$281</f>
        <v/>
      </c>
      <c r="U57" s="194">
        <f>'01_Вводные'!$I$282</f>
        <v/>
      </c>
    </row>
    <row r="58">
      <c r="A58" s="192" t="inlineStr">
        <is>
          <t>5</t>
        </is>
      </c>
      <c r="B58" s="194">
        <f>'01_Вводные'!$I$263</f>
        <v/>
      </c>
      <c r="C58" s="194">
        <f>'01_Вводные'!$I$264</f>
        <v/>
      </c>
      <c r="D58" s="194">
        <f>'01_Вводные'!$I$265</f>
        <v/>
      </c>
      <c r="E58" s="194">
        <f>'01_Вводные'!$I$266</f>
        <v/>
      </c>
      <c r="F58" s="194">
        <f>'01_Вводные'!$I$267</f>
        <v/>
      </c>
      <c r="G58" s="194">
        <f>'01_Вводные'!$I$268</f>
        <v/>
      </c>
      <c r="H58" s="194">
        <f>'01_Вводные'!$I$269</f>
        <v/>
      </c>
      <c r="I58" s="194">
        <f>'01_Вводные'!$I$270</f>
        <v/>
      </c>
      <c r="J58" s="194">
        <f>'01_Вводные'!$I$271</f>
        <v/>
      </c>
      <c r="K58" s="194">
        <f>'01_Вводные'!$I$272</f>
        <v/>
      </c>
      <c r="L58" s="194">
        <f>'01_Вводные'!$I$273</f>
        <v/>
      </c>
      <c r="M58" s="194">
        <f>'01_Вводные'!$I$274</f>
        <v/>
      </c>
      <c r="N58" s="194">
        <f>'01_Вводные'!$I$275</f>
        <v/>
      </c>
      <c r="O58" s="194">
        <f>'01_Вводные'!$I$276</f>
        <v/>
      </c>
      <c r="P58" s="194">
        <f>'01_Вводные'!$I$277</f>
        <v/>
      </c>
      <c r="Q58" s="194">
        <f>'01_Вводные'!$I$278</f>
        <v/>
      </c>
      <c r="R58" s="194">
        <f>'01_Вводные'!$I$279</f>
        <v/>
      </c>
      <c r="S58" s="194">
        <f>'01_Вводные'!$I$280</f>
        <v/>
      </c>
      <c r="T58" s="194">
        <f>'01_Вводные'!$I$281</f>
        <v/>
      </c>
      <c r="U58" s="194">
        <f>'01_Вводные'!$I$282</f>
        <v/>
      </c>
    </row>
    <row r="59">
      <c r="A59" s="192" t="inlineStr">
        <is>
          <t>6</t>
        </is>
      </c>
      <c r="B59" s="194">
        <f>'01_Вводные'!$I$263</f>
        <v/>
      </c>
      <c r="C59" s="194">
        <f>'01_Вводные'!$I$264</f>
        <v/>
      </c>
      <c r="D59" s="194">
        <f>'01_Вводные'!$I$265</f>
        <v/>
      </c>
      <c r="E59" s="194">
        <f>'01_Вводные'!$I$266</f>
        <v/>
      </c>
      <c r="F59" s="194">
        <f>'01_Вводные'!$I$267</f>
        <v/>
      </c>
      <c r="G59" s="194">
        <f>'01_Вводные'!$I$268</f>
        <v/>
      </c>
      <c r="H59" s="194">
        <f>'01_Вводные'!$I$269</f>
        <v/>
      </c>
      <c r="I59" s="194">
        <f>'01_Вводные'!$I$270</f>
        <v/>
      </c>
      <c r="J59" s="194">
        <f>'01_Вводные'!$I$271</f>
        <v/>
      </c>
      <c r="K59" s="194">
        <f>'01_Вводные'!$I$272</f>
        <v/>
      </c>
      <c r="L59" s="194">
        <f>'01_Вводные'!$I$273</f>
        <v/>
      </c>
      <c r="M59" s="194">
        <f>'01_Вводные'!$I$274</f>
        <v/>
      </c>
      <c r="N59" s="194">
        <f>'01_Вводные'!$I$275</f>
        <v/>
      </c>
      <c r="O59" s="194">
        <f>'01_Вводные'!$I$276</f>
        <v/>
      </c>
      <c r="P59" s="194">
        <f>'01_Вводные'!$I$277</f>
        <v/>
      </c>
      <c r="Q59" s="194">
        <f>'01_Вводные'!$I$278</f>
        <v/>
      </c>
      <c r="R59" s="194">
        <f>'01_Вводные'!$I$279</f>
        <v/>
      </c>
      <c r="S59" s="194">
        <f>'01_Вводные'!$I$280</f>
        <v/>
      </c>
      <c r="T59" s="194">
        <f>'01_Вводные'!$I$281</f>
        <v/>
      </c>
      <c r="U59" s="194">
        <f>'01_Вводные'!$I$282</f>
        <v/>
      </c>
    </row>
    <row r="60">
      <c r="A60" s="192" t="inlineStr">
        <is>
          <t>7</t>
        </is>
      </c>
      <c r="B60" s="194">
        <f>'01_Вводные'!$I$263</f>
        <v/>
      </c>
      <c r="C60" s="194">
        <f>'01_Вводные'!$I$264</f>
        <v/>
      </c>
      <c r="D60" s="194">
        <f>'01_Вводные'!$I$265</f>
        <v/>
      </c>
      <c r="E60" s="194">
        <f>'01_Вводные'!$I$266</f>
        <v/>
      </c>
      <c r="F60" s="194">
        <f>'01_Вводные'!$I$267</f>
        <v/>
      </c>
      <c r="G60" s="194">
        <f>'01_Вводные'!$I$268</f>
        <v/>
      </c>
      <c r="H60" s="194">
        <f>'01_Вводные'!$I$269</f>
        <v/>
      </c>
      <c r="I60" s="194">
        <f>'01_Вводные'!$I$270</f>
        <v/>
      </c>
      <c r="J60" s="194">
        <f>'01_Вводные'!$I$271</f>
        <v/>
      </c>
      <c r="K60" s="194">
        <f>'01_Вводные'!$I$272</f>
        <v/>
      </c>
      <c r="L60" s="194">
        <f>'01_Вводные'!$I$273</f>
        <v/>
      </c>
      <c r="M60" s="194">
        <f>'01_Вводные'!$I$274</f>
        <v/>
      </c>
      <c r="N60" s="194">
        <f>'01_Вводные'!$I$275</f>
        <v/>
      </c>
      <c r="O60" s="194">
        <f>'01_Вводные'!$I$276</f>
        <v/>
      </c>
      <c r="P60" s="194">
        <f>'01_Вводные'!$I$277</f>
        <v/>
      </c>
      <c r="Q60" s="194">
        <f>'01_Вводные'!$I$278</f>
        <v/>
      </c>
      <c r="R60" s="194">
        <f>'01_Вводные'!$I$279</f>
        <v/>
      </c>
      <c r="S60" s="194">
        <f>'01_Вводные'!$I$280</f>
        <v/>
      </c>
      <c r="T60" s="194">
        <f>'01_Вводные'!$I$281</f>
        <v/>
      </c>
      <c r="U60" s="194">
        <f>'01_Вводные'!$I$282</f>
        <v/>
      </c>
    </row>
    <row r="61">
      <c r="A61" s="192" t="inlineStr">
        <is>
          <t>8</t>
        </is>
      </c>
      <c r="B61" s="194">
        <f>'01_Вводные'!$I$263</f>
        <v/>
      </c>
      <c r="C61" s="194">
        <f>'01_Вводные'!$I$264</f>
        <v/>
      </c>
      <c r="D61" s="194">
        <f>'01_Вводные'!$I$265</f>
        <v/>
      </c>
      <c r="E61" s="194">
        <f>'01_Вводные'!$I$266</f>
        <v/>
      </c>
      <c r="F61" s="194">
        <f>'01_Вводные'!$I$267</f>
        <v/>
      </c>
      <c r="G61" s="194">
        <f>'01_Вводные'!$I$268</f>
        <v/>
      </c>
      <c r="H61" s="194">
        <f>'01_Вводные'!$I$269</f>
        <v/>
      </c>
      <c r="I61" s="194">
        <f>'01_Вводные'!$I$270</f>
        <v/>
      </c>
      <c r="J61" s="194">
        <f>'01_Вводные'!$I$271</f>
        <v/>
      </c>
      <c r="K61" s="194">
        <f>'01_Вводные'!$I$272</f>
        <v/>
      </c>
      <c r="L61" s="194">
        <f>'01_Вводные'!$I$273</f>
        <v/>
      </c>
      <c r="M61" s="194">
        <f>'01_Вводные'!$I$274</f>
        <v/>
      </c>
      <c r="N61" s="194">
        <f>'01_Вводные'!$I$275</f>
        <v/>
      </c>
      <c r="O61" s="194">
        <f>'01_Вводные'!$I$276</f>
        <v/>
      </c>
      <c r="P61" s="194">
        <f>'01_Вводные'!$I$277</f>
        <v/>
      </c>
      <c r="Q61" s="194">
        <f>'01_Вводные'!$I$278</f>
        <v/>
      </c>
      <c r="R61" s="194">
        <f>'01_Вводные'!$I$279</f>
        <v/>
      </c>
      <c r="S61" s="194">
        <f>'01_Вводные'!$I$280</f>
        <v/>
      </c>
      <c r="T61" s="194">
        <f>'01_Вводные'!$I$281</f>
        <v/>
      </c>
      <c r="U61" s="194">
        <f>'01_Вводные'!$I$282</f>
        <v/>
      </c>
    </row>
    <row r="62">
      <c r="A62" s="192" t="inlineStr">
        <is>
          <t>9</t>
        </is>
      </c>
      <c r="B62" s="194">
        <f>'01_Вводные'!$I$263</f>
        <v/>
      </c>
      <c r="C62" s="194">
        <f>'01_Вводные'!$I$264</f>
        <v/>
      </c>
      <c r="D62" s="194">
        <f>'01_Вводные'!$I$265</f>
        <v/>
      </c>
      <c r="E62" s="194">
        <f>'01_Вводные'!$I$266</f>
        <v/>
      </c>
      <c r="F62" s="194">
        <f>'01_Вводные'!$I$267</f>
        <v/>
      </c>
      <c r="G62" s="194">
        <f>'01_Вводные'!$I$268</f>
        <v/>
      </c>
      <c r="H62" s="194">
        <f>'01_Вводные'!$I$269</f>
        <v/>
      </c>
      <c r="I62" s="194">
        <f>'01_Вводные'!$I$270</f>
        <v/>
      </c>
      <c r="J62" s="194">
        <f>'01_Вводные'!$I$271</f>
        <v/>
      </c>
      <c r="K62" s="194">
        <f>'01_Вводные'!$I$272</f>
        <v/>
      </c>
      <c r="L62" s="194">
        <f>'01_Вводные'!$I$273</f>
        <v/>
      </c>
      <c r="M62" s="194">
        <f>'01_Вводные'!$I$274</f>
        <v/>
      </c>
      <c r="N62" s="194">
        <f>'01_Вводные'!$I$275</f>
        <v/>
      </c>
      <c r="O62" s="194">
        <f>'01_Вводные'!$I$276</f>
        <v/>
      </c>
      <c r="P62" s="194">
        <f>'01_Вводные'!$I$277</f>
        <v/>
      </c>
      <c r="Q62" s="194">
        <f>'01_Вводные'!$I$278</f>
        <v/>
      </c>
      <c r="R62" s="194">
        <f>'01_Вводные'!$I$279</f>
        <v/>
      </c>
      <c r="S62" s="194">
        <f>'01_Вводные'!$I$280</f>
        <v/>
      </c>
      <c r="T62" s="194">
        <f>'01_Вводные'!$I$281</f>
        <v/>
      </c>
      <c r="U62" s="194">
        <f>'01_Вводные'!$I$282</f>
        <v/>
      </c>
    </row>
    <row r="63">
      <c r="A63" s="192" t="inlineStr">
        <is>
          <t>10</t>
        </is>
      </c>
      <c r="B63" s="194">
        <f>'01_Вводные'!$I$263</f>
        <v/>
      </c>
      <c r="C63" s="194">
        <f>'01_Вводные'!$I$264</f>
        <v/>
      </c>
      <c r="D63" s="194">
        <f>'01_Вводные'!$I$265</f>
        <v/>
      </c>
      <c r="E63" s="194">
        <f>'01_Вводные'!$I$266</f>
        <v/>
      </c>
      <c r="F63" s="194">
        <f>'01_Вводные'!$I$267</f>
        <v/>
      </c>
      <c r="G63" s="194">
        <f>'01_Вводные'!$I$268</f>
        <v/>
      </c>
      <c r="H63" s="194">
        <f>'01_Вводные'!$I$269</f>
        <v/>
      </c>
      <c r="I63" s="194">
        <f>'01_Вводные'!$I$270</f>
        <v/>
      </c>
      <c r="J63" s="194">
        <f>'01_Вводные'!$I$271</f>
        <v/>
      </c>
      <c r="K63" s="194">
        <f>'01_Вводные'!$I$272</f>
        <v/>
      </c>
      <c r="L63" s="194">
        <f>'01_Вводные'!$I$273</f>
        <v/>
      </c>
      <c r="M63" s="194">
        <f>'01_Вводные'!$I$274</f>
        <v/>
      </c>
      <c r="N63" s="194">
        <f>'01_Вводные'!$I$275</f>
        <v/>
      </c>
      <c r="O63" s="194">
        <f>'01_Вводные'!$I$276</f>
        <v/>
      </c>
      <c r="P63" s="194">
        <f>'01_Вводные'!$I$277</f>
        <v/>
      </c>
      <c r="Q63" s="194">
        <f>'01_Вводные'!$I$278</f>
        <v/>
      </c>
      <c r="R63" s="194">
        <f>'01_Вводные'!$I$279</f>
        <v/>
      </c>
      <c r="S63" s="194">
        <f>'01_Вводные'!$I$280</f>
        <v/>
      </c>
      <c r="T63" s="194">
        <f>'01_Вводные'!$I$281</f>
        <v/>
      </c>
      <c r="U63" s="194">
        <f>'01_Вводные'!$I$282</f>
        <v/>
      </c>
    </row>
    <row r="64">
      <c r="A64" s="192" t="inlineStr">
        <is>
          <t>11</t>
        </is>
      </c>
      <c r="B64" s="194">
        <f>'01_Вводные'!$I$263</f>
        <v/>
      </c>
      <c r="C64" s="194">
        <f>'01_Вводные'!$I$264</f>
        <v/>
      </c>
      <c r="D64" s="194">
        <f>'01_Вводные'!$I$265</f>
        <v/>
      </c>
      <c r="E64" s="194">
        <f>'01_Вводные'!$I$266</f>
        <v/>
      </c>
      <c r="F64" s="194">
        <f>'01_Вводные'!$I$267</f>
        <v/>
      </c>
      <c r="G64" s="194">
        <f>'01_Вводные'!$I$268</f>
        <v/>
      </c>
      <c r="H64" s="194">
        <f>'01_Вводные'!$I$269</f>
        <v/>
      </c>
      <c r="I64" s="194">
        <f>'01_Вводные'!$I$270</f>
        <v/>
      </c>
      <c r="J64" s="194">
        <f>'01_Вводные'!$I$271</f>
        <v/>
      </c>
      <c r="K64" s="194">
        <f>'01_Вводные'!$I$272</f>
        <v/>
      </c>
      <c r="L64" s="194">
        <f>'01_Вводные'!$I$273</f>
        <v/>
      </c>
      <c r="M64" s="194">
        <f>'01_Вводные'!$I$274</f>
        <v/>
      </c>
      <c r="N64" s="194">
        <f>'01_Вводные'!$I$275</f>
        <v/>
      </c>
      <c r="O64" s="194">
        <f>'01_Вводные'!$I$276</f>
        <v/>
      </c>
      <c r="P64" s="194">
        <f>'01_Вводные'!$I$277</f>
        <v/>
      </c>
      <c r="Q64" s="194">
        <f>'01_Вводные'!$I$278</f>
        <v/>
      </c>
      <c r="R64" s="194">
        <f>'01_Вводные'!$I$279</f>
        <v/>
      </c>
      <c r="S64" s="194">
        <f>'01_Вводные'!$I$280</f>
        <v/>
      </c>
      <c r="T64" s="194">
        <f>'01_Вводные'!$I$281</f>
        <v/>
      </c>
      <c r="U64" s="194">
        <f>'01_Вводные'!$I$282</f>
        <v/>
      </c>
    </row>
    <row r="65">
      <c r="A65" s="192" t="inlineStr">
        <is>
          <t>12</t>
        </is>
      </c>
      <c r="B65" s="194">
        <f>'01_Вводные'!$I$263</f>
        <v/>
      </c>
      <c r="C65" s="194">
        <f>'01_Вводные'!$I$264</f>
        <v/>
      </c>
      <c r="D65" s="194">
        <f>'01_Вводные'!$I$265</f>
        <v/>
      </c>
      <c r="E65" s="194">
        <f>'01_Вводные'!$I$266</f>
        <v/>
      </c>
      <c r="F65" s="194">
        <f>'01_Вводные'!$I$267</f>
        <v/>
      </c>
      <c r="G65" s="194">
        <f>'01_Вводные'!$I$268</f>
        <v/>
      </c>
      <c r="H65" s="194">
        <f>'01_Вводные'!$I$269</f>
        <v/>
      </c>
      <c r="I65" s="194">
        <f>'01_Вводные'!$I$270</f>
        <v/>
      </c>
      <c r="J65" s="194">
        <f>'01_Вводные'!$I$271</f>
        <v/>
      </c>
      <c r="K65" s="194">
        <f>'01_Вводные'!$I$272</f>
        <v/>
      </c>
      <c r="L65" s="194">
        <f>'01_Вводные'!$I$273</f>
        <v/>
      </c>
      <c r="M65" s="194">
        <f>'01_Вводные'!$I$274</f>
        <v/>
      </c>
      <c r="N65" s="194">
        <f>'01_Вводные'!$I$275</f>
        <v/>
      </c>
      <c r="O65" s="194">
        <f>'01_Вводные'!$I$276</f>
        <v/>
      </c>
      <c r="P65" s="194">
        <f>'01_Вводные'!$I$277</f>
        <v/>
      </c>
      <c r="Q65" s="194">
        <f>'01_Вводные'!$I$278</f>
        <v/>
      </c>
      <c r="R65" s="194">
        <f>'01_Вводные'!$I$279</f>
        <v/>
      </c>
      <c r="S65" s="194">
        <f>'01_Вводные'!$I$280</f>
        <v/>
      </c>
      <c r="T65" s="194">
        <f>'01_Вводные'!$I$281</f>
        <v/>
      </c>
      <c r="U65" s="194">
        <f>'01_Вводные'!$I$282</f>
        <v/>
      </c>
    </row>
    <row r="66">
      <c r="A66" s="192" t="inlineStr">
        <is>
          <t>13</t>
        </is>
      </c>
      <c r="B66" s="194">
        <f>'01_Вводные'!$J$263</f>
        <v/>
      </c>
      <c r="C66" s="194">
        <f>'01_Вводные'!$J$264</f>
        <v/>
      </c>
      <c r="D66" s="194">
        <f>'01_Вводные'!$J$265</f>
        <v/>
      </c>
      <c r="E66" s="194">
        <f>'01_Вводные'!$J$266</f>
        <v/>
      </c>
      <c r="F66" s="194">
        <f>'01_Вводные'!$J$267</f>
        <v/>
      </c>
      <c r="G66" s="194">
        <f>'01_Вводные'!$J$268</f>
        <v/>
      </c>
      <c r="H66" s="194">
        <f>'01_Вводные'!$J$269</f>
        <v/>
      </c>
      <c r="I66" s="194">
        <f>'01_Вводные'!$J$270</f>
        <v/>
      </c>
      <c r="J66" s="194">
        <f>'01_Вводные'!$J$271</f>
        <v/>
      </c>
      <c r="K66" s="194">
        <f>'01_Вводные'!$J$272</f>
        <v/>
      </c>
      <c r="L66" s="194">
        <f>'01_Вводные'!$J$273</f>
        <v/>
      </c>
      <c r="M66" s="194">
        <f>'01_Вводные'!$J$274</f>
        <v/>
      </c>
      <c r="N66" s="194">
        <f>'01_Вводные'!$J$275</f>
        <v/>
      </c>
      <c r="O66" s="194">
        <f>'01_Вводные'!$J$276</f>
        <v/>
      </c>
      <c r="P66" s="194">
        <f>'01_Вводные'!$J$277</f>
        <v/>
      </c>
      <c r="Q66" s="194">
        <f>'01_Вводные'!$J$278</f>
        <v/>
      </c>
      <c r="R66" s="194">
        <f>'01_Вводные'!$J$279</f>
        <v/>
      </c>
      <c r="S66" s="194">
        <f>'01_Вводные'!$J$280</f>
        <v/>
      </c>
      <c r="T66" s="194">
        <f>'01_Вводные'!$J$281</f>
        <v/>
      </c>
      <c r="U66" s="194">
        <f>'01_Вводные'!$J$282</f>
        <v/>
      </c>
    </row>
    <row r="67">
      <c r="A67" s="192" t="inlineStr">
        <is>
          <t>14</t>
        </is>
      </c>
      <c r="B67" s="194">
        <f>'01_Вводные'!$J$263</f>
        <v/>
      </c>
      <c r="C67" s="194">
        <f>'01_Вводные'!$J$264</f>
        <v/>
      </c>
      <c r="D67" s="194">
        <f>'01_Вводные'!$J$265</f>
        <v/>
      </c>
      <c r="E67" s="194">
        <f>'01_Вводные'!$J$266</f>
        <v/>
      </c>
      <c r="F67" s="194">
        <f>'01_Вводные'!$J$267</f>
        <v/>
      </c>
      <c r="G67" s="194">
        <f>'01_Вводные'!$J$268</f>
        <v/>
      </c>
      <c r="H67" s="194">
        <f>'01_Вводные'!$J$269</f>
        <v/>
      </c>
      <c r="I67" s="194">
        <f>'01_Вводные'!$J$270</f>
        <v/>
      </c>
      <c r="J67" s="194">
        <f>'01_Вводные'!$J$271</f>
        <v/>
      </c>
      <c r="K67" s="194">
        <f>'01_Вводные'!$J$272</f>
        <v/>
      </c>
      <c r="L67" s="194">
        <f>'01_Вводные'!$J$273</f>
        <v/>
      </c>
      <c r="M67" s="194">
        <f>'01_Вводные'!$J$274</f>
        <v/>
      </c>
      <c r="N67" s="194">
        <f>'01_Вводные'!$J$275</f>
        <v/>
      </c>
      <c r="O67" s="194">
        <f>'01_Вводные'!$J$276</f>
        <v/>
      </c>
      <c r="P67" s="194">
        <f>'01_Вводные'!$J$277</f>
        <v/>
      </c>
      <c r="Q67" s="194">
        <f>'01_Вводные'!$J$278</f>
        <v/>
      </c>
      <c r="R67" s="194">
        <f>'01_Вводные'!$J$279</f>
        <v/>
      </c>
      <c r="S67" s="194">
        <f>'01_Вводные'!$J$280</f>
        <v/>
      </c>
      <c r="T67" s="194">
        <f>'01_Вводные'!$J$281</f>
        <v/>
      </c>
      <c r="U67" s="194">
        <f>'01_Вводные'!$J$282</f>
        <v/>
      </c>
    </row>
    <row r="68">
      <c r="A68" s="192" t="inlineStr">
        <is>
          <t>15</t>
        </is>
      </c>
      <c r="B68" s="194">
        <f>'01_Вводные'!$J$263</f>
        <v/>
      </c>
      <c r="C68" s="194">
        <f>'01_Вводные'!$J$264</f>
        <v/>
      </c>
      <c r="D68" s="194">
        <f>'01_Вводные'!$J$265</f>
        <v/>
      </c>
      <c r="E68" s="194">
        <f>'01_Вводные'!$J$266</f>
        <v/>
      </c>
      <c r="F68" s="194">
        <f>'01_Вводные'!$J$267</f>
        <v/>
      </c>
      <c r="G68" s="194">
        <f>'01_Вводные'!$J$268</f>
        <v/>
      </c>
      <c r="H68" s="194">
        <f>'01_Вводные'!$J$269</f>
        <v/>
      </c>
      <c r="I68" s="194">
        <f>'01_Вводные'!$J$270</f>
        <v/>
      </c>
      <c r="J68" s="194">
        <f>'01_Вводные'!$J$271</f>
        <v/>
      </c>
      <c r="K68" s="194">
        <f>'01_Вводные'!$J$272</f>
        <v/>
      </c>
      <c r="L68" s="194">
        <f>'01_Вводные'!$J$273</f>
        <v/>
      </c>
      <c r="M68" s="194">
        <f>'01_Вводные'!$J$274</f>
        <v/>
      </c>
      <c r="N68" s="194">
        <f>'01_Вводные'!$J$275</f>
        <v/>
      </c>
      <c r="O68" s="194">
        <f>'01_Вводные'!$J$276</f>
        <v/>
      </c>
      <c r="P68" s="194">
        <f>'01_Вводные'!$J$277</f>
        <v/>
      </c>
      <c r="Q68" s="194">
        <f>'01_Вводные'!$J$278</f>
        <v/>
      </c>
      <c r="R68" s="194">
        <f>'01_Вводные'!$J$279</f>
        <v/>
      </c>
      <c r="S68" s="194">
        <f>'01_Вводные'!$J$280</f>
        <v/>
      </c>
      <c r="T68" s="194">
        <f>'01_Вводные'!$J$281</f>
        <v/>
      </c>
      <c r="U68" s="194">
        <f>'01_Вводные'!$J$282</f>
        <v/>
      </c>
    </row>
    <row r="69">
      <c r="A69" s="192" t="inlineStr">
        <is>
          <t>16</t>
        </is>
      </c>
      <c r="B69" s="194">
        <f>'01_Вводные'!$J$263</f>
        <v/>
      </c>
      <c r="C69" s="194">
        <f>'01_Вводные'!$J$264</f>
        <v/>
      </c>
      <c r="D69" s="194">
        <f>'01_Вводные'!$J$265</f>
        <v/>
      </c>
      <c r="E69" s="194">
        <f>'01_Вводные'!$J$266</f>
        <v/>
      </c>
      <c r="F69" s="194">
        <f>'01_Вводные'!$J$267</f>
        <v/>
      </c>
      <c r="G69" s="194">
        <f>'01_Вводные'!$J$268</f>
        <v/>
      </c>
      <c r="H69" s="194">
        <f>'01_Вводные'!$J$269</f>
        <v/>
      </c>
      <c r="I69" s="194">
        <f>'01_Вводные'!$J$270</f>
        <v/>
      </c>
      <c r="J69" s="194">
        <f>'01_Вводные'!$J$271</f>
        <v/>
      </c>
      <c r="K69" s="194">
        <f>'01_Вводные'!$J$272</f>
        <v/>
      </c>
      <c r="L69" s="194">
        <f>'01_Вводные'!$J$273</f>
        <v/>
      </c>
      <c r="M69" s="194">
        <f>'01_Вводные'!$J$274</f>
        <v/>
      </c>
      <c r="N69" s="194">
        <f>'01_Вводные'!$J$275</f>
        <v/>
      </c>
      <c r="O69" s="194">
        <f>'01_Вводные'!$J$276</f>
        <v/>
      </c>
      <c r="P69" s="194">
        <f>'01_Вводные'!$J$277</f>
        <v/>
      </c>
      <c r="Q69" s="194">
        <f>'01_Вводные'!$J$278</f>
        <v/>
      </c>
      <c r="R69" s="194">
        <f>'01_Вводные'!$J$279</f>
        <v/>
      </c>
      <c r="S69" s="194">
        <f>'01_Вводные'!$J$280</f>
        <v/>
      </c>
      <c r="T69" s="194">
        <f>'01_Вводные'!$J$281</f>
        <v/>
      </c>
      <c r="U69" s="194">
        <f>'01_Вводные'!$J$282</f>
        <v/>
      </c>
    </row>
    <row r="70">
      <c r="A70" s="192" t="inlineStr">
        <is>
          <t>17</t>
        </is>
      </c>
      <c r="B70" s="194">
        <f>'01_Вводные'!$J$263</f>
        <v/>
      </c>
      <c r="C70" s="194">
        <f>'01_Вводные'!$J$264</f>
        <v/>
      </c>
      <c r="D70" s="194">
        <f>'01_Вводные'!$J$265</f>
        <v/>
      </c>
      <c r="E70" s="194">
        <f>'01_Вводные'!$J$266</f>
        <v/>
      </c>
      <c r="F70" s="194">
        <f>'01_Вводные'!$J$267</f>
        <v/>
      </c>
      <c r="G70" s="194">
        <f>'01_Вводные'!$J$268</f>
        <v/>
      </c>
      <c r="H70" s="194">
        <f>'01_Вводные'!$J$269</f>
        <v/>
      </c>
      <c r="I70" s="194">
        <f>'01_Вводные'!$J$270</f>
        <v/>
      </c>
      <c r="J70" s="194">
        <f>'01_Вводные'!$J$271</f>
        <v/>
      </c>
      <c r="K70" s="194">
        <f>'01_Вводные'!$J$272</f>
        <v/>
      </c>
      <c r="L70" s="194">
        <f>'01_Вводные'!$J$273</f>
        <v/>
      </c>
      <c r="M70" s="194">
        <f>'01_Вводные'!$J$274</f>
        <v/>
      </c>
      <c r="N70" s="194">
        <f>'01_Вводные'!$J$275</f>
        <v/>
      </c>
      <c r="O70" s="194">
        <f>'01_Вводные'!$J$276</f>
        <v/>
      </c>
      <c r="P70" s="194">
        <f>'01_Вводные'!$J$277</f>
        <v/>
      </c>
      <c r="Q70" s="194">
        <f>'01_Вводные'!$J$278</f>
        <v/>
      </c>
      <c r="R70" s="194">
        <f>'01_Вводные'!$J$279</f>
        <v/>
      </c>
      <c r="S70" s="194">
        <f>'01_Вводные'!$J$280</f>
        <v/>
      </c>
      <c r="T70" s="194">
        <f>'01_Вводные'!$J$281</f>
        <v/>
      </c>
      <c r="U70" s="194">
        <f>'01_Вводные'!$J$282</f>
        <v/>
      </c>
    </row>
    <row r="71">
      <c r="A71" s="192" t="inlineStr">
        <is>
          <t>18</t>
        </is>
      </c>
      <c r="B71" s="194">
        <f>'01_Вводные'!$J$263</f>
        <v/>
      </c>
      <c r="C71" s="194">
        <f>'01_Вводные'!$J$264</f>
        <v/>
      </c>
      <c r="D71" s="194">
        <f>'01_Вводные'!$J$265</f>
        <v/>
      </c>
      <c r="E71" s="194">
        <f>'01_Вводные'!$J$266</f>
        <v/>
      </c>
      <c r="F71" s="194">
        <f>'01_Вводные'!$J$267</f>
        <v/>
      </c>
      <c r="G71" s="194">
        <f>'01_Вводные'!$J$268</f>
        <v/>
      </c>
      <c r="H71" s="194">
        <f>'01_Вводные'!$J$269</f>
        <v/>
      </c>
      <c r="I71" s="194">
        <f>'01_Вводные'!$J$270</f>
        <v/>
      </c>
      <c r="J71" s="194">
        <f>'01_Вводные'!$J$271</f>
        <v/>
      </c>
      <c r="K71" s="194">
        <f>'01_Вводные'!$J$272</f>
        <v/>
      </c>
      <c r="L71" s="194">
        <f>'01_Вводные'!$J$273</f>
        <v/>
      </c>
      <c r="M71" s="194">
        <f>'01_Вводные'!$J$274</f>
        <v/>
      </c>
      <c r="N71" s="194">
        <f>'01_Вводные'!$J$275</f>
        <v/>
      </c>
      <c r="O71" s="194">
        <f>'01_Вводные'!$J$276</f>
        <v/>
      </c>
      <c r="P71" s="194">
        <f>'01_Вводные'!$J$277</f>
        <v/>
      </c>
      <c r="Q71" s="194">
        <f>'01_Вводные'!$J$278</f>
        <v/>
      </c>
      <c r="R71" s="194">
        <f>'01_Вводные'!$J$279</f>
        <v/>
      </c>
      <c r="S71" s="194">
        <f>'01_Вводные'!$J$280</f>
        <v/>
      </c>
      <c r="T71" s="194">
        <f>'01_Вводные'!$J$281</f>
        <v/>
      </c>
      <c r="U71" s="194">
        <f>'01_Вводные'!$J$282</f>
        <v/>
      </c>
    </row>
    <row r="72">
      <c r="A72" s="192" t="inlineStr">
        <is>
          <t>19</t>
        </is>
      </c>
      <c r="B72" s="194">
        <f>'01_Вводные'!$J$263</f>
        <v/>
      </c>
      <c r="C72" s="194">
        <f>'01_Вводные'!$J$264</f>
        <v/>
      </c>
      <c r="D72" s="194">
        <f>'01_Вводные'!$J$265</f>
        <v/>
      </c>
      <c r="E72" s="194">
        <f>'01_Вводные'!$J$266</f>
        <v/>
      </c>
      <c r="F72" s="194">
        <f>'01_Вводные'!$J$267</f>
        <v/>
      </c>
      <c r="G72" s="194">
        <f>'01_Вводные'!$J$268</f>
        <v/>
      </c>
      <c r="H72" s="194">
        <f>'01_Вводные'!$J$269</f>
        <v/>
      </c>
      <c r="I72" s="194">
        <f>'01_Вводные'!$J$270</f>
        <v/>
      </c>
      <c r="J72" s="194">
        <f>'01_Вводные'!$J$271</f>
        <v/>
      </c>
      <c r="K72" s="194">
        <f>'01_Вводные'!$J$272</f>
        <v/>
      </c>
      <c r="L72" s="194">
        <f>'01_Вводные'!$J$273</f>
        <v/>
      </c>
      <c r="M72" s="194">
        <f>'01_Вводные'!$J$274</f>
        <v/>
      </c>
      <c r="N72" s="194">
        <f>'01_Вводные'!$J$275</f>
        <v/>
      </c>
      <c r="O72" s="194">
        <f>'01_Вводные'!$J$276</f>
        <v/>
      </c>
      <c r="P72" s="194">
        <f>'01_Вводные'!$J$277</f>
        <v/>
      </c>
      <c r="Q72" s="194">
        <f>'01_Вводные'!$J$278</f>
        <v/>
      </c>
      <c r="R72" s="194">
        <f>'01_Вводные'!$J$279</f>
        <v/>
      </c>
      <c r="S72" s="194">
        <f>'01_Вводные'!$J$280</f>
        <v/>
      </c>
      <c r="T72" s="194">
        <f>'01_Вводные'!$J$281</f>
        <v/>
      </c>
      <c r="U72" s="194">
        <f>'01_Вводные'!$J$282</f>
        <v/>
      </c>
    </row>
    <row r="73">
      <c r="A73" s="192" t="inlineStr">
        <is>
          <t>20</t>
        </is>
      </c>
      <c r="B73" s="194">
        <f>'01_Вводные'!$J$263</f>
        <v/>
      </c>
      <c r="C73" s="194">
        <f>'01_Вводные'!$J$264</f>
        <v/>
      </c>
      <c r="D73" s="194">
        <f>'01_Вводные'!$J$265</f>
        <v/>
      </c>
      <c r="E73" s="194">
        <f>'01_Вводные'!$J$266</f>
        <v/>
      </c>
      <c r="F73" s="194">
        <f>'01_Вводные'!$J$267</f>
        <v/>
      </c>
      <c r="G73" s="194">
        <f>'01_Вводные'!$J$268</f>
        <v/>
      </c>
      <c r="H73" s="194">
        <f>'01_Вводные'!$J$269</f>
        <v/>
      </c>
      <c r="I73" s="194">
        <f>'01_Вводные'!$J$270</f>
        <v/>
      </c>
      <c r="J73" s="194">
        <f>'01_Вводные'!$J$271</f>
        <v/>
      </c>
      <c r="K73" s="194">
        <f>'01_Вводные'!$J$272</f>
        <v/>
      </c>
      <c r="L73" s="194">
        <f>'01_Вводные'!$J$273</f>
        <v/>
      </c>
      <c r="M73" s="194">
        <f>'01_Вводные'!$J$274</f>
        <v/>
      </c>
      <c r="N73" s="194">
        <f>'01_Вводные'!$J$275</f>
        <v/>
      </c>
      <c r="O73" s="194">
        <f>'01_Вводные'!$J$276</f>
        <v/>
      </c>
      <c r="P73" s="194">
        <f>'01_Вводные'!$J$277</f>
        <v/>
      </c>
      <c r="Q73" s="194">
        <f>'01_Вводные'!$J$278</f>
        <v/>
      </c>
      <c r="R73" s="194">
        <f>'01_Вводные'!$J$279</f>
        <v/>
      </c>
      <c r="S73" s="194">
        <f>'01_Вводные'!$J$280</f>
        <v/>
      </c>
      <c r="T73" s="194">
        <f>'01_Вводные'!$J$281</f>
        <v/>
      </c>
      <c r="U73" s="194">
        <f>'01_Вводные'!$J$282</f>
        <v/>
      </c>
    </row>
    <row r="74">
      <c r="A74" s="192" t="inlineStr">
        <is>
          <t>21</t>
        </is>
      </c>
      <c r="B74" s="194">
        <f>'01_Вводные'!$J$263</f>
        <v/>
      </c>
      <c r="C74" s="194">
        <f>'01_Вводные'!$J$264</f>
        <v/>
      </c>
      <c r="D74" s="194">
        <f>'01_Вводные'!$J$265</f>
        <v/>
      </c>
      <c r="E74" s="194">
        <f>'01_Вводные'!$J$266</f>
        <v/>
      </c>
      <c r="F74" s="194">
        <f>'01_Вводные'!$J$267</f>
        <v/>
      </c>
      <c r="G74" s="194">
        <f>'01_Вводные'!$J$268</f>
        <v/>
      </c>
      <c r="H74" s="194">
        <f>'01_Вводные'!$J$269</f>
        <v/>
      </c>
      <c r="I74" s="194">
        <f>'01_Вводные'!$J$270</f>
        <v/>
      </c>
      <c r="J74" s="194">
        <f>'01_Вводные'!$J$271</f>
        <v/>
      </c>
      <c r="K74" s="194">
        <f>'01_Вводные'!$J$272</f>
        <v/>
      </c>
      <c r="L74" s="194">
        <f>'01_Вводные'!$J$273</f>
        <v/>
      </c>
      <c r="M74" s="194">
        <f>'01_Вводные'!$J$274</f>
        <v/>
      </c>
      <c r="N74" s="194">
        <f>'01_Вводные'!$J$275</f>
        <v/>
      </c>
      <c r="O74" s="194">
        <f>'01_Вводные'!$J$276</f>
        <v/>
      </c>
      <c r="P74" s="194">
        <f>'01_Вводные'!$J$277</f>
        <v/>
      </c>
      <c r="Q74" s="194">
        <f>'01_Вводные'!$J$278</f>
        <v/>
      </c>
      <c r="R74" s="194">
        <f>'01_Вводные'!$J$279</f>
        <v/>
      </c>
      <c r="S74" s="194">
        <f>'01_Вводные'!$J$280</f>
        <v/>
      </c>
      <c r="T74" s="194">
        <f>'01_Вводные'!$J$281</f>
        <v/>
      </c>
      <c r="U74" s="194">
        <f>'01_Вводные'!$J$282</f>
        <v/>
      </c>
    </row>
    <row r="75">
      <c r="A75" s="192" t="inlineStr">
        <is>
          <t>22</t>
        </is>
      </c>
      <c r="B75" s="194">
        <f>'01_Вводные'!$J$263</f>
        <v/>
      </c>
      <c r="C75" s="194">
        <f>'01_Вводные'!$J$264</f>
        <v/>
      </c>
      <c r="D75" s="194">
        <f>'01_Вводные'!$J$265</f>
        <v/>
      </c>
      <c r="E75" s="194">
        <f>'01_Вводные'!$J$266</f>
        <v/>
      </c>
      <c r="F75" s="194">
        <f>'01_Вводные'!$J$267</f>
        <v/>
      </c>
      <c r="G75" s="194">
        <f>'01_Вводные'!$J$268</f>
        <v/>
      </c>
      <c r="H75" s="194">
        <f>'01_Вводные'!$J$269</f>
        <v/>
      </c>
      <c r="I75" s="194">
        <f>'01_Вводные'!$J$270</f>
        <v/>
      </c>
      <c r="J75" s="194">
        <f>'01_Вводные'!$J$271</f>
        <v/>
      </c>
      <c r="K75" s="194">
        <f>'01_Вводные'!$J$272</f>
        <v/>
      </c>
      <c r="L75" s="194">
        <f>'01_Вводные'!$J$273</f>
        <v/>
      </c>
      <c r="M75" s="194">
        <f>'01_Вводные'!$J$274</f>
        <v/>
      </c>
      <c r="N75" s="194">
        <f>'01_Вводные'!$J$275</f>
        <v/>
      </c>
      <c r="O75" s="194">
        <f>'01_Вводные'!$J$276</f>
        <v/>
      </c>
      <c r="P75" s="194">
        <f>'01_Вводные'!$J$277</f>
        <v/>
      </c>
      <c r="Q75" s="194">
        <f>'01_Вводные'!$J$278</f>
        <v/>
      </c>
      <c r="R75" s="194">
        <f>'01_Вводные'!$J$279</f>
        <v/>
      </c>
      <c r="S75" s="194">
        <f>'01_Вводные'!$J$280</f>
        <v/>
      </c>
      <c r="T75" s="194">
        <f>'01_Вводные'!$J$281</f>
        <v/>
      </c>
      <c r="U75" s="194">
        <f>'01_Вводные'!$J$282</f>
        <v/>
      </c>
    </row>
    <row r="76">
      <c r="A76" s="192" t="inlineStr">
        <is>
          <t>23</t>
        </is>
      </c>
      <c r="B76" s="194">
        <f>'01_Вводные'!$J$263</f>
        <v/>
      </c>
      <c r="C76" s="194">
        <f>'01_Вводные'!$J$264</f>
        <v/>
      </c>
      <c r="D76" s="194">
        <f>'01_Вводные'!$J$265</f>
        <v/>
      </c>
      <c r="E76" s="194">
        <f>'01_Вводные'!$J$266</f>
        <v/>
      </c>
      <c r="F76" s="194">
        <f>'01_Вводные'!$J$267</f>
        <v/>
      </c>
      <c r="G76" s="194">
        <f>'01_Вводные'!$J$268</f>
        <v/>
      </c>
      <c r="H76" s="194">
        <f>'01_Вводные'!$J$269</f>
        <v/>
      </c>
      <c r="I76" s="194">
        <f>'01_Вводные'!$J$270</f>
        <v/>
      </c>
      <c r="J76" s="194">
        <f>'01_Вводные'!$J$271</f>
        <v/>
      </c>
      <c r="K76" s="194">
        <f>'01_Вводные'!$J$272</f>
        <v/>
      </c>
      <c r="L76" s="194">
        <f>'01_Вводные'!$J$273</f>
        <v/>
      </c>
      <c r="M76" s="194">
        <f>'01_Вводные'!$J$274</f>
        <v/>
      </c>
      <c r="N76" s="194">
        <f>'01_Вводные'!$J$275</f>
        <v/>
      </c>
      <c r="O76" s="194">
        <f>'01_Вводные'!$J$276</f>
        <v/>
      </c>
      <c r="P76" s="194">
        <f>'01_Вводные'!$J$277</f>
        <v/>
      </c>
      <c r="Q76" s="194">
        <f>'01_Вводные'!$J$278</f>
        <v/>
      </c>
      <c r="R76" s="194">
        <f>'01_Вводные'!$J$279</f>
        <v/>
      </c>
      <c r="S76" s="194">
        <f>'01_Вводные'!$J$280</f>
        <v/>
      </c>
      <c r="T76" s="194">
        <f>'01_Вводные'!$J$281</f>
        <v/>
      </c>
      <c r="U76" s="194">
        <f>'01_Вводные'!$J$282</f>
        <v/>
      </c>
    </row>
    <row r="77">
      <c r="A77" s="192" t="inlineStr">
        <is>
          <t>24</t>
        </is>
      </c>
      <c r="B77" s="194">
        <f>'01_Вводные'!$J$263</f>
        <v/>
      </c>
      <c r="C77" s="194">
        <f>'01_Вводные'!$J$264</f>
        <v/>
      </c>
      <c r="D77" s="194">
        <f>'01_Вводные'!$J$265</f>
        <v/>
      </c>
      <c r="E77" s="194">
        <f>'01_Вводные'!$J$266</f>
        <v/>
      </c>
      <c r="F77" s="194">
        <f>'01_Вводные'!$J$267</f>
        <v/>
      </c>
      <c r="G77" s="194">
        <f>'01_Вводные'!$J$268</f>
        <v/>
      </c>
      <c r="H77" s="194">
        <f>'01_Вводные'!$J$269</f>
        <v/>
      </c>
      <c r="I77" s="194">
        <f>'01_Вводные'!$J$270</f>
        <v/>
      </c>
      <c r="J77" s="194">
        <f>'01_Вводные'!$J$271</f>
        <v/>
      </c>
      <c r="K77" s="194">
        <f>'01_Вводные'!$J$272</f>
        <v/>
      </c>
      <c r="L77" s="194">
        <f>'01_Вводные'!$J$273</f>
        <v/>
      </c>
      <c r="M77" s="194">
        <f>'01_Вводные'!$J$274</f>
        <v/>
      </c>
      <c r="N77" s="194">
        <f>'01_Вводные'!$J$275</f>
        <v/>
      </c>
      <c r="O77" s="194">
        <f>'01_Вводные'!$J$276</f>
        <v/>
      </c>
      <c r="P77" s="194">
        <f>'01_Вводные'!$J$277</f>
        <v/>
      </c>
      <c r="Q77" s="194">
        <f>'01_Вводные'!$J$278</f>
        <v/>
      </c>
      <c r="R77" s="194">
        <f>'01_Вводные'!$J$279</f>
        <v/>
      </c>
      <c r="S77" s="194">
        <f>'01_Вводные'!$J$280</f>
        <v/>
      </c>
      <c r="T77" s="194">
        <f>'01_Вводные'!$J$281</f>
        <v/>
      </c>
      <c r="U77" s="194">
        <f>'01_Вводные'!$J$282</f>
        <v/>
      </c>
    </row>
    <row r="78">
      <c r="A78" s="192" t="inlineStr">
        <is>
          <t>25+</t>
        </is>
      </c>
      <c r="B78" s="194">
        <f>'01_Вводные'!$J$263</f>
        <v/>
      </c>
      <c r="C78" s="194">
        <f>'01_Вводные'!$J$264</f>
        <v/>
      </c>
      <c r="D78" s="194">
        <f>'01_Вводные'!$J$265</f>
        <v/>
      </c>
      <c r="E78" s="194">
        <f>'01_Вводные'!$J$266</f>
        <v/>
      </c>
      <c r="F78" s="194">
        <f>'01_Вводные'!$J$267</f>
        <v/>
      </c>
      <c r="G78" s="194">
        <f>'01_Вводные'!$J$268</f>
        <v/>
      </c>
      <c r="H78" s="194">
        <f>'01_Вводные'!$J$269</f>
        <v/>
      </c>
      <c r="I78" s="194">
        <f>'01_Вводные'!$J$270</f>
        <v/>
      </c>
      <c r="J78" s="194">
        <f>'01_Вводные'!$J$271</f>
        <v/>
      </c>
      <c r="K78" s="194">
        <f>'01_Вводные'!$J$272</f>
        <v/>
      </c>
      <c r="L78" s="194">
        <f>'01_Вводные'!$J$273</f>
        <v/>
      </c>
      <c r="M78" s="194">
        <f>'01_Вводные'!$J$274</f>
        <v/>
      </c>
      <c r="N78" s="194">
        <f>'01_Вводные'!$J$275</f>
        <v/>
      </c>
      <c r="O78" s="194">
        <f>'01_Вводные'!$J$276</f>
        <v/>
      </c>
      <c r="P78" s="194">
        <f>'01_Вводные'!$J$277</f>
        <v/>
      </c>
      <c r="Q78" s="194">
        <f>'01_Вводные'!$J$278</f>
        <v/>
      </c>
      <c r="R78" s="194">
        <f>'01_Вводные'!$J$279</f>
        <v/>
      </c>
      <c r="S78" s="194">
        <f>'01_Вводные'!$J$280</f>
        <v/>
      </c>
      <c r="T78" s="194">
        <f>'01_Вводные'!$J$281</f>
        <v/>
      </c>
      <c r="U78" s="194">
        <f>'01_Вводные'!$J$282</f>
        <v/>
      </c>
    </row>
    <row r="79"/>
    <row r="80"/>
    <row r="81"/>
    <row r="82"/>
    <row r="83"/>
    <row r="84"/>
    <row r="85"/>
    <row r="86">
      <c r="A86" s="192" t="inlineStr">
        <is>
          <t>1</t>
        </is>
      </c>
      <c r="B86" s="194">
        <f>'01_Вводные'!$E$263*IF('01_Вводные'!$B$295="Да",1/12,1)</f>
        <v/>
      </c>
      <c r="C86" s="194">
        <f>'01_Вводные'!$E$264*IF('01_Вводные'!$B$295="Да",1/12,1)</f>
        <v/>
      </c>
      <c r="D86" s="194">
        <f>'01_Вводные'!$E$265*IF('01_Вводные'!$B$295="Да",1/12,1)</f>
        <v/>
      </c>
      <c r="E86" s="194">
        <f>'01_Вводные'!$E$266*IF('01_Вводные'!$B$295="Да",1/12,1)</f>
        <v/>
      </c>
      <c r="F86" s="194">
        <f>'01_Вводные'!$E$267*IF('01_Вводные'!$B$295="Да",1/12,1)</f>
        <v/>
      </c>
      <c r="G86" s="194">
        <f>'01_Вводные'!$E$268*IF('01_Вводные'!$B$295="Да",1/12,1)</f>
        <v/>
      </c>
      <c r="H86" s="194">
        <f>'01_Вводные'!$E$269*IF('01_Вводные'!$B$295="Да",1/12,1)</f>
        <v/>
      </c>
      <c r="I86" s="194">
        <f>'01_Вводные'!$E$270*IF('01_Вводные'!$B$295="Да",1/12,1)</f>
        <v/>
      </c>
      <c r="J86" s="194">
        <f>'01_Вводные'!$E$271*IF('01_Вводные'!$B$295="Да",1/12,1)</f>
        <v/>
      </c>
      <c r="K86" s="194">
        <f>'01_Вводные'!$E$272*IF('01_Вводные'!$B$295="Да",1/12,1)</f>
        <v/>
      </c>
      <c r="L86" s="194">
        <f>'01_Вводные'!$E$273*IF('01_Вводные'!$B$295="Да",1/12,1)</f>
        <v/>
      </c>
      <c r="M86" s="194">
        <f>'01_Вводные'!$E$274*IF('01_Вводные'!$B$295="Да",1/12,1)</f>
        <v/>
      </c>
      <c r="N86" s="194">
        <f>'01_Вводные'!$E$275*IF('01_Вводные'!$B$295="Да",1/12,1)</f>
        <v/>
      </c>
      <c r="O86" s="194">
        <f>'01_Вводные'!$E$276*IF('01_Вводные'!$B$295="Да",1/12,1)</f>
        <v/>
      </c>
      <c r="P86" s="194">
        <f>'01_Вводные'!$E$277*IF('01_Вводные'!$B$295="Да",1/12,1)</f>
        <v/>
      </c>
      <c r="Q86" s="194">
        <f>'01_Вводные'!$E$278*IF('01_Вводные'!$B$295="Да",1/12,1)</f>
        <v/>
      </c>
      <c r="R86" s="194">
        <f>'01_Вводные'!$E$279*IF('01_Вводные'!$B$295="Да",1/12,1)</f>
        <v/>
      </c>
      <c r="S86" s="194">
        <f>'01_Вводные'!$E$280*IF('01_Вводные'!$B$295="Да",1/12,1)</f>
        <v/>
      </c>
      <c r="T86" s="194">
        <f>'01_Вводные'!$E$281*IF('01_Вводные'!$B$295="Да",1/12,1)</f>
        <v/>
      </c>
      <c r="U86" s="194">
        <f>'01_Вводные'!$E$282*IF('01_Вводные'!$B$295="Да",1/12,1)</f>
        <v/>
      </c>
    </row>
    <row r="87">
      <c r="A87" s="192" t="inlineStr">
        <is>
          <t>2</t>
        </is>
      </c>
      <c r="B87" s="194">
        <f>'01_Вводные'!$E$263*IF('01_Вводные'!$B$295="Да",2/12,1)</f>
        <v/>
      </c>
      <c r="C87" s="194">
        <f>'01_Вводные'!$E$264*IF('01_Вводные'!$B$295="Да",2/12,1)</f>
        <v/>
      </c>
      <c r="D87" s="194">
        <f>'01_Вводные'!$E$265*IF('01_Вводные'!$B$295="Да",2/12,1)</f>
        <v/>
      </c>
      <c r="E87" s="194">
        <f>'01_Вводные'!$E$266*IF('01_Вводные'!$B$295="Да",2/12,1)</f>
        <v/>
      </c>
      <c r="F87" s="194">
        <f>'01_Вводные'!$E$267*IF('01_Вводные'!$B$295="Да",2/12,1)</f>
        <v/>
      </c>
      <c r="G87" s="194">
        <f>'01_Вводные'!$E$268*IF('01_Вводные'!$B$295="Да",2/12,1)</f>
        <v/>
      </c>
      <c r="H87" s="194">
        <f>'01_Вводные'!$E$269*IF('01_Вводные'!$B$295="Да",2/12,1)</f>
        <v/>
      </c>
      <c r="I87" s="194">
        <f>'01_Вводные'!$E$270*IF('01_Вводные'!$B$295="Да",2/12,1)</f>
        <v/>
      </c>
      <c r="J87" s="194">
        <f>'01_Вводные'!$E$271*IF('01_Вводные'!$B$295="Да",2/12,1)</f>
        <v/>
      </c>
      <c r="K87" s="194">
        <f>'01_Вводные'!$E$272*IF('01_Вводные'!$B$295="Да",2/12,1)</f>
        <v/>
      </c>
      <c r="L87" s="194">
        <f>'01_Вводные'!$E$273*IF('01_Вводные'!$B$295="Да",2/12,1)</f>
        <v/>
      </c>
      <c r="M87" s="194">
        <f>'01_Вводные'!$E$274*IF('01_Вводные'!$B$295="Да",2/12,1)</f>
        <v/>
      </c>
      <c r="N87" s="194">
        <f>'01_Вводные'!$E$275*IF('01_Вводные'!$B$295="Да",2/12,1)</f>
        <v/>
      </c>
      <c r="O87" s="194">
        <f>'01_Вводные'!$E$276*IF('01_Вводные'!$B$295="Да",2/12,1)</f>
        <v/>
      </c>
      <c r="P87" s="194">
        <f>'01_Вводные'!$E$277*IF('01_Вводные'!$B$295="Да",2/12,1)</f>
        <v/>
      </c>
      <c r="Q87" s="194">
        <f>'01_Вводные'!$E$278*IF('01_Вводные'!$B$295="Да",2/12,1)</f>
        <v/>
      </c>
      <c r="R87" s="194">
        <f>'01_Вводные'!$E$279*IF('01_Вводные'!$B$295="Да",2/12,1)</f>
        <v/>
      </c>
      <c r="S87" s="194">
        <f>'01_Вводные'!$E$280*IF('01_Вводные'!$B$295="Да",2/12,1)</f>
        <v/>
      </c>
      <c r="T87" s="194">
        <f>'01_Вводные'!$E$281*IF('01_Вводные'!$B$295="Да",2/12,1)</f>
        <v/>
      </c>
      <c r="U87" s="194">
        <f>'01_Вводные'!$E$282*IF('01_Вводные'!$B$295="Да",2/12,1)</f>
        <v/>
      </c>
    </row>
    <row r="88">
      <c r="A88" s="192" t="inlineStr">
        <is>
          <t>3</t>
        </is>
      </c>
      <c r="B88" s="194">
        <f>'01_Вводные'!$E$263*IF('01_Вводные'!$B$295="Да",3/12,1)</f>
        <v/>
      </c>
      <c r="C88" s="194">
        <f>'01_Вводные'!$E$264*IF('01_Вводные'!$B$295="Да",3/12,1)</f>
        <v/>
      </c>
      <c r="D88" s="194">
        <f>'01_Вводные'!$E$265*IF('01_Вводные'!$B$295="Да",3/12,1)</f>
        <v/>
      </c>
      <c r="E88" s="194">
        <f>'01_Вводные'!$E$266*IF('01_Вводные'!$B$295="Да",3/12,1)</f>
        <v/>
      </c>
      <c r="F88" s="194">
        <f>'01_Вводные'!$E$267*IF('01_Вводные'!$B$295="Да",3/12,1)</f>
        <v/>
      </c>
      <c r="G88" s="194">
        <f>'01_Вводные'!$E$268*IF('01_Вводные'!$B$295="Да",3/12,1)</f>
        <v/>
      </c>
      <c r="H88" s="194">
        <f>'01_Вводные'!$E$269*IF('01_Вводные'!$B$295="Да",3/12,1)</f>
        <v/>
      </c>
      <c r="I88" s="194">
        <f>'01_Вводные'!$E$270*IF('01_Вводные'!$B$295="Да",3/12,1)</f>
        <v/>
      </c>
      <c r="J88" s="194">
        <f>'01_Вводные'!$E$271*IF('01_Вводные'!$B$295="Да",3/12,1)</f>
        <v/>
      </c>
      <c r="K88" s="194">
        <f>'01_Вводные'!$E$272*IF('01_Вводные'!$B$295="Да",3/12,1)</f>
        <v/>
      </c>
      <c r="L88" s="194">
        <f>'01_Вводные'!$E$273*IF('01_Вводные'!$B$295="Да",3/12,1)</f>
        <v/>
      </c>
      <c r="M88" s="194">
        <f>'01_Вводные'!$E$274*IF('01_Вводные'!$B$295="Да",3/12,1)</f>
        <v/>
      </c>
      <c r="N88" s="194">
        <f>'01_Вводные'!$E$275*IF('01_Вводные'!$B$295="Да",3/12,1)</f>
        <v/>
      </c>
      <c r="O88" s="194">
        <f>'01_Вводные'!$E$276*IF('01_Вводные'!$B$295="Да",3/12,1)</f>
        <v/>
      </c>
      <c r="P88" s="194">
        <f>'01_Вводные'!$E$277*IF('01_Вводные'!$B$295="Да",3/12,1)</f>
        <v/>
      </c>
      <c r="Q88" s="194">
        <f>'01_Вводные'!$E$278*IF('01_Вводные'!$B$295="Да",3/12,1)</f>
        <v/>
      </c>
      <c r="R88" s="194">
        <f>'01_Вводные'!$E$279*IF('01_Вводные'!$B$295="Да",3/12,1)</f>
        <v/>
      </c>
      <c r="S88" s="194">
        <f>'01_Вводные'!$E$280*IF('01_Вводные'!$B$295="Да",3/12,1)</f>
        <v/>
      </c>
      <c r="T88" s="194">
        <f>'01_Вводные'!$E$281*IF('01_Вводные'!$B$295="Да",3/12,1)</f>
        <v/>
      </c>
      <c r="U88" s="194">
        <f>'01_Вводные'!$E$282*IF('01_Вводные'!$B$295="Да",3/12,1)</f>
        <v/>
      </c>
    </row>
    <row r="89">
      <c r="A89" s="192" t="inlineStr">
        <is>
          <t>4</t>
        </is>
      </c>
      <c r="B89" s="194">
        <f>'01_Вводные'!$E$263*IF('01_Вводные'!$B$295="Да",4/12,1)</f>
        <v/>
      </c>
      <c r="C89" s="194">
        <f>'01_Вводные'!$E$264*IF('01_Вводные'!$B$295="Да",4/12,1)</f>
        <v/>
      </c>
      <c r="D89" s="194">
        <f>'01_Вводные'!$E$265*IF('01_Вводные'!$B$295="Да",4/12,1)</f>
        <v/>
      </c>
      <c r="E89" s="194">
        <f>'01_Вводные'!$E$266*IF('01_Вводные'!$B$295="Да",4/12,1)</f>
        <v/>
      </c>
      <c r="F89" s="194">
        <f>'01_Вводные'!$E$267*IF('01_Вводные'!$B$295="Да",4/12,1)</f>
        <v/>
      </c>
      <c r="G89" s="194">
        <f>'01_Вводные'!$E$268*IF('01_Вводные'!$B$295="Да",4/12,1)</f>
        <v/>
      </c>
      <c r="H89" s="194">
        <f>'01_Вводные'!$E$269*IF('01_Вводные'!$B$295="Да",4/12,1)</f>
        <v/>
      </c>
      <c r="I89" s="194">
        <f>'01_Вводные'!$E$270*IF('01_Вводные'!$B$295="Да",4/12,1)</f>
        <v/>
      </c>
      <c r="J89" s="194">
        <f>'01_Вводные'!$E$271*IF('01_Вводные'!$B$295="Да",4/12,1)</f>
        <v/>
      </c>
      <c r="K89" s="194">
        <f>'01_Вводные'!$E$272*IF('01_Вводные'!$B$295="Да",4/12,1)</f>
        <v/>
      </c>
      <c r="L89" s="194">
        <f>'01_Вводные'!$E$273*IF('01_Вводные'!$B$295="Да",4/12,1)</f>
        <v/>
      </c>
      <c r="M89" s="194">
        <f>'01_Вводные'!$E$274*IF('01_Вводные'!$B$295="Да",4/12,1)</f>
        <v/>
      </c>
      <c r="N89" s="194">
        <f>'01_Вводные'!$E$275*IF('01_Вводные'!$B$295="Да",4/12,1)</f>
        <v/>
      </c>
      <c r="O89" s="194">
        <f>'01_Вводные'!$E$276*IF('01_Вводные'!$B$295="Да",4/12,1)</f>
        <v/>
      </c>
      <c r="P89" s="194">
        <f>'01_Вводные'!$E$277*IF('01_Вводные'!$B$295="Да",4/12,1)</f>
        <v/>
      </c>
      <c r="Q89" s="194">
        <f>'01_Вводные'!$E$278*IF('01_Вводные'!$B$295="Да",4/12,1)</f>
        <v/>
      </c>
      <c r="R89" s="194">
        <f>'01_Вводные'!$E$279*IF('01_Вводные'!$B$295="Да",4/12,1)</f>
        <v/>
      </c>
      <c r="S89" s="194">
        <f>'01_Вводные'!$E$280*IF('01_Вводные'!$B$295="Да",4/12,1)</f>
        <v/>
      </c>
      <c r="T89" s="194">
        <f>'01_Вводные'!$E$281*IF('01_Вводные'!$B$295="Да",4/12,1)</f>
        <v/>
      </c>
      <c r="U89" s="194">
        <f>'01_Вводные'!$E$282*IF('01_Вводные'!$B$295="Да",4/12,1)</f>
        <v/>
      </c>
    </row>
    <row r="90">
      <c r="A90" s="192" t="inlineStr">
        <is>
          <t>5</t>
        </is>
      </c>
      <c r="B90" s="194">
        <f>'01_Вводные'!$E$263*IF('01_Вводные'!$B$295="Да",5/12,1)</f>
        <v/>
      </c>
      <c r="C90" s="194">
        <f>'01_Вводные'!$E$264*IF('01_Вводные'!$B$295="Да",5/12,1)</f>
        <v/>
      </c>
      <c r="D90" s="194">
        <f>'01_Вводные'!$E$265*IF('01_Вводные'!$B$295="Да",5/12,1)</f>
        <v/>
      </c>
      <c r="E90" s="194">
        <f>'01_Вводные'!$E$266*IF('01_Вводные'!$B$295="Да",5/12,1)</f>
        <v/>
      </c>
      <c r="F90" s="194">
        <f>'01_Вводные'!$E$267*IF('01_Вводные'!$B$295="Да",5/12,1)</f>
        <v/>
      </c>
      <c r="G90" s="194">
        <f>'01_Вводные'!$E$268*IF('01_Вводные'!$B$295="Да",5/12,1)</f>
        <v/>
      </c>
      <c r="H90" s="194">
        <f>'01_Вводные'!$E$269*IF('01_Вводные'!$B$295="Да",5/12,1)</f>
        <v/>
      </c>
      <c r="I90" s="194">
        <f>'01_Вводные'!$E$270*IF('01_Вводные'!$B$295="Да",5/12,1)</f>
        <v/>
      </c>
      <c r="J90" s="194">
        <f>'01_Вводные'!$E$271*IF('01_Вводные'!$B$295="Да",5/12,1)</f>
        <v/>
      </c>
      <c r="K90" s="194">
        <f>'01_Вводные'!$E$272*IF('01_Вводные'!$B$295="Да",5/12,1)</f>
        <v/>
      </c>
      <c r="L90" s="194">
        <f>'01_Вводные'!$E$273*IF('01_Вводные'!$B$295="Да",5/12,1)</f>
        <v/>
      </c>
      <c r="M90" s="194">
        <f>'01_Вводные'!$E$274*IF('01_Вводные'!$B$295="Да",5/12,1)</f>
        <v/>
      </c>
      <c r="N90" s="194">
        <f>'01_Вводные'!$E$275*IF('01_Вводные'!$B$295="Да",5/12,1)</f>
        <v/>
      </c>
      <c r="O90" s="194">
        <f>'01_Вводные'!$E$276*IF('01_Вводные'!$B$295="Да",5/12,1)</f>
        <v/>
      </c>
      <c r="P90" s="194">
        <f>'01_Вводные'!$E$277*IF('01_Вводные'!$B$295="Да",5/12,1)</f>
        <v/>
      </c>
      <c r="Q90" s="194">
        <f>'01_Вводные'!$E$278*IF('01_Вводные'!$B$295="Да",5/12,1)</f>
        <v/>
      </c>
      <c r="R90" s="194">
        <f>'01_Вводные'!$E$279*IF('01_Вводные'!$B$295="Да",5/12,1)</f>
        <v/>
      </c>
      <c r="S90" s="194">
        <f>'01_Вводные'!$E$280*IF('01_Вводные'!$B$295="Да",5/12,1)</f>
        <v/>
      </c>
      <c r="T90" s="194">
        <f>'01_Вводные'!$E$281*IF('01_Вводные'!$B$295="Да",5/12,1)</f>
        <v/>
      </c>
      <c r="U90" s="194">
        <f>'01_Вводные'!$E$282*IF('01_Вводные'!$B$295="Да",5/12,1)</f>
        <v/>
      </c>
    </row>
    <row r="91">
      <c r="A91" s="192" t="inlineStr">
        <is>
          <t>6</t>
        </is>
      </c>
      <c r="B91" s="194">
        <f>'01_Вводные'!$E$263*IF('01_Вводные'!$B$295="Да",6/12,1)</f>
        <v/>
      </c>
      <c r="C91" s="194">
        <f>'01_Вводные'!$E$264*IF('01_Вводные'!$B$295="Да",6/12,1)</f>
        <v/>
      </c>
      <c r="D91" s="194">
        <f>'01_Вводные'!$E$265*IF('01_Вводные'!$B$295="Да",6/12,1)</f>
        <v/>
      </c>
      <c r="E91" s="194">
        <f>'01_Вводные'!$E$266*IF('01_Вводные'!$B$295="Да",6/12,1)</f>
        <v/>
      </c>
      <c r="F91" s="194">
        <f>'01_Вводные'!$E$267*IF('01_Вводные'!$B$295="Да",6/12,1)</f>
        <v/>
      </c>
      <c r="G91" s="194">
        <f>'01_Вводные'!$E$268*IF('01_Вводные'!$B$295="Да",6/12,1)</f>
        <v/>
      </c>
      <c r="H91" s="194">
        <f>'01_Вводные'!$E$269*IF('01_Вводные'!$B$295="Да",6/12,1)</f>
        <v/>
      </c>
      <c r="I91" s="194">
        <f>'01_Вводные'!$E$270*IF('01_Вводные'!$B$295="Да",6/12,1)</f>
        <v/>
      </c>
      <c r="J91" s="194">
        <f>'01_Вводные'!$E$271*IF('01_Вводные'!$B$295="Да",6/12,1)</f>
        <v/>
      </c>
      <c r="K91" s="194">
        <f>'01_Вводные'!$E$272*IF('01_Вводные'!$B$295="Да",6/12,1)</f>
        <v/>
      </c>
      <c r="L91" s="194">
        <f>'01_Вводные'!$E$273*IF('01_Вводные'!$B$295="Да",6/12,1)</f>
        <v/>
      </c>
      <c r="M91" s="194">
        <f>'01_Вводные'!$E$274*IF('01_Вводные'!$B$295="Да",6/12,1)</f>
        <v/>
      </c>
      <c r="N91" s="194">
        <f>'01_Вводные'!$E$275*IF('01_Вводные'!$B$295="Да",6/12,1)</f>
        <v/>
      </c>
      <c r="O91" s="194">
        <f>'01_Вводные'!$E$276*IF('01_Вводные'!$B$295="Да",6/12,1)</f>
        <v/>
      </c>
      <c r="P91" s="194">
        <f>'01_Вводные'!$E$277*IF('01_Вводные'!$B$295="Да",6/12,1)</f>
        <v/>
      </c>
      <c r="Q91" s="194">
        <f>'01_Вводные'!$E$278*IF('01_Вводные'!$B$295="Да",6/12,1)</f>
        <v/>
      </c>
      <c r="R91" s="194">
        <f>'01_Вводные'!$E$279*IF('01_Вводные'!$B$295="Да",6/12,1)</f>
        <v/>
      </c>
      <c r="S91" s="194">
        <f>'01_Вводные'!$E$280*IF('01_Вводные'!$B$295="Да",6/12,1)</f>
        <v/>
      </c>
      <c r="T91" s="194">
        <f>'01_Вводные'!$E$281*IF('01_Вводные'!$B$295="Да",6/12,1)</f>
        <v/>
      </c>
      <c r="U91" s="194">
        <f>'01_Вводные'!$E$282*IF('01_Вводные'!$B$295="Да",6/12,1)</f>
        <v/>
      </c>
    </row>
    <row r="92">
      <c r="A92" s="192" t="inlineStr">
        <is>
          <t>7</t>
        </is>
      </c>
      <c r="B92" s="194">
        <f>'01_Вводные'!$E$263*IF('01_Вводные'!$B$295="Да",7/12,1)</f>
        <v/>
      </c>
      <c r="C92" s="194">
        <f>'01_Вводные'!$E$264*IF('01_Вводные'!$B$295="Да",7/12,1)</f>
        <v/>
      </c>
      <c r="D92" s="194">
        <f>'01_Вводные'!$E$265*IF('01_Вводные'!$B$295="Да",7/12,1)</f>
        <v/>
      </c>
      <c r="E92" s="194">
        <f>'01_Вводные'!$E$266*IF('01_Вводные'!$B$295="Да",7/12,1)</f>
        <v/>
      </c>
      <c r="F92" s="194">
        <f>'01_Вводные'!$E$267*IF('01_Вводные'!$B$295="Да",7/12,1)</f>
        <v/>
      </c>
      <c r="G92" s="194">
        <f>'01_Вводные'!$E$268*IF('01_Вводные'!$B$295="Да",7/12,1)</f>
        <v/>
      </c>
      <c r="H92" s="194">
        <f>'01_Вводные'!$E$269*IF('01_Вводные'!$B$295="Да",7/12,1)</f>
        <v/>
      </c>
      <c r="I92" s="194">
        <f>'01_Вводные'!$E$270*IF('01_Вводные'!$B$295="Да",7/12,1)</f>
        <v/>
      </c>
      <c r="J92" s="194">
        <f>'01_Вводные'!$E$271*IF('01_Вводные'!$B$295="Да",7/12,1)</f>
        <v/>
      </c>
      <c r="K92" s="194">
        <f>'01_Вводные'!$E$272*IF('01_Вводные'!$B$295="Да",7/12,1)</f>
        <v/>
      </c>
      <c r="L92" s="194">
        <f>'01_Вводные'!$E$273*IF('01_Вводные'!$B$295="Да",7/12,1)</f>
        <v/>
      </c>
      <c r="M92" s="194">
        <f>'01_Вводные'!$E$274*IF('01_Вводные'!$B$295="Да",7/12,1)</f>
        <v/>
      </c>
      <c r="N92" s="194">
        <f>'01_Вводные'!$E$275*IF('01_Вводные'!$B$295="Да",7/12,1)</f>
        <v/>
      </c>
      <c r="O92" s="194">
        <f>'01_Вводные'!$E$276*IF('01_Вводные'!$B$295="Да",7/12,1)</f>
        <v/>
      </c>
      <c r="P92" s="194">
        <f>'01_Вводные'!$E$277*IF('01_Вводные'!$B$295="Да",7/12,1)</f>
        <v/>
      </c>
      <c r="Q92" s="194">
        <f>'01_Вводные'!$E$278*IF('01_Вводные'!$B$295="Да",7/12,1)</f>
        <v/>
      </c>
      <c r="R92" s="194">
        <f>'01_Вводные'!$E$279*IF('01_Вводные'!$B$295="Да",7/12,1)</f>
        <v/>
      </c>
      <c r="S92" s="194">
        <f>'01_Вводные'!$E$280*IF('01_Вводные'!$B$295="Да",7/12,1)</f>
        <v/>
      </c>
      <c r="T92" s="194">
        <f>'01_Вводные'!$E$281*IF('01_Вводные'!$B$295="Да",7/12,1)</f>
        <v/>
      </c>
      <c r="U92" s="194">
        <f>'01_Вводные'!$E$282*IF('01_Вводные'!$B$295="Да",7/12,1)</f>
        <v/>
      </c>
    </row>
    <row r="93">
      <c r="A93" s="192" t="inlineStr">
        <is>
          <t>8</t>
        </is>
      </c>
      <c r="B93" s="194">
        <f>'01_Вводные'!$E$263*IF('01_Вводные'!$B$295="Да",8/12,1)</f>
        <v/>
      </c>
      <c r="C93" s="194">
        <f>'01_Вводные'!$E$264*IF('01_Вводные'!$B$295="Да",8/12,1)</f>
        <v/>
      </c>
      <c r="D93" s="194">
        <f>'01_Вводные'!$E$265*IF('01_Вводные'!$B$295="Да",8/12,1)</f>
        <v/>
      </c>
      <c r="E93" s="194">
        <f>'01_Вводные'!$E$266*IF('01_Вводные'!$B$295="Да",8/12,1)</f>
        <v/>
      </c>
      <c r="F93" s="194">
        <f>'01_Вводные'!$E$267*IF('01_Вводные'!$B$295="Да",8/12,1)</f>
        <v/>
      </c>
      <c r="G93" s="194">
        <f>'01_Вводные'!$E$268*IF('01_Вводные'!$B$295="Да",8/12,1)</f>
        <v/>
      </c>
      <c r="H93" s="194">
        <f>'01_Вводные'!$E$269*IF('01_Вводные'!$B$295="Да",8/12,1)</f>
        <v/>
      </c>
      <c r="I93" s="194">
        <f>'01_Вводные'!$E$270*IF('01_Вводные'!$B$295="Да",8/12,1)</f>
        <v/>
      </c>
      <c r="J93" s="194">
        <f>'01_Вводные'!$E$271*IF('01_Вводные'!$B$295="Да",8/12,1)</f>
        <v/>
      </c>
      <c r="K93" s="194">
        <f>'01_Вводные'!$E$272*IF('01_Вводные'!$B$295="Да",8/12,1)</f>
        <v/>
      </c>
      <c r="L93" s="194">
        <f>'01_Вводные'!$E$273*IF('01_Вводные'!$B$295="Да",8/12,1)</f>
        <v/>
      </c>
      <c r="M93" s="194">
        <f>'01_Вводные'!$E$274*IF('01_Вводные'!$B$295="Да",8/12,1)</f>
        <v/>
      </c>
      <c r="N93" s="194">
        <f>'01_Вводные'!$E$275*IF('01_Вводные'!$B$295="Да",8/12,1)</f>
        <v/>
      </c>
      <c r="O93" s="194">
        <f>'01_Вводные'!$E$276*IF('01_Вводные'!$B$295="Да",8/12,1)</f>
        <v/>
      </c>
      <c r="P93" s="194">
        <f>'01_Вводные'!$E$277*IF('01_Вводные'!$B$295="Да",8/12,1)</f>
        <v/>
      </c>
      <c r="Q93" s="194">
        <f>'01_Вводные'!$E$278*IF('01_Вводные'!$B$295="Да",8/12,1)</f>
        <v/>
      </c>
      <c r="R93" s="194">
        <f>'01_Вводные'!$E$279*IF('01_Вводные'!$B$295="Да",8/12,1)</f>
        <v/>
      </c>
      <c r="S93" s="194">
        <f>'01_Вводные'!$E$280*IF('01_Вводные'!$B$295="Да",8/12,1)</f>
        <v/>
      </c>
      <c r="T93" s="194">
        <f>'01_Вводные'!$E$281*IF('01_Вводные'!$B$295="Да",8/12,1)</f>
        <v/>
      </c>
      <c r="U93" s="194">
        <f>'01_Вводные'!$E$282*IF('01_Вводные'!$B$295="Да",8/12,1)</f>
        <v/>
      </c>
    </row>
    <row r="94">
      <c r="A94" s="192" t="inlineStr">
        <is>
          <t>9</t>
        </is>
      </c>
      <c r="B94" s="194">
        <f>'01_Вводные'!$E$263*IF('01_Вводные'!$B$295="Да",9/12,1)</f>
        <v/>
      </c>
      <c r="C94" s="194">
        <f>'01_Вводные'!$E$264*IF('01_Вводные'!$B$295="Да",9/12,1)</f>
        <v/>
      </c>
      <c r="D94" s="194">
        <f>'01_Вводные'!$E$265*IF('01_Вводные'!$B$295="Да",9/12,1)</f>
        <v/>
      </c>
      <c r="E94" s="194">
        <f>'01_Вводные'!$E$266*IF('01_Вводные'!$B$295="Да",9/12,1)</f>
        <v/>
      </c>
      <c r="F94" s="194">
        <f>'01_Вводные'!$E$267*IF('01_Вводные'!$B$295="Да",9/12,1)</f>
        <v/>
      </c>
      <c r="G94" s="194">
        <f>'01_Вводные'!$E$268*IF('01_Вводные'!$B$295="Да",9/12,1)</f>
        <v/>
      </c>
      <c r="H94" s="194">
        <f>'01_Вводные'!$E$269*IF('01_Вводные'!$B$295="Да",9/12,1)</f>
        <v/>
      </c>
      <c r="I94" s="194">
        <f>'01_Вводные'!$E$270*IF('01_Вводные'!$B$295="Да",9/12,1)</f>
        <v/>
      </c>
      <c r="J94" s="194">
        <f>'01_Вводные'!$E$271*IF('01_Вводные'!$B$295="Да",9/12,1)</f>
        <v/>
      </c>
      <c r="K94" s="194">
        <f>'01_Вводные'!$E$272*IF('01_Вводные'!$B$295="Да",9/12,1)</f>
        <v/>
      </c>
      <c r="L94" s="194">
        <f>'01_Вводные'!$E$273*IF('01_Вводные'!$B$295="Да",9/12,1)</f>
        <v/>
      </c>
      <c r="M94" s="194">
        <f>'01_Вводные'!$E$274*IF('01_Вводные'!$B$295="Да",9/12,1)</f>
        <v/>
      </c>
      <c r="N94" s="194">
        <f>'01_Вводные'!$E$275*IF('01_Вводные'!$B$295="Да",9/12,1)</f>
        <v/>
      </c>
      <c r="O94" s="194">
        <f>'01_Вводные'!$E$276*IF('01_Вводные'!$B$295="Да",9/12,1)</f>
        <v/>
      </c>
      <c r="P94" s="194">
        <f>'01_Вводные'!$E$277*IF('01_Вводные'!$B$295="Да",9/12,1)</f>
        <v/>
      </c>
      <c r="Q94" s="194">
        <f>'01_Вводные'!$E$278*IF('01_Вводные'!$B$295="Да",9/12,1)</f>
        <v/>
      </c>
      <c r="R94" s="194">
        <f>'01_Вводные'!$E$279*IF('01_Вводные'!$B$295="Да",9/12,1)</f>
        <v/>
      </c>
      <c r="S94" s="194">
        <f>'01_Вводные'!$E$280*IF('01_Вводные'!$B$295="Да",9/12,1)</f>
        <v/>
      </c>
      <c r="T94" s="194">
        <f>'01_Вводные'!$E$281*IF('01_Вводные'!$B$295="Да",9/12,1)</f>
        <v/>
      </c>
      <c r="U94" s="194">
        <f>'01_Вводные'!$E$282*IF('01_Вводные'!$B$295="Да",9/12,1)</f>
        <v/>
      </c>
    </row>
    <row r="95">
      <c r="A95" s="192" t="inlineStr">
        <is>
          <t>10</t>
        </is>
      </c>
      <c r="B95" s="194">
        <f>'01_Вводные'!$E$263*IF('01_Вводные'!$B$295="Да",10/12,1)</f>
        <v/>
      </c>
      <c r="C95" s="194">
        <f>'01_Вводные'!$E$264*IF('01_Вводные'!$B$295="Да",10/12,1)</f>
        <v/>
      </c>
      <c r="D95" s="194">
        <f>'01_Вводные'!$E$265*IF('01_Вводные'!$B$295="Да",10/12,1)</f>
        <v/>
      </c>
      <c r="E95" s="194">
        <f>'01_Вводные'!$E$266*IF('01_Вводные'!$B$295="Да",10/12,1)</f>
        <v/>
      </c>
      <c r="F95" s="194">
        <f>'01_Вводные'!$E$267*IF('01_Вводные'!$B$295="Да",10/12,1)</f>
        <v/>
      </c>
      <c r="G95" s="194">
        <f>'01_Вводные'!$E$268*IF('01_Вводные'!$B$295="Да",10/12,1)</f>
        <v/>
      </c>
      <c r="H95" s="194">
        <f>'01_Вводные'!$E$269*IF('01_Вводные'!$B$295="Да",10/12,1)</f>
        <v/>
      </c>
      <c r="I95" s="194">
        <f>'01_Вводные'!$E$270*IF('01_Вводные'!$B$295="Да",10/12,1)</f>
        <v/>
      </c>
      <c r="J95" s="194">
        <f>'01_Вводные'!$E$271*IF('01_Вводные'!$B$295="Да",10/12,1)</f>
        <v/>
      </c>
      <c r="K95" s="194">
        <f>'01_Вводные'!$E$272*IF('01_Вводные'!$B$295="Да",10/12,1)</f>
        <v/>
      </c>
      <c r="L95" s="194">
        <f>'01_Вводные'!$E$273*IF('01_Вводные'!$B$295="Да",10/12,1)</f>
        <v/>
      </c>
      <c r="M95" s="194">
        <f>'01_Вводные'!$E$274*IF('01_Вводные'!$B$295="Да",10/12,1)</f>
        <v/>
      </c>
      <c r="N95" s="194">
        <f>'01_Вводные'!$E$275*IF('01_Вводные'!$B$295="Да",10/12,1)</f>
        <v/>
      </c>
      <c r="O95" s="194">
        <f>'01_Вводные'!$E$276*IF('01_Вводные'!$B$295="Да",10/12,1)</f>
        <v/>
      </c>
      <c r="P95" s="194">
        <f>'01_Вводные'!$E$277*IF('01_Вводные'!$B$295="Да",10/12,1)</f>
        <v/>
      </c>
      <c r="Q95" s="194">
        <f>'01_Вводные'!$E$278*IF('01_Вводные'!$B$295="Да",10/12,1)</f>
        <v/>
      </c>
      <c r="R95" s="194">
        <f>'01_Вводные'!$E$279*IF('01_Вводные'!$B$295="Да",10/12,1)</f>
        <v/>
      </c>
      <c r="S95" s="194">
        <f>'01_Вводные'!$E$280*IF('01_Вводные'!$B$295="Да",10/12,1)</f>
        <v/>
      </c>
      <c r="T95" s="194">
        <f>'01_Вводные'!$E$281*IF('01_Вводные'!$B$295="Да",10/12,1)</f>
        <v/>
      </c>
      <c r="U95" s="194">
        <f>'01_Вводные'!$E$282*IF('01_Вводные'!$B$295="Да",10/12,1)</f>
        <v/>
      </c>
    </row>
    <row r="96">
      <c r="A96" s="192" t="inlineStr">
        <is>
          <t>11</t>
        </is>
      </c>
      <c r="B96" s="194">
        <f>'01_Вводные'!$E$263*IF('01_Вводные'!$B$295="Да",11/12,1)</f>
        <v/>
      </c>
      <c r="C96" s="194">
        <f>'01_Вводные'!$E$264*IF('01_Вводные'!$B$295="Да",11/12,1)</f>
        <v/>
      </c>
      <c r="D96" s="194">
        <f>'01_Вводные'!$E$265*IF('01_Вводные'!$B$295="Да",11/12,1)</f>
        <v/>
      </c>
      <c r="E96" s="194">
        <f>'01_Вводные'!$E$266*IF('01_Вводные'!$B$295="Да",11/12,1)</f>
        <v/>
      </c>
      <c r="F96" s="194">
        <f>'01_Вводные'!$E$267*IF('01_Вводные'!$B$295="Да",11/12,1)</f>
        <v/>
      </c>
      <c r="G96" s="194">
        <f>'01_Вводные'!$E$268*IF('01_Вводные'!$B$295="Да",11/12,1)</f>
        <v/>
      </c>
      <c r="H96" s="194">
        <f>'01_Вводные'!$E$269*IF('01_Вводные'!$B$295="Да",11/12,1)</f>
        <v/>
      </c>
      <c r="I96" s="194">
        <f>'01_Вводные'!$E$270*IF('01_Вводные'!$B$295="Да",11/12,1)</f>
        <v/>
      </c>
      <c r="J96" s="194">
        <f>'01_Вводные'!$E$271*IF('01_Вводные'!$B$295="Да",11/12,1)</f>
        <v/>
      </c>
      <c r="K96" s="194">
        <f>'01_Вводные'!$E$272*IF('01_Вводные'!$B$295="Да",11/12,1)</f>
        <v/>
      </c>
      <c r="L96" s="194">
        <f>'01_Вводные'!$E$273*IF('01_Вводные'!$B$295="Да",11/12,1)</f>
        <v/>
      </c>
      <c r="M96" s="194">
        <f>'01_Вводные'!$E$274*IF('01_Вводные'!$B$295="Да",11/12,1)</f>
        <v/>
      </c>
      <c r="N96" s="194">
        <f>'01_Вводные'!$E$275*IF('01_Вводные'!$B$295="Да",11/12,1)</f>
        <v/>
      </c>
      <c r="O96" s="194">
        <f>'01_Вводные'!$E$276*IF('01_Вводные'!$B$295="Да",11/12,1)</f>
        <v/>
      </c>
      <c r="P96" s="194">
        <f>'01_Вводные'!$E$277*IF('01_Вводные'!$B$295="Да",11/12,1)</f>
        <v/>
      </c>
      <c r="Q96" s="194">
        <f>'01_Вводные'!$E$278*IF('01_Вводные'!$B$295="Да",11/12,1)</f>
        <v/>
      </c>
      <c r="R96" s="194">
        <f>'01_Вводные'!$E$279*IF('01_Вводные'!$B$295="Да",11/12,1)</f>
        <v/>
      </c>
      <c r="S96" s="194">
        <f>'01_Вводные'!$E$280*IF('01_Вводные'!$B$295="Да",11/12,1)</f>
        <v/>
      </c>
      <c r="T96" s="194">
        <f>'01_Вводные'!$E$281*IF('01_Вводные'!$B$295="Да",11/12,1)</f>
        <v/>
      </c>
      <c r="U96" s="194">
        <f>'01_Вводные'!$E$282*IF('01_Вводные'!$B$295="Да",11/12,1)</f>
        <v/>
      </c>
    </row>
    <row r="97">
      <c r="A97" s="192" t="inlineStr">
        <is>
          <t>12</t>
        </is>
      </c>
      <c r="B97" s="194">
        <f>'01_Вводные'!$E$263*IF('01_Вводные'!$B$295="Да",12/12,1)</f>
        <v/>
      </c>
      <c r="C97" s="194">
        <f>'01_Вводные'!$E$264*IF('01_Вводные'!$B$295="Да",12/12,1)</f>
        <v/>
      </c>
      <c r="D97" s="194">
        <f>'01_Вводные'!$E$265*IF('01_Вводные'!$B$295="Да",12/12,1)</f>
        <v/>
      </c>
      <c r="E97" s="194">
        <f>'01_Вводные'!$E$266*IF('01_Вводные'!$B$295="Да",12/12,1)</f>
        <v/>
      </c>
      <c r="F97" s="194">
        <f>'01_Вводные'!$E$267*IF('01_Вводные'!$B$295="Да",12/12,1)</f>
        <v/>
      </c>
      <c r="G97" s="194">
        <f>'01_Вводные'!$E$268*IF('01_Вводные'!$B$295="Да",12/12,1)</f>
        <v/>
      </c>
      <c r="H97" s="194">
        <f>'01_Вводные'!$E$269*IF('01_Вводные'!$B$295="Да",12/12,1)</f>
        <v/>
      </c>
      <c r="I97" s="194">
        <f>'01_Вводные'!$E$270*IF('01_Вводные'!$B$295="Да",12/12,1)</f>
        <v/>
      </c>
      <c r="J97" s="194">
        <f>'01_Вводные'!$E$271*IF('01_Вводные'!$B$295="Да",12/12,1)</f>
        <v/>
      </c>
      <c r="K97" s="194">
        <f>'01_Вводные'!$E$272*IF('01_Вводные'!$B$295="Да",12/12,1)</f>
        <v/>
      </c>
      <c r="L97" s="194">
        <f>'01_Вводные'!$E$273*IF('01_Вводные'!$B$295="Да",12/12,1)</f>
        <v/>
      </c>
      <c r="M97" s="194">
        <f>'01_Вводные'!$E$274*IF('01_Вводные'!$B$295="Да",12/12,1)</f>
        <v/>
      </c>
      <c r="N97" s="194">
        <f>'01_Вводные'!$E$275*IF('01_Вводные'!$B$295="Да",12/12,1)</f>
        <v/>
      </c>
      <c r="O97" s="194">
        <f>'01_Вводные'!$E$276*IF('01_Вводные'!$B$295="Да",12/12,1)</f>
        <v/>
      </c>
      <c r="P97" s="194">
        <f>'01_Вводные'!$E$277*IF('01_Вводные'!$B$295="Да",12/12,1)</f>
        <v/>
      </c>
      <c r="Q97" s="194">
        <f>'01_Вводные'!$E$278*IF('01_Вводные'!$B$295="Да",12/12,1)</f>
        <v/>
      </c>
      <c r="R97" s="194">
        <f>'01_Вводные'!$E$279*IF('01_Вводные'!$B$295="Да",12/12,1)</f>
        <v/>
      </c>
      <c r="S97" s="194">
        <f>'01_Вводные'!$E$280*IF('01_Вводные'!$B$295="Да",12/12,1)</f>
        <v/>
      </c>
      <c r="T97" s="194">
        <f>'01_Вводные'!$E$281*IF('01_Вводные'!$B$295="Да",12/12,1)</f>
        <v/>
      </c>
      <c r="U97" s="194">
        <f>'01_Вводные'!$E$282*IF('01_Вводные'!$B$295="Да",12/12,1)</f>
        <v/>
      </c>
    </row>
    <row r="98">
      <c r="A98" s="192" t="inlineStr">
        <is>
          <t>13</t>
        </is>
      </c>
      <c r="B98" s="194">
        <f>IF('01_Вводные'!$B$295="Да",'01_Вводные'!$E$263+('01_Вводные'!$F$263-'01_Вводные'!$E$263)*1/12,'01_Вводные'!$F$263)</f>
        <v/>
      </c>
      <c r="C98" s="194">
        <f>IF('01_Вводные'!$B$295="Да",'01_Вводные'!$E$264+('01_Вводные'!$F$264-'01_Вводные'!$E$264)*1/12,'01_Вводные'!$F$264)</f>
        <v/>
      </c>
      <c r="D98" s="194">
        <f>IF('01_Вводные'!$B$295="Да",'01_Вводные'!$E$265+('01_Вводные'!$F$265-'01_Вводные'!$E$265)*1/12,'01_Вводные'!$F$265)</f>
        <v/>
      </c>
      <c r="E98" s="194">
        <f>IF('01_Вводные'!$B$295="Да",'01_Вводные'!$E$266+('01_Вводные'!$F$266-'01_Вводные'!$E$266)*1/12,'01_Вводные'!$F$266)</f>
        <v/>
      </c>
      <c r="F98" s="194">
        <f>IF('01_Вводные'!$B$295="Да",'01_Вводные'!$E$267+('01_Вводные'!$F$267-'01_Вводные'!$E$267)*1/12,'01_Вводные'!$F$267)</f>
        <v/>
      </c>
      <c r="G98" s="194">
        <f>IF('01_Вводные'!$B$295="Да",'01_Вводные'!$E$268+('01_Вводные'!$F$268-'01_Вводные'!$E$268)*1/12,'01_Вводные'!$F$268)</f>
        <v/>
      </c>
      <c r="H98" s="194">
        <f>IF('01_Вводные'!$B$295="Да",'01_Вводные'!$E$269+('01_Вводные'!$F$269-'01_Вводные'!$E$269)*1/12,'01_Вводные'!$F$269)</f>
        <v/>
      </c>
      <c r="I98" s="194">
        <f>IF('01_Вводные'!$B$295="Да",'01_Вводные'!$E$270+('01_Вводные'!$F$270-'01_Вводные'!$E$270)*1/12,'01_Вводные'!$F$270)</f>
        <v/>
      </c>
      <c r="J98" s="194">
        <f>IF('01_Вводные'!$B$295="Да",'01_Вводные'!$E$271+('01_Вводные'!$F$271-'01_Вводные'!$E$271)*1/12,'01_Вводные'!$F$271)</f>
        <v/>
      </c>
      <c r="K98" s="194">
        <f>IF('01_Вводные'!$B$295="Да",'01_Вводные'!$E$272+('01_Вводные'!$F$272-'01_Вводные'!$E$272)*1/12,'01_Вводные'!$F$272)</f>
        <v/>
      </c>
      <c r="L98" s="194">
        <f>IF('01_Вводные'!$B$295="Да",'01_Вводные'!$E$273+('01_Вводные'!$F$273-'01_Вводные'!$E$273)*1/12,'01_Вводные'!$F$273)</f>
        <v/>
      </c>
      <c r="M98" s="194">
        <f>IF('01_Вводные'!$B$295="Да",'01_Вводные'!$E$274+('01_Вводные'!$F$274-'01_Вводные'!$E$274)*1/12,'01_Вводные'!$F$274)</f>
        <v/>
      </c>
      <c r="N98" s="194">
        <f>IF('01_Вводные'!$B$295="Да",'01_Вводные'!$E$275+('01_Вводные'!$F$275-'01_Вводные'!$E$275)*1/12,'01_Вводные'!$F$275)</f>
        <v/>
      </c>
      <c r="O98" s="194">
        <f>IF('01_Вводные'!$B$295="Да",'01_Вводные'!$E$276+('01_Вводные'!$F$276-'01_Вводные'!$E$276)*1/12,'01_Вводные'!$F$276)</f>
        <v/>
      </c>
      <c r="P98" s="194">
        <f>IF('01_Вводные'!$B$295="Да",'01_Вводные'!$E$277+('01_Вводные'!$F$277-'01_Вводные'!$E$277)*1/12,'01_Вводные'!$F$277)</f>
        <v/>
      </c>
      <c r="Q98" s="194">
        <f>IF('01_Вводные'!$B$295="Да",'01_Вводные'!$E$278+('01_Вводные'!$F$278-'01_Вводные'!$E$278)*1/12,'01_Вводные'!$F$278)</f>
        <v/>
      </c>
      <c r="R98" s="194">
        <f>IF('01_Вводные'!$B$295="Да",'01_Вводные'!$E$279+('01_Вводные'!$F$279-'01_Вводные'!$E$279)*1/12,'01_Вводные'!$F$279)</f>
        <v/>
      </c>
      <c r="S98" s="194">
        <f>IF('01_Вводные'!$B$295="Да",'01_Вводные'!$E$280+('01_Вводные'!$F$280-'01_Вводные'!$E$280)*1/12,'01_Вводные'!$F$280)</f>
        <v/>
      </c>
      <c r="T98" s="194">
        <f>IF('01_Вводные'!$B$295="Да",'01_Вводные'!$E$281+('01_Вводные'!$F$281-'01_Вводные'!$E$281)*1/12,'01_Вводные'!$F$281)</f>
        <v/>
      </c>
      <c r="U98" s="194">
        <f>IF('01_Вводные'!$B$295="Да",'01_Вводные'!$E$282+('01_Вводные'!$F$282-'01_Вводные'!$E$282)*1/12,'01_Вводные'!$F$282)</f>
        <v/>
      </c>
    </row>
    <row r="99">
      <c r="A99" s="192" t="inlineStr">
        <is>
          <t>14</t>
        </is>
      </c>
      <c r="B99" s="194">
        <f>IF('01_Вводные'!$B$295="Да",'01_Вводные'!$E$263+('01_Вводные'!$F$263-'01_Вводные'!$E$263)*2/12,'01_Вводные'!$F$263)</f>
        <v/>
      </c>
      <c r="C99" s="194">
        <f>IF('01_Вводные'!$B$295="Да",'01_Вводные'!$E$264+('01_Вводные'!$F$264-'01_Вводные'!$E$264)*2/12,'01_Вводные'!$F$264)</f>
        <v/>
      </c>
      <c r="D99" s="194">
        <f>IF('01_Вводные'!$B$295="Да",'01_Вводные'!$E$265+('01_Вводные'!$F$265-'01_Вводные'!$E$265)*2/12,'01_Вводные'!$F$265)</f>
        <v/>
      </c>
      <c r="E99" s="194">
        <f>IF('01_Вводные'!$B$295="Да",'01_Вводные'!$E$266+('01_Вводные'!$F$266-'01_Вводные'!$E$266)*2/12,'01_Вводные'!$F$266)</f>
        <v/>
      </c>
      <c r="F99" s="194">
        <f>IF('01_Вводные'!$B$295="Да",'01_Вводные'!$E$267+('01_Вводные'!$F$267-'01_Вводные'!$E$267)*2/12,'01_Вводные'!$F$267)</f>
        <v/>
      </c>
      <c r="G99" s="194">
        <f>IF('01_Вводные'!$B$295="Да",'01_Вводные'!$E$268+('01_Вводные'!$F$268-'01_Вводные'!$E$268)*2/12,'01_Вводные'!$F$268)</f>
        <v/>
      </c>
      <c r="H99" s="194">
        <f>IF('01_Вводные'!$B$295="Да",'01_Вводные'!$E$269+('01_Вводные'!$F$269-'01_Вводные'!$E$269)*2/12,'01_Вводные'!$F$269)</f>
        <v/>
      </c>
      <c r="I99" s="194">
        <f>IF('01_Вводные'!$B$295="Да",'01_Вводные'!$E$270+('01_Вводные'!$F$270-'01_Вводные'!$E$270)*2/12,'01_Вводные'!$F$270)</f>
        <v/>
      </c>
      <c r="J99" s="194">
        <f>IF('01_Вводные'!$B$295="Да",'01_Вводные'!$E$271+('01_Вводные'!$F$271-'01_Вводные'!$E$271)*2/12,'01_Вводные'!$F$271)</f>
        <v/>
      </c>
      <c r="K99" s="194">
        <f>IF('01_Вводные'!$B$295="Да",'01_Вводные'!$E$272+('01_Вводные'!$F$272-'01_Вводные'!$E$272)*2/12,'01_Вводные'!$F$272)</f>
        <v/>
      </c>
      <c r="L99" s="194">
        <f>IF('01_Вводные'!$B$295="Да",'01_Вводные'!$E$273+('01_Вводные'!$F$273-'01_Вводные'!$E$273)*2/12,'01_Вводные'!$F$273)</f>
        <v/>
      </c>
      <c r="M99" s="194">
        <f>IF('01_Вводные'!$B$295="Да",'01_Вводные'!$E$274+('01_Вводные'!$F$274-'01_Вводные'!$E$274)*2/12,'01_Вводные'!$F$274)</f>
        <v/>
      </c>
      <c r="N99" s="194">
        <f>IF('01_Вводные'!$B$295="Да",'01_Вводные'!$E$275+('01_Вводные'!$F$275-'01_Вводные'!$E$275)*2/12,'01_Вводные'!$F$275)</f>
        <v/>
      </c>
      <c r="O99" s="194">
        <f>IF('01_Вводные'!$B$295="Да",'01_Вводные'!$E$276+('01_Вводные'!$F$276-'01_Вводные'!$E$276)*2/12,'01_Вводные'!$F$276)</f>
        <v/>
      </c>
      <c r="P99" s="194">
        <f>IF('01_Вводные'!$B$295="Да",'01_Вводные'!$E$277+('01_Вводные'!$F$277-'01_Вводные'!$E$277)*2/12,'01_Вводные'!$F$277)</f>
        <v/>
      </c>
      <c r="Q99" s="194">
        <f>IF('01_Вводные'!$B$295="Да",'01_Вводные'!$E$278+('01_Вводные'!$F$278-'01_Вводные'!$E$278)*2/12,'01_Вводные'!$F$278)</f>
        <v/>
      </c>
      <c r="R99" s="194">
        <f>IF('01_Вводные'!$B$295="Да",'01_Вводные'!$E$279+('01_Вводные'!$F$279-'01_Вводные'!$E$279)*2/12,'01_Вводные'!$F$279)</f>
        <v/>
      </c>
      <c r="S99" s="194">
        <f>IF('01_Вводные'!$B$295="Да",'01_Вводные'!$E$280+('01_Вводные'!$F$280-'01_Вводные'!$E$280)*2/12,'01_Вводные'!$F$280)</f>
        <v/>
      </c>
      <c r="T99" s="194">
        <f>IF('01_Вводные'!$B$295="Да",'01_Вводные'!$E$281+('01_Вводные'!$F$281-'01_Вводные'!$E$281)*2/12,'01_Вводные'!$F$281)</f>
        <v/>
      </c>
      <c r="U99" s="194">
        <f>IF('01_Вводные'!$B$295="Да",'01_Вводные'!$E$282+('01_Вводные'!$F$282-'01_Вводные'!$E$282)*2/12,'01_Вводные'!$F$282)</f>
        <v/>
      </c>
    </row>
    <row r="100">
      <c r="A100" s="192" t="inlineStr">
        <is>
          <t>15</t>
        </is>
      </c>
      <c r="B100" s="194">
        <f>IF('01_Вводные'!$B$295="Да",'01_Вводные'!$E$263+('01_Вводные'!$F$263-'01_Вводные'!$E$263)*3/12,'01_Вводные'!$F$263)</f>
        <v/>
      </c>
      <c r="C100" s="194">
        <f>IF('01_Вводные'!$B$295="Да",'01_Вводные'!$E$264+('01_Вводные'!$F$264-'01_Вводные'!$E$264)*3/12,'01_Вводные'!$F$264)</f>
        <v/>
      </c>
      <c r="D100" s="194">
        <f>IF('01_Вводные'!$B$295="Да",'01_Вводные'!$E$265+('01_Вводные'!$F$265-'01_Вводные'!$E$265)*3/12,'01_Вводные'!$F$265)</f>
        <v/>
      </c>
      <c r="E100" s="194">
        <f>IF('01_Вводные'!$B$295="Да",'01_Вводные'!$E$266+('01_Вводные'!$F$266-'01_Вводные'!$E$266)*3/12,'01_Вводные'!$F$266)</f>
        <v/>
      </c>
      <c r="F100" s="194">
        <f>IF('01_Вводные'!$B$295="Да",'01_Вводные'!$E$267+('01_Вводные'!$F$267-'01_Вводные'!$E$267)*3/12,'01_Вводные'!$F$267)</f>
        <v/>
      </c>
      <c r="G100" s="194">
        <f>IF('01_Вводные'!$B$295="Да",'01_Вводные'!$E$268+('01_Вводные'!$F$268-'01_Вводные'!$E$268)*3/12,'01_Вводные'!$F$268)</f>
        <v/>
      </c>
      <c r="H100" s="194">
        <f>IF('01_Вводные'!$B$295="Да",'01_Вводные'!$E$269+('01_Вводные'!$F$269-'01_Вводные'!$E$269)*3/12,'01_Вводные'!$F$269)</f>
        <v/>
      </c>
      <c r="I100" s="194">
        <f>IF('01_Вводные'!$B$295="Да",'01_Вводные'!$E$270+('01_Вводные'!$F$270-'01_Вводные'!$E$270)*3/12,'01_Вводные'!$F$270)</f>
        <v/>
      </c>
      <c r="J100" s="194">
        <f>IF('01_Вводные'!$B$295="Да",'01_Вводные'!$E$271+('01_Вводные'!$F$271-'01_Вводные'!$E$271)*3/12,'01_Вводные'!$F$271)</f>
        <v/>
      </c>
      <c r="K100" s="194">
        <f>IF('01_Вводные'!$B$295="Да",'01_Вводные'!$E$272+('01_Вводные'!$F$272-'01_Вводные'!$E$272)*3/12,'01_Вводные'!$F$272)</f>
        <v/>
      </c>
      <c r="L100" s="194">
        <f>IF('01_Вводные'!$B$295="Да",'01_Вводные'!$E$273+('01_Вводные'!$F$273-'01_Вводные'!$E$273)*3/12,'01_Вводные'!$F$273)</f>
        <v/>
      </c>
      <c r="M100" s="194">
        <f>IF('01_Вводные'!$B$295="Да",'01_Вводные'!$E$274+('01_Вводные'!$F$274-'01_Вводные'!$E$274)*3/12,'01_Вводные'!$F$274)</f>
        <v/>
      </c>
      <c r="N100" s="194">
        <f>IF('01_Вводные'!$B$295="Да",'01_Вводные'!$E$275+('01_Вводные'!$F$275-'01_Вводные'!$E$275)*3/12,'01_Вводные'!$F$275)</f>
        <v/>
      </c>
      <c r="O100" s="194">
        <f>IF('01_Вводные'!$B$295="Да",'01_Вводные'!$E$276+('01_Вводные'!$F$276-'01_Вводные'!$E$276)*3/12,'01_Вводные'!$F$276)</f>
        <v/>
      </c>
      <c r="P100" s="194">
        <f>IF('01_Вводные'!$B$295="Да",'01_Вводные'!$E$277+('01_Вводные'!$F$277-'01_Вводные'!$E$277)*3/12,'01_Вводные'!$F$277)</f>
        <v/>
      </c>
      <c r="Q100" s="194">
        <f>IF('01_Вводные'!$B$295="Да",'01_Вводные'!$E$278+('01_Вводные'!$F$278-'01_Вводные'!$E$278)*3/12,'01_Вводные'!$F$278)</f>
        <v/>
      </c>
      <c r="R100" s="194">
        <f>IF('01_Вводные'!$B$295="Да",'01_Вводные'!$E$279+('01_Вводные'!$F$279-'01_Вводные'!$E$279)*3/12,'01_Вводные'!$F$279)</f>
        <v/>
      </c>
      <c r="S100" s="194">
        <f>IF('01_Вводные'!$B$295="Да",'01_Вводные'!$E$280+('01_Вводные'!$F$280-'01_Вводные'!$E$280)*3/12,'01_Вводные'!$F$280)</f>
        <v/>
      </c>
      <c r="T100" s="194">
        <f>IF('01_Вводные'!$B$295="Да",'01_Вводные'!$E$281+('01_Вводные'!$F$281-'01_Вводные'!$E$281)*3/12,'01_Вводные'!$F$281)</f>
        <v/>
      </c>
      <c r="U100" s="194">
        <f>IF('01_Вводные'!$B$295="Да",'01_Вводные'!$E$282+('01_Вводные'!$F$282-'01_Вводные'!$E$282)*3/12,'01_Вводные'!$F$282)</f>
        <v/>
      </c>
    </row>
    <row r="101">
      <c r="A101" s="192" t="inlineStr">
        <is>
          <t>16</t>
        </is>
      </c>
      <c r="B101" s="194">
        <f>IF('01_Вводные'!$B$295="Да",'01_Вводные'!$E$263+('01_Вводные'!$F$263-'01_Вводные'!$E$263)*4/12,'01_Вводные'!$F$263)</f>
        <v/>
      </c>
      <c r="C101" s="194">
        <f>IF('01_Вводные'!$B$295="Да",'01_Вводные'!$E$264+('01_Вводные'!$F$264-'01_Вводные'!$E$264)*4/12,'01_Вводные'!$F$264)</f>
        <v/>
      </c>
      <c r="D101" s="194">
        <f>IF('01_Вводные'!$B$295="Да",'01_Вводные'!$E$265+('01_Вводные'!$F$265-'01_Вводные'!$E$265)*4/12,'01_Вводные'!$F$265)</f>
        <v/>
      </c>
      <c r="E101" s="194">
        <f>IF('01_Вводные'!$B$295="Да",'01_Вводные'!$E$266+('01_Вводные'!$F$266-'01_Вводные'!$E$266)*4/12,'01_Вводные'!$F$266)</f>
        <v/>
      </c>
      <c r="F101" s="194">
        <f>IF('01_Вводные'!$B$295="Да",'01_Вводные'!$E$267+('01_Вводные'!$F$267-'01_Вводные'!$E$267)*4/12,'01_Вводные'!$F$267)</f>
        <v/>
      </c>
      <c r="G101" s="194">
        <f>IF('01_Вводные'!$B$295="Да",'01_Вводные'!$E$268+('01_Вводные'!$F$268-'01_Вводные'!$E$268)*4/12,'01_Вводные'!$F$268)</f>
        <v/>
      </c>
      <c r="H101" s="194">
        <f>IF('01_Вводные'!$B$295="Да",'01_Вводные'!$E$269+('01_Вводные'!$F$269-'01_Вводные'!$E$269)*4/12,'01_Вводные'!$F$269)</f>
        <v/>
      </c>
      <c r="I101" s="194">
        <f>IF('01_Вводные'!$B$295="Да",'01_Вводные'!$E$270+('01_Вводные'!$F$270-'01_Вводные'!$E$270)*4/12,'01_Вводные'!$F$270)</f>
        <v/>
      </c>
      <c r="J101" s="194">
        <f>IF('01_Вводные'!$B$295="Да",'01_Вводные'!$E$271+('01_Вводные'!$F$271-'01_Вводные'!$E$271)*4/12,'01_Вводные'!$F$271)</f>
        <v/>
      </c>
      <c r="K101" s="194">
        <f>IF('01_Вводные'!$B$295="Да",'01_Вводные'!$E$272+('01_Вводные'!$F$272-'01_Вводные'!$E$272)*4/12,'01_Вводные'!$F$272)</f>
        <v/>
      </c>
      <c r="L101" s="194">
        <f>IF('01_Вводные'!$B$295="Да",'01_Вводные'!$E$273+('01_Вводные'!$F$273-'01_Вводные'!$E$273)*4/12,'01_Вводные'!$F$273)</f>
        <v/>
      </c>
      <c r="M101" s="194">
        <f>IF('01_Вводные'!$B$295="Да",'01_Вводные'!$E$274+('01_Вводные'!$F$274-'01_Вводные'!$E$274)*4/12,'01_Вводные'!$F$274)</f>
        <v/>
      </c>
      <c r="N101" s="194">
        <f>IF('01_Вводные'!$B$295="Да",'01_Вводные'!$E$275+('01_Вводные'!$F$275-'01_Вводные'!$E$275)*4/12,'01_Вводные'!$F$275)</f>
        <v/>
      </c>
      <c r="O101" s="194">
        <f>IF('01_Вводные'!$B$295="Да",'01_Вводные'!$E$276+('01_Вводные'!$F$276-'01_Вводные'!$E$276)*4/12,'01_Вводные'!$F$276)</f>
        <v/>
      </c>
      <c r="P101" s="194">
        <f>IF('01_Вводные'!$B$295="Да",'01_Вводные'!$E$277+('01_Вводные'!$F$277-'01_Вводные'!$E$277)*4/12,'01_Вводные'!$F$277)</f>
        <v/>
      </c>
      <c r="Q101" s="194">
        <f>IF('01_Вводные'!$B$295="Да",'01_Вводные'!$E$278+('01_Вводные'!$F$278-'01_Вводные'!$E$278)*4/12,'01_Вводные'!$F$278)</f>
        <v/>
      </c>
      <c r="R101" s="194">
        <f>IF('01_Вводные'!$B$295="Да",'01_Вводные'!$E$279+('01_Вводные'!$F$279-'01_Вводные'!$E$279)*4/12,'01_Вводные'!$F$279)</f>
        <v/>
      </c>
      <c r="S101" s="194">
        <f>IF('01_Вводные'!$B$295="Да",'01_Вводные'!$E$280+('01_Вводные'!$F$280-'01_Вводные'!$E$280)*4/12,'01_Вводные'!$F$280)</f>
        <v/>
      </c>
      <c r="T101" s="194">
        <f>IF('01_Вводные'!$B$295="Да",'01_Вводные'!$E$281+('01_Вводные'!$F$281-'01_Вводные'!$E$281)*4/12,'01_Вводные'!$F$281)</f>
        <v/>
      </c>
      <c r="U101" s="194">
        <f>IF('01_Вводные'!$B$295="Да",'01_Вводные'!$E$282+('01_Вводные'!$F$282-'01_Вводные'!$E$282)*4/12,'01_Вводные'!$F$282)</f>
        <v/>
      </c>
    </row>
    <row r="102">
      <c r="A102" s="192" t="inlineStr">
        <is>
          <t>17</t>
        </is>
      </c>
      <c r="B102" s="194">
        <f>IF('01_Вводные'!$B$295="Да",'01_Вводные'!$E$263+('01_Вводные'!$F$263-'01_Вводные'!$E$263)*5/12,'01_Вводные'!$F$263)</f>
        <v/>
      </c>
      <c r="C102" s="194">
        <f>IF('01_Вводные'!$B$295="Да",'01_Вводные'!$E$264+('01_Вводные'!$F$264-'01_Вводные'!$E$264)*5/12,'01_Вводные'!$F$264)</f>
        <v/>
      </c>
      <c r="D102" s="194">
        <f>IF('01_Вводные'!$B$295="Да",'01_Вводные'!$E$265+('01_Вводные'!$F$265-'01_Вводные'!$E$265)*5/12,'01_Вводные'!$F$265)</f>
        <v/>
      </c>
      <c r="E102" s="194">
        <f>IF('01_Вводные'!$B$295="Да",'01_Вводные'!$E$266+('01_Вводные'!$F$266-'01_Вводные'!$E$266)*5/12,'01_Вводные'!$F$266)</f>
        <v/>
      </c>
      <c r="F102" s="194">
        <f>IF('01_Вводные'!$B$295="Да",'01_Вводные'!$E$267+('01_Вводные'!$F$267-'01_Вводные'!$E$267)*5/12,'01_Вводные'!$F$267)</f>
        <v/>
      </c>
      <c r="G102" s="194">
        <f>IF('01_Вводные'!$B$295="Да",'01_Вводные'!$E$268+('01_Вводные'!$F$268-'01_Вводные'!$E$268)*5/12,'01_Вводные'!$F$268)</f>
        <v/>
      </c>
      <c r="H102" s="194">
        <f>IF('01_Вводные'!$B$295="Да",'01_Вводные'!$E$269+('01_Вводные'!$F$269-'01_Вводные'!$E$269)*5/12,'01_Вводные'!$F$269)</f>
        <v/>
      </c>
      <c r="I102" s="194">
        <f>IF('01_Вводные'!$B$295="Да",'01_Вводные'!$E$270+('01_Вводные'!$F$270-'01_Вводные'!$E$270)*5/12,'01_Вводные'!$F$270)</f>
        <v/>
      </c>
      <c r="J102" s="194">
        <f>IF('01_Вводные'!$B$295="Да",'01_Вводные'!$E$271+('01_Вводные'!$F$271-'01_Вводные'!$E$271)*5/12,'01_Вводные'!$F$271)</f>
        <v/>
      </c>
      <c r="K102" s="194">
        <f>IF('01_Вводные'!$B$295="Да",'01_Вводные'!$E$272+('01_Вводные'!$F$272-'01_Вводные'!$E$272)*5/12,'01_Вводные'!$F$272)</f>
        <v/>
      </c>
      <c r="L102" s="194">
        <f>IF('01_Вводные'!$B$295="Да",'01_Вводные'!$E$273+('01_Вводные'!$F$273-'01_Вводные'!$E$273)*5/12,'01_Вводные'!$F$273)</f>
        <v/>
      </c>
      <c r="M102" s="194">
        <f>IF('01_Вводные'!$B$295="Да",'01_Вводные'!$E$274+('01_Вводные'!$F$274-'01_Вводные'!$E$274)*5/12,'01_Вводные'!$F$274)</f>
        <v/>
      </c>
      <c r="N102" s="194">
        <f>IF('01_Вводные'!$B$295="Да",'01_Вводные'!$E$275+('01_Вводные'!$F$275-'01_Вводные'!$E$275)*5/12,'01_Вводные'!$F$275)</f>
        <v/>
      </c>
      <c r="O102" s="194">
        <f>IF('01_Вводные'!$B$295="Да",'01_Вводные'!$E$276+('01_Вводные'!$F$276-'01_Вводные'!$E$276)*5/12,'01_Вводные'!$F$276)</f>
        <v/>
      </c>
      <c r="P102" s="194">
        <f>IF('01_Вводные'!$B$295="Да",'01_Вводные'!$E$277+('01_Вводные'!$F$277-'01_Вводные'!$E$277)*5/12,'01_Вводные'!$F$277)</f>
        <v/>
      </c>
      <c r="Q102" s="194">
        <f>IF('01_Вводные'!$B$295="Да",'01_Вводные'!$E$278+('01_Вводные'!$F$278-'01_Вводные'!$E$278)*5/12,'01_Вводные'!$F$278)</f>
        <v/>
      </c>
      <c r="R102" s="194">
        <f>IF('01_Вводные'!$B$295="Да",'01_Вводные'!$E$279+('01_Вводные'!$F$279-'01_Вводные'!$E$279)*5/12,'01_Вводные'!$F$279)</f>
        <v/>
      </c>
      <c r="S102" s="194">
        <f>IF('01_Вводные'!$B$295="Да",'01_Вводные'!$E$280+('01_Вводные'!$F$280-'01_Вводные'!$E$280)*5/12,'01_Вводные'!$F$280)</f>
        <v/>
      </c>
      <c r="T102" s="194">
        <f>IF('01_Вводные'!$B$295="Да",'01_Вводные'!$E$281+('01_Вводные'!$F$281-'01_Вводные'!$E$281)*5/12,'01_Вводные'!$F$281)</f>
        <v/>
      </c>
      <c r="U102" s="194">
        <f>IF('01_Вводные'!$B$295="Да",'01_Вводные'!$E$282+('01_Вводные'!$F$282-'01_Вводные'!$E$282)*5/12,'01_Вводные'!$F$282)</f>
        <v/>
      </c>
    </row>
    <row r="103">
      <c r="A103" s="192" t="inlineStr">
        <is>
          <t>18</t>
        </is>
      </c>
      <c r="B103" s="194">
        <f>IF('01_Вводные'!$B$295="Да",'01_Вводные'!$E$263+('01_Вводные'!$F$263-'01_Вводные'!$E$263)*6/12,'01_Вводные'!$F$263)</f>
        <v/>
      </c>
      <c r="C103" s="194">
        <f>IF('01_Вводные'!$B$295="Да",'01_Вводные'!$E$264+('01_Вводные'!$F$264-'01_Вводные'!$E$264)*6/12,'01_Вводные'!$F$264)</f>
        <v/>
      </c>
      <c r="D103" s="194">
        <f>IF('01_Вводные'!$B$295="Да",'01_Вводные'!$E$265+('01_Вводные'!$F$265-'01_Вводные'!$E$265)*6/12,'01_Вводные'!$F$265)</f>
        <v/>
      </c>
      <c r="E103" s="194">
        <f>IF('01_Вводные'!$B$295="Да",'01_Вводные'!$E$266+('01_Вводные'!$F$266-'01_Вводные'!$E$266)*6/12,'01_Вводные'!$F$266)</f>
        <v/>
      </c>
      <c r="F103" s="194">
        <f>IF('01_Вводные'!$B$295="Да",'01_Вводные'!$E$267+('01_Вводные'!$F$267-'01_Вводные'!$E$267)*6/12,'01_Вводные'!$F$267)</f>
        <v/>
      </c>
      <c r="G103" s="194">
        <f>IF('01_Вводные'!$B$295="Да",'01_Вводные'!$E$268+('01_Вводные'!$F$268-'01_Вводные'!$E$268)*6/12,'01_Вводные'!$F$268)</f>
        <v/>
      </c>
      <c r="H103" s="194">
        <f>IF('01_Вводные'!$B$295="Да",'01_Вводные'!$E$269+('01_Вводные'!$F$269-'01_Вводные'!$E$269)*6/12,'01_Вводные'!$F$269)</f>
        <v/>
      </c>
      <c r="I103" s="194">
        <f>IF('01_Вводные'!$B$295="Да",'01_Вводные'!$E$270+('01_Вводные'!$F$270-'01_Вводные'!$E$270)*6/12,'01_Вводные'!$F$270)</f>
        <v/>
      </c>
      <c r="J103" s="194">
        <f>IF('01_Вводные'!$B$295="Да",'01_Вводные'!$E$271+('01_Вводные'!$F$271-'01_Вводные'!$E$271)*6/12,'01_Вводные'!$F$271)</f>
        <v/>
      </c>
      <c r="K103" s="194">
        <f>IF('01_Вводные'!$B$295="Да",'01_Вводные'!$E$272+('01_Вводные'!$F$272-'01_Вводные'!$E$272)*6/12,'01_Вводные'!$F$272)</f>
        <v/>
      </c>
      <c r="L103" s="194">
        <f>IF('01_Вводные'!$B$295="Да",'01_Вводные'!$E$273+('01_Вводные'!$F$273-'01_Вводные'!$E$273)*6/12,'01_Вводные'!$F$273)</f>
        <v/>
      </c>
      <c r="M103" s="194">
        <f>IF('01_Вводные'!$B$295="Да",'01_Вводные'!$E$274+('01_Вводные'!$F$274-'01_Вводные'!$E$274)*6/12,'01_Вводные'!$F$274)</f>
        <v/>
      </c>
      <c r="N103" s="194">
        <f>IF('01_Вводные'!$B$295="Да",'01_Вводные'!$E$275+('01_Вводные'!$F$275-'01_Вводные'!$E$275)*6/12,'01_Вводные'!$F$275)</f>
        <v/>
      </c>
      <c r="O103" s="194">
        <f>IF('01_Вводные'!$B$295="Да",'01_Вводные'!$E$276+('01_Вводные'!$F$276-'01_Вводные'!$E$276)*6/12,'01_Вводные'!$F$276)</f>
        <v/>
      </c>
      <c r="P103" s="194">
        <f>IF('01_Вводные'!$B$295="Да",'01_Вводные'!$E$277+('01_Вводные'!$F$277-'01_Вводные'!$E$277)*6/12,'01_Вводные'!$F$277)</f>
        <v/>
      </c>
      <c r="Q103" s="194">
        <f>IF('01_Вводные'!$B$295="Да",'01_Вводные'!$E$278+('01_Вводные'!$F$278-'01_Вводные'!$E$278)*6/12,'01_Вводные'!$F$278)</f>
        <v/>
      </c>
      <c r="R103" s="194">
        <f>IF('01_Вводные'!$B$295="Да",'01_Вводные'!$E$279+('01_Вводные'!$F$279-'01_Вводные'!$E$279)*6/12,'01_Вводные'!$F$279)</f>
        <v/>
      </c>
      <c r="S103" s="194">
        <f>IF('01_Вводные'!$B$295="Да",'01_Вводные'!$E$280+('01_Вводные'!$F$280-'01_Вводные'!$E$280)*6/12,'01_Вводные'!$F$280)</f>
        <v/>
      </c>
      <c r="T103" s="194">
        <f>IF('01_Вводные'!$B$295="Да",'01_Вводные'!$E$281+('01_Вводные'!$F$281-'01_Вводные'!$E$281)*6/12,'01_Вводные'!$F$281)</f>
        <v/>
      </c>
      <c r="U103" s="194">
        <f>IF('01_Вводные'!$B$295="Да",'01_Вводные'!$E$282+('01_Вводные'!$F$282-'01_Вводные'!$E$282)*6/12,'01_Вводные'!$F$282)</f>
        <v/>
      </c>
    </row>
    <row r="104">
      <c r="A104" s="192" t="inlineStr">
        <is>
          <t>19</t>
        </is>
      </c>
      <c r="B104" s="194">
        <f>IF('01_Вводные'!$B$295="Да",'01_Вводные'!$E$263+('01_Вводные'!$F$263-'01_Вводные'!$E$263)*7/12,'01_Вводные'!$F$263)</f>
        <v/>
      </c>
      <c r="C104" s="194">
        <f>IF('01_Вводные'!$B$295="Да",'01_Вводные'!$E$264+('01_Вводные'!$F$264-'01_Вводные'!$E$264)*7/12,'01_Вводные'!$F$264)</f>
        <v/>
      </c>
      <c r="D104" s="194">
        <f>IF('01_Вводные'!$B$295="Да",'01_Вводные'!$E$265+('01_Вводные'!$F$265-'01_Вводные'!$E$265)*7/12,'01_Вводные'!$F$265)</f>
        <v/>
      </c>
      <c r="E104" s="194">
        <f>IF('01_Вводные'!$B$295="Да",'01_Вводные'!$E$266+('01_Вводные'!$F$266-'01_Вводные'!$E$266)*7/12,'01_Вводные'!$F$266)</f>
        <v/>
      </c>
      <c r="F104" s="194">
        <f>IF('01_Вводные'!$B$295="Да",'01_Вводные'!$E$267+('01_Вводные'!$F$267-'01_Вводные'!$E$267)*7/12,'01_Вводные'!$F$267)</f>
        <v/>
      </c>
      <c r="G104" s="194">
        <f>IF('01_Вводные'!$B$295="Да",'01_Вводные'!$E$268+('01_Вводные'!$F$268-'01_Вводные'!$E$268)*7/12,'01_Вводные'!$F$268)</f>
        <v/>
      </c>
      <c r="H104" s="194">
        <f>IF('01_Вводные'!$B$295="Да",'01_Вводные'!$E$269+('01_Вводные'!$F$269-'01_Вводные'!$E$269)*7/12,'01_Вводные'!$F$269)</f>
        <v/>
      </c>
      <c r="I104" s="194">
        <f>IF('01_Вводные'!$B$295="Да",'01_Вводные'!$E$270+('01_Вводные'!$F$270-'01_Вводные'!$E$270)*7/12,'01_Вводные'!$F$270)</f>
        <v/>
      </c>
      <c r="J104" s="194">
        <f>IF('01_Вводные'!$B$295="Да",'01_Вводные'!$E$271+('01_Вводные'!$F$271-'01_Вводные'!$E$271)*7/12,'01_Вводные'!$F$271)</f>
        <v/>
      </c>
      <c r="K104" s="194">
        <f>IF('01_Вводные'!$B$295="Да",'01_Вводные'!$E$272+('01_Вводные'!$F$272-'01_Вводные'!$E$272)*7/12,'01_Вводные'!$F$272)</f>
        <v/>
      </c>
      <c r="L104" s="194">
        <f>IF('01_Вводные'!$B$295="Да",'01_Вводные'!$E$273+('01_Вводные'!$F$273-'01_Вводные'!$E$273)*7/12,'01_Вводные'!$F$273)</f>
        <v/>
      </c>
      <c r="M104" s="194">
        <f>IF('01_Вводные'!$B$295="Да",'01_Вводные'!$E$274+('01_Вводные'!$F$274-'01_Вводные'!$E$274)*7/12,'01_Вводные'!$F$274)</f>
        <v/>
      </c>
      <c r="N104" s="194">
        <f>IF('01_Вводные'!$B$295="Да",'01_Вводные'!$E$275+('01_Вводные'!$F$275-'01_Вводные'!$E$275)*7/12,'01_Вводные'!$F$275)</f>
        <v/>
      </c>
      <c r="O104" s="194">
        <f>IF('01_Вводные'!$B$295="Да",'01_Вводные'!$E$276+('01_Вводные'!$F$276-'01_Вводные'!$E$276)*7/12,'01_Вводные'!$F$276)</f>
        <v/>
      </c>
      <c r="P104" s="194">
        <f>IF('01_Вводные'!$B$295="Да",'01_Вводные'!$E$277+('01_Вводные'!$F$277-'01_Вводные'!$E$277)*7/12,'01_Вводные'!$F$277)</f>
        <v/>
      </c>
      <c r="Q104" s="194">
        <f>IF('01_Вводные'!$B$295="Да",'01_Вводные'!$E$278+('01_Вводные'!$F$278-'01_Вводные'!$E$278)*7/12,'01_Вводные'!$F$278)</f>
        <v/>
      </c>
      <c r="R104" s="194">
        <f>IF('01_Вводные'!$B$295="Да",'01_Вводные'!$E$279+('01_Вводные'!$F$279-'01_Вводные'!$E$279)*7/12,'01_Вводные'!$F$279)</f>
        <v/>
      </c>
      <c r="S104" s="194">
        <f>IF('01_Вводные'!$B$295="Да",'01_Вводные'!$E$280+('01_Вводные'!$F$280-'01_Вводные'!$E$280)*7/12,'01_Вводные'!$F$280)</f>
        <v/>
      </c>
      <c r="T104" s="194">
        <f>IF('01_Вводные'!$B$295="Да",'01_Вводные'!$E$281+('01_Вводные'!$F$281-'01_Вводные'!$E$281)*7/12,'01_Вводные'!$F$281)</f>
        <v/>
      </c>
      <c r="U104" s="194">
        <f>IF('01_Вводные'!$B$295="Да",'01_Вводные'!$E$282+('01_Вводные'!$F$282-'01_Вводные'!$E$282)*7/12,'01_Вводные'!$F$282)</f>
        <v/>
      </c>
    </row>
    <row r="105">
      <c r="A105" s="192" t="inlineStr">
        <is>
          <t>20</t>
        </is>
      </c>
      <c r="B105" s="194">
        <f>IF('01_Вводные'!$B$295="Да",'01_Вводные'!$E$263+('01_Вводные'!$F$263-'01_Вводные'!$E$263)*8/12,'01_Вводные'!$F$263)</f>
        <v/>
      </c>
      <c r="C105" s="194">
        <f>IF('01_Вводные'!$B$295="Да",'01_Вводные'!$E$264+('01_Вводные'!$F$264-'01_Вводные'!$E$264)*8/12,'01_Вводные'!$F$264)</f>
        <v/>
      </c>
      <c r="D105" s="194">
        <f>IF('01_Вводные'!$B$295="Да",'01_Вводные'!$E$265+('01_Вводные'!$F$265-'01_Вводные'!$E$265)*8/12,'01_Вводные'!$F$265)</f>
        <v/>
      </c>
      <c r="E105" s="194">
        <f>IF('01_Вводные'!$B$295="Да",'01_Вводные'!$E$266+('01_Вводные'!$F$266-'01_Вводные'!$E$266)*8/12,'01_Вводные'!$F$266)</f>
        <v/>
      </c>
      <c r="F105" s="194">
        <f>IF('01_Вводные'!$B$295="Да",'01_Вводные'!$E$267+('01_Вводные'!$F$267-'01_Вводные'!$E$267)*8/12,'01_Вводные'!$F$267)</f>
        <v/>
      </c>
      <c r="G105" s="194">
        <f>IF('01_Вводные'!$B$295="Да",'01_Вводные'!$E$268+('01_Вводные'!$F$268-'01_Вводные'!$E$268)*8/12,'01_Вводные'!$F$268)</f>
        <v/>
      </c>
      <c r="H105" s="194">
        <f>IF('01_Вводные'!$B$295="Да",'01_Вводные'!$E$269+('01_Вводные'!$F$269-'01_Вводные'!$E$269)*8/12,'01_Вводные'!$F$269)</f>
        <v/>
      </c>
      <c r="I105" s="194">
        <f>IF('01_Вводные'!$B$295="Да",'01_Вводные'!$E$270+('01_Вводные'!$F$270-'01_Вводные'!$E$270)*8/12,'01_Вводные'!$F$270)</f>
        <v/>
      </c>
      <c r="J105" s="194">
        <f>IF('01_Вводные'!$B$295="Да",'01_Вводные'!$E$271+('01_Вводные'!$F$271-'01_Вводные'!$E$271)*8/12,'01_Вводные'!$F$271)</f>
        <v/>
      </c>
      <c r="K105" s="194">
        <f>IF('01_Вводные'!$B$295="Да",'01_Вводные'!$E$272+('01_Вводные'!$F$272-'01_Вводные'!$E$272)*8/12,'01_Вводные'!$F$272)</f>
        <v/>
      </c>
      <c r="L105" s="194">
        <f>IF('01_Вводные'!$B$295="Да",'01_Вводные'!$E$273+('01_Вводные'!$F$273-'01_Вводные'!$E$273)*8/12,'01_Вводные'!$F$273)</f>
        <v/>
      </c>
      <c r="M105" s="194">
        <f>IF('01_Вводные'!$B$295="Да",'01_Вводные'!$E$274+('01_Вводные'!$F$274-'01_Вводные'!$E$274)*8/12,'01_Вводные'!$F$274)</f>
        <v/>
      </c>
      <c r="N105" s="194">
        <f>IF('01_Вводные'!$B$295="Да",'01_Вводные'!$E$275+('01_Вводные'!$F$275-'01_Вводные'!$E$275)*8/12,'01_Вводные'!$F$275)</f>
        <v/>
      </c>
      <c r="O105" s="194">
        <f>IF('01_Вводные'!$B$295="Да",'01_Вводные'!$E$276+('01_Вводные'!$F$276-'01_Вводные'!$E$276)*8/12,'01_Вводные'!$F$276)</f>
        <v/>
      </c>
      <c r="P105" s="194">
        <f>IF('01_Вводные'!$B$295="Да",'01_Вводные'!$E$277+('01_Вводные'!$F$277-'01_Вводные'!$E$277)*8/12,'01_Вводные'!$F$277)</f>
        <v/>
      </c>
      <c r="Q105" s="194">
        <f>IF('01_Вводные'!$B$295="Да",'01_Вводные'!$E$278+('01_Вводные'!$F$278-'01_Вводные'!$E$278)*8/12,'01_Вводные'!$F$278)</f>
        <v/>
      </c>
      <c r="R105" s="194">
        <f>IF('01_Вводные'!$B$295="Да",'01_Вводные'!$E$279+('01_Вводные'!$F$279-'01_Вводные'!$E$279)*8/12,'01_Вводные'!$F$279)</f>
        <v/>
      </c>
      <c r="S105" s="194">
        <f>IF('01_Вводные'!$B$295="Да",'01_Вводные'!$E$280+('01_Вводные'!$F$280-'01_Вводные'!$E$280)*8/12,'01_Вводные'!$F$280)</f>
        <v/>
      </c>
      <c r="T105" s="194">
        <f>IF('01_Вводные'!$B$295="Да",'01_Вводные'!$E$281+('01_Вводные'!$F$281-'01_Вводные'!$E$281)*8/12,'01_Вводные'!$F$281)</f>
        <v/>
      </c>
      <c r="U105" s="194">
        <f>IF('01_Вводные'!$B$295="Да",'01_Вводные'!$E$282+('01_Вводные'!$F$282-'01_Вводные'!$E$282)*8/12,'01_Вводные'!$F$282)</f>
        <v/>
      </c>
    </row>
    <row r="106">
      <c r="A106" s="192" t="inlineStr">
        <is>
          <t>21</t>
        </is>
      </c>
      <c r="B106" s="194">
        <f>IF('01_Вводные'!$B$295="Да",'01_Вводные'!$E$263+('01_Вводные'!$F$263-'01_Вводные'!$E$263)*9/12,'01_Вводные'!$F$263)</f>
        <v/>
      </c>
      <c r="C106" s="194">
        <f>IF('01_Вводные'!$B$295="Да",'01_Вводные'!$E$264+('01_Вводные'!$F$264-'01_Вводные'!$E$264)*9/12,'01_Вводные'!$F$264)</f>
        <v/>
      </c>
      <c r="D106" s="194">
        <f>IF('01_Вводные'!$B$295="Да",'01_Вводные'!$E$265+('01_Вводные'!$F$265-'01_Вводные'!$E$265)*9/12,'01_Вводные'!$F$265)</f>
        <v/>
      </c>
      <c r="E106" s="194">
        <f>IF('01_Вводные'!$B$295="Да",'01_Вводные'!$E$266+('01_Вводные'!$F$266-'01_Вводные'!$E$266)*9/12,'01_Вводные'!$F$266)</f>
        <v/>
      </c>
      <c r="F106" s="194">
        <f>IF('01_Вводные'!$B$295="Да",'01_Вводные'!$E$267+('01_Вводные'!$F$267-'01_Вводные'!$E$267)*9/12,'01_Вводные'!$F$267)</f>
        <v/>
      </c>
      <c r="G106" s="194">
        <f>IF('01_Вводные'!$B$295="Да",'01_Вводные'!$E$268+('01_Вводные'!$F$268-'01_Вводные'!$E$268)*9/12,'01_Вводные'!$F$268)</f>
        <v/>
      </c>
      <c r="H106" s="194">
        <f>IF('01_Вводные'!$B$295="Да",'01_Вводные'!$E$269+('01_Вводные'!$F$269-'01_Вводные'!$E$269)*9/12,'01_Вводные'!$F$269)</f>
        <v/>
      </c>
      <c r="I106" s="194">
        <f>IF('01_Вводные'!$B$295="Да",'01_Вводные'!$E$270+('01_Вводные'!$F$270-'01_Вводные'!$E$270)*9/12,'01_Вводные'!$F$270)</f>
        <v/>
      </c>
      <c r="J106" s="194">
        <f>IF('01_Вводные'!$B$295="Да",'01_Вводные'!$E$271+('01_Вводные'!$F$271-'01_Вводные'!$E$271)*9/12,'01_Вводные'!$F$271)</f>
        <v/>
      </c>
      <c r="K106" s="194">
        <f>IF('01_Вводные'!$B$295="Да",'01_Вводные'!$E$272+('01_Вводные'!$F$272-'01_Вводные'!$E$272)*9/12,'01_Вводные'!$F$272)</f>
        <v/>
      </c>
      <c r="L106" s="194">
        <f>IF('01_Вводные'!$B$295="Да",'01_Вводные'!$E$273+('01_Вводные'!$F$273-'01_Вводные'!$E$273)*9/12,'01_Вводные'!$F$273)</f>
        <v/>
      </c>
      <c r="M106" s="194">
        <f>IF('01_Вводные'!$B$295="Да",'01_Вводные'!$E$274+('01_Вводные'!$F$274-'01_Вводные'!$E$274)*9/12,'01_Вводные'!$F$274)</f>
        <v/>
      </c>
      <c r="N106" s="194">
        <f>IF('01_Вводные'!$B$295="Да",'01_Вводные'!$E$275+('01_Вводные'!$F$275-'01_Вводные'!$E$275)*9/12,'01_Вводные'!$F$275)</f>
        <v/>
      </c>
      <c r="O106" s="194">
        <f>IF('01_Вводные'!$B$295="Да",'01_Вводные'!$E$276+('01_Вводные'!$F$276-'01_Вводные'!$E$276)*9/12,'01_Вводные'!$F$276)</f>
        <v/>
      </c>
      <c r="P106" s="194">
        <f>IF('01_Вводные'!$B$295="Да",'01_Вводные'!$E$277+('01_Вводные'!$F$277-'01_Вводные'!$E$277)*9/12,'01_Вводные'!$F$277)</f>
        <v/>
      </c>
      <c r="Q106" s="194">
        <f>IF('01_Вводные'!$B$295="Да",'01_Вводные'!$E$278+('01_Вводные'!$F$278-'01_Вводные'!$E$278)*9/12,'01_Вводные'!$F$278)</f>
        <v/>
      </c>
      <c r="R106" s="194">
        <f>IF('01_Вводные'!$B$295="Да",'01_Вводные'!$E$279+('01_Вводные'!$F$279-'01_Вводные'!$E$279)*9/12,'01_Вводные'!$F$279)</f>
        <v/>
      </c>
      <c r="S106" s="194">
        <f>IF('01_Вводные'!$B$295="Да",'01_Вводные'!$E$280+('01_Вводные'!$F$280-'01_Вводные'!$E$280)*9/12,'01_Вводные'!$F$280)</f>
        <v/>
      </c>
      <c r="T106" s="194">
        <f>IF('01_Вводные'!$B$295="Да",'01_Вводные'!$E$281+('01_Вводные'!$F$281-'01_Вводные'!$E$281)*9/12,'01_Вводные'!$F$281)</f>
        <v/>
      </c>
      <c r="U106" s="194">
        <f>IF('01_Вводные'!$B$295="Да",'01_Вводные'!$E$282+('01_Вводные'!$F$282-'01_Вводные'!$E$282)*9/12,'01_Вводные'!$F$282)</f>
        <v/>
      </c>
    </row>
    <row r="107">
      <c r="A107" s="192" t="inlineStr">
        <is>
          <t>22</t>
        </is>
      </c>
      <c r="B107" s="194">
        <f>IF('01_Вводные'!$B$295="Да",'01_Вводные'!$E$263+('01_Вводные'!$F$263-'01_Вводные'!$E$263)*10/12,'01_Вводные'!$F$263)</f>
        <v/>
      </c>
      <c r="C107" s="194">
        <f>IF('01_Вводные'!$B$295="Да",'01_Вводные'!$E$264+('01_Вводные'!$F$264-'01_Вводные'!$E$264)*10/12,'01_Вводные'!$F$264)</f>
        <v/>
      </c>
      <c r="D107" s="194">
        <f>IF('01_Вводные'!$B$295="Да",'01_Вводные'!$E$265+('01_Вводные'!$F$265-'01_Вводные'!$E$265)*10/12,'01_Вводные'!$F$265)</f>
        <v/>
      </c>
      <c r="E107" s="194">
        <f>IF('01_Вводные'!$B$295="Да",'01_Вводные'!$E$266+('01_Вводные'!$F$266-'01_Вводные'!$E$266)*10/12,'01_Вводные'!$F$266)</f>
        <v/>
      </c>
      <c r="F107" s="194">
        <f>IF('01_Вводные'!$B$295="Да",'01_Вводные'!$E$267+('01_Вводные'!$F$267-'01_Вводные'!$E$267)*10/12,'01_Вводные'!$F$267)</f>
        <v/>
      </c>
      <c r="G107" s="194">
        <f>IF('01_Вводные'!$B$295="Да",'01_Вводные'!$E$268+('01_Вводные'!$F$268-'01_Вводные'!$E$268)*10/12,'01_Вводные'!$F$268)</f>
        <v/>
      </c>
      <c r="H107" s="194">
        <f>IF('01_Вводные'!$B$295="Да",'01_Вводные'!$E$269+('01_Вводные'!$F$269-'01_Вводные'!$E$269)*10/12,'01_Вводные'!$F$269)</f>
        <v/>
      </c>
      <c r="I107" s="194">
        <f>IF('01_Вводные'!$B$295="Да",'01_Вводные'!$E$270+('01_Вводные'!$F$270-'01_Вводные'!$E$270)*10/12,'01_Вводные'!$F$270)</f>
        <v/>
      </c>
      <c r="J107" s="194">
        <f>IF('01_Вводные'!$B$295="Да",'01_Вводные'!$E$271+('01_Вводные'!$F$271-'01_Вводные'!$E$271)*10/12,'01_Вводные'!$F$271)</f>
        <v/>
      </c>
      <c r="K107" s="194">
        <f>IF('01_Вводные'!$B$295="Да",'01_Вводные'!$E$272+('01_Вводные'!$F$272-'01_Вводные'!$E$272)*10/12,'01_Вводные'!$F$272)</f>
        <v/>
      </c>
      <c r="L107" s="194">
        <f>IF('01_Вводные'!$B$295="Да",'01_Вводные'!$E$273+('01_Вводные'!$F$273-'01_Вводные'!$E$273)*10/12,'01_Вводные'!$F$273)</f>
        <v/>
      </c>
      <c r="M107" s="194">
        <f>IF('01_Вводные'!$B$295="Да",'01_Вводные'!$E$274+('01_Вводные'!$F$274-'01_Вводные'!$E$274)*10/12,'01_Вводные'!$F$274)</f>
        <v/>
      </c>
      <c r="N107" s="194">
        <f>IF('01_Вводные'!$B$295="Да",'01_Вводные'!$E$275+('01_Вводные'!$F$275-'01_Вводные'!$E$275)*10/12,'01_Вводные'!$F$275)</f>
        <v/>
      </c>
      <c r="O107" s="194">
        <f>IF('01_Вводные'!$B$295="Да",'01_Вводные'!$E$276+('01_Вводные'!$F$276-'01_Вводные'!$E$276)*10/12,'01_Вводные'!$F$276)</f>
        <v/>
      </c>
      <c r="P107" s="194">
        <f>IF('01_Вводные'!$B$295="Да",'01_Вводные'!$E$277+('01_Вводные'!$F$277-'01_Вводные'!$E$277)*10/12,'01_Вводные'!$F$277)</f>
        <v/>
      </c>
      <c r="Q107" s="194">
        <f>IF('01_Вводные'!$B$295="Да",'01_Вводные'!$E$278+('01_Вводные'!$F$278-'01_Вводные'!$E$278)*10/12,'01_Вводные'!$F$278)</f>
        <v/>
      </c>
      <c r="R107" s="194">
        <f>IF('01_Вводные'!$B$295="Да",'01_Вводные'!$E$279+('01_Вводные'!$F$279-'01_Вводные'!$E$279)*10/12,'01_Вводные'!$F$279)</f>
        <v/>
      </c>
      <c r="S107" s="194">
        <f>IF('01_Вводные'!$B$295="Да",'01_Вводные'!$E$280+('01_Вводные'!$F$280-'01_Вводные'!$E$280)*10/12,'01_Вводные'!$F$280)</f>
        <v/>
      </c>
      <c r="T107" s="194">
        <f>IF('01_Вводные'!$B$295="Да",'01_Вводные'!$E$281+('01_Вводные'!$F$281-'01_Вводные'!$E$281)*10/12,'01_Вводные'!$F$281)</f>
        <v/>
      </c>
      <c r="U107" s="194">
        <f>IF('01_Вводные'!$B$295="Да",'01_Вводные'!$E$282+('01_Вводные'!$F$282-'01_Вводные'!$E$282)*10/12,'01_Вводные'!$F$282)</f>
        <v/>
      </c>
    </row>
    <row r="108">
      <c r="A108" s="192" t="inlineStr">
        <is>
          <t>23</t>
        </is>
      </c>
      <c r="B108" s="194">
        <f>IF('01_Вводные'!$B$295="Да",'01_Вводные'!$E$263+('01_Вводные'!$F$263-'01_Вводные'!$E$263)*11/12,'01_Вводные'!$F$263)</f>
        <v/>
      </c>
      <c r="C108" s="194">
        <f>IF('01_Вводные'!$B$295="Да",'01_Вводные'!$E$264+('01_Вводные'!$F$264-'01_Вводные'!$E$264)*11/12,'01_Вводные'!$F$264)</f>
        <v/>
      </c>
      <c r="D108" s="194">
        <f>IF('01_Вводные'!$B$295="Да",'01_Вводные'!$E$265+('01_Вводные'!$F$265-'01_Вводные'!$E$265)*11/12,'01_Вводные'!$F$265)</f>
        <v/>
      </c>
      <c r="E108" s="194">
        <f>IF('01_Вводные'!$B$295="Да",'01_Вводные'!$E$266+('01_Вводные'!$F$266-'01_Вводные'!$E$266)*11/12,'01_Вводные'!$F$266)</f>
        <v/>
      </c>
      <c r="F108" s="194">
        <f>IF('01_Вводные'!$B$295="Да",'01_Вводные'!$E$267+('01_Вводные'!$F$267-'01_Вводные'!$E$267)*11/12,'01_Вводные'!$F$267)</f>
        <v/>
      </c>
      <c r="G108" s="194">
        <f>IF('01_Вводные'!$B$295="Да",'01_Вводные'!$E$268+('01_Вводные'!$F$268-'01_Вводные'!$E$268)*11/12,'01_Вводные'!$F$268)</f>
        <v/>
      </c>
      <c r="H108" s="194">
        <f>IF('01_Вводные'!$B$295="Да",'01_Вводные'!$E$269+('01_Вводные'!$F$269-'01_Вводные'!$E$269)*11/12,'01_Вводные'!$F$269)</f>
        <v/>
      </c>
      <c r="I108" s="194">
        <f>IF('01_Вводные'!$B$295="Да",'01_Вводные'!$E$270+('01_Вводные'!$F$270-'01_Вводные'!$E$270)*11/12,'01_Вводные'!$F$270)</f>
        <v/>
      </c>
      <c r="J108" s="194">
        <f>IF('01_Вводные'!$B$295="Да",'01_Вводные'!$E$271+('01_Вводные'!$F$271-'01_Вводные'!$E$271)*11/12,'01_Вводные'!$F$271)</f>
        <v/>
      </c>
      <c r="K108" s="194">
        <f>IF('01_Вводные'!$B$295="Да",'01_Вводные'!$E$272+('01_Вводные'!$F$272-'01_Вводные'!$E$272)*11/12,'01_Вводные'!$F$272)</f>
        <v/>
      </c>
      <c r="L108" s="194">
        <f>IF('01_Вводные'!$B$295="Да",'01_Вводные'!$E$273+('01_Вводные'!$F$273-'01_Вводные'!$E$273)*11/12,'01_Вводные'!$F$273)</f>
        <v/>
      </c>
      <c r="M108" s="194">
        <f>IF('01_Вводные'!$B$295="Да",'01_Вводные'!$E$274+('01_Вводные'!$F$274-'01_Вводные'!$E$274)*11/12,'01_Вводные'!$F$274)</f>
        <v/>
      </c>
      <c r="N108" s="194">
        <f>IF('01_Вводные'!$B$295="Да",'01_Вводные'!$E$275+('01_Вводные'!$F$275-'01_Вводные'!$E$275)*11/12,'01_Вводные'!$F$275)</f>
        <v/>
      </c>
      <c r="O108" s="194">
        <f>IF('01_Вводные'!$B$295="Да",'01_Вводные'!$E$276+('01_Вводные'!$F$276-'01_Вводные'!$E$276)*11/12,'01_Вводные'!$F$276)</f>
        <v/>
      </c>
      <c r="P108" s="194">
        <f>IF('01_Вводные'!$B$295="Да",'01_Вводные'!$E$277+('01_Вводные'!$F$277-'01_Вводные'!$E$277)*11/12,'01_Вводные'!$F$277)</f>
        <v/>
      </c>
      <c r="Q108" s="194">
        <f>IF('01_Вводные'!$B$295="Да",'01_Вводные'!$E$278+('01_Вводные'!$F$278-'01_Вводные'!$E$278)*11/12,'01_Вводные'!$F$278)</f>
        <v/>
      </c>
      <c r="R108" s="194">
        <f>IF('01_Вводные'!$B$295="Да",'01_Вводные'!$E$279+('01_Вводные'!$F$279-'01_Вводные'!$E$279)*11/12,'01_Вводные'!$F$279)</f>
        <v/>
      </c>
      <c r="S108" s="194">
        <f>IF('01_Вводные'!$B$295="Да",'01_Вводные'!$E$280+('01_Вводные'!$F$280-'01_Вводные'!$E$280)*11/12,'01_Вводные'!$F$280)</f>
        <v/>
      </c>
      <c r="T108" s="194">
        <f>IF('01_Вводные'!$B$295="Да",'01_Вводные'!$E$281+('01_Вводные'!$F$281-'01_Вводные'!$E$281)*11/12,'01_Вводные'!$F$281)</f>
        <v/>
      </c>
      <c r="U108" s="194">
        <f>IF('01_Вводные'!$B$295="Да",'01_Вводные'!$E$282+('01_Вводные'!$F$282-'01_Вводные'!$E$282)*11/12,'01_Вводные'!$F$282)</f>
        <v/>
      </c>
    </row>
    <row r="109">
      <c r="A109" s="192" t="inlineStr">
        <is>
          <t>24</t>
        </is>
      </c>
      <c r="B109" s="194">
        <f>IF('01_Вводные'!$B$295="Да",'01_Вводные'!$E$263+('01_Вводные'!$F$263-'01_Вводные'!$E$263)*12/12,'01_Вводные'!$F$263)</f>
        <v/>
      </c>
      <c r="C109" s="194">
        <f>IF('01_Вводные'!$B$295="Да",'01_Вводные'!$E$264+('01_Вводные'!$F$264-'01_Вводные'!$E$264)*12/12,'01_Вводные'!$F$264)</f>
        <v/>
      </c>
      <c r="D109" s="194">
        <f>IF('01_Вводные'!$B$295="Да",'01_Вводные'!$E$265+('01_Вводные'!$F$265-'01_Вводные'!$E$265)*12/12,'01_Вводные'!$F$265)</f>
        <v/>
      </c>
      <c r="E109" s="194">
        <f>IF('01_Вводные'!$B$295="Да",'01_Вводные'!$E$266+('01_Вводные'!$F$266-'01_Вводные'!$E$266)*12/12,'01_Вводные'!$F$266)</f>
        <v/>
      </c>
      <c r="F109" s="194">
        <f>IF('01_Вводные'!$B$295="Да",'01_Вводные'!$E$267+('01_Вводные'!$F$267-'01_Вводные'!$E$267)*12/12,'01_Вводные'!$F$267)</f>
        <v/>
      </c>
      <c r="G109" s="194">
        <f>IF('01_Вводные'!$B$295="Да",'01_Вводные'!$E$268+('01_Вводные'!$F$268-'01_Вводные'!$E$268)*12/12,'01_Вводные'!$F$268)</f>
        <v/>
      </c>
      <c r="H109" s="194">
        <f>IF('01_Вводные'!$B$295="Да",'01_Вводные'!$E$269+('01_Вводные'!$F$269-'01_Вводные'!$E$269)*12/12,'01_Вводные'!$F$269)</f>
        <v/>
      </c>
      <c r="I109" s="194">
        <f>IF('01_Вводные'!$B$295="Да",'01_Вводные'!$E$270+('01_Вводные'!$F$270-'01_Вводные'!$E$270)*12/12,'01_Вводные'!$F$270)</f>
        <v/>
      </c>
      <c r="J109" s="194">
        <f>IF('01_Вводные'!$B$295="Да",'01_Вводные'!$E$271+('01_Вводные'!$F$271-'01_Вводные'!$E$271)*12/12,'01_Вводные'!$F$271)</f>
        <v/>
      </c>
      <c r="K109" s="194">
        <f>IF('01_Вводные'!$B$295="Да",'01_Вводные'!$E$272+('01_Вводные'!$F$272-'01_Вводные'!$E$272)*12/12,'01_Вводные'!$F$272)</f>
        <v/>
      </c>
      <c r="L109" s="194">
        <f>IF('01_Вводные'!$B$295="Да",'01_Вводные'!$E$273+('01_Вводные'!$F$273-'01_Вводные'!$E$273)*12/12,'01_Вводные'!$F$273)</f>
        <v/>
      </c>
      <c r="M109" s="194">
        <f>IF('01_Вводные'!$B$295="Да",'01_Вводные'!$E$274+('01_Вводные'!$F$274-'01_Вводные'!$E$274)*12/12,'01_Вводные'!$F$274)</f>
        <v/>
      </c>
      <c r="N109" s="194">
        <f>IF('01_Вводные'!$B$295="Да",'01_Вводные'!$E$275+('01_Вводные'!$F$275-'01_Вводные'!$E$275)*12/12,'01_Вводные'!$F$275)</f>
        <v/>
      </c>
      <c r="O109" s="194">
        <f>IF('01_Вводные'!$B$295="Да",'01_Вводные'!$E$276+('01_Вводные'!$F$276-'01_Вводные'!$E$276)*12/12,'01_Вводные'!$F$276)</f>
        <v/>
      </c>
      <c r="P109" s="194">
        <f>IF('01_Вводные'!$B$295="Да",'01_Вводные'!$E$277+('01_Вводные'!$F$277-'01_Вводные'!$E$277)*12/12,'01_Вводные'!$F$277)</f>
        <v/>
      </c>
      <c r="Q109" s="194">
        <f>IF('01_Вводные'!$B$295="Да",'01_Вводные'!$E$278+('01_Вводные'!$F$278-'01_Вводные'!$E$278)*12/12,'01_Вводные'!$F$278)</f>
        <v/>
      </c>
      <c r="R109" s="194">
        <f>IF('01_Вводные'!$B$295="Да",'01_Вводные'!$E$279+('01_Вводные'!$F$279-'01_Вводные'!$E$279)*12/12,'01_Вводные'!$F$279)</f>
        <v/>
      </c>
      <c r="S109" s="194">
        <f>IF('01_Вводные'!$B$295="Да",'01_Вводные'!$E$280+('01_Вводные'!$F$280-'01_Вводные'!$E$280)*12/12,'01_Вводные'!$F$280)</f>
        <v/>
      </c>
      <c r="T109" s="194">
        <f>IF('01_Вводные'!$B$295="Да",'01_Вводные'!$E$281+('01_Вводные'!$F$281-'01_Вводные'!$E$281)*12/12,'01_Вводные'!$F$281)</f>
        <v/>
      </c>
      <c r="U109" s="194">
        <f>IF('01_Вводные'!$B$295="Да",'01_Вводные'!$E$282+('01_Вводные'!$F$282-'01_Вводные'!$E$282)*12/12,'01_Вводные'!$F$282)</f>
        <v/>
      </c>
    </row>
    <row r="110">
      <c r="A110" s="192" t="inlineStr">
        <is>
          <t>25+</t>
        </is>
      </c>
      <c r="B110" s="194">
        <f>'01_Вводные'!$G$263</f>
        <v/>
      </c>
      <c r="C110" s="194">
        <f>'01_Вводные'!$G$264</f>
        <v/>
      </c>
      <c r="D110" s="194">
        <f>'01_Вводные'!$G$265</f>
        <v/>
      </c>
      <c r="E110" s="194">
        <f>'01_Вводные'!$G$266</f>
        <v/>
      </c>
      <c r="F110" s="194">
        <f>'01_Вводные'!$G$267</f>
        <v/>
      </c>
      <c r="G110" s="194">
        <f>'01_Вводные'!$G$268</f>
        <v/>
      </c>
      <c r="H110" s="194">
        <f>'01_Вводные'!$G$269</f>
        <v/>
      </c>
      <c r="I110" s="194">
        <f>'01_Вводные'!$G$270</f>
        <v/>
      </c>
      <c r="J110" s="194">
        <f>'01_Вводные'!$G$271</f>
        <v/>
      </c>
      <c r="K110" s="194">
        <f>'01_Вводные'!$G$272</f>
        <v/>
      </c>
      <c r="L110" s="194">
        <f>'01_Вводные'!$G$273</f>
        <v/>
      </c>
      <c r="M110" s="194">
        <f>'01_Вводные'!$G$274</f>
        <v/>
      </c>
      <c r="N110" s="194">
        <f>'01_Вводные'!$G$275</f>
        <v/>
      </c>
      <c r="O110" s="194">
        <f>'01_Вводные'!$G$276</f>
        <v/>
      </c>
      <c r="P110" s="194">
        <f>'01_Вводные'!$G$277</f>
        <v/>
      </c>
      <c r="Q110" s="194">
        <f>'01_Вводные'!$G$278</f>
        <v/>
      </c>
      <c r="R110" s="194">
        <f>'01_Вводные'!$G$279</f>
        <v/>
      </c>
      <c r="S110" s="194">
        <f>'01_Вводные'!$G$280</f>
        <v/>
      </c>
      <c r="T110" s="194">
        <f>'01_Вводные'!$G$281</f>
        <v/>
      </c>
      <c r="U110" s="194">
        <f>'01_Вводные'!$G$282</f>
        <v/>
      </c>
    </row>
    <row r="111"/>
    <row r="112"/>
    <row r="113"/>
    <row r="114">
      <c r="B114" s="195">
        <f>IF(B24&gt;0,B54/B24,1E99)</f>
        <v/>
      </c>
      <c r="C114" s="195">
        <f>IF(C24&gt;0,C54/C24,1E99)</f>
        <v/>
      </c>
      <c r="D114" s="195">
        <f>IF(D24&gt;0,D54/D24,1E99)</f>
        <v/>
      </c>
      <c r="E114" s="195">
        <f>IF(E24&gt;0,E54/E24,1E99)</f>
        <v/>
      </c>
      <c r="F114" s="195">
        <f>IF(F24&gt;0,F54/F24,1E99)</f>
        <v/>
      </c>
      <c r="G114" s="195">
        <f>IF(G24&gt;0,G54/G24,1E99)</f>
        <v/>
      </c>
      <c r="H114" s="195">
        <f>IF(H24&gt;0,H54/H24,1E99)</f>
        <v/>
      </c>
      <c r="I114" s="195">
        <f>IF(I24&gt;0,I54/I24,1E99)</f>
        <v/>
      </c>
      <c r="J114" s="195">
        <f>IF(J24&gt;0,J54/J24,1E99)</f>
        <v/>
      </c>
      <c r="K114" s="195">
        <f>IF(K24&gt;0,K54/K24,1E99)</f>
        <v/>
      </c>
      <c r="L114" s="195">
        <f>IF(L24&gt;0,L54/L24,1E99)</f>
        <v/>
      </c>
      <c r="M114" s="195">
        <f>IF(M24&gt;0,M54/M24,1E99)</f>
        <v/>
      </c>
      <c r="N114" s="195">
        <f>IF(N24&gt;0,N54/N24,1E99)</f>
        <v/>
      </c>
      <c r="O114" s="195">
        <f>IF(O24&gt;0,O54/O24,1E99)</f>
        <v/>
      </c>
      <c r="P114" s="195">
        <f>IF(P24&gt;0,P54/P24,1E99)</f>
        <v/>
      </c>
      <c r="Q114" s="195">
        <f>IF(Q24&gt;0,Q54/Q24,1E99)</f>
        <v/>
      </c>
      <c r="R114" s="195">
        <f>IF(R24&gt;0,R54/R24,1E99)</f>
        <v/>
      </c>
      <c r="S114" s="195">
        <f>IF(S24&gt;0,S54/S24,1E99)</f>
        <v/>
      </c>
      <c r="T114" s="195">
        <f>IF(T24&gt;0,T54/T24,1E99)</f>
        <v/>
      </c>
      <c r="U114" s="195">
        <f>IF(U24&gt;0,U54/U24,1E99)</f>
        <v/>
      </c>
    </row>
    <row r="115">
      <c r="B115" s="195">
        <f>IF(B25&gt;0,B55/B25,1E99)</f>
        <v/>
      </c>
      <c r="C115" s="195">
        <f>IF(C25&gt;0,C55/C25,1E99)</f>
        <v/>
      </c>
      <c r="D115" s="195">
        <f>IF(D25&gt;0,D55/D25,1E99)</f>
        <v/>
      </c>
      <c r="E115" s="195">
        <f>IF(E25&gt;0,E55/E25,1E99)</f>
        <v/>
      </c>
      <c r="F115" s="195">
        <f>IF(F25&gt;0,F55/F25,1E99)</f>
        <v/>
      </c>
      <c r="G115" s="195">
        <f>IF(G25&gt;0,G55/G25,1E99)</f>
        <v/>
      </c>
      <c r="H115" s="195">
        <f>IF(H25&gt;0,H55/H25,1E99)</f>
        <v/>
      </c>
      <c r="I115" s="195">
        <f>IF(I25&gt;0,I55/I25,1E99)</f>
        <v/>
      </c>
      <c r="J115" s="195">
        <f>IF(J25&gt;0,J55/J25,1E99)</f>
        <v/>
      </c>
      <c r="K115" s="195">
        <f>IF(K25&gt;0,K55/K25,1E99)</f>
        <v/>
      </c>
      <c r="L115" s="195">
        <f>IF(L25&gt;0,L55/L25,1E99)</f>
        <v/>
      </c>
      <c r="M115" s="195">
        <f>IF(M25&gt;0,M55/M25,1E99)</f>
        <v/>
      </c>
      <c r="N115" s="195">
        <f>IF(N25&gt;0,N55/N25,1E99)</f>
        <v/>
      </c>
      <c r="O115" s="195">
        <f>IF(O25&gt;0,O55/O25,1E99)</f>
        <v/>
      </c>
      <c r="P115" s="195">
        <f>IF(P25&gt;0,P55/P25,1E99)</f>
        <v/>
      </c>
      <c r="Q115" s="195">
        <f>IF(Q25&gt;0,Q55/Q25,1E99)</f>
        <v/>
      </c>
      <c r="R115" s="195">
        <f>IF(R25&gt;0,R55/R25,1E99)</f>
        <v/>
      </c>
      <c r="S115" s="195">
        <f>IF(S25&gt;0,S55/S25,1E99)</f>
        <v/>
      </c>
      <c r="T115" s="195">
        <f>IF(T25&gt;0,T55/T25,1E99)</f>
        <v/>
      </c>
      <c r="U115" s="195">
        <f>IF(U25&gt;0,U55/U25,1E99)</f>
        <v/>
      </c>
    </row>
    <row r="116">
      <c r="B116" s="195">
        <f>IF(B26&gt;0,B56/B26,1E99)</f>
        <v/>
      </c>
      <c r="C116" s="195">
        <f>IF(C26&gt;0,C56/C26,1E99)</f>
        <v/>
      </c>
      <c r="D116" s="195">
        <f>IF(D26&gt;0,D56/D26,1E99)</f>
        <v/>
      </c>
      <c r="E116" s="195">
        <f>IF(E26&gt;0,E56/E26,1E99)</f>
        <v/>
      </c>
      <c r="F116" s="195">
        <f>IF(F26&gt;0,F56/F26,1E99)</f>
        <v/>
      </c>
      <c r="G116" s="195">
        <f>IF(G26&gt;0,G56/G26,1E99)</f>
        <v/>
      </c>
      <c r="H116" s="195">
        <f>IF(H26&gt;0,H56/H26,1E99)</f>
        <v/>
      </c>
      <c r="I116" s="195">
        <f>IF(I26&gt;0,I56/I26,1E99)</f>
        <v/>
      </c>
      <c r="J116" s="195">
        <f>IF(J26&gt;0,J56/J26,1E99)</f>
        <v/>
      </c>
      <c r="K116" s="195">
        <f>IF(K26&gt;0,K56/K26,1E99)</f>
        <v/>
      </c>
      <c r="L116" s="195">
        <f>IF(L26&gt;0,L56/L26,1E99)</f>
        <v/>
      </c>
      <c r="M116" s="195">
        <f>IF(M26&gt;0,M56/M26,1E99)</f>
        <v/>
      </c>
      <c r="N116" s="195">
        <f>IF(N26&gt;0,N56/N26,1E99)</f>
        <v/>
      </c>
      <c r="O116" s="195">
        <f>IF(O26&gt;0,O56/O26,1E99)</f>
        <v/>
      </c>
      <c r="P116" s="195">
        <f>IF(P26&gt;0,P56/P26,1E99)</f>
        <v/>
      </c>
      <c r="Q116" s="195">
        <f>IF(Q26&gt;0,Q56/Q26,1E99)</f>
        <v/>
      </c>
      <c r="R116" s="195">
        <f>IF(R26&gt;0,R56/R26,1E99)</f>
        <v/>
      </c>
      <c r="S116" s="195">
        <f>IF(S26&gt;0,S56/S26,1E99)</f>
        <v/>
      </c>
      <c r="T116" s="195">
        <f>IF(T26&gt;0,T56/T26,1E99)</f>
        <v/>
      </c>
      <c r="U116" s="195">
        <f>IF(U26&gt;0,U56/U26,1E99)</f>
        <v/>
      </c>
    </row>
    <row r="117">
      <c r="B117" s="195">
        <f>IF(B27&gt;0,B57/B27,1E99)</f>
        <v/>
      </c>
      <c r="C117" s="195">
        <f>IF(C27&gt;0,C57/C27,1E99)</f>
        <v/>
      </c>
      <c r="D117" s="195">
        <f>IF(D27&gt;0,D57/D27,1E99)</f>
        <v/>
      </c>
      <c r="E117" s="195">
        <f>IF(E27&gt;0,E57/E27,1E99)</f>
        <v/>
      </c>
      <c r="F117" s="195">
        <f>IF(F27&gt;0,F57/F27,1E99)</f>
        <v/>
      </c>
      <c r="G117" s="195">
        <f>IF(G27&gt;0,G57/G27,1E99)</f>
        <v/>
      </c>
      <c r="H117" s="195">
        <f>IF(H27&gt;0,H57/H27,1E99)</f>
        <v/>
      </c>
      <c r="I117" s="195">
        <f>IF(I27&gt;0,I57/I27,1E99)</f>
        <v/>
      </c>
      <c r="J117" s="195">
        <f>IF(J27&gt;0,J57/J27,1E99)</f>
        <v/>
      </c>
      <c r="K117" s="195">
        <f>IF(K27&gt;0,K57/K27,1E99)</f>
        <v/>
      </c>
      <c r="L117" s="195">
        <f>IF(L27&gt;0,L57/L27,1E99)</f>
        <v/>
      </c>
      <c r="M117" s="195">
        <f>IF(M27&gt;0,M57/M27,1E99)</f>
        <v/>
      </c>
      <c r="N117" s="195">
        <f>IF(N27&gt;0,N57/N27,1E99)</f>
        <v/>
      </c>
      <c r="O117" s="195">
        <f>IF(O27&gt;0,O57/O27,1E99)</f>
        <v/>
      </c>
      <c r="P117" s="195">
        <f>IF(P27&gt;0,P57/P27,1E99)</f>
        <v/>
      </c>
      <c r="Q117" s="195">
        <f>IF(Q27&gt;0,Q57/Q27,1E99)</f>
        <v/>
      </c>
      <c r="R117" s="195">
        <f>IF(R27&gt;0,R57/R27,1E99)</f>
        <v/>
      </c>
      <c r="S117" s="195">
        <f>IF(S27&gt;0,S57/S27,1E99)</f>
        <v/>
      </c>
      <c r="T117" s="195">
        <f>IF(T27&gt;0,T57/T27,1E99)</f>
        <v/>
      </c>
      <c r="U117" s="195">
        <f>IF(U27&gt;0,U57/U27,1E99)</f>
        <v/>
      </c>
    </row>
    <row r="118">
      <c r="B118" s="195">
        <f>IF(B28&gt;0,B58/B28,1E99)</f>
        <v/>
      </c>
      <c r="C118" s="195">
        <f>IF(C28&gt;0,C58/C28,1E99)</f>
        <v/>
      </c>
      <c r="D118" s="195">
        <f>IF(D28&gt;0,D58/D28,1E99)</f>
        <v/>
      </c>
      <c r="E118" s="195">
        <f>IF(E28&gt;0,E58/E28,1E99)</f>
        <v/>
      </c>
      <c r="F118" s="195">
        <f>IF(F28&gt;0,F58/F28,1E99)</f>
        <v/>
      </c>
      <c r="G118" s="195">
        <f>IF(G28&gt;0,G58/G28,1E99)</f>
        <v/>
      </c>
      <c r="H118" s="195">
        <f>IF(H28&gt;0,H58/H28,1E99)</f>
        <v/>
      </c>
      <c r="I118" s="195">
        <f>IF(I28&gt;0,I58/I28,1E99)</f>
        <v/>
      </c>
      <c r="J118" s="195">
        <f>IF(J28&gt;0,J58/J28,1E99)</f>
        <v/>
      </c>
      <c r="K118" s="195">
        <f>IF(K28&gt;0,K58/K28,1E99)</f>
        <v/>
      </c>
      <c r="L118" s="195">
        <f>IF(L28&gt;0,L58/L28,1E99)</f>
        <v/>
      </c>
      <c r="M118" s="195">
        <f>IF(M28&gt;0,M58/M28,1E99)</f>
        <v/>
      </c>
      <c r="N118" s="195">
        <f>IF(N28&gt;0,N58/N28,1E99)</f>
        <v/>
      </c>
      <c r="O118" s="195">
        <f>IF(O28&gt;0,O58/O28,1E99)</f>
        <v/>
      </c>
      <c r="P118" s="195">
        <f>IF(P28&gt;0,P58/P28,1E99)</f>
        <v/>
      </c>
      <c r="Q118" s="195">
        <f>IF(Q28&gt;0,Q58/Q28,1E99)</f>
        <v/>
      </c>
      <c r="R118" s="195">
        <f>IF(R28&gt;0,R58/R28,1E99)</f>
        <v/>
      </c>
      <c r="S118" s="195">
        <f>IF(S28&gt;0,S58/S28,1E99)</f>
        <v/>
      </c>
      <c r="T118" s="195">
        <f>IF(T28&gt;0,T58/T28,1E99)</f>
        <v/>
      </c>
      <c r="U118" s="195">
        <f>IF(U28&gt;0,U58/U28,1E99)</f>
        <v/>
      </c>
    </row>
    <row r="119">
      <c r="B119" s="195">
        <f>IF(B29&gt;0,B59/B29,1E99)</f>
        <v/>
      </c>
      <c r="C119" s="195">
        <f>IF(C29&gt;0,C59/C29,1E99)</f>
        <v/>
      </c>
      <c r="D119" s="195">
        <f>IF(D29&gt;0,D59/D29,1E99)</f>
        <v/>
      </c>
      <c r="E119" s="195">
        <f>IF(E29&gt;0,E59/E29,1E99)</f>
        <v/>
      </c>
      <c r="F119" s="195">
        <f>IF(F29&gt;0,F59/F29,1E99)</f>
        <v/>
      </c>
      <c r="G119" s="195">
        <f>IF(G29&gt;0,G59/G29,1E99)</f>
        <v/>
      </c>
      <c r="H119" s="195">
        <f>IF(H29&gt;0,H59/H29,1E99)</f>
        <v/>
      </c>
      <c r="I119" s="195">
        <f>IF(I29&gt;0,I59/I29,1E99)</f>
        <v/>
      </c>
      <c r="J119" s="195">
        <f>IF(J29&gt;0,J59/J29,1E99)</f>
        <v/>
      </c>
      <c r="K119" s="195">
        <f>IF(K29&gt;0,K59/K29,1E99)</f>
        <v/>
      </c>
      <c r="L119" s="195">
        <f>IF(L29&gt;0,L59/L29,1E99)</f>
        <v/>
      </c>
      <c r="M119" s="195">
        <f>IF(M29&gt;0,M59/M29,1E99)</f>
        <v/>
      </c>
      <c r="N119" s="195">
        <f>IF(N29&gt;0,N59/N29,1E99)</f>
        <v/>
      </c>
      <c r="O119" s="195">
        <f>IF(O29&gt;0,O59/O29,1E99)</f>
        <v/>
      </c>
      <c r="P119" s="195">
        <f>IF(P29&gt;0,P59/P29,1E99)</f>
        <v/>
      </c>
      <c r="Q119" s="195">
        <f>IF(Q29&gt;0,Q59/Q29,1E99)</f>
        <v/>
      </c>
      <c r="R119" s="195">
        <f>IF(R29&gt;0,R59/R29,1E99)</f>
        <v/>
      </c>
      <c r="S119" s="195">
        <f>IF(S29&gt;0,S59/S29,1E99)</f>
        <v/>
      </c>
      <c r="T119" s="195">
        <f>IF(T29&gt;0,T59/T29,1E99)</f>
        <v/>
      </c>
      <c r="U119" s="195">
        <f>IF(U29&gt;0,U59/U29,1E99)</f>
        <v/>
      </c>
    </row>
    <row r="120">
      <c r="B120" s="195">
        <f>IF(B30&gt;0,B60/B30,1E99)</f>
        <v/>
      </c>
      <c r="C120" s="195">
        <f>IF(C30&gt;0,C60/C30,1E99)</f>
        <v/>
      </c>
      <c r="D120" s="195">
        <f>IF(D30&gt;0,D60/D30,1E99)</f>
        <v/>
      </c>
      <c r="E120" s="195">
        <f>IF(E30&gt;0,E60/E30,1E99)</f>
        <v/>
      </c>
      <c r="F120" s="195">
        <f>IF(F30&gt;0,F60/F30,1E99)</f>
        <v/>
      </c>
      <c r="G120" s="195">
        <f>IF(G30&gt;0,G60/G30,1E99)</f>
        <v/>
      </c>
      <c r="H120" s="195">
        <f>IF(H30&gt;0,H60/H30,1E99)</f>
        <v/>
      </c>
      <c r="I120" s="195">
        <f>IF(I30&gt;0,I60/I30,1E99)</f>
        <v/>
      </c>
      <c r="J120" s="195">
        <f>IF(J30&gt;0,J60/J30,1E99)</f>
        <v/>
      </c>
      <c r="K120" s="195">
        <f>IF(K30&gt;0,K60/K30,1E99)</f>
        <v/>
      </c>
      <c r="L120" s="195">
        <f>IF(L30&gt;0,L60/L30,1E99)</f>
        <v/>
      </c>
      <c r="M120" s="195">
        <f>IF(M30&gt;0,M60/M30,1E99)</f>
        <v/>
      </c>
      <c r="N120" s="195">
        <f>IF(N30&gt;0,N60/N30,1E99)</f>
        <v/>
      </c>
      <c r="O120" s="195">
        <f>IF(O30&gt;0,O60/O30,1E99)</f>
        <v/>
      </c>
      <c r="P120" s="195">
        <f>IF(P30&gt;0,P60/P30,1E99)</f>
        <v/>
      </c>
      <c r="Q120" s="195">
        <f>IF(Q30&gt;0,Q60/Q30,1E99)</f>
        <v/>
      </c>
      <c r="R120" s="195">
        <f>IF(R30&gt;0,R60/R30,1E99)</f>
        <v/>
      </c>
      <c r="S120" s="195">
        <f>IF(S30&gt;0,S60/S30,1E99)</f>
        <v/>
      </c>
      <c r="T120" s="195">
        <f>IF(T30&gt;0,T60/T30,1E99)</f>
        <v/>
      </c>
      <c r="U120" s="195">
        <f>IF(U30&gt;0,U60/U30,1E99)</f>
        <v/>
      </c>
    </row>
    <row r="121">
      <c r="B121" s="195">
        <f>IF(B31&gt;0,B61/B31,1E99)</f>
        <v/>
      </c>
      <c r="C121" s="195">
        <f>IF(C31&gt;0,C61/C31,1E99)</f>
        <v/>
      </c>
      <c r="D121" s="195">
        <f>IF(D31&gt;0,D61/D31,1E99)</f>
        <v/>
      </c>
      <c r="E121" s="195">
        <f>IF(E31&gt;0,E61/E31,1E99)</f>
        <v/>
      </c>
      <c r="F121" s="195">
        <f>IF(F31&gt;0,F61/F31,1E99)</f>
        <v/>
      </c>
      <c r="G121" s="195">
        <f>IF(G31&gt;0,G61/G31,1E99)</f>
        <v/>
      </c>
      <c r="H121" s="195">
        <f>IF(H31&gt;0,H61/H31,1E99)</f>
        <v/>
      </c>
      <c r="I121" s="195">
        <f>IF(I31&gt;0,I61/I31,1E99)</f>
        <v/>
      </c>
      <c r="J121" s="195">
        <f>IF(J31&gt;0,J61/J31,1E99)</f>
        <v/>
      </c>
      <c r="K121" s="195">
        <f>IF(K31&gt;0,K61/K31,1E99)</f>
        <v/>
      </c>
      <c r="L121" s="195">
        <f>IF(L31&gt;0,L61/L31,1E99)</f>
        <v/>
      </c>
      <c r="M121" s="195">
        <f>IF(M31&gt;0,M61/M31,1E99)</f>
        <v/>
      </c>
      <c r="N121" s="195">
        <f>IF(N31&gt;0,N61/N31,1E99)</f>
        <v/>
      </c>
      <c r="O121" s="195">
        <f>IF(O31&gt;0,O61/O31,1E99)</f>
        <v/>
      </c>
      <c r="P121" s="195">
        <f>IF(P31&gt;0,P61/P31,1E99)</f>
        <v/>
      </c>
      <c r="Q121" s="195">
        <f>IF(Q31&gt;0,Q61/Q31,1E99)</f>
        <v/>
      </c>
      <c r="R121" s="195">
        <f>IF(R31&gt;0,R61/R31,1E99)</f>
        <v/>
      </c>
      <c r="S121" s="195">
        <f>IF(S31&gt;0,S61/S31,1E99)</f>
        <v/>
      </c>
      <c r="T121" s="195">
        <f>IF(T31&gt;0,T61/T31,1E99)</f>
        <v/>
      </c>
      <c r="U121" s="195">
        <f>IF(U31&gt;0,U61/U31,1E99)</f>
        <v/>
      </c>
    </row>
    <row r="122">
      <c r="B122" s="195">
        <f>IF(B32&gt;0,B62/B32,1E99)</f>
        <v/>
      </c>
      <c r="C122" s="195">
        <f>IF(C32&gt;0,C62/C32,1E99)</f>
        <v/>
      </c>
      <c r="D122" s="195">
        <f>IF(D32&gt;0,D62/D32,1E99)</f>
        <v/>
      </c>
      <c r="E122" s="195">
        <f>IF(E32&gt;0,E62/E32,1E99)</f>
        <v/>
      </c>
      <c r="F122" s="195">
        <f>IF(F32&gt;0,F62/F32,1E99)</f>
        <v/>
      </c>
      <c r="G122" s="195">
        <f>IF(G32&gt;0,G62/G32,1E99)</f>
        <v/>
      </c>
      <c r="H122" s="195">
        <f>IF(H32&gt;0,H62/H32,1E99)</f>
        <v/>
      </c>
      <c r="I122" s="195">
        <f>IF(I32&gt;0,I62/I32,1E99)</f>
        <v/>
      </c>
      <c r="J122" s="195">
        <f>IF(J32&gt;0,J62/J32,1E99)</f>
        <v/>
      </c>
      <c r="K122" s="195">
        <f>IF(K32&gt;0,K62/K32,1E99)</f>
        <v/>
      </c>
      <c r="L122" s="195">
        <f>IF(L32&gt;0,L62/L32,1E99)</f>
        <v/>
      </c>
      <c r="M122" s="195">
        <f>IF(M32&gt;0,M62/M32,1E99)</f>
        <v/>
      </c>
      <c r="N122" s="195">
        <f>IF(N32&gt;0,N62/N32,1E99)</f>
        <v/>
      </c>
      <c r="O122" s="195">
        <f>IF(O32&gt;0,O62/O32,1E99)</f>
        <v/>
      </c>
      <c r="P122" s="195">
        <f>IF(P32&gt;0,P62/P32,1E99)</f>
        <v/>
      </c>
      <c r="Q122" s="195">
        <f>IF(Q32&gt;0,Q62/Q32,1E99)</f>
        <v/>
      </c>
      <c r="R122" s="195">
        <f>IF(R32&gt;0,R62/R32,1E99)</f>
        <v/>
      </c>
      <c r="S122" s="195">
        <f>IF(S32&gt;0,S62/S32,1E99)</f>
        <v/>
      </c>
      <c r="T122" s="195">
        <f>IF(T32&gt;0,T62/T32,1E99)</f>
        <v/>
      </c>
      <c r="U122" s="195">
        <f>IF(U32&gt;0,U62/U32,1E99)</f>
        <v/>
      </c>
    </row>
    <row r="123">
      <c r="B123" s="195">
        <f>IF(B33&gt;0,B63/B33,1E99)</f>
        <v/>
      </c>
      <c r="C123" s="195">
        <f>IF(C33&gt;0,C63/C33,1E99)</f>
        <v/>
      </c>
      <c r="D123" s="195">
        <f>IF(D33&gt;0,D63/D33,1E99)</f>
        <v/>
      </c>
      <c r="E123" s="195">
        <f>IF(E33&gt;0,E63/E33,1E99)</f>
        <v/>
      </c>
      <c r="F123" s="195">
        <f>IF(F33&gt;0,F63/F33,1E99)</f>
        <v/>
      </c>
      <c r="G123" s="195">
        <f>IF(G33&gt;0,G63/G33,1E99)</f>
        <v/>
      </c>
      <c r="H123" s="195">
        <f>IF(H33&gt;0,H63/H33,1E99)</f>
        <v/>
      </c>
      <c r="I123" s="195">
        <f>IF(I33&gt;0,I63/I33,1E99)</f>
        <v/>
      </c>
      <c r="J123" s="195">
        <f>IF(J33&gt;0,J63/J33,1E99)</f>
        <v/>
      </c>
      <c r="K123" s="195">
        <f>IF(K33&gt;0,K63/K33,1E99)</f>
        <v/>
      </c>
      <c r="L123" s="195">
        <f>IF(L33&gt;0,L63/L33,1E99)</f>
        <v/>
      </c>
      <c r="M123" s="195">
        <f>IF(M33&gt;0,M63/M33,1E99)</f>
        <v/>
      </c>
      <c r="N123" s="195">
        <f>IF(N33&gt;0,N63/N33,1E99)</f>
        <v/>
      </c>
      <c r="O123" s="195">
        <f>IF(O33&gt;0,O63/O33,1E99)</f>
        <v/>
      </c>
      <c r="P123" s="195">
        <f>IF(P33&gt;0,P63/P33,1E99)</f>
        <v/>
      </c>
      <c r="Q123" s="195">
        <f>IF(Q33&gt;0,Q63/Q33,1E99)</f>
        <v/>
      </c>
      <c r="R123" s="195">
        <f>IF(R33&gt;0,R63/R33,1E99)</f>
        <v/>
      </c>
      <c r="S123" s="195">
        <f>IF(S33&gt;0,S63/S33,1E99)</f>
        <v/>
      </c>
      <c r="T123" s="195">
        <f>IF(T33&gt;0,T63/T33,1E99)</f>
        <v/>
      </c>
      <c r="U123" s="195">
        <f>IF(U33&gt;0,U63/U33,1E99)</f>
        <v/>
      </c>
    </row>
    <row r="124">
      <c r="B124" s="195">
        <f>IF(B34&gt;0,B64/B34,1E99)</f>
        <v/>
      </c>
      <c r="C124" s="195">
        <f>IF(C34&gt;0,C64/C34,1E99)</f>
        <v/>
      </c>
      <c r="D124" s="195">
        <f>IF(D34&gt;0,D64/D34,1E99)</f>
        <v/>
      </c>
      <c r="E124" s="195">
        <f>IF(E34&gt;0,E64/E34,1E99)</f>
        <v/>
      </c>
      <c r="F124" s="195">
        <f>IF(F34&gt;0,F64/F34,1E99)</f>
        <v/>
      </c>
      <c r="G124" s="195">
        <f>IF(G34&gt;0,G64/G34,1E99)</f>
        <v/>
      </c>
      <c r="H124" s="195">
        <f>IF(H34&gt;0,H64/H34,1E99)</f>
        <v/>
      </c>
      <c r="I124" s="195">
        <f>IF(I34&gt;0,I64/I34,1E99)</f>
        <v/>
      </c>
      <c r="J124" s="195">
        <f>IF(J34&gt;0,J64/J34,1E99)</f>
        <v/>
      </c>
      <c r="K124" s="195">
        <f>IF(K34&gt;0,K64/K34,1E99)</f>
        <v/>
      </c>
      <c r="L124" s="195">
        <f>IF(L34&gt;0,L64/L34,1E99)</f>
        <v/>
      </c>
      <c r="M124" s="195">
        <f>IF(M34&gt;0,M64/M34,1E99)</f>
        <v/>
      </c>
      <c r="N124" s="195">
        <f>IF(N34&gt;0,N64/N34,1E99)</f>
        <v/>
      </c>
      <c r="O124" s="195">
        <f>IF(O34&gt;0,O64/O34,1E99)</f>
        <v/>
      </c>
      <c r="P124" s="195">
        <f>IF(P34&gt;0,P64/P34,1E99)</f>
        <v/>
      </c>
      <c r="Q124" s="195">
        <f>IF(Q34&gt;0,Q64/Q34,1E99)</f>
        <v/>
      </c>
      <c r="R124" s="195">
        <f>IF(R34&gt;0,R64/R34,1E99)</f>
        <v/>
      </c>
      <c r="S124" s="195">
        <f>IF(S34&gt;0,S64/S34,1E99)</f>
        <v/>
      </c>
      <c r="T124" s="195">
        <f>IF(T34&gt;0,T64/T34,1E99)</f>
        <v/>
      </c>
      <c r="U124" s="195">
        <f>IF(U34&gt;0,U64/U34,1E99)</f>
        <v/>
      </c>
    </row>
    <row r="125">
      <c r="B125" s="195">
        <f>IF(B35&gt;0,B65/B35,1E99)</f>
        <v/>
      </c>
      <c r="C125" s="195">
        <f>IF(C35&gt;0,C65/C35,1E99)</f>
        <v/>
      </c>
      <c r="D125" s="195">
        <f>IF(D35&gt;0,D65/D35,1E99)</f>
        <v/>
      </c>
      <c r="E125" s="195">
        <f>IF(E35&gt;0,E65/E35,1E99)</f>
        <v/>
      </c>
      <c r="F125" s="195">
        <f>IF(F35&gt;0,F65/F35,1E99)</f>
        <v/>
      </c>
      <c r="G125" s="195">
        <f>IF(G35&gt;0,G65/G35,1E99)</f>
        <v/>
      </c>
      <c r="H125" s="195">
        <f>IF(H35&gt;0,H65/H35,1E99)</f>
        <v/>
      </c>
      <c r="I125" s="195">
        <f>IF(I35&gt;0,I65/I35,1E99)</f>
        <v/>
      </c>
      <c r="J125" s="195">
        <f>IF(J35&gt;0,J65/J35,1E99)</f>
        <v/>
      </c>
      <c r="K125" s="195">
        <f>IF(K35&gt;0,K65/K35,1E99)</f>
        <v/>
      </c>
      <c r="L125" s="195">
        <f>IF(L35&gt;0,L65/L35,1E99)</f>
        <v/>
      </c>
      <c r="M125" s="195">
        <f>IF(M35&gt;0,M65/M35,1E99)</f>
        <v/>
      </c>
      <c r="N125" s="195">
        <f>IF(N35&gt;0,N65/N35,1E99)</f>
        <v/>
      </c>
      <c r="O125" s="195">
        <f>IF(O35&gt;0,O65/O35,1E99)</f>
        <v/>
      </c>
      <c r="P125" s="195">
        <f>IF(P35&gt;0,P65/P35,1E99)</f>
        <v/>
      </c>
      <c r="Q125" s="195">
        <f>IF(Q35&gt;0,Q65/Q35,1E99)</f>
        <v/>
      </c>
      <c r="R125" s="195">
        <f>IF(R35&gt;0,R65/R35,1E99)</f>
        <v/>
      </c>
      <c r="S125" s="195">
        <f>IF(S35&gt;0,S65/S35,1E99)</f>
        <v/>
      </c>
      <c r="T125" s="195">
        <f>IF(T35&gt;0,T65/T35,1E99)</f>
        <v/>
      </c>
      <c r="U125" s="195">
        <f>IF(U35&gt;0,U65/U35,1E99)</f>
        <v/>
      </c>
    </row>
    <row r="126">
      <c r="B126" s="195">
        <f>IF(B36&gt;0,B66/B36,1E99)</f>
        <v/>
      </c>
      <c r="C126" s="195">
        <f>IF(C36&gt;0,C66/C36,1E99)</f>
        <v/>
      </c>
      <c r="D126" s="195">
        <f>IF(D36&gt;0,D66/D36,1E99)</f>
        <v/>
      </c>
      <c r="E126" s="195">
        <f>IF(E36&gt;0,E66/E36,1E99)</f>
        <v/>
      </c>
      <c r="F126" s="195">
        <f>IF(F36&gt;0,F66/F36,1E99)</f>
        <v/>
      </c>
      <c r="G126" s="195">
        <f>IF(G36&gt;0,G66/G36,1E99)</f>
        <v/>
      </c>
      <c r="H126" s="195">
        <f>IF(H36&gt;0,H66/H36,1E99)</f>
        <v/>
      </c>
      <c r="I126" s="195">
        <f>IF(I36&gt;0,I66/I36,1E99)</f>
        <v/>
      </c>
      <c r="J126" s="195">
        <f>IF(J36&gt;0,J66/J36,1E99)</f>
        <v/>
      </c>
      <c r="K126" s="195">
        <f>IF(K36&gt;0,K66/K36,1E99)</f>
        <v/>
      </c>
      <c r="L126" s="195">
        <f>IF(L36&gt;0,L66/L36,1E99)</f>
        <v/>
      </c>
      <c r="M126" s="195">
        <f>IF(M36&gt;0,M66/M36,1E99)</f>
        <v/>
      </c>
      <c r="N126" s="195">
        <f>IF(N36&gt;0,N66/N36,1E99)</f>
        <v/>
      </c>
      <c r="O126" s="195">
        <f>IF(O36&gt;0,O66/O36,1E99)</f>
        <v/>
      </c>
      <c r="P126" s="195">
        <f>IF(P36&gt;0,P66/P36,1E99)</f>
        <v/>
      </c>
      <c r="Q126" s="195">
        <f>IF(Q36&gt;0,Q66/Q36,1E99)</f>
        <v/>
      </c>
      <c r="R126" s="195">
        <f>IF(R36&gt;0,R66/R36,1E99)</f>
        <v/>
      </c>
      <c r="S126" s="195">
        <f>IF(S36&gt;0,S66/S36,1E99)</f>
        <v/>
      </c>
      <c r="T126" s="195">
        <f>IF(T36&gt;0,T66/T36,1E99)</f>
        <v/>
      </c>
      <c r="U126" s="195">
        <f>IF(U36&gt;0,U66/U36,1E99)</f>
        <v/>
      </c>
    </row>
    <row r="127">
      <c r="B127" s="195">
        <f>IF(B37&gt;0,B67/B37,1E99)</f>
        <v/>
      </c>
      <c r="C127" s="195">
        <f>IF(C37&gt;0,C67/C37,1E99)</f>
        <v/>
      </c>
      <c r="D127" s="195">
        <f>IF(D37&gt;0,D67/D37,1E99)</f>
        <v/>
      </c>
      <c r="E127" s="195">
        <f>IF(E37&gt;0,E67/E37,1E99)</f>
        <v/>
      </c>
      <c r="F127" s="195">
        <f>IF(F37&gt;0,F67/F37,1E99)</f>
        <v/>
      </c>
      <c r="G127" s="195">
        <f>IF(G37&gt;0,G67/G37,1E99)</f>
        <v/>
      </c>
      <c r="H127" s="195">
        <f>IF(H37&gt;0,H67/H37,1E99)</f>
        <v/>
      </c>
      <c r="I127" s="195">
        <f>IF(I37&gt;0,I67/I37,1E99)</f>
        <v/>
      </c>
      <c r="J127" s="195">
        <f>IF(J37&gt;0,J67/J37,1E99)</f>
        <v/>
      </c>
      <c r="K127" s="195">
        <f>IF(K37&gt;0,K67/K37,1E99)</f>
        <v/>
      </c>
      <c r="L127" s="195">
        <f>IF(L37&gt;0,L67/L37,1E99)</f>
        <v/>
      </c>
      <c r="M127" s="195">
        <f>IF(M37&gt;0,M67/M37,1E99)</f>
        <v/>
      </c>
      <c r="N127" s="195">
        <f>IF(N37&gt;0,N67/N37,1E99)</f>
        <v/>
      </c>
      <c r="O127" s="195">
        <f>IF(O37&gt;0,O67/O37,1E99)</f>
        <v/>
      </c>
      <c r="P127" s="195">
        <f>IF(P37&gt;0,P67/P37,1E99)</f>
        <v/>
      </c>
      <c r="Q127" s="195">
        <f>IF(Q37&gt;0,Q67/Q37,1E99)</f>
        <v/>
      </c>
      <c r="R127" s="195">
        <f>IF(R37&gt;0,R67/R37,1E99)</f>
        <v/>
      </c>
      <c r="S127" s="195">
        <f>IF(S37&gt;0,S67/S37,1E99)</f>
        <v/>
      </c>
      <c r="T127" s="195">
        <f>IF(T37&gt;0,T67/T37,1E99)</f>
        <v/>
      </c>
      <c r="U127" s="195">
        <f>IF(U37&gt;0,U67/U37,1E99)</f>
        <v/>
      </c>
    </row>
    <row r="128">
      <c r="B128" s="195">
        <f>IF(B38&gt;0,B68/B38,1E99)</f>
        <v/>
      </c>
      <c r="C128" s="195">
        <f>IF(C38&gt;0,C68/C38,1E99)</f>
        <v/>
      </c>
      <c r="D128" s="195">
        <f>IF(D38&gt;0,D68/D38,1E99)</f>
        <v/>
      </c>
      <c r="E128" s="195">
        <f>IF(E38&gt;0,E68/E38,1E99)</f>
        <v/>
      </c>
      <c r="F128" s="195">
        <f>IF(F38&gt;0,F68/F38,1E99)</f>
        <v/>
      </c>
      <c r="G128" s="195">
        <f>IF(G38&gt;0,G68/G38,1E99)</f>
        <v/>
      </c>
      <c r="H128" s="195">
        <f>IF(H38&gt;0,H68/H38,1E99)</f>
        <v/>
      </c>
      <c r="I128" s="195">
        <f>IF(I38&gt;0,I68/I38,1E99)</f>
        <v/>
      </c>
      <c r="J128" s="195">
        <f>IF(J38&gt;0,J68/J38,1E99)</f>
        <v/>
      </c>
      <c r="K128" s="195">
        <f>IF(K38&gt;0,K68/K38,1E99)</f>
        <v/>
      </c>
      <c r="L128" s="195">
        <f>IF(L38&gt;0,L68/L38,1E99)</f>
        <v/>
      </c>
      <c r="M128" s="195">
        <f>IF(M38&gt;0,M68/M38,1E99)</f>
        <v/>
      </c>
      <c r="N128" s="195">
        <f>IF(N38&gt;0,N68/N38,1E99)</f>
        <v/>
      </c>
      <c r="O128" s="195">
        <f>IF(O38&gt;0,O68/O38,1E99)</f>
        <v/>
      </c>
      <c r="P128" s="195">
        <f>IF(P38&gt;0,P68/P38,1E99)</f>
        <v/>
      </c>
      <c r="Q128" s="195">
        <f>IF(Q38&gt;0,Q68/Q38,1E99)</f>
        <v/>
      </c>
      <c r="R128" s="195">
        <f>IF(R38&gt;0,R68/R38,1E99)</f>
        <v/>
      </c>
      <c r="S128" s="195">
        <f>IF(S38&gt;0,S68/S38,1E99)</f>
        <v/>
      </c>
      <c r="T128" s="195">
        <f>IF(T38&gt;0,T68/T38,1E99)</f>
        <v/>
      </c>
      <c r="U128" s="195">
        <f>IF(U38&gt;0,U68/U38,1E99)</f>
        <v/>
      </c>
    </row>
    <row r="129">
      <c r="B129" s="195">
        <f>IF(B39&gt;0,B69/B39,1E99)</f>
        <v/>
      </c>
      <c r="C129" s="195">
        <f>IF(C39&gt;0,C69/C39,1E99)</f>
        <v/>
      </c>
      <c r="D129" s="195">
        <f>IF(D39&gt;0,D69/D39,1E99)</f>
        <v/>
      </c>
      <c r="E129" s="195">
        <f>IF(E39&gt;0,E69/E39,1E99)</f>
        <v/>
      </c>
      <c r="F129" s="195">
        <f>IF(F39&gt;0,F69/F39,1E99)</f>
        <v/>
      </c>
      <c r="G129" s="195">
        <f>IF(G39&gt;0,G69/G39,1E99)</f>
        <v/>
      </c>
      <c r="H129" s="195">
        <f>IF(H39&gt;0,H69/H39,1E99)</f>
        <v/>
      </c>
      <c r="I129" s="195">
        <f>IF(I39&gt;0,I69/I39,1E99)</f>
        <v/>
      </c>
      <c r="J129" s="195">
        <f>IF(J39&gt;0,J69/J39,1E99)</f>
        <v/>
      </c>
      <c r="K129" s="195">
        <f>IF(K39&gt;0,K69/K39,1E99)</f>
        <v/>
      </c>
      <c r="L129" s="195">
        <f>IF(L39&gt;0,L69/L39,1E99)</f>
        <v/>
      </c>
      <c r="M129" s="195">
        <f>IF(M39&gt;0,M69/M39,1E99)</f>
        <v/>
      </c>
      <c r="N129" s="195">
        <f>IF(N39&gt;0,N69/N39,1E99)</f>
        <v/>
      </c>
      <c r="O129" s="195">
        <f>IF(O39&gt;0,O69/O39,1E99)</f>
        <v/>
      </c>
      <c r="P129" s="195">
        <f>IF(P39&gt;0,P69/P39,1E99)</f>
        <v/>
      </c>
      <c r="Q129" s="195">
        <f>IF(Q39&gt;0,Q69/Q39,1E99)</f>
        <v/>
      </c>
      <c r="R129" s="195">
        <f>IF(R39&gt;0,R69/R39,1E99)</f>
        <v/>
      </c>
      <c r="S129" s="195">
        <f>IF(S39&gt;0,S69/S39,1E99)</f>
        <v/>
      </c>
      <c r="T129" s="195">
        <f>IF(T39&gt;0,T69/T39,1E99)</f>
        <v/>
      </c>
      <c r="U129" s="195">
        <f>IF(U39&gt;0,U69/U39,1E99)</f>
        <v/>
      </c>
    </row>
    <row r="130">
      <c r="B130" s="195">
        <f>IF(B40&gt;0,B70/B40,1E99)</f>
        <v/>
      </c>
      <c r="C130" s="195">
        <f>IF(C40&gt;0,C70/C40,1E99)</f>
        <v/>
      </c>
      <c r="D130" s="195">
        <f>IF(D40&gt;0,D70/D40,1E99)</f>
        <v/>
      </c>
      <c r="E130" s="195">
        <f>IF(E40&gt;0,E70/E40,1E99)</f>
        <v/>
      </c>
      <c r="F130" s="195">
        <f>IF(F40&gt;0,F70/F40,1E99)</f>
        <v/>
      </c>
      <c r="G130" s="195">
        <f>IF(G40&gt;0,G70/G40,1E99)</f>
        <v/>
      </c>
      <c r="H130" s="195">
        <f>IF(H40&gt;0,H70/H40,1E99)</f>
        <v/>
      </c>
      <c r="I130" s="195">
        <f>IF(I40&gt;0,I70/I40,1E99)</f>
        <v/>
      </c>
      <c r="J130" s="195">
        <f>IF(J40&gt;0,J70/J40,1E99)</f>
        <v/>
      </c>
      <c r="K130" s="195">
        <f>IF(K40&gt;0,K70/K40,1E99)</f>
        <v/>
      </c>
      <c r="L130" s="195">
        <f>IF(L40&gt;0,L70/L40,1E99)</f>
        <v/>
      </c>
      <c r="M130" s="195">
        <f>IF(M40&gt;0,M70/M40,1E99)</f>
        <v/>
      </c>
      <c r="N130" s="195">
        <f>IF(N40&gt;0,N70/N40,1E99)</f>
        <v/>
      </c>
      <c r="O130" s="195">
        <f>IF(O40&gt;0,O70/O40,1E99)</f>
        <v/>
      </c>
      <c r="P130" s="195">
        <f>IF(P40&gt;0,P70/P40,1E99)</f>
        <v/>
      </c>
      <c r="Q130" s="195">
        <f>IF(Q40&gt;0,Q70/Q40,1E99)</f>
        <v/>
      </c>
      <c r="R130" s="195">
        <f>IF(R40&gt;0,R70/R40,1E99)</f>
        <v/>
      </c>
      <c r="S130" s="195">
        <f>IF(S40&gt;0,S70/S40,1E99)</f>
        <v/>
      </c>
      <c r="T130" s="195">
        <f>IF(T40&gt;0,T70/T40,1E99)</f>
        <v/>
      </c>
      <c r="U130" s="195">
        <f>IF(U40&gt;0,U70/U40,1E99)</f>
        <v/>
      </c>
    </row>
    <row r="131">
      <c r="B131" s="195">
        <f>IF(B41&gt;0,B71/B41,1E99)</f>
        <v/>
      </c>
      <c r="C131" s="195">
        <f>IF(C41&gt;0,C71/C41,1E99)</f>
        <v/>
      </c>
      <c r="D131" s="195">
        <f>IF(D41&gt;0,D71/D41,1E99)</f>
        <v/>
      </c>
      <c r="E131" s="195">
        <f>IF(E41&gt;0,E71/E41,1E99)</f>
        <v/>
      </c>
      <c r="F131" s="195">
        <f>IF(F41&gt;0,F71/F41,1E99)</f>
        <v/>
      </c>
      <c r="G131" s="195">
        <f>IF(G41&gt;0,G71/G41,1E99)</f>
        <v/>
      </c>
      <c r="H131" s="195">
        <f>IF(H41&gt;0,H71/H41,1E99)</f>
        <v/>
      </c>
      <c r="I131" s="195">
        <f>IF(I41&gt;0,I71/I41,1E99)</f>
        <v/>
      </c>
      <c r="J131" s="195">
        <f>IF(J41&gt;0,J71/J41,1E99)</f>
        <v/>
      </c>
      <c r="K131" s="195">
        <f>IF(K41&gt;0,K71/K41,1E99)</f>
        <v/>
      </c>
      <c r="L131" s="195">
        <f>IF(L41&gt;0,L71/L41,1E99)</f>
        <v/>
      </c>
      <c r="M131" s="195">
        <f>IF(M41&gt;0,M71/M41,1E99)</f>
        <v/>
      </c>
      <c r="N131" s="195">
        <f>IF(N41&gt;0,N71/N41,1E99)</f>
        <v/>
      </c>
      <c r="O131" s="195">
        <f>IF(O41&gt;0,O71/O41,1E99)</f>
        <v/>
      </c>
      <c r="P131" s="195">
        <f>IF(P41&gt;0,P71/P41,1E99)</f>
        <v/>
      </c>
      <c r="Q131" s="195">
        <f>IF(Q41&gt;0,Q71/Q41,1E99)</f>
        <v/>
      </c>
      <c r="R131" s="195">
        <f>IF(R41&gt;0,R71/R41,1E99)</f>
        <v/>
      </c>
      <c r="S131" s="195">
        <f>IF(S41&gt;0,S71/S41,1E99)</f>
        <v/>
      </c>
      <c r="T131" s="195">
        <f>IF(T41&gt;0,T71/T41,1E99)</f>
        <v/>
      </c>
      <c r="U131" s="195">
        <f>IF(U41&gt;0,U71/U41,1E99)</f>
        <v/>
      </c>
    </row>
    <row r="132">
      <c r="B132" s="195">
        <f>IF(B42&gt;0,B72/B42,1E99)</f>
        <v/>
      </c>
      <c r="C132" s="195">
        <f>IF(C42&gt;0,C72/C42,1E99)</f>
        <v/>
      </c>
      <c r="D132" s="195">
        <f>IF(D42&gt;0,D72/D42,1E99)</f>
        <v/>
      </c>
      <c r="E132" s="195">
        <f>IF(E42&gt;0,E72/E42,1E99)</f>
        <v/>
      </c>
      <c r="F132" s="195">
        <f>IF(F42&gt;0,F72/F42,1E99)</f>
        <v/>
      </c>
      <c r="G132" s="195">
        <f>IF(G42&gt;0,G72/G42,1E99)</f>
        <v/>
      </c>
      <c r="H132" s="195">
        <f>IF(H42&gt;0,H72/H42,1E99)</f>
        <v/>
      </c>
      <c r="I132" s="195">
        <f>IF(I42&gt;0,I72/I42,1E99)</f>
        <v/>
      </c>
      <c r="J132" s="195">
        <f>IF(J42&gt;0,J72/J42,1E99)</f>
        <v/>
      </c>
      <c r="K132" s="195">
        <f>IF(K42&gt;0,K72/K42,1E99)</f>
        <v/>
      </c>
      <c r="L132" s="195">
        <f>IF(L42&gt;0,L72/L42,1E99)</f>
        <v/>
      </c>
      <c r="M132" s="195">
        <f>IF(M42&gt;0,M72/M42,1E99)</f>
        <v/>
      </c>
      <c r="N132" s="195">
        <f>IF(N42&gt;0,N72/N42,1E99)</f>
        <v/>
      </c>
      <c r="O132" s="195">
        <f>IF(O42&gt;0,O72/O42,1E99)</f>
        <v/>
      </c>
      <c r="P132" s="195">
        <f>IF(P42&gt;0,P72/P42,1E99)</f>
        <v/>
      </c>
      <c r="Q132" s="195">
        <f>IF(Q42&gt;0,Q72/Q42,1E99)</f>
        <v/>
      </c>
      <c r="R132" s="195">
        <f>IF(R42&gt;0,R72/R42,1E99)</f>
        <v/>
      </c>
      <c r="S132" s="195">
        <f>IF(S42&gt;0,S72/S42,1E99)</f>
        <v/>
      </c>
      <c r="T132" s="195">
        <f>IF(T42&gt;0,T72/T42,1E99)</f>
        <v/>
      </c>
      <c r="U132" s="195">
        <f>IF(U42&gt;0,U72/U42,1E99)</f>
        <v/>
      </c>
    </row>
    <row r="133">
      <c r="B133" s="195">
        <f>IF(B43&gt;0,B73/B43,1E99)</f>
        <v/>
      </c>
      <c r="C133" s="195">
        <f>IF(C43&gt;0,C73/C43,1E99)</f>
        <v/>
      </c>
      <c r="D133" s="195">
        <f>IF(D43&gt;0,D73/D43,1E99)</f>
        <v/>
      </c>
      <c r="E133" s="195">
        <f>IF(E43&gt;0,E73/E43,1E99)</f>
        <v/>
      </c>
      <c r="F133" s="195">
        <f>IF(F43&gt;0,F73/F43,1E99)</f>
        <v/>
      </c>
      <c r="G133" s="195">
        <f>IF(G43&gt;0,G73/G43,1E99)</f>
        <v/>
      </c>
      <c r="H133" s="195">
        <f>IF(H43&gt;0,H73/H43,1E99)</f>
        <v/>
      </c>
      <c r="I133" s="195">
        <f>IF(I43&gt;0,I73/I43,1E99)</f>
        <v/>
      </c>
      <c r="J133" s="195">
        <f>IF(J43&gt;0,J73/J43,1E99)</f>
        <v/>
      </c>
      <c r="K133" s="195">
        <f>IF(K43&gt;0,K73/K43,1E99)</f>
        <v/>
      </c>
      <c r="L133" s="195">
        <f>IF(L43&gt;0,L73/L43,1E99)</f>
        <v/>
      </c>
      <c r="M133" s="195">
        <f>IF(M43&gt;0,M73/M43,1E99)</f>
        <v/>
      </c>
      <c r="N133" s="195">
        <f>IF(N43&gt;0,N73/N43,1E99)</f>
        <v/>
      </c>
      <c r="O133" s="195">
        <f>IF(O43&gt;0,O73/O43,1E99)</f>
        <v/>
      </c>
      <c r="P133" s="195">
        <f>IF(P43&gt;0,P73/P43,1E99)</f>
        <v/>
      </c>
      <c r="Q133" s="195">
        <f>IF(Q43&gt;0,Q73/Q43,1E99)</f>
        <v/>
      </c>
      <c r="R133" s="195">
        <f>IF(R43&gt;0,R73/R43,1E99)</f>
        <v/>
      </c>
      <c r="S133" s="195">
        <f>IF(S43&gt;0,S73/S43,1E99)</f>
        <v/>
      </c>
      <c r="T133" s="195">
        <f>IF(T43&gt;0,T73/T43,1E99)</f>
        <v/>
      </c>
      <c r="U133" s="195">
        <f>IF(U43&gt;0,U73/U43,1E99)</f>
        <v/>
      </c>
    </row>
    <row r="134">
      <c r="B134" s="195">
        <f>IF(B44&gt;0,B74/B44,1E99)</f>
        <v/>
      </c>
      <c r="C134" s="195">
        <f>IF(C44&gt;0,C74/C44,1E99)</f>
        <v/>
      </c>
      <c r="D134" s="195">
        <f>IF(D44&gt;0,D74/D44,1E99)</f>
        <v/>
      </c>
      <c r="E134" s="195">
        <f>IF(E44&gt;0,E74/E44,1E99)</f>
        <v/>
      </c>
      <c r="F134" s="195">
        <f>IF(F44&gt;0,F74/F44,1E99)</f>
        <v/>
      </c>
      <c r="G134" s="195">
        <f>IF(G44&gt;0,G74/G44,1E99)</f>
        <v/>
      </c>
      <c r="H134" s="195">
        <f>IF(H44&gt;0,H74/H44,1E99)</f>
        <v/>
      </c>
      <c r="I134" s="195">
        <f>IF(I44&gt;0,I74/I44,1E99)</f>
        <v/>
      </c>
      <c r="J134" s="195">
        <f>IF(J44&gt;0,J74/J44,1E99)</f>
        <v/>
      </c>
      <c r="K134" s="195">
        <f>IF(K44&gt;0,K74/K44,1E99)</f>
        <v/>
      </c>
      <c r="L134" s="195">
        <f>IF(L44&gt;0,L74/L44,1E99)</f>
        <v/>
      </c>
      <c r="M134" s="195">
        <f>IF(M44&gt;0,M74/M44,1E99)</f>
        <v/>
      </c>
      <c r="N134" s="195">
        <f>IF(N44&gt;0,N74/N44,1E99)</f>
        <v/>
      </c>
      <c r="O134" s="195">
        <f>IF(O44&gt;0,O74/O44,1E99)</f>
        <v/>
      </c>
      <c r="P134" s="195">
        <f>IF(P44&gt;0,P74/P44,1E99)</f>
        <v/>
      </c>
      <c r="Q134" s="195">
        <f>IF(Q44&gt;0,Q74/Q44,1E99)</f>
        <v/>
      </c>
      <c r="R134" s="195">
        <f>IF(R44&gt;0,R74/R44,1E99)</f>
        <v/>
      </c>
      <c r="S134" s="195">
        <f>IF(S44&gt;0,S74/S44,1E99)</f>
        <v/>
      </c>
      <c r="T134" s="195">
        <f>IF(T44&gt;0,T74/T44,1E99)</f>
        <v/>
      </c>
      <c r="U134" s="195">
        <f>IF(U44&gt;0,U74/U44,1E99)</f>
        <v/>
      </c>
    </row>
    <row r="135">
      <c r="B135" s="195">
        <f>IF(B45&gt;0,B75/B45,1E99)</f>
        <v/>
      </c>
      <c r="C135" s="195">
        <f>IF(C45&gt;0,C75/C45,1E99)</f>
        <v/>
      </c>
      <c r="D135" s="195">
        <f>IF(D45&gt;0,D75/D45,1E99)</f>
        <v/>
      </c>
      <c r="E135" s="195">
        <f>IF(E45&gt;0,E75/E45,1E99)</f>
        <v/>
      </c>
      <c r="F135" s="195">
        <f>IF(F45&gt;0,F75/F45,1E99)</f>
        <v/>
      </c>
      <c r="G135" s="195">
        <f>IF(G45&gt;0,G75/G45,1E99)</f>
        <v/>
      </c>
      <c r="H135" s="195">
        <f>IF(H45&gt;0,H75/H45,1E99)</f>
        <v/>
      </c>
      <c r="I135" s="195">
        <f>IF(I45&gt;0,I75/I45,1E99)</f>
        <v/>
      </c>
      <c r="J135" s="195">
        <f>IF(J45&gt;0,J75/J45,1E99)</f>
        <v/>
      </c>
      <c r="K135" s="195">
        <f>IF(K45&gt;0,K75/K45,1E99)</f>
        <v/>
      </c>
      <c r="L135" s="195">
        <f>IF(L45&gt;0,L75/L45,1E99)</f>
        <v/>
      </c>
      <c r="M135" s="195">
        <f>IF(M45&gt;0,M75/M45,1E99)</f>
        <v/>
      </c>
      <c r="N135" s="195">
        <f>IF(N45&gt;0,N75/N45,1E99)</f>
        <v/>
      </c>
      <c r="O135" s="195">
        <f>IF(O45&gt;0,O75/O45,1E99)</f>
        <v/>
      </c>
      <c r="P135" s="195">
        <f>IF(P45&gt;0,P75/P45,1E99)</f>
        <v/>
      </c>
      <c r="Q135" s="195">
        <f>IF(Q45&gt;0,Q75/Q45,1E99)</f>
        <v/>
      </c>
      <c r="R135" s="195">
        <f>IF(R45&gt;0,R75/R45,1E99)</f>
        <v/>
      </c>
      <c r="S135" s="195">
        <f>IF(S45&gt;0,S75/S45,1E99)</f>
        <v/>
      </c>
      <c r="T135" s="195">
        <f>IF(T45&gt;0,T75/T45,1E99)</f>
        <v/>
      </c>
      <c r="U135" s="195">
        <f>IF(U45&gt;0,U75/U45,1E99)</f>
        <v/>
      </c>
    </row>
    <row r="136">
      <c r="B136" s="195">
        <f>IF(B46&gt;0,B76/B46,1E99)</f>
        <v/>
      </c>
      <c r="C136" s="195">
        <f>IF(C46&gt;0,C76/C46,1E99)</f>
        <v/>
      </c>
      <c r="D136" s="195">
        <f>IF(D46&gt;0,D76/D46,1E99)</f>
        <v/>
      </c>
      <c r="E136" s="195">
        <f>IF(E46&gt;0,E76/E46,1E99)</f>
        <v/>
      </c>
      <c r="F136" s="195">
        <f>IF(F46&gt;0,F76/F46,1E99)</f>
        <v/>
      </c>
      <c r="G136" s="195">
        <f>IF(G46&gt;0,G76/G46,1E99)</f>
        <v/>
      </c>
      <c r="H136" s="195">
        <f>IF(H46&gt;0,H76/H46,1E99)</f>
        <v/>
      </c>
      <c r="I136" s="195">
        <f>IF(I46&gt;0,I76/I46,1E99)</f>
        <v/>
      </c>
      <c r="J136" s="195">
        <f>IF(J46&gt;0,J76/J46,1E99)</f>
        <v/>
      </c>
      <c r="K136" s="195">
        <f>IF(K46&gt;0,K76/K46,1E99)</f>
        <v/>
      </c>
      <c r="L136" s="195">
        <f>IF(L46&gt;0,L76/L46,1E99)</f>
        <v/>
      </c>
      <c r="M136" s="195">
        <f>IF(M46&gt;0,M76/M46,1E99)</f>
        <v/>
      </c>
      <c r="N136" s="195">
        <f>IF(N46&gt;0,N76/N46,1E99)</f>
        <v/>
      </c>
      <c r="O136" s="195">
        <f>IF(O46&gt;0,O76/O46,1E99)</f>
        <v/>
      </c>
      <c r="P136" s="195">
        <f>IF(P46&gt;0,P76/P46,1E99)</f>
        <v/>
      </c>
      <c r="Q136" s="195">
        <f>IF(Q46&gt;0,Q76/Q46,1E99)</f>
        <v/>
      </c>
      <c r="R136" s="195">
        <f>IF(R46&gt;0,R76/R46,1E99)</f>
        <v/>
      </c>
      <c r="S136" s="195">
        <f>IF(S46&gt;0,S76/S46,1E99)</f>
        <v/>
      </c>
      <c r="T136" s="195">
        <f>IF(T46&gt;0,T76/T46,1E99)</f>
        <v/>
      </c>
      <c r="U136" s="195">
        <f>IF(U46&gt;0,U76/U46,1E99)</f>
        <v/>
      </c>
    </row>
    <row r="137">
      <c r="B137" s="195">
        <f>IF(B47&gt;0,B77/B47,1E99)</f>
        <v/>
      </c>
      <c r="C137" s="195">
        <f>IF(C47&gt;0,C77/C47,1E99)</f>
        <v/>
      </c>
      <c r="D137" s="195">
        <f>IF(D47&gt;0,D77/D47,1E99)</f>
        <v/>
      </c>
      <c r="E137" s="195">
        <f>IF(E47&gt;0,E77/E47,1E99)</f>
        <v/>
      </c>
      <c r="F137" s="195">
        <f>IF(F47&gt;0,F77/F47,1E99)</f>
        <v/>
      </c>
      <c r="G137" s="195">
        <f>IF(G47&gt;0,G77/G47,1E99)</f>
        <v/>
      </c>
      <c r="H137" s="195">
        <f>IF(H47&gt;0,H77/H47,1E99)</f>
        <v/>
      </c>
      <c r="I137" s="195">
        <f>IF(I47&gt;0,I77/I47,1E99)</f>
        <v/>
      </c>
      <c r="J137" s="195">
        <f>IF(J47&gt;0,J77/J47,1E99)</f>
        <v/>
      </c>
      <c r="K137" s="195">
        <f>IF(K47&gt;0,K77/K47,1E99)</f>
        <v/>
      </c>
      <c r="L137" s="195">
        <f>IF(L47&gt;0,L77/L47,1E99)</f>
        <v/>
      </c>
      <c r="M137" s="195">
        <f>IF(M47&gt;0,M77/M47,1E99)</f>
        <v/>
      </c>
      <c r="N137" s="195">
        <f>IF(N47&gt;0,N77/N47,1E99)</f>
        <v/>
      </c>
      <c r="O137" s="195">
        <f>IF(O47&gt;0,O77/O47,1E99)</f>
        <v/>
      </c>
      <c r="P137" s="195">
        <f>IF(P47&gt;0,P77/P47,1E99)</f>
        <v/>
      </c>
      <c r="Q137" s="195">
        <f>IF(Q47&gt;0,Q77/Q47,1E99)</f>
        <v/>
      </c>
      <c r="R137" s="195">
        <f>IF(R47&gt;0,R77/R47,1E99)</f>
        <v/>
      </c>
      <c r="S137" s="195">
        <f>IF(S47&gt;0,S77/S47,1E99)</f>
        <v/>
      </c>
      <c r="T137" s="195">
        <f>IF(T47&gt;0,T77/T47,1E99)</f>
        <v/>
      </c>
      <c r="U137" s="195">
        <f>IF(U47&gt;0,U77/U47,1E99)</f>
        <v/>
      </c>
    </row>
    <row r="138">
      <c r="B138" s="195">
        <f>IF(B48&gt;0,B78/B48,1E99)</f>
        <v/>
      </c>
      <c r="C138" s="195">
        <f>IF(C48&gt;0,C78/C48,1E99)</f>
        <v/>
      </c>
      <c r="D138" s="195">
        <f>IF(D48&gt;0,D78/D48,1E99)</f>
        <v/>
      </c>
      <c r="E138" s="195">
        <f>IF(E48&gt;0,E78/E48,1E99)</f>
        <v/>
      </c>
      <c r="F138" s="195">
        <f>IF(F48&gt;0,F78/F48,1E99)</f>
        <v/>
      </c>
      <c r="G138" s="195">
        <f>IF(G48&gt;0,G78/G48,1E99)</f>
        <v/>
      </c>
      <c r="H138" s="195">
        <f>IF(H48&gt;0,H78/H48,1E99)</f>
        <v/>
      </c>
      <c r="I138" s="195">
        <f>IF(I48&gt;0,I78/I48,1E99)</f>
        <v/>
      </c>
      <c r="J138" s="195">
        <f>IF(J48&gt;0,J78/J48,1E99)</f>
        <v/>
      </c>
      <c r="K138" s="195">
        <f>IF(K48&gt;0,K78/K48,1E99)</f>
        <v/>
      </c>
      <c r="L138" s="195">
        <f>IF(L48&gt;0,L78/L48,1E99)</f>
        <v/>
      </c>
      <c r="M138" s="195">
        <f>IF(M48&gt;0,M78/M48,1E99)</f>
        <v/>
      </c>
      <c r="N138" s="195">
        <f>IF(N48&gt;0,N78/N48,1E99)</f>
        <v/>
      </c>
      <c r="O138" s="195">
        <f>IF(O48&gt;0,O78/O48,1E99)</f>
        <v/>
      </c>
      <c r="P138" s="195">
        <f>IF(P48&gt;0,P78/P48,1E99)</f>
        <v/>
      </c>
      <c r="Q138" s="195">
        <f>IF(Q48&gt;0,Q78/Q48,1E99)</f>
        <v/>
      </c>
      <c r="R138" s="195">
        <f>IF(R48&gt;0,R78/R48,1E99)</f>
        <v/>
      </c>
      <c r="S138" s="195">
        <f>IF(S48&gt;0,S78/S48,1E99)</f>
        <v/>
      </c>
      <c r="T138" s="195">
        <f>IF(T48&gt;0,T78/T48,1E99)</f>
        <v/>
      </c>
      <c r="U138" s="195">
        <f>IF(U48&gt;0,U78/U48,1E99)</f>
        <v/>
      </c>
    </row>
    <row r="139"/>
    <row r="140"/>
    <row r="141"/>
    <row r="142"/>
    <row r="143"/>
    <row r="144">
      <c r="B144" s="195">
        <f>B24*B$22</f>
        <v/>
      </c>
      <c r="C144" s="195">
        <f>C24*C$22</f>
        <v/>
      </c>
      <c r="D144" s="195">
        <f>D24*D$22</f>
        <v/>
      </c>
      <c r="E144" s="195">
        <f>E24*E$22</f>
        <v/>
      </c>
      <c r="F144" s="195">
        <f>F24*F$22</f>
        <v/>
      </c>
      <c r="G144" s="195">
        <f>G24*G$22</f>
        <v/>
      </c>
      <c r="H144" s="195">
        <f>H24*H$22</f>
        <v/>
      </c>
      <c r="I144" s="195">
        <f>I24*I$22</f>
        <v/>
      </c>
      <c r="J144" s="195">
        <f>J24*J$22</f>
        <v/>
      </c>
      <c r="K144" s="195">
        <f>K24*K$22</f>
        <v/>
      </c>
      <c r="L144" s="195">
        <f>L24*L$22</f>
        <v/>
      </c>
      <c r="M144" s="195">
        <f>M24*M$22</f>
        <v/>
      </c>
      <c r="N144" s="195">
        <f>N24*N$22</f>
        <v/>
      </c>
      <c r="O144" s="195">
        <f>O24*O$22</f>
        <v/>
      </c>
      <c r="P144" s="195">
        <f>P24*P$22</f>
        <v/>
      </c>
      <c r="Q144" s="195">
        <f>Q24*Q$22</f>
        <v/>
      </c>
      <c r="R144" s="195">
        <f>R24*R$22</f>
        <v/>
      </c>
      <c r="S144" s="195">
        <f>S24*S$22</f>
        <v/>
      </c>
      <c r="T144" s="195">
        <f>T24*T$22</f>
        <v/>
      </c>
      <c r="U144" s="195">
        <f>U24*U$22</f>
        <v/>
      </c>
    </row>
    <row r="145">
      <c r="B145" s="195">
        <f>B25*B$22</f>
        <v/>
      </c>
      <c r="C145" s="195">
        <f>C25*C$22</f>
        <v/>
      </c>
      <c r="D145" s="195">
        <f>D25*D$22</f>
        <v/>
      </c>
      <c r="E145" s="195">
        <f>E25*E$22</f>
        <v/>
      </c>
      <c r="F145" s="195">
        <f>F25*F$22</f>
        <v/>
      </c>
      <c r="G145" s="195">
        <f>G25*G$22</f>
        <v/>
      </c>
      <c r="H145" s="195">
        <f>H25*H$22</f>
        <v/>
      </c>
      <c r="I145" s="195">
        <f>I25*I$22</f>
        <v/>
      </c>
      <c r="J145" s="195">
        <f>J25*J$22</f>
        <v/>
      </c>
      <c r="K145" s="195">
        <f>K25*K$22</f>
        <v/>
      </c>
      <c r="L145" s="195">
        <f>L25*L$22</f>
        <v/>
      </c>
      <c r="M145" s="195">
        <f>M25*M$22</f>
        <v/>
      </c>
      <c r="N145" s="195">
        <f>N25*N$22</f>
        <v/>
      </c>
      <c r="O145" s="195">
        <f>O25*O$22</f>
        <v/>
      </c>
      <c r="P145" s="195">
        <f>P25*P$22</f>
        <v/>
      </c>
      <c r="Q145" s="195">
        <f>Q25*Q$22</f>
        <v/>
      </c>
      <c r="R145" s="195">
        <f>R25*R$22</f>
        <v/>
      </c>
      <c r="S145" s="195">
        <f>S25*S$22</f>
        <v/>
      </c>
      <c r="T145" s="195">
        <f>T25*T$22</f>
        <v/>
      </c>
      <c r="U145" s="195">
        <f>U25*U$22</f>
        <v/>
      </c>
    </row>
    <row r="146">
      <c r="B146" s="195">
        <f>B26*B$22</f>
        <v/>
      </c>
      <c r="C146" s="195">
        <f>C26*C$22</f>
        <v/>
      </c>
      <c r="D146" s="195">
        <f>D26*D$22</f>
        <v/>
      </c>
      <c r="E146" s="195">
        <f>E26*E$22</f>
        <v/>
      </c>
      <c r="F146" s="195">
        <f>F26*F$22</f>
        <v/>
      </c>
      <c r="G146" s="195">
        <f>G26*G$22</f>
        <v/>
      </c>
      <c r="H146" s="195">
        <f>H26*H$22</f>
        <v/>
      </c>
      <c r="I146" s="195">
        <f>I26*I$22</f>
        <v/>
      </c>
      <c r="J146" s="195">
        <f>J26*J$22</f>
        <v/>
      </c>
      <c r="K146" s="195">
        <f>K26*K$22</f>
        <v/>
      </c>
      <c r="L146" s="195">
        <f>L26*L$22</f>
        <v/>
      </c>
      <c r="M146" s="195">
        <f>M26*M$22</f>
        <v/>
      </c>
      <c r="N146" s="195">
        <f>N26*N$22</f>
        <v/>
      </c>
      <c r="O146" s="195">
        <f>O26*O$22</f>
        <v/>
      </c>
      <c r="P146" s="195">
        <f>P26*P$22</f>
        <v/>
      </c>
      <c r="Q146" s="195">
        <f>Q26*Q$22</f>
        <v/>
      </c>
      <c r="R146" s="195">
        <f>R26*R$22</f>
        <v/>
      </c>
      <c r="S146" s="195">
        <f>S26*S$22</f>
        <v/>
      </c>
      <c r="T146" s="195">
        <f>T26*T$22</f>
        <v/>
      </c>
      <c r="U146" s="195">
        <f>U26*U$22</f>
        <v/>
      </c>
    </row>
    <row r="147">
      <c r="B147" s="195">
        <f>B27*B$22</f>
        <v/>
      </c>
      <c r="C147" s="195">
        <f>C27*C$22</f>
        <v/>
      </c>
      <c r="D147" s="195">
        <f>D27*D$22</f>
        <v/>
      </c>
      <c r="E147" s="195">
        <f>E27*E$22</f>
        <v/>
      </c>
      <c r="F147" s="195">
        <f>F27*F$22</f>
        <v/>
      </c>
      <c r="G147" s="195">
        <f>G27*G$22</f>
        <v/>
      </c>
      <c r="H147" s="195">
        <f>H27*H$22</f>
        <v/>
      </c>
      <c r="I147" s="195">
        <f>I27*I$22</f>
        <v/>
      </c>
      <c r="J147" s="195">
        <f>J27*J$22</f>
        <v/>
      </c>
      <c r="K147" s="195">
        <f>K27*K$22</f>
        <v/>
      </c>
      <c r="L147" s="195">
        <f>L27*L$22</f>
        <v/>
      </c>
      <c r="M147" s="195">
        <f>M27*M$22</f>
        <v/>
      </c>
      <c r="N147" s="195">
        <f>N27*N$22</f>
        <v/>
      </c>
      <c r="O147" s="195">
        <f>O27*O$22</f>
        <v/>
      </c>
      <c r="P147" s="195">
        <f>P27*P$22</f>
        <v/>
      </c>
      <c r="Q147" s="195">
        <f>Q27*Q$22</f>
        <v/>
      </c>
      <c r="R147" s="195">
        <f>R27*R$22</f>
        <v/>
      </c>
      <c r="S147" s="195">
        <f>S27*S$22</f>
        <v/>
      </c>
      <c r="T147" s="195">
        <f>T27*T$22</f>
        <v/>
      </c>
      <c r="U147" s="195">
        <f>U27*U$22</f>
        <v/>
      </c>
    </row>
    <row r="148">
      <c r="B148" s="195">
        <f>B28*B$22</f>
        <v/>
      </c>
      <c r="C148" s="195">
        <f>C28*C$22</f>
        <v/>
      </c>
      <c r="D148" s="195">
        <f>D28*D$22</f>
        <v/>
      </c>
      <c r="E148" s="195">
        <f>E28*E$22</f>
        <v/>
      </c>
      <c r="F148" s="195">
        <f>F28*F$22</f>
        <v/>
      </c>
      <c r="G148" s="195">
        <f>G28*G$22</f>
        <v/>
      </c>
      <c r="H148" s="195">
        <f>H28*H$22</f>
        <v/>
      </c>
      <c r="I148" s="195">
        <f>I28*I$22</f>
        <v/>
      </c>
      <c r="J148" s="195">
        <f>J28*J$22</f>
        <v/>
      </c>
      <c r="K148" s="195">
        <f>K28*K$22</f>
        <v/>
      </c>
      <c r="L148" s="195">
        <f>L28*L$22</f>
        <v/>
      </c>
      <c r="M148" s="195">
        <f>M28*M$22</f>
        <v/>
      </c>
      <c r="N148" s="195">
        <f>N28*N$22</f>
        <v/>
      </c>
      <c r="O148" s="195">
        <f>O28*O$22</f>
        <v/>
      </c>
      <c r="P148" s="195">
        <f>P28*P$22</f>
        <v/>
      </c>
      <c r="Q148" s="195">
        <f>Q28*Q$22</f>
        <v/>
      </c>
      <c r="R148" s="195">
        <f>R28*R$22</f>
        <v/>
      </c>
      <c r="S148" s="195">
        <f>S28*S$22</f>
        <v/>
      </c>
      <c r="T148" s="195">
        <f>T28*T$22</f>
        <v/>
      </c>
      <c r="U148" s="195">
        <f>U28*U$22</f>
        <v/>
      </c>
    </row>
    <row r="149">
      <c r="B149" s="195">
        <f>B29*B$22</f>
        <v/>
      </c>
      <c r="C149" s="195">
        <f>C29*C$22</f>
        <v/>
      </c>
      <c r="D149" s="195">
        <f>D29*D$22</f>
        <v/>
      </c>
      <c r="E149" s="195">
        <f>E29*E$22</f>
        <v/>
      </c>
      <c r="F149" s="195">
        <f>F29*F$22</f>
        <v/>
      </c>
      <c r="G149" s="195">
        <f>G29*G$22</f>
        <v/>
      </c>
      <c r="H149" s="195">
        <f>H29*H$22</f>
        <v/>
      </c>
      <c r="I149" s="195">
        <f>I29*I$22</f>
        <v/>
      </c>
      <c r="J149" s="195">
        <f>J29*J$22</f>
        <v/>
      </c>
      <c r="K149" s="195">
        <f>K29*K$22</f>
        <v/>
      </c>
      <c r="L149" s="195">
        <f>L29*L$22</f>
        <v/>
      </c>
      <c r="M149" s="195">
        <f>M29*M$22</f>
        <v/>
      </c>
      <c r="N149" s="195">
        <f>N29*N$22</f>
        <v/>
      </c>
      <c r="O149" s="195">
        <f>O29*O$22</f>
        <v/>
      </c>
      <c r="P149" s="195">
        <f>P29*P$22</f>
        <v/>
      </c>
      <c r="Q149" s="195">
        <f>Q29*Q$22</f>
        <v/>
      </c>
      <c r="R149" s="195">
        <f>R29*R$22</f>
        <v/>
      </c>
      <c r="S149" s="195">
        <f>S29*S$22</f>
        <v/>
      </c>
      <c r="T149" s="195">
        <f>T29*T$22</f>
        <v/>
      </c>
      <c r="U149" s="195">
        <f>U29*U$22</f>
        <v/>
      </c>
    </row>
    <row r="150">
      <c r="B150" s="195">
        <f>B30*B$22</f>
        <v/>
      </c>
      <c r="C150" s="195">
        <f>C30*C$22</f>
        <v/>
      </c>
      <c r="D150" s="195">
        <f>D30*D$22</f>
        <v/>
      </c>
      <c r="E150" s="195">
        <f>E30*E$22</f>
        <v/>
      </c>
      <c r="F150" s="195">
        <f>F30*F$22</f>
        <v/>
      </c>
      <c r="G150" s="195">
        <f>G30*G$22</f>
        <v/>
      </c>
      <c r="H150" s="195">
        <f>H30*H$22</f>
        <v/>
      </c>
      <c r="I150" s="195">
        <f>I30*I$22</f>
        <v/>
      </c>
      <c r="J150" s="195">
        <f>J30*J$22</f>
        <v/>
      </c>
      <c r="K150" s="195">
        <f>K30*K$22</f>
        <v/>
      </c>
      <c r="L150" s="195">
        <f>L30*L$22</f>
        <v/>
      </c>
      <c r="M150" s="195">
        <f>M30*M$22</f>
        <v/>
      </c>
      <c r="N150" s="195">
        <f>N30*N$22</f>
        <v/>
      </c>
      <c r="O150" s="195">
        <f>O30*O$22</f>
        <v/>
      </c>
      <c r="P150" s="195">
        <f>P30*P$22</f>
        <v/>
      </c>
      <c r="Q150" s="195">
        <f>Q30*Q$22</f>
        <v/>
      </c>
      <c r="R150" s="195">
        <f>R30*R$22</f>
        <v/>
      </c>
      <c r="S150" s="195">
        <f>S30*S$22</f>
        <v/>
      </c>
      <c r="T150" s="195">
        <f>T30*T$22</f>
        <v/>
      </c>
      <c r="U150" s="195">
        <f>U30*U$22</f>
        <v/>
      </c>
    </row>
    <row r="151">
      <c r="B151" s="195">
        <f>B31*B$22</f>
        <v/>
      </c>
      <c r="C151" s="195">
        <f>C31*C$22</f>
        <v/>
      </c>
      <c r="D151" s="195">
        <f>D31*D$22</f>
        <v/>
      </c>
      <c r="E151" s="195">
        <f>E31*E$22</f>
        <v/>
      </c>
      <c r="F151" s="195">
        <f>F31*F$22</f>
        <v/>
      </c>
      <c r="G151" s="195">
        <f>G31*G$22</f>
        <v/>
      </c>
      <c r="H151" s="195">
        <f>H31*H$22</f>
        <v/>
      </c>
      <c r="I151" s="195">
        <f>I31*I$22</f>
        <v/>
      </c>
      <c r="J151" s="195">
        <f>J31*J$22</f>
        <v/>
      </c>
      <c r="K151" s="195">
        <f>K31*K$22</f>
        <v/>
      </c>
      <c r="L151" s="195">
        <f>L31*L$22</f>
        <v/>
      </c>
      <c r="M151" s="195">
        <f>M31*M$22</f>
        <v/>
      </c>
      <c r="N151" s="195">
        <f>N31*N$22</f>
        <v/>
      </c>
      <c r="O151" s="195">
        <f>O31*O$22</f>
        <v/>
      </c>
      <c r="P151" s="195">
        <f>P31*P$22</f>
        <v/>
      </c>
      <c r="Q151" s="195">
        <f>Q31*Q$22</f>
        <v/>
      </c>
      <c r="R151" s="195">
        <f>R31*R$22</f>
        <v/>
      </c>
      <c r="S151" s="195">
        <f>S31*S$22</f>
        <v/>
      </c>
      <c r="T151" s="195">
        <f>T31*T$22</f>
        <v/>
      </c>
      <c r="U151" s="195">
        <f>U31*U$22</f>
        <v/>
      </c>
    </row>
    <row r="152">
      <c r="B152" s="195">
        <f>B32*B$22</f>
        <v/>
      </c>
      <c r="C152" s="195">
        <f>C32*C$22</f>
        <v/>
      </c>
      <c r="D152" s="195">
        <f>D32*D$22</f>
        <v/>
      </c>
      <c r="E152" s="195">
        <f>E32*E$22</f>
        <v/>
      </c>
      <c r="F152" s="195">
        <f>F32*F$22</f>
        <v/>
      </c>
      <c r="G152" s="195">
        <f>G32*G$22</f>
        <v/>
      </c>
      <c r="H152" s="195">
        <f>H32*H$22</f>
        <v/>
      </c>
      <c r="I152" s="195">
        <f>I32*I$22</f>
        <v/>
      </c>
      <c r="J152" s="195">
        <f>J32*J$22</f>
        <v/>
      </c>
      <c r="K152" s="195">
        <f>K32*K$22</f>
        <v/>
      </c>
      <c r="L152" s="195">
        <f>L32*L$22</f>
        <v/>
      </c>
      <c r="M152" s="195">
        <f>M32*M$22</f>
        <v/>
      </c>
      <c r="N152" s="195">
        <f>N32*N$22</f>
        <v/>
      </c>
      <c r="O152" s="195">
        <f>O32*O$22</f>
        <v/>
      </c>
      <c r="P152" s="195">
        <f>P32*P$22</f>
        <v/>
      </c>
      <c r="Q152" s="195">
        <f>Q32*Q$22</f>
        <v/>
      </c>
      <c r="R152" s="195">
        <f>R32*R$22</f>
        <v/>
      </c>
      <c r="S152" s="195">
        <f>S32*S$22</f>
        <v/>
      </c>
      <c r="T152" s="195">
        <f>T32*T$22</f>
        <v/>
      </c>
      <c r="U152" s="195">
        <f>U32*U$22</f>
        <v/>
      </c>
    </row>
    <row r="153">
      <c r="B153" s="195">
        <f>B33*B$22</f>
        <v/>
      </c>
      <c r="C153" s="195">
        <f>C33*C$22</f>
        <v/>
      </c>
      <c r="D153" s="195">
        <f>D33*D$22</f>
        <v/>
      </c>
      <c r="E153" s="195">
        <f>E33*E$22</f>
        <v/>
      </c>
      <c r="F153" s="195">
        <f>F33*F$22</f>
        <v/>
      </c>
      <c r="G153" s="195">
        <f>G33*G$22</f>
        <v/>
      </c>
      <c r="H153" s="195">
        <f>H33*H$22</f>
        <v/>
      </c>
      <c r="I153" s="195">
        <f>I33*I$22</f>
        <v/>
      </c>
      <c r="J153" s="195">
        <f>J33*J$22</f>
        <v/>
      </c>
      <c r="K153" s="195">
        <f>K33*K$22</f>
        <v/>
      </c>
      <c r="L153" s="195">
        <f>L33*L$22</f>
        <v/>
      </c>
      <c r="M153" s="195">
        <f>M33*M$22</f>
        <v/>
      </c>
      <c r="N153" s="195">
        <f>N33*N$22</f>
        <v/>
      </c>
      <c r="O153" s="195">
        <f>O33*O$22</f>
        <v/>
      </c>
      <c r="P153" s="195">
        <f>P33*P$22</f>
        <v/>
      </c>
      <c r="Q153" s="195">
        <f>Q33*Q$22</f>
        <v/>
      </c>
      <c r="R153" s="195">
        <f>R33*R$22</f>
        <v/>
      </c>
      <c r="S153" s="195">
        <f>S33*S$22</f>
        <v/>
      </c>
      <c r="T153" s="195">
        <f>T33*T$22</f>
        <v/>
      </c>
      <c r="U153" s="195">
        <f>U33*U$22</f>
        <v/>
      </c>
    </row>
    <row r="154">
      <c r="B154" s="195">
        <f>B34*B$22</f>
        <v/>
      </c>
      <c r="C154" s="195">
        <f>C34*C$22</f>
        <v/>
      </c>
      <c r="D154" s="195">
        <f>D34*D$22</f>
        <v/>
      </c>
      <c r="E154" s="195">
        <f>E34*E$22</f>
        <v/>
      </c>
      <c r="F154" s="195">
        <f>F34*F$22</f>
        <v/>
      </c>
      <c r="G154" s="195">
        <f>G34*G$22</f>
        <v/>
      </c>
      <c r="H154" s="195">
        <f>H34*H$22</f>
        <v/>
      </c>
      <c r="I154" s="195">
        <f>I34*I$22</f>
        <v/>
      </c>
      <c r="J154" s="195">
        <f>J34*J$22</f>
        <v/>
      </c>
      <c r="K154" s="195">
        <f>K34*K$22</f>
        <v/>
      </c>
      <c r="L154" s="195">
        <f>L34*L$22</f>
        <v/>
      </c>
      <c r="M154" s="195">
        <f>M34*M$22</f>
        <v/>
      </c>
      <c r="N154" s="195">
        <f>N34*N$22</f>
        <v/>
      </c>
      <c r="O154" s="195">
        <f>O34*O$22</f>
        <v/>
      </c>
      <c r="P154" s="195">
        <f>P34*P$22</f>
        <v/>
      </c>
      <c r="Q154" s="195">
        <f>Q34*Q$22</f>
        <v/>
      </c>
      <c r="R154" s="195">
        <f>R34*R$22</f>
        <v/>
      </c>
      <c r="S154" s="195">
        <f>S34*S$22</f>
        <v/>
      </c>
      <c r="T154" s="195">
        <f>T34*T$22</f>
        <v/>
      </c>
      <c r="U154" s="195">
        <f>U34*U$22</f>
        <v/>
      </c>
    </row>
    <row r="155">
      <c r="B155" s="195">
        <f>B35*B$22</f>
        <v/>
      </c>
      <c r="C155" s="195">
        <f>C35*C$22</f>
        <v/>
      </c>
      <c r="D155" s="195">
        <f>D35*D$22</f>
        <v/>
      </c>
      <c r="E155" s="195">
        <f>E35*E$22</f>
        <v/>
      </c>
      <c r="F155" s="195">
        <f>F35*F$22</f>
        <v/>
      </c>
      <c r="G155" s="195">
        <f>G35*G$22</f>
        <v/>
      </c>
      <c r="H155" s="195">
        <f>H35*H$22</f>
        <v/>
      </c>
      <c r="I155" s="195">
        <f>I35*I$22</f>
        <v/>
      </c>
      <c r="J155" s="195">
        <f>J35*J$22</f>
        <v/>
      </c>
      <c r="K155" s="195">
        <f>K35*K$22</f>
        <v/>
      </c>
      <c r="L155" s="195">
        <f>L35*L$22</f>
        <v/>
      </c>
      <c r="M155" s="195">
        <f>M35*M$22</f>
        <v/>
      </c>
      <c r="N155" s="195">
        <f>N35*N$22</f>
        <v/>
      </c>
      <c r="O155" s="195">
        <f>O35*O$22</f>
        <v/>
      </c>
      <c r="P155" s="195">
        <f>P35*P$22</f>
        <v/>
      </c>
      <c r="Q155" s="195">
        <f>Q35*Q$22</f>
        <v/>
      </c>
      <c r="R155" s="195">
        <f>R35*R$22</f>
        <v/>
      </c>
      <c r="S155" s="195">
        <f>S35*S$22</f>
        <v/>
      </c>
      <c r="T155" s="195">
        <f>T35*T$22</f>
        <v/>
      </c>
      <c r="U155" s="195">
        <f>U35*U$22</f>
        <v/>
      </c>
    </row>
    <row r="156">
      <c r="B156" s="195">
        <f>B36*B$22</f>
        <v/>
      </c>
      <c r="C156" s="195">
        <f>C36*C$22</f>
        <v/>
      </c>
      <c r="D156" s="195">
        <f>D36*D$22</f>
        <v/>
      </c>
      <c r="E156" s="195">
        <f>E36*E$22</f>
        <v/>
      </c>
      <c r="F156" s="195">
        <f>F36*F$22</f>
        <v/>
      </c>
      <c r="G156" s="195">
        <f>G36*G$22</f>
        <v/>
      </c>
      <c r="H156" s="195">
        <f>H36*H$22</f>
        <v/>
      </c>
      <c r="I156" s="195">
        <f>I36*I$22</f>
        <v/>
      </c>
      <c r="J156" s="195">
        <f>J36*J$22</f>
        <v/>
      </c>
      <c r="K156" s="195">
        <f>K36*K$22</f>
        <v/>
      </c>
      <c r="L156" s="195">
        <f>L36*L$22</f>
        <v/>
      </c>
      <c r="M156" s="195">
        <f>M36*M$22</f>
        <v/>
      </c>
      <c r="N156" s="195">
        <f>N36*N$22</f>
        <v/>
      </c>
      <c r="O156" s="195">
        <f>O36*O$22</f>
        <v/>
      </c>
      <c r="P156" s="195">
        <f>P36*P$22</f>
        <v/>
      </c>
      <c r="Q156" s="195">
        <f>Q36*Q$22</f>
        <v/>
      </c>
      <c r="R156" s="195">
        <f>R36*R$22</f>
        <v/>
      </c>
      <c r="S156" s="195">
        <f>S36*S$22</f>
        <v/>
      </c>
      <c r="T156" s="195">
        <f>T36*T$22</f>
        <v/>
      </c>
      <c r="U156" s="195">
        <f>U36*U$22</f>
        <v/>
      </c>
    </row>
    <row r="157">
      <c r="B157" s="195">
        <f>B37*B$22</f>
        <v/>
      </c>
      <c r="C157" s="195">
        <f>C37*C$22</f>
        <v/>
      </c>
      <c r="D157" s="195">
        <f>D37*D$22</f>
        <v/>
      </c>
      <c r="E157" s="195">
        <f>E37*E$22</f>
        <v/>
      </c>
      <c r="F157" s="195">
        <f>F37*F$22</f>
        <v/>
      </c>
      <c r="G157" s="195">
        <f>G37*G$22</f>
        <v/>
      </c>
      <c r="H157" s="195">
        <f>H37*H$22</f>
        <v/>
      </c>
      <c r="I157" s="195">
        <f>I37*I$22</f>
        <v/>
      </c>
      <c r="J157" s="195">
        <f>J37*J$22</f>
        <v/>
      </c>
      <c r="K157" s="195">
        <f>K37*K$22</f>
        <v/>
      </c>
      <c r="L157" s="195">
        <f>L37*L$22</f>
        <v/>
      </c>
      <c r="M157" s="195">
        <f>M37*M$22</f>
        <v/>
      </c>
      <c r="N157" s="195">
        <f>N37*N$22</f>
        <v/>
      </c>
      <c r="O157" s="195">
        <f>O37*O$22</f>
        <v/>
      </c>
      <c r="P157" s="195">
        <f>P37*P$22</f>
        <v/>
      </c>
      <c r="Q157" s="195">
        <f>Q37*Q$22</f>
        <v/>
      </c>
      <c r="R157" s="195">
        <f>R37*R$22</f>
        <v/>
      </c>
      <c r="S157" s="195">
        <f>S37*S$22</f>
        <v/>
      </c>
      <c r="T157" s="195">
        <f>T37*T$22</f>
        <v/>
      </c>
      <c r="U157" s="195">
        <f>U37*U$22</f>
        <v/>
      </c>
    </row>
    <row r="158">
      <c r="B158" s="195">
        <f>B38*B$22</f>
        <v/>
      </c>
      <c r="C158" s="195">
        <f>C38*C$22</f>
        <v/>
      </c>
      <c r="D158" s="195">
        <f>D38*D$22</f>
        <v/>
      </c>
      <c r="E158" s="195">
        <f>E38*E$22</f>
        <v/>
      </c>
      <c r="F158" s="195">
        <f>F38*F$22</f>
        <v/>
      </c>
      <c r="G158" s="195">
        <f>G38*G$22</f>
        <v/>
      </c>
      <c r="H158" s="195">
        <f>H38*H$22</f>
        <v/>
      </c>
      <c r="I158" s="195">
        <f>I38*I$22</f>
        <v/>
      </c>
      <c r="J158" s="195">
        <f>J38*J$22</f>
        <v/>
      </c>
      <c r="K158" s="195">
        <f>K38*K$22</f>
        <v/>
      </c>
      <c r="L158" s="195">
        <f>L38*L$22</f>
        <v/>
      </c>
      <c r="M158" s="195">
        <f>M38*M$22</f>
        <v/>
      </c>
      <c r="N158" s="195">
        <f>N38*N$22</f>
        <v/>
      </c>
      <c r="O158" s="195">
        <f>O38*O$22</f>
        <v/>
      </c>
      <c r="P158" s="195">
        <f>P38*P$22</f>
        <v/>
      </c>
      <c r="Q158" s="195">
        <f>Q38*Q$22</f>
        <v/>
      </c>
      <c r="R158" s="195">
        <f>R38*R$22</f>
        <v/>
      </c>
      <c r="S158" s="195">
        <f>S38*S$22</f>
        <v/>
      </c>
      <c r="T158" s="195">
        <f>T38*T$22</f>
        <v/>
      </c>
      <c r="U158" s="195">
        <f>U38*U$22</f>
        <v/>
      </c>
    </row>
    <row r="159">
      <c r="B159" s="195">
        <f>B39*B$22</f>
        <v/>
      </c>
      <c r="C159" s="195">
        <f>C39*C$22</f>
        <v/>
      </c>
      <c r="D159" s="195">
        <f>D39*D$22</f>
        <v/>
      </c>
      <c r="E159" s="195">
        <f>E39*E$22</f>
        <v/>
      </c>
      <c r="F159" s="195">
        <f>F39*F$22</f>
        <v/>
      </c>
      <c r="G159" s="195">
        <f>G39*G$22</f>
        <v/>
      </c>
      <c r="H159" s="195">
        <f>H39*H$22</f>
        <v/>
      </c>
      <c r="I159" s="195">
        <f>I39*I$22</f>
        <v/>
      </c>
      <c r="J159" s="195">
        <f>J39*J$22</f>
        <v/>
      </c>
      <c r="K159" s="195">
        <f>K39*K$22</f>
        <v/>
      </c>
      <c r="L159" s="195">
        <f>L39*L$22</f>
        <v/>
      </c>
      <c r="M159" s="195">
        <f>M39*M$22</f>
        <v/>
      </c>
      <c r="N159" s="195">
        <f>N39*N$22</f>
        <v/>
      </c>
      <c r="O159" s="195">
        <f>O39*O$22</f>
        <v/>
      </c>
      <c r="P159" s="195">
        <f>P39*P$22</f>
        <v/>
      </c>
      <c r="Q159" s="195">
        <f>Q39*Q$22</f>
        <v/>
      </c>
      <c r="R159" s="195">
        <f>R39*R$22</f>
        <v/>
      </c>
      <c r="S159" s="195">
        <f>S39*S$22</f>
        <v/>
      </c>
      <c r="T159" s="195">
        <f>T39*T$22</f>
        <v/>
      </c>
      <c r="U159" s="195">
        <f>U39*U$22</f>
        <v/>
      </c>
    </row>
    <row r="160">
      <c r="B160" s="195">
        <f>B40*B$22</f>
        <v/>
      </c>
      <c r="C160" s="195">
        <f>C40*C$22</f>
        <v/>
      </c>
      <c r="D160" s="195">
        <f>D40*D$22</f>
        <v/>
      </c>
      <c r="E160" s="195">
        <f>E40*E$22</f>
        <v/>
      </c>
      <c r="F160" s="195">
        <f>F40*F$22</f>
        <v/>
      </c>
      <c r="G160" s="195">
        <f>G40*G$22</f>
        <v/>
      </c>
      <c r="H160" s="195">
        <f>H40*H$22</f>
        <v/>
      </c>
      <c r="I160" s="195">
        <f>I40*I$22</f>
        <v/>
      </c>
      <c r="J160" s="195">
        <f>J40*J$22</f>
        <v/>
      </c>
      <c r="K160" s="195">
        <f>K40*K$22</f>
        <v/>
      </c>
      <c r="L160" s="195">
        <f>L40*L$22</f>
        <v/>
      </c>
      <c r="M160" s="195">
        <f>M40*M$22</f>
        <v/>
      </c>
      <c r="N160" s="195">
        <f>N40*N$22</f>
        <v/>
      </c>
      <c r="O160" s="195">
        <f>O40*O$22</f>
        <v/>
      </c>
      <c r="P160" s="195">
        <f>P40*P$22</f>
        <v/>
      </c>
      <c r="Q160" s="195">
        <f>Q40*Q$22</f>
        <v/>
      </c>
      <c r="R160" s="195">
        <f>R40*R$22</f>
        <v/>
      </c>
      <c r="S160" s="195">
        <f>S40*S$22</f>
        <v/>
      </c>
      <c r="T160" s="195">
        <f>T40*T$22</f>
        <v/>
      </c>
      <c r="U160" s="195">
        <f>U40*U$22</f>
        <v/>
      </c>
    </row>
    <row r="161">
      <c r="B161" s="195">
        <f>B41*B$22</f>
        <v/>
      </c>
      <c r="C161" s="195">
        <f>C41*C$22</f>
        <v/>
      </c>
      <c r="D161" s="195">
        <f>D41*D$22</f>
        <v/>
      </c>
      <c r="E161" s="195">
        <f>E41*E$22</f>
        <v/>
      </c>
      <c r="F161" s="195">
        <f>F41*F$22</f>
        <v/>
      </c>
      <c r="G161" s="195">
        <f>G41*G$22</f>
        <v/>
      </c>
      <c r="H161" s="195">
        <f>H41*H$22</f>
        <v/>
      </c>
      <c r="I161" s="195">
        <f>I41*I$22</f>
        <v/>
      </c>
      <c r="J161" s="195">
        <f>J41*J$22</f>
        <v/>
      </c>
      <c r="K161" s="195">
        <f>K41*K$22</f>
        <v/>
      </c>
      <c r="L161" s="195">
        <f>L41*L$22</f>
        <v/>
      </c>
      <c r="M161" s="195">
        <f>M41*M$22</f>
        <v/>
      </c>
      <c r="N161" s="195">
        <f>N41*N$22</f>
        <v/>
      </c>
      <c r="O161" s="195">
        <f>O41*O$22</f>
        <v/>
      </c>
      <c r="P161" s="195">
        <f>P41*P$22</f>
        <v/>
      </c>
      <c r="Q161" s="195">
        <f>Q41*Q$22</f>
        <v/>
      </c>
      <c r="R161" s="195">
        <f>R41*R$22</f>
        <v/>
      </c>
      <c r="S161" s="195">
        <f>S41*S$22</f>
        <v/>
      </c>
      <c r="T161" s="195">
        <f>T41*T$22</f>
        <v/>
      </c>
      <c r="U161" s="195">
        <f>U41*U$22</f>
        <v/>
      </c>
    </row>
    <row r="162">
      <c r="B162" s="195">
        <f>B42*B$22</f>
        <v/>
      </c>
      <c r="C162" s="195">
        <f>C42*C$22</f>
        <v/>
      </c>
      <c r="D162" s="195">
        <f>D42*D$22</f>
        <v/>
      </c>
      <c r="E162" s="195">
        <f>E42*E$22</f>
        <v/>
      </c>
      <c r="F162" s="195">
        <f>F42*F$22</f>
        <v/>
      </c>
      <c r="G162" s="195">
        <f>G42*G$22</f>
        <v/>
      </c>
      <c r="H162" s="195">
        <f>H42*H$22</f>
        <v/>
      </c>
      <c r="I162" s="195">
        <f>I42*I$22</f>
        <v/>
      </c>
      <c r="J162" s="195">
        <f>J42*J$22</f>
        <v/>
      </c>
      <c r="K162" s="195">
        <f>K42*K$22</f>
        <v/>
      </c>
      <c r="L162" s="195">
        <f>L42*L$22</f>
        <v/>
      </c>
      <c r="M162" s="195">
        <f>M42*M$22</f>
        <v/>
      </c>
      <c r="N162" s="195">
        <f>N42*N$22</f>
        <v/>
      </c>
      <c r="O162" s="195">
        <f>O42*O$22</f>
        <v/>
      </c>
      <c r="P162" s="195">
        <f>P42*P$22</f>
        <v/>
      </c>
      <c r="Q162" s="195">
        <f>Q42*Q$22</f>
        <v/>
      </c>
      <c r="R162" s="195">
        <f>R42*R$22</f>
        <v/>
      </c>
      <c r="S162" s="195">
        <f>S42*S$22</f>
        <v/>
      </c>
      <c r="T162" s="195">
        <f>T42*T$22</f>
        <v/>
      </c>
      <c r="U162" s="195">
        <f>U42*U$22</f>
        <v/>
      </c>
    </row>
    <row r="163">
      <c r="B163" s="195">
        <f>B43*B$22</f>
        <v/>
      </c>
      <c r="C163" s="195">
        <f>C43*C$22</f>
        <v/>
      </c>
      <c r="D163" s="195">
        <f>D43*D$22</f>
        <v/>
      </c>
      <c r="E163" s="195">
        <f>E43*E$22</f>
        <v/>
      </c>
      <c r="F163" s="195">
        <f>F43*F$22</f>
        <v/>
      </c>
      <c r="G163" s="195">
        <f>G43*G$22</f>
        <v/>
      </c>
      <c r="H163" s="195">
        <f>H43*H$22</f>
        <v/>
      </c>
      <c r="I163" s="195">
        <f>I43*I$22</f>
        <v/>
      </c>
      <c r="J163" s="195">
        <f>J43*J$22</f>
        <v/>
      </c>
      <c r="K163" s="195">
        <f>K43*K$22</f>
        <v/>
      </c>
      <c r="L163" s="195">
        <f>L43*L$22</f>
        <v/>
      </c>
      <c r="M163" s="195">
        <f>M43*M$22</f>
        <v/>
      </c>
      <c r="N163" s="195">
        <f>N43*N$22</f>
        <v/>
      </c>
      <c r="O163" s="195">
        <f>O43*O$22</f>
        <v/>
      </c>
      <c r="P163" s="195">
        <f>P43*P$22</f>
        <v/>
      </c>
      <c r="Q163" s="195">
        <f>Q43*Q$22</f>
        <v/>
      </c>
      <c r="R163" s="195">
        <f>R43*R$22</f>
        <v/>
      </c>
      <c r="S163" s="195">
        <f>S43*S$22</f>
        <v/>
      </c>
      <c r="T163" s="195">
        <f>T43*T$22</f>
        <v/>
      </c>
      <c r="U163" s="195">
        <f>U43*U$22</f>
        <v/>
      </c>
    </row>
    <row r="164">
      <c r="B164" s="195">
        <f>B44*B$22</f>
        <v/>
      </c>
      <c r="C164" s="195">
        <f>C44*C$22</f>
        <v/>
      </c>
      <c r="D164" s="195">
        <f>D44*D$22</f>
        <v/>
      </c>
      <c r="E164" s="195">
        <f>E44*E$22</f>
        <v/>
      </c>
      <c r="F164" s="195">
        <f>F44*F$22</f>
        <v/>
      </c>
      <c r="G164" s="195">
        <f>G44*G$22</f>
        <v/>
      </c>
      <c r="H164" s="195">
        <f>H44*H$22</f>
        <v/>
      </c>
      <c r="I164" s="195">
        <f>I44*I$22</f>
        <v/>
      </c>
      <c r="J164" s="195">
        <f>J44*J$22</f>
        <v/>
      </c>
      <c r="K164" s="195">
        <f>K44*K$22</f>
        <v/>
      </c>
      <c r="L164" s="195">
        <f>L44*L$22</f>
        <v/>
      </c>
      <c r="M164" s="195">
        <f>M44*M$22</f>
        <v/>
      </c>
      <c r="N164" s="195">
        <f>N44*N$22</f>
        <v/>
      </c>
      <c r="O164" s="195">
        <f>O44*O$22</f>
        <v/>
      </c>
      <c r="P164" s="195">
        <f>P44*P$22</f>
        <v/>
      </c>
      <c r="Q164" s="195">
        <f>Q44*Q$22</f>
        <v/>
      </c>
      <c r="R164" s="195">
        <f>R44*R$22</f>
        <v/>
      </c>
      <c r="S164" s="195">
        <f>S44*S$22</f>
        <v/>
      </c>
      <c r="T164" s="195">
        <f>T44*T$22</f>
        <v/>
      </c>
      <c r="U164" s="195">
        <f>U44*U$22</f>
        <v/>
      </c>
    </row>
    <row r="165">
      <c r="B165" s="195">
        <f>B45*B$22</f>
        <v/>
      </c>
      <c r="C165" s="195">
        <f>C45*C$22</f>
        <v/>
      </c>
      <c r="D165" s="195">
        <f>D45*D$22</f>
        <v/>
      </c>
      <c r="E165" s="195">
        <f>E45*E$22</f>
        <v/>
      </c>
      <c r="F165" s="195">
        <f>F45*F$22</f>
        <v/>
      </c>
      <c r="G165" s="195">
        <f>G45*G$22</f>
        <v/>
      </c>
      <c r="H165" s="195">
        <f>H45*H$22</f>
        <v/>
      </c>
      <c r="I165" s="195">
        <f>I45*I$22</f>
        <v/>
      </c>
      <c r="J165" s="195">
        <f>J45*J$22</f>
        <v/>
      </c>
      <c r="K165" s="195">
        <f>K45*K$22</f>
        <v/>
      </c>
      <c r="L165" s="195">
        <f>L45*L$22</f>
        <v/>
      </c>
      <c r="M165" s="195">
        <f>M45*M$22</f>
        <v/>
      </c>
      <c r="N165" s="195">
        <f>N45*N$22</f>
        <v/>
      </c>
      <c r="O165" s="195">
        <f>O45*O$22</f>
        <v/>
      </c>
      <c r="P165" s="195">
        <f>P45*P$22</f>
        <v/>
      </c>
      <c r="Q165" s="195">
        <f>Q45*Q$22</f>
        <v/>
      </c>
      <c r="R165" s="195">
        <f>R45*R$22</f>
        <v/>
      </c>
      <c r="S165" s="195">
        <f>S45*S$22</f>
        <v/>
      </c>
      <c r="T165" s="195">
        <f>T45*T$22</f>
        <v/>
      </c>
      <c r="U165" s="195">
        <f>U45*U$22</f>
        <v/>
      </c>
    </row>
    <row r="166">
      <c r="B166" s="195">
        <f>B46*B$22</f>
        <v/>
      </c>
      <c r="C166" s="195">
        <f>C46*C$22</f>
        <v/>
      </c>
      <c r="D166" s="195">
        <f>D46*D$22</f>
        <v/>
      </c>
      <c r="E166" s="195">
        <f>E46*E$22</f>
        <v/>
      </c>
      <c r="F166" s="195">
        <f>F46*F$22</f>
        <v/>
      </c>
      <c r="G166" s="195">
        <f>G46*G$22</f>
        <v/>
      </c>
      <c r="H166" s="195">
        <f>H46*H$22</f>
        <v/>
      </c>
      <c r="I166" s="195">
        <f>I46*I$22</f>
        <v/>
      </c>
      <c r="J166" s="195">
        <f>J46*J$22</f>
        <v/>
      </c>
      <c r="K166" s="195">
        <f>K46*K$22</f>
        <v/>
      </c>
      <c r="L166" s="195">
        <f>L46*L$22</f>
        <v/>
      </c>
      <c r="M166" s="195">
        <f>M46*M$22</f>
        <v/>
      </c>
      <c r="N166" s="195">
        <f>N46*N$22</f>
        <v/>
      </c>
      <c r="O166" s="195">
        <f>O46*O$22</f>
        <v/>
      </c>
      <c r="P166" s="195">
        <f>P46*P$22</f>
        <v/>
      </c>
      <c r="Q166" s="195">
        <f>Q46*Q$22</f>
        <v/>
      </c>
      <c r="R166" s="195">
        <f>R46*R$22</f>
        <v/>
      </c>
      <c r="S166" s="195">
        <f>S46*S$22</f>
        <v/>
      </c>
      <c r="T166" s="195">
        <f>T46*T$22</f>
        <v/>
      </c>
      <c r="U166" s="195">
        <f>U46*U$22</f>
        <v/>
      </c>
    </row>
    <row r="167">
      <c r="B167" s="195">
        <f>B47*B$22</f>
        <v/>
      </c>
      <c r="C167" s="195">
        <f>C47*C$22</f>
        <v/>
      </c>
      <c r="D167" s="195">
        <f>D47*D$22</f>
        <v/>
      </c>
      <c r="E167" s="195">
        <f>E47*E$22</f>
        <v/>
      </c>
      <c r="F167" s="195">
        <f>F47*F$22</f>
        <v/>
      </c>
      <c r="G167" s="195">
        <f>G47*G$22</f>
        <v/>
      </c>
      <c r="H167" s="195">
        <f>H47*H$22</f>
        <v/>
      </c>
      <c r="I167" s="195">
        <f>I47*I$22</f>
        <v/>
      </c>
      <c r="J167" s="195">
        <f>J47*J$22</f>
        <v/>
      </c>
      <c r="K167" s="195">
        <f>K47*K$22</f>
        <v/>
      </c>
      <c r="L167" s="195">
        <f>L47*L$22</f>
        <v/>
      </c>
      <c r="M167" s="195">
        <f>M47*M$22</f>
        <v/>
      </c>
      <c r="N167" s="195">
        <f>N47*N$22</f>
        <v/>
      </c>
      <c r="O167" s="195">
        <f>O47*O$22</f>
        <v/>
      </c>
      <c r="P167" s="195">
        <f>P47*P$22</f>
        <v/>
      </c>
      <c r="Q167" s="195">
        <f>Q47*Q$22</f>
        <v/>
      </c>
      <c r="R167" s="195">
        <f>R47*R$22</f>
        <v/>
      </c>
      <c r="S167" s="195">
        <f>S47*S$22</f>
        <v/>
      </c>
      <c r="T167" s="195">
        <f>T47*T$22</f>
        <v/>
      </c>
      <c r="U167" s="195">
        <f>U47*U$22</f>
        <v/>
      </c>
    </row>
    <row r="168">
      <c r="B168" s="195">
        <f>B48*B$22</f>
        <v/>
      </c>
      <c r="C168" s="195">
        <f>C48*C$22</f>
        <v/>
      </c>
      <c r="D168" s="195">
        <f>D48*D$22</f>
        <v/>
      </c>
      <c r="E168" s="195">
        <f>E48*E$22</f>
        <v/>
      </c>
      <c r="F168" s="195">
        <f>F48*F$22</f>
        <v/>
      </c>
      <c r="G168" s="195">
        <f>G48*G$22</f>
        <v/>
      </c>
      <c r="H168" s="195">
        <f>H48*H$22</f>
        <v/>
      </c>
      <c r="I168" s="195">
        <f>I48*I$22</f>
        <v/>
      </c>
      <c r="J168" s="195">
        <f>J48*J$22</f>
        <v/>
      </c>
      <c r="K168" s="195">
        <f>K48*K$22</f>
        <v/>
      </c>
      <c r="L168" s="195">
        <f>L48*L$22</f>
        <v/>
      </c>
      <c r="M168" s="195">
        <f>M48*M$22</f>
        <v/>
      </c>
      <c r="N168" s="195">
        <f>N48*N$22</f>
        <v/>
      </c>
      <c r="O168" s="195">
        <f>O48*O$22</f>
        <v/>
      </c>
      <c r="P168" s="195">
        <f>P48*P$22</f>
        <v/>
      </c>
      <c r="Q168" s="195">
        <f>Q48*Q$22</f>
        <v/>
      </c>
      <c r="R168" s="195">
        <f>R48*R$22</f>
        <v/>
      </c>
      <c r="S168" s="195">
        <f>S48*S$22</f>
        <v/>
      </c>
      <c r="T168" s="195">
        <f>T48*T$22</f>
        <v/>
      </c>
      <c r="U168" s="195">
        <f>U48*U$22</f>
        <v/>
      </c>
    </row>
    <row r="169"/>
    <row r="170"/>
    <row r="171"/>
    <row r="172"/>
    <row r="173"/>
    <row r="174">
      <c r="B174" s="195">
        <f>B54*B$22</f>
        <v/>
      </c>
      <c r="C174" s="195">
        <f>C54*C$22</f>
        <v/>
      </c>
      <c r="D174" s="195">
        <f>D54*D$22</f>
        <v/>
      </c>
      <c r="E174" s="195">
        <f>E54*E$22</f>
        <v/>
      </c>
      <c r="F174" s="195">
        <f>F54*F$22</f>
        <v/>
      </c>
      <c r="G174" s="195">
        <f>G54*G$22</f>
        <v/>
      </c>
      <c r="H174" s="195">
        <f>H54*H$22</f>
        <v/>
      </c>
      <c r="I174" s="195">
        <f>I54*I$22</f>
        <v/>
      </c>
      <c r="J174" s="195">
        <f>J54*J$22</f>
        <v/>
      </c>
      <c r="K174" s="195">
        <f>K54*K$22</f>
        <v/>
      </c>
      <c r="L174" s="195">
        <f>L54*L$22</f>
        <v/>
      </c>
      <c r="M174" s="195">
        <f>M54*M$22</f>
        <v/>
      </c>
      <c r="N174" s="195">
        <f>N54*N$22</f>
        <v/>
      </c>
      <c r="O174" s="195">
        <f>O54*O$22</f>
        <v/>
      </c>
      <c r="P174" s="195">
        <f>P54*P$22</f>
        <v/>
      </c>
      <c r="Q174" s="195">
        <f>Q54*Q$22</f>
        <v/>
      </c>
      <c r="R174" s="195">
        <f>R54*R$22</f>
        <v/>
      </c>
      <c r="S174" s="195">
        <f>S54*S$22</f>
        <v/>
      </c>
      <c r="T174" s="195">
        <f>T54*T$22</f>
        <v/>
      </c>
      <c r="U174" s="195">
        <f>U54*U$22</f>
        <v/>
      </c>
    </row>
    <row r="175">
      <c r="B175" s="195">
        <f>B55*B$22</f>
        <v/>
      </c>
      <c r="C175" s="195">
        <f>C55*C$22</f>
        <v/>
      </c>
      <c r="D175" s="195">
        <f>D55*D$22</f>
        <v/>
      </c>
      <c r="E175" s="195">
        <f>E55*E$22</f>
        <v/>
      </c>
      <c r="F175" s="195">
        <f>F55*F$22</f>
        <v/>
      </c>
      <c r="G175" s="195">
        <f>G55*G$22</f>
        <v/>
      </c>
      <c r="H175" s="195">
        <f>H55*H$22</f>
        <v/>
      </c>
      <c r="I175" s="195">
        <f>I55*I$22</f>
        <v/>
      </c>
      <c r="J175" s="195">
        <f>J55*J$22</f>
        <v/>
      </c>
      <c r="K175" s="195">
        <f>K55*K$22</f>
        <v/>
      </c>
      <c r="L175" s="195">
        <f>L55*L$22</f>
        <v/>
      </c>
      <c r="M175" s="195">
        <f>M55*M$22</f>
        <v/>
      </c>
      <c r="N175" s="195">
        <f>N55*N$22</f>
        <v/>
      </c>
      <c r="O175" s="195">
        <f>O55*O$22</f>
        <v/>
      </c>
      <c r="P175" s="195">
        <f>P55*P$22</f>
        <v/>
      </c>
      <c r="Q175" s="195">
        <f>Q55*Q$22</f>
        <v/>
      </c>
      <c r="R175" s="195">
        <f>R55*R$22</f>
        <v/>
      </c>
      <c r="S175" s="195">
        <f>S55*S$22</f>
        <v/>
      </c>
      <c r="T175" s="195">
        <f>T55*T$22</f>
        <v/>
      </c>
      <c r="U175" s="195">
        <f>U55*U$22</f>
        <v/>
      </c>
    </row>
    <row r="176">
      <c r="B176" s="195">
        <f>B56*B$22</f>
        <v/>
      </c>
      <c r="C176" s="195">
        <f>C56*C$22</f>
        <v/>
      </c>
      <c r="D176" s="195">
        <f>D56*D$22</f>
        <v/>
      </c>
      <c r="E176" s="195">
        <f>E56*E$22</f>
        <v/>
      </c>
      <c r="F176" s="195">
        <f>F56*F$22</f>
        <v/>
      </c>
      <c r="G176" s="195">
        <f>G56*G$22</f>
        <v/>
      </c>
      <c r="H176" s="195">
        <f>H56*H$22</f>
        <v/>
      </c>
      <c r="I176" s="195">
        <f>I56*I$22</f>
        <v/>
      </c>
      <c r="J176" s="195">
        <f>J56*J$22</f>
        <v/>
      </c>
      <c r="K176" s="195">
        <f>K56*K$22</f>
        <v/>
      </c>
      <c r="L176" s="195">
        <f>L56*L$22</f>
        <v/>
      </c>
      <c r="M176" s="195">
        <f>M56*M$22</f>
        <v/>
      </c>
      <c r="N176" s="195">
        <f>N56*N$22</f>
        <v/>
      </c>
      <c r="O176" s="195">
        <f>O56*O$22</f>
        <v/>
      </c>
      <c r="P176" s="195">
        <f>P56*P$22</f>
        <v/>
      </c>
      <c r="Q176" s="195">
        <f>Q56*Q$22</f>
        <v/>
      </c>
      <c r="R176" s="195">
        <f>R56*R$22</f>
        <v/>
      </c>
      <c r="S176" s="195">
        <f>S56*S$22</f>
        <v/>
      </c>
      <c r="T176" s="195">
        <f>T56*T$22</f>
        <v/>
      </c>
      <c r="U176" s="195">
        <f>U56*U$22</f>
        <v/>
      </c>
    </row>
    <row r="177">
      <c r="B177" s="195">
        <f>B57*B$22</f>
        <v/>
      </c>
      <c r="C177" s="195">
        <f>C57*C$22</f>
        <v/>
      </c>
      <c r="D177" s="195">
        <f>D57*D$22</f>
        <v/>
      </c>
      <c r="E177" s="195">
        <f>E57*E$22</f>
        <v/>
      </c>
      <c r="F177" s="195">
        <f>F57*F$22</f>
        <v/>
      </c>
      <c r="G177" s="195">
        <f>G57*G$22</f>
        <v/>
      </c>
      <c r="H177" s="195">
        <f>H57*H$22</f>
        <v/>
      </c>
      <c r="I177" s="195">
        <f>I57*I$22</f>
        <v/>
      </c>
      <c r="J177" s="195">
        <f>J57*J$22</f>
        <v/>
      </c>
      <c r="K177" s="195">
        <f>K57*K$22</f>
        <v/>
      </c>
      <c r="L177" s="195">
        <f>L57*L$22</f>
        <v/>
      </c>
      <c r="M177" s="195">
        <f>M57*M$22</f>
        <v/>
      </c>
      <c r="N177" s="195">
        <f>N57*N$22</f>
        <v/>
      </c>
      <c r="O177" s="195">
        <f>O57*O$22</f>
        <v/>
      </c>
      <c r="P177" s="195">
        <f>P57*P$22</f>
        <v/>
      </c>
      <c r="Q177" s="195">
        <f>Q57*Q$22</f>
        <v/>
      </c>
      <c r="R177" s="195">
        <f>R57*R$22</f>
        <v/>
      </c>
      <c r="S177" s="195">
        <f>S57*S$22</f>
        <v/>
      </c>
      <c r="T177" s="195">
        <f>T57*T$22</f>
        <v/>
      </c>
      <c r="U177" s="195">
        <f>U57*U$22</f>
        <v/>
      </c>
    </row>
    <row r="178">
      <c r="B178" s="195">
        <f>B58*B$22</f>
        <v/>
      </c>
      <c r="C178" s="195">
        <f>C58*C$22</f>
        <v/>
      </c>
      <c r="D178" s="195">
        <f>D58*D$22</f>
        <v/>
      </c>
      <c r="E178" s="195">
        <f>E58*E$22</f>
        <v/>
      </c>
      <c r="F178" s="195">
        <f>F58*F$22</f>
        <v/>
      </c>
      <c r="G178" s="195">
        <f>G58*G$22</f>
        <v/>
      </c>
      <c r="H178" s="195">
        <f>H58*H$22</f>
        <v/>
      </c>
      <c r="I178" s="195">
        <f>I58*I$22</f>
        <v/>
      </c>
      <c r="J178" s="195">
        <f>J58*J$22</f>
        <v/>
      </c>
      <c r="K178" s="195">
        <f>K58*K$22</f>
        <v/>
      </c>
      <c r="L178" s="195">
        <f>L58*L$22</f>
        <v/>
      </c>
      <c r="M178" s="195">
        <f>M58*M$22</f>
        <v/>
      </c>
      <c r="N178" s="195">
        <f>N58*N$22</f>
        <v/>
      </c>
      <c r="O178" s="195">
        <f>O58*O$22</f>
        <v/>
      </c>
      <c r="P178" s="195">
        <f>P58*P$22</f>
        <v/>
      </c>
      <c r="Q178" s="195">
        <f>Q58*Q$22</f>
        <v/>
      </c>
      <c r="R178" s="195">
        <f>R58*R$22</f>
        <v/>
      </c>
      <c r="S178" s="195">
        <f>S58*S$22</f>
        <v/>
      </c>
      <c r="T178" s="195">
        <f>T58*T$22</f>
        <v/>
      </c>
      <c r="U178" s="195">
        <f>U58*U$22</f>
        <v/>
      </c>
    </row>
    <row r="179">
      <c r="B179" s="195">
        <f>B59*B$22</f>
        <v/>
      </c>
      <c r="C179" s="195">
        <f>C59*C$22</f>
        <v/>
      </c>
      <c r="D179" s="195">
        <f>D59*D$22</f>
        <v/>
      </c>
      <c r="E179" s="195">
        <f>E59*E$22</f>
        <v/>
      </c>
      <c r="F179" s="195">
        <f>F59*F$22</f>
        <v/>
      </c>
      <c r="G179" s="195">
        <f>G59*G$22</f>
        <v/>
      </c>
      <c r="H179" s="195">
        <f>H59*H$22</f>
        <v/>
      </c>
      <c r="I179" s="195">
        <f>I59*I$22</f>
        <v/>
      </c>
      <c r="J179" s="195">
        <f>J59*J$22</f>
        <v/>
      </c>
      <c r="K179" s="195">
        <f>K59*K$22</f>
        <v/>
      </c>
      <c r="L179" s="195">
        <f>L59*L$22</f>
        <v/>
      </c>
      <c r="M179" s="195">
        <f>M59*M$22</f>
        <v/>
      </c>
      <c r="N179" s="195">
        <f>N59*N$22</f>
        <v/>
      </c>
      <c r="O179" s="195">
        <f>O59*O$22</f>
        <v/>
      </c>
      <c r="P179" s="195">
        <f>P59*P$22</f>
        <v/>
      </c>
      <c r="Q179" s="195">
        <f>Q59*Q$22</f>
        <v/>
      </c>
      <c r="R179" s="195">
        <f>R59*R$22</f>
        <v/>
      </c>
      <c r="S179" s="195">
        <f>S59*S$22</f>
        <v/>
      </c>
      <c r="T179" s="195">
        <f>T59*T$22</f>
        <v/>
      </c>
      <c r="U179" s="195">
        <f>U59*U$22</f>
        <v/>
      </c>
    </row>
    <row r="180">
      <c r="B180" s="195">
        <f>B60*B$22</f>
        <v/>
      </c>
      <c r="C180" s="195">
        <f>C60*C$22</f>
        <v/>
      </c>
      <c r="D180" s="195">
        <f>D60*D$22</f>
        <v/>
      </c>
      <c r="E180" s="195">
        <f>E60*E$22</f>
        <v/>
      </c>
      <c r="F180" s="195">
        <f>F60*F$22</f>
        <v/>
      </c>
      <c r="G180" s="195">
        <f>G60*G$22</f>
        <v/>
      </c>
      <c r="H180" s="195">
        <f>H60*H$22</f>
        <v/>
      </c>
      <c r="I180" s="195">
        <f>I60*I$22</f>
        <v/>
      </c>
      <c r="J180" s="195">
        <f>J60*J$22</f>
        <v/>
      </c>
      <c r="K180" s="195">
        <f>K60*K$22</f>
        <v/>
      </c>
      <c r="L180" s="195">
        <f>L60*L$22</f>
        <v/>
      </c>
      <c r="M180" s="195">
        <f>M60*M$22</f>
        <v/>
      </c>
      <c r="N180" s="195">
        <f>N60*N$22</f>
        <v/>
      </c>
      <c r="O180" s="195">
        <f>O60*O$22</f>
        <v/>
      </c>
      <c r="P180" s="195">
        <f>P60*P$22</f>
        <v/>
      </c>
      <c r="Q180" s="195">
        <f>Q60*Q$22</f>
        <v/>
      </c>
      <c r="R180" s="195">
        <f>R60*R$22</f>
        <v/>
      </c>
      <c r="S180" s="195">
        <f>S60*S$22</f>
        <v/>
      </c>
      <c r="T180" s="195">
        <f>T60*T$22</f>
        <v/>
      </c>
      <c r="U180" s="195">
        <f>U60*U$22</f>
        <v/>
      </c>
    </row>
    <row r="181">
      <c r="B181" s="195">
        <f>B61*B$22</f>
        <v/>
      </c>
      <c r="C181" s="195">
        <f>C61*C$22</f>
        <v/>
      </c>
      <c r="D181" s="195">
        <f>D61*D$22</f>
        <v/>
      </c>
      <c r="E181" s="195">
        <f>E61*E$22</f>
        <v/>
      </c>
      <c r="F181" s="195">
        <f>F61*F$22</f>
        <v/>
      </c>
      <c r="G181" s="195">
        <f>G61*G$22</f>
        <v/>
      </c>
      <c r="H181" s="195">
        <f>H61*H$22</f>
        <v/>
      </c>
      <c r="I181" s="195">
        <f>I61*I$22</f>
        <v/>
      </c>
      <c r="J181" s="195">
        <f>J61*J$22</f>
        <v/>
      </c>
      <c r="K181" s="195">
        <f>K61*K$22</f>
        <v/>
      </c>
      <c r="L181" s="195">
        <f>L61*L$22</f>
        <v/>
      </c>
      <c r="M181" s="195">
        <f>M61*M$22</f>
        <v/>
      </c>
      <c r="N181" s="195">
        <f>N61*N$22</f>
        <v/>
      </c>
      <c r="O181" s="195">
        <f>O61*O$22</f>
        <v/>
      </c>
      <c r="P181" s="195">
        <f>P61*P$22</f>
        <v/>
      </c>
      <c r="Q181" s="195">
        <f>Q61*Q$22</f>
        <v/>
      </c>
      <c r="R181" s="195">
        <f>R61*R$22</f>
        <v/>
      </c>
      <c r="S181" s="195">
        <f>S61*S$22</f>
        <v/>
      </c>
      <c r="T181" s="195">
        <f>T61*T$22</f>
        <v/>
      </c>
      <c r="U181" s="195">
        <f>U61*U$22</f>
        <v/>
      </c>
    </row>
    <row r="182">
      <c r="B182" s="195">
        <f>B62*B$22</f>
        <v/>
      </c>
      <c r="C182" s="195">
        <f>C62*C$22</f>
        <v/>
      </c>
      <c r="D182" s="195">
        <f>D62*D$22</f>
        <v/>
      </c>
      <c r="E182" s="195">
        <f>E62*E$22</f>
        <v/>
      </c>
      <c r="F182" s="195">
        <f>F62*F$22</f>
        <v/>
      </c>
      <c r="G182" s="195">
        <f>G62*G$22</f>
        <v/>
      </c>
      <c r="H182" s="195">
        <f>H62*H$22</f>
        <v/>
      </c>
      <c r="I182" s="195">
        <f>I62*I$22</f>
        <v/>
      </c>
      <c r="J182" s="195">
        <f>J62*J$22</f>
        <v/>
      </c>
      <c r="K182" s="195">
        <f>K62*K$22</f>
        <v/>
      </c>
      <c r="L182" s="195">
        <f>L62*L$22</f>
        <v/>
      </c>
      <c r="M182" s="195">
        <f>M62*M$22</f>
        <v/>
      </c>
      <c r="N182" s="195">
        <f>N62*N$22</f>
        <v/>
      </c>
      <c r="O182" s="195">
        <f>O62*O$22</f>
        <v/>
      </c>
      <c r="P182" s="195">
        <f>P62*P$22</f>
        <v/>
      </c>
      <c r="Q182" s="195">
        <f>Q62*Q$22</f>
        <v/>
      </c>
      <c r="R182" s="195">
        <f>R62*R$22</f>
        <v/>
      </c>
      <c r="S182" s="195">
        <f>S62*S$22</f>
        <v/>
      </c>
      <c r="T182" s="195">
        <f>T62*T$22</f>
        <v/>
      </c>
      <c r="U182" s="195">
        <f>U62*U$22</f>
        <v/>
      </c>
    </row>
    <row r="183">
      <c r="B183" s="195">
        <f>B63*B$22</f>
        <v/>
      </c>
      <c r="C183" s="195">
        <f>C63*C$22</f>
        <v/>
      </c>
      <c r="D183" s="195">
        <f>D63*D$22</f>
        <v/>
      </c>
      <c r="E183" s="195">
        <f>E63*E$22</f>
        <v/>
      </c>
      <c r="F183" s="195">
        <f>F63*F$22</f>
        <v/>
      </c>
      <c r="G183" s="195">
        <f>G63*G$22</f>
        <v/>
      </c>
      <c r="H183" s="195">
        <f>H63*H$22</f>
        <v/>
      </c>
      <c r="I183" s="195">
        <f>I63*I$22</f>
        <v/>
      </c>
      <c r="J183" s="195">
        <f>J63*J$22</f>
        <v/>
      </c>
      <c r="K183" s="195">
        <f>K63*K$22</f>
        <v/>
      </c>
      <c r="L183" s="195">
        <f>L63*L$22</f>
        <v/>
      </c>
      <c r="M183" s="195">
        <f>M63*M$22</f>
        <v/>
      </c>
      <c r="N183" s="195">
        <f>N63*N$22</f>
        <v/>
      </c>
      <c r="O183" s="195">
        <f>O63*O$22</f>
        <v/>
      </c>
      <c r="P183" s="195">
        <f>P63*P$22</f>
        <v/>
      </c>
      <c r="Q183" s="195">
        <f>Q63*Q$22</f>
        <v/>
      </c>
      <c r="R183" s="195">
        <f>R63*R$22</f>
        <v/>
      </c>
      <c r="S183" s="195">
        <f>S63*S$22</f>
        <v/>
      </c>
      <c r="T183" s="195">
        <f>T63*T$22</f>
        <v/>
      </c>
      <c r="U183" s="195">
        <f>U63*U$22</f>
        <v/>
      </c>
    </row>
    <row r="184">
      <c r="B184" s="195">
        <f>B64*B$22</f>
        <v/>
      </c>
      <c r="C184" s="195">
        <f>C64*C$22</f>
        <v/>
      </c>
      <c r="D184" s="195">
        <f>D64*D$22</f>
        <v/>
      </c>
      <c r="E184" s="195">
        <f>E64*E$22</f>
        <v/>
      </c>
      <c r="F184" s="195">
        <f>F64*F$22</f>
        <v/>
      </c>
      <c r="G184" s="195">
        <f>G64*G$22</f>
        <v/>
      </c>
      <c r="H184" s="195">
        <f>H64*H$22</f>
        <v/>
      </c>
      <c r="I184" s="195">
        <f>I64*I$22</f>
        <v/>
      </c>
      <c r="J184" s="195">
        <f>J64*J$22</f>
        <v/>
      </c>
      <c r="K184" s="195">
        <f>K64*K$22</f>
        <v/>
      </c>
      <c r="L184" s="195">
        <f>L64*L$22</f>
        <v/>
      </c>
      <c r="M184" s="195">
        <f>M64*M$22</f>
        <v/>
      </c>
      <c r="N184" s="195">
        <f>N64*N$22</f>
        <v/>
      </c>
      <c r="O184" s="195">
        <f>O64*O$22</f>
        <v/>
      </c>
      <c r="P184" s="195">
        <f>P64*P$22</f>
        <v/>
      </c>
      <c r="Q184" s="195">
        <f>Q64*Q$22</f>
        <v/>
      </c>
      <c r="R184" s="195">
        <f>R64*R$22</f>
        <v/>
      </c>
      <c r="S184" s="195">
        <f>S64*S$22</f>
        <v/>
      </c>
      <c r="T184" s="195">
        <f>T64*T$22</f>
        <v/>
      </c>
      <c r="U184" s="195">
        <f>U64*U$22</f>
        <v/>
      </c>
    </row>
    <row r="185">
      <c r="B185" s="195">
        <f>B65*B$22</f>
        <v/>
      </c>
      <c r="C185" s="195">
        <f>C65*C$22</f>
        <v/>
      </c>
      <c r="D185" s="195">
        <f>D65*D$22</f>
        <v/>
      </c>
      <c r="E185" s="195">
        <f>E65*E$22</f>
        <v/>
      </c>
      <c r="F185" s="195">
        <f>F65*F$22</f>
        <v/>
      </c>
      <c r="G185" s="195">
        <f>G65*G$22</f>
        <v/>
      </c>
      <c r="H185" s="195">
        <f>H65*H$22</f>
        <v/>
      </c>
      <c r="I185" s="195">
        <f>I65*I$22</f>
        <v/>
      </c>
      <c r="J185" s="195">
        <f>J65*J$22</f>
        <v/>
      </c>
      <c r="K185" s="195">
        <f>K65*K$22</f>
        <v/>
      </c>
      <c r="L185" s="195">
        <f>L65*L$22</f>
        <v/>
      </c>
      <c r="M185" s="195">
        <f>M65*M$22</f>
        <v/>
      </c>
      <c r="N185" s="195">
        <f>N65*N$22</f>
        <v/>
      </c>
      <c r="O185" s="195">
        <f>O65*O$22</f>
        <v/>
      </c>
      <c r="P185" s="195">
        <f>P65*P$22</f>
        <v/>
      </c>
      <c r="Q185" s="195">
        <f>Q65*Q$22</f>
        <v/>
      </c>
      <c r="R185" s="195">
        <f>R65*R$22</f>
        <v/>
      </c>
      <c r="S185" s="195">
        <f>S65*S$22</f>
        <v/>
      </c>
      <c r="T185" s="195">
        <f>T65*T$22</f>
        <v/>
      </c>
      <c r="U185" s="195">
        <f>U65*U$22</f>
        <v/>
      </c>
    </row>
    <row r="186">
      <c r="B186" s="195">
        <f>B66*B$22</f>
        <v/>
      </c>
      <c r="C186" s="195">
        <f>C66*C$22</f>
        <v/>
      </c>
      <c r="D186" s="195">
        <f>D66*D$22</f>
        <v/>
      </c>
      <c r="E186" s="195">
        <f>E66*E$22</f>
        <v/>
      </c>
      <c r="F186" s="195">
        <f>F66*F$22</f>
        <v/>
      </c>
      <c r="G186" s="195">
        <f>G66*G$22</f>
        <v/>
      </c>
      <c r="H186" s="195">
        <f>H66*H$22</f>
        <v/>
      </c>
      <c r="I186" s="195">
        <f>I66*I$22</f>
        <v/>
      </c>
      <c r="J186" s="195">
        <f>J66*J$22</f>
        <v/>
      </c>
      <c r="K186" s="195">
        <f>K66*K$22</f>
        <v/>
      </c>
      <c r="L186" s="195">
        <f>L66*L$22</f>
        <v/>
      </c>
      <c r="M186" s="195">
        <f>M66*M$22</f>
        <v/>
      </c>
      <c r="N186" s="195">
        <f>N66*N$22</f>
        <v/>
      </c>
      <c r="O186" s="195">
        <f>O66*O$22</f>
        <v/>
      </c>
      <c r="P186" s="195">
        <f>P66*P$22</f>
        <v/>
      </c>
      <c r="Q186" s="195">
        <f>Q66*Q$22</f>
        <v/>
      </c>
      <c r="R186" s="195">
        <f>R66*R$22</f>
        <v/>
      </c>
      <c r="S186" s="195">
        <f>S66*S$22</f>
        <v/>
      </c>
      <c r="T186" s="195">
        <f>T66*T$22</f>
        <v/>
      </c>
      <c r="U186" s="195">
        <f>U66*U$22</f>
        <v/>
      </c>
    </row>
    <row r="187">
      <c r="B187" s="195">
        <f>B67*B$22</f>
        <v/>
      </c>
      <c r="C187" s="195">
        <f>C67*C$22</f>
        <v/>
      </c>
      <c r="D187" s="195">
        <f>D67*D$22</f>
        <v/>
      </c>
      <c r="E187" s="195">
        <f>E67*E$22</f>
        <v/>
      </c>
      <c r="F187" s="195">
        <f>F67*F$22</f>
        <v/>
      </c>
      <c r="G187" s="195">
        <f>G67*G$22</f>
        <v/>
      </c>
      <c r="H187" s="195">
        <f>H67*H$22</f>
        <v/>
      </c>
      <c r="I187" s="195">
        <f>I67*I$22</f>
        <v/>
      </c>
      <c r="J187" s="195">
        <f>J67*J$22</f>
        <v/>
      </c>
      <c r="K187" s="195">
        <f>K67*K$22</f>
        <v/>
      </c>
      <c r="L187" s="195">
        <f>L67*L$22</f>
        <v/>
      </c>
      <c r="M187" s="195">
        <f>M67*M$22</f>
        <v/>
      </c>
      <c r="N187" s="195">
        <f>N67*N$22</f>
        <v/>
      </c>
      <c r="O187" s="195">
        <f>O67*O$22</f>
        <v/>
      </c>
      <c r="P187" s="195">
        <f>P67*P$22</f>
        <v/>
      </c>
      <c r="Q187" s="195">
        <f>Q67*Q$22</f>
        <v/>
      </c>
      <c r="R187" s="195">
        <f>R67*R$22</f>
        <v/>
      </c>
      <c r="S187" s="195">
        <f>S67*S$22</f>
        <v/>
      </c>
      <c r="T187" s="195">
        <f>T67*T$22</f>
        <v/>
      </c>
      <c r="U187" s="195">
        <f>U67*U$22</f>
        <v/>
      </c>
    </row>
    <row r="188">
      <c r="B188" s="195">
        <f>B68*B$22</f>
        <v/>
      </c>
      <c r="C188" s="195">
        <f>C68*C$22</f>
        <v/>
      </c>
      <c r="D188" s="195">
        <f>D68*D$22</f>
        <v/>
      </c>
      <c r="E188" s="195">
        <f>E68*E$22</f>
        <v/>
      </c>
      <c r="F188" s="195">
        <f>F68*F$22</f>
        <v/>
      </c>
      <c r="G188" s="195">
        <f>G68*G$22</f>
        <v/>
      </c>
      <c r="H188" s="195">
        <f>H68*H$22</f>
        <v/>
      </c>
      <c r="I188" s="195">
        <f>I68*I$22</f>
        <v/>
      </c>
      <c r="J188" s="195">
        <f>J68*J$22</f>
        <v/>
      </c>
      <c r="K188" s="195">
        <f>K68*K$22</f>
        <v/>
      </c>
      <c r="L188" s="195">
        <f>L68*L$22</f>
        <v/>
      </c>
      <c r="M188" s="195">
        <f>M68*M$22</f>
        <v/>
      </c>
      <c r="N188" s="195">
        <f>N68*N$22</f>
        <v/>
      </c>
      <c r="O188" s="195">
        <f>O68*O$22</f>
        <v/>
      </c>
      <c r="P188" s="195">
        <f>P68*P$22</f>
        <v/>
      </c>
      <c r="Q188" s="195">
        <f>Q68*Q$22</f>
        <v/>
      </c>
      <c r="R188" s="195">
        <f>R68*R$22</f>
        <v/>
      </c>
      <c r="S188" s="195">
        <f>S68*S$22</f>
        <v/>
      </c>
      <c r="T188" s="195">
        <f>T68*T$22</f>
        <v/>
      </c>
      <c r="U188" s="195">
        <f>U68*U$22</f>
        <v/>
      </c>
    </row>
    <row r="189">
      <c r="B189" s="195">
        <f>B69*B$22</f>
        <v/>
      </c>
      <c r="C189" s="195">
        <f>C69*C$22</f>
        <v/>
      </c>
      <c r="D189" s="195">
        <f>D69*D$22</f>
        <v/>
      </c>
      <c r="E189" s="195">
        <f>E69*E$22</f>
        <v/>
      </c>
      <c r="F189" s="195">
        <f>F69*F$22</f>
        <v/>
      </c>
      <c r="G189" s="195">
        <f>G69*G$22</f>
        <v/>
      </c>
      <c r="H189" s="195">
        <f>H69*H$22</f>
        <v/>
      </c>
      <c r="I189" s="195">
        <f>I69*I$22</f>
        <v/>
      </c>
      <c r="J189" s="195">
        <f>J69*J$22</f>
        <v/>
      </c>
      <c r="K189" s="195">
        <f>K69*K$22</f>
        <v/>
      </c>
      <c r="L189" s="195">
        <f>L69*L$22</f>
        <v/>
      </c>
      <c r="M189" s="195">
        <f>M69*M$22</f>
        <v/>
      </c>
      <c r="N189" s="195">
        <f>N69*N$22</f>
        <v/>
      </c>
      <c r="O189" s="195">
        <f>O69*O$22</f>
        <v/>
      </c>
      <c r="P189" s="195">
        <f>P69*P$22</f>
        <v/>
      </c>
      <c r="Q189" s="195">
        <f>Q69*Q$22</f>
        <v/>
      </c>
      <c r="R189" s="195">
        <f>R69*R$22</f>
        <v/>
      </c>
      <c r="S189" s="195">
        <f>S69*S$22</f>
        <v/>
      </c>
      <c r="T189" s="195">
        <f>T69*T$22</f>
        <v/>
      </c>
      <c r="U189" s="195">
        <f>U69*U$22</f>
        <v/>
      </c>
    </row>
    <row r="190">
      <c r="B190" s="195">
        <f>B70*B$22</f>
        <v/>
      </c>
      <c r="C190" s="195">
        <f>C70*C$22</f>
        <v/>
      </c>
      <c r="D190" s="195">
        <f>D70*D$22</f>
        <v/>
      </c>
      <c r="E190" s="195">
        <f>E70*E$22</f>
        <v/>
      </c>
      <c r="F190" s="195">
        <f>F70*F$22</f>
        <v/>
      </c>
      <c r="G190" s="195">
        <f>G70*G$22</f>
        <v/>
      </c>
      <c r="H190" s="195">
        <f>H70*H$22</f>
        <v/>
      </c>
      <c r="I190" s="195">
        <f>I70*I$22</f>
        <v/>
      </c>
      <c r="J190" s="195">
        <f>J70*J$22</f>
        <v/>
      </c>
      <c r="K190" s="195">
        <f>K70*K$22</f>
        <v/>
      </c>
      <c r="L190" s="195">
        <f>L70*L$22</f>
        <v/>
      </c>
      <c r="M190" s="195">
        <f>M70*M$22</f>
        <v/>
      </c>
      <c r="N190" s="195">
        <f>N70*N$22</f>
        <v/>
      </c>
      <c r="O190" s="195">
        <f>O70*O$22</f>
        <v/>
      </c>
      <c r="P190" s="195">
        <f>P70*P$22</f>
        <v/>
      </c>
      <c r="Q190" s="195">
        <f>Q70*Q$22</f>
        <v/>
      </c>
      <c r="R190" s="195">
        <f>R70*R$22</f>
        <v/>
      </c>
      <c r="S190" s="195">
        <f>S70*S$22</f>
        <v/>
      </c>
      <c r="T190" s="195">
        <f>T70*T$22</f>
        <v/>
      </c>
      <c r="U190" s="195">
        <f>U70*U$22</f>
        <v/>
      </c>
    </row>
    <row r="191">
      <c r="B191" s="195">
        <f>B71*B$22</f>
        <v/>
      </c>
      <c r="C191" s="195">
        <f>C71*C$22</f>
        <v/>
      </c>
      <c r="D191" s="195">
        <f>D71*D$22</f>
        <v/>
      </c>
      <c r="E191" s="195">
        <f>E71*E$22</f>
        <v/>
      </c>
      <c r="F191" s="195">
        <f>F71*F$22</f>
        <v/>
      </c>
      <c r="G191" s="195">
        <f>G71*G$22</f>
        <v/>
      </c>
      <c r="H191" s="195">
        <f>H71*H$22</f>
        <v/>
      </c>
      <c r="I191" s="195">
        <f>I71*I$22</f>
        <v/>
      </c>
      <c r="J191" s="195">
        <f>J71*J$22</f>
        <v/>
      </c>
      <c r="K191" s="195">
        <f>K71*K$22</f>
        <v/>
      </c>
      <c r="L191" s="195">
        <f>L71*L$22</f>
        <v/>
      </c>
      <c r="M191" s="195">
        <f>M71*M$22</f>
        <v/>
      </c>
      <c r="N191" s="195">
        <f>N71*N$22</f>
        <v/>
      </c>
      <c r="O191" s="195">
        <f>O71*O$22</f>
        <v/>
      </c>
      <c r="P191" s="195">
        <f>P71*P$22</f>
        <v/>
      </c>
      <c r="Q191" s="195">
        <f>Q71*Q$22</f>
        <v/>
      </c>
      <c r="R191" s="195">
        <f>R71*R$22</f>
        <v/>
      </c>
      <c r="S191" s="195">
        <f>S71*S$22</f>
        <v/>
      </c>
      <c r="T191" s="195">
        <f>T71*T$22</f>
        <v/>
      </c>
      <c r="U191" s="195">
        <f>U71*U$22</f>
        <v/>
      </c>
    </row>
    <row r="192">
      <c r="B192" s="195">
        <f>B72*B$22</f>
        <v/>
      </c>
      <c r="C192" s="195">
        <f>C72*C$22</f>
        <v/>
      </c>
      <c r="D192" s="195">
        <f>D72*D$22</f>
        <v/>
      </c>
      <c r="E192" s="195">
        <f>E72*E$22</f>
        <v/>
      </c>
      <c r="F192" s="195">
        <f>F72*F$22</f>
        <v/>
      </c>
      <c r="G192" s="195">
        <f>G72*G$22</f>
        <v/>
      </c>
      <c r="H192" s="195">
        <f>H72*H$22</f>
        <v/>
      </c>
      <c r="I192" s="195">
        <f>I72*I$22</f>
        <v/>
      </c>
      <c r="J192" s="195">
        <f>J72*J$22</f>
        <v/>
      </c>
      <c r="K192" s="195">
        <f>K72*K$22</f>
        <v/>
      </c>
      <c r="L192" s="195">
        <f>L72*L$22</f>
        <v/>
      </c>
      <c r="M192" s="195">
        <f>M72*M$22</f>
        <v/>
      </c>
      <c r="N192" s="195">
        <f>N72*N$22</f>
        <v/>
      </c>
      <c r="O192" s="195">
        <f>O72*O$22</f>
        <v/>
      </c>
      <c r="P192" s="195">
        <f>P72*P$22</f>
        <v/>
      </c>
      <c r="Q192" s="195">
        <f>Q72*Q$22</f>
        <v/>
      </c>
      <c r="R192" s="195">
        <f>R72*R$22</f>
        <v/>
      </c>
      <c r="S192" s="195">
        <f>S72*S$22</f>
        <v/>
      </c>
      <c r="T192" s="195">
        <f>T72*T$22</f>
        <v/>
      </c>
      <c r="U192" s="195">
        <f>U72*U$22</f>
        <v/>
      </c>
    </row>
    <row r="193">
      <c r="B193" s="195">
        <f>B73*B$22</f>
        <v/>
      </c>
      <c r="C193" s="195">
        <f>C73*C$22</f>
        <v/>
      </c>
      <c r="D193" s="195">
        <f>D73*D$22</f>
        <v/>
      </c>
      <c r="E193" s="195">
        <f>E73*E$22</f>
        <v/>
      </c>
      <c r="F193" s="195">
        <f>F73*F$22</f>
        <v/>
      </c>
      <c r="G193" s="195">
        <f>G73*G$22</f>
        <v/>
      </c>
      <c r="H193" s="195">
        <f>H73*H$22</f>
        <v/>
      </c>
      <c r="I193" s="195">
        <f>I73*I$22</f>
        <v/>
      </c>
      <c r="J193" s="195">
        <f>J73*J$22</f>
        <v/>
      </c>
      <c r="K193" s="195">
        <f>K73*K$22</f>
        <v/>
      </c>
      <c r="L193" s="195">
        <f>L73*L$22</f>
        <v/>
      </c>
      <c r="M193" s="195">
        <f>M73*M$22</f>
        <v/>
      </c>
      <c r="N193" s="195">
        <f>N73*N$22</f>
        <v/>
      </c>
      <c r="O193" s="195">
        <f>O73*O$22</f>
        <v/>
      </c>
      <c r="P193" s="195">
        <f>P73*P$22</f>
        <v/>
      </c>
      <c r="Q193" s="195">
        <f>Q73*Q$22</f>
        <v/>
      </c>
      <c r="R193" s="195">
        <f>R73*R$22</f>
        <v/>
      </c>
      <c r="S193" s="195">
        <f>S73*S$22</f>
        <v/>
      </c>
      <c r="T193" s="195">
        <f>T73*T$22</f>
        <v/>
      </c>
      <c r="U193" s="195">
        <f>U73*U$22</f>
        <v/>
      </c>
    </row>
    <row r="194">
      <c r="B194" s="195">
        <f>B74*B$22</f>
        <v/>
      </c>
      <c r="C194" s="195">
        <f>C74*C$22</f>
        <v/>
      </c>
      <c r="D194" s="195">
        <f>D74*D$22</f>
        <v/>
      </c>
      <c r="E194" s="195">
        <f>E74*E$22</f>
        <v/>
      </c>
      <c r="F194" s="195">
        <f>F74*F$22</f>
        <v/>
      </c>
      <c r="G194" s="195">
        <f>G74*G$22</f>
        <v/>
      </c>
      <c r="H194" s="195">
        <f>H74*H$22</f>
        <v/>
      </c>
      <c r="I194" s="195">
        <f>I74*I$22</f>
        <v/>
      </c>
      <c r="J194" s="195">
        <f>J74*J$22</f>
        <v/>
      </c>
      <c r="K194" s="195">
        <f>K74*K$22</f>
        <v/>
      </c>
      <c r="L194" s="195">
        <f>L74*L$22</f>
        <v/>
      </c>
      <c r="M194" s="195">
        <f>M74*M$22</f>
        <v/>
      </c>
      <c r="N194" s="195">
        <f>N74*N$22</f>
        <v/>
      </c>
      <c r="O194" s="195">
        <f>O74*O$22</f>
        <v/>
      </c>
      <c r="P194" s="195">
        <f>P74*P$22</f>
        <v/>
      </c>
      <c r="Q194" s="195">
        <f>Q74*Q$22</f>
        <v/>
      </c>
      <c r="R194" s="195">
        <f>R74*R$22</f>
        <v/>
      </c>
      <c r="S194" s="195">
        <f>S74*S$22</f>
        <v/>
      </c>
      <c r="T194" s="195">
        <f>T74*T$22</f>
        <v/>
      </c>
      <c r="U194" s="195">
        <f>U74*U$22</f>
        <v/>
      </c>
    </row>
    <row r="195">
      <c r="B195" s="195">
        <f>B75*B$22</f>
        <v/>
      </c>
      <c r="C195" s="195">
        <f>C75*C$22</f>
        <v/>
      </c>
      <c r="D195" s="195">
        <f>D75*D$22</f>
        <v/>
      </c>
      <c r="E195" s="195">
        <f>E75*E$22</f>
        <v/>
      </c>
      <c r="F195" s="195">
        <f>F75*F$22</f>
        <v/>
      </c>
      <c r="G195" s="195">
        <f>G75*G$22</f>
        <v/>
      </c>
      <c r="H195" s="195">
        <f>H75*H$22</f>
        <v/>
      </c>
      <c r="I195" s="195">
        <f>I75*I$22</f>
        <v/>
      </c>
      <c r="J195" s="195">
        <f>J75*J$22</f>
        <v/>
      </c>
      <c r="K195" s="195">
        <f>K75*K$22</f>
        <v/>
      </c>
      <c r="L195" s="195">
        <f>L75*L$22</f>
        <v/>
      </c>
      <c r="M195" s="195">
        <f>M75*M$22</f>
        <v/>
      </c>
      <c r="N195" s="195">
        <f>N75*N$22</f>
        <v/>
      </c>
      <c r="O195" s="195">
        <f>O75*O$22</f>
        <v/>
      </c>
      <c r="P195" s="195">
        <f>P75*P$22</f>
        <v/>
      </c>
      <c r="Q195" s="195">
        <f>Q75*Q$22</f>
        <v/>
      </c>
      <c r="R195" s="195">
        <f>R75*R$22</f>
        <v/>
      </c>
      <c r="S195" s="195">
        <f>S75*S$22</f>
        <v/>
      </c>
      <c r="T195" s="195">
        <f>T75*T$22</f>
        <v/>
      </c>
      <c r="U195" s="195">
        <f>U75*U$22</f>
        <v/>
      </c>
    </row>
    <row r="196">
      <c r="B196" s="195">
        <f>B76*B$22</f>
        <v/>
      </c>
      <c r="C196" s="195">
        <f>C76*C$22</f>
        <v/>
      </c>
      <c r="D196" s="195">
        <f>D76*D$22</f>
        <v/>
      </c>
      <c r="E196" s="195">
        <f>E76*E$22</f>
        <v/>
      </c>
      <c r="F196" s="195">
        <f>F76*F$22</f>
        <v/>
      </c>
      <c r="G196" s="195">
        <f>G76*G$22</f>
        <v/>
      </c>
      <c r="H196" s="195">
        <f>H76*H$22</f>
        <v/>
      </c>
      <c r="I196" s="195">
        <f>I76*I$22</f>
        <v/>
      </c>
      <c r="J196" s="195">
        <f>J76*J$22</f>
        <v/>
      </c>
      <c r="K196" s="195">
        <f>K76*K$22</f>
        <v/>
      </c>
      <c r="L196" s="195">
        <f>L76*L$22</f>
        <v/>
      </c>
      <c r="M196" s="195">
        <f>M76*M$22</f>
        <v/>
      </c>
      <c r="N196" s="195">
        <f>N76*N$22</f>
        <v/>
      </c>
      <c r="O196" s="195">
        <f>O76*O$22</f>
        <v/>
      </c>
      <c r="P196" s="195">
        <f>P76*P$22</f>
        <v/>
      </c>
      <c r="Q196" s="195">
        <f>Q76*Q$22</f>
        <v/>
      </c>
      <c r="R196" s="195">
        <f>R76*R$22</f>
        <v/>
      </c>
      <c r="S196" s="195">
        <f>S76*S$22</f>
        <v/>
      </c>
      <c r="T196" s="195">
        <f>T76*T$22</f>
        <v/>
      </c>
      <c r="U196" s="195">
        <f>U76*U$22</f>
        <v/>
      </c>
    </row>
    <row r="197">
      <c r="B197" s="195">
        <f>B77*B$22</f>
        <v/>
      </c>
      <c r="C197" s="195">
        <f>C77*C$22</f>
        <v/>
      </c>
      <c r="D197" s="195">
        <f>D77*D$22</f>
        <v/>
      </c>
      <c r="E197" s="195">
        <f>E77*E$22</f>
        <v/>
      </c>
      <c r="F197" s="195">
        <f>F77*F$22</f>
        <v/>
      </c>
      <c r="G197" s="195">
        <f>G77*G$22</f>
        <v/>
      </c>
      <c r="H197" s="195">
        <f>H77*H$22</f>
        <v/>
      </c>
      <c r="I197" s="195">
        <f>I77*I$22</f>
        <v/>
      </c>
      <c r="J197" s="195">
        <f>J77*J$22</f>
        <v/>
      </c>
      <c r="K197" s="195">
        <f>K77*K$22</f>
        <v/>
      </c>
      <c r="L197" s="195">
        <f>L77*L$22</f>
        <v/>
      </c>
      <c r="M197" s="195">
        <f>M77*M$22</f>
        <v/>
      </c>
      <c r="N197" s="195">
        <f>N77*N$22</f>
        <v/>
      </c>
      <c r="O197" s="195">
        <f>O77*O$22</f>
        <v/>
      </c>
      <c r="P197" s="195">
        <f>P77*P$22</f>
        <v/>
      </c>
      <c r="Q197" s="195">
        <f>Q77*Q$22</f>
        <v/>
      </c>
      <c r="R197" s="195">
        <f>R77*R$22</f>
        <v/>
      </c>
      <c r="S197" s="195">
        <f>S77*S$22</f>
        <v/>
      </c>
      <c r="T197" s="195">
        <f>T77*T$22</f>
        <v/>
      </c>
      <c r="U197" s="195">
        <f>U77*U$22</f>
        <v/>
      </c>
    </row>
    <row r="198">
      <c r="B198" s="195">
        <f>B78*B$22</f>
        <v/>
      </c>
      <c r="C198" s="195">
        <f>C78*C$22</f>
        <v/>
      </c>
      <c r="D198" s="195">
        <f>D78*D$22</f>
        <v/>
      </c>
      <c r="E198" s="195">
        <f>E78*E$22</f>
        <v/>
      </c>
      <c r="F198" s="195">
        <f>F78*F$22</f>
        <v/>
      </c>
      <c r="G198" s="195">
        <f>G78*G$22</f>
        <v/>
      </c>
      <c r="H198" s="195">
        <f>H78*H$22</f>
        <v/>
      </c>
      <c r="I198" s="195">
        <f>I78*I$22</f>
        <v/>
      </c>
      <c r="J198" s="195">
        <f>J78*J$22</f>
        <v/>
      </c>
      <c r="K198" s="195">
        <f>K78*K$22</f>
        <v/>
      </c>
      <c r="L198" s="195">
        <f>L78*L$22</f>
        <v/>
      </c>
      <c r="M198" s="195">
        <f>M78*M$22</f>
        <v/>
      </c>
      <c r="N198" s="195">
        <f>N78*N$22</f>
        <v/>
      </c>
      <c r="O198" s="195">
        <f>O78*O$22</f>
        <v/>
      </c>
      <c r="P198" s="195">
        <f>P78*P$22</f>
        <v/>
      </c>
      <c r="Q198" s="195">
        <f>Q78*Q$22</f>
        <v/>
      </c>
      <c r="R198" s="195">
        <f>R78*R$22</f>
        <v/>
      </c>
      <c r="S198" s="195">
        <f>S78*S$22</f>
        <v/>
      </c>
      <c r="T198" s="195">
        <f>T78*T$22</f>
        <v/>
      </c>
      <c r="U198" s="195">
        <f>U78*U$22</f>
        <v/>
      </c>
    </row>
  </sheetData>
  <pageMargins left="0.75" right="0.75" top="1" bottom="1" header="0.5" footer="0.5"/>
</worksheet>
</file>

<file path=xl/worksheets/sheet21.xml><?xml version="1.0" encoding="utf-8"?>
<worksheet xmlns="http://schemas.openxmlformats.org/spreadsheetml/2006/main">
  <sheetPr>
    <tabColor rgb="00808080"/>
    <outlinePr summaryBelow="1" summaryRight="1"/>
    <pageSetUpPr/>
  </sheetPr>
  <dimension ref="A1:BO4857"/>
  <sheetViews>
    <sheetView showGridLines="0" workbookViewId="0">
      <selection activeCell="A1" sqref="A1"/>
    </sheetView>
  </sheetViews>
  <sheetFormatPr baseColWidth="8" defaultRowHeight="15"/>
  <sheetData>
    <row r="1">
      <c r="A1" t="inlineStr">
        <is>
          <t>One engine; three scenarios and two one-factor tests. No manual inputs.</t>
        </is>
      </c>
    </row>
    <row r="2"/>
    <row r="3">
      <c r="A3" t="inlineStr">
        <is>
          <t>Negative</t>
        </is>
      </c>
    </row>
    <row r="4"/>
    <row r="5">
      <c r="B5">
        <f>'01_Вводные'!C198</f>
        <v/>
      </c>
      <c r="C5">
        <f>'01_Вводные'!C199</f>
        <v/>
      </c>
      <c r="D5">
        <f>'01_Вводные'!C200</f>
        <v/>
      </c>
      <c r="E5">
        <f>'01_Вводные'!C201</f>
        <v/>
      </c>
      <c r="F5">
        <f>'01_Вводные'!C202</f>
        <v/>
      </c>
      <c r="G5">
        <f>'01_Вводные'!C203</f>
        <v/>
      </c>
    </row>
    <row r="6"/>
    <row r="7"/>
    <row r="8"/>
    <row r="9"/>
    <row r="10"/>
    <row r="11"/>
    <row r="12"/>
    <row r="13"/>
    <row r="14"/>
    <row r="15"/>
    <row r="16"/>
    <row r="17"/>
    <row r="18"/>
    <row r="19"/>
    <row r="20"/>
    <row r="21"/>
    <row r="22"/>
    <row r="23"/>
    <row r="24"/>
    <row r="25"/>
    <row r="26"/>
    <row r="27"/>
    <row r="28"/>
    <row r="29"/>
    <row r="30">
      <c r="B30">
        <f>'01_Вводные'!$B$225*'19_Расчет_аналитики'!$F$215</f>
        <v/>
      </c>
    </row>
    <row r="31"/>
    <row r="32">
      <c r="B32">
        <f>MAX(0,MIN(1,(30-'19_Расчет_аналитики'!B30)/30))</f>
        <v/>
      </c>
    </row>
    <row r="33"/>
    <row r="34"/>
    <row r="35"/>
    <row r="36"/>
    <row r="37"/>
    <row r="38">
      <c r="B38">
        <f>'01_Вводные'!$B$224*'19_Расчет_аналитики'!$F$214</f>
        <v/>
      </c>
    </row>
    <row r="39"/>
    <row r="40"/>
    <row r="41"/>
    <row r="42"/>
    <row r="43"/>
    <row r="44"/>
    <row r="45"/>
    <row r="46"/>
    <row r="47"/>
    <row r="48">
      <c r="B48">
        <f>'01_Вводные'!$B$210*'19_Расчет_аналитики'!$F$210</f>
        <v/>
      </c>
    </row>
    <row r="49">
      <c r="B49">
        <f>'01_Вводные'!$B$211*'19_Расчет_аналитики'!$F$210</f>
        <v/>
      </c>
    </row>
    <row r="50">
      <c r="B50">
        <f>'01_Вводные'!$B$212*'19_Расчет_аналитики'!$F$210</f>
        <v/>
      </c>
    </row>
    <row r="51">
      <c r="B51">
        <f>'01_Вводные'!$B$213*'19_Расчет_аналитики'!$F$210</f>
        <v/>
      </c>
    </row>
    <row r="52">
      <c r="B52">
        <f>'01_Вводные'!$B$214*'19_Расчет_аналитики'!$F$210</f>
        <v/>
      </c>
    </row>
    <row r="53"/>
    <row r="54"/>
    <row r="55"/>
    <row r="56"/>
    <row r="57"/>
    <row r="58">
      <c r="B58">
        <f>'01_Вводные'!$B$215*'19_Расчет_аналитики'!$F$211</f>
        <v/>
      </c>
    </row>
    <row r="59">
      <c r="B59">
        <f>'01_Вводные'!$B$216*'19_Расчет_аналитики'!$F$211</f>
        <v/>
      </c>
    </row>
    <row r="60"/>
    <row r="61"/>
    <row r="62"/>
    <row r="63">
      <c r="B63">
        <f>'01_Вводные'!$B$217*'19_Расчет_аналитики'!$F$212</f>
        <v/>
      </c>
    </row>
    <row r="64"/>
    <row r="65"/>
    <row r="66"/>
    <row r="67"/>
    <row r="68"/>
    <row r="69"/>
    <row r="70"/>
    <row r="71"/>
    <row r="72"/>
    <row r="73"/>
    <row r="74"/>
    <row r="75">
      <c r="C75">
        <f>'01_Вводные'!$B$218*'19_Расчет_аналитики'!$F$212</f>
        <v/>
      </c>
    </row>
    <row r="76">
      <c r="C76">
        <f>'01_Вводные'!$B$219*'19_Расчет_аналитики'!$F$212</f>
        <v/>
      </c>
    </row>
    <row r="77">
      <c r="C77">
        <f>'01_Вводные'!$B$220*'19_Расчет_аналитики'!$F$212</f>
        <v/>
      </c>
    </row>
    <row r="78">
      <c r="C78">
        <f>'01_Вводные'!$B$221*'19_Расчет_аналитики'!$F$212</f>
        <v/>
      </c>
    </row>
    <row r="79">
      <c r="C79">
        <f>'01_Вводные'!$B$222*'19_Расчет_аналитики'!$F$212</f>
        <v/>
      </c>
    </row>
    <row r="80"/>
    <row r="81"/>
    <row r="82"/>
    <row r="83"/>
    <row r="84"/>
    <row r="85"/>
    <row r="86">
      <c r="B86">
        <f>'01_Вводные'!$B$223*'19_Расчет_аналитики'!$F$213</f>
        <v/>
      </c>
    </row>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F210">
        <f>'19_Расчет_аналитики'!$B$5</f>
        <v/>
      </c>
    </row>
    <row r="211">
      <c r="F211">
        <f>'19_Расчет_аналитики'!$C$5</f>
        <v/>
      </c>
    </row>
    <row r="212">
      <c r="F212">
        <f>'19_Расчет_аналитики'!$D$5</f>
        <v/>
      </c>
    </row>
    <row r="213">
      <c r="F213">
        <f>'19_Расчет_аналитики'!$E$5</f>
        <v/>
      </c>
    </row>
    <row r="214">
      <c r="F214">
        <f>'19_Расчет_аналитики'!$F$5</f>
        <v/>
      </c>
    </row>
    <row r="215">
      <c r="F215">
        <f>'19_Расчет_аналитики'!$G$5</f>
        <v/>
      </c>
    </row>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c r="B328">
        <f>'19_Расчет_аналитики'!B48</f>
        <v/>
      </c>
      <c r="D328">
        <f>SUM('19_Расчет_аналитики'!B338:M338)</f>
        <v/>
      </c>
      <c r="E328">
        <f>ROUND('19_Расчет_аналитики'!D328-'19_Расчет_аналитики'!B328,8)</f>
        <v/>
      </c>
    </row>
    <row r="329">
      <c r="B329">
        <f>'19_Расчет_аналитики'!B49</f>
        <v/>
      </c>
      <c r="D329">
        <f>SUM('19_Расчет_аналитики'!N338:Y338)</f>
        <v/>
      </c>
      <c r="E329">
        <f>ROUND('19_Расчет_аналитики'!D329-'19_Расчет_аналитики'!B329,8)</f>
        <v/>
      </c>
    </row>
    <row r="330">
      <c r="B330">
        <f>'19_Расчет_аналитики'!B50</f>
        <v/>
      </c>
      <c r="D330">
        <f>SUM('19_Расчет_аналитики'!Z338:AK338)</f>
        <v/>
      </c>
      <c r="E330">
        <f>ROUND('19_Расчет_аналитики'!D330-'19_Расчет_аналитики'!B330,8)</f>
        <v/>
      </c>
    </row>
    <row r="331">
      <c r="B331">
        <f>'19_Расчет_аналитики'!B51</f>
        <v/>
      </c>
      <c r="D331">
        <f>SUM('19_Расчет_аналитики'!AL338:AW338)</f>
        <v/>
      </c>
      <c r="E331">
        <f>ROUND('19_Расчет_аналитики'!D331-'19_Расчет_аналитики'!B331,8)</f>
        <v/>
      </c>
    </row>
    <row r="332">
      <c r="B332">
        <f>'19_Расчет_аналитики'!B52</f>
        <v/>
      </c>
      <c r="D332">
        <f>SUM('19_Расчет_аналитики'!AX338:BI338)</f>
        <v/>
      </c>
      <c r="E332">
        <f>ROUND('19_Расчет_аналитики'!D332-'19_Расчет_аналитики'!B332,8)</f>
        <v/>
      </c>
    </row>
    <row r="333"/>
    <row r="334"/>
    <row r="335"/>
    <row r="336"/>
    <row r="337"/>
    <row r="338">
      <c r="B338">
        <f>0</f>
        <v/>
      </c>
      <c r="C338">
        <f>'19_Расчет_аналитики'!$B$48*INDEX('01_Вводные'!$C$36:$N$36,1,MOD(MONTH('06_Сеть_и_дети'!C$3)-9,12)+1)/(SUM('01_Вводные'!$C$36:$N$36)-INDEX('01_Вводные'!$C$36:$N$36,1,MOD(MONTH('01_Вводные'!$B$7)-9,12)+1))</f>
        <v/>
      </c>
      <c r="D338">
        <f>'19_Расчет_аналитики'!$B$48*INDEX('01_Вводные'!$C$36:$N$36,1,MOD(MONTH('06_Сеть_и_дети'!D$3)-9,12)+1)/(SUM('01_Вводные'!$C$36:$N$36)-INDEX('01_Вводные'!$C$36:$N$36,1,MOD(MONTH('01_Вводные'!$B$7)-9,12)+1))</f>
        <v/>
      </c>
      <c r="E338">
        <f>'19_Расчет_аналитики'!$B$48*INDEX('01_Вводные'!$C$36:$N$36,1,MOD(MONTH('06_Сеть_и_дети'!E$3)-9,12)+1)/(SUM('01_Вводные'!$C$36:$N$36)-INDEX('01_Вводные'!$C$36:$N$36,1,MOD(MONTH('01_Вводные'!$B$7)-9,12)+1))</f>
        <v/>
      </c>
      <c r="F338">
        <f>'19_Расчет_аналитики'!$B$48*INDEX('01_Вводные'!$C$36:$N$36,1,MOD(MONTH('06_Сеть_и_дети'!F$3)-9,12)+1)/(SUM('01_Вводные'!$C$36:$N$36)-INDEX('01_Вводные'!$C$36:$N$36,1,MOD(MONTH('01_Вводные'!$B$7)-9,12)+1))</f>
        <v/>
      </c>
      <c r="G338">
        <f>'19_Расчет_аналитики'!$B$48*INDEX('01_Вводные'!$C$36:$N$36,1,MOD(MONTH('06_Сеть_и_дети'!G$3)-9,12)+1)/(SUM('01_Вводные'!$C$36:$N$36)-INDEX('01_Вводные'!$C$36:$N$36,1,MOD(MONTH('01_Вводные'!$B$7)-9,12)+1))</f>
        <v/>
      </c>
      <c r="H338">
        <f>'19_Расчет_аналитики'!$B$48*INDEX('01_Вводные'!$C$36:$N$36,1,MOD(MONTH('06_Сеть_и_дети'!H$3)-9,12)+1)/(SUM('01_Вводные'!$C$36:$N$36)-INDEX('01_Вводные'!$C$36:$N$36,1,MOD(MONTH('01_Вводные'!$B$7)-9,12)+1))</f>
        <v/>
      </c>
      <c r="I338">
        <f>'19_Расчет_аналитики'!$B$48*INDEX('01_Вводные'!$C$36:$N$36,1,MOD(MONTH('06_Сеть_и_дети'!I$3)-9,12)+1)/(SUM('01_Вводные'!$C$36:$N$36)-INDEX('01_Вводные'!$C$36:$N$36,1,MOD(MONTH('01_Вводные'!$B$7)-9,12)+1))</f>
        <v/>
      </c>
      <c r="J338">
        <f>'19_Расчет_аналитики'!$B$48*INDEX('01_Вводные'!$C$36:$N$36,1,MOD(MONTH('06_Сеть_и_дети'!J$3)-9,12)+1)/(SUM('01_Вводные'!$C$36:$N$36)-INDEX('01_Вводные'!$C$36:$N$36,1,MOD(MONTH('01_Вводные'!$B$7)-9,12)+1))</f>
        <v/>
      </c>
      <c r="K338">
        <f>'19_Расчет_аналитики'!$B$48*INDEX('01_Вводные'!$C$36:$N$36,1,MOD(MONTH('06_Сеть_и_дети'!K$3)-9,12)+1)/(SUM('01_Вводные'!$C$36:$N$36)-INDEX('01_Вводные'!$C$36:$N$36,1,MOD(MONTH('01_Вводные'!$B$7)-9,12)+1))</f>
        <v/>
      </c>
      <c r="L338">
        <f>'19_Расчет_аналитики'!$B$48*INDEX('01_Вводные'!$C$36:$N$36,1,MOD(MONTH('06_Сеть_и_дети'!L$3)-9,12)+1)/(SUM('01_Вводные'!$C$36:$N$36)-INDEX('01_Вводные'!$C$36:$N$36,1,MOD(MONTH('01_Вводные'!$B$7)-9,12)+1))</f>
        <v/>
      </c>
      <c r="M338">
        <f>'19_Расчет_аналитики'!$B$48*INDEX('01_Вводные'!$C$36:$N$36,1,MOD(MONTH('06_Сеть_и_дети'!M$3)-9,12)+1)/(SUM('01_Вводные'!$C$36:$N$36)-INDEX('01_Вводные'!$C$36:$N$36,1,MOD(MONTH('01_Вводные'!$B$7)-9,12)+1))</f>
        <v/>
      </c>
      <c r="N338">
        <f>'19_Расчет_аналитики'!$B$49*INDEX('01_Вводные'!$C$37:$N$37,1,MOD(MONTH('06_Сеть_и_дети'!N$3)-9,12)+1)/SUM('01_Вводные'!$C$37:$N$37)</f>
        <v/>
      </c>
      <c r="O338">
        <f>'19_Расчет_аналитики'!$B$49*INDEX('01_Вводные'!$C$37:$N$37,1,MOD(MONTH('06_Сеть_и_дети'!O$3)-9,12)+1)/SUM('01_Вводные'!$C$37:$N$37)</f>
        <v/>
      </c>
      <c r="P338">
        <f>'19_Расчет_аналитики'!$B$49*INDEX('01_Вводные'!$C$37:$N$37,1,MOD(MONTH('06_Сеть_и_дети'!P$3)-9,12)+1)/SUM('01_Вводные'!$C$37:$N$37)</f>
        <v/>
      </c>
      <c r="Q338">
        <f>'19_Расчет_аналитики'!$B$49*INDEX('01_Вводные'!$C$37:$N$37,1,MOD(MONTH('06_Сеть_и_дети'!Q$3)-9,12)+1)/SUM('01_Вводные'!$C$37:$N$37)</f>
        <v/>
      </c>
      <c r="R338">
        <f>'19_Расчет_аналитики'!$B$49*INDEX('01_Вводные'!$C$37:$N$37,1,MOD(MONTH('06_Сеть_и_дети'!R$3)-9,12)+1)/SUM('01_Вводные'!$C$37:$N$37)</f>
        <v/>
      </c>
      <c r="S338">
        <f>'19_Расчет_аналитики'!$B$49*INDEX('01_Вводные'!$C$37:$N$37,1,MOD(MONTH('06_Сеть_и_дети'!S$3)-9,12)+1)/SUM('01_Вводные'!$C$37:$N$37)</f>
        <v/>
      </c>
      <c r="T338">
        <f>'19_Расчет_аналитики'!$B$49*INDEX('01_Вводные'!$C$37:$N$37,1,MOD(MONTH('06_Сеть_и_дети'!T$3)-9,12)+1)/SUM('01_Вводные'!$C$37:$N$37)</f>
        <v/>
      </c>
      <c r="U338">
        <f>'19_Расчет_аналитики'!$B$49*INDEX('01_Вводные'!$C$37:$N$37,1,MOD(MONTH('06_Сеть_и_дети'!U$3)-9,12)+1)/SUM('01_Вводные'!$C$37:$N$37)</f>
        <v/>
      </c>
      <c r="V338">
        <f>'19_Расчет_аналитики'!$B$49*INDEX('01_Вводные'!$C$37:$N$37,1,MOD(MONTH('06_Сеть_и_дети'!V$3)-9,12)+1)/SUM('01_Вводные'!$C$37:$N$37)</f>
        <v/>
      </c>
      <c r="W338">
        <f>'19_Расчет_аналитики'!$B$49*INDEX('01_Вводные'!$C$37:$N$37,1,MOD(MONTH('06_Сеть_и_дети'!W$3)-9,12)+1)/SUM('01_Вводные'!$C$37:$N$37)</f>
        <v/>
      </c>
      <c r="X338">
        <f>'19_Расчет_аналитики'!$B$49*INDEX('01_Вводные'!$C$37:$N$37,1,MOD(MONTH('06_Сеть_и_дети'!X$3)-9,12)+1)/SUM('01_Вводные'!$C$37:$N$37)</f>
        <v/>
      </c>
      <c r="Y338">
        <f>'19_Расчет_аналитики'!$B$49*INDEX('01_Вводные'!$C$37:$N$37,1,MOD(MONTH('06_Сеть_и_дети'!Y$3)-9,12)+1)/SUM('01_Вводные'!$C$37:$N$37)</f>
        <v/>
      </c>
      <c r="Z338">
        <f>'19_Расчет_аналитики'!$B$50*INDEX('01_Вводные'!$C$38:$N$38,1,MOD(MONTH('06_Сеть_и_дети'!Z$3)-9,12)+1)/SUM('01_Вводные'!$C$38:$N$38)</f>
        <v/>
      </c>
      <c r="AA338">
        <f>'19_Расчет_аналитики'!$B$50*INDEX('01_Вводные'!$C$38:$N$38,1,MOD(MONTH('06_Сеть_и_дети'!AA$3)-9,12)+1)/SUM('01_Вводные'!$C$38:$N$38)</f>
        <v/>
      </c>
      <c r="AB338">
        <f>'19_Расчет_аналитики'!$B$50*INDEX('01_Вводные'!$C$38:$N$38,1,MOD(MONTH('06_Сеть_и_дети'!AB$3)-9,12)+1)/SUM('01_Вводные'!$C$38:$N$38)</f>
        <v/>
      </c>
      <c r="AC338">
        <f>'19_Расчет_аналитики'!$B$50*INDEX('01_Вводные'!$C$38:$N$38,1,MOD(MONTH('06_Сеть_и_дети'!AC$3)-9,12)+1)/SUM('01_Вводные'!$C$38:$N$38)</f>
        <v/>
      </c>
      <c r="AD338">
        <f>'19_Расчет_аналитики'!$B$50*INDEX('01_Вводные'!$C$38:$N$38,1,MOD(MONTH('06_Сеть_и_дети'!AD$3)-9,12)+1)/SUM('01_Вводные'!$C$38:$N$38)</f>
        <v/>
      </c>
      <c r="AE338">
        <f>'19_Расчет_аналитики'!$B$50*INDEX('01_Вводные'!$C$38:$N$38,1,MOD(MONTH('06_Сеть_и_дети'!AE$3)-9,12)+1)/SUM('01_Вводные'!$C$38:$N$38)</f>
        <v/>
      </c>
      <c r="AF338">
        <f>'19_Расчет_аналитики'!$B$50*INDEX('01_Вводные'!$C$38:$N$38,1,MOD(MONTH('06_Сеть_и_дети'!AF$3)-9,12)+1)/SUM('01_Вводные'!$C$38:$N$38)</f>
        <v/>
      </c>
      <c r="AG338">
        <f>'19_Расчет_аналитики'!$B$50*INDEX('01_Вводные'!$C$38:$N$38,1,MOD(MONTH('06_Сеть_и_дети'!AG$3)-9,12)+1)/SUM('01_Вводные'!$C$38:$N$38)</f>
        <v/>
      </c>
      <c r="AH338">
        <f>'19_Расчет_аналитики'!$B$50*INDEX('01_Вводные'!$C$38:$N$38,1,MOD(MONTH('06_Сеть_и_дети'!AH$3)-9,12)+1)/SUM('01_Вводные'!$C$38:$N$38)</f>
        <v/>
      </c>
      <c r="AI338">
        <f>'19_Расчет_аналитики'!$B$50*INDEX('01_Вводные'!$C$38:$N$38,1,MOD(MONTH('06_Сеть_и_дети'!AI$3)-9,12)+1)/SUM('01_Вводные'!$C$38:$N$38)</f>
        <v/>
      </c>
      <c r="AJ338">
        <f>'19_Расчет_аналитики'!$B$50*INDEX('01_Вводные'!$C$38:$N$38,1,MOD(MONTH('06_Сеть_и_дети'!AJ$3)-9,12)+1)/SUM('01_Вводные'!$C$38:$N$38)</f>
        <v/>
      </c>
      <c r="AK338">
        <f>'19_Расчет_аналитики'!$B$50*INDEX('01_Вводные'!$C$38:$N$38,1,MOD(MONTH('06_Сеть_и_дети'!AK$3)-9,12)+1)/SUM('01_Вводные'!$C$38:$N$38)</f>
        <v/>
      </c>
      <c r="AL338">
        <f>'19_Расчет_аналитики'!$B$51*INDEX('01_Вводные'!$C$39:$N$39,1,MOD(MONTH('06_Сеть_и_дети'!AL$3)-9,12)+1)/SUM('01_Вводные'!$C$39:$N$39)</f>
        <v/>
      </c>
      <c r="AM338">
        <f>'19_Расчет_аналитики'!$B$51*INDEX('01_Вводные'!$C$39:$N$39,1,MOD(MONTH('06_Сеть_и_дети'!AM$3)-9,12)+1)/SUM('01_Вводные'!$C$39:$N$39)</f>
        <v/>
      </c>
      <c r="AN338">
        <f>'19_Расчет_аналитики'!$B$51*INDEX('01_Вводные'!$C$39:$N$39,1,MOD(MONTH('06_Сеть_и_дети'!AN$3)-9,12)+1)/SUM('01_Вводные'!$C$39:$N$39)</f>
        <v/>
      </c>
      <c r="AO338">
        <f>'19_Расчет_аналитики'!$B$51*INDEX('01_Вводные'!$C$39:$N$39,1,MOD(MONTH('06_Сеть_и_дети'!AO$3)-9,12)+1)/SUM('01_Вводные'!$C$39:$N$39)</f>
        <v/>
      </c>
      <c r="AP338">
        <f>'19_Расчет_аналитики'!$B$51*INDEX('01_Вводные'!$C$39:$N$39,1,MOD(MONTH('06_Сеть_и_дети'!AP$3)-9,12)+1)/SUM('01_Вводные'!$C$39:$N$39)</f>
        <v/>
      </c>
      <c r="AQ338">
        <f>'19_Расчет_аналитики'!$B$51*INDEX('01_Вводные'!$C$39:$N$39,1,MOD(MONTH('06_Сеть_и_дети'!AQ$3)-9,12)+1)/SUM('01_Вводные'!$C$39:$N$39)</f>
        <v/>
      </c>
      <c r="AR338">
        <f>'19_Расчет_аналитики'!$B$51*INDEX('01_Вводные'!$C$39:$N$39,1,MOD(MONTH('06_Сеть_и_дети'!AR$3)-9,12)+1)/SUM('01_Вводные'!$C$39:$N$39)</f>
        <v/>
      </c>
      <c r="AS338">
        <f>'19_Расчет_аналитики'!$B$51*INDEX('01_Вводные'!$C$39:$N$39,1,MOD(MONTH('06_Сеть_и_дети'!AS$3)-9,12)+1)/SUM('01_Вводные'!$C$39:$N$39)</f>
        <v/>
      </c>
      <c r="AT338">
        <f>'19_Расчет_аналитики'!$B$51*INDEX('01_Вводные'!$C$39:$N$39,1,MOD(MONTH('06_Сеть_и_дети'!AT$3)-9,12)+1)/SUM('01_Вводные'!$C$39:$N$39)</f>
        <v/>
      </c>
      <c r="AU338">
        <f>'19_Расчет_аналитики'!$B$51*INDEX('01_Вводные'!$C$39:$N$39,1,MOD(MONTH('06_Сеть_и_дети'!AU$3)-9,12)+1)/SUM('01_Вводные'!$C$39:$N$39)</f>
        <v/>
      </c>
      <c r="AV338">
        <f>'19_Расчет_аналитики'!$B$51*INDEX('01_Вводные'!$C$39:$N$39,1,MOD(MONTH('06_Сеть_и_дети'!AV$3)-9,12)+1)/SUM('01_Вводные'!$C$39:$N$39)</f>
        <v/>
      </c>
      <c r="AW338">
        <f>'19_Расчет_аналитики'!$B$51*INDEX('01_Вводные'!$C$39:$N$39,1,MOD(MONTH('06_Сеть_и_дети'!AW$3)-9,12)+1)/SUM('01_Вводные'!$C$39:$N$39)</f>
        <v/>
      </c>
      <c r="AX338">
        <f>'19_Расчет_аналитики'!$B$52*INDEX('01_Вводные'!$C$40:$N$40,1,MOD(MONTH('06_Сеть_и_дети'!AX$3)-9,12)+1)/SUM('01_Вводные'!$C$40:$N$40)</f>
        <v/>
      </c>
      <c r="AY338">
        <f>'19_Расчет_аналитики'!$B$52*INDEX('01_Вводные'!$C$40:$N$40,1,MOD(MONTH('06_Сеть_и_дети'!AY$3)-9,12)+1)/SUM('01_Вводные'!$C$40:$N$40)</f>
        <v/>
      </c>
      <c r="AZ338">
        <f>'19_Расчет_аналитики'!$B$52*INDEX('01_Вводные'!$C$40:$N$40,1,MOD(MONTH('06_Сеть_и_дети'!AZ$3)-9,12)+1)/SUM('01_Вводные'!$C$40:$N$40)</f>
        <v/>
      </c>
      <c r="BA338">
        <f>'19_Расчет_аналитики'!$B$52*INDEX('01_Вводные'!$C$40:$N$40,1,MOD(MONTH('06_Сеть_и_дети'!BA$3)-9,12)+1)/SUM('01_Вводные'!$C$40:$N$40)</f>
        <v/>
      </c>
      <c r="BB338">
        <f>'19_Расчет_аналитики'!$B$52*INDEX('01_Вводные'!$C$40:$N$40,1,MOD(MONTH('06_Сеть_и_дети'!BB$3)-9,12)+1)/SUM('01_Вводные'!$C$40:$N$40)</f>
        <v/>
      </c>
      <c r="BC338">
        <f>'19_Расчет_аналитики'!$B$52*INDEX('01_Вводные'!$C$40:$N$40,1,MOD(MONTH('06_Сеть_и_дети'!BC$3)-9,12)+1)/SUM('01_Вводные'!$C$40:$N$40)</f>
        <v/>
      </c>
      <c r="BD338">
        <f>'19_Расчет_аналитики'!$B$52*INDEX('01_Вводные'!$C$40:$N$40,1,MOD(MONTH('06_Сеть_и_дети'!BD$3)-9,12)+1)/SUM('01_Вводные'!$C$40:$N$40)</f>
        <v/>
      </c>
      <c r="BE338">
        <f>'19_Расчет_аналитики'!$B$52*INDEX('01_Вводные'!$C$40:$N$40,1,MOD(MONTH('06_Сеть_и_дети'!BE$3)-9,12)+1)/SUM('01_Вводные'!$C$40:$N$40)</f>
        <v/>
      </c>
      <c r="BF338">
        <f>'19_Расчет_аналитики'!$B$52*INDEX('01_Вводные'!$C$40:$N$40,1,MOD(MONTH('06_Сеть_и_дети'!BF$3)-9,12)+1)/SUM('01_Вводные'!$C$40:$N$40)</f>
        <v/>
      </c>
      <c r="BG338">
        <f>'19_Расчет_аналитики'!$B$52*INDEX('01_Вводные'!$C$40:$N$40,1,MOD(MONTH('06_Сеть_и_дети'!BG$3)-9,12)+1)/SUM('01_Вводные'!$C$40:$N$40)</f>
        <v/>
      </c>
      <c r="BH338">
        <f>'19_Расчет_аналитики'!$B$52*INDEX('01_Вводные'!$C$40:$N$40,1,MOD(MONTH('06_Сеть_и_дети'!BH$3)-9,12)+1)/SUM('01_Вводные'!$C$40:$N$40)</f>
        <v/>
      </c>
      <c r="BI338">
        <f>'19_Расчет_аналитики'!$B$52*INDEX('01_Вводные'!$C$40:$N$40,1,MOD(MONTH('06_Сеть_и_дети'!BI$3)-9,12)+1)/SUM('01_Вводные'!$C$40:$N$40)</f>
        <v/>
      </c>
    </row>
    <row r="339">
      <c r="A339" t="inlineStr">
        <is>
          <t>Минимальный запас для возврата займа</t>
        </is>
      </c>
      <c r="B339">
        <f>SUM(IF('01_Вводные'!$B$310&gt;=1,'19_Расчет_аналитики'!C617,0),IF('01_Вводные'!$B$310&gt;=2,'19_Расчет_аналитики'!D617,0),IF('01_Вводные'!$B$310&gt;=3,'19_Расчет_аналитики'!E617,0),IF('01_Вводные'!$B$310&gt;=4,'19_Расчет_аналитики'!F617,0),IF('01_Вводные'!$B$310&gt;=5,'19_Расчет_аналитики'!G617,0),IF('01_Вводные'!$B$310&gt;=6,'19_Расчет_аналитики'!H617,0))</f>
        <v/>
      </c>
      <c r="C339">
        <f>SUM(IF('01_Вводные'!$B$310&gt;=1,'19_Расчет_аналитики'!D617,0),IF('01_Вводные'!$B$310&gt;=2,'19_Расчет_аналитики'!E617,0),IF('01_Вводные'!$B$310&gt;=3,'19_Расчет_аналитики'!F617,0),IF('01_Вводные'!$B$310&gt;=4,'19_Расчет_аналитики'!G617,0),IF('01_Вводные'!$B$310&gt;=5,'19_Расчет_аналитики'!H617,0),IF('01_Вводные'!$B$310&gt;=6,'19_Расчет_аналитики'!I617,0))</f>
        <v/>
      </c>
      <c r="D339">
        <f>SUM(IF('01_Вводные'!$B$310&gt;=1,'19_Расчет_аналитики'!E617,0),IF('01_Вводные'!$B$310&gt;=2,'19_Расчет_аналитики'!F617,0),IF('01_Вводные'!$B$310&gt;=3,'19_Расчет_аналитики'!G617,0),IF('01_Вводные'!$B$310&gt;=4,'19_Расчет_аналитики'!H617,0),IF('01_Вводные'!$B$310&gt;=5,'19_Расчет_аналитики'!I617,0),IF('01_Вводные'!$B$310&gt;=6,'19_Расчет_аналитики'!J617,0))</f>
        <v/>
      </c>
      <c r="E339">
        <f>SUM(IF('01_Вводные'!$B$310&gt;=1,'19_Расчет_аналитики'!F617,0),IF('01_Вводные'!$B$310&gt;=2,'19_Расчет_аналитики'!G617,0),IF('01_Вводные'!$B$310&gt;=3,'19_Расчет_аналитики'!H617,0),IF('01_Вводные'!$B$310&gt;=4,'19_Расчет_аналитики'!I617,0),IF('01_Вводные'!$B$310&gt;=5,'19_Расчет_аналитики'!J617,0),IF('01_Вводные'!$B$310&gt;=6,'19_Расчет_аналитики'!K617,0))</f>
        <v/>
      </c>
      <c r="F339">
        <f>SUM(IF('01_Вводные'!$B$310&gt;=1,'19_Расчет_аналитики'!G617,0),IF('01_Вводные'!$B$310&gt;=2,'19_Расчет_аналитики'!H617,0),IF('01_Вводные'!$B$310&gt;=3,'19_Расчет_аналитики'!I617,0),IF('01_Вводные'!$B$310&gt;=4,'19_Расчет_аналитики'!J617,0),IF('01_Вводные'!$B$310&gt;=5,'19_Расчет_аналитики'!K617,0),IF('01_Вводные'!$B$310&gt;=6,'19_Расчет_аналитики'!L617,0))</f>
        <v/>
      </c>
      <c r="G339">
        <f>SUM(IF('01_Вводные'!$B$310&gt;=1,'19_Расчет_аналитики'!H617,0),IF('01_Вводные'!$B$310&gt;=2,'19_Расчет_аналитики'!I617,0),IF('01_Вводные'!$B$310&gt;=3,'19_Расчет_аналитики'!J617,0),IF('01_Вводные'!$B$310&gt;=4,'19_Расчет_аналитики'!K617,0),IF('01_Вводные'!$B$310&gt;=5,'19_Расчет_аналитики'!L617,0),IF('01_Вводные'!$B$310&gt;=6,'19_Расчет_аналитики'!M617,0))</f>
        <v/>
      </c>
      <c r="H339">
        <f>SUM(IF('01_Вводные'!$B$310&gt;=1,'19_Расчет_аналитики'!I617,0),IF('01_Вводные'!$B$310&gt;=2,'19_Расчет_аналитики'!J617,0),IF('01_Вводные'!$B$310&gt;=3,'19_Расчет_аналитики'!K617,0),IF('01_Вводные'!$B$310&gt;=4,'19_Расчет_аналитики'!L617,0),IF('01_Вводные'!$B$310&gt;=5,'19_Расчет_аналитики'!M617,0),IF('01_Вводные'!$B$310&gt;=6,'19_Расчет_аналитики'!N617,0))</f>
        <v/>
      </c>
      <c r="I339">
        <f>SUM(IF('01_Вводные'!$B$310&gt;=1,'19_Расчет_аналитики'!J617,0),IF('01_Вводные'!$B$310&gt;=2,'19_Расчет_аналитики'!K617,0),IF('01_Вводные'!$B$310&gt;=3,'19_Расчет_аналитики'!L617,0),IF('01_Вводные'!$B$310&gt;=4,'19_Расчет_аналитики'!M617,0),IF('01_Вводные'!$B$310&gt;=5,'19_Расчет_аналитики'!N617,0),IF('01_Вводные'!$B$310&gt;=6,'19_Расчет_аналитики'!O617,0))</f>
        <v/>
      </c>
      <c r="J339">
        <f>SUM(IF('01_Вводные'!$B$310&gt;=1,'19_Расчет_аналитики'!K617,0),IF('01_Вводные'!$B$310&gt;=2,'19_Расчет_аналитики'!L617,0),IF('01_Вводные'!$B$310&gt;=3,'19_Расчет_аналитики'!M617,0),IF('01_Вводные'!$B$310&gt;=4,'19_Расчет_аналитики'!N617,0),IF('01_Вводные'!$B$310&gt;=5,'19_Расчет_аналитики'!O617,0),IF('01_Вводные'!$B$310&gt;=6,'19_Расчет_аналитики'!P617,0))</f>
        <v/>
      </c>
      <c r="K339">
        <f>SUM(IF('01_Вводные'!$B$310&gt;=1,'19_Расчет_аналитики'!L617,0),IF('01_Вводные'!$B$310&gt;=2,'19_Расчет_аналитики'!M617,0),IF('01_Вводные'!$B$310&gt;=3,'19_Расчет_аналитики'!N617,0),IF('01_Вводные'!$B$310&gt;=4,'19_Расчет_аналитики'!O617,0),IF('01_Вводные'!$B$310&gt;=5,'19_Расчет_аналитики'!P617,0),IF('01_Вводные'!$B$310&gt;=6,'19_Расчет_аналитики'!Q617,0))</f>
        <v/>
      </c>
      <c r="L339">
        <f>SUM(IF('01_Вводные'!$B$310&gt;=1,'19_Расчет_аналитики'!M617,0),IF('01_Вводные'!$B$310&gt;=2,'19_Расчет_аналитики'!N617,0),IF('01_Вводные'!$B$310&gt;=3,'19_Расчет_аналитики'!O617,0),IF('01_Вводные'!$B$310&gt;=4,'19_Расчет_аналитики'!P617,0),IF('01_Вводные'!$B$310&gt;=5,'19_Расчет_аналитики'!Q617,0),IF('01_Вводные'!$B$310&gt;=6,'19_Расчет_аналитики'!R617,0))</f>
        <v/>
      </c>
      <c r="M339">
        <f>SUM(IF('01_Вводные'!$B$310&gt;=1,'19_Расчет_аналитики'!N617,0),IF('01_Вводные'!$B$310&gt;=2,'19_Расчет_аналитики'!O617,0),IF('01_Вводные'!$B$310&gt;=3,'19_Расчет_аналитики'!P617,0),IF('01_Вводные'!$B$310&gt;=4,'19_Расчет_аналитики'!Q617,0),IF('01_Вводные'!$B$310&gt;=5,'19_Расчет_аналитики'!R617,0),IF('01_Вводные'!$B$310&gt;=6,'19_Расчет_аналитики'!S617,0))</f>
        <v/>
      </c>
      <c r="N339">
        <f>SUM(IF('01_Вводные'!$B$310&gt;=1,'19_Расчет_аналитики'!O617,0),IF('01_Вводные'!$B$310&gt;=2,'19_Расчет_аналитики'!P617,0),IF('01_Вводные'!$B$310&gt;=3,'19_Расчет_аналитики'!Q617,0),IF('01_Вводные'!$B$310&gt;=4,'19_Расчет_аналитики'!R617,0),IF('01_Вводные'!$B$310&gt;=5,'19_Расчет_аналитики'!S617,0),IF('01_Вводные'!$B$310&gt;=6,'19_Расчет_аналитики'!T617,0))</f>
        <v/>
      </c>
      <c r="O339">
        <f>SUM(IF('01_Вводные'!$B$310&gt;=1,'19_Расчет_аналитики'!P617,0),IF('01_Вводные'!$B$310&gt;=2,'19_Расчет_аналитики'!Q617,0),IF('01_Вводные'!$B$310&gt;=3,'19_Расчет_аналитики'!R617,0),IF('01_Вводные'!$B$310&gt;=4,'19_Расчет_аналитики'!S617,0),IF('01_Вводные'!$B$310&gt;=5,'19_Расчет_аналитики'!T617,0),IF('01_Вводные'!$B$310&gt;=6,'19_Расчет_аналитики'!U617,0))</f>
        <v/>
      </c>
      <c r="P339">
        <f>SUM(IF('01_Вводные'!$B$310&gt;=1,'19_Расчет_аналитики'!Q617,0),IF('01_Вводные'!$B$310&gt;=2,'19_Расчет_аналитики'!R617,0),IF('01_Вводные'!$B$310&gt;=3,'19_Расчет_аналитики'!S617,0),IF('01_Вводные'!$B$310&gt;=4,'19_Расчет_аналитики'!T617,0),IF('01_Вводные'!$B$310&gt;=5,'19_Расчет_аналитики'!U617,0),IF('01_Вводные'!$B$310&gt;=6,'19_Расчет_аналитики'!V617,0))</f>
        <v/>
      </c>
      <c r="Q339">
        <f>SUM(IF('01_Вводные'!$B$310&gt;=1,'19_Расчет_аналитики'!R617,0),IF('01_Вводные'!$B$310&gt;=2,'19_Расчет_аналитики'!S617,0),IF('01_Вводные'!$B$310&gt;=3,'19_Расчет_аналитики'!T617,0),IF('01_Вводные'!$B$310&gt;=4,'19_Расчет_аналитики'!U617,0),IF('01_Вводные'!$B$310&gt;=5,'19_Расчет_аналитики'!V617,0),IF('01_Вводные'!$B$310&gt;=6,'19_Расчет_аналитики'!W617,0))</f>
        <v/>
      </c>
      <c r="R339">
        <f>SUM(IF('01_Вводные'!$B$310&gt;=1,'19_Расчет_аналитики'!S617,0),IF('01_Вводные'!$B$310&gt;=2,'19_Расчет_аналитики'!T617,0),IF('01_Вводные'!$B$310&gt;=3,'19_Расчет_аналитики'!U617,0),IF('01_Вводные'!$B$310&gt;=4,'19_Расчет_аналитики'!V617,0),IF('01_Вводные'!$B$310&gt;=5,'19_Расчет_аналитики'!W617,0),IF('01_Вводные'!$B$310&gt;=6,'19_Расчет_аналитики'!X617,0))</f>
        <v/>
      </c>
      <c r="S339">
        <f>SUM(IF('01_Вводные'!$B$310&gt;=1,'19_Расчет_аналитики'!T617,0),IF('01_Вводные'!$B$310&gt;=2,'19_Расчет_аналитики'!U617,0),IF('01_Вводные'!$B$310&gt;=3,'19_Расчет_аналитики'!V617,0),IF('01_Вводные'!$B$310&gt;=4,'19_Расчет_аналитики'!W617,0),IF('01_Вводные'!$B$310&gt;=5,'19_Расчет_аналитики'!X617,0),IF('01_Вводные'!$B$310&gt;=6,'19_Расчет_аналитики'!Y617,0))</f>
        <v/>
      </c>
      <c r="T339">
        <f>SUM(IF('01_Вводные'!$B$310&gt;=1,'19_Расчет_аналитики'!U617,0),IF('01_Вводные'!$B$310&gt;=2,'19_Расчет_аналитики'!V617,0),IF('01_Вводные'!$B$310&gt;=3,'19_Расчет_аналитики'!W617,0),IF('01_Вводные'!$B$310&gt;=4,'19_Расчет_аналитики'!X617,0),IF('01_Вводные'!$B$310&gt;=5,'19_Расчет_аналитики'!Y617,0),IF('01_Вводные'!$B$310&gt;=6,'19_Расчет_аналитики'!Z617,0))</f>
        <v/>
      </c>
      <c r="U339">
        <f>SUM(IF('01_Вводные'!$B$310&gt;=1,'19_Расчет_аналитики'!V617,0),IF('01_Вводные'!$B$310&gt;=2,'19_Расчет_аналитики'!W617,0),IF('01_Вводные'!$B$310&gt;=3,'19_Расчет_аналитики'!X617,0),IF('01_Вводные'!$B$310&gt;=4,'19_Расчет_аналитики'!Y617,0),IF('01_Вводные'!$B$310&gt;=5,'19_Расчет_аналитики'!Z617,0),IF('01_Вводные'!$B$310&gt;=6,'19_Расчет_аналитики'!AA617,0))</f>
        <v/>
      </c>
      <c r="V339">
        <f>SUM(IF('01_Вводные'!$B$310&gt;=1,'19_Расчет_аналитики'!W617,0),IF('01_Вводные'!$B$310&gt;=2,'19_Расчет_аналитики'!X617,0),IF('01_Вводные'!$B$310&gt;=3,'19_Расчет_аналитики'!Y617,0),IF('01_Вводные'!$B$310&gt;=4,'19_Расчет_аналитики'!Z617,0),IF('01_Вводные'!$B$310&gt;=5,'19_Расчет_аналитики'!AA617,0),IF('01_Вводные'!$B$310&gt;=6,'19_Расчет_аналитики'!AB617,0))</f>
        <v/>
      </c>
      <c r="W339">
        <f>SUM(IF('01_Вводные'!$B$310&gt;=1,'19_Расчет_аналитики'!X617,0),IF('01_Вводные'!$B$310&gt;=2,'19_Расчет_аналитики'!Y617,0),IF('01_Вводные'!$B$310&gt;=3,'19_Расчет_аналитики'!Z617,0),IF('01_Вводные'!$B$310&gt;=4,'19_Расчет_аналитики'!AA617,0),IF('01_Вводные'!$B$310&gt;=5,'19_Расчет_аналитики'!AB617,0),IF('01_Вводные'!$B$310&gt;=6,'19_Расчет_аналитики'!AC617,0))</f>
        <v/>
      </c>
      <c r="X339">
        <f>SUM(IF('01_Вводные'!$B$310&gt;=1,'19_Расчет_аналитики'!Y617,0),IF('01_Вводные'!$B$310&gt;=2,'19_Расчет_аналитики'!Z617,0),IF('01_Вводные'!$B$310&gt;=3,'19_Расчет_аналитики'!AA617,0),IF('01_Вводные'!$B$310&gt;=4,'19_Расчет_аналитики'!AB617,0),IF('01_Вводные'!$B$310&gt;=5,'19_Расчет_аналитики'!AC617,0),IF('01_Вводные'!$B$310&gt;=6,'19_Расчет_аналитики'!AD617,0))</f>
        <v/>
      </c>
      <c r="Y339">
        <f>SUM(IF('01_Вводные'!$B$310&gt;=1,'19_Расчет_аналитики'!Z617,0),IF('01_Вводные'!$B$310&gt;=2,'19_Расчет_аналитики'!AA617,0),IF('01_Вводные'!$B$310&gt;=3,'19_Расчет_аналитики'!AB617,0),IF('01_Вводные'!$B$310&gt;=4,'19_Расчет_аналитики'!AC617,0),IF('01_Вводные'!$B$310&gt;=5,'19_Расчет_аналитики'!AD617,0),IF('01_Вводные'!$B$310&gt;=6,'19_Расчет_аналитики'!AE617,0))</f>
        <v/>
      </c>
      <c r="Z339">
        <f>SUM(IF('01_Вводные'!$B$310&gt;=1,'19_Расчет_аналитики'!AA617,0),IF('01_Вводные'!$B$310&gt;=2,'19_Расчет_аналитики'!AB617,0),IF('01_Вводные'!$B$310&gt;=3,'19_Расчет_аналитики'!AC617,0),IF('01_Вводные'!$B$310&gt;=4,'19_Расчет_аналитики'!AD617,0),IF('01_Вводные'!$B$310&gt;=5,'19_Расчет_аналитики'!AE617,0),IF('01_Вводные'!$B$310&gt;=6,'19_Расчет_аналитики'!AF617,0))</f>
        <v/>
      </c>
      <c r="AA339">
        <f>SUM(IF('01_Вводные'!$B$310&gt;=1,'19_Расчет_аналитики'!AB617,0),IF('01_Вводные'!$B$310&gt;=2,'19_Расчет_аналитики'!AC617,0),IF('01_Вводные'!$B$310&gt;=3,'19_Расчет_аналитики'!AD617,0),IF('01_Вводные'!$B$310&gt;=4,'19_Расчет_аналитики'!AE617,0),IF('01_Вводные'!$B$310&gt;=5,'19_Расчет_аналитики'!AF617,0),IF('01_Вводные'!$B$310&gt;=6,'19_Расчет_аналитики'!AG617,0))</f>
        <v/>
      </c>
      <c r="AB339">
        <f>SUM(IF('01_Вводные'!$B$310&gt;=1,'19_Расчет_аналитики'!AC617,0),IF('01_Вводные'!$B$310&gt;=2,'19_Расчет_аналитики'!AD617,0),IF('01_Вводные'!$B$310&gt;=3,'19_Расчет_аналитики'!AE617,0),IF('01_Вводные'!$B$310&gt;=4,'19_Расчет_аналитики'!AF617,0),IF('01_Вводные'!$B$310&gt;=5,'19_Расчет_аналитики'!AG617,0),IF('01_Вводные'!$B$310&gt;=6,'19_Расчет_аналитики'!AH617,0))</f>
        <v/>
      </c>
      <c r="AC339">
        <f>SUM(IF('01_Вводные'!$B$310&gt;=1,'19_Расчет_аналитики'!AD617,0),IF('01_Вводные'!$B$310&gt;=2,'19_Расчет_аналитики'!AE617,0),IF('01_Вводные'!$B$310&gt;=3,'19_Расчет_аналитики'!AF617,0),IF('01_Вводные'!$B$310&gt;=4,'19_Расчет_аналитики'!AG617,0),IF('01_Вводные'!$B$310&gt;=5,'19_Расчет_аналитики'!AH617,0),IF('01_Вводные'!$B$310&gt;=6,'19_Расчет_аналитики'!AI617,0))</f>
        <v/>
      </c>
      <c r="AD339">
        <f>SUM(IF('01_Вводные'!$B$310&gt;=1,'19_Расчет_аналитики'!AE617,0),IF('01_Вводные'!$B$310&gt;=2,'19_Расчет_аналитики'!AF617,0),IF('01_Вводные'!$B$310&gt;=3,'19_Расчет_аналитики'!AG617,0),IF('01_Вводные'!$B$310&gt;=4,'19_Расчет_аналитики'!AH617,0),IF('01_Вводные'!$B$310&gt;=5,'19_Расчет_аналитики'!AI617,0),IF('01_Вводные'!$B$310&gt;=6,'19_Расчет_аналитики'!AJ617,0))</f>
        <v/>
      </c>
      <c r="AE339">
        <f>SUM(IF('01_Вводные'!$B$310&gt;=1,'19_Расчет_аналитики'!AF617,0),IF('01_Вводные'!$B$310&gt;=2,'19_Расчет_аналитики'!AG617,0),IF('01_Вводные'!$B$310&gt;=3,'19_Расчет_аналитики'!AH617,0),IF('01_Вводные'!$B$310&gt;=4,'19_Расчет_аналитики'!AI617,0),IF('01_Вводные'!$B$310&gt;=5,'19_Расчет_аналитики'!AJ617,0),IF('01_Вводные'!$B$310&gt;=6,'19_Расчет_аналитики'!AK617,0))</f>
        <v/>
      </c>
      <c r="AF339">
        <f>SUM(IF('01_Вводные'!$B$310&gt;=1,'19_Расчет_аналитики'!AG617,0),IF('01_Вводные'!$B$310&gt;=2,'19_Расчет_аналитики'!AH617,0),IF('01_Вводные'!$B$310&gt;=3,'19_Расчет_аналитики'!AI617,0),IF('01_Вводные'!$B$310&gt;=4,'19_Расчет_аналитики'!AJ617,0),IF('01_Вводные'!$B$310&gt;=5,'19_Расчет_аналитики'!AK617,0),IF('01_Вводные'!$B$310&gt;=6,'19_Расчет_аналитики'!AL617,0))</f>
        <v/>
      </c>
      <c r="AG339">
        <f>SUM(IF('01_Вводные'!$B$310&gt;=1,'19_Расчет_аналитики'!AH617,0),IF('01_Вводные'!$B$310&gt;=2,'19_Расчет_аналитики'!AI617,0),IF('01_Вводные'!$B$310&gt;=3,'19_Расчет_аналитики'!AJ617,0),IF('01_Вводные'!$B$310&gt;=4,'19_Расчет_аналитики'!AK617,0),IF('01_Вводные'!$B$310&gt;=5,'19_Расчет_аналитики'!AL617,0),IF('01_Вводные'!$B$310&gt;=6,'19_Расчет_аналитики'!AM617,0))</f>
        <v/>
      </c>
      <c r="AH339">
        <f>SUM(IF('01_Вводные'!$B$310&gt;=1,'19_Расчет_аналитики'!AI617,0),IF('01_Вводные'!$B$310&gt;=2,'19_Расчет_аналитики'!AJ617,0),IF('01_Вводные'!$B$310&gt;=3,'19_Расчет_аналитики'!AK617,0),IF('01_Вводные'!$B$310&gt;=4,'19_Расчет_аналитики'!AL617,0),IF('01_Вводные'!$B$310&gt;=5,'19_Расчет_аналитики'!AM617,0),IF('01_Вводные'!$B$310&gt;=6,'19_Расчет_аналитики'!AN617,0))</f>
        <v/>
      </c>
      <c r="AI339">
        <f>SUM(IF('01_Вводные'!$B$310&gt;=1,'19_Расчет_аналитики'!AJ617,0),IF('01_Вводные'!$B$310&gt;=2,'19_Расчет_аналитики'!AK617,0),IF('01_Вводные'!$B$310&gt;=3,'19_Расчет_аналитики'!AL617,0),IF('01_Вводные'!$B$310&gt;=4,'19_Расчет_аналитики'!AM617,0),IF('01_Вводные'!$B$310&gt;=5,'19_Расчет_аналитики'!AN617,0),IF('01_Вводные'!$B$310&gt;=6,'19_Расчет_аналитики'!AO617,0))</f>
        <v/>
      </c>
      <c r="AJ339">
        <f>SUM(IF('01_Вводные'!$B$310&gt;=1,'19_Расчет_аналитики'!AK617,0),IF('01_Вводные'!$B$310&gt;=2,'19_Расчет_аналитики'!AL617,0),IF('01_Вводные'!$B$310&gt;=3,'19_Расчет_аналитики'!AM617,0),IF('01_Вводные'!$B$310&gt;=4,'19_Расчет_аналитики'!AN617,0),IF('01_Вводные'!$B$310&gt;=5,'19_Расчет_аналитики'!AO617,0),IF('01_Вводные'!$B$310&gt;=6,'19_Расчет_аналитики'!AP617,0))</f>
        <v/>
      </c>
      <c r="AK339">
        <f>SUM(IF('01_Вводные'!$B$310&gt;=1,'19_Расчет_аналитики'!AL617,0),IF('01_Вводные'!$B$310&gt;=2,'19_Расчет_аналитики'!AM617,0),IF('01_Вводные'!$B$310&gt;=3,'19_Расчет_аналитики'!AN617,0),IF('01_Вводные'!$B$310&gt;=4,'19_Расчет_аналитики'!AO617,0),IF('01_Вводные'!$B$310&gt;=5,'19_Расчет_аналитики'!AP617,0),IF('01_Вводные'!$B$310&gt;=6,'19_Расчет_аналитики'!AQ617,0))</f>
        <v/>
      </c>
      <c r="AL339">
        <f>SUM(IF('01_Вводные'!$B$310&gt;=1,'19_Расчет_аналитики'!AM617,0),IF('01_Вводные'!$B$310&gt;=2,'19_Расчет_аналитики'!AN617,0),IF('01_Вводные'!$B$310&gt;=3,'19_Расчет_аналитики'!AO617,0),IF('01_Вводные'!$B$310&gt;=4,'19_Расчет_аналитики'!AP617,0),IF('01_Вводные'!$B$310&gt;=5,'19_Расчет_аналитики'!AQ617,0),IF('01_Вводные'!$B$310&gt;=6,'19_Расчет_аналитики'!AR617,0))</f>
        <v/>
      </c>
      <c r="AM339">
        <f>SUM(IF('01_Вводные'!$B$310&gt;=1,'19_Расчет_аналитики'!AN617,0),IF('01_Вводные'!$B$310&gt;=2,'19_Расчет_аналитики'!AO617,0),IF('01_Вводные'!$B$310&gt;=3,'19_Расчет_аналитики'!AP617,0),IF('01_Вводные'!$B$310&gt;=4,'19_Расчет_аналитики'!AQ617,0),IF('01_Вводные'!$B$310&gt;=5,'19_Расчет_аналитики'!AR617,0),IF('01_Вводные'!$B$310&gt;=6,'19_Расчет_аналитики'!AS617,0))</f>
        <v/>
      </c>
      <c r="AN339">
        <f>SUM(IF('01_Вводные'!$B$310&gt;=1,'19_Расчет_аналитики'!AO617,0),IF('01_Вводные'!$B$310&gt;=2,'19_Расчет_аналитики'!AP617,0),IF('01_Вводные'!$B$310&gt;=3,'19_Расчет_аналитики'!AQ617,0),IF('01_Вводные'!$B$310&gt;=4,'19_Расчет_аналитики'!AR617,0),IF('01_Вводные'!$B$310&gt;=5,'19_Расчет_аналитики'!AS617,0),IF('01_Вводные'!$B$310&gt;=6,'19_Расчет_аналитики'!AT617,0))</f>
        <v/>
      </c>
      <c r="AO339">
        <f>SUM(IF('01_Вводные'!$B$310&gt;=1,'19_Расчет_аналитики'!AP617,0),IF('01_Вводные'!$B$310&gt;=2,'19_Расчет_аналитики'!AQ617,0),IF('01_Вводные'!$B$310&gt;=3,'19_Расчет_аналитики'!AR617,0),IF('01_Вводные'!$B$310&gt;=4,'19_Расчет_аналитики'!AS617,0),IF('01_Вводные'!$B$310&gt;=5,'19_Расчет_аналитики'!AT617,0),IF('01_Вводные'!$B$310&gt;=6,'19_Расчет_аналитики'!AU617,0))</f>
        <v/>
      </c>
      <c r="AP339">
        <f>SUM(IF('01_Вводные'!$B$310&gt;=1,'19_Расчет_аналитики'!AQ617,0),IF('01_Вводные'!$B$310&gt;=2,'19_Расчет_аналитики'!AR617,0),IF('01_Вводные'!$B$310&gt;=3,'19_Расчет_аналитики'!AS617,0),IF('01_Вводные'!$B$310&gt;=4,'19_Расчет_аналитики'!AT617,0),IF('01_Вводные'!$B$310&gt;=5,'19_Расчет_аналитики'!AU617,0),IF('01_Вводные'!$B$310&gt;=6,'19_Расчет_аналитики'!AV617,0))</f>
        <v/>
      </c>
      <c r="AQ339">
        <f>SUM(IF('01_Вводные'!$B$310&gt;=1,'19_Расчет_аналитики'!AR617,0),IF('01_Вводные'!$B$310&gt;=2,'19_Расчет_аналитики'!AS617,0),IF('01_Вводные'!$B$310&gt;=3,'19_Расчет_аналитики'!AT617,0),IF('01_Вводные'!$B$310&gt;=4,'19_Расчет_аналитики'!AU617,0),IF('01_Вводные'!$B$310&gt;=5,'19_Расчет_аналитики'!AV617,0),IF('01_Вводные'!$B$310&gt;=6,'19_Расчет_аналитики'!AW617,0))</f>
        <v/>
      </c>
      <c r="AR339">
        <f>SUM(IF('01_Вводные'!$B$310&gt;=1,'19_Расчет_аналитики'!AS617,0),IF('01_Вводные'!$B$310&gt;=2,'19_Расчет_аналитики'!AT617,0),IF('01_Вводные'!$B$310&gt;=3,'19_Расчет_аналитики'!AU617,0),IF('01_Вводные'!$B$310&gt;=4,'19_Расчет_аналитики'!AV617,0),IF('01_Вводные'!$B$310&gt;=5,'19_Расчет_аналитики'!AW617,0),IF('01_Вводные'!$B$310&gt;=6,'19_Расчет_аналитики'!AX617,0))</f>
        <v/>
      </c>
      <c r="AS339">
        <f>SUM(IF('01_Вводные'!$B$310&gt;=1,'19_Расчет_аналитики'!AT617,0),IF('01_Вводные'!$B$310&gt;=2,'19_Расчет_аналитики'!AU617,0),IF('01_Вводные'!$B$310&gt;=3,'19_Расчет_аналитики'!AV617,0),IF('01_Вводные'!$B$310&gt;=4,'19_Расчет_аналитики'!AW617,0),IF('01_Вводные'!$B$310&gt;=5,'19_Расчет_аналитики'!AX617,0),IF('01_Вводные'!$B$310&gt;=6,'19_Расчет_аналитики'!AY617,0))</f>
        <v/>
      </c>
      <c r="AT339">
        <f>SUM(IF('01_Вводные'!$B$310&gt;=1,'19_Расчет_аналитики'!AU617,0),IF('01_Вводные'!$B$310&gt;=2,'19_Расчет_аналитики'!AV617,0),IF('01_Вводные'!$B$310&gt;=3,'19_Расчет_аналитики'!AW617,0),IF('01_Вводные'!$B$310&gt;=4,'19_Расчет_аналитики'!AX617,0),IF('01_Вводные'!$B$310&gt;=5,'19_Расчет_аналитики'!AY617,0),IF('01_Вводные'!$B$310&gt;=6,'19_Расчет_аналитики'!AZ617,0))</f>
        <v/>
      </c>
      <c r="AU339">
        <f>SUM(IF('01_Вводные'!$B$310&gt;=1,'19_Расчет_аналитики'!AV617,0),IF('01_Вводные'!$B$310&gt;=2,'19_Расчет_аналитики'!AW617,0),IF('01_Вводные'!$B$310&gt;=3,'19_Расчет_аналитики'!AX617,0),IF('01_Вводные'!$B$310&gt;=4,'19_Расчет_аналитики'!AY617,0),IF('01_Вводные'!$B$310&gt;=5,'19_Расчет_аналитики'!AZ617,0),IF('01_Вводные'!$B$310&gt;=6,'19_Расчет_аналитики'!BA617,0))</f>
        <v/>
      </c>
      <c r="AV339">
        <f>SUM(IF('01_Вводные'!$B$310&gt;=1,'19_Расчет_аналитики'!AW617,0),IF('01_Вводные'!$B$310&gt;=2,'19_Расчет_аналитики'!AX617,0),IF('01_Вводные'!$B$310&gt;=3,'19_Расчет_аналитики'!AY617,0),IF('01_Вводные'!$B$310&gt;=4,'19_Расчет_аналитики'!AZ617,0),IF('01_Вводные'!$B$310&gt;=5,'19_Расчет_аналитики'!BA617,0),IF('01_Вводные'!$B$310&gt;=6,'19_Расчет_аналитики'!BB617,0))</f>
        <v/>
      </c>
      <c r="AW339">
        <f>SUM(IF('01_Вводные'!$B$310&gt;=1,'19_Расчет_аналитики'!AX617,0),IF('01_Вводные'!$B$310&gt;=2,'19_Расчет_аналитики'!AY617,0),IF('01_Вводные'!$B$310&gt;=3,'19_Расчет_аналитики'!AZ617,0),IF('01_Вводные'!$B$310&gt;=4,'19_Расчет_аналитики'!BA617,0),IF('01_Вводные'!$B$310&gt;=5,'19_Расчет_аналитики'!BB617,0),IF('01_Вводные'!$B$310&gt;=6,'19_Расчет_аналитики'!BC617,0))</f>
        <v/>
      </c>
      <c r="AX339">
        <f>SUM(IF('01_Вводные'!$B$310&gt;=1,'19_Расчет_аналитики'!AY617,0),IF('01_Вводные'!$B$310&gt;=2,'19_Расчет_аналитики'!AZ617,0),IF('01_Вводные'!$B$310&gt;=3,'19_Расчет_аналитики'!BA617,0),IF('01_Вводные'!$B$310&gt;=4,'19_Расчет_аналитики'!BB617,0),IF('01_Вводные'!$B$310&gt;=5,'19_Расчет_аналитики'!BC617,0),IF('01_Вводные'!$B$310&gt;=6,'19_Расчет_аналитики'!BD617,0))</f>
        <v/>
      </c>
      <c r="AY339">
        <f>SUM(IF('01_Вводные'!$B$310&gt;=1,'19_Расчет_аналитики'!AZ617,0),IF('01_Вводные'!$B$310&gt;=2,'19_Расчет_аналитики'!BA617,0),IF('01_Вводные'!$B$310&gt;=3,'19_Расчет_аналитики'!BB617,0),IF('01_Вводные'!$B$310&gt;=4,'19_Расчет_аналитики'!BC617,0),IF('01_Вводные'!$B$310&gt;=5,'19_Расчет_аналитики'!BD617,0),IF('01_Вводные'!$B$310&gt;=6,'19_Расчет_аналитики'!BE617,0))</f>
        <v/>
      </c>
      <c r="AZ339">
        <f>SUM(IF('01_Вводные'!$B$310&gt;=1,'19_Расчет_аналитики'!BA617,0),IF('01_Вводные'!$B$310&gt;=2,'19_Расчет_аналитики'!BB617,0),IF('01_Вводные'!$B$310&gt;=3,'19_Расчет_аналитики'!BC617,0),IF('01_Вводные'!$B$310&gt;=4,'19_Расчет_аналитики'!BD617,0),IF('01_Вводные'!$B$310&gt;=5,'19_Расчет_аналитики'!BE617,0),IF('01_Вводные'!$B$310&gt;=6,'19_Расчет_аналитики'!BF617,0))</f>
        <v/>
      </c>
      <c r="BA339">
        <f>SUM(IF('01_Вводные'!$B$310&gt;=1,'19_Расчет_аналитики'!BB617,0),IF('01_Вводные'!$B$310&gt;=2,'19_Расчет_аналитики'!BC617,0),IF('01_Вводные'!$B$310&gt;=3,'19_Расчет_аналитики'!BD617,0),IF('01_Вводные'!$B$310&gt;=4,'19_Расчет_аналитики'!BE617,0),IF('01_Вводные'!$B$310&gt;=5,'19_Расчет_аналитики'!BF617,0),IF('01_Вводные'!$B$310&gt;=6,'19_Расчет_аналитики'!BG617,0))</f>
        <v/>
      </c>
      <c r="BB339">
        <f>SUM(IF('01_Вводные'!$B$310&gt;=1,'19_Расчет_аналитики'!BC617,0),IF('01_Вводные'!$B$310&gt;=2,'19_Расчет_аналитики'!BD617,0),IF('01_Вводные'!$B$310&gt;=3,'19_Расчет_аналитики'!BE617,0),IF('01_Вводные'!$B$310&gt;=4,'19_Расчет_аналитики'!BF617,0),IF('01_Вводные'!$B$310&gt;=5,'19_Расчет_аналитики'!BG617,0),IF('01_Вводные'!$B$310&gt;=6,'19_Расчет_аналитики'!BH617,0))</f>
        <v/>
      </c>
      <c r="BC339">
        <f>SUM(IF('01_Вводные'!$B$310&gt;=1,'19_Расчет_аналитики'!BD617,0),IF('01_Вводные'!$B$310&gt;=2,'19_Расчет_аналитики'!BE617,0),IF('01_Вводные'!$B$310&gt;=3,'19_Расчет_аналитики'!BF617,0),IF('01_Вводные'!$B$310&gt;=4,'19_Расчет_аналитики'!BG617,0),IF('01_Вводные'!$B$310&gt;=5,'19_Расчет_аналитики'!BH617,0),IF('01_Вводные'!$B$310&gt;=6,'19_Расчет_аналитики'!BI617,0))</f>
        <v/>
      </c>
      <c r="BD339">
        <f>SUM(IF('01_Вводные'!$B$310&gt;=1,'19_Расчет_аналитики'!BE617,0),IF('01_Вводные'!$B$310&gt;=2,'19_Расчет_аналитики'!BF617,0),IF('01_Вводные'!$B$310&gt;=3,'19_Расчет_аналитики'!BG617,0),IF('01_Вводные'!$B$310&gt;=4,'19_Расчет_аналитики'!BH617,0),IF('01_Вводные'!$B$310&gt;=5,'19_Расчет_аналитики'!BI617,0),IF('01_Вводные'!$B$310&gt;=6,'19_Расчет_аналитики'!BJ617,0))</f>
        <v/>
      </c>
      <c r="BE339">
        <f>SUM(IF('01_Вводные'!$B$310&gt;=1,'19_Расчет_аналитики'!BF617,0),IF('01_Вводные'!$B$310&gt;=2,'19_Расчет_аналитики'!BG617,0),IF('01_Вводные'!$B$310&gt;=3,'19_Расчет_аналитики'!BH617,0),IF('01_Вводные'!$B$310&gt;=4,'19_Расчет_аналитики'!BI617,0),IF('01_Вводные'!$B$310&gt;=5,'19_Расчет_аналитики'!BJ617,0),IF('01_Вводные'!$B$310&gt;=6,'19_Расчет_аналитики'!BK617,0))</f>
        <v/>
      </c>
      <c r="BF339">
        <f>SUM(IF('01_Вводные'!$B$310&gt;=1,'19_Расчет_аналитики'!BG617,0),IF('01_Вводные'!$B$310&gt;=2,'19_Расчет_аналитики'!BH617,0),IF('01_Вводные'!$B$310&gt;=3,'19_Расчет_аналитики'!BI617,0),IF('01_Вводные'!$B$310&gt;=4,'19_Расчет_аналитики'!BJ617,0),IF('01_Вводные'!$B$310&gt;=5,'19_Расчет_аналитики'!BK617,0),IF('01_Вводные'!$B$310&gt;=6,'19_Расчет_аналитики'!BL617,0))</f>
        <v/>
      </c>
      <c r="BG339">
        <f>SUM(IF('01_Вводные'!$B$310&gt;=1,'19_Расчет_аналитики'!BH617,0),IF('01_Вводные'!$B$310&gt;=2,'19_Расчет_аналитики'!BI617,0),IF('01_Вводные'!$B$310&gt;=3,'19_Расчет_аналитики'!BJ617,0),IF('01_Вводные'!$B$310&gt;=4,'19_Расчет_аналитики'!BK617,0),IF('01_Вводные'!$B$310&gt;=5,'19_Расчет_аналитики'!BL617,0),IF('01_Вводные'!$B$310&gt;=6,'19_Расчет_аналитики'!BM617,0))</f>
        <v/>
      </c>
      <c r="BH339">
        <f>SUM(IF('01_Вводные'!$B$310&gt;=1,'19_Расчет_аналитики'!BI617,0),IF('01_Вводные'!$B$310&gt;=2,'19_Расчет_аналитики'!BJ617,0),IF('01_Вводные'!$B$310&gt;=3,'19_Расчет_аналитики'!BK617,0),IF('01_Вводные'!$B$310&gt;=4,'19_Расчет_аналитики'!BL617,0),IF('01_Вводные'!$B$310&gt;=5,'19_Расчет_аналитики'!BM617,0),IF('01_Вводные'!$B$310&gt;=6,'19_Расчет_аналитики'!BN617,0))</f>
        <v/>
      </c>
      <c r="BI339">
        <f>SUM(IF('01_Вводные'!$B$310&gt;=1,'19_Расчет_аналитики'!BJ617,0),IF('01_Вводные'!$B$310&gt;=2,'19_Расчет_аналитики'!BK617,0),IF('01_Вводные'!$B$310&gt;=3,'19_Расчет_аналитики'!BL617,0),IF('01_Вводные'!$B$310&gt;=4,'19_Расчет_аналитики'!BM617,0),IF('01_Вводные'!$B$310&gt;=5,'19_Расчет_аналитики'!BN617,0),IF('01_Вводные'!$B$310&gt;=6,'19_Расчет_аналитики'!BO617,0))</f>
        <v/>
      </c>
      <c r="BJ339">
        <f>SUM(IF('01_Вводные'!$B$310&gt;=1,'19_Расчет_аналитики'!BK617,0),IF('01_Вводные'!$B$310&gt;=2,'19_Расчет_аналитики'!BL617,0),IF('01_Вводные'!$B$310&gt;=3,'19_Расчет_аналитики'!BM617,0),IF('01_Вводные'!$B$310&gt;=4,'19_Расчет_аналитики'!BN617,0),IF('01_Вводные'!$B$310&gt;=5,'19_Расчет_аналитики'!BO617,0),IF('01_Вводные'!$B$310&gt;=6,'19_Расчет_аналитики'!BP617,0))</f>
        <v/>
      </c>
      <c r="BK339">
        <f>SUM(IF('01_Вводные'!$B$310&gt;=1,'19_Расчет_аналитики'!BL617,0),IF('01_Вводные'!$B$310&gt;=2,'19_Расчет_аналитики'!BM617,0),IF('01_Вводные'!$B$310&gt;=3,'19_Расчет_аналитики'!BN617,0),IF('01_Вводные'!$B$310&gt;=4,'19_Расчет_аналитики'!BO617,0),IF('01_Вводные'!$B$310&gt;=5,'19_Расчет_аналитики'!BP617,0),IF('01_Вводные'!$B$310&gt;=6,'19_Расчет_аналитики'!BQ617,0))</f>
        <v/>
      </c>
      <c r="BL339">
        <f>SUM(IF('01_Вводные'!$B$310&gt;=1,'19_Расчет_аналитики'!BM617,0),IF('01_Вводные'!$B$310&gt;=2,'19_Расчет_аналитики'!BN617,0),IF('01_Вводные'!$B$310&gt;=3,'19_Расчет_аналитики'!BO617,0),IF('01_Вводные'!$B$310&gt;=4,'19_Расчет_аналитики'!BP617,0),IF('01_Вводные'!$B$310&gt;=5,'19_Расчет_аналитики'!BQ617,0),IF('01_Вводные'!$B$310&gt;=6,'19_Расчет_аналитики'!BR617,0))</f>
        <v/>
      </c>
      <c r="BM339">
        <f>SUM(IF('01_Вводные'!$B$310&gt;=1,'19_Расчет_аналитики'!BN617,0),IF('01_Вводные'!$B$310&gt;=2,'19_Расчет_аналитики'!BO617,0),IF('01_Вводные'!$B$310&gt;=3,'19_Расчет_аналитики'!BP617,0),IF('01_Вводные'!$B$310&gt;=4,'19_Расчет_аналитики'!BQ617,0),IF('01_Вводные'!$B$310&gt;=5,'19_Расчет_аналитики'!BR617,0),IF('01_Вводные'!$B$310&gt;=6,'19_Расчет_аналитики'!BS617,0))</f>
        <v/>
      </c>
      <c r="BN339">
        <f>SUM(IF('01_Вводные'!$B$310&gt;=1,'19_Расчет_аналитики'!BO617,0),IF('01_Вводные'!$B$310&gt;=2,'19_Расчет_аналитики'!BP617,0),IF('01_Вводные'!$B$310&gt;=3,'19_Расчет_аналитики'!BQ617,0),IF('01_Вводные'!$B$310&gt;=4,'19_Расчет_аналитики'!BR617,0),IF('01_Вводные'!$B$310&gt;=5,'19_Расчет_аналитики'!BS617,0),IF('01_Вводные'!$B$310&gt;=6,'19_Расчет_аналитики'!BT617,0))</f>
        <v/>
      </c>
      <c r="BO339">
        <f>SUM(IF('01_Вводные'!$B$310&gt;=1,'19_Расчет_аналитики'!BP617,0),IF('01_Вводные'!$B$310&gt;=2,'19_Расчет_аналитики'!BQ617,0),IF('01_Вводные'!$B$310&gt;=3,'19_Расчет_аналитики'!BR617,0),IF('01_Вводные'!$B$310&gt;=4,'19_Расчет_аналитики'!BS617,0),IF('01_Вводные'!$B$310&gt;=5,'19_Расчет_аналитики'!BT617,0),IF('01_Вводные'!$B$310&gt;=6,'19_Расчет_аналитики'!BU617,0))</f>
        <v/>
      </c>
    </row>
    <row r="340">
      <c r="C340">
        <f>IF('01_Вводные'!$B$25&gt;0,ROUNDUP(ROUND('19_Расчет_аналитики'!C338/'01_Вводные'!$B$25,10),0),0)</f>
        <v/>
      </c>
      <c r="D340">
        <f>IF('01_Вводные'!$B$25&gt;0,ROUNDUP(ROUND('19_Расчет_аналитики'!D338/'01_Вводные'!$B$25,10),0),0)</f>
        <v/>
      </c>
      <c r="E340">
        <f>IF('01_Вводные'!$B$25&gt;0,ROUNDUP(ROUND('19_Расчет_аналитики'!E338/'01_Вводные'!$B$25,10),0),0)</f>
        <v/>
      </c>
      <c r="F340">
        <f>IF('01_Вводные'!$B$25&gt;0,ROUNDUP(ROUND('19_Расчет_аналитики'!F338/'01_Вводные'!$B$25,10),0),0)</f>
        <v/>
      </c>
      <c r="G340">
        <f>IF('01_Вводные'!$B$25&gt;0,ROUNDUP(ROUND('19_Расчет_аналитики'!G338/'01_Вводные'!$B$25,10),0),0)</f>
        <v/>
      </c>
      <c r="H340">
        <f>IF('01_Вводные'!$B$25&gt;0,ROUNDUP(ROUND('19_Расчет_аналитики'!H338/'01_Вводные'!$B$25,10),0),0)</f>
        <v/>
      </c>
      <c r="I340">
        <f>IF('01_Вводные'!$B$25&gt;0,ROUNDUP(ROUND('19_Расчет_аналитики'!I338/'01_Вводные'!$B$25,10),0),0)</f>
        <v/>
      </c>
      <c r="J340">
        <f>IF('01_Вводные'!$B$25&gt;0,ROUNDUP(ROUND('19_Расчет_аналитики'!J338/'01_Вводные'!$B$25,10),0),0)</f>
        <v/>
      </c>
      <c r="K340">
        <f>IF('01_Вводные'!$B$25&gt;0,ROUNDUP(ROUND('19_Расчет_аналитики'!K338/'01_Вводные'!$B$25,10),0),0)</f>
        <v/>
      </c>
      <c r="L340">
        <f>IF('01_Вводные'!$B$25&gt;0,ROUNDUP(ROUND('19_Расчет_аналитики'!L338/'01_Вводные'!$B$25,10),0),0)</f>
        <v/>
      </c>
      <c r="M340">
        <f>IF('01_Вводные'!$B$25&gt;0,ROUNDUP(ROUND('19_Расчет_аналитики'!M338/'01_Вводные'!$B$25,10),0),0)</f>
        <v/>
      </c>
      <c r="N340">
        <f>IF('01_Вводные'!$B$25&gt;0,ROUNDUP(ROUND('19_Расчет_аналитики'!N338/'01_Вводные'!$B$25,10),0),0)</f>
        <v/>
      </c>
      <c r="O340">
        <f>IF('01_Вводные'!$B$25&gt;0,ROUNDUP(ROUND('19_Расчет_аналитики'!O338/'01_Вводные'!$B$25,10),0),0)</f>
        <v/>
      </c>
      <c r="P340">
        <f>IF('01_Вводные'!$B$25&gt;0,ROUNDUP(ROUND('19_Расчет_аналитики'!P338/'01_Вводные'!$B$25,10),0),0)</f>
        <v/>
      </c>
      <c r="Q340">
        <f>IF('01_Вводные'!$B$25&gt;0,ROUNDUP(ROUND('19_Расчет_аналитики'!Q338/'01_Вводные'!$B$25,10),0),0)</f>
        <v/>
      </c>
      <c r="R340">
        <f>IF('01_Вводные'!$B$25&gt;0,ROUNDUP(ROUND('19_Расчет_аналитики'!R338/'01_Вводные'!$B$25,10),0),0)</f>
        <v/>
      </c>
      <c r="S340">
        <f>IF('01_Вводные'!$B$25&gt;0,ROUNDUP(ROUND('19_Расчет_аналитики'!S338/'01_Вводные'!$B$25,10),0),0)</f>
        <v/>
      </c>
      <c r="T340">
        <f>IF('01_Вводные'!$B$25&gt;0,ROUNDUP(ROUND('19_Расчет_аналитики'!T338/'01_Вводные'!$B$25,10),0),0)</f>
        <v/>
      </c>
      <c r="U340">
        <f>IF('01_Вводные'!$B$25&gt;0,ROUNDUP(ROUND('19_Расчет_аналитики'!U338/'01_Вводные'!$B$25,10),0),0)</f>
        <v/>
      </c>
      <c r="V340">
        <f>IF('01_Вводные'!$B$25&gt;0,ROUNDUP(ROUND('19_Расчет_аналитики'!V338/'01_Вводные'!$B$25,10),0),0)</f>
        <v/>
      </c>
      <c r="W340">
        <f>IF('01_Вводные'!$B$25&gt;0,ROUNDUP(ROUND('19_Расчет_аналитики'!W338/'01_Вводные'!$B$25,10),0),0)</f>
        <v/>
      </c>
      <c r="X340">
        <f>IF('01_Вводные'!$B$25&gt;0,ROUNDUP(ROUND('19_Расчет_аналитики'!X338/'01_Вводные'!$B$25,10),0),0)</f>
        <v/>
      </c>
      <c r="Y340">
        <f>IF('01_Вводные'!$B$25&gt;0,ROUNDUP(ROUND('19_Расчет_аналитики'!Y338/'01_Вводные'!$B$25,10),0),0)</f>
        <v/>
      </c>
      <c r="Z340">
        <f>IF('01_Вводные'!$B$25&gt;0,ROUNDUP(ROUND('19_Расчет_аналитики'!Z338/'01_Вводные'!$B$25,10),0),0)</f>
        <v/>
      </c>
      <c r="AA340">
        <f>IF('01_Вводные'!$B$25&gt;0,ROUNDUP(ROUND('19_Расчет_аналитики'!AA338/'01_Вводные'!$B$25,10),0),0)</f>
        <v/>
      </c>
      <c r="AB340">
        <f>IF('01_Вводные'!$B$25&gt;0,ROUNDUP(ROUND('19_Расчет_аналитики'!AB338/'01_Вводные'!$B$25,10),0),0)</f>
        <v/>
      </c>
      <c r="AC340">
        <f>IF('01_Вводные'!$B$25&gt;0,ROUNDUP(ROUND('19_Расчет_аналитики'!AC338/'01_Вводные'!$B$25,10),0),0)</f>
        <v/>
      </c>
      <c r="AD340">
        <f>IF('01_Вводные'!$B$25&gt;0,ROUNDUP(ROUND('19_Расчет_аналитики'!AD338/'01_Вводные'!$B$25,10),0),0)</f>
        <v/>
      </c>
      <c r="AE340">
        <f>IF('01_Вводные'!$B$25&gt;0,ROUNDUP(ROUND('19_Расчет_аналитики'!AE338/'01_Вводные'!$B$25,10),0),0)</f>
        <v/>
      </c>
      <c r="AF340">
        <f>IF('01_Вводные'!$B$25&gt;0,ROUNDUP(ROUND('19_Расчет_аналитики'!AF338/'01_Вводные'!$B$25,10),0),0)</f>
        <v/>
      </c>
      <c r="AG340">
        <f>IF('01_Вводные'!$B$25&gt;0,ROUNDUP(ROUND('19_Расчет_аналитики'!AG338/'01_Вводные'!$B$25,10),0),0)</f>
        <v/>
      </c>
      <c r="AH340">
        <f>IF('01_Вводные'!$B$25&gt;0,ROUNDUP(ROUND('19_Расчет_аналитики'!AH338/'01_Вводные'!$B$25,10),0),0)</f>
        <v/>
      </c>
      <c r="AI340">
        <f>IF('01_Вводные'!$B$25&gt;0,ROUNDUP(ROUND('19_Расчет_аналитики'!AI338/'01_Вводные'!$B$25,10),0),0)</f>
        <v/>
      </c>
      <c r="AJ340">
        <f>IF('01_Вводные'!$B$25&gt;0,ROUNDUP(ROUND('19_Расчет_аналитики'!AJ338/'01_Вводные'!$B$25,10),0),0)</f>
        <v/>
      </c>
      <c r="AK340">
        <f>IF('01_Вводные'!$B$25&gt;0,ROUNDUP(ROUND('19_Расчет_аналитики'!AK338/'01_Вводные'!$B$25,10),0),0)</f>
        <v/>
      </c>
      <c r="AL340">
        <f>IF('01_Вводные'!$B$25&gt;0,ROUNDUP(ROUND('19_Расчет_аналитики'!AL338/'01_Вводные'!$B$25,10),0),0)</f>
        <v/>
      </c>
      <c r="AM340">
        <f>IF('01_Вводные'!$B$25&gt;0,ROUNDUP(ROUND('19_Расчет_аналитики'!AM338/'01_Вводные'!$B$25,10),0),0)</f>
        <v/>
      </c>
      <c r="AN340">
        <f>IF('01_Вводные'!$B$25&gt;0,ROUNDUP(ROUND('19_Расчет_аналитики'!AN338/'01_Вводные'!$B$25,10),0),0)</f>
        <v/>
      </c>
      <c r="AO340">
        <f>IF('01_Вводные'!$B$25&gt;0,ROUNDUP(ROUND('19_Расчет_аналитики'!AO338/'01_Вводные'!$B$25,10),0),0)</f>
        <v/>
      </c>
      <c r="AP340">
        <f>IF('01_Вводные'!$B$25&gt;0,ROUNDUP(ROUND('19_Расчет_аналитики'!AP338/'01_Вводные'!$B$25,10),0),0)</f>
        <v/>
      </c>
      <c r="AQ340">
        <f>IF('01_Вводные'!$B$25&gt;0,ROUNDUP(ROUND('19_Расчет_аналитики'!AQ338/'01_Вводные'!$B$25,10),0),0)</f>
        <v/>
      </c>
      <c r="AR340">
        <f>IF('01_Вводные'!$B$25&gt;0,ROUNDUP(ROUND('19_Расчет_аналитики'!AR338/'01_Вводные'!$B$25,10),0),0)</f>
        <v/>
      </c>
      <c r="AS340">
        <f>IF('01_Вводные'!$B$25&gt;0,ROUNDUP(ROUND('19_Расчет_аналитики'!AS338/'01_Вводные'!$B$25,10),0),0)</f>
        <v/>
      </c>
      <c r="AT340">
        <f>IF('01_Вводные'!$B$25&gt;0,ROUNDUP(ROUND('19_Расчет_аналитики'!AT338/'01_Вводные'!$B$25,10),0),0)</f>
        <v/>
      </c>
      <c r="AU340">
        <f>IF('01_Вводные'!$B$25&gt;0,ROUNDUP(ROUND('19_Расчет_аналитики'!AU338/'01_Вводные'!$B$25,10),0),0)</f>
        <v/>
      </c>
      <c r="AV340">
        <f>IF('01_Вводные'!$B$25&gt;0,ROUNDUP(ROUND('19_Расчет_аналитики'!AV338/'01_Вводные'!$B$25,10),0),0)</f>
        <v/>
      </c>
      <c r="AW340">
        <f>IF('01_Вводные'!$B$25&gt;0,ROUNDUP(ROUND('19_Расчет_аналитики'!AW338/'01_Вводные'!$B$25,10),0),0)</f>
        <v/>
      </c>
      <c r="AX340">
        <f>IF('01_Вводные'!$B$25&gt;0,ROUNDUP(ROUND('19_Расчет_аналитики'!AX338/'01_Вводные'!$B$25,10),0),0)</f>
        <v/>
      </c>
      <c r="AY340">
        <f>IF('01_Вводные'!$B$25&gt;0,ROUNDUP(ROUND('19_Расчет_аналитики'!AY338/'01_Вводные'!$B$25,10),0),0)</f>
        <v/>
      </c>
      <c r="AZ340">
        <f>IF('01_Вводные'!$B$25&gt;0,ROUNDUP(ROUND('19_Расчет_аналитики'!AZ338/'01_Вводные'!$B$25,10),0),0)</f>
        <v/>
      </c>
      <c r="BA340">
        <f>IF('01_Вводные'!$B$25&gt;0,ROUNDUP(ROUND('19_Расчет_аналитики'!BA338/'01_Вводные'!$B$25,10),0),0)</f>
        <v/>
      </c>
      <c r="BB340">
        <f>IF('01_Вводные'!$B$25&gt;0,ROUNDUP(ROUND('19_Расчет_аналитики'!BB338/'01_Вводные'!$B$25,10),0),0)</f>
        <v/>
      </c>
      <c r="BC340">
        <f>IF('01_Вводные'!$B$25&gt;0,ROUNDUP(ROUND('19_Расчет_аналитики'!BC338/'01_Вводные'!$B$25,10),0),0)</f>
        <v/>
      </c>
      <c r="BD340">
        <f>IF('01_Вводные'!$B$25&gt;0,ROUNDUP(ROUND('19_Расчет_аналитики'!BD338/'01_Вводные'!$B$25,10),0),0)</f>
        <v/>
      </c>
      <c r="BE340">
        <f>IF('01_Вводные'!$B$25&gt;0,ROUNDUP(ROUND('19_Расчет_аналитики'!BE338/'01_Вводные'!$B$25,10),0),0)</f>
        <v/>
      </c>
      <c r="BF340">
        <f>IF('01_Вводные'!$B$25&gt;0,ROUNDUP(ROUND('19_Расчет_аналитики'!BF338/'01_Вводные'!$B$25,10),0),0)</f>
        <v/>
      </c>
      <c r="BG340">
        <f>IF('01_Вводные'!$B$25&gt;0,ROUNDUP(ROUND('19_Расчет_аналитики'!BG338/'01_Вводные'!$B$25,10),0),0)</f>
        <v/>
      </c>
      <c r="BH340">
        <f>IF('01_Вводные'!$B$25&gt;0,ROUNDUP(ROUND('19_Расчет_аналитики'!BH338/'01_Вводные'!$B$25,10),0),0)</f>
        <v/>
      </c>
      <c r="BI340">
        <f>IF('01_Вводные'!$B$25&gt;0,ROUNDUP(ROUND('19_Расчет_аналитики'!BI338/'01_Вводные'!$B$25,10),0),0)</f>
        <v/>
      </c>
    </row>
    <row r="341">
      <c r="B341">
        <f>IF(1&lt;='01_Вводные'!$B$15,0,INDEX('19_Расчет_аналитики'!$B$338:$BI$338,1,1-'01_Вводные'!$B$15))*'01_Вводные'!$B$298</f>
        <v/>
      </c>
      <c r="C341">
        <f>IF(2&lt;='01_Вводные'!$B$15,0,INDEX('19_Расчет_аналитики'!$B$338:$BI$338,1,2-'01_Вводные'!$B$15))*'01_Вводные'!$B$298</f>
        <v/>
      </c>
      <c r="D341">
        <f>IF(3&lt;='01_Вводные'!$B$15,0,INDEX('19_Расчет_аналитики'!$B$338:$BI$338,1,3-'01_Вводные'!$B$15))*'01_Вводные'!$B$298</f>
        <v/>
      </c>
      <c r="E341">
        <f>IF(4&lt;='01_Вводные'!$B$15,0,INDEX('19_Расчет_аналитики'!$B$338:$BI$338,1,4-'01_Вводные'!$B$15))*'01_Вводные'!$B$298</f>
        <v/>
      </c>
      <c r="F341">
        <f>IF(5&lt;='01_Вводные'!$B$15,0,INDEX('19_Расчет_аналитики'!$B$338:$BI$338,1,5-'01_Вводные'!$B$15))*'01_Вводные'!$B$298</f>
        <v/>
      </c>
      <c r="G341">
        <f>IF(6&lt;='01_Вводные'!$B$15,0,INDEX('19_Расчет_аналитики'!$B$338:$BI$338,1,6-'01_Вводные'!$B$15))*'01_Вводные'!$B$298</f>
        <v/>
      </c>
      <c r="H341">
        <f>IF(7&lt;='01_Вводные'!$B$15,0,INDEX('19_Расчет_аналитики'!$B$338:$BI$338,1,7-'01_Вводные'!$B$15))*'01_Вводные'!$B$298</f>
        <v/>
      </c>
      <c r="I341">
        <f>IF(8&lt;='01_Вводные'!$B$15,0,INDEX('19_Расчет_аналитики'!$B$338:$BI$338,1,8-'01_Вводные'!$B$15))*'01_Вводные'!$B$298</f>
        <v/>
      </c>
      <c r="J341">
        <f>IF(9&lt;='01_Вводные'!$B$15,0,INDEX('19_Расчет_аналитики'!$B$338:$BI$338,1,9-'01_Вводные'!$B$15))*'01_Вводные'!$B$298</f>
        <v/>
      </c>
      <c r="K341">
        <f>IF(10&lt;='01_Вводные'!$B$15,0,INDEX('19_Расчет_аналитики'!$B$338:$BI$338,1,10-'01_Вводные'!$B$15))*'01_Вводные'!$B$298</f>
        <v/>
      </c>
      <c r="L341">
        <f>IF(11&lt;='01_Вводные'!$B$15,0,INDEX('19_Расчет_аналитики'!$B$338:$BI$338,1,11-'01_Вводные'!$B$15))*'01_Вводные'!$B$298</f>
        <v/>
      </c>
      <c r="M341">
        <f>IF(12&lt;='01_Вводные'!$B$15,0,INDEX('19_Расчет_аналитики'!$B$338:$BI$338,1,12-'01_Вводные'!$B$15))*'01_Вводные'!$B$298</f>
        <v/>
      </c>
      <c r="N341">
        <f>IF(13&lt;='01_Вводные'!$B$15,0,INDEX('19_Расчет_аналитики'!$B$338:$BI$338,1,13-'01_Вводные'!$B$15))*'01_Вводные'!$B$298</f>
        <v/>
      </c>
      <c r="O341">
        <f>IF(14&lt;='01_Вводные'!$B$15,0,INDEX('19_Расчет_аналитики'!$B$338:$BI$338,1,14-'01_Вводные'!$B$15))*'01_Вводные'!$B$298</f>
        <v/>
      </c>
      <c r="P341">
        <f>IF(15&lt;='01_Вводные'!$B$15,0,INDEX('19_Расчет_аналитики'!$B$338:$BI$338,1,15-'01_Вводные'!$B$15))*'01_Вводные'!$B$298</f>
        <v/>
      </c>
      <c r="Q341">
        <f>IF(16&lt;='01_Вводные'!$B$15,0,INDEX('19_Расчет_аналитики'!$B$338:$BI$338,1,16-'01_Вводные'!$B$15))*'01_Вводные'!$B$298</f>
        <v/>
      </c>
      <c r="R341">
        <f>IF(17&lt;='01_Вводные'!$B$15,0,INDEX('19_Расчет_аналитики'!$B$338:$BI$338,1,17-'01_Вводные'!$B$15))*'01_Вводные'!$B$298</f>
        <v/>
      </c>
      <c r="S341">
        <f>IF(18&lt;='01_Вводные'!$B$15,0,INDEX('19_Расчет_аналитики'!$B$338:$BI$338,1,18-'01_Вводные'!$B$15))*'01_Вводные'!$B$298</f>
        <v/>
      </c>
      <c r="T341">
        <f>IF(19&lt;='01_Вводные'!$B$15,0,INDEX('19_Расчет_аналитики'!$B$338:$BI$338,1,19-'01_Вводные'!$B$15))*'01_Вводные'!$B$298</f>
        <v/>
      </c>
      <c r="U341">
        <f>IF(20&lt;='01_Вводные'!$B$15,0,INDEX('19_Расчет_аналитики'!$B$338:$BI$338,1,20-'01_Вводные'!$B$15))*'01_Вводные'!$B$298</f>
        <v/>
      </c>
      <c r="V341">
        <f>IF(21&lt;='01_Вводные'!$B$15,0,INDEX('19_Расчет_аналитики'!$B$338:$BI$338,1,21-'01_Вводные'!$B$15))*'01_Вводные'!$B$298</f>
        <v/>
      </c>
      <c r="W341">
        <f>IF(22&lt;='01_Вводные'!$B$15,0,INDEX('19_Расчет_аналитики'!$B$338:$BI$338,1,22-'01_Вводные'!$B$15))*'01_Вводные'!$B$298</f>
        <v/>
      </c>
      <c r="X341">
        <f>IF(23&lt;='01_Вводные'!$B$15,0,INDEX('19_Расчет_аналитики'!$B$338:$BI$338,1,23-'01_Вводные'!$B$15))*'01_Вводные'!$B$298</f>
        <v/>
      </c>
      <c r="Y341">
        <f>IF(24&lt;='01_Вводные'!$B$15,0,INDEX('19_Расчет_аналитики'!$B$338:$BI$338,1,24-'01_Вводные'!$B$15))*'01_Вводные'!$B$298</f>
        <v/>
      </c>
      <c r="Z341">
        <f>IF(25&lt;='01_Вводные'!$B$15,0,INDEX('19_Расчет_аналитики'!$B$338:$BI$338,1,25-'01_Вводные'!$B$15))*'01_Вводные'!$B$298</f>
        <v/>
      </c>
      <c r="AA341">
        <f>IF(26&lt;='01_Вводные'!$B$15,0,INDEX('19_Расчет_аналитики'!$B$338:$BI$338,1,26-'01_Вводные'!$B$15))*'01_Вводные'!$B$298</f>
        <v/>
      </c>
      <c r="AB341">
        <f>IF(27&lt;='01_Вводные'!$B$15,0,INDEX('19_Расчет_аналитики'!$B$338:$BI$338,1,27-'01_Вводные'!$B$15))*'01_Вводные'!$B$298</f>
        <v/>
      </c>
      <c r="AC341">
        <f>IF(28&lt;='01_Вводные'!$B$15,0,INDEX('19_Расчет_аналитики'!$B$338:$BI$338,1,28-'01_Вводные'!$B$15))*'01_Вводные'!$B$298</f>
        <v/>
      </c>
      <c r="AD341">
        <f>IF(29&lt;='01_Вводные'!$B$15,0,INDEX('19_Расчет_аналитики'!$B$338:$BI$338,1,29-'01_Вводные'!$B$15))*'01_Вводные'!$B$298</f>
        <v/>
      </c>
      <c r="AE341">
        <f>IF(30&lt;='01_Вводные'!$B$15,0,INDEX('19_Расчет_аналитики'!$B$338:$BI$338,1,30-'01_Вводные'!$B$15))*'01_Вводные'!$B$298</f>
        <v/>
      </c>
      <c r="AF341">
        <f>IF(31&lt;='01_Вводные'!$B$15,0,INDEX('19_Расчет_аналитики'!$B$338:$BI$338,1,31-'01_Вводные'!$B$15))*'01_Вводные'!$B$298</f>
        <v/>
      </c>
      <c r="AG341">
        <f>IF(32&lt;='01_Вводные'!$B$15,0,INDEX('19_Расчет_аналитики'!$B$338:$BI$338,1,32-'01_Вводные'!$B$15))*'01_Вводные'!$B$298</f>
        <v/>
      </c>
      <c r="AH341">
        <f>IF(33&lt;='01_Вводные'!$B$15,0,INDEX('19_Расчет_аналитики'!$B$338:$BI$338,1,33-'01_Вводные'!$B$15))*'01_Вводные'!$B$298</f>
        <v/>
      </c>
      <c r="AI341">
        <f>IF(34&lt;='01_Вводные'!$B$15,0,INDEX('19_Расчет_аналитики'!$B$338:$BI$338,1,34-'01_Вводные'!$B$15))*'01_Вводные'!$B$298</f>
        <v/>
      </c>
      <c r="AJ341">
        <f>IF(35&lt;='01_Вводные'!$B$15,0,INDEX('19_Расчет_аналитики'!$B$338:$BI$338,1,35-'01_Вводные'!$B$15))*'01_Вводные'!$B$298</f>
        <v/>
      </c>
      <c r="AK341">
        <f>IF(36&lt;='01_Вводные'!$B$15,0,INDEX('19_Расчет_аналитики'!$B$338:$BI$338,1,36-'01_Вводные'!$B$15))*'01_Вводные'!$B$298</f>
        <v/>
      </c>
      <c r="AL341">
        <f>IF(37&lt;='01_Вводные'!$B$15,0,INDEX('19_Расчет_аналитики'!$B$338:$BI$338,1,37-'01_Вводные'!$B$15))*'01_Вводные'!$B$298</f>
        <v/>
      </c>
      <c r="AM341">
        <f>IF(38&lt;='01_Вводные'!$B$15,0,INDEX('19_Расчет_аналитики'!$B$338:$BI$338,1,38-'01_Вводные'!$B$15))*'01_Вводные'!$B$298</f>
        <v/>
      </c>
      <c r="AN341">
        <f>IF(39&lt;='01_Вводные'!$B$15,0,INDEX('19_Расчет_аналитики'!$B$338:$BI$338,1,39-'01_Вводные'!$B$15))*'01_Вводные'!$B$298</f>
        <v/>
      </c>
      <c r="AO341">
        <f>IF(40&lt;='01_Вводные'!$B$15,0,INDEX('19_Расчет_аналитики'!$B$338:$BI$338,1,40-'01_Вводные'!$B$15))*'01_Вводные'!$B$298</f>
        <v/>
      </c>
      <c r="AP341">
        <f>IF(41&lt;='01_Вводные'!$B$15,0,INDEX('19_Расчет_аналитики'!$B$338:$BI$338,1,41-'01_Вводные'!$B$15))*'01_Вводные'!$B$298</f>
        <v/>
      </c>
      <c r="AQ341">
        <f>IF(42&lt;='01_Вводные'!$B$15,0,INDEX('19_Расчет_аналитики'!$B$338:$BI$338,1,42-'01_Вводные'!$B$15))*'01_Вводные'!$B$298</f>
        <v/>
      </c>
      <c r="AR341">
        <f>IF(43&lt;='01_Вводные'!$B$15,0,INDEX('19_Расчет_аналитики'!$B$338:$BI$338,1,43-'01_Вводные'!$B$15))*'01_Вводные'!$B$298</f>
        <v/>
      </c>
      <c r="AS341">
        <f>IF(44&lt;='01_Вводные'!$B$15,0,INDEX('19_Расчет_аналитики'!$B$338:$BI$338,1,44-'01_Вводные'!$B$15))*'01_Вводные'!$B$298</f>
        <v/>
      </c>
      <c r="AT341">
        <f>IF(45&lt;='01_Вводные'!$B$15,0,INDEX('19_Расчет_аналитики'!$B$338:$BI$338,1,45-'01_Вводные'!$B$15))*'01_Вводные'!$B$298</f>
        <v/>
      </c>
      <c r="AU341">
        <f>IF(46&lt;='01_Вводные'!$B$15,0,INDEX('19_Расчет_аналитики'!$B$338:$BI$338,1,46-'01_Вводные'!$B$15))*'01_Вводные'!$B$298</f>
        <v/>
      </c>
      <c r="AV341">
        <f>IF(47&lt;='01_Вводные'!$B$15,0,INDEX('19_Расчет_аналитики'!$B$338:$BI$338,1,47-'01_Вводные'!$B$15))*'01_Вводные'!$B$298</f>
        <v/>
      </c>
      <c r="AW341">
        <f>IF(48&lt;='01_Вводные'!$B$15,0,INDEX('19_Расчет_аналитики'!$B$338:$BI$338,1,48-'01_Вводные'!$B$15))*'01_Вводные'!$B$298</f>
        <v/>
      </c>
      <c r="AX341">
        <f>IF(49&lt;='01_Вводные'!$B$15,0,INDEX('19_Расчет_аналитики'!$B$338:$BI$338,1,49-'01_Вводные'!$B$15))*'01_Вводные'!$B$298</f>
        <v/>
      </c>
      <c r="AY341">
        <f>IF(50&lt;='01_Вводные'!$B$15,0,INDEX('19_Расчет_аналитики'!$B$338:$BI$338,1,50-'01_Вводные'!$B$15))*'01_Вводные'!$B$298</f>
        <v/>
      </c>
      <c r="AZ341">
        <f>IF(51&lt;='01_Вводные'!$B$15,0,INDEX('19_Расчет_аналитики'!$B$338:$BI$338,1,51-'01_Вводные'!$B$15))*'01_Вводные'!$B$298</f>
        <v/>
      </c>
      <c r="BA341">
        <f>IF(52&lt;='01_Вводные'!$B$15,0,INDEX('19_Расчет_аналитики'!$B$338:$BI$338,1,52-'01_Вводные'!$B$15))*'01_Вводные'!$B$298</f>
        <v/>
      </c>
      <c r="BB341">
        <f>IF(53&lt;='01_Вводные'!$B$15,0,INDEX('19_Расчет_аналитики'!$B$338:$BI$338,1,53-'01_Вводные'!$B$15))*'01_Вводные'!$B$298</f>
        <v/>
      </c>
      <c r="BC341">
        <f>IF(54&lt;='01_Вводные'!$B$15,0,INDEX('19_Расчет_аналитики'!$B$338:$BI$338,1,54-'01_Вводные'!$B$15))*'01_Вводные'!$B$298</f>
        <v/>
      </c>
      <c r="BD341">
        <f>IF(55&lt;='01_Вводные'!$B$15,0,INDEX('19_Расчет_аналитики'!$B$338:$BI$338,1,55-'01_Вводные'!$B$15))*'01_Вводные'!$B$298</f>
        <v/>
      </c>
      <c r="BE341">
        <f>IF(56&lt;='01_Вводные'!$B$15,0,INDEX('19_Расчет_аналитики'!$B$338:$BI$338,1,56-'01_Вводные'!$B$15))*'01_Вводные'!$B$298</f>
        <v/>
      </c>
      <c r="BF341">
        <f>IF(57&lt;='01_Вводные'!$B$15,0,INDEX('19_Расчет_аналитики'!$B$338:$BI$338,1,57-'01_Вводные'!$B$15))*'01_Вводные'!$B$298</f>
        <v/>
      </c>
      <c r="BG341">
        <f>IF(58&lt;='01_Вводные'!$B$15,0,INDEX('19_Расчет_аналитики'!$B$338:$BI$338,1,58-'01_Вводные'!$B$15))*'01_Вводные'!$B$298</f>
        <v/>
      </c>
      <c r="BH341">
        <f>IF(59&lt;='01_Вводные'!$B$15,0,INDEX('19_Расчет_аналитики'!$B$338:$BI$338,1,59-'01_Вводные'!$B$15))*'01_Вводные'!$B$298</f>
        <v/>
      </c>
      <c r="BI341">
        <f>IF(60&lt;='01_Вводные'!$B$15,0,INDEX('19_Расчет_аналитики'!$B$338:$BI$338,1,60-'01_Вводные'!$B$15))*'01_Вводные'!$B$298</f>
        <v/>
      </c>
    </row>
    <row r="342"/>
    <row r="343"/>
    <row r="344">
      <c r="B344">
        <f>SUMIF('04_Продажи'!$B$28:$BI$28,'04_Продажи'!B$11,'19_Расчет_аналитики'!$B$338:$BI$338)*'19_Расчет_аналитики'!B809</f>
        <v/>
      </c>
      <c r="C344">
        <f>SUMIF('04_Продажи'!$B$28:$BI$28,'04_Продажи'!C$11,'19_Расчет_аналитики'!$B$338:$BI$338)*'19_Расчет_аналитики'!C809</f>
        <v/>
      </c>
      <c r="D344">
        <f>SUMIF('04_Продажи'!$B$28:$BI$28,'04_Продажи'!D$11,'19_Расчет_аналитики'!$B$338:$BI$338)*'19_Расчет_аналитики'!D809</f>
        <v/>
      </c>
      <c r="E344">
        <f>SUMIF('04_Продажи'!$B$28:$BI$28,'04_Продажи'!E$11,'19_Расчет_аналитики'!$B$338:$BI$338)*'19_Расчет_аналитики'!E809</f>
        <v/>
      </c>
      <c r="F344">
        <f>SUMIF('04_Продажи'!$B$28:$BI$28,'04_Продажи'!F$11,'19_Расчет_аналитики'!$B$338:$BI$338)*'19_Расчет_аналитики'!F809</f>
        <v/>
      </c>
      <c r="G344">
        <f>SUMIF('04_Продажи'!$B$28:$BI$28,'04_Продажи'!G$11,'19_Расчет_аналитики'!$B$338:$BI$338)*'19_Расчет_аналитики'!G809</f>
        <v/>
      </c>
      <c r="H344">
        <f>SUMIF('04_Продажи'!$B$28:$BI$28,'04_Продажи'!H$11,'19_Расчет_аналитики'!$B$338:$BI$338)*'19_Расчет_аналитики'!H809</f>
        <v/>
      </c>
      <c r="I344">
        <f>SUMIF('04_Продажи'!$B$28:$BI$28,'04_Продажи'!I$11,'19_Расчет_аналитики'!$B$338:$BI$338)*'19_Расчет_аналитики'!I809</f>
        <v/>
      </c>
      <c r="J344">
        <f>SUMIF('04_Продажи'!$B$28:$BI$28,'04_Продажи'!J$11,'19_Расчет_аналитики'!$B$338:$BI$338)*'19_Расчет_аналитики'!J809</f>
        <v/>
      </c>
      <c r="K344">
        <f>SUMIF('04_Продажи'!$B$28:$BI$28,'04_Продажи'!K$11,'19_Расчет_аналитики'!$B$338:$BI$338)*'19_Расчет_аналитики'!K809</f>
        <v/>
      </c>
      <c r="L344">
        <f>SUMIF('04_Продажи'!$B$28:$BI$28,'04_Продажи'!L$11,'19_Расчет_аналитики'!$B$338:$BI$338)*'19_Расчет_аналитики'!L809</f>
        <v/>
      </c>
      <c r="M344">
        <f>SUMIF('04_Продажи'!$B$28:$BI$28,'04_Продажи'!M$11,'19_Расчет_аналитики'!$B$338:$BI$338)*'19_Расчет_аналитики'!M809</f>
        <v/>
      </c>
      <c r="N344">
        <f>SUMIF('04_Продажи'!$B$28:$BI$28,'04_Продажи'!N$11,'19_Расчет_аналитики'!$B$338:$BI$338)*'19_Расчет_аналитики'!N809</f>
        <v/>
      </c>
      <c r="O344">
        <f>SUMIF('04_Продажи'!$B$28:$BI$28,'04_Продажи'!O$11,'19_Расчет_аналитики'!$B$338:$BI$338)*'19_Расчет_аналитики'!O809</f>
        <v/>
      </c>
      <c r="P344">
        <f>SUMIF('04_Продажи'!$B$28:$BI$28,'04_Продажи'!P$11,'19_Расчет_аналитики'!$B$338:$BI$338)*'19_Расчет_аналитики'!P809</f>
        <v/>
      </c>
      <c r="Q344">
        <f>SUMIF('04_Продажи'!$B$28:$BI$28,'04_Продажи'!Q$11,'19_Расчет_аналитики'!$B$338:$BI$338)*'19_Расчет_аналитики'!Q809</f>
        <v/>
      </c>
      <c r="R344">
        <f>SUMIF('04_Продажи'!$B$28:$BI$28,'04_Продажи'!R$11,'19_Расчет_аналитики'!$B$338:$BI$338)*'19_Расчет_аналитики'!R809</f>
        <v/>
      </c>
      <c r="S344">
        <f>SUMIF('04_Продажи'!$B$28:$BI$28,'04_Продажи'!S$11,'19_Расчет_аналитики'!$B$338:$BI$338)*'19_Расчет_аналитики'!S809</f>
        <v/>
      </c>
      <c r="T344">
        <f>SUMIF('04_Продажи'!$B$28:$BI$28,'04_Продажи'!T$11,'19_Расчет_аналитики'!$B$338:$BI$338)*'19_Расчет_аналитики'!T809</f>
        <v/>
      </c>
      <c r="U344">
        <f>SUMIF('04_Продажи'!$B$28:$BI$28,'04_Продажи'!U$11,'19_Расчет_аналитики'!$B$338:$BI$338)*'19_Расчет_аналитики'!U809</f>
        <v/>
      </c>
      <c r="V344">
        <f>SUMIF('04_Продажи'!$B$28:$BI$28,'04_Продажи'!V$11,'19_Расчет_аналитики'!$B$338:$BI$338)*'19_Расчет_аналитики'!V809</f>
        <v/>
      </c>
      <c r="W344">
        <f>SUMIF('04_Продажи'!$B$28:$BI$28,'04_Продажи'!W$11,'19_Расчет_аналитики'!$B$338:$BI$338)*'19_Расчет_аналитики'!W809</f>
        <v/>
      </c>
      <c r="X344">
        <f>SUMIF('04_Продажи'!$B$28:$BI$28,'04_Продажи'!X$11,'19_Расчет_аналитики'!$B$338:$BI$338)*'19_Расчет_аналитики'!X809</f>
        <v/>
      </c>
      <c r="Y344">
        <f>SUMIF('04_Продажи'!$B$28:$BI$28,'04_Продажи'!Y$11,'19_Расчет_аналитики'!$B$338:$BI$338)*'19_Расчет_аналитики'!Y809</f>
        <v/>
      </c>
      <c r="Z344">
        <f>SUMIF('04_Продажи'!$B$28:$BI$28,'04_Продажи'!Z$11,'19_Расчет_аналитики'!$B$338:$BI$338)*'19_Расчет_аналитики'!Z809</f>
        <v/>
      </c>
      <c r="AA344">
        <f>SUMIF('04_Продажи'!$B$28:$BI$28,'04_Продажи'!AA$11,'19_Расчет_аналитики'!$B$338:$BI$338)*'19_Расчет_аналитики'!AA809</f>
        <v/>
      </c>
      <c r="AB344">
        <f>SUMIF('04_Продажи'!$B$28:$BI$28,'04_Продажи'!AB$11,'19_Расчет_аналитики'!$B$338:$BI$338)*'19_Расчет_аналитики'!AB809</f>
        <v/>
      </c>
      <c r="AC344">
        <f>SUMIF('04_Продажи'!$B$28:$BI$28,'04_Продажи'!AC$11,'19_Расчет_аналитики'!$B$338:$BI$338)*'19_Расчет_аналитики'!AC809</f>
        <v/>
      </c>
      <c r="AD344">
        <f>SUMIF('04_Продажи'!$B$28:$BI$28,'04_Продажи'!AD$11,'19_Расчет_аналитики'!$B$338:$BI$338)*'19_Расчет_аналитики'!AD809</f>
        <v/>
      </c>
      <c r="AE344">
        <f>SUMIF('04_Продажи'!$B$28:$BI$28,'04_Продажи'!AE$11,'19_Расчет_аналитики'!$B$338:$BI$338)*'19_Расчет_аналитики'!AE809</f>
        <v/>
      </c>
      <c r="AF344">
        <f>SUMIF('04_Продажи'!$B$28:$BI$28,'04_Продажи'!AF$11,'19_Расчет_аналитики'!$B$338:$BI$338)*'19_Расчет_аналитики'!AF809</f>
        <v/>
      </c>
      <c r="AG344">
        <f>SUMIF('04_Продажи'!$B$28:$BI$28,'04_Продажи'!AG$11,'19_Расчет_аналитики'!$B$338:$BI$338)*'19_Расчет_аналитики'!AG809</f>
        <v/>
      </c>
      <c r="AH344">
        <f>SUMIF('04_Продажи'!$B$28:$BI$28,'04_Продажи'!AH$11,'19_Расчет_аналитики'!$B$338:$BI$338)*'19_Расчет_аналитики'!AH809</f>
        <v/>
      </c>
      <c r="AI344">
        <f>SUMIF('04_Продажи'!$B$28:$BI$28,'04_Продажи'!AI$11,'19_Расчет_аналитики'!$B$338:$BI$338)*'19_Расчет_аналитики'!AI809</f>
        <v/>
      </c>
      <c r="AJ344">
        <f>SUMIF('04_Продажи'!$B$28:$BI$28,'04_Продажи'!AJ$11,'19_Расчет_аналитики'!$B$338:$BI$338)*'19_Расчет_аналитики'!AJ809</f>
        <v/>
      </c>
      <c r="AK344">
        <f>SUMIF('04_Продажи'!$B$28:$BI$28,'04_Продажи'!AK$11,'19_Расчет_аналитики'!$B$338:$BI$338)*'19_Расчет_аналитики'!AK809</f>
        <v/>
      </c>
      <c r="AL344">
        <f>SUMIF('04_Продажи'!$B$28:$BI$28,'04_Продажи'!AL$11,'19_Расчет_аналитики'!$B$338:$BI$338)*'19_Расчет_аналитики'!AL809</f>
        <v/>
      </c>
      <c r="AM344">
        <f>SUMIF('04_Продажи'!$B$28:$BI$28,'04_Продажи'!AM$11,'19_Расчет_аналитики'!$B$338:$BI$338)*'19_Расчет_аналитики'!AM809</f>
        <v/>
      </c>
      <c r="AN344">
        <f>SUMIF('04_Продажи'!$B$28:$BI$28,'04_Продажи'!AN$11,'19_Расчет_аналитики'!$B$338:$BI$338)*'19_Расчет_аналитики'!AN809</f>
        <v/>
      </c>
      <c r="AO344">
        <f>SUMIF('04_Продажи'!$B$28:$BI$28,'04_Продажи'!AO$11,'19_Расчет_аналитики'!$B$338:$BI$338)*'19_Расчет_аналитики'!AO809</f>
        <v/>
      </c>
      <c r="AP344">
        <f>SUMIF('04_Продажи'!$B$28:$BI$28,'04_Продажи'!AP$11,'19_Расчет_аналитики'!$B$338:$BI$338)*'19_Расчет_аналитики'!AP809</f>
        <v/>
      </c>
      <c r="AQ344">
        <f>SUMIF('04_Продажи'!$B$28:$BI$28,'04_Продажи'!AQ$11,'19_Расчет_аналитики'!$B$338:$BI$338)*'19_Расчет_аналитики'!AQ809</f>
        <v/>
      </c>
      <c r="AR344">
        <f>SUMIF('04_Продажи'!$B$28:$BI$28,'04_Продажи'!AR$11,'19_Расчет_аналитики'!$B$338:$BI$338)*'19_Расчет_аналитики'!AR809</f>
        <v/>
      </c>
      <c r="AS344">
        <f>SUMIF('04_Продажи'!$B$28:$BI$28,'04_Продажи'!AS$11,'19_Расчет_аналитики'!$B$338:$BI$338)*'19_Расчет_аналитики'!AS809</f>
        <v/>
      </c>
      <c r="AT344">
        <f>SUMIF('04_Продажи'!$B$28:$BI$28,'04_Продажи'!AT$11,'19_Расчет_аналитики'!$B$338:$BI$338)*'19_Расчет_аналитики'!AT809</f>
        <v/>
      </c>
      <c r="AU344">
        <f>SUMIF('04_Продажи'!$B$28:$BI$28,'04_Продажи'!AU$11,'19_Расчет_аналитики'!$B$338:$BI$338)*'19_Расчет_аналитики'!AU809</f>
        <v/>
      </c>
      <c r="AV344">
        <f>SUMIF('04_Продажи'!$B$28:$BI$28,'04_Продажи'!AV$11,'19_Расчет_аналитики'!$B$338:$BI$338)*'19_Расчет_аналитики'!AV809</f>
        <v/>
      </c>
      <c r="AW344">
        <f>SUMIF('04_Продажи'!$B$28:$BI$28,'04_Продажи'!AW$11,'19_Расчет_аналитики'!$B$338:$BI$338)*'19_Расчет_аналитики'!AW809</f>
        <v/>
      </c>
      <c r="AX344">
        <f>SUMIF('04_Продажи'!$B$28:$BI$28,'04_Продажи'!AX$11,'19_Расчет_аналитики'!$B$338:$BI$338)*'19_Расчет_аналитики'!AX809</f>
        <v/>
      </c>
      <c r="AY344">
        <f>SUMIF('04_Продажи'!$B$28:$BI$28,'04_Продажи'!AY$11,'19_Расчет_аналитики'!$B$338:$BI$338)*'19_Расчет_аналитики'!AY809</f>
        <v/>
      </c>
      <c r="AZ344">
        <f>SUMIF('04_Продажи'!$B$28:$BI$28,'04_Продажи'!AZ$11,'19_Расчет_аналитики'!$B$338:$BI$338)*'19_Расчет_аналитики'!AZ809</f>
        <v/>
      </c>
      <c r="BA344">
        <f>SUMIF('04_Продажи'!$B$28:$BI$28,'04_Продажи'!BA$11,'19_Расчет_аналитики'!$B$338:$BI$338)*'19_Расчет_аналитики'!BA809</f>
        <v/>
      </c>
      <c r="BB344">
        <f>SUMIF('04_Продажи'!$B$28:$BI$28,'04_Продажи'!BB$11,'19_Расчет_аналитики'!$B$338:$BI$338)*'19_Расчет_аналитики'!BB809</f>
        <v/>
      </c>
      <c r="BC344">
        <f>SUMIF('04_Продажи'!$B$28:$BI$28,'04_Продажи'!BC$11,'19_Расчет_аналитики'!$B$338:$BI$338)*'19_Расчет_аналитики'!BC809</f>
        <v/>
      </c>
      <c r="BD344">
        <f>SUMIF('04_Продажи'!$B$28:$BI$28,'04_Продажи'!BD$11,'19_Расчет_аналитики'!$B$338:$BI$338)*'19_Расчет_аналитики'!BD809</f>
        <v/>
      </c>
      <c r="BE344">
        <f>SUMIF('04_Продажи'!$B$28:$BI$28,'04_Продажи'!BE$11,'19_Расчет_аналитики'!$B$338:$BI$338)*'19_Расчет_аналитики'!BE809</f>
        <v/>
      </c>
      <c r="BF344">
        <f>SUMIF('04_Продажи'!$B$28:$BI$28,'04_Продажи'!BF$11,'19_Расчет_аналитики'!$B$338:$BI$338)*'19_Расчет_аналитики'!BF809</f>
        <v/>
      </c>
      <c r="BG344">
        <f>SUMIF('04_Продажи'!$B$28:$BI$28,'04_Продажи'!BG$11,'19_Расчет_аналитики'!$B$338:$BI$338)*'19_Расчет_аналитики'!BG809</f>
        <v/>
      </c>
      <c r="BH344">
        <f>SUMIF('04_Продажи'!$B$28:$BI$28,'04_Продажи'!BH$11,'19_Расчет_аналитики'!$B$338:$BI$338)*'19_Расчет_аналитики'!BH809</f>
        <v/>
      </c>
      <c r="BI344">
        <f>SUMIF('04_Продажи'!$B$28:$BI$28,'04_Продажи'!BI$11,'19_Расчет_аналитики'!$B$338:$BI$338)*'19_Расчет_аналитики'!BI809</f>
        <v/>
      </c>
    </row>
    <row r="345"/>
    <row r="346">
      <c r="B346">
        <f>'19_Расчет_аналитики'!B344+'04_Продажи'!B22</f>
        <v/>
      </c>
      <c r="C346">
        <f>'19_Расчет_аналитики'!C344+'04_Продажи'!C22</f>
        <v/>
      </c>
      <c r="D346">
        <f>'19_Расчет_аналитики'!D344+'04_Продажи'!D22</f>
        <v/>
      </c>
      <c r="E346">
        <f>'19_Расчет_аналитики'!E344+'04_Продажи'!E22</f>
        <v/>
      </c>
      <c r="F346">
        <f>'19_Расчет_аналитики'!F344+'04_Продажи'!F22</f>
        <v/>
      </c>
      <c r="G346">
        <f>'19_Расчет_аналитики'!G344+'04_Продажи'!G22</f>
        <v/>
      </c>
      <c r="H346">
        <f>'19_Расчет_аналитики'!H344+'04_Продажи'!H22</f>
        <v/>
      </c>
      <c r="I346">
        <f>'19_Расчет_аналитики'!I344+'04_Продажи'!I22</f>
        <v/>
      </c>
      <c r="J346">
        <f>'19_Расчет_аналитики'!J344+'04_Продажи'!J22</f>
        <v/>
      </c>
      <c r="K346">
        <f>'19_Расчет_аналитики'!K344+'04_Продажи'!K22</f>
        <v/>
      </c>
      <c r="L346">
        <f>'19_Расчет_аналитики'!L344+'04_Продажи'!L22</f>
        <v/>
      </c>
      <c r="M346">
        <f>'19_Расчет_аналитики'!M344+'04_Продажи'!M22</f>
        <v/>
      </c>
      <c r="N346">
        <f>'19_Расчет_аналитики'!N344+'04_Продажи'!N22</f>
        <v/>
      </c>
      <c r="O346">
        <f>'19_Расчет_аналитики'!O344+'04_Продажи'!O22</f>
        <v/>
      </c>
      <c r="P346">
        <f>'19_Расчет_аналитики'!P344+'04_Продажи'!P22</f>
        <v/>
      </c>
      <c r="Q346">
        <f>'19_Расчет_аналитики'!Q344+'04_Продажи'!Q22</f>
        <v/>
      </c>
      <c r="R346">
        <f>'19_Расчет_аналитики'!R344+'04_Продажи'!R22</f>
        <v/>
      </c>
      <c r="S346">
        <f>'19_Расчет_аналитики'!S344+'04_Продажи'!S22</f>
        <v/>
      </c>
      <c r="T346">
        <f>'19_Расчет_аналитики'!T344+'04_Продажи'!T22</f>
        <v/>
      </c>
      <c r="U346">
        <f>'19_Расчет_аналитики'!U344+'04_Продажи'!U22</f>
        <v/>
      </c>
      <c r="V346">
        <f>'19_Расчет_аналитики'!V344+'04_Продажи'!V22</f>
        <v/>
      </c>
      <c r="W346">
        <f>'19_Расчет_аналитики'!W344+'04_Продажи'!W22</f>
        <v/>
      </c>
      <c r="X346">
        <f>'19_Расчет_аналитики'!X344+'04_Продажи'!X22</f>
        <v/>
      </c>
      <c r="Y346">
        <f>'19_Расчет_аналитики'!Y344+'04_Продажи'!Y22</f>
        <v/>
      </c>
      <c r="Z346">
        <f>'19_Расчет_аналитики'!Z344+'04_Продажи'!Z22</f>
        <v/>
      </c>
      <c r="AA346">
        <f>'19_Расчет_аналитики'!AA344+'04_Продажи'!AA22</f>
        <v/>
      </c>
      <c r="AB346">
        <f>'19_Расчет_аналитики'!AB344+'04_Продажи'!AB22</f>
        <v/>
      </c>
      <c r="AC346">
        <f>'19_Расчет_аналитики'!AC344+'04_Продажи'!AC22</f>
        <v/>
      </c>
      <c r="AD346">
        <f>'19_Расчет_аналитики'!AD344+'04_Продажи'!AD22</f>
        <v/>
      </c>
      <c r="AE346">
        <f>'19_Расчет_аналитики'!AE344+'04_Продажи'!AE22</f>
        <v/>
      </c>
      <c r="AF346">
        <f>'19_Расчет_аналитики'!AF344+'04_Продажи'!AF22</f>
        <v/>
      </c>
      <c r="AG346">
        <f>'19_Расчет_аналитики'!AG344+'04_Продажи'!AG22</f>
        <v/>
      </c>
      <c r="AH346">
        <f>'19_Расчет_аналитики'!AH344+'04_Продажи'!AH22</f>
        <v/>
      </c>
      <c r="AI346">
        <f>'19_Расчет_аналитики'!AI344+'04_Продажи'!AI22</f>
        <v/>
      </c>
      <c r="AJ346">
        <f>'19_Расчет_аналитики'!AJ344+'04_Продажи'!AJ22</f>
        <v/>
      </c>
      <c r="AK346">
        <f>'19_Расчет_аналитики'!AK344+'04_Продажи'!AK22</f>
        <v/>
      </c>
      <c r="AL346">
        <f>'19_Расчет_аналитики'!AL344+'04_Продажи'!AL22</f>
        <v/>
      </c>
      <c r="AM346">
        <f>'19_Расчет_аналитики'!AM344+'04_Продажи'!AM22</f>
        <v/>
      </c>
      <c r="AN346">
        <f>'19_Расчет_аналитики'!AN344+'04_Продажи'!AN22</f>
        <v/>
      </c>
      <c r="AO346">
        <f>'19_Расчет_аналитики'!AO344+'04_Продажи'!AO22</f>
        <v/>
      </c>
      <c r="AP346">
        <f>'19_Расчет_аналитики'!AP344+'04_Продажи'!AP22</f>
        <v/>
      </c>
      <c r="AQ346">
        <f>'19_Расчет_аналитики'!AQ344+'04_Продажи'!AQ22</f>
        <v/>
      </c>
      <c r="AR346">
        <f>'19_Расчет_аналитики'!AR344+'04_Продажи'!AR22</f>
        <v/>
      </c>
      <c r="AS346">
        <f>'19_Расчет_аналитики'!AS344+'04_Продажи'!AS22</f>
        <v/>
      </c>
      <c r="AT346">
        <f>'19_Расчет_аналитики'!AT344+'04_Продажи'!AT22</f>
        <v/>
      </c>
      <c r="AU346">
        <f>'19_Расчет_аналитики'!AU344+'04_Продажи'!AU22</f>
        <v/>
      </c>
      <c r="AV346">
        <f>'19_Расчет_аналитики'!AV344+'04_Продажи'!AV22</f>
        <v/>
      </c>
      <c r="AW346">
        <f>'19_Расчет_аналитики'!AW344+'04_Продажи'!AW22</f>
        <v/>
      </c>
      <c r="AX346">
        <f>'19_Расчет_аналитики'!AX344+'04_Продажи'!AX22</f>
        <v/>
      </c>
      <c r="AY346">
        <f>'19_Расчет_аналитики'!AY344+'04_Продажи'!AY22</f>
        <v/>
      </c>
      <c r="AZ346">
        <f>'19_Расчет_аналитики'!AZ344+'04_Продажи'!AZ22</f>
        <v/>
      </c>
      <c r="BA346">
        <f>'19_Расчет_аналитики'!BA344+'04_Продажи'!BA22</f>
        <v/>
      </c>
      <c r="BB346">
        <f>'19_Расчет_аналитики'!BB344+'04_Продажи'!BB22</f>
        <v/>
      </c>
      <c r="BC346">
        <f>'19_Расчет_аналитики'!BC344+'04_Продажи'!BC22</f>
        <v/>
      </c>
      <c r="BD346">
        <f>'19_Расчет_аналитики'!BD344+'04_Продажи'!BD22</f>
        <v/>
      </c>
      <c r="BE346">
        <f>'19_Расчет_аналитики'!BE344+'04_Продажи'!BE22</f>
        <v/>
      </c>
      <c r="BF346">
        <f>'19_Расчет_аналитики'!BF344+'04_Продажи'!BF22</f>
        <v/>
      </c>
      <c r="BG346">
        <f>'19_Расчет_аналитики'!BG344+'04_Продажи'!BG22</f>
        <v/>
      </c>
      <c r="BH346">
        <f>'19_Расчет_аналитики'!BH344+'04_Продажи'!BH22</f>
        <v/>
      </c>
      <c r="BI346">
        <f>'19_Расчет_аналитики'!BI344+'04_Продажи'!BI22</f>
        <v/>
      </c>
    </row>
    <row r="347"/>
    <row r="348">
      <c r="C348">
        <f>'19_Расчет_аналитики'!C338*'18_Календарь_тарифы'!C6</f>
        <v/>
      </c>
      <c r="D348">
        <f>'19_Расчет_аналитики'!D338*'18_Календарь_тарифы'!D6</f>
        <v/>
      </c>
      <c r="E348">
        <f>'19_Расчет_аналитики'!E338*'18_Календарь_тарифы'!E6</f>
        <v/>
      </c>
      <c r="F348">
        <f>'19_Расчет_аналитики'!F338*'18_Календарь_тарифы'!F6</f>
        <v/>
      </c>
      <c r="G348">
        <f>'19_Расчет_аналитики'!G338*'18_Календарь_тарифы'!G6</f>
        <v/>
      </c>
      <c r="H348">
        <f>'19_Расчет_аналитики'!H338*'18_Календарь_тарифы'!H6</f>
        <v/>
      </c>
      <c r="I348">
        <f>'19_Расчет_аналитики'!I338*'18_Календарь_тарифы'!I6</f>
        <v/>
      </c>
      <c r="J348">
        <f>'19_Расчет_аналитики'!J338*'18_Календарь_тарифы'!J6</f>
        <v/>
      </c>
      <c r="K348">
        <f>'19_Расчет_аналитики'!K338*'18_Календарь_тарифы'!K6</f>
        <v/>
      </c>
      <c r="L348">
        <f>'19_Расчет_аналитики'!L338*'18_Календарь_тарифы'!L6</f>
        <v/>
      </c>
      <c r="M348">
        <f>'19_Расчет_аналитики'!M338*'18_Календарь_тарифы'!M6</f>
        <v/>
      </c>
      <c r="N348">
        <f>'19_Расчет_аналитики'!N338*'18_Календарь_тарифы'!N6</f>
        <v/>
      </c>
      <c r="O348">
        <f>'19_Расчет_аналитики'!O338*'18_Календарь_тарифы'!O6</f>
        <v/>
      </c>
      <c r="P348">
        <f>'19_Расчет_аналитики'!P338*'18_Календарь_тарифы'!P6</f>
        <v/>
      </c>
      <c r="Q348">
        <f>'19_Расчет_аналитики'!Q338*'18_Календарь_тарифы'!Q6</f>
        <v/>
      </c>
      <c r="R348">
        <f>'19_Расчет_аналитики'!R338*'18_Календарь_тарифы'!R6</f>
        <v/>
      </c>
      <c r="S348">
        <f>'19_Расчет_аналитики'!S338*'18_Календарь_тарифы'!S6</f>
        <v/>
      </c>
      <c r="T348">
        <f>'19_Расчет_аналитики'!T338*'18_Календарь_тарифы'!T6</f>
        <v/>
      </c>
      <c r="U348">
        <f>'19_Расчет_аналитики'!U338*'18_Календарь_тарифы'!U6</f>
        <v/>
      </c>
      <c r="V348">
        <f>'19_Расчет_аналитики'!V338*'18_Календарь_тарифы'!V6</f>
        <v/>
      </c>
      <c r="W348">
        <f>'19_Расчет_аналитики'!W338*'18_Календарь_тарифы'!W6</f>
        <v/>
      </c>
      <c r="X348">
        <f>'19_Расчет_аналитики'!X338*'18_Календарь_тарифы'!X6</f>
        <v/>
      </c>
      <c r="Y348">
        <f>'19_Расчет_аналитики'!Y338*'18_Календарь_тарифы'!Y6</f>
        <v/>
      </c>
      <c r="Z348">
        <f>'19_Расчет_аналитики'!Z338*'18_Календарь_тарифы'!Z6</f>
        <v/>
      </c>
      <c r="AA348">
        <f>'19_Расчет_аналитики'!AA338*'18_Календарь_тарифы'!AA6</f>
        <v/>
      </c>
      <c r="AB348">
        <f>'19_Расчет_аналитики'!AB338*'18_Календарь_тарифы'!AB6</f>
        <v/>
      </c>
      <c r="AC348">
        <f>'19_Расчет_аналитики'!AC338*'18_Календарь_тарифы'!AC6</f>
        <v/>
      </c>
      <c r="AD348">
        <f>'19_Расчет_аналитики'!AD338*'18_Календарь_тарифы'!AD6</f>
        <v/>
      </c>
      <c r="AE348">
        <f>'19_Расчет_аналитики'!AE338*'18_Календарь_тарифы'!AE6</f>
        <v/>
      </c>
      <c r="AF348">
        <f>'19_Расчет_аналитики'!AF338*'18_Календарь_тарифы'!AF6</f>
        <v/>
      </c>
      <c r="AG348">
        <f>'19_Расчет_аналитики'!AG338*'18_Календарь_тарифы'!AG6</f>
        <v/>
      </c>
      <c r="AH348">
        <f>'19_Расчет_аналитики'!AH338*'18_Календарь_тарифы'!AH6</f>
        <v/>
      </c>
      <c r="AI348">
        <f>'19_Расчет_аналитики'!AI338*'18_Календарь_тарифы'!AI6</f>
        <v/>
      </c>
      <c r="AJ348">
        <f>'19_Расчет_аналитики'!AJ338*'18_Календарь_тарифы'!AJ6</f>
        <v/>
      </c>
      <c r="AK348">
        <f>'19_Расчет_аналитики'!AK338*'18_Календарь_тарифы'!AK6</f>
        <v/>
      </c>
      <c r="AL348">
        <f>'19_Расчет_аналитики'!AL338*'18_Календарь_тарифы'!AL6</f>
        <v/>
      </c>
      <c r="AM348">
        <f>'19_Расчет_аналитики'!AM338*'18_Календарь_тарифы'!AM6</f>
        <v/>
      </c>
      <c r="AN348">
        <f>'19_Расчет_аналитики'!AN338*'18_Календарь_тарифы'!AN6</f>
        <v/>
      </c>
      <c r="AO348">
        <f>'19_Расчет_аналитики'!AO338*'18_Календарь_тарифы'!AO6</f>
        <v/>
      </c>
      <c r="AP348">
        <f>'19_Расчет_аналитики'!AP338*'18_Календарь_тарифы'!AP6</f>
        <v/>
      </c>
      <c r="AQ348">
        <f>'19_Расчет_аналитики'!AQ338*'18_Календарь_тарифы'!AQ6</f>
        <v/>
      </c>
      <c r="AR348">
        <f>'19_Расчет_аналитики'!AR338*'18_Календарь_тарифы'!AR6</f>
        <v/>
      </c>
      <c r="AS348">
        <f>'19_Расчет_аналитики'!AS338*'18_Календарь_тарифы'!AS6</f>
        <v/>
      </c>
      <c r="AT348">
        <f>'19_Расчет_аналитики'!AT338*'18_Календарь_тарифы'!AT6</f>
        <v/>
      </c>
      <c r="AU348">
        <f>'19_Расчет_аналитики'!AU338*'18_Календарь_тарифы'!AU6</f>
        <v/>
      </c>
      <c r="AV348">
        <f>'19_Расчет_аналитики'!AV338*'18_Календарь_тарифы'!AV6</f>
        <v/>
      </c>
      <c r="AW348">
        <f>'19_Расчет_аналитики'!AW338*'18_Календарь_тарифы'!AW6</f>
        <v/>
      </c>
      <c r="AX348">
        <f>'19_Расчет_аналитики'!AX338*'18_Календарь_тарифы'!AX6</f>
        <v/>
      </c>
      <c r="AY348">
        <f>'19_Расчет_аналитики'!AY338*'18_Календарь_тарифы'!AY6</f>
        <v/>
      </c>
      <c r="AZ348">
        <f>'19_Расчет_аналитики'!AZ338*'18_Календарь_тарифы'!AZ6</f>
        <v/>
      </c>
      <c r="BA348">
        <f>'19_Расчет_аналитики'!BA338*'18_Календарь_тарифы'!BA6</f>
        <v/>
      </c>
      <c r="BB348">
        <f>'19_Расчет_аналитики'!BB338*'18_Календарь_тарифы'!BB6</f>
        <v/>
      </c>
      <c r="BC348">
        <f>'19_Расчет_аналитики'!BC338*'18_Календарь_тарифы'!BC6</f>
        <v/>
      </c>
      <c r="BD348">
        <f>'19_Расчет_аналитики'!BD338*'18_Календарь_тарифы'!BD6</f>
        <v/>
      </c>
      <c r="BE348">
        <f>'19_Расчет_аналитики'!BE338*'18_Календарь_тарифы'!BE6</f>
        <v/>
      </c>
      <c r="BF348">
        <f>'19_Расчет_аналитики'!BF338*'18_Календарь_тарифы'!BF6</f>
        <v/>
      </c>
      <c r="BG348">
        <f>'19_Расчет_аналитики'!BG338*'18_Календарь_тарифы'!BG6</f>
        <v/>
      </c>
      <c r="BH348">
        <f>'19_Расчет_аналитики'!BH338*'18_Календарь_тарифы'!BH6</f>
        <v/>
      </c>
      <c r="BI348">
        <f>'19_Расчет_аналитики'!BI338*'18_Календарь_тарифы'!BI6</f>
        <v/>
      </c>
    </row>
    <row r="349">
      <c r="C349">
        <f>'19_Расчет_аналитики'!C348/(1+'01_Вводные'!$B$58)</f>
        <v/>
      </c>
      <c r="D349">
        <f>'19_Расчет_аналитики'!D348/(1+'01_Вводные'!$B$58)</f>
        <v/>
      </c>
      <c r="E349">
        <f>'19_Расчет_аналитики'!E348/(1+'01_Вводные'!$B$58)</f>
        <v/>
      </c>
      <c r="F349">
        <f>'19_Расчет_аналитики'!F348/(1+'01_Вводные'!$B$58)</f>
        <v/>
      </c>
      <c r="G349">
        <f>'19_Расчет_аналитики'!G348/(1+'01_Вводные'!$B$58)</f>
        <v/>
      </c>
      <c r="H349">
        <f>'19_Расчет_аналитики'!H348/(1+'01_Вводные'!$B$58)</f>
        <v/>
      </c>
      <c r="I349">
        <f>'19_Расчет_аналитики'!I348/(1+'01_Вводные'!$B$58)</f>
        <v/>
      </c>
      <c r="J349">
        <f>'19_Расчет_аналитики'!J348/(1+'01_Вводные'!$B$58)</f>
        <v/>
      </c>
      <c r="K349">
        <f>'19_Расчет_аналитики'!K348/(1+'01_Вводные'!$B$58)</f>
        <v/>
      </c>
      <c r="L349">
        <f>'19_Расчет_аналитики'!L348/(1+'01_Вводные'!$B$58)</f>
        <v/>
      </c>
      <c r="M349">
        <f>'19_Расчет_аналитики'!M348/(1+'01_Вводные'!$B$58)</f>
        <v/>
      </c>
      <c r="N349">
        <f>'19_Расчет_аналитики'!N348/(1+'01_Вводные'!$B$58)</f>
        <v/>
      </c>
      <c r="O349">
        <f>'19_Расчет_аналитики'!O348/(1+'01_Вводные'!$B$58)</f>
        <v/>
      </c>
      <c r="P349">
        <f>'19_Расчет_аналитики'!P348/(1+'01_Вводные'!$B$58)</f>
        <v/>
      </c>
      <c r="Q349">
        <f>'19_Расчет_аналитики'!Q348/(1+'01_Вводные'!$B$58)</f>
        <v/>
      </c>
      <c r="R349">
        <f>'19_Расчет_аналитики'!R348/(1+'01_Вводные'!$B$58)</f>
        <v/>
      </c>
      <c r="S349">
        <f>'19_Расчет_аналитики'!S348/(1+'01_Вводные'!$B$58)</f>
        <v/>
      </c>
      <c r="T349">
        <f>'19_Расчет_аналитики'!T348/(1+'01_Вводные'!$B$58)</f>
        <v/>
      </c>
      <c r="U349">
        <f>'19_Расчет_аналитики'!U348/(1+'01_Вводные'!$B$58)</f>
        <v/>
      </c>
      <c r="V349">
        <f>'19_Расчет_аналитики'!V348/(1+'01_Вводные'!$B$58)</f>
        <v/>
      </c>
      <c r="W349">
        <f>'19_Расчет_аналитики'!W348/(1+'01_Вводные'!$B$58)</f>
        <v/>
      </c>
      <c r="X349">
        <f>'19_Расчет_аналитики'!X348/(1+'01_Вводные'!$B$58)</f>
        <v/>
      </c>
      <c r="Y349">
        <f>'19_Расчет_аналитики'!Y348/(1+'01_Вводные'!$B$58)</f>
        <v/>
      </c>
      <c r="Z349">
        <f>'19_Расчет_аналитики'!Z348/(1+'01_Вводные'!$B$58)</f>
        <v/>
      </c>
      <c r="AA349">
        <f>'19_Расчет_аналитики'!AA348/(1+'01_Вводные'!$B$58)</f>
        <v/>
      </c>
      <c r="AB349">
        <f>'19_Расчет_аналитики'!AB348/(1+'01_Вводные'!$B$58)</f>
        <v/>
      </c>
      <c r="AC349">
        <f>'19_Расчет_аналитики'!AC348/(1+'01_Вводные'!$B$58)</f>
        <v/>
      </c>
      <c r="AD349">
        <f>'19_Расчет_аналитики'!AD348/(1+'01_Вводные'!$B$58)</f>
        <v/>
      </c>
      <c r="AE349">
        <f>'19_Расчет_аналитики'!AE348/(1+'01_Вводные'!$B$58)</f>
        <v/>
      </c>
      <c r="AF349">
        <f>'19_Расчет_аналитики'!AF348/(1+'01_Вводные'!$B$58)</f>
        <v/>
      </c>
      <c r="AG349">
        <f>'19_Расчет_аналитики'!AG348/(1+'01_Вводные'!$B$58)</f>
        <v/>
      </c>
      <c r="AH349">
        <f>'19_Расчет_аналитики'!AH348/(1+'01_Вводные'!$B$58)</f>
        <v/>
      </c>
      <c r="AI349">
        <f>'19_Расчет_аналитики'!AI348/(1+'01_Вводные'!$B$58)</f>
        <v/>
      </c>
      <c r="AJ349">
        <f>'19_Расчет_аналитики'!AJ348/(1+'01_Вводные'!$B$58)</f>
        <v/>
      </c>
      <c r="AK349">
        <f>'19_Расчет_аналитики'!AK348/(1+'01_Вводные'!$B$58)</f>
        <v/>
      </c>
      <c r="AL349">
        <f>'19_Расчет_аналитики'!AL348/(1+'01_Вводные'!$B$58)</f>
        <v/>
      </c>
      <c r="AM349">
        <f>'19_Расчет_аналитики'!AM348/(1+'01_Вводные'!$B$58)</f>
        <v/>
      </c>
      <c r="AN349">
        <f>'19_Расчет_аналитики'!AN348/(1+'01_Вводные'!$B$58)</f>
        <v/>
      </c>
      <c r="AO349">
        <f>'19_Расчет_аналитики'!AO348/(1+'01_Вводные'!$B$58)</f>
        <v/>
      </c>
      <c r="AP349">
        <f>'19_Расчет_аналитики'!AP348/(1+'01_Вводные'!$B$58)</f>
        <v/>
      </c>
      <c r="AQ349">
        <f>'19_Расчет_аналитики'!AQ348/(1+'01_Вводные'!$B$58)</f>
        <v/>
      </c>
      <c r="AR349">
        <f>'19_Расчет_аналитики'!AR348/(1+'01_Вводные'!$B$58)</f>
        <v/>
      </c>
      <c r="AS349">
        <f>'19_Расчет_аналитики'!AS348/(1+'01_Вводные'!$B$58)</f>
        <v/>
      </c>
      <c r="AT349">
        <f>'19_Расчет_аналитики'!AT348/(1+'01_Вводные'!$B$58)</f>
        <v/>
      </c>
      <c r="AU349">
        <f>'19_Расчет_аналитики'!AU348/(1+'01_Вводные'!$B$58)</f>
        <v/>
      </c>
      <c r="AV349">
        <f>'19_Расчет_аналитики'!AV348/(1+'01_Вводные'!$B$58)</f>
        <v/>
      </c>
      <c r="AW349">
        <f>'19_Расчет_аналитики'!AW348/(1+'01_Вводные'!$B$58)</f>
        <v/>
      </c>
      <c r="AX349">
        <f>'19_Расчет_аналитики'!AX348/(1+'01_Вводные'!$B$58)</f>
        <v/>
      </c>
      <c r="AY349">
        <f>'19_Расчет_аналитики'!AY348/(1+'01_Вводные'!$B$58)</f>
        <v/>
      </c>
      <c r="AZ349">
        <f>'19_Расчет_аналитики'!AZ348/(1+'01_Вводные'!$B$58)</f>
        <v/>
      </c>
      <c r="BA349">
        <f>'19_Расчет_аналитики'!BA348/(1+'01_Вводные'!$B$58)</f>
        <v/>
      </c>
      <c r="BB349">
        <f>'19_Расчет_аналитики'!BB348/(1+'01_Вводные'!$B$58)</f>
        <v/>
      </c>
      <c r="BC349">
        <f>'19_Расчет_аналитики'!BC348/(1+'01_Вводные'!$B$58)</f>
        <v/>
      </c>
      <c r="BD349">
        <f>'19_Расчет_аналитики'!BD348/(1+'01_Вводные'!$B$58)</f>
        <v/>
      </c>
      <c r="BE349">
        <f>'19_Расчет_аналитики'!BE348/(1+'01_Вводные'!$B$58)</f>
        <v/>
      </c>
      <c r="BF349">
        <f>'19_Расчет_аналитики'!BF348/(1+'01_Вводные'!$B$58)</f>
        <v/>
      </c>
      <c r="BG349">
        <f>'19_Расчет_аналитики'!BG348/(1+'01_Вводные'!$B$58)</f>
        <v/>
      </c>
      <c r="BH349">
        <f>'19_Расчет_аналитики'!BH348/(1+'01_Вводные'!$B$58)</f>
        <v/>
      </c>
      <c r="BI349">
        <f>'19_Расчет_аналитики'!BI348/(1+'01_Вводные'!$B$58)</f>
        <v/>
      </c>
    </row>
    <row r="350"/>
    <row r="351"/>
    <row r="352"/>
    <row r="353"/>
    <row r="354"/>
    <row r="355"/>
    <row r="356"/>
    <row r="357"/>
    <row r="358"/>
    <row r="359"/>
    <row r="360"/>
    <row r="361"/>
    <row r="362">
      <c r="C362">
        <f>'19_Расчет_аналитики'!C338</f>
        <v/>
      </c>
      <c r="D362">
        <f>'19_Расчет_аналитики'!D338</f>
        <v/>
      </c>
      <c r="E362">
        <f>'19_Расчет_аналитики'!E338</f>
        <v/>
      </c>
      <c r="F362">
        <f>'19_Расчет_аналитики'!F338</f>
        <v/>
      </c>
      <c r="G362">
        <f>'19_Расчет_аналитики'!G338</f>
        <v/>
      </c>
      <c r="H362">
        <f>'19_Расчет_аналитики'!H338</f>
        <v/>
      </c>
      <c r="I362">
        <f>'19_Расчет_аналитики'!I338</f>
        <v/>
      </c>
      <c r="J362">
        <f>'19_Расчет_аналитики'!J338</f>
        <v/>
      </c>
      <c r="K362">
        <f>'19_Расчет_аналитики'!K338</f>
        <v/>
      </c>
      <c r="L362">
        <f>'19_Расчет_аналитики'!L338</f>
        <v/>
      </c>
      <c r="M362">
        <f>'19_Расчет_аналитики'!M338</f>
        <v/>
      </c>
      <c r="N362">
        <f>'19_Расчет_аналитики'!N338</f>
        <v/>
      </c>
      <c r="O362">
        <f>'19_Расчет_аналитики'!O338</f>
        <v/>
      </c>
      <c r="P362">
        <f>'19_Расчет_аналитики'!P338</f>
        <v/>
      </c>
      <c r="Q362">
        <f>'19_Расчет_аналитики'!Q338</f>
        <v/>
      </c>
      <c r="R362">
        <f>'19_Расчет_аналитики'!R338</f>
        <v/>
      </c>
      <c r="S362">
        <f>'19_Расчет_аналитики'!S338</f>
        <v/>
      </c>
      <c r="T362">
        <f>'19_Расчет_аналитики'!T338</f>
        <v/>
      </c>
      <c r="U362">
        <f>'19_Расчет_аналитики'!U338</f>
        <v/>
      </c>
      <c r="V362">
        <f>'19_Расчет_аналитики'!V338</f>
        <v/>
      </c>
      <c r="W362">
        <f>'19_Расчет_аналитики'!W338</f>
        <v/>
      </c>
      <c r="X362">
        <f>'19_Расчет_аналитики'!X338</f>
        <v/>
      </c>
      <c r="Y362">
        <f>'19_Расчет_аналитики'!Y338</f>
        <v/>
      </c>
      <c r="Z362">
        <f>'19_Расчет_аналитики'!Z338</f>
        <v/>
      </c>
      <c r="AA362">
        <f>'19_Расчет_аналитики'!AA338</f>
        <v/>
      </c>
      <c r="AB362">
        <f>'19_Расчет_аналитики'!AB338</f>
        <v/>
      </c>
      <c r="AC362">
        <f>'19_Расчет_аналитики'!AC338</f>
        <v/>
      </c>
      <c r="AD362">
        <f>'19_Расчет_аналитики'!AD338</f>
        <v/>
      </c>
      <c r="AE362">
        <f>'19_Расчет_аналитики'!AE338</f>
        <v/>
      </c>
      <c r="AF362">
        <f>'19_Расчет_аналитики'!AF338</f>
        <v/>
      </c>
      <c r="AG362">
        <f>'19_Расчет_аналитики'!AG338</f>
        <v/>
      </c>
      <c r="AH362">
        <f>'19_Расчет_аналитики'!AH338</f>
        <v/>
      </c>
      <c r="AI362">
        <f>'19_Расчет_аналитики'!AI338</f>
        <v/>
      </c>
      <c r="AJ362">
        <f>'19_Расчет_аналитики'!AJ338</f>
        <v/>
      </c>
      <c r="AK362">
        <f>'19_Расчет_аналитики'!AK338</f>
        <v/>
      </c>
      <c r="AL362">
        <f>'19_Расчет_аналитики'!AL338</f>
        <v/>
      </c>
      <c r="AM362">
        <f>'19_Расчет_аналитики'!AM338</f>
        <v/>
      </c>
      <c r="AN362">
        <f>'19_Расчет_аналитики'!AN338</f>
        <v/>
      </c>
      <c r="AO362">
        <f>'19_Расчет_аналитики'!AO338</f>
        <v/>
      </c>
      <c r="AP362">
        <f>'19_Расчет_аналитики'!AP338</f>
        <v/>
      </c>
      <c r="AQ362">
        <f>'19_Расчет_аналитики'!AQ338</f>
        <v/>
      </c>
      <c r="AR362">
        <f>'19_Расчет_аналитики'!AR338</f>
        <v/>
      </c>
      <c r="AS362">
        <f>'19_Расчет_аналитики'!AS338</f>
        <v/>
      </c>
      <c r="AT362">
        <f>'19_Расчет_аналитики'!AT338</f>
        <v/>
      </c>
      <c r="AU362">
        <f>'19_Расчет_аналитики'!AU338</f>
        <v/>
      </c>
      <c r="AV362">
        <f>'19_Расчет_аналитики'!AV338</f>
        <v/>
      </c>
      <c r="AW362">
        <f>'19_Расчет_аналитики'!AW338</f>
        <v/>
      </c>
      <c r="AX362">
        <f>'19_Расчет_аналитики'!AX338</f>
        <v/>
      </c>
      <c r="AY362">
        <f>'19_Расчет_аналитики'!AY338</f>
        <v/>
      </c>
      <c r="AZ362">
        <f>'19_Расчет_аналитики'!AZ338</f>
        <v/>
      </c>
      <c r="BA362">
        <f>'19_Расчет_аналитики'!BA338</f>
        <v/>
      </c>
      <c r="BB362">
        <f>'19_Расчет_аналитики'!BB338</f>
        <v/>
      </c>
      <c r="BC362">
        <f>'19_Расчет_аналитики'!BC338</f>
        <v/>
      </c>
      <c r="BD362">
        <f>'19_Расчет_аналитики'!BD338</f>
        <v/>
      </c>
      <c r="BE362">
        <f>'19_Расчет_аналитики'!BE338</f>
        <v/>
      </c>
      <c r="BF362">
        <f>'19_Расчет_аналитики'!BF338</f>
        <v/>
      </c>
      <c r="BG362">
        <f>'19_Расчет_аналитики'!BG338</f>
        <v/>
      </c>
      <c r="BH362">
        <f>'19_Расчет_аналитики'!BH338</f>
        <v/>
      </c>
      <c r="BI362">
        <f>'19_Расчет_аналитики'!BI338</f>
        <v/>
      </c>
    </row>
    <row r="363">
      <c r="B363">
        <f>IF(OR(1&lt;='01_Вводные'!$B$15,1-'01_Вводные'!$B$15&gt;60),0,INDEX('19_Расчет_аналитики'!$B$338:$BI$338,1,1-'01_Вводные'!$B$15))*'01_Вводные'!$B$298*MIN(1,'01_Вводные'!$B$22)+IF(OR(1&lt;=('01_Вводные'!$B$15+'01_Вводные'!$B$311),1-('01_Вводные'!$B$15+'01_Вводные'!$B$311)&gt;60),0,INDEX('19_Расчет_аналитики'!$B$338:$BI$338,1,1-('01_Вводные'!$B$15+'01_Вводные'!$B$311)))*'01_Вводные'!$B$298*MAX(0,'01_Вводные'!$B$22-1)</f>
        <v/>
      </c>
      <c r="C363">
        <f>IF(OR(2&lt;='01_Вводные'!$B$15,2-'01_Вводные'!$B$15&gt;60),0,INDEX('19_Расчет_аналитики'!$B$338:$BI$338,1,2-'01_Вводные'!$B$15))*'01_Вводные'!$B$298*MIN(1,'01_Вводные'!$B$22)+IF(OR(2&lt;=('01_Вводные'!$B$15+'01_Вводные'!$B$311),2-('01_Вводные'!$B$15+'01_Вводные'!$B$311)&gt;60),0,INDEX('19_Расчет_аналитики'!$B$338:$BI$338,1,2-('01_Вводные'!$B$15+'01_Вводные'!$B$311)))*'01_Вводные'!$B$298*MAX(0,'01_Вводные'!$B$22-1)</f>
        <v/>
      </c>
      <c r="D363">
        <f>IF(OR(3&lt;='01_Вводные'!$B$15,3-'01_Вводные'!$B$15&gt;60),0,INDEX('19_Расчет_аналитики'!$B$338:$BI$338,1,3-'01_Вводные'!$B$15))*'01_Вводные'!$B$298*MIN(1,'01_Вводные'!$B$22)+IF(OR(3&lt;=('01_Вводные'!$B$15+'01_Вводные'!$B$311),3-('01_Вводные'!$B$15+'01_Вводные'!$B$311)&gt;60),0,INDEX('19_Расчет_аналитики'!$B$338:$BI$338,1,3-('01_Вводные'!$B$15+'01_Вводные'!$B$311)))*'01_Вводные'!$B$298*MAX(0,'01_Вводные'!$B$22-1)</f>
        <v/>
      </c>
      <c r="E363">
        <f>IF(OR(4&lt;='01_Вводные'!$B$15,4-'01_Вводные'!$B$15&gt;60),0,INDEX('19_Расчет_аналитики'!$B$338:$BI$338,1,4-'01_Вводные'!$B$15))*'01_Вводные'!$B$298*MIN(1,'01_Вводные'!$B$22)+IF(OR(4&lt;=('01_Вводные'!$B$15+'01_Вводные'!$B$311),4-('01_Вводные'!$B$15+'01_Вводные'!$B$311)&gt;60),0,INDEX('19_Расчет_аналитики'!$B$338:$BI$338,1,4-('01_Вводные'!$B$15+'01_Вводные'!$B$311)))*'01_Вводные'!$B$298*MAX(0,'01_Вводные'!$B$22-1)</f>
        <v/>
      </c>
      <c r="F363">
        <f>IF(OR(5&lt;='01_Вводные'!$B$15,5-'01_Вводные'!$B$15&gt;60),0,INDEX('19_Расчет_аналитики'!$B$338:$BI$338,1,5-'01_Вводные'!$B$15))*'01_Вводные'!$B$298*MIN(1,'01_Вводные'!$B$22)+IF(OR(5&lt;=('01_Вводные'!$B$15+'01_Вводные'!$B$311),5-('01_Вводные'!$B$15+'01_Вводные'!$B$311)&gt;60),0,INDEX('19_Расчет_аналитики'!$B$338:$BI$338,1,5-('01_Вводные'!$B$15+'01_Вводные'!$B$311)))*'01_Вводные'!$B$298*MAX(0,'01_Вводные'!$B$22-1)</f>
        <v/>
      </c>
      <c r="G363">
        <f>IF(OR(6&lt;='01_Вводные'!$B$15,6-'01_Вводные'!$B$15&gt;60),0,INDEX('19_Расчет_аналитики'!$B$338:$BI$338,1,6-'01_Вводные'!$B$15))*'01_Вводные'!$B$298*MIN(1,'01_Вводные'!$B$22)+IF(OR(6&lt;=('01_Вводные'!$B$15+'01_Вводные'!$B$311),6-('01_Вводные'!$B$15+'01_Вводные'!$B$311)&gt;60),0,INDEX('19_Расчет_аналитики'!$B$338:$BI$338,1,6-('01_Вводные'!$B$15+'01_Вводные'!$B$311)))*'01_Вводные'!$B$298*MAX(0,'01_Вводные'!$B$22-1)</f>
        <v/>
      </c>
      <c r="H363">
        <f>IF(OR(7&lt;='01_Вводные'!$B$15,7-'01_Вводные'!$B$15&gt;60),0,INDEX('19_Расчет_аналитики'!$B$338:$BI$338,1,7-'01_Вводные'!$B$15))*'01_Вводные'!$B$298*MIN(1,'01_Вводные'!$B$22)+IF(OR(7&lt;=('01_Вводные'!$B$15+'01_Вводные'!$B$311),7-('01_Вводные'!$B$15+'01_Вводные'!$B$311)&gt;60),0,INDEX('19_Расчет_аналитики'!$B$338:$BI$338,1,7-('01_Вводные'!$B$15+'01_Вводные'!$B$311)))*'01_Вводные'!$B$298*MAX(0,'01_Вводные'!$B$22-1)</f>
        <v/>
      </c>
      <c r="I363">
        <f>IF(OR(8&lt;='01_Вводные'!$B$15,8-'01_Вводные'!$B$15&gt;60),0,INDEX('19_Расчет_аналитики'!$B$338:$BI$338,1,8-'01_Вводные'!$B$15))*'01_Вводные'!$B$298*MIN(1,'01_Вводные'!$B$22)+IF(OR(8&lt;=('01_Вводные'!$B$15+'01_Вводные'!$B$311),8-('01_Вводные'!$B$15+'01_Вводные'!$B$311)&gt;60),0,INDEX('19_Расчет_аналитики'!$B$338:$BI$338,1,8-('01_Вводные'!$B$15+'01_Вводные'!$B$311)))*'01_Вводные'!$B$298*MAX(0,'01_Вводные'!$B$22-1)</f>
        <v/>
      </c>
      <c r="J363">
        <f>IF(OR(9&lt;='01_Вводные'!$B$15,9-'01_Вводные'!$B$15&gt;60),0,INDEX('19_Расчет_аналитики'!$B$338:$BI$338,1,9-'01_Вводные'!$B$15))*'01_Вводные'!$B$298*MIN(1,'01_Вводные'!$B$22)+IF(OR(9&lt;=('01_Вводные'!$B$15+'01_Вводные'!$B$311),9-('01_Вводные'!$B$15+'01_Вводные'!$B$311)&gt;60),0,INDEX('19_Расчет_аналитики'!$B$338:$BI$338,1,9-('01_Вводные'!$B$15+'01_Вводные'!$B$311)))*'01_Вводные'!$B$298*MAX(0,'01_Вводные'!$B$22-1)</f>
        <v/>
      </c>
      <c r="K363">
        <f>IF(OR(10&lt;='01_Вводные'!$B$15,10-'01_Вводные'!$B$15&gt;60),0,INDEX('19_Расчет_аналитики'!$B$338:$BI$338,1,10-'01_Вводные'!$B$15))*'01_Вводные'!$B$298*MIN(1,'01_Вводные'!$B$22)+IF(OR(10&lt;=('01_Вводные'!$B$15+'01_Вводные'!$B$311),10-('01_Вводные'!$B$15+'01_Вводные'!$B$311)&gt;60),0,INDEX('19_Расчет_аналитики'!$B$338:$BI$338,1,10-('01_Вводные'!$B$15+'01_Вводные'!$B$311)))*'01_Вводные'!$B$298*MAX(0,'01_Вводные'!$B$22-1)</f>
        <v/>
      </c>
      <c r="L363">
        <f>IF(OR(11&lt;='01_Вводные'!$B$15,11-'01_Вводные'!$B$15&gt;60),0,INDEX('19_Расчет_аналитики'!$B$338:$BI$338,1,11-'01_Вводные'!$B$15))*'01_Вводные'!$B$298*MIN(1,'01_Вводные'!$B$22)+IF(OR(11&lt;=('01_Вводные'!$B$15+'01_Вводные'!$B$311),11-('01_Вводные'!$B$15+'01_Вводные'!$B$311)&gt;60),0,INDEX('19_Расчет_аналитики'!$B$338:$BI$338,1,11-('01_Вводные'!$B$15+'01_Вводные'!$B$311)))*'01_Вводные'!$B$298*MAX(0,'01_Вводные'!$B$22-1)</f>
        <v/>
      </c>
      <c r="M363">
        <f>IF(OR(12&lt;='01_Вводные'!$B$15,12-'01_Вводные'!$B$15&gt;60),0,INDEX('19_Расчет_аналитики'!$B$338:$BI$338,1,12-'01_Вводные'!$B$15))*'01_Вводные'!$B$298*MIN(1,'01_Вводные'!$B$22)+IF(OR(12&lt;=('01_Вводные'!$B$15+'01_Вводные'!$B$311),12-('01_Вводные'!$B$15+'01_Вводные'!$B$311)&gt;60),0,INDEX('19_Расчет_аналитики'!$B$338:$BI$338,1,12-('01_Вводные'!$B$15+'01_Вводные'!$B$311)))*'01_Вводные'!$B$298*MAX(0,'01_Вводные'!$B$22-1)</f>
        <v/>
      </c>
      <c r="N363">
        <f>IF(OR(13&lt;='01_Вводные'!$B$15,13-'01_Вводные'!$B$15&gt;60),0,INDEX('19_Расчет_аналитики'!$B$338:$BI$338,1,13-'01_Вводные'!$B$15))*'01_Вводные'!$B$298*MIN(1,'01_Вводные'!$B$22)+IF(OR(13&lt;=('01_Вводные'!$B$15+'01_Вводные'!$B$311),13-('01_Вводные'!$B$15+'01_Вводные'!$B$311)&gt;60),0,INDEX('19_Расчет_аналитики'!$B$338:$BI$338,1,13-('01_Вводные'!$B$15+'01_Вводные'!$B$311)))*'01_Вводные'!$B$298*MAX(0,'01_Вводные'!$B$22-1)</f>
        <v/>
      </c>
      <c r="O363">
        <f>IF(OR(14&lt;='01_Вводные'!$B$15,14-'01_Вводные'!$B$15&gt;60),0,INDEX('19_Расчет_аналитики'!$B$338:$BI$338,1,14-'01_Вводные'!$B$15))*'01_Вводные'!$B$298*MIN(1,'01_Вводные'!$B$22)+IF(OR(14&lt;=('01_Вводные'!$B$15+'01_Вводные'!$B$311),14-('01_Вводные'!$B$15+'01_Вводные'!$B$311)&gt;60),0,INDEX('19_Расчет_аналитики'!$B$338:$BI$338,1,14-('01_Вводные'!$B$15+'01_Вводные'!$B$311)))*'01_Вводные'!$B$298*MAX(0,'01_Вводные'!$B$22-1)</f>
        <v/>
      </c>
      <c r="P363">
        <f>IF(OR(15&lt;='01_Вводные'!$B$15,15-'01_Вводные'!$B$15&gt;60),0,INDEX('19_Расчет_аналитики'!$B$338:$BI$338,1,15-'01_Вводные'!$B$15))*'01_Вводные'!$B$298*MIN(1,'01_Вводные'!$B$22)+IF(OR(15&lt;=('01_Вводные'!$B$15+'01_Вводные'!$B$311),15-('01_Вводные'!$B$15+'01_Вводные'!$B$311)&gt;60),0,INDEX('19_Расчет_аналитики'!$B$338:$BI$338,1,15-('01_Вводные'!$B$15+'01_Вводные'!$B$311)))*'01_Вводные'!$B$298*MAX(0,'01_Вводные'!$B$22-1)</f>
        <v/>
      </c>
      <c r="Q363">
        <f>IF(OR(16&lt;='01_Вводные'!$B$15,16-'01_Вводные'!$B$15&gt;60),0,INDEX('19_Расчет_аналитики'!$B$338:$BI$338,1,16-'01_Вводные'!$B$15))*'01_Вводные'!$B$298*MIN(1,'01_Вводные'!$B$22)+IF(OR(16&lt;=('01_Вводные'!$B$15+'01_Вводные'!$B$311),16-('01_Вводные'!$B$15+'01_Вводные'!$B$311)&gt;60),0,INDEX('19_Расчет_аналитики'!$B$338:$BI$338,1,16-('01_Вводные'!$B$15+'01_Вводные'!$B$311)))*'01_Вводные'!$B$298*MAX(0,'01_Вводные'!$B$22-1)</f>
        <v/>
      </c>
      <c r="R363">
        <f>IF(OR(17&lt;='01_Вводные'!$B$15,17-'01_Вводные'!$B$15&gt;60),0,INDEX('19_Расчет_аналитики'!$B$338:$BI$338,1,17-'01_Вводные'!$B$15))*'01_Вводные'!$B$298*MIN(1,'01_Вводные'!$B$22)+IF(OR(17&lt;=('01_Вводные'!$B$15+'01_Вводные'!$B$311),17-('01_Вводные'!$B$15+'01_Вводные'!$B$311)&gt;60),0,INDEX('19_Расчет_аналитики'!$B$338:$BI$338,1,17-('01_Вводные'!$B$15+'01_Вводные'!$B$311)))*'01_Вводные'!$B$298*MAX(0,'01_Вводные'!$B$22-1)</f>
        <v/>
      </c>
      <c r="S363">
        <f>IF(OR(18&lt;='01_Вводные'!$B$15,18-'01_Вводные'!$B$15&gt;60),0,INDEX('19_Расчет_аналитики'!$B$338:$BI$338,1,18-'01_Вводные'!$B$15))*'01_Вводные'!$B$298*MIN(1,'01_Вводные'!$B$22)+IF(OR(18&lt;=('01_Вводные'!$B$15+'01_Вводные'!$B$311),18-('01_Вводные'!$B$15+'01_Вводные'!$B$311)&gt;60),0,INDEX('19_Расчет_аналитики'!$B$338:$BI$338,1,18-('01_Вводные'!$B$15+'01_Вводные'!$B$311)))*'01_Вводные'!$B$298*MAX(0,'01_Вводные'!$B$22-1)</f>
        <v/>
      </c>
      <c r="T363">
        <f>IF(OR(19&lt;='01_Вводные'!$B$15,19-'01_Вводные'!$B$15&gt;60),0,INDEX('19_Расчет_аналитики'!$B$338:$BI$338,1,19-'01_Вводные'!$B$15))*'01_Вводные'!$B$298*MIN(1,'01_Вводные'!$B$22)+IF(OR(19&lt;=('01_Вводные'!$B$15+'01_Вводные'!$B$311),19-('01_Вводные'!$B$15+'01_Вводные'!$B$311)&gt;60),0,INDEX('19_Расчет_аналитики'!$B$338:$BI$338,1,19-('01_Вводные'!$B$15+'01_Вводные'!$B$311)))*'01_Вводные'!$B$298*MAX(0,'01_Вводные'!$B$22-1)</f>
        <v/>
      </c>
      <c r="U363">
        <f>IF(OR(20&lt;='01_Вводные'!$B$15,20-'01_Вводные'!$B$15&gt;60),0,INDEX('19_Расчет_аналитики'!$B$338:$BI$338,1,20-'01_Вводные'!$B$15))*'01_Вводные'!$B$298*MIN(1,'01_Вводные'!$B$22)+IF(OR(20&lt;=('01_Вводные'!$B$15+'01_Вводные'!$B$311),20-('01_Вводные'!$B$15+'01_Вводные'!$B$311)&gt;60),0,INDEX('19_Расчет_аналитики'!$B$338:$BI$338,1,20-('01_Вводные'!$B$15+'01_Вводные'!$B$311)))*'01_Вводные'!$B$298*MAX(0,'01_Вводные'!$B$22-1)</f>
        <v/>
      </c>
      <c r="V363">
        <f>IF(OR(21&lt;='01_Вводные'!$B$15,21-'01_Вводные'!$B$15&gt;60),0,INDEX('19_Расчет_аналитики'!$B$338:$BI$338,1,21-'01_Вводные'!$B$15))*'01_Вводные'!$B$298*MIN(1,'01_Вводные'!$B$22)+IF(OR(21&lt;=('01_Вводные'!$B$15+'01_Вводные'!$B$311),21-('01_Вводные'!$B$15+'01_Вводные'!$B$311)&gt;60),0,INDEX('19_Расчет_аналитики'!$B$338:$BI$338,1,21-('01_Вводные'!$B$15+'01_Вводные'!$B$311)))*'01_Вводные'!$B$298*MAX(0,'01_Вводные'!$B$22-1)</f>
        <v/>
      </c>
      <c r="W363">
        <f>IF(OR(22&lt;='01_Вводные'!$B$15,22-'01_Вводные'!$B$15&gt;60),0,INDEX('19_Расчет_аналитики'!$B$338:$BI$338,1,22-'01_Вводные'!$B$15))*'01_Вводные'!$B$298*MIN(1,'01_Вводные'!$B$22)+IF(OR(22&lt;=('01_Вводные'!$B$15+'01_Вводные'!$B$311),22-('01_Вводные'!$B$15+'01_Вводные'!$B$311)&gt;60),0,INDEX('19_Расчет_аналитики'!$B$338:$BI$338,1,22-('01_Вводные'!$B$15+'01_Вводные'!$B$311)))*'01_Вводные'!$B$298*MAX(0,'01_Вводные'!$B$22-1)</f>
        <v/>
      </c>
      <c r="X363">
        <f>IF(OR(23&lt;='01_Вводные'!$B$15,23-'01_Вводные'!$B$15&gt;60),0,INDEX('19_Расчет_аналитики'!$B$338:$BI$338,1,23-'01_Вводные'!$B$15))*'01_Вводные'!$B$298*MIN(1,'01_Вводные'!$B$22)+IF(OR(23&lt;=('01_Вводные'!$B$15+'01_Вводные'!$B$311),23-('01_Вводные'!$B$15+'01_Вводные'!$B$311)&gt;60),0,INDEX('19_Расчет_аналитики'!$B$338:$BI$338,1,23-('01_Вводные'!$B$15+'01_Вводные'!$B$311)))*'01_Вводные'!$B$298*MAX(0,'01_Вводные'!$B$22-1)</f>
        <v/>
      </c>
      <c r="Y363">
        <f>IF(OR(24&lt;='01_Вводные'!$B$15,24-'01_Вводные'!$B$15&gt;60),0,INDEX('19_Расчет_аналитики'!$B$338:$BI$338,1,24-'01_Вводные'!$B$15))*'01_Вводные'!$B$298*MIN(1,'01_Вводные'!$B$22)+IF(OR(24&lt;=('01_Вводные'!$B$15+'01_Вводные'!$B$311),24-('01_Вводные'!$B$15+'01_Вводные'!$B$311)&gt;60),0,INDEX('19_Расчет_аналитики'!$B$338:$BI$338,1,24-('01_Вводные'!$B$15+'01_Вводные'!$B$311)))*'01_Вводные'!$B$298*MAX(0,'01_Вводные'!$B$22-1)</f>
        <v/>
      </c>
      <c r="Z363">
        <f>IF(OR(25&lt;='01_Вводные'!$B$15,25-'01_Вводные'!$B$15&gt;60),0,INDEX('19_Расчет_аналитики'!$B$338:$BI$338,1,25-'01_Вводные'!$B$15))*'01_Вводные'!$B$298*MIN(1,'01_Вводные'!$B$22)+IF(OR(25&lt;=('01_Вводные'!$B$15+'01_Вводные'!$B$311),25-('01_Вводные'!$B$15+'01_Вводные'!$B$311)&gt;60),0,INDEX('19_Расчет_аналитики'!$B$338:$BI$338,1,25-('01_Вводные'!$B$15+'01_Вводные'!$B$311)))*'01_Вводные'!$B$298*MAX(0,'01_Вводные'!$B$22-1)</f>
        <v/>
      </c>
      <c r="AA363">
        <f>IF(OR(26&lt;='01_Вводные'!$B$15,26-'01_Вводные'!$B$15&gt;60),0,INDEX('19_Расчет_аналитики'!$B$338:$BI$338,1,26-'01_Вводные'!$B$15))*'01_Вводные'!$B$298*MIN(1,'01_Вводные'!$B$22)+IF(OR(26&lt;=('01_Вводные'!$B$15+'01_Вводные'!$B$311),26-('01_Вводные'!$B$15+'01_Вводные'!$B$311)&gt;60),0,INDEX('19_Расчет_аналитики'!$B$338:$BI$338,1,26-('01_Вводные'!$B$15+'01_Вводные'!$B$311)))*'01_Вводные'!$B$298*MAX(0,'01_Вводные'!$B$22-1)</f>
        <v/>
      </c>
      <c r="AB363">
        <f>IF(OR(27&lt;='01_Вводные'!$B$15,27-'01_Вводные'!$B$15&gt;60),0,INDEX('19_Расчет_аналитики'!$B$338:$BI$338,1,27-'01_Вводные'!$B$15))*'01_Вводные'!$B$298*MIN(1,'01_Вводные'!$B$22)+IF(OR(27&lt;=('01_Вводные'!$B$15+'01_Вводные'!$B$311),27-('01_Вводные'!$B$15+'01_Вводные'!$B$311)&gt;60),0,INDEX('19_Расчет_аналитики'!$B$338:$BI$338,1,27-('01_Вводные'!$B$15+'01_Вводные'!$B$311)))*'01_Вводные'!$B$298*MAX(0,'01_Вводные'!$B$22-1)</f>
        <v/>
      </c>
      <c r="AC363">
        <f>IF(OR(28&lt;='01_Вводные'!$B$15,28-'01_Вводные'!$B$15&gt;60),0,INDEX('19_Расчет_аналитики'!$B$338:$BI$338,1,28-'01_Вводные'!$B$15))*'01_Вводные'!$B$298*MIN(1,'01_Вводные'!$B$22)+IF(OR(28&lt;=('01_Вводные'!$B$15+'01_Вводные'!$B$311),28-('01_Вводные'!$B$15+'01_Вводные'!$B$311)&gt;60),0,INDEX('19_Расчет_аналитики'!$B$338:$BI$338,1,28-('01_Вводные'!$B$15+'01_Вводные'!$B$311)))*'01_Вводные'!$B$298*MAX(0,'01_Вводные'!$B$22-1)</f>
        <v/>
      </c>
      <c r="AD363">
        <f>IF(OR(29&lt;='01_Вводные'!$B$15,29-'01_Вводные'!$B$15&gt;60),0,INDEX('19_Расчет_аналитики'!$B$338:$BI$338,1,29-'01_Вводные'!$B$15))*'01_Вводные'!$B$298*MIN(1,'01_Вводные'!$B$22)+IF(OR(29&lt;=('01_Вводные'!$B$15+'01_Вводные'!$B$311),29-('01_Вводные'!$B$15+'01_Вводные'!$B$311)&gt;60),0,INDEX('19_Расчет_аналитики'!$B$338:$BI$338,1,29-('01_Вводные'!$B$15+'01_Вводные'!$B$311)))*'01_Вводные'!$B$298*MAX(0,'01_Вводные'!$B$22-1)</f>
        <v/>
      </c>
      <c r="AE363">
        <f>IF(OR(30&lt;='01_Вводные'!$B$15,30-'01_Вводные'!$B$15&gt;60),0,INDEX('19_Расчет_аналитики'!$B$338:$BI$338,1,30-'01_Вводные'!$B$15))*'01_Вводные'!$B$298*MIN(1,'01_Вводные'!$B$22)+IF(OR(30&lt;=('01_Вводные'!$B$15+'01_Вводные'!$B$311),30-('01_Вводные'!$B$15+'01_Вводные'!$B$311)&gt;60),0,INDEX('19_Расчет_аналитики'!$B$338:$BI$338,1,30-('01_Вводные'!$B$15+'01_Вводные'!$B$311)))*'01_Вводные'!$B$298*MAX(0,'01_Вводные'!$B$22-1)</f>
        <v/>
      </c>
      <c r="AF363">
        <f>IF(OR(31&lt;='01_Вводные'!$B$15,31-'01_Вводные'!$B$15&gt;60),0,INDEX('19_Расчет_аналитики'!$B$338:$BI$338,1,31-'01_Вводные'!$B$15))*'01_Вводные'!$B$298*MIN(1,'01_Вводные'!$B$22)+IF(OR(31&lt;=('01_Вводные'!$B$15+'01_Вводные'!$B$311),31-('01_Вводные'!$B$15+'01_Вводные'!$B$311)&gt;60),0,INDEX('19_Расчет_аналитики'!$B$338:$BI$338,1,31-('01_Вводные'!$B$15+'01_Вводные'!$B$311)))*'01_Вводные'!$B$298*MAX(0,'01_Вводные'!$B$22-1)</f>
        <v/>
      </c>
      <c r="AG363">
        <f>IF(OR(32&lt;='01_Вводные'!$B$15,32-'01_Вводные'!$B$15&gt;60),0,INDEX('19_Расчет_аналитики'!$B$338:$BI$338,1,32-'01_Вводные'!$B$15))*'01_Вводные'!$B$298*MIN(1,'01_Вводные'!$B$22)+IF(OR(32&lt;=('01_Вводные'!$B$15+'01_Вводные'!$B$311),32-('01_Вводные'!$B$15+'01_Вводные'!$B$311)&gt;60),0,INDEX('19_Расчет_аналитики'!$B$338:$BI$338,1,32-('01_Вводные'!$B$15+'01_Вводные'!$B$311)))*'01_Вводные'!$B$298*MAX(0,'01_Вводные'!$B$22-1)</f>
        <v/>
      </c>
      <c r="AH363">
        <f>IF(OR(33&lt;='01_Вводные'!$B$15,33-'01_Вводные'!$B$15&gt;60),0,INDEX('19_Расчет_аналитики'!$B$338:$BI$338,1,33-'01_Вводные'!$B$15))*'01_Вводные'!$B$298*MIN(1,'01_Вводные'!$B$22)+IF(OR(33&lt;=('01_Вводные'!$B$15+'01_Вводные'!$B$311),33-('01_Вводные'!$B$15+'01_Вводные'!$B$311)&gt;60),0,INDEX('19_Расчет_аналитики'!$B$338:$BI$338,1,33-('01_Вводные'!$B$15+'01_Вводные'!$B$311)))*'01_Вводные'!$B$298*MAX(0,'01_Вводные'!$B$22-1)</f>
        <v/>
      </c>
      <c r="AI363">
        <f>IF(OR(34&lt;='01_Вводные'!$B$15,34-'01_Вводные'!$B$15&gt;60),0,INDEX('19_Расчет_аналитики'!$B$338:$BI$338,1,34-'01_Вводные'!$B$15))*'01_Вводные'!$B$298*MIN(1,'01_Вводные'!$B$22)+IF(OR(34&lt;=('01_Вводные'!$B$15+'01_Вводные'!$B$311),34-('01_Вводные'!$B$15+'01_Вводные'!$B$311)&gt;60),0,INDEX('19_Расчет_аналитики'!$B$338:$BI$338,1,34-('01_Вводные'!$B$15+'01_Вводные'!$B$311)))*'01_Вводные'!$B$298*MAX(0,'01_Вводные'!$B$22-1)</f>
        <v/>
      </c>
      <c r="AJ363">
        <f>IF(OR(35&lt;='01_Вводные'!$B$15,35-'01_Вводные'!$B$15&gt;60),0,INDEX('19_Расчет_аналитики'!$B$338:$BI$338,1,35-'01_Вводные'!$B$15))*'01_Вводные'!$B$298*MIN(1,'01_Вводные'!$B$22)+IF(OR(35&lt;=('01_Вводные'!$B$15+'01_Вводные'!$B$311),35-('01_Вводные'!$B$15+'01_Вводные'!$B$311)&gt;60),0,INDEX('19_Расчет_аналитики'!$B$338:$BI$338,1,35-('01_Вводные'!$B$15+'01_Вводные'!$B$311)))*'01_Вводные'!$B$298*MAX(0,'01_Вводные'!$B$22-1)</f>
        <v/>
      </c>
      <c r="AK363">
        <f>IF(OR(36&lt;='01_Вводные'!$B$15,36-'01_Вводные'!$B$15&gt;60),0,INDEX('19_Расчет_аналитики'!$B$338:$BI$338,1,36-'01_Вводные'!$B$15))*'01_Вводные'!$B$298*MIN(1,'01_Вводные'!$B$22)+IF(OR(36&lt;=('01_Вводные'!$B$15+'01_Вводные'!$B$311),36-('01_Вводные'!$B$15+'01_Вводные'!$B$311)&gt;60),0,INDEX('19_Расчет_аналитики'!$B$338:$BI$338,1,36-('01_Вводные'!$B$15+'01_Вводные'!$B$311)))*'01_Вводные'!$B$298*MAX(0,'01_Вводные'!$B$22-1)</f>
        <v/>
      </c>
      <c r="AL363">
        <f>IF(OR(37&lt;='01_Вводные'!$B$15,37-'01_Вводные'!$B$15&gt;60),0,INDEX('19_Расчет_аналитики'!$B$338:$BI$338,1,37-'01_Вводные'!$B$15))*'01_Вводные'!$B$298*MIN(1,'01_Вводные'!$B$22)+IF(OR(37&lt;=('01_Вводные'!$B$15+'01_Вводные'!$B$311),37-('01_Вводные'!$B$15+'01_Вводные'!$B$311)&gt;60),0,INDEX('19_Расчет_аналитики'!$B$338:$BI$338,1,37-('01_Вводные'!$B$15+'01_Вводные'!$B$311)))*'01_Вводные'!$B$298*MAX(0,'01_Вводные'!$B$22-1)</f>
        <v/>
      </c>
      <c r="AM363">
        <f>IF(OR(38&lt;='01_Вводные'!$B$15,38-'01_Вводные'!$B$15&gt;60),0,INDEX('19_Расчет_аналитики'!$B$338:$BI$338,1,38-'01_Вводные'!$B$15))*'01_Вводные'!$B$298*MIN(1,'01_Вводные'!$B$22)+IF(OR(38&lt;=('01_Вводные'!$B$15+'01_Вводные'!$B$311),38-('01_Вводные'!$B$15+'01_Вводные'!$B$311)&gt;60),0,INDEX('19_Расчет_аналитики'!$B$338:$BI$338,1,38-('01_Вводные'!$B$15+'01_Вводные'!$B$311)))*'01_Вводные'!$B$298*MAX(0,'01_Вводные'!$B$22-1)</f>
        <v/>
      </c>
      <c r="AN363">
        <f>IF(OR(39&lt;='01_Вводные'!$B$15,39-'01_Вводные'!$B$15&gt;60),0,INDEX('19_Расчет_аналитики'!$B$338:$BI$338,1,39-'01_Вводные'!$B$15))*'01_Вводные'!$B$298*MIN(1,'01_Вводные'!$B$22)+IF(OR(39&lt;=('01_Вводные'!$B$15+'01_Вводные'!$B$311),39-('01_Вводные'!$B$15+'01_Вводные'!$B$311)&gt;60),0,INDEX('19_Расчет_аналитики'!$B$338:$BI$338,1,39-('01_Вводные'!$B$15+'01_Вводные'!$B$311)))*'01_Вводные'!$B$298*MAX(0,'01_Вводные'!$B$22-1)</f>
        <v/>
      </c>
      <c r="AO363">
        <f>IF(OR(40&lt;='01_Вводные'!$B$15,40-'01_Вводные'!$B$15&gt;60),0,INDEX('19_Расчет_аналитики'!$B$338:$BI$338,1,40-'01_Вводные'!$B$15))*'01_Вводные'!$B$298*MIN(1,'01_Вводные'!$B$22)+IF(OR(40&lt;=('01_Вводные'!$B$15+'01_Вводные'!$B$311),40-('01_Вводные'!$B$15+'01_Вводные'!$B$311)&gt;60),0,INDEX('19_Расчет_аналитики'!$B$338:$BI$338,1,40-('01_Вводные'!$B$15+'01_Вводные'!$B$311)))*'01_Вводные'!$B$298*MAX(0,'01_Вводные'!$B$22-1)</f>
        <v/>
      </c>
      <c r="AP363">
        <f>IF(OR(41&lt;='01_Вводные'!$B$15,41-'01_Вводные'!$B$15&gt;60),0,INDEX('19_Расчет_аналитики'!$B$338:$BI$338,1,41-'01_Вводные'!$B$15))*'01_Вводные'!$B$298*MIN(1,'01_Вводные'!$B$22)+IF(OR(41&lt;=('01_Вводные'!$B$15+'01_Вводные'!$B$311),41-('01_Вводные'!$B$15+'01_Вводные'!$B$311)&gt;60),0,INDEX('19_Расчет_аналитики'!$B$338:$BI$338,1,41-('01_Вводные'!$B$15+'01_Вводные'!$B$311)))*'01_Вводные'!$B$298*MAX(0,'01_Вводные'!$B$22-1)</f>
        <v/>
      </c>
      <c r="AQ363">
        <f>IF(OR(42&lt;='01_Вводные'!$B$15,42-'01_Вводные'!$B$15&gt;60),0,INDEX('19_Расчет_аналитики'!$B$338:$BI$338,1,42-'01_Вводные'!$B$15))*'01_Вводные'!$B$298*MIN(1,'01_Вводные'!$B$22)+IF(OR(42&lt;=('01_Вводные'!$B$15+'01_Вводные'!$B$311),42-('01_Вводные'!$B$15+'01_Вводные'!$B$311)&gt;60),0,INDEX('19_Расчет_аналитики'!$B$338:$BI$338,1,42-('01_Вводные'!$B$15+'01_Вводные'!$B$311)))*'01_Вводные'!$B$298*MAX(0,'01_Вводные'!$B$22-1)</f>
        <v/>
      </c>
      <c r="AR363">
        <f>IF(OR(43&lt;='01_Вводные'!$B$15,43-'01_Вводные'!$B$15&gt;60),0,INDEX('19_Расчет_аналитики'!$B$338:$BI$338,1,43-'01_Вводные'!$B$15))*'01_Вводные'!$B$298*MIN(1,'01_Вводные'!$B$22)+IF(OR(43&lt;=('01_Вводные'!$B$15+'01_Вводные'!$B$311),43-('01_Вводные'!$B$15+'01_Вводные'!$B$311)&gt;60),0,INDEX('19_Расчет_аналитики'!$B$338:$BI$338,1,43-('01_Вводные'!$B$15+'01_Вводные'!$B$311)))*'01_Вводные'!$B$298*MAX(0,'01_Вводные'!$B$22-1)</f>
        <v/>
      </c>
      <c r="AS363">
        <f>IF(OR(44&lt;='01_Вводные'!$B$15,44-'01_Вводные'!$B$15&gt;60),0,INDEX('19_Расчет_аналитики'!$B$338:$BI$338,1,44-'01_Вводные'!$B$15))*'01_Вводные'!$B$298*MIN(1,'01_Вводные'!$B$22)+IF(OR(44&lt;=('01_Вводные'!$B$15+'01_Вводные'!$B$311),44-('01_Вводные'!$B$15+'01_Вводные'!$B$311)&gt;60),0,INDEX('19_Расчет_аналитики'!$B$338:$BI$338,1,44-('01_Вводные'!$B$15+'01_Вводные'!$B$311)))*'01_Вводные'!$B$298*MAX(0,'01_Вводные'!$B$22-1)</f>
        <v/>
      </c>
      <c r="AT363">
        <f>IF(OR(45&lt;='01_Вводные'!$B$15,45-'01_Вводные'!$B$15&gt;60),0,INDEX('19_Расчет_аналитики'!$B$338:$BI$338,1,45-'01_Вводные'!$B$15))*'01_Вводные'!$B$298*MIN(1,'01_Вводные'!$B$22)+IF(OR(45&lt;=('01_Вводные'!$B$15+'01_Вводные'!$B$311),45-('01_Вводные'!$B$15+'01_Вводные'!$B$311)&gt;60),0,INDEX('19_Расчет_аналитики'!$B$338:$BI$338,1,45-('01_Вводные'!$B$15+'01_Вводные'!$B$311)))*'01_Вводные'!$B$298*MAX(0,'01_Вводные'!$B$22-1)</f>
        <v/>
      </c>
      <c r="AU363">
        <f>IF(OR(46&lt;='01_Вводные'!$B$15,46-'01_Вводные'!$B$15&gt;60),0,INDEX('19_Расчет_аналитики'!$B$338:$BI$338,1,46-'01_Вводные'!$B$15))*'01_Вводные'!$B$298*MIN(1,'01_Вводные'!$B$22)+IF(OR(46&lt;=('01_Вводные'!$B$15+'01_Вводные'!$B$311),46-('01_Вводные'!$B$15+'01_Вводные'!$B$311)&gt;60),0,INDEX('19_Расчет_аналитики'!$B$338:$BI$338,1,46-('01_Вводные'!$B$15+'01_Вводные'!$B$311)))*'01_Вводные'!$B$298*MAX(0,'01_Вводные'!$B$22-1)</f>
        <v/>
      </c>
      <c r="AV363">
        <f>IF(OR(47&lt;='01_Вводные'!$B$15,47-'01_Вводные'!$B$15&gt;60),0,INDEX('19_Расчет_аналитики'!$B$338:$BI$338,1,47-'01_Вводные'!$B$15))*'01_Вводные'!$B$298*MIN(1,'01_Вводные'!$B$22)+IF(OR(47&lt;=('01_Вводные'!$B$15+'01_Вводные'!$B$311),47-('01_Вводные'!$B$15+'01_Вводные'!$B$311)&gt;60),0,INDEX('19_Расчет_аналитики'!$B$338:$BI$338,1,47-('01_Вводные'!$B$15+'01_Вводные'!$B$311)))*'01_Вводные'!$B$298*MAX(0,'01_Вводные'!$B$22-1)</f>
        <v/>
      </c>
      <c r="AW363">
        <f>IF(OR(48&lt;='01_Вводные'!$B$15,48-'01_Вводные'!$B$15&gt;60),0,INDEX('19_Расчет_аналитики'!$B$338:$BI$338,1,48-'01_Вводные'!$B$15))*'01_Вводные'!$B$298*MIN(1,'01_Вводные'!$B$22)+IF(OR(48&lt;=('01_Вводные'!$B$15+'01_Вводные'!$B$311),48-('01_Вводные'!$B$15+'01_Вводные'!$B$311)&gt;60),0,INDEX('19_Расчет_аналитики'!$B$338:$BI$338,1,48-('01_Вводные'!$B$15+'01_Вводные'!$B$311)))*'01_Вводные'!$B$298*MAX(0,'01_Вводные'!$B$22-1)</f>
        <v/>
      </c>
      <c r="AX363">
        <f>IF(OR(49&lt;='01_Вводные'!$B$15,49-'01_Вводные'!$B$15&gt;60),0,INDEX('19_Расчет_аналитики'!$B$338:$BI$338,1,49-'01_Вводные'!$B$15))*'01_Вводные'!$B$298*MIN(1,'01_Вводные'!$B$22)+IF(OR(49&lt;=('01_Вводные'!$B$15+'01_Вводные'!$B$311),49-('01_Вводные'!$B$15+'01_Вводные'!$B$311)&gt;60),0,INDEX('19_Расчет_аналитики'!$B$338:$BI$338,1,49-('01_Вводные'!$B$15+'01_Вводные'!$B$311)))*'01_Вводные'!$B$298*MAX(0,'01_Вводные'!$B$22-1)</f>
        <v/>
      </c>
      <c r="AY363">
        <f>IF(OR(50&lt;='01_Вводные'!$B$15,50-'01_Вводные'!$B$15&gt;60),0,INDEX('19_Расчет_аналитики'!$B$338:$BI$338,1,50-'01_Вводные'!$B$15))*'01_Вводные'!$B$298*MIN(1,'01_Вводные'!$B$22)+IF(OR(50&lt;=('01_Вводные'!$B$15+'01_Вводные'!$B$311),50-('01_Вводные'!$B$15+'01_Вводные'!$B$311)&gt;60),0,INDEX('19_Расчет_аналитики'!$B$338:$BI$338,1,50-('01_Вводные'!$B$15+'01_Вводные'!$B$311)))*'01_Вводные'!$B$298*MAX(0,'01_Вводные'!$B$22-1)</f>
        <v/>
      </c>
      <c r="AZ363">
        <f>IF(OR(51&lt;='01_Вводные'!$B$15,51-'01_Вводные'!$B$15&gt;60),0,INDEX('19_Расчет_аналитики'!$B$338:$BI$338,1,51-'01_Вводные'!$B$15))*'01_Вводные'!$B$298*MIN(1,'01_Вводные'!$B$22)+IF(OR(51&lt;=('01_Вводные'!$B$15+'01_Вводные'!$B$311),51-('01_Вводные'!$B$15+'01_Вводные'!$B$311)&gt;60),0,INDEX('19_Расчет_аналитики'!$B$338:$BI$338,1,51-('01_Вводные'!$B$15+'01_Вводные'!$B$311)))*'01_Вводные'!$B$298*MAX(0,'01_Вводные'!$B$22-1)</f>
        <v/>
      </c>
      <c r="BA363">
        <f>IF(OR(52&lt;='01_Вводные'!$B$15,52-'01_Вводные'!$B$15&gt;60),0,INDEX('19_Расчет_аналитики'!$B$338:$BI$338,1,52-'01_Вводные'!$B$15))*'01_Вводные'!$B$298*MIN(1,'01_Вводные'!$B$22)+IF(OR(52&lt;=('01_Вводные'!$B$15+'01_Вводные'!$B$311),52-('01_Вводные'!$B$15+'01_Вводные'!$B$311)&gt;60),0,INDEX('19_Расчет_аналитики'!$B$338:$BI$338,1,52-('01_Вводные'!$B$15+'01_Вводные'!$B$311)))*'01_Вводные'!$B$298*MAX(0,'01_Вводные'!$B$22-1)</f>
        <v/>
      </c>
      <c r="BB363">
        <f>IF(OR(53&lt;='01_Вводные'!$B$15,53-'01_Вводные'!$B$15&gt;60),0,INDEX('19_Расчет_аналитики'!$B$338:$BI$338,1,53-'01_Вводные'!$B$15))*'01_Вводные'!$B$298*MIN(1,'01_Вводные'!$B$22)+IF(OR(53&lt;=('01_Вводные'!$B$15+'01_Вводные'!$B$311),53-('01_Вводные'!$B$15+'01_Вводные'!$B$311)&gt;60),0,INDEX('19_Расчет_аналитики'!$B$338:$BI$338,1,53-('01_Вводные'!$B$15+'01_Вводные'!$B$311)))*'01_Вводные'!$B$298*MAX(0,'01_Вводные'!$B$22-1)</f>
        <v/>
      </c>
      <c r="BC363">
        <f>IF(OR(54&lt;='01_Вводные'!$B$15,54-'01_Вводные'!$B$15&gt;60),0,INDEX('19_Расчет_аналитики'!$B$338:$BI$338,1,54-'01_Вводные'!$B$15))*'01_Вводные'!$B$298*MIN(1,'01_Вводные'!$B$22)+IF(OR(54&lt;=('01_Вводные'!$B$15+'01_Вводные'!$B$311),54-('01_Вводные'!$B$15+'01_Вводные'!$B$311)&gt;60),0,INDEX('19_Расчет_аналитики'!$B$338:$BI$338,1,54-('01_Вводные'!$B$15+'01_Вводные'!$B$311)))*'01_Вводные'!$B$298*MAX(0,'01_Вводные'!$B$22-1)</f>
        <v/>
      </c>
      <c r="BD363">
        <f>IF(OR(55&lt;='01_Вводные'!$B$15,55-'01_Вводные'!$B$15&gt;60),0,INDEX('19_Расчет_аналитики'!$B$338:$BI$338,1,55-'01_Вводные'!$B$15))*'01_Вводные'!$B$298*MIN(1,'01_Вводные'!$B$22)+IF(OR(55&lt;=('01_Вводные'!$B$15+'01_Вводные'!$B$311),55-('01_Вводные'!$B$15+'01_Вводные'!$B$311)&gt;60),0,INDEX('19_Расчет_аналитики'!$B$338:$BI$338,1,55-('01_Вводные'!$B$15+'01_Вводные'!$B$311)))*'01_Вводные'!$B$298*MAX(0,'01_Вводные'!$B$22-1)</f>
        <v/>
      </c>
      <c r="BE363">
        <f>IF(OR(56&lt;='01_Вводные'!$B$15,56-'01_Вводные'!$B$15&gt;60),0,INDEX('19_Расчет_аналитики'!$B$338:$BI$338,1,56-'01_Вводные'!$B$15))*'01_Вводные'!$B$298*MIN(1,'01_Вводные'!$B$22)+IF(OR(56&lt;=('01_Вводные'!$B$15+'01_Вводные'!$B$311),56-('01_Вводные'!$B$15+'01_Вводные'!$B$311)&gt;60),0,INDEX('19_Расчет_аналитики'!$B$338:$BI$338,1,56-('01_Вводные'!$B$15+'01_Вводные'!$B$311)))*'01_Вводные'!$B$298*MAX(0,'01_Вводные'!$B$22-1)</f>
        <v/>
      </c>
      <c r="BF363">
        <f>IF(OR(57&lt;='01_Вводные'!$B$15,57-'01_Вводные'!$B$15&gt;60),0,INDEX('19_Расчет_аналитики'!$B$338:$BI$338,1,57-'01_Вводные'!$B$15))*'01_Вводные'!$B$298*MIN(1,'01_Вводные'!$B$22)+IF(OR(57&lt;=('01_Вводные'!$B$15+'01_Вводные'!$B$311),57-('01_Вводные'!$B$15+'01_Вводные'!$B$311)&gt;60),0,INDEX('19_Расчет_аналитики'!$B$338:$BI$338,1,57-('01_Вводные'!$B$15+'01_Вводные'!$B$311)))*'01_Вводные'!$B$298*MAX(0,'01_Вводные'!$B$22-1)</f>
        <v/>
      </c>
      <c r="BG363">
        <f>IF(OR(58&lt;='01_Вводные'!$B$15,58-'01_Вводные'!$B$15&gt;60),0,INDEX('19_Расчет_аналитики'!$B$338:$BI$338,1,58-'01_Вводные'!$B$15))*'01_Вводные'!$B$298*MIN(1,'01_Вводные'!$B$22)+IF(OR(58&lt;=('01_Вводные'!$B$15+'01_Вводные'!$B$311),58-('01_Вводные'!$B$15+'01_Вводные'!$B$311)&gt;60),0,INDEX('19_Расчет_аналитики'!$B$338:$BI$338,1,58-('01_Вводные'!$B$15+'01_Вводные'!$B$311)))*'01_Вводные'!$B$298*MAX(0,'01_Вводные'!$B$22-1)</f>
        <v/>
      </c>
      <c r="BH363">
        <f>IF(OR(59&lt;='01_Вводные'!$B$15,59-'01_Вводные'!$B$15&gt;60),0,INDEX('19_Расчет_аналитики'!$B$338:$BI$338,1,59-'01_Вводные'!$B$15))*'01_Вводные'!$B$298*MIN(1,'01_Вводные'!$B$22)+IF(OR(59&lt;=('01_Вводные'!$B$15+'01_Вводные'!$B$311),59-('01_Вводные'!$B$15+'01_Вводные'!$B$311)&gt;60),0,INDEX('19_Расчет_аналитики'!$B$338:$BI$338,1,59-('01_Вводные'!$B$15+'01_Вводные'!$B$311)))*'01_Вводные'!$B$298*MAX(0,'01_Вводные'!$B$22-1)</f>
        <v/>
      </c>
      <c r="BI363">
        <f>IF(OR(60&lt;='01_Вводные'!$B$15,60-'01_Вводные'!$B$15&gt;60),0,INDEX('19_Расчет_аналитики'!$B$338:$BI$338,1,60-'01_Вводные'!$B$15))*'01_Вводные'!$B$298*MIN(1,'01_Вводные'!$B$22)+IF(OR(60&lt;=('01_Вводные'!$B$15+'01_Вводные'!$B$311),60-('01_Вводные'!$B$15+'01_Вводные'!$B$311)&gt;60),0,INDEX('19_Расчет_аналитики'!$B$338:$BI$338,1,60-('01_Вводные'!$B$15+'01_Вводные'!$B$311)))*'01_Вводные'!$B$298*MAX(0,'01_Вводные'!$B$22-1)</f>
        <v/>
      </c>
      <c r="BJ363">
        <f>IF(OR(61&lt;='01_Вводные'!$B$15,61-'01_Вводные'!$B$15&gt;60),0,INDEX('19_Расчет_аналитики'!$B$338:$BI$338,1,61-'01_Вводные'!$B$15))*'01_Вводные'!$B$298*MIN(1,'01_Вводные'!$B$22)+IF(OR(61&lt;=('01_Вводные'!$B$15+'01_Вводные'!$B$311),61-('01_Вводные'!$B$15+'01_Вводные'!$B$311)&gt;60),0,INDEX('19_Расчет_аналитики'!$B$338:$BI$338,1,61-('01_Вводные'!$B$15+'01_Вводные'!$B$311)))*'01_Вводные'!$B$298*MAX(0,'01_Вводные'!$B$22-1)</f>
        <v/>
      </c>
      <c r="BK363">
        <f>IF(OR(62&lt;='01_Вводные'!$B$15,62-'01_Вводные'!$B$15&gt;60),0,INDEX('19_Расчет_аналитики'!$B$338:$BI$338,1,62-'01_Вводные'!$B$15))*'01_Вводные'!$B$298*MIN(1,'01_Вводные'!$B$22)+IF(OR(62&lt;=('01_Вводные'!$B$15+'01_Вводные'!$B$311),62-('01_Вводные'!$B$15+'01_Вводные'!$B$311)&gt;60),0,INDEX('19_Расчет_аналитики'!$B$338:$BI$338,1,62-('01_Вводные'!$B$15+'01_Вводные'!$B$311)))*'01_Вводные'!$B$298*MAX(0,'01_Вводные'!$B$22-1)</f>
        <v/>
      </c>
      <c r="BL363">
        <f>IF(OR(63&lt;='01_Вводные'!$B$15,63-'01_Вводные'!$B$15&gt;60),0,INDEX('19_Расчет_аналитики'!$B$338:$BI$338,1,63-'01_Вводные'!$B$15))*'01_Вводные'!$B$298*MIN(1,'01_Вводные'!$B$22)+IF(OR(63&lt;=('01_Вводные'!$B$15+'01_Вводные'!$B$311),63-('01_Вводные'!$B$15+'01_Вводные'!$B$311)&gt;60),0,INDEX('19_Расчет_аналитики'!$B$338:$BI$338,1,63-('01_Вводные'!$B$15+'01_Вводные'!$B$311)))*'01_Вводные'!$B$298*MAX(0,'01_Вводные'!$B$22-1)</f>
        <v/>
      </c>
      <c r="BM363">
        <f>IF(OR(64&lt;='01_Вводные'!$B$15,64-'01_Вводные'!$B$15&gt;60),0,INDEX('19_Расчет_аналитики'!$B$338:$BI$338,1,64-'01_Вводные'!$B$15))*'01_Вводные'!$B$298*MIN(1,'01_Вводные'!$B$22)+IF(OR(64&lt;=('01_Вводные'!$B$15+'01_Вводные'!$B$311),64-('01_Вводные'!$B$15+'01_Вводные'!$B$311)&gt;60),0,INDEX('19_Расчет_аналитики'!$B$338:$BI$338,1,64-('01_Вводные'!$B$15+'01_Вводные'!$B$311)))*'01_Вводные'!$B$298*MAX(0,'01_Вводные'!$B$22-1)</f>
        <v/>
      </c>
      <c r="BN363">
        <f>IF(OR(65&lt;='01_Вводные'!$B$15,65-'01_Вводные'!$B$15&gt;60),0,INDEX('19_Расчет_аналитики'!$B$338:$BI$338,1,65-'01_Вводные'!$B$15))*'01_Вводные'!$B$298*MIN(1,'01_Вводные'!$B$22)+IF(OR(65&lt;=('01_Вводные'!$B$15+'01_Вводные'!$B$311),65-('01_Вводные'!$B$15+'01_Вводные'!$B$311)&gt;60),0,INDEX('19_Расчет_аналитики'!$B$338:$BI$338,1,65-('01_Вводные'!$B$15+'01_Вводные'!$B$311)))*'01_Вводные'!$B$298*MAX(0,'01_Вводные'!$B$22-1)</f>
        <v/>
      </c>
      <c r="BO363">
        <f>IF(OR(66&lt;='01_Вводные'!$B$15,66-'01_Вводные'!$B$15&gt;60),0,INDEX('19_Расчет_аналитики'!$B$338:$BI$338,1,66-'01_Вводные'!$B$15))*'01_Вводные'!$B$298*MIN(1,'01_Вводные'!$B$22)+IF(OR(66&lt;=('01_Вводные'!$B$15+'01_Вводные'!$B$311),66-('01_Вводные'!$B$15+'01_Вводные'!$B$311)&gt;60),0,INDEX('19_Расчет_аналитики'!$B$338:$BI$338,1,66-('01_Вводные'!$B$15+'01_Вводные'!$B$311)))*'01_Вводные'!$B$298*MAX(0,'01_Вводные'!$B$22-1)</f>
        <v/>
      </c>
    </row>
    <row r="364">
      <c r="C364">
        <f>'19_Расчет_аналитики'!C362*'01_Вводные'!$B$16</f>
        <v/>
      </c>
      <c r="D364">
        <f>'19_Расчет_аналитики'!D362*'01_Вводные'!$B$16</f>
        <v/>
      </c>
      <c r="E364">
        <f>'19_Расчет_аналитики'!E362*'01_Вводные'!$B$16</f>
        <v/>
      </c>
      <c r="F364">
        <f>'19_Расчет_аналитики'!F362*'01_Вводные'!$B$16</f>
        <v/>
      </c>
      <c r="G364">
        <f>'19_Расчет_аналитики'!G362*'01_Вводные'!$B$16</f>
        <v/>
      </c>
      <c r="H364">
        <f>'19_Расчет_аналитики'!H362*'01_Вводные'!$B$16</f>
        <v/>
      </c>
      <c r="I364">
        <f>'19_Расчет_аналитики'!I362*'01_Вводные'!$B$16</f>
        <v/>
      </c>
      <c r="J364">
        <f>'19_Расчет_аналитики'!J362*'01_Вводные'!$B$16</f>
        <v/>
      </c>
      <c r="K364">
        <f>'19_Расчет_аналитики'!K362*'01_Вводные'!$B$16</f>
        <v/>
      </c>
      <c r="L364">
        <f>'19_Расчет_аналитики'!L362*'01_Вводные'!$B$16</f>
        <v/>
      </c>
      <c r="M364">
        <f>'19_Расчет_аналитики'!M362*'01_Вводные'!$B$16</f>
        <v/>
      </c>
      <c r="N364">
        <f>'19_Расчет_аналитики'!N362*'01_Вводные'!$B$16</f>
        <v/>
      </c>
      <c r="O364">
        <f>'19_Расчет_аналитики'!O362*'01_Вводные'!$B$16</f>
        <v/>
      </c>
      <c r="P364">
        <f>'19_Расчет_аналитики'!P362*'01_Вводные'!$B$16</f>
        <v/>
      </c>
      <c r="Q364">
        <f>'19_Расчет_аналитики'!Q362*'01_Вводные'!$B$16</f>
        <v/>
      </c>
      <c r="R364">
        <f>'19_Расчет_аналитики'!R362*'01_Вводные'!$B$16</f>
        <v/>
      </c>
      <c r="S364">
        <f>'19_Расчет_аналитики'!S362*'01_Вводные'!$B$16</f>
        <v/>
      </c>
      <c r="T364">
        <f>'19_Расчет_аналитики'!T362*'01_Вводные'!$B$16</f>
        <v/>
      </c>
      <c r="U364">
        <f>'19_Расчет_аналитики'!U362*'01_Вводные'!$B$16</f>
        <v/>
      </c>
      <c r="V364">
        <f>'19_Расчет_аналитики'!V362*'01_Вводные'!$B$16</f>
        <v/>
      </c>
      <c r="W364">
        <f>'19_Расчет_аналитики'!W362*'01_Вводные'!$B$16</f>
        <v/>
      </c>
      <c r="X364">
        <f>'19_Расчет_аналитики'!X362*'01_Вводные'!$B$16</f>
        <v/>
      </c>
      <c r="Y364">
        <f>'19_Расчет_аналитики'!Y362*'01_Вводные'!$B$16</f>
        <v/>
      </c>
      <c r="Z364">
        <f>'19_Расчет_аналитики'!Z362*'01_Вводные'!$B$16</f>
        <v/>
      </c>
      <c r="AA364">
        <f>'19_Расчет_аналитики'!AA362*'01_Вводные'!$B$16</f>
        <v/>
      </c>
      <c r="AB364">
        <f>'19_Расчет_аналитики'!AB362*'01_Вводные'!$B$16</f>
        <v/>
      </c>
      <c r="AC364">
        <f>'19_Расчет_аналитики'!AC362*'01_Вводные'!$B$16</f>
        <v/>
      </c>
      <c r="AD364">
        <f>'19_Расчет_аналитики'!AD362*'01_Вводные'!$B$16</f>
        <v/>
      </c>
      <c r="AE364">
        <f>'19_Расчет_аналитики'!AE362*'01_Вводные'!$B$16</f>
        <v/>
      </c>
      <c r="AF364">
        <f>'19_Расчет_аналитики'!AF362*'01_Вводные'!$B$16</f>
        <v/>
      </c>
      <c r="AG364">
        <f>'19_Расчет_аналитики'!AG362*'01_Вводные'!$B$16</f>
        <v/>
      </c>
      <c r="AH364">
        <f>'19_Расчет_аналитики'!AH362*'01_Вводные'!$B$16</f>
        <v/>
      </c>
      <c r="AI364">
        <f>'19_Расчет_аналитики'!AI362*'01_Вводные'!$B$16</f>
        <v/>
      </c>
      <c r="AJ364">
        <f>'19_Расчет_аналитики'!AJ362*'01_Вводные'!$B$16</f>
        <v/>
      </c>
      <c r="AK364">
        <f>'19_Расчет_аналитики'!AK362*'01_Вводные'!$B$16</f>
        <v/>
      </c>
      <c r="AL364">
        <f>'19_Расчет_аналитики'!AL362*'01_Вводные'!$B$16</f>
        <v/>
      </c>
      <c r="AM364">
        <f>'19_Расчет_аналитики'!AM362*'01_Вводные'!$B$16</f>
        <v/>
      </c>
      <c r="AN364">
        <f>'19_Расчет_аналитики'!AN362*'01_Вводные'!$B$16</f>
        <v/>
      </c>
      <c r="AO364">
        <f>'19_Расчет_аналитики'!AO362*'01_Вводные'!$B$16</f>
        <v/>
      </c>
      <c r="AP364">
        <f>'19_Расчет_аналитики'!AP362*'01_Вводные'!$B$16</f>
        <v/>
      </c>
      <c r="AQ364">
        <f>'19_Расчет_аналитики'!AQ362*'01_Вводные'!$B$16</f>
        <v/>
      </c>
      <c r="AR364">
        <f>'19_Расчет_аналитики'!AR362*'01_Вводные'!$B$16</f>
        <v/>
      </c>
      <c r="AS364">
        <f>'19_Расчет_аналитики'!AS362*'01_Вводные'!$B$16</f>
        <v/>
      </c>
      <c r="AT364">
        <f>'19_Расчет_аналитики'!AT362*'01_Вводные'!$B$16</f>
        <v/>
      </c>
      <c r="AU364">
        <f>'19_Расчет_аналитики'!AU362*'01_Вводные'!$B$16</f>
        <v/>
      </c>
      <c r="AV364">
        <f>'19_Расчет_аналитики'!AV362*'01_Вводные'!$B$16</f>
        <v/>
      </c>
      <c r="AW364">
        <f>'19_Расчет_аналитики'!AW362*'01_Вводные'!$B$16</f>
        <v/>
      </c>
      <c r="AX364">
        <f>'19_Расчет_аналитики'!AX362*'01_Вводные'!$B$16</f>
        <v/>
      </c>
      <c r="AY364">
        <f>'19_Расчет_аналитики'!AY362*'01_Вводные'!$B$16</f>
        <v/>
      </c>
      <c r="AZ364">
        <f>'19_Расчет_аналитики'!AZ362*'01_Вводные'!$B$16</f>
        <v/>
      </c>
      <c r="BA364">
        <f>'19_Расчет_аналитики'!BA362*'01_Вводные'!$B$16</f>
        <v/>
      </c>
      <c r="BB364">
        <f>'19_Расчет_аналитики'!BB362*'01_Вводные'!$B$16</f>
        <v/>
      </c>
      <c r="BC364">
        <f>'19_Расчет_аналитики'!BC362*'01_Вводные'!$B$16</f>
        <v/>
      </c>
      <c r="BD364">
        <f>'19_Расчет_аналитики'!BD362*'01_Вводные'!$B$16</f>
        <v/>
      </c>
      <c r="BE364">
        <f>'19_Расчет_аналитики'!BE362*'01_Вводные'!$B$16</f>
        <v/>
      </c>
      <c r="BF364">
        <f>'19_Расчет_аналитики'!BF362*'01_Вводные'!$B$16</f>
        <v/>
      </c>
      <c r="BG364">
        <f>'19_Расчет_аналитики'!BG362*'01_Вводные'!$B$16</f>
        <v/>
      </c>
      <c r="BH364">
        <f>'19_Расчет_аналитики'!BH362*'01_Вводные'!$B$16</f>
        <v/>
      </c>
      <c r="BI364">
        <f>'19_Расчет_аналитики'!BI362*'01_Вводные'!$B$16</f>
        <v/>
      </c>
    </row>
    <row r="365">
      <c r="C365">
        <f>'06_Сеть_и_дети'!B10*'01_Вводные'!$B$14+'19_Расчет_аналитики'!C364</f>
        <v/>
      </c>
      <c r="D365">
        <f>'19_Расчет_аналитики'!C365*'01_Вводные'!$B$14+'19_Расчет_аналитики'!D364</f>
        <v/>
      </c>
      <c r="E365">
        <f>'19_Расчет_аналитики'!D365*'01_Вводные'!$B$14+'19_Расчет_аналитики'!E364</f>
        <v/>
      </c>
      <c r="F365">
        <f>'19_Расчет_аналитики'!E365*'01_Вводные'!$B$14+'19_Расчет_аналитики'!F364</f>
        <v/>
      </c>
      <c r="G365">
        <f>'19_Расчет_аналитики'!F365*'01_Вводные'!$B$14+'19_Расчет_аналитики'!G364</f>
        <v/>
      </c>
      <c r="H365">
        <f>'19_Расчет_аналитики'!G365*'01_Вводные'!$B$14+'19_Расчет_аналитики'!H364</f>
        <v/>
      </c>
      <c r="I365">
        <f>'19_Расчет_аналитики'!H365*'01_Вводные'!$B$14+'19_Расчет_аналитики'!I364</f>
        <v/>
      </c>
      <c r="J365">
        <f>'19_Расчет_аналитики'!I365*'01_Вводные'!$B$14+'19_Расчет_аналитики'!J364</f>
        <v/>
      </c>
      <c r="K365">
        <f>'19_Расчет_аналитики'!J365*'01_Вводные'!$B$14+'19_Расчет_аналитики'!K364</f>
        <v/>
      </c>
      <c r="L365">
        <f>'19_Расчет_аналитики'!K365*'01_Вводные'!$B$14+'19_Расчет_аналитики'!L364</f>
        <v/>
      </c>
      <c r="M365">
        <f>'19_Расчет_аналитики'!L365*'01_Вводные'!$B$14+'19_Расчет_аналитики'!M364</f>
        <v/>
      </c>
      <c r="N365">
        <f>'19_Расчет_аналитики'!M365*'01_Вводные'!$B$14+'19_Расчет_аналитики'!N364</f>
        <v/>
      </c>
      <c r="O365">
        <f>'19_Расчет_аналитики'!N365*'01_Вводные'!$B$14+'19_Расчет_аналитики'!O364</f>
        <v/>
      </c>
      <c r="P365">
        <f>'19_Расчет_аналитики'!O365*'01_Вводные'!$B$14+'19_Расчет_аналитики'!P364</f>
        <v/>
      </c>
      <c r="Q365">
        <f>'19_Расчет_аналитики'!P365*'01_Вводные'!$B$14+'19_Расчет_аналитики'!Q364</f>
        <v/>
      </c>
      <c r="R365">
        <f>'19_Расчет_аналитики'!Q365*'01_Вводные'!$B$14+'19_Расчет_аналитики'!R364</f>
        <v/>
      </c>
      <c r="S365">
        <f>'19_Расчет_аналитики'!R365*'01_Вводные'!$B$14+'19_Расчет_аналитики'!S364</f>
        <v/>
      </c>
      <c r="T365">
        <f>'19_Расчет_аналитики'!S365*'01_Вводные'!$B$14+'19_Расчет_аналитики'!T364</f>
        <v/>
      </c>
      <c r="U365">
        <f>'19_Расчет_аналитики'!T365*'01_Вводные'!$B$14+'19_Расчет_аналитики'!U364</f>
        <v/>
      </c>
      <c r="V365">
        <f>'19_Расчет_аналитики'!U365*'01_Вводные'!$B$14+'19_Расчет_аналитики'!V364</f>
        <v/>
      </c>
      <c r="W365">
        <f>'19_Расчет_аналитики'!V365*'01_Вводные'!$B$14+'19_Расчет_аналитики'!W364</f>
        <v/>
      </c>
      <c r="X365">
        <f>'19_Расчет_аналитики'!W365*'01_Вводные'!$B$14+'19_Расчет_аналитики'!X364</f>
        <v/>
      </c>
      <c r="Y365">
        <f>'19_Расчет_аналитики'!X365*'01_Вводные'!$B$14+'19_Расчет_аналитики'!Y364</f>
        <v/>
      </c>
      <c r="Z365">
        <f>'19_Расчет_аналитики'!Y365*'01_Вводные'!$B$14+'19_Расчет_аналитики'!Z364</f>
        <v/>
      </c>
      <c r="AA365">
        <f>'19_Расчет_аналитики'!Z365*'01_Вводные'!$B$14+'19_Расчет_аналитики'!AA364</f>
        <v/>
      </c>
      <c r="AB365">
        <f>'19_Расчет_аналитики'!AA365*'01_Вводные'!$B$14+'19_Расчет_аналитики'!AB364</f>
        <v/>
      </c>
      <c r="AC365">
        <f>'19_Расчет_аналитики'!AB365*'01_Вводные'!$B$14+'19_Расчет_аналитики'!AC364</f>
        <v/>
      </c>
      <c r="AD365">
        <f>'19_Расчет_аналитики'!AC365*'01_Вводные'!$B$14+'19_Расчет_аналитики'!AD364</f>
        <v/>
      </c>
      <c r="AE365">
        <f>'19_Расчет_аналитики'!AD365*'01_Вводные'!$B$14+'19_Расчет_аналитики'!AE364</f>
        <v/>
      </c>
      <c r="AF365">
        <f>'19_Расчет_аналитики'!AE365*'01_Вводные'!$B$14+'19_Расчет_аналитики'!AF364</f>
        <v/>
      </c>
      <c r="AG365">
        <f>'19_Расчет_аналитики'!AF365*'01_Вводные'!$B$14+'19_Расчет_аналитики'!AG364</f>
        <v/>
      </c>
      <c r="AH365">
        <f>'19_Расчет_аналитики'!AG365*'01_Вводные'!$B$14+'19_Расчет_аналитики'!AH364</f>
        <v/>
      </c>
      <c r="AI365">
        <f>'19_Расчет_аналитики'!AH365*'01_Вводные'!$B$14+'19_Расчет_аналитики'!AI364</f>
        <v/>
      </c>
      <c r="AJ365">
        <f>'19_Расчет_аналитики'!AI365*'01_Вводные'!$B$14+'19_Расчет_аналитики'!AJ364</f>
        <v/>
      </c>
      <c r="AK365">
        <f>'19_Расчет_аналитики'!AJ365*'01_Вводные'!$B$14+'19_Расчет_аналитики'!AK364</f>
        <v/>
      </c>
      <c r="AL365">
        <f>'19_Расчет_аналитики'!AK365*'01_Вводные'!$B$14+'19_Расчет_аналитики'!AL364</f>
        <v/>
      </c>
      <c r="AM365">
        <f>'19_Расчет_аналитики'!AL365*'01_Вводные'!$B$14+'19_Расчет_аналитики'!AM364</f>
        <v/>
      </c>
      <c r="AN365">
        <f>'19_Расчет_аналитики'!AM365*'01_Вводные'!$B$14+'19_Расчет_аналитики'!AN364</f>
        <v/>
      </c>
      <c r="AO365">
        <f>'19_Расчет_аналитики'!AN365*'01_Вводные'!$B$14+'19_Расчет_аналитики'!AO364</f>
        <v/>
      </c>
      <c r="AP365">
        <f>'19_Расчет_аналитики'!AO365*'01_Вводные'!$B$14+'19_Расчет_аналитики'!AP364</f>
        <v/>
      </c>
      <c r="AQ365">
        <f>'19_Расчет_аналитики'!AP365*'01_Вводные'!$B$14+'19_Расчет_аналитики'!AQ364</f>
        <v/>
      </c>
      <c r="AR365">
        <f>'19_Расчет_аналитики'!AQ365*'01_Вводные'!$B$14+'19_Расчет_аналитики'!AR364</f>
        <v/>
      </c>
      <c r="AS365">
        <f>'19_Расчет_аналитики'!AR365*'01_Вводные'!$B$14+'19_Расчет_аналитики'!AS364</f>
        <v/>
      </c>
      <c r="AT365">
        <f>'19_Расчет_аналитики'!AS365*'01_Вводные'!$B$14+'19_Расчет_аналитики'!AT364</f>
        <v/>
      </c>
      <c r="AU365">
        <f>'19_Расчет_аналитики'!AT365*'01_Вводные'!$B$14+'19_Расчет_аналитики'!AU364</f>
        <v/>
      </c>
      <c r="AV365">
        <f>'19_Расчет_аналитики'!AU365*'01_Вводные'!$B$14+'19_Расчет_аналитики'!AV364</f>
        <v/>
      </c>
      <c r="AW365">
        <f>'19_Расчет_аналитики'!AV365*'01_Вводные'!$B$14+'19_Расчет_аналитики'!AW364</f>
        <v/>
      </c>
      <c r="AX365">
        <f>'19_Расчет_аналитики'!AW365*'01_Вводные'!$B$14+'19_Расчет_аналитики'!AX364</f>
        <v/>
      </c>
      <c r="AY365">
        <f>'19_Расчет_аналитики'!AX365*'01_Вводные'!$B$14+'19_Расчет_аналитики'!AY364</f>
        <v/>
      </c>
      <c r="AZ365">
        <f>'19_Расчет_аналитики'!AY365*'01_Вводные'!$B$14+'19_Расчет_аналитики'!AZ364</f>
        <v/>
      </c>
      <c r="BA365">
        <f>'19_Расчет_аналитики'!AZ365*'01_Вводные'!$B$14+'19_Расчет_аналитики'!BA364</f>
        <v/>
      </c>
      <c r="BB365">
        <f>'19_Расчет_аналитики'!BA365*'01_Вводные'!$B$14+'19_Расчет_аналитики'!BB364</f>
        <v/>
      </c>
      <c r="BC365">
        <f>'19_Расчет_аналитики'!BB365*'01_Вводные'!$B$14+'19_Расчет_аналитики'!BC364</f>
        <v/>
      </c>
      <c r="BD365">
        <f>'19_Расчет_аналитики'!BC365*'01_Вводные'!$B$14+'19_Расчет_аналитики'!BD364</f>
        <v/>
      </c>
      <c r="BE365">
        <f>'19_Расчет_аналитики'!BD365*'01_Вводные'!$B$14+'19_Расчет_аналитики'!BE364</f>
        <v/>
      </c>
      <c r="BF365">
        <f>'19_Расчет_аналитики'!BE365*'01_Вводные'!$B$14+'19_Расчет_аналитики'!BF364</f>
        <v/>
      </c>
      <c r="BG365">
        <f>'19_Расчет_аналитики'!BF365*'01_Вводные'!$B$14+'19_Расчет_аналитики'!BG364</f>
        <v/>
      </c>
      <c r="BH365">
        <f>'19_Расчет_аналитики'!BG365*'01_Вводные'!$B$14+'19_Расчет_аналитики'!BH364</f>
        <v/>
      </c>
      <c r="BI365">
        <f>'19_Расчет_аналитики'!BH365*'01_Вводные'!$B$14+'19_Расчет_аналитики'!BI364</f>
        <v/>
      </c>
      <c r="BJ365">
        <f>'19_Расчет_аналитики'!BI365*'01_Вводные'!$B$14+'06_Сеть_и_дети'!BJ9</f>
        <v/>
      </c>
      <c r="BK365">
        <f>'19_Расчет_аналитики'!BJ365*'01_Вводные'!$B$14+'06_Сеть_и_дети'!BK9</f>
        <v/>
      </c>
      <c r="BL365">
        <f>'19_Расчет_аналитики'!BK365*'01_Вводные'!$B$14+'06_Сеть_и_дети'!BL9</f>
        <v/>
      </c>
      <c r="BM365">
        <f>'19_Расчет_аналитики'!BL365*'01_Вводные'!$B$14+'06_Сеть_и_дети'!BM9</f>
        <v/>
      </c>
      <c r="BN365">
        <f>'19_Расчет_аналитики'!BM365*'01_Вводные'!$B$14+'06_Сеть_и_дети'!BN9</f>
        <v/>
      </c>
      <c r="BO365">
        <f>'19_Расчет_аналитики'!BN365*'01_Вводные'!$B$14+'06_Сеть_и_дети'!BO9</f>
        <v/>
      </c>
    </row>
    <row r="366"/>
    <row r="367"/>
    <row r="368">
      <c r="B368">
        <f>SUM('19_Расчет_аналитики'!B408:B419)</f>
        <v/>
      </c>
      <c r="C368">
        <f>SUM('19_Расчет_аналитики'!C408:C419)</f>
        <v/>
      </c>
      <c r="D368">
        <f>SUM('19_Расчет_аналитики'!D408:D419)</f>
        <v/>
      </c>
      <c r="E368">
        <f>SUM('19_Расчет_аналитики'!E408:E419)</f>
        <v/>
      </c>
      <c r="F368">
        <f>SUM('19_Расчет_аналитики'!F408:F419)</f>
        <v/>
      </c>
      <c r="G368">
        <f>SUM('19_Расчет_аналитики'!G408:G419)</f>
        <v/>
      </c>
      <c r="H368">
        <f>SUM('19_Расчет_аналитики'!H408:H419)</f>
        <v/>
      </c>
      <c r="I368">
        <f>SUM('19_Расчет_аналитики'!I408:I419)</f>
        <v/>
      </c>
      <c r="J368">
        <f>SUM('19_Расчет_аналитики'!J408:J419)</f>
        <v/>
      </c>
      <c r="K368">
        <f>SUM('19_Расчет_аналитики'!K408:K419)</f>
        <v/>
      </c>
      <c r="L368">
        <f>SUM('19_Расчет_аналитики'!L408:L419)</f>
        <v/>
      </c>
      <c r="M368">
        <f>SUM('19_Расчет_аналитики'!M408:M419)</f>
        <v/>
      </c>
      <c r="N368">
        <f>SUM('19_Расчет_аналитики'!N408:N419)</f>
        <v/>
      </c>
      <c r="O368">
        <f>SUM('19_Расчет_аналитики'!O408:O419)</f>
        <v/>
      </c>
      <c r="P368">
        <f>SUM('19_Расчет_аналитики'!P408:P419)</f>
        <v/>
      </c>
      <c r="Q368">
        <f>SUM('19_Расчет_аналитики'!Q408:Q419)</f>
        <v/>
      </c>
      <c r="R368">
        <f>SUM('19_Расчет_аналитики'!R408:R419)</f>
        <v/>
      </c>
      <c r="S368">
        <f>SUM('19_Расчет_аналитики'!S408:S419)</f>
        <v/>
      </c>
      <c r="T368">
        <f>SUM('19_Расчет_аналитики'!T408:T419)</f>
        <v/>
      </c>
      <c r="U368">
        <f>SUM('19_Расчет_аналитики'!U408:U419)</f>
        <v/>
      </c>
      <c r="V368">
        <f>SUM('19_Расчет_аналитики'!V408:V419)</f>
        <v/>
      </c>
      <c r="W368">
        <f>SUM('19_Расчет_аналитики'!W408:W419)</f>
        <v/>
      </c>
      <c r="X368">
        <f>SUM('19_Расчет_аналитики'!X408:X419)</f>
        <v/>
      </c>
      <c r="Y368">
        <f>SUM('19_Расчет_аналитики'!Y408:Y419)</f>
        <v/>
      </c>
      <c r="Z368">
        <f>SUM('19_Расчет_аналитики'!Z408:Z419)</f>
        <v/>
      </c>
      <c r="AA368">
        <f>SUM('19_Расчет_аналитики'!AA408:AA419)</f>
        <v/>
      </c>
      <c r="AB368">
        <f>SUM('19_Расчет_аналитики'!AB408:AB419)</f>
        <v/>
      </c>
      <c r="AC368">
        <f>SUM('19_Расчет_аналитики'!AC408:AC419)</f>
        <v/>
      </c>
      <c r="AD368">
        <f>SUM('19_Расчет_аналитики'!AD408:AD419)</f>
        <v/>
      </c>
      <c r="AE368">
        <f>SUM('19_Расчет_аналитики'!AE408:AE419)</f>
        <v/>
      </c>
      <c r="AF368">
        <f>SUM('19_Расчет_аналитики'!AF408:AF419)</f>
        <v/>
      </c>
      <c r="AG368">
        <f>SUM('19_Расчет_аналитики'!AG408:AG419)</f>
        <v/>
      </c>
      <c r="AH368">
        <f>SUM('19_Расчет_аналитики'!AH408:AH419)</f>
        <v/>
      </c>
      <c r="AI368">
        <f>SUM('19_Расчет_аналитики'!AI408:AI419)</f>
        <v/>
      </c>
      <c r="AJ368">
        <f>SUM('19_Расчет_аналитики'!AJ408:AJ419)</f>
        <v/>
      </c>
      <c r="AK368">
        <f>SUM('19_Расчет_аналитики'!AK408:AK419)</f>
        <v/>
      </c>
      <c r="AL368">
        <f>SUM('19_Расчет_аналитики'!AL408:AL419)</f>
        <v/>
      </c>
      <c r="AM368">
        <f>SUM('19_Расчет_аналитики'!AM408:AM419)</f>
        <v/>
      </c>
      <c r="AN368">
        <f>SUM('19_Расчет_аналитики'!AN408:AN419)</f>
        <v/>
      </c>
      <c r="AO368">
        <f>SUM('19_Расчет_аналитики'!AO408:AO419)</f>
        <v/>
      </c>
      <c r="AP368">
        <f>SUM('19_Расчет_аналитики'!AP408:AP419)</f>
        <v/>
      </c>
      <c r="AQ368">
        <f>SUM('19_Расчет_аналитики'!AQ408:AQ419)</f>
        <v/>
      </c>
      <c r="AR368">
        <f>SUM('19_Расчет_аналитики'!AR408:AR419)</f>
        <v/>
      </c>
      <c r="AS368">
        <f>SUM('19_Расчет_аналитики'!AS408:AS419)</f>
        <v/>
      </c>
      <c r="AT368">
        <f>SUM('19_Расчет_аналитики'!AT408:AT419)</f>
        <v/>
      </c>
      <c r="AU368">
        <f>SUM('19_Расчет_аналитики'!AU408:AU419)</f>
        <v/>
      </c>
      <c r="AV368">
        <f>SUM('19_Расчет_аналитики'!AV408:AV419)</f>
        <v/>
      </c>
      <c r="AW368">
        <f>SUM('19_Расчет_аналитики'!AW408:AW419)</f>
        <v/>
      </c>
      <c r="AX368">
        <f>SUM('19_Расчет_аналитики'!AX408:AX419)</f>
        <v/>
      </c>
      <c r="AY368">
        <f>SUM('19_Расчет_аналитики'!AY408:AY419)</f>
        <v/>
      </c>
      <c r="AZ368">
        <f>SUM('19_Расчет_аналитики'!AZ408:AZ419)</f>
        <v/>
      </c>
      <c r="BA368">
        <f>SUM('19_Расчет_аналитики'!BA408:BA419)</f>
        <v/>
      </c>
      <c r="BB368">
        <f>SUM('19_Расчет_аналитики'!BB408:BB419)</f>
        <v/>
      </c>
      <c r="BC368">
        <f>SUM('19_Расчет_аналитики'!BC408:BC419)</f>
        <v/>
      </c>
      <c r="BD368">
        <f>SUM('19_Расчет_аналитики'!BD408:BD419)</f>
        <v/>
      </c>
      <c r="BE368">
        <f>SUM('19_Расчет_аналитики'!BE408:BE419)</f>
        <v/>
      </c>
      <c r="BF368">
        <f>SUM('19_Расчет_аналитики'!BF408:BF419)</f>
        <v/>
      </c>
      <c r="BG368">
        <f>SUM('19_Расчет_аналитики'!BG408:BG419)</f>
        <v/>
      </c>
      <c r="BH368">
        <f>SUM('19_Расчет_аналитики'!BH408:BH419)</f>
        <v/>
      </c>
      <c r="BI368">
        <f>SUM('19_Расчет_аналитики'!BI408:BI419)</f>
        <v/>
      </c>
      <c r="BJ368">
        <f>SUM('19_Расчет_аналитики'!BJ408:BJ419)</f>
        <v/>
      </c>
      <c r="BK368">
        <f>SUM('19_Расчет_аналитики'!BK408:BK419)</f>
        <v/>
      </c>
      <c r="BL368">
        <f>SUM('19_Расчет_аналитики'!BL408:BL419)</f>
        <v/>
      </c>
      <c r="BM368">
        <f>SUM('19_Расчет_аналитики'!BM408:BM419)</f>
        <v/>
      </c>
      <c r="BN368">
        <f>SUM('19_Расчет_аналитики'!BN408:BN419)</f>
        <v/>
      </c>
      <c r="BO368">
        <f>SUM('19_Расчет_аналитики'!BO408:BO419)</f>
        <v/>
      </c>
    </row>
    <row r="369">
      <c r="B369">
        <f>'06_Сеть_и_дети'!B14</f>
        <v/>
      </c>
      <c r="C369">
        <f>'06_Сеть_и_дети'!C14</f>
        <v/>
      </c>
      <c r="D369">
        <f>'06_Сеть_и_дети'!D14</f>
        <v/>
      </c>
      <c r="E369">
        <f>'06_Сеть_и_дети'!E14</f>
        <v/>
      </c>
      <c r="F369">
        <f>'06_Сеть_и_дети'!F14</f>
        <v/>
      </c>
      <c r="G369">
        <f>'06_Сеть_и_дети'!G14</f>
        <v/>
      </c>
      <c r="H369">
        <f>'06_Сеть_и_дети'!H14</f>
        <v/>
      </c>
      <c r="I369">
        <f>'06_Сеть_и_дети'!I14</f>
        <v/>
      </c>
      <c r="J369">
        <f>'06_Сеть_и_дети'!J14</f>
        <v/>
      </c>
      <c r="K369">
        <f>'06_Сеть_и_дети'!K14</f>
        <v/>
      </c>
      <c r="L369">
        <f>'06_Сеть_и_дети'!L14</f>
        <v/>
      </c>
      <c r="M369">
        <f>'06_Сеть_и_дети'!M14</f>
        <v/>
      </c>
      <c r="N369">
        <f>SUM('19_Расчет_аналитики'!N420:N431)</f>
        <v/>
      </c>
      <c r="O369">
        <f>SUM('19_Расчет_аналитики'!O420:O431)</f>
        <v/>
      </c>
      <c r="P369">
        <f>SUM('19_Расчет_аналитики'!P420:P431)</f>
        <v/>
      </c>
      <c r="Q369">
        <f>SUM('19_Расчет_аналитики'!Q420:Q431)</f>
        <v/>
      </c>
      <c r="R369">
        <f>SUM('19_Расчет_аналитики'!R420:R431)</f>
        <v/>
      </c>
      <c r="S369">
        <f>SUM('19_Расчет_аналитики'!S420:S431)</f>
        <v/>
      </c>
      <c r="T369">
        <f>SUM('19_Расчет_аналитики'!T420:T431)</f>
        <v/>
      </c>
      <c r="U369">
        <f>SUM('19_Расчет_аналитики'!U420:U431)</f>
        <v/>
      </c>
      <c r="V369">
        <f>SUM('19_Расчет_аналитики'!V420:V431)</f>
        <v/>
      </c>
      <c r="W369">
        <f>SUM('19_Расчет_аналитики'!W420:W431)</f>
        <v/>
      </c>
      <c r="X369">
        <f>SUM('19_Расчет_аналитики'!X420:X431)</f>
        <v/>
      </c>
      <c r="Y369">
        <f>SUM('19_Расчет_аналитики'!Y420:Y431)</f>
        <v/>
      </c>
      <c r="Z369">
        <f>SUM('19_Расчет_аналитики'!Z420:Z431)</f>
        <v/>
      </c>
      <c r="AA369">
        <f>SUM('19_Расчет_аналитики'!AA420:AA431)</f>
        <v/>
      </c>
      <c r="AB369">
        <f>SUM('19_Расчет_аналитики'!AB420:AB431)</f>
        <v/>
      </c>
      <c r="AC369">
        <f>SUM('19_Расчет_аналитики'!AC420:AC431)</f>
        <v/>
      </c>
      <c r="AD369">
        <f>SUM('19_Расчет_аналитики'!AD420:AD431)</f>
        <v/>
      </c>
      <c r="AE369">
        <f>SUM('19_Расчет_аналитики'!AE420:AE431)</f>
        <v/>
      </c>
      <c r="AF369">
        <f>SUM('19_Расчет_аналитики'!AF420:AF431)</f>
        <v/>
      </c>
      <c r="AG369">
        <f>SUM('19_Расчет_аналитики'!AG420:AG431)</f>
        <v/>
      </c>
      <c r="AH369">
        <f>SUM('19_Расчет_аналитики'!AH420:AH431)</f>
        <v/>
      </c>
      <c r="AI369">
        <f>SUM('19_Расчет_аналитики'!AI420:AI431)</f>
        <v/>
      </c>
      <c r="AJ369">
        <f>SUM('19_Расчет_аналитики'!AJ420:AJ431)</f>
        <v/>
      </c>
      <c r="AK369">
        <f>SUM('19_Расчет_аналитики'!AK420:AK431)</f>
        <v/>
      </c>
      <c r="AL369">
        <f>SUM('19_Расчет_аналитики'!AL420:AL431)</f>
        <v/>
      </c>
      <c r="AM369">
        <f>SUM('19_Расчет_аналитики'!AM420:AM431)</f>
        <v/>
      </c>
      <c r="AN369">
        <f>SUM('19_Расчет_аналитики'!AN420:AN431)</f>
        <v/>
      </c>
      <c r="AO369">
        <f>SUM('19_Расчет_аналитики'!AO420:AO431)</f>
        <v/>
      </c>
      <c r="AP369">
        <f>SUM('19_Расчет_аналитики'!AP420:AP431)</f>
        <v/>
      </c>
      <c r="AQ369">
        <f>SUM('19_Расчет_аналитики'!AQ420:AQ431)</f>
        <v/>
      </c>
      <c r="AR369">
        <f>SUM('19_Расчет_аналитики'!AR420:AR431)</f>
        <v/>
      </c>
      <c r="AS369">
        <f>SUM('19_Расчет_аналитики'!AS420:AS431)</f>
        <v/>
      </c>
      <c r="AT369">
        <f>SUM('19_Расчет_аналитики'!AT420:AT431)</f>
        <v/>
      </c>
      <c r="AU369">
        <f>SUM('19_Расчет_аналитики'!AU420:AU431)</f>
        <v/>
      </c>
      <c r="AV369">
        <f>SUM('19_Расчет_аналитики'!AV420:AV431)</f>
        <v/>
      </c>
      <c r="AW369">
        <f>SUM('19_Расчет_аналитики'!AW420:AW431)</f>
        <v/>
      </c>
      <c r="AX369">
        <f>SUM('19_Расчет_аналитики'!AX420:AX431)</f>
        <v/>
      </c>
      <c r="AY369">
        <f>SUM('19_Расчет_аналитики'!AY420:AY431)</f>
        <v/>
      </c>
      <c r="AZ369">
        <f>SUM('19_Расчет_аналитики'!AZ420:AZ431)</f>
        <v/>
      </c>
      <c r="BA369">
        <f>SUM('19_Расчет_аналитики'!BA420:BA431)</f>
        <v/>
      </c>
      <c r="BB369">
        <f>SUM('19_Расчет_аналитики'!BB420:BB431)</f>
        <v/>
      </c>
      <c r="BC369">
        <f>SUM('19_Расчет_аналитики'!BC420:BC431)</f>
        <v/>
      </c>
      <c r="BD369">
        <f>SUM('19_Расчет_аналитики'!BD420:BD431)</f>
        <v/>
      </c>
      <c r="BE369">
        <f>SUM('19_Расчет_аналитики'!BE420:BE431)</f>
        <v/>
      </c>
      <c r="BF369">
        <f>SUM('19_Расчет_аналитики'!BF420:BF431)</f>
        <v/>
      </c>
      <c r="BG369">
        <f>SUM('19_Расчет_аналитики'!BG420:BG431)</f>
        <v/>
      </c>
      <c r="BH369">
        <f>SUM('19_Расчет_аналитики'!BH420:BH431)</f>
        <v/>
      </c>
      <c r="BI369">
        <f>SUM('19_Расчет_аналитики'!BI420:BI431)</f>
        <v/>
      </c>
      <c r="BJ369">
        <f>SUM('19_Расчет_аналитики'!BJ420:BJ431)</f>
        <v/>
      </c>
      <c r="BK369">
        <f>SUM('19_Расчет_аналитики'!BK420:BK431)</f>
        <v/>
      </c>
      <c r="BL369">
        <f>SUM('19_Расчет_аналитики'!BL420:BL431)</f>
        <v/>
      </c>
      <c r="BM369">
        <f>SUM('19_Расчет_аналитики'!BM420:BM431)</f>
        <v/>
      </c>
      <c r="BN369">
        <f>SUM('19_Расчет_аналитики'!BN420:BN431)</f>
        <v/>
      </c>
      <c r="BO369">
        <f>SUM('19_Расчет_аналитики'!BO420:BO431)</f>
        <v/>
      </c>
    </row>
    <row r="370">
      <c r="B370">
        <f>'06_Сеть_и_дети'!B15</f>
        <v/>
      </c>
      <c r="C370">
        <f>'06_Сеть_и_дети'!C15</f>
        <v/>
      </c>
      <c r="D370">
        <f>'06_Сеть_и_дети'!D15</f>
        <v/>
      </c>
      <c r="E370">
        <f>'06_Сеть_и_дети'!E15</f>
        <v/>
      </c>
      <c r="F370">
        <f>'06_Сеть_и_дети'!F15</f>
        <v/>
      </c>
      <c r="G370">
        <f>'06_Сеть_и_дети'!G15</f>
        <v/>
      </c>
      <c r="H370">
        <f>'06_Сеть_и_дети'!H15</f>
        <v/>
      </c>
      <c r="I370">
        <f>'06_Сеть_и_дети'!I15</f>
        <v/>
      </c>
      <c r="J370">
        <f>'06_Сеть_и_дети'!J15</f>
        <v/>
      </c>
      <c r="K370">
        <f>'06_Сеть_и_дети'!K15</f>
        <v/>
      </c>
      <c r="L370">
        <f>'06_Сеть_и_дети'!L15</f>
        <v/>
      </c>
      <c r="M370">
        <f>'06_Сеть_и_дети'!M15</f>
        <v/>
      </c>
      <c r="N370">
        <f>'06_Сеть_и_дети'!N15</f>
        <v/>
      </c>
      <c r="O370">
        <f>'06_Сеть_и_дети'!O15</f>
        <v/>
      </c>
      <c r="P370">
        <f>'06_Сеть_и_дети'!P15</f>
        <v/>
      </c>
      <c r="Q370">
        <f>'06_Сеть_и_дети'!Q15</f>
        <v/>
      </c>
      <c r="R370">
        <f>'06_Сеть_и_дети'!R15</f>
        <v/>
      </c>
      <c r="S370">
        <f>'06_Сеть_и_дети'!S15</f>
        <v/>
      </c>
      <c r="T370">
        <f>'06_Сеть_и_дети'!T15</f>
        <v/>
      </c>
      <c r="U370">
        <f>'06_Сеть_и_дети'!U15</f>
        <v/>
      </c>
      <c r="V370">
        <f>'06_Сеть_и_дети'!V15</f>
        <v/>
      </c>
      <c r="W370">
        <f>'06_Сеть_и_дети'!W15</f>
        <v/>
      </c>
      <c r="X370">
        <f>'06_Сеть_и_дети'!X15</f>
        <v/>
      </c>
      <c r="Y370">
        <f>'06_Сеть_и_дети'!Y15</f>
        <v/>
      </c>
      <c r="Z370">
        <f>'19_Расчет_аналитики'!Z432</f>
        <v/>
      </c>
      <c r="AA370">
        <f>'19_Расчет_аналитики'!AA432</f>
        <v/>
      </c>
      <c r="AB370">
        <f>'19_Расчет_аналитики'!AB432</f>
        <v/>
      </c>
      <c r="AC370">
        <f>'19_Расчет_аналитики'!AC432</f>
        <v/>
      </c>
      <c r="AD370">
        <f>'19_Расчет_аналитики'!AD432</f>
        <v/>
      </c>
      <c r="AE370">
        <f>'19_Расчет_аналитики'!AE432</f>
        <v/>
      </c>
      <c r="AF370">
        <f>'19_Расчет_аналитики'!AF432</f>
        <v/>
      </c>
      <c r="AG370">
        <f>'19_Расчет_аналитики'!AG432</f>
        <v/>
      </c>
      <c r="AH370">
        <f>'19_Расчет_аналитики'!AH432</f>
        <v/>
      </c>
      <c r="AI370">
        <f>'19_Расчет_аналитики'!AI432</f>
        <v/>
      </c>
      <c r="AJ370">
        <f>'19_Расчет_аналитики'!AJ432</f>
        <v/>
      </c>
      <c r="AK370">
        <f>'19_Расчет_аналитики'!AK432</f>
        <v/>
      </c>
      <c r="AL370">
        <f>'19_Расчет_аналитики'!AL432</f>
        <v/>
      </c>
      <c r="AM370">
        <f>'19_Расчет_аналитики'!AM432</f>
        <v/>
      </c>
      <c r="AN370">
        <f>'19_Расчет_аналитики'!AN432</f>
        <v/>
      </c>
      <c r="AO370">
        <f>'19_Расчет_аналитики'!AO432</f>
        <v/>
      </c>
      <c r="AP370">
        <f>'19_Расчет_аналитики'!AP432</f>
        <v/>
      </c>
      <c r="AQ370">
        <f>'19_Расчет_аналитики'!AQ432</f>
        <v/>
      </c>
      <c r="AR370">
        <f>'19_Расчет_аналитики'!AR432</f>
        <v/>
      </c>
      <c r="AS370">
        <f>'19_Расчет_аналитики'!AS432</f>
        <v/>
      </c>
      <c r="AT370">
        <f>'19_Расчет_аналитики'!AT432</f>
        <v/>
      </c>
      <c r="AU370">
        <f>'19_Расчет_аналитики'!AU432</f>
        <v/>
      </c>
      <c r="AV370">
        <f>'19_Расчет_аналитики'!AV432</f>
        <v/>
      </c>
      <c r="AW370">
        <f>'19_Расчет_аналитики'!AW432</f>
        <v/>
      </c>
      <c r="AX370">
        <f>'19_Расчет_аналитики'!AX432</f>
        <v/>
      </c>
      <c r="AY370">
        <f>'19_Расчет_аналитики'!AY432</f>
        <v/>
      </c>
      <c r="AZ370">
        <f>'19_Расчет_аналитики'!AZ432</f>
        <v/>
      </c>
      <c r="BA370">
        <f>'19_Расчет_аналитики'!BA432</f>
        <v/>
      </c>
      <c r="BB370">
        <f>'19_Расчет_аналитики'!BB432</f>
        <v/>
      </c>
      <c r="BC370">
        <f>'19_Расчет_аналитики'!BC432</f>
        <v/>
      </c>
      <c r="BD370">
        <f>'19_Расчет_аналитики'!BD432</f>
        <v/>
      </c>
      <c r="BE370">
        <f>'19_Расчет_аналитики'!BE432</f>
        <v/>
      </c>
      <c r="BF370">
        <f>'19_Расчет_аналитики'!BF432</f>
        <v/>
      </c>
      <c r="BG370">
        <f>'19_Расчет_аналитики'!BG432</f>
        <v/>
      </c>
      <c r="BH370">
        <f>'19_Расчет_аналитики'!BH432</f>
        <v/>
      </c>
      <c r="BI370">
        <f>'19_Расчет_аналитики'!BI432</f>
        <v/>
      </c>
      <c r="BJ370">
        <f>'19_Расчет_аналитики'!BJ432</f>
        <v/>
      </c>
      <c r="BK370">
        <f>'19_Расчет_аналитики'!BK432</f>
        <v/>
      </c>
      <c r="BL370">
        <f>'19_Расчет_аналитики'!BL432</f>
        <v/>
      </c>
      <c r="BM370">
        <f>'19_Расчет_аналитики'!BM432</f>
        <v/>
      </c>
      <c r="BN370">
        <f>'19_Расчет_аналитики'!BN432</f>
        <v/>
      </c>
      <c r="BO370">
        <f>'19_Расчет_аналитики'!BO432</f>
        <v/>
      </c>
    </row>
    <row r="371">
      <c r="B371">
        <f>SUM('19_Расчет_аналитики'!B368:B370)</f>
        <v/>
      </c>
      <c r="C371">
        <f>SUM('19_Расчет_аналитики'!C368:C370)</f>
        <v/>
      </c>
      <c r="D371">
        <f>SUM('19_Расчет_аналитики'!D368:D370)</f>
        <v/>
      </c>
      <c r="E371">
        <f>SUM('19_Расчет_аналитики'!E368:E370)</f>
        <v/>
      </c>
      <c r="F371">
        <f>SUM('19_Расчет_аналитики'!F368:F370)</f>
        <v/>
      </c>
      <c r="G371">
        <f>SUM('19_Расчет_аналитики'!G368:G370)</f>
        <v/>
      </c>
      <c r="H371">
        <f>SUM('19_Расчет_аналитики'!H368:H370)</f>
        <v/>
      </c>
      <c r="I371">
        <f>SUM('19_Расчет_аналитики'!I368:I370)</f>
        <v/>
      </c>
      <c r="J371">
        <f>SUM('19_Расчет_аналитики'!J368:J370)</f>
        <v/>
      </c>
      <c r="K371">
        <f>SUM('19_Расчет_аналитики'!K368:K370)</f>
        <v/>
      </c>
      <c r="L371">
        <f>SUM('19_Расчет_аналитики'!L368:L370)</f>
        <v/>
      </c>
      <c r="M371">
        <f>SUM('19_Расчет_аналитики'!M368:M370)</f>
        <v/>
      </c>
      <c r="N371">
        <f>SUM('19_Расчет_аналитики'!N368:N370)</f>
        <v/>
      </c>
      <c r="O371">
        <f>SUM('19_Расчет_аналитики'!O368:O370)</f>
        <v/>
      </c>
      <c r="P371">
        <f>SUM('19_Расчет_аналитики'!P368:P370)</f>
        <v/>
      </c>
      <c r="Q371">
        <f>SUM('19_Расчет_аналитики'!Q368:Q370)</f>
        <v/>
      </c>
      <c r="R371">
        <f>SUM('19_Расчет_аналитики'!R368:R370)</f>
        <v/>
      </c>
      <c r="S371">
        <f>SUM('19_Расчет_аналитики'!S368:S370)</f>
        <v/>
      </c>
      <c r="T371">
        <f>SUM('19_Расчет_аналитики'!T368:T370)</f>
        <v/>
      </c>
      <c r="U371">
        <f>SUM('19_Расчет_аналитики'!U368:U370)</f>
        <v/>
      </c>
      <c r="V371">
        <f>SUM('19_Расчет_аналитики'!V368:V370)</f>
        <v/>
      </c>
      <c r="W371">
        <f>SUM('19_Расчет_аналитики'!W368:W370)</f>
        <v/>
      </c>
      <c r="X371">
        <f>SUM('19_Расчет_аналитики'!X368:X370)</f>
        <v/>
      </c>
      <c r="Y371">
        <f>SUM('19_Расчет_аналитики'!Y368:Y370)</f>
        <v/>
      </c>
      <c r="Z371">
        <f>SUM('19_Расчет_аналитики'!Z368:Z370)</f>
        <v/>
      </c>
      <c r="AA371">
        <f>SUM('19_Расчет_аналитики'!AA368:AA370)</f>
        <v/>
      </c>
      <c r="AB371">
        <f>SUM('19_Расчет_аналитики'!AB368:AB370)</f>
        <v/>
      </c>
      <c r="AC371">
        <f>SUM('19_Расчет_аналитики'!AC368:AC370)</f>
        <v/>
      </c>
      <c r="AD371">
        <f>SUM('19_Расчет_аналитики'!AD368:AD370)</f>
        <v/>
      </c>
      <c r="AE371">
        <f>SUM('19_Расчет_аналитики'!AE368:AE370)</f>
        <v/>
      </c>
      <c r="AF371">
        <f>SUM('19_Расчет_аналитики'!AF368:AF370)</f>
        <v/>
      </c>
      <c r="AG371">
        <f>SUM('19_Расчет_аналитики'!AG368:AG370)</f>
        <v/>
      </c>
      <c r="AH371">
        <f>SUM('19_Расчет_аналитики'!AH368:AH370)</f>
        <v/>
      </c>
      <c r="AI371">
        <f>SUM('19_Расчет_аналитики'!AI368:AI370)</f>
        <v/>
      </c>
      <c r="AJ371">
        <f>SUM('19_Расчет_аналитики'!AJ368:AJ370)</f>
        <v/>
      </c>
      <c r="AK371">
        <f>SUM('19_Расчет_аналитики'!AK368:AK370)</f>
        <v/>
      </c>
      <c r="AL371">
        <f>SUM('19_Расчет_аналитики'!AL368:AL370)</f>
        <v/>
      </c>
      <c r="AM371">
        <f>SUM('19_Расчет_аналитики'!AM368:AM370)</f>
        <v/>
      </c>
      <c r="AN371">
        <f>SUM('19_Расчет_аналитики'!AN368:AN370)</f>
        <v/>
      </c>
      <c r="AO371">
        <f>SUM('19_Расчет_аналитики'!AO368:AO370)</f>
        <v/>
      </c>
      <c r="AP371">
        <f>SUM('19_Расчет_аналитики'!AP368:AP370)</f>
        <v/>
      </c>
      <c r="AQ371">
        <f>SUM('19_Расчет_аналитики'!AQ368:AQ370)</f>
        <v/>
      </c>
      <c r="AR371">
        <f>SUM('19_Расчет_аналитики'!AR368:AR370)</f>
        <v/>
      </c>
      <c r="AS371">
        <f>SUM('19_Расчет_аналитики'!AS368:AS370)</f>
        <v/>
      </c>
      <c r="AT371">
        <f>SUM('19_Расчет_аналитики'!AT368:AT370)</f>
        <v/>
      </c>
      <c r="AU371">
        <f>SUM('19_Расчет_аналитики'!AU368:AU370)</f>
        <v/>
      </c>
      <c r="AV371">
        <f>SUM('19_Расчет_аналитики'!AV368:AV370)</f>
        <v/>
      </c>
      <c r="AW371">
        <f>SUM('19_Расчет_аналитики'!AW368:AW370)</f>
        <v/>
      </c>
      <c r="AX371">
        <f>SUM('19_Расчет_аналитики'!AX368:AX370)</f>
        <v/>
      </c>
      <c r="AY371">
        <f>SUM('19_Расчет_аналитики'!AY368:AY370)</f>
        <v/>
      </c>
      <c r="AZ371">
        <f>SUM('19_Расчет_аналитики'!AZ368:AZ370)</f>
        <v/>
      </c>
      <c r="BA371">
        <f>SUM('19_Расчет_аналитики'!BA368:BA370)</f>
        <v/>
      </c>
      <c r="BB371">
        <f>SUM('19_Расчет_аналитики'!BB368:BB370)</f>
        <v/>
      </c>
      <c r="BC371">
        <f>SUM('19_Расчет_аналитики'!BC368:BC370)</f>
        <v/>
      </c>
      <c r="BD371">
        <f>SUM('19_Расчет_аналитики'!BD368:BD370)</f>
        <v/>
      </c>
      <c r="BE371">
        <f>SUM('19_Расчет_аналитики'!BE368:BE370)</f>
        <v/>
      </c>
      <c r="BF371">
        <f>SUM('19_Расчет_аналитики'!BF368:BF370)</f>
        <v/>
      </c>
      <c r="BG371">
        <f>SUM('19_Расчет_аналитики'!BG368:BG370)</f>
        <v/>
      </c>
      <c r="BH371">
        <f>SUM('19_Расчет_аналитики'!BH368:BH370)</f>
        <v/>
      </c>
      <c r="BI371">
        <f>SUM('19_Расчет_аналитики'!BI368:BI370)</f>
        <v/>
      </c>
      <c r="BJ371">
        <f>SUM('19_Расчет_аналитики'!BJ368:BJ370)</f>
        <v/>
      </c>
      <c r="BK371">
        <f>SUM('19_Расчет_аналитики'!BK368:BK370)</f>
        <v/>
      </c>
      <c r="BL371">
        <f>SUM('19_Расчет_аналитики'!BL368:BL370)</f>
        <v/>
      </c>
      <c r="BM371">
        <f>SUM('19_Расчет_аналитики'!BM368:BM370)</f>
        <v/>
      </c>
      <c r="BN371">
        <f>SUM('19_Расчет_аналитики'!BN368:BN370)</f>
        <v/>
      </c>
      <c r="BO371">
        <f>SUM('19_Расчет_аналитики'!BO368:BO370)</f>
        <v/>
      </c>
    </row>
    <row r="372">
      <c r="B372">
        <f>'06_Сеть_и_дети'!B11+'19_Расчет_аналитики'!B371</f>
        <v/>
      </c>
      <c r="C372">
        <f>'06_Сеть_и_дети'!C11+'19_Расчет_аналитики'!C371</f>
        <v/>
      </c>
      <c r="D372">
        <f>'06_Сеть_и_дети'!D11+'19_Расчет_аналитики'!D371</f>
        <v/>
      </c>
      <c r="E372">
        <f>'06_Сеть_и_дети'!E11+'19_Расчет_аналитики'!E371</f>
        <v/>
      </c>
      <c r="F372">
        <f>'06_Сеть_и_дети'!F11+'19_Расчет_аналитики'!F371</f>
        <v/>
      </c>
      <c r="G372">
        <f>'06_Сеть_и_дети'!G11+'19_Расчет_аналитики'!G371</f>
        <v/>
      </c>
      <c r="H372">
        <f>'06_Сеть_и_дети'!H11+'19_Расчет_аналитики'!H371</f>
        <v/>
      </c>
      <c r="I372">
        <f>'06_Сеть_и_дети'!I11+'19_Расчет_аналитики'!I371</f>
        <v/>
      </c>
      <c r="J372">
        <f>'06_Сеть_и_дети'!J11+'19_Расчет_аналитики'!J371</f>
        <v/>
      </c>
      <c r="K372">
        <f>'06_Сеть_и_дети'!K11+'19_Расчет_аналитики'!K371</f>
        <v/>
      </c>
      <c r="L372">
        <f>'06_Сеть_и_дети'!L11+'19_Расчет_аналитики'!L371</f>
        <v/>
      </c>
      <c r="M372">
        <f>'06_Сеть_и_дети'!M11+'19_Расчет_аналитики'!M371</f>
        <v/>
      </c>
      <c r="N372">
        <f>'06_Сеть_и_дети'!N11+'19_Расчет_аналитики'!N371</f>
        <v/>
      </c>
      <c r="O372">
        <f>'06_Сеть_и_дети'!O11+'19_Расчет_аналитики'!O371</f>
        <v/>
      </c>
      <c r="P372">
        <f>'06_Сеть_и_дети'!P11+'19_Расчет_аналитики'!P371</f>
        <v/>
      </c>
      <c r="Q372">
        <f>'06_Сеть_и_дети'!Q11+'19_Расчет_аналитики'!Q371</f>
        <v/>
      </c>
      <c r="R372">
        <f>'06_Сеть_и_дети'!R11+'19_Расчет_аналитики'!R371</f>
        <v/>
      </c>
      <c r="S372">
        <f>'06_Сеть_и_дети'!S11+'19_Расчет_аналитики'!S371</f>
        <v/>
      </c>
      <c r="T372">
        <f>'06_Сеть_и_дети'!T11+'19_Расчет_аналитики'!T371</f>
        <v/>
      </c>
      <c r="U372">
        <f>'06_Сеть_и_дети'!U11+'19_Расчет_аналитики'!U371</f>
        <v/>
      </c>
      <c r="V372">
        <f>'06_Сеть_и_дети'!V11+'19_Расчет_аналитики'!V371</f>
        <v/>
      </c>
      <c r="W372">
        <f>'06_Сеть_и_дети'!W11+'19_Расчет_аналитики'!W371</f>
        <v/>
      </c>
      <c r="X372">
        <f>'06_Сеть_и_дети'!X11+'19_Расчет_аналитики'!X371</f>
        <v/>
      </c>
      <c r="Y372">
        <f>'06_Сеть_и_дети'!Y11+'19_Расчет_аналитики'!Y371</f>
        <v/>
      </c>
      <c r="Z372">
        <f>'06_Сеть_и_дети'!Z11+'19_Расчет_аналитики'!Z371</f>
        <v/>
      </c>
      <c r="AA372">
        <f>'06_Сеть_и_дети'!AA11+'19_Расчет_аналитики'!AA371</f>
        <v/>
      </c>
      <c r="AB372">
        <f>'06_Сеть_и_дети'!AB11+'19_Расчет_аналитики'!AB371</f>
        <v/>
      </c>
      <c r="AC372">
        <f>'06_Сеть_и_дети'!AC11+'19_Расчет_аналитики'!AC371</f>
        <v/>
      </c>
      <c r="AD372">
        <f>'06_Сеть_и_дети'!AD11+'19_Расчет_аналитики'!AD371</f>
        <v/>
      </c>
      <c r="AE372">
        <f>'06_Сеть_и_дети'!AE11+'19_Расчет_аналитики'!AE371</f>
        <v/>
      </c>
      <c r="AF372">
        <f>'06_Сеть_и_дети'!AF11+'19_Расчет_аналитики'!AF371</f>
        <v/>
      </c>
      <c r="AG372">
        <f>'06_Сеть_и_дети'!AG11+'19_Расчет_аналитики'!AG371</f>
        <v/>
      </c>
      <c r="AH372">
        <f>'06_Сеть_и_дети'!AH11+'19_Расчет_аналитики'!AH371</f>
        <v/>
      </c>
      <c r="AI372">
        <f>'06_Сеть_и_дети'!AI11+'19_Расчет_аналитики'!AI371</f>
        <v/>
      </c>
      <c r="AJ372">
        <f>'06_Сеть_и_дети'!AJ11+'19_Расчет_аналитики'!AJ371</f>
        <v/>
      </c>
      <c r="AK372">
        <f>'06_Сеть_и_дети'!AK11+'19_Расчет_аналитики'!AK371</f>
        <v/>
      </c>
      <c r="AL372">
        <f>'06_Сеть_и_дети'!AL11+'19_Расчет_аналитики'!AL371</f>
        <v/>
      </c>
      <c r="AM372">
        <f>'06_Сеть_и_дети'!AM11+'19_Расчет_аналитики'!AM371</f>
        <v/>
      </c>
      <c r="AN372">
        <f>'06_Сеть_и_дети'!AN11+'19_Расчет_аналитики'!AN371</f>
        <v/>
      </c>
      <c r="AO372">
        <f>'06_Сеть_и_дети'!AO11+'19_Расчет_аналитики'!AO371</f>
        <v/>
      </c>
      <c r="AP372">
        <f>'06_Сеть_и_дети'!AP11+'19_Расчет_аналитики'!AP371</f>
        <v/>
      </c>
      <c r="AQ372">
        <f>'06_Сеть_и_дети'!AQ11+'19_Расчет_аналитики'!AQ371</f>
        <v/>
      </c>
      <c r="AR372">
        <f>'06_Сеть_и_дети'!AR11+'19_Расчет_аналитики'!AR371</f>
        <v/>
      </c>
      <c r="AS372">
        <f>'06_Сеть_и_дети'!AS11+'19_Расчет_аналитики'!AS371</f>
        <v/>
      </c>
      <c r="AT372">
        <f>'06_Сеть_и_дети'!AT11+'19_Расчет_аналитики'!AT371</f>
        <v/>
      </c>
      <c r="AU372">
        <f>'06_Сеть_и_дети'!AU11+'19_Расчет_аналитики'!AU371</f>
        <v/>
      </c>
      <c r="AV372">
        <f>'06_Сеть_и_дети'!AV11+'19_Расчет_аналитики'!AV371</f>
        <v/>
      </c>
      <c r="AW372">
        <f>'06_Сеть_и_дети'!AW11+'19_Расчет_аналитики'!AW371</f>
        <v/>
      </c>
      <c r="AX372">
        <f>'06_Сеть_и_дети'!AX11+'19_Расчет_аналитики'!AX371</f>
        <v/>
      </c>
      <c r="AY372">
        <f>'06_Сеть_и_дети'!AY11+'19_Расчет_аналитики'!AY371</f>
        <v/>
      </c>
      <c r="AZ372">
        <f>'06_Сеть_и_дети'!AZ11+'19_Расчет_аналитики'!AZ371</f>
        <v/>
      </c>
      <c r="BA372">
        <f>'06_Сеть_и_дети'!BA11+'19_Расчет_аналитики'!BA371</f>
        <v/>
      </c>
      <c r="BB372">
        <f>'06_Сеть_и_дети'!BB11+'19_Расчет_аналитики'!BB371</f>
        <v/>
      </c>
      <c r="BC372">
        <f>'06_Сеть_и_дети'!BC11+'19_Расчет_аналитики'!BC371</f>
        <v/>
      </c>
      <c r="BD372">
        <f>'06_Сеть_и_дети'!BD11+'19_Расчет_аналитики'!BD371</f>
        <v/>
      </c>
      <c r="BE372">
        <f>'06_Сеть_и_дети'!BE11+'19_Расчет_аналитики'!BE371</f>
        <v/>
      </c>
      <c r="BF372">
        <f>'06_Сеть_и_дети'!BF11+'19_Расчет_аналитики'!BF371</f>
        <v/>
      </c>
      <c r="BG372">
        <f>'06_Сеть_и_дети'!BG11+'19_Расчет_аналитики'!BG371</f>
        <v/>
      </c>
      <c r="BH372">
        <f>'06_Сеть_и_дети'!BH11+'19_Расчет_аналитики'!BH371</f>
        <v/>
      </c>
      <c r="BI372">
        <f>'06_Сеть_и_дети'!BI11+'19_Расчет_аналитики'!BI371</f>
        <v/>
      </c>
      <c r="BJ372">
        <f>'06_Сеть_и_дети'!BJ11+'19_Расчет_аналитики'!BJ371</f>
        <v/>
      </c>
      <c r="BK372">
        <f>'06_Сеть_и_дети'!BK11+'19_Расчет_аналитики'!BK371</f>
        <v/>
      </c>
      <c r="BL372">
        <f>'06_Сеть_и_дети'!BL11+'19_Расчет_аналитики'!BL371</f>
        <v/>
      </c>
      <c r="BM372">
        <f>'06_Сеть_и_дети'!BM11+'19_Расчет_аналитики'!BM371</f>
        <v/>
      </c>
      <c r="BN372">
        <f>'06_Сеть_и_дети'!BN11+'19_Расчет_аналитики'!BN371</f>
        <v/>
      </c>
      <c r="BO372">
        <f>'06_Сеть_и_дети'!BO11+'19_Расчет_аналитики'!BO371</f>
        <v/>
      </c>
    </row>
    <row r="373"/>
    <row r="374"/>
    <row r="375"/>
    <row r="376">
      <c r="B376">
        <f>SUMPRODUCT('19_Расчет_аналитики'!B408:B419,CapacityYear1)*'19_Расчет_аналитики'!$F$211*'06_Сеть_и_дети'!B5</f>
        <v/>
      </c>
      <c r="C376">
        <f>SUMPRODUCT('19_Расчет_аналитики'!C408:C419,CapacityYear1)*'19_Расчет_аналитики'!$F$211*'06_Сеть_и_дети'!C5</f>
        <v/>
      </c>
      <c r="D376">
        <f>SUMPRODUCT('19_Расчет_аналитики'!D408:D419,CapacityYear1)*'19_Расчет_аналитики'!$F$211*'06_Сеть_и_дети'!D5</f>
        <v/>
      </c>
      <c r="E376">
        <f>SUMPRODUCT('19_Расчет_аналитики'!E408:E419,CapacityYear1)*'19_Расчет_аналитики'!$F$211*'06_Сеть_и_дети'!E5</f>
        <v/>
      </c>
      <c r="F376">
        <f>SUMPRODUCT('19_Расчет_аналитики'!F408:F419,CapacityYear1)*'19_Расчет_аналитики'!$F$211*'06_Сеть_и_дети'!F5</f>
        <v/>
      </c>
      <c r="G376">
        <f>SUMPRODUCT('19_Расчет_аналитики'!G408:G419,CapacityYear1)*'19_Расчет_аналитики'!$F$211*'06_Сеть_и_дети'!G5</f>
        <v/>
      </c>
      <c r="H376">
        <f>SUMPRODUCT('19_Расчет_аналитики'!H408:H419,CapacityYear1)*'19_Расчет_аналитики'!$F$211*'06_Сеть_и_дети'!H5</f>
        <v/>
      </c>
      <c r="I376">
        <f>SUMPRODUCT('19_Расчет_аналитики'!I408:I419,CapacityYear1)*'19_Расчет_аналитики'!$F$211*'06_Сеть_и_дети'!I5</f>
        <v/>
      </c>
      <c r="J376">
        <f>SUMPRODUCT('19_Расчет_аналитики'!J408:J419,CapacityYear1)*'19_Расчет_аналитики'!$F$211*'06_Сеть_и_дети'!J5</f>
        <v/>
      </c>
      <c r="K376">
        <f>SUMPRODUCT('19_Расчет_аналитики'!K408:K419,CapacityYear1)*'19_Расчет_аналитики'!$F$211*'06_Сеть_и_дети'!K5</f>
        <v/>
      </c>
      <c r="L376">
        <f>SUMPRODUCT('19_Расчет_аналитики'!L408:L419,CapacityYear1)*'19_Расчет_аналитики'!$F$211*'06_Сеть_и_дети'!L5</f>
        <v/>
      </c>
      <c r="M376">
        <f>SUMPRODUCT('19_Расчет_аналитики'!M408:M419,CapacityYear1)*'19_Расчет_аналитики'!$F$211*'06_Сеть_и_дети'!M5</f>
        <v/>
      </c>
      <c r="N376">
        <f>SUMPRODUCT('19_Расчет_аналитики'!N408:N419,CapacityYear1)*'19_Расчет_аналитики'!$F$211*'06_Сеть_и_дети'!N5</f>
        <v/>
      </c>
      <c r="O376">
        <f>SUMPRODUCT('19_Расчет_аналитики'!O408:O419,CapacityYear1)*'19_Расчет_аналитики'!$F$211*'06_Сеть_и_дети'!O5</f>
        <v/>
      </c>
      <c r="P376">
        <f>SUMPRODUCT('19_Расчет_аналитики'!P408:P419,CapacityYear1)*'19_Расчет_аналитики'!$F$211*'06_Сеть_и_дети'!P5</f>
        <v/>
      </c>
      <c r="Q376">
        <f>SUMPRODUCT('19_Расчет_аналитики'!Q408:Q419,CapacityYear1)*'19_Расчет_аналитики'!$F$211*'06_Сеть_и_дети'!Q5</f>
        <v/>
      </c>
      <c r="R376">
        <f>SUMPRODUCT('19_Расчет_аналитики'!R408:R419,CapacityYear1)*'19_Расчет_аналитики'!$F$211*'06_Сеть_и_дети'!R5</f>
        <v/>
      </c>
      <c r="S376">
        <f>SUMPRODUCT('19_Расчет_аналитики'!S408:S419,CapacityYear1)*'19_Расчет_аналитики'!$F$211*'06_Сеть_и_дети'!S5</f>
        <v/>
      </c>
      <c r="T376">
        <f>SUMPRODUCT('19_Расчет_аналитики'!T408:T419,CapacityYear1)*'19_Расчет_аналитики'!$F$211*'06_Сеть_и_дети'!T5</f>
        <v/>
      </c>
      <c r="U376">
        <f>SUMPRODUCT('19_Расчет_аналитики'!U408:U419,CapacityYear1)*'19_Расчет_аналитики'!$F$211*'06_Сеть_и_дети'!U5</f>
        <v/>
      </c>
      <c r="V376">
        <f>SUMPRODUCT('19_Расчет_аналитики'!V408:V419,CapacityYear1)*'19_Расчет_аналитики'!$F$211*'06_Сеть_и_дети'!V5</f>
        <v/>
      </c>
      <c r="W376">
        <f>SUMPRODUCT('19_Расчет_аналитики'!W408:W419,CapacityYear1)*'19_Расчет_аналитики'!$F$211*'06_Сеть_и_дети'!W5</f>
        <v/>
      </c>
      <c r="X376">
        <f>SUMPRODUCT('19_Расчет_аналитики'!X408:X419,CapacityYear1)*'19_Расчет_аналитики'!$F$211*'06_Сеть_и_дети'!X5</f>
        <v/>
      </c>
      <c r="Y376">
        <f>SUMPRODUCT('19_Расчет_аналитики'!Y408:Y419,CapacityYear1)*'19_Расчет_аналитики'!$F$211*'06_Сеть_и_дети'!Y5</f>
        <v/>
      </c>
      <c r="Z376">
        <f>SUMPRODUCT('19_Расчет_аналитики'!Z408:Z419,CapacityYear1)*'19_Расчет_аналитики'!$F$211*'06_Сеть_и_дети'!Z5</f>
        <v/>
      </c>
      <c r="AA376">
        <f>SUMPRODUCT('19_Расчет_аналитики'!AA408:AA419,CapacityYear1)*'19_Расчет_аналитики'!$F$211*'06_Сеть_и_дети'!AA5</f>
        <v/>
      </c>
      <c r="AB376">
        <f>SUMPRODUCT('19_Расчет_аналитики'!AB408:AB419,CapacityYear1)*'19_Расчет_аналитики'!$F$211*'06_Сеть_и_дети'!AB5</f>
        <v/>
      </c>
      <c r="AC376">
        <f>SUMPRODUCT('19_Расчет_аналитики'!AC408:AC419,CapacityYear1)*'19_Расчет_аналитики'!$F$211*'06_Сеть_и_дети'!AC5</f>
        <v/>
      </c>
      <c r="AD376">
        <f>SUMPRODUCT('19_Расчет_аналитики'!AD408:AD419,CapacityYear1)*'19_Расчет_аналитики'!$F$211*'06_Сеть_и_дети'!AD5</f>
        <v/>
      </c>
      <c r="AE376">
        <f>SUMPRODUCT('19_Расчет_аналитики'!AE408:AE419,CapacityYear1)*'19_Расчет_аналитики'!$F$211*'06_Сеть_и_дети'!AE5</f>
        <v/>
      </c>
      <c r="AF376">
        <f>SUMPRODUCT('19_Расчет_аналитики'!AF408:AF419,CapacityYear1)*'19_Расчет_аналитики'!$F$211*'06_Сеть_и_дети'!AF5</f>
        <v/>
      </c>
      <c r="AG376">
        <f>SUMPRODUCT('19_Расчет_аналитики'!AG408:AG419,CapacityYear1)*'19_Расчет_аналитики'!$F$211*'06_Сеть_и_дети'!AG5</f>
        <v/>
      </c>
      <c r="AH376">
        <f>SUMPRODUCT('19_Расчет_аналитики'!AH408:AH419,CapacityYear1)*'19_Расчет_аналитики'!$F$211*'06_Сеть_и_дети'!AH5</f>
        <v/>
      </c>
      <c r="AI376">
        <f>SUMPRODUCT('19_Расчет_аналитики'!AI408:AI419,CapacityYear1)*'19_Расчет_аналитики'!$F$211*'06_Сеть_и_дети'!AI5</f>
        <v/>
      </c>
      <c r="AJ376">
        <f>SUMPRODUCT('19_Расчет_аналитики'!AJ408:AJ419,CapacityYear1)*'19_Расчет_аналитики'!$F$211*'06_Сеть_и_дети'!AJ5</f>
        <v/>
      </c>
      <c r="AK376">
        <f>SUMPRODUCT('19_Расчет_аналитики'!AK408:AK419,CapacityYear1)*'19_Расчет_аналитики'!$F$211*'06_Сеть_и_дети'!AK5</f>
        <v/>
      </c>
      <c r="AL376">
        <f>SUMPRODUCT('19_Расчет_аналитики'!AL408:AL419,CapacityYear1)*'19_Расчет_аналитики'!$F$211*'06_Сеть_и_дети'!AL5</f>
        <v/>
      </c>
      <c r="AM376">
        <f>SUMPRODUCT('19_Расчет_аналитики'!AM408:AM419,CapacityYear1)*'19_Расчет_аналитики'!$F$211*'06_Сеть_и_дети'!AM5</f>
        <v/>
      </c>
      <c r="AN376">
        <f>SUMPRODUCT('19_Расчет_аналитики'!AN408:AN419,CapacityYear1)*'19_Расчет_аналитики'!$F$211*'06_Сеть_и_дети'!AN5</f>
        <v/>
      </c>
      <c r="AO376">
        <f>SUMPRODUCT('19_Расчет_аналитики'!AO408:AO419,CapacityYear1)*'19_Расчет_аналитики'!$F$211*'06_Сеть_и_дети'!AO5</f>
        <v/>
      </c>
      <c r="AP376">
        <f>SUMPRODUCT('19_Расчет_аналитики'!AP408:AP419,CapacityYear1)*'19_Расчет_аналитики'!$F$211*'06_Сеть_и_дети'!AP5</f>
        <v/>
      </c>
      <c r="AQ376">
        <f>SUMPRODUCT('19_Расчет_аналитики'!AQ408:AQ419,CapacityYear1)*'19_Расчет_аналитики'!$F$211*'06_Сеть_и_дети'!AQ5</f>
        <v/>
      </c>
      <c r="AR376">
        <f>SUMPRODUCT('19_Расчет_аналитики'!AR408:AR419,CapacityYear1)*'19_Расчет_аналитики'!$F$211*'06_Сеть_и_дети'!AR5</f>
        <v/>
      </c>
      <c r="AS376">
        <f>SUMPRODUCT('19_Расчет_аналитики'!AS408:AS419,CapacityYear1)*'19_Расчет_аналитики'!$F$211*'06_Сеть_и_дети'!AS5</f>
        <v/>
      </c>
      <c r="AT376">
        <f>SUMPRODUCT('19_Расчет_аналитики'!AT408:AT419,CapacityYear1)*'19_Расчет_аналитики'!$F$211*'06_Сеть_и_дети'!AT5</f>
        <v/>
      </c>
      <c r="AU376">
        <f>SUMPRODUCT('19_Расчет_аналитики'!AU408:AU419,CapacityYear1)*'19_Расчет_аналитики'!$F$211*'06_Сеть_и_дети'!AU5</f>
        <v/>
      </c>
      <c r="AV376">
        <f>SUMPRODUCT('19_Расчет_аналитики'!AV408:AV419,CapacityYear1)*'19_Расчет_аналитики'!$F$211*'06_Сеть_и_дети'!AV5</f>
        <v/>
      </c>
      <c r="AW376">
        <f>SUMPRODUCT('19_Расчет_аналитики'!AW408:AW419,CapacityYear1)*'19_Расчет_аналитики'!$F$211*'06_Сеть_и_дети'!AW5</f>
        <v/>
      </c>
      <c r="AX376">
        <f>SUMPRODUCT('19_Расчет_аналитики'!AX408:AX419,CapacityYear1)*'19_Расчет_аналитики'!$F$211*'06_Сеть_и_дети'!AX5</f>
        <v/>
      </c>
      <c r="AY376">
        <f>SUMPRODUCT('19_Расчет_аналитики'!AY408:AY419,CapacityYear1)*'19_Расчет_аналитики'!$F$211*'06_Сеть_и_дети'!AY5</f>
        <v/>
      </c>
      <c r="AZ376">
        <f>SUMPRODUCT('19_Расчет_аналитики'!AZ408:AZ419,CapacityYear1)*'19_Расчет_аналитики'!$F$211*'06_Сеть_и_дети'!AZ5</f>
        <v/>
      </c>
      <c r="BA376">
        <f>SUMPRODUCT('19_Расчет_аналитики'!BA408:BA419,CapacityYear1)*'19_Расчет_аналитики'!$F$211*'06_Сеть_и_дети'!BA5</f>
        <v/>
      </c>
      <c r="BB376">
        <f>SUMPRODUCT('19_Расчет_аналитики'!BB408:BB419,CapacityYear1)*'19_Расчет_аналитики'!$F$211*'06_Сеть_и_дети'!BB5</f>
        <v/>
      </c>
      <c r="BC376">
        <f>SUMPRODUCT('19_Расчет_аналитики'!BC408:BC419,CapacityYear1)*'19_Расчет_аналитики'!$F$211*'06_Сеть_и_дети'!BC5</f>
        <v/>
      </c>
      <c r="BD376">
        <f>SUMPRODUCT('19_Расчет_аналитики'!BD408:BD419,CapacityYear1)*'19_Расчет_аналитики'!$F$211*'06_Сеть_и_дети'!BD5</f>
        <v/>
      </c>
      <c r="BE376">
        <f>SUMPRODUCT('19_Расчет_аналитики'!BE408:BE419,CapacityYear1)*'19_Расчет_аналитики'!$F$211*'06_Сеть_и_дети'!BE5</f>
        <v/>
      </c>
      <c r="BF376">
        <f>SUMPRODUCT('19_Расчет_аналитики'!BF408:BF419,CapacityYear1)*'19_Расчет_аналитики'!$F$211*'06_Сеть_и_дети'!BF5</f>
        <v/>
      </c>
      <c r="BG376">
        <f>SUMPRODUCT('19_Расчет_аналитики'!BG408:BG419,CapacityYear1)*'19_Расчет_аналитики'!$F$211*'06_Сеть_и_дети'!BG5</f>
        <v/>
      </c>
      <c r="BH376">
        <f>SUMPRODUCT('19_Расчет_аналитики'!BH408:BH419,CapacityYear1)*'19_Расчет_аналитики'!$F$211*'06_Сеть_и_дети'!BH5</f>
        <v/>
      </c>
      <c r="BI376">
        <f>SUMPRODUCT('19_Расчет_аналитики'!BI408:BI419,CapacityYear1)*'19_Расчет_аналитики'!$F$211*'06_Сеть_и_дети'!BI5</f>
        <v/>
      </c>
      <c r="BJ376">
        <f>SUMPRODUCT('19_Расчет_аналитики'!BJ408:BJ419,CapacityYear1)*'19_Расчет_аналитики'!$F$211*'06_Сеть_и_дети'!BJ5</f>
        <v/>
      </c>
      <c r="BK376">
        <f>SUMPRODUCT('19_Расчет_аналитики'!BK408:BK419,CapacityYear1)*'19_Расчет_аналитики'!$F$211*'06_Сеть_и_дети'!BK5</f>
        <v/>
      </c>
      <c r="BL376">
        <f>SUMPRODUCT('19_Расчет_аналитики'!BL408:BL419,CapacityYear1)*'19_Расчет_аналитики'!$F$211*'06_Сеть_и_дети'!BL5</f>
        <v/>
      </c>
      <c r="BM376">
        <f>SUMPRODUCT('19_Расчет_аналитики'!BM408:BM419,CapacityYear1)*'19_Расчет_аналитики'!$F$211*'06_Сеть_и_дети'!BM5</f>
        <v/>
      </c>
      <c r="BN376">
        <f>SUMPRODUCT('19_Расчет_аналитики'!BN408:BN419,CapacityYear1)*'19_Расчет_аналитики'!$F$211*'06_Сеть_и_дети'!BN5</f>
        <v/>
      </c>
      <c r="BO376">
        <f>SUMPRODUCT('19_Расчет_аналитики'!BO408:BO419,CapacityYear1)*'19_Расчет_аналитики'!$F$211*'06_Сеть_и_дети'!BO5</f>
        <v/>
      </c>
    </row>
    <row r="377">
      <c r="B377">
        <f>SUMPRODUCT('06_Сеть_и_дети'!B65:B76,CapacityYear2)*'19_Расчет_аналитики'!$F$211*'06_Сеть_и_дети'!B5</f>
        <v/>
      </c>
      <c r="C377">
        <f>SUMPRODUCT('06_Сеть_и_дети'!C65:C76,CapacityYear2)*'19_Расчет_аналитики'!$F$211*'06_Сеть_и_дети'!C5</f>
        <v/>
      </c>
      <c r="D377">
        <f>SUMPRODUCT('06_Сеть_и_дети'!D65:D76,CapacityYear2)*'19_Расчет_аналитики'!$F$211*'06_Сеть_и_дети'!D5</f>
        <v/>
      </c>
      <c r="E377">
        <f>SUMPRODUCT('06_Сеть_и_дети'!E65:E76,CapacityYear2)*'19_Расчет_аналитики'!$F$211*'06_Сеть_и_дети'!E5</f>
        <v/>
      </c>
      <c r="F377">
        <f>SUMPRODUCT('06_Сеть_и_дети'!F65:F76,CapacityYear2)*'19_Расчет_аналитики'!$F$211*'06_Сеть_и_дети'!F5</f>
        <v/>
      </c>
      <c r="G377">
        <f>SUMPRODUCT('06_Сеть_и_дети'!G65:G76,CapacityYear2)*'19_Расчет_аналитики'!$F$211*'06_Сеть_и_дети'!G5</f>
        <v/>
      </c>
      <c r="H377">
        <f>SUMPRODUCT('06_Сеть_и_дети'!H65:H76,CapacityYear2)*'19_Расчет_аналитики'!$F$211*'06_Сеть_и_дети'!H5</f>
        <v/>
      </c>
      <c r="I377">
        <f>SUMPRODUCT('06_Сеть_и_дети'!I65:I76,CapacityYear2)*'19_Расчет_аналитики'!$F$211*'06_Сеть_и_дети'!I5</f>
        <v/>
      </c>
      <c r="J377">
        <f>SUMPRODUCT('06_Сеть_и_дети'!J65:J76,CapacityYear2)*'19_Расчет_аналитики'!$F$211*'06_Сеть_и_дети'!J5</f>
        <v/>
      </c>
      <c r="K377">
        <f>SUMPRODUCT('06_Сеть_и_дети'!K65:K76,CapacityYear2)*'19_Расчет_аналитики'!$F$211*'06_Сеть_и_дети'!K5</f>
        <v/>
      </c>
      <c r="L377">
        <f>SUMPRODUCT('06_Сеть_и_дети'!L65:L76,CapacityYear2)*'19_Расчет_аналитики'!$F$211*'06_Сеть_и_дети'!L5</f>
        <v/>
      </c>
      <c r="M377">
        <f>SUMPRODUCT('06_Сеть_и_дети'!M65:M76,CapacityYear2)*'19_Расчет_аналитики'!$F$211*'06_Сеть_и_дети'!M5</f>
        <v/>
      </c>
      <c r="N377">
        <f>SUMPRODUCT('19_Расчет_аналитики'!N420:N431,CapacityYear2)*'19_Расчет_аналитики'!$F$211*'06_Сеть_и_дети'!N5</f>
        <v/>
      </c>
      <c r="O377">
        <f>SUMPRODUCT('19_Расчет_аналитики'!O420:O431,CapacityYear2)*'19_Расчет_аналитики'!$F$211*'06_Сеть_и_дети'!O5</f>
        <v/>
      </c>
      <c r="P377">
        <f>SUMPRODUCT('19_Расчет_аналитики'!P420:P431,CapacityYear2)*'19_Расчет_аналитики'!$F$211*'06_Сеть_и_дети'!P5</f>
        <v/>
      </c>
      <c r="Q377">
        <f>SUMPRODUCT('19_Расчет_аналитики'!Q420:Q431,CapacityYear2)*'19_Расчет_аналитики'!$F$211*'06_Сеть_и_дети'!Q5</f>
        <v/>
      </c>
      <c r="R377">
        <f>SUMPRODUCT('19_Расчет_аналитики'!R420:R431,CapacityYear2)*'19_Расчет_аналитики'!$F$211*'06_Сеть_и_дети'!R5</f>
        <v/>
      </c>
      <c r="S377">
        <f>SUMPRODUCT('19_Расчет_аналитики'!S420:S431,CapacityYear2)*'19_Расчет_аналитики'!$F$211*'06_Сеть_и_дети'!S5</f>
        <v/>
      </c>
      <c r="T377">
        <f>SUMPRODUCT('19_Расчет_аналитики'!T420:T431,CapacityYear2)*'19_Расчет_аналитики'!$F$211*'06_Сеть_и_дети'!T5</f>
        <v/>
      </c>
      <c r="U377">
        <f>SUMPRODUCT('19_Расчет_аналитики'!U420:U431,CapacityYear2)*'19_Расчет_аналитики'!$F$211*'06_Сеть_и_дети'!U5</f>
        <v/>
      </c>
      <c r="V377">
        <f>SUMPRODUCT('19_Расчет_аналитики'!V420:V431,CapacityYear2)*'19_Расчет_аналитики'!$F$211*'06_Сеть_и_дети'!V5</f>
        <v/>
      </c>
      <c r="W377">
        <f>SUMPRODUCT('19_Расчет_аналитики'!W420:W431,CapacityYear2)*'19_Расчет_аналитики'!$F$211*'06_Сеть_и_дети'!W5</f>
        <v/>
      </c>
      <c r="X377">
        <f>SUMPRODUCT('19_Расчет_аналитики'!X420:X431,CapacityYear2)*'19_Расчет_аналитики'!$F$211*'06_Сеть_и_дети'!X5</f>
        <v/>
      </c>
      <c r="Y377">
        <f>SUMPRODUCT('19_Расчет_аналитики'!Y420:Y431,CapacityYear2)*'19_Расчет_аналитики'!$F$211*'06_Сеть_и_дети'!Y5</f>
        <v/>
      </c>
      <c r="Z377">
        <f>SUMPRODUCT('19_Расчет_аналитики'!Z420:Z431,CapacityYear2)*'19_Расчет_аналитики'!$F$211*'06_Сеть_и_дети'!Z5</f>
        <v/>
      </c>
      <c r="AA377">
        <f>SUMPRODUCT('19_Расчет_аналитики'!AA420:AA431,CapacityYear2)*'19_Расчет_аналитики'!$F$211*'06_Сеть_и_дети'!AA5</f>
        <v/>
      </c>
      <c r="AB377">
        <f>SUMPRODUCT('19_Расчет_аналитики'!AB420:AB431,CapacityYear2)*'19_Расчет_аналитики'!$F$211*'06_Сеть_и_дети'!AB5</f>
        <v/>
      </c>
      <c r="AC377">
        <f>SUMPRODUCT('19_Расчет_аналитики'!AC420:AC431,CapacityYear2)*'19_Расчет_аналитики'!$F$211*'06_Сеть_и_дети'!AC5</f>
        <v/>
      </c>
      <c r="AD377">
        <f>SUMPRODUCT('19_Расчет_аналитики'!AD420:AD431,CapacityYear2)*'19_Расчет_аналитики'!$F$211*'06_Сеть_и_дети'!AD5</f>
        <v/>
      </c>
      <c r="AE377">
        <f>SUMPRODUCT('19_Расчет_аналитики'!AE420:AE431,CapacityYear2)*'19_Расчет_аналитики'!$F$211*'06_Сеть_и_дети'!AE5</f>
        <v/>
      </c>
      <c r="AF377">
        <f>SUMPRODUCT('19_Расчет_аналитики'!AF420:AF431,CapacityYear2)*'19_Расчет_аналитики'!$F$211*'06_Сеть_и_дети'!AF5</f>
        <v/>
      </c>
      <c r="AG377">
        <f>SUMPRODUCT('19_Расчет_аналитики'!AG420:AG431,CapacityYear2)*'19_Расчет_аналитики'!$F$211*'06_Сеть_и_дети'!AG5</f>
        <v/>
      </c>
      <c r="AH377">
        <f>SUMPRODUCT('19_Расчет_аналитики'!AH420:AH431,CapacityYear2)*'19_Расчет_аналитики'!$F$211*'06_Сеть_и_дети'!AH5</f>
        <v/>
      </c>
      <c r="AI377">
        <f>SUMPRODUCT('19_Расчет_аналитики'!AI420:AI431,CapacityYear2)*'19_Расчет_аналитики'!$F$211*'06_Сеть_и_дети'!AI5</f>
        <v/>
      </c>
      <c r="AJ377">
        <f>SUMPRODUCT('19_Расчет_аналитики'!AJ420:AJ431,CapacityYear2)*'19_Расчет_аналитики'!$F$211*'06_Сеть_и_дети'!AJ5</f>
        <v/>
      </c>
      <c r="AK377">
        <f>SUMPRODUCT('19_Расчет_аналитики'!AK420:AK431,CapacityYear2)*'19_Расчет_аналитики'!$F$211*'06_Сеть_и_дети'!AK5</f>
        <v/>
      </c>
      <c r="AL377">
        <f>SUMPRODUCT('19_Расчет_аналитики'!AL420:AL431,CapacityYear2)*'19_Расчет_аналитики'!$F$211*'06_Сеть_и_дети'!AL5</f>
        <v/>
      </c>
      <c r="AM377">
        <f>SUMPRODUCT('19_Расчет_аналитики'!AM420:AM431,CapacityYear2)*'19_Расчет_аналитики'!$F$211*'06_Сеть_и_дети'!AM5</f>
        <v/>
      </c>
      <c r="AN377">
        <f>SUMPRODUCT('19_Расчет_аналитики'!AN420:AN431,CapacityYear2)*'19_Расчет_аналитики'!$F$211*'06_Сеть_и_дети'!AN5</f>
        <v/>
      </c>
      <c r="AO377">
        <f>SUMPRODUCT('19_Расчет_аналитики'!AO420:AO431,CapacityYear2)*'19_Расчет_аналитики'!$F$211*'06_Сеть_и_дети'!AO5</f>
        <v/>
      </c>
      <c r="AP377">
        <f>SUMPRODUCT('19_Расчет_аналитики'!AP420:AP431,CapacityYear2)*'19_Расчет_аналитики'!$F$211*'06_Сеть_и_дети'!AP5</f>
        <v/>
      </c>
      <c r="AQ377">
        <f>SUMPRODUCT('19_Расчет_аналитики'!AQ420:AQ431,CapacityYear2)*'19_Расчет_аналитики'!$F$211*'06_Сеть_и_дети'!AQ5</f>
        <v/>
      </c>
      <c r="AR377">
        <f>SUMPRODUCT('19_Расчет_аналитики'!AR420:AR431,CapacityYear2)*'19_Расчет_аналитики'!$F$211*'06_Сеть_и_дети'!AR5</f>
        <v/>
      </c>
      <c r="AS377">
        <f>SUMPRODUCT('19_Расчет_аналитики'!AS420:AS431,CapacityYear2)*'19_Расчет_аналитики'!$F$211*'06_Сеть_и_дети'!AS5</f>
        <v/>
      </c>
      <c r="AT377">
        <f>SUMPRODUCT('19_Расчет_аналитики'!AT420:AT431,CapacityYear2)*'19_Расчет_аналитики'!$F$211*'06_Сеть_и_дети'!AT5</f>
        <v/>
      </c>
      <c r="AU377">
        <f>SUMPRODUCT('19_Расчет_аналитики'!AU420:AU431,CapacityYear2)*'19_Расчет_аналитики'!$F$211*'06_Сеть_и_дети'!AU5</f>
        <v/>
      </c>
      <c r="AV377">
        <f>SUMPRODUCT('19_Расчет_аналитики'!AV420:AV431,CapacityYear2)*'19_Расчет_аналитики'!$F$211*'06_Сеть_и_дети'!AV5</f>
        <v/>
      </c>
      <c r="AW377">
        <f>SUMPRODUCT('19_Расчет_аналитики'!AW420:AW431,CapacityYear2)*'19_Расчет_аналитики'!$F$211*'06_Сеть_и_дети'!AW5</f>
        <v/>
      </c>
      <c r="AX377">
        <f>SUMPRODUCT('19_Расчет_аналитики'!AX420:AX431,CapacityYear2)*'19_Расчет_аналитики'!$F$211*'06_Сеть_и_дети'!AX5</f>
        <v/>
      </c>
      <c r="AY377">
        <f>SUMPRODUCT('19_Расчет_аналитики'!AY420:AY431,CapacityYear2)*'19_Расчет_аналитики'!$F$211*'06_Сеть_и_дети'!AY5</f>
        <v/>
      </c>
      <c r="AZ377">
        <f>SUMPRODUCT('19_Расчет_аналитики'!AZ420:AZ431,CapacityYear2)*'19_Расчет_аналитики'!$F$211*'06_Сеть_и_дети'!AZ5</f>
        <v/>
      </c>
      <c r="BA377">
        <f>SUMPRODUCT('19_Расчет_аналитики'!BA420:BA431,CapacityYear2)*'19_Расчет_аналитики'!$F$211*'06_Сеть_и_дети'!BA5</f>
        <v/>
      </c>
      <c r="BB377">
        <f>SUMPRODUCT('19_Расчет_аналитики'!BB420:BB431,CapacityYear2)*'19_Расчет_аналитики'!$F$211*'06_Сеть_и_дети'!BB5</f>
        <v/>
      </c>
      <c r="BC377">
        <f>SUMPRODUCT('19_Расчет_аналитики'!BC420:BC431,CapacityYear2)*'19_Расчет_аналитики'!$F$211*'06_Сеть_и_дети'!BC5</f>
        <v/>
      </c>
      <c r="BD377">
        <f>SUMPRODUCT('19_Расчет_аналитики'!BD420:BD431,CapacityYear2)*'19_Расчет_аналитики'!$F$211*'06_Сеть_и_дети'!BD5</f>
        <v/>
      </c>
      <c r="BE377">
        <f>SUMPRODUCT('19_Расчет_аналитики'!BE420:BE431,CapacityYear2)*'19_Расчет_аналитики'!$F$211*'06_Сеть_и_дети'!BE5</f>
        <v/>
      </c>
      <c r="BF377">
        <f>SUMPRODUCT('19_Расчет_аналитики'!BF420:BF431,CapacityYear2)*'19_Расчет_аналитики'!$F$211*'06_Сеть_и_дети'!BF5</f>
        <v/>
      </c>
      <c r="BG377">
        <f>SUMPRODUCT('19_Расчет_аналитики'!BG420:BG431,CapacityYear2)*'19_Расчет_аналитики'!$F$211*'06_Сеть_и_дети'!BG5</f>
        <v/>
      </c>
      <c r="BH377">
        <f>SUMPRODUCT('19_Расчет_аналитики'!BH420:BH431,CapacityYear2)*'19_Расчет_аналитики'!$F$211*'06_Сеть_и_дети'!BH5</f>
        <v/>
      </c>
      <c r="BI377">
        <f>SUMPRODUCT('19_Расчет_аналитики'!BI420:BI431,CapacityYear2)*'19_Расчет_аналитики'!$F$211*'06_Сеть_и_дети'!BI5</f>
        <v/>
      </c>
      <c r="BJ377">
        <f>SUMPRODUCT('19_Расчет_аналитики'!BJ420:BJ431,CapacityYear2)*'19_Расчет_аналитики'!$F$211*'06_Сеть_и_дети'!BJ5</f>
        <v/>
      </c>
      <c r="BK377">
        <f>SUMPRODUCT('19_Расчет_аналитики'!BK420:BK431,CapacityYear2)*'19_Расчет_аналитики'!$F$211*'06_Сеть_и_дети'!BK5</f>
        <v/>
      </c>
      <c r="BL377">
        <f>SUMPRODUCT('19_Расчет_аналитики'!BL420:BL431,CapacityYear2)*'19_Расчет_аналитики'!$F$211*'06_Сеть_и_дети'!BL5</f>
        <v/>
      </c>
      <c r="BM377">
        <f>SUMPRODUCT('19_Расчет_аналитики'!BM420:BM431,CapacityYear2)*'19_Расчет_аналитики'!$F$211*'06_Сеть_и_дети'!BM5</f>
        <v/>
      </c>
      <c r="BN377">
        <f>SUMPRODUCT('19_Расчет_аналитики'!BN420:BN431,CapacityYear2)*'19_Расчет_аналитики'!$F$211*'06_Сеть_и_дети'!BN5</f>
        <v/>
      </c>
      <c r="BO377">
        <f>SUMPRODUCT('19_Расчет_аналитики'!BO420:BO431,CapacityYear2)*'19_Расчет_аналитики'!$F$211*'06_Сеть_и_дети'!BO5</f>
        <v/>
      </c>
    </row>
    <row r="378">
      <c r="B378">
        <f>'06_Сеть_и_дети'!B77*CapacityAge25*'19_Расчет_аналитики'!$F$211*'06_Сеть_и_дети'!B5</f>
        <v/>
      </c>
      <c r="C378">
        <f>'06_Сеть_и_дети'!C77*CapacityAge25*'19_Расчет_аналитики'!$F$211*'06_Сеть_и_дети'!C5</f>
        <v/>
      </c>
      <c r="D378">
        <f>'06_Сеть_и_дети'!D77*CapacityAge25*'19_Расчет_аналитики'!$F$211*'06_Сеть_и_дети'!D5</f>
        <v/>
      </c>
      <c r="E378">
        <f>'06_Сеть_и_дети'!E77*CapacityAge25*'19_Расчет_аналитики'!$F$211*'06_Сеть_и_дети'!E5</f>
        <v/>
      </c>
      <c r="F378">
        <f>'06_Сеть_и_дети'!F77*CapacityAge25*'19_Расчет_аналитики'!$F$211*'06_Сеть_и_дети'!F5</f>
        <v/>
      </c>
      <c r="G378">
        <f>'06_Сеть_и_дети'!G77*CapacityAge25*'19_Расчет_аналитики'!$F$211*'06_Сеть_и_дети'!G5</f>
        <v/>
      </c>
      <c r="H378">
        <f>'06_Сеть_и_дети'!H77*CapacityAge25*'19_Расчет_аналитики'!$F$211*'06_Сеть_и_дети'!H5</f>
        <v/>
      </c>
      <c r="I378">
        <f>'06_Сеть_и_дети'!I77*CapacityAge25*'19_Расчет_аналитики'!$F$211*'06_Сеть_и_дети'!I5</f>
        <v/>
      </c>
      <c r="J378">
        <f>'06_Сеть_и_дети'!J77*CapacityAge25*'19_Расчет_аналитики'!$F$211*'06_Сеть_и_дети'!J5</f>
        <v/>
      </c>
      <c r="K378">
        <f>'06_Сеть_и_дети'!K77*CapacityAge25*'19_Расчет_аналитики'!$F$211*'06_Сеть_и_дети'!K5</f>
        <v/>
      </c>
      <c r="L378">
        <f>'06_Сеть_и_дети'!L77*CapacityAge25*'19_Расчет_аналитики'!$F$211*'06_Сеть_и_дети'!L5</f>
        <v/>
      </c>
      <c r="M378">
        <f>'06_Сеть_и_дети'!M77*CapacityAge25*'19_Расчет_аналитики'!$F$211*'06_Сеть_и_дети'!M5</f>
        <v/>
      </c>
      <c r="N378">
        <f>'06_Сеть_и_дети'!N77*CapacityAge25*'19_Расчет_аналитики'!$F$211*'06_Сеть_и_дети'!N5</f>
        <v/>
      </c>
      <c r="O378">
        <f>'06_Сеть_и_дети'!O77*CapacityAge25*'19_Расчет_аналитики'!$F$211*'06_Сеть_и_дети'!O5</f>
        <v/>
      </c>
      <c r="P378">
        <f>'06_Сеть_и_дети'!P77*CapacityAge25*'19_Расчет_аналитики'!$F$211*'06_Сеть_и_дети'!P5</f>
        <v/>
      </c>
      <c r="Q378">
        <f>'06_Сеть_и_дети'!Q77*CapacityAge25*'19_Расчет_аналитики'!$F$211*'06_Сеть_и_дети'!Q5</f>
        <v/>
      </c>
      <c r="R378">
        <f>'06_Сеть_и_дети'!R77*CapacityAge25*'19_Расчет_аналитики'!$F$211*'06_Сеть_и_дети'!R5</f>
        <v/>
      </c>
      <c r="S378">
        <f>'06_Сеть_и_дети'!S77*CapacityAge25*'19_Расчет_аналитики'!$F$211*'06_Сеть_и_дети'!S5</f>
        <v/>
      </c>
      <c r="T378">
        <f>'06_Сеть_и_дети'!T77*CapacityAge25*'19_Расчет_аналитики'!$F$211*'06_Сеть_и_дети'!T5</f>
        <v/>
      </c>
      <c r="U378">
        <f>'06_Сеть_и_дети'!U77*CapacityAge25*'19_Расчет_аналитики'!$F$211*'06_Сеть_и_дети'!U5</f>
        <v/>
      </c>
      <c r="V378">
        <f>'06_Сеть_и_дети'!V77*CapacityAge25*'19_Расчет_аналитики'!$F$211*'06_Сеть_и_дети'!V5</f>
        <v/>
      </c>
      <c r="W378">
        <f>'06_Сеть_и_дети'!W77*CapacityAge25*'19_Расчет_аналитики'!$F$211*'06_Сеть_и_дети'!W5</f>
        <v/>
      </c>
      <c r="X378">
        <f>'06_Сеть_и_дети'!X77*CapacityAge25*'19_Расчет_аналитики'!$F$211*'06_Сеть_и_дети'!X5</f>
        <v/>
      </c>
      <c r="Y378">
        <f>'06_Сеть_и_дети'!Y77*CapacityAge25*'19_Расчет_аналитики'!$F$211*'06_Сеть_и_дети'!Y5</f>
        <v/>
      </c>
      <c r="Z378">
        <f>'19_Расчет_аналитики'!Z432*CapacityAge25*'19_Расчет_аналитики'!$F$211*'06_Сеть_и_дети'!Z5</f>
        <v/>
      </c>
      <c r="AA378">
        <f>'19_Расчет_аналитики'!AA432*CapacityAge25*'19_Расчет_аналитики'!$F$211*'06_Сеть_и_дети'!AA5</f>
        <v/>
      </c>
      <c r="AB378">
        <f>'19_Расчет_аналитики'!AB432*CapacityAge25*'19_Расчет_аналитики'!$F$211*'06_Сеть_и_дети'!AB5</f>
        <v/>
      </c>
      <c r="AC378">
        <f>'19_Расчет_аналитики'!AC432*CapacityAge25*'19_Расчет_аналитики'!$F$211*'06_Сеть_и_дети'!AC5</f>
        <v/>
      </c>
      <c r="AD378">
        <f>'19_Расчет_аналитики'!AD432*CapacityAge25*'19_Расчет_аналитики'!$F$211*'06_Сеть_и_дети'!AD5</f>
        <v/>
      </c>
      <c r="AE378">
        <f>'19_Расчет_аналитики'!AE432*CapacityAge25*'19_Расчет_аналитики'!$F$211*'06_Сеть_и_дети'!AE5</f>
        <v/>
      </c>
      <c r="AF378">
        <f>'19_Расчет_аналитики'!AF432*CapacityAge25*'19_Расчет_аналитики'!$F$211*'06_Сеть_и_дети'!AF5</f>
        <v/>
      </c>
      <c r="AG378">
        <f>'19_Расчет_аналитики'!AG432*CapacityAge25*'19_Расчет_аналитики'!$F$211*'06_Сеть_и_дети'!AG5</f>
        <v/>
      </c>
      <c r="AH378">
        <f>'19_Расчет_аналитики'!AH432*CapacityAge25*'19_Расчет_аналитики'!$F$211*'06_Сеть_и_дети'!AH5</f>
        <v/>
      </c>
      <c r="AI378">
        <f>'19_Расчет_аналитики'!AI432*CapacityAge25*'19_Расчет_аналитики'!$F$211*'06_Сеть_и_дети'!AI5</f>
        <v/>
      </c>
      <c r="AJ378">
        <f>'19_Расчет_аналитики'!AJ432*CapacityAge25*'19_Расчет_аналитики'!$F$211*'06_Сеть_и_дети'!AJ5</f>
        <v/>
      </c>
      <c r="AK378">
        <f>'19_Расчет_аналитики'!AK432*CapacityAge25*'19_Расчет_аналитики'!$F$211*'06_Сеть_и_дети'!AK5</f>
        <v/>
      </c>
      <c r="AL378">
        <f>'19_Расчет_аналитики'!AL432*CapacityAge25*'19_Расчет_аналитики'!$F$211*'06_Сеть_и_дети'!AL5</f>
        <v/>
      </c>
      <c r="AM378">
        <f>'19_Расчет_аналитики'!AM432*CapacityAge25*'19_Расчет_аналитики'!$F$211*'06_Сеть_и_дети'!AM5</f>
        <v/>
      </c>
      <c r="AN378">
        <f>'19_Расчет_аналитики'!AN432*CapacityAge25*'19_Расчет_аналитики'!$F$211*'06_Сеть_и_дети'!AN5</f>
        <v/>
      </c>
      <c r="AO378">
        <f>'19_Расчет_аналитики'!AO432*CapacityAge25*'19_Расчет_аналитики'!$F$211*'06_Сеть_и_дети'!AO5</f>
        <v/>
      </c>
      <c r="AP378">
        <f>'19_Расчет_аналитики'!AP432*CapacityAge25*'19_Расчет_аналитики'!$F$211*'06_Сеть_и_дети'!AP5</f>
        <v/>
      </c>
      <c r="AQ378">
        <f>'19_Расчет_аналитики'!AQ432*CapacityAge25*'19_Расчет_аналитики'!$F$211*'06_Сеть_и_дети'!AQ5</f>
        <v/>
      </c>
      <c r="AR378">
        <f>'19_Расчет_аналитики'!AR432*CapacityAge25*'19_Расчет_аналитики'!$F$211*'06_Сеть_и_дети'!AR5</f>
        <v/>
      </c>
      <c r="AS378">
        <f>'19_Расчет_аналитики'!AS432*CapacityAge25*'19_Расчет_аналитики'!$F$211*'06_Сеть_и_дети'!AS5</f>
        <v/>
      </c>
      <c r="AT378">
        <f>'19_Расчет_аналитики'!AT432*CapacityAge25*'19_Расчет_аналитики'!$F$211*'06_Сеть_и_дети'!AT5</f>
        <v/>
      </c>
      <c r="AU378">
        <f>'19_Расчет_аналитики'!AU432*CapacityAge25*'19_Расчет_аналитики'!$F$211*'06_Сеть_и_дети'!AU5</f>
        <v/>
      </c>
      <c r="AV378">
        <f>'19_Расчет_аналитики'!AV432*CapacityAge25*'19_Расчет_аналитики'!$F$211*'06_Сеть_и_дети'!AV5</f>
        <v/>
      </c>
      <c r="AW378">
        <f>'19_Расчет_аналитики'!AW432*CapacityAge25*'19_Расчет_аналитики'!$F$211*'06_Сеть_и_дети'!AW5</f>
        <v/>
      </c>
      <c r="AX378">
        <f>'19_Расчет_аналитики'!AX432*CapacityAge25*'19_Расчет_аналитики'!$F$211*'06_Сеть_и_дети'!AX5</f>
        <v/>
      </c>
      <c r="AY378">
        <f>'19_Расчет_аналитики'!AY432*CapacityAge25*'19_Расчет_аналитики'!$F$211*'06_Сеть_и_дети'!AY5</f>
        <v/>
      </c>
      <c r="AZ378">
        <f>'19_Расчет_аналитики'!AZ432*CapacityAge25*'19_Расчет_аналитики'!$F$211*'06_Сеть_и_дети'!AZ5</f>
        <v/>
      </c>
      <c r="BA378">
        <f>'19_Расчет_аналитики'!BA432*CapacityAge25*'19_Расчет_аналитики'!$F$211*'06_Сеть_и_дети'!BA5</f>
        <v/>
      </c>
      <c r="BB378">
        <f>'19_Расчет_аналитики'!BB432*CapacityAge25*'19_Расчет_аналитики'!$F$211*'06_Сеть_и_дети'!BB5</f>
        <v/>
      </c>
      <c r="BC378">
        <f>'19_Расчет_аналитики'!BC432*CapacityAge25*'19_Расчет_аналитики'!$F$211*'06_Сеть_и_дети'!BC5</f>
        <v/>
      </c>
      <c r="BD378">
        <f>'19_Расчет_аналитики'!BD432*CapacityAge25*'19_Расчет_аналитики'!$F$211*'06_Сеть_и_дети'!BD5</f>
        <v/>
      </c>
      <c r="BE378">
        <f>'19_Расчет_аналитики'!BE432*CapacityAge25*'19_Расчет_аналитики'!$F$211*'06_Сеть_и_дети'!BE5</f>
        <v/>
      </c>
      <c r="BF378">
        <f>'19_Расчет_аналитики'!BF432*CapacityAge25*'19_Расчет_аналитики'!$F$211*'06_Сеть_и_дети'!BF5</f>
        <v/>
      </c>
      <c r="BG378">
        <f>'19_Расчет_аналитики'!BG432*CapacityAge25*'19_Расчет_аналитики'!$F$211*'06_Сеть_и_дети'!BG5</f>
        <v/>
      </c>
      <c r="BH378">
        <f>'19_Расчет_аналитики'!BH432*CapacityAge25*'19_Расчет_аналитики'!$F$211*'06_Сеть_и_дети'!BH5</f>
        <v/>
      </c>
      <c r="BI378">
        <f>'19_Расчет_аналитики'!BI432*CapacityAge25*'19_Расчет_аналитики'!$F$211*'06_Сеть_и_дети'!BI5</f>
        <v/>
      </c>
      <c r="BJ378">
        <f>'19_Расчет_аналитики'!BJ432*CapacityAge25*'19_Расчет_аналитики'!$F$211*'06_Сеть_и_дети'!BJ5</f>
        <v/>
      </c>
      <c r="BK378">
        <f>'19_Расчет_аналитики'!BK432*CapacityAge25*'19_Расчет_аналитики'!$F$211*'06_Сеть_и_дети'!BK5</f>
        <v/>
      </c>
      <c r="BL378">
        <f>'19_Расчет_аналитики'!BL432*CapacityAge25*'19_Расчет_аналитики'!$F$211*'06_Сеть_и_дети'!BL5</f>
        <v/>
      </c>
      <c r="BM378">
        <f>'19_Расчет_аналитики'!BM432*CapacityAge25*'19_Расчет_аналитики'!$F$211*'06_Сеть_и_дети'!BM5</f>
        <v/>
      </c>
      <c r="BN378">
        <f>'19_Расчет_аналитики'!BN432*CapacityAge25*'19_Расчет_аналитики'!$F$211*'06_Сеть_и_дети'!BN5</f>
        <v/>
      </c>
      <c r="BO378">
        <f>'19_Расчет_аналитики'!BO432*CapacityAge25*'19_Расчет_аналитики'!$F$211*'06_Сеть_и_дети'!BO5</f>
        <v/>
      </c>
    </row>
    <row r="379">
      <c r="B379">
        <f>SUM('19_Расчет_аналитики'!B376:B378)</f>
        <v/>
      </c>
      <c r="C379">
        <f>SUM('19_Расчет_аналитики'!C376:C378)</f>
        <v/>
      </c>
      <c r="D379">
        <f>SUM('19_Расчет_аналитики'!D376:D378)</f>
        <v/>
      </c>
      <c r="E379">
        <f>SUM('19_Расчет_аналитики'!E376:E378)</f>
        <v/>
      </c>
      <c r="F379">
        <f>SUM('19_Расчет_аналитики'!F376:F378)</f>
        <v/>
      </c>
      <c r="G379">
        <f>SUM('19_Расчет_аналитики'!G376:G378)</f>
        <v/>
      </c>
      <c r="H379">
        <f>SUM('19_Расчет_аналитики'!H376:H378)</f>
        <v/>
      </c>
      <c r="I379">
        <f>SUM('19_Расчет_аналитики'!I376:I378)</f>
        <v/>
      </c>
      <c r="J379">
        <f>SUM('19_Расчет_аналитики'!J376:J378)</f>
        <v/>
      </c>
      <c r="K379">
        <f>SUM('19_Расчет_аналитики'!K376:K378)</f>
        <v/>
      </c>
      <c r="L379">
        <f>SUM('19_Расчет_аналитики'!L376:L378)</f>
        <v/>
      </c>
      <c r="M379">
        <f>SUM('19_Расчет_аналитики'!M376:M378)</f>
        <v/>
      </c>
      <c r="N379">
        <f>SUM('19_Расчет_аналитики'!N376:N378)</f>
        <v/>
      </c>
      <c r="O379">
        <f>SUM('19_Расчет_аналитики'!O376:O378)</f>
        <v/>
      </c>
      <c r="P379">
        <f>SUM('19_Расчет_аналитики'!P376:P378)</f>
        <v/>
      </c>
      <c r="Q379">
        <f>SUM('19_Расчет_аналитики'!Q376:Q378)</f>
        <v/>
      </c>
      <c r="R379">
        <f>SUM('19_Расчет_аналитики'!R376:R378)</f>
        <v/>
      </c>
      <c r="S379">
        <f>SUM('19_Расчет_аналитики'!S376:S378)</f>
        <v/>
      </c>
      <c r="T379">
        <f>SUM('19_Расчет_аналитики'!T376:T378)</f>
        <v/>
      </c>
      <c r="U379">
        <f>SUM('19_Расчет_аналитики'!U376:U378)</f>
        <v/>
      </c>
      <c r="V379">
        <f>SUM('19_Расчет_аналитики'!V376:V378)</f>
        <v/>
      </c>
      <c r="W379">
        <f>SUM('19_Расчет_аналитики'!W376:W378)</f>
        <v/>
      </c>
      <c r="X379">
        <f>SUM('19_Расчет_аналитики'!X376:X378)</f>
        <v/>
      </c>
      <c r="Y379">
        <f>SUM('19_Расчет_аналитики'!Y376:Y378)</f>
        <v/>
      </c>
      <c r="Z379">
        <f>SUM('19_Расчет_аналитики'!Z376:Z378)</f>
        <v/>
      </c>
      <c r="AA379">
        <f>SUM('19_Расчет_аналитики'!AA376:AA378)</f>
        <v/>
      </c>
      <c r="AB379">
        <f>SUM('19_Расчет_аналитики'!AB376:AB378)</f>
        <v/>
      </c>
      <c r="AC379">
        <f>SUM('19_Расчет_аналитики'!AC376:AC378)</f>
        <v/>
      </c>
      <c r="AD379">
        <f>SUM('19_Расчет_аналитики'!AD376:AD378)</f>
        <v/>
      </c>
      <c r="AE379">
        <f>SUM('19_Расчет_аналитики'!AE376:AE378)</f>
        <v/>
      </c>
      <c r="AF379">
        <f>SUM('19_Расчет_аналитики'!AF376:AF378)</f>
        <v/>
      </c>
      <c r="AG379">
        <f>SUM('19_Расчет_аналитики'!AG376:AG378)</f>
        <v/>
      </c>
      <c r="AH379">
        <f>SUM('19_Расчет_аналитики'!AH376:AH378)</f>
        <v/>
      </c>
      <c r="AI379">
        <f>SUM('19_Расчет_аналитики'!AI376:AI378)</f>
        <v/>
      </c>
      <c r="AJ379">
        <f>SUM('19_Расчет_аналитики'!AJ376:AJ378)</f>
        <v/>
      </c>
      <c r="AK379">
        <f>SUM('19_Расчет_аналитики'!AK376:AK378)</f>
        <v/>
      </c>
      <c r="AL379">
        <f>SUM('19_Расчет_аналитики'!AL376:AL378)</f>
        <v/>
      </c>
      <c r="AM379">
        <f>SUM('19_Расчет_аналитики'!AM376:AM378)</f>
        <v/>
      </c>
      <c r="AN379">
        <f>SUM('19_Расчет_аналитики'!AN376:AN378)</f>
        <v/>
      </c>
      <c r="AO379">
        <f>SUM('19_Расчет_аналитики'!AO376:AO378)</f>
        <v/>
      </c>
      <c r="AP379">
        <f>SUM('19_Расчет_аналитики'!AP376:AP378)</f>
        <v/>
      </c>
      <c r="AQ379">
        <f>SUM('19_Расчет_аналитики'!AQ376:AQ378)</f>
        <v/>
      </c>
      <c r="AR379">
        <f>SUM('19_Расчет_аналитики'!AR376:AR378)</f>
        <v/>
      </c>
      <c r="AS379">
        <f>SUM('19_Расчет_аналитики'!AS376:AS378)</f>
        <v/>
      </c>
      <c r="AT379">
        <f>SUM('19_Расчет_аналитики'!AT376:AT378)</f>
        <v/>
      </c>
      <c r="AU379">
        <f>SUM('19_Расчет_аналитики'!AU376:AU378)</f>
        <v/>
      </c>
      <c r="AV379">
        <f>SUM('19_Расчет_аналитики'!AV376:AV378)</f>
        <v/>
      </c>
      <c r="AW379">
        <f>SUM('19_Расчет_аналитики'!AW376:AW378)</f>
        <v/>
      </c>
      <c r="AX379">
        <f>SUM('19_Расчет_аналитики'!AX376:AX378)</f>
        <v/>
      </c>
      <c r="AY379">
        <f>SUM('19_Расчет_аналитики'!AY376:AY378)</f>
        <v/>
      </c>
      <c r="AZ379">
        <f>SUM('19_Расчет_аналитики'!AZ376:AZ378)</f>
        <v/>
      </c>
      <c r="BA379">
        <f>SUM('19_Расчет_аналитики'!BA376:BA378)</f>
        <v/>
      </c>
      <c r="BB379">
        <f>SUM('19_Расчет_аналитики'!BB376:BB378)</f>
        <v/>
      </c>
      <c r="BC379">
        <f>SUM('19_Расчет_аналитики'!BC376:BC378)</f>
        <v/>
      </c>
      <c r="BD379">
        <f>SUM('19_Расчет_аналитики'!BD376:BD378)</f>
        <v/>
      </c>
      <c r="BE379">
        <f>SUM('19_Расчет_аналитики'!BE376:BE378)</f>
        <v/>
      </c>
      <c r="BF379">
        <f>SUM('19_Расчет_аналитики'!BF376:BF378)</f>
        <v/>
      </c>
      <c r="BG379">
        <f>SUM('19_Расчет_аналитики'!BG376:BG378)</f>
        <v/>
      </c>
      <c r="BH379">
        <f>SUM('19_Расчет_аналитики'!BH376:BH378)</f>
        <v/>
      </c>
      <c r="BI379">
        <f>SUM('19_Расчет_аналитики'!BI376:BI378)</f>
        <v/>
      </c>
      <c r="BJ379">
        <f>SUM('19_Расчет_аналитики'!BJ376:BJ378)</f>
        <v/>
      </c>
      <c r="BK379">
        <f>SUM('19_Расчет_аналитики'!BK376:BK378)</f>
        <v/>
      </c>
      <c r="BL379">
        <f>SUM('19_Расчет_аналитики'!BL376:BL378)</f>
        <v/>
      </c>
      <c r="BM379">
        <f>SUM('19_Расчет_аналитики'!BM376:BM378)</f>
        <v/>
      </c>
      <c r="BN379">
        <f>SUM('19_Расчет_аналитики'!BN376:BN378)</f>
        <v/>
      </c>
      <c r="BO379">
        <f>SUM('19_Расчет_аналитики'!BO376:BO378)</f>
        <v/>
      </c>
    </row>
    <row r="380">
      <c r="B380">
        <f>'06_Сеть_и_дети'!B20+'19_Расчет_аналитики'!B379</f>
        <v/>
      </c>
      <c r="C380">
        <f>'06_Сеть_и_дети'!C20+'19_Расчет_аналитики'!C379</f>
        <v/>
      </c>
      <c r="D380">
        <f>'06_Сеть_и_дети'!D20+'19_Расчет_аналитики'!D379</f>
        <v/>
      </c>
      <c r="E380">
        <f>'06_Сеть_и_дети'!E20+'19_Расчет_аналитики'!E379</f>
        <v/>
      </c>
      <c r="F380">
        <f>'06_Сеть_и_дети'!F20+'19_Расчет_аналитики'!F379</f>
        <v/>
      </c>
      <c r="G380">
        <f>'06_Сеть_и_дети'!G20+'19_Расчет_аналитики'!G379</f>
        <v/>
      </c>
      <c r="H380">
        <f>'06_Сеть_и_дети'!H20+'19_Расчет_аналитики'!H379</f>
        <v/>
      </c>
      <c r="I380">
        <f>'06_Сеть_и_дети'!I20+'19_Расчет_аналитики'!I379</f>
        <v/>
      </c>
      <c r="J380">
        <f>'06_Сеть_и_дети'!J20+'19_Расчет_аналитики'!J379</f>
        <v/>
      </c>
      <c r="K380">
        <f>'06_Сеть_и_дети'!K20+'19_Расчет_аналитики'!K379</f>
        <v/>
      </c>
      <c r="L380">
        <f>'06_Сеть_и_дети'!L20+'19_Расчет_аналитики'!L379</f>
        <v/>
      </c>
      <c r="M380">
        <f>'06_Сеть_и_дети'!M20+'19_Расчет_аналитики'!M379</f>
        <v/>
      </c>
      <c r="N380">
        <f>'06_Сеть_и_дети'!N20+'19_Расчет_аналитики'!N379</f>
        <v/>
      </c>
      <c r="O380">
        <f>'06_Сеть_и_дети'!O20+'19_Расчет_аналитики'!O379</f>
        <v/>
      </c>
      <c r="P380">
        <f>'06_Сеть_и_дети'!P20+'19_Расчет_аналитики'!P379</f>
        <v/>
      </c>
      <c r="Q380">
        <f>'06_Сеть_и_дети'!Q20+'19_Расчет_аналитики'!Q379</f>
        <v/>
      </c>
      <c r="R380">
        <f>'06_Сеть_и_дети'!R20+'19_Расчет_аналитики'!R379</f>
        <v/>
      </c>
      <c r="S380">
        <f>'06_Сеть_и_дети'!S20+'19_Расчет_аналитики'!S379</f>
        <v/>
      </c>
      <c r="T380">
        <f>'06_Сеть_и_дети'!T20+'19_Расчет_аналитики'!T379</f>
        <v/>
      </c>
      <c r="U380">
        <f>'06_Сеть_и_дети'!U20+'19_Расчет_аналитики'!U379</f>
        <v/>
      </c>
      <c r="V380">
        <f>'06_Сеть_и_дети'!V20+'19_Расчет_аналитики'!V379</f>
        <v/>
      </c>
      <c r="W380">
        <f>'06_Сеть_и_дети'!W20+'19_Расчет_аналитики'!W379</f>
        <v/>
      </c>
      <c r="X380">
        <f>'06_Сеть_и_дети'!X20+'19_Расчет_аналитики'!X379</f>
        <v/>
      </c>
      <c r="Y380">
        <f>'06_Сеть_и_дети'!Y20+'19_Расчет_аналитики'!Y379</f>
        <v/>
      </c>
      <c r="Z380">
        <f>'06_Сеть_и_дети'!Z20+'19_Расчет_аналитики'!Z379</f>
        <v/>
      </c>
      <c r="AA380">
        <f>'06_Сеть_и_дети'!AA20+'19_Расчет_аналитики'!AA379</f>
        <v/>
      </c>
      <c r="AB380">
        <f>'06_Сеть_и_дети'!AB20+'19_Расчет_аналитики'!AB379</f>
        <v/>
      </c>
      <c r="AC380">
        <f>'06_Сеть_и_дети'!AC20+'19_Расчет_аналитики'!AC379</f>
        <v/>
      </c>
      <c r="AD380">
        <f>'06_Сеть_и_дети'!AD20+'19_Расчет_аналитики'!AD379</f>
        <v/>
      </c>
      <c r="AE380">
        <f>'06_Сеть_и_дети'!AE20+'19_Расчет_аналитики'!AE379</f>
        <v/>
      </c>
      <c r="AF380">
        <f>'06_Сеть_и_дети'!AF20+'19_Расчет_аналитики'!AF379</f>
        <v/>
      </c>
      <c r="AG380">
        <f>'06_Сеть_и_дети'!AG20+'19_Расчет_аналитики'!AG379</f>
        <v/>
      </c>
      <c r="AH380">
        <f>'06_Сеть_и_дети'!AH20+'19_Расчет_аналитики'!AH379</f>
        <v/>
      </c>
      <c r="AI380">
        <f>'06_Сеть_и_дети'!AI20+'19_Расчет_аналитики'!AI379</f>
        <v/>
      </c>
      <c r="AJ380">
        <f>'06_Сеть_и_дети'!AJ20+'19_Расчет_аналитики'!AJ379</f>
        <v/>
      </c>
      <c r="AK380">
        <f>'06_Сеть_и_дети'!AK20+'19_Расчет_аналитики'!AK379</f>
        <v/>
      </c>
      <c r="AL380">
        <f>'06_Сеть_и_дети'!AL20+'19_Расчет_аналитики'!AL379</f>
        <v/>
      </c>
      <c r="AM380">
        <f>'06_Сеть_и_дети'!AM20+'19_Расчет_аналитики'!AM379</f>
        <v/>
      </c>
      <c r="AN380">
        <f>'06_Сеть_и_дети'!AN20+'19_Расчет_аналитики'!AN379</f>
        <v/>
      </c>
      <c r="AO380">
        <f>'06_Сеть_и_дети'!AO20+'19_Расчет_аналитики'!AO379</f>
        <v/>
      </c>
      <c r="AP380">
        <f>'06_Сеть_и_дети'!AP20+'19_Расчет_аналитики'!AP379</f>
        <v/>
      </c>
      <c r="AQ380">
        <f>'06_Сеть_и_дети'!AQ20+'19_Расчет_аналитики'!AQ379</f>
        <v/>
      </c>
      <c r="AR380">
        <f>'06_Сеть_и_дети'!AR20+'19_Расчет_аналитики'!AR379</f>
        <v/>
      </c>
      <c r="AS380">
        <f>'06_Сеть_и_дети'!AS20+'19_Расчет_аналитики'!AS379</f>
        <v/>
      </c>
      <c r="AT380">
        <f>'06_Сеть_и_дети'!AT20+'19_Расчет_аналитики'!AT379</f>
        <v/>
      </c>
      <c r="AU380">
        <f>'06_Сеть_и_дети'!AU20+'19_Расчет_аналитики'!AU379</f>
        <v/>
      </c>
      <c r="AV380">
        <f>'06_Сеть_и_дети'!AV20+'19_Расчет_аналитики'!AV379</f>
        <v/>
      </c>
      <c r="AW380">
        <f>'06_Сеть_и_дети'!AW20+'19_Расчет_аналитики'!AW379</f>
        <v/>
      </c>
      <c r="AX380">
        <f>'06_Сеть_и_дети'!AX20+'19_Расчет_аналитики'!AX379</f>
        <v/>
      </c>
      <c r="AY380">
        <f>'06_Сеть_и_дети'!AY20+'19_Расчет_аналитики'!AY379</f>
        <v/>
      </c>
      <c r="AZ380">
        <f>'06_Сеть_и_дети'!AZ20+'19_Расчет_аналитики'!AZ379</f>
        <v/>
      </c>
      <c r="BA380">
        <f>'06_Сеть_и_дети'!BA20+'19_Расчет_аналитики'!BA379</f>
        <v/>
      </c>
      <c r="BB380">
        <f>'06_Сеть_и_дети'!BB20+'19_Расчет_аналитики'!BB379</f>
        <v/>
      </c>
      <c r="BC380">
        <f>'06_Сеть_и_дети'!BC20+'19_Расчет_аналитики'!BC379</f>
        <v/>
      </c>
      <c r="BD380">
        <f>'06_Сеть_и_дети'!BD20+'19_Расчет_аналитики'!BD379</f>
        <v/>
      </c>
      <c r="BE380">
        <f>'06_Сеть_и_дети'!BE20+'19_Расчет_аналитики'!BE379</f>
        <v/>
      </c>
      <c r="BF380">
        <f>'06_Сеть_и_дети'!BF20+'19_Расчет_аналитики'!BF379</f>
        <v/>
      </c>
      <c r="BG380">
        <f>'06_Сеть_и_дети'!BG20+'19_Расчет_аналитики'!BG379</f>
        <v/>
      </c>
      <c r="BH380">
        <f>'06_Сеть_и_дети'!BH20+'19_Расчет_аналитики'!BH379</f>
        <v/>
      </c>
      <c r="BI380">
        <f>'06_Сеть_и_дети'!BI20+'19_Расчет_аналитики'!BI379</f>
        <v/>
      </c>
      <c r="BJ380">
        <f>'06_Сеть_и_дети'!BJ20+'19_Расчет_аналитики'!BJ379</f>
        <v/>
      </c>
      <c r="BK380">
        <f>'06_Сеть_и_дети'!BK20+'19_Расчет_аналитики'!BK379</f>
        <v/>
      </c>
      <c r="BL380">
        <f>'06_Сеть_и_дети'!BL20+'19_Расчет_аналитики'!BL379</f>
        <v/>
      </c>
      <c r="BM380">
        <f>'06_Сеть_и_дети'!BM20+'19_Расчет_аналитики'!BM379</f>
        <v/>
      </c>
      <c r="BN380">
        <f>'06_Сеть_и_дети'!BN20+'19_Расчет_аналитики'!BN379</f>
        <v/>
      </c>
      <c r="BO380">
        <f>'06_Сеть_и_дети'!BO20+'19_Расчет_аналитики'!BO379</f>
        <v/>
      </c>
    </row>
    <row r="381"/>
    <row r="382"/>
    <row r="383">
      <c r="B383">
        <f>SUMPRODUCT(('01_Вводные'!$D$314:$D$318*'01_Вводные'!$B$314:$B$318*IF('01_Вводные'!$B$9=0,0,'06_Сеть_и_дети'!B11/'01_Вводные'!$B$9)+'06_Сеть_и_дети'!B20*'19_Расчет_аналитики'!B806*'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806*'01_Вводные'!$C$314:$C$318*('01_Вводные'!$E$314:$E$318*('06_Сеть_и_дети'!B$3&lt;'01_Вводные'!$B$245)+'01_Вводные'!$B$57*('06_Сеть_и_дети'!B$3&gt;='01_Вводные'!$B$245))))/2)</f>
        <v/>
      </c>
      <c r="C383">
        <f>SUMPRODUCT(('01_Вводные'!$D$314:$D$318*'01_Вводные'!$B$314:$B$318*IF('01_Вводные'!$B$9=0,0,'06_Сеть_и_дети'!C11/'01_Вводные'!$B$9)+'06_Сеть_и_дети'!C20*'19_Расчет_аналитики'!C806*'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806*'01_Вводные'!$C$314:$C$318*('01_Вводные'!$E$314:$E$318*('06_Сеть_и_дети'!C$3&lt;'01_Вводные'!$B$245)+'01_Вводные'!$B$57*('06_Сеть_и_дети'!C$3&gt;='01_Вводные'!$B$245))))/2)</f>
        <v/>
      </c>
      <c r="D383">
        <f>SUMPRODUCT(('01_Вводные'!$D$314:$D$318*'01_Вводные'!$B$314:$B$318*IF('01_Вводные'!$B$9=0,0,'06_Сеть_и_дети'!D11/'01_Вводные'!$B$9)+'06_Сеть_и_дети'!D20*'19_Расчет_аналитики'!D806*'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806*'01_Вводные'!$C$314:$C$318*('01_Вводные'!$E$314:$E$318*('06_Сеть_и_дети'!D$3&lt;'01_Вводные'!$B$245)+'01_Вводные'!$B$57*('06_Сеть_и_дети'!D$3&gt;='01_Вводные'!$B$245))))/2)</f>
        <v/>
      </c>
      <c r="E383">
        <f>SUMPRODUCT(('01_Вводные'!$D$314:$D$318*'01_Вводные'!$B$314:$B$318*IF('01_Вводные'!$B$9=0,0,'06_Сеть_и_дети'!E11/'01_Вводные'!$B$9)+'06_Сеть_и_дети'!E20*'19_Расчет_аналитики'!E806*'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806*'01_Вводные'!$C$314:$C$318*('01_Вводные'!$E$314:$E$318*('06_Сеть_и_дети'!E$3&lt;'01_Вводные'!$B$245)+'01_Вводные'!$B$57*('06_Сеть_и_дети'!E$3&gt;='01_Вводные'!$B$245))))/2)</f>
        <v/>
      </c>
      <c r="F383">
        <f>SUMPRODUCT(('01_Вводные'!$D$314:$D$318*'01_Вводные'!$B$314:$B$318*IF('01_Вводные'!$B$9=0,0,'06_Сеть_и_дети'!F11/'01_Вводные'!$B$9)+'06_Сеть_и_дети'!F20*'19_Расчет_аналитики'!F806*'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806*'01_Вводные'!$C$314:$C$318*('01_Вводные'!$E$314:$E$318*('06_Сеть_и_дети'!F$3&lt;'01_Вводные'!$B$245)+'01_Вводные'!$B$57*('06_Сеть_и_дети'!F$3&gt;='01_Вводные'!$B$245))))/2)</f>
        <v/>
      </c>
      <c r="G383">
        <f>SUMPRODUCT(('01_Вводные'!$D$314:$D$318*'01_Вводные'!$B$314:$B$318*IF('01_Вводные'!$B$9=0,0,'06_Сеть_и_дети'!G11/'01_Вводные'!$B$9)+'06_Сеть_и_дети'!G20*'19_Расчет_аналитики'!G806*'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806*'01_Вводные'!$C$314:$C$318*('01_Вводные'!$E$314:$E$318*('06_Сеть_и_дети'!G$3&lt;'01_Вводные'!$B$245)+'01_Вводные'!$B$57*('06_Сеть_и_дети'!G$3&gt;='01_Вводные'!$B$245))))/2)</f>
        <v/>
      </c>
      <c r="H383">
        <f>SUMPRODUCT(('01_Вводные'!$D$314:$D$318*'01_Вводные'!$B$314:$B$318*IF('01_Вводные'!$B$9=0,0,'06_Сеть_и_дети'!H11/'01_Вводные'!$B$9)+'06_Сеть_и_дети'!H20*'19_Расчет_аналитики'!H806*'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806*'01_Вводные'!$C$314:$C$318*('01_Вводные'!$E$314:$E$318*('06_Сеть_и_дети'!H$3&lt;'01_Вводные'!$B$245)+'01_Вводные'!$B$57*('06_Сеть_и_дети'!H$3&gt;='01_Вводные'!$B$245))))/2)</f>
        <v/>
      </c>
      <c r="I383">
        <f>SUMPRODUCT(('01_Вводные'!$D$314:$D$318*'01_Вводные'!$B$314:$B$318*IF('01_Вводные'!$B$9=0,0,'06_Сеть_и_дети'!I11/'01_Вводные'!$B$9)+'06_Сеть_и_дети'!I20*'19_Расчет_аналитики'!I806*'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806*'01_Вводные'!$C$314:$C$318*('01_Вводные'!$E$314:$E$318*('06_Сеть_и_дети'!I$3&lt;'01_Вводные'!$B$245)+'01_Вводные'!$B$57*('06_Сеть_и_дети'!I$3&gt;='01_Вводные'!$B$245))))/2)</f>
        <v/>
      </c>
      <c r="J383">
        <f>SUMPRODUCT(('01_Вводные'!$D$314:$D$318*'01_Вводные'!$B$314:$B$318*IF('01_Вводные'!$B$9=0,0,'06_Сеть_и_дети'!J11/'01_Вводные'!$B$9)+'06_Сеть_и_дети'!J20*'19_Расчет_аналитики'!J806*'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806*'01_Вводные'!$C$314:$C$318*('01_Вводные'!$E$314:$E$318*('06_Сеть_и_дети'!J$3&lt;'01_Вводные'!$B$245)+'01_Вводные'!$B$57*('06_Сеть_и_дети'!J$3&gt;='01_Вводные'!$B$245))))/2)</f>
        <v/>
      </c>
      <c r="K383">
        <f>SUMPRODUCT(('01_Вводные'!$D$314:$D$318*'01_Вводные'!$B$314:$B$318*IF('01_Вводные'!$B$9=0,0,'06_Сеть_и_дети'!K11/'01_Вводные'!$B$9)+'06_Сеть_и_дети'!K20*'19_Расчет_аналитики'!K806*'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806*'01_Вводные'!$C$314:$C$318*('01_Вводные'!$E$314:$E$318*('06_Сеть_и_дети'!K$3&lt;'01_Вводные'!$B$245)+'01_Вводные'!$B$57*('06_Сеть_и_дети'!K$3&gt;='01_Вводные'!$B$245))))/2)</f>
        <v/>
      </c>
      <c r="L383">
        <f>SUMPRODUCT(('01_Вводные'!$D$314:$D$318*'01_Вводные'!$B$314:$B$318*IF('01_Вводные'!$B$9=0,0,'06_Сеть_и_дети'!L11/'01_Вводные'!$B$9)+'06_Сеть_и_дети'!L20*'19_Расчет_аналитики'!L806*'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806*'01_Вводные'!$C$314:$C$318*('01_Вводные'!$E$314:$E$318*('06_Сеть_и_дети'!L$3&lt;'01_Вводные'!$B$245)+'01_Вводные'!$B$57*('06_Сеть_и_дети'!L$3&gt;='01_Вводные'!$B$245))))/2)</f>
        <v/>
      </c>
      <c r="M383">
        <f>SUMPRODUCT(('01_Вводные'!$D$314:$D$318*'01_Вводные'!$B$314:$B$318*IF('01_Вводные'!$B$9=0,0,'06_Сеть_и_дети'!M11/'01_Вводные'!$B$9)+'06_Сеть_и_дети'!M20*'19_Расчет_аналитики'!M806*'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806*'01_Вводные'!$C$314:$C$318*('01_Вводные'!$E$314:$E$318*('06_Сеть_и_дети'!M$3&lt;'01_Вводные'!$B$245)+'01_Вводные'!$B$57*('06_Сеть_и_дети'!M$3&gt;='01_Вводные'!$B$245))))/2)</f>
        <v/>
      </c>
      <c r="N383">
        <f>SUMPRODUCT(('01_Вводные'!$D$314:$D$318*'01_Вводные'!$B$314:$B$318*IF('01_Вводные'!$B$9=0,0,'06_Сеть_и_дети'!N11/'01_Вводные'!$B$9)+'06_Сеть_и_дети'!N20*'19_Расчет_аналитики'!N806*'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806*'01_Вводные'!$C$314:$C$318*('01_Вводные'!$E$314:$E$318*('06_Сеть_и_дети'!N$3&lt;'01_Вводные'!$B$245)+'01_Вводные'!$B$57*('06_Сеть_и_дети'!N$3&gt;='01_Вводные'!$B$245))))/2)</f>
        <v/>
      </c>
      <c r="O383">
        <f>SUMPRODUCT(('01_Вводные'!$D$314:$D$318*'01_Вводные'!$B$314:$B$318*IF('01_Вводные'!$B$9=0,0,'06_Сеть_и_дети'!O11/'01_Вводные'!$B$9)+'06_Сеть_и_дети'!O20*'19_Расчет_аналитики'!O806*'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806*'01_Вводные'!$C$314:$C$318*('01_Вводные'!$E$314:$E$318*('06_Сеть_и_дети'!O$3&lt;'01_Вводные'!$B$245)+'01_Вводные'!$B$57*('06_Сеть_и_дети'!O$3&gt;='01_Вводные'!$B$245))))/2)</f>
        <v/>
      </c>
      <c r="P383">
        <f>SUMPRODUCT(('01_Вводные'!$D$314:$D$318*'01_Вводные'!$B$314:$B$318*IF('01_Вводные'!$B$9=0,0,'06_Сеть_и_дети'!P11/'01_Вводные'!$B$9)+'06_Сеть_и_дети'!P20*'19_Расчет_аналитики'!P806*'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806*'01_Вводные'!$C$314:$C$318*('01_Вводные'!$E$314:$E$318*('06_Сеть_и_дети'!P$3&lt;'01_Вводные'!$B$245)+'01_Вводные'!$B$57*('06_Сеть_и_дети'!P$3&gt;='01_Вводные'!$B$245))))/2)</f>
        <v/>
      </c>
      <c r="Q383">
        <f>SUMPRODUCT(('01_Вводные'!$D$314:$D$318*'01_Вводные'!$B$314:$B$318*IF('01_Вводные'!$B$9=0,0,'06_Сеть_и_дети'!Q11/'01_Вводные'!$B$9)+'06_Сеть_и_дети'!Q20*'19_Расчет_аналитики'!Q806*'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806*'01_Вводные'!$C$314:$C$318*('01_Вводные'!$E$314:$E$318*('06_Сеть_и_дети'!Q$3&lt;'01_Вводные'!$B$245)+'01_Вводные'!$B$57*('06_Сеть_и_дети'!Q$3&gt;='01_Вводные'!$B$245))))/2)</f>
        <v/>
      </c>
      <c r="R383">
        <f>SUMPRODUCT(('01_Вводные'!$D$314:$D$318*'01_Вводные'!$B$314:$B$318*IF('01_Вводные'!$B$9=0,0,'06_Сеть_и_дети'!R11/'01_Вводные'!$B$9)+'06_Сеть_и_дети'!R20*'19_Расчет_аналитики'!R806*'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806*'01_Вводные'!$C$314:$C$318*('01_Вводные'!$E$314:$E$318*('06_Сеть_и_дети'!R$3&lt;'01_Вводные'!$B$245)+'01_Вводные'!$B$57*('06_Сеть_и_дети'!R$3&gt;='01_Вводные'!$B$245))))/2)</f>
        <v/>
      </c>
      <c r="S383">
        <f>SUMPRODUCT(('01_Вводные'!$D$314:$D$318*'01_Вводные'!$B$314:$B$318*IF('01_Вводные'!$B$9=0,0,'06_Сеть_и_дети'!S11/'01_Вводные'!$B$9)+'06_Сеть_и_дети'!S20*'19_Расчет_аналитики'!S806*'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806*'01_Вводные'!$C$314:$C$318*('01_Вводные'!$E$314:$E$318*('06_Сеть_и_дети'!S$3&lt;'01_Вводные'!$B$245)+'01_Вводные'!$B$57*('06_Сеть_и_дети'!S$3&gt;='01_Вводные'!$B$245))))/2)</f>
        <v/>
      </c>
      <c r="T383">
        <f>SUMPRODUCT(('01_Вводные'!$D$314:$D$318*'01_Вводные'!$B$314:$B$318*IF('01_Вводные'!$B$9=0,0,'06_Сеть_и_дети'!T11/'01_Вводные'!$B$9)+'06_Сеть_и_дети'!T20*'19_Расчет_аналитики'!T806*'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806*'01_Вводные'!$C$314:$C$318*('01_Вводные'!$E$314:$E$318*('06_Сеть_и_дети'!T$3&lt;'01_Вводные'!$B$245)+'01_Вводные'!$B$57*('06_Сеть_и_дети'!T$3&gt;='01_Вводные'!$B$245))))/2)</f>
        <v/>
      </c>
      <c r="U383">
        <f>SUMPRODUCT(('01_Вводные'!$D$314:$D$318*'01_Вводные'!$B$314:$B$318*IF('01_Вводные'!$B$9=0,0,'06_Сеть_и_дети'!U11/'01_Вводные'!$B$9)+'06_Сеть_и_дети'!U20*'19_Расчет_аналитики'!U806*'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806*'01_Вводные'!$C$314:$C$318*('01_Вводные'!$E$314:$E$318*('06_Сеть_и_дети'!U$3&lt;'01_Вводные'!$B$245)+'01_Вводные'!$B$57*('06_Сеть_и_дети'!U$3&gt;='01_Вводные'!$B$245))))/2)</f>
        <v/>
      </c>
      <c r="V383">
        <f>SUMPRODUCT(('01_Вводные'!$D$314:$D$318*'01_Вводные'!$B$314:$B$318*IF('01_Вводные'!$B$9=0,0,'06_Сеть_и_дети'!V11/'01_Вводные'!$B$9)+'06_Сеть_и_дети'!V20*'19_Расчет_аналитики'!V806*'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806*'01_Вводные'!$C$314:$C$318*('01_Вводные'!$E$314:$E$318*('06_Сеть_и_дети'!V$3&lt;'01_Вводные'!$B$245)+'01_Вводные'!$B$57*('06_Сеть_и_дети'!V$3&gt;='01_Вводные'!$B$245))))/2)</f>
        <v/>
      </c>
      <c r="W383">
        <f>SUMPRODUCT(('01_Вводные'!$D$314:$D$318*'01_Вводные'!$B$314:$B$318*IF('01_Вводные'!$B$9=0,0,'06_Сеть_и_дети'!W11/'01_Вводные'!$B$9)+'06_Сеть_и_дети'!W20*'19_Расчет_аналитики'!W806*'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806*'01_Вводные'!$C$314:$C$318*('01_Вводные'!$E$314:$E$318*('06_Сеть_и_дети'!W$3&lt;'01_Вводные'!$B$245)+'01_Вводные'!$B$57*('06_Сеть_и_дети'!W$3&gt;='01_Вводные'!$B$245))))/2)</f>
        <v/>
      </c>
      <c r="X383">
        <f>SUMPRODUCT(('01_Вводные'!$D$314:$D$318*'01_Вводные'!$B$314:$B$318*IF('01_Вводные'!$B$9=0,0,'06_Сеть_и_дети'!X11/'01_Вводные'!$B$9)+'06_Сеть_и_дети'!X20*'19_Расчет_аналитики'!X806*'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806*'01_Вводные'!$C$314:$C$318*('01_Вводные'!$E$314:$E$318*('06_Сеть_и_дети'!X$3&lt;'01_Вводные'!$B$245)+'01_Вводные'!$B$57*('06_Сеть_и_дети'!X$3&gt;='01_Вводные'!$B$245))))/2)</f>
        <v/>
      </c>
      <c r="Y383">
        <f>SUMPRODUCT(('01_Вводные'!$D$314:$D$318*'01_Вводные'!$B$314:$B$318*IF('01_Вводные'!$B$9=0,0,'06_Сеть_и_дети'!Y11/'01_Вводные'!$B$9)+'06_Сеть_и_дети'!Y20*'19_Расчет_аналитики'!Y806*'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806*'01_Вводные'!$C$314:$C$318*('01_Вводные'!$E$314:$E$318*('06_Сеть_и_дети'!Y$3&lt;'01_Вводные'!$B$245)+'01_Вводные'!$B$57*('06_Сеть_и_дети'!Y$3&gt;='01_Вводные'!$B$245))))/2)</f>
        <v/>
      </c>
      <c r="Z383">
        <f>SUMPRODUCT(('01_Вводные'!$D$314:$D$318*'01_Вводные'!$B$314:$B$318*IF('01_Вводные'!$B$9=0,0,'06_Сеть_и_дети'!Z11/'01_Вводные'!$B$9)+'06_Сеть_и_дети'!Z20*'19_Расчет_аналитики'!Z806*'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806*'01_Вводные'!$C$314:$C$318*('01_Вводные'!$E$314:$E$318*('06_Сеть_и_дети'!Z$3&lt;'01_Вводные'!$B$245)+'01_Вводные'!$B$57*('06_Сеть_и_дети'!Z$3&gt;='01_Вводные'!$B$245))))/2)</f>
        <v/>
      </c>
      <c r="AA383">
        <f>SUMPRODUCT(('01_Вводные'!$D$314:$D$318*'01_Вводные'!$B$314:$B$318*IF('01_Вводные'!$B$9=0,0,'06_Сеть_и_дети'!AA11/'01_Вводные'!$B$9)+'06_Сеть_и_дети'!AA20*'19_Расчет_аналитики'!AA806*'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806*'01_Вводные'!$C$314:$C$318*('01_Вводные'!$E$314:$E$318*('06_Сеть_и_дети'!AA$3&lt;'01_Вводные'!$B$245)+'01_Вводные'!$B$57*('06_Сеть_и_дети'!AA$3&gt;='01_Вводные'!$B$245))))/2)</f>
        <v/>
      </c>
      <c r="AB383">
        <f>SUMPRODUCT(('01_Вводные'!$D$314:$D$318*'01_Вводные'!$B$314:$B$318*IF('01_Вводные'!$B$9=0,0,'06_Сеть_и_дети'!AB11/'01_Вводные'!$B$9)+'06_Сеть_и_дети'!AB20*'19_Расчет_аналитики'!AB806*'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806*'01_Вводные'!$C$314:$C$318*('01_Вводные'!$E$314:$E$318*('06_Сеть_и_дети'!AB$3&lt;'01_Вводные'!$B$245)+'01_Вводные'!$B$57*('06_Сеть_и_дети'!AB$3&gt;='01_Вводные'!$B$245))))/2)</f>
        <v/>
      </c>
      <c r="AC383">
        <f>SUMPRODUCT(('01_Вводные'!$D$314:$D$318*'01_Вводные'!$B$314:$B$318*IF('01_Вводные'!$B$9=0,0,'06_Сеть_и_дети'!AC11/'01_Вводные'!$B$9)+'06_Сеть_и_дети'!AC20*'19_Расчет_аналитики'!AC806*'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806*'01_Вводные'!$C$314:$C$318*('01_Вводные'!$E$314:$E$318*('06_Сеть_и_дети'!AC$3&lt;'01_Вводные'!$B$245)+'01_Вводные'!$B$57*('06_Сеть_и_дети'!AC$3&gt;='01_Вводные'!$B$245))))/2)</f>
        <v/>
      </c>
      <c r="AD383">
        <f>SUMPRODUCT(('01_Вводные'!$D$314:$D$318*'01_Вводные'!$B$314:$B$318*IF('01_Вводные'!$B$9=0,0,'06_Сеть_и_дети'!AD11/'01_Вводные'!$B$9)+'06_Сеть_и_дети'!AD20*'19_Расчет_аналитики'!AD806*'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806*'01_Вводные'!$C$314:$C$318*('01_Вводные'!$E$314:$E$318*('06_Сеть_и_дети'!AD$3&lt;'01_Вводные'!$B$245)+'01_Вводные'!$B$57*('06_Сеть_и_дети'!AD$3&gt;='01_Вводные'!$B$245))))/2)</f>
        <v/>
      </c>
      <c r="AE383">
        <f>SUMPRODUCT(('01_Вводные'!$D$314:$D$318*'01_Вводные'!$B$314:$B$318*IF('01_Вводные'!$B$9=0,0,'06_Сеть_и_дети'!AE11/'01_Вводные'!$B$9)+'06_Сеть_и_дети'!AE20*'19_Расчет_аналитики'!AE806*'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806*'01_Вводные'!$C$314:$C$318*('01_Вводные'!$E$314:$E$318*('06_Сеть_и_дети'!AE$3&lt;'01_Вводные'!$B$245)+'01_Вводные'!$B$57*('06_Сеть_и_дети'!AE$3&gt;='01_Вводные'!$B$245))))/2)</f>
        <v/>
      </c>
      <c r="AF383">
        <f>SUMPRODUCT(('01_Вводные'!$D$314:$D$318*'01_Вводные'!$B$314:$B$318*IF('01_Вводные'!$B$9=0,0,'06_Сеть_и_дети'!AF11/'01_Вводные'!$B$9)+'06_Сеть_и_дети'!AF20*'19_Расчет_аналитики'!AF806*'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806*'01_Вводные'!$C$314:$C$318*('01_Вводные'!$E$314:$E$318*('06_Сеть_и_дети'!AF$3&lt;'01_Вводные'!$B$245)+'01_Вводные'!$B$57*('06_Сеть_и_дети'!AF$3&gt;='01_Вводные'!$B$245))))/2)</f>
        <v/>
      </c>
      <c r="AG383">
        <f>SUMPRODUCT(('01_Вводные'!$D$314:$D$318*'01_Вводные'!$B$314:$B$318*IF('01_Вводные'!$B$9=0,0,'06_Сеть_и_дети'!AG11/'01_Вводные'!$B$9)+'06_Сеть_и_дети'!AG20*'19_Расчет_аналитики'!AG806*'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806*'01_Вводные'!$C$314:$C$318*('01_Вводные'!$E$314:$E$318*('06_Сеть_и_дети'!AG$3&lt;'01_Вводные'!$B$245)+'01_Вводные'!$B$57*('06_Сеть_и_дети'!AG$3&gt;='01_Вводные'!$B$245))))/2)</f>
        <v/>
      </c>
      <c r="AH383">
        <f>SUMPRODUCT(('01_Вводные'!$D$314:$D$318*'01_Вводные'!$B$314:$B$318*IF('01_Вводные'!$B$9=0,0,'06_Сеть_и_дети'!AH11/'01_Вводные'!$B$9)+'06_Сеть_и_дети'!AH20*'19_Расчет_аналитики'!AH806*'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806*'01_Вводные'!$C$314:$C$318*('01_Вводные'!$E$314:$E$318*('06_Сеть_и_дети'!AH$3&lt;'01_Вводные'!$B$245)+'01_Вводные'!$B$57*('06_Сеть_и_дети'!AH$3&gt;='01_Вводные'!$B$245))))/2)</f>
        <v/>
      </c>
      <c r="AI383">
        <f>SUMPRODUCT(('01_Вводные'!$D$314:$D$318*'01_Вводные'!$B$314:$B$318*IF('01_Вводные'!$B$9=0,0,'06_Сеть_и_дети'!AI11/'01_Вводные'!$B$9)+'06_Сеть_и_дети'!AI20*'19_Расчет_аналитики'!AI806*'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806*'01_Вводные'!$C$314:$C$318*('01_Вводные'!$E$314:$E$318*('06_Сеть_и_дети'!AI$3&lt;'01_Вводные'!$B$245)+'01_Вводные'!$B$57*('06_Сеть_и_дети'!AI$3&gt;='01_Вводные'!$B$245))))/2)</f>
        <v/>
      </c>
      <c r="AJ383">
        <f>SUMPRODUCT(('01_Вводные'!$D$314:$D$318*'01_Вводные'!$B$314:$B$318*IF('01_Вводные'!$B$9=0,0,'06_Сеть_и_дети'!AJ11/'01_Вводные'!$B$9)+'06_Сеть_и_дети'!AJ20*'19_Расчет_аналитики'!AJ806*'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806*'01_Вводные'!$C$314:$C$318*('01_Вводные'!$E$314:$E$318*('06_Сеть_и_дети'!AJ$3&lt;'01_Вводные'!$B$245)+'01_Вводные'!$B$57*('06_Сеть_и_дети'!AJ$3&gt;='01_Вводные'!$B$245))))/2)</f>
        <v/>
      </c>
      <c r="AK383">
        <f>SUMPRODUCT(('01_Вводные'!$D$314:$D$318*'01_Вводные'!$B$314:$B$318*IF('01_Вводные'!$B$9=0,0,'06_Сеть_и_дети'!AK11/'01_Вводные'!$B$9)+'06_Сеть_и_дети'!AK20*'19_Расчет_аналитики'!AK806*'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806*'01_Вводные'!$C$314:$C$318*('01_Вводные'!$E$314:$E$318*('06_Сеть_и_дети'!AK$3&lt;'01_Вводные'!$B$245)+'01_Вводные'!$B$57*('06_Сеть_и_дети'!AK$3&gt;='01_Вводные'!$B$245))))/2)</f>
        <v/>
      </c>
      <c r="AL383">
        <f>SUMPRODUCT(('01_Вводные'!$D$314:$D$318*'01_Вводные'!$B$314:$B$318*IF('01_Вводные'!$B$9=0,0,'06_Сеть_и_дети'!AL11/'01_Вводные'!$B$9)+'06_Сеть_и_дети'!AL20*'19_Расчет_аналитики'!AL806*'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806*'01_Вводные'!$C$314:$C$318*('01_Вводные'!$E$314:$E$318*('06_Сеть_и_дети'!AL$3&lt;'01_Вводные'!$B$245)+'01_Вводные'!$B$57*('06_Сеть_и_дети'!AL$3&gt;='01_Вводные'!$B$245))))/2)</f>
        <v/>
      </c>
      <c r="AM383">
        <f>SUMPRODUCT(('01_Вводные'!$D$314:$D$318*'01_Вводные'!$B$314:$B$318*IF('01_Вводные'!$B$9=0,0,'06_Сеть_и_дети'!AM11/'01_Вводные'!$B$9)+'06_Сеть_и_дети'!AM20*'19_Расчет_аналитики'!AM806*'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806*'01_Вводные'!$C$314:$C$318*('01_Вводные'!$E$314:$E$318*('06_Сеть_и_дети'!AM$3&lt;'01_Вводные'!$B$245)+'01_Вводные'!$B$57*('06_Сеть_и_дети'!AM$3&gt;='01_Вводные'!$B$245))))/2)</f>
        <v/>
      </c>
      <c r="AN383">
        <f>SUMPRODUCT(('01_Вводные'!$D$314:$D$318*'01_Вводные'!$B$314:$B$318*IF('01_Вводные'!$B$9=0,0,'06_Сеть_и_дети'!AN11/'01_Вводные'!$B$9)+'06_Сеть_и_дети'!AN20*'19_Расчет_аналитики'!AN806*'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806*'01_Вводные'!$C$314:$C$318*('01_Вводные'!$E$314:$E$318*('06_Сеть_и_дети'!AN$3&lt;'01_Вводные'!$B$245)+'01_Вводные'!$B$57*('06_Сеть_и_дети'!AN$3&gt;='01_Вводные'!$B$245))))/2)</f>
        <v/>
      </c>
      <c r="AO383">
        <f>SUMPRODUCT(('01_Вводные'!$D$314:$D$318*'01_Вводные'!$B$314:$B$318*IF('01_Вводные'!$B$9=0,0,'06_Сеть_и_дети'!AO11/'01_Вводные'!$B$9)+'06_Сеть_и_дети'!AO20*'19_Расчет_аналитики'!AO806*'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806*'01_Вводные'!$C$314:$C$318*('01_Вводные'!$E$314:$E$318*('06_Сеть_и_дети'!AO$3&lt;'01_Вводные'!$B$245)+'01_Вводные'!$B$57*('06_Сеть_и_дети'!AO$3&gt;='01_Вводные'!$B$245))))/2)</f>
        <v/>
      </c>
      <c r="AP383">
        <f>SUMPRODUCT(('01_Вводные'!$D$314:$D$318*'01_Вводные'!$B$314:$B$318*IF('01_Вводные'!$B$9=0,0,'06_Сеть_и_дети'!AP11/'01_Вводные'!$B$9)+'06_Сеть_и_дети'!AP20*'19_Расчет_аналитики'!AP806*'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806*'01_Вводные'!$C$314:$C$318*('01_Вводные'!$E$314:$E$318*('06_Сеть_и_дети'!AP$3&lt;'01_Вводные'!$B$245)+'01_Вводные'!$B$57*('06_Сеть_и_дети'!AP$3&gt;='01_Вводные'!$B$245))))/2)</f>
        <v/>
      </c>
      <c r="AQ383">
        <f>SUMPRODUCT(('01_Вводные'!$D$314:$D$318*'01_Вводные'!$B$314:$B$318*IF('01_Вводные'!$B$9=0,0,'06_Сеть_и_дети'!AQ11/'01_Вводные'!$B$9)+'06_Сеть_и_дети'!AQ20*'19_Расчет_аналитики'!AQ806*'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806*'01_Вводные'!$C$314:$C$318*('01_Вводные'!$E$314:$E$318*('06_Сеть_и_дети'!AQ$3&lt;'01_Вводные'!$B$245)+'01_Вводные'!$B$57*('06_Сеть_и_дети'!AQ$3&gt;='01_Вводные'!$B$245))))/2)</f>
        <v/>
      </c>
      <c r="AR383">
        <f>SUMPRODUCT(('01_Вводные'!$D$314:$D$318*'01_Вводные'!$B$314:$B$318*IF('01_Вводные'!$B$9=0,0,'06_Сеть_и_дети'!AR11/'01_Вводные'!$B$9)+'06_Сеть_и_дети'!AR20*'19_Расчет_аналитики'!AR806*'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806*'01_Вводные'!$C$314:$C$318*('01_Вводные'!$E$314:$E$318*('06_Сеть_и_дети'!AR$3&lt;'01_Вводные'!$B$245)+'01_Вводные'!$B$57*('06_Сеть_и_дети'!AR$3&gt;='01_Вводные'!$B$245))))/2)</f>
        <v/>
      </c>
      <c r="AS383">
        <f>SUMPRODUCT(('01_Вводные'!$D$314:$D$318*'01_Вводные'!$B$314:$B$318*IF('01_Вводные'!$B$9=0,0,'06_Сеть_и_дети'!AS11/'01_Вводные'!$B$9)+'06_Сеть_и_дети'!AS20*'19_Расчет_аналитики'!AS806*'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806*'01_Вводные'!$C$314:$C$318*('01_Вводные'!$E$314:$E$318*('06_Сеть_и_дети'!AS$3&lt;'01_Вводные'!$B$245)+'01_Вводные'!$B$57*('06_Сеть_и_дети'!AS$3&gt;='01_Вводные'!$B$245))))/2)</f>
        <v/>
      </c>
      <c r="AT383">
        <f>SUMPRODUCT(('01_Вводные'!$D$314:$D$318*'01_Вводные'!$B$314:$B$318*IF('01_Вводные'!$B$9=0,0,'06_Сеть_и_дети'!AT11/'01_Вводные'!$B$9)+'06_Сеть_и_дети'!AT20*'19_Расчет_аналитики'!AT806*'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806*'01_Вводные'!$C$314:$C$318*('01_Вводные'!$E$314:$E$318*('06_Сеть_и_дети'!AT$3&lt;'01_Вводные'!$B$245)+'01_Вводные'!$B$57*('06_Сеть_и_дети'!AT$3&gt;='01_Вводные'!$B$245))))/2)</f>
        <v/>
      </c>
      <c r="AU383">
        <f>SUMPRODUCT(('01_Вводные'!$D$314:$D$318*'01_Вводные'!$B$314:$B$318*IF('01_Вводные'!$B$9=0,0,'06_Сеть_и_дети'!AU11/'01_Вводные'!$B$9)+'06_Сеть_и_дети'!AU20*'19_Расчет_аналитики'!AU806*'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806*'01_Вводные'!$C$314:$C$318*('01_Вводные'!$E$314:$E$318*('06_Сеть_и_дети'!AU$3&lt;'01_Вводные'!$B$245)+'01_Вводные'!$B$57*('06_Сеть_и_дети'!AU$3&gt;='01_Вводные'!$B$245))))/2)</f>
        <v/>
      </c>
      <c r="AV383">
        <f>SUMPRODUCT(('01_Вводные'!$D$314:$D$318*'01_Вводные'!$B$314:$B$318*IF('01_Вводные'!$B$9=0,0,'06_Сеть_и_дети'!AV11/'01_Вводные'!$B$9)+'06_Сеть_и_дети'!AV20*'19_Расчет_аналитики'!AV806*'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806*'01_Вводные'!$C$314:$C$318*('01_Вводные'!$E$314:$E$318*('06_Сеть_и_дети'!AV$3&lt;'01_Вводные'!$B$245)+'01_Вводные'!$B$57*('06_Сеть_и_дети'!AV$3&gt;='01_Вводные'!$B$245))))/2)</f>
        <v/>
      </c>
      <c r="AW383">
        <f>SUMPRODUCT(('01_Вводные'!$D$314:$D$318*'01_Вводные'!$B$314:$B$318*IF('01_Вводные'!$B$9=0,0,'06_Сеть_и_дети'!AW11/'01_Вводные'!$B$9)+'06_Сеть_и_дети'!AW20*'19_Расчет_аналитики'!AW806*'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806*'01_Вводные'!$C$314:$C$318*('01_Вводные'!$E$314:$E$318*('06_Сеть_и_дети'!AW$3&lt;'01_Вводные'!$B$245)+'01_Вводные'!$B$57*('06_Сеть_и_дети'!AW$3&gt;='01_Вводные'!$B$245))))/2)</f>
        <v/>
      </c>
      <c r="AX383">
        <f>SUMPRODUCT(('01_Вводные'!$D$314:$D$318*'01_Вводные'!$B$314:$B$318*IF('01_Вводные'!$B$9=0,0,'06_Сеть_и_дети'!AX11/'01_Вводные'!$B$9)+'06_Сеть_и_дети'!AX20*'19_Расчет_аналитики'!AX806*'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806*'01_Вводные'!$C$314:$C$318*('01_Вводные'!$E$314:$E$318*('06_Сеть_и_дети'!AX$3&lt;'01_Вводные'!$B$245)+'01_Вводные'!$B$57*('06_Сеть_и_дети'!AX$3&gt;='01_Вводные'!$B$245))))/2)</f>
        <v/>
      </c>
      <c r="AY383">
        <f>SUMPRODUCT(('01_Вводные'!$D$314:$D$318*'01_Вводные'!$B$314:$B$318*IF('01_Вводные'!$B$9=0,0,'06_Сеть_и_дети'!AY11/'01_Вводные'!$B$9)+'06_Сеть_и_дети'!AY20*'19_Расчет_аналитики'!AY806*'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806*'01_Вводные'!$C$314:$C$318*('01_Вводные'!$E$314:$E$318*('06_Сеть_и_дети'!AY$3&lt;'01_Вводные'!$B$245)+'01_Вводные'!$B$57*('06_Сеть_и_дети'!AY$3&gt;='01_Вводные'!$B$245))))/2)</f>
        <v/>
      </c>
      <c r="AZ383">
        <f>SUMPRODUCT(('01_Вводные'!$D$314:$D$318*'01_Вводные'!$B$314:$B$318*IF('01_Вводные'!$B$9=0,0,'06_Сеть_и_дети'!AZ11/'01_Вводные'!$B$9)+'06_Сеть_и_дети'!AZ20*'19_Расчет_аналитики'!AZ806*'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806*'01_Вводные'!$C$314:$C$318*('01_Вводные'!$E$314:$E$318*('06_Сеть_и_дети'!AZ$3&lt;'01_Вводные'!$B$245)+'01_Вводные'!$B$57*('06_Сеть_и_дети'!AZ$3&gt;='01_Вводные'!$B$245))))/2)</f>
        <v/>
      </c>
      <c r="BA383">
        <f>SUMPRODUCT(('01_Вводные'!$D$314:$D$318*'01_Вводные'!$B$314:$B$318*IF('01_Вводные'!$B$9=0,0,'06_Сеть_и_дети'!BA11/'01_Вводные'!$B$9)+'06_Сеть_и_дети'!BA20*'19_Расчет_аналитики'!BA806*'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806*'01_Вводные'!$C$314:$C$318*('01_Вводные'!$E$314:$E$318*('06_Сеть_и_дети'!BA$3&lt;'01_Вводные'!$B$245)+'01_Вводные'!$B$57*('06_Сеть_и_дети'!BA$3&gt;='01_Вводные'!$B$245))))/2)</f>
        <v/>
      </c>
      <c r="BB383">
        <f>SUMPRODUCT(('01_Вводные'!$D$314:$D$318*'01_Вводные'!$B$314:$B$318*IF('01_Вводные'!$B$9=0,0,'06_Сеть_и_дети'!BB11/'01_Вводные'!$B$9)+'06_Сеть_и_дети'!BB20*'19_Расчет_аналитики'!BB806*'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806*'01_Вводные'!$C$314:$C$318*('01_Вводные'!$E$314:$E$318*('06_Сеть_и_дети'!BB$3&lt;'01_Вводные'!$B$245)+'01_Вводные'!$B$57*('06_Сеть_и_дети'!BB$3&gt;='01_Вводные'!$B$245))))/2)</f>
        <v/>
      </c>
      <c r="BC383">
        <f>SUMPRODUCT(('01_Вводные'!$D$314:$D$318*'01_Вводные'!$B$314:$B$318*IF('01_Вводные'!$B$9=0,0,'06_Сеть_и_дети'!BC11/'01_Вводные'!$B$9)+'06_Сеть_и_дети'!BC20*'19_Расчет_аналитики'!BC806*'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806*'01_Вводные'!$C$314:$C$318*('01_Вводные'!$E$314:$E$318*('06_Сеть_и_дети'!BC$3&lt;'01_Вводные'!$B$245)+'01_Вводные'!$B$57*('06_Сеть_и_дети'!BC$3&gt;='01_Вводные'!$B$245))))/2)</f>
        <v/>
      </c>
      <c r="BD383">
        <f>SUMPRODUCT(('01_Вводные'!$D$314:$D$318*'01_Вводные'!$B$314:$B$318*IF('01_Вводные'!$B$9=0,0,'06_Сеть_и_дети'!BD11/'01_Вводные'!$B$9)+'06_Сеть_и_дети'!BD20*'19_Расчет_аналитики'!BD806*'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806*'01_Вводные'!$C$314:$C$318*('01_Вводные'!$E$314:$E$318*('06_Сеть_и_дети'!BD$3&lt;'01_Вводные'!$B$245)+'01_Вводные'!$B$57*('06_Сеть_и_дети'!BD$3&gt;='01_Вводные'!$B$245))))/2)</f>
        <v/>
      </c>
      <c r="BE383">
        <f>SUMPRODUCT(('01_Вводные'!$D$314:$D$318*'01_Вводные'!$B$314:$B$318*IF('01_Вводные'!$B$9=0,0,'06_Сеть_и_дети'!BE11/'01_Вводные'!$B$9)+'06_Сеть_и_дети'!BE20*'19_Расчет_аналитики'!BE806*'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806*'01_Вводные'!$C$314:$C$318*('01_Вводные'!$E$314:$E$318*('06_Сеть_и_дети'!BE$3&lt;'01_Вводные'!$B$245)+'01_Вводные'!$B$57*('06_Сеть_и_дети'!BE$3&gt;='01_Вводные'!$B$245))))/2)</f>
        <v/>
      </c>
      <c r="BF383">
        <f>SUMPRODUCT(('01_Вводные'!$D$314:$D$318*'01_Вводные'!$B$314:$B$318*IF('01_Вводные'!$B$9=0,0,'06_Сеть_и_дети'!BF11/'01_Вводные'!$B$9)+'06_Сеть_и_дети'!BF20*'19_Расчет_аналитики'!BF806*'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806*'01_Вводные'!$C$314:$C$318*('01_Вводные'!$E$314:$E$318*('06_Сеть_и_дети'!BF$3&lt;'01_Вводные'!$B$245)+'01_Вводные'!$B$57*('06_Сеть_и_дети'!BF$3&gt;='01_Вводные'!$B$245))))/2)</f>
        <v/>
      </c>
      <c r="BG383">
        <f>SUMPRODUCT(('01_Вводные'!$D$314:$D$318*'01_Вводные'!$B$314:$B$318*IF('01_Вводные'!$B$9=0,0,'06_Сеть_и_дети'!BG11/'01_Вводные'!$B$9)+'06_Сеть_и_дети'!BG20*'19_Расчет_аналитики'!BG806*'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806*'01_Вводные'!$C$314:$C$318*('01_Вводные'!$E$314:$E$318*('06_Сеть_и_дети'!BG$3&lt;'01_Вводные'!$B$245)+'01_Вводные'!$B$57*('06_Сеть_и_дети'!BG$3&gt;='01_Вводные'!$B$245))))/2)</f>
        <v/>
      </c>
      <c r="BH383">
        <f>SUMPRODUCT(('01_Вводные'!$D$314:$D$318*'01_Вводные'!$B$314:$B$318*IF('01_Вводные'!$B$9=0,0,'06_Сеть_и_дети'!BH11/'01_Вводные'!$B$9)+'06_Сеть_и_дети'!BH20*'19_Расчет_аналитики'!BH806*'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806*'01_Вводные'!$C$314:$C$318*('01_Вводные'!$E$314:$E$318*('06_Сеть_и_дети'!BH$3&lt;'01_Вводные'!$B$245)+'01_Вводные'!$B$57*('06_Сеть_и_дети'!BH$3&gt;='01_Вводные'!$B$245))))/2)</f>
        <v/>
      </c>
      <c r="BI383">
        <f>SUMPRODUCT(('01_Вводные'!$D$314:$D$318*'01_Вводные'!$B$314:$B$318*IF('01_Вводные'!$B$9=0,0,'06_Сеть_и_дети'!BI11/'01_Вводные'!$B$9)+'06_Сеть_и_дети'!BI20*'19_Расчет_аналитики'!BI806*'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806*'01_Вводные'!$C$314:$C$318*('01_Вводные'!$E$314:$E$318*('06_Сеть_и_дети'!BI$3&lt;'01_Вводные'!$B$245)+'01_Вводные'!$B$57*('06_Сеть_и_дети'!BI$3&gt;='01_Вводные'!$B$245))))/2)</f>
        <v/>
      </c>
      <c r="BJ383">
        <f>SUMPRODUCT(('01_Вводные'!$D$314:$D$318*'01_Вводные'!$B$314:$B$318*IF('01_Вводные'!$B$9=0,0,'06_Сеть_и_дети'!BJ11/'01_Вводные'!$B$9)+'06_Сеть_и_дети'!BJ20*'19_Расчет_аналитики'!BJ806*'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806*'01_Вводные'!$C$314:$C$318*('01_Вводные'!$E$314:$E$318*('06_Сеть_и_дети'!BJ$3&lt;'01_Вводные'!$B$245)+'01_Вводные'!$B$57*('06_Сеть_и_дети'!BJ$3&gt;='01_Вводные'!$B$245))))/2)</f>
        <v/>
      </c>
      <c r="BK383">
        <f>SUMPRODUCT(('01_Вводные'!$D$314:$D$318*'01_Вводные'!$B$314:$B$318*IF('01_Вводные'!$B$9=0,0,'06_Сеть_и_дети'!BK11/'01_Вводные'!$B$9)+'06_Сеть_и_дети'!BK20*'19_Расчет_аналитики'!BK806*'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806*'01_Вводные'!$C$314:$C$318*('01_Вводные'!$E$314:$E$318*('06_Сеть_и_дети'!BK$3&lt;'01_Вводные'!$B$245)+'01_Вводные'!$B$57*('06_Сеть_и_дети'!BK$3&gt;='01_Вводные'!$B$245))))/2)</f>
        <v/>
      </c>
      <c r="BL383">
        <f>SUMPRODUCT(('01_Вводные'!$D$314:$D$318*'01_Вводные'!$B$314:$B$318*IF('01_Вводные'!$B$9=0,0,'06_Сеть_и_дети'!BL11/'01_Вводные'!$B$9)+'06_Сеть_и_дети'!BL20*'19_Расчет_аналитики'!BL806*'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806*'01_Вводные'!$C$314:$C$318*('01_Вводные'!$E$314:$E$318*('06_Сеть_и_дети'!BL$3&lt;'01_Вводные'!$B$245)+'01_Вводные'!$B$57*('06_Сеть_и_дети'!BL$3&gt;='01_Вводные'!$B$245))))/2)</f>
        <v/>
      </c>
      <c r="BM383">
        <f>SUMPRODUCT(('01_Вводные'!$D$314:$D$318*'01_Вводные'!$B$314:$B$318*IF('01_Вводные'!$B$9=0,0,'06_Сеть_и_дети'!BM11/'01_Вводные'!$B$9)+'06_Сеть_и_дети'!BM20*'19_Расчет_аналитики'!BM806*'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806*'01_Вводные'!$C$314:$C$318*('01_Вводные'!$E$314:$E$318*('06_Сеть_и_дети'!BM$3&lt;'01_Вводные'!$B$245)+'01_Вводные'!$B$57*('06_Сеть_и_дети'!BM$3&gt;='01_Вводные'!$B$245))))/2)</f>
        <v/>
      </c>
      <c r="BN383">
        <f>SUMPRODUCT(('01_Вводные'!$D$314:$D$318*'01_Вводные'!$B$314:$B$318*IF('01_Вводные'!$B$9=0,0,'06_Сеть_и_дети'!BN11/'01_Вводные'!$B$9)+'06_Сеть_и_дети'!BN20*'19_Расчет_аналитики'!BN806*'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806*'01_Вводные'!$C$314:$C$318*('01_Вводные'!$E$314:$E$318*('06_Сеть_и_дети'!BN$3&lt;'01_Вводные'!$B$245)+'01_Вводные'!$B$57*('06_Сеть_и_дети'!BN$3&gt;='01_Вводные'!$B$245))))/2)</f>
        <v/>
      </c>
      <c r="BO383">
        <f>SUMPRODUCT(('01_Вводные'!$D$314:$D$318*'01_Вводные'!$B$314:$B$318*IF('01_Вводные'!$B$9=0,0,'06_Сеть_и_дети'!BO11/'01_Вводные'!$B$9)+'06_Сеть_и_дети'!BO20*'19_Расчет_аналитики'!BO806*'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806*'01_Вводные'!$C$314:$C$318*('01_Вводные'!$E$314:$E$318*('06_Сеть_и_дети'!BO$3&lt;'01_Вводные'!$B$245)+'01_Вводные'!$B$57*('06_Сеть_и_дети'!BO$3&gt;='01_Вводные'!$B$245))))/2)</f>
        <v/>
      </c>
    </row>
    <row r="384">
      <c r="B384">
        <f>SUM('19_Расчет_аналитики'!B464:B488,'19_Расчет_аналитики'!B492:B516)</f>
        <v/>
      </c>
      <c r="C384">
        <f>SUM('19_Расчет_аналитики'!C464:C488,'19_Расчет_аналитики'!C492:C516)</f>
        <v/>
      </c>
      <c r="D384">
        <f>SUM('19_Расчет_аналитики'!D464:D488,'19_Расчет_аналитики'!D492:D516)</f>
        <v/>
      </c>
      <c r="E384">
        <f>SUM('19_Расчет_аналитики'!E464:E488,'19_Расчет_аналитики'!E492:E516)</f>
        <v/>
      </c>
      <c r="F384">
        <f>SUM('19_Расчет_аналитики'!F464:F488,'19_Расчет_аналитики'!F492:F516)</f>
        <v/>
      </c>
      <c r="G384">
        <f>SUM('19_Расчет_аналитики'!G464:G488,'19_Расчет_аналитики'!G492:G516)</f>
        <v/>
      </c>
      <c r="H384">
        <f>SUM('19_Расчет_аналитики'!H464:H488,'19_Расчет_аналитики'!H492:H516)</f>
        <v/>
      </c>
      <c r="I384">
        <f>SUM('19_Расчет_аналитики'!I464:I488,'19_Расчет_аналитики'!I492:I516)</f>
        <v/>
      </c>
      <c r="J384">
        <f>SUM('19_Расчет_аналитики'!J464:J488,'19_Расчет_аналитики'!J492:J516)</f>
        <v/>
      </c>
      <c r="K384">
        <f>SUM('19_Расчет_аналитики'!K464:K488,'19_Расчет_аналитики'!K492:K516)</f>
        <v/>
      </c>
      <c r="L384">
        <f>SUM('19_Расчет_аналитики'!L464:L488,'19_Расчет_аналитики'!L492:L516)</f>
        <v/>
      </c>
      <c r="M384">
        <f>SUM('19_Расчет_аналитики'!M464:M488,'19_Расчет_аналитики'!M492:M516)</f>
        <v/>
      </c>
      <c r="N384">
        <f>SUM('19_Расчет_аналитики'!N464:N488,'19_Расчет_аналитики'!N492:N516)</f>
        <v/>
      </c>
      <c r="O384">
        <f>SUM('19_Расчет_аналитики'!O464:O488,'19_Расчет_аналитики'!O492:O516)</f>
        <v/>
      </c>
      <c r="P384">
        <f>SUM('19_Расчет_аналитики'!P464:P488,'19_Расчет_аналитики'!P492:P516)</f>
        <v/>
      </c>
      <c r="Q384">
        <f>SUM('19_Расчет_аналитики'!Q464:Q488,'19_Расчет_аналитики'!Q492:Q516)</f>
        <v/>
      </c>
      <c r="R384">
        <f>SUM('19_Расчет_аналитики'!R464:R488,'19_Расчет_аналитики'!R492:R516)</f>
        <v/>
      </c>
      <c r="S384">
        <f>SUM('19_Расчет_аналитики'!S464:S488,'19_Расчет_аналитики'!S492:S516)</f>
        <v/>
      </c>
      <c r="T384">
        <f>SUM('19_Расчет_аналитики'!T464:T488,'19_Расчет_аналитики'!T492:T516)</f>
        <v/>
      </c>
      <c r="U384">
        <f>SUM('19_Расчет_аналитики'!U464:U488,'19_Расчет_аналитики'!U492:U516)</f>
        <v/>
      </c>
      <c r="V384">
        <f>SUM('19_Расчет_аналитики'!V464:V488,'19_Расчет_аналитики'!V492:V516)</f>
        <v/>
      </c>
      <c r="W384">
        <f>SUM('19_Расчет_аналитики'!W464:W488,'19_Расчет_аналитики'!W492:W516)</f>
        <v/>
      </c>
      <c r="X384">
        <f>SUM('19_Расчет_аналитики'!X464:X488,'19_Расчет_аналитики'!X492:X516)</f>
        <v/>
      </c>
      <c r="Y384">
        <f>SUM('19_Расчет_аналитики'!Y464:Y488,'19_Расчет_аналитики'!Y492:Y516)</f>
        <v/>
      </c>
      <c r="Z384">
        <f>SUM('19_Расчет_аналитики'!Z464:Z488,'19_Расчет_аналитики'!Z492:Z516)</f>
        <v/>
      </c>
      <c r="AA384">
        <f>SUM('19_Расчет_аналитики'!AA464:AA488,'19_Расчет_аналитики'!AA492:AA516)</f>
        <v/>
      </c>
      <c r="AB384">
        <f>SUM('19_Расчет_аналитики'!AB464:AB488,'19_Расчет_аналитики'!AB492:AB516)</f>
        <v/>
      </c>
      <c r="AC384">
        <f>SUM('19_Расчет_аналитики'!AC464:AC488,'19_Расчет_аналитики'!AC492:AC516)</f>
        <v/>
      </c>
      <c r="AD384">
        <f>SUM('19_Расчет_аналитики'!AD464:AD488,'19_Расчет_аналитики'!AD492:AD516)</f>
        <v/>
      </c>
      <c r="AE384">
        <f>SUM('19_Расчет_аналитики'!AE464:AE488,'19_Расчет_аналитики'!AE492:AE516)</f>
        <v/>
      </c>
      <c r="AF384">
        <f>SUM('19_Расчет_аналитики'!AF464:AF488,'19_Расчет_аналитики'!AF492:AF516)</f>
        <v/>
      </c>
      <c r="AG384">
        <f>SUM('19_Расчет_аналитики'!AG464:AG488,'19_Расчет_аналитики'!AG492:AG516)</f>
        <v/>
      </c>
      <c r="AH384">
        <f>SUM('19_Расчет_аналитики'!AH464:AH488,'19_Расчет_аналитики'!AH492:AH516)</f>
        <v/>
      </c>
      <c r="AI384">
        <f>SUM('19_Расчет_аналитики'!AI464:AI488,'19_Расчет_аналитики'!AI492:AI516)</f>
        <v/>
      </c>
      <c r="AJ384">
        <f>SUM('19_Расчет_аналитики'!AJ464:AJ488,'19_Расчет_аналитики'!AJ492:AJ516)</f>
        <v/>
      </c>
      <c r="AK384">
        <f>SUM('19_Расчет_аналитики'!AK464:AK488,'19_Расчет_аналитики'!AK492:AK516)</f>
        <v/>
      </c>
      <c r="AL384">
        <f>SUM('19_Расчет_аналитики'!AL464:AL488,'19_Расчет_аналитики'!AL492:AL516)</f>
        <v/>
      </c>
      <c r="AM384">
        <f>SUM('19_Расчет_аналитики'!AM464:AM488,'19_Расчет_аналитики'!AM492:AM516)</f>
        <v/>
      </c>
      <c r="AN384">
        <f>SUM('19_Расчет_аналитики'!AN464:AN488,'19_Расчет_аналитики'!AN492:AN516)</f>
        <v/>
      </c>
      <c r="AO384">
        <f>SUM('19_Расчет_аналитики'!AO464:AO488,'19_Расчет_аналитики'!AO492:AO516)</f>
        <v/>
      </c>
      <c r="AP384">
        <f>SUM('19_Расчет_аналитики'!AP464:AP488,'19_Расчет_аналитики'!AP492:AP516)</f>
        <v/>
      </c>
      <c r="AQ384">
        <f>SUM('19_Расчет_аналитики'!AQ464:AQ488,'19_Расчет_аналитики'!AQ492:AQ516)</f>
        <v/>
      </c>
      <c r="AR384">
        <f>SUM('19_Расчет_аналитики'!AR464:AR488,'19_Расчет_аналитики'!AR492:AR516)</f>
        <v/>
      </c>
      <c r="AS384">
        <f>SUM('19_Расчет_аналитики'!AS464:AS488,'19_Расчет_аналитики'!AS492:AS516)</f>
        <v/>
      </c>
      <c r="AT384">
        <f>SUM('19_Расчет_аналитики'!AT464:AT488,'19_Расчет_аналитики'!AT492:AT516)</f>
        <v/>
      </c>
      <c r="AU384">
        <f>SUM('19_Расчет_аналитики'!AU464:AU488,'19_Расчет_аналитики'!AU492:AU516)</f>
        <v/>
      </c>
      <c r="AV384">
        <f>SUM('19_Расчет_аналитики'!AV464:AV488,'19_Расчет_аналитики'!AV492:AV516)</f>
        <v/>
      </c>
      <c r="AW384">
        <f>SUM('19_Расчет_аналитики'!AW464:AW488,'19_Расчет_аналитики'!AW492:AW516)</f>
        <v/>
      </c>
      <c r="AX384">
        <f>SUM('19_Расчет_аналитики'!AX464:AX488,'19_Расчет_аналитики'!AX492:AX516)</f>
        <v/>
      </c>
      <c r="AY384">
        <f>SUM('19_Расчет_аналитики'!AY464:AY488,'19_Расчет_аналитики'!AY492:AY516)</f>
        <v/>
      </c>
      <c r="AZ384">
        <f>SUM('19_Расчет_аналитики'!AZ464:AZ488,'19_Расчет_аналитики'!AZ492:AZ516)</f>
        <v/>
      </c>
      <c r="BA384">
        <f>SUM('19_Расчет_аналитики'!BA464:BA488,'19_Расчет_аналитики'!BA492:BA516)</f>
        <v/>
      </c>
      <c r="BB384">
        <f>SUM('19_Расчет_аналитики'!BB464:BB488,'19_Расчет_аналитики'!BB492:BB516)</f>
        <v/>
      </c>
      <c r="BC384">
        <f>SUM('19_Расчет_аналитики'!BC464:BC488,'19_Расчет_аналитики'!BC492:BC516)</f>
        <v/>
      </c>
      <c r="BD384">
        <f>SUM('19_Расчет_аналитики'!BD464:BD488,'19_Расчет_аналитики'!BD492:BD516)</f>
        <v/>
      </c>
      <c r="BE384">
        <f>SUM('19_Расчет_аналитики'!BE464:BE488,'19_Расчет_аналитики'!BE492:BE516)</f>
        <v/>
      </c>
      <c r="BF384">
        <f>SUM('19_Расчет_аналитики'!BF464:BF488,'19_Расчет_аналитики'!BF492:BF516)</f>
        <v/>
      </c>
      <c r="BG384">
        <f>SUM('19_Расчет_аналитики'!BG464:BG488,'19_Расчет_аналитики'!BG492:BG516)</f>
        <v/>
      </c>
      <c r="BH384">
        <f>SUM('19_Расчет_аналитики'!BH464:BH488,'19_Расчет_аналитики'!BH492:BH516)</f>
        <v/>
      </c>
      <c r="BI384">
        <f>SUM('19_Расчет_аналитики'!BI464:BI488,'19_Расчет_аналитики'!BI492:BI516)</f>
        <v/>
      </c>
      <c r="BJ384">
        <f>SUM('19_Расчет_аналитики'!BJ464:BJ488,'19_Расчет_аналитики'!BJ492:BJ516)</f>
        <v/>
      </c>
      <c r="BK384">
        <f>SUM('19_Расчет_аналитики'!BK464:BK488,'19_Расчет_аналитики'!BK492:BK516)</f>
        <v/>
      </c>
      <c r="BL384">
        <f>SUM('19_Расчет_аналитики'!BL464:BL488,'19_Расчет_аналитики'!BL492:BL516)</f>
        <v/>
      </c>
      <c r="BM384">
        <f>SUM('19_Расчет_аналитики'!BM464:BM488,'19_Расчет_аналитики'!BM492:BM516)</f>
        <v/>
      </c>
      <c r="BN384">
        <f>SUM('19_Расчет_аналитики'!BN464:BN488,'19_Расчет_аналитики'!BN492:BN516)</f>
        <v/>
      </c>
      <c r="BO384">
        <f>SUM('19_Расчет_аналитики'!BO464:BO488,'19_Расчет_аналитики'!BO492:BO516)</f>
        <v/>
      </c>
    </row>
    <row r="385">
      <c r="B385">
        <f>'19_Расчет_аналитики'!B383+'19_Расчет_аналитики'!B384</f>
        <v/>
      </c>
      <c r="C385">
        <f>'19_Расчет_аналитики'!C383+'19_Расчет_аналитики'!C384</f>
        <v/>
      </c>
      <c r="D385">
        <f>'19_Расчет_аналитики'!D383+'19_Расчет_аналитики'!D384</f>
        <v/>
      </c>
      <c r="E385">
        <f>'19_Расчет_аналитики'!E383+'19_Расчет_аналитики'!E384</f>
        <v/>
      </c>
      <c r="F385">
        <f>'19_Расчет_аналитики'!F383+'19_Расчет_аналитики'!F384</f>
        <v/>
      </c>
      <c r="G385">
        <f>'19_Расчет_аналитики'!G383+'19_Расчет_аналитики'!G384</f>
        <v/>
      </c>
      <c r="H385">
        <f>'19_Расчет_аналитики'!H383+'19_Расчет_аналитики'!H384</f>
        <v/>
      </c>
      <c r="I385">
        <f>'19_Расчет_аналитики'!I383+'19_Расчет_аналитики'!I384</f>
        <v/>
      </c>
      <c r="J385">
        <f>'19_Расчет_аналитики'!J383+'19_Расчет_аналитики'!J384</f>
        <v/>
      </c>
      <c r="K385">
        <f>'19_Расчет_аналитики'!K383+'19_Расчет_аналитики'!K384</f>
        <v/>
      </c>
      <c r="L385">
        <f>'19_Расчет_аналитики'!L383+'19_Расчет_аналитики'!L384</f>
        <v/>
      </c>
      <c r="M385">
        <f>'19_Расчет_аналитики'!M383+'19_Расчет_аналитики'!M384</f>
        <v/>
      </c>
      <c r="N385">
        <f>'19_Расчет_аналитики'!N383+'19_Расчет_аналитики'!N384</f>
        <v/>
      </c>
      <c r="O385">
        <f>'19_Расчет_аналитики'!O383+'19_Расчет_аналитики'!O384</f>
        <v/>
      </c>
      <c r="P385">
        <f>'19_Расчет_аналитики'!P383+'19_Расчет_аналитики'!P384</f>
        <v/>
      </c>
      <c r="Q385">
        <f>'19_Расчет_аналитики'!Q383+'19_Расчет_аналитики'!Q384</f>
        <v/>
      </c>
      <c r="R385">
        <f>'19_Расчет_аналитики'!R383+'19_Расчет_аналитики'!R384</f>
        <v/>
      </c>
      <c r="S385">
        <f>'19_Расчет_аналитики'!S383+'19_Расчет_аналитики'!S384</f>
        <v/>
      </c>
      <c r="T385">
        <f>'19_Расчет_аналитики'!T383+'19_Расчет_аналитики'!T384</f>
        <v/>
      </c>
      <c r="U385">
        <f>'19_Расчет_аналитики'!U383+'19_Расчет_аналитики'!U384</f>
        <v/>
      </c>
      <c r="V385">
        <f>'19_Расчет_аналитики'!V383+'19_Расчет_аналитики'!V384</f>
        <v/>
      </c>
      <c r="W385">
        <f>'19_Расчет_аналитики'!W383+'19_Расчет_аналитики'!W384</f>
        <v/>
      </c>
      <c r="X385">
        <f>'19_Расчет_аналитики'!X383+'19_Расчет_аналитики'!X384</f>
        <v/>
      </c>
      <c r="Y385">
        <f>'19_Расчет_аналитики'!Y383+'19_Расчет_аналитики'!Y384</f>
        <v/>
      </c>
      <c r="Z385">
        <f>'19_Расчет_аналитики'!Z383+'19_Расчет_аналитики'!Z384</f>
        <v/>
      </c>
      <c r="AA385">
        <f>'19_Расчет_аналитики'!AA383+'19_Расчет_аналитики'!AA384</f>
        <v/>
      </c>
      <c r="AB385">
        <f>'19_Расчет_аналитики'!AB383+'19_Расчет_аналитики'!AB384</f>
        <v/>
      </c>
      <c r="AC385">
        <f>'19_Расчет_аналитики'!AC383+'19_Расчет_аналитики'!AC384</f>
        <v/>
      </c>
      <c r="AD385">
        <f>'19_Расчет_аналитики'!AD383+'19_Расчет_аналитики'!AD384</f>
        <v/>
      </c>
      <c r="AE385">
        <f>'19_Расчет_аналитики'!AE383+'19_Расчет_аналитики'!AE384</f>
        <v/>
      </c>
      <c r="AF385">
        <f>'19_Расчет_аналитики'!AF383+'19_Расчет_аналитики'!AF384</f>
        <v/>
      </c>
      <c r="AG385">
        <f>'19_Расчет_аналитики'!AG383+'19_Расчет_аналитики'!AG384</f>
        <v/>
      </c>
      <c r="AH385">
        <f>'19_Расчет_аналитики'!AH383+'19_Расчет_аналитики'!AH384</f>
        <v/>
      </c>
      <c r="AI385">
        <f>'19_Расчет_аналитики'!AI383+'19_Расчет_аналитики'!AI384</f>
        <v/>
      </c>
      <c r="AJ385">
        <f>'19_Расчет_аналитики'!AJ383+'19_Расчет_аналитики'!AJ384</f>
        <v/>
      </c>
      <c r="AK385">
        <f>'19_Расчет_аналитики'!AK383+'19_Расчет_аналитики'!AK384</f>
        <v/>
      </c>
      <c r="AL385">
        <f>'19_Расчет_аналитики'!AL383+'19_Расчет_аналитики'!AL384</f>
        <v/>
      </c>
      <c r="AM385">
        <f>'19_Расчет_аналитики'!AM383+'19_Расчет_аналитики'!AM384</f>
        <v/>
      </c>
      <c r="AN385">
        <f>'19_Расчет_аналитики'!AN383+'19_Расчет_аналитики'!AN384</f>
        <v/>
      </c>
      <c r="AO385">
        <f>'19_Расчет_аналитики'!AO383+'19_Расчет_аналитики'!AO384</f>
        <v/>
      </c>
      <c r="AP385">
        <f>'19_Расчет_аналитики'!AP383+'19_Расчет_аналитики'!AP384</f>
        <v/>
      </c>
      <c r="AQ385">
        <f>'19_Расчет_аналитики'!AQ383+'19_Расчет_аналитики'!AQ384</f>
        <v/>
      </c>
      <c r="AR385">
        <f>'19_Расчет_аналитики'!AR383+'19_Расчет_аналитики'!AR384</f>
        <v/>
      </c>
      <c r="AS385">
        <f>'19_Расчет_аналитики'!AS383+'19_Расчет_аналитики'!AS384</f>
        <v/>
      </c>
      <c r="AT385">
        <f>'19_Расчет_аналитики'!AT383+'19_Расчет_аналитики'!AT384</f>
        <v/>
      </c>
      <c r="AU385">
        <f>'19_Расчет_аналитики'!AU383+'19_Расчет_аналитики'!AU384</f>
        <v/>
      </c>
      <c r="AV385">
        <f>'19_Расчет_аналитики'!AV383+'19_Расчет_аналитики'!AV384</f>
        <v/>
      </c>
      <c r="AW385">
        <f>'19_Расчет_аналитики'!AW383+'19_Расчет_аналитики'!AW384</f>
        <v/>
      </c>
      <c r="AX385">
        <f>'19_Расчет_аналитики'!AX383+'19_Расчет_аналитики'!AX384</f>
        <v/>
      </c>
      <c r="AY385">
        <f>'19_Расчет_аналитики'!AY383+'19_Расчет_аналитики'!AY384</f>
        <v/>
      </c>
      <c r="AZ385">
        <f>'19_Расчет_аналитики'!AZ383+'19_Расчет_аналитики'!AZ384</f>
        <v/>
      </c>
      <c r="BA385">
        <f>'19_Расчет_аналитики'!BA383+'19_Расчет_аналитики'!BA384</f>
        <v/>
      </c>
      <c r="BB385">
        <f>'19_Расчет_аналитики'!BB383+'19_Расчет_аналитики'!BB384</f>
        <v/>
      </c>
      <c r="BC385">
        <f>'19_Расчет_аналитики'!BC383+'19_Расчет_аналитики'!BC384</f>
        <v/>
      </c>
      <c r="BD385">
        <f>'19_Расчет_аналитики'!BD383+'19_Расчет_аналитики'!BD384</f>
        <v/>
      </c>
      <c r="BE385">
        <f>'19_Расчет_аналитики'!BE383+'19_Расчет_аналитики'!BE384</f>
        <v/>
      </c>
      <c r="BF385">
        <f>'19_Расчет_аналитики'!BF383+'19_Расчет_аналитики'!BF384</f>
        <v/>
      </c>
      <c r="BG385">
        <f>'19_Расчет_аналитики'!BG383+'19_Расчет_аналитики'!BG384</f>
        <v/>
      </c>
      <c r="BH385">
        <f>'19_Расчет_аналитики'!BH383+'19_Расчет_аналитики'!BH384</f>
        <v/>
      </c>
      <c r="BI385">
        <f>'19_Расчет_аналитики'!BI383+'19_Расчет_аналитики'!BI384</f>
        <v/>
      </c>
      <c r="BJ385">
        <f>'19_Расчет_аналитики'!BJ383+'19_Расчет_аналитики'!BJ384</f>
        <v/>
      </c>
      <c r="BK385">
        <f>'19_Расчет_аналитики'!BK383+'19_Расчет_аналитики'!BK384</f>
        <v/>
      </c>
      <c r="BL385">
        <f>'19_Расчет_аналитики'!BL383+'19_Расчет_аналитики'!BL384</f>
        <v/>
      </c>
      <c r="BM385">
        <f>'19_Расчет_аналитики'!BM383+'19_Расчет_аналитики'!BM384</f>
        <v/>
      </c>
      <c r="BN385">
        <f>'19_Расчет_аналитики'!BN383+'19_Расчет_аналитики'!BN384</f>
        <v/>
      </c>
      <c r="BO385">
        <f>'19_Расчет_аналитики'!BO383+'19_Расчет_аналитики'!BO384</f>
        <v/>
      </c>
    </row>
    <row r="386"/>
    <row r="387"/>
    <row r="388">
      <c r="B388">
        <f>IF(OR(1&lt;='01_Вводные'!$B$15,1-'01_Вводные'!$B$15&gt;60),0,IF(INDEX('04_Продажи'!$B$11:$BI$11,1,1-'01_Вводные'!$B$15)&lt;='01_Вводные'!$B$244,'19_Расчет_аналитики'!B363,0))</f>
        <v/>
      </c>
      <c r="C388">
        <f>IF(OR(2&lt;='01_Вводные'!$B$15,2-'01_Вводные'!$B$15&gt;60),0,IF(INDEX('04_Продажи'!$B$11:$BI$11,1,2-'01_Вводные'!$B$15)&lt;='01_Вводные'!$B$244,'19_Расчет_аналитики'!C363,0))</f>
        <v/>
      </c>
      <c r="D388">
        <f>IF(OR(3&lt;='01_Вводные'!$B$15,3-'01_Вводные'!$B$15&gt;60),0,IF(INDEX('04_Продажи'!$B$11:$BI$11,1,3-'01_Вводные'!$B$15)&lt;='01_Вводные'!$B$244,'19_Расчет_аналитики'!D363,0))</f>
        <v/>
      </c>
      <c r="E388">
        <f>IF(OR(4&lt;='01_Вводные'!$B$15,4-'01_Вводные'!$B$15&gt;60),0,IF(INDEX('04_Продажи'!$B$11:$BI$11,1,4-'01_Вводные'!$B$15)&lt;='01_Вводные'!$B$244,'19_Расчет_аналитики'!E363,0))</f>
        <v/>
      </c>
      <c r="F388">
        <f>IF(OR(5&lt;='01_Вводные'!$B$15,5-'01_Вводные'!$B$15&gt;60),0,IF(INDEX('04_Продажи'!$B$11:$BI$11,1,5-'01_Вводные'!$B$15)&lt;='01_Вводные'!$B$244,'19_Расчет_аналитики'!F363,0))</f>
        <v/>
      </c>
      <c r="G388">
        <f>IF(OR(6&lt;='01_Вводные'!$B$15,6-'01_Вводные'!$B$15&gt;60),0,IF(INDEX('04_Продажи'!$B$11:$BI$11,1,6-'01_Вводные'!$B$15)&lt;='01_Вводные'!$B$244,'19_Расчет_аналитики'!G363,0))</f>
        <v/>
      </c>
      <c r="H388">
        <f>IF(OR(7&lt;='01_Вводные'!$B$15,7-'01_Вводные'!$B$15&gt;60),0,IF(INDEX('04_Продажи'!$B$11:$BI$11,1,7-'01_Вводные'!$B$15)&lt;='01_Вводные'!$B$244,'19_Расчет_аналитики'!H363,0))</f>
        <v/>
      </c>
      <c r="I388">
        <f>IF(OR(8&lt;='01_Вводные'!$B$15,8-'01_Вводные'!$B$15&gt;60),0,IF(INDEX('04_Продажи'!$B$11:$BI$11,1,8-'01_Вводные'!$B$15)&lt;='01_Вводные'!$B$244,'19_Расчет_аналитики'!I363,0))</f>
        <v/>
      </c>
      <c r="J388">
        <f>IF(OR(9&lt;='01_Вводные'!$B$15,9-'01_Вводные'!$B$15&gt;60),0,IF(INDEX('04_Продажи'!$B$11:$BI$11,1,9-'01_Вводные'!$B$15)&lt;='01_Вводные'!$B$244,'19_Расчет_аналитики'!J363,0))</f>
        <v/>
      </c>
      <c r="K388">
        <f>IF(OR(10&lt;='01_Вводные'!$B$15,10-'01_Вводные'!$B$15&gt;60),0,IF(INDEX('04_Продажи'!$B$11:$BI$11,1,10-'01_Вводные'!$B$15)&lt;='01_Вводные'!$B$244,'19_Расчет_аналитики'!K363,0))</f>
        <v/>
      </c>
      <c r="L388">
        <f>IF(OR(11&lt;='01_Вводные'!$B$15,11-'01_Вводные'!$B$15&gt;60),0,IF(INDEX('04_Продажи'!$B$11:$BI$11,1,11-'01_Вводные'!$B$15)&lt;='01_Вводные'!$B$244,'19_Расчет_аналитики'!L363,0))</f>
        <v/>
      </c>
      <c r="M388">
        <f>IF(OR(12&lt;='01_Вводные'!$B$15,12-'01_Вводные'!$B$15&gt;60),0,IF(INDEX('04_Продажи'!$B$11:$BI$11,1,12-'01_Вводные'!$B$15)&lt;='01_Вводные'!$B$244,'19_Расчет_аналитики'!M363,0))</f>
        <v/>
      </c>
      <c r="N388">
        <f>IF(OR(13&lt;='01_Вводные'!$B$15,13-'01_Вводные'!$B$15&gt;60),0,IF(INDEX('04_Продажи'!$B$11:$BI$11,1,13-'01_Вводные'!$B$15)&lt;='01_Вводные'!$B$244,'19_Расчет_аналитики'!N363,0))</f>
        <v/>
      </c>
      <c r="O388">
        <f>IF(OR(14&lt;='01_Вводные'!$B$15,14-'01_Вводные'!$B$15&gt;60),0,IF(INDEX('04_Продажи'!$B$11:$BI$11,1,14-'01_Вводные'!$B$15)&lt;='01_Вводные'!$B$244,'19_Расчет_аналитики'!O363,0))</f>
        <v/>
      </c>
      <c r="P388">
        <f>IF(OR(15&lt;='01_Вводные'!$B$15,15-'01_Вводные'!$B$15&gt;60),0,IF(INDEX('04_Продажи'!$B$11:$BI$11,1,15-'01_Вводные'!$B$15)&lt;='01_Вводные'!$B$244,'19_Расчет_аналитики'!P363,0))</f>
        <v/>
      </c>
      <c r="Q388">
        <f>IF(OR(16&lt;='01_Вводные'!$B$15,16-'01_Вводные'!$B$15&gt;60),0,IF(INDEX('04_Продажи'!$B$11:$BI$11,1,16-'01_Вводные'!$B$15)&lt;='01_Вводные'!$B$244,'19_Расчет_аналитики'!Q363,0))</f>
        <v/>
      </c>
      <c r="R388">
        <f>IF(OR(17&lt;='01_Вводные'!$B$15,17-'01_Вводные'!$B$15&gt;60),0,IF(INDEX('04_Продажи'!$B$11:$BI$11,1,17-'01_Вводные'!$B$15)&lt;='01_Вводные'!$B$244,'19_Расчет_аналитики'!R363,0))</f>
        <v/>
      </c>
      <c r="S388">
        <f>IF(OR(18&lt;='01_Вводные'!$B$15,18-'01_Вводные'!$B$15&gt;60),0,IF(INDEX('04_Продажи'!$B$11:$BI$11,1,18-'01_Вводные'!$B$15)&lt;='01_Вводные'!$B$244,'19_Расчет_аналитики'!S363,0))</f>
        <v/>
      </c>
      <c r="T388">
        <f>IF(OR(19&lt;='01_Вводные'!$B$15,19-'01_Вводные'!$B$15&gt;60),0,IF(INDEX('04_Продажи'!$B$11:$BI$11,1,19-'01_Вводные'!$B$15)&lt;='01_Вводные'!$B$244,'19_Расчет_аналитики'!T363,0))</f>
        <v/>
      </c>
      <c r="U388">
        <f>IF(OR(20&lt;='01_Вводные'!$B$15,20-'01_Вводные'!$B$15&gt;60),0,IF(INDEX('04_Продажи'!$B$11:$BI$11,1,20-'01_Вводные'!$B$15)&lt;='01_Вводные'!$B$244,'19_Расчет_аналитики'!U363,0))</f>
        <v/>
      </c>
      <c r="V388">
        <f>IF(OR(21&lt;='01_Вводные'!$B$15,21-'01_Вводные'!$B$15&gt;60),0,IF(INDEX('04_Продажи'!$B$11:$BI$11,1,21-'01_Вводные'!$B$15)&lt;='01_Вводные'!$B$244,'19_Расчет_аналитики'!V363,0))</f>
        <v/>
      </c>
      <c r="W388">
        <f>IF(OR(22&lt;='01_Вводные'!$B$15,22-'01_Вводные'!$B$15&gt;60),0,IF(INDEX('04_Продажи'!$B$11:$BI$11,1,22-'01_Вводные'!$B$15)&lt;='01_Вводные'!$B$244,'19_Расчет_аналитики'!W363,0))</f>
        <v/>
      </c>
      <c r="X388">
        <f>IF(OR(23&lt;='01_Вводные'!$B$15,23-'01_Вводные'!$B$15&gt;60),0,IF(INDEX('04_Продажи'!$B$11:$BI$11,1,23-'01_Вводные'!$B$15)&lt;='01_Вводные'!$B$244,'19_Расчет_аналитики'!X363,0))</f>
        <v/>
      </c>
      <c r="Y388">
        <f>IF(OR(24&lt;='01_Вводные'!$B$15,24-'01_Вводные'!$B$15&gt;60),0,IF(INDEX('04_Продажи'!$B$11:$BI$11,1,24-'01_Вводные'!$B$15)&lt;='01_Вводные'!$B$244,'19_Расчет_аналитики'!Y363,0))</f>
        <v/>
      </c>
      <c r="Z388">
        <f>IF(OR(25&lt;='01_Вводные'!$B$15,25-'01_Вводные'!$B$15&gt;60),0,IF(INDEX('04_Продажи'!$B$11:$BI$11,1,25-'01_Вводные'!$B$15)&lt;='01_Вводные'!$B$244,'19_Расчет_аналитики'!Z363,0))</f>
        <v/>
      </c>
      <c r="AA388">
        <f>IF(OR(26&lt;='01_Вводные'!$B$15,26-'01_Вводные'!$B$15&gt;60),0,IF(INDEX('04_Продажи'!$B$11:$BI$11,1,26-'01_Вводные'!$B$15)&lt;='01_Вводные'!$B$244,'19_Расчет_аналитики'!AA363,0))</f>
        <v/>
      </c>
      <c r="AB388">
        <f>IF(OR(27&lt;='01_Вводные'!$B$15,27-'01_Вводные'!$B$15&gt;60),0,IF(INDEX('04_Продажи'!$B$11:$BI$11,1,27-'01_Вводные'!$B$15)&lt;='01_Вводные'!$B$244,'19_Расчет_аналитики'!AB363,0))</f>
        <v/>
      </c>
      <c r="AC388">
        <f>IF(OR(28&lt;='01_Вводные'!$B$15,28-'01_Вводные'!$B$15&gt;60),0,IF(INDEX('04_Продажи'!$B$11:$BI$11,1,28-'01_Вводные'!$B$15)&lt;='01_Вводные'!$B$244,'19_Расчет_аналитики'!AC363,0))</f>
        <v/>
      </c>
      <c r="AD388">
        <f>IF(OR(29&lt;='01_Вводные'!$B$15,29-'01_Вводные'!$B$15&gt;60),0,IF(INDEX('04_Продажи'!$B$11:$BI$11,1,29-'01_Вводные'!$B$15)&lt;='01_Вводные'!$B$244,'19_Расчет_аналитики'!AD363,0))</f>
        <v/>
      </c>
      <c r="AE388">
        <f>IF(OR(30&lt;='01_Вводные'!$B$15,30-'01_Вводные'!$B$15&gt;60),0,IF(INDEX('04_Продажи'!$B$11:$BI$11,1,30-'01_Вводные'!$B$15)&lt;='01_Вводные'!$B$244,'19_Расчет_аналитики'!AE363,0))</f>
        <v/>
      </c>
      <c r="AF388">
        <f>IF(OR(31&lt;='01_Вводные'!$B$15,31-'01_Вводные'!$B$15&gt;60),0,IF(INDEX('04_Продажи'!$B$11:$BI$11,1,31-'01_Вводные'!$B$15)&lt;='01_Вводные'!$B$244,'19_Расчет_аналитики'!AF363,0))</f>
        <v/>
      </c>
      <c r="AG388">
        <f>IF(OR(32&lt;='01_Вводные'!$B$15,32-'01_Вводные'!$B$15&gt;60),0,IF(INDEX('04_Продажи'!$B$11:$BI$11,1,32-'01_Вводные'!$B$15)&lt;='01_Вводные'!$B$244,'19_Расчет_аналитики'!AG363,0))</f>
        <v/>
      </c>
      <c r="AH388">
        <f>IF(OR(33&lt;='01_Вводные'!$B$15,33-'01_Вводные'!$B$15&gt;60),0,IF(INDEX('04_Продажи'!$B$11:$BI$11,1,33-'01_Вводные'!$B$15)&lt;='01_Вводные'!$B$244,'19_Расчет_аналитики'!AH363,0))</f>
        <v/>
      </c>
      <c r="AI388">
        <f>IF(OR(34&lt;='01_Вводные'!$B$15,34-'01_Вводные'!$B$15&gt;60),0,IF(INDEX('04_Продажи'!$B$11:$BI$11,1,34-'01_Вводные'!$B$15)&lt;='01_Вводные'!$B$244,'19_Расчет_аналитики'!AI363,0))</f>
        <v/>
      </c>
      <c r="AJ388">
        <f>IF(OR(35&lt;='01_Вводные'!$B$15,35-'01_Вводные'!$B$15&gt;60),0,IF(INDEX('04_Продажи'!$B$11:$BI$11,1,35-'01_Вводные'!$B$15)&lt;='01_Вводные'!$B$244,'19_Расчет_аналитики'!AJ363,0))</f>
        <v/>
      </c>
      <c r="AK388">
        <f>IF(OR(36&lt;='01_Вводные'!$B$15,36-'01_Вводные'!$B$15&gt;60),0,IF(INDEX('04_Продажи'!$B$11:$BI$11,1,36-'01_Вводные'!$B$15)&lt;='01_Вводные'!$B$244,'19_Расчет_аналитики'!AK363,0))</f>
        <v/>
      </c>
      <c r="AL388">
        <f>IF(OR(37&lt;='01_Вводные'!$B$15,37-'01_Вводные'!$B$15&gt;60),0,IF(INDEX('04_Продажи'!$B$11:$BI$11,1,37-'01_Вводные'!$B$15)&lt;='01_Вводные'!$B$244,'19_Расчет_аналитики'!AL363,0))</f>
        <v/>
      </c>
      <c r="AM388">
        <f>IF(OR(38&lt;='01_Вводные'!$B$15,38-'01_Вводные'!$B$15&gt;60),0,IF(INDEX('04_Продажи'!$B$11:$BI$11,1,38-'01_Вводные'!$B$15)&lt;='01_Вводные'!$B$244,'19_Расчет_аналитики'!AM363,0))</f>
        <v/>
      </c>
      <c r="AN388">
        <f>IF(OR(39&lt;='01_Вводные'!$B$15,39-'01_Вводные'!$B$15&gt;60),0,IF(INDEX('04_Продажи'!$B$11:$BI$11,1,39-'01_Вводные'!$B$15)&lt;='01_Вводные'!$B$244,'19_Расчет_аналитики'!AN363,0))</f>
        <v/>
      </c>
      <c r="AO388">
        <f>IF(OR(40&lt;='01_Вводные'!$B$15,40-'01_Вводные'!$B$15&gt;60),0,IF(INDEX('04_Продажи'!$B$11:$BI$11,1,40-'01_Вводные'!$B$15)&lt;='01_Вводные'!$B$244,'19_Расчет_аналитики'!AO363,0))</f>
        <v/>
      </c>
      <c r="AP388">
        <f>IF(OR(41&lt;='01_Вводные'!$B$15,41-'01_Вводные'!$B$15&gt;60),0,IF(INDEX('04_Продажи'!$B$11:$BI$11,1,41-'01_Вводные'!$B$15)&lt;='01_Вводные'!$B$244,'19_Расчет_аналитики'!AP363,0))</f>
        <v/>
      </c>
      <c r="AQ388">
        <f>IF(OR(42&lt;='01_Вводные'!$B$15,42-'01_Вводные'!$B$15&gt;60),0,IF(INDEX('04_Продажи'!$B$11:$BI$11,1,42-'01_Вводные'!$B$15)&lt;='01_Вводные'!$B$244,'19_Расчет_аналитики'!AQ363,0))</f>
        <v/>
      </c>
      <c r="AR388">
        <f>IF(OR(43&lt;='01_Вводные'!$B$15,43-'01_Вводные'!$B$15&gt;60),0,IF(INDEX('04_Продажи'!$B$11:$BI$11,1,43-'01_Вводные'!$B$15)&lt;='01_Вводные'!$B$244,'19_Расчет_аналитики'!AR363,0))</f>
        <v/>
      </c>
      <c r="AS388">
        <f>IF(OR(44&lt;='01_Вводные'!$B$15,44-'01_Вводные'!$B$15&gt;60),0,IF(INDEX('04_Продажи'!$B$11:$BI$11,1,44-'01_Вводные'!$B$15)&lt;='01_Вводные'!$B$244,'19_Расчет_аналитики'!AS363,0))</f>
        <v/>
      </c>
      <c r="AT388">
        <f>IF(OR(45&lt;='01_Вводные'!$B$15,45-'01_Вводные'!$B$15&gt;60),0,IF(INDEX('04_Продажи'!$B$11:$BI$11,1,45-'01_Вводные'!$B$15)&lt;='01_Вводные'!$B$244,'19_Расчет_аналитики'!AT363,0))</f>
        <v/>
      </c>
      <c r="AU388">
        <f>IF(OR(46&lt;='01_Вводные'!$B$15,46-'01_Вводные'!$B$15&gt;60),0,IF(INDEX('04_Продажи'!$B$11:$BI$11,1,46-'01_Вводные'!$B$15)&lt;='01_Вводные'!$B$244,'19_Расчет_аналитики'!AU363,0))</f>
        <v/>
      </c>
      <c r="AV388">
        <f>IF(OR(47&lt;='01_Вводные'!$B$15,47-'01_Вводные'!$B$15&gt;60),0,IF(INDEX('04_Продажи'!$B$11:$BI$11,1,47-'01_Вводные'!$B$15)&lt;='01_Вводные'!$B$244,'19_Расчет_аналитики'!AV363,0))</f>
        <v/>
      </c>
      <c r="AW388">
        <f>IF(OR(48&lt;='01_Вводные'!$B$15,48-'01_Вводные'!$B$15&gt;60),0,IF(INDEX('04_Продажи'!$B$11:$BI$11,1,48-'01_Вводные'!$B$15)&lt;='01_Вводные'!$B$244,'19_Расчет_аналитики'!AW363,0))</f>
        <v/>
      </c>
      <c r="AX388">
        <f>IF(OR(49&lt;='01_Вводные'!$B$15,49-'01_Вводные'!$B$15&gt;60),0,IF(INDEX('04_Продажи'!$B$11:$BI$11,1,49-'01_Вводные'!$B$15)&lt;='01_Вводные'!$B$244,'19_Расчет_аналитики'!AX363,0))</f>
        <v/>
      </c>
      <c r="AY388">
        <f>IF(OR(50&lt;='01_Вводные'!$B$15,50-'01_Вводные'!$B$15&gt;60),0,IF(INDEX('04_Продажи'!$B$11:$BI$11,1,50-'01_Вводные'!$B$15)&lt;='01_Вводные'!$B$244,'19_Расчет_аналитики'!AY363,0))</f>
        <v/>
      </c>
      <c r="AZ388">
        <f>IF(OR(51&lt;='01_Вводные'!$B$15,51-'01_Вводные'!$B$15&gt;60),0,IF(INDEX('04_Продажи'!$B$11:$BI$11,1,51-'01_Вводные'!$B$15)&lt;='01_Вводные'!$B$244,'19_Расчет_аналитики'!AZ363,0))</f>
        <v/>
      </c>
      <c r="BA388">
        <f>IF(OR(52&lt;='01_Вводные'!$B$15,52-'01_Вводные'!$B$15&gt;60),0,IF(INDEX('04_Продажи'!$B$11:$BI$11,1,52-'01_Вводные'!$B$15)&lt;='01_Вводные'!$B$244,'19_Расчет_аналитики'!BA363,0))</f>
        <v/>
      </c>
      <c r="BB388">
        <f>IF(OR(53&lt;='01_Вводные'!$B$15,53-'01_Вводные'!$B$15&gt;60),0,IF(INDEX('04_Продажи'!$B$11:$BI$11,1,53-'01_Вводные'!$B$15)&lt;='01_Вводные'!$B$244,'19_Расчет_аналитики'!BB363,0))</f>
        <v/>
      </c>
      <c r="BC388">
        <f>IF(OR(54&lt;='01_Вводные'!$B$15,54-'01_Вводные'!$B$15&gt;60),0,IF(INDEX('04_Продажи'!$B$11:$BI$11,1,54-'01_Вводные'!$B$15)&lt;='01_Вводные'!$B$244,'19_Расчет_аналитики'!BC363,0))</f>
        <v/>
      </c>
      <c r="BD388">
        <f>IF(OR(55&lt;='01_Вводные'!$B$15,55-'01_Вводные'!$B$15&gt;60),0,IF(INDEX('04_Продажи'!$B$11:$BI$11,1,55-'01_Вводные'!$B$15)&lt;='01_Вводные'!$B$244,'19_Расчет_аналитики'!BD363,0))</f>
        <v/>
      </c>
      <c r="BE388">
        <f>IF(OR(56&lt;='01_Вводные'!$B$15,56-'01_Вводные'!$B$15&gt;60),0,IF(INDEX('04_Продажи'!$B$11:$BI$11,1,56-'01_Вводные'!$B$15)&lt;='01_Вводные'!$B$244,'19_Расчет_аналитики'!BE363,0))</f>
        <v/>
      </c>
      <c r="BF388">
        <f>IF(OR(57&lt;='01_Вводные'!$B$15,57-'01_Вводные'!$B$15&gt;60),0,IF(INDEX('04_Продажи'!$B$11:$BI$11,1,57-'01_Вводные'!$B$15)&lt;='01_Вводные'!$B$244,'19_Расчет_аналитики'!BF363,0))</f>
        <v/>
      </c>
      <c r="BG388">
        <f>IF(OR(58&lt;='01_Вводные'!$B$15,58-'01_Вводные'!$B$15&gt;60),0,IF(INDEX('04_Продажи'!$B$11:$BI$11,1,58-'01_Вводные'!$B$15)&lt;='01_Вводные'!$B$244,'19_Расчет_аналитики'!BG363,0))</f>
        <v/>
      </c>
      <c r="BH388">
        <f>IF(OR(59&lt;='01_Вводные'!$B$15,59-'01_Вводные'!$B$15&gt;60),0,IF(INDEX('04_Продажи'!$B$11:$BI$11,1,59-'01_Вводные'!$B$15)&lt;='01_Вводные'!$B$244,'19_Расчет_аналитики'!BH363,0))</f>
        <v/>
      </c>
      <c r="BI388">
        <f>IF(OR(60&lt;='01_Вводные'!$B$15,60-'01_Вводные'!$B$15&gt;60),0,IF(INDEX('04_Продажи'!$B$11:$BI$11,1,60-'01_Вводные'!$B$15)&lt;='01_Вводные'!$B$244,'19_Расчет_аналитики'!BI363,0))</f>
        <v/>
      </c>
      <c r="BJ388">
        <f>IF(OR(61&lt;='01_Вводные'!$B$15,61-'01_Вводные'!$B$15&gt;60),0,IF(INDEX('04_Продажи'!$B$11:$BI$11,1,61-'01_Вводные'!$B$15)&lt;='01_Вводные'!$B$244,'19_Расчет_аналитики'!BJ363,0))</f>
        <v/>
      </c>
      <c r="BK388">
        <f>IF(OR(62&lt;='01_Вводные'!$B$15,62-'01_Вводные'!$B$15&gt;60),0,IF(INDEX('04_Продажи'!$B$11:$BI$11,1,62-'01_Вводные'!$B$15)&lt;='01_Вводные'!$B$244,'19_Расчет_аналитики'!BK363,0))</f>
        <v/>
      </c>
      <c r="BL388">
        <f>IF(OR(63&lt;='01_Вводные'!$B$15,63-'01_Вводные'!$B$15&gt;60),0,IF(INDEX('04_Продажи'!$B$11:$BI$11,1,63-'01_Вводные'!$B$15)&lt;='01_Вводные'!$B$244,'19_Расчет_аналитики'!BL363,0))</f>
        <v/>
      </c>
      <c r="BM388">
        <f>IF(OR(64&lt;='01_Вводные'!$B$15,64-'01_Вводные'!$B$15&gt;60),0,IF(INDEX('04_Продажи'!$B$11:$BI$11,1,64-'01_Вводные'!$B$15)&lt;='01_Вводные'!$B$244,'19_Расчет_аналитики'!BM363,0))</f>
        <v/>
      </c>
      <c r="BN388">
        <f>IF(OR(65&lt;='01_Вводные'!$B$15,65-'01_Вводные'!$B$15&gt;60),0,IF(INDEX('04_Продажи'!$B$11:$BI$11,1,65-'01_Вводные'!$B$15)&lt;='01_Вводные'!$B$244,'19_Расчет_аналитики'!BN363,0))</f>
        <v/>
      </c>
      <c r="BO388">
        <f>IF(OR(66&lt;='01_Вводные'!$B$15,66-'01_Вводные'!$B$15&gt;60),0,IF(INDEX('04_Продажи'!$B$11:$BI$11,1,66-'01_Вводные'!$B$15)&lt;='01_Вводные'!$B$244,'19_Расчет_аналитики'!BO363,0))</f>
        <v/>
      </c>
    </row>
    <row r="389">
      <c r="B389">
        <f>SUM('19_Расчет_аналитики'!B436:B447)</f>
        <v/>
      </c>
      <c r="C389">
        <f>SUM('19_Расчет_аналитики'!C436:C447)</f>
        <v/>
      </c>
      <c r="D389">
        <f>SUM('19_Расчет_аналитики'!D436:D447)</f>
        <v/>
      </c>
      <c r="E389">
        <f>SUM('19_Расчет_аналитики'!E436:E447)</f>
        <v/>
      </c>
      <c r="F389">
        <f>SUM('19_Расчет_аналитики'!F436:F447)</f>
        <v/>
      </c>
      <c r="G389">
        <f>SUM('19_Расчет_аналитики'!G436:G447)</f>
        <v/>
      </c>
      <c r="H389">
        <f>SUM('19_Расчет_аналитики'!H436:H447)</f>
        <v/>
      </c>
      <c r="I389">
        <f>SUM('19_Расчет_аналитики'!I436:I447)</f>
        <v/>
      </c>
      <c r="J389">
        <f>SUM('19_Расчет_аналитики'!J436:J447)</f>
        <v/>
      </c>
      <c r="K389">
        <f>SUM('19_Расчет_аналитики'!K436:K447)</f>
        <v/>
      </c>
      <c r="L389">
        <f>SUM('19_Расчет_аналитики'!L436:L447)</f>
        <v/>
      </c>
      <c r="M389">
        <f>SUM('19_Расчет_аналитики'!M436:M447)</f>
        <v/>
      </c>
      <c r="N389">
        <f>SUM('19_Расчет_аналитики'!N436:N447)</f>
        <v/>
      </c>
      <c r="O389">
        <f>SUM('19_Расчет_аналитики'!O436:O447)</f>
        <v/>
      </c>
      <c r="P389">
        <f>SUM('19_Расчет_аналитики'!P436:P447)</f>
        <v/>
      </c>
      <c r="Q389">
        <f>SUM('19_Расчет_аналитики'!Q436:Q447)</f>
        <v/>
      </c>
      <c r="R389">
        <f>SUM('19_Расчет_аналитики'!R436:R447)</f>
        <v/>
      </c>
      <c r="S389">
        <f>SUM('19_Расчет_аналитики'!S436:S447)</f>
        <v/>
      </c>
      <c r="T389">
        <f>SUM('19_Расчет_аналитики'!T436:T447)</f>
        <v/>
      </c>
      <c r="U389">
        <f>SUM('19_Расчет_аналитики'!U436:U447)</f>
        <v/>
      </c>
      <c r="V389">
        <f>SUM('19_Расчет_аналитики'!V436:V447)</f>
        <v/>
      </c>
      <c r="W389">
        <f>SUM('19_Расчет_аналитики'!W436:W447)</f>
        <v/>
      </c>
      <c r="X389">
        <f>SUM('19_Расчет_аналитики'!X436:X447)</f>
        <v/>
      </c>
      <c r="Y389">
        <f>SUM('19_Расчет_аналитики'!Y436:Y447)</f>
        <v/>
      </c>
      <c r="Z389">
        <f>SUM('19_Расчет_аналитики'!Z436:Z447)</f>
        <v/>
      </c>
      <c r="AA389">
        <f>SUM('19_Расчет_аналитики'!AA436:AA447)</f>
        <v/>
      </c>
      <c r="AB389">
        <f>SUM('19_Расчет_аналитики'!AB436:AB447)</f>
        <v/>
      </c>
      <c r="AC389">
        <f>SUM('19_Расчет_аналитики'!AC436:AC447)</f>
        <v/>
      </c>
      <c r="AD389">
        <f>SUM('19_Расчет_аналитики'!AD436:AD447)</f>
        <v/>
      </c>
      <c r="AE389">
        <f>SUM('19_Расчет_аналитики'!AE436:AE447)</f>
        <v/>
      </c>
      <c r="AF389">
        <f>SUM('19_Расчет_аналитики'!AF436:AF447)</f>
        <v/>
      </c>
      <c r="AG389">
        <f>SUM('19_Расчет_аналитики'!AG436:AG447)</f>
        <v/>
      </c>
      <c r="AH389">
        <f>SUM('19_Расчет_аналитики'!AH436:AH447)</f>
        <v/>
      </c>
      <c r="AI389">
        <f>SUM('19_Расчет_аналитики'!AI436:AI447)</f>
        <v/>
      </c>
      <c r="AJ389">
        <f>SUM('19_Расчет_аналитики'!AJ436:AJ447)</f>
        <v/>
      </c>
      <c r="AK389">
        <f>SUM('19_Расчет_аналитики'!AK436:AK447)</f>
        <v/>
      </c>
      <c r="AL389">
        <f>SUM('19_Расчет_аналитики'!AL436:AL447)</f>
        <v/>
      </c>
      <c r="AM389">
        <f>SUM('19_Расчет_аналитики'!AM436:AM447)</f>
        <v/>
      </c>
      <c r="AN389">
        <f>SUM('19_Расчет_аналитики'!AN436:AN447)</f>
        <v/>
      </c>
      <c r="AO389">
        <f>SUM('19_Расчет_аналитики'!AO436:AO447)</f>
        <v/>
      </c>
      <c r="AP389">
        <f>SUM('19_Расчет_аналитики'!AP436:AP447)</f>
        <v/>
      </c>
      <c r="AQ389">
        <f>SUM('19_Расчет_аналитики'!AQ436:AQ447)</f>
        <v/>
      </c>
      <c r="AR389">
        <f>SUM('19_Расчет_аналитики'!AR436:AR447)</f>
        <v/>
      </c>
      <c r="AS389">
        <f>SUM('19_Расчет_аналитики'!AS436:AS447)</f>
        <v/>
      </c>
      <c r="AT389">
        <f>SUM('19_Расчет_аналитики'!AT436:AT447)</f>
        <v/>
      </c>
      <c r="AU389">
        <f>SUM('19_Расчет_аналитики'!AU436:AU447)</f>
        <v/>
      </c>
      <c r="AV389">
        <f>SUM('19_Расчет_аналитики'!AV436:AV447)</f>
        <v/>
      </c>
      <c r="AW389">
        <f>SUM('19_Расчет_аналитики'!AW436:AW447)</f>
        <v/>
      </c>
      <c r="AX389">
        <f>SUM('19_Расчет_аналитики'!AX436:AX447)</f>
        <v/>
      </c>
      <c r="AY389">
        <f>SUM('19_Расчет_аналитики'!AY436:AY447)</f>
        <v/>
      </c>
      <c r="AZ389">
        <f>SUM('19_Расчет_аналитики'!AZ436:AZ447)</f>
        <v/>
      </c>
      <c r="BA389">
        <f>SUM('19_Расчет_аналитики'!BA436:BA447)</f>
        <v/>
      </c>
      <c r="BB389">
        <f>SUM('19_Расчет_аналитики'!BB436:BB447)</f>
        <v/>
      </c>
      <c r="BC389">
        <f>SUM('19_Расчет_аналитики'!BC436:BC447)</f>
        <v/>
      </c>
      <c r="BD389">
        <f>SUM('19_Расчет_аналитики'!BD436:BD447)</f>
        <v/>
      </c>
      <c r="BE389">
        <f>SUM('19_Расчет_аналитики'!BE436:BE447)</f>
        <v/>
      </c>
      <c r="BF389">
        <f>SUM('19_Расчет_аналитики'!BF436:BF447)</f>
        <v/>
      </c>
      <c r="BG389">
        <f>SUM('19_Расчет_аналитики'!BG436:BG447)</f>
        <v/>
      </c>
      <c r="BH389">
        <f>SUM('19_Расчет_аналитики'!BH436:BH447)</f>
        <v/>
      </c>
      <c r="BI389">
        <f>SUM('19_Расчет_аналитики'!BI436:BI447)</f>
        <v/>
      </c>
      <c r="BJ389">
        <f>SUM('19_Расчет_аналитики'!BJ436:BJ447)</f>
        <v/>
      </c>
      <c r="BK389">
        <f>SUM('19_Расчет_аналитики'!BK436:BK447)</f>
        <v/>
      </c>
      <c r="BL389">
        <f>SUM('19_Расчет_аналитики'!BL436:BL447)</f>
        <v/>
      </c>
      <c r="BM389">
        <f>SUM('19_Расчет_аналитики'!BM436:BM447)</f>
        <v/>
      </c>
      <c r="BN389">
        <f>SUM('19_Расчет_аналитики'!BN436:BN447)</f>
        <v/>
      </c>
      <c r="BO389">
        <f>SUM('19_Расчет_аналитики'!BO436:BO447)</f>
        <v/>
      </c>
    </row>
    <row r="390"/>
    <row r="391">
      <c r="B391">
        <f>MAX(0,'19_Расчет_аналитики'!B368-'19_Расчет_аналитики'!B389)</f>
        <v/>
      </c>
      <c r="C391">
        <f>MAX(0,'19_Расчет_аналитики'!C368-'19_Расчет_аналитики'!C389)</f>
        <v/>
      </c>
      <c r="D391">
        <f>MAX(0,'19_Расчет_аналитики'!D368-'19_Расчет_аналитики'!D389)</f>
        <v/>
      </c>
      <c r="E391">
        <f>MAX(0,'19_Расчет_аналитики'!E368-'19_Расчет_аналитики'!E389)</f>
        <v/>
      </c>
      <c r="F391">
        <f>MAX(0,'19_Расчет_аналитики'!F368-'19_Расчет_аналитики'!F389)</f>
        <v/>
      </c>
      <c r="G391">
        <f>MAX(0,'19_Расчет_аналитики'!G368-'19_Расчет_аналитики'!G389)</f>
        <v/>
      </c>
      <c r="H391">
        <f>MAX(0,'19_Расчет_аналитики'!H368-'19_Расчет_аналитики'!H389)</f>
        <v/>
      </c>
      <c r="I391">
        <f>MAX(0,'19_Расчет_аналитики'!I368-'19_Расчет_аналитики'!I389)</f>
        <v/>
      </c>
      <c r="J391">
        <f>MAX(0,'19_Расчет_аналитики'!J368-'19_Расчет_аналитики'!J389)</f>
        <v/>
      </c>
      <c r="K391">
        <f>MAX(0,'19_Расчет_аналитики'!K368-'19_Расчет_аналитики'!K389)</f>
        <v/>
      </c>
      <c r="L391">
        <f>MAX(0,'19_Расчет_аналитики'!L368-'19_Расчет_аналитики'!L389)</f>
        <v/>
      </c>
      <c r="M391">
        <f>MAX(0,'19_Расчет_аналитики'!M368-'19_Расчет_аналитики'!M389)</f>
        <v/>
      </c>
      <c r="N391">
        <f>MAX(0,'19_Расчет_аналитики'!N368-'19_Расчет_аналитики'!N389)</f>
        <v/>
      </c>
      <c r="O391">
        <f>MAX(0,'19_Расчет_аналитики'!O368-'19_Расчет_аналитики'!O389)</f>
        <v/>
      </c>
      <c r="P391">
        <f>MAX(0,'19_Расчет_аналитики'!P368-'19_Расчет_аналитики'!P389)</f>
        <v/>
      </c>
      <c r="Q391">
        <f>MAX(0,'19_Расчет_аналитики'!Q368-'19_Расчет_аналитики'!Q389)</f>
        <v/>
      </c>
      <c r="R391">
        <f>MAX(0,'19_Расчет_аналитики'!R368-'19_Расчет_аналитики'!R389)</f>
        <v/>
      </c>
      <c r="S391">
        <f>MAX(0,'19_Расчет_аналитики'!S368-'19_Расчет_аналитики'!S389)</f>
        <v/>
      </c>
      <c r="T391">
        <f>MAX(0,'19_Расчет_аналитики'!T368-'19_Расчет_аналитики'!T389)</f>
        <v/>
      </c>
      <c r="U391">
        <f>MAX(0,'19_Расчет_аналитики'!U368-'19_Расчет_аналитики'!U389)</f>
        <v/>
      </c>
      <c r="V391">
        <f>MAX(0,'19_Расчет_аналитики'!V368-'19_Расчет_аналитики'!V389)</f>
        <v/>
      </c>
      <c r="W391">
        <f>MAX(0,'19_Расчет_аналитики'!W368-'19_Расчет_аналитики'!W389)</f>
        <v/>
      </c>
      <c r="X391">
        <f>MAX(0,'19_Расчет_аналитики'!X368-'19_Расчет_аналитики'!X389)</f>
        <v/>
      </c>
      <c r="Y391">
        <f>MAX(0,'19_Расчет_аналитики'!Y368-'19_Расчет_аналитики'!Y389)</f>
        <v/>
      </c>
      <c r="Z391">
        <f>MAX(0,'19_Расчет_аналитики'!Z368-'19_Расчет_аналитики'!Z389)</f>
        <v/>
      </c>
      <c r="AA391">
        <f>MAX(0,'19_Расчет_аналитики'!AA368-'19_Расчет_аналитики'!AA389)</f>
        <v/>
      </c>
      <c r="AB391">
        <f>MAX(0,'19_Расчет_аналитики'!AB368-'19_Расчет_аналитики'!AB389)</f>
        <v/>
      </c>
      <c r="AC391">
        <f>MAX(0,'19_Расчет_аналитики'!AC368-'19_Расчет_аналитики'!AC389)</f>
        <v/>
      </c>
      <c r="AD391">
        <f>MAX(0,'19_Расчет_аналитики'!AD368-'19_Расчет_аналитики'!AD389)</f>
        <v/>
      </c>
      <c r="AE391">
        <f>MAX(0,'19_Расчет_аналитики'!AE368-'19_Расчет_аналитики'!AE389)</f>
        <v/>
      </c>
      <c r="AF391">
        <f>MAX(0,'19_Расчет_аналитики'!AF368-'19_Расчет_аналитики'!AF389)</f>
        <v/>
      </c>
      <c r="AG391">
        <f>MAX(0,'19_Расчет_аналитики'!AG368-'19_Расчет_аналитики'!AG389)</f>
        <v/>
      </c>
      <c r="AH391">
        <f>MAX(0,'19_Расчет_аналитики'!AH368-'19_Расчет_аналитики'!AH389)</f>
        <v/>
      </c>
      <c r="AI391">
        <f>MAX(0,'19_Расчет_аналитики'!AI368-'19_Расчет_аналитики'!AI389)</f>
        <v/>
      </c>
      <c r="AJ391">
        <f>MAX(0,'19_Расчет_аналитики'!AJ368-'19_Расчет_аналитики'!AJ389)</f>
        <v/>
      </c>
      <c r="AK391">
        <f>MAX(0,'19_Расчет_аналитики'!AK368-'19_Расчет_аналитики'!AK389)</f>
        <v/>
      </c>
      <c r="AL391">
        <f>MAX(0,'19_Расчет_аналитики'!AL368-'19_Расчет_аналитики'!AL389)</f>
        <v/>
      </c>
      <c r="AM391">
        <f>MAX(0,'19_Расчет_аналитики'!AM368-'19_Расчет_аналитики'!AM389)</f>
        <v/>
      </c>
      <c r="AN391">
        <f>MAX(0,'19_Расчет_аналитики'!AN368-'19_Расчет_аналитики'!AN389)</f>
        <v/>
      </c>
      <c r="AO391">
        <f>MAX(0,'19_Расчет_аналитики'!AO368-'19_Расчет_аналитики'!AO389)</f>
        <v/>
      </c>
      <c r="AP391">
        <f>MAX(0,'19_Расчет_аналитики'!AP368-'19_Расчет_аналитики'!AP389)</f>
        <v/>
      </c>
      <c r="AQ391">
        <f>MAX(0,'19_Расчет_аналитики'!AQ368-'19_Расчет_аналитики'!AQ389)</f>
        <v/>
      </c>
      <c r="AR391">
        <f>MAX(0,'19_Расчет_аналитики'!AR368-'19_Расчет_аналитики'!AR389)</f>
        <v/>
      </c>
      <c r="AS391">
        <f>MAX(0,'19_Расчет_аналитики'!AS368-'19_Расчет_аналитики'!AS389)</f>
        <v/>
      </c>
      <c r="AT391">
        <f>MAX(0,'19_Расчет_аналитики'!AT368-'19_Расчет_аналитики'!AT389)</f>
        <v/>
      </c>
      <c r="AU391">
        <f>MAX(0,'19_Расчет_аналитики'!AU368-'19_Расчет_аналитики'!AU389)</f>
        <v/>
      </c>
      <c r="AV391">
        <f>MAX(0,'19_Расчет_аналитики'!AV368-'19_Расчет_аналитики'!AV389)</f>
        <v/>
      </c>
      <c r="AW391">
        <f>MAX(0,'19_Расчет_аналитики'!AW368-'19_Расчет_аналитики'!AW389)</f>
        <v/>
      </c>
      <c r="AX391">
        <f>MAX(0,'19_Расчет_аналитики'!AX368-'19_Расчет_аналитики'!AX389)</f>
        <v/>
      </c>
      <c r="AY391">
        <f>MAX(0,'19_Расчет_аналитики'!AY368-'19_Расчет_аналитики'!AY389)</f>
        <v/>
      </c>
      <c r="AZ391">
        <f>MAX(0,'19_Расчет_аналитики'!AZ368-'19_Расчет_аналитики'!AZ389)</f>
        <v/>
      </c>
      <c r="BA391">
        <f>MAX(0,'19_Расчет_аналитики'!BA368-'19_Расчет_аналитики'!BA389)</f>
        <v/>
      </c>
      <c r="BB391">
        <f>MAX(0,'19_Расчет_аналитики'!BB368-'19_Расчет_аналитики'!BB389)</f>
        <v/>
      </c>
      <c r="BC391">
        <f>MAX(0,'19_Расчет_аналитики'!BC368-'19_Расчет_аналитики'!BC389)</f>
        <v/>
      </c>
      <c r="BD391">
        <f>MAX(0,'19_Расчет_аналитики'!BD368-'19_Расчет_аналитики'!BD389)</f>
        <v/>
      </c>
      <c r="BE391">
        <f>MAX(0,'19_Расчет_аналитики'!BE368-'19_Расчет_аналитики'!BE389)</f>
        <v/>
      </c>
      <c r="BF391">
        <f>MAX(0,'19_Расчет_аналитики'!BF368-'19_Расчет_аналитики'!BF389)</f>
        <v/>
      </c>
      <c r="BG391">
        <f>MAX(0,'19_Расчет_аналитики'!BG368-'19_Расчет_аналитики'!BG389)</f>
        <v/>
      </c>
      <c r="BH391">
        <f>MAX(0,'19_Расчет_аналитики'!BH368-'19_Расчет_аналитики'!BH389)</f>
        <v/>
      </c>
      <c r="BI391">
        <f>MAX(0,'19_Расчет_аналитики'!BI368-'19_Расчет_аналитики'!BI389)</f>
        <v/>
      </c>
      <c r="BJ391">
        <f>MAX(0,'19_Расчет_аналитики'!BJ368-'19_Расчет_аналитики'!BJ389)</f>
        <v/>
      </c>
      <c r="BK391">
        <f>MAX(0,'19_Расчет_аналитики'!BK368-'19_Расчет_аналитики'!BK389)</f>
        <v/>
      </c>
      <c r="BL391">
        <f>MAX(0,'19_Расчет_аналитики'!BL368-'19_Расчет_аналитики'!BL389)</f>
        <v/>
      </c>
      <c r="BM391">
        <f>MAX(0,'19_Расчет_аналитики'!BM368-'19_Расчет_аналитики'!BM389)</f>
        <v/>
      </c>
      <c r="BN391">
        <f>MAX(0,'19_Расчет_аналитики'!BN368-'19_Расчет_аналитики'!BN389)</f>
        <v/>
      </c>
      <c r="BO391">
        <f>MAX(0,'19_Расчет_аналитики'!BO368-'19_Расчет_аналитики'!BO389)</f>
        <v/>
      </c>
    </row>
    <row r="392"/>
    <row r="393"/>
    <row r="394"/>
    <row r="395"/>
    <row r="396"/>
    <row r="397"/>
    <row r="398">
      <c r="B398">
        <f>IF(1&lt;='01_Вводные'!$B$235,0,INDEX('19_Расчет_аналитики'!$B$363:$BO$363,1,1-'01_Вводные'!$B$235)*'01_Вводные'!$B$14^'01_Вводные'!$B$235)</f>
        <v/>
      </c>
      <c r="C398">
        <f>IF(2&lt;='01_Вводные'!$B$235,0,INDEX('19_Расчет_аналитики'!$B$363:$BO$363,1,2-'01_Вводные'!$B$235)*'01_Вводные'!$B$14^'01_Вводные'!$B$235)</f>
        <v/>
      </c>
      <c r="D398">
        <f>IF(3&lt;='01_Вводные'!$B$235,0,INDEX('19_Расчет_аналитики'!$B$363:$BO$363,1,3-'01_Вводные'!$B$235)*'01_Вводные'!$B$14^'01_Вводные'!$B$235)</f>
        <v/>
      </c>
      <c r="E398">
        <f>IF(4&lt;='01_Вводные'!$B$235,0,INDEX('19_Расчет_аналитики'!$B$363:$BO$363,1,4-'01_Вводные'!$B$235)*'01_Вводные'!$B$14^'01_Вводные'!$B$235)</f>
        <v/>
      </c>
      <c r="F398">
        <f>IF(5&lt;='01_Вводные'!$B$235,0,INDEX('19_Расчет_аналитики'!$B$363:$BO$363,1,5-'01_Вводные'!$B$235)*'01_Вводные'!$B$14^'01_Вводные'!$B$235)</f>
        <v/>
      </c>
      <c r="G398">
        <f>IF(6&lt;='01_Вводные'!$B$235,0,INDEX('19_Расчет_аналитики'!$B$363:$BO$363,1,6-'01_Вводные'!$B$235)*'01_Вводные'!$B$14^'01_Вводные'!$B$235)</f>
        <v/>
      </c>
      <c r="H398">
        <f>IF(7&lt;='01_Вводные'!$B$235,0,INDEX('19_Расчет_аналитики'!$B$363:$BO$363,1,7-'01_Вводные'!$B$235)*'01_Вводные'!$B$14^'01_Вводные'!$B$235)</f>
        <v/>
      </c>
      <c r="I398">
        <f>IF(8&lt;='01_Вводные'!$B$235,0,INDEX('19_Расчет_аналитики'!$B$363:$BO$363,1,8-'01_Вводные'!$B$235)*'01_Вводные'!$B$14^'01_Вводные'!$B$235)</f>
        <v/>
      </c>
      <c r="J398">
        <f>IF(9&lt;='01_Вводные'!$B$235,0,INDEX('19_Расчет_аналитики'!$B$363:$BO$363,1,9-'01_Вводные'!$B$235)*'01_Вводные'!$B$14^'01_Вводные'!$B$235)</f>
        <v/>
      </c>
      <c r="K398">
        <f>IF(10&lt;='01_Вводные'!$B$235,0,INDEX('19_Расчет_аналитики'!$B$363:$BO$363,1,10-'01_Вводные'!$B$235)*'01_Вводные'!$B$14^'01_Вводные'!$B$235)</f>
        <v/>
      </c>
      <c r="L398">
        <f>IF(11&lt;='01_Вводные'!$B$235,0,INDEX('19_Расчет_аналитики'!$B$363:$BO$363,1,11-'01_Вводные'!$B$235)*'01_Вводные'!$B$14^'01_Вводные'!$B$235)</f>
        <v/>
      </c>
      <c r="M398">
        <f>IF(12&lt;='01_Вводные'!$B$235,0,INDEX('19_Расчет_аналитики'!$B$363:$BO$363,1,12-'01_Вводные'!$B$235)*'01_Вводные'!$B$14^'01_Вводные'!$B$235)</f>
        <v/>
      </c>
      <c r="N398">
        <f>IF(13&lt;='01_Вводные'!$B$235,0,INDEX('19_Расчет_аналитики'!$B$363:$BO$363,1,13-'01_Вводные'!$B$235)*'01_Вводные'!$B$14^'01_Вводные'!$B$235)</f>
        <v/>
      </c>
      <c r="O398">
        <f>IF(14&lt;='01_Вводные'!$B$235,0,INDEX('19_Расчет_аналитики'!$B$363:$BO$363,1,14-'01_Вводные'!$B$235)*'01_Вводные'!$B$14^'01_Вводные'!$B$235)</f>
        <v/>
      </c>
      <c r="P398">
        <f>IF(15&lt;='01_Вводные'!$B$235,0,INDEX('19_Расчет_аналитики'!$B$363:$BO$363,1,15-'01_Вводные'!$B$235)*'01_Вводные'!$B$14^'01_Вводные'!$B$235)</f>
        <v/>
      </c>
      <c r="Q398">
        <f>IF(16&lt;='01_Вводные'!$B$235,0,INDEX('19_Расчет_аналитики'!$B$363:$BO$363,1,16-'01_Вводные'!$B$235)*'01_Вводные'!$B$14^'01_Вводные'!$B$235)</f>
        <v/>
      </c>
      <c r="R398">
        <f>IF(17&lt;='01_Вводные'!$B$235,0,INDEX('19_Расчет_аналитики'!$B$363:$BO$363,1,17-'01_Вводные'!$B$235)*'01_Вводные'!$B$14^'01_Вводные'!$B$235)</f>
        <v/>
      </c>
      <c r="S398">
        <f>IF(18&lt;='01_Вводные'!$B$235,0,INDEX('19_Расчет_аналитики'!$B$363:$BO$363,1,18-'01_Вводные'!$B$235)*'01_Вводные'!$B$14^'01_Вводные'!$B$235)</f>
        <v/>
      </c>
      <c r="T398">
        <f>IF(19&lt;='01_Вводные'!$B$235,0,INDEX('19_Расчет_аналитики'!$B$363:$BO$363,1,19-'01_Вводные'!$B$235)*'01_Вводные'!$B$14^'01_Вводные'!$B$235)</f>
        <v/>
      </c>
      <c r="U398">
        <f>IF(20&lt;='01_Вводные'!$B$235,0,INDEX('19_Расчет_аналитики'!$B$363:$BO$363,1,20-'01_Вводные'!$B$235)*'01_Вводные'!$B$14^'01_Вводные'!$B$235)</f>
        <v/>
      </c>
      <c r="V398">
        <f>IF(21&lt;='01_Вводные'!$B$235,0,INDEX('19_Расчет_аналитики'!$B$363:$BO$363,1,21-'01_Вводные'!$B$235)*'01_Вводные'!$B$14^'01_Вводные'!$B$235)</f>
        <v/>
      </c>
      <c r="W398">
        <f>IF(22&lt;='01_Вводные'!$B$235,0,INDEX('19_Расчет_аналитики'!$B$363:$BO$363,1,22-'01_Вводные'!$B$235)*'01_Вводные'!$B$14^'01_Вводные'!$B$235)</f>
        <v/>
      </c>
      <c r="X398">
        <f>IF(23&lt;='01_Вводные'!$B$235,0,INDEX('19_Расчет_аналитики'!$B$363:$BO$363,1,23-'01_Вводные'!$B$235)*'01_Вводные'!$B$14^'01_Вводные'!$B$235)</f>
        <v/>
      </c>
      <c r="Y398">
        <f>IF(24&lt;='01_Вводные'!$B$235,0,INDEX('19_Расчет_аналитики'!$B$363:$BO$363,1,24-'01_Вводные'!$B$235)*'01_Вводные'!$B$14^'01_Вводные'!$B$235)</f>
        <v/>
      </c>
      <c r="Z398">
        <f>IF(25&lt;='01_Вводные'!$B$235,0,INDEX('19_Расчет_аналитики'!$B$363:$BO$363,1,25-'01_Вводные'!$B$235)*'01_Вводные'!$B$14^'01_Вводные'!$B$235)</f>
        <v/>
      </c>
      <c r="AA398">
        <f>IF(26&lt;='01_Вводные'!$B$235,0,INDEX('19_Расчет_аналитики'!$B$363:$BO$363,1,26-'01_Вводные'!$B$235)*'01_Вводные'!$B$14^'01_Вводные'!$B$235)</f>
        <v/>
      </c>
      <c r="AB398">
        <f>IF(27&lt;='01_Вводные'!$B$235,0,INDEX('19_Расчет_аналитики'!$B$363:$BO$363,1,27-'01_Вводные'!$B$235)*'01_Вводные'!$B$14^'01_Вводные'!$B$235)</f>
        <v/>
      </c>
      <c r="AC398">
        <f>IF(28&lt;='01_Вводные'!$B$235,0,INDEX('19_Расчет_аналитики'!$B$363:$BO$363,1,28-'01_Вводные'!$B$235)*'01_Вводные'!$B$14^'01_Вводные'!$B$235)</f>
        <v/>
      </c>
      <c r="AD398">
        <f>IF(29&lt;='01_Вводные'!$B$235,0,INDEX('19_Расчет_аналитики'!$B$363:$BO$363,1,29-'01_Вводные'!$B$235)*'01_Вводные'!$B$14^'01_Вводные'!$B$235)</f>
        <v/>
      </c>
      <c r="AE398">
        <f>IF(30&lt;='01_Вводные'!$B$235,0,INDEX('19_Расчет_аналитики'!$B$363:$BO$363,1,30-'01_Вводные'!$B$235)*'01_Вводные'!$B$14^'01_Вводные'!$B$235)</f>
        <v/>
      </c>
      <c r="AF398">
        <f>IF(31&lt;='01_Вводные'!$B$235,0,INDEX('19_Расчет_аналитики'!$B$363:$BO$363,1,31-'01_Вводные'!$B$235)*'01_Вводные'!$B$14^'01_Вводные'!$B$235)</f>
        <v/>
      </c>
      <c r="AG398">
        <f>IF(32&lt;='01_Вводные'!$B$235,0,INDEX('19_Расчет_аналитики'!$B$363:$BO$363,1,32-'01_Вводные'!$B$235)*'01_Вводные'!$B$14^'01_Вводные'!$B$235)</f>
        <v/>
      </c>
      <c r="AH398">
        <f>IF(33&lt;='01_Вводные'!$B$235,0,INDEX('19_Расчет_аналитики'!$B$363:$BO$363,1,33-'01_Вводные'!$B$235)*'01_Вводные'!$B$14^'01_Вводные'!$B$235)</f>
        <v/>
      </c>
      <c r="AI398">
        <f>IF(34&lt;='01_Вводные'!$B$235,0,INDEX('19_Расчет_аналитики'!$B$363:$BO$363,1,34-'01_Вводные'!$B$235)*'01_Вводные'!$B$14^'01_Вводные'!$B$235)</f>
        <v/>
      </c>
      <c r="AJ398">
        <f>IF(35&lt;='01_Вводные'!$B$235,0,INDEX('19_Расчет_аналитики'!$B$363:$BO$363,1,35-'01_Вводные'!$B$235)*'01_Вводные'!$B$14^'01_Вводные'!$B$235)</f>
        <v/>
      </c>
      <c r="AK398">
        <f>IF(36&lt;='01_Вводные'!$B$235,0,INDEX('19_Расчет_аналитики'!$B$363:$BO$363,1,36-'01_Вводные'!$B$235)*'01_Вводные'!$B$14^'01_Вводные'!$B$235)</f>
        <v/>
      </c>
      <c r="AL398">
        <f>IF(37&lt;='01_Вводные'!$B$235,0,INDEX('19_Расчет_аналитики'!$B$363:$BO$363,1,37-'01_Вводные'!$B$235)*'01_Вводные'!$B$14^'01_Вводные'!$B$235)</f>
        <v/>
      </c>
      <c r="AM398">
        <f>IF(38&lt;='01_Вводные'!$B$235,0,INDEX('19_Расчет_аналитики'!$B$363:$BO$363,1,38-'01_Вводные'!$B$235)*'01_Вводные'!$B$14^'01_Вводные'!$B$235)</f>
        <v/>
      </c>
      <c r="AN398">
        <f>IF(39&lt;='01_Вводные'!$B$235,0,INDEX('19_Расчет_аналитики'!$B$363:$BO$363,1,39-'01_Вводные'!$B$235)*'01_Вводные'!$B$14^'01_Вводные'!$B$235)</f>
        <v/>
      </c>
      <c r="AO398">
        <f>IF(40&lt;='01_Вводные'!$B$235,0,INDEX('19_Расчет_аналитики'!$B$363:$BO$363,1,40-'01_Вводные'!$B$235)*'01_Вводные'!$B$14^'01_Вводные'!$B$235)</f>
        <v/>
      </c>
      <c r="AP398">
        <f>IF(41&lt;='01_Вводные'!$B$235,0,INDEX('19_Расчет_аналитики'!$B$363:$BO$363,1,41-'01_Вводные'!$B$235)*'01_Вводные'!$B$14^'01_Вводные'!$B$235)</f>
        <v/>
      </c>
      <c r="AQ398">
        <f>IF(42&lt;='01_Вводные'!$B$235,0,INDEX('19_Расчет_аналитики'!$B$363:$BO$363,1,42-'01_Вводные'!$B$235)*'01_Вводные'!$B$14^'01_Вводные'!$B$235)</f>
        <v/>
      </c>
      <c r="AR398">
        <f>IF(43&lt;='01_Вводные'!$B$235,0,INDEX('19_Расчет_аналитики'!$B$363:$BO$363,1,43-'01_Вводные'!$B$235)*'01_Вводные'!$B$14^'01_Вводные'!$B$235)</f>
        <v/>
      </c>
      <c r="AS398">
        <f>IF(44&lt;='01_Вводные'!$B$235,0,INDEX('19_Расчет_аналитики'!$B$363:$BO$363,1,44-'01_Вводные'!$B$235)*'01_Вводные'!$B$14^'01_Вводные'!$B$235)</f>
        <v/>
      </c>
      <c r="AT398">
        <f>IF(45&lt;='01_Вводные'!$B$235,0,INDEX('19_Расчет_аналитики'!$B$363:$BO$363,1,45-'01_Вводные'!$B$235)*'01_Вводные'!$B$14^'01_Вводные'!$B$235)</f>
        <v/>
      </c>
      <c r="AU398">
        <f>IF(46&lt;='01_Вводные'!$B$235,0,INDEX('19_Расчет_аналитики'!$B$363:$BO$363,1,46-'01_Вводные'!$B$235)*'01_Вводные'!$B$14^'01_Вводные'!$B$235)</f>
        <v/>
      </c>
      <c r="AV398">
        <f>IF(47&lt;='01_Вводные'!$B$235,0,INDEX('19_Расчет_аналитики'!$B$363:$BO$363,1,47-'01_Вводные'!$B$235)*'01_Вводные'!$B$14^'01_Вводные'!$B$235)</f>
        <v/>
      </c>
      <c r="AW398">
        <f>IF(48&lt;='01_Вводные'!$B$235,0,INDEX('19_Расчет_аналитики'!$B$363:$BO$363,1,48-'01_Вводные'!$B$235)*'01_Вводные'!$B$14^'01_Вводные'!$B$235)</f>
        <v/>
      </c>
      <c r="AX398">
        <f>IF(49&lt;='01_Вводные'!$B$235,0,INDEX('19_Расчет_аналитики'!$B$363:$BO$363,1,49-'01_Вводные'!$B$235)*'01_Вводные'!$B$14^'01_Вводные'!$B$235)</f>
        <v/>
      </c>
      <c r="AY398">
        <f>IF(50&lt;='01_Вводные'!$B$235,0,INDEX('19_Расчет_аналитики'!$B$363:$BO$363,1,50-'01_Вводные'!$B$235)*'01_Вводные'!$B$14^'01_Вводные'!$B$235)</f>
        <v/>
      </c>
      <c r="AZ398">
        <f>IF(51&lt;='01_Вводные'!$B$235,0,INDEX('19_Расчет_аналитики'!$B$363:$BO$363,1,51-'01_Вводные'!$B$235)*'01_Вводные'!$B$14^'01_Вводные'!$B$235)</f>
        <v/>
      </c>
      <c r="BA398">
        <f>IF(52&lt;='01_Вводные'!$B$235,0,INDEX('19_Расчет_аналитики'!$B$363:$BO$363,1,52-'01_Вводные'!$B$235)*'01_Вводные'!$B$14^'01_Вводные'!$B$235)</f>
        <v/>
      </c>
      <c r="BB398">
        <f>IF(53&lt;='01_Вводные'!$B$235,0,INDEX('19_Расчет_аналитики'!$B$363:$BO$363,1,53-'01_Вводные'!$B$235)*'01_Вводные'!$B$14^'01_Вводные'!$B$235)</f>
        <v/>
      </c>
      <c r="BC398">
        <f>IF(54&lt;='01_Вводные'!$B$235,0,INDEX('19_Расчет_аналитики'!$B$363:$BO$363,1,54-'01_Вводные'!$B$235)*'01_Вводные'!$B$14^'01_Вводные'!$B$235)</f>
        <v/>
      </c>
      <c r="BD398">
        <f>IF(55&lt;='01_Вводные'!$B$235,0,INDEX('19_Расчет_аналитики'!$B$363:$BO$363,1,55-'01_Вводные'!$B$235)*'01_Вводные'!$B$14^'01_Вводные'!$B$235)</f>
        <v/>
      </c>
      <c r="BE398">
        <f>IF(56&lt;='01_Вводные'!$B$235,0,INDEX('19_Расчет_аналитики'!$B$363:$BO$363,1,56-'01_Вводные'!$B$235)*'01_Вводные'!$B$14^'01_Вводные'!$B$235)</f>
        <v/>
      </c>
      <c r="BF398">
        <f>IF(57&lt;='01_Вводные'!$B$235,0,INDEX('19_Расчет_аналитики'!$B$363:$BO$363,1,57-'01_Вводные'!$B$235)*'01_Вводные'!$B$14^'01_Вводные'!$B$235)</f>
        <v/>
      </c>
      <c r="BG398">
        <f>IF(58&lt;='01_Вводные'!$B$235,0,INDEX('19_Расчет_аналитики'!$B$363:$BO$363,1,58-'01_Вводные'!$B$235)*'01_Вводные'!$B$14^'01_Вводные'!$B$235)</f>
        <v/>
      </c>
      <c r="BH398">
        <f>IF(59&lt;='01_Вводные'!$B$235,0,INDEX('19_Расчет_аналитики'!$B$363:$BO$363,1,59-'01_Вводные'!$B$235)*'01_Вводные'!$B$14^'01_Вводные'!$B$235)</f>
        <v/>
      </c>
      <c r="BI398">
        <f>IF(60&lt;='01_Вводные'!$B$235,0,INDEX('19_Расчет_аналитики'!$B$363:$BO$363,1,60-'01_Вводные'!$B$235)*'01_Вводные'!$B$14^'01_Вводные'!$B$235)</f>
        <v/>
      </c>
      <c r="BJ398">
        <f>IF(61&lt;='01_Вводные'!$B$235,0,INDEX('19_Расчет_аналитики'!$B$363:$BO$363,1,61-'01_Вводные'!$B$235)*'01_Вводные'!$B$14^'01_Вводные'!$B$235)</f>
        <v/>
      </c>
      <c r="BK398">
        <f>IF(62&lt;='01_Вводные'!$B$235,0,INDEX('19_Расчет_аналитики'!$B$363:$BO$363,1,62-'01_Вводные'!$B$235)*'01_Вводные'!$B$14^'01_Вводные'!$B$235)</f>
        <v/>
      </c>
      <c r="BL398">
        <f>IF(63&lt;='01_Вводные'!$B$235,0,INDEX('19_Расчет_аналитики'!$B$363:$BO$363,1,63-'01_Вводные'!$B$235)*'01_Вводные'!$B$14^'01_Вводные'!$B$235)</f>
        <v/>
      </c>
      <c r="BM398">
        <f>IF(64&lt;='01_Вводные'!$B$235,0,INDEX('19_Расчет_аналитики'!$B$363:$BO$363,1,64-'01_Вводные'!$B$235)*'01_Вводные'!$B$14^'01_Вводные'!$B$235)</f>
        <v/>
      </c>
      <c r="BN398">
        <f>IF(65&lt;='01_Вводные'!$B$235,0,INDEX('19_Расчет_аналитики'!$B$363:$BO$363,1,65-'01_Вводные'!$B$235)*'01_Вводные'!$B$14^'01_Вводные'!$B$235)</f>
        <v/>
      </c>
      <c r="BO398">
        <f>IF(66&lt;='01_Вводные'!$B$235,0,INDEX('19_Расчет_аналитики'!$B$363:$BO$363,1,66-'01_Вводные'!$B$235)*'01_Вводные'!$B$14^'01_Вводные'!$B$235)</f>
        <v/>
      </c>
    </row>
    <row r="399">
      <c r="B399">
        <f>'19_Расчет_аналитики'!B398</f>
        <v/>
      </c>
      <c r="C399">
        <f>'19_Расчет_аналитики'!B399*'01_Вводные'!$B$14+'19_Расчет_аналитики'!C398</f>
        <v/>
      </c>
      <c r="D399">
        <f>'19_Расчет_аналитики'!C399*'01_Вводные'!$B$14+'19_Расчет_аналитики'!D398</f>
        <v/>
      </c>
      <c r="E399">
        <f>'19_Расчет_аналитики'!D399*'01_Вводные'!$B$14+'19_Расчет_аналитики'!E398</f>
        <v/>
      </c>
      <c r="F399">
        <f>'19_Расчет_аналитики'!E399*'01_Вводные'!$B$14+'19_Расчет_аналитики'!F398</f>
        <v/>
      </c>
      <c r="G399">
        <f>'19_Расчет_аналитики'!F399*'01_Вводные'!$B$14+'19_Расчет_аналитики'!G398</f>
        <v/>
      </c>
      <c r="H399">
        <f>'19_Расчет_аналитики'!G399*'01_Вводные'!$B$14+'19_Расчет_аналитики'!H398</f>
        <v/>
      </c>
      <c r="I399">
        <f>'19_Расчет_аналитики'!H399*'01_Вводные'!$B$14+'19_Расчет_аналитики'!I398</f>
        <v/>
      </c>
      <c r="J399">
        <f>'19_Расчет_аналитики'!I399*'01_Вводные'!$B$14+'19_Расчет_аналитики'!J398</f>
        <v/>
      </c>
      <c r="K399">
        <f>'19_Расчет_аналитики'!J399*'01_Вводные'!$B$14+'19_Расчет_аналитики'!K398</f>
        <v/>
      </c>
      <c r="L399">
        <f>'19_Расчет_аналитики'!K399*'01_Вводные'!$B$14+'19_Расчет_аналитики'!L398</f>
        <v/>
      </c>
      <c r="M399">
        <f>'19_Расчет_аналитики'!L399*'01_Вводные'!$B$14+'19_Расчет_аналитики'!M398</f>
        <v/>
      </c>
      <c r="N399">
        <f>'19_Расчет_аналитики'!M399*'01_Вводные'!$B$14+'19_Расчет_аналитики'!N398</f>
        <v/>
      </c>
      <c r="O399">
        <f>'19_Расчет_аналитики'!N399*'01_Вводные'!$B$14+'19_Расчет_аналитики'!O398</f>
        <v/>
      </c>
      <c r="P399">
        <f>'19_Расчет_аналитики'!O399*'01_Вводные'!$B$14+'19_Расчет_аналитики'!P398</f>
        <v/>
      </c>
      <c r="Q399">
        <f>'19_Расчет_аналитики'!P399*'01_Вводные'!$B$14+'19_Расчет_аналитики'!Q398</f>
        <v/>
      </c>
      <c r="R399">
        <f>'19_Расчет_аналитики'!Q399*'01_Вводные'!$B$14+'19_Расчет_аналитики'!R398</f>
        <v/>
      </c>
      <c r="S399">
        <f>'19_Расчет_аналитики'!R399*'01_Вводные'!$B$14+'19_Расчет_аналитики'!S398</f>
        <v/>
      </c>
      <c r="T399">
        <f>'19_Расчет_аналитики'!S399*'01_Вводные'!$B$14+'19_Расчет_аналитики'!T398</f>
        <v/>
      </c>
      <c r="U399">
        <f>'19_Расчет_аналитики'!T399*'01_Вводные'!$B$14+'19_Расчет_аналитики'!U398</f>
        <v/>
      </c>
      <c r="V399">
        <f>'19_Расчет_аналитики'!U399*'01_Вводные'!$B$14+'19_Расчет_аналитики'!V398</f>
        <v/>
      </c>
      <c r="W399">
        <f>'19_Расчет_аналитики'!V399*'01_Вводные'!$B$14+'19_Расчет_аналитики'!W398</f>
        <v/>
      </c>
      <c r="X399">
        <f>'19_Расчет_аналитики'!W399*'01_Вводные'!$B$14+'19_Расчет_аналитики'!X398</f>
        <v/>
      </c>
      <c r="Y399">
        <f>'19_Расчет_аналитики'!X399*'01_Вводные'!$B$14+'19_Расчет_аналитики'!Y398</f>
        <v/>
      </c>
      <c r="Z399">
        <f>'19_Расчет_аналитики'!Y399*'01_Вводные'!$B$14+'19_Расчет_аналитики'!Z398</f>
        <v/>
      </c>
      <c r="AA399">
        <f>'19_Расчет_аналитики'!Z399*'01_Вводные'!$B$14+'19_Расчет_аналитики'!AA398</f>
        <v/>
      </c>
      <c r="AB399">
        <f>'19_Расчет_аналитики'!AA399*'01_Вводные'!$B$14+'19_Расчет_аналитики'!AB398</f>
        <v/>
      </c>
      <c r="AC399">
        <f>'19_Расчет_аналитики'!AB399*'01_Вводные'!$B$14+'19_Расчет_аналитики'!AC398</f>
        <v/>
      </c>
      <c r="AD399">
        <f>'19_Расчет_аналитики'!AC399*'01_Вводные'!$B$14+'19_Расчет_аналитики'!AD398</f>
        <v/>
      </c>
      <c r="AE399">
        <f>'19_Расчет_аналитики'!AD399*'01_Вводные'!$B$14+'19_Расчет_аналитики'!AE398</f>
        <v/>
      </c>
      <c r="AF399">
        <f>'19_Расчет_аналитики'!AE399*'01_Вводные'!$B$14+'19_Расчет_аналитики'!AF398</f>
        <v/>
      </c>
      <c r="AG399">
        <f>'19_Расчет_аналитики'!AF399*'01_Вводные'!$B$14+'19_Расчет_аналитики'!AG398</f>
        <v/>
      </c>
      <c r="AH399">
        <f>'19_Расчет_аналитики'!AG399*'01_Вводные'!$B$14+'19_Расчет_аналитики'!AH398</f>
        <v/>
      </c>
      <c r="AI399">
        <f>'19_Расчет_аналитики'!AH399*'01_Вводные'!$B$14+'19_Расчет_аналитики'!AI398</f>
        <v/>
      </c>
      <c r="AJ399">
        <f>'19_Расчет_аналитики'!AI399*'01_Вводные'!$B$14+'19_Расчет_аналитики'!AJ398</f>
        <v/>
      </c>
      <c r="AK399">
        <f>'19_Расчет_аналитики'!AJ399*'01_Вводные'!$B$14+'19_Расчет_аналитики'!AK398</f>
        <v/>
      </c>
      <c r="AL399">
        <f>'19_Расчет_аналитики'!AK399*'01_Вводные'!$B$14+'19_Расчет_аналитики'!AL398</f>
        <v/>
      </c>
      <c r="AM399">
        <f>'19_Расчет_аналитики'!AL399*'01_Вводные'!$B$14+'19_Расчет_аналитики'!AM398</f>
        <v/>
      </c>
      <c r="AN399">
        <f>'19_Расчет_аналитики'!AM399*'01_Вводные'!$B$14+'19_Расчет_аналитики'!AN398</f>
        <v/>
      </c>
      <c r="AO399">
        <f>'19_Расчет_аналитики'!AN399*'01_Вводные'!$B$14+'19_Расчет_аналитики'!AO398</f>
        <v/>
      </c>
      <c r="AP399">
        <f>'19_Расчет_аналитики'!AO399*'01_Вводные'!$B$14+'19_Расчет_аналитики'!AP398</f>
        <v/>
      </c>
      <c r="AQ399">
        <f>'19_Расчет_аналитики'!AP399*'01_Вводные'!$B$14+'19_Расчет_аналитики'!AQ398</f>
        <v/>
      </c>
      <c r="AR399">
        <f>'19_Расчет_аналитики'!AQ399*'01_Вводные'!$B$14+'19_Расчет_аналитики'!AR398</f>
        <v/>
      </c>
      <c r="AS399">
        <f>'19_Расчет_аналитики'!AR399*'01_Вводные'!$B$14+'19_Расчет_аналитики'!AS398</f>
        <v/>
      </c>
      <c r="AT399">
        <f>'19_Расчет_аналитики'!AS399*'01_Вводные'!$B$14+'19_Расчет_аналитики'!AT398</f>
        <v/>
      </c>
      <c r="AU399">
        <f>'19_Расчет_аналитики'!AT399*'01_Вводные'!$B$14+'19_Расчет_аналитики'!AU398</f>
        <v/>
      </c>
      <c r="AV399">
        <f>'19_Расчет_аналитики'!AU399*'01_Вводные'!$B$14+'19_Расчет_аналитики'!AV398</f>
        <v/>
      </c>
      <c r="AW399">
        <f>'19_Расчет_аналитики'!AV399*'01_Вводные'!$B$14+'19_Расчет_аналитики'!AW398</f>
        <v/>
      </c>
      <c r="AX399">
        <f>'19_Расчет_аналитики'!AW399*'01_Вводные'!$B$14+'19_Расчет_аналитики'!AX398</f>
        <v/>
      </c>
      <c r="AY399">
        <f>'19_Расчет_аналитики'!AX399*'01_Вводные'!$B$14+'19_Расчет_аналитики'!AY398</f>
        <v/>
      </c>
      <c r="AZ399">
        <f>'19_Расчет_аналитики'!AY399*'01_Вводные'!$B$14+'19_Расчет_аналитики'!AZ398</f>
        <v/>
      </c>
      <c r="BA399">
        <f>'19_Расчет_аналитики'!AZ399*'01_Вводные'!$B$14+'19_Расчет_аналитики'!BA398</f>
        <v/>
      </c>
      <c r="BB399">
        <f>'19_Расчет_аналитики'!BA399*'01_Вводные'!$B$14+'19_Расчет_аналитики'!BB398</f>
        <v/>
      </c>
      <c r="BC399">
        <f>'19_Расчет_аналитики'!BB399*'01_Вводные'!$B$14+'19_Расчет_аналитики'!BC398</f>
        <v/>
      </c>
      <c r="BD399">
        <f>'19_Расчет_аналитики'!BC399*'01_Вводные'!$B$14+'19_Расчет_аналитики'!BD398</f>
        <v/>
      </c>
      <c r="BE399">
        <f>'19_Расчет_аналитики'!BD399*'01_Вводные'!$B$14+'19_Расчет_аналитики'!BE398</f>
        <v/>
      </c>
      <c r="BF399">
        <f>'19_Расчет_аналитики'!BE399*'01_Вводные'!$B$14+'19_Расчет_аналитики'!BF398</f>
        <v/>
      </c>
      <c r="BG399">
        <f>'19_Расчет_аналитики'!BF399*'01_Вводные'!$B$14+'19_Расчет_аналитики'!BG398</f>
        <v/>
      </c>
      <c r="BH399">
        <f>'19_Расчет_аналитики'!BG399*'01_Вводные'!$B$14+'19_Расчет_аналитики'!BH398</f>
        <v/>
      </c>
      <c r="BI399">
        <f>'19_Расчет_аналитики'!BH399*'01_Вводные'!$B$14+'19_Расчет_аналитики'!BI398</f>
        <v/>
      </c>
      <c r="BJ399">
        <f>'19_Расчет_аналитики'!BI399*'01_Вводные'!$B$14+'19_Расчет_аналитики'!BJ398</f>
        <v/>
      </c>
      <c r="BK399">
        <f>'19_Расчет_аналитики'!BJ399*'01_Вводные'!$B$14+'19_Расчет_аналитики'!BK398</f>
        <v/>
      </c>
      <c r="BL399">
        <f>'19_Расчет_аналитики'!BK399*'01_Вводные'!$B$14+'19_Расчет_аналитики'!BL398</f>
        <v/>
      </c>
      <c r="BM399">
        <f>'19_Расчет_аналитики'!BL399*'01_Вводные'!$B$14+'19_Расчет_аналитики'!BM398</f>
        <v/>
      </c>
      <c r="BN399">
        <f>'19_Расчет_аналитики'!BM399*'01_Вводные'!$B$14+'19_Расчет_аналитики'!BN398</f>
        <v/>
      </c>
      <c r="BO399">
        <f>'19_Расчет_аналитики'!BN399*'01_Вводные'!$B$14+'19_Расчет_аналитики'!BO398</f>
        <v/>
      </c>
    </row>
    <row r="400"/>
    <row r="401"/>
    <row r="402"/>
    <row r="403"/>
    <row r="404"/>
    <row r="405"/>
    <row r="406"/>
    <row r="407"/>
    <row r="408">
      <c r="B408">
        <f>'19_Расчет_аналитики'!B363</f>
        <v/>
      </c>
      <c r="C408">
        <f>'19_Расчет_аналитики'!C363</f>
        <v/>
      </c>
      <c r="D408">
        <f>'19_Расчет_аналитики'!D363</f>
        <v/>
      </c>
      <c r="E408">
        <f>'19_Расчет_аналитики'!E363</f>
        <v/>
      </c>
      <c r="F408">
        <f>'19_Расчет_аналитики'!F363</f>
        <v/>
      </c>
      <c r="G408">
        <f>'19_Расчет_аналитики'!G363</f>
        <v/>
      </c>
      <c r="H408">
        <f>'19_Расчет_аналитики'!H363</f>
        <v/>
      </c>
      <c r="I408">
        <f>'19_Расчет_аналитики'!I363</f>
        <v/>
      </c>
      <c r="J408">
        <f>'19_Расчет_аналитики'!J363</f>
        <v/>
      </c>
      <c r="K408">
        <f>'19_Расчет_аналитики'!K363</f>
        <v/>
      </c>
      <c r="L408">
        <f>'19_Расчет_аналитики'!L363</f>
        <v/>
      </c>
      <c r="M408">
        <f>'19_Расчет_аналитики'!M363</f>
        <v/>
      </c>
      <c r="N408">
        <f>'19_Расчет_аналитики'!N363</f>
        <v/>
      </c>
      <c r="O408">
        <f>'19_Расчет_аналитики'!O363</f>
        <v/>
      </c>
      <c r="P408">
        <f>'19_Расчет_аналитики'!P363</f>
        <v/>
      </c>
      <c r="Q408">
        <f>'19_Расчет_аналитики'!Q363</f>
        <v/>
      </c>
      <c r="R408">
        <f>'19_Расчет_аналитики'!R363</f>
        <v/>
      </c>
      <c r="S408">
        <f>'19_Расчет_аналитики'!S363</f>
        <v/>
      </c>
      <c r="T408">
        <f>'19_Расчет_аналитики'!T363</f>
        <v/>
      </c>
      <c r="U408">
        <f>'19_Расчет_аналитики'!U363</f>
        <v/>
      </c>
      <c r="V408">
        <f>'19_Расчет_аналитики'!V363</f>
        <v/>
      </c>
      <c r="W408">
        <f>'19_Расчет_аналитики'!W363</f>
        <v/>
      </c>
      <c r="X408">
        <f>'19_Расчет_аналитики'!X363</f>
        <v/>
      </c>
      <c r="Y408">
        <f>'19_Расчет_аналитики'!Y363</f>
        <v/>
      </c>
      <c r="Z408">
        <f>'19_Расчет_аналитики'!Z363</f>
        <v/>
      </c>
      <c r="AA408">
        <f>'19_Расчет_аналитики'!AA363</f>
        <v/>
      </c>
      <c r="AB408">
        <f>'19_Расчет_аналитики'!AB363</f>
        <v/>
      </c>
      <c r="AC408">
        <f>'19_Расчет_аналитики'!AC363</f>
        <v/>
      </c>
      <c r="AD408">
        <f>'19_Расчет_аналитики'!AD363</f>
        <v/>
      </c>
      <c r="AE408">
        <f>'19_Расчет_аналитики'!AE363</f>
        <v/>
      </c>
      <c r="AF408">
        <f>'19_Расчет_аналитики'!AF363</f>
        <v/>
      </c>
      <c r="AG408">
        <f>'19_Расчет_аналитики'!AG363</f>
        <v/>
      </c>
      <c r="AH408">
        <f>'19_Расчет_аналитики'!AH363</f>
        <v/>
      </c>
      <c r="AI408">
        <f>'19_Расчет_аналитики'!AI363</f>
        <v/>
      </c>
      <c r="AJ408">
        <f>'19_Расчет_аналитики'!AJ363</f>
        <v/>
      </c>
      <c r="AK408">
        <f>'19_Расчет_аналитики'!AK363</f>
        <v/>
      </c>
      <c r="AL408">
        <f>'19_Расчет_аналитики'!AL363</f>
        <v/>
      </c>
      <c r="AM408">
        <f>'19_Расчет_аналитики'!AM363</f>
        <v/>
      </c>
      <c r="AN408">
        <f>'19_Расчет_аналитики'!AN363</f>
        <v/>
      </c>
      <c r="AO408">
        <f>'19_Расчет_аналитики'!AO363</f>
        <v/>
      </c>
      <c r="AP408">
        <f>'19_Расчет_аналитики'!AP363</f>
        <v/>
      </c>
      <c r="AQ408">
        <f>'19_Расчет_аналитики'!AQ363</f>
        <v/>
      </c>
      <c r="AR408">
        <f>'19_Расчет_аналитики'!AR363</f>
        <v/>
      </c>
      <c r="AS408">
        <f>'19_Расчет_аналитики'!AS363</f>
        <v/>
      </c>
      <c r="AT408">
        <f>'19_Расчет_аналитики'!AT363</f>
        <v/>
      </c>
      <c r="AU408">
        <f>'19_Расчет_аналитики'!AU363</f>
        <v/>
      </c>
      <c r="AV408">
        <f>'19_Расчет_аналитики'!AV363</f>
        <v/>
      </c>
      <c r="AW408">
        <f>'19_Расчет_аналитики'!AW363</f>
        <v/>
      </c>
      <c r="AX408">
        <f>'19_Расчет_аналитики'!AX363</f>
        <v/>
      </c>
      <c r="AY408">
        <f>'19_Расчет_аналитики'!AY363</f>
        <v/>
      </c>
      <c r="AZ408">
        <f>'19_Расчет_аналитики'!AZ363</f>
        <v/>
      </c>
      <c r="BA408">
        <f>'19_Расчет_аналитики'!BA363</f>
        <v/>
      </c>
      <c r="BB408">
        <f>'19_Расчет_аналитики'!BB363</f>
        <v/>
      </c>
      <c r="BC408">
        <f>'19_Расчет_аналитики'!BC363</f>
        <v/>
      </c>
      <c r="BD408">
        <f>'19_Расчет_аналитики'!BD363</f>
        <v/>
      </c>
      <c r="BE408">
        <f>'19_Расчет_аналитики'!BE363</f>
        <v/>
      </c>
      <c r="BF408">
        <f>'19_Расчет_аналитики'!BF363</f>
        <v/>
      </c>
      <c r="BG408">
        <f>'19_Расчет_аналитики'!BG363</f>
        <v/>
      </c>
      <c r="BH408">
        <f>'19_Расчет_аналитики'!BH363</f>
        <v/>
      </c>
      <c r="BI408">
        <f>'19_Расчет_аналитики'!BI363</f>
        <v/>
      </c>
      <c r="BJ408">
        <f>'19_Расчет_аналитики'!BJ363</f>
        <v/>
      </c>
      <c r="BK408">
        <f>'19_Расчет_аналитики'!BK363</f>
        <v/>
      </c>
      <c r="BL408">
        <f>'19_Расчет_аналитики'!BL363</f>
        <v/>
      </c>
      <c r="BM408">
        <f>'19_Расчет_аналитики'!BM363</f>
        <v/>
      </c>
      <c r="BN408">
        <f>'19_Расчет_аналитики'!BN363</f>
        <v/>
      </c>
      <c r="BO408">
        <f>'19_Расчет_аналитики'!BO363</f>
        <v/>
      </c>
    </row>
    <row r="409">
      <c r="B409">
        <f>'06_Сеть_и_дети'!B54</f>
        <v/>
      </c>
      <c r="C409">
        <f>'19_Расчет_аналитики'!B408*'01_Вводные'!$B$14</f>
        <v/>
      </c>
      <c r="D409">
        <f>'19_Расчет_аналитики'!C408*'01_Вводные'!$B$14</f>
        <v/>
      </c>
      <c r="E409">
        <f>'19_Расчет_аналитики'!D408*'01_Вводные'!$B$14</f>
        <v/>
      </c>
      <c r="F409">
        <f>'19_Расчет_аналитики'!E408*'01_Вводные'!$B$14</f>
        <v/>
      </c>
      <c r="G409">
        <f>'19_Расчет_аналитики'!F408*'01_Вводные'!$B$14</f>
        <v/>
      </c>
      <c r="H409">
        <f>'19_Расчет_аналитики'!G408*'01_Вводные'!$B$14</f>
        <v/>
      </c>
      <c r="I409">
        <f>'19_Расчет_аналитики'!H408*'01_Вводные'!$B$14</f>
        <v/>
      </c>
      <c r="J409">
        <f>'19_Расчет_аналитики'!I408*'01_Вводные'!$B$14</f>
        <v/>
      </c>
      <c r="K409">
        <f>'19_Расчет_аналитики'!J408*'01_Вводные'!$B$14</f>
        <v/>
      </c>
      <c r="L409">
        <f>'19_Расчет_аналитики'!K408*'01_Вводные'!$B$14</f>
        <v/>
      </c>
      <c r="M409">
        <f>'19_Расчет_аналитики'!L408*'01_Вводные'!$B$14</f>
        <v/>
      </c>
      <c r="N409">
        <f>'19_Расчет_аналитики'!M408*'01_Вводные'!$B$14</f>
        <v/>
      </c>
      <c r="O409">
        <f>'19_Расчет_аналитики'!N408*'01_Вводные'!$B$14</f>
        <v/>
      </c>
      <c r="P409">
        <f>'19_Расчет_аналитики'!O408*'01_Вводные'!$B$14</f>
        <v/>
      </c>
      <c r="Q409">
        <f>'19_Расчет_аналитики'!P408*'01_Вводные'!$B$14</f>
        <v/>
      </c>
      <c r="R409">
        <f>'19_Расчет_аналитики'!Q408*'01_Вводные'!$B$14</f>
        <v/>
      </c>
      <c r="S409">
        <f>'19_Расчет_аналитики'!R408*'01_Вводные'!$B$14</f>
        <v/>
      </c>
      <c r="T409">
        <f>'19_Расчет_аналитики'!S408*'01_Вводные'!$B$14</f>
        <v/>
      </c>
      <c r="U409">
        <f>'19_Расчет_аналитики'!T408*'01_Вводные'!$B$14</f>
        <v/>
      </c>
      <c r="V409">
        <f>'19_Расчет_аналитики'!U408*'01_Вводные'!$B$14</f>
        <v/>
      </c>
      <c r="W409">
        <f>'19_Расчет_аналитики'!V408*'01_Вводные'!$B$14</f>
        <v/>
      </c>
      <c r="X409">
        <f>'19_Расчет_аналитики'!W408*'01_Вводные'!$B$14</f>
        <v/>
      </c>
      <c r="Y409">
        <f>'19_Расчет_аналитики'!X408*'01_Вводные'!$B$14</f>
        <v/>
      </c>
      <c r="Z409">
        <f>'19_Расчет_аналитики'!Y408*'01_Вводные'!$B$14</f>
        <v/>
      </c>
      <c r="AA409">
        <f>'19_Расчет_аналитики'!Z408*'01_Вводные'!$B$14</f>
        <v/>
      </c>
      <c r="AB409">
        <f>'19_Расчет_аналитики'!AA408*'01_Вводные'!$B$14</f>
        <v/>
      </c>
      <c r="AC409">
        <f>'19_Расчет_аналитики'!AB408*'01_Вводные'!$B$14</f>
        <v/>
      </c>
      <c r="AD409">
        <f>'19_Расчет_аналитики'!AC408*'01_Вводные'!$B$14</f>
        <v/>
      </c>
      <c r="AE409">
        <f>'19_Расчет_аналитики'!AD408*'01_Вводные'!$B$14</f>
        <v/>
      </c>
      <c r="AF409">
        <f>'19_Расчет_аналитики'!AE408*'01_Вводные'!$B$14</f>
        <v/>
      </c>
      <c r="AG409">
        <f>'19_Расчет_аналитики'!AF408*'01_Вводные'!$B$14</f>
        <v/>
      </c>
      <c r="AH409">
        <f>'19_Расчет_аналитики'!AG408*'01_Вводные'!$B$14</f>
        <v/>
      </c>
      <c r="AI409">
        <f>'19_Расчет_аналитики'!AH408*'01_Вводные'!$B$14</f>
        <v/>
      </c>
      <c r="AJ409">
        <f>'19_Расчет_аналитики'!AI408*'01_Вводные'!$B$14</f>
        <v/>
      </c>
      <c r="AK409">
        <f>'19_Расчет_аналитики'!AJ408*'01_Вводные'!$B$14</f>
        <v/>
      </c>
      <c r="AL409">
        <f>'19_Расчет_аналитики'!AK408*'01_Вводные'!$B$14</f>
        <v/>
      </c>
      <c r="AM409">
        <f>'19_Расчет_аналитики'!AL408*'01_Вводные'!$B$14</f>
        <v/>
      </c>
      <c r="AN409">
        <f>'19_Расчет_аналитики'!AM408*'01_Вводные'!$B$14</f>
        <v/>
      </c>
      <c r="AO409">
        <f>'19_Расчет_аналитики'!AN408*'01_Вводные'!$B$14</f>
        <v/>
      </c>
      <c r="AP409">
        <f>'19_Расчет_аналитики'!AO408*'01_Вводные'!$B$14</f>
        <v/>
      </c>
      <c r="AQ409">
        <f>'19_Расчет_аналитики'!AP408*'01_Вводные'!$B$14</f>
        <v/>
      </c>
      <c r="AR409">
        <f>'19_Расчет_аналитики'!AQ408*'01_Вводные'!$B$14</f>
        <v/>
      </c>
      <c r="AS409">
        <f>'19_Расчет_аналитики'!AR408*'01_Вводные'!$B$14</f>
        <v/>
      </c>
      <c r="AT409">
        <f>'19_Расчет_аналитики'!AS408*'01_Вводные'!$B$14</f>
        <v/>
      </c>
      <c r="AU409">
        <f>'19_Расчет_аналитики'!AT408*'01_Вводные'!$B$14</f>
        <v/>
      </c>
      <c r="AV409">
        <f>'19_Расчет_аналитики'!AU408*'01_Вводные'!$B$14</f>
        <v/>
      </c>
      <c r="AW409">
        <f>'19_Расчет_аналитики'!AV408*'01_Вводные'!$B$14</f>
        <v/>
      </c>
      <c r="AX409">
        <f>'19_Расчет_аналитики'!AW408*'01_Вводные'!$B$14</f>
        <v/>
      </c>
      <c r="AY409">
        <f>'19_Расчет_аналитики'!AX408*'01_Вводные'!$B$14</f>
        <v/>
      </c>
      <c r="AZ409">
        <f>'19_Расчет_аналитики'!AY408*'01_Вводные'!$B$14</f>
        <v/>
      </c>
      <c r="BA409">
        <f>'19_Расчет_аналитики'!AZ408*'01_Вводные'!$B$14</f>
        <v/>
      </c>
      <c r="BB409">
        <f>'19_Расчет_аналитики'!BA408*'01_Вводные'!$B$14</f>
        <v/>
      </c>
      <c r="BC409">
        <f>'19_Расчет_аналитики'!BB408*'01_Вводные'!$B$14</f>
        <v/>
      </c>
      <c r="BD409">
        <f>'19_Расчет_аналитики'!BC408*'01_Вводные'!$B$14</f>
        <v/>
      </c>
      <c r="BE409">
        <f>'19_Расчет_аналитики'!BD408*'01_Вводные'!$B$14</f>
        <v/>
      </c>
      <c r="BF409">
        <f>'19_Расчет_аналитики'!BE408*'01_Вводные'!$B$14</f>
        <v/>
      </c>
      <c r="BG409">
        <f>'19_Расчет_аналитики'!BF408*'01_Вводные'!$B$14</f>
        <v/>
      </c>
      <c r="BH409">
        <f>'19_Расчет_аналитики'!BG408*'01_Вводные'!$B$14</f>
        <v/>
      </c>
      <c r="BI409">
        <f>'19_Расчет_аналитики'!BH408*'01_Вводные'!$B$14</f>
        <v/>
      </c>
      <c r="BJ409">
        <f>'19_Расчет_аналитики'!BI408*'01_Вводные'!$B$14</f>
        <v/>
      </c>
      <c r="BK409">
        <f>'19_Расчет_аналитики'!BJ408*'01_Вводные'!$B$14</f>
        <v/>
      </c>
      <c r="BL409">
        <f>'19_Расчет_аналитики'!BK408*'01_Вводные'!$B$14</f>
        <v/>
      </c>
      <c r="BM409">
        <f>'19_Расчет_аналитики'!BL408*'01_Вводные'!$B$14</f>
        <v/>
      </c>
      <c r="BN409">
        <f>'19_Расчет_аналитики'!BM408*'01_Вводные'!$B$14</f>
        <v/>
      </c>
      <c r="BO409">
        <f>'19_Расчет_аналитики'!BN408*'01_Вводные'!$B$14</f>
        <v/>
      </c>
    </row>
    <row r="410">
      <c r="B410">
        <f>'06_Сеть_и_дети'!B55</f>
        <v/>
      </c>
      <c r="C410">
        <f>'06_Сеть_и_дети'!C55</f>
        <v/>
      </c>
      <c r="D410">
        <f>'19_Расчет_аналитики'!C409*'01_Вводные'!$B$14</f>
        <v/>
      </c>
      <c r="E410">
        <f>'19_Расчет_аналитики'!D409*'01_Вводные'!$B$14</f>
        <v/>
      </c>
      <c r="F410">
        <f>'19_Расчет_аналитики'!E409*'01_Вводные'!$B$14</f>
        <v/>
      </c>
      <c r="G410">
        <f>'19_Расчет_аналитики'!F409*'01_Вводные'!$B$14</f>
        <v/>
      </c>
      <c r="H410">
        <f>'19_Расчет_аналитики'!G409*'01_Вводные'!$B$14</f>
        <v/>
      </c>
      <c r="I410">
        <f>'19_Расчет_аналитики'!H409*'01_Вводные'!$B$14</f>
        <v/>
      </c>
      <c r="J410">
        <f>'19_Расчет_аналитики'!I409*'01_Вводные'!$B$14</f>
        <v/>
      </c>
      <c r="K410">
        <f>'19_Расчет_аналитики'!J409*'01_Вводные'!$B$14</f>
        <v/>
      </c>
      <c r="L410">
        <f>'19_Расчет_аналитики'!K409*'01_Вводные'!$B$14</f>
        <v/>
      </c>
      <c r="M410">
        <f>'19_Расчет_аналитики'!L409*'01_Вводные'!$B$14</f>
        <v/>
      </c>
      <c r="N410">
        <f>'19_Расчет_аналитики'!M409*'01_Вводные'!$B$14</f>
        <v/>
      </c>
      <c r="O410">
        <f>'19_Расчет_аналитики'!N409*'01_Вводные'!$B$14</f>
        <v/>
      </c>
      <c r="P410">
        <f>'19_Расчет_аналитики'!O409*'01_Вводные'!$B$14</f>
        <v/>
      </c>
      <c r="Q410">
        <f>'19_Расчет_аналитики'!P409*'01_Вводные'!$B$14</f>
        <v/>
      </c>
      <c r="R410">
        <f>'19_Расчет_аналитики'!Q409*'01_Вводные'!$B$14</f>
        <v/>
      </c>
      <c r="S410">
        <f>'19_Расчет_аналитики'!R409*'01_Вводные'!$B$14</f>
        <v/>
      </c>
      <c r="T410">
        <f>'19_Расчет_аналитики'!S409*'01_Вводные'!$B$14</f>
        <v/>
      </c>
      <c r="U410">
        <f>'19_Расчет_аналитики'!T409*'01_Вводные'!$B$14</f>
        <v/>
      </c>
      <c r="V410">
        <f>'19_Расчет_аналитики'!U409*'01_Вводные'!$B$14</f>
        <v/>
      </c>
      <c r="W410">
        <f>'19_Расчет_аналитики'!V409*'01_Вводные'!$B$14</f>
        <v/>
      </c>
      <c r="X410">
        <f>'19_Расчет_аналитики'!W409*'01_Вводные'!$B$14</f>
        <v/>
      </c>
      <c r="Y410">
        <f>'19_Расчет_аналитики'!X409*'01_Вводные'!$B$14</f>
        <v/>
      </c>
      <c r="Z410">
        <f>'19_Расчет_аналитики'!Y409*'01_Вводные'!$B$14</f>
        <v/>
      </c>
      <c r="AA410">
        <f>'19_Расчет_аналитики'!Z409*'01_Вводные'!$B$14</f>
        <v/>
      </c>
      <c r="AB410">
        <f>'19_Расчет_аналитики'!AA409*'01_Вводные'!$B$14</f>
        <v/>
      </c>
      <c r="AC410">
        <f>'19_Расчет_аналитики'!AB409*'01_Вводные'!$B$14</f>
        <v/>
      </c>
      <c r="AD410">
        <f>'19_Расчет_аналитики'!AC409*'01_Вводные'!$B$14</f>
        <v/>
      </c>
      <c r="AE410">
        <f>'19_Расчет_аналитики'!AD409*'01_Вводные'!$B$14</f>
        <v/>
      </c>
      <c r="AF410">
        <f>'19_Расчет_аналитики'!AE409*'01_Вводные'!$B$14</f>
        <v/>
      </c>
      <c r="AG410">
        <f>'19_Расчет_аналитики'!AF409*'01_Вводные'!$B$14</f>
        <v/>
      </c>
      <c r="AH410">
        <f>'19_Расчет_аналитики'!AG409*'01_Вводные'!$B$14</f>
        <v/>
      </c>
      <c r="AI410">
        <f>'19_Расчет_аналитики'!AH409*'01_Вводные'!$B$14</f>
        <v/>
      </c>
      <c r="AJ410">
        <f>'19_Расчет_аналитики'!AI409*'01_Вводные'!$B$14</f>
        <v/>
      </c>
      <c r="AK410">
        <f>'19_Расчет_аналитики'!AJ409*'01_Вводные'!$B$14</f>
        <v/>
      </c>
      <c r="AL410">
        <f>'19_Расчет_аналитики'!AK409*'01_Вводные'!$B$14</f>
        <v/>
      </c>
      <c r="AM410">
        <f>'19_Расчет_аналитики'!AL409*'01_Вводные'!$B$14</f>
        <v/>
      </c>
      <c r="AN410">
        <f>'19_Расчет_аналитики'!AM409*'01_Вводные'!$B$14</f>
        <v/>
      </c>
      <c r="AO410">
        <f>'19_Расчет_аналитики'!AN409*'01_Вводные'!$B$14</f>
        <v/>
      </c>
      <c r="AP410">
        <f>'19_Расчет_аналитики'!AO409*'01_Вводные'!$B$14</f>
        <v/>
      </c>
      <c r="AQ410">
        <f>'19_Расчет_аналитики'!AP409*'01_Вводные'!$B$14</f>
        <v/>
      </c>
      <c r="AR410">
        <f>'19_Расчет_аналитики'!AQ409*'01_Вводные'!$B$14</f>
        <v/>
      </c>
      <c r="AS410">
        <f>'19_Расчет_аналитики'!AR409*'01_Вводные'!$B$14</f>
        <v/>
      </c>
      <c r="AT410">
        <f>'19_Расчет_аналитики'!AS409*'01_Вводные'!$B$14</f>
        <v/>
      </c>
      <c r="AU410">
        <f>'19_Расчет_аналитики'!AT409*'01_Вводные'!$B$14</f>
        <v/>
      </c>
      <c r="AV410">
        <f>'19_Расчет_аналитики'!AU409*'01_Вводные'!$B$14</f>
        <v/>
      </c>
      <c r="AW410">
        <f>'19_Расчет_аналитики'!AV409*'01_Вводные'!$B$14</f>
        <v/>
      </c>
      <c r="AX410">
        <f>'19_Расчет_аналитики'!AW409*'01_Вводные'!$B$14</f>
        <v/>
      </c>
      <c r="AY410">
        <f>'19_Расчет_аналитики'!AX409*'01_Вводные'!$B$14</f>
        <v/>
      </c>
      <c r="AZ410">
        <f>'19_Расчет_аналитики'!AY409*'01_Вводные'!$B$14</f>
        <v/>
      </c>
      <c r="BA410">
        <f>'19_Расчет_аналитики'!AZ409*'01_Вводные'!$B$14</f>
        <v/>
      </c>
      <c r="BB410">
        <f>'19_Расчет_аналитики'!BA409*'01_Вводные'!$B$14</f>
        <v/>
      </c>
      <c r="BC410">
        <f>'19_Расчет_аналитики'!BB409*'01_Вводные'!$B$14</f>
        <v/>
      </c>
      <c r="BD410">
        <f>'19_Расчет_аналитики'!BC409*'01_Вводные'!$B$14</f>
        <v/>
      </c>
      <c r="BE410">
        <f>'19_Расчет_аналитики'!BD409*'01_Вводные'!$B$14</f>
        <v/>
      </c>
      <c r="BF410">
        <f>'19_Расчет_аналитики'!BE409*'01_Вводные'!$B$14</f>
        <v/>
      </c>
      <c r="BG410">
        <f>'19_Расчет_аналитики'!BF409*'01_Вводные'!$B$14</f>
        <v/>
      </c>
      <c r="BH410">
        <f>'19_Расчет_аналитики'!BG409*'01_Вводные'!$B$14</f>
        <v/>
      </c>
      <c r="BI410">
        <f>'19_Расчет_аналитики'!BH409*'01_Вводные'!$B$14</f>
        <v/>
      </c>
      <c r="BJ410">
        <f>'19_Расчет_аналитики'!BI409*'01_Вводные'!$B$14</f>
        <v/>
      </c>
      <c r="BK410">
        <f>'19_Расчет_аналитики'!BJ409*'01_Вводные'!$B$14</f>
        <v/>
      </c>
      <c r="BL410">
        <f>'19_Расчет_аналитики'!BK409*'01_Вводные'!$B$14</f>
        <v/>
      </c>
      <c r="BM410">
        <f>'19_Расчет_аналитики'!BL409*'01_Вводные'!$B$14</f>
        <v/>
      </c>
      <c r="BN410">
        <f>'19_Расчет_аналитики'!BM409*'01_Вводные'!$B$14</f>
        <v/>
      </c>
      <c r="BO410">
        <f>'19_Расчет_аналитики'!BN409*'01_Вводные'!$B$14</f>
        <v/>
      </c>
    </row>
    <row r="411">
      <c r="B411">
        <f>'06_Сеть_и_дети'!B56</f>
        <v/>
      </c>
      <c r="C411">
        <f>'06_Сеть_и_дети'!C56</f>
        <v/>
      </c>
      <c r="D411">
        <f>'06_Сеть_и_дети'!D56</f>
        <v/>
      </c>
      <c r="E411">
        <f>'19_Расчет_аналитики'!D410*'01_Вводные'!$B$14</f>
        <v/>
      </c>
      <c r="F411">
        <f>'19_Расчет_аналитики'!E410*'01_Вводные'!$B$14</f>
        <v/>
      </c>
      <c r="G411">
        <f>'19_Расчет_аналитики'!F410*'01_Вводные'!$B$14</f>
        <v/>
      </c>
      <c r="H411">
        <f>'19_Расчет_аналитики'!G410*'01_Вводные'!$B$14</f>
        <v/>
      </c>
      <c r="I411">
        <f>'19_Расчет_аналитики'!H410*'01_Вводные'!$B$14</f>
        <v/>
      </c>
      <c r="J411">
        <f>'19_Расчет_аналитики'!I410*'01_Вводные'!$B$14</f>
        <v/>
      </c>
      <c r="K411">
        <f>'19_Расчет_аналитики'!J410*'01_Вводные'!$B$14</f>
        <v/>
      </c>
      <c r="L411">
        <f>'19_Расчет_аналитики'!K410*'01_Вводные'!$B$14</f>
        <v/>
      </c>
      <c r="M411">
        <f>'19_Расчет_аналитики'!L410*'01_Вводные'!$B$14</f>
        <v/>
      </c>
      <c r="N411">
        <f>'19_Расчет_аналитики'!M410*'01_Вводные'!$B$14</f>
        <v/>
      </c>
      <c r="O411">
        <f>'19_Расчет_аналитики'!N410*'01_Вводные'!$B$14</f>
        <v/>
      </c>
      <c r="P411">
        <f>'19_Расчет_аналитики'!O410*'01_Вводные'!$B$14</f>
        <v/>
      </c>
      <c r="Q411">
        <f>'19_Расчет_аналитики'!P410*'01_Вводные'!$B$14</f>
        <v/>
      </c>
      <c r="R411">
        <f>'19_Расчет_аналитики'!Q410*'01_Вводные'!$B$14</f>
        <v/>
      </c>
      <c r="S411">
        <f>'19_Расчет_аналитики'!R410*'01_Вводные'!$B$14</f>
        <v/>
      </c>
      <c r="T411">
        <f>'19_Расчет_аналитики'!S410*'01_Вводные'!$B$14</f>
        <v/>
      </c>
      <c r="U411">
        <f>'19_Расчет_аналитики'!T410*'01_Вводные'!$B$14</f>
        <v/>
      </c>
      <c r="V411">
        <f>'19_Расчет_аналитики'!U410*'01_Вводные'!$B$14</f>
        <v/>
      </c>
      <c r="W411">
        <f>'19_Расчет_аналитики'!V410*'01_Вводные'!$B$14</f>
        <v/>
      </c>
      <c r="X411">
        <f>'19_Расчет_аналитики'!W410*'01_Вводные'!$B$14</f>
        <v/>
      </c>
      <c r="Y411">
        <f>'19_Расчет_аналитики'!X410*'01_Вводные'!$B$14</f>
        <v/>
      </c>
      <c r="Z411">
        <f>'19_Расчет_аналитики'!Y410*'01_Вводные'!$B$14</f>
        <v/>
      </c>
      <c r="AA411">
        <f>'19_Расчет_аналитики'!Z410*'01_Вводные'!$B$14</f>
        <v/>
      </c>
      <c r="AB411">
        <f>'19_Расчет_аналитики'!AA410*'01_Вводные'!$B$14</f>
        <v/>
      </c>
      <c r="AC411">
        <f>'19_Расчет_аналитики'!AB410*'01_Вводные'!$B$14</f>
        <v/>
      </c>
      <c r="AD411">
        <f>'19_Расчет_аналитики'!AC410*'01_Вводные'!$B$14</f>
        <v/>
      </c>
      <c r="AE411">
        <f>'19_Расчет_аналитики'!AD410*'01_Вводные'!$B$14</f>
        <v/>
      </c>
      <c r="AF411">
        <f>'19_Расчет_аналитики'!AE410*'01_Вводные'!$B$14</f>
        <v/>
      </c>
      <c r="AG411">
        <f>'19_Расчет_аналитики'!AF410*'01_Вводные'!$B$14</f>
        <v/>
      </c>
      <c r="AH411">
        <f>'19_Расчет_аналитики'!AG410*'01_Вводные'!$B$14</f>
        <v/>
      </c>
      <c r="AI411">
        <f>'19_Расчет_аналитики'!AH410*'01_Вводные'!$B$14</f>
        <v/>
      </c>
      <c r="AJ411">
        <f>'19_Расчет_аналитики'!AI410*'01_Вводные'!$B$14</f>
        <v/>
      </c>
      <c r="AK411">
        <f>'19_Расчет_аналитики'!AJ410*'01_Вводные'!$B$14</f>
        <v/>
      </c>
      <c r="AL411">
        <f>'19_Расчет_аналитики'!AK410*'01_Вводные'!$B$14</f>
        <v/>
      </c>
      <c r="AM411">
        <f>'19_Расчет_аналитики'!AL410*'01_Вводные'!$B$14</f>
        <v/>
      </c>
      <c r="AN411">
        <f>'19_Расчет_аналитики'!AM410*'01_Вводные'!$B$14</f>
        <v/>
      </c>
      <c r="AO411">
        <f>'19_Расчет_аналитики'!AN410*'01_Вводные'!$B$14</f>
        <v/>
      </c>
      <c r="AP411">
        <f>'19_Расчет_аналитики'!AO410*'01_Вводные'!$B$14</f>
        <v/>
      </c>
      <c r="AQ411">
        <f>'19_Расчет_аналитики'!AP410*'01_Вводные'!$B$14</f>
        <v/>
      </c>
      <c r="AR411">
        <f>'19_Расчет_аналитики'!AQ410*'01_Вводные'!$B$14</f>
        <v/>
      </c>
      <c r="AS411">
        <f>'19_Расчет_аналитики'!AR410*'01_Вводные'!$B$14</f>
        <v/>
      </c>
      <c r="AT411">
        <f>'19_Расчет_аналитики'!AS410*'01_Вводные'!$B$14</f>
        <v/>
      </c>
      <c r="AU411">
        <f>'19_Расчет_аналитики'!AT410*'01_Вводные'!$B$14</f>
        <v/>
      </c>
      <c r="AV411">
        <f>'19_Расчет_аналитики'!AU410*'01_Вводные'!$B$14</f>
        <v/>
      </c>
      <c r="AW411">
        <f>'19_Расчет_аналитики'!AV410*'01_Вводные'!$B$14</f>
        <v/>
      </c>
      <c r="AX411">
        <f>'19_Расчет_аналитики'!AW410*'01_Вводные'!$B$14</f>
        <v/>
      </c>
      <c r="AY411">
        <f>'19_Расчет_аналитики'!AX410*'01_Вводные'!$B$14</f>
        <v/>
      </c>
      <c r="AZ411">
        <f>'19_Расчет_аналитики'!AY410*'01_Вводные'!$B$14</f>
        <v/>
      </c>
      <c r="BA411">
        <f>'19_Расчет_аналитики'!AZ410*'01_Вводные'!$B$14</f>
        <v/>
      </c>
      <c r="BB411">
        <f>'19_Расчет_аналитики'!BA410*'01_Вводные'!$B$14</f>
        <v/>
      </c>
      <c r="BC411">
        <f>'19_Расчет_аналитики'!BB410*'01_Вводные'!$B$14</f>
        <v/>
      </c>
      <c r="BD411">
        <f>'19_Расчет_аналитики'!BC410*'01_Вводные'!$B$14</f>
        <v/>
      </c>
      <c r="BE411">
        <f>'19_Расчет_аналитики'!BD410*'01_Вводные'!$B$14</f>
        <v/>
      </c>
      <c r="BF411">
        <f>'19_Расчет_аналитики'!BE410*'01_Вводные'!$B$14</f>
        <v/>
      </c>
      <c r="BG411">
        <f>'19_Расчет_аналитики'!BF410*'01_Вводные'!$B$14</f>
        <v/>
      </c>
      <c r="BH411">
        <f>'19_Расчет_аналитики'!BG410*'01_Вводные'!$B$14</f>
        <v/>
      </c>
      <c r="BI411">
        <f>'19_Расчет_аналитики'!BH410*'01_Вводные'!$B$14</f>
        <v/>
      </c>
      <c r="BJ411">
        <f>'19_Расчет_аналитики'!BI410*'01_Вводные'!$B$14</f>
        <v/>
      </c>
      <c r="BK411">
        <f>'19_Расчет_аналитики'!BJ410*'01_Вводные'!$B$14</f>
        <v/>
      </c>
      <c r="BL411">
        <f>'19_Расчет_аналитики'!BK410*'01_Вводные'!$B$14</f>
        <v/>
      </c>
      <c r="BM411">
        <f>'19_Расчет_аналитики'!BL410*'01_Вводные'!$B$14</f>
        <v/>
      </c>
      <c r="BN411">
        <f>'19_Расчет_аналитики'!BM410*'01_Вводные'!$B$14</f>
        <v/>
      </c>
      <c r="BO411">
        <f>'19_Расчет_аналитики'!BN410*'01_Вводные'!$B$14</f>
        <v/>
      </c>
    </row>
    <row r="412">
      <c r="B412">
        <f>'06_Сеть_и_дети'!B57</f>
        <v/>
      </c>
      <c r="C412">
        <f>'06_Сеть_и_дети'!C57</f>
        <v/>
      </c>
      <c r="D412">
        <f>'06_Сеть_и_дети'!D57</f>
        <v/>
      </c>
      <c r="E412">
        <f>'06_Сеть_и_дети'!E57</f>
        <v/>
      </c>
      <c r="F412">
        <f>'19_Расчет_аналитики'!E411*'01_Вводные'!$B$14</f>
        <v/>
      </c>
      <c r="G412">
        <f>'19_Расчет_аналитики'!F411*'01_Вводные'!$B$14</f>
        <v/>
      </c>
      <c r="H412">
        <f>'19_Расчет_аналитики'!G411*'01_Вводные'!$B$14</f>
        <v/>
      </c>
      <c r="I412">
        <f>'19_Расчет_аналитики'!H411*'01_Вводные'!$B$14</f>
        <v/>
      </c>
      <c r="J412">
        <f>'19_Расчет_аналитики'!I411*'01_Вводные'!$B$14</f>
        <v/>
      </c>
      <c r="K412">
        <f>'19_Расчет_аналитики'!J411*'01_Вводные'!$B$14</f>
        <v/>
      </c>
      <c r="L412">
        <f>'19_Расчет_аналитики'!K411*'01_Вводные'!$B$14</f>
        <v/>
      </c>
      <c r="M412">
        <f>'19_Расчет_аналитики'!L411*'01_Вводные'!$B$14</f>
        <v/>
      </c>
      <c r="N412">
        <f>'19_Расчет_аналитики'!M411*'01_Вводные'!$B$14</f>
        <v/>
      </c>
      <c r="O412">
        <f>'19_Расчет_аналитики'!N411*'01_Вводные'!$B$14</f>
        <v/>
      </c>
      <c r="P412">
        <f>'19_Расчет_аналитики'!O411*'01_Вводные'!$B$14</f>
        <v/>
      </c>
      <c r="Q412">
        <f>'19_Расчет_аналитики'!P411*'01_Вводные'!$B$14</f>
        <v/>
      </c>
      <c r="R412">
        <f>'19_Расчет_аналитики'!Q411*'01_Вводные'!$B$14</f>
        <v/>
      </c>
      <c r="S412">
        <f>'19_Расчет_аналитики'!R411*'01_Вводные'!$B$14</f>
        <v/>
      </c>
      <c r="T412">
        <f>'19_Расчет_аналитики'!S411*'01_Вводные'!$B$14</f>
        <v/>
      </c>
      <c r="U412">
        <f>'19_Расчет_аналитики'!T411*'01_Вводные'!$B$14</f>
        <v/>
      </c>
      <c r="V412">
        <f>'19_Расчет_аналитики'!U411*'01_Вводные'!$B$14</f>
        <v/>
      </c>
      <c r="W412">
        <f>'19_Расчет_аналитики'!V411*'01_Вводные'!$B$14</f>
        <v/>
      </c>
      <c r="X412">
        <f>'19_Расчет_аналитики'!W411*'01_Вводные'!$B$14</f>
        <v/>
      </c>
      <c r="Y412">
        <f>'19_Расчет_аналитики'!X411*'01_Вводные'!$B$14</f>
        <v/>
      </c>
      <c r="Z412">
        <f>'19_Расчет_аналитики'!Y411*'01_Вводные'!$B$14</f>
        <v/>
      </c>
      <c r="AA412">
        <f>'19_Расчет_аналитики'!Z411*'01_Вводные'!$B$14</f>
        <v/>
      </c>
      <c r="AB412">
        <f>'19_Расчет_аналитики'!AA411*'01_Вводные'!$B$14</f>
        <v/>
      </c>
      <c r="AC412">
        <f>'19_Расчет_аналитики'!AB411*'01_Вводные'!$B$14</f>
        <v/>
      </c>
      <c r="AD412">
        <f>'19_Расчет_аналитики'!AC411*'01_Вводные'!$B$14</f>
        <v/>
      </c>
      <c r="AE412">
        <f>'19_Расчет_аналитики'!AD411*'01_Вводные'!$B$14</f>
        <v/>
      </c>
      <c r="AF412">
        <f>'19_Расчет_аналитики'!AE411*'01_Вводные'!$B$14</f>
        <v/>
      </c>
      <c r="AG412">
        <f>'19_Расчет_аналитики'!AF411*'01_Вводные'!$B$14</f>
        <v/>
      </c>
      <c r="AH412">
        <f>'19_Расчет_аналитики'!AG411*'01_Вводные'!$B$14</f>
        <v/>
      </c>
      <c r="AI412">
        <f>'19_Расчет_аналитики'!AH411*'01_Вводные'!$B$14</f>
        <v/>
      </c>
      <c r="AJ412">
        <f>'19_Расчет_аналитики'!AI411*'01_Вводные'!$B$14</f>
        <v/>
      </c>
      <c r="AK412">
        <f>'19_Расчет_аналитики'!AJ411*'01_Вводные'!$B$14</f>
        <v/>
      </c>
      <c r="AL412">
        <f>'19_Расчет_аналитики'!AK411*'01_Вводные'!$B$14</f>
        <v/>
      </c>
      <c r="AM412">
        <f>'19_Расчет_аналитики'!AL411*'01_Вводные'!$B$14</f>
        <v/>
      </c>
      <c r="AN412">
        <f>'19_Расчет_аналитики'!AM411*'01_Вводные'!$B$14</f>
        <v/>
      </c>
      <c r="AO412">
        <f>'19_Расчет_аналитики'!AN411*'01_Вводные'!$B$14</f>
        <v/>
      </c>
      <c r="AP412">
        <f>'19_Расчет_аналитики'!AO411*'01_Вводные'!$B$14</f>
        <v/>
      </c>
      <c r="AQ412">
        <f>'19_Расчет_аналитики'!AP411*'01_Вводные'!$B$14</f>
        <v/>
      </c>
      <c r="AR412">
        <f>'19_Расчет_аналитики'!AQ411*'01_Вводные'!$B$14</f>
        <v/>
      </c>
      <c r="AS412">
        <f>'19_Расчет_аналитики'!AR411*'01_Вводные'!$B$14</f>
        <v/>
      </c>
      <c r="AT412">
        <f>'19_Расчет_аналитики'!AS411*'01_Вводные'!$B$14</f>
        <v/>
      </c>
      <c r="AU412">
        <f>'19_Расчет_аналитики'!AT411*'01_Вводные'!$B$14</f>
        <v/>
      </c>
      <c r="AV412">
        <f>'19_Расчет_аналитики'!AU411*'01_Вводные'!$B$14</f>
        <v/>
      </c>
      <c r="AW412">
        <f>'19_Расчет_аналитики'!AV411*'01_Вводные'!$B$14</f>
        <v/>
      </c>
      <c r="AX412">
        <f>'19_Расчет_аналитики'!AW411*'01_Вводные'!$B$14</f>
        <v/>
      </c>
      <c r="AY412">
        <f>'19_Расчет_аналитики'!AX411*'01_Вводные'!$B$14</f>
        <v/>
      </c>
      <c r="AZ412">
        <f>'19_Расчет_аналитики'!AY411*'01_Вводные'!$B$14</f>
        <v/>
      </c>
      <c r="BA412">
        <f>'19_Расчет_аналитики'!AZ411*'01_Вводные'!$B$14</f>
        <v/>
      </c>
      <c r="BB412">
        <f>'19_Расчет_аналитики'!BA411*'01_Вводные'!$B$14</f>
        <v/>
      </c>
      <c r="BC412">
        <f>'19_Расчет_аналитики'!BB411*'01_Вводные'!$B$14</f>
        <v/>
      </c>
      <c r="BD412">
        <f>'19_Расчет_аналитики'!BC411*'01_Вводные'!$B$14</f>
        <v/>
      </c>
      <c r="BE412">
        <f>'19_Расчет_аналитики'!BD411*'01_Вводные'!$B$14</f>
        <v/>
      </c>
      <c r="BF412">
        <f>'19_Расчет_аналитики'!BE411*'01_Вводные'!$B$14</f>
        <v/>
      </c>
      <c r="BG412">
        <f>'19_Расчет_аналитики'!BF411*'01_Вводные'!$B$14</f>
        <v/>
      </c>
      <c r="BH412">
        <f>'19_Расчет_аналитики'!BG411*'01_Вводные'!$B$14</f>
        <v/>
      </c>
      <c r="BI412">
        <f>'19_Расчет_аналитики'!BH411*'01_Вводные'!$B$14</f>
        <v/>
      </c>
      <c r="BJ412">
        <f>'19_Расчет_аналитики'!BI411*'01_Вводные'!$B$14</f>
        <v/>
      </c>
      <c r="BK412">
        <f>'19_Расчет_аналитики'!BJ411*'01_Вводные'!$B$14</f>
        <v/>
      </c>
      <c r="BL412">
        <f>'19_Расчет_аналитики'!BK411*'01_Вводные'!$B$14</f>
        <v/>
      </c>
      <c r="BM412">
        <f>'19_Расчет_аналитики'!BL411*'01_Вводные'!$B$14</f>
        <v/>
      </c>
      <c r="BN412">
        <f>'19_Расчет_аналитики'!BM411*'01_Вводные'!$B$14</f>
        <v/>
      </c>
      <c r="BO412">
        <f>'19_Расчет_аналитики'!BN411*'01_Вводные'!$B$14</f>
        <v/>
      </c>
    </row>
    <row r="413">
      <c r="B413">
        <f>'06_Сеть_и_дети'!B58</f>
        <v/>
      </c>
      <c r="C413">
        <f>'06_Сеть_и_дети'!C58</f>
        <v/>
      </c>
      <c r="D413">
        <f>'06_Сеть_и_дети'!D58</f>
        <v/>
      </c>
      <c r="E413">
        <f>'06_Сеть_и_дети'!E58</f>
        <v/>
      </c>
      <c r="F413">
        <f>'06_Сеть_и_дети'!F58</f>
        <v/>
      </c>
      <c r="G413">
        <f>'19_Расчет_аналитики'!F412*'01_Вводные'!$B$14</f>
        <v/>
      </c>
      <c r="H413">
        <f>'19_Расчет_аналитики'!G412*'01_Вводные'!$B$14</f>
        <v/>
      </c>
      <c r="I413">
        <f>'19_Расчет_аналитики'!H412*'01_Вводные'!$B$14</f>
        <v/>
      </c>
      <c r="J413">
        <f>'19_Расчет_аналитики'!I412*'01_Вводные'!$B$14</f>
        <v/>
      </c>
      <c r="K413">
        <f>'19_Расчет_аналитики'!J412*'01_Вводные'!$B$14</f>
        <v/>
      </c>
      <c r="L413">
        <f>'19_Расчет_аналитики'!K412*'01_Вводные'!$B$14</f>
        <v/>
      </c>
      <c r="M413">
        <f>'19_Расчет_аналитики'!L412*'01_Вводные'!$B$14</f>
        <v/>
      </c>
      <c r="N413">
        <f>'19_Расчет_аналитики'!M412*'01_Вводные'!$B$14</f>
        <v/>
      </c>
      <c r="O413">
        <f>'19_Расчет_аналитики'!N412*'01_Вводные'!$B$14</f>
        <v/>
      </c>
      <c r="P413">
        <f>'19_Расчет_аналитики'!O412*'01_Вводные'!$B$14</f>
        <v/>
      </c>
      <c r="Q413">
        <f>'19_Расчет_аналитики'!P412*'01_Вводные'!$B$14</f>
        <v/>
      </c>
      <c r="R413">
        <f>'19_Расчет_аналитики'!Q412*'01_Вводные'!$B$14</f>
        <v/>
      </c>
      <c r="S413">
        <f>'19_Расчет_аналитики'!R412*'01_Вводные'!$B$14</f>
        <v/>
      </c>
      <c r="T413">
        <f>'19_Расчет_аналитики'!S412*'01_Вводные'!$B$14</f>
        <v/>
      </c>
      <c r="U413">
        <f>'19_Расчет_аналитики'!T412*'01_Вводные'!$B$14</f>
        <v/>
      </c>
      <c r="V413">
        <f>'19_Расчет_аналитики'!U412*'01_Вводные'!$B$14</f>
        <v/>
      </c>
      <c r="W413">
        <f>'19_Расчет_аналитики'!V412*'01_Вводные'!$B$14</f>
        <v/>
      </c>
      <c r="X413">
        <f>'19_Расчет_аналитики'!W412*'01_Вводные'!$B$14</f>
        <v/>
      </c>
      <c r="Y413">
        <f>'19_Расчет_аналитики'!X412*'01_Вводные'!$B$14</f>
        <v/>
      </c>
      <c r="Z413">
        <f>'19_Расчет_аналитики'!Y412*'01_Вводные'!$B$14</f>
        <v/>
      </c>
      <c r="AA413">
        <f>'19_Расчет_аналитики'!Z412*'01_Вводные'!$B$14</f>
        <v/>
      </c>
      <c r="AB413">
        <f>'19_Расчет_аналитики'!AA412*'01_Вводные'!$B$14</f>
        <v/>
      </c>
      <c r="AC413">
        <f>'19_Расчет_аналитики'!AB412*'01_Вводные'!$B$14</f>
        <v/>
      </c>
      <c r="AD413">
        <f>'19_Расчет_аналитики'!AC412*'01_Вводные'!$B$14</f>
        <v/>
      </c>
      <c r="AE413">
        <f>'19_Расчет_аналитики'!AD412*'01_Вводные'!$B$14</f>
        <v/>
      </c>
      <c r="AF413">
        <f>'19_Расчет_аналитики'!AE412*'01_Вводные'!$B$14</f>
        <v/>
      </c>
      <c r="AG413">
        <f>'19_Расчет_аналитики'!AF412*'01_Вводные'!$B$14</f>
        <v/>
      </c>
      <c r="AH413">
        <f>'19_Расчет_аналитики'!AG412*'01_Вводные'!$B$14</f>
        <v/>
      </c>
      <c r="AI413">
        <f>'19_Расчет_аналитики'!AH412*'01_Вводные'!$B$14</f>
        <v/>
      </c>
      <c r="AJ413">
        <f>'19_Расчет_аналитики'!AI412*'01_Вводные'!$B$14</f>
        <v/>
      </c>
      <c r="AK413">
        <f>'19_Расчет_аналитики'!AJ412*'01_Вводные'!$B$14</f>
        <v/>
      </c>
      <c r="AL413">
        <f>'19_Расчет_аналитики'!AK412*'01_Вводные'!$B$14</f>
        <v/>
      </c>
      <c r="AM413">
        <f>'19_Расчет_аналитики'!AL412*'01_Вводные'!$B$14</f>
        <v/>
      </c>
      <c r="AN413">
        <f>'19_Расчет_аналитики'!AM412*'01_Вводные'!$B$14</f>
        <v/>
      </c>
      <c r="AO413">
        <f>'19_Расчет_аналитики'!AN412*'01_Вводные'!$B$14</f>
        <v/>
      </c>
      <c r="AP413">
        <f>'19_Расчет_аналитики'!AO412*'01_Вводные'!$B$14</f>
        <v/>
      </c>
      <c r="AQ413">
        <f>'19_Расчет_аналитики'!AP412*'01_Вводные'!$B$14</f>
        <v/>
      </c>
      <c r="AR413">
        <f>'19_Расчет_аналитики'!AQ412*'01_Вводные'!$B$14</f>
        <v/>
      </c>
      <c r="AS413">
        <f>'19_Расчет_аналитики'!AR412*'01_Вводные'!$B$14</f>
        <v/>
      </c>
      <c r="AT413">
        <f>'19_Расчет_аналитики'!AS412*'01_Вводные'!$B$14</f>
        <v/>
      </c>
      <c r="AU413">
        <f>'19_Расчет_аналитики'!AT412*'01_Вводные'!$B$14</f>
        <v/>
      </c>
      <c r="AV413">
        <f>'19_Расчет_аналитики'!AU412*'01_Вводные'!$B$14</f>
        <v/>
      </c>
      <c r="AW413">
        <f>'19_Расчет_аналитики'!AV412*'01_Вводные'!$B$14</f>
        <v/>
      </c>
      <c r="AX413">
        <f>'19_Расчет_аналитики'!AW412*'01_Вводные'!$B$14</f>
        <v/>
      </c>
      <c r="AY413">
        <f>'19_Расчет_аналитики'!AX412*'01_Вводные'!$B$14</f>
        <v/>
      </c>
      <c r="AZ413">
        <f>'19_Расчет_аналитики'!AY412*'01_Вводные'!$B$14</f>
        <v/>
      </c>
      <c r="BA413">
        <f>'19_Расчет_аналитики'!AZ412*'01_Вводные'!$B$14</f>
        <v/>
      </c>
      <c r="BB413">
        <f>'19_Расчет_аналитики'!BA412*'01_Вводные'!$B$14</f>
        <v/>
      </c>
      <c r="BC413">
        <f>'19_Расчет_аналитики'!BB412*'01_Вводные'!$B$14</f>
        <v/>
      </c>
      <c r="BD413">
        <f>'19_Расчет_аналитики'!BC412*'01_Вводные'!$B$14</f>
        <v/>
      </c>
      <c r="BE413">
        <f>'19_Расчет_аналитики'!BD412*'01_Вводные'!$B$14</f>
        <v/>
      </c>
      <c r="BF413">
        <f>'19_Расчет_аналитики'!BE412*'01_Вводные'!$B$14</f>
        <v/>
      </c>
      <c r="BG413">
        <f>'19_Расчет_аналитики'!BF412*'01_Вводные'!$B$14</f>
        <v/>
      </c>
      <c r="BH413">
        <f>'19_Расчет_аналитики'!BG412*'01_Вводные'!$B$14</f>
        <v/>
      </c>
      <c r="BI413">
        <f>'19_Расчет_аналитики'!BH412*'01_Вводные'!$B$14</f>
        <v/>
      </c>
      <c r="BJ413">
        <f>'19_Расчет_аналитики'!BI412*'01_Вводные'!$B$14</f>
        <v/>
      </c>
      <c r="BK413">
        <f>'19_Расчет_аналитики'!BJ412*'01_Вводные'!$B$14</f>
        <v/>
      </c>
      <c r="BL413">
        <f>'19_Расчет_аналитики'!BK412*'01_Вводные'!$B$14</f>
        <v/>
      </c>
      <c r="BM413">
        <f>'19_Расчет_аналитики'!BL412*'01_Вводные'!$B$14</f>
        <v/>
      </c>
      <c r="BN413">
        <f>'19_Расчет_аналитики'!BM412*'01_Вводные'!$B$14</f>
        <v/>
      </c>
      <c r="BO413">
        <f>'19_Расчет_аналитики'!BN412*'01_Вводные'!$B$14</f>
        <v/>
      </c>
    </row>
    <row r="414">
      <c r="B414">
        <f>'06_Сеть_и_дети'!B59</f>
        <v/>
      </c>
      <c r="C414">
        <f>'06_Сеть_и_дети'!C59</f>
        <v/>
      </c>
      <c r="D414">
        <f>'06_Сеть_и_дети'!D59</f>
        <v/>
      </c>
      <c r="E414">
        <f>'06_Сеть_и_дети'!E59</f>
        <v/>
      </c>
      <c r="F414">
        <f>'06_Сеть_и_дети'!F59</f>
        <v/>
      </c>
      <c r="G414">
        <f>'06_Сеть_и_дети'!G59</f>
        <v/>
      </c>
      <c r="H414">
        <f>'19_Расчет_аналитики'!G413*'01_Вводные'!$B$14</f>
        <v/>
      </c>
      <c r="I414">
        <f>'19_Расчет_аналитики'!H413*'01_Вводные'!$B$14</f>
        <v/>
      </c>
      <c r="J414">
        <f>'19_Расчет_аналитики'!I413*'01_Вводные'!$B$14</f>
        <v/>
      </c>
      <c r="K414">
        <f>'19_Расчет_аналитики'!J413*'01_Вводные'!$B$14</f>
        <v/>
      </c>
      <c r="L414">
        <f>'19_Расчет_аналитики'!K413*'01_Вводные'!$B$14</f>
        <v/>
      </c>
      <c r="M414">
        <f>'19_Расчет_аналитики'!L413*'01_Вводные'!$B$14</f>
        <v/>
      </c>
      <c r="N414">
        <f>'19_Расчет_аналитики'!M413*'01_Вводные'!$B$14</f>
        <v/>
      </c>
      <c r="O414">
        <f>'19_Расчет_аналитики'!N413*'01_Вводные'!$B$14</f>
        <v/>
      </c>
      <c r="P414">
        <f>'19_Расчет_аналитики'!O413*'01_Вводные'!$B$14</f>
        <v/>
      </c>
      <c r="Q414">
        <f>'19_Расчет_аналитики'!P413*'01_Вводные'!$B$14</f>
        <v/>
      </c>
      <c r="R414">
        <f>'19_Расчет_аналитики'!Q413*'01_Вводные'!$B$14</f>
        <v/>
      </c>
      <c r="S414">
        <f>'19_Расчет_аналитики'!R413*'01_Вводные'!$B$14</f>
        <v/>
      </c>
      <c r="T414">
        <f>'19_Расчет_аналитики'!S413*'01_Вводные'!$B$14</f>
        <v/>
      </c>
      <c r="U414">
        <f>'19_Расчет_аналитики'!T413*'01_Вводные'!$B$14</f>
        <v/>
      </c>
      <c r="V414">
        <f>'19_Расчет_аналитики'!U413*'01_Вводные'!$B$14</f>
        <v/>
      </c>
      <c r="W414">
        <f>'19_Расчет_аналитики'!V413*'01_Вводные'!$B$14</f>
        <v/>
      </c>
      <c r="X414">
        <f>'19_Расчет_аналитики'!W413*'01_Вводные'!$B$14</f>
        <v/>
      </c>
      <c r="Y414">
        <f>'19_Расчет_аналитики'!X413*'01_Вводные'!$B$14</f>
        <v/>
      </c>
      <c r="Z414">
        <f>'19_Расчет_аналитики'!Y413*'01_Вводные'!$B$14</f>
        <v/>
      </c>
      <c r="AA414">
        <f>'19_Расчет_аналитики'!Z413*'01_Вводные'!$B$14</f>
        <v/>
      </c>
      <c r="AB414">
        <f>'19_Расчет_аналитики'!AA413*'01_Вводные'!$B$14</f>
        <v/>
      </c>
      <c r="AC414">
        <f>'19_Расчет_аналитики'!AB413*'01_Вводные'!$B$14</f>
        <v/>
      </c>
      <c r="AD414">
        <f>'19_Расчет_аналитики'!AC413*'01_Вводные'!$B$14</f>
        <v/>
      </c>
      <c r="AE414">
        <f>'19_Расчет_аналитики'!AD413*'01_Вводные'!$B$14</f>
        <v/>
      </c>
      <c r="AF414">
        <f>'19_Расчет_аналитики'!AE413*'01_Вводные'!$B$14</f>
        <v/>
      </c>
      <c r="AG414">
        <f>'19_Расчет_аналитики'!AF413*'01_Вводные'!$B$14</f>
        <v/>
      </c>
      <c r="AH414">
        <f>'19_Расчет_аналитики'!AG413*'01_Вводные'!$B$14</f>
        <v/>
      </c>
      <c r="AI414">
        <f>'19_Расчет_аналитики'!AH413*'01_Вводные'!$B$14</f>
        <v/>
      </c>
      <c r="AJ414">
        <f>'19_Расчет_аналитики'!AI413*'01_Вводные'!$B$14</f>
        <v/>
      </c>
      <c r="AK414">
        <f>'19_Расчет_аналитики'!AJ413*'01_Вводные'!$B$14</f>
        <v/>
      </c>
      <c r="AL414">
        <f>'19_Расчет_аналитики'!AK413*'01_Вводные'!$B$14</f>
        <v/>
      </c>
      <c r="AM414">
        <f>'19_Расчет_аналитики'!AL413*'01_Вводные'!$B$14</f>
        <v/>
      </c>
      <c r="AN414">
        <f>'19_Расчет_аналитики'!AM413*'01_Вводные'!$B$14</f>
        <v/>
      </c>
      <c r="AO414">
        <f>'19_Расчет_аналитики'!AN413*'01_Вводные'!$B$14</f>
        <v/>
      </c>
      <c r="AP414">
        <f>'19_Расчет_аналитики'!AO413*'01_Вводные'!$B$14</f>
        <v/>
      </c>
      <c r="AQ414">
        <f>'19_Расчет_аналитики'!AP413*'01_Вводные'!$B$14</f>
        <v/>
      </c>
      <c r="AR414">
        <f>'19_Расчет_аналитики'!AQ413*'01_Вводные'!$B$14</f>
        <v/>
      </c>
      <c r="AS414">
        <f>'19_Расчет_аналитики'!AR413*'01_Вводные'!$B$14</f>
        <v/>
      </c>
      <c r="AT414">
        <f>'19_Расчет_аналитики'!AS413*'01_Вводные'!$B$14</f>
        <v/>
      </c>
      <c r="AU414">
        <f>'19_Расчет_аналитики'!AT413*'01_Вводные'!$B$14</f>
        <v/>
      </c>
      <c r="AV414">
        <f>'19_Расчет_аналитики'!AU413*'01_Вводные'!$B$14</f>
        <v/>
      </c>
      <c r="AW414">
        <f>'19_Расчет_аналитики'!AV413*'01_Вводные'!$B$14</f>
        <v/>
      </c>
      <c r="AX414">
        <f>'19_Расчет_аналитики'!AW413*'01_Вводные'!$B$14</f>
        <v/>
      </c>
      <c r="AY414">
        <f>'19_Расчет_аналитики'!AX413*'01_Вводные'!$B$14</f>
        <v/>
      </c>
      <c r="AZ414">
        <f>'19_Расчет_аналитики'!AY413*'01_Вводные'!$B$14</f>
        <v/>
      </c>
      <c r="BA414">
        <f>'19_Расчет_аналитики'!AZ413*'01_Вводные'!$B$14</f>
        <v/>
      </c>
      <c r="BB414">
        <f>'19_Расчет_аналитики'!BA413*'01_Вводные'!$B$14</f>
        <v/>
      </c>
      <c r="BC414">
        <f>'19_Расчет_аналитики'!BB413*'01_Вводные'!$B$14</f>
        <v/>
      </c>
      <c r="BD414">
        <f>'19_Расчет_аналитики'!BC413*'01_Вводные'!$B$14</f>
        <v/>
      </c>
      <c r="BE414">
        <f>'19_Расчет_аналитики'!BD413*'01_Вводные'!$B$14</f>
        <v/>
      </c>
      <c r="BF414">
        <f>'19_Расчет_аналитики'!BE413*'01_Вводные'!$B$14</f>
        <v/>
      </c>
      <c r="BG414">
        <f>'19_Расчет_аналитики'!BF413*'01_Вводные'!$B$14</f>
        <v/>
      </c>
      <c r="BH414">
        <f>'19_Расчет_аналитики'!BG413*'01_Вводные'!$B$14</f>
        <v/>
      </c>
      <c r="BI414">
        <f>'19_Расчет_аналитики'!BH413*'01_Вводные'!$B$14</f>
        <v/>
      </c>
      <c r="BJ414">
        <f>'19_Расчет_аналитики'!BI413*'01_Вводные'!$B$14</f>
        <v/>
      </c>
      <c r="BK414">
        <f>'19_Расчет_аналитики'!BJ413*'01_Вводные'!$B$14</f>
        <v/>
      </c>
      <c r="BL414">
        <f>'19_Расчет_аналитики'!BK413*'01_Вводные'!$B$14</f>
        <v/>
      </c>
      <c r="BM414">
        <f>'19_Расчет_аналитики'!BL413*'01_Вводные'!$B$14</f>
        <v/>
      </c>
      <c r="BN414">
        <f>'19_Расчет_аналитики'!BM413*'01_Вводные'!$B$14</f>
        <v/>
      </c>
      <c r="BO414">
        <f>'19_Расчет_аналитики'!BN413*'01_Вводные'!$B$14</f>
        <v/>
      </c>
    </row>
    <row r="415">
      <c r="B415">
        <f>'06_Сеть_и_дети'!B60</f>
        <v/>
      </c>
      <c r="C415">
        <f>'06_Сеть_и_дети'!C60</f>
        <v/>
      </c>
      <c r="D415">
        <f>'06_Сеть_и_дети'!D60</f>
        <v/>
      </c>
      <c r="E415">
        <f>'06_Сеть_и_дети'!E60</f>
        <v/>
      </c>
      <c r="F415">
        <f>'06_Сеть_и_дети'!F60</f>
        <v/>
      </c>
      <c r="G415">
        <f>'06_Сеть_и_дети'!G60</f>
        <v/>
      </c>
      <c r="H415">
        <f>'06_Сеть_и_дети'!H60</f>
        <v/>
      </c>
      <c r="I415">
        <f>'19_Расчет_аналитики'!H414*'01_Вводные'!$B$14</f>
        <v/>
      </c>
      <c r="J415">
        <f>'19_Расчет_аналитики'!I414*'01_Вводные'!$B$14</f>
        <v/>
      </c>
      <c r="K415">
        <f>'19_Расчет_аналитики'!J414*'01_Вводные'!$B$14</f>
        <v/>
      </c>
      <c r="L415">
        <f>'19_Расчет_аналитики'!K414*'01_Вводные'!$B$14</f>
        <v/>
      </c>
      <c r="M415">
        <f>'19_Расчет_аналитики'!L414*'01_Вводные'!$B$14</f>
        <v/>
      </c>
      <c r="N415">
        <f>'19_Расчет_аналитики'!M414*'01_Вводные'!$B$14</f>
        <v/>
      </c>
      <c r="O415">
        <f>'19_Расчет_аналитики'!N414*'01_Вводные'!$B$14</f>
        <v/>
      </c>
      <c r="P415">
        <f>'19_Расчет_аналитики'!O414*'01_Вводные'!$B$14</f>
        <v/>
      </c>
      <c r="Q415">
        <f>'19_Расчет_аналитики'!P414*'01_Вводные'!$B$14</f>
        <v/>
      </c>
      <c r="R415">
        <f>'19_Расчет_аналитики'!Q414*'01_Вводные'!$B$14</f>
        <v/>
      </c>
      <c r="S415">
        <f>'19_Расчет_аналитики'!R414*'01_Вводные'!$B$14</f>
        <v/>
      </c>
      <c r="T415">
        <f>'19_Расчет_аналитики'!S414*'01_Вводные'!$B$14</f>
        <v/>
      </c>
      <c r="U415">
        <f>'19_Расчет_аналитики'!T414*'01_Вводные'!$B$14</f>
        <v/>
      </c>
      <c r="V415">
        <f>'19_Расчет_аналитики'!U414*'01_Вводные'!$B$14</f>
        <v/>
      </c>
      <c r="W415">
        <f>'19_Расчет_аналитики'!V414*'01_Вводные'!$B$14</f>
        <v/>
      </c>
      <c r="X415">
        <f>'19_Расчет_аналитики'!W414*'01_Вводные'!$B$14</f>
        <v/>
      </c>
      <c r="Y415">
        <f>'19_Расчет_аналитики'!X414*'01_Вводные'!$B$14</f>
        <v/>
      </c>
      <c r="Z415">
        <f>'19_Расчет_аналитики'!Y414*'01_Вводные'!$B$14</f>
        <v/>
      </c>
      <c r="AA415">
        <f>'19_Расчет_аналитики'!Z414*'01_Вводные'!$B$14</f>
        <v/>
      </c>
      <c r="AB415">
        <f>'19_Расчет_аналитики'!AA414*'01_Вводные'!$B$14</f>
        <v/>
      </c>
      <c r="AC415">
        <f>'19_Расчет_аналитики'!AB414*'01_Вводные'!$B$14</f>
        <v/>
      </c>
      <c r="AD415">
        <f>'19_Расчет_аналитики'!AC414*'01_Вводные'!$B$14</f>
        <v/>
      </c>
      <c r="AE415">
        <f>'19_Расчет_аналитики'!AD414*'01_Вводные'!$B$14</f>
        <v/>
      </c>
      <c r="AF415">
        <f>'19_Расчет_аналитики'!AE414*'01_Вводные'!$B$14</f>
        <v/>
      </c>
      <c r="AG415">
        <f>'19_Расчет_аналитики'!AF414*'01_Вводные'!$B$14</f>
        <v/>
      </c>
      <c r="AH415">
        <f>'19_Расчет_аналитики'!AG414*'01_Вводные'!$B$14</f>
        <v/>
      </c>
      <c r="AI415">
        <f>'19_Расчет_аналитики'!AH414*'01_Вводные'!$B$14</f>
        <v/>
      </c>
      <c r="AJ415">
        <f>'19_Расчет_аналитики'!AI414*'01_Вводные'!$B$14</f>
        <v/>
      </c>
      <c r="AK415">
        <f>'19_Расчет_аналитики'!AJ414*'01_Вводные'!$B$14</f>
        <v/>
      </c>
      <c r="AL415">
        <f>'19_Расчет_аналитики'!AK414*'01_Вводные'!$B$14</f>
        <v/>
      </c>
      <c r="AM415">
        <f>'19_Расчет_аналитики'!AL414*'01_Вводные'!$B$14</f>
        <v/>
      </c>
      <c r="AN415">
        <f>'19_Расчет_аналитики'!AM414*'01_Вводные'!$B$14</f>
        <v/>
      </c>
      <c r="AO415">
        <f>'19_Расчет_аналитики'!AN414*'01_Вводные'!$B$14</f>
        <v/>
      </c>
      <c r="AP415">
        <f>'19_Расчет_аналитики'!AO414*'01_Вводные'!$B$14</f>
        <v/>
      </c>
      <c r="AQ415">
        <f>'19_Расчет_аналитики'!AP414*'01_Вводные'!$B$14</f>
        <v/>
      </c>
      <c r="AR415">
        <f>'19_Расчет_аналитики'!AQ414*'01_Вводные'!$B$14</f>
        <v/>
      </c>
      <c r="AS415">
        <f>'19_Расчет_аналитики'!AR414*'01_Вводные'!$B$14</f>
        <v/>
      </c>
      <c r="AT415">
        <f>'19_Расчет_аналитики'!AS414*'01_Вводные'!$B$14</f>
        <v/>
      </c>
      <c r="AU415">
        <f>'19_Расчет_аналитики'!AT414*'01_Вводные'!$B$14</f>
        <v/>
      </c>
      <c r="AV415">
        <f>'19_Расчет_аналитики'!AU414*'01_Вводные'!$B$14</f>
        <v/>
      </c>
      <c r="AW415">
        <f>'19_Расчет_аналитики'!AV414*'01_Вводные'!$B$14</f>
        <v/>
      </c>
      <c r="AX415">
        <f>'19_Расчет_аналитики'!AW414*'01_Вводные'!$B$14</f>
        <v/>
      </c>
      <c r="AY415">
        <f>'19_Расчет_аналитики'!AX414*'01_Вводные'!$B$14</f>
        <v/>
      </c>
      <c r="AZ415">
        <f>'19_Расчет_аналитики'!AY414*'01_Вводные'!$B$14</f>
        <v/>
      </c>
      <c r="BA415">
        <f>'19_Расчет_аналитики'!AZ414*'01_Вводные'!$B$14</f>
        <v/>
      </c>
      <c r="BB415">
        <f>'19_Расчет_аналитики'!BA414*'01_Вводные'!$B$14</f>
        <v/>
      </c>
      <c r="BC415">
        <f>'19_Расчет_аналитики'!BB414*'01_Вводные'!$B$14</f>
        <v/>
      </c>
      <c r="BD415">
        <f>'19_Расчет_аналитики'!BC414*'01_Вводные'!$B$14</f>
        <v/>
      </c>
      <c r="BE415">
        <f>'19_Расчет_аналитики'!BD414*'01_Вводные'!$B$14</f>
        <v/>
      </c>
      <c r="BF415">
        <f>'19_Расчет_аналитики'!BE414*'01_Вводные'!$B$14</f>
        <v/>
      </c>
      <c r="BG415">
        <f>'19_Расчет_аналитики'!BF414*'01_Вводные'!$B$14</f>
        <v/>
      </c>
      <c r="BH415">
        <f>'19_Расчет_аналитики'!BG414*'01_Вводные'!$B$14</f>
        <v/>
      </c>
      <c r="BI415">
        <f>'19_Расчет_аналитики'!BH414*'01_Вводные'!$B$14</f>
        <v/>
      </c>
      <c r="BJ415">
        <f>'19_Расчет_аналитики'!BI414*'01_Вводные'!$B$14</f>
        <v/>
      </c>
      <c r="BK415">
        <f>'19_Расчет_аналитики'!BJ414*'01_Вводные'!$B$14</f>
        <v/>
      </c>
      <c r="BL415">
        <f>'19_Расчет_аналитики'!BK414*'01_Вводные'!$B$14</f>
        <v/>
      </c>
      <c r="BM415">
        <f>'19_Расчет_аналитики'!BL414*'01_Вводные'!$B$14</f>
        <v/>
      </c>
      <c r="BN415">
        <f>'19_Расчет_аналитики'!BM414*'01_Вводные'!$B$14</f>
        <v/>
      </c>
      <c r="BO415">
        <f>'19_Расчет_аналитики'!BN414*'01_Вводные'!$B$14</f>
        <v/>
      </c>
    </row>
    <row r="416">
      <c r="B416">
        <f>'06_Сеть_и_дети'!B61</f>
        <v/>
      </c>
      <c r="C416">
        <f>'06_Сеть_и_дети'!C61</f>
        <v/>
      </c>
      <c r="D416">
        <f>'06_Сеть_и_дети'!D61</f>
        <v/>
      </c>
      <c r="E416">
        <f>'06_Сеть_и_дети'!E61</f>
        <v/>
      </c>
      <c r="F416">
        <f>'06_Сеть_и_дети'!F61</f>
        <v/>
      </c>
      <c r="G416">
        <f>'06_Сеть_и_дети'!G61</f>
        <v/>
      </c>
      <c r="H416">
        <f>'06_Сеть_и_дети'!H61</f>
        <v/>
      </c>
      <c r="I416">
        <f>'06_Сеть_и_дети'!I61</f>
        <v/>
      </c>
      <c r="J416">
        <f>'19_Расчет_аналитики'!I415*'01_Вводные'!$B$14</f>
        <v/>
      </c>
      <c r="K416">
        <f>'19_Расчет_аналитики'!J415*'01_Вводные'!$B$14</f>
        <v/>
      </c>
      <c r="L416">
        <f>'19_Расчет_аналитики'!K415*'01_Вводные'!$B$14</f>
        <v/>
      </c>
      <c r="M416">
        <f>'19_Расчет_аналитики'!L415*'01_Вводные'!$B$14</f>
        <v/>
      </c>
      <c r="N416">
        <f>'19_Расчет_аналитики'!M415*'01_Вводные'!$B$14</f>
        <v/>
      </c>
      <c r="O416">
        <f>'19_Расчет_аналитики'!N415*'01_Вводные'!$B$14</f>
        <v/>
      </c>
      <c r="P416">
        <f>'19_Расчет_аналитики'!O415*'01_Вводные'!$B$14</f>
        <v/>
      </c>
      <c r="Q416">
        <f>'19_Расчет_аналитики'!P415*'01_Вводные'!$B$14</f>
        <v/>
      </c>
      <c r="R416">
        <f>'19_Расчет_аналитики'!Q415*'01_Вводные'!$B$14</f>
        <v/>
      </c>
      <c r="S416">
        <f>'19_Расчет_аналитики'!R415*'01_Вводные'!$B$14</f>
        <v/>
      </c>
      <c r="T416">
        <f>'19_Расчет_аналитики'!S415*'01_Вводные'!$B$14</f>
        <v/>
      </c>
      <c r="U416">
        <f>'19_Расчет_аналитики'!T415*'01_Вводные'!$B$14</f>
        <v/>
      </c>
      <c r="V416">
        <f>'19_Расчет_аналитики'!U415*'01_Вводные'!$B$14</f>
        <v/>
      </c>
      <c r="W416">
        <f>'19_Расчет_аналитики'!V415*'01_Вводные'!$B$14</f>
        <v/>
      </c>
      <c r="X416">
        <f>'19_Расчет_аналитики'!W415*'01_Вводные'!$B$14</f>
        <v/>
      </c>
      <c r="Y416">
        <f>'19_Расчет_аналитики'!X415*'01_Вводные'!$B$14</f>
        <v/>
      </c>
      <c r="Z416">
        <f>'19_Расчет_аналитики'!Y415*'01_Вводные'!$B$14</f>
        <v/>
      </c>
      <c r="AA416">
        <f>'19_Расчет_аналитики'!Z415*'01_Вводные'!$B$14</f>
        <v/>
      </c>
      <c r="AB416">
        <f>'19_Расчет_аналитики'!AA415*'01_Вводные'!$B$14</f>
        <v/>
      </c>
      <c r="AC416">
        <f>'19_Расчет_аналитики'!AB415*'01_Вводные'!$B$14</f>
        <v/>
      </c>
      <c r="AD416">
        <f>'19_Расчет_аналитики'!AC415*'01_Вводные'!$B$14</f>
        <v/>
      </c>
      <c r="AE416">
        <f>'19_Расчет_аналитики'!AD415*'01_Вводные'!$B$14</f>
        <v/>
      </c>
      <c r="AF416">
        <f>'19_Расчет_аналитики'!AE415*'01_Вводные'!$B$14</f>
        <v/>
      </c>
      <c r="AG416">
        <f>'19_Расчет_аналитики'!AF415*'01_Вводные'!$B$14</f>
        <v/>
      </c>
      <c r="AH416">
        <f>'19_Расчет_аналитики'!AG415*'01_Вводные'!$B$14</f>
        <v/>
      </c>
      <c r="AI416">
        <f>'19_Расчет_аналитики'!AH415*'01_Вводные'!$B$14</f>
        <v/>
      </c>
      <c r="AJ416">
        <f>'19_Расчет_аналитики'!AI415*'01_Вводные'!$B$14</f>
        <v/>
      </c>
      <c r="AK416">
        <f>'19_Расчет_аналитики'!AJ415*'01_Вводные'!$B$14</f>
        <v/>
      </c>
      <c r="AL416">
        <f>'19_Расчет_аналитики'!AK415*'01_Вводные'!$B$14</f>
        <v/>
      </c>
      <c r="AM416">
        <f>'19_Расчет_аналитики'!AL415*'01_Вводные'!$B$14</f>
        <v/>
      </c>
      <c r="AN416">
        <f>'19_Расчет_аналитики'!AM415*'01_Вводные'!$B$14</f>
        <v/>
      </c>
      <c r="AO416">
        <f>'19_Расчет_аналитики'!AN415*'01_Вводные'!$B$14</f>
        <v/>
      </c>
      <c r="AP416">
        <f>'19_Расчет_аналитики'!AO415*'01_Вводные'!$B$14</f>
        <v/>
      </c>
      <c r="AQ416">
        <f>'19_Расчет_аналитики'!AP415*'01_Вводные'!$B$14</f>
        <v/>
      </c>
      <c r="AR416">
        <f>'19_Расчет_аналитики'!AQ415*'01_Вводные'!$B$14</f>
        <v/>
      </c>
      <c r="AS416">
        <f>'19_Расчет_аналитики'!AR415*'01_Вводные'!$B$14</f>
        <v/>
      </c>
      <c r="AT416">
        <f>'19_Расчет_аналитики'!AS415*'01_Вводные'!$B$14</f>
        <v/>
      </c>
      <c r="AU416">
        <f>'19_Расчет_аналитики'!AT415*'01_Вводные'!$B$14</f>
        <v/>
      </c>
      <c r="AV416">
        <f>'19_Расчет_аналитики'!AU415*'01_Вводные'!$B$14</f>
        <v/>
      </c>
      <c r="AW416">
        <f>'19_Расчет_аналитики'!AV415*'01_Вводные'!$B$14</f>
        <v/>
      </c>
      <c r="AX416">
        <f>'19_Расчет_аналитики'!AW415*'01_Вводные'!$B$14</f>
        <v/>
      </c>
      <c r="AY416">
        <f>'19_Расчет_аналитики'!AX415*'01_Вводные'!$B$14</f>
        <v/>
      </c>
      <c r="AZ416">
        <f>'19_Расчет_аналитики'!AY415*'01_Вводные'!$B$14</f>
        <v/>
      </c>
      <c r="BA416">
        <f>'19_Расчет_аналитики'!AZ415*'01_Вводные'!$B$14</f>
        <v/>
      </c>
      <c r="BB416">
        <f>'19_Расчет_аналитики'!BA415*'01_Вводные'!$B$14</f>
        <v/>
      </c>
      <c r="BC416">
        <f>'19_Расчет_аналитики'!BB415*'01_Вводные'!$B$14</f>
        <v/>
      </c>
      <c r="BD416">
        <f>'19_Расчет_аналитики'!BC415*'01_Вводные'!$B$14</f>
        <v/>
      </c>
      <c r="BE416">
        <f>'19_Расчет_аналитики'!BD415*'01_Вводные'!$B$14</f>
        <v/>
      </c>
      <c r="BF416">
        <f>'19_Расчет_аналитики'!BE415*'01_Вводные'!$B$14</f>
        <v/>
      </c>
      <c r="BG416">
        <f>'19_Расчет_аналитики'!BF415*'01_Вводные'!$B$14</f>
        <v/>
      </c>
      <c r="BH416">
        <f>'19_Расчет_аналитики'!BG415*'01_Вводные'!$B$14</f>
        <v/>
      </c>
      <c r="BI416">
        <f>'19_Расчет_аналитики'!BH415*'01_Вводные'!$B$14</f>
        <v/>
      </c>
      <c r="BJ416">
        <f>'19_Расчет_аналитики'!BI415*'01_Вводные'!$B$14</f>
        <v/>
      </c>
      <c r="BK416">
        <f>'19_Расчет_аналитики'!BJ415*'01_Вводные'!$B$14</f>
        <v/>
      </c>
      <c r="BL416">
        <f>'19_Расчет_аналитики'!BK415*'01_Вводные'!$B$14</f>
        <v/>
      </c>
      <c r="BM416">
        <f>'19_Расчет_аналитики'!BL415*'01_Вводные'!$B$14</f>
        <v/>
      </c>
      <c r="BN416">
        <f>'19_Расчет_аналитики'!BM415*'01_Вводные'!$B$14</f>
        <v/>
      </c>
      <c r="BO416">
        <f>'19_Расчет_аналитики'!BN415*'01_Вводные'!$B$14</f>
        <v/>
      </c>
    </row>
    <row r="417">
      <c r="B417">
        <f>'06_Сеть_и_дети'!B62</f>
        <v/>
      </c>
      <c r="C417">
        <f>'06_Сеть_и_дети'!C62</f>
        <v/>
      </c>
      <c r="D417">
        <f>'06_Сеть_и_дети'!D62</f>
        <v/>
      </c>
      <c r="E417">
        <f>'06_Сеть_и_дети'!E62</f>
        <v/>
      </c>
      <c r="F417">
        <f>'06_Сеть_и_дети'!F62</f>
        <v/>
      </c>
      <c r="G417">
        <f>'06_Сеть_и_дети'!G62</f>
        <v/>
      </c>
      <c r="H417">
        <f>'06_Сеть_и_дети'!H62</f>
        <v/>
      </c>
      <c r="I417">
        <f>'06_Сеть_и_дети'!I62</f>
        <v/>
      </c>
      <c r="J417">
        <f>'06_Сеть_и_дети'!J62</f>
        <v/>
      </c>
      <c r="K417">
        <f>'19_Расчет_аналитики'!J416*'01_Вводные'!$B$14</f>
        <v/>
      </c>
      <c r="L417">
        <f>'19_Расчет_аналитики'!K416*'01_Вводные'!$B$14</f>
        <v/>
      </c>
      <c r="M417">
        <f>'19_Расчет_аналитики'!L416*'01_Вводные'!$B$14</f>
        <v/>
      </c>
      <c r="N417">
        <f>'19_Расчет_аналитики'!M416*'01_Вводные'!$B$14</f>
        <v/>
      </c>
      <c r="O417">
        <f>'19_Расчет_аналитики'!N416*'01_Вводные'!$B$14</f>
        <v/>
      </c>
      <c r="P417">
        <f>'19_Расчет_аналитики'!O416*'01_Вводные'!$B$14</f>
        <v/>
      </c>
      <c r="Q417">
        <f>'19_Расчет_аналитики'!P416*'01_Вводные'!$B$14</f>
        <v/>
      </c>
      <c r="R417">
        <f>'19_Расчет_аналитики'!Q416*'01_Вводные'!$B$14</f>
        <v/>
      </c>
      <c r="S417">
        <f>'19_Расчет_аналитики'!R416*'01_Вводные'!$B$14</f>
        <v/>
      </c>
      <c r="T417">
        <f>'19_Расчет_аналитики'!S416*'01_Вводные'!$B$14</f>
        <v/>
      </c>
      <c r="U417">
        <f>'19_Расчет_аналитики'!T416*'01_Вводные'!$B$14</f>
        <v/>
      </c>
      <c r="V417">
        <f>'19_Расчет_аналитики'!U416*'01_Вводные'!$B$14</f>
        <v/>
      </c>
      <c r="W417">
        <f>'19_Расчет_аналитики'!V416*'01_Вводные'!$B$14</f>
        <v/>
      </c>
      <c r="X417">
        <f>'19_Расчет_аналитики'!W416*'01_Вводные'!$B$14</f>
        <v/>
      </c>
      <c r="Y417">
        <f>'19_Расчет_аналитики'!X416*'01_Вводные'!$B$14</f>
        <v/>
      </c>
      <c r="Z417">
        <f>'19_Расчет_аналитики'!Y416*'01_Вводные'!$B$14</f>
        <v/>
      </c>
      <c r="AA417">
        <f>'19_Расчет_аналитики'!Z416*'01_Вводные'!$B$14</f>
        <v/>
      </c>
      <c r="AB417">
        <f>'19_Расчет_аналитики'!AA416*'01_Вводные'!$B$14</f>
        <v/>
      </c>
      <c r="AC417">
        <f>'19_Расчет_аналитики'!AB416*'01_Вводные'!$B$14</f>
        <v/>
      </c>
      <c r="AD417">
        <f>'19_Расчет_аналитики'!AC416*'01_Вводные'!$B$14</f>
        <v/>
      </c>
      <c r="AE417">
        <f>'19_Расчет_аналитики'!AD416*'01_Вводные'!$B$14</f>
        <v/>
      </c>
      <c r="AF417">
        <f>'19_Расчет_аналитики'!AE416*'01_Вводные'!$B$14</f>
        <v/>
      </c>
      <c r="AG417">
        <f>'19_Расчет_аналитики'!AF416*'01_Вводные'!$B$14</f>
        <v/>
      </c>
      <c r="AH417">
        <f>'19_Расчет_аналитики'!AG416*'01_Вводные'!$B$14</f>
        <v/>
      </c>
      <c r="AI417">
        <f>'19_Расчет_аналитики'!AH416*'01_Вводные'!$B$14</f>
        <v/>
      </c>
      <c r="AJ417">
        <f>'19_Расчет_аналитики'!AI416*'01_Вводные'!$B$14</f>
        <v/>
      </c>
      <c r="AK417">
        <f>'19_Расчет_аналитики'!AJ416*'01_Вводные'!$B$14</f>
        <v/>
      </c>
      <c r="AL417">
        <f>'19_Расчет_аналитики'!AK416*'01_Вводные'!$B$14</f>
        <v/>
      </c>
      <c r="AM417">
        <f>'19_Расчет_аналитики'!AL416*'01_Вводные'!$B$14</f>
        <v/>
      </c>
      <c r="AN417">
        <f>'19_Расчет_аналитики'!AM416*'01_Вводные'!$B$14</f>
        <v/>
      </c>
      <c r="AO417">
        <f>'19_Расчет_аналитики'!AN416*'01_Вводные'!$B$14</f>
        <v/>
      </c>
      <c r="AP417">
        <f>'19_Расчет_аналитики'!AO416*'01_Вводные'!$B$14</f>
        <v/>
      </c>
      <c r="AQ417">
        <f>'19_Расчет_аналитики'!AP416*'01_Вводные'!$B$14</f>
        <v/>
      </c>
      <c r="AR417">
        <f>'19_Расчет_аналитики'!AQ416*'01_Вводные'!$B$14</f>
        <v/>
      </c>
      <c r="AS417">
        <f>'19_Расчет_аналитики'!AR416*'01_Вводные'!$B$14</f>
        <v/>
      </c>
      <c r="AT417">
        <f>'19_Расчет_аналитики'!AS416*'01_Вводные'!$B$14</f>
        <v/>
      </c>
      <c r="AU417">
        <f>'19_Расчет_аналитики'!AT416*'01_Вводные'!$B$14</f>
        <v/>
      </c>
      <c r="AV417">
        <f>'19_Расчет_аналитики'!AU416*'01_Вводные'!$B$14</f>
        <v/>
      </c>
      <c r="AW417">
        <f>'19_Расчет_аналитики'!AV416*'01_Вводные'!$B$14</f>
        <v/>
      </c>
      <c r="AX417">
        <f>'19_Расчет_аналитики'!AW416*'01_Вводные'!$B$14</f>
        <v/>
      </c>
      <c r="AY417">
        <f>'19_Расчет_аналитики'!AX416*'01_Вводные'!$B$14</f>
        <v/>
      </c>
      <c r="AZ417">
        <f>'19_Расчет_аналитики'!AY416*'01_Вводные'!$B$14</f>
        <v/>
      </c>
      <c r="BA417">
        <f>'19_Расчет_аналитики'!AZ416*'01_Вводные'!$B$14</f>
        <v/>
      </c>
      <c r="BB417">
        <f>'19_Расчет_аналитики'!BA416*'01_Вводные'!$B$14</f>
        <v/>
      </c>
      <c r="BC417">
        <f>'19_Расчет_аналитики'!BB416*'01_Вводные'!$B$14</f>
        <v/>
      </c>
      <c r="BD417">
        <f>'19_Расчет_аналитики'!BC416*'01_Вводные'!$B$14</f>
        <v/>
      </c>
      <c r="BE417">
        <f>'19_Расчет_аналитики'!BD416*'01_Вводные'!$B$14</f>
        <v/>
      </c>
      <c r="BF417">
        <f>'19_Расчет_аналитики'!BE416*'01_Вводные'!$B$14</f>
        <v/>
      </c>
      <c r="BG417">
        <f>'19_Расчет_аналитики'!BF416*'01_Вводные'!$B$14</f>
        <v/>
      </c>
      <c r="BH417">
        <f>'19_Расчет_аналитики'!BG416*'01_Вводные'!$B$14</f>
        <v/>
      </c>
      <c r="BI417">
        <f>'19_Расчет_аналитики'!BH416*'01_Вводные'!$B$14</f>
        <v/>
      </c>
      <c r="BJ417">
        <f>'19_Расчет_аналитики'!BI416*'01_Вводные'!$B$14</f>
        <v/>
      </c>
      <c r="BK417">
        <f>'19_Расчет_аналитики'!BJ416*'01_Вводные'!$B$14</f>
        <v/>
      </c>
      <c r="BL417">
        <f>'19_Расчет_аналитики'!BK416*'01_Вводные'!$B$14</f>
        <v/>
      </c>
      <c r="BM417">
        <f>'19_Расчет_аналитики'!BL416*'01_Вводные'!$B$14</f>
        <v/>
      </c>
      <c r="BN417">
        <f>'19_Расчет_аналитики'!BM416*'01_Вводные'!$B$14</f>
        <v/>
      </c>
      <c r="BO417">
        <f>'19_Расчет_аналитики'!BN416*'01_Вводные'!$B$14</f>
        <v/>
      </c>
    </row>
    <row r="418">
      <c r="B418">
        <f>'06_Сеть_и_дети'!B63</f>
        <v/>
      </c>
      <c r="C418">
        <f>'06_Сеть_и_дети'!C63</f>
        <v/>
      </c>
      <c r="D418">
        <f>'06_Сеть_и_дети'!D63</f>
        <v/>
      </c>
      <c r="E418">
        <f>'06_Сеть_и_дети'!E63</f>
        <v/>
      </c>
      <c r="F418">
        <f>'06_Сеть_и_дети'!F63</f>
        <v/>
      </c>
      <c r="G418">
        <f>'06_Сеть_и_дети'!G63</f>
        <v/>
      </c>
      <c r="H418">
        <f>'06_Сеть_и_дети'!H63</f>
        <v/>
      </c>
      <c r="I418">
        <f>'06_Сеть_и_дети'!I63</f>
        <v/>
      </c>
      <c r="J418">
        <f>'06_Сеть_и_дети'!J63</f>
        <v/>
      </c>
      <c r="K418">
        <f>'06_Сеть_и_дети'!K63</f>
        <v/>
      </c>
      <c r="L418">
        <f>'19_Расчет_аналитики'!K417*'01_Вводные'!$B$14</f>
        <v/>
      </c>
      <c r="M418">
        <f>'19_Расчет_аналитики'!L417*'01_Вводные'!$B$14</f>
        <v/>
      </c>
      <c r="N418">
        <f>'19_Расчет_аналитики'!M417*'01_Вводные'!$B$14</f>
        <v/>
      </c>
      <c r="O418">
        <f>'19_Расчет_аналитики'!N417*'01_Вводные'!$B$14</f>
        <v/>
      </c>
      <c r="P418">
        <f>'19_Расчет_аналитики'!O417*'01_Вводные'!$B$14</f>
        <v/>
      </c>
      <c r="Q418">
        <f>'19_Расчет_аналитики'!P417*'01_Вводные'!$B$14</f>
        <v/>
      </c>
      <c r="R418">
        <f>'19_Расчет_аналитики'!Q417*'01_Вводные'!$B$14</f>
        <v/>
      </c>
      <c r="S418">
        <f>'19_Расчет_аналитики'!R417*'01_Вводные'!$B$14</f>
        <v/>
      </c>
      <c r="T418">
        <f>'19_Расчет_аналитики'!S417*'01_Вводные'!$B$14</f>
        <v/>
      </c>
      <c r="U418">
        <f>'19_Расчет_аналитики'!T417*'01_Вводные'!$B$14</f>
        <v/>
      </c>
      <c r="V418">
        <f>'19_Расчет_аналитики'!U417*'01_Вводные'!$B$14</f>
        <v/>
      </c>
      <c r="W418">
        <f>'19_Расчет_аналитики'!V417*'01_Вводные'!$B$14</f>
        <v/>
      </c>
      <c r="X418">
        <f>'19_Расчет_аналитики'!W417*'01_Вводные'!$B$14</f>
        <v/>
      </c>
      <c r="Y418">
        <f>'19_Расчет_аналитики'!X417*'01_Вводные'!$B$14</f>
        <v/>
      </c>
      <c r="Z418">
        <f>'19_Расчет_аналитики'!Y417*'01_Вводные'!$B$14</f>
        <v/>
      </c>
      <c r="AA418">
        <f>'19_Расчет_аналитики'!Z417*'01_Вводные'!$B$14</f>
        <v/>
      </c>
      <c r="AB418">
        <f>'19_Расчет_аналитики'!AA417*'01_Вводные'!$B$14</f>
        <v/>
      </c>
      <c r="AC418">
        <f>'19_Расчет_аналитики'!AB417*'01_Вводные'!$B$14</f>
        <v/>
      </c>
      <c r="AD418">
        <f>'19_Расчет_аналитики'!AC417*'01_Вводные'!$B$14</f>
        <v/>
      </c>
      <c r="AE418">
        <f>'19_Расчет_аналитики'!AD417*'01_Вводные'!$B$14</f>
        <v/>
      </c>
      <c r="AF418">
        <f>'19_Расчет_аналитики'!AE417*'01_Вводные'!$B$14</f>
        <v/>
      </c>
      <c r="AG418">
        <f>'19_Расчет_аналитики'!AF417*'01_Вводные'!$B$14</f>
        <v/>
      </c>
      <c r="AH418">
        <f>'19_Расчет_аналитики'!AG417*'01_Вводные'!$B$14</f>
        <v/>
      </c>
      <c r="AI418">
        <f>'19_Расчет_аналитики'!AH417*'01_Вводные'!$B$14</f>
        <v/>
      </c>
      <c r="AJ418">
        <f>'19_Расчет_аналитики'!AI417*'01_Вводные'!$B$14</f>
        <v/>
      </c>
      <c r="AK418">
        <f>'19_Расчет_аналитики'!AJ417*'01_Вводные'!$B$14</f>
        <v/>
      </c>
      <c r="AL418">
        <f>'19_Расчет_аналитики'!AK417*'01_Вводные'!$B$14</f>
        <v/>
      </c>
      <c r="AM418">
        <f>'19_Расчет_аналитики'!AL417*'01_Вводные'!$B$14</f>
        <v/>
      </c>
      <c r="AN418">
        <f>'19_Расчет_аналитики'!AM417*'01_Вводные'!$B$14</f>
        <v/>
      </c>
      <c r="AO418">
        <f>'19_Расчет_аналитики'!AN417*'01_Вводные'!$B$14</f>
        <v/>
      </c>
      <c r="AP418">
        <f>'19_Расчет_аналитики'!AO417*'01_Вводные'!$B$14</f>
        <v/>
      </c>
      <c r="AQ418">
        <f>'19_Расчет_аналитики'!AP417*'01_Вводные'!$B$14</f>
        <v/>
      </c>
      <c r="AR418">
        <f>'19_Расчет_аналитики'!AQ417*'01_Вводные'!$B$14</f>
        <v/>
      </c>
      <c r="AS418">
        <f>'19_Расчет_аналитики'!AR417*'01_Вводные'!$B$14</f>
        <v/>
      </c>
      <c r="AT418">
        <f>'19_Расчет_аналитики'!AS417*'01_Вводные'!$B$14</f>
        <v/>
      </c>
      <c r="AU418">
        <f>'19_Расчет_аналитики'!AT417*'01_Вводные'!$B$14</f>
        <v/>
      </c>
      <c r="AV418">
        <f>'19_Расчет_аналитики'!AU417*'01_Вводные'!$B$14</f>
        <v/>
      </c>
      <c r="AW418">
        <f>'19_Расчет_аналитики'!AV417*'01_Вводные'!$B$14</f>
        <v/>
      </c>
      <c r="AX418">
        <f>'19_Расчет_аналитики'!AW417*'01_Вводные'!$B$14</f>
        <v/>
      </c>
      <c r="AY418">
        <f>'19_Расчет_аналитики'!AX417*'01_Вводные'!$B$14</f>
        <v/>
      </c>
      <c r="AZ418">
        <f>'19_Расчет_аналитики'!AY417*'01_Вводные'!$B$14</f>
        <v/>
      </c>
      <c r="BA418">
        <f>'19_Расчет_аналитики'!AZ417*'01_Вводные'!$B$14</f>
        <v/>
      </c>
      <c r="BB418">
        <f>'19_Расчет_аналитики'!BA417*'01_Вводные'!$B$14</f>
        <v/>
      </c>
      <c r="BC418">
        <f>'19_Расчет_аналитики'!BB417*'01_Вводные'!$B$14</f>
        <v/>
      </c>
      <c r="BD418">
        <f>'19_Расчет_аналитики'!BC417*'01_Вводные'!$B$14</f>
        <v/>
      </c>
      <c r="BE418">
        <f>'19_Расчет_аналитики'!BD417*'01_Вводные'!$B$14</f>
        <v/>
      </c>
      <c r="BF418">
        <f>'19_Расчет_аналитики'!BE417*'01_Вводные'!$B$14</f>
        <v/>
      </c>
      <c r="BG418">
        <f>'19_Расчет_аналитики'!BF417*'01_Вводные'!$B$14</f>
        <v/>
      </c>
      <c r="BH418">
        <f>'19_Расчет_аналитики'!BG417*'01_Вводные'!$B$14</f>
        <v/>
      </c>
      <c r="BI418">
        <f>'19_Расчет_аналитики'!BH417*'01_Вводные'!$B$14</f>
        <v/>
      </c>
      <c r="BJ418">
        <f>'19_Расчет_аналитики'!BI417*'01_Вводные'!$B$14</f>
        <v/>
      </c>
      <c r="BK418">
        <f>'19_Расчет_аналитики'!BJ417*'01_Вводные'!$B$14</f>
        <v/>
      </c>
      <c r="BL418">
        <f>'19_Расчет_аналитики'!BK417*'01_Вводные'!$B$14</f>
        <v/>
      </c>
      <c r="BM418">
        <f>'19_Расчет_аналитики'!BL417*'01_Вводные'!$B$14</f>
        <v/>
      </c>
      <c r="BN418">
        <f>'19_Расчет_аналитики'!BM417*'01_Вводные'!$B$14</f>
        <v/>
      </c>
      <c r="BO418">
        <f>'19_Расчет_аналитики'!BN417*'01_Вводные'!$B$14</f>
        <v/>
      </c>
    </row>
    <row r="419">
      <c r="B419">
        <f>'06_Сеть_и_дети'!B64</f>
        <v/>
      </c>
      <c r="C419">
        <f>'06_Сеть_и_дети'!C64</f>
        <v/>
      </c>
      <c r="D419">
        <f>'06_Сеть_и_дети'!D64</f>
        <v/>
      </c>
      <c r="E419">
        <f>'06_Сеть_и_дети'!E64</f>
        <v/>
      </c>
      <c r="F419">
        <f>'06_Сеть_и_дети'!F64</f>
        <v/>
      </c>
      <c r="G419">
        <f>'06_Сеть_и_дети'!G64</f>
        <v/>
      </c>
      <c r="H419">
        <f>'06_Сеть_и_дети'!H64</f>
        <v/>
      </c>
      <c r="I419">
        <f>'06_Сеть_и_дети'!I64</f>
        <v/>
      </c>
      <c r="J419">
        <f>'06_Сеть_и_дети'!J64</f>
        <v/>
      </c>
      <c r="K419">
        <f>'06_Сеть_и_дети'!K64</f>
        <v/>
      </c>
      <c r="L419">
        <f>'06_Сеть_и_дети'!L64</f>
        <v/>
      </c>
      <c r="M419">
        <f>'19_Расчет_аналитики'!L418*'01_Вводные'!$B$14</f>
        <v/>
      </c>
      <c r="N419">
        <f>'19_Расчет_аналитики'!M418*'01_Вводные'!$B$14</f>
        <v/>
      </c>
      <c r="O419">
        <f>'19_Расчет_аналитики'!N418*'01_Вводные'!$B$14</f>
        <v/>
      </c>
      <c r="P419">
        <f>'19_Расчет_аналитики'!O418*'01_Вводные'!$B$14</f>
        <v/>
      </c>
      <c r="Q419">
        <f>'19_Расчет_аналитики'!P418*'01_Вводные'!$B$14</f>
        <v/>
      </c>
      <c r="R419">
        <f>'19_Расчет_аналитики'!Q418*'01_Вводные'!$B$14</f>
        <v/>
      </c>
      <c r="S419">
        <f>'19_Расчет_аналитики'!R418*'01_Вводные'!$B$14</f>
        <v/>
      </c>
      <c r="T419">
        <f>'19_Расчет_аналитики'!S418*'01_Вводные'!$B$14</f>
        <v/>
      </c>
      <c r="U419">
        <f>'19_Расчет_аналитики'!T418*'01_Вводные'!$B$14</f>
        <v/>
      </c>
      <c r="V419">
        <f>'19_Расчет_аналитики'!U418*'01_Вводные'!$B$14</f>
        <v/>
      </c>
      <c r="W419">
        <f>'19_Расчет_аналитики'!V418*'01_Вводные'!$B$14</f>
        <v/>
      </c>
      <c r="X419">
        <f>'19_Расчет_аналитики'!W418*'01_Вводные'!$B$14</f>
        <v/>
      </c>
      <c r="Y419">
        <f>'19_Расчет_аналитики'!X418*'01_Вводные'!$B$14</f>
        <v/>
      </c>
      <c r="Z419">
        <f>'19_Расчет_аналитики'!Y418*'01_Вводные'!$B$14</f>
        <v/>
      </c>
      <c r="AA419">
        <f>'19_Расчет_аналитики'!Z418*'01_Вводные'!$B$14</f>
        <v/>
      </c>
      <c r="AB419">
        <f>'19_Расчет_аналитики'!AA418*'01_Вводные'!$B$14</f>
        <v/>
      </c>
      <c r="AC419">
        <f>'19_Расчет_аналитики'!AB418*'01_Вводные'!$B$14</f>
        <v/>
      </c>
      <c r="AD419">
        <f>'19_Расчет_аналитики'!AC418*'01_Вводные'!$B$14</f>
        <v/>
      </c>
      <c r="AE419">
        <f>'19_Расчет_аналитики'!AD418*'01_Вводные'!$B$14</f>
        <v/>
      </c>
      <c r="AF419">
        <f>'19_Расчет_аналитики'!AE418*'01_Вводные'!$B$14</f>
        <v/>
      </c>
      <c r="AG419">
        <f>'19_Расчет_аналитики'!AF418*'01_Вводные'!$B$14</f>
        <v/>
      </c>
      <c r="AH419">
        <f>'19_Расчет_аналитики'!AG418*'01_Вводные'!$B$14</f>
        <v/>
      </c>
      <c r="AI419">
        <f>'19_Расчет_аналитики'!AH418*'01_Вводные'!$B$14</f>
        <v/>
      </c>
      <c r="AJ419">
        <f>'19_Расчет_аналитики'!AI418*'01_Вводные'!$B$14</f>
        <v/>
      </c>
      <c r="AK419">
        <f>'19_Расчет_аналитики'!AJ418*'01_Вводные'!$B$14</f>
        <v/>
      </c>
      <c r="AL419">
        <f>'19_Расчет_аналитики'!AK418*'01_Вводные'!$B$14</f>
        <v/>
      </c>
      <c r="AM419">
        <f>'19_Расчет_аналитики'!AL418*'01_Вводные'!$B$14</f>
        <v/>
      </c>
      <c r="AN419">
        <f>'19_Расчет_аналитики'!AM418*'01_Вводные'!$B$14</f>
        <v/>
      </c>
      <c r="AO419">
        <f>'19_Расчет_аналитики'!AN418*'01_Вводные'!$B$14</f>
        <v/>
      </c>
      <c r="AP419">
        <f>'19_Расчет_аналитики'!AO418*'01_Вводные'!$B$14</f>
        <v/>
      </c>
      <c r="AQ419">
        <f>'19_Расчет_аналитики'!AP418*'01_Вводные'!$B$14</f>
        <v/>
      </c>
      <c r="AR419">
        <f>'19_Расчет_аналитики'!AQ418*'01_Вводные'!$B$14</f>
        <v/>
      </c>
      <c r="AS419">
        <f>'19_Расчет_аналитики'!AR418*'01_Вводные'!$B$14</f>
        <v/>
      </c>
      <c r="AT419">
        <f>'19_Расчет_аналитики'!AS418*'01_Вводные'!$B$14</f>
        <v/>
      </c>
      <c r="AU419">
        <f>'19_Расчет_аналитики'!AT418*'01_Вводные'!$B$14</f>
        <v/>
      </c>
      <c r="AV419">
        <f>'19_Расчет_аналитики'!AU418*'01_Вводные'!$B$14</f>
        <v/>
      </c>
      <c r="AW419">
        <f>'19_Расчет_аналитики'!AV418*'01_Вводные'!$B$14</f>
        <v/>
      </c>
      <c r="AX419">
        <f>'19_Расчет_аналитики'!AW418*'01_Вводные'!$B$14</f>
        <v/>
      </c>
      <c r="AY419">
        <f>'19_Расчет_аналитики'!AX418*'01_Вводные'!$B$14</f>
        <v/>
      </c>
      <c r="AZ419">
        <f>'19_Расчет_аналитики'!AY418*'01_Вводные'!$B$14</f>
        <v/>
      </c>
      <c r="BA419">
        <f>'19_Расчет_аналитики'!AZ418*'01_Вводные'!$B$14</f>
        <v/>
      </c>
      <c r="BB419">
        <f>'19_Расчет_аналитики'!BA418*'01_Вводные'!$B$14</f>
        <v/>
      </c>
      <c r="BC419">
        <f>'19_Расчет_аналитики'!BB418*'01_Вводные'!$B$14</f>
        <v/>
      </c>
      <c r="BD419">
        <f>'19_Расчет_аналитики'!BC418*'01_Вводные'!$B$14</f>
        <v/>
      </c>
      <c r="BE419">
        <f>'19_Расчет_аналитики'!BD418*'01_Вводные'!$B$14</f>
        <v/>
      </c>
      <c r="BF419">
        <f>'19_Расчет_аналитики'!BE418*'01_Вводные'!$B$14</f>
        <v/>
      </c>
      <c r="BG419">
        <f>'19_Расчет_аналитики'!BF418*'01_Вводные'!$B$14</f>
        <v/>
      </c>
      <c r="BH419">
        <f>'19_Расчет_аналитики'!BG418*'01_Вводные'!$B$14</f>
        <v/>
      </c>
      <c r="BI419">
        <f>'19_Расчет_аналитики'!BH418*'01_Вводные'!$B$14</f>
        <v/>
      </c>
      <c r="BJ419">
        <f>'19_Расчет_аналитики'!BI418*'01_Вводные'!$B$14</f>
        <v/>
      </c>
      <c r="BK419">
        <f>'19_Расчет_аналитики'!BJ418*'01_Вводные'!$B$14</f>
        <v/>
      </c>
      <c r="BL419">
        <f>'19_Расчет_аналитики'!BK418*'01_Вводные'!$B$14</f>
        <v/>
      </c>
      <c r="BM419">
        <f>'19_Расчет_аналитики'!BL418*'01_Вводные'!$B$14</f>
        <v/>
      </c>
      <c r="BN419">
        <f>'19_Расчет_аналитики'!BM418*'01_Вводные'!$B$14</f>
        <v/>
      </c>
      <c r="BO419">
        <f>'19_Расчет_аналитики'!BN418*'01_Вводные'!$B$14</f>
        <v/>
      </c>
    </row>
    <row r="420">
      <c r="B420">
        <f>'06_Сеть_и_дети'!B65</f>
        <v/>
      </c>
      <c r="C420">
        <f>'06_Сеть_и_дети'!C65</f>
        <v/>
      </c>
      <c r="D420">
        <f>'06_Сеть_и_дети'!D65</f>
        <v/>
      </c>
      <c r="E420">
        <f>'06_Сеть_и_дети'!E65</f>
        <v/>
      </c>
      <c r="F420">
        <f>'06_Сеть_и_дети'!F65</f>
        <v/>
      </c>
      <c r="G420">
        <f>'06_Сеть_и_дети'!G65</f>
        <v/>
      </c>
      <c r="H420">
        <f>'06_Сеть_и_дети'!H65</f>
        <v/>
      </c>
      <c r="I420">
        <f>'06_Сеть_и_дети'!I65</f>
        <v/>
      </c>
      <c r="J420">
        <f>'06_Сеть_и_дети'!J65</f>
        <v/>
      </c>
      <c r="K420">
        <f>'06_Сеть_и_дети'!K65</f>
        <v/>
      </c>
      <c r="L420">
        <f>'06_Сеть_и_дети'!L65</f>
        <v/>
      </c>
      <c r="M420">
        <f>'06_Сеть_и_дети'!M65</f>
        <v/>
      </c>
      <c r="N420">
        <f>'19_Расчет_аналитики'!M419*'01_Вводные'!$B$14</f>
        <v/>
      </c>
      <c r="O420">
        <f>'19_Расчет_аналитики'!N419*'01_Вводные'!$B$14</f>
        <v/>
      </c>
      <c r="P420">
        <f>'19_Расчет_аналитики'!O419*'01_Вводные'!$B$14</f>
        <v/>
      </c>
      <c r="Q420">
        <f>'19_Расчет_аналитики'!P419*'01_Вводные'!$B$14</f>
        <v/>
      </c>
      <c r="R420">
        <f>'19_Расчет_аналитики'!Q419*'01_Вводные'!$B$14</f>
        <v/>
      </c>
      <c r="S420">
        <f>'19_Расчет_аналитики'!R419*'01_Вводные'!$B$14</f>
        <v/>
      </c>
      <c r="T420">
        <f>'19_Расчет_аналитики'!S419*'01_Вводные'!$B$14</f>
        <v/>
      </c>
      <c r="U420">
        <f>'19_Расчет_аналитики'!T419*'01_Вводные'!$B$14</f>
        <v/>
      </c>
      <c r="V420">
        <f>'19_Расчет_аналитики'!U419*'01_Вводные'!$B$14</f>
        <v/>
      </c>
      <c r="W420">
        <f>'19_Расчет_аналитики'!V419*'01_Вводные'!$B$14</f>
        <v/>
      </c>
      <c r="X420">
        <f>'19_Расчет_аналитики'!W419*'01_Вводные'!$B$14</f>
        <v/>
      </c>
      <c r="Y420">
        <f>'19_Расчет_аналитики'!X419*'01_Вводные'!$B$14</f>
        <v/>
      </c>
      <c r="Z420">
        <f>'19_Расчет_аналитики'!Y419*'01_Вводные'!$B$14</f>
        <v/>
      </c>
      <c r="AA420">
        <f>'19_Расчет_аналитики'!Z419*'01_Вводные'!$B$14</f>
        <v/>
      </c>
      <c r="AB420">
        <f>'19_Расчет_аналитики'!AA419*'01_Вводные'!$B$14</f>
        <v/>
      </c>
      <c r="AC420">
        <f>'19_Расчет_аналитики'!AB419*'01_Вводные'!$B$14</f>
        <v/>
      </c>
      <c r="AD420">
        <f>'19_Расчет_аналитики'!AC419*'01_Вводные'!$B$14</f>
        <v/>
      </c>
      <c r="AE420">
        <f>'19_Расчет_аналитики'!AD419*'01_Вводные'!$B$14</f>
        <v/>
      </c>
      <c r="AF420">
        <f>'19_Расчет_аналитики'!AE419*'01_Вводные'!$B$14</f>
        <v/>
      </c>
      <c r="AG420">
        <f>'19_Расчет_аналитики'!AF419*'01_Вводные'!$B$14</f>
        <v/>
      </c>
      <c r="AH420">
        <f>'19_Расчет_аналитики'!AG419*'01_Вводные'!$B$14</f>
        <v/>
      </c>
      <c r="AI420">
        <f>'19_Расчет_аналитики'!AH419*'01_Вводные'!$B$14</f>
        <v/>
      </c>
      <c r="AJ420">
        <f>'19_Расчет_аналитики'!AI419*'01_Вводные'!$B$14</f>
        <v/>
      </c>
      <c r="AK420">
        <f>'19_Расчет_аналитики'!AJ419*'01_Вводные'!$B$14</f>
        <v/>
      </c>
      <c r="AL420">
        <f>'19_Расчет_аналитики'!AK419*'01_Вводные'!$B$14</f>
        <v/>
      </c>
      <c r="AM420">
        <f>'19_Расчет_аналитики'!AL419*'01_Вводные'!$B$14</f>
        <v/>
      </c>
      <c r="AN420">
        <f>'19_Расчет_аналитики'!AM419*'01_Вводные'!$B$14</f>
        <v/>
      </c>
      <c r="AO420">
        <f>'19_Расчет_аналитики'!AN419*'01_Вводные'!$B$14</f>
        <v/>
      </c>
      <c r="AP420">
        <f>'19_Расчет_аналитики'!AO419*'01_Вводные'!$B$14</f>
        <v/>
      </c>
      <c r="AQ420">
        <f>'19_Расчет_аналитики'!AP419*'01_Вводные'!$B$14</f>
        <v/>
      </c>
      <c r="AR420">
        <f>'19_Расчет_аналитики'!AQ419*'01_Вводные'!$B$14</f>
        <v/>
      </c>
      <c r="AS420">
        <f>'19_Расчет_аналитики'!AR419*'01_Вводные'!$B$14</f>
        <v/>
      </c>
      <c r="AT420">
        <f>'19_Расчет_аналитики'!AS419*'01_Вводные'!$B$14</f>
        <v/>
      </c>
      <c r="AU420">
        <f>'19_Расчет_аналитики'!AT419*'01_Вводные'!$B$14</f>
        <v/>
      </c>
      <c r="AV420">
        <f>'19_Расчет_аналитики'!AU419*'01_Вводные'!$B$14</f>
        <v/>
      </c>
      <c r="AW420">
        <f>'19_Расчет_аналитики'!AV419*'01_Вводные'!$B$14</f>
        <v/>
      </c>
      <c r="AX420">
        <f>'19_Расчет_аналитики'!AW419*'01_Вводные'!$B$14</f>
        <v/>
      </c>
      <c r="AY420">
        <f>'19_Расчет_аналитики'!AX419*'01_Вводные'!$B$14</f>
        <v/>
      </c>
      <c r="AZ420">
        <f>'19_Расчет_аналитики'!AY419*'01_Вводные'!$B$14</f>
        <v/>
      </c>
      <c r="BA420">
        <f>'19_Расчет_аналитики'!AZ419*'01_Вводные'!$B$14</f>
        <v/>
      </c>
      <c r="BB420">
        <f>'19_Расчет_аналитики'!BA419*'01_Вводные'!$B$14</f>
        <v/>
      </c>
      <c r="BC420">
        <f>'19_Расчет_аналитики'!BB419*'01_Вводные'!$B$14</f>
        <v/>
      </c>
      <c r="BD420">
        <f>'19_Расчет_аналитики'!BC419*'01_Вводные'!$B$14</f>
        <v/>
      </c>
      <c r="BE420">
        <f>'19_Расчет_аналитики'!BD419*'01_Вводные'!$B$14</f>
        <v/>
      </c>
      <c r="BF420">
        <f>'19_Расчет_аналитики'!BE419*'01_Вводные'!$B$14</f>
        <v/>
      </c>
      <c r="BG420">
        <f>'19_Расчет_аналитики'!BF419*'01_Вводные'!$B$14</f>
        <v/>
      </c>
      <c r="BH420">
        <f>'19_Расчет_аналитики'!BG419*'01_Вводные'!$B$14</f>
        <v/>
      </c>
      <c r="BI420">
        <f>'19_Расчет_аналитики'!BH419*'01_Вводные'!$B$14</f>
        <v/>
      </c>
      <c r="BJ420">
        <f>'19_Расчет_аналитики'!BI419*'01_Вводные'!$B$14</f>
        <v/>
      </c>
      <c r="BK420">
        <f>'19_Расчет_аналитики'!BJ419*'01_Вводные'!$B$14</f>
        <v/>
      </c>
      <c r="BL420">
        <f>'19_Расчет_аналитики'!BK419*'01_Вводные'!$B$14</f>
        <v/>
      </c>
      <c r="BM420">
        <f>'19_Расчет_аналитики'!BL419*'01_Вводные'!$B$14</f>
        <v/>
      </c>
      <c r="BN420">
        <f>'19_Расчет_аналитики'!BM419*'01_Вводные'!$B$14</f>
        <v/>
      </c>
      <c r="BO420">
        <f>'19_Расчет_аналитики'!BN419*'01_Вводные'!$B$14</f>
        <v/>
      </c>
    </row>
    <row r="421">
      <c r="B421">
        <f>'06_Сеть_и_дети'!B66</f>
        <v/>
      </c>
      <c r="C421">
        <f>'06_Сеть_и_дети'!C66</f>
        <v/>
      </c>
      <c r="D421">
        <f>'06_Сеть_и_дети'!D66</f>
        <v/>
      </c>
      <c r="E421">
        <f>'06_Сеть_и_дети'!E66</f>
        <v/>
      </c>
      <c r="F421">
        <f>'06_Сеть_и_дети'!F66</f>
        <v/>
      </c>
      <c r="G421">
        <f>'06_Сеть_и_дети'!G66</f>
        <v/>
      </c>
      <c r="H421">
        <f>'06_Сеть_и_дети'!H66</f>
        <v/>
      </c>
      <c r="I421">
        <f>'06_Сеть_и_дети'!I66</f>
        <v/>
      </c>
      <c r="J421">
        <f>'06_Сеть_и_дети'!J66</f>
        <v/>
      </c>
      <c r="K421">
        <f>'06_Сеть_и_дети'!K66</f>
        <v/>
      </c>
      <c r="L421">
        <f>'06_Сеть_и_дети'!L66</f>
        <v/>
      </c>
      <c r="M421">
        <f>'06_Сеть_и_дети'!M66</f>
        <v/>
      </c>
      <c r="N421">
        <f>'06_Сеть_и_дети'!N66</f>
        <v/>
      </c>
      <c r="O421">
        <f>'19_Расчет_аналитики'!N420*'01_Вводные'!$B$14</f>
        <v/>
      </c>
      <c r="P421">
        <f>'19_Расчет_аналитики'!O420*'01_Вводные'!$B$14</f>
        <v/>
      </c>
      <c r="Q421">
        <f>'19_Расчет_аналитики'!P420*'01_Вводные'!$B$14</f>
        <v/>
      </c>
      <c r="R421">
        <f>'19_Расчет_аналитики'!Q420*'01_Вводные'!$B$14</f>
        <v/>
      </c>
      <c r="S421">
        <f>'19_Расчет_аналитики'!R420*'01_Вводные'!$B$14</f>
        <v/>
      </c>
      <c r="T421">
        <f>'19_Расчет_аналитики'!S420*'01_Вводные'!$B$14</f>
        <v/>
      </c>
      <c r="U421">
        <f>'19_Расчет_аналитики'!T420*'01_Вводные'!$B$14</f>
        <v/>
      </c>
      <c r="V421">
        <f>'19_Расчет_аналитики'!U420*'01_Вводные'!$B$14</f>
        <v/>
      </c>
      <c r="W421">
        <f>'19_Расчет_аналитики'!V420*'01_Вводные'!$B$14</f>
        <v/>
      </c>
      <c r="X421">
        <f>'19_Расчет_аналитики'!W420*'01_Вводные'!$B$14</f>
        <v/>
      </c>
      <c r="Y421">
        <f>'19_Расчет_аналитики'!X420*'01_Вводные'!$B$14</f>
        <v/>
      </c>
      <c r="Z421">
        <f>'19_Расчет_аналитики'!Y420*'01_Вводные'!$B$14</f>
        <v/>
      </c>
      <c r="AA421">
        <f>'19_Расчет_аналитики'!Z420*'01_Вводные'!$B$14</f>
        <v/>
      </c>
      <c r="AB421">
        <f>'19_Расчет_аналитики'!AA420*'01_Вводные'!$B$14</f>
        <v/>
      </c>
      <c r="AC421">
        <f>'19_Расчет_аналитики'!AB420*'01_Вводные'!$B$14</f>
        <v/>
      </c>
      <c r="AD421">
        <f>'19_Расчет_аналитики'!AC420*'01_Вводные'!$B$14</f>
        <v/>
      </c>
      <c r="AE421">
        <f>'19_Расчет_аналитики'!AD420*'01_Вводные'!$B$14</f>
        <v/>
      </c>
      <c r="AF421">
        <f>'19_Расчет_аналитики'!AE420*'01_Вводные'!$B$14</f>
        <v/>
      </c>
      <c r="AG421">
        <f>'19_Расчет_аналитики'!AF420*'01_Вводные'!$B$14</f>
        <v/>
      </c>
      <c r="AH421">
        <f>'19_Расчет_аналитики'!AG420*'01_Вводные'!$B$14</f>
        <v/>
      </c>
      <c r="AI421">
        <f>'19_Расчет_аналитики'!AH420*'01_Вводные'!$B$14</f>
        <v/>
      </c>
      <c r="AJ421">
        <f>'19_Расчет_аналитики'!AI420*'01_Вводные'!$B$14</f>
        <v/>
      </c>
      <c r="AK421">
        <f>'19_Расчет_аналитики'!AJ420*'01_Вводные'!$B$14</f>
        <v/>
      </c>
      <c r="AL421">
        <f>'19_Расчет_аналитики'!AK420*'01_Вводные'!$B$14</f>
        <v/>
      </c>
      <c r="AM421">
        <f>'19_Расчет_аналитики'!AL420*'01_Вводные'!$B$14</f>
        <v/>
      </c>
      <c r="AN421">
        <f>'19_Расчет_аналитики'!AM420*'01_Вводные'!$B$14</f>
        <v/>
      </c>
      <c r="AO421">
        <f>'19_Расчет_аналитики'!AN420*'01_Вводные'!$B$14</f>
        <v/>
      </c>
      <c r="AP421">
        <f>'19_Расчет_аналитики'!AO420*'01_Вводные'!$B$14</f>
        <v/>
      </c>
      <c r="AQ421">
        <f>'19_Расчет_аналитики'!AP420*'01_Вводные'!$B$14</f>
        <v/>
      </c>
      <c r="AR421">
        <f>'19_Расчет_аналитики'!AQ420*'01_Вводные'!$B$14</f>
        <v/>
      </c>
      <c r="AS421">
        <f>'19_Расчет_аналитики'!AR420*'01_Вводные'!$B$14</f>
        <v/>
      </c>
      <c r="AT421">
        <f>'19_Расчет_аналитики'!AS420*'01_Вводные'!$B$14</f>
        <v/>
      </c>
      <c r="AU421">
        <f>'19_Расчет_аналитики'!AT420*'01_Вводные'!$B$14</f>
        <v/>
      </c>
      <c r="AV421">
        <f>'19_Расчет_аналитики'!AU420*'01_Вводные'!$B$14</f>
        <v/>
      </c>
      <c r="AW421">
        <f>'19_Расчет_аналитики'!AV420*'01_Вводные'!$B$14</f>
        <v/>
      </c>
      <c r="AX421">
        <f>'19_Расчет_аналитики'!AW420*'01_Вводные'!$B$14</f>
        <v/>
      </c>
      <c r="AY421">
        <f>'19_Расчет_аналитики'!AX420*'01_Вводные'!$B$14</f>
        <v/>
      </c>
      <c r="AZ421">
        <f>'19_Расчет_аналитики'!AY420*'01_Вводные'!$B$14</f>
        <v/>
      </c>
      <c r="BA421">
        <f>'19_Расчет_аналитики'!AZ420*'01_Вводные'!$B$14</f>
        <v/>
      </c>
      <c r="BB421">
        <f>'19_Расчет_аналитики'!BA420*'01_Вводные'!$B$14</f>
        <v/>
      </c>
      <c r="BC421">
        <f>'19_Расчет_аналитики'!BB420*'01_Вводные'!$B$14</f>
        <v/>
      </c>
      <c r="BD421">
        <f>'19_Расчет_аналитики'!BC420*'01_Вводные'!$B$14</f>
        <v/>
      </c>
      <c r="BE421">
        <f>'19_Расчет_аналитики'!BD420*'01_Вводные'!$B$14</f>
        <v/>
      </c>
      <c r="BF421">
        <f>'19_Расчет_аналитики'!BE420*'01_Вводные'!$B$14</f>
        <v/>
      </c>
      <c r="BG421">
        <f>'19_Расчет_аналитики'!BF420*'01_Вводные'!$B$14</f>
        <v/>
      </c>
      <c r="BH421">
        <f>'19_Расчет_аналитики'!BG420*'01_Вводные'!$B$14</f>
        <v/>
      </c>
      <c r="BI421">
        <f>'19_Расчет_аналитики'!BH420*'01_Вводные'!$B$14</f>
        <v/>
      </c>
      <c r="BJ421">
        <f>'19_Расчет_аналитики'!BI420*'01_Вводные'!$B$14</f>
        <v/>
      </c>
      <c r="BK421">
        <f>'19_Расчет_аналитики'!BJ420*'01_Вводные'!$B$14</f>
        <v/>
      </c>
      <c r="BL421">
        <f>'19_Расчет_аналитики'!BK420*'01_Вводные'!$B$14</f>
        <v/>
      </c>
      <c r="BM421">
        <f>'19_Расчет_аналитики'!BL420*'01_Вводные'!$B$14</f>
        <v/>
      </c>
      <c r="BN421">
        <f>'19_Расчет_аналитики'!BM420*'01_Вводные'!$B$14</f>
        <v/>
      </c>
      <c r="BO421">
        <f>'19_Расчет_аналитики'!BN420*'01_Вводные'!$B$14</f>
        <v/>
      </c>
    </row>
    <row r="422">
      <c r="B422">
        <f>'06_Сеть_и_дети'!B67</f>
        <v/>
      </c>
      <c r="C422">
        <f>'06_Сеть_и_дети'!C67</f>
        <v/>
      </c>
      <c r="D422">
        <f>'06_Сеть_и_дети'!D67</f>
        <v/>
      </c>
      <c r="E422">
        <f>'06_Сеть_и_дети'!E67</f>
        <v/>
      </c>
      <c r="F422">
        <f>'06_Сеть_и_дети'!F67</f>
        <v/>
      </c>
      <c r="G422">
        <f>'06_Сеть_и_дети'!G67</f>
        <v/>
      </c>
      <c r="H422">
        <f>'06_Сеть_и_дети'!H67</f>
        <v/>
      </c>
      <c r="I422">
        <f>'06_Сеть_и_дети'!I67</f>
        <v/>
      </c>
      <c r="J422">
        <f>'06_Сеть_и_дети'!J67</f>
        <v/>
      </c>
      <c r="K422">
        <f>'06_Сеть_и_дети'!K67</f>
        <v/>
      </c>
      <c r="L422">
        <f>'06_Сеть_и_дети'!L67</f>
        <v/>
      </c>
      <c r="M422">
        <f>'06_Сеть_и_дети'!M67</f>
        <v/>
      </c>
      <c r="N422">
        <f>'06_Сеть_и_дети'!N67</f>
        <v/>
      </c>
      <c r="O422">
        <f>'06_Сеть_и_дети'!O67</f>
        <v/>
      </c>
      <c r="P422">
        <f>'19_Расчет_аналитики'!O421*'01_Вводные'!$B$14</f>
        <v/>
      </c>
      <c r="Q422">
        <f>'19_Расчет_аналитики'!P421*'01_Вводные'!$B$14</f>
        <v/>
      </c>
      <c r="R422">
        <f>'19_Расчет_аналитики'!Q421*'01_Вводные'!$B$14</f>
        <v/>
      </c>
      <c r="S422">
        <f>'19_Расчет_аналитики'!R421*'01_Вводные'!$B$14</f>
        <v/>
      </c>
      <c r="T422">
        <f>'19_Расчет_аналитики'!S421*'01_Вводные'!$B$14</f>
        <v/>
      </c>
      <c r="U422">
        <f>'19_Расчет_аналитики'!T421*'01_Вводные'!$B$14</f>
        <v/>
      </c>
      <c r="V422">
        <f>'19_Расчет_аналитики'!U421*'01_Вводные'!$B$14</f>
        <v/>
      </c>
      <c r="W422">
        <f>'19_Расчет_аналитики'!V421*'01_Вводные'!$B$14</f>
        <v/>
      </c>
      <c r="X422">
        <f>'19_Расчет_аналитики'!W421*'01_Вводные'!$B$14</f>
        <v/>
      </c>
      <c r="Y422">
        <f>'19_Расчет_аналитики'!X421*'01_Вводные'!$B$14</f>
        <v/>
      </c>
      <c r="Z422">
        <f>'19_Расчет_аналитики'!Y421*'01_Вводные'!$B$14</f>
        <v/>
      </c>
      <c r="AA422">
        <f>'19_Расчет_аналитики'!Z421*'01_Вводные'!$B$14</f>
        <v/>
      </c>
      <c r="AB422">
        <f>'19_Расчет_аналитики'!AA421*'01_Вводные'!$B$14</f>
        <v/>
      </c>
      <c r="AC422">
        <f>'19_Расчет_аналитики'!AB421*'01_Вводные'!$B$14</f>
        <v/>
      </c>
      <c r="AD422">
        <f>'19_Расчет_аналитики'!AC421*'01_Вводные'!$B$14</f>
        <v/>
      </c>
      <c r="AE422">
        <f>'19_Расчет_аналитики'!AD421*'01_Вводные'!$B$14</f>
        <v/>
      </c>
      <c r="AF422">
        <f>'19_Расчет_аналитики'!AE421*'01_Вводные'!$B$14</f>
        <v/>
      </c>
      <c r="AG422">
        <f>'19_Расчет_аналитики'!AF421*'01_Вводные'!$B$14</f>
        <v/>
      </c>
      <c r="AH422">
        <f>'19_Расчет_аналитики'!AG421*'01_Вводные'!$B$14</f>
        <v/>
      </c>
      <c r="AI422">
        <f>'19_Расчет_аналитики'!AH421*'01_Вводные'!$B$14</f>
        <v/>
      </c>
      <c r="AJ422">
        <f>'19_Расчет_аналитики'!AI421*'01_Вводные'!$B$14</f>
        <v/>
      </c>
      <c r="AK422">
        <f>'19_Расчет_аналитики'!AJ421*'01_Вводные'!$B$14</f>
        <v/>
      </c>
      <c r="AL422">
        <f>'19_Расчет_аналитики'!AK421*'01_Вводные'!$B$14</f>
        <v/>
      </c>
      <c r="AM422">
        <f>'19_Расчет_аналитики'!AL421*'01_Вводные'!$B$14</f>
        <v/>
      </c>
      <c r="AN422">
        <f>'19_Расчет_аналитики'!AM421*'01_Вводные'!$B$14</f>
        <v/>
      </c>
      <c r="AO422">
        <f>'19_Расчет_аналитики'!AN421*'01_Вводные'!$B$14</f>
        <v/>
      </c>
      <c r="AP422">
        <f>'19_Расчет_аналитики'!AO421*'01_Вводные'!$B$14</f>
        <v/>
      </c>
      <c r="AQ422">
        <f>'19_Расчет_аналитики'!AP421*'01_Вводные'!$B$14</f>
        <v/>
      </c>
      <c r="AR422">
        <f>'19_Расчет_аналитики'!AQ421*'01_Вводные'!$B$14</f>
        <v/>
      </c>
      <c r="AS422">
        <f>'19_Расчет_аналитики'!AR421*'01_Вводные'!$B$14</f>
        <v/>
      </c>
      <c r="AT422">
        <f>'19_Расчет_аналитики'!AS421*'01_Вводные'!$B$14</f>
        <v/>
      </c>
      <c r="AU422">
        <f>'19_Расчет_аналитики'!AT421*'01_Вводные'!$B$14</f>
        <v/>
      </c>
      <c r="AV422">
        <f>'19_Расчет_аналитики'!AU421*'01_Вводные'!$B$14</f>
        <v/>
      </c>
      <c r="AW422">
        <f>'19_Расчет_аналитики'!AV421*'01_Вводные'!$B$14</f>
        <v/>
      </c>
      <c r="AX422">
        <f>'19_Расчет_аналитики'!AW421*'01_Вводные'!$B$14</f>
        <v/>
      </c>
      <c r="AY422">
        <f>'19_Расчет_аналитики'!AX421*'01_Вводные'!$B$14</f>
        <v/>
      </c>
      <c r="AZ422">
        <f>'19_Расчет_аналитики'!AY421*'01_Вводные'!$B$14</f>
        <v/>
      </c>
      <c r="BA422">
        <f>'19_Расчет_аналитики'!AZ421*'01_Вводные'!$B$14</f>
        <v/>
      </c>
      <c r="BB422">
        <f>'19_Расчет_аналитики'!BA421*'01_Вводные'!$B$14</f>
        <v/>
      </c>
      <c r="BC422">
        <f>'19_Расчет_аналитики'!BB421*'01_Вводные'!$B$14</f>
        <v/>
      </c>
      <c r="BD422">
        <f>'19_Расчет_аналитики'!BC421*'01_Вводные'!$B$14</f>
        <v/>
      </c>
      <c r="BE422">
        <f>'19_Расчет_аналитики'!BD421*'01_Вводные'!$B$14</f>
        <v/>
      </c>
      <c r="BF422">
        <f>'19_Расчет_аналитики'!BE421*'01_Вводные'!$B$14</f>
        <v/>
      </c>
      <c r="BG422">
        <f>'19_Расчет_аналитики'!BF421*'01_Вводные'!$B$14</f>
        <v/>
      </c>
      <c r="BH422">
        <f>'19_Расчет_аналитики'!BG421*'01_Вводные'!$B$14</f>
        <v/>
      </c>
      <c r="BI422">
        <f>'19_Расчет_аналитики'!BH421*'01_Вводные'!$B$14</f>
        <v/>
      </c>
      <c r="BJ422">
        <f>'19_Расчет_аналитики'!BI421*'01_Вводные'!$B$14</f>
        <v/>
      </c>
      <c r="BK422">
        <f>'19_Расчет_аналитики'!BJ421*'01_Вводные'!$B$14</f>
        <v/>
      </c>
      <c r="BL422">
        <f>'19_Расчет_аналитики'!BK421*'01_Вводные'!$B$14</f>
        <v/>
      </c>
      <c r="BM422">
        <f>'19_Расчет_аналитики'!BL421*'01_Вводные'!$B$14</f>
        <v/>
      </c>
      <c r="BN422">
        <f>'19_Расчет_аналитики'!BM421*'01_Вводные'!$B$14</f>
        <v/>
      </c>
      <c r="BO422">
        <f>'19_Расчет_аналитики'!BN421*'01_Вводные'!$B$14</f>
        <v/>
      </c>
    </row>
    <row r="423">
      <c r="B423">
        <f>'06_Сеть_и_дети'!B68</f>
        <v/>
      </c>
      <c r="C423">
        <f>'06_Сеть_и_дети'!C68</f>
        <v/>
      </c>
      <c r="D423">
        <f>'06_Сеть_и_дети'!D68</f>
        <v/>
      </c>
      <c r="E423">
        <f>'06_Сеть_и_дети'!E68</f>
        <v/>
      </c>
      <c r="F423">
        <f>'06_Сеть_и_дети'!F68</f>
        <v/>
      </c>
      <c r="G423">
        <f>'06_Сеть_и_дети'!G68</f>
        <v/>
      </c>
      <c r="H423">
        <f>'06_Сеть_и_дети'!H68</f>
        <v/>
      </c>
      <c r="I423">
        <f>'06_Сеть_и_дети'!I68</f>
        <v/>
      </c>
      <c r="J423">
        <f>'06_Сеть_и_дети'!J68</f>
        <v/>
      </c>
      <c r="K423">
        <f>'06_Сеть_и_дети'!K68</f>
        <v/>
      </c>
      <c r="L423">
        <f>'06_Сеть_и_дети'!L68</f>
        <v/>
      </c>
      <c r="M423">
        <f>'06_Сеть_и_дети'!M68</f>
        <v/>
      </c>
      <c r="N423">
        <f>'06_Сеть_и_дети'!N68</f>
        <v/>
      </c>
      <c r="O423">
        <f>'06_Сеть_и_дети'!O68</f>
        <v/>
      </c>
      <c r="P423">
        <f>'06_Сеть_и_дети'!P68</f>
        <v/>
      </c>
      <c r="Q423">
        <f>'19_Расчет_аналитики'!P422*'01_Вводные'!$B$14</f>
        <v/>
      </c>
      <c r="R423">
        <f>'19_Расчет_аналитики'!Q422*'01_Вводные'!$B$14</f>
        <v/>
      </c>
      <c r="S423">
        <f>'19_Расчет_аналитики'!R422*'01_Вводные'!$B$14</f>
        <v/>
      </c>
      <c r="T423">
        <f>'19_Расчет_аналитики'!S422*'01_Вводные'!$B$14</f>
        <v/>
      </c>
      <c r="U423">
        <f>'19_Расчет_аналитики'!T422*'01_Вводные'!$B$14</f>
        <v/>
      </c>
      <c r="V423">
        <f>'19_Расчет_аналитики'!U422*'01_Вводные'!$B$14</f>
        <v/>
      </c>
      <c r="W423">
        <f>'19_Расчет_аналитики'!V422*'01_Вводные'!$B$14</f>
        <v/>
      </c>
      <c r="X423">
        <f>'19_Расчет_аналитики'!W422*'01_Вводные'!$B$14</f>
        <v/>
      </c>
      <c r="Y423">
        <f>'19_Расчет_аналитики'!X422*'01_Вводные'!$B$14</f>
        <v/>
      </c>
      <c r="Z423">
        <f>'19_Расчет_аналитики'!Y422*'01_Вводные'!$B$14</f>
        <v/>
      </c>
      <c r="AA423">
        <f>'19_Расчет_аналитики'!Z422*'01_Вводные'!$B$14</f>
        <v/>
      </c>
      <c r="AB423">
        <f>'19_Расчет_аналитики'!AA422*'01_Вводные'!$B$14</f>
        <v/>
      </c>
      <c r="AC423">
        <f>'19_Расчет_аналитики'!AB422*'01_Вводные'!$B$14</f>
        <v/>
      </c>
      <c r="AD423">
        <f>'19_Расчет_аналитики'!AC422*'01_Вводные'!$B$14</f>
        <v/>
      </c>
      <c r="AE423">
        <f>'19_Расчет_аналитики'!AD422*'01_Вводные'!$B$14</f>
        <v/>
      </c>
      <c r="AF423">
        <f>'19_Расчет_аналитики'!AE422*'01_Вводные'!$B$14</f>
        <v/>
      </c>
      <c r="AG423">
        <f>'19_Расчет_аналитики'!AF422*'01_Вводные'!$B$14</f>
        <v/>
      </c>
      <c r="AH423">
        <f>'19_Расчет_аналитики'!AG422*'01_Вводные'!$B$14</f>
        <v/>
      </c>
      <c r="AI423">
        <f>'19_Расчет_аналитики'!AH422*'01_Вводные'!$B$14</f>
        <v/>
      </c>
      <c r="AJ423">
        <f>'19_Расчет_аналитики'!AI422*'01_Вводные'!$B$14</f>
        <v/>
      </c>
      <c r="AK423">
        <f>'19_Расчет_аналитики'!AJ422*'01_Вводные'!$B$14</f>
        <v/>
      </c>
      <c r="AL423">
        <f>'19_Расчет_аналитики'!AK422*'01_Вводные'!$B$14</f>
        <v/>
      </c>
      <c r="AM423">
        <f>'19_Расчет_аналитики'!AL422*'01_Вводные'!$B$14</f>
        <v/>
      </c>
      <c r="AN423">
        <f>'19_Расчет_аналитики'!AM422*'01_Вводные'!$B$14</f>
        <v/>
      </c>
      <c r="AO423">
        <f>'19_Расчет_аналитики'!AN422*'01_Вводные'!$B$14</f>
        <v/>
      </c>
      <c r="AP423">
        <f>'19_Расчет_аналитики'!AO422*'01_Вводные'!$B$14</f>
        <v/>
      </c>
      <c r="AQ423">
        <f>'19_Расчет_аналитики'!AP422*'01_Вводные'!$B$14</f>
        <v/>
      </c>
      <c r="AR423">
        <f>'19_Расчет_аналитики'!AQ422*'01_Вводные'!$B$14</f>
        <v/>
      </c>
      <c r="AS423">
        <f>'19_Расчет_аналитики'!AR422*'01_Вводные'!$B$14</f>
        <v/>
      </c>
      <c r="AT423">
        <f>'19_Расчет_аналитики'!AS422*'01_Вводные'!$B$14</f>
        <v/>
      </c>
      <c r="AU423">
        <f>'19_Расчет_аналитики'!AT422*'01_Вводные'!$B$14</f>
        <v/>
      </c>
      <c r="AV423">
        <f>'19_Расчет_аналитики'!AU422*'01_Вводные'!$B$14</f>
        <v/>
      </c>
      <c r="AW423">
        <f>'19_Расчет_аналитики'!AV422*'01_Вводные'!$B$14</f>
        <v/>
      </c>
      <c r="AX423">
        <f>'19_Расчет_аналитики'!AW422*'01_Вводные'!$B$14</f>
        <v/>
      </c>
      <c r="AY423">
        <f>'19_Расчет_аналитики'!AX422*'01_Вводные'!$B$14</f>
        <v/>
      </c>
      <c r="AZ423">
        <f>'19_Расчет_аналитики'!AY422*'01_Вводные'!$B$14</f>
        <v/>
      </c>
      <c r="BA423">
        <f>'19_Расчет_аналитики'!AZ422*'01_Вводные'!$B$14</f>
        <v/>
      </c>
      <c r="BB423">
        <f>'19_Расчет_аналитики'!BA422*'01_Вводные'!$B$14</f>
        <v/>
      </c>
      <c r="BC423">
        <f>'19_Расчет_аналитики'!BB422*'01_Вводные'!$B$14</f>
        <v/>
      </c>
      <c r="BD423">
        <f>'19_Расчет_аналитики'!BC422*'01_Вводные'!$B$14</f>
        <v/>
      </c>
      <c r="BE423">
        <f>'19_Расчет_аналитики'!BD422*'01_Вводные'!$B$14</f>
        <v/>
      </c>
      <c r="BF423">
        <f>'19_Расчет_аналитики'!BE422*'01_Вводные'!$B$14</f>
        <v/>
      </c>
      <c r="BG423">
        <f>'19_Расчет_аналитики'!BF422*'01_Вводные'!$B$14</f>
        <v/>
      </c>
      <c r="BH423">
        <f>'19_Расчет_аналитики'!BG422*'01_Вводные'!$B$14</f>
        <v/>
      </c>
      <c r="BI423">
        <f>'19_Расчет_аналитики'!BH422*'01_Вводные'!$B$14</f>
        <v/>
      </c>
      <c r="BJ423">
        <f>'19_Расчет_аналитики'!BI422*'01_Вводные'!$B$14</f>
        <v/>
      </c>
      <c r="BK423">
        <f>'19_Расчет_аналитики'!BJ422*'01_Вводные'!$B$14</f>
        <v/>
      </c>
      <c r="BL423">
        <f>'19_Расчет_аналитики'!BK422*'01_Вводные'!$B$14</f>
        <v/>
      </c>
      <c r="BM423">
        <f>'19_Расчет_аналитики'!BL422*'01_Вводные'!$B$14</f>
        <v/>
      </c>
      <c r="BN423">
        <f>'19_Расчет_аналитики'!BM422*'01_Вводные'!$B$14</f>
        <v/>
      </c>
      <c r="BO423">
        <f>'19_Расчет_аналитики'!BN422*'01_Вводные'!$B$14</f>
        <v/>
      </c>
    </row>
    <row r="424">
      <c r="B424">
        <f>'06_Сеть_и_дети'!B69</f>
        <v/>
      </c>
      <c r="C424">
        <f>'06_Сеть_и_дети'!C69</f>
        <v/>
      </c>
      <c r="D424">
        <f>'06_Сеть_и_дети'!D69</f>
        <v/>
      </c>
      <c r="E424">
        <f>'06_Сеть_и_дети'!E69</f>
        <v/>
      </c>
      <c r="F424">
        <f>'06_Сеть_и_дети'!F69</f>
        <v/>
      </c>
      <c r="G424">
        <f>'06_Сеть_и_дети'!G69</f>
        <v/>
      </c>
      <c r="H424">
        <f>'06_Сеть_и_дети'!H69</f>
        <v/>
      </c>
      <c r="I424">
        <f>'06_Сеть_и_дети'!I69</f>
        <v/>
      </c>
      <c r="J424">
        <f>'06_Сеть_и_дети'!J69</f>
        <v/>
      </c>
      <c r="K424">
        <f>'06_Сеть_и_дети'!K69</f>
        <v/>
      </c>
      <c r="L424">
        <f>'06_Сеть_и_дети'!L69</f>
        <v/>
      </c>
      <c r="M424">
        <f>'06_Сеть_и_дети'!M69</f>
        <v/>
      </c>
      <c r="N424">
        <f>'06_Сеть_и_дети'!N69</f>
        <v/>
      </c>
      <c r="O424">
        <f>'06_Сеть_и_дети'!O69</f>
        <v/>
      </c>
      <c r="P424">
        <f>'06_Сеть_и_дети'!P69</f>
        <v/>
      </c>
      <c r="Q424">
        <f>'06_Сеть_и_дети'!Q69</f>
        <v/>
      </c>
      <c r="R424">
        <f>'19_Расчет_аналитики'!Q423*'01_Вводные'!$B$14</f>
        <v/>
      </c>
      <c r="S424">
        <f>'19_Расчет_аналитики'!R423*'01_Вводные'!$B$14</f>
        <v/>
      </c>
      <c r="T424">
        <f>'19_Расчет_аналитики'!S423*'01_Вводные'!$B$14</f>
        <v/>
      </c>
      <c r="U424">
        <f>'19_Расчет_аналитики'!T423*'01_Вводные'!$B$14</f>
        <v/>
      </c>
      <c r="V424">
        <f>'19_Расчет_аналитики'!U423*'01_Вводные'!$B$14</f>
        <v/>
      </c>
      <c r="W424">
        <f>'19_Расчет_аналитики'!V423*'01_Вводные'!$B$14</f>
        <v/>
      </c>
      <c r="X424">
        <f>'19_Расчет_аналитики'!W423*'01_Вводные'!$B$14</f>
        <v/>
      </c>
      <c r="Y424">
        <f>'19_Расчет_аналитики'!X423*'01_Вводные'!$B$14</f>
        <v/>
      </c>
      <c r="Z424">
        <f>'19_Расчет_аналитики'!Y423*'01_Вводные'!$B$14</f>
        <v/>
      </c>
      <c r="AA424">
        <f>'19_Расчет_аналитики'!Z423*'01_Вводные'!$B$14</f>
        <v/>
      </c>
      <c r="AB424">
        <f>'19_Расчет_аналитики'!AA423*'01_Вводные'!$B$14</f>
        <v/>
      </c>
      <c r="AC424">
        <f>'19_Расчет_аналитики'!AB423*'01_Вводные'!$B$14</f>
        <v/>
      </c>
      <c r="AD424">
        <f>'19_Расчет_аналитики'!AC423*'01_Вводные'!$B$14</f>
        <v/>
      </c>
      <c r="AE424">
        <f>'19_Расчет_аналитики'!AD423*'01_Вводные'!$B$14</f>
        <v/>
      </c>
      <c r="AF424">
        <f>'19_Расчет_аналитики'!AE423*'01_Вводные'!$B$14</f>
        <v/>
      </c>
      <c r="AG424">
        <f>'19_Расчет_аналитики'!AF423*'01_Вводные'!$B$14</f>
        <v/>
      </c>
      <c r="AH424">
        <f>'19_Расчет_аналитики'!AG423*'01_Вводные'!$B$14</f>
        <v/>
      </c>
      <c r="AI424">
        <f>'19_Расчет_аналитики'!AH423*'01_Вводные'!$B$14</f>
        <v/>
      </c>
      <c r="AJ424">
        <f>'19_Расчет_аналитики'!AI423*'01_Вводные'!$B$14</f>
        <v/>
      </c>
      <c r="AK424">
        <f>'19_Расчет_аналитики'!AJ423*'01_Вводные'!$B$14</f>
        <v/>
      </c>
      <c r="AL424">
        <f>'19_Расчет_аналитики'!AK423*'01_Вводные'!$B$14</f>
        <v/>
      </c>
      <c r="AM424">
        <f>'19_Расчет_аналитики'!AL423*'01_Вводные'!$B$14</f>
        <v/>
      </c>
      <c r="AN424">
        <f>'19_Расчет_аналитики'!AM423*'01_Вводные'!$B$14</f>
        <v/>
      </c>
      <c r="AO424">
        <f>'19_Расчет_аналитики'!AN423*'01_Вводные'!$B$14</f>
        <v/>
      </c>
      <c r="AP424">
        <f>'19_Расчет_аналитики'!AO423*'01_Вводные'!$B$14</f>
        <v/>
      </c>
      <c r="AQ424">
        <f>'19_Расчет_аналитики'!AP423*'01_Вводные'!$B$14</f>
        <v/>
      </c>
      <c r="AR424">
        <f>'19_Расчет_аналитики'!AQ423*'01_Вводные'!$B$14</f>
        <v/>
      </c>
      <c r="AS424">
        <f>'19_Расчет_аналитики'!AR423*'01_Вводные'!$B$14</f>
        <v/>
      </c>
      <c r="AT424">
        <f>'19_Расчет_аналитики'!AS423*'01_Вводные'!$B$14</f>
        <v/>
      </c>
      <c r="AU424">
        <f>'19_Расчет_аналитики'!AT423*'01_Вводные'!$B$14</f>
        <v/>
      </c>
      <c r="AV424">
        <f>'19_Расчет_аналитики'!AU423*'01_Вводные'!$B$14</f>
        <v/>
      </c>
      <c r="AW424">
        <f>'19_Расчет_аналитики'!AV423*'01_Вводные'!$B$14</f>
        <v/>
      </c>
      <c r="AX424">
        <f>'19_Расчет_аналитики'!AW423*'01_Вводные'!$B$14</f>
        <v/>
      </c>
      <c r="AY424">
        <f>'19_Расчет_аналитики'!AX423*'01_Вводные'!$B$14</f>
        <v/>
      </c>
      <c r="AZ424">
        <f>'19_Расчет_аналитики'!AY423*'01_Вводные'!$B$14</f>
        <v/>
      </c>
      <c r="BA424">
        <f>'19_Расчет_аналитики'!AZ423*'01_Вводные'!$B$14</f>
        <v/>
      </c>
      <c r="BB424">
        <f>'19_Расчет_аналитики'!BA423*'01_Вводные'!$B$14</f>
        <v/>
      </c>
      <c r="BC424">
        <f>'19_Расчет_аналитики'!BB423*'01_Вводные'!$B$14</f>
        <v/>
      </c>
      <c r="BD424">
        <f>'19_Расчет_аналитики'!BC423*'01_Вводные'!$B$14</f>
        <v/>
      </c>
      <c r="BE424">
        <f>'19_Расчет_аналитики'!BD423*'01_Вводные'!$B$14</f>
        <v/>
      </c>
      <c r="BF424">
        <f>'19_Расчет_аналитики'!BE423*'01_Вводные'!$B$14</f>
        <v/>
      </c>
      <c r="BG424">
        <f>'19_Расчет_аналитики'!BF423*'01_Вводные'!$B$14</f>
        <v/>
      </c>
      <c r="BH424">
        <f>'19_Расчет_аналитики'!BG423*'01_Вводные'!$B$14</f>
        <v/>
      </c>
      <c r="BI424">
        <f>'19_Расчет_аналитики'!BH423*'01_Вводные'!$B$14</f>
        <v/>
      </c>
      <c r="BJ424">
        <f>'19_Расчет_аналитики'!BI423*'01_Вводные'!$B$14</f>
        <v/>
      </c>
      <c r="BK424">
        <f>'19_Расчет_аналитики'!BJ423*'01_Вводные'!$B$14</f>
        <v/>
      </c>
      <c r="BL424">
        <f>'19_Расчет_аналитики'!BK423*'01_Вводные'!$B$14</f>
        <v/>
      </c>
      <c r="BM424">
        <f>'19_Расчет_аналитики'!BL423*'01_Вводные'!$B$14</f>
        <v/>
      </c>
      <c r="BN424">
        <f>'19_Расчет_аналитики'!BM423*'01_Вводные'!$B$14</f>
        <v/>
      </c>
      <c r="BO424">
        <f>'19_Расчет_аналитики'!BN423*'01_Вводные'!$B$14</f>
        <v/>
      </c>
    </row>
    <row r="425">
      <c r="B425">
        <f>'06_Сеть_и_дети'!B70</f>
        <v/>
      </c>
      <c r="C425">
        <f>'06_Сеть_и_дети'!C70</f>
        <v/>
      </c>
      <c r="D425">
        <f>'06_Сеть_и_дети'!D70</f>
        <v/>
      </c>
      <c r="E425">
        <f>'06_Сеть_и_дети'!E70</f>
        <v/>
      </c>
      <c r="F425">
        <f>'06_Сеть_и_дети'!F70</f>
        <v/>
      </c>
      <c r="G425">
        <f>'06_Сеть_и_дети'!G70</f>
        <v/>
      </c>
      <c r="H425">
        <f>'06_Сеть_и_дети'!H70</f>
        <v/>
      </c>
      <c r="I425">
        <f>'06_Сеть_и_дети'!I70</f>
        <v/>
      </c>
      <c r="J425">
        <f>'06_Сеть_и_дети'!J70</f>
        <v/>
      </c>
      <c r="K425">
        <f>'06_Сеть_и_дети'!K70</f>
        <v/>
      </c>
      <c r="L425">
        <f>'06_Сеть_и_дети'!L70</f>
        <v/>
      </c>
      <c r="M425">
        <f>'06_Сеть_и_дети'!M70</f>
        <v/>
      </c>
      <c r="N425">
        <f>'06_Сеть_и_дети'!N70</f>
        <v/>
      </c>
      <c r="O425">
        <f>'06_Сеть_и_дети'!O70</f>
        <v/>
      </c>
      <c r="P425">
        <f>'06_Сеть_и_дети'!P70</f>
        <v/>
      </c>
      <c r="Q425">
        <f>'06_Сеть_и_дети'!Q70</f>
        <v/>
      </c>
      <c r="R425">
        <f>'06_Сеть_и_дети'!R70</f>
        <v/>
      </c>
      <c r="S425">
        <f>'19_Расчет_аналитики'!R424*'01_Вводные'!$B$14</f>
        <v/>
      </c>
      <c r="T425">
        <f>'19_Расчет_аналитики'!S424*'01_Вводные'!$B$14</f>
        <v/>
      </c>
      <c r="U425">
        <f>'19_Расчет_аналитики'!T424*'01_Вводные'!$B$14</f>
        <v/>
      </c>
      <c r="V425">
        <f>'19_Расчет_аналитики'!U424*'01_Вводные'!$B$14</f>
        <v/>
      </c>
      <c r="W425">
        <f>'19_Расчет_аналитики'!V424*'01_Вводные'!$B$14</f>
        <v/>
      </c>
      <c r="X425">
        <f>'19_Расчет_аналитики'!W424*'01_Вводные'!$B$14</f>
        <v/>
      </c>
      <c r="Y425">
        <f>'19_Расчет_аналитики'!X424*'01_Вводные'!$B$14</f>
        <v/>
      </c>
      <c r="Z425">
        <f>'19_Расчет_аналитики'!Y424*'01_Вводные'!$B$14</f>
        <v/>
      </c>
      <c r="AA425">
        <f>'19_Расчет_аналитики'!Z424*'01_Вводные'!$B$14</f>
        <v/>
      </c>
      <c r="AB425">
        <f>'19_Расчет_аналитики'!AA424*'01_Вводные'!$B$14</f>
        <v/>
      </c>
      <c r="AC425">
        <f>'19_Расчет_аналитики'!AB424*'01_Вводные'!$B$14</f>
        <v/>
      </c>
      <c r="AD425">
        <f>'19_Расчет_аналитики'!AC424*'01_Вводные'!$B$14</f>
        <v/>
      </c>
      <c r="AE425">
        <f>'19_Расчет_аналитики'!AD424*'01_Вводные'!$B$14</f>
        <v/>
      </c>
      <c r="AF425">
        <f>'19_Расчет_аналитики'!AE424*'01_Вводные'!$B$14</f>
        <v/>
      </c>
      <c r="AG425">
        <f>'19_Расчет_аналитики'!AF424*'01_Вводные'!$B$14</f>
        <v/>
      </c>
      <c r="AH425">
        <f>'19_Расчет_аналитики'!AG424*'01_Вводные'!$B$14</f>
        <v/>
      </c>
      <c r="AI425">
        <f>'19_Расчет_аналитики'!AH424*'01_Вводные'!$B$14</f>
        <v/>
      </c>
      <c r="AJ425">
        <f>'19_Расчет_аналитики'!AI424*'01_Вводные'!$B$14</f>
        <v/>
      </c>
      <c r="AK425">
        <f>'19_Расчет_аналитики'!AJ424*'01_Вводные'!$B$14</f>
        <v/>
      </c>
      <c r="AL425">
        <f>'19_Расчет_аналитики'!AK424*'01_Вводные'!$B$14</f>
        <v/>
      </c>
      <c r="AM425">
        <f>'19_Расчет_аналитики'!AL424*'01_Вводные'!$B$14</f>
        <v/>
      </c>
      <c r="AN425">
        <f>'19_Расчет_аналитики'!AM424*'01_Вводные'!$B$14</f>
        <v/>
      </c>
      <c r="AO425">
        <f>'19_Расчет_аналитики'!AN424*'01_Вводные'!$B$14</f>
        <v/>
      </c>
      <c r="AP425">
        <f>'19_Расчет_аналитики'!AO424*'01_Вводные'!$B$14</f>
        <v/>
      </c>
      <c r="AQ425">
        <f>'19_Расчет_аналитики'!AP424*'01_Вводные'!$B$14</f>
        <v/>
      </c>
      <c r="AR425">
        <f>'19_Расчет_аналитики'!AQ424*'01_Вводные'!$B$14</f>
        <v/>
      </c>
      <c r="AS425">
        <f>'19_Расчет_аналитики'!AR424*'01_Вводные'!$B$14</f>
        <v/>
      </c>
      <c r="AT425">
        <f>'19_Расчет_аналитики'!AS424*'01_Вводные'!$B$14</f>
        <v/>
      </c>
      <c r="AU425">
        <f>'19_Расчет_аналитики'!AT424*'01_Вводные'!$B$14</f>
        <v/>
      </c>
      <c r="AV425">
        <f>'19_Расчет_аналитики'!AU424*'01_Вводные'!$B$14</f>
        <v/>
      </c>
      <c r="AW425">
        <f>'19_Расчет_аналитики'!AV424*'01_Вводные'!$B$14</f>
        <v/>
      </c>
      <c r="AX425">
        <f>'19_Расчет_аналитики'!AW424*'01_Вводные'!$B$14</f>
        <v/>
      </c>
      <c r="AY425">
        <f>'19_Расчет_аналитики'!AX424*'01_Вводные'!$B$14</f>
        <v/>
      </c>
      <c r="AZ425">
        <f>'19_Расчет_аналитики'!AY424*'01_Вводные'!$B$14</f>
        <v/>
      </c>
      <c r="BA425">
        <f>'19_Расчет_аналитики'!AZ424*'01_Вводные'!$B$14</f>
        <v/>
      </c>
      <c r="BB425">
        <f>'19_Расчет_аналитики'!BA424*'01_Вводные'!$B$14</f>
        <v/>
      </c>
      <c r="BC425">
        <f>'19_Расчет_аналитики'!BB424*'01_Вводные'!$B$14</f>
        <v/>
      </c>
      <c r="BD425">
        <f>'19_Расчет_аналитики'!BC424*'01_Вводные'!$B$14</f>
        <v/>
      </c>
      <c r="BE425">
        <f>'19_Расчет_аналитики'!BD424*'01_Вводные'!$B$14</f>
        <v/>
      </c>
      <c r="BF425">
        <f>'19_Расчет_аналитики'!BE424*'01_Вводные'!$B$14</f>
        <v/>
      </c>
      <c r="BG425">
        <f>'19_Расчет_аналитики'!BF424*'01_Вводные'!$B$14</f>
        <v/>
      </c>
      <c r="BH425">
        <f>'19_Расчет_аналитики'!BG424*'01_Вводные'!$B$14</f>
        <v/>
      </c>
      <c r="BI425">
        <f>'19_Расчет_аналитики'!BH424*'01_Вводные'!$B$14</f>
        <v/>
      </c>
      <c r="BJ425">
        <f>'19_Расчет_аналитики'!BI424*'01_Вводные'!$B$14</f>
        <v/>
      </c>
      <c r="BK425">
        <f>'19_Расчет_аналитики'!BJ424*'01_Вводные'!$B$14</f>
        <v/>
      </c>
      <c r="BL425">
        <f>'19_Расчет_аналитики'!BK424*'01_Вводные'!$B$14</f>
        <v/>
      </c>
      <c r="BM425">
        <f>'19_Расчет_аналитики'!BL424*'01_Вводные'!$B$14</f>
        <v/>
      </c>
      <c r="BN425">
        <f>'19_Расчет_аналитики'!BM424*'01_Вводные'!$B$14</f>
        <v/>
      </c>
      <c r="BO425">
        <f>'19_Расчет_аналитики'!BN424*'01_Вводные'!$B$14</f>
        <v/>
      </c>
    </row>
    <row r="426">
      <c r="B426">
        <f>'06_Сеть_и_дети'!B71</f>
        <v/>
      </c>
      <c r="C426">
        <f>'06_Сеть_и_дети'!C71</f>
        <v/>
      </c>
      <c r="D426">
        <f>'06_Сеть_и_дети'!D71</f>
        <v/>
      </c>
      <c r="E426">
        <f>'06_Сеть_и_дети'!E71</f>
        <v/>
      </c>
      <c r="F426">
        <f>'06_Сеть_и_дети'!F71</f>
        <v/>
      </c>
      <c r="G426">
        <f>'06_Сеть_и_дети'!G71</f>
        <v/>
      </c>
      <c r="H426">
        <f>'06_Сеть_и_дети'!H71</f>
        <v/>
      </c>
      <c r="I426">
        <f>'06_Сеть_и_дети'!I71</f>
        <v/>
      </c>
      <c r="J426">
        <f>'06_Сеть_и_дети'!J71</f>
        <v/>
      </c>
      <c r="K426">
        <f>'06_Сеть_и_дети'!K71</f>
        <v/>
      </c>
      <c r="L426">
        <f>'06_Сеть_и_дети'!L71</f>
        <v/>
      </c>
      <c r="M426">
        <f>'06_Сеть_и_дети'!M71</f>
        <v/>
      </c>
      <c r="N426">
        <f>'06_Сеть_и_дети'!N71</f>
        <v/>
      </c>
      <c r="O426">
        <f>'06_Сеть_и_дети'!O71</f>
        <v/>
      </c>
      <c r="P426">
        <f>'06_Сеть_и_дети'!P71</f>
        <v/>
      </c>
      <c r="Q426">
        <f>'06_Сеть_и_дети'!Q71</f>
        <v/>
      </c>
      <c r="R426">
        <f>'06_Сеть_и_дети'!R71</f>
        <v/>
      </c>
      <c r="S426">
        <f>'06_Сеть_и_дети'!S71</f>
        <v/>
      </c>
      <c r="T426">
        <f>'19_Расчет_аналитики'!S425*'01_Вводные'!$B$14</f>
        <v/>
      </c>
      <c r="U426">
        <f>'19_Расчет_аналитики'!T425*'01_Вводные'!$B$14</f>
        <v/>
      </c>
      <c r="V426">
        <f>'19_Расчет_аналитики'!U425*'01_Вводные'!$B$14</f>
        <v/>
      </c>
      <c r="W426">
        <f>'19_Расчет_аналитики'!V425*'01_Вводные'!$B$14</f>
        <v/>
      </c>
      <c r="X426">
        <f>'19_Расчет_аналитики'!W425*'01_Вводные'!$B$14</f>
        <v/>
      </c>
      <c r="Y426">
        <f>'19_Расчет_аналитики'!X425*'01_Вводные'!$B$14</f>
        <v/>
      </c>
      <c r="Z426">
        <f>'19_Расчет_аналитики'!Y425*'01_Вводные'!$B$14</f>
        <v/>
      </c>
      <c r="AA426">
        <f>'19_Расчет_аналитики'!Z425*'01_Вводные'!$B$14</f>
        <v/>
      </c>
      <c r="AB426">
        <f>'19_Расчет_аналитики'!AA425*'01_Вводные'!$B$14</f>
        <v/>
      </c>
      <c r="AC426">
        <f>'19_Расчет_аналитики'!AB425*'01_Вводные'!$B$14</f>
        <v/>
      </c>
      <c r="AD426">
        <f>'19_Расчет_аналитики'!AC425*'01_Вводные'!$B$14</f>
        <v/>
      </c>
      <c r="AE426">
        <f>'19_Расчет_аналитики'!AD425*'01_Вводные'!$B$14</f>
        <v/>
      </c>
      <c r="AF426">
        <f>'19_Расчет_аналитики'!AE425*'01_Вводные'!$B$14</f>
        <v/>
      </c>
      <c r="AG426">
        <f>'19_Расчет_аналитики'!AF425*'01_Вводные'!$B$14</f>
        <v/>
      </c>
      <c r="AH426">
        <f>'19_Расчет_аналитики'!AG425*'01_Вводные'!$B$14</f>
        <v/>
      </c>
      <c r="AI426">
        <f>'19_Расчет_аналитики'!AH425*'01_Вводные'!$B$14</f>
        <v/>
      </c>
      <c r="AJ426">
        <f>'19_Расчет_аналитики'!AI425*'01_Вводные'!$B$14</f>
        <v/>
      </c>
      <c r="AK426">
        <f>'19_Расчет_аналитики'!AJ425*'01_Вводные'!$B$14</f>
        <v/>
      </c>
      <c r="AL426">
        <f>'19_Расчет_аналитики'!AK425*'01_Вводные'!$B$14</f>
        <v/>
      </c>
      <c r="AM426">
        <f>'19_Расчет_аналитики'!AL425*'01_Вводные'!$B$14</f>
        <v/>
      </c>
      <c r="AN426">
        <f>'19_Расчет_аналитики'!AM425*'01_Вводные'!$B$14</f>
        <v/>
      </c>
      <c r="AO426">
        <f>'19_Расчет_аналитики'!AN425*'01_Вводные'!$B$14</f>
        <v/>
      </c>
      <c r="AP426">
        <f>'19_Расчет_аналитики'!AO425*'01_Вводные'!$B$14</f>
        <v/>
      </c>
      <c r="AQ426">
        <f>'19_Расчет_аналитики'!AP425*'01_Вводные'!$B$14</f>
        <v/>
      </c>
      <c r="AR426">
        <f>'19_Расчет_аналитики'!AQ425*'01_Вводные'!$B$14</f>
        <v/>
      </c>
      <c r="AS426">
        <f>'19_Расчет_аналитики'!AR425*'01_Вводные'!$B$14</f>
        <v/>
      </c>
      <c r="AT426">
        <f>'19_Расчет_аналитики'!AS425*'01_Вводные'!$B$14</f>
        <v/>
      </c>
      <c r="AU426">
        <f>'19_Расчет_аналитики'!AT425*'01_Вводные'!$B$14</f>
        <v/>
      </c>
      <c r="AV426">
        <f>'19_Расчет_аналитики'!AU425*'01_Вводные'!$B$14</f>
        <v/>
      </c>
      <c r="AW426">
        <f>'19_Расчет_аналитики'!AV425*'01_Вводные'!$B$14</f>
        <v/>
      </c>
      <c r="AX426">
        <f>'19_Расчет_аналитики'!AW425*'01_Вводные'!$B$14</f>
        <v/>
      </c>
      <c r="AY426">
        <f>'19_Расчет_аналитики'!AX425*'01_Вводные'!$B$14</f>
        <v/>
      </c>
      <c r="AZ426">
        <f>'19_Расчет_аналитики'!AY425*'01_Вводные'!$B$14</f>
        <v/>
      </c>
      <c r="BA426">
        <f>'19_Расчет_аналитики'!AZ425*'01_Вводные'!$B$14</f>
        <v/>
      </c>
      <c r="BB426">
        <f>'19_Расчет_аналитики'!BA425*'01_Вводные'!$B$14</f>
        <v/>
      </c>
      <c r="BC426">
        <f>'19_Расчет_аналитики'!BB425*'01_Вводные'!$B$14</f>
        <v/>
      </c>
      <c r="BD426">
        <f>'19_Расчет_аналитики'!BC425*'01_Вводные'!$B$14</f>
        <v/>
      </c>
      <c r="BE426">
        <f>'19_Расчет_аналитики'!BD425*'01_Вводные'!$B$14</f>
        <v/>
      </c>
      <c r="BF426">
        <f>'19_Расчет_аналитики'!BE425*'01_Вводные'!$B$14</f>
        <v/>
      </c>
      <c r="BG426">
        <f>'19_Расчет_аналитики'!BF425*'01_Вводные'!$B$14</f>
        <v/>
      </c>
      <c r="BH426">
        <f>'19_Расчет_аналитики'!BG425*'01_Вводные'!$B$14</f>
        <v/>
      </c>
      <c r="BI426">
        <f>'19_Расчет_аналитики'!BH425*'01_Вводные'!$B$14</f>
        <v/>
      </c>
      <c r="BJ426">
        <f>'19_Расчет_аналитики'!BI425*'01_Вводные'!$B$14</f>
        <v/>
      </c>
      <c r="BK426">
        <f>'19_Расчет_аналитики'!BJ425*'01_Вводные'!$B$14</f>
        <v/>
      </c>
      <c r="BL426">
        <f>'19_Расчет_аналитики'!BK425*'01_Вводные'!$B$14</f>
        <v/>
      </c>
      <c r="BM426">
        <f>'19_Расчет_аналитики'!BL425*'01_Вводные'!$B$14</f>
        <v/>
      </c>
      <c r="BN426">
        <f>'19_Расчет_аналитики'!BM425*'01_Вводные'!$B$14</f>
        <v/>
      </c>
      <c r="BO426">
        <f>'19_Расчет_аналитики'!BN425*'01_Вводные'!$B$14</f>
        <v/>
      </c>
    </row>
    <row r="427">
      <c r="B427">
        <f>'06_Сеть_и_дети'!B72</f>
        <v/>
      </c>
      <c r="C427">
        <f>'06_Сеть_и_дети'!C72</f>
        <v/>
      </c>
      <c r="D427">
        <f>'06_Сеть_и_дети'!D72</f>
        <v/>
      </c>
      <c r="E427">
        <f>'06_Сеть_и_дети'!E72</f>
        <v/>
      </c>
      <c r="F427">
        <f>'06_Сеть_и_дети'!F72</f>
        <v/>
      </c>
      <c r="G427">
        <f>'06_Сеть_и_дети'!G72</f>
        <v/>
      </c>
      <c r="H427">
        <f>'06_Сеть_и_дети'!H72</f>
        <v/>
      </c>
      <c r="I427">
        <f>'06_Сеть_и_дети'!I72</f>
        <v/>
      </c>
      <c r="J427">
        <f>'06_Сеть_и_дети'!J72</f>
        <v/>
      </c>
      <c r="K427">
        <f>'06_Сеть_и_дети'!K72</f>
        <v/>
      </c>
      <c r="L427">
        <f>'06_Сеть_и_дети'!L72</f>
        <v/>
      </c>
      <c r="M427">
        <f>'06_Сеть_и_дети'!M72</f>
        <v/>
      </c>
      <c r="N427">
        <f>'06_Сеть_и_дети'!N72</f>
        <v/>
      </c>
      <c r="O427">
        <f>'06_Сеть_и_дети'!O72</f>
        <v/>
      </c>
      <c r="P427">
        <f>'06_Сеть_и_дети'!P72</f>
        <v/>
      </c>
      <c r="Q427">
        <f>'06_Сеть_и_дети'!Q72</f>
        <v/>
      </c>
      <c r="R427">
        <f>'06_Сеть_и_дети'!R72</f>
        <v/>
      </c>
      <c r="S427">
        <f>'06_Сеть_и_дети'!S72</f>
        <v/>
      </c>
      <c r="T427">
        <f>'06_Сеть_и_дети'!T72</f>
        <v/>
      </c>
      <c r="U427">
        <f>'19_Расчет_аналитики'!T426*'01_Вводные'!$B$14</f>
        <v/>
      </c>
      <c r="V427">
        <f>'19_Расчет_аналитики'!U426*'01_Вводные'!$B$14</f>
        <v/>
      </c>
      <c r="W427">
        <f>'19_Расчет_аналитики'!V426*'01_Вводные'!$B$14</f>
        <v/>
      </c>
      <c r="X427">
        <f>'19_Расчет_аналитики'!W426*'01_Вводные'!$B$14</f>
        <v/>
      </c>
      <c r="Y427">
        <f>'19_Расчет_аналитики'!X426*'01_Вводные'!$B$14</f>
        <v/>
      </c>
      <c r="Z427">
        <f>'19_Расчет_аналитики'!Y426*'01_Вводные'!$B$14</f>
        <v/>
      </c>
      <c r="AA427">
        <f>'19_Расчет_аналитики'!Z426*'01_Вводные'!$B$14</f>
        <v/>
      </c>
      <c r="AB427">
        <f>'19_Расчет_аналитики'!AA426*'01_Вводные'!$B$14</f>
        <v/>
      </c>
      <c r="AC427">
        <f>'19_Расчет_аналитики'!AB426*'01_Вводные'!$B$14</f>
        <v/>
      </c>
      <c r="AD427">
        <f>'19_Расчет_аналитики'!AC426*'01_Вводные'!$B$14</f>
        <v/>
      </c>
      <c r="AE427">
        <f>'19_Расчет_аналитики'!AD426*'01_Вводные'!$B$14</f>
        <v/>
      </c>
      <c r="AF427">
        <f>'19_Расчет_аналитики'!AE426*'01_Вводные'!$B$14</f>
        <v/>
      </c>
      <c r="AG427">
        <f>'19_Расчет_аналитики'!AF426*'01_Вводные'!$B$14</f>
        <v/>
      </c>
      <c r="AH427">
        <f>'19_Расчет_аналитики'!AG426*'01_Вводные'!$B$14</f>
        <v/>
      </c>
      <c r="AI427">
        <f>'19_Расчет_аналитики'!AH426*'01_Вводные'!$B$14</f>
        <v/>
      </c>
      <c r="AJ427">
        <f>'19_Расчет_аналитики'!AI426*'01_Вводные'!$B$14</f>
        <v/>
      </c>
      <c r="AK427">
        <f>'19_Расчет_аналитики'!AJ426*'01_Вводные'!$B$14</f>
        <v/>
      </c>
      <c r="AL427">
        <f>'19_Расчет_аналитики'!AK426*'01_Вводные'!$B$14</f>
        <v/>
      </c>
      <c r="AM427">
        <f>'19_Расчет_аналитики'!AL426*'01_Вводные'!$B$14</f>
        <v/>
      </c>
      <c r="AN427">
        <f>'19_Расчет_аналитики'!AM426*'01_Вводные'!$B$14</f>
        <v/>
      </c>
      <c r="AO427">
        <f>'19_Расчет_аналитики'!AN426*'01_Вводные'!$B$14</f>
        <v/>
      </c>
      <c r="AP427">
        <f>'19_Расчет_аналитики'!AO426*'01_Вводные'!$B$14</f>
        <v/>
      </c>
      <c r="AQ427">
        <f>'19_Расчет_аналитики'!AP426*'01_Вводные'!$B$14</f>
        <v/>
      </c>
      <c r="AR427">
        <f>'19_Расчет_аналитики'!AQ426*'01_Вводные'!$B$14</f>
        <v/>
      </c>
      <c r="AS427">
        <f>'19_Расчет_аналитики'!AR426*'01_Вводные'!$B$14</f>
        <v/>
      </c>
      <c r="AT427">
        <f>'19_Расчет_аналитики'!AS426*'01_Вводные'!$B$14</f>
        <v/>
      </c>
      <c r="AU427">
        <f>'19_Расчет_аналитики'!AT426*'01_Вводные'!$B$14</f>
        <v/>
      </c>
      <c r="AV427">
        <f>'19_Расчет_аналитики'!AU426*'01_Вводные'!$B$14</f>
        <v/>
      </c>
      <c r="AW427">
        <f>'19_Расчет_аналитики'!AV426*'01_Вводные'!$B$14</f>
        <v/>
      </c>
      <c r="AX427">
        <f>'19_Расчет_аналитики'!AW426*'01_Вводные'!$B$14</f>
        <v/>
      </c>
      <c r="AY427">
        <f>'19_Расчет_аналитики'!AX426*'01_Вводные'!$B$14</f>
        <v/>
      </c>
      <c r="AZ427">
        <f>'19_Расчет_аналитики'!AY426*'01_Вводные'!$B$14</f>
        <v/>
      </c>
      <c r="BA427">
        <f>'19_Расчет_аналитики'!AZ426*'01_Вводные'!$B$14</f>
        <v/>
      </c>
      <c r="BB427">
        <f>'19_Расчет_аналитики'!BA426*'01_Вводные'!$B$14</f>
        <v/>
      </c>
      <c r="BC427">
        <f>'19_Расчет_аналитики'!BB426*'01_Вводные'!$B$14</f>
        <v/>
      </c>
      <c r="BD427">
        <f>'19_Расчет_аналитики'!BC426*'01_Вводные'!$B$14</f>
        <v/>
      </c>
      <c r="BE427">
        <f>'19_Расчет_аналитики'!BD426*'01_Вводные'!$B$14</f>
        <v/>
      </c>
      <c r="BF427">
        <f>'19_Расчет_аналитики'!BE426*'01_Вводные'!$B$14</f>
        <v/>
      </c>
      <c r="BG427">
        <f>'19_Расчет_аналитики'!BF426*'01_Вводные'!$B$14</f>
        <v/>
      </c>
      <c r="BH427">
        <f>'19_Расчет_аналитики'!BG426*'01_Вводные'!$B$14</f>
        <v/>
      </c>
      <c r="BI427">
        <f>'19_Расчет_аналитики'!BH426*'01_Вводные'!$B$14</f>
        <v/>
      </c>
      <c r="BJ427">
        <f>'19_Расчет_аналитики'!BI426*'01_Вводные'!$B$14</f>
        <v/>
      </c>
      <c r="BK427">
        <f>'19_Расчет_аналитики'!BJ426*'01_Вводные'!$B$14</f>
        <v/>
      </c>
      <c r="BL427">
        <f>'19_Расчет_аналитики'!BK426*'01_Вводные'!$B$14</f>
        <v/>
      </c>
      <c r="BM427">
        <f>'19_Расчет_аналитики'!BL426*'01_Вводные'!$B$14</f>
        <v/>
      </c>
      <c r="BN427">
        <f>'19_Расчет_аналитики'!BM426*'01_Вводные'!$B$14</f>
        <v/>
      </c>
      <c r="BO427">
        <f>'19_Расчет_аналитики'!BN426*'01_Вводные'!$B$14</f>
        <v/>
      </c>
    </row>
    <row r="428">
      <c r="B428">
        <f>'06_Сеть_и_дети'!B73</f>
        <v/>
      </c>
      <c r="C428">
        <f>'06_Сеть_и_дети'!C73</f>
        <v/>
      </c>
      <c r="D428">
        <f>'06_Сеть_и_дети'!D73</f>
        <v/>
      </c>
      <c r="E428">
        <f>'06_Сеть_и_дети'!E73</f>
        <v/>
      </c>
      <c r="F428">
        <f>'06_Сеть_и_дети'!F73</f>
        <v/>
      </c>
      <c r="G428">
        <f>'06_Сеть_и_дети'!G73</f>
        <v/>
      </c>
      <c r="H428">
        <f>'06_Сеть_и_дети'!H73</f>
        <v/>
      </c>
      <c r="I428">
        <f>'06_Сеть_и_дети'!I73</f>
        <v/>
      </c>
      <c r="J428">
        <f>'06_Сеть_и_дети'!J73</f>
        <v/>
      </c>
      <c r="K428">
        <f>'06_Сеть_и_дети'!K73</f>
        <v/>
      </c>
      <c r="L428">
        <f>'06_Сеть_и_дети'!L73</f>
        <v/>
      </c>
      <c r="M428">
        <f>'06_Сеть_и_дети'!M73</f>
        <v/>
      </c>
      <c r="N428">
        <f>'06_Сеть_и_дети'!N73</f>
        <v/>
      </c>
      <c r="O428">
        <f>'06_Сеть_и_дети'!O73</f>
        <v/>
      </c>
      <c r="P428">
        <f>'06_Сеть_и_дети'!P73</f>
        <v/>
      </c>
      <c r="Q428">
        <f>'06_Сеть_и_дети'!Q73</f>
        <v/>
      </c>
      <c r="R428">
        <f>'06_Сеть_и_дети'!R73</f>
        <v/>
      </c>
      <c r="S428">
        <f>'06_Сеть_и_дети'!S73</f>
        <v/>
      </c>
      <c r="T428">
        <f>'06_Сеть_и_дети'!T73</f>
        <v/>
      </c>
      <c r="U428">
        <f>'06_Сеть_и_дети'!U73</f>
        <v/>
      </c>
      <c r="V428">
        <f>'19_Расчет_аналитики'!U427*'01_Вводные'!$B$14</f>
        <v/>
      </c>
      <c r="W428">
        <f>'19_Расчет_аналитики'!V427*'01_Вводные'!$B$14</f>
        <v/>
      </c>
      <c r="X428">
        <f>'19_Расчет_аналитики'!W427*'01_Вводные'!$B$14</f>
        <v/>
      </c>
      <c r="Y428">
        <f>'19_Расчет_аналитики'!X427*'01_Вводные'!$B$14</f>
        <v/>
      </c>
      <c r="Z428">
        <f>'19_Расчет_аналитики'!Y427*'01_Вводные'!$B$14</f>
        <v/>
      </c>
      <c r="AA428">
        <f>'19_Расчет_аналитики'!Z427*'01_Вводные'!$B$14</f>
        <v/>
      </c>
      <c r="AB428">
        <f>'19_Расчет_аналитики'!AA427*'01_Вводные'!$B$14</f>
        <v/>
      </c>
      <c r="AC428">
        <f>'19_Расчет_аналитики'!AB427*'01_Вводные'!$B$14</f>
        <v/>
      </c>
      <c r="AD428">
        <f>'19_Расчет_аналитики'!AC427*'01_Вводные'!$B$14</f>
        <v/>
      </c>
      <c r="AE428">
        <f>'19_Расчет_аналитики'!AD427*'01_Вводные'!$B$14</f>
        <v/>
      </c>
      <c r="AF428">
        <f>'19_Расчет_аналитики'!AE427*'01_Вводные'!$B$14</f>
        <v/>
      </c>
      <c r="AG428">
        <f>'19_Расчет_аналитики'!AF427*'01_Вводные'!$B$14</f>
        <v/>
      </c>
      <c r="AH428">
        <f>'19_Расчет_аналитики'!AG427*'01_Вводные'!$B$14</f>
        <v/>
      </c>
      <c r="AI428">
        <f>'19_Расчет_аналитики'!AH427*'01_Вводные'!$B$14</f>
        <v/>
      </c>
      <c r="AJ428">
        <f>'19_Расчет_аналитики'!AI427*'01_Вводные'!$B$14</f>
        <v/>
      </c>
      <c r="AK428">
        <f>'19_Расчет_аналитики'!AJ427*'01_Вводные'!$B$14</f>
        <v/>
      </c>
      <c r="AL428">
        <f>'19_Расчет_аналитики'!AK427*'01_Вводные'!$B$14</f>
        <v/>
      </c>
      <c r="AM428">
        <f>'19_Расчет_аналитики'!AL427*'01_Вводные'!$B$14</f>
        <v/>
      </c>
      <c r="AN428">
        <f>'19_Расчет_аналитики'!AM427*'01_Вводные'!$B$14</f>
        <v/>
      </c>
      <c r="AO428">
        <f>'19_Расчет_аналитики'!AN427*'01_Вводные'!$B$14</f>
        <v/>
      </c>
      <c r="AP428">
        <f>'19_Расчет_аналитики'!AO427*'01_Вводные'!$B$14</f>
        <v/>
      </c>
      <c r="AQ428">
        <f>'19_Расчет_аналитики'!AP427*'01_Вводные'!$B$14</f>
        <v/>
      </c>
      <c r="AR428">
        <f>'19_Расчет_аналитики'!AQ427*'01_Вводные'!$B$14</f>
        <v/>
      </c>
      <c r="AS428">
        <f>'19_Расчет_аналитики'!AR427*'01_Вводные'!$B$14</f>
        <v/>
      </c>
      <c r="AT428">
        <f>'19_Расчет_аналитики'!AS427*'01_Вводные'!$B$14</f>
        <v/>
      </c>
      <c r="AU428">
        <f>'19_Расчет_аналитики'!AT427*'01_Вводные'!$B$14</f>
        <v/>
      </c>
      <c r="AV428">
        <f>'19_Расчет_аналитики'!AU427*'01_Вводные'!$B$14</f>
        <v/>
      </c>
      <c r="AW428">
        <f>'19_Расчет_аналитики'!AV427*'01_Вводные'!$B$14</f>
        <v/>
      </c>
      <c r="AX428">
        <f>'19_Расчет_аналитики'!AW427*'01_Вводные'!$B$14</f>
        <v/>
      </c>
      <c r="AY428">
        <f>'19_Расчет_аналитики'!AX427*'01_Вводные'!$B$14</f>
        <v/>
      </c>
      <c r="AZ428">
        <f>'19_Расчет_аналитики'!AY427*'01_Вводные'!$B$14</f>
        <v/>
      </c>
      <c r="BA428">
        <f>'19_Расчет_аналитики'!AZ427*'01_Вводные'!$B$14</f>
        <v/>
      </c>
      <c r="BB428">
        <f>'19_Расчет_аналитики'!BA427*'01_Вводные'!$B$14</f>
        <v/>
      </c>
      <c r="BC428">
        <f>'19_Расчет_аналитики'!BB427*'01_Вводные'!$B$14</f>
        <v/>
      </c>
      <c r="BD428">
        <f>'19_Расчет_аналитики'!BC427*'01_Вводные'!$B$14</f>
        <v/>
      </c>
      <c r="BE428">
        <f>'19_Расчет_аналитики'!BD427*'01_Вводные'!$B$14</f>
        <v/>
      </c>
      <c r="BF428">
        <f>'19_Расчет_аналитики'!BE427*'01_Вводные'!$B$14</f>
        <v/>
      </c>
      <c r="BG428">
        <f>'19_Расчет_аналитики'!BF427*'01_Вводные'!$B$14</f>
        <v/>
      </c>
      <c r="BH428">
        <f>'19_Расчет_аналитики'!BG427*'01_Вводные'!$B$14</f>
        <v/>
      </c>
      <c r="BI428">
        <f>'19_Расчет_аналитики'!BH427*'01_Вводные'!$B$14</f>
        <v/>
      </c>
      <c r="BJ428">
        <f>'19_Расчет_аналитики'!BI427*'01_Вводные'!$B$14</f>
        <v/>
      </c>
      <c r="BK428">
        <f>'19_Расчет_аналитики'!BJ427*'01_Вводные'!$B$14</f>
        <v/>
      </c>
      <c r="BL428">
        <f>'19_Расчет_аналитики'!BK427*'01_Вводные'!$B$14</f>
        <v/>
      </c>
      <c r="BM428">
        <f>'19_Расчет_аналитики'!BL427*'01_Вводные'!$B$14</f>
        <v/>
      </c>
      <c r="BN428">
        <f>'19_Расчет_аналитики'!BM427*'01_Вводные'!$B$14</f>
        <v/>
      </c>
      <c r="BO428">
        <f>'19_Расчет_аналитики'!BN427*'01_Вводные'!$B$14</f>
        <v/>
      </c>
    </row>
    <row r="429">
      <c r="B429">
        <f>'06_Сеть_и_дети'!B74</f>
        <v/>
      </c>
      <c r="C429">
        <f>'06_Сеть_и_дети'!C74</f>
        <v/>
      </c>
      <c r="D429">
        <f>'06_Сеть_и_дети'!D74</f>
        <v/>
      </c>
      <c r="E429">
        <f>'06_Сеть_и_дети'!E74</f>
        <v/>
      </c>
      <c r="F429">
        <f>'06_Сеть_и_дети'!F74</f>
        <v/>
      </c>
      <c r="G429">
        <f>'06_Сеть_и_дети'!G74</f>
        <v/>
      </c>
      <c r="H429">
        <f>'06_Сеть_и_дети'!H74</f>
        <v/>
      </c>
      <c r="I429">
        <f>'06_Сеть_и_дети'!I74</f>
        <v/>
      </c>
      <c r="J429">
        <f>'06_Сеть_и_дети'!J74</f>
        <v/>
      </c>
      <c r="K429">
        <f>'06_Сеть_и_дети'!K74</f>
        <v/>
      </c>
      <c r="L429">
        <f>'06_Сеть_и_дети'!L74</f>
        <v/>
      </c>
      <c r="M429">
        <f>'06_Сеть_и_дети'!M74</f>
        <v/>
      </c>
      <c r="N429">
        <f>'06_Сеть_и_дети'!N74</f>
        <v/>
      </c>
      <c r="O429">
        <f>'06_Сеть_и_дети'!O74</f>
        <v/>
      </c>
      <c r="P429">
        <f>'06_Сеть_и_дети'!P74</f>
        <v/>
      </c>
      <c r="Q429">
        <f>'06_Сеть_и_дети'!Q74</f>
        <v/>
      </c>
      <c r="R429">
        <f>'06_Сеть_и_дети'!R74</f>
        <v/>
      </c>
      <c r="S429">
        <f>'06_Сеть_и_дети'!S74</f>
        <v/>
      </c>
      <c r="T429">
        <f>'06_Сеть_и_дети'!T74</f>
        <v/>
      </c>
      <c r="U429">
        <f>'06_Сеть_и_дети'!U74</f>
        <v/>
      </c>
      <c r="V429">
        <f>'06_Сеть_и_дети'!V74</f>
        <v/>
      </c>
      <c r="W429">
        <f>'19_Расчет_аналитики'!V428*'01_Вводные'!$B$14</f>
        <v/>
      </c>
      <c r="X429">
        <f>'19_Расчет_аналитики'!W428*'01_Вводные'!$B$14</f>
        <v/>
      </c>
      <c r="Y429">
        <f>'19_Расчет_аналитики'!X428*'01_Вводные'!$B$14</f>
        <v/>
      </c>
      <c r="Z429">
        <f>'19_Расчет_аналитики'!Y428*'01_Вводные'!$B$14</f>
        <v/>
      </c>
      <c r="AA429">
        <f>'19_Расчет_аналитики'!Z428*'01_Вводные'!$B$14</f>
        <v/>
      </c>
      <c r="AB429">
        <f>'19_Расчет_аналитики'!AA428*'01_Вводные'!$B$14</f>
        <v/>
      </c>
      <c r="AC429">
        <f>'19_Расчет_аналитики'!AB428*'01_Вводные'!$B$14</f>
        <v/>
      </c>
      <c r="AD429">
        <f>'19_Расчет_аналитики'!AC428*'01_Вводные'!$B$14</f>
        <v/>
      </c>
      <c r="AE429">
        <f>'19_Расчет_аналитики'!AD428*'01_Вводные'!$B$14</f>
        <v/>
      </c>
      <c r="AF429">
        <f>'19_Расчет_аналитики'!AE428*'01_Вводные'!$B$14</f>
        <v/>
      </c>
      <c r="AG429">
        <f>'19_Расчет_аналитики'!AF428*'01_Вводные'!$B$14</f>
        <v/>
      </c>
      <c r="AH429">
        <f>'19_Расчет_аналитики'!AG428*'01_Вводные'!$B$14</f>
        <v/>
      </c>
      <c r="AI429">
        <f>'19_Расчет_аналитики'!AH428*'01_Вводные'!$B$14</f>
        <v/>
      </c>
      <c r="AJ429">
        <f>'19_Расчет_аналитики'!AI428*'01_Вводные'!$B$14</f>
        <v/>
      </c>
      <c r="AK429">
        <f>'19_Расчет_аналитики'!AJ428*'01_Вводные'!$B$14</f>
        <v/>
      </c>
      <c r="AL429">
        <f>'19_Расчет_аналитики'!AK428*'01_Вводные'!$B$14</f>
        <v/>
      </c>
      <c r="AM429">
        <f>'19_Расчет_аналитики'!AL428*'01_Вводные'!$B$14</f>
        <v/>
      </c>
      <c r="AN429">
        <f>'19_Расчет_аналитики'!AM428*'01_Вводные'!$B$14</f>
        <v/>
      </c>
      <c r="AO429">
        <f>'19_Расчет_аналитики'!AN428*'01_Вводные'!$B$14</f>
        <v/>
      </c>
      <c r="AP429">
        <f>'19_Расчет_аналитики'!AO428*'01_Вводные'!$B$14</f>
        <v/>
      </c>
      <c r="AQ429">
        <f>'19_Расчет_аналитики'!AP428*'01_Вводные'!$B$14</f>
        <v/>
      </c>
      <c r="AR429">
        <f>'19_Расчет_аналитики'!AQ428*'01_Вводные'!$B$14</f>
        <v/>
      </c>
      <c r="AS429">
        <f>'19_Расчет_аналитики'!AR428*'01_Вводные'!$B$14</f>
        <v/>
      </c>
      <c r="AT429">
        <f>'19_Расчет_аналитики'!AS428*'01_Вводные'!$B$14</f>
        <v/>
      </c>
      <c r="AU429">
        <f>'19_Расчет_аналитики'!AT428*'01_Вводные'!$B$14</f>
        <v/>
      </c>
      <c r="AV429">
        <f>'19_Расчет_аналитики'!AU428*'01_Вводные'!$B$14</f>
        <v/>
      </c>
      <c r="AW429">
        <f>'19_Расчет_аналитики'!AV428*'01_Вводные'!$B$14</f>
        <v/>
      </c>
      <c r="AX429">
        <f>'19_Расчет_аналитики'!AW428*'01_Вводные'!$B$14</f>
        <v/>
      </c>
      <c r="AY429">
        <f>'19_Расчет_аналитики'!AX428*'01_Вводные'!$B$14</f>
        <v/>
      </c>
      <c r="AZ429">
        <f>'19_Расчет_аналитики'!AY428*'01_Вводные'!$B$14</f>
        <v/>
      </c>
      <c r="BA429">
        <f>'19_Расчет_аналитики'!AZ428*'01_Вводные'!$B$14</f>
        <v/>
      </c>
      <c r="BB429">
        <f>'19_Расчет_аналитики'!BA428*'01_Вводные'!$B$14</f>
        <v/>
      </c>
      <c r="BC429">
        <f>'19_Расчет_аналитики'!BB428*'01_Вводные'!$B$14</f>
        <v/>
      </c>
      <c r="BD429">
        <f>'19_Расчет_аналитики'!BC428*'01_Вводные'!$B$14</f>
        <v/>
      </c>
      <c r="BE429">
        <f>'19_Расчет_аналитики'!BD428*'01_Вводные'!$B$14</f>
        <v/>
      </c>
      <c r="BF429">
        <f>'19_Расчет_аналитики'!BE428*'01_Вводные'!$B$14</f>
        <v/>
      </c>
      <c r="BG429">
        <f>'19_Расчет_аналитики'!BF428*'01_Вводные'!$B$14</f>
        <v/>
      </c>
      <c r="BH429">
        <f>'19_Расчет_аналитики'!BG428*'01_Вводные'!$B$14</f>
        <v/>
      </c>
      <c r="BI429">
        <f>'19_Расчет_аналитики'!BH428*'01_Вводные'!$B$14</f>
        <v/>
      </c>
      <c r="BJ429">
        <f>'19_Расчет_аналитики'!BI428*'01_Вводные'!$B$14</f>
        <v/>
      </c>
      <c r="BK429">
        <f>'19_Расчет_аналитики'!BJ428*'01_Вводные'!$B$14</f>
        <v/>
      </c>
      <c r="BL429">
        <f>'19_Расчет_аналитики'!BK428*'01_Вводные'!$B$14</f>
        <v/>
      </c>
      <c r="BM429">
        <f>'19_Расчет_аналитики'!BL428*'01_Вводные'!$B$14</f>
        <v/>
      </c>
      <c r="BN429">
        <f>'19_Расчет_аналитики'!BM428*'01_Вводные'!$B$14</f>
        <v/>
      </c>
      <c r="BO429">
        <f>'19_Расчет_аналитики'!BN428*'01_Вводные'!$B$14</f>
        <v/>
      </c>
    </row>
    <row r="430">
      <c r="B430">
        <f>'06_Сеть_и_дети'!B75</f>
        <v/>
      </c>
      <c r="C430">
        <f>'06_Сеть_и_дети'!C75</f>
        <v/>
      </c>
      <c r="D430">
        <f>'06_Сеть_и_дети'!D75</f>
        <v/>
      </c>
      <c r="E430">
        <f>'06_Сеть_и_дети'!E75</f>
        <v/>
      </c>
      <c r="F430">
        <f>'06_Сеть_и_дети'!F75</f>
        <v/>
      </c>
      <c r="G430">
        <f>'06_Сеть_и_дети'!G75</f>
        <v/>
      </c>
      <c r="H430">
        <f>'06_Сеть_и_дети'!H75</f>
        <v/>
      </c>
      <c r="I430">
        <f>'06_Сеть_и_дети'!I75</f>
        <v/>
      </c>
      <c r="J430">
        <f>'06_Сеть_и_дети'!J75</f>
        <v/>
      </c>
      <c r="K430">
        <f>'06_Сеть_и_дети'!K75</f>
        <v/>
      </c>
      <c r="L430">
        <f>'06_Сеть_и_дети'!L75</f>
        <v/>
      </c>
      <c r="M430">
        <f>'06_Сеть_и_дети'!M75</f>
        <v/>
      </c>
      <c r="N430">
        <f>'06_Сеть_и_дети'!N75</f>
        <v/>
      </c>
      <c r="O430">
        <f>'06_Сеть_и_дети'!O75</f>
        <v/>
      </c>
      <c r="P430">
        <f>'06_Сеть_и_дети'!P75</f>
        <v/>
      </c>
      <c r="Q430">
        <f>'06_Сеть_и_дети'!Q75</f>
        <v/>
      </c>
      <c r="R430">
        <f>'06_Сеть_и_дети'!R75</f>
        <v/>
      </c>
      <c r="S430">
        <f>'06_Сеть_и_дети'!S75</f>
        <v/>
      </c>
      <c r="T430">
        <f>'06_Сеть_и_дети'!T75</f>
        <v/>
      </c>
      <c r="U430">
        <f>'06_Сеть_и_дети'!U75</f>
        <v/>
      </c>
      <c r="V430">
        <f>'06_Сеть_и_дети'!V75</f>
        <v/>
      </c>
      <c r="W430">
        <f>'06_Сеть_и_дети'!W75</f>
        <v/>
      </c>
      <c r="X430">
        <f>'19_Расчет_аналитики'!W429*'01_Вводные'!$B$14</f>
        <v/>
      </c>
      <c r="Y430">
        <f>'19_Расчет_аналитики'!X429*'01_Вводные'!$B$14</f>
        <v/>
      </c>
      <c r="Z430">
        <f>'19_Расчет_аналитики'!Y429*'01_Вводные'!$B$14</f>
        <v/>
      </c>
      <c r="AA430">
        <f>'19_Расчет_аналитики'!Z429*'01_Вводные'!$B$14</f>
        <v/>
      </c>
      <c r="AB430">
        <f>'19_Расчет_аналитики'!AA429*'01_Вводные'!$B$14</f>
        <v/>
      </c>
      <c r="AC430">
        <f>'19_Расчет_аналитики'!AB429*'01_Вводные'!$B$14</f>
        <v/>
      </c>
      <c r="AD430">
        <f>'19_Расчет_аналитики'!AC429*'01_Вводные'!$B$14</f>
        <v/>
      </c>
      <c r="AE430">
        <f>'19_Расчет_аналитики'!AD429*'01_Вводные'!$B$14</f>
        <v/>
      </c>
      <c r="AF430">
        <f>'19_Расчет_аналитики'!AE429*'01_Вводные'!$B$14</f>
        <v/>
      </c>
      <c r="AG430">
        <f>'19_Расчет_аналитики'!AF429*'01_Вводные'!$B$14</f>
        <v/>
      </c>
      <c r="AH430">
        <f>'19_Расчет_аналитики'!AG429*'01_Вводные'!$B$14</f>
        <v/>
      </c>
      <c r="AI430">
        <f>'19_Расчет_аналитики'!AH429*'01_Вводные'!$B$14</f>
        <v/>
      </c>
      <c r="AJ430">
        <f>'19_Расчет_аналитики'!AI429*'01_Вводные'!$B$14</f>
        <v/>
      </c>
      <c r="AK430">
        <f>'19_Расчет_аналитики'!AJ429*'01_Вводные'!$B$14</f>
        <v/>
      </c>
      <c r="AL430">
        <f>'19_Расчет_аналитики'!AK429*'01_Вводные'!$B$14</f>
        <v/>
      </c>
      <c r="AM430">
        <f>'19_Расчет_аналитики'!AL429*'01_Вводные'!$B$14</f>
        <v/>
      </c>
      <c r="AN430">
        <f>'19_Расчет_аналитики'!AM429*'01_Вводные'!$B$14</f>
        <v/>
      </c>
      <c r="AO430">
        <f>'19_Расчет_аналитики'!AN429*'01_Вводные'!$B$14</f>
        <v/>
      </c>
      <c r="AP430">
        <f>'19_Расчет_аналитики'!AO429*'01_Вводные'!$B$14</f>
        <v/>
      </c>
      <c r="AQ430">
        <f>'19_Расчет_аналитики'!AP429*'01_Вводные'!$B$14</f>
        <v/>
      </c>
      <c r="AR430">
        <f>'19_Расчет_аналитики'!AQ429*'01_Вводные'!$B$14</f>
        <v/>
      </c>
      <c r="AS430">
        <f>'19_Расчет_аналитики'!AR429*'01_Вводные'!$B$14</f>
        <v/>
      </c>
      <c r="AT430">
        <f>'19_Расчет_аналитики'!AS429*'01_Вводные'!$B$14</f>
        <v/>
      </c>
      <c r="AU430">
        <f>'19_Расчет_аналитики'!AT429*'01_Вводные'!$B$14</f>
        <v/>
      </c>
      <c r="AV430">
        <f>'19_Расчет_аналитики'!AU429*'01_Вводные'!$B$14</f>
        <v/>
      </c>
      <c r="AW430">
        <f>'19_Расчет_аналитики'!AV429*'01_Вводные'!$B$14</f>
        <v/>
      </c>
      <c r="AX430">
        <f>'19_Расчет_аналитики'!AW429*'01_Вводные'!$B$14</f>
        <v/>
      </c>
      <c r="AY430">
        <f>'19_Расчет_аналитики'!AX429*'01_Вводные'!$B$14</f>
        <v/>
      </c>
      <c r="AZ430">
        <f>'19_Расчет_аналитики'!AY429*'01_Вводные'!$B$14</f>
        <v/>
      </c>
      <c r="BA430">
        <f>'19_Расчет_аналитики'!AZ429*'01_Вводные'!$B$14</f>
        <v/>
      </c>
      <c r="BB430">
        <f>'19_Расчет_аналитики'!BA429*'01_Вводные'!$B$14</f>
        <v/>
      </c>
      <c r="BC430">
        <f>'19_Расчет_аналитики'!BB429*'01_Вводные'!$B$14</f>
        <v/>
      </c>
      <c r="BD430">
        <f>'19_Расчет_аналитики'!BC429*'01_Вводные'!$B$14</f>
        <v/>
      </c>
      <c r="BE430">
        <f>'19_Расчет_аналитики'!BD429*'01_Вводные'!$B$14</f>
        <v/>
      </c>
      <c r="BF430">
        <f>'19_Расчет_аналитики'!BE429*'01_Вводные'!$B$14</f>
        <v/>
      </c>
      <c r="BG430">
        <f>'19_Расчет_аналитики'!BF429*'01_Вводные'!$B$14</f>
        <v/>
      </c>
      <c r="BH430">
        <f>'19_Расчет_аналитики'!BG429*'01_Вводные'!$B$14</f>
        <v/>
      </c>
      <c r="BI430">
        <f>'19_Расчет_аналитики'!BH429*'01_Вводные'!$B$14</f>
        <v/>
      </c>
      <c r="BJ430">
        <f>'19_Расчет_аналитики'!BI429*'01_Вводные'!$B$14</f>
        <v/>
      </c>
      <c r="BK430">
        <f>'19_Расчет_аналитики'!BJ429*'01_Вводные'!$B$14</f>
        <v/>
      </c>
      <c r="BL430">
        <f>'19_Расчет_аналитики'!BK429*'01_Вводные'!$B$14</f>
        <v/>
      </c>
      <c r="BM430">
        <f>'19_Расчет_аналитики'!BL429*'01_Вводные'!$B$14</f>
        <v/>
      </c>
      <c r="BN430">
        <f>'19_Расчет_аналитики'!BM429*'01_Вводные'!$B$14</f>
        <v/>
      </c>
      <c r="BO430">
        <f>'19_Расчет_аналитики'!BN429*'01_Вводные'!$B$14</f>
        <v/>
      </c>
    </row>
    <row r="431">
      <c r="B431">
        <f>'06_Сеть_и_дети'!B76</f>
        <v/>
      </c>
      <c r="C431">
        <f>'06_Сеть_и_дети'!C76</f>
        <v/>
      </c>
      <c r="D431">
        <f>'06_Сеть_и_дети'!D76</f>
        <v/>
      </c>
      <c r="E431">
        <f>'06_Сеть_и_дети'!E76</f>
        <v/>
      </c>
      <c r="F431">
        <f>'06_Сеть_и_дети'!F76</f>
        <v/>
      </c>
      <c r="G431">
        <f>'06_Сеть_и_дети'!G76</f>
        <v/>
      </c>
      <c r="H431">
        <f>'06_Сеть_и_дети'!H76</f>
        <v/>
      </c>
      <c r="I431">
        <f>'06_Сеть_и_дети'!I76</f>
        <v/>
      </c>
      <c r="J431">
        <f>'06_Сеть_и_дети'!J76</f>
        <v/>
      </c>
      <c r="K431">
        <f>'06_Сеть_и_дети'!K76</f>
        <v/>
      </c>
      <c r="L431">
        <f>'06_Сеть_и_дети'!L76</f>
        <v/>
      </c>
      <c r="M431">
        <f>'06_Сеть_и_дети'!M76</f>
        <v/>
      </c>
      <c r="N431">
        <f>'06_Сеть_и_дети'!N76</f>
        <v/>
      </c>
      <c r="O431">
        <f>'06_Сеть_и_дети'!O76</f>
        <v/>
      </c>
      <c r="P431">
        <f>'06_Сеть_и_дети'!P76</f>
        <v/>
      </c>
      <c r="Q431">
        <f>'06_Сеть_и_дети'!Q76</f>
        <v/>
      </c>
      <c r="R431">
        <f>'06_Сеть_и_дети'!R76</f>
        <v/>
      </c>
      <c r="S431">
        <f>'06_Сеть_и_дети'!S76</f>
        <v/>
      </c>
      <c r="T431">
        <f>'06_Сеть_и_дети'!T76</f>
        <v/>
      </c>
      <c r="U431">
        <f>'06_Сеть_и_дети'!U76</f>
        <v/>
      </c>
      <c r="V431">
        <f>'06_Сеть_и_дети'!V76</f>
        <v/>
      </c>
      <c r="W431">
        <f>'06_Сеть_и_дети'!W76</f>
        <v/>
      </c>
      <c r="X431">
        <f>'06_Сеть_и_дети'!X76</f>
        <v/>
      </c>
      <c r="Y431">
        <f>'19_Расчет_аналитики'!X430*'01_Вводные'!$B$14</f>
        <v/>
      </c>
      <c r="Z431">
        <f>'19_Расчет_аналитики'!Y430*'01_Вводные'!$B$14</f>
        <v/>
      </c>
      <c r="AA431">
        <f>'19_Расчет_аналитики'!Z430*'01_Вводные'!$B$14</f>
        <v/>
      </c>
      <c r="AB431">
        <f>'19_Расчет_аналитики'!AA430*'01_Вводные'!$B$14</f>
        <v/>
      </c>
      <c r="AC431">
        <f>'19_Расчет_аналитики'!AB430*'01_Вводные'!$B$14</f>
        <v/>
      </c>
      <c r="AD431">
        <f>'19_Расчет_аналитики'!AC430*'01_Вводные'!$B$14</f>
        <v/>
      </c>
      <c r="AE431">
        <f>'19_Расчет_аналитики'!AD430*'01_Вводные'!$B$14</f>
        <v/>
      </c>
      <c r="AF431">
        <f>'19_Расчет_аналитики'!AE430*'01_Вводные'!$B$14</f>
        <v/>
      </c>
      <c r="AG431">
        <f>'19_Расчет_аналитики'!AF430*'01_Вводные'!$B$14</f>
        <v/>
      </c>
      <c r="AH431">
        <f>'19_Расчет_аналитики'!AG430*'01_Вводные'!$B$14</f>
        <v/>
      </c>
      <c r="AI431">
        <f>'19_Расчет_аналитики'!AH430*'01_Вводные'!$B$14</f>
        <v/>
      </c>
      <c r="AJ431">
        <f>'19_Расчет_аналитики'!AI430*'01_Вводные'!$B$14</f>
        <v/>
      </c>
      <c r="AK431">
        <f>'19_Расчет_аналитики'!AJ430*'01_Вводные'!$B$14</f>
        <v/>
      </c>
      <c r="AL431">
        <f>'19_Расчет_аналитики'!AK430*'01_Вводные'!$B$14</f>
        <v/>
      </c>
      <c r="AM431">
        <f>'19_Расчет_аналитики'!AL430*'01_Вводные'!$B$14</f>
        <v/>
      </c>
      <c r="AN431">
        <f>'19_Расчет_аналитики'!AM430*'01_Вводные'!$B$14</f>
        <v/>
      </c>
      <c r="AO431">
        <f>'19_Расчет_аналитики'!AN430*'01_Вводные'!$B$14</f>
        <v/>
      </c>
      <c r="AP431">
        <f>'19_Расчет_аналитики'!AO430*'01_Вводные'!$B$14</f>
        <v/>
      </c>
      <c r="AQ431">
        <f>'19_Расчет_аналитики'!AP430*'01_Вводные'!$B$14</f>
        <v/>
      </c>
      <c r="AR431">
        <f>'19_Расчет_аналитики'!AQ430*'01_Вводные'!$B$14</f>
        <v/>
      </c>
      <c r="AS431">
        <f>'19_Расчет_аналитики'!AR430*'01_Вводные'!$B$14</f>
        <v/>
      </c>
      <c r="AT431">
        <f>'19_Расчет_аналитики'!AS430*'01_Вводные'!$B$14</f>
        <v/>
      </c>
      <c r="AU431">
        <f>'19_Расчет_аналитики'!AT430*'01_Вводные'!$B$14</f>
        <v/>
      </c>
      <c r="AV431">
        <f>'19_Расчет_аналитики'!AU430*'01_Вводные'!$B$14</f>
        <v/>
      </c>
      <c r="AW431">
        <f>'19_Расчет_аналитики'!AV430*'01_Вводные'!$B$14</f>
        <v/>
      </c>
      <c r="AX431">
        <f>'19_Расчет_аналитики'!AW430*'01_Вводные'!$B$14</f>
        <v/>
      </c>
      <c r="AY431">
        <f>'19_Расчет_аналитики'!AX430*'01_Вводные'!$B$14</f>
        <v/>
      </c>
      <c r="AZ431">
        <f>'19_Расчет_аналитики'!AY430*'01_Вводные'!$B$14</f>
        <v/>
      </c>
      <c r="BA431">
        <f>'19_Расчет_аналитики'!AZ430*'01_Вводные'!$B$14</f>
        <v/>
      </c>
      <c r="BB431">
        <f>'19_Расчет_аналитики'!BA430*'01_Вводные'!$B$14</f>
        <v/>
      </c>
      <c r="BC431">
        <f>'19_Расчет_аналитики'!BB430*'01_Вводные'!$B$14</f>
        <v/>
      </c>
      <c r="BD431">
        <f>'19_Расчет_аналитики'!BC430*'01_Вводные'!$B$14</f>
        <v/>
      </c>
      <c r="BE431">
        <f>'19_Расчет_аналитики'!BD430*'01_Вводные'!$B$14</f>
        <v/>
      </c>
      <c r="BF431">
        <f>'19_Расчет_аналитики'!BE430*'01_Вводные'!$B$14</f>
        <v/>
      </c>
      <c r="BG431">
        <f>'19_Расчет_аналитики'!BF430*'01_Вводные'!$B$14</f>
        <v/>
      </c>
      <c r="BH431">
        <f>'19_Расчет_аналитики'!BG430*'01_Вводные'!$B$14</f>
        <v/>
      </c>
      <c r="BI431">
        <f>'19_Расчет_аналитики'!BH430*'01_Вводные'!$B$14</f>
        <v/>
      </c>
      <c r="BJ431">
        <f>'19_Расчет_аналитики'!BI430*'01_Вводные'!$B$14</f>
        <v/>
      </c>
      <c r="BK431">
        <f>'19_Расчет_аналитики'!BJ430*'01_Вводные'!$B$14</f>
        <v/>
      </c>
      <c r="BL431">
        <f>'19_Расчет_аналитики'!BK430*'01_Вводные'!$B$14</f>
        <v/>
      </c>
      <c r="BM431">
        <f>'19_Расчет_аналитики'!BL430*'01_Вводные'!$B$14</f>
        <v/>
      </c>
      <c r="BN431">
        <f>'19_Расчет_аналитики'!BM430*'01_Вводные'!$B$14</f>
        <v/>
      </c>
      <c r="BO431">
        <f>'19_Расчет_аналитики'!BN430*'01_Вводные'!$B$14</f>
        <v/>
      </c>
    </row>
    <row r="432">
      <c r="B432">
        <f>'06_Сеть_и_дети'!B77</f>
        <v/>
      </c>
      <c r="C432">
        <f>'06_Сеть_и_дети'!C77</f>
        <v/>
      </c>
      <c r="D432">
        <f>'06_Сеть_и_дети'!D77</f>
        <v/>
      </c>
      <c r="E432">
        <f>'06_Сеть_и_дети'!E77</f>
        <v/>
      </c>
      <c r="F432">
        <f>'06_Сеть_и_дети'!F77</f>
        <v/>
      </c>
      <c r="G432">
        <f>'06_Сеть_и_дети'!G77</f>
        <v/>
      </c>
      <c r="H432">
        <f>'06_Сеть_и_дети'!H77</f>
        <v/>
      </c>
      <c r="I432">
        <f>'06_Сеть_и_дети'!I77</f>
        <v/>
      </c>
      <c r="J432">
        <f>'06_Сеть_и_дети'!J77</f>
        <v/>
      </c>
      <c r="K432">
        <f>'06_Сеть_и_дети'!K77</f>
        <v/>
      </c>
      <c r="L432">
        <f>'06_Сеть_и_дети'!L77</f>
        <v/>
      </c>
      <c r="M432">
        <f>'06_Сеть_и_дети'!M77</f>
        <v/>
      </c>
      <c r="N432">
        <f>'06_Сеть_и_дети'!N77</f>
        <v/>
      </c>
      <c r="O432">
        <f>'06_Сеть_и_дети'!O77</f>
        <v/>
      </c>
      <c r="P432">
        <f>'06_Сеть_и_дети'!P77</f>
        <v/>
      </c>
      <c r="Q432">
        <f>'06_Сеть_и_дети'!Q77</f>
        <v/>
      </c>
      <c r="R432">
        <f>'06_Сеть_и_дети'!R77</f>
        <v/>
      </c>
      <c r="S432">
        <f>'06_Сеть_и_дети'!S77</f>
        <v/>
      </c>
      <c r="T432">
        <f>'06_Сеть_и_дети'!T77</f>
        <v/>
      </c>
      <c r="U432">
        <f>'06_Сеть_и_дети'!U77</f>
        <v/>
      </c>
      <c r="V432">
        <f>'06_Сеть_и_дети'!V77</f>
        <v/>
      </c>
      <c r="W432">
        <f>'06_Сеть_и_дети'!W77</f>
        <v/>
      </c>
      <c r="X432">
        <f>'06_Сеть_и_дети'!X77</f>
        <v/>
      </c>
      <c r="Y432">
        <f>'06_Сеть_и_дети'!Y77</f>
        <v/>
      </c>
      <c r="Z432">
        <f>SUM('19_Расчет_аналитики'!Y431:Y432)*'01_Вводные'!$B$14</f>
        <v/>
      </c>
      <c r="AA432">
        <f>SUM('19_Расчет_аналитики'!Z431:Z432)*'01_Вводные'!$B$14</f>
        <v/>
      </c>
      <c r="AB432">
        <f>SUM('19_Расчет_аналитики'!AA431:AA432)*'01_Вводные'!$B$14</f>
        <v/>
      </c>
      <c r="AC432">
        <f>SUM('19_Расчет_аналитики'!AB431:AB432)*'01_Вводные'!$B$14</f>
        <v/>
      </c>
      <c r="AD432">
        <f>SUM('19_Расчет_аналитики'!AC431:AC432)*'01_Вводные'!$B$14</f>
        <v/>
      </c>
      <c r="AE432">
        <f>SUM('19_Расчет_аналитики'!AD431:AD432)*'01_Вводные'!$B$14</f>
        <v/>
      </c>
      <c r="AF432">
        <f>SUM('19_Расчет_аналитики'!AE431:AE432)*'01_Вводные'!$B$14</f>
        <v/>
      </c>
      <c r="AG432">
        <f>SUM('19_Расчет_аналитики'!AF431:AF432)*'01_Вводные'!$B$14</f>
        <v/>
      </c>
      <c r="AH432">
        <f>SUM('19_Расчет_аналитики'!AG431:AG432)*'01_Вводные'!$B$14</f>
        <v/>
      </c>
      <c r="AI432">
        <f>SUM('19_Расчет_аналитики'!AH431:AH432)*'01_Вводные'!$B$14</f>
        <v/>
      </c>
      <c r="AJ432">
        <f>SUM('19_Расчет_аналитики'!AI431:AI432)*'01_Вводные'!$B$14</f>
        <v/>
      </c>
      <c r="AK432">
        <f>SUM('19_Расчет_аналитики'!AJ431:AJ432)*'01_Вводные'!$B$14</f>
        <v/>
      </c>
      <c r="AL432">
        <f>SUM('19_Расчет_аналитики'!AK431:AK432)*'01_Вводные'!$B$14</f>
        <v/>
      </c>
      <c r="AM432">
        <f>SUM('19_Расчет_аналитики'!AL431:AL432)*'01_Вводные'!$B$14</f>
        <v/>
      </c>
      <c r="AN432">
        <f>SUM('19_Расчет_аналитики'!AM431:AM432)*'01_Вводные'!$B$14</f>
        <v/>
      </c>
      <c r="AO432">
        <f>SUM('19_Расчет_аналитики'!AN431:AN432)*'01_Вводные'!$B$14</f>
        <v/>
      </c>
      <c r="AP432">
        <f>SUM('19_Расчет_аналитики'!AO431:AO432)*'01_Вводные'!$B$14</f>
        <v/>
      </c>
      <c r="AQ432">
        <f>SUM('19_Расчет_аналитики'!AP431:AP432)*'01_Вводные'!$B$14</f>
        <v/>
      </c>
      <c r="AR432">
        <f>SUM('19_Расчет_аналитики'!AQ431:AQ432)*'01_Вводные'!$B$14</f>
        <v/>
      </c>
      <c r="AS432">
        <f>SUM('19_Расчет_аналитики'!AR431:AR432)*'01_Вводные'!$B$14</f>
        <v/>
      </c>
      <c r="AT432">
        <f>SUM('19_Расчет_аналитики'!AS431:AS432)*'01_Вводные'!$B$14</f>
        <v/>
      </c>
      <c r="AU432">
        <f>SUM('19_Расчет_аналитики'!AT431:AT432)*'01_Вводные'!$B$14</f>
        <v/>
      </c>
      <c r="AV432">
        <f>SUM('19_Расчет_аналитики'!AU431:AU432)*'01_Вводные'!$B$14</f>
        <v/>
      </c>
      <c r="AW432">
        <f>SUM('19_Расчет_аналитики'!AV431:AV432)*'01_Вводные'!$B$14</f>
        <v/>
      </c>
      <c r="AX432">
        <f>SUM('19_Расчет_аналитики'!AW431:AW432)*'01_Вводные'!$B$14</f>
        <v/>
      </c>
      <c r="AY432">
        <f>SUM('19_Расчет_аналитики'!AX431:AX432)*'01_Вводные'!$B$14</f>
        <v/>
      </c>
      <c r="AZ432">
        <f>SUM('19_Расчет_аналитики'!AY431:AY432)*'01_Вводные'!$B$14</f>
        <v/>
      </c>
      <c r="BA432">
        <f>SUM('19_Расчет_аналитики'!AZ431:AZ432)*'01_Вводные'!$B$14</f>
        <v/>
      </c>
      <c r="BB432">
        <f>SUM('19_Расчет_аналитики'!BA431:BA432)*'01_Вводные'!$B$14</f>
        <v/>
      </c>
      <c r="BC432">
        <f>SUM('19_Расчет_аналитики'!BB431:BB432)*'01_Вводные'!$B$14</f>
        <v/>
      </c>
      <c r="BD432">
        <f>SUM('19_Расчет_аналитики'!BC431:BC432)*'01_Вводные'!$B$14</f>
        <v/>
      </c>
      <c r="BE432">
        <f>SUM('19_Расчет_аналитики'!BD431:BD432)*'01_Вводные'!$B$14</f>
        <v/>
      </c>
      <c r="BF432">
        <f>SUM('19_Расчет_аналитики'!BE431:BE432)*'01_Вводные'!$B$14</f>
        <v/>
      </c>
      <c r="BG432">
        <f>SUM('19_Расчет_аналитики'!BF431:BF432)*'01_Вводные'!$B$14</f>
        <v/>
      </c>
      <c r="BH432">
        <f>SUM('19_Расчет_аналитики'!BG431:BG432)*'01_Вводные'!$B$14</f>
        <v/>
      </c>
      <c r="BI432">
        <f>SUM('19_Расчет_аналитики'!BH431:BH432)*'01_Вводные'!$B$14</f>
        <v/>
      </c>
      <c r="BJ432">
        <f>SUM('19_Расчет_аналитики'!BI431:BI432)*'01_Вводные'!$B$14</f>
        <v/>
      </c>
      <c r="BK432">
        <f>SUM('19_Расчет_аналитики'!BJ431:BJ432)*'01_Вводные'!$B$14</f>
        <v/>
      </c>
      <c r="BL432">
        <f>SUM('19_Расчет_аналитики'!BK431:BK432)*'01_Вводные'!$B$14</f>
        <v/>
      </c>
      <c r="BM432">
        <f>SUM('19_Расчет_аналитики'!BL431:BL432)*'01_Вводные'!$B$14</f>
        <v/>
      </c>
      <c r="BN432">
        <f>SUM('19_Расчет_аналитики'!BM431:BM432)*'01_Вводные'!$B$14</f>
        <v/>
      </c>
      <c r="BO432">
        <f>SUM('19_Расчет_аналитики'!BN431:BN432)*'01_Вводные'!$B$14</f>
        <v/>
      </c>
    </row>
    <row r="433"/>
    <row r="434"/>
    <row r="435"/>
    <row r="436">
      <c r="B436">
        <f>'19_Расчет_аналитики'!B388</f>
        <v/>
      </c>
      <c r="C436">
        <f>'19_Расчет_аналитики'!C388</f>
        <v/>
      </c>
      <c r="D436">
        <f>'19_Расчет_аналитики'!D388</f>
        <v/>
      </c>
      <c r="E436">
        <f>'19_Расчет_аналитики'!E388</f>
        <v/>
      </c>
      <c r="F436">
        <f>'19_Расчет_аналитики'!F388</f>
        <v/>
      </c>
      <c r="G436">
        <f>'19_Расчет_аналитики'!G388</f>
        <v/>
      </c>
      <c r="H436">
        <f>'19_Расчет_аналитики'!H388</f>
        <v/>
      </c>
      <c r="I436">
        <f>'19_Расчет_аналитики'!I388</f>
        <v/>
      </c>
      <c r="J436">
        <f>'19_Расчет_аналитики'!J388</f>
        <v/>
      </c>
      <c r="K436">
        <f>'19_Расчет_аналитики'!K388</f>
        <v/>
      </c>
      <c r="L436">
        <f>'19_Расчет_аналитики'!L388</f>
        <v/>
      </c>
      <c r="M436">
        <f>'19_Расчет_аналитики'!M388</f>
        <v/>
      </c>
      <c r="N436">
        <f>'19_Расчет_аналитики'!N388</f>
        <v/>
      </c>
      <c r="O436">
        <f>'19_Расчет_аналитики'!O388</f>
        <v/>
      </c>
      <c r="P436">
        <f>'19_Расчет_аналитики'!P388</f>
        <v/>
      </c>
      <c r="Q436">
        <f>'19_Расчет_аналитики'!Q388</f>
        <v/>
      </c>
      <c r="R436">
        <f>'19_Расчет_аналитики'!R388</f>
        <v/>
      </c>
      <c r="S436">
        <f>'19_Расчет_аналитики'!S388</f>
        <v/>
      </c>
      <c r="T436">
        <f>'19_Расчет_аналитики'!T388</f>
        <v/>
      </c>
      <c r="U436">
        <f>'19_Расчет_аналитики'!U388</f>
        <v/>
      </c>
      <c r="V436">
        <f>'19_Расчет_аналитики'!V388</f>
        <v/>
      </c>
      <c r="W436">
        <f>'19_Расчет_аналитики'!W388</f>
        <v/>
      </c>
      <c r="X436">
        <f>'19_Расчет_аналитики'!X388</f>
        <v/>
      </c>
      <c r="Y436">
        <f>'19_Расчет_аналитики'!Y388</f>
        <v/>
      </c>
      <c r="Z436">
        <f>'19_Расчет_аналитики'!Z388</f>
        <v/>
      </c>
      <c r="AA436">
        <f>'19_Расчет_аналитики'!AA388</f>
        <v/>
      </c>
      <c r="AB436">
        <f>'19_Расчет_аналитики'!AB388</f>
        <v/>
      </c>
      <c r="AC436">
        <f>'19_Расчет_аналитики'!AC388</f>
        <v/>
      </c>
      <c r="AD436">
        <f>'19_Расчет_аналитики'!AD388</f>
        <v/>
      </c>
      <c r="AE436">
        <f>'19_Расчет_аналитики'!AE388</f>
        <v/>
      </c>
      <c r="AF436">
        <f>'19_Расчет_аналитики'!AF388</f>
        <v/>
      </c>
      <c r="AG436">
        <f>'19_Расчет_аналитики'!AG388</f>
        <v/>
      </c>
      <c r="AH436">
        <f>'19_Расчет_аналитики'!AH388</f>
        <v/>
      </c>
      <c r="AI436">
        <f>'19_Расчет_аналитики'!AI388</f>
        <v/>
      </c>
      <c r="AJ436">
        <f>'19_Расчет_аналитики'!AJ388</f>
        <v/>
      </c>
      <c r="AK436">
        <f>'19_Расчет_аналитики'!AK388</f>
        <v/>
      </c>
      <c r="AL436">
        <f>'19_Расчет_аналитики'!AL388</f>
        <v/>
      </c>
      <c r="AM436">
        <f>'19_Расчет_аналитики'!AM388</f>
        <v/>
      </c>
      <c r="AN436">
        <f>'19_Расчет_аналитики'!AN388</f>
        <v/>
      </c>
      <c r="AO436">
        <f>'19_Расчет_аналитики'!AO388</f>
        <v/>
      </c>
      <c r="AP436">
        <f>'19_Расчет_аналитики'!AP388</f>
        <v/>
      </c>
      <c r="AQ436">
        <f>'19_Расчет_аналитики'!AQ388</f>
        <v/>
      </c>
      <c r="AR436">
        <f>'19_Расчет_аналитики'!AR388</f>
        <v/>
      </c>
      <c r="AS436">
        <f>'19_Расчет_аналитики'!AS388</f>
        <v/>
      </c>
      <c r="AT436">
        <f>'19_Расчет_аналитики'!AT388</f>
        <v/>
      </c>
      <c r="AU436">
        <f>'19_Расчет_аналитики'!AU388</f>
        <v/>
      </c>
      <c r="AV436">
        <f>'19_Расчет_аналитики'!AV388</f>
        <v/>
      </c>
      <c r="AW436">
        <f>'19_Расчет_аналитики'!AW388</f>
        <v/>
      </c>
      <c r="AX436">
        <f>'19_Расчет_аналитики'!AX388</f>
        <v/>
      </c>
      <c r="AY436">
        <f>'19_Расчет_аналитики'!AY388</f>
        <v/>
      </c>
      <c r="AZ436">
        <f>'19_Расчет_аналитики'!AZ388</f>
        <v/>
      </c>
      <c r="BA436">
        <f>'19_Расчет_аналитики'!BA388</f>
        <v/>
      </c>
      <c r="BB436">
        <f>'19_Расчет_аналитики'!BB388</f>
        <v/>
      </c>
      <c r="BC436">
        <f>'19_Расчет_аналитики'!BC388</f>
        <v/>
      </c>
      <c r="BD436">
        <f>'19_Расчет_аналитики'!BD388</f>
        <v/>
      </c>
      <c r="BE436">
        <f>'19_Расчет_аналитики'!BE388</f>
        <v/>
      </c>
      <c r="BF436">
        <f>'19_Расчет_аналитики'!BF388</f>
        <v/>
      </c>
      <c r="BG436">
        <f>'19_Расчет_аналитики'!BG388</f>
        <v/>
      </c>
      <c r="BH436">
        <f>'19_Расчет_аналитики'!BH388</f>
        <v/>
      </c>
      <c r="BI436">
        <f>'19_Расчет_аналитики'!BI388</f>
        <v/>
      </c>
      <c r="BJ436">
        <f>'19_Расчет_аналитики'!BJ388</f>
        <v/>
      </c>
      <c r="BK436">
        <f>'19_Расчет_аналитики'!BK388</f>
        <v/>
      </c>
      <c r="BL436">
        <f>'19_Расчет_аналитики'!BL388</f>
        <v/>
      </c>
      <c r="BM436">
        <f>'19_Расчет_аналитики'!BM388</f>
        <v/>
      </c>
      <c r="BN436">
        <f>'19_Расчет_аналитики'!BN388</f>
        <v/>
      </c>
      <c r="BO436">
        <f>'19_Расчет_аналитики'!BO388</f>
        <v/>
      </c>
    </row>
    <row r="437">
      <c r="B437">
        <f>'06_Сеть_и_дети'!B82</f>
        <v/>
      </c>
      <c r="C437">
        <f>'19_Расчет_аналитики'!B436*'01_Вводные'!$B$14</f>
        <v/>
      </c>
      <c r="D437">
        <f>'19_Расчет_аналитики'!C436*'01_Вводные'!$B$14</f>
        <v/>
      </c>
      <c r="E437">
        <f>'19_Расчет_аналитики'!D436*'01_Вводные'!$B$14</f>
        <v/>
      </c>
      <c r="F437">
        <f>'19_Расчет_аналитики'!E436*'01_Вводные'!$B$14</f>
        <v/>
      </c>
      <c r="G437">
        <f>'19_Расчет_аналитики'!F436*'01_Вводные'!$B$14</f>
        <v/>
      </c>
      <c r="H437">
        <f>'19_Расчет_аналитики'!G436*'01_Вводные'!$B$14</f>
        <v/>
      </c>
      <c r="I437">
        <f>'19_Расчет_аналитики'!H436*'01_Вводные'!$B$14</f>
        <v/>
      </c>
      <c r="J437">
        <f>'19_Расчет_аналитики'!I436*'01_Вводные'!$B$14</f>
        <v/>
      </c>
      <c r="K437">
        <f>'19_Расчет_аналитики'!J436*'01_Вводные'!$B$14</f>
        <v/>
      </c>
      <c r="L437">
        <f>'19_Расчет_аналитики'!K436*'01_Вводные'!$B$14</f>
        <v/>
      </c>
      <c r="M437">
        <f>'19_Расчет_аналитики'!L436*'01_Вводные'!$B$14</f>
        <v/>
      </c>
      <c r="N437">
        <f>'19_Расчет_аналитики'!M436*'01_Вводные'!$B$14</f>
        <v/>
      </c>
      <c r="O437">
        <f>'19_Расчет_аналитики'!N436*'01_Вводные'!$B$14</f>
        <v/>
      </c>
      <c r="P437">
        <f>'19_Расчет_аналитики'!O436*'01_Вводные'!$B$14</f>
        <v/>
      </c>
      <c r="Q437">
        <f>'19_Расчет_аналитики'!P436*'01_Вводные'!$B$14</f>
        <v/>
      </c>
      <c r="R437">
        <f>'19_Расчет_аналитики'!Q436*'01_Вводные'!$B$14</f>
        <v/>
      </c>
      <c r="S437">
        <f>'19_Расчет_аналитики'!R436*'01_Вводные'!$B$14</f>
        <v/>
      </c>
      <c r="T437">
        <f>'19_Расчет_аналитики'!S436*'01_Вводные'!$B$14</f>
        <v/>
      </c>
      <c r="U437">
        <f>'19_Расчет_аналитики'!T436*'01_Вводные'!$B$14</f>
        <v/>
      </c>
      <c r="V437">
        <f>'19_Расчет_аналитики'!U436*'01_Вводные'!$B$14</f>
        <v/>
      </c>
      <c r="W437">
        <f>'19_Расчет_аналитики'!V436*'01_Вводные'!$B$14</f>
        <v/>
      </c>
      <c r="X437">
        <f>'19_Расчет_аналитики'!W436*'01_Вводные'!$B$14</f>
        <v/>
      </c>
      <c r="Y437">
        <f>'19_Расчет_аналитики'!X436*'01_Вводные'!$B$14</f>
        <v/>
      </c>
      <c r="Z437">
        <f>'19_Расчет_аналитики'!Y436*'01_Вводные'!$B$14</f>
        <v/>
      </c>
      <c r="AA437">
        <f>'19_Расчет_аналитики'!Z436*'01_Вводные'!$B$14</f>
        <v/>
      </c>
      <c r="AB437">
        <f>'19_Расчет_аналитики'!AA436*'01_Вводные'!$B$14</f>
        <v/>
      </c>
      <c r="AC437">
        <f>'19_Расчет_аналитики'!AB436*'01_Вводные'!$B$14</f>
        <v/>
      </c>
      <c r="AD437">
        <f>'19_Расчет_аналитики'!AC436*'01_Вводные'!$B$14</f>
        <v/>
      </c>
      <c r="AE437">
        <f>'19_Расчет_аналитики'!AD436*'01_Вводные'!$B$14</f>
        <v/>
      </c>
      <c r="AF437">
        <f>'19_Расчет_аналитики'!AE436*'01_Вводные'!$B$14</f>
        <v/>
      </c>
      <c r="AG437">
        <f>'19_Расчет_аналитики'!AF436*'01_Вводные'!$B$14</f>
        <v/>
      </c>
      <c r="AH437">
        <f>'19_Расчет_аналитики'!AG436*'01_Вводные'!$B$14</f>
        <v/>
      </c>
      <c r="AI437">
        <f>'19_Расчет_аналитики'!AH436*'01_Вводные'!$B$14</f>
        <v/>
      </c>
      <c r="AJ437">
        <f>'19_Расчет_аналитики'!AI436*'01_Вводные'!$B$14</f>
        <v/>
      </c>
      <c r="AK437">
        <f>'19_Расчет_аналитики'!AJ436*'01_Вводные'!$B$14</f>
        <v/>
      </c>
      <c r="AL437">
        <f>'19_Расчет_аналитики'!AK436*'01_Вводные'!$B$14</f>
        <v/>
      </c>
      <c r="AM437">
        <f>'19_Расчет_аналитики'!AL436*'01_Вводные'!$B$14</f>
        <v/>
      </c>
      <c r="AN437">
        <f>'19_Расчет_аналитики'!AM436*'01_Вводные'!$B$14</f>
        <v/>
      </c>
      <c r="AO437">
        <f>'19_Расчет_аналитики'!AN436*'01_Вводные'!$B$14</f>
        <v/>
      </c>
      <c r="AP437">
        <f>'19_Расчет_аналитики'!AO436*'01_Вводные'!$B$14</f>
        <v/>
      </c>
      <c r="AQ437">
        <f>'19_Расчет_аналитики'!AP436*'01_Вводные'!$B$14</f>
        <v/>
      </c>
      <c r="AR437">
        <f>'19_Расчет_аналитики'!AQ436*'01_Вводные'!$B$14</f>
        <v/>
      </c>
      <c r="AS437">
        <f>'19_Расчет_аналитики'!AR436*'01_Вводные'!$B$14</f>
        <v/>
      </c>
      <c r="AT437">
        <f>'19_Расчет_аналитики'!AS436*'01_Вводные'!$B$14</f>
        <v/>
      </c>
      <c r="AU437">
        <f>'19_Расчет_аналитики'!AT436*'01_Вводные'!$B$14</f>
        <v/>
      </c>
      <c r="AV437">
        <f>'19_Расчет_аналитики'!AU436*'01_Вводные'!$B$14</f>
        <v/>
      </c>
      <c r="AW437">
        <f>'19_Расчет_аналитики'!AV436*'01_Вводные'!$B$14</f>
        <v/>
      </c>
      <c r="AX437">
        <f>'19_Расчет_аналитики'!AW436*'01_Вводные'!$B$14</f>
        <v/>
      </c>
      <c r="AY437">
        <f>'19_Расчет_аналитики'!AX436*'01_Вводные'!$B$14</f>
        <v/>
      </c>
      <c r="AZ437">
        <f>'19_Расчет_аналитики'!AY436*'01_Вводные'!$B$14</f>
        <v/>
      </c>
      <c r="BA437">
        <f>'19_Расчет_аналитики'!AZ436*'01_Вводные'!$B$14</f>
        <v/>
      </c>
      <c r="BB437">
        <f>'19_Расчет_аналитики'!BA436*'01_Вводные'!$B$14</f>
        <v/>
      </c>
      <c r="BC437">
        <f>'19_Расчет_аналитики'!BB436*'01_Вводные'!$B$14</f>
        <v/>
      </c>
      <c r="BD437">
        <f>'19_Расчет_аналитики'!BC436*'01_Вводные'!$B$14</f>
        <v/>
      </c>
      <c r="BE437">
        <f>'19_Расчет_аналитики'!BD436*'01_Вводные'!$B$14</f>
        <v/>
      </c>
      <c r="BF437">
        <f>'19_Расчет_аналитики'!BE436*'01_Вводные'!$B$14</f>
        <v/>
      </c>
      <c r="BG437">
        <f>'19_Расчет_аналитики'!BF436*'01_Вводные'!$B$14</f>
        <v/>
      </c>
      <c r="BH437">
        <f>'19_Расчет_аналитики'!BG436*'01_Вводные'!$B$14</f>
        <v/>
      </c>
      <c r="BI437">
        <f>'19_Расчет_аналитики'!BH436*'01_Вводные'!$B$14</f>
        <v/>
      </c>
      <c r="BJ437">
        <f>'19_Расчет_аналитики'!BI436*'01_Вводные'!$B$14</f>
        <v/>
      </c>
      <c r="BK437">
        <f>'19_Расчет_аналитики'!BJ436*'01_Вводные'!$B$14</f>
        <v/>
      </c>
      <c r="BL437">
        <f>'19_Расчет_аналитики'!BK436*'01_Вводные'!$B$14</f>
        <v/>
      </c>
      <c r="BM437">
        <f>'19_Расчет_аналитики'!BL436*'01_Вводные'!$B$14</f>
        <v/>
      </c>
      <c r="BN437">
        <f>'19_Расчет_аналитики'!BM436*'01_Вводные'!$B$14</f>
        <v/>
      </c>
      <c r="BO437">
        <f>'19_Расчет_аналитики'!BN436*'01_Вводные'!$B$14</f>
        <v/>
      </c>
    </row>
    <row r="438">
      <c r="B438">
        <f>'06_Сеть_и_дети'!B83</f>
        <v/>
      </c>
      <c r="C438">
        <f>'06_Сеть_и_дети'!C83</f>
        <v/>
      </c>
      <c r="D438">
        <f>'19_Расчет_аналитики'!C437*'01_Вводные'!$B$14</f>
        <v/>
      </c>
      <c r="E438">
        <f>'19_Расчет_аналитики'!D437*'01_Вводные'!$B$14</f>
        <v/>
      </c>
      <c r="F438">
        <f>'19_Расчет_аналитики'!E437*'01_Вводные'!$B$14</f>
        <v/>
      </c>
      <c r="G438">
        <f>'19_Расчет_аналитики'!F437*'01_Вводные'!$B$14</f>
        <v/>
      </c>
      <c r="H438">
        <f>'19_Расчет_аналитики'!G437*'01_Вводные'!$B$14</f>
        <v/>
      </c>
      <c r="I438">
        <f>'19_Расчет_аналитики'!H437*'01_Вводные'!$B$14</f>
        <v/>
      </c>
      <c r="J438">
        <f>'19_Расчет_аналитики'!I437*'01_Вводные'!$B$14</f>
        <v/>
      </c>
      <c r="K438">
        <f>'19_Расчет_аналитики'!J437*'01_Вводные'!$B$14</f>
        <v/>
      </c>
      <c r="L438">
        <f>'19_Расчет_аналитики'!K437*'01_Вводные'!$B$14</f>
        <v/>
      </c>
      <c r="M438">
        <f>'19_Расчет_аналитики'!L437*'01_Вводные'!$B$14</f>
        <v/>
      </c>
      <c r="N438">
        <f>'19_Расчет_аналитики'!M437*'01_Вводные'!$B$14</f>
        <v/>
      </c>
      <c r="O438">
        <f>'19_Расчет_аналитики'!N437*'01_Вводные'!$B$14</f>
        <v/>
      </c>
      <c r="P438">
        <f>'19_Расчет_аналитики'!O437*'01_Вводные'!$B$14</f>
        <v/>
      </c>
      <c r="Q438">
        <f>'19_Расчет_аналитики'!P437*'01_Вводные'!$B$14</f>
        <v/>
      </c>
      <c r="R438">
        <f>'19_Расчет_аналитики'!Q437*'01_Вводные'!$B$14</f>
        <v/>
      </c>
      <c r="S438">
        <f>'19_Расчет_аналитики'!R437*'01_Вводные'!$B$14</f>
        <v/>
      </c>
      <c r="T438">
        <f>'19_Расчет_аналитики'!S437*'01_Вводные'!$B$14</f>
        <v/>
      </c>
      <c r="U438">
        <f>'19_Расчет_аналитики'!T437*'01_Вводные'!$B$14</f>
        <v/>
      </c>
      <c r="V438">
        <f>'19_Расчет_аналитики'!U437*'01_Вводные'!$B$14</f>
        <v/>
      </c>
      <c r="W438">
        <f>'19_Расчет_аналитики'!V437*'01_Вводные'!$B$14</f>
        <v/>
      </c>
      <c r="X438">
        <f>'19_Расчет_аналитики'!W437*'01_Вводные'!$B$14</f>
        <v/>
      </c>
      <c r="Y438">
        <f>'19_Расчет_аналитики'!X437*'01_Вводные'!$B$14</f>
        <v/>
      </c>
      <c r="Z438">
        <f>'19_Расчет_аналитики'!Y437*'01_Вводные'!$B$14</f>
        <v/>
      </c>
      <c r="AA438">
        <f>'19_Расчет_аналитики'!Z437*'01_Вводные'!$B$14</f>
        <v/>
      </c>
      <c r="AB438">
        <f>'19_Расчет_аналитики'!AA437*'01_Вводные'!$B$14</f>
        <v/>
      </c>
      <c r="AC438">
        <f>'19_Расчет_аналитики'!AB437*'01_Вводные'!$B$14</f>
        <v/>
      </c>
      <c r="AD438">
        <f>'19_Расчет_аналитики'!AC437*'01_Вводные'!$B$14</f>
        <v/>
      </c>
      <c r="AE438">
        <f>'19_Расчет_аналитики'!AD437*'01_Вводные'!$B$14</f>
        <v/>
      </c>
      <c r="AF438">
        <f>'19_Расчет_аналитики'!AE437*'01_Вводные'!$B$14</f>
        <v/>
      </c>
      <c r="AG438">
        <f>'19_Расчет_аналитики'!AF437*'01_Вводные'!$B$14</f>
        <v/>
      </c>
      <c r="AH438">
        <f>'19_Расчет_аналитики'!AG437*'01_Вводные'!$B$14</f>
        <v/>
      </c>
      <c r="AI438">
        <f>'19_Расчет_аналитики'!AH437*'01_Вводные'!$B$14</f>
        <v/>
      </c>
      <c r="AJ438">
        <f>'19_Расчет_аналитики'!AI437*'01_Вводные'!$B$14</f>
        <v/>
      </c>
      <c r="AK438">
        <f>'19_Расчет_аналитики'!AJ437*'01_Вводные'!$B$14</f>
        <v/>
      </c>
      <c r="AL438">
        <f>'19_Расчет_аналитики'!AK437*'01_Вводные'!$B$14</f>
        <v/>
      </c>
      <c r="AM438">
        <f>'19_Расчет_аналитики'!AL437*'01_Вводные'!$B$14</f>
        <v/>
      </c>
      <c r="AN438">
        <f>'19_Расчет_аналитики'!AM437*'01_Вводные'!$B$14</f>
        <v/>
      </c>
      <c r="AO438">
        <f>'19_Расчет_аналитики'!AN437*'01_Вводные'!$B$14</f>
        <v/>
      </c>
      <c r="AP438">
        <f>'19_Расчет_аналитики'!AO437*'01_Вводные'!$B$14</f>
        <v/>
      </c>
      <c r="AQ438">
        <f>'19_Расчет_аналитики'!AP437*'01_Вводные'!$B$14</f>
        <v/>
      </c>
      <c r="AR438">
        <f>'19_Расчет_аналитики'!AQ437*'01_Вводные'!$B$14</f>
        <v/>
      </c>
      <c r="AS438">
        <f>'19_Расчет_аналитики'!AR437*'01_Вводные'!$B$14</f>
        <v/>
      </c>
      <c r="AT438">
        <f>'19_Расчет_аналитики'!AS437*'01_Вводные'!$B$14</f>
        <v/>
      </c>
      <c r="AU438">
        <f>'19_Расчет_аналитики'!AT437*'01_Вводные'!$B$14</f>
        <v/>
      </c>
      <c r="AV438">
        <f>'19_Расчет_аналитики'!AU437*'01_Вводные'!$B$14</f>
        <v/>
      </c>
      <c r="AW438">
        <f>'19_Расчет_аналитики'!AV437*'01_Вводные'!$B$14</f>
        <v/>
      </c>
      <c r="AX438">
        <f>'19_Расчет_аналитики'!AW437*'01_Вводные'!$B$14</f>
        <v/>
      </c>
      <c r="AY438">
        <f>'19_Расчет_аналитики'!AX437*'01_Вводные'!$B$14</f>
        <v/>
      </c>
      <c r="AZ438">
        <f>'19_Расчет_аналитики'!AY437*'01_Вводные'!$B$14</f>
        <v/>
      </c>
      <c r="BA438">
        <f>'19_Расчет_аналитики'!AZ437*'01_Вводные'!$B$14</f>
        <v/>
      </c>
      <c r="BB438">
        <f>'19_Расчет_аналитики'!BA437*'01_Вводные'!$B$14</f>
        <v/>
      </c>
      <c r="BC438">
        <f>'19_Расчет_аналитики'!BB437*'01_Вводные'!$B$14</f>
        <v/>
      </c>
      <c r="BD438">
        <f>'19_Расчет_аналитики'!BC437*'01_Вводные'!$B$14</f>
        <v/>
      </c>
      <c r="BE438">
        <f>'19_Расчет_аналитики'!BD437*'01_Вводные'!$B$14</f>
        <v/>
      </c>
      <c r="BF438">
        <f>'19_Расчет_аналитики'!BE437*'01_Вводные'!$B$14</f>
        <v/>
      </c>
      <c r="BG438">
        <f>'19_Расчет_аналитики'!BF437*'01_Вводные'!$B$14</f>
        <v/>
      </c>
      <c r="BH438">
        <f>'19_Расчет_аналитики'!BG437*'01_Вводные'!$B$14</f>
        <v/>
      </c>
      <c r="BI438">
        <f>'19_Расчет_аналитики'!BH437*'01_Вводные'!$B$14</f>
        <v/>
      </c>
      <c r="BJ438">
        <f>'19_Расчет_аналитики'!BI437*'01_Вводные'!$B$14</f>
        <v/>
      </c>
      <c r="BK438">
        <f>'19_Расчет_аналитики'!BJ437*'01_Вводные'!$B$14</f>
        <v/>
      </c>
      <c r="BL438">
        <f>'19_Расчет_аналитики'!BK437*'01_Вводные'!$B$14</f>
        <v/>
      </c>
      <c r="BM438">
        <f>'19_Расчет_аналитики'!BL437*'01_Вводные'!$B$14</f>
        <v/>
      </c>
      <c r="BN438">
        <f>'19_Расчет_аналитики'!BM437*'01_Вводные'!$B$14</f>
        <v/>
      </c>
      <c r="BO438">
        <f>'19_Расчет_аналитики'!BN437*'01_Вводные'!$B$14</f>
        <v/>
      </c>
    </row>
    <row r="439">
      <c r="B439">
        <f>'06_Сеть_и_дети'!B84</f>
        <v/>
      </c>
      <c r="C439">
        <f>'06_Сеть_и_дети'!C84</f>
        <v/>
      </c>
      <c r="D439">
        <f>'06_Сеть_и_дети'!D84</f>
        <v/>
      </c>
      <c r="E439">
        <f>'19_Расчет_аналитики'!D438*'01_Вводные'!$B$14</f>
        <v/>
      </c>
      <c r="F439">
        <f>'19_Расчет_аналитики'!E438*'01_Вводные'!$B$14</f>
        <v/>
      </c>
      <c r="G439">
        <f>'19_Расчет_аналитики'!F438*'01_Вводные'!$B$14</f>
        <v/>
      </c>
      <c r="H439">
        <f>'19_Расчет_аналитики'!G438*'01_Вводные'!$B$14</f>
        <v/>
      </c>
      <c r="I439">
        <f>'19_Расчет_аналитики'!H438*'01_Вводные'!$B$14</f>
        <v/>
      </c>
      <c r="J439">
        <f>'19_Расчет_аналитики'!I438*'01_Вводные'!$B$14</f>
        <v/>
      </c>
      <c r="K439">
        <f>'19_Расчет_аналитики'!J438*'01_Вводные'!$B$14</f>
        <v/>
      </c>
      <c r="L439">
        <f>'19_Расчет_аналитики'!K438*'01_Вводные'!$B$14</f>
        <v/>
      </c>
      <c r="M439">
        <f>'19_Расчет_аналитики'!L438*'01_Вводные'!$B$14</f>
        <v/>
      </c>
      <c r="N439">
        <f>'19_Расчет_аналитики'!M438*'01_Вводные'!$B$14</f>
        <v/>
      </c>
      <c r="O439">
        <f>'19_Расчет_аналитики'!N438*'01_Вводные'!$B$14</f>
        <v/>
      </c>
      <c r="P439">
        <f>'19_Расчет_аналитики'!O438*'01_Вводные'!$B$14</f>
        <v/>
      </c>
      <c r="Q439">
        <f>'19_Расчет_аналитики'!P438*'01_Вводные'!$B$14</f>
        <v/>
      </c>
      <c r="R439">
        <f>'19_Расчет_аналитики'!Q438*'01_Вводные'!$B$14</f>
        <v/>
      </c>
      <c r="S439">
        <f>'19_Расчет_аналитики'!R438*'01_Вводные'!$B$14</f>
        <v/>
      </c>
      <c r="T439">
        <f>'19_Расчет_аналитики'!S438*'01_Вводные'!$B$14</f>
        <v/>
      </c>
      <c r="U439">
        <f>'19_Расчет_аналитики'!T438*'01_Вводные'!$B$14</f>
        <v/>
      </c>
      <c r="V439">
        <f>'19_Расчет_аналитики'!U438*'01_Вводные'!$B$14</f>
        <v/>
      </c>
      <c r="W439">
        <f>'19_Расчет_аналитики'!V438*'01_Вводные'!$B$14</f>
        <v/>
      </c>
      <c r="X439">
        <f>'19_Расчет_аналитики'!W438*'01_Вводные'!$B$14</f>
        <v/>
      </c>
      <c r="Y439">
        <f>'19_Расчет_аналитики'!X438*'01_Вводные'!$B$14</f>
        <v/>
      </c>
      <c r="Z439">
        <f>'19_Расчет_аналитики'!Y438*'01_Вводные'!$B$14</f>
        <v/>
      </c>
      <c r="AA439">
        <f>'19_Расчет_аналитики'!Z438*'01_Вводные'!$B$14</f>
        <v/>
      </c>
      <c r="AB439">
        <f>'19_Расчет_аналитики'!AA438*'01_Вводные'!$B$14</f>
        <v/>
      </c>
      <c r="AC439">
        <f>'19_Расчет_аналитики'!AB438*'01_Вводные'!$B$14</f>
        <v/>
      </c>
      <c r="AD439">
        <f>'19_Расчет_аналитики'!AC438*'01_Вводные'!$B$14</f>
        <v/>
      </c>
      <c r="AE439">
        <f>'19_Расчет_аналитики'!AD438*'01_Вводные'!$B$14</f>
        <v/>
      </c>
      <c r="AF439">
        <f>'19_Расчет_аналитики'!AE438*'01_Вводные'!$B$14</f>
        <v/>
      </c>
      <c r="AG439">
        <f>'19_Расчет_аналитики'!AF438*'01_Вводные'!$B$14</f>
        <v/>
      </c>
      <c r="AH439">
        <f>'19_Расчет_аналитики'!AG438*'01_Вводные'!$B$14</f>
        <v/>
      </c>
      <c r="AI439">
        <f>'19_Расчет_аналитики'!AH438*'01_Вводные'!$B$14</f>
        <v/>
      </c>
      <c r="AJ439">
        <f>'19_Расчет_аналитики'!AI438*'01_Вводные'!$B$14</f>
        <v/>
      </c>
      <c r="AK439">
        <f>'19_Расчет_аналитики'!AJ438*'01_Вводные'!$B$14</f>
        <v/>
      </c>
      <c r="AL439">
        <f>'19_Расчет_аналитики'!AK438*'01_Вводные'!$B$14</f>
        <v/>
      </c>
      <c r="AM439">
        <f>'19_Расчет_аналитики'!AL438*'01_Вводные'!$B$14</f>
        <v/>
      </c>
      <c r="AN439">
        <f>'19_Расчет_аналитики'!AM438*'01_Вводные'!$B$14</f>
        <v/>
      </c>
      <c r="AO439">
        <f>'19_Расчет_аналитики'!AN438*'01_Вводные'!$B$14</f>
        <v/>
      </c>
      <c r="AP439">
        <f>'19_Расчет_аналитики'!AO438*'01_Вводные'!$B$14</f>
        <v/>
      </c>
      <c r="AQ439">
        <f>'19_Расчет_аналитики'!AP438*'01_Вводные'!$B$14</f>
        <v/>
      </c>
      <c r="AR439">
        <f>'19_Расчет_аналитики'!AQ438*'01_Вводные'!$B$14</f>
        <v/>
      </c>
      <c r="AS439">
        <f>'19_Расчет_аналитики'!AR438*'01_Вводные'!$B$14</f>
        <v/>
      </c>
      <c r="AT439">
        <f>'19_Расчет_аналитики'!AS438*'01_Вводные'!$B$14</f>
        <v/>
      </c>
      <c r="AU439">
        <f>'19_Расчет_аналитики'!AT438*'01_Вводные'!$B$14</f>
        <v/>
      </c>
      <c r="AV439">
        <f>'19_Расчет_аналитики'!AU438*'01_Вводные'!$B$14</f>
        <v/>
      </c>
      <c r="AW439">
        <f>'19_Расчет_аналитики'!AV438*'01_Вводные'!$B$14</f>
        <v/>
      </c>
      <c r="AX439">
        <f>'19_Расчет_аналитики'!AW438*'01_Вводные'!$B$14</f>
        <v/>
      </c>
      <c r="AY439">
        <f>'19_Расчет_аналитики'!AX438*'01_Вводные'!$B$14</f>
        <v/>
      </c>
      <c r="AZ439">
        <f>'19_Расчет_аналитики'!AY438*'01_Вводные'!$B$14</f>
        <v/>
      </c>
      <c r="BA439">
        <f>'19_Расчет_аналитики'!AZ438*'01_Вводные'!$B$14</f>
        <v/>
      </c>
      <c r="BB439">
        <f>'19_Расчет_аналитики'!BA438*'01_Вводные'!$B$14</f>
        <v/>
      </c>
      <c r="BC439">
        <f>'19_Расчет_аналитики'!BB438*'01_Вводные'!$B$14</f>
        <v/>
      </c>
      <c r="BD439">
        <f>'19_Расчет_аналитики'!BC438*'01_Вводные'!$B$14</f>
        <v/>
      </c>
      <c r="BE439">
        <f>'19_Расчет_аналитики'!BD438*'01_Вводные'!$B$14</f>
        <v/>
      </c>
      <c r="BF439">
        <f>'19_Расчет_аналитики'!BE438*'01_Вводные'!$B$14</f>
        <v/>
      </c>
      <c r="BG439">
        <f>'19_Расчет_аналитики'!BF438*'01_Вводные'!$B$14</f>
        <v/>
      </c>
      <c r="BH439">
        <f>'19_Расчет_аналитики'!BG438*'01_Вводные'!$B$14</f>
        <v/>
      </c>
      <c r="BI439">
        <f>'19_Расчет_аналитики'!BH438*'01_Вводные'!$B$14</f>
        <v/>
      </c>
      <c r="BJ439">
        <f>'19_Расчет_аналитики'!BI438*'01_Вводные'!$B$14</f>
        <v/>
      </c>
      <c r="BK439">
        <f>'19_Расчет_аналитики'!BJ438*'01_Вводные'!$B$14</f>
        <v/>
      </c>
      <c r="BL439">
        <f>'19_Расчет_аналитики'!BK438*'01_Вводные'!$B$14</f>
        <v/>
      </c>
      <c r="BM439">
        <f>'19_Расчет_аналитики'!BL438*'01_Вводные'!$B$14</f>
        <v/>
      </c>
      <c r="BN439">
        <f>'19_Расчет_аналитики'!BM438*'01_Вводные'!$B$14</f>
        <v/>
      </c>
      <c r="BO439">
        <f>'19_Расчет_аналитики'!BN438*'01_Вводные'!$B$14</f>
        <v/>
      </c>
    </row>
    <row r="440">
      <c r="B440">
        <f>'06_Сеть_и_дети'!B85</f>
        <v/>
      </c>
      <c r="C440">
        <f>'06_Сеть_и_дети'!C85</f>
        <v/>
      </c>
      <c r="D440">
        <f>'06_Сеть_и_дети'!D85</f>
        <v/>
      </c>
      <c r="E440">
        <f>'06_Сеть_и_дети'!E85</f>
        <v/>
      </c>
      <c r="F440">
        <f>'19_Расчет_аналитики'!E439*'01_Вводные'!$B$14</f>
        <v/>
      </c>
      <c r="G440">
        <f>'19_Расчет_аналитики'!F439*'01_Вводные'!$B$14</f>
        <v/>
      </c>
      <c r="H440">
        <f>'19_Расчет_аналитики'!G439*'01_Вводные'!$B$14</f>
        <v/>
      </c>
      <c r="I440">
        <f>'19_Расчет_аналитики'!H439*'01_Вводные'!$B$14</f>
        <v/>
      </c>
      <c r="J440">
        <f>'19_Расчет_аналитики'!I439*'01_Вводные'!$B$14</f>
        <v/>
      </c>
      <c r="K440">
        <f>'19_Расчет_аналитики'!J439*'01_Вводные'!$B$14</f>
        <v/>
      </c>
      <c r="L440">
        <f>'19_Расчет_аналитики'!K439*'01_Вводные'!$B$14</f>
        <v/>
      </c>
      <c r="M440">
        <f>'19_Расчет_аналитики'!L439*'01_Вводные'!$B$14</f>
        <v/>
      </c>
      <c r="N440">
        <f>'19_Расчет_аналитики'!M439*'01_Вводные'!$B$14</f>
        <v/>
      </c>
      <c r="O440">
        <f>'19_Расчет_аналитики'!N439*'01_Вводные'!$B$14</f>
        <v/>
      </c>
      <c r="P440">
        <f>'19_Расчет_аналитики'!O439*'01_Вводные'!$B$14</f>
        <v/>
      </c>
      <c r="Q440">
        <f>'19_Расчет_аналитики'!P439*'01_Вводные'!$B$14</f>
        <v/>
      </c>
      <c r="R440">
        <f>'19_Расчет_аналитики'!Q439*'01_Вводные'!$B$14</f>
        <v/>
      </c>
      <c r="S440">
        <f>'19_Расчет_аналитики'!R439*'01_Вводные'!$B$14</f>
        <v/>
      </c>
      <c r="T440">
        <f>'19_Расчет_аналитики'!S439*'01_Вводные'!$B$14</f>
        <v/>
      </c>
      <c r="U440">
        <f>'19_Расчет_аналитики'!T439*'01_Вводные'!$B$14</f>
        <v/>
      </c>
      <c r="V440">
        <f>'19_Расчет_аналитики'!U439*'01_Вводные'!$B$14</f>
        <v/>
      </c>
      <c r="W440">
        <f>'19_Расчет_аналитики'!V439*'01_Вводные'!$B$14</f>
        <v/>
      </c>
      <c r="X440">
        <f>'19_Расчет_аналитики'!W439*'01_Вводные'!$B$14</f>
        <v/>
      </c>
      <c r="Y440">
        <f>'19_Расчет_аналитики'!X439*'01_Вводные'!$B$14</f>
        <v/>
      </c>
      <c r="Z440">
        <f>'19_Расчет_аналитики'!Y439*'01_Вводные'!$B$14</f>
        <v/>
      </c>
      <c r="AA440">
        <f>'19_Расчет_аналитики'!Z439*'01_Вводные'!$B$14</f>
        <v/>
      </c>
      <c r="AB440">
        <f>'19_Расчет_аналитики'!AA439*'01_Вводные'!$B$14</f>
        <v/>
      </c>
      <c r="AC440">
        <f>'19_Расчет_аналитики'!AB439*'01_Вводные'!$B$14</f>
        <v/>
      </c>
      <c r="AD440">
        <f>'19_Расчет_аналитики'!AC439*'01_Вводные'!$B$14</f>
        <v/>
      </c>
      <c r="AE440">
        <f>'19_Расчет_аналитики'!AD439*'01_Вводные'!$B$14</f>
        <v/>
      </c>
      <c r="AF440">
        <f>'19_Расчет_аналитики'!AE439*'01_Вводные'!$B$14</f>
        <v/>
      </c>
      <c r="AG440">
        <f>'19_Расчет_аналитики'!AF439*'01_Вводные'!$B$14</f>
        <v/>
      </c>
      <c r="AH440">
        <f>'19_Расчет_аналитики'!AG439*'01_Вводные'!$B$14</f>
        <v/>
      </c>
      <c r="AI440">
        <f>'19_Расчет_аналитики'!AH439*'01_Вводные'!$B$14</f>
        <v/>
      </c>
      <c r="AJ440">
        <f>'19_Расчет_аналитики'!AI439*'01_Вводные'!$B$14</f>
        <v/>
      </c>
      <c r="AK440">
        <f>'19_Расчет_аналитики'!AJ439*'01_Вводные'!$B$14</f>
        <v/>
      </c>
      <c r="AL440">
        <f>'19_Расчет_аналитики'!AK439*'01_Вводные'!$B$14</f>
        <v/>
      </c>
      <c r="AM440">
        <f>'19_Расчет_аналитики'!AL439*'01_Вводные'!$B$14</f>
        <v/>
      </c>
      <c r="AN440">
        <f>'19_Расчет_аналитики'!AM439*'01_Вводные'!$B$14</f>
        <v/>
      </c>
      <c r="AO440">
        <f>'19_Расчет_аналитики'!AN439*'01_Вводные'!$B$14</f>
        <v/>
      </c>
      <c r="AP440">
        <f>'19_Расчет_аналитики'!AO439*'01_Вводные'!$B$14</f>
        <v/>
      </c>
      <c r="AQ440">
        <f>'19_Расчет_аналитики'!AP439*'01_Вводные'!$B$14</f>
        <v/>
      </c>
      <c r="AR440">
        <f>'19_Расчет_аналитики'!AQ439*'01_Вводные'!$B$14</f>
        <v/>
      </c>
      <c r="AS440">
        <f>'19_Расчет_аналитики'!AR439*'01_Вводные'!$B$14</f>
        <v/>
      </c>
      <c r="AT440">
        <f>'19_Расчет_аналитики'!AS439*'01_Вводные'!$B$14</f>
        <v/>
      </c>
      <c r="AU440">
        <f>'19_Расчет_аналитики'!AT439*'01_Вводные'!$B$14</f>
        <v/>
      </c>
      <c r="AV440">
        <f>'19_Расчет_аналитики'!AU439*'01_Вводные'!$B$14</f>
        <v/>
      </c>
      <c r="AW440">
        <f>'19_Расчет_аналитики'!AV439*'01_Вводные'!$B$14</f>
        <v/>
      </c>
      <c r="AX440">
        <f>'19_Расчет_аналитики'!AW439*'01_Вводные'!$B$14</f>
        <v/>
      </c>
      <c r="AY440">
        <f>'19_Расчет_аналитики'!AX439*'01_Вводные'!$B$14</f>
        <v/>
      </c>
      <c r="AZ440">
        <f>'19_Расчет_аналитики'!AY439*'01_Вводные'!$B$14</f>
        <v/>
      </c>
      <c r="BA440">
        <f>'19_Расчет_аналитики'!AZ439*'01_Вводные'!$B$14</f>
        <v/>
      </c>
      <c r="BB440">
        <f>'19_Расчет_аналитики'!BA439*'01_Вводные'!$B$14</f>
        <v/>
      </c>
      <c r="BC440">
        <f>'19_Расчет_аналитики'!BB439*'01_Вводные'!$B$14</f>
        <v/>
      </c>
      <c r="BD440">
        <f>'19_Расчет_аналитики'!BC439*'01_Вводные'!$B$14</f>
        <v/>
      </c>
      <c r="BE440">
        <f>'19_Расчет_аналитики'!BD439*'01_Вводные'!$B$14</f>
        <v/>
      </c>
      <c r="BF440">
        <f>'19_Расчет_аналитики'!BE439*'01_Вводные'!$B$14</f>
        <v/>
      </c>
      <c r="BG440">
        <f>'19_Расчет_аналитики'!BF439*'01_Вводные'!$B$14</f>
        <v/>
      </c>
      <c r="BH440">
        <f>'19_Расчет_аналитики'!BG439*'01_Вводные'!$B$14</f>
        <v/>
      </c>
      <c r="BI440">
        <f>'19_Расчет_аналитики'!BH439*'01_Вводные'!$B$14</f>
        <v/>
      </c>
      <c r="BJ440">
        <f>'19_Расчет_аналитики'!BI439*'01_Вводные'!$B$14</f>
        <v/>
      </c>
      <c r="BK440">
        <f>'19_Расчет_аналитики'!BJ439*'01_Вводные'!$B$14</f>
        <v/>
      </c>
      <c r="BL440">
        <f>'19_Расчет_аналитики'!BK439*'01_Вводные'!$B$14</f>
        <v/>
      </c>
      <c r="BM440">
        <f>'19_Расчет_аналитики'!BL439*'01_Вводные'!$B$14</f>
        <v/>
      </c>
      <c r="BN440">
        <f>'19_Расчет_аналитики'!BM439*'01_Вводные'!$B$14</f>
        <v/>
      </c>
      <c r="BO440">
        <f>'19_Расчет_аналитики'!BN439*'01_Вводные'!$B$14</f>
        <v/>
      </c>
    </row>
    <row r="441">
      <c r="B441">
        <f>'06_Сеть_и_дети'!B86</f>
        <v/>
      </c>
      <c r="C441">
        <f>'06_Сеть_и_дети'!C86</f>
        <v/>
      </c>
      <c r="D441">
        <f>'06_Сеть_и_дети'!D86</f>
        <v/>
      </c>
      <c r="E441">
        <f>'06_Сеть_и_дети'!E86</f>
        <v/>
      </c>
      <c r="F441">
        <f>'06_Сеть_и_дети'!F86</f>
        <v/>
      </c>
      <c r="G441">
        <f>'19_Расчет_аналитики'!F440*'01_Вводные'!$B$14</f>
        <v/>
      </c>
      <c r="H441">
        <f>'19_Расчет_аналитики'!G440*'01_Вводные'!$B$14</f>
        <v/>
      </c>
      <c r="I441">
        <f>'19_Расчет_аналитики'!H440*'01_Вводные'!$B$14</f>
        <v/>
      </c>
      <c r="J441">
        <f>'19_Расчет_аналитики'!I440*'01_Вводные'!$B$14</f>
        <v/>
      </c>
      <c r="K441">
        <f>'19_Расчет_аналитики'!J440*'01_Вводные'!$B$14</f>
        <v/>
      </c>
      <c r="L441">
        <f>'19_Расчет_аналитики'!K440*'01_Вводные'!$B$14</f>
        <v/>
      </c>
      <c r="M441">
        <f>'19_Расчет_аналитики'!L440*'01_Вводные'!$B$14</f>
        <v/>
      </c>
      <c r="N441">
        <f>'19_Расчет_аналитики'!M440*'01_Вводные'!$B$14</f>
        <v/>
      </c>
      <c r="O441">
        <f>'19_Расчет_аналитики'!N440*'01_Вводные'!$B$14</f>
        <v/>
      </c>
      <c r="P441">
        <f>'19_Расчет_аналитики'!O440*'01_Вводные'!$B$14</f>
        <v/>
      </c>
      <c r="Q441">
        <f>'19_Расчет_аналитики'!P440*'01_Вводные'!$B$14</f>
        <v/>
      </c>
      <c r="R441">
        <f>'19_Расчет_аналитики'!Q440*'01_Вводные'!$B$14</f>
        <v/>
      </c>
      <c r="S441">
        <f>'19_Расчет_аналитики'!R440*'01_Вводные'!$B$14</f>
        <v/>
      </c>
      <c r="T441">
        <f>'19_Расчет_аналитики'!S440*'01_Вводные'!$B$14</f>
        <v/>
      </c>
      <c r="U441">
        <f>'19_Расчет_аналитики'!T440*'01_Вводные'!$B$14</f>
        <v/>
      </c>
      <c r="V441">
        <f>'19_Расчет_аналитики'!U440*'01_Вводные'!$B$14</f>
        <v/>
      </c>
      <c r="W441">
        <f>'19_Расчет_аналитики'!V440*'01_Вводные'!$B$14</f>
        <v/>
      </c>
      <c r="X441">
        <f>'19_Расчет_аналитики'!W440*'01_Вводные'!$B$14</f>
        <v/>
      </c>
      <c r="Y441">
        <f>'19_Расчет_аналитики'!X440*'01_Вводные'!$B$14</f>
        <v/>
      </c>
      <c r="Z441">
        <f>'19_Расчет_аналитики'!Y440*'01_Вводные'!$B$14</f>
        <v/>
      </c>
      <c r="AA441">
        <f>'19_Расчет_аналитики'!Z440*'01_Вводные'!$B$14</f>
        <v/>
      </c>
      <c r="AB441">
        <f>'19_Расчет_аналитики'!AA440*'01_Вводные'!$B$14</f>
        <v/>
      </c>
      <c r="AC441">
        <f>'19_Расчет_аналитики'!AB440*'01_Вводные'!$B$14</f>
        <v/>
      </c>
      <c r="AD441">
        <f>'19_Расчет_аналитики'!AC440*'01_Вводные'!$B$14</f>
        <v/>
      </c>
      <c r="AE441">
        <f>'19_Расчет_аналитики'!AD440*'01_Вводные'!$B$14</f>
        <v/>
      </c>
      <c r="AF441">
        <f>'19_Расчет_аналитики'!AE440*'01_Вводные'!$B$14</f>
        <v/>
      </c>
      <c r="AG441">
        <f>'19_Расчет_аналитики'!AF440*'01_Вводные'!$B$14</f>
        <v/>
      </c>
      <c r="AH441">
        <f>'19_Расчет_аналитики'!AG440*'01_Вводные'!$B$14</f>
        <v/>
      </c>
      <c r="AI441">
        <f>'19_Расчет_аналитики'!AH440*'01_Вводные'!$B$14</f>
        <v/>
      </c>
      <c r="AJ441">
        <f>'19_Расчет_аналитики'!AI440*'01_Вводные'!$B$14</f>
        <v/>
      </c>
      <c r="AK441">
        <f>'19_Расчет_аналитики'!AJ440*'01_Вводные'!$B$14</f>
        <v/>
      </c>
      <c r="AL441">
        <f>'19_Расчет_аналитики'!AK440*'01_Вводные'!$B$14</f>
        <v/>
      </c>
      <c r="AM441">
        <f>'19_Расчет_аналитики'!AL440*'01_Вводные'!$B$14</f>
        <v/>
      </c>
      <c r="AN441">
        <f>'19_Расчет_аналитики'!AM440*'01_Вводные'!$B$14</f>
        <v/>
      </c>
      <c r="AO441">
        <f>'19_Расчет_аналитики'!AN440*'01_Вводные'!$B$14</f>
        <v/>
      </c>
      <c r="AP441">
        <f>'19_Расчет_аналитики'!AO440*'01_Вводные'!$B$14</f>
        <v/>
      </c>
      <c r="AQ441">
        <f>'19_Расчет_аналитики'!AP440*'01_Вводные'!$B$14</f>
        <v/>
      </c>
      <c r="AR441">
        <f>'19_Расчет_аналитики'!AQ440*'01_Вводные'!$B$14</f>
        <v/>
      </c>
      <c r="AS441">
        <f>'19_Расчет_аналитики'!AR440*'01_Вводные'!$B$14</f>
        <v/>
      </c>
      <c r="AT441">
        <f>'19_Расчет_аналитики'!AS440*'01_Вводные'!$B$14</f>
        <v/>
      </c>
      <c r="AU441">
        <f>'19_Расчет_аналитики'!AT440*'01_Вводные'!$B$14</f>
        <v/>
      </c>
      <c r="AV441">
        <f>'19_Расчет_аналитики'!AU440*'01_Вводные'!$B$14</f>
        <v/>
      </c>
      <c r="AW441">
        <f>'19_Расчет_аналитики'!AV440*'01_Вводные'!$B$14</f>
        <v/>
      </c>
      <c r="AX441">
        <f>'19_Расчет_аналитики'!AW440*'01_Вводные'!$B$14</f>
        <v/>
      </c>
      <c r="AY441">
        <f>'19_Расчет_аналитики'!AX440*'01_Вводные'!$B$14</f>
        <v/>
      </c>
      <c r="AZ441">
        <f>'19_Расчет_аналитики'!AY440*'01_Вводные'!$B$14</f>
        <v/>
      </c>
      <c r="BA441">
        <f>'19_Расчет_аналитики'!AZ440*'01_Вводные'!$B$14</f>
        <v/>
      </c>
      <c r="BB441">
        <f>'19_Расчет_аналитики'!BA440*'01_Вводные'!$B$14</f>
        <v/>
      </c>
      <c r="BC441">
        <f>'19_Расчет_аналитики'!BB440*'01_Вводные'!$B$14</f>
        <v/>
      </c>
      <c r="BD441">
        <f>'19_Расчет_аналитики'!BC440*'01_Вводные'!$B$14</f>
        <v/>
      </c>
      <c r="BE441">
        <f>'19_Расчет_аналитики'!BD440*'01_Вводные'!$B$14</f>
        <v/>
      </c>
      <c r="BF441">
        <f>'19_Расчет_аналитики'!BE440*'01_Вводные'!$B$14</f>
        <v/>
      </c>
      <c r="BG441">
        <f>'19_Расчет_аналитики'!BF440*'01_Вводные'!$B$14</f>
        <v/>
      </c>
      <c r="BH441">
        <f>'19_Расчет_аналитики'!BG440*'01_Вводные'!$B$14</f>
        <v/>
      </c>
      <c r="BI441">
        <f>'19_Расчет_аналитики'!BH440*'01_Вводные'!$B$14</f>
        <v/>
      </c>
      <c r="BJ441">
        <f>'19_Расчет_аналитики'!BI440*'01_Вводные'!$B$14</f>
        <v/>
      </c>
      <c r="BK441">
        <f>'19_Расчет_аналитики'!BJ440*'01_Вводные'!$B$14</f>
        <v/>
      </c>
      <c r="BL441">
        <f>'19_Расчет_аналитики'!BK440*'01_Вводные'!$B$14</f>
        <v/>
      </c>
      <c r="BM441">
        <f>'19_Расчет_аналитики'!BL440*'01_Вводные'!$B$14</f>
        <v/>
      </c>
      <c r="BN441">
        <f>'19_Расчет_аналитики'!BM440*'01_Вводные'!$B$14</f>
        <v/>
      </c>
      <c r="BO441">
        <f>'19_Расчет_аналитики'!BN440*'01_Вводные'!$B$14</f>
        <v/>
      </c>
    </row>
    <row r="442">
      <c r="B442">
        <f>'06_Сеть_и_дети'!B87</f>
        <v/>
      </c>
      <c r="C442">
        <f>'06_Сеть_и_дети'!C87</f>
        <v/>
      </c>
      <c r="D442">
        <f>'06_Сеть_и_дети'!D87</f>
        <v/>
      </c>
      <c r="E442">
        <f>'06_Сеть_и_дети'!E87</f>
        <v/>
      </c>
      <c r="F442">
        <f>'06_Сеть_и_дети'!F87</f>
        <v/>
      </c>
      <c r="G442">
        <f>'06_Сеть_и_дети'!G87</f>
        <v/>
      </c>
      <c r="H442">
        <f>'19_Расчет_аналитики'!G441*'01_Вводные'!$B$14</f>
        <v/>
      </c>
      <c r="I442">
        <f>'19_Расчет_аналитики'!H441*'01_Вводные'!$B$14</f>
        <v/>
      </c>
      <c r="J442">
        <f>'19_Расчет_аналитики'!I441*'01_Вводные'!$B$14</f>
        <v/>
      </c>
      <c r="K442">
        <f>'19_Расчет_аналитики'!J441*'01_Вводные'!$B$14</f>
        <v/>
      </c>
      <c r="L442">
        <f>'19_Расчет_аналитики'!K441*'01_Вводные'!$B$14</f>
        <v/>
      </c>
      <c r="M442">
        <f>'19_Расчет_аналитики'!L441*'01_Вводные'!$B$14</f>
        <v/>
      </c>
      <c r="N442">
        <f>'19_Расчет_аналитики'!M441*'01_Вводные'!$B$14</f>
        <v/>
      </c>
      <c r="O442">
        <f>'19_Расчет_аналитики'!N441*'01_Вводные'!$B$14</f>
        <v/>
      </c>
      <c r="P442">
        <f>'19_Расчет_аналитики'!O441*'01_Вводные'!$B$14</f>
        <v/>
      </c>
      <c r="Q442">
        <f>'19_Расчет_аналитики'!P441*'01_Вводные'!$B$14</f>
        <v/>
      </c>
      <c r="R442">
        <f>'19_Расчет_аналитики'!Q441*'01_Вводные'!$B$14</f>
        <v/>
      </c>
      <c r="S442">
        <f>'19_Расчет_аналитики'!R441*'01_Вводные'!$B$14</f>
        <v/>
      </c>
      <c r="T442">
        <f>'19_Расчет_аналитики'!S441*'01_Вводные'!$B$14</f>
        <v/>
      </c>
      <c r="U442">
        <f>'19_Расчет_аналитики'!T441*'01_Вводные'!$B$14</f>
        <v/>
      </c>
      <c r="V442">
        <f>'19_Расчет_аналитики'!U441*'01_Вводные'!$B$14</f>
        <v/>
      </c>
      <c r="W442">
        <f>'19_Расчет_аналитики'!V441*'01_Вводные'!$B$14</f>
        <v/>
      </c>
      <c r="X442">
        <f>'19_Расчет_аналитики'!W441*'01_Вводные'!$B$14</f>
        <v/>
      </c>
      <c r="Y442">
        <f>'19_Расчет_аналитики'!X441*'01_Вводные'!$B$14</f>
        <v/>
      </c>
      <c r="Z442">
        <f>'19_Расчет_аналитики'!Y441*'01_Вводные'!$B$14</f>
        <v/>
      </c>
      <c r="AA442">
        <f>'19_Расчет_аналитики'!Z441*'01_Вводные'!$B$14</f>
        <v/>
      </c>
      <c r="AB442">
        <f>'19_Расчет_аналитики'!AA441*'01_Вводные'!$B$14</f>
        <v/>
      </c>
      <c r="AC442">
        <f>'19_Расчет_аналитики'!AB441*'01_Вводные'!$B$14</f>
        <v/>
      </c>
      <c r="AD442">
        <f>'19_Расчет_аналитики'!AC441*'01_Вводные'!$B$14</f>
        <v/>
      </c>
      <c r="AE442">
        <f>'19_Расчет_аналитики'!AD441*'01_Вводные'!$B$14</f>
        <v/>
      </c>
      <c r="AF442">
        <f>'19_Расчет_аналитики'!AE441*'01_Вводные'!$B$14</f>
        <v/>
      </c>
      <c r="AG442">
        <f>'19_Расчет_аналитики'!AF441*'01_Вводные'!$B$14</f>
        <v/>
      </c>
      <c r="AH442">
        <f>'19_Расчет_аналитики'!AG441*'01_Вводные'!$B$14</f>
        <v/>
      </c>
      <c r="AI442">
        <f>'19_Расчет_аналитики'!AH441*'01_Вводные'!$B$14</f>
        <v/>
      </c>
      <c r="AJ442">
        <f>'19_Расчет_аналитики'!AI441*'01_Вводные'!$B$14</f>
        <v/>
      </c>
      <c r="AK442">
        <f>'19_Расчет_аналитики'!AJ441*'01_Вводные'!$B$14</f>
        <v/>
      </c>
      <c r="AL442">
        <f>'19_Расчет_аналитики'!AK441*'01_Вводные'!$B$14</f>
        <v/>
      </c>
      <c r="AM442">
        <f>'19_Расчет_аналитики'!AL441*'01_Вводные'!$B$14</f>
        <v/>
      </c>
      <c r="AN442">
        <f>'19_Расчет_аналитики'!AM441*'01_Вводные'!$B$14</f>
        <v/>
      </c>
      <c r="AO442">
        <f>'19_Расчет_аналитики'!AN441*'01_Вводные'!$B$14</f>
        <v/>
      </c>
      <c r="AP442">
        <f>'19_Расчет_аналитики'!AO441*'01_Вводные'!$B$14</f>
        <v/>
      </c>
      <c r="AQ442">
        <f>'19_Расчет_аналитики'!AP441*'01_Вводные'!$B$14</f>
        <v/>
      </c>
      <c r="AR442">
        <f>'19_Расчет_аналитики'!AQ441*'01_Вводные'!$B$14</f>
        <v/>
      </c>
      <c r="AS442">
        <f>'19_Расчет_аналитики'!AR441*'01_Вводные'!$B$14</f>
        <v/>
      </c>
      <c r="AT442">
        <f>'19_Расчет_аналитики'!AS441*'01_Вводные'!$B$14</f>
        <v/>
      </c>
      <c r="AU442">
        <f>'19_Расчет_аналитики'!AT441*'01_Вводные'!$B$14</f>
        <v/>
      </c>
      <c r="AV442">
        <f>'19_Расчет_аналитики'!AU441*'01_Вводные'!$B$14</f>
        <v/>
      </c>
      <c r="AW442">
        <f>'19_Расчет_аналитики'!AV441*'01_Вводные'!$B$14</f>
        <v/>
      </c>
      <c r="AX442">
        <f>'19_Расчет_аналитики'!AW441*'01_Вводные'!$B$14</f>
        <v/>
      </c>
      <c r="AY442">
        <f>'19_Расчет_аналитики'!AX441*'01_Вводные'!$B$14</f>
        <v/>
      </c>
      <c r="AZ442">
        <f>'19_Расчет_аналитики'!AY441*'01_Вводные'!$B$14</f>
        <v/>
      </c>
      <c r="BA442">
        <f>'19_Расчет_аналитики'!AZ441*'01_Вводные'!$B$14</f>
        <v/>
      </c>
      <c r="BB442">
        <f>'19_Расчет_аналитики'!BA441*'01_Вводные'!$B$14</f>
        <v/>
      </c>
      <c r="BC442">
        <f>'19_Расчет_аналитики'!BB441*'01_Вводные'!$B$14</f>
        <v/>
      </c>
      <c r="BD442">
        <f>'19_Расчет_аналитики'!BC441*'01_Вводные'!$B$14</f>
        <v/>
      </c>
      <c r="BE442">
        <f>'19_Расчет_аналитики'!BD441*'01_Вводные'!$B$14</f>
        <v/>
      </c>
      <c r="BF442">
        <f>'19_Расчет_аналитики'!BE441*'01_Вводные'!$B$14</f>
        <v/>
      </c>
      <c r="BG442">
        <f>'19_Расчет_аналитики'!BF441*'01_Вводные'!$B$14</f>
        <v/>
      </c>
      <c r="BH442">
        <f>'19_Расчет_аналитики'!BG441*'01_Вводные'!$B$14</f>
        <v/>
      </c>
      <c r="BI442">
        <f>'19_Расчет_аналитики'!BH441*'01_Вводные'!$B$14</f>
        <v/>
      </c>
      <c r="BJ442">
        <f>'19_Расчет_аналитики'!BI441*'01_Вводные'!$B$14</f>
        <v/>
      </c>
      <c r="BK442">
        <f>'19_Расчет_аналитики'!BJ441*'01_Вводные'!$B$14</f>
        <v/>
      </c>
      <c r="BL442">
        <f>'19_Расчет_аналитики'!BK441*'01_Вводные'!$B$14</f>
        <v/>
      </c>
      <c r="BM442">
        <f>'19_Расчет_аналитики'!BL441*'01_Вводные'!$B$14</f>
        <v/>
      </c>
      <c r="BN442">
        <f>'19_Расчет_аналитики'!BM441*'01_Вводные'!$B$14</f>
        <v/>
      </c>
      <c r="BO442">
        <f>'19_Расчет_аналитики'!BN441*'01_Вводные'!$B$14</f>
        <v/>
      </c>
    </row>
    <row r="443">
      <c r="B443">
        <f>'06_Сеть_и_дети'!B88</f>
        <v/>
      </c>
      <c r="C443">
        <f>'06_Сеть_и_дети'!C88</f>
        <v/>
      </c>
      <c r="D443">
        <f>'06_Сеть_и_дети'!D88</f>
        <v/>
      </c>
      <c r="E443">
        <f>'06_Сеть_и_дети'!E88</f>
        <v/>
      </c>
      <c r="F443">
        <f>'06_Сеть_и_дети'!F88</f>
        <v/>
      </c>
      <c r="G443">
        <f>'06_Сеть_и_дети'!G88</f>
        <v/>
      </c>
      <c r="H443">
        <f>'06_Сеть_и_дети'!H88</f>
        <v/>
      </c>
      <c r="I443">
        <f>'19_Расчет_аналитики'!H442*'01_Вводные'!$B$14</f>
        <v/>
      </c>
      <c r="J443">
        <f>'19_Расчет_аналитики'!I442*'01_Вводные'!$B$14</f>
        <v/>
      </c>
      <c r="K443">
        <f>'19_Расчет_аналитики'!J442*'01_Вводные'!$B$14</f>
        <v/>
      </c>
      <c r="L443">
        <f>'19_Расчет_аналитики'!K442*'01_Вводные'!$B$14</f>
        <v/>
      </c>
      <c r="M443">
        <f>'19_Расчет_аналитики'!L442*'01_Вводные'!$B$14</f>
        <v/>
      </c>
      <c r="N443">
        <f>'19_Расчет_аналитики'!M442*'01_Вводные'!$B$14</f>
        <v/>
      </c>
      <c r="O443">
        <f>'19_Расчет_аналитики'!N442*'01_Вводные'!$B$14</f>
        <v/>
      </c>
      <c r="P443">
        <f>'19_Расчет_аналитики'!O442*'01_Вводные'!$B$14</f>
        <v/>
      </c>
      <c r="Q443">
        <f>'19_Расчет_аналитики'!P442*'01_Вводные'!$B$14</f>
        <v/>
      </c>
      <c r="R443">
        <f>'19_Расчет_аналитики'!Q442*'01_Вводные'!$B$14</f>
        <v/>
      </c>
      <c r="S443">
        <f>'19_Расчет_аналитики'!R442*'01_Вводные'!$B$14</f>
        <v/>
      </c>
      <c r="T443">
        <f>'19_Расчет_аналитики'!S442*'01_Вводные'!$B$14</f>
        <v/>
      </c>
      <c r="U443">
        <f>'19_Расчет_аналитики'!T442*'01_Вводные'!$B$14</f>
        <v/>
      </c>
      <c r="V443">
        <f>'19_Расчет_аналитики'!U442*'01_Вводные'!$B$14</f>
        <v/>
      </c>
      <c r="W443">
        <f>'19_Расчет_аналитики'!V442*'01_Вводные'!$B$14</f>
        <v/>
      </c>
      <c r="X443">
        <f>'19_Расчет_аналитики'!W442*'01_Вводные'!$B$14</f>
        <v/>
      </c>
      <c r="Y443">
        <f>'19_Расчет_аналитики'!X442*'01_Вводные'!$B$14</f>
        <v/>
      </c>
      <c r="Z443">
        <f>'19_Расчет_аналитики'!Y442*'01_Вводные'!$B$14</f>
        <v/>
      </c>
      <c r="AA443">
        <f>'19_Расчет_аналитики'!Z442*'01_Вводные'!$B$14</f>
        <v/>
      </c>
      <c r="AB443">
        <f>'19_Расчет_аналитики'!AA442*'01_Вводные'!$B$14</f>
        <v/>
      </c>
      <c r="AC443">
        <f>'19_Расчет_аналитики'!AB442*'01_Вводные'!$B$14</f>
        <v/>
      </c>
      <c r="AD443">
        <f>'19_Расчет_аналитики'!AC442*'01_Вводные'!$B$14</f>
        <v/>
      </c>
      <c r="AE443">
        <f>'19_Расчет_аналитики'!AD442*'01_Вводные'!$B$14</f>
        <v/>
      </c>
      <c r="AF443">
        <f>'19_Расчет_аналитики'!AE442*'01_Вводные'!$B$14</f>
        <v/>
      </c>
      <c r="AG443">
        <f>'19_Расчет_аналитики'!AF442*'01_Вводные'!$B$14</f>
        <v/>
      </c>
      <c r="AH443">
        <f>'19_Расчет_аналитики'!AG442*'01_Вводные'!$B$14</f>
        <v/>
      </c>
      <c r="AI443">
        <f>'19_Расчет_аналитики'!AH442*'01_Вводные'!$B$14</f>
        <v/>
      </c>
      <c r="AJ443">
        <f>'19_Расчет_аналитики'!AI442*'01_Вводные'!$B$14</f>
        <v/>
      </c>
      <c r="AK443">
        <f>'19_Расчет_аналитики'!AJ442*'01_Вводные'!$B$14</f>
        <v/>
      </c>
      <c r="AL443">
        <f>'19_Расчет_аналитики'!AK442*'01_Вводные'!$B$14</f>
        <v/>
      </c>
      <c r="AM443">
        <f>'19_Расчет_аналитики'!AL442*'01_Вводные'!$B$14</f>
        <v/>
      </c>
      <c r="AN443">
        <f>'19_Расчет_аналитики'!AM442*'01_Вводные'!$B$14</f>
        <v/>
      </c>
      <c r="AO443">
        <f>'19_Расчет_аналитики'!AN442*'01_Вводные'!$B$14</f>
        <v/>
      </c>
      <c r="AP443">
        <f>'19_Расчет_аналитики'!AO442*'01_Вводные'!$B$14</f>
        <v/>
      </c>
      <c r="AQ443">
        <f>'19_Расчет_аналитики'!AP442*'01_Вводные'!$B$14</f>
        <v/>
      </c>
      <c r="AR443">
        <f>'19_Расчет_аналитики'!AQ442*'01_Вводные'!$B$14</f>
        <v/>
      </c>
      <c r="AS443">
        <f>'19_Расчет_аналитики'!AR442*'01_Вводные'!$B$14</f>
        <v/>
      </c>
      <c r="AT443">
        <f>'19_Расчет_аналитики'!AS442*'01_Вводные'!$B$14</f>
        <v/>
      </c>
      <c r="AU443">
        <f>'19_Расчет_аналитики'!AT442*'01_Вводные'!$B$14</f>
        <v/>
      </c>
      <c r="AV443">
        <f>'19_Расчет_аналитики'!AU442*'01_Вводные'!$B$14</f>
        <v/>
      </c>
      <c r="AW443">
        <f>'19_Расчет_аналитики'!AV442*'01_Вводные'!$B$14</f>
        <v/>
      </c>
      <c r="AX443">
        <f>'19_Расчет_аналитики'!AW442*'01_Вводные'!$B$14</f>
        <v/>
      </c>
      <c r="AY443">
        <f>'19_Расчет_аналитики'!AX442*'01_Вводные'!$B$14</f>
        <v/>
      </c>
      <c r="AZ443">
        <f>'19_Расчет_аналитики'!AY442*'01_Вводные'!$B$14</f>
        <v/>
      </c>
      <c r="BA443">
        <f>'19_Расчет_аналитики'!AZ442*'01_Вводные'!$B$14</f>
        <v/>
      </c>
      <c r="BB443">
        <f>'19_Расчет_аналитики'!BA442*'01_Вводные'!$B$14</f>
        <v/>
      </c>
      <c r="BC443">
        <f>'19_Расчет_аналитики'!BB442*'01_Вводные'!$B$14</f>
        <v/>
      </c>
      <c r="BD443">
        <f>'19_Расчет_аналитики'!BC442*'01_Вводные'!$B$14</f>
        <v/>
      </c>
      <c r="BE443">
        <f>'19_Расчет_аналитики'!BD442*'01_Вводные'!$B$14</f>
        <v/>
      </c>
      <c r="BF443">
        <f>'19_Расчет_аналитики'!BE442*'01_Вводные'!$B$14</f>
        <v/>
      </c>
      <c r="BG443">
        <f>'19_Расчет_аналитики'!BF442*'01_Вводные'!$B$14</f>
        <v/>
      </c>
      <c r="BH443">
        <f>'19_Расчет_аналитики'!BG442*'01_Вводные'!$B$14</f>
        <v/>
      </c>
      <c r="BI443">
        <f>'19_Расчет_аналитики'!BH442*'01_Вводные'!$B$14</f>
        <v/>
      </c>
      <c r="BJ443">
        <f>'19_Расчет_аналитики'!BI442*'01_Вводные'!$B$14</f>
        <v/>
      </c>
      <c r="BK443">
        <f>'19_Расчет_аналитики'!BJ442*'01_Вводные'!$B$14</f>
        <v/>
      </c>
      <c r="BL443">
        <f>'19_Расчет_аналитики'!BK442*'01_Вводные'!$B$14</f>
        <v/>
      </c>
      <c r="BM443">
        <f>'19_Расчет_аналитики'!BL442*'01_Вводные'!$B$14</f>
        <v/>
      </c>
      <c r="BN443">
        <f>'19_Расчет_аналитики'!BM442*'01_Вводные'!$B$14</f>
        <v/>
      </c>
      <c r="BO443">
        <f>'19_Расчет_аналитики'!BN442*'01_Вводные'!$B$14</f>
        <v/>
      </c>
    </row>
    <row r="444">
      <c r="B444">
        <f>'06_Сеть_и_дети'!B89</f>
        <v/>
      </c>
      <c r="C444">
        <f>'06_Сеть_и_дети'!C89</f>
        <v/>
      </c>
      <c r="D444">
        <f>'06_Сеть_и_дети'!D89</f>
        <v/>
      </c>
      <c r="E444">
        <f>'06_Сеть_и_дети'!E89</f>
        <v/>
      </c>
      <c r="F444">
        <f>'06_Сеть_и_дети'!F89</f>
        <v/>
      </c>
      <c r="G444">
        <f>'06_Сеть_и_дети'!G89</f>
        <v/>
      </c>
      <c r="H444">
        <f>'06_Сеть_и_дети'!H89</f>
        <v/>
      </c>
      <c r="I444">
        <f>'06_Сеть_и_дети'!I89</f>
        <v/>
      </c>
      <c r="J444">
        <f>'19_Расчет_аналитики'!I443*'01_Вводные'!$B$14</f>
        <v/>
      </c>
      <c r="K444">
        <f>'19_Расчет_аналитики'!J443*'01_Вводные'!$B$14</f>
        <v/>
      </c>
      <c r="L444">
        <f>'19_Расчет_аналитики'!K443*'01_Вводные'!$B$14</f>
        <v/>
      </c>
      <c r="M444">
        <f>'19_Расчет_аналитики'!L443*'01_Вводные'!$B$14</f>
        <v/>
      </c>
      <c r="N444">
        <f>'19_Расчет_аналитики'!M443*'01_Вводные'!$B$14</f>
        <v/>
      </c>
      <c r="O444">
        <f>'19_Расчет_аналитики'!N443*'01_Вводные'!$B$14</f>
        <v/>
      </c>
      <c r="P444">
        <f>'19_Расчет_аналитики'!O443*'01_Вводные'!$B$14</f>
        <v/>
      </c>
      <c r="Q444">
        <f>'19_Расчет_аналитики'!P443*'01_Вводные'!$B$14</f>
        <v/>
      </c>
      <c r="R444">
        <f>'19_Расчет_аналитики'!Q443*'01_Вводные'!$B$14</f>
        <v/>
      </c>
      <c r="S444">
        <f>'19_Расчет_аналитики'!R443*'01_Вводные'!$B$14</f>
        <v/>
      </c>
      <c r="T444">
        <f>'19_Расчет_аналитики'!S443*'01_Вводные'!$B$14</f>
        <v/>
      </c>
      <c r="U444">
        <f>'19_Расчет_аналитики'!T443*'01_Вводные'!$B$14</f>
        <v/>
      </c>
      <c r="V444">
        <f>'19_Расчет_аналитики'!U443*'01_Вводные'!$B$14</f>
        <v/>
      </c>
      <c r="W444">
        <f>'19_Расчет_аналитики'!V443*'01_Вводные'!$B$14</f>
        <v/>
      </c>
      <c r="X444">
        <f>'19_Расчет_аналитики'!W443*'01_Вводные'!$B$14</f>
        <v/>
      </c>
      <c r="Y444">
        <f>'19_Расчет_аналитики'!X443*'01_Вводные'!$B$14</f>
        <v/>
      </c>
      <c r="Z444">
        <f>'19_Расчет_аналитики'!Y443*'01_Вводные'!$B$14</f>
        <v/>
      </c>
      <c r="AA444">
        <f>'19_Расчет_аналитики'!Z443*'01_Вводные'!$B$14</f>
        <v/>
      </c>
      <c r="AB444">
        <f>'19_Расчет_аналитики'!AA443*'01_Вводные'!$B$14</f>
        <v/>
      </c>
      <c r="AC444">
        <f>'19_Расчет_аналитики'!AB443*'01_Вводные'!$B$14</f>
        <v/>
      </c>
      <c r="AD444">
        <f>'19_Расчет_аналитики'!AC443*'01_Вводные'!$B$14</f>
        <v/>
      </c>
      <c r="AE444">
        <f>'19_Расчет_аналитики'!AD443*'01_Вводные'!$B$14</f>
        <v/>
      </c>
      <c r="AF444">
        <f>'19_Расчет_аналитики'!AE443*'01_Вводные'!$B$14</f>
        <v/>
      </c>
      <c r="AG444">
        <f>'19_Расчет_аналитики'!AF443*'01_Вводные'!$B$14</f>
        <v/>
      </c>
      <c r="AH444">
        <f>'19_Расчет_аналитики'!AG443*'01_Вводные'!$B$14</f>
        <v/>
      </c>
      <c r="AI444">
        <f>'19_Расчет_аналитики'!AH443*'01_Вводные'!$B$14</f>
        <v/>
      </c>
      <c r="AJ444">
        <f>'19_Расчет_аналитики'!AI443*'01_Вводные'!$B$14</f>
        <v/>
      </c>
      <c r="AK444">
        <f>'19_Расчет_аналитики'!AJ443*'01_Вводные'!$B$14</f>
        <v/>
      </c>
      <c r="AL444">
        <f>'19_Расчет_аналитики'!AK443*'01_Вводные'!$B$14</f>
        <v/>
      </c>
      <c r="AM444">
        <f>'19_Расчет_аналитики'!AL443*'01_Вводные'!$B$14</f>
        <v/>
      </c>
      <c r="AN444">
        <f>'19_Расчет_аналитики'!AM443*'01_Вводные'!$B$14</f>
        <v/>
      </c>
      <c r="AO444">
        <f>'19_Расчет_аналитики'!AN443*'01_Вводные'!$B$14</f>
        <v/>
      </c>
      <c r="AP444">
        <f>'19_Расчет_аналитики'!AO443*'01_Вводные'!$B$14</f>
        <v/>
      </c>
      <c r="AQ444">
        <f>'19_Расчет_аналитики'!AP443*'01_Вводные'!$B$14</f>
        <v/>
      </c>
      <c r="AR444">
        <f>'19_Расчет_аналитики'!AQ443*'01_Вводные'!$B$14</f>
        <v/>
      </c>
      <c r="AS444">
        <f>'19_Расчет_аналитики'!AR443*'01_Вводные'!$B$14</f>
        <v/>
      </c>
      <c r="AT444">
        <f>'19_Расчет_аналитики'!AS443*'01_Вводные'!$B$14</f>
        <v/>
      </c>
      <c r="AU444">
        <f>'19_Расчет_аналитики'!AT443*'01_Вводные'!$B$14</f>
        <v/>
      </c>
      <c r="AV444">
        <f>'19_Расчет_аналитики'!AU443*'01_Вводные'!$B$14</f>
        <v/>
      </c>
      <c r="AW444">
        <f>'19_Расчет_аналитики'!AV443*'01_Вводные'!$B$14</f>
        <v/>
      </c>
      <c r="AX444">
        <f>'19_Расчет_аналитики'!AW443*'01_Вводные'!$B$14</f>
        <v/>
      </c>
      <c r="AY444">
        <f>'19_Расчет_аналитики'!AX443*'01_Вводные'!$B$14</f>
        <v/>
      </c>
      <c r="AZ444">
        <f>'19_Расчет_аналитики'!AY443*'01_Вводные'!$B$14</f>
        <v/>
      </c>
      <c r="BA444">
        <f>'19_Расчет_аналитики'!AZ443*'01_Вводные'!$B$14</f>
        <v/>
      </c>
      <c r="BB444">
        <f>'19_Расчет_аналитики'!BA443*'01_Вводные'!$B$14</f>
        <v/>
      </c>
      <c r="BC444">
        <f>'19_Расчет_аналитики'!BB443*'01_Вводные'!$B$14</f>
        <v/>
      </c>
      <c r="BD444">
        <f>'19_Расчет_аналитики'!BC443*'01_Вводные'!$B$14</f>
        <v/>
      </c>
      <c r="BE444">
        <f>'19_Расчет_аналитики'!BD443*'01_Вводные'!$B$14</f>
        <v/>
      </c>
      <c r="BF444">
        <f>'19_Расчет_аналитики'!BE443*'01_Вводные'!$B$14</f>
        <v/>
      </c>
      <c r="BG444">
        <f>'19_Расчет_аналитики'!BF443*'01_Вводные'!$B$14</f>
        <v/>
      </c>
      <c r="BH444">
        <f>'19_Расчет_аналитики'!BG443*'01_Вводные'!$B$14</f>
        <v/>
      </c>
      <c r="BI444">
        <f>'19_Расчет_аналитики'!BH443*'01_Вводные'!$B$14</f>
        <v/>
      </c>
      <c r="BJ444">
        <f>'19_Расчет_аналитики'!BI443*'01_Вводные'!$B$14</f>
        <v/>
      </c>
      <c r="BK444">
        <f>'19_Расчет_аналитики'!BJ443*'01_Вводные'!$B$14</f>
        <v/>
      </c>
      <c r="BL444">
        <f>'19_Расчет_аналитики'!BK443*'01_Вводные'!$B$14</f>
        <v/>
      </c>
      <c r="BM444">
        <f>'19_Расчет_аналитики'!BL443*'01_Вводные'!$B$14</f>
        <v/>
      </c>
      <c r="BN444">
        <f>'19_Расчет_аналитики'!BM443*'01_Вводные'!$B$14</f>
        <v/>
      </c>
      <c r="BO444">
        <f>'19_Расчет_аналитики'!BN443*'01_Вводные'!$B$14</f>
        <v/>
      </c>
    </row>
    <row r="445">
      <c r="B445">
        <f>'06_Сеть_и_дети'!B90</f>
        <v/>
      </c>
      <c r="C445">
        <f>'06_Сеть_и_дети'!C90</f>
        <v/>
      </c>
      <c r="D445">
        <f>'06_Сеть_и_дети'!D90</f>
        <v/>
      </c>
      <c r="E445">
        <f>'06_Сеть_и_дети'!E90</f>
        <v/>
      </c>
      <c r="F445">
        <f>'06_Сеть_и_дети'!F90</f>
        <v/>
      </c>
      <c r="G445">
        <f>'06_Сеть_и_дети'!G90</f>
        <v/>
      </c>
      <c r="H445">
        <f>'06_Сеть_и_дети'!H90</f>
        <v/>
      </c>
      <c r="I445">
        <f>'06_Сеть_и_дети'!I90</f>
        <v/>
      </c>
      <c r="J445">
        <f>'06_Сеть_и_дети'!J90</f>
        <v/>
      </c>
      <c r="K445">
        <f>'19_Расчет_аналитики'!J444*'01_Вводные'!$B$14</f>
        <v/>
      </c>
      <c r="L445">
        <f>'19_Расчет_аналитики'!K444*'01_Вводные'!$B$14</f>
        <v/>
      </c>
      <c r="M445">
        <f>'19_Расчет_аналитики'!L444*'01_Вводные'!$B$14</f>
        <v/>
      </c>
      <c r="N445">
        <f>'19_Расчет_аналитики'!M444*'01_Вводные'!$B$14</f>
        <v/>
      </c>
      <c r="O445">
        <f>'19_Расчет_аналитики'!N444*'01_Вводные'!$B$14</f>
        <v/>
      </c>
      <c r="P445">
        <f>'19_Расчет_аналитики'!O444*'01_Вводные'!$B$14</f>
        <v/>
      </c>
      <c r="Q445">
        <f>'19_Расчет_аналитики'!P444*'01_Вводные'!$B$14</f>
        <v/>
      </c>
      <c r="R445">
        <f>'19_Расчет_аналитики'!Q444*'01_Вводные'!$B$14</f>
        <v/>
      </c>
      <c r="S445">
        <f>'19_Расчет_аналитики'!R444*'01_Вводные'!$B$14</f>
        <v/>
      </c>
      <c r="T445">
        <f>'19_Расчет_аналитики'!S444*'01_Вводные'!$B$14</f>
        <v/>
      </c>
      <c r="U445">
        <f>'19_Расчет_аналитики'!T444*'01_Вводные'!$B$14</f>
        <v/>
      </c>
      <c r="V445">
        <f>'19_Расчет_аналитики'!U444*'01_Вводные'!$B$14</f>
        <v/>
      </c>
      <c r="W445">
        <f>'19_Расчет_аналитики'!V444*'01_Вводные'!$B$14</f>
        <v/>
      </c>
      <c r="X445">
        <f>'19_Расчет_аналитики'!W444*'01_Вводные'!$B$14</f>
        <v/>
      </c>
      <c r="Y445">
        <f>'19_Расчет_аналитики'!X444*'01_Вводные'!$B$14</f>
        <v/>
      </c>
      <c r="Z445">
        <f>'19_Расчет_аналитики'!Y444*'01_Вводные'!$B$14</f>
        <v/>
      </c>
      <c r="AA445">
        <f>'19_Расчет_аналитики'!Z444*'01_Вводные'!$B$14</f>
        <v/>
      </c>
      <c r="AB445">
        <f>'19_Расчет_аналитики'!AA444*'01_Вводные'!$B$14</f>
        <v/>
      </c>
      <c r="AC445">
        <f>'19_Расчет_аналитики'!AB444*'01_Вводные'!$B$14</f>
        <v/>
      </c>
      <c r="AD445">
        <f>'19_Расчет_аналитики'!AC444*'01_Вводные'!$B$14</f>
        <v/>
      </c>
      <c r="AE445">
        <f>'19_Расчет_аналитики'!AD444*'01_Вводные'!$B$14</f>
        <v/>
      </c>
      <c r="AF445">
        <f>'19_Расчет_аналитики'!AE444*'01_Вводные'!$B$14</f>
        <v/>
      </c>
      <c r="AG445">
        <f>'19_Расчет_аналитики'!AF444*'01_Вводные'!$B$14</f>
        <v/>
      </c>
      <c r="AH445">
        <f>'19_Расчет_аналитики'!AG444*'01_Вводные'!$B$14</f>
        <v/>
      </c>
      <c r="AI445">
        <f>'19_Расчет_аналитики'!AH444*'01_Вводные'!$B$14</f>
        <v/>
      </c>
      <c r="AJ445">
        <f>'19_Расчет_аналитики'!AI444*'01_Вводные'!$B$14</f>
        <v/>
      </c>
      <c r="AK445">
        <f>'19_Расчет_аналитики'!AJ444*'01_Вводные'!$B$14</f>
        <v/>
      </c>
      <c r="AL445">
        <f>'19_Расчет_аналитики'!AK444*'01_Вводные'!$B$14</f>
        <v/>
      </c>
      <c r="AM445">
        <f>'19_Расчет_аналитики'!AL444*'01_Вводные'!$B$14</f>
        <v/>
      </c>
      <c r="AN445">
        <f>'19_Расчет_аналитики'!AM444*'01_Вводные'!$B$14</f>
        <v/>
      </c>
      <c r="AO445">
        <f>'19_Расчет_аналитики'!AN444*'01_Вводные'!$B$14</f>
        <v/>
      </c>
      <c r="AP445">
        <f>'19_Расчет_аналитики'!AO444*'01_Вводные'!$B$14</f>
        <v/>
      </c>
      <c r="AQ445">
        <f>'19_Расчет_аналитики'!AP444*'01_Вводные'!$B$14</f>
        <v/>
      </c>
      <c r="AR445">
        <f>'19_Расчет_аналитики'!AQ444*'01_Вводные'!$B$14</f>
        <v/>
      </c>
      <c r="AS445">
        <f>'19_Расчет_аналитики'!AR444*'01_Вводные'!$B$14</f>
        <v/>
      </c>
      <c r="AT445">
        <f>'19_Расчет_аналитики'!AS444*'01_Вводные'!$B$14</f>
        <v/>
      </c>
      <c r="AU445">
        <f>'19_Расчет_аналитики'!AT444*'01_Вводные'!$B$14</f>
        <v/>
      </c>
      <c r="AV445">
        <f>'19_Расчет_аналитики'!AU444*'01_Вводные'!$B$14</f>
        <v/>
      </c>
      <c r="AW445">
        <f>'19_Расчет_аналитики'!AV444*'01_Вводные'!$B$14</f>
        <v/>
      </c>
      <c r="AX445">
        <f>'19_Расчет_аналитики'!AW444*'01_Вводные'!$B$14</f>
        <v/>
      </c>
      <c r="AY445">
        <f>'19_Расчет_аналитики'!AX444*'01_Вводные'!$B$14</f>
        <v/>
      </c>
      <c r="AZ445">
        <f>'19_Расчет_аналитики'!AY444*'01_Вводные'!$B$14</f>
        <v/>
      </c>
      <c r="BA445">
        <f>'19_Расчет_аналитики'!AZ444*'01_Вводные'!$B$14</f>
        <v/>
      </c>
      <c r="BB445">
        <f>'19_Расчет_аналитики'!BA444*'01_Вводные'!$B$14</f>
        <v/>
      </c>
      <c r="BC445">
        <f>'19_Расчет_аналитики'!BB444*'01_Вводные'!$B$14</f>
        <v/>
      </c>
      <c r="BD445">
        <f>'19_Расчет_аналитики'!BC444*'01_Вводные'!$B$14</f>
        <v/>
      </c>
      <c r="BE445">
        <f>'19_Расчет_аналитики'!BD444*'01_Вводные'!$B$14</f>
        <v/>
      </c>
      <c r="BF445">
        <f>'19_Расчет_аналитики'!BE444*'01_Вводные'!$B$14</f>
        <v/>
      </c>
      <c r="BG445">
        <f>'19_Расчет_аналитики'!BF444*'01_Вводные'!$B$14</f>
        <v/>
      </c>
      <c r="BH445">
        <f>'19_Расчет_аналитики'!BG444*'01_Вводные'!$B$14</f>
        <v/>
      </c>
      <c r="BI445">
        <f>'19_Расчет_аналитики'!BH444*'01_Вводные'!$B$14</f>
        <v/>
      </c>
      <c r="BJ445">
        <f>'19_Расчет_аналитики'!BI444*'01_Вводные'!$B$14</f>
        <v/>
      </c>
      <c r="BK445">
        <f>'19_Расчет_аналитики'!BJ444*'01_Вводные'!$B$14</f>
        <v/>
      </c>
      <c r="BL445">
        <f>'19_Расчет_аналитики'!BK444*'01_Вводные'!$B$14</f>
        <v/>
      </c>
      <c r="BM445">
        <f>'19_Расчет_аналитики'!BL444*'01_Вводные'!$B$14</f>
        <v/>
      </c>
      <c r="BN445">
        <f>'19_Расчет_аналитики'!BM444*'01_Вводные'!$B$14</f>
        <v/>
      </c>
      <c r="BO445">
        <f>'19_Расчет_аналитики'!BN444*'01_Вводные'!$B$14</f>
        <v/>
      </c>
    </row>
    <row r="446">
      <c r="B446">
        <f>'06_Сеть_и_дети'!B91</f>
        <v/>
      </c>
      <c r="C446">
        <f>'06_Сеть_и_дети'!C91</f>
        <v/>
      </c>
      <c r="D446">
        <f>'06_Сеть_и_дети'!D91</f>
        <v/>
      </c>
      <c r="E446">
        <f>'06_Сеть_и_дети'!E91</f>
        <v/>
      </c>
      <c r="F446">
        <f>'06_Сеть_и_дети'!F91</f>
        <v/>
      </c>
      <c r="G446">
        <f>'06_Сеть_и_дети'!G91</f>
        <v/>
      </c>
      <c r="H446">
        <f>'06_Сеть_и_дети'!H91</f>
        <v/>
      </c>
      <c r="I446">
        <f>'06_Сеть_и_дети'!I91</f>
        <v/>
      </c>
      <c r="J446">
        <f>'06_Сеть_и_дети'!J91</f>
        <v/>
      </c>
      <c r="K446">
        <f>'06_Сеть_и_дети'!K91</f>
        <v/>
      </c>
      <c r="L446">
        <f>'19_Расчет_аналитики'!K445*'01_Вводные'!$B$14</f>
        <v/>
      </c>
      <c r="M446">
        <f>'19_Расчет_аналитики'!L445*'01_Вводные'!$B$14</f>
        <v/>
      </c>
      <c r="N446">
        <f>'19_Расчет_аналитики'!M445*'01_Вводные'!$B$14</f>
        <v/>
      </c>
      <c r="O446">
        <f>'19_Расчет_аналитики'!N445*'01_Вводные'!$B$14</f>
        <v/>
      </c>
      <c r="P446">
        <f>'19_Расчет_аналитики'!O445*'01_Вводные'!$B$14</f>
        <v/>
      </c>
      <c r="Q446">
        <f>'19_Расчет_аналитики'!P445*'01_Вводные'!$B$14</f>
        <v/>
      </c>
      <c r="R446">
        <f>'19_Расчет_аналитики'!Q445*'01_Вводные'!$B$14</f>
        <v/>
      </c>
      <c r="S446">
        <f>'19_Расчет_аналитики'!R445*'01_Вводные'!$B$14</f>
        <v/>
      </c>
      <c r="T446">
        <f>'19_Расчет_аналитики'!S445*'01_Вводные'!$B$14</f>
        <v/>
      </c>
      <c r="U446">
        <f>'19_Расчет_аналитики'!T445*'01_Вводные'!$B$14</f>
        <v/>
      </c>
      <c r="V446">
        <f>'19_Расчет_аналитики'!U445*'01_Вводные'!$B$14</f>
        <v/>
      </c>
      <c r="W446">
        <f>'19_Расчет_аналитики'!V445*'01_Вводные'!$B$14</f>
        <v/>
      </c>
      <c r="X446">
        <f>'19_Расчет_аналитики'!W445*'01_Вводные'!$B$14</f>
        <v/>
      </c>
      <c r="Y446">
        <f>'19_Расчет_аналитики'!X445*'01_Вводные'!$B$14</f>
        <v/>
      </c>
      <c r="Z446">
        <f>'19_Расчет_аналитики'!Y445*'01_Вводные'!$B$14</f>
        <v/>
      </c>
      <c r="AA446">
        <f>'19_Расчет_аналитики'!Z445*'01_Вводные'!$B$14</f>
        <v/>
      </c>
      <c r="AB446">
        <f>'19_Расчет_аналитики'!AA445*'01_Вводные'!$B$14</f>
        <v/>
      </c>
      <c r="AC446">
        <f>'19_Расчет_аналитики'!AB445*'01_Вводные'!$B$14</f>
        <v/>
      </c>
      <c r="AD446">
        <f>'19_Расчет_аналитики'!AC445*'01_Вводные'!$B$14</f>
        <v/>
      </c>
      <c r="AE446">
        <f>'19_Расчет_аналитики'!AD445*'01_Вводные'!$B$14</f>
        <v/>
      </c>
      <c r="AF446">
        <f>'19_Расчет_аналитики'!AE445*'01_Вводные'!$B$14</f>
        <v/>
      </c>
      <c r="AG446">
        <f>'19_Расчет_аналитики'!AF445*'01_Вводные'!$B$14</f>
        <v/>
      </c>
      <c r="AH446">
        <f>'19_Расчет_аналитики'!AG445*'01_Вводные'!$B$14</f>
        <v/>
      </c>
      <c r="AI446">
        <f>'19_Расчет_аналитики'!AH445*'01_Вводные'!$B$14</f>
        <v/>
      </c>
      <c r="AJ446">
        <f>'19_Расчет_аналитики'!AI445*'01_Вводные'!$B$14</f>
        <v/>
      </c>
      <c r="AK446">
        <f>'19_Расчет_аналитики'!AJ445*'01_Вводные'!$B$14</f>
        <v/>
      </c>
      <c r="AL446">
        <f>'19_Расчет_аналитики'!AK445*'01_Вводные'!$B$14</f>
        <v/>
      </c>
      <c r="AM446">
        <f>'19_Расчет_аналитики'!AL445*'01_Вводные'!$B$14</f>
        <v/>
      </c>
      <c r="AN446">
        <f>'19_Расчет_аналитики'!AM445*'01_Вводные'!$B$14</f>
        <v/>
      </c>
      <c r="AO446">
        <f>'19_Расчет_аналитики'!AN445*'01_Вводные'!$B$14</f>
        <v/>
      </c>
      <c r="AP446">
        <f>'19_Расчет_аналитики'!AO445*'01_Вводные'!$B$14</f>
        <v/>
      </c>
      <c r="AQ446">
        <f>'19_Расчет_аналитики'!AP445*'01_Вводные'!$B$14</f>
        <v/>
      </c>
      <c r="AR446">
        <f>'19_Расчет_аналитики'!AQ445*'01_Вводные'!$B$14</f>
        <v/>
      </c>
      <c r="AS446">
        <f>'19_Расчет_аналитики'!AR445*'01_Вводные'!$B$14</f>
        <v/>
      </c>
      <c r="AT446">
        <f>'19_Расчет_аналитики'!AS445*'01_Вводные'!$B$14</f>
        <v/>
      </c>
      <c r="AU446">
        <f>'19_Расчет_аналитики'!AT445*'01_Вводные'!$B$14</f>
        <v/>
      </c>
      <c r="AV446">
        <f>'19_Расчет_аналитики'!AU445*'01_Вводные'!$B$14</f>
        <v/>
      </c>
      <c r="AW446">
        <f>'19_Расчет_аналитики'!AV445*'01_Вводные'!$B$14</f>
        <v/>
      </c>
      <c r="AX446">
        <f>'19_Расчет_аналитики'!AW445*'01_Вводные'!$B$14</f>
        <v/>
      </c>
      <c r="AY446">
        <f>'19_Расчет_аналитики'!AX445*'01_Вводные'!$B$14</f>
        <v/>
      </c>
      <c r="AZ446">
        <f>'19_Расчет_аналитики'!AY445*'01_Вводные'!$B$14</f>
        <v/>
      </c>
      <c r="BA446">
        <f>'19_Расчет_аналитики'!AZ445*'01_Вводные'!$B$14</f>
        <v/>
      </c>
      <c r="BB446">
        <f>'19_Расчет_аналитики'!BA445*'01_Вводные'!$B$14</f>
        <v/>
      </c>
      <c r="BC446">
        <f>'19_Расчет_аналитики'!BB445*'01_Вводные'!$B$14</f>
        <v/>
      </c>
      <c r="BD446">
        <f>'19_Расчет_аналитики'!BC445*'01_Вводные'!$B$14</f>
        <v/>
      </c>
      <c r="BE446">
        <f>'19_Расчет_аналитики'!BD445*'01_Вводные'!$B$14</f>
        <v/>
      </c>
      <c r="BF446">
        <f>'19_Расчет_аналитики'!BE445*'01_Вводные'!$B$14</f>
        <v/>
      </c>
      <c r="BG446">
        <f>'19_Расчет_аналитики'!BF445*'01_Вводные'!$B$14</f>
        <v/>
      </c>
      <c r="BH446">
        <f>'19_Расчет_аналитики'!BG445*'01_Вводные'!$B$14</f>
        <v/>
      </c>
      <c r="BI446">
        <f>'19_Расчет_аналитики'!BH445*'01_Вводные'!$B$14</f>
        <v/>
      </c>
      <c r="BJ446">
        <f>'19_Расчет_аналитики'!BI445*'01_Вводные'!$B$14</f>
        <v/>
      </c>
      <c r="BK446">
        <f>'19_Расчет_аналитики'!BJ445*'01_Вводные'!$B$14</f>
        <v/>
      </c>
      <c r="BL446">
        <f>'19_Расчет_аналитики'!BK445*'01_Вводные'!$B$14</f>
        <v/>
      </c>
      <c r="BM446">
        <f>'19_Расчет_аналитики'!BL445*'01_Вводные'!$B$14</f>
        <v/>
      </c>
      <c r="BN446">
        <f>'19_Расчет_аналитики'!BM445*'01_Вводные'!$B$14</f>
        <v/>
      </c>
      <c r="BO446">
        <f>'19_Расчет_аналитики'!BN445*'01_Вводные'!$B$14</f>
        <v/>
      </c>
    </row>
    <row r="447">
      <c r="B447">
        <f>'06_Сеть_и_дети'!B92</f>
        <v/>
      </c>
      <c r="C447">
        <f>'06_Сеть_и_дети'!C92</f>
        <v/>
      </c>
      <c r="D447">
        <f>'06_Сеть_и_дети'!D92</f>
        <v/>
      </c>
      <c r="E447">
        <f>'06_Сеть_и_дети'!E92</f>
        <v/>
      </c>
      <c r="F447">
        <f>'06_Сеть_и_дети'!F92</f>
        <v/>
      </c>
      <c r="G447">
        <f>'06_Сеть_и_дети'!G92</f>
        <v/>
      </c>
      <c r="H447">
        <f>'06_Сеть_и_дети'!H92</f>
        <v/>
      </c>
      <c r="I447">
        <f>'06_Сеть_и_дети'!I92</f>
        <v/>
      </c>
      <c r="J447">
        <f>'06_Сеть_и_дети'!J92</f>
        <v/>
      </c>
      <c r="K447">
        <f>'06_Сеть_и_дети'!K92</f>
        <v/>
      </c>
      <c r="L447">
        <f>'06_Сеть_и_дети'!L92</f>
        <v/>
      </c>
      <c r="M447">
        <f>'19_Расчет_аналитики'!L446*'01_Вводные'!$B$14</f>
        <v/>
      </c>
      <c r="N447">
        <f>'19_Расчет_аналитики'!M446*'01_Вводные'!$B$14</f>
        <v/>
      </c>
      <c r="O447">
        <f>'19_Расчет_аналитики'!N446*'01_Вводные'!$B$14</f>
        <v/>
      </c>
      <c r="P447">
        <f>'19_Расчет_аналитики'!O446*'01_Вводные'!$B$14</f>
        <v/>
      </c>
      <c r="Q447">
        <f>'19_Расчет_аналитики'!P446*'01_Вводные'!$B$14</f>
        <v/>
      </c>
      <c r="R447">
        <f>'19_Расчет_аналитики'!Q446*'01_Вводные'!$B$14</f>
        <v/>
      </c>
      <c r="S447">
        <f>'19_Расчет_аналитики'!R446*'01_Вводные'!$B$14</f>
        <v/>
      </c>
      <c r="T447">
        <f>'19_Расчет_аналитики'!S446*'01_Вводные'!$B$14</f>
        <v/>
      </c>
      <c r="U447">
        <f>'19_Расчет_аналитики'!T446*'01_Вводные'!$B$14</f>
        <v/>
      </c>
      <c r="V447">
        <f>'19_Расчет_аналитики'!U446*'01_Вводные'!$B$14</f>
        <v/>
      </c>
      <c r="W447">
        <f>'19_Расчет_аналитики'!V446*'01_Вводные'!$B$14</f>
        <v/>
      </c>
      <c r="X447">
        <f>'19_Расчет_аналитики'!W446*'01_Вводные'!$B$14</f>
        <v/>
      </c>
      <c r="Y447">
        <f>'19_Расчет_аналитики'!X446*'01_Вводные'!$B$14</f>
        <v/>
      </c>
      <c r="Z447">
        <f>'19_Расчет_аналитики'!Y446*'01_Вводные'!$B$14</f>
        <v/>
      </c>
      <c r="AA447">
        <f>'19_Расчет_аналитики'!Z446*'01_Вводные'!$B$14</f>
        <v/>
      </c>
      <c r="AB447">
        <f>'19_Расчет_аналитики'!AA446*'01_Вводные'!$B$14</f>
        <v/>
      </c>
      <c r="AC447">
        <f>'19_Расчет_аналитики'!AB446*'01_Вводные'!$B$14</f>
        <v/>
      </c>
      <c r="AD447">
        <f>'19_Расчет_аналитики'!AC446*'01_Вводные'!$B$14</f>
        <v/>
      </c>
      <c r="AE447">
        <f>'19_Расчет_аналитики'!AD446*'01_Вводные'!$B$14</f>
        <v/>
      </c>
      <c r="AF447">
        <f>'19_Расчет_аналитики'!AE446*'01_Вводные'!$B$14</f>
        <v/>
      </c>
      <c r="AG447">
        <f>'19_Расчет_аналитики'!AF446*'01_Вводные'!$B$14</f>
        <v/>
      </c>
      <c r="AH447">
        <f>'19_Расчет_аналитики'!AG446*'01_Вводные'!$B$14</f>
        <v/>
      </c>
      <c r="AI447">
        <f>'19_Расчет_аналитики'!AH446*'01_Вводные'!$B$14</f>
        <v/>
      </c>
      <c r="AJ447">
        <f>'19_Расчет_аналитики'!AI446*'01_Вводные'!$B$14</f>
        <v/>
      </c>
      <c r="AK447">
        <f>'19_Расчет_аналитики'!AJ446*'01_Вводные'!$B$14</f>
        <v/>
      </c>
      <c r="AL447">
        <f>'19_Расчет_аналитики'!AK446*'01_Вводные'!$B$14</f>
        <v/>
      </c>
      <c r="AM447">
        <f>'19_Расчет_аналитики'!AL446*'01_Вводные'!$B$14</f>
        <v/>
      </c>
      <c r="AN447">
        <f>'19_Расчет_аналитики'!AM446*'01_Вводные'!$B$14</f>
        <v/>
      </c>
      <c r="AO447">
        <f>'19_Расчет_аналитики'!AN446*'01_Вводные'!$B$14</f>
        <v/>
      </c>
      <c r="AP447">
        <f>'19_Расчет_аналитики'!AO446*'01_Вводные'!$B$14</f>
        <v/>
      </c>
      <c r="AQ447">
        <f>'19_Расчет_аналитики'!AP446*'01_Вводные'!$B$14</f>
        <v/>
      </c>
      <c r="AR447">
        <f>'19_Расчет_аналитики'!AQ446*'01_Вводные'!$B$14</f>
        <v/>
      </c>
      <c r="AS447">
        <f>'19_Расчет_аналитики'!AR446*'01_Вводные'!$B$14</f>
        <v/>
      </c>
      <c r="AT447">
        <f>'19_Расчет_аналитики'!AS446*'01_Вводные'!$B$14</f>
        <v/>
      </c>
      <c r="AU447">
        <f>'19_Расчет_аналитики'!AT446*'01_Вводные'!$B$14</f>
        <v/>
      </c>
      <c r="AV447">
        <f>'19_Расчет_аналитики'!AU446*'01_Вводные'!$B$14</f>
        <v/>
      </c>
      <c r="AW447">
        <f>'19_Расчет_аналитики'!AV446*'01_Вводные'!$B$14</f>
        <v/>
      </c>
      <c r="AX447">
        <f>'19_Расчет_аналитики'!AW446*'01_Вводные'!$B$14</f>
        <v/>
      </c>
      <c r="AY447">
        <f>'19_Расчет_аналитики'!AX446*'01_Вводные'!$B$14</f>
        <v/>
      </c>
      <c r="AZ447">
        <f>'19_Расчет_аналитики'!AY446*'01_Вводные'!$B$14</f>
        <v/>
      </c>
      <c r="BA447">
        <f>'19_Расчет_аналитики'!AZ446*'01_Вводные'!$B$14</f>
        <v/>
      </c>
      <c r="BB447">
        <f>'19_Расчет_аналитики'!BA446*'01_Вводные'!$B$14</f>
        <v/>
      </c>
      <c r="BC447">
        <f>'19_Расчет_аналитики'!BB446*'01_Вводные'!$B$14</f>
        <v/>
      </c>
      <c r="BD447">
        <f>'19_Расчет_аналитики'!BC446*'01_Вводные'!$B$14</f>
        <v/>
      </c>
      <c r="BE447">
        <f>'19_Расчет_аналитики'!BD446*'01_Вводные'!$B$14</f>
        <v/>
      </c>
      <c r="BF447">
        <f>'19_Расчет_аналитики'!BE446*'01_Вводные'!$B$14</f>
        <v/>
      </c>
      <c r="BG447">
        <f>'19_Расчет_аналитики'!BF446*'01_Вводные'!$B$14</f>
        <v/>
      </c>
      <c r="BH447">
        <f>'19_Расчет_аналитики'!BG446*'01_Вводные'!$B$14</f>
        <v/>
      </c>
      <c r="BI447">
        <f>'19_Расчет_аналитики'!BH446*'01_Вводные'!$B$14</f>
        <v/>
      </c>
      <c r="BJ447">
        <f>'19_Расчет_аналитики'!BI446*'01_Вводные'!$B$14</f>
        <v/>
      </c>
      <c r="BK447">
        <f>'19_Расчет_аналитики'!BJ446*'01_Вводные'!$B$14</f>
        <v/>
      </c>
      <c r="BL447">
        <f>'19_Расчет_аналитики'!BK446*'01_Вводные'!$B$14</f>
        <v/>
      </c>
      <c r="BM447">
        <f>'19_Расчет_аналитики'!BL446*'01_Вводные'!$B$14</f>
        <v/>
      </c>
      <c r="BN447">
        <f>'19_Расчет_аналитики'!BM446*'01_Вводные'!$B$14</f>
        <v/>
      </c>
      <c r="BO447">
        <f>'19_Расчет_аналитики'!BN446*'01_Вводные'!$B$14</f>
        <v/>
      </c>
    </row>
    <row r="448">
      <c r="N448">
        <f>'19_Расчет_аналитики'!M447*'01_Вводные'!$B$14</f>
        <v/>
      </c>
      <c r="O448">
        <f>'19_Расчет_аналитики'!N447*'01_Вводные'!$B$14</f>
        <v/>
      </c>
      <c r="P448">
        <f>'19_Расчет_аналитики'!O447*'01_Вводные'!$B$14</f>
        <v/>
      </c>
      <c r="Q448">
        <f>'19_Расчет_аналитики'!P447*'01_Вводные'!$B$14</f>
        <v/>
      </c>
      <c r="R448">
        <f>'19_Расчет_аналитики'!Q447*'01_Вводные'!$B$14</f>
        <v/>
      </c>
      <c r="S448">
        <f>'19_Расчет_аналитики'!R447*'01_Вводные'!$B$14</f>
        <v/>
      </c>
      <c r="T448">
        <f>'19_Расчет_аналитики'!S447*'01_Вводные'!$B$14</f>
        <v/>
      </c>
      <c r="U448">
        <f>'19_Расчет_аналитики'!T447*'01_Вводные'!$B$14</f>
        <v/>
      </c>
      <c r="V448">
        <f>'19_Расчет_аналитики'!U447*'01_Вводные'!$B$14</f>
        <v/>
      </c>
      <c r="W448">
        <f>'19_Расчет_аналитики'!V447*'01_Вводные'!$B$14</f>
        <v/>
      </c>
      <c r="X448">
        <f>'19_Расчет_аналитики'!W447*'01_Вводные'!$B$14</f>
        <v/>
      </c>
      <c r="Y448">
        <f>'19_Расчет_аналитики'!X447*'01_Вводные'!$B$14</f>
        <v/>
      </c>
      <c r="Z448">
        <f>'19_Расчет_аналитики'!Y447*'01_Вводные'!$B$14</f>
        <v/>
      </c>
      <c r="AA448">
        <f>'19_Расчет_аналитики'!Z447*'01_Вводные'!$B$14</f>
        <v/>
      </c>
      <c r="AB448">
        <f>'19_Расчет_аналитики'!AA447*'01_Вводные'!$B$14</f>
        <v/>
      </c>
      <c r="AC448">
        <f>'19_Расчет_аналитики'!AB447*'01_Вводные'!$B$14</f>
        <v/>
      </c>
      <c r="AD448">
        <f>'19_Расчет_аналитики'!AC447*'01_Вводные'!$B$14</f>
        <v/>
      </c>
      <c r="AE448">
        <f>'19_Расчет_аналитики'!AD447*'01_Вводные'!$B$14</f>
        <v/>
      </c>
      <c r="AF448">
        <f>'19_Расчет_аналитики'!AE447*'01_Вводные'!$B$14</f>
        <v/>
      </c>
      <c r="AG448">
        <f>'19_Расчет_аналитики'!AF447*'01_Вводные'!$B$14</f>
        <v/>
      </c>
      <c r="AH448">
        <f>'19_Расчет_аналитики'!AG447*'01_Вводные'!$B$14</f>
        <v/>
      </c>
      <c r="AI448">
        <f>'19_Расчет_аналитики'!AH447*'01_Вводные'!$B$14</f>
        <v/>
      </c>
      <c r="AJ448">
        <f>'19_Расчет_аналитики'!AI447*'01_Вводные'!$B$14</f>
        <v/>
      </c>
      <c r="AK448">
        <f>'19_Расчет_аналитики'!AJ447*'01_Вводные'!$B$14</f>
        <v/>
      </c>
      <c r="AL448">
        <f>'19_Расчет_аналитики'!AK447*'01_Вводные'!$B$14</f>
        <v/>
      </c>
      <c r="AM448">
        <f>'19_Расчет_аналитики'!AL447*'01_Вводные'!$B$14</f>
        <v/>
      </c>
      <c r="AN448">
        <f>'19_Расчет_аналитики'!AM447*'01_Вводные'!$B$14</f>
        <v/>
      </c>
      <c r="AO448">
        <f>'19_Расчет_аналитики'!AN447*'01_Вводные'!$B$14</f>
        <v/>
      </c>
      <c r="AP448">
        <f>'19_Расчет_аналитики'!AO447*'01_Вводные'!$B$14</f>
        <v/>
      </c>
      <c r="AQ448">
        <f>'19_Расчет_аналитики'!AP447*'01_Вводные'!$B$14</f>
        <v/>
      </c>
      <c r="AR448">
        <f>'19_Расчет_аналитики'!AQ447*'01_Вводные'!$B$14</f>
        <v/>
      </c>
      <c r="AS448">
        <f>'19_Расчет_аналитики'!AR447*'01_Вводные'!$B$14</f>
        <v/>
      </c>
      <c r="AT448">
        <f>'19_Расчет_аналитики'!AS447*'01_Вводные'!$B$14</f>
        <v/>
      </c>
      <c r="AU448">
        <f>'19_Расчет_аналитики'!AT447*'01_Вводные'!$B$14</f>
        <v/>
      </c>
      <c r="AV448">
        <f>'19_Расчет_аналитики'!AU447*'01_Вводные'!$B$14</f>
        <v/>
      </c>
      <c r="AW448">
        <f>'19_Расчет_аналитики'!AV447*'01_Вводные'!$B$14</f>
        <v/>
      </c>
      <c r="AX448">
        <f>'19_Расчет_аналитики'!AW447*'01_Вводные'!$B$14</f>
        <v/>
      </c>
      <c r="AY448">
        <f>'19_Расчет_аналитики'!AX447*'01_Вводные'!$B$14</f>
        <v/>
      </c>
      <c r="AZ448">
        <f>'19_Расчет_аналитики'!AY447*'01_Вводные'!$B$14</f>
        <v/>
      </c>
      <c r="BA448">
        <f>'19_Расчет_аналитики'!AZ447*'01_Вводные'!$B$14</f>
        <v/>
      </c>
      <c r="BB448">
        <f>'19_Расчет_аналитики'!BA447*'01_Вводные'!$B$14</f>
        <v/>
      </c>
      <c r="BC448">
        <f>'19_Расчет_аналитики'!BB447*'01_Вводные'!$B$14</f>
        <v/>
      </c>
      <c r="BD448">
        <f>'19_Расчет_аналитики'!BC447*'01_Вводные'!$B$14</f>
        <v/>
      </c>
      <c r="BE448">
        <f>'19_Расчет_аналитики'!BD447*'01_Вводные'!$B$14</f>
        <v/>
      </c>
      <c r="BF448">
        <f>'19_Расчет_аналитики'!BE447*'01_Вводные'!$B$14</f>
        <v/>
      </c>
      <c r="BG448">
        <f>'19_Расчет_аналитики'!BF447*'01_Вводные'!$B$14</f>
        <v/>
      </c>
      <c r="BH448">
        <f>'19_Расчет_аналитики'!BG447*'01_Вводные'!$B$14</f>
        <v/>
      </c>
      <c r="BI448">
        <f>'19_Расчет_аналитики'!BH447*'01_Вводные'!$B$14</f>
        <v/>
      </c>
      <c r="BJ448">
        <f>'19_Расчет_аналитики'!BI447*'01_Вводные'!$B$14</f>
        <v/>
      </c>
      <c r="BK448">
        <f>'19_Расчет_аналитики'!BJ447*'01_Вводные'!$B$14</f>
        <v/>
      </c>
      <c r="BL448">
        <f>'19_Расчет_аналитики'!BK447*'01_Вводные'!$B$14</f>
        <v/>
      </c>
      <c r="BM448">
        <f>'19_Расчет_аналитики'!BL447*'01_Вводные'!$B$14</f>
        <v/>
      </c>
      <c r="BN448">
        <f>'19_Расчет_аналитики'!BM447*'01_Вводные'!$B$14</f>
        <v/>
      </c>
      <c r="BO448">
        <f>'19_Расчет_аналитики'!BN447*'01_Вводные'!$B$14</f>
        <v/>
      </c>
    </row>
    <row r="449">
      <c r="N449">
        <f>'06_Сеть_и_дети'!N94</f>
        <v/>
      </c>
      <c r="O449">
        <f>'19_Расчет_аналитики'!N448*'01_Вводные'!$B$14</f>
        <v/>
      </c>
      <c r="P449">
        <f>'19_Расчет_аналитики'!O448*'01_Вводные'!$B$14</f>
        <v/>
      </c>
      <c r="Q449">
        <f>'19_Расчет_аналитики'!P448*'01_Вводные'!$B$14</f>
        <v/>
      </c>
      <c r="R449">
        <f>'19_Расчет_аналитики'!Q448*'01_Вводные'!$B$14</f>
        <v/>
      </c>
      <c r="S449">
        <f>'19_Расчет_аналитики'!R448*'01_Вводные'!$B$14</f>
        <v/>
      </c>
      <c r="T449">
        <f>'19_Расчет_аналитики'!S448*'01_Вводные'!$B$14</f>
        <v/>
      </c>
      <c r="U449">
        <f>'19_Расчет_аналитики'!T448*'01_Вводные'!$B$14</f>
        <v/>
      </c>
      <c r="V449">
        <f>'19_Расчет_аналитики'!U448*'01_Вводные'!$B$14</f>
        <v/>
      </c>
      <c r="W449">
        <f>'19_Расчет_аналитики'!V448*'01_Вводные'!$B$14</f>
        <v/>
      </c>
      <c r="X449">
        <f>'19_Расчет_аналитики'!W448*'01_Вводные'!$B$14</f>
        <v/>
      </c>
      <c r="Y449">
        <f>'19_Расчет_аналитики'!X448*'01_Вводные'!$B$14</f>
        <v/>
      </c>
      <c r="Z449">
        <f>'19_Расчет_аналитики'!Y448*'01_Вводные'!$B$14</f>
        <v/>
      </c>
      <c r="AA449">
        <f>'19_Расчет_аналитики'!Z448*'01_Вводные'!$B$14</f>
        <v/>
      </c>
      <c r="AB449">
        <f>'19_Расчет_аналитики'!AA448*'01_Вводные'!$B$14</f>
        <v/>
      </c>
      <c r="AC449">
        <f>'19_Расчет_аналитики'!AB448*'01_Вводные'!$B$14</f>
        <v/>
      </c>
      <c r="AD449">
        <f>'19_Расчет_аналитики'!AC448*'01_Вводные'!$B$14</f>
        <v/>
      </c>
      <c r="AE449">
        <f>'19_Расчет_аналитики'!AD448*'01_Вводные'!$B$14</f>
        <v/>
      </c>
      <c r="AF449">
        <f>'19_Расчет_аналитики'!AE448*'01_Вводные'!$B$14</f>
        <v/>
      </c>
      <c r="AG449">
        <f>'19_Расчет_аналитики'!AF448*'01_Вводные'!$B$14</f>
        <v/>
      </c>
      <c r="AH449">
        <f>'19_Расчет_аналитики'!AG448*'01_Вводные'!$B$14</f>
        <v/>
      </c>
      <c r="AI449">
        <f>'19_Расчет_аналитики'!AH448*'01_Вводные'!$B$14</f>
        <v/>
      </c>
      <c r="AJ449">
        <f>'19_Расчет_аналитики'!AI448*'01_Вводные'!$B$14</f>
        <v/>
      </c>
      <c r="AK449">
        <f>'19_Расчет_аналитики'!AJ448*'01_Вводные'!$B$14</f>
        <v/>
      </c>
      <c r="AL449">
        <f>'19_Расчет_аналитики'!AK448*'01_Вводные'!$B$14</f>
        <v/>
      </c>
      <c r="AM449">
        <f>'19_Расчет_аналитики'!AL448*'01_Вводные'!$B$14</f>
        <v/>
      </c>
      <c r="AN449">
        <f>'19_Расчет_аналитики'!AM448*'01_Вводные'!$B$14</f>
        <v/>
      </c>
      <c r="AO449">
        <f>'19_Расчет_аналитики'!AN448*'01_Вводные'!$B$14</f>
        <v/>
      </c>
      <c r="AP449">
        <f>'19_Расчет_аналитики'!AO448*'01_Вводные'!$B$14</f>
        <v/>
      </c>
      <c r="AQ449">
        <f>'19_Расчет_аналитики'!AP448*'01_Вводные'!$B$14</f>
        <v/>
      </c>
      <c r="AR449">
        <f>'19_Расчет_аналитики'!AQ448*'01_Вводные'!$B$14</f>
        <v/>
      </c>
      <c r="AS449">
        <f>'19_Расчет_аналитики'!AR448*'01_Вводные'!$B$14</f>
        <v/>
      </c>
      <c r="AT449">
        <f>'19_Расчет_аналитики'!AS448*'01_Вводные'!$B$14</f>
        <v/>
      </c>
      <c r="AU449">
        <f>'19_Расчет_аналитики'!AT448*'01_Вводные'!$B$14</f>
        <v/>
      </c>
      <c r="AV449">
        <f>'19_Расчет_аналитики'!AU448*'01_Вводные'!$B$14</f>
        <v/>
      </c>
      <c r="AW449">
        <f>'19_Расчет_аналитики'!AV448*'01_Вводные'!$B$14</f>
        <v/>
      </c>
      <c r="AX449">
        <f>'19_Расчет_аналитики'!AW448*'01_Вводные'!$B$14</f>
        <v/>
      </c>
      <c r="AY449">
        <f>'19_Расчет_аналитики'!AX448*'01_Вводные'!$B$14</f>
        <v/>
      </c>
      <c r="AZ449">
        <f>'19_Расчет_аналитики'!AY448*'01_Вводные'!$B$14</f>
        <v/>
      </c>
      <c r="BA449">
        <f>'19_Расчет_аналитики'!AZ448*'01_Вводные'!$B$14</f>
        <v/>
      </c>
      <c r="BB449">
        <f>'19_Расчет_аналитики'!BA448*'01_Вводные'!$B$14</f>
        <v/>
      </c>
      <c r="BC449">
        <f>'19_Расчет_аналитики'!BB448*'01_Вводные'!$B$14</f>
        <v/>
      </c>
      <c r="BD449">
        <f>'19_Расчет_аналитики'!BC448*'01_Вводные'!$B$14</f>
        <v/>
      </c>
      <c r="BE449">
        <f>'19_Расчет_аналитики'!BD448*'01_Вводные'!$B$14</f>
        <v/>
      </c>
      <c r="BF449">
        <f>'19_Расчет_аналитики'!BE448*'01_Вводные'!$B$14</f>
        <v/>
      </c>
      <c r="BG449">
        <f>'19_Расчет_аналитики'!BF448*'01_Вводные'!$B$14</f>
        <v/>
      </c>
      <c r="BH449">
        <f>'19_Расчет_аналитики'!BG448*'01_Вводные'!$B$14</f>
        <v/>
      </c>
      <c r="BI449">
        <f>'19_Расчет_аналитики'!BH448*'01_Вводные'!$B$14</f>
        <v/>
      </c>
      <c r="BJ449">
        <f>'19_Расчет_аналитики'!BI448*'01_Вводные'!$B$14</f>
        <v/>
      </c>
      <c r="BK449">
        <f>'19_Расчет_аналитики'!BJ448*'01_Вводные'!$B$14</f>
        <v/>
      </c>
      <c r="BL449">
        <f>'19_Расчет_аналитики'!BK448*'01_Вводные'!$B$14</f>
        <v/>
      </c>
      <c r="BM449">
        <f>'19_Расчет_аналитики'!BL448*'01_Вводные'!$B$14</f>
        <v/>
      </c>
      <c r="BN449">
        <f>'19_Расчет_аналитики'!BM448*'01_Вводные'!$B$14</f>
        <v/>
      </c>
      <c r="BO449">
        <f>'19_Расчет_аналитики'!BN448*'01_Вводные'!$B$14</f>
        <v/>
      </c>
    </row>
    <row r="450">
      <c r="N450">
        <f>'06_Сеть_и_дети'!N95</f>
        <v/>
      </c>
      <c r="O450">
        <f>'06_Сеть_и_дети'!O95</f>
        <v/>
      </c>
      <c r="P450">
        <f>'19_Расчет_аналитики'!O449*'01_Вводные'!$B$14</f>
        <v/>
      </c>
      <c r="Q450">
        <f>'19_Расчет_аналитики'!P449*'01_Вводные'!$B$14</f>
        <v/>
      </c>
      <c r="R450">
        <f>'19_Расчет_аналитики'!Q449*'01_Вводные'!$B$14</f>
        <v/>
      </c>
      <c r="S450">
        <f>'19_Расчет_аналитики'!R449*'01_Вводные'!$B$14</f>
        <v/>
      </c>
      <c r="T450">
        <f>'19_Расчет_аналитики'!S449*'01_Вводные'!$B$14</f>
        <v/>
      </c>
      <c r="U450">
        <f>'19_Расчет_аналитики'!T449*'01_Вводные'!$B$14</f>
        <v/>
      </c>
      <c r="V450">
        <f>'19_Расчет_аналитики'!U449*'01_Вводные'!$B$14</f>
        <v/>
      </c>
      <c r="W450">
        <f>'19_Расчет_аналитики'!V449*'01_Вводные'!$B$14</f>
        <v/>
      </c>
      <c r="X450">
        <f>'19_Расчет_аналитики'!W449*'01_Вводные'!$B$14</f>
        <v/>
      </c>
      <c r="Y450">
        <f>'19_Расчет_аналитики'!X449*'01_Вводные'!$B$14</f>
        <v/>
      </c>
      <c r="Z450">
        <f>'19_Расчет_аналитики'!Y449*'01_Вводные'!$B$14</f>
        <v/>
      </c>
      <c r="AA450">
        <f>'19_Расчет_аналитики'!Z449*'01_Вводные'!$B$14</f>
        <v/>
      </c>
      <c r="AB450">
        <f>'19_Расчет_аналитики'!AA449*'01_Вводные'!$B$14</f>
        <v/>
      </c>
      <c r="AC450">
        <f>'19_Расчет_аналитики'!AB449*'01_Вводные'!$B$14</f>
        <v/>
      </c>
      <c r="AD450">
        <f>'19_Расчет_аналитики'!AC449*'01_Вводные'!$B$14</f>
        <v/>
      </c>
      <c r="AE450">
        <f>'19_Расчет_аналитики'!AD449*'01_Вводные'!$B$14</f>
        <v/>
      </c>
      <c r="AF450">
        <f>'19_Расчет_аналитики'!AE449*'01_Вводные'!$B$14</f>
        <v/>
      </c>
      <c r="AG450">
        <f>'19_Расчет_аналитики'!AF449*'01_Вводные'!$B$14</f>
        <v/>
      </c>
      <c r="AH450">
        <f>'19_Расчет_аналитики'!AG449*'01_Вводные'!$B$14</f>
        <v/>
      </c>
      <c r="AI450">
        <f>'19_Расчет_аналитики'!AH449*'01_Вводные'!$B$14</f>
        <v/>
      </c>
      <c r="AJ450">
        <f>'19_Расчет_аналитики'!AI449*'01_Вводные'!$B$14</f>
        <v/>
      </c>
      <c r="AK450">
        <f>'19_Расчет_аналитики'!AJ449*'01_Вводные'!$B$14</f>
        <v/>
      </c>
      <c r="AL450">
        <f>'19_Расчет_аналитики'!AK449*'01_Вводные'!$B$14</f>
        <v/>
      </c>
      <c r="AM450">
        <f>'19_Расчет_аналитики'!AL449*'01_Вводные'!$B$14</f>
        <v/>
      </c>
      <c r="AN450">
        <f>'19_Расчет_аналитики'!AM449*'01_Вводные'!$B$14</f>
        <v/>
      </c>
      <c r="AO450">
        <f>'19_Расчет_аналитики'!AN449*'01_Вводные'!$B$14</f>
        <v/>
      </c>
      <c r="AP450">
        <f>'19_Расчет_аналитики'!AO449*'01_Вводные'!$B$14</f>
        <v/>
      </c>
      <c r="AQ450">
        <f>'19_Расчет_аналитики'!AP449*'01_Вводные'!$B$14</f>
        <v/>
      </c>
      <c r="AR450">
        <f>'19_Расчет_аналитики'!AQ449*'01_Вводные'!$B$14</f>
        <v/>
      </c>
      <c r="AS450">
        <f>'19_Расчет_аналитики'!AR449*'01_Вводные'!$B$14</f>
        <v/>
      </c>
      <c r="AT450">
        <f>'19_Расчет_аналитики'!AS449*'01_Вводные'!$B$14</f>
        <v/>
      </c>
      <c r="AU450">
        <f>'19_Расчет_аналитики'!AT449*'01_Вводные'!$B$14</f>
        <v/>
      </c>
      <c r="AV450">
        <f>'19_Расчет_аналитики'!AU449*'01_Вводные'!$B$14</f>
        <v/>
      </c>
      <c r="AW450">
        <f>'19_Расчет_аналитики'!AV449*'01_Вводные'!$B$14</f>
        <v/>
      </c>
      <c r="AX450">
        <f>'19_Расчет_аналитики'!AW449*'01_Вводные'!$B$14</f>
        <v/>
      </c>
      <c r="AY450">
        <f>'19_Расчет_аналитики'!AX449*'01_Вводные'!$B$14</f>
        <v/>
      </c>
      <c r="AZ450">
        <f>'19_Расчет_аналитики'!AY449*'01_Вводные'!$B$14</f>
        <v/>
      </c>
      <c r="BA450">
        <f>'19_Расчет_аналитики'!AZ449*'01_Вводные'!$B$14</f>
        <v/>
      </c>
      <c r="BB450">
        <f>'19_Расчет_аналитики'!BA449*'01_Вводные'!$B$14</f>
        <v/>
      </c>
      <c r="BC450">
        <f>'19_Расчет_аналитики'!BB449*'01_Вводные'!$B$14</f>
        <v/>
      </c>
      <c r="BD450">
        <f>'19_Расчет_аналитики'!BC449*'01_Вводные'!$B$14</f>
        <v/>
      </c>
      <c r="BE450">
        <f>'19_Расчет_аналитики'!BD449*'01_Вводные'!$B$14</f>
        <v/>
      </c>
      <c r="BF450">
        <f>'19_Расчет_аналитики'!BE449*'01_Вводные'!$B$14</f>
        <v/>
      </c>
      <c r="BG450">
        <f>'19_Расчет_аналитики'!BF449*'01_Вводные'!$B$14</f>
        <v/>
      </c>
      <c r="BH450">
        <f>'19_Расчет_аналитики'!BG449*'01_Вводные'!$B$14</f>
        <v/>
      </c>
      <c r="BI450">
        <f>'19_Расчет_аналитики'!BH449*'01_Вводные'!$B$14</f>
        <v/>
      </c>
      <c r="BJ450">
        <f>'19_Расчет_аналитики'!BI449*'01_Вводные'!$B$14</f>
        <v/>
      </c>
      <c r="BK450">
        <f>'19_Расчет_аналитики'!BJ449*'01_Вводные'!$B$14</f>
        <v/>
      </c>
      <c r="BL450">
        <f>'19_Расчет_аналитики'!BK449*'01_Вводные'!$B$14</f>
        <v/>
      </c>
      <c r="BM450">
        <f>'19_Расчет_аналитики'!BL449*'01_Вводные'!$B$14</f>
        <v/>
      </c>
      <c r="BN450">
        <f>'19_Расчет_аналитики'!BM449*'01_Вводные'!$B$14</f>
        <v/>
      </c>
      <c r="BO450">
        <f>'19_Расчет_аналитики'!BN449*'01_Вводные'!$B$14</f>
        <v/>
      </c>
    </row>
    <row r="451">
      <c r="N451">
        <f>'06_Сеть_и_дети'!N96</f>
        <v/>
      </c>
      <c r="O451">
        <f>'06_Сеть_и_дети'!O96</f>
        <v/>
      </c>
      <c r="P451">
        <f>'06_Сеть_и_дети'!P96</f>
        <v/>
      </c>
      <c r="Q451">
        <f>'19_Расчет_аналитики'!P450*'01_Вводные'!$B$14</f>
        <v/>
      </c>
      <c r="R451">
        <f>'19_Расчет_аналитики'!Q450*'01_Вводные'!$B$14</f>
        <v/>
      </c>
      <c r="S451">
        <f>'19_Расчет_аналитики'!R450*'01_Вводные'!$B$14</f>
        <v/>
      </c>
      <c r="T451">
        <f>'19_Расчет_аналитики'!S450*'01_Вводные'!$B$14</f>
        <v/>
      </c>
      <c r="U451">
        <f>'19_Расчет_аналитики'!T450*'01_Вводные'!$B$14</f>
        <v/>
      </c>
      <c r="V451">
        <f>'19_Расчет_аналитики'!U450*'01_Вводные'!$B$14</f>
        <v/>
      </c>
      <c r="W451">
        <f>'19_Расчет_аналитики'!V450*'01_Вводные'!$B$14</f>
        <v/>
      </c>
      <c r="X451">
        <f>'19_Расчет_аналитики'!W450*'01_Вводные'!$B$14</f>
        <v/>
      </c>
      <c r="Y451">
        <f>'19_Расчет_аналитики'!X450*'01_Вводные'!$B$14</f>
        <v/>
      </c>
      <c r="Z451">
        <f>'19_Расчет_аналитики'!Y450*'01_Вводные'!$B$14</f>
        <v/>
      </c>
      <c r="AA451">
        <f>'19_Расчет_аналитики'!Z450*'01_Вводные'!$B$14</f>
        <v/>
      </c>
      <c r="AB451">
        <f>'19_Расчет_аналитики'!AA450*'01_Вводные'!$B$14</f>
        <v/>
      </c>
      <c r="AC451">
        <f>'19_Расчет_аналитики'!AB450*'01_Вводные'!$B$14</f>
        <v/>
      </c>
      <c r="AD451">
        <f>'19_Расчет_аналитики'!AC450*'01_Вводные'!$B$14</f>
        <v/>
      </c>
      <c r="AE451">
        <f>'19_Расчет_аналитики'!AD450*'01_Вводные'!$B$14</f>
        <v/>
      </c>
      <c r="AF451">
        <f>'19_Расчет_аналитики'!AE450*'01_Вводные'!$B$14</f>
        <v/>
      </c>
      <c r="AG451">
        <f>'19_Расчет_аналитики'!AF450*'01_Вводные'!$B$14</f>
        <v/>
      </c>
      <c r="AH451">
        <f>'19_Расчет_аналитики'!AG450*'01_Вводные'!$B$14</f>
        <v/>
      </c>
      <c r="AI451">
        <f>'19_Расчет_аналитики'!AH450*'01_Вводные'!$B$14</f>
        <v/>
      </c>
      <c r="AJ451">
        <f>'19_Расчет_аналитики'!AI450*'01_Вводные'!$B$14</f>
        <v/>
      </c>
      <c r="AK451">
        <f>'19_Расчет_аналитики'!AJ450*'01_Вводные'!$B$14</f>
        <v/>
      </c>
      <c r="AL451">
        <f>'19_Расчет_аналитики'!AK450*'01_Вводные'!$B$14</f>
        <v/>
      </c>
      <c r="AM451">
        <f>'19_Расчет_аналитики'!AL450*'01_Вводные'!$B$14</f>
        <v/>
      </c>
      <c r="AN451">
        <f>'19_Расчет_аналитики'!AM450*'01_Вводные'!$B$14</f>
        <v/>
      </c>
      <c r="AO451">
        <f>'19_Расчет_аналитики'!AN450*'01_Вводные'!$B$14</f>
        <v/>
      </c>
      <c r="AP451">
        <f>'19_Расчет_аналитики'!AO450*'01_Вводные'!$B$14</f>
        <v/>
      </c>
      <c r="AQ451">
        <f>'19_Расчет_аналитики'!AP450*'01_Вводные'!$B$14</f>
        <v/>
      </c>
      <c r="AR451">
        <f>'19_Расчет_аналитики'!AQ450*'01_Вводные'!$B$14</f>
        <v/>
      </c>
      <c r="AS451">
        <f>'19_Расчет_аналитики'!AR450*'01_Вводные'!$B$14</f>
        <v/>
      </c>
      <c r="AT451">
        <f>'19_Расчет_аналитики'!AS450*'01_Вводные'!$B$14</f>
        <v/>
      </c>
      <c r="AU451">
        <f>'19_Расчет_аналитики'!AT450*'01_Вводные'!$B$14</f>
        <v/>
      </c>
      <c r="AV451">
        <f>'19_Расчет_аналитики'!AU450*'01_Вводные'!$B$14</f>
        <v/>
      </c>
      <c r="AW451">
        <f>'19_Расчет_аналитики'!AV450*'01_Вводные'!$B$14</f>
        <v/>
      </c>
      <c r="AX451">
        <f>'19_Расчет_аналитики'!AW450*'01_Вводные'!$B$14</f>
        <v/>
      </c>
      <c r="AY451">
        <f>'19_Расчет_аналитики'!AX450*'01_Вводные'!$B$14</f>
        <v/>
      </c>
      <c r="AZ451">
        <f>'19_Расчет_аналитики'!AY450*'01_Вводные'!$B$14</f>
        <v/>
      </c>
      <c r="BA451">
        <f>'19_Расчет_аналитики'!AZ450*'01_Вводные'!$B$14</f>
        <v/>
      </c>
      <c r="BB451">
        <f>'19_Расчет_аналитики'!BA450*'01_Вводные'!$B$14</f>
        <v/>
      </c>
      <c r="BC451">
        <f>'19_Расчет_аналитики'!BB450*'01_Вводные'!$B$14</f>
        <v/>
      </c>
      <c r="BD451">
        <f>'19_Расчет_аналитики'!BC450*'01_Вводные'!$B$14</f>
        <v/>
      </c>
      <c r="BE451">
        <f>'19_Расчет_аналитики'!BD450*'01_Вводные'!$B$14</f>
        <v/>
      </c>
      <c r="BF451">
        <f>'19_Расчет_аналитики'!BE450*'01_Вводные'!$B$14</f>
        <v/>
      </c>
      <c r="BG451">
        <f>'19_Расчет_аналитики'!BF450*'01_Вводные'!$B$14</f>
        <v/>
      </c>
      <c r="BH451">
        <f>'19_Расчет_аналитики'!BG450*'01_Вводные'!$B$14</f>
        <v/>
      </c>
      <c r="BI451">
        <f>'19_Расчет_аналитики'!BH450*'01_Вводные'!$B$14</f>
        <v/>
      </c>
      <c r="BJ451">
        <f>'19_Расчет_аналитики'!BI450*'01_Вводные'!$B$14</f>
        <v/>
      </c>
      <c r="BK451">
        <f>'19_Расчет_аналитики'!BJ450*'01_Вводные'!$B$14</f>
        <v/>
      </c>
      <c r="BL451">
        <f>'19_Расчет_аналитики'!BK450*'01_Вводные'!$B$14</f>
        <v/>
      </c>
      <c r="BM451">
        <f>'19_Расчет_аналитики'!BL450*'01_Вводные'!$B$14</f>
        <v/>
      </c>
      <c r="BN451">
        <f>'19_Расчет_аналитики'!BM450*'01_Вводные'!$B$14</f>
        <v/>
      </c>
      <c r="BO451">
        <f>'19_Расчет_аналитики'!BN450*'01_Вводные'!$B$14</f>
        <v/>
      </c>
    </row>
    <row r="452">
      <c r="N452">
        <f>'06_Сеть_и_дети'!N97</f>
        <v/>
      </c>
      <c r="O452">
        <f>'06_Сеть_и_дети'!O97</f>
        <v/>
      </c>
      <c r="P452">
        <f>'06_Сеть_и_дети'!P97</f>
        <v/>
      </c>
      <c r="Q452">
        <f>'06_Сеть_и_дети'!Q97</f>
        <v/>
      </c>
      <c r="R452">
        <f>'19_Расчет_аналитики'!Q451*'01_Вводные'!$B$14</f>
        <v/>
      </c>
      <c r="S452">
        <f>'19_Расчет_аналитики'!R451*'01_Вводные'!$B$14</f>
        <v/>
      </c>
      <c r="T452">
        <f>'19_Расчет_аналитики'!S451*'01_Вводные'!$B$14</f>
        <v/>
      </c>
      <c r="U452">
        <f>'19_Расчет_аналитики'!T451*'01_Вводные'!$B$14</f>
        <v/>
      </c>
      <c r="V452">
        <f>'19_Расчет_аналитики'!U451*'01_Вводные'!$B$14</f>
        <v/>
      </c>
      <c r="W452">
        <f>'19_Расчет_аналитики'!V451*'01_Вводные'!$B$14</f>
        <v/>
      </c>
      <c r="X452">
        <f>'19_Расчет_аналитики'!W451*'01_Вводные'!$B$14</f>
        <v/>
      </c>
      <c r="Y452">
        <f>'19_Расчет_аналитики'!X451*'01_Вводные'!$B$14</f>
        <v/>
      </c>
      <c r="Z452">
        <f>'19_Расчет_аналитики'!Y451*'01_Вводные'!$B$14</f>
        <v/>
      </c>
      <c r="AA452">
        <f>'19_Расчет_аналитики'!Z451*'01_Вводные'!$B$14</f>
        <v/>
      </c>
      <c r="AB452">
        <f>'19_Расчет_аналитики'!AA451*'01_Вводные'!$B$14</f>
        <v/>
      </c>
      <c r="AC452">
        <f>'19_Расчет_аналитики'!AB451*'01_Вводные'!$B$14</f>
        <v/>
      </c>
      <c r="AD452">
        <f>'19_Расчет_аналитики'!AC451*'01_Вводные'!$B$14</f>
        <v/>
      </c>
      <c r="AE452">
        <f>'19_Расчет_аналитики'!AD451*'01_Вводные'!$B$14</f>
        <v/>
      </c>
      <c r="AF452">
        <f>'19_Расчет_аналитики'!AE451*'01_Вводные'!$B$14</f>
        <v/>
      </c>
      <c r="AG452">
        <f>'19_Расчет_аналитики'!AF451*'01_Вводные'!$B$14</f>
        <v/>
      </c>
      <c r="AH452">
        <f>'19_Расчет_аналитики'!AG451*'01_Вводные'!$B$14</f>
        <v/>
      </c>
      <c r="AI452">
        <f>'19_Расчет_аналитики'!AH451*'01_Вводные'!$B$14</f>
        <v/>
      </c>
      <c r="AJ452">
        <f>'19_Расчет_аналитики'!AI451*'01_Вводные'!$B$14</f>
        <v/>
      </c>
      <c r="AK452">
        <f>'19_Расчет_аналитики'!AJ451*'01_Вводные'!$B$14</f>
        <v/>
      </c>
      <c r="AL452">
        <f>'19_Расчет_аналитики'!AK451*'01_Вводные'!$B$14</f>
        <v/>
      </c>
      <c r="AM452">
        <f>'19_Расчет_аналитики'!AL451*'01_Вводные'!$B$14</f>
        <v/>
      </c>
      <c r="AN452">
        <f>'19_Расчет_аналитики'!AM451*'01_Вводные'!$B$14</f>
        <v/>
      </c>
      <c r="AO452">
        <f>'19_Расчет_аналитики'!AN451*'01_Вводные'!$B$14</f>
        <v/>
      </c>
      <c r="AP452">
        <f>'19_Расчет_аналитики'!AO451*'01_Вводные'!$B$14</f>
        <v/>
      </c>
      <c r="AQ452">
        <f>'19_Расчет_аналитики'!AP451*'01_Вводные'!$B$14</f>
        <v/>
      </c>
      <c r="AR452">
        <f>'19_Расчет_аналитики'!AQ451*'01_Вводные'!$B$14</f>
        <v/>
      </c>
      <c r="AS452">
        <f>'19_Расчет_аналитики'!AR451*'01_Вводные'!$B$14</f>
        <v/>
      </c>
      <c r="AT452">
        <f>'19_Расчет_аналитики'!AS451*'01_Вводные'!$B$14</f>
        <v/>
      </c>
      <c r="AU452">
        <f>'19_Расчет_аналитики'!AT451*'01_Вводные'!$B$14</f>
        <v/>
      </c>
      <c r="AV452">
        <f>'19_Расчет_аналитики'!AU451*'01_Вводные'!$B$14</f>
        <v/>
      </c>
      <c r="AW452">
        <f>'19_Расчет_аналитики'!AV451*'01_Вводные'!$B$14</f>
        <v/>
      </c>
      <c r="AX452">
        <f>'19_Расчет_аналитики'!AW451*'01_Вводные'!$B$14</f>
        <v/>
      </c>
      <c r="AY452">
        <f>'19_Расчет_аналитики'!AX451*'01_Вводные'!$B$14</f>
        <v/>
      </c>
      <c r="AZ452">
        <f>'19_Расчет_аналитики'!AY451*'01_Вводные'!$B$14</f>
        <v/>
      </c>
      <c r="BA452">
        <f>'19_Расчет_аналитики'!AZ451*'01_Вводные'!$B$14</f>
        <v/>
      </c>
      <c r="BB452">
        <f>'19_Расчет_аналитики'!BA451*'01_Вводные'!$B$14</f>
        <v/>
      </c>
      <c r="BC452">
        <f>'19_Расчет_аналитики'!BB451*'01_Вводные'!$B$14</f>
        <v/>
      </c>
      <c r="BD452">
        <f>'19_Расчет_аналитики'!BC451*'01_Вводные'!$B$14</f>
        <v/>
      </c>
      <c r="BE452">
        <f>'19_Расчет_аналитики'!BD451*'01_Вводные'!$B$14</f>
        <v/>
      </c>
      <c r="BF452">
        <f>'19_Расчет_аналитики'!BE451*'01_Вводные'!$B$14</f>
        <v/>
      </c>
      <c r="BG452">
        <f>'19_Расчет_аналитики'!BF451*'01_Вводные'!$B$14</f>
        <v/>
      </c>
      <c r="BH452">
        <f>'19_Расчет_аналитики'!BG451*'01_Вводные'!$B$14</f>
        <v/>
      </c>
      <c r="BI452">
        <f>'19_Расчет_аналитики'!BH451*'01_Вводные'!$B$14</f>
        <v/>
      </c>
      <c r="BJ452">
        <f>'19_Расчет_аналитики'!BI451*'01_Вводные'!$B$14</f>
        <v/>
      </c>
      <c r="BK452">
        <f>'19_Расчет_аналитики'!BJ451*'01_Вводные'!$B$14</f>
        <v/>
      </c>
      <c r="BL452">
        <f>'19_Расчет_аналитики'!BK451*'01_Вводные'!$B$14</f>
        <v/>
      </c>
      <c r="BM452">
        <f>'19_Расчет_аналитики'!BL451*'01_Вводные'!$B$14</f>
        <v/>
      </c>
      <c r="BN452">
        <f>'19_Расчет_аналитики'!BM451*'01_Вводные'!$B$14</f>
        <v/>
      </c>
      <c r="BO452">
        <f>'19_Расчет_аналитики'!BN451*'01_Вводные'!$B$14</f>
        <v/>
      </c>
    </row>
    <row r="453">
      <c r="N453">
        <f>'06_Сеть_и_дети'!N98</f>
        <v/>
      </c>
      <c r="O453">
        <f>'06_Сеть_и_дети'!O98</f>
        <v/>
      </c>
      <c r="P453">
        <f>'06_Сеть_и_дети'!P98</f>
        <v/>
      </c>
      <c r="Q453">
        <f>'06_Сеть_и_дети'!Q98</f>
        <v/>
      </c>
      <c r="R453">
        <f>'06_Сеть_и_дети'!R98</f>
        <v/>
      </c>
      <c r="S453">
        <f>'19_Расчет_аналитики'!R452*'01_Вводные'!$B$14</f>
        <v/>
      </c>
      <c r="T453">
        <f>'19_Расчет_аналитики'!S452*'01_Вводные'!$B$14</f>
        <v/>
      </c>
      <c r="U453">
        <f>'19_Расчет_аналитики'!T452*'01_Вводные'!$B$14</f>
        <v/>
      </c>
      <c r="V453">
        <f>'19_Расчет_аналитики'!U452*'01_Вводные'!$B$14</f>
        <v/>
      </c>
      <c r="W453">
        <f>'19_Расчет_аналитики'!V452*'01_Вводные'!$B$14</f>
        <v/>
      </c>
      <c r="X453">
        <f>'19_Расчет_аналитики'!W452*'01_Вводные'!$B$14</f>
        <v/>
      </c>
      <c r="Y453">
        <f>'19_Расчет_аналитики'!X452*'01_Вводные'!$B$14</f>
        <v/>
      </c>
      <c r="Z453">
        <f>'19_Расчет_аналитики'!Y452*'01_Вводные'!$B$14</f>
        <v/>
      </c>
      <c r="AA453">
        <f>'19_Расчет_аналитики'!Z452*'01_Вводные'!$B$14</f>
        <v/>
      </c>
      <c r="AB453">
        <f>'19_Расчет_аналитики'!AA452*'01_Вводные'!$B$14</f>
        <v/>
      </c>
      <c r="AC453">
        <f>'19_Расчет_аналитики'!AB452*'01_Вводные'!$B$14</f>
        <v/>
      </c>
      <c r="AD453">
        <f>'19_Расчет_аналитики'!AC452*'01_Вводные'!$B$14</f>
        <v/>
      </c>
      <c r="AE453">
        <f>'19_Расчет_аналитики'!AD452*'01_Вводные'!$B$14</f>
        <v/>
      </c>
      <c r="AF453">
        <f>'19_Расчет_аналитики'!AE452*'01_Вводные'!$B$14</f>
        <v/>
      </c>
      <c r="AG453">
        <f>'19_Расчет_аналитики'!AF452*'01_Вводные'!$B$14</f>
        <v/>
      </c>
      <c r="AH453">
        <f>'19_Расчет_аналитики'!AG452*'01_Вводные'!$B$14</f>
        <v/>
      </c>
      <c r="AI453">
        <f>'19_Расчет_аналитики'!AH452*'01_Вводные'!$B$14</f>
        <v/>
      </c>
      <c r="AJ453">
        <f>'19_Расчет_аналитики'!AI452*'01_Вводные'!$B$14</f>
        <v/>
      </c>
      <c r="AK453">
        <f>'19_Расчет_аналитики'!AJ452*'01_Вводные'!$B$14</f>
        <v/>
      </c>
      <c r="AL453">
        <f>'19_Расчет_аналитики'!AK452*'01_Вводные'!$B$14</f>
        <v/>
      </c>
      <c r="AM453">
        <f>'19_Расчет_аналитики'!AL452*'01_Вводные'!$B$14</f>
        <v/>
      </c>
      <c r="AN453">
        <f>'19_Расчет_аналитики'!AM452*'01_Вводные'!$B$14</f>
        <v/>
      </c>
      <c r="AO453">
        <f>'19_Расчет_аналитики'!AN452*'01_Вводные'!$B$14</f>
        <v/>
      </c>
      <c r="AP453">
        <f>'19_Расчет_аналитики'!AO452*'01_Вводные'!$B$14</f>
        <v/>
      </c>
      <c r="AQ453">
        <f>'19_Расчет_аналитики'!AP452*'01_Вводные'!$B$14</f>
        <v/>
      </c>
      <c r="AR453">
        <f>'19_Расчет_аналитики'!AQ452*'01_Вводные'!$B$14</f>
        <v/>
      </c>
      <c r="AS453">
        <f>'19_Расчет_аналитики'!AR452*'01_Вводные'!$B$14</f>
        <v/>
      </c>
      <c r="AT453">
        <f>'19_Расчет_аналитики'!AS452*'01_Вводные'!$B$14</f>
        <v/>
      </c>
      <c r="AU453">
        <f>'19_Расчет_аналитики'!AT452*'01_Вводные'!$B$14</f>
        <v/>
      </c>
      <c r="AV453">
        <f>'19_Расчет_аналитики'!AU452*'01_Вводные'!$B$14</f>
        <v/>
      </c>
      <c r="AW453">
        <f>'19_Расчет_аналитики'!AV452*'01_Вводные'!$B$14</f>
        <v/>
      </c>
      <c r="AX453">
        <f>'19_Расчет_аналитики'!AW452*'01_Вводные'!$B$14</f>
        <v/>
      </c>
      <c r="AY453">
        <f>'19_Расчет_аналитики'!AX452*'01_Вводные'!$B$14</f>
        <v/>
      </c>
      <c r="AZ453">
        <f>'19_Расчет_аналитики'!AY452*'01_Вводные'!$B$14</f>
        <v/>
      </c>
      <c r="BA453">
        <f>'19_Расчет_аналитики'!AZ452*'01_Вводные'!$B$14</f>
        <v/>
      </c>
      <c r="BB453">
        <f>'19_Расчет_аналитики'!BA452*'01_Вводные'!$B$14</f>
        <v/>
      </c>
      <c r="BC453">
        <f>'19_Расчет_аналитики'!BB452*'01_Вводные'!$B$14</f>
        <v/>
      </c>
      <c r="BD453">
        <f>'19_Расчет_аналитики'!BC452*'01_Вводные'!$B$14</f>
        <v/>
      </c>
      <c r="BE453">
        <f>'19_Расчет_аналитики'!BD452*'01_Вводные'!$B$14</f>
        <v/>
      </c>
      <c r="BF453">
        <f>'19_Расчет_аналитики'!BE452*'01_Вводные'!$B$14</f>
        <v/>
      </c>
      <c r="BG453">
        <f>'19_Расчет_аналитики'!BF452*'01_Вводные'!$B$14</f>
        <v/>
      </c>
      <c r="BH453">
        <f>'19_Расчет_аналитики'!BG452*'01_Вводные'!$B$14</f>
        <v/>
      </c>
      <c r="BI453">
        <f>'19_Расчет_аналитики'!BH452*'01_Вводные'!$B$14</f>
        <v/>
      </c>
      <c r="BJ453">
        <f>'19_Расчет_аналитики'!BI452*'01_Вводные'!$B$14</f>
        <v/>
      </c>
      <c r="BK453">
        <f>'19_Расчет_аналитики'!BJ452*'01_Вводные'!$B$14</f>
        <v/>
      </c>
      <c r="BL453">
        <f>'19_Расчет_аналитики'!BK452*'01_Вводные'!$B$14</f>
        <v/>
      </c>
      <c r="BM453">
        <f>'19_Расчет_аналитики'!BL452*'01_Вводные'!$B$14</f>
        <v/>
      </c>
      <c r="BN453">
        <f>'19_Расчет_аналитики'!BM452*'01_Вводные'!$B$14</f>
        <v/>
      </c>
      <c r="BO453">
        <f>'19_Расчет_аналитики'!BN452*'01_Вводные'!$B$14</f>
        <v/>
      </c>
    </row>
    <row r="454">
      <c r="N454">
        <f>'06_Сеть_и_дети'!N99</f>
        <v/>
      </c>
      <c r="O454">
        <f>'06_Сеть_и_дети'!O99</f>
        <v/>
      </c>
      <c r="P454">
        <f>'06_Сеть_и_дети'!P99</f>
        <v/>
      </c>
      <c r="Q454">
        <f>'06_Сеть_и_дети'!Q99</f>
        <v/>
      </c>
      <c r="R454">
        <f>'06_Сеть_и_дети'!R99</f>
        <v/>
      </c>
      <c r="S454">
        <f>'06_Сеть_и_дети'!S99</f>
        <v/>
      </c>
      <c r="T454">
        <f>'19_Расчет_аналитики'!S453*'01_Вводные'!$B$14</f>
        <v/>
      </c>
      <c r="U454">
        <f>'19_Расчет_аналитики'!T453*'01_Вводные'!$B$14</f>
        <v/>
      </c>
      <c r="V454">
        <f>'19_Расчет_аналитики'!U453*'01_Вводные'!$B$14</f>
        <v/>
      </c>
      <c r="W454">
        <f>'19_Расчет_аналитики'!V453*'01_Вводные'!$B$14</f>
        <v/>
      </c>
      <c r="X454">
        <f>'19_Расчет_аналитики'!W453*'01_Вводные'!$B$14</f>
        <v/>
      </c>
      <c r="Y454">
        <f>'19_Расчет_аналитики'!X453*'01_Вводные'!$B$14</f>
        <v/>
      </c>
      <c r="Z454">
        <f>'19_Расчет_аналитики'!Y453*'01_Вводные'!$B$14</f>
        <v/>
      </c>
      <c r="AA454">
        <f>'19_Расчет_аналитики'!Z453*'01_Вводные'!$B$14</f>
        <v/>
      </c>
      <c r="AB454">
        <f>'19_Расчет_аналитики'!AA453*'01_Вводные'!$B$14</f>
        <v/>
      </c>
      <c r="AC454">
        <f>'19_Расчет_аналитики'!AB453*'01_Вводные'!$B$14</f>
        <v/>
      </c>
      <c r="AD454">
        <f>'19_Расчет_аналитики'!AC453*'01_Вводные'!$B$14</f>
        <v/>
      </c>
      <c r="AE454">
        <f>'19_Расчет_аналитики'!AD453*'01_Вводные'!$B$14</f>
        <v/>
      </c>
      <c r="AF454">
        <f>'19_Расчет_аналитики'!AE453*'01_Вводные'!$B$14</f>
        <v/>
      </c>
      <c r="AG454">
        <f>'19_Расчет_аналитики'!AF453*'01_Вводные'!$B$14</f>
        <v/>
      </c>
      <c r="AH454">
        <f>'19_Расчет_аналитики'!AG453*'01_Вводные'!$B$14</f>
        <v/>
      </c>
      <c r="AI454">
        <f>'19_Расчет_аналитики'!AH453*'01_Вводные'!$B$14</f>
        <v/>
      </c>
      <c r="AJ454">
        <f>'19_Расчет_аналитики'!AI453*'01_Вводные'!$B$14</f>
        <v/>
      </c>
      <c r="AK454">
        <f>'19_Расчет_аналитики'!AJ453*'01_Вводные'!$B$14</f>
        <v/>
      </c>
      <c r="AL454">
        <f>'19_Расчет_аналитики'!AK453*'01_Вводные'!$B$14</f>
        <v/>
      </c>
      <c r="AM454">
        <f>'19_Расчет_аналитики'!AL453*'01_Вводные'!$B$14</f>
        <v/>
      </c>
      <c r="AN454">
        <f>'19_Расчет_аналитики'!AM453*'01_Вводные'!$B$14</f>
        <v/>
      </c>
      <c r="AO454">
        <f>'19_Расчет_аналитики'!AN453*'01_Вводные'!$B$14</f>
        <v/>
      </c>
      <c r="AP454">
        <f>'19_Расчет_аналитики'!AO453*'01_Вводные'!$B$14</f>
        <v/>
      </c>
      <c r="AQ454">
        <f>'19_Расчет_аналитики'!AP453*'01_Вводные'!$B$14</f>
        <v/>
      </c>
      <c r="AR454">
        <f>'19_Расчет_аналитики'!AQ453*'01_Вводные'!$B$14</f>
        <v/>
      </c>
      <c r="AS454">
        <f>'19_Расчет_аналитики'!AR453*'01_Вводные'!$B$14</f>
        <v/>
      </c>
      <c r="AT454">
        <f>'19_Расчет_аналитики'!AS453*'01_Вводные'!$B$14</f>
        <v/>
      </c>
      <c r="AU454">
        <f>'19_Расчет_аналитики'!AT453*'01_Вводные'!$B$14</f>
        <v/>
      </c>
      <c r="AV454">
        <f>'19_Расчет_аналитики'!AU453*'01_Вводные'!$B$14</f>
        <v/>
      </c>
      <c r="AW454">
        <f>'19_Расчет_аналитики'!AV453*'01_Вводные'!$B$14</f>
        <v/>
      </c>
      <c r="AX454">
        <f>'19_Расчет_аналитики'!AW453*'01_Вводные'!$B$14</f>
        <v/>
      </c>
      <c r="AY454">
        <f>'19_Расчет_аналитики'!AX453*'01_Вводные'!$B$14</f>
        <v/>
      </c>
      <c r="AZ454">
        <f>'19_Расчет_аналитики'!AY453*'01_Вводные'!$B$14</f>
        <v/>
      </c>
      <c r="BA454">
        <f>'19_Расчет_аналитики'!AZ453*'01_Вводные'!$B$14</f>
        <v/>
      </c>
      <c r="BB454">
        <f>'19_Расчет_аналитики'!BA453*'01_Вводные'!$B$14</f>
        <v/>
      </c>
      <c r="BC454">
        <f>'19_Расчет_аналитики'!BB453*'01_Вводные'!$B$14</f>
        <v/>
      </c>
      <c r="BD454">
        <f>'19_Расчет_аналитики'!BC453*'01_Вводные'!$B$14</f>
        <v/>
      </c>
      <c r="BE454">
        <f>'19_Расчет_аналитики'!BD453*'01_Вводные'!$B$14</f>
        <v/>
      </c>
      <c r="BF454">
        <f>'19_Расчет_аналитики'!BE453*'01_Вводные'!$B$14</f>
        <v/>
      </c>
      <c r="BG454">
        <f>'19_Расчет_аналитики'!BF453*'01_Вводные'!$B$14</f>
        <v/>
      </c>
      <c r="BH454">
        <f>'19_Расчет_аналитики'!BG453*'01_Вводные'!$B$14</f>
        <v/>
      </c>
      <c r="BI454">
        <f>'19_Расчет_аналитики'!BH453*'01_Вводные'!$B$14</f>
        <v/>
      </c>
      <c r="BJ454">
        <f>'19_Расчет_аналитики'!BI453*'01_Вводные'!$B$14</f>
        <v/>
      </c>
      <c r="BK454">
        <f>'19_Расчет_аналитики'!BJ453*'01_Вводные'!$B$14</f>
        <v/>
      </c>
      <c r="BL454">
        <f>'19_Расчет_аналитики'!BK453*'01_Вводные'!$B$14</f>
        <v/>
      </c>
      <c r="BM454">
        <f>'19_Расчет_аналитики'!BL453*'01_Вводные'!$B$14</f>
        <v/>
      </c>
      <c r="BN454">
        <f>'19_Расчет_аналитики'!BM453*'01_Вводные'!$B$14</f>
        <v/>
      </c>
      <c r="BO454">
        <f>'19_Расчет_аналитики'!BN453*'01_Вводные'!$B$14</f>
        <v/>
      </c>
    </row>
    <row r="455">
      <c r="N455">
        <f>'06_Сеть_и_дети'!N100</f>
        <v/>
      </c>
      <c r="O455">
        <f>'06_Сеть_и_дети'!O100</f>
        <v/>
      </c>
      <c r="P455">
        <f>'06_Сеть_и_дети'!P100</f>
        <v/>
      </c>
      <c r="Q455">
        <f>'06_Сеть_и_дети'!Q100</f>
        <v/>
      </c>
      <c r="R455">
        <f>'06_Сеть_и_дети'!R100</f>
        <v/>
      </c>
      <c r="S455">
        <f>'06_Сеть_и_дети'!S100</f>
        <v/>
      </c>
      <c r="T455">
        <f>'06_Сеть_и_дети'!T100</f>
        <v/>
      </c>
      <c r="U455">
        <f>'19_Расчет_аналитики'!T454*'01_Вводные'!$B$14</f>
        <v/>
      </c>
      <c r="V455">
        <f>'19_Расчет_аналитики'!U454*'01_Вводные'!$B$14</f>
        <v/>
      </c>
      <c r="W455">
        <f>'19_Расчет_аналитики'!V454*'01_Вводные'!$B$14</f>
        <v/>
      </c>
      <c r="X455">
        <f>'19_Расчет_аналитики'!W454*'01_Вводные'!$B$14</f>
        <v/>
      </c>
      <c r="Y455">
        <f>'19_Расчет_аналитики'!X454*'01_Вводные'!$B$14</f>
        <v/>
      </c>
      <c r="Z455">
        <f>'19_Расчет_аналитики'!Y454*'01_Вводные'!$B$14</f>
        <v/>
      </c>
      <c r="AA455">
        <f>'19_Расчет_аналитики'!Z454*'01_Вводные'!$B$14</f>
        <v/>
      </c>
      <c r="AB455">
        <f>'19_Расчет_аналитики'!AA454*'01_Вводные'!$B$14</f>
        <v/>
      </c>
      <c r="AC455">
        <f>'19_Расчет_аналитики'!AB454*'01_Вводные'!$B$14</f>
        <v/>
      </c>
      <c r="AD455">
        <f>'19_Расчет_аналитики'!AC454*'01_Вводные'!$B$14</f>
        <v/>
      </c>
      <c r="AE455">
        <f>'19_Расчет_аналитики'!AD454*'01_Вводные'!$B$14</f>
        <v/>
      </c>
      <c r="AF455">
        <f>'19_Расчет_аналитики'!AE454*'01_Вводные'!$B$14</f>
        <v/>
      </c>
      <c r="AG455">
        <f>'19_Расчет_аналитики'!AF454*'01_Вводные'!$B$14</f>
        <v/>
      </c>
      <c r="AH455">
        <f>'19_Расчет_аналитики'!AG454*'01_Вводные'!$B$14</f>
        <v/>
      </c>
      <c r="AI455">
        <f>'19_Расчет_аналитики'!AH454*'01_Вводные'!$B$14</f>
        <v/>
      </c>
      <c r="AJ455">
        <f>'19_Расчет_аналитики'!AI454*'01_Вводные'!$B$14</f>
        <v/>
      </c>
      <c r="AK455">
        <f>'19_Расчет_аналитики'!AJ454*'01_Вводные'!$B$14</f>
        <v/>
      </c>
      <c r="AL455">
        <f>'19_Расчет_аналитики'!AK454*'01_Вводные'!$B$14</f>
        <v/>
      </c>
      <c r="AM455">
        <f>'19_Расчет_аналитики'!AL454*'01_Вводные'!$B$14</f>
        <v/>
      </c>
      <c r="AN455">
        <f>'19_Расчет_аналитики'!AM454*'01_Вводные'!$B$14</f>
        <v/>
      </c>
      <c r="AO455">
        <f>'19_Расчет_аналитики'!AN454*'01_Вводные'!$B$14</f>
        <v/>
      </c>
      <c r="AP455">
        <f>'19_Расчет_аналитики'!AO454*'01_Вводные'!$B$14</f>
        <v/>
      </c>
      <c r="AQ455">
        <f>'19_Расчет_аналитики'!AP454*'01_Вводные'!$B$14</f>
        <v/>
      </c>
      <c r="AR455">
        <f>'19_Расчет_аналитики'!AQ454*'01_Вводные'!$B$14</f>
        <v/>
      </c>
      <c r="AS455">
        <f>'19_Расчет_аналитики'!AR454*'01_Вводные'!$B$14</f>
        <v/>
      </c>
      <c r="AT455">
        <f>'19_Расчет_аналитики'!AS454*'01_Вводные'!$B$14</f>
        <v/>
      </c>
      <c r="AU455">
        <f>'19_Расчет_аналитики'!AT454*'01_Вводные'!$B$14</f>
        <v/>
      </c>
      <c r="AV455">
        <f>'19_Расчет_аналитики'!AU454*'01_Вводные'!$B$14</f>
        <v/>
      </c>
      <c r="AW455">
        <f>'19_Расчет_аналитики'!AV454*'01_Вводные'!$B$14</f>
        <v/>
      </c>
      <c r="AX455">
        <f>'19_Расчет_аналитики'!AW454*'01_Вводные'!$B$14</f>
        <v/>
      </c>
      <c r="AY455">
        <f>'19_Расчет_аналитики'!AX454*'01_Вводные'!$B$14</f>
        <v/>
      </c>
      <c r="AZ455">
        <f>'19_Расчет_аналитики'!AY454*'01_Вводные'!$B$14</f>
        <v/>
      </c>
      <c r="BA455">
        <f>'19_Расчет_аналитики'!AZ454*'01_Вводные'!$B$14</f>
        <v/>
      </c>
      <c r="BB455">
        <f>'19_Расчет_аналитики'!BA454*'01_Вводные'!$B$14</f>
        <v/>
      </c>
      <c r="BC455">
        <f>'19_Расчет_аналитики'!BB454*'01_Вводные'!$B$14</f>
        <v/>
      </c>
      <c r="BD455">
        <f>'19_Расчет_аналитики'!BC454*'01_Вводные'!$B$14</f>
        <v/>
      </c>
      <c r="BE455">
        <f>'19_Расчет_аналитики'!BD454*'01_Вводные'!$B$14</f>
        <v/>
      </c>
      <c r="BF455">
        <f>'19_Расчет_аналитики'!BE454*'01_Вводные'!$B$14</f>
        <v/>
      </c>
      <c r="BG455">
        <f>'19_Расчет_аналитики'!BF454*'01_Вводные'!$B$14</f>
        <v/>
      </c>
      <c r="BH455">
        <f>'19_Расчет_аналитики'!BG454*'01_Вводные'!$B$14</f>
        <v/>
      </c>
      <c r="BI455">
        <f>'19_Расчет_аналитики'!BH454*'01_Вводные'!$B$14</f>
        <v/>
      </c>
      <c r="BJ455">
        <f>'19_Расчет_аналитики'!BI454*'01_Вводные'!$B$14</f>
        <v/>
      </c>
      <c r="BK455">
        <f>'19_Расчет_аналитики'!BJ454*'01_Вводные'!$B$14</f>
        <v/>
      </c>
      <c r="BL455">
        <f>'19_Расчет_аналитики'!BK454*'01_Вводные'!$B$14</f>
        <v/>
      </c>
      <c r="BM455">
        <f>'19_Расчет_аналитики'!BL454*'01_Вводные'!$B$14</f>
        <v/>
      </c>
      <c r="BN455">
        <f>'19_Расчет_аналитики'!BM454*'01_Вводные'!$B$14</f>
        <v/>
      </c>
      <c r="BO455">
        <f>'19_Расчет_аналитики'!BN454*'01_Вводные'!$B$14</f>
        <v/>
      </c>
    </row>
    <row r="456">
      <c r="N456">
        <f>'06_Сеть_и_дети'!N101</f>
        <v/>
      </c>
      <c r="O456">
        <f>'06_Сеть_и_дети'!O101</f>
        <v/>
      </c>
      <c r="P456">
        <f>'06_Сеть_и_дети'!P101</f>
        <v/>
      </c>
      <c r="Q456">
        <f>'06_Сеть_и_дети'!Q101</f>
        <v/>
      </c>
      <c r="R456">
        <f>'06_Сеть_и_дети'!R101</f>
        <v/>
      </c>
      <c r="S456">
        <f>'06_Сеть_и_дети'!S101</f>
        <v/>
      </c>
      <c r="T456">
        <f>'06_Сеть_и_дети'!T101</f>
        <v/>
      </c>
      <c r="U456">
        <f>'06_Сеть_и_дети'!U101</f>
        <v/>
      </c>
      <c r="V456">
        <f>'19_Расчет_аналитики'!U455*'01_Вводные'!$B$14</f>
        <v/>
      </c>
      <c r="W456">
        <f>'19_Расчет_аналитики'!V455*'01_Вводные'!$B$14</f>
        <v/>
      </c>
      <c r="X456">
        <f>'19_Расчет_аналитики'!W455*'01_Вводные'!$B$14</f>
        <v/>
      </c>
      <c r="Y456">
        <f>'19_Расчет_аналитики'!X455*'01_Вводные'!$B$14</f>
        <v/>
      </c>
      <c r="Z456">
        <f>'19_Расчет_аналитики'!Y455*'01_Вводные'!$B$14</f>
        <v/>
      </c>
      <c r="AA456">
        <f>'19_Расчет_аналитики'!Z455*'01_Вводные'!$B$14</f>
        <v/>
      </c>
      <c r="AB456">
        <f>'19_Расчет_аналитики'!AA455*'01_Вводные'!$B$14</f>
        <v/>
      </c>
      <c r="AC456">
        <f>'19_Расчет_аналитики'!AB455*'01_Вводные'!$B$14</f>
        <v/>
      </c>
      <c r="AD456">
        <f>'19_Расчет_аналитики'!AC455*'01_Вводные'!$B$14</f>
        <v/>
      </c>
      <c r="AE456">
        <f>'19_Расчет_аналитики'!AD455*'01_Вводные'!$B$14</f>
        <v/>
      </c>
      <c r="AF456">
        <f>'19_Расчет_аналитики'!AE455*'01_Вводные'!$B$14</f>
        <v/>
      </c>
      <c r="AG456">
        <f>'19_Расчет_аналитики'!AF455*'01_Вводные'!$B$14</f>
        <v/>
      </c>
      <c r="AH456">
        <f>'19_Расчет_аналитики'!AG455*'01_Вводные'!$B$14</f>
        <v/>
      </c>
      <c r="AI456">
        <f>'19_Расчет_аналитики'!AH455*'01_Вводные'!$B$14</f>
        <v/>
      </c>
      <c r="AJ456">
        <f>'19_Расчет_аналитики'!AI455*'01_Вводные'!$B$14</f>
        <v/>
      </c>
      <c r="AK456">
        <f>'19_Расчет_аналитики'!AJ455*'01_Вводные'!$B$14</f>
        <v/>
      </c>
      <c r="AL456">
        <f>'19_Расчет_аналитики'!AK455*'01_Вводные'!$B$14</f>
        <v/>
      </c>
      <c r="AM456">
        <f>'19_Расчет_аналитики'!AL455*'01_Вводные'!$B$14</f>
        <v/>
      </c>
      <c r="AN456">
        <f>'19_Расчет_аналитики'!AM455*'01_Вводные'!$B$14</f>
        <v/>
      </c>
      <c r="AO456">
        <f>'19_Расчет_аналитики'!AN455*'01_Вводные'!$B$14</f>
        <v/>
      </c>
      <c r="AP456">
        <f>'19_Расчет_аналитики'!AO455*'01_Вводные'!$B$14</f>
        <v/>
      </c>
      <c r="AQ456">
        <f>'19_Расчет_аналитики'!AP455*'01_Вводные'!$B$14</f>
        <v/>
      </c>
      <c r="AR456">
        <f>'19_Расчет_аналитики'!AQ455*'01_Вводные'!$B$14</f>
        <v/>
      </c>
      <c r="AS456">
        <f>'19_Расчет_аналитики'!AR455*'01_Вводные'!$B$14</f>
        <v/>
      </c>
      <c r="AT456">
        <f>'19_Расчет_аналитики'!AS455*'01_Вводные'!$B$14</f>
        <v/>
      </c>
      <c r="AU456">
        <f>'19_Расчет_аналитики'!AT455*'01_Вводные'!$B$14</f>
        <v/>
      </c>
      <c r="AV456">
        <f>'19_Расчет_аналитики'!AU455*'01_Вводные'!$B$14</f>
        <v/>
      </c>
      <c r="AW456">
        <f>'19_Расчет_аналитики'!AV455*'01_Вводные'!$B$14</f>
        <v/>
      </c>
      <c r="AX456">
        <f>'19_Расчет_аналитики'!AW455*'01_Вводные'!$B$14</f>
        <v/>
      </c>
      <c r="AY456">
        <f>'19_Расчет_аналитики'!AX455*'01_Вводные'!$B$14</f>
        <v/>
      </c>
      <c r="AZ456">
        <f>'19_Расчет_аналитики'!AY455*'01_Вводные'!$B$14</f>
        <v/>
      </c>
      <c r="BA456">
        <f>'19_Расчет_аналитики'!AZ455*'01_Вводные'!$B$14</f>
        <v/>
      </c>
      <c r="BB456">
        <f>'19_Расчет_аналитики'!BA455*'01_Вводные'!$B$14</f>
        <v/>
      </c>
      <c r="BC456">
        <f>'19_Расчет_аналитики'!BB455*'01_Вводные'!$B$14</f>
        <v/>
      </c>
      <c r="BD456">
        <f>'19_Расчет_аналитики'!BC455*'01_Вводные'!$B$14</f>
        <v/>
      </c>
      <c r="BE456">
        <f>'19_Расчет_аналитики'!BD455*'01_Вводные'!$B$14</f>
        <v/>
      </c>
      <c r="BF456">
        <f>'19_Расчет_аналитики'!BE455*'01_Вводные'!$B$14</f>
        <v/>
      </c>
      <c r="BG456">
        <f>'19_Расчет_аналитики'!BF455*'01_Вводные'!$B$14</f>
        <v/>
      </c>
      <c r="BH456">
        <f>'19_Расчет_аналитики'!BG455*'01_Вводные'!$B$14</f>
        <v/>
      </c>
      <c r="BI456">
        <f>'19_Расчет_аналитики'!BH455*'01_Вводные'!$B$14</f>
        <v/>
      </c>
      <c r="BJ456">
        <f>'19_Расчет_аналитики'!BI455*'01_Вводные'!$B$14</f>
        <v/>
      </c>
      <c r="BK456">
        <f>'19_Расчет_аналитики'!BJ455*'01_Вводные'!$B$14</f>
        <v/>
      </c>
      <c r="BL456">
        <f>'19_Расчет_аналитики'!BK455*'01_Вводные'!$B$14</f>
        <v/>
      </c>
      <c r="BM456">
        <f>'19_Расчет_аналитики'!BL455*'01_Вводные'!$B$14</f>
        <v/>
      </c>
      <c r="BN456">
        <f>'19_Расчет_аналитики'!BM455*'01_Вводные'!$B$14</f>
        <v/>
      </c>
      <c r="BO456">
        <f>'19_Расчет_аналитики'!BN455*'01_Вводные'!$B$14</f>
        <v/>
      </c>
    </row>
    <row r="457">
      <c r="N457">
        <f>'06_Сеть_и_дети'!N102</f>
        <v/>
      </c>
      <c r="O457">
        <f>'06_Сеть_и_дети'!O102</f>
        <v/>
      </c>
      <c r="P457">
        <f>'06_Сеть_и_дети'!P102</f>
        <v/>
      </c>
      <c r="Q457">
        <f>'06_Сеть_и_дети'!Q102</f>
        <v/>
      </c>
      <c r="R457">
        <f>'06_Сеть_и_дети'!R102</f>
        <v/>
      </c>
      <c r="S457">
        <f>'06_Сеть_и_дети'!S102</f>
        <v/>
      </c>
      <c r="T457">
        <f>'06_Сеть_и_дети'!T102</f>
        <v/>
      </c>
      <c r="U457">
        <f>'06_Сеть_и_дети'!U102</f>
        <v/>
      </c>
      <c r="V457">
        <f>'06_Сеть_и_дети'!V102</f>
        <v/>
      </c>
      <c r="W457">
        <f>'19_Расчет_аналитики'!V456*'01_Вводные'!$B$14</f>
        <v/>
      </c>
      <c r="X457">
        <f>'19_Расчет_аналитики'!W456*'01_Вводные'!$B$14</f>
        <v/>
      </c>
      <c r="Y457">
        <f>'19_Расчет_аналитики'!X456*'01_Вводные'!$B$14</f>
        <v/>
      </c>
      <c r="Z457">
        <f>'19_Расчет_аналитики'!Y456*'01_Вводные'!$B$14</f>
        <v/>
      </c>
      <c r="AA457">
        <f>'19_Расчет_аналитики'!Z456*'01_Вводные'!$B$14</f>
        <v/>
      </c>
      <c r="AB457">
        <f>'19_Расчет_аналитики'!AA456*'01_Вводные'!$B$14</f>
        <v/>
      </c>
      <c r="AC457">
        <f>'19_Расчет_аналитики'!AB456*'01_Вводные'!$B$14</f>
        <v/>
      </c>
      <c r="AD457">
        <f>'19_Расчет_аналитики'!AC456*'01_Вводные'!$B$14</f>
        <v/>
      </c>
      <c r="AE457">
        <f>'19_Расчет_аналитики'!AD456*'01_Вводные'!$B$14</f>
        <v/>
      </c>
      <c r="AF457">
        <f>'19_Расчет_аналитики'!AE456*'01_Вводные'!$B$14</f>
        <v/>
      </c>
      <c r="AG457">
        <f>'19_Расчет_аналитики'!AF456*'01_Вводные'!$B$14</f>
        <v/>
      </c>
      <c r="AH457">
        <f>'19_Расчет_аналитики'!AG456*'01_Вводные'!$B$14</f>
        <v/>
      </c>
      <c r="AI457">
        <f>'19_Расчет_аналитики'!AH456*'01_Вводные'!$B$14</f>
        <v/>
      </c>
      <c r="AJ457">
        <f>'19_Расчет_аналитики'!AI456*'01_Вводные'!$B$14</f>
        <v/>
      </c>
      <c r="AK457">
        <f>'19_Расчет_аналитики'!AJ456*'01_Вводные'!$B$14</f>
        <v/>
      </c>
      <c r="AL457">
        <f>'19_Расчет_аналитики'!AK456*'01_Вводные'!$B$14</f>
        <v/>
      </c>
      <c r="AM457">
        <f>'19_Расчет_аналитики'!AL456*'01_Вводные'!$B$14</f>
        <v/>
      </c>
      <c r="AN457">
        <f>'19_Расчет_аналитики'!AM456*'01_Вводные'!$B$14</f>
        <v/>
      </c>
      <c r="AO457">
        <f>'19_Расчет_аналитики'!AN456*'01_Вводные'!$B$14</f>
        <v/>
      </c>
      <c r="AP457">
        <f>'19_Расчет_аналитики'!AO456*'01_Вводные'!$B$14</f>
        <v/>
      </c>
      <c r="AQ457">
        <f>'19_Расчет_аналитики'!AP456*'01_Вводные'!$B$14</f>
        <v/>
      </c>
      <c r="AR457">
        <f>'19_Расчет_аналитики'!AQ456*'01_Вводные'!$B$14</f>
        <v/>
      </c>
      <c r="AS457">
        <f>'19_Расчет_аналитики'!AR456*'01_Вводные'!$B$14</f>
        <v/>
      </c>
      <c r="AT457">
        <f>'19_Расчет_аналитики'!AS456*'01_Вводные'!$B$14</f>
        <v/>
      </c>
      <c r="AU457">
        <f>'19_Расчет_аналитики'!AT456*'01_Вводные'!$B$14</f>
        <v/>
      </c>
      <c r="AV457">
        <f>'19_Расчет_аналитики'!AU456*'01_Вводные'!$B$14</f>
        <v/>
      </c>
      <c r="AW457">
        <f>'19_Расчет_аналитики'!AV456*'01_Вводные'!$B$14</f>
        <v/>
      </c>
      <c r="AX457">
        <f>'19_Расчет_аналитики'!AW456*'01_Вводные'!$B$14</f>
        <v/>
      </c>
      <c r="AY457">
        <f>'19_Расчет_аналитики'!AX456*'01_Вводные'!$B$14</f>
        <v/>
      </c>
      <c r="AZ457">
        <f>'19_Расчет_аналитики'!AY456*'01_Вводные'!$B$14</f>
        <v/>
      </c>
      <c r="BA457">
        <f>'19_Расчет_аналитики'!AZ456*'01_Вводные'!$B$14</f>
        <v/>
      </c>
      <c r="BB457">
        <f>'19_Расчет_аналитики'!BA456*'01_Вводные'!$B$14</f>
        <v/>
      </c>
      <c r="BC457">
        <f>'19_Расчет_аналитики'!BB456*'01_Вводные'!$B$14</f>
        <v/>
      </c>
      <c r="BD457">
        <f>'19_Расчет_аналитики'!BC456*'01_Вводные'!$B$14</f>
        <v/>
      </c>
      <c r="BE457">
        <f>'19_Расчет_аналитики'!BD456*'01_Вводные'!$B$14</f>
        <v/>
      </c>
      <c r="BF457">
        <f>'19_Расчет_аналитики'!BE456*'01_Вводные'!$B$14</f>
        <v/>
      </c>
      <c r="BG457">
        <f>'19_Расчет_аналитики'!BF456*'01_Вводные'!$B$14</f>
        <v/>
      </c>
      <c r="BH457">
        <f>'19_Расчет_аналитики'!BG456*'01_Вводные'!$B$14</f>
        <v/>
      </c>
      <c r="BI457">
        <f>'19_Расчет_аналитики'!BH456*'01_Вводные'!$B$14</f>
        <v/>
      </c>
      <c r="BJ457">
        <f>'19_Расчет_аналитики'!BI456*'01_Вводные'!$B$14</f>
        <v/>
      </c>
      <c r="BK457">
        <f>'19_Расчет_аналитики'!BJ456*'01_Вводные'!$B$14</f>
        <v/>
      </c>
      <c r="BL457">
        <f>'19_Расчет_аналитики'!BK456*'01_Вводные'!$B$14</f>
        <v/>
      </c>
      <c r="BM457">
        <f>'19_Расчет_аналитики'!BL456*'01_Вводные'!$B$14</f>
        <v/>
      </c>
      <c r="BN457">
        <f>'19_Расчет_аналитики'!BM456*'01_Вводные'!$B$14</f>
        <v/>
      </c>
      <c r="BO457">
        <f>'19_Расчет_аналитики'!BN456*'01_Вводные'!$B$14</f>
        <v/>
      </c>
    </row>
    <row r="458">
      <c r="N458">
        <f>'06_Сеть_и_дети'!N103</f>
        <v/>
      </c>
      <c r="O458">
        <f>'06_Сеть_и_дети'!O103</f>
        <v/>
      </c>
      <c r="P458">
        <f>'06_Сеть_и_дети'!P103</f>
        <v/>
      </c>
      <c r="Q458">
        <f>'06_Сеть_и_дети'!Q103</f>
        <v/>
      </c>
      <c r="R458">
        <f>'06_Сеть_и_дети'!R103</f>
        <v/>
      </c>
      <c r="S458">
        <f>'06_Сеть_и_дети'!S103</f>
        <v/>
      </c>
      <c r="T458">
        <f>'06_Сеть_и_дети'!T103</f>
        <v/>
      </c>
      <c r="U458">
        <f>'06_Сеть_и_дети'!U103</f>
        <v/>
      </c>
      <c r="V458">
        <f>'06_Сеть_и_дети'!V103</f>
        <v/>
      </c>
      <c r="W458">
        <f>'06_Сеть_и_дети'!W103</f>
        <v/>
      </c>
      <c r="X458">
        <f>'19_Расчет_аналитики'!W457*'01_Вводные'!$B$14</f>
        <v/>
      </c>
      <c r="Y458">
        <f>'19_Расчет_аналитики'!X457*'01_Вводные'!$B$14</f>
        <v/>
      </c>
      <c r="Z458">
        <f>'19_Расчет_аналитики'!Y457*'01_Вводные'!$B$14</f>
        <v/>
      </c>
      <c r="AA458">
        <f>'19_Расчет_аналитики'!Z457*'01_Вводные'!$B$14</f>
        <v/>
      </c>
      <c r="AB458">
        <f>'19_Расчет_аналитики'!AA457*'01_Вводные'!$B$14</f>
        <v/>
      </c>
      <c r="AC458">
        <f>'19_Расчет_аналитики'!AB457*'01_Вводные'!$B$14</f>
        <v/>
      </c>
      <c r="AD458">
        <f>'19_Расчет_аналитики'!AC457*'01_Вводные'!$B$14</f>
        <v/>
      </c>
      <c r="AE458">
        <f>'19_Расчет_аналитики'!AD457*'01_Вводные'!$B$14</f>
        <v/>
      </c>
      <c r="AF458">
        <f>'19_Расчет_аналитики'!AE457*'01_Вводные'!$B$14</f>
        <v/>
      </c>
      <c r="AG458">
        <f>'19_Расчет_аналитики'!AF457*'01_Вводные'!$B$14</f>
        <v/>
      </c>
      <c r="AH458">
        <f>'19_Расчет_аналитики'!AG457*'01_Вводные'!$B$14</f>
        <v/>
      </c>
      <c r="AI458">
        <f>'19_Расчет_аналитики'!AH457*'01_Вводные'!$B$14</f>
        <v/>
      </c>
      <c r="AJ458">
        <f>'19_Расчет_аналитики'!AI457*'01_Вводные'!$B$14</f>
        <v/>
      </c>
      <c r="AK458">
        <f>'19_Расчет_аналитики'!AJ457*'01_Вводные'!$B$14</f>
        <v/>
      </c>
      <c r="AL458">
        <f>'19_Расчет_аналитики'!AK457*'01_Вводные'!$B$14</f>
        <v/>
      </c>
      <c r="AM458">
        <f>'19_Расчет_аналитики'!AL457*'01_Вводные'!$B$14</f>
        <v/>
      </c>
      <c r="AN458">
        <f>'19_Расчет_аналитики'!AM457*'01_Вводные'!$B$14</f>
        <v/>
      </c>
      <c r="AO458">
        <f>'19_Расчет_аналитики'!AN457*'01_Вводные'!$B$14</f>
        <v/>
      </c>
      <c r="AP458">
        <f>'19_Расчет_аналитики'!AO457*'01_Вводные'!$B$14</f>
        <v/>
      </c>
      <c r="AQ458">
        <f>'19_Расчет_аналитики'!AP457*'01_Вводные'!$B$14</f>
        <v/>
      </c>
      <c r="AR458">
        <f>'19_Расчет_аналитики'!AQ457*'01_Вводные'!$B$14</f>
        <v/>
      </c>
      <c r="AS458">
        <f>'19_Расчет_аналитики'!AR457*'01_Вводные'!$B$14</f>
        <v/>
      </c>
      <c r="AT458">
        <f>'19_Расчет_аналитики'!AS457*'01_Вводные'!$B$14</f>
        <v/>
      </c>
      <c r="AU458">
        <f>'19_Расчет_аналитики'!AT457*'01_Вводные'!$B$14</f>
        <v/>
      </c>
      <c r="AV458">
        <f>'19_Расчет_аналитики'!AU457*'01_Вводные'!$B$14</f>
        <v/>
      </c>
      <c r="AW458">
        <f>'19_Расчет_аналитики'!AV457*'01_Вводные'!$B$14</f>
        <v/>
      </c>
      <c r="AX458">
        <f>'19_Расчет_аналитики'!AW457*'01_Вводные'!$B$14</f>
        <v/>
      </c>
      <c r="AY458">
        <f>'19_Расчет_аналитики'!AX457*'01_Вводные'!$B$14</f>
        <v/>
      </c>
      <c r="AZ458">
        <f>'19_Расчет_аналитики'!AY457*'01_Вводные'!$B$14</f>
        <v/>
      </c>
      <c r="BA458">
        <f>'19_Расчет_аналитики'!AZ457*'01_Вводные'!$B$14</f>
        <v/>
      </c>
      <c r="BB458">
        <f>'19_Расчет_аналитики'!BA457*'01_Вводные'!$B$14</f>
        <v/>
      </c>
      <c r="BC458">
        <f>'19_Расчет_аналитики'!BB457*'01_Вводные'!$B$14</f>
        <v/>
      </c>
      <c r="BD458">
        <f>'19_Расчет_аналитики'!BC457*'01_Вводные'!$B$14</f>
        <v/>
      </c>
      <c r="BE458">
        <f>'19_Расчет_аналитики'!BD457*'01_Вводные'!$B$14</f>
        <v/>
      </c>
      <c r="BF458">
        <f>'19_Расчет_аналитики'!BE457*'01_Вводные'!$B$14</f>
        <v/>
      </c>
      <c r="BG458">
        <f>'19_Расчет_аналитики'!BF457*'01_Вводные'!$B$14</f>
        <v/>
      </c>
      <c r="BH458">
        <f>'19_Расчет_аналитики'!BG457*'01_Вводные'!$B$14</f>
        <v/>
      </c>
      <c r="BI458">
        <f>'19_Расчет_аналитики'!BH457*'01_Вводные'!$B$14</f>
        <v/>
      </c>
      <c r="BJ458">
        <f>'19_Расчет_аналитики'!BI457*'01_Вводные'!$B$14</f>
        <v/>
      </c>
      <c r="BK458">
        <f>'19_Расчет_аналитики'!BJ457*'01_Вводные'!$B$14</f>
        <v/>
      </c>
      <c r="BL458">
        <f>'19_Расчет_аналитики'!BK457*'01_Вводные'!$B$14</f>
        <v/>
      </c>
      <c r="BM458">
        <f>'19_Расчет_аналитики'!BL457*'01_Вводные'!$B$14</f>
        <v/>
      </c>
      <c r="BN458">
        <f>'19_Расчет_аналитики'!BM457*'01_Вводные'!$B$14</f>
        <v/>
      </c>
      <c r="BO458">
        <f>'19_Расчет_аналитики'!BN457*'01_Вводные'!$B$14</f>
        <v/>
      </c>
    </row>
    <row r="459">
      <c r="N459">
        <f>'06_Сеть_и_дети'!N104</f>
        <v/>
      </c>
      <c r="O459">
        <f>'06_Сеть_и_дети'!O104</f>
        <v/>
      </c>
      <c r="P459">
        <f>'06_Сеть_и_дети'!P104</f>
        <v/>
      </c>
      <c r="Q459">
        <f>'06_Сеть_и_дети'!Q104</f>
        <v/>
      </c>
      <c r="R459">
        <f>'06_Сеть_и_дети'!R104</f>
        <v/>
      </c>
      <c r="S459">
        <f>'06_Сеть_и_дети'!S104</f>
        <v/>
      </c>
      <c r="T459">
        <f>'06_Сеть_и_дети'!T104</f>
        <v/>
      </c>
      <c r="U459">
        <f>'06_Сеть_и_дети'!U104</f>
        <v/>
      </c>
      <c r="V459">
        <f>'06_Сеть_и_дети'!V104</f>
        <v/>
      </c>
      <c r="W459">
        <f>'06_Сеть_и_дети'!W104</f>
        <v/>
      </c>
      <c r="X459">
        <f>'06_Сеть_и_дети'!X104</f>
        <v/>
      </c>
      <c r="Y459">
        <f>'19_Расчет_аналитики'!X458*'01_Вводные'!$B$14</f>
        <v/>
      </c>
      <c r="Z459">
        <f>'19_Расчет_аналитики'!Y458*'01_Вводные'!$B$14</f>
        <v/>
      </c>
      <c r="AA459">
        <f>'19_Расчет_аналитики'!Z458*'01_Вводные'!$B$14</f>
        <v/>
      </c>
      <c r="AB459">
        <f>'19_Расчет_аналитики'!AA458*'01_Вводные'!$B$14</f>
        <v/>
      </c>
      <c r="AC459">
        <f>'19_Расчет_аналитики'!AB458*'01_Вводные'!$B$14</f>
        <v/>
      </c>
      <c r="AD459">
        <f>'19_Расчет_аналитики'!AC458*'01_Вводные'!$B$14</f>
        <v/>
      </c>
      <c r="AE459">
        <f>'19_Расчет_аналитики'!AD458*'01_Вводные'!$B$14</f>
        <v/>
      </c>
      <c r="AF459">
        <f>'19_Расчет_аналитики'!AE458*'01_Вводные'!$B$14</f>
        <v/>
      </c>
      <c r="AG459">
        <f>'19_Расчет_аналитики'!AF458*'01_Вводные'!$B$14</f>
        <v/>
      </c>
      <c r="AH459">
        <f>'19_Расчет_аналитики'!AG458*'01_Вводные'!$B$14</f>
        <v/>
      </c>
      <c r="AI459">
        <f>'19_Расчет_аналитики'!AH458*'01_Вводные'!$B$14</f>
        <v/>
      </c>
      <c r="AJ459">
        <f>'19_Расчет_аналитики'!AI458*'01_Вводные'!$B$14</f>
        <v/>
      </c>
      <c r="AK459">
        <f>'19_Расчет_аналитики'!AJ458*'01_Вводные'!$B$14</f>
        <v/>
      </c>
      <c r="AL459">
        <f>'19_Расчет_аналитики'!AK458*'01_Вводные'!$B$14</f>
        <v/>
      </c>
      <c r="AM459">
        <f>'19_Расчет_аналитики'!AL458*'01_Вводные'!$B$14</f>
        <v/>
      </c>
      <c r="AN459">
        <f>'19_Расчет_аналитики'!AM458*'01_Вводные'!$B$14</f>
        <v/>
      </c>
      <c r="AO459">
        <f>'19_Расчет_аналитики'!AN458*'01_Вводные'!$B$14</f>
        <v/>
      </c>
      <c r="AP459">
        <f>'19_Расчет_аналитики'!AO458*'01_Вводные'!$B$14</f>
        <v/>
      </c>
      <c r="AQ459">
        <f>'19_Расчет_аналитики'!AP458*'01_Вводные'!$B$14</f>
        <v/>
      </c>
      <c r="AR459">
        <f>'19_Расчет_аналитики'!AQ458*'01_Вводные'!$B$14</f>
        <v/>
      </c>
      <c r="AS459">
        <f>'19_Расчет_аналитики'!AR458*'01_Вводные'!$B$14</f>
        <v/>
      </c>
      <c r="AT459">
        <f>'19_Расчет_аналитики'!AS458*'01_Вводные'!$B$14</f>
        <v/>
      </c>
      <c r="AU459">
        <f>'19_Расчет_аналитики'!AT458*'01_Вводные'!$B$14</f>
        <v/>
      </c>
      <c r="AV459">
        <f>'19_Расчет_аналитики'!AU458*'01_Вводные'!$B$14</f>
        <v/>
      </c>
      <c r="AW459">
        <f>'19_Расчет_аналитики'!AV458*'01_Вводные'!$B$14</f>
        <v/>
      </c>
      <c r="AX459">
        <f>'19_Расчет_аналитики'!AW458*'01_Вводные'!$B$14</f>
        <v/>
      </c>
      <c r="AY459">
        <f>'19_Расчет_аналитики'!AX458*'01_Вводные'!$B$14</f>
        <v/>
      </c>
      <c r="AZ459">
        <f>'19_Расчет_аналитики'!AY458*'01_Вводные'!$B$14</f>
        <v/>
      </c>
      <c r="BA459">
        <f>'19_Расчет_аналитики'!AZ458*'01_Вводные'!$B$14</f>
        <v/>
      </c>
      <c r="BB459">
        <f>'19_Расчет_аналитики'!BA458*'01_Вводные'!$B$14</f>
        <v/>
      </c>
      <c r="BC459">
        <f>'19_Расчет_аналитики'!BB458*'01_Вводные'!$B$14</f>
        <v/>
      </c>
      <c r="BD459">
        <f>'19_Расчет_аналитики'!BC458*'01_Вводные'!$B$14</f>
        <v/>
      </c>
      <c r="BE459">
        <f>'19_Расчет_аналитики'!BD458*'01_Вводные'!$B$14</f>
        <v/>
      </c>
      <c r="BF459">
        <f>'19_Расчет_аналитики'!BE458*'01_Вводные'!$B$14</f>
        <v/>
      </c>
      <c r="BG459">
        <f>'19_Расчет_аналитики'!BF458*'01_Вводные'!$B$14</f>
        <v/>
      </c>
      <c r="BH459">
        <f>'19_Расчет_аналитики'!BG458*'01_Вводные'!$B$14</f>
        <v/>
      </c>
      <c r="BI459">
        <f>'19_Расчет_аналитики'!BH458*'01_Вводные'!$B$14</f>
        <v/>
      </c>
      <c r="BJ459">
        <f>'19_Расчет_аналитики'!BI458*'01_Вводные'!$B$14</f>
        <v/>
      </c>
      <c r="BK459">
        <f>'19_Расчет_аналитики'!BJ458*'01_Вводные'!$B$14</f>
        <v/>
      </c>
      <c r="BL459">
        <f>'19_Расчет_аналитики'!BK458*'01_Вводные'!$B$14</f>
        <v/>
      </c>
      <c r="BM459">
        <f>'19_Расчет_аналитики'!BL458*'01_Вводные'!$B$14</f>
        <v/>
      </c>
      <c r="BN459">
        <f>'19_Расчет_аналитики'!BM458*'01_Вводные'!$B$14</f>
        <v/>
      </c>
      <c r="BO459">
        <f>'19_Расчет_аналитики'!BN458*'01_Вводные'!$B$14</f>
        <v/>
      </c>
    </row>
    <row r="460">
      <c r="N460">
        <f>'06_Сеть_и_дети'!N105</f>
        <v/>
      </c>
      <c r="O460">
        <f>'06_Сеть_и_дети'!O105</f>
        <v/>
      </c>
      <c r="P460">
        <f>'06_Сеть_и_дети'!P105</f>
        <v/>
      </c>
      <c r="Q460">
        <f>'06_Сеть_и_дети'!Q105</f>
        <v/>
      </c>
      <c r="R460">
        <f>'06_Сеть_и_дети'!R105</f>
        <v/>
      </c>
      <c r="S460">
        <f>'06_Сеть_и_дети'!S105</f>
        <v/>
      </c>
      <c r="T460">
        <f>'06_Сеть_и_дети'!T105</f>
        <v/>
      </c>
      <c r="U460">
        <f>'06_Сеть_и_дети'!U105</f>
        <v/>
      </c>
      <c r="V460">
        <f>'06_Сеть_и_дети'!V105</f>
        <v/>
      </c>
      <c r="W460">
        <f>'06_Сеть_и_дети'!W105</f>
        <v/>
      </c>
      <c r="X460">
        <f>'06_Сеть_и_дети'!X105</f>
        <v/>
      </c>
      <c r="Y460">
        <f>'06_Сеть_и_дети'!Y105</f>
        <v/>
      </c>
      <c r="Z460">
        <f>SUM('19_Расчет_аналитики'!Y459:Y460)*'01_Вводные'!$B$14</f>
        <v/>
      </c>
      <c r="AA460">
        <f>SUM('19_Расчет_аналитики'!Z459:Z460)*'01_Вводные'!$B$14</f>
        <v/>
      </c>
      <c r="AB460">
        <f>SUM('19_Расчет_аналитики'!AA459:AA460)*'01_Вводные'!$B$14</f>
        <v/>
      </c>
      <c r="AC460">
        <f>SUM('19_Расчет_аналитики'!AB459:AB460)*'01_Вводные'!$B$14</f>
        <v/>
      </c>
      <c r="AD460">
        <f>SUM('19_Расчет_аналитики'!AC459:AC460)*'01_Вводные'!$B$14</f>
        <v/>
      </c>
      <c r="AE460">
        <f>SUM('19_Расчет_аналитики'!AD459:AD460)*'01_Вводные'!$B$14</f>
        <v/>
      </c>
      <c r="AF460">
        <f>SUM('19_Расчет_аналитики'!AE459:AE460)*'01_Вводные'!$B$14</f>
        <v/>
      </c>
      <c r="AG460">
        <f>SUM('19_Расчет_аналитики'!AF459:AF460)*'01_Вводные'!$B$14</f>
        <v/>
      </c>
      <c r="AH460">
        <f>SUM('19_Расчет_аналитики'!AG459:AG460)*'01_Вводные'!$B$14</f>
        <v/>
      </c>
      <c r="AI460">
        <f>SUM('19_Расчет_аналитики'!AH459:AH460)*'01_Вводные'!$B$14</f>
        <v/>
      </c>
      <c r="AJ460">
        <f>SUM('19_Расчет_аналитики'!AI459:AI460)*'01_Вводные'!$B$14</f>
        <v/>
      </c>
      <c r="AK460">
        <f>SUM('19_Расчет_аналитики'!AJ459:AJ460)*'01_Вводные'!$B$14</f>
        <v/>
      </c>
      <c r="AL460">
        <f>SUM('19_Расчет_аналитики'!AK459:AK460)*'01_Вводные'!$B$14</f>
        <v/>
      </c>
      <c r="AM460">
        <f>SUM('19_Расчет_аналитики'!AL459:AL460)*'01_Вводные'!$B$14</f>
        <v/>
      </c>
      <c r="AN460">
        <f>SUM('19_Расчет_аналитики'!AM459:AM460)*'01_Вводные'!$B$14</f>
        <v/>
      </c>
      <c r="AO460">
        <f>SUM('19_Расчет_аналитики'!AN459:AN460)*'01_Вводные'!$B$14</f>
        <v/>
      </c>
      <c r="AP460">
        <f>SUM('19_Расчет_аналитики'!AO459:AO460)*'01_Вводные'!$B$14</f>
        <v/>
      </c>
      <c r="AQ460">
        <f>SUM('19_Расчет_аналитики'!AP459:AP460)*'01_Вводные'!$B$14</f>
        <v/>
      </c>
      <c r="AR460">
        <f>SUM('19_Расчет_аналитики'!AQ459:AQ460)*'01_Вводные'!$B$14</f>
        <v/>
      </c>
      <c r="AS460">
        <f>SUM('19_Расчет_аналитики'!AR459:AR460)*'01_Вводные'!$B$14</f>
        <v/>
      </c>
      <c r="AT460">
        <f>SUM('19_Расчет_аналитики'!AS459:AS460)*'01_Вводные'!$B$14</f>
        <v/>
      </c>
      <c r="AU460">
        <f>SUM('19_Расчет_аналитики'!AT459:AT460)*'01_Вводные'!$B$14</f>
        <v/>
      </c>
      <c r="AV460">
        <f>SUM('19_Расчет_аналитики'!AU459:AU460)*'01_Вводные'!$B$14</f>
        <v/>
      </c>
      <c r="AW460">
        <f>SUM('19_Расчет_аналитики'!AV459:AV460)*'01_Вводные'!$B$14</f>
        <v/>
      </c>
      <c r="AX460">
        <f>SUM('19_Расчет_аналитики'!AW459:AW460)*'01_Вводные'!$B$14</f>
        <v/>
      </c>
      <c r="AY460">
        <f>SUM('19_Расчет_аналитики'!AX459:AX460)*'01_Вводные'!$B$14</f>
        <v/>
      </c>
      <c r="AZ460">
        <f>SUM('19_Расчет_аналитики'!AY459:AY460)*'01_Вводные'!$B$14</f>
        <v/>
      </c>
      <c r="BA460">
        <f>SUM('19_Расчет_аналитики'!AZ459:AZ460)*'01_Вводные'!$B$14</f>
        <v/>
      </c>
      <c r="BB460">
        <f>SUM('19_Расчет_аналитики'!BA459:BA460)*'01_Вводные'!$B$14</f>
        <v/>
      </c>
      <c r="BC460">
        <f>SUM('19_Расчет_аналитики'!BB459:BB460)*'01_Вводные'!$B$14</f>
        <v/>
      </c>
      <c r="BD460">
        <f>SUM('19_Расчет_аналитики'!BC459:BC460)*'01_Вводные'!$B$14</f>
        <v/>
      </c>
      <c r="BE460">
        <f>SUM('19_Расчет_аналитики'!BD459:BD460)*'01_Вводные'!$B$14</f>
        <v/>
      </c>
      <c r="BF460">
        <f>SUM('19_Расчет_аналитики'!BE459:BE460)*'01_Вводные'!$B$14</f>
        <v/>
      </c>
      <c r="BG460">
        <f>SUM('19_Расчет_аналитики'!BF459:BF460)*'01_Вводные'!$B$14</f>
        <v/>
      </c>
      <c r="BH460">
        <f>SUM('19_Расчет_аналитики'!BG459:BG460)*'01_Вводные'!$B$14</f>
        <v/>
      </c>
      <c r="BI460">
        <f>SUM('19_Расчет_аналитики'!BH459:BH460)*'01_Вводные'!$B$14</f>
        <v/>
      </c>
      <c r="BJ460">
        <f>SUM('19_Расчет_аналитики'!BI459:BI460)*'01_Вводные'!$B$14</f>
        <v/>
      </c>
      <c r="BK460">
        <f>SUM('19_Расчет_аналитики'!BJ459:BJ460)*'01_Вводные'!$B$14</f>
        <v/>
      </c>
      <c r="BL460">
        <f>SUM('19_Расчет_аналитики'!BK459:BK460)*'01_Вводные'!$B$14</f>
        <v/>
      </c>
      <c r="BM460">
        <f>SUM('19_Расчет_аналитики'!BL459:BL460)*'01_Вводные'!$B$14</f>
        <v/>
      </c>
      <c r="BN460">
        <f>SUM('19_Расчет_аналитики'!BM459:BM460)*'01_Вводные'!$B$14</f>
        <v/>
      </c>
      <c r="BO460">
        <f>SUM('19_Расчет_аналитики'!BN459:BN460)*'01_Вводные'!$B$14</f>
        <v/>
      </c>
    </row>
    <row r="461"/>
    <row r="462"/>
    <row r="463"/>
    <row r="464">
      <c r="B464">
        <f>IF(OR('19_Расчет_аналитики'!B436=0,1&lt;='01_Вводные'!$B$297),0,'19_Расчет_аналитики'!B436*IF('01_Вводные'!$B$239="Да",MeanMinAge01+'19_Расчет_аналитики'!B559*SUMIF(ThresholdAge01,"&lt;"&amp;'19_Расчет_аналитики'!B559,WeightedRevAge01)-SUMIF(ThresholdAge01,"&lt;"&amp;'19_Расчет_аналитики'!B559,WeightedMinAge01),MAX(CapacityAge01*'01_Вводные'!$B$218*'19_Расчет_аналитики'!B559,MeanMinAge01)))</f>
        <v/>
      </c>
      <c r="C464">
        <f>IF(OR('19_Расчет_аналитики'!C436=0,1&lt;='01_Вводные'!$B$297),0,'19_Расчет_аналитики'!C436*IF('01_Вводные'!$B$239="Да",MeanMinAge01+'19_Расчет_аналитики'!C559*SUMIF(ThresholdAge01,"&lt;"&amp;'19_Расчет_аналитики'!C559,WeightedRevAge01)-SUMIF(ThresholdAge01,"&lt;"&amp;'19_Расчет_аналитики'!C559,WeightedMinAge01),MAX(CapacityAge01*'01_Вводные'!$B$218*'19_Расчет_аналитики'!C559,MeanMinAge01)))</f>
        <v/>
      </c>
      <c r="D464">
        <f>IF(OR('19_Расчет_аналитики'!D436=0,1&lt;='01_Вводные'!$B$297),0,'19_Расчет_аналитики'!D436*IF('01_Вводные'!$B$239="Да",MeanMinAge01+'19_Расчет_аналитики'!D559*SUMIF(ThresholdAge01,"&lt;"&amp;'19_Расчет_аналитики'!D559,WeightedRevAge01)-SUMIF(ThresholdAge01,"&lt;"&amp;'19_Расчет_аналитики'!D559,WeightedMinAge01),MAX(CapacityAge01*'01_Вводные'!$B$218*'19_Расчет_аналитики'!D559,MeanMinAge01)))</f>
        <v/>
      </c>
      <c r="E464">
        <f>IF(OR('19_Расчет_аналитики'!E436=0,1&lt;='01_Вводные'!$B$297),0,'19_Расчет_аналитики'!E436*IF('01_Вводные'!$B$239="Да",MeanMinAge01+'19_Расчет_аналитики'!E559*SUMIF(ThresholdAge01,"&lt;"&amp;'19_Расчет_аналитики'!E559,WeightedRevAge01)-SUMIF(ThresholdAge01,"&lt;"&amp;'19_Расчет_аналитики'!E559,WeightedMinAge01),MAX(CapacityAge01*'01_Вводные'!$B$218*'19_Расчет_аналитики'!E559,MeanMinAge01)))</f>
        <v/>
      </c>
      <c r="F464">
        <f>IF(OR('19_Расчет_аналитики'!F436=0,1&lt;='01_Вводные'!$B$297),0,'19_Расчет_аналитики'!F436*IF('01_Вводные'!$B$239="Да",MeanMinAge01+'19_Расчет_аналитики'!F559*SUMIF(ThresholdAge01,"&lt;"&amp;'19_Расчет_аналитики'!F559,WeightedRevAge01)-SUMIF(ThresholdAge01,"&lt;"&amp;'19_Расчет_аналитики'!F559,WeightedMinAge01),MAX(CapacityAge01*'01_Вводные'!$B$218*'19_Расчет_аналитики'!F559,MeanMinAge01)))</f>
        <v/>
      </c>
      <c r="G464">
        <f>IF(OR('19_Расчет_аналитики'!G436=0,1&lt;='01_Вводные'!$B$297),0,'19_Расчет_аналитики'!G436*IF('01_Вводные'!$B$239="Да",MeanMinAge01+'19_Расчет_аналитики'!G559*SUMIF(ThresholdAge01,"&lt;"&amp;'19_Расчет_аналитики'!G559,WeightedRevAge01)-SUMIF(ThresholdAge01,"&lt;"&amp;'19_Расчет_аналитики'!G559,WeightedMinAge01),MAX(CapacityAge01*'01_Вводные'!$B$218*'19_Расчет_аналитики'!G559,MeanMinAge01)))</f>
        <v/>
      </c>
      <c r="H464">
        <f>IF(OR('19_Расчет_аналитики'!H436=0,1&lt;='01_Вводные'!$B$297),0,'19_Расчет_аналитики'!H436*IF('01_Вводные'!$B$239="Да",MeanMinAge01+'19_Расчет_аналитики'!H559*SUMIF(ThresholdAge01,"&lt;"&amp;'19_Расчет_аналитики'!H559,WeightedRevAge01)-SUMIF(ThresholdAge01,"&lt;"&amp;'19_Расчет_аналитики'!H559,WeightedMinAge01),MAX(CapacityAge01*'01_Вводные'!$B$218*'19_Расчет_аналитики'!H559,MeanMinAge01)))</f>
        <v/>
      </c>
      <c r="I464">
        <f>IF(OR('19_Расчет_аналитики'!I436=0,1&lt;='01_Вводные'!$B$297),0,'19_Расчет_аналитики'!I436*IF('01_Вводные'!$B$239="Да",MeanMinAge01+'19_Расчет_аналитики'!I559*SUMIF(ThresholdAge01,"&lt;"&amp;'19_Расчет_аналитики'!I559,WeightedRevAge01)-SUMIF(ThresholdAge01,"&lt;"&amp;'19_Расчет_аналитики'!I559,WeightedMinAge01),MAX(CapacityAge01*'01_Вводные'!$B$218*'19_Расчет_аналитики'!I559,MeanMinAge01)))</f>
        <v/>
      </c>
      <c r="J464">
        <f>IF(OR('19_Расчет_аналитики'!J436=0,1&lt;='01_Вводные'!$B$297),0,'19_Расчет_аналитики'!J436*IF('01_Вводные'!$B$239="Да",MeanMinAge01+'19_Расчет_аналитики'!J559*SUMIF(ThresholdAge01,"&lt;"&amp;'19_Расчет_аналитики'!J559,WeightedRevAge01)-SUMIF(ThresholdAge01,"&lt;"&amp;'19_Расчет_аналитики'!J559,WeightedMinAge01),MAX(CapacityAge01*'01_Вводные'!$B$218*'19_Расчет_аналитики'!J559,MeanMinAge01)))</f>
        <v/>
      </c>
      <c r="K464">
        <f>IF(OR('19_Расчет_аналитики'!K436=0,1&lt;='01_Вводные'!$B$297),0,'19_Расчет_аналитики'!K436*IF('01_Вводные'!$B$239="Да",MeanMinAge01+'19_Расчет_аналитики'!K559*SUMIF(ThresholdAge01,"&lt;"&amp;'19_Расчет_аналитики'!K559,WeightedRevAge01)-SUMIF(ThresholdAge01,"&lt;"&amp;'19_Расчет_аналитики'!K559,WeightedMinAge01),MAX(CapacityAge01*'01_Вводные'!$B$218*'19_Расчет_аналитики'!K559,MeanMinAge01)))</f>
        <v/>
      </c>
      <c r="L464">
        <f>IF(OR('19_Расчет_аналитики'!L436=0,1&lt;='01_Вводные'!$B$297),0,'19_Расчет_аналитики'!L436*IF('01_Вводные'!$B$239="Да",MeanMinAge01+'19_Расчет_аналитики'!L559*SUMIF(ThresholdAge01,"&lt;"&amp;'19_Расчет_аналитики'!L559,WeightedRevAge01)-SUMIF(ThresholdAge01,"&lt;"&amp;'19_Расчет_аналитики'!L559,WeightedMinAge01),MAX(CapacityAge01*'01_Вводные'!$B$218*'19_Расчет_аналитики'!L559,MeanMinAge01)))</f>
        <v/>
      </c>
      <c r="M464">
        <f>IF(OR('19_Расчет_аналитики'!M436=0,1&lt;='01_Вводные'!$B$297),0,'19_Расчет_аналитики'!M436*IF('01_Вводные'!$B$239="Да",MeanMinAge01+'19_Расчет_аналитики'!M559*SUMIF(ThresholdAge01,"&lt;"&amp;'19_Расчет_аналитики'!M559,WeightedRevAge01)-SUMIF(ThresholdAge01,"&lt;"&amp;'19_Расчет_аналитики'!M559,WeightedMinAge01),MAX(CapacityAge01*'01_Вводные'!$B$218*'19_Расчет_аналитики'!M559,MeanMinAge01)))</f>
        <v/>
      </c>
      <c r="N464">
        <f>IF(OR('19_Расчет_аналитики'!N436=0,1&lt;='01_Вводные'!$B$297),0,'19_Расчет_аналитики'!N436*IF('01_Вводные'!$B$239="Да",MeanMinAge01+'19_Расчет_аналитики'!N559*SUMIF(ThresholdAge01,"&lt;"&amp;'19_Расчет_аналитики'!N559,WeightedRevAge01)-SUMIF(ThresholdAge01,"&lt;"&amp;'19_Расчет_аналитики'!N559,WeightedMinAge01),MAX(CapacityAge01*'01_Вводные'!$B$218*'19_Расчет_аналитики'!N559,MeanMinAge01)))</f>
        <v/>
      </c>
      <c r="O464">
        <f>IF(OR('19_Расчет_аналитики'!O436=0,1&lt;='01_Вводные'!$B$297),0,'19_Расчет_аналитики'!O436*IF('01_Вводные'!$B$239="Да",MeanMinAge01+'19_Расчет_аналитики'!O559*SUMIF(ThresholdAge01,"&lt;"&amp;'19_Расчет_аналитики'!O559,WeightedRevAge01)-SUMIF(ThresholdAge01,"&lt;"&amp;'19_Расчет_аналитики'!O559,WeightedMinAge01),MAX(CapacityAge01*'01_Вводные'!$B$218*'19_Расчет_аналитики'!O559,MeanMinAge01)))</f>
        <v/>
      </c>
      <c r="P464">
        <f>IF(OR('19_Расчет_аналитики'!P436=0,1&lt;='01_Вводные'!$B$297),0,'19_Расчет_аналитики'!P436*IF('01_Вводные'!$B$239="Да",MeanMinAge01+'19_Расчет_аналитики'!P559*SUMIF(ThresholdAge01,"&lt;"&amp;'19_Расчет_аналитики'!P559,WeightedRevAge01)-SUMIF(ThresholdAge01,"&lt;"&amp;'19_Расчет_аналитики'!P559,WeightedMinAge01),MAX(CapacityAge01*'01_Вводные'!$B$218*'19_Расчет_аналитики'!P559,MeanMinAge01)))</f>
        <v/>
      </c>
      <c r="Q464">
        <f>IF(OR('19_Расчет_аналитики'!Q436=0,1&lt;='01_Вводные'!$B$297),0,'19_Расчет_аналитики'!Q436*IF('01_Вводные'!$B$239="Да",MeanMinAge01+'19_Расчет_аналитики'!Q559*SUMIF(ThresholdAge01,"&lt;"&amp;'19_Расчет_аналитики'!Q559,WeightedRevAge01)-SUMIF(ThresholdAge01,"&lt;"&amp;'19_Расчет_аналитики'!Q559,WeightedMinAge01),MAX(CapacityAge01*'01_Вводные'!$B$218*'19_Расчет_аналитики'!Q559,MeanMinAge01)))</f>
        <v/>
      </c>
      <c r="R464">
        <f>IF(OR('19_Расчет_аналитики'!R436=0,1&lt;='01_Вводные'!$B$297),0,'19_Расчет_аналитики'!R436*IF('01_Вводные'!$B$239="Да",MeanMinAge01+'19_Расчет_аналитики'!R559*SUMIF(ThresholdAge01,"&lt;"&amp;'19_Расчет_аналитики'!R559,WeightedRevAge01)-SUMIF(ThresholdAge01,"&lt;"&amp;'19_Расчет_аналитики'!R559,WeightedMinAge01),MAX(CapacityAge01*'01_Вводные'!$B$218*'19_Расчет_аналитики'!R559,MeanMinAge01)))</f>
        <v/>
      </c>
      <c r="S464">
        <f>IF(OR('19_Расчет_аналитики'!S436=0,1&lt;='01_Вводные'!$B$297),0,'19_Расчет_аналитики'!S436*IF('01_Вводные'!$B$239="Да",MeanMinAge01+'19_Расчет_аналитики'!S559*SUMIF(ThresholdAge01,"&lt;"&amp;'19_Расчет_аналитики'!S559,WeightedRevAge01)-SUMIF(ThresholdAge01,"&lt;"&amp;'19_Расчет_аналитики'!S559,WeightedMinAge01),MAX(CapacityAge01*'01_Вводные'!$B$218*'19_Расчет_аналитики'!S559,MeanMinAge01)))</f>
        <v/>
      </c>
      <c r="T464">
        <f>IF(OR('19_Расчет_аналитики'!T436=0,1&lt;='01_Вводные'!$B$297),0,'19_Расчет_аналитики'!T436*IF('01_Вводные'!$B$239="Да",MeanMinAge01+'19_Расчет_аналитики'!T559*SUMIF(ThresholdAge01,"&lt;"&amp;'19_Расчет_аналитики'!T559,WeightedRevAge01)-SUMIF(ThresholdAge01,"&lt;"&amp;'19_Расчет_аналитики'!T559,WeightedMinAge01),MAX(CapacityAge01*'01_Вводные'!$B$218*'19_Расчет_аналитики'!T559,MeanMinAge01)))</f>
        <v/>
      </c>
      <c r="U464">
        <f>IF(OR('19_Расчет_аналитики'!U436=0,1&lt;='01_Вводные'!$B$297),0,'19_Расчет_аналитики'!U436*IF('01_Вводные'!$B$239="Да",MeanMinAge01+'19_Расчет_аналитики'!U559*SUMIF(ThresholdAge01,"&lt;"&amp;'19_Расчет_аналитики'!U559,WeightedRevAge01)-SUMIF(ThresholdAge01,"&lt;"&amp;'19_Расчет_аналитики'!U559,WeightedMinAge01),MAX(CapacityAge01*'01_Вводные'!$B$218*'19_Расчет_аналитики'!U559,MeanMinAge01)))</f>
        <v/>
      </c>
      <c r="V464">
        <f>IF(OR('19_Расчет_аналитики'!V436=0,1&lt;='01_Вводные'!$B$297),0,'19_Расчет_аналитики'!V436*IF('01_Вводные'!$B$239="Да",MeanMinAge01+'19_Расчет_аналитики'!V559*SUMIF(ThresholdAge01,"&lt;"&amp;'19_Расчет_аналитики'!V559,WeightedRevAge01)-SUMIF(ThresholdAge01,"&lt;"&amp;'19_Расчет_аналитики'!V559,WeightedMinAge01),MAX(CapacityAge01*'01_Вводные'!$B$218*'19_Расчет_аналитики'!V559,MeanMinAge01)))</f>
        <v/>
      </c>
      <c r="W464">
        <f>IF(OR('19_Расчет_аналитики'!W436=0,1&lt;='01_Вводные'!$B$297),0,'19_Расчет_аналитики'!W436*IF('01_Вводные'!$B$239="Да",MeanMinAge01+'19_Расчет_аналитики'!W559*SUMIF(ThresholdAge01,"&lt;"&amp;'19_Расчет_аналитики'!W559,WeightedRevAge01)-SUMIF(ThresholdAge01,"&lt;"&amp;'19_Расчет_аналитики'!W559,WeightedMinAge01),MAX(CapacityAge01*'01_Вводные'!$B$218*'19_Расчет_аналитики'!W559,MeanMinAge01)))</f>
        <v/>
      </c>
      <c r="X464">
        <f>IF(OR('19_Расчет_аналитики'!X436=0,1&lt;='01_Вводные'!$B$297),0,'19_Расчет_аналитики'!X436*IF('01_Вводные'!$B$239="Да",MeanMinAge01+'19_Расчет_аналитики'!X559*SUMIF(ThresholdAge01,"&lt;"&amp;'19_Расчет_аналитики'!X559,WeightedRevAge01)-SUMIF(ThresholdAge01,"&lt;"&amp;'19_Расчет_аналитики'!X559,WeightedMinAge01),MAX(CapacityAge01*'01_Вводные'!$B$218*'19_Расчет_аналитики'!X559,MeanMinAge01)))</f>
        <v/>
      </c>
      <c r="Y464">
        <f>IF(OR('19_Расчет_аналитики'!Y436=0,1&lt;='01_Вводные'!$B$297),0,'19_Расчет_аналитики'!Y436*IF('01_Вводные'!$B$239="Да",MeanMinAge01+'19_Расчет_аналитики'!Y559*SUMIF(ThresholdAge01,"&lt;"&amp;'19_Расчет_аналитики'!Y559,WeightedRevAge01)-SUMIF(ThresholdAge01,"&lt;"&amp;'19_Расчет_аналитики'!Y559,WeightedMinAge01),MAX(CapacityAge01*'01_Вводные'!$B$218*'19_Расчет_аналитики'!Y559,MeanMinAge01)))</f>
        <v/>
      </c>
      <c r="Z464">
        <f>IF(OR('19_Расчет_аналитики'!Z436=0,1&lt;='01_Вводные'!$B$297),0,'19_Расчет_аналитики'!Z436*IF('01_Вводные'!$B$239="Да",MeanMinAge01+'19_Расчет_аналитики'!Z559*SUMIF(ThresholdAge01,"&lt;"&amp;'19_Расчет_аналитики'!Z559,WeightedRevAge01)-SUMIF(ThresholdAge01,"&lt;"&amp;'19_Расчет_аналитики'!Z559,WeightedMinAge01),MAX(CapacityAge01*'01_Вводные'!$B$218*'19_Расчет_аналитики'!Z559,MeanMinAge01)))</f>
        <v/>
      </c>
      <c r="AA464">
        <f>IF(OR('19_Расчет_аналитики'!AA436=0,1&lt;='01_Вводные'!$B$297),0,'19_Расчет_аналитики'!AA436*IF('01_Вводные'!$B$239="Да",MeanMinAge01+'19_Расчет_аналитики'!AA559*SUMIF(ThresholdAge01,"&lt;"&amp;'19_Расчет_аналитики'!AA559,WeightedRevAge01)-SUMIF(ThresholdAge01,"&lt;"&amp;'19_Расчет_аналитики'!AA559,WeightedMinAge01),MAX(CapacityAge01*'01_Вводные'!$B$218*'19_Расчет_аналитики'!AA559,MeanMinAge01)))</f>
        <v/>
      </c>
      <c r="AB464">
        <f>IF(OR('19_Расчет_аналитики'!AB436=0,1&lt;='01_Вводные'!$B$297),0,'19_Расчет_аналитики'!AB436*IF('01_Вводные'!$B$239="Да",MeanMinAge01+'19_Расчет_аналитики'!AB559*SUMIF(ThresholdAge01,"&lt;"&amp;'19_Расчет_аналитики'!AB559,WeightedRevAge01)-SUMIF(ThresholdAge01,"&lt;"&amp;'19_Расчет_аналитики'!AB559,WeightedMinAge01),MAX(CapacityAge01*'01_Вводные'!$B$218*'19_Расчет_аналитики'!AB559,MeanMinAge01)))</f>
        <v/>
      </c>
      <c r="AC464">
        <f>IF(OR('19_Расчет_аналитики'!AC436=0,1&lt;='01_Вводные'!$B$297),0,'19_Расчет_аналитики'!AC436*IF('01_Вводные'!$B$239="Да",MeanMinAge01+'19_Расчет_аналитики'!AC559*SUMIF(ThresholdAge01,"&lt;"&amp;'19_Расчет_аналитики'!AC559,WeightedRevAge01)-SUMIF(ThresholdAge01,"&lt;"&amp;'19_Расчет_аналитики'!AC559,WeightedMinAge01),MAX(CapacityAge01*'01_Вводные'!$B$218*'19_Расчет_аналитики'!AC559,MeanMinAge01)))</f>
        <v/>
      </c>
      <c r="AD464">
        <f>IF(OR('19_Расчет_аналитики'!AD436=0,1&lt;='01_Вводные'!$B$297),0,'19_Расчет_аналитики'!AD436*IF('01_Вводные'!$B$239="Да",MeanMinAge01+'19_Расчет_аналитики'!AD559*SUMIF(ThresholdAge01,"&lt;"&amp;'19_Расчет_аналитики'!AD559,WeightedRevAge01)-SUMIF(ThresholdAge01,"&lt;"&amp;'19_Расчет_аналитики'!AD559,WeightedMinAge01),MAX(CapacityAge01*'01_Вводные'!$B$218*'19_Расчет_аналитики'!AD559,MeanMinAge01)))</f>
        <v/>
      </c>
      <c r="AE464">
        <f>IF(OR('19_Расчет_аналитики'!AE436=0,1&lt;='01_Вводные'!$B$297),0,'19_Расчет_аналитики'!AE436*IF('01_Вводные'!$B$239="Да",MeanMinAge01+'19_Расчет_аналитики'!AE559*SUMIF(ThresholdAge01,"&lt;"&amp;'19_Расчет_аналитики'!AE559,WeightedRevAge01)-SUMIF(ThresholdAge01,"&lt;"&amp;'19_Расчет_аналитики'!AE559,WeightedMinAge01),MAX(CapacityAge01*'01_Вводные'!$B$218*'19_Расчет_аналитики'!AE559,MeanMinAge01)))</f>
        <v/>
      </c>
      <c r="AF464">
        <f>IF(OR('19_Расчет_аналитики'!AF436=0,1&lt;='01_Вводные'!$B$297),0,'19_Расчет_аналитики'!AF436*IF('01_Вводные'!$B$239="Да",MeanMinAge01+'19_Расчет_аналитики'!AF559*SUMIF(ThresholdAge01,"&lt;"&amp;'19_Расчет_аналитики'!AF559,WeightedRevAge01)-SUMIF(ThresholdAge01,"&lt;"&amp;'19_Расчет_аналитики'!AF559,WeightedMinAge01),MAX(CapacityAge01*'01_Вводные'!$B$218*'19_Расчет_аналитики'!AF559,MeanMinAge01)))</f>
        <v/>
      </c>
      <c r="AG464">
        <f>IF(OR('19_Расчет_аналитики'!AG436=0,1&lt;='01_Вводные'!$B$297),0,'19_Расчет_аналитики'!AG436*IF('01_Вводные'!$B$239="Да",MeanMinAge01+'19_Расчет_аналитики'!AG559*SUMIF(ThresholdAge01,"&lt;"&amp;'19_Расчет_аналитики'!AG559,WeightedRevAge01)-SUMIF(ThresholdAge01,"&lt;"&amp;'19_Расчет_аналитики'!AG559,WeightedMinAge01),MAX(CapacityAge01*'01_Вводные'!$B$218*'19_Расчет_аналитики'!AG559,MeanMinAge01)))</f>
        <v/>
      </c>
      <c r="AH464">
        <f>IF(OR('19_Расчет_аналитики'!AH436=0,1&lt;='01_Вводные'!$B$297),0,'19_Расчет_аналитики'!AH436*IF('01_Вводные'!$B$239="Да",MeanMinAge01+'19_Расчет_аналитики'!AH559*SUMIF(ThresholdAge01,"&lt;"&amp;'19_Расчет_аналитики'!AH559,WeightedRevAge01)-SUMIF(ThresholdAge01,"&lt;"&amp;'19_Расчет_аналитики'!AH559,WeightedMinAge01),MAX(CapacityAge01*'01_Вводные'!$B$218*'19_Расчет_аналитики'!AH559,MeanMinAge01)))</f>
        <v/>
      </c>
      <c r="AI464">
        <f>IF(OR('19_Расчет_аналитики'!AI436=0,1&lt;='01_Вводные'!$B$297),0,'19_Расчет_аналитики'!AI436*IF('01_Вводные'!$B$239="Да",MeanMinAge01+'19_Расчет_аналитики'!AI559*SUMIF(ThresholdAge01,"&lt;"&amp;'19_Расчет_аналитики'!AI559,WeightedRevAge01)-SUMIF(ThresholdAge01,"&lt;"&amp;'19_Расчет_аналитики'!AI559,WeightedMinAge01),MAX(CapacityAge01*'01_Вводные'!$B$218*'19_Расчет_аналитики'!AI559,MeanMinAge01)))</f>
        <v/>
      </c>
      <c r="AJ464">
        <f>IF(OR('19_Расчет_аналитики'!AJ436=0,1&lt;='01_Вводные'!$B$297),0,'19_Расчет_аналитики'!AJ436*IF('01_Вводные'!$B$239="Да",MeanMinAge01+'19_Расчет_аналитики'!AJ559*SUMIF(ThresholdAge01,"&lt;"&amp;'19_Расчет_аналитики'!AJ559,WeightedRevAge01)-SUMIF(ThresholdAge01,"&lt;"&amp;'19_Расчет_аналитики'!AJ559,WeightedMinAge01),MAX(CapacityAge01*'01_Вводные'!$B$218*'19_Расчет_аналитики'!AJ559,MeanMinAge01)))</f>
        <v/>
      </c>
      <c r="AK464">
        <f>IF(OR('19_Расчет_аналитики'!AK436=0,1&lt;='01_Вводные'!$B$297),0,'19_Расчет_аналитики'!AK436*IF('01_Вводные'!$B$239="Да",MeanMinAge01+'19_Расчет_аналитики'!AK559*SUMIF(ThresholdAge01,"&lt;"&amp;'19_Расчет_аналитики'!AK559,WeightedRevAge01)-SUMIF(ThresholdAge01,"&lt;"&amp;'19_Расчет_аналитики'!AK559,WeightedMinAge01),MAX(CapacityAge01*'01_Вводные'!$B$218*'19_Расчет_аналитики'!AK559,MeanMinAge01)))</f>
        <v/>
      </c>
      <c r="AL464">
        <f>IF(OR('19_Расчет_аналитики'!AL436=0,1&lt;='01_Вводные'!$B$297),0,'19_Расчет_аналитики'!AL436*IF('01_Вводные'!$B$239="Да",MeanMinAge01+'19_Расчет_аналитики'!AL559*SUMIF(ThresholdAge01,"&lt;"&amp;'19_Расчет_аналитики'!AL559,WeightedRevAge01)-SUMIF(ThresholdAge01,"&lt;"&amp;'19_Расчет_аналитики'!AL559,WeightedMinAge01),MAX(CapacityAge01*'01_Вводные'!$B$218*'19_Расчет_аналитики'!AL559,MeanMinAge01)))</f>
        <v/>
      </c>
      <c r="AM464">
        <f>IF(OR('19_Расчет_аналитики'!AM436=0,1&lt;='01_Вводные'!$B$297),0,'19_Расчет_аналитики'!AM436*IF('01_Вводные'!$B$239="Да",MeanMinAge01+'19_Расчет_аналитики'!AM559*SUMIF(ThresholdAge01,"&lt;"&amp;'19_Расчет_аналитики'!AM559,WeightedRevAge01)-SUMIF(ThresholdAge01,"&lt;"&amp;'19_Расчет_аналитики'!AM559,WeightedMinAge01),MAX(CapacityAge01*'01_Вводные'!$B$218*'19_Расчет_аналитики'!AM559,MeanMinAge01)))</f>
        <v/>
      </c>
      <c r="AN464">
        <f>IF(OR('19_Расчет_аналитики'!AN436=0,1&lt;='01_Вводные'!$B$297),0,'19_Расчет_аналитики'!AN436*IF('01_Вводные'!$B$239="Да",MeanMinAge01+'19_Расчет_аналитики'!AN559*SUMIF(ThresholdAge01,"&lt;"&amp;'19_Расчет_аналитики'!AN559,WeightedRevAge01)-SUMIF(ThresholdAge01,"&lt;"&amp;'19_Расчет_аналитики'!AN559,WeightedMinAge01),MAX(CapacityAge01*'01_Вводные'!$B$218*'19_Расчет_аналитики'!AN559,MeanMinAge01)))</f>
        <v/>
      </c>
      <c r="AO464">
        <f>IF(OR('19_Расчет_аналитики'!AO436=0,1&lt;='01_Вводные'!$B$297),0,'19_Расчет_аналитики'!AO436*IF('01_Вводные'!$B$239="Да",MeanMinAge01+'19_Расчет_аналитики'!AO559*SUMIF(ThresholdAge01,"&lt;"&amp;'19_Расчет_аналитики'!AO559,WeightedRevAge01)-SUMIF(ThresholdAge01,"&lt;"&amp;'19_Расчет_аналитики'!AO559,WeightedMinAge01),MAX(CapacityAge01*'01_Вводные'!$B$218*'19_Расчет_аналитики'!AO559,MeanMinAge01)))</f>
        <v/>
      </c>
      <c r="AP464">
        <f>IF(OR('19_Расчет_аналитики'!AP436=0,1&lt;='01_Вводные'!$B$297),0,'19_Расчет_аналитики'!AP436*IF('01_Вводные'!$B$239="Да",MeanMinAge01+'19_Расчет_аналитики'!AP559*SUMIF(ThresholdAge01,"&lt;"&amp;'19_Расчет_аналитики'!AP559,WeightedRevAge01)-SUMIF(ThresholdAge01,"&lt;"&amp;'19_Расчет_аналитики'!AP559,WeightedMinAge01),MAX(CapacityAge01*'01_Вводные'!$B$218*'19_Расчет_аналитики'!AP559,MeanMinAge01)))</f>
        <v/>
      </c>
      <c r="AQ464">
        <f>IF(OR('19_Расчет_аналитики'!AQ436=0,1&lt;='01_Вводные'!$B$297),0,'19_Расчет_аналитики'!AQ436*IF('01_Вводные'!$B$239="Да",MeanMinAge01+'19_Расчет_аналитики'!AQ559*SUMIF(ThresholdAge01,"&lt;"&amp;'19_Расчет_аналитики'!AQ559,WeightedRevAge01)-SUMIF(ThresholdAge01,"&lt;"&amp;'19_Расчет_аналитики'!AQ559,WeightedMinAge01),MAX(CapacityAge01*'01_Вводные'!$B$218*'19_Расчет_аналитики'!AQ559,MeanMinAge01)))</f>
        <v/>
      </c>
      <c r="AR464">
        <f>IF(OR('19_Расчет_аналитики'!AR436=0,1&lt;='01_Вводные'!$B$297),0,'19_Расчет_аналитики'!AR436*IF('01_Вводные'!$B$239="Да",MeanMinAge01+'19_Расчет_аналитики'!AR559*SUMIF(ThresholdAge01,"&lt;"&amp;'19_Расчет_аналитики'!AR559,WeightedRevAge01)-SUMIF(ThresholdAge01,"&lt;"&amp;'19_Расчет_аналитики'!AR559,WeightedMinAge01),MAX(CapacityAge01*'01_Вводные'!$B$218*'19_Расчет_аналитики'!AR559,MeanMinAge01)))</f>
        <v/>
      </c>
      <c r="AS464">
        <f>IF(OR('19_Расчет_аналитики'!AS436=0,1&lt;='01_Вводные'!$B$297),0,'19_Расчет_аналитики'!AS436*IF('01_Вводные'!$B$239="Да",MeanMinAge01+'19_Расчет_аналитики'!AS559*SUMIF(ThresholdAge01,"&lt;"&amp;'19_Расчет_аналитики'!AS559,WeightedRevAge01)-SUMIF(ThresholdAge01,"&lt;"&amp;'19_Расчет_аналитики'!AS559,WeightedMinAge01),MAX(CapacityAge01*'01_Вводные'!$B$218*'19_Расчет_аналитики'!AS559,MeanMinAge01)))</f>
        <v/>
      </c>
      <c r="AT464">
        <f>IF(OR('19_Расчет_аналитики'!AT436=0,1&lt;='01_Вводные'!$B$297),0,'19_Расчет_аналитики'!AT436*IF('01_Вводные'!$B$239="Да",MeanMinAge01+'19_Расчет_аналитики'!AT559*SUMIF(ThresholdAge01,"&lt;"&amp;'19_Расчет_аналитики'!AT559,WeightedRevAge01)-SUMIF(ThresholdAge01,"&lt;"&amp;'19_Расчет_аналитики'!AT559,WeightedMinAge01),MAX(CapacityAge01*'01_Вводные'!$B$218*'19_Расчет_аналитики'!AT559,MeanMinAge01)))</f>
        <v/>
      </c>
      <c r="AU464">
        <f>IF(OR('19_Расчет_аналитики'!AU436=0,1&lt;='01_Вводные'!$B$297),0,'19_Расчет_аналитики'!AU436*IF('01_Вводные'!$B$239="Да",MeanMinAge01+'19_Расчет_аналитики'!AU559*SUMIF(ThresholdAge01,"&lt;"&amp;'19_Расчет_аналитики'!AU559,WeightedRevAge01)-SUMIF(ThresholdAge01,"&lt;"&amp;'19_Расчет_аналитики'!AU559,WeightedMinAge01),MAX(CapacityAge01*'01_Вводные'!$B$218*'19_Расчет_аналитики'!AU559,MeanMinAge01)))</f>
        <v/>
      </c>
      <c r="AV464">
        <f>IF(OR('19_Расчет_аналитики'!AV436=0,1&lt;='01_Вводные'!$B$297),0,'19_Расчет_аналитики'!AV436*IF('01_Вводные'!$B$239="Да",MeanMinAge01+'19_Расчет_аналитики'!AV559*SUMIF(ThresholdAge01,"&lt;"&amp;'19_Расчет_аналитики'!AV559,WeightedRevAge01)-SUMIF(ThresholdAge01,"&lt;"&amp;'19_Расчет_аналитики'!AV559,WeightedMinAge01),MAX(CapacityAge01*'01_Вводные'!$B$218*'19_Расчет_аналитики'!AV559,MeanMinAge01)))</f>
        <v/>
      </c>
      <c r="AW464">
        <f>IF(OR('19_Расчет_аналитики'!AW436=0,1&lt;='01_Вводные'!$B$297),0,'19_Расчет_аналитики'!AW436*IF('01_Вводные'!$B$239="Да",MeanMinAge01+'19_Расчет_аналитики'!AW559*SUMIF(ThresholdAge01,"&lt;"&amp;'19_Расчет_аналитики'!AW559,WeightedRevAge01)-SUMIF(ThresholdAge01,"&lt;"&amp;'19_Расчет_аналитики'!AW559,WeightedMinAge01),MAX(CapacityAge01*'01_Вводные'!$B$218*'19_Расчет_аналитики'!AW559,MeanMinAge01)))</f>
        <v/>
      </c>
      <c r="AX464">
        <f>IF(OR('19_Расчет_аналитики'!AX436=0,1&lt;='01_Вводные'!$B$297),0,'19_Расчет_аналитики'!AX436*IF('01_Вводные'!$B$239="Да",MeanMinAge01+'19_Расчет_аналитики'!AX559*SUMIF(ThresholdAge01,"&lt;"&amp;'19_Расчет_аналитики'!AX559,WeightedRevAge01)-SUMIF(ThresholdAge01,"&lt;"&amp;'19_Расчет_аналитики'!AX559,WeightedMinAge01),MAX(CapacityAge01*'01_Вводные'!$B$218*'19_Расчет_аналитики'!AX559,MeanMinAge01)))</f>
        <v/>
      </c>
      <c r="AY464">
        <f>IF(OR('19_Расчет_аналитики'!AY436=0,1&lt;='01_Вводные'!$B$297),0,'19_Расчет_аналитики'!AY436*IF('01_Вводные'!$B$239="Да",MeanMinAge01+'19_Расчет_аналитики'!AY559*SUMIF(ThresholdAge01,"&lt;"&amp;'19_Расчет_аналитики'!AY559,WeightedRevAge01)-SUMIF(ThresholdAge01,"&lt;"&amp;'19_Расчет_аналитики'!AY559,WeightedMinAge01),MAX(CapacityAge01*'01_Вводные'!$B$218*'19_Расчет_аналитики'!AY559,MeanMinAge01)))</f>
        <v/>
      </c>
      <c r="AZ464">
        <f>IF(OR('19_Расчет_аналитики'!AZ436=0,1&lt;='01_Вводные'!$B$297),0,'19_Расчет_аналитики'!AZ436*IF('01_Вводные'!$B$239="Да",MeanMinAge01+'19_Расчет_аналитики'!AZ559*SUMIF(ThresholdAge01,"&lt;"&amp;'19_Расчет_аналитики'!AZ559,WeightedRevAge01)-SUMIF(ThresholdAge01,"&lt;"&amp;'19_Расчет_аналитики'!AZ559,WeightedMinAge01),MAX(CapacityAge01*'01_Вводные'!$B$218*'19_Расчет_аналитики'!AZ559,MeanMinAge01)))</f>
        <v/>
      </c>
      <c r="BA464">
        <f>IF(OR('19_Расчет_аналитики'!BA436=0,1&lt;='01_Вводные'!$B$297),0,'19_Расчет_аналитики'!BA436*IF('01_Вводные'!$B$239="Да",MeanMinAge01+'19_Расчет_аналитики'!BA559*SUMIF(ThresholdAge01,"&lt;"&amp;'19_Расчет_аналитики'!BA559,WeightedRevAge01)-SUMIF(ThresholdAge01,"&lt;"&amp;'19_Расчет_аналитики'!BA559,WeightedMinAge01),MAX(CapacityAge01*'01_Вводные'!$B$218*'19_Расчет_аналитики'!BA559,MeanMinAge01)))</f>
        <v/>
      </c>
      <c r="BB464">
        <f>IF(OR('19_Расчет_аналитики'!BB436=0,1&lt;='01_Вводные'!$B$297),0,'19_Расчет_аналитики'!BB436*IF('01_Вводные'!$B$239="Да",MeanMinAge01+'19_Расчет_аналитики'!BB559*SUMIF(ThresholdAge01,"&lt;"&amp;'19_Расчет_аналитики'!BB559,WeightedRevAge01)-SUMIF(ThresholdAge01,"&lt;"&amp;'19_Расчет_аналитики'!BB559,WeightedMinAge01),MAX(CapacityAge01*'01_Вводные'!$B$218*'19_Расчет_аналитики'!BB559,MeanMinAge01)))</f>
        <v/>
      </c>
      <c r="BC464">
        <f>IF(OR('19_Расчет_аналитики'!BC436=0,1&lt;='01_Вводные'!$B$297),0,'19_Расчет_аналитики'!BC436*IF('01_Вводные'!$B$239="Да",MeanMinAge01+'19_Расчет_аналитики'!BC559*SUMIF(ThresholdAge01,"&lt;"&amp;'19_Расчет_аналитики'!BC559,WeightedRevAge01)-SUMIF(ThresholdAge01,"&lt;"&amp;'19_Расчет_аналитики'!BC559,WeightedMinAge01),MAX(CapacityAge01*'01_Вводные'!$B$218*'19_Расчет_аналитики'!BC559,MeanMinAge01)))</f>
        <v/>
      </c>
      <c r="BD464">
        <f>IF(OR('19_Расчет_аналитики'!BD436=0,1&lt;='01_Вводные'!$B$297),0,'19_Расчет_аналитики'!BD436*IF('01_Вводные'!$B$239="Да",MeanMinAge01+'19_Расчет_аналитики'!BD559*SUMIF(ThresholdAge01,"&lt;"&amp;'19_Расчет_аналитики'!BD559,WeightedRevAge01)-SUMIF(ThresholdAge01,"&lt;"&amp;'19_Расчет_аналитики'!BD559,WeightedMinAge01),MAX(CapacityAge01*'01_Вводные'!$B$218*'19_Расчет_аналитики'!BD559,MeanMinAge01)))</f>
        <v/>
      </c>
      <c r="BE464">
        <f>IF(OR('19_Расчет_аналитики'!BE436=0,1&lt;='01_Вводные'!$B$297),0,'19_Расчет_аналитики'!BE436*IF('01_Вводные'!$B$239="Да",MeanMinAge01+'19_Расчет_аналитики'!BE559*SUMIF(ThresholdAge01,"&lt;"&amp;'19_Расчет_аналитики'!BE559,WeightedRevAge01)-SUMIF(ThresholdAge01,"&lt;"&amp;'19_Расчет_аналитики'!BE559,WeightedMinAge01),MAX(CapacityAge01*'01_Вводные'!$B$218*'19_Расчет_аналитики'!BE559,MeanMinAge01)))</f>
        <v/>
      </c>
      <c r="BF464">
        <f>IF(OR('19_Расчет_аналитики'!BF436=0,1&lt;='01_Вводные'!$B$297),0,'19_Расчет_аналитики'!BF436*IF('01_Вводные'!$B$239="Да",MeanMinAge01+'19_Расчет_аналитики'!BF559*SUMIF(ThresholdAge01,"&lt;"&amp;'19_Расчет_аналитики'!BF559,WeightedRevAge01)-SUMIF(ThresholdAge01,"&lt;"&amp;'19_Расчет_аналитики'!BF559,WeightedMinAge01),MAX(CapacityAge01*'01_Вводные'!$B$218*'19_Расчет_аналитики'!BF559,MeanMinAge01)))</f>
        <v/>
      </c>
      <c r="BG464">
        <f>IF(OR('19_Расчет_аналитики'!BG436=0,1&lt;='01_Вводные'!$B$297),0,'19_Расчет_аналитики'!BG436*IF('01_Вводные'!$B$239="Да",MeanMinAge01+'19_Расчет_аналитики'!BG559*SUMIF(ThresholdAge01,"&lt;"&amp;'19_Расчет_аналитики'!BG559,WeightedRevAge01)-SUMIF(ThresholdAge01,"&lt;"&amp;'19_Расчет_аналитики'!BG559,WeightedMinAge01),MAX(CapacityAge01*'01_Вводные'!$B$218*'19_Расчет_аналитики'!BG559,MeanMinAge01)))</f>
        <v/>
      </c>
      <c r="BH464">
        <f>IF(OR('19_Расчет_аналитики'!BH436=0,1&lt;='01_Вводные'!$B$297),0,'19_Расчет_аналитики'!BH436*IF('01_Вводные'!$B$239="Да",MeanMinAge01+'19_Расчет_аналитики'!BH559*SUMIF(ThresholdAge01,"&lt;"&amp;'19_Расчет_аналитики'!BH559,WeightedRevAge01)-SUMIF(ThresholdAge01,"&lt;"&amp;'19_Расчет_аналитики'!BH559,WeightedMinAge01),MAX(CapacityAge01*'01_Вводные'!$B$218*'19_Расчет_аналитики'!BH559,MeanMinAge01)))</f>
        <v/>
      </c>
      <c r="BI464">
        <f>IF(OR('19_Расчет_аналитики'!BI436=0,1&lt;='01_Вводные'!$B$297),0,'19_Расчет_аналитики'!BI436*IF('01_Вводные'!$B$239="Да",MeanMinAge01+'19_Расчет_аналитики'!BI559*SUMIF(ThresholdAge01,"&lt;"&amp;'19_Расчет_аналитики'!BI559,WeightedRevAge01)-SUMIF(ThresholdAge01,"&lt;"&amp;'19_Расчет_аналитики'!BI559,WeightedMinAge01),MAX(CapacityAge01*'01_Вводные'!$B$218*'19_Расчет_аналитики'!BI559,MeanMinAge01)))</f>
        <v/>
      </c>
      <c r="BJ464">
        <f>IF(OR('19_Расчет_аналитики'!BJ436=0,1&lt;='01_Вводные'!$B$297),0,'19_Расчет_аналитики'!BJ436*IF('01_Вводные'!$B$239="Да",MeanMinAge01+'19_Расчет_аналитики'!BJ559*SUMIF(ThresholdAge01,"&lt;"&amp;'19_Расчет_аналитики'!BJ559,WeightedRevAge01)-SUMIF(ThresholdAge01,"&lt;"&amp;'19_Расчет_аналитики'!BJ559,WeightedMinAge01),MAX(CapacityAge01*'01_Вводные'!$B$218*'19_Расчет_аналитики'!BJ559,MeanMinAge01)))</f>
        <v/>
      </c>
      <c r="BK464">
        <f>IF(OR('19_Расчет_аналитики'!BK436=0,1&lt;='01_Вводные'!$B$297),0,'19_Расчет_аналитики'!BK436*IF('01_Вводные'!$B$239="Да",MeanMinAge01+'19_Расчет_аналитики'!BK559*SUMIF(ThresholdAge01,"&lt;"&amp;'19_Расчет_аналитики'!BK559,WeightedRevAge01)-SUMIF(ThresholdAge01,"&lt;"&amp;'19_Расчет_аналитики'!BK559,WeightedMinAge01),MAX(CapacityAge01*'01_Вводные'!$B$218*'19_Расчет_аналитики'!BK559,MeanMinAge01)))</f>
        <v/>
      </c>
      <c r="BL464">
        <f>IF(OR('19_Расчет_аналитики'!BL436=0,1&lt;='01_Вводные'!$B$297),0,'19_Расчет_аналитики'!BL436*IF('01_Вводные'!$B$239="Да",MeanMinAge01+'19_Расчет_аналитики'!BL559*SUMIF(ThresholdAge01,"&lt;"&amp;'19_Расчет_аналитики'!BL559,WeightedRevAge01)-SUMIF(ThresholdAge01,"&lt;"&amp;'19_Расчет_аналитики'!BL559,WeightedMinAge01),MAX(CapacityAge01*'01_Вводные'!$B$218*'19_Расчет_аналитики'!BL559,MeanMinAge01)))</f>
        <v/>
      </c>
      <c r="BM464">
        <f>IF(OR('19_Расчет_аналитики'!BM436=0,1&lt;='01_Вводные'!$B$297),0,'19_Расчет_аналитики'!BM436*IF('01_Вводные'!$B$239="Да",MeanMinAge01+'19_Расчет_аналитики'!BM559*SUMIF(ThresholdAge01,"&lt;"&amp;'19_Расчет_аналитики'!BM559,WeightedRevAge01)-SUMIF(ThresholdAge01,"&lt;"&amp;'19_Расчет_аналитики'!BM559,WeightedMinAge01),MAX(CapacityAge01*'01_Вводные'!$B$218*'19_Расчет_аналитики'!BM559,MeanMinAge01)))</f>
        <v/>
      </c>
      <c r="BN464">
        <f>IF(OR('19_Расчет_аналитики'!BN436=0,1&lt;='01_Вводные'!$B$297),0,'19_Расчет_аналитики'!BN436*IF('01_Вводные'!$B$239="Да",MeanMinAge01+'19_Расчет_аналитики'!BN559*SUMIF(ThresholdAge01,"&lt;"&amp;'19_Расчет_аналитики'!BN559,WeightedRevAge01)-SUMIF(ThresholdAge01,"&lt;"&amp;'19_Расчет_аналитики'!BN559,WeightedMinAge01),MAX(CapacityAge01*'01_Вводные'!$B$218*'19_Расчет_аналитики'!BN559,MeanMinAge01)))</f>
        <v/>
      </c>
      <c r="BO464">
        <f>IF(OR('19_Расчет_аналитики'!BO436=0,1&lt;='01_Вводные'!$B$297),0,'19_Расчет_аналитики'!BO436*IF('01_Вводные'!$B$239="Да",MeanMinAge01+'19_Расчет_аналитики'!BO559*SUMIF(ThresholdAge01,"&lt;"&amp;'19_Расчет_аналитики'!BO559,WeightedRevAge01)-SUMIF(ThresholdAge01,"&lt;"&amp;'19_Расчет_аналитики'!BO559,WeightedMinAge01),MAX(CapacityAge01*'01_Вводные'!$B$218*'19_Расчет_аналитики'!BO559,MeanMinAge01)))</f>
        <v/>
      </c>
    </row>
    <row r="465">
      <c r="B465">
        <f>IF(OR('06_Сеть_и_дети'!B82=0,2&lt;='01_Вводные'!$B$297),0,'06_Сеть_и_дети'!B82*IF('01_Вводные'!$B$239="Да",MeanMinAge02+'19_Расчет_аналитики'!B559*SUMIF(ThresholdAge02,"&lt;"&amp;'19_Расчет_аналитики'!B559,WeightedRevAge02)-SUMIF(ThresholdAge02,"&lt;"&amp;'19_Расчет_аналитики'!B559,WeightedMinAge02),MAX(CapacityAge02*'01_Вводные'!$B$218*'19_Расчет_аналитики'!B559,MeanMinAge02)))</f>
        <v/>
      </c>
      <c r="C465">
        <f>IF(OR('19_Расчет_аналитики'!C437=0,2&lt;='01_Вводные'!$B$297),0,'19_Расчет_аналитики'!C437*IF('01_Вводные'!$B$239="Да",MeanMinAge02+'19_Расчет_аналитики'!C559*SUMIF(ThresholdAge02,"&lt;"&amp;'19_Расчет_аналитики'!C559,WeightedRevAge02)-SUMIF(ThresholdAge02,"&lt;"&amp;'19_Расчет_аналитики'!C559,WeightedMinAge02),MAX(CapacityAge02*'01_Вводные'!$B$218*'19_Расчет_аналитики'!C559,MeanMinAge02)))</f>
        <v/>
      </c>
      <c r="D465">
        <f>IF(OR('19_Расчет_аналитики'!D437=0,2&lt;='01_Вводные'!$B$297),0,'19_Расчет_аналитики'!D437*IF('01_Вводные'!$B$239="Да",MeanMinAge02+'19_Расчет_аналитики'!D559*SUMIF(ThresholdAge02,"&lt;"&amp;'19_Расчет_аналитики'!D559,WeightedRevAge02)-SUMIF(ThresholdAge02,"&lt;"&amp;'19_Расчет_аналитики'!D559,WeightedMinAge02),MAX(CapacityAge02*'01_Вводные'!$B$218*'19_Расчет_аналитики'!D559,MeanMinAge02)))</f>
        <v/>
      </c>
      <c r="E465">
        <f>IF(OR('19_Расчет_аналитики'!E437=0,2&lt;='01_Вводные'!$B$297),0,'19_Расчет_аналитики'!E437*IF('01_Вводные'!$B$239="Да",MeanMinAge02+'19_Расчет_аналитики'!E559*SUMIF(ThresholdAge02,"&lt;"&amp;'19_Расчет_аналитики'!E559,WeightedRevAge02)-SUMIF(ThresholdAge02,"&lt;"&amp;'19_Расчет_аналитики'!E559,WeightedMinAge02),MAX(CapacityAge02*'01_Вводные'!$B$218*'19_Расчет_аналитики'!E559,MeanMinAge02)))</f>
        <v/>
      </c>
      <c r="F465">
        <f>IF(OR('19_Расчет_аналитики'!F437=0,2&lt;='01_Вводные'!$B$297),0,'19_Расчет_аналитики'!F437*IF('01_Вводные'!$B$239="Да",MeanMinAge02+'19_Расчет_аналитики'!F559*SUMIF(ThresholdAge02,"&lt;"&amp;'19_Расчет_аналитики'!F559,WeightedRevAge02)-SUMIF(ThresholdAge02,"&lt;"&amp;'19_Расчет_аналитики'!F559,WeightedMinAge02),MAX(CapacityAge02*'01_Вводные'!$B$218*'19_Расчет_аналитики'!F559,MeanMinAge02)))</f>
        <v/>
      </c>
      <c r="G465">
        <f>IF(OR('19_Расчет_аналитики'!G437=0,2&lt;='01_Вводные'!$B$297),0,'19_Расчет_аналитики'!G437*IF('01_Вводные'!$B$239="Да",MeanMinAge02+'19_Расчет_аналитики'!G559*SUMIF(ThresholdAge02,"&lt;"&amp;'19_Расчет_аналитики'!G559,WeightedRevAge02)-SUMIF(ThresholdAge02,"&lt;"&amp;'19_Расчет_аналитики'!G559,WeightedMinAge02),MAX(CapacityAge02*'01_Вводные'!$B$218*'19_Расчет_аналитики'!G559,MeanMinAge02)))</f>
        <v/>
      </c>
      <c r="H465">
        <f>IF(OR('19_Расчет_аналитики'!H437=0,2&lt;='01_Вводные'!$B$297),0,'19_Расчет_аналитики'!H437*IF('01_Вводные'!$B$239="Да",MeanMinAge02+'19_Расчет_аналитики'!H559*SUMIF(ThresholdAge02,"&lt;"&amp;'19_Расчет_аналитики'!H559,WeightedRevAge02)-SUMIF(ThresholdAge02,"&lt;"&amp;'19_Расчет_аналитики'!H559,WeightedMinAge02),MAX(CapacityAge02*'01_Вводные'!$B$218*'19_Расчет_аналитики'!H559,MeanMinAge02)))</f>
        <v/>
      </c>
      <c r="I465">
        <f>IF(OR('19_Расчет_аналитики'!I437=0,2&lt;='01_Вводные'!$B$297),0,'19_Расчет_аналитики'!I437*IF('01_Вводные'!$B$239="Да",MeanMinAge02+'19_Расчет_аналитики'!I559*SUMIF(ThresholdAge02,"&lt;"&amp;'19_Расчет_аналитики'!I559,WeightedRevAge02)-SUMIF(ThresholdAge02,"&lt;"&amp;'19_Расчет_аналитики'!I559,WeightedMinAge02),MAX(CapacityAge02*'01_Вводные'!$B$218*'19_Расчет_аналитики'!I559,MeanMinAge02)))</f>
        <v/>
      </c>
      <c r="J465">
        <f>IF(OR('19_Расчет_аналитики'!J437=0,2&lt;='01_Вводные'!$B$297),0,'19_Расчет_аналитики'!J437*IF('01_Вводные'!$B$239="Да",MeanMinAge02+'19_Расчет_аналитики'!J559*SUMIF(ThresholdAge02,"&lt;"&amp;'19_Расчет_аналитики'!J559,WeightedRevAge02)-SUMIF(ThresholdAge02,"&lt;"&amp;'19_Расчет_аналитики'!J559,WeightedMinAge02),MAX(CapacityAge02*'01_Вводные'!$B$218*'19_Расчет_аналитики'!J559,MeanMinAge02)))</f>
        <v/>
      </c>
      <c r="K465">
        <f>IF(OR('19_Расчет_аналитики'!K437=0,2&lt;='01_Вводные'!$B$297),0,'19_Расчет_аналитики'!K437*IF('01_Вводные'!$B$239="Да",MeanMinAge02+'19_Расчет_аналитики'!K559*SUMIF(ThresholdAge02,"&lt;"&amp;'19_Расчет_аналитики'!K559,WeightedRevAge02)-SUMIF(ThresholdAge02,"&lt;"&amp;'19_Расчет_аналитики'!K559,WeightedMinAge02),MAX(CapacityAge02*'01_Вводные'!$B$218*'19_Расчет_аналитики'!K559,MeanMinAge02)))</f>
        <v/>
      </c>
      <c r="L465">
        <f>IF(OR('19_Расчет_аналитики'!L437=0,2&lt;='01_Вводные'!$B$297),0,'19_Расчет_аналитики'!L437*IF('01_Вводные'!$B$239="Да",MeanMinAge02+'19_Расчет_аналитики'!L559*SUMIF(ThresholdAge02,"&lt;"&amp;'19_Расчет_аналитики'!L559,WeightedRevAge02)-SUMIF(ThresholdAge02,"&lt;"&amp;'19_Расчет_аналитики'!L559,WeightedMinAge02),MAX(CapacityAge02*'01_Вводные'!$B$218*'19_Расчет_аналитики'!L559,MeanMinAge02)))</f>
        <v/>
      </c>
      <c r="M465">
        <f>IF(OR('19_Расчет_аналитики'!M437=0,2&lt;='01_Вводные'!$B$297),0,'19_Расчет_аналитики'!M437*IF('01_Вводные'!$B$239="Да",MeanMinAge02+'19_Расчет_аналитики'!M559*SUMIF(ThresholdAge02,"&lt;"&amp;'19_Расчет_аналитики'!M559,WeightedRevAge02)-SUMIF(ThresholdAge02,"&lt;"&amp;'19_Расчет_аналитики'!M559,WeightedMinAge02),MAX(CapacityAge02*'01_Вводные'!$B$218*'19_Расчет_аналитики'!M559,MeanMinAge02)))</f>
        <v/>
      </c>
      <c r="N465">
        <f>IF(OR('19_Расчет_аналитики'!N437=0,2&lt;='01_Вводные'!$B$297),0,'19_Расчет_аналитики'!N437*IF('01_Вводные'!$B$239="Да",MeanMinAge02+'19_Расчет_аналитики'!N559*SUMIF(ThresholdAge02,"&lt;"&amp;'19_Расчет_аналитики'!N559,WeightedRevAge02)-SUMIF(ThresholdAge02,"&lt;"&amp;'19_Расчет_аналитики'!N559,WeightedMinAge02),MAX(CapacityAge02*'01_Вводные'!$B$218*'19_Расчет_аналитики'!N559,MeanMinAge02)))</f>
        <v/>
      </c>
      <c r="O465">
        <f>IF(OR('19_Расчет_аналитики'!O437=0,2&lt;='01_Вводные'!$B$297),0,'19_Расчет_аналитики'!O437*IF('01_Вводные'!$B$239="Да",MeanMinAge02+'19_Расчет_аналитики'!O559*SUMIF(ThresholdAge02,"&lt;"&amp;'19_Расчет_аналитики'!O559,WeightedRevAge02)-SUMIF(ThresholdAge02,"&lt;"&amp;'19_Расчет_аналитики'!O559,WeightedMinAge02),MAX(CapacityAge02*'01_Вводные'!$B$218*'19_Расчет_аналитики'!O559,MeanMinAge02)))</f>
        <v/>
      </c>
      <c r="P465">
        <f>IF(OR('19_Расчет_аналитики'!P437=0,2&lt;='01_Вводные'!$B$297),0,'19_Расчет_аналитики'!P437*IF('01_Вводные'!$B$239="Да",MeanMinAge02+'19_Расчет_аналитики'!P559*SUMIF(ThresholdAge02,"&lt;"&amp;'19_Расчет_аналитики'!P559,WeightedRevAge02)-SUMIF(ThresholdAge02,"&lt;"&amp;'19_Расчет_аналитики'!P559,WeightedMinAge02),MAX(CapacityAge02*'01_Вводные'!$B$218*'19_Расчет_аналитики'!P559,MeanMinAge02)))</f>
        <v/>
      </c>
      <c r="Q465">
        <f>IF(OR('19_Расчет_аналитики'!Q437=0,2&lt;='01_Вводные'!$B$297),0,'19_Расчет_аналитики'!Q437*IF('01_Вводные'!$B$239="Да",MeanMinAge02+'19_Расчет_аналитики'!Q559*SUMIF(ThresholdAge02,"&lt;"&amp;'19_Расчет_аналитики'!Q559,WeightedRevAge02)-SUMIF(ThresholdAge02,"&lt;"&amp;'19_Расчет_аналитики'!Q559,WeightedMinAge02),MAX(CapacityAge02*'01_Вводные'!$B$218*'19_Расчет_аналитики'!Q559,MeanMinAge02)))</f>
        <v/>
      </c>
      <c r="R465">
        <f>IF(OR('19_Расчет_аналитики'!R437=0,2&lt;='01_Вводные'!$B$297),0,'19_Расчет_аналитики'!R437*IF('01_Вводные'!$B$239="Да",MeanMinAge02+'19_Расчет_аналитики'!R559*SUMIF(ThresholdAge02,"&lt;"&amp;'19_Расчет_аналитики'!R559,WeightedRevAge02)-SUMIF(ThresholdAge02,"&lt;"&amp;'19_Расчет_аналитики'!R559,WeightedMinAge02),MAX(CapacityAge02*'01_Вводные'!$B$218*'19_Расчет_аналитики'!R559,MeanMinAge02)))</f>
        <v/>
      </c>
      <c r="S465">
        <f>IF(OR('19_Расчет_аналитики'!S437=0,2&lt;='01_Вводные'!$B$297),0,'19_Расчет_аналитики'!S437*IF('01_Вводные'!$B$239="Да",MeanMinAge02+'19_Расчет_аналитики'!S559*SUMIF(ThresholdAge02,"&lt;"&amp;'19_Расчет_аналитики'!S559,WeightedRevAge02)-SUMIF(ThresholdAge02,"&lt;"&amp;'19_Расчет_аналитики'!S559,WeightedMinAge02),MAX(CapacityAge02*'01_Вводные'!$B$218*'19_Расчет_аналитики'!S559,MeanMinAge02)))</f>
        <v/>
      </c>
      <c r="T465">
        <f>IF(OR('19_Расчет_аналитики'!T437=0,2&lt;='01_Вводные'!$B$297),0,'19_Расчет_аналитики'!T437*IF('01_Вводные'!$B$239="Да",MeanMinAge02+'19_Расчет_аналитики'!T559*SUMIF(ThresholdAge02,"&lt;"&amp;'19_Расчет_аналитики'!T559,WeightedRevAge02)-SUMIF(ThresholdAge02,"&lt;"&amp;'19_Расчет_аналитики'!T559,WeightedMinAge02),MAX(CapacityAge02*'01_Вводные'!$B$218*'19_Расчет_аналитики'!T559,MeanMinAge02)))</f>
        <v/>
      </c>
      <c r="U465">
        <f>IF(OR('19_Расчет_аналитики'!U437=0,2&lt;='01_Вводные'!$B$297),0,'19_Расчет_аналитики'!U437*IF('01_Вводные'!$B$239="Да",MeanMinAge02+'19_Расчет_аналитики'!U559*SUMIF(ThresholdAge02,"&lt;"&amp;'19_Расчет_аналитики'!U559,WeightedRevAge02)-SUMIF(ThresholdAge02,"&lt;"&amp;'19_Расчет_аналитики'!U559,WeightedMinAge02),MAX(CapacityAge02*'01_Вводные'!$B$218*'19_Расчет_аналитики'!U559,MeanMinAge02)))</f>
        <v/>
      </c>
      <c r="V465">
        <f>IF(OR('19_Расчет_аналитики'!V437=0,2&lt;='01_Вводные'!$B$297),0,'19_Расчет_аналитики'!V437*IF('01_Вводные'!$B$239="Да",MeanMinAge02+'19_Расчет_аналитики'!V559*SUMIF(ThresholdAge02,"&lt;"&amp;'19_Расчет_аналитики'!V559,WeightedRevAge02)-SUMIF(ThresholdAge02,"&lt;"&amp;'19_Расчет_аналитики'!V559,WeightedMinAge02),MAX(CapacityAge02*'01_Вводные'!$B$218*'19_Расчет_аналитики'!V559,MeanMinAge02)))</f>
        <v/>
      </c>
      <c r="W465">
        <f>IF(OR('19_Расчет_аналитики'!W437=0,2&lt;='01_Вводные'!$B$297),0,'19_Расчет_аналитики'!W437*IF('01_Вводные'!$B$239="Да",MeanMinAge02+'19_Расчет_аналитики'!W559*SUMIF(ThresholdAge02,"&lt;"&amp;'19_Расчет_аналитики'!W559,WeightedRevAge02)-SUMIF(ThresholdAge02,"&lt;"&amp;'19_Расчет_аналитики'!W559,WeightedMinAge02),MAX(CapacityAge02*'01_Вводные'!$B$218*'19_Расчет_аналитики'!W559,MeanMinAge02)))</f>
        <v/>
      </c>
      <c r="X465">
        <f>IF(OR('19_Расчет_аналитики'!X437=0,2&lt;='01_Вводные'!$B$297),0,'19_Расчет_аналитики'!X437*IF('01_Вводные'!$B$239="Да",MeanMinAge02+'19_Расчет_аналитики'!X559*SUMIF(ThresholdAge02,"&lt;"&amp;'19_Расчет_аналитики'!X559,WeightedRevAge02)-SUMIF(ThresholdAge02,"&lt;"&amp;'19_Расчет_аналитики'!X559,WeightedMinAge02),MAX(CapacityAge02*'01_Вводные'!$B$218*'19_Расчет_аналитики'!X559,MeanMinAge02)))</f>
        <v/>
      </c>
      <c r="Y465">
        <f>IF(OR('19_Расчет_аналитики'!Y437=0,2&lt;='01_Вводные'!$B$297),0,'19_Расчет_аналитики'!Y437*IF('01_Вводные'!$B$239="Да",MeanMinAge02+'19_Расчет_аналитики'!Y559*SUMIF(ThresholdAge02,"&lt;"&amp;'19_Расчет_аналитики'!Y559,WeightedRevAge02)-SUMIF(ThresholdAge02,"&lt;"&amp;'19_Расчет_аналитики'!Y559,WeightedMinAge02),MAX(CapacityAge02*'01_Вводные'!$B$218*'19_Расчет_аналитики'!Y559,MeanMinAge02)))</f>
        <v/>
      </c>
      <c r="Z465">
        <f>IF(OR('19_Расчет_аналитики'!Z437=0,2&lt;='01_Вводные'!$B$297),0,'19_Расчет_аналитики'!Z437*IF('01_Вводные'!$B$239="Да",MeanMinAge02+'19_Расчет_аналитики'!Z559*SUMIF(ThresholdAge02,"&lt;"&amp;'19_Расчет_аналитики'!Z559,WeightedRevAge02)-SUMIF(ThresholdAge02,"&lt;"&amp;'19_Расчет_аналитики'!Z559,WeightedMinAge02),MAX(CapacityAge02*'01_Вводные'!$B$218*'19_Расчет_аналитики'!Z559,MeanMinAge02)))</f>
        <v/>
      </c>
      <c r="AA465">
        <f>IF(OR('19_Расчет_аналитики'!AA437=0,2&lt;='01_Вводные'!$B$297),0,'19_Расчет_аналитики'!AA437*IF('01_Вводные'!$B$239="Да",MeanMinAge02+'19_Расчет_аналитики'!AA559*SUMIF(ThresholdAge02,"&lt;"&amp;'19_Расчет_аналитики'!AA559,WeightedRevAge02)-SUMIF(ThresholdAge02,"&lt;"&amp;'19_Расчет_аналитики'!AA559,WeightedMinAge02),MAX(CapacityAge02*'01_Вводные'!$B$218*'19_Расчет_аналитики'!AA559,MeanMinAge02)))</f>
        <v/>
      </c>
      <c r="AB465">
        <f>IF(OR('19_Расчет_аналитики'!AB437=0,2&lt;='01_Вводные'!$B$297),0,'19_Расчет_аналитики'!AB437*IF('01_Вводные'!$B$239="Да",MeanMinAge02+'19_Расчет_аналитики'!AB559*SUMIF(ThresholdAge02,"&lt;"&amp;'19_Расчет_аналитики'!AB559,WeightedRevAge02)-SUMIF(ThresholdAge02,"&lt;"&amp;'19_Расчет_аналитики'!AB559,WeightedMinAge02),MAX(CapacityAge02*'01_Вводные'!$B$218*'19_Расчет_аналитики'!AB559,MeanMinAge02)))</f>
        <v/>
      </c>
      <c r="AC465">
        <f>IF(OR('19_Расчет_аналитики'!AC437=0,2&lt;='01_Вводные'!$B$297),0,'19_Расчет_аналитики'!AC437*IF('01_Вводные'!$B$239="Да",MeanMinAge02+'19_Расчет_аналитики'!AC559*SUMIF(ThresholdAge02,"&lt;"&amp;'19_Расчет_аналитики'!AC559,WeightedRevAge02)-SUMIF(ThresholdAge02,"&lt;"&amp;'19_Расчет_аналитики'!AC559,WeightedMinAge02),MAX(CapacityAge02*'01_Вводные'!$B$218*'19_Расчет_аналитики'!AC559,MeanMinAge02)))</f>
        <v/>
      </c>
      <c r="AD465">
        <f>IF(OR('19_Расчет_аналитики'!AD437=0,2&lt;='01_Вводные'!$B$297),0,'19_Расчет_аналитики'!AD437*IF('01_Вводные'!$B$239="Да",MeanMinAge02+'19_Расчет_аналитики'!AD559*SUMIF(ThresholdAge02,"&lt;"&amp;'19_Расчет_аналитики'!AD559,WeightedRevAge02)-SUMIF(ThresholdAge02,"&lt;"&amp;'19_Расчет_аналитики'!AD559,WeightedMinAge02),MAX(CapacityAge02*'01_Вводные'!$B$218*'19_Расчет_аналитики'!AD559,MeanMinAge02)))</f>
        <v/>
      </c>
      <c r="AE465">
        <f>IF(OR('19_Расчет_аналитики'!AE437=0,2&lt;='01_Вводные'!$B$297),0,'19_Расчет_аналитики'!AE437*IF('01_Вводные'!$B$239="Да",MeanMinAge02+'19_Расчет_аналитики'!AE559*SUMIF(ThresholdAge02,"&lt;"&amp;'19_Расчет_аналитики'!AE559,WeightedRevAge02)-SUMIF(ThresholdAge02,"&lt;"&amp;'19_Расчет_аналитики'!AE559,WeightedMinAge02),MAX(CapacityAge02*'01_Вводные'!$B$218*'19_Расчет_аналитики'!AE559,MeanMinAge02)))</f>
        <v/>
      </c>
      <c r="AF465">
        <f>IF(OR('19_Расчет_аналитики'!AF437=0,2&lt;='01_Вводные'!$B$297),0,'19_Расчет_аналитики'!AF437*IF('01_Вводные'!$B$239="Да",MeanMinAge02+'19_Расчет_аналитики'!AF559*SUMIF(ThresholdAge02,"&lt;"&amp;'19_Расчет_аналитики'!AF559,WeightedRevAge02)-SUMIF(ThresholdAge02,"&lt;"&amp;'19_Расчет_аналитики'!AF559,WeightedMinAge02),MAX(CapacityAge02*'01_Вводные'!$B$218*'19_Расчет_аналитики'!AF559,MeanMinAge02)))</f>
        <v/>
      </c>
      <c r="AG465">
        <f>IF(OR('19_Расчет_аналитики'!AG437=0,2&lt;='01_Вводные'!$B$297),0,'19_Расчет_аналитики'!AG437*IF('01_Вводные'!$B$239="Да",MeanMinAge02+'19_Расчет_аналитики'!AG559*SUMIF(ThresholdAge02,"&lt;"&amp;'19_Расчет_аналитики'!AG559,WeightedRevAge02)-SUMIF(ThresholdAge02,"&lt;"&amp;'19_Расчет_аналитики'!AG559,WeightedMinAge02),MAX(CapacityAge02*'01_Вводные'!$B$218*'19_Расчет_аналитики'!AG559,MeanMinAge02)))</f>
        <v/>
      </c>
      <c r="AH465">
        <f>IF(OR('19_Расчет_аналитики'!AH437=0,2&lt;='01_Вводные'!$B$297),0,'19_Расчет_аналитики'!AH437*IF('01_Вводные'!$B$239="Да",MeanMinAge02+'19_Расчет_аналитики'!AH559*SUMIF(ThresholdAge02,"&lt;"&amp;'19_Расчет_аналитики'!AH559,WeightedRevAge02)-SUMIF(ThresholdAge02,"&lt;"&amp;'19_Расчет_аналитики'!AH559,WeightedMinAge02),MAX(CapacityAge02*'01_Вводные'!$B$218*'19_Расчет_аналитики'!AH559,MeanMinAge02)))</f>
        <v/>
      </c>
      <c r="AI465">
        <f>IF(OR('19_Расчет_аналитики'!AI437=0,2&lt;='01_Вводные'!$B$297),0,'19_Расчет_аналитики'!AI437*IF('01_Вводные'!$B$239="Да",MeanMinAge02+'19_Расчет_аналитики'!AI559*SUMIF(ThresholdAge02,"&lt;"&amp;'19_Расчет_аналитики'!AI559,WeightedRevAge02)-SUMIF(ThresholdAge02,"&lt;"&amp;'19_Расчет_аналитики'!AI559,WeightedMinAge02),MAX(CapacityAge02*'01_Вводные'!$B$218*'19_Расчет_аналитики'!AI559,MeanMinAge02)))</f>
        <v/>
      </c>
      <c r="AJ465">
        <f>IF(OR('19_Расчет_аналитики'!AJ437=0,2&lt;='01_Вводные'!$B$297),0,'19_Расчет_аналитики'!AJ437*IF('01_Вводные'!$B$239="Да",MeanMinAge02+'19_Расчет_аналитики'!AJ559*SUMIF(ThresholdAge02,"&lt;"&amp;'19_Расчет_аналитики'!AJ559,WeightedRevAge02)-SUMIF(ThresholdAge02,"&lt;"&amp;'19_Расчет_аналитики'!AJ559,WeightedMinAge02),MAX(CapacityAge02*'01_Вводные'!$B$218*'19_Расчет_аналитики'!AJ559,MeanMinAge02)))</f>
        <v/>
      </c>
      <c r="AK465">
        <f>IF(OR('19_Расчет_аналитики'!AK437=0,2&lt;='01_Вводные'!$B$297),0,'19_Расчет_аналитики'!AK437*IF('01_Вводные'!$B$239="Да",MeanMinAge02+'19_Расчет_аналитики'!AK559*SUMIF(ThresholdAge02,"&lt;"&amp;'19_Расчет_аналитики'!AK559,WeightedRevAge02)-SUMIF(ThresholdAge02,"&lt;"&amp;'19_Расчет_аналитики'!AK559,WeightedMinAge02),MAX(CapacityAge02*'01_Вводные'!$B$218*'19_Расчет_аналитики'!AK559,MeanMinAge02)))</f>
        <v/>
      </c>
      <c r="AL465">
        <f>IF(OR('19_Расчет_аналитики'!AL437=0,2&lt;='01_Вводные'!$B$297),0,'19_Расчет_аналитики'!AL437*IF('01_Вводные'!$B$239="Да",MeanMinAge02+'19_Расчет_аналитики'!AL559*SUMIF(ThresholdAge02,"&lt;"&amp;'19_Расчет_аналитики'!AL559,WeightedRevAge02)-SUMIF(ThresholdAge02,"&lt;"&amp;'19_Расчет_аналитики'!AL559,WeightedMinAge02),MAX(CapacityAge02*'01_Вводные'!$B$218*'19_Расчет_аналитики'!AL559,MeanMinAge02)))</f>
        <v/>
      </c>
      <c r="AM465">
        <f>IF(OR('19_Расчет_аналитики'!AM437=0,2&lt;='01_Вводные'!$B$297),0,'19_Расчет_аналитики'!AM437*IF('01_Вводные'!$B$239="Да",MeanMinAge02+'19_Расчет_аналитики'!AM559*SUMIF(ThresholdAge02,"&lt;"&amp;'19_Расчет_аналитики'!AM559,WeightedRevAge02)-SUMIF(ThresholdAge02,"&lt;"&amp;'19_Расчет_аналитики'!AM559,WeightedMinAge02),MAX(CapacityAge02*'01_Вводные'!$B$218*'19_Расчет_аналитики'!AM559,MeanMinAge02)))</f>
        <v/>
      </c>
      <c r="AN465">
        <f>IF(OR('19_Расчет_аналитики'!AN437=0,2&lt;='01_Вводные'!$B$297),0,'19_Расчет_аналитики'!AN437*IF('01_Вводные'!$B$239="Да",MeanMinAge02+'19_Расчет_аналитики'!AN559*SUMIF(ThresholdAge02,"&lt;"&amp;'19_Расчет_аналитики'!AN559,WeightedRevAge02)-SUMIF(ThresholdAge02,"&lt;"&amp;'19_Расчет_аналитики'!AN559,WeightedMinAge02),MAX(CapacityAge02*'01_Вводные'!$B$218*'19_Расчет_аналитики'!AN559,MeanMinAge02)))</f>
        <v/>
      </c>
      <c r="AO465">
        <f>IF(OR('19_Расчет_аналитики'!AO437=0,2&lt;='01_Вводные'!$B$297),0,'19_Расчет_аналитики'!AO437*IF('01_Вводные'!$B$239="Да",MeanMinAge02+'19_Расчет_аналитики'!AO559*SUMIF(ThresholdAge02,"&lt;"&amp;'19_Расчет_аналитики'!AO559,WeightedRevAge02)-SUMIF(ThresholdAge02,"&lt;"&amp;'19_Расчет_аналитики'!AO559,WeightedMinAge02),MAX(CapacityAge02*'01_Вводные'!$B$218*'19_Расчет_аналитики'!AO559,MeanMinAge02)))</f>
        <v/>
      </c>
      <c r="AP465">
        <f>IF(OR('19_Расчет_аналитики'!AP437=0,2&lt;='01_Вводные'!$B$297),0,'19_Расчет_аналитики'!AP437*IF('01_Вводные'!$B$239="Да",MeanMinAge02+'19_Расчет_аналитики'!AP559*SUMIF(ThresholdAge02,"&lt;"&amp;'19_Расчет_аналитики'!AP559,WeightedRevAge02)-SUMIF(ThresholdAge02,"&lt;"&amp;'19_Расчет_аналитики'!AP559,WeightedMinAge02),MAX(CapacityAge02*'01_Вводные'!$B$218*'19_Расчет_аналитики'!AP559,MeanMinAge02)))</f>
        <v/>
      </c>
      <c r="AQ465">
        <f>IF(OR('19_Расчет_аналитики'!AQ437=0,2&lt;='01_Вводные'!$B$297),0,'19_Расчет_аналитики'!AQ437*IF('01_Вводные'!$B$239="Да",MeanMinAge02+'19_Расчет_аналитики'!AQ559*SUMIF(ThresholdAge02,"&lt;"&amp;'19_Расчет_аналитики'!AQ559,WeightedRevAge02)-SUMIF(ThresholdAge02,"&lt;"&amp;'19_Расчет_аналитики'!AQ559,WeightedMinAge02),MAX(CapacityAge02*'01_Вводные'!$B$218*'19_Расчет_аналитики'!AQ559,MeanMinAge02)))</f>
        <v/>
      </c>
      <c r="AR465">
        <f>IF(OR('19_Расчет_аналитики'!AR437=0,2&lt;='01_Вводные'!$B$297),0,'19_Расчет_аналитики'!AR437*IF('01_Вводные'!$B$239="Да",MeanMinAge02+'19_Расчет_аналитики'!AR559*SUMIF(ThresholdAge02,"&lt;"&amp;'19_Расчет_аналитики'!AR559,WeightedRevAge02)-SUMIF(ThresholdAge02,"&lt;"&amp;'19_Расчет_аналитики'!AR559,WeightedMinAge02),MAX(CapacityAge02*'01_Вводные'!$B$218*'19_Расчет_аналитики'!AR559,MeanMinAge02)))</f>
        <v/>
      </c>
      <c r="AS465">
        <f>IF(OR('19_Расчет_аналитики'!AS437=0,2&lt;='01_Вводные'!$B$297),0,'19_Расчет_аналитики'!AS437*IF('01_Вводные'!$B$239="Да",MeanMinAge02+'19_Расчет_аналитики'!AS559*SUMIF(ThresholdAge02,"&lt;"&amp;'19_Расчет_аналитики'!AS559,WeightedRevAge02)-SUMIF(ThresholdAge02,"&lt;"&amp;'19_Расчет_аналитики'!AS559,WeightedMinAge02),MAX(CapacityAge02*'01_Вводные'!$B$218*'19_Расчет_аналитики'!AS559,MeanMinAge02)))</f>
        <v/>
      </c>
      <c r="AT465">
        <f>IF(OR('19_Расчет_аналитики'!AT437=0,2&lt;='01_Вводные'!$B$297),0,'19_Расчет_аналитики'!AT437*IF('01_Вводные'!$B$239="Да",MeanMinAge02+'19_Расчет_аналитики'!AT559*SUMIF(ThresholdAge02,"&lt;"&amp;'19_Расчет_аналитики'!AT559,WeightedRevAge02)-SUMIF(ThresholdAge02,"&lt;"&amp;'19_Расчет_аналитики'!AT559,WeightedMinAge02),MAX(CapacityAge02*'01_Вводные'!$B$218*'19_Расчет_аналитики'!AT559,MeanMinAge02)))</f>
        <v/>
      </c>
      <c r="AU465">
        <f>IF(OR('19_Расчет_аналитики'!AU437=0,2&lt;='01_Вводные'!$B$297),0,'19_Расчет_аналитики'!AU437*IF('01_Вводные'!$B$239="Да",MeanMinAge02+'19_Расчет_аналитики'!AU559*SUMIF(ThresholdAge02,"&lt;"&amp;'19_Расчет_аналитики'!AU559,WeightedRevAge02)-SUMIF(ThresholdAge02,"&lt;"&amp;'19_Расчет_аналитики'!AU559,WeightedMinAge02),MAX(CapacityAge02*'01_Вводные'!$B$218*'19_Расчет_аналитики'!AU559,MeanMinAge02)))</f>
        <v/>
      </c>
      <c r="AV465">
        <f>IF(OR('19_Расчет_аналитики'!AV437=0,2&lt;='01_Вводные'!$B$297),0,'19_Расчет_аналитики'!AV437*IF('01_Вводные'!$B$239="Да",MeanMinAge02+'19_Расчет_аналитики'!AV559*SUMIF(ThresholdAge02,"&lt;"&amp;'19_Расчет_аналитики'!AV559,WeightedRevAge02)-SUMIF(ThresholdAge02,"&lt;"&amp;'19_Расчет_аналитики'!AV559,WeightedMinAge02),MAX(CapacityAge02*'01_Вводные'!$B$218*'19_Расчет_аналитики'!AV559,MeanMinAge02)))</f>
        <v/>
      </c>
      <c r="AW465">
        <f>IF(OR('19_Расчет_аналитики'!AW437=0,2&lt;='01_Вводные'!$B$297),0,'19_Расчет_аналитики'!AW437*IF('01_Вводные'!$B$239="Да",MeanMinAge02+'19_Расчет_аналитики'!AW559*SUMIF(ThresholdAge02,"&lt;"&amp;'19_Расчет_аналитики'!AW559,WeightedRevAge02)-SUMIF(ThresholdAge02,"&lt;"&amp;'19_Расчет_аналитики'!AW559,WeightedMinAge02),MAX(CapacityAge02*'01_Вводные'!$B$218*'19_Расчет_аналитики'!AW559,MeanMinAge02)))</f>
        <v/>
      </c>
      <c r="AX465">
        <f>IF(OR('19_Расчет_аналитики'!AX437=0,2&lt;='01_Вводные'!$B$297),0,'19_Расчет_аналитики'!AX437*IF('01_Вводные'!$B$239="Да",MeanMinAge02+'19_Расчет_аналитики'!AX559*SUMIF(ThresholdAge02,"&lt;"&amp;'19_Расчет_аналитики'!AX559,WeightedRevAge02)-SUMIF(ThresholdAge02,"&lt;"&amp;'19_Расчет_аналитики'!AX559,WeightedMinAge02),MAX(CapacityAge02*'01_Вводные'!$B$218*'19_Расчет_аналитики'!AX559,MeanMinAge02)))</f>
        <v/>
      </c>
      <c r="AY465">
        <f>IF(OR('19_Расчет_аналитики'!AY437=0,2&lt;='01_Вводные'!$B$297),0,'19_Расчет_аналитики'!AY437*IF('01_Вводные'!$B$239="Да",MeanMinAge02+'19_Расчет_аналитики'!AY559*SUMIF(ThresholdAge02,"&lt;"&amp;'19_Расчет_аналитики'!AY559,WeightedRevAge02)-SUMIF(ThresholdAge02,"&lt;"&amp;'19_Расчет_аналитики'!AY559,WeightedMinAge02),MAX(CapacityAge02*'01_Вводные'!$B$218*'19_Расчет_аналитики'!AY559,MeanMinAge02)))</f>
        <v/>
      </c>
      <c r="AZ465">
        <f>IF(OR('19_Расчет_аналитики'!AZ437=0,2&lt;='01_Вводные'!$B$297),0,'19_Расчет_аналитики'!AZ437*IF('01_Вводные'!$B$239="Да",MeanMinAge02+'19_Расчет_аналитики'!AZ559*SUMIF(ThresholdAge02,"&lt;"&amp;'19_Расчет_аналитики'!AZ559,WeightedRevAge02)-SUMIF(ThresholdAge02,"&lt;"&amp;'19_Расчет_аналитики'!AZ559,WeightedMinAge02),MAX(CapacityAge02*'01_Вводные'!$B$218*'19_Расчет_аналитики'!AZ559,MeanMinAge02)))</f>
        <v/>
      </c>
      <c r="BA465">
        <f>IF(OR('19_Расчет_аналитики'!BA437=0,2&lt;='01_Вводные'!$B$297),0,'19_Расчет_аналитики'!BA437*IF('01_Вводные'!$B$239="Да",MeanMinAge02+'19_Расчет_аналитики'!BA559*SUMIF(ThresholdAge02,"&lt;"&amp;'19_Расчет_аналитики'!BA559,WeightedRevAge02)-SUMIF(ThresholdAge02,"&lt;"&amp;'19_Расчет_аналитики'!BA559,WeightedMinAge02),MAX(CapacityAge02*'01_Вводные'!$B$218*'19_Расчет_аналитики'!BA559,MeanMinAge02)))</f>
        <v/>
      </c>
      <c r="BB465">
        <f>IF(OR('19_Расчет_аналитики'!BB437=0,2&lt;='01_Вводные'!$B$297),0,'19_Расчет_аналитики'!BB437*IF('01_Вводные'!$B$239="Да",MeanMinAge02+'19_Расчет_аналитики'!BB559*SUMIF(ThresholdAge02,"&lt;"&amp;'19_Расчет_аналитики'!BB559,WeightedRevAge02)-SUMIF(ThresholdAge02,"&lt;"&amp;'19_Расчет_аналитики'!BB559,WeightedMinAge02),MAX(CapacityAge02*'01_Вводные'!$B$218*'19_Расчет_аналитики'!BB559,MeanMinAge02)))</f>
        <v/>
      </c>
      <c r="BC465">
        <f>IF(OR('19_Расчет_аналитики'!BC437=0,2&lt;='01_Вводные'!$B$297),0,'19_Расчет_аналитики'!BC437*IF('01_Вводные'!$B$239="Да",MeanMinAge02+'19_Расчет_аналитики'!BC559*SUMIF(ThresholdAge02,"&lt;"&amp;'19_Расчет_аналитики'!BC559,WeightedRevAge02)-SUMIF(ThresholdAge02,"&lt;"&amp;'19_Расчет_аналитики'!BC559,WeightedMinAge02),MAX(CapacityAge02*'01_Вводные'!$B$218*'19_Расчет_аналитики'!BC559,MeanMinAge02)))</f>
        <v/>
      </c>
      <c r="BD465">
        <f>IF(OR('19_Расчет_аналитики'!BD437=0,2&lt;='01_Вводные'!$B$297),0,'19_Расчет_аналитики'!BD437*IF('01_Вводные'!$B$239="Да",MeanMinAge02+'19_Расчет_аналитики'!BD559*SUMIF(ThresholdAge02,"&lt;"&amp;'19_Расчет_аналитики'!BD559,WeightedRevAge02)-SUMIF(ThresholdAge02,"&lt;"&amp;'19_Расчет_аналитики'!BD559,WeightedMinAge02),MAX(CapacityAge02*'01_Вводные'!$B$218*'19_Расчет_аналитики'!BD559,MeanMinAge02)))</f>
        <v/>
      </c>
      <c r="BE465">
        <f>IF(OR('19_Расчет_аналитики'!BE437=0,2&lt;='01_Вводные'!$B$297),0,'19_Расчет_аналитики'!BE437*IF('01_Вводные'!$B$239="Да",MeanMinAge02+'19_Расчет_аналитики'!BE559*SUMIF(ThresholdAge02,"&lt;"&amp;'19_Расчет_аналитики'!BE559,WeightedRevAge02)-SUMIF(ThresholdAge02,"&lt;"&amp;'19_Расчет_аналитики'!BE559,WeightedMinAge02),MAX(CapacityAge02*'01_Вводные'!$B$218*'19_Расчет_аналитики'!BE559,MeanMinAge02)))</f>
        <v/>
      </c>
      <c r="BF465">
        <f>IF(OR('19_Расчет_аналитики'!BF437=0,2&lt;='01_Вводные'!$B$297),0,'19_Расчет_аналитики'!BF437*IF('01_Вводные'!$B$239="Да",MeanMinAge02+'19_Расчет_аналитики'!BF559*SUMIF(ThresholdAge02,"&lt;"&amp;'19_Расчет_аналитики'!BF559,WeightedRevAge02)-SUMIF(ThresholdAge02,"&lt;"&amp;'19_Расчет_аналитики'!BF559,WeightedMinAge02),MAX(CapacityAge02*'01_Вводные'!$B$218*'19_Расчет_аналитики'!BF559,MeanMinAge02)))</f>
        <v/>
      </c>
      <c r="BG465">
        <f>IF(OR('19_Расчет_аналитики'!BG437=0,2&lt;='01_Вводные'!$B$297),0,'19_Расчет_аналитики'!BG437*IF('01_Вводные'!$B$239="Да",MeanMinAge02+'19_Расчет_аналитики'!BG559*SUMIF(ThresholdAge02,"&lt;"&amp;'19_Расчет_аналитики'!BG559,WeightedRevAge02)-SUMIF(ThresholdAge02,"&lt;"&amp;'19_Расчет_аналитики'!BG559,WeightedMinAge02),MAX(CapacityAge02*'01_Вводные'!$B$218*'19_Расчет_аналитики'!BG559,MeanMinAge02)))</f>
        <v/>
      </c>
      <c r="BH465">
        <f>IF(OR('19_Расчет_аналитики'!BH437=0,2&lt;='01_Вводные'!$B$297),0,'19_Расчет_аналитики'!BH437*IF('01_Вводные'!$B$239="Да",MeanMinAge02+'19_Расчет_аналитики'!BH559*SUMIF(ThresholdAge02,"&lt;"&amp;'19_Расчет_аналитики'!BH559,WeightedRevAge02)-SUMIF(ThresholdAge02,"&lt;"&amp;'19_Расчет_аналитики'!BH559,WeightedMinAge02),MAX(CapacityAge02*'01_Вводные'!$B$218*'19_Расчет_аналитики'!BH559,MeanMinAge02)))</f>
        <v/>
      </c>
      <c r="BI465">
        <f>IF(OR('19_Расчет_аналитики'!BI437=0,2&lt;='01_Вводные'!$B$297),0,'19_Расчет_аналитики'!BI437*IF('01_Вводные'!$B$239="Да",MeanMinAge02+'19_Расчет_аналитики'!BI559*SUMIF(ThresholdAge02,"&lt;"&amp;'19_Расчет_аналитики'!BI559,WeightedRevAge02)-SUMIF(ThresholdAge02,"&lt;"&amp;'19_Расчет_аналитики'!BI559,WeightedMinAge02),MAX(CapacityAge02*'01_Вводные'!$B$218*'19_Расчет_аналитики'!BI559,MeanMinAge02)))</f>
        <v/>
      </c>
      <c r="BJ465">
        <f>IF(OR('19_Расчет_аналитики'!BJ437=0,2&lt;='01_Вводные'!$B$297),0,'19_Расчет_аналитики'!BJ437*IF('01_Вводные'!$B$239="Да",MeanMinAge02+'19_Расчет_аналитики'!BJ559*SUMIF(ThresholdAge02,"&lt;"&amp;'19_Расчет_аналитики'!BJ559,WeightedRevAge02)-SUMIF(ThresholdAge02,"&lt;"&amp;'19_Расчет_аналитики'!BJ559,WeightedMinAge02),MAX(CapacityAge02*'01_Вводные'!$B$218*'19_Расчет_аналитики'!BJ559,MeanMinAge02)))</f>
        <v/>
      </c>
      <c r="BK465">
        <f>IF(OR('19_Расчет_аналитики'!BK437=0,2&lt;='01_Вводные'!$B$297),0,'19_Расчет_аналитики'!BK437*IF('01_Вводные'!$B$239="Да",MeanMinAge02+'19_Расчет_аналитики'!BK559*SUMIF(ThresholdAge02,"&lt;"&amp;'19_Расчет_аналитики'!BK559,WeightedRevAge02)-SUMIF(ThresholdAge02,"&lt;"&amp;'19_Расчет_аналитики'!BK559,WeightedMinAge02),MAX(CapacityAge02*'01_Вводные'!$B$218*'19_Расчет_аналитики'!BK559,MeanMinAge02)))</f>
        <v/>
      </c>
      <c r="BL465">
        <f>IF(OR('19_Расчет_аналитики'!BL437=0,2&lt;='01_Вводные'!$B$297),0,'19_Расчет_аналитики'!BL437*IF('01_Вводные'!$B$239="Да",MeanMinAge02+'19_Расчет_аналитики'!BL559*SUMIF(ThresholdAge02,"&lt;"&amp;'19_Расчет_аналитики'!BL559,WeightedRevAge02)-SUMIF(ThresholdAge02,"&lt;"&amp;'19_Расчет_аналитики'!BL559,WeightedMinAge02),MAX(CapacityAge02*'01_Вводные'!$B$218*'19_Расчет_аналитики'!BL559,MeanMinAge02)))</f>
        <v/>
      </c>
      <c r="BM465">
        <f>IF(OR('19_Расчет_аналитики'!BM437=0,2&lt;='01_Вводные'!$B$297),0,'19_Расчет_аналитики'!BM437*IF('01_Вводные'!$B$239="Да",MeanMinAge02+'19_Расчет_аналитики'!BM559*SUMIF(ThresholdAge02,"&lt;"&amp;'19_Расчет_аналитики'!BM559,WeightedRevAge02)-SUMIF(ThresholdAge02,"&lt;"&amp;'19_Расчет_аналитики'!BM559,WeightedMinAge02),MAX(CapacityAge02*'01_Вводные'!$B$218*'19_Расчет_аналитики'!BM559,MeanMinAge02)))</f>
        <v/>
      </c>
      <c r="BN465">
        <f>IF(OR('19_Расчет_аналитики'!BN437=0,2&lt;='01_Вводные'!$B$297),0,'19_Расчет_аналитики'!BN437*IF('01_Вводные'!$B$239="Да",MeanMinAge02+'19_Расчет_аналитики'!BN559*SUMIF(ThresholdAge02,"&lt;"&amp;'19_Расчет_аналитики'!BN559,WeightedRevAge02)-SUMIF(ThresholdAge02,"&lt;"&amp;'19_Расчет_аналитики'!BN559,WeightedMinAge02),MAX(CapacityAge02*'01_Вводные'!$B$218*'19_Расчет_аналитики'!BN559,MeanMinAge02)))</f>
        <v/>
      </c>
      <c r="BO465">
        <f>IF(OR('19_Расчет_аналитики'!BO437=0,2&lt;='01_Вводные'!$B$297),0,'19_Расчет_аналитики'!BO437*IF('01_Вводные'!$B$239="Да",MeanMinAge02+'19_Расчет_аналитики'!BO559*SUMIF(ThresholdAge02,"&lt;"&amp;'19_Расчет_аналитики'!BO559,WeightedRevAge02)-SUMIF(ThresholdAge02,"&lt;"&amp;'19_Расчет_аналитики'!BO559,WeightedMinAge02),MAX(CapacityAge02*'01_Вводные'!$B$218*'19_Расчет_аналитики'!BO559,MeanMinAge02)))</f>
        <v/>
      </c>
    </row>
    <row r="466">
      <c r="B466">
        <f>IF(OR('06_Сеть_и_дети'!B83=0,3&lt;='01_Вводные'!$B$297),0,'06_Сеть_и_дети'!B83*IF('01_Вводные'!$B$239="Да",MeanMinAge03+'19_Расчет_аналитики'!B559*SUMIF(ThresholdAge03,"&lt;"&amp;'19_Расчет_аналитики'!B559,WeightedRevAge03)-SUMIF(ThresholdAge03,"&lt;"&amp;'19_Расчет_аналитики'!B559,WeightedMinAge03),MAX(CapacityAge03*'01_Вводные'!$B$218*'19_Расчет_аналитики'!B559,MeanMinAge03)))</f>
        <v/>
      </c>
      <c r="C466">
        <f>IF(OR('06_Сеть_и_дети'!C83=0,3&lt;='01_Вводные'!$B$297),0,'06_Сеть_и_дети'!C83*IF('01_Вводные'!$B$239="Да",MeanMinAge03+'19_Расчет_аналитики'!C559*SUMIF(ThresholdAge03,"&lt;"&amp;'19_Расчет_аналитики'!C559,WeightedRevAge03)-SUMIF(ThresholdAge03,"&lt;"&amp;'19_Расчет_аналитики'!C559,WeightedMinAge03),MAX(CapacityAge03*'01_Вводные'!$B$218*'19_Расчет_аналитики'!C559,MeanMinAge03)))</f>
        <v/>
      </c>
      <c r="D466">
        <f>IF(OR('19_Расчет_аналитики'!D438=0,3&lt;='01_Вводные'!$B$297),0,'19_Расчет_аналитики'!D438*IF('01_Вводные'!$B$239="Да",MeanMinAge03+'19_Расчет_аналитики'!D559*SUMIF(ThresholdAge03,"&lt;"&amp;'19_Расчет_аналитики'!D559,WeightedRevAge03)-SUMIF(ThresholdAge03,"&lt;"&amp;'19_Расчет_аналитики'!D559,WeightedMinAge03),MAX(CapacityAge03*'01_Вводные'!$B$218*'19_Расчет_аналитики'!D559,MeanMinAge03)))</f>
        <v/>
      </c>
      <c r="E466">
        <f>IF(OR('19_Расчет_аналитики'!E438=0,3&lt;='01_Вводные'!$B$297),0,'19_Расчет_аналитики'!E438*IF('01_Вводные'!$B$239="Да",MeanMinAge03+'19_Расчет_аналитики'!E559*SUMIF(ThresholdAge03,"&lt;"&amp;'19_Расчет_аналитики'!E559,WeightedRevAge03)-SUMIF(ThresholdAge03,"&lt;"&amp;'19_Расчет_аналитики'!E559,WeightedMinAge03),MAX(CapacityAge03*'01_Вводные'!$B$218*'19_Расчет_аналитики'!E559,MeanMinAge03)))</f>
        <v/>
      </c>
      <c r="F466">
        <f>IF(OR('19_Расчет_аналитики'!F438=0,3&lt;='01_Вводные'!$B$297),0,'19_Расчет_аналитики'!F438*IF('01_Вводные'!$B$239="Да",MeanMinAge03+'19_Расчет_аналитики'!F559*SUMIF(ThresholdAge03,"&lt;"&amp;'19_Расчет_аналитики'!F559,WeightedRevAge03)-SUMIF(ThresholdAge03,"&lt;"&amp;'19_Расчет_аналитики'!F559,WeightedMinAge03),MAX(CapacityAge03*'01_Вводные'!$B$218*'19_Расчет_аналитики'!F559,MeanMinAge03)))</f>
        <v/>
      </c>
      <c r="G466">
        <f>IF(OR('19_Расчет_аналитики'!G438=0,3&lt;='01_Вводные'!$B$297),0,'19_Расчет_аналитики'!G438*IF('01_Вводные'!$B$239="Да",MeanMinAge03+'19_Расчет_аналитики'!G559*SUMIF(ThresholdAge03,"&lt;"&amp;'19_Расчет_аналитики'!G559,WeightedRevAge03)-SUMIF(ThresholdAge03,"&lt;"&amp;'19_Расчет_аналитики'!G559,WeightedMinAge03),MAX(CapacityAge03*'01_Вводные'!$B$218*'19_Расчет_аналитики'!G559,MeanMinAge03)))</f>
        <v/>
      </c>
      <c r="H466">
        <f>IF(OR('19_Расчет_аналитики'!H438=0,3&lt;='01_Вводные'!$B$297),0,'19_Расчет_аналитики'!H438*IF('01_Вводные'!$B$239="Да",MeanMinAge03+'19_Расчет_аналитики'!H559*SUMIF(ThresholdAge03,"&lt;"&amp;'19_Расчет_аналитики'!H559,WeightedRevAge03)-SUMIF(ThresholdAge03,"&lt;"&amp;'19_Расчет_аналитики'!H559,WeightedMinAge03),MAX(CapacityAge03*'01_Вводные'!$B$218*'19_Расчет_аналитики'!H559,MeanMinAge03)))</f>
        <v/>
      </c>
      <c r="I466">
        <f>IF(OR('19_Расчет_аналитики'!I438=0,3&lt;='01_Вводные'!$B$297),0,'19_Расчет_аналитики'!I438*IF('01_Вводные'!$B$239="Да",MeanMinAge03+'19_Расчет_аналитики'!I559*SUMIF(ThresholdAge03,"&lt;"&amp;'19_Расчет_аналитики'!I559,WeightedRevAge03)-SUMIF(ThresholdAge03,"&lt;"&amp;'19_Расчет_аналитики'!I559,WeightedMinAge03),MAX(CapacityAge03*'01_Вводные'!$B$218*'19_Расчет_аналитики'!I559,MeanMinAge03)))</f>
        <v/>
      </c>
      <c r="J466">
        <f>IF(OR('19_Расчет_аналитики'!J438=0,3&lt;='01_Вводные'!$B$297),0,'19_Расчет_аналитики'!J438*IF('01_Вводные'!$B$239="Да",MeanMinAge03+'19_Расчет_аналитики'!J559*SUMIF(ThresholdAge03,"&lt;"&amp;'19_Расчет_аналитики'!J559,WeightedRevAge03)-SUMIF(ThresholdAge03,"&lt;"&amp;'19_Расчет_аналитики'!J559,WeightedMinAge03),MAX(CapacityAge03*'01_Вводные'!$B$218*'19_Расчет_аналитики'!J559,MeanMinAge03)))</f>
        <v/>
      </c>
      <c r="K466">
        <f>IF(OR('19_Расчет_аналитики'!K438=0,3&lt;='01_Вводные'!$B$297),0,'19_Расчет_аналитики'!K438*IF('01_Вводные'!$B$239="Да",MeanMinAge03+'19_Расчет_аналитики'!K559*SUMIF(ThresholdAge03,"&lt;"&amp;'19_Расчет_аналитики'!K559,WeightedRevAge03)-SUMIF(ThresholdAge03,"&lt;"&amp;'19_Расчет_аналитики'!K559,WeightedMinAge03),MAX(CapacityAge03*'01_Вводные'!$B$218*'19_Расчет_аналитики'!K559,MeanMinAge03)))</f>
        <v/>
      </c>
      <c r="L466">
        <f>IF(OR('19_Расчет_аналитики'!L438=0,3&lt;='01_Вводные'!$B$297),0,'19_Расчет_аналитики'!L438*IF('01_Вводные'!$B$239="Да",MeanMinAge03+'19_Расчет_аналитики'!L559*SUMIF(ThresholdAge03,"&lt;"&amp;'19_Расчет_аналитики'!L559,WeightedRevAge03)-SUMIF(ThresholdAge03,"&lt;"&amp;'19_Расчет_аналитики'!L559,WeightedMinAge03),MAX(CapacityAge03*'01_Вводные'!$B$218*'19_Расчет_аналитики'!L559,MeanMinAge03)))</f>
        <v/>
      </c>
      <c r="M466">
        <f>IF(OR('19_Расчет_аналитики'!M438=0,3&lt;='01_Вводные'!$B$297),0,'19_Расчет_аналитики'!M438*IF('01_Вводные'!$B$239="Да",MeanMinAge03+'19_Расчет_аналитики'!M559*SUMIF(ThresholdAge03,"&lt;"&amp;'19_Расчет_аналитики'!M559,WeightedRevAge03)-SUMIF(ThresholdAge03,"&lt;"&amp;'19_Расчет_аналитики'!M559,WeightedMinAge03),MAX(CapacityAge03*'01_Вводные'!$B$218*'19_Расчет_аналитики'!M559,MeanMinAge03)))</f>
        <v/>
      </c>
      <c r="N466">
        <f>IF(OR('19_Расчет_аналитики'!N438=0,3&lt;='01_Вводные'!$B$297),0,'19_Расчет_аналитики'!N438*IF('01_Вводные'!$B$239="Да",MeanMinAge03+'19_Расчет_аналитики'!N559*SUMIF(ThresholdAge03,"&lt;"&amp;'19_Расчет_аналитики'!N559,WeightedRevAge03)-SUMIF(ThresholdAge03,"&lt;"&amp;'19_Расчет_аналитики'!N559,WeightedMinAge03),MAX(CapacityAge03*'01_Вводные'!$B$218*'19_Расчет_аналитики'!N559,MeanMinAge03)))</f>
        <v/>
      </c>
      <c r="O466">
        <f>IF(OR('19_Расчет_аналитики'!O438=0,3&lt;='01_Вводные'!$B$297),0,'19_Расчет_аналитики'!O438*IF('01_Вводные'!$B$239="Да",MeanMinAge03+'19_Расчет_аналитики'!O559*SUMIF(ThresholdAge03,"&lt;"&amp;'19_Расчет_аналитики'!O559,WeightedRevAge03)-SUMIF(ThresholdAge03,"&lt;"&amp;'19_Расчет_аналитики'!O559,WeightedMinAge03),MAX(CapacityAge03*'01_Вводные'!$B$218*'19_Расчет_аналитики'!O559,MeanMinAge03)))</f>
        <v/>
      </c>
      <c r="P466">
        <f>IF(OR('19_Расчет_аналитики'!P438=0,3&lt;='01_Вводные'!$B$297),0,'19_Расчет_аналитики'!P438*IF('01_Вводные'!$B$239="Да",MeanMinAge03+'19_Расчет_аналитики'!P559*SUMIF(ThresholdAge03,"&lt;"&amp;'19_Расчет_аналитики'!P559,WeightedRevAge03)-SUMIF(ThresholdAge03,"&lt;"&amp;'19_Расчет_аналитики'!P559,WeightedMinAge03),MAX(CapacityAge03*'01_Вводные'!$B$218*'19_Расчет_аналитики'!P559,MeanMinAge03)))</f>
        <v/>
      </c>
      <c r="Q466">
        <f>IF(OR('19_Расчет_аналитики'!Q438=0,3&lt;='01_Вводные'!$B$297),0,'19_Расчет_аналитики'!Q438*IF('01_Вводные'!$B$239="Да",MeanMinAge03+'19_Расчет_аналитики'!Q559*SUMIF(ThresholdAge03,"&lt;"&amp;'19_Расчет_аналитики'!Q559,WeightedRevAge03)-SUMIF(ThresholdAge03,"&lt;"&amp;'19_Расчет_аналитики'!Q559,WeightedMinAge03),MAX(CapacityAge03*'01_Вводные'!$B$218*'19_Расчет_аналитики'!Q559,MeanMinAge03)))</f>
        <v/>
      </c>
      <c r="R466">
        <f>IF(OR('19_Расчет_аналитики'!R438=0,3&lt;='01_Вводные'!$B$297),0,'19_Расчет_аналитики'!R438*IF('01_Вводные'!$B$239="Да",MeanMinAge03+'19_Расчет_аналитики'!R559*SUMIF(ThresholdAge03,"&lt;"&amp;'19_Расчет_аналитики'!R559,WeightedRevAge03)-SUMIF(ThresholdAge03,"&lt;"&amp;'19_Расчет_аналитики'!R559,WeightedMinAge03),MAX(CapacityAge03*'01_Вводные'!$B$218*'19_Расчет_аналитики'!R559,MeanMinAge03)))</f>
        <v/>
      </c>
      <c r="S466">
        <f>IF(OR('19_Расчет_аналитики'!S438=0,3&lt;='01_Вводные'!$B$297),0,'19_Расчет_аналитики'!S438*IF('01_Вводные'!$B$239="Да",MeanMinAge03+'19_Расчет_аналитики'!S559*SUMIF(ThresholdAge03,"&lt;"&amp;'19_Расчет_аналитики'!S559,WeightedRevAge03)-SUMIF(ThresholdAge03,"&lt;"&amp;'19_Расчет_аналитики'!S559,WeightedMinAge03),MAX(CapacityAge03*'01_Вводные'!$B$218*'19_Расчет_аналитики'!S559,MeanMinAge03)))</f>
        <v/>
      </c>
      <c r="T466">
        <f>IF(OR('19_Расчет_аналитики'!T438=0,3&lt;='01_Вводные'!$B$297),0,'19_Расчет_аналитики'!T438*IF('01_Вводные'!$B$239="Да",MeanMinAge03+'19_Расчет_аналитики'!T559*SUMIF(ThresholdAge03,"&lt;"&amp;'19_Расчет_аналитики'!T559,WeightedRevAge03)-SUMIF(ThresholdAge03,"&lt;"&amp;'19_Расчет_аналитики'!T559,WeightedMinAge03),MAX(CapacityAge03*'01_Вводные'!$B$218*'19_Расчет_аналитики'!T559,MeanMinAge03)))</f>
        <v/>
      </c>
      <c r="U466">
        <f>IF(OR('19_Расчет_аналитики'!U438=0,3&lt;='01_Вводные'!$B$297),0,'19_Расчет_аналитики'!U438*IF('01_Вводные'!$B$239="Да",MeanMinAge03+'19_Расчет_аналитики'!U559*SUMIF(ThresholdAge03,"&lt;"&amp;'19_Расчет_аналитики'!U559,WeightedRevAge03)-SUMIF(ThresholdAge03,"&lt;"&amp;'19_Расчет_аналитики'!U559,WeightedMinAge03),MAX(CapacityAge03*'01_Вводные'!$B$218*'19_Расчет_аналитики'!U559,MeanMinAge03)))</f>
        <v/>
      </c>
      <c r="V466">
        <f>IF(OR('19_Расчет_аналитики'!V438=0,3&lt;='01_Вводные'!$B$297),0,'19_Расчет_аналитики'!V438*IF('01_Вводные'!$B$239="Да",MeanMinAge03+'19_Расчет_аналитики'!V559*SUMIF(ThresholdAge03,"&lt;"&amp;'19_Расчет_аналитики'!V559,WeightedRevAge03)-SUMIF(ThresholdAge03,"&lt;"&amp;'19_Расчет_аналитики'!V559,WeightedMinAge03),MAX(CapacityAge03*'01_Вводные'!$B$218*'19_Расчет_аналитики'!V559,MeanMinAge03)))</f>
        <v/>
      </c>
      <c r="W466">
        <f>IF(OR('19_Расчет_аналитики'!W438=0,3&lt;='01_Вводные'!$B$297),0,'19_Расчет_аналитики'!W438*IF('01_Вводные'!$B$239="Да",MeanMinAge03+'19_Расчет_аналитики'!W559*SUMIF(ThresholdAge03,"&lt;"&amp;'19_Расчет_аналитики'!W559,WeightedRevAge03)-SUMIF(ThresholdAge03,"&lt;"&amp;'19_Расчет_аналитики'!W559,WeightedMinAge03),MAX(CapacityAge03*'01_Вводные'!$B$218*'19_Расчет_аналитики'!W559,MeanMinAge03)))</f>
        <v/>
      </c>
      <c r="X466">
        <f>IF(OR('19_Расчет_аналитики'!X438=0,3&lt;='01_Вводные'!$B$297),0,'19_Расчет_аналитики'!X438*IF('01_Вводные'!$B$239="Да",MeanMinAge03+'19_Расчет_аналитики'!X559*SUMIF(ThresholdAge03,"&lt;"&amp;'19_Расчет_аналитики'!X559,WeightedRevAge03)-SUMIF(ThresholdAge03,"&lt;"&amp;'19_Расчет_аналитики'!X559,WeightedMinAge03),MAX(CapacityAge03*'01_Вводные'!$B$218*'19_Расчет_аналитики'!X559,MeanMinAge03)))</f>
        <v/>
      </c>
      <c r="Y466">
        <f>IF(OR('19_Расчет_аналитики'!Y438=0,3&lt;='01_Вводные'!$B$297),0,'19_Расчет_аналитики'!Y438*IF('01_Вводные'!$B$239="Да",MeanMinAge03+'19_Расчет_аналитики'!Y559*SUMIF(ThresholdAge03,"&lt;"&amp;'19_Расчет_аналитики'!Y559,WeightedRevAge03)-SUMIF(ThresholdAge03,"&lt;"&amp;'19_Расчет_аналитики'!Y559,WeightedMinAge03),MAX(CapacityAge03*'01_Вводные'!$B$218*'19_Расчет_аналитики'!Y559,MeanMinAge03)))</f>
        <v/>
      </c>
      <c r="Z466">
        <f>IF(OR('19_Расчет_аналитики'!Z438=0,3&lt;='01_Вводные'!$B$297),0,'19_Расчет_аналитики'!Z438*IF('01_Вводные'!$B$239="Да",MeanMinAge03+'19_Расчет_аналитики'!Z559*SUMIF(ThresholdAge03,"&lt;"&amp;'19_Расчет_аналитики'!Z559,WeightedRevAge03)-SUMIF(ThresholdAge03,"&lt;"&amp;'19_Расчет_аналитики'!Z559,WeightedMinAge03),MAX(CapacityAge03*'01_Вводные'!$B$218*'19_Расчет_аналитики'!Z559,MeanMinAge03)))</f>
        <v/>
      </c>
      <c r="AA466">
        <f>IF(OR('19_Расчет_аналитики'!AA438=0,3&lt;='01_Вводные'!$B$297),0,'19_Расчет_аналитики'!AA438*IF('01_Вводные'!$B$239="Да",MeanMinAge03+'19_Расчет_аналитики'!AA559*SUMIF(ThresholdAge03,"&lt;"&amp;'19_Расчет_аналитики'!AA559,WeightedRevAge03)-SUMIF(ThresholdAge03,"&lt;"&amp;'19_Расчет_аналитики'!AA559,WeightedMinAge03),MAX(CapacityAge03*'01_Вводные'!$B$218*'19_Расчет_аналитики'!AA559,MeanMinAge03)))</f>
        <v/>
      </c>
      <c r="AB466">
        <f>IF(OR('19_Расчет_аналитики'!AB438=0,3&lt;='01_Вводные'!$B$297),0,'19_Расчет_аналитики'!AB438*IF('01_Вводные'!$B$239="Да",MeanMinAge03+'19_Расчет_аналитики'!AB559*SUMIF(ThresholdAge03,"&lt;"&amp;'19_Расчет_аналитики'!AB559,WeightedRevAge03)-SUMIF(ThresholdAge03,"&lt;"&amp;'19_Расчет_аналитики'!AB559,WeightedMinAge03),MAX(CapacityAge03*'01_Вводные'!$B$218*'19_Расчет_аналитики'!AB559,MeanMinAge03)))</f>
        <v/>
      </c>
      <c r="AC466">
        <f>IF(OR('19_Расчет_аналитики'!AC438=0,3&lt;='01_Вводные'!$B$297),0,'19_Расчет_аналитики'!AC438*IF('01_Вводные'!$B$239="Да",MeanMinAge03+'19_Расчет_аналитики'!AC559*SUMIF(ThresholdAge03,"&lt;"&amp;'19_Расчет_аналитики'!AC559,WeightedRevAge03)-SUMIF(ThresholdAge03,"&lt;"&amp;'19_Расчет_аналитики'!AC559,WeightedMinAge03),MAX(CapacityAge03*'01_Вводные'!$B$218*'19_Расчет_аналитики'!AC559,MeanMinAge03)))</f>
        <v/>
      </c>
      <c r="AD466">
        <f>IF(OR('19_Расчет_аналитики'!AD438=0,3&lt;='01_Вводные'!$B$297),0,'19_Расчет_аналитики'!AD438*IF('01_Вводные'!$B$239="Да",MeanMinAge03+'19_Расчет_аналитики'!AD559*SUMIF(ThresholdAge03,"&lt;"&amp;'19_Расчет_аналитики'!AD559,WeightedRevAge03)-SUMIF(ThresholdAge03,"&lt;"&amp;'19_Расчет_аналитики'!AD559,WeightedMinAge03),MAX(CapacityAge03*'01_Вводные'!$B$218*'19_Расчет_аналитики'!AD559,MeanMinAge03)))</f>
        <v/>
      </c>
      <c r="AE466">
        <f>IF(OR('19_Расчет_аналитики'!AE438=0,3&lt;='01_Вводные'!$B$297),0,'19_Расчет_аналитики'!AE438*IF('01_Вводные'!$B$239="Да",MeanMinAge03+'19_Расчет_аналитики'!AE559*SUMIF(ThresholdAge03,"&lt;"&amp;'19_Расчет_аналитики'!AE559,WeightedRevAge03)-SUMIF(ThresholdAge03,"&lt;"&amp;'19_Расчет_аналитики'!AE559,WeightedMinAge03),MAX(CapacityAge03*'01_Вводные'!$B$218*'19_Расчет_аналитики'!AE559,MeanMinAge03)))</f>
        <v/>
      </c>
      <c r="AF466">
        <f>IF(OR('19_Расчет_аналитики'!AF438=0,3&lt;='01_Вводные'!$B$297),0,'19_Расчет_аналитики'!AF438*IF('01_Вводные'!$B$239="Да",MeanMinAge03+'19_Расчет_аналитики'!AF559*SUMIF(ThresholdAge03,"&lt;"&amp;'19_Расчет_аналитики'!AF559,WeightedRevAge03)-SUMIF(ThresholdAge03,"&lt;"&amp;'19_Расчет_аналитики'!AF559,WeightedMinAge03),MAX(CapacityAge03*'01_Вводные'!$B$218*'19_Расчет_аналитики'!AF559,MeanMinAge03)))</f>
        <v/>
      </c>
      <c r="AG466">
        <f>IF(OR('19_Расчет_аналитики'!AG438=0,3&lt;='01_Вводные'!$B$297),0,'19_Расчет_аналитики'!AG438*IF('01_Вводные'!$B$239="Да",MeanMinAge03+'19_Расчет_аналитики'!AG559*SUMIF(ThresholdAge03,"&lt;"&amp;'19_Расчет_аналитики'!AG559,WeightedRevAge03)-SUMIF(ThresholdAge03,"&lt;"&amp;'19_Расчет_аналитики'!AG559,WeightedMinAge03),MAX(CapacityAge03*'01_Вводные'!$B$218*'19_Расчет_аналитики'!AG559,MeanMinAge03)))</f>
        <v/>
      </c>
      <c r="AH466">
        <f>IF(OR('19_Расчет_аналитики'!AH438=0,3&lt;='01_Вводные'!$B$297),0,'19_Расчет_аналитики'!AH438*IF('01_Вводные'!$B$239="Да",MeanMinAge03+'19_Расчет_аналитики'!AH559*SUMIF(ThresholdAge03,"&lt;"&amp;'19_Расчет_аналитики'!AH559,WeightedRevAge03)-SUMIF(ThresholdAge03,"&lt;"&amp;'19_Расчет_аналитики'!AH559,WeightedMinAge03),MAX(CapacityAge03*'01_Вводные'!$B$218*'19_Расчет_аналитики'!AH559,MeanMinAge03)))</f>
        <v/>
      </c>
      <c r="AI466">
        <f>IF(OR('19_Расчет_аналитики'!AI438=0,3&lt;='01_Вводные'!$B$297),0,'19_Расчет_аналитики'!AI438*IF('01_Вводные'!$B$239="Да",MeanMinAge03+'19_Расчет_аналитики'!AI559*SUMIF(ThresholdAge03,"&lt;"&amp;'19_Расчет_аналитики'!AI559,WeightedRevAge03)-SUMIF(ThresholdAge03,"&lt;"&amp;'19_Расчет_аналитики'!AI559,WeightedMinAge03),MAX(CapacityAge03*'01_Вводные'!$B$218*'19_Расчет_аналитики'!AI559,MeanMinAge03)))</f>
        <v/>
      </c>
      <c r="AJ466">
        <f>IF(OR('19_Расчет_аналитики'!AJ438=0,3&lt;='01_Вводные'!$B$297),0,'19_Расчет_аналитики'!AJ438*IF('01_Вводные'!$B$239="Да",MeanMinAge03+'19_Расчет_аналитики'!AJ559*SUMIF(ThresholdAge03,"&lt;"&amp;'19_Расчет_аналитики'!AJ559,WeightedRevAge03)-SUMIF(ThresholdAge03,"&lt;"&amp;'19_Расчет_аналитики'!AJ559,WeightedMinAge03),MAX(CapacityAge03*'01_Вводные'!$B$218*'19_Расчет_аналитики'!AJ559,MeanMinAge03)))</f>
        <v/>
      </c>
      <c r="AK466">
        <f>IF(OR('19_Расчет_аналитики'!AK438=0,3&lt;='01_Вводные'!$B$297),0,'19_Расчет_аналитики'!AK438*IF('01_Вводные'!$B$239="Да",MeanMinAge03+'19_Расчет_аналитики'!AK559*SUMIF(ThresholdAge03,"&lt;"&amp;'19_Расчет_аналитики'!AK559,WeightedRevAge03)-SUMIF(ThresholdAge03,"&lt;"&amp;'19_Расчет_аналитики'!AK559,WeightedMinAge03),MAX(CapacityAge03*'01_Вводные'!$B$218*'19_Расчет_аналитики'!AK559,MeanMinAge03)))</f>
        <v/>
      </c>
      <c r="AL466">
        <f>IF(OR('19_Расчет_аналитики'!AL438=0,3&lt;='01_Вводные'!$B$297),0,'19_Расчет_аналитики'!AL438*IF('01_Вводные'!$B$239="Да",MeanMinAge03+'19_Расчет_аналитики'!AL559*SUMIF(ThresholdAge03,"&lt;"&amp;'19_Расчет_аналитики'!AL559,WeightedRevAge03)-SUMIF(ThresholdAge03,"&lt;"&amp;'19_Расчет_аналитики'!AL559,WeightedMinAge03),MAX(CapacityAge03*'01_Вводные'!$B$218*'19_Расчет_аналитики'!AL559,MeanMinAge03)))</f>
        <v/>
      </c>
      <c r="AM466">
        <f>IF(OR('19_Расчет_аналитики'!AM438=0,3&lt;='01_Вводные'!$B$297),0,'19_Расчет_аналитики'!AM438*IF('01_Вводные'!$B$239="Да",MeanMinAge03+'19_Расчет_аналитики'!AM559*SUMIF(ThresholdAge03,"&lt;"&amp;'19_Расчет_аналитики'!AM559,WeightedRevAge03)-SUMIF(ThresholdAge03,"&lt;"&amp;'19_Расчет_аналитики'!AM559,WeightedMinAge03),MAX(CapacityAge03*'01_Вводные'!$B$218*'19_Расчет_аналитики'!AM559,MeanMinAge03)))</f>
        <v/>
      </c>
      <c r="AN466">
        <f>IF(OR('19_Расчет_аналитики'!AN438=0,3&lt;='01_Вводные'!$B$297),0,'19_Расчет_аналитики'!AN438*IF('01_Вводные'!$B$239="Да",MeanMinAge03+'19_Расчет_аналитики'!AN559*SUMIF(ThresholdAge03,"&lt;"&amp;'19_Расчет_аналитики'!AN559,WeightedRevAge03)-SUMIF(ThresholdAge03,"&lt;"&amp;'19_Расчет_аналитики'!AN559,WeightedMinAge03),MAX(CapacityAge03*'01_Вводные'!$B$218*'19_Расчет_аналитики'!AN559,MeanMinAge03)))</f>
        <v/>
      </c>
      <c r="AO466">
        <f>IF(OR('19_Расчет_аналитики'!AO438=0,3&lt;='01_Вводные'!$B$297),0,'19_Расчет_аналитики'!AO438*IF('01_Вводные'!$B$239="Да",MeanMinAge03+'19_Расчет_аналитики'!AO559*SUMIF(ThresholdAge03,"&lt;"&amp;'19_Расчет_аналитики'!AO559,WeightedRevAge03)-SUMIF(ThresholdAge03,"&lt;"&amp;'19_Расчет_аналитики'!AO559,WeightedMinAge03),MAX(CapacityAge03*'01_Вводные'!$B$218*'19_Расчет_аналитики'!AO559,MeanMinAge03)))</f>
        <v/>
      </c>
      <c r="AP466">
        <f>IF(OR('19_Расчет_аналитики'!AP438=0,3&lt;='01_Вводные'!$B$297),0,'19_Расчет_аналитики'!AP438*IF('01_Вводные'!$B$239="Да",MeanMinAge03+'19_Расчет_аналитики'!AP559*SUMIF(ThresholdAge03,"&lt;"&amp;'19_Расчет_аналитики'!AP559,WeightedRevAge03)-SUMIF(ThresholdAge03,"&lt;"&amp;'19_Расчет_аналитики'!AP559,WeightedMinAge03),MAX(CapacityAge03*'01_Вводные'!$B$218*'19_Расчет_аналитики'!AP559,MeanMinAge03)))</f>
        <v/>
      </c>
      <c r="AQ466">
        <f>IF(OR('19_Расчет_аналитики'!AQ438=0,3&lt;='01_Вводные'!$B$297),0,'19_Расчет_аналитики'!AQ438*IF('01_Вводные'!$B$239="Да",MeanMinAge03+'19_Расчет_аналитики'!AQ559*SUMIF(ThresholdAge03,"&lt;"&amp;'19_Расчет_аналитики'!AQ559,WeightedRevAge03)-SUMIF(ThresholdAge03,"&lt;"&amp;'19_Расчет_аналитики'!AQ559,WeightedMinAge03),MAX(CapacityAge03*'01_Вводные'!$B$218*'19_Расчет_аналитики'!AQ559,MeanMinAge03)))</f>
        <v/>
      </c>
      <c r="AR466">
        <f>IF(OR('19_Расчет_аналитики'!AR438=0,3&lt;='01_Вводные'!$B$297),0,'19_Расчет_аналитики'!AR438*IF('01_Вводные'!$B$239="Да",MeanMinAge03+'19_Расчет_аналитики'!AR559*SUMIF(ThresholdAge03,"&lt;"&amp;'19_Расчет_аналитики'!AR559,WeightedRevAge03)-SUMIF(ThresholdAge03,"&lt;"&amp;'19_Расчет_аналитики'!AR559,WeightedMinAge03),MAX(CapacityAge03*'01_Вводные'!$B$218*'19_Расчет_аналитики'!AR559,MeanMinAge03)))</f>
        <v/>
      </c>
      <c r="AS466">
        <f>IF(OR('19_Расчет_аналитики'!AS438=0,3&lt;='01_Вводные'!$B$297),0,'19_Расчет_аналитики'!AS438*IF('01_Вводные'!$B$239="Да",MeanMinAge03+'19_Расчет_аналитики'!AS559*SUMIF(ThresholdAge03,"&lt;"&amp;'19_Расчет_аналитики'!AS559,WeightedRevAge03)-SUMIF(ThresholdAge03,"&lt;"&amp;'19_Расчет_аналитики'!AS559,WeightedMinAge03),MAX(CapacityAge03*'01_Вводные'!$B$218*'19_Расчет_аналитики'!AS559,MeanMinAge03)))</f>
        <v/>
      </c>
      <c r="AT466">
        <f>IF(OR('19_Расчет_аналитики'!AT438=0,3&lt;='01_Вводные'!$B$297),0,'19_Расчет_аналитики'!AT438*IF('01_Вводные'!$B$239="Да",MeanMinAge03+'19_Расчет_аналитики'!AT559*SUMIF(ThresholdAge03,"&lt;"&amp;'19_Расчет_аналитики'!AT559,WeightedRevAge03)-SUMIF(ThresholdAge03,"&lt;"&amp;'19_Расчет_аналитики'!AT559,WeightedMinAge03),MAX(CapacityAge03*'01_Вводные'!$B$218*'19_Расчет_аналитики'!AT559,MeanMinAge03)))</f>
        <v/>
      </c>
      <c r="AU466">
        <f>IF(OR('19_Расчет_аналитики'!AU438=0,3&lt;='01_Вводные'!$B$297),0,'19_Расчет_аналитики'!AU438*IF('01_Вводные'!$B$239="Да",MeanMinAge03+'19_Расчет_аналитики'!AU559*SUMIF(ThresholdAge03,"&lt;"&amp;'19_Расчет_аналитики'!AU559,WeightedRevAge03)-SUMIF(ThresholdAge03,"&lt;"&amp;'19_Расчет_аналитики'!AU559,WeightedMinAge03),MAX(CapacityAge03*'01_Вводные'!$B$218*'19_Расчет_аналитики'!AU559,MeanMinAge03)))</f>
        <v/>
      </c>
      <c r="AV466">
        <f>IF(OR('19_Расчет_аналитики'!AV438=0,3&lt;='01_Вводные'!$B$297),0,'19_Расчет_аналитики'!AV438*IF('01_Вводные'!$B$239="Да",MeanMinAge03+'19_Расчет_аналитики'!AV559*SUMIF(ThresholdAge03,"&lt;"&amp;'19_Расчет_аналитики'!AV559,WeightedRevAge03)-SUMIF(ThresholdAge03,"&lt;"&amp;'19_Расчет_аналитики'!AV559,WeightedMinAge03),MAX(CapacityAge03*'01_Вводные'!$B$218*'19_Расчет_аналитики'!AV559,MeanMinAge03)))</f>
        <v/>
      </c>
      <c r="AW466">
        <f>IF(OR('19_Расчет_аналитики'!AW438=0,3&lt;='01_Вводные'!$B$297),0,'19_Расчет_аналитики'!AW438*IF('01_Вводные'!$B$239="Да",MeanMinAge03+'19_Расчет_аналитики'!AW559*SUMIF(ThresholdAge03,"&lt;"&amp;'19_Расчет_аналитики'!AW559,WeightedRevAge03)-SUMIF(ThresholdAge03,"&lt;"&amp;'19_Расчет_аналитики'!AW559,WeightedMinAge03),MAX(CapacityAge03*'01_Вводные'!$B$218*'19_Расчет_аналитики'!AW559,MeanMinAge03)))</f>
        <v/>
      </c>
      <c r="AX466">
        <f>IF(OR('19_Расчет_аналитики'!AX438=0,3&lt;='01_Вводные'!$B$297),0,'19_Расчет_аналитики'!AX438*IF('01_Вводные'!$B$239="Да",MeanMinAge03+'19_Расчет_аналитики'!AX559*SUMIF(ThresholdAge03,"&lt;"&amp;'19_Расчет_аналитики'!AX559,WeightedRevAge03)-SUMIF(ThresholdAge03,"&lt;"&amp;'19_Расчет_аналитики'!AX559,WeightedMinAge03),MAX(CapacityAge03*'01_Вводные'!$B$218*'19_Расчет_аналитики'!AX559,MeanMinAge03)))</f>
        <v/>
      </c>
      <c r="AY466">
        <f>IF(OR('19_Расчет_аналитики'!AY438=0,3&lt;='01_Вводные'!$B$297),0,'19_Расчет_аналитики'!AY438*IF('01_Вводные'!$B$239="Да",MeanMinAge03+'19_Расчет_аналитики'!AY559*SUMIF(ThresholdAge03,"&lt;"&amp;'19_Расчет_аналитики'!AY559,WeightedRevAge03)-SUMIF(ThresholdAge03,"&lt;"&amp;'19_Расчет_аналитики'!AY559,WeightedMinAge03),MAX(CapacityAge03*'01_Вводные'!$B$218*'19_Расчет_аналитики'!AY559,MeanMinAge03)))</f>
        <v/>
      </c>
      <c r="AZ466">
        <f>IF(OR('19_Расчет_аналитики'!AZ438=0,3&lt;='01_Вводные'!$B$297),0,'19_Расчет_аналитики'!AZ438*IF('01_Вводные'!$B$239="Да",MeanMinAge03+'19_Расчет_аналитики'!AZ559*SUMIF(ThresholdAge03,"&lt;"&amp;'19_Расчет_аналитики'!AZ559,WeightedRevAge03)-SUMIF(ThresholdAge03,"&lt;"&amp;'19_Расчет_аналитики'!AZ559,WeightedMinAge03),MAX(CapacityAge03*'01_Вводные'!$B$218*'19_Расчет_аналитики'!AZ559,MeanMinAge03)))</f>
        <v/>
      </c>
      <c r="BA466">
        <f>IF(OR('19_Расчет_аналитики'!BA438=0,3&lt;='01_Вводные'!$B$297),0,'19_Расчет_аналитики'!BA438*IF('01_Вводные'!$B$239="Да",MeanMinAge03+'19_Расчет_аналитики'!BA559*SUMIF(ThresholdAge03,"&lt;"&amp;'19_Расчет_аналитики'!BA559,WeightedRevAge03)-SUMIF(ThresholdAge03,"&lt;"&amp;'19_Расчет_аналитики'!BA559,WeightedMinAge03),MAX(CapacityAge03*'01_Вводные'!$B$218*'19_Расчет_аналитики'!BA559,MeanMinAge03)))</f>
        <v/>
      </c>
      <c r="BB466">
        <f>IF(OR('19_Расчет_аналитики'!BB438=0,3&lt;='01_Вводные'!$B$297),0,'19_Расчет_аналитики'!BB438*IF('01_Вводные'!$B$239="Да",MeanMinAge03+'19_Расчет_аналитики'!BB559*SUMIF(ThresholdAge03,"&lt;"&amp;'19_Расчет_аналитики'!BB559,WeightedRevAge03)-SUMIF(ThresholdAge03,"&lt;"&amp;'19_Расчет_аналитики'!BB559,WeightedMinAge03),MAX(CapacityAge03*'01_Вводные'!$B$218*'19_Расчет_аналитики'!BB559,MeanMinAge03)))</f>
        <v/>
      </c>
      <c r="BC466">
        <f>IF(OR('19_Расчет_аналитики'!BC438=0,3&lt;='01_Вводные'!$B$297),0,'19_Расчет_аналитики'!BC438*IF('01_Вводные'!$B$239="Да",MeanMinAge03+'19_Расчет_аналитики'!BC559*SUMIF(ThresholdAge03,"&lt;"&amp;'19_Расчет_аналитики'!BC559,WeightedRevAge03)-SUMIF(ThresholdAge03,"&lt;"&amp;'19_Расчет_аналитики'!BC559,WeightedMinAge03),MAX(CapacityAge03*'01_Вводные'!$B$218*'19_Расчет_аналитики'!BC559,MeanMinAge03)))</f>
        <v/>
      </c>
      <c r="BD466">
        <f>IF(OR('19_Расчет_аналитики'!BD438=0,3&lt;='01_Вводные'!$B$297),0,'19_Расчет_аналитики'!BD438*IF('01_Вводные'!$B$239="Да",MeanMinAge03+'19_Расчет_аналитики'!BD559*SUMIF(ThresholdAge03,"&lt;"&amp;'19_Расчет_аналитики'!BD559,WeightedRevAge03)-SUMIF(ThresholdAge03,"&lt;"&amp;'19_Расчет_аналитики'!BD559,WeightedMinAge03),MAX(CapacityAge03*'01_Вводные'!$B$218*'19_Расчет_аналитики'!BD559,MeanMinAge03)))</f>
        <v/>
      </c>
      <c r="BE466">
        <f>IF(OR('19_Расчет_аналитики'!BE438=0,3&lt;='01_Вводные'!$B$297),0,'19_Расчет_аналитики'!BE438*IF('01_Вводные'!$B$239="Да",MeanMinAge03+'19_Расчет_аналитики'!BE559*SUMIF(ThresholdAge03,"&lt;"&amp;'19_Расчет_аналитики'!BE559,WeightedRevAge03)-SUMIF(ThresholdAge03,"&lt;"&amp;'19_Расчет_аналитики'!BE559,WeightedMinAge03),MAX(CapacityAge03*'01_Вводные'!$B$218*'19_Расчет_аналитики'!BE559,MeanMinAge03)))</f>
        <v/>
      </c>
      <c r="BF466">
        <f>IF(OR('19_Расчет_аналитики'!BF438=0,3&lt;='01_Вводные'!$B$297),0,'19_Расчет_аналитики'!BF438*IF('01_Вводные'!$B$239="Да",MeanMinAge03+'19_Расчет_аналитики'!BF559*SUMIF(ThresholdAge03,"&lt;"&amp;'19_Расчет_аналитики'!BF559,WeightedRevAge03)-SUMIF(ThresholdAge03,"&lt;"&amp;'19_Расчет_аналитики'!BF559,WeightedMinAge03),MAX(CapacityAge03*'01_Вводные'!$B$218*'19_Расчет_аналитики'!BF559,MeanMinAge03)))</f>
        <v/>
      </c>
      <c r="BG466">
        <f>IF(OR('19_Расчет_аналитики'!BG438=0,3&lt;='01_Вводные'!$B$297),0,'19_Расчет_аналитики'!BG438*IF('01_Вводные'!$B$239="Да",MeanMinAge03+'19_Расчет_аналитики'!BG559*SUMIF(ThresholdAge03,"&lt;"&amp;'19_Расчет_аналитики'!BG559,WeightedRevAge03)-SUMIF(ThresholdAge03,"&lt;"&amp;'19_Расчет_аналитики'!BG559,WeightedMinAge03),MAX(CapacityAge03*'01_Вводные'!$B$218*'19_Расчет_аналитики'!BG559,MeanMinAge03)))</f>
        <v/>
      </c>
      <c r="BH466">
        <f>IF(OR('19_Расчет_аналитики'!BH438=0,3&lt;='01_Вводные'!$B$297),0,'19_Расчет_аналитики'!BH438*IF('01_Вводные'!$B$239="Да",MeanMinAge03+'19_Расчет_аналитики'!BH559*SUMIF(ThresholdAge03,"&lt;"&amp;'19_Расчет_аналитики'!BH559,WeightedRevAge03)-SUMIF(ThresholdAge03,"&lt;"&amp;'19_Расчет_аналитики'!BH559,WeightedMinAge03),MAX(CapacityAge03*'01_Вводные'!$B$218*'19_Расчет_аналитики'!BH559,MeanMinAge03)))</f>
        <v/>
      </c>
      <c r="BI466">
        <f>IF(OR('19_Расчет_аналитики'!BI438=0,3&lt;='01_Вводные'!$B$297),0,'19_Расчет_аналитики'!BI438*IF('01_Вводные'!$B$239="Да",MeanMinAge03+'19_Расчет_аналитики'!BI559*SUMIF(ThresholdAge03,"&lt;"&amp;'19_Расчет_аналитики'!BI559,WeightedRevAge03)-SUMIF(ThresholdAge03,"&lt;"&amp;'19_Расчет_аналитики'!BI559,WeightedMinAge03),MAX(CapacityAge03*'01_Вводные'!$B$218*'19_Расчет_аналитики'!BI559,MeanMinAge03)))</f>
        <v/>
      </c>
      <c r="BJ466">
        <f>IF(OR('19_Расчет_аналитики'!BJ438=0,3&lt;='01_Вводные'!$B$297),0,'19_Расчет_аналитики'!BJ438*IF('01_Вводные'!$B$239="Да",MeanMinAge03+'19_Расчет_аналитики'!BJ559*SUMIF(ThresholdAge03,"&lt;"&amp;'19_Расчет_аналитики'!BJ559,WeightedRevAge03)-SUMIF(ThresholdAge03,"&lt;"&amp;'19_Расчет_аналитики'!BJ559,WeightedMinAge03),MAX(CapacityAge03*'01_Вводные'!$B$218*'19_Расчет_аналитики'!BJ559,MeanMinAge03)))</f>
        <v/>
      </c>
      <c r="BK466">
        <f>IF(OR('19_Расчет_аналитики'!BK438=0,3&lt;='01_Вводные'!$B$297),0,'19_Расчет_аналитики'!BK438*IF('01_Вводные'!$B$239="Да",MeanMinAge03+'19_Расчет_аналитики'!BK559*SUMIF(ThresholdAge03,"&lt;"&amp;'19_Расчет_аналитики'!BK559,WeightedRevAge03)-SUMIF(ThresholdAge03,"&lt;"&amp;'19_Расчет_аналитики'!BK559,WeightedMinAge03),MAX(CapacityAge03*'01_Вводные'!$B$218*'19_Расчет_аналитики'!BK559,MeanMinAge03)))</f>
        <v/>
      </c>
      <c r="BL466">
        <f>IF(OR('19_Расчет_аналитики'!BL438=0,3&lt;='01_Вводные'!$B$297),0,'19_Расчет_аналитики'!BL438*IF('01_Вводные'!$B$239="Да",MeanMinAge03+'19_Расчет_аналитики'!BL559*SUMIF(ThresholdAge03,"&lt;"&amp;'19_Расчет_аналитики'!BL559,WeightedRevAge03)-SUMIF(ThresholdAge03,"&lt;"&amp;'19_Расчет_аналитики'!BL559,WeightedMinAge03),MAX(CapacityAge03*'01_Вводные'!$B$218*'19_Расчет_аналитики'!BL559,MeanMinAge03)))</f>
        <v/>
      </c>
      <c r="BM466">
        <f>IF(OR('19_Расчет_аналитики'!BM438=0,3&lt;='01_Вводные'!$B$297),0,'19_Расчет_аналитики'!BM438*IF('01_Вводные'!$B$239="Да",MeanMinAge03+'19_Расчет_аналитики'!BM559*SUMIF(ThresholdAge03,"&lt;"&amp;'19_Расчет_аналитики'!BM559,WeightedRevAge03)-SUMIF(ThresholdAge03,"&lt;"&amp;'19_Расчет_аналитики'!BM559,WeightedMinAge03),MAX(CapacityAge03*'01_Вводные'!$B$218*'19_Расчет_аналитики'!BM559,MeanMinAge03)))</f>
        <v/>
      </c>
      <c r="BN466">
        <f>IF(OR('19_Расчет_аналитики'!BN438=0,3&lt;='01_Вводные'!$B$297),0,'19_Расчет_аналитики'!BN438*IF('01_Вводные'!$B$239="Да",MeanMinAge03+'19_Расчет_аналитики'!BN559*SUMIF(ThresholdAge03,"&lt;"&amp;'19_Расчет_аналитики'!BN559,WeightedRevAge03)-SUMIF(ThresholdAge03,"&lt;"&amp;'19_Расчет_аналитики'!BN559,WeightedMinAge03),MAX(CapacityAge03*'01_Вводные'!$B$218*'19_Расчет_аналитики'!BN559,MeanMinAge03)))</f>
        <v/>
      </c>
      <c r="BO466">
        <f>IF(OR('19_Расчет_аналитики'!BO438=0,3&lt;='01_Вводные'!$B$297),0,'19_Расчет_аналитики'!BO438*IF('01_Вводные'!$B$239="Да",MeanMinAge03+'19_Расчет_аналитики'!BO559*SUMIF(ThresholdAge03,"&lt;"&amp;'19_Расчет_аналитики'!BO559,WeightedRevAge03)-SUMIF(ThresholdAge03,"&lt;"&amp;'19_Расчет_аналитики'!BO559,WeightedMinAge03),MAX(CapacityAge03*'01_Вводные'!$B$218*'19_Расчет_аналитики'!BO559,MeanMinAge03)))</f>
        <v/>
      </c>
    </row>
    <row r="467">
      <c r="B467">
        <f>IF(OR('06_Сеть_и_дети'!B84=0,4&lt;='01_Вводные'!$B$297),0,'06_Сеть_и_дети'!B84*IF('01_Вводные'!$B$239="Да",MeanMinAge04+'19_Расчет_аналитики'!B559*SUMIF(ThresholdAge04,"&lt;"&amp;'19_Расчет_аналитики'!B559,WeightedRevAge04)-SUMIF(ThresholdAge04,"&lt;"&amp;'19_Расчет_аналитики'!B559,WeightedMinAge04),MAX(CapacityAge04*'01_Вводные'!$B$218*'19_Расчет_аналитики'!B559,MeanMinAge04)))</f>
        <v/>
      </c>
      <c r="C467">
        <f>IF(OR('06_Сеть_и_дети'!C84=0,4&lt;='01_Вводные'!$B$297),0,'06_Сеть_и_дети'!C84*IF('01_Вводные'!$B$239="Да",MeanMinAge04+'19_Расчет_аналитики'!C559*SUMIF(ThresholdAge04,"&lt;"&amp;'19_Расчет_аналитики'!C559,WeightedRevAge04)-SUMIF(ThresholdAge04,"&lt;"&amp;'19_Расчет_аналитики'!C559,WeightedMinAge04),MAX(CapacityAge04*'01_Вводные'!$B$218*'19_Расчет_аналитики'!C559,MeanMinAge04)))</f>
        <v/>
      </c>
      <c r="D467">
        <f>IF(OR('06_Сеть_и_дети'!D84=0,4&lt;='01_Вводные'!$B$297),0,'06_Сеть_и_дети'!D84*IF('01_Вводные'!$B$239="Да",MeanMinAge04+'19_Расчет_аналитики'!D559*SUMIF(ThresholdAge04,"&lt;"&amp;'19_Расчет_аналитики'!D559,WeightedRevAge04)-SUMIF(ThresholdAge04,"&lt;"&amp;'19_Расчет_аналитики'!D559,WeightedMinAge04),MAX(CapacityAge04*'01_Вводные'!$B$218*'19_Расчет_аналитики'!D559,MeanMinAge04)))</f>
        <v/>
      </c>
      <c r="E467">
        <f>IF(OR('19_Расчет_аналитики'!E439=0,4&lt;='01_Вводные'!$B$297),0,'19_Расчет_аналитики'!E439*IF('01_Вводные'!$B$239="Да",MeanMinAge04+'19_Расчет_аналитики'!E559*SUMIF(ThresholdAge04,"&lt;"&amp;'19_Расчет_аналитики'!E559,WeightedRevAge04)-SUMIF(ThresholdAge04,"&lt;"&amp;'19_Расчет_аналитики'!E559,WeightedMinAge04),MAX(CapacityAge04*'01_Вводные'!$B$218*'19_Расчет_аналитики'!E559,MeanMinAge04)))</f>
        <v/>
      </c>
      <c r="F467">
        <f>IF(OR('19_Расчет_аналитики'!F439=0,4&lt;='01_Вводные'!$B$297),0,'19_Расчет_аналитики'!F439*IF('01_Вводные'!$B$239="Да",MeanMinAge04+'19_Расчет_аналитики'!F559*SUMIF(ThresholdAge04,"&lt;"&amp;'19_Расчет_аналитики'!F559,WeightedRevAge04)-SUMIF(ThresholdAge04,"&lt;"&amp;'19_Расчет_аналитики'!F559,WeightedMinAge04),MAX(CapacityAge04*'01_Вводные'!$B$218*'19_Расчет_аналитики'!F559,MeanMinAge04)))</f>
        <v/>
      </c>
      <c r="G467">
        <f>IF(OR('19_Расчет_аналитики'!G439=0,4&lt;='01_Вводные'!$B$297),0,'19_Расчет_аналитики'!G439*IF('01_Вводные'!$B$239="Да",MeanMinAge04+'19_Расчет_аналитики'!G559*SUMIF(ThresholdAge04,"&lt;"&amp;'19_Расчет_аналитики'!G559,WeightedRevAge04)-SUMIF(ThresholdAge04,"&lt;"&amp;'19_Расчет_аналитики'!G559,WeightedMinAge04),MAX(CapacityAge04*'01_Вводные'!$B$218*'19_Расчет_аналитики'!G559,MeanMinAge04)))</f>
        <v/>
      </c>
      <c r="H467">
        <f>IF(OR('19_Расчет_аналитики'!H439=0,4&lt;='01_Вводные'!$B$297),0,'19_Расчет_аналитики'!H439*IF('01_Вводные'!$B$239="Да",MeanMinAge04+'19_Расчет_аналитики'!H559*SUMIF(ThresholdAge04,"&lt;"&amp;'19_Расчет_аналитики'!H559,WeightedRevAge04)-SUMIF(ThresholdAge04,"&lt;"&amp;'19_Расчет_аналитики'!H559,WeightedMinAge04),MAX(CapacityAge04*'01_Вводные'!$B$218*'19_Расчет_аналитики'!H559,MeanMinAge04)))</f>
        <v/>
      </c>
      <c r="I467">
        <f>IF(OR('19_Расчет_аналитики'!I439=0,4&lt;='01_Вводные'!$B$297),0,'19_Расчет_аналитики'!I439*IF('01_Вводные'!$B$239="Да",MeanMinAge04+'19_Расчет_аналитики'!I559*SUMIF(ThresholdAge04,"&lt;"&amp;'19_Расчет_аналитики'!I559,WeightedRevAge04)-SUMIF(ThresholdAge04,"&lt;"&amp;'19_Расчет_аналитики'!I559,WeightedMinAge04),MAX(CapacityAge04*'01_Вводные'!$B$218*'19_Расчет_аналитики'!I559,MeanMinAge04)))</f>
        <v/>
      </c>
      <c r="J467">
        <f>IF(OR('19_Расчет_аналитики'!J439=0,4&lt;='01_Вводные'!$B$297),0,'19_Расчет_аналитики'!J439*IF('01_Вводные'!$B$239="Да",MeanMinAge04+'19_Расчет_аналитики'!J559*SUMIF(ThresholdAge04,"&lt;"&amp;'19_Расчет_аналитики'!J559,WeightedRevAge04)-SUMIF(ThresholdAge04,"&lt;"&amp;'19_Расчет_аналитики'!J559,WeightedMinAge04),MAX(CapacityAge04*'01_Вводные'!$B$218*'19_Расчет_аналитики'!J559,MeanMinAge04)))</f>
        <v/>
      </c>
      <c r="K467">
        <f>IF(OR('19_Расчет_аналитики'!K439=0,4&lt;='01_Вводные'!$B$297),0,'19_Расчет_аналитики'!K439*IF('01_Вводные'!$B$239="Да",MeanMinAge04+'19_Расчет_аналитики'!K559*SUMIF(ThresholdAge04,"&lt;"&amp;'19_Расчет_аналитики'!K559,WeightedRevAge04)-SUMIF(ThresholdAge04,"&lt;"&amp;'19_Расчет_аналитики'!K559,WeightedMinAge04),MAX(CapacityAge04*'01_Вводные'!$B$218*'19_Расчет_аналитики'!K559,MeanMinAge04)))</f>
        <v/>
      </c>
      <c r="L467">
        <f>IF(OR('19_Расчет_аналитики'!L439=0,4&lt;='01_Вводные'!$B$297),0,'19_Расчет_аналитики'!L439*IF('01_Вводные'!$B$239="Да",MeanMinAge04+'19_Расчет_аналитики'!L559*SUMIF(ThresholdAge04,"&lt;"&amp;'19_Расчет_аналитики'!L559,WeightedRevAge04)-SUMIF(ThresholdAge04,"&lt;"&amp;'19_Расчет_аналитики'!L559,WeightedMinAge04),MAX(CapacityAge04*'01_Вводные'!$B$218*'19_Расчет_аналитики'!L559,MeanMinAge04)))</f>
        <v/>
      </c>
      <c r="M467">
        <f>IF(OR('19_Расчет_аналитики'!M439=0,4&lt;='01_Вводные'!$B$297),0,'19_Расчет_аналитики'!M439*IF('01_Вводные'!$B$239="Да",MeanMinAge04+'19_Расчет_аналитики'!M559*SUMIF(ThresholdAge04,"&lt;"&amp;'19_Расчет_аналитики'!M559,WeightedRevAge04)-SUMIF(ThresholdAge04,"&lt;"&amp;'19_Расчет_аналитики'!M559,WeightedMinAge04),MAX(CapacityAge04*'01_Вводные'!$B$218*'19_Расчет_аналитики'!M559,MeanMinAge04)))</f>
        <v/>
      </c>
      <c r="N467">
        <f>IF(OR('19_Расчет_аналитики'!N439=0,4&lt;='01_Вводные'!$B$297),0,'19_Расчет_аналитики'!N439*IF('01_Вводные'!$B$239="Да",MeanMinAge04+'19_Расчет_аналитики'!N559*SUMIF(ThresholdAge04,"&lt;"&amp;'19_Расчет_аналитики'!N559,WeightedRevAge04)-SUMIF(ThresholdAge04,"&lt;"&amp;'19_Расчет_аналитики'!N559,WeightedMinAge04),MAX(CapacityAge04*'01_Вводные'!$B$218*'19_Расчет_аналитики'!N559,MeanMinAge04)))</f>
        <v/>
      </c>
      <c r="O467">
        <f>IF(OR('19_Расчет_аналитики'!O439=0,4&lt;='01_Вводные'!$B$297),0,'19_Расчет_аналитики'!O439*IF('01_Вводные'!$B$239="Да",MeanMinAge04+'19_Расчет_аналитики'!O559*SUMIF(ThresholdAge04,"&lt;"&amp;'19_Расчет_аналитики'!O559,WeightedRevAge04)-SUMIF(ThresholdAge04,"&lt;"&amp;'19_Расчет_аналитики'!O559,WeightedMinAge04),MAX(CapacityAge04*'01_Вводные'!$B$218*'19_Расчет_аналитики'!O559,MeanMinAge04)))</f>
        <v/>
      </c>
      <c r="P467">
        <f>IF(OR('19_Расчет_аналитики'!P439=0,4&lt;='01_Вводные'!$B$297),0,'19_Расчет_аналитики'!P439*IF('01_Вводные'!$B$239="Да",MeanMinAge04+'19_Расчет_аналитики'!P559*SUMIF(ThresholdAge04,"&lt;"&amp;'19_Расчет_аналитики'!P559,WeightedRevAge04)-SUMIF(ThresholdAge04,"&lt;"&amp;'19_Расчет_аналитики'!P559,WeightedMinAge04),MAX(CapacityAge04*'01_Вводные'!$B$218*'19_Расчет_аналитики'!P559,MeanMinAge04)))</f>
        <v/>
      </c>
      <c r="Q467">
        <f>IF(OR('19_Расчет_аналитики'!Q439=0,4&lt;='01_Вводные'!$B$297),0,'19_Расчет_аналитики'!Q439*IF('01_Вводные'!$B$239="Да",MeanMinAge04+'19_Расчет_аналитики'!Q559*SUMIF(ThresholdAge04,"&lt;"&amp;'19_Расчет_аналитики'!Q559,WeightedRevAge04)-SUMIF(ThresholdAge04,"&lt;"&amp;'19_Расчет_аналитики'!Q559,WeightedMinAge04),MAX(CapacityAge04*'01_Вводные'!$B$218*'19_Расчет_аналитики'!Q559,MeanMinAge04)))</f>
        <v/>
      </c>
      <c r="R467">
        <f>IF(OR('19_Расчет_аналитики'!R439=0,4&lt;='01_Вводные'!$B$297),0,'19_Расчет_аналитики'!R439*IF('01_Вводные'!$B$239="Да",MeanMinAge04+'19_Расчет_аналитики'!R559*SUMIF(ThresholdAge04,"&lt;"&amp;'19_Расчет_аналитики'!R559,WeightedRevAge04)-SUMIF(ThresholdAge04,"&lt;"&amp;'19_Расчет_аналитики'!R559,WeightedMinAge04),MAX(CapacityAge04*'01_Вводные'!$B$218*'19_Расчет_аналитики'!R559,MeanMinAge04)))</f>
        <v/>
      </c>
      <c r="S467">
        <f>IF(OR('19_Расчет_аналитики'!S439=0,4&lt;='01_Вводные'!$B$297),0,'19_Расчет_аналитики'!S439*IF('01_Вводные'!$B$239="Да",MeanMinAge04+'19_Расчет_аналитики'!S559*SUMIF(ThresholdAge04,"&lt;"&amp;'19_Расчет_аналитики'!S559,WeightedRevAge04)-SUMIF(ThresholdAge04,"&lt;"&amp;'19_Расчет_аналитики'!S559,WeightedMinAge04),MAX(CapacityAge04*'01_Вводные'!$B$218*'19_Расчет_аналитики'!S559,MeanMinAge04)))</f>
        <v/>
      </c>
      <c r="T467">
        <f>IF(OR('19_Расчет_аналитики'!T439=0,4&lt;='01_Вводные'!$B$297),0,'19_Расчет_аналитики'!T439*IF('01_Вводные'!$B$239="Да",MeanMinAge04+'19_Расчет_аналитики'!T559*SUMIF(ThresholdAge04,"&lt;"&amp;'19_Расчет_аналитики'!T559,WeightedRevAge04)-SUMIF(ThresholdAge04,"&lt;"&amp;'19_Расчет_аналитики'!T559,WeightedMinAge04),MAX(CapacityAge04*'01_Вводные'!$B$218*'19_Расчет_аналитики'!T559,MeanMinAge04)))</f>
        <v/>
      </c>
      <c r="U467">
        <f>IF(OR('19_Расчет_аналитики'!U439=0,4&lt;='01_Вводные'!$B$297),0,'19_Расчет_аналитики'!U439*IF('01_Вводные'!$B$239="Да",MeanMinAge04+'19_Расчет_аналитики'!U559*SUMIF(ThresholdAge04,"&lt;"&amp;'19_Расчет_аналитики'!U559,WeightedRevAge04)-SUMIF(ThresholdAge04,"&lt;"&amp;'19_Расчет_аналитики'!U559,WeightedMinAge04),MAX(CapacityAge04*'01_Вводные'!$B$218*'19_Расчет_аналитики'!U559,MeanMinAge04)))</f>
        <v/>
      </c>
      <c r="V467">
        <f>IF(OR('19_Расчет_аналитики'!V439=0,4&lt;='01_Вводные'!$B$297),0,'19_Расчет_аналитики'!V439*IF('01_Вводные'!$B$239="Да",MeanMinAge04+'19_Расчет_аналитики'!V559*SUMIF(ThresholdAge04,"&lt;"&amp;'19_Расчет_аналитики'!V559,WeightedRevAge04)-SUMIF(ThresholdAge04,"&lt;"&amp;'19_Расчет_аналитики'!V559,WeightedMinAge04),MAX(CapacityAge04*'01_Вводные'!$B$218*'19_Расчет_аналитики'!V559,MeanMinAge04)))</f>
        <v/>
      </c>
      <c r="W467">
        <f>IF(OR('19_Расчет_аналитики'!W439=0,4&lt;='01_Вводные'!$B$297),0,'19_Расчет_аналитики'!W439*IF('01_Вводные'!$B$239="Да",MeanMinAge04+'19_Расчет_аналитики'!W559*SUMIF(ThresholdAge04,"&lt;"&amp;'19_Расчет_аналитики'!W559,WeightedRevAge04)-SUMIF(ThresholdAge04,"&lt;"&amp;'19_Расчет_аналитики'!W559,WeightedMinAge04),MAX(CapacityAge04*'01_Вводные'!$B$218*'19_Расчет_аналитики'!W559,MeanMinAge04)))</f>
        <v/>
      </c>
      <c r="X467">
        <f>IF(OR('19_Расчет_аналитики'!X439=0,4&lt;='01_Вводные'!$B$297),0,'19_Расчет_аналитики'!X439*IF('01_Вводные'!$B$239="Да",MeanMinAge04+'19_Расчет_аналитики'!X559*SUMIF(ThresholdAge04,"&lt;"&amp;'19_Расчет_аналитики'!X559,WeightedRevAge04)-SUMIF(ThresholdAge04,"&lt;"&amp;'19_Расчет_аналитики'!X559,WeightedMinAge04),MAX(CapacityAge04*'01_Вводные'!$B$218*'19_Расчет_аналитики'!X559,MeanMinAge04)))</f>
        <v/>
      </c>
      <c r="Y467">
        <f>IF(OR('19_Расчет_аналитики'!Y439=0,4&lt;='01_Вводные'!$B$297),0,'19_Расчет_аналитики'!Y439*IF('01_Вводные'!$B$239="Да",MeanMinAge04+'19_Расчет_аналитики'!Y559*SUMIF(ThresholdAge04,"&lt;"&amp;'19_Расчет_аналитики'!Y559,WeightedRevAge04)-SUMIF(ThresholdAge04,"&lt;"&amp;'19_Расчет_аналитики'!Y559,WeightedMinAge04),MAX(CapacityAge04*'01_Вводные'!$B$218*'19_Расчет_аналитики'!Y559,MeanMinAge04)))</f>
        <v/>
      </c>
      <c r="Z467">
        <f>IF(OR('19_Расчет_аналитики'!Z439=0,4&lt;='01_Вводные'!$B$297),0,'19_Расчет_аналитики'!Z439*IF('01_Вводные'!$B$239="Да",MeanMinAge04+'19_Расчет_аналитики'!Z559*SUMIF(ThresholdAge04,"&lt;"&amp;'19_Расчет_аналитики'!Z559,WeightedRevAge04)-SUMIF(ThresholdAge04,"&lt;"&amp;'19_Расчет_аналитики'!Z559,WeightedMinAge04),MAX(CapacityAge04*'01_Вводные'!$B$218*'19_Расчет_аналитики'!Z559,MeanMinAge04)))</f>
        <v/>
      </c>
      <c r="AA467">
        <f>IF(OR('19_Расчет_аналитики'!AA439=0,4&lt;='01_Вводные'!$B$297),0,'19_Расчет_аналитики'!AA439*IF('01_Вводные'!$B$239="Да",MeanMinAge04+'19_Расчет_аналитики'!AA559*SUMIF(ThresholdAge04,"&lt;"&amp;'19_Расчет_аналитики'!AA559,WeightedRevAge04)-SUMIF(ThresholdAge04,"&lt;"&amp;'19_Расчет_аналитики'!AA559,WeightedMinAge04),MAX(CapacityAge04*'01_Вводные'!$B$218*'19_Расчет_аналитики'!AA559,MeanMinAge04)))</f>
        <v/>
      </c>
      <c r="AB467">
        <f>IF(OR('19_Расчет_аналитики'!AB439=0,4&lt;='01_Вводные'!$B$297),0,'19_Расчет_аналитики'!AB439*IF('01_Вводные'!$B$239="Да",MeanMinAge04+'19_Расчет_аналитики'!AB559*SUMIF(ThresholdAge04,"&lt;"&amp;'19_Расчет_аналитики'!AB559,WeightedRevAge04)-SUMIF(ThresholdAge04,"&lt;"&amp;'19_Расчет_аналитики'!AB559,WeightedMinAge04),MAX(CapacityAge04*'01_Вводные'!$B$218*'19_Расчет_аналитики'!AB559,MeanMinAge04)))</f>
        <v/>
      </c>
      <c r="AC467">
        <f>IF(OR('19_Расчет_аналитики'!AC439=0,4&lt;='01_Вводные'!$B$297),0,'19_Расчет_аналитики'!AC439*IF('01_Вводные'!$B$239="Да",MeanMinAge04+'19_Расчет_аналитики'!AC559*SUMIF(ThresholdAge04,"&lt;"&amp;'19_Расчет_аналитики'!AC559,WeightedRevAge04)-SUMIF(ThresholdAge04,"&lt;"&amp;'19_Расчет_аналитики'!AC559,WeightedMinAge04),MAX(CapacityAge04*'01_Вводные'!$B$218*'19_Расчет_аналитики'!AC559,MeanMinAge04)))</f>
        <v/>
      </c>
      <c r="AD467">
        <f>IF(OR('19_Расчет_аналитики'!AD439=0,4&lt;='01_Вводные'!$B$297),0,'19_Расчет_аналитики'!AD439*IF('01_Вводные'!$B$239="Да",MeanMinAge04+'19_Расчет_аналитики'!AD559*SUMIF(ThresholdAge04,"&lt;"&amp;'19_Расчет_аналитики'!AD559,WeightedRevAge04)-SUMIF(ThresholdAge04,"&lt;"&amp;'19_Расчет_аналитики'!AD559,WeightedMinAge04),MAX(CapacityAge04*'01_Вводные'!$B$218*'19_Расчет_аналитики'!AD559,MeanMinAge04)))</f>
        <v/>
      </c>
      <c r="AE467">
        <f>IF(OR('19_Расчет_аналитики'!AE439=0,4&lt;='01_Вводные'!$B$297),0,'19_Расчет_аналитики'!AE439*IF('01_Вводные'!$B$239="Да",MeanMinAge04+'19_Расчет_аналитики'!AE559*SUMIF(ThresholdAge04,"&lt;"&amp;'19_Расчет_аналитики'!AE559,WeightedRevAge04)-SUMIF(ThresholdAge04,"&lt;"&amp;'19_Расчет_аналитики'!AE559,WeightedMinAge04),MAX(CapacityAge04*'01_Вводные'!$B$218*'19_Расчет_аналитики'!AE559,MeanMinAge04)))</f>
        <v/>
      </c>
      <c r="AF467">
        <f>IF(OR('19_Расчет_аналитики'!AF439=0,4&lt;='01_Вводные'!$B$297),0,'19_Расчет_аналитики'!AF439*IF('01_Вводные'!$B$239="Да",MeanMinAge04+'19_Расчет_аналитики'!AF559*SUMIF(ThresholdAge04,"&lt;"&amp;'19_Расчет_аналитики'!AF559,WeightedRevAge04)-SUMIF(ThresholdAge04,"&lt;"&amp;'19_Расчет_аналитики'!AF559,WeightedMinAge04),MAX(CapacityAge04*'01_Вводные'!$B$218*'19_Расчет_аналитики'!AF559,MeanMinAge04)))</f>
        <v/>
      </c>
      <c r="AG467">
        <f>IF(OR('19_Расчет_аналитики'!AG439=0,4&lt;='01_Вводные'!$B$297),0,'19_Расчет_аналитики'!AG439*IF('01_Вводные'!$B$239="Да",MeanMinAge04+'19_Расчет_аналитики'!AG559*SUMIF(ThresholdAge04,"&lt;"&amp;'19_Расчет_аналитики'!AG559,WeightedRevAge04)-SUMIF(ThresholdAge04,"&lt;"&amp;'19_Расчет_аналитики'!AG559,WeightedMinAge04),MAX(CapacityAge04*'01_Вводные'!$B$218*'19_Расчет_аналитики'!AG559,MeanMinAge04)))</f>
        <v/>
      </c>
      <c r="AH467">
        <f>IF(OR('19_Расчет_аналитики'!AH439=0,4&lt;='01_Вводные'!$B$297),0,'19_Расчет_аналитики'!AH439*IF('01_Вводные'!$B$239="Да",MeanMinAge04+'19_Расчет_аналитики'!AH559*SUMIF(ThresholdAge04,"&lt;"&amp;'19_Расчет_аналитики'!AH559,WeightedRevAge04)-SUMIF(ThresholdAge04,"&lt;"&amp;'19_Расчет_аналитики'!AH559,WeightedMinAge04),MAX(CapacityAge04*'01_Вводные'!$B$218*'19_Расчет_аналитики'!AH559,MeanMinAge04)))</f>
        <v/>
      </c>
      <c r="AI467">
        <f>IF(OR('19_Расчет_аналитики'!AI439=0,4&lt;='01_Вводные'!$B$297),0,'19_Расчет_аналитики'!AI439*IF('01_Вводные'!$B$239="Да",MeanMinAge04+'19_Расчет_аналитики'!AI559*SUMIF(ThresholdAge04,"&lt;"&amp;'19_Расчет_аналитики'!AI559,WeightedRevAge04)-SUMIF(ThresholdAge04,"&lt;"&amp;'19_Расчет_аналитики'!AI559,WeightedMinAge04),MAX(CapacityAge04*'01_Вводные'!$B$218*'19_Расчет_аналитики'!AI559,MeanMinAge04)))</f>
        <v/>
      </c>
      <c r="AJ467">
        <f>IF(OR('19_Расчет_аналитики'!AJ439=0,4&lt;='01_Вводные'!$B$297),0,'19_Расчет_аналитики'!AJ439*IF('01_Вводные'!$B$239="Да",MeanMinAge04+'19_Расчет_аналитики'!AJ559*SUMIF(ThresholdAge04,"&lt;"&amp;'19_Расчет_аналитики'!AJ559,WeightedRevAge04)-SUMIF(ThresholdAge04,"&lt;"&amp;'19_Расчет_аналитики'!AJ559,WeightedMinAge04),MAX(CapacityAge04*'01_Вводные'!$B$218*'19_Расчет_аналитики'!AJ559,MeanMinAge04)))</f>
        <v/>
      </c>
      <c r="AK467">
        <f>IF(OR('19_Расчет_аналитики'!AK439=0,4&lt;='01_Вводные'!$B$297),0,'19_Расчет_аналитики'!AK439*IF('01_Вводные'!$B$239="Да",MeanMinAge04+'19_Расчет_аналитики'!AK559*SUMIF(ThresholdAge04,"&lt;"&amp;'19_Расчет_аналитики'!AK559,WeightedRevAge04)-SUMIF(ThresholdAge04,"&lt;"&amp;'19_Расчет_аналитики'!AK559,WeightedMinAge04),MAX(CapacityAge04*'01_Вводные'!$B$218*'19_Расчет_аналитики'!AK559,MeanMinAge04)))</f>
        <v/>
      </c>
      <c r="AL467">
        <f>IF(OR('19_Расчет_аналитики'!AL439=0,4&lt;='01_Вводные'!$B$297),0,'19_Расчет_аналитики'!AL439*IF('01_Вводные'!$B$239="Да",MeanMinAge04+'19_Расчет_аналитики'!AL559*SUMIF(ThresholdAge04,"&lt;"&amp;'19_Расчет_аналитики'!AL559,WeightedRevAge04)-SUMIF(ThresholdAge04,"&lt;"&amp;'19_Расчет_аналитики'!AL559,WeightedMinAge04),MAX(CapacityAge04*'01_Вводные'!$B$218*'19_Расчет_аналитики'!AL559,MeanMinAge04)))</f>
        <v/>
      </c>
      <c r="AM467">
        <f>IF(OR('19_Расчет_аналитики'!AM439=0,4&lt;='01_Вводные'!$B$297),0,'19_Расчет_аналитики'!AM439*IF('01_Вводные'!$B$239="Да",MeanMinAge04+'19_Расчет_аналитики'!AM559*SUMIF(ThresholdAge04,"&lt;"&amp;'19_Расчет_аналитики'!AM559,WeightedRevAge04)-SUMIF(ThresholdAge04,"&lt;"&amp;'19_Расчет_аналитики'!AM559,WeightedMinAge04),MAX(CapacityAge04*'01_Вводные'!$B$218*'19_Расчет_аналитики'!AM559,MeanMinAge04)))</f>
        <v/>
      </c>
      <c r="AN467">
        <f>IF(OR('19_Расчет_аналитики'!AN439=0,4&lt;='01_Вводные'!$B$297),0,'19_Расчет_аналитики'!AN439*IF('01_Вводные'!$B$239="Да",MeanMinAge04+'19_Расчет_аналитики'!AN559*SUMIF(ThresholdAge04,"&lt;"&amp;'19_Расчет_аналитики'!AN559,WeightedRevAge04)-SUMIF(ThresholdAge04,"&lt;"&amp;'19_Расчет_аналитики'!AN559,WeightedMinAge04),MAX(CapacityAge04*'01_Вводные'!$B$218*'19_Расчет_аналитики'!AN559,MeanMinAge04)))</f>
        <v/>
      </c>
      <c r="AO467">
        <f>IF(OR('19_Расчет_аналитики'!AO439=0,4&lt;='01_Вводные'!$B$297),0,'19_Расчет_аналитики'!AO439*IF('01_Вводные'!$B$239="Да",MeanMinAge04+'19_Расчет_аналитики'!AO559*SUMIF(ThresholdAge04,"&lt;"&amp;'19_Расчет_аналитики'!AO559,WeightedRevAge04)-SUMIF(ThresholdAge04,"&lt;"&amp;'19_Расчет_аналитики'!AO559,WeightedMinAge04),MAX(CapacityAge04*'01_Вводные'!$B$218*'19_Расчет_аналитики'!AO559,MeanMinAge04)))</f>
        <v/>
      </c>
      <c r="AP467">
        <f>IF(OR('19_Расчет_аналитики'!AP439=0,4&lt;='01_Вводные'!$B$297),0,'19_Расчет_аналитики'!AP439*IF('01_Вводные'!$B$239="Да",MeanMinAge04+'19_Расчет_аналитики'!AP559*SUMIF(ThresholdAge04,"&lt;"&amp;'19_Расчет_аналитики'!AP559,WeightedRevAge04)-SUMIF(ThresholdAge04,"&lt;"&amp;'19_Расчет_аналитики'!AP559,WeightedMinAge04),MAX(CapacityAge04*'01_Вводные'!$B$218*'19_Расчет_аналитики'!AP559,MeanMinAge04)))</f>
        <v/>
      </c>
      <c r="AQ467">
        <f>IF(OR('19_Расчет_аналитики'!AQ439=0,4&lt;='01_Вводные'!$B$297),0,'19_Расчет_аналитики'!AQ439*IF('01_Вводные'!$B$239="Да",MeanMinAge04+'19_Расчет_аналитики'!AQ559*SUMIF(ThresholdAge04,"&lt;"&amp;'19_Расчет_аналитики'!AQ559,WeightedRevAge04)-SUMIF(ThresholdAge04,"&lt;"&amp;'19_Расчет_аналитики'!AQ559,WeightedMinAge04),MAX(CapacityAge04*'01_Вводные'!$B$218*'19_Расчет_аналитики'!AQ559,MeanMinAge04)))</f>
        <v/>
      </c>
      <c r="AR467">
        <f>IF(OR('19_Расчет_аналитики'!AR439=0,4&lt;='01_Вводные'!$B$297),0,'19_Расчет_аналитики'!AR439*IF('01_Вводные'!$B$239="Да",MeanMinAge04+'19_Расчет_аналитики'!AR559*SUMIF(ThresholdAge04,"&lt;"&amp;'19_Расчет_аналитики'!AR559,WeightedRevAge04)-SUMIF(ThresholdAge04,"&lt;"&amp;'19_Расчет_аналитики'!AR559,WeightedMinAge04),MAX(CapacityAge04*'01_Вводные'!$B$218*'19_Расчет_аналитики'!AR559,MeanMinAge04)))</f>
        <v/>
      </c>
      <c r="AS467">
        <f>IF(OR('19_Расчет_аналитики'!AS439=0,4&lt;='01_Вводные'!$B$297),0,'19_Расчет_аналитики'!AS439*IF('01_Вводные'!$B$239="Да",MeanMinAge04+'19_Расчет_аналитики'!AS559*SUMIF(ThresholdAge04,"&lt;"&amp;'19_Расчет_аналитики'!AS559,WeightedRevAge04)-SUMIF(ThresholdAge04,"&lt;"&amp;'19_Расчет_аналитики'!AS559,WeightedMinAge04),MAX(CapacityAge04*'01_Вводные'!$B$218*'19_Расчет_аналитики'!AS559,MeanMinAge04)))</f>
        <v/>
      </c>
      <c r="AT467">
        <f>IF(OR('19_Расчет_аналитики'!AT439=0,4&lt;='01_Вводные'!$B$297),0,'19_Расчет_аналитики'!AT439*IF('01_Вводные'!$B$239="Да",MeanMinAge04+'19_Расчет_аналитики'!AT559*SUMIF(ThresholdAge04,"&lt;"&amp;'19_Расчет_аналитики'!AT559,WeightedRevAge04)-SUMIF(ThresholdAge04,"&lt;"&amp;'19_Расчет_аналитики'!AT559,WeightedMinAge04),MAX(CapacityAge04*'01_Вводные'!$B$218*'19_Расчет_аналитики'!AT559,MeanMinAge04)))</f>
        <v/>
      </c>
      <c r="AU467">
        <f>IF(OR('19_Расчет_аналитики'!AU439=0,4&lt;='01_Вводные'!$B$297),0,'19_Расчет_аналитики'!AU439*IF('01_Вводные'!$B$239="Да",MeanMinAge04+'19_Расчет_аналитики'!AU559*SUMIF(ThresholdAge04,"&lt;"&amp;'19_Расчет_аналитики'!AU559,WeightedRevAge04)-SUMIF(ThresholdAge04,"&lt;"&amp;'19_Расчет_аналитики'!AU559,WeightedMinAge04),MAX(CapacityAge04*'01_Вводные'!$B$218*'19_Расчет_аналитики'!AU559,MeanMinAge04)))</f>
        <v/>
      </c>
      <c r="AV467">
        <f>IF(OR('19_Расчет_аналитики'!AV439=0,4&lt;='01_Вводные'!$B$297),0,'19_Расчет_аналитики'!AV439*IF('01_Вводные'!$B$239="Да",MeanMinAge04+'19_Расчет_аналитики'!AV559*SUMIF(ThresholdAge04,"&lt;"&amp;'19_Расчет_аналитики'!AV559,WeightedRevAge04)-SUMIF(ThresholdAge04,"&lt;"&amp;'19_Расчет_аналитики'!AV559,WeightedMinAge04),MAX(CapacityAge04*'01_Вводные'!$B$218*'19_Расчет_аналитики'!AV559,MeanMinAge04)))</f>
        <v/>
      </c>
      <c r="AW467">
        <f>IF(OR('19_Расчет_аналитики'!AW439=0,4&lt;='01_Вводные'!$B$297),0,'19_Расчет_аналитики'!AW439*IF('01_Вводные'!$B$239="Да",MeanMinAge04+'19_Расчет_аналитики'!AW559*SUMIF(ThresholdAge04,"&lt;"&amp;'19_Расчет_аналитики'!AW559,WeightedRevAge04)-SUMIF(ThresholdAge04,"&lt;"&amp;'19_Расчет_аналитики'!AW559,WeightedMinAge04),MAX(CapacityAge04*'01_Вводные'!$B$218*'19_Расчет_аналитики'!AW559,MeanMinAge04)))</f>
        <v/>
      </c>
      <c r="AX467">
        <f>IF(OR('19_Расчет_аналитики'!AX439=0,4&lt;='01_Вводные'!$B$297),0,'19_Расчет_аналитики'!AX439*IF('01_Вводные'!$B$239="Да",MeanMinAge04+'19_Расчет_аналитики'!AX559*SUMIF(ThresholdAge04,"&lt;"&amp;'19_Расчет_аналитики'!AX559,WeightedRevAge04)-SUMIF(ThresholdAge04,"&lt;"&amp;'19_Расчет_аналитики'!AX559,WeightedMinAge04),MAX(CapacityAge04*'01_Вводные'!$B$218*'19_Расчет_аналитики'!AX559,MeanMinAge04)))</f>
        <v/>
      </c>
      <c r="AY467">
        <f>IF(OR('19_Расчет_аналитики'!AY439=0,4&lt;='01_Вводные'!$B$297),0,'19_Расчет_аналитики'!AY439*IF('01_Вводные'!$B$239="Да",MeanMinAge04+'19_Расчет_аналитики'!AY559*SUMIF(ThresholdAge04,"&lt;"&amp;'19_Расчет_аналитики'!AY559,WeightedRevAge04)-SUMIF(ThresholdAge04,"&lt;"&amp;'19_Расчет_аналитики'!AY559,WeightedMinAge04),MAX(CapacityAge04*'01_Вводные'!$B$218*'19_Расчет_аналитики'!AY559,MeanMinAge04)))</f>
        <v/>
      </c>
      <c r="AZ467">
        <f>IF(OR('19_Расчет_аналитики'!AZ439=0,4&lt;='01_Вводные'!$B$297),0,'19_Расчет_аналитики'!AZ439*IF('01_Вводные'!$B$239="Да",MeanMinAge04+'19_Расчет_аналитики'!AZ559*SUMIF(ThresholdAge04,"&lt;"&amp;'19_Расчет_аналитики'!AZ559,WeightedRevAge04)-SUMIF(ThresholdAge04,"&lt;"&amp;'19_Расчет_аналитики'!AZ559,WeightedMinAge04),MAX(CapacityAge04*'01_Вводные'!$B$218*'19_Расчет_аналитики'!AZ559,MeanMinAge04)))</f>
        <v/>
      </c>
      <c r="BA467">
        <f>IF(OR('19_Расчет_аналитики'!BA439=0,4&lt;='01_Вводные'!$B$297),0,'19_Расчет_аналитики'!BA439*IF('01_Вводные'!$B$239="Да",MeanMinAge04+'19_Расчет_аналитики'!BA559*SUMIF(ThresholdAge04,"&lt;"&amp;'19_Расчет_аналитики'!BA559,WeightedRevAge04)-SUMIF(ThresholdAge04,"&lt;"&amp;'19_Расчет_аналитики'!BA559,WeightedMinAge04),MAX(CapacityAge04*'01_Вводные'!$B$218*'19_Расчет_аналитики'!BA559,MeanMinAge04)))</f>
        <v/>
      </c>
      <c r="BB467">
        <f>IF(OR('19_Расчет_аналитики'!BB439=0,4&lt;='01_Вводные'!$B$297),0,'19_Расчет_аналитики'!BB439*IF('01_Вводные'!$B$239="Да",MeanMinAge04+'19_Расчет_аналитики'!BB559*SUMIF(ThresholdAge04,"&lt;"&amp;'19_Расчет_аналитики'!BB559,WeightedRevAge04)-SUMIF(ThresholdAge04,"&lt;"&amp;'19_Расчет_аналитики'!BB559,WeightedMinAge04),MAX(CapacityAge04*'01_Вводные'!$B$218*'19_Расчет_аналитики'!BB559,MeanMinAge04)))</f>
        <v/>
      </c>
      <c r="BC467">
        <f>IF(OR('19_Расчет_аналитики'!BC439=0,4&lt;='01_Вводные'!$B$297),0,'19_Расчет_аналитики'!BC439*IF('01_Вводные'!$B$239="Да",MeanMinAge04+'19_Расчет_аналитики'!BC559*SUMIF(ThresholdAge04,"&lt;"&amp;'19_Расчет_аналитики'!BC559,WeightedRevAge04)-SUMIF(ThresholdAge04,"&lt;"&amp;'19_Расчет_аналитики'!BC559,WeightedMinAge04),MAX(CapacityAge04*'01_Вводные'!$B$218*'19_Расчет_аналитики'!BC559,MeanMinAge04)))</f>
        <v/>
      </c>
      <c r="BD467">
        <f>IF(OR('19_Расчет_аналитики'!BD439=0,4&lt;='01_Вводные'!$B$297),0,'19_Расчет_аналитики'!BD439*IF('01_Вводные'!$B$239="Да",MeanMinAge04+'19_Расчет_аналитики'!BD559*SUMIF(ThresholdAge04,"&lt;"&amp;'19_Расчет_аналитики'!BD559,WeightedRevAge04)-SUMIF(ThresholdAge04,"&lt;"&amp;'19_Расчет_аналитики'!BD559,WeightedMinAge04),MAX(CapacityAge04*'01_Вводные'!$B$218*'19_Расчет_аналитики'!BD559,MeanMinAge04)))</f>
        <v/>
      </c>
      <c r="BE467">
        <f>IF(OR('19_Расчет_аналитики'!BE439=0,4&lt;='01_Вводные'!$B$297),0,'19_Расчет_аналитики'!BE439*IF('01_Вводные'!$B$239="Да",MeanMinAge04+'19_Расчет_аналитики'!BE559*SUMIF(ThresholdAge04,"&lt;"&amp;'19_Расчет_аналитики'!BE559,WeightedRevAge04)-SUMIF(ThresholdAge04,"&lt;"&amp;'19_Расчет_аналитики'!BE559,WeightedMinAge04),MAX(CapacityAge04*'01_Вводные'!$B$218*'19_Расчет_аналитики'!BE559,MeanMinAge04)))</f>
        <v/>
      </c>
      <c r="BF467">
        <f>IF(OR('19_Расчет_аналитики'!BF439=0,4&lt;='01_Вводные'!$B$297),0,'19_Расчет_аналитики'!BF439*IF('01_Вводные'!$B$239="Да",MeanMinAge04+'19_Расчет_аналитики'!BF559*SUMIF(ThresholdAge04,"&lt;"&amp;'19_Расчет_аналитики'!BF559,WeightedRevAge04)-SUMIF(ThresholdAge04,"&lt;"&amp;'19_Расчет_аналитики'!BF559,WeightedMinAge04),MAX(CapacityAge04*'01_Вводные'!$B$218*'19_Расчет_аналитики'!BF559,MeanMinAge04)))</f>
        <v/>
      </c>
      <c r="BG467">
        <f>IF(OR('19_Расчет_аналитики'!BG439=0,4&lt;='01_Вводные'!$B$297),0,'19_Расчет_аналитики'!BG439*IF('01_Вводные'!$B$239="Да",MeanMinAge04+'19_Расчет_аналитики'!BG559*SUMIF(ThresholdAge04,"&lt;"&amp;'19_Расчет_аналитики'!BG559,WeightedRevAge04)-SUMIF(ThresholdAge04,"&lt;"&amp;'19_Расчет_аналитики'!BG559,WeightedMinAge04),MAX(CapacityAge04*'01_Вводные'!$B$218*'19_Расчет_аналитики'!BG559,MeanMinAge04)))</f>
        <v/>
      </c>
      <c r="BH467">
        <f>IF(OR('19_Расчет_аналитики'!BH439=0,4&lt;='01_Вводные'!$B$297),0,'19_Расчет_аналитики'!BH439*IF('01_Вводные'!$B$239="Да",MeanMinAge04+'19_Расчет_аналитики'!BH559*SUMIF(ThresholdAge04,"&lt;"&amp;'19_Расчет_аналитики'!BH559,WeightedRevAge04)-SUMIF(ThresholdAge04,"&lt;"&amp;'19_Расчет_аналитики'!BH559,WeightedMinAge04),MAX(CapacityAge04*'01_Вводные'!$B$218*'19_Расчет_аналитики'!BH559,MeanMinAge04)))</f>
        <v/>
      </c>
      <c r="BI467">
        <f>IF(OR('19_Расчет_аналитики'!BI439=0,4&lt;='01_Вводные'!$B$297),0,'19_Расчет_аналитики'!BI439*IF('01_Вводные'!$B$239="Да",MeanMinAge04+'19_Расчет_аналитики'!BI559*SUMIF(ThresholdAge04,"&lt;"&amp;'19_Расчет_аналитики'!BI559,WeightedRevAge04)-SUMIF(ThresholdAge04,"&lt;"&amp;'19_Расчет_аналитики'!BI559,WeightedMinAge04),MAX(CapacityAge04*'01_Вводные'!$B$218*'19_Расчет_аналитики'!BI559,MeanMinAge04)))</f>
        <v/>
      </c>
      <c r="BJ467">
        <f>IF(OR('19_Расчет_аналитики'!BJ439=0,4&lt;='01_Вводные'!$B$297),0,'19_Расчет_аналитики'!BJ439*IF('01_Вводные'!$B$239="Да",MeanMinAge04+'19_Расчет_аналитики'!BJ559*SUMIF(ThresholdAge04,"&lt;"&amp;'19_Расчет_аналитики'!BJ559,WeightedRevAge04)-SUMIF(ThresholdAge04,"&lt;"&amp;'19_Расчет_аналитики'!BJ559,WeightedMinAge04),MAX(CapacityAge04*'01_Вводные'!$B$218*'19_Расчет_аналитики'!BJ559,MeanMinAge04)))</f>
        <v/>
      </c>
      <c r="BK467">
        <f>IF(OR('19_Расчет_аналитики'!BK439=0,4&lt;='01_Вводные'!$B$297),0,'19_Расчет_аналитики'!BK439*IF('01_Вводные'!$B$239="Да",MeanMinAge04+'19_Расчет_аналитики'!BK559*SUMIF(ThresholdAge04,"&lt;"&amp;'19_Расчет_аналитики'!BK559,WeightedRevAge04)-SUMIF(ThresholdAge04,"&lt;"&amp;'19_Расчет_аналитики'!BK559,WeightedMinAge04),MAX(CapacityAge04*'01_Вводные'!$B$218*'19_Расчет_аналитики'!BK559,MeanMinAge04)))</f>
        <v/>
      </c>
      <c r="BL467">
        <f>IF(OR('19_Расчет_аналитики'!BL439=0,4&lt;='01_Вводные'!$B$297),0,'19_Расчет_аналитики'!BL439*IF('01_Вводные'!$B$239="Да",MeanMinAge04+'19_Расчет_аналитики'!BL559*SUMIF(ThresholdAge04,"&lt;"&amp;'19_Расчет_аналитики'!BL559,WeightedRevAge04)-SUMIF(ThresholdAge04,"&lt;"&amp;'19_Расчет_аналитики'!BL559,WeightedMinAge04),MAX(CapacityAge04*'01_Вводные'!$B$218*'19_Расчет_аналитики'!BL559,MeanMinAge04)))</f>
        <v/>
      </c>
      <c r="BM467">
        <f>IF(OR('19_Расчет_аналитики'!BM439=0,4&lt;='01_Вводные'!$B$297),0,'19_Расчет_аналитики'!BM439*IF('01_Вводные'!$B$239="Да",MeanMinAge04+'19_Расчет_аналитики'!BM559*SUMIF(ThresholdAge04,"&lt;"&amp;'19_Расчет_аналитики'!BM559,WeightedRevAge04)-SUMIF(ThresholdAge04,"&lt;"&amp;'19_Расчет_аналитики'!BM559,WeightedMinAge04),MAX(CapacityAge04*'01_Вводные'!$B$218*'19_Расчет_аналитики'!BM559,MeanMinAge04)))</f>
        <v/>
      </c>
      <c r="BN467">
        <f>IF(OR('19_Расчет_аналитики'!BN439=0,4&lt;='01_Вводные'!$B$297),0,'19_Расчет_аналитики'!BN439*IF('01_Вводные'!$B$239="Да",MeanMinAge04+'19_Расчет_аналитики'!BN559*SUMIF(ThresholdAge04,"&lt;"&amp;'19_Расчет_аналитики'!BN559,WeightedRevAge04)-SUMIF(ThresholdAge04,"&lt;"&amp;'19_Расчет_аналитики'!BN559,WeightedMinAge04),MAX(CapacityAge04*'01_Вводные'!$B$218*'19_Расчет_аналитики'!BN559,MeanMinAge04)))</f>
        <v/>
      </c>
      <c r="BO467">
        <f>IF(OR('19_Расчет_аналитики'!BO439=0,4&lt;='01_Вводные'!$B$297),0,'19_Расчет_аналитики'!BO439*IF('01_Вводные'!$B$239="Да",MeanMinAge04+'19_Расчет_аналитики'!BO559*SUMIF(ThresholdAge04,"&lt;"&amp;'19_Расчет_аналитики'!BO559,WeightedRevAge04)-SUMIF(ThresholdAge04,"&lt;"&amp;'19_Расчет_аналитики'!BO559,WeightedMinAge04),MAX(CapacityAge04*'01_Вводные'!$B$218*'19_Расчет_аналитики'!BO559,MeanMinAge04)))</f>
        <v/>
      </c>
    </row>
    <row r="468">
      <c r="B468">
        <f>IF(OR('06_Сеть_и_дети'!B85=0,5&lt;='01_Вводные'!$B$297),0,'06_Сеть_и_дети'!B85*IF('01_Вводные'!$B$239="Да",MeanMinAge05+'19_Расчет_аналитики'!B559*SUMIF(ThresholdAge05,"&lt;"&amp;'19_Расчет_аналитики'!B559,WeightedRevAge05)-SUMIF(ThresholdAge05,"&lt;"&amp;'19_Расчет_аналитики'!B559,WeightedMinAge05),MAX(CapacityAge05*'01_Вводные'!$B$218*'19_Расчет_аналитики'!B559,MeanMinAge05)))</f>
        <v/>
      </c>
      <c r="C468">
        <f>IF(OR('06_Сеть_и_дети'!C85=0,5&lt;='01_Вводные'!$B$297),0,'06_Сеть_и_дети'!C85*IF('01_Вводные'!$B$239="Да",MeanMinAge05+'19_Расчет_аналитики'!C559*SUMIF(ThresholdAge05,"&lt;"&amp;'19_Расчет_аналитики'!C559,WeightedRevAge05)-SUMIF(ThresholdAge05,"&lt;"&amp;'19_Расчет_аналитики'!C559,WeightedMinAge05),MAX(CapacityAge05*'01_Вводные'!$B$218*'19_Расчет_аналитики'!C559,MeanMinAge05)))</f>
        <v/>
      </c>
      <c r="D468">
        <f>IF(OR('06_Сеть_и_дети'!D85=0,5&lt;='01_Вводные'!$B$297),0,'06_Сеть_и_дети'!D85*IF('01_Вводные'!$B$239="Да",MeanMinAge05+'19_Расчет_аналитики'!D559*SUMIF(ThresholdAge05,"&lt;"&amp;'19_Расчет_аналитики'!D559,WeightedRevAge05)-SUMIF(ThresholdAge05,"&lt;"&amp;'19_Расчет_аналитики'!D559,WeightedMinAge05),MAX(CapacityAge05*'01_Вводные'!$B$218*'19_Расчет_аналитики'!D559,MeanMinAge05)))</f>
        <v/>
      </c>
      <c r="E468">
        <f>IF(OR('06_Сеть_и_дети'!E85=0,5&lt;='01_Вводные'!$B$297),0,'06_Сеть_и_дети'!E85*IF('01_Вводные'!$B$239="Да",MeanMinAge05+'19_Расчет_аналитики'!E559*SUMIF(ThresholdAge05,"&lt;"&amp;'19_Расчет_аналитики'!E559,WeightedRevAge05)-SUMIF(ThresholdAge05,"&lt;"&amp;'19_Расчет_аналитики'!E559,WeightedMinAge05),MAX(CapacityAge05*'01_Вводные'!$B$218*'19_Расчет_аналитики'!E559,MeanMinAge05)))</f>
        <v/>
      </c>
      <c r="F468">
        <f>IF(OR('19_Расчет_аналитики'!F440=0,5&lt;='01_Вводные'!$B$297),0,'19_Расчет_аналитики'!F440*IF('01_Вводные'!$B$239="Да",MeanMinAge05+'19_Расчет_аналитики'!F559*SUMIF(ThresholdAge05,"&lt;"&amp;'19_Расчет_аналитики'!F559,WeightedRevAge05)-SUMIF(ThresholdAge05,"&lt;"&amp;'19_Расчет_аналитики'!F559,WeightedMinAge05),MAX(CapacityAge05*'01_Вводные'!$B$218*'19_Расчет_аналитики'!F559,MeanMinAge05)))</f>
        <v/>
      </c>
      <c r="G468">
        <f>IF(OR('19_Расчет_аналитики'!G440=0,5&lt;='01_Вводные'!$B$297),0,'19_Расчет_аналитики'!G440*IF('01_Вводные'!$B$239="Да",MeanMinAge05+'19_Расчет_аналитики'!G559*SUMIF(ThresholdAge05,"&lt;"&amp;'19_Расчет_аналитики'!G559,WeightedRevAge05)-SUMIF(ThresholdAge05,"&lt;"&amp;'19_Расчет_аналитики'!G559,WeightedMinAge05),MAX(CapacityAge05*'01_Вводные'!$B$218*'19_Расчет_аналитики'!G559,MeanMinAge05)))</f>
        <v/>
      </c>
      <c r="H468">
        <f>IF(OR('19_Расчет_аналитики'!H440=0,5&lt;='01_Вводные'!$B$297),0,'19_Расчет_аналитики'!H440*IF('01_Вводные'!$B$239="Да",MeanMinAge05+'19_Расчет_аналитики'!H559*SUMIF(ThresholdAge05,"&lt;"&amp;'19_Расчет_аналитики'!H559,WeightedRevAge05)-SUMIF(ThresholdAge05,"&lt;"&amp;'19_Расчет_аналитики'!H559,WeightedMinAge05),MAX(CapacityAge05*'01_Вводные'!$B$218*'19_Расчет_аналитики'!H559,MeanMinAge05)))</f>
        <v/>
      </c>
      <c r="I468">
        <f>IF(OR('19_Расчет_аналитики'!I440=0,5&lt;='01_Вводные'!$B$297),0,'19_Расчет_аналитики'!I440*IF('01_Вводные'!$B$239="Да",MeanMinAge05+'19_Расчет_аналитики'!I559*SUMIF(ThresholdAge05,"&lt;"&amp;'19_Расчет_аналитики'!I559,WeightedRevAge05)-SUMIF(ThresholdAge05,"&lt;"&amp;'19_Расчет_аналитики'!I559,WeightedMinAge05),MAX(CapacityAge05*'01_Вводные'!$B$218*'19_Расчет_аналитики'!I559,MeanMinAge05)))</f>
        <v/>
      </c>
      <c r="J468">
        <f>IF(OR('19_Расчет_аналитики'!J440=0,5&lt;='01_Вводные'!$B$297),0,'19_Расчет_аналитики'!J440*IF('01_Вводные'!$B$239="Да",MeanMinAge05+'19_Расчет_аналитики'!J559*SUMIF(ThresholdAge05,"&lt;"&amp;'19_Расчет_аналитики'!J559,WeightedRevAge05)-SUMIF(ThresholdAge05,"&lt;"&amp;'19_Расчет_аналитики'!J559,WeightedMinAge05),MAX(CapacityAge05*'01_Вводные'!$B$218*'19_Расчет_аналитики'!J559,MeanMinAge05)))</f>
        <v/>
      </c>
      <c r="K468">
        <f>IF(OR('19_Расчет_аналитики'!K440=0,5&lt;='01_Вводные'!$B$297),0,'19_Расчет_аналитики'!K440*IF('01_Вводные'!$B$239="Да",MeanMinAge05+'19_Расчет_аналитики'!K559*SUMIF(ThresholdAge05,"&lt;"&amp;'19_Расчет_аналитики'!K559,WeightedRevAge05)-SUMIF(ThresholdAge05,"&lt;"&amp;'19_Расчет_аналитики'!K559,WeightedMinAge05),MAX(CapacityAge05*'01_Вводные'!$B$218*'19_Расчет_аналитики'!K559,MeanMinAge05)))</f>
        <v/>
      </c>
      <c r="L468">
        <f>IF(OR('19_Расчет_аналитики'!L440=0,5&lt;='01_Вводные'!$B$297),0,'19_Расчет_аналитики'!L440*IF('01_Вводные'!$B$239="Да",MeanMinAge05+'19_Расчет_аналитики'!L559*SUMIF(ThresholdAge05,"&lt;"&amp;'19_Расчет_аналитики'!L559,WeightedRevAge05)-SUMIF(ThresholdAge05,"&lt;"&amp;'19_Расчет_аналитики'!L559,WeightedMinAge05),MAX(CapacityAge05*'01_Вводные'!$B$218*'19_Расчет_аналитики'!L559,MeanMinAge05)))</f>
        <v/>
      </c>
      <c r="M468">
        <f>IF(OR('19_Расчет_аналитики'!M440=0,5&lt;='01_Вводные'!$B$297),0,'19_Расчет_аналитики'!M440*IF('01_Вводные'!$B$239="Да",MeanMinAge05+'19_Расчет_аналитики'!M559*SUMIF(ThresholdAge05,"&lt;"&amp;'19_Расчет_аналитики'!M559,WeightedRevAge05)-SUMIF(ThresholdAge05,"&lt;"&amp;'19_Расчет_аналитики'!M559,WeightedMinAge05),MAX(CapacityAge05*'01_Вводные'!$B$218*'19_Расчет_аналитики'!M559,MeanMinAge05)))</f>
        <v/>
      </c>
      <c r="N468">
        <f>IF(OR('19_Расчет_аналитики'!N440=0,5&lt;='01_Вводные'!$B$297),0,'19_Расчет_аналитики'!N440*IF('01_Вводные'!$B$239="Да",MeanMinAge05+'19_Расчет_аналитики'!N559*SUMIF(ThresholdAge05,"&lt;"&amp;'19_Расчет_аналитики'!N559,WeightedRevAge05)-SUMIF(ThresholdAge05,"&lt;"&amp;'19_Расчет_аналитики'!N559,WeightedMinAge05),MAX(CapacityAge05*'01_Вводные'!$B$218*'19_Расчет_аналитики'!N559,MeanMinAge05)))</f>
        <v/>
      </c>
      <c r="O468">
        <f>IF(OR('19_Расчет_аналитики'!O440=0,5&lt;='01_Вводные'!$B$297),0,'19_Расчет_аналитики'!O440*IF('01_Вводные'!$B$239="Да",MeanMinAge05+'19_Расчет_аналитики'!O559*SUMIF(ThresholdAge05,"&lt;"&amp;'19_Расчет_аналитики'!O559,WeightedRevAge05)-SUMIF(ThresholdAge05,"&lt;"&amp;'19_Расчет_аналитики'!O559,WeightedMinAge05),MAX(CapacityAge05*'01_Вводные'!$B$218*'19_Расчет_аналитики'!O559,MeanMinAge05)))</f>
        <v/>
      </c>
      <c r="P468">
        <f>IF(OR('19_Расчет_аналитики'!P440=0,5&lt;='01_Вводные'!$B$297),0,'19_Расчет_аналитики'!P440*IF('01_Вводные'!$B$239="Да",MeanMinAge05+'19_Расчет_аналитики'!P559*SUMIF(ThresholdAge05,"&lt;"&amp;'19_Расчет_аналитики'!P559,WeightedRevAge05)-SUMIF(ThresholdAge05,"&lt;"&amp;'19_Расчет_аналитики'!P559,WeightedMinAge05),MAX(CapacityAge05*'01_Вводные'!$B$218*'19_Расчет_аналитики'!P559,MeanMinAge05)))</f>
        <v/>
      </c>
      <c r="Q468">
        <f>IF(OR('19_Расчет_аналитики'!Q440=0,5&lt;='01_Вводные'!$B$297),0,'19_Расчет_аналитики'!Q440*IF('01_Вводные'!$B$239="Да",MeanMinAge05+'19_Расчет_аналитики'!Q559*SUMIF(ThresholdAge05,"&lt;"&amp;'19_Расчет_аналитики'!Q559,WeightedRevAge05)-SUMIF(ThresholdAge05,"&lt;"&amp;'19_Расчет_аналитики'!Q559,WeightedMinAge05),MAX(CapacityAge05*'01_Вводные'!$B$218*'19_Расчет_аналитики'!Q559,MeanMinAge05)))</f>
        <v/>
      </c>
      <c r="R468">
        <f>IF(OR('19_Расчет_аналитики'!R440=0,5&lt;='01_Вводные'!$B$297),0,'19_Расчет_аналитики'!R440*IF('01_Вводные'!$B$239="Да",MeanMinAge05+'19_Расчет_аналитики'!R559*SUMIF(ThresholdAge05,"&lt;"&amp;'19_Расчет_аналитики'!R559,WeightedRevAge05)-SUMIF(ThresholdAge05,"&lt;"&amp;'19_Расчет_аналитики'!R559,WeightedMinAge05),MAX(CapacityAge05*'01_Вводные'!$B$218*'19_Расчет_аналитики'!R559,MeanMinAge05)))</f>
        <v/>
      </c>
      <c r="S468">
        <f>IF(OR('19_Расчет_аналитики'!S440=0,5&lt;='01_Вводные'!$B$297),0,'19_Расчет_аналитики'!S440*IF('01_Вводные'!$B$239="Да",MeanMinAge05+'19_Расчет_аналитики'!S559*SUMIF(ThresholdAge05,"&lt;"&amp;'19_Расчет_аналитики'!S559,WeightedRevAge05)-SUMIF(ThresholdAge05,"&lt;"&amp;'19_Расчет_аналитики'!S559,WeightedMinAge05),MAX(CapacityAge05*'01_Вводные'!$B$218*'19_Расчет_аналитики'!S559,MeanMinAge05)))</f>
        <v/>
      </c>
      <c r="T468">
        <f>IF(OR('19_Расчет_аналитики'!T440=0,5&lt;='01_Вводные'!$B$297),0,'19_Расчет_аналитики'!T440*IF('01_Вводные'!$B$239="Да",MeanMinAge05+'19_Расчет_аналитики'!T559*SUMIF(ThresholdAge05,"&lt;"&amp;'19_Расчет_аналитики'!T559,WeightedRevAge05)-SUMIF(ThresholdAge05,"&lt;"&amp;'19_Расчет_аналитики'!T559,WeightedMinAge05),MAX(CapacityAge05*'01_Вводные'!$B$218*'19_Расчет_аналитики'!T559,MeanMinAge05)))</f>
        <v/>
      </c>
      <c r="U468">
        <f>IF(OR('19_Расчет_аналитики'!U440=0,5&lt;='01_Вводные'!$B$297),0,'19_Расчет_аналитики'!U440*IF('01_Вводные'!$B$239="Да",MeanMinAge05+'19_Расчет_аналитики'!U559*SUMIF(ThresholdAge05,"&lt;"&amp;'19_Расчет_аналитики'!U559,WeightedRevAge05)-SUMIF(ThresholdAge05,"&lt;"&amp;'19_Расчет_аналитики'!U559,WeightedMinAge05),MAX(CapacityAge05*'01_Вводные'!$B$218*'19_Расчет_аналитики'!U559,MeanMinAge05)))</f>
        <v/>
      </c>
      <c r="V468">
        <f>IF(OR('19_Расчет_аналитики'!V440=0,5&lt;='01_Вводные'!$B$297),0,'19_Расчет_аналитики'!V440*IF('01_Вводные'!$B$239="Да",MeanMinAge05+'19_Расчет_аналитики'!V559*SUMIF(ThresholdAge05,"&lt;"&amp;'19_Расчет_аналитики'!V559,WeightedRevAge05)-SUMIF(ThresholdAge05,"&lt;"&amp;'19_Расчет_аналитики'!V559,WeightedMinAge05),MAX(CapacityAge05*'01_Вводные'!$B$218*'19_Расчет_аналитики'!V559,MeanMinAge05)))</f>
        <v/>
      </c>
      <c r="W468">
        <f>IF(OR('19_Расчет_аналитики'!W440=0,5&lt;='01_Вводные'!$B$297),0,'19_Расчет_аналитики'!W440*IF('01_Вводные'!$B$239="Да",MeanMinAge05+'19_Расчет_аналитики'!W559*SUMIF(ThresholdAge05,"&lt;"&amp;'19_Расчет_аналитики'!W559,WeightedRevAge05)-SUMIF(ThresholdAge05,"&lt;"&amp;'19_Расчет_аналитики'!W559,WeightedMinAge05),MAX(CapacityAge05*'01_Вводные'!$B$218*'19_Расчет_аналитики'!W559,MeanMinAge05)))</f>
        <v/>
      </c>
      <c r="X468">
        <f>IF(OR('19_Расчет_аналитики'!X440=0,5&lt;='01_Вводные'!$B$297),0,'19_Расчет_аналитики'!X440*IF('01_Вводные'!$B$239="Да",MeanMinAge05+'19_Расчет_аналитики'!X559*SUMIF(ThresholdAge05,"&lt;"&amp;'19_Расчет_аналитики'!X559,WeightedRevAge05)-SUMIF(ThresholdAge05,"&lt;"&amp;'19_Расчет_аналитики'!X559,WeightedMinAge05),MAX(CapacityAge05*'01_Вводные'!$B$218*'19_Расчет_аналитики'!X559,MeanMinAge05)))</f>
        <v/>
      </c>
      <c r="Y468">
        <f>IF(OR('19_Расчет_аналитики'!Y440=0,5&lt;='01_Вводные'!$B$297),0,'19_Расчет_аналитики'!Y440*IF('01_Вводные'!$B$239="Да",MeanMinAge05+'19_Расчет_аналитики'!Y559*SUMIF(ThresholdAge05,"&lt;"&amp;'19_Расчет_аналитики'!Y559,WeightedRevAge05)-SUMIF(ThresholdAge05,"&lt;"&amp;'19_Расчет_аналитики'!Y559,WeightedMinAge05),MAX(CapacityAge05*'01_Вводные'!$B$218*'19_Расчет_аналитики'!Y559,MeanMinAge05)))</f>
        <v/>
      </c>
      <c r="Z468">
        <f>IF(OR('19_Расчет_аналитики'!Z440=0,5&lt;='01_Вводные'!$B$297),0,'19_Расчет_аналитики'!Z440*IF('01_Вводные'!$B$239="Да",MeanMinAge05+'19_Расчет_аналитики'!Z559*SUMIF(ThresholdAge05,"&lt;"&amp;'19_Расчет_аналитики'!Z559,WeightedRevAge05)-SUMIF(ThresholdAge05,"&lt;"&amp;'19_Расчет_аналитики'!Z559,WeightedMinAge05),MAX(CapacityAge05*'01_Вводные'!$B$218*'19_Расчет_аналитики'!Z559,MeanMinAge05)))</f>
        <v/>
      </c>
      <c r="AA468">
        <f>IF(OR('19_Расчет_аналитики'!AA440=0,5&lt;='01_Вводные'!$B$297),0,'19_Расчет_аналитики'!AA440*IF('01_Вводные'!$B$239="Да",MeanMinAge05+'19_Расчет_аналитики'!AA559*SUMIF(ThresholdAge05,"&lt;"&amp;'19_Расчет_аналитики'!AA559,WeightedRevAge05)-SUMIF(ThresholdAge05,"&lt;"&amp;'19_Расчет_аналитики'!AA559,WeightedMinAge05),MAX(CapacityAge05*'01_Вводные'!$B$218*'19_Расчет_аналитики'!AA559,MeanMinAge05)))</f>
        <v/>
      </c>
      <c r="AB468">
        <f>IF(OR('19_Расчет_аналитики'!AB440=0,5&lt;='01_Вводные'!$B$297),0,'19_Расчет_аналитики'!AB440*IF('01_Вводные'!$B$239="Да",MeanMinAge05+'19_Расчет_аналитики'!AB559*SUMIF(ThresholdAge05,"&lt;"&amp;'19_Расчет_аналитики'!AB559,WeightedRevAge05)-SUMIF(ThresholdAge05,"&lt;"&amp;'19_Расчет_аналитики'!AB559,WeightedMinAge05),MAX(CapacityAge05*'01_Вводные'!$B$218*'19_Расчет_аналитики'!AB559,MeanMinAge05)))</f>
        <v/>
      </c>
      <c r="AC468">
        <f>IF(OR('19_Расчет_аналитики'!AC440=0,5&lt;='01_Вводные'!$B$297),0,'19_Расчет_аналитики'!AC440*IF('01_Вводные'!$B$239="Да",MeanMinAge05+'19_Расчет_аналитики'!AC559*SUMIF(ThresholdAge05,"&lt;"&amp;'19_Расчет_аналитики'!AC559,WeightedRevAge05)-SUMIF(ThresholdAge05,"&lt;"&amp;'19_Расчет_аналитики'!AC559,WeightedMinAge05),MAX(CapacityAge05*'01_Вводные'!$B$218*'19_Расчет_аналитики'!AC559,MeanMinAge05)))</f>
        <v/>
      </c>
      <c r="AD468">
        <f>IF(OR('19_Расчет_аналитики'!AD440=0,5&lt;='01_Вводные'!$B$297),0,'19_Расчет_аналитики'!AD440*IF('01_Вводные'!$B$239="Да",MeanMinAge05+'19_Расчет_аналитики'!AD559*SUMIF(ThresholdAge05,"&lt;"&amp;'19_Расчет_аналитики'!AD559,WeightedRevAge05)-SUMIF(ThresholdAge05,"&lt;"&amp;'19_Расчет_аналитики'!AD559,WeightedMinAge05),MAX(CapacityAge05*'01_Вводные'!$B$218*'19_Расчет_аналитики'!AD559,MeanMinAge05)))</f>
        <v/>
      </c>
      <c r="AE468">
        <f>IF(OR('19_Расчет_аналитики'!AE440=0,5&lt;='01_Вводные'!$B$297),0,'19_Расчет_аналитики'!AE440*IF('01_Вводные'!$B$239="Да",MeanMinAge05+'19_Расчет_аналитики'!AE559*SUMIF(ThresholdAge05,"&lt;"&amp;'19_Расчет_аналитики'!AE559,WeightedRevAge05)-SUMIF(ThresholdAge05,"&lt;"&amp;'19_Расчет_аналитики'!AE559,WeightedMinAge05),MAX(CapacityAge05*'01_Вводные'!$B$218*'19_Расчет_аналитики'!AE559,MeanMinAge05)))</f>
        <v/>
      </c>
      <c r="AF468">
        <f>IF(OR('19_Расчет_аналитики'!AF440=0,5&lt;='01_Вводные'!$B$297),0,'19_Расчет_аналитики'!AF440*IF('01_Вводные'!$B$239="Да",MeanMinAge05+'19_Расчет_аналитики'!AF559*SUMIF(ThresholdAge05,"&lt;"&amp;'19_Расчет_аналитики'!AF559,WeightedRevAge05)-SUMIF(ThresholdAge05,"&lt;"&amp;'19_Расчет_аналитики'!AF559,WeightedMinAge05),MAX(CapacityAge05*'01_Вводные'!$B$218*'19_Расчет_аналитики'!AF559,MeanMinAge05)))</f>
        <v/>
      </c>
      <c r="AG468">
        <f>IF(OR('19_Расчет_аналитики'!AG440=0,5&lt;='01_Вводные'!$B$297),0,'19_Расчет_аналитики'!AG440*IF('01_Вводные'!$B$239="Да",MeanMinAge05+'19_Расчет_аналитики'!AG559*SUMIF(ThresholdAge05,"&lt;"&amp;'19_Расчет_аналитики'!AG559,WeightedRevAge05)-SUMIF(ThresholdAge05,"&lt;"&amp;'19_Расчет_аналитики'!AG559,WeightedMinAge05),MAX(CapacityAge05*'01_Вводные'!$B$218*'19_Расчет_аналитики'!AG559,MeanMinAge05)))</f>
        <v/>
      </c>
      <c r="AH468">
        <f>IF(OR('19_Расчет_аналитики'!AH440=0,5&lt;='01_Вводные'!$B$297),0,'19_Расчет_аналитики'!AH440*IF('01_Вводные'!$B$239="Да",MeanMinAge05+'19_Расчет_аналитики'!AH559*SUMIF(ThresholdAge05,"&lt;"&amp;'19_Расчет_аналитики'!AH559,WeightedRevAge05)-SUMIF(ThresholdAge05,"&lt;"&amp;'19_Расчет_аналитики'!AH559,WeightedMinAge05),MAX(CapacityAge05*'01_Вводные'!$B$218*'19_Расчет_аналитики'!AH559,MeanMinAge05)))</f>
        <v/>
      </c>
      <c r="AI468">
        <f>IF(OR('19_Расчет_аналитики'!AI440=0,5&lt;='01_Вводные'!$B$297),0,'19_Расчет_аналитики'!AI440*IF('01_Вводные'!$B$239="Да",MeanMinAge05+'19_Расчет_аналитики'!AI559*SUMIF(ThresholdAge05,"&lt;"&amp;'19_Расчет_аналитики'!AI559,WeightedRevAge05)-SUMIF(ThresholdAge05,"&lt;"&amp;'19_Расчет_аналитики'!AI559,WeightedMinAge05),MAX(CapacityAge05*'01_Вводные'!$B$218*'19_Расчет_аналитики'!AI559,MeanMinAge05)))</f>
        <v/>
      </c>
      <c r="AJ468">
        <f>IF(OR('19_Расчет_аналитики'!AJ440=0,5&lt;='01_Вводные'!$B$297),0,'19_Расчет_аналитики'!AJ440*IF('01_Вводные'!$B$239="Да",MeanMinAge05+'19_Расчет_аналитики'!AJ559*SUMIF(ThresholdAge05,"&lt;"&amp;'19_Расчет_аналитики'!AJ559,WeightedRevAge05)-SUMIF(ThresholdAge05,"&lt;"&amp;'19_Расчет_аналитики'!AJ559,WeightedMinAge05),MAX(CapacityAge05*'01_Вводные'!$B$218*'19_Расчет_аналитики'!AJ559,MeanMinAge05)))</f>
        <v/>
      </c>
      <c r="AK468">
        <f>IF(OR('19_Расчет_аналитики'!AK440=0,5&lt;='01_Вводные'!$B$297),0,'19_Расчет_аналитики'!AK440*IF('01_Вводные'!$B$239="Да",MeanMinAge05+'19_Расчет_аналитики'!AK559*SUMIF(ThresholdAge05,"&lt;"&amp;'19_Расчет_аналитики'!AK559,WeightedRevAge05)-SUMIF(ThresholdAge05,"&lt;"&amp;'19_Расчет_аналитики'!AK559,WeightedMinAge05),MAX(CapacityAge05*'01_Вводные'!$B$218*'19_Расчет_аналитики'!AK559,MeanMinAge05)))</f>
        <v/>
      </c>
      <c r="AL468">
        <f>IF(OR('19_Расчет_аналитики'!AL440=0,5&lt;='01_Вводные'!$B$297),0,'19_Расчет_аналитики'!AL440*IF('01_Вводные'!$B$239="Да",MeanMinAge05+'19_Расчет_аналитики'!AL559*SUMIF(ThresholdAge05,"&lt;"&amp;'19_Расчет_аналитики'!AL559,WeightedRevAge05)-SUMIF(ThresholdAge05,"&lt;"&amp;'19_Расчет_аналитики'!AL559,WeightedMinAge05),MAX(CapacityAge05*'01_Вводные'!$B$218*'19_Расчет_аналитики'!AL559,MeanMinAge05)))</f>
        <v/>
      </c>
      <c r="AM468">
        <f>IF(OR('19_Расчет_аналитики'!AM440=0,5&lt;='01_Вводные'!$B$297),0,'19_Расчет_аналитики'!AM440*IF('01_Вводные'!$B$239="Да",MeanMinAge05+'19_Расчет_аналитики'!AM559*SUMIF(ThresholdAge05,"&lt;"&amp;'19_Расчет_аналитики'!AM559,WeightedRevAge05)-SUMIF(ThresholdAge05,"&lt;"&amp;'19_Расчет_аналитики'!AM559,WeightedMinAge05),MAX(CapacityAge05*'01_Вводные'!$B$218*'19_Расчет_аналитики'!AM559,MeanMinAge05)))</f>
        <v/>
      </c>
      <c r="AN468">
        <f>IF(OR('19_Расчет_аналитики'!AN440=0,5&lt;='01_Вводные'!$B$297),0,'19_Расчет_аналитики'!AN440*IF('01_Вводные'!$B$239="Да",MeanMinAge05+'19_Расчет_аналитики'!AN559*SUMIF(ThresholdAge05,"&lt;"&amp;'19_Расчет_аналитики'!AN559,WeightedRevAge05)-SUMIF(ThresholdAge05,"&lt;"&amp;'19_Расчет_аналитики'!AN559,WeightedMinAge05),MAX(CapacityAge05*'01_Вводные'!$B$218*'19_Расчет_аналитики'!AN559,MeanMinAge05)))</f>
        <v/>
      </c>
      <c r="AO468">
        <f>IF(OR('19_Расчет_аналитики'!AO440=0,5&lt;='01_Вводные'!$B$297),0,'19_Расчет_аналитики'!AO440*IF('01_Вводные'!$B$239="Да",MeanMinAge05+'19_Расчет_аналитики'!AO559*SUMIF(ThresholdAge05,"&lt;"&amp;'19_Расчет_аналитики'!AO559,WeightedRevAge05)-SUMIF(ThresholdAge05,"&lt;"&amp;'19_Расчет_аналитики'!AO559,WeightedMinAge05),MAX(CapacityAge05*'01_Вводные'!$B$218*'19_Расчет_аналитики'!AO559,MeanMinAge05)))</f>
        <v/>
      </c>
      <c r="AP468">
        <f>IF(OR('19_Расчет_аналитики'!AP440=0,5&lt;='01_Вводные'!$B$297),0,'19_Расчет_аналитики'!AP440*IF('01_Вводные'!$B$239="Да",MeanMinAge05+'19_Расчет_аналитики'!AP559*SUMIF(ThresholdAge05,"&lt;"&amp;'19_Расчет_аналитики'!AP559,WeightedRevAge05)-SUMIF(ThresholdAge05,"&lt;"&amp;'19_Расчет_аналитики'!AP559,WeightedMinAge05),MAX(CapacityAge05*'01_Вводные'!$B$218*'19_Расчет_аналитики'!AP559,MeanMinAge05)))</f>
        <v/>
      </c>
      <c r="AQ468">
        <f>IF(OR('19_Расчет_аналитики'!AQ440=0,5&lt;='01_Вводные'!$B$297),0,'19_Расчет_аналитики'!AQ440*IF('01_Вводные'!$B$239="Да",MeanMinAge05+'19_Расчет_аналитики'!AQ559*SUMIF(ThresholdAge05,"&lt;"&amp;'19_Расчет_аналитики'!AQ559,WeightedRevAge05)-SUMIF(ThresholdAge05,"&lt;"&amp;'19_Расчет_аналитики'!AQ559,WeightedMinAge05),MAX(CapacityAge05*'01_Вводные'!$B$218*'19_Расчет_аналитики'!AQ559,MeanMinAge05)))</f>
        <v/>
      </c>
      <c r="AR468">
        <f>IF(OR('19_Расчет_аналитики'!AR440=0,5&lt;='01_Вводные'!$B$297),0,'19_Расчет_аналитики'!AR440*IF('01_Вводные'!$B$239="Да",MeanMinAge05+'19_Расчет_аналитики'!AR559*SUMIF(ThresholdAge05,"&lt;"&amp;'19_Расчет_аналитики'!AR559,WeightedRevAge05)-SUMIF(ThresholdAge05,"&lt;"&amp;'19_Расчет_аналитики'!AR559,WeightedMinAge05),MAX(CapacityAge05*'01_Вводные'!$B$218*'19_Расчет_аналитики'!AR559,MeanMinAge05)))</f>
        <v/>
      </c>
      <c r="AS468">
        <f>IF(OR('19_Расчет_аналитики'!AS440=0,5&lt;='01_Вводные'!$B$297),0,'19_Расчет_аналитики'!AS440*IF('01_Вводные'!$B$239="Да",MeanMinAge05+'19_Расчет_аналитики'!AS559*SUMIF(ThresholdAge05,"&lt;"&amp;'19_Расчет_аналитики'!AS559,WeightedRevAge05)-SUMIF(ThresholdAge05,"&lt;"&amp;'19_Расчет_аналитики'!AS559,WeightedMinAge05),MAX(CapacityAge05*'01_Вводные'!$B$218*'19_Расчет_аналитики'!AS559,MeanMinAge05)))</f>
        <v/>
      </c>
      <c r="AT468">
        <f>IF(OR('19_Расчет_аналитики'!AT440=0,5&lt;='01_Вводные'!$B$297),0,'19_Расчет_аналитики'!AT440*IF('01_Вводные'!$B$239="Да",MeanMinAge05+'19_Расчет_аналитики'!AT559*SUMIF(ThresholdAge05,"&lt;"&amp;'19_Расчет_аналитики'!AT559,WeightedRevAge05)-SUMIF(ThresholdAge05,"&lt;"&amp;'19_Расчет_аналитики'!AT559,WeightedMinAge05),MAX(CapacityAge05*'01_Вводные'!$B$218*'19_Расчет_аналитики'!AT559,MeanMinAge05)))</f>
        <v/>
      </c>
      <c r="AU468">
        <f>IF(OR('19_Расчет_аналитики'!AU440=0,5&lt;='01_Вводные'!$B$297),0,'19_Расчет_аналитики'!AU440*IF('01_Вводные'!$B$239="Да",MeanMinAge05+'19_Расчет_аналитики'!AU559*SUMIF(ThresholdAge05,"&lt;"&amp;'19_Расчет_аналитики'!AU559,WeightedRevAge05)-SUMIF(ThresholdAge05,"&lt;"&amp;'19_Расчет_аналитики'!AU559,WeightedMinAge05),MAX(CapacityAge05*'01_Вводные'!$B$218*'19_Расчет_аналитики'!AU559,MeanMinAge05)))</f>
        <v/>
      </c>
      <c r="AV468">
        <f>IF(OR('19_Расчет_аналитики'!AV440=0,5&lt;='01_Вводные'!$B$297),0,'19_Расчет_аналитики'!AV440*IF('01_Вводные'!$B$239="Да",MeanMinAge05+'19_Расчет_аналитики'!AV559*SUMIF(ThresholdAge05,"&lt;"&amp;'19_Расчет_аналитики'!AV559,WeightedRevAge05)-SUMIF(ThresholdAge05,"&lt;"&amp;'19_Расчет_аналитики'!AV559,WeightedMinAge05),MAX(CapacityAge05*'01_Вводные'!$B$218*'19_Расчет_аналитики'!AV559,MeanMinAge05)))</f>
        <v/>
      </c>
      <c r="AW468">
        <f>IF(OR('19_Расчет_аналитики'!AW440=0,5&lt;='01_Вводные'!$B$297),0,'19_Расчет_аналитики'!AW440*IF('01_Вводные'!$B$239="Да",MeanMinAge05+'19_Расчет_аналитики'!AW559*SUMIF(ThresholdAge05,"&lt;"&amp;'19_Расчет_аналитики'!AW559,WeightedRevAge05)-SUMIF(ThresholdAge05,"&lt;"&amp;'19_Расчет_аналитики'!AW559,WeightedMinAge05),MAX(CapacityAge05*'01_Вводные'!$B$218*'19_Расчет_аналитики'!AW559,MeanMinAge05)))</f>
        <v/>
      </c>
      <c r="AX468">
        <f>IF(OR('19_Расчет_аналитики'!AX440=0,5&lt;='01_Вводные'!$B$297),0,'19_Расчет_аналитики'!AX440*IF('01_Вводные'!$B$239="Да",MeanMinAge05+'19_Расчет_аналитики'!AX559*SUMIF(ThresholdAge05,"&lt;"&amp;'19_Расчет_аналитики'!AX559,WeightedRevAge05)-SUMIF(ThresholdAge05,"&lt;"&amp;'19_Расчет_аналитики'!AX559,WeightedMinAge05),MAX(CapacityAge05*'01_Вводные'!$B$218*'19_Расчет_аналитики'!AX559,MeanMinAge05)))</f>
        <v/>
      </c>
      <c r="AY468">
        <f>IF(OR('19_Расчет_аналитики'!AY440=0,5&lt;='01_Вводные'!$B$297),0,'19_Расчет_аналитики'!AY440*IF('01_Вводные'!$B$239="Да",MeanMinAge05+'19_Расчет_аналитики'!AY559*SUMIF(ThresholdAge05,"&lt;"&amp;'19_Расчет_аналитики'!AY559,WeightedRevAge05)-SUMIF(ThresholdAge05,"&lt;"&amp;'19_Расчет_аналитики'!AY559,WeightedMinAge05),MAX(CapacityAge05*'01_Вводные'!$B$218*'19_Расчет_аналитики'!AY559,MeanMinAge05)))</f>
        <v/>
      </c>
      <c r="AZ468">
        <f>IF(OR('19_Расчет_аналитики'!AZ440=0,5&lt;='01_Вводные'!$B$297),0,'19_Расчет_аналитики'!AZ440*IF('01_Вводные'!$B$239="Да",MeanMinAge05+'19_Расчет_аналитики'!AZ559*SUMIF(ThresholdAge05,"&lt;"&amp;'19_Расчет_аналитики'!AZ559,WeightedRevAge05)-SUMIF(ThresholdAge05,"&lt;"&amp;'19_Расчет_аналитики'!AZ559,WeightedMinAge05),MAX(CapacityAge05*'01_Вводные'!$B$218*'19_Расчет_аналитики'!AZ559,MeanMinAge05)))</f>
        <v/>
      </c>
      <c r="BA468">
        <f>IF(OR('19_Расчет_аналитики'!BA440=0,5&lt;='01_Вводные'!$B$297),0,'19_Расчет_аналитики'!BA440*IF('01_Вводные'!$B$239="Да",MeanMinAge05+'19_Расчет_аналитики'!BA559*SUMIF(ThresholdAge05,"&lt;"&amp;'19_Расчет_аналитики'!BA559,WeightedRevAge05)-SUMIF(ThresholdAge05,"&lt;"&amp;'19_Расчет_аналитики'!BA559,WeightedMinAge05),MAX(CapacityAge05*'01_Вводные'!$B$218*'19_Расчет_аналитики'!BA559,MeanMinAge05)))</f>
        <v/>
      </c>
      <c r="BB468">
        <f>IF(OR('19_Расчет_аналитики'!BB440=0,5&lt;='01_Вводные'!$B$297),0,'19_Расчет_аналитики'!BB440*IF('01_Вводные'!$B$239="Да",MeanMinAge05+'19_Расчет_аналитики'!BB559*SUMIF(ThresholdAge05,"&lt;"&amp;'19_Расчет_аналитики'!BB559,WeightedRevAge05)-SUMIF(ThresholdAge05,"&lt;"&amp;'19_Расчет_аналитики'!BB559,WeightedMinAge05),MAX(CapacityAge05*'01_Вводные'!$B$218*'19_Расчет_аналитики'!BB559,MeanMinAge05)))</f>
        <v/>
      </c>
      <c r="BC468">
        <f>IF(OR('19_Расчет_аналитики'!BC440=0,5&lt;='01_Вводные'!$B$297),0,'19_Расчет_аналитики'!BC440*IF('01_Вводные'!$B$239="Да",MeanMinAge05+'19_Расчет_аналитики'!BC559*SUMIF(ThresholdAge05,"&lt;"&amp;'19_Расчет_аналитики'!BC559,WeightedRevAge05)-SUMIF(ThresholdAge05,"&lt;"&amp;'19_Расчет_аналитики'!BC559,WeightedMinAge05),MAX(CapacityAge05*'01_Вводные'!$B$218*'19_Расчет_аналитики'!BC559,MeanMinAge05)))</f>
        <v/>
      </c>
      <c r="BD468">
        <f>IF(OR('19_Расчет_аналитики'!BD440=0,5&lt;='01_Вводные'!$B$297),0,'19_Расчет_аналитики'!BD440*IF('01_Вводные'!$B$239="Да",MeanMinAge05+'19_Расчет_аналитики'!BD559*SUMIF(ThresholdAge05,"&lt;"&amp;'19_Расчет_аналитики'!BD559,WeightedRevAge05)-SUMIF(ThresholdAge05,"&lt;"&amp;'19_Расчет_аналитики'!BD559,WeightedMinAge05),MAX(CapacityAge05*'01_Вводные'!$B$218*'19_Расчет_аналитики'!BD559,MeanMinAge05)))</f>
        <v/>
      </c>
      <c r="BE468">
        <f>IF(OR('19_Расчет_аналитики'!BE440=0,5&lt;='01_Вводные'!$B$297),0,'19_Расчет_аналитики'!BE440*IF('01_Вводные'!$B$239="Да",MeanMinAge05+'19_Расчет_аналитики'!BE559*SUMIF(ThresholdAge05,"&lt;"&amp;'19_Расчет_аналитики'!BE559,WeightedRevAge05)-SUMIF(ThresholdAge05,"&lt;"&amp;'19_Расчет_аналитики'!BE559,WeightedMinAge05),MAX(CapacityAge05*'01_Вводные'!$B$218*'19_Расчет_аналитики'!BE559,MeanMinAge05)))</f>
        <v/>
      </c>
      <c r="BF468">
        <f>IF(OR('19_Расчет_аналитики'!BF440=0,5&lt;='01_Вводные'!$B$297),0,'19_Расчет_аналитики'!BF440*IF('01_Вводные'!$B$239="Да",MeanMinAge05+'19_Расчет_аналитики'!BF559*SUMIF(ThresholdAge05,"&lt;"&amp;'19_Расчет_аналитики'!BF559,WeightedRevAge05)-SUMIF(ThresholdAge05,"&lt;"&amp;'19_Расчет_аналитики'!BF559,WeightedMinAge05),MAX(CapacityAge05*'01_Вводные'!$B$218*'19_Расчет_аналитики'!BF559,MeanMinAge05)))</f>
        <v/>
      </c>
      <c r="BG468">
        <f>IF(OR('19_Расчет_аналитики'!BG440=0,5&lt;='01_Вводные'!$B$297),0,'19_Расчет_аналитики'!BG440*IF('01_Вводные'!$B$239="Да",MeanMinAge05+'19_Расчет_аналитики'!BG559*SUMIF(ThresholdAge05,"&lt;"&amp;'19_Расчет_аналитики'!BG559,WeightedRevAge05)-SUMIF(ThresholdAge05,"&lt;"&amp;'19_Расчет_аналитики'!BG559,WeightedMinAge05),MAX(CapacityAge05*'01_Вводные'!$B$218*'19_Расчет_аналитики'!BG559,MeanMinAge05)))</f>
        <v/>
      </c>
      <c r="BH468">
        <f>IF(OR('19_Расчет_аналитики'!BH440=0,5&lt;='01_Вводные'!$B$297),0,'19_Расчет_аналитики'!BH440*IF('01_Вводные'!$B$239="Да",MeanMinAge05+'19_Расчет_аналитики'!BH559*SUMIF(ThresholdAge05,"&lt;"&amp;'19_Расчет_аналитики'!BH559,WeightedRevAge05)-SUMIF(ThresholdAge05,"&lt;"&amp;'19_Расчет_аналитики'!BH559,WeightedMinAge05),MAX(CapacityAge05*'01_Вводные'!$B$218*'19_Расчет_аналитики'!BH559,MeanMinAge05)))</f>
        <v/>
      </c>
      <c r="BI468">
        <f>IF(OR('19_Расчет_аналитики'!BI440=0,5&lt;='01_Вводные'!$B$297),0,'19_Расчет_аналитики'!BI440*IF('01_Вводные'!$B$239="Да",MeanMinAge05+'19_Расчет_аналитики'!BI559*SUMIF(ThresholdAge05,"&lt;"&amp;'19_Расчет_аналитики'!BI559,WeightedRevAge05)-SUMIF(ThresholdAge05,"&lt;"&amp;'19_Расчет_аналитики'!BI559,WeightedMinAge05),MAX(CapacityAge05*'01_Вводные'!$B$218*'19_Расчет_аналитики'!BI559,MeanMinAge05)))</f>
        <v/>
      </c>
      <c r="BJ468">
        <f>IF(OR('19_Расчет_аналитики'!BJ440=0,5&lt;='01_Вводные'!$B$297),0,'19_Расчет_аналитики'!BJ440*IF('01_Вводные'!$B$239="Да",MeanMinAge05+'19_Расчет_аналитики'!BJ559*SUMIF(ThresholdAge05,"&lt;"&amp;'19_Расчет_аналитики'!BJ559,WeightedRevAge05)-SUMIF(ThresholdAge05,"&lt;"&amp;'19_Расчет_аналитики'!BJ559,WeightedMinAge05),MAX(CapacityAge05*'01_Вводные'!$B$218*'19_Расчет_аналитики'!BJ559,MeanMinAge05)))</f>
        <v/>
      </c>
      <c r="BK468">
        <f>IF(OR('19_Расчет_аналитики'!BK440=0,5&lt;='01_Вводные'!$B$297),0,'19_Расчет_аналитики'!BK440*IF('01_Вводные'!$B$239="Да",MeanMinAge05+'19_Расчет_аналитики'!BK559*SUMIF(ThresholdAge05,"&lt;"&amp;'19_Расчет_аналитики'!BK559,WeightedRevAge05)-SUMIF(ThresholdAge05,"&lt;"&amp;'19_Расчет_аналитики'!BK559,WeightedMinAge05),MAX(CapacityAge05*'01_Вводные'!$B$218*'19_Расчет_аналитики'!BK559,MeanMinAge05)))</f>
        <v/>
      </c>
      <c r="BL468">
        <f>IF(OR('19_Расчет_аналитики'!BL440=0,5&lt;='01_Вводные'!$B$297),0,'19_Расчет_аналитики'!BL440*IF('01_Вводные'!$B$239="Да",MeanMinAge05+'19_Расчет_аналитики'!BL559*SUMIF(ThresholdAge05,"&lt;"&amp;'19_Расчет_аналитики'!BL559,WeightedRevAge05)-SUMIF(ThresholdAge05,"&lt;"&amp;'19_Расчет_аналитики'!BL559,WeightedMinAge05),MAX(CapacityAge05*'01_Вводные'!$B$218*'19_Расчет_аналитики'!BL559,MeanMinAge05)))</f>
        <v/>
      </c>
      <c r="BM468">
        <f>IF(OR('19_Расчет_аналитики'!BM440=0,5&lt;='01_Вводные'!$B$297),0,'19_Расчет_аналитики'!BM440*IF('01_Вводные'!$B$239="Да",MeanMinAge05+'19_Расчет_аналитики'!BM559*SUMIF(ThresholdAge05,"&lt;"&amp;'19_Расчет_аналитики'!BM559,WeightedRevAge05)-SUMIF(ThresholdAge05,"&lt;"&amp;'19_Расчет_аналитики'!BM559,WeightedMinAge05),MAX(CapacityAge05*'01_Вводные'!$B$218*'19_Расчет_аналитики'!BM559,MeanMinAge05)))</f>
        <v/>
      </c>
      <c r="BN468">
        <f>IF(OR('19_Расчет_аналитики'!BN440=0,5&lt;='01_Вводные'!$B$297),0,'19_Расчет_аналитики'!BN440*IF('01_Вводные'!$B$239="Да",MeanMinAge05+'19_Расчет_аналитики'!BN559*SUMIF(ThresholdAge05,"&lt;"&amp;'19_Расчет_аналитики'!BN559,WeightedRevAge05)-SUMIF(ThresholdAge05,"&lt;"&amp;'19_Расчет_аналитики'!BN559,WeightedMinAge05),MAX(CapacityAge05*'01_Вводные'!$B$218*'19_Расчет_аналитики'!BN559,MeanMinAge05)))</f>
        <v/>
      </c>
      <c r="BO468">
        <f>IF(OR('19_Расчет_аналитики'!BO440=0,5&lt;='01_Вводные'!$B$297),0,'19_Расчет_аналитики'!BO440*IF('01_Вводные'!$B$239="Да",MeanMinAge05+'19_Расчет_аналитики'!BO559*SUMIF(ThresholdAge05,"&lt;"&amp;'19_Расчет_аналитики'!BO559,WeightedRevAge05)-SUMIF(ThresholdAge05,"&lt;"&amp;'19_Расчет_аналитики'!BO559,WeightedMinAge05),MAX(CapacityAge05*'01_Вводные'!$B$218*'19_Расчет_аналитики'!BO559,MeanMinAge05)))</f>
        <v/>
      </c>
    </row>
    <row r="469">
      <c r="B469">
        <f>IF(OR('06_Сеть_и_дети'!B86=0,6&lt;='01_Вводные'!$B$297),0,'06_Сеть_и_дети'!B86*IF('01_Вводные'!$B$239="Да",MeanMinAge06+'19_Расчет_аналитики'!B559*SUMIF(ThresholdAge06,"&lt;"&amp;'19_Расчет_аналитики'!B559,WeightedRevAge06)-SUMIF(ThresholdAge06,"&lt;"&amp;'19_Расчет_аналитики'!B559,WeightedMinAge06),MAX(CapacityAge06*'01_Вводные'!$B$218*'19_Расчет_аналитики'!B559,MeanMinAge06)))</f>
        <v/>
      </c>
      <c r="C469">
        <f>IF(OR('06_Сеть_и_дети'!C86=0,6&lt;='01_Вводные'!$B$297),0,'06_Сеть_и_дети'!C86*IF('01_Вводные'!$B$239="Да",MeanMinAge06+'19_Расчет_аналитики'!C559*SUMIF(ThresholdAge06,"&lt;"&amp;'19_Расчет_аналитики'!C559,WeightedRevAge06)-SUMIF(ThresholdAge06,"&lt;"&amp;'19_Расчет_аналитики'!C559,WeightedMinAge06),MAX(CapacityAge06*'01_Вводные'!$B$218*'19_Расчет_аналитики'!C559,MeanMinAge06)))</f>
        <v/>
      </c>
      <c r="D469">
        <f>IF(OR('06_Сеть_и_дети'!D86=0,6&lt;='01_Вводные'!$B$297),0,'06_Сеть_и_дети'!D86*IF('01_Вводные'!$B$239="Да",MeanMinAge06+'19_Расчет_аналитики'!D559*SUMIF(ThresholdAge06,"&lt;"&amp;'19_Расчет_аналитики'!D559,WeightedRevAge06)-SUMIF(ThresholdAge06,"&lt;"&amp;'19_Расчет_аналитики'!D559,WeightedMinAge06),MAX(CapacityAge06*'01_Вводные'!$B$218*'19_Расчет_аналитики'!D559,MeanMinAge06)))</f>
        <v/>
      </c>
      <c r="E469">
        <f>IF(OR('06_Сеть_и_дети'!E86=0,6&lt;='01_Вводные'!$B$297),0,'06_Сеть_и_дети'!E86*IF('01_Вводные'!$B$239="Да",MeanMinAge06+'19_Расчет_аналитики'!E559*SUMIF(ThresholdAge06,"&lt;"&amp;'19_Расчет_аналитики'!E559,WeightedRevAge06)-SUMIF(ThresholdAge06,"&lt;"&amp;'19_Расчет_аналитики'!E559,WeightedMinAge06),MAX(CapacityAge06*'01_Вводные'!$B$218*'19_Расчет_аналитики'!E559,MeanMinAge06)))</f>
        <v/>
      </c>
      <c r="F469">
        <f>IF(OR('06_Сеть_и_дети'!F86=0,6&lt;='01_Вводные'!$B$297),0,'06_Сеть_и_дети'!F86*IF('01_Вводные'!$B$239="Да",MeanMinAge06+'19_Расчет_аналитики'!F559*SUMIF(ThresholdAge06,"&lt;"&amp;'19_Расчет_аналитики'!F559,WeightedRevAge06)-SUMIF(ThresholdAge06,"&lt;"&amp;'19_Расчет_аналитики'!F559,WeightedMinAge06),MAX(CapacityAge06*'01_Вводные'!$B$218*'19_Расчет_аналитики'!F559,MeanMinAge06)))</f>
        <v/>
      </c>
      <c r="G469">
        <f>IF(OR('19_Расчет_аналитики'!G441=0,6&lt;='01_Вводные'!$B$297),0,'19_Расчет_аналитики'!G441*IF('01_Вводные'!$B$239="Да",MeanMinAge06+'19_Расчет_аналитики'!G559*SUMIF(ThresholdAge06,"&lt;"&amp;'19_Расчет_аналитики'!G559,WeightedRevAge06)-SUMIF(ThresholdAge06,"&lt;"&amp;'19_Расчет_аналитики'!G559,WeightedMinAge06),MAX(CapacityAge06*'01_Вводные'!$B$218*'19_Расчет_аналитики'!G559,MeanMinAge06)))</f>
        <v/>
      </c>
      <c r="H469">
        <f>IF(OR('19_Расчет_аналитики'!H441=0,6&lt;='01_Вводные'!$B$297),0,'19_Расчет_аналитики'!H441*IF('01_Вводные'!$B$239="Да",MeanMinAge06+'19_Расчет_аналитики'!H559*SUMIF(ThresholdAge06,"&lt;"&amp;'19_Расчет_аналитики'!H559,WeightedRevAge06)-SUMIF(ThresholdAge06,"&lt;"&amp;'19_Расчет_аналитики'!H559,WeightedMinAge06),MAX(CapacityAge06*'01_Вводные'!$B$218*'19_Расчет_аналитики'!H559,MeanMinAge06)))</f>
        <v/>
      </c>
      <c r="I469">
        <f>IF(OR('19_Расчет_аналитики'!I441=0,6&lt;='01_Вводные'!$B$297),0,'19_Расчет_аналитики'!I441*IF('01_Вводные'!$B$239="Да",MeanMinAge06+'19_Расчет_аналитики'!I559*SUMIF(ThresholdAge06,"&lt;"&amp;'19_Расчет_аналитики'!I559,WeightedRevAge06)-SUMIF(ThresholdAge06,"&lt;"&amp;'19_Расчет_аналитики'!I559,WeightedMinAge06),MAX(CapacityAge06*'01_Вводные'!$B$218*'19_Расчет_аналитики'!I559,MeanMinAge06)))</f>
        <v/>
      </c>
      <c r="J469">
        <f>IF(OR('19_Расчет_аналитики'!J441=0,6&lt;='01_Вводные'!$B$297),0,'19_Расчет_аналитики'!J441*IF('01_Вводные'!$B$239="Да",MeanMinAge06+'19_Расчет_аналитики'!J559*SUMIF(ThresholdAge06,"&lt;"&amp;'19_Расчет_аналитики'!J559,WeightedRevAge06)-SUMIF(ThresholdAge06,"&lt;"&amp;'19_Расчет_аналитики'!J559,WeightedMinAge06),MAX(CapacityAge06*'01_Вводные'!$B$218*'19_Расчет_аналитики'!J559,MeanMinAge06)))</f>
        <v/>
      </c>
      <c r="K469">
        <f>IF(OR('19_Расчет_аналитики'!K441=0,6&lt;='01_Вводные'!$B$297),0,'19_Расчет_аналитики'!K441*IF('01_Вводные'!$B$239="Да",MeanMinAge06+'19_Расчет_аналитики'!K559*SUMIF(ThresholdAge06,"&lt;"&amp;'19_Расчет_аналитики'!K559,WeightedRevAge06)-SUMIF(ThresholdAge06,"&lt;"&amp;'19_Расчет_аналитики'!K559,WeightedMinAge06),MAX(CapacityAge06*'01_Вводные'!$B$218*'19_Расчет_аналитики'!K559,MeanMinAge06)))</f>
        <v/>
      </c>
      <c r="L469">
        <f>IF(OR('19_Расчет_аналитики'!L441=0,6&lt;='01_Вводные'!$B$297),0,'19_Расчет_аналитики'!L441*IF('01_Вводные'!$B$239="Да",MeanMinAge06+'19_Расчет_аналитики'!L559*SUMIF(ThresholdAge06,"&lt;"&amp;'19_Расчет_аналитики'!L559,WeightedRevAge06)-SUMIF(ThresholdAge06,"&lt;"&amp;'19_Расчет_аналитики'!L559,WeightedMinAge06),MAX(CapacityAge06*'01_Вводные'!$B$218*'19_Расчет_аналитики'!L559,MeanMinAge06)))</f>
        <v/>
      </c>
      <c r="M469">
        <f>IF(OR('19_Расчет_аналитики'!M441=0,6&lt;='01_Вводные'!$B$297),0,'19_Расчет_аналитики'!M441*IF('01_Вводные'!$B$239="Да",MeanMinAge06+'19_Расчет_аналитики'!M559*SUMIF(ThresholdAge06,"&lt;"&amp;'19_Расчет_аналитики'!M559,WeightedRevAge06)-SUMIF(ThresholdAge06,"&lt;"&amp;'19_Расчет_аналитики'!M559,WeightedMinAge06),MAX(CapacityAge06*'01_Вводные'!$B$218*'19_Расчет_аналитики'!M559,MeanMinAge06)))</f>
        <v/>
      </c>
      <c r="N469">
        <f>IF(OR('19_Расчет_аналитики'!N441=0,6&lt;='01_Вводные'!$B$297),0,'19_Расчет_аналитики'!N441*IF('01_Вводные'!$B$239="Да",MeanMinAge06+'19_Расчет_аналитики'!N559*SUMIF(ThresholdAge06,"&lt;"&amp;'19_Расчет_аналитики'!N559,WeightedRevAge06)-SUMIF(ThresholdAge06,"&lt;"&amp;'19_Расчет_аналитики'!N559,WeightedMinAge06),MAX(CapacityAge06*'01_Вводные'!$B$218*'19_Расчет_аналитики'!N559,MeanMinAge06)))</f>
        <v/>
      </c>
      <c r="O469">
        <f>IF(OR('19_Расчет_аналитики'!O441=0,6&lt;='01_Вводные'!$B$297),0,'19_Расчет_аналитики'!O441*IF('01_Вводные'!$B$239="Да",MeanMinAge06+'19_Расчет_аналитики'!O559*SUMIF(ThresholdAge06,"&lt;"&amp;'19_Расчет_аналитики'!O559,WeightedRevAge06)-SUMIF(ThresholdAge06,"&lt;"&amp;'19_Расчет_аналитики'!O559,WeightedMinAge06),MAX(CapacityAge06*'01_Вводные'!$B$218*'19_Расчет_аналитики'!O559,MeanMinAge06)))</f>
        <v/>
      </c>
      <c r="P469">
        <f>IF(OR('19_Расчет_аналитики'!P441=0,6&lt;='01_Вводные'!$B$297),0,'19_Расчет_аналитики'!P441*IF('01_Вводные'!$B$239="Да",MeanMinAge06+'19_Расчет_аналитики'!P559*SUMIF(ThresholdAge06,"&lt;"&amp;'19_Расчет_аналитики'!P559,WeightedRevAge06)-SUMIF(ThresholdAge06,"&lt;"&amp;'19_Расчет_аналитики'!P559,WeightedMinAge06),MAX(CapacityAge06*'01_Вводные'!$B$218*'19_Расчет_аналитики'!P559,MeanMinAge06)))</f>
        <v/>
      </c>
      <c r="Q469">
        <f>IF(OR('19_Расчет_аналитики'!Q441=0,6&lt;='01_Вводные'!$B$297),0,'19_Расчет_аналитики'!Q441*IF('01_Вводные'!$B$239="Да",MeanMinAge06+'19_Расчет_аналитики'!Q559*SUMIF(ThresholdAge06,"&lt;"&amp;'19_Расчет_аналитики'!Q559,WeightedRevAge06)-SUMIF(ThresholdAge06,"&lt;"&amp;'19_Расчет_аналитики'!Q559,WeightedMinAge06),MAX(CapacityAge06*'01_Вводные'!$B$218*'19_Расчет_аналитики'!Q559,MeanMinAge06)))</f>
        <v/>
      </c>
      <c r="R469">
        <f>IF(OR('19_Расчет_аналитики'!R441=0,6&lt;='01_Вводные'!$B$297),0,'19_Расчет_аналитики'!R441*IF('01_Вводные'!$B$239="Да",MeanMinAge06+'19_Расчет_аналитики'!R559*SUMIF(ThresholdAge06,"&lt;"&amp;'19_Расчет_аналитики'!R559,WeightedRevAge06)-SUMIF(ThresholdAge06,"&lt;"&amp;'19_Расчет_аналитики'!R559,WeightedMinAge06),MAX(CapacityAge06*'01_Вводные'!$B$218*'19_Расчет_аналитики'!R559,MeanMinAge06)))</f>
        <v/>
      </c>
      <c r="S469">
        <f>IF(OR('19_Расчет_аналитики'!S441=0,6&lt;='01_Вводные'!$B$297),0,'19_Расчет_аналитики'!S441*IF('01_Вводные'!$B$239="Да",MeanMinAge06+'19_Расчет_аналитики'!S559*SUMIF(ThresholdAge06,"&lt;"&amp;'19_Расчет_аналитики'!S559,WeightedRevAge06)-SUMIF(ThresholdAge06,"&lt;"&amp;'19_Расчет_аналитики'!S559,WeightedMinAge06),MAX(CapacityAge06*'01_Вводные'!$B$218*'19_Расчет_аналитики'!S559,MeanMinAge06)))</f>
        <v/>
      </c>
      <c r="T469">
        <f>IF(OR('19_Расчет_аналитики'!T441=0,6&lt;='01_Вводные'!$B$297),0,'19_Расчет_аналитики'!T441*IF('01_Вводные'!$B$239="Да",MeanMinAge06+'19_Расчет_аналитики'!T559*SUMIF(ThresholdAge06,"&lt;"&amp;'19_Расчет_аналитики'!T559,WeightedRevAge06)-SUMIF(ThresholdAge06,"&lt;"&amp;'19_Расчет_аналитики'!T559,WeightedMinAge06),MAX(CapacityAge06*'01_Вводные'!$B$218*'19_Расчет_аналитики'!T559,MeanMinAge06)))</f>
        <v/>
      </c>
      <c r="U469">
        <f>IF(OR('19_Расчет_аналитики'!U441=0,6&lt;='01_Вводные'!$B$297),0,'19_Расчет_аналитики'!U441*IF('01_Вводные'!$B$239="Да",MeanMinAge06+'19_Расчет_аналитики'!U559*SUMIF(ThresholdAge06,"&lt;"&amp;'19_Расчет_аналитики'!U559,WeightedRevAge06)-SUMIF(ThresholdAge06,"&lt;"&amp;'19_Расчет_аналитики'!U559,WeightedMinAge06),MAX(CapacityAge06*'01_Вводные'!$B$218*'19_Расчет_аналитики'!U559,MeanMinAge06)))</f>
        <v/>
      </c>
      <c r="V469">
        <f>IF(OR('19_Расчет_аналитики'!V441=0,6&lt;='01_Вводные'!$B$297),0,'19_Расчет_аналитики'!V441*IF('01_Вводные'!$B$239="Да",MeanMinAge06+'19_Расчет_аналитики'!V559*SUMIF(ThresholdAge06,"&lt;"&amp;'19_Расчет_аналитики'!V559,WeightedRevAge06)-SUMIF(ThresholdAge06,"&lt;"&amp;'19_Расчет_аналитики'!V559,WeightedMinAge06),MAX(CapacityAge06*'01_Вводные'!$B$218*'19_Расчет_аналитики'!V559,MeanMinAge06)))</f>
        <v/>
      </c>
      <c r="W469">
        <f>IF(OR('19_Расчет_аналитики'!W441=0,6&lt;='01_Вводные'!$B$297),0,'19_Расчет_аналитики'!W441*IF('01_Вводные'!$B$239="Да",MeanMinAge06+'19_Расчет_аналитики'!W559*SUMIF(ThresholdAge06,"&lt;"&amp;'19_Расчет_аналитики'!W559,WeightedRevAge06)-SUMIF(ThresholdAge06,"&lt;"&amp;'19_Расчет_аналитики'!W559,WeightedMinAge06),MAX(CapacityAge06*'01_Вводные'!$B$218*'19_Расчет_аналитики'!W559,MeanMinAge06)))</f>
        <v/>
      </c>
      <c r="X469">
        <f>IF(OR('19_Расчет_аналитики'!X441=0,6&lt;='01_Вводные'!$B$297),0,'19_Расчет_аналитики'!X441*IF('01_Вводные'!$B$239="Да",MeanMinAge06+'19_Расчет_аналитики'!X559*SUMIF(ThresholdAge06,"&lt;"&amp;'19_Расчет_аналитики'!X559,WeightedRevAge06)-SUMIF(ThresholdAge06,"&lt;"&amp;'19_Расчет_аналитики'!X559,WeightedMinAge06),MAX(CapacityAge06*'01_Вводные'!$B$218*'19_Расчет_аналитики'!X559,MeanMinAge06)))</f>
        <v/>
      </c>
      <c r="Y469">
        <f>IF(OR('19_Расчет_аналитики'!Y441=0,6&lt;='01_Вводные'!$B$297),0,'19_Расчет_аналитики'!Y441*IF('01_Вводные'!$B$239="Да",MeanMinAge06+'19_Расчет_аналитики'!Y559*SUMIF(ThresholdAge06,"&lt;"&amp;'19_Расчет_аналитики'!Y559,WeightedRevAge06)-SUMIF(ThresholdAge06,"&lt;"&amp;'19_Расчет_аналитики'!Y559,WeightedMinAge06),MAX(CapacityAge06*'01_Вводные'!$B$218*'19_Расчет_аналитики'!Y559,MeanMinAge06)))</f>
        <v/>
      </c>
      <c r="Z469">
        <f>IF(OR('19_Расчет_аналитики'!Z441=0,6&lt;='01_Вводные'!$B$297),0,'19_Расчет_аналитики'!Z441*IF('01_Вводные'!$B$239="Да",MeanMinAge06+'19_Расчет_аналитики'!Z559*SUMIF(ThresholdAge06,"&lt;"&amp;'19_Расчет_аналитики'!Z559,WeightedRevAge06)-SUMIF(ThresholdAge06,"&lt;"&amp;'19_Расчет_аналитики'!Z559,WeightedMinAge06),MAX(CapacityAge06*'01_Вводные'!$B$218*'19_Расчет_аналитики'!Z559,MeanMinAge06)))</f>
        <v/>
      </c>
      <c r="AA469">
        <f>IF(OR('19_Расчет_аналитики'!AA441=0,6&lt;='01_Вводные'!$B$297),0,'19_Расчет_аналитики'!AA441*IF('01_Вводные'!$B$239="Да",MeanMinAge06+'19_Расчет_аналитики'!AA559*SUMIF(ThresholdAge06,"&lt;"&amp;'19_Расчет_аналитики'!AA559,WeightedRevAge06)-SUMIF(ThresholdAge06,"&lt;"&amp;'19_Расчет_аналитики'!AA559,WeightedMinAge06),MAX(CapacityAge06*'01_Вводные'!$B$218*'19_Расчет_аналитики'!AA559,MeanMinAge06)))</f>
        <v/>
      </c>
      <c r="AB469">
        <f>IF(OR('19_Расчет_аналитики'!AB441=0,6&lt;='01_Вводные'!$B$297),0,'19_Расчет_аналитики'!AB441*IF('01_Вводные'!$B$239="Да",MeanMinAge06+'19_Расчет_аналитики'!AB559*SUMIF(ThresholdAge06,"&lt;"&amp;'19_Расчет_аналитики'!AB559,WeightedRevAge06)-SUMIF(ThresholdAge06,"&lt;"&amp;'19_Расчет_аналитики'!AB559,WeightedMinAge06),MAX(CapacityAge06*'01_Вводные'!$B$218*'19_Расчет_аналитики'!AB559,MeanMinAge06)))</f>
        <v/>
      </c>
      <c r="AC469">
        <f>IF(OR('19_Расчет_аналитики'!AC441=0,6&lt;='01_Вводные'!$B$297),0,'19_Расчет_аналитики'!AC441*IF('01_Вводные'!$B$239="Да",MeanMinAge06+'19_Расчет_аналитики'!AC559*SUMIF(ThresholdAge06,"&lt;"&amp;'19_Расчет_аналитики'!AC559,WeightedRevAge06)-SUMIF(ThresholdAge06,"&lt;"&amp;'19_Расчет_аналитики'!AC559,WeightedMinAge06),MAX(CapacityAge06*'01_Вводные'!$B$218*'19_Расчет_аналитики'!AC559,MeanMinAge06)))</f>
        <v/>
      </c>
      <c r="AD469">
        <f>IF(OR('19_Расчет_аналитики'!AD441=0,6&lt;='01_Вводные'!$B$297),0,'19_Расчет_аналитики'!AD441*IF('01_Вводные'!$B$239="Да",MeanMinAge06+'19_Расчет_аналитики'!AD559*SUMIF(ThresholdAge06,"&lt;"&amp;'19_Расчет_аналитики'!AD559,WeightedRevAge06)-SUMIF(ThresholdAge06,"&lt;"&amp;'19_Расчет_аналитики'!AD559,WeightedMinAge06),MAX(CapacityAge06*'01_Вводные'!$B$218*'19_Расчет_аналитики'!AD559,MeanMinAge06)))</f>
        <v/>
      </c>
      <c r="AE469">
        <f>IF(OR('19_Расчет_аналитики'!AE441=0,6&lt;='01_Вводные'!$B$297),0,'19_Расчет_аналитики'!AE441*IF('01_Вводные'!$B$239="Да",MeanMinAge06+'19_Расчет_аналитики'!AE559*SUMIF(ThresholdAge06,"&lt;"&amp;'19_Расчет_аналитики'!AE559,WeightedRevAge06)-SUMIF(ThresholdAge06,"&lt;"&amp;'19_Расчет_аналитики'!AE559,WeightedMinAge06),MAX(CapacityAge06*'01_Вводные'!$B$218*'19_Расчет_аналитики'!AE559,MeanMinAge06)))</f>
        <v/>
      </c>
      <c r="AF469">
        <f>IF(OR('19_Расчет_аналитики'!AF441=0,6&lt;='01_Вводные'!$B$297),0,'19_Расчет_аналитики'!AF441*IF('01_Вводные'!$B$239="Да",MeanMinAge06+'19_Расчет_аналитики'!AF559*SUMIF(ThresholdAge06,"&lt;"&amp;'19_Расчет_аналитики'!AF559,WeightedRevAge06)-SUMIF(ThresholdAge06,"&lt;"&amp;'19_Расчет_аналитики'!AF559,WeightedMinAge06),MAX(CapacityAge06*'01_Вводные'!$B$218*'19_Расчет_аналитики'!AF559,MeanMinAge06)))</f>
        <v/>
      </c>
      <c r="AG469">
        <f>IF(OR('19_Расчет_аналитики'!AG441=0,6&lt;='01_Вводные'!$B$297),0,'19_Расчет_аналитики'!AG441*IF('01_Вводные'!$B$239="Да",MeanMinAge06+'19_Расчет_аналитики'!AG559*SUMIF(ThresholdAge06,"&lt;"&amp;'19_Расчет_аналитики'!AG559,WeightedRevAge06)-SUMIF(ThresholdAge06,"&lt;"&amp;'19_Расчет_аналитики'!AG559,WeightedMinAge06),MAX(CapacityAge06*'01_Вводные'!$B$218*'19_Расчет_аналитики'!AG559,MeanMinAge06)))</f>
        <v/>
      </c>
      <c r="AH469">
        <f>IF(OR('19_Расчет_аналитики'!AH441=0,6&lt;='01_Вводные'!$B$297),0,'19_Расчет_аналитики'!AH441*IF('01_Вводные'!$B$239="Да",MeanMinAge06+'19_Расчет_аналитики'!AH559*SUMIF(ThresholdAge06,"&lt;"&amp;'19_Расчет_аналитики'!AH559,WeightedRevAge06)-SUMIF(ThresholdAge06,"&lt;"&amp;'19_Расчет_аналитики'!AH559,WeightedMinAge06),MAX(CapacityAge06*'01_Вводные'!$B$218*'19_Расчет_аналитики'!AH559,MeanMinAge06)))</f>
        <v/>
      </c>
      <c r="AI469">
        <f>IF(OR('19_Расчет_аналитики'!AI441=0,6&lt;='01_Вводные'!$B$297),0,'19_Расчет_аналитики'!AI441*IF('01_Вводные'!$B$239="Да",MeanMinAge06+'19_Расчет_аналитики'!AI559*SUMIF(ThresholdAge06,"&lt;"&amp;'19_Расчет_аналитики'!AI559,WeightedRevAge06)-SUMIF(ThresholdAge06,"&lt;"&amp;'19_Расчет_аналитики'!AI559,WeightedMinAge06),MAX(CapacityAge06*'01_Вводные'!$B$218*'19_Расчет_аналитики'!AI559,MeanMinAge06)))</f>
        <v/>
      </c>
      <c r="AJ469">
        <f>IF(OR('19_Расчет_аналитики'!AJ441=0,6&lt;='01_Вводные'!$B$297),0,'19_Расчет_аналитики'!AJ441*IF('01_Вводные'!$B$239="Да",MeanMinAge06+'19_Расчет_аналитики'!AJ559*SUMIF(ThresholdAge06,"&lt;"&amp;'19_Расчет_аналитики'!AJ559,WeightedRevAge06)-SUMIF(ThresholdAge06,"&lt;"&amp;'19_Расчет_аналитики'!AJ559,WeightedMinAge06),MAX(CapacityAge06*'01_Вводные'!$B$218*'19_Расчет_аналитики'!AJ559,MeanMinAge06)))</f>
        <v/>
      </c>
      <c r="AK469">
        <f>IF(OR('19_Расчет_аналитики'!AK441=0,6&lt;='01_Вводные'!$B$297),0,'19_Расчет_аналитики'!AK441*IF('01_Вводные'!$B$239="Да",MeanMinAge06+'19_Расчет_аналитики'!AK559*SUMIF(ThresholdAge06,"&lt;"&amp;'19_Расчет_аналитики'!AK559,WeightedRevAge06)-SUMIF(ThresholdAge06,"&lt;"&amp;'19_Расчет_аналитики'!AK559,WeightedMinAge06),MAX(CapacityAge06*'01_Вводные'!$B$218*'19_Расчет_аналитики'!AK559,MeanMinAge06)))</f>
        <v/>
      </c>
      <c r="AL469">
        <f>IF(OR('19_Расчет_аналитики'!AL441=0,6&lt;='01_Вводные'!$B$297),0,'19_Расчет_аналитики'!AL441*IF('01_Вводные'!$B$239="Да",MeanMinAge06+'19_Расчет_аналитики'!AL559*SUMIF(ThresholdAge06,"&lt;"&amp;'19_Расчет_аналитики'!AL559,WeightedRevAge06)-SUMIF(ThresholdAge06,"&lt;"&amp;'19_Расчет_аналитики'!AL559,WeightedMinAge06),MAX(CapacityAge06*'01_Вводные'!$B$218*'19_Расчет_аналитики'!AL559,MeanMinAge06)))</f>
        <v/>
      </c>
      <c r="AM469">
        <f>IF(OR('19_Расчет_аналитики'!AM441=0,6&lt;='01_Вводные'!$B$297),0,'19_Расчет_аналитики'!AM441*IF('01_Вводные'!$B$239="Да",MeanMinAge06+'19_Расчет_аналитики'!AM559*SUMIF(ThresholdAge06,"&lt;"&amp;'19_Расчет_аналитики'!AM559,WeightedRevAge06)-SUMIF(ThresholdAge06,"&lt;"&amp;'19_Расчет_аналитики'!AM559,WeightedMinAge06),MAX(CapacityAge06*'01_Вводные'!$B$218*'19_Расчет_аналитики'!AM559,MeanMinAge06)))</f>
        <v/>
      </c>
      <c r="AN469">
        <f>IF(OR('19_Расчет_аналитики'!AN441=0,6&lt;='01_Вводные'!$B$297),0,'19_Расчет_аналитики'!AN441*IF('01_Вводные'!$B$239="Да",MeanMinAge06+'19_Расчет_аналитики'!AN559*SUMIF(ThresholdAge06,"&lt;"&amp;'19_Расчет_аналитики'!AN559,WeightedRevAge06)-SUMIF(ThresholdAge06,"&lt;"&amp;'19_Расчет_аналитики'!AN559,WeightedMinAge06),MAX(CapacityAge06*'01_Вводные'!$B$218*'19_Расчет_аналитики'!AN559,MeanMinAge06)))</f>
        <v/>
      </c>
      <c r="AO469">
        <f>IF(OR('19_Расчет_аналитики'!AO441=0,6&lt;='01_Вводные'!$B$297),0,'19_Расчет_аналитики'!AO441*IF('01_Вводные'!$B$239="Да",MeanMinAge06+'19_Расчет_аналитики'!AO559*SUMIF(ThresholdAge06,"&lt;"&amp;'19_Расчет_аналитики'!AO559,WeightedRevAge06)-SUMIF(ThresholdAge06,"&lt;"&amp;'19_Расчет_аналитики'!AO559,WeightedMinAge06),MAX(CapacityAge06*'01_Вводные'!$B$218*'19_Расчет_аналитики'!AO559,MeanMinAge06)))</f>
        <v/>
      </c>
      <c r="AP469">
        <f>IF(OR('19_Расчет_аналитики'!AP441=0,6&lt;='01_Вводные'!$B$297),0,'19_Расчет_аналитики'!AP441*IF('01_Вводные'!$B$239="Да",MeanMinAge06+'19_Расчет_аналитики'!AP559*SUMIF(ThresholdAge06,"&lt;"&amp;'19_Расчет_аналитики'!AP559,WeightedRevAge06)-SUMIF(ThresholdAge06,"&lt;"&amp;'19_Расчет_аналитики'!AP559,WeightedMinAge06),MAX(CapacityAge06*'01_Вводные'!$B$218*'19_Расчет_аналитики'!AP559,MeanMinAge06)))</f>
        <v/>
      </c>
      <c r="AQ469">
        <f>IF(OR('19_Расчет_аналитики'!AQ441=0,6&lt;='01_Вводные'!$B$297),0,'19_Расчет_аналитики'!AQ441*IF('01_Вводные'!$B$239="Да",MeanMinAge06+'19_Расчет_аналитики'!AQ559*SUMIF(ThresholdAge06,"&lt;"&amp;'19_Расчет_аналитики'!AQ559,WeightedRevAge06)-SUMIF(ThresholdAge06,"&lt;"&amp;'19_Расчет_аналитики'!AQ559,WeightedMinAge06),MAX(CapacityAge06*'01_Вводные'!$B$218*'19_Расчет_аналитики'!AQ559,MeanMinAge06)))</f>
        <v/>
      </c>
      <c r="AR469">
        <f>IF(OR('19_Расчет_аналитики'!AR441=0,6&lt;='01_Вводные'!$B$297),0,'19_Расчет_аналитики'!AR441*IF('01_Вводные'!$B$239="Да",MeanMinAge06+'19_Расчет_аналитики'!AR559*SUMIF(ThresholdAge06,"&lt;"&amp;'19_Расчет_аналитики'!AR559,WeightedRevAge06)-SUMIF(ThresholdAge06,"&lt;"&amp;'19_Расчет_аналитики'!AR559,WeightedMinAge06),MAX(CapacityAge06*'01_Вводные'!$B$218*'19_Расчет_аналитики'!AR559,MeanMinAge06)))</f>
        <v/>
      </c>
      <c r="AS469">
        <f>IF(OR('19_Расчет_аналитики'!AS441=0,6&lt;='01_Вводные'!$B$297),0,'19_Расчет_аналитики'!AS441*IF('01_Вводные'!$B$239="Да",MeanMinAge06+'19_Расчет_аналитики'!AS559*SUMIF(ThresholdAge06,"&lt;"&amp;'19_Расчет_аналитики'!AS559,WeightedRevAge06)-SUMIF(ThresholdAge06,"&lt;"&amp;'19_Расчет_аналитики'!AS559,WeightedMinAge06),MAX(CapacityAge06*'01_Вводные'!$B$218*'19_Расчет_аналитики'!AS559,MeanMinAge06)))</f>
        <v/>
      </c>
      <c r="AT469">
        <f>IF(OR('19_Расчет_аналитики'!AT441=0,6&lt;='01_Вводные'!$B$297),0,'19_Расчет_аналитики'!AT441*IF('01_Вводные'!$B$239="Да",MeanMinAge06+'19_Расчет_аналитики'!AT559*SUMIF(ThresholdAge06,"&lt;"&amp;'19_Расчет_аналитики'!AT559,WeightedRevAge06)-SUMIF(ThresholdAge06,"&lt;"&amp;'19_Расчет_аналитики'!AT559,WeightedMinAge06),MAX(CapacityAge06*'01_Вводные'!$B$218*'19_Расчет_аналитики'!AT559,MeanMinAge06)))</f>
        <v/>
      </c>
      <c r="AU469">
        <f>IF(OR('19_Расчет_аналитики'!AU441=0,6&lt;='01_Вводные'!$B$297),0,'19_Расчет_аналитики'!AU441*IF('01_Вводные'!$B$239="Да",MeanMinAge06+'19_Расчет_аналитики'!AU559*SUMIF(ThresholdAge06,"&lt;"&amp;'19_Расчет_аналитики'!AU559,WeightedRevAge06)-SUMIF(ThresholdAge06,"&lt;"&amp;'19_Расчет_аналитики'!AU559,WeightedMinAge06),MAX(CapacityAge06*'01_Вводные'!$B$218*'19_Расчет_аналитики'!AU559,MeanMinAge06)))</f>
        <v/>
      </c>
      <c r="AV469">
        <f>IF(OR('19_Расчет_аналитики'!AV441=0,6&lt;='01_Вводные'!$B$297),0,'19_Расчет_аналитики'!AV441*IF('01_Вводные'!$B$239="Да",MeanMinAge06+'19_Расчет_аналитики'!AV559*SUMIF(ThresholdAge06,"&lt;"&amp;'19_Расчет_аналитики'!AV559,WeightedRevAge06)-SUMIF(ThresholdAge06,"&lt;"&amp;'19_Расчет_аналитики'!AV559,WeightedMinAge06),MAX(CapacityAge06*'01_Вводные'!$B$218*'19_Расчет_аналитики'!AV559,MeanMinAge06)))</f>
        <v/>
      </c>
      <c r="AW469">
        <f>IF(OR('19_Расчет_аналитики'!AW441=0,6&lt;='01_Вводные'!$B$297),0,'19_Расчет_аналитики'!AW441*IF('01_Вводные'!$B$239="Да",MeanMinAge06+'19_Расчет_аналитики'!AW559*SUMIF(ThresholdAge06,"&lt;"&amp;'19_Расчет_аналитики'!AW559,WeightedRevAge06)-SUMIF(ThresholdAge06,"&lt;"&amp;'19_Расчет_аналитики'!AW559,WeightedMinAge06),MAX(CapacityAge06*'01_Вводные'!$B$218*'19_Расчет_аналитики'!AW559,MeanMinAge06)))</f>
        <v/>
      </c>
      <c r="AX469">
        <f>IF(OR('19_Расчет_аналитики'!AX441=0,6&lt;='01_Вводные'!$B$297),0,'19_Расчет_аналитики'!AX441*IF('01_Вводные'!$B$239="Да",MeanMinAge06+'19_Расчет_аналитики'!AX559*SUMIF(ThresholdAge06,"&lt;"&amp;'19_Расчет_аналитики'!AX559,WeightedRevAge06)-SUMIF(ThresholdAge06,"&lt;"&amp;'19_Расчет_аналитики'!AX559,WeightedMinAge06),MAX(CapacityAge06*'01_Вводные'!$B$218*'19_Расчет_аналитики'!AX559,MeanMinAge06)))</f>
        <v/>
      </c>
      <c r="AY469">
        <f>IF(OR('19_Расчет_аналитики'!AY441=0,6&lt;='01_Вводные'!$B$297),0,'19_Расчет_аналитики'!AY441*IF('01_Вводные'!$B$239="Да",MeanMinAge06+'19_Расчет_аналитики'!AY559*SUMIF(ThresholdAge06,"&lt;"&amp;'19_Расчет_аналитики'!AY559,WeightedRevAge06)-SUMIF(ThresholdAge06,"&lt;"&amp;'19_Расчет_аналитики'!AY559,WeightedMinAge06),MAX(CapacityAge06*'01_Вводные'!$B$218*'19_Расчет_аналитики'!AY559,MeanMinAge06)))</f>
        <v/>
      </c>
      <c r="AZ469">
        <f>IF(OR('19_Расчет_аналитики'!AZ441=0,6&lt;='01_Вводные'!$B$297),0,'19_Расчет_аналитики'!AZ441*IF('01_Вводные'!$B$239="Да",MeanMinAge06+'19_Расчет_аналитики'!AZ559*SUMIF(ThresholdAge06,"&lt;"&amp;'19_Расчет_аналитики'!AZ559,WeightedRevAge06)-SUMIF(ThresholdAge06,"&lt;"&amp;'19_Расчет_аналитики'!AZ559,WeightedMinAge06),MAX(CapacityAge06*'01_Вводные'!$B$218*'19_Расчет_аналитики'!AZ559,MeanMinAge06)))</f>
        <v/>
      </c>
      <c r="BA469">
        <f>IF(OR('19_Расчет_аналитики'!BA441=0,6&lt;='01_Вводные'!$B$297),0,'19_Расчет_аналитики'!BA441*IF('01_Вводные'!$B$239="Да",MeanMinAge06+'19_Расчет_аналитики'!BA559*SUMIF(ThresholdAge06,"&lt;"&amp;'19_Расчет_аналитики'!BA559,WeightedRevAge06)-SUMIF(ThresholdAge06,"&lt;"&amp;'19_Расчет_аналитики'!BA559,WeightedMinAge06),MAX(CapacityAge06*'01_Вводные'!$B$218*'19_Расчет_аналитики'!BA559,MeanMinAge06)))</f>
        <v/>
      </c>
      <c r="BB469">
        <f>IF(OR('19_Расчет_аналитики'!BB441=0,6&lt;='01_Вводные'!$B$297),0,'19_Расчет_аналитики'!BB441*IF('01_Вводные'!$B$239="Да",MeanMinAge06+'19_Расчет_аналитики'!BB559*SUMIF(ThresholdAge06,"&lt;"&amp;'19_Расчет_аналитики'!BB559,WeightedRevAge06)-SUMIF(ThresholdAge06,"&lt;"&amp;'19_Расчет_аналитики'!BB559,WeightedMinAge06),MAX(CapacityAge06*'01_Вводные'!$B$218*'19_Расчет_аналитики'!BB559,MeanMinAge06)))</f>
        <v/>
      </c>
      <c r="BC469">
        <f>IF(OR('19_Расчет_аналитики'!BC441=0,6&lt;='01_Вводные'!$B$297),0,'19_Расчет_аналитики'!BC441*IF('01_Вводные'!$B$239="Да",MeanMinAge06+'19_Расчет_аналитики'!BC559*SUMIF(ThresholdAge06,"&lt;"&amp;'19_Расчет_аналитики'!BC559,WeightedRevAge06)-SUMIF(ThresholdAge06,"&lt;"&amp;'19_Расчет_аналитики'!BC559,WeightedMinAge06),MAX(CapacityAge06*'01_Вводные'!$B$218*'19_Расчет_аналитики'!BC559,MeanMinAge06)))</f>
        <v/>
      </c>
      <c r="BD469">
        <f>IF(OR('19_Расчет_аналитики'!BD441=0,6&lt;='01_Вводные'!$B$297),0,'19_Расчет_аналитики'!BD441*IF('01_Вводные'!$B$239="Да",MeanMinAge06+'19_Расчет_аналитики'!BD559*SUMIF(ThresholdAge06,"&lt;"&amp;'19_Расчет_аналитики'!BD559,WeightedRevAge06)-SUMIF(ThresholdAge06,"&lt;"&amp;'19_Расчет_аналитики'!BD559,WeightedMinAge06),MAX(CapacityAge06*'01_Вводные'!$B$218*'19_Расчет_аналитики'!BD559,MeanMinAge06)))</f>
        <v/>
      </c>
      <c r="BE469">
        <f>IF(OR('19_Расчет_аналитики'!BE441=0,6&lt;='01_Вводные'!$B$297),0,'19_Расчет_аналитики'!BE441*IF('01_Вводные'!$B$239="Да",MeanMinAge06+'19_Расчет_аналитики'!BE559*SUMIF(ThresholdAge06,"&lt;"&amp;'19_Расчет_аналитики'!BE559,WeightedRevAge06)-SUMIF(ThresholdAge06,"&lt;"&amp;'19_Расчет_аналитики'!BE559,WeightedMinAge06),MAX(CapacityAge06*'01_Вводные'!$B$218*'19_Расчет_аналитики'!BE559,MeanMinAge06)))</f>
        <v/>
      </c>
      <c r="BF469">
        <f>IF(OR('19_Расчет_аналитики'!BF441=0,6&lt;='01_Вводные'!$B$297),0,'19_Расчет_аналитики'!BF441*IF('01_Вводные'!$B$239="Да",MeanMinAge06+'19_Расчет_аналитики'!BF559*SUMIF(ThresholdAge06,"&lt;"&amp;'19_Расчет_аналитики'!BF559,WeightedRevAge06)-SUMIF(ThresholdAge06,"&lt;"&amp;'19_Расчет_аналитики'!BF559,WeightedMinAge06),MAX(CapacityAge06*'01_Вводные'!$B$218*'19_Расчет_аналитики'!BF559,MeanMinAge06)))</f>
        <v/>
      </c>
      <c r="BG469">
        <f>IF(OR('19_Расчет_аналитики'!BG441=0,6&lt;='01_Вводные'!$B$297),0,'19_Расчет_аналитики'!BG441*IF('01_Вводные'!$B$239="Да",MeanMinAge06+'19_Расчет_аналитики'!BG559*SUMIF(ThresholdAge06,"&lt;"&amp;'19_Расчет_аналитики'!BG559,WeightedRevAge06)-SUMIF(ThresholdAge06,"&lt;"&amp;'19_Расчет_аналитики'!BG559,WeightedMinAge06),MAX(CapacityAge06*'01_Вводные'!$B$218*'19_Расчет_аналитики'!BG559,MeanMinAge06)))</f>
        <v/>
      </c>
      <c r="BH469">
        <f>IF(OR('19_Расчет_аналитики'!BH441=0,6&lt;='01_Вводные'!$B$297),0,'19_Расчет_аналитики'!BH441*IF('01_Вводные'!$B$239="Да",MeanMinAge06+'19_Расчет_аналитики'!BH559*SUMIF(ThresholdAge06,"&lt;"&amp;'19_Расчет_аналитики'!BH559,WeightedRevAge06)-SUMIF(ThresholdAge06,"&lt;"&amp;'19_Расчет_аналитики'!BH559,WeightedMinAge06),MAX(CapacityAge06*'01_Вводные'!$B$218*'19_Расчет_аналитики'!BH559,MeanMinAge06)))</f>
        <v/>
      </c>
      <c r="BI469">
        <f>IF(OR('19_Расчет_аналитики'!BI441=0,6&lt;='01_Вводные'!$B$297),0,'19_Расчет_аналитики'!BI441*IF('01_Вводные'!$B$239="Да",MeanMinAge06+'19_Расчет_аналитики'!BI559*SUMIF(ThresholdAge06,"&lt;"&amp;'19_Расчет_аналитики'!BI559,WeightedRevAge06)-SUMIF(ThresholdAge06,"&lt;"&amp;'19_Расчет_аналитики'!BI559,WeightedMinAge06),MAX(CapacityAge06*'01_Вводные'!$B$218*'19_Расчет_аналитики'!BI559,MeanMinAge06)))</f>
        <v/>
      </c>
      <c r="BJ469">
        <f>IF(OR('19_Расчет_аналитики'!BJ441=0,6&lt;='01_Вводные'!$B$297),0,'19_Расчет_аналитики'!BJ441*IF('01_Вводные'!$B$239="Да",MeanMinAge06+'19_Расчет_аналитики'!BJ559*SUMIF(ThresholdAge06,"&lt;"&amp;'19_Расчет_аналитики'!BJ559,WeightedRevAge06)-SUMIF(ThresholdAge06,"&lt;"&amp;'19_Расчет_аналитики'!BJ559,WeightedMinAge06),MAX(CapacityAge06*'01_Вводные'!$B$218*'19_Расчет_аналитики'!BJ559,MeanMinAge06)))</f>
        <v/>
      </c>
      <c r="BK469">
        <f>IF(OR('19_Расчет_аналитики'!BK441=0,6&lt;='01_Вводные'!$B$297),0,'19_Расчет_аналитики'!BK441*IF('01_Вводные'!$B$239="Да",MeanMinAge06+'19_Расчет_аналитики'!BK559*SUMIF(ThresholdAge06,"&lt;"&amp;'19_Расчет_аналитики'!BK559,WeightedRevAge06)-SUMIF(ThresholdAge06,"&lt;"&amp;'19_Расчет_аналитики'!BK559,WeightedMinAge06),MAX(CapacityAge06*'01_Вводные'!$B$218*'19_Расчет_аналитики'!BK559,MeanMinAge06)))</f>
        <v/>
      </c>
      <c r="BL469">
        <f>IF(OR('19_Расчет_аналитики'!BL441=0,6&lt;='01_Вводные'!$B$297),0,'19_Расчет_аналитики'!BL441*IF('01_Вводные'!$B$239="Да",MeanMinAge06+'19_Расчет_аналитики'!BL559*SUMIF(ThresholdAge06,"&lt;"&amp;'19_Расчет_аналитики'!BL559,WeightedRevAge06)-SUMIF(ThresholdAge06,"&lt;"&amp;'19_Расчет_аналитики'!BL559,WeightedMinAge06),MAX(CapacityAge06*'01_Вводные'!$B$218*'19_Расчет_аналитики'!BL559,MeanMinAge06)))</f>
        <v/>
      </c>
      <c r="BM469">
        <f>IF(OR('19_Расчет_аналитики'!BM441=0,6&lt;='01_Вводные'!$B$297),0,'19_Расчет_аналитики'!BM441*IF('01_Вводные'!$B$239="Да",MeanMinAge06+'19_Расчет_аналитики'!BM559*SUMIF(ThresholdAge06,"&lt;"&amp;'19_Расчет_аналитики'!BM559,WeightedRevAge06)-SUMIF(ThresholdAge06,"&lt;"&amp;'19_Расчет_аналитики'!BM559,WeightedMinAge06),MAX(CapacityAge06*'01_Вводные'!$B$218*'19_Расчет_аналитики'!BM559,MeanMinAge06)))</f>
        <v/>
      </c>
      <c r="BN469">
        <f>IF(OR('19_Расчет_аналитики'!BN441=0,6&lt;='01_Вводные'!$B$297),0,'19_Расчет_аналитики'!BN441*IF('01_Вводные'!$B$239="Да",MeanMinAge06+'19_Расчет_аналитики'!BN559*SUMIF(ThresholdAge06,"&lt;"&amp;'19_Расчет_аналитики'!BN559,WeightedRevAge06)-SUMIF(ThresholdAge06,"&lt;"&amp;'19_Расчет_аналитики'!BN559,WeightedMinAge06),MAX(CapacityAge06*'01_Вводные'!$B$218*'19_Расчет_аналитики'!BN559,MeanMinAge06)))</f>
        <v/>
      </c>
      <c r="BO469">
        <f>IF(OR('19_Расчет_аналитики'!BO441=0,6&lt;='01_Вводные'!$B$297),0,'19_Расчет_аналитики'!BO441*IF('01_Вводные'!$B$239="Да",MeanMinAge06+'19_Расчет_аналитики'!BO559*SUMIF(ThresholdAge06,"&lt;"&amp;'19_Расчет_аналитики'!BO559,WeightedRevAge06)-SUMIF(ThresholdAge06,"&lt;"&amp;'19_Расчет_аналитики'!BO559,WeightedMinAge06),MAX(CapacityAge06*'01_Вводные'!$B$218*'19_Расчет_аналитики'!BO559,MeanMinAge06)))</f>
        <v/>
      </c>
    </row>
    <row r="470">
      <c r="B470">
        <f>IF(OR('06_Сеть_и_дети'!B87=0,7&lt;='01_Вводные'!$B$297),0,'06_Сеть_и_дети'!B87*IF('01_Вводные'!$B$239="Да",MeanMinAge07+'19_Расчет_аналитики'!B559*SUMIF(ThresholdAge07,"&lt;"&amp;'19_Расчет_аналитики'!B559,WeightedRevAge07)-SUMIF(ThresholdAge07,"&lt;"&amp;'19_Расчет_аналитики'!B559,WeightedMinAge07),MAX(CapacityAge07*'01_Вводные'!$B$218*'19_Расчет_аналитики'!B559,MeanMinAge07)))</f>
        <v/>
      </c>
      <c r="C470">
        <f>IF(OR('06_Сеть_и_дети'!C87=0,7&lt;='01_Вводные'!$B$297),0,'06_Сеть_и_дети'!C87*IF('01_Вводные'!$B$239="Да",MeanMinAge07+'19_Расчет_аналитики'!C559*SUMIF(ThresholdAge07,"&lt;"&amp;'19_Расчет_аналитики'!C559,WeightedRevAge07)-SUMIF(ThresholdAge07,"&lt;"&amp;'19_Расчет_аналитики'!C559,WeightedMinAge07),MAX(CapacityAge07*'01_Вводные'!$B$218*'19_Расчет_аналитики'!C559,MeanMinAge07)))</f>
        <v/>
      </c>
      <c r="D470">
        <f>IF(OR('06_Сеть_и_дети'!D87=0,7&lt;='01_Вводные'!$B$297),0,'06_Сеть_и_дети'!D87*IF('01_Вводные'!$B$239="Да",MeanMinAge07+'19_Расчет_аналитики'!D559*SUMIF(ThresholdAge07,"&lt;"&amp;'19_Расчет_аналитики'!D559,WeightedRevAge07)-SUMIF(ThresholdAge07,"&lt;"&amp;'19_Расчет_аналитики'!D559,WeightedMinAge07),MAX(CapacityAge07*'01_Вводные'!$B$218*'19_Расчет_аналитики'!D559,MeanMinAge07)))</f>
        <v/>
      </c>
      <c r="E470">
        <f>IF(OR('06_Сеть_и_дети'!E87=0,7&lt;='01_Вводные'!$B$297),0,'06_Сеть_и_дети'!E87*IF('01_Вводные'!$B$239="Да",MeanMinAge07+'19_Расчет_аналитики'!E559*SUMIF(ThresholdAge07,"&lt;"&amp;'19_Расчет_аналитики'!E559,WeightedRevAge07)-SUMIF(ThresholdAge07,"&lt;"&amp;'19_Расчет_аналитики'!E559,WeightedMinAge07),MAX(CapacityAge07*'01_Вводные'!$B$218*'19_Расчет_аналитики'!E559,MeanMinAge07)))</f>
        <v/>
      </c>
      <c r="F470">
        <f>IF(OR('06_Сеть_и_дети'!F87=0,7&lt;='01_Вводные'!$B$297),0,'06_Сеть_и_дети'!F87*IF('01_Вводные'!$B$239="Да",MeanMinAge07+'19_Расчет_аналитики'!F559*SUMIF(ThresholdAge07,"&lt;"&amp;'19_Расчет_аналитики'!F559,WeightedRevAge07)-SUMIF(ThresholdAge07,"&lt;"&amp;'19_Расчет_аналитики'!F559,WeightedMinAge07),MAX(CapacityAge07*'01_Вводные'!$B$218*'19_Расчет_аналитики'!F559,MeanMinAge07)))</f>
        <v/>
      </c>
      <c r="G470">
        <f>IF(OR('06_Сеть_и_дети'!G87=0,7&lt;='01_Вводные'!$B$297),0,'06_Сеть_и_дети'!G87*IF('01_Вводные'!$B$239="Да",MeanMinAge07+'19_Расчет_аналитики'!G559*SUMIF(ThresholdAge07,"&lt;"&amp;'19_Расчет_аналитики'!G559,WeightedRevAge07)-SUMIF(ThresholdAge07,"&lt;"&amp;'19_Расчет_аналитики'!G559,WeightedMinAge07),MAX(CapacityAge07*'01_Вводные'!$B$218*'19_Расчет_аналитики'!G559,MeanMinAge07)))</f>
        <v/>
      </c>
      <c r="H470">
        <f>IF(OR('19_Расчет_аналитики'!H442=0,7&lt;='01_Вводные'!$B$297),0,'19_Расчет_аналитики'!H442*IF('01_Вводные'!$B$239="Да",MeanMinAge07+'19_Расчет_аналитики'!H559*SUMIF(ThresholdAge07,"&lt;"&amp;'19_Расчет_аналитики'!H559,WeightedRevAge07)-SUMIF(ThresholdAge07,"&lt;"&amp;'19_Расчет_аналитики'!H559,WeightedMinAge07),MAX(CapacityAge07*'01_Вводные'!$B$218*'19_Расчет_аналитики'!H559,MeanMinAge07)))</f>
        <v/>
      </c>
      <c r="I470">
        <f>IF(OR('19_Расчет_аналитики'!I442=0,7&lt;='01_Вводные'!$B$297),0,'19_Расчет_аналитики'!I442*IF('01_Вводные'!$B$239="Да",MeanMinAge07+'19_Расчет_аналитики'!I559*SUMIF(ThresholdAge07,"&lt;"&amp;'19_Расчет_аналитики'!I559,WeightedRevAge07)-SUMIF(ThresholdAge07,"&lt;"&amp;'19_Расчет_аналитики'!I559,WeightedMinAge07),MAX(CapacityAge07*'01_Вводные'!$B$218*'19_Расчет_аналитики'!I559,MeanMinAge07)))</f>
        <v/>
      </c>
      <c r="J470">
        <f>IF(OR('19_Расчет_аналитики'!J442=0,7&lt;='01_Вводные'!$B$297),0,'19_Расчет_аналитики'!J442*IF('01_Вводные'!$B$239="Да",MeanMinAge07+'19_Расчет_аналитики'!J559*SUMIF(ThresholdAge07,"&lt;"&amp;'19_Расчет_аналитики'!J559,WeightedRevAge07)-SUMIF(ThresholdAge07,"&lt;"&amp;'19_Расчет_аналитики'!J559,WeightedMinAge07),MAX(CapacityAge07*'01_Вводные'!$B$218*'19_Расчет_аналитики'!J559,MeanMinAge07)))</f>
        <v/>
      </c>
      <c r="K470">
        <f>IF(OR('19_Расчет_аналитики'!K442=0,7&lt;='01_Вводные'!$B$297),0,'19_Расчет_аналитики'!K442*IF('01_Вводные'!$B$239="Да",MeanMinAge07+'19_Расчет_аналитики'!K559*SUMIF(ThresholdAge07,"&lt;"&amp;'19_Расчет_аналитики'!K559,WeightedRevAge07)-SUMIF(ThresholdAge07,"&lt;"&amp;'19_Расчет_аналитики'!K559,WeightedMinAge07),MAX(CapacityAge07*'01_Вводные'!$B$218*'19_Расчет_аналитики'!K559,MeanMinAge07)))</f>
        <v/>
      </c>
      <c r="L470">
        <f>IF(OR('19_Расчет_аналитики'!L442=0,7&lt;='01_Вводные'!$B$297),0,'19_Расчет_аналитики'!L442*IF('01_Вводные'!$B$239="Да",MeanMinAge07+'19_Расчет_аналитики'!L559*SUMIF(ThresholdAge07,"&lt;"&amp;'19_Расчет_аналитики'!L559,WeightedRevAge07)-SUMIF(ThresholdAge07,"&lt;"&amp;'19_Расчет_аналитики'!L559,WeightedMinAge07),MAX(CapacityAge07*'01_Вводные'!$B$218*'19_Расчет_аналитики'!L559,MeanMinAge07)))</f>
        <v/>
      </c>
      <c r="M470">
        <f>IF(OR('19_Расчет_аналитики'!M442=0,7&lt;='01_Вводные'!$B$297),0,'19_Расчет_аналитики'!M442*IF('01_Вводные'!$B$239="Да",MeanMinAge07+'19_Расчет_аналитики'!M559*SUMIF(ThresholdAge07,"&lt;"&amp;'19_Расчет_аналитики'!M559,WeightedRevAge07)-SUMIF(ThresholdAge07,"&lt;"&amp;'19_Расчет_аналитики'!M559,WeightedMinAge07),MAX(CapacityAge07*'01_Вводные'!$B$218*'19_Расчет_аналитики'!M559,MeanMinAge07)))</f>
        <v/>
      </c>
      <c r="N470">
        <f>IF(OR('19_Расчет_аналитики'!N442=0,7&lt;='01_Вводные'!$B$297),0,'19_Расчет_аналитики'!N442*IF('01_Вводные'!$B$239="Да",MeanMinAge07+'19_Расчет_аналитики'!N559*SUMIF(ThresholdAge07,"&lt;"&amp;'19_Расчет_аналитики'!N559,WeightedRevAge07)-SUMIF(ThresholdAge07,"&lt;"&amp;'19_Расчет_аналитики'!N559,WeightedMinAge07),MAX(CapacityAge07*'01_Вводные'!$B$218*'19_Расчет_аналитики'!N559,MeanMinAge07)))</f>
        <v/>
      </c>
      <c r="O470">
        <f>IF(OR('19_Расчет_аналитики'!O442=0,7&lt;='01_Вводные'!$B$297),0,'19_Расчет_аналитики'!O442*IF('01_Вводные'!$B$239="Да",MeanMinAge07+'19_Расчет_аналитики'!O559*SUMIF(ThresholdAge07,"&lt;"&amp;'19_Расчет_аналитики'!O559,WeightedRevAge07)-SUMIF(ThresholdAge07,"&lt;"&amp;'19_Расчет_аналитики'!O559,WeightedMinAge07),MAX(CapacityAge07*'01_Вводные'!$B$218*'19_Расчет_аналитики'!O559,MeanMinAge07)))</f>
        <v/>
      </c>
      <c r="P470">
        <f>IF(OR('19_Расчет_аналитики'!P442=0,7&lt;='01_Вводные'!$B$297),0,'19_Расчет_аналитики'!P442*IF('01_Вводные'!$B$239="Да",MeanMinAge07+'19_Расчет_аналитики'!P559*SUMIF(ThresholdAge07,"&lt;"&amp;'19_Расчет_аналитики'!P559,WeightedRevAge07)-SUMIF(ThresholdAge07,"&lt;"&amp;'19_Расчет_аналитики'!P559,WeightedMinAge07),MAX(CapacityAge07*'01_Вводные'!$B$218*'19_Расчет_аналитики'!P559,MeanMinAge07)))</f>
        <v/>
      </c>
      <c r="Q470">
        <f>IF(OR('19_Расчет_аналитики'!Q442=0,7&lt;='01_Вводные'!$B$297),0,'19_Расчет_аналитики'!Q442*IF('01_Вводные'!$B$239="Да",MeanMinAge07+'19_Расчет_аналитики'!Q559*SUMIF(ThresholdAge07,"&lt;"&amp;'19_Расчет_аналитики'!Q559,WeightedRevAge07)-SUMIF(ThresholdAge07,"&lt;"&amp;'19_Расчет_аналитики'!Q559,WeightedMinAge07),MAX(CapacityAge07*'01_Вводные'!$B$218*'19_Расчет_аналитики'!Q559,MeanMinAge07)))</f>
        <v/>
      </c>
      <c r="R470">
        <f>IF(OR('19_Расчет_аналитики'!R442=0,7&lt;='01_Вводные'!$B$297),0,'19_Расчет_аналитики'!R442*IF('01_Вводные'!$B$239="Да",MeanMinAge07+'19_Расчет_аналитики'!R559*SUMIF(ThresholdAge07,"&lt;"&amp;'19_Расчет_аналитики'!R559,WeightedRevAge07)-SUMIF(ThresholdAge07,"&lt;"&amp;'19_Расчет_аналитики'!R559,WeightedMinAge07),MAX(CapacityAge07*'01_Вводные'!$B$218*'19_Расчет_аналитики'!R559,MeanMinAge07)))</f>
        <v/>
      </c>
      <c r="S470">
        <f>IF(OR('19_Расчет_аналитики'!S442=0,7&lt;='01_Вводные'!$B$297),0,'19_Расчет_аналитики'!S442*IF('01_Вводные'!$B$239="Да",MeanMinAge07+'19_Расчет_аналитики'!S559*SUMIF(ThresholdAge07,"&lt;"&amp;'19_Расчет_аналитики'!S559,WeightedRevAge07)-SUMIF(ThresholdAge07,"&lt;"&amp;'19_Расчет_аналитики'!S559,WeightedMinAge07),MAX(CapacityAge07*'01_Вводные'!$B$218*'19_Расчет_аналитики'!S559,MeanMinAge07)))</f>
        <v/>
      </c>
      <c r="T470">
        <f>IF(OR('19_Расчет_аналитики'!T442=0,7&lt;='01_Вводные'!$B$297),0,'19_Расчет_аналитики'!T442*IF('01_Вводные'!$B$239="Да",MeanMinAge07+'19_Расчет_аналитики'!T559*SUMIF(ThresholdAge07,"&lt;"&amp;'19_Расчет_аналитики'!T559,WeightedRevAge07)-SUMIF(ThresholdAge07,"&lt;"&amp;'19_Расчет_аналитики'!T559,WeightedMinAge07),MAX(CapacityAge07*'01_Вводные'!$B$218*'19_Расчет_аналитики'!T559,MeanMinAge07)))</f>
        <v/>
      </c>
      <c r="U470">
        <f>IF(OR('19_Расчет_аналитики'!U442=0,7&lt;='01_Вводные'!$B$297),0,'19_Расчет_аналитики'!U442*IF('01_Вводные'!$B$239="Да",MeanMinAge07+'19_Расчет_аналитики'!U559*SUMIF(ThresholdAge07,"&lt;"&amp;'19_Расчет_аналитики'!U559,WeightedRevAge07)-SUMIF(ThresholdAge07,"&lt;"&amp;'19_Расчет_аналитики'!U559,WeightedMinAge07),MAX(CapacityAge07*'01_Вводные'!$B$218*'19_Расчет_аналитики'!U559,MeanMinAge07)))</f>
        <v/>
      </c>
      <c r="V470">
        <f>IF(OR('19_Расчет_аналитики'!V442=0,7&lt;='01_Вводные'!$B$297),0,'19_Расчет_аналитики'!V442*IF('01_Вводные'!$B$239="Да",MeanMinAge07+'19_Расчет_аналитики'!V559*SUMIF(ThresholdAge07,"&lt;"&amp;'19_Расчет_аналитики'!V559,WeightedRevAge07)-SUMIF(ThresholdAge07,"&lt;"&amp;'19_Расчет_аналитики'!V559,WeightedMinAge07),MAX(CapacityAge07*'01_Вводные'!$B$218*'19_Расчет_аналитики'!V559,MeanMinAge07)))</f>
        <v/>
      </c>
      <c r="W470">
        <f>IF(OR('19_Расчет_аналитики'!W442=0,7&lt;='01_Вводные'!$B$297),0,'19_Расчет_аналитики'!W442*IF('01_Вводные'!$B$239="Да",MeanMinAge07+'19_Расчет_аналитики'!W559*SUMIF(ThresholdAge07,"&lt;"&amp;'19_Расчет_аналитики'!W559,WeightedRevAge07)-SUMIF(ThresholdAge07,"&lt;"&amp;'19_Расчет_аналитики'!W559,WeightedMinAge07),MAX(CapacityAge07*'01_Вводные'!$B$218*'19_Расчет_аналитики'!W559,MeanMinAge07)))</f>
        <v/>
      </c>
      <c r="X470">
        <f>IF(OR('19_Расчет_аналитики'!X442=0,7&lt;='01_Вводные'!$B$297),0,'19_Расчет_аналитики'!X442*IF('01_Вводные'!$B$239="Да",MeanMinAge07+'19_Расчет_аналитики'!X559*SUMIF(ThresholdAge07,"&lt;"&amp;'19_Расчет_аналитики'!X559,WeightedRevAge07)-SUMIF(ThresholdAge07,"&lt;"&amp;'19_Расчет_аналитики'!X559,WeightedMinAge07),MAX(CapacityAge07*'01_Вводные'!$B$218*'19_Расчет_аналитики'!X559,MeanMinAge07)))</f>
        <v/>
      </c>
      <c r="Y470">
        <f>IF(OR('19_Расчет_аналитики'!Y442=0,7&lt;='01_Вводные'!$B$297),0,'19_Расчет_аналитики'!Y442*IF('01_Вводные'!$B$239="Да",MeanMinAge07+'19_Расчет_аналитики'!Y559*SUMIF(ThresholdAge07,"&lt;"&amp;'19_Расчет_аналитики'!Y559,WeightedRevAge07)-SUMIF(ThresholdAge07,"&lt;"&amp;'19_Расчет_аналитики'!Y559,WeightedMinAge07),MAX(CapacityAge07*'01_Вводные'!$B$218*'19_Расчет_аналитики'!Y559,MeanMinAge07)))</f>
        <v/>
      </c>
      <c r="Z470">
        <f>IF(OR('19_Расчет_аналитики'!Z442=0,7&lt;='01_Вводные'!$B$297),0,'19_Расчет_аналитики'!Z442*IF('01_Вводные'!$B$239="Да",MeanMinAge07+'19_Расчет_аналитики'!Z559*SUMIF(ThresholdAge07,"&lt;"&amp;'19_Расчет_аналитики'!Z559,WeightedRevAge07)-SUMIF(ThresholdAge07,"&lt;"&amp;'19_Расчет_аналитики'!Z559,WeightedMinAge07),MAX(CapacityAge07*'01_Вводные'!$B$218*'19_Расчет_аналитики'!Z559,MeanMinAge07)))</f>
        <v/>
      </c>
      <c r="AA470">
        <f>IF(OR('19_Расчет_аналитики'!AA442=0,7&lt;='01_Вводные'!$B$297),0,'19_Расчет_аналитики'!AA442*IF('01_Вводные'!$B$239="Да",MeanMinAge07+'19_Расчет_аналитики'!AA559*SUMIF(ThresholdAge07,"&lt;"&amp;'19_Расчет_аналитики'!AA559,WeightedRevAge07)-SUMIF(ThresholdAge07,"&lt;"&amp;'19_Расчет_аналитики'!AA559,WeightedMinAge07),MAX(CapacityAge07*'01_Вводные'!$B$218*'19_Расчет_аналитики'!AA559,MeanMinAge07)))</f>
        <v/>
      </c>
      <c r="AB470">
        <f>IF(OR('19_Расчет_аналитики'!AB442=0,7&lt;='01_Вводные'!$B$297),0,'19_Расчет_аналитики'!AB442*IF('01_Вводные'!$B$239="Да",MeanMinAge07+'19_Расчет_аналитики'!AB559*SUMIF(ThresholdAge07,"&lt;"&amp;'19_Расчет_аналитики'!AB559,WeightedRevAge07)-SUMIF(ThresholdAge07,"&lt;"&amp;'19_Расчет_аналитики'!AB559,WeightedMinAge07),MAX(CapacityAge07*'01_Вводные'!$B$218*'19_Расчет_аналитики'!AB559,MeanMinAge07)))</f>
        <v/>
      </c>
      <c r="AC470">
        <f>IF(OR('19_Расчет_аналитики'!AC442=0,7&lt;='01_Вводные'!$B$297),0,'19_Расчет_аналитики'!AC442*IF('01_Вводные'!$B$239="Да",MeanMinAge07+'19_Расчет_аналитики'!AC559*SUMIF(ThresholdAge07,"&lt;"&amp;'19_Расчет_аналитики'!AC559,WeightedRevAge07)-SUMIF(ThresholdAge07,"&lt;"&amp;'19_Расчет_аналитики'!AC559,WeightedMinAge07),MAX(CapacityAge07*'01_Вводные'!$B$218*'19_Расчет_аналитики'!AC559,MeanMinAge07)))</f>
        <v/>
      </c>
      <c r="AD470">
        <f>IF(OR('19_Расчет_аналитики'!AD442=0,7&lt;='01_Вводные'!$B$297),0,'19_Расчет_аналитики'!AD442*IF('01_Вводные'!$B$239="Да",MeanMinAge07+'19_Расчет_аналитики'!AD559*SUMIF(ThresholdAge07,"&lt;"&amp;'19_Расчет_аналитики'!AD559,WeightedRevAge07)-SUMIF(ThresholdAge07,"&lt;"&amp;'19_Расчет_аналитики'!AD559,WeightedMinAge07),MAX(CapacityAge07*'01_Вводные'!$B$218*'19_Расчет_аналитики'!AD559,MeanMinAge07)))</f>
        <v/>
      </c>
      <c r="AE470">
        <f>IF(OR('19_Расчет_аналитики'!AE442=0,7&lt;='01_Вводные'!$B$297),0,'19_Расчет_аналитики'!AE442*IF('01_Вводные'!$B$239="Да",MeanMinAge07+'19_Расчет_аналитики'!AE559*SUMIF(ThresholdAge07,"&lt;"&amp;'19_Расчет_аналитики'!AE559,WeightedRevAge07)-SUMIF(ThresholdAge07,"&lt;"&amp;'19_Расчет_аналитики'!AE559,WeightedMinAge07),MAX(CapacityAge07*'01_Вводные'!$B$218*'19_Расчет_аналитики'!AE559,MeanMinAge07)))</f>
        <v/>
      </c>
      <c r="AF470">
        <f>IF(OR('19_Расчет_аналитики'!AF442=0,7&lt;='01_Вводные'!$B$297),0,'19_Расчет_аналитики'!AF442*IF('01_Вводные'!$B$239="Да",MeanMinAge07+'19_Расчет_аналитики'!AF559*SUMIF(ThresholdAge07,"&lt;"&amp;'19_Расчет_аналитики'!AF559,WeightedRevAge07)-SUMIF(ThresholdAge07,"&lt;"&amp;'19_Расчет_аналитики'!AF559,WeightedMinAge07),MAX(CapacityAge07*'01_Вводные'!$B$218*'19_Расчет_аналитики'!AF559,MeanMinAge07)))</f>
        <v/>
      </c>
      <c r="AG470">
        <f>IF(OR('19_Расчет_аналитики'!AG442=0,7&lt;='01_Вводные'!$B$297),0,'19_Расчет_аналитики'!AG442*IF('01_Вводные'!$B$239="Да",MeanMinAge07+'19_Расчет_аналитики'!AG559*SUMIF(ThresholdAge07,"&lt;"&amp;'19_Расчет_аналитики'!AG559,WeightedRevAge07)-SUMIF(ThresholdAge07,"&lt;"&amp;'19_Расчет_аналитики'!AG559,WeightedMinAge07),MAX(CapacityAge07*'01_Вводные'!$B$218*'19_Расчет_аналитики'!AG559,MeanMinAge07)))</f>
        <v/>
      </c>
      <c r="AH470">
        <f>IF(OR('19_Расчет_аналитики'!AH442=0,7&lt;='01_Вводные'!$B$297),0,'19_Расчет_аналитики'!AH442*IF('01_Вводные'!$B$239="Да",MeanMinAge07+'19_Расчет_аналитики'!AH559*SUMIF(ThresholdAge07,"&lt;"&amp;'19_Расчет_аналитики'!AH559,WeightedRevAge07)-SUMIF(ThresholdAge07,"&lt;"&amp;'19_Расчет_аналитики'!AH559,WeightedMinAge07),MAX(CapacityAge07*'01_Вводные'!$B$218*'19_Расчет_аналитики'!AH559,MeanMinAge07)))</f>
        <v/>
      </c>
      <c r="AI470">
        <f>IF(OR('19_Расчет_аналитики'!AI442=0,7&lt;='01_Вводные'!$B$297),0,'19_Расчет_аналитики'!AI442*IF('01_Вводные'!$B$239="Да",MeanMinAge07+'19_Расчет_аналитики'!AI559*SUMIF(ThresholdAge07,"&lt;"&amp;'19_Расчет_аналитики'!AI559,WeightedRevAge07)-SUMIF(ThresholdAge07,"&lt;"&amp;'19_Расчет_аналитики'!AI559,WeightedMinAge07),MAX(CapacityAge07*'01_Вводные'!$B$218*'19_Расчет_аналитики'!AI559,MeanMinAge07)))</f>
        <v/>
      </c>
      <c r="AJ470">
        <f>IF(OR('19_Расчет_аналитики'!AJ442=0,7&lt;='01_Вводные'!$B$297),0,'19_Расчет_аналитики'!AJ442*IF('01_Вводные'!$B$239="Да",MeanMinAge07+'19_Расчет_аналитики'!AJ559*SUMIF(ThresholdAge07,"&lt;"&amp;'19_Расчет_аналитики'!AJ559,WeightedRevAge07)-SUMIF(ThresholdAge07,"&lt;"&amp;'19_Расчет_аналитики'!AJ559,WeightedMinAge07),MAX(CapacityAge07*'01_Вводные'!$B$218*'19_Расчет_аналитики'!AJ559,MeanMinAge07)))</f>
        <v/>
      </c>
      <c r="AK470">
        <f>IF(OR('19_Расчет_аналитики'!AK442=0,7&lt;='01_Вводные'!$B$297),0,'19_Расчет_аналитики'!AK442*IF('01_Вводные'!$B$239="Да",MeanMinAge07+'19_Расчет_аналитики'!AK559*SUMIF(ThresholdAge07,"&lt;"&amp;'19_Расчет_аналитики'!AK559,WeightedRevAge07)-SUMIF(ThresholdAge07,"&lt;"&amp;'19_Расчет_аналитики'!AK559,WeightedMinAge07),MAX(CapacityAge07*'01_Вводные'!$B$218*'19_Расчет_аналитики'!AK559,MeanMinAge07)))</f>
        <v/>
      </c>
      <c r="AL470">
        <f>IF(OR('19_Расчет_аналитики'!AL442=0,7&lt;='01_Вводные'!$B$297),0,'19_Расчет_аналитики'!AL442*IF('01_Вводные'!$B$239="Да",MeanMinAge07+'19_Расчет_аналитики'!AL559*SUMIF(ThresholdAge07,"&lt;"&amp;'19_Расчет_аналитики'!AL559,WeightedRevAge07)-SUMIF(ThresholdAge07,"&lt;"&amp;'19_Расчет_аналитики'!AL559,WeightedMinAge07),MAX(CapacityAge07*'01_Вводные'!$B$218*'19_Расчет_аналитики'!AL559,MeanMinAge07)))</f>
        <v/>
      </c>
      <c r="AM470">
        <f>IF(OR('19_Расчет_аналитики'!AM442=0,7&lt;='01_Вводные'!$B$297),0,'19_Расчет_аналитики'!AM442*IF('01_Вводные'!$B$239="Да",MeanMinAge07+'19_Расчет_аналитики'!AM559*SUMIF(ThresholdAge07,"&lt;"&amp;'19_Расчет_аналитики'!AM559,WeightedRevAge07)-SUMIF(ThresholdAge07,"&lt;"&amp;'19_Расчет_аналитики'!AM559,WeightedMinAge07),MAX(CapacityAge07*'01_Вводные'!$B$218*'19_Расчет_аналитики'!AM559,MeanMinAge07)))</f>
        <v/>
      </c>
      <c r="AN470">
        <f>IF(OR('19_Расчет_аналитики'!AN442=0,7&lt;='01_Вводные'!$B$297),0,'19_Расчет_аналитики'!AN442*IF('01_Вводные'!$B$239="Да",MeanMinAge07+'19_Расчет_аналитики'!AN559*SUMIF(ThresholdAge07,"&lt;"&amp;'19_Расчет_аналитики'!AN559,WeightedRevAge07)-SUMIF(ThresholdAge07,"&lt;"&amp;'19_Расчет_аналитики'!AN559,WeightedMinAge07),MAX(CapacityAge07*'01_Вводные'!$B$218*'19_Расчет_аналитики'!AN559,MeanMinAge07)))</f>
        <v/>
      </c>
      <c r="AO470">
        <f>IF(OR('19_Расчет_аналитики'!AO442=0,7&lt;='01_Вводные'!$B$297),0,'19_Расчет_аналитики'!AO442*IF('01_Вводные'!$B$239="Да",MeanMinAge07+'19_Расчет_аналитики'!AO559*SUMIF(ThresholdAge07,"&lt;"&amp;'19_Расчет_аналитики'!AO559,WeightedRevAge07)-SUMIF(ThresholdAge07,"&lt;"&amp;'19_Расчет_аналитики'!AO559,WeightedMinAge07),MAX(CapacityAge07*'01_Вводные'!$B$218*'19_Расчет_аналитики'!AO559,MeanMinAge07)))</f>
        <v/>
      </c>
      <c r="AP470">
        <f>IF(OR('19_Расчет_аналитики'!AP442=0,7&lt;='01_Вводные'!$B$297),0,'19_Расчет_аналитики'!AP442*IF('01_Вводные'!$B$239="Да",MeanMinAge07+'19_Расчет_аналитики'!AP559*SUMIF(ThresholdAge07,"&lt;"&amp;'19_Расчет_аналитики'!AP559,WeightedRevAge07)-SUMIF(ThresholdAge07,"&lt;"&amp;'19_Расчет_аналитики'!AP559,WeightedMinAge07),MAX(CapacityAge07*'01_Вводные'!$B$218*'19_Расчет_аналитики'!AP559,MeanMinAge07)))</f>
        <v/>
      </c>
      <c r="AQ470">
        <f>IF(OR('19_Расчет_аналитики'!AQ442=0,7&lt;='01_Вводные'!$B$297),0,'19_Расчет_аналитики'!AQ442*IF('01_Вводные'!$B$239="Да",MeanMinAge07+'19_Расчет_аналитики'!AQ559*SUMIF(ThresholdAge07,"&lt;"&amp;'19_Расчет_аналитики'!AQ559,WeightedRevAge07)-SUMIF(ThresholdAge07,"&lt;"&amp;'19_Расчет_аналитики'!AQ559,WeightedMinAge07),MAX(CapacityAge07*'01_Вводные'!$B$218*'19_Расчет_аналитики'!AQ559,MeanMinAge07)))</f>
        <v/>
      </c>
      <c r="AR470">
        <f>IF(OR('19_Расчет_аналитики'!AR442=0,7&lt;='01_Вводные'!$B$297),0,'19_Расчет_аналитики'!AR442*IF('01_Вводные'!$B$239="Да",MeanMinAge07+'19_Расчет_аналитики'!AR559*SUMIF(ThresholdAge07,"&lt;"&amp;'19_Расчет_аналитики'!AR559,WeightedRevAge07)-SUMIF(ThresholdAge07,"&lt;"&amp;'19_Расчет_аналитики'!AR559,WeightedMinAge07),MAX(CapacityAge07*'01_Вводные'!$B$218*'19_Расчет_аналитики'!AR559,MeanMinAge07)))</f>
        <v/>
      </c>
      <c r="AS470">
        <f>IF(OR('19_Расчет_аналитики'!AS442=0,7&lt;='01_Вводные'!$B$297),0,'19_Расчет_аналитики'!AS442*IF('01_Вводные'!$B$239="Да",MeanMinAge07+'19_Расчет_аналитики'!AS559*SUMIF(ThresholdAge07,"&lt;"&amp;'19_Расчет_аналитики'!AS559,WeightedRevAge07)-SUMIF(ThresholdAge07,"&lt;"&amp;'19_Расчет_аналитики'!AS559,WeightedMinAge07),MAX(CapacityAge07*'01_Вводные'!$B$218*'19_Расчет_аналитики'!AS559,MeanMinAge07)))</f>
        <v/>
      </c>
      <c r="AT470">
        <f>IF(OR('19_Расчет_аналитики'!AT442=0,7&lt;='01_Вводные'!$B$297),0,'19_Расчет_аналитики'!AT442*IF('01_Вводные'!$B$239="Да",MeanMinAge07+'19_Расчет_аналитики'!AT559*SUMIF(ThresholdAge07,"&lt;"&amp;'19_Расчет_аналитики'!AT559,WeightedRevAge07)-SUMIF(ThresholdAge07,"&lt;"&amp;'19_Расчет_аналитики'!AT559,WeightedMinAge07),MAX(CapacityAge07*'01_Вводные'!$B$218*'19_Расчет_аналитики'!AT559,MeanMinAge07)))</f>
        <v/>
      </c>
      <c r="AU470">
        <f>IF(OR('19_Расчет_аналитики'!AU442=0,7&lt;='01_Вводные'!$B$297),0,'19_Расчет_аналитики'!AU442*IF('01_Вводные'!$B$239="Да",MeanMinAge07+'19_Расчет_аналитики'!AU559*SUMIF(ThresholdAge07,"&lt;"&amp;'19_Расчет_аналитики'!AU559,WeightedRevAge07)-SUMIF(ThresholdAge07,"&lt;"&amp;'19_Расчет_аналитики'!AU559,WeightedMinAge07),MAX(CapacityAge07*'01_Вводные'!$B$218*'19_Расчет_аналитики'!AU559,MeanMinAge07)))</f>
        <v/>
      </c>
      <c r="AV470">
        <f>IF(OR('19_Расчет_аналитики'!AV442=0,7&lt;='01_Вводные'!$B$297),0,'19_Расчет_аналитики'!AV442*IF('01_Вводные'!$B$239="Да",MeanMinAge07+'19_Расчет_аналитики'!AV559*SUMIF(ThresholdAge07,"&lt;"&amp;'19_Расчет_аналитики'!AV559,WeightedRevAge07)-SUMIF(ThresholdAge07,"&lt;"&amp;'19_Расчет_аналитики'!AV559,WeightedMinAge07),MAX(CapacityAge07*'01_Вводные'!$B$218*'19_Расчет_аналитики'!AV559,MeanMinAge07)))</f>
        <v/>
      </c>
      <c r="AW470">
        <f>IF(OR('19_Расчет_аналитики'!AW442=0,7&lt;='01_Вводные'!$B$297),0,'19_Расчет_аналитики'!AW442*IF('01_Вводные'!$B$239="Да",MeanMinAge07+'19_Расчет_аналитики'!AW559*SUMIF(ThresholdAge07,"&lt;"&amp;'19_Расчет_аналитики'!AW559,WeightedRevAge07)-SUMIF(ThresholdAge07,"&lt;"&amp;'19_Расчет_аналитики'!AW559,WeightedMinAge07),MAX(CapacityAge07*'01_Вводные'!$B$218*'19_Расчет_аналитики'!AW559,MeanMinAge07)))</f>
        <v/>
      </c>
      <c r="AX470">
        <f>IF(OR('19_Расчет_аналитики'!AX442=0,7&lt;='01_Вводные'!$B$297),0,'19_Расчет_аналитики'!AX442*IF('01_Вводные'!$B$239="Да",MeanMinAge07+'19_Расчет_аналитики'!AX559*SUMIF(ThresholdAge07,"&lt;"&amp;'19_Расчет_аналитики'!AX559,WeightedRevAge07)-SUMIF(ThresholdAge07,"&lt;"&amp;'19_Расчет_аналитики'!AX559,WeightedMinAge07),MAX(CapacityAge07*'01_Вводные'!$B$218*'19_Расчет_аналитики'!AX559,MeanMinAge07)))</f>
        <v/>
      </c>
      <c r="AY470">
        <f>IF(OR('19_Расчет_аналитики'!AY442=0,7&lt;='01_Вводные'!$B$297),0,'19_Расчет_аналитики'!AY442*IF('01_Вводные'!$B$239="Да",MeanMinAge07+'19_Расчет_аналитики'!AY559*SUMIF(ThresholdAge07,"&lt;"&amp;'19_Расчет_аналитики'!AY559,WeightedRevAge07)-SUMIF(ThresholdAge07,"&lt;"&amp;'19_Расчет_аналитики'!AY559,WeightedMinAge07),MAX(CapacityAge07*'01_Вводные'!$B$218*'19_Расчет_аналитики'!AY559,MeanMinAge07)))</f>
        <v/>
      </c>
      <c r="AZ470">
        <f>IF(OR('19_Расчет_аналитики'!AZ442=0,7&lt;='01_Вводные'!$B$297),0,'19_Расчет_аналитики'!AZ442*IF('01_Вводные'!$B$239="Да",MeanMinAge07+'19_Расчет_аналитики'!AZ559*SUMIF(ThresholdAge07,"&lt;"&amp;'19_Расчет_аналитики'!AZ559,WeightedRevAge07)-SUMIF(ThresholdAge07,"&lt;"&amp;'19_Расчет_аналитики'!AZ559,WeightedMinAge07),MAX(CapacityAge07*'01_Вводные'!$B$218*'19_Расчет_аналитики'!AZ559,MeanMinAge07)))</f>
        <v/>
      </c>
      <c r="BA470">
        <f>IF(OR('19_Расчет_аналитики'!BA442=0,7&lt;='01_Вводные'!$B$297),0,'19_Расчет_аналитики'!BA442*IF('01_Вводные'!$B$239="Да",MeanMinAge07+'19_Расчет_аналитики'!BA559*SUMIF(ThresholdAge07,"&lt;"&amp;'19_Расчет_аналитики'!BA559,WeightedRevAge07)-SUMIF(ThresholdAge07,"&lt;"&amp;'19_Расчет_аналитики'!BA559,WeightedMinAge07),MAX(CapacityAge07*'01_Вводные'!$B$218*'19_Расчет_аналитики'!BA559,MeanMinAge07)))</f>
        <v/>
      </c>
      <c r="BB470">
        <f>IF(OR('19_Расчет_аналитики'!BB442=0,7&lt;='01_Вводные'!$B$297),0,'19_Расчет_аналитики'!BB442*IF('01_Вводные'!$B$239="Да",MeanMinAge07+'19_Расчет_аналитики'!BB559*SUMIF(ThresholdAge07,"&lt;"&amp;'19_Расчет_аналитики'!BB559,WeightedRevAge07)-SUMIF(ThresholdAge07,"&lt;"&amp;'19_Расчет_аналитики'!BB559,WeightedMinAge07),MAX(CapacityAge07*'01_Вводные'!$B$218*'19_Расчет_аналитики'!BB559,MeanMinAge07)))</f>
        <v/>
      </c>
      <c r="BC470">
        <f>IF(OR('19_Расчет_аналитики'!BC442=0,7&lt;='01_Вводные'!$B$297),0,'19_Расчет_аналитики'!BC442*IF('01_Вводные'!$B$239="Да",MeanMinAge07+'19_Расчет_аналитики'!BC559*SUMIF(ThresholdAge07,"&lt;"&amp;'19_Расчет_аналитики'!BC559,WeightedRevAge07)-SUMIF(ThresholdAge07,"&lt;"&amp;'19_Расчет_аналитики'!BC559,WeightedMinAge07),MAX(CapacityAge07*'01_Вводные'!$B$218*'19_Расчет_аналитики'!BC559,MeanMinAge07)))</f>
        <v/>
      </c>
      <c r="BD470">
        <f>IF(OR('19_Расчет_аналитики'!BD442=0,7&lt;='01_Вводные'!$B$297),0,'19_Расчет_аналитики'!BD442*IF('01_Вводные'!$B$239="Да",MeanMinAge07+'19_Расчет_аналитики'!BD559*SUMIF(ThresholdAge07,"&lt;"&amp;'19_Расчет_аналитики'!BD559,WeightedRevAge07)-SUMIF(ThresholdAge07,"&lt;"&amp;'19_Расчет_аналитики'!BD559,WeightedMinAge07),MAX(CapacityAge07*'01_Вводные'!$B$218*'19_Расчет_аналитики'!BD559,MeanMinAge07)))</f>
        <v/>
      </c>
      <c r="BE470">
        <f>IF(OR('19_Расчет_аналитики'!BE442=0,7&lt;='01_Вводные'!$B$297),0,'19_Расчет_аналитики'!BE442*IF('01_Вводные'!$B$239="Да",MeanMinAge07+'19_Расчет_аналитики'!BE559*SUMIF(ThresholdAge07,"&lt;"&amp;'19_Расчет_аналитики'!BE559,WeightedRevAge07)-SUMIF(ThresholdAge07,"&lt;"&amp;'19_Расчет_аналитики'!BE559,WeightedMinAge07),MAX(CapacityAge07*'01_Вводные'!$B$218*'19_Расчет_аналитики'!BE559,MeanMinAge07)))</f>
        <v/>
      </c>
      <c r="BF470">
        <f>IF(OR('19_Расчет_аналитики'!BF442=0,7&lt;='01_Вводные'!$B$297),0,'19_Расчет_аналитики'!BF442*IF('01_Вводные'!$B$239="Да",MeanMinAge07+'19_Расчет_аналитики'!BF559*SUMIF(ThresholdAge07,"&lt;"&amp;'19_Расчет_аналитики'!BF559,WeightedRevAge07)-SUMIF(ThresholdAge07,"&lt;"&amp;'19_Расчет_аналитики'!BF559,WeightedMinAge07),MAX(CapacityAge07*'01_Вводные'!$B$218*'19_Расчет_аналитики'!BF559,MeanMinAge07)))</f>
        <v/>
      </c>
      <c r="BG470">
        <f>IF(OR('19_Расчет_аналитики'!BG442=0,7&lt;='01_Вводные'!$B$297),0,'19_Расчет_аналитики'!BG442*IF('01_Вводные'!$B$239="Да",MeanMinAge07+'19_Расчет_аналитики'!BG559*SUMIF(ThresholdAge07,"&lt;"&amp;'19_Расчет_аналитики'!BG559,WeightedRevAge07)-SUMIF(ThresholdAge07,"&lt;"&amp;'19_Расчет_аналитики'!BG559,WeightedMinAge07),MAX(CapacityAge07*'01_Вводные'!$B$218*'19_Расчет_аналитики'!BG559,MeanMinAge07)))</f>
        <v/>
      </c>
      <c r="BH470">
        <f>IF(OR('19_Расчет_аналитики'!BH442=0,7&lt;='01_Вводные'!$B$297),0,'19_Расчет_аналитики'!BH442*IF('01_Вводные'!$B$239="Да",MeanMinAge07+'19_Расчет_аналитики'!BH559*SUMIF(ThresholdAge07,"&lt;"&amp;'19_Расчет_аналитики'!BH559,WeightedRevAge07)-SUMIF(ThresholdAge07,"&lt;"&amp;'19_Расчет_аналитики'!BH559,WeightedMinAge07),MAX(CapacityAge07*'01_Вводные'!$B$218*'19_Расчет_аналитики'!BH559,MeanMinAge07)))</f>
        <v/>
      </c>
      <c r="BI470">
        <f>IF(OR('19_Расчет_аналитики'!BI442=0,7&lt;='01_Вводные'!$B$297),0,'19_Расчет_аналитики'!BI442*IF('01_Вводные'!$B$239="Да",MeanMinAge07+'19_Расчет_аналитики'!BI559*SUMIF(ThresholdAge07,"&lt;"&amp;'19_Расчет_аналитики'!BI559,WeightedRevAge07)-SUMIF(ThresholdAge07,"&lt;"&amp;'19_Расчет_аналитики'!BI559,WeightedMinAge07),MAX(CapacityAge07*'01_Вводные'!$B$218*'19_Расчет_аналитики'!BI559,MeanMinAge07)))</f>
        <v/>
      </c>
      <c r="BJ470">
        <f>IF(OR('19_Расчет_аналитики'!BJ442=0,7&lt;='01_Вводные'!$B$297),0,'19_Расчет_аналитики'!BJ442*IF('01_Вводные'!$B$239="Да",MeanMinAge07+'19_Расчет_аналитики'!BJ559*SUMIF(ThresholdAge07,"&lt;"&amp;'19_Расчет_аналитики'!BJ559,WeightedRevAge07)-SUMIF(ThresholdAge07,"&lt;"&amp;'19_Расчет_аналитики'!BJ559,WeightedMinAge07),MAX(CapacityAge07*'01_Вводные'!$B$218*'19_Расчет_аналитики'!BJ559,MeanMinAge07)))</f>
        <v/>
      </c>
      <c r="BK470">
        <f>IF(OR('19_Расчет_аналитики'!BK442=0,7&lt;='01_Вводные'!$B$297),0,'19_Расчет_аналитики'!BK442*IF('01_Вводные'!$B$239="Да",MeanMinAge07+'19_Расчет_аналитики'!BK559*SUMIF(ThresholdAge07,"&lt;"&amp;'19_Расчет_аналитики'!BK559,WeightedRevAge07)-SUMIF(ThresholdAge07,"&lt;"&amp;'19_Расчет_аналитики'!BK559,WeightedMinAge07),MAX(CapacityAge07*'01_Вводные'!$B$218*'19_Расчет_аналитики'!BK559,MeanMinAge07)))</f>
        <v/>
      </c>
      <c r="BL470">
        <f>IF(OR('19_Расчет_аналитики'!BL442=0,7&lt;='01_Вводные'!$B$297),0,'19_Расчет_аналитики'!BL442*IF('01_Вводные'!$B$239="Да",MeanMinAge07+'19_Расчет_аналитики'!BL559*SUMIF(ThresholdAge07,"&lt;"&amp;'19_Расчет_аналитики'!BL559,WeightedRevAge07)-SUMIF(ThresholdAge07,"&lt;"&amp;'19_Расчет_аналитики'!BL559,WeightedMinAge07),MAX(CapacityAge07*'01_Вводные'!$B$218*'19_Расчет_аналитики'!BL559,MeanMinAge07)))</f>
        <v/>
      </c>
      <c r="BM470">
        <f>IF(OR('19_Расчет_аналитики'!BM442=0,7&lt;='01_Вводные'!$B$297),0,'19_Расчет_аналитики'!BM442*IF('01_Вводные'!$B$239="Да",MeanMinAge07+'19_Расчет_аналитики'!BM559*SUMIF(ThresholdAge07,"&lt;"&amp;'19_Расчет_аналитики'!BM559,WeightedRevAge07)-SUMIF(ThresholdAge07,"&lt;"&amp;'19_Расчет_аналитики'!BM559,WeightedMinAge07),MAX(CapacityAge07*'01_Вводные'!$B$218*'19_Расчет_аналитики'!BM559,MeanMinAge07)))</f>
        <v/>
      </c>
      <c r="BN470">
        <f>IF(OR('19_Расчет_аналитики'!BN442=0,7&lt;='01_Вводные'!$B$297),0,'19_Расчет_аналитики'!BN442*IF('01_Вводные'!$B$239="Да",MeanMinAge07+'19_Расчет_аналитики'!BN559*SUMIF(ThresholdAge07,"&lt;"&amp;'19_Расчет_аналитики'!BN559,WeightedRevAge07)-SUMIF(ThresholdAge07,"&lt;"&amp;'19_Расчет_аналитики'!BN559,WeightedMinAge07),MAX(CapacityAge07*'01_Вводные'!$B$218*'19_Расчет_аналитики'!BN559,MeanMinAge07)))</f>
        <v/>
      </c>
      <c r="BO470">
        <f>IF(OR('19_Расчет_аналитики'!BO442=0,7&lt;='01_Вводные'!$B$297),0,'19_Расчет_аналитики'!BO442*IF('01_Вводные'!$B$239="Да",MeanMinAge07+'19_Расчет_аналитики'!BO559*SUMIF(ThresholdAge07,"&lt;"&amp;'19_Расчет_аналитики'!BO559,WeightedRevAge07)-SUMIF(ThresholdAge07,"&lt;"&amp;'19_Расчет_аналитики'!BO559,WeightedMinAge07),MAX(CapacityAge07*'01_Вводные'!$B$218*'19_Расчет_аналитики'!BO559,MeanMinAge07)))</f>
        <v/>
      </c>
    </row>
    <row r="471">
      <c r="B471">
        <f>IF(OR('06_Сеть_и_дети'!B88=0,8&lt;='01_Вводные'!$B$297),0,'06_Сеть_и_дети'!B88*IF('01_Вводные'!$B$239="Да",MeanMinAge08+'19_Расчет_аналитики'!B559*SUMIF(ThresholdAge08,"&lt;"&amp;'19_Расчет_аналитики'!B559,WeightedRevAge08)-SUMIF(ThresholdAge08,"&lt;"&amp;'19_Расчет_аналитики'!B559,WeightedMinAge08),MAX(CapacityAge08*'01_Вводные'!$B$218*'19_Расчет_аналитики'!B559,MeanMinAge08)))</f>
        <v/>
      </c>
      <c r="C471">
        <f>IF(OR('06_Сеть_и_дети'!C88=0,8&lt;='01_Вводные'!$B$297),0,'06_Сеть_и_дети'!C88*IF('01_Вводные'!$B$239="Да",MeanMinAge08+'19_Расчет_аналитики'!C559*SUMIF(ThresholdAge08,"&lt;"&amp;'19_Расчет_аналитики'!C559,WeightedRevAge08)-SUMIF(ThresholdAge08,"&lt;"&amp;'19_Расчет_аналитики'!C559,WeightedMinAge08),MAX(CapacityAge08*'01_Вводные'!$B$218*'19_Расчет_аналитики'!C559,MeanMinAge08)))</f>
        <v/>
      </c>
      <c r="D471">
        <f>IF(OR('06_Сеть_и_дети'!D88=0,8&lt;='01_Вводные'!$B$297),0,'06_Сеть_и_дети'!D88*IF('01_Вводные'!$B$239="Да",MeanMinAge08+'19_Расчет_аналитики'!D559*SUMIF(ThresholdAge08,"&lt;"&amp;'19_Расчет_аналитики'!D559,WeightedRevAge08)-SUMIF(ThresholdAge08,"&lt;"&amp;'19_Расчет_аналитики'!D559,WeightedMinAge08),MAX(CapacityAge08*'01_Вводные'!$B$218*'19_Расчет_аналитики'!D559,MeanMinAge08)))</f>
        <v/>
      </c>
      <c r="E471">
        <f>IF(OR('06_Сеть_и_дети'!E88=0,8&lt;='01_Вводные'!$B$297),0,'06_Сеть_и_дети'!E88*IF('01_Вводные'!$B$239="Да",MeanMinAge08+'19_Расчет_аналитики'!E559*SUMIF(ThresholdAge08,"&lt;"&amp;'19_Расчет_аналитики'!E559,WeightedRevAge08)-SUMIF(ThresholdAge08,"&lt;"&amp;'19_Расчет_аналитики'!E559,WeightedMinAge08),MAX(CapacityAge08*'01_Вводные'!$B$218*'19_Расчет_аналитики'!E559,MeanMinAge08)))</f>
        <v/>
      </c>
      <c r="F471">
        <f>IF(OR('06_Сеть_и_дети'!F88=0,8&lt;='01_Вводные'!$B$297),0,'06_Сеть_и_дети'!F88*IF('01_Вводные'!$B$239="Да",MeanMinAge08+'19_Расчет_аналитики'!F559*SUMIF(ThresholdAge08,"&lt;"&amp;'19_Расчет_аналитики'!F559,WeightedRevAge08)-SUMIF(ThresholdAge08,"&lt;"&amp;'19_Расчет_аналитики'!F559,WeightedMinAge08),MAX(CapacityAge08*'01_Вводные'!$B$218*'19_Расчет_аналитики'!F559,MeanMinAge08)))</f>
        <v/>
      </c>
      <c r="G471">
        <f>IF(OR('06_Сеть_и_дети'!G88=0,8&lt;='01_Вводные'!$B$297),0,'06_Сеть_и_дети'!G88*IF('01_Вводные'!$B$239="Да",MeanMinAge08+'19_Расчет_аналитики'!G559*SUMIF(ThresholdAge08,"&lt;"&amp;'19_Расчет_аналитики'!G559,WeightedRevAge08)-SUMIF(ThresholdAge08,"&lt;"&amp;'19_Расчет_аналитики'!G559,WeightedMinAge08),MAX(CapacityAge08*'01_Вводные'!$B$218*'19_Расчет_аналитики'!G559,MeanMinAge08)))</f>
        <v/>
      </c>
      <c r="H471">
        <f>IF(OR('06_Сеть_и_дети'!H88=0,8&lt;='01_Вводные'!$B$297),0,'06_Сеть_и_дети'!H88*IF('01_Вводные'!$B$239="Да",MeanMinAge08+'19_Расчет_аналитики'!H559*SUMIF(ThresholdAge08,"&lt;"&amp;'19_Расчет_аналитики'!H559,WeightedRevAge08)-SUMIF(ThresholdAge08,"&lt;"&amp;'19_Расчет_аналитики'!H559,WeightedMinAge08),MAX(CapacityAge08*'01_Вводные'!$B$218*'19_Расчет_аналитики'!H559,MeanMinAge08)))</f>
        <v/>
      </c>
      <c r="I471">
        <f>IF(OR('19_Расчет_аналитики'!I443=0,8&lt;='01_Вводные'!$B$297),0,'19_Расчет_аналитики'!I443*IF('01_Вводные'!$B$239="Да",MeanMinAge08+'19_Расчет_аналитики'!I559*SUMIF(ThresholdAge08,"&lt;"&amp;'19_Расчет_аналитики'!I559,WeightedRevAge08)-SUMIF(ThresholdAge08,"&lt;"&amp;'19_Расчет_аналитики'!I559,WeightedMinAge08),MAX(CapacityAge08*'01_Вводные'!$B$218*'19_Расчет_аналитики'!I559,MeanMinAge08)))</f>
        <v/>
      </c>
      <c r="J471">
        <f>IF(OR('19_Расчет_аналитики'!J443=0,8&lt;='01_Вводные'!$B$297),0,'19_Расчет_аналитики'!J443*IF('01_Вводные'!$B$239="Да",MeanMinAge08+'19_Расчет_аналитики'!J559*SUMIF(ThresholdAge08,"&lt;"&amp;'19_Расчет_аналитики'!J559,WeightedRevAge08)-SUMIF(ThresholdAge08,"&lt;"&amp;'19_Расчет_аналитики'!J559,WeightedMinAge08),MAX(CapacityAge08*'01_Вводные'!$B$218*'19_Расчет_аналитики'!J559,MeanMinAge08)))</f>
        <v/>
      </c>
      <c r="K471">
        <f>IF(OR('19_Расчет_аналитики'!K443=0,8&lt;='01_Вводные'!$B$297),0,'19_Расчет_аналитики'!K443*IF('01_Вводные'!$B$239="Да",MeanMinAge08+'19_Расчет_аналитики'!K559*SUMIF(ThresholdAge08,"&lt;"&amp;'19_Расчет_аналитики'!K559,WeightedRevAge08)-SUMIF(ThresholdAge08,"&lt;"&amp;'19_Расчет_аналитики'!K559,WeightedMinAge08),MAX(CapacityAge08*'01_Вводные'!$B$218*'19_Расчет_аналитики'!K559,MeanMinAge08)))</f>
        <v/>
      </c>
      <c r="L471">
        <f>IF(OR('19_Расчет_аналитики'!L443=0,8&lt;='01_Вводные'!$B$297),0,'19_Расчет_аналитики'!L443*IF('01_Вводные'!$B$239="Да",MeanMinAge08+'19_Расчет_аналитики'!L559*SUMIF(ThresholdAge08,"&lt;"&amp;'19_Расчет_аналитики'!L559,WeightedRevAge08)-SUMIF(ThresholdAge08,"&lt;"&amp;'19_Расчет_аналитики'!L559,WeightedMinAge08),MAX(CapacityAge08*'01_Вводные'!$B$218*'19_Расчет_аналитики'!L559,MeanMinAge08)))</f>
        <v/>
      </c>
      <c r="M471">
        <f>IF(OR('19_Расчет_аналитики'!M443=0,8&lt;='01_Вводные'!$B$297),0,'19_Расчет_аналитики'!M443*IF('01_Вводные'!$B$239="Да",MeanMinAge08+'19_Расчет_аналитики'!M559*SUMIF(ThresholdAge08,"&lt;"&amp;'19_Расчет_аналитики'!M559,WeightedRevAge08)-SUMIF(ThresholdAge08,"&lt;"&amp;'19_Расчет_аналитики'!M559,WeightedMinAge08),MAX(CapacityAge08*'01_Вводные'!$B$218*'19_Расчет_аналитики'!M559,MeanMinAge08)))</f>
        <v/>
      </c>
      <c r="N471">
        <f>IF(OR('19_Расчет_аналитики'!N443=0,8&lt;='01_Вводные'!$B$297),0,'19_Расчет_аналитики'!N443*IF('01_Вводные'!$B$239="Да",MeanMinAge08+'19_Расчет_аналитики'!N559*SUMIF(ThresholdAge08,"&lt;"&amp;'19_Расчет_аналитики'!N559,WeightedRevAge08)-SUMIF(ThresholdAge08,"&lt;"&amp;'19_Расчет_аналитики'!N559,WeightedMinAge08),MAX(CapacityAge08*'01_Вводные'!$B$218*'19_Расчет_аналитики'!N559,MeanMinAge08)))</f>
        <v/>
      </c>
      <c r="O471">
        <f>IF(OR('19_Расчет_аналитики'!O443=0,8&lt;='01_Вводные'!$B$297),0,'19_Расчет_аналитики'!O443*IF('01_Вводные'!$B$239="Да",MeanMinAge08+'19_Расчет_аналитики'!O559*SUMIF(ThresholdAge08,"&lt;"&amp;'19_Расчет_аналитики'!O559,WeightedRevAge08)-SUMIF(ThresholdAge08,"&lt;"&amp;'19_Расчет_аналитики'!O559,WeightedMinAge08),MAX(CapacityAge08*'01_Вводные'!$B$218*'19_Расчет_аналитики'!O559,MeanMinAge08)))</f>
        <v/>
      </c>
      <c r="P471">
        <f>IF(OR('19_Расчет_аналитики'!P443=0,8&lt;='01_Вводные'!$B$297),0,'19_Расчет_аналитики'!P443*IF('01_Вводные'!$B$239="Да",MeanMinAge08+'19_Расчет_аналитики'!P559*SUMIF(ThresholdAge08,"&lt;"&amp;'19_Расчет_аналитики'!P559,WeightedRevAge08)-SUMIF(ThresholdAge08,"&lt;"&amp;'19_Расчет_аналитики'!P559,WeightedMinAge08),MAX(CapacityAge08*'01_Вводные'!$B$218*'19_Расчет_аналитики'!P559,MeanMinAge08)))</f>
        <v/>
      </c>
      <c r="Q471">
        <f>IF(OR('19_Расчет_аналитики'!Q443=0,8&lt;='01_Вводные'!$B$297),0,'19_Расчет_аналитики'!Q443*IF('01_Вводные'!$B$239="Да",MeanMinAge08+'19_Расчет_аналитики'!Q559*SUMIF(ThresholdAge08,"&lt;"&amp;'19_Расчет_аналитики'!Q559,WeightedRevAge08)-SUMIF(ThresholdAge08,"&lt;"&amp;'19_Расчет_аналитики'!Q559,WeightedMinAge08),MAX(CapacityAge08*'01_Вводные'!$B$218*'19_Расчет_аналитики'!Q559,MeanMinAge08)))</f>
        <v/>
      </c>
      <c r="R471">
        <f>IF(OR('19_Расчет_аналитики'!R443=0,8&lt;='01_Вводные'!$B$297),0,'19_Расчет_аналитики'!R443*IF('01_Вводные'!$B$239="Да",MeanMinAge08+'19_Расчет_аналитики'!R559*SUMIF(ThresholdAge08,"&lt;"&amp;'19_Расчет_аналитики'!R559,WeightedRevAge08)-SUMIF(ThresholdAge08,"&lt;"&amp;'19_Расчет_аналитики'!R559,WeightedMinAge08),MAX(CapacityAge08*'01_Вводные'!$B$218*'19_Расчет_аналитики'!R559,MeanMinAge08)))</f>
        <v/>
      </c>
      <c r="S471">
        <f>IF(OR('19_Расчет_аналитики'!S443=0,8&lt;='01_Вводные'!$B$297),0,'19_Расчет_аналитики'!S443*IF('01_Вводные'!$B$239="Да",MeanMinAge08+'19_Расчет_аналитики'!S559*SUMIF(ThresholdAge08,"&lt;"&amp;'19_Расчет_аналитики'!S559,WeightedRevAge08)-SUMIF(ThresholdAge08,"&lt;"&amp;'19_Расчет_аналитики'!S559,WeightedMinAge08),MAX(CapacityAge08*'01_Вводные'!$B$218*'19_Расчет_аналитики'!S559,MeanMinAge08)))</f>
        <v/>
      </c>
      <c r="T471">
        <f>IF(OR('19_Расчет_аналитики'!T443=0,8&lt;='01_Вводные'!$B$297),0,'19_Расчет_аналитики'!T443*IF('01_Вводные'!$B$239="Да",MeanMinAge08+'19_Расчет_аналитики'!T559*SUMIF(ThresholdAge08,"&lt;"&amp;'19_Расчет_аналитики'!T559,WeightedRevAge08)-SUMIF(ThresholdAge08,"&lt;"&amp;'19_Расчет_аналитики'!T559,WeightedMinAge08),MAX(CapacityAge08*'01_Вводные'!$B$218*'19_Расчет_аналитики'!T559,MeanMinAge08)))</f>
        <v/>
      </c>
      <c r="U471">
        <f>IF(OR('19_Расчет_аналитики'!U443=0,8&lt;='01_Вводные'!$B$297),0,'19_Расчет_аналитики'!U443*IF('01_Вводные'!$B$239="Да",MeanMinAge08+'19_Расчет_аналитики'!U559*SUMIF(ThresholdAge08,"&lt;"&amp;'19_Расчет_аналитики'!U559,WeightedRevAge08)-SUMIF(ThresholdAge08,"&lt;"&amp;'19_Расчет_аналитики'!U559,WeightedMinAge08),MAX(CapacityAge08*'01_Вводные'!$B$218*'19_Расчет_аналитики'!U559,MeanMinAge08)))</f>
        <v/>
      </c>
      <c r="V471">
        <f>IF(OR('19_Расчет_аналитики'!V443=0,8&lt;='01_Вводные'!$B$297),0,'19_Расчет_аналитики'!V443*IF('01_Вводные'!$B$239="Да",MeanMinAge08+'19_Расчет_аналитики'!V559*SUMIF(ThresholdAge08,"&lt;"&amp;'19_Расчет_аналитики'!V559,WeightedRevAge08)-SUMIF(ThresholdAge08,"&lt;"&amp;'19_Расчет_аналитики'!V559,WeightedMinAge08),MAX(CapacityAge08*'01_Вводные'!$B$218*'19_Расчет_аналитики'!V559,MeanMinAge08)))</f>
        <v/>
      </c>
      <c r="W471">
        <f>IF(OR('19_Расчет_аналитики'!W443=0,8&lt;='01_Вводные'!$B$297),0,'19_Расчет_аналитики'!W443*IF('01_Вводные'!$B$239="Да",MeanMinAge08+'19_Расчет_аналитики'!W559*SUMIF(ThresholdAge08,"&lt;"&amp;'19_Расчет_аналитики'!W559,WeightedRevAge08)-SUMIF(ThresholdAge08,"&lt;"&amp;'19_Расчет_аналитики'!W559,WeightedMinAge08),MAX(CapacityAge08*'01_Вводные'!$B$218*'19_Расчет_аналитики'!W559,MeanMinAge08)))</f>
        <v/>
      </c>
      <c r="X471">
        <f>IF(OR('19_Расчет_аналитики'!X443=0,8&lt;='01_Вводные'!$B$297),0,'19_Расчет_аналитики'!X443*IF('01_Вводные'!$B$239="Да",MeanMinAge08+'19_Расчет_аналитики'!X559*SUMIF(ThresholdAge08,"&lt;"&amp;'19_Расчет_аналитики'!X559,WeightedRevAge08)-SUMIF(ThresholdAge08,"&lt;"&amp;'19_Расчет_аналитики'!X559,WeightedMinAge08),MAX(CapacityAge08*'01_Вводные'!$B$218*'19_Расчет_аналитики'!X559,MeanMinAge08)))</f>
        <v/>
      </c>
      <c r="Y471">
        <f>IF(OR('19_Расчет_аналитики'!Y443=0,8&lt;='01_Вводные'!$B$297),0,'19_Расчет_аналитики'!Y443*IF('01_Вводные'!$B$239="Да",MeanMinAge08+'19_Расчет_аналитики'!Y559*SUMIF(ThresholdAge08,"&lt;"&amp;'19_Расчет_аналитики'!Y559,WeightedRevAge08)-SUMIF(ThresholdAge08,"&lt;"&amp;'19_Расчет_аналитики'!Y559,WeightedMinAge08),MAX(CapacityAge08*'01_Вводные'!$B$218*'19_Расчет_аналитики'!Y559,MeanMinAge08)))</f>
        <v/>
      </c>
      <c r="Z471">
        <f>IF(OR('19_Расчет_аналитики'!Z443=0,8&lt;='01_Вводные'!$B$297),0,'19_Расчет_аналитики'!Z443*IF('01_Вводные'!$B$239="Да",MeanMinAge08+'19_Расчет_аналитики'!Z559*SUMIF(ThresholdAge08,"&lt;"&amp;'19_Расчет_аналитики'!Z559,WeightedRevAge08)-SUMIF(ThresholdAge08,"&lt;"&amp;'19_Расчет_аналитики'!Z559,WeightedMinAge08),MAX(CapacityAge08*'01_Вводные'!$B$218*'19_Расчет_аналитики'!Z559,MeanMinAge08)))</f>
        <v/>
      </c>
      <c r="AA471">
        <f>IF(OR('19_Расчет_аналитики'!AA443=0,8&lt;='01_Вводные'!$B$297),0,'19_Расчет_аналитики'!AA443*IF('01_Вводные'!$B$239="Да",MeanMinAge08+'19_Расчет_аналитики'!AA559*SUMIF(ThresholdAge08,"&lt;"&amp;'19_Расчет_аналитики'!AA559,WeightedRevAge08)-SUMIF(ThresholdAge08,"&lt;"&amp;'19_Расчет_аналитики'!AA559,WeightedMinAge08),MAX(CapacityAge08*'01_Вводные'!$B$218*'19_Расчет_аналитики'!AA559,MeanMinAge08)))</f>
        <v/>
      </c>
      <c r="AB471">
        <f>IF(OR('19_Расчет_аналитики'!AB443=0,8&lt;='01_Вводные'!$B$297),0,'19_Расчет_аналитики'!AB443*IF('01_Вводные'!$B$239="Да",MeanMinAge08+'19_Расчет_аналитики'!AB559*SUMIF(ThresholdAge08,"&lt;"&amp;'19_Расчет_аналитики'!AB559,WeightedRevAge08)-SUMIF(ThresholdAge08,"&lt;"&amp;'19_Расчет_аналитики'!AB559,WeightedMinAge08),MAX(CapacityAge08*'01_Вводные'!$B$218*'19_Расчет_аналитики'!AB559,MeanMinAge08)))</f>
        <v/>
      </c>
      <c r="AC471">
        <f>IF(OR('19_Расчет_аналитики'!AC443=0,8&lt;='01_Вводные'!$B$297),0,'19_Расчет_аналитики'!AC443*IF('01_Вводные'!$B$239="Да",MeanMinAge08+'19_Расчет_аналитики'!AC559*SUMIF(ThresholdAge08,"&lt;"&amp;'19_Расчет_аналитики'!AC559,WeightedRevAge08)-SUMIF(ThresholdAge08,"&lt;"&amp;'19_Расчет_аналитики'!AC559,WeightedMinAge08),MAX(CapacityAge08*'01_Вводные'!$B$218*'19_Расчет_аналитики'!AC559,MeanMinAge08)))</f>
        <v/>
      </c>
      <c r="AD471">
        <f>IF(OR('19_Расчет_аналитики'!AD443=0,8&lt;='01_Вводные'!$B$297),0,'19_Расчет_аналитики'!AD443*IF('01_Вводные'!$B$239="Да",MeanMinAge08+'19_Расчет_аналитики'!AD559*SUMIF(ThresholdAge08,"&lt;"&amp;'19_Расчет_аналитики'!AD559,WeightedRevAge08)-SUMIF(ThresholdAge08,"&lt;"&amp;'19_Расчет_аналитики'!AD559,WeightedMinAge08),MAX(CapacityAge08*'01_Вводные'!$B$218*'19_Расчет_аналитики'!AD559,MeanMinAge08)))</f>
        <v/>
      </c>
      <c r="AE471">
        <f>IF(OR('19_Расчет_аналитики'!AE443=0,8&lt;='01_Вводные'!$B$297),0,'19_Расчет_аналитики'!AE443*IF('01_Вводные'!$B$239="Да",MeanMinAge08+'19_Расчет_аналитики'!AE559*SUMIF(ThresholdAge08,"&lt;"&amp;'19_Расчет_аналитики'!AE559,WeightedRevAge08)-SUMIF(ThresholdAge08,"&lt;"&amp;'19_Расчет_аналитики'!AE559,WeightedMinAge08),MAX(CapacityAge08*'01_Вводные'!$B$218*'19_Расчет_аналитики'!AE559,MeanMinAge08)))</f>
        <v/>
      </c>
      <c r="AF471">
        <f>IF(OR('19_Расчет_аналитики'!AF443=0,8&lt;='01_Вводные'!$B$297),0,'19_Расчет_аналитики'!AF443*IF('01_Вводные'!$B$239="Да",MeanMinAge08+'19_Расчет_аналитики'!AF559*SUMIF(ThresholdAge08,"&lt;"&amp;'19_Расчет_аналитики'!AF559,WeightedRevAge08)-SUMIF(ThresholdAge08,"&lt;"&amp;'19_Расчет_аналитики'!AF559,WeightedMinAge08),MAX(CapacityAge08*'01_Вводные'!$B$218*'19_Расчет_аналитики'!AF559,MeanMinAge08)))</f>
        <v/>
      </c>
      <c r="AG471">
        <f>IF(OR('19_Расчет_аналитики'!AG443=0,8&lt;='01_Вводные'!$B$297),0,'19_Расчет_аналитики'!AG443*IF('01_Вводные'!$B$239="Да",MeanMinAge08+'19_Расчет_аналитики'!AG559*SUMIF(ThresholdAge08,"&lt;"&amp;'19_Расчет_аналитики'!AG559,WeightedRevAge08)-SUMIF(ThresholdAge08,"&lt;"&amp;'19_Расчет_аналитики'!AG559,WeightedMinAge08),MAX(CapacityAge08*'01_Вводные'!$B$218*'19_Расчет_аналитики'!AG559,MeanMinAge08)))</f>
        <v/>
      </c>
      <c r="AH471">
        <f>IF(OR('19_Расчет_аналитики'!AH443=0,8&lt;='01_Вводные'!$B$297),0,'19_Расчет_аналитики'!AH443*IF('01_Вводные'!$B$239="Да",MeanMinAge08+'19_Расчет_аналитики'!AH559*SUMIF(ThresholdAge08,"&lt;"&amp;'19_Расчет_аналитики'!AH559,WeightedRevAge08)-SUMIF(ThresholdAge08,"&lt;"&amp;'19_Расчет_аналитики'!AH559,WeightedMinAge08),MAX(CapacityAge08*'01_Вводные'!$B$218*'19_Расчет_аналитики'!AH559,MeanMinAge08)))</f>
        <v/>
      </c>
      <c r="AI471">
        <f>IF(OR('19_Расчет_аналитики'!AI443=0,8&lt;='01_Вводные'!$B$297),0,'19_Расчет_аналитики'!AI443*IF('01_Вводные'!$B$239="Да",MeanMinAge08+'19_Расчет_аналитики'!AI559*SUMIF(ThresholdAge08,"&lt;"&amp;'19_Расчет_аналитики'!AI559,WeightedRevAge08)-SUMIF(ThresholdAge08,"&lt;"&amp;'19_Расчет_аналитики'!AI559,WeightedMinAge08),MAX(CapacityAge08*'01_Вводные'!$B$218*'19_Расчет_аналитики'!AI559,MeanMinAge08)))</f>
        <v/>
      </c>
      <c r="AJ471">
        <f>IF(OR('19_Расчет_аналитики'!AJ443=0,8&lt;='01_Вводные'!$B$297),0,'19_Расчет_аналитики'!AJ443*IF('01_Вводные'!$B$239="Да",MeanMinAge08+'19_Расчет_аналитики'!AJ559*SUMIF(ThresholdAge08,"&lt;"&amp;'19_Расчет_аналитики'!AJ559,WeightedRevAge08)-SUMIF(ThresholdAge08,"&lt;"&amp;'19_Расчет_аналитики'!AJ559,WeightedMinAge08),MAX(CapacityAge08*'01_Вводные'!$B$218*'19_Расчет_аналитики'!AJ559,MeanMinAge08)))</f>
        <v/>
      </c>
      <c r="AK471">
        <f>IF(OR('19_Расчет_аналитики'!AK443=0,8&lt;='01_Вводные'!$B$297),0,'19_Расчет_аналитики'!AK443*IF('01_Вводные'!$B$239="Да",MeanMinAge08+'19_Расчет_аналитики'!AK559*SUMIF(ThresholdAge08,"&lt;"&amp;'19_Расчет_аналитики'!AK559,WeightedRevAge08)-SUMIF(ThresholdAge08,"&lt;"&amp;'19_Расчет_аналитики'!AK559,WeightedMinAge08),MAX(CapacityAge08*'01_Вводные'!$B$218*'19_Расчет_аналитики'!AK559,MeanMinAge08)))</f>
        <v/>
      </c>
      <c r="AL471">
        <f>IF(OR('19_Расчет_аналитики'!AL443=0,8&lt;='01_Вводные'!$B$297),0,'19_Расчет_аналитики'!AL443*IF('01_Вводные'!$B$239="Да",MeanMinAge08+'19_Расчет_аналитики'!AL559*SUMIF(ThresholdAge08,"&lt;"&amp;'19_Расчет_аналитики'!AL559,WeightedRevAge08)-SUMIF(ThresholdAge08,"&lt;"&amp;'19_Расчет_аналитики'!AL559,WeightedMinAge08),MAX(CapacityAge08*'01_Вводные'!$B$218*'19_Расчет_аналитики'!AL559,MeanMinAge08)))</f>
        <v/>
      </c>
      <c r="AM471">
        <f>IF(OR('19_Расчет_аналитики'!AM443=0,8&lt;='01_Вводные'!$B$297),0,'19_Расчет_аналитики'!AM443*IF('01_Вводные'!$B$239="Да",MeanMinAge08+'19_Расчет_аналитики'!AM559*SUMIF(ThresholdAge08,"&lt;"&amp;'19_Расчет_аналитики'!AM559,WeightedRevAge08)-SUMIF(ThresholdAge08,"&lt;"&amp;'19_Расчет_аналитики'!AM559,WeightedMinAge08),MAX(CapacityAge08*'01_Вводные'!$B$218*'19_Расчет_аналитики'!AM559,MeanMinAge08)))</f>
        <v/>
      </c>
      <c r="AN471">
        <f>IF(OR('19_Расчет_аналитики'!AN443=0,8&lt;='01_Вводные'!$B$297),0,'19_Расчет_аналитики'!AN443*IF('01_Вводные'!$B$239="Да",MeanMinAge08+'19_Расчет_аналитики'!AN559*SUMIF(ThresholdAge08,"&lt;"&amp;'19_Расчет_аналитики'!AN559,WeightedRevAge08)-SUMIF(ThresholdAge08,"&lt;"&amp;'19_Расчет_аналитики'!AN559,WeightedMinAge08),MAX(CapacityAge08*'01_Вводные'!$B$218*'19_Расчет_аналитики'!AN559,MeanMinAge08)))</f>
        <v/>
      </c>
      <c r="AO471">
        <f>IF(OR('19_Расчет_аналитики'!AO443=0,8&lt;='01_Вводные'!$B$297),0,'19_Расчет_аналитики'!AO443*IF('01_Вводные'!$B$239="Да",MeanMinAge08+'19_Расчет_аналитики'!AO559*SUMIF(ThresholdAge08,"&lt;"&amp;'19_Расчет_аналитики'!AO559,WeightedRevAge08)-SUMIF(ThresholdAge08,"&lt;"&amp;'19_Расчет_аналитики'!AO559,WeightedMinAge08),MAX(CapacityAge08*'01_Вводные'!$B$218*'19_Расчет_аналитики'!AO559,MeanMinAge08)))</f>
        <v/>
      </c>
      <c r="AP471">
        <f>IF(OR('19_Расчет_аналитики'!AP443=0,8&lt;='01_Вводные'!$B$297),0,'19_Расчет_аналитики'!AP443*IF('01_Вводные'!$B$239="Да",MeanMinAge08+'19_Расчет_аналитики'!AP559*SUMIF(ThresholdAge08,"&lt;"&amp;'19_Расчет_аналитики'!AP559,WeightedRevAge08)-SUMIF(ThresholdAge08,"&lt;"&amp;'19_Расчет_аналитики'!AP559,WeightedMinAge08),MAX(CapacityAge08*'01_Вводные'!$B$218*'19_Расчет_аналитики'!AP559,MeanMinAge08)))</f>
        <v/>
      </c>
      <c r="AQ471">
        <f>IF(OR('19_Расчет_аналитики'!AQ443=0,8&lt;='01_Вводные'!$B$297),0,'19_Расчет_аналитики'!AQ443*IF('01_Вводные'!$B$239="Да",MeanMinAge08+'19_Расчет_аналитики'!AQ559*SUMIF(ThresholdAge08,"&lt;"&amp;'19_Расчет_аналитики'!AQ559,WeightedRevAge08)-SUMIF(ThresholdAge08,"&lt;"&amp;'19_Расчет_аналитики'!AQ559,WeightedMinAge08),MAX(CapacityAge08*'01_Вводные'!$B$218*'19_Расчет_аналитики'!AQ559,MeanMinAge08)))</f>
        <v/>
      </c>
      <c r="AR471">
        <f>IF(OR('19_Расчет_аналитики'!AR443=0,8&lt;='01_Вводные'!$B$297),0,'19_Расчет_аналитики'!AR443*IF('01_Вводные'!$B$239="Да",MeanMinAge08+'19_Расчет_аналитики'!AR559*SUMIF(ThresholdAge08,"&lt;"&amp;'19_Расчет_аналитики'!AR559,WeightedRevAge08)-SUMIF(ThresholdAge08,"&lt;"&amp;'19_Расчет_аналитики'!AR559,WeightedMinAge08),MAX(CapacityAge08*'01_Вводные'!$B$218*'19_Расчет_аналитики'!AR559,MeanMinAge08)))</f>
        <v/>
      </c>
      <c r="AS471">
        <f>IF(OR('19_Расчет_аналитики'!AS443=0,8&lt;='01_Вводные'!$B$297),0,'19_Расчет_аналитики'!AS443*IF('01_Вводные'!$B$239="Да",MeanMinAge08+'19_Расчет_аналитики'!AS559*SUMIF(ThresholdAge08,"&lt;"&amp;'19_Расчет_аналитики'!AS559,WeightedRevAge08)-SUMIF(ThresholdAge08,"&lt;"&amp;'19_Расчет_аналитики'!AS559,WeightedMinAge08),MAX(CapacityAge08*'01_Вводные'!$B$218*'19_Расчет_аналитики'!AS559,MeanMinAge08)))</f>
        <v/>
      </c>
      <c r="AT471">
        <f>IF(OR('19_Расчет_аналитики'!AT443=0,8&lt;='01_Вводные'!$B$297),0,'19_Расчет_аналитики'!AT443*IF('01_Вводные'!$B$239="Да",MeanMinAge08+'19_Расчет_аналитики'!AT559*SUMIF(ThresholdAge08,"&lt;"&amp;'19_Расчет_аналитики'!AT559,WeightedRevAge08)-SUMIF(ThresholdAge08,"&lt;"&amp;'19_Расчет_аналитики'!AT559,WeightedMinAge08),MAX(CapacityAge08*'01_Вводные'!$B$218*'19_Расчет_аналитики'!AT559,MeanMinAge08)))</f>
        <v/>
      </c>
      <c r="AU471">
        <f>IF(OR('19_Расчет_аналитики'!AU443=0,8&lt;='01_Вводные'!$B$297),0,'19_Расчет_аналитики'!AU443*IF('01_Вводные'!$B$239="Да",MeanMinAge08+'19_Расчет_аналитики'!AU559*SUMIF(ThresholdAge08,"&lt;"&amp;'19_Расчет_аналитики'!AU559,WeightedRevAge08)-SUMIF(ThresholdAge08,"&lt;"&amp;'19_Расчет_аналитики'!AU559,WeightedMinAge08),MAX(CapacityAge08*'01_Вводные'!$B$218*'19_Расчет_аналитики'!AU559,MeanMinAge08)))</f>
        <v/>
      </c>
      <c r="AV471">
        <f>IF(OR('19_Расчет_аналитики'!AV443=0,8&lt;='01_Вводные'!$B$297),0,'19_Расчет_аналитики'!AV443*IF('01_Вводные'!$B$239="Да",MeanMinAge08+'19_Расчет_аналитики'!AV559*SUMIF(ThresholdAge08,"&lt;"&amp;'19_Расчет_аналитики'!AV559,WeightedRevAge08)-SUMIF(ThresholdAge08,"&lt;"&amp;'19_Расчет_аналитики'!AV559,WeightedMinAge08),MAX(CapacityAge08*'01_Вводные'!$B$218*'19_Расчет_аналитики'!AV559,MeanMinAge08)))</f>
        <v/>
      </c>
      <c r="AW471">
        <f>IF(OR('19_Расчет_аналитики'!AW443=0,8&lt;='01_Вводные'!$B$297),0,'19_Расчет_аналитики'!AW443*IF('01_Вводные'!$B$239="Да",MeanMinAge08+'19_Расчет_аналитики'!AW559*SUMIF(ThresholdAge08,"&lt;"&amp;'19_Расчет_аналитики'!AW559,WeightedRevAge08)-SUMIF(ThresholdAge08,"&lt;"&amp;'19_Расчет_аналитики'!AW559,WeightedMinAge08),MAX(CapacityAge08*'01_Вводные'!$B$218*'19_Расчет_аналитики'!AW559,MeanMinAge08)))</f>
        <v/>
      </c>
      <c r="AX471">
        <f>IF(OR('19_Расчет_аналитики'!AX443=0,8&lt;='01_Вводные'!$B$297),0,'19_Расчет_аналитики'!AX443*IF('01_Вводные'!$B$239="Да",MeanMinAge08+'19_Расчет_аналитики'!AX559*SUMIF(ThresholdAge08,"&lt;"&amp;'19_Расчет_аналитики'!AX559,WeightedRevAge08)-SUMIF(ThresholdAge08,"&lt;"&amp;'19_Расчет_аналитики'!AX559,WeightedMinAge08),MAX(CapacityAge08*'01_Вводные'!$B$218*'19_Расчет_аналитики'!AX559,MeanMinAge08)))</f>
        <v/>
      </c>
      <c r="AY471">
        <f>IF(OR('19_Расчет_аналитики'!AY443=0,8&lt;='01_Вводные'!$B$297),0,'19_Расчет_аналитики'!AY443*IF('01_Вводные'!$B$239="Да",MeanMinAge08+'19_Расчет_аналитики'!AY559*SUMIF(ThresholdAge08,"&lt;"&amp;'19_Расчет_аналитики'!AY559,WeightedRevAge08)-SUMIF(ThresholdAge08,"&lt;"&amp;'19_Расчет_аналитики'!AY559,WeightedMinAge08),MAX(CapacityAge08*'01_Вводные'!$B$218*'19_Расчет_аналитики'!AY559,MeanMinAge08)))</f>
        <v/>
      </c>
      <c r="AZ471">
        <f>IF(OR('19_Расчет_аналитики'!AZ443=0,8&lt;='01_Вводные'!$B$297),0,'19_Расчет_аналитики'!AZ443*IF('01_Вводные'!$B$239="Да",MeanMinAge08+'19_Расчет_аналитики'!AZ559*SUMIF(ThresholdAge08,"&lt;"&amp;'19_Расчет_аналитики'!AZ559,WeightedRevAge08)-SUMIF(ThresholdAge08,"&lt;"&amp;'19_Расчет_аналитики'!AZ559,WeightedMinAge08),MAX(CapacityAge08*'01_Вводные'!$B$218*'19_Расчет_аналитики'!AZ559,MeanMinAge08)))</f>
        <v/>
      </c>
      <c r="BA471">
        <f>IF(OR('19_Расчет_аналитики'!BA443=0,8&lt;='01_Вводные'!$B$297),0,'19_Расчет_аналитики'!BA443*IF('01_Вводные'!$B$239="Да",MeanMinAge08+'19_Расчет_аналитики'!BA559*SUMIF(ThresholdAge08,"&lt;"&amp;'19_Расчет_аналитики'!BA559,WeightedRevAge08)-SUMIF(ThresholdAge08,"&lt;"&amp;'19_Расчет_аналитики'!BA559,WeightedMinAge08),MAX(CapacityAge08*'01_Вводные'!$B$218*'19_Расчет_аналитики'!BA559,MeanMinAge08)))</f>
        <v/>
      </c>
      <c r="BB471">
        <f>IF(OR('19_Расчет_аналитики'!BB443=0,8&lt;='01_Вводные'!$B$297),0,'19_Расчет_аналитики'!BB443*IF('01_Вводные'!$B$239="Да",MeanMinAge08+'19_Расчет_аналитики'!BB559*SUMIF(ThresholdAge08,"&lt;"&amp;'19_Расчет_аналитики'!BB559,WeightedRevAge08)-SUMIF(ThresholdAge08,"&lt;"&amp;'19_Расчет_аналитики'!BB559,WeightedMinAge08),MAX(CapacityAge08*'01_Вводные'!$B$218*'19_Расчет_аналитики'!BB559,MeanMinAge08)))</f>
        <v/>
      </c>
      <c r="BC471">
        <f>IF(OR('19_Расчет_аналитики'!BC443=0,8&lt;='01_Вводные'!$B$297),0,'19_Расчет_аналитики'!BC443*IF('01_Вводные'!$B$239="Да",MeanMinAge08+'19_Расчет_аналитики'!BC559*SUMIF(ThresholdAge08,"&lt;"&amp;'19_Расчет_аналитики'!BC559,WeightedRevAge08)-SUMIF(ThresholdAge08,"&lt;"&amp;'19_Расчет_аналитики'!BC559,WeightedMinAge08),MAX(CapacityAge08*'01_Вводные'!$B$218*'19_Расчет_аналитики'!BC559,MeanMinAge08)))</f>
        <v/>
      </c>
      <c r="BD471">
        <f>IF(OR('19_Расчет_аналитики'!BD443=0,8&lt;='01_Вводные'!$B$297),0,'19_Расчет_аналитики'!BD443*IF('01_Вводные'!$B$239="Да",MeanMinAge08+'19_Расчет_аналитики'!BD559*SUMIF(ThresholdAge08,"&lt;"&amp;'19_Расчет_аналитики'!BD559,WeightedRevAge08)-SUMIF(ThresholdAge08,"&lt;"&amp;'19_Расчет_аналитики'!BD559,WeightedMinAge08),MAX(CapacityAge08*'01_Вводные'!$B$218*'19_Расчет_аналитики'!BD559,MeanMinAge08)))</f>
        <v/>
      </c>
      <c r="BE471">
        <f>IF(OR('19_Расчет_аналитики'!BE443=0,8&lt;='01_Вводные'!$B$297),0,'19_Расчет_аналитики'!BE443*IF('01_Вводные'!$B$239="Да",MeanMinAge08+'19_Расчет_аналитики'!BE559*SUMIF(ThresholdAge08,"&lt;"&amp;'19_Расчет_аналитики'!BE559,WeightedRevAge08)-SUMIF(ThresholdAge08,"&lt;"&amp;'19_Расчет_аналитики'!BE559,WeightedMinAge08),MAX(CapacityAge08*'01_Вводные'!$B$218*'19_Расчет_аналитики'!BE559,MeanMinAge08)))</f>
        <v/>
      </c>
      <c r="BF471">
        <f>IF(OR('19_Расчет_аналитики'!BF443=0,8&lt;='01_Вводные'!$B$297),0,'19_Расчет_аналитики'!BF443*IF('01_Вводные'!$B$239="Да",MeanMinAge08+'19_Расчет_аналитики'!BF559*SUMIF(ThresholdAge08,"&lt;"&amp;'19_Расчет_аналитики'!BF559,WeightedRevAge08)-SUMIF(ThresholdAge08,"&lt;"&amp;'19_Расчет_аналитики'!BF559,WeightedMinAge08),MAX(CapacityAge08*'01_Вводные'!$B$218*'19_Расчет_аналитики'!BF559,MeanMinAge08)))</f>
        <v/>
      </c>
      <c r="BG471">
        <f>IF(OR('19_Расчет_аналитики'!BG443=0,8&lt;='01_Вводные'!$B$297),0,'19_Расчет_аналитики'!BG443*IF('01_Вводные'!$B$239="Да",MeanMinAge08+'19_Расчет_аналитики'!BG559*SUMIF(ThresholdAge08,"&lt;"&amp;'19_Расчет_аналитики'!BG559,WeightedRevAge08)-SUMIF(ThresholdAge08,"&lt;"&amp;'19_Расчет_аналитики'!BG559,WeightedMinAge08),MAX(CapacityAge08*'01_Вводные'!$B$218*'19_Расчет_аналитики'!BG559,MeanMinAge08)))</f>
        <v/>
      </c>
      <c r="BH471">
        <f>IF(OR('19_Расчет_аналитики'!BH443=0,8&lt;='01_Вводные'!$B$297),0,'19_Расчет_аналитики'!BH443*IF('01_Вводные'!$B$239="Да",MeanMinAge08+'19_Расчет_аналитики'!BH559*SUMIF(ThresholdAge08,"&lt;"&amp;'19_Расчет_аналитики'!BH559,WeightedRevAge08)-SUMIF(ThresholdAge08,"&lt;"&amp;'19_Расчет_аналитики'!BH559,WeightedMinAge08),MAX(CapacityAge08*'01_Вводные'!$B$218*'19_Расчет_аналитики'!BH559,MeanMinAge08)))</f>
        <v/>
      </c>
      <c r="BI471">
        <f>IF(OR('19_Расчет_аналитики'!BI443=0,8&lt;='01_Вводные'!$B$297),0,'19_Расчет_аналитики'!BI443*IF('01_Вводные'!$B$239="Да",MeanMinAge08+'19_Расчет_аналитики'!BI559*SUMIF(ThresholdAge08,"&lt;"&amp;'19_Расчет_аналитики'!BI559,WeightedRevAge08)-SUMIF(ThresholdAge08,"&lt;"&amp;'19_Расчет_аналитики'!BI559,WeightedMinAge08),MAX(CapacityAge08*'01_Вводные'!$B$218*'19_Расчет_аналитики'!BI559,MeanMinAge08)))</f>
        <v/>
      </c>
      <c r="BJ471">
        <f>IF(OR('19_Расчет_аналитики'!BJ443=0,8&lt;='01_Вводные'!$B$297),0,'19_Расчет_аналитики'!BJ443*IF('01_Вводные'!$B$239="Да",MeanMinAge08+'19_Расчет_аналитики'!BJ559*SUMIF(ThresholdAge08,"&lt;"&amp;'19_Расчет_аналитики'!BJ559,WeightedRevAge08)-SUMIF(ThresholdAge08,"&lt;"&amp;'19_Расчет_аналитики'!BJ559,WeightedMinAge08),MAX(CapacityAge08*'01_Вводные'!$B$218*'19_Расчет_аналитики'!BJ559,MeanMinAge08)))</f>
        <v/>
      </c>
      <c r="BK471">
        <f>IF(OR('19_Расчет_аналитики'!BK443=0,8&lt;='01_Вводные'!$B$297),0,'19_Расчет_аналитики'!BK443*IF('01_Вводные'!$B$239="Да",MeanMinAge08+'19_Расчет_аналитики'!BK559*SUMIF(ThresholdAge08,"&lt;"&amp;'19_Расчет_аналитики'!BK559,WeightedRevAge08)-SUMIF(ThresholdAge08,"&lt;"&amp;'19_Расчет_аналитики'!BK559,WeightedMinAge08),MAX(CapacityAge08*'01_Вводные'!$B$218*'19_Расчет_аналитики'!BK559,MeanMinAge08)))</f>
        <v/>
      </c>
      <c r="BL471">
        <f>IF(OR('19_Расчет_аналитики'!BL443=0,8&lt;='01_Вводные'!$B$297),0,'19_Расчет_аналитики'!BL443*IF('01_Вводные'!$B$239="Да",MeanMinAge08+'19_Расчет_аналитики'!BL559*SUMIF(ThresholdAge08,"&lt;"&amp;'19_Расчет_аналитики'!BL559,WeightedRevAge08)-SUMIF(ThresholdAge08,"&lt;"&amp;'19_Расчет_аналитики'!BL559,WeightedMinAge08),MAX(CapacityAge08*'01_Вводные'!$B$218*'19_Расчет_аналитики'!BL559,MeanMinAge08)))</f>
        <v/>
      </c>
      <c r="BM471">
        <f>IF(OR('19_Расчет_аналитики'!BM443=0,8&lt;='01_Вводные'!$B$297),0,'19_Расчет_аналитики'!BM443*IF('01_Вводные'!$B$239="Да",MeanMinAge08+'19_Расчет_аналитики'!BM559*SUMIF(ThresholdAge08,"&lt;"&amp;'19_Расчет_аналитики'!BM559,WeightedRevAge08)-SUMIF(ThresholdAge08,"&lt;"&amp;'19_Расчет_аналитики'!BM559,WeightedMinAge08),MAX(CapacityAge08*'01_Вводные'!$B$218*'19_Расчет_аналитики'!BM559,MeanMinAge08)))</f>
        <v/>
      </c>
      <c r="BN471">
        <f>IF(OR('19_Расчет_аналитики'!BN443=0,8&lt;='01_Вводные'!$B$297),0,'19_Расчет_аналитики'!BN443*IF('01_Вводные'!$B$239="Да",MeanMinAge08+'19_Расчет_аналитики'!BN559*SUMIF(ThresholdAge08,"&lt;"&amp;'19_Расчет_аналитики'!BN559,WeightedRevAge08)-SUMIF(ThresholdAge08,"&lt;"&amp;'19_Расчет_аналитики'!BN559,WeightedMinAge08),MAX(CapacityAge08*'01_Вводные'!$B$218*'19_Расчет_аналитики'!BN559,MeanMinAge08)))</f>
        <v/>
      </c>
      <c r="BO471">
        <f>IF(OR('19_Расчет_аналитики'!BO443=0,8&lt;='01_Вводные'!$B$297),0,'19_Расчет_аналитики'!BO443*IF('01_Вводные'!$B$239="Да",MeanMinAge08+'19_Расчет_аналитики'!BO559*SUMIF(ThresholdAge08,"&lt;"&amp;'19_Расчет_аналитики'!BO559,WeightedRevAge08)-SUMIF(ThresholdAge08,"&lt;"&amp;'19_Расчет_аналитики'!BO559,WeightedMinAge08),MAX(CapacityAge08*'01_Вводные'!$B$218*'19_Расчет_аналитики'!BO559,MeanMinAge08)))</f>
        <v/>
      </c>
    </row>
    <row r="472">
      <c r="B472">
        <f>IF(OR('06_Сеть_и_дети'!B89=0,9&lt;='01_Вводные'!$B$297),0,'06_Сеть_и_дети'!B89*IF('01_Вводные'!$B$239="Да",MeanMinAge09+'19_Расчет_аналитики'!B559*SUMIF(ThresholdAge09,"&lt;"&amp;'19_Расчет_аналитики'!B559,WeightedRevAge09)-SUMIF(ThresholdAge09,"&lt;"&amp;'19_Расчет_аналитики'!B559,WeightedMinAge09),MAX(CapacityAge09*'01_Вводные'!$B$218*'19_Расчет_аналитики'!B559,MeanMinAge09)))</f>
        <v/>
      </c>
      <c r="C472">
        <f>IF(OR('06_Сеть_и_дети'!C89=0,9&lt;='01_Вводные'!$B$297),0,'06_Сеть_и_дети'!C89*IF('01_Вводные'!$B$239="Да",MeanMinAge09+'19_Расчет_аналитики'!C559*SUMIF(ThresholdAge09,"&lt;"&amp;'19_Расчет_аналитики'!C559,WeightedRevAge09)-SUMIF(ThresholdAge09,"&lt;"&amp;'19_Расчет_аналитики'!C559,WeightedMinAge09),MAX(CapacityAge09*'01_Вводные'!$B$218*'19_Расчет_аналитики'!C559,MeanMinAge09)))</f>
        <v/>
      </c>
      <c r="D472">
        <f>IF(OR('06_Сеть_и_дети'!D89=0,9&lt;='01_Вводные'!$B$297),0,'06_Сеть_и_дети'!D89*IF('01_Вводные'!$B$239="Да",MeanMinAge09+'19_Расчет_аналитики'!D559*SUMIF(ThresholdAge09,"&lt;"&amp;'19_Расчет_аналитики'!D559,WeightedRevAge09)-SUMIF(ThresholdAge09,"&lt;"&amp;'19_Расчет_аналитики'!D559,WeightedMinAge09),MAX(CapacityAge09*'01_Вводные'!$B$218*'19_Расчет_аналитики'!D559,MeanMinAge09)))</f>
        <v/>
      </c>
      <c r="E472">
        <f>IF(OR('06_Сеть_и_дети'!E89=0,9&lt;='01_Вводные'!$B$297),0,'06_Сеть_и_дети'!E89*IF('01_Вводные'!$B$239="Да",MeanMinAge09+'19_Расчет_аналитики'!E559*SUMIF(ThresholdAge09,"&lt;"&amp;'19_Расчет_аналитики'!E559,WeightedRevAge09)-SUMIF(ThresholdAge09,"&lt;"&amp;'19_Расчет_аналитики'!E559,WeightedMinAge09),MAX(CapacityAge09*'01_Вводные'!$B$218*'19_Расчет_аналитики'!E559,MeanMinAge09)))</f>
        <v/>
      </c>
      <c r="F472">
        <f>IF(OR('06_Сеть_и_дети'!F89=0,9&lt;='01_Вводные'!$B$297),0,'06_Сеть_и_дети'!F89*IF('01_Вводные'!$B$239="Да",MeanMinAge09+'19_Расчет_аналитики'!F559*SUMIF(ThresholdAge09,"&lt;"&amp;'19_Расчет_аналитики'!F559,WeightedRevAge09)-SUMIF(ThresholdAge09,"&lt;"&amp;'19_Расчет_аналитики'!F559,WeightedMinAge09),MAX(CapacityAge09*'01_Вводные'!$B$218*'19_Расчет_аналитики'!F559,MeanMinAge09)))</f>
        <v/>
      </c>
      <c r="G472">
        <f>IF(OR('06_Сеть_и_дети'!G89=0,9&lt;='01_Вводные'!$B$297),0,'06_Сеть_и_дети'!G89*IF('01_Вводные'!$B$239="Да",MeanMinAge09+'19_Расчет_аналитики'!G559*SUMIF(ThresholdAge09,"&lt;"&amp;'19_Расчет_аналитики'!G559,WeightedRevAge09)-SUMIF(ThresholdAge09,"&lt;"&amp;'19_Расчет_аналитики'!G559,WeightedMinAge09),MAX(CapacityAge09*'01_Вводные'!$B$218*'19_Расчет_аналитики'!G559,MeanMinAge09)))</f>
        <v/>
      </c>
      <c r="H472">
        <f>IF(OR('06_Сеть_и_дети'!H89=0,9&lt;='01_Вводные'!$B$297),0,'06_Сеть_и_дети'!H89*IF('01_Вводные'!$B$239="Да",MeanMinAge09+'19_Расчет_аналитики'!H559*SUMIF(ThresholdAge09,"&lt;"&amp;'19_Расчет_аналитики'!H559,WeightedRevAge09)-SUMIF(ThresholdAge09,"&lt;"&amp;'19_Расчет_аналитики'!H559,WeightedMinAge09),MAX(CapacityAge09*'01_Вводные'!$B$218*'19_Расчет_аналитики'!H559,MeanMinAge09)))</f>
        <v/>
      </c>
      <c r="I472">
        <f>IF(OR('06_Сеть_и_дети'!I89=0,9&lt;='01_Вводные'!$B$297),0,'06_Сеть_и_дети'!I89*IF('01_Вводные'!$B$239="Да",MeanMinAge09+'19_Расчет_аналитики'!I559*SUMIF(ThresholdAge09,"&lt;"&amp;'19_Расчет_аналитики'!I559,WeightedRevAge09)-SUMIF(ThresholdAge09,"&lt;"&amp;'19_Расчет_аналитики'!I559,WeightedMinAge09),MAX(CapacityAge09*'01_Вводные'!$B$218*'19_Расчет_аналитики'!I559,MeanMinAge09)))</f>
        <v/>
      </c>
      <c r="J472">
        <f>IF(OR('19_Расчет_аналитики'!J444=0,9&lt;='01_Вводные'!$B$297),0,'19_Расчет_аналитики'!J444*IF('01_Вводные'!$B$239="Да",MeanMinAge09+'19_Расчет_аналитики'!J559*SUMIF(ThresholdAge09,"&lt;"&amp;'19_Расчет_аналитики'!J559,WeightedRevAge09)-SUMIF(ThresholdAge09,"&lt;"&amp;'19_Расчет_аналитики'!J559,WeightedMinAge09),MAX(CapacityAge09*'01_Вводные'!$B$218*'19_Расчет_аналитики'!J559,MeanMinAge09)))</f>
        <v/>
      </c>
      <c r="K472">
        <f>IF(OR('19_Расчет_аналитики'!K444=0,9&lt;='01_Вводные'!$B$297),0,'19_Расчет_аналитики'!K444*IF('01_Вводные'!$B$239="Да",MeanMinAge09+'19_Расчет_аналитики'!K559*SUMIF(ThresholdAge09,"&lt;"&amp;'19_Расчет_аналитики'!K559,WeightedRevAge09)-SUMIF(ThresholdAge09,"&lt;"&amp;'19_Расчет_аналитики'!K559,WeightedMinAge09),MAX(CapacityAge09*'01_Вводные'!$B$218*'19_Расчет_аналитики'!K559,MeanMinAge09)))</f>
        <v/>
      </c>
      <c r="L472">
        <f>IF(OR('19_Расчет_аналитики'!L444=0,9&lt;='01_Вводные'!$B$297),0,'19_Расчет_аналитики'!L444*IF('01_Вводные'!$B$239="Да",MeanMinAge09+'19_Расчет_аналитики'!L559*SUMIF(ThresholdAge09,"&lt;"&amp;'19_Расчет_аналитики'!L559,WeightedRevAge09)-SUMIF(ThresholdAge09,"&lt;"&amp;'19_Расчет_аналитики'!L559,WeightedMinAge09),MAX(CapacityAge09*'01_Вводные'!$B$218*'19_Расчет_аналитики'!L559,MeanMinAge09)))</f>
        <v/>
      </c>
      <c r="M472">
        <f>IF(OR('19_Расчет_аналитики'!M444=0,9&lt;='01_Вводные'!$B$297),0,'19_Расчет_аналитики'!M444*IF('01_Вводные'!$B$239="Да",MeanMinAge09+'19_Расчет_аналитики'!M559*SUMIF(ThresholdAge09,"&lt;"&amp;'19_Расчет_аналитики'!M559,WeightedRevAge09)-SUMIF(ThresholdAge09,"&lt;"&amp;'19_Расчет_аналитики'!M559,WeightedMinAge09),MAX(CapacityAge09*'01_Вводные'!$B$218*'19_Расчет_аналитики'!M559,MeanMinAge09)))</f>
        <v/>
      </c>
      <c r="N472">
        <f>IF(OR('19_Расчет_аналитики'!N444=0,9&lt;='01_Вводные'!$B$297),0,'19_Расчет_аналитики'!N444*IF('01_Вводные'!$B$239="Да",MeanMinAge09+'19_Расчет_аналитики'!N559*SUMIF(ThresholdAge09,"&lt;"&amp;'19_Расчет_аналитики'!N559,WeightedRevAge09)-SUMIF(ThresholdAge09,"&lt;"&amp;'19_Расчет_аналитики'!N559,WeightedMinAge09),MAX(CapacityAge09*'01_Вводные'!$B$218*'19_Расчет_аналитики'!N559,MeanMinAge09)))</f>
        <v/>
      </c>
      <c r="O472">
        <f>IF(OR('19_Расчет_аналитики'!O444=0,9&lt;='01_Вводные'!$B$297),0,'19_Расчет_аналитики'!O444*IF('01_Вводные'!$B$239="Да",MeanMinAge09+'19_Расчет_аналитики'!O559*SUMIF(ThresholdAge09,"&lt;"&amp;'19_Расчет_аналитики'!O559,WeightedRevAge09)-SUMIF(ThresholdAge09,"&lt;"&amp;'19_Расчет_аналитики'!O559,WeightedMinAge09),MAX(CapacityAge09*'01_Вводные'!$B$218*'19_Расчет_аналитики'!O559,MeanMinAge09)))</f>
        <v/>
      </c>
      <c r="P472">
        <f>IF(OR('19_Расчет_аналитики'!P444=0,9&lt;='01_Вводные'!$B$297),0,'19_Расчет_аналитики'!P444*IF('01_Вводные'!$B$239="Да",MeanMinAge09+'19_Расчет_аналитики'!P559*SUMIF(ThresholdAge09,"&lt;"&amp;'19_Расчет_аналитики'!P559,WeightedRevAge09)-SUMIF(ThresholdAge09,"&lt;"&amp;'19_Расчет_аналитики'!P559,WeightedMinAge09),MAX(CapacityAge09*'01_Вводные'!$B$218*'19_Расчет_аналитики'!P559,MeanMinAge09)))</f>
        <v/>
      </c>
      <c r="Q472">
        <f>IF(OR('19_Расчет_аналитики'!Q444=0,9&lt;='01_Вводные'!$B$297),0,'19_Расчет_аналитики'!Q444*IF('01_Вводные'!$B$239="Да",MeanMinAge09+'19_Расчет_аналитики'!Q559*SUMIF(ThresholdAge09,"&lt;"&amp;'19_Расчет_аналитики'!Q559,WeightedRevAge09)-SUMIF(ThresholdAge09,"&lt;"&amp;'19_Расчет_аналитики'!Q559,WeightedMinAge09),MAX(CapacityAge09*'01_Вводные'!$B$218*'19_Расчет_аналитики'!Q559,MeanMinAge09)))</f>
        <v/>
      </c>
      <c r="R472">
        <f>IF(OR('19_Расчет_аналитики'!R444=0,9&lt;='01_Вводные'!$B$297),0,'19_Расчет_аналитики'!R444*IF('01_Вводные'!$B$239="Да",MeanMinAge09+'19_Расчет_аналитики'!R559*SUMIF(ThresholdAge09,"&lt;"&amp;'19_Расчет_аналитики'!R559,WeightedRevAge09)-SUMIF(ThresholdAge09,"&lt;"&amp;'19_Расчет_аналитики'!R559,WeightedMinAge09),MAX(CapacityAge09*'01_Вводные'!$B$218*'19_Расчет_аналитики'!R559,MeanMinAge09)))</f>
        <v/>
      </c>
      <c r="S472">
        <f>IF(OR('19_Расчет_аналитики'!S444=0,9&lt;='01_Вводные'!$B$297),0,'19_Расчет_аналитики'!S444*IF('01_Вводные'!$B$239="Да",MeanMinAge09+'19_Расчет_аналитики'!S559*SUMIF(ThresholdAge09,"&lt;"&amp;'19_Расчет_аналитики'!S559,WeightedRevAge09)-SUMIF(ThresholdAge09,"&lt;"&amp;'19_Расчет_аналитики'!S559,WeightedMinAge09),MAX(CapacityAge09*'01_Вводные'!$B$218*'19_Расчет_аналитики'!S559,MeanMinAge09)))</f>
        <v/>
      </c>
      <c r="T472">
        <f>IF(OR('19_Расчет_аналитики'!T444=0,9&lt;='01_Вводные'!$B$297),0,'19_Расчет_аналитики'!T444*IF('01_Вводные'!$B$239="Да",MeanMinAge09+'19_Расчет_аналитики'!T559*SUMIF(ThresholdAge09,"&lt;"&amp;'19_Расчет_аналитики'!T559,WeightedRevAge09)-SUMIF(ThresholdAge09,"&lt;"&amp;'19_Расчет_аналитики'!T559,WeightedMinAge09),MAX(CapacityAge09*'01_Вводные'!$B$218*'19_Расчет_аналитики'!T559,MeanMinAge09)))</f>
        <v/>
      </c>
      <c r="U472">
        <f>IF(OR('19_Расчет_аналитики'!U444=0,9&lt;='01_Вводные'!$B$297),0,'19_Расчет_аналитики'!U444*IF('01_Вводные'!$B$239="Да",MeanMinAge09+'19_Расчет_аналитики'!U559*SUMIF(ThresholdAge09,"&lt;"&amp;'19_Расчет_аналитики'!U559,WeightedRevAge09)-SUMIF(ThresholdAge09,"&lt;"&amp;'19_Расчет_аналитики'!U559,WeightedMinAge09),MAX(CapacityAge09*'01_Вводные'!$B$218*'19_Расчет_аналитики'!U559,MeanMinAge09)))</f>
        <v/>
      </c>
      <c r="V472">
        <f>IF(OR('19_Расчет_аналитики'!V444=0,9&lt;='01_Вводные'!$B$297),0,'19_Расчет_аналитики'!V444*IF('01_Вводные'!$B$239="Да",MeanMinAge09+'19_Расчет_аналитики'!V559*SUMIF(ThresholdAge09,"&lt;"&amp;'19_Расчет_аналитики'!V559,WeightedRevAge09)-SUMIF(ThresholdAge09,"&lt;"&amp;'19_Расчет_аналитики'!V559,WeightedMinAge09),MAX(CapacityAge09*'01_Вводные'!$B$218*'19_Расчет_аналитики'!V559,MeanMinAge09)))</f>
        <v/>
      </c>
      <c r="W472">
        <f>IF(OR('19_Расчет_аналитики'!W444=0,9&lt;='01_Вводные'!$B$297),0,'19_Расчет_аналитики'!W444*IF('01_Вводные'!$B$239="Да",MeanMinAge09+'19_Расчет_аналитики'!W559*SUMIF(ThresholdAge09,"&lt;"&amp;'19_Расчет_аналитики'!W559,WeightedRevAge09)-SUMIF(ThresholdAge09,"&lt;"&amp;'19_Расчет_аналитики'!W559,WeightedMinAge09),MAX(CapacityAge09*'01_Вводные'!$B$218*'19_Расчет_аналитики'!W559,MeanMinAge09)))</f>
        <v/>
      </c>
      <c r="X472">
        <f>IF(OR('19_Расчет_аналитики'!X444=0,9&lt;='01_Вводные'!$B$297),0,'19_Расчет_аналитики'!X444*IF('01_Вводные'!$B$239="Да",MeanMinAge09+'19_Расчет_аналитики'!X559*SUMIF(ThresholdAge09,"&lt;"&amp;'19_Расчет_аналитики'!X559,WeightedRevAge09)-SUMIF(ThresholdAge09,"&lt;"&amp;'19_Расчет_аналитики'!X559,WeightedMinAge09),MAX(CapacityAge09*'01_Вводные'!$B$218*'19_Расчет_аналитики'!X559,MeanMinAge09)))</f>
        <v/>
      </c>
      <c r="Y472">
        <f>IF(OR('19_Расчет_аналитики'!Y444=0,9&lt;='01_Вводные'!$B$297),0,'19_Расчет_аналитики'!Y444*IF('01_Вводные'!$B$239="Да",MeanMinAge09+'19_Расчет_аналитики'!Y559*SUMIF(ThresholdAge09,"&lt;"&amp;'19_Расчет_аналитики'!Y559,WeightedRevAge09)-SUMIF(ThresholdAge09,"&lt;"&amp;'19_Расчет_аналитики'!Y559,WeightedMinAge09),MAX(CapacityAge09*'01_Вводные'!$B$218*'19_Расчет_аналитики'!Y559,MeanMinAge09)))</f>
        <v/>
      </c>
      <c r="Z472">
        <f>IF(OR('19_Расчет_аналитики'!Z444=0,9&lt;='01_Вводные'!$B$297),0,'19_Расчет_аналитики'!Z444*IF('01_Вводные'!$B$239="Да",MeanMinAge09+'19_Расчет_аналитики'!Z559*SUMIF(ThresholdAge09,"&lt;"&amp;'19_Расчет_аналитики'!Z559,WeightedRevAge09)-SUMIF(ThresholdAge09,"&lt;"&amp;'19_Расчет_аналитики'!Z559,WeightedMinAge09),MAX(CapacityAge09*'01_Вводные'!$B$218*'19_Расчет_аналитики'!Z559,MeanMinAge09)))</f>
        <v/>
      </c>
      <c r="AA472">
        <f>IF(OR('19_Расчет_аналитики'!AA444=0,9&lt;='01_Вводные'!$B$297),0,'19_Расчет_аналитики'!AA444*IF('01_Вводные'!$B$239="Да",MeanMinAge09+'19_Расчет_аналитики'!AA559*SUMIF(ThresholdAge09,"&lt;"&amp;'19_Расчет_аналитики'!AA559,WeightedRevAge09)-SUMIF(ThresholdAge09,"&lt;"&amp;'19_Расчет_аналитики'!AA559,WeightedMinAge09),MAX(CapacityAge09*'01_Вводные'!$B$218*'19_Расчет_аналитики'!AA559,MeanMinAge09)))</f>
        <v/>
      </c>
      <c r="AB472">
        <f>IF(OR('19_Расчет_аналитики'!AB444=0,9&lt;='01_Вводные'!$B$297),0,'19_Расчет_аналитики'!AB444*IF('01_Вводные'!$B$239="Да",MeanMinAge09+'19_Расчет_аналитики'!AB559*SUMIF(ThresholdAge09,"&lt;"&amp;'19_Расчет_аналитики'!AB559,WeightedRevAge09)-SUMIF(ThresholdAge09,"&lt;"&amp;'19_Расчет_аналитики'!AB559,WeightedMinAge09),MAX(CapacityAge09*'01_Вводные'!$B$218*'19_Расчет_аналитики'!AB559,MeanMinAge09)))</f>
        <v/>
      </c>
      <c r="AC472">
        <f>IF(OR('19_Расчет_аналитики'!AC444=0,9&lt;='01_Вводные'!$B$297),0,'19_Расчет_аналитики'!AC444*IF('01_Вводные'!$B$239="Да",MeanMinAge09+'19_Расчет_аналитики'!AC559*SUMIF(ThresholdAge09,"&lt;"&amp;'19_Расчет_аналитики'!AC559,WeightedRevAge09)-SUMIF(ThresholdAge09,"&lt;"&amp;'19_Расчет_аналитики'!AC559,WeightedMinAge09),MAX(CapacityAge09*'01_Вводные'!$B$218*'19_Расчет_аналитики'!AC559,MeanMinAge09)))</f>
        <v/>
      </c>
      <c r="AD472">
        <f>IF(OR('19_Расчет_аналитики'!AD444=0,9&lt;='01_Вводные'!$B$297),0,'19_Расчет_аналитики'!AD444*IF('01_Вводные'!$B$239="Да",MeanMinAge09+'19_Расчет_аналитики'!AD559*SUMIF(ThresholdAge09,"&lt;"&amp;'19_Расчет_аналитики'!AD559,WeightedRevAge09)-SUMIF(ThresholdAge09,"&lt;"&amp;'19_Расчет_аналитики'!AD559,WeightedMinAge09),MAX(CapacityAge09*'01_Вводные'!$B$218*'19_Расчет_аналитики'!AD559,MeanMinAge09)))</f>
        <v/>
      </c>
      <c r="AE472">
        <f>IF(OR('19_Расчет_аналитики'!AE444=0,9&lt;='01_Вводные'!$B$297),0,'19_Расчет_аналитики'!AE444*IF('01_Вводные'!$B$239="Да",MeanMinAge09+'19_Расчет_аналитики'!AE559*SUMIF(ThresholdAge09,"&lt;"&amp;'19_Расчет_аналитики'!AE559,WeightedRevAge09)-SUMIF(ThresholdAge09,"&lt;"&amp;'19_Расчет_аналитики'!AE559,WeightedMinAge09),MAX(CapacityAge09*'01_Вводные'!$B$218*'19_Расчет_аналитики'!AE559,MeanMinAge09)))</f>
        <v/>
      </c>
      <c r="AF472">
        <f>IF(OR('19_Расчет_аналитики'!AF444=0,9&lt;='01_Вводные'!$B$297),0,'19_Расчет_аналитики'!AF444*IF('01_Вводные'!$B$239="Да",MeanMinAge09+'19_Расчет_аналитики'!AF559*SUMIF(ThresholdAge09,"&lt;"&amp;'19_Расчет_аналитики'!AF559,WeightedRevAge09)-SUMIF(ThresholdAge09,"&lt;"&amp;'19_Расчет_аналитики'!AF559,WeightedMinAge09),MAX(CapacityAge09*'01_Вводные'!$B$218*'19_Расчет_аналитики'!AF559,MeanMinAge09)))</f>
        <v/>
      </c>
      <c r="AG472">
        <f>IF(OR('19_Расчет_аналитики'!AG444=0,9&lt;='01_Вводные'!$B$297),0,'19_Расчет_аналитики'!AG444*IF('01_Вводные'!$B$239="Да",MeanMinAge09+'19_Расчет_аналитики'!AG559*SUMIF(ThresholdAge09,"&lt;"&amp;'19_Расчет_аналитики'!AG559,WeightedRevAge09)-SUMIF(ThresholdAge09,"&lt;"&amp;'19_Расчет_аналитики'!AG559,WeightedMinAge09),MAX(CapacityAge09*'01_Вводные'!$B$218*'19_Расчет_аналитики'!AG559,MeanMinAge09)))</f>
        <v/>
      </c>
      <c r="AH472">
        <f>IF(OR('19_Расчет_аналитики'!AH444=0,9&lt;='01_Вводные'!$B$297),0,'19_Расчет_аналитики'!AH444*IF('01_Вводные'!$B$239="Да",MeanMinAge09+'19_Расчет_аналитики'!AH559*SUMIF(ThresholdAge09,"&lt;"&amp;'19_Расчет_аналитики'!AH559,WeightedRevAge09)-SUMIF(ThresholdAge09,"&lt;"&amp;'19_Расчет_аналитики'!AH559,WeightedMinAge09),MAX(CapacityAge09*'01_Вводные'!$B$218*'19_Расчет_аналитики'!AH559,MeanMinAge09)))</f>
        <v/>
      </c>
      <c r="AI472">
        <f>IF(OR('19_Расчет_аналитики'!AI444=0,9&lt;='01_Вводные'!$B$297),0,'19_Расчет_аналитики'!AI444*IF('01_Вводные'!$B$239="Да",MeanMinAge09+'19_Расчет_аналитики'!AI559*SUMIF(ThresholdAge09,"&lt;"&amp;'19_Расчет_аналитики'!AI559,WeightedRevAge09)-SUMIF(ThresholdAge09,"&lt;"&amp;'19_Расчет_аналитики'!AI559,WeightedMinAge09),MAX(CapacityAge09*'01_Вводные'!$B$218*'19_Расчет_аналитики'!AI559,MeanMinAge09)))</f>
        <v/>
      </c>
      <c r="AJ472">
        <f>IF(OR('19_Расчет_аналитики'!AJ444=0,9&lt;='01_Вводные'!$B$297),0,'19_Расчет_аналитики'!AJ444*IF('01_Вводные'!$B$239="Да",MeanMinAge09+'19_Расчет_аналитики'!AJ559*SUMIF(ThresholdAge09,"&lt;"&amp;'19_Расчет_аналитики'!AJ559,WeightedRevAge09)-SUMIF(ThresholdAge09,"&lt;"&amp;'19_Расчет_аналитики'!AJ559,WeightedMinAge09),MAX(CapacityAge09*'01_Вводные'!$B$218*'19_Расчет_аналитики'!AJ559,MeanMinAge09)))</f>
        <v/>
      </c>
      <c r="AK472">
        <f>IF(OR('19_Расчет_аналитики'!AK444=0,9&lt;='01_Вводные'!$B$297),0,'19_Расчет_аналитики'!AK444*IF('01_Вводные'!$B$239="Да",MeanMinAge09+'19_Расчет_аналитики'!AK559*SUMIF(ThresholdAge09,"&lt;"&amp;'19_Расчет_аналитики'!AK559,WeightedRevAge09)-SUMIF(ThresholdAge09,"&lt;"&amp;'19_Расчет_аналитики'!AK559,WeightedMinAge09),MAX(CapacityAge09*'01_Вводные'!$B$218*'19_Расчет_аналитики'!AK559,MeanMinAge09)))</f>
        <v/>
      </c>
      <c r="AL472">
        <f>IF(OR('19_Расчет_аналитики'!AL444=0,9&lt;='01_Вводные'!$B$297),0,'19_Расчет_аналитики'!AL444*IF('01_Вводные'!$B$239="Да",MeanMinAge09+'19_Расчет_аналитики'!AL559*SUMIF(ThresholdAge09,"&lt;"&amp;'19_Расчет_аналитики'!AL559,WeightedRevAge09)-SUMIF(ThresholdAge09,"&lt;"&amp;'19_Расчет_аналитики'!AL559,WeightedMinAge09),MAX(CapacityAge09*'01_Вводные'!$B$218*'19_Расчет_аналитики'!AL559,MeanMinAge09)))</f>
        <v/>
      </c>
      <c r="AM472">
        <f>IF(OR('19_Расчет_аналитики'!AM444=0,9&lt;='01_Вводные'!$B$297),0,'19_Расчет_аналитики'!AM444*IF('01_Вводные'!$B$239="Да",MeanMinAge09+'19_Расчет_аналитики'!AM559*SUMIF(ThresholdAge09,"&lt;"&amp;'19_Расчет_аналитики'!AM559,WeightedRevAge09)-SUMIF(ThresholdAge09,"&lt;"&amp;'19_Расчет_аналитики'!AM559,WeightedMinAge09),MAX(CapacityAge09*'01_Вводные'!$B$218*'19_Расчет_аналитики'!AM559,MeanMinAge09)))</f>
        <v/>
      </c>
      <c r="AN472">
        <f>IF(OR('19_Расчет_аналитики'!AN444=0,9&lt;='01_Вводные'!$B$297),0,'19_Расчет_аналитики'!AN444*IF('01_Вводные'!$B$239="Да",MeanMinAge09+'19_Расчет_аналитики'!AN559*SUMIF(ThresholdAge09,"&lt;"&amp;'19_Расчет_аналитики'!AN559,WeightedRevAge09)-SUMIF(ThresholdAge09,"&lt;"&amp;'19_Расчет_аналитики'!AN559,WeightedMinAge09),MAX(CapacityAge09*'01_Вводные'!$B$218*'19_Расчет_аналитики'!AN559,MeanMinAge09)))</f>
        <v/>
      </c>
      <c r="AO472">
        <f>IF(OR('19_Расчет_аналитики'!AO444=0,9&lt;='01_Вводные'!$B$297),0,'19_Расчет_аналитики'!AO444*IF('01_Вводные'!$B$239="Да",MeanMinAge09+'19_Расчет_аналитики'!AO559*SUMIF(ThresholdAge09,"&lt;"&amp;'19_Расчет_аналитики'!AO559,WeightedRevAge09)-SUMIF(ThresholdAge09,"&lt;"&amp;'19_Расчет_аналитики'!AO559,WeightedMinAge09),MAX(CapacityAge09*'01_Вводные'!$B$218*'19_Расчет_аналитики'!AO559,MeanMinAge09)))</f>
        <v/>
      </c>
      <c r="AP472">
        <f>IF(OR('19_Расчет_аналитики'!AP444=0,9&lt;='01_Вводные'!$B$297),0,'19_Расчет_аналитики'!AP444*IF('01_Вводные'!$B$239="Да",MeanMinAge09+'19_Расчет_аналитики'!AP559*SUMIF(ThresholdAge09,"&lt;"&amp;'19_Расчет_аналитики'!AP559,WeightedRevAge09)-SUMIF(ThresholdAge09,"&lt;"&amp;'19_Расчет_аналитики'!AP559,WeightedMinAge09),MAX(CapacityAge09*'01_Вводные'!$B$218*'19_Расчет_аналитики'!AP559,MeanMinAge09)))</f>
        <v/>
      </c>
      <c r="AQ472">
        <f>IF(OR('19_Расчет_аналитики'!AQ444=0,9&lt;='01_Вводные'!$B$297),0,'19_Расчет_аналитики'!AQ444*IF('01_Вводные'!$B$239="Да",MeanMinAge09+'19_Расчет_аналитики'!AQ559*SUMIF(ThresholdAge09,"&lt;"&amp;'19_Расчет_аналитики'!AQ559,WeightedRevAge09)-SUMIF(ThresholdAge09,"&lt;"&amp;'19_Расчет_аналитики'!AQ559,WeightedMinAge09),MAX(CapacityAge09*'01_Вводные'!$B$218*'19_Расчет_аналитики'!AQ559,MeanMinAge09)))</f>
        <v/>
      </c>
      <c r="AR472">
        <f>IF(OR('19_Расчет_аналитики'!AR444=0,9&lt;='01_Вводные'!$B$297),0,'19_Расчет_аналитики'!AR444*IF('01_Вводные'!$B$239="Да",MeanMinAge09+'19_Расчет_аналитики'!AR559*SUMIF(ThresholdAge09,"&lt;"&amp;'19_Расчет_аналитики'!AR559,WeightedRevAge09)-SUMIF(ThresholdAge09,"&lt;"&amp;'19_Расчет_аналитики'!AR559,WeightedMinAge09),MAX(CapacityAge09*'01_Вводные'!$B$218*'19_Расчет_аналитики'!AR559,MeanMinAge09)))</f>
        <v/>
      </c>
      <c r="AS472">
        <f>IF(OR('19_Расчет_аналитики'!AS444=0,9&lt;='01_Вводные'!$B$297),0,'19_Расчет_аналитики'!AS444*IF('01_Вводные'!$B$239="Да",MeanMinAge09+'19_Расчет_аналитики'!AS559*SUMIF(ThresholdAge09,"&lt;"&amp;'19_Расчет_аналитики'!AS559,WeightedRevAge09)-SUMIF(ThresholdAge09,"&lt;"&amp;'19_Расчет_аналитики'!AS559,WeightedMinAge09),MAX(CapacityAge09*'01_Вводные'!$B$218*'19_Расчет_аналитики'!AS559,MeanMinAge09)))</f>
        <v/>
      </c>
      <c r="AT472">
        <f>IF(OR('19_Расчет_аналитики'!AT444=0,9&lt;='01_Вводные'!$B$297),0,'19_Расчет_аналитики'!AT444*IF('01_Вводные'!$B$239="Да",MeanMinAge09+'19_Расчет_аналитики'!AT559*SUMIF(ThresholdAge09,"&lt;"&amp;'19_Расчет_аналитики'!AT559,WeightedRevAge09)-SUMIF(ThresholdAge09,"&lt;"&amp;'19_Расчет_аналитики'!AT559,WeightedMinAge09),MAX(CapacityAge09*'01_Вводные'!$B$218*'19_Расчет_аналитики'!AT559,MeanMinAge09)))</f>
        <v/>
      </c>
      <c r="AU472">
        <f>IF(OR('19_Расчет_аналитики'!AU444=0,9&lt;='01_Вводные'!$B$297),0,'19_Расчет_аналитики'!AU444*IF('01_Вводные'!$B$239="Да",MeanMinAge09+'19_Расчет_аналитики'!AU559*SUMIF(ThresholdAge09,"&lt;"&amp;'19_Расчет_аналитики'!AU559,WeightedRevAge09)-SUMIF(ThresholdAge09,"&lt;"&amp;'19_Расчет_аналитики'!AU559,WeightedMinAge09),MAX(CapacityAge09*'01_Вводные'!$B$218*'19_Расчет_аналитики'!AU559,MeanMinAge09)))</f>
        <v/>
      </c>
      <c r="AV472">
        <f>IF(OR('19_Расчет_аналитики'!AV444=0,9&lt;='01_Вводные'!$B$297),0,'19_Расчет_аналитики'!AV444*IF('01_Вводные'!$B$239="Да",MeanMinAge09+'19_Расчет_аналитики'!AV559*SUMIF(ThresholdAge09,"&lt;"&amp;'19_Расчет_аналитики'!AV559,WeightedRevAge09)-SUMIF(ThresholdAge09,"&lt;"&amp;'19_Расчет_аналитики'!AV559,WeightedMinAge09),MAX(CapacityAge09*'01_Вводные'!$B$218*'19_Расчет_аналитики'!AV559,MeanMinAge09)))</f>
        <v/>
      </c>
      <c r="AW472">
        <f>IF(OR('19_Расчет_аналитики'!AW444=0,9&lt;='01_Вводные'!$B$297),0,'19_Расчет_аналитики'!AW444*IF('01_Вводные'!$B$239="Да",MeanMinAge09+'19_Расчет_аналитики'!AW559*SUMIF(ThresholdAge09,"&lt;"&amp;'19_Расчет_аналитики'!AW559,WeightedRevAge09)-SUMIF(ThresholdAge09,"&lt;"&amp;'19_Расчет_аналитики'!AW559,WeightedMinAge09),MAX(CapacityAge09*'01_Вводные'!$B$218*'19_Расчет_аналитики'!AW559,MeanMinAge09)))</f>
        <v/>
      </c>
      <c r="AX472">
        <f>IF(OR('19_Расчет_аналитики'!AX444=0,9&lt;='01_Вводные'!$B$297),0,'19_Расчет_аналитики'!AX444*IF('01_Вводные'!$B$239="Да",MeanMinAge09+'19_Расчет_аналитики'!AX559*SUMIF(ThresholdAge09,"&lt;"&amp;'19_Расчет_аналитики'!AX559,WeightedRevAge09)-SUMIF(ThresholdAge09,"&lt;"&amp;'19_Расчет_аналитики'!AX559,WeightedMinAge09),MAX(CapacityAge09*'01_Вводные'!$B$218*'19_Расчет_аналитики'!AX559,MeanMinAge09)))</f>
        <v/>
      </c>
      <c r="AY472">
        <f>IF(OR('19_Расчет_аналитики'!AY444=0,9&lt;='01_Вводные'!$B$297),0,'19_Расчет_аналитики'!AY444*IF('01_Вводные'!$B$239="Да",MeanMinAge09+'19_Расчет_аналитики'!AY559*SUMIF(ThresholdAge09,"&lt;"&amp;'19_Расчет_аналитики'!AY559,WeightedRevAge09)-SUMIF(ThresholdAge09,"&lt;"&amp;'19_Расчет_аналитики'!AY559,WeightedMinAge09),MAX(CapacityAge09*'01_Вводные'!$B$218*'19_Расчет_аналитики'!AY559,MeanMinAge09)))</f>
        <v/>
      </c>
      <c r="AZ472">
        <f>IF(OR('19_Расчет_аналитики'!AZ444=0,9&lt;='01_Вводные'!$B$297),0,'19_Расчет_аналитики'!AZ444*IF('01_Вводные'!$B$239="Да",MeanMinAge09+'19_Расчет_аналитики'!AZ559*SUMIF(ThresholdAge09,"&lt;"&amp;'19_Расчет_аналитики'!AZ559,WeightedRevAge09)-SUMIF(ThresholdAge09,"&lt;"&amp;'19_Расчет_аналитики'!AZ559,WeightedMinAge09),MAX(CapacityAge09*'01_Вводные'!$B$218*'19_Расчет_аналитики'!AZ559,MeanMinAge09)))</f>
        <v/>
      </c>
      <c r="BA472">
        <f>IF(OR('19_Расчет_аналитики'!BA444=0,9&lt;='01_Вводные'!$B$297),0,'19_Расчет_аналитики'!BA444*IF('01_Вводные'!$B$239="Да",MeanMinAge09+'19_Расчет_аналитики'!BA559*SUMIF(ThresholdAge09,"&lt;"&amp;'19_Расчет_аналитики'!BA559,WeightedRevAge09)-SUMIF(ThresholdAge09,"&lt;"&amp;'19_Расчет_аналитики'!BA559,WeightedMinAge09),MAX(CapacityAge09*'01_Вводные'!$B$218*'19_Расчет_аналитики'!BA559,MeanMinAge09)))</f>
        <v/>
      </c>
      <c r="BB472">
        <f>IF(OR('19_Расчет_аналитики'!BB444=0,9&lt;='01_Вводные'!$B$297),0,'19_Расчет_аналитики'!BB444*IF('01_Вводные'!$B$239="Да",MeanMinAge09+'19_Расчет_аналитики'!BB559*SUMIF(ThresholdAge09,"&lt;"&amp;'19_Расчет_аналитики'!BB559,WeightedRevAge09)-SUMIF(ThresholdAge09,"&lt;"&amp;'19_Расчет_аналитики'!BB559,WeightedMinAge09),MAX(CapacityAge09*'01_Вводные'!$B$218*'19_Расчет_аналитики'!BB559,MeanMinAge09)))</f>
        <v/>
      </c>
      <c r="BC472">
        <f>IF(OR('19_Расчет_аналитики'!BC444=0,9&lt;='01_Вводные'!$B$297),0,'19_Расчет_аналитики'!BC444*IF('01_Вводные'!$B$239="Да",MeanMinAge09+'19_Расчет_аналитики'!BC559*SUMIF(ThresholdAge09,"&lt;"&amp;'19_Расчет_аналитики'!BC559,WeightedRevAge09)-SUMIF(ThresholdAge09,"&lt;"&amp;'19_Расчет_аналитики'!BC559,WeightedMinAge09),MAX(CapacityAge09*'01_Вводные'!$B$218*'19_Расчет_аналитики'!BC559,MeanMinAge09)))</f>
        <v/>
      </c>
      <c r="BD472">
        <f>IF(OR('19_Расчет_аналитики'!BD444=0,9&lt;='01_Вводные'!$B$297),0,'19_Расчет_аналитики'!BD444*IF('01_Вводные'!$B$239="Да",MeanMinAge09+'19_Расчет_аналитики'!BD559*SUMIF(ThresholdAge09,"&lt;"&amp;'19_Расчет_аналитики'!BD559,WeightedRevAge09)-SUMIF(ThresholdAge09,"&lt;"&amp;'19_Расчет_аналитики'!BD559,WeightedMinAge09),MAX(CapacityAge09*'01_Вводные'!$B$218*'19_Расчет_аналитики'!BD559,MeanMinAge09)))</f>
        <v/>
      </c>
      <c r="BE472">
        <f>IF(OR('19_Расчет_аналитики'!BE444=0,9&lt;='01_Вводные'!$B$297),0,'19_Расчет_аналитики'!BE444*IF('01_Вводные'!$B$239="Да",MeanMinAge09+'19_Расчет_аналитики'!BE559*SUMIF(ThresholdAge09,"&lt;"&amp;'19_Расчет_аналитики'!BE559,WeightedRevAge09)-SUMIF(ThresholdAge09,"&lt;"&amp;'19_Расчет_аналитики'!BE559,WeightedMinAge09),MAX(CapacityAge09*'01_Вводные'!$B$218*'19_Расчет_аналитики'!BE559,MeanMinAge09)))</f>
        <v/>
      </c>
      <c r="BF472">
        <f>IF(OR('19_Расчет_аналитики'!BF444=0,9&lt;='01_Вводные'!$B$297),0,'19_Расчет_аналитики'!BF444*IF('01_Вводные'!$B$239="Да",MeanMinAge09+'19_Расчет_аналитики'!BF559*SUMIF(ThresholdAge09,"&lt;"&amp;'19_Расчет_аналитики'!BF559,WeightedRevAge09)-SUMIF(ThresholdAge09,"&lt;"&amp;'19_Расчет_аналитики'!BF559,WeightedMinAge09),MAX(CapacityAge09*'01_Вводные'!$B$218*'19_Расчет_аналитики'!BF559,MeanMinAge09)))</f>
        <v/>
      </c>
      <c r="BG472">
        <f>IF(OR('19_Расчет_аналитики'!BG444=0,9&lt;='01_Вводные'!$B$297),0,'19_Расчет_аналитики'!BG444*IF('01_Вводные'!$B$239="Да",MeanMinAge09+'19_Расчет_аналитики'!BG559*SUMIF(ThresholdAge09,"&lt;"&amp;'19_Расчет_аналитики'!BG559,WeightedRevAge09)-SUMIF(ThresholdAge09,"&lt;"&amp;'19_Расчет_аналитики'!BG559,WeightedMinAge09),MAX(CapacityAge09*'01_Вводные'!$B$218*'19_Расчет_аналитики'!BG559,MeanMinAge09)))</f>
        <v/>
      </c>
      <c r="BH472">
        <f>IF(OR('19_Расчет_аналитики'!BH444=0,9&lt;='01_Вводные'!$B$297),0,'19_Расчет_аналитики'!BH444*IF('01_Вводные'!$B$239="Да",MeanMinAge09+'19_Расчет_аналитики'!BH559*SUMIF(ThresholdAge09,"&lt;"&amp;'19_Расчет_аналитики'!BH559,WeightedRevAge09)-SUMIF(ThresholdAge09,"&lt;"&amp;'19_Расчет_аналитики'!BH559,WeightedMinAge09),MAX(CapacityAge09*'01_Вводные'!$B$218*'19_Расчет_аналитики'!BH559,MeanMinAge09)))</f>
        <v/>
      </c>
      <c r="BI472">
        <f>IF(OR('19_Расчет_аналитики'!BI444=0,9&lt;='01_Вводные'!$B$297),0,'19_Расчет_аналитики'!BI444*IF('01_Вводные'!$B$239="Да",MeanMinAge09+'19_Расчет_аналитики'!BI559*SUMIF(ThresholdAge09,"&lt;"&amp;'19_Расчет_аналитики'!BI559,WeightedRevAge09)-SUMIF(ThresholdAge09,"&lt;"&amp;'19_Расчет_аналитики'!BI559,WeightedMinAge09),MAX(CapacityAge09*'01_Вводные'!$B$218*'19_Расчет_аналитики'!BI559,MeanMinAge09)))</f>
        <v/>
      </c>
      <c r="BJ472">
        <f>IF(OR('19_Расчет_аналитики'!BJ444=0,9&lt;='01_Вводные'!$B$297),0,'19_Расчет_аналитики'!BJ444*IF('01_Вводные'!$B$239="Да",MeanMinAge09+'19_Расчет_аналитики'!BJ559*SUMIF(ThresholdAge09,"&lt;"&amp;'19_Расчет_аналитики'!BJ559,WeightedRevAge09)-SUMIF(ThresholdAge09,"&lt;"&amp;'19_Расчет_аналитики'!BJ559,WeightedMinAge09),MAX(CapacityAge09*'01_Вводные'!$B$218*'19_Расчет_аналитики'!BJ559,MeanMinAge09)))</f>
        <v/>
      </c>
      <c r="BK472">
        <f>IF(OR('19_Расчет_аналитики'!BK444=0,9&lt;='01_Вводные'!$B$297),0,'19_Расчет_аналитики'!BK444*IF('01_Вводные'!$B$239="Да",MeanMinAge09+'19_Расчет_аналитики'!BK559*SUMIF(ThresholdAge09,"&lt;"&amp;'19_Расчет_аналитики'!BK559,WeightedRevAge09)-SUMIF(ThresholdAge09,"&lt;"&amp;'19_Расчет_аналитики'!BK559,WeightedMinAge09),MAX(CapacityAge09*'01_Вводные'!$B$218*'19_Расчет_аналитики'!BK559,MeanMinAge09)))</f>
        <v/>
      </c>
      <c r="BL472">
        <f>IF(OR('19_Расчет_аналитики'!BL444=0,9&lt;='01_Вводные'!$B$297),0,'19_Расчет_аналитики'!BL444*IF('01_Вводные'!$B$239="Да",MeanMinAge09+'19_Расчет_аналитики'!BL559*SUMIF(ThresholdAge09,"&lt;"&amp;'19_Расчет_аналитики'!BL559,WeightedRevAge09)-SUMIF(ThresholdAge09,"&lt;"&amp;'19_Расчет_аналитики'!BL559,WeightedMinAge09),MAX(CapacityAge09*'01_Вводные'!$B$218*'19_Расчет_аналитики'!BL559,MeanMinAge09)))</f>
        <v/>
      </c>
      <c r="BM472">
        <f>IF(OR('19_Расчет_аналитики'!BM444=0,9&lt;='01_Вводные'!$B$297),0,'19_Расчет_аналитики'!BM444*IF('01_Вводные'!$B$239="Да",MeanMinAge09+'19_Расчет_аналитики'!BM559*SUMIF(ThresholdAge09,"&lt;"&amp;'19_Расчет_аналитики'!BM559,WeightedRevAge09)-SUMIF(ThresholdAge09,"&lt;"&amp;'19_Расчет_аналитики'!BM559,WeightedMinAge09),MAX(CapacityAge09*'01_Вводные'!$B$218*'19_Расчет_аналитики'!BM559,MeanMinAge09)))</f>
        <v/>
      </c>
      <c r="BN472">
        <f>IF(OR('19_Расчет_аналитики'!BN444=0,9&lt;='01_Вводные'!$B$297),0,'19_Расчет_аналитики'!BN444*IF('01_Вводные'!$B$239="Да",MeanMinAge09+'19_Расчет_аналитики'!BN559*SUMIF(ThresholdAge09,"&lt;"&amp;'19_Расчет_аналитики'!BN559,WeightedRevAge09)-SUMIF(ThresholdAge09,"&lt;"&amp;'19_Расчет_аналитики'!BN559,WeightedMinAge09),MAX(CapacityAge09*'01_Вводные'!$B$218*'19_Расчет_аналитики'!BN559,MeanMinAge09)))</f>
        <v/>
      </c>
      <c r="BO472">
        <f>IF(OR('19_Расчет_аналитики'!BO444=0,9&lt;='01_Вводные'!$B$297),0,'19_Расчет_аналитики'!BO444*IF('01_Вводные'!$B$239="Да",MeanMinAge09+'19_Расчет_аналитики'!BO559*SUMIF(ThresholdAge09,"&lt;"&amp;'19_Расчет_аналитики'!BO559,WeightedRevAge09)-SUMIF(ThresholdAge09,"&lt;"&amp;'19_Расчет_аналитики'!BO559,WeightedMinAge09),MAX(CapacityAge09*'01_Вводные'!$B$218*'19_Расчет_аналитики'!BO559,MeanMinAge09)))</f>
        <v/>
      </c>
    </row>
    <row r="473">
      <c r="B473">
        <f>IF(OR('06_Сеть_и_дети'!B90=0,10&lt;='01_Вводные'!$B$297),0,'06_Сеть_и_дети'!B90*IF('01_Вводные'!$B$239="Да",MeanMinAge10+'19_Расчет_аналитики'!B559*SUMIF(ThresholdAge10,"&lt;"&amp;'19_Расчет_аналитики'!B559,WeightedRevAge10)-SUMIF(ThresholdAge10,"&lt;"&amp;'19_Расчет_аналитики'!B559,WeightedMinAge10),MAX(CapacityAge10*'01_Вводные'!$B$218*'19_Расчет_аналитики'!B559,MeanMinAge10)))</f>
        <v/>
      </c>
      <c r="C473">
        <f>IF(OR('06_Сеть_и_дети'!C90=0,10&lt;='01_Вводные'!$B$297),0,'06_Сеть_и_дети'!C90*IF('01_Вводные'!$B$239="Да",MeanMinAge10+'19_Расчет_аналитики'!C559*SUMIF(ThresholdAge10,"&lt;"&amp;'19_Расчет_аналитики'!C559,WeightedRevAge10)-SUMIF(ThresholdAge10,"&lt;"&amp;'19_Расчет_аналитики'!C559,WeightedMinAge10),MAX(CapacityAge10*'01_Вводные'!$B$218*'19_Расчет_аналитики'!C559,MeanMinAge10)))</f>
        <v/>
      </c>
      <c r="D473">
        <f>IF(OR('06_Сеть_и_дети'!D90=0,10&lt;='01_Вводные'!$B$297),0,'06_Сеть_и_дети'!D90*IF('01_Вводные'!$B$239="Да",MeanMinAge10+'19_Расчет_аналитики'!D559*SUMIF(ThresholdAge10,"&lt;"&amp;'19_Расчет_аналитики'!D559,WeightedRevAge10)-SUMIF(ThresholdAge10,"&lt;"&amp;'19_Расчет_аналитики'!D559,WeightedMinAge10),MAX(CapacityAge10*'01_Вводные'!$B$218*'19_Расчет_аналитики'!D559,MeanMinAge10)))</f>
        <v/>
      </c>
      <c r="E473">
        <f>IF(OR('06_Сеть_и_дети'!E90=0,10&lt;='01_Вводные'!$B$297),0,'06_Сеть_и_дети'!E90*IF('01_Вводные'!$B$239="Да",MeanMinAge10+'19_Расчет_аналитики'!E559*SUMIF(ThresholdAge10,"&lt;"&amp;'19_Расчет_аналитики'!E559,WeightedRevAge10)-SUMIF(ThresholdAge10,"&lt;"&amp;'19_Расчет_аналитики'!E559,WeightedMinAge10),MAX(CapacityAge10*'01_Вводные'!$B$218*'19_Расчет_аналитики'!E559,MeanMinAge10)))</f>
        <v/>
      </c>
      <c r="F473">
        <f>IF(OR('06_Сеть_и_дети'!F90=0,10&lt;='01_Вводные'!$B$297),0,'06_Сеть_и_дети'!F90*IF('01_Вводные'!$B$239="Да",MeanMinAge10+'19_Расчет_аналитики'!F559*SUMIF(ThresholdAge10,"&lt;"&amp;'19_Расчет_аналитики'!F559,WeightedRevAge10)-SUMIF(ThresholdAge10,"&lt;"&amp;'19_Расчет_аналитики'!F559,WeightedMinAge10),MAX(CapacityAge10*'01_Вводные'!$B$218*'19_Расчет_аналитики'!F559,MeanMinAge10)))</f>
        <v/>
      </c>
      <c r="G473">
        <f>IF(OR('06_Сеть_и_дети'!G90=0,10&lt;='01_Вводные'!$B$297),0,'06_Сеть_и_дети'!G90*IF('01_Вводные'!$B$239="Да",MeanMinAge10+'19_Расчет_аналитики'!G559*SUMIF(ThresholdAge10,"&lt;"&amp;'19_Расчет_аналитики'!G559,WeightedRevAge10)-SUMIF(ThresholdAge10,"&lt;"&amp;'19_Расчет_аналитики'!G559,WeightedMinAge10),MAX(CapacityAge10*'01_Вводные'!$B$218*'19_Расчет_аналитики'!G559,MeanMinAge10)))</f>
        <v/>
      </c>
      <c r="H473">
        <f>IF(OR('06_Сеть_и_дети'!H90=0,10&lt;='01_Вводные'!$B$297),0,'06_Сеть_и_дети'!H90*IF('01_Вводные'!$B$239="Да",MeanMinAge10+'19_Расчет_аналитики'!H559*SUMIF(ThresholdAge10,"&lt;"&amp;'19_Расчет_аналитики'!H559,WeightedRevAge10)-SUMIF(ThresholdAge10,"&lt;"&amp;'19_Расчет_аналитики'!H559,WeightedMinAge10),MAX(CapacityAge10*'01_Вводные'!$B$218*'19_Расчет_аналитики'!H559,MeanMinAge10)))</f>
        <v/>
      </c>
      <c r="I473">
        <f>IF(OR('06_Сеть_и_дети'!I90=0,10&lt;='01_Вводные'!$B$297),0,'06_Сеть_и_дети'!I90*IF('01_Вводные'!$B$239="Да",MeanMinAge10+'19_Расчет_аналитики'!I559*SUMIF(ThresholdAge10,"&lt;"&amp;'19_Расчет_аналитики'!I559,WeightedRevAge10)-SUMIF(ThresholdAge10,"&lt;"&amp;'19_Расчет_аналитики'!I559,WeightedMinAge10),MAX(CapacityAge10*'01_Вводные'!$B$218*'19_Расчет_аналитики'!I559,MeanMinAge10)))</f>
        <v/>
      </c>
      <c r="J473">
        <f>IF(OR('06_Сеть_и_дети'!J90=0,10&lt;='01_Вводные'!$B$297),0,'06_Сеть_и_дети'!J90*IF('01_Вводные'!$B$239="Да",MeanMinAge10+'19_Расчет_аналитики'!J559*SUMIF(ThresholdAge10,"&lt;"&amp;'19_Расчет_аналитики'!J559,WeightedRevAge10)-SUMIF(ThresholdAge10,"&lt;"&amp;'19_Расчет_аналитики'!J559,WeightedMinAge10),MAX(CapacityAge10*'01_Вводные'!$B$218*'19_Расчет_аналитики'!J559,MeanMinAge10)))</f>
        <v/>
      </c>
      <c r="K473">
        <f>IF(OR('19_Расчет_аналитики'!K445=0,10&lt;='01_Вводные'!$B$297),0,'19_Расчет_аналитики'!K445*IF('01_Вводные'!$B$239="Да",MeanMinAge10+'19_Расчет_аналитики'!K559*SUMIF(ThresholdAge10,"&lt;"&amp;'19_Расчет_аналитики'!K559,WeightedRevAge10)-SUMIF(ThresholdAge10,"&lt;"&amp;'19_Расчет_аналитики'!K559,WeightedMinAge10),MAX(CapacityAge10*'01_Вводные'!$B$218*'19_Расчет_аналитики'!K559,MeanMinAge10)))</f>
        <v/>
      </c>
      <c r="L473">
        <f>IF(OR('19_Расчет_аналитики'!L445=0,10&lt;='01_Вводные'!$B$297),0,'19_Расчет_аналитики'!L445*IF('01_Вводные'!$B$239="Да",MeanMinAge10+'19_Расчет_аналитики'!L559*SUMIF(ThresholdAge10,"&lt;"&amp;'19_Расчет_аналитики'!L559,WeightedRevAge10)-SUMIF(ThresholdAge10,"&lt;"&amp;'19_Расчет_аналитики'!L559,WeightedMinAge10),MAX(CapacityAge10*'01_Вводные'!$B$218*'19_Расчет_аналитики'!L559,MeanMinAge10)))</f>
        <v/>
      </c>
      <c r="M473">
        <f>IF(OR('19_Расчет_аналитики'!M445=0,10&lt;='01_Вводные'!$B$297),0,'19_Расчет_аналитики'!M445*IF('01_Вводные'!$B$239="Да",MeanMinAge10+'19_Расчет_аналитики'!M559*SUMIF(ThresholdAge10,"&lt;"&amp;'19_Расчет_аналитики'!M559,WeightedRevAge10)-SUMIF(ThresholdAge10,"&lt;"&amp;'19_Расчет_аналитики'!M559,WeightedMinAge10),MAX(CapacityAge10*'01_Вводные'!$B$218*'19_Расчет_аналитики'!M559,MeanMinAge10)))</f>
        <v/>
      </c>
      <c r="N473">
        <f>IF(OR('19_Расчет_аналитики'!N445=0,10&lt;='01_Вводные'!$B$297),0,'19_Расчет_аналитики'!N445*IF('01_Вводные'!$B$239="Да",MeanMinAge10+'19_Расчет_аналитики'!N559*SUMIF(ThresholdAge10,"&lt;"&amp;'19_Расчет_аналитики'!N559,WeightedRevAge10)-SUMIF(ThresholdAge10,"&lt;"&amp;'19_Расчет_аналитики'!N559,WeightedMinAge10),MAX(CapacityAge10*'01_Вводные'!$B$218*'19_Расчет_аналитики'!N559,MeanMinAge10)))</f>
        <v/>
      </c>
      <c r="O473">
        <f>IF(OR('19_Расчет_аналитики'!O445=0,10&lt;='01_Вводные'!$B$297),0,'19_Расчет_аналитики'!O445*IF('01_Вводные'!$B$239="Да",MeanMinAge10+'19_Расчет_аналитики'!O559*SUMIF(ThresholdAge10,"&lt;"&amp;'19_Расчет_аналитики'!O559,WeightedRevAge10)-SUMIF(ThresholdAge10,"&lt;"&amp;'19_Расчет_аналитики'!O559,WeightedMinAge10),MAX(CapacityAge10*'01_Вводные'!$B$218*'19_Расчет_аналитики'!O559,MeanMinAge10)))</f>
        <v/>
      </c>
      <c r="P473">
        <f>IF(OR('19_Расчет_аналитики'!P445=0,10&lt;='01_Вводные'!$B$297),0,'19_Расчет_аналитики'!P445*IF('01_Вводные'!$B$239="Да",MeanMinAge10+'19_Расчет_аналитики'!P559*SUMIF(ThresholdAge10,"&lt;"&amp;'19_Расчет_аналитики'!P559,WeightedRevAge10)-SUMIF(ThresholdAge10,"&lt;"&amp;'19_Расчет_аналитики'!P559,WeightedMinAge10),MAX(CapacityAge10*'01_Вводные'!$B$218*'19_Расчет_аналитики'!P559,MeanMinAge10)))</f>
        <v/>
      </c>
      <c r="Q473">
        <f>IF(OR('19_Расчет_аналитики'!Q445=0,10&lt;='01_Вводные'!$B$297),0,'19_Расчет_аналитики'!Q445*IF('01_Вводные'!$B$239="Да",MeanMinAge10+'19_Расчет_аналитики'!Q559*SUMIF(ThresholdAge10,"&lt;"&amp;'19_Расчет_аналитики'!Q559,WeightedRevAge10)-SUMIF(ThresholdAge10,"&lt;"&amp;'19_Расчет_аналитики'!Q559,WeightedMinAge10),MAX(CapacityAge10*'01_Вводные'!$B$218*'19_Расчет_аналитики'!Q559,MeanMinAge10)))</f>
        <v/>
      </c>
      <c r="R473">
        <f>IF(OR('19_Расчет_аналитики'!R445=0,10&lt;='01_Вводные'!$B$297),0,'19_Расчет_аналитики'!R445*IF('01_Вводные'!$B$239="Да",MeanMinAge10+'19_Расчет_аналитики'!R559*SUMIF(ThresholdAge10,"&lt;"&amp;'19_Расчет_аналитики'!R559,WeightedRevAge10)-SUMIF(ThresholdAge10,"&lt;"&amp;'19_Расчет_аналитики'!R559,WeightedMinAge10),MAX(CapacityAge10*'01_Вводные'!$B$218*'19_Расчет_аналитики'!R559,MeanMinAge10)))</f>
        <v/>
      </c>
      <c r="S473">
        <f>IF(OR('19_Расчет_аналитики'!S445=0,10&lt;='01_Вводные'!$B$297),0,'19_Расчет_аналитики'!S445*IF('01_Вводные'!$B$239="Да",MeanMinAge10+'19_Расчет_аналитики'!S559*SUMIF(ThresholdAge10,"&lt;"&amp;'19_Расчет_аналитики'!S559,WeightedRevAge10)-SUMIF(ThresholdAge10,"&lt;"&amp;'19_Расчет_аналитики'!S559,WeightedMinAge10),MAX(CapacityAge10*'01_Вводные'!$B$218*'19_Расчет_аналитики'!S559,MeanMinAge10)))</f>
        <v/>
      </c>
      <c r="T473">
        <f>IF(OR('19_Расчет_аналитики'!T445=0,10&lt;='01_Вводные'!$B$297),0,'19_Расчет_аналитики'!T445*IF('01_Вводные'!$B$239="Да",MeanMinAge10+'19_Расчет_аналитики'!T559*SUMIF(ThresholdAge10,"&lt;"&amp;'19_Расчет_аналитики'!T559,WeightedRevAge10)-SUMIF(ThresholdAge10,"&lt;"&amp;'19_Расчет_аналитики'!T559,WeightedMinAge10),MAX(CapacityAge10*'01_Вводные'!$B$218*'19_Расчет_аналитики'!T559,MeanMinAge10)))</f>
        <v/>
      </c>
      <c r="U473">
        <f>IF(OR('19_Расчет_аналитики'!U445=0,10&lt;='01_Вводные'!$B$297),0,'19_Расчет_аналитики'!U445*IF('01_Вводные'!$B$239="Да",MeanMinAge10+'19_Расчет_аналитики'!U559*SUMIF(ThresholdAge10,"&lt;"&amp;'19_Расчет_аналитики'!U559,WeightedRevAge10)-SUMIF(ThresholdAge10,"&lt;"&amp;'19_Расчет_аналитики'!U559,WeightedMinAge10),MAX(CapacityAge10*'01_Вводные'!$B$218*'19_Расчет_аналитики'!U559,MeanMinAge10)))</f>
        <v/>
      </c>
      <c r="V473">
        <f>IF(OR('19_Расчет_аналитики'!V445=0,10&lt;='01_Вводные'!$B$297),0,'19_Расчет_аналитики'!V445*IF('01_Вводные'!$B$239="Да",MeanMinAge10+'19_Расчет_аналитики'!V559*SUMIF(ThresholdAge10,"&lt;"&amp;'19_Расчет_аналитики'!V559,WeightedRevAge10)-SUMIF(ThresholdAge10,"&lt;"&amp;'19_Расчет_аналитики'!V559,WeightedMinAge10),MAX(CapacityAge10*'01_Вводные'!$B$218*'19_Расчет_аналитики'!V559,MeanMinAge10)))</f>
        <v/>
      </c>
      <c r="W473">
        <f>IF(OR('19_Расчет_аналитики'!W445=0,10&lt;='01_Вводные'!$B$297),0,'19_Расчет_аналитики'!W445*IF('01_Вводные'!$B$239="Да",MeanMinAge10+'19_Расчет_аналитики'!W559*SUMIF(ThresholdAge10,"&lt;"&amp;'19_Расчет_аналитики'!W559,WeightedRevAge10)-SUMIF(ThresholdAge10,"&lt;"&amp;'19_Расчет_аналитики'!W559,WeightedMinAge10),MAX(CapacityAge10*'01_Вводные'!$B$218*'19_Расчет_аналитики'!W559,MeanMinAge10)))</f>
        <v/>
      </c>
      <c r="X473">
        <f>IF(OR('19_Расчет_аналитики'!X445=0,10&lt;='01_Вводные'!$B$297),0,'19_Расчет_аналитики'!X445*IF('01_Вводные'!$B$239="Да",MeanMinAge10+'19_Расчет_аналитики'!X559*SUMIF(ThresholdAge10,"&lt;"&amp;'19_Расчет_аналитики'!X559,WeightedRevAge10)-SUMIF(ThresholdAge10,"&lt;"&amp;'19_Расчет_аналитики'!X559,WeightedMinAge10),MAX(CapacityAge10*'01_Вводные'!$B$218*'19_Расчет_аналитики'!X559,MeanMinAge10)))</f>
        <v/>
      </c>
      <c r="Y473">
        <f>IF(OR('19_Расчет_аналитики'!Y445=0,10&lt;='01_Вводные'!$B$297),0,'19_Расчет_аналитики'!Y445*IF('01_Вводные'!$B$239="Да",MeanMinAge10+'19_Расчет_аналитики'!Y559*SUMIF(ThresholdAge10,"&lt;"&amp;'19_Расчет_аналитики'!Y559,WeightedRevAge10)-SUMIF(ThresholdAge10,"&lt;"&amp;'19_Расчет_аналитики'!Y559,WeightedMinAge10),MAX(CapacityAge10*'01_Вводные'!$B$218*'19_Расчет_аналитики'!Y559,MeanMinAge10)))</f>
        <v/>
      </c>
      <c r="Z473">
        <f>IF(OR('19_Расчет_аналитики'!Z445=0,10&lt;='01_Вводные'!$B$297),0,'19_Расчет_аналитики'!Z445*IF('01_Вводные'!$B$239="Да",MeanMinAge10+'19_Расчет_аналитики'!Z559*SUMIF(ThresholdAge10,"&lt;"&amp;'19_Расчет_аналитики'!Z559,WeightedRevAge10)-SUMIF(ThresholdAge10,"&lt;"&amp;'19_Расчет_аналитики'!Z559,WeightedMinAge10),MAX(CapacityAge10*'01_Вводные'!$B$218*'19_Расчет_аналитики'!Z559,MeanMinAge10)))</f>
        <v/>
      </c>
      <c r="AA473">
        <f>IF(OR('19_Расчет_аналитики'!AA445=0,10&lt;='01_Вводные'!$B$297),0,'19_Расчет_аналитики'!AA445*IF('01_Вводные'!$B$239="Да",MeanMinAge10+'19_Расчет_аналитики'!AA559*SUMIF(ThresholdAge10,"&lt;"&amp;'19_Расчет_аналитики'!AA559,WeightedRevAge10)-SUMIF(ThresholdAge10,"&lt;"&amp;'19_Расчет_аналитики'!AA559,WeightedMinAge10),MAX(CapacityAge10*'01_Вводные'!$B$218*'19_Расчет_аналитики'!AA559,MeanMinAge10)))</f>
        <v/>
      </c>
      <c r="AB473">
        <f>IF(OR('19_Расчет_аналитики'!AB445=0,10&lt;='01_Вводные'!$B$297),0,'19_Расчет_аналитики'!AB445*IF('01_Вводные'!$B$239="Да",MeanMinAge10+'19_Расчет_аналитики'!AB559*SUMIF(ThresholdAge10,"&lt;"&amp;'19_Расчет_аналитики'!AB559,WeightedRevAge10)-SUMIF(ThresholdAge10,"&lt;"&amp;'19_Расчет_аналитики'!AB559,WeightedMinAge10),MAX(CapacityAge10*'01_Вводные'!$B$218*'19_Расчет_аналитики'!AB559,MeanMinAge10)))</f>
        <v/>
      </c>
      <c r="AC473">
        <f>IF(OR('19_Расчет_аналитики'!AC445=0,10&lt;='01_Вводные'!$B$297),0,'19_Расчет_аналитики'!AC445*IF('01_Вводные'!$B$239="Да",MeanMinAge10+'19_Расчет_аналитики'!AC559*SUMIF(ThresholdAge10,"&lt;"&amp;'19_Расчет_аналитики'!AC559,WeightedRevAge10)-SUMIF(ThresholdAge10,"&lt;"&amp;'19_Расчет_аналитики'!AC559,WeightedMinAge10),MAX(CapacityAge10*'01_Вводные'!$B$218*'19_Расчет_аналитики'!AC559,MeanMinAge10)))</f>
        <v/>
      </c>
      <c r="AD473">
        <f>IF(OR('19_Расчет_аналитики'!AD445=0,10&lt;='01_Вводные'!$B$297),0,'19_Расчет_аналитики'!AD445*IF('01_Вводные'!$B$239="Да",MeanMinAge10+'19_Расчет_аналитики'!AD559*SUMIF(ThresholdAge10,"&lt;"&amp;'19_Расчет_аналитики'!AD559,WeightedRevAge10)-SUMIF(ThresholdAge10,"&lt;"&amp;'19_Расчет_аналитики'!AD559,WeightedMinAge10),MAX(CapacityAge10*'01_Вводные'!$B$218*'19_Расчет_аналитики'!AD559,MeanMinAge10)))</f>
        <v/>
      </c>
      <c r="AE473">
        <f>IF(OR('19_Расчет_аналитики'!AE445=0,10&lt;='01_Вводные'!$B$297),0,'19_Расчет_аналитики'!AE445*IF('01_Вводные'!$B$239="Да",MeanMinAge10+'19_Расчет_аналитики'!AE559*SUMIF(ThresholdAge10,"&lt;"&amp;'19_Расчет_аналитики'!AE559,WeightedRevAge10)-SUMIF(ThresholdAge10,"&lt;"&amp;'19_Расчет_аналитики'!AE559,WeightedMinAge10),MAX(CapacityAge10*'01_Вводные'!$B$218*'19_Расчет_аналитики'!AE559,MeanMinAge10)))</f>
        <v/>
      </c>
      <c r="AF473">
        <f>IF(OR('19_Расчет_аналитики'!AF445=0,10&lt;='01_Вводные'!$B$297),0,'19_Расчет_аналитики'!AF445*IF('01_Вводные'!$B$239="Да",MeanMinAge10+'19_Расчет_аналитики'!AF559*SUMIF(ThresholdAge10,"&lt;"&amp;'19_Расчет_аналитики'!AF559,WeightedRevAge10)-SUMIF(ThresholdAge10,"&lt;"&amp;'19_Расчет_аналитики'!AF559,WeightedMinAge10),MAX(CapacityAge10*'01_Вводные'!$B$218*'19_Расчет_аналитики'!AF559,MeanMinAge10)))</f>
        <v/>
      </c>
      <c r="AG473">
        <f>IF(OR('19_Расчет_аналитики'!AG445=0,10&lt;='01_Вводные'!$B$297),0,'19_Расчет_аналитики'!AG445*IF('01_Вводные'!$B$239="Да",MeanMinAge10+'19_Расчет_аналитики'!AG559*SUMIF(ThresholdAge10,"&lt;"&amp;'19_Расчет_аналитики'!AG559,WeightedRevAge10)-SUMIF(ThresholdAge10,"&lt;"&amp;'19_Расчет_аналитики'!AG559,WeightedMinAge10),MAX(CapacityAge10*'01_Вводные'!$B$218*'19_Расчет_аналитики'!AG559,MeanMinAge10)))</f>
        <v/>
      </c>
      <c r="AH473">
        <f>IF(OR('19_Расчет_аналитики'!AH445=0,10&lt;='01_Вводные'!$B$297),0,'19_Расчет_аналитики'!AH445*IF('01_Вводные'!$B$239="Да",MeanMinAge10+'19_Расчет_аналитики'!AH559*SUMIF(ThresholdAge10,"&lt;"&amp;'19_Расчет_аналитики'!AH559,WeightedRevAge10)-SUMIF(ThresholdAge10,"&lt;"&amp;'19_Расчет_аналитики'!AH559,WeightedMinAge10),MAX(CapacityAge10*'01_Вводные'!$B$218*'19_Расчет_аналитики'!AH559,MeanMinAge10)))</f>
        <v/>
      </c>
      <c r="AI473">
        <f>IF(OR('19_Расчет_аналитики'!AI445=0,10&lt;='01_Вводные'!$B$297),0,'19_Расчет_аналитики'!AI445*IF('01_Вводные'!$B$239="Да",MeanMinAge10+'19_Расчет_аналитики'!AI559*SUMIF(ThresholdAge10,"&lt;"&amp;'19_Расчет_аналитики'!AI559,WeightedRevAge10)-SUMIF(ThresholdAge10,"&lt;"&amp;'19_Расчет_аналитики'!AI559,WeightedMinAge10),MAX(CapacityAge10*'01_Вводные'!$B$218*'19_Расчет_аналитики'!AI559,MeanMinAge10)))</f>
        <v/>
      </c>
      <c r="AJ473">
        <f>IF(OR('19_Расчет_аналитики'!AJ445=0,10&lt;='01_Вводные'!$B$297),0,'19_Расчет_аналитики'!AJ445*IF('01_Вводные'!$B$239="Да",MeanMinAge10+'19_Расчет_аналитики'!AJ559*SUMIF(ThresholdAge10,"&lt;"&amp;'19_Расчет_аналитики'!AJ559,WeightedRevAge10)-SUMIF(ThresholdAge10,"&lt;"&amp;'19_Расчет_аналитики'!AJ559,WeightedMinAge10),MAX(CapacityAge10*'01_Вводные'!$B$218*'19_Расчет_аналитики'!AJ559,MeanMinAge10)))</f>
        <v/>
      </c>
      <c r="AK473">
        <f>IF(OR('19_Расчет_аналитики'!AK445=0,10&lt;='01_Вводные'!$B$297),0,'19_Расчет_аналитики'!AK445*IF('01_Вводные'!$B$239="Да",MeanMinAge10+'19_Расчет_аналитики'!AK559*SUMIF(ThresholdAge10,"&lt;"&amp;'19_Расчет_аналитики'!AK559,WeightedRevAge10)-SUMIF(ThresholdAge10,"&lt;"&amp;'19_Расчет_аналитики'!AK559,WeightedMinAge10),MAX(CapacityAge10*'01_Вводные'!$B$218*'19_Расчет_аналитики'!AK559,MeanMinAge10)))</f>
        <v/>
      </c>
      <c r="AL473">
        <f>IF(OR('19_Расчет_аналитики'!AL445=0,10&lt;='01_Вводные'!$B$297),0,'19_Расчет_аналитики'!AL445*IF('01_Вводные'!$B$239="Да",MeanMinAge10+'19_Расчет_аналитики'!AL559*SUMIF(ThresholdAge10,"&lt;"&amp;'19_Расчет_аналитики'!AL559,WeightedRevAge10)-SUMIF(ThresholdAge10,"&lt;"&amp;'19_Расчет_аналитики'!AL559,WeightedMinAge10),MAX(CapacityAge10*'01_Вводные'!$B$218*'19_Расчет_аналитики'!AL559,MeanMinAge10)))</f>
        <v/>
      </c>
      <c r="AM473">
        <f>IF(OR('19_Расчет_аналитики'!AM445=0,10&lt;='01_Вводные'!$B$297),0,'19_Расчет_аналитики'!AM445*IF('01_Вводные'!$B$239="Да",MeanMinAge10+'19_Расчет_аналитики'!AM559*SUMIF(ThresholdAge10,"&lt;"&amp;'19_Расчет_аналитики'!AM559,WeightedRevAge10)-SUMIF(ThresholdAge10,"&lt;"&amp;'19_Расчет_аналитики'!AM559,WeightedMinAge10),MAX(CapacityAge10*'01_Вводные'!$B$218*'19_Расчет_аналитики'!AM559,MeanMinAge10)))</f>
        <v/>
      </c>
      <c r="AN473">
        <f>IF(OR('19_Расчет_аналитики'!AN445=0,10&lt;='01_Вводные'!$B$297),0,'19_Расчет_аналитики'!AN445*IF('01_Вводные'!$B$239="Да",MeanMinAge10+'19_Расчет_аналитики'!AN559*SUMIF(ThresholdAge10,"&lt;"&amp;'19_Расчет_аналитики'!AN559,WeightedRevAge10)-SUMIF(ThresholdAge10,"&lt;"&amp;'19_Расчет_аналитики'!AN559,WeightedMinAge10),MAX(CapacityAge10*'01_Вводные'!$B$218*'19_Расчет_аналитики'!AN559,MeanMinAge10)))</f>
        <v/>
      </c>
      <c r="AO473">
        <f>IF(OR('19_Расчет_аналитики'!AO445=0,10&lt;='01_Вводные'!$B$297),0,'19_Расчет_аналитики'!AO445*IF('01_Вводные'!$B$239="Да",MeanMinAge10+'19_Расчет_аналитики'!AO559*SUMIF(ThresholdAge10,"&lt;"&amp;'19_Расчет_аналитики'!AO559,WeightedRevAge10)-SUMIF(ThresholdAge10,"&lt;"&amp;'19_Расчет_аналитики'!AO559,WeightedMinAge10),MAX(CapacityAge10*'01_Вводные'!$B$218*'19_Расчет_аналитики'!AO559,MeanMinAge10)))</f>
        <v/>
      </c>
      <c r="AP473">
        <f>IF(OR('19_Расчет_аналитики'!AP445=0,10&lt;='01_Вводные'!$B$297),0,'19_Расчет_аналитики'!AP445*IF('01_Вводные'!$B$239="Да",MeanMinAge10+'19_Расчет_аналитики'!AP559*SUMIF(ThresholdAge10,"&lt;"&amp;'19_Расчет_аналитики'!AP559,WeightedRevAge10)-SUMIF(ThresholdAge10,"&lt;"&amp;'19_Расчет_аналитики'!AP559,WeightedMinAge10),MAX(CapacityAge10*'01_Вводные'!$B$218*'19_Расчет_аналитики'!AP559,MeanMinAge10)))</f>
        <v/>
      </c>
      <c r="AQ473">
        <f>IF(OR('19_Расчет_аналитики'!AQ445=0,10&lt;='01_Вводные'!$B$297),0,'19_Расчет_аналитики'!AQ445*IF('01_Вводные'!$B$239="Да",MeanMinAge10+'19_Расчет_аналитики'!AQ559*SUMIF(ThresholdAge10,"&lt;"&amp;'19_Расчет_аналитики'!AQ559,WeightedRevAge10)-SUMIF(ThresholdAge10,"&lt;"&amp;'19_Расчет_аналитики'!AQ559,WeightedMinAge10),MAX(CapacityAge10*'01_Вводные'!$B$218*'19_Расчет_аналитики'!AQ559,MeanMinAge10)))</f>
        <v/>
      </c>
      <c r="AR473">
        <f>IF(OR('19_Расчет_аналитики'!AR445=0,10&lt;='01_Вводные'!$B$297),0,'19_Расчет_аналитики'!AR445*IF('01_Вводные'!$B$239="Да",MeanMinAge10+'19_Расчет_аналитики'!AR559*SUMIF(ThresholdAge10,"&lt;"&amp;'19_Расчет_аналитики'!AR559,WeightedRevAge10)-SUMIF(ThresholdAge10,"&lt;"&amp;'19_Расчет_аналитики'!AR559,WeightedMinAge10),MAX(CapacityAge10*'01_Вводные'!$B$218*'19_Расчет_аналитики'!AR559,MeanMinAge10)))</f>
        <v/>
      </c>
      <c r="AS473">
        <f>IF(OR('19_Расчет_аналитики'!AS445=0,10&lt;='01_Вводные'!$B$297),0,'19_Расчет_аналитики'!AS445*IF('01_Вводные'!$B$239="Да",MeanMinAge10+'19_Расчет_аналитики'!AS559*SUMIF(ThresholdAge10,"&lt;"&amp;'19_Расчет_аналитики'!AS559,WeightedRevAge10)-SUMIF(ThresholdAge10,"&lt;"&amp;'19_Расчет_аналитики'!AS559,WeightedMinAge10),MAX(CapacityAge10*'01_Вводные'!$B$218*'19_Расчет_аналитики'!AS559,MeanMinAge10)))</f>
        <v/>
      </c>
      <c r="AT473">
        <f>IF(OR('19_Расчет_аналитики'!AT445=0,10&lt;='01_Вводные'!$B$297),0,'19_Расчет_аналитики'!AT445*IF('01_Вводные'!$B$239="Да",MeanMinAge10+'19_Расчет_аналитики'!AT559*SUMIF(ThresholdAge10,"&lt;"&amp;'19_Расчет_аналитики'!AT559,WeightedRevAge10)-SUMIF(ThresholdAge10,"&lt;"&amp;'19_Расчет_аналитики'!AT559,WeightedMinAge10),MAX(CapacityAge10*'01_Вводные'!$B$218*'19_Расчет_аналитики'!AT559,MeanMinAge10)))</f>
        <v/>
      </c>
      <c r="AU473">
        <f>IF(OR('19_Расчет_аналитики'!AU445=0,10&lt;='01_Вводные'!$B$297),0,'19_Расчет_аналитики'!AU445*IF('01_Вводные'!$B$239="Да",MeanMinAge10+'19_Расчет_аналитики'!AU559*SUMIF(ThresholdAge10,"&lt;"&amp;'19_Расчет_аналитики'!AU559,WeightedRevAge10)-SUMIF(ThresholdAge10,"&lt;"&amp;'19_Расчет_аналитики'!AU559,WeightedMinAge10),MAX(CapacityAge10*'01_Вводные'!$B$218*'19_Расчет_аналитики'!AU559,MeanMinAge10)))</f>
        <v/>
      </c>
      <c r="AV473">
        <f>IF(OR('19_Расчет_аналитики'!AV445=0,10&lt;='01_Вводные'!$B$297),0,'19_Расчет_аналитики'!AV445*IF('01_Вводные'!$B$239="Да",MeanMinAge10+'19_Расчет_аналитики'!AV559*SUMIF(ThresholdAge10,"&lt;"&amp;'19_Расчет_аналитики'!AV559,WeightedRevAge10)-SUMIF(ThresholdAge10,"&lt;"&amp;'19_Расчет_аналитики'!AV559,WeightedMinAge10),MAX(CapacityAge10*'01_Вводные'!$B$218*'19_Расчет_аналитики'!AV559,MeanMinAge10)))</f>
        <v/>
      </c>
      <c r="AW473">
        <f>IF(OR('19_Расчет_аналитики'!AW445=0,10&lt;='01_Вводные'!$B$297),0,'19_Расчет_аналитики'!AW445*IF('01_Вводные'!$B$239="Да",MeanMinAge10+'19_Расчет_аналитики'!AW559*SUMIF(ThresholdAge10,"&lt;"&amp;'19_Расчет_аналитики'!AW559,WeightedRevAge10)-SUMIF(ThresholdAge10,"&lt;"&amp;'19_Расчет_аналитики'!AW559,WeightedMinAge10),MAX(CapacityAge10*'01_Вводные'!$B$218*'19_Расчет_аналитики'!AW559,MeanMinAge10)))</f>
        <v/>
      </c>
      <c r="AX473">
        <f>IF(OR('19_Расчет_аналитики'!AX445=0,10&lt;='01_Вводные'!$B$297),0,'19_Расчет_аналитики'!AX445*IF('01_Вводные'!$B$239="Да",MeanMinAge10+'19_Расчет_аналитики'!AX559*SUMIF(ThresholdAge10,"&lt;"&amp;'19_Расчет_аналитики'!AX559,WeightedRevAge10)-SUMIF(ThresholdAge10,"&lt;"&amp;'19_Расчет_аналитики'!AX559,WeightedMinAge10),MAX(CapacityAge10*'01_Вводные'!$B$218*'19_Расчет_аналитики'!AX559,MeanMinAge10)))</f>
        <v/>
      </c>
      <c r="AY473">
        <f>IF(OR('19_Расчет_аналитики'!AY445=0,10&lt;='01_Вводные'!$B$297),0,'19_Расчет_аналитики'!AY445*IF('01_Вводные'!$B$239="Да",MeanMinAge10+'19_Расчет_аналитики'!AY559*SUMIF(ThresholdAge10,"&lt;"&amp;'19_Расчет_аналитики'!AY559,WeightedRevAge10)-SUMIF(ThresholdAge10,"&lt;"&amp;'19_Расчет_аналитики'!AY559,WeightedMinAge10),MAX(CapacityAge10*'01_Вводные'!$B$218*'19_Расчет_аналитики'!AY559,MeanMinAge10)))</f>
        <v/>
      </c>
      <c r="AZ473">
        <f>IF(OR('19_Расчет_аналитики'!AZ445=0,10&lt;='01_Вводные'!$B$297),0,'19_Расчет_аналитики'!AZ445*IF('01_Вводные'!$B$239="Да",MeanMinAge10+'19_Расчет_аналитики'!AZ559*SUMIF(ThresholdAge10,"&lt;"&amp;'19_Расчет_аналитики'!AZ559,WeightedRevAge10)-SUMIF(ThresholdAge10,"&lt;"&amp;'19_Расчет_аналитики'!AZ559,WeightedMinAge10),MAX(CapacityAge10*'01_Вводные'!$B$218*'19_Расчет_аналитики'!AZ559,MeanMinAge10)))</f>
        <v/>
      </c>
      <c r="BA473">
        <f>IF(OR('19_Расчет_аналитики'!BA445=0,10&lt;='01_Вводные'!$B$297),0,'19_Расчет_аналитики'!BA445*IF('01_Вводные'!$B$239="Да",MeanMinAge10+'19_Расчет_аналитики'!BA559*SUMIF(ThresholdAge10,"&lt;"&amp;'19_Расчет_аналитики'!BA559,WeightedRevAge10)-SUMIF(ThresholdAge10,"&lt;"&amp;'19_Расчет_аналитики'!BA559,WeightedMinAge10),MAX(CapacityAge10*'01_Вводные'!$B$218*'19_Расчет_аналитики'!BA559,MeanMinAge10)))</f>
        <v/>
      </c>
      <c r="BB473">
        <f>IF(OR('19_Расчет_аналитики'!BB445=0,10&lt;='01_Вводные'!$B$297),0,'19_Расчет_аналитики'!BB445*IF('01_Вводные'!$B$239="Да",MeanMinAge10+'19_Расчет_аналитики'!BB559*SUMIF(ThresholdAge10,"&lt;"&amp;'19_Расчет_аналитики'!BB559,WeightedRevAge10)-SUMIF(ThresholdAge10,"&lt;"&amp;'19_Расчет_аналитики'!BB559,WeightedMinAge10),MAX(CapacityAge10*'01_Вводные'!$B$218*'19_Расчет_аналитики'!BB559,MeanMinAge10)))</f>
        <v/>
      </c>
      <c r="BC473">
        <f>IF(OR('19_Расчет_аналитики'!BC445=0,10&lt;='01_Вводные'!$B$297),0,'19_Расчет_аналитики'!BC445*IF('01_Вводные'!$B$239="Да",MeanMinAge10+'19_Расчет_аналитики'!BC559*SUMIF(ThresholdAge10,"&lt;"&amp;'19_Расчет_аналитики'!BC559,WeightedRevAge10)-SUMIF(ThresholdAge10,"&lt;"&amp;'19_Расчет_аналитики'!BC559,WeightedMinAge10),MAX(CapacityAge10*'01_Вводные'!$B$218*'19_Расчет_аналитики'!BC559,MeanMinAge10)))</f>
        <v/>
      </c>
      <c r="BD473">
        <f>IF(OR('19_Расчет_аналитики'!BD445=0,10&lt;='01_Вводные'!$B$297),0,'19_Расчет_аналитики'!BD445*IF('01_Вводные'!$B$239="Да",MeanMinAge10+'19_Расчет_аналитики'!BD559*SUMIF(ThresholdAge10,"&lt;"&amp;'19_Расчет_аналитики'!BD559,WeightedRevAge10)-SUMIF(ThresholdAge10,"&lt;"&amp;'19_Расчет_аналитики'!BD559,WeightedMinAge10),MAX(CapacityAge10*'01_Вводные'!$B$218*'19_Расчет_аналитики'!BD559,MeanMinAge10)))</f>
        <v/>
      </c>
      <c r="BE473">
        <f>IF(OR('19_Расчет_аналитики'!BE445=0,10&lt;='01_Вводные'!$B$297),0,'19_Расчет_аналитики'!BE445*IF('01_Вводные'!$B$239="Да",MeanMinAge10+'19_Расчет_аналитики'!BE559*SUMIF(ThresholdAge10,"&lt;"&amp;'19_Расчет_аналитики'!BE559,WeightedRevAge10)-SUMIF(ThresholdAge10,"&lt;"&amp;'19_Расчет_аналитики'!BE559,WeightedMinAge10),MAX(CapacityAge10*'01_Вводные'!$B$218*'19_Расчет_аналитики'!BE559,MeanMinAge10)))</f>
        <v/>
      </c>
      <c r="BF473">
        <f>IF(OR('19_Расчет_аналитики'!BF445=0,10&lt;='01_Вводные'!$B$297),0,'19_Расчет_аналитики'!BF445*IF('01_Вводные'!$B$239="Да",MeanMinAge10+'19_Расчет_аналитики'!BF559*SUMIF(ThresholdAge10,"&lt;"&amp;'19_Расчет_аналитики'!BF559,WeightedRevAge10)-SUMIF(ThresholdAge10,"&lt;"&amp;'19_Расчет_аналитики'!BF559,WeightedMinAge10),MAX(CapacityAge10*'01_Вводные'!$B$218*'19_Расчет_аналитики'!BF559,MeanMinAge10)))</f>
        <v/>
      </c>
      <c r="BG473">
        <f>IF(OR('19_Расчет_аналитики'!BG445=0,10&lt;='01_Вводные'!$B$297),0,'19_Расчет_аналитики'!BG445*IF('01_Вводные'!$B$239="Да",MeanMinAge10+'19_Расчет_аналитики'!BG559*SUMIF(ThresholdAge10,"&lt;"&amp;'19_Расчет_аналитики'!BG559,WeightedRevAge10)-SUMIF(ThresholdAge10,"&lt;"&amp;'19_Расчет_аналитики'!BG559,WeightedMinAge10),MAX(CapacityAge10*'01_Вводные'!$B$218*'19_Расчет_аналитики'!BG559,MeanMinAge10)))</f>
        <v/>
      </c>
      <c r="BH473">
        <f>IF(OR('19_Расчет_аналитики'!BH445=0,10&lt;='01_Вводные'!$B$297),0,'19_Расчет_аналитики'!BH445*IF('01_Вводные'!$B$239="Да",MeanMinAge10+'19_Расчет_аналитики'!BH559*SUMIF(ThresholdAge10,"&lt;"&amp;'19_Расчет_аналитики'!BH559,WeightedRevAge10)-SUMIF(ThresholdAge10,"&lt;"&amp;'19_Расчет_аналитики'!BH559,WeightedMinAge10),MAX(CapacityAge10*'01_Вводные'!$B$218*'19_Расчет_аналитики'!BH559,MeanMinAge10)))</f>
        <v/>
      </c>
      <c r="BI473">
        <f>IF(OR('19_Расчет_аналитики'!BI445=0,10&lt;='01_Вводные'!$B$297),0,'19_Расчет_аналитики'!BI445*IF('01_Вводные'!$B$239="Да",MeanMinAge10+'19_Расчет_аналитики'!BI559*SUMIF(ThresholdAge10,"&lt;"&amp;'19_Расчет_аналитики'!BI559,WeightedRevAge10)-SUMIF(ThresholdAge10,"&lt;"&amp;'19_Расчет_аналитики'!BI559,WeightedMinAge10),MAX(CapacityAge10*'01_Вводные'!$B$218*'19_Расчет_аналитики'!BI559,MeanMinAge10)))</f>
        <v/>
      </c>
      <c r="BJ473">
        <f>IF(OR('19_Расчет_аналитики'!BJ445=0,10&lt;='01_Вводные'!$B$297),0,'19_Расчет_аналитики'!BJ445*IF('01_Вводные'!$B$239="Да",MeanMinAge10+'19_Расчет_аналитики'!BJ559*SUMIF(ThresholdAge10,"&lt;"&amp;'19_Расчет_аналитики'!BJ559,WeightedRevAge10)-SUMIF(ThresholdAge10,"&lt;"&amp;'19_Расчет_аналитики'!BJ559,WeightedMinAge10),MAX(CapacityAge10*'01_Вводные'!$B$218*'19_Расчет_аналитики'!BJ559,MeanMinAge10)))</f>
        <v/>
      </c>
      <c r="BK473">
        <f>IF(OR('19_Расчет_аналитики'!BK445=0,10&lt;='01_Вводные'!$B$297),0,'19_Расчет_аналитики'!BK445*IF('01_Вводные'!$B$239="Да",MeanMinAge10+'19_Расчет_аналитики'!BK559*SUMIF(ThresholdAge10,"&lt;"&amp;'19_Расчет_аналитики'!BK559,WeightedRevAge10)-SUMIF(ThresholdAge10,"&lt;"&amp;'19_Расчет_аналитики'!BK559,WeightedMinAge10),MAX(CapacityAge10*'01_Вводные'!$B$218*'19_Расчет_аналитики'!BK559,MeanMinAge10)))</f>
        <v/>
      </c>
      <c r="BL473">
        <f>IF(OR('19_Расчет_аналитики'!BL445=0,10&lt;='01_Вводные'!$B$297),0,'19_Расчет_аналитики'!BL445*IF('01_Вводные'!$B$239="Да",MeanMinAge10+'19_Расчет_аналитики'!BL559*SUMIF(ThresholdAge10,"&lt;"&amp;'19_Расчет_аналитики'!BL559,WeightedRevAge10)-SUMIF(ThresholdAge10,"&lt;"&amp;'19_Расчет_аналитики'!BL559,WeightedMinAge10),MAX(CapacityAge10*'01_Вводные'!$B$218*'19_Расчет_аналитики'!BL559,MeanMinAge10)))</f>
        <v/>
      </c>
      <c r="BM473">
        <f>IF(OR('19_Расчет_аналитики'!BM445=0,10&lt;='01_Вводные'!$B$297),0,'19_Расчет_аналитики'!BM445*IF('01_Вводные'!$B$239="Да",MeanMinAge10+'19_Расчет_аналитики'!BM559*SUMIF(ThresholdAge10,"&lt;"&amp;'19_Расчет_аналитики'!BM559,WeightedRevAge10)-SUMIF(ThresholdAge10,"&lt;"&amp;'19_Расчет_аналитики'!BM559,WeightedMinAge10),MAX(CapacityAge10*'01_Вводные'!$B$218*'19_Расчет_аналитики'!BM559,MeanMinAge10)))</f>
        <v/>
      </c>
      <c r="BN473">
        <f>IF(OR('19_Расчет_аналитики'!BN445=0,10&lt;='01_Вводные'!$B$297),0,'19_Расчет_аналитики'!BN445*IF('01_Вводные'!$B$239="Да",MeanMinAge10+'19_Расчет_аналитики'!BN559*SUMIF(ThresholdAge10,"&lt;"&amp;'19_Расчет_аналитики'!BN559,WeightedRevAge10)-SUMIF(ThresholdAge10,"&lt;"&amp;'19_Расчет_аналитики'!BN559,WeightedMinAge10),MAX(CapacityAge10*'01_Вводные'!$B$218*'19_Расчет_аналитики'!BN559,MeanMinAge10)))</f>
        <v/>
      </c>
      <c r="BO473">
        <f>IF(OR('19_Расчет_аналитики'!BO445=0,10&lt;='01_Вводные'!$B$297),0,'19_Расчет_аналитики'!BO445*IF('01_Вводные'!$B$239="Да",MeanMinAge10+'19_Расчет_аналитики'!BO559*SUMIF(ThresholdAge10,"&lt;"&amp;'19_Расчет_аналитики'!BO559,WeightedRevAge10)-SUMIF(ThresholdAge10,"&lt;"&amp;'19_Расчет_аналитики'!BO559,WeightedMinAge10),MAX(CapacityAge10*'01_Вводные'!$B$218*'19_Расчет_аналитики'!BO559,MeanMinAge10)))</f>
        <v/>
      </c>
    </row>
    <row r="474">
      <c r="B474">
        <f>IF(OR('06_Сеть_и_дети'!B91=0,11&lt;='01_Вводные'!$B$297),0,'06_Сеть_и_дети'!B91*IF('01_Вводные'!$B$239="Да",MeanMinAge11+'19_Расчет_аналитики'!B559*SUMIF(ThresholdAge11,"&lt;"&amp;'19_Расчет_аналитики'!B559,WeightedRevAge11)-SUMIF(ThresholdAge11,"&lt;"&amp;'19_Расчет_аналитики'!B559,WeightedMinAge11),MAX(CapacityAge11*'01_Вводные'!$B$218*'19_Расчет_аналитики'!B559,MeanMinAge11)))</f>
        <v/>
      </c>
      <c r="C474">
        <f>IF(OR('06_Сеть_и_дети'!C91=0,11&lt;='01_Вводные'!$B$297),0,'06_Сеть_и_дети'!C91*IF('01_Вводные'!$B$239="Да",MeanMinAge11+'19_Расчет_аналитики'!C559*SUMIF(ThresholdAge11,"&lt;"&amp;'19_Расчет_аналитики'!C559,WeightedRevAge11)-SUMIF(ThresholdAge11,"&lt;"&amp;'19_Расчет_аналитики'!C559,WeightedMinAge11),MAX(CapacityAge11*'01_Вводные'!$B$218*'19_Расчет_аналитики'!C559,MeanMinAge11)))</f>
        <v/>
      </c>
      <c r="D474">
        <f>IF(OR('06_Сеть_и_дети'!D91=0,11&lt;='01_Вводные'!$B$297),0,'06_Сеть_и_дети'!D91*IF('01_Вводные'!$B$239="Да",MeanMinAge11+'19_Расчет_аналитики'!D559*SUMIF(ThresholdAge11,"&lt;"&amp;'19_Расчет_аналитики'!D559,WeightedRevAge11)-SUMIF(ThresholdAge11,"&lt;"&amp;'19_Расчет_аналитики'!D559,WeightedMinAge11),MAX(CapacityAge11*'01_Вводные'!$B$218*'19_Расчет_аналитики'!D559,MeanMinAge11)))</f>
        <v/>
      </c>
      <c r="E474">
        <f>IF(OR('06_Сеть_и_дети'!E91=0,11&lt;='01_Вводные'!$B$297),0,'06_Сеть_и_дети'!E91*IF('01_Вводные'!$B$239="Да",MeanMinAge11+'19_Расчет_аналитики'!E559*SUMIF(ThresholdAge11,"&lt;"&amp;'19_Расчет_аналитики'!E559,WeightedRevAge11)-SUMIF(ThresholdAge11,"&lt;"&amp;'19_Расчет_аналитики'!E559,WeightedMinAge11),MAX(CapacityAge11*'01_Вводные'!$B$218*'19_Расчет_аналитики'!E559,MeanMinAge11)))</f>
        <v/>
      </c>
      <c r="F474">
        <f>IF(OR('06_Сеть_и_дети'!F91=0,11&lt;='01_Вводные'!$B$297),0,'06_Сеть_и_дети'!F91*IF('01_Вводные'!$B$239="Да",MeanMinAge11+'19_Расчет_аналитики'!F559*SUMIF(ThresholdAge11,"&lt;"&amp;'19_Расчет_аналитики'!F559,WeightedRevAge11)-SUMIF(ThresholdAge11,"&lt;"&amp;'19_Расчет_аналитики'!F559,WeightedMinAge11),MAX(CapacityAge11*'01_Вводные'!$B$218*'19_Расчет_аналитики'!F559,MeanMinAge11)))</f>
        <v/>
      </c>
      <c r="G474">
        <f>IF(OR('06_Сеть_и_дети'!G91=0,11&lt;='01_Вводные'!$B$297),0,'06_Сеть_и_дети'!G91*IF('01_Вводные'!$B$239="Да",MeanMinAge11+'19_Расчет_аналитики'!G559*SUMIF(ThresholdAge11,"&lt;"&amp;'19_Расчет_аналитики'!G559,WeightedRevAge11)-SUMIF(ThresholdAge11,"&lt;"&amp;'19_Расчет_аналитики'!G559,WeightedMinAge11),MAX(CapacityAge11*'01_Вводные'!$B$218*'19_Расчет_аналитики'!G559,MeanMinAge11)))</f>
        <v/>
      </c>
      <c r="H474">
        <f>IF(OR('06_Сеть_и_дети'!H91=0,11&lt;='01_Вводные'!$B$297),0,'06_Сеть_и_дети'!H91*IF('01_Вводные'!$B$239="Да",MeanMinAge11+'19_Расчет_аналитики'!H559*SUMIF(ThresholdAge11,"&lt;"&amp;'19_Расчет_аналитики'!H559,WeightedRevAge11)-SUMIF(ThresholdAge11,"&lt;"&amp;'19_Расчет_аналитики'!H559,WeightedMinAge11),MAX(CapacityAge11*'01_Вводные'!$B$218*'19_Расчет_аналитики'!H559,MeanMinAge11)))</f>
        <v/>
      </c>
      <c r="I474">
        <f>IF(OR('06_Сеть_и_дети'!I91=0,11&lt;='01_Вводные'!$B$297),0,'06_Сеть_и_дети'!I91*IF('01_Вводные'!$B$239="Да",MeanMinAge11+'19_Расчет_аналитики'!I559*SUMIF(ThresholdAge11,"&lt;"&amp;'19_Расчет_аналитики'!I559,WeightedRevAge11)-SUMIF(ThresholdAge11,"&lt;"&amp;'19_Расчет_аналитики'!I559,WeightedMinAge11),MAX(CapacityAge11*'01_Вводные'!$B$218*'19_Расчет_аналитики'!I559,MeanMinAge11)))</f>
        <v/>
      </c>
      <c r="J474">
        <f>IF(OR('06_Сеть_и_дети'!J91=0,11&lt;='01_Вводные'!$B$297),0,'06_Сеть_и_дети'!J91*IF('01_Вводные'!$B$239="Да",MeanMinAge11+'19_Расчет_аналитики'!J559*SUMIF(ThresholdAge11,"&lt;"&amp;'19_Расчет_аналитики'!J559,WeightedRevAge11)-SUMIF(ThresholdAge11,"&lt;"&amp;'19_Расчет_аналитики'!J559,WeightedMinAge11),MAX(CapacityAge11*'01_Вводные'!$B$218*'19_Расчет_аналитики'!J559,MeanMinAge11)))</f>
        <v/>
      </c>
      <c r="K474">
        <f>IF(OR('06_Сеть_и_дети'!K91=0,11&lt;='01_Вводные'!$B$297),0,'06_Сеть_и_дети'!K91*IF('01_Вводные'!$B$239="Да",MeanMinAge11+'19_Расчет_аналитики'!K559*SUMIF(ThresholdAge11,"&lt;"&amp;'19_Расчет_аналитики'!K559,WeightedRevAge11)-SUMIF(ThresholdAge11,"&lt;"&amp;'19_Расчет_аналитики'!K559,WeightedMinAge11),MAX(CapacityAge11*'01_Вводные'!$B$218*'19_Расчет_аналитики'!K559,MeanMinAge11)))</f>
        <v/>
      </c>
      <c r="L474">
        <f>IF(OR('19_Расчет_аналитики'!L446=0,11&lt;='01_Вводные'!$B$297),0,'19_Расчет_аналитики'!L446*IF('01_Вводные'!$B$239="Да",MeanMinAge11+'19_Расчет_аналитики'!L559*SUMIF(ThresholdAge11,"&lt;"&amp;'19_Расчет_аналитики'!L559,WeightedRevAge11)-SUMIF(ThresholdAge11,"&lt;"&amp;'19_Расчет_аналитики'!L559,WeightedMinAge11),MAX(CapacityAge11*'01_Вводные'!$B$218*'19_Расчет_аналитики'!L559,MeanMinAge11)))</f>
        <v/>
      </c>
      <c r="M474">
        <f>IF(OR('19_Расчет_аналитики'!M446=0,11&lt;='01_Вводные'!$B$297),0,'19_Расчет_аналитики'!M446*IF('01_Вводные'!$B$239="Да",MeanMinAge11+'19_Расчет_аналитики'!M559*SUMIF(ThresholdAge11,"&lt;"&amp;'19_Расчет_аналитики'!M559,WeightedRevAge11)-SUMIF(ThresholdAge11,"&lt;"&amp;'19_Расчет_аналитики'!M559,WeightedMinAge11),MAX(CapacityAge11*'01_Вводные'!$B$218*'19_Расчет_аналитики'!M559,MeanMinAge11)))</f>
        <v/>
      </c>
      <c r="N474">
        <f>IF(OR('19_Расчет_аналитики'!N446=0,11&lt;='01_Вводные'!$B$297),0,'19_Расчет_аналитики'!N446*IF('01_Вводные'!$B$239="Да",MeanMinAge11+'19_Расчет_аналитики'!N559*SUMIF(ThresholdAge11,"&lt;"&amp;'19_Расчет_аналитики'!N559,WeightedRevAge11)-SUMIF(ThresholdAge11,"&lt;"&amp;'19_Расчет_аналитики'!N559,WeightedMinAge11),MAX(CapacityAge11*'01_Вводные'!$B$218*'19_Расчет_аналитики'!N559,MeanMinAge11)))</f>
        <v/>
      </c>
      <c r="O474">
        <f>IF(OR('19_Расчет_аналитики'!O446=0,11&lt;='01_Вводные'!$B$297),0,'19_Расчет_аналитики'!O446*IF('01_Вводные'!$B$239="Да",MeanMinAge11+'19_Расчет_аналитики'!O559*SUMIF(ThresholdAge11,"&lt;"&amp;'19_Расчет_аналитики'!O559,WeightedRevAge11)-SUMIF(ThresholdAge11,"&lt;"&amp;'19_Расчет_аналитики'!O559,WeightedMinAge11),MAX(CapacityAge11*'01_Вводные'!$B$218*'19_Расчет_аналитики'!O559,MeanMinAge11)))</f>
        <v/>
      </c>
      <c r="P474">
        <f>IF(OR('19_Расчет_аналитики'!P446=0,11&lt;='01_Вводные'!$B$297),0,'19_Расчет_аналитики'!P446*IF('01_Вводные'!$B$239="Да",MeanMinAge11+'19_Расчет_аналитики'!P559*SUMIF(ThresholdAge11,"&lt;"&amp;'19_Расчет_аналитики'!P559,WeightedRevAge11)-SUMIF(ThresholdAge11,"&lt;"&amp;'19_Расчет_аналитики'!P559,WeightedMinAge11),MAX(CapacityAge11*'01_Вводные'!$B$218*'19_Расчет_аналитики'!P559,MeanMinAge11)))</f>
        <v/>
      </c>
      <c r="Q474">
        <f>IF(OR('19_Расчет_аналитики'!Q446=0,11&lt;='01_Вводные'!$B$297),0,'19_Расчет_аналитики'!Q446*IF('01_Вводные'!$B$239="Да",MeanMinAge11+'19_Расчет_аналитики'!Q559*SUMIF(ThresholdAge11,"&lt;"&amp;'19_Расчет_аналитики'!Q559,WeightedRevAge11)-SUMIF(ThresholdAge11,"&lt;"&amp;'19_Расчет_аналитики'!Q559,WeightedMinAge11),MAX(CapacityAge11*'01_Вводные'!$B$218*'19_Расчет_аналитики'!Q559,MeanMinAge11)))</f>
        <v/>
      </c>
      <c r="R474">
        <f>IF(OR('19_Расчет_аналитики'!R446=0,11&lt;='01_Вводные'!$B$297),0,'19_Расчет_аналитики'!R446*IF('01_Вводные'!$B$239="Да",MeanMinAge11+'19_Расчет_аналитики'!R559*SUMIF(ThresholdAge11,"&lt;"&amp;'19_Расчет_аналитики'!R559,WeightedRevAge11)-SUMIF(ThresholdAge11,"&lt;"&amp;'19_Расчет_аналитики'!R559,WeightedMinAge11),MAX(CapacityAge11*'01_Вводные'!$B$218*'19_Расчет_аналитики'!R559,MeanMinAge11)))</f>
        <v/>
      </c>
      <c r="S474">
        <f>IF(OR('19_Расчет_аналитики'!S446=0,11&lt;='01_Вводные'!$B$297),0,'19_Расчет_аналитики'!S446*IF('01_Вводные'!$B$239="Да",MeanMinAge11+'19_Расчет_аналитики'!S559*SUMIF(ThresholdAge11,"&lt;"&amp;'19_Расчет_аналитики'!S559,WeightedRevAge11)-SUMIF(ThresholdAge11,"&lt;"&amp;'19_Расчет_аналитики'!S559,WeightedMinAge11),MAX(CapacityAge11*'01_Вводные'!$B$218*'19_Расчет_аналитики'!S559,MeanMinAge11)))</f>
        <v/>
      </c>
      <c r="T474">
        <f>IF(OR('19_Расчет_аналитики'!T446=0,11&lt;='01_Вводные'!$B$297),0,'19_Расчет_аналитики'!T446*IF('01_Вводные'!$B$239="Да",MeanMinAge11+'19_Расчет_аналитики'!T559*SUMIF(ThresholdAge11,"&lt;"&amp;'19_Расчет_аналитики'!T559,WeightedRevAge11)-SUMIF(ThresholdAge11,"&lt;"&amp;'19_Расчет_аналитики'!T559,WeightedMinAge11),MAX(CapacityAge11*'01_Вводные'!$B$218*'19_Расчет_аналитики'!T559,MeanMinAge11)))</f>
        <v/>
      </c>
      <c r="U474">
        <f>IF(OR('19_Расчет_аналитики'!U446=0,11&lt;='01_Вводные'!$B$297),0,'19_Расчет_аналитики'!U446*IF('01_Вводные'!$B$239="Да",MeanMinAge11+'19_Расчет_аналитики'!U559*SUMIF(ThresholdAge11,"&lt;"&amp;'19_Расчет_аналитики'!U559,WeightedRevAge11)-SUMIF(ThresholdAge11,"&lt;"&amp;'19_Расчет_аналитики'!U559,WeightedMinAge11),MAX(CapacityAge11*'01_Вводные'!$B$218*'19_Расчет_аналитики'!U559,MeanMinAge11)))</f>
        <v/>
      </c>
      <c r="V474">
        <f>IF(OR('19_Расчет_аналитики'!V446=0,11&lt;='01_Вводные'!$B$297),0,'19_Расчет_аналитики'!V446*IF('01_Вводные'!$B$239="Да",MeanMinAge11+'19_Расчет_аналитики'!V559*SUMIF(ThresholdAge11,"&lt;"&amp;'19_Расчет_аналитики'!V559,WeightedRevAge11)-SUMIF(ThresholdAge11,"&lt;"&amp;'19_Расчет_аналитики'!V559,WeightedMinAge11),MAX(CapacityAge11*'01_Вводные'!$B$218*'19_Расчет_аналитики'!V559,MeanMinAge11)))</f>
        <v/>
      </c>
      <c r="W474">
        <f>IF(OR('19_Расчет_аналитики'!W446=0,11&lt;='01_Вводные'!$B$297),0,'19_Расчет_аналитики'!W446*IF('01_Вводные'!$B$239="Да",MeanMinAge11+'19_Расчет_аналитики'!W559*SUMIF(ThresholdAge11,"&lt;"&amp;'19_Расчет_аналитики'!W559,WeightedRevAge11)-SUMIF(ThresholdAge11,"&lt;"&amp;'19_Расчет_аналитики'!W559,WeightedMinAge11),MAX(CapacityAge11*'01_Вводные'!$B$218*'19_Расчет_аналитики'!W559,MeanMinAge11)))</f>
        <v/>
      </c>
      <c r="X474">
        <f>IF(OR('19_Расчет_аналитики'!X446=0,11&lt;='01_Вводные'!$B$297),0,'19_Расчет_аналитики'!X446*IF('01_Вводные'!$B$239="Да",MeanMinAge11+'19_Расчет_аналитики'!X559*SUMIF(ThresholdAge11,"&lt;"&amp;'19_Расчет_аналитики'!X559,WeightedRevAge11)-SUMIF(ThresholdAge11,"&lt;"&amp;'19_Расчет_аналитики'!X559,WeightedMinAge11),MAX(CapacityAge11*'01_Вводные'!$B$218*'19_Расчет_аналитики'!X559,MeanMinAge11)))</f>
        <v/>
      </c>
      <c r="Y474">
        <f>IF(OR('19_Расчет_аналитики'!Y446=0,11&lt;='01_Вводные'!$B$297),0,'19_Расчет_аналитики'!Y446*IF('01_Вводные'!$B$239="Да",MeanMinAge11+'19_Расчет_аналитики'!Y559*SUMIF(ThresholdAge11,"&lt;"&amp;'19_Расчет_аналитики'!Y559,WeightedRevAge11)-SUMIF(ThresholdAge11,"&lt;"&amp;'19_Расчет_аналитики'!Y559,WeightedMinAge11),MAX(CapacityAge11*'01_Вводные'!$B$218*'19_Расчет_аналитики'!Y559,MeanMinAge11)))</f>
        <v/>
      </c>
      <c r="Z474">
        <f>IF(OR('19_Расчет_аналитики'!Z446=0,11&lt;='01_Вводные'!$B$297),0,'19_Расчет_аналитики'!Z446*IF('01_Вводные'!$B$239="Да",MeanMinAge11+'19_Расчет_аналитики'!Z559*SUMIF(ThresholdAge11,"&lt;"&amp;'19_Расчет_аналитики'!Z559,WeightedRevAge11)-SUMIF(ThresholdAge11,"&lt;"&amp;'19_Расчет_аналитики'!Z559,WeightedMinAge11),MAX(CapacityAge11*'01_Вводные'!$B$218*'19_Расчет_аналитики'!Z559,MeanMinAge11)))</f>
        <v/>
      </c>
      <c r="AA474">
        <f>IF(OR('19_Расчет_аналитики'!AA446=0,11&lt;='01_Вводные'!$B$297),0,'19_Расчет_аналитики'!AA446*IF('01_Вводные'!$B$239="Да",MeanMinAge11+'19_Расчет_аналитики'!AA559*SUMIF(ThresholdAge11,"&lt;"&amp;'19_Расчет_аналитики'!AA559,WeightedRevAge11)-SUMIF(ThresholdAge11,"&lt;"&amp;'19_Расчет_аналитики'!AA559,WeightedMinAge11),MAX(CapacityAge11*'01_Вводные'!$B$218*'19_Расчет_аналитики'!AA559,MeanMinAge11)))</f>
        <v/>
      </c>
      <c r="AB474">
        <f>IF(OR('19_Расчет_аналитики'!AB446=0,11&lt;='01_Вводные'!$B$297),0,'19_Расчет_аналитики'!AB446*IF('01_Вводные'!$B$239="Да",MeanMinAge11+'19_Расчет_аналитики'!AB559*SUMIF(ThresholdAge11,"&lt;"&amp;'19_Расчет_аналитики'!AB559,WeightedRevAge11)-SUMIF(ThresholdAge11,"&lt;"&amp;'19_Расчет_аналитики'!AB559,WeightedMinAge11),MAX(CapacityAge11*'01_Вводные'!$B$218*'19_Расчет_аналитики'!AB559,MeanMinAge11)))</f>
        <v/>
      </c>
      <c r="AC474">
        <f>IF(OR('19_Расчет_аналитики'!AC446=0,11&lt;='01_Вводные'!$B$297),0,'19_Расчет_аналитики'!AC446*IF('01_Вводные'!$B$239="Да",MeanMinAge11+'19_Расчет_аналитики'!AC559*SUMIF(ThresholdAge11,"&lt;"&amp;'19_Расчет_аналитики'!AC559,WeightedRevAge11)-SUMIF(ThresholdAge11,"&lt;"&amp;'19_Расчет_аналитики'!AC559,WeightedMinAge11),MAX(CapacityAge11*'01_Вводные'!$B$218*'19_Расчет_аналитики'!AC559,MeanMinAge11)))</f>
        <v/>
      </c>
      <c r="AD474">
        <f>IF(OR('19_Расчет_аналитики'!AD446=0,11&lt;='01_Вводные'!$B$297),0,'19_Расчет_аналитики'!AD446*IF('01_Вводные'!$B$239="Да",MeanMinAge11+'19_Расчет_аналитики'!AD559*SUMIF(ThresholdAge11,"&lt;"&amp;'19_Расчет_аналитики'!AD559,WeightedRevAge11)-SUMIF(ThresholdAge11,"&lt;"&amp;'19_Расчет_аналитики'!AD559,WeightedMinAge11),MAX(CapacityAge11*'01_Вводные'!$B$218*'19_Расчет_аналитики'!AD559,MeanMinAge11)))</f>
        <v/>
      </c>
      <c r="AE474">
        <f>IF(OR('19_Расчет_аналитики'!AE446=0,11&lt;='01_Вводные'!$B$297),0,'19_Расчет_аналитики'!AE446*IF('01_Вводные'!$B$239="Да",MeanMinAge11+'19_Расчет_аналитики'!AE559*SUMIF(ThresholdAge11,"&lt;"&amp;'19_Расчет_аналитики'!AE559,WeightedRevAge11)-SUMIF(ThresholdAge11,"&lt;"&amp;'19_Расчет_аналитики'!AE559,WeightedMinAge11),MAX(CapacityAge11*'01_Вводные'!$B$218*'19_Расчет_аналитики'!AE559,MeanMinAge11)))</f>
        <v/>
      </c>
      <c r="AF474">
        <f>IF(OR('19_Расчет_аналитики'!AF446=0,11&lt;='01_Вводные'!$B$297),0,'19_Расчет_аналитики'!AF446*IF('01_Вводные'!$B$239="Да",MeanMinAge11+'19_Расчет_аналитики'!AF559*SUMIF(ThresholdAge11,"&lt;"&amp;'19_Расчет_аналитики'!AF559,WeightedRevAge11)-SUMIF(ThresholdAge11,"&lt;"&amp;'19_Расчет_аналитики'!AF559,WeightedMinAge11),MAX(CapacityAge11*'01_Вводные'!$B$218*'19_Расчет_аналитики'!AF559,MeanMinAge11)))</f>
        <v/>
      </c>
      <c r="AG474">
        <f>IF(OR('19_Расчет_аналитики'!AG446=0,11&lt;='01_Вводные'!$B$297),0,'19_Расчет_аналитики'!AG446*IF('01_Вводные'!$B$239="Да",MeanMinAge11+'19_Расчет_аналитики'!AG559*SUMIF(ThresholdAge11,"&lt;"&amp;'19_Расчет_аналитики'!AG559,WeightedRevAge11)-SUMIF(ThresholdAge11,"&lt;"&amp;'19_Расчет_аналитики'!AG559,WeightedMinAge11),MAX(CapacityAge11*'01_Вводные'!$B$218*'19_Расчет_аналитики'!AG559,MeanMinAge11)))</f>
        <v/>
      </c>
      <c r="AH474">
        <f>IF(OR('19_Расчет_аналитики'!AH446=0,11&lt;='01_Вводные'!$B$297),0,'19_Расчет_аналитики'!AH446*IF('01_Вводные'!$B$239="Да",MeanMinAge11+'19_Расчет_аналитики'!AH559*SUMIF(ThresholdAge11,"&lt;"&amp;'19_Расчет_аналитики'!AH559,WeightedRevAge11)-SUMIF(ThresholdAge11,"&lt;"&amp;'19_Расчет_аналитики'!AH559,WeightedMinAge11),MAX(CapacityAge11*'01_Вводные'!$B$218*'19_Расчет_аналитики'!AH559,MeanMinAge11)))</f>
        <v/>
      </c>
      <c r="AI474">
        <f>IF(OR('19_Расчет_аналитики'!AI446=0,11&lt;='01_Вводные'!$B$297),0,'19_Расчет_аналитики'!AI446*IF('01_Вводные'!$B$239="Да",MeanMinAge11+'19_Расчет_аналитики'!AI559*SUMIF(ThresholdAge11,"&lt;"&amp;'19_Расчет_аналитики'!AI559,WeightedRevAge11)-SUMIF(ThresholdAge11,"&lt;"&amp;'19_Расчет_аналитики'!AI559,WeightedMinAge11),MAX(CapacityAge11*'01_Вводные'!$B$218*'19_Расчет_аналитики'!AI559,MeanMinAge11)))</f>
        <v/>
      </c>
      <c r="AJ474">
        <f>IF(OR('19_Расчет_аналитики'!AJ446=0,11&lt;='01_Вводные'!$B$297),0,'19_Расчет_аналитики'!AJ446*IF('01_Вводные'!$B$239="Да",MeanMinAge11+'19_Расчет_аналитики'!AJ559*SUMIF(ThresholdAge11,"&lt;"&amp;'19_Расчет_аналитики'!AJ559,WeightedRevAge11)-SUMIF(ThresholdAge11,"&lt;"&amp;'19_Расчет_аналитики'!AJ559,WeightedMinAge11),MAX(CapacityAge11*'01_Вводные'!$B$218*'19_Расчет_аналитики'!AJ559,MeanMinAge11)))</f>
        <v/>
      </c>
      <c r="AK474">
        <f>IF(OR('19_Расчет_аналитики'!AK446=0,11&lt;='01_Вводные'!$B$297),0,'19_Расчет_аналитики'!AK446*IF('01_Вводные'!$B$239="Да",MeanMinAge11+'19_Расчет_аналитики'!AK559*SUMIF(ThresholdAge11,"&lt;"&amp;'19_Расчет_аналитики'!AK559,WeightedRevAge11)-SUMIF(ThresholdAge11,"&lt;"&amp;'19_Расчет_аналитики'!AK559,WeightedMinAge11),MAX(CapacityAge11*'01_Вводные'!$B$218*'19_Расчет_аналитики'!AK559,MeanMinAge11)))</f>
        <v/>
      </c>
      <c r="AL474">
        <f>IF(OR('19_Расчет_аналитики'!AL446=0,11&lt;='01_Вводные'!$B$297),0,'19_Расчет_аналитики'!AL446*IF('01_Вводные'!$B$239="Да",MeanMinAge11+'19_Расчет_аналитики'!AL559*SUMIF(ThresholdAge11,"&lt;"&amp;'19_Расчет_аналитики'!AL559,WeightedRevAge11)-SUMIF(ThresholdAge11,"&lt;"&amp;'19_Расчет_аналитики'!AL559,WeightedMinAge11),MAX(CapacityAge11*'01_Вводные'!$B$218*'19_Расчет_аналитики'!AL559,MeanMinAge11)))</f>
        <v/>
      </c>
      <c r="AM474">
        <f>IF(OR('19_Расчет_аналитики'!AM446=0,11&lt;='01_Вводные'!$B$297),0,'19_Расчет_аналитики'!AM446*IF('01_Вводные'!$B$239="Да",MeanMinAge11+'19_Расчет_аналитики'!AM559*SUMIF(ThresholdAge11,"&lt;"&amp;'19_Расчет_аналитики'!AM559,WeightedRevAge11)-SUMIF(ThresholdAge11,"&lt;"&amp;'19_Расчет_аналитики'!AM559,WeightedMinAge11),MAX(CapacityAge11*'01_Вводные'!$B$218*'19_Расчет_аналитики'!AM559,MeanMinAge11)))</f>
        <v/>
      </c>
      <c r="AN474">
        <f>IF(OR('19_Расчет_аналитики'!AN446=0,11&lt;='01_Вводные'!$B$297),0,'19_Расчет_аналитики'!AN446*IF('01_Вводные'!$B$239="Да",MeanMinAge11+'19_Расчет_аналитики'!AN559*SUMIF(ThresholdAge11,"&lt;"&amp;'19_Расчет_аналитики'!AN559,WeightedRevAge11)-SUMIF(ThresholdAge11,"&lt;"&amp;'19_Расчет_аналитики'!AN559,WeightedMinAge11),MAX(CapacityAge11*'01_Вводные'!$B$218*'19_Расчет_аналитики'!AN559,MeanMinAge11)))</f>
        <v/>
      </c>
      <c r="AO474">
        <f>IF(OR('19_Расчет_аналитики'!AO446=0,11&lt;='01_Вводные'!$B$297),0,'19_Расчет_аналитики'!AO446*IF('01_Вводные'!$B$239="Да",MeanMinAge11+'19_Расчет_аналитики'!AO559*SUMIF(ThresholdAge11,"&lt;"&amp;'19_Расчет_аналитики'!AO559,WeightedRevAge11)-SUMIF(ThresholdAge11,"&lt;"&amp;'19_Расчет_аналитики'!AO559,WeightedMinAge11),MAX(CapacityAge11*'01_Вводные'!$B$218*'19_Расчет_аналитики'!AO559,MeanMinAge11)))</f>
        <v/>
      </c>
      <c r="AP474">
        <f>IF(OR('19_Расчет_аналитики'!AP446=0,11&lt;='01_Вводные'!$B$297),0,'19_Расчет_аналитики'!AP446*IF('01_Вводные'!$B$239="Да",MeanMinAge11+'19_Расчет_аналитики'!AP559*SUMIF(ThresholdAge11,"&lt;"&amp;'19_Расчет_аналитики'!AP559,WeightedRevAge11)-SUMIF(ThresholdAge11,"&lt;"&amp;'19_Расчет_аналитики'!AP559,WeightedMinAge11),MAX(CapacityAge11*'01_Вводные'!$B$218*'19_Расчет_аналитики'!AP559,MeanMinAge11)))</f>
        <v/>
      </c>
      <c r="AQ474">
        <f>IF(OR('19_Расчет_аналитики'!AQ446=0,11&lt;='01_Вводные'!$B$297),0,'19_Расчет_аналитики'!AQ446*IF('01_Вводные'!$B$239="Да",MeanMinAge11+'19_Расчет_аналитики'!AQ559*SUMIF(ThresholdAge11,"&lt;"&amp;'19_Расчет_аналитики'!AQ559,WeightedRevAge11)-SUMIF(ThresholdAge11,"&lt;"&amp;'19_Расчет_аналитики'!AQ559,WeightedMinAge11),MAX(CapacityAge11*'01_Вводные'!$B$218*'19_Расчет_аналитики'!AQ559,MeanMinAge11)))</f>
        <v/>
      </c>
      <c r="AR474">
        <f>IF(OR('19_Расчет_аналитики'!AR446=0,11&lt;='01_Вводные'!$B$297),0,'19_Расчет_аналитики'!AR446*IF('01_Вводные'!$B$239="Да",MeanMinAge11+'19_Расчет_аналитики'!AR559*SUMIF(ThresholdAge11,"&lt;"&amp;'19_Расчет_аналитики'!AR559,WeightedRevAge11)-SUMIF(ThresholdAge11,"&lt;"&amp;'19_Расчет_аналитики'!AR559,WeightedMinAge11),MAX(CapacityAge11*'01_Вводные'!$B$218*'19_Расчет_аналитики'!AR559,MeanMinAge11)))</f>
        <v/>
      </c>
      <c r="AS474">
        <f>IF(OR('19_Расчет_аналитики'!AS446=0,11&lt;='01_Вводные'!$B$297),0,'19_Расчет_аналитики'!AS446*IF('01_Вводные'!$B$239="Да",MeanMinAge11+'19_Расчет_аналитики'!AS559*SUMIF(ThresholdAge11,"&lt;"&amp;'19_Расчет_аналитики'!AS559,WeightedRevAge11)-SUMIF(ThresholdAge11,"&lt;"&amp;'19_Расчет_аналитики'!AS559,WeightedMinAge11),MAX(CapacityAge11*'01_Вводные'!$B$218*'19_Расчет_аналитики'!AS559,MeanMinAge11)))</f>
        <v/>
      </c>
      <c r="AT474">
        <f>IF(OR('19_Расчет_аналитики'!AT446=0,11&lt;='01_Вводные'!$B$297),0,'19_Расчет_аналитики'!AT446*IF('01_Вводные'!$B$239="Да",MeanMinAge11+'19_Расчет_аналитики'!AT559*SUMIF(ThresholdAge11,"&lt;"&amp;'19_Расчет_аналитики'!AT559,WeightedRevAge11)-SUMIF(ThresholdAge11,"&lt;"&amp;'19_Расчет_аналитики'!AT559,WeightedMinAge11),MAX(CapacityAge11*'01_Вводные'!$B$218*'19_Расчет_аналитики'!AT559,MeanMinAge11)))</f>
        <v/>
      </c>
      <c r="AU474">
        <f>IF(OR('19_Расчет_аналитики'!AU446=0,11&lt;='01_Вводные'!$B$297),0,'19_Расчет_аналитики'!AU446*IF('01_Вводные'!$B$239="Да",MeanMinAge11+'19_Расчет_аналитики'!AU559*SUMIF(ThresholdAge11,"&lt;"&amp;'19_Расчет_аналитики'!AU559,WeightedRevAge11)-SUMIF(ThresholdAge11,"&lt;"&amp;'19_Расчет_аналитики'!AU559,WeightedMinAge11),MAX(CapacityAge11*'01_Вводные'!$B$218*'19_Расчет_аналитики'!AU559,MeanMinAge11)))</f>
        <v/>
      </c>
      <c r="AV474">
        <f>IF(OR('19_Расчет_аналитики'!AV446=0,11&lt;='01_Вводные'!$B$297),0,'19_Расчет_аналитики'!AV446*IF('01_Вводные'!$B$239="Да",MeanMinAge11+'19_Расчет_аналитики'!AV559*SUMIF(ThresholdAge11,"&lt;"&amp;'19_Расчет_аналитики'!AV559,WeightedRevAge11)-SUMIF(ThresholdAge11,"&lt;"&amp;'19_Расчет_аналитики'!AV559,WeightedMinAge11),MAX(CapacityAge11*'01_Вводные'!$B$218*'19_Расчет_аналитики'!AV559,MeanMinAge11)))</f>
        <v/>
      </c>
      <c r="AW474">
        <f>IF(OR('19_Расчет_аналитики'!AW446=0,11&lt;='01_Вводные'!$B$297),0,'19_Расчет_аналитики'!AW446*IF('01_Вводные'!$B$239="Да",MeanMinAge11+'19_Расчет_аналитики'!AW559*SUMIF(ThresholdAge11,"&lt;"&amp;'19_Расчет_аналитики'!AW559,WeightedRevAge11)-SUMIF(ThresholdAge11,"&lt;"&amp;'19_Расчет_аналитики'!AW559,WeightedMinAge11),MAX(CapacityAge11*'01_Вводные'!$B$218*'19_Расчет_аналитики'!AW559,MeanMinAge11)))</f>
        <v/>
      </c>
      <c r="AX474">
        <f>IF(OR('19_Расчет_аналитики'!AX446=0,11&lt;='01_Вводные'!$B$297),0,'19_Расчет_аналитики'!AX446*IF('01_Вводные'!$B$239="Да",MeanMinAge11+'19_Расчет_аналитики'!AX559*SUMIF(ThresholdAge11,"&lt;"&amp;'19_Расчет_аналитики'!AX559,WeightedRevAge11)-SUMIF(ThresholdAge11,"&lt;"&amp;'19_Расчет_аналитики'!AX559,WeightedMinAge11),MAX(CapacityAge11*'01_Вводные'!$B$218*'19_Расчет_аналитики'!AX559,MeanMinAge11)))</f>
        <v/>
      </c>
      <c r="AY474">
        <f>IF(OR('19_Расчет_аналитики'!AY446=0,11&lt;='01_Вводные'!$B$297),0,'19_Расчет_аналитики'!AY446*IF('01_Вводные'!$B$239="Да",MeanMinAge11+'19_Расчет_аналитики'!AY559*SUMIF(ThresholdAge11,"&lt;"&amp;'19_Расчет_аналитики'!AY559,WeightedRevAge11)-SUMIF(ThresholdAge11,"&lt;"&amp;'19_Расчет_аналитики'!AY559,WeightedMinAge11),MAX(CapacityAge11*'01_Вводные'!$B$218*'19_Расчет_аналитики'!AY559,MeanMinAge11)))</f>
        <v/>
      </c>
      <c r="AZ474">
        <f>IF(OR('19_Расчет_аналитики'!AZ446=0,11&lt;='01_Вводные'!$B$297),0,'19_Расчет_аналитики'!AZ446*IF('01_Вводные'!$B$239="Да",MeanMinAge11+'19_Расчет_аналитики'!AZ559*SUMIF(ThresholdAge11,"&lt;"&amp;'19_Расчет_аналитики'!AZ559,WeightedRevAge11)-SUMIF(ThresholdAge11,"&lt;"&amp;'19_Расчет_аналитики'!AZ559,WeightedMinAge11),MAX(CapacityAge11*'01_Вводные'!$B$218*'19_Расчет_аналитики'!AZ559,MeanMinAge11)))</f>
        <v/>
      </c>
      <c r="BA474">
        <f>IF(OR('19_Расчет_аналитики'!BA446=0,11&lt;='01_Вводные'!$B$297),0,'19_Расчет_аналитики'!BA446*IF('01_Вводные'!$B$239="Да",MeanMinAge11+'19_Расчет_аналитики'!BA559*SUMIF(ThresholdAge11,"&lt;"&amp;'19_Расчет_аналитики'!BA559,WeightedRevAge11)-SUMIF(ThresholdAge11,"&lt;"&amp;'19_Расчет_аналитики'!BA559,WeightedMinAge11),MAX(CapacityAge11*'01_Вводные'!$B$218*'19_Расчет_аналитики'!BA559,MeanMinAge11)))</f>
        <v/>
      </c>
      <c r="BB474">
        <f>IF(OR('19_Расчет_аналитики'!BB446=0,11&lt;='01_Вводные'!$B$297),0,'19_Расчет_аналитики'!BB446*IF('01_Вводные'!$B$239="Да",MeanMinAge11+'19_Расчет_аналитики'!BB559*SUMIF(ThresholdAge11,"&lt;"&amp;'19_Расчет_аналитики'!BB559,WeightedRevAge11)-SUMIF(ThresholdAge11,"&lt;"&amp;'19_Расчет_аналитики'!BB559,WeightedMinAge11),MAX(CapacityAge11*'01_Вводные'!$B$218*'19_Расчет_аналитики'!BB559,MeanMinAge11)))</f>
        <v/>
      </c>
      <c r="BC474">
        <f>IF(OR('19_Расчет_аналитики'!BC446=0,11&lt;='01_Вводные'!$B$297),0,'19_Расчет_аналитики'!BC446*IF('01_Вводные'!$B$239="Да",MeanMinAge11+'19_Расчет_аналитики'!BC559*SUMIF(ThresholdAge11,"&lt;"&amp;'19_Расчет_аналитики'!BC559,WeightedRevAge11)-SUMIF(ThresholdAge11,"&lt;"&amp;'19_Расчет_аналитики'!BC559,WeightedMinAge11),MAX(CapacityAge11*'01_Вводные'!$B$218*'19_Расчет_аналитики'!BC559,MeanMinAge11)))</f>
        <v/>
      </c>
      <c r="BD474">
        <f>IF(OR('19_Расчет_аналитики'!BD446=0,11&lt;='01_Вводные'!$B$297),0,'19_Расчет_аналитики'!BD446*IF('01_Вводные'!$B$239="Да",MeanMinAge11+'19_Расчет_аналитики'!BD559*SUMIF(ThresholdAge11,"&lt;"&amp;'19_Расчет_аналитики'!BD559,WeightedRevAge11)-SUMIF(ThresholdAge11,"&lt;"&amp;'19_Расчет_аналитики'!BD559,WeightedMinAge11),MAX(CapacityAge11*'01_Вводные'!$B$218*'19_Расчет_аналитики'!BD559,MeanMinAge11)))</f>
        <v/>
      </c>
      <c r="BE474">
        <f>IF(OR('19_Расчет_аналитики'!BE446=0,11&lt;='01_Вводные'!$B$297),0,'19_Расчет_аналитики'!BE446*IF('01_Вводные'!$B$239="Да",MeanMinAge11+'19_Расчет_аналитики'!BE559*SUMIF(ThresholdAge11,"&lt;"&amp;'19_Расчет_аналитики'!BE559,WeightedRevAge11)-SUMIF(ThresholdAge11,"&lt;"&amp;'19_Расчет_аналитики'!BE559,WeightedMinAge11),MAX(CapacityAge11*'01_Вводные'!$B$218*'19_Расчет_аналитики'!BE559,MeanMinAge11)))</f>
        <v/>
      </c>
      <c r="BF474">
        <f>IF(OR('19_Расчет_аналитики'!BF446=0,11&lt;='01_Вводные'!$B$297),0,'19_Расчет_аналитики'!BF446*IF('01_Вводные'!$B$239="Да",MeanMinAge11+'19_Расчет_аналитики'!BF559*SUMIF(ThresholdAge11,"&lt;"&amp;'19_Расчет_аналитики'!BF559,WeightedRevAge11)-SUMIF(ThresholdAge11,"&lt;"&amp;'19_Расчет_аналитики'!BF559,WeightedMinAge11),MAX(CapacityAge11*'01_Вводные'!$B$218*'19_Расчет_аналитики'!BF559,MeanMinAge11)))</f>
        <v/>
      </c>
      <c r="BG474">
        <f>IF(OR('19_Расчет_аналитики'!BG446=0,11&lt;='01_Вводные'!$B$297),0,'19_Расчет_аналитики'!BG446*IF('01_Вводные'!$B$239="Да",MeanMinAge11+'19_Расчет_аналитики'!BG559*SUMIF(ThresholdAge11,"&lt;"&amp;'19_Расчет_аналитики'!BG559,WeightedRevAge11)-SUMIF(ThresholdAge11,"&lt;"&amp;'19_Расчет_аналитики'!BG559,WeightedMinAge11),MAX(CapacityAge11*'01_Вводные'!$B$218*'19_Расчет_аналитики'!BG559,MeanMinAge11)))</f>
        <v/>
      </c>
      <c r="BH474">
        <f>IF(OR('19_Расчет_аналитики'!BH446=0,11&lt;='01_Вводные'!$B$297),0,'19_Расчет_аналитики'!BH446*IF('01_Вводные'!$B$239="Да",MeanMinAge11+'19_Расчет_аналитики'!BH559*SUMIF(ThresholdAge11,"&lt;"&amp;'19_Расчет_аналитики'!BH559,WeightedRevAge11)-SUMIF(ThresholdAge11,"&lt;"&amp;'19_Расчет_аналитики'!BH559,WeightedMinAge11),MAX(CapacityAge11*'01_Вводные'!$B$218*'19_Расчет_аналитики'!BH559,MeanMinAge11)))</f>
        <v/>
      </c>
      <c r="BI474">
        <f>IF(OR('19_Расчет_аналитики'!BI446=0,11&lt;='01_Вводные'!$B$297),0,'19_Расчет_аналитики'!BI446*IF('01_Вводные'!$B$239="Да",MeanMinAge11+'19_Расчет_аналитики'!BI559*SUMIF(ThresholdAge11,"&lt;"&amp;'19_Расчет_аналитики'!BI559,WeightedRevAge11)-SUMIF(ThresholdAge11,"&lt;"&amp;'19_Расчет_аналитики'!BI559,WeightedMinAge11),MAX(CapacityAge11*'01_Вводные'!$B$218*'19_Расчет_аналитики'!BI559,MeanMinAge11)))</f>
        <v/>
      </c>
      <c r="BJ474">
        <f>IF(OR('19_Расчет_аналитики'!BJ446=0,11&lt;='01_Вводные'!$B$297),0,'19_Расчет_аналитики'!BJ446*IF('01_Вводные'!$B$239="Да",MeanMinAge11+'19_Расчет_аналитики'!BJ559*SUMIF(ThresholdAge11,"&lt;"&amp;'19_Расчет_аналитики'!BJ559,WeightedRevAge11)-SUMIF(ThresholdAge11,"&lt;"&amp;'19_Расчет_аналитики'!BJ559,WeightedMinAge11),MAX(CapacityAge11*'01_Вводные'!$B$218*'19_Расчет_аналитики'!BJ559,MeanMinAge11)))</f>
        <v/>
      </c>
      <c r="BK474">
        <f>IF(OR('19_Расчет_аналитики'!BK446=0,11&lt;='01_Вводные'!$B$297),0,'19_Расчет_аналитики'!BK446*IF('01_Вводные'!$B$239="Да",MeanMinAge11+'19_Расчет_аналитики'!BK559*SUMIF(ThresholdAge11,"&lt;"&amp;'19_Расчет_аналитики'!BK559,WeightedRevAge11)-SUMIF(ThresholdAge11,"&lt;"&amp;'19_Расчет_аналитики'!BK559,WeightedMinAge11),MAX(CapacityAge11*'01_Вводные'!$B$218*'19_Расчет_аналитики'!BK559,MeanMinAge11)))</f>
        <v/>
      </c>
      <c r="BL474">
        <f>IF(OR('19_Расчет_аналитики'!BL446=0,11&lt;='01_Вводные'!$B$297),0,'19_Расчет_аналитики'!BL446*IF('01_Вводные'!$B$239="Да",MeanMinAge11+'19_Расчет_аналитики'!BL559*SUMIF(ThresholdAge11,"&lt;"&amp;'19_Расчет_аналитики'!BL559,WeightedRevAge11)-SUMIF(ThresholdAge11,"&lt;"&amp;'19_Расчет_аналитики'!BL559,WeightedMinAge11),MAX(CapacityAge11*'01_Вводные'!$B$218*'19_Расчет_аналитики'!BL559,MeanMinAge11)))</f>
        <v/>
      </c>
      <c r="BM474">
        <f>IF(OR('19_Расчет_аналитики'!BM446=0,11&lt;='01_Вводные'!$B$297),0,'19_Расчет_аналитики'!BM446*IF('01_Вводные'!$B$239="Да",MeanMinAge11+'19_Расчет_аналитики'!BM559*SUMIF(ThresholdAge11,"&lt;"&amp;'19_Расчет_аналитики'!BM559,WeightedRevAge11)-SUMIF(ThresholdAge11,"&lt;"&amp;'19_Расчет_аналитики'!BM559,WeightedMinAge11),MAX(CapacityAge11*'01_Вводные'!$B$218*'19_Расчет_аналитики'!BM559,MeanMinAge11)))</f>
        <v/>
      </c>
      <c r="BN474">
        <f>IF(OR('19_Расчет_аналитики'!BN446=0,11&lt;='01_Вводные'!$B$297),0,'19_Расчет_аналитики'!BN446*IF('01_Вводные'!$B$239="Да",MeanMinAge11+'19_Расчет_аналитики'!BN559*SUMIF(ThresholdAge11,"&lt;"&amp;'19_Расчет_аналитики'!BN559,WeightedRevAge11)-SUMIF(ThresholdAge11,"&lt;"&amp;'19_Расчет_аналитики'!BN559,WeightedMinAge11),MAX(CapacityAge11*'01_Вводные'!$B$218*'19_Расчет_аналитики'!BN559,MeanMinAge11)))</f>
        <v/>
      </c>
      <c r="BO474">
        <f>IF(OR('19_Расчет_аналитики'!BO446=0,11&lt;='01_Вводные'!$B$297),0,'19_Расчет_аналитики'!BO446*IF('01_Вводные'!$B$239="Да",MeanMinAge11+'19_Расчет_аналитики'!BO559*SUMIF(ThresholdAge11,"&lt;"&amp;'19_Расчет_аналитики'!BO559,WeightedRevAge11)-SUMIF(ThresholdAge11,"&lt;"&amp;'19_Расчет_аналитики'!BO559,WeightedMinAge11),MAX(CapacityAge11*'01_Вводные'!$B$218*'19_Расчет_аналитики'!BO559,MeanMinAge11)))</f>
        <v/>
      </c>
    </row>
    <row r="475">
      <c r="B475">
        <f>IF(OR('06_Сеть_и_дети'!B92=0,12&lt;='01_Вводные'!$B$297),0,'06_Сеть_и_дети'!B92*IF('01_Вводные'!$B$239="Да",MeanMinAge12+'19_Расчет_аналитики'!B559*SUMIF(ThresholdAge12,"&lt;"&amp;'19_Расчет_аналитики'!B559,WeightedRevAge12)-SUMIF(ThresholdAge12,"&lt;"&amp;'19_Расчет_аналитики'!B559,WeightedMinAge12),MAX(CapacityAge12*'01_Вводные'!$B$218*'19_Расчет_аналитики'!B559,MeanMinAge12)))</f>
        <v/>
      </c>
      <c r="C475">
        <f>IF(OR('06_Сеть_и_дети'!C92=0,12&lt;='01_Вводные'!$B$297),0,'06_Сеть_и_дети'!C92*IF('01_Вводные'!$B$239="Да",MeanMinAge12+'19_Расчет_аналитики'!C559*SUMIF(ThresholdAge12,"&lt;"&amp;'19_Расчет_аналитики'!C559,WeightedRevAge12)-SUMIF(ThresholdAge12,"&lt;"&amp;'19_Расчет_аналитики'!C559,WeightedMinAge12),MAX(CapacityAge12*'01_Вводные'!$B$218*'19_Расчет_аналитики'!C559,MeanMinAge12)))</f>
        <v/>
      </c>
      <c r="D475">
        <f>IF(OR('06_Сеть_и_дети'!D92=0,12&lt;='01_Вводные'!$B$297),0,'06_Сеть_и_дети'!D92*IF('01_Вводные'!$B$239="Да",MeanMinAge12+'19_Расчет_аналитики'!D559*SUMIF(ThresholdAge12,"&lt;"&amp;'19_Расчет_аналитики'!D559,WeightedRevAge12)-SUMIF(ThresholdAge12,"&lt;"&amp;'19_Расчет_аналитики'!D559,WeightedMinAge12),MAX(CapacityAge12*'01_Вводные'!$B$218*'19_Расчет_аналитики'!D559,MeanMinAge12)))</f>
        <v/>
      </c>
      <c r="E475">
        <f>IF(OR('06_Сеть_и_дети'!E92=0,12&lt;='01_Вводные'!$B$297),0,'06_Сеть_и_дети'!E92*IF('01_Вводные'!$B$239="Да",MeanMinAge12+'19_Расчет_аналитики'!E559*SUMIF(ThresholdAge12,"&lt;"&amp;'19_Расчет_аналитики'!E559,WeightedRevAge12)-SUMIF(ThresholdAge12,"&lt;"&amp;'19_Расчет_аналитики'!E559,WeightedMinAge12),MAX(CapacityAge12*'01_Вводные'!$B$218*'19_Расчет_аналитики'!E559,MeanMinAge12)))</f>
        <v/>
      </c>
      <c r="F475">
        <f>IF(OR('06_Сеть_и_дети'!F92=0,12&lt;='01_Вводные'!$B$297),0,'06_Сеть_и_дети'!F92*IF('01_Вводные'!$B$239="Да",MeanMinAge12+'19_Расчет_аналитики'!F559*SUMIF(ThresholdAge12,"&lt;"&amp;'19_Расчет_аналитики'!F559,WeightedRevAge12)-SUMIF(ThresholdAge12,"&lt;"&amp;'19_Расчет_аналитики'!F559,WeightedMinAge12),MAX(CapacityAge12*'01_Вводные'!$B$218*'19_Расчет_аналитики'!F559,MeanMinAge12)))</f>
        <v/>
      </c>
      <c r="G475">
        <f>IF(OR('06_Сеть_и_дети'!G92=0,12&lt;='01_Вводные'!$B$297),0,'06_Сеть_и_дети'!G92*IF('01_Вводные'!$B$239="Да",MeanMinAge12+'19_Расчет_аналитики'!G559*SUMIF(ThresholdAge12,"&lt;"&amp;'19_Расчет_аналитики'!G559,WeightedRevAge12)-SUMIF(ThresholdAge12,"&lt;"&amp;'19_Расчет_аналитики'!G559,WeightedMinAge12),MAX(CapacityAge12*'01_Вводные'!$B$218*'19_Расчет_аналитики'!G559,MeanMinAge12)))</f>
        <v/>
      </c>
      <c r="H475">
        <f>IF(OR('06_Сеть_и_дети'!H92=0,12&lt;='01_Вводные'!$B$297),0,'06_Сеть_и_дети'!H92*IF('01_Вводные'!$B$239="Да",MeanMinAge12+'19_Расчет_аналитики'!H559*SUMIF(ThresholdAge12,"&lt;"&amp;'19_Расчет_аналитики'!H559,WeightedRevAge12)-SUMIF(ThresholdAge12,"&lt;"&amp;'19_Расчет_аналитики'!H559,WeightedMinAge12),MAX(CapacityAge12*'01_Вводные'!$B$218*'19_Расчет_аналитики'!H559,MeanMinAge12)))</f>
        <v/>
      </c>
      <c r="I475">
        <f>IF(OR('06_Сеть_и_дети'!I92=0,12&lt;='01_Вводные'!$B$297),0,'06_Сеть_и_дети'!I92*IF('01_Вводные'!$B$239="Да",MeanMinAge12+'19_Расчет_аналитики'!I559*SUMIF(ThresholdAge12,"&lt;"&amp;'19_Расчет_аналитики'!I559,WeightedRevAge12)-SUMIF(ThresholdAge12,"&lt;"&amp;'19_Расчет_аналитики'!I559,WeightedMinAge12),MAX(CapacityAge12*'01_Вводные'!$B$218*'19_Расчет_аналитики'!I559,MeanMinAge12)))</f>
        <v/>
      </c>
      <c r="J475">
        <f>IF(OR('06_Сеть_и_дети'!J92=0,12&lt;='01_Вводные'!$B$297),0,'06_Сеть_и_дети'!J92*IF('01_Вводные'!$B$239="Да",MeanMinAge12+'19_Расчет_аналитики'!J559*SUMIF(ThresholdAge12,"&lt;"&amp;'19_Расчет_аналитики'!J559,WeightedRevAge12)-SUMIF(ThresholdAge12,"&lt;"&amp;'19_Расчет_аналитики'!J559,WeightedMinAge12),MAX(CapacityAge12*'01_Вводные'!$B$218*'19_Расчет_аналитики'!J559,MeanMinAge12)))</f>
        <v/>
      </c>
      <c r="K475">
        <f>IF(OR('06_Сеть_и_дети'!K92=0,12&lt;='01_Вводные'!$B$297),0,'06_Сеть_и_дети'!K92*IF('01_Вводные'!$B$239="Да",MeanMinAge12+'19_Расчет_аналитики'!K559*SUMIF(ThresholdAge12,"&lt;"&amp;'19_Расчет_аналитики'!K559,WeightedRevAge12)-SUMIF(ThresholdAge12,"&lt;"&amp;'19_Расчет_аналитики'!K559,WeightedMinAge12),MAX(CapacityAge12*'01_Вводные'!$B$218*'19_Расчет_аналитики'!K559,MeanMinAge12)))</f>
        <v/>
      </c>
      <c r="L475">
        <f>IF(OR('06_Сеть_и_дети'!L92=0,12&lt;='01_Вводные'!$B$297),0,'06_Сеть_и_дети'!L92*IF('01_Вводные'!$B$239="Да",MeanMinAge12+'19_Расчет_аналитики'!L559*SUMIF(ThresholdAge12,"&lt;"&amp;'19_Расчет_аналитики'!L559,WeightedRevAge12)-SUMIF(ThresholdAge12,"&lt;"&amp;'19_Расчет_аналитики'!L559,WeightedMinAge12),MAX(CapacityAge12*'01_Вводные'!$B$218*'19_Расчет_аналитики'!L559,MeanMinAge12)))</f>
        <v/>
      </c>
      <c r="M475">
        <f>IF(OR('19_Расчет_аналитики'!M447=0,12&lt;='01_Вводные'!$B$297),0,'19_Расчет_аналитики'!M447*IF('01_Вводные'!$B$239="Да",MeanMinAge12+'19_Расчет_аналитики'!M559*SUMIF(ThresholdAge12,"&lt;"&amp;'19_Расчет_аналитики'!M559,WeightedRevAge12)-SUMIF(ThresholdAge12,"&lt;"&amp;'19_Расчет_аналитики'!M559,WeightedMinAge12),MAX(CapacityAge12*'01_Вводные'!$B$218*'19_Расчет_аналитики'!M559,MeanMinAge12)))</f>
        <v/>
      </c>
      <c r="N475">
        <f>IF(OR('19_Расчет_аналитики'!N447=0,12&lt;='01_Вводные'!$B$297),0,'19_Расчет_аналитики'!N447*IF('01_Вводные'!$B$239="Да",MeanMinAge12+'19_Расчет_аналитики'!N559*SUMIF(ThresholdAge12,"&lt;"&amp;'19_Расчет_аналитики'!N559,WeightedRevAge12)-SUMIF(ThresholdAge12,"&lt;"&amp;'19_Расчет_аналитики'!N559,WeightedMinAge12),MAX(CapacityAge12*'01_Вводные'!$B$218*'19_Расчет_аналитики'!N559,MeanMinAge12)))</f>
        <v/>
      </c>
      <c r="O475">
        <f>IF(OR('19_Расчет_аналитики'!O447=0,12&lt;='01_Вводные'!$B$297),0,'19_Расчет_аналитики'!O447*IF('01_Вводные'!$B$239="Да",MeanMinAge12+'19_Расчет_аналитики'!O559*SUMIF(ThresholdAge12,"&lt;"&amp;'19_Расчет_аналитики'!O559,WeightedRevAge12)-SUMIF(ThresholdAge12,"&lt;"&amp;'19_Расчет_аналитики'!O559,WeightedMinAge12),MAX(CapacityAge12*'01_Вводные'!$B$218*'19_Расчет_аналитики'!O559,MeanMinAge12)))</f>
        <v/>
      </c>
      <c r="P475">
        <f>IF(OR('19_Расчет_аналитики'!P447=0,12&lt;='01_Вводные'!$B$297),0,'19_Расчет_аналитики'!P447*IF('01_Вводные'!$B$239="Да",MeanMinAge12+'19_Расчет_аналитики'!P559*SUMIF(ThresholdAge12,"&lt;"&amp;'19_Расчет_аналитики'!P559,WeightedRevAge12)-SUMIF(ThresholdAge12,"&lt;"&amp;'19_Расчет_аналитики'!P559,WeightedMinAge12),MAX(CapacityAge12*'01_Вводные'!$B$218*'19_Расчет_аналитики'!P559,MeanMinAge12)))</f>
        <v/>
      </c>
      <c r="Q475">
        <f>IF(OR('19_Расчет_аналитики'!Q447=0,12&lt;='01_Вводные'!$B$297),0,'19_Расчет_аналитики'!Q447*IF('01_Вводные'!$B$239="Да",MeanMinAge12+'19_Расчет_аналитики'!Q559*SUMIF(ThresholdAge12,"&lt;"&amp;'19_Расчет_аналитики'!Q559,WeightedRevAge12)-SUMIF(ThresholdAge12,"&lt;"&amp;'19_Расчет_аналитики'!Q559,WeightedMinAge12),MAX(CapacityAge12*'01_Вводные'!$B$218*'19_Расчет_аналитики'!Q559,MeanMinAge12)))</f>
        <v/>
      </c>
      <c r="R475">
        <f>IF(OR('19_Расчет_аналитики'!R447=0,12&lt;='01_Вводные'!$B$297),0,'19_Расчет_аналитики'!R447*IF('01_Вводные'!$B$239="Да",MeanMinAge12+'19_Расчет_аналитики'!R559*SUMIF(ThresholdAge12,"&lt;"&amp;'19_Расчет_аналитики'!R559,WeightedRevAge12)-SUMIF(ThresholdAge12,"&lt;"&amp;'19_Расчет_аналитики'!R559,WeightedMinAge12),MAX(CapacityAge12*'01_Вводные'!$B$218*'19_Расчет_аналитики'!R559,MeanMinAge12)))</f>
        <v/>
      </c>
      <c r="S475">
        <f>IF(OR('19_Расчет_аналитики'!S447=0,12&lt;='01_Вводные'!$B$297),0,'19_Расчет_аналитики'!S447*IF('01_Вводные'!$B$239="Да",MeanMinAge12+'19_Расчет_аналитики'!S559*SUMIF(ThresholdAge12,"&lt;"&amp;'19_Расчет_аналитики'!S559,WeightedRevAge12)-SUMIF(ThresholdAge12,"&lt;"&amp;'19_Расчет_аналитики'!S559,WeightedMinAge12),MAX(CapacityAge12*'01_Вводные'!$B$218*'19_Расчет_аналитики'!S559,MeanMinAge12)))</f>
        <v/>
      </c>
      <c r="T475">
        <f>IF(OR('19_Расчет_аналитики'!T447=0,12&lt;='01_Вводные'!$B$297),0,'19_Расчет_аналитики'!T447*IF('01_Вводные'!$B$239="Да",MeanMinAge12+'19_Расчет_аналитики'!T559*SUMIF(ThresholdAge12,"&lt;"&amp;'19_Расчет_аналитики'!T559,WeightedRevAge12)-SUMIF(ThresholdAge12,"&lt;"&amp;'19_Расчет_аналитики'!T559,WeightedMinAge12),MAX(CapacityAge12*'01_Вводные'!$B$218*'19_Расчет_аналитики'!T559,MeanMinAge12)))</f>
        <v/>
      </c>
      <c r="U475">
        <f>IF(OR('19_Расчет_аналитики'!U447=0,12&lt;='01_Вводные'!$B$297),0,'19_Расчет_аналитики'!U447*IF('01_Вводные'!$B$239="Да",MeanMinAge12+'19_Расчет_аналитики'!U559*SUMIF(ThresholdAge12,"&lt;"&amp;'19_Расчет_аналитики'!U559,WeightedRevAge12)-SUMIF(ThresholdAge12,"&lt;"&amp;'19_Расчет_аналитики'!U559,WeightedMinAge12),MAX(CapacityAge12*'01_Вводные'!$B$218*'19_Расчет_аналитики'!U559,MeanMinAge12)))</f>
        <v/>
      </c>
      <c r="V475">
        <f>IF(OR('19_Расчет_аналитики'!V447=0,12&lt;='01_Вводные'!$B$297),0,'19_Расчет_аналитики'!V447*IF('01_Вводные'!$B$239="Да",MeanMinAge12+'19_Расчет_аналитики'!V559*SUMIF(ThresholdAge12,"&lt;"&amp;'19_Расчет_аналитики'!V559,WeightedRevAge12)-SUMIF(ThresholdAge12,"&lt;"&amp;'19_Расчет_аналитики'!V559,WeightedMinAge12),MAX(CapacityAge12*'01_Вводные'!$B$218*'19_Расчет_аналитики'!V559,MeanMinAge12)))</f>
        <v/>
      </c>
      <c r="W475">
        <f>IF(OR('19_Расчет_аналитики'!W447=0,12&lt;='01_Вводные'!$B$297),0,'19_Расчет_аналитики'!W447*IF('01_Вводные'!$B$239="Да",MeanMinAge12+'19_Расчет_аналитики'!W559*SUMIF(ThresholdAge12,"&lt;"&amp;'19_Расчет_аналитики'!W559,WeightedRevAge12)-SUMIF(ThresholdAge12,"&lt;"&amp;'19_Расчет_аналитики'!W559,WeightedMinAge12),MAX(CapacityAge12*'01_Вводные'!$B$218*'19_Расчет_аналитики'!W559,MeanMinAge12)))</f>
        <v/>
      </c>
      <c r="X475">
        <f>IF(OR('19_Расчет_аналитики'!X447=0,12&lt;='01_Вводные'!$B$297),0,'19_Расчет_аналитики'!X447*IF('01_Вводные'!$B$239="Да",MeanMinAge12+'19_Расчет_аналитики'!X559*SUMIF(ThresholdAge12,"&lt;"&amp;'19_Расчет_аналитики'!X559,WeightedRevAge12)-SUMIF(ThresholdAge12,"&lt;"&amp;'19_Расчет_аналитики'!X559,WeightedMinAge12),MAX(CapacityAge12*'01_Вводные'!$B$218*'19_Расчет_аналитики'!X559,MeanMinAge12)))</f>
        <v/>
      </c>
      <c r="Y475">
        <f>IF(OR('19_Расчет_аналитики'!Y447=0,12&lt;='01_Вводные'!$B$297),0,'19_Расчет_аналитики'!Y447*IF('01_Вводные'!$B$239="Да",MeanMinAge12+'19_Расчет_аналитики'!Y559*SUMIF(ThresholdAge12,"&lt;"&amp;'19_Расчет_аналитики'!Y559,WeightedRevAge12)-SUMIF(ThresholdAge12,"&lt;"&amp;'19_Расчет_аналитики'!Y559,WeightedMinAge12),MAX(CapacityAge12*'01_Вводные'!$B$218*'19_Расчет_аналитики'!Y559,MeanMinAge12)))</f>
        <v/>
      </c>
      <c r="Z475">
        <f>IF(OR('19_Расчет_аналитики'!Z447=0,12&lt;='01_Вводные'!$B$297),0,'19_Расчет_аналитики'!Z447*IF('01_Вводные'!$B$239="Да",MeanMinAge12+'19_Расчет_аналитики'!Z559*SUMIF(ThresholdAge12,"&lt;"&amp;'19_Расчет_аналитики'!Z559,WeightedRevAge12)-SUMIF(ThresholdAge12,"&lt;"&amp;'19_Расчет_аналитики'!Z559,WeightedMinAge12),MAX(CapacityAge12*'01_Вводные'!$B$218*'19_Расчет_аналитики'!Z559,MeanMinAge12)))</f>
        <v/>
      </c>
      <c r="AA475">
        <f>IF(OR('19_Расчет_аналитики'!AA447=0,12&lt;='01_Вводные'!$B$297),0,'19_Расчет_аналитики'!AA447*IF('01_Вводные'!$B$239="Да",MeanMinAge12+'19_Расчет_аналитики'!AA559*SUMIF(ThresholdAge12,"&lt;"&amp;'19_Расчет_аналитики'!AA559,WeightedRevAge12)-SUMIF(ThresholdAge12,"&lt;"&amp;'19_Расчет_аналитики'!AA559,WeightedMinAge12),MAX(CapacityAge12*'01_Вводные'!$B$218*'19_Расчет_аналитики'!AA559,MeanMinAge12)))</f>
        <v/>
      </c>
      <c r="AB475">
        <f>IF(OR('19_Расчет_аналитики'!AB447=0,12&lt;='01_Вводные'!$B$297),0,'19_Расчет_аналитики'!AB447*IF('01_Вводные'!$B$239="Да",MeanMinAge12+'19_Расчет_аналитики'!AB559*SUMIF(ThresholdAge12,"&lt;"&amp;'19_Расчет_аналитики'!AB559,WeightedRevAge12)-SUMIF(ThresholdAge12,"&lt;"&amp;'19_Расчет_аналитики'!AB559,WeightedMinAge12),MAX(CapacityAge12*'01_Вводные'!$B$218*'19_Расчет_аналитики'!AB559,MeanMinAge12)))</f>
        <v/>
      </c>
      <c r="AC475">
        <f>IF(OR('19_Расчет_аналитики'!AC447=0,12&lt;='01_Вводные'!$B$297),0,'19_Расчет_аналитики'!AC447*IF('01_Вводные'!$B$239="Да",MeanMinAge12+'19_Расчет_аналитики'!AC559*SUMIF(ThresholdAge12,"&lt;"&amp;'19_Расчет_аналитики'!AC559,WeightedRevAge12)-SUMIF(ThresholdAge12,"&lt;"&amp;'19_Расчет_аналитики'!AC559,WeightedMinAge12),MAX(CapacityAge12*'01_Вводные'!$B$218*'19_Расчет_аналитики'!AC559,MeanMinAge12)))</f>
        <v/>
      </c>
      <c r="AD475">
        <f>IF(OR('19_Расчет_аналитики'!AD447=0,12&lt;='01_Вводные'!$B$297),0,'19_Расчет_аналитики'!AD447*IF('01_Вводные'!$B$239="Да",MeanMinAge12+'19_Расчет_аналитики'!AD559*SUMIF(ThresholdAge12,"&lt;"&amp;'19_Расчет_аналитики'!AD559,WeightedRevAge12)-SUMIF(ThresholdAge12,"&lt;"&amp;'19_Расчет_аналитики'!AD559,WeightedMinAge12),MAX(CapacityAge12*'01_Вводные'!$B$218*'19_Расчет_аналитики'!AD559,MeanMinAge12)))</f>
        <v/>
      </c>
      <c r="AE475">
        <f>IF(OR('19_Расчет_аналитики'!AE447=0,12&lt;='01_Вводные'!$B$297),0,'19_Расчет_аналитики'!AE447*IF('01_Вводные'!$B$239="Да",MeanMinAge12+'19_Расчет_аналитики'!AE559*SUMIF(ThresholdAge12,"&lt;"&amp;'19_Расчет_аналитики'!AE559,WeightedRevAge12)-SUMIF(ThresholdAge12,"&lt;"&amp;'19_Расчет_аналитики'!AE559,WeightedMinAge12),MAX(CapacityAge12*'01_Вводные'!$B$218*'19_Расчет_аналитики'!AE559,MeanMinAge12)))</f>
        <v/>
      </c>
      <c r="AF475">
        <f>IF(OR('19_Расчет_аналитики'!AF447=0,12&lt;='01_Вводные'!$B$297),0,'19_Расчет_аналитики'!AF447*IF('01_Вводные'!$B$239="Да",MeanMinAge12+'19_Расчет_аналитики'!AF559*SUMIF(ThresholdAge12,"&lt;"&amp;'19_Расчет_аналитики'!AF559,WeightedRevAge12)-SUMIF(ThresholdAge12,"&lt;"&amp;'19_Расчет_аналитики'!AF559,WeightedMinAge12),MAX(CapacityAge12*'01_Вводные'!$B$218*'19_Расчет_аналитики'!AF559,MeanMinAge12)))</f>
        <v/>
      </c>
      <c r="AG475">
        <f>IF(OR('19_Расчет_аналитики'!AG447=0,12&lt;='01_Вводные'!$B$297),0,'19_Расчет_аналитики'!AG447*IF('01_Вводные'!$B$239="Да",MeanMinAge12+'19_Расчет_аналитики'!AG559*SUMIF(ThresholdAge12,"&lt;"&amp;'19_Расчет_аналитики'!AG559,WeightedRevAge12)-SUMIF(ThresholdAge12,"&lt;"&amp;'19_Расчет_аналитики'!AG559,WeightedMinAge12),MAX(CapacityAge12*'01_Вводные'!$B$218*'19_Расчет_аналитики'!AG559,MeanMinAge12)))</f>
        <v/>
      </c>
      <c r="AH475">
        <f>IF(OR('19_Расчет_аналитики'!AH447=0,12&lt;='01_Вводные'!$B$297),0,'19_Расчет_аналитики'!AH447*IF('01_Вводные'!$B$239="Да",MeanMinAge12+'19_Расчет_аналитики'!AH559*SUMIF(ThresholdAge12,"&lt;"&amp;'19_Расчет_аналитики'!AH559,WeightedRevAge12)-SUMIF(ThresholdAge12,"&lt;"&amp;'19_Расчет_аналитики'!AH559,WeightedMinAge12),MAX(CapacityAge12*'01_Вводные'!$B$218*'19_Расчет_аналитики'!AH559,MeanMinAge12)))</f>
        <v/>
      </c>
      <c r="AI475">
        <f>IF(OR('19_Расчет_аналитики'!AI447=0,12&lt;='01_Вводные'!$B$297),0,'19_Расчет_аналитики'!AI447*IF('01_Вводные'!$B$239="Да",MeanMinAge12+'19_Расчет_аналитики'!AI559*SUMIF(ThresholdAge12,"&lt;"&amp;'19_Расчет_аналитики'!AI559,WeightedRevAge12)-SUMIF(ThresholdAge12,"&lt;"&amp;'19_Расчет_аналитики'!AI559,WeightedMinAge12),MAX(CapacityAge12*'01_Вводные'!$B$218*'19_Расчет_аналитики'!AI559,MeanMinAge12)))</f>
        <v/>
      </c>
      <c r="AJ475">
        <f>IF(OR('19_Расчет_аналитики'!AJ447=0,12&lt;='01_Вводные'!$B$297),0,'19_Расчет_аналитики'!AJ447*IF('01_Вводные'!$B$239="Да",MeanMinAge12+'19_Расчет_аналитики'!AJ559*SUMIF(ThresholdAge12,"&lt;"&amp;'19_Расчет_аналитики'!AJ559,WeightedRevAge12)-SUMIF(ThresholdAge12,"&lt;"&amp;'19_Расчет_аналитики'!AJ559,WeightedMinAge12),MAX(CapacityAge12*'01_Вводные'!$B$218*'19_Расчет_аналитики'!AJ559,MeanMinAge12)))</f>
        <v/>
      </c>
      <c r="AK475">
        <f>IF(OR('19_Расчет_аналитики'!AK447=0,12&lt;='01_Вводные'!$B$297),0,'19_Расчет_аналитики'!AK447*IF('01_Вводные'!$B$239="Да",MeanMinAge12+'19_Расчет_аналитики'!AK559*SUMIF(ThresholdAge12,"&lt;"&amp;'19_Расчет_аналитики'!AK559,WeightedRevAge12)-SUMIF(ThresholdAge12,"&lt;"&amp;'19_Расчет_аналитики'!AK559,WeightedMinAge12),MAX(CapacityAge12*'01_Вводные'!$B$218*'19_Расчет_аналитики'!AK559,MeanMinAge12)))</f>
        <v/>
      </c>
      <c r="AL475">
        <f>IF(OR('19_Расчет_аналитики'!AL447=0,12&lt;='01_Вводные'!$B$297),0,'19_Расчет_аналитики'!AL447*IF('01_Вводные'!$B$239="Да",MeanMinAge12+'19_Расчет_аналитики'!AL559*SUMIF(ThresholdAge12,"&lt;"&amp;'19_Расчет_аналитики'!AL559,WeightedRevAge12)-SUMIF(ThresholdAge12,"&lt;"&amp;'19_Расчет_аналитики'!AL559,WeightedMinAge12),MAX(CapacityAge12*'01_Вводные'!$B$218*'19_Расчет_аналитики'!AL559,MeanMinAge12)))</f>
        <v/>
      </c>
      <c r="AM475">
        <f>IF(OR('19_Расчет_аналитики'!AM447=0,12&lt;='01_Вводные'!$B$297),0,'19_Расчет_аналитики'!AM447*IF('01_Вводные'!$B$239="Да",MeanMinAge12+'19_Расчет_аналитики'!AM559*SUMIF(ThresholdAge12,"&lt;"&amp;'19_Расчет_аналитики'!AM559,WeightedRevAge12)-SUMIF(ThresholdAge12,"&lt;"&amp;'19_Расчет_аналитики'!AM559,WeightedMinAge12),MAX(CapacityAge12*'01_Вводные'!$B$218*'19_Расчет_аналитики'!AM559,MeanMinAge12)))</f>
        <v/>
      </c>
      <c r="AN475">
        <f>IF(OR('19_Расчет_аналитики'!AN447=0,12&lt;='01_Вводные'!$B$297),0,'19_Расчет_аналитики'!AN447*IF('01_Вводные'!$B$239="Да",MeanMinAge12+'19_Расчет_аналитики'!AN559*SUMIF(ThresholdAge12,"&lt;"&amp;'19_Расчет_аналитики'!AN559,WeightedRevAge12)-SUMIF(ThresholdAge12,"&lt;"&amp;'19_Расчет_аналитики'!AN559,WeightedMinAge12),MAX(CapacityAge12*'01_Вводные'!$B$218*'19_Расчет_аналитики'!AN559,MeanMinAge12)))</f>
        <v/>
      </c>
      <c r="AO475">
        <f>IF(OR('19_Расчет_аналитики'!AO447=0,12&lt;='01_Вводные'!$B$297),0,'19_Расчет_аналитики'!AO447*IF('01_Вводные'!$B$239="Да",MeanMinAge12+'19_Расчет_аналитики'!AO559*SUMIF(ThresholdAge12,"&lt;"&amp;'19_Расчет_аналитики'!AO559,WeightedRevAge12)-SUMIF(ThresholdAge12,"&lt;"&amp;'19_Расчет_аналитики'!AO559,WeightedMinAge12),MAX(CapacityAge12*'01_Вводные'!$B$218*'19_Расчет_аналитики'!AO559,MeanMinAge12)))</f>
        <v/>
      </c>
      <c r="AP475">
        <f>IF(OR('19_Расчет_аналитики'!AP447=0,12&lt;='01_Вводные'!$B$297),0,'19_Расчет_аналитики'!AP447*IF('01_Вводные'!$B$239="Да",MeanMinAge12+'19_Расчет_аналитики'!AP559*SUMIF(ThresholdAge12,"&lt;"&amp;'19_Расчет_аналитики'!AP559,WeightedRevAge12)-SUMIF(ThresholdAge12,"&lt;"&amp;'19_Расчет_аналитики'!AP559,WeightedMinAge12),MAX(CapacityAge12*'01_Вводные'!$B$218*'19_Расчет_аналитики'!AP559,MeanMinAge12)))</f>
        <v/>
      </c>
      <c r="AQ475">
        <f>IF(OR('19_Расчет_аналитики'!AQ447=0,12&lt;='01_Вводные'!$B$297),0,'19_Расчет_аналитики'!AQ447*IF('01_Вводные'!$B$239="Да",MeanMinAge12+'19_Расчет_аналитики'!AQ559*SUMIF(ThresholdAge12,"&lt;"&amp;'19_Расчет_аналитики'!AQ559,WeightedRevAge12)-SUMIF(ThresholdAge12,"&lt;"&amp;'19_Расчет_аналитики'!AQ559,WeightedMinAge12),MAX(CapacityAge12*'01_Вводные'!$B$218*'19_Расчет_аналитики'!AQ559,MeanMinAge12)))</f>
        <v/>
      </c>
      <c r="AR475">
        <f>IF(OR('19_Расчет_аналитики'!AR447=0,12&lt;='01_Вводные'!$B$297),0,'19_Расчет_аналитики'!AR447*IF('01_Вводные'!$B$239="Да",MeanMinAge12+'19_Расчет_аналитики'!AR559*SUMIF(ThresholdAge12,"&lt;"&amp;'19_Расчет_аналитики'!AR559,WeightedRevAge12)-SUMIF(ThresholdAge12,"&lt;"&amp;'19_Расчет_аналитики'!AR559,WeightedMinAge12),MAX(CapacityAge12*'01_Вводные'!$B$218*'19_Расчет_аналитики'!AR559,MeanMinAge12)))</f>
        <v/>
      </c>
      <c r="AS475">
        <f>IF(OR('19_Расчет_аналитики'!AS447=0,12&lt;='01_Вводные'!$B$297),0,'19_Расчет_аналитики'!AS447*IF('01_Вводные'!$B$239="Да",MeanMinAge12+'19_Расчет_аналитики'!AS559*SUMIF(ThresholdAge12,"&lt;"&amp;'19_Расчет_аналитики'!AS559,WeightedRevAge12)-SUMIF(ThresholdAge12,"&lt;"&amp;'19_Расчет_аналитики'!AS559,WeightedMinAge12),MAX(CapacityAge12*'01_Вводные'!$B$218*'19_Расчет_аналитики'!AS559,MeanMinAge12)))</f>
        <v/>
      </c>
      <c r="AT475">
        <f>IF(OR('19_Расчет_аналитики'!AT447=0,12&lt;='01_Вводные'!$B$297),0,'19_Расчет_аналитики'!AT447*IF('01_Вводные'!$B$239="Да",MeanMinAge12+'19_Расчет_аналитики'!AT559*SUMIF(ThresholdAge12,"&lt;"&amp;'19_Расчет_аналитики'!AT559,WeightedRevAge12)-SUMIF(ThresholdAge12,"&lt;"&amp;'19_Расчет_аналитики'!AT559,WeightedMinAge12),MAX(CapacityAge12*'01_Вводные'!$B$218*'19_Расчет_аналитики'!AT559,MeanMinAge12)))</f>
        <v/>
      </c>
      <c r="AU475">
        <f>IF(OR('19_Расчет_аналитики'!AU447=0,12&lt;='01_Вводные'!$B$297),0,'19_Расчет_аналитики'!AU447*IF('01_Вводные'!$B$239="Да",MeanMinAge12+'19_Расчет_аналитики'!AU559*SUMIF(ThresholdAge12,"&lt;"&amp;'19_Расчет_аналитики'!AU559,WeightedRevAge12)-SUMIF(ThresholdAge12,"&lt;"&amp;'19_Расчет_аналитики'!AU559,WeightedMinAge12),MAX(CapacityAge12*'01_Вводные'!$B$218*'19_Расчет_аналитики'!AU559,MeanMinAge12)))</f>
        <v/>
      </c>
      <c r="AV475">
        <f>IF(OR('19_Расчет_аналитики'!AV447=0,12&lt;='01_Вводные'!$B$297),0,'19_Расчет_аналитики'!AV447*IF('01_Вводные'!$B$239="Да",MeanMinAge12+'19_Расчет_аналитики'!AV559*SUMIF(ThresholdAge12,"&lt;"&amp;'19_Расчет_аналитики'!AV559,WeightedRevAge12)-SUMIF(ThresholdAge12,"&lt;"&amp;'19_Расчет_аналитики'!AV559,WeightedMinAge12),MAX(CapacityAge12*'01_Вводные'!$B$218*'19_Расчет_аналитики'!AV559,MeanMinAge12)))</f>
        <v/>
      </c>
      <c r="AW475">
        <f>IF(OR('19_Расчет_аналитики'!AW447=0,12&lt;='01_Вводные'!$B$297),0,'19_Расчет_аналитики'!AW447*IF('01_Вводные'!$B$239="Да",MeanMinAge12+'19_Расчет_аналитики'!AW559*SUMIF(ThresholdAge12,"&lt;"&amp;'19_Расчет_аналитики'!AW559,WeightedRevAge12)-SUMIF(ThresholdAge12,"&lt;"&amp;'19_Расчет_аналитики'!AW559,WeightedMinAge12),MAX(CapacityAge12*'01_Вводные'!$B$218*'19_Расчет_аналитики'!AW559,MeanMinAge12)))</f>
        <v/>
      </c>
      <c r="AX475">
        <f>IF(OR('19_Расчет_аналитики'!AX447=0,12&lt;='01_Вводные'!$B$297),0,'19_Расчет_аналитики'!AX447*IF('01_Вводные'!$B$239="Да",MeanMinAge12+'19_Расчет_аналитики'!AX559*SUMIF(ThresholdAge12,"&lt;"&amp;'19_Расчет_аналитики'!AX559,WeightedRevAge12)-SUMIF(ThresholdAge12,"&lt;"&amp;'19_Расчет_аналитики'!AX559,WeightedMinAge12),MAX(CapacityAge12*'01_Вводные'!$B$218*'19_Расчет_аналитики'!AX559,MeanMinAge12)))</f>
        <v/>
      </c>
      <c r="AY475">
        <f>IF(OR('19_Расчет_аналитики'!AY447=0,12&lt;='01_Вводные'!$B$297),0,'19_Расчет_аналитики'!AY447*IF('01_Вводные'!$B$239="Да",MeanMinAge12+'19_Расчет_аналитики'!AY559*SUMIF(ThresholdAge12,"&lt;"&amp;'19_Расчет_аналитики'!AY559,WeightedRevAge12)-SUMIF(ThresholdAge12,"&lt;"&amp;'19_Расчет_аналитики'!AY559,WeightedMinAge12),MAX(CapacityAge12*'01_Вводные'!$B$218*'19_Расчет_аналитики'!AY559,MeanMinAge12)))</f>
        <v/>
      </c>
      <c r="AZ475">
        <f>IF(OR('19_Расчет_аналитики'!AZ447=0,12&lt;='01_Вводные'!$B$297),0,'19_Расчет_аналитики'!AZ447*IF('01_Вводные'!$B$239="Да",MeanMinAge12+'19_Расчет_аналитики'!AZ559*SUMIF(ThresholdAge12,"&lt;"&amp;'19_Расчет_аналитики'!AZ559,WeightedRevAge12)-SUMIF(ThresholdAge12,"&lt;"&amp;'19_Расчет_аналитики'!AZ559,WeightedMinAge12),MAX(CapacityAge12*'01_Вводные'!$B$218*'19_Расчет_аналитики'!AZ559,MeanMinAge12)))</f>
        <v/>
      </c>
      <c r="BA475">
        <f>IF(OR('19_Расчет_аналитики'!BA447=0,12&lt;='01_Вводные'!$B$297),0,'19_Расчет_аналитики'!BA447*IF('01_Вводные'!$B$239="Да",MeanMinAge12+'19_Расчет_аналитики'!BA559*SUMIF(ThresholdAge12,"&lt;"&amp;'19_Расчет_аналитики'!BA559,WeightedRevAge12)-SUMIF(ThresholdAge12,"&lt;"&amp;'19_Расчет_аналитики'!BA559,WeightedMinAge12),MAX(CapacityAge12*'01_Вводные'!$B$218*'19_Расчет_аналитики'!BA559,MeanMinAge12)))</f>
        <v/>
      </c>
      <c r="BB475">
        <f>IF(OR('19_Расчет_аналитики'!BB447=0,12&lt;='01_Вводные'!$B$297),0,'19_Расчет_аналитики'!BB447*IF('01_Вводные'!$B$239="Да",MeanMinAge12+'19_Расчет_аналитики'!BB559*SUMIF(ThresholdAge12,"&lt;"&amp;'19_Расчет_аналитики'!BB559,WeightedRevAge12)-SUMIF(ThresholdAge12,"&lt;"&amp;'19_Расчет_аналитики'!BB559,WeightedMinAge12),MAX(CapacityAge12*'01_Вводные'!$B$218*'19_Расчет_аналитики'!BB559,MeanMinAge12)))</f>
        <v/>
      </c>
      <c r="BC475">
        <f>IF(OR('19_Расчет_аналитики'!BC447=0,12&lt;='01_Вводные'!$B$297),0,'19_Расчет_аналитики'!BC447*IF('01_Вводные'!$B$239="Да",MeanMinAge12+'19_Расчет_аналитики'!BC559*SUMIF(ThresholdAge12,"&lt;"&amp;'19_Расчет_аналитики'!BC559,WeightedRevAge12)-SUMIF(ThresholdAge12,"&lt;"&amp;'19_Расчет_аналитики'!BC559,WeightedMinAge12),MAX(CapacityAge12*'01_Вводные'!$B$218*'19_Расчет_аналитики'!BC559,MeanMinAge12)))</f>
        <v/>
      </c>
      <c r="BD475">
        <f>IF(OR('19_Расчет_аналитики'!BD447=0,12&lt;='01_Вводные'!$B$297),0,'19_Расчет_аналитики'!BD447*IF('01_Вводные'!$B$239="Да",MeanMinAge12+'19_Расчет_аналитики'!BD559*SUMIF(ThresholdAge12,"&lt;"&amp;'19_Расчет_аналитики'!BD559,WeightedRevAge12)-SUMIF(ThresholdAge12,"&lt;"&amp;'19_Расчет_аналитики'!BD559,WeightedMinAge12),MAX(CapacityAge12*'01_Вводные'!$B$218*'19_Расчет_аналитики'!BD559,MeanMinAge12)))</f>
        <v/>
      </c>
      <c r="BE475">
        <f>IF(OR('19_Расчет_аналитики'!BE447=0,12&lt;='01_Вводные'!$B$297),0,'19_Расчет_аналитики'!BE447*IF('01_Вводные'!$B$239="Да",MeanMinAge12+'19_Расчет_аналитики'!BE559*SUMIF(ThresholdAge12,"&lt;"&amp;'19_Расчет_аналитики'!BE559,WeightedRevAge12)-SUMIF(ThresholdAge12,"&lt;"&amp;'19_Расчет_аналитики'!BE559,WeightedMinAge12),MAX(CapacityAge12*'01_Вводные'!$B$218*'19_Расчет_аналитики'!BE559,MeanMinAge12)))</f>
        <v/>
      </c>
      <c r="BF475">
        <f>IF(OR('19_Расчет_аналитики'!BF447=0,12&lt;='01_Вводные'!$B$297),0,'19_Расчет_аналитики'!BF447*IF('01_Вводные'!$B$239="Да",MeanMinAge12+'19_Расчет_аналитики'!BF559*SUMIF(ThresholdAge12,"&lt;"&amp;'19_Расчет_аналитики'!BF559,WeightedRevAge12)-SUMIF(ThresholdAge12,"&lt;"&amp;'19_Расчет_аналитики'!BF559,WeightedMinAge12),MAX(CapacityAge12*'01_Вводные'!$B$218*'19_Расчет_аналитики'!BF559,MeanMinAge12)))</f>
        <v/>
      </c>
      <c r="BG475">
        <f>IF(OR('19_Расчет_аналитики'!BG447=0,12&lt;='01_Вводные'!$B$297),0,'19_Расчет_аналитики'!BG447*IF('01_Вводные'!$B$239="Да",MeanMinAge12+'19_Расчет_аналитики'!BG559*SUMIF(ThresholdAge12,"&lt;"&amp;'19_Расчет_аналитики'!BG559,WeightedRevAge12)-SUMIF(ThresholdAge12,"&lt;"&amp;'19_Расчет_аналитики'!BG559,WeightedMinAge12),MAX(CapacityAge12*'01_Вводные'!$B$218*'19_Расчет_аналитики'!BG559,MeanMinAge12)))</f>
        <v/>
      </c>
      <c r="BH475">
        <f>IF(OR('19_Расчет_аналитики'!BH447=0,12&lt;='01_Вводные'!$B$297),0,'19_Расчет_аналитики'!BH447*IF('01_Вводные'!$B$239="Да",MeanMinAge12+'19_Расчет_аналитики'!BH559*SUMIF(ThresholdAge12,"&lt;"&amp;'19_Расчет_аналитики'!BH559,WeightedRevAge12)-SUMIF(ThresholdAge12,"&lt;"&amp;'19_Расчет_аналитики'!BH559,WeightedMinAge12),MAX(CapacityAge12*'01_Вводные'!$B$218*'19_Расчет_аналитики'!BH559,MeanMinAge12)))</f>
        <v/>
      </c>
      <c r="BI475">
        <f>IF(OR('19_Расчет_аналитики'!BI447=0,12&lt;='01_Вводные'!$B$297),0,'19_Расчет_аналитики'!BI447*IF('01_Вводные'!$B$239="Да",MeanMinAge12+'19_Расчет_аналитики'!BI559*SUMIF(ThresholdAge12,"&lt;"&amp;'19_Расчет_аналитики'!BI559,WeightedRevAge12)-SUMIF(ThresholdAge12,"&lt;"&amp;'19_Расчет_аналитики'!BI559,WeightedMinAge12),MAX(CapacityAge12*'01_Вводные'!$B$218*'19_Расчет_аналитики'!BI559,MeanMinAge12)))</f>
        <v/>
      </c>
      <c r="BJ475">
        <f>IF(OR('19_Расчет_аналитики'!BJ447=0,12&lt;='01_Вводные'!$B$297),0,'19_Расчет_аналитики'!BJ447*IF('01_Вводные'!$B$239="Да",MeanMinAge12+'19_Расчет_аналитики'!BJ559*SUMIF(ThresholdAge12,"&lt;"&amp;'19_Расчет_аналитики'!BJ559,WeightedRevAge12)-SUMIF(ThresholdAge12,"&lt;"&amp;'19_Расчет_аналитики'!BJ559,WeightedMinAge12),MAX(CapacityAge12*'01_Вводные'!$B$218*'19_Расчет_аналитики'!BJ559,MeanMinAge12)))</f>
        <v/>
      </c>
      <c r="BK475">
        <f>IF(OR('19_Расчет_аналитики'!BK447=0,12&lt;='01_Вводные'!$B$297),0,'19_Расчет_аналитики'!BK447*IF('01_Вводные'!$B$239="Да",MeanMinAge12+'19_Расчет_аналитики'!BK559*SUMIF(ThresholdAge12,"&lt;"&amp;'19_Расчет_аналитики'!BK559,WeightedRevAge12)-SUMIF(ThresholdAge12,"&lt;"&amp;'19_Расчет_аналитики'!BK559,WeightedMinAge12),MAX(CapacityAge12*'01_Вводные'!$B$218*'19_Расчет_аналитики'!BK559,MeanMinAge12)))</f>
        <v/>
      </c>
      <c r="BL475">
        <f>IF(OR('19_Расчет_аналитики'!BL447=0,12&lt;='01_Вводные'!$B$297),0,'19_Расчет_аналитики'!BL447*IF('01_Вводные'!$B$239="Да",MeanMinAge12+'19_Расчет_аналитики'!BL559*SUMIF(ThresholdAge12,"&lt;"&amp;'19_Расчет_аналитики'!BL559,WeightedRevAge12)-SUMIF(ThresholdAge12,"&lt;"&amp;'19_Расчет_аналитики'!BL559,WeightedMinAge12),MAX(CapacityAge12*'01_Вводные'!$B$218*'19_Расчет_аналитики'!BL559,MeanMinAge12)))</f>
        <v/>
      </c>
      <c r="BM475">
        <f>IF(OR('19_Расчет_аналитики'!BM447=0,12&lt;='01_Вводные'!$B$297),0,'19_Расчет_аналитики'!BM447*IF('01_Вводные'!$B$239="Да",MeanMinAge12+'19_Расчет_аналитики'!BM559*SUMIF(ThresholdAge12,"&lt;"&amp;'19_Расчет_аналитики'!BM559,WeightedRevAge12)-SUMIF(ThresholdAge12,"&lt;"&amp;'19_Расчет_аналитики'!BM559,WeightedMinAge12),MAX(CapacityAge12*'01_Вводные'!$B$218*'19_Расчет_аналитики'!BM559,MeanMinAge12)))</f>
        <v/>
      </c>
      <c r="BN475">
        <f>IF(OR('19_Расчет_аналитики'!BN447=0,12&lt;='01_Вводные'!$B$297),0,'19_Расчет_аналитики'!BN447*IF('01_Вводные'!$B$239="Да",MeanMinAge12+'19_Расчет_аналитики'!BN559*SUMIF(ThresholdAge12,"&lt;"&amp;'19_Расчет_аналитики'!BN559,WeightedRevAge12)-SUMIF(ThresholdAge12,"&lt;"&amp;'19_Расчет_аналитики'!BN559,WeightedMinAge12),MAX(CapacityAge12*'01_Вводные'!$B$218*'19_Расчет_аналитики'!BN559,MeanMinAge12)))</f>
        <v/>
      </c>
      <c r="BO475">
        <f>IF(OR('19_Расчет_аналитики'!BO447=0,12&lt;='01_Вводные'!$B$297),0,'19_Расчет_аналитики'!BO447*IF('01_Вводные'!$B$239="Да",MeanMinAge12+'19_Расчет_аналитики'!BO559*SUMIF(ThresholdAge12,"&lt;"&amp;'19_Расчет_аналитики'!BO559,WeightedRevAge12)-SUMIF(ThresholdAge12,"&lt;"&amp;'19_Расчет_аналитики'!BO559,WeightedMinAge12),MAX(CapacityAge12*'01_Вводные'!$B$218*'19_Расчет_аналитики'!BO559,MeanMinAge12)))</f>
        <v/>
      </c>
    </row>
    <row r="476">
      <c r="B476">
        <f>IF(OR('06_Сеть_и_дети'!B93=0,13&lt;='01_Вводные'!$B$297),0,'06_Сеть_и_дети'!B93*IF('01_Вводные'!$B$239="Да",MeanMinAge13+'19_Расчет_аналитики'!B559*SUMIF(ThresholdAge13,"&lt;"&amp;'19_Расчет_аналитики'!B559,WeightedRevAge13)-SUMIF(ThresholdAge13,"&lt;"&amp;'19_Расчет_аналитики'!B559,WeightedMinAge13),MAX(CapacityAge13*'01_Вводные'!$B$218*'19_Расчет_аналитики'!B559,MeanMinAge13)))</f>
        <v/>
      </c>
      <c r="C476">
        <f>IF(OR('06_Сеть_и_дети'!C93=0,13&lt;='01_Вводные'!$B$297),0,'06_Сеть_и_дети'!C93*IF('01_Вводные'!$B$239="Да",MeanMinAge13+'19_Расчет_аналитики'!C559*SUMIF(ThresholdAge13,"&lt;"&amp;'19_Расчет_аналитики'!C559,WeightedRevAge13)-SUMIF(ThresholdAge13,"&lt;"&amp;'19_Расчет_аналитики'!C559,WeightedMinAge13),MAX(CapacityAge13*'01_Вводные'!$B$218*'19_Расчет_аналитики'!C559,MeanMinAge13)))</f>
        <v/>
      </c>
      <c r="D476">
        <f>IF(OR('06_Сеть_и_дети'!D93=0,13&lt;='01_Вводные'!$B$297),0,'06_Сеть_и_дети'!D93*IF('01_Вводные'!$B$239="Да",MeanMinAge13+'19_Расчет_аналитики'!D559*SUMIF(ThresholdAge13,"&lt;"&amp;'19_Расчет_аналитики'!D559,WeightedRevAge13)-SUMIF(ThresholdAge13,"&lt;"&amp;'19_Расчет_аналитики'!D559,WeightedMinAge13),MAX(CapacityAge13*'01_Вводные'!$B$218*'19_Расчет_аналитики'!D559,MeanMinAge13)))</f>
        <v/>
      </c>
      <c r="E476">
        <f>IF(OR('06_Сеть_и_дети'!E93=0,13&lt;='01_Вводные'!$B$297),0,'06_Сеть_и_дети'!E93*IF('01_Вводные'!$B$239="Да",MeanMinAge13+'19_Расчет_аналитики'!E559*SUMIF(ThresholdAge13,"&lt;"&amp;'19_Расчет_аналитики'!E559,WeightedRevAge13)-SUMIF(ThresholdAge13,"&lt;"&amp;'19_Расчет_аналитики'!E559,WeightedMinAge13),MAX(CapacityAge13*'01_Вводные'!$B$218*'19_Расчет_аналитики'!E559,MeanMinAge13)))</f>
        <v/>
      </c>
      <c r="F476">
        <f>IF(OR('06_Сеть_и_дети'!F93=0,13&lt;='01_Вводные'!$B$297),0,'06_Сеть_и_дети'!F93*IF('01_Вводные'!$B$239="Да",MeanMinAge13+'19_Расчет_аналитики'!F559*SUMIF(ThresholdAge13,"&lt;"&amp;'19_Расчет_аналитики'!F559,WeightedRevAge13)-SUMIF(ThresholdAge13,"&lt;"&amp;'19_Расчет_аналитики'!F559,WeightedMinAge13),MAX(CapacityAge13*'01_Вводные'!$B$218*'19_Расчет_аналитики'!F559,MeanMinAge13)))</f>
        <v/>
      </c>
      <c r="G476">
        <f>IF(OR('06_Сеть_и_дети'!G93=0,13&lt;='01_Вводные'!$B$297),0,'06_Сеть_и_дети'!G93*IF('01_Вводные'!$B$239="Да",MeanMinAge13+'19_Расчет_аналитики'!G559*SUMIF(ThresholdAge13,"&lt;"&amp;'19_Расчет_аналитики'!G559,WeightedRevAge13)-SUMIF(ThresholdAge13,"&lt;"&amp;'19_Расчет_аналитики'!G559,WeightedMinAge13),MAX(CapacityAge13*'01_Вводные'!$B$218*'19_Расчет_аналитики'!G559,MeanMinAge13)))</f>
        <v/>
      </c>
      <c r="H476">
        <f>IF(OR('06_Сеть_и_дети'!H93=0,13&lt;='01_Вводные'!$B$297),0,'06_Сеть_и_дети'!H93*IF('01_Вводные'!$B$239="Да",MeanMinAge13+'19_Расчет_аналитики'!H559*SUMIF(ThresholdAge13,"&lt;"&amp;'19_Расчет_аналитики'!H559,WeightedRevAge13)-SUMIF(ThresholdAge13,"&lt;"&amp;'19_Расчет_аналитики'!H559,WeightedMinAge13),MAX(CapacityAge13*'01_Вводные'!$B$218*'19_Расчет_аналитики'!H559,MeanMinAge13)))</f>
        <v/>
      </c>
      <c r="I476">
        <f>IF(OR('06_Сеть_и_дети'!I93=0,13&lt;='01_Вводные'!$B$297),0,'06_Сеть_и_дети'!I93*IF('01_Вводные'!$B$239="Да",MeanMinAge13+'19_Расчет_аналитики'!I559*SUMIF(ThresholdAge13,"&lt;"&amp;'19_Расчет_аналитики'!I559,WeightedRevAge13)-SUMIF(ThresholdAge13,"&lt;"&amp;'19_Расчет_аналитики'!I559,WeightedMinAge13),MAX(CapacityAge13*'01_Вводные'!$B$218*'19_Расчет_аналитики'!I559,MeanMinAge13)))</f>
        <v/>
      </c>
      <c r="J476">
        <f>IF(OR('06_Сеть_и_дети'!J93=0,13&lt;='01_Вводные'!$B$297),0,'06_Сеть_и_дети'!J93*IF('01_Вводные'!$B$239="Да",MeanMinAge13+'19_Расчет_аналитики'!J559*SUMIF(ThresholdAge13,"&lt;"&amp;'19_Расчет_аналитики'!J559,WeightedRevAge13)-SUMIF(ThresholdAge13,"&lt;"&amp;'19_Расчет_аналитики'!J559,WeightedMinAge13),MAX(CapacityAge13*'01_Вводные'!$B$218*'19_Расчет_аналитики'!J559,MeanMinAge13)))</f>
        <v/>
      </c>
      <c r="K476">
        <f>IF(OR('06_Сеть_и_дети'!K93=0,13&lt;='01_Вводные'!$B$297),0,'06_Сеть_и_дети'!K93*IF('01_Вводные'!$B$239="Да",MeanMinAge13+'19_Расчет_аналитики'!K559*SUMIF(ThresholdAge13,"&lt;"&amp;'19_Расчет_аналитики'!K559,WeightedRevAge13)-SUMIF(ThresholdAge13,"&lt;"&amp;'19_Расчет_аналитики'!K559,WeightedMinAge13),MAX(CapacityAge13*'01_Вводные'!$B$218*'19_Расчет_аналитики'!K559,MeanMinAge13)))</f>
        <v/>
      </c>
      <c r="L476">
        <f>IF(OR('06_Сеть_и_дети'!L93=0,13&lt;='01_Вводные'!$B$297),0,'06_Сеть_и_дети'!L93*IF('01_Вводные'!$B$239="Да",MeanMinAge13+'19_Расчет_аналитики'!L559*SUMIF(ThresholdAge13,"&lt;"&amp;'19_Расчет_аналитики'!L559,WeightedRevAge13)-SUMIF(ThresholdAge13,"&lt;"&amp;'19_Расчет_аналитики'!L559,WeightedMinAge13),MAX(CapacityAge13*'01_Вводные'!$B$218*'19_Расчет_аналитики'!L559,MeanMinAge13)))</f>
        <v/>
      </c>
      <c r="M476">
        <f>IF(OR('06_Сеть_и_дети'!M93=0,13&lt;='01_Вводные'!$B$297),0,'06_Сеть_и_дети'!M93*IF('01_Вводные'!$B$239="Да",MeanMinAge13+'19_Расчет_аналитики'!M559*SUMIF(ThresholdAge13,"&lt;"&amp;'19_Расчет_аналитики'!M559,WeightedRevAge13)-SUMIF(ThresholdAge13,"&lt;"&amp;'19_Расчет_аналитики'!M559,WeightedMinAge13),MAX(CapacityAge13*'01_Вводные'!$B$218*'19_Расчет_аналитики'!M559,MeanMinAge13)))</f>
        <v/>
      </c>
      <c r="N476">
        <f>IF(OR('19_Расчет_аналитики'!N448=0,13&lt;='01_Вводные'!$B$297),0,'19_Расчет_аналитики'!N448*IF('01_Вводные'!$B$239="Да",MeanMinAge13+'19_Расчет_аналитики'!N559*SUMIF(ThresholdAge13,"&lt;"&amp;'19_Расчет_аналитики'!N559,WeightedRevAge13)-SUMIF(ThresholdAge13,"&lt;"&amp;'19_Расчет_аналитики'!N559,WeightedMinAge13),MAX(CapacityAge13*'01_Вводные'!$B$218*'19_Расчет_аналитики'!N559,MeanMinAge13)))</f>
        <v/>
      </c>
      <c r="O476">
        <f>IF(OR('19_Расчет_аналитики'!O448=0,13&lt;='01_Вводные'!$B$297),0,'19_Расчет_аналитики'!O448*IF('01_Вводные'!$B$239="Да",MeanMinAge13+'19_Расчет_аналитики'!O559*SUMIF(ThresholdAge13,"&lt;"&amp;'19_Расчет_аналитики'!O559,WeightedRevAge13)-SUMIF(ThresholdAge13,"&lt;"&amp;'19_Расчет_аналитики'!O559,WeightedMinAge13),MAX(CapacityAge13*'01_Вводные'!$B$218*'19_Расчет_аналитики'!O559,MeanMinAge13)))</f>
        <v/>
      </c>
      <c r="P476">
        <f>IF(OR('19_Расчет_аналитики'!P448=0,13&lt;='01_Вводные'!$B$297),0,'19_Расчет_аналитики'!P448*IF('01_Вводные'!$B$239="Да",MeanMinAge13+'19_Расчет_аналитики'!P559*SUMIF(ThresholdAge13,"&lt;"&amp;'19_Расчет_аналитики'!P559,WeightedRevAge13)-SUMIF(ThresholdAge13,"&lt;"&amp;'19_Расчет_аналитики'!P559,WeightedMinAge13),MAX(CapacityAge13*'01_Вводные'!$B$218*'19_Расчет_аналитики'!P559,MeanMinAge13)))</f>
        <v/>
      </c>
      <c r="Q476">
        <f>IF(OR('19_Расчет_аналитики'!Q448=0,13&lt;='01_Вводные'!$B$297),0,'19_Расчет_аналитики'!Q448*IF('01_Вводные'!$B$239="Да",MeanMinAge13+'19_Расчет_аналитики'!Q559*SUMIF(ThresholdAge13,"&lt;"&amp;'19_Расчет_аналитики'!Q559,WeightedRevAge13)-SUMIF(ThresholdAge13,"&lt;"&amp;'19_Расчет_аналитики'!Q559,WeightedMinAge13),MAX(CapacityAge13*'01_Вводные'!$B$218*'19_Расчет_аналитики'!Q559,MeanMinAge13)))</f>
        <v/>
      </c>
      <c r="R476">
        <f>IF(OR('19_Расчет_аналитики'!R448=0,13&lt;='01_Вводные'!$B$297),0,'19_Расчет_аналитики'!R448*IF('01_Вводные'!$B$239="Да",MeanMinAge13+'19_Расчет_аналитики'!R559*SUMIF(ThresholdAge13,"&lt;"&amp;'19_Расчет_аналитики'!R559,WeightedRevAge13)-SUMIF(ThresholdAge13,"&lt;"&amp;'19_Расчет_аналитики'!R559,WeightedMinAge13),MAX(CapacityAge13*'01_Вводные'!$B$218*'19_Расчет_аналитики'!R559,MeanMinAge13)))</f>
        <v/>
      </c>
      <c r="S476">
        <f>IF(OR('19_Расчет_аналитики'!S448=0,13&lt;='01_Вводные'!$B$297),0,'19_Расчет_аналитики'!S448*IF('01_Вводные'!$B$239="Да",MeanMinAge13+'19_Расчет_аналитики'!S559*SUMIF(ThresholdAge13,"&lt;"&amp;'19_Расчет_аналитики'!S559,WeightedRevAge13)-SUMIF(ThresholdAge13,"&lt;"&amp;'19_Расчет_аналитики'!S559,WeightedMinAge13),MAX(CapacityAge13*'01_Вводные'!$B$218*'19_Расчет_аналитики'!S559,MeanMinAge13)))</f>
        <v/>
      </c>
      <c r="T476">
        <f>IF(OR('19_Расчет_аналитики'!T448=0,13&lt;='01_Вводные'!$B$297),0,'19_Расчет_аналитики'!T448*IF('01_Вводные'!$B$239="Да",MeanMinAge13+'19_Расчет_аналитики'!T559*SUMIF(ThresholdAge13,"&lt;"&amp;'19_Расчет_аналитики'!T559,WeightedRevAge13)-SUMIF(ThresholdAge13,"&lt;"&amp;'19_Расчет_аналитики'!T559,WeightedMinAge13),MAX(CapacityAge13*'01_Вводные'!$B$218*'19_Расчет_аналитики'!T559,MeanMinAge13)))</f>
        <v/>
      </c>
      <c r="U476">
        <f>IF(OR('19_Расчет_аналитики'!U448=0,13&lt;='01_Вводные'!$B$297),0,'19_Расчет_аналитики'!U448*IF('01_Вводные'!$B$239="Да",MeanMinAge13+'19_Расчет_аналитики'!U559*SUMIF(ThresholdAge13,"&lt;"&amp;'19_Расчет_аналитики'!U559,WeightedRevAge13)-SUMIF(ThresholdAge13,"&lt;"&amp;'19_Расчет_аналитики'!U559,WeightedMinAge13),MAX(CapacityAge13*'01_Вводные'!$B$218*'19_Расчет_аналитики'!U559,MeanMinAge13)))</f>
        <v/>
      </c>
      <c r="V476">
        <f>IF(OR('19_Расчет_аналитики'!V448=0,13&lt;='01_Вводные'!$B$297),0,'19_Расчет_аналитики'!V448*IF('01_Вводные'!$B$239="Да",MeanMinAge13+'19_Расчет_аналитики'!V559*SUMIF(ThresholdAge13,"&lt;"&amp;'19_Расчет_аналитики'!V559,WeightedRevAge13)-SUMIF(ThresholdAge13,"&lt;"&amp;'19_Расчет_аналитики'!V559,WeightedMinAge13),MAX(CapacityAge13*'01_Вводные'!$B$218*'19_Расчет_аналитики'!V559,MeanMinAge13)))</f>
        <v/>
      </c>
      <c r="W476">
        <f>IF(OR('19_Расчет_аналитики'!W448=0,13&lt;='01_Вводные'!$B$297),0,'19_Расчет_аналитики'!W448*IF('01_Вводные'!$B$239="Да",MeanMinAge13+'19_Расчет_аналитики'!W559*SUMIF(ThresholdAge13,"&lt;"&amp;'19_Расчет_аналитики'!W559,WeightedRevAge13)-SUMIF(ThresholdAge13,"&lt;"&amp;'19_Расчет_аналитики'!W559,WeightedMinAge13),MAX(CapacityAge13*'01_Вводные'!$B$218*'19_Расчет_аналитики'!W559,MeanMinAge13)))</f>
        <v/>
      </c>
      <c r="X476">
        <f>IF(OR('19_Расчет_аналитики'!X448=0,13&lt;='01_Вводные'!$B$297),0,'19_Расчет_аналитики'!X448*IF('01_Вводные'!$B$239="Да",MeanMinAge13+'19_Расчет_аналитики'!X559*SUMIF(ThresholdAge13,"&lt;"&amp;'19_Расчет_аналитики'!X559,WeightedRevAge13)-SUMIF(ThresholdAge13,"&lt;"&amp;'19_Расчет_аналитики'!X559,WeightedMinAge13),MAX(CapacityAge13*'01_Вводные'!$B$218*'19_Расчет_аналитики'!X559,MeanMinAge13)))</f>
        <v/>
      </c>
      <c r="Y476">
        <f>IF(OR('19_Расчет_аналитики'!Y448=0,13&lt;='01_Вводные'!$B$297),0,'19_Расчет_аналитики'!Y448*IF('01_Вводные'!$B$239="Да",MeanMinAge13+'19_Расчет_аналитики'!Y559*SUMIF(ThresholdAge13,"&lt;"&amp;'19_Расчет_аналитики'!Y559,WeightedRevAge13)-SUMIF(ThresholdAge13,"&lt;"&amp;'19_Расчет_аналитики'!Y559,WeightedMinAge13),MAX(CapacityAge13*'01_Вводные'!$B$218*'19_Расчет_аналитики'!Y559,MeanMinAge13)))</f>
        <v/>
      </c>
      <c r="Z476">
        <f>IF(OR('19_Расчет_аналитики'!Z448=0,13&lt;='01_Вводные'!$B$297),0,'19_Расчет_аналитики'!Z448*IF('01_Вводные'!$B$239="Да",MeanMinAge13+'19_Расчет_аналитики'!Z559*SUMIF(ThresholdAge13,"&lt;"&amp;'19_Расчет_аналитики'!Z559,WeightedRevAge13)-SUMIF(ThresholdAge13,"&lt;"&amp;'19_Расчет_аналитики'!Z559,WeightedMinAge13),MAX(CapacityAge13*'01_Вводные'!$B$218*'19_Расчет_аналитики'!Z559,MeanMinAge13)))</f>
        <v/>
      </c>
      <c r="AA476">
        <f>IF(OR('19_Расчет_аналитики'!AA448=0,13&lt;='01_Вводные'!$B$297),0,'19_Расчет_аналитики'!AA448*IF('01_Вводные'!$B$239="Да",MeanMinAge13+'19_Расчет_аналитики'!AA559*SUMIF(ThresholdAge13,"&lt;"&amp;'19_Расчет_аналитики'!AA559,WeightedRevAge13)-SUMIF(ThresholdAge13,"&lt;"&amp;'19_Расчет_аналитики'!AA559,WeightedMinAge13),MAX(CapacityAge13*'01_Вводные'!$B$218*'19_Расчет_аналитики'!AA559,MeanMinAge13)))</f>
        <v/>
      </c>
      <c r="AB476">
        <f>IF(OR('19_Расчет_аналитики'!AB448=0,13&lt;='01_Вводные'!$B$297),0,'19_Расчет_аналитики'!AB448*IF('01_Вводные'!$B$239="Да",MeanMinAge13+'19_Расчет_аналитики'!AB559*SUMIF(ThresholdAge13,"&lt;"&amp;'19_Расчет_аналитики'!AB559,WeightedRevAge13)-SUMIF(ThresholdAge13,"&lt;"&amp;'19_Расчет_аналитики'!AB559,WeightedMinAge13),MAX(CapacityAge13*'01_Вводные'!$B$218*'19_Расчет_аналитики'!AB559,MeanMinAge13)))</f>
        <v/>
      </c>
      <c r="AC476">
        <f>IF(OR('19_Расчет_аналитики'!AC448=0,13&lt;='01_Вводные'!$B$297),0,'19_Расчет_аналитики'!AC448*IF('01_Вводные'!$B$239="Да",MeanMinAge13+'19_Расчет_аналитики'!AC559*SUMIF(ThresholdAge13,"&lt;"&amp;'19_Расчет_аналитики'!AC559,WeightedRevAge13)-SUMIF(ThresholdAge13,"&lt;"&amp;'19_Расчет_аналитики'!AC559,WeightedMinAge13),MAX(CapacityAge13*'01_Вводные'!$B$218*'19_Расчет_аналитики'!AC559,MeanMinAge13)))</f>
        <v/>
      </c>
      <c r="AD476">
        <f>IF(OR('19_Расчет_аналитики'!AD448=0,13&lt;='01_Вводные'!$B$297),0,'19_Расчет_аналитики'!AD448*IF('01_Вводные'!$B$239="Да",MeanMinAge13+'19_Расчет_аналитики'!AD559*SUMIF(ThresholdAge13,"&lt;"&amp;'19_Расчет_аналитики'!AD559,WeightedRevAge13)-SUMIF(ThresholdAge13,"&lt;"&amp;'19_Расчет_аналитики'!AD559,WeightedMinAge13),MAX(CapacityAge13*'01_Вводные'!$B$218*'19_Расчет_аналитики'!AD559,MeanMinAge13)))</f>
        <v/>
      </c>
      <c r="AE476">
        <f>IF(OR('19_Расчет_аналитики'!AE448=0,13&lt;='01_Вводные'!$B$297),0,'19_Расчет_аналитики'!AE448*IF('01_Вводные'!$B$239="Да",MeanMinAge13+'19_Расчет_аналитики'!AE559*SUMIF(ThresholdAge13,"&lt;"&amp;'19_Расчет_аналитики'!AE559,WeightedRevAge13)-SUMIF(ThresholdAge13,"&lt;"&amp;'19_Расчет_аналитики'!AE559,WeightedMinAge13),MAX(CapacityAge13*'01_Вводные'!$B$218*'19_Расчет_аналитики'!AE559,MeanMinAge13)))</f>
        <v/>
      </c>
      <c r="AF476">
        <f>IF(OR('19_Расчет_аналитики'!AF448=0,13&lt;='01_Вводные'!$B$297),0,'19_Расчет_аналитики'!AF448*IF('01_Вводные'!$B$239="Да",MeanMinAge13+'19_Расчет_аналитики'!AF559*SUMIF(ThresholdAge13,"&lt;"&amp;'19_Расчет_аналитики'!AF559,WeightedRevAge13)-SUMIF(ThresholdAge13,"&lt;"&amp;'19_Расчет_аналитики'!AF559,WeightedMinAge13),MAX(CapacityAge13*'01_Вводные'!$B$218*'19_Расчет_аналитики'!AF559,MeanMinAge13)))</f>
        <v/>
      </c>
      <c r="AG476">
        <f>IF(OR('19_Расчет_аналитики'!AG448=0,13&lt;='01_Вводные'!$B$297),0,'19_Расчет_аналитики'!AG448*IF('01_Вводные'!$B$239="Да",MeanMinAge13+'19_Расчет_аналитики'!AG559*SUMIF(ThresholdAge13,"&lt;"&amp;'19_Расчет_аналитики'!AG559,WeightedRevAge13)-SUMIF(ThresholdAge13,"&lt;"&amp;'19_Расчет_аналитики'!AG559,WeightedMinAge13),MAX(CapacityAge13*'01_Вводные'!$B$218*'19_Расчет_аналитики'!AG559,MeanMinAge13)))</f>
        <v/>
      </c>
      <c r="AH476">
        <f>IF(OR('19_Расчет_аналитики'!AH448=0,13&lt;='01_Вводные'!$B$297),0,'19_Расчет_аналитики'!AH448*IF('01_Вводные'!$B$239="Да",MeanMinAge13+'19_Расчет_аналитики'!AH559*SUMIF(ThresholdAge13,"&lt;"&amp;'19_Расчет_аналитики'!AH559,WeightedRevAge13)-SUMIF(ThresholdAge13,"&lt;"&amp;'19_Расчет_аналитики'!AH559,WeightedMinAge13),MAX(CapacityAge13*'01_Вводные'!$B$218*'19_Расчет_аналитики'!AH559,MeanMinAge13)))</f>
        <v/>
      </c>
      <c r="AI476">
        <f>IF(OR('19_Расчет_аналитики'!AI448=0,13&lt;='01_Вводные'!$B$297),0,'19_Расчет_аналитики'!AI448*IF('01_Вводные'!$B$239="Да",MeanMinAge13+'19_Расчет_аналитики'!AI559*SUMIF(ThresholdAge13,"&lt;"&amp;'19_Расчет_аналитики'!AI559,WeightedRevAge13)-SUMIF(ThresholdAge13,"&lt;"&amp;'19_Расчет_аналитики'!AI559,WeightedMinAge13),MAX(CapacityAge13*'01_Вводные'!$B$218*'19_Расчет_аналитики'!AI559,MeanMinAge13)))</f>
        <v/>
      </c>
      <c r="AJ476">
        <f>IF(OR('19_Расчет_аналитики'!AJ448=0,13&lt;='01_Вводные'!$B$297),0,'19_Расчет_аналитики'!AJ448*IF('01_Вводные'!$B$239="Да",MeanMinAge13+'19_Расчет_аналитики'!AJ559*SUMIF(ThresholdAge13,"&lt;"&amp;'19_Расчет_аналитики'!AJ559,WeightedRevAge13)-SUMIF(ThresholdAge13,"&lt;"&amp;'19_Расчет_аналитики'!AJ559,WeightedMinAge13),MAX(CapacityAge13*'01_Вводные'!$B$218*'19_Расчет_аналитики'!AJ559,MeanMinAge13)))</f>
        <v/>
      </c>
      <c r="AK476">
        <f>IF(OR('19_Расчет_аналитики'!AK448=0,13&lt;='01_Вводные'!$B$297),0,'19_Расчет_аналитики'!AK448*IF('01_Вводные'!$B$239="Да",MeanMinAge13+'19_Расчет_аналитики'!AK559*SUMIF(ThresholdAge13,"&lt;"&amp;'19_Расчет_аналитики'!AK559,WeightedRevAge13)-SUMIF(ThresholdAge13,"&lt;"&amp;'19_Расчет_аналитики'!AK559,WeightedMinAge13),MAX(CapacityAge13*'01_Вводные'!$B$218*'19_Расчет_аналитики'!AK559,MeanMinAge13)))</f>
        <v/>
      </c>
      <c r="AL476">
        <f>IF(OR('19_Расчет_аналитики'!AL448=0,13&lt;='01_Вводные'!$B$297),0,'19_Расчет_аналитики'!AL448*IF('01_Вводные'!$B$239="Да",MeanMinAge13+'19_Расчет_аналитики'!AL559*SUMIF(ThresholdAge13,"&lt;"&amp;'19_Расчет_аналитики'!AL559,WeightedRevAge13)-SUMIF(ThresholdAge13,"&lt;"&amp;'19_Расчет_аналитики'!AL559,WeightedMinAge13),MAX(CapacityAge13*'01_Вводные'!$B$218*'19_Расчет_аналитики'!AL559,MeanMinAge13)))</f>
        <v/>
      </c>
      <c r="AM476">
        <f>IF(OR('19_Расчет_аналитики'!AM448=0,13&lt;='01_Вводные'!$B$297),0,'19_Расчет_аналитики'!AM448*IF('01_Вводные'!$B$239="Да",MeanMinAge13+'19_Расчет_аналитики'!AM559*SUMIF(ThresholdAge13,"&lt;"&amp;'19_Расчет_аналитики'!AM559,WeightedRevAge13)-SUMIF(ThresholdAge13,"&lt;"&amp;'19_Расчет_аналитики'!AM559,WeightedMinAge13),MAX(CapacityAge13*'01_Вводные'!$B$218*'19_Расчет_аналитики'!AM559,MeanMinAge13)))</f>
        <v/>
      </c>
      <c r="AN476">
        <f>IF(OR('19_Расчет_аналитики'!AN448=0,13&lt;='01_Вводные'!$B$297),0,'19_Расчет_аналитики'!AN448*IF('01_Вводные'!$B$239="Да",MeanMinAge13+'19_Расчет_аналитики'!AN559*SUMIF(ThresholdAge13,"&lt;"&amp;'19_Расчет_аналитики'!AN559,WeightedRevAge13)-SUMIF(ThresholdAge13,"&lt;"&amp;'19_Расчет_аналитики'!AN559,WeightedMinAge13),MAX(CapacityAge13*'01_Вводные'!$B$218*'19_Расчет_аналитики'!AN559,MeanMinAge13)))</f>
        <v/>
      </c>
      <c r="AO476">
        <f>IF(OR('19_Расчет_аналитики'!AO448=0,13&lt;='01_Вводные'!$B$297),0,'19_Расчет_аналитики'!AO448*IF('01_Вводные'!$B$239="Да",MeanMinAge13+'19_Расчет_аналитики'!AO559*SUMIF(ThresholdAge13,"&lt;"&amp;'19_Расчет_аналитики'!AO559,WeightedRevAge13)-SUMIF(ThresholdAge13,"&lt;"&amp;'19_Расчет_аналитики'!AO559,WeightedMinAge13),MAX(CapacityAge13*'01_Вводные'!$B$218*'19_Расчет_аналитики'!AO559,MeanMinAge13)))</f>
        <v/>
      </c>
      <c r="AP476">
        <f>IF(OR('19_Расчет_аналитики'!AP448=0,13&lt;='01_Вводные'!$B$297),0,'19_Расчет_аналитики'!AP448*IF('01_Вводные'!$B$239="Да",MeanMinAge13+'19_Расчет_аналитики'!AP559*SUMIF(ThresholdAge13,"&lt;"&amp;'19_Расчет_аналитики'!AP559,WeightedRevAge13)-SUMIF(ThresholdAge13,"&lt;"&amp;'19_Расчет_аналитики'!AP559,WeightedMinAge13),MAX(CapacityAge13*'01_Вводные'!$B$218*'19_Расчет_аналитики'!AP559,MeanMinAge13)))</f>
        <v/>
      </c>
      <c r="AQ476">
        <f>IF(OR('19_Расчет_аналитики'!AQ448=0,13&lt;='01_Вводные'!$B$297),0,'19_Расчет_аналитики'!AQ448*IF('01_Вводные'!$B$239="Да",MeanMinAge13+'19_Расчет_аналитики'!AQ559*SUMIF(ThresholdAge13,"&lt;"&amp;'19_Расчет_аналитики'!AQ559,WeightedRevAge13)-SUMIF(ThresholdAge13,"&lt;"&amp;'19_Расчет_аналитики'!AQ559,WeightedMinAge13),MAX(CapacityAge13*'01_Вводные'!$B$218*'19_Расчет_аналитики'!AQ559,MeanMinAge13)))</f>
        <v/>
      </c>
      <c r="AR476">
        <f>IF(OR('19_Расчет_аналитики'!AR448=0,13&lt;='01_Вводные'!$B$297),0,'19_Расчет_аналитики'!AR448*IF('01_Вводные'!$B$239="Да",MeanMinAge13+'19_Расчет_аналитики'!AR559*SUMIF(ThresholdAge13,"&lt;"&amp;'19_Расчет_аналитики'!AR559,WeightedRevAge13)-SUMIF(ThresholdAge13,"&lt;"&amp;'19_Расчет_аналитики'!AR559,WeightedMinAge13),MAX(CapacityAge13*'01_Вводные'!$B$218*'19_Расчет_аналитики'!AR559,MeanMinAge13)))</f>
        <v/>
      </c>
      <c r="AS476">
        <f>IF(OR('19_Расчет_аналитики'!AS448=0,13&lt;='01_Вводные'!$B$297),0,'19_Расчет_аналитики'!AS448*IF('01_Вводные'!$B$239="Да",MeanMinAge13+'19_Расчет_аналитики'!AS559*SUMIF(ThresholdAge13,"&lt;"&amp;'19_Расчет_аналитики'!AS559,WeightedRevAge13)-SUMIF(ThresholdAge13,"&lt;"&amp;'19_Расчет_аналитики'!AS559,WeightedMinAge13),MAX(CapacityAge13*'01_Вводные'!$B$218*'19_Расчет_аналитики'!AS559,MeanMinAge13)))</f>
        <v/>
      </c>
      <c r="AT476">
        <f>IF(OR('19_Расчет_аналитики'!AT448=0,13&lt;='01_Вводные'!$B$297),0,'19_Расчет_аналитики'!AT448*IF('01_Вводные'!$B$239="Да",MeanMinAge13+'19_Расчет_аналитики'!AT559*SUMIF(ThresholdAge13,"&lt;"&amp;'19_Расчет_аналитики'!AT559,WeightedRevAge13)-SUMIF(ThresholdAge13,"&lt;"&amp;'19_Расчет_аналитики'!AT559,WeightedMinAge13),MAX(CapacityAge13*'01_Вводные'!$B$218*'19_Расчет_аналитики'!AT559,MeanMinAge13)))</f>
        <v/>
      </c>
      <c r="AU476">
        <f>IF(OR('19_Расчет_аналитики'!AU448=0,13&lt;='01_Вводные'!$B$297),0,'19_Расчет_аналитики'!AU448*IF('01_Вводные'!$B$239="Да",MeanMinAge13+'19_Расчет_аналитики'!AU559*SUMIF(ThresholdAge13,"&lt;"&amp;'19_Расчет_аналитики'!AU559,WeightedRevAge13)-SUMIF(ThresholdAge13,"&lt;"&amp;'19_Расчет_аналитики'!AU559,WeightedMinAge13),MAX(CapacityAge13*'01_Вводные'!$B$218*'19_Расчет_аналитики'!AU559,MeanMinAge13)))</f>
        <v/>
      </c>
      <c r="AV476">
        <f>IF(OR('19_Расчет_аналитики'!AV448=0,13&lt;='01_Вводные'!$B$297),0,'19_Расчет_аналитики'!AV448*IF('01_Вводные'!$B$239="Да",MeanMinAge13+'19_Расчет_аналитики'!AV559*SUMIF(ThresholdAge13,"&lt;"&amp;'19_Расчет_аналитики'!AV559,WeightedRevAge13)-SUMIF(ThresholdAge13,"&lt;"&amp;'19_Расчет_аналитики'!AV559,WeightedMinAge13),MAX(CapacityAge13*'01_Вводные'!$B$218*'19_Расчет_аналитики'!AV559,MeanMinAge13)))</f>
        <v/>
      </c>
      <c r="AW476">
        <f>IF(OR('19_Расчет_аналитики'!AW448=0,13&lt;='01_Вводные'!$B$297),0,'19_Расчет_аналитики'!AW448*IF('01_Вводные'!$B$239="Да",MeanMinAge13+'19_Расчет_аналитики'!AW559*SUMIF(ThresholdAge13,"&lt;"&amp;'19_Расчет_аналитики'!AW559,WeightedRevAge13)-SUMIF(ThresholdAge13,"&lt;"&amp;'19_Расчет_аналитики'!AW559,WeightedMinAge13),MAX(CapacityAge13*'01_Вводные'!$B$218*'19_Расчет_аналитики'!AW559,MeanMinAge13)))</f>
        <v/>
      </c>
      <c r="AX476">
        <f>IF(OR('19_Расчет_аналитики'!AX448=0,13&lt;='01_Вводные'!$B$297),0,'19_Расчет_аналитики'!AX448*IF('01_Вводные'!$B$239="Да",MeanMinAge13+'19_Расчет_аналитики'!AX559*SUMIF(ThresholdAge13,"&lt;"&amp;'19_Расчет_аналитики'!AX559,WeightedRevAge13)-SUMIF(ThresholdAge13,"&lt;"&amp;'19_Расчет_аналитики'!AX559,WeightedMinAge13),MAX(CapacityAge13*'01_Вводные'!$B$218*'19_Расчет_аналитики'!AX559,MeanMinAge13)))</f>
        <v/>
      </c>
      <c r="AY476">
        <f>IF(OR('19_Расчет_аналитики'!AY448=0,13&lt;='01_Вводные'!$B$297),0,'19_Расчет_аналитики'!AY448*IF('01_Вводные'!$B$239="Да",MeanMinAge13+'19_Расчет_аналитики'!AY559*SUMIF(ThresholdAge13,"&lt;"&amp;'19_Расчет_аналитики'!AY559,WeightedRevAge13)-SUMIF(ThresholdAge13,"&lt;"&amp;'19_Расчет_аналитики'!AY559,WeightedMinAge13),MAX(CapacityAge13*'01_Вводные'!$B$218*'19_Расчет_аналитики'!AY559,MeanMinAge13)))</f>
        <v/>
      </c>
      <c r="AZ476">
        <f>IF(OR('19_Расчет_аналитики'!AZ448=0,13&lt;='01_Вводные'!$B$297),0,'19_Расчет_аналитики'!AZ448*IF('01_Вводные'!$B$239="Да",MeanMinAge13+'19_Расчет_аналитики'!AZ559*SUMIF(ThresholdAge13,"&lt;"&amp;'19_Расчет_аналитики'!AZ559,WeightedRevAge13)-SUMIF(ThresholdAge13,"&lt;"&amp;'19_Расчет_аналитики'!AZ559,WeightedMinAge13),MAX(CapacityAge13*'01_Вводные'!$B$218*'19_Расчет_аналитики'!AZ559,MeanMinAge13)))</f>
        <v/>
      </c>
      <c r="BA476">
        <f>IF(OR('19_Расчет_аналитики'!BA448=0,13&lt;='01_Вводные'!$B$297),0,'19_Расчет_аналитики'!BA448*IF('01_Вводные'!$B$239="Да",MeanMinAge13+'19_Расчет_аналитики'!BA559*SUMIF(ThresholdAge13,"&lt;"&amp;'19_Расчет_аналитики'!BA559,WeightedRevAge13)-SUMIF(ThresholdAge13,"&lt;"&amp;'19_Расчет_аналитики'!BA559,WeightedMinAge13),MAX(CapacityAge13*'01_Вводные'!$B$218*'19_Расчет_аналитики'!BA559,MeanMinAge13)))</f>
        <v/>
      </c>
      <c r="BB476">
        <f>IF(OR('19_Расчет_аналитики'!BB448=0,13&lt;='01_Вводные'!$B$297),0,'19_Расчет_аналитики'!BB448*IF('01_Вводные'!$B$239="Да",MeanMinAge13+'19_Расчет_аналитики'!BB559*SUMIF(ThresholdAge13,"&lt;"&amp;'19_Расчет_аналитики'!BB559,WeightedRevAge13)-SUMIF(ThresholdAge13,"&lt;"&amp;'19_Расчет_аналитики'!BB559,WeightedMinAge13),MAX(CapacityAge13*'01_Вводные'!$B$218*'19_Расчет_аналитики'!BB559,MeanMinAge13)))</f>
        <v/>
      </c>
      <c r="BC476">
        <f>IF(OR('19_Расчет_аналитики'!BC448=0,13&lt;='01_Вводные'!$B$297),0,'19_Расчет_аналитики'!BC448*IF('01_Вводные'!$B$239="Да",MeanMinAge13+'19_Расчет_аналитики'!BC559*SUMIF(ThresholdAge13,"&lt;"&amp;'19_Расчет_аналитики'!BC559,WeightedRevAge13)-SUMIF(ThresholdAge13,"&lt;"&amp;'19_Расчет_аналитики'!BC559,WeightedMinAge13),MAX(CapacityAge13*'01_Вводные'!$B$218*'19_Расчет_аналитики'!BC559,MeanMinAge13)))</f>
        <v/>
      </c>
      <c r="BD476">
        <f>IF(OR('19_Расчет_аналитики'!BD448=0,13&lt;='01_Вводные'!$B$297),0,'19_Расчет_аналитики'!BD448*IF('01_Вводные'!$B$239="Да",MeanMinAge13+'19_Расчет_аналитики'!BD559*SUMIF(ThresholdAge13,"&lt;"&amp;'19_Расчет_аналитики'!BD559,WeightedRevAge13)-SUMIF(ThresholdAge13,"&lt;"&amp;'19_Расчет_аналитики'!BD559,WeightedMinAge13),MAX(CapacityAge13*'01_Вводные'!$B$218*'19_Расчет_аналитики'!BD559,MeanMinAge13)))</f>
        <v/>
      </c>
      <c r="BE476">
        <f>IF(OR('19_Расчет_аналитики'!BE448=0,13&lt;='01_Вводные'!$B$297),0,'19_Расчет_аналитики'!BE448*IF('01_Вводные'!$B$239="Да",MeanMinAge13+'19_Расчет_аналитики'!BE559*SUMIF(ThresholdAge13,"&lt;"&amp;'19_Расчет_аналитики'!BE559,WeightedRevAge13)-SUMIF(ThresholdAge13,"&lt;"&amp;'19_Расчет_аналитики'!BE559,WeightedMinAge13),MAX(CapacityAge13*'01_Вводные'!$B$218*'19_Расчет_аналитики'!BE559,MeanMinAge13)))</f>
        <v/>
      </c>
      <c r="BF476">
        <f>IF(OR('19_Расчет_аналитики'!BF448=0,13&lt;='01_Вводные'!$B$297),0,'19_Расчет_аналитики'!BF448*IF('01_Вводные'!$B$239="Да",MeanMinAge13+'19_Расчет_аналитики'!BF559*SUMIF(ThresholdAge13,"&lt;"&amp;'19_Расчет_аналитики'!BF559,WeightedRevAge13)-SUMIF(ThresholdAge13,"&lt;"&amp;'19_Расчет_аналитики'!BF559,WeightedMinAge13),MAX(CapacityAge13*'01_Вводные'!$B$218*'19_Расчет_аналитики'!BF559,MeanMinAge13)))</f>
        <v/>
      </c>
      <c r="BG476">
        <f>IF(OR('19_Расчет_аналитики'!BG448=0,13&lt;='01_Вводные'!$B$297),0,'19_Расчет_аналитики'!BG448*IF('01_Вводные'!$B$239="Да",MeanMinAge13+'19_Расчет_аналитики'!BG559*SUMIF(ThresholdAge13,"&lt;"&amp;'19_Расчет_аналитики'!BG559,WeightedRevAge13)-SUMIF(ThresholdAge13,"&lt;"&amp;'19_Расчет_аналитики'!BG559,WeightedMinAge13),MAX(CapacityAge13*'01_Вводные'!$B$218*'19_Расчет_аналитики'!BG559,MeanMinAge13)))</f>
        <v/>
      </c>
      <c r="BH476">
        <f>IF(OR('19_Расчет_аналитики'!BH448=0,13&lt;='01_Вводные'!$B$297),0,'19_Расчет_аналитики'!BH448*IF('01_Вводные'!$B$239="Да",MeanMinAge13+'19_Расчет_аналитики'!BH559*SUMIF(ThresholdAge13,"&lt;"&amp;'19_Расчет_аналитики'!BH559,WeightedRevAge13)-SUMIF(ThresholdAge13,"&lt;"&amp;'19_Расчет_аналитики'!BH559,WeightedMinAge13),MAX(CapacityAge13*'01_Вводные'!$B$218*'19_Расчет_аналитики'!BH559,MeanMinAge13)))</f>
        <v/>
      </c>
      <c r="BI476">
        <f>IF(OR('19_Расчет_аналитики'!BI448=0,13&lt;='01_Вводные'!$B$297),0,'19_Расчет_аналитики'!BI448*IF('01_Вводные'!$B$239="Да",MeanMinAge13+'19_Расчет_аналитики'!BI559*SUMIF(ThresholdAge13,"&lt;"&amp;'19_Расчет_аналитики'!BI559,WeightedRevAge13)-SUMIF(ThresholdAge13,"&lt;"&amp;'19_Расчет_аналитики'!BI559,WeightedMinAge13),MAX(CapacityAge13*'01_Вводные'!$B$218*'19_Расчет_аналитики'!BI559,MeanMinAge13)))</f>
        <v/>
      </c>
      <c r="BJ476">
        <f>IF(OR('19_Расчет_аналитики'!BJ448=0,13&lt;='01_Вводные'!$B$297),0,'19_Расчет_аналитики'!BJ448*IF('01_Вводные'!$B$239="Да",MeanMinAge13+'19_Расчет_аналитики'!BJ559*SUMIF(ThresholdAge13,"&lt;"&amp;'19_Расчет_аналитики'!BJ559,WeightedRevAge13)-SUMIF(ThresholdAge13,"&lt;"&amp;'19_Расчет_аналитики'!BJ559,WeightedMinAge13),MAX(CapacityAge13*'01_Вводные'!$B$218*'19_Расчет_аналитики'!BJ559,MeanMinAge13)))</f>
        <v/>
      </c>
      <c r="BK476">
        <f>IF(OR('19_Расчет_аналитики'!BK448=0,13&lt;='01_Вводные'!$B$297),0,'19_Расчет_аналитики'!BK448*IF('01_Вводные'!$B$239="Да",MeanMinAge13+'19_Расчет_аналитики'!BK559*SUMIF(ThresholdAge13,"&lt;"&amp;'19_Расчет_аналитики'!BK559,WeightedRevAge13)-SUMIF(ThresholdAge13,"&lt;"&amp;'19_Расчет_аналитики'!BK559,WeightedMinAge13),MAX(CapacityAge13*'01_Вводные'!$B$218*'19_Расчет_аналитики'!BK559,MeanMinAge13)))</f>
        <v/>
      </c>
      <c r="BL476">
        <f>IF(OR('19_Расчет_аналитики'!BL448=0,13&lt;='01_Вводные'!$B$297),0,'19_Расчет_аналитики'!BL448*IF('01_Вводные'!$B$239="Да",MeanMinAge13+'19_Расчет_аналитики'!BL559*SUMIF(ThresholdAge13,"&lt;"&amp;'19_Расчет_аналитики'!BL559,WeightedRevAge13)-SUMIF(ThresholdAge13,"&lt;"&amp;'19_Расчет_аналитики'!BL559,WeightedMinAge13),MAX(CapacityAge13*'01_Вводные'!$B$218*'19_Расчет_аналитики'!BL559,MeanMinAge13)))</f>
        <v/>
      </c>
      <c r="BM476">
        <f>IF(OR('19_Расчет_аналитики'!BM448=0,13&lt;='01_Вводные'!$B$297),0,'19_Расчет_аналитики'!BM448*IF('01_Вводные'!$B$239="Да",MeanMinAge13+'19_Расчет_аналитики'!BM559*SUMIF(ThresholdAge13,"&lt;"&amp;'19_Расчет_аналитики'!BM559,WeightedRevAge13)-SUMIF(ThresholdAge13,"&lt;"&amp;'19_Расчет_аналитики'!BM559,WeightedMinAge13),MAX(CapacityAge13*'01_Вводные'!$B$218*'19_Расчет_аналитики'!BM559,MeanMinAge13)))</f>
        <v/>
      </c>
      <c r="BN476">
        <f>IF(OR('19_Расчет_аналитики'!BN448=0,13&lt;='01_Вводные'!$B$297),0,'19_Расчет_аналитики'!BN448*IF('01_Вводные'!$B$239="Да",MeanMinAge13+'19_Расчет_аналитики'!BN559*SUMIF(ThresholdAge13,"&lt;"&amp;'19_Расчет_аналитики'!BN559,WeightedRevAge13)-SUMIF(ThresholdAge13,"&lt;"&amp;'19_Расчет_аналитики'!BN559,WeightedMinAge13),MAX(CapacityAge13*'01_Вводные'!$B$218*'19_Расчет_аналитики'!BN559,MeanMinAge13)))</f>
        <v/>
      </c>
      <c r="BO476">
        <f>IF(OR('19_Расчет_аналитики'!BO448=0,13&lt;='01_Вводные'!$B$297),0,'19_Расчет_аналитики'!BO448*IF('01_Вводные'!$B$239="Да",MeanMinAge13+'19_Расчет_аналитики'!BO559*SUMIF(ThresholdAge13,"&lt;"&amp;'19_Расчет_аналитики'!BO559,WeightedRevAge13)-SUMIF(ThresholdAge13,"&lt;"&amp;'19_Расчет_аналитики'!BO559,WeightedMinAge13),MAX(CapacityAge13*'01_Вводные'!$B$218*'19_Расчет_аналитики'!BO559,MeanMinAge13)))</f>
        <v/>
      </c>
    </row>
    <row r="477">
      <c r="B477">
        <f>IF(OR('06_Сеть_и_дети'!B94=0,14&lt;='01_Вводные'!$B$297),0,'06_Сеть_и_дети'!B94*IF('01_Вводные'!$B$239="Да",MeanMinAge14+'19_Расчет_аналитики'!B559*SUMIF(ThresholdAge14,"&lt;"&amp;'19_Расчет_аналитики'!B559,WeightedRevAge14)-SUMIF(ThresholdAge14,"&lt;"&amp;'19_Расчет_аналитики'!B559,WeightedMinAge14),MAX(CapacityAge14*'01_Вводные'!$B$218*'19_Расчет_аналитики'!B559,MeanMinAge14)))</f>
        <v/>
      </c>
      <c r="C477">
        <f>IF(OR('06_Сеть_и_дети'!C94=0,14&lt;='01_Вводные'!$B$297),0,'06_Сеть_и_дети'!C94*IF('01_Вводные'!$B$239="Да",MeanMinAge14+'19_Расчет_аналитики'!C559*SUMIF(ThresholdAge14,"&lt;"&amp;'19_Расчет_аналитики'!C559,WeightedRevAge14)-SUMIF(ThresholdAge14,"&lt;"&amp;'19_Расчет_аналитики'!C559,WeightedMinAge14),MAX(CapacityAge14*'01_Вводные'!$B$218*'19_Расчет_аналитики'!C559,MeanMinAge14)))</f>
        <v/>
      </c>
      <c r="D477">
        <f>IF(OR('06_Сеть_и_дети'!D94=0,14&lt;='01_Вводные'!$B$297),0,'06_Сеть_и_дети'!D94*IF('01_Вводные'!$B$239="Да",MeanMinAge14+'19_Расчет_аналитики'!D559*SUMIF(ThresholdAge14,"&lt;"&amp;'19_Расчет_аналитики'!D559,WeightedRevAge14)-SUMIF(ThresholdAge14,"&lt;"&amp;'19_Расчет_аналитики'!D559,WeightedMinAge14),MAX(CapacityAge14*'01_Вводные'!$B$218*'19_Расчет_аналитики'!D559,MeanMinAge14)))</f>
        <v/>
      </c>
      <c r="E477">
        <f>IF(OR('06_Сеть_и_дети'!E94=0,14&lt;='01_Вводные'!$B$297),0,'06_Сеть_и_дети'!E94*IF('01_Вводные'!$B$239="Да",MeanMinAge14+'19_Расчет_аналитики'!E559*SUMIF(ThresholdAge14,"&lt;"&amp;'19_Расчет_аналитики'!E559,WeightedRevAge14)-SUMIF(ThresholdAge14,"&lt;"&amp;'19_Расчет_аналитики'!E559,WeightedMinAge14),MAX(CapacityAge14*'01_Вводные'!$B$218*'19_Расчет_аналитики'!E559,MeanMinAge14)))</f>
        <v/>
      </c>
      <c r="F477">
        <f>IF(OR('06_Сеть_и_дети'!F94=0,14&lt;='01_Вводные'!$B$297),0,'06_Сеть_и_дети'!F94*IF('01_Вводные'!$B$239="Да",MeanMinAge14+'19_Расчет_аналитики'!F559*SUMIF(ThresholdAge14,"&lt;"&amp;'19_Расчет_аналитики'!F559,WeightedRevAge14)-SUMIF(ThresholdAge14,"&lt;"&amp;'19_Расчет_аналитики'!F559,WeightedMinAge14),MAX(CapacityAge14*'01_Вводные'!$B$218*'19_Расчет_аналитики'!F559,MeanMinAge14)))</f>
        <v/>
      </c>
      <c r="G477">
        <f>IF(OR('06_Сеть_и_дети'!G94=0,14&lt;='01_Вводные'!$B$297),0,'06_Сеть_и_дети'!G94*IF('01_Вводные'!$B$239="Да",MeanMinAge14+'19_Расчет_аналитики'!G559*SUMIF(ThresholdAge14,"&lt;"&amp;'19_Расчет_аналитики'!G559,WeightedRevAge14)-SUMIF(ThresholdAge14,"&lt;"&amp;'19_Расчет_аналитики'!G559,WeightedMinAge14),MAX(CapacityAge14*'01_Вводные'!$B$218*'19_Расчет_аналитики'!G559,MeanMinAge14)))</f>
        <v/>
      </c>
      <c r="H477">
        <f>IF(OR('06_Сеть_и_дети'!H94=0,14&lt;='01_Вводные'!$B$297),0,'06_Сеть_и_дети'!H94*IF('01_Вводные'!$B$239="Да",MeanMinAge14+'19_Расчет_аналитики'!H559*SUMIF(ThresholdAge14,"&lt;"&amp;'19_Расчет_аналитики'!H559,WeightedRevAge14)-SUMIF(ThresholdAge14,"&lt;"&amp;'19_Расчет_аналитики'!H559,WeightedMinAge14),MAX(CapacityAge14*'01_Вводные'!$B$218*'19_Расчет_аналитики'!H559,MeanMinAge14)))</f>
        <v/>
      </c>
      <c r="I477">
        <f>IF(OR('06_Сеть_и_дети'!I94=0,14&lt;='01_Вводные'!$B$297),0,'06_Сеть_и_дети'!I94*IF('01_Вводные'!$B$239="Да",MeanMinAge14+'19_Расчет_аналитики'!I559*SUMIF(ThresholdAge14,"&lt;"&amp;'19_Расчет_аналитики'!I559,WeightedRevAge14)-SUMIF(ThresholdAge14,"&lt;"&amp;'19_Расчет_аналитики'!I559,WeightedMinAge14),MAX(CapacityAge14*'01_Вводные'!$B$218*'19_Расчет_аналитики'!I559,MeanMinAge14)))</f>
        <v/>
      </c>
      <c r="J477">
        <f>IF(OR('06_Сеть_и_дети'!J94=0,14&lt;='01_Вводные'!$B$297),0,'06_Сеть_и_дети'!J94*IF('01_Вводные'!$B$239="Да",MeanMinAge14+'19_Расчет_аналитики'!J559*SUMIF(ThresholdAge14,"&lt;"&amp;'19_Расчет_аналитики'!J559,WeightedRevAge14)-SUMIF(ThresholdAge14,"&lt;"&amp;'19_Расчет_аналитики'!J559,WeightedMinAge14),MAX(CapacityAge14*'01_Вводные'!$B$218*'19_Расчет_аналитики'!J559,MeanMinAge14)))</f>
        <v/>
      </c>
      <c r="K477">
        <f>IF(OR('06_Сеть_и_дети'!K94=0,14&lt;='01_Вводные'!$B$297),0,'06_Сеть_и_дети'!K94*IF('01_Вводные'!$B$239="Да",MeanMinAge14+'19_Расчет_аналитики'!K559*SUMIF(ThresholdAge14,"&lt;"&amp;'19_Расчет_аналитики'!K559,WeightedRevAge14)-SUMIF(ThresholdAge14,"&lt;"&amp;'19_Расчет_аналитики'!K559,WeightedMinAge14),MAX(CapacityAge14*'01_Вводные'!$B$218*'19_Расчет_аналитики'!K559,MeanMinAge14)))</f>
        <v/>
      </c>
      <c r="L477">
        <f>IF(OR('06_Сеть_и_дети'!L94=0,14&lt;='01_Вводные'!$B$297),0,'06_Сеть_и_дети'!L94*IF('01_Вводные'!$B$239="Да",MeanMinAge14+'19_Расчет_аналитики'!L559*SUMIF(ThresholdAge14,"&lt;"&amp;'19_Расчет_аналитики'!L559,WeightedRevAge14)-SUMIF(ThresholdAge14,"&lt;"&amp;'19_Расчет_аналитики'!L559,WeightedMinAge14),MAX(CapacityAge14*'01_Вводные'!$B$218*'19_Расчет_аналитики'!L559,MeanMinAge14)))</f>
        <v/>
      </c>
      <c r="M477">
        <f>IF(OR('06_Сеть_и_дети'!M94=0,14&lt;='01_Вводные'!$B$297),0,'06_Сеть_и_дети'!M94*IF('01_Вводные'!$B$239="Да",MeanMinAge14+'19_Расчет_аналитики'!M559*SUMIF(ThresholdAge14,"&lt;"&amp;'19_Расчет_аналитики'!M559,WeightedRevAge14)-SUMIF(ThresholdAge14,"&lt;"&amp;'19_Расчет_аналитики'!M559,WeightedMinAge14),MAX(CapacityAge14*'01_Вводные'!$B$218*'19_Расчет_аналитики'!M559,MeanMinAge14)))</f>
        <v/>
      </c>
      <c r="N477">
        <f>IF(OR('06_Сеть_и_дети'!N94=0,14&lt;='01_Вводные'!$B$297),0,'06_Сеть_и_дети'!N94*IF('01_Вводные'!$B$239="Да",MeanMinAge14+'19_Расчет_аналитики'!N559*SUMIF(ThresholdAge14,"&lt;"&amp;'19_Расчет_аналитики'!N559,WeightedRevAge14)-SUMIF(ThresholdAge14,"&lt;"&amp;'19_Расчет_аналитики'!N559,WeightedMinAge14),MAX(CapacityAge14*'01_Вводные'!$B$218*'19_Расчет_аналитики'!N559,MeanMinAge14)))</f>
        <v/>
      </c>
      <c r="O477">
        <f>IF(OR('19_Расчет_аналитики'!O449=0,14&lt;='01_Вводные'!$B$297),0,'19_Расчет_аналитики'!O449*IF('01_Вводные'!$B$239="Да",MeanMinAge14+'19_Расчет_аналитики'!O559*SUMIF(ThresholdAge14,"&lt;"&amp;'19_Расчет_аналитики'!O559,WeightedRevAge14)-SUMIF(ThresholdAge14,"&lt;"&amp;'19_Расчет_аналитики'!O559,WeightedMinAge14),MAX(CapacityAge14*'01_Вводные'!$B$218*'19_Расчет_аналитики'!O559,MeanMinAge14)))</f>
        <v/>
      </c>
      <c r="P477">
        <f>IF(OR('19_Расчет_аналитики'!P449=0,14&lt;='01_Вводные'!$B$297),0,'19_Расчет_аналитики'!P449*IF('01_Вводные'!$B$239="Да",MeanMinAge14+'19_Расчет_аналитики'!P559*SUMIF(ThresholdAge14,"&lt;"&amp;'19_Расчет_аналитики'!P559,WeightedRevAge14)-SUMIF(ThresholdAge14,"&lt;"&amp;'19_Расчет_аналитики'!P559,WeightedMinAge14),MAX(CapacityAge14*'01_Вводные'!$B$218*'19_Расчет_аналитики'!P559,MeanMinAge14)))</f>
        <v/>
      </c>
      <c r="Q477">
        <f>IF(OR('19_Расчет_аналитики'!Q449=0,14&lt;='01_Вводные'!$B$297),0,'19_Расчет_аналитики'!Q449*IF('01_Вводные'!$B$239="Да",MeanMinAge14+'19_Расчет_аналитики'!Q559*SUMIF(ThresholdAge14,"&lt;"&amp;'19_Расчет_аналитики'!Q559,WeightedRevAge14)-SUMIF(ThresholdAge14,"&lt;"&amp;'19_Расчет_аналитики'!Q559,WeightedMinAge14),MAX(CapacityAge14*'01_Вводные'!$B$218*'19_Расчет_аналитики'!Q559,MeanMinAge14)))</f>
        <v/>
      </c>
      <c r="R477">
        <f>IF(OR('19_Расчет_аналитики'!R449=0,14&lt;='01_Вводные'!$B$297),0,'19_Расчет_аналитики'!R449*IF('01_Вводные'!$B$239="Да",MeanMinAge14+'19_Расчет_аналитики'!R559*SUMIF(ThresholdAge14,"&lt;"&amp;'19_Расчет_аналитики'!R559,WeightedRevAge14)-SUMIF(ThresholdAge14,"&lt;"&amp;'19_Расчет_аналитики'!R559,WeightedMinAge14),MAX(CapacityAge14*'01_Вводные'!$B$218*'19_Расчет_аналитики'!R559,MeanMinAge14)))</f>
        <v/>
      </c>
      <c r="S477">
        <f>IF(OR('19_Расчет_аналитики'!S449=0,14&lt;='01_Вводные'!$B$297),0,'19_Расчет_аналитики'!S449*IF('01_Вводные'!$B$239="Да",MeanMinAge14+'19_Расчет_аналитики'!S559*SUMIF(ThresholdAge14,"&lt;"&amp;'19_Расчет_аналитики'!S559,WeightedRevAge14)-SUMIF(ThresholdAge14,"&lt;"&amp;'19_Расчет_аналитики'!S559,WeightedMinAge14),MAX(CapacityAge14*'01_Вводные'!$B$218*'19_Расчет_аналитики'!S559,MeanMinAge14)))</f>
        <v/>
      </c>
      <c r="T477">
        <f>IF(OR('19_Расчет_аналитики'!T449=0,14&lt;='01_Вводные'!$B$297),0,'19_Расчет_аналитики'!T449*IF('01_Вводные'!$B$239="Да",MeanMinAge14+'19_Расчет_аналитики'!T559*SUMIF(ThresholdAge14,"&lt;"&amp;'19_Расчет_аналитики'!T559,WeightedRevAge14)-SUMIF(ThresholdAge14,"&lt;"&amp;'19_Расчет_аналитики'!T559,WeightedMinAge14),MAX(CapacityAge14*'01_Вводные'!$B$218*'19_Расчет_аналитики'!T559,MeanMinAge14)))</f>
        <v/>
      </c>
      <c r="U477">
        <f>IF(OR('19_Расчет_аналитики'!U449=0,14&lt;='01_Вводные'!$B$297),0,'19_Расчет_аналитики'!U449*IF('01_Вводные'!$B$239="Да",MeanMinAge14+'19_Расчет_аналитики'!U559*SUMIF(ThresholdAge14,"&lt;"&amp;'19_Расчет_аналитики'!U559,WeightedRevAge14)-SUMIF(ThresholdAge14,"&lt;"&amp;'19_Расчет_аналитики'!U559,WeightedMinAge14),MAX(CapacityAge14*'01_Вводные'!$B$218*'19_Расчет_аналитики'!U559,MeanMinAge14)))</f>
        <v/>
      </c>
      <c r="V477">
        <f>IF(OR('19_Расчет_аналитики'!V449=0,14&lt;='01_Вводные'!$B$297),0,'19_Расчет_аналитики'!V449*IF('01_Вводные'!$B$239="Да",MeanMinAge14+'19_Расчет_аналитики'!V559*SUMIF(ThresholdAge14,"&lt;"&amp;'19_Расчет_аналитики'!V559,WeightedRevAge14)-SUMIF(ThresholdAge14,"&lt;"&amp;'19_Расчет_аналитики'!V559,WeightedMinAge14),MAX(CapacityAge14*'01_Вводные'!$B$218*'19_Расчет_аналитики'!V559,MeanMinAge14)))</f>
        <v/>
      </c>
      <c r="W477">
        <f>IF(OR('19_Расчет_аналитики'!W449=0,14&lt;='01_Вводные'!$B$297),0,'19_Расчет_аналитики'!W449*IF('01_Вводные'!$B$239="Да",MeanMinAge14+'19_Расчет_аналитики'!W559*SUMIF(ThresholdAge14,"&lt;"&amp;'19_Расчет_аналитики'!W559,WeightedRevAge14)-SUMIF(ThresholdAge14,"&lt;"&amp;'19_Расчет_аналитики'!W559,WeightedMinAge14),MAX(CapacityAge14*'01_Вводные'!$B$218*'19_Расчет_аналитики'!W559,MeanMinAge14)))</f>
        <v/>
      </c>
      <c r="X477">
        <f>IF(OR('19_Расчет_аналитики'!X449=0,14&lt;='01_Вводные'!$B$297),0,'19_Расчет_аналитики'!X449*IF('01_Вводные'!$B$239="Да",MeanMinAge14+'19_Расчет_аналитики'!X559*SUMIF(ThresholdAge14,"&lt;"&amp;'19_Расчет_аналитики'!X559,WeightedRevAge14)-SUMIF(ThresholdAge14,"&lt;"&amp;'19_Расчет_аналитики'!X559,WeightedMinAge14),MAX(CapacityAge14*'01_Вводные'!$B$218*'19_Расчет_аналитики'!X559,MeanMinAge14)))</f>
        <v/>
      </c>
      <c r="Y477">
        <f>IF(OR('19_Расчет_аналитики'!Y449=0,14&lt;='01_Вводные'!$B$297),0,'19_Расчет_аналитики'!Y449*IF('01_Вводные'!$B$239="Да",MeanMinAge14+'19_Расчет_аналитики'!Y559*SUMIF(ThresholdAge14,"&lt;"&amp;'19_Расчет_аналитики'!Y559,WeightedRevAge14)-SUMIF(ThresholdAge14,"&lt;"&amp;'19_Расчет_аналитики'!Y559,WeightedMinAge14),MAX(CapacityAge14*'01_Вводные'!$B$218*'19_Расчет_аналитики'!Y559,MeanMinAge14)))</f>
        <v/>
      </c>
      <c r="Z477">
        <f>IF(OR('19_Расчет_аналитики'!Z449=0,14&lt;='01_Вводные'!$B$297),0,'19_Расчет_аналитики'!Z449*IF('01_Вводные'!$B$239="Да",MeanMinAge14+'19_Расчет_аналитики'!Z559*SUMIF(ThresholdAge14,"&lt;"&amp;'19_Расчет_аналитики'!Z559,WeightedRevAge14)-SUMIF(ThresholdAge14,"&lt;"&amp;'19_Расчет_аналитики'!Z559,WeightedMinAge14),MAX(CapacityAge14*'01_Вводные'!$B$218*'19_Расчет_аналитики'!Z559,MeanMinAge14)))</f>
        <v/>
      </c>
      <c r="AA477">
        <f>IF(OR('19_Расчет_аналитики'!AA449=0,14&lt;='01_Вводные'!$B$297),0,'19_Расчет_аналитики'!AA449*IF('01_Вводные'!$B$239="Да",MeanMinAge14+'19_Расчет_аналитики'!AA559*SUMIF(ThresholdAge14,"&lt;"&amp;'19_Расчет_аналитики'!AA559,WeightedRevAge14)-SUMIF(ThresholdAge14,"&lt;"&amp;'19_Расчет_аналитики'!AA559,WeightedMinAge14),MAX(CapacityAge14*'01_Вводные'!$B$218*'19_Расчет_аналитики'!AA559,MeanMinAge14)))</f>
        <v/>
      </c>
      <c r="AB477">
        <f>IF(OR('19_Расчет_аналитики'!AB449=0,14&lt;='01_Вводные'!$B$297),0,'19_Расчет_аналитики'!AB449*IF('01_Вводные'!$B$239="Да",MeanMinAge14+'19_Расчет_аналитики'!AB559*SUMIF(ThresholdAge14,"&lt;"&amp;'19_Расчет_аналитики'!AB559,WeightedRevAge14)-SUMIF(ThresholdAge14,"&lt;"&amp;'19_Расчет_аналитики'!AB559,WeightedMinAge14),MAX(CapacityAge14*'01_Вводные'!$B$218*'19_Расчет_аналитики'!AB559,MeanMinAge14)))</f>
        <v/>
      </c>
      <c r="AC477">
        <f>IF(OR('19_Расчет_аналитики'!AC449=0,14&lt;='01_Вводные'!$B$297),0,'19_Расчет_аналитики'!AC449*IF('01_Вводные'!$B$239="Да",MeanMinAge14+'19_Расчет_аналитики'!AC559*SUMIF(ThresholdAge14,"&lt;"&amp;'19_Расчет_аналитики'!AC559,WeightedRevAge14)-SUMIF(ThresholdAge14,"&lt;"&amp;'19_Расчет_аналитики'!AC559,WeightedMinAge14),MAX(CapacityAge14*'01_Вводные'!$B$218*'19_Расчет_аналитики'!AC559,MeanMinAge14)))</f>
        <v/>
      </c>
      <c r="AD477">
        <f>IF(OR('19_Расчет_аналитики'!AD449=0,14&lt;='01_Вводные'!$B$297),0,'19_Расчет_аналитики'!AD449*IF('01_Вводные'!$B$239="Да",MeanMinAge14+'19_Расчет_аналитики'!AD559*SUMIF(ThresholdAge14,"&lt;"&amp;'19_Расчет_аналитики'!AD559,WeightedRevAge14)-SUMIF(ThresholdAge14,"&lt;"&amp;'19_Расчет_аналитики'!AD559,WeightedMinAge14),MAX(CapacityAge14*'01_Вводные'!$B$218*'19_Расчет_аналитики'!AD559,MeanMinAge14)))</f>
        <v/>
      </c>
      <c r="AE477">
        <f>IF(OR('19_Расчет_аналитики'!AE449=0,14&lt;='01_Вводные'!$B$297),0,'19_Расчет_аналитики'!AE449*IF('01_Вводные'!$B$239="Да",MeanMinAge14+'19_Расчет_аналитики'!AE559*SUMIF(ThresholdAge14,"&lt;"&amp;'19_Расчет_аналитики'!AE559,WeightedRevAge14)-SUMIF(ThresholdAge14,"&lt;"&amp;'19_Расчет_аналитики'!AE559,WeightedMinAge14),MAX(CapacityAge14*'01_Вводные'!$B$218*'19_Расчет_аналитики'!AE559,MeanMinAge14)))</f>
        <v/>
      </c>
      <c r="AF477">
        <f>IF(OR('19_Расчет_аналитики'!AF449=0,14&lt;='01_Вводные'!$B$297),0,'19_Расчет_аналитики'!AF449*IF('01_Вводные'!$B$239="Да",MeanMinAge14+'19_Расчет_аналитики'!AF559*SUMIF(ThresholdAge14,"&lt;"&amp;'19_Расчет_аналитики'!AF559,WeightedRevAge14)-SUMIF(ThresholdAge14,"&lt;"&amp;'19_Расчет_аналитики'!AF559,WeightedMinAge14),MAX(CapacityAge14*'01_Вводные'!$B$218*'19_Расчет_аналитики'!AF559,MeanMinAge14)))</f>
        <v/>
      </c>
      <c r="AG477">
        <f>IF(OR('19_Расчет_аналитики'!AG449=0,14&lt;='01_Вводные'!$B$297),0,'19_Расчет_аналитики'!AG449*IF('01_Вводные'!$B$239="Да",MeanMinAge14+'19_Расчет_аналитики'!AG559*SUMIF(ThresholdAge14,"&lt;"&amp;'19_Расчет_аналитики'!AG559,WeightedRevAge14)-SUMIF(ThresholdAge14,"&lt;"&amp;'19_Расчет_аналитики'!AG559,WeightedMinAge14),MAX(CapacityAge14*'01_Вводные'!$B$218*'19_Расчет_аналитики'!AG559,MeanMinAge14)))</f>
        <v/>
      </c>
      <c r="AH477">
        <f>IF(OR('19_Расчет_аналитики'!AH449=0,14&lt;='01_Вводные'!$B$297),0,'19_Расчет_аналитики'!AH449*IF('01_Вводные'!$B$239="Да",MeanMinAge14+'19_Расчет_аналитики'!AH559*SUMIF(ThresholdAge14,"&lt;"&amp;'19_Расчет_аналитики'!AH559,WeightedRevAge14)-SUMIF(ThresholdAge14,"&lt;"&amp;'19_Расчет_аналитики'!AH559,WeightedMinAge14),MAX(CapacityAge14*'01_Вводные'!$B$218*'19_Расчет_аналитики'!AH559,MeanMinAge14)))</f>
        <v/>
      </c>
      <c r="AI477">
        <f>IF(OR('19_Расчет_аналитики'!AI449=0,14&lt;='01_Вводные'!$B$297),0,'19_Расчет_аналитики'!AI449*IF('01_Вводные'!$B$239="Да",MeanMinAge14+'19_Расчет_аналитики'!AI559*SUMIF(ThresholdAge14,"&lt;"&amp;'19_Расчет_аналитики'!AI559,WeightedRevAge14)-SUMIF(ThresholdAge14,"&lt;"&amp;'19_Расчет_аналитики'!AI559,WeightedMinAge14),MAX(CapacityAge14*'01_Вводные'!$B$218*'19_Расчет_аналитики'!AI559,MeanMinAge14)))</f>
        <v/>
      </c>
      <c r="AJ477">
        <f>IF(OR('19_Расчет_аналитики'!AJ449=0,14&lt;='01_Вводные'!$B$297),0,'19_Расчет_аналитики'!AJ449*IF('01_Вводные'!$B$239="Да",MeanMinAge14+'19_Расчет_аналитики'!AJ559*SUMIF(ThresholdAge14,"&lt;"&amp;'19_Расчет_аналитики'!AJ559,WeightedRevAge14)-SUMIF(ThresholdAge14,"&lt;"&amp;'19_Расчет_аналитики'!AJ559,WeightedMinAge14),MAX(CapacityAge14*'01_Вводные'!$B$218*'19_Расчет_аналитики'!AJ559,MeanMinAge14)))</f>
        <v/>
      </c>
      <c r="AK477">
        <f>IF(OR('19_Расчет_аналитики'!AK449=0,14&lt;='01_Вводные'!$B$297),0,'19_Расчет_аналитики'!AK449*IF('01_Вводные'!$B$239="Да",MeanMinAge14+'19_Расчет_аналитики'!AK559*SUMIF(ThresholdAge14,"&lt;"&amp;'19_Расчет_аналитики'!AK559,WeightedRevAge14)-SUMIF(ThresholdAge14,"&lt;"&amp;'19_Расчет_аналитики'!AK559,WeightedMinAge14),MAX(CapacityAge14*'01_Вводные'!$B$218*'19_Расчет_аналитики'!AK559,MeanMinAge14)))</f>
        <v/>
      </c>
      <c r="AL477">
        <f>IF(OR('19_Расчет_аналитики'!AL449=0,14&lt;='01_Вводные'!$B$297),0,'19_Расчет_аналитики'!AL449*IF('01_Вводные'!$B$239="Да",MeanMinAge14+'19_Расчет_аналитики'!AL559*SUMIF(ThresholdAge14,"&lt;"&amp;'19_Расчет_аналитики'!AL559,WeightedRevAge14)-SUMIF(ThresholdAge14,"&lt;"&amp;'19_Расчет_аналитики'!AL559,WeightedMinAge14),MAX(CapacityAge14*'01_Вводные'!$B$218*'19_Расчет_аналитики'!AL559,MeanMinAge14)))</f>
        <v/>
      </c>
      <c r="AM477">
        <f>IF(OR('19_Расчет_аналитики'!AM449=0,14&lt;='01_Вводные'!$B$297),0,'19_Расчет_аналитики'!AM449*IF('01_Вводные'!$B$239="Да",MeanMinAge14+'19_Расчет_аналитики'!AM559*SUMIF(ThresholdAge14,"&lt;"&amp;'19_Расчет_аналитики'!AM559,WeightedRevAge14)-SUMIF(ThresholdAge14,"&lt;"&amp;'19_Расчет_аналитики'!AM559,WeightedMinAge14),MAX(CapacityAge14*'01_Вводные'!$B$218*'19_Расчет_аналитики'!AM559,MeanMinAge14)))</f>
        <v/>
      </c>
      <c r="AN477">
        <f>IF(OR('19_Расчет_аналитики'!AN449=0,14&lt;='01_Вводные'!$B$297),0,'19_Расчет_аналитики'!AN449*IF('01_Вводные'!$B$239="Да",MeanMinAge14+'19_Расчет_аналитики'!AN559*SUMIF(ThresholdAge14,"&lt;"&amp;'19_Расчет_аналитики'!AN559,WeightedRevAge14)-SUMIF(ThresholdAge14,"&lt;"&amp;'19_Расчет_аналитики'!AN559,WeightedMinAge14),MAX(CapacityAge14*'01_Вводные'!$B$218*'19_Расчет_аналитики'!AN559,MeanMinAge14)))</f>
        <v/>
      </c>
      <c r="AO477">
        <f>IF(OR('19_Расчет_аналитики'!AO449=0,14&lt;='01_Вводные'!$B$297),0,'19_Расчет_аналитики'!AO449*IF('01_Вводные'!$B$239="Да",MeanMinAge14+'19_Расчет_аналитики'!AO559*SUMIF(ThresholdAge14,"&lt;"&amp;'19_Расчет_аналитики'!AO559,WeightedRevAge14)-SUMIF(ThresholdAge14,"&lt;"&amp;'19_Расчет_аналитики'!AO559,WeightedMinAge14),MAX(CapacityAge14*'01_Вводные'!$B$218*'19_Расчет_аналитики'!AO559,MeanMinAge14)))</f>
        <v/>
      </c>
      <c r="AP477">
        <f>IF(OR('19_Расчет_аналитики'!AP449=0,14&lt;='01_Вводные'!$B$297),0,'19_Расчет_аналитики'!AP449*IF('01_Вводные'!$B$239="Да",MeanMinAge14+'19_Расчет_аналитики'!AP559*SUMIF(ThresholdAge14,"&lt;"&amp;'19_Расчет_аналитики'!AP559,WeightedRevAge14)-SUMIF(ThresholdAge14,"&lt;"&amp;'19_Расчет_аналитики'!AP559,WeightedMinAge14),MAX(CapacityAge14*'01_Вводные'!$B$218*'19_Расчет_аналитики'!AP559,MeanMinAge14)))</f>
        <v/>
      </c>
      <c r="AQ477">
        <f>IF(OR('19_Расчет_аналитики'!AQ449=0,14&lt;='01_Вводные'!$B$297),0,'19_Расчет_аналитики'!AQ449*IF('01_Вводные'!$B$239="Да",MeanMinAge14+'19_Расчет_аналитики'!AQ559*SUMIF(ThresholdAge14,"&lt;"&amp;'19_Расчет_аналитики'!AQ559,WeightedRevAge14)-SUMIF(ThresholdAge14,"&lt;"&amp;'19_Расчет_аналитики'!AQ559,WeightedMinAge14),MAX(CapacityAge14*'01_Вводные'!$B$218*'19_Расчет_аналитики'!AQ559,MeanMinAge14)))</f>
        <v/>
      </c>
      <c r="AR477">
        <f>IF(OR('19_Расчет_аналитики'!AR449=0,14&lt;='01_Вводные'!$B$297),0,'19_Расчет_аналитики'!AR449*IF('01_Вводные'!$B$239="Да",MeanMinAge14+'19_Расчет_аналитики'!AR559*SUMIF(ThresholdAge14,"&lt;"&amp;'19_Расчет_аналитики'!AR559,WeightedRevAge14)-SUMIF(ThresholdAge14,"&lt;"&amp;'19_Расчет_аналитики'!AR559,WeightedMinAge14),MAX(CapacityAge14*'01_Вводные'!$B$218*'19_Расчет_аналитики'!AR559,MeanMinAge14)))</f>
        <v/>
      </c>
      <c r="AS477">
        <f>IF(OR('19_Расчет_аналитики'!AS449=0,14&lt;='01_Вводные'!$B$297),0,'19_Расчет_аналитики'!AS449*IF('01_Вводные'!$B$239="Да",MeanMinAge14+'19_Расчет_аналитики'!AS559*SUMIF(ThresholdAge14,"&lt;"&amp;'19_Расчет_аналитики'!AS559,WeightedRevAge14)-SUMIF(ThresholdAge14,"&lt;"&amp;'19_Расчет_аналитики'!AS559,WeightedMinAge14),MAX(CapacityAge14*'01_Вводные'!$B$218*'19_Расчет_аналитики'!AS559,MeanMinAge14)))</f>
        <v/>
      </c>
      <c r="AT477">
        <f>IF(OR('19_Расчет_аналитики'!AT449=0,14&lt;='01_Вводные'!$B$297),0,'19_Расчет_аналитики'!AT449*IF('01_Вводные'!$B$239="Да",MeanMinAge14+'19_Расчет_аналитики'!AT559*SUMIF(ThresholdAge14,"&lt;"&amp;'19_Расчет_аналитики'!AT559,WeightedRevAge14)-SUMIF(ThresholdAge14,"&lt;"&amp;'19_Расчет_аналитики'!AT559,WeightedMinAge14),MAX(CapacityAge14*'01_Вводные'!$B$218*'19_Расчет_аналитики'!AT559,MeanMinAge14)))</f>
        <v/>
      </c>
      <c r="AU477">
        <f>IF(OR('19_Расчет_аналитики'!AU449=0,14&lt;='01_Вводные'!$B$297),0,'19_Расчет_аналитики'!AU449*IF('01_Вводные'!$B$239="Да",MeanMinAge14+'19_Расчет_аналитики'!AU559*SUMIF(ThresholdAge14,"&lt;"&amp;'19_Расчет_аналитики'!AU559,WeightedRevAge14)-SUMIF(ThresholdAge14,"&lt;"&amp;'19_Расчет_аналитики'!AU559,WeightedMinAge14),MAX(CapacityAge14*'01_Вводные'!$B$218*'19_Расчет_аналитики'!AU559,MeanMinAge14)))</f>
        <v/>
      </c>
      <c r="AV477">
        <f>IF(OR('19_Расчет_аналитики'!AV449=0,14&lt;='01_Вводные'!$B$297),0,'19_Расчет_аналитики'!AV449*IF('01_Вводные'!$B$239="Да",MeanMinAge14+'19_Расчет_аналитики'!AV559*SUMIF(ThresholdAge14,"&lt;"&amp;'19_Расчет_аналитики'!AV559,WeightedRevAge14)-SUMIF(ThresholdAge14,"&lt;"&amp;'19_Расчет_аналитики'!AV559,WeightedMinAge14),MAX(CapacityAge14*'01_Вводные'!$B$218*'19_Расчет_аналитики'!AV559,MeanMinAge14)))</f>
        <v/>
      </c>
      <c r="AW477">
        <f>IF(OR('19_Расчет_аналитики'!AW449=0,14&lt;='01_Вводные'!$B$297),0,'19_Расчет_аналитики'!AW449*IF('01_Вводные'!$B$239="Да",MeanMinAge14+'19_Расчет_аналитики'!AW559*SUMIF(ThresholdAge14,"&lt;"&amp;'19_Расчет_аналитики'!AW559,WeightedRevAge14)-SUMIF(ThresholdAge14,"&lt;"&amp;'19_Расчет_аналитики'!AW559,WeightedMinAge14),MAX(CapacityAge14*'01_Вводные'!$B$218*'19_Расчет_аналитики'!AW559,MeanMinAge14)))</f>
        <v/>
      </c>
      <c r="AX477">
        <f>IF(OR('19_Расчет_аналитики'!AX449=0,14&lt;='01_Вводные'!$B$297),0,'19_Расчет_аналитики'!AX449*IF('01_Вводные'!$B$239="Да",MeanMinAge14+'19_Расчет_аналитики'!AX559*SUMIF(ThresholdAge14,"&lt;"&amp;'19_Расчет_аналитики'!AX559,WeightedRevAge14)-SUMIF(ThresholdAge14,"&lt;"&amp;'19_Расчет_аналитики'!AX559,WeightedMinAge14),MAX(CapacityAge14*'01_Вводные'!$B$218*'19_Расчет_аналитики'!AX559,MeanMinAge14)))</f>
        <v/>
      </c>
      <c r="AY477">
        <f>IF(OR('19_Расчет_аналитики'!AY449=0,14&lt;='01_Вводные'!$B$297),0,'19_Расчет_аналитики'!AY449*IF('01_Вводные'!$B$239="Да",MeanMinAge14+'19_Расчет_аналитики'!AY559*SUMIF(ThresholdAge14,"&lt;"&amp;'19_Расчет_аналитики'!AY559,WeightedRevAge14)-SUMIF(ThresholdAge14,"&lt;"&amp;'19_Расчет_аналитики'!AY559,WeightedMinAge14),MAX(CapacityAge14*'01_Вводные'!$B$218*'19_Расчет_аналитики'!AY559,MeanMinAge14)))</f>
        <v/>
      </c>
      <c r="AZ477">
        <f>IF(OR('19_Расчет_аналитики'!AZ449=0,14&lt;='01_Вводные'!$B$297),0,'19_Расчет_аналитики'!AZ449*IF('01_Вводные'!$B$239="Да",MeanMinAge14+'19_Расчет_аналитики'!AZ559*SUMIF(ThresholdAge14,"&lt;"&amp;'19_Расчет_аналитики'!AZ559,WeightedRevAge14)-SUMIF(ThresholdAge14,"&lt;"&amp;'19_Расчет_аналитики'!AZ559,WeightedMinAge14),MAX(CapacityAge14*'01_Вводные'!$B$218*'19_Расчет_аналитики'!AZ559,MeanMinAge14)))</f>
        <v/>
      </c>
      <c r="BA477">
        <f>IF(OR('19_Расчет_аналитики'!BA449=0,14&lt;='01_Вводные'!$B$297),0,'19_Расчет_аналитики'!BA449*IF('01_Вводные'!$B$239="Да",MeanMinAge14+'19_Расчет_аналитики'!BA559*SUMIF(ThresholdAge14,"&lt;"&amp;'19_Расчет_аналитики'!BA559,WeightedRevAge14)-SUMIF(ThresholdAge14,"&lt;"&amp;'19_Расчет_аналитики'!BA559,WeightedMinAge14),MAX(CapacityAge14*'01_Вводные'!$B$218*'19_Расчет_аналитики'!BA559,MeanMinAge14)))</f>
        <v/>
      </c>
      <c r="BB477">
        <f>IF(OR('19_Расчет_аналитики'!BB449=0,14&lt;='01_Вводные'!$B$297),0,'19_Расчет_аналитики'!BB449*IF('01_Вводные'!$B$239="Да",MeanMinAge14+'19_Расчет_аналитики'!BB559*SUMIF(ThresholdAge14,"&lt;"&amp;'19_Расчет_аналитики'!BB559,WeightedRevAge14)-SUMIF(ThresholdAge14,"&lt;"&amp;'19_Расчет_аналитики'!BB559,WeightedMinAge14),MAX(CapacityAge14*'01_Вводные'!$B$218*'19_Расчет_аналитики'!BB559,MeanMinAge14)))</f>
        <v/>
      </c>
      <c r="BC477">
        <f>IF(OR('19_Расчет_аналитики'!BC449=0,14&lt;='01_Вводные'!$B$297),0,'19_Расчет_аналитики'!BC449*IF('01_Вводные'!$B$239="Да",MeanMinAge14+'19_Расчет_аналитики'!BC559*SUMIF(ThresholdAge14,"&lt;"&amp;'19_Расчет_аналитики'!BC559,WeightedRevAge14)-SUMIF(ThresholdAge14,"&lt;"&amp;'19_Расчет_аналитики'!BC559,WeightedMinAge14),MAX(CapacityAge14*'01_Вводные'!$B$218*'19_Расчет_аналитики'!BC559,MeanMinAge14)))</f>
        <v/>
      </c>
      <c r="BD477">
        <f>IF(OR('19_Расчет_аналитики'!BD449=0,14&lt;='01_Вводные'!$B$297),0,'19_Расчет_аналитики'!BD449*IF('01_Вводные'!$B$239="Да",MeanMinAge14+'19_Расчет_аналитики'!BD559*SUMIF(ThresholdAge14,"&lt;"&amp;'19_Расчет_аналитики'!BD559,WeightedRevAge14)-SUMIF(ThresholdAge14,"&lt;"&amp;'19_Расчет_аналитики'!BD559,WeightedMinAge14),MAX(CapacityAge14*'01_Вводные'!$B$218*'19_Расчет_аналитики'!BD559,MeanMinAge14)))</f>
        <v/>
      </c>
      <c r="BE477">
        <f>IF(OR('19_Расчет_аналитики'!BE449=0,14&lt;='01_Вводные'!$B$297),0,'19_Расчет_аналитики'!BE449*IF('01_Вводные'!$B$239="Да",MeanMinAge14+'19_Расчет_аналитики'!BE559*SUMIF(ThresholdAge14,"&lt;"&amp;'19_Расчет_аналитики'!BE559,WeightedRevAge14)-SUMIF(ThresholdAge14,"&lt;"&amp;'19_Расчет_аналитики'!BE559,WeightedMinAge14),MAX(CapacityAge14*'01_Вводные'!$B$218*'19_Расчет_аналитики'!BE559,MeanMinAge14)))</f>
        <v/>
      </c>
      <c r="BF477">
        <f>IF(OR('19_Расчет_аналитики'!BF449=0,14&lt;='01_Вводные'!$B$297),0,'19_Расчет_аналитики'!BF449*IF('01_Вводные'!$B$239="Да",MeanMinAge14+'19_Расчет_аналитики'!BF559*SUMIF(ThresholdAge14,"&lt;"&amp;'19_Расчет_аналитики'!BF559,WeightedRevAge14)-SUMIF(ThresholdAge14,"&lt;"&amp;'19_Расчет_аналитики'!BF559,WeightedMinAge14),MAX(CapacityAge14*'01_Вводные'!$B$218*'19_Расчет_аналитики'!BF559,MeanMinAge14)))</f>
        <v/>
      </c>
      <c r="BG477">
        <f>IF(OR('19_Расчет_аналитики'!BG449=0,14&lt;='01_Вводные'!$B$297),0,'19_Расчет_аналитики'!BG449*IF('01_Вводные'!$B$239="Да",MeanMinAge14+'19_Расчет_аналитики'!BG559*SUMIF(ThresholdAge14,"&lt;"&amp;'19_Расчет_аналитики'!BG559,WeightedRevAge14)-SUMIF(ThresholdAge14,"&lt;"&amp;'19_Расчет_аналитики'!BG559,WeightedMinAge14),MAX(CapacityAge14*'01_Вводные'!$B$218*'19_Расчет_аналитики'!BG559,MeanMinAge14)))</f>
        <v/>
      </c>
      <c r="BH477">
        <f>IF(OR('19_Расчет_аналитики'!BH449=0,14&lt;='01_Вводные'!$B$297),0,'19_Расчет_аналитики'!BH449*IF('01_Вводные'!$B$239="Да",MeanMinAge14+'19_Расчет_аналитики'!BH559*SUMIF(ThresholdAge14,"&lt;"&amp;'19_Расчет_аналитики'!BH559,WeightedRevAge14)-SUMIF(ThresholdAge14,"&lt;"&amp;'19_Расчет_аналитики'!BH559,WeightedMinAge14),MAX(CapacityAge14*'01_Вводные'!$B$218*'19_Расчет_аналитики'!BH559,MeanMinAge14)))</f>
        <v/>
      </c>
      <c r="BI477">
        <f>IF(OR('19_Расчет_аналитики'!BI449=0,14&lt;='01_Вводные'!$B$297),0,'19_Расчет_аналитики'!BI449*IF('01_Вводные'!$B$239="Да",MeanMinAge14+'19_Расчет_аналитики'!BI559*SUMIF(ThresholdAge14,"&lt;"&amp;'19_Расчет_аналитики'!BI559,WeightedRevAge14)-SUMIF(ThresholdAge14,"&lt;"&amp;'19_Расчет_аналитики'!BI559,WeightedMinAge14),MAX(CapacityAge14*'01_Вводные'!$B$218*'19_Расчет_аналитики'!BI559,MeanMinAge14)))</f>
        <v/>
      </c>
      <c r="BJ477">
        <f>IF(OR('19_Расчет_аналитики'!BJ449=0,14&lt;='01_Вводные'!$B$297),0,'19_Расчет_аналитики'!BJ449*IF('01_Вводные'!$B$239="Да",MeanMinAge14+'19_Расчет_аналитики'!BJ559*SUMIF(ThresholdAge14,"&lt;"&amp;'19_Расчет_аналитики'!BJ559,WeightedRevAge14)-SUMIF(ThresholdAge14,"&lt;"&amp;'19_Расчет_аналитики'!BJ559,WeightedMinAge14),MAX(CapacityAge14*'01_Вводные'!$B$218*'19_Расчет_аналитики'!BJ559,MeanMinAge14)))</f>
        <v/>
      </c>
      <c r="BK477">
        <f>IF(OR('19_Расчет_аналитики'!BK449=0,14&lt;='01_Вводные'!$B$297),0,'19_Расчет_аналитики'!BK449*IF('01_Вводные'!$B$239="Да",MeanMinAge14+'19_Расчет_аналитики'!BK559*SUMIF(ThresholdAge14,"&lt;"&amp;'19_Расчет_аналитики'!BK559,WeightedRevAge14)-SUMIF(ThresholdAge14,"&lt;"&amp;'19_Расчет_аналитики'!BK559,WeightedMinAge14),MAX(CapacityAge14*'01_Вводные'!$B$218*'19_Расчет_аналитики'!BK559,MeanMinAge14)))</f>
        <v/>
      </c>
      <c r="BL477">
        <f>IF(OR('19_Расчет_аналитики'!BL449=0,14&lt;='01_Вводные'!$B$297),0,'19_Расчет_аналитики'!BL449*IF('01_Вводные'!$B$239="Да",MeanMinAge14+'19_Расчет_аналитики'!BL559*SUMIF(ThresholdAge14,"&lt;"&amp;'19_Расчет_аналитики'!BL559,WeightedRevAge14)-SUMIF(ThresholdAge14,"&lt;"&amp;'19_Расчет_аналитики'!BL559,WeightedMinAge14),MAX(CapacityAge14*'01_Вводные'!$B$218*'19_Расчет_аналитики'!BL559,MeanMinAge14)))</f>
        <v/>
      </c>
      <c r="BM477">
        <f>IF(OR('19_Расчет_аналитики'!BM449=0,14&lt;='01_Вводные'!$B$297),0,'19_Расчет_аналитики'!BM449*IF('01_Вводные'!$B$239="Да",MeanMinAge14+'19_Расчет_аналитики'!BM559*SUMIF(ThresholdAge14,"&lt;"&amp;'19_Расчет_аналитики'!BM559,WeightedRevAge14)-SUMIF(ThresholdAge14,"&lt;"&amp;'19_Расчет_аналитики'!BM559,WeightedMinAge14),MAX(CapacityAge14*'01_Вводные'!$B$218*'19_Расчет_аналитики'!BM559,MeanMinAge14)))</f>
        <v/>
      </c>
      <c r="BN477">
        <f>IF(OR('19_Расчет_аналитики'!BN449=0,14&lt;='01_Вводные'!$B$297),0,'19_Расчет_аналитики'!BN449*IF('01_Вводные'!$B$239="Да",MeanMinAge14+'19_Расчет_аналитики'!BN559*SUMIF(ThresholdAge14,"&lt;"&amp;'19_Расчет_аналитики'!BN559,WeightedRevAge14)-SUMIF(ThresholdAge14,"&lt;"&amp;'19_Расчет_аналитики'!BN559,WeightedMinAge14),MAX(CapacityAge14*'01_Вводные'!$B$218*'19_Расчет_аналитики'!BN559,MeanMinAge14)))</f>
        <v/>
      </c>
      <c r="BO477">
        <f>IF(OR('19_Расчет_аналитики'!BO449=0,14&lt;='01_Вводные'!$B$297),0,'19_Расчет_аналитики'!BO449*IF('01_Вводные'!$B$239="Да",MeanMinAge14+'19_Расчет_аналитики'!BO559*SUMIF(ThresholdAge14,"&lt;"&amp;'19_Расчет_аналитики'!BO559,WeightedRevAge14)-SUMIF(ThresholdAge14,"&lt;"&amp;'19_Расчет_аналитики'!BO559,WeightedMinAge14),MAX(CapacityAge14*'01_Вводные'!$B$218*'19_Расчет_аналитики'!BO559,MeanMinAge14)))</f>
        <v/>
      </c>
    </row>
    <row r="478">
      <c r="B478">
        <f>IF(OR('06_Сеть_и_дети'!B95=0,15&lt;='01_Вводные'!$B$297),0,'06_Сеть_и_дети'!B95*IF('01_Вводные'!$B$239="Да",MeanMinAge15+'19_Расчет_аналитики'!B559*SUMIF(ThresholdAge15,"&lt;"&amp;'19_Расчет_аналитики'!B559,WeightedRevAge15)-SUMIF(ThresholdAge15,"&lt;"&amp;'19_Расчет_аналитики'!B559,WeightedMinAge15),MAX(CapacityAge15*'01_Вводные'!$B$218*'19_Расчет_аналитики'!B559,MeanMinAge15)))</f>
        <v/>
      </c>
      <c r="C478">
        <f>IF(OR('06_Сеть_и_дети'!C95=0,15&lt;='01_Вводные'!$B$297),0,'06_Сеть_и_дети'!C95*IF('01_Вводные'!$B$239="Да",MeanMinAge15+'19_Расчет_аналитики'!C559*SUMIF(ThresholdAge15,"&lt;"&amp;'19_Расчет_аналитики'!C559,WeightedRevAge15)-SUMIF(ThresholdAge15,"&lt;"&amp;'19_Расчет_аналитики'!C559,WeightedMinAge15),MAX(CapacityAge15*'01_Вводные'!$B$218*'19_Расчет_аналитики'!C559,MeanMinAge15)))</f>
        <v/>
      </c>
      <c r="D478">
        <f>IF(OR('06_Сеть_и_дети'!D95=0,15&lt;='01_Вводные'!$B$297),0,'06_Сеть_и_дети'!D95*IF('01_Вводные'!$B$239="Да",MeanMinAge15+'19_Расчет_аналитики'!D559*SUMIF(ThresholdAge15,"&lt;"&amp;'19_Расчет_аналитики'!D559,WeightedRevAge15)-SUMIF(ThresholdAge15,"&lt;"&amp;'19_Расчет_аналитики'!D559,WeightedMinAge15),MAX(CapacityAge15*'01_Вводные'!$B$218*'19_Расчет_аналитики'!D559,MeanMinAge15)))</f>
        <v/>
      </c>
      <c r="E478">
        <f>IF(OR('06_Сеть_и_дети'!E95=0,15&lt;='01_Вводные'!$B$297),0,'06_Сеть_и_дети'!E95*IF('01_Вводные'!$B$239="Да",MeanMinAge15+'19_Расчет_аналитики'!E559*SUMIF(ThresholdAge15,"&lt;"&amp;'19_Расчет_аналитики'!E559,WeightedRevAge15)-SUMIF(ThresholdAge15,"&lt;"&amp;'19_Расчет_аналитики'!E559,WeightedMinAge15),MAX(CapacityAge15*'01_Вводные'!$B$218*'19_Расчет_аналитики'!E559,MeanMinAge15)))</f>
        <v/>
      </c>
      <c r="F478">
        <f>IF(OR('06_Сеть_и_дети'!F95=0,15&lt;='01_Вводные'!$B$297),0,'06_Сеть_и_дети'!F95*IF('01_Вводные'!$B$239="Да",MeanMinAge15+'19_Расчет_аналитики'!F559*SUMIF(ThresholdAge15,"&lt;"&amp;'19_Расчет_аналитики'!F559,WeightedRevAge15)-SUMIF(ThresholdAge15,"&lt;"&amp;'19_Расчет_аналитики'!F559,WeightedMinAge15),MAX(CapacityAge15*'01_Вводные'!$B$218*'19_Расчет_аналитики'!F559,MeanMinAge15)))</f>
        <v/>
      </c>
      <c r="G478">
        <f>IF(OR('06_Сеть_и_дети'!G95=0,15&lt;='01_Вводные'!$B$297),0,'06_Сеть_и_дети'!G95*IF('01_Вводные'!$B$239="Да",MeanMinAge15+'19_Расчет_аналитики'!G559*SUMIF(ThresholdAge15,"&lt;"&amp;'19_Расчет_аналитики'!G559,WeightedRevAge15)-SUMIF(ThresholdAge15,"&lt;"&amp;'19_Расчет_аналитики'!G559,WeightedMinAge15),MAX(CapacityAge15*'01_Вводные'!$B$218*'19_Расчет_аналитики'!G559,MeanMinAge15)))</f>
        <v/>
      </c>
      <c r="H478">
        <f>IF(OR('06_Сеть_и_дети'!H95=0,15&lt;='01_Вводные'!$B$297),0,'06_Сеть_и_дети'!H95*IF('01_Вводные'!$B$239="Да",MeanMinAge15+'19_Расчет_аналитики'!H559*SUMIF(ThresholdAge15,"&lt;"&amp;'19_Расчет_аналитики'!H559,WeightedRevAge15)-SUMIF(ThresholdAge15,"&lt;"&amp;'19_Расчет_аналитики'!H559,WeightedMinAge15),MAX(CapacityAge15*'01_Вводные'!$B$218*'19_Расчет_аналитики'!H559,MeanMinAge15)))</f>
        <v/>
      </c>
      <c r="I478">
        <f>IF(OR('06_Сеть_и_дети'!I95=0,15&lt;='01_Вводные'!$B$297),0,'06_Сеть_и_дети'!I95*IF('01_Вводные'!$B$239="Да",MeanMinAge15+'19_Расчет_аналитики'!I559*SUMIF(ThresholdAge15,"&lt;"&amp;'19_Расчет_аналитики'!I559,WeightedRevAge15)-SUMIF(ThresholdAge15,"&lt;"&amp;'19_Расчет_аналитики'!I559,WeightedMinAge15),MAX(CapacityAge15*'01_Вводные'!$B$218*'19_Расчет_аналитики'!I559,MeanMinAge15)))</f>
        <v/>
      </c>
      <c r="J478">
        <f>IF(OR('06_Сеть_и_дети'!J95=0,15&lt;='01_Вводные'!$B$297),0,'06_Сеть_и_дети'!J95*IF('01_Вводные'!$B$239="Да",MeanMinAge15+'19_Расчет_аналитики'!J559*SUMIF(ThresholdAge15,"&lt;"&amp;'19_Расчет_аналитики'!J559,WeightedRevAge15)-SUMIF(ThresholdAge15,"&lt;"&amp;'19_Расчет_аналитики'!J559,WeightedMinAge15),MAX(CapacityAge15*'01_Вводные'!$B$218*'19_Расчет_аналитики'!J559,MeanMinAge15)))</f>
        <v/>
      </c>
      <c r="K478">
        <f>IF(OR('06_Сеть_и_дети'!K95=0,15&lt;='01_Вводные'!$B$297),0,'06_Сеть_и_дети'!K95*IF('01_Вводные'!$B$239="Да",MeanMinAge15+'19_Расчет_аналитики'!K559*SUMIF(ThresholdAge15,"&lt;"&amp;'19_Расчет_аналитики'!K559,WeightedRevAge15)-SUMIF(ThresholdAge15,"&lt;"&amp;'19_Расчет_аналитики'!K559,WeightedMinAge15),MAX(CapacityAge15*'01_Вводные'!$B$218*'19_Расчет_аналитики'!K559,MeanMinAge15)))</f>
        <v/>
      </c>
      <c r="L478">
        <f>IF(OR('06_Сеть_и_дети'!L95=0,15&lt;='01_Вводные'!$B$297),0,'06_Сеть_и_дети'!L95*IF('01_Вводные'!$B$239="Да",MeanMinAge15+'19_Расчет_аналитики'!L559*SUMIF(ThresholdAge15,"&lt;"&amp;'19_Расчет_аналитики'!L559,WeightedRevAge15)-SUMIF(ThresholdAge15,"&lt;"&amp;'19_Расчет_аналитики'!L559,WeightedMinAge15),MAX(CapacityAge15*'01_Вводные'!$B$218*'19_Расчет_аналитики'!L559,MeanMinAge15)))</f>
        <v/>
      </c>
      <c r="M478">
        <f>IF(OR('06_Сеть_и_дети'!M95=0,15&lt;='01_Вводные'!$B$297),0,'06_Сеть_и_дети'!M95*IF('01_Вводные'!$B$239="Да",MeanMinAge15+'19_Расчет_аналитики'!M559*SUMIF(ThresholdAge15,"&lt;"&amp;'19_Расчет_аналитики'!M559,WeightedRevAge15)-SUMIF(ThresholdAge15,"&lt;"&amp;'19_Расчет_аналитики'!M559,WeightedMinAge15),MAX(CapacityAge15*'01_Вводные'!$B$218*'19_Расчет_аналитики'!M559,MeanMinAge15)))</f>
        <v/>
      </c>
      <c r="N478">
        <f>IF(OR('06_Сеть_и_дети'!N95=0,15&lt;='01_Вводные'!$B$297),0,'06_Сеть_и_дети'!N95*IF('01_Вводные'!$B$239="Да",MeanMinAge15+'19_Расчет_аналитики'!N559*SUMIF(ThresholdAge15,"&lt;"&amp;'19_Расчет_аналитики'!N559,WeightedRevAge15)-SUMIF(ThresholdAge15,"&lt;"&amp;'19_Расчет_аналитики'!N559,WeightedMinAge15),MAX(CapacityAge15*'01_Вводные'!$B$218*'19_Расчет_аналитики'!N559,MeanMinAge15)))</f>
        <v/>
      </c>
      <c r="O478">
        <f>IF(OR('06_Сеть_и_дети'!O95=0,15&lt;='01_Вводные'!$B$297),0,'06_Сеть_и_дети'!O95*IF('01_Вводные'!$B$239="Да",MeanMinAge15+'19_Расчет_аналитики'!O559*SUMIF(ThresholdAge15,"&lt;"&amp;'19_Расчет_аналитики'!O559,WeightedRevAge15)-SUMIF(ThresholdAge15,"&lt;"&amp;'19_Расчет_аналитики'!O559,WeightedMinAge15),MAX(CapacityAge15*'01_Вводные'!$B$218*'19_Расчет_аналитики'!O559,MeanMinAge15)))</f>
        <v/>
      </c>
      <c r="P478">
        <f>IF(OR('19_Расчет_аналитики'!P450=0,15&lt;='01_Вводные'!$B$297),0,'19_Расчет_аналитики'!P450*IF('01_Вводные'!$B$239="Да",MeanMinAge15+'19_Расчет_аналитики'!P559*SUMIF(ThresholdAge15,"&lt;"&amp;'19_Расчет_аналитики'!P559,WeightedRevAge15)-SUMIF(ThresholdAge15,"&lt;"&amp;'19_Расчет_аналитики'!P559,WeightedMinAge15),MAX(CapacityAge15*'01_Вводные'!$B$218*'19_Расчет_аналитики'!P559,MeanMinAge15)))</f>
        <v/>
      </c>
      <c r="Q478">
        <f>IF(OR('19_Расчет_аналитики'!Q450=0,15&lt;='01_Вводные'!$B$297),0,'19_Расчет_аналитики'!Q450*IF('01_Вводные'!$B$239="Да",MeanMinAge15+'19_Расчет_аналитики'!Q559*SUMIF(ThresholdAge15,"&lt;"&amp;'19_Расчет_аналитики'!Q559,WeightedRevAge15)-SUMIF(ThresholdAge15,"&lt;"&amp;'19_Расчет_аналитики'!Q559,WeightedMinAge15),MAX(CapacityAge15*'01_Вводные'!$B$218*'19_Расчет_аналитики'!Q559,MeanMinAge15)))</f>
        <v/>
      </c>
      <c r="R478">
        <f>IF(OR('19_Расчет_аналитики'!R450=0,15&lt;='01_Вводные'!$B$297),0,'19_Расчет_аналитики'!R450*IF('01_Вводные'!$B$239="Да",MeanMinAge15+'19_Расчет_аналитики'!R559*SUMIF(ThresholdAge15,"&lt;"&amp;'19_Расчет_аналитики'!R559,WeightedRevAge15)-SUMIF(ThresholdAge15,"&lt;"&amp;'19_Расчет_аналитики'!R559,WeightedMinAge15),MAX(CapacityAge15*'01_Вводные'!$B$218*'19_Расчет_аналитики'!R559,MeanMinAge15)))</f>
        <v/>
      </c>
      <c r="S478">
        <f>IF(OR('19_Расчет_аналитики'!S450=0,15&lt;='01_Вводные'!$B$297),0,'19_Расчет_аналитики'!S450*IF('01_Вводные'!$B$239="Да",MeanMinAge15+'19_Расчет_аналитики'!S559*SUMIF(ThresholdAge15,"&lt;"&amp;'19_Расчет_аналитики'!S559,WeightedRevAge15)-SUMIF(ThresholdAge15,"&lt;"&amp;'19_Расчет_аналитики'!S559,WeightedMinAge15),MAX(CapacityAge15*'01_Вводные'!$B$218*'19_Расчет_аналитики'!S559,MeanMinAge15)))</f>
        <v/>
      </c>
      <c r="T478">
        <f>IF(OR('19_Расчет_аналитики'!T450=0,15&lt;='01_Вводные'!$B$297),0,'19_Расчет_аналитики'!T450*IF('01_Вводные'!$B$239="Да",MeanMinAge15+'19_Расчет_аналитики'!T559*SUMIF(ThresholdAge15,"&lt;"&amp;'19_Расчет_аналитики'!T559,WeightedRevAge15)-SUMIF(ThresholdAge15,"&lt;"&amp;'19_Расчет_аналитики'!T559,WeightedMinAge15),MAX(CapacityAge15*'01_Вводные'!$B$218*'19_Расчет_аналитики'!T559,MeanMinAge15)))</f>
        <v/>
      </c>
      <c r="U478">
        <f>IF(OR('19_Расчет_аналитики'!U450=0,15&lt;='01_Вводные'!$B$297),0,'19_Расчет_аналитики'!U450*IF('01_Вводные'!$B$239="Да",MeanMinAge15+'19_Расчет_аналитики'!U559*SUMIF(ThresholdAge15,"&lt;"&amp;'19_Расчет_аналитики'!U559,WeightedRevAge15)-SUMIF(ThresholdAge15,"&lt;"&amp;'19_Расчет_аналитики'!U559,WeightedMinAge15),MAX(CapacityAge15*'01_Вводные'!$B$218*'19_Расчет_аналитики'!U559,MeanMinAge15)))</f>
        <v/>
      </c>
      <c r="V478">
        <f>IF(OR('19_Расчет_аналитики'!V450=0,15&lt;='01_Вводные'!$B$297),0,'19_Расчет_аналитики'!V450*IF('01_Вводные'!$B$239="Да",MeanMinAge15+'19_Расчет_аналитики'!V559*SUMIF(ThresholdAge15,"&lt;"&amp;'19_Расчет_аналитики'!V559,WeightedRevAge15)-SUMIF(ThresholdAge15,"&lt;"&amp;'19_Расчет_аналитики'!V559,WeightedMinAge15),MAX(CapacityAge15*'01_Вводные'!$B$218*'19_Расчет_аналитики'!V559,MeanMinAge15)))</f>
        <v/>
      </c>
      <c r="W478">
        <f>IF(OR('19_Расчет_аналитики'!W450=0,15&lt;='01_Вводные'!$B$297),0,'19_Расчет_аналитики'!W450*IF('01_Вводные'!$B$239="Да",MeanMinAge15+'19_Расчет_аналитики'!W559*SUMIF(ThresholdAge15,"&lt;"&amp;'19_Расчет_аналитики'!W559,WeightedRevAge15)-SUMIF(ThresholdAge15,"&lt;"&amp;'19_Расчет_аналитики'!W559,WeightedMinAge15),MAX(CapacityAge15*'01_Вводные'!$B$218*'19_Расчет_аналитики'!W559,MeanMinAge15)))</f>
        <v/>
      </c>
      <c r="X478">
        <f>IF(OR('19_Расчет_аналитики'!X450=0,15&lt;='01_Вводные'!$B$297),0,'19_Расчет_аналитики'!X450*IF('01_Вводные'!$B$239="Да",MeanMinAge15+'19_Расчет_аналитики'!X559*SUMIF(ThresholdAge15,"&lt;"&amp;'19_Расчет_аналитики'!X559,WeightedRevAge15)-SUMIF(ThresholdAge15,"&lt;"&amp;'19_Расчет_аналитики'!X559,WeightedMinAge15),MAX(CapacityAge15*'01_Вводные'!$B$218*'19_Расчет_аналитики'!X559,MeanMinAge15)))</f>
        <v/>
      </c>
      <c r="Y478">
        <f>IF(OR('19_Расчет_аналитики'!Y450=0,15&lt;='01_Вводные'!$B$297),0,'19_Расчет_аналитики'!Y450*IF('01_Вводные'!$B$239="Да",MeanMinAge15+'19_Расчет_аналитики'!Y559*SUMIF(ThresholdAge15,"&lt;"&amp;'19_Расчет_аналитики'!Y559,WeightedRevAge15)-SUMIF(ThresholdAge15,"&lt;"&amp;'19_Расчет_аналитики'!Y559,WeightedMinAge15),MAX(CapacityAge15*'01_Вводные'!$B$218*'19_Расчет_аналитики'!Y559,MeanMinAge15)))</f>
        <v/>
      </c>
      <c r="Z478">
        <f>IF(OR('19_Расчет_аналитики'!Z450=0,15&lt;='01_Вводные'!$B$297),0,'19_Расчет_аналитики'!Z450*IF('01_Вводные'!$B$239="Да",MeanMinAge15+'19_Расчет_аналитики'!Z559*SUMIF(ThresholdAge15,"&lt;"&amp;'19_Расчет_аналитики'!Z559,WeightedRevAge15)-SUMIF(ThresholdAge15,"&lt;"&amp;'19_Расчет_аналитики'!Z559,WeightedMinAge15),MAX(CapacityAge15*'01_Вводные'!$B$218*'19_Расчет_аналитики'!Z559,MeanMinAge15)))</f>
        <v/>
      </c>
      <c r="AA478">
        <f>IF(OR('19_Расчет_аналитики'!AA450=0,15&lt;='01_Вводные'!$B$297),0,'19_Расчет_аналитики'!AA450*IF('01_Вводные'!$B$239="Да",MeanMinAge15+'19_Расчет_аналитики'!AA559*SUMIF(ThresholdAge15,"&lt;"&amp;'19_Расчет_аналитики'!AA559,WeightedRevAge15)-SUMIF(ThresholdAge15,"&lt;"&amp;'19_Расчет_аналитики'!AA559,WeightedMinAge15),MAX(CapacityAge15*'01_Вводные'!$B$218*'19_Расчет_аналитики'!AA559,MeanMinAge15)))</f>
        <v/>
      </c>
      <c r="AB478">
        <f>IF(OR('19_Расчет_аналитики'!AB450=0,15&lt;='01_Вводные'!$B$297),0,'19_Расчет_аналитики'!AB450*IF('01_Вводные'!$B$239="Да",MeanMinAge15+'19_Расчет_аналитики'!AB559*SUMIF(ThresholdAge15,"&lt;"&amp;'19_Расчет_аналитики'!AB559,WeightedRevAge15)-SUMIF(ThresholdAge15,"&lt;"&amp;'19_Расчет_аналитики'!AB559,WeightedMinAge15),MAX(CapacityAge15*'01_Вводные'!$B$218*'19_Расчет_аналитики'!AB559,MeanMinAge15)))</f>
        <v/>
      </c>
      <c r="AC478">
        <f>IF(OR('19_Расчет_аналитики'!AC450=0,15&lt;='01_Вводные'!$B$297),0,'19_Расчет_аналитики'!AC450*IF('01_Вводные'!$B$239="Да",MeanMinAge15+'19_Расчет_аналитики'!AC559*SUMIF(ThresholdAge15,"&lt;"&amp;'19_Расчет_аналитики'!AC559,WeightedRevAge15)-SUMIF(ThresholdAge15,"&lt;"&amp;'19_Расчет_аналитики'!AC559,WeightedMinAge15),MAX(CapacityAge15*'01_Вводные'!$B$218*'19_Расчет_аналитики'!AC559,MeanMinAge15)))</f>
        <v/>
      </c>
      <c r="AD478">
        <f>IF(OR('19_Расчет_аналитики'!AD450=0,15&lt;='01_Вводные'!$B$297),0,'19_Расчет_аналитики'!AD450*IF('01_Вводные'!$B$239="Да",MeanMinAge15+'19_Расчет_аналитики'!AD559*SUMIF(ThresholdAge15,"&lt;"&amp;'19_Расчет_аналитики'!AD559,WeightedRevAge15)-SUMIF(ThresholdAge15,"&lt;"&amp;'19_Расчет_аналитики'!AD559,WeightedMinAge15),MAX(CapacityAge15*'01_Вводные'!$B$218*'19_Расчет_аналитики'!AD559,MeanMinAge15)))</f>
        <v/>
      </c>
      <c r="AE478">
        <f>IF(OR('19_Расчет_аналитики'!AE450=0,15&lt;='01_Вводные'!$B$297),0,'19_Расчет_аналитики'!AE450*IF('01_Вводные'!$B$239="Да",MeanMinAge15+'19_Расчет_аналитики'!AE559*SUMIF(ThresholdAge15,"&lt;"&amp;'19_Расчет_аналитики'!AE559,WeightedRevAge15)-SUMIF(ThresholdAge15,"&lt;"&amp;'19_Расчет_аналитики'!AE559,WeightedMinAge15),MAX(CapacityAge15*'01_Вводные'!$B$218*'19_Расчет_аналитики'!AE559,MeanMinAge15)))</f>
        <v/>
      </c>
      <c r="AF478">
        <f>IF(OR('19_Расчет_аналитики'!AF450=0,15&lt;='01_Вводные'!$B$297),0,'19_Расчет_аналитики'!AF450*IF('01_Вводные'!$B$239="Да",MeanMinAge15+'19_Расчет_аналитики'!AF559*SUMIF(ThresholdAge15,"&lt;"&amp;'19_Расчет_аналитики'!AF559,WeightedRevAge15)-SUMIF(ThresholdAge15,"&lt;"&amp;'19_Расчет_аналитики'!AF559,WeightedMinAge15),MAX(CapacityAge15*'01_Вводные'!$B$218*'19_Расчет_аналитики'!AF559,MeanMinAge15)))</f>
        <v/>
      </c>
      <c r="AG478">
        <f>IF(OR('19_Расчет_аналитики'!AG450=0,15&lt;='01_Вводные'!$B$297),0,'19_Расчет_аналитики'!AG450*IF('01_Вводные'!$B$239="Да",MeanMinAge15+'19_Расчет_аналитики'!AG559*SUMIF(ThresholdAge15,"&lt;"&amp;'19_Расчет_аналитики'!AG559,WeightedRevAge15)-SUMIF(ThresholdAge15,"&lt;"&amp;'19_Расчет_аналитики'!AG559,WeightedMinAge15),MAX(CapacityAge15*'01_Вводные'!$B$218*'19_Расчет_аналитики'!AG559,MeanMinAge15)))</f>
        <v/>
      </c>
      <c r="AH478">
        <f>IF(OR('19_Расчет_аналитики'!AH450=0,15&lt;='01_Вводные'!$B$297),0,'19_Расчет_аналитики'!AH450*IF('01_Вводные'!$B$239="Да",MeanMinAge15+'19_Расчет_аналитики'!AH559*SUMIF(ThresholdAge15,"&lt;"&amp;'19_Расчет_аналитики'!AH559,WeightedRevAge15)-SUMIF(ThresholdAge15,"&lt;"&amp;'19_Расчет_аналитики'!AH559,WeightedMinAge15),MAX(CapacityAge15*'01_Вводные'!$B$218*'19_Расчет_аналитики'!AH559,MeanMinAge15)))</f>
        <v/>
      </c>
      <c r="AI478">
        <f>IF(OR('19_Расчет_аналитики'!AI450=0,15&lt;='01_Вводные'!$B$297),0,'19_Расчет_аналитики'!AI450*IF('01_Вводные'!$B$239="Да",MeanMinAge15+'19_Расчет_аналитики'!AI559*SUMIF(ThresholdAge15,"&lt;"&amp;'19_Расчет_аналитики'!AI559,WeightedRevAge15)-SUMIF(ThresholdAge15,"&lt;"&amp;'19_Расчет_аналитики'!AI559,WeightedMinAge15),MAX(CapacityAge15*'01_Вводные'!$B$218*'19_Расчет_аналитики'!AI559,MeanMinAge15)))</f>
        <v/>
      </c>
      <c r="AJ478">
        <f>IF(OR('19_Расчет_аналитики'!AJ450=0,15&lt;='01_Вводные'!$B$297),0,'19_Расчет_аналитики'!AJ450*IF('01_Вводные'!$B$239="Да",MeanMinAge15+'19_Расчет_аналитики'!AJ559*SUMIF(ThresholdAge15,"&lt;"&amp;'19_Расчет_аналитики'!AJ559,WeightedRevAge15)-SUMIF(ThresholdAge15,"&lt;"&amp;'19_Расчет_аналитики'!AJ559,WeightedMinAge15),MAX(CapacityAge15*'01_Вводные'!$B$218*'19_Расчет_аналитики'!AJ559,MeanMinAge15)))</f>
        <v/>
      </c>
      <c r="AK478">
        <f>IF(OR('19_Расчет_аналитики'!AK450=0,15&lt;='01_Вводные'!$B$297),0,'19_Расчет_аналитики'!AK450*IF('01_Вводные'!$B$239="Да",MeanMinAge15+'19_Расчет_аналитики'!AK559*SUMIF(ThresholdAge15,"&lt;"&amp;'19_Расчет_аналитики'!AK559,WeightedRevAge15)-SUMIF(ThresholdAge15,"&lt;"&amp;'19_Расчет_аналитики'!AK559,WeightedMinAge15),MAX(CapacityAge15*'01_Вводные'!$B$218*'19_Расчет_аналитики'!AK559,MeanMinAge15)))</f>
        <v/>
      </c>
      <c r="AL478">
        <f>IF(OR('19_Расчет_аналитики'!AL450=0,15&lt;='01_Вводные'!$B$297),0,'19_Расчет_аналитики'!AL450*IF('01_Вводные'!$B$239="Да",MeanMinAge15+'19_Расчет_аналитики'!AL559*SUMIF(ThresholdAge15,"&lt;"&amp;'19_Расчет_аналитики'!AL559,WeightedRevAge15)-SUMIF(ThresholdAge15,"&lt;"&amp;'19_Расчет_аналитики'!AL559,WeightedMinAge15),MAX(CapacityAge15*'01_Вводные'!$B$218*'19_Расчет_аналитики'!AL559,MeanMinAge15)))</f>
        <v/>
      </c>
      <c r="AM478">
        <f>IF(OR('19_Расчет_аналитики'!AM450=0,15&lt;='01_Вводные'!$B$297),0,'19_Расчет_аналитики'!AM450*IF('01_Вводные'!$B$239="Да",MeanMinAge15+'19_Расчет_аналитики'!AM559*SUMIF(ThresholdAge15,"&lt;"&amp;'19_Расчет_аналитики'!AM559,WeightedRevAge15)-SUMIF(ThresholdAge15,"&lt;"&amp;'19_Расчет_аналитики'!AM559,WeightedMinAge15),MAX(CapacityAge15*'01_Вводные'!$B$218*'19_Расчет_аналитики'!AM559,MeanMinAge15)))</f>
        <v/>
      </c>
      <c r="AN478">
        <f>IF(OR('19_Расчет_аналитики'!AN450=0,15&lt;='01_Вводные'!$B$297),0,'19_Расчет_аналитики'!AN450*IF('01_Вводные'!$B$239="Да",MeanMinAge15+'19_Расчет_аналитики'!AN559*SUMIF(ThresholdAge15,"&lt;"&amp;'19_Расчет_аналитики'!AN559,WeightedRevAge15)-SUMIF(ThresholdAge15,"&lt;"&amp;'19_Расчет_аналитики'!AN559,WeightedMinAge15),MAX(CapacityAge15*'01_Вводные'!$B$218*'19_Расчет_аналитики'!AN559,MeanMinAge15)))</f>
        <v/>
      </c>
      <c r="AO478">
        <f>IF(OR('19_Расчет_аналитики'!AO450=0,15&lt;='01_Вводные'!$B$297),0,'19_Расчет_аналитики'!AO450*IF('01_Вводные'!$B$239="Да",MeanMinAge15+'19_Расчет_аналитики'!AO559*SUMIF(ThresholdAge15,"&lt;"&amp;'19_Расчет_аналитики'!AO559,WeightedRevAge15)-SUMIF(ThresholdAge15,"&lt;"&amp;'19_Расчет_аналитики'!AO559,WeightedMinAge15),MAX(CapacityAge15*'01_Вводные'!$B$218*'19_Расчет_аналитики'!AO559,MeanMinAge15)))</f>
        <v/>
      </c>
      <c r="AP478">
        <f>IF(OR('19_Расчет_аналитики'!AP450=0,15&lt;='01_Вводные'!$B$297),0,'19_Расчет_аналитики'!AP450*IF('01_Вводные'!$B$239="Да",MeanMinAge15+'19_Расчет_аналитики'!AP559*SUMIF(ThresholdAge15,"&lt;"&amp;'19_Расчет_аналитики'!AP559,WeightedRevAge15)-SUMIF(ThresholdAge15,"&lt;"&amp;'19_Расчет_аналитики'!AP559,WeightedMinAge15),MAX(CapacityAge15*'01_Вводные'!$B$218*'19_Расчет_аналитики'!AP559,MeanMinAge15)))</f>
        <v/>
      </c>
      <c r="AQ478">
        <f>IF(OR('19_Расчет_аналитики'!AQ450=0,15&lt;='01_Вводные'!$B$297),0,'19_Расчет_аналитики'!AQ450*IF('01_Вводные'!$B$239="Да",MeanMinAge15+'19_Расчет_аналитики'!AQ559*SUMIF(ThresholdAge15,"&lt;"&amp;'19_Расчет_аналитики'!AQ559,WeightedRevAge15)-SUMIF(ThresholdAge15,"&lt;"&amp;'19_Расчет_аналитики'!AQ559,WeightedMinAge15),MAX(CapacityAge15*'01_Вводные'!$B$218*'19_Расчет_аналитики'!AQ559,MeanMinAge15)))</f>
        <v/>
      </c>
      <c r="AR478">
        <f>IF(OR('19_Расчет_аналитики'!AR450=0,15&lt;='01_Вводные'!$B$297),0,'19_Расчет_аналитики'!AR450*IF('01_Вводные'!$B$239="Да",MeanMinAge15+'19_Расчет_аналитики'!AR559*SUMIF(ThresholdAge15,"&lt;"&amp;'19_Расчет_аналитики'!AR559,WeightedRevAge15)-SUMIF(ThresholdAge15,"&lt;"&amp;'19_Расчет_аналитики'!AR559,WeightedMinAge15),MAX(CapacityAge15*'01_Вводные'!$B$218*'19_Расчет_аналитики'!AR559,MeanMinAge15)))</f>
        <v/>
      </c>
      <c r="AS478">
        <f>IF(OR('19_Расчет_аналитики'!AS450=0,15&lt;='01_Вводные'!$B$297),0,'19_Расчет_аналитики'!AS450*IF('01_Вводные'!$B$239="Да",MeanMinAge15+'19_Расчет_аналитики'!AS559*SUMIF(ThresholdAge15,"&lt;"&amp;'19_Расчет_аналитики'!AS559,WeightedRevAge15)-SUMIF(ThresholdAge15,"&lt;"&amp;'19_Расчет_аналитики'!AS559,WeightedMinAge15),MAX(CapacityAge15*'01_Вводные'!$B$218*'19_Расчет_аналитики'!AS559,MeanMinAge15)))</f>
        <v/>
      </c>
      <c r="AT478">
        <f>IF(OR('19_Расчет_аналитики'!AT450=0,15&lt;='01_Вводные'!$B$297),0,'19_Расчет_аналитики'!AT450*IF('01_Вводные'!$B$239="Да",MeanMinAge15+'19_Расчет_аналитики'!AT559*SUMIF(ThresholdAge15,"&lt;"&amp;'19_Расчет_аналитики'!AT559,WeightedRevAge15)-SUMIF(ThresholdAge15,"&lt;"&amp;'19_Расчет_аналитики'!AT559,WeightedMinAge15),MAX(CapacityAge15*'01_Вводные'!$B$218*'19_Расчет_аналитики'!AT559,MeanMinAge15)))</f>
        <v/>
      </c>
      <c r="AU478">
        <f>IF(OR('19_Расчет_аналитики'!AU450=0,15&lt;='01_Вводные'!$B$297),0,'19_Расчет_аналитики'!AU450*IF('01_Вводные'!$B$239="Да",MeanMinAge15+'19_Расчет_аналитики'!AU559*SUMIF(ThresholdAge15,"&lt;"&amp;'19_Расчет_аналитики'!AU559,WeightedRevAge15)-SUMIF(ThresholdAge15,"&lt;"&amp;'19_Расчет_аналитики'!AU559,WeightedMinAge15),MAX(CapacityAge15*'01_Вводные'!$B$218*'19_Расчет_аналитики'!AU559,MeanMinAge15)))</f>
        <v/>
      </c>
      <c r="AV478">
        <f>IF(OR('19_Расчет_аналитики'!AV450=0,15&lt;='01_Вводные'!$B$297),0,'19_Расчет_аналитики'!AV450*IF('01_Вводные'!$B$239="Да",MeanMinAge15+'19_Расчет_аналитики'!AV559*SUMIF(ThresholdAge15,"&lt;"&amp;'19_Расчет_аналитики'!AV559,WeightedRevAge15)-SUMIF(ThresholdAge15,"&lt;"&amp;'19_Расчет_аналитики'!AV559,WeightedMinAge15),MAX(CapacityAge15*'01_Вводные'!$B$218*'19_Расчет_аналитики'!AV559,MeanMinAge15)))</f>
        <v/>
      </c>
      <c r="AW478">
        <f>IF(OR('19_Расчет_аналитики'!AW450=0,15&lt;='01_Вводные'!$B$297),0,'19_Расчет_аналитики'!AW450*IF('01_Вводные'!$B$239="Да",MeanMinAge15+'19_Расчет_аналитики'!AW559*SUMIF(ThresholdAge15,"&lt;"&amp;'19_Расчет_аналитики'!AW559,WeightedRevAge15)-SUMIF(ThresholdAge15,"&lt;"&amp;'19_Расчет_аналитики'!AW559,WeightedMinAge15),MAX(CapacityAge15*'01_Вводные'!$B$218*'19_Расчет_аналитики'!AW559,MeanMinAge15)))</f>
        <v/>
      </c>
      <c r="AX478">
        <f>IF(OR('19_Расчет_аналитики'!AX450=0,15&lt;='01_Вводные'!$B$297),0,'19_Расчет_аналитики'!AX450*IF('01_Вводные'!$B$239="Да",MeanMinAge15+'19_Расчет_аналитики'!AX559*SUMIF(ThresholdAge15,"&lt;"&amp;'19_Расчет_аналитики'!AX559,WeightedRevAge15)-SUMIF(ThresholdAge15,"&lt;"&amp;'19_Расчет_аналитики'!AX559,WeightedMinAge15),MAX(CapacityAge15*'01_Вводные'!$B$218*'19_Расчет_аналитики'!AX559,MeanMinAge15)))</f>
        <v/>
      </c>
      <c r="AY478">
        <f>IF(OR('19_Расчет_аналитики'!AY450=0,15&lt;='01_Вводные'!$B$297),0,'19_Расчет_аналитики'!AY450*IF('01_Вводные'!$B$239="Да",MeanMinAge15+'19_Расчет_аналитики'!AY559*SUMIF(ThresholdAge15,"&lt;"&amp;'19_Расчет_аналитики'!AY559,WeightedRevAge15)-SUMIF(ThresholdAge15,"&lt;"&amp;'19_Расчет_аналитики'!AY559,WeightedMinAge15),MAX(CapacityAge15*'01_Вводные'!$B$218*'19_Расчет_аналитики'!AY559,MeanMinAge15)))</f>
        <v/>
      </c>
      <c r="AZ478">
        <f>IF(OR('19_Расчет_аналитики'!AZ450=0,15&lt;='01_Вводные'!$B$297),0,'19_Расчет_аналитики'!AZ450*IF('01_Вводные'!$B$239="Да",MeanMinAge15+'19_Расчет_аналитики'!AZ559*SUMIF(ThresholdAge15,"&lt;"&amp;'19_Расчет_аналитики'!AZ559,WeightedRevAge15)-SUMIF(ThresholdAge15,"&lt;"&amp;'19_Расчет_аналитики'!AZ559,WeightedMinAge15),MAX(CapacityAge15*'01_Вводные'!$B$218*'19_Расчет_аналитики'!AZ559,MeanMinAge15)))</f>
        <v/>
      </c>
      <c r="BA478">
        <f>IF(OR('19_Расчет_аналитики'!BA450=0,15&lt;='01_Вводные'!$B$297),0,'19_Расчет_аналитики'!BA450*IF('01_Вводные'!$B$239="Да",MeanMinAge15+'19_Расчет_аналитики'!BA559*SUMIF(ThresholdAge15,"&lt;"&amp;'19_Расчет_аналитики'!BA559,WeightedRevAge15)-SUMIF(ThresholdAge15,"&lt;"&amp;'19_Расчет_аналитики'!BA559,WeightedMinAge15),MAX(CapacityAge15*'01_Вводные'!$B$218*'19_Расчет_аналитики'!BA559,MeanMinAge15)))</f>
        <v/>
      </c>
      <c r="BB478">
        <f>IF(OR('19_Расчет_аналитики'!BB450=0,15&lt;='01_Вводные'!$B$297),0,'19_Расчет_аналитики'!BB450*IF('01_Вводные'!$B$239="Да",MeanMinAge15+'19_Расчет_аналитики'!BB559*SUMIF(ThresholdAge15,"&lt;"&amp;'19_Расчет_аналитики'!BB559,WeightedRevAge15)-SUMIF(ThresholdAge15,"&lt;"&amp;'19_Расчет_аналитики'!BB559,WeightedMinAge15),MAX(CapacityAge15*'01_Вводные'!$B$218*'19_Расчет_аналитики'!BB559,MeanMinAge15)))</f>
        <v/>
      </c>
      <c r="BC478">
        <f>IF(OR('19_Расчет_аналитики'!BC450=0,15&lt;='01_Вводные'!$B$297),0,'19_Расчет_аналитики'!BC450*IF('01_Вводные'!$B$239="Да",MeanMinAge15+'19_Расчет_аналитики'!BC559*SUMIF(ThresholdAge15,"&lt;"&amp;'19_Расчет_аналитики'!BC559,WeightedRevAge15)-SUMIF(ThresholdAge15,"&lt;"&amp;'19_Расчет_аналитики'!BC559,WeightedMinAge15),MAX(CapacityAge15*'01_Вводные'!$B$218*'19_Расчет_аналитики'!BC559,MeanMinAge15)))</f>
        <v/>
      </c>
      <c r="BD478">
        <f>IF(OR('19_Расчет_аналитики'!BD450=0,15&lt;='01_Вводные'!$B$297),0,'19_Расчет_аналитики'!BD450*IF('01_Вводные'!$B$239="Да",MeanMinAge15+'19_Расчет_аналитики'!BD559*SUMIF(ThresholdAge15,"&lt;"&amp;'19_Расчет_аналитики'!BD559,WeightedRevAge15)-SUMIF(ThresholdAge15,"&lt;"&amp;'19_Расчет_аналитики'!BD559,WeightedMinAge15),MAX(CapacityAge15*'01_Вводные'!$B$218*'19_Расчет_аналитики'!BD559,MeanMinAge15)))</f>
        <v/>
      </c>
      <c r="BE478">
        <f>IF(OR('19_Расчет_аналитики'!BE450=0,15&lt;='01_Вводные'!$B$297),0,'19_Расчет_аналитики'!BE450*IF('01_Вводные'!$B$239="Да",MeanMinAge15+'19_Расчет_аналитики'!BE559*SUMIF(ThresholdAge15,"&lt;"&amp;'19_Расчет_аналитики'!BE559,WeightedRevAge15)-SUMIF(ThresholdAge15,"&lt;"&amp;'19_Расчет_аналитики'!BE559,WeightedMinAge15),MAX(CapacityAge15*'01_Вводные'!$B$218*'19_Расчет_аналитики'!BE559,MeanMinAge15)))</f>
        <v/>
      </c>
      <c r="BF478">
        <f>IF(OR('19_Расчет_аналитики'!BF450=0,15&lt;='01_Вводные'!$B$297),0,'19_Расчет_аналитики'!BF450*IF('01_Вводные'!$B$239="Да",MeanMinAge15+'19_Расчет_аналитики'!BF559*SUMIF(ThresholdAge15,"&lt;"&amp;'19_Расчет_аналитики'!BF559,WeightedRevAge15)-SUMIF(ThresholdAge15,"&lt;"&amp;'19_Расчет_аналитики'!BF559,WeightedMinAge15),MAX(CapacityAge15*'01_Вводные'!$B$218*'19_Расчет_аналитики'!BF559,MeanMinAge15)))</f>
        <v/>
      </c>
      <c r="BG478">
        <f>IF(OR('19_Расчет_аналитики'!BG450=0,15&lt;='01_Вводные'!$B$297),0,'19_Расчет_аналитики'!BG450*IF('01_Вводные'!$B$239="Да",MeanMinAge15+'19_Расчет_аналитики'!BG559*SUMIF(ThresholdAge15,"&lt;"&amp;'19_Расчет_аналитики'!BG559,WeightedRevAge15)-SUMIF(ThresholdAge15,"&lt;"&amp;'19_Расчет_аналитики'!BG559,WeightedMinAge15),MAX(CapacityAge15*'01_Вводные'!$B$218*'19_Расчет_аналитики'!BG559,MeanMinAge15)))</f>
        <v/>
      </c>
      <c r="BH478">
        <f>IF(OR('19_Расчет_аналитики'!BH450=0,15&lt;='01_Вводные'!$B$297),0,'19_Расчет_аналитики'!BH450*IF('01_Вводные'!$B$239="Да",MeanMinAge15+'19_Расчет_аналитики'!BH559*SUMIF(ThresholdAge15,"&lt;"&amp;'19_Расчет_аналитики'!BH559,WeightedRevAge15)-SUMIF(ThresholdAge15,"&lt;"&amp;'19_Расчет_аналитики'!BH559,WeightedMinAge15),MAX(CapacityAge15*'01_Вводные'!$B$218*'19_Расчет_аналитики'!BH559,MeanMinAge15)))</f>
        <v/>
      </c>
      <c r="BI478">
        <f>IF(OR('19_Расчет_аналитики'!BI450=0,15&lt;='01_Вводные'!$B$297),0,'19_Расчет_аналитики'!BI450*IF('01_Вводные'!$B$239="Да",MeanMinAge15+'19_Расчет_аналитики'!BI559*SUMIF(ThresholdAge15,"&lt;"&amp;'19_Расчет_аналитики'!BI559,WeightedRevAge15)-SUMIF(ThresholdAge15,"&lt;"&amp;'19_Расчет_аналитики'!BI559,WeightedMinAge15),MAX(CapacityAge15*'01_Вводные'!$B$218*'19_Расчет_аналитики'!BI559,MeanMinAge15)))</f>
        <v/>
      </c>
      <c r="BJ478">
        <f>IF(OR('19_Расчет_аналитики'!BJ450=0,15&lt;='01_Вводные'!$B$297),0,'19_Расчет_аналитики'!BJ450*IF('01_Вводные'!$B$239="Да",MeanMinAge15+'19_Расчет_аналитики'!BJ559*SUMIF(ThresholdAge15,"&lt;"&amp;'19_Расчет_аналитики'!BJ559,WeightedRevAge15)-SUMIF(ThresholdAge15,"&lt;"&amp;'19_Расчет_аналитики'!BJ559,WeightedMinAge15),MAX(CapacityAge15*'01_Вводные'!$B$218*'19_Расчет_аналитики'!BJ559,MeanMinAge15)))</f>
        <v/>
      </c>
      <c r="BK478">
        <f>IF(OR('19_Расчет_аналитики'!BK450=0,15&lt;='01_Вводные'!$B$297),0,'19_Расчет_аналитики'!BK450*IF('01_Вводные'!$B$239="Да",MeanMinAge15+'19_Расчет_аналитики'!BK559*SUMIF(ThresholdAge15,"&lt;"&amp;'19_Расчет_аналитики'!BK559,WeightedRevAge15)-SUMIF(ThresholdAge15,"&lt;"&amp;'19_Расчет_аналитики'!BK559,WeightedMinAge15),MAX(CapacityAge15*'01_Вводные'!$B$218*'19_Расчет_аналитики'!BK559,MeanMinAge15)))</f>
        <v/>
      </c>
      <c r="BL478">
        <f>IF(OR('19_Расчет_аналитики'!BL450=0,15&lt;='01_Вводные'!$B$297),0,'19_Расчет_аналитики'!BL450*IF('01_Вводные'!$B$239="Да",MeanMinAge15+'19_Расчет_аналитики'!BL559*SUMIF(ThresholdAge15,"&lt;"&amp;'19_Расчет_аналитики'!BL559,WeightedRevAge15)-SUMIF(ThresholdAge15,"&lt;"&amp;'19_Расчет_аналитики'!BL559,WeightedMinAge15),MAX(CapacityAge15*'01_Вводные'!$B$218*'19_Расчет_аналитики'!BL559,MeanMinAge15)))</f>
        <v/>
      </c>
      <c r="BM478">
        <f>IF(OR('19_Расчет_аналитики'!BM450=0,15&lt;='01_Вводные'!$B$297),0,'19_Расчет_аналитики'!BM450*IF('01_Вводные'!$B$239="Да",MeanMinAge15+'19_Расчет_аналитики'!BM559*SUMIF(ThresholdAge15,"&lt;"&amp;'19_Расчет_аналитики'!BM559,WeightedRevAge15)-SUMIF(ThresholdAge15,"&lt;"&amp;'19_Расчет_аналитики'!BM559,WeightedMinAge15),MAX(CapacityAge15*'01_Вводные'!$B$218*'19_Расчет_аналитики'!BM559,MeanMinAge15)))</f>
        <v/>
      </c>
      <c r="BN478">
        <f>IF(OR('19_Расчет_аналитики'!BN450=0,15&lt;='01_Вводные'!$B$297),0,'19_Расчет_аналитики'!BN450*IF('01_Вводные'!$B$239="Да",MeanMinAge15+'19_Расчет_аналитики'!BN559*SUMIF(ThresholdAge15,"&lt;"&amp;'19_Расчет_аналитики'!BN559,WeightedRevAge15)-SUMIF(ThresholdAge15,"&lt;"&amp;'19_Расчет_аналитики'!BN559,WeightedMinAge15),MAX(CapacityAge15*'01_Вводные'!$B$218*'19_Расчет_аналитики'!BN559,MeanMinAge15)))</f>
        <v/>
      </c>
      <c r="BO478">
        <f>IF(OR('19_Расчет_аналитики'!BO450=0,15&lt;='01_Вводные'!$B$297),0,'19_Расчет_аналитики'!BO450*IF('01_Вводные'!$B$239="Да",MeanMinAge15+'19_Расчет_аналитики'!BO559*SUMIF(ThresholdAge15,"&lt;"&amp;'19_Расчет_аналитики'!BO559,WeightedRevAge15)-SUMIF(ThresholdAge15,"&lt;"&amp;'19_Расчет_аналитики'!BO559,WeightedMinAge15),MAX(CapacityAge15*'01_Вводные'!$B$218*'19_Расчет_аналитики'!BO559,MeanMinAge15)))</f>
        <v/>
      </c>
    </row>
    <row r="479">
      <c r="B479">
        <f>IF(OR('06_Сеть_и_дети'!B96=0,16&lt;='01_Вводные'!$B$297),0,'06_Сеть_и_дети'!B96*IF('01_Вводные'!$B$239="Да",MeanMinAge16+'19_Расчет_аналитики'!B559*SUMIF(ThresholdAge16,"&lt;"&amp;'19_Расчет_аналитики'!B559,WeightedRevAge16)-SUMIF(ThresholdAge16,"&lt;"&amp;'19_Расчет_аналитики'!B559,WeightedMinAge16),MAX(CapacityAge16*'01_Вводные'!$B$218*'19_Расчет_аналитики'!B559,MeanMinAge16)))</f>
        <v/>
      </c>
      <c r="C479">
        <f>IF(OR('06_Сеть_и_дети'!C96=0,16&lt;='01_Вводные'!$B$297),0,'06_Сеть_и_дети'!C96*IF('01_Вводные'!$B$239="Да",MeanMinAge16+'19_Расчет_аналитики'!C559*SUMIF(ThresholdAge16,"&lt;"&amp;'19_Расчет_аналитики'!C559,WeightedRevAge16)-SUMIF(ThresholdAge16,"&lt;"&amp;'19_Расчет_аналитики'!C559,WeightedMinAge16),MAX(CapacityAge16*'01_Вводные'!$B$218*'19_Расчет_аналитики'!C559,MeanMinAge16)))</f>
        <v/>
      </c>
      <c r="D479">
        <f>IF(OR('06_Сеть_и_дети'!D96=0,16&lt;='01_Вводные'!$B$297),0,'06_Сеть_и_дети'!D96*IF('01_Вводные'!$B$239="Да",MeanMinAge16+'19_Расчет_аналитики'!D559*SUMIF(ThresholdAge16,"&lt;"&amp;'19_Расчет_аналитики'!D559,WeightedRevAge16)-SUMIF(ThresholdAge16,"&lt;"&amp;'19_Расчет_аналитики'!D559,WeightedMinAge16),MAX(CapacityAge16*'01_Вводные'!$B$218*'19_Расчет_аналитики'!D559,MeanMinAge16)))</f>
        <v/>
      </c>
      <c r="E479">
        <f>IF(OR('06_Сеть_и_дети'!E96=0,16&lt;='01_Вводные'!$B$297),0,'06_Сеть_и_дети'!E96*IF('01_Вводные'!$B$239="Да",MeanMinAge16+'19_Расчет_аналитики'!E559*SUMIF(ThresholdAge16,"&lt;"&amp;'19_Расчет_аналитики'!E559,WeightedRevAge16)-SUMIF(ThresholdAge16,"&lt;"&amp;'19_Расчет_аналитики'!E559,WeightedMinAge16),MAX(CapacityAge16*'01_Вводные'!$B$218*'19_Расчет_аналитики'!E559,MeanMinAge16)))</f>
        <v/>
      </c>
      <c r="F479">
        <f>IF(OR('06_Сеть_и_дети'!F96=0,16&lt;='01_Вводные'!$B$297),0,'06_Сеть_и_дети'!F96*IF('01_Вводные'!$B$239="Да",MeanMinAge16+'19_Расчет_аналитики'!F559*SUMIF(ThresholdAge16,"&lt;"&amp;'19_Расчет_аналитики'!F559,WeightedRevAge16)-SUMIF(ThresholdAge16,"&lt;"&amp;'19_Расчет_аналитики'!F559,WeightedMinAge16),MAX(CapacityAge16*'01_Вводные'!$B$218*'19_Расчет_аналитики'!F559,MeanMinAge16)))</f>
        <v/>
      </c>
      <c r="G479">
        <f>IF(OR('06_Сеть_и_дети'!G96=0,16&lt;='01_Вводные'!$B$297),0,'06_Сеть_и_дети'!G96*IF('01_Вводные'!$B$239="Да",MeanMinAge16+'19_Расчет_аналитики'!G559*SUMIF(ThresholdAge16,"&lt;"&amp;'19_Расчет_аналитики'!G559,WeightedRevAge16)-SUMIF(ThresholdAge16,"&lt;"&amp;'19_Расчет_аналитики'!G559,WeightedMinAge16),MAX(CapacityAge16*'01_Вводные'!$B$218*'19_Расчет_аналитики'!G559,MeanMinAge16)))</f>
        <v/>
      </c>
      <c r="H479">
        <f>IF(OR('06_Сеть_и_дети'!H96=0,16&lt;='01_Вводные'!$B$297),0,'06_Сеть_и_дети'!H96*IF('01_Вводные'!$B$239="Да",MeanMinAge16+'19_Расчет_аналитики'!H559*SUMIF(ThresholdAge16,"&lt;"&amp;'19_Расчет_аналитики'!H559,WeightedRevAge16)-SUMIF(ThresholdAge16,"&lt;"&amp;'19_Расчет_аналитики'!H559,WeightedMinAge16),MAX(CapacityAge16*'01_Вводные'!$B$218*'19_Расчет_аналитики'!H559,MeanMinAge16)))</f>
        <v/>
      </c>
      <c r="I479">
        <f>IF(OR('06_Сеть_и_дети'!I96=0,16&lt;='01_Вводные'!$B$297),0,'06_Сеть_и_дети'!I96*IF('01_Вводные'!$B$239="Да",MeanMinAge16+'19_Расчет_аналитики'!I559*SUMIF(ThresholdAge16,"&lt;"&amp;'19_Расчет_аналитики'!I559,WeightedRevAge16)-SUMIF(ThresholdAge16,"&lt;"&amp;'19_Расчет_аналитики'!I559,WeightedMinAge16),MAX(CapacityAge16*'01_Вводные'!$B$218*'19_Расчет_аналитики'!I559,MeanMinAge16)))</f>
        <v/>
      </c>
      <c r="J479">
        <f>IF(OR('06_Сеть_и_дети'!J96=0,16&lt;='01_Вводные'!$B$297),0,'06_Сеть_и_дети'!J96*IF('01_Вводные'!$B$239="Да",MeanMinAge16+'19_Расчет_аналитики'!J559*SUMIF(ThresholdAge16,"&lt;"&amp;'19_Расчет_аналитики'!J559,WeightedRevAge16)-SUMIF(ThresholdAge16,"&lt;"&amp;'19_Расчет_аналитики'!J559,WeightedMinAge16),MAX(CapacityAge16*'01_Вводные'!$B$218*'19_Расчет_аналитики'!J559,MeanMinAge16)))</f>
        <v/>
      </c>
      <c r="K479">
        <f>IF(OR('06_Сеть_и_дети'!K96=0,16&lt;='01_Вводные'!$B$297),0,'06_Сеть_и_дети'!K96*IF('01_Вводные'!$B$239="Да",MeanMinAge16+'19_Расчет_аналитики'!K559*SUMIF(ThresholdAge16,"&lt;"&amp;'19_Расчет_аналитики'!K559,WeightedRevAge16)-SUMIF(ThresholdAge16,"&lt;"&amp;'19_Расчет_аналитики'!K559,WeightedMinAge16),MAX(CapacityAge16*'01_Вводные'!$B$218*'19_Расчет_аналитики'!K559,MeanMinAge16)))</f>
        <v/>
      </c>
      <c r="L479">
        <f>IF(OR('06_Сеть_и_дети'!L96=0,16&lt;='01_Вводные'!$B$297),0,'06_Сеть_и_дети'!L96*IF('01_Вводные'!$B$239="Да",MeanMinAge16+'19_Расчет_аналитики'!L559*SUMIF(ThresholdAge16,"&lt;"&amp;'19_Расчет_аналитики'!L559,WeightedRevAge16)-SUMIF(ThresholdAge16,"&lt;"&amp;'19_Расчет_аналитики'!L559,WeightedMinAge16),MAX(CapacityAge16*'01_Вводные'!$B$218*'19_Расчет_аналитики'!L559,MeanMinAge16)))</f>
        <v/>
      </c>
      <c r="M479">
        <f>IF(OR('06_Сеть_и_дети'!M96=0,16&lt;='01_Вводные'!$B$297),0,'06_Сеть_и_дети'!M96*IF('01_Вводные'!$B$239="Да",MeanMinAge16+'19_Расчет_аналитики'!M559*SUMIF(ThresholdAge16,"&lt;"&amp;'19_Расчет_аналитики'!M559,WeightedRevAge16)-SUMIF(ThresholdAge16,"&lt;"&amp;'19_Расчет_аналитики'!M559,WeightedMinAge16),MAX(CapacityAge16*'01_Вводные'!$B$218*'19_Расчет_аналитики'!M559,MeanMinAge16)))</f>
        <v/>
      </c>
      <c r="N479">
        <f>IF(OR('06_Сеть_и_дети'!N96=0,16&lt;='01_Вводные'!$B$297),0,'06_Сеть_и_дети'!N96*IF('01_Вводные'!$B$239="Да",MeanMinAge16+'19_Расчет_аналитики'!N559*SUMIF(ThresholdAge16,"&lt;"&amp;'19_Расчет_аналитики'!N559,WeightedRevAge16)-SUMIF(ThresholdAge16,"&lt;"&amp;'19_Расчет_аналитики'!N559,WeightedMinAge16),MAX(CapacityAge16*'01_Вводные'!$B$218*'19_Расчет_аналитики'!N559,MeanMinAge16)))</f>
        <v/>
      </c>
      <c r="O479">
        <f>IF(OR('06_Сеть_и_дети'!O96=0,16&lt;='01_Вводные'!$B$297),0,'06_Сеть_и_дети'!O96*IF('01_Вводные'!$B$239="Да",MeanMinAge16+'19_Расчет_аналитики'!O559*SUMIF(ThresholdAge16,"&lt;"&amp;'19_Расчет_аналитики'!O559,WeightedRevAge16)-SUMIF(ThresholdAge16,"&lt;"&amp;'19_Расчет_аналитики'!O559,WeightedMinAge16),MAX(CapacityAge16*'01_Вводные'!$B$218*'19_Расчет_аналитики'!O559,MeanMinAge16)))</f>
        <v/>
      </c>
      <c r="P479">
        <f>IF(OR('06_Сеть_и_дети'!P96=0,16&lt;='01_Вводные'!$B$297),0,'06_Сеть_и_дети'!P96*IF('01_Вводные'!$B$239="Да",MeanMinAge16+'19_Расчет_аналитики'!P559*SUMIF(ThresholdAge16,"&lt;"&amp;'19_Расчет_аналитики'!P559,WeightedRevAge16)-SUMIF(ThresholdAge16,"&lt;"&amp;'19_Расчет_аналитики'!P559,WeightedMinAge16),MAX(CapacityAge16*'01_Вводные'!$B$218*'19_Расчет_аналитики'!P559,MeanMinAge16)))</f>
        <v/>
      </c>
      <c r="Q479">
        <f>IF(OR('19_Расчет_аналитики'!Q451=0,16&lt;='01_Вводные'!$B$297),0,'19_Расчет_аналитики'!Q451*IF('01_Вводные'!$B$239="Да",MeanMinAge16+'19_Расчет_аналитики'!Q559*SUMIF(ThresholdAge16,"&lt;"&amp;'19_Расчет_аналитики'!Q559,WeightedRevAge16)-SUMIF(ThresholdAge16,"&lt;"&amp;'19_Расчет_аналитики'!Q559,WeightedMinAge16),MAX(CapacityAge16*'01_Вводные'!$B$218*'19_Расчет_аналитики'!Q559,MeanMinAge16)))</f>
        <v/>
      </c>
      <c r="R479">
        <f>IF(OR('19_Расчет_аналитики'!R451=0,16&lt;='01_Вводные'!$B$297),0,'19_Расчет_аналитики'!R451*IF('01_Вводные'!$B$239="Да",MeanMinAge16+'19_Расчет_аналитики'!R559*SUMIF(ThresholdAge16,"&lt;"&amp;'19_Расчет_аналитики'!R559,WeightedRevAge16)-SUMIF(ThresholdAge16,"&lt;"&amp;'19_Расчет_аналитики'!R559,WeightedMinAge16),MAX(CapacityAge16*'01_Вводные'!$B$218*'19_Расчет_аналитики'!R559,MeanMinAge16)))</f>
        <v/>
      </c>
      <c r="S479">
        <f>IF(OR('19_Расчет_аналитики'!S451=0,16&lt;='01_Вводные'!$B$297),0,'19_Расчет_аналитики'!S451*IF('01_Вводные'!$B$239="Да",MeanMinAge16+'19_Расчет_аналитики'!S559*SUMIF(ThresholdAge16,"&lt;"&amp;'19_Расчет_аналитики'!S559,WeightedRevAge16)-SUMIF(ThresholdAge16,"&lt;"&amp;'19_Расчет_аналитики'!S559,WeightedMinAge16),MAX(CapacityAge16*'01_Вводные'!$B$218*'19_Расчет_аналитики'!S559,MeanMinAge16)))</f>
        <v/>
      </c>
      <c r="T479">
        <f>IF(OR('19_Расчет_аналитики'!T451=0,16&lt;='01_Вводные'!$B$297),0,'19_Расчет_аналитики'!T451*IF('01_Вводные'!$B$239="Да",MeanMinAge16+'19_Расчет_аналитики'!T559*SUMIF(ThresholdAge16,"&lt;"&amp;'19_Расчет_аналитики'!T559,WeightedRevAge16)-SUMIF(ThresholdAge16,"&lt;"&amp;'19_Расчет_аналитики'!T559,WeightedMinAge16),MAX(CapacityAge16*'01_Вводные'!$B$218*'19_Расчет_аналитики'!T559,MeanMinAge16)))</f>
        <v/>
      </c>
      <c r="U479">
        <f>IF(OR('19_Расчет_аналитики'!U451=0,16&lt;='01_Вводные'!$B$297),0,'19_Расчет_аналитики'!U451*IF('01_Вводные'!$B$239="Да",MeanMinAge16+'19_Расчет_аналитики'!U559*SUMIF(ThresholdAge16,"&lt;"&amp;'19_Расчет_аналитики'!U559,WeightedRevAge16)-SUMIF(ThresholdAge16,"&lt;"&amp;'19_Расчет_аналитики'!U559,WeightedMinAge16),MAX(CapacityAge16*'01_Вводные'!$B$218*'19_Расчет_аналитики'!U559,MeanMinAge16)))</f>
        <v/>
      </c>
      <c r="V479">
        <f>IF(OR('19_Расчет_аналитики'!V451=0,16&lt;='01_Вводные'!$B$297),0,'19_Расчет_аналитики'!V451*IF('01_Вводные'!$B$239="Да",MeanMinAge16+'19_Расчет_аналитики'!V559*SUMIF(ThresholdAge16,"&lt;"&amp;'19_Расчет_аналитики'!V559,WeightedRevAge16)-SUMIF(ThresholdAge16,"&lt;"&amp;'19_Расчет_аналитики'!V559,WeightedMinAge16),MAX(CapacityAge16*'01_Вводные'!$B$218*'19_Расчет_аналитики'!V559,MeanMinAge16)))</f>
        <v/>
      </c>
      <c r="W479">
        <f>IF(OR('19_Расчет_аналитики'!W451=0,16&lt;='01_Вводные'!$B$297),0,'19_Расчет_аналитики'!W451*IF('01_Вводные'!$B$239="Да",MeanMinAge16+'19_Расчет_аналитики'!W559*SUMIF(ThresholdAge16,"&lt;"&amp;'19_Расчет_аналитики'!W559,WeightedRevAge16)-SUMIF(ThresholdAge16,"&lt;"&amp;'19_Расчет_аналитики'!W559,WeightedMinAge16),MAX(CapacityAge16*'01_Вводные'!$B$218*'19_Расчет_аналитики'!W559,MeanMinAge16)))</f>
        <v/>
      </c>
      <c r="X479">
        <f>IF(OR('19_Расчет_аналитики'!X451=0,16&lt;='01_Вводные'!$B$297),0,'19_Расчет_аналитики'!X451*IF('01_Вводные'!$B$239="Да",MeanMinAge16+'19_Расчет_аналитики'!X559*SUMIF(ThresholdAge16,"&lt;"&amp;'19_Расчет_аналитики'!X559,WeightedRevAge16)-SUMIF(ThresholdAge16,"&lt;"&amp;'19_Расчет_аналитики'!X559,WeightedMinAge16),MAX(CapacityAge16*'01_Вводные'!$B$218*'19_Расчет_аналитики'!X559,MeanMinAge16)))</f>
        <v/>
      </c>
      <c r="Y479">
        <f>IF(OR('19_Расчет_аналитики'!Y451=0,16&lt;='01_Вводные'!$B$297),0,'19_Расчет_аналитики'!Y451*IF('01_Вводные'!$B$239="Да",MeanMinAge16+'19_Расчет_аналитики'!Y559*SUMIF(ThresholdAge16,"&lt;"&amp;'19_Расчет_аналитики'!Y559,WeightedRevAge16)-SUMIF(ThresholdAge16,"&lt;"&amp;'19_Расчет_аналитики'!Y559,WeightedMinAge16),MAX(CapacityAge16*'01_Вводные'!$B$218*'19_Расчет_аналитики'!Y559,MeanMinAge16)))</f>
        <v/>
      </c>
      <c r="Z479">
        <f>IF(OR('19_Расчет_аналитики'!Z451=0,16&lt;='01_Вводные'!$B$297),0,'19_Расчет_аналитики'!Z451*IF('01_Вводные'!$B$239="Да",MeanMinAge16+'19_Расчет_аналитики'!Z559*SUMIF(ThresholdAge16,"&lt;"&amp;'19_Расчет_аналитики'!Z559,WeightedRevAge16)-SUMIF(ThresholdAge16,"&lt;"&amp;'19_Расчет_аналитики'!Z559,WeightedMinAge16),MAX(CapacityAge16*'01_Вводные'!$B$218*'19_Расчет_аналитики'!Z559,MeanMinAge16)))</f>
        <v/>
      </c>
      <c r="AA479">
        <f>IF(OR('19_Расчет_аналитики'!AA451=0,16&lt;='01_Вводные'!$B$297),0,'19_Расчет_аналитики'!AA451*IF('01_Вводные'!$B$239="Да",MeanMinAge16+'19_Расчет_аналитики'!AA559*SUMIF(ThresholdAge16,"&lt;"&amp;'19_Расчет_аналитики'!AA559,WeightedRevAge16)-SUMIF(ThresholdAge16,"&lt;"&amp;'19_Расчет_аналитики'!AA559,WeightedMinAge16),MAX(CapacityAge16*'01_Вводные'!$B$218*'19_Расчет_аналитики'!AA559,MeanMinAge16)))</f>
        <v/>
      </c>
      <c r="AB479">
        <f>IF(OR('19_Расчет_аналитики'!AB451=0,16&lt;='01_Вводные'!$B$297),0,'19_Расчет_аналитики'!AB451*IF('01_Вводные'!$B$239="Да",MeanMinAge16+'19_Расчет_аналитики'!AB559*SUMIF(ThresholdAge16,"&lt;"&amp;'19_Расчет_аналитики'!AB559,WeightedRevAge16)-SUMIF(ThresholdAge16,"&lt;"&amp;'19_Расчет_аналитики'!AB559,WeightedMinAge16),MAX(CapacityAge16*'01_Вводные'!$B$218*'19_Расчет_аналитики'!AB559,MeanMinAge16)))</f>
        <v/>
      </c>
      <c r="AC479">
        <f>IF(OR('19_Расчет_аналитики'!AC451=0,16&lt;='01_Вводные'!$B$297),0,'19_Расчет_аналитики'!AC451*IF('01_Вводные'!$B$239="Да",MeanMinAge16+'19_Расчет_аналитики'!AC559*SUMIF(ThresholdAge16,"&lt;"&amp;'19_Расчет_аналитики'!AC559,WeightedRevAge16)-SUMIF(ThresholdAge16,"&lt;"&amp;'19_Расчет_аналитики'!AC559,WeightedMinAge16),MAX(CapacityAge16*'01_Вводные'!$B$218*'19_Расчет_аналитики'!AC559,MeanMinAge16)))</f>
        <v/>
      </c>
      <c r="AD479">
        <f>IF(OR('19_Расчет_аналитики'!AD451=0,16&lt;='01_Вводные'!$B$297),0,'19_Расчет_аналитики'!AD451*IF('01_Вводные'!$B$239="Да",MeanMinAge16+'19_Расчет_аналитики'!AD559*SUMIF(ThresholdAge16,"&lt;"&amp;'19_Расчет_аналитики'!AD559,WeightedRevAge16)-SUMIF(ThresholdAge16,"&lt;"&amp;'19_Расчет_аналитики'!AD559,WeightedMinAge16),MAX(CapacityAge16*'01_Вводные'!$B$218*'19_Расчет_аналитики'!AD559,MeanMinAge16)))</f>
        <v/>
      </c>
      <c r="AE479">
        <f>IF(OR('19_Расчет_аналитики'!AE451=0,16&lt;='01_Вводные'!$B$297),0,'19_Расчет_аналитики'!AE451*IF('01_Вводные'!$B$239="Да",MeanMinAge16+'19_Расчет_аналитики'!AE559*SUMIF(ThresholdAge16,"&lt;"&amp;'19_Расчет_аналитики'!AE559,WeightedRevAge16)-SUMIF(ThresholdAge16,"&lt;"&amp;'19_Расчет_аналитики'!AE559,WeightedMinAge16),MAX(CapacityAge16*'01_Вводные'!$B$218*'19_Расчет_аналитики'!AE559,MeanMinAge16)))</f>
        <v/>
      </c>
      <c r="AF479">
        <f>IF(OR('19_Расчет_аналитики'!AF451=0,16&lt;='01_Вводные'!$B$297),0,'19_Расчет_аналитики'!AF451*IF('01_Вводные'!$B$239="Да",MeanMinAge16+'19_Расчет_аналитики'!AF559*SUMIF(ThresholdAge16,"&lt;"&amp;'19_Расчет_аналитики'!AF559,WeightedRevAge16)-SUMIF(ThresholdAge16,"&lt;"&amp;'19_Расчет_аналитики'!AF559,WeightedMinAge16),MAX(CapacityAge16*'01_Вводные'!$B$218*'19_Расчет_аналитики'!AF559,MeanMinAge16)))</f>
        <v/>
      </c>
      <c r="AG479">
        <f>IF(OR('19_Расчет_аналитики'!AG451=0,16&lt;='01_Вводные'!$B$297),0,'19_Расчет_аналитики'!AG451*IF('01_Вводные'!$B$239="Да",MeanMinAge16+'19_Расчет_аналитики'!AG559*SUMIF(ThresholdAge16,"&lt;"&amp;'19_Расчет_аналитики'!AG559,WeightedRevAge16)-SUMIF(ThresholdAge16,"&lt;"&amp;'19_Расчет_аналитики'!AG559,WeightedMinAge16),MAX(CapacityAge16*'01_Вводные'!$B$218*'19_Расчет_аналитики'!AG559,MeanMinAge16)))</f>
        <v/>
      </c>
      <c r="AH479">
        <f>IF(OR('19_Расчет_аналитики'!AH451=0,16&lt;='01_Вводные'!$B$297),0,'19_Расчет_аналитики'!AH451*IF('01_Вводные'!$B$239="Да",MeanMinAge16+'19_Расчет_аналитики'!AH559*SUMIF(ThresholdAge16,"&lt;"&amp;'19_Расчет_аналитики'!AH559,WeightedRevAge16)-SUMIF(ThresholdAge16,"&lt;"&amp;'19_Расчет_аналитики'!AH559,WeightedMinAge16),MAX(CapacityAge16*'01_Вводные'!$B$218*'19_Расчет_аналитики'!AH559,MeanMinAge16)))</f>
        <v/>
      </c>
      <c r="AI479">
        <f>IF(OR('19_Расчет_аналитики'!AI451=0,16&lt;='01_Вводные'!$B$297),0,'19_Расчет_аналитики'!AI451*IF('01_Вводные'!$B$239="Да",MeanMinAge16+'19_Расчет_аналитики'!AI559*SUMIF(ThresholdAge16,"&lt;"&amp;'19_Расчет_аналитики'!AI559,WeightedRevAge16)-SUMIF(ThresholdAge16,"&lt;"&amp;'19_Расчет_аналитики'!AI559,WeightedMinAge16),MAX(CapacityAge16*'01_Вводные'!$B$218*'19_Расчет_аналитики'!AI559,MeanMinAge16)))</f>
        <v/>
      </c>
      <c r="AJ479">
        <f>IF(OR('19_Расчет_аналитики'!AJ451=0,16&lt;='01_Вводные'!$B$297),0,'19_Расчет_аналитики'!AJ451*IF('01_Вводные'!$B$239="Да",MeanMinAge16+'19_Расчет_аналитики'!AJ559*SUMIF(ThresholdAge16,"&lt;"&amp;'19_Расчет_аналитики'!AJ559,WeightedRevAge16)-SUMIF(ThresholdAge16,"&lt;"&amp;'19_Расчет_аналитики'!AJ559,WeightedMinAge16),MAX(CapacityAge16*'01_Вводные'!$B$218*'19_Расчет_аналитики'!AJ559,MeanMinAge16)))</f>
        <v/>
      </c>
      <c r="AK479">
        <f>IF(OR('19_Расчет_аналитики'!AK451=0,16&lt;='01_Вводные'!$B$297),0,'19_Расчет_аналитики'!AK451*IF('01_Вводные'!$B$239="Да",MeanMinAge16+'19_Расчет_аналитики'!AK559*SUMIF(ThresholdAge16,"&lt;"&amp;'19_Расчет_аналитики'!AK559,WeightedRevAge16)-SUMIF(ThresholdAge16,"&lt;"&amp;'19_Расчет_аналитики'!AK559,WeightedMinAge16),MAX(CapacityAge16*'01_Вводные'!$B$218*'19_Расчет_аналитики'!AK559,MeanMinAge16)))</f>
        <v/>
      </c>
      <c r="AL479">
        <f>IF(OR('19_Расчет_аналитики'!AL451=0,16&lt;='01_Вводные'!$B$297),0,'19_Расчет_аналитики'!AL451*IF('01_Вводные'!$B$239="Да",MeanMinAge16+'19_Расчет_аналитики'!AL559*SUMIF(ThresholdAge16,"&lt;"&amp;'19_Расчет_аналитики'!AL559,WeightedRevAge16)-SUMIF(ThresholdAge16,"&lt;"&amp;'19_Расчет_аналитики'!AL559,WeightedMinAge16),MAX(CapacityAge16*'01_Вводные'!$B$218*'19_Расчет_аналитики'!AL559,MeanMinAge16)))</f>
        <v/>
      </c>
      <c r="AM479">
        <f>IF(OR('19_Расчет_аналитики'!AM451=0,16&lt;='01_Вводные'!$B$297),0,'19_Расчет_аналитики'!AM451*IF('01_Вводные'!$B$239="Да",MeanMinAge16+'19_Расчет_аналитики'!AM559*SUMIF(ThresholdAge16,"&lt;"&amp;'19_Расчет_аналитики'!AM559,WeightedRevAge16)-SUMIF(ThresholdAge16,"&lt;"&amp;'19_Расчет_аналитики'!AM559,WeightedMinAge16),MAX(CapacityAge16*'01_Вводные'!$B$218*'19_Расчет_аналитики'!AM559,MeanMinAge16)))</f>
        <v/>
      </c>
      <c r="AN479">
        <f>IF(OR('19_Расчет_аналитики'!AN451=0,16&lt;='01_Вводные'!$B$297),0,'19_Расчет_аналитики'!AN451*IF('01_Вводные'!$B$239="Да",MeanMinAge16+'19_Расчет_аналитики'!AN559*SUMIF(ThresholdAge16,"&lt;"&amp;'19_Расчет_аналитики'!AN559,WeightedRevAge16)-SUMIF(ThresholdAge16,"&lt;"&amp;'19_Расчет_аналитики'!AN559,WeightedMinAge16),MAX(CapacityAge16*'01_Вводные'!$B$218*'19_Расчет_аналитики'!AN559,MeanMinAge16)))</f>
        <v/>
      </c>
      <c r="AO479">
        <f>IF(OR('19_Расчет_аналитики'!AO451=0,16&lt;='01_Вводные'!$B$297),0,'19_Расчет_аналитики'!AO451*IF('01_Вводные'!$B$239="Да",MeanMinAge16+'19_Расчет_аналитики'!AO559*SUMIF(ThresholdAge16,"&lt;"&amp;'19_Расчет_аналитики'!AO559,WeightedRevAge16)-SUMIF(ThresholdAge16,"&lt;"&amp;'19_Расчет_аналитики'!AO559,WeightedMinAge16),MAX(CapacityAge16*'01_Вводные'!$B$218*'19_Расчет_аналитики'!AO559,MeanMinAge16)))</f>
        <v/>
      </c>
      <c r="AP479">
        <f>IF(OR('19_Расчет_аналитики'!AP451=0,16&lt;='01_Вводные'!$B$297),0,'19_Расчет_аналитики'!AP451*IF('01_Вводные'!$B$239="Да",MeanMinAge16+'19_Расчет_аналитики'!AP559*SUMIF(ThresholdAge16,"&lt;"&amp;'19_Расчет_аналитики'!AP559,WeightedRevAge16)-SUMIF(ThresholdAge16,"&lt;"&amp;'19_Расчет_аналитики'!AP559,WeightedMinAge16),MAX(CapacityAge16*'01_Вводные'!$B$218*'19_Расчет_аналитики'!AP559,MeanMinAge16)))</f>
        <v/>
      </c>
      <c r="AQ479">
        <f>IF(OR('19_Расчет_аналитики'!AQ451=0,16&lt;='01_Вводные'!$B$297),0,'19_Расчет_аналитики'!AQ451*IF('01_Вводные'!$B$239="Да",MeanMinAge16+'19_Расчет_аналитики'!AQ559*SUMIF(ThresholdAge16,"&lt;"&amp;'19_Расчет_аналитики'!AQ559,WeightedRevAge16)-SUMIF(ThresholdAge16,"&lt;"&amp;'19_Расчет_аналитики'!AQ559,WeightedMinAge16),MAX(CapacityAge16*'01_Вводные'!$B$218*'19_Расчет_аналитики'!AQ559,MeanMinAge16)))</f>
        <v/>
      </c>
      <c r="AR479">
        <f>IF(OR('19_Расчет_аналитики'!AR451=0,16&lt;='01_Вводные'!$B$297),0,'19_Расчет_аналитики'!AR451*IF('01_Вводные'!$B$239="Да",MeanMinAge16+'19_Расчет_аналитики'!AR559*SUMIF(ThresholdAge16,"&lt;"&amp;'19_Расчет_аналитики'!AR559,WeightedRevAge16)-SUMIF(ThresholdAge16,"&lt;"&amp;'19_Расчет_аналитики'!AR559,WeightedMinAge16),MAX(CapacityAge16*'01_Вводные'!$B$218*'19_Расчет_аналитики'!AR559,MeanMinAge16)))</f>
        <v/>
      </c>
      <c r="AS479">
        <f>IF(OR('19_Расчет_аналитики'!AS451=0,16&lt;='01_Вводные'!$B$297),0,'19_Расчет_аналитики'!AS451*IF('01_Вводные'!$B$239="Да",MeanMinAge16+'19_Расчет_аналитики'!AS559*SUMIF(ThresholdAge16,"&lt;"&amp;'19_Расчет_аналитики'!AS559,WeightedRevAge16)-SUMIF(ThresholdAge16,"&lt;"&amp;'19_Расчет_аналитики'!AS559,WeightedMinAge16),MAX(CapacityAge16*'01_Вводные'!$B$218*'19_Расчет_аналитики'!AS559,MeanMinAge16)))</f>
        <v/>
      </c>
      <c r="AT479">
        <f>IF(OR('19_Расчет_аналитики'!AT451=0,16&lt;='01_Вводные'!$B$297),0,'19_Расчет_аналитики'!AT451*IF('01_Вводные'!$B$239="Да",MeanMinAge16+'19_Расчет_аналитики'!AT559*SUMIF(ThresholdAge16,"&lt;"&amp;'19_Расчет_аналитики'!AT559,WeightedRevAge16)-SUMIF(ThresholdAge16,"&lt;"&amp;'19_Расчет_аналитики'!AT559,WeightedMinAge16),MAX(CapacityAge16*'01_Вводные'!$B$218*'19_Расчет_аналитики'!AT559,MeanMinAge16)))</f>
        <v/>
      </c>
      <c r="AU479">
        <f>IF(OR('19_Расчет_аналитики'!AU451=0,16&lt;='01_Вводные'!$B$297),0,'19_Расчет_аналитики'!AU451*IF('01_Вводные'!$B$239="Да",MeanMinAge16+'19_Расчет_аналитики'!AU559*SUMIF(ThresholdAge16,"&lt;"&amp;'19_Расчет_аналитики'!AU559,WeightedRevAge16)-SUMIF(ThresholdAge16,"&lt;"&amp;'19_Расчет_аналитики'!AU559,WeightedMinAge16),MAX(CapacityAge16*'01_Вводные'!$B$218*'19_Расчет_аналитики'!AU559,MeanMinAge16)))</f>
        <v/>
      </c>
      <c r="AV479">
        <f>IF(OR('19_Расчет_аналитики'!AV451=0,16&lt;='01_Вводные'!$B$297),0,'19_Расчет_аналитики'!AV451*IF('01_Вводные'!$B$239="Да",MeanMinAge16+'19_Расчет_аналитики'!AV559*SUMIF(ThresholdAge16,"&lt;"&amp;'19_Расчет_аналитики'!AV559,WeightedRevAge16)-SUMIF(ThresholdAge16,"&lt;"&amp;'19_Расчет_аналитики'!AV559,WeightedMinAge16),MAX(CapacityAge16*'01_Вводные'!$B$218*'19_Расчет_аналитики'!AV559,MeanMinAge16)))</f>
        <v/>
      </c>
      <c r="AW479">
        <f>IF(OR('19_Расчет_аналитики'!AW451=0,16&lt;='01_Вводные'!$B$297),0,'19_Расчет_аналитики'!AW451*IF('01_Вводные'!$B$239="Да",MeanMinAge16+'19_Расчет_аналитики'!AW559*SUMIF(ThresholdAge16,"&lt;"&amp;'19_Расчет_аналитики'!AW559,WeightedRevAge16)-SUMIF(ThresholdAge16,"&lt;"&amp;'19_Расчет_аналитики'!AW559,WeightedMinAge16),MAX(CapacityAge16*'01_Вводные'!$B$218*'19_Расчет_аналитики'!AW559,MeanMinAge16)))</f>
        <v/>
      </c>
      <c r="AX479">
        <f>IF(OR('19_Расчет_аналитики'!AX451=0,16&lt;='01_Вводные'!$B$297),0,'19_Расчет_аналитики'!AX451*IF('01_Вводные'!$B$239="Да",MeanMinAge16+'19_Расчет_аналитики'!AX559*SUMIF(ThresholdAge16,"&lt;"&amp;'19_Расчет_аналитики'!AX559,WeightedRevAge16)-SUMIF(ThresholdAge16,"&lt;"&amp;'19_Расчет_аналитики'!AX559,WeightedMinAge16),MAX(CapacityAge16*'01_Вводные'!$B$218*'19_Расчет_аналитики'!AX559,MeanMinAge16)))</f>
        <v/>
      </c>
      <c r="AY479">
        <f>IF(OR('19_Расчет_аналитики'!AY451=0,16&lt;='01_Вводные'!$B$297),0,'19_Расчет_аналитики'!AY451*IF('01_Вводные'!$B$239="Да",MeanMinAge16+'19_Расчет_аналитики'!AY559*SUMIF(ThresholdAge16,"&lt;"&amp;'19_Расчет_аналитики'!AY559,WeightedRevAge16)-SUMIF(ThresholdAge16,"&lt;"&amp;'19_Расчет_аналитики'!AY559,WeightedMinAge16),MAX(CapacityAge16*'01_Вводные'!$B$218*'19_Расчет_аналитики'!AY559,MeanMinAge16)))</f>
        <v/>
      </c>
      <c r="AZ479">
        <f>IF(OR('19_Расчет_аналитики'!AZ451=0,16&lt;='01_Вводные'!$B$297),0,'19_Расчет_аналитики'!AZ451*IF('01_Вводные'!$B$239="Да",MeanMinAge16+'19_Расчет_аналитики'!AZ559*SUMIF(ThresholdAge16,"&lt;"&amp;'19_Расчет_аналитики'!AZ559,WeightedRevAge16)-SUMIF(ThresholdAge16,"&lt;"&amp;'19_Расчет_аналитики'!AZ559,WeightedMinAge16),MAX(CapacityAge16*'01_Вводные'!$B$218*'19_Расчет_аналитики'!AZ559,MeanMinAge16)))</f>
        <v/>
      </c>
      <c r="BA479">
        <f>IF(OR('19_Расчет_аналитики'!BA451=0,16&lt;='01_Вводные'!$B$297),0,'19_Расчет_аналитики'!BA451*IF('01_Вводные'!$B$239="Да",MeanMinAge16+'19_Расчет_аналитики'!BA559*SUMIF(ThresholdAge16,"&lt;"&amp;'19_Расчет_аналитики'!BA559,WeightedRevAge16)-SUMIF(ThresholdAge16,"&lt;"&amp;'19_Расчет_аналитики'!BA559,WeightedMinAge16),MAX(CapacityAge16*'01_Вводные'!$B$218*'19_Расчет_аналитики'!BA559,MeanMinAge16)))</f>
        <v/>
      </c>
      <c r="BB479">
        <f>IF(OR('19_Расчет_аналитики'!BB451=0,16&lt;='01_Вводные'!$B$297),0,'19_Расчет_аналитики'!BB451*IF('01_Вводные'!$B$239="Да",MeanMinAge16+'19_Расчет_аналитики'!BB559*SUMIF(ThresholdAge16,"&lt;"&amp;'19_Расчет_аналитики'!BB559,WeightedRevAge16)-SUMIF(ThresholdAge16,"&lt;"&amp;'19_Расчет_аналитики'!BB559,WeightedMinAge16),MAX(CapacityAge16*'01_Вводные'!$B$218*'19_Расчет_аналитики'!BB559,MeanMinAge16)))</f>
        <v/>
      </c>
      <c r="BC479">
        <f>IF(OR('19_Расчет_аналитики'!BC451=0,16&lt;='01_Вводные'!$B$297),0,'19_Расчет_аналитики'!BC451*IF('01_Вводные'!$B$239="Да",MeanMinAge16+'19_Расчет_аналитики'!BC559*SUMIF(ThresholdAge16,"&lt;"&amp;'19_Расчет_аналитики'!BC559,WeightedRevAge16)-SUMIF(ThresholdAge16,"&lt;"&amp;'19_Расчет_аналитики'!BC559,WeightedMinAge16),MAX(CapacityAge16*'01_Вводные'!$B$218*'19_Расчет_аналитики'!BC559,MeanMinAge16)))</f>
        <v/>
      </c>
      <c r="BD479">
        <f>IF(OR('19_Расчет_аналитики'!BD451=0,16&lt;='01_Вводные'!$B$297),0,'19_Расчет_аналитики'!BD451*IF('01_Вводные'!$B$239="Да",MeanMinAge16+'19_Расчет_аналитики'!BD559*SUMIF(ThresholdAge16,"&lt;"&amp;'19_Расчет_аналитики'!BD559,WeightedRevAge16)-SUMIF(ThresholdAge16,"&lt;"&amp;'19_Расчет_аналитики'!BD559,WeightedMinAge16),MAX(CapacityAge16*'01_Вводные'!$B$218*'19_Расчет_аналитики'!BD559,MeanMinAge16)))</f>
        <v/>
      </c>
      <c r="BE479">
        <f>IF(OR('19_Расчет_аналитики'!BE451=0,16&lt;='01_Вводные'!$B$297),0,'19_Расчет_аналитики'!BE451*IF('01_Вводные'!$B$239="Да",MeanMinAge16+'19_Расчет_аналитики'!BE559*SUMIF(ThresholdAge16,"&lt;"&amp;'19_Расчет_аналитики'!BE559,WeightedRevAge16)-SUMIF(ThresholdAge16,"&lt;"&amp;'19_Расчет_аналитики'!BE559,WeightedMinAge16),MAX(CapacityAge16*'01_Вводные'!$B$218*'19_Расчет_аналитики'!BE559,MeanMinAge16)))</f>
        <v/>
      </c>
      <c r="BF479">
        <f>IF(OR('19_Расчет_аналитики'!BF451=0,16&lt;='01_Вводные'!$B$297),0,'19_Расчет_аналитики'!BF451*IF('01_Вводные'!$B$239="Да",MeanMinAge16+'19_Расчет_аналитики'!BF559*SUMIF(ThresholdAge16,"&lt;"&amp;'19_Расчет_аналитики'!BF559,WeightedRevAge16)-SUMIF(ThresholdAge16,"&lt;"&amp;'19_Расчет_аналитики'!BF559,WeightedMinAge16),MAX(CapacityAge16*'01_Вводные'!$B$218*'19_Расчет_аналитики'!BF559,MeanMinAge16)))</f>
        <v/>
      </c>
      <c r="BG479">
        <f>IF(OR('19_Расчет_аналитики'!BG451=0,16&lt;='01_Вводные'!$B$297),0,'19_Расчет_аналитики'!BG451*IF('01_Вводные'!$B$239="Да",MeanMinAge16+'19_Расчет_аналитики'!BG559*SUMIF(ThresholdAge16,"&lt;"&amp;'19_Расчет_аналитики'!BG559,WeightedRevAge16)-SUMIF(ThresholdAge16,"&lt;"&amp;'19_Расчет_аналитики'!BG559,WeightedMinAge16),MAX(CapacityAge16*'01_Вводные'!$B$218*'19_Расчет_аналитики'!BG559,MeanMinAge16)))</f>
        <v/>
      </c>
      <c r="BH479">
        <f>IF(OR('19_Расчет_аналитики'!BH451=0,16&lt;='01_Вводные'!$B$297),0,'19_Расчет_аналитики'!BH451*IF('01_Вводные'!$B$239="Да",MeanMinAge16+'19_Расчет_аналитики'!BH559*SUMIF(ThresholdAge16,"&lt;"&amp;'19_Расчет_аналитики'!BH559,WeightedRevAge16)-SUMIF(ThresholdAge16,"&lt;"&amp;'19_Расчет_аналитики'!BH559,WeightedMinAge16),MAX(CapacityAge16*'01_Вводные'!$B$218*'19_Расчет_аналитики'!BH559,MeanMinAge16)))</f>
        <v/>
      </c>
      <c r="BI479">
        <f>IF(OR('19_Расчет_аналитики'!BI451=0,16&lt;='01_Вводные'!$B$297),0,'19_Расчет_аналитики'!BI451*IF('01_Вводные'!$B$239="Да",MeanMinAge16+'19_Расчет_аналитики'!BI559*SUMIF(ThresholdAge16,"&lt;"&amp;'19_Расчет_аналитики'!BI559,WeightedRevAge16)-SUMIF(ThresholdAge16,"&lt;"&amp;'19_Расчет_аналитики'!BI559,WeightedMinAge16),MAX(CapacityAge16*'01_Вводные'!$B$218*'19_Расчет_аналитики'!BI559,MeanMinAge16)))</f>
        <v/>
      </c>
      <c r="BJ479">
        <f>IF(OR('19_Расчет_аналитики'!BJ451=0,16&lt;='01_Вводные'!$B$297),0,'19_Расчет_аналитики'!BJ451*IF('01_Вводные'!$B$239="Да",MeanMinAge16+'19_Расчет_аналитики'!BJ559*SUMIF(ThresholdAge16,"&lt;"&amp;'19_Расчет_аналитики'!BJ559,WeightedRevAge16)-SUMIF(ThresholdAge16,"&lt;"&amp;'19_Расчет_аналитики'!BJ559,WeightedMinAge16),MAX(CapacityAge16*'01_Вводные'!$B$218*'19_Расчет_аналитики'!BJ559,MeanMinAge16)))</f>
        <v/>
      </c>
      <c r="BK479">
        <f>IF(OR('19_Расчет_аналитики'!BK451=0,16&lt;='01_Вводные'!$B$297),0,'19_Расчет_аналитики'!BK451*IF('01_Вводные'!$B$239="Да",MeanMinAge16+'19_Расчет_аналитики'!BK559*SUMIF(ThresholdAge16,"&lt;"&amp;'19_Расчет_аналитики'!BK559,WeightedRevAge16)-SUMIF(ThresholdAge16,"&lt;"&amp;'19_Расчет_аналитики'!BK559,WeightedMinAge16),MAX(CapacityAge16*'01_Вводные'!$B$218*'19_Расчет_аналитики'!BK559,MeanMinAge16)))</f>
        <v/>
      </c>
      <c r="BL479">
        <f>IF(OR('19_Расчет_аналитики'!BL451=0,16&lt;='01_Вводные'!$B$297),0,'19_Расчет_аналитики'!BL451*IF('01_Вводные'!$B$239="Да",MeanMinAge16+'19_Расчет_аналитики'!BL559*SUMIF(ThresholdAge16,"&lt;"&amp;'19_Расчет_аналитики'!BL559,WeightedRevAge16)-SUMIF(ThresholdAge16,"&lt;"&amp;'19_Расчет_аналитики'!BL559,WeightedMinAge16),MAX(CapacityAge16*'01_Вводные'!$B$218*'19_Расчет_аналитики'!BL559,MeanMinAge16)))</f>
        <v/>
      </c>
      <c r="BM479">
        <f>IF(OR('19_Расчет_аналитики'!BM451=0,16&lt;='01_Вводные'!$B$297),0,'19_Расчет_аналитики'!BM451*IF('01_Вводные'!$B$239="Да",MeanMinAge16+'19_Расчет_аналитики'!BM559*SUMIF(ThresholdAge16,"&lt;"&amp;'19_Расчет_аналитики'!BM559,WeightedRevAge16)-SUMIF(ThresholdAge16,"&lt;"&amp;'19_Расчет_аналитики'!BM559,WeightedMinAge16),MAX(CapacityAge16*'01_Вводные'!$B$218*'19_Расчет_аналитики'!BM559,MeanMinAge16)))</f>
        <v/>
      </c>
      <c r="BN479">
        <f>IF(OR('19_Расчет_аналитики'!BN451=0,16&lt;='01_Вводные'!$B$297),0,'19_Расчет_аналитики'!BN451*IF('01_Вводные'!$B$239="Да",MeanMinAge16+'19_Расчет_аналитики'!BN559*SUMIF(ThresholdAge16,"&lt;"&amp;'19_Расчет_аналитики'!BN559,WeightedRevAge16)-SUMIF(ThresholdAge16,"&lt;"&amp;'19_Расчет_аналитики'!BN559,WeightedMinAge16),MAX(CapacityAge16*'01_Вводные'!$B$218*'19_Расчет_аналитики'!BN559,MeanMinAge16)))</f>
        <v/>
      </c>
      <c r="BO479">
        <f>IF(OR('19_Расчет_аналитики'!BO451=0,16&lt;='01_Вводные'!$B$297),0,'19_Расчет_аналитики'!BO451*IF('01_Вводные'!$B$239="Да",MeanMinAge16+'19_Расчет_аналитики'!BO559*SUMIF(ThresholdAge16,"&lt;"&amp;'19_Расчет_аналитики'!BO559,WeightedRevAge16)-SUMIF(ThresholdAge16,"&lt;"&amp;'19_Расчет_аналитики'!BO559,WeightedMinAge16),MAX(CapacityAge16*'01_Вводные'!$B$218*'19_Расчет_аналитики'!BO559,MeanMinAge16)))</f>
        <v/>
      </c>
    </row>
    <row r="480">
      <c r="B480">
        <f>IF(OR('06_Сеть_и_дети'!B97=0,17&lt;='01_Вводные'!$B$297),0,'06_Сеть_и_дети'!B97*IF('01_Вводные'!$B$239="Да",MeanMinAge17+'19_Расчет_аналитики'!B559*SUMIF(ThresholdAge17,"&lt;"&amp;'19_Расчет_аналитики'!B559,WeightedRevAge17)-SUMIF(ThresholdAge17,"&lt;"&amp;'19_Расчет_аналитики'!B559,WeightedMinAge17),MAX(CapacityAge17*'01_Вводные'!$B$218*'19_Расчет_аналитики'!B559,MeanMinAge17)))</f>
        <v/>
      </c>
      <c r="C480">
        <f>IF(OR('06_Сеть_и_дети'!C97=0,17&lt;='01_Вводные'!$B$297),0,'06_Сеть_и_дети'!C97*IF('01_Вводные'!$B$239="Да",MeanMinAge17+'19_Расчет_аналитики'!C559*SUMIF(ThresholdAge17,"&lt;"&amp;'19_Расчет_аналитики'!C559,WeightedRevAge17)-SUMIF(ThresholdAge17,"&lt;"&amp;'19_Расчет_аналитики'!C559,WeightedMinAge17),MAX(CapacityAge17*'01_Вводные'!$B$218*'19_Расчет_аналитики'!C559,MeanMinAge17)))</f>
        <v/>
      </c>
      <c r="D480">
        <f>IF(OR('06_Сеть_и_дети'!D97=0,17&lt;='01_Вводные'!$B$297),0,'06_Сеть_и_дети'!D97*IF('01_Вводные'!$B$239="Да",MeanMinAge17+'19_Расчет_аналитики'!D559*SUMIF(ThresholdAge17,"&lt;"&amp;'19_Расчет_аналитики'!D559,WeightedRevAge17)-SUMIF(ThresholdAge17,"&lt;"&amp;'19_Расчет_аналитики'!D559,WeightedMinAge17),MAX(CapacityAge17*'01_Вводные'!$B$218*'19_Расчет_аналитики'!D559,MeanMinAge17)))</f>
        <v/>
      </c>
      <c r="E480">
        <f>IF(OR('06_Сеть_и_дети'!E97=0,17&lt;='01_Вводные'!$B$297),0,'06_Сеть_и_дети'!E97*IF('01_Вводные'!$B$239="Да",MeanMinAge17+'19_Расчет_аналитики'!E559*SUMIF(ThresholdAge17,"&lt;"&amp;'19_Расчет_аналитики'!E559,WeightedRevAge17)-SUMIF(ThresholdAge17,"&lt;"&amp;'19_Расчет_аналитики'!E559,WeightedMinAge17),MAX(CapacityAge17*'01_Вводные'!$B$218*'19_Расчет_аналитики'!E559,MeanMinAge17)))</f>
        <v/>
      </c>
      <c r="F480">
        <f>IF(OR('06_Сеть_и_дети'!F97=0,17&lt;='01_Вводные'!$B$297),0,'06_Сеть_и_дети'!F97*IF('01_Вводные'!$B$239="Да",MeanMinAge17+'19_Расчет_аналитики'!F559*SUMIF(ThresholdAge17,"&lt;"&amp;'19_Расчет_аналитики'!F559,WeightedRevAge17)-SUMIF(ThresholdAge17,"&lt;"&amp;'19_Расчет_аналитики'!F559,WeightedMinAge17),MAX(CapacityAge17*'01_Вводные'!$B$218*'19_Расчет_аналитики'!F559,MeanMinAge17)))</f>
        <v/>
      </c>
      <c r="G480">
        <f>IF(OR('06_Сеть_и_дети'!G97=0,17&lt;='01_Вводные'!$B$297),0,'06_Сеть_и_дети'!G97*IF('01_Вводные'!$B$239="Да",MeanMinAge17+'19_Расчет_аналитики'!G559*SUMIF(ThresholdAge17,"&lt;"&amp;'19_Расчет_аналитики'!G559,WeightedRevAge17)-SUMIF(ThresholdAge17,"&lt;"&amp;'19_Расчет_аналитики'!G559,WeightedMinAge17),MAX(CapacityAge17*'01_Вводные'!$B$218*'19_Расчет_аналитики'!G559,MeanMinAge17)))</f>
        <v/>
      </c>
      <c r="H480">
        <f>IF(OR('06_Сеть_и_дети'!H97=0,17&lt;='01_Вводные'!$B$297),0,'06_Сеть_и_дети'!H97*IF('01_Вводные'!$B$239="Да",MeanMinAge17+'19_Расчет_аналитики'!H559*SUMIF(ThresholdAge17,"&lt;"&amp;'19_Расчет_аналитики'!H559,WeightedRevAge17)-SUMIF(ThresholdAge17,"&lt;"&amp;'19_Расчет_аналитики'!H559,WeightedMinAge17),MAX(CapacityAge17*'01_Вводные'!$B$218*'19_Расчет_аналитики'!H559,MeanMinAge17)))</f>
        <v/>
      </c>
      <c r="I480">
        <f>IF(OR('06_Сеть_и_дети'!I97=0,17&lt;='01_Вводные'!$B$297),0,'06_Сеть_и_дети'!I97*IF('01_Вводные'!$B$239="Да",MeanMinAge17+'19_Расчет_аналитики'!I559*SUMIF(ThresholdAge17,"&lt;"&amp;'19_Расчет_аналитики'!I559,WeightedRevAge17)-SUMIF(ThresholdAge17,"&lt;"&amp;'19_Расчет_аналитики'!I559,WeightedMinAge17),MAX(CapacityAge17*'01_Вводные'!$B$218*'19_Расчет_аналитики'!I559,MeanMinAge17)))</f>
        <v/>
      </c>
      <c r="J480">
        <f>IF(OR('06_Сеть_и_дети'!J97=0,17&lt;='01_Вводные'!$B$297),0,'06_Сеть_и_дети'!J97*IF('01_Вводные'!$B$239="Да",MeanMinAge17+'19_Расчет_аналитики'!J559*SUMIF(ThresholdAge17,"&lt;"&amp;'19_Расчет_аналитики'!J559,WeightedRevAge17)-SUMIF(ThresholdAge17,"&lt;"&amp;'19_Расчет_аналитики'!J559,WeightedMinAge17),MAX(CapacityAge17*'01_Вводные'!$B$218*'19_Расчет_аналитики'!J559,MeanMinAge17)))</f>
        <v/>
      </c>
      <c r="K480">
        <f>IF(OR('06_Сеть_и_дети'!K97=0,17&lt;='01_Вводные'!$B$297),0,'06_Сеть_и_дети'!K97*IF('01_Вводные'!$B$239="Да",MeanMinAge17+'19_Расчет_аналитики'!K559*SUMIF(ThresholdAge17,"&lt;"&amp;'19_Расчет_аналитики'!K559,WeightedRevAge17)-SUMIF(ThresholdAge17,"&lt;"&amp;'19_Расчет_аналитики'!K559,WeightedMinAge17),MAX(CapacityAge17*'01_Вводные'!$B$218*'19_Расчет_аналитики'!K559,MeanMinAge17)))</f>
        <v/>
      </c>
      <c r="L480">
        <f>IF(OR('06_Сеть_и_дети'!L97=0,17&lt;='01_Вводные'!$B$297),0,'06_Сеть_и_дети'!L97*IF('01_Вводные'!$B$239="Да",MeanMinAge17+'19_Расчет_аналитики'!L559*SUMIF(ThresholdAge17,"&lt;"&amp;'19_Расчет_аналитики'!L559,WeightedRevAge17)-SUMIF(ThresholdAge17,"&lt;"&amp;'19_Расчет_аналитики'!L559,WeightedMinAge17),MAX(CapacityAge17*'01_Вводные'!$B$218*'19_Расчет_аналитики'!L559,MeanMinAge17)))</f>
        <v/>
      </c>
      <c r="M480">
        <f>IF(OR('06_Сеть_и_дети'!M97=0,17&lt;='01_Вводные'!$B$297),0,'06_Сеть_и_дети'!M97*IF('01_Вводные'!$B$239="Да",MeanMinAge17+'19_Расчет_аналитики'!M559*SUMIF(ThresholdAge17,"&lt;"&amp;'19_Расчет_аналитики'!M559,WeightedRevAge17)-SUMIF(ThresholdAge17,"&lt;"&amp;'19_Расчет_аналитики'!M559,WeightedMinAge17),MAX(CapacityAge17*'01_Вводные'!$B$218*'19_Расчет_аналитики'!M559,MeanMinAge17)))</f>
        <v/>
      </c>
      <c r="N480">
        <f>IF(OR('06_Сеть_и_дети'!N97=0,17&lt;='01_Вводные'!$B$297),0,'06_Сеть_и_дети'!N97*IF('01_Вводные'!$B$239="Да",MeanMinAge17+'19_Расчет_аналитики'!N559*SUMIF(ThresholdAge17,"&lt;"&amp;'19_Расчет_аналитики'!N559,WeightedRevAge17)-SUMIF(ThresholdAge17,"&lt;"&amp;'19_Расчет_аналитики'!N559,WeightedMinAge17),MAX(CapacityAge17*'01_Вводные'!$B$218*'19_Расчет_аналитики'!N559,MeanMinAge17)))</f>
        <v/>
      </c>
      <c r="O480">
        <f>IF(OR('06_Сеть_и_дети'!O97=0,17&lt;='01_Вводные'!$B$297),0,'06_Сеть_и_дети'!O97*IF('01_Вводные'!$B$239="Да",MeanMinAge17+'19_Расчет_аналитики'!O559*SUMIF(ThresholdAge17,"&lt;"&amp;'19_Расчет_аналитики'!O559,WeightedRevAge17)-SUMIF(ThresholdAge17,"&lt;"&amp;'19_Расчет_аналитики'!O559,WeightedMinAge17),MAX(CapacityAge17*'01_Вводные'!$B$218*'19_Расчет_аналитики'!O559,MeanMinAge17)))</f>
        <v/>
      </c>
      <c r="P480">
        <f>IF(OR('06_Сеть_и_дети'!P97=0,17&lt;='01_Вводные'!$B$297),0,'06_Сеть_и_дети'!P97*IF('01_Вводные'!$B$239="Да",MeanMinAge17+'19_Расчет_аналитики'!P559*SUMIF(ThresholdAge17,"&lt;"&amp;'19_Расчет_аналитики'!P559,WeightedRevAge17)-SUMIF(ThresholdAge17,"&lt;"&amp;'19_Расчет_аналитики'!P559,WeightedMinAge17),MAX(CapacityAge17*'01_Вводные'!$B$218*'19_Расчет_аналитики'!P559,MeanMinAge17)))</f>
        <v/>
      </c>
      <c r="Q480">
        <f>IF(OR('06_Сеть_и_дети'!Q97=0,17&lt;='01_Вводные'!$B$297),0,'06_Сеть_и_дети'!Q97*IF('01_Вводные'!$B$239="Да",MeanMinAge17+'19_Расчет_аналитики'!Q559*SUMIF(ThresholdAge17,"&lt;"&amp;'19_Расчет_аналитики'!Q559,WeightedRevAge17)-SUMIF(ThresholdAge17,"&lt;"&amp;'19_Расчет_аналитики'!Q559,WeightedMinAge17),MAX(CapacityAge17*'01_Вводные'!$B$218*'19_Расчет_аналитики'!Q559,MeanMinAge17)))</f>
        <v/>
      </c>
      <c r="R480">
        <f>IF(OR('19_Расчет_аналитики'!R452=0,17&lt;='01_Вводные'!$B$297),0,'19_Расчет_аналитики'!R452*IF('01_Вводные'!$B$239="Да",MeanMinAge17+'19_Расчет_аналитики'!R559*SUMIF(ThresholdAge17,"&lt;"&amp;'19_Расчет_аналитики'!R559,WeightedRevAge17)-SUMIF(ThresholdAge17,"&lt;"&amp;'19_Расчет_аналитики'!R559,WeightedMinAge17),MAX(CapacityAge17*'01_Вводные'!$B$218*'19_Расчет_аналитики'!R559,MeanMinAge17)))</f>
        <v/>
      </c>
      <c r="S480">
        <f>IF(OR('19_Расчет_аналитики'!S452=0,17&lt;='01_Вводные'!$B$297),0,'19_Расчет_аналитики'!S452*IF('01_Вводные'!$B$239="Да",MeanMinAge17+'19_Расчет_аналитики'!S559*SUMIF(ThresholdAge17,"&lt;"&amp;'19_Расчет_аналитики'!S559,WeightedRevAge17)-SUMIF(ThresholdAge17,"&lt;"&amp;'19_Расчет_аналитики'!S559,WeightedMinAge17),MAX(CapacityAge17*'01_Вводные'!$B$218*'19_Расчет_аналитики'!S559,MeanMinAge17)))</f>
        <v/>
      </c>
      <c r="T480">
        <f>IF(OR('19_Расчет_аналитики'!T452=0,17&lt;='01_Вводные'!$B$297),0,'19_Расчет_аналитики'!T452*IF('01_Вводные'!$B$239="Да",MeanMinAge17+'19_Расчет_аналитики'!T559*SUMIF(ThresholdAge17,"&lt;"&amp;'19_Расчет_аналитики'!T559,WeightedRevAge17)-SUMIF(ThresholdAge17,"&lt;"&amp;'19_Расчет_аналитики'!T559,WeightedMinAge17),MAX(CapacityAge17*'01_Вводные'!$B$218*'19_Расчет_аналитики'!T559,MeanMinAge17)))</f>
        <v/>
      </c>
      <c r="U480">
        <f>IF(OR('19_Расчет_аналитики'!U452=0,17&lt;='01_Вводные'!$B$297),0,'19_Расчет_аналитики'!U452*IF('01_Вводные'!$B$239="Да",MeanMinAge17+'19_Расчет_аналитики'!U559*SUMIF(ThresholdAge17,"&lt;"&amp;'19_Расчет_аналитики'!U559,WeightedRevAge17)-SUMIF(ThresholdAge17,"&lt;"&amp;'19_Расчет_аналитики'!U559,WeightedMinAge17),MAX(CapacityAge17*'01_Вводные'!$B$218*'19_Расчет_аналитики'!U559,MeanMinAge17)))</f>
        <v/>
      </c>
      <c r="V480">
        <f>IF(OR('19_Расчет_аналитики'!V452=0,17&lt;='01_Вводные'!$B$297),0,'19_Расчет_аналитики'!V452*IF('01_Вводные'!$B$239="Да",MeanMinAge17+'19_Расчет_аналитики'!V559*SUMIF(ThresholdAge17,"&lt;"&amp;'19_Расчет_аналитики'!V559,WeightedRevAge17)-SUMIF(ThresholdAge17,"&lt;"&amp;'19_Расчет_аналитики'!V559,WeightedMinAge17),MAX(CapacityAge17*'01_Вводные'!$B$218*'19_Расчет_аналитики'!V559,MeanMinAge17)))</f>
        <v/>
      </c>
      <c r="W480">
        <f>IF(OR('19_Расчет_аналитики'!W452=0,17&lt;='01_Вводные'!$B$297),0,'19_Расчет_аналитики'!W452*IF('01_Вводные'!$B$239="Да",MeanMinAge17+'19_Расчет_аналитики'!W559*SUMIF(ThresholdAge17,"&lt;"&amp;'19_Расчет_аналитики'!W559,WeightedRevAge17)-SUMIF(ThresholdAge17,"&lt;"&amp;'19_Расчет_аналитики'!W559,WeightedMinAge17),MAX(CapacityAge17*'01_Вводные'!$B$218*'19_Расчет_аналитики'!W559,MeanMinAge17)))</f>
        <v/>
      </c>
      <c r="X480">
        <f>IF(OR('19_Расчет_аналитики'!X452=0,17&lt;='01_Вводные'!$B$297),0,'19_Расчет_аналитики'!X452*IF('01_Вводные'!$B$239="Да",MeanMinAge17+'19_Расчет_аналитики'!X559*SUMIF(ThresholdAge17,"&lt;"&amp;'19_Расчет_аналитики'!X559,WeightedRevAge17)-SUMIF(ThresholdAge17,"&lt;"&amp;'19_Расчет_аналитики'!X559,WeightedMinAge17),MAX(CapacityAge17*'01_Вводные'!$B$218*'19_Расчет_аналитики'!X559,MeanMinAge17)))</f>
        <v/>
      </c>
      <c r="Y480">
        <f>IF(OR('19_Расчет_аналитики'!Y452=0,17&lt;='01_Вводные'!$B$297),0,'19_Расчет_аналитики'!Y452*IF('01_Вводные'!$B$239="Да",MeanMinAge17+'19_Расчет_аналитики'!Y559*SUMIF(ThresholdAge17,"&lt;"&amp;'19_Расчет_аналитики'!Y559,WeightedRevAge17)-SUMIF(ThresholdAge17,"&lt;"&amp;'19_Расчет_аналитики'!Y559,WeightedMinAge17),MAX(CapacityAge17*'01_Вводные'!$B$218*'19_Расчет_аналитики'!Y559,MeanMinAge17)))</f>
        <v/>
      </c>
      <c r="Z480">
        <f>IF(OR('19_Расчет_аналитики'!Z452=0,17&lt;='01_Вводные'!$B$297),0,'19_Расчет_аналитики'!Z452*IF('01_Вводные'!$B$239="Да",MeanMinAge17+'19_Расчет_аналитики'!Z559*SUMIF(ThresholdAge17,"&lt;"&amp;'19_Расчет_аналитики'!Z559,WeightedRevAge17)-SUMIF(ThresholdAge17,"&lt;"&amp;'19_Расчет_аналитики'!Z559,WeightedMinAge17),MAX(CapacityAge17*'01_Вводные'!$B$218*'19_Расчет_аналитики'!Z559,MeanMinAge17)))</f>
        <v/>
      </c>
      <c r="AA480">
        <f>IF(OR('19_Расчет_аналитики'!AA452=0,17&lt;='01_Вводные'!$B$297),0,'19_Расчет_аналитики'!AA452*IF('01_Вводные'!$B$239="Да",MeanMinAge17+'19_Расчет_аналитики'!AA559*SUMIF(ThresholdAge17,"&lt;"&amp;'19_Расчет_аналитики'!AA559,WeightedRevAge17)-SUMIF(ThresholdAge17,"&lt;"&amp;'19_Расчет_аналитики'!AA559,WeightedMinAge17),MAX(CapacityAge17*'01_Вводные'!$B$218*'19_Расчет_аналитики'!AA559,MeanMinAge17)))</f>
        <v/>
      </c>
      <c r="AB480">
        <f>IF(OR('19_Расчет_аналитики'!AB452=0,17&lt;='01_Вводные'!$B$297),0,'19_Расчет_аналитики'!AB452*IF('01_Вводные'!$B$239="Да",MeanMinAge17+'19_Расчет_аналитики'!AB559*SUMIF(ThresholdAge17,"&lt;"&amp;'19_Расчет_аналитики'!AB559,WeightedRevAge17)-SUMIF(ThresholdAge17,"&lt;"&amp;'19_Расчет_аналитики'!AB559,WeightedMinAge17),MAX(CapacityAge17*'01_Вводные'!$B$218*'19_Расчет_аналитики'!AB559,MeanMinAge17)))</f>
        <v/>
      </c>
      <c r="AC480">
        <f>IF(OR('19_Расчет_аналитики'!AC452=0,17&lt;='01_Вводные'!$B$297),0,'19_Расчет_аналитики'!AC452*IF('01_Вводные'!$B$239="Да",MeanMinAge17+'19_Расчет_аналитики'!AC559*SUMIF(ThresholdAge17,"&lt;"&amp;'19_Расчет_аналитики'!AC559,WeightedRevAge17)-SUMIF(ThresholdAge17,"&lt;"&amp;'19_Расчет_аналитики'!AC559,WeightedMinAge17),MAX(CapacityAge17*'01_Вводные'!$B$218*'19_Расчет_аналитики'!AC559,MeanMinAge17)))</f>
        <v/>
      </c>
      <c r="AD480">
        <f>IF(OR('19_Расчет_аналитики'!AD452=0,17&lt;='01_Вводные'!$B$297),0,'19_Расчет_аналитики'!AD452*IF('01_Вводные'!$B$239="Да",MeanMinAge17+'19_Расчет_аналитики'!AD559*SUMIF(ThresholdAge17,"&lt;"&amp;'19_Расчет_аналитики'!AD559,WeightedRevAge17)-SUMIF(ThresholdAge17,"&lt;"&amp;'19_Расчет_аналитики'!AD559,WeightedMinAge17),MAX(CapacityAge17*'01_Вводные'!$B$218*'19_Расчет_аналитики'!AD559,MeanMinAge17)))</f>
        <v/>
      </c>
      <c r="AE480">
        <f>IF(OR('19_Расчет_аналитики'!AE452=0,17&lt;='01_Вводные'!$B$297),0,'19_Расчет_аналитики'!AE452*IF('01_Вводные'!$B$239="Да",MeanMinAge17+'19_Расчет_аналитики'!AE559*SUMIF(ThresholdAge17,"&lt;"&amp;'19_Расчет_аналитики'!AE559,WeightedRevAge17)-SUMIF(ThresholdAge17,"&lt;"&amp;'19_Расчет_аналитики'!AE559,WeightedMinAge17),MAX(CapacityAge17*'01_Вводные'!$B$218*'19_Расчет_аналитики'!AE559,MeanMinAge17)))</f>
        <v/>
      </c>
      <c r="AF480">
        <f>IF(OR('19_Расчет_аналитики'!AF452=0,17&lt;='01_Вводные'!$B$297),0,'19_Расчет_аналитики'!AF452*IF('01_Вводные'!$B$239="Да",MeanMinAge17+'19_Расчет_аналитики'!AF559*SUMIF(ThresholdAge17,"&lt;"&amp;'19_Расчет_аналитики'!AF559,WeightedRevAge17)-SUMIF(ThresholdAge17,"&lt;"&amp;'19_Расчет_аналитики'!AF559,WeightedMinAge17),MAX(CapacityAge17*'01_Вводные'!$B$218*'19_Расчет_аналитики'!AF559,MeanMinAge17)))</f>
        <v/>
      </c>
      <c r="AG480">
        <f>IF(OR('19_Расчет_аналитики'!AG452=0,17&lt;='01_Вводные'!$B$297),0,'19_Расчет_аналитики'!AG452*IF('01_Вводные'!$B$239="Да",MeanMinAge17+'19_Расчет_аналитики'!AG559*SUMIF(ThresholdAge17,"&lt;"&amp;'19_Расчет_аналитики'!AG559,WeightedRevAge17)-SUMIF(ThresholdAge17,"&lt;"&amp;'19_Расчет_аналитики'!AG559,WeightedMinAge17),MAX(CapacityAge17*'01_Вводные'!$B$218*'19_Расчет_аналитики'!AG559,MeanMinAge17)))</f>
        <v/>
      </c>
      <c r="AH480">
        <f>IF(OR('19_Расчет_аналитики'!AH452=0,17&lt;='01_Вводные'!$B$297),0,'19_Расчет_аналитики'!AH452*IF('01_Вводные'!$B$239="Да",MeanMinAge17+'19_Расчет_аналитики'!AH559*SUMIF(ThresholdAge17,"&lt;"&amp;'19_Расчет_аналитики'!AH559,WeightedRevAge17)-SUMIF(ThresholdAge17,"&lt;"&amp;'19_Расчет_аналитики'!AH559,WeightedMinAge17),MAX(CapacityAge17*'01_Вводные'!$B$218*'19_Расчет_аналитики'!AH559,MeanMinAge17)))</f>
        <v/>
      </c>
      <c r="AI480">
        <f>IF(OR('19_Расчет_аналитики'!AI452=0,17&lt;='01_Вводные'!$B$297),0,'19_Расчет_аналитики'!AI452*IF('01_Вводные'!$B$239="Да",MeanMinAge17+'19_Расчет_аналитики'!AI559*SUMIF(ThresholdAge17,"&lt;"&amp;'19_Расчет_аналитики'!AI559,WeightedRevAge17)-SUMIF(ThresholdAge17,"&lt;"&amp;'19_Расчет_аналитики'!AI559,WeightedMinAge17),MAX(CapacityAge17*'01_Вводные'!$B$218*'19_Расчет_аналитики'!AI559,MeanMinAge17)))</f>
        <v/>
      </c>
      <c r="AJ480">
        <f>IF(OR('19_Расчет_аналитики'!AJ452=0,17&lt;='01_Вводные'!$B$297),0,'19_Расчет_аналитики'!AJ452*IF('01_Вводные'!$B$239="Да",MeanMinAge17+'19_Расчет_аналитики'!AJ559*SUMIF(ThresholdAge17,"&lt;"&amp;'19_Расчет_аналитики'!AJ559,WeightedRevAge17)-SUMIF(ThresholdAge17,"&lt;"&amp;'19_Расчет_аналитики'!AJ559,WeightedMinAge17),MAX(CapacityAge17*'01_Вводные'!$B$218*'19_Расчет_аналитики'!AJ559,MeanMinAge17)))</f>
        <v/>
      </c>
      <c r="AK480">
        <f>IF(OR('19_Расчет_аналитики'!AK452=0,17&lt;='01_Вводные'!$B$297),0,'19_Расчет_аналитики'!AK452*IF('01_Вводные'!$B$239="Да",MeanMinAge17+'19_Расчет_аналитики'!AK559*SUMIF(ThresholdAge17,"&lt;"&amp;'19_Расчет_аналитики'!AK559,WeightedRevAge17)-SUMIF(ThresholdAge17,"&lt;"&amp;'19_Расчет_аналитики'!AK559,WeightedMinAge17),MAX(CapacityAge17*'01_Вводные'!$B$218*'19_Расчет_аналитики'!AK559,MeanMinAge17)))</f>
        <v/>
      </c>
      <c r="AL480">
        <f>IF(OR('19_Расчет_аналитики'!AL452=0,17&lt;='01_Вводные'!$B$297),0,'19_Расчет_аналитики'!AL452*IF('01_Вводные'!$B$239="Да",MeanMinAge17+'19_Расчет_аналитики'!AL559*SUMIF(ThresholdAge17,"&lt;"&amp;'19_Расчет_аналитики'!AL559,WeightedRevAge17)-SUMIF(ThresholdAge17,"&lt;"&amp;'19_Расчет_аналитики'!AL559,WeightedMinAge17),MAX(CapacityAge17*'01_Вводные'!$B$218*'19_Расчет_аналитики'!AL559,MeanMinAge17)))</f>
        <v/>
      </c>
      <c r="AM480">
        <f>IF(OR('19_Расчет_аналитики'!AM452=0,17&lt;='01_Вводные'!$B$297),0,'19_Расчет_аналитики'!AM452*IF('01_Вводные'!$B$239="Да",MeanMinAge17+'19_Расчет_аналитики'!AM559*SUMIF(ThresholdAge17,"&lt;"&amp;'19_Расчет_аналитики'!AM559,WeightedRevAge17)-SUMIF(ThresholdAge17,"&lt;"&amp;'19_Расчет_аналитики'!AM559,WeightedMinAge17),MAX(CapacityAge17*'01_Вводные'!$B$218*'19_Расчет_аналитики'!AM559,MeanMinAge17)))</f>
        <v/>
      </c>
      <c r="AN480">
        <f>IF(OR('19_Расчет_аналитики'!AN452=0,17&lt;='01_Вводные'!$B$297),0,'19_Расчет_аналитики'!AN452*IF('01_Вводные'!$B$239="Да",MeanMinAge17+'19_Расчет_аналитики'!AN559*SUMIF(ThresholdAge17,"&lt;"&amp;'19_Расчет_аналитики'!AN559,WeightedRevAge17)-SUMIF(ThresholdAge17,"&lt;"&amp;'19_Расчет_аналитики'!AN559,WeightedMinAge17),MAX(CapacityAge17*'01_Вводные'!$B$218*'19_Расчет_аналитики'!AN559,MeanMinAge17)))</f>
        <v/>
      </c>
      <c r="AO480">
        <f>IF(OR('19_Расчет_аналитики'!AO452=0,17&lt;='01_Вводные'!$B$297),0,'19_Расчет_аналитики'!AO452*IF('01_Вводные'!$B$239="Да",MeanMinAge17+'19_Расчет_аналитики'!AO559*SUMIF(ThresholdAge17,"&lt;"&amp;'19_Расчет_аналитики'!AO559,WeightedRevAge17)-SUMIF(ThresholdAge17,"&lt;"&amp;'19_Расчет_аналитики'!AO559,WeightedMinAge17),MAX(CapacityAge17*'01_Вводные'!$B$218*'19_Расчет_аналитики'!AO559,MeanMinAge17)))</f>
        <v/>
      </c>
      <c r="AP480">
        <f>IF(OR('19_Расчет_аналитики'!AP452=0,17&lt;='01_Вводные'!$B$297),0,'19_Расчет_аналитики'!AP452*IF('01_Вводные'!$B$239="Да",MeanMinAge17+'19_Расчет_аналитики'!AP559*SUMIF(ThresholdAge17,"&lt;"&amp;'19_Расчет_аналитики'!AP559,WeightedRevAge17)-SUMIF(ThresholdAge17,"&lt;"&amp;'19_Расчет_аналитики'!AP559,WeightedMinAge17),MAX(CapacityAge17*'01_Вводные'!$B$218*'19_Расчет_аналитики'!AP559,MeanMinAge17)))</f>
        <v/>
      </c>
      <c r="AQ480">
        <f>IF(OR('19_Расчет_аналитики'!AQ452=0,17&lt;='01_Вводные'!$B$297),0,'19_Расчет_аналитики'!AQ452*IF('01_Вводные'!$B$239="Да",MeanMinAge17+'19_Расчет_аналитики'!AQ559*SUMIF(ThresholdAge17,"&lt;"&amp;'19_Расчет_аналитики'!AQ559,WeightedRevAge17)-SUMIF(ThresholdAge17,"&lt;"&amp;'19_Расчет_аналитики'!AQ559,WeightedMinAge17),MAX(CapacityAge17*'01_Вводные'!$B$218*'19_Расчет_аналитики'!AQ559,MeanMinAge17)))</f>
        <v/>
      </c>
      <c r="AR480">
        <f>IF(OR('19_Расчет_аналитики'!AR452=0,17&lt;='01_Вводные'!$B$297),0,'19_Расчет_аналитики'!AR452*IF('01_Вводные'!$B$239="Да",MeanMinAge17+'19_Расчет_аналитики'!AR559*SUMIF(ThresholdAge17,"&lt;"&amp;'19_Расчет_аналитики'!AR559,WeightedRevAge17)-SUMIF(ThresholdAge17,"&lt;"&amp;'19_Расчет_аналитики'!AR559,WeightedMinAge17),MAX(CapacityAge17*'01_Вводные'!$B$218*'19_Расчет_аналитики'!AR559,MeanMinAge17)))</f>
        <v/>
      </c>
      <c r="AS480">
        <f>IF(OR('19_Расчет_аналитики'!AS452=0,17&lt;='01_Вводные'!$B$297),0,'19_Расчет_аналитики'!AS452*IF('01_Вводные'!$B$239="Да",MeanMinAge17+'19_Расчет_аналитики'!AS559*SUMIF(ThresholdAge17,"&lt;"&amp;'19_Расчет_аналитики'!AS559,WeightedRevAge17)-SUMIF(ThresholdAge17,"&lt;"&amp;'19_Расчет_аналитики'!AS559,WeightedMinAge17),MAX(CapacityAge17*'01_Вводные'!$B$218*'19_Расчет_аналитики'!AS559,MeanMinAge17)))</f>
        <v/>
      </c>
      <c r="AT480">
        <f>IF(OR('19_Расчет_аналитики'!AT452=0,17&lt;='01_Вводные'!$B$297),0,'19_Расчет_аналитики'!AT452*IF('01_Вводные'!$B$239="Да",MeanMinAge17+'19_Расчет_аналитики'!AT559*SUMIF(ThresholdAge17,"&lt;"&amp;'19_Расчет_аналитики'!AT559,WeightedRevAge17)-SUMIF(ThresholdAge17,"&lt;"&amp;'19_Расчет_аналитики'!AT559,WeightedMinAge17),MAX(CapacityAge17*'01_Вводные'!$B$218*'19_Расчет_аналитики'!AT559,MeanMinAge17)))</f>
        <v/>
      </c>
      <c r="AU480">
        <f>IF(OR('19_Расчет_аналитики'!AU452=0,17&lt;='01_Вводные'!$B$297),0,'19_Расчет_аналитики'!AU452*IF('01_Вводные'!$B$239="Да",MeanMinAge17+'19_Расчет_аналитики'!AU559*SUMIF(ThresholdAge17,"&lt;"&amp;'19_Расчет_аналитики'!AU559,WeightedRevAge17)-SUMIF(ThresholdAge17,"&lt;"&amp;'19_Расчет_аналитики'!AU559,WeightedMinAge17),MAX(CapacityAge17*'01_Вводные'!$B$218*'19_Расчет_аналитики'!AU559,MeanMinAge17)))</f>
        <v/>
      </c>
      <c r="AV480">
        <f>IF(OR('19_Расчет_аналитики'!AV452=0,17&lt;='01_Вводные'!$B$297),0,'19_Расчет_аналитики'!AV452*IF('01_Вводные'!$B$239="Да",MeanMinAge17+'19_Расчет_аналитики'!AV559*SUMIF(ThresholdAge17,"&lt;"&amp;'19_Расчет_аналитики'!AV559,WeightedRevAge17)-SUMIF(ThresholdAge17,"&lt;"&amp;'19_Расчет_аналитики'!AV559,WeightedMinAge17),MAX(CapacityAge17*'01_Вводные'!$B$218*'19_Расчет_аналитики'!AV559,MeanMinAge17)))</f>
        <v/>
      </c>
      <c r="AW480">
        <f>IF(OR('19_Расчет_аналитики'!AW452=0,17&lt;='01_Вводные'!$B$297),0,'19_Расчет_аналитики'!AW452*IF('01_Вводные'!$B$239="Да",MeanMinAge17+'19_Расчет_аналитики'!AW559*SUMIF(ThresholdAge17,"&lt;"&amp;'19_Расчет_аналитики'!AW559,WeightedRevAge17)-SUMIF(ThresholdAge17,"&lt;"&amp;'19_Расчет_аналитики'!AW559,WeightedMinAge17),MAX(CapacityAge17*'01_Вводные'!$B$218*'19_Расчет_аналитики'!AW559,MeanMinAge17)))</f>
        <v/>
      </c>
      <c r="AX480">
        <f>IF(OR('19_Расчет_аналитики'!AX452=0,17&lt;='01_Вводные'!$B$297),0,'19_Расчет_аналитики'!AX452*IF('01_Вводные'!$B$239="Да",MeanMinAge17+'19_Расчет_аналитики'!AX559*SUMIF(ThresholdAge17,"&lt;"&amp;'19_Расчет_аналитики'!AX559,WeightedRevAge17)-SUMIF(ThresholdAge17,"&lt;"&amp;'19_Расчет_аналитики'!AX559,WeightedMinAge17),MAX(CapacityAge17*'01_Вводные'!$B$218*'19_Расчет_аналитики'!AX559,MeanMinAge17)))</f>
        <v/>
      </c>
      <c r="AY480">
        <f>IF(OR('19_Расчет_аналитики'!AY452=0,17&lt;='01_Вводные'!$B$297),0,'19_Расчет_аналитики'!AY452*IF('01_Вводные'!$B$239="Да",MeanMinAge17+'19_Расчет_аналитики'!AY559*SUMIF(ThresholdAge17,"&lt;"&amp;'19_Расчет_аналитики'!AY559,WeightedRevAge17)-SUMIF(ThresholdAge17,"&lt;"&amp;'19_Расчет_аналитики'!AY559,WeightedMinAge17),MAX(CapacityAge17*'01_Вводные'!$B$218*'19_Расчет_аналитики'!AY559,MeanMinAge17)))</f>
        <v/>
      </c>
      <c r="AZ480">
        <f>IF(OR('19_Расчет_аналитики'!AZ452=0,17&lt;='01_Вводные'!$B$297),0,'19_Расчет_аналитики'!AZ452*IF('01_Вводные'!$B$239="Да",MeanMinAge17+'19_Расчет_аналитики'!AZ559*SUMIF(ThresholdAge17,"&lt;"&amp;'19_Расчет_аналитики'!AZ559,WeightedRevAge17)-SUMIF(ThresholdAge17,"&lt;"&amp;'19_Расчет_аналитики'!AZ559,WeightedMinAge17),MAX(CapacityAge17*'01_Вводные'!$B$218*'19_Расчет_аналитики'!AZ559,MeanMinAge17)))</f>
        <v/>
      </c>
      <c r="BA480">
        <f>IF(OR('19_Расчет_аналитики'!BA452=0,17&lt;='01_Вводные'!$B$297),0,'19_Расчет_аналитики'!BA452*IF('01_Вводные'!$B$239="Да",MeanMinAge17+'19_Расчет_аналитики'!BA559*SUMIF(ThresholdAge17,"&lt;"&amp;'19_Расчет_аналитики'!BA559,WeightedRevAge17)-SUMIF(ThresholdAge17,"&lt;"&amp;'19_Расчет_аналитики'!BA559,WeightedMinAge17),MAX(CapacityAge17*'01_Вводные'!$B$218*'19_Расчет_аналитики'!BA559,MeanMinAge17)))</f>
        <v/>
      </c>
      <c r="BB480">
        <f>IF(OR('19_Расчет_аналитики'!BB452=0,17&lt;='01_Вводные'!$B$297),0,'19_Расчет_аналитики'!BB452*IF('01_Вводные'!$B$239="Да",MeanMinAge17+'19_Расчет_аналитики'!BB559*SUMIF(ThresholdAge17,"&lt;"&amp;'19_Расчет_аналитики'!BB559,WeightedRevAge17)-SUMIF(ThresholdAge17,"&lt;"&amp;'19_Расчет_аналитики'!BB559,WeightedMinAge17),MAX(CapacityAge17*'01_Вводные'!$B$218*'19_Расчет_аналитики'!BB559,MeanMinAge17)))</f>
        <v/>
      </c>
      <c r="BC480">
        <f>IF(OR('19_Расчет_аналитики'!BC452=0,17&lt;='01_Вводные'!$B$297),0,'19_Расчет_аналитики'!BC452*IF('01_Вводные'!$B$239="Да",MeanMinAge17+'19_Расчет_аналитики'!BC559*SUMIF(ThresholdAge17,"&lt;"&amp;'19_Расчет_аналитики'!BC559,WeightedRevAge17)-SUMIF(ThresholdAge17,"&lt;"&amp;'19_Расчет_аналитики'!BC559,WeightedMinAge17),MAX(CapacityAge17*'01_Вводные'!$B$218*'19_Расчет_аналитики'!BC559,MeanMinAge17)))</f>
        <v/>
      </c>
      <c r="BD480">
        <f>IF(OR('19_Расчет_аналитики'!BD452=0,17&lt;='01_Вводные'!$B$297),0,'19_Расчет_аналитики'!BD452*IF('01_Вводные'!$B$239="Да",MeanMinAge17+'19_Расчет_аналитики'!BD559*SUMIF(ThresholdAge17,"&lt;"&amp;'19_Расчет_аналитики'!BD559,WeightedRevAge17)-SUMIF(ThresholdAge17,"&lt;"&amp;'19_Расчет_аналитики'!BD559,WeightedMinAge17),MAX(CapacityAge17*'01_Вводные'!$B$218*'19_Расчет_аналитики'!BD559,MeanMinAge17)))</f>
        <v/>
      </c>
      <c r="BE480">
        <f>IF(OR('19_Расчет_аналитики'!BE452=0,17&lt;='01_Вводные'!$B$297),0,'19_Расчет_аналитики'!BE452*IF('01_Вводные'!$B$239="Да",MeanMinAge17+'19_Расчет_аналитики'!BE559*SUMIF(ThresholdAge17,"&lt;"&amp;'19_Расчет_аналитики'!BE559,WeightedRevAge17)-SUMIF(ThresholdAge17,"&lt;"&amp;'19_Расчет_аналитики'!BE559,WeightedMinAge17),MAX(CapacityAge17*'01_Вводные'!$B$218*'19_Расчет_аналитики'!BE559,MeanMinAge17)))</f>
        <v/>
      </c>
      <c r="BF480">
        <f>IF(OR('19_Расчет_аналитики'!BF452=0,17&lt;='01_Вводные'!$B$297),0,'19_Расчет_аналитики'!BF452*IF('01_Вводные'!$B$239="Да",MeanMinAge17+'19_Расчет_аналитики'!BF559*SUMIF(ThresholdAge17,"&lt;"&amp;'19_Расчет_аналитики'!BF559,WeightedRevAge17)-SUMIF(ThresholdAge17,"&lt;"&amp;'19_Расчет_аналитики'!BF559,WeightedMinAge17),MAX(CapacityAge17*'01_Вводные'!$B$218*'19_Расчет_аналитики'!BF559,MeanMinAge17)))</f>
        <v/>
      </c>
      <c r="BG480">
        <f>IF(OR('19_Расчет_аналитики'!BG452=0,17&lt;='01_Вводные'!$B$297),0,'19_Расчет_аналитики'!BG452*IF('01_Вводные'!$B$239="Да",MeanMinAge17+'19_Расчет_аналитики'!BG559*SUMIF(ThresholdAge17,"&lt;"&amp;'19_Расчет_аналитики'!BG559,WeightedRevAge17)-SUMIF(ThresholdAge17,"&lt;"&amp;'19_Расчет_аналитики'!BG559,WeightedMinAge17),MAX(CapacityAge17*'01_Вводные'!$B$218*'19_Расчет_аналитики'!BG559,MeanMinAge17)))</f>
        <v/>
      </c>
      <c r="BH480">
        <f>IF(OR('19_Расчет_аналитики'!BH452=0,17&lt;='01_Вводные'!$B$297),0,'19_Расчет_аналитики'!BH452*IF('01_Вводные'!$B$239="Да",MeanMinAge17+'19_Расчет_аналитики'!BH559*SUMIF(ThresholdAge17,"&lt;"&amp;'19_Расчет_аналитики'!BH559,WeightedRevAge17)-SUMIF(ThresholdAge17,"&lt;"&amp;'19_Расчет_аналитики'!BH559,WeightedMinAge17),MAX(CapacityAge17*'01_Вводные'!$B$218*'19_Расчет_аналитики'!BH559,MeanMinAge17)))</f>
        <v/>
      </c>
      <c r="BI480">
        <f>IF(OR('19_Расчет_аналитики'!BI452=0,17&lt;='01_Вводные'!$B$297),0,'19_Расчет_аналитики'!BI452*IF('01_Вводные'!$B$239="Да",MeanMinAge17+'19_Расчет_аналитики'!BI559*SUMIF(ThresholdAge17,"&lt;"&amp;'19_Расчет_аналитики'!BI559,WeightedRevAge17)-SUMIF(ThresholdAge17,"&lt;"&amp;'19_Расчет_аналитики'!BI559,WeightedMinAge17),MAX(CapacityAge17*'01_Вводные'!$B$218*'19_Расчет_аналитики'!BI559,MeanMinAge17)))</f>
        <v/>
      </c>
      <c r="BJ480">
        <f>IF(OR('19_Расчет_аналитики'!BJ452=0,17&lt;='01_Вводные'!$B$297),0,'19_Расчет_аналитики'!BJ452*IF('01_Вводные'!$B$239="Да",MeanMinAge17+'19_Расчет_аналитики'!BJ559*SUMIF(ThresholdAge17,"&lt;"&amp;'19_Расчет_аналитики'!BJ559,WeightedRevAge17)-SUMIF(ThresholdAge17,"&lt;"&amp;'19_Расчет_аналитики'!BJ559,WeightedMinAge17),MAX(CapacityAge17*'01_Вводные'!$B$218*'19_Расчет_аналитики'!BJ559,MeanMinAge17)))</f>
        <v/>
      </c>
      <c r="BK480">
        <f>IF(OR('19_Расчет_аналитики'!BK452=0,17&lt;='01_Вводные'!$B$297),0,'19_Расчет_аналитики'!BK452*IF('01_Вводные'!$B$239="Да",MeanMinAge17+'19_Расчет_аналитики'!BK559*SUMIF(ThresholdAge17,"&lt;"&amp;'19_Расчет_аналитики'!BK559,WeightedRevAge17)-SUMIF(ThresholdAge17,"&lt;"&amp;'19_Расчет_аналитики'!BK559,WeightedMinAge17),MAX(CapacityAge17*'01_Вводные'!$B$218*'19_Расчет_аналитики'!BK559,MeanMinAge17)))</f>
        <v/>
      </c>
      <c r="BL480">
        <f>IF(OR('19_Расчет_аналитики'!BL452=0,17&lt;='01_Вводные'!$B$297),0,'19_Расчет_аналитики'!BL452*IF('01_Вводные'!$B$239="Да",MeanMinAge17+'19_Расчет_аналитики'!BL559*SUMIF(ThresholdAge17,"&lt;"&amp;'19_Расчет_аналитики'!BL559,WeightedRevAge17)-SUMIF(ThresholdAge17,"&lt;"&amp;'19_Расчет_аналитики'!BL559,WeightedMinAge17),MAX(CapacityAge17*'01_Вводные'!$B$218*'19_Расчет_аналитики'!BL559,MeanMinAge17)))</f>
        <v/>
      </c>
      <c r="BM480">
        <f>IF(OR('19_Расчет_аналитики'!BM452=0,17&lt;='01_Вводные'!$B$297),0,'19_Расчет_аналитики'!BM452*IF('01_Вводные'!$B$239="Да",MeanMinAge17+'19_Расчет_аналитики'!BM559*SUMIF(ThresholdAge17,"&lt;"&amp;'19_Расчет_аналитики'!BM559,WeightedRevAge17)-SUMIF(ThresholdAge17,"&lt;"&amp;'19_Расчет_аналитики'!BM559,WeightedMinAge17),MAX(CapacityAge17*'01_Вводные'!$B$218*'19_Расчет_аналитики'!BM559,MeanMinAge17)))</f>
        <v/>
      </c>
      <c r="BN480">
        <f>IF(OR('19_Расчет_аналитики'!BN452=0,17&lt;='01_Вводные'!$B$297),0,'19_Расчет_аналитики'!BN452*IF('01_Вводные'!$B$239="Да",MeanMinAge17+'19_Расчет_аналитики'!BN559*SUMIF(ThresholdAge17,"&lt;"&amp;'19_Расчет_аналитики'!BN559,WeightedRevAge17)-SUMIF(ThresholdAge17,"&lt;"&amp;'19_Расчет_аналитики'!BN559,WeightedMinAge17),MAX(CapacityAge17*'01_Вводные'!$B$218*'19_Расчет_аналитики'!BN559,MeanMinAge17)))</f>
        <v/>
      </c>
      <c r="BO480">
        <f>IF(OR('19_Расчет_аналитики'!BO452=0,17&lt;='01_Вводные'!$B$297),0,'19_Расчет_аналитики'!BO452*IF('01_Вводные'!$B$239="Да",MeanMinAge17+'19_Расчет_аналитики'!BO559*SUMIF(ThresholdAge17,"&lt;"&amp;'19_Расчет_аналитики'!BO559,WeightedRevAge17)-SUMIF(ThresholdAge17,"&lt;"&amp;'19_Расчет_аналитики'!BO559,WeightedMinAge17),MAX(CapacityAge17*'01_Вводные'!$B$218*'19_Расчет_аналитики'!BO559,MeanMinAge17)))</f>
        <v/>
      </c>
    </row>
    <row r="481">
      <c r="B481">
        <f>IF(OR('06_Сеть_и_дети'!B98=0,18&lt;='01_Вводные'!$B$297),0,'06_Сеть_и_дети'!B98*IF('01_Вводные'!$B$239="Да",MeanMinAge18+'19_Расчет_аналитики'!B559*SUMIF(ThresholdAge18,"&lt;"&amp;'19_Расчет_аналитики'!B559,WeightedRevAge18)-SUMIF(ThresholdAge18,"&lt;"&amp;'19_Расчет_аналитики'!B559,WeightedMinAge18),MAX(CapacityAge18*'01_Вводные'!$B$218*'19_Расчет_аналитики'!B559,MeanMinAge18)))</f>
        <v/>
      </c>
      <c r="C481">
        <f>IF(OR('06_Сеть_и_дети'!C98=0,18&lt;='01_Вводные'!$B$297),0,'06_Сеть_и_дети'!C98*IF('01_Вводные'!$B$239="Да",MeanMinAge18+'19_Расчет_аналитики'!C559*SUMIF(ThresholdAge18,"&lt;"&amp;'19_Расчет_аналитики'!C559,WeightedRevAge18)-SUMIF(ThresholdAge18,"&lt;"&amp;'19_Расчет_аналитики'!C559,WeightedMinAge18),MAX(CapacityAge18*'01_Вводные'!$B$218*'19_Расчет_аналитики'!C559,MeanMinAge18)))</f>
        <v/>
      </c>
      <c r="D481">
        <f>IF(OR('06_Сеть_и_дети'!D98=0,18&lt;='01_Вводные'!$B$297),0,'06_Сеть_и_дети'!D98*IF('01_Вводные'!$B$239="Да",MeanMinAge18+'19_Расчет_аналитики'!D559*SUMIF(ThresholdAge18,"&lt;"&amp;'19_Расчет_аналитики'!D559,WeightedRevAge18)-SUMIF(ThresholdAge18,"&lt;"&amp;'19_Расчет_аналитики'!D559,WeightedMinAge18),MAX(CapacityAge18*'01_Вводные'!$B$218*'19_Расчет_аналитики'!D559,MeanMinAge18)))</f>
        <v/>
      </c>
      <c r="E481">
        <f>IF(OR('06_Сеть_и_дети'!E98=0,18&lt;='01_Вводные'!$B$297),0,'06_Сеть_и_дети'!E98*IF('01_Вводные'!$B$239="Да",MeanMinAge18+'19_Расчет_аналитики'!E559*SUMIF(ThresholdAge18,"&lt;"&amp;'19_Расчет_аналитики'!E559,WeightedRevAge18)-SUMIF(ThresholdAge18,"&lt;"&amp;'19_Расчет_аналитики'!E559,WeightedMinAge18),MAX(CapacityAge18*'01_Вводные'!$B$218*'19_Расчет_аналитики'!E559,MeanMinAge18)))</f>
        <v/>
      </c>
      <c r="F481">
        <f>IF(OR('06_Сеть_и_дети'!F98=0,18&lt;='01_Вводные'!$B$297),0,'06_Сеть_и_дети'!F98*IF('01_Вводные'!$B$239="Да",MeanMinAge18+'19_Расчет_аналитики'!F559*SUMIF(ThresholdAge18,"&lt;"&amp;'19_Расчет_аналитики'!F559,WeightedRevAge18)-SUMIF(ThresholdAge18,"&lt;"&amp;'19_Расчет_аналитики'!F559,WeightedMinAge18),MAX(CapacityAge18*'01_Вводные'!$B$218*'19_Расчет_аналитики'!F559,MeanMinAge18)))</f>
        <v/>
      </c>
      <c r="G481">
        <f>IF(OR('06_Сеть_и_дети'!G98=0,18&lt;='01_Вводные'!$B$297),0,'06_Сеть_и_дети'!G98*IF('01_Вводные'!$B$239="Да",MeanMinAge18+'19_Расчет_аналитики'!G559*SUMIF(ThresholdAge18,"&lt;"&amp;'19_Расчет_аналитики'!G559,WeightedRevAge18)-SUMIF(ThresholdAge18,"&lt;"&amp;'19_Расчет_аналитики'!G559,WeightedMinAge18),MAX(CapacityAge18*'01_Вводные'!$B$218*'19_Расчет_аналитики'!G559,MeanMinAge18)))</f>
        <v/>
      </c>
      <c r="H481">
        <f>IF(OR('06_Сеть_и_дети'!H98=0,18&lt;='01_Вводные'!$B$297),0,'06_Сеть_и_дети'!H98*IF('01_Вводные'!$B$239="Да",MeanMinAge18+'19_Расчет_аналитики'!H559*SUMIF(ThresholdAge18,"&lt;"&amp;'19_Расчет_аналитики'!H559,WeightedRevAge18)-SUMIF(ThresholdAge18,"&lt;"&amp;'19_Расчет_аналитики'!H559,WeightedMinAge18),MAX(CapacityAge18*'01_Вводные'!$B$218*'19_Расчет_аналитики'!H559,MeanMinAge18)))</f>
        <v/>
      </c>
      <c r="I481">
        <f>IF(OR('06_Сеть_и_дети'!I98=0,18&lt;='01_Вводные'!$B$297),0,'06_Сеть_и_дети'!I98*IF('01_Вводные'!$B$239="Да",MeanMinAge18+'19_Расчет_аналитики'!I559*SUMIF(ThresholdAge18,"&lt;"&amp;'19_Расчет_аналитики'!I559,WeightedRevAge18)-SUMIF(ThresholdAge18,"&lt;"&amp;'19_Расчет_аналитики'!I559,WeightedMinAge18),MAX(CapacityAge18*'01_Вводные'!$B$218*'19_Расчет_аналитики'!I559,MeanMinAge18)))</f>
        <v/>
      </c>
      <c r="J481">
        <f>IF(OR('06_Сеть_и_дети'!J98=0,18&lt;='01_Вводные'!$B$297),0,'06_Сеть_и_дети'!J98*IF('01_Вводные'!$B$239="Да",MeanMinAge18+'19_Расчет_аналитики'!J559*SUMIF(ThresholdAge18,"&lt;"&amp;'19_Расчет_аналитики'!J559,WeightedRevAge18)-SUMIF(ThresholdAge18,"&lt;"&amp;'19_Расчет_аналитики'!J559,WeightedMinAge18),MAX(CapacityAge18*'01_Вводные'!$B$218*'19_Расчет_аналитики'!J559,MeanMinAge18)))</f>
        <v/>
      </c>
      <c r="K481">
        <f>IF(OR('06_Сеть_и_дети'!K98=0,18&lt;='01_Вводные'!$B$297),0,'06_Сеть_и_дети'!K98*IF('01_Вводные'!$B$239="Да",MeanMinAge18+'19_Расчет_аналитики'!K559*SUMIF(ThresholdAge18,"&lt;"&amp;'19_Расчет_аналитики'!K559,WeightedRevAge18)-SUMIF(ThresholdAge18,"&lt;"&amp;'19_Расчет_аналитики'!K559,WeightedMinAge18),MAX(CapacityAge18*'01_Вводные'!$B$218*'19_Расчет_аналитики'!K559,MeanMinAge18)))</f>
        <v/>
      </c>
      <c r="L481">
        <f>IF(OR('06_Сеть_и_дети'!L98=0,18&lt;='01_Вводные'!$B$297),0,'06_Сеть_и_дети'!L98*IF('01_Вводные'!$B$239="Да",MeanMinAge18+'19_Расчет_аналитики'!L559*SUMIF(ThresholdAge18,"&lt;"&amp;'19_Расчет_аналитики'!L559,WeightedRevAge18)-SUMIF(ThresholdAge18,"&lt;"&amp;'19_Расчет_аналитики'!L559,WeightedMinAge18),MAX(CapacityAge18*'01_Вводные'!$B$218*'19_Расчет_аналитики'!L559,MeanMinAge18)))</f>
        <v/>
      </c>
      <c r="M481">
        <f>IF(OR('06_Сеть_и_дети'!M98=0,18&lt;='01_Вводные'!$B$297),0,'06_Сеть_и_дети'!M98*IF('01_Вводные'!$B$239="Да",MeanMinAge18+'19_Расчет_аналитики'!M559*SUMIF(ThresholdAge18,"&lt;"&amp;'19_Расчет_аналитики'!M559,WeightedRevAge18)-SUMIF(ThresholdAge18,"&lt;"&amp;'19_Расчет_аналитики'!M559,WeightedMinAge18),MAX(CapacityAge18*'01_Вводные'!$B$218*'19_Расчет_аналитики'!M559,MeanMinAge18)))</f>
        <v/>
      </c>
      <c r="N481">
        <f>IF(OR('06_Сеть_и_дети'!N98=0,18&lt;='01_Вводные'!$B$297),0,'06_Сеть_и_дети'!N98*IF('01_Вводные'!$B$239="Да",MeanMinAge18+'19_Расчет_аналитики'!N559*SUMIF(ThresholdAge18,"&lt;"&amp;'19_Расчет_аналитики'!N559,WeightedRevAge18)-SUMIF(ThresholdAge18,"&lt;"&amp;'19_Расчет_аналитики'!N559,WeightedMinAge18),MAX(CapacityAge18*'01_Вводные'!$B$218*'19_Расчет_аналитики'!N559,MeanMinAge18)))</f>
        <v/>
      </c>
      <c r="O481">
        <f>IF(OR('06_Сеть_и_дети'!O98=0,18&lt;='01_Вводные'!$B$297),0,'06_Сеть_и_дети'!O98*IF('01_Вводные'!$B$239="Да",MeanMinAge18+'19_Расчет_аналитики'!O559*SUMIF(ThresholdAge18,"&lt;"&amp;'19_Расчет_аналитики'!O559,WeightedRevAge18)-SUMIF(ThresholdAge18,"&lt;"&amp;'19_Расчет_аналитики'!O559,WeightedMinAge18),MAX(CapacityAge18*'01_Вводные'!$B$218*'19_Расчет_аналитики'!O559,MeanMinAge18)))</f>
        <v/>
      </c>
      <c r="P481">
        <f>IF(OR('06_Сеть_и_дети'!P98=0,18&lt;='01_Вводные'!$B$297),0,'06_Сеть_и_дети'!P98*IF('01_Вводные'!$B$239="Да",MeanMinAge18+'19_Расчет_аналитики'!P559*SUMIF(ThresholdAge18,"&lt;"&amp;'19_Расчет_аналитики'!P559,WeightedRevAge18)-SUMIF(ThresholdAge18,"&lt;"&amp;'19_Расчет_аналитики'!P559,WeightedMinAge18),MAX(CapacityAge18*'01_Вводные'!$B$218*'19_Расчет_аналитики'!P559,MeanMinAge18)))</f>
        <v/>
      </c>
      <c r="Q481">
        <f>IF(OR('06_Сеть_и_дети'!Q98=0,18&lt;='01_Вводные'!$B$297),0,'06_Сеть_и_дети'!Q98*IF('01_Вводные'!$B$239="Да",MeanMinAge18+'19_Расчет_аналитики'!Q559*SUMIF(ThresholdAge18,"&lt;"&amp;'19_Расчет_аналитики'!Q559,WeightedRevAge18)-SUMIF(ThresholdAge18,"&lt;"&amp;'19_Расчет_аналитики'!Q559,WeightedMinAge18),MAX(CapacityAge18*'01_Вводные'!$B$218*'19_Расчет_аналитики'!Q559,MeanMinAge18)))</f>
        <v/>
      </c>
      <c r="R481">
        <f>IF(OR('06_Сеть_и_дети'!R98=0,18&lt;='01_Вводные'!$B$297),0,'06_Сеть_и_дети'!R98*IF('01_Вводные'!$B$239="Да",MeanMinAge18+'19_Расчет_аналитики'!R559*SUMIF(ThresholdAge18,"&lt;"&amp;'19_Расчет_аналитики'!R559,WeightedRevAge18)-SUMIF(ThresholdAge18,"&lt;"&amp;'19_Расчет_аналитики'!R559,WeightedMinAge18),MAX(CapacityAge18*'01_Вводные'!$B$218*'19_Расчет_аналитики'!R559,MeanMinAge18)))</f>
        <v/>
      </c>
      <c r="S481">
        <f>IF(OR('19_Расчет_аналитики'!S453=0,18&lt;='01_Вводные'!$B$297),0,'19_Расчет_аналитики'!S453*IF('01_Вводные'!$B$239="Да",MeanMinAge18+'19_Расчет_аналитики'!S559*SUMIF(ThresholdAge18,"&lt;"&amp;'19_Расчет_аналитики'!S559,WeightedRevAge18)-SUMIF(ThresholdAge18,"&lt;"&amp;'19_Расчет_аналитики'!S559,WeightedMinAge18),MAX(CapacityAge18*'01_Вводные'!$B$218*'19_Расчет_аналитики'!S559,MeanMinAge18)))</f>
        <v/>
      </c>
      <c r="T481">
        <f>IF(OR('19_Расчет_аналитики'!T453=0,18&lt;='01_Вводные'!$B$297),0,'19_Расчет_аналитики'!T453*IF('01_Вводные'!$B$239="Да",MeanMinAge18+'19_Расчет_аналитики'!T559*SUMIF(ThresholdAge18,"&lt;"&amp;'19_Расчет_аналитики'!T559,WeightedRevAge18)-SUMIF(ThresholdAge18,"&lt;"&amp;'19_Расчет_аналитики'!T559,WeightedMinAge18),MAX(CapacityAge18*'01_Вводные'!$B$218*'19_Расчет_аналитики'!T559,MeanMinAge18)))</f>
        <v/>
      </c>
      <c r="U481">
        <f>IF(OR('19_Расчет_аналитики'!U453=0,18&lt;='01_Вводные'!$B$297),0,'19_Расчет_аналитики'!U453*IF('01_Вводные'!$B$239="Да",MeanMinAge18+'19_Расчет_аналитики'!U559*SUMIF(ThresholdAge18,"&lt;"&amp;'19_Расчет_аналитики'!U559,WeightedRevAge18)-SUMIF(ThresholdAge18,"&lt;"&amp;'19_Расчет_аналитики'!U559,WeightedMinAge18),MAX(CapacityAge18*'01_Вводные'!$B$218*'19_Расчет_аналитики'!U559,MeanMinAge18)))</f>
        <v/>
      </c>
      <c r="V481">
        <f>IF(OR('19_Расчет_аналитики'!V453=0,18&lt;='01_Вводные'!$B$297),0,'19_Расчет_аналитики'!V453*IF('01_Вводные'!$B$239="Да",MeanMinAge18+'19_Расчет_аналитики'!V559*SUMIF(ThresholdAge18,"&lt;"&amp;'19_Расчет_аналитики'!V559,WeightedRevAge18)-SUMIF(ThresholdAge18,"&lt;"&amp;'19_Расчет_аналитики'!V559,WeightedMinAge18),MAX(CapacityAge18*'01_Вводные'!$B$218*'19_Расчет_аналитики'!V559,MeanMinAge18)))</f>
        <v/>
      </c>
      <c r="W481">
        <f>IF(OR('19_Расчет_аналитики'!W453=0,18&lt;='01_Вводные'!$B$297),0,'19_Расчет_аналитики'!W453*IF('01_Вводные'!$B$239="Да",MeanMinAge18+'19_Расчет_аналитики'!W559*SUMIF(ThresholdAge18,"&lt;"&amp;'19_Расчет_аналитики'!W559,WeightedRevAge18)-SUMIF(ThresholdAge18,"&lt;"&amp;'19_Расчет_аналитики'!W559,WeightedMinAge18),MAX(CapacityAge18*'01_Вводные'!$B$218*'19_Расчет_аналитики'!W559,MeanMinAge18)))</f>
        <v/>
      </c>
      <c r="X481">
        <f>IF(OR('19_Расчет_аналитики'!X453=0,18&lt;='01_Вводные'!$B$297),0,'19_Расчет_аналитики'!X453*IF('01_Вводные'!$B$239="Да",MeanMinAge18+'19_Расчет_аналитики'!X559*SUMIF(ThresholdAge18,"&lt;"&amp;'19_Расчет_аналитики'!X559,WeightedRevAge18)-SUMIF(ThresholdAge18,"&lt;"&amp;'19_Расчет_аналитики'!X559,WeightedMinAge18),MAX(CapacityAge18*'01_Вводные'!$B$218*'19_Расчет_аналитики'!X559,MeanMinAge18)))</f>
        <v/>
      </c>
      <c r="Y481">
        <f>IF(OR('19_Расчет_аналитики'!Y453=0,18&lt;='01_Вводные'!$B$297),0,'19_Расчет_аналитики'!Y453*IF('01_Вводные'!$B$239="Да",MeanMinAge18+'19_Расчет_аналитики'!Y559*SUMIF(ThresholdAge18,"&lt;"&amp;'19_Расчет_аналитики'!Y559,WeightedRevAge18)-SUMIF(ThresholdAge18,"&lt;"&amp;'19_Расчет_аналитики'!Y559,WeightedMinAge18),MAX(CapacityAge18*'01_Вводные'!$B$218*'19_Расчет_аналитики'!Y559,MeanMinAge18)))</f>
        <v/>
      </c>
      <c r="Z481">
        <f>IF(OR('19_Расчет_аналитики'!Z453=0,18&lt;='01_Вводные'!$B$297),0,'19_Расчет_аналитики'!Z453*IF('01_Вводные'!$B$239="Да",MeanMinAge18+'19_Расчет_аналитики'!Z559*SUMIF(ThresholdAge18,"&lt;"&amp;'19_Расчет_аналитики'!Z559,WeightedRevAge18)-SUMIF(ThresholdAge18,"&lt;"&amp;'19_Расчет_аналитики'!Z559,WeightedMinAge18),MAX(CapacityAge18*'01_Вводные'!$B$218*'19_Расчет_аналитики'!Z559,MeanMinAge18)))</f>
        <v/>
      </c>
      <c r="AA481">
        <f>IF(OR('19_Расчет_аналитики'!AA453=0,18&lt;='01_Вводные'!$B$297),0,'19_Расчет_аналитики'!AA453*IF('01_Вводные'!$B$239="Да",MeanMinAge18+'19_Расчет_аналитики'!AA559*SUMIF(ThresholdAge18,"&lt;"&amp;'19_Расчет_аналитики'!AA559,WeightedRevAge18)-SUMIF(ThresholdAge18,"&lt;"&amp;'19_Расчет_аналитики'!AA559,WeightedMinAge18),MAX(CapacityAge18*'01_Вводные'!$B$218*'19_Расчет_аналитики'!AA559,MeanMinAge18)))</f>
        <v/>
      </c>
      <c r="AB481">
        <f>IF(OR('19_Расчет_аналитики'!AB453=0,18&lt;='01_Вводные'!$B$297),0,'19_Расчет_аналитики'!AB453*IF('01_Вводные'!$B$239="Да",MeanMinAge18+'19_Расчет_аналитики'!AB559*SUMIF(ThresholdAge18,"&lt;"&amp;'19_Расчет_аналитики'!AB559,WeightedRevAge18)-SUMIF(ThresholdAge18,"&lt;"&amp;'19_Расчет_аналитики'!AB559,WeightedMinAge18),MAX(CapacityAge18*'01_Вводные'!$B$218*'19_Расчет_аналитики'!AB559,MeanMinAge18)))</f>
        <v/>
      </c>
      <c r="AC481">
        <f>IF(OR('19_Расчет_аналитики'!AC453=0,18&lt;='01_Вводные'!$B$297),0,'19_Расчет_аналитики'!AC453*IF('01_Вводные'!$B$239="Да",MeanMinAge18+'19_Расчет_аналитики'!AC559*SUMIF(ThresholdAge18,"&lt;"&amp;'19_Расчет_аналитики'!AC559,WeightedRevAge18)-SUMIF(ThresholdAge18,"&lt;"&amp;'19_Расчет_аналитики'!AC559,WeightedMinAge18),MAX(CapacityAge18*'01_Вводные'!$B$218*'19_Расчет_аналитики'!AC559,MeanMinAge18)))</f>
        <v/>
      </c>
      <c r="AD481">
        <f>IF(OR('19_Расчет_аналитики'!AD453=0,18&lt;='01_Вводные'!$B$297),0,'19_Расчет_аналитики'!AD453*IF('01_Вводные'!$B$239="Да",MeanMinAge18+'19_Расчет_аналитики'!AD559*SUMIF(ThresholdAge18,"&lt;"&amp;'19_Расчет_аналитики'!AD559,WeightedRevAge18)-SUMIF(ThresholdAge18,"&lt;"&amp;'19_Расчет_аналитики'!AD559,WeightedMinAge18),MAX(CapacityAge18*'01_Вводные'!$B$218*'19_Расчет_аналитики'!AD559,MeanMinAge18)))</f>
        <v/>
      </c>
      <c r="AE481">
        <f>IF(OR('19_Расчет_аналитики'!AE453=0,18&lt;='01_Вводные'!$B$297),0,'19_Расчет_аналитики'!AE453*IF('01_Вводные'!$B$239="Да",MeanMinAge18+'19_Расчет_аналитики'!AE559*SUMIF(ThresholdAge18,"&lt;"&amp;'19_Расчет_аналитики'!AE559,WeightedRevAge18)-SUMIF(ThresholdAge18,"&lt;"&amp;'19_Расчет_аналитики'!AE559,WeightedMinAge18),MAX(CapacityAge18*'01_Вводные'!$B$218*'19_Расчет_аналитики'!AE559,MeanMinAge18)))</f>
        <v/>
      </c>
      <c r="AF481">
        <f>IF(OR('19_Расчет_аналитики'!AF453=0,18&lt;='01_Вводные'!$B$297),0,'19_Расчет_аналитики'!AF453*IF('01_Вводные'!$B$239="Да",MeanMinAge18+'19_Расчет_аналитики'!AF559*SUMIF(ThresholdAge18,"&lt;"&amp;'19_Расчет_аналитики'!AF559,WeightedRevAge18)-SUMIF(ThresholdAge18,"&lt;"&amp;'19_Расчет_аналитики'!AF559,WeightedMinAge18),MAX(CapacityAge18*'01_Вводные'!$B$218*'19_Расчет_аналитики'!AF559,MeanMinAge18)))</f>
        <v/>
      </c>
      <c r="AG481">
        <f>IF(OR('19_Расчет_аналитики'!AG453=0,18&lt;='01_Вводные'!$B$297),0,'19_Расчет_аналитики'!AG453*IF('01_Вводные'!$B$239="Да",MeanMinAge18+'19_Расчет_аналитики'!AG559*SUMIF(ThresholdAge18,"&lt;"&amp;'19_Расчет_аналитики'!AG559,WeightedRevAge18)-SUMIF(ThresholdAge18,"&lt;"&amp;'19_Расчет_аналитики'!AG559,WeightedMinAge18),MAX(CapacityAge18*'01_Вводные'!$B$218*'19_Расчет_аналитики'!AG559,MeanMinAge18)))</f>
        <v/>
      </c>
      <c r="AH481">
        <f>IF(OR('19_Расчет_аналитики'!AH453=0,18&lt;='01_Вводные'!$B$297),0,'19_Расчет_аналитики'!AH453*IF('01_Вводные'!$B$239="Да",MeanMinAge18+'19_Расчет_аналитики'!AH559*SUMIF(ThresholdAge18,"&lt;"&amp;'19_Расчет_аналитики'!AH559,WeightedRevAge18)-SUMIF(ThresholdAge18,"&lt;"&amp;'19_Расчет_аналитики'!AH559,WeightedMinAge18),MAX(CapacityAge18*'01_Вводные'!$B$218*'19_Расчет_аналитики'!AH559,MeanMinAge18)))</f>
        <v/>
      </c>
      <c r="AI481">
        <f>IF(OR('19_Расчет_аналитики'!AI453=0,18&lt;='01_Вводные'!$B$297),0,'19_Расчет_аналитики'!AI453*IF('01_Вводные'!$B$239="Да",MeanMinAge18+'19_Расчет_аналитики'!AI559*SUMIF(ThresholdAge18,"&lt;"&amp;'19_Расчет_аналитики'!AI559,WeightedRevAge18)-SUMIF(ThresholdAge18,"&lt;"&amp;'19_Расчет_аналитики'!AI559,WeightedMinAge18),MAX(CapacityAge18*'01_Вводные'!$B$218*'19_Расчет_аналитики'!AI559,MeanMinAge18)))</f>
        <v/>
      </c>
      <c r="AJ481">
        <f>IF(OR('19_Расчет_аналитики'!AJ453=0,18&lt;='01_Вводные'!$B$297),0,'19_Расчет_аналитики'!AJ453*IF('01_Вводные'!$B$239="Да",MeanMinAge18+'19_Расчет_аналитики'!AJ559*SUMIF(ThresholdAge18,"&lt;"&amp;'19_Расчет_аналитики'!AJ559,WeightedRevAge18)-SUMIF(ThresholdAge18,"&lt;"&amp;'19_Расчет_аналитики'!AJ559,WeightedMinAge18),MAX(CapacityAge18*'01_Вводные'!$B$218*'19_Расчет_аналитики'!AJ559,MeanMinAge18)))</f>
        <v/>
      </c>
      <c r="AK481">
        <f>IF(OR('19_Расчет_аналитики'!AK453=0,18&lt;='01_Вводные'!$B$297),0,'19_Расчет_аналитики'!AK453*IF('01_Вводные'!$B$239="Да",MeanMinAge18+'19_Расчет_аналитики'!AK559*SUMIF(ThresholdAge18,"&lt;"&amp;'19_Расчет_аналитики'!AK559,WeightedRevAge18)-SUMIF(ThresholdAge18,"&lt;"&amp;'19_Расчет_аналитики'!AK559,WeightedMinAge18),MAX(CapacityAge18*'01_Вводные'!$B$218*'19_Расчет_аналитики'!AK559,MeanMinAge18)))</f>
        <v/>
      </c>
      <c r="AL481">
        <f>IF(OR('19_Расчет_аналитики'!AL453=0,18&lt;='01_Вводные'!$B$297),0,'19_Расчет_аналитики'!AL453*IF('01_Вводные'!$B$239="Да",MeanMinAge18+'19_Расчет_аналитики'!AL559*SUMIF(ThresholdAge18,"&lt;"&amp;'19_Расчет_аналитики'!AL559,WeightedRevAge18)-SUMIF(ThresholdAge18,"&lt;"&amp;'19_Расчет_аналитики'!AL559,WeightedMinAge18),MAX(CapacityAge18*'01_Вводные'!$B$218*'19_Расчет_аналитики'!AL559,MeanMinAge18)))</f>
        <v/>
      </c>
      <c r="AM481">
        <f>IF(OR('19_Расчет_аналитики'!AM453=0,18&lt;='01_Вводные'!$B$297),0,'19_Расчет_аналитики'!AM453*IF('01_Вводные'!$B$239="Да",MeanMinAge18+'19_Расчет_аналитики'!AM559*SUMIF(ThresholdAge18,"&lt;"&amp;'19_Расчет_аналитики'!AM559,WeightedRevAge18)-SUMIF(ThresholdAge18,"&lt;"&amp;'19_Расчет_аналитики'!AM559,WeightedMinAge18),MAX(CapacityAge18*'01_Вводные'!$B$218*'19_Расчет_аналитики'!AM559,MeanMinAge18)))</f>
        <v/>
      </c>
      <c r="AN481">
        <f>IF(OR('19_Расчет_аналитики'!AN453=0,18&lt;='01_Вводные'!$B$297),0,'19_Расчет_аналитики'!AN453*IF('01_Вводные'!$B$239="Да",MeanMinAge18+'19_Расчет_аналитики'!AN559*SUMIF(ThresholdAge18,"&lt;"&amp;'19_Расчет_аналитики'!AN559,WeightedRevAge18)-SUMIF(ThresholdAge18,"&lt;"&amp;'19_Расчет_аналитики'!AN559,WeightedMinAge18),MAX(CapacityAge18*'01_Вводные'!$B$218*'19_Расчет_аналитики'!AN559,MeanMinAge18)))</f>
        <v/>
      </c>
      <c r="AO481">
        <f>IF(OR('19_Расчет_аналитики'!AO453=0,18&lt;='01_Вводные'!$B$297),0,'19_Расчет_аналитики'!AO453*IF('01_Вводные'!$B$239="Да",MeanMinAge18+'19_Расчет_аналитики'!AO559*SUMIF(ThresholdAge18,"&lt;"&amp;'19_Расчет_аналитики'!AO559,WeightedRevAge18)-SUMIF(ThresholdAge18,"&lt;"&amp;'19_Расчет_аналитики'!AO559,WeightedMinAge18),MAX(CapacityAge18*'01_Вводные'!$B$218*'19_Расчет_аналитики'!AO559,MeanMinAge18)))</f>
        <v/>
      </c>
      <c r="AP481">
        <f>IF(OR('19_Расчет_аналитики'!AP453=0,18&lt;='01_Вводные'!$B$297),0,'19_Расчет_аналитики'!AP453*IF('01_Вводные'!$B$239="Да",MeanMinAge18+'19_Расчет_аналитики'!AP559*SUMIF(ThresholdAge18,"&lt;"&amp;'19_Расчет_аналитики'!AP559,WeightedRevAge18)-SUMIF(ThresholdAge18,"&lt;"&amp;'19_Расчет_аналитики'!AP559,WeightedMinAge18),MAX(CapacityAge18*'01_Вводные'!$B$218*'19_Расчет_аналитики'!AP559,MeanMinAge18)))</f>
        <v/>
      </c>
      <c r="AQ481">
        <f>IF(OR('19_Расчет_аналитики'!AQ453=0,18&lt;='01_Вводные'!$B$297),0,'19_Расчет_аналитики'!AQ453*IF('01_Вводные'!$B$239="Да",MeanMinAge18+'19_Расчет_аналитики'!AQ559*SUMIF(ThresholdAge18,"&lt;"&amp;'19_Расчет_аналитики'!AQ559,WeightedRevAge18)-SUMIF(ThresholdAge18,"&lt;"&amp;'19_Расчет_аналитики'!AQ559,WeightedMinAge18),MAX(CapacityAge18*'01_Вводные'!$B$218*'19_Расчет_аналитики'!AQ559,MeanMinAge18)))</f>
        <v/>
      </c>
      <c r="AR481">
        <f>IF(OR('19_Расчет_аналитики'!AR453=0,18&lt;='01_Вводные'!$B$297),0,'19_Расчет_аналитики'!AR453*IF('01_Вводные'!$B$239="Да",MeanMinAge18+'19_Расчет_аналитики'!AR559*SUMIF(ThresholdAge18,"&lt;"&amp;'19_Расчет_аналитики'!AR559,WeightedRevAge18)-SUMIF(ThresholdAge18,"&lt;"&amp;'19_Расчет_аналитики'!AR559,WeightedMinAge18),MAX(CapacityAge18*'01_Вводные'!$B$218*'19_Расчет_аналитики'!AR559,MeanMinAge18)))</f>
        <v/>
      </c>
      <c r="AS481">
        <f>IF(OR('19_Расчет_аналитики'!AS453=0,18&lt;='01_Вводные'!$B$297),0,'19_Расчет_аналитики'!AS453*IF('01_Вводные'!$B$239="Да",MeanMinAge18+'19_Расчет_аналитики'!AS559*SUMIF(ThresholdAge18,"&lt;"&amp;'19_Расчет_аналитики'!AS559,WeightedRevAge18)-SUMIF(ThresholdAge18,"&lt;"&amp;'19_Расчет_аналитики'!AS559,WeightedMinAge18),MAX(CapacityAge18*'01_Вводные'!$B$218*'19_Расчет_аналитики'!AS559,MeanMinAge18)))</f>
        <v/>
      </c>
      <c r="AT481">
        <f>IF(OR('19_Расчет_аналитики'!AT453=0,18&lt;='01_Вводные'!$B$297),0,'19_Расчет_аналитики'!AT453*IF('01_Вводные'!$B$239="Да",MeanMinAge18+'19_Расчет_аналитики'!AT559*SUMIF(ThresholdAge18,"&lt;"&amp;'19_Расчет_аналитики'!AT559,WeightedRevAge18)-SUMIF(ThresholdAge18,"&lt;"&amp;'19_Расчет_аналитики'!AT559,WeightedMinAge18),MAX(CapacityAge18*'01_Вводные'!$B$218*'19_Расчет_аналитики'!AT559,MeanMinAge18)))</f>
        <v/>
      </c>
      <c r="AU481">
        <f>IF(OR('19_Расчет_аналитики'!AU453=0,18&lt;='01_Вводные'!$B$297),0,'19_Расчет_аналитики'!AU453*IF('01_Вводные'!$B$239="Да",MeanMinAge18+'19_Расчет_аналитики'!AU559*SUMIF(ThresholdAge18,"&lt;"&amp;'19_Расчет_аналитики'!AU559,WeightedRevAge18)-SUMIF(ThresholdAge18,"&lt;"&amp;'19_Расчет_аналитики'!AU559,WeightedMinAge18),MAX(CapacityAge18*'01_Вводные'!$B$218*'19_Расчет_аналитики'!AU559,MeanMinAge18)))</f>
        <v/>
      </c>
      <c r="AV481">
        <f>IF(OR('19_Расчет_аналитики'!AV453=0,18&lt;='01_Вводные'!$B$297),0,'19_Расчет_аналитики'!AV453*IF('01_Вводные'!$B$239="Да",MeanMinAge18+'19_Расчет_аналитики'!AV559*SUMIF(ThresholdAge18,"&lt;"&amp;'19_Расчет_аналитики'!AV559,WeightedRevAge18)-SUMIF(ThresholdAge18,"&lt;"&amp;'19_Расчет_аналитики'!AV559,WeightedMinAge18),MAX(CapacityAge18*'01_Вводные'!$B$218*'19_Расчет_аналитики'!AV559,MeanMinAge18)))</f>
        <v/>
      </c>
      <c r="AW481">
        <f>IF(OR('19_Расчет_аналитики'!AW453=0,18&lt;='01_Вводные'!$B$297),0,'19_Расчет_аналитики'!AW453*IF('01_Вводные'!$B$239="Да",MeanMinAge18+'19_Расчет_аналитики'!AW559*SUMIF(ThresholdAge18,"&lt;"&amp;'19_Расчет_аналитики'!AW559,WeightedRevAge18)-SUMIF(ThresholdAge18,"&lt;"&amp;'19_Расчет_аналитики'!AW559,WeightedMinAge18),MAX(CapacityAge18*'01_Вводные'!$B$218*'19_Расчет_аналитики'!AW559,MeanMinAge18)))</f>
        <v/>
      </c>
      <c r="AX481">
        <f>IF(OR('19_Расчет_аналитики'!AX453=0,18&lt;='01_Вводные'!$B$297),0,'19_Расчет_аналитики'!AX453*IF('01_Вводные'!$B$239="Да",MeanMinAge18+'19_Расчет_аналитики'!AX559*SUMIF(ThresholdAge18,"&lt;"&amp;'19_Расчет_аналитики'!AX559,WeightedRevAge18)-SUMIF(ThresholdAge18,"&lt;"&amp;'19_Расчет_аналитики'!AX559,WeightedMinAge18),MAX(CapacityAge18*'01_Вводные'!$B$218*'19_Расчет_аналитики'!AX559,MeanMinAge18)))</f>
        <v/>
      </c>
      <c r="AY481">
        <f>IF(OR('19_Расчет_аналитики'!AY453=0,18&lt;='01_Вводные'!$B$297),0,'19_Расчет_аналитики'!AY453*IF('01_Вводные'!$B$239="Да",MeanMinAge18+'19_Расчет_аналитики'!AY559*SUMIF(ThresholdAge18,"&lt;"&amp;'19_Расчет_аналитики'!AY559,WeightedRevAge18)-SUMIF(ThresholdAge18,"&lt;"&amp;'19_Расчет_аналитики'!AY559,WeightedMinAge18),MAX(CapacityAge18*'01_Вводные'!$B$218*'19_Расчет_аналитики'!AY559,MeanMinAge18)))</f>
        <v/>
      </c>
      <c r="AZ481">
        <f>IF(OR('19_Расчет_аналитики'!AZ453=0,18&lt;='01_Вводные'!$B$297),0,'19_Расчет_аналитики'!AZ453*IF('01_Вводные'!$B$239="Да",MeanMinAge18+'19_Расчет_аналитики'!AZ559*SUMIF(ThresholdAge18,"&lt;"&amp;'19_Расчет_аналитики'!AZ559,WeightedRevAge18)-SUMIF(ThresholdAge18,"&lt;"&amp;'19_Расчет_аналитики'!AZ559,WeightedMinAge18),MAX(CapacityAge18*'01_Вводные'!$B$218*'19_Расчет_аналитики'!AZ559,MeanMinAge18)))</f>
        <v/>
      </c>
      <c r="BA481">
        <f>IF(OR('19_Расчет_аналитики'!BA453=0,18&lt;='01_Вводные'!$B$297),0,'19_Расчет_аналитики'!BA453*IF('01_Вводные'!$B$239="Да",MeanMinAge18+'19_Расчет_аналитики'!BA559*SUMIF(ThresholdAge18,"&lt;"&amp;'19_Расчет_аналитики'!BA559,WeightedRevAge18)-SUMIF(ThresholdAge18,"&lt;"&amp;'19_Расчет_аналитики'!BA559,WeightedMinAge18),MAX(CapacityAge18*'01_Вводные'!$B$218*'19_Расчет_аналитики'!BA559,MeanMinAge18)))</f>
        <v/>
      </c>
      <c r="BB481">
        <f>IF(OR('19_Расчет_аналитики'!BB453=0,18&lt;='01_Вводные'!$B$297),0,'19_Расчет_аналитики'!BB453*IF('01_Вводные'!$B$239="Да",MeanMinAge18+'19_Расчет_аналитики'!BB559*SUMIF(ThresholdAge18,"&lt;"&amp;'19_Расчет_аналитики'!BB559,WeightedRevAge18)-SUMIF(ThresholdAge18,"&lt;"&amp;'19_Расчет_аналитики'!BB559,WeightedMinAge18),MAX(CapacityAge18*'01_Вводные'!$B$218*'19_Расчет_аналитики'!BB559,MeanMinAge18)))</f>
        <v/>
      </c>
      <c r="BC481">
        <f>IF(OR('19_Расчет_аналитики'!BC453=0,18&lt;='01_Вводные'!$B$297),0,'19_Расчет_аналитики'!BC453*IF('01_Вводные'!$B$239="Да",MeanMinAge18+'19_Расчет_аналитики'!BC559*SUMIF(ThresholdAge18,"&lt;"&amp;'19_Расчет_аналитики'!BC559,WeightedRevAge18)-SUMIF(ThresholdAge18,"&lt;"&amp;'19_Расчет_аналитики'!BC559,WeightedMinAge18),MAX(CapacityAge18*'01_Вводные'!$B$218*'19_Расчет_аналитики'!BC559,MeanMinAge18)))</f>
        <v/>
      </c>
      <c r="BD481">
        <f>IF(OR('19_Расчет_аналитики'!BD453=0,18&lt;='01_Вводные'!$B$297),0,'19_Расчет_аналитики'!BD453*IF('01_Вводные'!$B$239="Да",MeanMinAge18+'19_Расчет_аналитики'!BD559*SUMIF(ThresholdAge18,"&lt;"&amp;'19_Расчет_аналитики'!BD559,WeightedRevAge18)-SUMIF(ThresholdAge18,"&lt;"&amp;'19_Расчет_аналитики'!BD559,WeightedMinAge18),MAX(CapacityAge18*'01_Вводные'!$B$218*'19_Расчет_аналитики'!BD559,MeanMinAge18)))</f>
        <v/>
      </c>
      <c r="BE481">
        <f>IF(OR('19_Расчет_аналитики'!BE453=0,18&lt;='01_Вводные'!$B$297),0,'19_Расчет_аналитики'!BE453*IF('01_Вводные'!$B$239="Да",MeanMinAge18+'19_Расчет_аналитики'!BE559*SUMIF(ThresholdAge18,"&lt;"&amp;'19_Расчет_аналитики'!BE559,WeightedRevAge18)-SUMIF(ThresholdAge18,"&lt;"&amp;'19_Расчет_аналитики'!BE559,WeightedMinAge18),MAX(CapacityAge18*'01_Вводные'!$B$218*'19_Расчет_аналитики'!BE559,MeanMinAge18)))</f>
        <v/>
      </c>
      <c r="BF481">
        <f>IF(OR('19_Расчет_аналитики'!BF453=0,18&lt;='01_Вводные'!$B$297),0,'19_Расчет_аналитики'!BF453*IF('01_Вводные'!$B$239="Да",MeanMinAge18+'19_Расчет_аналитики'!BF559*SUMIF(ThresholdAge18,"&lt;"&amp;'19_Расчет_аналитики'!BF559,WeightedRevAge18)-SUMIF(ThresholdAge18,"&lt;"&amp;'19_Расчет_аналитики'!BF559,WeightedMinAge18),MAX(CapacityAge18*'01_Вводные'!$B$218*'19_Расчет_аналитики'!BF559,MeanMinAge18)))</f>
        <v/>
      </c>
      <c r="BG481">
        <f>IF(OR('19_Расчет_аналитики'!BG453=0,18&lt;='01_Вводные'!$B$297),0,'19_Расчет_аналитики'!BG453*IF('01_Вводные'!$B$239="Да",MeanMinAge18+'19_Расчет_аналитики'!BG559*SUMIF(ThresholdAge18,"&lt;"&amp;'19_Расчет_аналитики'!BG559,WeightedRevAge18)-SUMIF(ThresholdAge18,"&lt;"&amp;'19_Расчет_аналитики'!BG559,WeightedMinAge18),MAX(CapacityAge18*'01_Вводные'!$B$218*'19_Расчет_аналитики'!BG559,MeanMinAge18)))</f>
        <v/>
      </c>
      <c r="BH481">
        <f>IF(OR('19_Расчет_аналитики'!BH453=0,18&lt;='01_Вводные'!$B$297),0,'19_Расчет_аналитики'!BH453*IF('01_Вводные'!$B$239="Да",MeanMinAge18+'19_Расчет_аналитики'!BH559*SUMIF(ThresholdAge18,"&lt;"&amp;'19_Расчет_аналитики'!BH559,WeightedRevAge18)-SUMIF(ThresholdAge18,"&lt;"&amp;'19_Расчет_аналитики'!BH559,WeightedMinAge18),MAX(CapacityAge18*'01_Вводные'!$B$218*'19_Расчет_аналитики'!BH559,MeanMinAge18)))</f>
        <v/>
      </c>
      <c r="BI481">
        <f>IF(OR('19_Расчет_аналитики'!BI453=0,18&lt;='01_Вводные'!$B$297),0,'19_Расчет_аналитики'!BI453*IF('01_Вводные'!$B$239="Да",MeanMinAge18+'19_Расчет_аналитики'!BI559*SUMIF(ThresholdAge18,"&lt;"&amp;'19_Расчет_аналитики'!BI559,WeightedRevAge18)-SUMIF(ThresholdAge18,"&lt;"&amp;'19_Расчет_аналитики'!BI559,WeightedMinAge18),MAX(CapacityAge18*'01_Вводные'!$B$218*'19_Расчет_аналитики'!BI559,MeanMinAge18)))</f>
        <v/>
      </c>
      <c r="BJ481">
        <f>IF(OR('19_Расчет_аналитики'!BJ453=0,18&lt;='01_Вводные'!$B$297),0,'19_Расчет_аналитики'!BJ453*IF('01_Вводные'!$B$239="Да",MeanMinAge18+'19_Расчет_аналитики'!BJ559*SUMIF(ThresholdAge18,"&lt;"&amp;'19_Расчет_аналитики'!BJ559,WeightedRevAge18)-SUMIF(ThresholdAge18,"&lt;"&amp;'19_Расчет_аналитики'!BJ559,WeightedMinAge18),MAX(CapacityAge18*'01_Вводные'!$B$218*'19_Расчет_аналитики'!BJ559,MeanMinAge18)))</f>
        <v/>
      </c>
      <c r="BK481">
        <f>IF(OR('19_Расчет_аналитики'!BK453=0,18&lt;='01_Вводные'!$B$297),0,'19_Расчет_аналитики'!BK453*IF('01_Вводные'!$B$239="Да",MeanMinAge18+'19_Расчет_аналитики'!BK559*SUMIF(ThresholdAge18,"&lt;"&amp;'19_Расчет_аналитики'!BK559,WeightedRevAge18)-SUMIF(ThresholdAge18,"&lt;"&amp;'19_Расчет_аналитики'!BK559,WeightedMinAge18),MAX(CapacityAge18*'01_Вводные'!$B$218*'19_Расчет_аналитики'!BK559,MeanMinAge18)))</f>
        <v/>
      </c>
      <c r="BL481">
        <f>IF(OR('19_Расчет_аналитики'!BL453=0,18&lt;='01_Вводные'!$B$297),0,'19_Расчет_аналитики'!BL453*IF('01_Вводные'!$B$239="Да",MeanMinAge18+'19_Расчет_аналитики'!BL559*SUMIF(ThresholdAge18,"&lt;"&amp;'19_Расчет_аналитики'!BL559,WeightedRevAge18)-SUMIF(ThresholdAge18,"&lt;"&amp;'19_Расчет_аналитики'!BL559,WeightedMinAge18),MAX(CapacityAge18*'01_Вводные'!$B$218*'19_Расчет_аналитики'!BL559,MeanMinAge18)))</f>
        <v/>
      </c>
      <c r="BM481">
        <f>IF(OR('19_Расчет_аналитики'!BM453=0,18&lt;='01_Вводные'!$B$297),0,'19_Расчет_аналитики'!BM453*IF('01_Вводные'!$B$239="Да",MeanMinAge18+'19_Расчет_аналитики'!BM559*SUMIF(ThresholdAge18,"&lt;"&amp;'19_Расчет_аналитики'!BM559,WeightedRevAge18)-SUMIF(ThresholdAge18,"&lt;"&amp;'19_Расчет_аналитики'!BM559,WeightedMinAge18),MAX(CapacityAge18*'01_Вводные'!$B$218*'19_Расчет_аналитики'!BM559,MeanMinAge18)))</f>
        <v/>
      </c>
      <c r="BN481">
        <f>IF(OR('19_Расчет_аналитики'!BN453=0,18&lt;='01_Вводные'!$B$297),0,'19_Расчет_аналитики'!BN453*IF('01_Вводные'!$B$239="Да",MeanMinAge18+'19_Расчет_аналитики'!BN559*SUMIF(ThresholdAge18,"&lt;"&amp;'19_Расчет_аналитики'!BN559,WeightedRevAge18)-SUMIF(ThresholdAge18,"&lt;"&amp;'19_Расчет_аналитики'!BN559,WeightedMinAge18),MAX(CapacityAge18*'01_Вводные'!$B$218*'19_Расчет_аналитики'!BN559,MeanMinAge18)))</f>
        <v/>
      </c>
      <c r="BO481">
        <f>IF(OR('19_Расчет_аналитики'!BO453=0,18&lt;='01_Вводные'!$B$297),0,'19_Расчет_аналитики'!BO453*IF('01_Вводные'!$B$239="Да",MeanMinAge18+'19_Расчет_аналитики'!BO559*SUMIF(ThresholdAge18,"&lt;"&amp;'19_Расчет_аналитики'!BO559,WeightedRevAge18)-SUMIF(ThresholdAge18,"&lt;"&amp;'19_Расчет_аналитики'!BO559,WeightedMinAge18),MAX(CapacityAge18*'01_Вводные'!$B$218*'19_Расчет_аналитики'!BO559,MeanMinAge18)))</f>
        <v/>
      </c>
    </row>
    <row r="482">
      <c r="B482">
        <f>IF(OR('06_Сеть_и_дети'!B99=0,19&lt;='01_Вводные'!$B$297),0,'06_Сеть_и_дети'!B99*IF('01_Вводные'!$B$239="Да",MeanMinAge19+'19_Расчет_аналитики'!B559*SUMIF(ThresholdAge19,"&lt;"&amp;'19_Расчет_аналитики'!B559,WeightedRevAge19)-SUMIF(ThresholdAge19,"&lt;"&amp;'19_Расчет_аналитики'!B559,WeightedMinAge19),MAX(CapacityAge19*'01_Вводные'!$B$218*'19_Расчет_аналитики'!B559,MeanMinAge19)))</f>
        <v/>
      </c>
      <c r="C482">
        <f>IF(OR('06_Сеть_и_дети'!C99=0,19&lt;='01_Вводные'!$B$297),0,'06_Сеть_и_дети'!C99*IF('01_Вводные'!$B$239="Да",MeanMinAge19+'19_Расчет_аналитики'!C559*SUMIF(ThresholdAge19,"&lt;"&amp;'19_Расчет_аналитики'!C559,WeightedRevAge19)-SUMIF(ThresholdAge19,"&lt;"&amp;'19_Расчет_аналитики'!C559,WeightedMinAge19),MAX(CapacityAge19*'01_Вводные'!$B$218*'19_Расчет_аналитики'!C559,MeanMinAge19)))</f>
        <v/>
      </c>
      <c r="D482">
        <f>IF(OR('06_Сеть_и_дети'!D99=0,19&lt;='01_Вводные'!$B$297),0,'06_Сеть_и_дети'!D99*IF('01_Вводные'!$B$239="Да",MeanMinAge19+'19_Расчет_аналитики'!D559*SUMIF(ThresholdAge19,"&lt;"&amp;'19_Расчет_аналитики'!D559,WeightedRevAge19)-SUMIF(ThresholdAge19,"&lt;"&amp;'19_Расчет_аналитики'!D559,WeightedMinAge19),MAX(CapacityAge19*'01_Вводные'!$B$218*'19_Расчет_аналитики'!D559,MeanMinAge19)))</f>
        <v/>
      </c>
      <c r="E482">
        <f>IF(OR('06_Сеть_и_дети'!E99=0,19&lt;='01_Вводные'!$B$297),0,'06_Сеть_и_дети'!E99*IF('01_Вводные'!$B$239="Да",MeanMinAge19+'19_Расчет_аналитики'!E559*SUMIF(ThresholdAge19,"&lt;"&amp;'19_Расчет_аналитики'!E559,WeightedRevAge19)-SUMIF(ThresholdAge19,"&lt;"&amp;'19_Расчет_аналитики'!E559,WeightedMinAge19),MAX(CapacityAge19*'01_Вводные'!$B$218*'19_Расчет_аналитики'!E559,MeanMinAge19)))</f>
        <v/>
      </c>
      <c r="F482">
        <f>IF(OR('06_Сеть_и_дети'!F99=0,19&lt;='01_Вводные'!$B$297),0,'06_Сеть_и_дети'!F99*IF('01_Вводные'!$B$239="Да",MeanMinAge19+'19_Расчет_аналитики'!F559*SUMIF(ThresholdAge19,"&lt;"&amp;'19_Расчет_аналитики'!F559,WeightedRevAge19)-SUMIF(ThresholdAge19,"&lt;"&amp;'19_Расчет_аналитики'!F559,WeightedMinAge19),MAX(CapacityAge19*'01_Вводные'!$B$218*'19_Расчет_аналитики'!F559,MeanMinAge19)))</f>
        <v/>
      </c>
      <c r="G482">
        <f>IF(OR('06_Сеть_и_дети'!G99=0,19&lt;='01_Вводные'!$B$297),0,'06_Сеть_и_дети'!G99*IF('01_Вводные'!$B$239="Да",MeanMinAge19+'19_Расчет_аналитики'!G559*SUMIF(ThresholdAge19,"&lt;"&amp;'19_Расчет_аналитики'!G559,WeightedRevAge19)-SUMIF(ThresholdAge19,"&lt;"&amp;'19_Расчет_аналитики'!G559,WeightedMinAge19),MAX(CapacityAge19*'01_Вводные'!$B$218*'19_Расчет_аналитики'!G559,MeanMinAge19)))</f>
        <v/>
      </c>
      <c r="H482">
        <f>IF(OR('06_Сеть_и_дети'!H99=0,19&lt;='01_Вводные'!$B$297),0,'06_Сеть_и_дети'!H99*IF('01_Вводные'!$B$239="Да",MeanMinAge19+'19_Расчет_аналитики'!H559*SUMIF(ThresholdAge19,"&lt;"&amp;'19_Расчет_аналитики'!H559,WeightedRevAge19)-SUMIF(ThresholdAge19,"&lt;"&amp;'19_Расчет_аналитики'!H559,WeightedMinAge19),MAX(CapacityAge19*'01_Вводные'!$B$218*'19_Расчет_аналитики'!H559,MeanMinAge19)))</f>
        <v/>
      </c>
      <c r="I482">
        <f>IF(OR('06_Сеть_и_дети'!I99=0,19&lt;='01_Вводные'!$B$297),0,'06_Сеть_и_дети'!I99*IF('01_Вводные'!$B$239="Да",MeanMinAge19+'19_Расчет_аналитики'!I559*SUMIF(ThresholdAge19,"&lt;"&amp;'19_Расчет_аналитики'!I559,WeightedRevAge19)-SUMIF(ThresholdAge19,"&lt;"&amp;'19_Расчет_аналитики'!I559,WeightedMinAge19),MAX(CapacityAge19*'01_Вводные'!$B$218*'19_Расчет_аналитики'!I559,MeanMinAge19)))</f>
        <v/>
      </c>
      <c r="J482">
        <f>IF(OR('06_Сеть_и_дети'!J99=0,19&lt;='01_Вводные'!$B$297),0,'06_Сеть_и_дети'!J99*IF('01_Вводные'!$B$239="Да",MeanMinAge19+'19_Расчет_аналитики'!J559*SUMIF(ThresholdAge19,"&lt;"&amp;'19_Расчет_аналитики'!J559,WeightedRevAge19)-SUMIF(ThresholdAge19,"&lt;"&amp;'19_Расчет_аналитики'!J559,WeightedMinAge19),MAX(CapacityAge19*'01_Вводные'!$B$218*'19_Расчет_аналитики'!J559,MeanMinAge19)))</f>
        <v/>
      </c>
      <c r="K482">
        <f>IF(OR('06_Сеть_и_дети'!K99=0,19&lt;='01_Вводные'!$B$297),0,'06_Сеть_и_дети'!K99*IF('01_Вводные'!$B$239="Да",MeanMinAge19+'19_Расчет_аналитики'!K559*SUMIF(ThresholdAge19,"&lt;"&amp;'19_Расчет_аналитики'!K559,WeightedRevAge19)-SUMIF(ThresholdAge19,"&lt;"&amp;'19_Расчет_аналитики'!K559,WeightedMinAge19),MAX(CapacityAge19*'01_Вводные'!$B$218*'19_Расчет_аналитики'!K559,MeanMinAge19)))</f>
        <v/>
      </c>
      <c r="L482">
        <f>IF(OR('06_Сеть_и_дети'!L99=0,19&lt;='01_Вводные'!$B$297),0,'06_Сеть_и_дети'!L99*IF('01_Вводные'!$B$239="Да",MeanMinAge19+'19_Расчет_аналитики'!L559*SUMIF(ThresholdAge19,"&lt;"&amp;'19_Расчет_аналитики'!L559,WeightedRevAge19)-SUMIF(ThresholdAge19,"&lt;"&amp;'19_Расчет_аналитики'!L559,WeightedMinAge19),MAX(CapacityAge19*'01_Вводные'!$B$218*'19_Расчет_аналитики'!L559,MeanMinAge19)))</f>
        <v/>
      </c>
      <c r="M482">
        <f>IF(OR('06_Сеть_и_дети'!M99=0,19&lt;='01_Вводные'!$B$297),0,'06_Сеть_и_дети'!M99*IF('01_Вводные'!$B$239="Да",MeanMinAge19+'19_Расчет_аналитики'!M559*SUMIF(ThresholdAge19,"&lt;"&amp;'19_Расчет_аналитики'!M559,WeightedRevAge19)-SUMIF(ThresholdAge19,"&lt;"&amp;'19_Расчет_аналитики'!M559,WeightedMinAge19),MAX(CapacityAge19*'01_Вводные'!$B$218*'19_Расчет_аналитики'!M559,MeanMinAge19)))</f>
        <v/>
      </c>
      <c r="N482">
        <f>IF(OR('06_Сеть_и_дети'!N99=0,19&lt;='01_Вводные'!$B$297),0,'06_Сеть_и_дети'!N99*IF('01_Вводные'!$B$239="Да",MeanMinAge19+'19_Расчет_аналитики'!N559*SUMIF(ThresholdAge19,"&lt;"&amp;'19_Расчет_аналитики'!N559,WeightedRevAge19)-SUMIF(ThresholdAge19,"&lt;"&amp;'19_Расчет_аналитики'!N559,WeightedMinAge19),MAX(CapacityAge19*'01_Вводные'!$B$218*'19_Расчет_аналитики'!N559,MeanMinAge19)))</f>
        <v/>
      </c>
      <c r="O482">
        <f>IF(OR('06_Сеть_и_дети'!O99=0,19&lt;='01_Вводные'!$B$297),0,'06_Сеть_и_дети'!O99*IF('01_Вводные'!$B$239="Да",MeanMinAge19+'19_Расчет_аналитики'!O559*SUMIF(ThresholdAge19,"&lt;"&amp;'19_Расчет_аналитики'!O559,WeightedRevAge19)-SUMIF(ThresholdAge19,"&lt;"&amp;'19_Расчет_аналитики'!O559,WeightedMinAge19),MAX(CapacityAge19*'01_Вводные'!$B$218*'19_Расчет_аналитики'!O559,MeanMinAge19)))</f>
        <v/>
      </c>
      <c r="P482">
        <f>IF(OR('06_Сеть_и_дети'!P99=0,19&lt;='01_Вводные'!$B$297),0,'06_Сеть_и_дети'!P99*IF('01_Вводные'!$B$239="Да",MeanMinAge19+'19_Расчет_аналитики'!P559*SUMIF(ThresholdAge19,"&lt;"&amp;'19_Расчет_аналитики'!P559,WeightedRevAge19)-SUMIF(ThresholdAge19,"&lt;"&amp;'19_Расчет_аналитики'!P559,WeightedMinAge19),MAX(CapacityAge19*'01_Вводные'!$B$218*'19_Расчет_аналитики'!P559,MeanMinAge19)))</f>
        <v/>
      </c>
      <c r="Q482">
        <f>IF(OR('06_Сеть_и_дети'!Q99=0,19&lt;='01_Вводные'!$B$297),0,'06_Сеть_и_дети'!Q99*IF('01_Вводные'!$B$239="Да",MeanMinAge19+'19_Расчет_аналитики'!Q559*SUMIF(ThresholdAge19,"&lt;"&amp;'19_Расчет_аналитики'!Q559,WeightedRevAge19)-SUMIF(ThresholdAge19,"&lt;"&amp;'19_Расчет_аналитики'!Q559,WeightedMinAge19),MAX(CapacityAge19*'01_Вводные'!$B$218*'19_Расчет_аналитики'!Q559,MeanMinAge19)))</f>
        <v/>
      </c>
      <c r="R482">
        <f>IF(OR('06_Сеть_и_дети'!R99=0,19&lt;='01_Вводные'!$B$297),0,'06_Сеть_и_дети'!R99*IF('01_Вводные'!$B$239="Да",MeanMinAge19+'19_Расчет_аналитики'!R559*SUMIF(ThresholdAge19,"&lt;"&amp;'19_Расчет_аналитики'!R559,WeightedRevAge19)-SUMIF(ThresholdAge19,"&lt;"&amp;'19_Расчет_аналитики'!R559,WeightedMinAge19),MAX(CapacityAge19*'01_Вводные'!$B$218*'19_Расчет_аналитики'!R559,MeanMinAge19)))</f>
        <v/>
      </c>
      <c r="S482">
        <f>IF(OR('06_Сеть_и_дети'!S99=0,19&lt;='01_Вводные'!$B$297),0,'06_Сеть_и_дети'!S99*IF('01_Вводные'!$B$239="Да",MeanMinAge19+'19_Расчет_аналитики'!S559*SUMIF(ThresholdAge19,"&lt;"&amp;'19_Расчет_аналитики'!S559,WeightedRevAge19)-SUMIF(ThresholdAge19,"&lt;"&amp;'19_Расчет_аналитики'!S559,WeightedMinAge19),MAX(CapacityAge19*'01_Вводные'!$B$218*'19_Расчет_аналитики'!S559,MeanMinAge19)))</f>
        <v/>
      </c>
      <c r="T482">
        <f>IF(OR('19_Расчет_аналитики'!T454=0,19&lt;='01_Вводные'!$B$297),0,'19_Расчет_аналитики'!T454*IF('01_Вводные'!$B$239="Да",MeanMinAge19+'19_Расчет_аналитики'!T559*SUMIF(ThresholdAge19,"&lt;"&amp;'19_Расчет_аналитики'!T559,WeightedRevAge19)-SUMIF(ThresholdAge19,"&lt;"&amp;'19_Расчет_аналитики'!T559,WeightedMinAge19),MAX(CapacityAge19*'01_Вводные'!$B$218*'19_Расчет_аналитики'!T559,MeanMinAge19)))</f>
        <v/>
      </c>
      <c r="U482">
        <f>IF(OR('19_Расчет_аналитики'!U454=0,19&lt;='01_Вводные'!$B$297),0,'19_Расчет_аналитики'!U454*IF('01_Вводные'!$B$239="Да",MeanMinAge19+'19_Расчет_аналитики'!U559*SUMIF(ThresholdAge19,"&lt;"&amp;'19_Расчет_аналитики'!U559,WeightedRevAge19)-SUMIF(ThresholdAge19,"&lt;"&amp;'19_Расчет_аналитики'!U559,WeightedMinAge19),MAX(CapacityAge19*'01_Вводные'!$B$218*'19_Расчет_аналитики'!U559,MeanMinAge19)))</f>
        <v/>
      </c>
      <c r="V482">
        <f>IF(OR('19_Расчет_аналитики'!V454=0,19&lt;='01_Вводные'!$B$297),0,'19_Расчет_аналитики'!V454*IF('01_Вводные'!$B$239="Да",MeanMinAge19+'19_Расчет_аналитики'!V559*SUMIF(ThresholdAge19,"&lt;"&amp;'19_Расчет_аналитики'!V559,WeightedRevAge19)-SUMIF(ThresholdAge19,"&lt;"&amp;'19_Расчет_аналитики'!V559,WeightedMinAge19),MAX(CapacityAge19*'01_Вводные'!$B$218*'19_Расчет_аналитики'!V559,MeanMinAge19)))</f>
        <v/>
      </c>
      <c r="W482">
        <f>IF(OR('19_Расчет_аналитики'!W454=0,19&lt;='01_Вводные'!$B$297),0,'19_Расчет_аналитики'!W454*IF('01_Вводные'!$B$239="Да",MeanMinAge19+'19_Расчет_аналитики'!W559*SUMIF(ThresholdAge19,"&lt;"&amp;'19_Расчет_аналитики'!W559,WeightedRevAge19)-SUMIF(ThresholdAge19,"&lt;"&amp;'19_Расчет_аналитики'!W559,WeightedMinAge19),MAX(CapacityAge19*'01_Вводные'!$B$218*'19_Расчет_аналитики'!W559,MeanMinAge19)))</f>
        <v/>
      </c>
      <c r="X482">
        <f>IF(OR('19_Расчет_аналитики'!X454=0,19&lt;='01_Вводные'!$B$297),0,'19_Расчет_аналитики'!X454*IF('01_Вводные'!$B$239="Да",MeanMinAge19+'19_Расчет_аналитики'!X559*SUMIF(ThresholdAge19,"&lt;"&amp;'19_Расчет_аналитики'!X559,WeightedRevAge19)-SUMIF(ThresholdAge19,"&lt;"&amp;'19_Расчет_аналитики'!X559,WeightedMinAge19),MAX(CapacityAge19*'01_Вводные'!$B$218*'19_Расчет_аналитики'!X559,MeanMinAge19)))</f>
        <v/>
      </c>
      <c r="Y482">
        <f>IF(OR('19_Расчет_аналитики'!Y454=0,19&lt;='01_Вводные'!$B$297),0,'19_Расчет_аналитики'!Y454*IF('01_Вводные'!$B$239="Да",MeanMinAge19+'19_Расчет_аналитики'!Y559*SUMIF(ThresholdAge19,"&lt;"&amp;'19_Расчет_аналитики'!Y559,WeightedRevAge19)-SUMIF(ThresholdAge19,"&lt;"&amp;'19_Расчет_аналитики'!Y559,WeightedMinAge19),MAX(CapacityAge19*'01_Вводные'!$B$218*'19_Расчет_аналитики'!Y559,MeanMinAge19)))</f>
        <v/>
      </c>
      <c r="Z482">
        <f>IF(OR('19_Расчет_аналитики'!Z454=0,19&lt;='01_Вводные'!$B$297),0,'19_Расчет_аналитики'!Z454*IF('01_Вводные'!$B$239="Да",MeanMinAge19+'19_Расчет_аналитики'!Z559*SUMIF(ThresholdAge19,"&lt;"&amp;'19_Расчет_аналитики'!Z559,WeightedRevAge19)-SUMIF(ThresholdAge19,"&lt;"&amp;'19_Расчет_аналитики'!Z559,WeightedMinAge19),MAX(CapacityAge19*'01_Вводные'!$B$218*'19_Расчет_аналитики'!Z559,MeanMinAge19)))</f>
        <v/>
      </c>
      <c r="AA482">
        <f>IF(OR('19_Расчет_аналитики'!AA454=0,19&lt;='01_Вводные'!$B$297),0,'19_Расчет_аналитики'!AA454*IF('01_Вводные'!$B$239="Да",MeanMinAge19+'19_Расчет_аналитики'!AA559*SUMIF(ThresholdAge19,"&lt;"&amp;'19_Расчет_аналитики'!AA559,WeightedRevAge19)-SUMIF(ThresholdAge19,"&lt;"&amp;'19_Расчет_аналитики'!AA559,WeightedMinAge19),MAX(CapacityAge19*'01_Вводные'!$B$218*'19_Расчет_аналитики'!AA559,MeanMinAge19)))</f>
        <v/>
      </c>
      <c r="AB482">
        <f>IF(OR('19_Расчет_аналитики'!AB454=0,19&lt;='01_Вводные'!$B$297),0,'19_Расчет_аналитики'!AB454*IF('01_Вводные'!$B$239="Да",MeanMinAge19+'19_Расчет_аналитики'!AB559*SUMIF(ThresholdAge19,"&lt;"&amp;'19_Расчет_аналитики'!AB559,WeightedRevAge19)-SUMIF(ThresholdAge19,"&lt;"&amp;'19_Расчет_аналитики'!AB559,WeightedMinAge19),MAX(CapacityAge19*'01_Вводные'!$B$218*'19_Расчет_аналитики'!AB559,MeanMinAge19)))</f>
        <v/>
      </c>
      <c r="AC482">
        <f>IF(OR('19_Расчет_аналитики'!AC454=0,19&lt;='01_Вводные'!$B$297),0,'19_Расчет_аналитики'!AC454*IF('01_Вводные'!$B$239="Да",MeanMinAge19+'19_Расчет_аналитики'!AC559*SUMIF(ThresholdAge19,"&lt;"&amp;'19_Расчет_аналитики'!AC559,WeightedRevAge19)-SUMIF(ThresholdAge19,"&lt;"&amp;'19_Расчет_аналитики'!AC559,WeightedMinAge19),MAX(CapacityAge19*'01_Вводные'!$B$218*'19_Расчет_аналитики'!AC559,MeanMinAge19)))</f>
        <v/>
      </c>
      <c r="AD482">
        <f>IF(OR('19_Расчет_аналитики'!AD454=0,19&lt;='01_Вводные'!$B$297),0,'19_Расчет_аналитики'!AD454*IF('01_Вводные'!$B$239="Да",MeanMinAge19+'19_Расчет_аналитики'!AD559*SUMIF(ThresholdAge19,"&lt;"&amp;'19_Расчет_аналитики'!AD559,WeightedRevAge19)-SUMIF(ThresholdAge19,"&lt;"&amp;'19_Расчет_аналитики'!AD559,WeightedMinAge19),MAX(CapacityAge19*'01_Вводные'!$B$218*'19_Расчет_аналитики'!AD559,MeanMinAge19)))</f>
        <v/>
      </c>
      <c r="AE482">
        <f>IF(OR('19_Расчет_аналитики'!AE454=0,19&lt;='01_Вводные'!$B$297),0,'19_Расчет_аналитики'!AE454*IF('01_Вводные'!$B$239="Да",MeanMinAge19+'19_Расчет_аналитики'!AE559*SUMIF(ThresholdAge19,"&lt;"&amp;'19_Расчет_аналитики'!AE559,WeightedRevAge19)-SUMIF(ThresholdAge19,"&lt;"&amp;'19_Расчет_аналитики'!AE559,WeightedMinAge19),MAX(CapacityAge19*'01_Вводные'!$B$218*'19_Расчет_аналитики'!AE559,MeanMinAge19)))</f>
        <v/>
      </c>
      <c r="AF482">
        <f>IF(OR('19_Расчет_аналитики'!AF454=0,19&lt;='01_Вводные'!$B$297),0,'19_Расчет_аналитики'!AF454*IF('01_Вводные'!$B$239="Да",MeanMinAge19+'19_Расчет_аналитики'!AF559*SUMIF(ThresholdAge19,"&lt;"&amp;'19_Расчет_аналитики'!AF559,WeightedRevAge19)-SUMIF(ThresholdAge19,"&lt;"&amp;'19_Расчет_аналитики'!AF559,WeightedMinAge19),MAX(CapacityAge19*'01_Вводные'!$B$218*'19_Расчет_аналитики'!AF559,MeanMinAge19)))</f>
        <v/>
      </c>
      <c r="AG482">
        <f>IF(OR('19_Расчет_аналитики'!AG454=0,19&lt;='01_Вводные'!$B$297),0,'19_Расчет_аналитики'!AG454*IF('01_Вводные'!$B$239="Да",MeanMinAge19+'19_Расчет_аналитики'!AG559*SUMIF(ThresholdAge19,"&lt;"&amp;'19_Расчет_аналитики'!AG559,WeightedRevAge19)-SUMIF(ThresholdAge19,"&lt;"&amp;'19_Расчет_аналитики'!AG559,WeightedMinAge19),MAX(CapacityAge19*'01_Вводные'!$B$218*'19_Расчет_аналитики'!AG559,MeanMinAge19)))</f>
        <v/>
      </c>
      <c r="AH482">
        <f>IF(OR('19_Расчет_аналитики'!AH454=0,19&lt;='01_Вводные'!$B$297),0,'19_Расчет_аналитики'!AH454*IF('01_Вводные'!$B$239="Да",MeanMinAge19+'19_Расчет_аналитики'!AH559*SUMIF(ThresholdAge19,"&lt;"&amp;'19_Расчет_аналитики'!AH559,WeightedRevAge19)-SUMIF(ThresholdAge19,"&lt;"&amp;'19_Расчет_аналитики'!AH559,WeightedMinAge19),MAX(CapacityAge19*'01_Вводные'!$B$218*'19_Расчет_аналитики'!AH559,MeanMinAge19)))</f>
        <v/>
      </c>
      <c r="AI482">
        <f>IF(OR('19_Расчет_аналитики'!AI454=0,19&lt;='01_Вводные'!$B$297),0,'19_Расчет_аналитики'!AI454*IF('01_Вводные'!$B$239="Да",MeanMinAge19+'19_Расчет_аналитики'!AI559*SUMIF(ThresholdAge19,"&lt;"&amp;'19_Расчет_аналитики'!AI559,WeightedRevAge19)-SUMIF(ThresholdAge19,"&lt;"&amp;'19_Расчет_аналитики'!AI559,WeightedMinAge19),MAX(CapacityAge19*'01_Вводные'!$B$218*'19_Расчет_аналитики'!AI559,MeanMinAge19)))</f>
        <v/>
      </c>
      <c r="AJ482">
        <f>IF(OR('19_Расчет_аналитики'!AJ454=0,19&lt;='01_Вводные'!$B$297),0,'19_Расчет_аналитики'!AJ454*IF('01_Вводные'!$B$239="Да",MeanMinAge19+'19_Расчет_аналитики'!AJ559*SUMIF(ThresholdAge19,"&lt;"&amp;'19_Расчет_аналитики'!AJ559,WeightedRevAge19)-SUMIF(ThresholdAge19,"&lt;"&amp;'19_Расчет_аналитики'!AJ559,WeightedMinAge19),MAX(CapacityAge19*'01_Вводные'!$B$218*'19_Расчет_аналитики'!AJ559,MeanMinAge19)))</f>
        <v/>
      </c>
      <c r="AK482">
        <f>IF(OR('19_Расчет_аналитики'!AK454=0,19&lt;='01_Вводные'!$B$297),0,'19_Расчет_аналитики'!AK454*IF('01_Вводные'!$B$239="Да",MeanMinAge19+'19_Расчет_аналитики'!AK559*SUMIF(ThresholdAge19,"&lt;"&amp;'19_Расчет_аналитики'!AK559,WeightedRevAge19)-SUMIF(ThresholdAge19,"&lt;"&amp;'19_Расчет_аналитики'!AK559,WeightedMinAge19),MAX(CapacityAge19*'01_Вводные'!$B$218*'19_Расчет_аналитики'!AK559,MeanMinAge19)))</f>
        <v/>
      </c>
      <c r="AL482">
        <f>IF(OR('19_Расчет_аналитики'!AL454=0,19&lt;='01_Вводные'!$B$297),0,'19_Расчет_аналитики'!AL454*IF('01_Вводные'!$B$239="Да",MeanMinAge19+'19_Расчет_аналитики'!AL559*SUMIF(ThresholdAge19,"&lt;"&amp;'19_Расчет_аналитики'!AL559,WeightedRevAge19)-SUMIF(ThresholdAge19,"&lt;"&amp;'19_Расчет_аналитики'!AL559,WeightedMinAge19),MAX(CapacityAge19*'01_Вводные'!$B$218*'19_Расчет_аналитики'!AL559,MeanMinAge19)))</f>
        <v/>
      </c>
      <c r="AM482">
        <f>IF(OR('19_Расчет_аналитики'!AM454=0,19&lt;='01_Вводные'!$B$297),0,'19_Расчет_аналитики'!AM454*IF('01_Вводные'!$B$239="Да",MeanMinAge19+'19_Расчет_аналитики'!AM559*SUMIF(ThresholdAge19,"&lt;"&amp;'19_Расчет_аналитики'!AM559,WeightedRevAge19)-SUMIF(ThresholdAge19,"&lt;"&amp;'19_Расчет_аналитики'!AM559,WeightedMinAge19),MAX(CapacityAge19*'01_Вводные'!$B$218*'19_Расчет_аналитики'!AM559,MeanMinAge19)))</f>
        <v/>
      </c>
      <c r="AN482">
        <f>IF(OR('19_Расчет_аналитики'!AN454=0,19&lt;='01_Вводные'!$B$297),0,'19_Расчет_аналитики'!AN454*IF('01_Вводные'!$B$239="Да",MeanMinAge19+'19_Расчет_аналитики'!AN559*SUMIF(ThresholdAge19,"&lt;"&amp;'19_Расчет_аналитики'!AN559,WeightedRevAge19)-SUMIF(ThresholdAge19,"&lt;"&amp;'19_Расчет_аналитики'!AN559,WeightedMinAge19),MAX(CapacityAge19*'01_Вводные'!$B$218*'19_Расчет_аналитики'!AN559,MeanMinAge19)))</f>
        <v/>
      </c>
      <c r="AO482">
        <f>IF(OR('19_Расчет_аналитики'!AO454=0,19&lt;='01_Вводные'!$B$297),0,'19_Расчет_аналитики'!AO454*IF('01_Вводные'!$B$239="Да",MeanMinAge19+'19_Расчет_аналитики'!AO559*SUMIF(ThresholdAge19,"&lt;"&amp;'19_Расчет_аналитики'!AO559,WeightedRevAge19)-SUMIF(ThresholdAge19,"&lt;"&amp;'19_Расчет_аналитики'!AO559,WeightedMinAge19),MAX(CapacityAge19*'01_Вводные'!$B$218*'19_Расчет_аналитики'!AO559,MeanMinAge19)))</f>
        <v/>
      </c>
      <c r="AP482">
        <f>IF(OR('19_Расчет_аналитики'!AP454=0,19&lt;='01_Вводные'!$B$297),0,'19_Расчет_аналитики'!AP454*IF('01_Вводные'!$B$239="Да",MeanMinAge19+'19_Расчет_аналитики'!AP559*SUMIF(ThresholdAge19,"&lt;"&amp;'19_Расчет_аналитики'!AP559,WeightedRevAge19)-SUMIF(ThresholdAge19,"&lt;"&amp;'19_Расчет_аналитики'!AP559,WeightedMinAge19),MAX(CapacityAge19*'01_Вводные'!$B$218*'19_Расчет_аналитики'!AP559,MeanMinAge19)))</f>
        <v/>
      </c>
      <c r="AQ482">
        <f>IF(OR('19_Расчет_аналитики'!AQ454=0,19&lt;='01_Вводные'!$B$297),0,'19_Расчет_аналитики'!AQ454*IF('01_Вводные'!$B$239="Да",MeanMinAge19+'19_Расчет_аналитики'!AQ559*SUMIF(ThresholdAge19,"&lt;"&amp;'19_Расчет_аналитики'!AQ559,WeightedRevAge19)-SUMIF(ThresholdAge19,"&lt;"&amp;'19_Расчет_аналитики'!AQ559,WeightedMinAge19),MAX(CapacityAge19*'01_Вводные'!$B$218*'19_Расчет_аналитики'!AQ559,MeanMinAge19)))</f>
        <v/>
      </c>
      <c r="AR482">
        <f>IF(OR('19_Расчет_аналитики'!AR454=0,19&lt;='01_Вводные'!$B$297),0,'19_Расчет_аналитики'!AR454*IF('01_Вводные'!$B$239="Да",MeanMinAge19+'19_Расчет_аналитики'!AR559*SUMIF(ThresholdAge19,"&lt;"&amp;'19_Расчет_аналитики'!AR559,WeightedRevAge19)-SUMIF(ThresholdAge19,"&lt;"&amp;'19_Расчет_аналитики'!AR559,WeightedMinAge19),MAX(CapacityAge19*'01_Вводные'!$B$218*'19_Расчет_аналитики'!AR559,MeanMinAge19)))</f>
        <v/>
      </c>
      <c r="AS482">
        <f>IF(OR('19_Расчет_аналитики'!AS454=0,19&lt;='01_Вводные'!$B$297),0,'19_Расчет_аналитики'!AS454*IF('01_Вводные'!$B$239="Да",MeanMinAge19+'19_Расчет_аналитики'!AS559*SUMIF(ThresholdAge19,"&lt;"&amp;'19_Расчет_аналитики'!AS559,WeightedRevAge19)-SUMIF(ThresholdAge19,"&lt;"&amp;'19_Расчет_аналитики'!AS559,WeightedMinAge19),MAX(CapacityAge19*'01_Вводные'!$B$218*'19_Расчет_аналитики'!AS559,MeanMinAge19)))</f>
        <v/>
      </c>
      <c r="AT482">
        <f>IF(OR('19_Расчет_аналитики'!AT454=0,19&lt;='01_Вводные'!$B$297),0,'19_Расчет_аналитики'!AT454*IF('01_Вводные'!$B$239="Да",MeanMinAge19+'19_Расчет_аналитики'!AT559*SUMIF(ThresholdAge19,"&lt;"&amp;'19_Расчет_аналитики'!AT559,WeightedRevAge19)-SUMIF(ThresholdAge19,"&lt;"&amp;'19_Расчет_аналитики'!AT559,WeightedMinAge19),MAX(CapacityAge19*'01_Вводные'!$B$218*'19_Расчет_аналитики'!AT559,MeanMinAge19)))</f>
        <v/>
      </c>
      <c r="AU482">
        <f>IF(OR('19_Расчет_аналитики'!AU454=0,19&lt;='01_Вводные'!$B$297),0,'19_Расчет_аналитики'!AU454*IF('01_Вводные'!$B$239="Да",MeanMinAge19+'19_Расчет_аналитики'!AU559*SUMIF(ThresholdAge19,"&lt;"&amp;'19_Расчет_аналитики'!AU559,WeightedRevAge19)-SUMIF(ThresholdAge19,"&lt;"&amp;'19_Расчет_аналитики'!AU559,WeightedMinAge19),MAX(CapacityAge19*'01_Вводные'!$B$218*'19_Расчет_аналитики'!AU559,MeanMinAge19)))</f>
        <v/>
      </c>
      <c r="AV482">
        <f>IF(OR('19_Расчет_аналитики'!AV454=0,19&lt;='01_Вводные'!$B$297),0,'19_Расчет_аналитики'!AV454*IF('01_Вводные'!$B$239="Да",MeanMinAge19+'19_Расчет_аналитики'!AV559*SUMIF(ThresholdAge19,"&lt;"&amp;'19_Расчет_аналитики'!AV559,WeightedRevAge19)-SUMIF(ThresholdAge19,"&lt;"&amp;'19_Расчет_аналитики'!AV559,WeightedMinAge19),MAX(CapacityAge19*'01_Вводные'!$B$218*'19_Расчет_аналитики'!AV559,MeanMinAge19)))</f>
        <v/>
      </c>
      <c r="AW482">
        <f>IF(OR('19_Расчет_аналитики'!AW454=0,19&lt;='01_Вводные'!$B$297),0,'19_Расчет_аналитики'!AW454*IF('01_Вводные'!$B$239="Да",MeanMinAge19+'19_Расчет_аналитики'!AW559*SUMIF(ThresholdAge19,"&lt;"&amp;'19_Расчет_аналитики'!AW559,WeightedRevAge19)-SUMIF(ThresholdAge19,"&lt;"&amp;'19_Расчет_аналитики'!AW559,WeightedMinAge19),MAX(CapacityAge19*'01_Вводные'!$B$218*'19_Расчет_аналитики'!AW559,MeanMinAge19)))</f>
        <v/>
      </c>
      <c r="AX482">
        <f>IF(OR('19_Расчет_аналитики'!AX454=0,19&lt;='01_Вводные'!$B$297),0,'19_Расчет_аналитики'!AX454*IF('01_Вводные'!$B$239="Да",MeanMinAge19+'19_Расчет_аналитики'!AX559*SUMIF(ThresholdAge19,"&lt;"&amp;'19_Расчет_аналитики'!AX559,WeightedRevAge19)-SUMIF(ThresholdAge19,"&lt;"&amp;'19_Расчет_аналитики'!AX559,WeightedMinAge19),MAX(CapacityAge19*'01_Вводные'!$B$218*'19_Расчет_аналитики'!AX559,MeanMinAge19)))</f>
        <v/>
      </c>
      <c r="AY482">
        <f>IF(OR('19_Расчет_аналитики'!AY454=0,19&lt;='01_Вводные'!$B$297),0,'19_Расчет_аналитики'!AY454*IF('01_Вводные'!$B$239="Да",MeanMinAge19+'19_Расчет_аналитики'!AY559*SUMIF(ThresholdAge19,"&lt;"&amp;'19_Расчет_аналитики'!AY559,WeightedRevAge19)-SUMIF(ThresholdAge19,"&lt;"&amp;'19_Расчет_аналитики'!AY559,WeightedMinAge19),MAX(CapacityAge19*'01_Вводные'!$B$218*'19_Расчет_аналитики'!AY559,MeanMinAge19)))</f>
        <v/>
      </c>
      <c r="AZ482">
        <f>IF(OR('19_Расчет_аналитики'!AZ454=0,19&lt;='01_Вводные'!$B$297),0,'19_Расчет_аналитики'!AZ454*IF('01_Вводные'!$B$239="Да",MeanMinAge19+'19_Расчет_аналитики'!AZ559*SUMIF(ThresholdAge19,"&lt;"&amp;'19_Расчет_аналитики'!AZ559,WeightedRevAge19)-SUMIF(ThresholdAge19,"&lt;"&amp;'19_Расчет_аналитики'!AZ559,WeightedMinAge19),MAX(CapacityAge19*'01_Вводные'!$B$218*'19_Расчет_аналитики'!AZ559,MeanMinAge19)))</f>
        <v/>
      </c>
      <c r="BA482">
        <f>IF(OR('19_Расчет_аналитики'!BA454=0,19&lt;='01_Вводные'!$B$297),0,'19_Расчет_аналитики'!BA454*IF('01_Вводные'!$B$239="Да",MeanMinAge19+'19_Расчет_аналитики'!BA559*SUMIF(ThresholdAge19,"&lt;"&amp;'19_Расчет_аналитики'!BA559,WeightedRevAge19)-SUMIF(ThresholdAge19,"&lt;"&amp;'19_Расчет_аналитики'!BA559,WeightedMinAge19),MAX(CapacityAge19*'01_Вводные'!$B$218*'19_Расчет_аналитики'!BA559,MeanMinAge19)))</f>
        <v/>
      </c>
      <c r="BB482">
        <f>IF(OR('19_Расчет_аналитики'!BB454=0,19&lt;='01_Вводные'!$B$297),0,'19_Расчет_аналитики'!BB454*IF('01_Вводные'!$B$239="Да",MeanMinAge19+'19_Расчет_аналитики'!BB559*SUMIF(ThresholdAge19,"&lt;"&amp;'19_Расчет_аналитики'!BB559,WeightedRevAge19)-SUMIF(ThresholdAge19,"&lt;"&amp;'19_Расчет_аналитики'!BB559,WeightedMinAge19),MAX(CapacityAge19*'01_Вводные'!$B$218*'19_Расчет_аналитики'!BB559,MeanMinAge19)))</f>
        <v/>
      </c>
      <c r="BC482">
        <f>IF(OR('19_Расчет_аналитики'!BC454=0,19&lt;='01_Вводные'!$B$297),0,'19_Расчет_аналитики'!BC454*IF('01_Вводные'!$B$239="Да",MeanMinAge19+'19_Расчет_аналитики'!BC559*SUMIF(ThresholdAge19,"&lt;"&amp;'19_Расчет_аналитики'!BC559,WeightedRevAge19)-SUMIF(ThresholdAge19,"&lt;"&amp;'19_Расчет_аналитики'!BC559,WeightedMinAge19),MAX(CapacityAge19*'01_Вводные'!$B$218*'19_Расчет_аналитики'!BC559,MeanMinAge19)))</f>
        <v/>
      </c>
      <c r="BD482">
        <f>IF(OR('19_Расчет_аналитики'!BD454=0,19&lt;='01_Вводные'!$B$297),0,'19_Расчет_аналитики'!BD454*IF('01_Вводные'!$B$239="Да",MeanMinAge19+'19_Расчет_аналитики'!BD559*SUMIF(ThresholdAge19,"&lt;"&amp;'19_Расчет_аналитики'!BD559,WeightedRevAge19)-SUMIF(ThresholdAge19,"&lt;"&amp;'19_Расчет_аналитики'!BD559,WeightedMinAge19),MAX(CapacityAge19*'01_Вводные'!$B$218*'19_Расчет_аналитики'!BD559,MeanMinAge19)))</f>
        <v/>
      </c>
      <c r="BE482">
        <f>IF(OR('19_Расчет_аналитики'!BE454=0,19&lt;='01_Вводные'!$B$297),0,'19_Расчет_аналитики'!BE454*IF('01_Вводные'!$B$239="Да",MeanMinAge19+'19_Расчет_аналитики'!BE559*SUMIF(ThresholdAge19,"&lt;"&amp;'19_Расчет_аналитики'!BE559,WeightedRevAge19)-SUMIF(ThresholdAge19,"&lt;"&amp;'19_Расчет_аналитики'!BE559,WeightedMinAge19),MAX(CapacityAge19*'01_Вводные'!$B$218*'19_Расчет_аналитики'!BE559,MeanMinAge19)))</f>
        <v/>
      </c>
      <c r="BF482">
        <f>IF(OR('19_Расчет_аналитики'!BF454=0,19&lt;='01_Вводные'!$B$297),0,'19_Расчет_аналитики'!BF454*IF('01_Вводные'!$B$239="Да",MeanMinAge19+'19_Расчет_аналитики'!BF559*SUMIF(ThresholdAge19,"&lt;"&amp;'19_Расчет_аналитики'!BF559,WeightedRevAge19)-SUMIF(ThresholdAge19,"&lt;"&amp;'19_Расчет_аналитики'!BF559,WeightedMinAge19),MAX(CapacityAge19*'01_Вводные'!$B$218*'19_Расчет_аналитики'!BF559,MeanMinAge19)))</f>
        <v/>
      </c>
      <c r="BG482">
        <f>IF(OR('19_Расчет_аналитики'!BG454=0,19&lt;='01_Вводные'!$B$297),0,'19_Расчет_аналитики'!BG454*IF('01_Вводные'!$B$239="Да",MeanMinAge19+'19_Расчет_аналитики'!BG559*SUMIF(ThresholdAge19,"&lt;"&amp;'19_Расчет_аналитики'!BG559,WeightedRevAge19)-SUMIF(ThresholdAge19,"&lt;"&amp;'19_Расчет_аналитики'!BG559,WeightedMinAge19),MAX(CapacityAge19*'01_Вводные'!$B$218*'19_Расчет_аналитики'!BG559,MeanMinAge19)))</f>
        <v/>
      </c>
      <c r="BH482">
        <f>IF(OR('19_Расчет_аналитики'!BH454=0,19&lt;='01_Вводные'!$B$297),0,'19_Расчет_аналитики'!BH454*IF('01_Вводные'!$B$239="Да",MeanMinAge19+'19_Расчет_аналитики'!BH559*SUMIF(ThresholdAge19,"&lt;"&amp;'19_Расчет_аналитики'!BH559,WeightedRevAge19)-SUMIF(ThresholdAge19,"&lt;"&amp;'19_Расчет_аналитики'!BH559,WeightedMinAge19),MAX(CapacityAge19*'01_Вводные'!$B$218*'19_Расчет_аналитики'!BH559,MeanMinAge19)))</f>
        <v/>
      </c>
      <c r="BI482">
        <f>IF(OR('19_Расчет_аналитики'!BI454=0,19&lt;='01_Вводные'!$B$297),0,'19_Расчет_аналитики'!BI454*IF('01_Вводные'!$B$239="Да",MeanMinAge19+'19_Расчет_аналитики'!BI559*SUMIF(ThresholdAge19,"&lt;"&amp;'19_Расчет_аналитики'!BI559,WeightedRevAge19)-SUMIF(ThresholdAge19,"&lt;"&amp;'19_Расчет_аналитики'!BI559,WeightedMinAge19),MAX(CapacityAge19*'01_Вводные'!$B$218*'19_Расчет_аналитики'!BI559,MeanMinAge19)))</f>
        <v/>
      </c>
      <c r="BJ482">
        <f>IF(OR('19_Расчет_аналитики'!BJ454=0,19&lt;='01_Вводные'!$B$297),0,'19_Расчет_аналитики'!BJ454*IF('01_Вводные'!$B$239="Да",MeanMinAge19+'19_Расчет_аналитики'!BJ559*SUMIF(ThresholdAge19,"&lt;"&amp;'19_Расчет_аналитики'!BJ559,WeightedRevAge19)-SUMIF(ThresholdAge19,"&lt;"&amp;'19_Расчет_аналитики'!BJ559,WeightedMinAge19),MAX(CapacityAge19*'01_Вводные'!$B$218*'19_Расчет_аналитики'!BJ559,MeanMinAge19)))</f>
        <v/>
      </c>
      <c r="BK482">
        <f>IF(OR('19_Расчет_аналитики'!BK454=0,19&lt;='01_Вводные'!$B$297),0,'19_Расчет_аналитики'!BK454*IF('01_Вводные'!$B$239="Да",MeanMinAge19+'19_Расчет_аналитики'!BK559*SUMIF(ThresholdAge19,"&lt;"&amp;'19_Расчет_аналитики'!BK559,WeightedRevAge19)-SUMIF(ThresholdAge19,"&lt;"&amp;'19_Расчет_аналитики'!BK559,WeightedMinAge19),MAX(CapacityAge19*'01_Вводные'!$B$218*'19_Расчет_аналитики'!BK559,MeanMinAge19)))</f>
        <v/>
      </c>
      <c r="BL482">
        <f>IF(OR('19_Расчет_аналитики'!BL454=0,19&lt;='01_Вводные'!$B$297),0,'19_Расчет_аналитики'!BL454*IF('01_Вводные'!$B$239="Да",MeanMinAge19+'19_Расчет_аналитики'!BL559*SUMIF(ThresholdAge19,"&lt;"&amp;'19_Расчет_аналитики'!BL559,WeightedRevAge19)-SUMIF(ThresholdAge19,"&lt;"&amp;'19_Расчет_аналитики'!BL559,WeightedMinAge19),MAX(CapacityAge19*'01_Вводные'!$B$218*'19_Расчет_аналитики'!BL559,MeanMinAge19)))</f>
        <v/>
      </c>
      <c r="BM482">
        <f>IF(OR('19_Расчет_аналитики'!BM454=0,19&lt;='01_Вводные'!$B$297),0,'19_Расчет_аналитики'!BM454*IF('01_Вводные'!$B$239="Да",MeanMinAge19+'19_Расчет_аналитики'!BM559*SUMIF(ThresholdAge19,"&lt;"&amp;'19_Расчет_аналитики'!BM559,WeightedRevAge19)-SUMIF(ThresholdAge19,"&lt;"&amp;'19_Расчет_аналитики'!BM559,WeightedMinAge19),MAX(CapacityAge19*'01_Вводные'!$B$218*'19_Расчет_аналитики'!BM559,MeanMinAge19)))</f>
        <v/>
      </c>
      <c r="BN482">
        <f>IF(OR('19_Расчет_аналитики'!BN454=0,19&lt;='01_Вводные'!$B$297),0,'19_Расчет_аналитики'!BN454*IF('01_Вводные'!$B$239="Да",MeanMinAge19+'19_Расчет_аналитики'!BN559*SUMIF(ThresholdAge19,"&lt;"&amp;'19_Расчет_аналитики'!BN559,WeightedRevAge19)-SUMIF(ThresholdAge19,"&lt;"&amp;'19_Расчет_аналитики'!BN559,WeightedMinAge19),MAX(CapacityAge19*'01_Вводные'!$B$218*'19_Расчет_аналитики'!BN559,MeanMinAge19)))</f>
        <v/>
      </c>
      <c r="BO482">
        <f>IF(OR('19_Расчет_аналитики'!BO454=0,19&lt;='01_Вводные'!$B$297),0,'19_Расчет_аналитики'!BO454*IF('01_Вводные'!$B$239="Да",MeanMinAge19+'19_Расчет_аналитики'!BO559*SUMIF(ThresholdAge19,"&lt;"&amp;'19_Расчет_аналитики'!BO559,WeightedRevAge19)-SUMIF(ThresholdAge19,"&lt;"&amp;'19_Расчет_аналитики'!BO559,WeightedMinAge19),MAX(CapacityAge19*'01_Вводные'!$B$218*'19_Расчет_аналитики'!BO559,MeanMinAge19)))</f>
        <v/>
      </c>
    </row>
    <row r="483">
      <c r="B483">
        <f>IF(OR('06_Сеть_и_дети'!B100=0,20&lt;='01_Вводные'!$B$297),0,'06_Сеть_и_дети'!B100*IF('01_Вводные'!$B$239="Да",MeanMinAge20+'19_Расчет_аналитики'!B559*SUMIF(ThresholdAge20,"&lt;"&amp;'19_Расчет_аналитики'!B559,WeightedRevAge20)-SUMIF(ThresholdAge20,"&lt;"&amp;'19_Расчет_аналитики'!B559,WeightedMinAge20),MAX(CapacityAge20*'01_Вводные'!$B$218*'19_Расчет_аналитики'!B559,MeanMinAge20)))</f>
        <v/>
      </c>
      <c r="C483">
        <f>IF(OR('06_Сеть_и_дети'!C100=0,20&lt;='01_Вводные'!$B$297),0,'06_Сеть_и_дети'!C100*IF('01_Вводные'!$B$239="Да",MeanMinAge20+'19_Расчет_аналитики'!C559*SUMIF(ThresholdAge20,"&lt;"&amp;'19_Расчет_аналитики'!C559,WeightedRevAge20)-SUMIF(ThresholdAge20,"&lt;"&amp;'19_Расчет_аналитики'!C559,WeightedMinAge20),MAX(CapacityAge20*'01_Вводные'!$B$218*'19_Расчет_аналитики'!C559,MeanMinAge20)))</f>
        <v/>
      </c>
      <c r="D483">
        <f>IF(OR('06_Сеть_и_дети'!D100=0,20&lt;='01_Вводные'!$B$297),0,'06_Сеть_и_дети'!D100*IF('01_Вводные'!$B$239="Да",MeanMinAge20+'19_Расчет_аналитики'!D559*SUMIF(ThresholdAge20,"&lt;"&amp;'19_Расчет_аналитики'!D559,WeightedRevAge20)-SUMIF(ThresholdAge20,"&lt;"&amp;'19_Расчет_аналитики'!D559,WeightedMinAge20),MAX(CapacityAge20*'01_Вводные'!$B$218*'19_Расчет_аналитики'!D559,MeanMinAge20)))</f>
        <v/>
      </c>
      <c r="E483">
        <f>IF(OR('06_Сеть_и_дети'!E100=0,20&lt;='01_Вводные'!$B$297),0,'06_Сеть_и_дети'!E100*IF('01_Вводные'!$B$239="Да",MeanMinAge20+'19_Расчет_аналитики'!E559*SUMIF(ThresholdAge20,"&lt;"&amp;'19_Расчет_аналитики'!E559,WeightedRevAge20)-SUMIF(ThresholdAge20,"&lt;"&amp;'19_Расчет_аналитики'!E559,WeightedMinAge20),MAX(CapacityAge20*'01_Вводные'!$B$218*'19_Расчет_аналитики'!E559,MeanMinAge20)))</f>
        <v/>
      </c>
      <c r="F483">
        <f>IF(OR('06_Сеть_и_дети'!F100=0,20&lt;='01_Вводные'!$B$297),0,'06_Сеть_и_дети'!F100*IF('01_Вводные'!$B$239="Да",MeanMinAge20+'19_Расчет_аналитики'!F559*SUMIF(ThresholdAge20,"&lt;"&amp;'19_Расчет_аналитики'!F559,WeightedRevAge20)-SUMIF(ThresholdAge20,"&lt;"&amp;'19_Расчет_аналитики'!F559,WeightedMinAge20),MAX(CapacityAge20*'01_Вводные'!$B$218*'19_Расчет_аналитики'!F559,MeanMinAge20)))</f>
        <v/>
      </c>
      <c r="G483">
        <f>IF(OR('06_Сеть_и_дети'!G100=0,20&lt;='01_Вводные'!$B$297),0,'06_Сеть_и_дети'!G100*IF('01_Вводные'!$B$239="Да",MeanMinAge20+'19_Расчет_аналитики'!G559*SUMIF(ThresholdAge20,"&lt;"&amp;'19_Расчет_аналитики'!G559,WeightedRevAge20)-SUMIF(ThresholdAge20,"&lt;"&amp;'19_Расчет_аналитики'!G559,WeightedMinAge20),MAX(CapacityAge20*'01_Вводные'!$B$218*'19_Расчет_аналитики'!G559,MeanMinAge20)))</f>
        <v/>
      </c>
      <c r="H483">
        <f>IF(OR('06_Сеть_и_дети'!H100=0,20&lt;='01_Вводные'!$B$297),0,'06_Сеть_и_дети'!H100*IF('01_Вводные'!$B$239="Да",MeanMinAge20+'19_Расчет_аналитики'!H559*SUMIF(ThresholdAge20,"&lt;"&amp;'19_Расчет_аналитики'!H559,WeightedRevAge20)-SUMIF(ThresholdAge20,"&lt;"&amp;'19_Расчет_аналитики'!H559,WeightedMinAge20),MAX(CapacityAge20*'01_Вводные'!$B$218*'19_Расчет_аналитики'!H559,MeanMinAge20)))</f>
        <v/>
      </c>
      <c r="I483">
        <f>IF(OR('06_Сеть_и_дети'!I100=0,20&lt;='01_Вводные'!$B$297),0,'06_Сеть_и_дети'!I100*IF('01_Вводные'!$B$239="Да",MeanMinAge20+'19_Расчет_аналитики'!I559*SUMIF(ThresholdAge20,"&lt;"&amp;'19_Расчет_аналитики'!I559,WeightedRevAge20)-SUMIF(ThresholdAge20,"&lt;"&amp;'19_Расчет_аналитики'!I559,WeightedMinAge20),MAX(CapacityAge20*'01_Вводные'!$B$218*'19_Расчет_аналитики'!I559,MeanMinAge20)))</f>
        <v/>
      </c>
      <c r="J483">
        <f>IF(OR('06_Сеть_и_дети'!J100=0,20&lt;='01_Вводные'!$B$297),0,'06_Сеть_и_дети'!J100*IF('01_Вводные'!$B$239="Да",MeanMinAge20+'19_Расчет_аналитики'!J559*SUMIF(ThresholdAge20,"&lt;"&amp;'19_Расчет_аналитики'!J559,WeightedRevAge20)-SUMIF(ThresholdAge20,"&lt;"&amp;'19_Расчет_аналитики'!J559,WeightedMinAge20),MAX(CapacityAge20*'01_Вводные'!$B$218*'19_Расчет_аналитики'!J559,MeanMinAge20)))</f>
        <v/>
      </c>
      <c r="K483">
        <f>IF(OR('06_Сеть_и_дети'!K100=0,20&lt;='01_Вводные'!$B$297),0,'06_Сеть_и_дети'!K100*IF('01_Вводные'!$B$239="Да",MeanMinAge20+'19_Расчет_аналитики'!K559*SUMIF(ThresholdAge20,"&lt;"&amp;'19_Расчет_аналитики'!K559,WeightedRevAge20)-SUMIF(ThresholdAge20,"&lt;"&amp;'19_Расчет_аналитики'!K559,WeightedMinAge20),MAX(CapacityAge20*'01_Вводные'!$B$218*'19_Расчет_аналитики'!K559,MeanMinAge20)))</f>
        <v/>
      </c>
      <c r="L483">
        <f>IF(OR('06_Сеть_и_дети'!L100=0,20&lt;='01_Вводные'!$B$297),0,'06_Сеть_и_дети'!L100*IF('01_Вводные'!$B$239="Да",MeanMinAge20+'19_Расчет_аналитики'!L559*SUMIF(ThresholdAge20,"&lt;"&amp;'19_Расчет_аналитики'!L559,WeightedRevAge20)-SUMIF(ThresholdAge20,"&lt;"&amp;'19_Расчет_аналитики'!L559,WeightedMinAge20),MAX(CapacityAge20*'01_Вводные'!$B$218*'19_Расчет_аналитики'!L559,MeanMinAge20)))</f>
        <v/>
      </c>
      <c r="M483">
        <f>IF(OR('06_Сеть_и_дети'!M100=0,20&lt;='01_Вводные'!$B$297),0,'06_Сеть_и_дети'!M100*IF('01_Вводные'!$B$239="Да",MeanMinAge20+'19_Расчет_аналитики'!M559*SUMIF(ThresholdAge20,"&lt;"&amp;'19_Расчет_аналитики'!M559,WeightedRevAge20)-SUMIF(ThresholdAge20,"&lt;"&amp;'19_Расчет_аналитики'!M559,WeightedMinAge20),MAX(CapacityAge20*'01_Вводные'!$B$218*'19_Расчет_аналитики'!M559,MeanMinAge20)))</f>
        <v/>
      </c>
      <c r="N483">
        <f>IF(OR('06_Сеть_и_дети'!N100=0,20&lt;='01_Вводные'!$B$297),0,'06_Сеть_и_дети'!N100*IF('01_Вводные'!$B$239="Да",MeanMinAge20+'19_Расчет_аналитики'!N559*SUMIF(ThresholdAge20,"&lt;"&amp;'19_Расчет_аналитики'!N559,WeightedRevAge20)-SUMIF(ThresholdAge20,"&lt;"&amp;'19_Расчет_аналитики'!N559,WeightedMinAge20),MAX(CapacityAge20*'01_Вводные'!$B$218*'19_Расчет_аналитики'!N559,MeanMinAge20)))</f>
        <v/>
      </c>
      <c r="O483">
        <f>IF(OR('06_Сеть_и_дети'!O100=0,20&lt;='01_Вводные'!$B$297),0,'06_Сеть_и_дети'!O100*IF('01_Вводные'!$B$239="Да",MeanMinAge20+'19_Расчет_аналитики'!O559*SUMIF(ThresholdAge20,"&lt;"&amp;'19_Расчет_аналитики'!O559,WeightedRevAge20)-SUMIF(ThresholdAge20,"&lt;"&amp;'19_Расчет_аналитики'!O559,WeightedMinAge20),MAX(CapacityAge20*'01_Вводные'!$B$218*'19_Расчет_аналитики'!O559,MeanMinAge20)))</f>
        <v/>
      </c>
      <c r="P483">
        <f>IF(OR('06_Сеть_и_дети'!P100=0,20&lt;='01_Вводные'!$B$297),0,'06_Сеть_и_дети'!P100*IF('01_Вводные'!$B$239="Да",MeanMinAge20+'19_Расчет_аналитики'!P559*SUMIF(ThresholdAge20,"&lt;"&amp;'19_Расчет_аналитики'!P559,WeightedRevAge20)-SUMIF(ThresholdAge20,"&lt;"&amp;'19_Расчет_аналитики'!P559,WeightedMinAge20),MAX(CapacityAge20*'01_Вводные'!$B$218*'19_Расчет_аналитики'!P559,MeanMinAge20)))</f>
        <v/>
      </c>
      <c r="Q483">
        <f>IF(OR('06_Сеть_и_дети'!Q100=0,20&lt;='01_Вводные'!$B$297),0,'06_Сеть_и_дети'!Q100*IF('01_Вводные'!$B$239="Да",MeanMinAge20+'19_Расчет_аналитики'!Q559*SUMIF(ThresholdAge20,"&lt;"&amp;'19_Расчет_аналитики'!Q559,WeightedRevAge20)-SUMIF(ThresholdAge20,"&lt;"&amp;'19_Расчет_аналитики'!Q559,WeightedMinAge20),MAX(CapacityAge20*'01_Вводные'!$B$218*'19_Расчет_аналитики'!Q559,MeanMinAge20)))</f>
        <v/>
      </c>
      <c r="R483">
        <f>IF(OR('06_Сеть_и_дети'!R100=0,20&lt;='01_Вводные'!$B$297),0,'06_Сеть_и_дети'!R100*IF('01_Вводные'!$B$239="Да",MeanMinAge20+'19_Расчет_аналитики'!R559*SUMIF(ThresholdAge20,"&lt;"&amp;'19_Расчет_аналитики'!R559,WeightedRevAge20)-SUMIF(ThresholdAge20,"&lt;"&amp;'19_Расчет_аналитики'!R559,WeightedMinAge20),MAX(CapacityAge20*'01_Вводные'!$B$218*'19_Расчет_аналитики'!R559,MeanMinAge20)))</f>
        <v/>
      </c>
      <c r="S483">
        <f>IF(OR('06_Сеть_и_дети'!S100=0,20&lt;='01_Вводные'!$B$297),0,'06_Сеть_и_дети'!S100*IF('01_Вводные'!$B$239="Да",MeanMinAge20+'19_Расчет_аналитики'!S559*SUMIF(ThresholdAge20,"&lt;"&amp;'19_Расчет_аналитики'!S559,WeightedRevAge20)-SUMIF(ThresholdAge20,"&lt;"&amp;'19_Расчет_аналитики'!S559,WeightedMinAge20),MAX(CapacityAge20*'01_Вводные'!$B$218*'19_Расчет_аналитики'!S559,MeanMinAge20)))</f>
        <v/>
      </c>
      <c r="T483">
        <f>IF(OR('06_Сеть_и_дети'!T100=0,20&lt;='01_Вводные'!$B$297),0,'06_Сеть_и_дети'!T100*IF('01_Вводные'!$B$239="Да",MeanMinAge20+'19_Расчет_аналитики'!T559*SUMIF(ThresholdAge20,"&lt;"&amp;'19_Расчет_аналитики'!T559,WeightedRevAge20)-SUMIF(ThresholdAge20,"&lt;"&amp;'19_Расчет_аналитики'!T559,WeightedMinAge20),MAX(CapacityAge20*'01_Вводные'!$B$218*'19_Расчет_аналитики'!T559,MeanMinAge20)))</f>
        <v/>
      </c>
      <c r="U483">
        <f>IF(OR('19_Расчет_аналитики'!U455=0,20&lt;='01_Вводные'!$B$297),0,'19_Расчет_аналитики'!U455*IF('01_Вводные'!$B$239="Да",MeanMinAge20+'19_Расчет_аналитики'!U559*SUMIF(ThresholdAge20,"&lt;"&amp;'19_Расчет_аналитики'!U559,WeightedRevAge20)-SUMIF(ThresholdAge20,"&lt;"&amp;'19_Расчет_аналитики'!U559,WeightedMinAge20),MAX(CapacityAge20*'01_Вводные'!$B$218*'19_Расчет_аналитики'!U559,MeanMinAge20)))</f>
        <v/>
      </c>
      <c r="V483">
        <f>IF(OR('19_Расчет_аналитики'!V455=0,20&lt;='01_Вводные'!$B$297),0,'19_Расчет_аналитики'!V455*IF('01_Вводные'!$B$239="Да",MeanMinAge20+'19_Расчет_аналитики'!V559*SUMIF(ThresholdAge20,"&lt;"&amp;'19_Расчет_аналитики'!V559,WeightedRevAge20)-SUMIF(ThresholdAge20,"&lt;"&amp;'19_Расчет_аналитики'!V559,WeightedMinAge20),MAX(CapacityAge20*'01_Вводные'!$B$218*'19_Расчет_аналитики'!V559,MeanMinAge20)))</f>
        <v/>
      </c>
      <c r="W483">
        <f>IF(OR('19_Расчет_аналитики'!W455=0,20&lt;='01_Вводные'!$B$297),0,'19_Расчет_аналитики'!W455*IF('01_Вводные'!$B$239="Да",MeanMinAge20+'19_Расчет_аналитики'!W559*SUMIF(ThresholdAge20,"&lt;"&amp;'19_Расчет_аналитики'!W559,WeightedRevAge20)-SUMIF(ThresholdAge20,"&lt;"&amp;'19_Расчет_аналитики'!W559,WeightedMinAge20),MAX(CapacityAge20*'01_Вводные'!$B$218*'19_Расчет_аналитики'!W559,MeanMinAge20)))</f>
        <v/>
      </c>
      <c r="X483">
        <f>IF(OR('19_Расчет_аналитики'!X455=0,20&lt;='01_Вводные'!$B$297),0,'19_Расчет_аналитики'!X455*IF('01_Вводные'!$B$239="Да",MeanMinAge20+'19_Расчет_аналитики'!X559*SUMIF(ThresholdAge20,"&lt;"&amp;'19_Расчет_аналитики'!X559,WeightedRevAge20)-SUMIF(ThresholdAge20,"&lt;"&amp;'19_Расчет_аналитики'!X559,WeightedMinAge20),MAX(CapacityAge20*'01_Вводные'!$B$218*'19_Расчет_аналитики'!X559,MeanMinAge20)))</f>
        <v/>
      </c>
      <c r="Y483">
        <f>IF(OR('19_Расчет_аналитики'!Y455=0,20&lt;='01_Вводные'!$B$297),0,'19_Расчет_аналитики'!Y455*IF('01_Вводные'!$B$239="Да",MeanMinAge20+'19_Расчет_аналитики'!Y559*SUMIF(ThresholdAge20,"&lt;"&amp;'19_Расчет_аналитики'!Y559,WeightedRevAge20)-SUMIF(ThresholdAge20,"&lt;"&amp;'19_Расчет_аналитики'!Y559,WeightedMinAge20),MAX(CapacityAge20*'01_Вводные'!$B$218*'19_Расчет_аналитики'!Y559,MeanMinAge20)))</f>
        <v/>
      </c>
      <c r="Z483">
        <f>IF(OR('19_Расчет_аналитики'!Z455=0,20&lt;='01_Вводные'!$B$297),0,'19_Расчет_аналитики'!Z455*IF('01_Вводные'!$B$239="Да",MeanMinAge20+'19_Расчет_аналитики'!Z559*SUMIF(ThresholdAge20,"&lt;"&amp;'19_Расчет_аналитики'!Z559,WeightedRevAge20)-SUMIF(ThresholdAge20,"&lt;"&amp;'19_Расчет_аналитики'!Z559,WeightedMinAge20),MAX(CapacityAge20*'01_Вводные'!$B$218*'19_Расчет_аналитики'!Z559,MeanMinAge20)))</f>
        <v/>
      </c>
      <c r="AA483">
        <f>IF(OR('19_Расчет_аналитики'!AA455=0,20&lt;='01_Вводные'!$B$297),0,'19_Расчет_аналитики'!AA455*IF('01_Вводные'!$B$239="Да",MeanMinAge20+'19_Расчет_аналитики'!AA559*SUMIF(ThresholdAge20,"&lt;"&amp;'19_Расчет_аналитики'!AA559,WeightedRevAge20)-SUMIF(ThresholdAge20,"&lt;"&amp;'19_Расчет_аналитики'!AA559,WeightedMinAge20),MAX(CapacityAge20*'01_Вводные'!$B$218*'19_Расчет_аналитики'!AA559,MeanMinAge20)))</f>
        <v/>
      </c>
      <c r="AB483">
        <f>IF(OR('19_Расчет_аналитики'!AB455=0,20&lt;='01_Вводные'!$B$297),0,'19_Расчет_аналитики'!AB455*IF('01_Вводные'!$B$239="Да",MeanMinAge20+'19_Расчет_аналитики'!AB559*SUMIF(ThresholdAge20,"&lt;"&amp;'19_Расчет_аналитики'!AB559,WeightedRevAge20)-SUMIF(ThresholdAge20,"&lt;"&amp;'19_Расчет_аналитики'!AB559,WeightedMinAge20),MAX(CapacityAge20*'01_Вводные'!$B$218*'19_Расчет_аналитики'!AB559,MeanMinAge20)))</f>
        <v/>
      </c>
      <c r="AC483">
        <f>IF(OR('19_Расчет_аналитики'!AC455=0,20&lt;='01_Вводные'!$B$297),0,'19_Расчет_аналитики'!AC455*IF('01_Вводные'!$B$239="Да",MeanMinAge20+'19_Расчет_аналитики'!AC559*SUMIF(ThresholdAge20,"&lt;"&amp;'19_Расчет_аналитики'!AC559,WeightedRevAge20)-SUMIF(ThresholdAge20,"&lt;"&amp;'19_Расчет_аналитики'!AC559,WeightedMinAge20),MAX(CapacityAge20*'01_Вводные'!$B$218*'19_Расчет_аналитики'!AC559,MeanMinAge20)))</f>
        <v/>
      </c>
      <c r="AD483">
        <f>IF(OR('19_Расчет_аналитики'!AD455=0,20&lt;='01_Вводные'!$B$297),0,'19_Расчет_аналитики'!AD455*IF('01_Вводные'!$B$239="Да",MeanMinAge20+'19_Расчет_аналитики'!AD559*SUMIF(ThresholdAge20,"&lt;"&amp;'19_Расчет_аналитики'!AD559,WeightedRevAge20)-SUMIF(ThresholdAge20,"&lt;"&amp;'19_Расчет_аналитики'!AD559,WeightedMinAge20),MAX(CapacityAge20*'01_Вводные'!$B$218*'19_Расчет_аналитики'!AD559,MeanMinAge20)))</f>
        <v/>
      </c>
      <c r="AE483">
        <f>IF(OR('19_Расчет_аналитики'!AE455=0,20&lt;='01_Вводные'!$B$297),0,'19_Расчет_аналитики'!AE455*IF('01_Вводные'!$B$239="Да",MeanMinAge20+'19_Расчет_аналитики'!AE559*SUMIF(ThresholdAge20,"&lt;"&amp;'19_Расчет_аналитики'!AE559,WeightedRevAge20)-SUMIF(ThresholdAge20,"&lt;"&amp;'19_Расчет_аналитики'!AE559,WeightedMinAge20),MAX(CapacityAge20*'01_Вводные'!$B$218*'19_Расчет_аналитики'!AE559,MeanMinAge20)))</f>
        <v/>
      </c>
      <c r="AF483">
        <f>IF(OR('19_Расчет_аналитики'!AF455=0,20&lt;='01_Вводные'!$B$297),0,'19_Расчет_аналитики'!AF455*IF('01_Вводные'!$B$239="Да",MeanMinAge20+'19_Расчет_аналитики'!AF559*SUMIF(ThresholdAge20,"&lt;"&amp;'19_Расчет_аналитики'!AF559,WeightedRevAge20)-SUMIF(ThresholdAge20,"&lt;"&amp;'19_Расчет_аналитики'!AF559,WeightedMinAge20),MAX(CapacityAge20*'01_Вводные'!$B$218*'19_Расчет_аналитики'!AF559,MeanMinAge20)))</f>
        <v/>
      </c>
      <c r="AG483">
        <f>IF(OR('19_Расчет_аналитики'!AG455=0,20&lt;='01_Вводные'!$B$297),0,'19_Расчет_аналитики'!AG455*IF('01_Вводные'!$B$239="Да",MeanMinAge20+'19_Расчет_аналитики'!AG559*SUMIF(ThresholdAge20,"&lt;"&amp;'19_Расчет_аналитики'!AG559,WeightedRevAge20)-SUMIF(ThresholdAge20,"&lt;"&amp;'19_Расчет_аналитики'!AG559,WeightedMinAge20),MAX(CapacityAge20*'01_Вводные'!$B$218*'19_Расчет_аналитики'!AG559,MeanMinAge20)))</f>
        <v/>
      </c>
      <c r="AH483">
        <f>IF(OR('19_Расчет_аналитики'!AH455=0,20&lt;='01_Вводные'!$B$297),0,'19_Расчет_аналитики'!AH455*IF('01_Вводные'!$B$239="Да",MeanMinAge20+'19_Расчет_аналитики'!AH559*SUMIF(ThresholdAge20,"&lt;"&amp;'19_Расчет_аналитики'!AH559,WeightedRevAge20)-SUMIF(ThresholdAge20,"&lt;"&amp;'19_Расчет_аналитики'!AH559,WeightedMinAge20),MAX(CapacityAge20*'01_Вводные'!$B$218*'19_Расчет_аналитики'!AH559,MeanMinAge20)))</f>
        <v/>
      </c>
      <c r="AI483">
        <f>IF(OR('19_Расчет_аналитики'!AI455=0,20&lt;='01_Вводные'!$B$297),0,'19_Расчет_аналитики'!AI455*IF('01_Вводные'!$B$239="Да",MeanMinAge20+'19_Расчет_аналитики'!AI559*SUMIF(ThresholdAge20,"&lt;"&amp;'19_Расчет_аналитики'!AI559,WeightedRevAge20)-SUMIF(ThresholdAge20,"&lt;"&amp;'19_Расчет_аналитики'!AI559,WeightedMinAge20),MAX(CapacityAge20*'01_Вводные'!$B$218*'19_Расчет_аналитики'!AI559,MeanMinAge20)))</f>
        <v/>
      </c>
      <c r="AJ483">
        <f>IF(OR('19_Расчет_аналитики'!AJ455=0,20&lt;='01_Вводные'!$B$297),0,'19_Расчет_аналитики'!AJ455*IF('01_Вводные'!$B$239="Да",MeanMinAge20+'19_Расчет_аналитики'!AJ559*SUMIF(ThresholdAge20,"&lt;"&amp;'19_Расчет_аналитики'!AJ559,WeightedRevAge20)-SUMIF(ThresholdAge20,"&lt;"&amp;'19_Расчет_аналитики'!AJ559,WeightedMinAge20),MAX(CapacityAge20*'01_Вводные'!$B$218*'19_Расчет_аналитики'!AJ559,MeanMinAge20)))</f>
        <v/>
      </c>
      <c r="AK483">
        <f>IF(OR('19_Расчет_аналитики'!AK455=0,20&lt;='01_Вводные'!$B$297),0,'19_Расчет_аналитики'!AK455*IF('01_Вводные'!$B$239="Да",MeanMinAge20+'19_Расчет_аналитики'!AK559*SUMIF(ThresholdAge20,"&lt;"&amp;'19_Расчет_аналитики'!AK559,WeightedRevAge20)-SUMIF(ThresholdAge20,"&lt;"&amp;'19_Расчет_аналитики'!AK559,WeightedMinAge20),MAX(CapacityAge20*'01_Вводные'!$B$218*'19_Расчет_аналитики'!AK559,MeanMinAge20)))</f>
        <v/>
      </c>
      <c r="AL483">
        <f>IF(OR('19_Расчет_аналитики'!AL455=0,20&lt;='01_Вводные'!$B$297),0,'19_Расчет_аналитики'!AL455*IF('01_Вводные'!$B$239="Да",MeanMinAge20+'19_Расчет_аналитики'!AL559*SUMIF(ThresholdAge20,"&lt;"&amp;'19_Расчет_аналитики'!AL559,WeightedRevAge20)-SUMIF(ThresholdAge20,"&lt;"&amp;'19_Расчет_аналитики'!AL559,WeightedMinAge20),MAX(CapacityAge20*'01_Вводные'!$B$218*'19_Расчет_аналитики'!AL559,MeanMinAge20)))</f>
        <v/>
      </c>
      <c r="AM483">
        <f>IF(OR('19_Расчет_аналитики'!AM455=0,20&lt;='01_Вводные'!$B$297),0,'19_Расчет_аналитики'!AM455*IF('01_Вводные'!$B$239="Да",MeanMinAge20+'19_Расчет_аналитики'!AM559*SUMIF(ThresholdAge20,"&lt;"&amp;'19_Расчет_аналитики'!AM559,WeightedRevAge20)-SUMIF(ThresholdAge20,"&lt;"&amp;'19_Расчет_аналитики'!AM559,WeightedMinAge20),MAX(CapacityAge20*'01_Вводные'!$B$218*'19_Расчет_аналитики'!AM559,MeanMinAge20)))</f>
        <v/>
      </c>
      <c r="AN483">
        <f>IF(OR('19_Расчет_аналитики'!AN455=0,20&lt;='01_Вводные'!$B$297),0,'19_Расчет_аналитики'!AN455*IF('01_Вводные'!$B$239="Да",MeanMinAge20+'19_Расчет_аналитики'!AN559*SUMIF(ThresholdAge20,"&lt;"&amp;'19_Расчет_аналитики'!AN559,WeightedRevAge20)-SUMIF(ThresholdAge20,"&lt;"&amp;'19_Расчет_аналитики'!AN559,WeightedMinAge20),MAX(CapacityAge20*'01_Вводные'!$B$218*'19_Расчет_аналитики'!AN559,MeanMinAge20)))</f>
        <v/>
      </c>
      <c r="AO483">
        <f>IF(OR('19_Расчет_аналитики'!AO455=0,20&lt;='01_Вводные'!$B$297),0,'19_Расчет_аналитики'!AO455*IF('01_Вводные'!$B$239="Да",MeanMinAge20+'19_Расчет_аналитики'!AO559*SUMIF(ThresholdAge20,"&lt;"&amp;'19_Расчет_аналитики'!AO559,WeightedRevAge20)-SUMIF(ThresholdAge20,"&lt;"&amp;'19_Расчет_аналитики'!AO559,WeightedMinAge20),MAX(CapacityAge20*'01_Вводные'!$B$218*'19_Расчет_аналитики'!AO559,MeanMinAge20)))</f>
        <v/>
      </c>
      <c r="AP483">
        <f>IF(OR('19_Расчет_аналитики'!AP455=0,20&lt;='01_Вводные'!$B$297),0,'19_Расчет_аналитики'!AP455*IF('01_Вводные'!$B$239="Да",MeanMinAge20+'19_Расчет_аналитики'!AP559*SUMIF(ThresholdAge20,"&lt;"&amp;'19_Расчет_аналитики'!AP559,WeightedRevAge20)-SUMIF(ThresholdAge20,"&lt;"&amp;'19_Расчет_аналитики'!AP559,WeightedMinAge20),MAX(CapacityAge20*'01_Вводные'!$B$218*'19_Расчет_аналитики'!AP559,MeanMinAge20)))</f>
        <v/>
      </c>
      <c r="AQ483">
        <f>IF(OR('19_Расчет_аналитики'!AQ455=0,20&lt;='01_Вводные'!$B$297),0,'19_Расчет_аналитики'!AQ455*IF('01_Вводные'!$B$239="Да",MeanMinAge20+'19_Расчет_аналитики'!AQ559*SUMIF(ThresholdAge20,"&lt;"&amp;'19_Расчет_аналитики'!AQ559,WeightedRevAge20)-SUMIF(ThresholdAge20,"&lt;"&amp;'19_Расчет_аналитики'!AQ559,WeightedMinAge20),MAX(CapacityAge20*'01_Вводные'!$B$218*'19_Расчет_аналитики'!AQ559,MeanMinAge20)))</f>
        <v/>
      </c>
      <c r="AR483">
        <f>IF(OR('19_Расчет_аналитики'!AR455=0,20&lt;='01_Вводные'!$B$297),0,'19_Расчет_аналитики'!AR455*IF('01_Вводные'!$B$239="Да",MeanMinAge20+'19_Расчет_аналитики'!AR559*SUMIF(ThresholdAge20,"&lt;"&amp;'19_Расчет_аналитики'!AR559,WeightedRevAge20)-SUMIF(ThresholdAge20,"&lt;"&amp;'19_Расчет_аналитики'!AR559,WeightedMinAge20),MAX(CapacityAge20*'01_Вводные'!$B$218*'19_Расчет_аналитики'!AR559,MeanMinAge20)))</f>
        <v/>
      </c>
      <c r="AS483">
        <f>IF(OR('19_Расчет_аналитики'!AS455=0,20&lt;='01_Вводные'!$B$297),0,'19_Расчет_аналитики'!AS455*IF('01_Вводные'!$B$239="Да",MeanMinAge20+'19_Расчет_аналитики'!AS559*SUMIF(ThresholdAge20,"&lt;"&amp;'19_Расчет_аналитики'!AS559,WeightedRevAge20)-SUMIF(ThresholdAge20,"&lt;"&amp;'19_Расчет_аналитики'!AS559,WeightedMinAge20),MAX(CapacityAge20*'01_Вводные'!$B$218*'19_Расчет_аналитики'!AS559,MeanMinAge20)))</f>
        <v/>
      </c>
      <c r="AT483">
        <f>IF(OR('19_Расчет_аналитики'!AT455=0,20&lt;='01_Вводные'!$B$297),0,'19_Расчет_аналитики'!AT455*IF('01_Вводные'!$B$239="Да",MeanMinAge20+'19_Расчет_аналитики'!AT559*SUMIF(ThresholdAge20,"&lt;"&amp;'19_Расчет_аналитики'!AT559,WeightedRevAge20)-SUMIF(ThresholdAge20,"&lt;"&amp;'19_Расчет_аналитики'!AT559,WeightedMinAge20),MAX(CapacityAge20*'01_Вводные'!$B$218*'19_Расчет_аналитики'!AT559,MeanMinAge20)))</f>
        <v/>
      </c>
      <c r="AU483">
        <f>IF(OR('19_Расчет_аналитики'!AU455=0,20&lt;='01_Вводные'!$B$297),0,'19_Расчет_аналитики'!AU455*IF('01_Вводные'!$B$239="Да",MeanMinAge20+'19_Расчет_аналитики'!AU559*SUMIF(ThresholdAge20,"&lt;"&amp;'19_Расчет_аналитики'!AU559,WeightedRevAge20)-SUMIF(ThresholdAge20,"&lt;"&amp;'19_Расчет_аналитики'!AU559,WeightedMinAge20),MAX(CapacityAge20*'01_Вводные'!$B$218*'19_Расчет_аналитики'!AU559,MeanMinAge20)))</f>
        <v/>
      </c>
      <c r="AV483">
        <f>IF(OR('19_Расчет_аналитики'!AV455=0,20&lt;='01_Вводные'!$B$297),0,'19_Расчет_аналитики'!AV455*IF('01_Вводные'!$B$239="Да",MeanMinAge20+'19_Расчет_аналитики'!AV559*SUMIF(ThresholdAge20,"&lt;"&amp;'19_Расчет_аналитики'!AV559,WeightedRevAge20)-SUMIF(ThresholdAge20,"&lt;"&amp;'19_Расчет_аналитики'!AV559,WeightedMinAge20),MAX(CapacityAge20*'01_Вводные'!$B$218*'19_Расчет_аналитики'!AV559,MeanMinAge20)))</f>
        <v/>
      </c>
      <c r="AW483">
        <f>IF(OR('19_Расчет_аналитики'!AW455=0,20&lt;='01_Вводные'!$B$297),0,'19_Расчет_аналитики'!AW455*IF('01_Вводные'!$B$239="Да",MeanMinAge20+'19_Расчет_аналитики'!AW559*SUMIF(ThresholdAge20,"&lt;"&amp;'19_Расчет_аналитики'!AW559,WeightedRevAge20)-SUMIF(ThresholdAge20,"&lt;"&amp;'19_Расчет_аналитики'!AW559,WeightedMinAge20),MAX(CapacityAge20*'01_Вводные'!$B$218*'19_Расчет_аналитики'!AW559,MeanMinAge20)))</f>
        <v/>
      </c>
      <c r="AX483">
        <f>IF(OR('19_Расчет_аналитики'!AX455=0,20&lt;='01_Вводные'!$B$297),0,'19_Расчет_аналитики'!AX455*IF('01_Вводные'!$B$239="Да",MeanMinAge20+'19_Расчет_аналитики'!AX559*SUMIF(ThresholdAge20,"&lt;"&amp;'19_Расчет_аналитики'!AX559,WeightedRevAge20)-SUMIF(ThresholdAge20,"&lt;"&amp;'19_Расчет_аналитики'!AX559,WeightedMinAge20),MAX(CapacityAge20*'01_Вводные'!$B$218*'19_Расчет_аналитики'!AX559,MeanMinAge20)))</f>
        <v/>
      </c>
      <c r="AY483">
        <f>IF(OR('19_Расчет_аналитики'!AY455=0,20&lt;='01_Вводные'!$B$297),0,'19_Расчет_аналитики'!AY455*IF('01_Вводные'!$B$239="Да",MeanMinAge20+'19_Расчет_аналитики'!AY559*SUMIF(ThresholdAge20,"&lt;"&amp;'19_Расчет_аналитики'!AY559,WeightedRevAge20)-SUMIF(ThresholdAge20,"&lt;"&amp;'19_Расчет_аналитики'!AY559,WeightedMinAge20),MAX(CapacityAge20*'01_Вводные'!$B$218*'19_Расчет_аналитики'!AY559,MeanMinAge20)))</f>
        <v/>
      </c>
      <c r="AZ483">
        <f>IF(OR('19_Расчет_аналитики'!AZ455=0,20&lt;='01_Вводные'!$B$297),0,'19_Расчет_аналитики'!AZ455*IF('01_Вводные'!$B$239="Да",MeanMinAge20+'19_Расчет_аналитики'!AZ559*SUMIF(ThresholdAge20,"&lt;"&amp;'19_Расчет_аналитики'!AZ559,WeightedRevAge20)-SUMIF(ThresholdAge20,"&lt;"&amp;'19_Расчет_аналитики'!AZ559,WeightedMinAge20),MAX(CapacityAge20*'01_Вводные'!$B$218*'19_Расчет_аналитики'!AZ559,MeanMinAge20)))</f>
        <v/>
      </c>
      <c r="BA483">
        <f>IF(OR('19_Расчет_аналитики'!BA455=0,20&lt;='01_Вводные'!$B$297),0,'19_Расчет_аналитики'!BA455*IF('01_Вводные'!$B$239="Да",MeanMinAge20+'19_Расчет_аналитики'!BA559*SUMIF(ThresholdAge20,"&lt;"&amp;'19_Расчет_аналитики'!BA559,WeightedRevAge20)-SUMIF(ThresholdAge20,"&lt;"&amp;'19_Расчет_аналитики'!BA559,WeightedMinAge20),MAX(CapacityAge20*'01_Вводные'!$B$218*'19_Расчет_аналитики'!BA559,MeanMinAge20)))</f>
        <v/>
      </c>
      <c r="BB483">
        <f>IF(OR('19_Расчет_аналитики'!BB455=0,20&lt;='01_Вводные'!$B$297),0,'19_Расчет_аналитики'!BB455*IF('01_Вводные'!$B$239="Да",MeanMinAge20+'19_Расчет_аналитики'!BB559*SUMIF(ThresholdAge20,"&lt;"&amp;'19_Расчет_аналитики'!BB559,WeightedRevAge20)-SUMIF(ThresholdAge20,"&lt;"&amp;'19_Расчет_аналитики'!BB559,WeightedMinAge20),MAX(CapacityAge20*'01_Вводные'!$B$218*'19_Расчет_аналитики'!BB559,MeanMinAge20)))</f>
        <v/>
      </c>
      <c r="BC483">
        <f>IF(OR('19_Расчет_аналитики'!BC455=0,20&lt;='01_Вводные'!$B$297),0,'19_Расчет_аналитики'!BC455*IF('01_Вводные'!$B$239="Да",MeanMinAge20+'19_Расчет_аналитики'!BC559*SUMIF(ThresholdAge20,"&lt;"&amp;'19_Расчет_аналитики'!BC559,WeightedRevAge20)-SUMIF(ThresholdAge20,"&lt;"&amp;'19_Расчет_аналитики'!BC559,WeightedMinAge20),MAX(CapacityAge20*'01_Вводные'!$B$218*'19_Расчет_аналитики'!BC559,MeanMinAge20)))</f>
        <v/>
      </c>
      <c r="BD483">
        <f>IF(OR('19_Расчет_аналитики'!BD455=0,20&lt;='01_Вводные'!$B$297),0,'19_Расчет_аналитики'!BD455*IF('01_Вводные'!$B$239="Да",MeanMinAge20+'19_Расчет_аналитики'!BD559*SUMIF(ThresholdAge20,"&lt;"&amp;'19_Расчет_аналитики'!BD559,WeightedRevAge20)-SUMIF(ThresholdAge20,"&lt;"&amp;'19_Расчет_аналитики'!BD559,WeightedMinAge20),MAX(CapacityAge20*'01_Вводные'!$B$218*'19_Расчет_аналитики'!BD559,MeanMinAge20)))</f>
        <v/>
      </c>
      <c r="BE483">
        <f>IF(OR('19_Расчет_аналитики'!BE455=0,20&lt;='01_Вводные'!$B$297),0,'19_Расчет_аналитики'!BE455*IF('01_Вводные'!$B$239="Да",MeanMinAge20+'19_Расчет_аналитики'!BE559*SUMIF(ThresholdAge20,"&lt;"&amp;'19_Расчет_аналитики'!BE559,WeightedRevAge20)-SUMIF(ThresholdAge20,"&lt;"&amp;'19_Расчет_аналитики'!BE559,WeightedMinAge20),MAX(CapacityAge20*'01_Вводные'!$B$218*'19_Расчет_аналитики'!BE559,MeanMinAge20)))</f>
        <v/>
      </c>
      <c r="BF483">
        <f>IF(OR('19_Расчет_аналитики'!BF455=0,20&lt;='01_Вводные'!$B$297),0,'19_Расчет_аналитики'!BF455*IF('01_Вводные'!$B$239="Да",MeanMinAge20+'19_Расчет_аналитики'!BF559*SUMIF(ThresholdAge20,"&lt;"&amp;'19_Расчет_аналитики'!BF559,WeightedRevAge20)-SUMIF(ThresholdAge20,"&lt;"&amp;'19_Расчет_аналитики'!BF559,WeightedMinAge20),MAX(CapacityAge20*'01_Вводные'!$B$218*'19_Расчет_аналитики'!BF559,MeanMinAge20)))</f>
        <v/>
      </c>
      <c r="BG483">
        <f>IF(OR('19_Расчет_аналитики'!BG455=0,20&lt;='01_Вводные'!$B$297),0,'19_Расчет_аналитики'!BG455*IF('01_Вводные'!$B$239="Да",MeanMinAge20+'19_Расчет_аналитики'!BG559*SUMIF(ThresholdAge20,"&lt;"&amp;'19_Расчет_аналитики'!BG559,WeightedRevAge20)-SUMIF(ThresholdAge20,"&lt;"&amp;'19_Расчет_аналитики'!BG559,WeightedMinAge20),MAX(CapacityAge20*'01_Вводные'!$B$218*'19_Расчет_аналитики'!BG559,MeanMinAge20)))</f>
        <v/>
      </c>
      <c r="BH483">
        <f>IF(OR('19_Расчет_аналитики'!BH455=0,20&lt;='01_Вводные'!$B$297),0,'19_Расчет_аналитики'!BH455*IF('01_Вводные'!$B$239="Да",MeanMinAge20+'19_Расчет_аналитики'!BH559*SUMIF(ThresholdAge20,"&lt;"&amp;'19_Расчет_аналитики'!BH559,WeightedRevAge20)-SUMIF(ThresholdAge20,"&lt;"&amp;'19_Расчет_аналитики'!BH559,WeightedMinAge20),MAX(CapacityAge20*'01_Вводные'!$B$218*'19_Расчет_аналитики'!BH559,MeanMinAge20)))</f>
        <v/>
      </c>
      <c r="BI483">
        <f>IF(OR('19_Расчет_аналитики'!BI455=0,20&lt;='01_Вводные'!$B$297),0,'19_Расчет_аналитики'!BI455*IF('01_Вводные'!$B$239="Да",MeanMinAge20+'19_Расчет_аналитики'!BI559*SUMIF(ThresholdAge20,"&lt;"&amp;'19_Расчет_аналитики'!BI559,WeightedRevAge20)-SUMIF(ThresholdAge20,"&lt;"&amp;'19_Расчет_аналитики'!BI559,WeightedMinAge20),MAX(CapacityAge20*'01_Вводные'!$B$218*'19_Расчет_аналитики'!BI559,MeanMinAge20)))</f>
        <v/>
      </c>
      <c r="BJ483">
        <f>IF(OR('19_Расчет_аналитики'!BJ455=0,20&lt;='01_Вводные'!$B$297),0,'19_Расчет_аналитики'!BJ455*IF('01_Вводные'!$B$239="Да",MeanMinAge20+'19_Расчет_аналитики'!BJ559*SUMIF(ThresholdAge20,"&lt;"&amp;'19_Расчет_аналитики'!BJ559,WeightedRevAge20)-SUMIF(ThresholdAge20,"&lt;"&amp;'19_Расчет_аналитики'!BJ559,WeightedMinAge20),MAX(CapacityAge20*'01_Вводные'!$B$218*'19_Расчет_аналитики'!BJ559,MeanMinAge20)))</f>
        <v/>
      </c>
      <c r="BK483">
        <f>IF(OR('19_Расчет_аналитики'!BK455=0,20&lt;='01_Вводные'!$B$297),0,'19_Расчет_аналитики'!BK455*IF('01_Вводные'!$B$239="Да",MeanMinAge20+'19_Расчет_аналитики'!BK559*SUMIF(ThresholdAge20,"&lt;"&amp;'19_Расчет_аналитики'!BK559,WeightedRevAge20)-SUMIF(ThresholdAge20,"&lt;"&amp;'19_Расчет_аналитики'!BK559,WeightedMinAge20),MAX(CapacityAge20*'01_Вводные'!$B$218*'19_Расчет_аналитики'!BK559,MeanMinAge20)))</f>
        <v/>
      </c>
      <c r="BL483">
        <f>IF(OR('19_Расчет_аналитики'!BL455=0,20&lt;='01_Вводные'!$B$297),0,'19_Расчет_аналитики'!BL455*IF('01_Вводные'!$B$239="Да",MeanMinAge20+'19_Расчет_аналитики'!BL559*SUMIF(ThresholdAge20,"&lt;"&amp;'19_Расчет_аналитики'!BL559,WeightedRevAge20)-SUMIF(ThresholdAge20,"&lt;"&amp;'19_Расчет_аналитики'!BL559,WeightedMinAge20),MAX(CapacityAge20*'01_Вводные'!$B$218*'19_Расчет_аналитики'!BL559,MeanMinAge20)))</f>
        <v/>
      </c>
      <c r="BM483">
        <f>IF(OR('19_Расчет_аналитики'!BM455=0,20&lt;='01_Вводные'!$B$297),0,'19_Расчет_аналитики'!BM455*IF('01_Вводные'!$B$239="Да",MeanMinAge20+'19_Расчет_аналитики'!BM559*SUMIF(ThresholdAge20,"&lt;"&amp;'19_Расчет_аналитики'!BM559,WeightedRevAge20)-SUMIF(ThresholdAge20,"&lt;"&amp;'19_Расчет_аналитики'!BM559,WeightedMinAge20),MAX(CapacityAge20*'01_Вводные'!$B$218*'19_Расчет_аналитики'!BM559,MeanMinAge20)))</f>
        <v/>
      </c>
      <c r="BN483">
        <f>IF(OR('19_Расчет_аналитики'!BN455=0,20&lt;='01_Вводные'!$B$297),0,'19_Расчет_аналитики'!BN455*IF('01_Вводные'!$B$239="Да",MeanMinAge20+'19_Расчет_аналитики'!BN559*SUMIF(ThresholdAge20,"&lt;"&amp;'19_Расчет_аналитики'!BN559,WeightedRevAge20)-SUMIF(ThresholdAge20,"&lt;"&amp;'19_Расчет_аналитики'!BN559,WeightedMinAge20),MAX(CapacityAge20*'01_Вводные'!$B$218*'19_Расчет_аналитики'!BN559,MeanMinAge20)))</f>
        <v/>
      </c>
      <c r="BO483">
        <f>IF(OR('19_Расчет_аналитики'!BO455=0,20&lt;='01_Вводные'!$B$297),0,'19_Расчет_аналитики'!BO455*IF('01_Вводные'!$B$239="Да",MeanMinAge20+'19_Расчет_аналитики'!BO559*SUMIF(ThresholdAge20,"&lt;"&amp;'19_Расчет_аналитики'!BO559,WeightedRevAge20)-SUMIF(ThresholdAge20,"&lt;"&amp;'19_Расчет_аналитики'!BO559,WeightedMinAge20),MAX(CapacityAge20*'01_Вводные'!$B$218*'19_Расчет_аналитики'!BO559,MeanMinAge20)))</f>
        <v/>
      </c>
    </row>
    <row r="484">
      <c r="B484">
        <f>IF(OR('06_Сеть_и_дети'!B101=0,21&lt;='01_Вводные'!$B$297),0,'06_Сеть_и_дети'!B101*IF('01_Вводные'!$B$239="Да",MeanMinAge21+'19_Расчет_аналитики'!B559*SUMIF(ThresholdAge21,"&lt;"&amp;'19_Расчет_аналитики'!B559,WeightedRevAge21)-SUMIF(ThresholdAge21,"&lt;"&amp;'19_Расчет_аналитики'!B559,WeightedMinAge21),MAX(CapacityAge21*'01_Вводные'!$B$218*'19_Расчет_аналитики'!B559,MeanMinAge21)))</f>
        <v/>
      </c>
      <c r="C484">
        <f>IF(OR('06_Сеть_и_дети'!C101=0,21&lt;='01_Вводные'!$B$297),0,'06_Сеть_и_дети'!C101*IF('01_Вводные'!$B$239="Да",MeanMinAge21+'19_Расчет_аналитики'!C559*SUMIF(ThresholdAge21,"&lt;"&amp;'19_Расчет_аналитики'!C559,WeightedRevAge21)-SUMIF(ThresholdAge21,"&lt;"&amp;'19_Расчет_аналитики'!C559,WeightedMinAge21),MAX(CapacityAge21*'01_Вводные'!$B$218*'19_Расчет_аналитики'!C559,MeanMinAge21)))</f>
        <v/>
      </c>
      <c r="D484">
        <f>IF(OR('06_Сеть_и_дети'!D101=0,21&lt;='01_Вводные'!$B$297),0,'06_Сеть_и_дети'!D101*IF('01_Вводные'!$B$239="Да",MeanMinAge21+'19_Расчет_аналитики'!D559*SUMIF(ThresholdAge21,"&lt;"&amp;'19_Расчет_аналитики'!D559,WeightedRevAge21)-SUMIF(ThresholdAge21,"&lt;"&amp;'19_Расчет_аналитики'!D559,WeightedMinAge21),MAX(CapacityAge21*'01_Вводные'!$B$218*'19_Расчет_аналитики'!D559,MeanMinAge21)))</f>
        <v/>
      </c>
      <c r="E484">
        <f>IF(OR('06_Сеть_и_дети'!E101=0,21&lt;='01_Вводные'!$B$297),0,'06_Сеть_и_дети'!E101*IF('01_Вводные'!$B$239="Да",MeanMinAge21+'19_Расчет_аналитики'!E559*SUMIF(ThresholdAge21,"&lt;"&amp;'19_Расчет_аналитики'!E559,WeightedRevAge21)-SUMIF(ThresholdAge21,"&lt;"&amp;'19_Расчет_аналитики'!E559,WeightedMinAge21),MAX(CapacityAge21*'01_Вводные'!$B$218*'19_Расчет_аналитики'!E559,MeanMinAge21)))</f>
        <v/>
      </c>
      <c r="F484">
        <f>IF(OR('06_Сеть_и_дети'!F101=0,21&lt;='01_Вводные'!$B$297),0,'06_Сеть_и_дети'!F101*IF('01_Вводные'!$B$239="Да",MeanMinAge21+'19_Расчет_аналитики'!F559*SUMIF(ThresholdAge21,"&lt;"&amp;'19_Расчет_аналитики'!F559,WeightedRevAge21)-SUMIF(ThresholdAge21,"&lt;"&amp;'19_Расчет_аналитики'!F559,WeightedMinAge21),MAX(CapacityAge21*'01_Вводные'!$B$218*'19_Расчет_аналитики'!F559,MeanMinAge21)))</f>
        <v/>
      </c>
      <c r="G484">
        <f>IF(OR('06_Сеть_и_дети'!G101=0,21&lt;='01_Вводные'!$B$297),0,'06_Сеть_и_дети'!G101*IF('01_Вводные'!$B$239="Да",MeanMinAge21+'19_Расчет_аналитики'!G559*SUMIF(ThresholdAge21,"&lt;"&amp;'19_Расчет_аналитики'!G559,WeightedRevAge21)-SUMIF(ThresholdAge21,"&lt;"&amp;'19_Расчет_аналитики'!G559,WeightedMinAge21),MAX(CapacityAge21*'01_Вводные'!$B$218*'19_Расчет_аналитики'!G559,MeanMinAge21)))</f>
        <v/>
      </c>
      <c r="H484">
        <f>IF(OR('06_Сеть_и_дети'!H101=0,21&lt;='01_Вводные'!$B$297),0,'06_Сеть_и_дети'!H101*IF('01_Вводные'!$B$239="Да",MeanMinAge21+'19_Расчет_аналитики'!H559*SUMIF(ThresholdAge21,"&lt;"&amp;'19_Расчет_аналитики'!H559,WeightedRevAge21)-SUMIF(ThresholdAge21,"&lt;"&amp;'19_Расчет_аналитики'!H559,WeightedMinAge21),MAX(CapacityAge21*'01_Вводные'!$B$218*'19_Расчет_аналитики'!H559,MeanMinAge21)))</f>
        <v/>
      </c>
      <c r="I484">
        <f>IF(OR('06_Сеть_и_дети'!I101=0,21&lt;='01_Вводные'!$B$297),0,'06_Сеть_и_дети'!I101*IF('01_Вводные'!$B$239="Да",MeanMinAge21+'19_Расчет_аналитики'!I559*SUMIF(ThresholdAge21,"&lt;"&amp;'19_Расчет_аналитики'!I559,WeightedRevAge21)-SUMIF(ThresholdAge21,"&lt;"&amp;'19_Расчет_аналитики'!I559,WeightedMinAge21),MAX(CapacityAge21*'01_Вводные'!$B$218*'19_Расчет_аналитики'!I559,MeanMinAge21)))</f>
        <v/>
      </c>
      <c r="J484">
        <f>IF(OR('06_Сеть_и_дети'!J101=0,21&lt;='01_Вводные'!$B$297),0,'06_Сеть_и_дети'!J101*IF('01_Вводные'!$B$239="Да",MeanMinAge21+'19_Расчет_аналитики'!J559*SUMIF(ThresholdAge21,"&lt;"&amp;'19_Расчет_аналитики'!J559,WeightedRevAge21)-SUMIF(ThresholdAge21,"&lt;"&amp;'19_Расчет_аналитики'!J559,WeightedMinAge21),MAX(CapacityAge21*'01_Вводные'!$B$218*'19_Расчет_аналитики'!J559,MeanMinAge21)))</f>
        <v/>
      </c>
      <c r="K484">
        <f>IF(OR('06_Сеть_и_дети'!K101=0,21&lt;='01_Вводные'!$B$297),0,'06_Сеть_и_дети'!K101*IF('01_Вводные'!$B$239="Да",MeanMinAge21+'19_Расчет_аналитики'!K559*SUMIF(ThresholdAge21,"&lt;"&amp;'19_Расчет_аналитики'!K559,WeightedRevAge21)-SUMIF(ThresholdAge21,"&lt;"&amp;'19_Расчет_аналитики'!K559,WeightedMinAge21),MAX(CapacityAge21*'01_Вводные'!$B$218*'19_Расчет_аналитики'!K559,MeanMinAge21)))</f>
        <v/>
      </c>
      <c r="L484">
        <f>IF(OR('06_Сеть_и_дети'!L101=0,21&lt;='01_Вводные'!$B$297),0,'06_Сеть_и_дети'!L101*IF('01_Вводные'!$B$239="Да",MeanMinAge21+'19_Расчет_аналитики'!L559*SUMIF(ThresholdAge21,"&lt;"&amp;'19_Расчет_аналитики'!L559,WeightedRevAge21)-SUMIF(ThresholdAge21,"&lt;"&amp;'19_Расчет_аналитики'!L559,WeightedMinAge21),MAX(CapacityAge21*'01_Вводные'!$B$218*'19_Расчет_аналитики'!L559,MeanMinAge21)))</f>
        <v/>
      </c>
      <c r="M484">
        <f>IF(OR('06_Сеть_и_дети'!M101=0,21&lt;='01_Вводные'!$B$297),0,'06_Сеть_и_дети'!M101*IF('01_Вводные'!$B$239="Да",MeanMinAge21+'19_Расчет_аналитики'!M559*SUMIF(ThresholdAge21,"&lt;"&amp;'19_Расчет_аналитики'!M559,WeightedRevAge21)-SUMIF(ThresholdAge21,"&lt;"&amp;'19_Расчет_аналитики'!M559,WeightedMinAge21),MAX(CapacityAge21*'01_Вводные'!$B$218*'19_Расчет_аналитики'!M559,MeanMinAge21)))</f>
        <v/>
      </c>
      <c r="N484">
        <f>IF(OR('06_Сеть_и_дети'!N101=0,21&lt;='01_Вводные'!$B$297),0,'06_Сеть_и_дети'!N101*IF('01_Вводные'!$B$239="Да",MeanMinAge21+'19_Расчет_аналитики'!N559*SUMIF(ThresholdAge21,"&lt;"&amp;'19_Расчет_аналитики'!N559,WeightedRevAge21)-SUMIF(ThresholdAge21,"&lt;"&amp;'19_Расчет_аналитики'!N559,WeightedMinAge21),MAX(CapacityAge21*'01_Вводные'!$B$218*'19_Расчет_аналитики'!N559,MeanMinAge21)))</f>
        <v/>
      </c>
      <c r="O484">
        <f>IF(OR('06_Сеть_и_дети'!O101=0,21&lt;='01_Вводные'!$B$297),0,'06_Сеть_и_дети'!O101*IF('01_Вводные'!$B$239="Да",MeanMinAge21+'19_Расчет_аналитики'!O559*SUMIF(ThresholdAge21,"&lt;"&amp;'19_Расчет_аналитики'!O559,WeightedRevAge21)-SUMIF(ThresholdAge21,"&lt;"&amp;'19_Расчет_аналитики'!O559,WeightedMinAge21),MAX(CapacityAge21*'01_Вводные'!$B$218*'19_Расчет_аналитики'!O559,MeanMinAge21)))</f>
        <v/>
      </c>
      <c r="P484">
        <f>IF(OR('06_Сеть_и_дети'!P101=0,21&lt;='01_Вводные'!$B$297),0,'06_Сеть_и_дети'!P101*IF('01_Вводные'!$B$239="Да",MeanMinAge21+'19_Расчет_аналитики'!P559*SUMIF(ThresholdAge21,"&lt;"&amp;'19_Расчет_аналитики'!P559,WeightedRevAge21)-SUMIF(ThresholdAge21,"&lt;"&amp;'19_Расчет_аналитики'!P559,WeightedMinAge21),MAX(CapacityAge21*'01_Вводные'!$B$218*'19_Расчет_аналитики'!P559,MeanMinAge21)))</f>
        <v/>
      </c>
      <c r="Q484">
        <f>IF(OR('06_Сеть_и_дети'!Q101=0,21&lt;='01_Вводные'!$B$297),0,'06_Сеть_и_дети'!Q101*IF('01_Вводные'!$B$239="Да",MeanMinAge21+'19_Расчет_аналитики'!Q559*SUMIF(ThresholdAge21,"&lt;"&amp;'19_Расчет_аналитики'!Q559,WeightedRevAge21)-SUMIF(ThresholdAge21,"&lt;"&amp;'19_Расчет_аналитики'!Q559,WeightedMinAge21),MAX(CapacityAge21*'01_Вводные'!$B$218*'19_Расчет_аналитики'!Q559,MeanMinAge21)))</f>
        <v/>
      </c>
      <c r="R484">
        <f>IF(OR('06_Сеть_и_дети'!R101=0,21&lt;='01_Вводные'!$B$297),0,'06_Сеть_и_дети'!R101*IF('01_Вводные'!$B$239="Да",MeanMinAge21+'19_Расчет_аналитики'!R559*SUMIF(ThresholdAge21,"&lt;"&amp;'19_Расчет_аналитики'!R559,WeightedRevAge21)-SUMIF(ThresholdAge21,"&lt;"&amp;'19_Расчет_аналитики'!R559,WeightedMinAge21),MAX(CapacityAge21*'01_Вводные'!$B$218*'19_Расчет_аналитики'!R559,MeanMinAge21)))</f>
        <v/>
      </c>
      <c r="S484">
        <f>IF(OR('06_Сеть_и_дети'!S101=0,21&lt;='01_Вводные'!$B$297),0,'06_Сеть_и_дети'!S101*IF('01_Вводные'!$B$239="Да",MeanMinAge21+'19_Расчет_аналитики'!S559*SUMIF(ThresholdAge21,"&lt;"&amp;'19_Расчет_аналитики'!S559,WeightedRevAge21)-SUMIF(ThresholdAge21,"&lt;"&amp;'19_Расчет_аналитики'!S559,WeightedMinAge21),MAX(CapacityAge21*'01_Вводные'!$B$218*'19_Расчет_аналитики'!S559,MeanMinAge21)))</f>
        <v/>
      </c>
      <c r="T484">
        <f>IF(OR('06_Сеть_и_дети'!T101=0,21&lt;='01_Вводные'!$B$297),0,'06_Сеть_и_дети'!T101*IF('01_Вводные'!$B$239="Да",MeanMinAge21+'19_Расчет_аналитики'!T559*SUMIF(ThresholdAge21,"&lt;"&amp;'19_Расчет_аналитики'!T559,WeightedRevAge21)-SUMIF(ThresholdAge21,"&lt;"&amp;'19_Расчет_аналитики'!T559,WeightedMinAge21),MAX(CapacityAge21*'01_Вводные'!$B$218*'19_Расчет_аналитики'!T559,MeanMinAge21)))</f>
        <v/>
      </c>
      <c r="U484">
        <f>IF(OR('06_Сеть_и_дети'!U101=0,21&lt;='01_Вводные'!$B$297),0,'06_Сеть_и_дети'!U101*IF('01_Вводные'!$B$239="Да",MeanMinAge21+'19_Расчет_аналитики'!U559*SUMIF(ThresholdAge21,"&lt;"&amp;'19_Расчет_аналитики'!U559,WeightedRevAge21)-SUMIF(ThresholdAge21,"&lt;"&amp;'19_Расчет_аналитики'!U559,WeightedMinAge21),MAX(CapacityAge21*'01_Вводные'!$B$218*'19_Расчет_аналитики'!U559,MeanMinAge21)))</f>
        <v/>
      </c>
      <c r="V484">
        <f>IF(OR('19_Расчет_аналитики'!V456=0,21&lt;='01_Вводные'!$B$297),0,'19_Расчет_аналитики'!V456*IF('01_Вводные'!$B$239="Да",MeanMinAge21+'19_Расчет_аналитики'!V559*SUMIF(ThresholdAge21,"&lt;"&amp;'19_Расчет_аналитики'!V559,WeightedRevAge21)-SUMIF(ThresholdAge21,"&lt;"&amp;'19_Расчет_аналитики'!V559,WeightedMinAge21),MAX(CapacityAge21*'01_Вводные'!$B$218*'19_Расчет_аналитики'!V559,MeanMinAge21)))</f>
        <v/>
      </c>
      <c r="W484">
        <f>IF(OR('19_Расчет_аналитики'!W456=0,21&lt;='01_Вводные'!$B$297),0,'19_Расчет_аналитики'!W456*IF('01_Вводные'!$B$239="Да",MeanMinAge21+'19_Расчет_аналитики'!W559*SUMIF(ThresholdAge21,"&lt;"&amp;'19_Расчет_аналитики'!W559,WeightedRevAge21)-SUMIF(ThresholdAge21,"&lt;"&amp;'19_Расчет_аналитики'!W559,WeightedMinAge21),MAX(CapacityAge21*'01_Вводные'!$B$218*'19_Расчет_аналитики'!W559,MeanMinAge21)))</f>
        <v/>
      </c>
      <c r="X484">
        <f>IF(OR('19_Расчет_аналитики'!X456=0,21&lt;='01_Вводные'!$B$297),0,'19_Расчет_аналитики'!X456*IF('01_Вводные'!$B$239="Да",MeanMinAge21+'19_Расчет_аналитики'!X559*SUMIF(ThresholdAge21,"&lt;"&amp;'19_Расчет_аналитики'!X559,WeightedRevAge21)-SUMIF(ThresholdAge21,"&lt;"&amp;'19_Расчет_аналитики'!X559,WeightedMinAge21),MAX(CapacityAge21*'01_Вводные'!$B$218*'19_Расчет_аналитики'!X559,MeanMinAge21)))</f>
        <v/>
      </c>
      <c r="Y484">
        <f>IF(OR('19_Расчет_аналитики'!Y456=0,21&lt;='01_Вводные'!$B$297),0,'19_Расчет_аналитики'!Y456*IF('01_Вводные'!$B$239="Да",MeanMinAge21+'19_Расчет_аналитики'!Y559*SUMIF(ThresholdAge21,"&lt;"&amp;'19_Расчет_аналитики'!Y559,WeightedRevAge21)-SUMIF(ThresholdAge21,"&lt;"&amp;'19_Расчет_аналитики'!Y559,WeightedMinAge21),MAX(CapacityAge21*'01_Вводные'!$B$218*'19_Расчет_аналитики'!Y559,MeanMinAge21)))</f>
        <v/>
      </c>
      <c r="Z484">
        <f>IF(OR('19_Расчет_аналитики'!Z456=0,21&lt;='01_Вводные'!$B$297),0,'19_Расчет_аналитики'!Z456*IF('01_Вводные'!$B$239="Да",MeanMinAge21+'19_Расчет_аналитики'!Z559*SUMIF(ThresholdAge21,"&lt;"&amp;'19_Расчет_аналитики'!Z559,WeightedRevAge21)-SUMIF(ThresholdAge21,"&lt;"&amp;'19_Расчет_аналитики'!Z559,WeightedMinAge21),MAX(CapacityAge21*'01_Вводные'!$B$218*'19_Расчет_аналитики'!Z559,MeanMinAge21)))</f>
        <v/>
      </c>
      <c r="AA484">
        <f>IF(OR('19_Расчет_аналитики'!AA456=0,21&lt;='01_Вводные'!$B$297),0,'19_Расчет_аналитики'!AA456*IF('01_Вводные'!$B$239="Да",MeanMinAge21+'19_Расчет_аналитики'!AA559*SUMIF(ThresholdAge21,"&lt;"&amp;'19_Расчет_аналитики'!AA559,WeightedRevAge21)-SUMIF(ThresholdAge21,"&lt;"&amp;'19_Расчет_аналитики'!AA559,WeightedMinAge21),MAX(CapacityAge21*'01_Вводные'!$B$218*'19_Расчет_аналитики'!AA559,MeanMinAge21)))</f>
        <v/>
      </c>
      <c r="AB484">
        <f>IF(OR('19_Расчет_аналитики'!AB456=0,21&lt;='01_Вводные'!$B$297),0,'19_Расчет_аналитики'!AB456*IF('01_Вводные'!$B$239="Да",MeanMinAge21+'19_Расчет_аналитики'!AB559*SUMIF(ThresholdAge21,"&lt;"&amp;'19_Расчет_аналитики'!AB559,WeightedRevAge21)-SUMIF(ThresholdAge21,"&lt;"&amp;'19_Расчет_аналитики'!AB559,WeightedMinAge21),MAX(CapacityAge21*'01_Вводные'!$B$218*'19_Расчет_аналитики'!AB559,MeanMinAge21)))</f>
        <v/>
      </c>
      <c r="AC484">
        <f>IF(OR('19_Расчет_аналитики'!AC456=0,21&lt;='01_Вводные'!$B$297),0,'19_Расчет_аналитики'!AC456*IF('01_Вводные'!$B$239="Да",MeanMinAge21+'19_Расчет_аналитики'!AC559*SUMIF(ThresholdAge21,"&lt;"&amp;'19_Расчет_аналитики'!AC559,WeightedRevAge21)-SUMIF(ThresholdAge21,"&lt;"&amp;'19_Расчет_аналитики'!AC559,WeightedMinAge21),MAX(CapacityAge21*'01_Вводные'!$B$218*'19_Расчет_аналитики'!AC559,MeanMinAge21)))</f>
        <v/>
      </c>
      <c r="AD484">
        <f>IF(OR('19_Расчет_аналитики'!AD456=0,21&lt;='01_Вводные'!$B$297),0,'19_Расчет_аналитики'!AD456*IF('01_Вводные'!$B$239="Да",MeanMinAge21+'19_Расчет_аналитики'!AD559*SUMIF(ThresholdAge21,"&lt;"&amp;'19_Расчет_аналитики'!AD559,WeightedRevAge21)-SUMIF(ThresholdAge21,"&lt;"&amp;'19_Расчет_аналитики'!AD559,WeightedMinAge21),MAX(CapacityAge21*'01_Вводные'!$B$218*'19_Расчет_аналитики'!AD559,MeanMinAge21)))</f>
        <v/>
      </c>
      <c r="AE484">
        <f>IF(OR('19_Расчет_аналитики'!AE456=0,21&lt;='01_Вводные'!$B$297),0,'19_Расчет_аналитики'!AE456*IF('01_Вводные'!$B$239="Да",MeanMinAge21+'19_Расчет_аналитики'!AE559*SUMIF(ThresholdAge21,"&lt;"&amp;'19_Расчет_аналитики'!AE559,WeightedRevAge21)-SUMIF(ThresholdAge21,"&lt;"&amp;'19_Расчет_аналитики'!AE559,WeightedMinAge21),MAX(CapacityAge21*'01_Вводные'!$B$218*'19_Расчет_аналитики'!AE559,MeanMinAge21)))</f>
        <v/>
      </c>
      <c r="AF484">
        <f>IF(OR('19_Расчет_аналитики'!AF456=0,21&lt;='01_Вводные'!$B$297),0,'19_Расчет_аналитики'!AF456*IF('01_Вводные'!$B$239="Да",MeanMinAge21+'19_Расчет_аналитики'!AF559*SUMIF(ThresholdAge21,"&lt;"&amp;'19_Расчет_аналитики'!AF559,WeightedRevAge21)-SUMIF(ThresholdAge21,"&lt;"&amp;'19_Расчет_аналитики'!AF559,WeightedMinAge21),MAX(CapacityAge21*'01_Вводные'!$B$218*'19_Расчет_аналитики'!AF559,MeanMinAge21)))</f>
        <v/>
      </c>
      <c r="AG484">
        <f>IF(OR('19_Расчет_аналитики'!AG456=0,21&lt;='01_Вводные'!$B$297),0,'19_Расчет_аналитики'!AG456*IF('01_Вводные'!$B$239="Да",MeanMinAge21+'19_Расчет_аналитики'!AG559*SUMIF(ThresholdAge21,"&lt;"&amp;'19_Расчет_аналитики'!AG559,WeightedRevAge21)-SUMIF(ThresholdAge21,"&lt;"&amp;'19_Расчет_аналитики'!AG559,WeightedMinAge21),MAX(CapacityAge21*'01_Вводные'!$B$218*'19_Расчет_аналитики'!AG559,MeanMinAge21)))</f>
        <v/>
      </c>
      <c r="AH484">
        <f>IF(OR('19_Расчет_аналитики'!AH456=0,21&lt;='01_Вводные'!$B$297),0,'19_Расчет_аналитики'!AH456*IF('01_Вводные'!$B$239="Да",MeanMinAge21+'19_Расчет_аналитики'!AH559*SUMIF(ThresholdAge21,"&lt;"&amp;'19_Расчет_аналитики'!AH559,WeightedRevAge21)-SUMIF(ThresholdAge21,"&lt;"&amp;'19_Расчет_аналитики'!AH559,WeightedMinAge21),MAX(CapacityAge21*'01_Вводные'!$B$218*'19_Расчет_аналитики'!AH559,MeanMinAge21)))</f>
        <v/>
      </c>
      <c r="AI484">
        <f>IF(OR('19_Расчет_аналитики'!AI456=0,21&lt;='01_Вводные'!$B$297),0,'19_Расчет_аналитики'!AI456*IF('01_Вводные'!$B$239="Да",MeanMinAge21+'19_Расчет_аналитики'!AI559*SUMIF(ThresholdAge21,"&lt;"&amp;'19_Расчет_аналитики'!AI559,WeightedRevAge21)-SUMIF(ThresholdAge21,"&lt;"&amp;'19_Расчет_аналитики'!AI559,WeightedMinAge21),MAX(CapacityAge21*'01_Вводные'!$B$218*'19_Расчет_аналитики'!AI559,MeanMinAge21)))</f>
        <v/>
      </c>
      <c r="AJ484">
        <f>IF(OR('19_Расчет_аналитики'!AJ456=0,21&lt;='01_Вводные'!$B$297),0,'19_Расчет_аналитики'!AJ456*IF('01_Вводные'!$B$239="Да",MeanMinAge21+'19_Расчет_аналитики'!AJ559*SUMIF(ThresholdAge21,"&lt;"&amp;'19_Расчет_аналитики'!AJ559,WeightedRevAge21)-SUMIF(ThresholdAge21,"&lt;"&amp;'19_Расчет_аналитики'!AJ559,WeightedMinAge21),MAX(CapacityAge21*'01_Вводные'!$B$218*'19_Расчет_аналитики'!AJ559,MeanMinAge21)))</f>
        <v/>
      </c>
      <c r="AK484">
        <f>IF(OR('19_Расчет_аналитики'!AK456=0,21&lt;='01_Вводные'!$B$297),0,'19_Расчет_аналитики'!AK456*IF('01_Вводные'!$B$239="Да",MeanMinAge21+'19_Расчет_аналитики'!AK559*SUMIF(ThresholdAge21,"&lt;"&amp;'19_Расчет_аналитики'!AK559,WeightedRevAge21)-SUMIF(ThresholdAge21,"&lt;"&amp;'19_Расчет_аналитики'!AK559,WeightedMinAge21),MAX(CapacityAge21*'01_Вводные'!$B$218*'19_Расчет_аналитики'!AK559,MeanMinAge21)))</f>
        <v/>
      </c>
      <c r="AL484">
        <f>IF(OR('19_Расчет_аналитики'!AL456=0,21&lt;='01_Вводные'!$B$297),0,'19_Расчет_аналитики'!AL456*IF('01_Вводные'!$B$239="Да",MeanMinAge21+'19_Расчет_аналитики'!AL559*SUMIF(ThresholdAge21,"&lt;"&amp;'19_Расчет_аналитики'!AL559,WeightedRevAge21)-SUMIF(ThresholdAge21,"&lt;"&amp;'19_Расчет_аналитики'!AL559,WeightedMinAge21),MAX(CapacityAge21*'01_Вводные'!$B$218*'19_Расчет_аналитики'!AL559,MeanMinAge21)))</f>
        <v/>
      </c>
      <c r="AM484">
        <f>IF(OR('19_Расчет_аналитики'!AM456=0,21&lt;='01_Вводные'!$B$297),0,'19_Расчет_аналитики'!AM456*IF('01_Вводные'!$B$239="Да",MeanMinAge21+'19_Расчет_аналитики'!AM559*SUMIF(ThresholdAge21,"&lt;"&amp;'19_Расчет_аналитики'!AM559,WeightedRevAge21)-SUMIF(ThresholdAge21,"&lt;"&amp;'19_Расчет_аналитики'!AM559,WeightedMinAge21),MAX(CapacityAge21*'01_Вводные'!$B$218*'19_Расчет_аналитики'!AM559,MeanMinAge21)))</f>
        <v/>
      </c>
      <c r="AN484">
        <f>IF(OR('19_Расчет_аналитики'!AN456=0,21&lt;='01_Вводные'!$B$297),0,'19_Расчет_аналитики'!AN456*IF('01_Вводные'!$B$239="Да",MeanMinAge21+'19_Расчет_аналитики'!AN559*SUMIF(ThresholdAge21,"&lt;"&amp;'19_Расчет_аналитики'!AN559,WeightedRevAge21)-SUMIF(ThresholdAge21,"&lt;"&amp;'19_Расчет_аналитики'!AN559,WeightedMinAge21),MAX(CapacityAge21*'01_Вводные'!$B$218*'19_Расчет_аналитики'!AN559,MeanMinAge21)))</f>
        <v/>
      </c>
      <c r="AO484">
        <f>IF(OR('19_Расчет_аналитики'!AO456=0,21&lt;='01_Вводные'!$B$297),0,'19_Расчет_аналитики'!AO456*IF('01_Вводные'!$B$239="Да",MeanMinAge21+'19_Расчет_аналитики'!AO559*SUMIF(ThresholdAge21,"&lt;"&amp;'19_Расчет_аналитики'!AO559,WeightedRevAge21)-SUMIF(ThresholdAge21,"&lt;"&amp;'19_Расчет_аналитики'!AO559,WeightedMinAge21),MAX(CapacityAge21*'01_Вводные'!$B$218*'19_Расчет_аналитики'!AO559,MeanMinAge21)))</f>
        <v/>
      </c>
      <c r="AP484">
        <f>IF(OR('19_Расчет_аналитики'!AP456=0,21&lt;='01_Вводные'!$B$297),0,'19_Расчет_аналитики'!AP456*IF('01_Вводные'!$B$239="Да",MeanMinAge21+'19_Расчет_аналитики'!AP559*SUMIF(ThresholdAge21,"&lt;"&amp;'19_Расчет_аналитики'!AP559,WeightedRevAge21)-SUMIF(ThresholdAge21,"&lt;"&amp;'19_Расчет_аналитики'!AP559,WeightedMinAge21),MAX(CapacityAge21*'01_Вводные'!$B$218*'19_Расчет_аналитики'!AP559,MeanMinAge21)))</f>
        <v/>
      </c>
      <c r="AQ484">
        <f>IF(OR('19_Расчет_аналитики'!AQ456=0,21&lt;='01_Вводные'!$B$297),0,'19_Расчет_аналитики'!AQ456*IF('01_Вводные'!$B$239="Да",MeanMinAge21+'19_Расчет_аналитики'!AQ559*SUMIF(ThresholdAge21,"&lt;"&amp;'19_Расчет_аналитики'!AQ559,WeightedRevAge21)-SUMIF(ThresholdAge21,"&lt;"&amp;'19_Расчет_аналитики'!AQ559,WeightedMinAge21),MAX(CapacityAge21*'01_Вводные'!$B$218*'19_Расчет_аналитики'!AQ559,MeanMinAge21)))</f>
        <v/>
      </c>
      <c r="AR484">
        <f>IF(OR('19_Расчет_аналитики'!AR456=0,21&lt;='01_Вводные'!$B$297),0,'19_Расчет_аналитики'!AR456*IF('01_Вводные'!$B$239="Да",MeanMinAge21+'19_Расчет_аналитики'!AR559*SUMIF(ThresholdAge21,"&lt;"&amp;'19_Расчет_аналитики'!AR559,WeightedRevAge21)-SUMIF(ThresholdAge21,"&lt;"&amp;'19_Расчет_аналитики'!AR559,WeightedMinAge21),MAX(CapacityAge21*'01_Вводные'!$B$218*'19_Расчет_аналитики'!AR559,MeanMinAge21)))</f>
        <v/>
      </c>
      <c r="AS484">
        <f>IF(OR('19_Расчет_аналитики'!AS456=0,21&lt;='01_Вводные'!$B$297),0,'19_Расчет_аналитики'!AS456*IF('01_Вводные'!$B$239="Да",MeanMinAge21+'19_Расчет_аналитики'!AS559*SUMIF(ThresholdAge21,"&lt;"&amp;'19_Расчет_аналитики'!AS559,WeightedRevAge21)-SUMIF(ThresholdAge21,"&lt;"&amp;'19_Расчет_аналитики'!AS559,WeightedMinAge21),MAX(CapacityAge21*'01_Вводные'!$B$218*'19_Расчет_аналитики'!AS559,MeanMinAge21)))</f>
        <v/>
      </c>
      <c r="AT484">
        <f>IF(OR('19_Расчет_аналитики'!AT456=0,21&lt;='01_Вводные'!$B$297),0,'19_Расчет_аналитики'!AT456*IF('01_Вводные'!$B$239="Да",MeanMinAge21+'19_Расчет_аналитики'!AT559*SUMIF(ThresholdAge21,"&lt;"&amp;'19_Расчет_аналитики'!AT559,WeightedRevAge21)-SUMIF(ThresholdAge21,"&lt;"&amp;'19_Расчет_аналитики'!AT559,WeightedMinAge21),MAX(CapacityAge21*'01_Вводные'!$B$218*'19_Расчет_аналитики'!AT559,MeanMinAge21)))</f>
        <v/>
      </c>
      <c r="AU484">
        <f>IF(OR('19_Расчет_аналитики'!AU456=0,21&lt;='01_Вводные'!$B$297),0,'19_Расчет_аналитики'!AU456*IF('01_Вводные'!$B$239="Да",MeanMinAge21+'19_Расчет_аналитики'!AU559*SUMIF(ThresholdAge21,"&lt;"&amp;'19_Расчет_аналитики'!AU559,WeightedRevAge21)-SUMIF(ThresholdAge21,"&lt;"&amp;'19_Расчет_аналитики'!AU559,WeightedMinAge21),MAX(CapacityAge21*'01_Вводные'!$B$218*'19_Расчет_аналитики'!AU559,MeanMinAge21)))</f>
        <v/>
      </c>
      <c r="AV484">
        <f>IF(OR('19_Расчет_аналитики'!AV456=0,21&lt;='01_Вводные'!$B$297),0,'19_Расчет_аналитики'!AV456*IF('01_Вводные'!$B$239="Да",MeanMinAge21+'19_Расчет_аналитики'!AV559*SUMIF(ThresholdAge21,"&lt;"&amp;'19_Расчет_аналитики'!AV559,WeightedRevAge21)-SUMIF(ThresholdAge21,"&lt;"&amp;'19_Расчет_аналитики'!AV559,WeightedMinAge21),MAX(CapacityAge21*'01_Вводные'!$B$218*'19_Расчет_аналитики'!AV559,MeanMinAge21)))</f>
        <v/>
      </c>
      <c r="AW484">
        <f>IF(OR('19_Расчет_аналитики'!AW456=0,21&lt;='01_Вводные'!$B$297),0,'19_Расчет_аналитики'!AW456*IF('01_Вводные'!$B$239="Да",MeanMinAge21+'19_Расчет_аналитики'!AW559*SUMIF(ThresholdAge21,"&lt;"&amp;'19_Расчет_аналитики'!AW559,WeightedRevAge21)-SUMIF(ThresholdAge21,"&lt;"&amp;'19_Расчет_аналитики'!AW559,WeightedMinAge21),MAX(CapacityAge21*'01_Вводные'!$B$218*'19_Расчет_аналитики'!AW559,MeanMinAge21)))</f>
        <v/>
      </c>
      <c r="AX484">
        <f>IF(OR('19_Расчет_аналитики'!AX456=0,21&lt;='01_Вводные'!$B$297),0,'19_Расчет_аналитики'!AX456*IF('01_Вводные'!$B$239="Да",MeanMinAge21+'19_Расчет_аналитики'!AX559*SUMIF(ThresholdAge21,"&lt;"&amp;'19_Расчет_аналитики'!AX559,WeightedRevAge21)-SUMIF(ThresholdAge21,"&lt;"&amp;'19_Расчет_аналитики'!AX559,WeightedMinAge21),MAX(CapacityAge21*'01_Вводные'!$B$218*'19_Расчет_аналитики'!AX559,MeanMinAge21)))</f>
        <v/>
      </c>
      <c r="AY484">
        <f>IF(OR('19_Расчет_аналитики'!AY456=0,21&lt;='01_Вводные'!$B$297),0,'19_Расчет_аналитики'!AY456*IF('01_Вводные'!$B$239="Да",MeanMinAge21+'19_Расчет_аналитики'!AY559*SUMIF(ThresholdAge21,"&lt;"&amp;'19_Расчет_аналитики'!AY559,WeightedRevAge21)-SUMIF(ThresholdAge21,"&lt;"&amp;'19_Расчет_аналитики'!AY559,WeightedMinAge21),MAX(CapacityAge21*'01_Вводные'!$B$218*'19_Расчет_аналитики'!AY559,MeanMinAge21)))</f>
        <v/>
      </c>
      <c r="AZ484">
        <f>IF(OR('19_Расчет_аналитики'!AZ456=0,21&lt;='01_Вводные'!$B$297),0,'19_Расчет_аналитики'!AZ456*IF('01_Вводные'!$B$239="Да",MeanMinAge21+'19_Расчет_аналитики'!AZ559*SUMIF(ThresholdAge21,"&lt;"&amp;'19_Расчет_аналитики'!AZ559,WeightedRevAge21)-SUMIF(ThresholdAge21,"&lt;"&amp;'19_Расчет_аналитики'!AZ559,WeightedMinAge21),MAX(CapacityAge21*'01_Вводные'!$B$218*'19_Расчет_аналитики'!AZ559,MeanMinAge21)))</f>
        <v/>
      </c>
      <c r="BA484">
        <f>IF(OR('19_Расчет_аналитики'!BA456=0,21&lt;='01_Вводные'!$B$297),0,'19_Расчет_аналитики'!BA456*IF('01_Вводные'!$B$239="Да",MeanMinAge21+'19_Расчет_аналитики'!BA559*SUMIF(ThresholdAge21,"&lt;"&amp;'19_Расчет_аналитики'!BA559,WeightedRevAge21)-SUMIF(ThresholdAge21,"&lt;"&amp;'19_Расчет_аналитики'!BA559,WeightedMinAge21),MAX(CapacityAge21*'01_Вводные'!$B$218*'19_Расчет_аналитики'!BA559,MeanMinAge21)))</f>
        <v/>
      </c>
      <c r="BB484">
        <f>IF(OR('19_Расчет_аналитики'!BB456=0,21&lt;='01_Вводные'!$B$297),0,'19_Расчет_аналитики'!BB456*IF('01_Вводные'!$B$239="Да",MeanMinAge21+'19_Расчет_аналитики'!BB559*SUMIF(ThresholdAge21,"&lt;"&amp;'19_Расчет_аналитики'!BB559,WeightedRevAge21)-SUMIF(ThresholdAge21,"&lt;"&amp;'19_Расчет_аналитики'!BB559,WeightedMinAge21),MAX(CapacityAge21*'01_Вводные'!$B$218*'19_Расчет_аналитики'!BB559,MeanMinAge21)))</f>
        <v/>
      </c>
      <c r="BC484">
        <f>IF(OR('19_Расчет_аналитики'!BC456=0,21&lt;='01_Вводные'!$B$297),0,'19_Расчет_аналитики'!BC456*IF('01_Вводные'!$B$239="Да",MeanMinAge21+'19_Расчет_аналитики'!BC559*SUMIF(ThresholdAge21,"&lt;"&amp;'19_Расчет_аналитики'!BC559,WeightedRevAge21)-SUMIF(ThresholdAge21,"&lt;"&amp;'19_Расчет_аналитики'!BC559,WeightedMinAge21),MAX(CapacityAge21*'01_Вводные'!$B$218*'19_Расчет_аналитики'!BC559,MeanMinAge21)))</f>
        <v/>
      </c>
      <c r="BD484">
        <f>IF(OR('19_Расчет_аналитики'!BD456=0,21&lt;='01_Вводные'!$B$297),0,'19_Расчет_аналитики'!BD456*IF('01_Вводные'!$B$239="Да",MeanMinAge21+'19_Расчет_аналитики'!BD559*SUMIF(ThresholdAge21,"&lt;"&amp;'19_Расчет_аналитики'!BD559,WeightedRevAge21)-SUMIF(ThresholdAge21,"&lt;"&amp;'19_Расчет_аналитики'!BD559,WeightedMinAge21),MAX(CapacityAge21*'01_Вводные'!$B$218*'19_Расчет_аналитики'!BD559,MeanMinAge21)))</f>
        <v/>
      </c>
      <c r="BE484">
        <f>IF(OR('19_Расчет_аналитики'!BE456=0,21&lt;='01_Вводные'!$B$297),0,'19_Расчет_аналитики'!BE456*IF('01_Вводные'!$B$239="Да",MeanMinAge21+'19_Расчет_аналитики'!BE559*SUMIF(ThresholdAge21,"&lt;"&amp;'19_Расчет_аналитики'!BE559,WeightedRevAge21)-SUMIF(ThresholdAge21,"&lt;"&amp;'19_Расчет_аналитики'!BE559,WeightedMinAge21),MAX(CapacityAge21*'01_Вводные'!$B$218*'19_Расчет_аналитики'!BE559,MeanMinAge21)))</f>
        <v/>
      </c>
      <c r="BF484">
        <f>IF(OR('19_Расчет_аналитики'!BF456=0,21&lt;='01_Вводные'!$B$297),0,'19_Расчет_аналитики'!BF456*IF('01_Вводные'!$B$239="Да",MeanMinAge21+'19_Расчет_аналитики'!BF559*SUMIF(ThresholdAge21,"&lt;"&amp;'19_Расчет_аналитики'!BF559,WeightedRevAge21)-SUMIF(ThresholdAge21,"&lt;"&amp;'19_Расчет_аналитики'!BF559,WeightedMinAge21),MAX(CapacityAge21*'01_Вводные'!$B$218*'19_Расчет_аналитики'!BF559,MeanMinAge21)))</f>
        <v/>
      </c>
      <c r="BG484">
        <f>IF(OR('19_Расчет_аналитики'!BG456=0,21&lt;='01_Вводные'!$B$297),0,'19_Расчет_аналитики'!BG456*IF('01_Вводные'!$B$239="Да",MeanMinAge21+'19_Расчет_аналитики'!BG559*SUMIF(ThresholdAge21,"&lt;"&amp;'19_Расчет_аналитики'!BG559,WeightedRevAge21)-SUMIF(ThresholdAge21,"&lt;"&amp;'19_Расчет_аналитики'!BG559,WeightedMinAge21),MAX(CapacityAge21*'01_Вводные'!$B$218*'19_Расчет_аналитики'!BG559,MeanMinAge21)))</f>
        <v/>
      </c>
      <c r="BH484">
        <f>IF(OR('19_Расчет_аналитики'!BH456=0,21&lt;='01_Вводные'!$B$297),0,'19_Расчет_аналитики'!BH456*IF('01_Вводные'!$B$239="Да",MeanMinAge21+'19_Расчет_аналитики'!BH559*SUMIF(ThresholdAge21,"&lt;"&amp;'19_Расчет_аналитики'!BH559,WeightedRevAge21)-SUMIF(ThresholdAge21,"&lt;"&amp;'19_Расчет_аналитики'!BH559,WeightedMinAge21),MAX(CapacityAge21*'01_Вводные'!$B$218*'19_Расчет_аналитики'!BH559,MeanMinAge21)))</f>
        <v/>
      </c>
      <c r="BI484">
        <f>IF(OR('19_Расчет_аналитики'!BI456=0,21&lt;='01_Вводные'!$B$297),0,'19_Расчет_аналитики'!BI456*IF('01_Вводные'!$B$239="Да",MeanMinAge21+'19_Расчет_аналитики'!BI559*SUMIF(ThresholdAge21,"&lt;"&amp;'19_Расчет_аналитики'!BI559,WeightedRevAge21)-SUMIF(ThresholdAge21,"&lt;"&amp;'19_Расчет_аналитики'!BI559,WeightedMinAge21),MAX(CapacityAge21*'01_Вводные'!$B$218*'19_Расчет_аналитики'!BI559,MeanMinAge21)))</f>
        <v/>
      </c>
      <c r="BJ484">
        <f>IF(OR('19_Расчет_аналитики'!BJ456=0,21&lt;='01_Вводные'!$B$297),0,'19_Расчет_аналитики'!BJ456*IF('01_Вводные'!$B$239="Да",MeanMinAge21+'19_Расчет_аналитики'!BJ559*SUMIF(ThresholdAge21,"&lt;"&amp;'19_Расчет_аналитики'!BJ559,WeightedRevAge21)-SUMIF(ThresholdAge21,"&lt;"&amp;'19_Расчет_аналитики'!BJ559,WeightedMinAge21),MAX(CapacityAge21*'01_Вводные'!$B$218*'19_Расчет_аналитики'!BJ559,MeanMinAge21)))</f>
        <v/>
      </c>
      <c r="BK484">
        <f>IF(OR('19_Расчет_аналитики'!BK456=0,21&lt;='01_Вводные'!$B$297),0,'19_Расчет_аналитики'!BK456*IF('01_Вводные'!$B$239="Да",MeanMinAge21+'19_Расчет_аналитики'!BK559*SUMIF(ThresholdAge21,"&lt;"&amp;'19_Расчет_аналитики'!BK559,WeightedRevAge21)-SUMIF(ThresholdAge21,"&lt;"&amp;'19_Расчет_аналитики'!BK559,WeightedMinAge21),MAX(CapacityAge21*'01_Вводные'!$B$218*'19_Расчет_аналитики'!BK559,MeanMinAge21)))</f>
        <v/>
      </c>
      <c r="BL484">
        <f>IF(OR('19_Расчет_аналитики'!BL456=0,21&lt;='01_Вводные'!$B$297),0,'19_Расчет_аналитики'!BL456*IF('01_Вводные'!$B$239="Да",MeanMinAge21+'19_Расчет_аналитики'!BL559*SUMIF(ThresholdAge21,"&lt;"&amp;'19_Расчет_аналитики'!BL559,WeightedRevAge21)-SUMIF(ThresholdAge21,"&lt;"&amp;'19_Расчет_аналитики'!BL559,WeightedMinAge21),MAX(CapacityAge21*'01_Вводные'!$B$218*'19_Расчет_аналитики'!BL559,MeanMinAge21)))</f>
        <v/>
      </c>
      <c r="BM484">
        <f>IF(OR('19_Расчет_аналитики'!BM456=0,21&lt;='01_Вводные'!$B$297),0,'19_Расчет_аналитики'!BM456*IF('01_Вводные'!$B$239="Да",MeanMinAge21+'19_Расчет_аналитики'!BM559*SUMIF(ThresholdAge21,"&lt;"&amp;'19_Расчет_аналитики'!BM559,WeightedRevAge21)-SUMIF(ThresholdAge21,"&lt;"&amp;'19_Расчет_аналитики'!BM559,WeightedMinAge21),MAX(CapacityAge21*'01_Вводные'!$B$218*'19_Расчет_аналитики'!BM559,MeanMinAge21)))</f>
        <v/>
      </c>
      <c r="BN484">
        <f>IF(OR('19_Расчет_аналитики'!BN456=0,21&lt;='01_Вводные'!$B$297),0,'19_Расчет_аналитики'!BN456*IF('01_Вводные'!$B$239="Да",MeanMinAge21+'19_Расчет_аналитики'!BN559*SUMIF(ThresholdAge21,"&lt;"&amp;'19_Расчет_аналитики'!BN559,WeightedRevAge21)-SUMIF(ThresholdAge21,"&lt;"&amp;'19_Расчет_аналитики'!BN559,WeightedMinAge21),MAX(CapacityAge21*'01_Вводные'!$B$218*'19_Расчет_аналитики'!BN559,MeanMinAge21)))</f>
        <v/>
      </c>
      <c r="BO484">
        <f>IF(OR('19_Расчет_аналитики'!BO456=0,21&lt;='01_Вводные'!$B$297),0,'19_Расчет_аналитики'!BO456*IF('01_Вводные'!$B$239="Да",MeanMinAge21+'19_Расчет_аналитики'!BO559*SUMIF(ThresholdAge21,"&lt;"&amp;'19_Расчет_аналитики'!BO559,WeightedRevAge21)-SUMIF(ThresholdAge21,"&lt;"&amp;'19_Расчет_аналитики'!BO559,WeightedMinAge21),MAX(CapacityAge21*'01_Вводные'!$B$218*'19_Расчет_аналитики'!BO559,MeanMinAge21)))</f>
        <v/>
      </c>
    </row>
    <row r="485">
      <c r="B485">
        <f>IF(OR('06_Сеть_и_дети'!B102=0,22&lt;='01_Вводные'!$B$297),0,'06_Сеть_и_дети'!B102*IF('01_Вводные'!$B$239="Да",MeanMinAge22+'19_Расчет_аналитики'!B559*SUMIF(ThresholdAge22,"&lt;"&amp;'19_Расчет_аналитики'!B559,WeightedRevAge22)-SUMIF(ThresholdAge22,"&lt;"&amp;'19_Расчет_аналитики'!B559,WeightedMinAge22),MAX(CapacityAge22*'01_Вводные'!$B$218*'19_Расчет_аналитики'!B559,MeanMinAge22)))</f>
        <v/>
      </c>
      <c r="C485">
        <f>IF(OR('06_Сеть_и_дети'!C102=0,22&lt;='01_Вводные'!$B$297),0,'06_Сеть_и_дети'!C102*IF('01_Вводные'!$B$239="Да",MeanMinAge22+'19_Расчет_аналитики'!C559*SUMIF(ThresholdAge22,"&lt;"&amp;'19_Расчет_аналитики'!C559,WeightedRevAge22)-SUMIF(ThresholdAge22,"&lt;"&amp;'19_Расчет_аналитики'!C559,WeightedMinAge22),MAX(CapacityAge22*'01_Вводные'!$B$218*'19_Расчет_аналитики'!C559,MeanMinAge22)))</f>
        <v/>
      </c>
      <c r="D485">
        <f>IF(OR('06_Сеть_и_дети'!D102=0,22&lt;='01_Вводные'!$B$297),0,'06_Сеть_и_дети'!D102*IF('01_Вводные'!$B$239="Да",MeanMinAge22+'19_Расчет_аналитики'!D559*SUMIF(ThresholdAge22,"&lt;"&amp;'19_Расчет_аналитики'!D559,WeightedRevAge22)-SUMIF(ThresholdAge22,"&lt;"&amp;'19_Расчет_аналитики'!D559,WeightedMinAge22),MAX(CapacityAge22*'01_Вводные'!$B$218*'19_Расчет_аналитики'!D559,MeanMinAge22)))</f>
        <v/>
      </c>
      <c r="E485">
        <f>IF(OR('06_Сеть_и_дети'!E102=0,22&lt;='01_Вводные'!$B$297),0,'06_Сеть_и_дети'!E102*IF('01_Вводные'!$B$239="Да",MeanMinAge22+'19_Расчет_аналитики'!E559*SUMIF(ThresholdAge22,"&lt;"&amp;'19_Расчет_аналитики'!E559,WeightedRevAge22)-SUMIF(ThresholdAge22,"&lt;"&amp;'19_Расчет_аналитики'!E559,WeightedMinAge22),MAX(CapacityAge22*'01_Вводные'!$B$218*'19_Расчет_аналитики'!E559,MeanMinAge22)))</f>
        <v/>
      </c>
      <c r="F485">
        <f>IF(OR('06_Сеть_и_дети'!F102=0,22&lt;='01_Вводные'!$B$297),0,'06_Сеть_и_дети'!F102*IF('01_Вводные'!$B$239="Да",MeanMinAge22+'19_Расчет_аналитики'!F559*SUMIF(ThresholdAge22,"&lt;"&amp;'19_Расчет_аналитики'!F559,WeightedRevAge22)-SUMIF(ThresholdAge22,"&lt;"&amp;'19_Расчет_аналитики'!F559,WeightedMinAge22),MAX(CapacityAge22*'01_Вводные'!$B$218*'19_Расчет_аналитики'!F559,MeanMinAge22)))</f>
        <v/>
      </c>
      <c r="G485">
        <f>IF(OR('06_Сеть_и_дети'!G102=0,22&lt;='01_Вводные'!$B$297),0,'06_Сеть_и_дети'!G102*IF('01_Вводные'!$B$239="Да",MeanMinAge22+'19_Расчет_аналитики'!G559*SUMIF(ThresholdAge22,"&lt;"&amp;'19_Расчет_аналитики'!G559,WeightedRevAge22)-SUMIF(ThresholdAge22,"&lt;"&amp;'19_Расчет_аналитики'!G559,WeightedMinAge22),MAX(CapacityAge22*'01_Вводные'!$B$218*'19_Расчет_аналитики'!G559,MeanMinAge22)))</f>
        <v/>
      </c>
      <c r="H485">
        <f>IF(OR('06_Сеть_и_дети'!H102=0,22&lt;='01_Вводные'!$B$297),0,'06_Сеть_и_дети'!H102*IF('01_Вводные'!$B$239="Да",MeanMinAge22+'19_Расчет_аналитики'!H559*SUMIF(ThresholdAge22,"&lt;"&amp;'19_Расчет_аналитики'!H559,WeightedRevAge22)-SUMIF(ThresholdAge22,"&lt;"&amp;'19_Расчет_аналитики'!H559,WeightedMinAge22),MAX(CapacityAge22*'01_Вводные'!$B$218*'19_Расчет_аналитики'!H559,MeanMinAge22)))</f>
        <v/>
      </c>
      <c r="I485">
        <f>IF(OR('06_Сеть_и_дети'!I102=0,22&lt;='01_Вводные'!$B$297),0,'06_Сеть_и_дети'!I102*IF('01_Вводные'!$B$239="Да",MeanMinAge22+'19_Расчет_аналитики'!I559*SUMIF(ThresholdAge22,"&lt;"&amp;'19_Расчет_аналитики'!I559,WeightedRevAge22)-SUMIF(ThresholdAge22,"&lt;"&amp;'19_Расчет_аналитики'!I559,WeightedMinAge22),MAX(CapacityAge22*'01_Вводные'!$B$218*'19_Расчет_аналитики'!I559,MeanMinAge22)))</f>
        <v/>
      </c>
      <c r="J485">
        <f>IF(OR('06_Сеть_и_дети'!J102=0,22&lt;='01_Вводные'!$B$297),0,'06_Сеть_и_дети'!J102*IF('01_Вводные'!$B$239="Да",MeanMinAge22+'19_Расчет_аналитики'!J559*SUMIF(ThresholdAge22,"&lt;"&amp;'19_Расчет_аналитики'!J559,WeightedRevAge22)-SUMIF(ThresholdAge22,"&lt;"&amp;'19_Расчет_аналитики'!J559,WeightedMinAge22),MAX(CapacityAge22*'01_Вводные'!$B$218*'19_Расчет_аналитики'!J559,MeanMinAge22)))</f>
        <v/>
      </c>
      <c r="K485">
        <f>IF(OR('06_Сеть_и_дети'!K102=0,22&lt;='01_Вводные'!$B$297),0,'06_Сеть_и_дети'!K102*IF('01_Вводные'!$B$239="Да",MeanMinAge22+'19_Расчет_аналитики'!K559*SUMIF(ThresholdAge22,"&lt;"&amp;'19_Расчет_аналитики'!K559,WeightedRevAge22)-SUMIF(ThresholdAge22,"&lt;"&amp;'19_Расчет_аналитики'!K559,WeightedMinAge22),MAX(CapacityAge22*'01_Вводные'!$B$218*'19_Расчет_аналитики'!K559,MeanMinAge22)))</f>
        <v/>
      </c>
      <c r="L485">
        <f>IF(OR('06_Сеть_и_дети'!L102=0,22&lt;='01_Вводные'!$B$297),0,'06_Сеть_и_дети'!L102*IF('01_Вводные'!$B$239="Да",MeanMinAge22+'19_Расчет_аналитики'!L559*SUMIF(ThresholdAge22,"&lt;"&amp;'19_Расчет_аналитики'!L559,WeightedRevAge22)-SUMIF(ThresholdAge22,"&lt;"&amp;'19_Расчет_аналитики'!L559,WeightedMinAge22),MAX(CapacityAge22*'01_Вводные'!$B$218*'19_Расчет_аналитики'!L559,MeanMinAge22)))</f>
        <v/>
      </c>
      <c r="M485">
        <f>IF(OR('06_Сеть_и_дети'!M102=0,22&lt;='01_Вводные'!$B$297),0,'06_Сеть_и_дети'!M102*IF('01_Вводные'!$B$239="Да",MeanMinAge22+'19_Расчет_аналитики'!M559*SUMIF(ThresholdAge22,"&lt;"&amp;'19_Расчет_аналитики'!M559,WeightedRevAge22)-SUMIF(ThresholdAge22,"&lt;"&amp;'19_Расчет_аналитики'!M559,WeightedMinAge22),MAX(CapacityAge22*'01_Вводные'!$B$218*'19_Расчет_аналитики'!M559,MeanMinAge22)))</f>
        <v/>
      </c>
      <c r="N485">
        <f>IF(OR('06_Сеть_и_дети'!N102=0,22&lt;='01_Вводные'!$B$297),0,'06_Сеть_и_дети'!N102*IF('01_Вводные'!$B$239="Да",MeanMinAge22+'19_Расчет_аналитики'!N559*SUMIF(ThresholdAge22,"&lt;"&amp;'19_Расчет_аналитики'!N559,WeightedRevAge22)-SUMIF(ThresholdAge22,"&lt;"&amp;'19_Расчет_аналитики'!N559,WeightedMinAge22),MAX(CapacityAge22*'01_Вводные'!$B$218*'19_Расчет_аналитики'!N559,MeanMinAge22)))</f>
        <v/>
      </c>
      <c r="O485">
        <f>IF(OR('06_Сеть_и_дети'!O102=0,22&lt;='01_Вводные'!$B$297),0,'06_Сеть_и_дети'!O102*IF('01_Вводные'!$B$239="Да",MeanMinAge22+'19_Расчет_аналитики'!O559*SUMIF(ThresholdAge22,"&lt;"&amp;'19_Расчет_аналитики'!O559,WeightedRevAge22)-SUMIF(ThresholdAge22,"&lt;"&amp;'19_Расчет_аналитики'!O559,WeightedMinAge22),MAX(CapacityAge22*'01_Вводные'!$B$218*'19_Расчет_аналитики'!O559,MeanMinAge22)))</f>
        <v/>
      </c>
      <c r="P485">
        <f>IF(OR('06_Сеть_и_дети'!P102=0,22&lt;='01_Вводные'!$B$297),0,'06_Сеть_и_дети'!P102*IF('01_Вводные'!$B$239="Да",MeanMinAge22+'19_Расчет_аналитики'!P559*SUMIF(ThresholdAge22,"&lt;"&amp;'19_Расчет_аналитики'!P559,WeightedRevAge22)-SUMIF(ThresholdAge22,"&lt;"&amp;'19_Расчет_аналитики'!P559,WeightedMinAge22),MAX(CapacityAge22*'01_Вводные'!$B$218*'19_Расчет_аналитики'!P559,MeanMinAge22)))</f>
        <v/>
      </c>
      <c r="Q485">
        <f>IF(OR('06_Сеть_и_дети'!Q102=0,22&lt;='01_Вводные'!$B$297),0,'06_Сеть_и_дети'!Q102*IF('01_Вводные'!$B$239="Да",MeanMinAge22+'19_Расчет_аналитики'!Q559*SUMIF(ThresholdAge22,"&lt;"&amp;'19_Расчет_аналитики'!Q559,WeightedRevAge22)-SUMIF(ThresholdAge22,"&lt;"&amp;'19_Расчет_аналитики'!Q559,WeightedMinAge22),MAX(CapacityAge22*'01_Вводные'!$B$218*'19_Расчет_аналитики'!Q559,MeanMinAge22)))</f>
        <v/>
      </c>
      <c r="R485">
        <f>IF(OR('06_Сеть_и_дети'!R102=0,22&lt;='01_Вводные'!$B$297),0,'06_Сеть_и_дети'!R102*IF('01_Вводные'!$B$239="Да",MeanMinAge22+'19_Расчет_аналитики'!R559*SUMIF(ThresholdAge22,"&lt;"&amp;'19_Расчет_аналитики'!R559,WeightedRevAge22)-SUMIF(ThresholdAge22,"&lt;"&amp;'19_Расчет_аналитики'!R559,WeightedMinAge22),MAX(CapacityAge22*'01_Вводные'!$B$218*'19_Расчет_аналитики'!R559,MeanMinAge22)))</f>
        <v/>
      </c>
      <c r="S485">
        <f>IF(OR('06_Сеть_и_дети'!S102=0,22&lt;='01_Вводные'!$B$297),0,'06_Сеть_и_дети'!S102*IF('01_Вводные'!$B$239="Да",MeanMinAge22+'19_Расчет_аналитики'!S559*SUMIF(ThresholdAge22,"&lt;"&amp;'19_Расчет_аналитики'!S559,WeightedRevAge22)-SUMIF(ThresholdAge22,"&lt;"&amp;'19_Расчет_аналитики'!S559,WeightedMinAge22),MAX(CapacityAge22*'01_Вводные'!$B$218*'19_Расчет_аналитики'!S559,MeanMinAge22)))</f>
        <v/>
      </c>
      <c r="T485">
        <f>IF(OR('06_Сеть_и_дети'!T102=0,22&lt;='01_Вводные'!$B$297),0,'06_Сеть_и_дети'!T102*IF('01_Вводные'!$B$239="Да",MeanMinAge22+'19_Расчет_аналитики'!T559*SUMIF(ThresholdAge22,"&lt;"&amp;'19_Расчет_аналитики'!T559,WeightedRevAge22)-SUMIF(ThresholdAge22,"&lt;"&amp;'19_Расчет_аналитики'!T559,WeightedMinAge22),MAX(CapacityAge22*'01_Вводные'!$B$218*'19_Расчет_аналитики'!T559,MeanMinAge22)))</f>
        <v/>
      </c>
      <c r="U485">
        <f>IF(OR('06_Сеть_и_дети'!U102=0,22&lt;='01_Вводные'!$B$297),0,'06_Сеть_и_дети'!U102*IF('01_Вводные'!$B$239="Да",MeanMinAge22+'19_Расчет_аналитики'!U559*SUMIF(ThresholdAge22,"&lt;"&amp;'19_Расчет_аналитики'!U559,WeightedRevAge22)-SUMIF(ThresholdAge22,"&lt;"&amp;'19_Расчет_аналитики'!U559,WeightedMinAge22),MAX(CapacityAge22*'01_Вводные'!$B$218*'19_Расчет_аналитики'!U559,MeanMinAge22)))</f>
        <v/>
      </c>
      <c r="V485">
        <f>IF(OR('06_Сеть_и_дети'!V102=0,22&lt;='01_Вводные'!$B$297),0,'06_Сеть_и_дети'!V102*IF('01_Вводные'!$B$239="Да",MeanMinAge22+'19_Расчет_аналитики'!V559*SUMIF(ThresholdAge22,"&lt;"&amp;'19_Расчет_аналитики'!V559,WeightedRevAge22)-SUMIF(ThresholdAge22,"&lt;"&amp;'19_Расчет_аналитики'!V559,WeightedMinAge22),MAX(CapacityAge22*'01_Вводные'!$B$218*'19_Расчет_аналитики'!V559,MeanMinAge22)))</f>
        <v/>
      </c>
      <c r="W485">
        <f>IF(OR('19_Расчет_аналитики'!W457=0,22&lt;='01_Вводные'!$B$297),0,'19_Расчет_аналитики'!W457*IF('01_Вводные'!$B$239="Да",MeanMinAge22+'19_Расчет_аналитики'!W559*SUMIF(ThresholdAge22,"&lt;"&amp;'19_Расчет_аналитики'!W559,WeightedRevAge22)-SUMIF(ThresholdAge22,"&lt;"&amp;'19_Расчет_аналитики'!W559,WeightedMinAge22),MAX(CapacityAge22*'01_Вводные'!$B$218*'19_Расчет_аналитики'!W559,MeanMinAge22)))</f>
        <v/>
      </c>
      <c r="X485">
        <f>IF(OR('19_Расчет_аналитики'!X457=0,22&lt;='01_Вводные'!$B$297),0,'19_Расчет_аналитики'!X457*IF('01_Вводные'!$B$239="Да",MeanMinAge22+'19_Расчет_аналитики'!X559*SUMIF(ThresholdAge22,"&lt;"&amp;'19_Расчет_аналитики'!X559,WeightedRevAge22)-SUMIF(ThresholdAge22,"&lt;"&amp;'19_Расчет_аналитики'!X559,WeightedMinAge22),MAX(CapacityAge22*'01_Вводные'!$B$218*'19_Расчет_аналитики'!X559,MeanMinAge22)))</f>
        <v/>
      </c>
      <c r="Y485">
        <f>IF(OR('19_Расчет_аналитики'!Y457=0,22&lt;='01_Вводные'!$B$297),0,'19_Расчет_аналитики'!Y457*IF('01_Вводные'!$B$239="Да",MeanMinAge22+'19_Расчет_аналитики'!Y559*SUMIF(ThresholdAge22,"&lt;"&amp;'19_Расчет_аналитики'!Y559,WeightedRevAge22)-SUMIF(ThresholdAge22,"&lt;"&amp;'19_Расчет_аналитики'!Y559,WeightedMinAge22),MAX(CapacityAge22*'01_Вводные'!$B$218*'19_Расчет_аналитики'!Y559,MeanMinAge22)))</f>
        <v/>
      </c>
      <c r="Z485">
        <f>IF(OR('19_Расчет_аналитики'!Z457=0,22&lt;='01_Вводные'!$B$297),0,'19_Расчет_аналитики'!Z457*IF('01_Вводные'!$B$239="Да",MeanMinAge22+'19_Расчет_аналитики'!Z559*SUMIF(ThresholdAge22,"&lt;"&amp;'19_Расчет_аналитики'!Z559,WeightedRevAge22)-SUMIF(ThresholdAge22,"&lt;"&amp;'19_Расчет_аналитики'!Z559,WeightedMinAge22),MAX(CapacityAge22*'01_Вводные'!$B$218*'19_Расчет_аналитики'!Z559,MeanMinAge22)))</f>
        <v/>
      </c>
      <c r="AA485">
        <f>IF(OR('19_Расчет_аналитики'!AA457=0,22&lt;='01_Вводные'!$B$297),0,'19_Расчет_аналитики'!AA457*IF('01_Вводные'!$B$239="Да",MeanMinAge22+'19_Расчет_аналитики'!AA559*SUMIF(ThresholdAge22,"&lt;"&amp;'19_Расчет_аналитики'!AA559,WeightedRevAge22)-SUMIF(ThresholdAge22,"&lt;"&amp;'19_Расчет_аналитики'!AA559,WeightedMinAge22),MAX(CapacityAge22*'01_Вводные'!$B$218*'19_Расчет_аналитики'!AA559,MeanMinAge22)))</f>
        <v/>
      </c>
      <c r="AB485">
        <f>IF(OR('19_Расчет_аналитики'!AB457=0,22&lt;='01_Вводные'!$B$297),0,'19_Расчет_аналитики'!AB457*IF('01_Вводные'!$B$239="Да",MeanMinAge22+'19_Расчет_аналитики'!AB559*SUMIF(ThresholdAge22,"&lt;"&amp;'19_Расчет_аналитики'!AB559,WeightedRevAge22)-SUMIF(ThresholdAge22,"&lt;"&amp;'19_Расчет_аналитики'!AB559,WeightedMinAge22),MAX(CapacityAge22*'01_Вводные'!$B$218*'19_Расчет_аналитики'!AB559,MeanMinAge22)))</f>
        <v/>
      </c>
      <c r="AC485">
        <f>IF(OR('19_Расчет_аналитики'!AC457=0,22&lt;='01_Вводные'!$B$297),0,'19_Расчет_аналитики'!AC457*IF('01_Вводные'!$B$239="Да",MeanMinAge22+'19_Расчет_аналитики'!AC559*SUMIF(ThresholdAge22,"&lt;"&amp;'19_Расчет_аналитики'!AC559,WeightedRevAge22)-SUMIF(ThresholdAge22,"&lt;"&amp;'19_Расчет_аналитики'!AC559,WeightedMinAge22),MAX(CapacityAge22*'01_Вводные'!$B$218*'19_Расчет_аналитики'!AC559,MeanMinAge22)))</f>
        <v/>
      </c>
      <c r="AD485">
        <f>IF(OR('19_Расчет_аналитики'!AD457=0,22&lt;='01_Вводные'!$B$297),0,'19_Расчет_аналитики'!AD457*IF('01_Вводные'!$B$239="Да",MeanMinAge22+'19_Расчет_аналитики'!AD559*SUMIF(ThresholdAge22,"&lt;"&amp;'19_Расчет_аналитики'!AD559,WeightedRevAge22)-SUMIF(ThresholdAge22,"&lt;"&amp;'19_Расчет_аналитики'!AD559,WeightedMinAge22),MAX(CapacityAge22*'01_Вводные'!$B$218*'19_Расчет_аналитики'!AD559,MeanMinAge22)))</f>
        <v/>
      </c>
      <c r="AE485">
        <f>IF(OR('19_Расчет_аналитики'!AE457=0,22&lt;='01_Вводные'!$B$297),0,'19_Расчет_аналитики'!AE457*IF('01_Вводные'!$B$239="Да",MeanMinAge22+'19_Расчет_аналитики'!AE559*SUMIF(ThresholdAge22,"&lt;"&amp;'19_Расчет_аналитики'!AE559,WeightedRevAge22)-SUMIF(ThresholdAge22,"&lt;"&amp;'19_Расчет_аналитики'!AE559,WeightedMinAge22),MAX(CapacityAge22*'01_Вводные'!$B$218*'19_Расчет_аналитики'!AE559,MeanMinAge22)))</f>
        <v/>
      </c>
      <c r="AF485">
        <f>IF(OR('19_Расчет_аналитики'!AF457=0,22&lt;='01_Вводные'!$B$297),0,'19_Расчет_аналитики'!AF457*IF('01_Вводные'!$B$239="Да",MeanMinAge22+'19_Расчет_аналитики'!AF559*SUMIF(ThresholdAge22,"&lt;"&amp;'19_Расчет_аналитики'!AF559,WeightedRevAge22)-SUMIF(ThresholdAge22,"&lt;"&amp;'19_Расчет_аналитики'!AF559,WeightedMinAge22),MAX(CapacityAge22*'01_Вводные'!$B$218*'19_Расчет_аналитики'!AF559,MeanMinAge22)))</f>
        <v/>
      </c>
      <c r="AG485">
        <f>IF(OR('19_Расчет_аналитики'!AG457=0,22&lt;='01_Вводные'!$B$297),0,'19_Расчет_аналитики'!AG457*IF('01_Вводные'!$B$239="Да",MeanMinAge22+'19_Расчет_аналитики'!AG559*SUMIF(ThresholdAge22,"&lt;"&amp;'19_Расчет_аналитики'!AG559,WeightedRevAge22)-SUMIF(ThresholdAge22,"&lt;"&amp;'19_Расчет_аналитики'!AG559,WeightedMinAge22),MAX(CapacityAge22*'01_Вводные'!$B$218*'19_Расчет_аналитики'!AG559,MeanMinAge22)))</f>
        <v/>
      </c>
      <c r="AH485">
        <f>IF(OR('19_Расчет_аналитики'!AH457=0,22&lt;='01_Вводные'!$B$297),0,'19_Расчет_аналитики'!AH457*IF('01_Вводные'!$B$239="Да",MeanMinAge22+'19_Расчет_аналитики'!AH559*SUMIF(ThresholdAge22,"&lt;"&amp;'19_Расчет_аналитики'!AH559,WeightedRevAge22)-SUMIF(ThresholdAge22,"&lt;"&amp;'19_Расчет_аналитики'!AH559,WeightedMinAge22),MAX(CapacityAge22*'01_Вводные'!$B$218*'19_Расчет_аналитики'!AH559,MeanMinAge22)))</f>
        <v/>
      </c>
      <c r="AI485">
        <f>IF(OR('19_Расчет_аналитики'!AI457=0,22&lt;='01_Вводные'!$B$297),0,'19_Расчет_аналитики'!AI457*IF('01_Вводные'!$B$239="Да",MeanMinAge22+'19_Расчет_аналитики'!AI559*SUMIF(ThresholdAge22,"&lt;"&amp;'19_Расчет_аналитики'!AI559,WeightedRevAge22)-SUMIF(ThresholdAge22,"&lt;"&amp;'19_Расчет_аналитики'!AI559,WeightedMinAge22),MAX(CapacityAge22*'01_Вводные'!$B$218*'19_Расчет_аналитики'!AI559,MeanMinAge22)))</f>
        <v/>
      </c>
      <c r="AJ485">
        <f>IF(OR('19_Расчет_аналитики'!AJ457=0,22&lt;='01_Вводные'!$B$297),0,'19_Расчет_аналитики'!AJ457*IF('01_Вводные'!$B$239="Да",MeanMinAge22+'19_Расчет_аналитики'!AJ559*SUMIF(ThresholdAge22,"&lt;"&amp;'19_Расчет_аналитики'!AJ559,WeightedRevAge22)-SUMIF(ThresholdAge22,"&lt;"&amp;'19_Расчет_аналитики'!AJ559,WeightedMinAge22),MAX(CapacityAge22*'01_Вводные'!$B$218*'19_Расчет_аналитики'!AJ559,MeanMinAge22)))</f>
        <v/>
      </c>
      <c r="AK485">
        <f>IF(OR('19_Расчет_аналитики'!AK457=0,22&lt;='01_Вводные'!$B$297),0,'19_Расчет_аналитики'!AK457*IF('01_Вводные'!$B$239="Да",MeanMinAge22+'19_Расчет_аналитики'!AK559*SUMIF(ThresholdAge22,"&lt;"&amp;'19_Расчет_аналитики'!AK559,WeightedRevAge22)-SUMIF(ThresholdAge22,"&lt;"&amp;'19_Расчет_аналитики'!AK559,WeightedMinAge22),MAX(CapacityAge22*'01_Вводные'!$B$218*'19_Расчет_аналитики'!AK559,MeanMinAge22)))</f>
        <v/>
      </c>
      <c r="AL485">
        <f>IF(OR('19_Расчет_аналитики'!AL457=0,22&lt;='01_Вводные'!$B$297),0,'19_Расчет_аналитики'!AL457*IF('01_Вводные'!$B$239="Да",MeanMinAge22+'19_Расчет_аналитики'!AL559*SUMIF(ThresholdAge22,"&lt;"&amp;'19_Расчет_аналитики'!AL559,WeightedRevAge22)-SUMIF(ThresholdAge22,"&lt;"&amp;'19_Расчет_аналитики'!AL559,WeightedMinAge22),MAX(CapacityAge22*'01_Вводные'!$B$218*'19_Расчет_аналитики'!AL559,MeanMinAge22)))</f>
        <v/>
      </c>
      <c r="AM485">
        <f>IF(OR('19_Расчет_аналитики'!AM457=0,22&lt;='01_Вводные'!$B$297),0,'19_Расчет_аналитики'!AM457*IF('01_Вводные'!$B$239="Да",MeanMinAge22+'19_Расчет_аналитики'!AM559*SUMIF(ThresholdAge22,"&lt;"&amp;'19_Расчет_аналитики'!AM559,WeightedRevAge22)-SUMIF(ThresholdAge22,"&lt;"&amp;'19_Расчет_аналитики'!AM559,WeightedMinAge22),MAX(CapacityAge22*'01_Вводные'!$B$218*'19_Расчет_аналитики'!AM559,MeanMinAge22)))</f>
        <v/>
      </c>
      <c r="AN485">
        <f>IF(OR('19_Расчет_аналитики'!AN457=0,22&lt;='01_Вводные'!$B$297),0,'19_Расчет_аналитики'!AN457*IF('01_Вводные'!$B$239="Да",MeanMinAge22+'19_Расчет_аналитики'!AN559*SUMIF(ThresholdAge22,"&lt;"&amp;'19_Расчет_аналитики'!AN559,WeightedRevAge22)-SUMIF(ThresholdAge22,"&lt;"&amp;'19_Расчет_аналитики'!AN559,WeightedMinAge22),MAX(CapacityAge22*'01_Вводные'!$B$218*'19_Расчет_аналитики'!AN559,MeanMinAge22)))</f>
        <v/>
      </c>
      <c r="AO485">
        <f>IF(OR('19_Расчет_аналитики'!AO457=0,22&lt;='01_Вводные'!$B$297),0,'19_Расчет_аналитики'!AO457*IF('01_Вводные'!$B$239="Да",MeanMinAge22+'19_Расчет_аналитики'!AO559*SUMIF(ThresholdAge22,"&lt;"&amp;'19_Расчет_аналитики'!AO559,WeightedRevAge22)-SUMIF(ThresholdAge22,"&lt;"&amp;'19_Расчет_аналитики'!AO559,WeightedMinAge22),MAX(CapacityAge22*'01_Вводные'!$B$218*'19_Расчет_аналитики'!AO559,MeanMinAge22)))</f>
        <v/>
      </c>
      <c r="AP485">
        <f>IF(OR('19_Расчет_аналитики'!AP457=0,22&lt;='01_Вводные'!$B$297),0,'19_Расчет_аналитики'!AP457*IF('01_Вводные'!$B$239="Да",MeanMinAge22+'19_Расчет_аналитики'!AP559*SUMIF(ThresholdAge22,"&lt;"&amp;'19_Расчет_аналитики'!AP559,WeightedRevAge22)-SUMIF(ThresholdAge22,"&lt;"&amp;'19_Расчет_аналитики'!AP559,WeightedMinAge22),MAX(CapacityAge22*'01_Вводные'!$B$218*'19_Расчет_аналитики'!AP559,MeanMinAge22)))</f>
        <v/>
      </c>
      <c r="AQ485">
        <f>IF(OR('19_Расчет_аналитики'!AQ457=0,22&lt;='01_Вводные'!$B$297),0,'19_Расчет_аналитики'!AQ457*IF('01_Вводные'!$B$239="Да",MeanMinAge22+'19_Расчет_аналитики'!AQ559*SUMIF(ThresholdAge22,"&lt;"&amp;'19_Расчет_аналитики'!AQ559,WeightedRevAge22)-SUMIF(ThresholdAge22,"&lt;"&amp;'19_Расчет_аналитики'!AQ559,WeightedMinAge22),MAX(CapacityAge22*'01_Вводные'!$B$218*'19_Расчет_аналитики'!AQ559,MeanMinAge22)))</f>
        <v/>
      </c>
      <c r="AR485">
        <f>IF(OR('19_Расчет_аналитики'!AR457=0,22&lt;='01_Вводные'!$B$297),0,'19_Расчет_аналитики'!AR457*IF('01_Вводные'!$B$239="Да",MeanMinAge22+'19_Расчет_аналитики'!AR559*SUMIF(ThresholdAge22,"&lt;"&amp;'19_Расчет_аналитики'!AR559,WeightedRevAge22)-SUMIF(ThresholdAge22,"&lt;"&amp;'19_Расчет_аналитики'!AR559,WeightedMinAge22),MAX(CapacityAge22*'01_Вводные'!$B$218*'19_Расчет_аналитики'!AR559,MeanMinAge22)))</f>
        <v/>
      </c>
      <c r="AS485">
        <f>IF(OR('19_Расчет_аналитики'!AS457=0,22&lt;='01_Вводные'!$B$297),0,'19_Расчет_аналитики'!AS457*IF('01_Вводные'!$B$239="Да",MeanMinAge22+'19_Расчет_аналитики'!AS559*SUMIF(ThresholdAge22,"&lt;"&amp;'19_Расчет_аналитики'!AS559,WeightedRevAge22)-SUMIF(ThresholdAge22,"&lt;"&amp;'19_Расчет_аналитики'!AS559,WeightedMinAge22),MAX(CapacityAge22*'01_Вводные'!$B$218*'19_Расчет_аналитики'!AS559,MeanMinAge22)))</f>
        <v/>
      </c>
      <c r="AT485">
        <f>IF(OR('19_Расчет_аналитики'!AT457=0,22&lt;='01_Вводные'!$B$297),0,'19_Расчет_аналитики'!AT457*IF('01_Вводные'!$B$239="Да",MeanMinAge22+'19_Расчет_аналитики'!AT559*SUMIF(ThresholdAge22,"&lt;"&amp;'19_Расчет_аналитики'!AT559,WeightedRevAge22)-SUMIF(ThresholdAge22,"&lt;"&amp;'19_Расчет_аналитики'!AT559,WeightedMinAge22),MAX(CapacityAge22*'01_Вводные'!$B$218*'19_Расчет_аналитики'!AT559,MeanMinAge22)))</f>
        <v/>
      </c>
      <c r="AU485">
        <f>IF(OR('19_Расчет_аналитики'!AU457=0,22&lt;='01_Вводные'!$B$297),0,'19_Расчет_аналитики'!AU457*IF('01_Вводные'!$B$239="Да",MeanMinAge22+'19_Расчет_аналитики'!AU559*SUMIF(ThresholdAge22,"&lt;"&amp;'19_Расчет_аналитики'!AU559,WeightedRevAge22)-SUMIF(ThresholdAge22,"&lt;"&amp;'19_Расчет_аналитики'!AU559,WeightedMinAge22),MAX(CapacityAge22*'01_Вводные'!$B$218*'19_Расчет_аналитики'!AU559,MeanMinAge22)))</f>
        <v/>
      </c>
      <c r="AV485">
        <f>IF(OR('19_Расчет_аналитики'!AV457=0,22&lt;='01_Вводные'!$B$297),0,'19_Расчет_аналитики'!AV457*IF('01_Вводные'!$B$239="Да",MeanMinAge22+'19_Расчет_аналитики'!AV559*SUMIF(ThresholdAge22,"&lt;"&amp;'19_Расчет_аналитики'!AV559,WeightedRevAge22)-SUMIF(ThresholdAge22,"&lt;"&amp;'19_Расчет_аналитики'!AV559,WeightedMinAge22),MAX(CapacityAge22*'01_Вводные'!$B$218*'19_Расчет_аналитики'!AV559,MeanMinAge22)))</f>
        <v/>
      </c>
      <c r="AW485">
        <f>IF(OR('19_Расчет_аналитики'!AW457=0,22&lt;='01_Вводные'!$B$297),0,'19_Расчет_аналитики'!AW457*IF('01_Вводные'!$B$239="Да",MeanMinAge22+'19_Расчет_аналитики'!AW559*SUMIF(ThresholdAge22,"&lt;"&amp;'19_Расчет_аналитики'!AW559,WeightedRevAge22)-SUMIF(ThresholdAge22,"&lt;"&amp;'19_Расчет_аналитики'!AW559,WeightedMinAge22),MAX(CapacityAge22*'01_Вводные'!$B$218*'19_Расчет_аналитики'!AW559,MeanMinAge22)))</f>
        <v/>
      </c>
      <c r="AX485">
        <f>IF(OR('19_Расчет_аналитики'!AX457=0,22&lt;='01_Вводные'!$B$297),0,'19_Расчет_аналитики'!AX457*IF('01_Вводные'!$B$239="Да",MeanMinAge22+'19_Расчет_аналитики'!AX559*SUMIF(ThresholdAge22,"&lt;"&amp;'19_Расчет_аналитики'!AX559,WeightedRevAge22)-SUMIF(ThresholdAge22,"&lt;"&amp;'19_Расчет_аналитики'!AX559,WeightedMinAge22),MAX(CapacityAge22*'01_Вводные'!$B$218*'19_Расчет_аналитики'!AX559,MeanMinAge22)))</f>
        <v/>
      </c>
      <c r="AY485">
        <f>IF(OR('19_Расчет_аналитики'!AY457=0,22&lt;='01_Вводные'!$B$297),0,'19_Расчет_аналитики'!AY457*IF('01_Вводные'!$B$239="Да",MeanMinAge22+'19_Расчет_аналитики'!AY559*SUMIF(ThresholdAge22,"&lt;"&amp;'19_Расчет_аналитики'!AY559,WeightedRevAge22)-SUMIF(ThresholdAge22,"&lt;"&amp;'19_Расчет_аналитики'!AY559,WeightedMinAge22),MAX(CapacityAge22*'01_Вводные'!$B$218*'19_Расчет_аналитики'!AY559,MeanMinAge22)))</f>
        <v/>
      </c>
      <c r="AZ485">
        <f>IF(OR('19_Расчет_аналитики'!AZ457=0,22&lt;='01_Вводные'!$B$297),0,'19_Расчет_аналитики'!AZ457*IF('01_Вводные'!$B$239="Да",MeanMinAge22+'19_Расчет_аналитики'!AZ559*SUMIF(ThresholdAge22,"&lt;"&amp;'19_Расчет_аналитики'!AZ559,WeightedRevAge22)-SUMIF(ThresholdAge22,"&lt;"&amp;'19_Расчет_аналитики'!AZ559,WeightedMinAge22),MAX(CapacityAge22*'01_Вводные'!$B$218*'19_Расчет_аналитики'!AZ559,MeanMinAge22)))</f>
        <v/>
      </c>
      <c r="BA485">
        <f>IF(OR('19_Расчет_аналитики'!BA457=0,22&lt;='01_Вводные'!$B$297),0,'19_Расчет_аналитики'!BA457*IF('01_Вводные'!$B$239="Да",MeanMinAge22+'19_Расчет_аналитики'!BA559*SUMIF(ThresholdAge22,"&lt;"&amp;'19_Расчет_аналитики'!BA559,WeightedRevAge22)-SUMIF(ThresholdAge22,"&lt;"&amp;'19_Расчет_аналитики'!BA559,WeightedMinAge22),MAX(CapacityAge22*'01_Вводные'!$B$218*'19_Расчет_аналитики'!BA559,MeanMinAge22)))</f>
        <v/>
      </c>
      <c r="BB485">
        <f>IF(OR('19_Расчет_аналитики'!BB457=0,22&lt;='01_Вводные'!$B$297),0,'19_Расчет_аналитики'!BB457*IF('01_Вводные'!$B$239="Да",MeanMinAge22+'19_Расчет_аналитики'!BB559*SUMIF(ThresholdAge22,"&lt;"&amp;'19_Расчет_аналитики'!BB559,WeightedRevAge22)-SUMIF(ThresholdAge22,"&lt;"&amp;'19_Расчет_аналитики'!BB559,WeightedMinAge22),MAX(CapacityAge22*'01_Вводные'!$B$218*'19_Расчет_аналитики'!BB559,MeanMinAge22)))</f>
        <v/>
      </c>
      <c r="BC485">
        <f>IF(OR('19_Расчет_аналитики'!BC457=0,22&lt;='01_Вводные'!$B$297),0,'19_Расчет_аналитики'!BC457*IF('01_Вводные'!$B$239="Да",MeanMinAge22+'19_Расчет_аналитики'!BC559*SUMIF(ThresholdAge22,"&lt;"&amp;'19_Расчет_аналитики'!BC559,WeightedRevAge22)-SUMIF(ThresholdAge22,"&lt;"&amp;'19_Расчет_аналитики'!BC559,WeightedMinAge22),MAX(CapacityAge22*'01_Вводные'!$B$218*'19_Расчет_аналитики'!BC559,MeanMinAge22)))</f>
        <v/>
      </c>
      <c r="BD485">
        <f>IF(OR('19_Расчет_аналитики'!BD457=0,22&lt;='01_Вводные'!$B$297),0,'19_Расчет_аналитики'!BD457*IF('01_Вводные'!$B$239="Да",MeanMinAge22+'19_Расчет_аналитики'!BD559*SUMIF(ThresholdAge22,"&lt;"&amp;'19_Расчет_аналитики'!BD559,WeightedRevAge22)-SUMIF(ThresholdAge22,"&lt;"&amp;'19_Расчет_аналитики'!BD559,WeightedMinAge22),MAX(CapacityAge22*'01_Вводные'!$B$218*'19_Расчет_аналитики'!BD559,MeanMinAge22)))</f>
        <v/>
      </c>
      <c r="BE485">
        <f>IF(OR('19_Расчет_аналитики'!BE457=0,22&lt;='01_Вводные'!$B$297),0,'19_Расчет_аналитики'!BE457*IF('01_Вводные'!$B$239="Да",MeanMinAge22+'19_Расчет_аналитики'!BE559*SUMIF(ThresholdAge22,"&lt;"&amp;'19_Расчет_аналитики'!BE559,WeightedRevAge22)-SUMIF(ThresholdAge22,"&lt;"&amp;'19_Расчет_аналитики'!BE559,WeightedMinAge22),MAX(CapacityAge22*'01_Вводные'!$B$218*'19_Расчет_аналитики'!BE559,MeanMinAge22)))</f>
        <v/>
      </c>
      <c r="BF485">
        <f>IF(OR('19_Расчет_аналитики'!BF457=0,22&lt;='01_Вводные'!$B$297),0,'19_Расчет_аналитики'!BF457*IF('01_Вводные'!$B$239="Да",MeanMinAge22+'19_Расчет_аналитики'!BF559*SUMIF(ThresholdAge22,"&lt;"&amp;'19_Расчет_аналитики'!BF559,WeightedRevAge22)-SUMIF(ThresholdAge22,"&lt;"&amp;'19_Расчет_аналитики'!BF559,WeightedMinAge22),MAX(CapacityAge22*'01_Вводные'!$B$218*'19_Расчет_аналитики'!BF559,MeanMinAge22)))</f>
        <v/>
      </c>
      <c r="BG485">
        <f>IF(OR('19_Расчет_аналитики'!BG457=0,22&lt;='01_Вводные'!$B$297),0,'19_Расчет_аналитики'!BG457*IF('01_Вводные'!$B$239="Да",MeanMinAge22+'19_Расчет_аналитики'!BG559*SUMIF(ThresholdAge22,"&lt;"&amp;'19_Расчет_аналитики'!BG559,WeightedRevAge22)-SUMIF(ThresholdAge22,"&lt;"&amp;'19_Расчет_аналитики'!BG559,WeightedMinAge22),MAX(CapacityAge22*'01_Вводные'!$B$218*'19_Расчет_аналитики'!BG559,MeanMinAge22)))</f>
        <v/>
      </c>
      <c r="BH485">
        <f>IF(OR('19_Расчет_аналитики'!BH457=0,22&lt;='01_Вводные'!$B$297),0,'19_Расчет_аналитики'!BH457*IF('01_Вводные'!$B$239="Да",MeanMinAge22+'19_Расчет_аналитики'!BH559*SUMIF(ThresholdAge22,"&lt;"&amp;'19_Расчет_аналитики'!BH559,WeightedRevAge22)-SUMIF(ThresholdAge22,"&lt;"&amp;'19_Расчет_аналитики'!BH559,WeightedMinAge22),MAX(CapacityAge22*'01_Вводные'!$B$218*'19_Расчет_аналитики'!BH559,MeanMinAge22)))</f>
        <v/>
      </c>
      <c r="BI485">
        <f>IF(OR('19_Расчет_аналитики'!BI457=0,22&lt;='01_Вводные'!$B$297),0,'19_Расчет_аналитики'!BI457*IF('01_Вводные'!$B$239="Да",MeanMinAge22+'19_Расчет_аналитики'!BI559*SUMIF(ThresholdAge22,"&lt;"&amp;'19_Расчет_аналитики'!BI559,WeightedRevAge22)-SUMIF(ThresholdAge22,"&lt;"&amp;'19_Расчет_аналитики'!BI559,WeightedMinAge22),MAX(CapacityAge22*'01_Вводные'!$B$218*'19_Расчет_аналитики'!BI559,MeanMinAge22)))</f>
        <v/>
      </c>
      <c r="BJ485">
        <f>IF(OR('19_Расчет_аналитики'!BJ457=0,22&lt;='01_Вводные'!$B$297),0,'19_Расчет_аналитики'!BJ457*IF('01_Вводные'!$B$239="Да",MeanMinAge22+'19_Расчет_аналитики'!BJ559*SUMIF(ThresholdAge22,"&lt;"&amp;'19_Расчет_аналитики'!BJ559,WeightedRevAge22)-SUMIF(ThresholdAge22,"&lt;"&amp;'19_Расчет_аналитики'!BJ559,WeightedMinAge22),MAX(CapacityAge22*'01_Вводные'!$B$218*'19_Расчет_аналитики'!BJ559,MeanMinAge22)))</f>
        <v/>
      </c>
      <c r="BK485">
        <f>IF(OR('19_Расчет_аналитики'!BK457=0,22&lt;='01_Вводные'!$B$297),0,'19_Расчет_аналитики'!BK457*IF('01_Вводные'!$B$239="Да",MeanMinAge22+'19_Расчет_аналитики'!BK559*SUMIF(ThresholdAge22,"&lt;"&amp;'19_Расчет_аналитики'!BK559,WeightedRevAge22)-SUMIF(ThresholdAge22,"&lt;"&amp;'19_Расчет_аналитики'!BK559,WeightedMinAge22),MAX(CapacityAge22*'01_Вводные'!$B$218*'19_Расчет_аналитики'!BK559,MeanMinAge22)))</f>
        <v/>
      </c>
      <c r="BL485">
        <f>IF(OR('19_Расчет_аналитики'!BL457=0,22&lt;='01_Вводные'!$B$297),0,'19_Расчет_аналитики'!BL457*IF('01_Вводные'!$B$239="Да",MeanMinAge22+'19_Расчет_аналитики'!BL559*SUMIF(ThresholdAge22,"&lt;"&amp;'19_Расчет_аналитики'!BL559,WeightedRevAge22)-SUMIF(ThresholdAge22,"&lt;"&amp;'19_Расчет_аналитики'!BL559,WeightedMinAge22),MAX(CapacityAge22*'01_Вводные'!$B$218*'19_Расчет_аналитики'!BL559,MeanMinAge22)))</f>
        <v/>
      </c>
      <c r="BM485">
        <f>IF(OR('19_Расчет_аналитики'!BM457=0,22&lt;='01_Вводные'!$B$297),0,'19_Расчет_аналитики'!BM457*IF('01_Вводные'!$B$239="Да",MeanMinAge22+'19_Расчет_аналитики'!BM559*SUMIF(ThresholdAge22,"&lt;"&amp;'19_Расчет_аналитики'!BM559,WeightedRevAge22)-SUMIF(ThresholdAge22,"&lt;"&amp;'19_Расчет_аналитики'!BM559,WeightedMinAge22),MAX(CapacityAge22*'01_Вводные'!$B$218*'19_Расчет_аналитики'!BM559,MeanMinAge22)))</f>
        <v/>
      </c>
      <c r="BN485">
        <f>IF(OR('19_Расчет_аналитики'!BN457=0,22&lt;='01_Вводные'!$B$297),0,'19_Расчет_аналитики'!BN457*IF('01_Вводные'!$B$239="Да",MeanMinAge22+'19_Расчет_аналитики'!BN559*SUMIF(ThresholdAge22,"&lt;"&amp;'19_Расчет_аналитики'!BN559,WeightedRevAge22)-SUMIF(ThresholdAge22,"&lt;"&amp;'19_Расчет_аналитики'!BN559,WeightedMinAge22),MAX(CapacityAge22*'01_Вводные'!$B$218*'19_Расчет_аналитики'!BN559,MeanMinAge22)))</f>
        <v/>
      </c>
      <c r="BO485">
        <f>IF(OR('19_Расчет_аналитики'!BO457=0,22&lt;='01_Вводные'!$B$297),0,'19_Расчет_аналитики'!BO457*IF('01_Вводные'!$B$239="Да",MeanMinAge22+'19_Расчет_аналитики'!BO559*SUMIF(ThresholdAge22,"&lt;"&amp;'19_Расчет_аналитики'!BO559,WeightedRevAge22)-SUMIF(ThresholdAge22,"&lt;"&amp;'19_Расчет_аналитики'!BO559,WeightedMinAge22),MAX(CapacityAge22*'01_Вводные'!$B$218*'19_Расчет_аналитики'!BO559,MeanMinAge22)))</f>
        <v/>
      </c>
    </row>
    <row r="486">
      <c r="B486">
        <f>IF(OR('06_Сеть_и_дети'!B103=0,23&lt;='01_Вводные'!$B$297),0,'06_Сеть_и_дети'!B103*IF('01_Вводные'!$B$239="Да",MeanMinAge23+'19_Расчет_аналитики'!B559*SUMIF(ThresholdAge23,"&lt;"&amp;'19_Расчет_аналитики'!B559,WeightedRevAge23)-SUMIF(ThresholdAge23,"&lt;"&amp;'19_Расчет_аналитики'!B559,WeightedMinAge23),MAX(CapacityAge23*'01_Вводные'!$B$218*'19_Расчет_аналитики'!B559,MeanMinAge23)))</f>
        <v/>
      </c>
      <c r="C486">
        <f>IF(OR('06_Сеть_и_дети'!C103=0,23&lt;='01_Вводные'!$B$297),0,'06_Сеть_и_дети'!C103*IF('01_Вводные'!$B$239="Да",MeanMinAge23+'19_Расчет_аналитики'!C559*SUMIF(ThresholdAge23,"&lt;"&amp;'19_Расчет_аналитики'!C559,WeightedRevAge23)-SUMIF(ThresholdAge23,"&lt;"&amp;'19_Расчет_аналитики'!C559,WeightedMinAge23),MAX(CapacityAge23*'01_Вводные'!$B$218*'19_Расчет_аналитики'!C559,MeanMinAge23)))</f>
        <v/>
      </c>
      <c r="D486">
        <f>IF(OR('06_Сеть_и_дети'!D103=0,23&lt;='01_Вводные'!$B$297),0,'06_Сеть_и_дети'!D103*IF('01_Вводные'!$B$239="Да",MeanMinAge23+'19_Расчет_аналитики'!D559*SUMIF(ThresholdAge23,"&lt;"&amp;'19_Расчет_аналитики'!D559,WeightedRevAge23)-SUMIF(ThresholdAge23,"&lt;"&amp;'19_Расчет_аналитики'!D559,WeightedMinAge23),MAX(CapacityAge23*'01_Вводные'!$B$218*'19_Расчет_аналитики'!D559,MeanMinAge23)))</f>
        <v/>
      </c>
      <c r="E486">
        <f>IF(OR('06_Сеть_и_дети'!E103=0,23&lt;='01_Вводные'!$B$297),0,'06_Сеть_и_дети'!E103*IF('01_Вводные'!$B$239="Да",MeanMinAge23+'19_Расчет_аналитики'!E559*SUMIF(ThresholdAge23,"&lt;"&amp;'19_Расчет_аналитики'!E559,WeightedRevAge23)-SUMIF(ThresholdAge23,"&lt;"&amp;'19_Расчет_аналитики'!E559,WeightedMinAge23),MAX(CapacityAge23*'01_Вводные'!$B$218*'19_Расчет_аналитики'!E559,MeanMinAge23)))</f>
        <v/>
      </c>
      <c r="F486">
        <f>IF(OR('06_Сеть_и_дети'!F103=0,23&lt;='01_Вводные'!$B$297),0,'06_Сеть_и_дети'!F103*IF('01_Вводные'!$B$239="Да",MeanMinAge23+'19_Расчет_аналитики'!F559*SUMIF(ThresholdAge23,"&lt;"&amp;'19_Расчет_аналитики'!F559,WeightedRevAge23)-SUMIF(ThresholdAge23,"&lt;"&amp;'19_Расчет_аналитики'!F559,WeightedMinAge23),MAX(CapacityAge23*'01_Вводные'!$B$218*'19_Расчет_аналитики'!F559,MeanMinAge23)))</f>
        <v/>
      </c>
      <c r="G486">
        <f>IF(OR('06_Сеть_и_дети'!G103=0,23&lt;='01_Вводные'!$B$297),0,'06_Сеть_и_дети'!G103*IF('01_Вводные'!$B$239="Да",MeanMinAge23+'19_Расчет_аналитики'!G559*SUMIF(ThresholdAge23,"&lt;"&amp;'19_Расчет_аналитики'!G559,WeightedRevAge23)-SUMIF(ThresholdAge23,"&lt;"&amp;'19_Расчет_аналитики'!G559,WeightedMinAge23),MAX(CapacityAge23*'01_Вводные'!$B$218*'19_Расчет_аналитики'!G559,MeanMinAge23)))</f>
        <v/>
      </c>
      <c r="H486">
        <f>IF(OR('06_Сеть_и_дети'!H103=0,23&lt;='01_Вводные'!$B$297),0,'06_Сеть_и_дети'!H103*IF('01_Вводные'!$B$239="Да",MeanMinAge23+'19_Расчет_аналитики'!H559*SUMIF(ThresholdAge23,"&lt;"&amp;'19_Расчет_аналитики'!H559,WeightedRevAge23)-SUMIF(ThresholdAge23,"&lt;"&amp;'19_Расчет_аналитики'!H559,WeightedMinAge23),MAX(CapacityAge23*'01_Вводные'!$B$218*'19_Расчет_аналитики'!H559,MeanMinAge23)))</f>
        <v/>
      </c>
      <c r="I486">
        <f>IF(OR('06_Сеть_и_дети'!I103=0,23&lt;='01_Вводные'!$B$297),0,'06_Сеть_и_дети'!I103*IF('01_Вводные'!$B$239="Да",MeanMinAge23+'19_Расчет_аналитики'!I559*SUMIF(ThresholdAge23,"&lt;"&amp;'19_Расчет_аналитики'!I559,WeightedRevAge23)-SUMIF(ThresholdAge23,"&lt;"&amp;'19_Расчет_аналитики'!I559,WeightedMinAge23),MAX(CapacityAge23*'01_Вводные'!$B$218*'19_Расчет_аналитики'!I559,MeanMinAge23)))</f>
        <v/>
      </c>
      <c r="J486">
        <f>IF(OR('06_Сеть_и_дети'!J103=0,23&lt;='01_Вводные'!$B$297),0,'06_Сеть_и_дети'!J103*IF('01_Вводные'!$B$239="Да",MeanMinAge23+'19_Расчет_аналитики'!J559*SUMIF(ThresholdAge23,"&lt;"&amp;'19_Расчет_аналитики'!J559,WeightedRevAge23)-SUMIF(ThresholdAge23,"&lt;"&amp;'19_Расчет_аналитики'!J559,WeightedMinAge23),MAX(CapacityAge23*'01_Вводные'!$B$218*'19_Расчет_аналитики'!J559,MeanMinAge23)))</f>
        <v/>
      </c>
      <c r="K486">
        <f>IF(OR('06_Сеть_и_дети'!K103=0,23&lt;='01_Вводные'!$B$297),0,'06_Сеть_и_дети'!K103*IF('01_Вводные'!$B$239="Да",MeanMinAge23+'19_Расчет_аналитики'!K559*SUMIF(ThresholdAge23,"&lt;"&amp;'19_Расчет_аналитики'!K559,WeightedRevAge23)-SUMIF(ThresholdAge23,"&lt;"&amp;'19_Расчет_аналитики'!K559,WeightedMinAge23),MAX(CapacityAge23*'01_Вводные'!$B$218*'19_Расчет_аналитики'!K559,MeanMinAge23)))</f>
        <v/>
      </c>
      <c r="L486">
        <f>IF(OR('06_Сеть_и_дети'!L103=0,23&lt;='01_Вводные'!$B$297),0,'06_Сеть_и_дети'!L103*IF('01_Вводные'!$B$239="Да",MeanMinAge23+'19_Расчет_аналитики'!L559*SUMIF(ThresholdAge23,"&lt;"&amp;'19_Расчет_аналитики'!L559,WeightedRevAge23)-SUMIF(ThresholdAge23,"&lt;"&amp;'19_Расчет_аналитики'!L559,WeightedMinAge23),MAX(CapacityAge23*'01_Вводные'!$B$218*'19_Расчет_аналитики'!L559,MeanMinAge23)))</f>
        <v/>
      </c>
      <c r="M486">
        <f>IF(OR('06_Сеть_и_дети'!M103=0,23&lt;='01_Вводные'!$B$297),0,'06_Сеть_и_дети'!M103*IF('01_Вводные'!$B$239="Да",MeanMinAge23+'19_Расчет_аналитики'!M559*SUMIF(ThresholdAge23,"&lt;"&amp;'19_Расчет_аналитики'!M559,WeightedRevAge23)-SUMIF(ThresholdAge23,"&lt;"&amp;'19_Расчет_аналитики'!M559,WeightedMinAge23),MAX(CapacityAge23*'01_Вводные'!$B$218*'19_Расчет_аналитики'!M559,MeanMinAge23)))</f>
        <v/>
      </c>
      <c r="N486">
        <f>IF(OR('06_Сеть_и_дети'!N103=0,23&lt;='01_Вводные'!$B$297),0,'06_Сеть_и_дети'!N103*IF('01_Вводные'!$B$239="Да",MeanMinAge23+'19_Расчет_аналитики'!N559*SUMIF(ThresholdAge23,"&lt;"&amp;'19_Расчет_аналитики'!N559,WeightedRevAge23)-SUMIF(ThresholdAge23,"&lt;"&amp;'19_Расчет_аналитики'!N559,WeightedMinAge23),MAX(CapacityAge23*'01_Вводные'!$B$218*'19_Расчет_аналитики'!N559,MeanMinAge23)))</f>
        <v/>
      </c>
      <c r="O486">
        <f>IF(OR('06_Сеть_и_дети'!O103=0,23&lt;='01_Вводные'!$B$297),0,'06_Сеть_и_дети'!O103*IF('01_Вводные'!$B$239="Да",MeanMinAge23+'19_Расчет_аналитики'!O559*SUMIF(ThresholdAge23,"&lt;"&amp;'19_Расчет_аналитики'!O559,WeightedRevAge23)-SUMIF(ThresholdAge23,"&lt;"&amp;'19_Расчет_аналитики'!O559,WeightedMinAge23),MAX(CapacityAge23*'01_Вводные'!$B$218*'19_Расчет_аналитики'!O559,MeanMinAge23)))</f>
        <v/>
      </c>
      <c r="P486">
        <f>IF(OR('06_Сеть_и_дети'!P103=0,23&lt;='01_Вводные'!$B$297),0,'06_Сеть_и_дети'!P103*IF('01_Вводные'!$B$239="Да",MeanMinAge23+'19_Расчет_аналитики'!P559*SUMIF(ThresholdAge23,"&lt;"&amp;'19_Расчет_аналитики'!P559,WeightedRevAge23)-SUMIF(ThresholdAge23,"&lt;"&amp;'19_Расчет_аналитики'!P559,WeightedMinAge23),MAX(CapacityAge23*'01_Вводные'!$B$218*'19_Расчет_аналитики'!P559,MeanMinAge23)))</f>
        <v/>
      </c>
      <c r="Q486">
        <f>IF(OR('06_Сеть_и_дети'!Q103=0,23&lt;='01_Вводные'!$B$297),0,'06_Сеть_и_дети'!Q103*IF('01_Вводные'!$B$239="Да",MeanMinAge23+'19_Расчет_аналитики'!Q559*SUMIF(ThresholdAge23,"&lt;"&amp;'19_Расчет_аналитики'!Q559,WeightedRevAge23)-SUMIF(ThresholdAge23,"&lt;"&amp;'19_Расчет_аналитики'!Q559,WeightedMinAge23),MAX(CapacityAge23*'01_Вводные'!$B$218*'19_Расчет_аналитики'!Q559,MeanMinAge23)))</f>
        <v/>
      </c>
      <c r="R486">
        <f>IF(OR('06_Сеть_и_дети'!R103=0,23&lt;='01_Вводные'!$B$297),0,'06_Сеть_и_дети'!R103*IF('01_Вводные'!$B$239="Да",MeanMinAge23+'19_Расчет_аналитики'!R559*SUMIF(ThresholdAge23,"&lt;"&amp;'19_Расчет_аналитики'!R559,WeightedRevAge23)-SUMIF(ThresholdAge23,"&lt;"&amp;'19_Расчет_аналитики'!R559,WeightedMinAge23),MAX(CapacityAge23*'01_Вводные'!$B$218*'19_Расчет_аналитики'!R559,MeanMinAge23)))</f>
        <v/>
      </c>
      <c r="S486">
        <f>IF(OR('06_Сеть_и_дети'!S103=0,23&lt;='01_Вводные'!$B$297),0,'06_Сеть_и_дети'!S103*IF('01_Вводные'!$B$239="Да",MeanMinAge23+'19_Расчет_аналитики'!S559*SUMIF(ThresholdAge23,"&lt;"&amp;'19_Расчет_аналитики'!S559,WeightedRevAge23)-SUMIF(ThresholdAge23,"&lt;"&amp;'19_Расчет_аналитики'!S559,WeightedMinAge23),MAX(CapacityAge23*'01_Вводные'!$B$218*'19_Расчет_аналитики'!S559,MeanMinAge23)))</f>
        <v/>
      </c>
      <c r="T486">
        <f>IF(OR('06_Сеть_и_дети'!T103=0,23&lt;='01_Вводные'!$B$297),0,'06_Сеть_и_дети'!T103*IF('01_Вводные'!$B$239="Да",MeanMinAge23+'19_Расчет_аналитики'!T559*SUMIF(ThresholdAge23,"&lt;"&amp;'19_Расчет_аналитики'!T559,WeightedRevAge23)-SUMIF(ThresholdAge23,"&lt;"&amp;'19_Расчет_аналитики'!T559,WeightedMinAge23),MAX(CapacityAge23*'01_Вводные'!$B$218*'19_Расчет_аналитики'!T559,MeanMinAge23)))</f>
        <v/>
      </c>
      <c r="U486">
        <f>IF(OR('06_Сеть_и_дети'!U103=0,23&lt;='01_Вводные'!$B$297),0,'06_Сеть_и_дети'!U103*IF('01_Вводные'!$B$239="Да",MeanMinAge23+'19_Расчет_аналитики'!U559*SUMIF(ThresholdAge23,"&lt;"&amp;'19_Расчет_аналитики'!U559,WeightedRevAge23)-SUMIF(ThresholdAge23,"&lt;"&amp;'19_Расчет_аналитики'!U559,WeightedMinAge23),MAX(CapacityAge23*'01_Вводные'!$B$218*'19_Расчет_аналитики'!U559,MeanMinAge23)))</f>
        <v/>
      </c>
      <c r="V486">
        <f>IF(OR('06_Сеть_и_дети'!V103=0,23&lt;='01_Вводные'!$B$297),0,'06_Сеть_и_дети'!V103*IF('01_Вводные'!$B$239="Да",MeanMinAge23+'19_Расчет_аналитики'!V559*SUMIF(ThresholdAge23,"&lt;"&amp;'19_Расчет_аналитики'!V559,WeightedRevAge23)-SUMIF(ThresholdAge23,"&lt;"&amp;'19_Расчет_аналитики'!V559,WeightedMinAge23),MAX(CapacityAge23*'01_Вводные'!$B$218*'19_Расчет_аналитики'!V559,MeanMinAge23)))</f>
        <v/>
      </c>
      <c r="W486">
        <f>IF(OR('06_Сеть_и_дети'!W103=0,23&lt;='01_Вводные'!$B$297),0,'06_Сеть_и_дети'!W103*IF('01_Вводные'!$B$239="Да",MeanMinAge23+'19_Расчет_аналитики'!W559*SUMIF(ThresholdAge23,"&lt;"&amp;'19_Расчет_аналитики'!W559,WeightedRevAge23)-SUMIF(ThresholdAge23,"&lt;"&amp;'19_Расчет_аналитики'!W559,WeightedMinAge23),MAX(CapacityAge23*'01_Вводные'!$B$218*'19_Расчет_аналитики'!W559,MeanMinAge23)))</f>
        <v/>
      </c>
      <c r="X486">
        <f>IF(OR('19_Расчет_аналитики'!X458=0,23&lt;='01_Вводные'!$B$297),0,'19_Расчет_аналитики'!X458*IF('01_Вводные'!$B$239="Да",MeanMinAge23+'19_Расчет_аналитики'!X559*SUMIF(ThresholdAge23,"&lt;"&amp;'19_Расчет_аналитики'!X559,WeightedRevAge23)-SUMIF(ThresholdAge23,"&lt;"&amp;'19_Расчет_аналитики'!X559,WeightedMinAge23),MAX(CapacityAge23*'01_Вводные'!$B$218*'19_Расчет_аналитики'!X559,MeanMinAge23)))</f>
        <v/>
      </c>
      <c r="Y486">
        <f>IF(OR('19_Расчет_аналитики'!Y458=0,23&lt;='01_Вводные'!$B$297),0,'19_Расчет_аналитики'!Y458*IF('01_Вводные'!$B$239="Да",MeanMinAge23+'19_Расчет_аналитики'!Y559*SUMIF(ThresholdAge23,"&lt;"&amp;'19_Расчет_аналитики'!Y559,WeightedRevAge23)-SUMIF(ThresholdAge23,"&lt;"&amp;'19_Расчет_аналитики'!Y559,WeightedMinAge23),MAX(CapacityAge23*'01_Вводные'!$B$218*'19_Расчет_аналитики'!Y559,MeanMinAge23)))</f>
        <v/>
      </c>
      <c r="Z486">
        <f>IF(OR('19_Расчет_аналитики'!Z458=0,23&lt;='01_Вводные'!$B$297),0,'19_Расчет_аналитики'!Z458*IF('01_Вводные'!$B$239="Да",MeanMinAge23+'19_Расчет_аналитики'!Z559*SUMIF(ThresholdAge23,"&lt;"&amp;'19_Расчет_аналитики'!Z559,WeightedRevAge23)-SUMIF(ThresholdAge23,"&lt;"&amp;'19_Расчет_аналитики'!Z559,WeightedMinAge23),MAX(CapacityAge23*'01_Вводные'!$B$218*'19_Расчет_аналитики'!Z559,MeanMinAge23)))</f>
        <v/>
      </c>
      <c r="AA486">
        <f>IF(OR('19_Расчет_аналитики'!AA458=0,23&lt;='01_Вводные'!$B$297),0,'19_Расчет_аналитики'!AA458*IF('01_Вводные'!$B$239="Да",MeanMinAge23+'19_Расчет_аналитики'!AA559*SUMIF(ThresholdAge23,"&lt;"&amp;'19_Расчет_аналитики'!AA559,WeightedRevAge23)-SUMIF(ThresholdAge23,"&lt;"&amp;'19_Расчет_аналитики'!AA559,WeightedMinAge23),MAX(CapacityAge23*'01_Вводные'!$B$218*'19_Расчет_аналитики'!AA559,MeanMinAge23)))</f>
        <v/>
      </c>
      <c r="AB486">
        <f>IF(OR('19_Расчет_аналитики'!AB458=0,23&lt;='01_Вводные'!$B$297),0,'19_Расчет_аналитики'!AB458*IF('01_Вводные'!$B$239="Да",MeanMinAge23+'19_Расчет_аналитики'!AB559*SUMIF(ThresholdAge23,"&lt;"&amp;'19_Расчет_аналитики'!AB559,WeightedRevAge23)-SUMIF(ThresholdAge23,"&lt;"&amp;'19_Расчет_аналитики'!AB559,WeightedMinAge23),MAX(CapacityAge23*'01_Вводные'!$B$218*'19_Расчет_аналитики'!AB559,MeanMinAge23)))</f>
        <v/>
      </c>
      <c r="AC486">
        <f>IF(OR('19_Расчет_аналитики'!AC458=0,23&lt;='01_Вводные'!$B$297),0,'19_Расчет_аналитики'!AC458*IF('01_Вводные'!$B$239="Да",MeanMinAge23+'19_Расчет_аналитики'!AC559*SUMIF(ThresholdAge23,"&lt;"&amp;'19_Расчет_аналитики'!AC559,WeightedRevAge23)-SUMIF(ThresholdAge23,"&lt;"&amp;'19_Расчет_аналитики'!AC559,WeightedMinAge23),MAX(CapacityAge23*'01_Вводные'!$B$218*'19_Расчет_аналитики'!AC559,MeanMinAge23)))</f>
        <v/>
      </c>
      <c r="AD486">
        <f>IF(OR('19_Расчет_аналитики'!AD458=0,23&lt;='01_Вводные'!$B$297),0,'19_Расчет_аналитики'!AD458*IF('01_Вводные'!$B$239="Да",MeanMinAge23+'19_Расчет_аналитики'!AD559*SUMIF(ThresholdAge23,"&lt;"&amp;'19_Расчет_аналитики'!AD559,WeightedRevAge23)-SUMIF(ThresholdAge23,"&lt;"&amp;'19_Расчет_аналитики'!AD559,WeightedMinAge23),MAX(CapacityAge23*'01_Вводные'!$B$218*'19_Расчет_аналитики'!AD559,MeanMinAge23)))</f>
        <v/>
      </c>
      <c r="AE486">
        <f>IF(OR('19_Расчет_аналитики'!AE458=0,23&lt;='01_Вводные'!$B$297),0,'19_Расчет_аналитики'!AE458*IF('01_Вводные'!$B$239="Да",MeanMinAge23+'19_Расчет_аналитики'!AE559*SUMIF(ThresholdAge23,"&lt;"&amp;'19_Расчет_аналитики'!AE559,WeightedRevAge23)-SUMIF(ThresholdAge23,"&lt;"&amp;'19_Расчет_аналитики'!AE559,WeightedMinAge23),MAX(CapacityAge23*'01_Вводные'!$B$218*'19_Расчет_аналитики'!AE559,MeanMinAge23)))</f>
        <v/>
      </c>
      <c r="AF486">
        <f>IF(OR('19_Расчет_аналитики'!AF458=0,23&lt;='01_Вводные'!$B$297),0,'19_Расчет_аналитики'!AF458*IF('01_Вводные'!$B$239="Да",MeanMinAge23+'19_Расчет_аналитики'!AF559*SUMIF(ThresholdAge23,"&lt;"&amp;'19_Расчет_аналитики'!AF559,WeightedRevAge23)-SUMIF(ThresholdAge23,"&lt;"&amp;'19_Расчет_аналитики'!AF559,WeightedMinAge23),MAX(CapacityAge23*'01_Вводные'!$B$218*'19_Расчет_аналитики'!AF559,MeanMinAge23)))</f>
        <v/>
      </c>
      <c r="AG486">
        <f>IF(OR('19_Расчет_аналитики'!AG458=0,23&lt;='01_Вводные'!$B$297),0,'19_Расчет_аналитики'!AG458*IF('01_Вводные'!$B$239="Да",MeanMinAge23+'19_Расчет_аналитики'!AG559*SUMIF(ThresholdAge23,"&lt;"&amp;'19_Расчет_аналитики'!AG559,WeightedRevAge23)-SUMIF(ThresholdAge23,"&lt;"&amp;'19_Расчет_аналитики'!AG559,WeightedMinAge23),MAX(CapacityAge23*'01_Вводные'!$B$218*'19_Расчет_аналитики'!AG559,MeanMinAge23)))</f>
        <v/>
      </c>
      <c r="AH486">
        <f>IF(OR('19_Расчет_аналитики'!AH458=0,23&lt;='01_Вводные'!$B$297),0,'19_Расчет_аналитики'!AH458*IF('01_Вводные'!$B$239="Да",MeanMinAge23+'19_Расчет_аналитики'!AH559*SUMIF(ThresholdAge23,"&lt;"&amp;'19_Расчет_аналитики'!AH559,WeightedRevAge23)-SUMIF(ThresholdAge23,"&lt;"&amp;'19_Расчет_аналитики'!AH559,WeightedMinAge23),MAX(CapacityAge23*'01_Вводные'!$B$218*'19_Расчет_аналитики'!AH559,MeanMinAge23)))</f>
        <v/>
      </c>
      <c r="AI486">
        <f>IF(OR('19_Расчет_аналитики'!AI458=0,23&lt;='01_Вводные'!$B$297),0,'19_Расчет_аналитики'!AI458*IF('01_Вводные'!$B$239="Да",MeanMinAge23+'19_Расчет_аналитики'!AI559*SUMIF(ThresholdAge23,"&lt;"&amp;'19_Расчет_аналитики'!AI559,WeightedRevAge23)-SUMIF(ThresholdAge23,"&lt;"&amp;'19_Расчет_аналитики'!AI559,WeightedMinAge23),MAX(CapacityAge23*'01_Вводные'!$B$218*'19_Расчет_аналитики'!AI559,MeanMinAge23)))</f>
        <v/>
      </c>
      <c r="AJ486">
        <f>IF(OR('19_Расчет_аналитики'!AJ458=0,23&lt;='01_Вводные'!$B$297),0,'19_Расчет_аналитики'!AJ458*IF('01_Вводные'!$B$239="Да",MeanMinAge23+'19_Расчет_аналитики'!AJ559*SUMIF(ThresholdAge23,"&lt;"&amp;'19_Расчет_аналитики'!AJ559,WeightedRevAge23)-SUMIF(ThresholdAge23,"&lt;"&amp;'19_Расчет_аналитики'!AJ559,WeightedMinAge23),MAX(CapacityAge23*'01_Вводные'!$B$218*'19_Расчет_аналитики'!AJ559,MeanMinAge23)))</f>
        <v/>
      </c>
      <c r="AK486">
        <f>IF(OR('19_Расчет_аналитики'!AK458=0,23&lt;='01_Вводные'!$B$297),0,'19_Расчет_аналитики'!AK458*IF('01_Вводные'!$B$239="Да",MeanMinAge23+'19_Расчет_аналитики'!AK559*SUMIF(ThresholdAge23,"&lt;"&amp;'19_Расчет_аналитики'!AK559,WeightedRevAge23)-SUMIF(ThresholdAge23,"&lt;"&amp;'19_Расчет_аналитики'!AK559,WeightedMinAge23),MAX(CapacityAge23*'01_Вводные'!$B$218*'19_Расчет_аналитики'!AK559,MeanMinAge23)))</f>
        <v/>
      </c>
      <c r="AL486">
        <f>IF(OR('19_Расчет_аналитики'!AL458=0,23&lt;='01_Вводные'!$B$297),0,'19_Расчет_аналитики'!AL458*IF('01_Вводные'!$B$239="Да",MeanMinAge23+'19_Расчет_аналитики'!AL559*SUMIF(ThresholdAge23,"&lt;"&amp;'19_Расчет_аналитики'!AL559,WeightedRevAge23)-SUMIF(ThresholdAge23,"&lt;"&amp;'19_Расчет_аналитики'!AL559,WeightedMinAge23),MAX(CapacityAge23*'01_Вводные'!$B$218*'19_Расчет_аналитики'!AL559,MeanMinAge23)))</f>
        <v/>
      </c>
      <c r="AM486">
        <f>IF(OR('19_Расчет_аналитики'!AM458=0,23&lt;='01_Вводные'!$B$297),0,'19_Расчет_аналитики'!AM458*IF('01_Вводные'!$B$239="Да",MeanMinAge23+'19_Расчет_аналитики'!AM559*SUMIF(ThresholdAge23,"&lt;"&amp;'19_Расчет_аналитики'!AM559,WeightedRevAge23)-SUMIF(ThresholdAge23,"&lt;"&amp;'19_Расчет_аналитики'!AM559,WeightedMinAge23),MAX(CapacityAge23*'01_Вводные'!$B$218*'19_Расчет_аналитики'!AM559,MeanMinAge23)))</f>
        <v/>
      </c>
      <c r="AN486">
        <f>IF(OR('19_Расчет_аналитики'!AN458=0,23&lt;='01_Вводные'!$B$297),0,'19_Расчет_аналитики'!AN458*IF('01_Вводные'!$B$239="Да",MeanMinAge23+'19_Расчет_аналитики'!AN559*SUMIF(ThresholdAge23,"&lt;"&amp;'19_Расчет_аналитики'!AN559,WeightedRevAge23)-SUMIF(ThresholdAge23,"&lt;"&amp;'19_Расчет_аналитики'!AN559,WeightedMinAge23),MAX(CapacityAge23*'01_Вводные'!$B$218*'19_Расчет_аналитики'!AN559,MeanMinAge23)))</f>
        <v/>
      </c>
      <c r="AO486">
        <f>IF(OR('19_Расчет_аналитики'!AO458=0,23&lt;='01_Вводные'!$B$297),0,'19_Расчет_аналитики'!AO458*IF('01_Вводные'!$B$239="Да",MeanMinAge23+'19_Расчет_аналитики'!AO559*SUMIF(ThresholdAge23,"&lt;"&amp;'19_Расчет_аналитики'!AO559,WeightedRevAge23)-SUMIF(ThresholdAge23,"&lt;"&amp;'19_Расчет_аналитики'!AO559,WeightedMinAge23),MAX(CapacityAge23*'01_Вводные'!$B$218*'19_Расчет_аналитики'!AO559,MeanMinAge23)))</f>
        <v/>
      </c>
      <c r="AP486">
        <f>IF(OR('19_Расчет_аналитики'!AP458=0,23&lt;='01_Вводные'!$B$297),0,'19_Расчет_аналитики'!AP458*IF('01_Вводные'!$B$239="Да",MeanMinAge23+'19_Расчет_аналитики'!AP559*SUMIF(ThresholdAge23,"&lt;"&amp;'19_Расчет_аналитики'!AP559,WeightedRevAge23)-SUMIF(ThresholdAge23,"&lt;"&amp;'19_Расчет_аналитики'!AP559,WeightedMinAge23),MAX(CapacityAge23*'01_Вводные'!$B$218*'19_Расчет_аналитики'!AP559,MeanMinAge23)))</f>
        <v/>
      </c>
      <c r="AQ486">
        <f>IF(OR('19_Расчет_аналитики'!AQ458=0,23&lt;='01_Вводные'!$B$297),0,'19_Расчет_аналитики'!AQ458*IF('01_Вводные'!$B$239="Да",MeanMinAge23+'19_Расчет_аналитики'!AQ559*SUMIF(ThresholdAge23,"&lt;"&amp;'19_Расчет_аналитики'!AQ559,WeightedRevAge23)-SUMIF(ThresholdAge23,"&lt;"&amp;'19_Расчет_аналитики'!AQ559,WeightedMinAge23),MAX(CapacityAge23*'01_Вводные'!$B$218*'19_Расчет_аналитики'!AQ559,MeanMinAge23)))</f>
        <v/>
      </c>
      <c r="AR486">
        <f>IF(OR('19_Расчет_аналитики'!AR458=0,23&lt;='01_Вводные'!$B$297),0,'19_Расчет_аналитики'!AR458*IF('01_Вводные'!$B$239="Да",MeanMinAge23+'19_Расчет_аналитики'!AR559*SUMIF(ThresholdAge23,"&lt;"&amp;'19_Расчет_аналитики'!AR559,WeightedRevAge23)-SUMIF(ThresholdAge23,"&lt;"&amp;'19_Расчет_аналитики'!AR559,WeightedMinAge23),MAX(CapacityAge23*'01_Вводные'!$B$218*'19_Расчет_аналитики'!AR559,MeanMinAge23)))</f>
        <v/>
      </c>
      <c r="AS486">
        <f>IF(OR('19_Расчет_аналитики'!AS458=0,23&lt;='01_Вводные'!$B$297),0,'19_Расчет_аналитики'!AS458*IF('01_Вводные'!$B$239="Да",MeanMinAge23+'19_Расчет_аналитики'!AS559*SUMIF(ThresholdAge23,"&lt;"&amp;'19_Расчет_аналитики'!AS559,WeightedRevAge23)-SUMIF(ThresholdAge23,"&lt;"&amp;'19_Расчет_аналитики'!AS559,WeightedMinAge23),MAX(CapacityAge23*'01_Вводные'!$B$218*'19_Расчет_аналитики'!AS559,MeanMinAge23)))</f>
        <v/>
      </c>
      <c r="AT486">
        <f>IF(OR('19_Расчет_аналитики'!AT458=0,23&lt;='01_Вводные'!$B$297),0,'19_Расчет_аналитики'!AT458*IF('01_Вводные'!$B$239="Да",MeanMinAge23+'19_Расчет_аналитики'!AT559*SUMIF(ThresholdAge23,"&lt;"&amp;'19_Расчет_аналитики'!AT559,WeightedRevAge23)-SUMIF(ThresholdAge23,"&lt;"&amp;'19_Расчет_аналитики'!AT559,WeightedMinAge23),MAX(CapacityAge23*'01_Вводные'!$B$218*'19_Расчет_аналитики'!AT559,MeanMinAge23)))</f>
        <v/>
      </c>
      <c r="AU486">
        <f>IF(OR('19_Расчет_аналитики'!AU458=0,23&lt;='01_Вводные'!$B$297),0,'19_Расчет_аналитики'!AU458*IF('01_Вводные'!$B$239="Да",MeanMinAge23+'19_Расчет_аналитики'!AU559*SUMIF(ThresholdAge23,"&lt;"&amp;'19_Расчет_аналитики'!AU559,WeightedRevAge23)-SUMIF(ThresholdAge23,"&lt;"&amp;'19_Расчет_аналитики'!AU559,WeightedMinAge23),MAX(CapacityAge23*'01_Вводные'!$B$218*'19_Расчет_аналитики'!AU559,MeanMinAge23)))</f>
        <v/>
      </c>
      <c r="AV486">
        <f>IF(OR('19_Расчет_аналитики'!AV458=0,23&lt;='01_Вводные'!$B$297),0,'19_Расчет_аналитики'!AV458*IF('01_Вводные'!$B$239="Да",MeanMinAge23+'19_Расчет_аналитики'!AV559*SUMIF(ThresholdAge23,"&lt;"&amp;'19_Расчет_аналитики'!AV559,WeightedRevAge23)-SUMIF(ThresholdAge23,"&lt;"&amp;'19_Расчет_аналитики'!AV559,WeightedMinAge23),MAX(CapacityAge23*'01_Вводные'!$B$218*'19_Расчет_аналитики'!AV559,MeanMinAge23)))</f>
        <v/>
      </c>
      <c r="AW486">
        <f>IF(OR('19_Расчет_аналитики'!AW458=0,23&lt;='01_Вводные'!$B$297),0,'19_Расчет_аналитики'!AW458*IF('01_Вводные'!$B$239="Да",MeanMinAge23+'19_Расчет_аналитики'!AW559*SUMIF(ThresholdAge23,"&lt;"&amp;'19_Расчет_аналитики'!AW559,WeightedRevAge23)-SUMIF(ThresholdAge23,"&lt;"&amp;'19_Расчет_аналитики'!AW559,WeightedMinAge23),MAX(CapacityAge23*'01_Вводные'!$B$218*'19_Расчет_аналитики'!AW559,MeanMinAge23)))</f>
        <v/>
      </c>
      <c r="AX486">
        <f>IF(OR('19_Расчет_аналитики'!AX458=0,23&lt;='01_Вводные'!$B$297),0,'19_Расчет_аналитики'!AX458*IF('01_Вводные'!$B$239="Да",MeanMinAge23+'19_Расчет_аналитики'!AX559*SUMIF(ThresholdAge23,"&lt;"&amp;'19_Расчет_аналитики'!AX559,WeightedRevAge23)-SUMIF(ThresholdAge23,"&lt;"&amp;'19_Расчет_аналитики'!AX559,WeightedMinAge23),MAX(CapacityAge23*'01_Вводные'!$B$218*'19_Расчет_аналитики'!AX559,MeanMinAge23)))</f>
        <v/>
      </c>
      <c r="AY486">
        <f>IF(OR('19_Расчет_аналитики'!AY458=0,23&lt;='01_Вводные'!$B$297),0,'19_Расчет_аналитики'!AY458*IF('01_Вводные'!$B$239="Да",MeanMinAge23+'19_Расчет_аналитики'!AY559*SUMIF(ThresholdAge23,"&lt;"&amp;'19_Расчет_аналитики'!AY559,WeightedRevAge23)-SUMIF(ThresholdAge23,"&lt;"&amp;'19_Расчет_аналитики'!AY559,WeightedMinAge23),MAX(CapacityAge23*'01_Вводные'!$B$218*'19_Расчет_аналитики'!AY559,MeanMinAge23)))</f>
        <v/>
      </c>
      <c r="AZ486">
        <f>IF(OR('19_Расчет_аналитики'!AZ458=0,23&lt;='01_Вводные'!$B$297),0,'19_Расчет_аналитики'!AZ458*IF('01_Вводные'!$B$239="Да",MeanMinAge23+'19_Расчет_аналитики'!AZ559*SUMIF(ThresholdAge23,"&lt;"&amp;'19_Расчет_аналитики'!AZ559,WeightedRevAge23)-SUMIF(ThresholdAge23,"&lt;"&amp;'19_Расчет_аналитики'!AZ559,WeightedMinAge23),MAX(CapacityAge23*'01_Вводные'!$B$218*'19_Расчет_аналитики'!AZ559,MeanMinAge23)))</f>
        <v/>
      </c>
      <c r="BA486">
        <f>IF(OR('19_Расчет_аналитики'!BA458=0,23&lt;='01_Вводные'!$B$297),0,'19_Расчет_аналитики'!BA458*IF('01_Вводные'!$B$239="Да",MeanMinAge23+'19_Расчет_аналитики'!BA559*SUMIF(ThresholdAge23,"&lt;"&amp;'19_Расчет_аналитики'!BA559,WeightedRevAge23)-SUMIF(ThresholdAge23,"&lt;"&amp;'19_Расчет_аналитики'!BA559,WeightedMinAge23),MAX(CapacityAge23*'01_Вводные'!$B$218*'19_Расчет_аналитики'!BA559,MeanMinAge23)))</f>
        <v/>
      </c>
      <c r="BB486">
        <f>IF(OR('19_Расчет_аналитики'!BB458=0,23&lt;='01_Вводные'!$B$297),0,'19_Расчет_аналитики'!BB458*IF('01_Вводные'!$B$239="Да",MeanMinAge23+'19_Расчет_аналитики'!BB559*SUMIF(ThresholdAge23,"&lt;"&amp;'19_Расчет_аналитики'!BB559,WeightedRevAge23)-SUMIF(ThresholdAge23,"&lt;"&amp;'19_Расчет_аналитики'!BB559,WeightedMinAge23),MAX(CapacityAge23*'01_Вводные'!$B$218*'19_Расчет_аналитики'!BB559,MeanMinAge23)))</f>
        <v/>
      </c>
      <c r="BC486">
        <f>IF(OR('19_Расчет_аналитики'!BC458=0,23&lt;='01_Вводные'!$B$297),0,'19_Расчет_аналитики'!BC458*IF('01_Вводные'!$B$239="Да",MeanMinAge23+'19_Расчет_аналитики'!BC559*SUMIF(ThresholdAge23,"&lt;"&amp;'19_Расчет_аналитики'!BC559,WeightedRevAge23)-SUMIF(ThresholdAge23,"&lt;"&amp;'19_Расчет_аналитики'!BC559,WeightedMinAge23),MAX(CapacityAge23*'01_Вводные'!$B$218*'19_Расчет_аналитики'!BC559,MeanMinAge23)))</f>
        <v/>
      </c>
      <c r="BD486">
        <f>IF(OR('19_Расчет_аналитики'!BD458=0,23&lt;='01_Вводные'!$B$297),0,'19_Расчет_аналитики'!BD458*IF('01_Вводные'!$B$239="Да",MeanMinAge23+'19_Расчет_аналитики'!BD559*SUMIF(ThresholdAge23,"&lt;"&amp;'19_Расчет_аналитики'!BD559,WeightedRevAge23)-SUMIF(ThresholdAge23,"&lt;"&amp;'19_Расчет_аналитики'!BD559,WeightedMinAge23),MAX(CapacityAge23*'01_Вводные'!$B$218*'19_Расчет_аналитики'!BD559,MeanMinAge23)))</f>
        <v/>
      </c>
      <c r="BE486">
        <f>IF(OR('19_Расчет_аналитики'!BE458=0,23&lt;='01_Вводные'!$B$297),0,'19_Расчет_аналитики'!BE458*IF('01_Вводные'!$B$239="Да",MeanMinAge23+'19_Расчет_аналитики'!BE559*SUMIF(ThresholdAge23,"&lt;"&amp;'19_Расчет_аналитики'!BE559,WeightedRevAge23)-SUMIF(ThresholdAge23,"&lt;"&amp;'19_Расчет_аналитики'!BE559,WeightedMinAge23),MAX(CapacityAge23*'01_Вводные'!$B$218*'19_Расчет_аналитики'!BE559,MeanMinAge23)))</f>
        <v/>
      </c>
      <c r="BF486">
        <f>IF(OR('19_Расчет_аналитики'!BF458=0,23&lt;='01_Вводные'!$B$297),0,'19_Расчет_аналитики'!BF458*IF('01_Вводные'!$B$239="Да",MeanMinAge23+'19_Расчет_аналитики'!BF559*SUMIF(ThresholdAge23,"&lt;"&amp;'19_Расчет_аналитики'!BF559,WeightedRevAge23)-SUMIF(ThresholdAge23,"&lt;"&amp;'19_Расчет_аналитики'!BF559,WeightedMinAge23),MAX(CapacityAge23*'01_Вводные'!$B$218*'19_Расчет_аналитики'!BF559,MeanMinAge23)))</f>
        <v/>
      </c>
      <c r="BG486">
        <f>IF(OR('19_Расчет_аналитики'!BG458=0,23&lt;='01_Вводные'!$B$297),0,'19_Расчет_аналитики'!BG458*IF('01_Вводные'!$B$239="Да",MeanMinAge23+'19_Расчет_аналитики'!BG559*SUMIF(ThresholdAge23,"&lt;"&amp;'19_Расчет_аналитики'!BG559,WeightedRevAge23)-SUMIF(ThresholdAge23,"&lt;"&amp;'19_Расчет_аналитики'!BG559,WeightedMinAge23),MAX(CapacityAge23*'01_Вводные'!$B$218*'19_Расчет_аналитики'!BG559,MeanMinAge23)))</f>
        <v/>
      </c>
      <c r="BH486">
        <f>IF(OR('19_Расчет_аналитики'!BH458=0,23&lt;='01_Вводные'!$B$297),0,'19_Расчет_аналитики'!BH458*IF('01_Вводные'!$B$239="Да",MeanMinAge23+'19_Расчет_аналитики'!BH559*SUMIF(ThresholdAge23,"&lt;"&amp;'19_Расчет_аналитики'!BH559,WeightedRevAge23)-SUMIF(ThresholdAge23,"&lt;"&amp;'19_Расчет_аналитики'!BH559,WeightedMinAge23),MAX(CapacityAge23*'01_Вводные'!$B$218*'19_Расчет_аналитики'!BH559,MeanMinAge23)))</f>
        <v/>
      </c>
      <c r="BI486">
        <f>IF(OR('19_Расчет_аналитики'!BI458=0,23&lt;='01_Вводные'!$B$297),0,'19_Расчет_аналитики'!BI458*IF('01_Вводные'!$B$239="Да",MeanMinAge23+'19_Расчет_аналитики'!BI559*SUMIF(ThresholdAge23,"&lt;"&amp;'19_Расчет_аналитики'!BI559,WeightedRevAge23)-SUMIF(ThresholdAge23,"&lt;"&amp;'19_Расчет_аналитики'!BI559,WeightedMinAge23),MAX(CapacityAge23*'01_Вводные'!$B$218*'19_Расчет_аналитики'!BI559,MeanMinAge23)))</f>
        <v/>
      </c>
      <c r="BJ486">
        <f>IF(OR('19_Расчет_аналитики'!BJ458=0,23&lt;='01_Вводные'!$B$297),0,'19_Расчет_аналитики'!BJ458*IF('01_Вводные'!$B$239="Да",MeanMinAge23+'19_Расчет_аналитики'!BJ559*SUMIF(ThresholdAge23,"&lt;"&amp;'19_Расчет_аналитики'!BJ559,WeightedRevAge23)-SUMIF(ThresholdAge23,"&lt;"&amp;'19_Расчет_аналитики'!BJ559,WeightedMinAge23),MAX(CapacityAge23*'01_Вводные'!$B$218*'19_Расчет_аналитики'!BJ559,MeanMinAge23)))</f>
        <v/>
      </c>
      <c r="BK486">
        <f>IF(OR('19_Расчет_аналитики'!BK458=0,23&lt;='01_Вводные'!$B$297),0,'19_Расчет_аналитики'!BK458*IF('01_Вводные'!$B$239="Да",MeanMinAge23+'19_Расчет_аналитики'!BK559*SUMIF(ThresholdAge23,"&lt;"&amp;'19_Расчет_аналитики'!BK559,WeightedRevAge23)-SUMIF(ThresholdAge23,"&lt;"&amp;'19_Расчет_аналитики'!BK559,WeightedMinAge23),MAX(CapacityAge23*'01_Вводные'!$B$218*'19_Расчет_аналитики'!BK559,MeanMinAge23)))</f>
        <v/>
      </c>
      <c r="BL486">
        <f>IF(OR('19_Расчет_аналитики'!BL458=0,23&lt;='01_Вводные'!$B$297),0,'19_Расчет_аналитики'!BL458*IF('01_Вводные'!$B$239="Да",MeanMinAge23+'19_Расчет_аналитики'!BL559*SUMIF(ThresholdAge23,"&lt;"&amp;'19_Расчет_аналитики'!BL559,WeightedRevAge23)-SUMIF(ThresholdAge23,"&lt;"&amp;'19_Расчет_аналитики'!BL559,WeightedMinAge23),MAX(CapacityAge23*'01_Вводные'!$B$218*'19_Расчет_аналитики'!BL559,MeanMinAge23)))</f>
        <v/>
      </c>
      <c r="BM486">
        <f>IF(OR('19_Расчет_аналитики'!BM458=0,23&lt;='01_Вводные'!$B$297),0,'19_Расчет_аналитики'!BM458*IF('01_Вводные'!$B$239="Да",MeanMinAge23+'19_Расчет_аналитики'!BM559*SUMIF(ThresholdAge23,"&lt;"&amp;'19_Расчет_аналитики'!BM559,WeightedRevAge23)-SUMIF(ThresholdAge23,"&lt;"&amp;'19_Расчет_аналитики'!BM559,WeightedMinAge23),MAX(CapacityAge23*'01_Вводные'!$B$218*'19_Расчет_аналитики'!BM559,MeanMinAge23)))</f>
        <v/>
      </c>
      <c r="BN486">
        <f>IF(OR('19_Расчет_аналитики'!BN458=0,23&lt;='01_Вводные'!$B$297),0,'19_Расчет_аналитики'!BN458*IF('01_Вводные'!$B$239="Да",MeanMinAge23+'19_Расчет_аналитики'!BN559*SUMIF(ThresholdAge23,"&lt;"&amp;'19_Расчет_аналитики'!BN559,WeightedRevAge23)-SUMIF(ThresholdAge23,"&lt;"&amp;'19_Расчет_аналитики'!BN559,WeightedMinAge23),MAX(CapacityAge23*'01_Вводные'!$B$218*'19_Расчет_аналитики'!BN559,MeanMinAge23)))</f>
        <v/>
      </c>
      <c r="BO486">
        <f>IF(OR('19_Расчет_аналитики'!BO458=0,23&lt;='01_Вводные'!$B$297),0,'19_Расчет_аналитики'!BO458*IF('01_Вводные'!$B$239="Да",MeanMinAge23+'19_Расчет_аналитики'!BO559*SUMIF(ThresholdAge23,"&lt;"&amp;'19_Расчет_аналитики'!BO559,WeightedRevAge23)-SUMIF(ThresholdAge23,"&lt;"&amp;'19_Расчет_аналитики'!BO559,WeightedMinAge23),MAX(CapacityAge23*'01_Вводные'!$B$218*'19_Расчет_аналитики'!BO559,MeanMinAge23)))</f>
        <v/>
      </c>
    </row>
    <row r="487">
      <c r="B487">
        <f>IF(OR('06_Сеть_и_дети'!B104=0,24&lt;='01_Вводные'!$B$297),0,'06_Сеть_и_дети'!B104*IF('01_Вводные'!$B$239="Да",MeanMinAge24+'19_Расчет_аналитики'!B559*SUMIF(ThresholdAge24,"&lt;"&amp;'19_Расчет_аналитики'!B559,WeightedRevAge24)-SUMIF(ThresholdAge24,"&lt;"&amp;'19_Расчет_аналитики'!B559,WeightedMinAge24),MAX(CapacityAge24*'01_Вводные'!$B$218*'19_Расчет_аналитики'!B559,MeanMinAge24)))</f>
        <v/>
      </c>
      <c r="C487">
        <f>IF(OR('06_Сеть_и_дети'!C104=0,24&lt;='01_Вводные'!$B$297),0,'06_Сеть_и_дети'!C104*IF('01_Вводные'!$B$239="Да",MeanMinAge24+'19_Расчет_аналитики'!C559*SUMIF(ThresholdAge24,"&lt;"&amp;'19_Расчет_аналитики'!C559,WeightedRevAge24)-SUMIF(ThresholdAge24,"&lt;"&amp;'19_Расчет_аналитики'!C559,WeightedMinAge24),MAX(CapacityAge24*'01_Вводные'!$B$218*'19_Расчет_аналитики'!C559,MeanMinAge24)))</f>
        <v/>
      </c>
      <c r="D487">
        <f>IF(OR('06_Сеть_и_дети'!D104=0,24&lt;='01_Вводные'!$B$297),0,'06_Сеть_и_дети'!D104*IF('01_Вводные'!$B$239="Да",MeanMinAge24+'19_Расчет_аналитики'!D559*SUMIF(ThresholdAge24,"&lt;"&amp;'19_Расчет_аналитики'!D559,WeightedRevAge24)-SUMIF(ThresholdAge24,"&lt;"&amp;'19_Расчет_аналитики'!D559,WeightedMinAge24),MAX(CapacityAge24*'01_Вводные'!$B$218*'19_Расчет_аналитики'!D559,MeanMinAge24)))</f>
        <v/>
      </c>
      <c r="E487">
        <f>IF(OR('06_Сеть_и_дети'!E104=0,24&lt;='01_Вводные'!$B$297),0,'06_Сеть_и_дети'!E104*IF('01_Вводные'!$B$239="Да",MeanMinAge24+'19_Расчет_аналитики'!E559*SUMIF(ThresholdAge24,"&lt;"&amp;'19_Расчет_аналитики'!E559,WeightedRevAge24)-SUMIF(ThresholdAge24,"&lt;"&amp;'19_Расчет_аналитики'!E559,WeightedMinAge24),MAX(CapacityAge24*'01_Вводные'!$B$218*'19_Расчет_аналитики'!E559,MeanMinAge24)))</f>
        <v/>
      </c>
      <c r="F487">
        <f>IF(OR('06_Сеть_и_дети'!F104=0,24&lt;='01_Вводные'!$B$297),0,'06_Сеть_и_дети'!F104*IF('01_Вводные'!$B$239="Да",MeanMinAge24+'19_Расчет_аналитики'!F559*SUMIF(ThresholdAge24,"&lt;"&amp;'19_Расчет_аналитики'!F559,WeightedRevAge24)-SUMIF(ThresholdAge24,"&lt;"&amp;'19_Расчет_аналитики'!F559,WeightedMinAge24),MAX(CapacityAge24*'01_Вводные'!$B$218*'19_Расчет_аналитики'!F559,MeanMinAge24)))</f>
        <v/>
      </c>
      <c r="G487">
        <f>IF(OR('06_Сеть_и_дети'!G104=0,24&lt;='01_Вводные'!$B$297),0,'06_Сеть_и_дети'!G104*IF('01_Вводные'!$B$239="Да",MeanMinAge24+'19_Расчет_аналитики'!G559*SUMIF(ThresholdAge24,"&lt;"&amp;'19_Расчет_аналитики'!G559,WeightedRevAge24)-SUMIF(ThresholdAge24,"&lt;"&amp;'19_Расчет_аналитики'!G559,WeightedMinAge24),MAX(CapacityAge24*'01_Вводные'!$B$218*'19_Расчет_аналитики'!G559,MeanMinAge24)))</f>
        <v/>
      </c>
      <c r="H487">
        <f>IF(OR('06_Сеть_и_дети'!H104=0,24&lt;='01_Вводные'!$B$297),0,'06_Сеть_и_дети'!H104*IF('01_Вводные'!$B$239="Да",MeanMinAge24+'19_Расчет_аналитики'!H559*SUMIF(ThresholdAge24,"&lt;"&amp;'19_Расчет_аналитики'!H559,WeightedRevAge24)-SUMIF(ThresholdAge24,"&lt;"&amp;'19_Расчет_аналитики'!H559,WeightedMinAge24),MAX(CapacityAge24*'01_Вводные'!$B$218*'19_Расчет_аналитики'!H559,MeanMinAge24)))</f>
        <v/>
      </c>
      <c r="I487">
        <f>IF(OR('06_Сеть_и_дети'!I104=0,24&lt;='01_Вводные'!$B$297),0,'06_Сеть_и_дети'!I104*IF('01_Вводные'!$B$239="Да",MeanMinAge24+'19_Расчет_аналитики'!I559*SUMIF(ThresholdAge24,"&lt;"&amp;'19_Расчет_аналитики'!I559,WeightedRevAge24)-SUMIF(ThresholdAge24,"&lt;"&amp;'19_Расчет_аналитики'!I559,WeightedMinAge24),MAX(CapacityAge24*'01_Вводные'!$B$218*'19_Расчет_аналитики'!I559,MeanMinAge24)))</f>
        <v/>
      </c>
      <c r="J487">
        <f>IF(OR('06_Сеть_и_дети'!J104=0,24&lt;='01_Вводные'!$B$297),0,'06_Сеть_и_дети'!J104*IF('01_Вводные'!$B$239="Да",MeanMinAge24+'19_Расчет_аналитики'!J559*SUMIF(ThresholdAge24,"&lt;"&amp;'19_Расчет_аналитики'!J559,WeightedRevAge24)-SUMIF(ThresholdAge24,"&lt;"&amp;'19_Расчет_аналитики'!J559,WeightedMinAge24),MAX(CapacityAge24*'01_Вводные'!$B$218*'19_Расчет_аналитики'!J559,MeanMinAge24)))</f>
        <v/>
      </c>
      <c r="K487">
        <f>IF(OR('06_Сеть_и_дети'!K104=0,24&lt;='01_Вводные'!$B$297),0,'06_Сеть_и_дети'!K104*IF('01_Вводные'!$B$239="Да",MeanMinAge24+'19_Расчет_аналитики'!K559*SUMIF(ThresholdAge24,"&lt;"&amp;'19_Расчет_аналитики'!K559,WeightedRevAge24)-SUMIF(ThresholdAge24,"&lt;"&amp;'19_Расчет_аналитики'!K559,WeightedMinAge24),MAX(CapacityAge24*'01_Вводные'!$B$218*'19_Расчет_аналитики'!K559,MeanMinAge24)))</f>
        <v/>
      </c>
      <c r="L487">
        <f>IF(OR('06_Сеть_и_дети'!L104=0,24&lt;='01_Вводные'!$B$297),0,'06_Сеть_и_дети'!L104*IF('01_Вводные'!$B$239="Да",MeanMinAge24+'19_Расчет_аналитики'!L559*SUMIF(ThresholdAge24,"&lt;"&amp;'19_Расчет_аналитики'!L559,WeightedRevAge24)-SUMIF(ThresholdAge24,"&lt;"&amp;'19_Расчет_аналитики'!L559,WeightedMinAge24),MAX(CapacityAge24*'01_Вводные'!$B$218*'19_Расчет_аналитики'!L559,MeanMinAge24)))</f>
        <v/>
      </c>
      <c r="M487">
        <f>IF(OR('06_Сеть_и_дети'!M104=0,24&lt;='01_Вводные'!$B$297),0,'06_Сеть_и_дети'!M104*IF('01_Вводные'!$B$239="Да",MeanMinAge24+'19_Расчет_аналитики'!M559*SUMIF(ThresholdAge24,"&lt;"&amp;'19_Расчет_аналитики'!M559,WeightedRevAge24)-SUMIF(ThresholdAge24,"&lt;"&amp;'19_Расчет_аналитики'!M559,WeightedMinAge24),MAX(CapacityAge24*'01_Вводные'!$B$218*'19_Расчет_аналитики'!M559,MeanMinAge24)))</f>
        <v/>
      </c>
      <c r="N487">
        <f>IF(OR('06_Сеть_и_дети'!N104=0,24&lt;='01_Вводные'!$B$297),0,'06_Сеть_и_дети'!N104*IF('01_Вводные'!$B$239="Да",MeanMinAge24+'19_Расчет_аналитики'!N559*SUMIF(ThresholdAge24,"&lt;"&amp;'19_Расчет_аналитики'!N559,WeightedRevAge24)-SUMIF(ThresholdAge24,"&lt;"&amp;'19_Расчет_аналитики'!N559,WeightedMinAge24),MAX(CapacityAge24*'01_Вводные'!$B$218*'19_Расчет_аналитики'!N559,MeanMinAge24)))</f>
        <v/>
      </c>
      <c r="O487">
        <f>IF(OR('06_Сеть_и_дети'!O104=0,24&lt;='01_Вводные'!$B$297),0,'06_Сеть_и_дети'!O104*IF('01_Вводные'!$B$239="Да",MeanMinAge24+'19_Расчет_аналитики'!O559*SUMIF(ThresholdAge24,"&lt;"&amp;'19_Расчет_аналитики'!O559,WeightedRevAge24)-SUMIF(ThresholdAge24,"&lt;"&amp;'19_Расчет_аналитики'!O559,WeightedMinAge24),MAX(CapacityAge24*'01_Вводные'!$B$218*'19_Расчет_аналитики'!O559,MeanMinAge24)))</f>
        <v/>
      </c>
      <c r="P487">
        <f>IF(OR('06_Сеть_и_дети'!P104=0,24&lt;='01_Вводные'!$B$297),0,'06_Сеть_и_дети'!P104*IF('01_Вводные'!$B$239="Да",MeanMinAge24+'19_Расчет_аналитики'!P559*SUMIF(ThresholdAge24,"&lt;"&amp;'19_Расчет_аналитики'!P559,WeightedRevAge24)-SUMIF(ThresholdAge24,"&lt;"&amp;'19_Расчет_аналитики'!P559,WeightedMinAge24),MAX(CapacityAge24*'01_Вводные'!$B$218*'19_Расчет_аналитики'!P559,MeanMinAge24)))</f>
        <v/>
      </c>
      <c r="Q487">
        <f>IF(OR('06_Сеть_и_дети'!Q104=0,24&lt;='01_Вводные'!$B$297),0,'06_Сеть_и_дети'!Q104*IF('01_Вводные'!$B$239="Да",MeanMinAge24+'19_Расчет_аналитики'!Q559*SUMIF(ThresholdAge24,"&lt;"&amp;'19_Расчет_аналитики'!Q559,WeightedRevAge24)-SUMIF(ThresholdAge24,"&lt;"&amp;'19_Расчет_аналитики'!Q559,WeightedMinAge24),MAX(CapacityAge24*'01_Вводные'!$B$218*'19_Расчет_аналитики'!Q559,MeanMinAge24)))</f>
        <v/>
      </c>
      <c r="R487">
        <f>IF(OR('06_Сеть_и_дети'!R104=0,24&lt;='01_Вводные'!$B$297),0,'06_Сеть_и_дети'!R104*IF('01_Вводные'!$B$239="Да",MeanMinAge24+'19_Расчет_аналитики'!R559*SUMIF(ThresholdAge24,"&lt;"&amp;'19_Расчет_аналитики'!R559,WeightedRevAge24)-SUMIF(ThresholdAge24,"&lt;"&amp;'19_Расчет_аналитики'!R559,WeightedMinAge24),MAX(CapacityAge24*'01_Вводные'!$B$218*'19_Расчет_аналитики'!R559,MeanMinAge24)))</f>
        <v/>
      </c>
      <c r="S487">
        <f>IF(OR('06_Сеть_и_дети'!S104=0,24&lt;='01_Вводные'!$B$297),0,'06_Сеть_и_дети'!S104*IF('01_Вводные'!$B$239="Да",MeanMinAge24+'19_Расчет_аналитики'!S559*SUMIF(ThresholdAge24,"&lt;"&amp;'19_Расчет_аналитики'!S559,WeightedRevAge24)-SUMIF(ThresholdAge24,"&lt;"&amp;'19_Расчет_аналитики'!S559,WeightedMinAge24),MAX(CapacityAge24*'01_Вводные'!$B$218*'19_Расчет_аналитики'!S559,MeanMinAge24)))</f>
        <v/>
      </c>
      <c r="T487">
        <f>IF(OR('06_Сеть_и_дети'!T104=0,24&lt;='01_Вводные'!$B$297),0,'06_Сеть_и_дети'!T104*IF('01_Вводные'!$B$239="Да",MeanMinAge24+'19_Расчет_аналитики'!T559*SUMIF(ThresholdAge24,"&lt;"&amp;'19_Расчет_аналитики'!T559,WeightedRevAge24)-SUMIF(ThresholdAge24,"&lt;"&amp;'19_Расчет_аналитики'!T559,WeightedMinAge24),MAX(CapacityAge24*'01_Вводные'!$B$218*'19_Расчет_аналитики'!T559,MeanMinAge24)))</f>
        <v/>
      </c>
      <c r="U487">
        <f>IF(OR('06_Сеть_и_дети'!U104=0,24&lt;='01_Вводные'!$B$297),0,'06_Сеть_и_дети'!U104*IF('01_Вводные'!$B$239="Да",MeanMinAge24+'19_Расчет_аналитики'!U559*SUMIF(ThresholdAge24,"&lt;"&amp;'19_Расчет_аналитики'!U559,WeightedRevAge24)-SUMIF(ThresholdAge24,"&lt;"&amp;'19_Расчет_аналитики'!U559,WeightedMinAge24),MAX(CapacityAge24*'01_Вводные'!$B$218*'19_Расчет_аналитики'!U559,MeanMinAge24)))</f>
        <v/>
      </c>
      <c r="V487">
        <f>IF(OR('06_Сеть_и_дети'!V104=0,24&lt;='01_Вводные'!$B$297),0,'06_Сеть_и_дети'!V104*IF('01_Вводные'!$B$239="Да",MeanMinAge24+'19_Расчет_аналитики'!V559*SUMIF(ThresholdAge24,"&lt;"&amp;'19_Расчет_аналитики'!V559,WeightedRevAge24)-SUMIF(ThresholdAge24,"&lt;"&amp;'19_Расчет_аналитики'!V559,WeightedMinAge24),MAX(CapacityAge24*'01_Вводные'!$B$218*'19_Расчет_аналитики'!V559,MeanMinAge24)))</f>
        <v/>
      </c>
      <c r="W487">
        <f>IF(OR('06_Сеть_и_дети'!W104=0,24&lt;='01_Вводные'!$B$297),0,'06_Сеть_и_дети'!W104*IF('01_Вводные'!$B$239="Да",MeanMinAge24+'19_Расчет_аналитики'!W559*SUMIF(ThresholdAge24,"&lt;"&amp;'19_Расчет_аналитики'!W559,WeightedRevAge24)-SUMIF(ThresholdAge24,"&lt;"&amp;'19_Расчет_аналитики'!W559,WeightedMinAge24),MAX(CapacityAge24*'01_Вводные'!$B$218*'19_Расчет_аналитики'!W559,MeanMinAge24)))</f>
        <v/>
      </c>
      <c r="X487">
        <f>IF(OR('06_Сеть_и_дети'!X104=0,24&lt;='01_Вводные'!$B$297),0,'06_Сеть_и_дети'!X104*IF('01_Вводные'!$B$239="Да",MeanMinAge24+'19_Расчет_аналитики'!X559*SUMIF(ThresholdAge24,"&lt;"&amp;'19_Расчет_аналитики'!X559,WeightedRevAge24)-SUMIF(ThresholdAge24,"&lt;"&amp;'19_Расчет_аналитики'!X559,WeightedMinAge24),MAX(CapacityAge24*'01_Вводные'!$B$218*'19_Расчет_аналитики'!X559,MeanMinAge24)))</f>
        <v/>
      </c>
      <c r="Y487">
        <f>IF(OR('19_Расчет_аналитики'!Y459=0,24&lt;='01_Вводные'!$B$297),0,'19_Расчет_аналитики'!Y459*IF('01_Вводные'!$B$239="Да",MeanMinAge24+'19_Расчет_аналитики'!Y559*SUMIF(ThresholdAge24,"&lt;"&amp;'19_Расчет_аналитики'!Y559,WeightedRevAge24)-SUMIF(ThresholdAge24,"&lt;"&amp;'19_Расчет_аналитики'!Y559,WeightedMinAge24),MAX(CapacityAge24*'01_Вводные'!$B$218*'19_Расчет_аналитики'!Y559,MeanMinAge24)))</f>
        <v/>
      </c>
      <c r="Z487">
        <f>IF(OR('19_Расчет_аналитики'!Z459=0,24&lt;='01_Вводные'!$B$297),0,'19_Расчет_аналитики'!Z459*IF('01_Вводные'!$B$239="Да",MeanMinAge24+'19_Расчет_аналитики'!Z559*SUMIF(ThresholdAge24,"&lt;"&amp;'19_Расчет_аналитики'!Z559,WeightedRevAge24)-SUMIF(ThresholdAge24,"&lt;"&amp;'19_Расчет_аналитики'!Z559,WeightedMinAge24),MAX(CapacityAge24*'01_Вводные'!$B$218*'19_Расчет_аналитики'!Z559,MeanMinAge24)))</f>
        <v/>
      </c>
      <c r="AA487">
        <f>IF(OR('19_Расчет_аналитики'!AA459=0,24&lt;='01_Вводные'!$B$297),0,'19_Расчет_аналитики'!AA459*IF('01_Вводные'!$B$239="Да",MeanMinAge24+'19_Расчет_аналитики'!AA559*SUMIF(ThresholdAge24,"&lt;"&amp;'19_Расчет_аналитики'!AA559,WeightedRevAge24)-SUMIF(ThresholdAge24,"&lt;"&amp;'19_Расчет_аналитики'!AA559,WeightedMinAge24),MAX(CapacityAge24*'01_Вводные'!$B$218*'19_Расчет_аналитики'!AA559,MeanMinAge24)))</f>
        <v/>
      </c>
      <c r="AB487">
        <f>IF(OR('19_Расчет_аналитики'!AB459=0,24&lt;='01_Вводные'!$B$297),0,'19_Расчет_аналитики'!AB459*IF('01_Вводные'!$B$239="Да",MeanMinAge24+'19_Расчет_аналитики'!AB559*SUMIF(ThresholdAge24,"&lt;"&amp;'19_Расчет_аналитики'!AB559,WeightedRevAge24)-SUMIF(ThresholdAge24,"&lt;"&amp;'19_Расчет_аналитики'!AB559,WeightedMinAge24),MAX(CapacityAge24*'01_Вводные'!$B$218*'19_Расчет_аналитики'!AB559,MeanMinAge24)))</f>
        <v/>
      </c>
      <c r="AC487">
        <f>IF(OR('19_Расчет_аналитики'!AC459=0,24&lt;='01_Вводные'!$B$297),0,'19_Расчет_аналитики'!AC459*IF('01_Вводные'!$B$239="Да",MeanMinAge24+'19_Расчет_аналитики'!AC559*SUMIF(ThresholdAge24,"&lt;"&amp;'19_Расчет_аналитики'!AC559,WeightedRevAge24)-SUMIF(ThresholdAge24,"&lt;"&amp;'19_Расчет_аналитики'!AC559,WeightedMinAge24),MAX(CapacityAge24*'01_Вводные'!$B$218*'19_Расчет_аналитики'!AC559,MeanMinAge24)))</f>
        <v/>
      </c>
      <c r="AD487">
        <f>IF(OR('19_Расчет_аналитики'!AD459=0,24&lt;='01_Вводные'!$B$297),0,'19_Расчет_аналитики'!AD459*IF('01_Вводные'!$B$239="Да",MeanMinAge24+'19_Расчет_аналитики'!AD559*SUMIF(ThresholdAge24,"&lt;"&amp;'19_Расчет_аналитики'!AD559,WeightedRevAge24)-SUMIF(ThresholdAge24,"&lt;"&amp;'19_Расчет_аналитики'!AD559,WeightedMinAge24),MAX(CapacityAge24*'01_Вводные'!$B$218*'19_Расчет_аналитики'!AD559,MeanMinAge24)))</f>
        <v/>
      </c>
      <c r="AE487">
        <f>IF(OR('19_Расчет_аналитики'!AE459=0,24&lt;='01_Вводные'!$B$297),0,'19_Расчет_аналитики'!AE459*IF('01_Вводные'!$B$239="Да",MeanMinAge24+'19_Расчет_аналитики'!AE559*SUMIF(ThresholdAge24,"&lt;"&amp;'19_Расчет_аналитики'!AE559,WeightedRevAge24)-SUMIF(ThresholdAge24,"&lt;"&amp;'19_Расчет_аналитики'!AE559,WeightedMinAge24),MAX(CapacityAge24*'01_Вводные'!$B$218*'19_Расчет_аналитики'!AE559,MeanMinAge24)))</f>
        <v/>
      </c>
      <c r="AF487">
        <f>IF(OR('19_Расчет_аналитики'!AF459=0,24&lt;='01_Вводные'!$B$297),0,'19_Расчет_аналитики'!AF459*IF('01_Вводные'!$B$239="Да",MeanMinAge24+'19_Расчет_аналитики'!AF559*SUMIF(ThresholdAge24,"&lt;"&amp;'19_Расчет_аналитики'!AF559,WeightedRevAge24)-SUMIF(ThresholdAge24,"&lt;"&amp;'19_Расчет_аналитики'!AF559,WeightedMinAge24),MAX(CapacityAge24*'01_Вводные'!$B$218*'19_Расчет_аналитики'!AF559,MeanMinAge24)))</f>
        <v/>
      </c>
      <c r="AG487">
        <f>IF(OR('19_Расчет_аналитики'!AG459=0,24&lt;='01_Вводные'!$B$297),0,'19_Расчет_аналитики'!AG459*IF('01_Вводные'!$B$239="Да",MeanMinAge24+'19_Расчет_аналитики'!AG559*SUMIF(ThresholdAge24,"&lt;"&amp;'19_Расчет_аналитики'!AG559,WeightedRevAge24)-SUMIF(ThresholdAge24,"&lt;"&amp;'19_Расчет_аналитики'!AG559,WeightedMinAge24),MAX(CapacityAge24*'01_Вводные'!$B$218*'19_Расчет_аналитики'!AG559,MeanMinAge24)))</f>
        <v/>
      </c>
      <c r="AH487">
        <f>IF(OR('19_Расчет_аналитики'!AH459=0,24&lt;='01_Вводные'!$B$297),0,'19_Расчет_аналитики'!AH459*IF('01_Вводные'!$B$239="Да",MeanMinAge24+'19_Расчет_аналитики'!AH559*SUMIF(ThresholdAge24,"&lt;"&amp;'19_Расчет_аналитики'!AH559,WeightedRevAge24)-SUMIF(ThresholdAge24,"&lt;"&amp;'19_Расчет_аналитики'!AH559,WeightedMinAge24),MAX(CapacityAge24*'01_Вводные'!$B$218*'19_Расчет_аналитики'!AH559,MeanMinAge24)))</f>
        <v/>
      </c>
      <c r="AI487">
        <f>IF(OR('19_Расчет_аналитики'!AI459=0,24&lt;='01_Вводные'!$B$297),0,'19_Расчет_аналитики'!AI459*IF('01_Вводные'!$B$239="Да",MeanMinAge24+'19_Расчет_аналитики'!AI559*SUMIF(ThresholdAge24,"&lt;"&amp;'19_Расчет_аналитики'!AI559,WeightedRevAge24)-SUMIF(ThresholdAge24,"&lt;"&amp;'19_Расчет_аналитики'!AI559,WeightedMinAge24),MAX(CapacityAge24*'01_Вводные'!$B$218*'19_Расчет_аналитики'!AI559,MeanMinAge24)))</f>
        <v/>
      </c>
      <c r="AJ487">
        <f>IF(OR('19_Расчет_аналитики'!AJ459=0,24&lt;='01_Вводные'!$B$297),0,'19_Расчет_аналитики'!AJ459*IF('01_Вводные'!$B$239="Да",MeanMinAge24+'19_Расчет_аналитики'!AJ559*SUMIF(ThresholdAge24,"&lt;"&amp;'19_Расчет_аналитики'!AJ559,WeightedRevAge24)-SUMIF(ThresholdAge24,"&lt;"&amp;'19_Расчет_аналитики'!AJ559,WeightedMinAge24),MAX(CapacityAge24*'01_Вводные'!$B$218*'19_Расчет_аналитики'!AJ559,MeanMinAge24)))</f>
        <v/>
      </c>
      <c r="AK487">
        <f>IF(OR('19_Расчет_аналитики'!AK459=0,24&lt;='01_Вводные'!$B$297),0,'19_Расчет_аналитики'!AK459*IF('01_Вводные'!$B$239="Да",MeanMinAge24+'19_Расчет_аналитики'!AK559*SUMIF(ThresholdAge24,"&lt;"&amp;'19_Расчет_аналитики'!AK559,WeightedRevAge24)-SUMIF(ThresholdAge24,"&lt;"&amp;'19_Расчет_аналитики'!AK559,WeightedMinAge24),MAX(CapacityAge24*'01_Вводные'!$B$218*'19_Расчет_аналитики'!AK559,MeanMinAge24)))</f>
        <v/>
      </c>
      <c r="AL487">
        <f>IF(OR('19_Расчет_аналитики'!AL459=0,24&lt;='01_Вводные'!$B$297),0,'19_Расчет_аналитики'!AL459*IF('01_Вводные'!$B$239="Да",MeanMinAge24+'19_Расчет_аналитики'!AL559*SUMIF(ThresholdAge24,"&lt;"&amp;'19_Расчет_аналитики'!AL559,WeightedRevAge24)-SUMIF(ThresholdAge24,"&lt;"&amp;'19_Расчет_аналитики'!AL559,WeightedMinAge24),MAX(CapacityAge24*'01_Вводные'!$B$218*'19_Расчет_аналитики'!AL559,MeanMinAge24)))</f>
        <v/>
      </c>
      <c r="AM487">
        <f>IF(OR('19_Расчет_аналитики'!AM459=0,24&lt;='01_Вводные'!$B$297),0,'19_Расчет_аналитики'!AM459*IF('01_Вводные'!$B$239="Да",MeanMinAge24+'19_Расчет_аналитики'!AM559*SUMIF(ThresholdAge24,"&lt;"&amp;'19_Расчет_аналитики'!AM559,WeightedRevAge24)-SUMIF(ThresholdAge24,"&lt;"&amp;'19_Расчет_аналитики'!AM559,WeightedMinAge24),MAX(CapacityAge24*'01_Вводные'!$B$218*'19_Расчет_аналитики'!AM559,MeanMinAge24)))</f>
        <v/>
      </c>
      <c r="AN487">
        <f>IF(OR('19_Расчет_аналитики'!AN459=0,24&lt;='01_Вводные'!$B$297),0,'19_Расчет_аналитики'!AN459*IF('01_Вводные'!$B$239="Да",MeanMinAge24+'19_Расчет_аналитики'!AN559*SUMIF(ThresholdAge24,"&lt;"&amp;'19_Расчет_аналитики'!AN559,WeightedRevAge24)-SUMIF(ThresholdAge24,"&lt;"&amp;'19_Расчет_аналитики'!AN559,WeightedMinAge24),MAX(CapacityAge24*'01_Вводные'!$B$218*'19_Расчет_аналитики'!AN559,MeanMinAge24)))</f>
        <v/>
      </c>
      <c r="AO487">
        <f>IF(OR('19_Расчет_аналитики'!AO459=0,24&lt;='01_Вводные'!$B$297),0,'19_Расчет_аналитики'!AO459*IF('01_Вводные'!$B$239="Да",MeanMinAge24+'19_Расчет_аналитики'!AO559*SUMIF(ThresholdAge24,"&lt;"&amp;'19_Расчет_аналитики'!AO559,WeightedRevAge24)-SUMIF(ThresholdAge24,"&lt;"&amp;'19_Расчет_аналитики'!AO559,WeightedMinAge24),MAX(CapacityAge24*'01_Вводные'!$B$218*'19_Расчет_аналитики'!AO559,MeanMinAge24)))</f>
        <v/>
      </c>
      <c r="AP487">
        <f>IF(OR('19_Расчет_аналитики'!AP459=0,24&lt;='01_Вводные'!$B$297),0,'19_Расчет_аналитики'!AP459*IF('01_Вводные'!$B$239="Да",MeanMinAge24+'19_Расчет_аналитики'!AP559*SUMIF(ThresholdAge24,"&lt;"&amp;'19_Расчет_аналитики'!AP559,WeightedRevAge24)-SUMIF(ThresholdAge24,"&lt;"&amp;'19_Расчет_аналитики'!AP559,WeightedMinAge24),MAX(CapacityAge24*'01_Вводные'!$B$218*'19_Расчет_аналитики'!AP559,MeanMinAge24)))</f>
        <v/>
      </c>
      <c r="AQ487">
        <f>IF(OR('19_Расчет_аналитики'!AQ459=0,24&lt;='01_Вводные'!$B$297),0,'19_Расчет_аналитики'!AQ459*IF('01_Вводные'!$B$239="Да",MeanMinAge24+'19_Расчет_аналитики'!AQ559*SUMIF(ThresholdAge24,"&lt;"&amp;'19_Расчет_аналитики'!AQ559,WeightedRevAge24)-SUMIF(ThresholdAge24,"&lt;"&amp;'19_Расчет_аналитики'!AQ559,WeightedMinAge24),MAX(CapacityAge24*'01_Вводные'!$B$218*'19_Расчет_аналитики'!AQ559,MeanMinAge24)))</f>
        <v/>
      </c>
      <c r="AR487">
        <f>IF(OR('19_Расчет_аналитики'!AR459=0,24&lt;='01_Вводные'!$B$297),0,'19_Расчет_аналитики'!AR459*IF('01_Вводные'!$B$239="Да",MeanMinAge24+'19_Расчет_аналитики'!AR559*SUMIF(ThresholdAge24,"&lt;"&amp;'19_Расчет_аналитики'!AR559,WeightedRevAge24)-SUMIF(ThresholdAge24,"&lt;"&amp;'19_Расчет_аналитики'!AR559,WeightedMinAge24),MAX(CapacityAge24*'01_Вводные'!$B$218*'19_Расчет_аналитики'!AR559,MeanMinAge24)))</f>
        <v/>
      </c>
      <c r="AS487">
        <f>IF(OR('19_Расчет_аналитики'!AS459=0,24&lt;='01_Вводные'!$B$297),0,'19_Расчет_аналитики'!AS459*IF('01_Вводные'!$B$239="Да",MeanMinAge24+'19_Расчет_аналитики'!AS559*SUMIF(ThresholdAge24,"&lt;"&amp;'19_Расчет_аналитики'!AS559,WeightedRevAge24)-SUMIF(ThresholdAge24,"&lt;"&amp;'19_Расчет_аналитики'!AS559,WeightedMinAge24),MAX(CapacityAge24*'01_Вводные'!$B$218*'19_Расчет_аналитики'!AS559,MeanMinAge24)))</f>
        <v/>
      </c>
      <c r="AT487">
        <f>IF(OR('19_Расчет_аналитики'!AT459=0,24&lt;='01_Вводные'!$B$297),0,'19_Расчет_аналитики'!AT459*IF('01_Вводные'!$B$239="Да",MeanMinAge24+'19_Расчет_аналитики'!AT559*SUMIF(ThresholdAge24,"&lt;"&amp;'19_Расчет_аналитики'!AT559,WeightedRevAge24)-SUMIF(ThresholdAge24,"&lt;"&amp;'19_Расчет_аналитики'!AT559,WeightedMinAge24),MAX(CapacityAge24*'01_Вводные'!$B$218*'19_Расчет_аналитики'!AT559,MeanMinAge24)))</f>
        <v/>
      </c>
      <c r="AU487">
        <f>IF(OR('19_Расчет_аналитики'!AU459=0,24&lt;='01_Вводные'!$B$297),0,'19_Расчет_аналитики'!AU459*IF('01_Вводные'!$B$239="Да",MeanMinAge24+'19_Расчет_аналитики'!AU559*SUMIF(ThresholdAge24,"&lt;"&amp;'19_Расчет_аналитики'!AU559,WeightedRevAge24)-SUMIF(ThresholdAge24,"&lt;"&amp;'19_Расчет_аналитики'!AU559,WeightedMinAge24),MAX(CapacityAge24*'01_Вводные'!$B$218*'19_Расчет_аналитики'!AU559,MeanMinAge24)))</f>
        <v/>
      </c>
      <c r="AV487">
        <f>IF(OR('19_Расчет_аналитики'!AV459=0,24&lt;='01_Вводные'!$B$297),0,'19_Расчет_аналитики'!AV459*IF('01_Вводные'!$B$239="Да",MeanMinAge24+'19_Расчет_аналитики'!AV559*SUMIF(ThresholdAge24,"&lt;"&amp;'19_Расчет_аналитики'!AV559,WeightedRevAge24)-SUMIF(ThresholdAge24,"&lt;"&amp;'19_Расчет_аналитики'!AV559,WeightedMinAge24),MAX(CapacityAge24*'01_Вводные'!$B$218*'19_Расчет_аналитики'!AV559,MeanMinAge24)))</f>
        <v/>
      </c>
      <c r="AW487">
        <f>IF(OR('19_Расчет_аналитики'!AW459=0,24&lt;='01_Вводные'!$B$297),0,'19_Расчет_аналитики'!AW459*IF('01_Вводные'!$B$239="Да",MeanMinAge24+'19_Расчет_аналитики'!AW559*SUMIF(ThresholdAge24,"&lt;"&amp;'19_Расчет_аналитики'!AW559,WeightedRevAge24)-SUMIF(ThresholdAge24,"&lt;"&amp;'19_Расчет_аналитики'!AW559,WeightedMinAge24),MAX(CapacityAge24*'01_Вводные'!$B$218*'19_Расчет_аналитики'!AW559,MeanMinAge24)))</f>
        <v/>
      </c>
      <c r="AX487">
        <f>IF(OR('19_Расчет_аналитики'!AX459=0,24&lt;='01_Вводные'!$B$297),0,'19_Расчет_аналитики'!AX459*IF('01_Вводные'!$B$239="Да",MeanMinAge24+'19_Расчет_аналитики'!AX559*SUMIF(ThresholdAge24,"&lt;"&amp;'19_Расчет_аналитики'!AX559,WeightedRevAge24)-SUMIF(ThresholdAge24,"&lt;"&amp;'19_Расчет_аналитики'!AX559,WeightedMinAge24),MAX(CapacityAge24*'01_Вводные'!$B$218*'19_Расчет_аналитики'!AX559,MeanMinAge24)))</f>
        <v/>
      </c>
      <c r="AY487">
        <f>IF(OR('19_Расчет_аналитики'!AY459=0,24&lt;='01_Вводные'!$B$297),0,'19_Расчет_аналитики'!AY459*IF('01_Вводные'!$B$239="Да",MeanMinAge24+'19_Расчет_аналитики'!AY559*SUMIF(ThresholdAge24,"&lt;"&amp;'19_Расчет_аналитики'!AY559,WeightedRevAge24)-SUMIF(ThresholdAge24,"&lt;"&amp;'19_Расчет_аналитики'!AY559,WeightedMinAge24),MAX(CapacityAge24*'01_Вводные'!$B$218*'19_Расчет_аналитики'!AY559,MeanMinAge24)))</f>
        <v/>
      </c>
      <c r="AZ487">
        <f>IF(OR('19_Расчет_аналитики'!AZ459=0,24&lt;='01_Вводные'!$B$297),0,'19_Расчет_аналитики'!AZ459*IF('01_Вводные'!$B$239="Да",MeanMinAge24+'19_Расчет_аналитики'!AZ559*SUMIF(ThresholdAge24,"&lt;"&amp;'19_Расчет_аналитики'!AZ559,WeightedRevAge24)-SUMIF(ThresholdAge24,"&lt;"&amp;'19_Расчет_аналитики'!AZ559,WeightedMinAge24),MAX(CapacityAge24*'01_Вводные'!$B$218*'19_Расчет_аналитики'!AZ559,MeanMinAge24)))</f>
        <v/>
      </c>
      <c r="BA487">
        <f>IF(OR('19_Расчет_аналитики'!BA459=0,24&lt;='01_Вводные'!$B$297),0,'19_Расчет_аналитики'!BA459*IF('01_Вводные'!$B$239="Да",MeanMinAge24+'19_Расчет_аналитики'!BA559*SUMIF(ThresholdAge24,"&lt;"&amp;'19_Расчет_аналитики'!BA559,WeightedRevAge24)-SUMIF(ThresholdAge24,"&lt;"&amp;'19_Расчет_аналитики'!BA559,WeightedMinAge24),MAX(CapacityAge24*'01_Вводные'!$B$218*'19_Расчет_аналитики'!BA559,MeanMinAge24)))</f>
        <v/>
      </c>
      <c r="BB487">
        <f>IF(OR('19_Расчет_аналитики'!BB459=0,24&lt;='01_Вводные'!$B$297),0,'19_Расчет_аналитики'!BB459*IF('01_Вводные'!$B$239="Да",MeanMinAge24+'19_Расчет_аналитики'!BB559*SUMIF(ThresholdAge24,"&lt;"&amp;'19_Расчет_аналитики'!BB559,WeightedRevAge24)-SUMIF(ThresholdAge24,"&lt;"&amp;'19_Расчет_аналитики'!BB559,WeightedMinAge24),MAX(CapacityAge24*'01_Вводные'!$B$218*'19_Расчет_аналитики'!BB559,MeanMinAge24)))</f>
        <v/>
      </c>
      <c r="BC487">
        <f>IF(OR('19_Расчет_аналитики'!BC459=0,24&lt;='01_Вводные'!$B$297),0,'19_Расчет_аналитики'!BC459*IF('01_Вводные'!$B$239="Да",MeanMinAge24+'19_Расчет_аналитики'!BC559*SUMIF(ThresholdAge24,"&lt;"&amp;'19_Расчет_аналитики'!BC559,WeightedRevAge24)-SUMIF(ThresholdAge24,"&lt;"&amp;'19_Расчет_аналитики'!BC559,WeightedMinAge24),MAX(CapacityAge24*'01_Вводные'!$B$218*'19_Расчет_аналитики'!BC559,MeanMinAge24)))</f>
        <v/>
      </c>
      <c r="BD487">
        <f>IF(OR('19_Расчет_аналитики'!BD459=0,24&lt;='01_Вводные'!$B$297),0,'19_Расчет_аналитики'!BD459*IF('01_Вводные'!$B$239="Да",MeanMinAge24+'19_Расчет_аналитики'!BD559*SUMIF(ThresholdAge24,"&lt;"&amp;'19_Расчет_аналитики'!BD559,WeightedRevAge24)-SUMIF(ThresholdAge24,"&lt;"&amp;'19_Расчет_аналитики'!BD559,WeightedMinAge24),MAX(CapacityAge24*'01_Вводные'!$B$218*'19_Расчет_аналитики'!BD559,MeanMinAge24)))</f>
        <v/>
      </c>
      <c r="BE487">
        <f>IF(OR('19_Расчет_аналитики'!BE459=0,24&lt;='01_Вводные'!$B$297),0,'19_Расчет_аналитики'!BE459*IF('01_Вводные'!$B$239="Да",MeanMinAge24+'19_Расчет_аналитики'!BE559*SUMIF(ThresholdAge24,"&lt;"&amp;'19_Расчет_аналитики'!BE559,WeightedRevAge24)-SUMIF(ThresholdAge24,"&lt;"&amp;'19_Расчет_аналитики'!BE559,WeightedMinAge24),MAX(CapacityAge24*'01_Вводные'!$B$218*'19_Расчет_аналитики'!BE559,MeanMinAge24)))</f>
        <v/>
      </c>
      <c r="BF487">
        <f>IF(OR('19_Расчет_аналитики'!BF459=0,24&lt;='01_Вводные'!$B$297),0,'19_Расчет_аналитики'!BF459*IF('01_Вводные'!$B$239="Да",MeanMinAge24+'19_Расчет_аналитики'!BF559*SUMIF(ThresholdAge24,"&lt;"&amp;'19_Расчет_аналитики'!BF559,WeightedRevAge24)-SUMIF(ThresholdAge24,"&lt;"&amp;'19_Расчет_аналитики'!BF559,WeightedMinAge24),MAX(CapacityAge24*'01_Вводные'!$B$218*'19_Расчет_аналитики'!BF559,MeanMinAge24)))</f>
        <v/>
      </c>
      <c r="BG487">
        <f>IF(OR('19_Расчет_аналитики'!BG459=0,24&lt;='01_Вводные'!$B$297),0,'19_Расчет_аналитики'!BG459*IF('01_Вводные'!$B$239="Да",MeanMinAge24+'19_Расчет_аналитики'!BG559*SUMIF(ThresholdAge24,"&lt;"&amp;'19_Расчет_аналитики'!BG559,WeightedRevAge24)-SUMIF(ThresholdAge24,"&lt;"&amp;'19_Расчет_аналитики'!BG559,WeightedMinAge24),MAX(CapacityAge24*'01_Вводные'!$B$218*'19_Расчет_аналитики'!BG559,MeanMinAge24)))</f>
        <v/>
      </c>
      <c r="BH487">
        <f>IF(OR('19_Расчет_аналитики'!BH459=0,24&lt;='01_Вводные'!$B$297),0,'19_Расчет_аналитики'!BH459*IF('01_Вводные'!$B$239="Да",MeanMinAge24+'19_Расчет_аналитики'!BH559*SUMIF(ThresholdAge24,"&lt;"&amp;'19_Расчет_аналитики'!BH559,WeightedRevAge24)-SUMIF(ThresholdAge24,"&lt;"&amp;'19_Расчет_аналитики'!BH559,WeightedMinAge24),MAX(CapacityAge24*'01_Вводные'!$B$218*'19_Расчет_аналитики'!BH559,MeanMinAge24)))</f>
        <v/>
      </c>
      <c r="BI487">
        <f>IF(OR('19_Расчет_аналитики'!BI459=0,24&lt;='01_Вводные'!$B$297),0,'19_Расчет_аналитики'!BI459*IF('01_Вводные'!$B$239="Да",MeanMinAge24+'19_Расчет_аналитики'!BI559*SUMIF(ThresholdAge24,"&lt;"&amp;'19_Расчет_аналитики'!BI559,WeightedRevAge24)-SUMIF(ThresholdAge24,"&lt;"&amp;'19_Расчет_аналитики'!BI559,WeightedMinAge24),MAX(CapacityAge24*'01_Вводные'!$B$218*'19_Расчет_аналитики'!BI559,MeanMinAge24)))</f>
        <v/>
      </c>
      <c r="BJ487">
        <f>IF(OR('19_Расчет_аналитики'!BJ459=0,24&lt;='01_Вводные'!$B$297),0,'19_Расчет_аналитики'!BJ459*IF('01_Вводные'!$B$239="Да",MeanMinAge24+'19_Расчет_аналитики'!BJ559*SUMIF(ThresholdAge24,"&lt;"&amp;'19_Расчет_аналитики'!BJ559,WeightedRevAge24)-SUMIF(ThresholdAge24,"&lt;"&amp;'19_Расчет_аналитики'!BJ559,WeightedMinAge24),MAX(CapacityAge24*'01_Вводные'!$B$218*'19_Расчет_аналитики'!BJ559,MeanMinAge24)))</f>
        <v/>
      </c>
      <c r="BK487">
        <f>IF(OR('19_Расчет_аналитики'!BK459=0,24&lt;='01_Вводные'!$B$297),0,'19_Расчет_аналитики'!BK459*IF('01_Вводные'!$B$239="Да",MeanMinAge24+'19_Расчет_аналитики'!BK559*SUMIF(ThresholdAge24,"&lt;"&amp;'19_Расчет_аналитики'!BK559,WeightedRevAge24)-SUMIF(ThresholdAge24,"&lt;"&amp;'19_Расчет_аналитики'!BK559,WeightedMinAge24),MAX(CapacityAge24*'01_Вводные'!$B$218*'19_Расчет_аналитики'!BK559,MeanMinAge24)))</f>
        <v/>
      </c>
      <c r="BL487">
        <f>IF(OR('19_Расчет_аналитики'!BL459=0,24&lt;='01_Вводные'!$B$297),0,'19_Расчет_аналитики'!BL459*IF('01_Вводные'!$B$239="Да",MeanMinAge24+'19_Расчет_аналитики'!BL559*SUMIF(ThresholdAge24,"&lt;"&amp;'19_Расчет_аналитики'!BL559,WeightedRevAge24)-SUMIF(ThresholdAge24,"&lt;"&amp;'19_Расчет_аналитики'!BL559,WeightedMinAge24),MAX(CapacityAge24*'01_Вводные'!$B$218*'19_Расчет_аналитики'!BL559,MeanMinAge24)))</f>
        <v/>
      </c>
      <c r="BM487">
        <f>IF(OR('19_Расчет_аналитики'!BM459=0,24&lt;='01_Вводные'!$B$297),0,'19_Расчет_аналитики'!BM459*IF('01_Вводные'!$B$239="Да",MeanMinAge24+'19_Расчет_аналитики'!BM559*SUMIF(ThresholdAge24,"&lt;"&amp;'19_Расчет_аналитики'!BM559,WeightedRevAge24)-SUMIF(ThresholdAge24,"&lt;"&amp;'19_Расчет_аналитики'!BM559,WeightedMinAge24),MAX(CapacityAge24*'01_Вводные'!$B$218*'19_Расчет_аналитики'!BM559,MeanMinAge24)))</f>
        <v/>
      </c>
      <c r="BN487">
        <f>IF(OR('19_Расчет_аналитики'!BN459=0,24&lt;='01_Вводные'!$B$297),0,'19_Расчет_аналитики'!BN459*IF('01_Вводные'!$B$239="Да",MeanMinAge24+'19_Расчет_аналитики'!BN559*SUMIF(ThresholdAge24,"&lt;"&amp;'19_Расчет_аналитики'!BN559,WeightedRevAge24)-SUMIF(ThresholdAge24,"&lt;"&amp;'19_Расчет_аналитики'!BN559,WeightedMinAge24),MAX(CapacityAge24*'01_Вводные'!$B$218*'19_Расчет_аналитики'!BN559,MeanMinAge24)))</f>
        <v/>
      </c>
      <c r="BO487">
        <f>IF(OR('19_Расчет_аналитики'!BO459=0,24&lt;='01_Вводные'!$B$297),0,'19_Расчет_аналитики'!BO459*IF('01_Вводные'!$B$239="Да",MeanMinAge24+'19_Расчет_аналитики'!BO559*SUMIF(ThresholdAge24,"&lt;"&amp;'19_Расчет_аналитики'!BO559,WeightedRevAge24)-SUMIF(ThresholdAge24,"&lt;"&amp;'19_Расчет_аналитики'!BO559,WeightedMinAge24),MAX(CapacityAge24*'01_Вводные'!$B$218*'19_Расчет_аналитики'!BO559,MeanMinAge24)))</f>
        <v/>
      </c>
    </row>
    <row r="488">
      <c r="B488">
        <f>IF(OR('06_Сеть_и_дети'!B105=0,25&lt;='01_Вводные'!$B$297),0,'06_Сеть_и_дети'!B105*IF('01_Вводные'!$B$239="Да",MeanMinAge25+'19_Расчет_аналитики'!B559*SUMIF(ThresholdAge25,"&lt;"&amp;'19_Расчет_аналитики'!B559,WeightedRevAge25)-SUMIF(ThresholdAge25,"&lt;"&amp;'19_Расчет_аналитики'!B559,WeightedMinAge25),MAX(CapacityAge25*'01_Вводные'!$B$218*'19_Расчет_аналитики'!B559,MeanMinAge25)))</f>
        <v/>
      </c>
      <c r="C488">
        <f>IF(OR('06_Сеть_и_дети'!C105=0,25&lt;='01_Вводные'!$B$297),0,'06_Сеть_и_дети'!C105*IF('01_Вводные'!$B$239="Да",MeanMinAge25+'19_Расчет_аналитики'!C559*SUMIF(ThresholdAge25,"&lt;"&amp;'19_Расчет_аналитики'!C559,WeightedRevAge25)-SUMIF(ThresholdAge25,"&lt;"&amp;'19_Расчет_аналитики'!C559,WeightedMinAge25),MAX(CapacityAge25*'01_Вводные'!$B$218*'19_Расчет_аналитики'!C559,MeanMinAge25)))</f>
        <v/>
      </c>
      <c r="D488">
        <f>IF(OR('06_Сеть_и_дети'!D105=0,25&lt;='01_Вводные'!$B$297),0,'06_Сеть_и_дети'!D105*IF('01_Вводные'!$B$239="Да",MeanMinAge25+'19_Расчет_аналитики'!D559*SUMIF(ThresholdAge25,"&lt;"&amp;'19_Расчет_аналитики'!D559,WeightedRevAge25)-SUMIF(ThresholdAge25,"&lt;"&amp;'19_Расчет_аналитики'!D559,WeightedMinAge25),MAX(CapacityAge25*'01_Вводные'!$B$218*'19_Расчет_аналитики'!D559,MeanMinAge25)))</f>
        <v/>
      </c>
      <c r="E488">
        <f>IF(OR('06_Сеть_и_дети'!E105=0,25&lt;='01_Вводные'!$B$297),0,'06_Сеть_и_дети'!E105*IF('01_Вводные'!$B$239="Да",MeanMinAge25+'19_Расчет_аналитики'!E559*SUMIF(ThresholdAge25,"&lt;"&amp;'19_Расчет_аналитики'!E559,WeightedRevAge25)-SUMIF(ThresholdAge25,"&lt;"&amp;'19_Расчет_аналитики'!E559,WeightedMinAge25),MAX(CapacityAge25*'01_Вводные'!$B$218*'19_Расчет_аналитики'!E559,MeanMinAge25)))</f>
        <v/>
      </c>
      <c r="F488">
        <f>IF(OR('06_Сеть_и_дети'!F105=0,25&lt;='01_Вводные'!$B$297),0,'06_Сеть_и_дети'!F105*IF('01_Вводные'!$B$239="Да",MeanMinAge25+'19_Расчет_аналитики'!F559*SUMIF(ThresholdAge25,"&lt;"&amp;'19_Расчет_аналитики'!F559,WeightedRevAge25)-SUMIF(ThresholdAge25,"&lt;"&amp;'19_Расчет_аналитики'!F559,WeightedMinAge25),MAX(CapacityAge25*'01_Вводные'!$B$218*'19_Расчет_аналитики'!F559,MeanMinAge25)))</f>
        <v/>
      </c>
      <c r="G488">
        <f>IF(OR('06_Сеть_и_дети'!G105=0,25&lt;='01_Вводные'!$B$297),0,'06_Сеть_и_дети'!G105*IF('01_Вводные'!$B$239="Да",MeanMinAge25+'19_Расчет_аналитики'!G559*SUMIF(ThresholdAge25,"&lt;"&amp;'19_Расчет_аналитики'!G559,WeightedRevAge25)-SUMIF(ThresholdAge25,"&lt;"&amp;'19_Расчет_аналитики'!G559,WeightedMinAge25),MAX(CapacityAge25*'01_Вводные'!$B$218*'19_Расчет_аналитики'!G559,MeanMinAge25)))</f>
        <v/>
      </c>
      <c r="H488">
        <f>IF(OR('06_Сеть_и_дети'!H105=0,25&lt;='01_Вводные'!$B$297),0,'06_Сеть_и_дети'!H105*IF('01_Вводные'!$B$239="Да",MeanMinAge25+'19_Расчет_аналитики'!H559*SUMIF(ThresholdAge25,"&lt;"&amp;'19_Расчет_аналитики'!H559,WeightedRevAge25)-SUMIF(ThresholdAge25,"&lt;"&amp;'19_Расчет_аналитики'!H559,WeightedMinAge25),MAX(CapacityAge25*'01_Вводные'!$B$218*'19_Расчет_аналитики'!H559,MeanMinAge25)))</f>
        <v/>
      </c>
      <c r="I488">
        <f>IF(OR('06_Сеть_и_дети'!I105=0,25&lt;='01_Вводные'!$B$297),0,'06_Сеть_и_дети'!I105*IF('01_Вводные'!$B$239="Да",MeanMinAge25+'19_Расчет_аналитики'!I559*SUMIF(ThresholdAge25,"&lt;"&amp;'19_Расчет_аналитики'!I559,WeightedRevAge25)-SUMIF(ThresholdAge25,"&lt;"&amp;'19_Расчет_аналитики'!I559,WeightedMinAge25),MAX(CapacityAge25*'01_Вводные'!$B$218*'19_Расчет_аналитики'!I559,MeanMinAge25)))</f>
        <v/>
      </c>
      <c r="J488">
        <f>IF(OR('06_Сеть_и_дети'!J105=0,25&lt;='01_Вводные'!$B$297),0,'06_Сеть_и_дети'!J105*IF('01_Вводные'!$B$239="Да",MeanMinAge25+'19_Расчет_аналитики'!J559*SUMIF(ThresholdAge25,"&lt;"&amp;'19_Расчет_аналитики'!J559,WeightedRevAge25)-SUMIF(ThresholdAge25,"&lt;"&amp;'19_Расчет_аналитики'!J559,WeightedMinAge25),MAX(CapacityAge25*'01_Вводные'!$B$218*'19_Расчет_аналитики'!J559,MeanMinAge25)))</f>
        <v/>
      </c>
      <c r="K488">
        <f>IF(OR('06_Сеть_и_дети'!K105=0,25&lt;='01_Вводные'!$B$297),0,'06_Сеть_и_дети'!K105*IF('01_Вводные'!$B$239="Да",MeanMinAge25+'19_Расчет_аналитики'!K559*SUMIF(ThresholdAge25,"&lt;"&amp;'19_Расчет_аналитики'!K559,WeightedRevAge25)-SUMIF(ThresholdAge25,"&lt;"&amp;'19_Расчет_аналитики'!K559,WeightedMinAge25),MAX(CapacityAge25*'01_Вводные'!$B$218*'19_Расчет_аналитики'!K559,MeanMinAge25)))</f>
        <v/>
      </c>
      <c r="L488">
        <f>IF(OR('06_Сеть_и_дети'!L105=0,25&lt;='01_Вводные'!$B$297),0,'06_Сеть_и_дети'!L105*IF('01_Вводные'!$B$239="Да",MeanMinAge25+'19_Расчет_аналитики'!L559*SUMIF(ThresholdAge25,"&lt;"&amp;'19_Расчет_аналитики'!L559,WeightedRevAge25)-SUMIF(ThresholdAge25,"&lt;"&amp;'19_Расчет_аналитики'!L559,WeightedMinAge25),MAX(CapacityAge25*'01_Вводные'!$B$218*'19_Расчет_аналитики'!L559,MeanMinAge25)))</f>
        <v/>
      </c>
      <c r="M488">
        <f>IF(OR('06_Сеть_и_дети'!M105=0,25&lt;='01_Вводные'!$B$297),0,'06_Сеть_и_дети'!M105*IF('01_Вводные'!$B$239="Да",MeanMinAge25+'19_Расчет_аналитики'!M559*SUMIF(ThresholdAge25,"&lt;"&amp;'19_Расчет_аналитики'!M559,WeightedRevAge25)-SUMIF(ThresholdAge25,"&lt;"&amp;'19_Расчет_аналитики'!M559,WeightedMinAge25),MAX(CapacityAge25*'01_Вводные'!$B$218*'19_Расчет_аналитики'!M559,MeanMinAge25)))</f>
        <v/>
      </c>
      <c r="N488">
        <f>IF(OR('06_Сеть_и_дети'!N105=0,25&lt;='01_Вводные'!$B$297),0,'06_Сеть_и_дети'!N105*IF('01_Вводные'!$B$239="Да",MeanMinAge25+'19_Расчет_аналитики'!N559*SUMIF(ThresholdAge25,"&lt;"&amp;'19_Расчет_аналитики'!N559,WeightedRevAge25)-SUMIF(ThresholdAge25,"&lt;"&amp;'19_Расчет_аналитики'!N559,WeightedMinAge25),MAX(CapacityAge25*'01_Вводные'!$B$218*'19_Расчет_аналитики'!N559,MeanMinAge25)))</f>
        <v/>
      </c>
      <c r="O488">
        <f>IF(OR('06_Сеть_и_дети'!O105=0,25&lt;='01_Вводные'!$B$297),0,'06_Сеть_и_дети'!O105*IF('01_Вводные'!$B$239="Да",MeanMinAge25+'19_Расчет_аналитики'!O559*SUMIF(ThresholdAge25,"&lt;"&amp;'19_Расчет_аналитики'!O559,WeightedRevAge25)-SUMIF(ThresholdAge25,"&lt;"&amp;'19_Расчет_аналитики'!O559,WeightedMinAge25),MAX(CapacityAge25*'01_Вводные'!$B$218*'19_Расчет_аналитики'!O559,MeanMinAge25)))</f>
        <v/>
      </c>
      <c r="P488">
        <f>IF(OR('06_Сеть_и_дети'!P105=0,25&lt;='01_Вводные'!$B$297),0,'06_Сеть_и_дети'!P105*IF('01_Вводные'!$B$239="Да",MeanMinAge25+'19_Расчет_аналитики'!P559*SUMIF(ThresholdAge25,"&lt;"&amp;'19_Расчет_аналитики'!P559,WeightedRevAge25)-SUMIF(ThresholdAge25,"&lt;"&amp;'19_Расчет_аналитики'!P559,WeightedMinAge25),MAX(CapacityAge25*'01_Вводные'!$B$218*'19_Расчет_аналитики'!P559,MeanMinAge25)))</f>
        <v/>
      </c>
      <c r="Q488">
        <f>IF(OR('06_Сеть_и_дети'!Q105=0,25&lt;='01_Вводные'!$B$297),0,'06_Сеть_и_дети'!Q105*IF('01_Вводные'!$B$239="Да",MeanMinAge25+'19_Расчет_аналитики'!Q559*SUMIF(ThresholdAge25,"&lt;"&amp;'19_Расчет_аналитики'!Q559,WeightedRevAge25)-SUMIF(ThresholdAge25,"&lt;"&amp;'19_Расчет_аналитики'!Q559,WeightedMinAge25),MAX(CapacityAge25*'01_Вводные'!$B$218*'19_Расчет_аналитики'!Q559,MeanMinAge25)))</f>
        <v/>
      </c>
      <c r="R488">
        <f>IF(OR('06_Сеть_и_дети'!R105=0,25&lt;='01_Вводные'!$B$297),0,'06_Сеть_и_дети'!R105*IF('01_Вводные'!$B$239="Да",MeanMinAge25+'19_Расчет_аналитики'!R559*SUMIF(ThresholdAge25,"&lt;"&amp;'19_Расчет_аналитики'!R559,WeightedRevAge25)-SUMIF(ThresholdAge25,"&lt;"&amp;'19_Расчет_аналитики'!R559,WeightedMinAge25),MAX(CapacityAge25*'01_Вводные'!$B$218*'19_Расчет_аналитики'!R559,MeanMinAge25)))</f>
        <v/>
      </c>
      <c r="S488">
        <f>IF(OR('06_Сеть_и_дети'!S105=0,25&lt;='01_Вводные'!$B$297),0,'06_Сеть_и_дети'!S105*IF('01_Вводные'!$B$239="Да",MeanMinAge25+'19_Расчет_аналитики'!S559*SUMIF(ThresholdAge25,"&lt;"&amp;'19_Расчет_аналитики'!S559,WeightedRevAge25)-SUMIF(ThresholdAge25,"&lt;"&amp;'19_Расчет_аналитики'!S559,WeightedMinAge25),MAX(CapacityAge25*'01_Вводные'!$B$218*'19_Расчет_аналитики'!S559,MeanMinAge25)))</f>
        <v/>
      </c>
      <c r="T488">
        <f>IF(OR('06_Сеть_и_дети'!T105=0,25&lt;='01_Вводные'!$B$297),0,'06_Сеть_и_дети'!T105*IF('01_Вводные'!$B$239="Да",MeanMinAge25+'19_Расчет_аналитики'!T559*SUMIF(ThresholdAge25,"&lt;"&amp;'19_Расчет_аналитики'!T559,WeightedRevAge25)-SUMIF(ThresholdAge25,"&lt;"&amp;'19_Расчет_аналитики'!T559,WeightedMinAge25),MAX(CapacityAge25*'01_Вводные'!$B$218*'19_Расчет_аналитики'!T559,MeanMinAge25)))</f>
        <v/>
      </c>
      <c r="U488">
        <f>IF(OR('06_Сеть_и_дети'!U105=0,25&lt;='01_Вводные'!$B$297),0,'06_Сеть_и_дети'!U105*IF('01_Вводные'!$B$239="Да",MeanMinAge25+'19_Расчет_аналитики'!U559*SUMIF(ThresholdAge25,"&lt;"&amp;'19_Расчет_аналитики'!U559,WeightedRevAge25)-SUMIF(ThresholdAge25,"&lt;"&amp;'19_Расчет_аналитики'!U559,WeightedMinAge25),MAX(CapacityAge25*'01_Вводные'!$B$218*'19_Расчет_аналитики'!U559,MeanMinAge25)))</f>
        <v/>
      </c>
      <c r="V488">
        <f>IF(OR('06_Сеть_и_дети'!V105=0,25&lt;='01_Вводные'!$B$297),0,'06_Сеть_и_дети'!V105*IF('01_Вводные'!$B$239="Да",MeanMinAge25+'19_Расчет_аналитики'!V559*SUMIF(ThresholdAge25,"&lt;"&amp;'19_Расчет_аналитики'!V559,WeightedRevAge25)-SUMIF(ThresholdAge25,"&lt;"&amp;'19_Расчет_аналитики'!V559,WeightedMinAge25),MAX(CapacityAge25*'01_Вводные'!$B$218*'19_Расчет_аналитики'!V559,MeanMinAge25)))</f>
        <v/>
      </c>
      <c r="W488">
        <f>IF(OR('06_Сеть_и_дети'!W105=0,25&lt;='01_Вводные'!$B$297),0,'06_Сеть_и_дети'!W105*IF('01_Вводные'!$B$239="Да",MeanMinAge25+'19_Расчет_аналитики'!W559*SUMIF(ThresholdAge25,"&lt;"&amp;'19_Расчет_аналитики'!W559,WeightedRevAge25)-SUMIF(ThresholdAge25,"&lt;"&amp;'19_Расчет_аналитики'!W559,WeightedMinAge25),MAX(CapacityAge25*'01_Вводные'!$B$218*'19_Расчет_аналитики'!W559,MeanMinAge25)))</f>
        <v/>
      </c>
      <c r="X488">
        <f>IF(OR('06_Сеть_и_дети'!X105=0,25&lt;='01_Вводные'!$B$297),0,'06_Сеть_и_дети'!X105*IF('01_Вводные'!$B$239="Да",MeanMinAge25+'19_Расчет_аналитики'!X559*SUMIF(ThresholdAge25,"&lt;"&amp;'19_Расчет_аналитики'!X559,WeightedRevAge25)-SUMIF(ThresholdAge25,"&lt;"&amp;'19_Расчет_аналитики'!X559,WeightedMinAge25),MAX(CapacityAge25*'01_Вводные'!$B$218*'19_Расчет_аналитики'!X559,MeanMinAge25)))</f>
        <v/>
      </c>
      <c r="Y488">
        <f>IF(OR('06_Сеть_и_дети'!Y105=0,25&lt;='01_Вводные'!$B$297),0,'06_Сеть_и_дети'!Y105*IF('01_Вводные'!$B$239="Да",MeanMinAge25+'19_Расчет_аналитики'!Y559*SUMIF(ThresholdAge25,"&lt;"&amp;'19_Расчет_аналитики'!Y559,WeightedRevAge25)-SUMIF(ThresholdAge25,"&lt;"&amp;'19_Расчет_аналитики'!Y559,WeightedMinAge25),MAX(CapacityAge25*'01_Вводные'!$B$218*'19_Расчет_аналитики'!Y559,MeanMinAge25)))</f>
        <v/>
      </c>
      <c r="Z488">
        <f>IF(OR('19_Расчет_аналитики'!Z460=0,25&lt;='01_Вводные'!$B$297),0,'19_Расчет_аналитики'!Z460*IF('01_Вводные'!$B$239="Да",MeanMinAge25+'19_Расчет_аналитики'!Z559*SUMIF(ThresholdAge25,"&lt;"&amp;'19_Расчет_аналитики'!Z559,WeightedRevAge25)-SUMIF(ThresholdAge25,"&lt;"&amp;'19_Расчет_аналитики'!Z559,WeightedMinAge25),MAX(CapacityAge25*'01_Вводные'!$B$218*'19_Расчет_аналитики'!Z559,MeanMinAge25)))</f>
        <v/>
      </c>
      <c r="AA488">
        <f>IF(OR('19_Расчет_аналитики'!AA460=0,25&lt;='01_Вводные'!$B$297),0,'19_Расчет_аналитики'!AA460*IF('01_Вводные'!$B$239="Да",MeanMinAge25+'19_Расчет_аналитики'!AA559*SUMIF(ThresholdAge25,"&lt;"&amp;'19_Расчет_аналитики'!AA559,WeightedRevAge25)-SUMIF(ThresholdAge25,"&lt;"&amp;'19_Расчет_аналитики'!AA559,WeightedMinAge25),MAX(CapacityAge25*'01_Вводные'!$B$218*'19_Расчет_аналитики'!AA559,MeanMinAge25)))</f>
        <v/>
      </c>
      <c r="AB488">
        <f>IF(OR('19_Расчет_аналитики'!AB460=0,25&lt;='01_Вводные'!$B$297),0,'19_Расчет_аналитики'!AB460*IF('01_Вводные'!$B$239="Да",MeanMinAge25+'19_Расчет_аналитики'!AB559*SUMIF(ThresholdAge25,"&lt;"&amp;'19_Расчет_аналитики'!AB559,WeightedRevAge25)-SUMIF(ThresholdAge25,"&lt;"&amp;'19_Расчет_аналитики'!AB559,WeightedMinAge25),MAX(CapacityAge25*'01_Вводные'!$B$218*'19_Расчет_аналитики'!AB559,MeanMinAge25)))</f>
        <v/>
      </c>
      <c r="AC488">
        <f>IF(OR('19_Расчет_аналитики'!AC460=0,25&lt;='01_Вводные'!$B$297),0,'19_Расчет_аналитики'!AC460*IF('01_Вводные'!$B$239="Да",MeanMinAge25+'19_Расчет_аналитики'!AC559*SUMIF(ThresholdAge25,"&lt;"&amp;'19_Расчет_аналитики'!AC559,WeightedRevAge25)-SUMIF(ThresholdAge25,"&lt;"&amp;'19_Расчет_аналитики'!AC559,WeightedMinAge25),MAX(CapacityAge25*'01_Вводные'!$B$218*'19_Расчет_аналитики'!AC559,MeanMinAge25)))</f>
        <v/>
      </c>
      <c r="AD488">
        <f>IF(OR('19_Расчет_аналитики'!AD460=0,25&lt;='01_Вводные'!$B$297),0,'19_Расчет_аналитики'!AD460*IF('01_Вводные'!$B$239="Да",MeanMinAge25+'19_Расчет_аналитики'!AD559*SUMIF(ThresholdAge25,"&lt;"&amp;'19_Расчет_аналитики'!AD559,WeightedRevAge25)-SUMIF(ThresholdAge25,"&lt;"&amp;'19_Расчет_аналитики'!AD559,WeightedMinAge25),MAX(CapacityAge25*'01_Вводные'!$B$218*'19_Расчет_аналитики'!AD559,MeanMinAge25)))</f>
        <v/>
      </c>
      <c r="AE488">
        <f>IF(OR('19_Расчет_аналитики'!AE460=0,25&lt;='01_Вводные'!$B$297),0,'19_Расчет_аналитики'!AE460*IF('01_Вводные'!$B$239="Да",MeanMinAge25+'19_Расчет_аналитики'!AE559*SUMIF(ThresholdAge25,"&lt;"&amp;'19_Расчет_аналитики'!AE559,WeightedRevAge25)-SUMIF(ThresholdAge25,"&lt;"&amp;'19_Расчет_аналитики'!AE559,WeightedMinAge25),MAX(CapacityAge25*'01_Вводные'!$B$218*'19_Расчет_аналитики'!AE559,MeanMinAge25)))</f>
        <v/>
      </c>
      <c r="AF488">
        <f>IF(OR('19_Расчет_аналитики'!AF460=0,25&lt;='01_Вводные'!$B$297),0,'19_Расчет_аналитики'!AF460*IF('01_Вводные'!$B$239="Да",MeanMinAge25+'19_Расчет_аналитики'!AF559*SUMIF(ThresholdAge25,"&lt;"&amp;'19_Расчет_аналитики'!AF559,WeightedRevAge25)-SUMIF(ThresholdAge25,"&lt;"&amp;'19_Расчет_аналитики'!AF559,WeightedMinAge25),MAX(CapacityAge25*'01_Вводные'!$B$218*'19_Расчет_аналитики'!AF559,MeanMinAge25)))</f>
        <v/>
      </c>
      <c r="AG488">
        <f>IF(OR('19_Расчет_аналитики'!AG460=0,25&lt;='01_Вводные'!$B$297),0,'19_Расчет_аналитики'!AG460*IF('01_Вводные'!$B$239="Да",MeanMinAge25+'19_Расчет_аналитики'!AG559*SUMIF(ThresholdAge25,"&lt;"&amp;'19_Расчет_аналитики'!AG559,WeightedRevAge25)-SUMIF(ThresholdAge25,"&lt;"&amp;'19_Расчет_аналитики'!AG559,WeightedMinAge25),MAX(CapacityAge25*'01_Вводные'!$B$218*'19_Расчет_аналитики'!AG559,MeanMinAge25)))</f>
        <v/>
      </c>
      <c r="AH488">
        <f>IF(OR('19_Расчет_аналитики'!AH460=0,25&lt;='01_Вводные'!$B$297),0,'19_Расчет_аналитики'!AH460*IF('01_Вводные'!$B$239="Да",MeanMinAge25+'19_Расчет_аналитики'!AH559*SUMIF(ThresholdAge25,"&lt;"&amp;'19_Расчет_аналитики'!AH559,WeightedRevAge25)-SUMIF(ThresholdAge25,"&lt;"&amp;'19_Расчет_аналитики'!AH559,WeightedMinAge25),MAX(CapacityAge25*'01_Вводные'!$B$218*'19_Расчет_аналитики'!AH559,MeanMinAge25)))</f>
        <v/>
      </c>
      <c r="AI488">
        <f>IF(OR('19_Расчет_аналитики'!AI460=0,25&lt;='01_Вводные'!$B$297),0,'19_Расчет_аналитики'!AI460*IF('01_Вводные'!$B$239="Да",MeanMinAge25+'19_Расчет_аналитики'!AI559*SUMIF(ThresholdAge25,"&lt;"&amp;'19_Расчет_аналитики'!AI559,WeightedRevAge25)-SUMIF(ThresholdAge25,"&lt;"&amp;'19_Расчет_аналитики'!AI559,WeightedMinAge25),MAX(CapacityAge25*'01_Вводные'!$B$218*'19_Расчет_аналитики'!AI559,MeanMinAge25)))</f>
        <v/>
      </c>
      <c r="AJ488">
        <f>IF(OR('19_Расчет_аналитики'!AJ460=0,25&lt;='01_Вводные'!$B$297),0,'19_Расчет_аналитики'!AJ460*IF('01_Вводные'!$B$239="Да",MeanMinAge25+'19_Расчет_аналитики'!AJ559*SUMIF(ThresholdAge25,"&lt;"&amp;'19_Расчет_аналитики'!AJ559,WeightedRevAge25)-SUMIF(ThresholdAge25,"&lt;"&amp;'19_Расчет_аналитики'!AJ559,WeightedMinAge25),MAX(CapacityAge25*'01_Вводные'!$B$218*'19_Расчет_аналитики'!AJ559,MeanMinAge25)))</f>
        <v/>
      </c>
      <c r="AK488">
        <f>IF(OR('19_Расчет_аналитики'!AK460=0,25&lt;='01_Вводные'!$B$297),0,'19_Расчет_аналитики'!AK460*IF('01_Вводные'!$B$239="Да",MeanMinAge25+'19_Расчет_аналитики'!AK559*SUMIF(ThresholdAge25,"&lt;"&amp;'19_Расчет_аналитики'!AK559,WeightedRevAge25)-SUMIF(ThresholdAge25,"&lt;"&amp;'19_Расчет_аналитики'!AK559,WeightedMinAge25),MAX(CapacityAge25*'01_Вводные'!$B$218*'19_Расчет_аналитики'!AK559,MeanMinAge25)))</f>
        <v/>
      </c>
      <c r="AL488">
        <f>IF(OR('19_Расчет_аналитики'!AL460=0,25&lt;='01_Вводные'!$B$297),0,'19_Расчет_аналитики'!AL460*IF('01_Вводные'!$B$239="Да",MeanMinAge25+'19_Расчет_аналитики'!AL559*SUMIF(ThresholdAge25,"&lt;"&amp;'19_Расчет_аналитики'!AL559,WeightedRevAge25)-SUMIF(ThresholdAge25,"&lt;"&amp;'19_Расчет_аналитики'!AL559,WeightedMinAge25),MAX(CapacityAge25*'01_Вводные'!$B$218*'19_Расчет_аналитики'!AL559,MeanMinAge25)))</f>
        <v/>
      </c>
      <c r="AM488">
        <f>IF(OR('19_Расчет_аналитики'!AM460=0,25&lt;='01_Вводные'!$B$297),0,'19_Расчет_аналитики'!AM460*IF('01_Вводные'!$B$239="Да",MeanMinAge25+'19_Расчет_аналитики'!AM559*SUMIF(ThresholdAge25,"&lt;"&amp;'19_Расчет_аналитики'!AM559,WeightedRevAge25)-SUMIF(ThresholdAge25,"&lt;"&amp;'19_Расчет_аналитики'!AM559,WeightedMinAge25),MAX(CapacityAge25*'01_Вводные'!$B$218*'19_Расчет_аналитики'!AM559,MeanMinAge25)))</f>
        <v/>
      </c>
      <c r="AN488">
        <f>IF(OR('19_Расчет_аналитики'!AN460=0,25&lt;='01_Вводные'!$B$297),0,'19_Расчет_аналитики'!AN460*IF('01_Вводные'!$B$239="Да",MeanMinAge25+'19_Расчет_аналитики'!AN559*SUMIF(ThresholdAge25,"&lt;"&amp;'19_Расчет_аналитики'!AN559,WeightedRevAge25)-SUMIF(ThresholdAge25,"&lt;"&amp;'19_Расчет_аналитики'!AN559,WeightedMinAge25),MAX(CapacityAge25*'01_Вводные'!$B$218*'19_Расчет_аналитики'!AN559,MeanMinAge25)))</f>
        <v/>
      </c>
      <c r="AO488">
        <f>IF(OR('19_Расчет_аналитики'!AO460=0,25&lt;='01_Вводные'!$B$297),0,'19_Расчет_аналитики'!AO460*IF('01_Вводные'!$B$239="Да",MeanMinAge25+'19_Расчет_аналитики'!AO559*SUMIF(ThresholdAge25,"&lt;"&amp;'19_Расчет_аналитики'!AO559,WeightedRevAge25)-SUMIF(ThresholdAge25,"&lt;"&amp;'19_Расчет_аналитики'!AO559,WeightedMinAge25),MAX(CapacityAge25*'01_Вводные'!$B$218*'19_Расчет_аналитики'!AO559,MeanMinAge25)))</f>
        <v/>
      </c>
      <c r="AP488">
        <f>IF(OR('19_Расчет_аналитики'!AP460=0,25&lt;='01_Вводные'!$B$297),0,'19_Расчет_аналитики'!AP460*IF('01_Вводные'!$B$239="Да",MeanMinAge25+'19_Расчет_аналитики'!AP559*SUMIF(ThresholdAge25,"&lt;"&amp;'19_Расчет_аналитики'!AP559,WeightedRevAge25)-SUMIF(ThresholdAge25,"&lt;"&amp;'19_Расчет_аналитики'!AP559,WeightedMinAge25),MAX(CapacityAge25*'01_Вводные'!$B$218*'19_Расчет_аналитики'!AP559,MeanMinAge25)))</f>
        <v/>
      </c>
      <c r="AQ488">
        <f>IF(OR('19_Расчет_аналитики'!AQ460=0,25&lt;='01_Вводные'!$B$297),0,'19_Расчет_аналитики'!AQ460*IF('01_Вводные'!$B$239="Да",MeanMinAge25+'19_Расчет_аналитики'!AQ559*SUMIF(ThresholdAge25,"&lt;"&amp;'19_Расчет_аналитики'!AQ559,WeightedRevAge25)-SUMIF(ThresholdAge25,"&lt;"&amp;'19_Расчет_аналитики'!AQ559,WeightedMinAge25),MAX(CapacityAge25*'01_Вводные'!$B$218*'19_Расчет_аналитики'!AQ559,MeanMinAge25)))</f>
        <v/>
      </c>
      <c r="AR488">
        <f>IF(OR('19_Расчет_аналитики'!AR460=0,25&lt;='01_Вводные'!$B$297),0,'19_Расчет_аналитики'!AR460*IF('01_Вводные'!$B$239="Да",MeanMinAge25+'19_Расчет_аналитики'!AR559*SUMIF(ThresholdAge25,"&lt;"&amp;'19_Расчет_аналитики'!AR559,WeightedRevAge25)-SUMIF(ThresholdAge25,"&lt;"&amp;'19_Расчет_аналитики'!AR559,WeightedMinAge25),MAX(CapacityAge25*'01_Вводные'!$B$218*'19_Расчет_аналитики'!AR559,MeanMinAge25)))</f>
        <v/>
      </c>
      <c r="AS488">
        <f>IF(OR('19_Расчет_аналитики'!AS460=0,25&lt;='01_Вводные'!$B$297),0,'19_Расчет_аналитики'!AS460*IF('01_Вводные'!$B$239="Да",MeanMinAge25+'19_Расчет_аналитики'!AS559*SUMIF(ThresholdAge25,"&lt;"&amp;'19_Расчет_аналитики'!AS559,WeightedRevAge25)-SUMIF(ThresholdAge25,"&lt;"&amp;'19_Расчет_аналитики'!AS559,WeightedMinAge25),MAX(CapacityAge25*'01_Вводные'!$B$218*'19_Расчет_аналитики'!AS559,MeanMinAge25)))</f>
        <v/>
      </c>
      <c r="AT488">
        <f>IF(OR('19_Расчет_аналитики'!AT460=0,25&lt;='01_Вводные'!$B$297),0,'19_Расчет_аналитики'!AT460*IF('01_Вводные'!$B$239="Да",MeanMinAge25+'19_Расчет_аналитики'!AT559*SUMIF(ThresholdAge25,"&lt;"&amp;'19_Расчет_аналитики'!AT559,WeightedRevAge25)-SUMIF(ThresholdAge25,"&lt;"&amp;'19_Расчет_аналитики'!AT559,WeightedMinAge25),MAX(CapacityAge25*'01_Вводные'!$B$218*'19_Расчет_аналитики'!AT559,MeanMinAge25)))</f>
        <v/>
      </c>
      <c r="AU488">
        <f>IF(OR('19_Расчет_аналитики'!AU460=0,25&lt;='01_Вводные'!$B$297),0,'19_Расчет_аналитики'!AU460*IF('01_Вводные'!$B$239="Да",MeanMinAge25+'19_Расчет_аналитики'!AU559*SUMIF(ThresholdAge25,"&lt;"&amp;'19_Расчет_аналитики'!AU559,WeightedRevAge25)-SUMIF(ThresholdAge25,"&lt;"&amp;'19_Расчет_аналитики'!AU559,WeightedMinAge25),MAX(CapacityAge25*'01_Вводные'!$B$218*'19_Расчет_аналитики'!AU559,MeanMinAge25)))</f>
        <v/>
      </c>
      <c r="AV488">
        <f>IF(OR('19_Расчет_аналитики'!AV460=0,25&lt;='01_Вводные'!$B$297),0,'19_Расчет_аналитики'!AV460*IF('01_Вводные'!$B$239="Да",MeanMinAge25+'19_Расчет_аналитики'!AV559*SUMIF(ThresholdAge25,"&lt;"&amp;'19_Расчет_аналитики'!AV559,WeightedRevAge25)-SUMIF(ThresholdAge25,"&lt;"&amp;'19_Расчет_аналитики'!AV559,WeightedMinAge25),MAX(CapacityAge25*'01_Вводные'!$B$218*'19_Расчет_аналитики'!AV559,MeanMinAge25)))</f>
        <v/>
      </c>
      <c r="AW488">
        <f>IF(OR('19_Расчет_аналитики'!AW460=0,25&lt;='01_Вводные'!$B$297),0,'19_Расчет_аналитики'!AW460*IF('01_Вводные'!$B$239="Да",MeanMinAge25+'19_Расчет_аналитики'!AW559*SUMIF(ThresholdAge25,"&lt;"&amp;'19_Расчет_аналитики'!AW559,WeightedRevAge25)-SUMIF(ThresholdAge25,"&lt;"&amp;'19_Расчет_аналитики'!AW559,WeightedMinAge25),MAX(CapacityAge25*'01_Вводные'!$B$218*'19_Расчет_аналитики'!AW559,MeanMinAge25)))</f>
        <v/>
      </c>
      <c r="AX488">
        <f>IF(OR('19_Расчет_аналитики'!AX460=0,25&lt;='01_Вводные'!$B$297),0,'19_Расчет_аналитики'!AX460*IF('01_Вводные'!$B$239="Да",MeanMinAge25+'19_Расчет_аналитики'!AX559*SUMIF(ThresholdAge25,"&lt;"&amp;'19_Расчет_аналитики'!AX559,WeightedRevAge25)-SUMIF(ThresholdAge25,"&lt;"&amp;'19_Расчет_аналитики'!AX559,WeightedMinAge25),MAX(CapacityAge25*'01_Вводные'!$B$218*'19_Расчет_аналитики'!AX559,MeanMinAge25)))</f>
        <v/>
      </c>
      <c r="AY488">
        <f>IF(OR('19_Расчет_аналитики'!AY460=0,25&lt;='01_Вводные'!$B$297),0,'19_Расчет_аналитики'!AY460*IF('01_Вводные'!$B$239="Да",MeanMinAge25+'19_Расчет_аналитики'!AY559*SUMIF(ThresholdAge25,"&lt;"&amp;'19_Расчет_аналитики'!AY559,WeightedRevAge25)-SUMIF(ThresholdAge25,"&lt;"&amp;'19_Расчет_аналитики'!AY559,WeightedMinAge25),MAX(CapacityAge25*'01_Вводные'!$B$218*'19_Расчет_аналитики'!AY559,MeanMinAge25)))</f>
        <v/>
      </c>
      <c r="AZ488">
        <f>IF(OR('19_Расчет_аналитики'!AZ460=0,25&lt;='01_Вводные'!$B$297),0,'19_Расчет_аналитики'!AZ460*IF('01_Вводные'!$B$239="Да",MeanMinAge25+'19_Расчет_аналитики'!AZ559*SUMIF(ThresholdAge25,"&lt;"&amp;'19_Расчет_аналитики'!AZ559,WeightedRevAge25)-SUMIF(ThresholdAge25,"&lt;"&amp;'19_Расчет_аналитики'!AZ559,WeightedMinAge25),MAX(CapacityAge25*'01_Вводные'!$B$218*'19_Расчет_аналитики'!AZ559,MeanMinAge25)))</f>
        <v/>
      </c>
      <c r="BA488">
        <f>IF(OR('19_Расчет_аналитики'!BA460=0,25&lt;='01_Вводные'!$B$297),0,'19_Расчет_аналитики'!BA460*IF('01_Вводные'!$B$239="Да",MeanMinAge25+'19_Расчет_аналитики'!BA559*SUMIF(ThresholdAge25,"&lt;"&amp;'19_Расчет_аналитики'!BA559,WeightedRevAge25)-SUMIF(ThresholdAge25,"&lt;"&amp;'19_Расчет_аналитики'!BA559,WeightedMinAge25),MAX(CapacityAge25*'01_Вводные'!$B$218*'19_Расчет_аналитики'!BA559,MeanMinAge25)))</f>
        <v/>
      </c>
      <c r="BB488">
        <f>IF(OR('19_Расчет_аналитики'!BB460=0,25&lt;='01_Вводные'!$B$297),0,'19_Расчет_аналитики'!BB460*IF('01_Вводные'!$B$239="Да",MeanMinAge25+'19_Расчет_аналитики'!BB559*SUMIF(ThresholdAge25,"&lt;"&amp;'19_Расчет_аналитики'!BB559,WeightedRevAge25)-SUMIF(ThresholdAge25,"&lt;"&amp;'19_Расчет_аналитики'!BB559,WeightedMinAge25),MAX(CapacityAge25*'01_Вводные'!$B$218*'19_Расчет_аналитики'!BB559,MeanMinAge25)))</f>
        <v/>
      </c>
      <c r="BC488">
        <f>IF(OR('19_Расчет_аналитики'!BC460=0,25&lt;='01_Вводные'!$B$297),0,'19_Расчет_аналитики'!BC460*IF('01_Вводные'!$B$239="Да",MeanMinAge25+'19_Расчет_аналитики'!BC559*SUMIF(ThresholdAge25,"&lt;"&amp;'19_Расчет_аналитики'!BC559,WeightedRevAge25)-SUMIF(ThresholdAge25,"&lt;"&amp;'19_Расчет_аналитики'!BC559,WeightedMinAge25),MAX(CapacityAge25*'01_Вводные'!$B$218*'19_Расчет_аналитики'!BC559,MeanMinAge25)))</f>
        <v/>
      </c>
      <c r="BD488">
        <f>IF(OR('19_Расчет_аналитики'!BD460=0,25&lt;='01_Вводные'!$B$297),0,'19_Расчет_аналитики'!BD460*IF('01_Вводные'!$B$239="Да",MeanMinAge25+'19_Расчет_аналитики'!BD559*SUMIF(ThresholdAge25,"&lt;"&amp;'19_Расчет_аналитики'!BD559,WeightedRevAge25)-SUMIF(ThresholdAge25,"&lt;"&amp;'19_Расчет_аналитики'!BD559,WeightedMinAge25),MAX(CapacityAge25*'01_Вводные'!$B$218*'19_Расчет_аналитики'!BD559,MeanMinAge25)))</f>
        <v/>
      </c>
      <c r="BE488">
        <f>IF(OR('19_Расчет_аналитики'!BE460=0,25&lt;='01_Вводные'!$B$297),0,'19_Расчет_аналитики'!BE460*IF('01_Вводные'!$B$239="Да",MeanMinAge25+'19_Расчет_аналитики'!BE559*SUMIF(ThresholdAge25,"&lt;"&amp;'19_Расчет_аналитики'!BE559,WeightedRevAge25)-SUMIF(ThresholdAge25,"&lt;"&amp;'19_Расчет_аналитики'!BE559,WeightedMinAge25),MAX(CapacityAge25*'01_Вводные'!$B$218*'19_Расчет_аналитики'!BE559,MeanMinAge25)))</f>
        <v/>
      </c>
      <c r="BF488">
        <f>IF(OR('19_Расчет_аналитики'!BF460=0,25&lt;='01_Вводные'!$B$297),0,'19_Расчет_аналитики'!BF460*IF('01_Вводные'!$B$239="Да",MeanMinAge25+'19_Расчет_аналитики'!BF559*SUMIF(ThresholdAge25,"&lt;"&amp;'19_Расчет_аналитики'!BF559,WeightedRevAge25)-SUMIF(ThresholdAge25,"&lt;"&amp;'19_Расчет_аналитики'!BF559,WeightedMinAge25),MAX(CapacityAge25*'01_Вводные'!$B$218*'19_Расчет_аналитики'!BF559,MeanMinAge25)))</f>
        <v/>
      </c>
      <c r="BG488">
        <f>IF(OR('19_Расчет_аналитики'!BG460=0,25&lt;='01_Вводные'!$B$297),0,'19_Расчет_аналитики'!BG460*IF('01_Вводные'!$B$239="Да",MeanMinAge25+'19_Расчет_аналитики'!BG559*SUMIF(ThresholdAge25,"&lt;"&amp;'19_Расчет_аналитики'!BG559,WeightedRevAge25)-SUMIF(ThresholdAge25,"&lt;"&amp;'19_Расчет_аналитики'!BG559,WeightedMinAge25),MAX(CapacityAge25*'01_Вводные'!$B$218*'19_Расчет_аналитики'!BG559,MeanMinAge25)))</f>
        <v/>
      </c>
      <c r="BH488">
        <f>IF(OR('19_Расчет_аналитики'!BH460=0,25&lt;='01_Вводные'!$B$297),0,'19_Расчет_аналитики'!BH460*IF('01_Вводные'!$B$239="Да",MeanMinAge25+'19_Расчет_аналитики'!BH559*SUMIF(ThresholdAge25,"&lt;"&amp;'19_Расчет_аналитики'!BH559,WeightedRevAge25)-SUMIF(ThresholdAge25,"&lt;"&amp;'19_Расчет_аналитики'!BH559,WeightedMinAge25),MAX(CapacityAge25*'01_Вводные'!$B$218*'19_Расчет_аналитики'!BH559,MeanMinAge25)))</f>
        <v/>
      </c>
      <c r="BI488">
        <f>IF(OR('19_Расчет_аналитики'!BI460=0,25&lt;='01_Вводные'!$B$297),0,'19_Расчет_аналитики'!BI460*IF('01_Вводные'!$B$239="Да",MeanMinAge25+'19_Расчет_аналитики'!BI559*SUMIF(ThresholdAge25,"&lt;"&amp;'19_Расчет_аналитики'!BI559,WeightedRevAge25)-SUMIF(ThresholdAge25,"&lt;"&amp;'19_Расчет_аналитики'!BI559,WeightedMinAge25),MAX(CapacityAge25*'01_Вводные'!$B$218*'19_Расчет_аналитики'!BI559,MeanMinAge25)))</f>
        <v/>
      </c>
      <c r="BJ488">
        <f>IF(OR('19_Расчет_аналитики'!BJ460=0,25&lt;='01_Вводные'!$B$297),0,'19_Расчет_аналитики'!BJ460*IF('01_Вводные'!$B$239="Да",MeanMinAge25+'19_Расчет_аналитики'!BJ559*SUMIF(ThresholdAge25,"&lt;"&amp;'19_Расчет_аналитики'!BJ559,WeightedRevAge25)-SUMIF(ThresholdAge25,"&lt;"&amp;'19_Расчет_аналитики'!BJ559,WeightedMinAge25),MAX(CapacityAge25*'01_Вводные'!$B$218*'19_Расчет_аналитики'!BJ559,MeanMinAge25)))</f>
        <v/>
      </c>
      <c r="BK488">
        <f>IF(OR('19_Расчет_аналитики'!BK460=0,25&lt;='01_Вводные'!$B$297),0,'19_Расчет_аналитики'!BK460*IF('01_Вводные'!$B$239="Да",MeanMinAge25+'19_Расчет_аналитики'!BK559*SUMIF(ThresholdAge25,"&lt;"&amp;'19_Расчет_аналитики'!BK559,WeightedRevAge25)-SUMIF(ThresholdAge25,"&lt;"&amp;'19_Расчет_аналитики'!BK559,WeightedMinAge25),MAX(CapacityAge25*'01_Вводные'!$B$218*'19_Расчет_аналитики'!BK559,MeanMinAge25)))</f>
        <v/>
      </c>
      <c r="BL488">
        <f>IF(OR('19_Расчет_аналитики'!BL460=0,25&lt;='01_Вводные'!$B$297),0,'19_Расчет_аналитики'!BL460*IF('01_Вводные'!$B$239="Да",MeanMinAge25+'19_Расчет_аналитики'!BL559*SUMIF(ThresholdAge25,"&lt;"&amp;'19_Расчет_аналитики'!BL559,WeightedRevAge25)-SUMIF(ThresholdAge25,"&lt;"&amp;'19_Расчет_аналитики'!BL559,WeightedMinAge25),MAX(CapacityAge25*'01_Вводные'!$B$218*'19_Расчет_аналитики'!BL559,MeanMinAge25)))</f>
        <v/>
      </c>
      <c r="BM488">
        <f>IF(OR('19_Расчет_аналитики'!BM460=0,25&lt;='01_Вводные'!$B$297),0,'19_Расчет_аналитики'!BM460*IF('01_Вводные'!$B$239="Да",MeanMinAge25+'19_Расчет_аналитики'!BM559*SUMIF(ThresholdAge25,"&lt;"&amp;'19_Расчет_аналитики'!BM559,WeightedRevAge25)-SUMIF(ThresholdAge25,"&lt;"&amp;'19_Расчет_аналитики'!BM559,WeightedMinAge25),MAX(CapacityAge25*'01_Вводные'!$B$218*'19_Расчет_аналитики'!BM559,MeanMinAge25)))</f>
        <v/>
      </c>
      <c r="BN488">
        <f>IF(OR('19_Расчет_аналитики'!BN460=0,25&lt;='01_Вводные'!$B$297),0,'19_Расчет_аналитики'!BN460*IF('01_Вводные'!$B$239="Да",MeanMinAge25+'19_Расчет_аналитики'!BN559*SUMIF(ThresholdAge25,"&lt;"&amp;'19_Расчет_аналитики'!BN559,WeightedRevAge25)-SUMIF(ThresholdAge25,"&lt;"&amp;'19_Расчет_аналитики'!BN559,WeightedMinAge25),MAX(CapacityAge25*'01_Вводные'!$B$218*'19_Расчет_аналитики'!BN559,MeanMinAge25)))</f>
        <v/>
      </c>
      <c r="BO488">
        <f>IF(OR('19_Расчет_аналитики'!BO460=0,25&lt;='01_Вводные'!$B$297),0,'19_Расчет_аналитики'!BO460*IF('01_Вводные'!$B$239="Да",MeanMinAge25+'19_Расчет_аналитики'!BO559*SUMIF(ThresholdAge25,"&lt;"&amp;'19_Расчет_аналитики'!BO559,WeightedRevAge25)-SUMIF(ThresholdAge25,"&lt;"&amp;'19_Расчет_аналитики'!BO559,WeightedMinAge25),MAX(CapacityAge25*'01_Вводные'!$B$218*'19_Расчет_аналитики'!BO559,MeanMinAge25)))</f>
        <v/>
      </c>
    </row>
    <row r="489"/>
    <row r="490"/>
    <row r="491"/>
    <row r="492">
      <c r="B492">
        <f>IF(OR(('19_Расчет_аналитики'!B408-'19_Расчет_аналитики'!B436)=0,1&lt;='01_Вводные'!$B$297),0,('19_Расчет_аналитики'!B408-'19_Расчет_аналитики'!B436)*IF('01_Вводные'!$B$239="Да",MeanMinAge01+'19_Расчет_аналитики'!B560*SUMIF(ThresholdAge01,"&lt;"&amp;'19_Расчет_аналитики'!B560,WeightedRevAge01)-SUMIF(ThresholdAge01,"&lt;"&amp;'19_Расчет_аналитики'!B560,WeightedMinAge01),MAX(CapacityAge01*'01_Вводные'!$B$218*'19_Расчет_аналитики'!B560,MeanMinAge01)))</f>
        <v/>
      </c>
      <c r="C492">
        <f>IF(OR(('19_Расчет_аналитики'!C408-'19_Расчет_аналитики'!C436)=0,1&lt;='01_Вводные'!$B$297),0,('19_Расчет_аналитики'!C408-'19_Расчет_аналитики'!C436)*IF('01_Вводные'!$B$239="Да",MeanMinAge01+'19_Расчет_аналитики'!C560*SUMIF(ThresholdAge01,"&lt;"&amp;'19_Расчет_аналитики'!C560,WeightedRevAge01)-SUMIF(ThresholdAge01,"&lt;"&amp;'19_Расчет_аналитики'!C560,WeightedMinAge01),MAX(CapacityAge01*'01_Вводные'!$B$218*'19_Расчет_аналитики'!C560,MeanMinAge01)))</f>
        <v/>
      </c>
      <c r="D492">
        <f>IF(OR(('19_Расчет_аналитики'!D408-'19_Расчет_аналитики'!D436)=0,1&lt;='01_Вводные'!$B$297),0,('19_Расчет_аналитики'!D408-'19_Расчет_аналитики'!D436)*IF('01_Вводные'!$B$239="Да",MeanMinAge01+'19_Расчет_аналитики'!D560*SUMIF(ThresholdAge01,"&lt;"&amp;'19_Расчет_аналитики'!D560,WeightedRevAge01)-SUMIF(ThresholdAge01,"&lt;"&amp;'19_Расчет_аналитики'!D560,WeightedMinAge01),MAX(CapacityAge01*'01_Вводные'!$B$218*'19_Расчет_аналитики'!D560,MeanMinAge01)))</f>
        <v/>
      </c>
      <c r="E492">
        <f>IF(OR(('19_Расчет_аналитики'!E408-'19_Расчет_аналитики'!E436)=0,1&lt;='01_Вводные'!$B$297),0,('19_Расчет_аналитики'!E408-'19_Расчет_аналитики'!E436)*IF('01_Вводные'!$B$239="Да",MeanMinAge01+'19_Расчет_аналитики'!E560*SUMIF(ThresholdAge01,"&lt;"&amp;'19_Расчет_аналитики'!E560,WeightedRevAge01)-SUMIF(ThresholdAge01,"&lt;"&amp;'19_Расчет_аналитики'!E560,WeightedMinAge01),MAX(CapacityAge01*'01_Вводные'!$B$218*'19_Расчет_аналитики'!E560,MeanMinAge01)))</f>
        <v/>
      </c>
      <c r="F492">
        <f>IF(OR(('19_Расчет_аналитики'!F408-'19_Расчет_аналитики'!F436)=0,1&lt;='01_Вводные'!$B$297),0,('19_Расчет_аналитики'!F408-'19_Расчет_аналитики'!F436)*IF('01_Вводные'!$B$239="Да",MeanMinAge01+'19_Расчет_аналитики'!F560*SUMIF(ThresholdAge01,"&lt;"&amp;'19_Расчет_аналитики'!F560,WeightedRevAge01)-SUMIF(ThresholdAge01,"&lt;"&amp;'19_Расчет_аналитики'!F560,WeightedMinAge01),MAX(CapacityAge01*'01_Вводные'!$B$218*'19_Расчет_аналитики'!F560,MeanMinAge01)))</f>
        <v/>
      </c>
      <c r="G492">
        <f>IF(OR(('19_Расчет_аналитики'!G408-'19_Расчет_аналитики'!G436)=0,1&lt;='01_Вводные'!$B$297),0,('19_Расчет_аналитики'!G408-'19_Расчет_аналитики'!G436)*IF('01_Вводные'!$B$239="Да",MeanMinAge01+'19_Расчет_аналитики'!G560*SUMIF(ThresholdAge01,"&lt;"&amp;'19_Расчет_аналитики'!G560,WeightedRevAge01)-SUMIF(ThresholdAge01,"&lt;"&amp;'19_Расчет_аналитики'!G560,WeightedMinAge01),MAX(CapacityAge01*'01_Вводные'!$B$218*'19_Расчет_аналитики'!G560,MeanMinAge01)))</f>
        <v/>
      </c>
      <c r="H492">
        <f>IF(OR(('19_Расчет_аналитики'!H408-'19_Расчет_аналитики'!H436)=0,1&lt;='01_Вводные'!$B$297),0,('19_Расчет_аналитики'!H408-'19_Расчет_аналитики'!H436)*IF('01_Вводные'!$B$239="Да",MeanMinAge01+'19_Расчет_аналитики'!H560*SUMIF(ThresholdAge01,"&lt;"&amp;'19_Расчет_аналитики'!H560,WeightedRevAge01)-SUMIF(ThresholdAge01,"&lt;"&amp;'19_Расчет_аналитики'!H560,WeightedMinAge01),MAX(CapacityAge01*'01_Вводные'!$B$218*'19_Расчет_аналитики'!H560,MeanMinAge01)))</f>
        <v/>
      </c>
      <c r="I492">
        <f>IF(OR(('19_Расчет_аналитики'!I408-'19_Расчет_аналитики'!I436)=0,1&lt;='01_Вводные'!$B$297),0,('19_Расчет_аналитики'!I408-'19_Расчет_аналитики'!I436)*IF('01_Вводные'!$B$239="Да",MeanMinAge01+'19_Расчет_аналитики'!I560*SUMIF(ThresholdAge01,"&lt;"&amp;'19_Расчет_аналитики'!I560,WeightedRevAge01)-SUMIF(ThresholdAge01,"&lt;"&amp;'19_Расчет_аналитики'!I560,WeightedMinAge01),MAX(CapacityAge01*'01_Вводные'!$B$218*'19_Расчет_аналитики'!I560,MeanMinAge01)))</f>
        <v/>
      </c>
      <c r="J492">
        <f>IF(OR(('19_Расчет_аналитики'!J408-'19_Расчет_аналитики'!J436)=0,1&lt;='01_Вводные'!$B$297),0,('19_Расчет_аналитики'!J408-'19_Расчет_аналитики'!J436)*IF('01_Вводные'!$B$239="Да",MeanMinAge01+'19_Расчет_аналитики'!J560*SUMIF(ThresholdAge01,"&lt;"&amp;'19_Расчет_аналитики'!J560,WeightedRevAge01)-SUMIF(ThresholdAge01,"&lt;"&amp;'19_Расчет_аналитики'!J560,WeightedMinAge01),MAX(CapacityAge01*'01_Вводные'!$B$218*'19_Расчет_аналитики'!J560,MeanMinAge01)))</f>
        <v/>
      </c>
      <c r="K492">
        <f>IF(OR(('19_Расчет_аналитики'!K408-'19_Расчет_аналитики'!K436)=0,1&lt;='01_Вводные'!$B$297),0,('19_Расчет_аналитики'!K408-'19_Расчет_аналитики'!K436)*IF('01_Вводные'!$B$239="Да",MeanMinAge01+'19_Расчет_аналитики'!K560*SUMIF(ThresholdAge01,"&lt;"&amp;'19_Расчет_аналитики'!K560,WeightedRevAge01)-SUMIF(ThresholdAge01,"&lt;"&amp;'19_Расчет_аналитики'!K560,WeightedMinAge01),MAX(CapacityAge01*'01_Вводные'!$B$218*'19_Расчет_аналитики'!K560,MeanMinAge01)))</f>
        <v/>
      </c>
      <c r="L492">
        <f>IF(OR(('19_Расчет_аналитики'!L408-'19_Расчет_аналитики'!L436)=0,1&lt;='01_Вводные'!$B$297),0,('19_Расчет_аналитики'!L408-'19_Расчет_аналитики'!L436)*IF('01_Вводные'!$B$239="Да",MeanMinAge01+'19_Расчет_аналитики'!L560*SUMIF(ThresholdAge01,"&lt;"&amp;'19_Расчет_аналитики'!L560,WeightedRevAge01)-SUMIF(ThresholdAge01,"&lt;"&amp;'19_Расчет_аналитики'!L560,WeightedMinAge01),MAX(CapacityAge01*'01_Вводные'!$B$218*'19_Расчет_аналитики'!L560,MeanMinAge01)))</f>
        <v/>
      </c>
      <c r="M492">
        <f>IF(OR(('19_Расчет_аналитики'!M408-'19_Расчет_аналитики'!M436)=0,1&lt;='01_Вводные'!$B$297),0,('19_Расчет_аналитики'!M408-'19_Расчет_аналитики'!M436)*IF('01_Вводные'!$B$239="Да",MeanMinAge01+'19_Расчет_аналитики'!M560*SUMIF(ThresholdAge01,"&lt;"&amp;'19_Расчет_аналитики'!M560,WeightedRevAge01)-SUMIF(ThresholdAge01,"&lt;"&amp;'19_Расчет_аналитики'!M560,WeightedMinAge01),MAX(CapacityAge01*'01_Вводные'!$B$218*'19_Расчет_аналитики'!M560,MeanMinAge01)))</f>
        <v/>
      </c>
      <c r="N492">
        <f>IF(OR(('19_Расчет_аналитики'!N408-'19_Расчет_аналитики'!N436)=0,1&lt;='01_Вводные'!$B$297),0,('19_Расчет_аналитики'!N408-'19_Расчет_аналитики'!N436)*IF('01_Вводные'!$B$239="Да",MeanMinAge01+'19_Расчет_аналитики'!N560*SUMIF(ThresholdAge01,"&lt;"&amp;'19_Расчет_аналитики'!N560,WeightedRevAge01)-SUMIF(ThresholdAge01,"&lt;"&amp;'19_Расчет_аналитики'!N560,WeightedMinAge01),MAX(CapacityAge01*'01_Вводные'!$B$218*'19_Расчет_аналитики'!N560,MeanMinAge01)))</f>
        <v/>
      </c>
      <c r="O492">
        <f>IF(OR(('19_Расчет_аналитики'!O408-'19_Расчет_аналитики'!O436)=0,1&lt;='01_Вводные'!$B$297),0,('19_Расчет_аналитики'!O408-'19_Расчет_аналитики'!O436)*IF('01_Вводные'!$B$239="Да",MeanMinAge01+'19_Расчет_аналитики'!O560*SUMIF(ThresholdAge01,"&lt;"&amp;'19_Расчет_аналитики'!O560,WeightedRevAge01)-SUMIF(ThresholdAge01,"&lt;"&amp;'19_Расчет_аналитики'!O560,WeightedMinAge01),MAX(CapacityAge01*'01_Вводные'!$B$218*'19_Расчет_аналитики'!O560,MeanMinAge01)))</f>
        <v/>
      </c>
      <c r="P492">
        <f>IF(OR(('19_Расчет_аналитики'!P408-'19_Расчет_аналитики'!P436)=0,1&lt;='01_Вводные'!$B$297),0,('19_Расчет_аналитики'!P408-'19_Расчет_аналитики'!P436)*IF('01_Вводные'!$B$239="Да",MeanMinAge01+'19_Расчет_аналитики'!P560*SUMIF(ThresholdAge01,"&lt;"&amp;'19_Расчет_аналитики'!P560,WeightedRevAge01)-SUMIF(ThresholdAge01,"&lt;"&amp;'19_Расчет_аналитики'!P560,WeightedMinAge01),MAX(CapacityAge01*'01_Вводные'!$B$218*'19_Расчет_аналитики'!P560,MeanMinAge01)))</f>
        <v/>
      </c>
      <c r="Q492">
        <f>IF(OR(('19_Расчет_аналитики'!Q408-'19_Расчет_аналитики'!Q436)=0,1&lt;='01_Вводные'!$B$297),0,('19_Расчет_аналитики'!Q408-'19_Расчет_аналитики'!Q436)*IF('01_Вводные'!$B$239="Да",MeanMinAge01+'19_Расчет_аналитики'!Q560*SUMIF(ThresholdAge01,"&lt;"&amp;'19_Расчет_аналитики'!Q560,WeightedRevAge01)-SUMIF(ThresholdAge01,"&lt;"&amp;'19_Расчет_аналитики'!Q560,WeightedMinAge01),MAX(CapacityAge01*'01_Вводные'!$B$218*'19_Расчет_аналитики'!Q560,MeanMinAge01)))</f>
        <v/>
      </c>
      <c r="R492">
        <f>IF(OR(('19_Расчет_аналитики'!R408-'19_Расчет_аналитики'!R436)=0,1&lt;='01_Вводные'!$B$297),0,('19_Расчет_аналитики'!R408-'19_Расчет_аналитики'!R436)*IF('01_Вводные'!$B$239="Да",MeanMinAge01+'19_Расчет_аналитики'!R560*SUMIF(ThresholdAge01,"&lt;"&amp;'19_Расчет_аналитики'!R560,WeightedRevAge01)-SUMIF(ThresholdAge01,"&lt;"&amp;'19_Расчет_аналитики'!R560,WeightedMinAge01),MAX(CapacityAge01*'01_Вводные'!$B$218*'19_Расчет_аналитики'!R560,MeanMinAge01)))</f>
        <v/>
      </c>
      <c r="S492">
        <f>IF(OR(('19_Расчет_аналитики'!S408-'19_Расчет_аналитики'!S436)=0,1&lt;='01_Вводные'!$B$297),0,('19_Расчет_аналитики'!S408-'19_Расчет_аналитики'!S436)*IF('01_Вводные'!$B$239="Да",MeanMinAge01+'19_Расчет_аналитики'!S560*SUMIF(ThresholdAge01,"&lt;"&amp;'19_Расчет_аналитики'!S560,WeightedRevAge01)-SUMIF(ThresholdAge01,"&lt;"&amp;'19_Расчет_аналитики'!S560,WeightedMinAge01),MAX(CapacityAge01*'01_Вводные'!$B$218*'19_Расчет_аналитики'!S560,MeanMinAge01)))</f>
        <v/>
      </c>
      <c r="T492">
        <f>IF(OR(('19_Расчет_аналитики'!T408-'19_Расчет_аналитики'!T436)=0,1&lt;='01_Вводные'!$B$297),0,('19_Расчет_аналитики'!T408-'19_Расчет_аналитики'!T436)*IF('01_Вводные'!$B$239="Да",MeanMinAge01+'19_Расчет_аналитики'!T560*SUMIF(ThresholdAge01,"&lt;"&amp;'19_Расчет_аналитики'!T560,WeightedRevAge01)-SUMIF(ThresholdAge01,"&lt;"&amp;'19_Расчет_аналитики'!T560,WeightedMinAge01),MAX(CapacityAge01*'01_Вводные'!$B$218*'19_Расчет_аналитики'!T560,MeanMinAge01)))</f>
        <v/>
      </c>
      <c r="U492">
        <f>IF(OR(('19_Расчет_аналитики'!U408-'19_Расчет_аналитики'!U436)=0,1&lt;='01_Вводные'!$B$297),0,('19_Расчет_аналитики'!U408-'19_Расчет_аналитики'!U436)*IF('01_Вводные'!$B$239="Да",MeanMinAge01+'19_Расчет_аналитики'!U560*SUMIF(ThresholdAge01,"&lt;"&amp;'19_Расчет_аналитики'!U560,WeightedRevAge01)-SUMIF(ThresholdAge01,"&lt;"&amp;'19_Расчет_аналитики'!U560,WeightedMinAge01),MAX(CapacityAge01*'01_Вводные'!$B$218*'19_Расчет_аналитики'!U560,MeanMinAge01)))</f>
        <v/>
      </c>
      <c r="V492">
        <f>IF(OR(('19_Расчет_аналитики'!V408-'19_Расчет_аналитики'!V436)=0,1&lt;='01_Вводные'!$B$297),0,('19_Расчет_аналитики'!V408-'19_Расчет_аналитики'!V436)*IF('01_Вводные'!$B$239="Да",MeanMinAge01+'19_Расчет_аналитики'!V560*SUMIF(ThresholdAge01,"&lt;"&amp;'19_Расчет_аналитики'!V560,WeightedRevAge01)-SUMIF(ThresholdAge01,"&lt;"&amp;'19_Расчет_аналитики'!V560,WeightedMinAge01),MAX(CapacityAge01*'01_Вводные'!$B$218*'19_Расчет_аналитики'!V560,MeanMinAge01)))</f>
        <v/>
      </c>
      <c r="W492">
        <f>IF(OR(('19_Расчет_аналитики'!W408-'19_Расчет_аналитики'!W436)=0,1&lt;='01_Вводные'!$B$297),0,('19_Расчет_аналитики'!W408-'19_Расчет_аналитики'!W436)*IF('01_Вводные'!$B$239="Да",MeanMinAge01+'19_Расчет_аналитики'!W560*SUMIF(ThresholdAge01,"&lt;"&amp;'19_Расчет_аналитики'!W560,WeightedRevAge01)-SUMIF(ThresholdAge01,"&lt;"&amp;'19_Расчет_аналитики'!W560,WeightedMinAge01),MAX(CapacityAge01*'01_Вводные'!$B$218*'19_Расчет_аналитики'!W560,MeanMinAge01)))</f>
        <v/>
      </c>
      <c r="X492">
        <f>IF(OR(('19_Расчет_аналитики'!X408-'19_Расчет_аналитики'!X436)=0,1&lt;='01_Вводные'!$B$297),0,('19_Расчет_аналитики'!X408-'19_Расчет_аналитики'!X436)*IF('01_Вводные'!$B$239="Да",MeanMinAge01+'19_Расчет_аналитики'!X560*SUMIF(ThresholdAge01,"&lt;"&amp;'19_Расчет_аналитики'!X560,WeightedRevAge01)-SUMIF(ThresholdAge01,"&lt;"&amp;'19_Расчет_аналитики'!X560,WeightedMinAge01),MAX(CapacityAge01*'01_Вводные'!$B$218*'19_Расчет_аналитики'!X560,MeanMinAge01)))</f>
        <v/>
      </c>
      <c r="Y492">
        <f>IF(OR(('19_Расчет_аналитики'!Y408-'19_Расчет_аналитики'!Y436)=0,1&lt;='01_Вводные'!$B$297),0,('19_Расчет_аналитики'!Y408-'19_Расчет_аналитики'!Y436)*IF('01_Вводные'!$B$239="Да",MeanMinAge01+'19_Расчет_аналитики'!Y560*SUMIF(ThresholdAge01,"&lt;"&amp;'19_Расчет_аналитики'!Y560,WeightedRevAge01)-SUMIF(ThresholdAge01,"&lt;"&amp;'19_Расчет_аналитики'!Y560,WeightedMinAge01),MAX(CapacityAge01*'01_Вводные'!$B$218*'19_Расчет_аналитики'!Y560,MeanMinAge01)))</f>
        <v/>
      </c>
      <c r="Z492">
        <f>IF(OR(('19_Расчет_аналитики'!Z408-'19_Расчет_аналитики'!Z436)=0,1&lt;='01_Вводные'!$B$297),0,('19_Расчет_аналитики'!Z408-'19_Расчет_аналитики'!Z436)*IF('01_Вводные'!$B$239="Да",MeanMinAge01+'19_Расчет_аналитики'!Z560*SUMIF(ThresholdAge01,"&lt;"&amp;'19_Расчет_аналитики'!Z560,WeightedRevAge01)-SUMIF(ThresholdAge01,"&lt;"&amp;'19_Расчет_аналитики'!Z560,WeightedMinAge01),MAX(CapacityAge01*'01_Вводные'!$B$218*'19_Расчет_аналитики'!Z560,MeanMinAge01)))</f>
        <v/>
      </c>
      <c r="AA492">
        <f>IF(OR(('19_Расчет_аналитики'!AA408-'19_Расчет_аналитики'!AA436)=0,1&lt;='01_Вводные'!$B$297),0,('19_Расчет_аналитики'!AA408-'19_Расчет_аналитики'!AA436)*IF('01_Вводные'!$B$239="Да",MeanMinAge01+'19_Расчет_аналитики'!AA560*SUMIF(ThresholdAge01,"&lt;"&amp;'19_Расчет_аналитики'!AA560,WeightedRevAge01)-SUMIF(ThresholdAge01,"&lt;"&amp;'19_Расчет_аналитики'!AA560,WeightedMinAge01),MAX(CapacityAge01*'01_Вводные'!$B$218*'19_Расчет_аналитики'!AA560,MeanMinAge01)))</f>
        <v/>
      </c>
      <c r="AB492">
        <f>IF(OR(('19_Расчет_аналитики'!AB408-'19_Расчет_аналитики'!AB436)=0,1&lt;='01_Вводные'!$B$297),0,('19_Расчет_аналитики'!AB408-'19_Расчет_аналитики'!AB436)*IF('01_Вводные'!$B$239="Да",MeanMinAge01+'19_Расчет_аналитики'!AB560*SUMIF(ThresholdAge01,"&lt;"&amp;'19_Расчет_аналитики'!AB560,WeightedRevAge01)-SUMIF(ThresholdAge01,"&lt;"&amp;'19_Расчет_аналитики'!AB560,WeightedMinAge01),MAX(CapacityAge01*'01_Вводные'!$B$218*'19_Расчет_аналитики'!AB560,MeanMinAge01)))</f>
        <v/>
      </c>
      <c r="AC492">
        <f>IF(OR(('19_Расчет_аналитики'!AC408-'19_Расчет_аналитики'!AC436)=0,1&lt;='01_Вводные'!$B$297),0,('19_Расчет_аналитики'!AC408-'19_Расчет_аналитики'!AC436)*IF('01_Вводные'!$B$239="Да",MeanMinAge01+'19_Расчет_аналитики'!AC560*SUMIF(ThresholdAge01,"&lt;"&amp;'19_Расчет_аналитики'!AC560,WeightedRevAge01)-SUMIF(ThresholdAge01,"&lt;"&amp;'19_Расчет_аналитики'!AC560,WeightedMinAge01),MAX(CapacityAge01*'01_Вводные'!$B$218*'19_Расчет_аналитики'!AC560,MeanMinAge01)))</f>
        <v/>
      </c>
      <c r="AD492">
        <f>IF(OR(('19_Расчет_аналитики'!AD408-'19_Расчет_аналитики'!AD436)=0,1&lt;='01_Вводные'!$B$297),0,('19_Расчет_аналитики'!AD408-'19_Расчет_аналитики'!AD436)*IF('01_Вводные'!$B$239="Да",MeanMinAge01+'19_Расчет_аналитики'!AD560*SUMIF(ThresholdAge01,"&lt;"&amp;'19_Расчет_аналитики'!AD560,WeightedRevAge01)-SUMIF(ThresholdAge01,"&lt;"&amp;'19_Расчет_аналитики'!AD560,WeightedMinAge01),MAX(CapacityAge01*'01_Вводные'!$B$218*'19_Расчет_аналитики'!AD560,MeanMinAge01)))</f>
        <v/>
      </c>
      <c r="AE492">
        <f>IF(OR(('19_Расчет_аналитики'!AE408-'19_Расчет_аналитики'!AE436)=0,1&lt;='01_Вводные'!$B$297),0,('19_Расчет_аналитики'!AE408-'19_Расчет_аналитики'!AE436)*IF('01_Вводные'!$B$239="Да",MeanMinAge01+'19_Расчет_аналитики'!AE560*SUMIF(ThresholdAge01,"&lt;"&amp;'19_Расчет_аналитики'!AE560,WeightedRevAge01)-SUMIF(ThresholdAge01,"&lt;"&amp;'19_Расчет_аналитики'!AE560,WeightedMinAge01),MAX(CapacityAge01*'01_Вводные'!$B$218*'19_Расчет_аналитики'!AE560,MeanMinAge01)))</f>
        <v/>
      </c>
      <c r="AF492">
        <f>IF(OR(('19_Расчет_аналитики'!AF408-'19_Расчет_аналитики'!AF436)=0,1&lt;='01_Вводные'!$B$297),0,('19_Расчет_аналитики'!AF408-'19_Расчет_аналитики'!AF436)*IF('01_Вводные'!$B$239="Да",MeanMinAge01+'19_Расчет_аналитики'!AF560*SUMIF(ThresholdAge01,"&lt;"&amp;'19_Расчет_аналитики'!AF560,WeightedRevAge01)-SUMIF(ThresholdAge01,"&lt;"&amp;'19_Расчет_аналитики'!AF560,WeightedMinAge01),MAX(CapacityAge01*'01_Вводные'!$B$218*'19_Расчет_аналитики'!AF560,MeanMinAge01)))</f>
        <v/>
      </c>
      <c r="AG492">
        <f>IF(OR(('19_Расчет_аналитики'!AG408-'19_Расчет_аналитики'!AG436)=0,1&lt;='01_Вводные'!$B$297),0,('19_Расчет_аналитики'!AG408-'19_Расчет_аналитики'!AG436)*IF('01_Вводные'!$B$239="Да",MeanMinAge01+'19_Расчет_аналитики'!AG560*SUMIF(ThresholdAge01,"&lt;"&amp;'19_Расчет_аналитики'!AG560,WeightedRevAge01)-SUMIF(ThresholdAge01,"&lt;"&amp;'19_Расчет_аналитики'!AG560,WeightedMinAge01),MAX(CapacityAge01*'01_Вводные'!$B$218*'19_Расчет_аналитики'!AG560,MeanMinAge01)))</f>
        <v/>
      </c>
      <c r="AH492">
        <f>IF(OR(('19_Расчет_аналитики'!AH408-'19_Расчет_аналитики'!AH436)=0,1&lt;='01_Вводные'!$B$297),0,('19_Расчет_аналитики'!AH408-'19_Расчет_аналитики'!AH436)*IF('01_Вводные'!$B$239="Да",MeanMinAge01+'19_Расчет_аналитики'!AH560*SUMIF(ThresholdAge01,"&lt;"&amp;'19_Расчет_аналитики'!AH560,WeightedRevAge01)-SUMIF(ThresholdAge01,"&lt;"&amp;'19_Расчет_аналитики'!AH560,WeightedMinAge01),MAX(CapacityAge01*'01_Вводные'!$B$218*'19_Расчет_аналитики'!AH560,MeanMinAge01)))</f>
        <v/>
      </c>
      <c r="AI492">
        <f>IF(OR(('19_Расчет_аналитики'!AI408-'19_Расчет_аналитики'!AI436)=0,1&lt;='01_Вводные'!$B$297),0,('19_Расчет_аналитики'!AI408-'19_Расчет_аналитики'!AI436)*IF('01_Вводные'!$B$239="Да",MeanMinAge01+'19_Расчет_аналитики'!AI560*SUMIF(ThresholdAge01,"&lt;"&amp;'19_Расчет_аналитики'!AI560,WeightedRevAge01)-SUMIF(ThresholdAge01,"&lt;"&amp;'19_Расчет_аналитики'!AI560,WeightedMinAge01),MAX(CapacityAge01*'01_Вводные'!$B$218*'19_Расчет_аналитики'!AI560,MeanMinAge01)))</f>
        <v/>
      </c>
      <c r="AJ492">
        <f>IF(OR(('19_Расчет_аналитики'!AJ408-'19_Расчет_аналитики'!AJ436)=0,1&lt;='01_Вводные'!$B$297),0,('19_Расчет_аналитики'!AJ408-'19_Расчет_аналитики'!AJ436)*IF('01_Вводные'!$B$239="Да",MeanMinAge01+'19_Расчет_аналитики'!AJ560*SUMIF(ThresholdAge01,"&lt;"&amp;'19_Расчет_аналитики'!AJ560,WeightedRevAge01)-SUMIF(ThresholdAge01,"&lt;"&amp;'19_Расчет_аналитики'!AJ560,WeightedMinAge01),MAX(CapacityAge01*'01_Вводные'!$B$218*'19_Расчет_аналитики'!AJ560,MeanMinAge01)))</f>
        <v/>
      </c>
      <c r="AK492">
        <f>IF(OR(('19_Расчет_аналитики'!AK408-'19_Расчет_аналитики'!AK436)=0,1&lt;='01_Вводные'!$B$297),0,('19_Расчет_аналитики'!AK408-'19_Расчет_аналитики'!AK436)*IF('01_Вводные'!$B$239="Да",MeanMinAge01+'19_Расчет_аналитики'!AK560*SUMIF(ThresholdAge01,"&lt;"&amp;'19_Расчет_аналитики'!AK560,WeightedRevAge01)-SUMIF(ThresholdAge01,"&lt;"&amp;'19_Расчет_аналитики'!AK560,WeightedMinAge01),MAX(CapacityAge01*'01_Вводные'!$B$218*'19_Расчет_аналитики'!AK560,MeanMinAge01)))</f>
        <v/>
      </c>
      <c r="AL492">
        <f>IF(OR(('19_Расчет_аналитики'!AL408-'19_Расчет_аналитики'!AL436)=0,1&lt;='01_Вводные'!$B$297),0,('19_Расчет_аналитики'!AL408-'19_Расчет_аналитики'!AL436)*IF('01_Вводные'!$B$239="Да",MeanMinAge01+'19_Расчет_аналитики'!AL560*SUMIF(ThresholdAge01,"&lt;"&amp;'19_Расчет_аналитики'!AL560,WeightedRevAge01)-SUMIF(ThresholdAge01,"&lt;"&amp;'19_Расчет_аналитики'!AL560,WeightedMinAge01),MAX(CapacityAge01*'01_Вводные'!$B$218*'19_Расчет_аналитики'!AL560,MeanMinAge01)))</f>
        <v/>
      </c>
      <c r="AM492">
        <f>IF(OR(('19_Расчет_аналитики'!AM408-'19_Расчет_аналитики'!AM436)=0,1&lt;='01_Вводные'!$B$297),0,('19_Расчет_аналитики'!AM408-'19_Расчет_аналитики'!AM436)*IF('01_Вводные'!$B$239="Да",MeanMinAge01+'19_Расчет_аналитики'!AM560*SUMIF(ThresholdAge01,"&lt;"&amp;'19_Расчет_аналитики'!AM560,WeightedRevAge01)-SUMIF(ThresholdAge01,"&lt;"&amp;'19_Расчет_аналитики'!AM560,WeightedMinAge01),MAX(CapacityAge01*'01_Вводные'!$B$218*'19_Расчет_аналитики'!AM560,MeanMinAge01)))</f>
        <v/>
      </c>
      <c r="AN492">
        <f>IF(OR(('19_Расчет_аналитики'!AN408-'19_Расчет_аналитики'!AN436)=0,1&lt;='01_Вводные'!$B$297),0,('19_Расчет_аналитики'!AN408-'19_Расчет_аналитики'!AN436)*IF('01_Вводные'!$B$239="Да",MeanMinAge01+'19_Расчет_аналитики'!AN560*SUMIF(ThresholdAge01,"&lt;"&amp;'19_Расчет_аналитики'!AN560,WeightedRevAge01)-SUMIF(ThresholdAge01,"&lt;"&amp;'19_Расчет_аналитики'!AN560,WeightedMinAge01),MAX(CapacityAge01*'01_Вводные'!$B$218*'19_Расчет_аналитики'!AN560,MeanMinAge01)))</f>
        <v/>
      </c>
      <c r="AO492">
        <f>IF(OR(('19_Расчет_аналитики'!AO408-'19_Расчет_аналитики'!AO436)=0,1&lt;='01_Вводные'!$B$297),0,('19_Расчет_аналитики'!AO408-'19_Расчет_аналитики'!AO436)*IF('01_Вводные'!$B$239="Да",MeanMinAge01+'19_Расчет_аналитики'!AO560*SUMIF(ThresholdAge01,"&lt;"&amp;'19_Расчет_аналитики'!AO560,WeightedRevAge01)-SUMIF(ThresholdAge01,"&lt;"&amp;'19_Расчет_аналитики'!AO560,WeightedMinAge01),MAX(CapacityAge01*'01_Вводные'!$B$218*'19_Расчет_аналитики'!AO560,MeanMinAge01)))</f>
        <v/>
      </c>
      <c r="AP492">
        <f>IF(OR(('19_Расчет_аналитики'!AP408-'19_Расчет_аналитики'!AP436)=0,1&lt;='01_Вводные'!$B$297),0,('19_Расчет_аналитики'!AP408-'19_Расчет_аналитики'!AP436)*IF('01_Вводные'!$B$239="Да",MeanMinAge01+'19_Расчет_аналитики'!AP560*SUMIF(ThresholdAge01,"&lt;"&amp;'19_Расчет_аналитики'!AP560,WeightedRevAge01)-SUMIF(ThresholdAge01,"&lt;"&amp;'19_Расчет_аналитики'!AP560,WeightedMinAge01),MAX(CapacityAge01*'01_Вводные'!$B$218*'19_Расчет_аналитики'!AP560,MeanMinAge01)))</f>
        <v/>
      </c>
      <c r="AQ492">
        <f>IF(OR(('19_Расчет_аналитики'!AQ408-'19_Расчет_аналитики'!AQ436)=0,1&lt;='01_Вводные'!$B$297),0,('19_Расчет_аналитики'!AQ408-'19_Расчет_аналитики'!AQ436)*IF('01_Вводные'!$B$239="Да",MeanMinAge01+'19_Расчет_аналитики'!AQ560*SUMIF(ThresholdAge01,"&lt;"&amp;'19_Расчет_аналитики'!AQ560,WeightedRevAge01)-SUMIF(ThresholdAge01,"&lt;"&amp;'19_Расчет_аналитики'!AQ560,WeightedMinAge01),MAX(CapacityAge01*'01_Вводные'!$B$218*'19_Расчет_аналитики'!AQ560,MeanMinAge01)))</f>
        <v/>
      </c>
      <c r="AR492">
        <f>IF(OR(('19_Расчет_аналитики'!AR408-'19_Расчет_аналитики'!AR436)=0,1&lt;='01_Вводные'!$B$297),0,('19_Расчет_аналитики'!AR408-'19_Расчет_аналитики'!AR436)*IF('01_Вводные'!$B$239="Да",MeanMinAge01+'19_Расчет_аналитики'!AR560*SUMIF(ThresholdAge01,"&lt;"&amp;'19_Расчет_аналитики'!AR560,WeightedRevAge01)-SUMIF(ThresholdAge01,"&lt;"&amp;'19_Расчет_аналитики'!AR560,WeightedMinAge01),MAX(CapacityAge01*'01_Вводные'!$B$218*'19_Расчет_аналитики'!AR560,MeanMinAge01)))</f>
        <v/>
      </c>
      <c r="AS492">
        <f>IF(OR(('19_Расчет_аналитики'!AS408-'19_Расчет_аналитики'!AS436)=0,1&lt;='01_Вводные'!$B$297),0,('19_Расчет_аналитики'!AS408-'19_Расчет_аналитики'!AS436)*IF('01_Вводные'!$B$239="Да",MeanMinAge01+'19_Расчет_аналитики'!AS560*SUMIF(ThresholdAge01,"&lt;"&amp;'19_Расчет_аналитики'!AS560,WeightedRevAge01)-SUMIF(ThresholdAge01,"&lt;"&amp;'19_Расчет_аналитики'!AS560,WeightedMinAge01),MAX(CapacityAge01*'01_Вводные'!$B$218*'19_Расчет_аналитики'!AS560,MeanMinAge01)))</f>
        <v/>
      </c>
      <c r="AT492">
        <f>IF(OR(('19_Расчет_аналитики'!AT408-'19_Расчет_аналитики'!AT436)=0,1&lt;='01_Вводные'!$B$297),0,('19_Расчет_аналитики'!AT408-'19_Расчет_аналитики'!AT436)*IF('01_Вводные'!$B$239="Да",MeanMinAge01+'19_Расчет_аналитики'!AT560*SUMIF(ThresholdAge01,"&lt;"&amp;'19_Расчет_аналитики'!AT560,WeightedRevAge01)-SUMIF(ThresholdAge01,"&lt;"&amp;'19_Расчет_аналитики'!AT560,WeightedMinAge01),MAX(CapacityAge01*'01_Вводные'!$B$218*'19_Расчет_аналитики'!AT560,MeanMinAge01)))</f>
        <v/>
      </c>
      <c r="AU492">
        <f>IF(OR(('19_Расчет_аналитики'!AU408-'19_Расчет_аналитики'!AU436)=0,1&lt;='01_Вводные'!$B$297),0,('19_Расчет_аналитики'!AU408-'19_Расчет_аналитики'!AU436)*IF('01_Вводные'!$B$239="Да",MeanMinAge01+'19_Расчет_аналитики'!AU560*SUMIF(ThresholdAge01,"&lt;"&amp;'19_Расчет_аналитики'!AU560,WeightedRevAge01)-SUMIF(ThresholdAge01,"&lt;"&amp;'19_Расчет_аналитики'!AU560,WeightedMinAge01),MAX(CapacityAge01*'01_Вводные'!$B$218*'19_Расчет_аналитики'!AU560,MeanMinAge01)))</f>
        <v/>
      </c>
      <c r="AV492">
        <f>IF(OR(('19_Расчет_аналитики'!AV408-'19_Расчет_аналитики'!AV436)=0,1&lt;='01_Вводные'!$B$297),0,('19_Расчет_аналитики'!AV408-'19_Расчет_аналитики'!AV436)*IF('01_Вводные'!$B$239="Да",MeanMinAge01+'19_Расчет_аналитики'!AV560*SUMIF(ThresholdAge01,"&lt;"&amp;'19_Расчет_аналитики'!AV560,WeightedRevAge01)-SUMIF(ThresholdAge01,"&lt;"&amp;'19_Расчет_аналитики'!AV560,WeightedMinAge01),MAX(CapacityAge01*'01_Вводные'!$B$218*'19_Расчет_аналитики'!AV560,MeanMinAge01)))</f>
        <v/>
      </c>
      <c r="AW492">
        <f>IF(OR(('19_Расчет_аналитики'!AW408-'19_Расчет_аналитики'!AW436)=0,1&lt;='01_Вводные'!$B$297),0,('19_Расчет_аналитики'!AW408-'19_Расчет_аналитики'!AW436)*IF('01_Вводные'!$B$239="Да",MeanMinAge01+'19_Расчет_аналитики'!AW560*SUMIF(ThresholdAge01,"&lt;"&amp;'19_Расчет_аналитики'!AW560,WeightedRevAge01)-SUMIF(ThresholdAge01,"&lt;"&amp;'19_Расчет_аналитики'!AW560,WeightedMinAge01),MAX(CapacityAge01*'01_Вводные'!$B$218*'19_Расчет_аналитики'!AW560,MeanMinAge01)))</f>
        <v/>
      </c>
      <c r="AX492">
        <f>IF(OR(('19_Расчет_аналитики'!AX408-'19_Расчет_аналитики'!AX436)=0,1&lt;='01_Вводные'!$B$297),0,('19_Расчет_аналитики'!AX408-'19_Расчет_аналитики'!AX436)*IF('01_Вводные'!$B$239="Да",MeanMinAge01+'19_Расчет_аналитики'!AX560*SUMIF(ThresholdAge01,"&lt;"&amp;'19_Расчет_аналитики'!AX560,WeightedRevAge01)-SUMIF(ThresholdAge01,"&lt;"&amp;'19_Расчет_аналитики'!AX560,WeightedMinAge01),MAX(CapacityAge01*'01_Вводные'!$B$218*'19_Расчет_аналитики'!AX560,MeanMinAge01)))</f>
        <v/>
      </c>
      <c r="AY492">
        <f>IF(OR(('19_Расчет_аналитики'!AY408-'19_Расчет_аналитики'!AY436)=0,1&lt;='01_Вводные'!$B$297),0,('19_Расчет_аналитики'!AY408-'19_Расчет_аналитики'!AY436)*IF('01_Вводные'!$B$239="Да",MeanMinAge01+'19_Расчет_аналитики'!AY560*SUMIF(ThresholdAge01,"&lt;"&amp;'19_Расчет_аналитики'!AY560,WeightedRevAge01)-SUMIF(ThresholdAge01,"&lt;"&amp;'19_Расчет_аналитики'!AY560,WeightedMinAge01),MAX(CapacityAge01*'01_Вводные'!$B$218*'19_Расчет_аналитики'!AY560,MeanMinAge01)))</f>
        <v/>
      </c>
      <c r="AZ492">
        <f>IF(OR(('19_Расчет_аналитики'!AZ408-'19_Расчет_аналитики'!AZ436)=0,1&lt;='01_Вводные'!$B$297),0,('19_Расчет_аналитики'!AZ408-'19_Расчет_аналитики'!AZ436)*IF('01_Вводные'!$B$239="Да",MeanMinAge01+'19_Расчет_аналитики'!AZ560*SUMIF(ThresholdAge01,"&lt;"&amp;'19_Расчет_аналитики'!AZ560,WeightedRevAge01)-SUMIF(ThresholdAge01,"&lt;"&amp;'19_Расчет_аналитики'!AZ560,WeightedMinAge01),MAX(CapacityAge01*'01_Вводные'!$B$218*'19_Расчет_аналитики'!AZ560,MeanMinAge01)))</f>
        <v/>
      </c>
      <c r="BA492">
        <f>IF(OR(('19_Расчет_аналитики'!BA408-'19_Расчет_аналитики'!BA436)=0,1&lt;='01_Вводные'!$B$297),0,('19_Расчет_аналитики'!BA408-'19_Расчет_аналитики'!BA436)*IF('01_Вводные'!$B$239="Да",MeanMinAge01+'19_Расчет_аналитики'!BA560*SUMIF(ThresholdAge01,"&lt;"&amp;'19_Расчет_аналитики'!BA560,WeightedRevAge01)-SUMIF(ThresholdAge01,"&lt;"&amp;'19_Расчет_аналитики'!BA560,WeightedMinAge01),MAX(CapacityAge01*'01_Вводные'!$B$218*'19_Расчет_аналитики'!BA560,MeanMinAge01)))</f>
        <v/>
      </c>
      <c r="BB492">
        <f>IF(OR(('19_Расчет_аналитики'!BB408-'19_Расчет_аналитики'!BB436)=0,1&lt;='01_Вводные'!$B$297),0,('19_Расчет_аналитики'!BB408-'19_Расчет_аналитики'!BB436)*IF('01_Вводные'!$B$239="Да",MeanMinAge01+'19_Расчет_аналитики'!BB560*SUMIF(ThresholdAge01,"&lt;"&amp;'19_Расчет_аналитики'!BB560,WeightedRevAge01)-SUMIF(ThresholdAge01,"&lt;"&amp;'19_Расчет_аналитики'!BB560,WeightedMinAge01),MAX(CapacityAge01*'01_Вводные'!$B$218*'19_Расчет_аналитики'!BB560,MeanMinAge01)))</f>
        <v/>
      </c>
      <c r="BC492">
        <f>IF(OR(('19_Расчет_аналитики'!BC408-'19_Расчет_аналитики'!BC436)=0,1&lt;='01_Вводные'!$B$297),0,('19_Расчет_аналитики'!BC408-'19_Расчет_аналитики'!BC436)*IF('01_Вводные'!$B$239="Да",MeanMinAge01+'19_Расчет_аналитики'!BC560*SUMIF(ThresholdAge01,"&lt;"&amp;'19_Расчет_аналитики'!BC560,WeightedRevAge01)-SUMIF(ThresholdAge01,"&lt;"&amp;'19_Расчет_аналитики'!BC560,WeightedMinAge01),MAX(CapacityAge01*'01_Вводные'!$B$218*'19_Расчет_аналитики'!BC560,MeanMinAge01)))</f>
        <v/>
      </c>
      <c r="BD492">
        <f>IF(OR(('19_Расчет_аналитики'!BD408-'19_Расчет_аналитики'!BD436)=0,1&lt;='01_Вводные'!$B$297),0,('19_Расчет_аналитики'!BD408-'19_Расчет_аналитики'!BD436)*IF('01_Вводные'!$B$239="Да",MeanMinAge01+'19_Расчет_аналитики'!BD560*SUMIF(ThresholdAge01,"&lt;"&amp;'19_Расчет_аналитики'!BD560,WeightedRevAge01)-SUMIF(ThresholdAge01,"&lt;"&amp;'19_Расчет_аналитики'!BD560,WeightedMinAge01),MAX(CapacityAge01*'01_Вводные'!$B$218*'19_Расчет_аналитики'!BD560,MeanMinAge01)))</f>
        <v/>
      </c>
      <c r="BE492">
        <f>IF(OR(('19_Расчет_аналитики'!BE408-'19_Расчет_аналитики'!BE436)=0,1&lt;='01_Вводные'!$B$297),0,('19_Расчет_аналитики'!BE408-'19_Расчет_аналитики'!BE436)*IF('01_Вводные'!$B$239="Да",MeanMinAge01+'19_Расчет_аналитики'!BE560*SUMIF(ThresholdAge01,"&lt;"&amp;'19_Расчет_аналитики'!BE560,WeightedRevAge01)-SUMIF(ThresholdAge01,"&lt;"&amp;'19_Расчет_аналитики'!BE560,WeightedMinAge01),MAX(CapacityAge01*'01_Вводные'!$B$218*'19_Расчет_аналитики'!BE560,MeanMinAge01)))</f>
        <v/>
      </c>
      <c r="BF492">
        <f>IF(OR(('19_Расчет_аналитики'!BF408-'19_Расчет_аналитики'!BF436)=0,1&lt;='01_Вводные'!$B$297),0,('19_Расчет_аналитики'!BF408-'19_Расчет_аналитики'!BF436)*IF('01_Вводные'!$B$239="Да",MeanMinAge01+'19_Расчет_аналитики'!BF560*SUMIF(ThresholdAge01,"&lt;"&amp;'19_Расчет_аналитики'!BF560,WeightedRevAge01)-SUMIF(ThresholdAge01,"&lt;"&amp;'19_Расчет_аналитики'!BF560,WeightedMinAge01),MAX(CapacityAge01*'01_Вводные'!$B$218*'19_Расчет_аналитики'!BF560,MeanMinAge01)))</f>
        <v/>
      </c>
      <c r="BG492">
        <f>IF(OR(('19_Расчет_аналитики'!BG408-'19_Расчет_аналитики'!BG436)=0,1&lt;='01_Вводные'!$B$297),0,('19_Расчет_аналитики'!BG408-'19_Расчет_аналитики'!BG436)*IF('01_Вводные'!$B$239="Да",MeanMinAge01+'19_Расчет_аналитики'!BG560*SUMIF(ThresholdAge01,"&lt;"&amp;'19_Расчет_аналитики'!BG560,WeightedRevAge01)-SUMIF(ThresholdAge01,"&lt;"&amp;'19_Расчет_аналитики'!BG560,WeightedMinAge01),MAX(CapacityAge01*'01_Вводные'!$B$218*'19_Расчет_аналитики'!BG560,MeanMinAge01)))</f>
        <v/>
      </c>
      <c r="BH492">
        <f>IF(OR(('19_Расчет_аналитики'!BH408-'19_Расчет_аналитики'!BH436)=0,1&lt;='01_Вводные'!$B$297),0,('19_Расчет_аналитики'!BH408-'19_Расчет_аналитики'!BH436)*IF('01_Вводные'!$B$239="Да",MeanMinAge01+'19_Расчет_аналитики'!BH560*SUMIF(ThresholdAge01,"&lt;"&amp;'19_Расчет_аналитики'!BH560,WeightedRevAge01)-SUMIF(ThresholdAge01,"&lt;"&amp;'19_Расчет_аналитики'!BH560,WeightedMinAge01),MAX(CapacityAge01*'01_Вводные'!$B$218*'19_Расчет_аналитики'!BH560,MeanMinAge01)))</f>
        <v/>
      </c>
      <c r="BI492">
        <f>IF(OR(('19_Расчет_аналитики'!BI408-'19_Расчет_аналитики'!BI436)=0,1&lt;='01_Вводные'!$B$297),0,('19_Расчет_аналитики'!BI408-'19_Расчет_аналитики'!BI436)*IF('01_Вводные'!$B$239="Да",MeanMinAge01+'19_Расчет_аналитики'!BI560*SUMIF(ThresholdAge01,"&lt;"&amp;'19_Расчет_аналитики'!BI560,WeightedRevAge01)-SUMIF(ThresholdAge01,"&lt;"&amp;'19_Расчет_аналитики'!BI560,WeightedMinAge01),MAX(CapacityAge01*'01_Вводные'!$B$218*'19_Расчет_аналитики'!BI560,MeanMinAge01)))</f>
        <v/>
      </c>
      <c r="BJ492">
        <f>IF(OR(('19_Расчет_аналитики'!BJ408-'19_Расчет_аналитики'!BJ436)=0,1&lt;='01_Вводные'!$B$297),0,('19_Расчет_аналитики'!BJ408-'19_Расчет_аналитики'!BJ436)*IF('01_Вводные'!$B$239="Да",MeanMinAge01+'19_Расчет_аналитики'!BJ560*SUMIF(ThresholdAge01,"&lt;"&amp;'19_Расчет_аналитики'!BJ560,WeightedRevAge01)-SUMIF(ThresholdAge01,"&lt;"&amp;'19_Расчет_аналитики'!BJ560,WeightedMinAge01),MAX(CapacityAge01*'01_Вводные'!$B$218*'19_Расчет_аналитики'!BJ560,MeanMinAge01)))</f>
        <v/>
      </c>
      <c r="BK492">
        <f>IF(OR(('19_Расчет_аналитики'!BK408-'19_Расчет_аналитики'!BK436)=0,1&lt;='01_Вводные'!$B$297),0,('19_Расчет_аналитики'!BK408-'19_Расчет_аналитики'!BK436)*IF('01_Вводные'!$B$239="Да",MeanMinAge01+'19_Расчет_аналитики'!BK560*SUMIF(ThresholdAge01,"&lt;"&amp;'19_Расчет_аналитики'!BK560,WeightedRevAge01)-SUMIF(ThresholdAge01,"&lt;"&amp;'19_Расчет_аналитики'!BK560,WeightedMinAge01),MAX(CapacityAge01*'01_Вводные'!$B$218*'19_Расчет_аналитики'!BK560,MeanMinAge01)))</f>
        <v/>
      </c>
      <c r="BL492">
        <f>IF(OR(('19_Расчет_аналитики'!BL408-'19_Расчет_аналитики'!BL436)=0,1&lt;='01_Вводные'!$B$297),0,('19_Расчет_аналитики'!BL408-'19_Расчет_аналитики'!BL436)*IF('01_Вводные'!$B$239="Да",MeanMinAge01+'19_Расчет_аналитики'!BL560*SUMIF(ThresholdAge01,"&lt;"&amp;'19_Расчет_аналитики'!BL560,WeightedRevAge01)-SUMIF(ThresholdAge01,"&lt;"&amp;'19_Расчет_аналитики'!BL560,WeightedMinAge01),MAX(CapacityAge01*'01_Вводные'!$B$218*'19_Расчет_аналитики'!BL560,MeanMinAge01)))</f>
        <v/>
      </c>
      <c r="BM492">
        <f>IF(OR(('19_Расчет_аналитики'!BM408-'19_Расчет_аналитики'!BM436)=0,1&lt;='01_Вводные'!$B$297),0,('19_Расчет_аналитики'!BM408-'19_Расчет_аналитики'!BM436)*IF('01_Вводные'!$B$239="Да",MeanMinAge01+'19_Расчет_аналитики'!BM560*SUMIF(ThresholdAge01,"&lt;"&amp;'19_Расчет_аналитики'!BM560,WeightedRevAge01)-SUMIF(ThresholdAge01,"&lt;"&amp;'19_Расчет_аналитики'!BM560,WeightedMinAge01),MAX(CapacityAge01*'01_Вводные'!$B$218*'19_Расчет_аналитики'!BM560,MeanMinAge01)))</f>
        <v/>
      </c>
      <c r="BN492">
        <f>IF(OR(('19_Расчет_аналитики'!BN408-'19_Расчет_аналитики'!BN436)=0,1&lt;='01_Вводные'!$B$297),0,('19_Расчет_аналитики'!BN408-'19_Расчет_аналитики'!BN436)*IF('01_Вводные'!$B$239="Да",MeanMinAge01+'19_Расчет_аналитики'!BN560*SUMIF(ThresholdAge01,"&lt;"&amp;'19_Расчет_аналитики'!BN560,WeightedRevAge01)-SUMIF(ThresholdAge01,"&lt;"&amp;'19_Расчет_аналитики'!BN560,WeightedMinAge01),MAX(CapacityAge01*'01_Вводные'!$B$218*'19_Расчет_аналитики'!BN560,MeanMinAge01)))</f>
        <v/>
      </c>
      <c r="BO492">
        <f>IF(OR(('19_Расчет_аналитики'!BO408-'19_Расчет_аналитики'!BO436)=0,1&lt;='01_Вводные'!$B$297),0,('19_Расчет_аналитики'!BO408-'19_Расчет_аналитики'!BO436)*IF('01_Вводные'!$B$239="Да",MeanMinAge01+'19_Расчет_аналитики'!BO560*SUMIF(ThresholdAge01,"&lt;"&amp;'19_Расчет_аналитики'!BO560,WeightedRevAge01)-SUMIF(ThresholdAge01,"&lt;"&amp;'19_Расчет_аналитики'!BO560,WeightedMinAge01),MAX(CapacityAge01*'01_Вводные'!$B$218*'19_Расчет_аналитики'!BO560,MeanMinAge01)))</f>
        <v/>
      </c>
    </row>
    <row r="493">
      <c r="B493">
        <f>IF(OR(('06_Сеть_и_дети'!B54-'06_Сеть_и_дети'!B82)=0,2&lt;='01_Вводные'!$B$297),0,('06_Сеть_и_дети'!B54-'06_Сеть_и_дети'!B82)*IF('01_Вводные'!$B$239="Да",MeanMinAge02+'19_Расчет_аналитики'!B560*SUMIF(ThresholdAge02,"&lt;"&amp;'19_Расчет_аналитики'!B560,WeightedRevAge02)-SUMIF(ThresholdAge02,"&lt;"&amp;'19_Расчет_аналитики'!B560,WeightedMinAge02),MAX(CapacityAge02*'01_Вводные'!$B$218*'19_Расчет_аналитики'!B560,MeanMinAge02)))</f>
        <v/>
      </c>
      <c r="C493">
        <f>IF(OR(('19_Расчет_аналитики'!C409-'19_Расчет_аналитики'!C437)=0,2&lt;='01_Вводные'!$B$297),0,('19_Расчет_аналитики'!C409-'19_Расчет_аналитики'!C437)*IF('01_Вводные'!$B$239="Да",MeanMinAge02+'19_Расчет_аналитики'!C560*SUMIF(ThresholdAge02,"&lt;"&amp;'19_Расчет_аналитики'!C560,WeightedRevAge02)-SUMIF(ThresholdAge02,"&lt;"&amp;'19_Расчет_аналитики'!C560,WeightedMinAge02),MAX(CapacityAge02*'01_Вводные'!$B$218*'19_Расчет_аналитики'!C560,MeanMinAge02)))</f>
        <v/>
      </c>
      <c r="D493">
        <f>IF(OR(('19_Расчет_аналитики'!D409-'19_Расчет_аналитики'!D437)=0,2&lt;='01_Вводные'!$B$297),0,('19_Расчет_аналитики'!D409-'19_Расчет_аналитики'!D437)*IF('01_Вводные'!$B$239="Да",MeanMinAge02+'19_Расчет_аналитики'!D560*SUMIF(ThresholdAge02,"&lt;"&amp;'19_Расчет_аналитики'!D560,WeightedRevAge02)-SUMIF(ThresholdAge02,"&lt;"&amp;'19_Расчет_аналитики'!D560,WeightedMinAge02),MAX(CapacityAge02*'01_Вводные'!$B$218*'19_Расчет_аналитики'!D560,MeanMinAge02)))</f>
        <v/>
      </c>
      <c r="E493">
        <f>IF(OR(('19_Расчет_аналитики'!E409-'19_Расчет_аналитики'!E437)=0,2&lt;='01_Вводные'!$B$297),0,('19_Расчет_аналитики'!E409-'19_Расчет_аналитики'!E437)*IF('01_Вводные'!$B$239="Да",MeanMinAge02+'19_Расчет_аналитики'!E560*SUMIF(ThresholdAge02,"&lt;"&amp;'19_Расчет_аналитики'!E560,WeightedRevAge02)-SUMIF(ThresholdAge02,"&lt;"&amp;'19_Расчет_аналитики'!E560,WeightedMinAge02),MAX(CapacityAge02*'01_Вводные'!$B$218*'19_Расчет_аналитики'!E560,MeanMinAge02)))</f>
        <v/>
      </c>
      <c r="F493">
        <f>IF(OR(('19_Расчет_аналитики'!F409-'19_Расчет_аналитики'!F437)=0,2&lt;='01_Вводные'!$B$297),0,('19_Расчет_аналитики'!F409-'19_Расчет_аналитики'!F437)*IF('01_Вводные'!$B$239="Да",MeanMinAge02+'19_Расчет_аналитики'!F560*SUMIF(ThresholdAge02,"&lt;"&amp;'19_Расчет_аналитики'!F560,WeightedRevAge02)-SUMIF(ThresholdAge02,"&lt;"&amp;'19_Расчет_аналитики'!F560,WeightedMinAge02),MAX(CapacityAge02*'01_Вводные'!$B$218*'19_Расчет_аналитики'!F560,MeanMinAge02)))</f>
        <v/>
      </c>
      <c r="G493">
        <f>IF(OR(('19_Расчет_аналитики'!G409-'19_Расчет_аналитики'!G437)=0,2&lt;='01_Вводные'!$B$297),0,('19_Расчет_аналитики'!G409-'19_Расчет_аналитики'!G437)*IF('01_Вводные'!$B$239="Да",MeanMinAge02+'19_Расчет_аналитики'!G560*SUMIF(ThresholdAge02,"&lt;"&amp;'19_Расчет_аналитики'!G560,WeightedRevAge02)-SUMIF(ThresholdAge02,"&lt;"&amp;'19_Расчет_аналитики'!G560,WeightedMinAge02),MAX(CapacityAge02*'01_Вводные'!$B$218*'19_Расчет_аналитики'!G560,MeanMinAge02)))</f>
        <v/>
      </c>
      <c r="H493">
        <f>IF(OR(('19_Расчет_аналитики'!H409-'19_Расчет_аналитики'!H437)=0,2&lt;='01_Вводные'!$B$297),0,('19_Расчет_аналитики'!H409-'19_Расчет_аналитики'!H437)*IF('01_Вводные'!$B$239="Да",MeanMinAge02+'19_Расчет_аналитики'!H560*SUMIF(ThresholdAge02,"&lt;"&amp;'19_Расчет_аналитики'!H560,WeightedRevAge02)-SUMIF(ThresholdAge02,"&lt;"&amp;'19_Расчет_аналитики'!H560,WeightedMinAge02),MAX(CapacityAge02*'01_Вводные'!$B$218*'19_Расчет_аналитики'!H560,MeanMinAge02)))</f>
        <v/>
      </c>
      <c r="I493">
        <f>IF(OR(('19_Расчет_аналитики'!I409-'19_Расчет_аналитики'!I437)=0,2&lt;='01_Вводные'!$B$297),0,('19_Расчет_аналитики'!I409-'19_Расчет_аналитики'!I437)*IF('01_Вводные'!$B$239="Да",MeanMinAge02+'19_Расчет_аналитики'!I560*SUMIF(ThresholdAge02,"&lt;"&amp;'19_Расчет_аналитики'!I560,WeightedRevAge02)-SUMIF(ThresholdAge02,"&lt;"&amp;'19_Расчет_аналитики'!I560,WeightedMinAge02),MAX(CapacityAge02*'01_Вводные'!$B$218*'19_Расчет_аналитики'!I560,MeanMinAge02)))</f>
        <v/>
      </c>
      <c r="J493">
        <f>IF(OR(('19_Расчет_аналитики'!J409-'19_Расчет_аналитики'!J437)=0,2&lt;='01_Вводные'!$B$297),0,('19_Расчет_аналитики'!J409-'19_Расчет_аналитики'!J437)*IF('01_Вводные'!$B$239="Да",MeanMinAge02+'19_Расчет_аналитики'!J560*SUMIF(ThresholdAge02,"&lt;"&amp;'19_Расчет_аналитики'!J560,WeightedRevAge02)-SUMIF(ThresholdAge02,"&lt;"&amp;'19_Расчет_аналитики'!J560,WeightedMinAge02),MAX(CapacityAge02*'01_Вводные'!$B$218*'19_Расчет_аналитики'!J560,MeanMinAge02)))</f>
        <v/>
      </c>
      <c r="K493">
        <f>IF(OR(('19_Расчет_аналитики'!K409-'19_Расчет_аналитики'!K437)=0,2&lt;='01_Вводные'!$B$297),0,('19_Расчет_аналитики'!K409-'19_Расчет_аналитики'!K437)*IF('01_Вводные'!$B$239="Да",MeanMinAge02+'19_Расчет_аналитики'!K560*SUMIF(ThresholdAge02,"&lt;"&amp;'19_Расчет_аналитики'!K560,WeightedRevAge02)-SUMIF(ThresholdAge02,"&lt;"&amp;'19_Расчет_аналитики'!K560,WeightedMinAge02),MAX(CapacityAge02*'01_Вводные'!$B$218*'19_Расчет_аналитики'!K560,MeanMinAge02)))</f>
        <v/>
      </c>
      <c r="L493">
        <f>IF(OR(('19_Расчет_аналитики'!L409-'19_Расчет_аналитики'!L437)=0,2&lt;='01_Вводные'!$B$297),0,('19_Расчет_аналитики'!L409-'19_Расчет_аналитики'!L437)*IF('01_Вводные'!$B$239="Да",MeanMinAge02+'19_Расчет_аналитики'!L560*SUMIF(ThresholdAge02,"&lt;"&amp;'19_Расчет_аналитики'!L560,WeightedRevAge02)-SUMIF(ThresholdAge02,"&lt;"&amp;'19_Расчет_аналитики'!L560,WeightedMinAge02),MAX(CapacityAge02*'01_Вводные'!$B$218*'19_Расчет_аналитики'!L560,MeanMinAge02)))</f>
        <v/>
      </c>
      <c r="M493">
        <f>IF(OR(('19_Расчет_аналитики'!M409-'19_Расчет_аналитики'!M437)=0,2&lt;='01_Вводные'!$B$297),0,('19_Расчет_аналитики'!M409-'19_Расчет_аналитики'!M437)*IF('01_Вводные'!$B$239="Да",MeanMinAge02+'19_Расчет_аналитики'!M560*SUMIF(ThresholdAge02,"&lt;"&amp;'19_Расчет_аналитики'!M560,WeightedRevAge02)-SUMIF(ThresholdAge02,"&lt;"&amp;'19_Расчет_аналитики'!M560,WeightedMinAge02),MAX(CapacityAge02*'01_Вводные'!$B$218*'19_Расчет_аналитики'!M560,MeanMinAge02)))</f>
        <v/>
      </c>
      <c r="N493">
        <f>IF(OR(('19_Расчет_аналитики'!N409-'19_Расчет_аналитики'!N437)=0,2&lt;='01_Вводные'!$B$297),0,('19_Расчет_аналитики'!N409-'19_Расчет_аналитики'!N437)*IF('01_Вводные'!$B$239="Да",MeanMinAge02+'19_Расчет_аналитики'!N560*SUMIF(ThresholdAge02,"&lt;"&amp;'19_Расчет_аналитики'!N560,WeightedRevAge02)-SUMIF(ThresholdAge02,"&lt;"&amp;'19_Расчет_аналитики'!N560,WeightedMinAge02),MAX(CapacityAge02*'01_Вводные'!$B$218*'19_Расчет_аналитики'!N560,MeanMinAge02)))</f>
        <v/>
      </c>
      <c r="O493">
        <f>IF(OR(('19_Расчет_аналитики'!O409-'19_Расчет_аналитики'!O437)=0,2&lt;='01_Вводные'!$B$297),0,('19_Расчет_аналитики'!O409-'19_Расчет_аналитики'!O437)*IF('01_Вводные'!$B$239="Да",MeanMinAge02+'19_Расчет_аналитики'!O560*SUMIF(ThresholdAge02,"&lt;"&amp;'19_Расчет_аналитики'!O560,WeightedRevAge02)-SUMIF(ThresholdAge02,"&lt;"&amp;'19_Расчет_аналитики'!O560,WeightedMinAge02),MAX(CapacityAge02*'01_Вводные'!$B$218*'19_Расчет_аналитики'!O560,MeanMinAge02)))</f>
        <v/>
      </c>
      <c r="P493">
        <f>IF(OR(('19_Расчет_аналитики'!P409-'19_Расчет_аналитики'!P437)=0,2&lt;='01_Вводные'!$B$297),0,('19_Расчет_аналитики'!P409-'19_Расчет_аналитики'!P437)*IF('01_Вводные'!$B$239="Да",MeanMinAge02+'19_Расчет_аналитики'!P560*SUMIF(ThresholdAge02,"&lt;"&amp;'19_Расчет_аналитики'!P560,WeightedRevAge02)-SUMIF(ThresholdAge02,"&lt;"&amp;'19_Расчет_аналитики'!P560,WeightedMinAge02),MAX(CapacityAge02*'01_Вводные'!$B$218*'19_Расчет_аналитики'!P560,MeanMinAge02)))</f>
        <v/>
      </c>
      <c r="Q493">
        <f>IF(OR(('19_Расчет_аналитики'!Q409-'19_Расчет_аналитики'!Q437)=0,2&lt;='01_Вводные'!$B$297),0,('19_Расчет_аналитики'!Q409-'19_Расчет_аналитики'!Q437)*IF('01_Вводные'!$B$239="Да",MeanMinAge02+'19_Расчет_аналитики'!Q560*SUMIF(ThresholdAge02,"&lt;"&amp;'19_Расчет_аналитики'!Q560,WeightedRevAge02)-SUMIF(ThresholdAge02,"&lt;"&amp;'19_Расчет_аналитики'!Q560,WeightedMinAge02),MAX(CapacityAge02*'01_Вводные'!$B$218*'19_Расчет_аналитики'!Q560,MeanMinAge02)))</f>
        <v/>
      </c>
      <c r="R493">
        <f>IF(OR(('19_Расчет_аналитики'!R409-'19_Расчет_аналитики'!R437)=0,2&lt;='01_Вводные'!$B$297),0,('19_Расчет_аналитики'!R409-'19_Расчет_аналитики'!R437)*IF('01_Вводные'!$B$239="Да",MeanMinAge02+'19_Расчет_аналитики'!R560*SUMIF(ThresholdAge02,"&lt;"&amp;'19_Расчет_аналитики'!R560,WeightedRevAge02)-SUMIF(ThresholdAge02,"&lt;"&amp;'19_Расчет_аналитики'!R560,WeightedMinAge02),MAX(CapacityAge02*'01_Вводные'!$B$218*'19_Расчет_аналитики'!R560,MeanMinAge02)))</f>
        <v/>
      </c>
      <c r="S493">
        <f>IF(OR(('19_Расчет_аналитики'!S409-'19_Расчет_аналитики'!S437)=0,2&lt;='01_Вводные'!$B$297),0,('19_Расчет_аналитики'!S409-'19_Расчет_аналитики'!S437)*IF('01_Вводные'!$B$239="Да",MeanMinAge02+'19_Расчет_аналитики'!S560*SUMIF(ThresholdAge02,"&lt;"&amp;'19_Расчет_аналитики'!S560,WeightedRevAge02)-SUMIF(ThresholdAge02,"&lt;"&amp;'19_Расчет_аналитики'!S560,WeightedMinAge02),MAX(CapacityAge02*'01_Вводные'!$B$218*'19_Расчет_аналитики'!S560,MeanMinAge02)))</f>
        <v/>
      </c>
      <c r="T493">
        <f>IF(OR(('19_Расчет_аналитики'!T409-'19_Расчет_аналитики'!T437)=0,2&lt;='01_Вводные'!$B$297),0,('19_Расчет_аналитики'!T409-'19_Расчет_аналитики'!T437)*IF('01_Вводные'!$B$239="Да",MeanMinAge02+'19_Расчет_аналитики'!T560*SUMIF(ThresholdAge02,"&lt;"&amp;'19_Расчет_аналитики'!T560,WeightedRevAge02)-SUMIF(ThresholdAge02,"&lt;"&amp;'19_Расчет_аналитики'!T560,WeightedMinAge02),MAX(CapacityAge02*'01_Вводные'!$B$218*'19_Расчет_аналитики'!T560,MeanMinAge02)))</f>
        <v/>
      </c>
      <c r="U493">
        <f>IF(OR(('19_Расчет_аналитики'!U409-'19_Расчет_аналитики'!U437)=0,2&lt;='01_Вводные'!$B$297),0,('19_Расчет_аналитики'!U409-'19_Расчет_аналитики'!U437)*IF('01_Вводные'!$B$239="Да",MeanMinAge02+'19_Расчет_аналитики'!U560*SUMIF(ThresholdAge02,"&lt;"&amp;'19_Расчет_аналитики'!U560,WeightedRevAge02)-SUMIF(ThresholdAge02,"&lt;"&amp;'19_Расчет_аналитики'!U560,WeightedMinAge02),MAX(CapacityAge02*'01_Вводные'!$B$218*'19_Расчет_аналитики'!U560,MeanMinAge02)))</f>
        <v/>
      </c>
      <c r="V493">
        <f>IF(OR(('19_Расчет_аналитики'!V409-'19_Расчет_аналитики'!V437)=0,2&lt;='01_Вводные'!$B$297),0,('19_Расчет_аналитики'!V409-'19_Расчет_аналитики'!V437)*IF('01_Вводные'!$B$239="Да",MeanMinAge02+'19_Расчет_аналитики'!V560*SUMIF(ThresholdAge02,"&lt;"&amp;'19_Расчет_аналитики'!V560,WeightedRevAge02)-SUMIF(ThresholdAge02,"&lt;"&amp;'19_Расчет_аналитики'!V560,WeightedMinAge02),MAX(CapacityAge02*'01_Вводные'!$B$218*'19_Расчет_аналитики'!V560,MeanMinAge02)))</f>
        <v/>
      </c>
      <c r="W493">
        <f>IF(OR(('19_Расчет_аналитики'!W409-'19_Расчет_аналитики'!W437)=0,2&lt;='01_Вводные'!$B$297),0,('19_Расчет_аналитики'!W409-'19_Расчет_аналитики'!W437)*IF('01_Вводные'!$B$239="Да",MeanMinAge02+'19_Расчет_аналитики'!W560*SUMIF(ThresholdAge02,"&lt;"&amp;'19_Расчет_аналитики'!W560,WeightedRevAge02)-SUMIF(ThresholdAge02,"&lt;"&amp;'19_Расчет_аналитики'!W560,WeightedMinAge02),MAX(CapacityAge02*'01_Вводные'!$B$218*'19_Расчет_аналитики'!W560,MeanMinAge02)))</f>
        <v/>
      </c>
      <c r="X493">
        <f>IF(OR(('19_Расчет_аналитики'!X409-'19_Расчет_аналитики'!X437)=0,2&lt;='01_Вводные'!$B$297),0,('19_Расчет_аналитики'!X409-'19_Расчет_аналитики'!X437)*IF('01_Вводные'!$B$239="Да",MeanMinAge02+'19_Расчет_аналитики'!X560*SUMIF(ThresholdAge02,"&lt;"&amp;'19_Расчет_аналитики'!X560,WeightedRevAge02)-SUMIF(ThresholdAge02,"&lt;"&amp;'19_Расчет_аналитики'!X560,WeightedMinAge02),MAX(CapacityAge02*'01_Вводные'!$B$218*'19_Расчет_аналитики'!X560,MeanMinAge02)))</f>
        <v/>
      </c>
      <c r="Y493">
        <f>IF(OR(('19_Расчет_аналитики'!Y409-'19_Расчет_аналитики'!Y437)=0,2&lt;='01_Вводные'!$B$297),0,('19_Расчет_аналитики'!Y409-'19_Расчет_аналитики'!Y437)*IF('01_Вводные'!$B$239="Да",MeanMinAge02+'19_Расчет_аналитики'!Y560*SUMIF(ThresholdAge02,"&lt;"&amp;'19_Расчет_аналитики'!Y560,WeightedRevAge02)-SUMIF(ThresholdAge02,"&lt;"&amp;'19_Расчет_аналитики'!Y560,WeightedMinAge02),MAX(CapacityAge02*'01_Вводные'!$B$218*'19_Расчет_аналитики'!Y560,MeanMinAge02)))</f>
        <v/>
      </c>
      <c r="Z493">
        <f>IF(OR(('19_Расчет_аналитики'!Z409-'19_Расчет_аналитики'!Z437)=0,2&lt;='01_Вводные'!$B$297),0,('19_Расчет_аналитики'!Z409-'19_Расчет_аналитики'!Z437)*IF('01_Вводные'!$B$239="Да",MeanMinAge02+'19_Расчет_аналитики'!Z560*SUMIF(ThresholdAge02,"&lt;"&amp;'19_Расчет_аналитики'!Z560,WeightedRevAge02)-SUMIF(ThresholdAge02,"&lt;"&amp;'19_Расчет_аналитики'!Z560,WeightedMinAge02),MAX(CapacityAge02*'01_Вводные'!$B$218*'19_Расчет_аналитики'!Z560,MeanMinAge02)))</f>
        <v/>
      </c>
      <c r="AA493">
        <f>IF(OR(('19_Расчет_аналитики'!AA409-'19_Расчет_аналитики'!AA437)=0,2&lt;='01_Вводные'!$B$297),0,('19_Расчет_аналитики'!AA409-'19_Расчет_аналитики'!AA437)*IF('01_Вводные'!$B$239="Да",MeanMinAge02+'19_Расчет_аналитики'!AA560*SUMIF(ThresholdAge02,"&lt;"&amp;'19_Расчет_аналитики'!AA560,WeightedRevAge02)-SUMIF(ThresholdAge02,"&lt;"&amp;'19_Расчет_аналитики'!AA560,WeightedMinAge02),MAX(CapacityAge02*'01_Вводные'!$B$218*'19_Расчет_аналитики'!AA560,MeanMinAge02)))</f>
        <v/>
      </c>
      <c r="AB493">
        <f>IF(OR(('19_Расчет_аналитики'!AB409-'19_Расчет_аналитики'!AB437)=0,2&lt;='01_Вводные'!$B$297),0,('19_Расчет_аналитики'!AB409-'19_Расчет_аналитики'!AB437)*IF('01_Вводные'!$B$239="Да",MeanMinAge02+'19_Расчет_аналитики'!AB560*SUMIF(ThresholdAge02,"&lt;"&amp;'19_Расчет_аналитики'!AB560,WeightedRevAge02)-SUMIF(ThresholdAge02,"&lt;"&amp;'19_Расчет_аналитики'!AB560,WeightedMinAge02),MAX(CapacityAge02*'01_Вводные'!$B$218*'19_Расчет_аналитики'!AB560,MeanMinAge02)))</f>
        <v/>
      </c>
      <c r="AC493">
        <f>IF(OR(('19_Расчет_аналитики'!AC409-'19_Расчет_аналитики'!AC437)=0,2&lt;='01_Вводные'!$B$297),0,('19_Расчет_аналитики'!AC409-'19_Расчет_аналитики'!AC437)*IF('01_Вводные'!$B$239="Да",MeanMinAge02+'19_Расчет_аналитики'!AC560*SUMIF(ThresholdAge02,"&lt;"&amp;'19_Расчет_аналитики'!AC560,WeightedRevAge02)-SUMIF(ThresholdAge02,"&lt;"&amp;'19_Расчет_аналитики'!AC560,WeightedMinAge02),MAX(CapacityAge02*'01_Вводные'!$B$218*'19_Расчет_аналитики'!AC560,MeanMinAge02)))</f>
        <v/>
      </c>
      <c r="AD493">
        <f>IF(OR(('19_Расчет_аналитики'!AD409-'19_Расчет_аналитики'!AD437)=0,2&lt;='01_Вводные'!$B$297),0,('19_Расчет_аналитики'!AD409-'19_Расчет_аналитики'!AD437)*IF('01_Вводные'!$B$239="Да",MeanMinAge02+'19_Расчет_аналитики'!AD560*SUMIF(ThresholdAge02,"&lt;"&amp;'19_Расчет_аналитики'!AD560,WeightedRevAge02)-SUMIF(ThresholdAge02,"&lt;"&amp;'19_Расчет_аналитики'!AD560,WeightedMinAge02),MAX(CapacityAge02*'01_Вводные'!$B$218*'19_Расчет_аналитики'!AD560,MeanMinAge02)))</f>
        <v/>
      </c>
      <c r="AE493">
        <f>IF(OR(('19_Расчет_аналитики'!AE409-'19_Расчет_аналитики'!AE437)=0,2&lt;='01_Вводные'!$B$297),0,('19_Расчет_аналитики'!AE409-'19_Расчет_аналитики'!AE437)*IF('01_Вводные'!$B$239="Да",MeanMinAge02+'19_Расчет_аналитики'!AE560*SUMIF(ThresholdAge02,"&lt;"&amp;'19_Расчет_аналитики'!AE560,WeightedRevAge02)-SUMIF(ThresholdAge02,"&lt;"&amp;'19_Расчет_аналитики'!AE560,WeightedMinAge02),MAX(CapacityAge02*'01_Вводные'!$B$218*'19_Расчет_аналитики'!AE560,MeanMinAge02)))</f>
        <v/>
      </c>
      <c r="AF493">
        <f>IF(OR(('19_Расчет_аналитики'!AF409-'19_Расчет_аналитики'!AF437)=0,2&lt;='01_Вводные'!$B$297),0,('19_Расчет_аналитики'!AF409-'19_Расчет_аналитики'!AF437)*IF('01_Вводные'!$B$239="Да",MeanMinAge02+'19_Расчет_аналитики'!AF560*SUMIF(ThresholdAge02,"&lt;"&amp;'19_Расчет_аналитики'!AF560,WeightedRevAge02)-SUMIF(ThresholdAge02,"&lt;"&amp;'19_Расчет_аналитики'!AF560,WeightedMinAge02),MAX(CapacityAge02*'01_Вводные'!$B$218*'19_Расчет_аналитики'!AF560,MeanMinAge02)))</f>
        <v/>
      </c>
      <c r="AG493">
        <f>IF(OR(('19_Расчет_аналитики'!AG409-'19_Расчет_аналитики'!AG437)=0,2&lt;='01_Вводные'!$B$297),0,('19_Расчет_аналитики'!AG409-'19_Расчет_аналитики'!AG437)*IF('01_Вводные'!$B$239="Да",MeanMinAge02+'19_Расчет_аналитики'!AG560*SUMIF(ThresholdAge02,"&lt;"&amp;'19_Расчет_аналитики'!AG560,WeightedRevAge02)-SUMIF(ThresholdAge02,"&lt;"&amp;'19_Расчет_аналитики'!AG560,WeightedMinAge02),MAX(CapacityAge02*'01_Вводные'!$B$218*'19_Расчет_аналитики'!AG560,MeanMinAge02)))</f>
        <v/>
      </c>
      <c r="AH493">
        <f>IF(OR(('19_Расчет_аналитики'!AH409-'19_Расчет_аналитики'!AH437)=0,2&lt;='01_Вводные'!$B$297),0,('19_Расчет_аналитики'!AH409-'19_Расчет_аналитики'!AH437)*IF('01_Вводные'!$B$239="Да",MeanMinAge02+'19_Расчет_аналитики'!AH560*SUMIF(ThresholdAge02,"&lt;"&amp;'19_Расчет_аналитики'!AH560,WeightedRevAge02)-SUMIF(ThresholdAge02,"&lt;"&amp;'19_Расчет_аналитики'!AH560,WeightedMinAge02),MAX(CapacityAge02*'01_Вводные'!$B$218*'19_Расчет_аналитики'!AH560,MeanMinAge02)))</f>
        <v/>
      </c>
      <c r="AI493">
        <f>IF(OR(('19_Расчет_аналитики'!AI409-'19_Расчет_аналитики'!AI437)=0,2&lt;='01_Вводные'!$B$297),0,('19_Расчет_аналитики'!AI409-'19_Расчет_аналитики'!AI437)*IF('01_Вводные'!$B$239="Да",MeanMinAge02+'19_Расчет_аналитики'!AI560*SUMIF(ThresholdAge02,"&lt;"&amp;'19_Расчет_аналитики'!AI560,WeightedRevAge02)-SUMIF(ThresholdAge02,"&lt;"&amp;'19_Расчет_аналитики'!AI560,WeightedMinAge02),MAX(CapacityAge02*'01_Вводные'!$B$218*'19_Расчет_аналитики'!AI560,MeanMinAge02)))</f>
        <v/>
      </c>
      <c r="AJ493">
        <f>IF(OR(('19_Расчет_аналитики'!AJ409-'19_Расчет_аналитики'!AJ437)=0,2&lt;='01_Вводные'!$B$297),0,('19_Расчет_аналитики'!AJ409-'19_Расчет_аналитики'!AJ437)*IF('01_Вводные'!$B$239="Да",MeanMinAge02+'19_Расчет_аналитики'!AJ560*SUMIF(ThresholdAge02,"&lt;"&amp;'19_Расчет_аналитики'!AJ560,WeightedRevAge02)-SUMIF(ThresholdAge02,"&lt;"&amp;'19_Расчет_аналитики'!AJ560,WeightedMinAge02),MAX(CapacityAge02*'01_Вводные'!$B$218*'19_Расчет_аналитики'!AJ560,MeanMinAge02)))</f>
        <v/>
      </c>
      <c r="AK493">
        <f>IF(OR(('19_Расчет_аналитики'!AK409-'19_Расчет_аналитики'!AK437)=0,2&lt;='01_Вводные'!$B$297),0,('19_Расчет_аналитики'!AK409-'19_Расчет_аналитики'!AK437)*IF('01_Вводные'!$B$239="Да",MeanMinAge02+'19_Расчет_аналитики'!AK560*SUMIF(ThresholdAge02,"&lt;"&amp;'19_Расчет_аналитики'!AK560,WeightedRevAge02)-SUMIF(ThresholdAge02,"&lt;"&amp;'19_Расчет_аналитики'!AK560,WeightedMinAge02),MAX(CapacityAge02*'01_Вводные'!$B$218*'19_Расчет_аналитики'!AK560,MeanMinAge02)))</f>
        <v/>
      </c>
      <c r="AL493">
        <f>IF(OR(('19_Расчет_аналитики'!AL409-'19_Расчет_аналитики'!AL437)=0,2&lt;='01_Вводные'!$B$297),0,('19_Расчет_аналитики'!AL409-'19_Расчет_аналитики'!AL437)*IF('01_Вводные'!$B$239="Да",MeanMinAge02+'19_Расчет_аналитики'!AL560*SUMIF(ThresholdAge02,"&lt;"&amp;'19_Расчет_аналитики'!AL560,WeightedRevAge02)-SUMIF(ThresholdAge02,"&lt;"&amp;'19_Расчет_аналитики'!AL560,WeightedMinAge02),MAX(CapacityAge02*'01_Вводные'!$B$218*'19_Расчет_аналитики'!AL560,MeanMinAge02)))</f>
        <v/>
      </c>
      <c r="AM493">
        <f>IF(OR(('19_Расчет_аналитики'!AM409-'19_Расчет_аналитики'!AM437)=0,2&lt;='01_Вводные'!$B$297),0,('19_Расчет_аналитики'!AM409-'19_Расчет_аналитики'!AM437)*IF('01_Вводные'!$B$239="Да",MeanMinAge02+'19_Расчет_аналитики'!AM560*SUMIF(ThresholdAge02,"&lt;"&amp;'19_Расчет_аналитики'!AM560,WeightedRevAge02)-SUMIF(ThresholdAge02,"&lt;"&amp;'19_Расчет_аналитики'!AM560,WeightedMinAge02),MAX(CapacityAge02*'01_Вводные'!$B$218*'19_Расчет_аналитики'!AM560,MeanMinAge02)))</f>
        <v/>
      </c>
      <c r="AN493">
        <f>IF(OR(('19_Расчет_аналитики'!AN409-'19_Расчет_аналитики'!AN437)=0,2&lt;='01_Вводные'!$B$297),0,('19_Расчет_аналитики'!AN409-'19_Расчет_аналитики'!AN437)*IF('01_Вводные'!$B$239="Да",MeanMinAge02+'19_Расчет_аналитики'!AN560*SUMIF(ThresholdAge02,"&lt;"&amp;'19_Расчет_аналитики'!AN560,WeightedRevAge02)-SUMIF(ThresholdAge02,"&lt;"&amp;'19_Расчет_аналитики'!AN560,WeightedMinAge02),MAX(CapacityAge02*'01_Вводные'!$B$218*'19_Расчет_аналитики'!AN560,MeanMinAge02)))</f>
        <v/>
      </c>
      <c r="AO493">
        <f>IF(OR(('19_Расчет_аналитики'!AO409-'19_Расчет_аналитики'!AO437)=0,2&lt;='01_Вводные'!$B$297),0,('19_Расчет_аналитики'!AO409-'19_Расчет_аналитики'!AO437)*IF('01_Вводные'!$B$239="Да",MeanMinAge02+'19_Расчет_аналитики'!AO560*SUMIF(ThresholdAge02,"&lt;"&amp;'19_Расчет_аналитики'!AO560,WeightedRevAge02)-SUMIF(ThresholdAge02,"&lt;"&amp;'19_Расчет_аналитики'!AO560,WeightedMinAge02),MAX(CapacityAge02*'01_Вводные'!$B$218*'19_Расчет_аналитики'!AO560,MeanMinAge02)))</f>
        <v/>
      </c>
      <c r="AP493">
        <f>IF(OR(('19_Расчет_аналитики'!AP409-'19_Расчет_аналитики'!AP437)=0,2&lt;='01_Вводные'!$B$297),0,('19_Расчет_аналитики'!AP409-'19_Расчет_аналитики'!AP437)*IF('01_Вводные'!$B$239="Да",MeanMinAge02+'19_Расчет_аналитики'!AP560*SUMIF(ThresholdAge02,"&lt;"&amp;'19_Расчет_аналитики'!AP560,WeightedRevAge02)-SUMIF(ThresholdAge02,"&lt;"&amp;'19_Расчет_аналитики'!AP560,WeightedMinAge02),MAX(CapacityAge02*'01_Вводные'!$B$218*'19_Расчет_аналитики'!AP560,MeanMinAge02)))</f>
        <v/>
      </c>
      <c r="AQ493">
        <f>IF(OR(('19_Расчет_аналитики'!AQ409-'19_Расчет_аналитики'!AQ437)=0,2&lt;='01_Вводные'!$B$297),0,('19_Расчет_аналитики'!AQ409-'19_Расчет_аналитики'!AQ437)*IF('01_Вводные'!$B$239="Да",MeanMinAge02+'19_Расчет_аналитики'!AQ560*SUMIF(ThresholdAge02,"&lt;"&amp;'19_Расчет_аналитики'!AQ560,WeightedRevAge02)-SUMIF(ThresholdAge02,"&lt;"&amp;'19_Расчет_аналитики'!AQ560,WeightedMinAge02),MAX(CapacityAge02*'01_Вводные'!$B$218*'19_Расчет_аналитики'!AQ560,MeanMinAge02)))</f>
        <v/>
      </c>
      <c r="AR493">
        <f>IF(OR(('19_Расчет_аналитики'!AR409-'19_Расчет_аналитики'!AR437)=0,2&lt;='01_Вводные'!$B$297),0,('19_Расчет_аналитики'!AR409-'19_Расчет_аналитики'!AR437)*IF('01_Вводные'!$B$239="Да",MeanMinAge02+'19_Расчет_аналитики'!AR560*SUMIF(ThresholdAge02,"&lt;"&amp;'19_Расчет_аналитики'!AR560,WeightedRevAge02)-SUMIF(ThresholdAge02,"&lt;"&amp;'19_Расчет_аналитики'!AR560,WeightedMinAge02),MAX(CapacityAge02*'01_Вводные'!$B$218*'19_Расчет_аналитики'!AR560,MeanMinAge02)))</f>
        <v/>
      </c>
      <c r="AS493">
        <f>IF(OR(('19_Расчет_аналитики'!AS409-'19_Расчет_аналитики'!AS437)=0,2&lt;='01_Вводные'!$B$297),0,('19_Расчет_аналитики'!AS409-'19_Расчет_аналитики'!AS437)*IF('01_Вводные'!$B$239="Да",MeanMinAge02+'19_Расчет_аналитики'!AS560*SUMIF(ThresholdAge02,"&lt;"&amp;'19_Расчет_аналитики'!AS560,WeightedRevAge02)-SUMIF(ThresholdAge02,"&lt;"&amp;'19_Расчет_аналитики'!AS560,WeightedMinAge02),MAX(CapacityAge02*'01_Вводные'!$B$218*'19_Расчет_аналитики'!AS560,MeanMinAge02)))</f>
        <v/>
      </c>
      <c r="AT493">
        <f>IF(OR(('19_Расчет_аналитики'!AT409-'19_Расчет_аналитики'!AT437)=0,2&lt;='01_Вводные'!$B$297),0,('19_Расчет_аналитики'!AT409-'19_Расчет_аналитики'!AT437)*IF('01_Вводные'!$B$239="Да",MeanMinAge02+'19_Расчет_аналитики'!AT560*SUMIF(ThresholdAge02,"&lt;"&amp;'19_Расчет_аналитики'!AT560,WeightedRevAge02)-SUMIF(ThresholdAge02,"&lt;"&amp;'19_Расчет_аналитики'!AT560,WeightedMinAge02),MAX(CapacityAge02*'01_Вводные'!$B$218*'19_Расчет_аналитики'!AT560,MeanMinAge02)))</f>
        <v/>
      </c>
      <c r="AU493">
        <f>IF(OR(('19_Расчет_аналитики'!AU409-'19_Расчет_аналитики'!AU437)=0,2&lt;='01_Вводные'!$B$297),0,('19_Расчет_аналитики'!AU409-'19_Расчет_аналитики'!AU437)*IF('01_Вводные'!$B$239="Да",MeanMinAge02+'19_Расчет_аналитики'!AU560*SUMIF(ThresholdAge02,"&lt;"&amp;'19_Расчет_аналитики'!AU560,WeightedRevAge02)-SUMIF(ThresholdAge02,"&lt;"&amp;'19_Расчет_аналитики'!AU560,WeightedMinAge02),MAX(CapacityAge02*'01_Вводные'!$B$218*'19_Расчет_аналитики'!AU560,MeanMinAge02)))</f>
        <v/>
      </c>
      <c r="AV493">
        <f>IF(OR(('19_Расчет_аналитики'!AV409-'19_Расчет_аналитики'!AV437)=0,2&lt;='01_Вводные'!$B$297),0,('19_Расчет_аналитики'!AV409-'19_Расчет_аналитики'!AV437)*IF('01_Вводные'!$B$239="Да",MeanMinAge02+'19_Расчет_аналитики'!AV560*SUMIF(ThresholdAge02,"&lt;"&amp;'19_Расчет_аналитики'!AV560,WeightedRevAge02)-SUMIF(ThresholdAge02,"&lt;"&amp;'19_Расчет_аналитики'!AV560,WeightedMinAge02),MAX(CapacityAge02*'01_Вводные'!$B$218*'19_Расчет_аналитики'!AV560,MeanMinAge02)))</f>
        <v/>
      </c>
      <c r="AW493">
        <f>IF(OR(('19_Расчет_аналитики'!AW409-'19_Расчет_аналитики'!AW437)=0,2&lt;='01_Вводные'!$B$297),0,('19_Расчет_аналитики'!AW409-'19_Расчет_аналитики'!AW437)*IF('01_Вводные'!$B$239="Да",MeanMinAge02+'19_Расчет_аналитики'!AW560*SUMIF(ThresholdAge02,"&lt;"&amp;'19_Расчет_аналитики'!AW560,WeightedRevAge02)-SUMIF(ThresholdAge02,"&lt;"&amp;'19_Расчет_аналитики'!AW560,WeightedMinAge02),MAX(CapacityAge02*'01_Вводные'!$B$218*'19_Расчет_аналитики'!AW560,MeanMinAge02)))</f>
        <v/>
      </c>
      <c r="AX493">
        <f>IF(OR(('19_Расчет_аналитики'!AX409-'19_Расчет_аналитики'!AX437)=0,2&lt;='01_Вводные'!$B$297),0,('19_Расчет_аналитики'!AX409-'19_Расчет_аналитики'!AX437)*IF('01_Вводные'!$B$239="Да",MeanMinAge02+'19_Расчет_аналитики'!AX560*SUMIF(ThresholdAge02,"&lt;"&amp;'19_Расчет_аналитики'!AX560,WeightedRevAge02)-SUMIF(ThresholdAge02,"&lt;"&amp;'19_Расчет_аналитики'!AX560,WeightedMinAge02),MAX(CapacityAge02*'01_Вводные'!$B$218*'19_Расчет_аналитики'!AX560,MeanMinAge02)))</f>
        <v/>
      </c>
      <c r="AY493">
        <f>IF(OR(('19_Расчет_аналитики'!AY409-'19_Расчет_аналитики'!AY437)=0,2&lt;='01_Вводные'!$B$297),0,('19_Расчет_аналитики'!AY409-'19_Расчет_аналитики'!AY437)*IF('01_Вводные'!$B$239="Да",MeanMinAge02+'19_Расчет_аналитики'!AY560*SUMIF(ThresholdAge02,"&lt;"&amp;'19_Расчет_аналитики'!AY560,WeightedRevAge02)-SUMIF(ThresholdAge02,"&lt;"&amp;'19_Расчет_аналитики'!AY560,WeightedMinAge02),MAX(CapacityAge02*'01_Вводные'!$B$218*'19_Расчет_аналитики'!AY560,MeanMinAge02)))</f>
        <v/>
      </c>
      <c r="AZ493">
        <f>IF(OR(('19_Расчет_аналитики'!AZ409-'19_Расчет_аналитики'!AZ437)=0,2&lt;='01_Вводные'!$B$297),0,('19_Расчет_аналитики'!AZ409-'19_Расчет_аналитики'!AZ437)*IF('01_Вводные'!$B$239="Да",MeanMinAge02+'19_Расчет_аналитики'!AZ560*SUMIF(ThresholdAge02,"&lt;"&amp;'19_Расчет_аналитики'!AZ560,WeightedRevAge02)-SUMIF(ThresholdAge02,"&lt;"&amp;'19_Расчет_аналитики'!AZ560,WeightedMinAge02),MAX(CapacityAge02*'01_Вводные'!$B$218*'19_Расчет_аналитики'!AZ560,MeanMinAge02)))</f>
        <v/>
      </c>
      <c r="BA493">
        <f>IF(OR(('19_Расчет_аналитики'!BA409-'19_Расчет_аналитики'!BA437)=0,2&lt;='01_Вводные'!$B$297),0,('19_Расчет_аналитики'!BA409-'19_Расчет_аналитики'!BA437)*IF('01_Вводные'!$B$239="Да",MeanMinAge02+'19_Расчет_аналитики'!BA560*SUMIF(ThresholdAge02,"&lt;"&amp;'19_Расчет_аналитики'!BA560,WeightedRevAge02)-SUMIF(ThresholdAge02,"&lt;"&amp;'19_Расчет_аналитики'!BA560,WeightedMinAge02),MAX(CapacityAge02*'01_Вводные'!$B$218*'19_Расчет_аналитики'!BA560,MeanMinAge02)))</f>
        <v/>
      </c>
      <c r="BB493">
        <f>IF(OR(('19_Расчет_аналитики'!BB409-'19_Расчет_аналитики'!BB437)=0,2&lt;='01_Вводные'!$B$297),0,('19_Расчет_аналитики'!BB409-'19_Расчет_аналитики'!BB437)*IF('01_Вводные'!$B$239="Да",MeanMinAge02+'19_Расчет_аналитики'!BB560*SUMIF(ThresholdAge02,"&lt;"&amp;'19_Расчет_аналитики'!BB560,WeightedRevAge02)-SUMIF(ThresholdAge02,"&lt;"&amp;'19_Расчет_аналитики'!BB560,WeightedMinAge02),MAX(CapacityAge02*'01_Вводные'!$B$218*'19_Расчет_аналитики'!BB560,MeanMinAge02)))</f>
        <v/>
      </c>
      <c r="BC493">
        <f>IF(OR(('19_Расчет_аналитики'!BC409-'19_Расчет_аналитики'!BC437)=0,2&lt;='01_Вводные'!$B$297),0,('19_Расчет_аналитики'!BC409-'19_Расчет_аналитики'!BC437)*IF('01_Вводные'!$B$239="Да",MeanMinAge02+'19_Расчет_аналитики'!BC560*SUMIF(ThresholdAge02,"&lt;"&amp;'19_Расчет_аналитики'!BC560,WeightedRevAge02)-SUMIF(ThresholdAge02,"&lt;"&amp;'19_Расчет_аналитики'!BC560,WeightedMinAge02),MAX(CapacityAge02*'01_Вводные'!$B$218*'19_Расчет_аналитики'!BC560,MeanMinAge02)))</f>
        <v/>
      </c>
      <c r="BD493">
        <f>IF(OR(('19_Расчет_аналитики'!BD409-'19_Расчет_аналитики'!BD437)=0,2&lt;='01_Вводные'!$B$297),0,('19_Расчет_аналитики'!BD409-'19_Расчет_аналитики'!BD437)*IF('01_Вводные'!$B$239="Да",MeanMinAge02+'19_Расчет_аналитики'!BD560*SUMIF(ThresholdAge02,"&lt;"&amp;'19_Расчет_аналитики'!BD560,WeightedRevAge02)-SUMIF(ThresholdAge02,"&lt;"&amp;'19_Расчет_аналитики'!BD560,WeightedMinAge02),MAX(CapacityAge02*'01_Вводные'!$B$218*'19_Расчет_аналитики'!BD560,MeanMinAge02)))</f>
        <v/>
      </c>
      <c r="BE493">
        <f>IF(OR(('19_Расчет_аналитики'!BE409-'19_Расчет_аналитики'!BE437)=0,2&lt;='01_Вводные'!$B$297),0,('19_Расчет_аналитики'!BE409-'19_Расчет_аналитики'!BE437)*IF('01_Вводные'!$B$239="Да",MeanMinAge02+'19_Расчет_аналитики'!BE560*SUMIF(ThresholdAge02,"&lt;"&amp;'19_Расчет_аналитики'!BE560,WeightedRevAge02)-SUMIF(ThresholdAge02,"&lt;"&amp;'19_Расчет_аналитики'!BE560,WeightedMinAge02),MAX(CapacityAge02*'01_Вводные'!$B$218*'19_Расчет_аналитики'!BE560,MeanMinAge02)))</f>
        <v/>
      </c>
      <c r="BF493">
        <f>IF(OR(('19_Расчет_аналитики'!BF409-'19_Расчет_аналитики'!BF437)=0,2&lt;='01_Вводные'!$B$297),0,('19_Расчет_аналитики'!BF409-'19_Расчет_аналитики'!BF437)*IF('01_Вводные'!$B$239="Да",MeanMinAge02+'19_Расчет_аналитики'!BF560*SUMIF(ThresholdAge02,"&lt;"&amp;'19_Расчет_аналитики'!BF560,WeightedRevAge02)-SUMIF(ThresholdAge02,"&lt;"&amp;'19_Расчет_аналитики'!BF560,WeightedMinAge02),MAX(CapacityAge02*'01_Вводные'!$B$218*'19_Расчет_аналитики'!BF560,MeanMinAge02)))</f>
        <v/>
      </c>
      <c r="BG493">
        <f>IF(OR(('19_Расчет_аналитики'!BG409-'19_Расчет_аналитики'!BG437)=0,2&lt;='01_Вводные'!$B$297),0,('19_Расчет_аналитики'!BG409-'19_Расчет_аналитики'!BG437)*IF('01_Вводные'!$B$239="Да",MeanMinAge02+'19_Расчет_аналитики'!BG560*SUMIF(ThresholdAge02,"&lt;"&amp;'19_Расчет_аналитики'!BG560,WeightedRevAge02)-SUMIF(ThresholdAge02,"&lt;"&amp;'19_Расчет_аналитики'!BG560,WeightedMinAge02),MAX(CapacityAge02*'01_Вводные'!$B$218*'19_Расчет_аналитики'!BG560,MeanMinAge02)))</f>
        <v/>
      </c>
      <c r="BH493">
        <f>IF(OR(('19_Расчет_аналитики'!BH409-'19_Расчет_аналитики'!BH437)=0,2&lt;='01_Вводные'!$B$297),0,('19_Расчет_аналитики'!BH409-'19_Расчет_аналитики'!BH437)*IF('01_Вводные'!$B$239="Да",MeanMinAge02+'19_Расчет_аналитики'!BH560*SUMIF(ThresholdAge02,"&lt;"&amp;'19_Расчет_аналитики'!BH560,WeightedRevAge02)-SUMIF(ThresholdAge02,"&lt;"&amp;'19_Расчет_аналитики'!BH560,WeightedMinAge02),MAX(CapacityAge02*'01_Вводные'!$B$218*'19_Расчет_аналитики'!BH560,MeanMinAge02)))</f>
        <v/>
      </c>
      <c r="BI493">
        <f>IF(OR(('19_Расчет_аналитики'!BI409-'19_Расчет_аналитики'!BI437)=0,2&lt;='01_Вводные'!$B$297),0,('19_Расчет_аналитики'!BI409-'19_Расчет_аналитики'!BI437)*IF('01_Вводные'!$B$239="Да",MeanMinAge02+'19_Расчет_аналитики'!BI560*SUMIF(ThresholdAge02,"&lt;"&amp;'19_Расчет_аналитики'!BI560,WeightedRevAge02)-SUMIF(ThresholdAge02,"&lt;"&amp;'19_Расчет_аналитики'!BI560,WeightedMinAge02),MAX(CapacityAge02*'01_Вводные'!$B$218*'19_Расчет_аналитики'!BI560,MeanMinAge02)))</f>
        <v/>
      </c>
      <c r="BJ493">
        <f>IF(OR(('19_Расчет_аналитики'!BJ409-'19_Расчет_аналитики'!BJ437)=0,2&lt;='01_Вводные'!$B$297),0,('19_Расчет_аналитики'!BJ409-'19_Расчет_аналитики'!BJ437)*IF('01_Вводные'!$B$239="Да",MeanMinAge02+'19_Расчет_аналитики'!BJ560*SUMIF(ThresholdAge02,"&lt;"&amp;'19_Расчет_аналитики'!BJ560,WeightedRevAge02)-SUMIF(ThresholdAge02,"&lt;"&amp;'19_Расчет_аналитики'!BJ560,WeightedMinAge02),MAX(CapacityAge02*'01_Вводные'!$B$218*'19_Расчет_аналитики'!BJ560,MeanMinAge02)))</f>
        <v/>
      </c>
      <c r="BK493">
        <f>IF(OR(('19_Расчет_аналитики'!BK409-'19_Расчет_аналитики'!BK437)=0,2&lt;='01_Вводные'!$B$297),0,('19_Расчет_аналитики'!BK409-'19_Расчет_аналитики'!BK437)*IF('01_Вводные'!$B$239="Да",MeanMinAge02+'19_Расчет_аналитики'!BK560*SUMIF(ThresholdAge02,"&lt;"&amp;'19_Расчет_аналитики'!BK560,WeightedRevAge02)-SUMIF(ThresholdAge02,"&lt;"&amp;'19_Расчет_аналитики'!BK560,WeightedMinAge02),MAX(CapacityAge02*'01_Вводные'!$B$218*'19_Расчет_аналитики'!BK560,MeanMinAge02)))</f>
        <v/>
      </c>
      <c r="BL493">
        <f>IF(OR(('19_Расчет_аналитики'!BL409-'19_Расчет_аналитики'!BL437)=0,2&lt;='01_Вводные'!$B$297),0,('19_Расчет_аналитики'!BL409-'19_Расчет_аналитики'!BL437)*IF('01_Вводные'!$B$239="Да",MeanMinAge02+'19_Расчет_аналитики'!BL560*SUMIF(ThresholdAge02,"&lt;"&amp;'19_Расчет_аналитики'!BL560,WeightedRevAge02)-SUMIF(ThresholdAge02,"&lt;"&amp;'19_Расчет_аналитики'!BL560,WeightedMinAge02),MAX(CapacityAge02*'01_Вводные'!$B$218*'19_Расчет_аналитики'!BL560,MeanMinAge02)))</f>
        <v/>
      </c>
      <c r="BM493">
        <f>IF(OR(('19_Расчет_аналитики'!BM409-'19_Расчет_аналитики'!BM437)=0,2&lt;='01_Вводные'!$B$297),0,('19_Расчет_аналитики'!BM409-'19_Расчет_аналитики'!BM437)*IF('01_Вводные'!$B$239="Да",MeanMinAge02+'19_Расчет_аналитики'!BM560*SUMIF(ThresholdAge02,"&lt;"&amp;'19_Расчет_аналитики'!BM560,WeightedRevAge02)-SUMIF(ThresholdAge02,"&lt;"&amp;'19_Расчет_аналитики'!BM560,WeightedMinAge02),MAX(CapacityAge02*'01_Вводные'!$B$218*'19_Расчет_аналитики'!BM560,MeanMinAge02)))</f>
        <v/>
      </c>
      <c r="BN493">
        <f>IF(OR(('19_Расчет_аналитики'!BN409-'19_Расчет_аналитики'!BN437)=0,2&lt;='01_Вводные'!$B$297),0,('19_Расчет_аналитики'!BN409-'19_Расчет_аналитики'!BN437)*IF('01_Вводные'!$B$239="Да",MeanMinAge02+'19_Расчет_аналитики'!BN560*SUMIF(ThresholdAge02,"&lt;"&amp;'19_Расчет_аналитики'!BN560,WeightedRevAge02)-SUMIF(ThresholdAge02,"&lt;"&amp;'19_Расчет_аналитики'!BN560,WeightedMinAge02),MAX(CapacityAge02*'01_Вводные'!$B$218*'19_Расчет_аналитики'!BN560,MeanMinAge02)))</f>
        <v/>
      </c>
      <c r="BO493">
        <f>IF(OR(('19_Расчет_аналитики'!BO409-'19_Расчет_аналитики'!BO437)=0,2&lt;='01_Вводные'!$B$297),0,('19_Расчет_аналитики'!BO409-'19_Расчет_аналитики'!BO437)*IF('01_Вводные'!$B$239="Да",MeanMinAge02+'19_Расчет_аналитики'!BO560*SUMIF(ThresholdAge02,"&lt;"&amp;'19_Расчет_аналитики'!BO560,WeightedRevAge02)-SUMIF(ThresholdAge02,"&lt;"&amp;'19_Расчет_аналитики'!BO560,WeightedMinAge02),MAX(CapacityAge02*'01_Вводные'!$B$218*'19_Расчет_аналитики'!BO560,MeanMinAge02)))</f>
        <v/>
      </c>
    </row>
    <row r="494">
      <c r="B494">
        <f>IF(OR(('06_Сеть_и_дети'!B55-'06_Сеть_и_дети'!B83)=0,3&lt;='01_Вводные'!$B$297),0,('06_Сеть_и_дети'!B55-'06_Сеть_и_дети'!B83)*IF('01_Вводные'!$B$239="Да",MeanMinAge03+'19_Расчет_аналитики'!B560*SUMIF(ThresholdAge03,"&lt;"&amp;'19_Расчет_аналитики'!B560,WeightedRevAge03)-SUMIF(ThresholdAge03,"&lt;"&amp;'19_Расчет_аналитики'!B560,WeightedMinAge03),MAX(CapacityAge03*'01_Вводные'!$B$218*'19_Расчет_аналитики'!B560,MeanMinAge03)))</f>
        <v/>
      </c>
      <c r="C494">
        <f>IF(OR(('06_Сеть_и_дети'!C55-'06_Сеть_и_дети'!C83)=0,3&lt;='01_Вводные'!$B$297),0,('06_Сеть_и_дети'!C55-'06_Сеть_и_дети'!C83)*IF('01_Вводные'!$B$239="Да",MeanMinAge03+'19_Расчет_аналитики'!C560*SUMIF(ThresholdAge03,"&lt;"&amp;'19_Расчет_аналитики'!C560,WeightedRevAge03)-SUMIF(ThresholdAge03,"&lt;"&amp;'19_Расчет_аналитики'!C560,WeightedMinAge03),MAX(CapacityAge03*'01_Вводные'!$B$218*'19_Расчет_аналитики'!C560,MeanMinAge03)))</f>
        <v/>
      </c>
      <c r="D494">
        <f>IF(OR(('19_Расчет_аналитики'!D410-'19_Расчет_аналитики'!D438)=0,3&lt;='01_Вводные'!$B$297),0,('19_Расчет_аналитики'!D410-'19_Расчет_аналитики'!D438)*IF('01_Вводные'!$B$239="Да",MeanMinAge03+'19_Расчет_аналитики'!D560*SUMIF(ThresholdAge03,"&lt;"&amp;'19_Расчет_аналитики'!D560,WeightedRevAge03)-SUMIF(ThresholdAge03,"&lt;"&amp;'19_Расчет_аналитики'!D560,WeightedMinAge03),MAX(CapacityAge03*'01_Вводные'!$B$218*'19_Расчет_аналитики'!D560,MeanMinAge03)))</f>
        <v/>
      </c>
      <c r="E494">
        <f>IF(OR(('19_Расчет_аналитики'!E410-'19_Расчет_аналитики'!E438)=0,3&lt;='01_Вводные'!$B$297),0,('19_Расчет_аналитики'!E410-'19_Расчет_аналитики'!E438)*IF('01_Вводные'!$B$239="Да",MeanMinAge03+'19_Расчет_аналитики'!E560*SUMIF(ThresholdAge03,"&lt;"&amp;'19_Расчет_аналитики'!E560,WeightedRevAge03)-SUMIF(ThresholdAge03,"&lt;"&amp;'19_Расчет_аналитики'!E560,WeightedMinAge03),MAX(CapacityAge03*'01_Вводные'!$B$218*'19_Расчет_аналитики'!E560,MeanMinAge03)))</f>
        <v/>
      </c>
      <c r="F494">
        <f>IF(OR(('19_Расчет_аналитики'!F410-'19_Расчет_аналитики'!F438)=0,3&lt;='01_Вводные'!$B$297),0,('19_Расчет_аналитики'!F410-'19_Расчет_аналитики'!F438)*IF('01_Вводные'!$B$239="Да",MeanMinAge03+'19_Расчет_аналитики'!F560*SUMIF(ThresholdAge03,"&lt;"&amp;'19_Расчет_аналитики'!F560,WeightedRevAge03)-SUMIF(ThresholdAge03,"&lt;"&amp;'19_Расчет_аналитики'!F560,WeightedMinAge03),MAX(CapacityAge03*'01_Вводные'!$B$218*'19_Расчет_аналитики'!F560,MeanMinAge03)))</f>
        <v/>
      </c>
      <c r="G494">
        <f>IF(OR(('19_Расчет_аналитики'!G410-'19_Расчет_аналитики'!G438)=0,3&lt;='01_Вводные'!$B$297),0,('19_Расчет_аналитики'!G410-'19_Расчет_аналитики'!G438)*IF('01_Вводные'!$B$239="Да",MeanMinAge03+'19_Расчет_аналитики'!G560*SUMIF(ThresholdAge03,"&lt;"&amp;'19_Расчет_аналитики'!G560,WeightedRevAge03)-SUMIF(ThresholdAge03,"&lt;"&amp;'19_Расчет_аналитики'!G560,WeightedMinAge03),MAX(CapacityAge03*'01_Вводные'!$B$218*'19_Расчет_аналитики'!G560,MeanMinAge03)))</f>
        <v/>
      </c>
      <c r="H494">
        <f>IF(OR(('19_Расчет_аналитики'!H410-'19_Расчет_аналитики'!H438)=0,3&lt;='01_Вводные'!$B$297),0,('19_Расчет_аналитики'!H410-'19_Расчет_аналитики'!H438)*IF('01_Вводные'!$B$239="Да",MeanMinAge03+'19_Расчет_аналитики'!H560*SUMIF(ThresholdAge03,"&lt;"&amp;'19_Расчет_аналитики'!H560,WeightedRevAge03)-SUMIF(ThresholdAge03,"&lt;"&amp;'19_Расчет_аналитики'!H560,WeightedMinAge03),MAX(CapacityAge03*'01_Вводные'!$B$218*'19_Расчет_аналитики'!H560,MeanMinAge03)))</f>
        <v/>
      </c>
      <c r="I494">
        <f>IF(OR(('19_Расчет_аналитики'!I410-'19_Расчет_аналитики'!I438)=0,3&lt;='01_Вводные'!$B$297),0,('19_Расчет_аналитики'!I410-'19_Расчет_аналитики'!I438)*IF('01_Вводные'!$B$239="Да",MeanMinAge03+'19_Расчет_аналитики'!I560*SUMIF(ThresholdAge03,"&lt;"&amp;'19_Расчет_аналитики'!I560,WeightedRevAge03)-SUMIF(ThresholdAge03,"&lt;"&amp;'19_Расчет_аналитики'!I560,WeightedMinAge03),MAX(CapacityAge03*'01_Вводные'!$B$218*'19_Расчет_аналитики'!I560,MeanMinAge03)))</f>
        <v/>
      </c>
      <c r="J494">
        <f>IF(OR(('19_Расчет_аналитики'!J410-'19_Расчет_аналитики'!J438)=0,3&lt;='01_Вводные'!$B$297),0,('19_Расчет_аналитики'!J410-'19_Расчет_аналитики'!J438)*IF('01_Вводные'!$B$239="Да",MeanMinAge03+'19_Расчет_аналитики'!J560*SUMIF(ThresholdAge03,"&lt;"&amp;'19_Расчет_аналитики'!J560,WeightedRevAge03)-SUMIF(ThresholdAge03,"&lt;"&amp;'19_Расчет_аналитики'!J560,WeightedMinAge03),MAX(CapacityAge03*'01_Вводные'!$B$218*'19_Расчет_аналитики'!J560,MeanMinAge03)))</f>
        <v/>
      </c>
      <c r="K494">
        <f>IF(OR(('19_Расчет_аналитики'!K410-'19_Расчет_аналитики'!K438)=0,3&lt;='01_Вводные'!$B$297),0,('19_Расчет_аналитики'!K410-'19_Расчет_аналитики'!K438)*IF('01_Вводные'!$B$239="Да",MeanMinAge03+'19_Расчет_аналитики'!K560*SUMIF(ThresholdAge03,"&lt;"&amp;'19_Расчет_аналитики'!K560,WeightedRevAge03)-SUMIF(ThresholdAge03,"&lt;"&amp;'19_Расчет_аналитики'!K560,WeightedMinAge03),MAX(CapacityAge03*'01_Вводные'!$B$218*'19_Расчет_аналитики'!K560,MeanMinAge03)))</f>
        <v/>
      </c>
      <c r="L494">
        <f>IF(OR(('19_Расчет_аналитики'!L410-'19_Расчет_аналитики'!L438)=0,3&lt;='01_Вводные'!$B$297),0,('19_Расчет_аналитики'!L410-'19_Расчет_аналитики'!L438)*IF('01_Вводные'!$B$239="Да",MeanMinAge03+'19_Расчет_аналитики'!L560*SUMIF(ThresholdAge03,"&lt;"&amp;'19_Расчет_аналитики'!L560,WeightedRevAge03)-SUMIF(ThresholdAge03,"&lt;"&amp;'19_Расчет_аналитики'!L560,WeightedMinAge03),MAX(CapacityAge03*'01_Вводные'!$B$218*'19_Расчет_аналитики'!L560,MeanMinAge03)))</f>
        <v/>
      </c>
      <c r="M494">
        <f>IF(OR(('19_Расчет_аналитики'!M410-'19_Расчет_аналитики'!M438)=0,3&lt;='01_Вводные'!$B$297),0,('19_Расчет_аналитики'!M410-'19_Расчет_аналитики'!M438)*IF('01_Вводные'!$B$239="Да",MeanMinAge03+'19_Расчет_аналитики'!M560*SUMIF(ThresholdAge03,"&lt;"&amp;'19_Расчет_аналитики'!M560,WeightedRevAge03)-SUMIF(ThresholdAge03,"&lt;"&amp;'19_Расчет_аналитики'!M560,WeightedMinAge03),MAX(CapacityAge03*'01_Вводные'!$B$218*'19_Расчет_аналитики'!M560,MeanMinAge03)))</f>
        <v/>
      </c>
      <c r="N494">
        <f>IF(OR(('19_Расчет_аналитики'!N410-'19_Расчет_аналитики'!N438)=0,3&lt;='01_Вводные'!$B$297),0,('19_Расчет_аналитики'!N410-'19_Расчет_аналитики'!N438)*IF('01_Вводные'!$B$239="Да",MeanMinAge03+'19_Расчет_аналитики'!N560*SUMIF(ThresholdAge03,"&lt;"&amp;'19_Расчет_аналитики'!N560,WeightedRevAge03)-SUMIF(ThresholdAge03,"&lt;"&amp;'19_Расчет_аналитики'!N560,WeightedMinAge03),MAX(CapacityAge03*'01_Вводные'!$B$218*'19_Расчет_аналитики'!N560,MeanMinAge03)))</f>
        <v/>
      </c>
      <c r="O494">
        <f>IF(OR(('19_Расчет_аналитики'!O410-'19_Расчет_аналитики'!O438)=0,3&lt;='01_Вводные'!$B$297),0,('19_Расчет_аналитики'!O410-'19_Расчет_аналитики'!O438)*IF('01_Вводные'!$B$239="Да",MeanMinAge03+'19_Расчет_аналитики'!O560*SUMIF(ThresholdAge03,"&lt;"&amp;'19_Расчет_аналитики'!O560,WeightedRevAge03)-SUMIF(ThresholdAge03,"&lt;"&amp;'19_Расчет_аналитики'!O560,WeightedMinAge03),MAX(CapacityAge03*'01_Вводные'!$B$218*'19_Расчет_аналитики'!O560,MeanMinAge03)))</f>
        <v/>
      </c>
      <c r="P494">
        <f>IF(OR(('19_Расчет_аналитики'!P410-'19_Расчет_аналитики'!P438)=0,3&lt;='01_Вводные'!$B$297),0,('19_Расчет_аналитики'!P410-'19_Расчет_аналитики'!P438)*IF('01_Вводные'!$B$239="Да",MeanMinAge03+'19_Расчет_аналитики'!P560*SUMIF(ThresholdAge03,"&lt;"&amp;'19_Расчет_аналитики'!P560,WeightedRevAge03)-SUMIF(ThresholdAge03,"&lt;"&amp;'19_Расчет_аналитики'!P560,WeightedMinAge03),MAX(CapacityAge03*'01_Вводные'!$B$218*'19_Расчет_аналитики'!P560,MeanMinAge03)))</f>
        <v/>
      </c>
      <c r="Q494">
        <f>IF(OR(('19_Расчет_аналитики'!Q410-'19_Расчет_аналитики'!Q438)=0,3&lt;='01_Вводные'!$B$297),0,('19_Расчет_аналитики'!Q410-'19_Расчет_аналитики'!Q438)*IF('01_Вводные'!$B$239="Да",MeanMinAge03+'19_Расчет_аналитики'!Q560*SUMIF(ThresholdAge03,"&lt;"&amp;'19_Расчет_аналитики'!Q560,WeightedRevAge03)-SUMIF(ThresholdAge03,"&lt;"&amp;'19_Расчет_аналитики'!Q560,WeightedMinAge03),MAX(CapacityAge03*'01_Вводные'!$B$218*'19_Расчет_аналитики'!Q560,MeanMinAge03)))</f>
        <v/>
      </c>
      <c r="R494">
        <f>IF(OR(('19_Расчет_аналитики'!R410-'19_Расчет_аналитики'!R438)=0,3&lt;='01_Вводные'!$B$297),0,('19_Расчет_аналитики'!R410-'19_Расчет_аналитики'!R438)*IF('01_Вводные'!$B$239="Да",MeanMinAge03+'19_Расчет_аналитики'!R560*SUMIF(ThresholdAge03,"&lt;"&amp;'19_Расчет_аналитики'!R560,WeightedRevAge03)-SUMIF(ThresholdAge03,"&lt;"&amp;'19_Расчет_аналитики'!R560,WeightedMinAge03),MAX(CapacityAge03*'01_Вводные'!$B$218*'19_Расчет_аналитики'!R560,MeanMinAge03)))</f>
        <v/>
      </c>
      <c r="S494">
        <f>IF(OR(('19_Расчет_аналитики'!S410-'19_Расчет_аналитики'!S438)=0,3&lt;='01_Вводные'!$B$297),0,('19_Расчет_аналитики'!S410-'19_Расчет_аналитики'!S438)*IF('01_Вводные'!$B$239="Да",MeanMinAge03+'19_Расчет_аналитики'!S560*SUMIF(ThresholdAge03,"&lt;"&amp;'19_Расчет_аналитики'!S560,WeightedRevAge03)-SUMIF(ThresholdAge03,"&lt;"&amp;'19_Расчет_аналитики'!S560,WeightedMinAge03),MAX(CapacityAge03*'01_Вводные'!$B$218*'19_Расчет_аналитики'!S560,MeanMinAge03)))</f>
        <v/>
      </c>
      <c r="T494">
        <f>IF(OR(('19_Расчет_аналитики'!T410-'19_Расчет_аналитики'!T438)=0,3&lt;='01_Вводные'!$B$297),0,('19_Расчет_аналитики'!T410-'19_Расчет_аналитики'!T438)*IF('01_Вводные'!$B$239="Да",MeanMinAge03+'19_Расчет_аналитики'!T560*SUMIF(ThresholdAge03,"&lt;"&amp;'19_Расчет_аналитики'!T560,WeightedRevAge03)-SUMIF(ThresholdAge03,"&lt;"&amp;'19_Расчет_аналитики'!T560,WeightedMinAge03),MAX(CapacityAge03*'01_Вводные'!$B$218*'19_Расчет_аналитики'!T560,MeanMinAge03)))</f>
        <v/>
      </c>
      <c r="U494">
        <f>IF(OR(('19_Расчет_аналитики'!U410-'19_Расчет_аналитики'!U438)=0,3&lt;='01_Вводные'!$B$297),0,('19_Расчет_аналитики'!U410-'19_Расчет_аналитики'!U438)*IF('01_Вводные'!$B$239="Да",MeanMinAge03+'19_Расчет_аналитики'!U560*SUMIF(ThresholdAge03,"&lt;"&amp;'19_Расчет_аналитики'!U560,WeightedRevAge03)-SUMIF(ThresholdAge03,"&lt;"&amp;'19_Расчет_аналитики'!U560,WeightedMinAge03),MAX(CapacityAge03*'01_Вводные'!$B$218*'19_Расчет_аналитики'!U560,MeanMinAge03)))</f>
        <v/>
      </c>
      <c r="V494">
        <f>IF(OR(('19_Расчет_аналитики'!V410-'19_Расчет_аналитики'!V438)=0,3&lt;='01_Вводные'!$B$297),0,('19_Расчет_аналитики'!V410-'19_Расчет_аналитики'!V438)*IF('01_Вводные'!$B$239="Да",MeanMinAge03+'19_Расчет_аналитики'!V560*SUMIF(ThresholdAge03,"&lt;"&amp;'19_Расчет_аналитики'!V560,WeightedRevAge03)-SUMIF(ThresholdAge03,"&lt;"&amp;'19_Расчет_аналитики'!V560,WeightedMinAge03),MAX(CapacityAge03*'01_Вводные'!$B$218*'19_Расчет_аналитики'!V560,MeanMinAge03)))</f>
        <v/>
      </c>
      <c r="W494">
        <f>IF(OR(('19_Расчет_аналитики'!W410-'19_Расчет_аналитики'!W438)=0,3&lt;='01_Вводные'!$B$297),0,('19_Расчет_аналитики'!W410-'19_Расчет_аналитики'!W438)*IF('01_Вводные'!$B$239="Да",MeanMinAge03+'19_Расчет_аналитики'!W560*SUMIF(ThresholdAge03,"&lt;"&amp;'19_Расчет_аналитики'!W560,WeightedRevAge03)-SUMIF(ThresholdAge03,"&lt;"&amp;'19_Расчет_аналитики'!W560,WeightedMinAge03),MAX(CapacityAge03*'01_Вводные'!$B$218*'19_Расчет_аналитики'!W560,MeanMinAge03)))</f>
        <v/>
      </c>
      <c r="X494">
        <f>IF(OR(('19_Расчет_аналитики'!X410-'19_Расчет_аналитики'!X438)=0,3&lt;='01_Вводные'!$B$297),0,('19_Расчет_аналитики'!X410-'19_Расчет_аналитики'!X438)*IF('01_Вводные'!$B$239="Да",MeanMinAge03+'19_Расчет_аналитики'!X560*SUMIF(ThresholdAge03,"&lt;"&amp;'19_Расчет_аналитики'!X560,WeightedRevAge03)-SUMIF(ThresholdAge03,"&lt;"&amp;'19_Расчет_аналитики'!X560,WeightedMinAge03),MAX(CapacityAge03*'01_Вводные'!$B$218*'19_Расчет_аналитики'!X560,MeanMinAge03)))</f>
        <v/>
      </c>
      <c r="Y494">
        <f>IF(OR(('19_Расчет_аналитики'!Y410-'19_Расчет_аналитики'!Y438)=0,3&lt;='01_Вводные'!$B$297),0,('19_Расчет_аналитики'!Y410-'19_Расчет_аналитики'!Y438)*IF('01_Вводные'!$B$239="Да",MeanMinAge03+'19_Расчет_аналитики'!Y560*SUMIF(ThresholdAge03,"&lt;"&amp;'19_Расчет_аналитики'!Y560,WeightedRevAge03)-SUMIF(ThresholdAge03,"&lt;"&amp;'19_Расчет_аналитики'!Y560,WeightedMinAge03),MAX(CapacityAge03*'01_Вводные'!$B$218*'19_Расчет_аналитики'!Y560,MeanMinAge03)))</f>
        <v/>
      </c>
      <c r="Z494">
        <f>IF(OR(('19_Расчет_аналитики'!Z410-'19_Расчет_аналитики'!Z438)=0,3&lt;='01_Вводные'!$B$297),0,('19_Расчет_аналитики'!Z410-'19_Расчет_аналитики'!Z438)*IF('01_Вводные'!$B$239="Да",MeanMinAge03+'19_Расчет_аналитики'!Z560*SUMIF(ThresholdAge03,"&lt;"&amp;'19_Расчет_аналитики'!Z560,WeightedRevAge03)-SUMIF(ThresholdAge03,"&lt;"&amp;'19_Расчет_аналитики'!Z560,WeightedMinAge03),MAX(CapacityAge03*'01_Вводные'!$B$218*'19_Расчет_аналитики'!Z560,MeanMinAge03)))</f>
        <v/>
      </c>
      <c r="AA494">
        <f>IF(OR(('19_Расчет_аналитики'!AA410-'19_Расчет_аналитики'!AA438)=0,3&lt;='01_Вводные'!$B$297),0,('19_Расчет_аналитики'!AA410-'19_Расчет_аналитики'!AA438)*IF('01_Вводные'!$B$239="Да",MeanMinAge03+'19_Расчет_аналитики'!AA560*SUMIF(ThresholdAge03,"&lt;"&amp;'19_Расчет_аналитики'!AA560,WeightedRevAge03)-SUMIF(ThresholdAge03,"&lt;"&amp;'19_Расчет_аналитики'!AA560,WeightedMinAge03),MAX(CapacityAge03*'01_Вводные'!$B$218*'19_Расчет_аналитики'!AA560,MeanMinAge03)))</f>
        <v/>
      </c>
      <c r="AB494">
        <f>IF(OR(('19_Расчет_аналитики'!AB410-'19_Расчет_аналитики'!AB438)=0,3&lt;='01_Вводные'!$B$297),0,('19_Расчет_аналитики'!AB410-'19_Расчет_аналитики'!AB438)*IF('01_Вводные'!$B$239="Да",MeanMinAge03+'19_Расчет_аналитики'!AB560*SUMIF(ThresholdAge03,"&lt;"&amp;'19_Расчет_аналитики'!AB560,WeightedRevAge03)-SUMIF(ThresholdAge03,"&lt;"&amp;'19_Расчет_аналитики'!AB560,WeightedMinAge03),MAX(CapacityAge03*'01_Вводные'!$B$218*'19_Расчет_аналитики'!AB560,MeanMinAge03)))</f>
        <v/>
      </c>
      <c r="AC494">
        <f>IF(OR(('19_Расчет_аналитики'!AC410-'19_Расчет_аналитики'!AC438)=0,3&lt;='01_Вводные'!$B$297),0,('19_Расчет_аналитики'!AC410-'19_Расчет_аналитики'!AC438)*IF('01_Вводные'!$B$239="Да",MeanMinAge03+'19_Расчет_аналитики'!AC560*SUMIF(ThresholdAge03,"&lt;"&amp;'19_Расчет_аналитики'!AC560,WeightedRevAge03)-SUMIF(ThresholdAge03,"&lt;"&amp;'19_Расчет_аналитики'!AC560,WeightedMinAge03),MAX(CapacityAge03*'01_Вводные'!$B$218*'19_Расчет_аналитики'!AC560,MeanMinAge03)))</f>
        <v/>
      </c>
      <c r="AD494">
        <f>IF(OR(('19_Расчет_аналитики'!AD410-'19_Расчет_аналитики'!AD438)=0,3&lt;='01_Вводные'!$B$297),0,('19_Расчет_аналитики'!AD410-'19_Расчет_аналитики'!AD438)*IF('01_Вводные'!$B$239="Да",MeanMinAge03+'19_Расчет_аналитики'!AD560*SUMIF(ThresholdAge03,"&lt;"&amp;'19_Расчет_аналитики'!AD560,WeightedRevAge03)-SUMIF(ThresholdAge03,"&lt;"&amp;'19_Расчет_аналитики'!AD560,WeightedMinAge03),MAX(CapacityAge03*'01_Вводные'!$B$218*'19_Расчет_аналитики'!AD560,MeanMinAge03)))</f>
        <v/>
      </c>
      <c r="AE494">
        <f>IF(OR(('19_Расчет_аналитики'!AE410-'19_Расчет_аналитики'!AE438)=0,3&lt;='01_Вводные'!$B$297),0,('19_Расчет_аналитики'!AE410-'19_Расчет_аналитики'!AE438)*IF('01_Вводные'!$B$239="Да",MeanMinAge03+'19_Расчет_аналитики'!AE560*SUMIF(ThresholdAge03,"&lt;"&amp;'19_Расчет_аналитики'!AE560,WeightedRevAge03)-SUMIF(ThresholdAge03,"&lt;"&amp;'19_Расчет_аналитики'!AE560,WeightedMinAge03),MAX(CapacityAge03*'01_Вводные'!$B$218*'19_Расчет_аналитики'!AE560,MeanMinAge03)))</f>
        <v/>
      </c>
      <c r="AF494">
        <f>IF(OR(('19_Расчет_аналитики'!AF410-'19_Расчет_аналитики'!AF438)=0,3&lt;='01_Вводные'!$B$297),0,('19_Расчет_аналитики'!AF410-'19_Расчет_аналитики'!AF438)*IF('01_Вводные'!$B$239="Да",MeanMinAge03+'19_Расчет_аналитики'!AF560*SUMIF(ThresholdAge03,"&lt;"&amp;'19_Расчет_аналитики'!AF560,WeightedRevAge03)-SUMIF(ThresholdAge03,"&lt;"&amp;'19_Расчет_аналитики'!AF560,WeightedMinAge03),MAX(CapacityAge03*'01_Вводные'!$B$218*'19_Расчет_аналитики'!AF560,MeanMinAge03)))</f>
        <v/>
      </c>
      <c r="AG494">
        <f>IF(OR(('19_Расчет_аналитики'!AG410-'19_Расчет_аналитики'!AG438)=0,3&lt;='01_Вводные'!$B$297),0,('19_Расчет_аналитики'!AG410-'19_Расчет_аналитики'!AG438)*IF('01_Вводные'!$B$239="Да",MeanMinAge03+'19_Расчет_аналитики'!AG560*SUMIF(ThresholdAge03,"&lt;"&amp;'19_Расчет_аналитики'!AG560,WeightedRevAge03)-SUMIF(ThresholdAge03,"&lt;"&amp;'19_Расчет_аналитики'!AG560,WeightedMinAge03),MAX(CapacityAge03*'01_Вводные'!$B$218*'19_Расчет_аналитики'!AG560,MeanMinAge03)))</f>
        <v/>
      </c>
      <c r="AH494">
        <f>IF(OR(('19_Расчет_аналитики'!AH410-'19_Расчет_аналитики'!AH438)=0,3&lt;='01_Вводные'!$B$297),0,('19_Расчет_аналитики'!AH410-'19_Расчет_аналитики'!AH438)*IF('01_Вводные'!$B$239="Да",MeanMinAge03+'19_Расчет_аналитики'!AH560*SUMIF(ThresholdAge03,"&lt;"&amp;'19_Расчет_аналитики'!AH560,WeightedRevAge03)-SUMIF(ThresholdAge03,"&lt;"&amp;'19_Расчет_аналитики'!AH560,WeightedMinAge03),MAX(CapacityAge03*'01_Вводные'!$B$218*'19_Расчет_аналитики'!AH560,MeanMinAge03)))</f>
        <v/>
      </c>
      <c r="AI494">
        <f>IF(OR(('19_Расчет_аналитики'!AI410-'19_Расчет_аналитики'!AI438)=0,3&lt;='01_Вводные'!$B$297),0,('19_Расчет_аналитики'!AI410-'19_Расчет_аналитики'!AI438)*IF('01_Вводные'!$B$239="Да",MeanMinAge03+'19_Расчет_аналитики'!AI560*SUMIF(ThresholdAge03,"&lt;"&amp;'19_Расчет_аналитики'!AI560,WeightedRevAge03)-SUMIF(ThresholdAge03,"&lt;"&amp;'19_Расчет_аналитики'!AI560,WeightedMinAge03),MAX(CapacityAge03*'01_Вводные'!$B$218*'19_Расчет_аналитики'!AI560,MeanMinAge03)))</f>
        <v/>
      </c>
      <c r="AJ494">
        <f>IF(OR(('19_Расчет_аналитики'!AJ410-'19_Расчет_аналитики'!AJ438)=0,3&lt;='01_Вводные'!$B$297),0,('19_Расчет_аналитики'!AJ410-'19_Расчет_аналитики'!AJ438)*IF('01_Вводные'!$B$239="Да",MeanMinAge03+'19_Расчет_аналитики'!AJ560*SUMIF(ThresholdAge03,"&lt;"&amp;'19_Расчет_аналитики'!AJ560,WeightedRevAge03)-SUMIF(ThresholdAge03,"&lt;"&amp;'19_Расчет_аналитики'!AJ560,WeightedMinAge03),MAX(CapacityAge03*'01_Вводные'!$B$218*'19_Расчет_аналитики'!AJ560,MeanMinAge03)))</f>
        <v/>
      </c>
      <c r="AK494">
        <f>IF(OR(('19_Расчет_аналитики'!AK410-'19_Расчет_аналитики'!AK438)=0,3&lt;='01_Вводные'!$B$297),0,('19_Расчет_аналитики'!AK410-'19_Расчет_аналитики'!AK438)*IF('01_Вводные'!$B$239="Да",MeanMinAge03+'19_Расчет_аналитики'!AK560*SUMIF(ThresholdAge03,"&lt;"&amp;'19_Расчет_аналитики'!AK560,WeightedRevAge03)-SUMIF(ThresholdAge03,"&lt;"&amp;'19_Расчет_аналитики'!AK560,WeightedMinAge03),MAX(CapacityAge03*'01_Вводные'!$B$218*'19_Расчет_аналитики'!AK560,MeanMinAge03)))</f>
        <v/>
      </c>
      <c r="AL494">
        <f>IF(OR(('19_Расчет_аналитики'!AL410-'19_Расчет_аналитики'!AL438)=0,3&lt;='01_Вводные'!$B$297),0,('19_Расчет_аналитики'!AL410-'19_Расчет_аналитики'!AL438)*IF('01_Вводные'!$B$239="Да",MeanMinAge03+'19_Расчет_аналитики'!AL560*SUMIF(ThresholdAge03,"&lt;"&amp;'19_Расчет_аналитики'!AL560,WeightedRevAge03)-SUMIF(ThresholdAge03,"&lt;"&amp;'19_Расчет_аналитики'!AL560,WeightedMinAge03),MAX(CapacityAge03*'01_Вводные'!$B$218*'19_Расчет_аналитики'!AL560,MeanMinAge03)))</f>
        <v/>
      </c>
      <c r="AM494">
        <f>IF(OR(('19_Расчет_аналитики'!AM410-'19_Расчет_аналитики'!AM438)=0,3&lt;='01_Вводные'!$B$297),0,('19_Расчет_аналитики'!AM410-'19_Расчет_аналитики'!AM438)*IF('01_Вводные'!$B$239="Да",MeanMinAge03+'19_Расчет_аналитики'!AM560*SUMIF(ThresholdAge03,"&lt;"&amp;'19_Расчет_аналитики'!AM560,WeightedRevAge03)-SUMIF(ThresholdAge03,"&lt;"&amp;'19_Расчет_аналитики'!AM560,WeightedMinAge03),MAX(CapacityAge03*'01_Вводные'!$B$218*'19_Расчет_аналитики'!AM560,MeanMinAge03)))</f>
        <v/>
      </c>
      <c r="AN494">
        <f>IF(OR(('19_Расчет_аналитики'!AN410-'19_Расчет_аналитики'!AN438)=0,3&lt;='01_Вводные'!$B$297),0,('19_Расчет_аналитики'!AN410-'19_Расчет_аналитики'!AN438)*IF('01_Вводные'!$B$239="Да",MeanMinAge03+'19_Расчет_аналитики'!AN560*SUMIF(ThresholdAge03,"&lt;"&amp;'19_Расчет_аналитики'!AN560,WeightedRevAge03)-SUMIF(ThresholdAge03,"&lt;"&amp;'19_Расчет_аналитики'!AN560,WeightedMinAge03),MAX(CapacityAge03*'01_Вводные'!$B$218*'19_Расчет_аналитики'!AN560,MeanMinAge03)))</f>
        <v/>
      </c>
      <c r="AO494">
        <f>IF(OR(('19_Расчет_аналитики'!AO410-'19_Расчет_аналитики'!AO438)=0,3&lt;='01_Вводные'!$B$297),0,('19_Расчет_аналитики'!AO410-'19_Расчет_аналитики'!AO438)*IF('01_Вводные'!$B$239="Да",MeanMinAge03+'19_Расчет_аналитики'!AO560*SUMIF(ThresholdAge03,"&lt;"&amp;'19_Расчет_аналитики'!AO560,WeightedRevAge03)-SUMIF(ThresholdAge03,"&lt;"&amp;'19_Расчет_аналитики'!AO560,WeightedMinAge03),MAX(CapacityAge03*'01_Вводные'!$B$218*'19_Расчет_аналитики'!AO560,MeanMinAge03)))</f>
        <v/>
      </c>
      <c r="AP494">
        <f>IF(OR(('19_Расчет_аналитики'!AP410-'19_Расчет_аналитики'!AP438)=0,3&lt;='01_Вводные'!$B$297),0,('19_Расчет_аналитики'!AP410-'19_Расчет_аналитики'!AP438)*IF('01_Вводные'!$B$239="Да",MeanMinAge03+'19_Расчет_аналитики'!AP560*SUMIF(ThresholdAge03,"&lt;"&amp;'19_Расчет_аналитики'!AP560,WeightedRevAge03)-SUMIF(ThresholdAge03,"&lt;"&amp;'19_Расчет_аналитики'!AP560,WeightedMinAge03),MAX(CapacityAge03*'01_Вводные'!$B$218*'19_Расчет_аналитики'!AP560,MeanMinAge03)))</f>
        <v/>
      </c>
      <c r="AQ494">
        <f>IF(OR(('19_Расчет_аналитики'!AQ410-'19_Расчет_аналитики'!AQ438)=0,3&lt;='01_Вводные'!$B$297),0,('19_Расчет_аналитики'!AQ410-'19_Расчет_аналитики'!AQ438)*IF('01_Вводные'!$B$239="Да",MeanMinAge03+'19_Расчет_аналитики'!AQ560*SUMIF(ThresholdAge03,"&lt;"&amp;'19_Расчет_аналитики'!AQ560,WeightedRevAge03)-SUMIF(ThresholdAge03,"&lt;"&amp;'19_Расчет_аналитики'!AQ560,WeightedMinAge03),MAX(CapacityAge03*'01_Вводные'!$B$218*'19_Расчет_аналитики'!AQ560,MeanMinAge03)))</f>
        <v/>
      </c>
      <c r="AR494">
        <f>IF(OR(('19_Расчет_аналитики'!AR410-'19_Расчет_аналитики'!AR438)=0,3&lt;='01_Вводные'!$B$297),0,('19_Расчет_аналитики'!AR410-'19_Расчет_аналитики'!AR438)*IF('01_Вводные'!$B$239="Да",MeanMinAge03+'19_Расчет_аналитики'!AR560*SUMIF(ThresholdAge03,"&lt;"&amp;'19_Расчет_аналитики'!AR560,WeightedRevAge03)-SUMIF(ThresholdAge03,"&lt;"&amp;'19_Расчет_аналитики'!AR560,WeightedMinAge03),MAX(CapacityAge03*'01_Вводные'!$B$218*'19_Расчет_аналитики'!AR560,MeanMinAge03)))</f>
        <v/>
      </c>
      <c r="AS494">
        <f>IF(OR(('19_Расчет_аналитики'!AS410-'19_Расчет_аналитики'!AS438)=0,3&lt;='01_Вводные'!$B$297),0,('19_Расчет_аналитики'!AS410-'19_Расчет_аналитики'!AS438)*IF('01_Вводные'!$B$239="Да",MeanMinAge03+'19_Расчет_аналитики'!AS560*SUMIF(ThresholdAge03,"&lt;"&amp;'19_Расчет_аналитики'!AS560,WeightedRevAge03)-SUMIF(ThresholdAge03,"&lt;"&amp;'19_Расчет_аналитики'!AS560,WeightedMinAge03),MAX(CapacityAge03*'01_Вводные'!$B$218*'19_Расчет_аналитики'!AS560,MeanMinAge03)))</f>
        <v/>
      </c>
      <c r="AT494">
        <f>IF(OR(('19_Расчет_аналитики'!AT410-'19_Расчет_аналитики'!AT438)=0,3&lt;='01_Вводные'!$B$297),0,('19_Расчет_аналитики'!AT410-'19_Расчет_аналитики'!AT438)*IF('01_Вводные'!$B$239="Да",MeanMinAge03+'19_Расчет_аналитики'!AT560*SUMIF(ThresholdAge03,"&lt;"&amp;'19_Расчет_аналитики'!AT560,WeightedRevAge03)-SUMIF(ThresholdAge03,"&lt;"&amp;'19_Расчет_аналитики'!AT560,WeightedMinAge03),MAX(CapacityAge03*'01_Вводные'!$B$218*'19_Расчет_аналитики'!AT560,MeanMinAge03)))</f>
        <v/>
      </c>
      <c r="AU494">
        <f>IF(OR(('19_Расчет_аналитики'!AU410-'19_Расчет_аналитики'!AU438)=0,3&lt;='01_Вводные'!$B$297),0,('19_Расчет_аналитики'!AU410-'19_Расчет_аналитики'!AU438)*IF('01_Вводные'!$B$239="Да",MeanMinAge03+'19_Расчет_аналитики'!AU560*SUMIF(ThresholdAge03,"&lt;"&amp;'19_Расчет_аналитики'!AU560,WeightedRevAge03)-SUMIF(ThresholdAge03,"&lt;"&amp;'19_Расчет_аналитики'!AU560,WeightedMinAge03),MAX(CapacityAge03*'01_Вводные'!$B$218*'19_Расчет_аналитики'!AU560,MeanMinAge03)))</f>
        <v/>
      </c>
      <c r="AV494">
        <f>IF(OR(('19_Расчет_аналитики'!AV410-'19_Расчет_аналитики'!AV438)=0,3&lt;='01_Вводные'!$B$297),0,('19_Расчет_аналитики'!AV410-'19_Расчет_аналитики'!AV438)*IF('01_Вводные'!$B$239="Да",MeanMinAge03+'19_Расчет_аналитики'!AV560*SUMIF(ThresholdAge03,"&lt;"&amp;'19_Расчет_аналитики'!AV560,WeightedRevAge03)-SUMIF(ThresholdAge03,"&lt;"&amp;'19_Расчет_аналитики'!AV560,WeightedMinAge03),MAX(CapacityAge03*'01_Вводные'!$B$218*'19_Расчет_аналитики'!AV560,MeanMinAge03)))</f>
        <v/>
      </c>
      <c r="AW494">
        <f>IF(OR(('19_Расчет_аналитики'!AW410-'19_Расчет_аналитики'!AW438)=0,3&lt;='01_Вводные'!$B$297),0,('19_Расчет_аналитики'!AW410-'19_Расчет_аналитики'!AW438)*IF('01_Вводные'!$B$239="Да",MeanMinAge03+'19_Расчет_аналитики'!AW560*SUMIF(ThresholdAge03,"&lt;"&amp;'19_Расчет_аналитики'!AW560,WeightedRevAge03)-SUMIF(ThresholdAge03,"&lt;"&amp;'19_Расчет_аналитики'!AW560,WeightedMinAge03),MAX(CapacityAge03*'01_Вводные'!$B$218*'19_Расчет_аналитики'!AW560,MeanMinAge03)))</f>
        <v/>
      </c>
      <c r="AX494">
        <f>IF(OR(('19_Расчет_аналитики'!AX410-'19_Расчет_аналитики'!AX438)=0,3&lt;='01_Вводные'!$B$297),0,('19_Расчет_аналитики'!AX410-'19_Расчет_аналитики'!AX438)*IF('01_Вводные'!$B$239="Да",MeanMinAge03+'19_Расчет_аналитики'!AX560*SUMIF(ThresholdAge03,"&lt;"&amp;'19_Расчет_аналитики'!AX560,WeightedRevAge03)-SUMIF(ThresholdAge03,"&lt;"&amp;'19_Расчет_аналитики'!AX560,WeightedMinAge03),MAX(CapacityAge03*'01_Вводные'!$B$218*'19_Расчет_аналитики'!AX560,MeanMinAge03)))</f>
        <v/>
      </c>
      <c r="AY494">
        <f>IF(OR(('19_Расчет_аналитики'!AY410-'19_Расчет_аналитики'!AY438)=0,3&lt;='01_Вводные'!$B$297),0,('19_Расчет_аналитики'!AY410-'19_Расчет_аналитики'!AY438)*IF('01_Вводные'!$B$239="Да",MeanMinAge03+'19_Расчет_аналитики'!AY560*SUMIF(ThresholdAge03,"&lt;"&amp;'19_Расчет_аналитики'!AY560,WeightedRevAge03)-SUMIF(ThresholdAge03,"&lt;"&amp;'19_Расчет_аналитики'!AY560,WeightedMinAge03),MAX(CapacityAge03*'01_Вводные'!$B$218*'19_Расчет_аналитики'!AY560,MeanMinAge03)))</f>
        <v/>
      </c>
      <c r="AZ494">
        <f>IF(OR(('19_Расчет_аналитики'!AZ410-'19_Расчет_аналитики'!AZ438)=0,3&lt;='01_Вводные'!$B$297),0,('19_Расчет_аналитики'!AZ410-'19_Расчет_аналитики'!AZ438)*IF('01_Вводные'!$B$239="Да",MeanMinAge03+'19_Расчет_аналитики'!AZ560*SUMIF(ThresholdAge03,"&lt;"&amp;'19_Расчет_аналитики'!AZ560,WeightedRevAge03)-SUMIF(ThresholdAge03,"&lt;"&amp;'19_Расчет_аналитики'!AZ560,WeightedMinAge03),MAX(CapacityAge03*'01_Вводные'!$B$218*'19_Расчет_аналитики'!AZ560,MeanMinAge03)))</f>
        <v/>
      </c>
      <c r="BA494">
        <f>IF(OR(('19_Расчет_аналитики'!BA410-'19_Расчет_аналитики'!BA438)=0,3&lt;='01_Вводные'!$B$297),0,('19_Расчет_аналитики'!BA410-'19_Расчет_аналитики'!BA438)*IF('01_Вводные'!$B$239="Да",MeanMinAge03+'19_Расчет_аналитики'!BA560*SUMIF(ThresholdAge03,"&lt;"&amp;'19_Расчет_аналитики'!BA560,WeightedRevAge03)-SUMIF(ThresholdAge03,"&lt;"&amp;'19_Расчет_аналитики'!BA560,WeightedMinAge03),MAX(CapacityAge03*'01_Вводные'!$B$218*'19_Расчет_аналитики'!BA560,MeanMinAge03)))</f>
        <v/>
      </c>
      <c r="BB494">
        <f>IF(OR(('19_Расчет_аналитики'!BB410-'19_Расчет_аналитики'!BB438)=0,3&lt;='01_Вводные'!$B$297),0,('19_Расчет_аналитики'!BB410-'19_Расчет_аналитики'!BB438)*IF('01_Вводные'!$B$239="Да",MeanMinAge03+'19_Расчет_аналитики'!BB560*SUMIF(ThresholdAge03,"&lt;"&amp;'19_Расчет_аналитики'!BB560,WeightedRevAge03)-SUMIF(ThresholdAge03,"&lt;"&amp;'19_Расчет_аналитики'!BB560,WeightedMinAge03),MAX(CapacityAge03*'01_Вводные'!$B$218*'19_Расчет_аналитики'!BB560,MeanMinAge03)))</f>
        <v/>
      </c>
      <c r="BC494">
        <f>IF(OR(('19_Расчет_аналитики'!BC410-'19_Расчет_аналитики'!BC438)=0,3&lt;='01_Вводные'!$B$297),0,('19_Расчет_аналитики'!BC410-'19_Расчет_аналитики'!BC438)*IF('01_Вводные'!$B$239="Да",MeanMinAge03+'19_Расчет_аналитики'!BC560*SUMIF(ThresholdAge03,"&lt;"&amp;'19_Расчет_аналитики'!BC560,WeightedRevAge03)-SUMIF(ThresholdAge03,"&lt;"&amp;'19_Расчет_аналитики'!BC560,WeightedMinAge03),MAX(CapacityAge03*'01_Вводные'!$B$218*'19_Расчет_аналитики'!BC560,MeanMinAge03)))</f>
        <v/>
      </c>
      <c r="BD494">
        <f>IF(OR(('19_Расчет_аналитики'!BD410-'19_Расчет_аналитики'!BD438)=0,3&lt;='01_Вводные'!$B$297),0,('19_Расчет_аналитики'!BD410-'19_Расчет_аналитики'!BD438)*IF('01_Вводные'!$B$239="Да",MeanMinAge03+'19_Расчет_аналитики'!BD560*SUMIF(ThresholdAge03,"&lt;"&amp;'19_Расчет_аналитики'!BD560,WeightedRevAge03)-SUMIF(ThresholdAge03,"&lt;"&amp;'19_Расчет_аналитики'!BD560,WeightedMinAge03),MAX(CapacityAge03*'01_Вводные'!$B$218*'19_Расчет_аналитики'!BD560,MeanMinAge03)))</f>
        <v/>
      </c>
      <c r="BE494">
        <f>IF(OR(('19_Расчет_аналитики'!BE410-'19_Расчет_аналитики'!BE438)=0,3&lt;='01_Вводные'!$B$297),0,('19_Расчет_аналитики'!BE410-'19_Расчет_аналитики'!BE438)*IF('01_Вводные'!$B$239="Да",MeanMinAge03+'19_Расчет_аналитики'!BE560*SUMIF(ThresholdAge03,"&lt;"&amp;'19_Расчет_аналитики'!BE560,WeightedRevAge03)-SUMIF(ThresholdAge03,"&lt;"&amp;'19_Расчет_аналитики'!BE560,WeightedMinAge03),MAX(CapacityAge03*'01_Вводные'!$B$218*'19_Расчет_аналитики'!BE560,MeanMinAge03)))</f>
        <v/>
      </c>
      <c r="BF494">
        <f>IF(OR(('19_Расчет_аналитики'!BF410-'19_Расчет_аналитики'!BF438)=0,3&lt;='01_Вводные'!$B$297),0,('19_Расчет_аналитики'!BF410-'19_Расчет_аналитики'!BF438)*IF('01_Вводные'!$B$239="Да",MeanMinAge03+'19_Расчет_аналитики'!BF560*SUMIF(ThresholdAge03,"&lt;"&amp;'19_Расчет_аналитики'!BF560,WeightedRevAge03)-SUMIF(ThresholdAge03,"&lt;"&amp;'19_Расчет_аналитики'!BF560,WeightedMinAge03),MAX(CapacityAge03*'01_Вводные'!$B$218*'19_Расчет_аналитики'!BF560,MeanMinAge03)))</f>
        <v/>
      </c>
      <c r="BG494">
        <f>IF(OR(('19_Расчет_аналитики'!BG410-'19_Расчет_аналитики'!BG438)=0,3&lt;='01_Вводные'!$B$297),0,('19_Расчет_аналитики'!BG410-'19_Расчет_аналитики'!BG438)*IF('01_Вводные'!$B$239="Да",MeanMinAge03+'19_Расчет_аналитики'!BG560*SUMIF(ThresholdAge03,"&lt;"&amp;'19_Расчет_аналитики'!BG560,WeightedRevAge03)-SUMIF(ThresholdAge03,"&lt;"&amp;'19_Расчет_аналитики'!BG560,WeightedMinAge03),MAX(CapacityAge03*'01_Вводные'!$B$218*'19_Расчет_аналитики'!BG560,MeanMinAge03)))</f>
        <v/>
      </c>
      <c r="BH494">
        <f>IF(OR(('19_Расчет_аналитики'!BH410-'19_Расчет_аналитики'!BH438)=0,3&lt;='01_Вводные'!$B$297),0,('19_Расчет_аналитики'!BH410-'19_Расчет_аналитики'!BH438)*IF('01_Вводные'!$B$239="Да",MeanMinAge03+'19_Расчет_аналитики'!BH560*SUMIF(ThresholdAge03,"&lt;"&amp;'19_Расчет_аналитики'!BH560,WeightedRevAge03)-SUMIF(ThresholdAge03,"&lt;"&amp;'19_Расчет_аналитики'!BH560,WeightedMinAge03),MAX(CapacityAge03*'01_Вводные'!$B$218*'19_Расчет_аналитики'!BH560,MeanMinAge03)))</f>
        <v/>
      </c>
      <c r="BI494">
        <f>IF(OR(('19_Расчет_аналитики'!BI410-'19_Расчет_аналитики'!BI438)=0,3&lt;='01_Вводные'!$B$297),0,('19_Расчет_аналитики'!BI410-'19_Расчет_аналитики'!BI438)*IF('01_Вводные'!$B$239="Да",MeanMinAge03+'19_Расчет_аналитики'!BI560*SUMIF(ThresholdAge03,"&lt;"&amp;'19_Расчет_аналитики'!BI560,WeightedRevAge03)-SUMIF(ThresholdAge03,"&lt;"&amp;'19_Расчет_аналитики'!BI560,WeightedMinAge03),MAX(CapacityAge03*'01_Вводные'!$B$218*'19_Расчет_аналитики'!BI560,MeanMinAge03)))</f>
        <v/>
      </c>
      <c r="BJ494">
        <f>IF(OR(('19_Расчет_аналитики'!BJ410-'19_Расчет_аналитики'!BJ438)=0,3&lt;='01_Вводные'!$B$297),0,('19_Расчет_аналитики'!BJ410-'19_Расчет_аналитики'!BJ438)*IF('01_Вводные'!$B$239="Да",MeanMinAge03+'19_Расчет_аналитики'!BJ560*SUMIF(ThresholdAge03,"&lt;"&amp;'19_Расчет_аналитики'!BJ560,WeightedRevAge03)-SUMIF(ThresholdAge03,"&lt;"&amp;'19_Расчет_аналитики'!BJ560,WeightedMinAge03),MAX(CapacityAge03*'01_Вводные'!$B$218*'19_Расчет_аналитики'!BJ560,MeanMinAge03)))</f>
        <v/>
      </c>
      <c r="BK494">
        <f>IF(OR(('19_Расчет_аналитики'!BK410-'19_Расчет_аналитики'!BK438)=0,3&lt;='01_Вводные'!$B$297),0,('19_Расчет_аналитики'!BK410-'19_Расчет_аналитики'!BK438)*IF('01_Вводные'!$B$239="Да",MeanMinAge03+'19_Расчет_аналитики'!BK560*SUMIF(ThresholdAge03,"&lt;"&amp;'19_Расчет_аналитики'!BK560,WeightedRevAge03)-SUMIF(ThresholdAge03,"&lt;"&amp;'19_Расчет_аналитики'!BK560,WeightedMinAge03),MAX(CapacityAge03*'01_Вводные'!$B$218*'19_Расчет_аналитики'!BK560,MeanMinAge03)))</f>
        <v/>
      </c>
      <c r="BL494">
        <f>IF(OR(('19_Расчет_аналитики'!BL410-'19_Расчет_аналитики'!BL438)=0,3&lt;='01_Вводные'!$B$297),0,('19_Расчет_аналитики'!BL410-'19_Расчет_аналитики'!BL438)*IF('01_Вводные'!$B$239="Да",MeanMinAge03+'19_Расчет_аналитики'!BL560*SUMIF(ThresholdAge03,"&lt;"&amp;'19_Расчет_аналитики'!BL560,WeightedRevAge03)-SUMIF(ThresholdAge03,"&lt;"&amp;'19_Расчет_аналитики'!BL560,WeightedMinAge03),MAX(CapacityAge03*'01_Вводные'!$B$218*'19_Расчет_аналитики'!BL560,MeanMinAge03)))</f>
        <v/>
      </c>
      <c r="BM494">
        <f>IF(OR(('19_Расчет_аналитики'!BM410-'19_Расчет_аналитики'!BM438)=0,3&lt;='01_Вводные'!$B$297),0,('19_Расчет_аналитики'!BM410-'19_Расчет_аналитики'!BM438)*IF('01_Вводные'!$B$239="Да",MeanMinAge03+'19_Расчет_аналитики'!BM560*SUMIF(ThresholdAge03,"&lt;"&amp;'19_Расчет_аналитики'!BM560,WeightedRevAge03)-SUMIF(ThresholdAge03,"&lt;"&amp;'19_Расчет_аналитики'!BM560,WeightedMinAge03),MAX(CapacityAge03*'01_Вводные'!$B$218*'19_Расчет_аналитики'!BM560,MeanMinAge03)))</f>
        <v/>
      </c>
      <c r="BN494">
        <f>IF(OR(('19_Расчет_аналитики'!BN410-'19_Расчет_аналитики'!BN438)=0,3&lt;='01_Вводные'!$B$297),0,('19_Расчет_аналитики'!BN410-'19_Расчет_аналитики'!BN438)*IF('01_Вводные'!$B$239="Да",MeanMinAge03+'19_Расчет_аналитики'!BN560*SUMIF(ThresholdAge03,"&lt;"&amp;'19_Расчет_аналитики'!BN560,WeightedRevAge03)-SUMIF(ThresholdAge03,"&lt;"&amp;'19_Расчет_аналитики'!BN560,WeightedMinAge03),MAX(CapacityAge03*'01_Вводные'!$B$218*'19_Расчет_аналитики'!BN560,MeanMinAge03)))</f>
        <v/>
      </c>
      <c r="BO494">
        <f>IF(OR(('19_Расчет_аналитики'!BO410-'19_Расчет_аналитики'!BO438)=0,3&lt;='01_Вводные'!$B$297),0,('19_Расчет_аналитики'!BO410-'19_Расчет_аналитики'!BO438)*IF('01_Вводные'!$B$239="Да",MeanMinAge03+'19_Расчет_аналитики'!BO560*SUMIF(ThresholdAge03,"&lt;"&amp;'19_Расчет_аналитики'!BO560,WeightedRevAge03)-SUMIF(ThresholdAge03,"&lt;"&amp;'19_Расчет_аналитики'!BO560,WeightedMinAge03),MAX(CapacityAge03*'01_Вводные'!$B$218*'19_Расчет_аналитики'!BO560,MeanMinAge03)))</f>
        <v/>
      </c>
    </row>
    <row r="495">
      <c r="B495">
        <f>IF(OR(('06_Сеть_и_дети'!B56-'06_Сеть_и_дети'!B84)=0,4&lt;='01_Вводные'!$B$297),0,('06_Сеть_и_дети'!B56-'06_Сеть_и_дети'!B84)*IF('01_Вводные'!$B$239="Да",MeanMinAge04+'19_Расчет_аналитики'!B560*SUMIF(ThresholdAge04,"&lt;"&amp;'19_Расчет_аналитики'!B560,WeightedRevAge04)-SUMIF(ThresholdAge04,"&lt;"&amp;'19_Расчет_аналитики'!B560,WeightedMinAge04),MAX(CapacityAge04*'01_Вводные'!$B$218*'19_Расчет_аналитики'!B560,MeanMinAge04)))</f>
        <v/>
      </c>
      <c r="C495">
        <f>IF(OR(('06_Сеть_и_дети'!C56-'06_Сеть_и_дети'!C84)=0,4&lt;='01_Вводные'!$B$297),0,('06_Сеть_и_дети'!C56-'06_Сеть_и_дети'!C84)*IF('01_Вводные'!$B$239="Да",MeanMinAge04+'19_Расчет_аналитики'!C560*SUMIF(ThresholdAge04,"&lt;"&amp;'19_Расчет_аналитики'!C560,WeightedRevAge04)-SUMIF(ThresholdAge04,"&lt;"&amp;'19_Расчет_аналитики'!C560,WeightedMinAge04),MAX(CapacityAge04*'01_Вводные'!$B$218*'19_Расчет_аналитики'!C560,MeanMinAge04)))</f>
        <v/>
      </c>
      <c r="D495">
        <f>IF(OR(('06_Сеть_и_дети'!D56-'06_Сеть_и_дети'!D84)=0,4&lt;='01_Вводные'!$B$297),0,('06_Сеть_и_дети'!D56-'06_Сеть_и_дети'!D84)*IF('01_Вводные'!$B$239="Да",MeanMinAge04+'19_Расчет_аналитики'!D560*SUMIF(ThresholdAge04,"&lt;"&amp;'19_Расчет_аналитики'!D560,WeightedRevAge04)-SUMIF(ThresholdAge04,"&lt;"&amp;'19_Расчет_аналитики'!D560,WeightedMinAge04),MAX(CapacityAge04*'01_Вводные'!$B$218*'19_Расчет_аналитики'!D560,MeanMinAge04)))</f>
        <v/>
      </c>
      <c r="E495">
        <f>IF(OR(('19_Расчет_аналитики'!E411-'19_Расчет_аналитики'!E439)=0,4&lt;='01_Вводные'!$B$297),0,('19_Расчет_аналитики'!E411-'19_Расчет_аналитики'!E439)*IF('01_Вводные'!$B$239="Да",MeanMinAge04+'19_Расчет_аналитики'!E560*SUMIF(ThresholdAge04,"&lt;"&amp;'19_Расчет_аналитики'!E560,WeightedRevAge04)-SUMIF(ThresholdAge04,"&lt;"&amp;'19_Расчет_аналитики'!E560,WeightedMinAge04),MAX(CapacityAge04*'01_Вводные'!$B$218*'19_Расчет_аналитики'!E560,MeanMinAge04)))</f>
        <v/>
      </c>
      <c r="F495">
        <f>IF(OR(('19_Расчет_аналитики'!F411-'19_Расчет_аналитики'!F439)=0,4&lt;='01_Вводные'!$B$297),0,('19_Расчет_аналитики'!F411-'19_Расчет_аналитики'!F439)*IF('01_Вводные'!$B$239="Да",MeanMinAge04+'19_Расчет_аналитики'!F560*SUMIF(ThresholdAge04,"&lt;"&amp;'19_Расчет_аналитики'!F560,WeightedRevAge04)-SUMIF(ThresholdAge04,"&lt;"&amp;'19_Расчет_аналитики'!F560,WeightedMinAge04),MAX(CapacityAge04*'01_Вводные'!$B$218*'19_Расчет_аналитики'!F560,MeanMinAge04)))</f>
        <v/>
      </c>
      <c r="G495">
        <f>IF(OR(('19_Расчет_аналитики'!G411-'19_Расчет_аналитики'!G439)=0,4&lt;='01_Вводные'!$B$297),0,('19_Расчет_аналитики'!G411-'19_Расчет_аналитики'!G439)*IF('01_Вводные'!$B$239="Да",MeanMinAge04+'19_Расчет_аналитики'!G560*SUMIF(ThresholdAge04,"&lt;"&amp;'19_Расчет_аналитики'!G560,WeightedRevAge04)-SUMIF(ThresholdAge04,"&lt;"&amp;'19_Расчет_аналитики'!G560,WeightedMinAge04),MAX(CapacityAge04*'01_Вводные'!$B$218*'19_Расчет_аналитики'!G560,MeanMinAge04)))</f>
        <v/>
      </c>
      <c r="H495">
        <f>IF(OR(('19_Расчет_аналитики'!H411-'19_Расчет_аналитики'!H439)=0,4&lt;='01_Вводные'!$B$297),0,('19_Расчет_аналитики'!H411-'19_Расчет_аналитики'!H439)*IF('01_Вводные'!$B$239="Да",MeanMinAge04+'19_Расчет_аналитики'!H560*SUMIF(ThresholdAge04,"&lt;"&amp;'19_Расчет_аналитики'!H560,WeightedRevAge04)-SUMIF(ThresholdAge04,"&lt;"&amp;'19_Расчет_аналитики'!H560,WeightedMinAge04),MAX(CapacityAge04*'01_Вводные'!$B$218*'19_Расчет_аналитики'!H560,MeanMinAge04)))</f>
        <v/>
      </c>
      <c r="I495">
        <f>IF(OR(('19_Расчет_аналитики'!I411-'19_Расчет_аналитики'!I439)=0,4&lt;='01_Вводные'!$B$297),0,('19_Расчет_аналитики'!I411-'19_Расчет_аналитики'!I439)*IF('01_Вводные'!$B$239="Да",MeanMinAge04+'19_Расчет_аналитики'!I560*SUMIF(ThresholdAge04,"&lt;"&amp;'19_Расчет_аналитики'!I560,WeightedRevAge04)-SUMIF(ThresholdAge04,"&lt;"&amp;'19_Расчет_аналитики'!I560,WeightedMinAge04),MAX(CapacityAge04*'01_Вводные'!$B$218*'19_Расчет_аналитики'!I560,MeanMinAge04)))</f>
        <v/>
      </c>
      <c r="J495">
        <f>IF(OR(('19_Расчет_аналитики'!J411-'19_Расчет_аналитики'!J439)=0,4&lt;='01_Вводные'!$B$297),0,('19_Расчет_аналитики'!J411-'19_Расчет_аналитики'!J439)*IF('01_Вводные'!$B$239="Да",MeanMinAge04+'19_Расчет_аналитики'!J560*SUMIF(ThresholdAge04,"&lt;"&amp;'19_Расчет_аналитики'!J560,WeightedRevAge04)-SUMIF(ThresholdAge04,"&lt;"&amp;'19_Расчет_аналитики'!J560,WeightedMinAge04),MAX(CapacityAge04*'01_Вводные'!$B$218*'19_Расчет_аналитики'!J560,MeanMinAge04)))</f>
        <v/>
      </c>
      <c r="K495">
        <f>IF(OR(('19_Расчет_аналитики'!K411-'19_Расчет_аналитики'!K439)=0,4&lt;='01_Вводные'!$B$297),0,('19_Расчет_аналитики'!K411-'19_Расчет_аналитики'!K439)*IF('01_Вводные'!$B$239="Да",MeanMinAge04+'19_Расчет_аналитики'!K560*SUMIF(ThresholdAge04,"&lt;"&amp;'19_Расчет_аналитики'!K560,WeightedRevAge04)-SUMIF(ThresholdAge04,"&lt;"&amp;'19_Расчет_аналитики'!K560,WeightedMinAge04),MAX(CapacityAge04*'01_Вводные'!$B$218*'19_Расчет_аналитики'!K560,MeanMinAge04)))</f>
        <v/>
      </c>
      <c r="L495">
        <f>IF(OR(('19_Расчет_аналитики'!L411-'19_Расчет_аналитики'!L439)=0,4&lt;='01_Вводные'!$B$297),0,('19_Расчет_аналитики'!L411-'19_Расчет_аналитики'!L439)*IF('01_Вводные'!$B$239="Да",MeanMinAge04+'19_Расчет_аналитики'!L560*SUMIF(ThresholdAge04,"&lt;"&amp;'19_Расчет_аналитики'!L560,WeightedRevAge04)-SUMIF(ThresholdAge04,"&lt;"&amp;'19_Расчет_аналитики'!L560,WeightedMinAge04),MAX(CapacityAge04*'01_Вводные'!$B$218*'19_Расчет_аналитики'!L560,MeanMinAge04)))</f>
        <v/>
      </c>
      <c r="M495">
        <f>IF(OR(('19_Расчет_аналитики'!M411-'19_Расчет_аналитики'!M439)=0,4&lt;='01_Вводные'!$B$297),0,('19_Расчет_аналитики'!M411-'19_Расчет_аналитики'!M439)*IF('01_Вводные'!$B$239="Да",MeanMinAge04+'19_Расчет_аналитики'!M560*SUMIF(ThresholdAge04,"&lt;"&amp;'19_Расчет_аналитики'!M560,WeightedRevAge04)-SUMIF(ThresholdAge04,"&lt;"&amp;'19_Расчет_аналитики'!M560,WeightedMinAge04),MAX(CapacityAge04*'01_Вводные'!$B$218*'19_Расчет_аналитики'!M560,MeanMinAge04)))</f>
        <v/>
      </c>
      <c r="N495">
        <f>IF(OR(('19_Расчет_аналитики'!N411-'19_Расчет_аналитики'!N439)=0,4&lt;='01_Вводные'!$B$297),0,('19_Расчет_аналитики'!N411-'19_Расчет_аналитики'!N439)*IF('01_Вводные'!$B$239="Да",MeanMinAge04+'19_Расчет_аналитики'!N560*SUMIF(ThresholdAge04,"&lt;"&amp;'19_Расчет_аналитики'!N560,WeightedRevAge04)-SUMIF(ThresholdAge04,"&lt;"&amp;'19_Расчет_аналитики'!N560,WeightedMinAge04),MAX(CapacityAge04*'01_Вводные'!$B$218*'19_Расчет_аналитики'!N560,MeanMinAge04)))</f>
        <v/>
      </c>
      <c r="O495">
        <f>IF(OR(('19_Расчет_аналитики'!O411-'19_Расчет_аналитики'!O439)=0,4&lt;='01_Вводные'!$B$297),0,('19_Расчет_аналитики'!O411-'19_Расчет_аналитики'!O439)*IF('01_Вводные'!$B$239="Да",MeanMinAge04+'19_Расчет_аналитики'!O560*SUMIF(ThresholdAge04,"&lt;"&amp;'19_Расчет_аналитики'!O560,WeightedRevAge04)-SUMIF(ThresholdAge04,"&lt;"&amp;'19_Расчет_аналитики'!O560,WeightedMinAge04),MAX(CapacityAge04*'01_Вводные'!$B$218*'19_Расчет_аналитики'!O560,MeanMinAge04)))</f>
        <v/>
      </c>
      <c r="P495">
        <f>IF(OR(('19_Расчет_аналитики'!P411-'19_Расчет_аналитики'!P439)=0,4&lt;='01_Вводные'!$B$297),0,('19_Расчет_аналитики'!P411-'19_Расчет_аналитики'!P439)*IF('01_Вводные'!$B$239="Да",MeanMinAge04+'19_Расчет_аналитики'!P560*SUMIF(ThresholdAge04,"&lt;"&amp;'19_Расчет_аналитики'!P560,WeightedRevAge04)-SUMIF(ThresholdAge04,"&lt;"&amp;'19_Расчет_аналитики'!P560,WeightedMinAge04),MAX(CapacityAge04*'01_Вводные'!$B$218*'19_Расчет_аналитики'!P560,MeanMinAge04)))</f>
        <v/>
      </c>
      <c r="Q495">
        <f>IF(OR(('19_Расчет_аналитики'!Q411-'19_Расчет_аналитики'!Q439)=0,4&lt;='01_Вводные'!$B$297),0,('19_Расчет_аналитики'!Q411-'19_Расчет_аналитики'!Q439)*IF('01_Вводные'!$B$239="Да",MeanMinAge04+'19_Расчет_аналитики'!Q560*SUMIF(ThresholdAge04,"&lt;"&amp;'19_Расчет_аналитики'!Q560,WeightedRevAge04)-SUMIF(ThresholdAge04,"&lt;"&amp;'19_Расчет_аналитики'!Q560,WeightedMinAge04),MAX(CapacityAge04*'01_Вводные'!$B$218*'19_Расчет_аналитики'!Q560,MeanMinAge04)))</f>
        <v/>
      </c>
      <c r="R495">
        <f>IF(OR(('19_Расчет_аналитики'!R411-'19_Расчет_аналитики'!R439)=0,4&lt;='01_Вводные'!$B$297),0,('19_Расчет_аналитики'!R411-'19_Расчет_аналитики'!R439)*IF('01_Вводные'!$B$239="Да",MeanMinAge04+'19_Расчет_аналитики'!R560*SUMIF(ThresholdAge04,"&lt;"&amp;'19_Расчет_аналитики'!R560,WeightedRevAge04)-SUMIF(ThresholdAge04,"&lt;"&amp;'19_Расчет_аналитики'!R560,WeightedMinAge04),MAX(CapacityAge04*'01_Вводные'!$B$218*'19_Расчет_аналитики'!R560,MeanMinAge04)))</f>
        <v/>
      </c>
      <c r="S495">
        <f>IF(OR(('19_Расчет_аналитики'!S411-'19_Расчет_аналитики'!S439)=0,4&lt;='01_Вводные'!$B$297),0,('19_Расчет_аналитики'!S411-'19_Расчет_аналитики'!S439)*IF('01_Вводные'!$B$239="Да",MeanMinAge04+'19_Расчет_аналитики'!S560*SUMIF(ThresholdAge04,"&lt;"&amp;'19_Расчет_аналитики'!S560,WeightedRevAge04)-SUMIF(ThresholdAge04,"&lt;"&amp;'19_Расчет_аналитики'!S560,WeightedMinAge04),MAX(CapacityAge04*'01_Вводные'!$B$218*'19_Расчет_аналитики'!S560,MeanMinAge04)))</f>
        <v/>
      </c>
      <c r="T495">
        <f>IF(OR(('19_Расчет_аналитики'!T411-'19_Расчет_аналитики'!T439)=0,4&lt;='01_Вводные'!$B$297),0,('19_Расчет_аналитики'!T411-'19_Расчет_аналитики'!T439)*IF('01_Вводные'!$B$239="Да",MeanMinAge04+'19_Расчет_аналитики'!T560*SUMIF(ThresholdAge04,"&lt;"&amp;'19_Расчет_аналитики'!T560,WeightedRevAge04)-SUMIF(ThresholdAge04,"&lt;"&amp;'19_Расчет_аналитики'!T560,WeightedMinAge04),MAX(CapacityAge04*'01_Вводные'!$B$218*'19_Расчет_аналитики'!T560,MeanMinAge04)))</f>
        <v/>
      </c>
      <c r="U495">
        <f>IF(OR(('19_Расчет_аналитики'!U411-'19_Расчет_аналитики'!U439)=0,4&lt;='01_Вводные'!$B$297),0,('19_Расчет_аналитики'!U411-'19_Расчет_аналитики'!U439)*IF('01_Вводные'!$B$239="Да",MeanMinAge04+'19_Расчет_аналитики'!U560*SUMIF(ThresholdAge04,"&lt;"&amp;'19_Расчет_аналитики'!U560,WeightedRevAge04)-SUMIF(ThresholdAge04,"&lt;"&amp;'19_Расчет_аналитики'!U560,WeightedMinAge04),MAX(CapacityAge04*'01_Вводные'!$B$218*'19_Расчет_аналитики'!U560,MeanMinAge04)))</f>
        <v/>
      </c>
      <c r="V495">
        <f>IF(OR(('19_Расчет_аналитики'!V411-'19_Расчет_аналитики'!V439)=0,4&lt;='01_Вводные'!$B$297),0,('19_Расчет_аналитики'!V411-'19_Расчет_аналитики'!V439)*IF('01_Вводные'!$B$239="Да",MeanMinAge04+'19_Расчет_аналитики'!V560*SUMIF(ThresholdAge04,"&lt;"&amp;'19_Расчет_аналитики'!V560,WeightedRevAge04)-SUMIF(ThresholdAge04,"&lt;"&amp;'19_Расчет_аналитики'!V560,WeightedMinAge04),MAX(CapacityAge04*'01_Вводные'!$B$218*'19_Расчет_аналитики'!V560,MeanMinAge04)))</f>
        <v/>
      </c>
      <c r="W495">
        <f>IF(OR(('19_Расчет_аналитики'!W411-'19_Расчет_аналитики'!W439)=0,4&lt;='01_Вводные'!$B$297),0,('19_Расчет_аналитики'!W411-'19_Расчет_аналитики'!W439)*IF('01_Вводные'!$B$239="Да",MeanMinAge04+'19_Расчет_аналитики'!W560*SUMIF(ThresholdAge04,"&lt;"&amp;'19_Расчет_аналитики'!W560,WeightedRevAge04)-SUMIF(ThresholdAge04,"&lt;"&amp;'19_Расчет_аналитики'!W560,WeightedMinAge04),MAX(CapacityAge04*'01_Вводные'!$B$218*'19_Расчет_аналитики'!W560,MeanMinAge04)))</f>
        <v/>
      </c>
      <c r="X495">
        <f>IF(OR(('19_Расчет_аналитики'!X411-'19_Расчет_аналитики'!X439)=0,4&lt;='01_Вводные'!$B$297),0,('19_Расчет_аналитики'!X411-'19_Расчет_аналитики'!X439)*IF('01_Вводные'!$B$239="Да",MeanMinAge04+'19_Расчет_аналитики'!X560*SUMIF(ThresholdAge04,"&lt;"&amp;'19_Расчет_аналитики'!X560,WeightedRevAge04)-SUMIF(ThresholdAge04,"&lt;"&amp;'19_Расчет_аналитики'!X560,WeightedMinAge04),MAX(CapacityAge04*'01_Вводные'!$B$218*'19_Расчет_аналитики'!X560,MeanMinAge04)))</f>
        <v/>
      </c>
      <c r="Y495">
        <f>IF(OR(('19_Расчет_аналитики'!Y411-'19_Расчет_аналитики'!Y439)=0,4&lt;='01_Вводные'!$B$297),0,('19_Расчет_аналитики'!Y411-'19_Расчет_аналитики'!Y439)*IF('01_Вводные'!$B$239="Да",MeanMinAge04+'19_Расчет_аналитики'!Y560*SUMIF(ThresholdAge04,"&lt;"&amp;'19_Расчет_аналитики'!Y560,WeightedRevAge04)-SUMIF(ThresholdAge04,"&lt;"&amp;'19_Расчет_аналитики'!Y560,WeightedMinAge04),MAX(CapacityAge04*'01_Вводные'!$B$218*'19_Расчет_аналитики'!Y560,MeanMinAge04)))</f>
        <v/>
      </c>
      <c r="Z495">
        <f>IF(OR(('19_Расчет_аналитики'!Z411-'19_Расчет_аналитики'!Z439)=0,4&lt;='01_Вводные'!$B$297),0,('19_Расчет_аналитики'!Z411-'19_Расчет_аналитики'!Z439)*IF('01_Вводные'!$B$239="Да",MeanMinAge04+'19_Расчет_аналитики'!Z560*SUMIF(ThresholdAge04,"&lt;"&amp;'19_Расчет_аналитики'!Z560,WeightedRevAge04)-SUMIF(ThresholdAge04,"&lt;"&amp;'19_Расчет_аналитики'!Z560,WeightedMinAge04),MAX(CapacityAge04*'01_Вводные'!$B$218*'19_Расчет_аналитики'!Z560,MeanMinAge04)))</f>
        <v/>
      </c>
      <c r="AA495">
        <f>IF(OR(('19_Расчет_аналитики'!AA411-'19_Расчет_аналитики'!AA439)=0,4&lt;='01_Вводные'!$B$297),0,('19_Расчет_аналитики'!AA411-'19_Расчет_аналитики'!AA439)*IF('01_Вводные'!$B$239="Да",MeanMinAge04+'19_Расчет_аналитики'!AA560*SUMIF(ThresholdAge04,"&lt;"&amp;'19_Расчет_аналитики'!AA560,WeightedRevAge04)-SUMIF(ThresholdAge04,"&lt;"&amp;'19_Расчет_аналитики'!AA560,WeightedMinAge04),MAX(CapacityAge04*'01_Вводные'!$B$218*'19_Расчет_аналитики'!AA560,MeanMinAge04)))</f>
        <v/>
      </c>
      <c r="AB495">
        <f>IF(OR(('19_Расчет_аналитики'!AB411-'19_Расчет_аналитики'!AB439)=0,4&lt;='01_Вводные'!$B$297),0,('19_Расчет_аналитики'!AB411-'19_Расчет_аналитики'!AB439)*IF('01_Вводные'!$B$239="Да",MeanMinAge04+'19_Расчет_аналитики'!AB560*SUMIF(ThresholdAge04,"&lt;"&amp;'19_Расчет_аналитики'!AB560,WeightedRevAge04)-SUMIF(ThresholdAge04,"&lt;"&amp;'19_Расчет_аналитики'!AB560,WeightedMinAge04),MAX(CapacityAge04*'01_Вводные'!$B$218*'19_Расчет_аналитики'!AB560,MeanMinAge04)))</f>
        <v/>
      </c>
      <c r="AC495">
        <f>IF(OR(('19_Расчет_аналитики'!AC411-'19_Расчет_аналитики'!AC439)=0,4&lt;='01_Вводные'!$B$297),0,('19_Расчет_аналитики'!AC411-'19_Расчет_аналитики'!AC439)*IF('01_Вводные'!$B$239="Да",MeanMinAge04+'19_Расчет_аналитики'!AC560*SUMIF(ThresholdAge04,"&lt;"&amp;'19_Расчет_аналитики'!AC560,WeightedRevAge04)-SUMIF(ThresholdAge04,"&lt;"&amp;'19_Расчет_аналитики'!AC560,WeightedMinAge04),MAX(CapacityAge04*'01_Вводные'!$B$218*'19_Расчет_аналитики'!AC560,MeanMinAge04)))</f>
        <v/>
      </c>
      <c r="AD495">
        <f>IF(OR(('19_Расчет_аналитики'!AD411-'19_Расчет_аналитики'!AD439)=0,4&lt;='01_Вводные'!$B$297),0,('19_Расчет_аналитики'!AD411-'19_Расчет_аналитики'!AD439)*IF('01_Вводные'!$B$239="Да",MeanMinAge04+'19_Расчет_аналитики'!AD560*SUMIF(ThresholdAge04,"&lt;"&amp;'19_Расчет_аналитики'!AD560,WeightedRevAge04)-SUMIF(ThresholdAge04,"&lt;"&amp;'19_Расчет_аналитики'!AD560,WeightedMinAge04),MAX(CapacityAge04*'01_Вводные'!$B$218*'19_Расчет_аналитики'!AD560,MeanMinAge04)))</f>
        <v/>
      </c>
      <c r="AE495">
        <f>IF(OR(('19_Расчет_аналитики'!AE411-'19_Расчет_аналитики'!AE439)=0,4&lt;='01_Вводные'!$B$297),0,('19_Расчет_аналитики'!AE411-'19_Расчет_аналитики'!AE439)*IF('01_Вводные'!$B$239="Да",MeanMinAge04+'19_Расчет_аналитики'!AE560*SUMIF(ThresholdAge04,"&lt;"&amp;'19_Расчет_аналитики'!AE560,WeightedRevAge04)-SUMIF(ThresholdAge04,"&lt;"&amp;'19_Расчет_аналитики'!AE560,WeightedMinAge04),MAX(CapacityAge04*'01_Вводные'!$B$218*'19_Расчет_аналитики'!AE560,MeanMinAge04)))</f>
        <v/>
      </c>
      <c r="AF495">
        <f>IF(OR(('19_Расчет_аналитики'!AF411-'19_Расчет_аналитики'!AF439)=0,4&lt;='01_Вводные'!$B$297),0,('19_Расчет_аналитики'!AF411-'19_Расчет_аналитики'!AF439)*IF('01_Вводные'!$B$239="Да",MeanMinAge04+'19_Расчет_аналитики'!AF560*SUMIF(ThresholdAge04,"&lt;"&amp;'19_Расчет_аналитики'!AF560,WeightedRevAge04)-SUMIF(ThresholdAge04,"&lt;"&amp;'19_Расчет_аналитики'!AF560,WeightedMinAge04),MAX(CapacityAge04*'01_Вводные'!$B$218*'19_Расчет_аналитики'!AF560,MeanMinAge04)))</f>
        <v/>
      </c>
      <c r="AG495">
        <f>IF(OR(('19_Расчет_аналитики'!AG411-'19_Расчет_аналитики'!AG439)=0,4&lt;='01_Вводные'!$B$297),0,('19_Расчет_аналитики'!AG411-'19_Расчет_аналитики'!AG439)*IF('01_Вводные'!$B$239="Да",MeanMinAge04+'19_Расчет_аналитики'!AG560*SUMIF(ThresholdAge04,"&lt;"&amp;'19_Расчет_аналитики'!AG560,WeightedRevAge04)-SUMIF(ThresholdAge04,"&lt;"&amp;'19_Расчет_аналитики'!AG560,WeightedMinAge04),MAX(CapacityAge04*'01_Вводные'!$B$218*'19_Расчет_аналитики'!AG560,MeanMinAge04)))</f>
        <v/>
      </c>
      <c r="AH495">
        <f>IF(OR(('19_Расчет_аналитики'!AH411-'19_Расчет_аналитики'!AH439)=0,4&lt;='01_Вводные'!$B$297),0,('19_Расчет_аналитики'!AH411-'19_Расчет_аналитики'!AH439)*IF('01_Вводные'!$B$239="Да",MeanMinAge04+'19_Расчет_аналитики'!AH560*SUMIF(ThresholdAge04,"&lt;"&amp;'19_Расчет_аналитики'!AH560,WeightedRevAge04)-SUMIF(ThresholdAge04,"&lt;"&amp;'19_Расчет_аналитики'!AH560,WeightedMinAge04),MAX(CapacityAge04*'01_Вводные'!$B$218*'19_Расчет_аналитики'!AH560,MeanMinAge04)))</f>
        <v/>
      </c>
      <c r="AI495">
        <f>IF(OR(('19_Расчет_аналитики'!AI411-'19_Расчет_аналитики'!AI439)=0,4&lt;='01_Вводные'!$B$297),0,('19_Расчет_аналитики'!AI411-'19_Расчет_аналитики'!AI439)*IF('01_Вводные'!$B$239="Да",MeanMinAge04+'19_Расчет_аналитики'!AI560*SUMIF(ThresholdAge04,"&lt;"&amp;'19_Расчет_аналитики'!AI560,WeightedRevAge04)-SUMIF(ThresholdAge04,"&lt;"&amp;'19_Расчет_аналитики'!AI560,WeightedMinAge04),MAX(CapacityAge04*'01_Вводные'!$B$218*'19_Расчет_аналитики'!AI560,MeanMinAge04)))</f>
        <v/>
      </c>
      <c r="AJ495">
        <f>IF(OR(('19_Расчет_аналитики'!AJ411-'19_Расчет_аналитики'!AJ439)=0,4&lt;='01_Вводные'!$B$297),0,('19_Расчет_аналитики'!AJ411-'19_Расчет_аналитики'!AJ439)*IF('01_Вводные'!$B$239="Да",MeanMinAge04+'19_Расчет_аналитики'!AJ560*SUMIF(ThresholdAge04,"&lt;"&amp;'19_Расчет_аналитики'!AJ560,WeightedRevAge04)-SUMIF(ThresholdAge04,"&lt;"&amp;'19_Расчет_аналитики'!AJ560,WeightedMinAge04),MAX(CapacityAge04*'01_Вводные'!$B$218*'19_Расчет_аналитики'!AJ560,MeanMinAge04)))</f>
        <v/>
      </c>
      <c r="AK495">
        <f>IF(OR(('19_Расчет_аналитики'!AK411-'19_Расчет_аналитики'!AK439)=0,4&lt;='01_Вводные'!$B$297),0,('19_Расчет_аналитики'!AK411-'19_Расчет_аналитики'!AK439)*IF('01_Вводные'!$B$239="Да",MeanMinAge04+'19_Расчет_аналитики'!AK560*SUMIF(ThresholdAge04,"&lt;"&amp;'19_Расчет_аналитики'!AK560,WeightedRevAge04)-SUMIF(ThresholdAge04,"&lt;"&amp;'19_Расчет_аналитики'!AK560,WeightedMinAge04),MAX(CapacityAge04*'01_Вводные'!$B$218*'19_Расчет_аналитики'!AK560,MeanMinAge04)))</f>
        <v/>
      </c>
      <c r="AL495">
        <f>IF(OR(('19_Расчет_аналитики'!AL411-'19_Расчет_аналитики'!AL439)=0,4&lt;='01_Вводные'!$B$297),0,('19_Расчет_аналитики'!AL411-'19_Расчет_аналитики'!AL439)*IF('01_Вводные'!$B$239="Да",MeanMinAge04+'19_Расчет_аналитики'!AL560*SUMIF(ThresholdAge04,"&lt;"&amp;'19_Расчет_аналитики'!AL560,WeightedRevAge04)-SUMIF(ThresholdAge04,"&lt;"&amp;'19_Расчет_аналитики'!AL560,WeightedMinAge04),MAX(CapacityAge04*'01_Вводные'!$B$218*'19_Расчет_аналитики'!AL560,MeanMinAge04)))</f>
        <v/>
      </c>
      <c r="AM495">
        <f>IF(OR(('19_Расчет_аналитики'!AM411-'19_Расчет_аналитики'!AM439)=0,4&lt;='01_Вводные'!$B$297),0,('19_Расчет_аналитики'!AM411-'19_Расчет_аналитики'!AM439)*IF('01_Вводные'!$B$239="Да",MeanMinAge04+'19_Расчет_аналитики'!AM560*SUMIF(ThresholdAge04,"&lt;"&amp;'19_Расчет_аналитики'!AM560,WeightedRevAge04)-SUMIF(ThresholdAge04,"&lt;"&amp;'19_Расчет_аналитики'!AM560,WeightedMinAge04),MAX(CapacityAge04*'01_Вводные'!$B$218*'19_Расчет_аналитики'!AM560,MeanMinAge04)))</f>
        <v/>
      </c>
      <c r="AN495">
        <f>IF(OR(('19_Расчет_аналитики'!AN411-'19_Расчет_аналитики'!AN439)=0,4&lt;='01_Вводные'!$B$297),0,('19_Расчет_аналитики'!AN411-'19_Расчет_аналитики'!AN439)*IF('01_Вводные'!$B$239="Да",MeanMinAge04+'19_Расчет_аналитики'!AN560*SUMIF(ThresholdAge04,"&lt;"&amp;'19_Расчет_аналитики'!AN560,WeightedRevAge04)-SUMIF(ThresholdAge04,"&lt;"&amp;'19_Расчет_аналитики'!AN560,WeightedMinAge04),MAX(CapacityAge04*'01_Вводные'!$B$218*'19_Расчет_аналитики'!AN560,MeanMinAge04)))</f>
        <v/>
      </c>
      <c r="AO495">
        <f>IF(OR(('19_Расчет_аналитики'!AO411-'19_Расчет_аналитики'!AO439)=0,4&lt;='01_Вводные'!$B$297),0,('19_Расчет_аналитики'!AO411-'19_Расчет_аналитики'!AO439)*IF('01_Вводные'!$B$239="Да",MeanMinAge04+'19_Расчет_аналитики'!AO560*SUMIF(ThresholdAge04,"&lt;"&amp;'19_Расчет_аналитики'!AO560,WeightedRevAge04)-SUMIF(ThresholdAge04,"&lt;"&amp;'19_Расчет_аналитики'!AO560,WeightedMinAge04),MAX(CapacityAge04*'01_Вводные'!$B$218*'19_Расчет_аналитики'!AO560,MeanMinAge04)))</f>
        <v/>
      </c>
      <c r="AP495">
        <f>IF(OR(('19_Расчет_аналитики'!AP411-'19_Расчет_аналитики'!AP439)=0,4&lt;='01_Вводные'!$B$297),0,('19_Расчет_аналитики'!AP411-'19_Расчет_аналитики'!AP439)*IF('01_Вводные'!$B$239="Да",MeanMinAge04+'19_Расчет_аналитики'!AP560*SUMIF(ThresholdAge04,"&lt;"&amp;'19_Расчет_аналитики'!AP560,WeightedRevAge04)-SUMIF(ThresholdAge04,"&lt;"&amp;'19_Расчет_аналитики'!AP560,WeightedMinAge04),MAX(CapacityAge04*'01_Вводные'!$B$218*'19_Расчет_аналитики'!AP560,MeanMinAge04)))</f>
        <v/>
      </c>
      <c r="AQ495">
        <f>IF(OR(('19_Расчет_аналитики'!AQ411-'19_Расчет_аналитики'!AQ439)=0,4&lt;='01_Вводные'!$B$297),0,('19_Расчет_аналитики'!AQ411-'19_Расчет_аналитики'!AQ439)*IF('01_Вводные'!$B$239="Да",MeanMinAge04+'19_Расчет_аналитики'!AQ560*SUMIF(ThresholdAge04,"&lt;"&amp;'19_Расчет_аналитики'!AQ560,WeightedRevAge04)-SUMIF(ThresholdAge04,"&lt;"&amp;'19_Расчет_аналитики'!AQ560,WeightedMinAge04),MAX(CapacityAge04*'01_Вводные'!$B$218*'19_Расчет_аналитики'!AQ560,MeanMinAge04)))</f>
        <v/>
      </c>
      <c r="AR495">
        <f>IF(OR(('19_Расчет_аналитики'!AR411-'19_Расчет_аналитики'!AR439)=0,4&lt;='01_Вводные'!$B$297),0,('19_Расчет_аналитики'!AR411-'19_Расчет_аналитики'!AR439)*IF('01_Вводные'!$B$239="Да",MeanMinAge04+'19_Расчет_аналитики'!AR560*SUMIF(ThresholdAge04,"&lt;"&amp;'19_Расчет_аналитики'!AR560,WeightedRevAge04)-SUMIF(ThresholdAge04,"&lt;"&amp;'19_Расчет_аналитики'!AR560,WeightedMinAge04),MAX(CapacityAge04*'01_Вводные'!$B$218*'19_Расчет_аналитики'!AR560,MeanMinAge04)))</f>
        <v/>
      </c>
      <c r="AS495">
        <f>IF(OR(('19_Расчет_аналитики'!AS411-'19_Расчет_аналитики'!AS439)=0,4&lt;='01_Вводные'!$B$297),0,('19_Расчет_аналитики'!AS411-'19_Расчет_аналитики'!AS439)*IF('01_Вводные'!$B$239="Да",MeanMinAge04+'19_Расчет_аналитики'!AS560*SUMIF(ThresholdAge04,"&lt;"&amp;'19_Расчет_аналитики'!AS560,WeightedRevAge04)-SUMIF(ThresholdAge04,"&lt;"&amp;'19_Расчет_аналитики'!AS560,WeightedMinAge04),MAX(CapacityAge04*'01_Вводные'!$B$218*'19_Расчет_аналитики'!AS560,MeanMinAge04)))</f>
        <v/>
      </c>
      <c r="AT495">
        <f>IF(OR(('19_Расчет_аналитики'!AT411-'19_Расчет_аналитики'!AT439)=0,4&lt;='01_Вводные'!$B$297),0,('19_Расчет_аналитики'!AT411-'19_Расчет_аналитики'!AT439)*IF('01_Вводные'!$B$239="Да",MeanMinAge04+'19_Расчет_аналитики'!AT560*SUMIF(ThresholdAge04,"&lt;"&amp;'19_Расчет_аналитики'!AT560,WeightedRevAge04)-SUMIF(ThresholdAge04,"&lt;"&amp;'19_Расчет_аналитики'!AT560,WeightedMinAge04),MAX(CapacityAge04*'01_Вводные'!$B$218*'19_Расчет_аналитики'!AT560,MeanMinAge04)))</f>
        <v/>
      </c>
      <c r="AU495">
        <f>IF(OR(('19_Расчет_аналитики'!AU411-'19_Расчет_аналитики'!AU439)=0,4&lt;='01_Вводные'!$B$297),0,('19_Расчет_аналитики'!AU411-'19_Расчет_аналитики'!AU439)*IF('01_Вводные'!$B$239="Да",MeanMinAge04+'19_Расчет_аналитики'!AU560*SUMIF(ThresholdAge04,"&lt;"&amp;'19_Расчет_аналитики'!AU560,WeightedRevAge04)-SUMIF(ThresholdAge04,"&lt;"&amp;'19_Расчет_аналитики'!AU560,WeightedMinAge04),MAX(CapacityAge04*'01_Вводные'!$B$218*'19_Расчет_аналитики'!AU560,MeanMinAge04)))</f>
        <v/>
      </c>
      <c r="AV495">
        <f>IF(OR(('19_Расчет_аналитики'!AV411-'19_Расчет_аналитики'!AV439)=0,4&lt;='01_Вводные'!$B$297),0,('19_Расчет_аналитики'!AV411-'19_Расчет_аналитики'!AV439)*IF('01_Вводные'!$B$239="Да",MeanMinAge04+'19_Расчет_аналитики'!AV560*SUMIF(ThresholdAge04,"&lt;"&amp;'19_Расчет_аналитики'!AV560,WeightedRevAge04)-SUMIF(ThresholdAge04,"&lt;"&amp;'19_Расчет_аналитики'!AV560,WeightedMinAge04),MAX(CapacityAge04*'01_Вводные'!$B$218*'19_Расчет_аналитики'!AV560,MeanMinAge04)))</f>
        <v/>
      </c>
      <c r="AW495">
        <f>IF(OR(('19_Расчет_аналитики'!AW411-'19_Расчет_аналитики'!AW439)=0,4&lt;='01_Вводные'!$B$297),0,('19_Расчет_аналитики'!AW411-'19_Расчет_аналитики'!AW439)*IF('01_Вводные'!$B$239="Да",MeanMinAge04+'19_Расчет_аналитики'!AW560*SUMIF(ThresholdAge04,"&lt;"&amp;'19_Расчет_аналитики'!AW560,WeightedRevAge04)-SUMIF(ThresholdAge04,"&lt;"&amp;'19_Расчет_аналитики'!AW560,WeightedMinAge04),MAX(CapacityAge04*'01_Вводные'!$B$218*'19_Расчет_аналитики'!AW560,MeanMinAge04)))</f>
        <v/>
      </c>
      <c r="AX495">
        <f>IF(OR(('19_Расчет_аналитики'!AX411-'19_Расчет_аналитики'!AX439)=0,4&lt;='01_Вводные'!$B$297),0,('19_Расчет_аналитики'!AX411-'19_Расчет_аналитики'!AX439)*IF('01_Вводные'!$B$239="Да",MeanMinAge04+'19_Расчет_аналитики'!AX560*SUMIF(ThresholdAge04,"&lt;"&amp;'19_Расчет_аналитики'!AX560,WeightedRevAge04)-SUMIF(ThresholdAge04,"&lt;"&amp;'19_Расчет_аналитики'!AX560,WeightedMinAge04),MAX(CapacityAge04*'01_Вводные'!$B$218*'19_Расчет_аналитики'!AX560,MeanMinAge04)))</f>
        <v/>
      </c>
      <c r="AY495">
        <f>IF(OR(('19_Расчет_аналитики'!AY411-'19_Расчет_аналитики'!AY439)=0,4&lt;='01_Вводные'!$B$297),0,('19_Расчет_аналитики'!AY411-'19_Расчет_аналитики'!AY439)*IF('01_Вводные'!$B$239="Да",MeanMinAge04+'19_Расчет_аналитики'!AY560*SUMIF(ThresholdAge04,"&lt;"&amp;'19_Расчет_аналитики'!AY560,WeightedRevAge04)-SUMIF(ThresholdAge04,"&lt;"&amp;'19_Расчет_аналитики'!AY560,WeightedMinAge04),MAX(CapacityAge04*'01_Вводные'!$B$218*'19_Расчет_аналитики'!AY560,MeanMinAge04)))</f>
        <v/>
      </c>
      <c r="AZ495">
        <f>IF(OR(('19_Расчет_аналитики'!AZ411-'19_Расчет_аналитики'!AZ439)=0,4&lt;='01_Вводные'!$B$297),0,('19_Расчет_аналитики'!AZ411-'19_Расчет_аналитики'!AZ439)*IF('01_Вводные'!$B$239="Да",MeanMinAge04+'19_Расчет_аналитики'!AZ560*SUMIF(ThresholdAge04,"&lt;"&amp;'19_Расчет_аналитики'!AZ560,WeightedRevAge04)-SUMIF(ThresholdAge04,"&lt;"&amp;'19_Расчет_аналитики'!AZ560,WeightedMinAge04),MAX(CapacityAge04*'01_Вводные'!$B$218*'19_Расчет_аналитики'!AZ560,MeanMinAge04)))</f>
        <v/>
      </c>
      <c r="BA495">
        <f>IF(OR(('19_Расчет_аналитики'!BA411-'19_Расчет_аналитики'!BA439)=0,4&lt;='01_Вводные'!$B$297),0,('19_Расчет_аналитики'!BA411-'19_Расчет_аналитики'!BA439)*IF('01_Вводные'!$B$239="Да",MeanMinAge04+'19_Расчет_аналитики'!BA560*SUMIF(ThresholdAge04,"&lt;"&amp;'19_Расчет_аналитики'!BA560,WeightedRevAge04)-SUMIF(ThresholdAge04,"&lt;"&amp;'19_Расчет_аналитики'!BA560,WeightedMinAge04),MAX(CapacityAge04*'01_Вводные'!$B$218*'19_Расчет_аналитики'!BA560,MeanMinAge04)))</f>
        <v/>
      </c>
      <c r="BB495">
        <f>IF(OR(('19_Расчет_аналитики'!BB411-'19_Расчет_аналитики'!BB439)=0,4&lt;='01_Вводные'!$B$297),0,('19_Расчет_аналитики'!BB411-'19_Расчет_аналитики'!BB439)*IF('01_Вводные'!$B$239="Да",MeanMinAge04+'19_Расчет_аналитики'!BB560*SUMIF(ThresholdAge04,"&lt;"&amp;'19_Расчет_аналитики'!BB560,WeightedRevAge04)-SUMIF(ThresholdAge04,"&lt;"&amp;'19_Расчет_аналитики'!BB560,WeightedMinAge04),MAX(CapacityAge04*'01_Вводные'!$B$218*'19_Расчет_аналитики'!BB560,MeanMinAge04)))</f>
        <v/>
      </c>
      <c r="BC495">
        <f>IF(OR(('19_Расчет_аналитики'!BC411-'19_Расчет_аналитики'!BC439)=0,4&lt;='01_Вводные'!$B$297),0,('19_Расчет_аналитики'!BC411-'19_Расчет_аналитики'!BC439)*IF('01_Вводные'!$B$239="Да",MeanMinAge04+'19_Расчет_аналитики'!BC560*SUMIF(ThresholdAge04,"&lt;"&amp;'19_Расчет_аналитики'!BC560,WeightedRevAge04)-SUMIF(ThresholdAge04,"&lt;"&amp;'19_Расчет_аналитики'!BC560,WeightedMinAge04),MAX(CapacityAge04*'01_Вводные'!$B$218*'19_Расчет_аналитики'!BC560,MeanMinAge04)))</f>
        <v/>
      </c>
      <c r="BD495">
        <f>IF(OR(('19_Расчет_аналитики'!BD411-'19_Расчет_аналитики'!BD439)=0,4&lt;='01_Вводные'!$B$297),0,('19_Расчет_аналитики'!BD411-'19_Расчет_аналитики'!BD439)*IF('01_Вводные'!$B$239="Да",MeanMinAge04+'19_Расчет_аналитики'!BD560*SUMIF(ThresholdAge04,"&lt;"&amp;'19_Расчет_аналитики'!BD560,WeightedRevAge04)-SUMIF(ThresholdAge04,"&lt;"&amp;'19_Расчет_аналитики'!BD560,WeightedMinAge04),MAX(CapacityAge04*'01_Вводные'!$B$218*'19_Расчет_аналитики'!BD560,MeanMinAge04)))</f>
        <v/>
      </c>
      <c r="BE495">
        <f>IF(OR(('19_Расчет_аналитики'!BE411-'19_Расчет_аналитики'!BE439)=0,4&lt;='01_Вводные'!$B$297),0,('19_Расчет_аналитики'!BE411-'19_Расчет_аналитики'!BE439)*IF('01_Вводные'!$B$239="Да",MeanMinAge04+'19_Расчет_аналитики'!BE560*SUMIF(ThresholdAge04,"&lt;"&amp;'19_Расчет_аналитики'!BE560,WeightedRevAge04)-SUMIF(ThresholdAge04,"&lt;"&amp;'19_Расчет_аналитики'!BE560,WeightedMinAge04),MAX(CapacityAge04*'01_Вводные'!$B$218*'19_Расчет_аналитики'!BE560,MeanMinAge04)))</f>
        <v/>
      </c>
      <c r="BF495">
        <f>IF(OR(('19_Расчет_аналитики'!BF411-'19_Расчет_аналитики'!BF439)=0,4&lt;='01_Вводные'!$B$297),0,('19_Расчет_аналитики'!BF411-'19_Расчет_аналитики'!BF439)*IF('01_Вводные'!$B$239="Да",MeanMinAge04+'19_Расчет_аналитики'!BF560*SUMIF(ThresholdAge04,"&lt;"&amp;'19_Расчет_аналитики'!BF560,WeightedRevAge04)-SUMIF(ThresholdAge04,"&lt;"&amp;'19_Расчет_аналитики'!BF560,WeightedMinAge04),MAX(CapacityAge04*'01_Вводные'!$B$218*'19_Расчет_аналитики'!BF560,MeanMinAge04)))</f>
        <v/>
      </c>
      <c r="BG495">
        <f>IF(OR(('19_Расчет_аналитики'!BG411-'19_Расчет_аналитики'!BG439)=0,4&lt;='01_Вводные'!$B$297),0,('19_Расчет_аналитики'!BG411-'19_Расчет_аналитики'!BG439)*IF('01_Вводные'!$B$239="Да",MeanMinAge04+'19_Расчет_аналитики'!BG560*SUMIF(ThresholdAge04,"&lt;"&amp;'19_Расчет_аналитики'!BG560,WeightedRevAge04)-SUMIF(ThresholdAge04,"&lt;"&amp;'19_Расчет_аналитики'!BG560,WeightedMinAge04),MAX(CapacityAge04*'01_Вводные'!$B$218*'19_Расчет_аналитики'!BG560,MeanMinAge04)))</f>
        <v/>
      </c>
      <c r="BH495">
        <f>IF(OR(('19_Расчет_аналитики'!BH411-'19_Расчет_аналитики'!BH439)=0,4&lt;='01_Вводные'!$B$297),0,('19_Расчет_аналитики'!BH411-'19_Расчет_аналитики'!BH439)*IF('01_Вводные'!$B$239="Да",MeanMinAge04+'19_Расчет_аналитики'!BH560*SUMIF(ThresholdAge04,"&lt;"&amp;'19_Расчет_аналитики'!BH560,WeightedRevAge04)-SUMIF(ThresholdAge04,"&lt;"&amp;'19_Расчет_аналитики'!BH560,WeightedMinAge04),MAX(CapacityAge04*'01_Вводные'!$B$218*'19_Расчет_аналитики'!BH560,MeanMinAge04)))</f>
        <v/>
      </c>
      <c r="BI495">
        <f>IF(OR(('19_Расчет_аналитики'!BI411-'19_Расчет_аналитики'!BI439)=0,4&lt;='01_Вводные'!$B$297),0,('19_Расчет_аналитики'!BI411-'19_Расчет_аналитики'!BI439)*IF('01_Вводные'!$B$239="Да",MeanMinAge04+'19_Расчет_аналитики'!BI560*SUMIF(ThresholdAge04,"&lt;"&amp;'19_Расчет_аналитики'!BI560,WeightedRevAge04)-SUMIF(ThresholdAge04,"&lt;"&amp;'19_Расчет_аналитики'!BI560,WeightedMinAge04),MAX(CapacityAge04*'01_Вводные'!$B$218*'19_Расчет_аналитики'!BI560,MeanMinAge04)))</f>
        <v/>
      </c>
      <c r="BJ495">
        <f>IF(OR(('19_Расчет_аналитики'!BJ411-'19_Расчет_аналитики'!BJ439)=0,4&lt;='01_Вводные'!$B$297),0,('19_Расчет_аналитики'!BJ411-'19_Расчет_аналитики'!BJ439)*IF('01_Вводные'!$B$239="Да",MeanMinAge04+'19_Расчет_аналитики'!BJ560*SUMIF(ThresholdAge04,"&lt;"&amp;'19_Расчет_аналитики'!BJ560,WeightedRevAge04)-SUMIF(ThresholdAge04,"&lt;"&amp;'19_Расчет_аналитики'!BJ560,WeightedMinAge04),MAX(CapacityAge04*'01_Вводные'!$B$218*'19_Расчет_аналитики'!BJ560,MeanMinAge04)))</f>
        <v/>
      </c>
      <c r="BK495">
        <f>IF(OR(('19_Расчет_аналитики'!BK411-'19_Расчет_аналитики'!BK439)=0,4&lt;='01_Вводные'!$B$297),0,('19_Расчет_аналитики'!BK411-'19_Расчет_аналитики'!BK439)*IF('01_Вводные'!$B$239="Да",MeanMinAge04+'19_Расчет_аналитики'!BK560*SUMIF(ThresholdAge04,"&lt;"&amp;'19_Расчет_аналитики'!BK560,WeightedRevAge04)-SUMIF(ThresholdAge04,"&lt;"&amp;'19_Расчет_аналитики'!BK560,WeightedMinAge04),MAX(CapacityAge04*'01_Вводные'!$B$218*'19_Расчет_аналитики'!BK560,MeanMinAge04)))</f>
        <v/>
      </c>
      <c r="BL495">
        <f>IF(OR(('19_Расчет_аналитики'!BL411-'19_Расчет_аналитики'!BL439)=0,4&lt;='01_Вводные'!$B$297),0,('19_Расчет_аналитики'!BL411-'19_Расчет_аналитики'!BL439)*IF('01_Вводные'!$B$239="Да",MeanMinAge04+'19_Расчет_аналитики'!BL560*SUMIF(ThresholdAge04,"&lt;"&amp;'19_Расчет_аналитики'!BL560,WeightedRevAge04)-SUMIF(ThresholdAge04,"&lt;"&amp;'19_Расчет_аналитики'!BL560,WeightedMinAge04),MAX(CapacityAge04*'01_Вводные'!$B$218*'19_Расчет_аналитики'!BL560,MeanMinAge04)))</f>
        <v/>
      </c>
      <c r="BM495">
        <f>IF(OR(('19_Расчет_аналитики'!BM411-'19_Расчет_аналитики'!BM439)=0,4&lt;='01_Вводные'!$B$297),0,('19_Расчет_аналитики'!BM411-'19_Расчет_аналитики'!BM439)*IF('01_Вводные'!$B$239="Да",MeanMinAge04+'19_Расчет_аналитики'!BM560*SUMIF(ThresholdAge04,"&lt;"&amp;'19_Расчет_аналитики'!BM560,WeightedRevAge04)-SUMIF(ThresholdAge04,"&lt;"&amp;'19_Расчет_аналитики'!BM560,WeightedMinAge04),MAX(CapacityAge04*'01_Вводные'!$B$218*'19_Расчет_аналитики'!BM560,MeanMinAge04)))</f>
        <v/>
      </c>
      <c r="BN495">
        <f>IF(OR(('19_Расчет_аналитики'!BN411-'19_Расчет_аналитики'!BN439)=0,4&lt;='01_Вводные'!$B$297),0,('19_Расчет_аналитики'!BN411-'19_Расчет_аналитики'!BN439)*IF('01_Вводные'!$B$239="Да",MeanMinAge04+'19_Расчет_аналитики'!BN560*SUMIF(ThresholdAge04,"&lt;"&amp;'19_Расчет_аналитики'!BN560,WeightedRevAge04)-SUMIF(ThresholdAge04,"&lt;"&amp;'19_Расчет_аналитики'!BN560,WeightedMinAge04),MAX(CapacityAge04*'01_Вводные'!$B$218*'19_Расчет_аналитики'!BN560,MeanMinAge04)))</f>
        <v/>
      </c>
      <c r="BO495">
        <f>IF(OR(('19_Расчет_аналитики'!BO411-'19_Расчет_аналитики'!BO439)=0,4&lt;='01_Вводные'!$B$297),0,('19_Расчет_аналитики'!BO411-'19_Расчет_аналитики'!BO439)*IF('01_Вводные'!$B$239="Да",MeanMinAge04+'19_Расчет_аналитики'!BO560*SUMIF(ThresholdAge04,"&lt;"&amp;'19_Расчет_аналитики'!BO560,WeightedRevAge04)-SUMIF(ThresholdAge04,"&lt;"&amp;'19_Расчет_аналитики'!BO560,WeightedMinAge04),MAX(CapacityAge04*'01_Вводные'!$B$218*'19_Расчет_аналитики'!BO560,MeanMinAge04)))</f>
        <v/>
      </c>
    </row>
    <row r="496">
      <c r="B496">
        <f>IF(OR(('06_Сеть_и_дети'!B57-'06_Сеть_и_дети'!B85)=0,5&lt;='01_Вводные'!$B$297),0,('06_Сеть_и_дети'!B57-'06_Сеть_и_дети'!B85)*IF('01_Вводные'!$B$239="Да",MeanMinAge05+'19_Расчет_аналитики'!B560*SUMIF(ThresholdAge05,"&lt;"&amp;'19_Расчет_аналитики'!B560,WeightedRevAge05)-SUMIF(ThresholdAge05,"&lt;"&amp;'19_Расчет_аналитики'!B560,WeightedMinAge05),MAX(CapacityAge05*'01_Вводные'!$B$218*'19_Расчет_аналитики'!B560,MeanMinAge05)))</f>
        <v/>
      </c>
      <c r="C496">
        <f>IF(OR(('06_Сеть_и_дети'!C57-'06_Сеть_и_дети'!C85)=0,5&lt;='01_Вводные'!$B$297),0,('06_Сеть_и_дети'!C57-'06_Сеть_и_дети'!C85)*IF('01_Вводные'!$B$239="Да",MeanMinAge05+'19_Расчет_аналитики'!C560*SUMIF(ThresholdAge05,"&lt;"&amp;'19_Расчет_аналитики'!C560,WeightedRevAge05)-SUMIF(ThresholdAge05,"&lt;"&amp;'19_Расчет_аналитики'!C560,WeightedMinAge05),MAX(CapacityAge05*'01_Вводные'!$B$218*'19_Расчет_аналитики'!C560,MeanMinAge05)))</f>
        <v/>
      </c>
      <c r="D496">
        <f>IF(OR(('06_Сеть_и_дети'!D57-'06_Сеть_и_дети'!D85)=0,5&lt;='01_Вводные'!$B$297),0,('06_Сеть_и_дети'!D57-'06_Сеть_и_дети'!D85)*IF('01_Вводные'!$B$239="Да",MeanMinAge05+'19_Расчет_аналитики'!D560*SUMIF(ThresholdAge05,"&lt;"&amp;'19_Расчет_аналитики'!D560,WeightedRevAge05)-SUMIF(ThresholdAge05,"&lt;"&amp;'19_Расчет_аналитики'!D560,WeightedMinAge05),MAX(CapacityAge05*'01_Вводные'!$B$218*'19_Расчет_аналитики'!D560,MeanMinAge05)))</f>
        <v/>
      </c>
      <c r="E496">
        <f>IF(OR(('06_Сеть_и_дети'!E57-'06_Сеть_и_дети'!E85)=0,5&lt;='01_Вводные'!$B$297),0,('06_Сеть_и_дети'!E57-'06_Сеть_и_дети'!E85)*IF('01_Вводные'!$B$239="Да",MeanMinAge05+'19_Расчет_аналитики'!E560*SUMIF(ThresholdAge05,"&lt;"&amp;'19_Расчет_аналитики'!E560,WeightedRevAge05)-SUMIF(ThresholdAge05,"&lt;"&amp;'19_Расчет_аналитики'!E560,WeightedMinAge05),MAX(CapacityAge05*'01_Вводные'!$B$218*'19_Расчет_аналитики'!E560,MeanMinAge05)))</f>
        <v/>
      </c>
      <c r="F496">
        <f>IF(OR(('19_Расчет_аналитики'!F412-'19_Расчет_аналитики'!F440)=0,5&lt;='01_Вводные'!$B$297),0,('19_Расчет_аналитики'!F412-'19_Расчет_аналитики'!F440)*IF('01_Вводные'!$B$239="Да",MeanMinAge05+'19_Расчет_аналитики'!F560*SUMIF(ThresholdAge05,"&lt;"&amp;'19_Расчет_аналитики'!F560,WeightedRevAge05)-SUMIF(ThresholdAge05,"&lt;"&amp;'19_Расчет_аналитики'!F560,WeightedMinAge05),MAX(CapacityAge05*'01_Вводные'!$B$218*'19_Расчет_аналитики'!F560,MeanMinAge05)))</f>
        <v/>
      </c>
      <c r="G496">
        <f>IF(OR(('19_Расчет_аналитики'!G412-'19_Расчет_аналитики'!G440)=0,5&lt;='01_Вводные'!$B$297),0,('19_Расчет_аналитики'!G412-'19_Расчет_аналитики'!G440)*IF('01_Вводные'!$B$239="Да",MeanMinAge05+'19_Расчет_аналитики'!G560*SUMIF(ThresholdAge05,"&lt;"&amp;'19_Расчет_аналитики'!G560,WeightedRevAge05)-SUMIF(ThresholdAge05,"&lt;"&amp;'19_Расчет_аналитики'!G560,WeightedMinAge05),MAX(CapacityAge05*'01_Вводные'!$B$218*'19_Расчет_аналитики'!G560,MeanMinAge05)))</f>
        <v/>
      </c>
      <c r="H496">
        <f>IF(OR(('19_Расчет_аналитики'!H412-'19_Расчет_аналитики'!H440)=0,5&lt;='01_Вводные'!$B$297),0,('19_Расчет_аналитики'!H412-'19_Расчет_аналитики'!H440)*IF('01_Вводные'!$B$239="Да",MeanMinAge05+'19_Расчет_аналитики'!H560*SUMIF(ThresholdAge05,"&lt;"&amp;'19_Расчет_аналитики'!H560,WeightedRevAge05)-SUMIF(ThresholdAge05,"&lt;"&amp;'19_Расчет_аналитики'!H560,WeightedMinAge05),MAX(CapacityAge05*'01_Вводные'!$B$218*'19_Расчет_аналитики'!H560,MeanMinAge05)))</f>
        <v/>
      </c>
      <c r="I496">
        <f>IF(OR(('19_Расчет_аналитики'!I412-'19_Расчет_аналитики'!I440)=0,5&lt;='01_Вводные'!$B$297),0,('19_Расчет_аналитики'!I412-'19_Расчет_аналитики'!I440)*IF('01_Вводные'!$B$239="Да",MeanMinAge05+'19_Расчет_аналитики'!I560*SUMIF(ThresholdAge05,"&lt;"&amp;'19_Расчет_аналитики'!I560,WeightedRevAge05)-SUMIF(ThresholdAge05,"&lt;"&amp;'19_Расчет_аналитики'!I560,WeightedMinAge05),MAX(CapacityAge05*'01_Вводные'!$B$218*'19_Расчет_аналитики'!I560,MeanMinAge05)))</f>
        <v/>
      </c>
      <c r="J496">
        <f>IF(OR(('19_Расчет_аналитики'!J412-'19_Расчет_аналитики'!J440)=0,5&lt;='01_Вводные'!$B$297),0,('19_Расчет_аналитики'!J412-'19_Расчет_аналитики'!J440)*IF('01_Вводные'!$B$239="Да",MeanMinAge05+'19_Расчет_аналитики'!J560*SUMIF(ThresholdAge05,"&lt;"&amp;'19_Расчет_аналитики'!J560,WeightedRevAge05)-SUMIF(ThresholdAge05,"&lt;"&amp;'19_Расчет_аналитики'!J560,WeightedMinAge05),MAX(CapacityAge05*'01_Вводные'!$B$218*'19_Расчет_аналитики'!J560,MeanMinAge05)))</f>
        <v/>
      </c>
      <c r="K496">
        <f>IF(OR(('19_Расчет_аналитики'!K412-'19_Расчет_аналитики'!K440)=0,5&lt;='01_Вводные'!$B$297),0,('19_Расчет_аналитики'!K412-'19_Расчет_аналитики'!K440)*IF('01_Вводные'!$B$239="Да",MeanMinAge05+'19_Расчет_аналитики'!K560*SUMIF(ThresholdAge05,"&lt;"&amp;'19_Расчет_аналитики'!K560,WeightedRevAge05)-SUMIF(ThresholdAge05,"&lt;"&amp;'19_Расчет_аналитики'!K560,WeightedMinAge05),MAX(CapacityAge05*'01_Вводные'!$B$218*'19_Расчет_аналитики'!K560,MeanMinAge05)))</f>
        <v/>
      </c>
      <c r="L496">
        <f>IF(OR(('19_Расчет_аналитики'!L412-'19_Расчет_аналитики'!L440)=0,5&lt;='01_Вводные'!$B$297),0,('19_Расчет_аналитики'!L412-'19_Расчет_аналитики'!L440)*IF('01_Вводные'!$B$239="Да",MeanMinAge05+'19_Расчет_аналитики'!L560*SUMIF(ThresholdAge05,"&lt;"&amp;'19_Расчет_аналитики'!L560,WeightedRevAge05)-SUMIF(ThresholdAge05,"&lt;"&amp;'19_Расчет_аналитики'!L560,WeightedMinAge05),MAX(CapacityAge05*'01_Вводные'!$B$218*'19_Расчет_аналитики'!L560,MeanMinAge05)))</f>
        <v/>
      </c>
      <c r="M496">
        <f>IF(OR(('19_Расчет_аналитики'!M412-'19_Расчет_аналитики'!M440)=0,5&lt;='01_Вводные'!$B$297),0,('19_Расчет_аналитики'!M412-'19_Расчет_аналитики'!M440)*IF('01_Вводные'!$B$239="Да",MeanMinAge05+'19_Расчет_аналитики'!M560*SUMIF(ThresholdAge05,"&lt;"&amp;'19_Расчет_аналитики'!M560,WeightedRevAge05)-SUMIF(ThresholdAge05,"&lt;"&amp;'19_Расчет_аналитики'!M560,WeightedMinAge05),MAX(CapacityAge05*'01_Вводные'!$B$218*'19_Расчет_аналитики'!M560,MeanMinAge05)))</f>
        <v/>
      </c>
      <c r="N496">
        <f>IF(OR(('19_Расчет_аналитики'!N412-'19_Расчет_аналитики'!N440)=0,5&lt;='01_Вводные'!$B$297),0,('19_Расчет_аналитики'!N412-'19_Расчет_аналитики'!N440)*IF('01_Вводные'!$B$239="Да",MeanMinAge05+'19_Расчет_аналитики'!N560*SUMIF(ThresholdAge05,"&lt;"&amp;'19_Расчет_аналитики'!N560,WeightedRevAge05)-SUMIF(ThresholdAge05,"&lt;"&amp;'19_Расчет_аналитики'!N560,WeightedMinAge05),MAX(CapacityAge05*'01_Вводные'!$B$218*'19_Расчет_аналитики'!N560,MeanMinAge05)))</f>
        <v/>
      </c>
      <c r="O496">
        <f>IF(OR(('19_Расчет_аналитики'!O412-'19_Расчет_аналитики'!O440)=0,5&lt;='01_Вводные'!$B$297),0,('19_Расчет_аналитики'!O412-'19_Расчет_аналитики'!O440)*IF('01_Вводные'!$B$239="Да",MeanMinAge05+'19_Расчет_аналитики'!O560*SUMIF(ThresholdAge05,"&lt;"&amp;'19_Расчет_аналитики'!O560,WeightedRevAge05)-SUMIF(ThresholdAge05,"&lt;"&amp;'19_Расчет_аналитики'!O560,WeightedMinAge05),MAX(CapacityAge05*'01_Вводные'!$B$218*'19_Расчет_аналитики'!O560,MeanMinAge05)))</f>
        <v/>
      </c>
      <c r="P496">
        <f>IF(OR(('19_Расчет_аналитики'!P412-'19_Расчет_аналитики'!P440)=0,5&lt;='01_Вводные'!$B$297),0,('19_Расчет_аналитики'!P412-'19_Расчет_аналитики'!P440)*IF('01_Вводные'!$B$239="Да",MeanMinAge05+'19_Расчет_аналитики'!P560*SUMIF(ThresholdAge05,"&lt;"&amp;'19_Расчет_аналитики'!P560,WeightedRevAge05)-SUMIF(ThresholdAge05,"&lt;"&amp;'19_Расчет_аналитики'!P560,WeightedMinAge05),MAX(CapacityAge05*'01_Вводные'!$B$218*'19_Расчет_аналитики'!P560,MeanMinAge05)))</f>
        <v/>
      </c>
      <c r="Q496">
        <f>IF(OR(('19_Расчет_аналитики'!Q412-'19_Расчет_аналитики'!Q440)=0,5&lt;='01_Вводные'!$B$297),0,('19_Расчет_аналитики'!Q412-'19_Расчет_аналитики'!Q440)*IF('01_Вводные'!$B$239="Да",MeanMinAge05+'19_Расчет_аналитики'!Q560*SUMIF(ThresholdAge05,"&lt;"&amp;'19_Расчет_аналитики'!Q560,WeightedRevAge05)-SUMIF(ThresholdAge05,"&lt;"&amp;'19_Расчет_аналитики'!Q560,WeightedMinAge05),MAX(CapacityAge05*'01_Вводные'!$B$218*'19_Расчет_аналитики'!Q560,MeanMinAge05)))</f>
        <v/>
      </c>
      <c r="R496">
        <f>IF(OR(('19_Расчет_аналитики'!R412-'19_Расчет_аналитики'!R440)=0,5&lt;='01_Вводные'!$B$297),0,('19_Расчет_аналитики'!R412-'19_Расчет_аналитики'!R440)*IF('01_Вводные'!$B$239="Да",MeanMinAge05+'19_Расчет_аналитики'!R560*SUMIF(ThresholdAge05,"&lt;"&amp;'19_Расчет_аналитики'!R560,WeightedRevAge05)-SUMIF(ThresholdAge05,"&lt;"&amp;'19_Расчет_аналитики'!R560,WeightedMinAge05),MAX(CapacityAge05*'01_Вводные'!$B$218*'19_Расчет_аналитики'!R560,MeanMinAge05)))</f>
        <v/>
      </c>
      <c r="S496">
        <f>IF(OR(('19_Расчет_аналитики'!S412-'19_Расчет_аналитики'!S440)=0,5&lt;='01_Вводные'!$B$297),0,('19_Расчет_аналитики'!S412-'19_Расчет_аналитики'!S440)*IF('01_Вводные'!$B$239="Да",MeanMinAge05+'19_Расчет_аналитики'!S560*SUMIF(ThresholdAge05,"&lt;"&amp;'19_Расчет_аналитики'!S560,WeightedRevAge05)-SUMIF(ThresholdAge05,"&lt;"&amp;'19_Расчет_аналитики'!S560,WeightedMinAge05),MAX(CapacityAge05*'01_Вводные'!$B$218*'19_Расчет_аналитики'!S560,MeanMinAge05)))</f>
        <v/>
      </c>
      <c r="T496">
        <f>IF(OR(('19_Расчет_аналитики'!T412-'19_Расчет_аналитики'!T440)=0,5&lt;='01_Вводные'!$B$297),0,('19_Расчет_аналитики'!T412-'19_Расчет_аналитики'!T440)*IF('01_Вводные'!$B$239="Да",MeanMinAge05+'19_Расчет_аналитики'!T560*SUMIF(ThresholdAge05,"&lt;"&amp;'19_Расчет_аналитики'!T560,WeightedRevAge05)-SUMIF(ThresholdAge05,"&lt;"&amp;'19_Расчет_аналитики'!T560,WeightedMinAge05),MAX(CapacityAge05*'01_Вводные'!$B$218*'19_Расчет_аналитики'!T560,MeanMinAge05)))</f>
        <v/>
      </c>
      <c r="U496">
        <f>IF(OR(('19_Расчет_аналитики'!U412-'19_Расчет_аналитики'!U440)=0,5&lt;='01_Вводные'!$B$297),0,('19_Расчет_аналитики'!U412-'19_Расчет_аналитики'!U440)*IF('01_Вводные'!$B$239="Да",MeanMinAge05+'19_Расчет_аналитики'!U560*SUMIF(ThresholdAge05,"&lt;"&amp;'19_Расчет_аналитики'!U560,WeightedRevAge05)-SUMIF(ThresholdAge05,"&lt;"&amp;'19_Расчет_аналитики'!U560,WeightedMinAge05),MAX(CapacityAge05*'01_Вводные'!$B$218*'19_Расчет_аналитики'!U560,MeanMinAge05)))</f>
        <v/>
      </c>
      <c r="V496">
        <f>IF(OR(('19_Расчет_аналитики'!V412-'19_Расчет_аналитики'!V440)=0,5&lt;='01_Вводные'!$B$297),0,('19_Расчет_аналитики'!V412-'19_Расчет_аналитики'!V440)*IF('01_Вводные'!$B$239="Да",MeanMinAge05+'19_Расчет_аналитики'!V560*SUMIF(ThresholdAge05,"&lt;"&amp;'19_Расчет_аналитики'!V560,WeightedRevAge05)-SUMIF(ThresholdAge05,"&lt;"&amp;'19_Расчет_аналитики'!V560,WeightedMinAge05),MAX(CapacityAge05*'01_Вводные'!$B$218*'19_Расчет_аналитики'!V560,MeanMinAge05)))</f>
        <v/>
      </c>
      <c r="W496">
        <f>IF(OR(('19_Расчет_аналитики'!W412-'19_Расчет_аналитики'!W440)=0,5&lt;='01_Вводные'!$B$297),0,('19_Расчет_аналитики'!W412-'19_Расчет_аналитики'!W440)*IF('01_Вводные'!$B$239="Да",MeanMinAge05+'19_Расчет_аналитики'!W560*SUMIF(ThresholdAge05,"&lt;"&amp;'19_Расчет_аналитики'!W560,WeightedRevAge05)-SUMIF(ThresholdAge05,"&lt;"&amp;'19_Расчет_аналитики'!W560,WeightedMinAge05),MAX(CapacityAge05*'01_Вводные'!$B$218*'19_Расчет_аналитики'!W560,MeanMinAge05)))</f>
        <v/>
      </c>
      <c r="X496">
        <f>IF(OR(('19_Расчет_аналитики'!X412-'19_Расчет_аналитики'!X440)=0,5&lt;='01_Вводные'!$B$297),0,('19_Расчет_аналитики'!X412-'19_Расчет_аналитики'!X440)*IF('01_Вводные'!$B$239="Да",MeanMinAge05+'19_Расчет_аналитики'!X560*SUMIF(ThresholdAge05,"&lt;"&amp;'19_Расчет_аналитики'!X560,WeightedRevAge05)-SUMIF(ThresholdAge05,"&lt;"&amp;'19_Расчет_аналитики'!X560,WeightedMinAge05),MAX(CapacityAge05*'01_Вводные'!$B$218*'19_Расчет_аналитики'!X560,MeanMinAge05)))</f>
        <v/>
      </c>
      <c r="Y496">
        <f>IF(OR(('19_Расчет_аналитики'!Y412-'19_Расчет_аналитики'!Y440)=0,5&lt;='01_Вводные'!$B$297),0,('19_Расчет_аналитики'!Y412-'19_Расчет_аналитики'!Y440)*IF('01_Вводные'!$B$239="Да",MeanMinAge05+'19_Расчет_аналитики'!Y560*SUMIF(ThresholdAge05,"&lt;"&amp;'19_Расчет_аналитики'!Y560,WeightedRevAge05)-SUMIF(ThresholdAge05,"&lt;"&amp;'19_Расчет_аналитики'!Y560,WeightedMinAge05),MAX(CapacityAge05*'01_Вводные'!$B$218*'19_Расчет_аналитики'!Y560,MeanMinAge05)))</f>
        <v/>
      </c>
      <c r="Z496">
        <f>IF(OR(('19_Расчет_аналитики'!Z412-'19_Расчет_аналитики'!Z440)=0,5&lt;='01_Вводные'!$B$297),0,('19_Расчет_аналитики'!Z412-'19_Расчет_аналитики'!Z440)*IF('01_Вводные'!$B$239="Да",MeanMinAge05+'19_Расчет_аналитики'!Z560*SUMIF(ThresholdAge05,"&lt;"&amp;'19_Расчет_аналитики'!Z560,WeightedRevAge05)-SUMIF(ThresholdAge05,"&lt;"&amp;'19_Расчет_аналитики'!Z560,WeightedMinAge05),MAX(CapacityAge05*'01_Вводные'!$B$218*'19_Расчет_аналитики'!Z560,MeanMinAge05)))</f>
        <v/>
      </c>
      <c r="AA496">
        <f>IF(OR(('19_Расчет_аналитики'!AA412-'19_Расчет_аналитики'!AA440)=0,5&lt;='01_Вводные'!$B$297),0,('19_Расчет_аналитики'!AA412-'19_Расчет_аналитики'!AA440)*IF('01_Вводные'!$B$239="Да",MeanMinAge05+'19_Расчет_аналитики'!AA560*SUMIF(ThresholdAge05,"&lt;"&amp;'19_Расчет_аналитики'!AA560,WeightedRevAge05)-SUMIF(ThresholdAge05,"&lt;"&amp;'19_Расчет_аналитики'!AA560,WeightedMinAge05),MAX(CapacityAge05*'01_Вводные'!$B$218*'19_Расчет_аналитики'!AA560,MeanMinAge05)))</f>
        <v/>
      </c>
      <c r="AB496">
        <f>IF(OR(('19_Расчет_аналитики'!AB412-'19_Расчет_аналитики'!AB440)=0,5&lt;='01_Вводные'!$B$297),0,('19_Расчет_аналитики'!AB412-'19_Расчет_аналитики'!AB440)*IF('01_Вводные'!$B$239="Да",MeanMinAge05+'19_Расчет_аналитики'!AB560*SUMIF(ThresholdAge05,"&lt;"&amp;'19_Расчет_аналитики'!AB560,WeightedRevAge05)-SUMIF(ThresholdAge05,"&lt;"&amp;'19_Расчет_аналитики'!AB560,WeightedMinAge05),MAX(CapacityAge05*'01_Вводные'!$B$218*'19_Расчет_аналитики'!AB560,MeanMinAge05)))</f>
        <v/>
      </c>
      <c r="AC496">
        <f>IF(OR(('19_Расчет_аналитики'!AC412-'19_Расчет_аналитики'!AC440)=0,5&lt;='01_Вводные'!$B$297),0,('19_Расчет_аналитики'!AC412-'19_Расчет_аналитики'!AC440)*IF('01_Вводные'!$B$239="Да",MeanMinAge05+'19_Расчет_аналитики'!AC560*SUMIF(ThresholdAge05,"&lt;"&amp;'19_Расчет_аналитики'!AC560,WeightedRevAge05)-SUMIF(ThresholdAge05,"&lt;"&amp;'19_Расчет_аналитики'!AC560,WeightedMinAge05),MAX(CapacityAge05*'01_Вводные'!$B$218*'19_Расчет_аналитики'!AC560,MeanMinAge05)))</f>
        <v/>
      </c>
      <c r="AD496">
        <f>IF(OR(('19_Расчет_аналитики'!AD412-'19_Расчет_аналитики'!AD440)=0,5&lt;='01_Вводные'!$B$297),0,('19_Расчет_аналитики'!AD412-'19_Расчет_аналитики'!AD440)*IF('01_Вводные'!$B$239="Да",MeanMinAge05+'19_Расчет_аналитики'!AD560*SUMIF(ThresholdAge05,"&lt;"&amp;'19_Расчет_аналитики'!AD560,WeightedRevAge05)-SUMIF(ThresholdAge05,"&lt;"&amp;'19_Расчет_аналитики'!AD560,WeightedMinAge05),MAX(CapacityAge05*'01_Вводные'!$B$218*'19_Расчет_аналитики'!AD560,MeanMinAge05)))</f>
        <v/>
      </c>
      <c r="AE496">
        <f>IF(OR(('19_Расчет_аналитики'!AE412-'19_Расчет_аналитики'!AE440)=0,5&lt;='01_Вводные'!$B$297),0,('19_Расчет_аналитики'!AE412-'19_Расчет_аналитики'!AE440)*IF('01_Вводные'!$B$239="Да",MeanMinAge05+'19_Расчет_аналитики'!AE560*SUMIF(ThresholdAge05,"&lt;"&amp;'19_Расчет_аналитики'!AE560,WeightedRevAge05)-SUMIF(ThresholdAge05,"&lt;"&amp;'19_Расчет_аналитики'!AE560,WeightedMinAge05),MAX(CapacityAge05*'01_Вводные'!$B$218*'19_Расчет_аналитики'!AE560,MeanMinAge05)))</f>
        <v/>
      </c>
      <c r="AF496">
        <f>IF(OR(('19_Расчет_аналитики'!AF412-'19_Расчет_аналитики'!AF440)=0,5&lt;='01_Вводные'!$B$297),0,('19_Расчет_аналитики'!AF412-'19_Расчет_аналитики'!AF440)*IF('01_Вводные'!$B$239="Да",MeanMinAge05+'19_Расчет_аналитики'!AF560*SUMIF(ThresholdAge05,"&lt;"&amp;'19_Расчет_аналитики'!AF560,WeightedRevAge05)-SUMIF(ThresholdAge05,"&lt;"&amp;'19_Расчет_аналитики'!AF560,WeightedMinAge05),MAX(CapacityAge05*'01_Вводные'!$B$218*'19_Расчет_аналитики'!AF560,MeanMinAge05)))</f>
        <v/>
      </c>
      <c r="AG496">
        <f>IF(OR(('19_Расчет_аналитики'!AG412-'19_Расчет_аналитики'!AG440)=0,5&lt;='01_Вводные'!$B$297),0,('19_Расчет_аналитики'!AG412-'19_Расчет_аналитики'!AG440)*IF('01_Вводные'!$B$239="Да",MeanMinAge05+'19_Расчет_аналитики'!AG560*SUMIF(ThresholdAge05,"&lt;"&amp;'19_Расчет_аналитики'!AG560,WeightedRevAge05)-SUMIF(ThresholdAge05,"&lt;"&amp;'19_Расчет_аналитики'!AG560,WeightedMinAge05),MAX(CapacityAge05*'01_Вводные'!$B$218*'19_Расчет_аналитики'!AG560,MeanMinAge05)))</f>
        <v/>
      </c>
      <c r="AH496">
        <f>IF(OR(('19_Расчет_аналитики'!AH412-'19_Расчет_аналитики'!AH440)=0,5&lt;='01_Вводные'!$B$297),0,('19_Расчет_аналитики'!AH412-'19_Расчет_аналитики'!AH440)*IF('01_Вводные'!$B$239="Да",MeanMinAge05+'19_Расчет_аналитики'!AH560*SUMIF(ThresholdAge05,"&lt;"&amp;'19_Расчет_аналитики'!AH560,WeightedRevAge05)-SUMIF(ThresholdAge05,"&lt;"&amp;'19_Расчет_аналитики'!AH560,WeightedMinAge05),MAX(CapacityAge05*'01_Вводные'!$B$218*'19_Расчет_аналитики'!AH560,MeanMinAge05)))</f>
        <v/>
      </c>
      <c r="AI496">
        <f>IF(OR(('19_Расчет_аналитики'!AI412-'19_Расчет_аналитики'!AI440)=0,5&lt;='01_Вводные'!$B$297),0,('19_Расчет_аналитики'!AI412-'19_Расчет_аналитики'!AI440)*IF('01_Вводные'!$B$239="Да",MeanMinAge05+'19_Расчет_аналитики'!AI560*SUMIF(ThresholdAge05,"&lt;"&amp;'19_Расчет_аналитики'!AI560,WeightedRevAge05)-SUMIF(ThresholdAge05,"&lt;"&amp;'19_Расчет_аналитики'!AI560,WeightedMinAge05),MAX(CapacityAge05*'01_Вводные'!$B$218*'19_Расчет_аналитики'!AI560,MeanMinAge05)))</f>
        <v/>
      </c>
      <c r="AJ496">
        <f>IF(OR(('19_Расчет_аналитики'!AJ412-'19_Расчет_аналитики'!AJ440)=0,5&lt;='01_Вводные'!$B$297),0,('19_Расчет_аналитики'!AJ412-'19_Расчет_аналитики'!AJ440)*IF('01_Вводные'!$B$239="Да",MeanMinAge05+'19_Расчет_аналитики'!AJ560*SUMIF(ThresholdAge05,"&lt;"&amp;'19_Расчет_аналитики'!AJ560,WeightedRevAge05)-SUMIF(ThresholdAge05,"&lt;"&amp;'19_Расчет_аналитики'!AJ560,WeightedMinAge05),MAX(CapacityAge05*'01_Вводные'!$B$218*'19_Расчет_аналитики'!AJ560,MeanMinAge05)))</f>
        <v/>
      </c>
      <c r="AK496">
        <f>IF(OR(('19_Расчет_аналитики'!AK412-'19_Расчет_аналитики'!AK440)=0,5&lt;='01_Вводные'!$B$297),0,('19_Расчет_аналитики'!AK412-'19_Расчет_аналитики'!AK440)*IF('01_Вводные'!$B$239="Да",MeanMinAge05+'19_Расчет_аналитики'!AK560*SUMIF(ThresholdAge05,"&lt;"&amp;'19_Расчет_аналитики'!AK560,WeightedRevAge05)-SUMIF(ThresholdAge05,"&lt;"&amp;'19_Расчет_аналитики'!AK560,WeightedMinAge05),MAX(CapacityAge05*'01_Вводные'!$B$218*'19_Расчет_аналитики'!AK560,MeanMinAge05)))</f>
        <v/>
      </c>
      <c r="AL496">
        <f>IF(OR(('19_Расчет_аналитики'!AL412-'19_Расчет_аналитики'!AL440)=0,5&lt;='01_Вводные'!$B$297),0,('19_Расчет_аналитики'!AL412-'19_Расчет_аналитики'!AL440)*IF('01_Вводные'!$B$239="Да",MeanMinAge05+'19_Расчет_аналитики'!AL560*SUMIF(ThresholdAge05,"&lt;"&amp;'19_Расчет_аналитики'!AL560,WeightedRevAge05)-SUMIF(ThresholdAge05,"&lt;"&amp;'19_Расчет_аналитики'!AL560,WeightedMinAge05),MAX(CapacityAge05*'01_Вводные'!$B$218*'19_Расчет_аналитики'!AL560,MeanMinAge05)))</f>
        <v/>
      </c>
      <c r="AM496">
        <f>IF(OR(('19_Расчет_аналитики'!AM412-'19_Расчет_аналитики'!AM440)=0,5&lt;='01_Вводные'!$B$297),0,('19_Расчет_аналитики'!AM412-'19_Расчет_аналитики'!AM440)*IF('01_Вводные'!$B$239="Да",MeanMinAge05+'19_Расчет_аналитики'!AM560*SUMIF(ThresholdAge05,"&lt;"&amp;'19_Расчет_аналитики'!AM560,WeightedRevAge05)-SUMIF(ThresholdAge05,"&lt;"&amp;'19_Расчет_аналитики'!AM560,WeightedMinAge05),MAX(CapacityAge05*'01_Вводные'!$B$218*'19_Расчет_аналитики'!AM560,MeanMinAge05)))</f>
        <v/>
      </c>
      <c r="AN496">
        <f>IF(OR(('19_Расчет_аналитики'!AN412-'19_Расчет_аналитики'!AN440)=0,5&lt;='01_Вводные'!$B$297),0,('19_Расчет_аналитики'!AN412-'19_Расчет_аналитики'!AN440)*IF('01_Вводные'!$B$239="Да",MeanMinAge05+'19_Расчет_аналитики'!AN560*SUMIF(ThresholdAge05,"&lt;"&amp;'19_Расчет_аналитики'!AN560,WeightedRevAge05)-SUMIF(ThresholdAge05,"&lt;"&amp;'19_Расчет_аналитики'!AN560,WeightedMinAge05),MAX(CapacityAge05*'01_Вводные'!$B$218*'19_Расчет_аналитики'!AN560,MeanMinAge05)))</f>
        <v/>
      </c>
      <c r="AO496">
        <f>IF(OR(('19_Расчет_аналитики'!AO412-'19_Расчет_аналитики'!AO440)=0,5&lt;='01_Вводные'!$B$297),0,('19_Расчет_аналитики'!AO412-'19_Расчет_аналитики'!AO440)*IF('01_Вводные'!$B$239="Да",MeanMinAge05+'19_Расчет_аналитики'!AO560*SUMIF(ThresholdAge05,"&lt;"&amp;'19_Расчет_аналитики'!AO560,WeightedRevAge05)-SUMIF(ThresholdAge05,"&lt;"&amp;'19_Расчет_аналитики'!AO560,WeightedMinAge05),MAX(CapacityAge05*'01_Вводные'!$B$218*'19_Расчет_аналитики'!AO560,MeanMinAge05)))</f>
        <v/>
      </c>
      <c r="AP496">
        <f>IF(OR(('19_Расчет_аналитики'!AP412-'19_Расчет_аналитики'!AP440)=0,5&lt;='01_Вводные'!$B$297),0,('19_Расчет_аналитики'!AP412-'19_Расчет_аналитики'!AP440)*IF('01_Вводные'!$B$239="Да",MeanMinAge05+'19_Расчет_аналитики'!AP560*SUMIF(ThresholdAge05,"&lt;"&amp;'19_Расчет_аналитики'!AP560,WeightedRevAge05)-SUMIF(ThresholdAge05,"&lt;"&amp;'19_Расчет_аналитики'!AP560,WeightedMinAge05),MAX(CapacityAge05*'01_Вводные'!$B$218*'19_Расчет_аналитики'!AP560,MeanMinAge05)))</f>
        <v/>
      </c>
      <c r="AQ496">
        <f>IF(OR(('19_Расчет_аналитики'!AQ412-'19_Расчет_аналитики'!AQ440)=0,5&lt;='01_Вводные'!$B$297),0,('19_Расчет_аналитики'!AQ412-'19_Расчет_аналитики'!AQ440)*IF('01_Вводные'!$B$239="Да",MeanMinAge05+'19_Расчет_аналитики'!AQ560*SUMIF(ThresholdAge05,"&lt;"&amp;'19_Расчет_аналитики'!AQ560,WeightedRevAge05)-SUMIF(ThresholdAge05,"&lt;"&amp;'19_Расчет_аналитики'!AQ560,WeightedMinAge05),MAX(CapacityAge05*'01_Вводные'!$B$218*'19_Расчет_аналитики'!AQ560,MeanMinAge05)))</f>
        <v/>
      </c>
      <c r="AR496">
        <f>IF(OR(('19_Расчет_аналитики'!AR412-'19_Расчет_аналитики'!AR440)=0,5&lt;='01_Вводные'!$B$297),0,('19_Расчет_аналитики'!AR412-'19_Расчет_аналитики'!AR440)*IF('01_Вводные'!$B$239="Да",MeanMinAge05+'19_Расчет_аналитики'!AR560*SUMIF(ThresholdAge05,"&lt;"&amp;'19_Расчет_аналитики'!AR560,WeightedRevAge05)-SUMIF(ThresholdAge05,"&lt;"&amp;'19_Расчет_аналитики'!AR560,WeightedMinAge05),MAX(CapacityAge05*'01_Вводные'!$B$218*'19_Расчет_аналитики'!AR560,MeanMinAge05)))</f>
        <v/>
      </c>
      <c r="AS496">
        <f>IF(OR(('19_Расчет_аналитики'!AS412-'19_Расчет_аналитики'!AS440)=0,5&lt;='01_Вводные'!$B$297),0,('19_Расчет_аналитики'!AS412-'19_Расчет_аналитики'!AS440)*IF('01_Вводные'!$B$239="Да",MeanMinAge05+'19_Расчет_аналитики'!AS560*SUMIF(ThresholdAge05,"&lt;"&amp;'19_Расчет_аналитики'!AS560,WeightedRevAge05)-SUMIF(ThresholdAge05,"&lt;"&amp;'19_Расчет_аналитики'!AS560,WeightedMinAge05),MAX(CapacityAge05*'01_Вводные'!$B$218*'19_Расчет_аналитики'!AS560,MeanMinAge05)))</f>
        <v/>
      </c>
      <c r="AT496">
        <f>IF(OR(('19_Расчет_аналитики'!AT412-'19_Расчет_аналитики'!AT440)=0,5&lt;='01_Вводные'!$B$297),0,('19_Расчет_аналитики'!AT412-'19_Расчет_аналитики'!AT440)*IF('01_Вводные'!$B$239="Да",MeanMinAge05+'19_Расчет_аналитики'!AT560*SUMIF(ThresholdAge05,"&lt;"&amp;'19_Расчет_аналитики'!AT560,WeightedRevAge05)-SUMIF(ThresholdAge05,"&lt;"&amp;'19_Расчет_аналитики'!AT560,WeightedMinAge05),MAX(CapacityAge05*'01_Вводные'!$B$218*'19_Расчет_аналитики'!AT560,MeanMinAge05)))</f>
        <v/>
      </c>
      <c r="AU496">
        <f>IF(OR(('19_Расчет_аналитики'!AU412-'19_Расчет_аналитики'!AU440)=0,5&lt;='01_Вводные'!$B$297),0,('19_Расчет_аналитики'!AU412-'19_Расчет_аналитики'!AU440)*IF('01_Вводные'!$B$239="Да",MeanMinAge05+'19_Расчет_аналитики'!AU560*SUMIF(ThresholdAge05,"&lt;"&amp;'19_Расчет_аналитики'!AU560,WeightedRevAge05)-SUMIF(ThresholdAge05,"&lt;"&amp;'19_Расчет_аналитики'!AU560,WeightedMinAge05),MAX(CapacityAge05*'01_Вводные'!$B$218*'19_Расчет_аналитики'!AU560,MeanMinAge05)))</f>
        <v/>
      </c>
      <c r="AV496">
        <f>IF(OR(('19_Расчет_аналитики'!AV412-'19_Расчет_аналитики'!AV440)=0,5&lt;='01_Вводные'!$B$297),0,('19_Расчет_аналитики'!AV412-'19_Расчет_аналитики'!AV440)*IF('01_Вводные'!$B$239="Да",MeanMinAge05+'19_Расчет_аналитики'!AV560*SUMIF(ThresholdAge05,"&lt;"&amp;'19_Расчет_аналитики'!AV560,WeightedRevAge05)-SUMIF(ThresholdAge05,"&lt;"&amp;'19_Расчет_аналитики'!AV560,WeightedMinAge05),MAX(CapacityAge05*'01_Вводные'!$B$218*'19_Расчет_аналитики'!AV560,MeanMinAge05)))</f>
        <v/>
      </c>
      <c r="AW496">
        <f>IF(OR(('19_Расчет_аналитики'!AW412-'19_Расчет_аналитики'!AW440)=0,5&lt;='01_Вводные'!$B$297),0,('19_Расчет_аналитики'!AW412-'19_Расчет_аналитики'!AW440)*IF('01_Вводные'!$B$239="Да",MeanMinAge05+'19_Расчет_аналитики'!AW560*SUMIF(ThresholdAge05,"&lt;"&amp;'19_Расчет_аналитики'!AW560,WeightedRevAge05)-SUMIF(ThresholdAge05,"&lt;"&amp;'19_Расчет_аналитики'!AW560,WeightedMinAge05),MAX(CapacityAge05*'01_Вводные'!$B$218*'19_Расчет_аналитики'!AW560,MeanMinAge05)))</f>
        <v/>
      </c>
      <c r="AX496">
        <f>IF(OR(('19_Расчет_аналитики'!AX412-'19_Расчет_аналитики'!AX440)=0,5&lt;='01_Вводные'!$B$297),0,('19_Расчет_аналитики'!AX412-'19_Расчет_аналитики'!AX440)*IF('01_Вводные'!$B$239="Да",MeanMinAge05+'19_Расчет_аналитики'!AX560*SUMIF(ThresholdAge05,"&lt;"&amp;'19_Расчет_аналитики'!AX560,WeightedRevAge05)-SUMIF(ThresholdAge05,"&lt;"&amp;'19_Расчет_аналитики'!AX560,WeightedMinAge05),MAX(CapacityAge05*'01_Вводные'!$B$218*'19_Расчет_аналитики'!AX560,MeanMinAge05)))</f>
        <v/>
      </c>
      <c r="AY496">
        <f>IF(OR(('19_Расчет_аналитики'!AY412-'19_Расчет_аналитики'!AY440)=0,5&lt;='01_Вводные'!$B$297),0,('19_Расчет_аналитики'!AY412-'19_Расчет_аналитики'!AY440)*IF('01_Вводные'!$B$239="Да",MeanMinAge05+'19_Расчет_аналитики'!AY560*SUMIF(ThresholdAge05,"&lt;"&amp;'19_Расчет_аналитики'!AY560,WeightedRevAge05)-SUMIF(ThresholdAge05,"&lt;"&amp;'19_Расчет_аналитики'!AY560,WeightedMinAge05),MAX(CapacityAge05*'01_Вводные'!$B$218*'19_Расчет_аналитики'!AY560,MeanMinAge05)))</f>
        <v/>
      </c>
      <c r="AZ496">
        <f>IF(OR(('19_Расчет_аналитики'!AZ412-'19_Расчет_аналитики'!AZ440)=0,5&lt;='01_Вводные'!$B$297),0,('19_Расчет_аналитики'!AZ412-'19_Расчет_аналитики'!AZ440)*IF('01_Вводные'!$B$239="Да",MeanMinAge05+'19_Расчет_аналитики'!AZ560*SUMIF(ThresholdAge05,"&lt;"&amp;'19_Расчет_аналитики'!AZ560,WeightedRevAge05)-SUMIF(ThresholdAge05,"&lt;"&amp;'19_Расчет_аналитики'!AZ560,WeightedMinAge05),MAX(CapacityAge05*'01_Вводные'!$B$218*'19_Расчет_аналитики'!AZ560,MeanMinAge05)))</f>
        <v/>
      </c>
      <c r="BA496">
        <f>IF(OR(('19_Расчет_аналитики'!BA412-'19_Расчет_аналитики'!BA440)=0,5&lt;='01_Вводные'!$B$297),0,('19_Расчет_аналитики'!BA412-'19_Расчет_аналитики'!BA440)*IF('01_Вводные'!$B$239="Да",MeanMinAge05+'19_Расчет_аналитики'!BA560*SUMIF(ThresholdAge05,"&lt;"&amp;'19_Расчет_аналитики'!BA560,WeightedRevAge05)-SUMIF(ThresholdAge05,"&lt;"&amp;'19_Расчет_аналитики'!BA560,WeightedMinAge05),MAX(CapacityAge05*'01_Вводные'!$B$218*'19_Расчет_аналитики'!BA560,MeanMinAge05)))</f>
        <v/>
      </c>
      <c r="BB496">
        <f>IF(OR(('19_Расчет_аналитики'!BB412-'19_Расчет_аналитики'!BB440)=0,5&lt;='01_Вводные'!$B$297),0,('19_Расчет_аналитики'!BB412-'19_Расчет_аналитики'!BB440)*IF('01_Вводные'!$B$239="Да",MeanMinAge05+'19_Расчет_аналитики'!BB560*SUMIF(ThresholdAge05,"&lt;"&amp;'19_Расчет_аналитики'!BB560,WeightedRevAge05)-SUMIF(ThresholdAge05,"&lt;"&amp;'19_Расчет_аналитики'!BB560,WeightedMinAge05),MAX(CapacityAge05*'01_Вводные'!$B$218*'19_Расчет_аналитики'!BB560,MeanMinAge05)))</f>
        <v/>
      </c>
      <c r="BC496">
        <f>IF(OR(('19_Расчет_аналитики'!BC412-'19_Расчет_аналитики'!BC440)=0,5&lt;='01_Вводные'!$B$297),0,('19_Расчет_аналитики'!BC412-'19_Расчет_аналитики'!BC440)*IF('01_Вводные'!$B$239="Да",MeanMinAge05+'19_Расчет_аналитики'!BC560*SUMIF(ThresholdAge05,"&lt;"&amp;'19_Расчет_аналитики'!BC560,WeightedRevAge05)-SUMIF(ThresholdAge05,"&lt;"&amp;'19_Расчет_аналитики'!BC560,WeightedMinAge05),MAX(CapacityAge05*'01_Вводные'!$B$218*'19_Расчет_аналитики'!BC560,MeanMinAge05)))</f>
        <v/>
      </c>
      <c r="BD496">
        <f>IF(OR(('19_Расчет_аналитики'!BD412-'19_Расчет_аналитики'!BD440)=0,5&lt;='01_Вводные'!$B$297),0,('19_Расчет_аналитики'!BD412-'19_Расчет_аналитики'!BD440)*IF('01_Вводные'!$B$239="Да",MeanMinAge05+'19_Расчет_аналитики'!BD560*SUMIF(ThresholdAge05,"&lt;"&amp;'19_Расчет_аналитики'!BD560,WeightedRevAge05)-SUMIF(ThresholdAge05,"&lt;"&amp;'19_Расчет_аналитики'!BD560,WeightedMinAge05),MAX(CapacityAge05*'01_Вводные'!$B$218*'19_Расчет_аналитики'!BD560,MeanMinAge05)))</f>
        <v/>
      </c>
      <c r="BE496">
        <f>IF(OR(('19_Расчет_аналитики'!BE412-'19_Расчет_аналитики'!BE440)=0,5&lt;='01_Вводные'!$B$297),0,('19_Расчет_аналитики'!BE412-'19_Расчет_аналитики'!BE440)*IF('01_Вводные'!$B$239="Да",MeanMinAge05+'19_Расчет_аналитики'!BE560*SUMIF(ThresholdAge05,"&lt;"&amp;'19_Расчет_аналитики'!BE560,WeightedRevAge05)-SUMIF(ThresholdAge05,"&lt;"&amp;'19_Расчет_аналитики'!BE560,WeightedMinAge05),MAX(CapacityAge05*'01_Вводные'!$B$218*'19_Расчет_аналитики'!BE560,MeanMinAge05)))</f>
        <v/>
      </c>
      <c r="BF496">
        <f>IF(OR(('19_Расчет_аналитики'!BF412-'19_Расчет_аналитики'!BF440)=0,5&lt;='01_Вводные'!$B$297),0,('19_Расчет_аналитики'!BF412-'19_Расчет_аналитики'!BF440)*IF('01_Вводные'!$B$239="Да",MeanMinAge05+'19_Расчет_аналитики'!BF560*SUMIF(ThresholdAge05,"&lt;"&amp;'19_Расчет_аналитики'!BF560,WeightedRevAge05)-SUMIF(ThresholdAge05,"&lt;"&amp;'19_Расчет_аналитики'!BF560,WeightedMinAge05),MAX(CapacityAge05*'01_Вводные'!$B$218*'19_Расчет_аналитики'!BF560,MeanMinAge05)))</f>
        <v/>
      </c>
      <c r="BG496">
        <f>IF(OR(('19_Расчет_аналитики'!BG412-'19_Расчет_аналитики'!BG440)=0,5&lt;='01_Вводные'!$B$297),0,('19_Расчет_аналитики'!BG412-'19_Расчет_аналитики'!BG440)*IF('01_Вводные'!$B$239="Да",MeanMinAge05+'19_Расчет_аналитики'!BG560*SUMIF(ThresholdAge05,"&lt;"&amp;'19_Расчет_аналитики'!BG560,WeightedRevAge05)-SUMIF(ThresholdAge05,"&lt;"&amp;'19_Расчет_аналитики'!BG560,WeightedMinAge05),MAX(CapacityAge05*'01_Вводные'!$B$218*'19_Расчет_аналитики'!BG560,MeanMinAge05)))</f>
        <v/>
      </c>
      <c r="BH496">
        <f>IF(OR(('19_Расчет_аналитики'!BH412-'19_Расчет_аналитики'!BH440)=0,5&lt;='01_Вводные'!$B$297),0,('19_Расчет_аналитики'!BH412-'19_Расчет_аналитики'!BH440)*IF('01_Вводные'!$B$239="Да",MeanMinAge05+'19_Расчет_аналитики'!BH560*SUMIF(ThresholdAge05,"&lt;"&amp;'19_Расчет_аналитики'!BH560,WeightedRevAge05)-SUMIF(ThresholdAge05,"&lt;"&amp;'19_Расчет_аналитики'!BH560,WeightedMinAge05),MAX(CapacityAge05*'01_Вводные'!$B$218*'19_Расчет_аналитики'!BH560,MeanMinAge05)))</f>
        <v/>
      </c>
      <c r="BI496">
        <f>IF(OR(('19_Расчет_аналитики'!BI412-'19_Расчет_аналитики'!BI440)=0,5&lt;='01_Вводные'!$B$297),0,('19_Расчет_аналитики'!BI412-'19_Расчет_аналитики'!BI440)*IF('01_Вводные'!$B$239="Да",MeanMinAge05+'19_Расчет_аналитики'!BI560*SUMIF(ThresholdAge05,"&lt;"&amp;'19_Расчет_аналитики'!BI560,WeightedRevAge05)-SUMIF(ThresholdAge05,"&lt;"&amp;'19_Расчет_аналитики'!BI560,WeightedMinAge05),MAX(CapacityAge05*'01_Вводные'!$B$218*'19_Расчет_аналитики'!BI560,MeanMinAge05)))</f>
        <v/>
      </c>
      <c r="BJ496">
        <f>IF(OR(('19_Расчет_аналитики'!BJ412-'19_Расчет_аналитики'!BJ440)=0,5&lt;='01_Вводные'!$B$297),0,('19_Расчет_аналитики'!BJ412-'19_Расчет_аналитики'!BJ440)*IF('01_Вводные'!$B$239="Да",MeanMinAge05+'19_Расчет_аналитики'!BJ560*SUMIF(ThresholdAge05,"&lt;"&amp;'19_Расчет_аналитики'!BJ560,WeightedRevAge05)-SUMIF(ThresholdAge05,"&lt;"&amp;'19_Расчет_аналитики'!BJ560,WeightedMinAge05),MAX(CapacityAge05*'01_Вводные'!$B$218*'19_Расчет_аналитики'!BJ560,MeanMinAge05)))</f>
        <v/>
      </c>
      <c r="BK496">
        <f>IF(OR(('19_Расчет_аналитики'!BK412-'19_Расчет_аналитики'!BK440)=0,5&lt;='01_Вводные'!$B$297),0,('19_Расчет_аналитики'!BK412-'19_Расчет_аналитики'!BK440)*IF('01_Вводные'!$B$239="Да",MeanMinAge05+'19_Расчет_аналитики'!BK560*SUMIF(ThresholdAge05,"&lt;"&amp;'19_Расчет_аналитики'!BK560,WeightedRevAge05)-SUMIF(ThresholdAge05,"&lt;"&amp;'19_Расчет_аналитики'!BK560,WeightedMinAge05),MAX(CapacityAge05*'01_Вводные'!$B$218*'19_Расчет_аналитики'!BK560,MeanMinAge05)))</f>
        <v/>
      </c>
      <c r="BL496">
        <f>IF(OR(('19_Расчет_аналитики'!BL412-'19_Расчет_аналитики'!BL440)=0,5&lt;='01_Вводные'!$B$297),0,('19_Расчет_аналитики'!BL412-'19_Расчет_аналитики'!BL440)*IF('01_Вводные'!$B$239="Да",MeanMinAge05+'19_Расчет_аналитики'!BL560*SUMIF(ThresholdAge05,"&lt;"&amp;'19_Расчет_аналитики'!BL560,WeightedRevAge05)-SUMIF(ThresholdAge05,"&lt;"&amp;'19_Расчет_аналитики'!BL560,WeightedMinAge05),MAX(CapacityAge05*'01_Вводные'!$B$218*'19_Расчет_аналитики'!BL560,MeanMinAge05)))</f>
        <v/>
      </c>
      <c r="BM496">
        <f>IF(OR(('19_Расчет_аналитики'!BM412-'19_Расчет_аналитики'!BM440)=0,5&lt;='01_Вводные'!$B$297),0,('19_Расчет_аналитики'!BM412-'19_Расчет_аналитики'!BM440)*IF('01_Вводные'!$B$239="Да",MeanMinAge05+'19_Расчет_аналитики'!BM560*SUMIF(ThresholdAge05,"&lt;"&amp;'19_Расчет_аналитики'!BM560,WeightedRevAge05)-SUMIF(ThresholdAge05,"&lt;"&amp;'19_Расчет_аналитики'!BM560,WeightedMinAge05),MAX(CapacityAge05*'01_Вводные'!$B$218*'19_Расчет_аналитики'!BM560,MeanMinAge05)))</f>
        <v/>
      </c>
      <c r="BN496">
        <f>IF(OR(('19_Расчет_аналитики'!BN412-'19_Расчет_аналитики'!BN440)=0,5&lt;='01_Вводные'!$B$297),0,('19_Расчет_аналитики'!BN412-'19_Расчет_аналитики'!BN440)*IF('01_Вводные'!$B$239="Да",MeanMinAge05+'19_Расчет_аналитики'!BN560*SUMIF(ThresholdAge05,"&lt;"&amp;'19_Расчет_аналитики'!BN560,WeightedRevAge05)-SUMIF(ThresholdAge05,"&lt;"&amp;'19_Расчет_аналитики'!BN560,WeightedMinAge05),MAX(CapacityAge05*'01_Вводные'!$B$218*'19_Расчет_аналитики'!BN560,MeanMinAge05)))</f>
        <v/>
      </c>
      <c r="BO496">
        <f>IF(OR(('19_Расчет_аналитики'!BO412-'19_Расчет_аналитики'!BO440)=0,5&lt;='01_Вводные'!$B$297),0,('19_Расчет_аналитики'!BO412-'19_Расчет_аналитики'!BO440)*IF('01_Вводные'!$B$239="Да",MeanMinAge05+'19_Расчет_аналитики'!BO560*SUMIF(ThresholdAge05,"&lt;"&amp;'19_Расчет_аналитики'!BO560,WeightedRevAge05)-SUMIF(ThresholdAge05,"&lt;"&amp;'19_Расчет_аналитики'!BO560,WeightedMinAge05),MAX(CapacityAge05*'01_Вводные'!$B$218*'19_Расчет_аналитики'!BO560,MeanMinAge05)))</f>
        <v/>
      </c>
    </row>
    <row r="497">
      <c r="B497">
        <f>IF(OR(('06_Сеть_и_дети'!B58-'06_Сеть_и_дети'!B86)=0,6&lt;='01_Вводные'!$B$297),0,('06_Сеть_и_дети'!B58-'06_Сеть_и_дети'!B86)*IF('01_Вводные'!$B$239="Да",MeanMinAge06+'19_Расчет_аналитики'!B560*SUMIF(ThresholdAge06,"&lt;"&amp;'19_Расчет_аналитики'!B560,WeightedRevAge06)-SUMIF(ThresholdAge06,"&lt;"&amp;'19_Расчет_аналитики'!B560,WeightedMinAge06),MAX(CapacityAge06*'01_Вводные'!$B$218*'19_Расчет_аналитики'!B560,MeanMinAge06)))</f>
        <v/>
      </c>
      <c r="C497">
        <f>IF(OR(('06_Сеть_и_дети'!C58-'06_Сеть_и_дети'!C86)=0,6&lt;='01_Вводные'!$B$297),0,('06_Сеть_и_дети'!C58-'06_Сеть_и_дети'!C86)*IF('01_Вводные'!$B$239="Да",MeanMinAge06+'19_Расчет_аналитики'!C560*SUMIF(ThresholdAge06,"&lt;"&amp;'19_Расчет_аналитики'!C560,WeightedRevAge06)-SUMIF(ThresholdAge06,"&lt;"&amp;'19_Расчет_аналитики'!C560,WeightedMinAge06),MAX(CapacityAge06*'01_Вводные'!$B$218*'19_Расчет_аналитики'!C560,MeanMinAge06)))</f>
        <v/>
      </c>
      <c r="D497">
        <f>IF(OR(('06_Сеть_и_дети'!D58-'06_Сеть_и_дети'!D86)=0,6&lt;='01_Вводные'!$B$297),0,('06_Сеть_и_дети'!D58-'06_Сеть_и_дети'!D86)*IF('01_Вводные'!$B$239="Да",MeanMinAge06+'19_Расчет_аналитики'!D560*SUMIF(ThresholdAge06,"&lt;"&amp;'19_Расчет_аналитики'!D560,WeightedRevAge06)-SUMIF(ThresholdAge06,"&lt;"&amp;'19_Расчет_аналитики'!D560,WeightedMinAge06),MAX(CapacityAge06*'01_Вводные'!$B$218*'19_Расчет_аналитики'!D560,MeanMinAge06)))</f>
        <v/>
      </c>
      <c r="E497">
        <f>IF(OR(('06_Сеть_и_дети'!E58-'06_Сеть_и_дети'!E86)=0,6&lt;='01_Вводные'!$B$297),0,('06_Сеть_и_дети'!E58-'06_Сеть_и_дети'!E86)*IF('01_Вводные'!$B$239="Да",MeanMinAge06+'19_Расчет_аналитики'!E560*SUMIF(ThresholdAge06,"&lt;"&amp;'19_Расчет_аналитики'!E560,WeightedRevAge06)-SUMIF(ThresholdAge06,"&lt;"&amp;'19_Расчет_аналитики'!E560,WeightedMinAge06),MAX(CapacityAge06*'01_Вводные'!$B$218*'19_Расчет_аналитики'!E560,MeanMinAge06)))</f>
        <v/>
      </c>
      <c r="F497">
        <f>IF(OR(('06_Сеть_и_дети'!F58-'06_Сеть_и_дети'!F86)=0,6&lt;='01_Вводные'!$B$297),0,('06_Сеть_и_дети'!F58-'06_Сеть_и_дети'!F86)*IF('01_Вводные'!$B$239="Да",MeanMinAge06+'19_Расчет_аналитики'!F560*SUMIF(ThresholdAge06,"&lt;"&amp;'19_Расчет_аналитики'!F560,WeightedRevAge06)-SUMIF(ThresholdAge06,"&lt;"&amp;'19_Расчет_аналитики'!F560,WeightedMinAge06),MAX(CapacityAge06*'01_Вводные'!$B$218*'19_Расчет_аналитики'!F560,MeanMinAge06)))</f>
        <v/>
      </c>
      <c r="G497">
        <f>IF(OR(('19_Расчет_аналитики'!G413-'19_Расчет_аналитики'!G441)=0,6&lt;='01_Вводные'!$B$297),0,('19_Расчет_аналитики'!G413-'19_Расчет_аналитики'!G441)*IF('01_Вводные'!$B$239="Да",MeanMinAge06+'19_Расчет_аналитики'!G560*SUMIF(ThresholdAge06,"&lt;"&amp;'19_Расчет_аналитики'!G560,WeightedRevAge06)-SUMIF(ThresholdAge06,"&lt;"&amp;'19_Расчет_аналитики'!G560,WeightedMinAge06),MAX(CapacityAge06*'01_Вводные'!$B$218*'19_Расчет_аналитики'!G560,MeanMinAge06)))</f>
        <v/>
      </c>
      <c r="H497">
        <f>IF(OR(('19_Расчет_аналитики'!H413-'19_Расчет_аналитики'!H441)=0,6&lt;='01_Вводные'!$B$297),0,('19_Расчет_аналитики'!H413-'19_Расчет_аналитики'!H441)*IF('01_Вводные'!$B$239="Да",MeanMinAge06+'19_Расчет_аналитики'!H560*SUMIF(ThresholdAge06,"&lt;"&amp;'19_Расчет_аналитики'!H560,WeightedRevAge06)-SUMIF(ThresholdAge06,"&lt;"&amp;'19_Расчет_аналитики'!H560,WeightedMinAge06),MAX(CapacityAge06*'01_Вводные'!$B$218*'19_Расчет_аналитики'!H560,MeanMinAge06)))</f>
        <v/>
      </c>
      <c r="I497">
        <f>IF(OR(('19_Расчет_аналитики'!I413-'19_Расчет_аналитики'!I441)=0,6&lt;='01_Вводные'!$B$297),0,('19_Расчет_аналитики'!I413-'19_Расчет_аналитики'!I441)*IF('01_Вводные'!$B$239="Да",MeanMinAge06+'19_Расчет_аналитики'!I560*SUMIF(ThresholdAge06,"&lt;"&amp;'19_Расчет_аналитики'!I560,WeightedRevAge06)-SUMIF(ThresholdAge06,"&lt;"&amp;'19_Расчет_аналитики'!I560,WeightedMinAge06),MAX(CapacityAge06*'01_Вводные'!$B$218*'19_Расчет_аналитики'!I560,MeanMinAge06)))</f>
        <v/>
      </c>
      <c r="J497">
        <f>IF(OR(('19_Расчет_аналитики'!J413-'19_Расчет_аналитики'!J441)=0,6&lt;='01_Вводные'!$B$297),0,('19_Расчет_аналитики'!J413-'19_Расчет_аналитики'!J441)*IF('01_Вводные'!$B$239="Да",MeanMinAge06+'19_Расчет_аналитики'!J560*SUMIF(ThresholdAge06,"&lt;"&amp;'19_Расчет_аналитики'!J560,WeightedRevAge06)-SUMIF(ThresholdAge06,"&lt;"&amp;'19_Расчет_аналитики'!J560,WeightedMinAge06),MAX(CapacityAge06*'01_Вводные'!$B$218*'19_Расчет_аналитики'!J560,MeanMinAge06)))</f>
        <v/>
      </c>
      <c r="K497">
        <f>IF(OR(('19_Расчет_аналитики'!K413-'19_Расчет_аналитики'!K441)=0,6&lt;='01_Вводные'!$B$297),0,('19_Расчет_аналитики'!K413-'19_Расчет_аналитики'!K441)*IF('01_Вводные'!$B$239="Да",MeanMinAge06+'19_Расчет_аналитики'!K560*SUMIF(ThresholdAge06,"&lt;"&amp;'19_Расчет_аналитики'!K560,WeightedRevAge06)-SUMIF(ThresholdAge06,"&lt;"&amp;'19_Расчет_аналитики'!K560,WeightedMinAge06),MAX(CapacityAge06*'01_Вводные'!$B$218*'19_Расчет_аналитики'!K560,MeanMinAge06)))</f>
        <v/>
      </c>
      <c r="L497">
        <f>IF(OR(('19_Расчет_аналитики'!L413-'19_Расчет_аналитики'!L441)=0,6&lt;='01_Вводные'!$B$297),0,('19_Расчет_аналитики'!L413-'19_Расчет_аналитики'!L441)*IF('01_Вводные'!$B$239="Да",MeanMinAge06+'19_Расчет_аналитики'!L560*SUMIF(ThresholdAge06,"&lt;"&amp;'19_Расчет_аналитики'!L560,WeightedRevAge06)-SUMIF(ThresholdAge06,"&lt;"&amp;'19_Расчет_аналитики'!L560,WeightedMinAge06),MAX(CapacityAge06*'01_Вводные'!$B$218*'19_Расчет_аналитики'!L560,MeanMinAge06)))</f>
        <v/>
      </c>
      <c r="M497">
        <f>IF(OR(('19_Расчет_аналитики'!M413-'19_Расчет_аналитики'!M441)=0,6&lt;='01_Вводные'!$B$297),0,('19_Расчет_аналитики'!M413-'19_Расчет_аналитики'!M441)*IF('01_Вводные'!$B$239="Да",MeanMinAge06+'19_Расчет_аналитики'!M560*SUMIF(ThresholdAge06,"&lt;"&amp;'19_Расчет_аналитики'!M560,WeightedRevAge06)-SUMIF(ThresholdAge06,"&lt;"&amp;'19_Расчет_аналитики'!M560,WeightedMinAge06),MAX(CapacityAge06*'01_Вводные'!$B$218*'19_Расчет_аналитики'!M560,MeanMinAge06)))</f>
        <v/>
      </c>
      <c r="N497">
        <f>IF(OR(('19_Расчет_аналитики'!N413-'19_Расчет_аналитики'!N441)=0,6&lt;='01_Вводные'!$B$297),0,('19_Расчет_аналитики'!N413-'19_Расчет_аналитики'!N441)*IF('01_Вводные'!$B$239="Да",MeanMinAge06+'19_Расчет_аналитики'!N560*SUMIF(ThresholdAge06,"&lt;"&amp;'19_Расчет_аналитики'!N560,WeightedRevAge06)-SUMIF(ThresholdAge06,"&lt;"&amp;'19_Расчет_аналитики'!N560,WeightedMinAge06),MAX(CapacityAge06*'01_Вводные'!$B$218*'19_Расчет_аналитики'!N560,MeanMinAge06)))</f>
        <v/>
      </c>
      <c r="O497">
        <f>IF(OR(('19_Расчет_аналитики'!O413-'19_Расчет_аналитики'!O441)=0,6&lt;='01_Вводные'!$B$297),0,('19_Расчет_аналитики'!O413-'19_Расчет_аналитики'!O441)*IF('01_Вводные'!$B$239="Да",MeanMinAge06+'19_Расчет_аналитики'!O560*SUMIF(ThresholdAge06,"&lt;"&amp;'19_Расчет_аналитики'!O560,WeightedRevAge06)-SUMIF(ThresholdAge06,"&lt;"&amp;'19_Расчет_аналитики'!O560,WeightedMinAge06),MAX(CapacityAge06*'01_Вводные'!$B$218*'19_Расчет_аналитики'!O560,MeanMinAge06)))</f>
        <v/>
      </c>
      <c r="P497">
        <f>IF(OR(('19_Расчет_аналитики'!P413-'19_Расчет_аналитики'!P441)=0,6&lt;='01_Вводные'!$B$297),0,('19_Расчет_аналитики'!P413-'19_Расчет_аналитики'!P441)*IF('01_Вводные'!$B$239="Да",MeanMinAge06+'19_Расчет_аналитики'!P560*SUMIF(ThresholdAge06,"&lt;"&amp;'19_Расчет_аналитики'!P560,WeightedRevAge06)-SUMIF(ThresholdAge06,"&lt;"&amp;'19_Расчет_аналитики'!P560,WeightedMinAge06),MAX(CapacityAge06*'01_Вводные'!$B$218*'19_Расчет_аналитики'!P560,MeanMinAge06)))</f>
        <v/>
      </c>
      <c r="Q497">
        <f>IF(OR(('19_Расчет_аналитики'!Q413-'19_Расчет_аналитики'!Q441)=0,6&lt;='01_Вводные'!$B$297),0,('19_Расчет_аналитики'!Q413-'19_Расчет_аналитики'!Q441)*IF('01_Вводные'!$B$239="Да",MeanMinAge06+'19_Расчет_аналитики'!Q560*SUMIF(ThresholdAge06,"&lt;"&amp;'19_Расчет_аналитики'!Q560,WeightedRevAge06)-SUMIF(ThresholdAge06,"&lt;"&amp;'19_Расчет_аналитики'!Q560,WeightedMinAge06),MAX(CapacityAge06*'01_Вводные'!$B$218*'19_Расчет_аналитики'!Q560,MeanMinAge06)))</f>
        <v/>
      </c>
      <c r="R497">
        <f>IF(OR(('19_Расчет_аналитики'!R413-'19_Расчет_аналитики'!R441)=0,6&lt;='01_Вводные'!$B$297),0,('19_Расчет_аналитики'!R413-'19_Расчет_аналитики'!R441)*IF('01_Вводные'!$B$239="Да",MeanMinAge06+'19_Расчет_аналитики'!R560*SUMIF(ThresholdAge06,"&lt;"&amp;'19_Расчет_аналитики'!R560,WeightedRevAge06)-SUMIF(ThresholdAge06,"&lt;"&amp;'19_Расчет_аналитики'!R560,WeightedMinAge06),MAX(CapacityAge06*'01_Вводные'!$B$218*'19_Расчет_аналитики'!R560,MeanMinAge06)))</f>
        <v/>
      </c>
      <c r="S497">
        <f>IF(OR(('19_Расчет_аналитики'!S413-'19_Расчет_аналитики'!S441)=0,6&lt;='01_Вводные'!$B$297),0,('19_Расчет_аналитики'!S413-'19_Расчет_аналитики'!S441)*IF('01_Вводные'!$B$239="Да",MeanMinAge06+'19_Расчет_аналитики'!S560*SUMIF(ThresholdAge06,"&lt;"&amp;'19_Расчет_аналитики'!S560,WeightedRevAge06)-SUMIF(ThresholdAge06,"&lt;"&amp;'19_Расчет_аналитики'!S560,WeightedMinAge06),MAX(CapacityAge06*'01_Вводные'!$B$218*'19_Расчет_аналитики'!S560,MeanMinAge06)))</f>
        <v/>
      </c>
      <c r="T497">
        <f>IF(OR(('19_Расчет_аналитики'!T413-'19_Расчет_аналитики'!T441)=0,6&lt;='01_Вводные'!$B$297),0,('19_Расчет_аналитики'!T413-'19_Расчет_аналитики'!T441)*IF('01_Вводные'!$B$239="Да",MeanMinAge06+'19_Расчет_аналитики'!T560*SUMIF(ThresholdAge06,"&lt;"&amp;'19_Расчет_аналитики'!T560,WeightedRevAge06)-SUMIF(ThresholdAge06,"&lt;"&amp;'19_Расчет_аналитики'!T560,WeightedMinAge06),MAX(CapacityAge06*'01_Вводные'!$B$218*'19_Расчет_аналитики'!T560,MeanMinAge06)))</f>
        <v/>
      </c>
      <c r="U497">
        <f>IF(OR(('19_Расчет_аналитики'!U413-'19_Расчет_аналитики'!U441)=0,6&lt;='01_Вводные'!$B$297),0,('19_Расчет_аналитики'!U413-'19_Расчет_аналитики'!U441)*IF('01_Вводные'!$B$239="Да",MeanMinAge06+'19_Расчет_аналитики'!U560*SUMIF(ThresholdAge06,"&lt;"&amp;'19_Расчет_аналитики'!U560,WeightedRevAge06)-SUMIF(ThresholdAge06,"&lt;"&amp;'19_Расчет_аналитики'!U560,WeightedMinAge06),MAX(CapacityAge06*'01_Вводные'!$B$218*'19_Расчет_аналитики'!U560,MeanMinAge06)))</f>
        <v/>
      </c>
      <c r="V497">
        <f>IF(OR(('19_Расчет_аналитики'!V413-'19_Расчет_аналитики'!V441)=0,6&lt;='01_Вводные'!$B$297),0,('19_Расчет_аналитики'!V413-'19_Расчет_аналитики'!V441)*IF('01_Вводные'!$B$239="Да",MeanMinAge06+'19_Расчет_аналитики'!V560*SUMIF(ThresholdAge06,"&lt;"&amp;'19_Расчет_аналитики'!V560,WeightedRevAge06)-SUMIF(ThresholdAge06,"&lt;"&amp;'19_Расчет_аналитики'!V560,WeightedMinAge06),MAX(CapacityAge06*'01_Вводные'!$B$218*'19_Расчет_аналитики'!V560,MeanMinAge06)))</f>
        <v/>
      </c>
      <c r="W497">
        <f>IF(OR(('19_Расчет_аналитики'!W413-'19_Расчет_аналитики'!W441)=0,6&lt;='01_Вводные'!$B$297),0,('19_Расчет_аналитики'!W413-'19_Расчет_аналитики'!W441)*IF('01_Вводные'!$B$239="Да",MeanMinAge06+'19_Расчет_аналитики'!W560*SUMIF(ThresholdAge06,"&lt;"&amp;'19_Расчет_аналитики'!W560,WeightedRevAge06)-SUMIF(ThresholdAge06,"&lt;"&amp;'19_Расчет_аналитики'!W560,WeightedMinAge06),MAX(CapacityAge06*'01_Вводные'!$B$218*'19_Расчет_аналитики'!W560,MeanMinAge06)))</f>
        <v/>
      </c>
      <c r="X497">
        <f>IF(OR(('19_Расчет_аналитики'!X413-'19_Расчет_аналитики'!X441)=0,6&lt;='01_Вводные'!$B$297),0,('19_Расчет_аналитики'!X413-'19_Расчет_аналитики'!X441)*IF('01_Вводные'!$B$239="Да",MeanMinAge06+'19_Расчет_аналитики'!X560*SUMIF(ThresholdAge06,"&lt;"&amp;'19_Расчет_аналитики'!X560,WeightedRevAge06)-SUMIF(ThresholdAge06,"&lt;"&amp;'19_Расчет_аналитики'!X560,WeightedMinAge06),MAX(CapacityAge06*'01_Вводные'!$B$218*'19_Расчет_аналитики'!X560,MeanMinAge06)))</f>
        <v/>
      </c>
      <c r="Y497">
        <f>IF(OR(('19_Расчет_аналитики'!Y413-'19_Расчет_аналитики'!Y441)=0,6&lt;='01_Вводные'!$B$297),0,('19_Расчет_аналитики'!Y413-'19_Расчет_аналитики'!Y441)*IF('01_Вводные'!$B$239="Да",MeanMinAge06+'19_Расчет_аналитики'!Y560*SUMIF(ThresholdAge06,"&lt;"&amp;'19_Расчет_аналитики'!Y560,WeightedRevAge06)-SUMIF(ThresholdAge06,"&lt;"&amp;'19_Расчет_аналитики'!Y560,WeightedMinAge06),MAX(CapacityAge06*'01_Вводные'!$B$218*'19_Расчет_аналитики'!Y560,MeanMinAge06)))</f>
        <v/>
      </c>
      <c r="Z497">
        <f>IF(OR(('19_Расчет_аналитики'!Z413-'19_Расчет_аналитики'!Z441)=0,6&lt;='01_Вводные'!$B$297),0,('19_Расчет_аналитики'!Z413-'19_Расчет_аналитики'!Z441)*IF('01_Вводные'!$B$239="Да",MeanMinAge06+'19_Расчет_аналитики'!Z560*SUMIF(ThresholdAge06,"&lt;"&amp;'19_Расчет_аналитики'!Z560,WeightedRevAge06)-SUMIF(ThresholdAge06,"&lt;"&amp;'19_Расчет_аналитики'!Z560,WeightedMinAge06),MAX(CapacityAge06*'01_Вводные'!$B$218*'19_Расчет_аналитики'!Z560,MeanMinAge06)))</f>
        <v/>
      </c>
      <c r="AA497">
        <f>IF(OR(('19_Расчет_аналитики'!AA413-'19_Расчет_аналитики'!AA441)=0,6&lt;='01_Вводные'!$B$297),0,('19_Расчет_аналитики'!AA413-'19_Расчет_аналитики'!AA441)*IF('01_Вводные'!$B$239="Да",MeanMinAge06+'19_Расчет_аналитики'!AA560*SUMIF(ThresholdAge06,"&lt;"&amp;'19_Расчет_аналитики'!AA560,WeightedRevAge06)-SUMIF(ThresholdAge06,"&lt;"&amp;'19_Расчет_аналитики'!AA560,WeightedMinAge06),MAX(CapacityAge06*'01_Вводные'!$B$218*'19_Расчет_аналитики'!AA560,MeanMinAge06)))</f>
        <v/>
      </c>
      <c r="AB497">
        <f>IF(OR(('19_Расчет_аналитики'!AB413-'19_Расчет_аналитики'!AB441)=0,6&lt;='01_Вводные'!$B$297),0,('19_Расчет_аналитики'!AB413-'19_Расчет_аналитики'!AB441)*IF('01_Вводные'!$B$239="Да",MeanMinAge06+'19_Расчет_аналитики'!AB560*SUMIF(ThresholdAge06,"&lt;"&amp;'19_Расчет_аналитики'!AB560,WeightedRevAge06)-SUMIF(ThresholdAge06,"&lt;"&amp;'19_Расчет_аналитики'!AB560,WeightedMinAge06),MAX(CapacityAge06*'01_Вводные'!$B$218*'19_Расчет_аналитики'!AB560,MeanMinAge06)))</f>
        <v/>
      </c>
      <c r="AC497">
        <f>IF(OR(('19_Расчет_аналитики'!AC413-'19_Расчет_аналитики'!AC441)=0,6&lt;='01_Вводные'!$B$297),0,('19_Расчет_аналитики'!AC413-'19_Расчет_аналитики'!AC441)*IF('01_Вводные'!$B$239="Да",MeanMinAge06+'19_Расчет_аналитики'!AC560*SUMIF(ThresholdAge06,"&lt;"&amp;'19_Расчет_аналитики'!AC560,WeightedRevAge06)-SUMIF(ThresholdAge06,"&lt;"&amp;'19_Расчет_аналитики'!AC560,WeightedMinAge06),MAX(CapacityAge06*'01_Вводные'!$B$218*'19_Расчет_аналитики'!AC560,MeanMinAge06)))</f>
        <v/>
      </c>
      <c r="AD497">
        <f>IF(OR(('19_Расчет_аналитики'!AD413-'19_Расчет_аналитики'!AD441)=0,6&lt;='01_Вводные'!$B$297),0,('19_Расчет_аналитики'!AD413-'19_Расчет_аналитики'!AD441)*IF('01_Вводные'!$B$239="Да",MeanMinAge06+'19_Расчет_аналитики'!AD560*SUMIF(ThresholdAge06,"&lt;"&amp;'19_Расчет_аналитики'!AD560,WeightedRevAge06)-SUMIF(ThresholdAge06,"&lt;"&amp;'19_Расчет_аналитики'!AD560,WeightedMinAge06),MAX(CapacityAge06*'01_Вводные'!$B$218*'19_Расчет_аналитики'!AD560,MeanMinAge06)))</f>
        <v/>
      </c>
      <c r="AE497">
        <f>IF(OR(('19_Расчет_аналитики'!AE413-'19_Расчет_аналитики'!AE441)=0,6&lt;='01_Вводные'!$B$297),0,('19_Расчет_аналитики'!AE413-'19_Расчет_аналитики'!AE441)*IF('01_Вводные'!$B$239="Да",MeanMinAge06+'19_Расчет_аналитики'!AE560*SUMIF(ThresholdAge06,"&lt;"&amp;'19_Расчет_аналитики'!AE560,WeightedRevAge06)-SUMIF(ThresholdAge06,"&lt;"&amp;'19_Расчет_аналитики'!AE560,WeightedMinAge06),MAX(CapacityAge06*'01_Вводные'!$B$218*'19_Расчет_аналитики'!AE560,MeanMinAge06)))</f>
        <v/>
      </c>
      <c r="AF497">
        <f>IF(OR(('19_Расчет_аналитики'!AF413-'19_Расчет_аналитики'!AF441)=0,6&lt;='01_Вводные'!$B$297),0,('19_Расчет_аналитики'!AF413-'19_Расчет_аналитики'!AF441)*IF('01_Вводные'!$B$239="Да",MeanMinAge06+'19_Расчет_аналитики'!AF560*SUMIF(ThresholdAge06,"&lt;"&amp;'19_Расчет_аналитики'!AF560,WeightedRevAge06)-SUMIF(ThresholdAge06,"&lt;"&amp;'19_Расчет_аналитики'!AF560,WeightedMinAge06),MAX(CapacityAge06*'01_Вводные'!$B$218*'19_Расчет_аналитики'!AF560,MeanMinAge06)))</f>
        <v/>
      </c>
      <c r="AG497">
        <f>IF(OR(('19_Расчет_аналитики'!AG413-'19_Расчет_аналитики'!AG441)=0,6&lt;='01_Вводные'!$B$297),0,('19_Расчет_аналитики'!AG413-'19_Расчет_аналитики'!AG441)*IF('01_Вводные'!$B$239="Да",MeanMinAge06+'19_Расчет_аналитики'!AG560*SUMIF(ThresholdAge06,"&lt;"&amp;'19_Расчет_аналитики'!AG560,WeightedRevAge06)-SUMIF(ThresholdAge06,"&lt;"&amp;'19_Расчет_аналитики'!AG560,WeightedMinAge06),MAX(CapacityAge06*'01_Вводные'!$B$218*'19_Расчет_аналитики'!AG560,MeanMinAge06)))</f>
        <v/>
      </c>
      <c r="AH497">
        <f>IF(OR(('19_Расчет_аналитики'!AH413-'19_Расчет_аналитики'!AH441)=0,6&lt;='01_Вводные'!$B$297),0,('19_Расчет_аналитики'!AH413-'19_Расчет_аналитики'!AH441)*IF('01_Вводные'!$B$239="Да",MeanMinAge06+'19_Расчет_аналитики'!AH560*SUMIF(ThresholdAge06,"&lt;"&amp;'19_Расчет_аналитики'!AH560,WeightedRevAge06)-SUMIF(ThresholdAge06,"&lt;"&amp;'19_Расчет_аналитики'!AH560,WeightedMinAge06),MAX(CapacityAge06*'01_Вводные'!$B$218*'19_Расчет_аналитики'!AH560,MeanMinAge06)))</f>
        <v/>
      </c>
      <c r="AI497">
        <f>IF(OR(('19_Расчет_аналитики'!AI413-'19_Расчет_аналитики'!AI441)=0,6&lt;='01_Вводные'!$B$297),0,('19_Расчет_аналитики'!AI413-'19_Расчет_аналитики'!AI441)*IF('01_Вводные'!$B$239="Да",MeanMinAge06+'19_Расчет_аналитики'!AI560*SUMIF(ThresholdAge06,"&lt;"&amp;'19_Расчет_аналитики'!AI560,WeightedRevAge06)-SUMIF(ThresholdAge06,"&lt;"&amp;'19_Расчет_аналитики'!AI560,WeightedMinAge06),MAX(CapacityAge06*'01_Вводные'!$B$218*'19_Расчет_аналитики'!AI560,MeanMinAge06)))</f>
        <v/>
      </c>
      <c r="AJ497">
        <f>IF(OR(('19_Расчет_аналитики'!AJ413-'19_Расчет_аналитики'!AJ441)=0,6&lt;='01_Вводные'!$B$297),0,('19_Расчет_аналитики'!AJ413-'19_Расчет_аналитики'!AJ441)*IF('01_Вводные'!$B$239="Да",MeanMinAge06+'19_Расчет_аналитики'!AJ560*SUMIF(ThresholdAge06,"&lt;"&amp;'19_Расчет_аналитики'!AJ560,WeightedRevAge06)-SUMIF(ThresholdAge06,"&lt;"&amp;'19_Расчет_аналитики'!AJ560,WeightedMinAge06),MAX(CapacityAge06*'01_Вводные'!$B$218*'19_Расчет_аналитики'!AJ560,MeanMinAge06)))</f>
        <v/>
      </c>
      <c r="AK497">
        <f>IF(OR(('19_Расчет_аналитики'!AK413-'19_Расчет_аналитики'!AK441)=0,6&lt;='01_Вводные'!$B$297),0,('19_Расчет_аналитики'!AK413-'19_Расчет_аналитики'!AK441)*IF('01_Вводные'!$B$239="Да",MeanMinAge06+'19_Расчет_аналитики'!AK560*SUMIF(ThresholdAge06,"&lt;"&amp;'19_Расчет_аналитики'!AK560,WeightedRevAge06)-SUMIF(ThresholdAge06,"&lt;"&amp;'19_Расчет_аналитики'!AK560,WeightedMinAge06),MAX(CapacityAge06*'01_Вводные'!$B$218*'19_Расчет_аналитики'!AK560,MeanMinAge06)))</f>
        <v/>
      </c>
      <c r="AL497">
        <f>IF(OR(('19_Расчет_аналитики'!AL413-'19_Расчет_аналитики'!AL441)=0,6&lt;='01_Вводные'!$B$297),0,('19_Расчет_аналитики'!AL413-'19_Расчет_аналитики'!AL441)*IF('01_Вводные'!$B$239="Да",MeanMinAge06+'19_Расчет_аналитики'!AL560*SUMIF(ThresholdAge06,"&lt;"&amp;'19_Расчет_аналитики'!AL560,WeightedRevAge06)-SUMIF(ThresholdAge06,"&lt;"&amp;'19_Расчет_аналитики'!AL560,WeightedMinAge06),MAX(CapacityAge06*'01_Вводные'!$B$218*'19_Расчет_аналитики'!AL560,MeanMinAge06)))</f>
        <v/>
      </c>
      <c r="AM497">
        <f>IF(OR(('19_Расчет_аналитики'!AM413-'19_Расчет_аналитики'!AM441)=0,6&lt;='01_Вводные'!$B$297),0,('19_Расчет_аналитики'!AM413-'19_Расчет_аналитики'!AM441)*IF('01_Вводные'!$B$239="Да",MeanMinAge06+'19_Расчет_аналитики'!AM560*SUMIF(ThresholdAge06,"&lt;"&amp;'19_Расчет_аналитики'!AM560,WeightedRevAge06)-SUMIF(ThresholdAge06,"&lt;"&amp;'19_Расчет_аналитики'!AM560,WeightedMinAge06),MAX(CapacityAge06*'01_Вводные'!$B$218*'19_Расчет_аналитики'!AM560,MeanMinAge06)))</f>
        <v/>
      </c>
      <c r="AN497">
        <f>IF(OR(('19_Расчет_аналитики'!AN413-'19_Расчет_аналитики'!AN441)=0,6&lt;='01_Вводные'!$B$297),0,('19_Расчет_аналитики'!AN413-'19_Расчет_аналитики'!AN441)*IF('01_Вводные'!$B$239="Да",MeanMinAge06+'19_Расчет_аналитики'!AN560*SUMIF(ThresholdAge06,"&lt;"&amp;'19_Расчет_аналитики'!AN560,WeightedRevAge06)-SUMIF(ThresholdAge06,"&lt;"&amp;'19_Расчет_аналитики'!AN560,WeightedMinAge06),MAX(CapacityAge06*'01_Вводные'!$B$218*'19_Расчет_аналитики'!AN560,MeanMinAge06)))</f>
        <v/>
      </c>
      <c r="AO497">
        <f>IF(OR(('19_Расчет_аналитики'!AO413-'19_Расчет_аналитики'!AO441)=0,6&lt;='01_Вводные'!$B$297),0,('19_Расчет_аналитики'!AO413-'19_Расчет_аналитики'!AO441)*IF('01_Вводные'!$B$239="Да",MeanMinAge06+'19_Расчет_аналитики'!AO560*SUMIF(ThresholdAge06,"&lt;"&amp;'19_Расчет_аналитики'!AO560,WeightedRevAge06)-SUMIF(ThresholdAge06,"&lt;"&amp;'19_Расчет_аналитики'!AO560,WeightedMinAge06),MAX(CapacityAge06*'01_Вводные'!$B$218*'19_Расчет_аналитики'!AO560,MeanMinAge06)))</f>
        <v/>
      </c>
      <c r="AP497">
        <f>IF(OR(('19_Расчет_аналитики'!AP413-'19_Расчет_аналитики'!AP441)=0,6&lt;='01_Вводные'!$B$297),0,('19_Расчет_аналитики'!AP413-'19_Расчет_аналитики'!AP441)*IF('01_Вводные'!$B$239="Да",MeanMinAge06+'19_Расчет_аналитики'!AP560*SUMIF(ThresholdAge06,"&lt;"&amp;'19_Расчет_аналитики'!AP560,WeightedRevAge06)-SUMIF(ThresholdAge06,"&lt;"&amp;'19_Расчет_аналитики'!AP560,WeightedMinAge06),MAX(CapacityAge06*'01_Вводные'!$B$218*'19_Расчет_аналитики'!AP560,MeanMinAge06)))</f>
        <v/>
      </c>
      <c r="AQ497">
        <f>IF(OR(('19_Расчет_аналитики'!AQ413-'19_Расчет_аналитики'!AQ441)=0,6&lt;='01_Вводные'!$B$297),0,('19_Расчет_аналитики'!AQ413-'19_Расчет_аналитики'!AQ441)*IF('01_Вводные'!$B$239="Да",MeanMinAge06+'19_Расчет_аналитики'!AQ560*SUMIF(ThresholdAge06,"&lt;"&amp;'19_Расчет_аналитики'!AQ560,WeightedRevAge06)-SUMIF(ThresholdAge06,"&lt;"&amp;'19_Расчет_аналитики'!AQ560,WeightedMinAge06),MAX(CapacityAge06*'01_Вводные'!$B$218*'19_Расчет_аналитики'!AQ560,MeanMinAge06)))</f>
        <v/>
      </c>
      <c r="AR497">
        <f>IF(OR(('19_Расчет_аналитики'!AR413-'19_Расчет_аналитики'!AR441)=0,6&lt;='01_Вводные'!$B$297),0,('19_Расчет_аналитики'!AR413-'19_Расчет_аналитики'!AR441)*IF('01_Вводные'!$B$239="Да",MeanMinAge06+'19_Расчет_аналитики'!AR560*SUMIF(ThresholdAge06,"&lt;"&amp;'19_Расчет_аналитики'!AR560,WeightedRevAge06)-SUMIF(ThresholdAge06,"&lt;"&amp;'19_Расчет_аналитики'!AR560,WeightedMinAge06),MAX(CapacityAge06*'01_Вводные'!$B$218*'19_Расчет_аналитики'!AR560,MeanMinAge06)))</f>
        <v/>
      </c>
      <c r="AS497">
        <f>IF(OR(('19_Расчет_аналитики'!AS413-'19_Расчет_аналитики'!AS441)=0,6&lt;='01_Вводные'!$B$297),0,('19_Расчет_аналитики'!AS413-'19_Расчет_аналитики'!AS441)*IF('01_Вводные'!$B$239="Да",MeanMinAge06+'19_Расчет_аналитики'!AS560*SUMIF(ThresholdAge06,"&lt;"&amp;'19_Расчет_аналитики'!AS560,WeightedRevAge06)-SUMIF(ThresholdAge06,"&lt;"&amp;'19_Расчет_аналитики'!AS560,WeightedMinAge06),MAX(CapacityAge06*'01_Вводные'!$B$218*'19_Расчет_аналитики'!AS560,MeanMinAge06)))</f>
        <v/>
      </c>
      <c r="AT497">
        <f>IF(OR(('19_Расчет_аналитики'!AT413-'19_Расчет_аналитики'!AT441)=0,6&lt;='01_Вводные'!$B$297),0,('19_Расчет_аналитики'!AT413-'19_Расчет_аналитики'!AT441)*IF('01_Вводные'!$B$239="Да",MeanMinAge06+'19_Расчет_аналитики'!AT560*SUMIF(ThresholdAge06,"&lt;"&amp;'19_Расчет_аналитики'!AT560,WeightedRevAge06)-SUMIF(ThresholdAge06,"&lt;"&amp;'19_Расчет_аналитики'!AT560,WeightedMinAge06),MAX(CapacityAge06*'01_Вводные'!$B$218*'19_Расчет_аналитики'!AT560,MeanMinAge06)))</f>
        <v/>
      </c>
      <c r="AU497">
        <f>IF(OR(('19_Расчет_аналитики'!AU413-'19_Расчет_аналитики'!AU441)=0,6&lt;='01_Вводные'!$B$297),0,('19_Расчет_аналитики'!AU413-'19_Расчет_аналитики'!AU441)*IF('01_Вводные'!$B$239="Да",MeanMinAge06+'19_Расчет_аналитики'!AU560*SUMIF(ThresholdAge06,"&lt;"&amp;'19_Расчет_аналитики'!AU560,WeightedRevAge06)-SUMIF(ThresholdAge06,"&lt;"&amp;'19_Расчет_аналитики'!AU560,WeightedMinAge06),MAX(CapacityAge06*'01_Вводные'!$B$218*'19_Расчет_аналитики'!AU560,MeanMinAge06)))</f>
        <v/>
      </c>
      <c r="AV497">
        <f>IF(OR(('19_Расчет_аналитики'!AV413-'19_Расчет_аналитики'!AV441)=0,6&lt;='01_Вводные'!$B$297),0,('19_Расчет_аналитики'!AV413-'19_Расчет_аналитики'!AV441)*IF('01_Вводные'!$B$239="Да",MeanMinAge06+'19_Расчет_аналитики'!AV560*SUMIF(ThresholdAge06,"&lt;"&amp;'19_Расчет_аналитики'!AV560,WeightedRevAge06)-SUMIF(ThresholdAge06,"&lt;"&amp;'19_Расчет_аналитики'!AV560,WeightedMinAge06),MAX(CapacityAge06*'01_Вводные'!$B$218*'19_Расчет_аналитики'!AV560,MeanMinAge06)))</f>
        <v/>
      </c>
      <c r="AW497">
        <f>IF(OR(('19_Расчет_аналитики'!AW413-'19_Расчет_аналитики'!AW441)=0,6&lt;='01_Вводные'!$B$297),0,('19_Расчет_аналитики'!AW413-'19_Расчет_аналитики'!AW441)*IF('01_Вводные'!$B$239="Да",MeanMinAge06+'19_Расчет_аналитики'!AW560*SUMIF(ThresholdAge06,"&lt;"&amp;'19_Расчет_аналитики'!AW560,WeightedRevAge06)-SUMIF(ThresholdAge06,"&lt;"&amp;'19_Расчет_аналитики'!AW560,WeightedMinAge06),MAX(CapacityAge06*'01_Вводные'!$B$218*'19_Расчет_аналитики'!AW560,MeanMinAge06)))</f>
        <v/>
      </c>
      <c r="AX497">
        <f>IF(OR(('19_Расчет_аналитики'!AX413-'19_Расчет_аналитики'!AX441)=0,6&lt;='01_Вводные'!$B$297),0,('19_Расчет_аналитики'!AX413-'19_Расчет_аналитики'!AX441)*IF('01_Вводные'!$B$239="Да",MeanMinAge06+'19_Расчет_аналитики'!AX560*SUMIF(ThresholdAge06,"&lt;"&amp;'19_Расчет_аналитики'!AX560,WeightedRevAge06)-SUMIF(ThresholdAge06,"&lt;"&amp;'19_Расчет_аналитики'!AX560,WeightedMinAge06),MAX(CapacityAge06*'01_Вводные'!$B$218*'19_Расчет_аналитики'!AX560,MeanMinAge06)))</f>
        <v/>
      </c>
      <c r="AY497">
        <f>IF(OR(('19_Расчет_аналитики'!AY413-'19_Расчет_аналитики'!AY441)=0,6&lt;='01_Вводные'!$B$297),0,('19_Расчет_аналитики'!AY413-'19_Расчет_аналитики'!AY441)*IF('01_Вводные'!$B$239="Да",MeanMinAge06+'19_Расчет_аналитики'!AY560*SUMIF(ThresholdAge06,"&lt;"&amp;'19_Расчет_аналитики'!AY560,WeightedRevAge06)-SUMIF(ThresholdAge06,"&lt;"&amp;'19_Расчет_аналитики'!AY560,WeightedMinAge06),MAX(CapacityAge06*'01_Вводные'!$B$218*'19_Расчет_аналитики'!AY560,MeanMinAge06)))</f>
        <v/>
      </c>
      <c r="AZ497">
        <f>IF(OR(('19_Расчет_аналитики'!AZ413-'19_Расчет_аналитики'!AZ441)=0,6&lt;='01_Вводные'!$B$297),0,('19_Расчет_аналитики'!AZ413-'19_Расчет_аналитики'!AZ441)*IF('01_Вводные'!$B$239="Да",MeanMinAge06+'19_Расчет_аналитики'!AZ560*SUMIF(ThresholdAge06,"&lt;"&amp;'19_Расчет_аналитики'!AZ560,WeightedRevAge06)-SUMIF(ThresholdAge06,"&lt;"&amp;'19_Расчет_аналитики'!AZ560,WeightedMinAge06),MAX(CapacityAge06*'01_Вводные'!$B$218*'19_Расчет_аналитики'!AZ560,MeanMinAge06)))</f>
        <v/>
      </c>
      <c r="BA497">
        <f>IF(OR(('19_Расчет_аналитики'!BA413-'19_Расчет_аналитики'!BA441)=0,6&lt;='01_Вводные'!$B$297),0,('19_Расчет_аналитики'!BA413-'19_Расчет_аналитики'!BA441)*IF('01_Вводные'!$B$239="Да",MeanMinAge06+'19_Расчет_аналитики'!BA560*SUMIF(ThresholdAge06,"&lt;"&amp;'19_Расчет_аналитики'!BA560,WeightedRevAge06)-SUMIF(ThresholdAge06,"&lt;"&amp;'19_Расчет_аналитики'!BA560,WeightedMinAge06),MAX(CapacityAge06*'01_Вводные'!$B$218*'19_Расчет_аналитики'!BA560,MeanMinAge06)))</f>
        <v/>
      </c>
      <c r="BB497">
        <f>IF(OR(('19_Расчет_аналитики'!BB413-'19_Расчет_аналитики'!BB441)=0,6&lt;='01_Вводные'!$B$297),0,('19_Расчет_аналитики'!BB413-'19_Расчет_аналитики'!BB441)*IF('01_Вводные'!$B$239="Да",MeanMinAge06+'19_Расчет_аналитики'!BB560*SUMIF(ThresholdAge06,"&lt;"&amp;'19_Расчет_аналитики'!BB560,WeightedRevAge06)-SUMIF(ThresholdAge06,"&lt;"&amp;'19_Расчет_аналитики'!BB560,WeightedMinAge06),MAX(CapacityAge06*'01_Вводные'!$B$218*'19_Расчет_аналитики'!BB560,MeanMinAge06)))</f>
        <v/>
      </c>
      <c r="BC497">
        <f>IF(OR(('19_Расчет_аналитики'!BC413-'19_Расчет_аналитики'!BC441)=0,6&lt;='01_Вводные'!$B$297),0,('19_Расчет_аналитики'!BC413-'19_Расчет_аналитики'!BC441)*IF('01_Вводные'!$B$239="Да",MeanMinAge06+'19_Расчет_аналитики'!BC560*SUMIF(ThresholdAge06,"&lt;"&amp;'19_Расчет_аналитики'!BC560,WeightedRevAge06)-SUMIF(ThresholdAge06,"&lt;"&amp;'19_Расчет_аналитики'!BC560,WeightedMinAge06),MAX(CapacityAge06*'01_Вводные'!$B$218*'19_Расчет_аналитики'!BC560,MeanMinAge06)))</f>
        <v/>
      </c>
      <c r="BD497">
        <f>IF(OR(('19_Расчет_аналитики'!BD413-'19_Расчет_аналитики'!BD441)=0,6&lt;='01_Вводные'!$B$297),0,('19_Расчет_аналитики'!BD413-'19_Расчет_аналитики'!BD441)*IF('01_Вводные'!$B$239="Да",MeanMinAge06+'19_Расчет_аналитики'!BD560*SUMIF(ThresholdAge06,"&lt;"&amp;'19_Расчет_аналитики'!BD560,WeightedRevAge06)-SUMIF(ThresholdAge06,"&lt;"&amp;'19_Расчет_аналитики'!BD560,WeightedMinAge06),MAX(CapacityAge06*'01_Вводные'!$B$218*'19_Расчет_аналитики'!BD560,MeanMinAge06)))</f>
        <v/>
      </c>
      <c r="BE497">
        <f>IF(OR(('19_Расчет_аналитики'!BE413-'19_Расчет_аналитики'!BE441)=0,6&lt;='01_Вводные'!$B$297),0,('19_Расчет_аналитики'!BE413-'19_Расчет_аналитики'!BE441)*IF('01_Вводные'!$B$239="Да",MeanMinAge06+'19_Расчет_аналитики'!BE560*SUMIF(ThresholdAge06,"&lt;"&amp;'19_Расчет_аналитики'!BE560,WeightedRevAge06)-SUMIF(ThresholdAge06,"&lt;"&amp;'19_Расчет_аналитики'!BE560,WeightedMinAge06),MAX(CapacityAge06*'01_Вводные'!$B$218*'19_Расчет_аналитики'!BE560,MeanMinAge06)))</f>
        <v/>
      </c>
      <c r="BF497">
        <f>IF(OR(('19_Расчет_аналитики'!BF413-'19_Расчет_аналитики'!BF441)=0,6&lt;='01_Вводные'!$B$297),0,('19_Расчет_аналитики'!BF413-'19_Расчет_аналитики'!BF441)*IF('01_Вводные'!$B$239="Да",MeanMinAge06+'19_Расчет_аналитики'!BF560*SUMIF(ThresholdAge06,"&lt;"&amp;'19_Расчет_аналитики'!BF560,WeightedRevAge06)-SUMIF(ThresholdAge06,"&lt;"&amp;'19_Расчет_аналитики'!BF560,WeightedMinAge06),MAX(CapacityAge06*'01_Вводные'!$B$218*'19_Расчет_аналитики'!BF560,MeanMinAge06)))</f>
        <v/>
      </c>
      <c r="BG497">
        <f>IF(OR(('19_Расчет_аналитики'!BG413-'19_Расчет_аналитики'!BG441)=0,6&lt;='01_Вводные'!$B$297),0,('19_Расчет_аналитики'!BG413-'19_Расчет_аналитики'!BG441)*IF('01_Вводные'!$B$239="Да",MeanMinAge06+'19_Расчет_аналитики'!BG560*SUMIF(ThresholdAge06,"&lt;"&amp;'19_Расчет_аналитики'!BG560,WeightedRevAge06)-SUMIF(ThresholdAge06,"&lt;"&amp;'19_Расчет_аналитики'!BG560,WeightedMinAge06),MAX(CapacityAge06*'01_Вводные'!$B$218*'19_Расчет_аналитики'!BG560,MeanMinAge06)))</f>
        <v/>
      </c>
      <c r="BH497">
        <f>IF(OR(('19_Расчет_аналитики'!BH413-'19_Расчет_аналитики'!BH441)=0,6&lt;='01_Вводные'!$B$297),0,('19_Расчет_аналитики'!BH413-'19_Расчет_аналитики'!BH441)*IF('01_Вводные'!$B$239="Да",MeanMinAge06+'19_Расчет_аналитики'!BH560*SUMIF(ThresholdAge06,"&lt;"&amp;'19_Расчет_аналитики'!BH560,WeightedRevAge06)-SUMIF(ThresholdAge06,"&lt;"&amp;'19_Расчет_аналитики'!BH560,WeightedMinAge06),MAX(CapacityAge06*'01_Вводные'!$B$218*'19_Расчет_аналитики'!BH560,MeanMinAge06)))</f>
        <v/>
      </c>
      <c r="BI497">
        <f>IF(OR(('19_Расчет_аналитики'!BI413-'19_Расчет_аналитики'!BI441)=0,6&lt;='01_Вводные'!$B$297),0,('19_Расчет_аналитики'!BI413-'19_Расчет_аналитики'!BI441)*IF('01_Вводные'!$B$239="Да",MeanMinAge06+'19_Расчет_аналитики'!BI560*SUMIF(ThresholdAge06,"&lt;"&amp;'19_Расчет_аналитики'!BI560,WeightedRevAge06)-SUMIF(ThresholdAge06,"&lt;"&amp;'19_Расчет_аналитики'!BI560,WeightedMinAge06),MAX(CapacityAge06*'01_Вводные'!$B$218*'19_Расчет_аналитики'!BI560,MeanMinAge06)))</f>
        <v/>
      </c>
      <c r="BJ497">
        <f>IF(OR(('19_Расчет_аналитики'!BJ413-'19_Расчет_аналитики'!BJ441)=0,6&lt;='01_Вводные'!$B$297),0,('19_Расчет_аналитики'!BJ413-'19_Расчет_аналитики'!BJ441)*IF('01_Вводные'!$B$239="Да",MeanMinAge06+'19_Расчет_аналитики'!BJ560*SUMIF(ThresholdAge06,"&lt;"&amp;'19_Расчет_аналитики'!BJ560,WeightedRevAge06)-SUMIF(ThresholdAge06,"&lt;"&amp;'19_Расчет_аналитики'!BJ560,WeightedMinAge06),MAX(CapacityAge06*'01_Вводные'!$B$218*'19_Расчет_аналитики'!BJ560,MeanMinAge06)))</f>
        <v/>
      </c>
      <c r="BK497">
        <f>IF(OR(('19_Расчет_аналитики'!BK413-'19_Расчет_аналитики'!BK441)=0,6&lt;='01_Вводные'!$B$297),0,('19_Расчет_аналитики'!BK413-'19_Расчет_аналитики'!BK441)*IF('01_Вводные'!$B$239="Да",MeanMinAge06+'19_Расчет_аналитики'!BK560*SUMIF(ThresholdAge06,"&lt;"&amp;'19_Расчет_аналитики'!BK560,WeightedRevAge06)-SUMIF(ThresholdAge06,"&lt;"&amp;'19_Расчет_аналитики'!BK560,WeightedMinAge06),MAX(CapacityAge06*'01_Вводные'!$B$218*'19_Расчет_аналитики'!BK560,MeanMinAge06)))</f>
        <v/>
      </c>
      <c r="BL497">
        <f>IF(OR(('19_Расчет_аналитики'!BL413-'19_Расчет_аналитики'!BL441)=0,6&lt;='01_Вводные'!$B$297),0,('19_Расчет_аналитики'!BL413-'19_Расчет_аналитики'!BL441)*IF('01_Вводные'!$B$239="Да",MeanMinAge06+'19_Расчет_аналитики'!BL560*SUMIF(ThresholdAge06,"&lt;"&amp;'19_Расчет_аналитики'!BL560,WeightedRevAge06)-SUMIF(ThresholdAge06,"&lt;"&amp;'19_Расчет_аналитики'!BL560,WeightedMinAge06),MAX(CapacityAge06*'01_Вводные'!$B$218*'19_Расчет_аналитики'!BL560,MeanMinAge06)))</f>
        <v/>
      </c>
      <c r="BM497">
        <f>IF(OR(('19_Расчет_аналитики'!BM413-'19_Расчет_аналитики'!BM441)=0,6&lt;='01_Вводные'!$B$297),0,('19_Расчет_аналитики'!BM413-'19_Расчет_аналитики'!BM441)*IF('01_Вводные'!$B$239="Да",MeanMinAge06+'19_Расчет_аналитики'!BM560*SUMIF(ThresholdAge06,"&lt;"&amp;'19_Расчет_аналитики'!BM560,WeightedRevAge06)-SUMIF(ThresholdAge06,"&lt;"&amp;'19_Расчет_аналитики'!BM560,WeightedMinAge06),MAX(CapacityAge06*'01_Вводные'!$B$218*'19_Расчет_аналитики'!BM560,MeanMinAge06)))</f>
        <v/>
      </c>
      <c r="BN497">
        <f>IF(OR(('19_Расчет_аналитики'!BN413-'19_Расчет_аналитики'!BN441)=0,6&lt;='01_Вводные'!$B$297),0,('19_Расчет_аналитики'!BN413-'19_Расчет_аналитики'!BN441)*IF('01_Вводные'!$B$239="Да",MeanMinAge06+'19_Расчет_аналитики'!BN560*SUMIF(ThresholdAge06,"&lt;"&amp;'19_Расчет_аналитики'!BN560,WeightedRevAge06)-SUMIF(ThresholdAge06,"&lt;"&amp;'19_Расчет_аналитики'!BN560,WeightedMinAge06),MAX(CapacityAge06*'01_Вводные'!$B$218*'19_Расчет_аналитики'!BN560,MeanMinAge06)))</f>
        <v/>
      </c>
      <c r="BO497">
        <f>IF(OR(('19_Расчет_аналитики'!BO413-'19_Расчет_аналитики'!BO441)=0,6&lt;='01_Вводные'!$B$297),0,('19_Расчет_аналитики'!BO413-'19_Расчет_аналитики'!BO441)*IF('01_Вводные'!$B$239="Да",MeanMinAge06+'19_Расчет_аналитики'!BO560*SUMIF(ThresholdAge06,"&lt;"&amp;'19_Расчет_аналитики'!BO560,WeightedRevAge06)-SUMIF(ThresholdAge06,"&lt;"&amp;'19_Расчет_аналитики'!BO560,WeightedMinAge06),MAX(CapacityAge06*'01_Вводные'!$B$218*'19_Расчет_аналитики'!BO560,MeanMinAge06)))</f>
        <v/>
      </c>
    </row>
    <row r="498">
      <c r="B498">
        <f>IF(OR(('06_Сеть_и_дети'!B59-'06_Сеть_и_дети'!B87)=0,7&lt;='01_Вводные'!$B$297),0,('06_Сеть_и_дети'!B59-'06_Сеть_и_дети'!B87)*IF('01_Вводные'!$B$239="Да",MeanMinAge07+'19_Расчет_аналитики'!B560*SUMIF(ThresholdAge07,"&lt;"&amp;'19_Расчет_аналитики'!B560,WeightedRevAge07)-SUMIF(ThresholdAge07,"&lt;"&amp;'19_Расчет_аналитики'!B560,WeightedMinAge07),MAX(CapacityAge07*'01_Вводные'!$B$218*'19_Расчет_аналитики'!B560,MeanMinAge07)))</f>
        <v/>
      </c>
      <c r="C498">
        <f>IF(OR(('06_Сеть_и_дети'!C59-'06_Сеть_и_дети'!C87)=0,7&lt;='01_Вводные'!$B$297),0,('06_Сеть_и_дети'!C59-'06_Сеть_и_дети'!C87)*IF('01_Вводные'!$B$239="Да",MeanMinAge07+'19_Расчет_аналитики'!C560*SUMIF(ThresholdAge07,"&lt;"&amp;'19_Расчет_аналитики'!C560,WeightedRevAge07)-SUMIF(ThresholdAge07,"&lt;"&amp;'19_Расчет_аналитики'!C560,WeightedMinAge07),MAX(CapacityAge07*'01_Вводные'!$B$218*'19_Расчет_аналитики'!C560,MeanMinAge07)))</f>
        <v/>
      </c>
      <c r="D498">
        <f>IF(OR(('06_Сеть_и_дети'!D59-'06_Сеть_и_дети'!D87)=0,7&lt;='01_Вводные'!$B$297),0,('06_Сеть_и_дети'!D59-'06_Сеть_и_дети'!D87)*IF('01_Вводные'!$B$239="Да",MeanMinAge07+'19_Расчет_аналитики'!D560*SUMIF(ThresholdAge07,"&lt;"&amp;'19_Расчет_аналитики'!D560,WeightedRevAge07)-SUMIF(ThresholdAge07,"&lt;"&amp;'19_Расчет_аналитики'!D560,WeightedMinAge07),MAX(CapacityAge07*'01_Вводные'!$B$218*'19_Расчет_аналитики'!D560,MeanMinAge07)))</f>
        <v/>
      </c>
      <c r="E498">
        <f>IF(OR(('06_Сеть_и_дети'!E59-'06_Сеть_и_дети'!E87)=0,7&lt;='01_Вводные'!$B$297),0,('06_Сеть_и_дети'!E59-'06_Сеть_и_дети'!E87)*IF('01_Вводные'!$B$239="Да",MeanMinAge07+'19_Расчет_аналитики'!E560*SUMIF(ThresholdAge07,"&lt;"&amp;'19_Расчет_аналитики'!E560,WeightedRevAge07)-SUMIF(ThresholdAge07,"&lt;"&amp;'19_Расчет_аналитики'!E560,WeightedMinAge07),MAX(CapacityAge07*'01_Вводные'!$B$218*'19_Расчет_аналитики'!E560,MeanMinAge07)))</f>
        <v/>
      </c>
      <c r="F498">
        <f>IF(OR(('06_Сеть_и_дети'!F59-'06_Сеть_и_дети'!F87)=0,7&lt;='01_Вводные'!$B$297),0,('06_Сеть_и_дети'!F59-'06_Сеть_и_дети'!F87)*IF('01_Вводные'!$B$239="Да",MeanMinAge07+'19_Расчет_аналитики'!F560*SUMIF(ThresholdAge07,"&lt;"&amp;'19_Расчет_аналитики'!F560,WeightedRevAge07)-SUMIF(ThresholdAge07,"&lt;"&amp;'19_Расчет_аналитики'!F560,WeightedMinAge07),MAX(CapacityAge07*'01_Вводные'!$B$218*'19_Расчет_аналитики'!F560,MeanMinAge07)))</f>
        <v/>
      </c>
      <c r="G498">
        <f>IF(OR(('06_Сеть_и_дети'!G59-'06_Сеть_и_дети'!G87)=0,7&lt;='01_Вводные'!$B$297),0,('06_Сеть_и_дети'!G59-'06_Сеть_и_дети'!G87)*IF('01_Вводные'!$B$239="Да",MeanMinAge07+'19_Расчет_аналитики'!G560*SUMIF(ThresholdAge07,"&lt;"&amp;'19_Расчет_аналитики'!G560,WeightedRevAge07)-SUMIF(ThresholdAge07,"&lt;"&amp;'19_Расчет_аналитики'!G560,WeightedMinAge07),MAX(CapacityAge07*'01_Вводные'!$B$218*'19_Расчет_аналитики'!G560,MeanMinAge07)))</f>
        <v/>
      </c>
      <c r="H498">
        <f>IF(OR(('19_Расчет_аналитики'!H414-'19_Расчет_аналитики'!H442)=0,7&lt;='01_Вводные'!$B$297),0,('19_Расчет_аналитики'!H414-'19_Расчет_аналитики'!H442)*IF('01_Вводные'!$B$239="Да",MeanMinAge07+'19_Расчет_аналитики'!H560*SUMIF(ThresholdAge07,"&lt;"&amp;'19_Расчет_аналитики'!H560,WeightedRevAge07)-SUMIF(ThresholdAge07,"&lt;"&amp;'19_Расчет_аналитики'!H560,WeightedMinAge07),MAX(CapacityAge07*'01_Вводные'!$B$218*'19_Расчет_аналитики'!H560,MeanMinAge07)))</f>
        <v/>
      </c>
      <c r="I498">
        <f>IF(OR(('19_Расчет_аналитики'!I414-'19_Расчет_аналитики'!I442)=0,7&lt;='01_Вводные'!$B$297),0,('19_Расчет_аналитики'!I414-'19_Расчет_аналитики'!I442)*IF('01_Вводные'!$B$239="Да",MeanMinAge07+'19_Расчет_аналитики'!I560*SUMIF(ThresholdAge07,"&lt;"&amp;'19_Расчет_аналитики'!I560,WeightedRevAge07)-SUMIF(ThresholdAge07,"&lt;"&amp;'19_Расчет_аналитики'!I560,WeightedMinAge07),MAX(CapacityAge07*'01_Вводные'!$B$218*'19_Расчет_аналитики'!I560,MeanMinAge07)))</f>
        <v/>
      </c>
      <c r="J498">
        <f>IF(OR(('19_Расчет_аналитики'!J414-'19_Расчет_аналитики'!J442)=0,7&lt;='01_Вводные'!$B$297),0,('19_Расчет_аналитики'!J414-'19_Расчет_аналитики'!J442)*IF('01_Вводные'!$B$239="Да",MeanMinAge07+'19_Расчет_аналитики'!J560*SUMIF(ThresholdAge07,"&lt;"&amp;'19_Расчет_аналитики'!J560,WeightedRevAge07)-SUMIF(ThresholdAge07,"&lt;"&amp;'19_Расчет_аналитики'!J560,WeightedMinAge07),MAX(CapacityAge07*'01_Вводные'!$B$218*'19_Расчет_аналитики'!J560,MeanMinAge07)))</f>
        <v/>
      </c>
      <c r="K498">
        <f>IF(OR(('19_Расчет_аналитики'!K414-'19_Расчет_аналитики'!K442)=0,7&lt;='01_Вводные'!$B$297),0,('19_Расчет_аналитики'!K414-'19_Расчет_аналитики'!K442)*IF('01_Вводные'!$B$239="Да",MeanMinAge07+'19_Расчет_аналитики'!K560*SUMIF(ThresholdAge07,"&lt;"&amp;'19_Расчет_аналитики'!K560,WeightedRevAge07)-SUMIF(ThresholdAge07,"&lt;"&amp;'19_Расчет_аналитики'!K560,WeightedMinAge07),MAX(CapacityAge07*'01_Вводные'!$B$218*'19_Расчет_аналитики'!K560,MeanMinAge07)))</f>
        <v/>
      </c>
      <c r="L498">
        <f>IF(OR(('19_Расчет_аналитики'!L414-'19_Расчет_аналитики'!L442)=0,7&lt;='01_Вводные'!$B$297),0,('19_Расчет_аналитики'!L414-'19_Расчет_аналитики'!L442)*IF('01_Вводные'!$B$239="Да",MeanMinAge07+'19_Расчет_аналитики'!L560*SUMIF(ThresholdAge07,"&lt;"&amp;'19_Расчет_аналитики'!L560,WeightedRevAge07)-SUMIF(ThresholdAge07,"&lt;"&amp;'19_Расчет_аналитики'!L560,WeightedMinAge07),MAX(CapacityAge07*'01_Вводные'!$B$218*'19_Расчет_аналитики'!L560,MeanMinAge07)))</f>
        <v/>
      </c>
      <c r="M498">
        <f>IF(OR(('19_Расчет_аналитики'!M414-'19_Расчет_аналитики'!M442)=0,7&lt;='01_Вводные'!$B$297),0,('19_Расчет_аналитики'!M414-'19_Расчет_аналитики'!M442)*IF('01_Вводные'!$B$239="Да",MeanMinAge07+'19_Расчет_аналитики'!M560*SUMIF(ThresholdAge07,"&lt;"&amp;'19_Расчет_аналитики'!M560,WeightedRevAge07)-SUMIF(ThresholdAge07,"&lt;"&amp;'19_Расчет_аналитики'!M560,WeightedMinAge07),MAX(CapacityAge07*'01_Вводные'!$B$218*'19_Расчет_аналитики'!M560,MeanMinAge07)))</f>
        <v/>
      </c>
      <c r="N498">
        <f>IF(OR(('19_Расчет_аналитики'!N414-'19_Расчет_аналитики'!N442)=0,7&lt;='01_Вводные'!$B$297),0,('19_Расчет_аналитики'!N414-'19_Расчет_аналитики'!N442)*IF('01_Вводные'!$B$239="Да",MeanMinAge07+'19_Расчет_аналитики'!N560*SUMIF(ThresholdAge07,"&lt;"&amp;'19_Расчет_аналитики'!N560,WeightedRevAge07)-SUMIF(ThresholdAge07,"&lt;"&amp;'19_Расчет_аналитики'!N560,WeightedMinAge07),MAX(CapacityAge07*'01_Вводные'!$B$218*'19_Расчет_аналитики'!N560,MeanMinAge07)))</f>
        <v/>
      </c>
      <c r="O498">
        <f>IF(OR(('19_Расчет_аналитики'!O414-'19_Расчет_аналитики'!O442)=0,7&lt;='01_Вводные'!$B$297),0,('19_Расчет_аналитики'!O414-'19_Расчет_аналитики'!O442)*IF('01_Вводные'!$B$239="Да",MeanMinAge07+'19_Расчет_аналитики'!O560*SUMIF(ThresholdAge07,"&lt;"&amp;'19_Расчет_аналитики'!O560,WeightedRevAge07)-SUMIF(ThresholdAge07,"&lt;"&amp;'19_Расчет_аналитики'!O560,WeightedMinAge07),MAX(CapacityAge07*'01_Вводные'!$B$218*'19_Расчет_аналитики'!O560,MeanMinAge07)))</f>
        <v/>
      </c>
      <c r="P498">
        <f>IF(OR(('19_Расчет_аналитики'!P414-'19_Расчет_аналитики'!P442)=0,7&lt;='01_Вводные'!$B$297),0,('19_Расчет_аналитики'!P414-'19_Расчет_аналитики'!P442)*IF('01_Вводные'!$B$239="Да",MeanMinAge07+'19_Расчет_аналитики'!P560*SUMIF(ThresholdAge07,"&lt;"&amp;'19_Расчет_аналитики'!P560,WeightedRevAge07)-SUMIF(ThresholdAge07,"&lt;"&amp;'19_Расчет_аналитики'!P560,WeightedMinAge07),MAX(CapacityAge07*'01_Вводные'!$B$218*'19_Расчет_аналитики'!P560,MeanMinAge07)))</f>
        <v/>
      </c>
      <c r="Q498">
        <f>IF(OR(('19_Расчет_аналитики'!Q414-'19_Расчет_аналитики'!Q442)=0,7&lt;='01_Вводные'!$B$297),0,('19_Расчет_аналитики'!Q414-'19_Расчет_аналитики'!Q442)*IF('01_Вводные'!$B$239="Да",MeanMinAge07+'19_Расчет_аналитики'!Q560*SUMIF(ThresholdAge07,"&lt;"&amp;'19_Расчет_аналитики'!Q560,WeightedRevAge07)-SUMIF(ThresholdAge07,"&lt;"&amp;'19_Расчет_аналитики'!Q560,WeightedMinAge07),MAX(CapacityAge07*'01_Вводные'!$B$218*'19_Расчет_аналитики'!Q560,MeanMinAge07)))</f>
        <v/>
      </c>
      <c r="R498">
        <f>IF(OR(('19_Расчет_аналитики'!R414-'19_Расчет_аналитики'!R442)=0,7&lt;='01_Вводные'!$B$297),0,('19_Расчет_аналитики'!R414-'19_Расчет_аналитики'!R442)*IF('01_Вводные'!$B$239="Да",MeanMinAge07+'19_Расчет_аналитики'!R560*SUMIF(ThresholdAge07,"&lt;"&amp;'19_Расчет_аналитики'!R560,WeightedRevAge07)-SUMIF(ThresholdAge07,"&lt;"&amp;'19_Расчет_аналитики'!R560,WeightedMinAge07),MAX(CapacityAge07*'01_Вводные'!$B$218*'19_Расчет_аналитики'!R560,MeanMinAge07)))</f>
        <v/>
      </c>
      <c r="S498">
        <f>IF(OR(('19_Расчет_аналитики'!S414-'19_Расчет_аналитики'!S442)=0,7&lt;='01_Вводные'!$B$297),0,('19_Расчет_аналитики'!S414-'19_Расчет_аналитики'!S442)*IF('01_Вводные'!$B$239="Да",MeanMinAge07+'19_Расчет_аналитики'!S560*SUMIF(ThresholdAge07,"&lt;"&amp;'19_Расчет_аналитики'!S560,WeightedRevAge07)-SUMIF(ThresholdAge07,"&lt;"&amp;'19_Расчет_аналитики'!S560,WeightedMinAge07),MAX(CapacityAge07*'01_Вводные'!$B$218*'19_Расчет_аналитики'!S560,MeanMinAge07)))</f>
        <v/>
      </c>
      <c r="T498">
        <f>IF(OR(('19_Расчет_аналитики'!T414-'19_Расчет_аналитики'!T442)=0,7&lt;='01_Вводные'!$B$297),0,('19_Расчет_аналитики'!T414-'19_Расчет_аналитики'!T442)*IF('01_Вводные'!$B$239="Да",MeanMinAge07+'19_Расчет_аналитики'!T560*SUMIF(ThresholdAge07,"&lt;"&amp;'19_Расчет_аналитики'!T560,WeightedRevAge07)-SUMIF(ThresholdAge07,"&lt;"&amp;'19_Расчет_аналитики'!T560,WeightedMinAge07),MAX(CapacityAge07*'01_Вводные'!$B$218*'19_Расчет_аналитики'!T560,MeanMinAge07)))</f>
        <v/>
      </c>
      <c r="U498">
        <f>IF(OR(('19_Расчет_аналитики'!U414-'19_Расчет_аналитики'!U442)=0,7&lt;='01_Вводные'!$B$297),0,('19_Расчет_аналитики'!U414-'19_Расчет_аналитики'!U442)*IF('01_Вводные'!$B$239="Да",MeanMinAge07+'19_Расчет_аналитики'!U560*SUMIF(ThresholdAge07,"&lt;"&amp;'19_Расчет_аналитики'!U560,WeightedRevAge07)-SUMIF(ThresholdAge07,"&lt;"&amp;'19_Расчет_аналитики'!U560,WeightedMinAge07),MAX(CapacityAge07*'01_Вводные'!$B$218*'19_Расчет_аналитики'!U560,MeanMinAge07)))</f>
        <v/>
      </c>
      <c r="V498">
        <f>IF(OR(('19_Расчет_аналитики'!V414-'19_Расчет_аналитики'!V442)=0,7&lt;='01_Вводные'!$B$297),0,('19_Расчет_аналитики'!V414-'19_Расчет_аналитики'!V442)*IF('01_Вводные'!$B$239="Да",MeanMinAge07+'19_Расчет_аналитики'!V560*SUMIF(ThresholdAge07,"&lt;"&amp;'19_Расчет_аналитики'!V560,WeightedRevAge07)-SUMIF(ThresholdAge07,"&lt;"&amp;'19_Расчет_аналитики'!V560,WeightedMinAge07),MAX(CapacityAge07*'01_Вводные'!$B$218*'19_Расчет_аналитики'!V560,MeanMinAge07)))</f>
        <v/>
      </c>
      <c r="W498">
        <f>IF(OR(('19_Расчет_аналитики'!W414-'19_Расчет_аналитики'!W442)=0,7&lt;='01_Вводные'!$B$297),0,('19_Расчет_аналитики'!W414-'19_Расчет_аналитики'!W442)*IF('01_Вводные'!$B$239="Да",MeanMinAge07+'19_Расчет_аналитики'!W560*SUMIF(ThresholdAge07,"&lt;"&amp;'19_Расчет_аналитики'!W560,WeightedRevAge07)-SUMIF(ThresholdAge07,"&lt;"&amp;'19_Расчет_аналитики'!W560,WeightedMinAge07),MAX(CapacityAge07*'01_Вводные'!$B$218*'19_Расчет_аналитики'!W560,MeanMinAge07)))</f>
        <v/>
      </c>
      <c r="X498">
        <f>IF(OR(('19_Расчет_аналитики'!X414-'19_Расчет_аналитики'!X442)=0,7&lt;='01_Вводные'!$B$297),0,('19_Расчет_аналитики'!X414-'19_Расчет_аналитики'!X442)*IF('01_Вводные'!$B$239="Да",MeanMinAge07+'19_Расчет_аналитики'!X560*SUMIF(ThresholdAge07,"&lt;"&amp;'19_Расчет_аналитики'!X560,WeightedRevAge07)-SUMIF(ThresholdAge07,"&lt;"&amp;'19_Расчет_аналитики'!X560,WeightedMinAge07),MAX(CapacityAge07*'01_Вводные'!$B$218*'19_Расчет_аналитики'!X560,MeanMinAge07)))</f>
        <v/>
      </c>
      <c r="Y498">
        <f>IF(OR(('19_Расчет_аналитики'!Y414-'19_Расчет_аналитики'!Y442)=0,7&lt;='01_Вводные'!$B$297),0,('19_Расчет_аналитики'!Y414-'19_Расчет_аналитики'!Y442)*IF('01_Вводные'!$B$239="Да",MeanMinAge07+'19_Расчет_аналитики'!Y560*SUMIF(ThresholdAge07,"&lt;"&amp;'19_Расчет_аналитики'!Y560,WeightedRevAge07)-SUMIF(ThresholdAge07,"&lt;"&amp;'19_Расчет_аналитики'!Y560,WeightedMinAge07),MAX(CapacityAge07*'01_Вводные'!$B$218*'19_Расчет_аналитики'!Y560,MeanMinAge07)))</f>
        <v/>
      </c>
      <c r="Z498">
        <f>IF(OR(('19_Расчет_аналитики'!Z414-'19_Расчет_аналитики'!Z442)=0,7&lt;='01_Вводные'!$B$297),0,('19_Расчет_аналитики'!Z414-'19_Расчет_аналитики'!Z442)*IF('01_Вводные'!$B$239="Да",MeanMinAge07+'19_Расчет_аналитики'!Z560*SUMIF(ThresholdAge07,"&lt;"&amp;'19_Расчет_аналитики'!Z560,WeightedRevAge07)-SUMIF(ThresholdAge07,"&lt;"&amp;'19_Расчет_аналитики'!Z560,WeightedMinAge07),MAX(CapacityAge07*'01_Вводные'!$B$218*'19_Расчет_аналитики'!Z560,MeanMinAge07)))</f>
        <v/>
      </c>
      <c r="AA498">
        <f>IF(OR(('19_Расчет_аналитики'!AA414-'19_Расчет_аналитики'!AA442)=0,7&lt;='01_Вводные'!$B$297),0,('19_Расчет_аналитики'!AA414-'19_Расчет_аналитики'!AA442)*IF('01_Вводные'!$B$239="Да",MeanMinAge07+'19_Расчет_аналитики'!AA560*SUMIF(ThresholdAge07,"&lt;"&amp;'19_Расчет_аналитики'!AA560,WeightedRevAge07)-SUMIF(ThresholdAge07,"&lt;"&amp;'19_Расчет_аналитики'!AA560,WeightedMinAge07),MAX(CapacityAge07*'01_Вводные'!$B$218*'19_Расчет_аналитики'!AA560,MeanMinAge07)))</f>
        <v/>
      </c>
      <c r="AB498">
        <f>IF(OR(('19_Расчет_аналитики'!AB414-'19_Расчет_аналитики'!AB442)=0,7&lt;='01_Вводные'!$B$297),0,('19_Расчет_аналитики'!AB414-'19_Расчет_аналитики'!AB442)*IF('01_Вводные'!$B$239="Да",MeanMinAge07+'19_Расчет_аналитики'!AB560*SUMIF(ThresholdAge07,"&lt;"&amp;'19_Расчет_аналитики'!AB560,WeightedRevAge07)-SUMIF(ThresholdAge07,"&lt;"&amp;'19_Расчет_аналитики'!AB560,WeightedMinAge07),MAX(CapacityAge07*'01_Вводные'!$B$218*'19_Расчет_аналитики'!AB560,MeanMinAge07)))</f>
        <v/>
      </c>
      <c r="AC498">
        <f>IF(OR(('19_Расчет_аналитики'!AC414-'19_Расчет_аналитики'!AC442)=0,7&lt;='01_Вводные'!$B$297),0,('19_Расчет_аналитики'!AC414-'19_Расчет_аналитики'!AC442)*IF('01_Вводные'!$B$239="Да",MeanMinAge07+'19_Расчет_аналитики'!AC560*SUMIF(ThresholdAge07,"&lt;"&amp;'19_Расчет_аналитики'!AC560,WeightedRevAge07)-SUMIF(ThresholdAge07,"&lt;"&amp;'19_Расчет_аналитики'!AC560,WeightedMinAge07),MAX(CapacityAge07*'01_Вводные'!$B$218*'19_Расчет_аналитики'!AC560,MeanMinAge07)))</f>
        <v/>
      </c>
      <c r="AD498">
        <f>IF(OR(('19_Расчет_аналитики'!AD414-'19_Расчет_аналитики'!AD442)=0,7&lt;='01_Вводные'!$B$297),0,('19_Расчет_аналитики'!AD414-'19_Расчет_аналитики'!AD442)*IF('01_Вводные'!$B$239="Да",MeanMinAge07+'19_Расчет_аналитики'!AD560*SUMIF(ThresholdAge07,"&lt;"&amp;'19_Расчет_аналитики'!AD560,WeightedRevAge07)-SUMIF(ThresholdAge07,"&lt;"&amp;'19_Расчет_аналитики'!AD560,WeightedMinAge07),MAX(CapacityAge07*'01_Вводные'!$B$218*'19_Расчет_аналитики'!AD560,MeanMinAge07)))</f>
        <v/>
      </c>
      <c r="AE498">
        <f>IF(OR(('19_Расчет_аналитики'!AE414-'19_Расчет_аналитики'!AE442)=0,7&lt;='01_Вводные'!$B$297),0,('19_Расчет_аналитики'!AE414-'19_Расчет_аналитики'!AE442)*IF('01_Вводные'!$B$239="Да",MeanMinAge07+'19_Расчет_аналитики'!AE560*SUMIF(ThresholdAge07,"&lt;"&amp;'19_Расчет_аналитики'!AE560,WeightedRevAge07)-SUMIF(ThresholdAge07,"&lt;"&amp;'19_Расчет_аналитики'!AE560,WeightedMinAge07),MAX(CapacityAge07*'01_Вводные'!$B$218*'19_Расчет_аналитики'!AE560,MeanMinAge07)))</f>
        <v/>
      </c>
      <c r="AF498">
        <f>IF(OR(('19_Расчет_аналитики'!AF414-'19_Расчет_аналитики'!AF442)=0,7&lt;='01_Вводные'!$B$297),0,('19_Расчет_аналитики'!AF414-'19_Расчет_аналитики'!AF442)*IF('01_Вводные'!$B$239="Да",MeanMinAge07+'19_Расчет_аналитики'!AF560*SUMIF(ThresholdAge07,"&lt;"&amp;'19_Расчет_аналитики'!AF560,WeightedRevAge07)-SUMIF(ThresholdAge07,"&lt;"&amp;'19_Расчет_аналитики'!AF560,WeightedMinAge07),MAX(CapacityAge07*'01_Вводные'!$B$218*'19_Расчет_аналитики'!AF560,MeanMinAge07)))</f>
        <v/>
      </c>
      <c r="AG498">
        <f>IF(OR(('19_Расчет_аналитики'!AG414-'19_Расчет_аналитики'!AG442)=0,7&lt;='01_Вводные'!$B$297),0,('19_Расчет_аналитики'!AG414-'19_Расчет_аналитики'!AG442)*IF('01_Вводные'!$B$239="Да",MeanMinAge07+'19_Расчет_аналитики'!AG560*SUMIF(ThresholdAge07,"&lt;"&amp;'19_Расчет_аналитики'!AG560,WeightedRevAge07)-SUMIF(ThresholdAge07,"&lt;"&amp;'19_Расчет_аналитики'!AG560,WeightedMinAge07),MAX(CapacityAge07*'01_Вводные'!$B$218*'19_Расчет_аналитики'!AG560,MeanMinAge07)))</f>
        <v/>
      </c>
      <c r="AH498">
        <f>IF(OR(('19_Расчет_аналитики'!AH414-'19_Расчет_аналитики'!AH442)=0,7&lt;='01_Вводные'!$B$297),0,('19_Расчет_аналитики'!AH414-'19_Расчет_аналитики'!AH442)*IF('01_Вводные'!$B$239="Да",MeanMinAge07+'19_Расчет_аналитики'!AH560*SUMIF(ThresholdAge07,"&lt;"&amp;'19_Расчет_аналитики'!AH560,WeightedRevAge07)-SUMIF(ThresholdAge07,"&lt;"&amp;'19_Расчет_аналитики'!AH560,WeightedMinAge07),MAX(CapacityAge07*'01_Вводные'!$B$218*'19_Расчет_аналитики'!AH560,MeanMinAge07)))</f>
        <v/>
      </c>
      <c r="AI498">
        <f>IF(OR(('19_Расчет_аналитики'!AI414-'19_Расчет_аналитики'!AI442)=0,7&lt;='01_Вводные'!$B$297),0,('19_Расчет_аналитики'!AI414-'19_Расчет_аналитики'!AI442)*IF('01_Вводные'!$B$239="Да",MeanMinAge07+'19_Расчет_аналитики'!AI560*SUMIF(ThresholdAge07,"&lt;"&amp;'19_Расчет_аналитики'!AI560,WeightedRevAge07)-SUMIF(ThresholdAge07,"&lt;"&amp;'19_Расчет_аналитики'!AI560,WeightedMinAge07),MAX(CapacityAge07*'01_Вводные'!$B$218*'19_Расчет_аналитики'!AI560,MeanMinAge07)))</f>
        <v/>
      </c>
      <c r="AJ498">
        <f>IF(OR(('19_Расчет_аналитики'!AJ414-'19_Расчет_аналитики'!AJ442)=0,7&lt;='01_Вводные'!$B$297),0,('19_Расчет_аналитики'!AJ414-'19_Расчет_аналитики'!AJ442)*IF('01_Вводные'!$B$239="Да",MeanMinAge07+'19_Расчет_аналитики'!AJ560*SUMIF(ThresholdAge07,"&lt;"&amp;'19_Расчет_аналитики'!AJ560,WeightedRevAge07)-SUMIF(ThresholdAge07,"&lt;"&amp;'19_Расчет_аналитики'!AJ560,WeightedMinAge07),MAX(CapacityAge07*'01_Вводные'!$B$218*'19_Расчет_аналитики'!AJ560,MeanMinAge07)))</f>
        <v/>
      </c>
      <c r="AK498">
        <f>IF(OR(('19_Расчет_аналитики'!AK414-'19_Расчет_аналитики'!AK442)=0,7&lt;='01_Вводные'!$B$297),0,('19_Расчет_аналитики'!AK414-'19_Расчет_аналитики'!AK442)*IF('01_Вводные'!$B$239="Да",MeanMinAge07+'19_Расчет_аналитики'!AK560*SUMIF(ThresholdAge07,"&lt;"&amp;'19_Расчет_аналитики'!AK560,WeightedRevAge07)-SUMIF(ThresholdAge07,"&lt;"&amp;'19_Расчет_аналитики'!AK560,WeightedMinAge07),MAX(CapacityAge07*'01_Вводные'!$B$218*'19_Расчет_аналитики'!AK560,MeanMinAge07)))</f>
        <v/>
      </c>
      <c r="AL498">
        <f>IF(OR(('19_Расчет_аналитики'!AL414-'19_Расчет_аналитики'!AL442)=0,7&lt;='01_Вводные'!$B$297),0,('19_Расчет_аналитики'!AL414-'19_Расчет_аналитики'!AL442)*IF('01_Вводные'!$B$239="Да",MeanMinAge07+'19_Расчет_аналитики'!AL560*SUMIF(ThresholdAge07,"&lt;"&amp;'19_Расчет_аналитики'!AL560,WeightedRevAge07)-SUMIF(ThresholdAge07,"&lt;"&amp;'19_Расчет_аналитики'!AL560,WeightedMinAge07),MAX(CapacityAge07*'01_Вводные'!$B$218*'19_Расчет_аналитики'!AL560,MeanMinAge07)))</f>
        <v/>
      </c>
      <c r="AM498">
        <f>IF(OR(('19_Расчет_аналитики'!AM414-'19_Расчет_аналитики'!AM442)=0,7&lt;='01_Вводные'!$B$297),0,('19_Расчет_аналитики'!AM414-'19_Расчет_аналитики'!AM442)*IF('01_Вводные'!$B$239="Да",MeanMinAge07+'19_Расчет_аналитики'!AM560*SUMIF(ThresholdAge07,"&lt;"&amp;'19_Расчет_аналитики'!AM560,WeightedRevAge07)-SUMIF(ThresholdAge07,"&lt;"&amp;'19_Расчет_аналитики'!AM560,WeightedMinAge07),MAX(CapacityAge07*'01_Вводные'!$B$218*'19_Расчет_аналитики'!AM560,MeanMinAge07)))</f>
        <v/>
      </c>
      <c r="AN498">
        <f>IF(OR(('19_Расчет_аналитики'!AN414-'19_Расчет_аналитики'!AN442)=0,7&lt;='01_Вводные'!$B$297),0,('19_Расчет_аналитики'!AN414-'19_Расчет_аналитики'!AN442)*IF('01_Вводные'!$B$239="Да",MeanMinAge07+'19_Расчет_аналитики'!AN560*SUMIF(ThresholdAge07,"&lt;"&amp;'19_Расчет_аналитики'!AN560,WeightedRevAge07)-SUMIF(ThresholdAge07,"&lt;"&amp;'19_Расчет_аналитики'!AN560,WeightedMinAge07),MAX(CapacityAge07*'01_Вводные'!$B$218*'19_Расчет_аналитики'!AN560,MeanMinAge07)))</f>
        <v/>
      </c>
      <c r="AO498">
        <f>IF(OR(('19_Расчет_аналитики'!AO414-'19_Расчет_аналитики'!AO442)=0,7&lt;='01_Вводные'!$B$297),0,('19_Расчет_аналитики'!AO414-'19_Расчет_аналитики'!AO442)*IF('01_Вводные'!$B$239="Да",MeanMinAge07+'19_Расчет_аналитики'!AO560*SUMIF(ThresholdAge07,"&lt;"&amp;'19_Расчет_аналитики'!AO560,WeightedRevAge07)-SUMIF(ThresholdAge07,"&lt;"&amp;'19_Расчет_аналитики'!AO560,WeightedMinAge07),MAX(CapacityAge07*'01_Вводные'!$B$218*'19_Расчет_аналитики'!AO560,MeanMinAge07)))</f>
        <v/>
      </c>
      <c r="AP498">
        <f>IF(OR(('19_Расчет_аналитики'!AP414-'19_Расчет_аналитики'!AP442)=0,7&lt;='01_Вводные'!$B$297),0,('19_Расчет_аналитики'!AP414-'19_Расчет_аналитики'!AP442)*IF('01_Вводные'!$B$239="Да",MeanMinAge07+'19_Расчет_аналитики'!AP560*SUMIF(ThresholdAge07,"&lt;"&amp;'19_Расчет_аналитики'!AP560,WeightedRevAge07)-SUMIF(ThresholdAge07,"&lt;"&amp;'19_Расчет_аналитики'!AP560,WeightedMinAge07),MAX(CapacityAge07*'01_Вводные'!$B$218*'19_Расчет_аналитики'!AP560,MeanMinAge07)))</f>
        <v/>
      </c>
      <c r="AQ498">
        <f>IF(OR(('19_Расчет_аналитики'!AQ414-'19_Расчет_аналитики'!AQ442)=0,7&lt;='01_Вводные'!$B$297),0,('19_Расчет_аналитики'!AQ414-'19_Расчет_аналитики'!AQ442)*IF('01_Вводные'!$B$239="Да",MeanMinAge07+'19_Расчет_аналитики'!AQ560*SUMIF(ThresholdAge07,"&lt;"&amp;'19_Расчет_аналитики'!AQ560,WeightedRevAge07)-SUMIF(ThresholdAge07,"&lt;"&amp;'19_Расчет_аналитики'!AQ560,WeightedMinAge07),MAX(CapacityAge07*'01_Вводные'!$B$218*'19_Расчет_аналитики'!AQ560,MeanMinAge07)))</f>
        <v/>
      </c>
      <c r="AR498">
        <f>IF(OR(('19_Расчет_аналитики'!AR414-'19_Расчет_аналитики'!AR442)=0,7&lt;='01_Вводные'!$B$297),0,('19_Расчет_аналитики'!AR414-'19_Расчет_аналитики'!AR442)*IF('01_Вводные'!$B$239="Да",MeanMinAge07+'19_Расчет_аналитики'!AR560*SUMIF(ThresholdAge07,"&lt;"&amp;'19_Расчет_аналитики'!AR560,WeightedRevAge07)-SUMIF(ThresholdAge07,"&lt;"&amp;'19_Расчет_аналитики'!AR560,WeightedMinAge07),MAX(CapacityAge07*'01_Вводные'!$B$218*'19_Расчет_аналитики'!AR560,MeanMinAge07)))</f>
        <v/>
      </c>
      <c r="AS498">
        <f>IF(OR(('19_Расчет_аналитики'!AS414-'19_Расчет_аналитики'!AS442)=0,7&lt;='01_Вводные'!$B$297),0,('19_Расчет_аналитики'!AS414-'19_Расчет_аналитики'!AS442)*IF('01_Вводные'!$B$239="Да",MeanMinAge07+'19_Расчет_аналитики'!AS560*SUMIF(ThresholdAge07,"&lt;"&amp;'19_Расчет_аналитики'!AS560,WeightedRevAge07)-SUMIF(ThresholdAge07,"&lt;"&amp;'19_Расчет_аналитики'!AS560,WeightedMinAge07),MAX(CapacityAge07*'01_Вводные'!$B$218*'19_Расчет_аналитики'!AS560,MeanMinAge07)))</f>
        <v/>
      </c>
      <c r="AT498">
        <f>IF(OR(('19_Расчет_аналитики'!AT414-'19_Расчет_аналитики'!AT442)=0,7&lt;='01_Вводные'!$B$297),0,('19_Расчет_аналитики'!AT414-'19_Расчет_аналитики'!AT442)*IF('01_Вводные'!$B$239="Да",MeanMinAge07+'19_Расчет_аналитики'!AT560*SUMIF(ThresholdAge07,"&lt;"&amp;'19_Расчет_аналитики'!AT560,WeightedRevAge07)-SUMIF(ThresholdAge07,"&lt;"&amp;'19_Расчет_аналитики'!AT560,WeightedMinAge07),MAX(CapacityAge07*'01_Вводные'!$B$218*'19_Расчет_аналитики'!AT560,MeanMinAge07)))</f>
        <v/>
      </c>
      <c r="AU498">
        <f>IF(OR(('19_Расчет_аналитики'!AU414-'19_Расчет_аналитики'!AU442)=0,7&lt;='01_Вводные'!$B$297),0,('19_Расчет_аналитики'!AU414-'19_Расчет_аналитики'!AU442)*IF('01_Вводные'!$B$239="Да",MeanMinAge07+'19_Расчет_аналитики'!AU560*SUMIF(ThresholdAge07,"&lt;"&amp;'19_Расчет_аналитики'!AU560,WeightedRevAge07)-SUMIF(ThresholdAge07,"&lt;"&amp;'19_Расчет_аналитики'!AU560,WeightedMinAge07),MAX(CapacityAge07*'01_Вводные'!$B$218*'19_Расчет_аналитики'!AU560,MeanMinAge07)))</f>
        <v/>
      </c>
      <c r="AV498">
        <f>IF(OR(('19_Расчет_аналитики'!AV414-'19_Расчет_аналитики'!AV442)=0,7&lt;='01_Вводные'!$B$297),0,('19_Расчет_аналитики'!AV414-'19_Расчет_аналитики'!AV442)*IF('01_Вводные'!$B$239="Да",MeanMinAge07+'19_Расчет_аналитики'!AV560*SUMIF(ThresholdAge07,"&lt;"&amp;'19_Расчет_аналитики'!AV560,WeightedRevAge07)-SUMIF(ThresholdAge07,"&lt;"&amp;'19_Расчет_аналитики'!AV560,WeightedMinAge07),MAX(CapacityAge07*'01_Вводные'!$B$218*'19_Расчет_аналитики'!AV560,MeanMinAge07)))</f>
        <v/>
      </c>
      <c r="AW498">
        <f>IF(OR(('19_Расчет_аналитики'!AW414-'19_Расчет_аналитики'!AW442)=0,7&lt;='01_Вводные'!$B$297),0,('19_Расчет_аналитики'!AW414-'19_Расчет_аналитики'!AW442)*IF('01_Вводные'!$B$239="Да",MeanMinAge07+'19_Расчет_аналитики'!AW560*SUMIF(ThresholdAge07,"&lt;"&amp;'19_Расчет_аналитики'!AW560,WeightedRevAge07)-SUMIF(ThresholdAge07,"&lt;"&amp;'19_Расчет_аналитики'!AW560,WeightedMinAge07),MAX(CapacityAge07*'01_Вводные'!$B$218*'19_Расчет_аналитики'!AW560,MeanMinAge07)))</f>
        <v/>
      </c>
      <c r="AX498">
        <f>IF(OR(('19_Расчет_аналитики'!AX414-'19_Расчет_аналитики'!AX442)=0,7&lt;='01_Вводные'!$B$297),0,('19_Расчет_аналитики'!AX414-'19_Расчет_аналитики'!AX442)*IF('01_Вводные'!$B$239="Да",MeanMinAge07+'19_Расчет_аналитики'!AX560*SUMIF(ThresholdAge07,"&lt;"&amp;'19_Расчет_аналитики'!AX560,WeightedRevAge07)-SUMIF(ThresholdAge07,"&lt;"&amp;'19_Расчет_аналитики'!AX560,WeightedMinAge07),MAX(CapacityAge07*'01_Вводные'!$B$218*'19_Расчет_аналитики'!AX560,MeanMinAge07)))</f>
        <v/>
      </c>
      <c r="AY498">
        <f>IF(OR(('19_Расчет_аналитики'!AY414-'19_Расчет_аналитики'!AY442)=0,7&lt;='01_Вводные'!$B$297),0,('19_Расчет_аналитики'!AY414-'19_Расчет_аналитики'!AY442)*IF('01_Вводные'!$B$239="Да",MeanMinAge07+'19_Расчет_аналитики'!AY560*SUMIF(ThresholdAge07,"&lt;"&amp;'19_Расчет_аналитики'!AY560,WeightedRevAge07)-SUMIF(ThresholdAge07,"&lt;"&amp;'19_Расчет_аналитики'!AY560,WeightedMinAge07),MAX(CapacityAge07*'01_Вводные'!$B$218*'19_Расчет_аналитики'!AY560,MeanMinAge07)))</f>
        <v/>
      </c>
      <c r="AZ498">
        <f>IF(OR(('19_Расчет_аналитики'!AZ414-'19_Расчет_аналитики'!AZ442)=0,7&lt;='01_Вводные'!$B$297),0,('19_Расчет_аналитики'!AZ414-'19_Расчет_аналитики'!AZ442)*IF('01_Вводные'!$B$239="Да",MeanMinAge07+'19_Расчет_аналитики'!AZ560*SUMIF(ThresholdAge07,"&lt;"&amp;'19_Расчет_аналитики'!AZ560,WeightedRevAge07)-SUMIF(ThresholdAge07,"&lt;"&amp;'19_Расчет_аналитики'!AZ560,WeightedMinAge07),MAX(CapacityAge07*'01_Вводные'!$B$218*'19_Расчет_аналитики'!AZ560,MeanMinAge07)))</f>
        <v/>
      </c>
      <c r="BA498">
        <f>IF(OR(('19_Расчет_аналитики'!BA414-'19_Расчет_аналитики'!BA442)=0,7&lt;='01_Вводные'!$B$297),0,('19_Расчет_аналитики'!BA414-'19_Расчет_аналитики'!BA442)*IF('01_Вводные'!$B$239="Да",MeanMinAge07+'19_Расчет_аналитики'!BA560*SUMIF(ThresholdAge07,"&lt;"&amp;'19_Расчет_аналитики'!BA560,WeightedRevAge07)-SUMIF(ThresholdAge07,"&lt;"&amp;'19_Расчет_аналитики'!BA560,WeightedMinAge07),MAX(CapacityAge07*'01_Вводные'!$B$218*'19_Расчет_аналитики'!BA560,MeanMinAge07)))</f>
        <v/>
      </c>
      <c r="BB498">
        <f>IF(OR(('19_Расчет_аналитики'!BB414-'19_Расчет_аналитики'!BB442)=0,7&lt;='01_Вводные'!$B$297),0,('19_Расчет_аналитики'!BB414-'19_Расчет_аналитики'!BB442)*IF('01_Вводные'!$B$239="Да",MeanMinAge07+'19_Расчет_аналитики'!BB560*SUMIF(ThresholdAge07,"&lt;"&amp;'19_Расчет_аналитики'!BB560,WeightedRevAge07)-SUMIF(ThresholdAge07,"&lt;"&amp;'19_Расчет_аналитики'!BB560,WeightedMinAge07),MAX(CapacityAge07*'01_Вводные'!$B$218*'19_Расчет_аналитики'!BB560,MeanMinAge07)))</f>
        <v/>
      </c>
      <c r="BC498">
        <f>IF(OR(('19_Расчет_аналитики'!BC414-'19_Расчет_аналитики'!BC442)=0,7&lt;='01_Вводные'!$B$297),0,('19_Расчет_аналитики'!BC414-'19_Расчет_аналитики'!BC442)*IF('01_Вводные'!$B$239="Да",MeanMinAge07+'19_Расчет_аналитики'!BC560*SUMIF(ThresholdAge07,"&lt;"&amp;'19_Расчет_аналитики'!BC560,WeightedRevAge07)-SUMIF(ThresholdAge07,"&lt;"&amp;'19_Расчет_аналитики'!BC560,WeightedMinAge07),MAX(CapacityAge07*'01_Вводные'!$B$218*'19_Расчет_аналитики'!BC560,MeanMinAge07)))</f>
        <v/>
      </c>
      <c r="BD498">
        <f>IF(OR(('19_Расчет_аналитики'!BD414-'19_Расчет_аналитики'!BD442)=0,7&lt;='01_Вводные'!$B$297),0,('19_Расчет_аналитики'!BD414-'19_Расчет_аналитики'!BD442)*IF('01_Вводные'!$B$239="Да",MeanMinAge07+'19_Расчет_аналитики'!BD560*SUMIF(ThresholdAge07,"&lt;"&amp;'19_Расчет_аналитики'!BD560,WeightedRevAge07)-SUMIF(ThresholdAge07,"&lt;"&amp;'19_Расчет_аналитики'!BD560,WeightedMinAge07),MAX(CapacityAge07*'01_Вводные'!$B$218*'19_Расчет_аналитики'!BD560,MeanMinAge07)))</f>
        <v/>
      </c>
      <c r="BE498">
        <f>IF(OR(('19_Расчет_аналитики'!BE414-'19_Расчет_аналитики'!BE442)=0,7&lt;='01_Вводные'!$B$297),0,('19_Расчет_аналитики'!BE414-'19_Расчет_аналитики'!BE442)*IF('01_Вводные'!$B$239="Да",MeanMinAge07+'19_Расчет_аналитики'!BE560*SUMIF(ThresholdAge07,"&lt;"&amp;'19_Расчет_аналитики'!BE560,WeightedRevAge07)-SUMIF(ThresholdAge07,"&lt;"&amp;'19_Расчет_аналитики'!BE560,WeightedMinAge07),MAX(CapacityAge07*'01_Вводные'!$B$218*'19_Расчет_аналитики'!BE560,MeanMinAge07)))</f>
        <v/>
      </c>
      <c r="BF498">
        <f>IF(OR(('19_Расчет_аналитики'!BF414-'19_Расчет_аналитики'!BF442)=0,7&lt;='01_Вводные'!$B$297),0,('19_Расчет_аналитики'!BF414-'19_Расчет_аналитики'!BF442)*IF('01_Вводные'!$B$239="Да",MeanMinAge07+'19_Расчет_аналитики'!BF560*SUMIF(ThresholdAge07,"&lt;"&amp;'19_Расчет_аналитики'!BF560,WeightedRevAge07)-SUMIF(ThresholdAge07,"&lt;"&amp;'19_Расчет_аналитики'!BF560,WeightedMinAge07),MAX(CapacityAge07*'01_Вводные'!$B$218*'19_Расчет_аналитики'!BF560,MeanMinAge07)))</f>
        <v/>
      </c>
      <c r="BG498">
        <f>IF(OR(('19_Расчет_аналитики'!BG414-'19_Расчет_аналитики'!BG442)=0,7&lt;='01_Вводные'!$B$297),0,('19_Расчет_аналитики'!BG414-'19_Расчет_аналитики'!BG442)*IF('01_Вводные'!$B$239="Да",MeanMinAge07+'19_Расчет_аналитики'!BG560*SUMIF(ThresholdAge07,"&lt;"&amp;'19_Расчет_аналитики'!BG560,WeightedRevAge07)-SUMIF(ThresholdAge07,"&lt;"&amp;'19_Расчет_аналитики'!BG560,WeightedMinAge07),MAX(CapacityAge07*'01_Вводные'!$B$218*'19_Расчет_аналитики'!BG560,MeanMinAge07)))</f>
        <v/>
      </c>
      <c r="BH498">
        <f>IF(OR(('19_Расчет_аналитики'!BH414-'19_Расчет_аналитики'!BH442)=0,7&lt;='01_Вводные'!$B$297),0,('19_Расчет_аналитики'!BH414-'19_Расчет_аналитики'!BH442)*IF('01_Вводные'!$B$239="Да",MeanMinAge07+'19_Расчет_аналитики'!BH560*SUMIF(ThresholdAge07,"&lt;"&amp;'19_Расчет_аналитики'!BH560,WeightedRevAge07)-SUMIF(ThresholdAge07,"&lt;"&amp;'19_Расчет_аналитики'!BH560,WeightedMinAge07),MAX(CapacityAge07*'01_Вводные'!$B$218*'19_Расчет_аналитики'!BH560,MeanMinAge07)))</f>
        <v/>
      </c>
      <c r="BI498">
        <f>IF(OR(('19_Расчет_аналитики'!BI414-'19_Расчет_аналитики'!BI442)=0,7&lt;='01_Вводные'!$B$297),0,('19_Расчет_аналитики'!BI414-'19_Расчет_аналитики'!BI442)*IF('01_Вводные'!$B$239="Да",MeanMinAge07+'19_Расчет_аналитики'!BI560*SUMIF(ThresholdAge07,"&lt;"&amp;'19_Расчет_аналитики'!BI560,WeightedRevAge07)-SUMIF(ThresholdAge07,"&lt;"&amp;'19_Расчет_аналитики'!BI560,WeightedMinAge07),MAX(CapacityAge07*'01_Вводные'!$B$218*'19_Расчет_аналитики'!BI560,MeanMinAge07)))</f>
        <v/>
      </c>
      <c r="BJ498">
        <f>IF(OR(('19_Расчет_аналитики'!BJ414-'19_Расчет_аналитики'!BJ442)=0,7&lt;='01_Вводные'!$B$297),0,('19_Расчет_аналитики'!BJ414-'19_Расчет_аналитики'!BJ442)*IF('01_Вводные'!$B$239="Да",MeanMinAge07+'19_Расчет_аналитики'!BJ560*SUMIF(ThresholdAge07,"&lt;"&amp;'19_Расчет_аналитики'!BJ560,WeightedRevAge07)-SUMIF(ThresholdAge07,"&lt;"&amp;'19_Расчет_аналитики'!BJ560,WeightedMinAge07),MAX(CapacityAge07*'01_Вводные'!$B$218*'19_Расчет_аналитики'!BJ560,MeanMinAge07)))</f>
        <v/>
      </c>
      <c r="BK498">
        <f>IF(OR(('19_Расчет_аналитики'!BK414-'19_Расчет_аналитики'!BK442)=0,7&lt;='01_Вводные'!$B$297),0,('19_Расчет_аналитики'!BK414-'19_Расчет_аналитики'!BK442)*IF('01_Вводные'!$B$239="Да",MeanMinAge07+'19_Расчет_аналитики'!BK560*SUMIF(ThresholdAge07,"&lt;"&amp;'19_Расчет_аналитики'!BK560,WeightedRevAge07)-SUMIF(ThresholdAge07,"&lt;"&amp;'19_Расчет_аналитики'!BK560,WeightedMinAge07),MAX(CapacityAge07*'01_Вводные'!$B$218*'19_Расчет_аналитики'!BK560,MeanMinAge07)))</f>
        <v/>
      </c>
      <c r="BL498">
        <f>IF(OR(('19_Расчет_аналитики'!BL414-'19_Расчет_аналитики'!BL442)=0,7&lt;='01_Вводные'!$B$297),0,('19_Расчет_аналитики'!BL414-'19_Расчет_аналитики'!BL442)*IF('01_Вводные'!$B$239="Да",MeanMinAge07+'19_Расчет_аналитики'!BL560*SUMIF(ThresholdAge07,"&lt;"&amp;'19_Расчет_аналитики'!BL560,WeightedRevAge07)-SUMIF(ThresholdAge07,"&lt;"&amp;'19_Расчет_аналитики'!BL560,WeightedMinAge07),MAX(CapacityAge07*'01_Вводные'!$B$218*'19_Расчет_аналитики'!BL560,MeanMinAge07)))</f>
        <v/>
      </c>
      <c r="BM498">
        <f>IF(OR(('19_Расчет_аналитики'!BM414-'19_Расчет_аналитики'!BM442)=0,7&lt;='01_Вводные'!$B$297),0,('19_Расчет_аналитики'!BM414-'19_Расчет_аналитики'!BM442)*IF('01_Вводные'!$B$239="Да",MeanMinAge07+'19_Расчет_аналитики'!BM560*SUMIF(ThresholdAge07,"&lt;"&amp;'19_Расчет_аналитики'!BM560,WeightedRevAge07)-SUMIF(ThresholdAge07,"&lt;"&amp;'19_Расчет_аналитики'!BM560,WeightedMinAge07),MAX(CapacityAge07*'01_Вводные'!$B$218*'19_Расчет_аналитики'!BM560,MeanMinAge07)))</f>
        <v/>
      </c>
      <c r="BN498">
        <f>IF(OR(('19_Расчет_аналитики'!BN414-'19_Расчет_аналитики'!BN442)=0,7&lt;='01_Вводные'!$B$297),0,('19_Расчет_аналитики'!BN414-'19_Расчет_аналитики'!BN442)*IF('01_Вводные'!$B$239="Да",MeanMinAge07+'19_Расчет_аналитики'!BN560*SUMIF(ThresholdAge07,"&lt;"&amp;'19_Расчет_аналитики'!BN560,WeightedRevAge07)-SUMIF(ThresholdAge07,"&lt;"&amp;'19_Расчет_аналитики'!BN560,WeightedMinAge07),MAX(CapacityAge07*'01_Вводные'!$B$218*'19_Расчет_аналитики'!BN560,MeanMinAge07)))</f>
        <v/>
      </c>
      <c r="BO498">
        <f>IF(OR(('19_Расчет_аналитики'!BO414-'19_Расчет_аналитики'!BO442)=0,7&lt;='01_Вводные'!$B$297),0,('19_Расчет_аналитики'!BO414-'19_Расчет_аналитики'!BO442)*IF('01_Вводные'!$B$239="Да",MeanMinAge07+'19_Расчет_аналитики'!BO560*SUMIF(ThresholdAge07,"&lt;"&amp;'19_Расчет_аналитики'!BO560,WeightedRevAge07)-SUMIF(ThresholdAge07,"&lt;"&amp;'19_Расчет_аналитики'!BO560,WeightedMinAge07),MAX(CapacityAge07*'01_Вводные'!$B$218*'19_Расчет_аналитики'!BO560,MeanMinAge07)))</f>
        <v/>
      </c>
    </row>
    <row r="499">
      <c r="B499">
        <f>IF(OR(('06_Сеть_и_дети'!B60-'06_Сеть_и_дети'!B88)=0,8&lt;='01_Вводные'!$B$297),0,('06_Сеть_и_дети'!B60-'06_Сеть_и_дети'!B88)*IF('01_Вводные'!$B$239="Да",MeanMinAge08+'19_Расчет_аналитики'!B560*SUMIF(ThresholdAge08,"&lt;"&amp;'19_Расчет_аналитики'!B560,WeightedRevAge08)-SUMIF(ThresholdAge08,"&lt;"&amp;'19_Расчет_аналитики'!B560,WeightedMinAge08),MAX(CapacityAge08*'01_Вводные'!$B$218*'19_Расчет_аналитики'!B560,MeanMinAge08)))</f>
        <v/>
      </c>
      <c r="C499">
        <f>IF(OR(('06_Сеть_и_дети'!C60-'06_Сеть_и_дети'!C88)=0,8&lt;='01_Вводные'!$B$297),0,('06_Сеть_и_дети'!C60-'06_Сеть_и_дети'!C88)*IF('01_Вводные'!$B$239="Да",MeanMinAge08+'19_Расчет_аналитики'!C560*SUMIF(ThresholdAge08,"&lt;"&amp;'19_Расчет_аналитики'!C560,WeightedRevAge08)-SUMIF(ThresholdAge08,"&lt;"&amp;'19_Расчет_аналитики'!C560,WeightedMinAge08),MAX(CapacityAge08*'01_Вводные'!$B$218*'19_Расчет_аналитики'!C560,MeanMinAge08)))</f>
        <v/>
      </c>
      <c r="D499">
        <f>IF(OR(('06_Сеть_и_дети'!D60-'06_Сеть_и_дети'!D88)=0,8&lt;='01_Вводные'!$B$297),0,('06_Сеть_и_дети'!D60-'06_Сеть_и_дети'!D88)*IF('01_Вводные'!$B$239="Да",MeanMinAge08+'19_Расчет_аналитики'!D560*SUMIF(ThresholdAge08,"&lt;"&amp;'19_Расчет_аналитики'!D560,WeightedRevAge08)-SUMIF(ThresholdAge08,"&lt;"&amp;'19_Расчет_аналитики'!D560,WeightedMinAge08),MAX(CapacityAge08*'01_Вводные'!$B$218*'19_Расчет_аналитики'!D560,MeanMinAge08)))</f>
        <v/>
      </c>
      <c r="E499">
        <f>IF(OR(('06_Сеть_и_дети'!E60-'06_Сеть_и_дети'!E88)=0,8&lt;='01_Вводные'!$B$297),0,('06_Сеть_и_дети'!E60-'06_Сеть_и_дети'!E88)*IF('01_Вводные'!$B$239="Да",MeanMinAge08+'19_Расчет_аналитики'!E560*SUMIF(ThresholdAge08,"&lt;"&amp;'19_Расчет_аналитики'!E560,WeightedRevAge08)-SUMIF(ThresholdAge08,"&lt;"&amp;'19_Расчет_аналитики'!E560,WeightedMinAge08),MAX(CapacityAge08*'01_Вводные'!$B$218*'19_Расчет_аналитики'!E560,MeanMinAge08)))</f>
        <v/>
      </c>
      <c r="F499">
        <f>IF(OR(('06_Сеть_и_дети'!F60-'06_Сеть_и_дети'!F88)=0,8&lt;='01_Вводные'!$B$297),0,('06_Сеть_и_дети'!F60-'06_Сеть_и_дети'!F88)*IF('01_Вводные'!$B$239="Да",MeanMinAge08+'19_Расчет_аналитики'!F560*SUMIF(ThresholdAge08,"&lt;"&amp;'19_Расчет_аналитики'!F560,WeightedRevAge08)-SUMIF(ThresholdAge08,"&lt;"&amp;'19_Расчет_аналитики'!F560,WeightedMinAge08),MAX(CapacityAge08*'01_Вводные'!$B$218*'19_Расчет_аналитики'!F560,MeanMinAge08)))</f>
        <v/>
      </c>
      <c r="G499">
        <f>IF(OR(('06_Сеть_и_дети'!G60-'06_Сеть_и_дети'!G88)=0,8&lt;='01_Вводные'!$B$297),0,('06_Сеть_и_дети'!G60-'06_Сеть_и_дети'!G88)*IF('01_Вводные'!$B$239="Да",MeanMinAge08+'19_Расчет_аналитики'!G560*SUMIF(ThresholdAge08,"&lt;"&amp;'19_Расчет_аналитики'!G560,WeightedRevAge08)-SUMIF(ThresholdAge08,"&lt;"&amp;'19_Расчет_аналитики'!G560,WeightedMinAge08),MAX(CapacityAge08*'01_Вводные'!$B$218*'19_Расчет_аналитики'!G560,MeanMinAge08)))</f>
        <v/>
      </c>
      <c r="H499">
        <f>IF(OR(('06_Сеть_и_дети'!H60-'06_Сеть_и_дети'!H88)=0,8&lt;='01_Вводные'!$B$297),0,('06_Сеть_и_дети'!H60-'06_Сеть_и_дети'!H88)*IF('01_Вводные'!$B$239="Да",MeanMinAge08+'19_Расчет_аналитики'!H560*SUMIF(ThresholdAge08,"&lt;"&amp;'19_Расчет_аналитики'!H560,WeightedRevAge08)-SUMIF(ThresholdAge08,"&lt;"&amp;'19_Расчет_аналитики'!H560,WeightedMinAge08),MAX(CapacityAge08*'01_Вводные'!$B$218*'19_Расчет_аналитики'!H560,MeanMinAge08)))</f>
        <v/>
      </c>
      <c r="I499">
        <f>IF(OR(('19_Расчет_аналитики'!I415-'19_Расчет_аналитики'!I443)=0,8&lt;='01_Вводные'!$B$297),0,('19_Расчет_аналитики'!I415-'19_Расчет_аналитики'!I443)*IF('01_Вводные'!$B$239="Да",MeanMinAge08+'19_Расчет_аналитики'!I560*SUMIF(ThresholdAge08,"&lt;"&amp;'19_Расчет_аналитики'!I560,WeightedRevAge08)-SUMIF(ThresholdAge08,"&lt;"&amp;'19_Расчет_аналитики'!I560,WeightedMinAge08),MAX(CapacityAge08*'01_Вводные'!$B$218*'19_Расчет_аналитики'!I560,MeanMinAge08)))</f>
        <v/>
      </c>
      <c r="J499">
        <f>IF(OR(('19_Расчет_аналитики'!J415-'19_Расчет_аналитики'!J443)=0,8&lt;='01_Вводные'!$B$297),0,('19_Расчет_аналитики'!J415-'19_Расчет_аналитики'!J443)*IF('01_Вводные'!$B$239="Да",MeanMinAge08+'19_Расчет_аналитики'!J560*SUMIF(ThresholdAge08,"&lt;"&amp;'19_Расчет_аналитики'!J560,WeightedRevAge08)-SUMIF(ThresholdAge08,"&lt;"&amp;'19_Расчет_аналитики'!J560,WeightedMinAge08),MAX(CapacityAge08*'01_Вводные'!$B$218*'19_Расчет_аналитики'!J560,MeanMinAge08)))</f>
        <v/>
      </c>
      <c r="K499">
        <f>IF(OR(('19_Расчет_аналитики'!K415-'19_Расчет_аналитики'!K443)=0,8&lt;='01_Вводные'!$B$297),0,('19_Расчет_аналитики'!K415-'19_Расчет_аналитики'!K443)*IF('01_Вводные'!$B$239="Да",MeanMinAge08+'19_Расчет_аналитики'!K560*SUMIF(ThresholdAge08,"&lt;"&amp;'19_Расчет_аналитики'!K560,WeightedRevAge08)-SUMIF(ThresholdAge08,"&lt;"&amp;'19_Расчет_аналитики'!K560,WeightedMinAge08),MAX(CapacityAge08*'01_Вводные'!$B$218*'19_Расчет_аналитики'!K560,MeanMinAge08)))</f>
        <v/>
      </c>
      <c r="L499">
        <f>IF(OR(('19_Расчет_аналитики'!L415-'19_Расчет_аналитики'!L443)=0,8&lt;='01_Вводные'!$B$297),0,('19_Расчет_аналитики'!L415-'19_Расчет_аналитики'!L443)*IF('01_Вводные'!$B$239="Да",MeanMinAge08+'19_Расчет_аналитики'!L560*SUMIF(ThresholdAge08,"&lt;"&amp;'19_Расчет_аналитики'!L560,WeightedRevAge08)-SUMIF(ThresholdAge08,"&lt;"&amp;'19_Расчет_аналитики'!L560,WeightedMinAge08),MAX(CapacityAge08*'01_Вводные'!$B$218*'19_Расчет_аналитики'!L560,MeanMinAge08)))</f>
        <v/>
      </c>
      <c r="M499">
        <f>IF(OR(('19_Расчет_аналитики'!M415-'19_Расчет_аналитики'!M443)=0,8&lt;='01_Вводные'!$B$297),0,('19_Расчет_аналитики'!M415-'19_Расчет_аналитики'!M443)*IF('01_Вводные'!$B$239="Да",MeanMinAge08+'19_Расчет_аналитики'!M560*SUMIF(ThresholdAge08,"&lt;"&amp;'19_Расчет_аналитики'!M560,WeightedRevAge08)-SUMIF(ThresholdAge08,"&lt;"&amp;'19_Расчет_аналитики'!M560,WeightedMinAge08),MAX(CapacityAge08*'01_Вводные'!$B$218*'19_Расчет_аналитики'!M560,MeanMinAge08)))</f>
        <v/>
      </c>
      <c r="N499">
        <f>IF(OR(('19_Расчет_аналитики'!N415-'19_Расчет_аналитики'!N443)=0,8&lt;='01_Вводные'!$B$297),0,('19_Расчет_аналитики'!N415-'19_Расчет_аналитики'!N443)*IF('01_Вводные'!$B$239="Да",MeanMinAge08+'19_Расчет_аналитики'!N560*SUMIF(ThresholdAge08,"&lt;"&amp;'19_Расчет_аналитики'!N560,WeightedRevAge08)-SUMIF(ThresholdAge08,"&lt;"&amp;'19_Расчет_аналитики'!N560,WeightedMinAge08),MAX(CapacityAge08*'01_Вводные'!$B$218*'19_Расчет_аналитики'!N560,MeanMinAge08)))</f>
        <v/>
      </c>
      <c r="O499">
        <f>IF(OR(('19_Расчет_аналитики'!O415-'19_Расчет_аналитики'!O443)=0,8&lt;='01_Вводные'!$B$297),0,('19_Расчет_аналитики'!O415-'19_Расчет_аналитики'!O443)*IF('01_Вводные'!$B$239="Да",MeanMinAge08+'19_Расчет_аналитики'!O560*SUMIF(ThresholdAge08,"&lt;"&amp;'19_Расчет_аналитики'!O560,WeightedRevAge08)-SUMIF(ThresholdAge08,"&lt;"&amp;'19_Расчет_аналитики'!O560,WeightedMinAge08),MAX(CapacityAge08*'01_Вводные'!$B$218*'19_Расчет_аналитики'!O560,MeanMinAge08)))</f>
        <v/>
      </c>
      <c r="P499">
        <f>IF(OR(('19_Расчет_аналитики'!P415-'19_Расчет_аналитики'!P443)=0,8&lt;='01_Вводные'!$B$297),0,('19_Расчет_аналитики'!P415-'19_Расчет_аналитики'!P443)*IF('01_Вводные'!$B$239="Да",MeanMinAge08+'19_Расчет_аналитики'!P560*SUMIF(ThresholdAge08,"&lt;"&amp;'19_Расчет_аналитики'!P560,WeightedRevAge08)-SUMIF(ThresholdAge08,"&lt;"&amp;'19_Расчет_аналитики'!P560,WeightedMinAge08),MAX(CapacityAge08*'01_Вводные'!$B$218*'19_Расчет_аналитики'!P560,MeanMinAge08)))</f>
        <v/>
      </c>
      <c r="Q499">
        <f>IF(OR(('19_Расчет_аналитики'!Q415-'19_Расчет_аналитики'!Q443)=0,8&lt;='01_Вводные'!$B$297),0,('19_Расчет_аналитики'!Q415-'19_Расчет_аналитики'!Q443)*IF('01_Вводные'!$B$239="Да",MeanMinAge08+'19_Расчет_аналитики'!Q560*SUMIF(ThresholdAge08,"&lt;"&amp;'19_Расчет_аналитики'!Q560,WeightedRevAge08)-SUMIF(ThresholdAge08,"&lt;"&amp;'19_Расчет_аналитики'!Q560,WeightedMinAge08),MAX(CapacityAge08*'01_Вводные'!$B$218*'19_Расчет_аналитики'!Q560,MeanMinAge08)))</f>
        <v/>
      </c>
      <c r="R499">
        <f>IF(OR(('19_Расчет_аналитики'!R415-'19_Расчет_аналитики'!R443)=0,8&lt;='01_Вводные'!$B$297),0,('19_Расчет_аналитики'!R415-'19_Расчет_аналитики'!R443)*IF('01_Вводные'!$B$239="Да",MeanMinAge08+'19_Расчет_аналитики'!R560*SUMIF(ThresholdAge08,"&lt;"&amp;'19_Расчет_аналитики'!R560,WeightedRevAge08)-SUMIF(ThresholdAge08,"&lt;"&amp;'19_Расчет_аналитики'!R560,WeightedMinAge08),MAX(CapacityAge08*'01_Вводные'!$B$218*'19_Расчет_аналитики'!R560,MeanMinAge08)))</f>
        <v/>
      </c>
      <c r="S499">
        <f>IF(OR(('19_Расчет_аналитики'!S415-'19_Расчет_аналитики'!S443)=0,8&lt;='01_Вводные'!$B$297),0,('19_Расчет_аналитики'!S415-'19_Расчет_аналитики'!S443)*IF('01_Вводные'!$B$239="Да",MeanMinAge08+'19_Расчет_аналитики'!S560*SUMIF(ThresholdAge08,"&lt;"&amp;'19_Расчет_аналитики'!S560,WeightedRevAge08)-SUMIF(ThresholdAge08,"&lt;"&amp;'19_Расчет_аналитики'!S560,WeightedMinAge08),MAX(CapacityAge08*'01_Вводные'!$B$218*'19_Расчет_аналитики'!S560,MeanMinAge08)))</f>
        <v/>
      </c>
      <c r="T499">
        <f>IF(OR(('19_Расчет_аналитики'!T415-'19_Расчет_аналитики'!T443)=0,8&lt;='01_Вводные'!$B$297),0,('19_Расчет_аналитики'!T415-'19_Расчет_аналитики'!T443)*IF('01_Вводные'!$B$239="Да",MeanMinAge08+'19_Расчет_аналитики'!T560*SUMIF(ThresholdAge08,"&lt;"&amp;'19_Расчет_аналитики'!T560,WeightedRevAge08)-SUMIF(ThresholdAge08,"&lt;"&amp;'19_Расчет_аналитики'!T560,WeightedMinAge08),MAX(CapacityAge08*'01_Вводные'!$B$218*'19_Расчет_аналитики'!T560,MeanMinAge08)))</f>
        <v/>
      </c>
      <c r="U499">
        <f>IF(OR(('19_Расчет_аналитики'!U415-'19_Расчет_аналитики'!U443)=0,8&lt;='01_Вводные'!$B$297),0,('19_Расчет_аналитики'!U415-'19_Расчет_аналитики'!U443)*IF('01_Вводные'!$B$239="Да",MeanMinAge08+'19_Расчет_аналитики'!U560*SUMIF(ThresholdAge08,"&lt;"&amp;'19_Расчет_аналитики'!U560,WeightedRevAge08)-SUMIF(ThresholdAge08,"&lt;"&amp;'19_Расчет_аналитики'!U560,WeightedMinAge08),MAX(CapacityAge08*'01_Вводные'!$B$218*'19_Расчет_аналитики'!U560,MeanMinAge08)))</f>
        <v/>
      </c>
      <c r="V499">
        <f>IF(OR(('19_Расчет_аналитики'!V415-'19_Расчет_аналитики'!V443)=0,8&lt;='01_Вводные'!$B$297),0,('19_Расчет_аналитики'!V415-'19_Расчет_аналитики'!V443)*IF('01_Вводные'!$B$239="Да",MeanMinAge08+'19_Расчет_аналитики'!V560*SUMIF(ThresholdAge08,"&lt;"&amp;'19_Расчет_аналитики'!V560,WeightedRevAge08)-SUMIF(ThresholdAge08,"&lt;"&amp;'19_Расчет_аналитики'!V560,WeightedMinAge08),MAX(CapacityAge08*'01_Вводные'!$B$218*'19_Расчет_аналитики'!V560,MeanMinAge08)))</f>
        <v/>
      </c>
      <c r="W499">
        <f>IF(OR(('19_Расчет_аналитики'!W415-'19_Расчет_аналитики'!W443)=0,8&lt;='01_Вводные'!$B$297),0,('19_Расчет_аналитики'!W415-'19_Расчет_аналитики'!W443)*IF('01_Вводные'!$B$239="Да",MeanMinAge08+'19_Расчет_аналитики'!W560*SUMIF(ThresholdAge08,"&lt;"&amp;'19_Расчет_аналитики'!W560,WeightedRevAge08)-SUMIF(ThresholdAge08,"&lt;"&amp;'19_Расчет_аналитики'!W560,WeightedMinAge08),MAX(CapacityAge08*'01_Вводные'!$B$218*'19_Расчет_аналитики'!W560,MeanMinAge08)))</f>
        <v/>
      </c>
      <c r="X499">
        <f>IF(OR(('19_Расчет_аналитики'!X415-'19_Расчет_аналитики'!X443)=0,8&lt;='01_Вводные'!$B$297),0,('19_Расчет_аналитики'!X415-'19_Расчет_аналитики'!X443)*IF('01_Вводные'!$B$239="Да",MeanMinAge08+'19_Расчет_аналитики'!X560*SUMIF(ThresholdAge08,"&lt;"&amp;'19_Расчет_аналитики'!X560,WeightedRevAge08)-SUMIF(ThresholdAge08,"&lt;"&amp;'19_Расчет_аналитики'!X560,WeightedMinAge08),MAX(CapacityAge08*'01_Вводные'!$B$218*'19_Расчет_аналитики'!X560,MeanMinAge08)))</f>
        <v/>
      </c>
      <c r="Y499">
        <f>IF(OR(('19_Расчет_аналитики'!Y415-'19_Расчет_аналитики'!Y443)=0,8&lt;='01_Вводные'!$B$297),0,('19_Расчет_аналитики'!Y415-'19_Расчет_аналитики'!Y443)*IF('01_Вводные'!$B$239="Да",MeanMinAge08+'19_Расчет_аналитики'!Y560*SUMIF(ThresholdAge08,"&lt;"&amp;'19_Расчет_аналитики'!Y560,WeightedRevAge08)-SUMIF(ThresholdAge08,"&lt;"&amp;'19_Расчет_аналитики'!Y560,WeightedMinAge08),MAX(CapacityAge08*'01_Вводные'!$B$218*'19_Расчет_аналитики'!Y560,MeanMinAge08)))</f>
        <v/>
      </c>
      <c r="Z499">
        <f>IF(OR(('19_Расчет_аналитики'!Z415-'19_Расчет_аналитики'!Z443)=0,8&lt;='01_Вводные'!$B$297),0,('19_Расчет_аналитики'!Z415-'19_Расчет_аналитики'!Z443)*IF('01_Вводные'!$B$239="Да",MeanMinAge08+'19_Расчет_аналитики'!Z560*SUMIF(ThresholdAge08,"&lt;"&amp;'19_Расчет_аналитики'!Z560,WeightedRevAge08)-SUMIF(ThresholdAge08,"&lt;"&amp;'19_Расчет_аналитики'!Z560,WeightedMinAge08),MAX(CapacityAge08*'01_Вводные'!$B$218*'19_Расчет_аналитики'!Z560,MeanMinAge08)))</f>
        <v/>
      </c>
      <c r="AA499">
        <f>IF(OR(('19_Расчет_аналитики'!AA415-'19_Расчет_аналитики'!AA443)=0,8&lt;='01_Вводные'!$B$297),0,('19_Расчет_аналитики'!AA415-'19_Расчет_аналитики'!AA443)*IF('01_Вводные'!$B$239="Да",MeanMinAge08+'19_Расчет_аналитики'!AA560*SUMIF(ThresholdAge08,"&lt;"&amp;'19_Расчет_аналитики'!AA560,WeightedRevAge08)-SUMIF(ThresholdAge08,"&lt;"&amp;'19_Расчет_аналитики'!AA560,WeightedMinAge08),MAX(CapacityAge08*'01_Вводные'!$B$218*'19_Расчет_аналитики'!AA560,MeanMinAge08)))</f>
        <v/>
      </c>
      <c r="AB499">
        <f>IF(OR(('19_Расчет_аналитики'!AB415-'19_Расчет_аналитики'!AB443)=0,8&lt;='01_Вводные'!$B$297),0,('19_Расчет_аналитики'!AB415-'19_Расчет_аналитики'!AB443)*IF('01_Вводные'!$B$239="Да",MeanMinAge08+'19_Расчет_аналитики'!AB560*SUMIF(ThresholdAge08,"&lt;"&amp;'19_Расчет_аналитики'!AB560,WeightedRevAge08)-SUMIF(ThresholdAge08,"&lt;"&amp;'19_Расчет_аналитики'!AB560,WeightedMinAge08),MAX(CapacityAge08*'01_Вводные'!$B$218*'19_Расчет_аналитики'!AB560,MeanMinAge08)))</f>
        <v/>
      </c>
      <c r="AC499">
        <f>IF(OR(('19_Расчет_аналитики'!AC415-'19_Расчет_аналитики'!AC443)=0,8&lt;='01_Вводные'!$B$297),0,('19_Расчет_аналитики'!AC415-'19_Расчет_аналитики'!AC443)*IF('01_Вводные'!$B$239="Да",MeanMinAge08+'19_Расчет_аналитики'!AC560*SUMIF(ThresholdAge08,"&lt;"&amp;'19_Расчет_аналитики'!AC560,WeightedRevAge08)-SUMIF(ThresholdAge08,"&lt;"&amp;'19_Расчет_аналитики'!AC560,WeightedMinAge08),MAX(CapacityAge08*'01_Вводные'!$B$218*'19_Расчет_аналитики'!AC560,MeanMinAge08)))</f>
        <v/>
      </c>
      <c r="AD499">
        <f>IF(OR(('19_Расчет_аналитики'!AD415-'19_Расчет_аналитики'!AD443)=0,8&lt;='01_Вводные'!$B$297),0,('19_Расчет_аналитики'!AD415-'19_Расчет_аналитики'!AD443)*IF('01_Вводные'!$B$239="Да",MeanMinAge08+'19_Расчет_аналитики'!AD560*SUMIF(ThresholdAge08,"&lt;"&amp;'19_Расчет_аналитики'!AD560,WeightedRevAge08)-SUMIF(ThresholdAge08,"&lt;"&amp;'19_Расчет_аналитики'!AD560,WeightedMinAge08),MAX(CapacityAge08*'01_Вводные'!$B$218*'19_Расчет_аналитики'!AD560,MeanMinAge08)))</f>
        <v/>
      </c>
      <c r="AE499">
        <f>IF(OR(('19_Расчет_аналитики'!AE415-'19_Расчет_аналитики'!AE443)=0,8&lt;='01_Вводные'!$B$297),0,('19_Расчет_аналитики'!AE415-'19_Расчет_аналитики'!AE443)*IF('01_Вводные'!$B$239="Да",MeanMinAge08+'19_Расчет_аналитики'!AE560*SUMIF(ThresholdAge08,"&lt;"&amp;'19_Расчет_аналитики'!AE560,WeightedRevAge08)-SUMIF(ThresholdAge08,"&lt;"&amp;'19_Расчет_аналитики'!AE560,WeightedMinAge08),MAX(CapacityAge08*'01_Вводные'!$B$218*'19_Расчет_аналитики'!AE560,MeanMinAge08)))</f>
        <v/>
      </c>
      <c r="AF499">
        <f>IF(OR(('19_Расчет_аналитики'!AF415-'19_Расчет_аналитики'!AF443)=0,8&lt;='01_Вводные'!$B$297),0,('19_Расчет_аналитики'!AF415-'19_Расчет_аналитики'!AF443)*IF('01_Вводные'!$B$239="Да",MeanMinAge08+'19_Расчет_аналитики'!AF560*SUMIF(ThresholdAge08,"&lt;"&amp;'19_Расчет_аналитики'!AF560,WeightedRevAge08)-SUMIF(ThresholdAge08,"&lt;"&amp;'19_Расчет_аналитики'!AF560,WeightedMinAge08),MAX(CapacityAge08*'01_Вводные'!$B$218*'19_Расчет_аналитики'!AF560,MeanMinAge08)))</f>
        <v/>
      </c>
      <c r="AG499">
        <f>IF(OR(('19_Расчет_аналитики'!AG415-'19_Расчет_аналитики'!AG443)=0,8&lt;='01_Вводные'!$B$297),0,('19_Расчет_аналитики'!AG415-'19_Расчет_аналитики'!AG443)*IF('01_Вводные'!$B$239="Да",MeanMinAge08+'19_Расчет_аналитики'!AG560*SUMIF(ThresholdAge08,"&lt;"&amp;'19_Расчет_аналитики'!AG560,WeightedRevAge08)-SUMIF(ThresholdAge08,"&lt;"&amp;'19_Расчет_аналитики'!AG560,WeightedMinAge08),MAX(CapacityAge08*'01_Вводные'!$B$218*'19_Расчет_аналитики'!AG560,MeanMinAge08)))</f>
        <v/>
      </c>
      <c r="AH499">
        <f>IF(OR(('19_Расчет_аналитики'!AH415-'19_Расчет_аналитики'!AH443)=0,8&lt;='01_Вводные'!$B$297),0,('19_Расчет_аналитики'!AH415-'19_Расчет_аналитики'!AH443)*IF('01_Вводные'!$B$239="Да",MeanMinAge08+'19_Расчет_аналитики'!AH560*SUMIF(ThresholdAge08,"&lt;"&amp;'19_Расчет_аналитики'!AH560,WeightedRevAge08)-SUMIF(ThresholdAge08,"&lt;"&amp;'19_Расчет_аналитики'!AH560,WeightedMinAge08),MAX(CapacityAge08*'01_Вводные'!$B$218*'19_Расчет_аналитики'!AH560,MeanMinAge08)))</f>
        <v/>
      </c>
      <c r="AI499">
        <f>IF(OR(('19_Расчет_аналитики'!AI415-'19_Расчет_аналитики'!AI443)=0,8&lt;='01_Вводные'!$B$297),0,('19_Расчет_аналитики'!AI415-'19_Расчет_аналитики'!AI443)*IF('01_Вводные'!$B$239="Да",MeanMinAge08+'19_Расчет_аналитики'!AI560*SUMIF(ThresholdAge08,"&lt;"&amp;'19_Расчет_аналитики'!AI560,WeightedRevAge08)-SUMIF(ThresholdAge08,"&lt;"&amp;'19_Расчет_аналитики'!AI560,WeightedMinAge08),MAX(CapacityAge08*'01_Вводные'!$B$218*'19_Расчет_аналитики'!AI560,MeanMinAge08)))</f>
        <v/>
      </c>
      <c r="AJ499">
        <f>IF(OR(('19_Расчет_аналитики'!AJ415-'19_Расчет_аналитики'!AJ443)=0,8&lt;='01_Вводные'!$B$297),0,('19_Расчет_аналитики'!AJ415-'19_Расчет_аналитики'!AJ443)*IF('01_Вводные'!$B$239="Да",MeanMinAge08+'19_Расчет_аналитики'!AJ560*SUMIF(ThresholdAge08,"&lt;"&amp;'19_Расчет_аналитики'!AJ560,WeightedRevAge08)-SUMIF(ThresholdAge08,"&lt;"&amp;'19_Расчет_аналитики'!AJ560,WeightedMinAge08),MAX(CapacityAge08*'01_Вводные'!$B$218*'19_Расчет_аналитики'!AJ560,MeanMinAge08)))</f>
        <v/>
      </c>
      <c r="AK499">
        <f>IF(OR(('19_Расчет_аналитики'!AK415-'19_Расчет_аналитики'!AK443)=0,8&lt;='01_Вводные'!$B$297),0,('19_Расчет_аналитики'!AK415-'19_Расчет_аналитики'!AK443)*IF('01_Вводные'!$B$239="Да",MeanMinAge08+'19_Расчет_аналитики'!AK560*SUMIF(ThresholdAge08,"&lt;"&amp;'19_Расчет_аналитики'!AK560,WeightedRevAge08)-SUMIF(ThresholdAge08,"&lt;"&amp;'19_Расчет_аналитики'!AK560,WeightedMinAge08),MAX(CapacityAge08*'01_Вводные'!$B$218*'19_Расчет_аналитики'!AK560,MeanMinAge08)))</f>
        <v/>
      </c>
      <c r="AL499">
        <f>IF(OR(('19_Расчет_аналитики'!AL415-'19_Расчет_аналитики'!AL443)=0,8&lt;='01_Вводные'!$B$297),0,('19_Расчет_аналитики'!AL415-'19_Расчет_аналитики'!AL443)*IF('01_Вводные'!$B$239="Да",MeanMinAge08+'19_Расчет_аналитики'!AL560*SUMIF(ThresholdAge08,"&lt;"&amp;'19_Расчет_аналитики'!AL560,WeightedRevAge08)-SUMIF(ThresholdAge08,"&lt;"&amp;'19_Расчет_аналитики'!AL560,WeightedMinAge08),MAX(CapacityAge08*'01_Вводные'!$B$218*'19_Расчет_аналитики'!AL560,MeanMinAge08)))</f>
        <v/>
      </c>
      <c r="AM499">
        <f>IF(OR(('19_Расчет_аналитики'!AM415-'19_Расчет_аналитики'!AM443)=0,8&lt;='01_Вводные'!$B$297),0,('19_Расчет_аналитики'!AM415-'19_Расчет_аналитики'!AM443)*IF('01_Вводные'!$B$239="Да",MeanMinAge08+'19_Расчет_аналитики'!AM560*SUMIF(ThresholdAge08,"&lt;"&amp;'19_Расчет_аналитики'!AM560,WeightedRevAge08)-SUMIF(ThresholdAge08,"&lt;"&amp;'19_Расчет_аналитики'!AM560,WeightedMinAge08),MAX(CapacityAge08*'01_Вводные'!$B$218*'19_Расчет_аналитики'!AM560,MeanMinAge08)))</f>
        <v/>
      </c>
      <c r="AN499">
        <f>IF(OR(('19_Расчет_аналитики'!AN415-'19_Расчет_аналитики'!AN443)=0,8&lt;='01_Вводные'!$B$297),0,('19_Расчет_аналитики'!AN415-'19_Расчет_аналитики'!AN443)*IF('01_Вводные'!$B$239="Да",MeanMinAge08+'19_Расчет_аналитики'!AN560*SUMIF(ThresholdAge08,"&lt;"&amp;'19_Расчет_аналитики'!AN560,WeightedRevAge08)-SUMIF(ThresholdAge08,"&lt;"&amp;'19_Расчет_аналитики'!AN560,WeightedMinAge08),MAX(CapacityAge08*'01_Вводные'!$B$218*'19_Расчет_аналитики'!AN560,MeanMinAge08)))</f>
        <v/>
      </c>
      <c r="AO499">
        <f>IF(OR(('19_Расчет_аналитики'!AO415-'19_Расчет_аналитики'!AO443)=0,8&lt;='01_Вводные'!$B$297),0,('19_Расчет_аналитики'!AO415-'19_Расчет_аналитики'!AO443)*IF('01_Вводные'!$B$239="Да",MeanMinAge08+'19_Расчет_аналитики'!AO560*SUMIF(ThresholdAge08,"&lt;"&amp;'19_Расчет_аналитики'!AO560,WeightedRevAge08)-SUMIF(ThresholdAge08,"&lt;"&amp;'19_Расчет_аналитики'!AO560,WeightedMinAge08),MAX(CapacityAge08*'01_Вводные'!$B$218*'19_Расчет_аналитики'!AO560,MeanMinAge08)))</f>
        <v/>
      </c>
      <c r="AP499">
        <f>IF(OR(('19_Расчет_аналитики'!AP415-'19_Расчет_аналитики'!AP443)=0,8&lt;='01_Вводные'!$B$297),0,('19_Расчет_аналитики'!AP415-'19_Расчет_аналитики'!AP443)*IF('01_Вводные'!$B$239="Да",MeanMinAge08+'19_Расчет_аналитики'!AP560*SUMIF(ThresholdAge08,"&lt;"&amp;'19_Расчет_аналитики'!AP560,WeightedRevAge08)-SUMIF(ThresholdAge08,"&lt;"&amp;'19_Расчет_аналитики'!AP560,WeightedMinAge08),MAX(CapacityAge08*'01_Вводные'!$B$218*'19_Расчет_аналитики'!AP560,MeanMinAge08)))</f>
        <v/>
      </c>
      <c r="AQ499">
        <f>IF(OR(('19_Расчет_аналитики'!AQ415-'19_Расчет_аналитики'!AQ443)=0,8&lt;='01_Вводные'!$B$297),0,('19_Расчет_аналитики'!AQ415-'19_Расчет_аналитики'!AQ443)*IF('01_Вводные'!$B$239="Да",MeanMinAge08+'19_Расчет_аналитики'!AQ560*SUMIF(ThresholdAge08,"&lt;"&amp;'19_Расчет_аналитики'!AQ560,WeightedRevAge08)-SUMIF(ThresholdAge08,"&lt;"&amp;'19_Расчет_аналитики'!AQ560,WeightedMinAge08),MAX(CapacityAge08*'01_Вводные'!$B$218*'19_Расчет_аналитики'!AQ560,MeanMinAge08)))</f>
        <v/>
      </c>
      <c r="AR499">
        <f>IF(OR(('19_Расчет_аналитики'!AR415-'19_Расчет_аналитики'!AR443)=0,8&lt;='01_Вводные'!$B$297),0,('19_Расчет_аналитики'!AR415-'19_Расчет_аналитики'!AR443)*IF('01_Вводные'!$B$239="Да",MeanMinAge08+'19_Расчет_аналитики'!AR560*SUMIF(ThresholdAge08,"&lt;"&amp;'19_Расчет_аналитики'!AR560,WeightedRevAge08)-SUMIF(ThresholdAge08,"&lt;"&amp;'19_Расчет_аналитики'!AR560,WeightedMinAge08),MAX(CapacityAge08*'01_Вводные'!$B$218*'19_Расчет_аналитики'!AR560,MeanMinAge08)))</f>
        <v/>
      </c>
      <c r="AS499">
        <f>IF(OR(('19_Расчет_аналитики'!AS415-'19_Расчет_аналитики'!AS443)=0,8&lt;='01_Вводные'!$B$297),0,('19_Расчет_аналитики'!AS415-'19_Расчет_аналитики'!AS443)*IF('01_Вводные'!$B$239="Да",MeanMinAge08+'19_Расчет_аналитики'!AS560*SUMIF(ThresholdAge08,"&lt;"&amp;'19_Расчет_аналитики'!AS560,WeightedRevAge08)-SUMIF(ThresholdAge08,"&lt;"&amp;'19_Расчет_аналитики'!AS560,WeightedMinAge08),MAX(CapacityAge08*'01_Вводные'!$B$218*'19_Расчет_аналитики'!AS560,MeanMinAge08)))</f>
        <v/>
      </c>
      <c r="AT499">
        <f>IF(OR(('19_Расчет_аналитики'!AT415-'19_Расчет_аналитики'!AT443)=0,8&lt;='01_Вводные'!$B$297),0,('19_Расчет_аналитики'!AT415-'19_Расчет_аналитики'!AT443)*IF('01_Вводные'!$B$239="Да",MeanMinAge08+'19_Расчет_аналитики'!AT560*SUMIF(ThresholdAge08,"&lt;"&amp;'19_Расчет_аналитики'!AT560,WeightedRevAge08)-SUMIF(ThresholdAge08,"&lt;"&amp;'19_Расчет_аналитики'!AT560,WeightedMinAge08),MAX(CapacityAge08*'01_Вводные'!$B$218*'19_Расчет_аналитики'!AT560,MeanMinAge08)))</f>
        <v/>
      </c>
      <c r="AU499">
        <f>IF(OR(('19_Расчет_аналитики'!AU415-'19_Расчет_аналитики'!AU443)=0,8&lt;='01_Вводные'!$B$297),0,('19_Расчет_аналитики'!AU415-'19_Расчет_аналитики'!AU443)*IF('01_Вводные'!$B$239="Да",MeanMinAge08+'19_Расчет_аналитики'!AU560*SUMIF(ThresholdAge08,"&lt;"&amp;'19_Расчет_аналитики'!AU560,WeightedRevAge08)-SUMIF(ThresholdAge08,"&lt;"&amp;'19_Расчет_аналитики'!AU560,WeightedMinAge08),MAX(CapacityAge08*'01_Вводные'!$B$218*'19_Расчет_аналитики'!AU560,MeanMinAge08)))</f>
        <v/>
      </c>
      <c r="AV499">
        <f>IF(OR(('19_Расчет_аналитики'!AV415-'19_Расчет_аналитики'!AV443)=0,8&lt;='01_Вводные'!$B$297),0,('19_Расчет_аналитики'!AV415-'19_Расчет_аналитики'!AV443)*IF('01_Вводные'!$B$239="Да",MeanMinAge08+'19_Расчет_аналитики'!AV560*SUMIF(ThresholdAge08,"&lt;"&amp;'19_Расчет_аналитики'!AV560,WeightedRevAge08)-SUMIF(ThresholdAge08,"&lt;"&amp;'19_Расчет_аналитики'!AV560,WeightedMinAge08),MAX(CapacityAge08*'01_Вводные'!$B$218*'19_Расчет_аналитики'!AV560,MeanMinAge08)))</f>
        <v/>
      </c>
      <c r="AW499">
        <f>IF(OR(('19_Расчет_аналитики'!AW415-'19_Расчет_аналитики'!AW443)=0,8&lt;='01_Вводные'!$B$297),0,('19_Расчет_аналитики'!AW415-'19_Расчет_аналитики'!AW443)*IF('01_Вводные'!$B$239="Да",MeanMinAge08+'19_Расчет_аналитики'!AW560*SUMIF(ThresholdAge08,"&lt;"&amp;'19_Расчет_аналитики'!AW560,WeightedRevAge08)-SUMIF(ThresholdAge08,"&lt;"&amp;'19_Расчет_аналитики'!AW560,WeightedMinAge08),MAX(CapacityAge08*'01_Вводные'!$B$218*'19_Расчет_аналитики'!AW560,MeanMinAge08)))</f>
        <v/>
      </c>
      <c r="AX499">
        <f>IF(OR(('19_Расчет_аналитики'!AX415-'19_Расчет_аналитики'!AX443)=0,8&lt;='01_Вводные'!$B$297),0,('19_Расчет_аналитики'!AX415-'19_Расчет_аналитики'!AX443)*IF('01_Вводные'!$B$239="Да",MeanMinAge08+'19_Расчет_аналитики'!AX560*SUMIF(ThresholdAge08,"&lt;"&amp;'19_Расчет_аналитики'!AX560,WeightedRevAge08)-SUMIF(ThresholdAge08,"&lt;"&amp;'19_Расчет_аналитики'!AX560,WeightedMinAge08),MAX(CapacityAge08*'01_Вводные'!$B$218*'19_Расчет_аналитики'!AX560,MeanMinAge08)))</f>
        <v/>
      </c>
      <c r="AY499">
        <f>IF(OR(('19_Расчет_аналитики'!AY415-'19_Расчет_аналитики'!AY443)=0,8&lt;='01_Вводные'!$B$297),0,('19_Расчет_аналитики'!AY415-'19_Расчет_аналитики'!AY443)*IF('01_Вводные'!$B$239="Да",MeanMinAge08+'19_Расчет_аналитики'!AY560*SUMIF(ThresholdAge08,"&lt;"&amp;'19_Расчет_аналитики'!AY560,WeightedRevAge08)-SUMIF(ThresholdAge08,"&lt;"&amp;'19_Расчет_аналитики'!AY560,WeightedMinAge08),MAX(CapacityAge08*'01_Вводные'!$B$218*'19_Расчет_аналитики'!AY560,MeanMinAge08)))</f>
        <v/>
      </c>
      <c r="AZ499">
        <f>IF(OR(('19_Расчет_аналитики'!AZ415-'19_Расчет_аналитики'!AZ443)=0,8&lt;='01_Вводные'!$B$297),0,('19_Расчет_аналитики'!AZ415-'19_Расчет_аналитики'!AZ443)*IF('01_Вводные'!$B$239="Да",MeanMinAge08+'19_Расчет_аналитики'!AZ560*SUMIF(ThresholdAge08,"&lt;"&amp;'19_Расчет_аналитики'!AZ560,WeightedRevAge08)-SUMIF(ThresholdAge08,"&lt;"&amp;'19_Расчет_аналитики'!AZ560,WeightedMinAge08),MAX(CapacityAge08*'01_Вводные'!$B$218*'19_Расчет_аналитики'!AZ560,MeanMinAge08)))</f>
        <v/>
      </c>
      <c r="BA499">
        <f>IF(OR(('19_Расчет_аналитики'!BA415-'19_Расчет_аналитики'!BA443)=0,8&lt;='01_Вводные'!$B$297),0,('19_Расчет_аналитики'!BA415-'19_Расчет_аналитики'!BA443)*IF('01_Вводные'!$B$239="Да",MeanMinAge08+'19_Расчет_аналитики'!BA560*SUMIF(ThresholdAge08,"&lt;"&amp;'19_Расчет_аналитики'!BA560,WeightedRevAge08)-SUMIF(ThresholdAge08,"&lt;"&amp;'19_Расчет_аналитики'!BA560,WeightedMinAge08),MAX(CapacityAge08*'01_Вводные'!$B$218*'19_Расчет_аналитики'!BA560,MeanMinAge08)))</f>
        <v/>
      </c>
      <c r="BB499">
        <f>IF(OR(('19_Расчет_аналитики'!BB415-'19_Расчет_аналитики'!BB443)=0,8&lt;='01_Вводные'!$B$297),0,('19_Расчет_аналитики'!BB415-'19_Расчет_аналитики'!BB443)*IF('01_Вводные'!$B$239="Да",MeanMinAge08+'19_Расчет_аналитики'!BB560*SUMIF(ThresholdAge08,"&lt;"&amp;'19_Расчет_аналитики'!BB560,WeightedRevAge08)-SUMIF(ThresholdAge08,"&lt;"&amp;'19_Расчет_аналитики'!BB560,WeightedMinAge08),MAX(CapacityAge08*'01_Вводные'!$B$218*'19_Расчет_аналитики'!BB560,MeanMinAge08)))</f>
        <v/>
      </c>
      <c r="BC499">
        <f>IF(OR(('19_Расчет_аналитики'!BC415-'19_Расчет_аналитики'!BC443)=0,8&lt;='01_Вводные'!$B$297),0,('19_Расчет_аналитики'!BC415-'19_Расчет_аналитики'!BC443)*IF('01_Вводные'!$B$239="Да",MeanMinAge08+'19_Расчет_аналитики'!BC560*SUMIF(ThresholdAge08,"&lt;"&amp;'19_Расчет_аналитики'!BC560,WeightedRevAge08)-SUMIF(ThresholdAge08,"&lt;"&amp;'19_Расчет_аналитики'!BC560,WeightedMinAge08),MAX(CapacityAge08*'01_Вводные'!$B$218*'19_Расчет_аналитики'!BC560,MeanMinAge08)))</f>
        <v/>
      </c>
      <c r="BD499">
        <f>IF(OR(('19_Расчет_аналитики'!BD415-'19_Расчет_аналитики'!BD443)=0,8&lt;='01_Вводные'!$B$297),0,('19_Расчет_аналитики'!BD415-'19_Расчет_аналитики'!BD443)*IF('01_Вводные'!$B$239="Да",MeanMinAge08+'19_Расчет_аналитики'!BD560*SUMIF(ThresholdAge08,"&lt;"&amp;'19_Расчет_аналитики'!BD560,WeightedRevAge08)-SUMIF(ThresholdAge08,"&lt;"&amp;'19_Расчет_аналитики'!BD560,WeightedMinAge08),MAX(CapacityAge08*'01_Вводные'!$B$218*'19_Расчет_аналитики'!BD560,MeanMinAge08)))</f>
        <v/>
      </c>
      <c r="BE499">
        <f>IF(OR(('19_Расчет_аналитики'!BE415-'19_Расчет_аналитики'!BE443)=0,8&lt;='01_Вводные'!$B$297),0,('19_Расчет_аналитики'!BE415-'19_Расчет_аналитики'!BE443)*IF('01_Вводные'!$B$239="Да",MeanMinAge08+'19_Расчет_аналитики'!BE560*SUMIF(ThresholdAge08,"&lt;"&amp;'19_Расчет_аналитики'!BE560,WeightedRevAge08)-SUMIF(ThresholdAge08,"&lt;"&amp;'19_Расчет_аналитики'!BE560,WeightedMinAge08),MAX(CapacityAge08*'01_Вводные'!$B$218*'19_Расчет_аналитики'!BE560,MeanMinAge08)))</f>
        <v/>
      </c>
      <c r="BF499">
        <f>IF(OR(('19_Расчет_аналитики'!BF415-'19_Расчет_аналитики'!BF443)=0,8&lt;='01_Вводные'!$B$297),0,('19_Расчет_аналитики'!BF415-'19_Расчет_аналитики'!BF443)*IF('01_Вводные'!$B$239="Да",MeanMinAge08+'19_Расчет_аналитики'!BF560*SUMIF(ThresholdAge08,"&lt;"&amp;'19_Расчет_аналитики'!BF560,WeightedRevAge08)-SUMIF(ThresholdAge08,"&lt;"&amp;'19_Расчет_аналитики'!BF560,WeightedMinAge08),MAX(CapacityAge08*'01_Вводные'!$B$218*'19_Расчет_аналитики'!BF560,MeanMinAge08)))</f>
        <v/>
      </c>
      <c r="BG499">
        <f>IF(OR(('19_Расчет_аналитики'!BG415-'19_Расчет_аналитики'!BG443)=0,8&lt;='01_Вводные'!$B$297),0,('19_Расчет_аналитики'!BG415-'19_Расчет_аналитики'!BG443)*IF('01_Вводные'!$B$239="Да",MeanMinAge08+'19_Расчет_аналитики'!BG560*SUMIF(ThresholdAge08,"&lt;"&amp;'19_Расчет_аналитики'!BG560,WeightedRevAge08)-SUMIF(ThresholdAge08,"&lt;"&amp;'19_Расчет_аналитики'!BG560,WeightedMinAge08),MAX(CapacityAge08*'01_Вводные'!$B$218*'19_Расчет_аналитики'!BG560,MeanMinAge08)))</f>
        <v/>
      </c>
      <c r="BH499">
        <f>IF(OR(('19_Расчет_аналитики'!BH415-'19_Расчет_аналитики'!BH443)=0,8&lt;='01_Вводные'!$B$297),0,('19_Расчет_аналитики'!BH415-'19_Расчет_аналитики'!BH443)*IF('01_Вводные'!$B$239="Да",MeanMinAge08+'19_Расчет_аналитики'!BH560*SUMIF(ThresholdAge08,"&lt;"&amp;'19_Расчет_аналитики'!BH560,WeightedRevAge08)-SUMIF(ThresholdAge08,"&lt;"&amp;'19_Расчет_аналитики'!BH560,WeightedMinAge08),MAX(CapacityAge08*'01_Вводные'!$B$218*'19_Расчет_аналитики'!BH560,MeanMinAge08)))</f>
        <v/>
      </c>
      <c r="BI499">
        <f>IF(OR(('19_Расчет_аналитики'!BI415-'19_Расчет_аналитики'!BI443)=0,8&lt;='01_Вводные'!$B$297),0,('19_Расчет_аналитики'!BI415-'19_Расчет_аналитики'!BI443)*IF('01_Вводные'!$B$239="Да",MeanMinAge08+'19_Расчет_аналитики'!BI560*SUMIF(ThresholdAge08,"&lt;"&amp;'19_Расчет_аналитики'!BI560,WeightedRevAge08)-SUMIF(ThresholdAge08,"&lt;"&amp;'19_Расчет_аналитики'!BI560,WeightedMinAge08),MAX(CapacityAge08*'01_Вводные'!$B$218*'19_Расчет_аналитики'!BI560,MeanMinAge08)))</f>
        <v/>
      </c>
      <c r="BJ499">
        <f>IF(OR(('19_Расчет_аналитики'!BJ415-'19_Расчет_аналитики'!BJ443)=0,8&lt;='01_Вводные'!$B$297),0,('19_Расчет_аналитики'!BJ415-'19_Расчет_аналитики'!BJ443)*IF('01_Вводные'!$B$239="Да",MeanMinAge08+'19_Расчет_аналитики'!BJ560*SUMIF(ThresholdAge08,"&lt;"&amp;'19_Расчет_аналитики'!BJ560,WeightedRevAge08)-SUMIF(ThresholdAge08,"&lt;"&amp;'19_Расчет_аналитики'!BJ560,WeightedMinAge08),MAX(CapacityAge08*'01_Вводные'!$B$218*'19_Расчет_аналитики'!BJ560,MeanMinAge08)))</f>
        <v/>
      </c>
      <c r="BK499">
        <f>IF(OR(('19_Расчет_аналитики'!BK415-'19_Расчет_аналитики'!BK443)=0,8&lt;='01_Вводные'!$B$297),0,('19_Расчет_аналитики'!BK415-'19_Расчет_аналитики'!BK443)*IF('01_Вводные'!$B$239="Да",MeanMinAge08+'19_Расчет_аналитики'!BK560*SUMIF(ThresholdAge08,"&lt;"&amp;'19_Расчет_аналитики'!BK560,WeightedRevAge08)-SUMIF(ThresholdAge08,"&lt;"&amp;'19_Расчет_аналитики'!BK560,WeightedMinAge08),MAX(CapacityAge08*'01_Вводные'!$B$218*'19_Расчет_аналитики'!BK560,MeanMinAge08)))</f>
        <v/>
      </c>
      <c r="BL499">
        <f>IF(OR(('19_Расчет_аналитики'!BL415-'19_Расчет_аналитики'!BL443)=0,8&lt;='01_Вводные'!$B$297),0,('19_Расчет_аналитики'!BL415-'19_Расчет_аналитики'!BL443)*IF('01_Вводные'!$B$239="Да",MeanMinAge08+'19_Расчет_аналитики'!BL560*SUMIF(ThresholdAge08,"&lt;"&amp;'19_Расчет_аналитики'!BL560,WeightedRevAge08)-SUMIF(ThresholdAge08,"&lt;"&amp;'19_Расчет_аналитики'!BL560,WeightedMinAge08),MAX(CapacityAge08*'01_Вводные'!$B$218*'19_Расчет_аналитики'!BL560,MeanMinAge08)))</f>
        <v/>
      </c>
      <c r="BM499">
        <f>IF(OR(('19_Расчет_аналитики'!BM415-'19_Расчет_аналитики'!BM443)=0,8&lt;='01_Вводные'!$B$297),0,('19_Расчет_аналитики'!BM415-'19_Расчет_аналитики'!BM443)*IF('01_Вводные'!$B$239="Да",MeanMinAge08+'19_Расчет_аналитики'!BM560*SUMIF(ThresholdAge08,"&lt;"&amp;'19_Расчет_аналитики'!BM560,WeightedRevAge08)-SUMIF(ThresholdAge08,"&lt;"&amp;'19_Расчет_аналитики'!BM560,WeightedMinAge08),MAX(CapacityAge08*'01_Вводные'!$B$218*'19_Расчет_аналитики'!BM560,MeanMinAge08)))</f>
        <v/>
      </c>
      <c r="BN499">
        <f>IF(OR(('19_Расчет_аналитики'!BN415-'19_Расчет_аналитики'!BN443)=0,8&lt;='01_Вводные'!$B$297),0,('19_Расчет_аналитики'!BN415-'19_Расчет_аналитики'!BN443)*IF('01_Вводные'!$B$239="Да",MeanMinAge08+'19_Расчет_аналитики'!BN560*SUMIF(ThresholdAge08,"&lt;"&amp;'19_Расчет_аналитики'!BN560,WeightedRevAge08)-SUMIF(ThresholdAge08,"&lt;"&amp;'19_Расчет_аналитики'!BN560,WeightedMinAge08),MAX(CapacityAge08*'01_Вводные'!$B$218*'19_Расчет_аналитики'!BN560,MeanMinAge08)))</f>
        <v/>
      </c>
      <c r="BO499">
        <f>IF(OR(('19_Расчет_аналитики'!BO415-'19_Расчет_аналитики'!BO443)=0,8&lt;='01_Вводные'!$B$297),0,('19_Расчет_аналитики'!BO415-'19_Расчет_аналитики'!BO443)*IF('01_Вводные'!$B$239="Да",MeanMinAge08+'19_Расчет_аналитики'!BO560*SUMIF(ThresholdAge08,"&lt;"&amp;'19_Расчет_аналитики'!BO560,WeightedRevAge08)-SUMIF(ThresholdAge08,"&lt;"&amp;'19_Расчет_аналитики'!BO560,WeightedMinAge08),MAX(CapacityAge08*'01_Вводные'!$B$218*'19_Расчет_аналитики'!BO560,MeanMinAge08)))</f>
        <v/>
      </c>
    </row>
    <row r="500">
      <c r="B500">
        <f>IF(OR(('06_Сеть_и_дети'!B61-'06_Сеть_и_дети'!B89)=0,9&lt;='01_Вводные'!$B$297),0,('06_Сеть_и_дети'!B61-'06_Сеть_и_дети'!B89)*IF('01_Вводные'!$B$239="Да",MeanMinAge09+'19_Расчет_аналитики'!B560*SUMIF(ThresholdAge09,"&lt;"&amp;'19_Расчет_аналитики'!B560,WeightedRevAge09)-SUMIF(ThresholdAge09,"&lt;"&amp;'19_Расчет_аналитики'!B560,WeightedMinAge09),MAX(CapacityAge09*'01_Вводные'!$B$218*'19_Расчет_аналитики'!B560,MeanMinAge09)))</f>
        <v/>
      </c>
      <c r="C500">
        <f>IF(OR(('06_Сеть_и_дети'!C61-'06_Сеть_и_дети'!C89)=0,9&lt;='01_Вводные'!$B$297),0,('06_Сеть_и_дети'!C61-'06_Сеть_и_дети'!C89)*IF('01_Вводные'!$B$239="Да",MeanMinAge09+'19_Расчет_аналитики'!C560*SUMIF(ThresholdAge09,"&lt;"&amp;'19_Расчет_аналитики'!C560,WeightedRevAge09)-SUMIF(ThresholdAge09,"&lt;"&amp;'19_Расчет_аналитики'!C560,WeightedMinAge09),MAX(CapacityAge09*'01_Вводные'!$B$218*'19_Расчет_аналитики'!C560,MeanMinAge09)))</f>
        <v/>
      </c>
      <c r="D500">
        <f>IF(OR(('06_Сеть_и_дети'!D61-'06_Сеть_и_дети'!D89)=0,9&lt;='01_Вводные'!$B$297),0,('06_Сеть_и_дети'!D61-'06_Сеть_и_дети'!D89)*IF('01_Вводные'!$B$239="Да",MeanMinAge09+'19_Расчет_аналитики'!D560*SUMIF(ThresholdAge09,"&lt;"&amp;'19_Расчет_аналитики'!D560,WeightedRevAge09)-SUMIF(ThresholdAge09,"&lt;"&amp;'19_Расчет_аналитики'!D560,WeightedMinAge09),MAX(CapacityAge09*'01_Вводные'!$B$218*'19_Расчет_аналитики'!D560,MeanMinAge09)))</f>
        <v/>
      </c>
      <c r="E500">
        <f>IF(OR(('06_Сеть_и_дети'!E61-'06_Сеть_и_дети'!E89)=0,9&lt;='01_Вводные'!$B$297),0,('06_Сеть_и_дети'!E61-'06_Сеть_и_дети'!E89)*IF('01_Вводные'!$B$239="Да",MeanMinAge09+'19_Расчет_аналитики'!E560*SUMIF(ThresholdAge09,"&lt;"&amp;'19_Расчет_аналитики'!E560,WeightedRevAge09)-SUMIF(ThresholdAge09,"&lt;"&amp;'19_Расчет_аналитики'!E560,WeightedMinAge09),MAX(CapacityAge09*'01_Вводные'!$B$218*'19_Расчет_аналитики'!E560,MeanMinAge09)))</f>
        <v/>
      </c>
      <c r="F500">
        <f>IF(OR(('06_Сеть_и_дети'!F61-'06_Сеть_и_дети'!F89)=0,9&lt;='01_Вводные'!$B$297),0,('06_Сеть_и_дети'!F61-'06_Сеть_и_дети'!F89)*IF('01_Вводные'!$B$239="Да",MeanMinAge09+'19_Расчет_аналитики'!F560*SUMIF(ThresholdAge09,"&lt;"&amp;'19_Расчет_аналитики'!F560,WeightedRevAge09)-SUMIF(ThresholdAge09,"&lt;"&amp;'19_Расчет_аналитики'!F560,WeightedMinAge09),MAX(CapacityAge09*'01_Вводные'!$B$218*'19_Расчет_аналитики'!F560,MeanMinAge09)))</f>
        <v/>
      </c>
      <c r="G500">
        <f>IF(OR(('06_Сеть_и_дети'!G61-'06_Сеть_и_дети'!G89)=0,9&lt;='01_Вводные'!$B$297),0,('06_Сеть_и_дети'!G61-'06_Сеть_и_дети'!G89)*IF('01_Вводные'!$B$239="Да",MeanMinAge09+'19_Расчет_аналитики'!G560*SUMIF(ThresholdAge09,"&lt;"&amp;'19_Расчет_аналитики'!G560,WeightedRevAge09)-SUMIF(ThresholdAge09,"&lt;"&amp;'19_Расчет_аналитики'!G560,WeightedMinAge09),MAX(CapacityAge09*'01_Вводные'!$B$218*'19_Расчет_аналитики'!G560,MeanMinAge09)))</f>
        <v/>
      </c>
      <c r="H500">
        <f>IF(OR(('06_Сеть_и_дети'!H61-'06_Сеть_и_дети'!H89)=0,9&lt;='01_Вводные'!$B$297),0,('06_Сеть_и_дети'!H61-'06_Сеть_и_дети'!H89)*IF('01_Вводные'!$B$239="Да",MeanMinAge09+'19_Расчет_аналитики'!H560*SUMIF(ThresholdAge09,"&lt;"&amp;'19_Расчет_аналитики'!H560,WeightedRevAge09)-SUMIF(ThresholdAge09,"&lt;"&amp;'19_Расчет_аналитики'!H560,WeightedMinAge09),MAX(CapacityAge09*'01_Вводные'!$B$218*'19_Расчет_аналитики'!H560,MeanMinAge09)))</f>
        <v/>
      </c>
      <c r="I500">
        <f>IF(OR(('06_Сеть_и_дети'!I61-'06_Сеть_и_дети'!I89)=0,9&lt;='01_Вводные'!$B$297),0,('06_Сеть_и_дети'!I61-'06_Сеть_и_дети'!I89)*IF('01_Вводные'!$B$239="Да",MeanMinAge09+'19_Расчет_аналитики'!I560*SUMIF(ThresholdAge09,"&lt;"&amp;'19_Расчет_аналитики'!I560,WeightedRevAge09)-SUMIF(ThresholdAge09,"&lt;"&amp;'19_Расчет_аналитики'!I560,WeightedMinAge09),MAX(CapacityAge09*'01_Вводные'!$B$218*'19_Расчет_аналитики'!I560,MeanMinAge09)))</f>
        <v/>
      </c>
      <c r="J500">
        <f>IF(OR(('19_Расчет_аналитики'!J416-'19_Расчет_аналитики'!J444)=0,9&lt;='01_Вводные'!$B$297),0,('19_Расчет_аналитики'!J416-'19_Расчет_аналитики'!J444)*IF('01_Вводные'!$B$239="Да",MeanMinAge09+'19_Расчет_аналитики'!J560*SUMIF(ThresholdAge09,"&lt;"&amp;'19_Расчет_аналитики'!J560,WeightedRevAge09)-SUMIF(ThresholdAge09,"&lt;"&amp;'19_Расчет_аналитики'!J560,WeightedMinAge09),MAX(CapacityAge09*'01_Вводные'!$B$218*'19_Расчет_аналитики'!J560,MeanMinAge09)))</f>
        <v/>
      </c>
      <c r="K500">
        <f>IF(OR(('19_Расчет_аналитики'!K416-'19_Расчет_аналитики'!K444)=0,9&lt;='01_Вводные'!$B$297),0,('19_Расчет_аналитики'!K416-'19_Расчет_аналитики'!K444)*IF('01_Вводные'!$B$239="Да",MeanMinAge09+'19_Расчет_аналитики'!K560*SUMIF(ThresholdAge09,"&lt;"&amp;'19_Расчет_аналитики'!K560,WeightedRevAge09)-SUMIF(ThresholdAge09,"&lt;"&amp;'19_Расчет_аналитики'!K560,WeightedMinAge09),MAX(CapacityAge09*'01_Вводные'!$B$218*'19_Расчет_аналитики'!K560,MeanMinAge09)))</f>
        <v/>
      </c>
      <c r="L500">
        <f>IF(OR(('19_Расчет_аналитики'!L416-'19_Расчет_аналитики'!L444)=0,9&lt;='01_Вводные'!$B$297),0,('19_Расчет_аналитики'!L416-'19_Расчет_аналитики'!L444)*IF('01_Вводные'!$B$239="Да",MeanMinAge09+'19_Расчет_аналитики'!L560*SUMIF(ThresholdAge09,"&lt;"&amp;'19_Расчет_аналитики'!L560,WeightedRevAge09)-SUMIF(ThresholdAge09,"&lt;"&amp;'19_Расчет_аналитики'!L560,WeightedMinAge09),MAX(CapacityAge09*'01_Вводные'!$B$218*'19_Расчет_аналитики'!L560,MeanMinAge09)))</f>
        <v/>
      </c>
      <c r="M500">
        <f>IF(OR(('19_Расчет_аналитики'!M416-'19_Расчет_аналитики'!M444)=0,9&lt;='01_Вводные'!$B$297),0,('19_Расчет_аналитики'!M416-'19_Расчет_аналитики'!M444)*IF('01_Вводные'!$B$239="Да",MeanMinAge09+'19_Расчет_аналитики'!M560*SUMIF(ThresholdAge09,"&lt;"&amp;'19_Расчет_аналитики'!M560,WeightedRevAge09)-SUMIF(ThresholdAge09,"&lt;"&amp;'19_Расчет_аналитики'!M560,WeightedMinAge09),MAX(CapacityAge09*'01_Вводные'!$B$218*'19_Расчет_аналитики'!M560,MeanMinAge09)))</f>
        <v/>
      </c>
      <c r="N500">
        <f>IF(OR(('19_Расчет_аналитики'!N416-'19_Расчет_аналитики'!N444)=0,9&lt;='01_Вводные'!$B$297),0,('19_Расчет_аналитики'!N416-'19_Расчет_аналитики'!N444)*IF('01_Вводные'!$B$239="Да",MeanMinAge09+'19_Расчет_аналитики'!N560*SUMIF(ThresholdAge09,"&lt;"&amp;'19_Расчет_аналитики'!N560,WeightedRevAge09)-SUMIF(ThresholdAge09,"&lt;"&amp;'19_Расчет_аналитики'!N560,WeightedMinAge09),MAX(CapacityAge09*'01_Вводные'!$B$218*'19_Расчет_аналитики'!N560,MeanMinAge09)))</f>
        <v/>
      </c>
      <c r="O500">
        <f>IF(OR(('19_Расчет_аналитики'!O416-'19_Расчет_аналитики'!O444)=0,9&lt;='01_Вводные'!$B$297),0,('19_Расчет_аналитики'!O416-'19_Расчет_аналитики'!O444)*IF('01_Вводные'!$B$239="Да",MeanMinAge09+'19_Расчет_аналитики'!O560*SUMIF(ThresholdAge09,"&lt;"&amp;'19_Расчет_аналитики'!O560,WeightedRevAge09)-SUMIF(ThresholdAge09,"&lt;"&amp;'19_Расчет_аналитики'!O560,WeightedMinAge09),MAX(CapacityAge09*'01_Вводные'!$B$218*'19_Расчет_аналитики'!O560,MeanMinAge09)))</f>
        <v/>
      </c>
      <c r="P500">
        <f>IF(OR(('19_Расчет_аналитики'!P416-'19_Расчет_аналитики'!P444)=0,9&lt;='01_Вводные'!$B$297),0,('19_Расчет_аналитики'!P416-'19_Расчет_аналитики'!P444)*IF('01_Вводные'!$B$239="Да",MeanMinAge09+'19_Расчет_аналитики'!P560*SUMIF(ThresholdAge09,"&lt;"&amp;'19_Расчет_аналитики'!P560,WeightedRevAge09)-SUMIF(ThresholdAge09,"&lt;"&amp;'19_Расчет_аналитики'!P560,WeightedMinAge09),MAX(CapacityAge09*'01_Вводные'!$B$218*'19_Расчет_аналитики'!P560,MeanMinAge09)))</f>
        <v/>
      </c>
      <c r="Q500">
        <f>IF(OR(('19_Расчет_аналитики'!Q416-'19_Расчет_аналитики'!Q444)=0,9&lt;='01_Вводные'!$B$297),0,('19_Расчет_аналитики'!Q416-'19_Расчет_аналитики'!Q444)*IF('01_Вводные'!$B$239="Да",MeanMinAge09+'19_Расчет_аналитики'!Q560*SUMIF(ThresholdAge09,"&lt;"&amp;'19_Расчет_аналитики'!Q560,WeightedRevAge09)-SUMIF(ThresholdAge09,"&lt;"&amp;'19_Расчет_аналитики'!Q560,WeightedMinAge09),MAX(CapacityAge09*'01_Вводные'!$B$218*'19_Расчет_аналитики'!Q560,MeanMinAge09)))</f>
        <v/>
      </c>
      <c r="R500">
        <f>IF(OR(('19_Расчет_аналитики'!R416-'19_Расчет_аналитики'!R444)=0,9&lt;='01_Вводные'!$B$297),0,('19_Расчет_аналитики'!R416-'19_Расчет_аналитики'!R444)*IF('01_Вводные'!$B$239="Да",MeanMinAge09+'19_Расчет_аналитики'!R560*SUMIF(ThresholdAge09,"&lt;"&amp;'19_Расчет_аналитики'!R560,WeightedRevAge09)-SUMIF(ThresholdAge09,"&lt;"&amp;'19_Расчет_аналитики'!R560,WeightedMinAge09),MAX(CapacityAge09*'01_Вводные'!$B$218*'19_Расчет_аналитики'!R560,MeanMinAge09)))</f>
        <v/>
      </c>
      <c r="S500">
        <f>IF(OR(('19_Расчет_аналитики'!S416-'19_Расчет_аналитики'!S444)=0,9&lt;='01_Вводные'!$B$297),0,('19_Расчет_аналитики'!S416-'19_Расчет_аналитики'!S444)*IF('01_Вводные'!$B$239="Да",MeanMinAge09+'19_Расчет_аналитики'!S560*SUMIF(ThresholdAge09,"&lt;"&amp;'19_Расчет_аналитики'!S560,WeightedRevAge09)-SUMIF(ThresholdAge09,"&lt;"&amp;'19_Расчет_аналитики'!S560,WeightedMinAge09),MAX(CapacityAge09*'01_Вводные'!$B$218*'19_Расчет_аналитики'!S560,MeanMinAge09)))</f>
        <v/>
      </c>
      <c r="T500">
        <f>IF(OR(('19_Расчет_аналитики'!T416-'19_Расчет_аналитики'!T444)=0,9&lt;='01_Вводные'!$B$297),0,('19_Расчет_аналитики'!T416-'19_Расчет_аналитики'!T444)*IF('01_Вводные'!$B$239="Да",MeanMinAge09+'19_Расчет_аналитики'!T560*SUMIF(ThresholdAge09,"&lt;"&amp;'19_Расчет_аналитики'!T560,WeightedRevAge09)-SUMIF(ThresholdAge09,"&lt;"&amp;'19_Расчет_аналитики'!T560,WeightedMinAge09),MAX(CapacityAge09*'01_Вводные'!$B$218*'19_Расчет_аналитики'!T560,MeanMinAge09)))</f>
        <v/>
      </c>
      <c r="U500">
        <f>IF(OR(('19_Расчет_аналитики'!U416-'19_Расчет_аналитики'!U444)=0,9&lt;='01_Вводные'!$B$297),0,('19_Расчет_аналитики'!U416-'19_Расчет_аналитики'!U444)*IF('01_Вводные'!$B$239="Да",MeanMinAge09+'19_Расчет_аналитики'!U560*SUMIF(ThresholdAge09,"&lt;"&amp;'19_Расчет_аналитики'!U560,WeightedRevAge09)-SUMIF(ThresholdAge09,"&lt;"&amp;'19_Расчет_аналитики'!U560,WeightedMinAge09),MAX(CapacityAge09*'01_Вводные'!$B$218*'19_Расчет_аналитики'!U560,MeanMinAge09)))</f>
        <v/>
      </c>
      <c r="V500">
        <f>IF(OR(('19_Расчет_аналитики'!V416-'19_Расчет_аналитики'!V444)=0,9&lt;='01_Вводные'!$B$297),0,('19_Расчет_аналитики'!V416-'19_Расчет_аналитики'!V444)*IF('01_Вводные'!$B$239="Да",MeanMinAge09+'19_Расчет_аналитики'!V560*SUMIF(ThresholdAge09,"&lt;"&amp;'19_Расчет_аналитики'!V560,WeightedRevAge09)-SUMIF(ThresholdAge09,"&lt;"&amp;'19_Расчет_аналитики'!V560,WeightedMinAge09),MAX(CapacityAge09*'01_Вводные'!$B$218*'19_Расчет_аналитики'!V560,MeanMinAge09)))</f>
        <v/>
      </c>
      <c r="W500">
        <f>IF(OR(('19_Расчет_аналитики'!W416-'19_Расчет_аналитики'!W444)=0,9&lt;='01_Вводные'!$B$297),0,('19_Расчет_аналитики'!W416-'19_Расчет_аналитики'!W444)*IF('01_Вводные'!$B$239="Да",MeanMinAge09+'19_Расчет_аналитики'!W560*SUMIF(ThresholdAge09,"&lt;"&amp;'19_Расчет_аналитики'!W560,WeightedRevAge09)-SUMIF(ThresholdAge09,"&lt;"&amp;'19_Расчет_аналитики'!W560,WeightedMinAge09),MAX(CapacityAge09*'01_Вводные'!$B$218*'19_Расчет_аналитики'!W560,MeanMinAge09)))</f>
        <v/>
      </c>
      <c r="X500">
        <f>IF(OR(('19_Расчет_аналитики'!X416-'19_Расчет_аналитики'!X444)=0,9&lt;='01_Вводные'!$B$297),0,('19_Расчет_аналитики'!X416-'19_Расчет_аналитики'!X444)*IF('01_Вводные'!$B$239="Да",MeanMinAge09+'19_Расчет_аналитики'!X560*SUMIF(ThresholdAge09,"&lt;"&amp;'19_Расчет_аналитики'!X560,WeightedRevAge09)-SUMIF(ThresholdAge09,"&lt;"&amp;'19_Расчет_аналитики'!X560,WeightedMinAge09),MAX(CapacityAge09*'01_Вводные'!$B$218*'19_Расчет_аналитики'!X560,MeanMinAge09)))</f>
        <v/>
      </c>
      <c r="Y500">
        <f>IF(OR(('19_Расчет_аналитики'!Y416-'19_Расчет_аналитики'!Y444)=0,9&lt;='01_Вводные'!$B$297),0,('19_Расчет_аналитики'!Y416-'19_Расчет_аналитики'!Y444)*IF('01_Вводные'!$B$239="Да",MeanMinAge09+'19_Расчет_аналитики'!Y560*SUMIF(ThresholdAge09,"&lt;"&amp;'19_Расчет_аналитики'!Y560,WeightedRevAge09)-SUMIF(ThresholdAge09,"&lt;"&amp;'19_Расчет_аналитики'!Y560,WeightedMinAge09),MAX(CapacityAge09*'01_Вводные'!$B$218*'19_Расчет_аналитики'!Y560,MeanMinAge09)))</f>
        <v/>
      </c>
      <c r="Z500">
        <f>IF(OR(('19_Расчет_аналитики'!Z416-'19_Расчет_аналитики'!Z444)=0,9&lt;='01_Вводные'!$B$297),0,('19_Расчет_аналитики'!Z416-'19_Расчет_аналитики'!Z444)*IF('01_Вводные'!$B$239="Да",MeanMinAge09+'19_Расчет_аналитики'!Z560*SUMIF(ThresholdAge09,"&lt;"&amp;'19_Расчет_аналитики'!Z560,WeightedRevAge09)-SUMIF(ThresholdAge09,"&lt;"&amp;'19_Расчет_аналитики'!Z560,WeightedMinAge09),MAX(CapacityAge09*'01_Вводные'!$B$218*'19_Расчет_аналитики'!Z560,MeanMinAge09)))</f>
        <v/>
      </c>
      <c r="AA500">
        <f>IF(OR(('19_Расчет_аналитики'!AA416-'19_Расчет_аналитики'!AA444)=0,9&lt;='01_Вводные'!$B$297),0,('19_Расчет_аналитики'!AA416-'19_Расчет_аналитики'!AA444)*IF('01_Вводные'!$B$239="Да",MeanMinAge09+'19_Расчет_аналитики'!AA560*SUMIF(ThresholdAge09,"&lt;"&amp;'19_Расчет_аналитики'!AA560,WeightedRevAge09)-SUMIF(ThresholdAge09,"&lt;"&amp;'19_Расчет_аналитики'!AA560,WeightedMinAge09),MAX(CapacityAge09*'01_Вводные'!$B$218*'19_Расчет_аналитики'!AA560,MeanMinAge09)))</f>
        <v/>
      </c>
      <c r="AB500">
        <f>IF(OR(('19_Расчет_аналитики'!AB416-'19_Расчет_аналитики'!AB444)=0,9&lt;='01_Вводные'!$B$297),0,('19_Расчет_аналитики'!AB416-'19_Расчет_аналитики'!AB444)*IF('01_Вводные'!$B$239="Да",MeanMinAge09+'19_Расчет_аналитики'!AB560*SUMIF(ThresholdAge09,"&lt;"&amp;'19_Расчет_аналитики'!AB560,WeightedRevAge09)-SUMIF(ThresholdAge09,"&lt;"&amp;'19_Расчет_аналитики'!AB560,WeightedMinAge09),MAX(CapacityAge09*'01_Вводные'!$B$218*'19_Расчет_аналитики'!AB560,MeanMinAge09)))</f>
        <v/>
      </c>
      <c r="AC500">
        <f>IF(OR(('19_Расчет_аналитики'!AC416-'19_Расчет_аналитики'!AC444)=0,9&lt;='01_Вводные'!$B$297),0,('19_Расчет_аналитики'!AC416-'19_Расчет_аналитики'!AC444)*IF('01_Вводные'!$B$239="Да",MeanMinAge09+'19_Расчет_аналитики'!AC560*SUMIF(ThresholdAge09,"&lt;"&amp;'19_Расчет_аналитики'!AC560,WeightedRevAge09)-SUMIF(ThresholdAge09,"&lt;"&amp;'19_Расчет_аналитики'!AC560,WeightedMinAge09),MAX(CapacityAge09*'01_Вводные'!$B$218*'19_Расчет_аналитики'!AC560,MeanMinAge09)))</f>
        <v/>
      </c>
      <c r="AD500">
        <f>IF(OR(('19_Расчет_аналитики'!AD416-'19_Расчет_аналитики'!AD444)=0,9&lt;='01_Вводные'!$B$297),0,('19_Расчет_аналитики'!AD416-'19_Расчет_аналитики'!AD444)*IF('01_Вводные'!$B$239="Да",MeanMinAge09+'19_Расчет_аналитики'!AD560*SUMIF(ThresholdAge09,"&lt;"&amp;'19_Расчет_аналитики'!AD560,WeightedRevAge09)-SUMIF(ThresholdAge09,"&lt;"&amp;'19_Расчет_аналитики'!AD560,WeightedMinAge09),MAX(CapacityAge09*'01_Вводные'!$B$218*'19_Расчет_аналитики'!AD560,MeanMinAge09)))</f>
        <v/>
      </c>
      <c r="AE500">
        <f>IF(OR(('19_Расчет_аналитики'!AE416-'19_Расчет_аналитики'!AE444)=0,9&lt;='01_Вводные'!$B$297),0,('19_Расчет_аналитики'!AE416-'19_Расчет_аналитики'!AE444)*IF('01_Вводные'!$B$239="Да",MeanMinAge09+'19_Расчет_аналитики'!AE560*SUMIF(ThresholdAge09,"&lt;"&amp;'19_Расчет_аналитики'!AE560,WeightedRevAge09)-SUMIF(ThresholdAge09,"&lt;"&amp;'19_Расчет_аналитики'!AE560,WeightedMinAge09),MAX(CapacityAge09*'01_Вводные'!$B$218*'19_Расчет_аналитики'!AE560,MeanMinAge09)))</f>
        <v/>
      </c>
      <c r="AF500">
        <f>IF(OR(('19_Расчет_аналитики'!AF416-'19_Расчет_аналитики'!AF444)=0,9&lt;='01_Вводные'!$B$297),0,('19_Расчет_аналитики'!AF416-'19_Расчет_аналитики'!AF444)*IF('01_Вводные'!$B$239="Да",MeanMinAge09+'19_Расчет_аналитики'!AF560*SUMIF(ThresholdAge09,"&lt;"&amp;'19_Расчет_аналитики'!AF560,WeightedRevAge09)-SUMIF(ThresholdAge09,"&lt;"&amp;'19_Расчет_аналитики'!AF560,WeightedMinAge09),MAX(CapacityAge09*'01_Вводные'!$B$218*'19_Расчет_аналитики'!AF560,MeanMinAge09)))</f>
        <v/>
      </c>
      <c r="AG500">
        <f>IF(OR(('19_Расчет_аналитики'!AG416-'19_Расчет_аналитики'!AG444)=0,9&lt;='01_Вводные'!$B$297),0,('19_Расчет_аналитики'!AG416-'19_Расчет_аналитики'!AG444)*IF('01_Вводные'!$B$239="Да",MeanMinAge09+'19_Расчет_аналитики'!AG560*SUMIF(ThresholdAge09,"&lt;"&amp;'19_Расчет_аналитики'!AG560,WeightedRevAge09)-SUMIF(ThresholdAge09,"&lt;"&amp;'19_Расчет_аналитики'!AG560,WeightedMinAge09),MAX(CapacityAge09*'01_Вводные'!$B$218*'19_Расчет_аналитики'!AG560,MeanMinAge09)))</f>
        <v/>
      </c>
      <c r="AH500">
        <f>IF(OR(('19_Расчет_аналитики'!AH416-'19_Расчет_аналитики'!AH444)=0,9&lt;='01_Вводные'!$B$297),0,('19_Расчет_аналитики'!AH416-'19_Расчет_аналитики'!AH444)*IF('01_Вводные'!$B$239="Да",MeanMinAge09+'19_Расчет_аналитики'!AH560*SUMIF(ThresholdAge09,"&lt;"&amp;'19_Расчет_аналитики'!AH560,WeightedRevAge09)-SUMIF(ThresholdAge09,"&lt;"&amp;'19_Расчет_аналитики'!AH560,WeightedMinAge09),MAX(CapacityAge09*'01_Вводные'!$B$218*'19_Расчет_аналитики'!AH560,MeanMinAge09)))</f>
        <v/>
      </c>
      <c r="AI500">
        <f>IF(OR(('19_Расчет_аналитики'!AI416-'19_Расчет_аналитики'!AI444)=0,9&lt;='01_Вводные'!$B$297),0,('19_Расчет_аналитики'!AI416-'19_Расчет_аналитики'!AI444)*IF('01_Вводные'!$B$239="Да",MeanMinAge09+'19_Расчет_аналитики'!AI560*SUMIF(ThresholdAge09,"&lt;"&amp;'19_Расчет_аналитики'!AI560,WeightedRevAge09)-SUMIF(ThresholdAge09,"&lt;"&amp;'19_Расчет_аналитики'!AI560,WeightedMinAge09),MAX(CapacityAge09*'01_Вводные'!$B$218*'19_Расчет_аналитики'!AI560,MeanMinAge09)))</f>
        <v/>
      </c>
      <c r="AJ500">
        <f>IF(OR(('19_Расчет_аналитики'!AJ416-'19_Расчет_аналитики'!AJ444)=0,9&lt;='01_Вводные'!$B$297),0,('19_Расчет_аналитики'!AJ416-'19_Расчет_аналитики'!AJ444)*IF('01_Вводные'!$B$239="Да",MeanMinAge09+'19_Расчет_аналитики'!AJ560*SUMIF(ThresholdAge09,"&lt;"&amp;'19_Расчет_аналитики'!AJ560,WeightedRevAge09)-SUMIF(ThresholdAge09,"&lt;"&amp;'19_Расчет_аналитики'!AJ560,WeightedMinAge09),MAX(CapacityAge09*'01_Вводные'!$B$218*'19_Расчет_аналитики'!AJ560,MeanMinAge09)))</f>
        <v/>
      </c>
      <c r="AK500">
        <f>IF(OR(('19_Расчет_аналитики'!AK416-'19_Расчет_аналитики'!AK444)=0,9&lt;='01_Вводные'!$B$297),0,('19_Расчет_аналитики'!AK416-'19_Расчет_аналитики'!AK444)*IF('01_Вводные'!$B$239="Да",MeanMinAge09+'19_Расчет_аналитики'!AK560*SUMIF(ThresholdAge09,"&lt;"&amp;'19_Расчет_аналитики'!AK560,WeightedRevAge09)-SUMIF(ThresholdAge09,"&lt;"&amp;'19_Расчет_аналитики'!AK560,WeightedMinAge09),MAX(CapacityAge09*'01_Вводные'!$B$218*'19_Расчет_аналитики'!AK560,MeanMinAge09)))</f>
        <v/>
      </c>
      <c r="AL500">
        <f>IF(OR(('19_Расчет_аналитики'!AL416-'19_Расчет_аналитики'!AL444)=0,9&lt;='01_Вводные'!$B$297),0,('19_Расчет_аналитики'!AL416-'19_Расчет_аналитики'!AL444)*IF('01_Вводные'!$B$239="Да",MeanMinAge09+'19_Расчет_аналитики'!AL560*SUMIF(ThresholdAge09,"&lt;"&amp;'19_Расчет_аналитики'!AL560,WeightedRevAge09)-SUMIF(ThresholdAge09,"&lt;"&amp;'19_Расчет_аналитики'!AL560,WeightedMinAge09),MAX(CapacityAge09*'01_Вводные'!$B$218*'19_Расчет_аналитики'!AL560,MeanMinAge09)))</f>
        <v/>
      </c>
      <c r="AM500">
        <f>IF(OR(('19_Расчет_аналитики'!AM416-'19_Расчет_аналитики'!AM444)=0,9&lt;='01_Вводные'!$B$297),0,('19_Расчет_аналитики'!AM416-'19_Расчет_аналитики'!AM444)*IF('01_Вводные'!$B$239="Да",MeanMinAge09+'19_Расчет_аналитики'!AM560*SUMIF(ThresholdAge09,"&lt;"&amp;'19_Расчет_аналитики'!AM560,WeightedRevAge09)-SUMIF(ThresholdAge09,"&lt;"&amp;'19_Расчет_аналитики'!AM560,WeightedMinAge09),MAX(CapacityAge09*'01_Вводные'!$B$218*'19_Расчет_аналитики'!AM560,MeanMinAge09)))</f>
        <v/>
      </c>
      <c r="AN500">
        <f>IF(OR(('19_Расчет_аналитики'!AN416-'19_Расчет_аналитики'!AN444)=0,9&lt;='01_Вводные'!$B$297),0,('19_Расчет_аналитики'!AN416-'19_Расчет_аналитики'!AN444)*IF('01_Вводные'!$B$239="Да",MeanMinAge09+'19_Расчет_аналитики'!AN560*SUMIF(ThresholdAge09,"&lt;"&amp;'19_Расчет_аналитики'!AN560,WeightedRevAge09)-SUMIF(ThresholdAge09,"&lt;"&amp;'19_Расчет_аналитики'!AN560,WeightedMinAge09),MAX(CapacityAge09*'01_Вводные'!$B$218*'19_Расчет_аналитики'!AN560,MeanMinAge09)))</f>
        <v/>
      </c>
      <c r="AO500">
        <f>IF(OR(('19_Расчет_аналитики'!AO416-'19_Расчет_аналитики'!AO444)=0,9&lt;='01_Вводные'!$B$297),0,('19_Расчет_аналитики'!AO416-'19_Расчет_аналитики'!AO444)*IF('01_Вводные'!$B$239="Да",MeanMinAge09+'19_Расчет_аналитики'!AO560*SUMIF(ThresholdAge09,"&lt;"&amp;'19_Расчет_аналитики'!AO560,WeightedRevAge09)-SUMIF(ThresholdAge09,"&lt;"&amp;'19_Расчет_аналитики'!AO560,WeightedMinAge09),MAX(CapacityAge09*'01_Вводные'!$B$218*'19_Расчет_аналитики'!AO560,MeanMinAge09)))</f>
        <v/>
      </c>
      <c r="AP500">
        <f>IF(OR(('19_Расчет_аналитики'!AP416-'19_Расчет_аналитики'!AP444)=0,9&lt;='01_Вводные'!$B$297),0,('19_Расчет_аналитики'!AP416-'19_Расчет_аналитики'!AP444)*IF('01_Вводные'!$B$239="Да",MeanMinAge09+'19_Расчет_аналитики'!AP560*SUMIF(ThresholdAge09,"&lt;"&amp;'19_Расчет_аналитики'!AP560,WeightedRevAge09)-SUMIF(ThresholdAge09,"&lt;"&amp;'19_Расчет_аналитики'!AP560,WeightedMinAge09),MAX(CapacityAge09*'01_Вводные'!$B$218*'19_Расчет_аналитики'!AP560,MeanMinAge09)))</f>
        <v/>
      </c>
      <c r="AQ500">
        <f>IF(OR(('19_Расчет_аналитики'!AQ416-'19_Расчет_аналитики'!AQ444)=0,9&lt;='01_Вводные'!$B$297),0,('19_Расчет_аналитики'!AQ416-'19_Расчет_аналитики'!AQ444)*IF('01_Вводные'!$B$239="Да",MeanMinAge09+'19_Расчет_аналитики'!AQ560*SUMIF(ThresholdAge09,"&lt;"&amp;'19_Расчет_аналитики'!AQ560,WeightedRevAge09)-SUMIF(ThresholdAge09,"&lt;"&amp;'19_Расчет_аналитики'!AQ560,WeightedMinAge09),MAX(CapacityAge09*'01_Вводные'!$B$218*'19_Расчет_аналитики'!AQ560,MeanMinAge09)))</f>
        <v/>
      </c>
      <c r="AR500">
        <f>IF(OR(('19_Расчет_аналитики'!AR416-'19_Расчет_аналитики'!AR444)=0,9&lt;='01_Вводные'!$B$297),0,('19_Расчет_аналитики'!AR416-'19_Расчет_аналитики'!AR444)*IF('01_Вводные'!$B$239="Да",MeanMinAge09+'19_Расчет_аналитики'!AR560*SUMIF(ThresholdAge09,"&lt;"&amp;'19_Расчет_аналитики'!AR560,WeightedRevAge09)-SUMIF(ThresholdAge09,"&lt;"&amp;'19_Расчет_аналитики'!AR560,WeightedMinAge09),MAX(CapacityAge09*'01_Вводные'!$B$218*'19_Расчет_аналитики'!AR560,MeanMinAge09)))</f>
        <v/>
      </c>
      <c r="AS500">
        <f>IF(OR(('19_Расчет_аналитики'!AS416-'19_Расчет_аналитики'!AS444)=0,9&lt;='01_Вводные'!$B$297),0,('19_Расчет_аналитики'!AS416-'19_Расчет_аналитики'!AS444)*IF('01_Вводные'!$B$239="Да",MeanMinAge09+'19_Расчет_аналитики'!AS560*SUMIF(ThresholdAge09,"&lt;"&amp;'19_Расчет_аналитики'!AS560,WeightedRevAge09)-SUMIF(ThresholdAge09,"&lt;"&amp;'19_Расчет_аналитики'!AS560,WeightedMinAge09),MAX(CapacityAge09*'01_Вводные'!$B$218*'19_Расчет_аналитики'!AS560,MeanMinAge09)))</f>
        <v/>
      </c>
      <c r="AT500">
        <f>IF(OR(('19_Расчет_аналитики'!AT416-'19_Расчет_аналитики'!AT444)=0,9&lt;='01_Вводные'!$B$297),0,('19_Расчет_аналитики'!AT416-'19_Расчет_аналитики'!AT444)*IF('01_Вводные'!$B$239="Да",MeanMinAge09+'19_Расчет_аналитики'!AT560*SUMIF(ThresholdAge09,"&lt;"&amp;'19_Расчет_аналитики'!AT560,WeightedRevAge09)-SUMIF(ThresholdAge09,"&lt;"&amp;'19_Расчет_аналитики'!AT560,WeightedMinAge09),MAX(CapacityAge09*'01_Вводные'!$B$218*'19_Расчет_аналитики'!AT560,MeanMinAge09)))</f>
        <v/>
      </c>
      <c r="AU500">
        <f>IF(OR(('19_Расчет_аналитики'!AU416-'19_Расчет_аналитики'!AU444)=0,9&lt;='01_Вводные'!$B$297),0,('19_Расчет_аналитики'!AU416-'19_Расчет_аналитики'!AU444)*IF('01_Вводные'!$B$239="Да",MeanMinAge09+'19_Расчет_аналитики'!AU560*SUMIF(ThresholdAge09,"&lt;"&amp;'19_Расчет_аналитики'!AU560,WeightedRevAge09)-SUMIF(ThresholdAge09,"&lt;"&amp;'19_Расчет_аналитики'!AU560,WeightedMinAge09),MAX(CapacityAge09*'01_Вводные'!$B$218*'19_Расчет_аналитики'!AU560,MeanMinAge09)))</f>
        <v/>
      </c>
      <c r="AV500">
        <f>IF(OR(('19_Расчет_аналитики'!AV416-'19_Расчет_аналитики'!AV444)=0,9&lt;='01_Вводные'!$B$297),0,('19_Расчет_аналитики'!AV416-'19_Расчет_аналитики'!AV444)*IF('01_Вводные'!$B$239="Да",MeanMinAge09+'19_Расчет_аналитики'!AV560*SUMIF(ThresholdAge09,"&lt;"&amp;'19_Расчет_аналитики'!AV560,WeightedRevAge09)-SUMIF(ThresholdAge09,"&lt;"&amp;'19_Расчет_аналитики'!AV560,WeightedMinAge09),MAX(CapacityAge09*'01_Вводные'!$B$218*'19_Расчет_аналитики'!AV560,MeanMinAge09)))</f>
        <v/>
      </c>
      <c r="AW500">
        <f>IF(OR(('19_Расчет_аналитики'!AW416-'19_Расчет_аналитики'!AW444)=0,9&lt;='01_Вводные'!$B$297),0,('19_Расчет_аналитики'!AW416-'19_Расчет_аналитики'!AW444)*IF('01_Вводные'!$B$239="Да",MeanMinAge09+'19_Расчет_аналитики'!AW560*SUMIF(ThresholdAge09,"&lt;"&amp;'19_Расчет_аналитики'!AW560,WeightedRevAge09)-SUMIF(ThresholdAge09,"&lt;"&amp;'19_Расчет_аналитики'!AW560,WeightedMinAge09),MAX(CapacityAge09*'01_Вводные'!$B$218*'19_Расчет_аналитики'!AW560,MeanMinAge09)))</f>
        <v/>
      </c>
      <c r="AX500">
        <f>IF(OR(('19_Расчет_аналитики'!AX416-'19_Расчет_аналитики'!AX444)=0,9&lt;='01_Вводные'!$B$297),0,('19_Расчет_аналитики'!AX416-'19_Расчет_аналитики'!AX444)*IF('01_Вводные'!$B$239="Да",MeanMinAge09+'19_Расчет_аналитики'!AX560*SUMIF(ThresholdAge09,"&lt;"&amp;'19_Расчет_аналитики'!AX560,WeightedRevAge09)-SUMIF(ThresholdAge09,"&lt;"&amp;'19_Расчет_аналитики'!AX560,WeightedMinAge09),MAX(CapacityAge09*'01_Вводные'!$B$218*'19_Расчет_аналитики'!AX560,MeanMinAge09)))</f>
        <v/>
      </c>
      <c r="AY500">
        <f>IF(OR(('19_Расчет_аналитики'!AY416-'19_Расчет_аналитики'!AY444)=0,9&lt;='01_Вводные'!$B$297),0,('19_Расчет_аналитики'!AY416-'19_Расчет_аналитики'!AY444)*IF('01_Вводные'!$B$239="Да",MeanMinAge09+'19_Расчет_аналитики'!AY560*SUMIF(ThresholdAge09,"&lt;"&amp;'19_Расчет_аналитики'!AY560,WeightedRevAge09)-SUMIF(ThresholdAge09,"&lt;"&amp;'19_Расчет_аналитики'!AY560,WeightedMinAge09),MAX(CapacityAge09*'01_Вводные'!$B$218*'19_Расчет_аналитики'!AY560,MeanMinAge09)))</f>
        <v/>
      </c>
      <c r="AZ500">
        <f>IF(OR(('19_Расчет_аналитики'!AZ416-'19_Расчет_аналитики'!AZ444)=0,9&lt;='01_Вводные'!$B$297),0,('19_Расчет_аналитики'!AZ416-'19_Расчет_аналитики'!AZ444)*IF('01_Вводные'!$B$239="Да",MeanMinAge09+'19_Расчет_аналитики'!AZ560*SUMIF(ThresholdAge09,"&lt;"&amp;'19_Расчет_аналитики'!AZ560,WeightedRevAge09)-SUMIF(ThresholdAge09,"&lt;"&amp;'19_Расчет_аналитики'!AZ560,WeightedMinAge09),MAX(CapacityAge09*'01_Вводные'!$B$218*'19_Расчет_аналитики'!AZ560,MeanMinAge09)))</f>
        <v/>
      </c>
      <c r="BA500">
        <f>IF(OR(('19_Расчет_аналитики'!BA416-'19_Расчет_аналитики'!BA444)=0,9&lt;='01_Вводные'!$B$297),0,('19_Расчет_аналитики'!BA416-'19_Расчет_аналитики'!BA444)*IF('01_Вводные'!$B$239="Да",MeanMinAge09+'19_Расчет_аналитики'!BA560*SUMIF(ThresholdAge09,"&lt;"&amp;'19_Расчет_аналитики'!BA560,WeightedRevAge09)-SUMIF(ThresholdAge09,"&lt;"&amp;'19_Расчет_аналитики'!BA560,WeightedMinAge09),MAX(CapacityAge09*'01_Вводные'!$B$218*'19_Расчет_аналитики'!BA560,MeanMinAge09)))</f>
        <v/>
      </c>
      <c r="BB500">
        <f>IF(OR(('19_Расчет_аналитики'!BB416-'19_Расчет_аналитики'!BB444)=0,9&lt;='01_Вводные'!$B$297),0,('19_Расчет_аналитики'!BB416-'19_Расчет_аналитики'!BB444)*IF('01_Вводные'!$B$239="Да",MeanMinAge09+'19_Расчет_аналитики'!BB560*SUMIF(ThresholdAge09,"&lt;"&amp;'19_Расчет_аналитики'!BB560,WeightedRevAge09)-SUMIF(ThresholdAge09,"&lt;"&amp;'19_Расчет_аналитики'!BB560,WeightedMinAge09),MAX(CapacityAge09*'01_Вводные'!$B$218*'19_Расчет_аналитики'!BB560,MeanMinAge09)))</f>
        <v/>
      </c>
      <c r="BC500">
        <f>IF(OR(('19_Расчет_аналитики'!BC416-'19_Расчет_аналитики'!BC444)=0,9&lt;='01_Вводные'!$B$297),0,('19_Расчет_аналитики'!BC416-'19_Расчет_аналитики'!BC444)*IF('01_Вводные'!$B$239="Да",MeanMinAge09+'19_Расчет_аналитики'!BC560*SUMIF(ThresholdAge09,"&lt;"&amp;'19_Расчет_аналитики'!BC560,WeightedRevAge09)-SUMIF(ThresholdAge09,"&lt;"&amp;'19_Расчет_аналитики'!BC560,WeightedMinAge09),MAX(CapacityAge09*'01_Вводные'!$B$218*'19_Расчет_аналитики'!BC560,MeanMinAge09)))</f>
        <v/>
      </c>
      <c r="BD500">
        <f>IF(OR(('19_Расчет_аналитики'!BD416-'19_Расчет_аналитики'!BD444)=0,9&lt;='01_Вводные'!$B$297),0,('19_Расчет_аналитики'!BD416-'19_Расчет_аналитики'!BD444)*IF('01_Вводные'!$B$239="Да",MeanMinAge09+'19_Расчет_аналитики'!BD560*SUMIF(ThresholdAge09,"&lt;"&amp;'19_Расчет_аналитики'!BD560,WeightedRevAge09)-SUMIF(ThresholdAge09,"&lt;"&amp;'19_Расчет_аналитики'!BD560,WeightedMinAge09),MAX(CapacityAge09*'01_Вводные'!$B$218*'19_Расчет_аналитики'!BD560,MeanMinAge09)))</f>
        <v/>
      </c>
      <c r="BE500">
        <f>IF(OR(('19_Расчет_аналитики'!BE416-'19_Расчет_аналитики'!BE444)=0,9&lt;='01_Вводные'!$B$297),0,('19_Расчет_аналитики'!BE416-'19_Расчет_аналитики'!BE444)*IF('01_Вводные'!$B$239="Да",MeanMinAge09+'19_Расчет_аналитики'!BE560*SUMIF(ThresholdAge09,"&lt;"&amp;'19_Расчет_аналитики'!BE560,WeightedRevAge09)-SUMIF(ThresholdAge09,"&lt;"&amp;'19_Расчет_аналитики'!BE560,WeightedMinAge09),MAX(CapacityAge09*'01_Вводные'!$B$218*'19_Расчет_аналитики'!BE560,MeanMinAge09)))</f>
        <v/>
      </c>
      <c r="BF500">
        <f>IF(OR(('19_Расчет_аналитики'!BF416-'19_Расчет_аналитики'!BF444)=0,9&lt;='01_Вводные'!$B$297),0,('19_Расчет_аналитики'!BF416-'19_Расчет_аналитики'!BF444)*IF('01_Вводные'!$B$239="Да",MeanMinAge09+'19_Расчет_аналитики'!BF560*SUMIF(ThresholdAge09,"&lt;"&amp;'19_Расчет_аналитики'!BF560,WeightedRevAge09)-SUMIF(ThresholdAge09,"&lt;"&amp;'19_Расчет_аналитики'!BF560,WeightedMinAge09),MAX(CapacityAge09*'01_Вводные'!$B$218*'19_Расчет_аналитики'!BF560,MeanMinAge09)))</f>
        <v/>
      </c>
      <c r="BG500">
        <f>IF(OR(('19_Расчет_аналитики'!BG416-'19_Расчет_аналитики'!BG444)=0,9&lt;='01_Вводные'!$B$297),0,('19_Расчет_аналитики'!BG416-'19_Расчет_аналитики'!BG444)*IF('01_Вводные'!$B$239="Да",MeanMinAge09+'19_Расчет_аналитики'!BG560*SUMIF(ThresholdAge09,"&lt;"&amp;'19_Расчет_аналитики'!BG560,WeightedRevAge09)-SUMIF(ThresholdAge09,"&lt;"&amp;'19_Расчет_аналитики'!BG560,WeightedMinAge09),MAX(CapacityAge09*'01_Вводные'!$B$218*'19_Расчет_аналитики'!BG560,MeanMinAge09)))</f>
        <v/>
      </c>
      <c r="BH500">
        <f>IF(OR(('19_Расчет_аналитики'!BH416-'19_Расчет_аналитики'!BH444)=0,9&lt;='01_Вводные'!$B$297),0,('19_Расчет_аналитики'!BH416-'19_Расчет_аналитики'!BH444)*IF('01_Вводные'!$B$239="Да",MeanMinAge09+'19_Расчет_аналитики'!BH560*SUMIF(ThresholdAge09,"&lt;"&amp;'19_Расчет_аналитики'!BH560,WeightedRevAge09)-SUMIF(ThresholdAge09,"&lt;"&amp;'19_Расчет_аналитики'!BH560,WeightedMinAge09),MAX(CapacityAge09*'01_Вводные'!$B$218*'19_Расчет_аналитики'!BH560,MeanMinAge09)))</f>
        <v/>
      </c>
      <c r="BI500">
        <f>IF(OR(('19_Расчет_аналитики'!BI416-'19_Расчет_аналитики'!BI444)=0,9&lt;='01_Вводные'!$B$297),0,('19_Расчет_аналитики'!BI416-'19_Расчет_аналитики'!BI444)*IF('01_Вводные'!$B$239="Да",MeanMinAge09+'19_Расчет_аналитики'!BI560*SUMIF(ThresholdAge09,"&lt;"&amp;'19_Расчет_аналитики'!BI560,WeightedRevAge09)-SUMIF(ThresholdAge09,"&lt;"&amp;'19_Расчет_аналитики'!BI560,WeightedMinAge09),MAX(CapacityAge09*'01_Вводные'!$B$218*'19_Расчет_аналитики'!BI560,MeanMinAge09)))</f>
        <v/>
      </c>
      <c r="BJ500">
        <f>IF(OR(('19_Расчет_аналитики'!BJ416-'19_Расчет_аналитики'!BJ444)=0,9&lt;='01_Вводные'!$B$297),0,('19_Расчет_аналитики'!BJ416-'19_Расчет_аналитики'!BJ444)*IF('01_Вводные'!$B$239="Да",MeanMinAge09+'19_Расчет_аналитики'!BJ560*SUMIF(ThresholdAge09,"&lt;"&amp;'19_Расчет_аналитики'!BJ560,WeightedRevAge09)-SUMIF(ThresholdAge09,"&lt;"&amp;'19_Расчет_аналитики'!BJ560,WeightedMinAge09),MAX(CapacityAge09*'01_Вводные'!$B$218*'19_Расчет_аналитики'!BJ560,MeanMinAge09)))</f>
        <v/>
      </c>
      <c r="BK500">
        <f>IF(OR(('19_Расчет_аналитики'!BK416-'19_Расчет_аналитики'!BK444)=0,9&lt;='01_Вводные'!$B$297),0,('19_Расчет_аналитики'!BK416-'19_Расчет_аналитики'!BK444)*IF('01_Вводные'!$B$239="Да",MeanMinAge09+'19_Расчет_аналитики'!BK560*SUMIF(ThresholdAge09,"&lt;"&amp;'19_Расчет_аналитики'!BK560,WeightedRevAge09)-SUMIF(ThresholdAge09,"&lt;"&amp;'19_Расчет_аналитики'!BK560,WeightedMinAge09),MAX(CapacityAge09*'01_Вводные'!$B$218*'19_Расчет_аналитики'!BK560,MeanMinAge09)))</f>
        <v/>
      </c>
      <c r="BL500">
        <f>IF(OR(('19_Расчет_аналитики'!BL416-'19_Расчет_аналитики'!BL444)=0,9&lt;='01_Вводные'!$B$297),0,('19_Расчет_аналитики'!BL416-'19_Расчет_аналитики'!BL444)*IF('01_Вводные'!$B$239="Да",MeanMinAge09+'19_Расчет_аналитики'!BL560*SUMIF(ThresholdAge09,"&lt;"&amp;'19_Расчет_аналитики'!BL560,WeightedRevAge09)-SUMIF(ThresholdAge09,"&lt;"&amp;'19_Расчет_аналитики'!BL560,WeightedMinAge09),MAX(CapacityAge09*'01_Вводные'!$B$218*'19_Расчет_аналитики'!BL560,MeanMinAge09)))</f>
        <v/>
      </c>
      <c r="BM500">
        <f>IF(OR(('19_Расчет_аналитики'!BM416-'19_Расчет_аналитики'!BM444)=0,9&lt;='01_Вводные'!$B$297),0,('19_Расчет_аналитики'!BM416-'19_Расчет_аналитики'!BM444)*IF('01_Вводные'!$B$239="Да",MeanMinAge09+'19_Расчет_аналитики'!BM560*SUMIF(ThresholdAge09,"&lt;"&amp;'19_Расчет_аналитики'!BM560,WeightedRevAge09)-SUMIF(ThresholdAge09,"&lt;"&amp;'19_Расчет_аналитики'!BM560,WeightedMinAge09),MAX(CapacityAge09*'01_Вводные'!$B$218*'19_Расчет_аналитики'!BM560,MeanMinAge09)))</f>
        <v/>
      </c>
      <c r="BN500">
        <f>IF(OR(('19_Расчет_аналитики'!BN416-'19_Расчет_аналитики'!BN444)=0,9&lt;='01_Вводные'!$B$297),0,('19_Расчет_аналитики'!BN416-'19_Расчет_аналитики'!BN444)*IF('01_Вводные'!$B$239="Да",MeanMinAge09+'19_Расчет_аналитики'!BN560*SUMIF(ThresholdAge09,"&lt;"&amp;'19_Расчет_аналитики'!BN560,WeightedRevAge09)-SUMIF(ThresholdAge09,"&lt;"&amp;'19_Расчет_аналитики'!BN560,WeightedMinAge09),MAX(CapacityAge09*'01_Вводные'!$B$218*'19_Расчет_аналитики'!BN560,MeanMinAge09)))</f>
        <v/>
      </c>
      <c r="BO500">
        <f>IF(OR(('19_Расчет_аналитики'!BO416-'19_Расчет_аналитики'!BO444)=0,9&lt;='01_Вводные'!$B$297),0,('19_Расчет_аналитики'!BO416-'19_Расчет_аналитики'!BO444)*IF('01_Вводные'!$B$239="Да",MeanMinAge09+'19_Расчет_аналитики'!BO560*SUMIF(ThresholdAge09,"&lt;"&amp;'19_Расчет_аналитики'!BO560,WeightedRevAge09)-SUMIF(ThresholdAge09,"&lt;"&amp;'19_Расчет_аналитики'!BO560,WeightedMinAge09),MAX(CapacityAge09*'01_Вводные'!$B$218*'19_Расчет_аналитики'!BO560,MeanMinAge09)))</f>
        <v/>
      </c>
    </row>
    <row r="501">
      <c r="B501">
        <f>IF(OR(('06_Сеть_и_дети'!B62-'06_Сеть_и_дети'!B90)=0,10&lt;='01_Вводные'!$B$297),0,('06_Сеть_и_дети'!B62-'06_Сеть_и_дети'!B90)*IF('01_Вводные'!$B$239="Да",MeanMinAge10+'19_Расчет_аналитики'!B560*SUMIF(ThresholdAge10,"&lt;"&amp;'19_Расчет_аналитики'!B560,WeightedRevAge10)-SUMIF(ThresholdAge10,"&lt;"&amp;'19_Расчет_аналитики'!B560,WeightedMinAge10),MAX(CapacityAge10*'01_Вводные'!$B$218*'19_Расчет_аналитики'!B560,MeanMinAge10)))</f>
        <v/>
      </c>
      <c r="C501">
        <f>IF(OR(('06_Сеть_и_дети'!C62-'06_Сеть_и_дети'!C90)=0,10&lt;='01_Вводные'!$B$297),0,('06_Сеть_и_дети'!C62-'06_Сеть_и_дети'!C90)*IF('01_Вводные'!$B$239="Да",MeanMinAge10+'19_Расчет_аналитики'!C560*SUMIF(ThresholdAge10,"&lt;"&amp;'19_Расчет_аналитики'!C560,WeightedRevAge10)-SUMIF(ThresholdAge10,"&lt;"&amp;'19_Расчет_аналитики'!C560,WeightedMinAge10),MAX(CapacityAge10*'01_Вводные'!$B$218*'19_Расчет_аналитики'!C560,MeanMinAge10)))</f>
        <v/>
      </c>
      <c r="D501">
        <f>IF(OR(('06_Сеть_и_дети'!D62-'06_Сеть_и_дети'!D90)=0,10&lt;='01_Вводные'!$B$297),0,('06_Сеть_и_дети'!D62-'06_Сеть_и_дети'!D90)*IF('01_Вводные'!$B$239="Да",MeanMinAge10+'19_Расчет_аналитики'!D560*SUMIF(ThresholdAge10,"&lt;"&amp;'19_Расчет_аналитики'!D560,WeightedRevAge10)-SUMIF(ThresholdAge10,"&lt;"&amp;'19_Расчет_аналитики'!D560,WeightedMinAge10),MAX(CapacityAge10*'01_Вводные'!$B$218*'19_Расчет_аналитики'!D560,MeanMinAge10)))</f>
        <v/>
      </c>
      <c r="E501">
        <f>IF(OR(('06_Сеть_и_дети'!E62-'06_Сеть_и_дети'!E90)=0,10&lt;='01_Вводные'!$B$297),0,('06_Сеть_и_дети'!E62-'06_Сеть_и_дети'!E90)*IF('01_Вводные'!$B$239="Да",MeanMinAge10+'19_Расчет_аналитики'!E560*SUMIF(ThresholdAge10,"&lt;"&amp;'19_Расчет_аналитики'!E560,WeightedRevAge10)-SUMIF(ThresholdAge10,"&lt;"&amp;'19_Расчет_аналитики'!E560,WeightedMinAge10),MAX(CapacityAge10*'01_Вводные'!$B$218*'19_Расчет_аналитики'!E560,MeanMinAge10)))</f>
        <v/>
      </c>
      <c r="F501">
        <f>IF(OR(('06_Сеть_и_дети'!F62-'06_Сеть_и_дети'!F90)=0,10&lt;='01_Вводные'!$B$297),0,('06_Сеть_и_дети'!F62-'06_Сеть_и_дети'!F90)*IF('01_Вводные'!$B$239="Да",MeanMinAge10+'19_Расчет_аналитики'!F560*SUMIF(ThresholdAge10,"&lt;"&amp;'19_Расчет_аналитики'!F560,WeightedRevAge10)-SUMIF(ThresholdAge10,"&lt;"&amp;'19_Расчет_аналитики'!F560,WeightedMinAge10),MAX(CapacityAge10*'01_Вводные'!$B$218*'19_Расчет_аналитики'!F560,MeanMinAge10)))</f>
        <v/>
      </c>
      <c r="G501">
        <f>IF(OR(('06_Сеть_и_дети'!G62-'06_Сеть_и_дети'!G90)=0,10&lt;='01_Вводные'!$B$297),0,('06_Сеть_и_дети'!G62-'06_Сеть_и_дети'!G90)*IF('01_Вводные'!$B$239="Да",MeanMinAge10+'19_Расчет_аналитики'!G560*SUMIF(ThresholdAge10,"&lt;"&amp;'19_Расчет_аналитики'!G560,WeightedRevAge10)-SUMIF(ThresholdAge10,"&lt;"&amp;'19_Расчет_аналитики'!G560,WeightedMinAge10),MAX(CapacityAge10*'01_Вводные'!$B$218*'19_Расчет_аналитики'!G560,MeanMinAge10)))</f>
        <v/>
      </c>
      <c r="H501">
        <f>IF(OR(('06_Сеть_и_дети'!H62-'06_Сеть_и_дети'!H90)=0,10&lt;='01_Вводные'!$B$297),0,('06_Сеть_и_дети'!H62-'06_Сеть_и_дети'!H90)*IF('01_Вводные'!$B$239="Да",MeanMinAge10+'19_Расчет_аналитики'!H560*SUMIF(ThresholdAge10,"&lt;"&amp;'19_Расчет_аналитики'!H560,WeightedRevAge10)-SUMIF(ThresholdAge10,"&lt;"&amp;'19_Расчет_аналитики'!H560,WeightedMinAge10),MAX(CapacityAge10*'01_Вводные'!$B$218*'19_Расчет_аналитики'!H560,MeanMinAge10)))</f>
        <v/>
      </c>
      <c r="I501">
        <f>IF(OR(('06_Сеть_и_дети'!I62-'06_Сеть_и_дети'!I90)=0,10&lt;='01_Вводные'!$B$297),0,('06_Сеть_и_дети'!I62-'06_Сеть_и_дети'!I90)*IF('01_Вводные'!$B$239="Да",MeanMinAge10+'19_Расчет_аналитики'!I560*SUMIF(ThresholdAge10,"&lt;"&amp;'19_Расчет_аналитики'!I560,WeightedRevAge10)-SUMIF(ThresholdAge10,"&lt;"&amp;'19_Расчет_аналитики'!I560,WeightedMinAge10),MAX(CapacityAge10*'01_Вводные'!$B$218*'19_Расчет_аналитики'!I560,MeanMinAge10)))</f>
        <v/>
      </c>
      <c r="J501">
        <f>IF(OR(('06_Сеть_и_дети'!J62-'06_Сеть_и_дети'!J90)=0,10&lt;='01_Вводные'!$B$297),0,('06_Сеть_и_дети'!J62-'06_Сеть_и_дети'!J90)*IF('01_Вводные'!$B$239="Да",MeanMinAge10+'19_Расчет_аналитики'!J560*SUMIF(ThresholdAge10,"&lt;"&amp;'19_Расчет_аналитики'!J560,WeightedRevAge10)-SUMIF(ThresholdAge10,"&lt;"&amp;'19_Расчет_аналитики'!J560,WeightedMinAge10),MAX(CapacityAge10*'01_Вводные'!$B$218*'19_Расчет_аналитики'!J560,MeanMinAge10)))</f>
        <v/>
      </c>
      <c r="K501">
        <f>IF(OR(('19_Расчет_аналитики'!K417-'19_Расчет_аналитики'!K445)=0,10&lt;='01_Вводные'!$B$297),0,('19_Расчет_аналитики'!K417-'19_Расчет_аналитики'!K445)*IF('01_Вводные'!$B$239="Да",MeanMinAge10+'19_Расчет_аналитики'!K560*SUMIF(ThresholdAge10,"&lt;"&amp;'19_Расчет_аналитики'!K560,WeightedRevAge10)-SUMIF(ThresholdAge10,"&lt;"&amp;'19_Расчет_аналитики'!K560,WeightedMinAge10),MAX(CapacityAge10*'01_Вводные'!$B$218*'19_Расчет_аналитики'!K560,MeanMinAge10)))</f>
        <v/>
      </c>
      <c r="L501">
        <f>IF(OR(('19_Расчет_аналитики'!L417-'19_Расчет_аналитики'!L445)=0,10&lt;='01_Вводные'!$B$297),0,('19_Расчет_аналитики'!L417-'19_Расчет_аналитики'!L445)*IF('01_Вводные'!$B$239="Да",MeanMinAge10+'19_Расчет_аналитики'!L560*SUMIF(ThresholdAge10,"&lt;"&amp;'19_Расчет_аналитики'!L560,WeightedRevAge10)-SUMIF(ThresholdAge10,"&lt;"&amp;'19_Расчет_аналитики'!L560,WeightedMinAge10),MAX(CapacityAge10*'01_Вводные'!$B$218*'19_Расчет_аналитики'!L560,MeanMinAge10)))</f>
        <v/>
      </c>
      <c r="M501">
        <f>IF(OR(('19_Расчет_аналитики'!M417-'19_Расчет_аналитики'!M445)=0,10&lt;='01_Вводные'!$B$297),0,('19_Расчет_аналитики'!M417-'19_Расчет_аналитики'!M445)*IF('01_Вводные'!$B$239="Да",MeanMinAge10+'19_Расчет_аналитики'!M560*SUMIF(ThresholdAge10,"&lt;"&amp;'19_Расчет_аналитики'!M560,WeightedRevAge10)-SUMIF(ThresholdAge10,"&lt;"&amp;'19_Расчет_аналитики'!M560,WeightedMinAge10),MAX(CapacityAge10*'01_Вводные'!$B$218*'19_Расчет_аналитики'!M560,MeanMinAge10)))</f>
        <v/>
      </c>
      <c r="N501">
        <f>IF(OR(('19_Расчет_аналитики'!N417-'19_Расчет_аналитики'!N445)=0,10&lt;='01_Вводные'!$B$297),0,('19_Расчет_аналитики'!N417-'19_Расчет_аналитики'!N445)*IF('01_Вводные'!$B$239="Да",MeanMinAge10+'19_Расчет_аналитики'!N560*SUMIF(ThresholdAge10,"&lt;"&amp;'19_Расчет_аналитики'!N560,WeightedRevAge10)-SUMIF(ThresholdAge10,"&lt;"&amp;'19_Расчет_аналитики'!N560,WeightedMinAge10),MAX(CapacityAge10*'01_Вводные'!$B$218*'19_Расчет_аналитики'!N560,MeanMinAge10)))</f>
        <v/>
      </c>
      <c r="O501">
        <f>IF(OR(('19_Расчет_аналитики'!O417-'19_Расчет_аналитики'!O445)=0,10&lt;='01_Вводные'!$B$297),0,('19_Расчет_аналитики'!O417-'19_Расчет_аналитики'!O445)*IF('01_Вводные'!$B$239="Да",MeanMinAge10+'19_Расчет_аналитики'!O560*SUMIF(ThresholdAge10,"&lt;"&amp;'19_Расчет_аналитики'!O560,WeightedRevAge10)-SUMIF(ThresholdAge10,"&lt;"&amp;'19_Расчет_аналитики'!O560,WeightedMinAge10),MAX(CapacityAge10*'01_Вводные'!$B$218*'19_Расчет_аналитики'!O560,MeanMinAge10)))</f>
        <v/>
      </c>
      <c r="P501">
        <f>IF(OR(('19_Расчет_аналитики'!P417-'19_Расчет_аналитики'!P445)=0,10&lt;='01_Вводные'!$B$297),0,('19_Расчет_аналитики'!P417-'19_Расчет_аналитики'!P445)*IF('01_Вводные'!$B$239="Да",MeanMinAge10+'19_Расчет_аналитики'!P560*SUMIF(ThresholdAge10,"&lt;"&amp;'19_Расчет_аналитики'!P560,WeightedRevAge10)-SUMIF(ThresholdAge10,"&lt;"&amp;'19_Расчет_аналитики'!P560,WeightedMinAge10),MAX(CapacityAge10*'01_Вводные'!$B$218*'19_Расчет_аналитики'!P560,MeanMinAge10)))</f>
        <v/>
      </c>
      <c r="Q501">
        <f>IF(OR(('19_Расчет_аналитики'!Q417-'19_Расчет_аналитики'!Q445)=0,10&lt;='01_Вводные'!$B$297),0,('19_Расчет_аналитики'!Q417-'19_Расчет_аналитики'!Q445)*IF('01_Вводные'!$B$239="Да",MeanMinAge10+'19_Расчет_аналитики'!Q560*SUMIF(ThresholdAge10,"&lt;"&amp;'19_Расчет_аналитики'!Q560,WeightedRevAge10)-SUMIF(ThresholdAge10,"&lt;"&amp;'19_Расчет_аналитики'!Q560,WeightedMinAge10),MAX(CapacityAge10*'01_Вводные'!$B$218*'19_Расчет_аналитики'!Q560,MeanMinAge10)))</f>
        <v/>
      </c>
      <c r="R501">
        <f>IF(OR(('19_Расчет_аналитики'!R417-'19_Расчет_аналитики'!R445)=0,10&lt;='01_Вводные'!$B$297),0,('19_Расчет_аналитики'!R417-'19_Расчет_аналитики'!R445)*IF('01_Вводные'!$B$239="Да",MeanMinAge10+'19_Расчет_аналитики'!R560*SUMIF(ThresholdAge10,"&lt;"&amp;'19_Расчет_аналитики'!R560,WeightedRevAge10)-SUMIF(ThresholdAge10,"&lt;"&amp;'19_Расчет_аналитики'!R560,WeightedMinAge10),MAX(CapacityAge10*'01_Вводные'!$B$218*'19_Расчет_аналитики'!R560,MeanMinAge10)))</f>
        <v/>
      </c>
      <c r="S501">
        <f>IF(OR(('19_Расчет_аналитики'!S417-'19_Расчет_аналитики'!S445)=0,10&lt;='01_Вводные'!$B$297),0,('19_Расчет_аналитики'!S417-'19_Расчет_аналитики'!S445)*IF('01_Вводные'!$B$239="Да",MeanMinAge10+'19_Расчет_аналитики'!S560*SUMIF(ThresholdAge10,"&lt;"&amp;'19_Расчет_аналитики'!S560,WeightedRevAge10)-SUMIF(ThresholdAge10,"&lt;"&amp;'19_Расчет_аналитики'!S560,WeightedMinAge10),MAX(CapacityAge10*'01_Вводные'!$B$218*'19_Расчет_аналитики'!S560,MeanMinAge10)))</f>
        <v/>
      </c>
      <c r="T501">
        <f>IF(OR(('19_Расчет_аналитики'!T417-'19_Расчет_аналитики'!T445)=0,10&lt;='01_Вводные'!$B$297),0,('19_Расчет_аналитики'!T417-'19_Расчет_аналитики'!T445)*IF('01_Вводные'!$B$239="Да",MeanMinAge10+'19_Расчет_аналитики'!T560*SUMIF(ThresholdAge10,"&lt;"&amp;'19_Расчет_аналитики'!T560,WeightedRevAge10)-SUMIF(ThresholdAge10,"&lt;"&amp;'19_Расчет_аналитики'!T560,WeightedMinAge10),MAX(CapacityAge10*'01_Вводные'!$B$218*'19_Расчет_аналитики'!T560,MeanMinAge10)))</f>
        <v/>
      </c>
      <c r="U501">
        <f>IF(OR(('19_Расчет_аналитики'!U417-'19_Расчет_аналитики'!U445)=0,10&lt;='01_Вводные'!$B$297),0,('19_Расчет_аналитики'!U417-'19_Расчет_аналитики'!U445)*IF('01_Вводные'!$B$239="Да",MeanMinAge10+'19_Расчет_аналитики'!U560*SUMIF(ThresholdAge10,"&lt;"&amp;'19_Расчет_аналитики'!U560,WeightedRevAge10)-SUMIF(ThresholdAge10,"&lt;"&amp;'19_Расчет_аналитики'!U560,WeightedMinAge10),MAX(CapacityAge10*'01_Вводные'!$B$218*'19_Расчет_аналитики'!U560,MeanMinAge10)))</f>
        <v/>
      </c>
      <c r="V501">
        <f>IF(OR(('19_Расчет_аналитики'!V417-'19_Расчет_аналитики'!V445)=0,10&lt;='01_Вводные'!$B$297),0,('19_Расчет_аналитики'!V417-'19_Расчет_аналитики'!V445)*IF('01_Вводные'!$B$239="Да",MeanMinAge10+'19_Расчет_аналитики'!V560*SUMIF(ThresholdAge10,"&lt;"&amp;'19_Расчет_аналитики'!V560,WeightedRevAge10)-SUMIF(ThresholdAge10,"&lt;"&amp;'19_Расчет_аналитики'!V560,WeightedMinAge10),MAX(CapacityAge10*'01_Вводные'!$B$218*'19_Расчет_аналитики'!V560,MeanMinAge10)))</f>
        <v/>
      </c>
      <c r="W501">
        <f>IF(OR(('19_Расчет_аналитики'!W417-'19_Расчет_аналитики'!W445)=0,10&lt;='01_Вводные'!$B$297),0,('19_Расчет_аналитики'!W417-'19_Расчет_аналитики'!W445)*IF('01_Вводные'!$B$239="Да",MeanMinAge10+'19_Расчет_аналитики'!W560*SUMIF(ThresholdAge10,"&lt;"&amp;'19_Расчет_аналитики'!W560,WeightedRevAge10)-SUMIF(ThresholdAge10,"&lt;"&amp;'19_Расчет_аналитики'!W560,WeightedMinAge10),MAX(CapacityAge10*'01_Вводные'!$B$218*'19_Расчет_аналитики'!W560,MeanMinAge10)))</f>
        <v/>
      </c>
      <c r="X501">
        <f>IF(OR(('19_Расчет_аналитики'!X417-'19_Расчет_аналитики'!X445)=0,10&lt;='01_Вводные'!$B$297),0,('19_Расчет_аналитики'!X417-'19_Расчет_аналитики'!X445)*IF('01_Вводные'!$B$239="Да",MeanMinAge10+'19_Расчет_аналитики'!X560*SUMIF(ThresholdAge10,"&lt;"&amp;'19_Расчет_аналитики'!X560,WeightedRevAge10)-SUMIF(ThresholdAge10,"&lt;"&amp;'19_Расчет_аналитики'!X560,WeightedMinAge10),MAX(CapacityAge10*'01_Вводные'!$B$218*'19_Расчет_аналитики'!X560,MeanMinAge10)))</f>
        <v/>
      </c>
      <c r="Y501">
        <f>IF(OR(('19_Расчет_аналитики'!Y417-'19_Расчет_аналитики'!Y445)=0,10&lt;='01_Вводные'!$B$297),0,('19_Расчет_аналитики'!Y417-'19_Расчет_аналитики'!Y445)*IF('01_Вводные'!$B$239="Да",MeanMinAge10+'19_Расчет_аналитики'!Y560*SUMIF(ThresholdAge10,"&lt;"&amp;'19_Расчет_аналитики'!Y560,WeightedRevAge10)-SUMIF(ThresholdAge10,"&lt;"&amp;'19_Расчет_аналитики'!Y560,WeightedMinAge10),MAX(CapacityAge10*'01_Вводные'!$B$218*'19_Расчет_аналитики'!Y560,MeanMinAge10)))</f>
        <v/>
      </c>
      <c r="Z501">
        <f>IF(OR(('19_Расчет_аналитики'!Z417-'19_Расчет_аналитики'!Z445)=0,10&lt;='01_Вводные'!$B$297),0,('19_Расчет_аналитики'!Z417-'19_Расчет_аналитики'!Z445)*IF('01_Вводные'!$B$239="Да",MeanMinAge10+'19_Расчет_аналитики'!Z560*SUMIF(ThresholdAge10,"&lt;"&amp;'19_Расчет_аналитики'!Z560,WeightedRevAge10)-SUMIF(ThresholdAge10,"&lt;"&amp;'19_Расчет_аналитики'!Z560,WeightedMinAge10),MAX(CapacityAge10*'01_Вводные'!$B$218*'19_Расчет_аналитики'!Z560,MeanMinAge10)))</f>
        <v/>
      </c>
      <c r="AA501">
        <f>IF(OR(('19_Расчет_аналитики'!AA417-'19_Расчет_аналитики'!AA445)=0,10&lt;='01_Вводные'!$B$297),0,('19_Расчет_аналитики'!AA417-'19_Расчет_аналитики'!AA445)*IF('01_Вводные'!$B$239="Да",MeanMinAge10+'19_Расчет_аналитики'!AA560*SUMIF(ThresholdAge10,"&lt;"&amp;'19_Расчет_аналитики'!AA560,WeightedRevAge10)-SUMIF(ThresholdAge10,"&lt;"&amp;'19_Расчет_аналитики'!AA560,WeightedMinAge10),MAX(CapacityAge10*'01_Вводные'!$B$218*'19_Расчет_аналитики'!AA560,MeanMinAge10)))</f>
        <v/>
      </c>
      <c r="AB501">
        <f>IF(OR(('19_Расчет_аналитики'!AB417-'19_Расчет_аналитики'!AB445)=0,10&lt;='01_Вводные'!$B$297),0,('19_Расчет_аналитики'!AB417-'19_Расчет_аналитики'!AB445)*IF('01_Вводные'!$B$239="Да",MeanMinAge10+'19_Расчет_аналитики'!AB560*SUMIF(ThresholdAge10,"&lt;"&amp;'19_Расчет_аналитики'!AB560,WeightedRevAge10)-SUMIF(ThresholdAge10,"&lt;"&amp;'19_Расчет_аналитики'!AB560,WeightedMinAge10),MAX(CapacityAge10*'01_Вводные'!$B$218*'19_Расчет_аналитики'!AB560,MeanMinAge10)))</f>
        <v/>
      </c>
      <c r="AC501">
        <f>IF(OR(('19_Расчет_аналитики'!AC417-'19_Расчет_аналитики'!AC445)=0,10&lt;='01_Вводные'!$B$297),0,('19_Расчет_аналитики'!AC417-'19_Расчет_аналитики'!AC445)*IF('01_Вводные'!$B$239="Да",MeanMinAge10+'19_Расчет_аналитики'!AC560*SUMIF(ThresholdAge10,"&lt;"&amp;'19_Расчет_аналитики'!AC560,WeightedRevAge10)-SUMIF(ThresholdAge10,"&lt;"&amp;'19_Расчет_аналитики'!AC560,WeightedMinAge10),MAX(CapacityAge10*'01_Вводные'!$B$218*'19_Расчет_аналитики'!AC560,MeanMinAge10)))</f>
        <v/>
      </c>
      <c r="AD501">
        <f>IF(OR(('19_Расчет_аналитики'!AD417-'19_Расчет_аналитики'!AD445)=0,10&lt;='01_Вводные'!$B$297),0,('19_Расчет_аналитики'!AD417-'19_Расчет_аналитики'!AD445)*IF('01_Вводные'!$B$239="Да",MeanMinAge10+'19_Расчет_аналитики'!AD560*SUMIF(ThresholdAge10,"&lt;"&amp;'19_Расчет_аналитики'!AD560,WeightedRevAge10)-SUMIF(ThresholdAge10,"&lt;"&amp;'19_Расчет_аналитики'!AD560,WeightedMinAge10),MAX(CapacityAge10*'01_Вводные'!$B$218*'19_Расчет_аналитики'!AD560,MeanMinAge10)))</f>
        <v/>
      </c>
      <c r="AE501">
        <f>IF(OR(('19_Расчет_аналитики'!AE417-'19_Расчет_аналитики'!AE445)=0,10&lt;='01_Вводные'!$B$297),0,('19_Расчет_аналитики'!AE417-'19_Расчет_аналитики'!AE445)*IF('01_Вводные'!$B$239="Да",MeanMinAge10+'19_Расчет_аналитики'!AE560*SUMIF(ThresholdAge10,"&lt;"&amp;'19_Расчет_аналитики'!AE560,WeightedRevAge10)-SUMIF(ThresholdAge10,"&lt;"&amp;'19_Расчет_аналитики'!AE560,WeightedMinAge10),MAX(CapacityAge10*'01_Вводные'!$B$218*'19_Расчет_аналитики'!AE560,MeanMinAge10)))</f>
        <v/>
      </c>
      <c r="AF501">
        <f>IF(OR(('19_Расчет_аналитики'!AF417-'19_Расчет_аналитики'!AF445)=0,10&lt;='01_Вводные'!$B$297),0,('19_Расчет_аналитики'!AF417-'19_Расчет_аналитики'!AF445)*IF('01_Вводные'!$B$239="Да",MeanMinAge10+'19_Расчет_аналитики'!AF560*SUMIF(ThresholdAge10,"&lt;"&amp;'19_Расчет_аналитики'!AF560,WeightedRevAge10)-SUMIF(ThresholdAge10,"&lt;"&amp;'19_Расчет_аналитики'!AF560,WeightedMinAge10),MAX(CapacityAge10*'01_Вводные'!$B$218*'19_Расчет_аналитики'!AF560,MeanMinAge10)))</f>
        <v/>
      </c>
      <c r="AG501">
        <f>IF(OR(('19_Расчет_аналитики'!AG417-'19_Расчет_аналитики'!AG445)=0,10&lt;='01_Вводные'!$B$297),0,('19_Расчет_аналитики'!AG417-'19_Расчет_аналитики'!AG445)*IF('01_Вводные'!$B$239="Да",MeanMinAge10+'19_Расчет_аналитики'!AG560*SUMIF(ThresholdAge10,"&lt;"&amp;'19_Расчет_аналитики'!AG560,WeightedRevAge10)-SUMIF(ThresholdAge10,"&lt;"&amp;'19_Расчет_аналитики'!AG560,WeightedMinAge10),MAX(CapacityAge10*'01_Вводные'!$B$218*'19_Расчет_аналитики'!AG560,MeanMinAge10)))</f>
        <v/>
      </c>
      <c r="AH501">
        <f>IF(OR(('19_Расчет_аналитики'!AH417-'19_Расчет_аналитики'!AH445)=0,10&lt;='01_Вводные'!$B$297),0,('19_Расчет_аналитики'!AH417-'19_Расчет_аналитики'!AH445)*IF('01_Вводные'!$B$239="Да",MeanMinAge10+'19_Расчет_аналитики'!AH560*SUMIF(ThresholdAge10,"&lt;"&amp;'19_Расчет_аналитики'!AH560,WeightedRevAge10)-SUMIF(ThresholdAge10,"&lt;"&amp;'19_Расчет_аналитики'!AH560,WeightedMinAge10),MAX(CapacityAge10*'01_Вводные'!$B$218*'19_Расчет_аналитики'!AH560,MeanMinAge10)))</f>
        <v/>
      </c>
      <c r="AI501">
        <f>IF(OR(('19_Расчет_аналитики'!AI417-'19_Расчет_аналитики'!AI445)=0,10&lt;='01_Вводные'!$B$297),0,('19_Расчет_аналитики'!AI417-'19_Расчет_аналитики'!AI445)*IF('01_Вводные'!$B$239="Да",MeanMinAge10+'19_Расчет_аналитики'!AI560*SUMIF(ThresholdAge10,"&lt;"&amp;'19_Расчет_аналитики'!AI560,WeightedRevAge10)-SUMIF(ThresholdAge10,"&lt;"&amp;'19_Расчет_аналитики'!AI560,WeightedMinAge10),MAX(CapacityAge10*'01_Вводные'!$B$218*'19_Расчет_аналитики'!AI560,MeanMinAge10)))</f>
        <v/>
      </c>
      <c r="AJ501">
        <f>IF(OR(('19_Расчет_аналитики'!AJ417-'19_Расчет_аналитики'!AJ445)=0,10&lt;='01_Вводные'!$B$297),0,('19_Расчет_аналитики'!AJ417-'19_Расчет_аналитики'!AJ445)*IF('01_Вводные'!$B$239="Да",MeanMinAge10+'19_Расчет_аналитики'!AJ560*SUMIF(ThresholdAge10,"&lt;"&amp;'19_Расчет_аналитики'!AJ560,WeightedRevAge10)-SUMIF(ThresholdAge10,"&lt;"&amp;'19_Расчет_аналитики'!AJ560,WeightedMinAge10),MAX(CapacityAge10*'01_Вводные'!$B$218*'19_Расчет_аналитики'!AJ560,MeanMinAge10)))</f>
        <v/>
      </c>
      <c r="AK501">
        <f>IF(OR(('19_Расчет_аналитики'!AK417-'19_Расчет_аналитики'!AK445)=0,10&lt;='01_Вводные'!$B$297),0,('19_Расчет_аналитики'!AK417-'19_Расчет_аналитики'!AK445)*IF('01_Вводные'!$B$239="Да",MeanMinAge10+'19_Расчет_аналитики'!AK560*SUMIF(ThresholdAge10,"&lt;"&amp;'19_Расчет_аналитики'!AK560,WeightedRevAge10)-SUMIF(ThresholdAge10,"&lt;"&amp;'19_Расчет_аналитики'!AK560,WeightedMinAge10),MAX(CapacityAge10*'01_Вводные'!$B$218*'19_Расчет_аналитики'!AK560,MeanMinAge10)))</f>
        <v/>
      </c>
      <c r="AL501">
        <f>IF(OR(('19_Расчет_аналитики'!AL417-'19_Расчет_аналитики'!AL445)=0,10&lt;='01_Вводные'!$B$297),0,('19_Расчет_аналитики'!AL417-'19_Расчет_аналитики'!AL445)*IF('01_Вводные'!$B$239="Да",MeanMinAge10+'19_Расчет_аналитики'!AL560*SUMIF(ThresholdAge10,"&lt;"&amp;'19_Расчет_аналитики'!AL560,WeightedRevAge10)-SUMIF(ThresholdAge10,"&lt;"&amp;'19_Расчет_аналитики'!AL560,WeightedMinAge10),MAX(CapacityAge10*'01_Вводные'!$B$218*'19_Расчет_аналитики'!AL560,MeanMinAge10)))</f>
        <v/>
      </c>
      <c r="AM501">
        <f>IF(OR(('19_Расчет_аналитики'!AM417-'19_Расчет_аналитики'!AM445)=0,10&lt;='01_Вводные'!$B$297),0,('19_Расчет_аналитики'!AM417-'19_Расчет_аналитики'!AM445)*IF('01_Вводные'!$B$239="Да",MeanMinAge10+'19_Расчет_аналитики'!AM560*SUMIF(ThresholdAge10,"&lt;"&amp;'19_Расчет_аналитики'!AM560,WeightedRevAge10)-SUMIF(ThresholdAge10,"&lt;"&amp;'19_Расчет_аналитики'!AM560,WeightedMinAge10),MAX(CapacityAge10*'01_Вводные'!$B$218*'19_Расчет_аналитики'!AM560,MeanMinAge10)))</f>
        <v/>
      </c>
      <c r="AN501">
        <f>IF(OR(('19_Расчет_аналитики'!AN417-'19_Расчет_аналитики'!AN445)=0,10&lt;='01_Вводные'!$B$297),0,('19_Расчет_аналитики'!AN417-'19_Расчет_аналитики'!AN445)*IF('01_Вводные'!$B$239="Да",MeanMinAge10+'19_Расчет_аналитики'!AN560*SUMIF(ThresholdAge10,"&lt;"&amp;'19_Расчет_аналитики'!AN560,WeightedRevAge10)-SUMIF(ThresholdAge10,"&lt;"&amp;'19_Расчет_аналитики'!AN560,WeightedMinAge10),MAX(CapacityAge10*'01_Вводные'!$B$218*'19_Расчет_аналитики'!AN560,MeanMinAge10)))</f>
        <v/>
      </c>
      <c r="AO501">
        <f>IF(OR(('19_Расчет_аналитики'!AO417-'19_Расчет_аналитики'!AO445)=0,10&lt;='01_Вводные'!$B$297),0,('19_Расчет_аналитики'!AO417-'19_Расчет_аналитики'!AO445)*IF('01_Вводные'!$B$239="Да",MeanMinAge10+'19_Расчет_аналитики'!AO560*SUMIF(ThresholdAge10,"&lt;"&amp;'19_Расчет_аналитики'!AO560,WeightedRevAge10)-SUMIF(ThresholdAge10,"&lt;"&amp;'19_Расчет_аналитики'!AO560,WeightedMinAge10),MAX(CapacityAge10*'01_Вводные'!$B$218*'19_Расчет_аналитики'!AO560,MeanMinAge10)))</f>
        <v/>
      </c>
      <c r="AP501">
        <f>IF(OR(('19_Расчет_аналитики'!AP417-'19_Расчет_аналитики'!AP445)=0,10&lt;='01_Вводные'!$B$297),0,('19_Расчет_аналитики'!AP417-'19_Расчет_аналитики'!AP445)*IF('01_Вводные'!$B$239="Да",MeanMinAge10+'19_Расчет_аналитики'!AP560*SUMIF(ThresholdAge10,"&lt;"&amp;'19_Расчет_аналитики'!AP560,WeightedRevAge10)-SUMIF(ThresholdAge10,"&lt;"&amp;'19_Расчет_аналитики'!AP560,WeightedMinAge10),MAX(CapacityAge10*'01_Вводные'!$B$218*'19_Расчет_аналитики'!AP560,MeanMinAge10)))</f>
        <v/>
      </c>
      <c r="AQ501">
        <f>IF(OR(('19_Расчет_аналитики'!AQ417-'19_Расчет_аналитики'!AQ445)=0,10&lt;='01_Вводные'!$B$297),0,('19_Расчет_аналитики'!AQ417-'19_Расчет_аналитики'!AQ445)*IF('01_Вводные'!$B$239="Да",MeanMinAge10+'19_Расчет_аналитики'!AQ560*SUMIF(ThresholdAge10,"&lt;"&amp;'19_Расчет_аналитики'!AQ560,WeightedRevAge10)-SUMIF(ThresholdAge10,"&lt;"&amp;'19_Расчет_аналитики'!AQ560,WeightedMinAge10),MAX(CapacityAge10*'01_Вводные'!$B$218*'19_Расчет_аналитики'!AQ560,MeanMinAge10)))</f>
        <v/>
      </c>
      <c r="AR501">
        <f>IF(OR(('19_Расчет_аналитики'!AR417-'19_Расчет_аналитики'!AR445)=0,10&lt;='01_Вводные'!$B$297),0,('19_Расчет_аналитики'!AR417-'19_Расчет_аналитики'!AR445)*IF('01_Вводные'!$B$239="Да",MeanMinAge10+'19_Расчет_аналитики'!AR560*SUMIF(ThresholdAge10,"&lt;"&amp;'19_Расчет_аналитики'!AR560,WeightedRevAge10)-SUMIF(ThresholdAge10,"&lt;"&amp;'19_Расчет_аналитики'!AR560,WeightedMinAge10),MAX(CapacityAge10*'01_Вводные'!$B$218*'19_Расчет_аналитики'!AR560,MeanMinAge10)))</f>
        <v/>
      </c>
      <c r="AS501">
        <f>IF(OR(('19_Расчет_аналитики'!AS417-'19_Расчет_аналитики'!AS445)=0,10&lt;='01_Вводные'!$B$297),0,('19_Расчет_аналитики'!AS417-'19_Расчет_аналитики'!AS445)*IF('01_Вводные'!$B$239="Да",MeanMinAge10+'19_Расчет_аналитики'!AS560*SUMIF(ThresholdAge10,"&lt;"&amp;'19_Расчет_аналитики'!AS560,WeightedRevAge10)-SUMIF(ThresholdAge10,"&lt;"&amp;'19_Расчет_аналитики'!AS560,WeightedMinAge10),MAX(CapacityAge10*'01_Вводные'!$B$218*'19_Расчет_аналитики'!AS560,MeanMinAge10)))</f>
        <v/>
      </c>
      <c r="AT501">
        <f>IF(OR(('19_Расчет_аналитики'!AT417-'19_Расчет_аналитики'!AT445)=0,10&lt;='01_Вводные'!$B$297),0,('19_Расчет_аналитики'!AT417-'19_Расчет_аналитики'!AT445)*IF('01_Вводные'!$B$239="Да",MeanMinAge10+'19_Расчет_аналитики'!AT560*SUMIF(ThresholdAge10,"&lt;"&amp;'19_Расчет_аналитики'!AT560,WeightedRevAge10)-SUMIF(ThresholdAge10,"&lt;"&amp;'19_Расчет_аналитики'!AT560,WeightedMinAge10),MAX(CapacityAge10*'01_Вводные'!$B$218*'19_Расчет_аналитики'!AT560,MeanMinAge10)))</f>
        <v/>
      </c>
      <c r="AU501">
        <f>IF(OR(('19_Расчет_аналитики'!AU417-'19_Расчет_аналитики'!AU445)=0,10&lt;='01_Вводные'!$B$297),0,('19_Расчет_аналитики'!AU417-'19_Расчет_аналитики'!AU445)*IF('01_Вводные'!$B$239="Да",MeanMinAge10+'19_Расчет_аналитики'!AU560*SUMIF(ThresholdAge10,"&lt;"&amp;'19_Расчет_аналитики'!AU560,WeightedRevAge10)-SUMIF(ThresholdAge10,"&lt;"&amp;'19_Расчет_аналитики'!AU560,WeightedMinAge10),MAX(CapacityAge10*'01_Вводные'!$B$218*'19_Расчет_аналитики'!AU560,MeanMinAge10)))</f>
        <v/>
      </c>
      <c r="AV501">
        <f>IF(OR(('19_Расчет_аналитики'!AV417-'19_Расчет_аналитики'!AV445)=0,10&lt;='01_Вводные'!$B$297),0,('19_Расчет_аналитики'!AV417-'19_Расчет_аналитики'!AV445)*IF('01_Вводные'!$B$239="Да",MeanMinAge10+'19_Расчет_аналитики'!AV560*SUMIF(ThresholdAge10,"&lt;"&amp;'19_Расчет_аналитики'!AV560,WeightedRevAge10)-SUMIF(ThresholdAge10,"&lt;"&amp;'19_Расчет_аналитики'!AV560,WeightedMinAge10),MAX(CapacityAge10*'01_Вводные'!$B$218*'19_Расчет_аналитики'!AV560,MeanMinAge10)))</f>
        <v/>
      </c>
      <c r="AW501">
        <f>IF(OR(('19_Расчет_аналитики'!AW417-'19_Расчет_аналитики'!AW445)=0,10&lt;='01_Вводные'!$B$297),0,('19_Расчет_аналитики'!AW417-'19_Расчет_аналитики'!AW445)*IF('01_Вводные'!$B$239="Да",MeanMinAge10+'19_Расчет_аналитики'!AW560*SUMIF(ThresholdAge10,"&lt;"&amp;'19_Расчет_аналитики'!AW560,WeightedRevAge10)-SUMIF(ThresholdAge10,"&lt;"&amp;'19_Расчет_аналитики'!AW560,WeightedMinAge10),MAX(CapacityAge10*'01_Вводные'!$B$218*'19_Расчет_аналитики'!AW560,MeanMinAge10)))</f>
        <v/>
      </c>
      <c r="AX501">
        <f>IF(OR(('19_Расчет_аналитики'!AX417-'19_Расчет_аналитики'!AX445)=0,10&lt;='01_Вводные'!$B$297),0,('19_Расчет_аналитики'!AX417-'19_Расчет_аналитики'!AX445)*IF('01_Вводные'!$B$239="Да",MeanMinAge10+'19_Расчет_аналитики'!AX560*SUMIF(ThresholdAge10,"&lt;"&amp;'19_Расчет_аналитики'!AX560,WeightedRevAge10)-SUMIF(ThresholdAge10,"&lt;"&amp;'19_Расчет_аналитики'!AX560,WeightedMinAge10),MAX(CapacityAge10*'01_Вводные'!$B$218*'19_Расчет_аналитики'!AX560,MeanMinAge10)))</f>
        <v/>
      </c>
      <c r="AY501">
        <f>IF(OR(('19_Расчет_аналитики'!AY417-'19_Расчет_аналитики'!AY445)=0,10&lt;='01_Вводные'!$B$297),0,('19_Расчет_аналитики'!AY417-'19_Расчет_аналитики'!AY445)*IF('01_Вводные'!$B$239="Да",MeanMinAge10+'19_Расчет_аналитики'!AY560*SUMIF(ThresholdAge10,"&lt;"&amp;'19_Расчет_аналитики'!AY560,WeightedRevAge10)-SUMIF(ThresholdAge10,"&lt;"&amp;'19_Расчет_аналитики'!AY560,WeightedMinAge10),MAX(CapacityAge10*'01_Вводные'!$B$218*'19_Расчет_аналитики'!AY560,MeanMinAge10)))</f>
        <v/>
      </c>
      <c r="AZ501">
        <f>IF(OR(('19_Расчет_аналитики'!AZ417-'19_Расчет_аналитики'!AZ445)=0,10&lt;='01_Вводные'!$B$297),0,('19_Расчет_аналитики'!AZ417-'19_Расчет_аналитики'!AZ445)*IF('01_Вводные'!$B$239="Да",MeanMinAge10+'19_Расчет_аналитики'!AZ560*SUMIF(ThresholdAge10,"&lt;"&amp;'19_Расчет_аналитики'!AZ560,WeightedRevAge10)-SUMIF(ThresholdAge10,"&lt;"&amp;'19_Расчет_аналитики'!AZ560,WeightedMinAge10),MAX(CapacityAge10*'01_Вводные'!$B$218*'19_Расчет_аналитики'!AZ560,MeanMinAge10)))</f>
        <v/>
      </c>
      <c r="BA501">
        <f>IF(OR(('19_Расчет_аналитики'!BA417-'19_Расчет_аналитики'!BA445)=0,10&lt;='01_Вводные'!$B$297),0,('19_Расчет_аналитики'!BA417-'19_Расчет_аналитики'!BA445)*IF('01_Вводные'!$B$239="Да",MeanMinAge10+'19_Расчет_аналитики'!BA560*SUMIF(ThresholdAge10,"&lt;"&amp;'19_Расчет_аналитики'!BA560,WeightedRevAge10)-SUMIF(ThresholdAge10,"&lt;"&amp;'19_Расчет_аналитики'!BA560,WeightedMinAge10),MAX(CapacityAge10*'01_Вводные'!$B$218*'19_Расчет_аналитики'!BA560,MeanMinAge10)))</f>
        <v/>
      </c>
      <c r="BB501">
        <f>IF(OR(('19_Расчет_аналитики'!BB417-'19_Расчет_аналитики'!BB445)=0,10&lt;='01_Вводные'!$B$297),0,('19_Расчет_аналитики'!BB417-'19_Расчет_аналитики'!BB445)*IF('01_Вводные'!$B$239="Да",MeanMinAge10+'19_Расчет_аналитики'!BB560*SUMIF(ThresholdAge10,"&lt;"&amp;'19_Расчет_аналитики'!BB560,WeightedRevAge10)-SUMIF(ThresholdAge10,"&lt;"&amp;'19_Расчет_аналитики'!BB560,WeightedMinAge10),MAX(CapacityAge10*'01_Вводные'!$B$218*'19_Расчет_аналитики'!BB560,MeanMinAge10)))</f>
        <v/>
      </c>
      <c r="BC501">
        <f>IF(OR(('19_Расчет_аналитики'!BC417-'19_Расчет_аналитики'!BC445)=0,10&lt;='01_Вводные'!$B$297),0,('19_Расчет_аналитики'!BC417-'19_Расчет_аналитики'!BC445)*IF('01_Вводные'!$B$239="Да",MeanMinAge10+'19_Расчет_аналитики'!BC560*SUMIF(ThresholdAge10,"&lt;"&amp;'19_Расчет_аналитики'!BC560,WeightedRevAge10)-SUMIF(ThresholdAge10,"&lt;"&amp;'19_Расчет_аналитики'!BC560,WeightedMinAge10),MAX(CapacityAge10*'01_Вводные'!$B$218*'19_Расчет_аналитики'!BC560,MeanMinAge10)))</f>
        <v/>
      </c>
      <c r="BD501">
        <f>IF(OR(('19_Расчет_аналитики'!BD417-'19_Расчет_аналитики'!BD445)=0,10&lt;='01_Вводные'!$B$297),0,('19_Расчет_аналитики'!BD417-'19_Расчет_аналитики'!BD445)*IF('01_Вводные'!$B$239="Да",MeanMinAge10+'19_Расчет_аналитики'!BD560*SUMIF(ThresholdAge10,"&lt;"&amp;'19_Расчет_аналитики'!BD560,WeightedRevAge10)-SUMIF(ThresholdAge10,"&lt;"&amp;'19_Расчет_аналитики'!BD560,WeightedMinAge10),MAX(CapacityAge10*'01_Вводные'!$B$218*'19_Расчет_аналитики'!BD560,MeanMinAge10)))</f>
        <v/>
      </c>
      <c r="BE501">
        <f>IF(OR(('19_Расчет_аналитики'!BE417-'19_Расчет_аналитики'!BE445)=0,10&lt;='01_Вводные'!$B$297),0,('19_Расчет_аналитики'!BE417-'19_Расчет_аналитики'!BE445)*IF('01_Вводные'!$B$239="Да",MeanMinAge10+'19_Расчет_аналитики'!BE560*SUMIF(ThresholdAge10,"&lt;"&amp;'19_Расчет_аналитики'!BE560,WeightedRevAge10)-SUMIF(ThresholdAge10,"&lt;"&amp;'19_Расчет_аналитики'!BE560,WeightedMinAge10),MAX(CapacityAge10*'01_Вводные'!$B$218*'19_Расчет_аналитики'!BE560,MeanMinAge10)))</f>
        <v/>
      </c>
      <c r="BF501">
        <f>IF(OR(('19_Расчет_аналитики'!BF417-'19_Расчет_аналитики'!BF445)=0,10&lt;='01_Вводные'!$B$297),0,('19_Расчет_аналитики'!BF417-'19_Расчет_аналитики'!BF445)*IF('01_Вводные'!$B$239="Да",MeanMinAge10+'19_Расчет_аналитики'!BF560*SUMIF(ThresholdAge10,"&lt;"&amp;'19_Расчет_аналитики'!BF560,WeightedRevAge10)-SUMIF(ThresholdAge10,"&lt;"&amp;'19_Расчет_аналитики'!BF560,WeightedMinAge10),MAX(CapacityAge10*'01_Вводные'!$B$218*'19_Расчет_аналитики'!BF560,MeanMinAge10)))</f>
        <v/>
      </c>
      <c r="BG501">
        <f>IF(OR(('19_Расчет_аналитики'!BG417-'19_Расчет_аналитики'!BG445)=0,10&lt;='01_Вводные'!$B$297),0,('19_Расчет_аналитики'!BG417-'19_Расчет_аналитики'!BG445)*IF('01_Вводные'!$B$239="Да",MeanMinAge10+'19_Расчет_аналитики'!BG560*SUMIF(ThresholdAge10,"&lt;"&amp;'19_Расчет_аналитики'!BG560,WeightedRevAge10)-SUMIF(ThresholdAge10,"&lt;"&amp;'19_Расчет_аналитики'!BG560,WeightedMinAge10),MAX(CapacityAge10*'01_Вводные'!$B$218*'19_Расчет_аналитики'!BG560,MeanMinAge10)))</f>
        <v/>
      </c>
      <c r="BH501">
        <f>IF(OR(('19_Расчет_аналитики'!BH417-'19_Расчет_аналитики'!BH445)=0,10&lt;='01_Вводные'!$B$297),0,('19_Расчет_аналитики'!BH417-'19_Расчет_аналитики'!BH445)*IF('01_Вводные'!$B$239="Да",MeanMinAge10+'19_Расчет_аналитики'!BH560*SUMIF(ThresholdAge10,"&lt;"&amp;'19_Расчет_аналитики'!BH560,WeightedRevAge10)-SUMIF(ThresholdAge10,"&lt;"&amp;'19_Расчет_аналитики'!BH560,WeightedMinAge10),MAX(CapacityAge10*'01_Вводные'!$B$218*'19_Расчет_аналитики'!BH560,MeanMinAge10)))</f>
        <v/>
      </c>
      <c r="BI501">
        <f>IF(OR(('19_Расчет_аналитики'!BI417-'19_Расчет_аналитики'!BI445)=0,10&lt;='01_Вводные'!$B$297),0,('19_Расчет_аналитики'!BI417-'19_Расчет_аналитики'!BI445)*IF('01_Вводные'!$B$239="Да",MeanMinAge10+'19_Расчет_аналитики'!BI560*SUMIF(ThresholdAge10,"&lt;"&amp;'19_Расчет_аналитики'!BI560,WeightedRevAge10)-SUMIF(ThresholdAge10,"&lt;"&amp;'19_Расчет_аналитики'!BI560,WeightedMinAge10),MAX(CapacityAge10*'01_Вводные'!$B$218*'19_Расчет_аналитики'!BI560,MeanMinAge10)))</f>
        <v/>
      </c>
      <c r="BJ501">
        <f>IF(OR(('19_Расчет_аналитики'!BJ417-'19_Расчет_аналитики'!BJ445)=0,10&lt;='01_Вводные'!$B$297),0,('19_Расчет_аналитики'!BJ417-'19_Расчет_аналитики'!BJ445)*IF('01_Вводные'!$B$239="Да",MeanMinAge10+'19_Расчет_аналитики'!BJ560*SUMIF(ThresholdAge10,"&lt;"&amp;'19_Расчет_аналитики'!BJ560,WeightedRevAge10)-SUMIF(ThresholdAge10,"&lt;"&amp;'19_Расчет_аналитики'!BJ560,WeightedMinAge10),MAX(CapacityAge10*'01_Вводные'!$B$218*'19_Расчет_аналитики'!BJ560,MeanMinAge10)))</f>
        <v/>
      </c>
      <c r="BK501">
        <f>IF(OR(('19_Расчет_аналитики'!BK417-'19_Расчет_аналитики'!BK445)=0,10&lt;='01_Вводные'!$B$297),0,('19_Расчет_аналитики'!BK417-'19_Расчет_аналитики'!BK445)*IF('01_Вводные'!$B$239="Да",MeanMinAge10+'19_Расчет_аналитики'!BK560*SUMIF(ThresholdAge10,"&lt;"&amp;'19_Расчет_аналитики'!BK560,WeightedRevAge10)-SUMIF(ThresholdAge10,"&lt;"&amp;'19_Расчет_аналитики'!BK560,WeightedMinAge10),MAX(CapacityAge10*'01_Вводные'!$B$218*'19_Расчет_аналитики'!BK560,MeanMinAge10)))</f>
        <v/>
      </c>
      <c r="BL501">
        <f>IF(OR(('19_Расчет_аналитики'!BL417-'19_Расчет_аналитики'!BL445)=0,10&lt;='01_Вводные'!$B$297),0,('19_Расчет_аналитики'!BL417-'19_Расчет_аналитики'!BL445)*IF('01_Вводные'!$B$239="Да",MeanMinAge10+'19_Расчет_аналитики'!BL560*SUMIF(ThresholdAge10,"&lt;"&amp;'19_Расчет_аналитики'!BL560,WeightedRevAge10)-SUMIF(ThresholdAge10,"&lt;"&amp;'19_Расчет_аналитики'!BL560,WeightedMinAge10),MAX(CapacityAge10*'01_Вводные'!$B$218*'19_Расчет_аналитики'!BL560,MeanMinAge10)))</f>
        <v/>
      </c>
      <c r="BM501">
        <f>IF(OR(('19_Расчет_аналитики'!BM417-'19_Расчет_аналитики'!BM445)=0,10&lt;='01_Вводные'!$B$297),0,('19_Расчет_аналитики'!BM417-'19_Расчет_аналитики'!BM445)*IF('01_Вводные'!$B$239="Да",MeanMinAge10+'19_Расчет_аналитики'!BM560*SUMIF(ThresholdAge10,"&lt;"&amp;'19_Расчет_аналитики'!BM560,WeightedRevAge10)-SUMIF(ThresholdAge10,"&lt;"&amp;'19_Расчет_аналитики'!BM560,WeightedMinAge10),MAX(CapacityAge10*'01_Вводные'!$B$218*'19_Расчет_аналитики'!BM560,MeanMinAge10)))</f>
        <v/>
      </c>
      <c r="BN501">
        <f>IF(OR(('19_Расчет_аналитики'!BN417-'19_Расчет_аналитики'!BN445)=0,10&lt;='01_Вводные'!$B$297),0,('19_Расчет_аналитики'!BN417-'19_Расчет_аналитики'!BN445)*IF('01_Вводные'!$B$239="Да",MeanMinAge10+'19_Расчет_аналитики'!BN560*SUMIF(ThresholdAge10,"&lt;"&amp;'19_Расчет_аналитики'!BN560,WeightedRevAge10)-SUMIF(ThresholdAge10,"&lt;"&amp;'19_Расчет_аналитики'!BN560,WeightedMinAge10),MAX(CapacityAge10*'01_Вводные'!$B$218*'19_Расчет_аналитики'!BN560,MeanMinAge10)))</f>
        <v/>
      </c>
      <c r="BO501">
        <f>IF(OR(('19_Расчет_аналитики'!BO417-'19_Расчет_аналитики'!BO445)=0,10&lt;='01_Вводные'!$B$297),0,('19_Расчет_аналитики'!BO417-'19_Расчет_аналитики'!BO445)*IF('01_Вводные'!$B$239="Да",MeanMinAge10+'19_Расчет_аналитики'!BO560*SUMIF(ThresholdAge10,"&lt;"&amp;'19_Расчет_аналитики'!BO560,WeightedRevAge10)-SUMIF(ThresholdAge10,"&lt;"&amp;'19_Расчет_аналитики'!BO560,WeightedMinAge10),MAX(CapacityAge10*'01_Вводные'!$B$218*'19_Расчет_аналитики'!BO560,MeanMinAge10)))</f>
        <v/>
      </c>
    </row>
    <row r="502">
      <c r="B502">
        <f>IF(OR(('06_Сеть_и_дети'!B63-'06_Сеть_и_дети'!B91)=0,11&lt;='01_Вводные'!$B$297),0,('06_Сеть_и_дети'!B63-'06_Сеть_и_дети'!B91)*IF('01_Вводные'!$B$239="Да",MeanMinAge11+'19_Расчет_аналитики'!B560*SUMIF(ThresholdAge11,"&lt;"&amp;'19_Расчет_аналитики'!B560,WeightedRevAge11)-SUMIF(ThresholdAge11,"&lt;"&amp;'19_Расчет_аналитики'!B560,WeightedMinAge11),MAX(CapacityAge11*'01_Вводные'!$B$218*'19_Расчет_аналитики'!B560,MeanMinAge11)))</f>
        <v/>
      </c>
      <c r="C502">
        <f>IF(OR(('06_Сеть_и_дети'!C63-'06_Сеть_и_дети'!C91)=0,11&lt;='01_Вводные'!$B$297),0,('06_Сеть_и_дети'!C63-'06_Сеть_и_дети'!C91)*IF('01_Вводные'!$B$239="Да",MeanMinAge11+'19_Расчет_аналитики'!C560*SUMIF(ThresholdAge11,"&lt;"&amp;'19_Расчет_аналитики'!C560,WeightedRevAge11)-SUMIF(ThresholdAge11,"&lt;"&amp;'19_Расчет_аналитики'!C560,WeightedMinAge11),MAX(CapacityAge11*'01_Вводные'!$B$218*'19_Расчет_аналитики'!C560,MeanMinAge11)))</f>
        <v/>
      </c>
      <c r="D502">
        <f>IF(OR(('06_Сеть_и_дети'!D63-'06_Сеть_и_дети'!D91)=0,11&lt;='01_Вводные'!$B$297),0,('06_Сеть_и_дети'!D63-'06_Сеть_и_дети'!D91)*IF('01_Вводные'!$B$239="Да",MeanMinAge11+'19_Расчет_аналитики'!D560*SUMIF(ThresholdAge11,"&lt;"&amp;'19_Расчет_аналитики'!D560,WeightedRevAge11)-SUMIF(ThresholdAge11,"&lt;"&amp;'19_Расчет_аналитики'!D560,WeightedMinAge11),MAX(CapacityAge11*'01_Вводные'!$B$218*'19_Расчет_аналитики'!D560,MeanMinAge11)))</f>
        <v/>
      </c>
      <c r="E502">
        <f>IF(OR(('06_Сеть_и_дети'!E63-'06_Сеть_и_дети'!E91)=0,11&lt;='01_Вводные'!$B$297),0,('06_Сеть_и_дети'!E63-'06_Сеть_и_дети'!E91)*IF('01_Вводные'!$B$239="Да",MeanMinAge11+'19_Расчет_аналитики'!E560*SUMIF(ThresholdAge11,"&lt;"&amp;'19_Расчет_аналитики'!E560,WeightedRevAge11)-SUMIF(ThresholdAge11,"&lt;"&amp;'19_Расчет_аналитики'!E560,WeightedMinAge11),MAX(CapacityAge11*'01_Вводные'!$B$218*'19_Расчет_аналитики'!E560,MeanMinAge11)))</f>
        <v/>
      </c>
      <c r="F502">
        <f>IF(OR(('06_Сеть_и_дети'!F63-'06_Сеть_и_дети'!F91)=0,11&lt;='01_Вводные'!$B$297),0,('06_Сеть_и_дети'!F63-'06_Сеть_и_дети'!F91)*IF('01_Вводные'!$B$239="Да",MeanMinAge11+'19_Расчет_аналитики'!F560*SUMIF(ThresholdAge11,"&lt;"&amp;'19_Расчет_аналитики'!F560,WeightedRevAge11)-SUMIF(ThresholdAge11,"&lt;"&amp;'19_Расчет_аналитики'!F560,WeightedMinAge11),MAX(CapacityAge11*'01_Вводные'!$B$218*'19_Расчет_аналитики'!F560,MeanMinAge11)))</f>
        <v/>
      </c>
      <c r="G502">
        <f>IF(OR(('06_Сеть_и_дети'!G63-'06_Сеть_и_дети'!G91)=0,11&lt;='01_Вводные'!$B$297),0,('06_Сеть_и_дети'!G63-'06_Сеть_и_дети'!G91)*IF('01_Вводные'!$B$239="Да",MeanMinAge11+'19_Расчет_аналитики'!G560*SUMIF(ThresholdAge11,"&lt;"&amp;'19_Расчет_аналитики'!G560,WeightedRevAge11)-SUMIF(ThresholdAge11,"&lt;"&amp;'19_Расчет_аналитики'!G560,WeightedMinAge11),MAX(CapacityAge11*'01_Вводные'!$B$218*'19_Расчет_аналитики'!G560,MeanMinAge11)))</f>
        <v/>
      </c>
      <c r="H502">
        <f>IF(OR(('06_Сеть_и_дети'!H63-'06_Сеть_и_дети'!H91)=0,11&lt;='01_Вводные'!$B$297),0,('06_Сеть_и_дети'!H63-'06_Сеть_и_дети'!H91)*IF('01_Вводные'!$B$239="Да",MeanMinAge11+'19_Расчет_аналитики'!H560*SUMIF(ThresholdAge11,"&lt;"&amp;'19_Расчет_аналитики'!H560,WeightedRevAge11)-SUMIF(ThresholdAge11,"&lt;"&amp;'19_Расчет_аналитики'!H560,WeightedMinAge11),MAX(CapacityAge11*'01_Вводные'!$B$218*'19_Расчет_аналитики'!H560,MeanMinAge11)))</f>
        <v/>
      </c>
      <c r="I502">
        <f>IF(OR(('06_Сеть_и_дети'!I63-'06_Сеть_и_дети'!I91)=0,11&lt;='01_Вводные'!$B$297),0,('06_Сеть_и_дети'!I63-'06_Сеть_и_дети'!I91)*IF('01_Вводные'!$B$239="Да",MeanMinAge11+'19_Расчет_аналитики'!I560*SUMIF(ThresholdAge11,"&lt;"&amp;'19_Расчет_аналитики'!I560,WeightedRevAge11)-SUMIF(ThresholdAge11,"&lt;"&amp;'19_Расчет_аналитики'!I560,WeightedMinAge11),MAX(CapacityAge11*'01_Вводные'!$B$218*'19_Расчет_аналитики'!I560,MeanMinAge11)))</f>
        <v/>
      </c>
      <c r="J502">
        <f>IF(OR(('06_Сеть_и_дети'!J63-'06_Сеть_и_дети'!J91)=0,11&lt;='01_Вводные'!$B$297),0,('06_Сеть_и_дети'!J63-'06_Сеть_и_дети'!J91)*IF('01_Вводные'!$B$239="Да",MeanMinAge11+'19_Расчет_аналитики'!J560*SUMIF(ThresholdAge11,"&lt;"&amp;'19_Расчет_аналитики'!J560,WeightedRevAge11)-SUMIF(ThresholdAge11,"&lt;"&amp;'19_Расчет_аналитики'!J560,WeightedMinAge11),MAX(CapacityAge11*'01_Вводные'!$B$218*'19_Расчет_аналитики'!J560,MeanMinAge11)))</f>
        <v/>
      </c>
      <c r="K502">
        <f>IF(OR(('06_Сеть_и_дети'!K63-'06_Сеть_и_дети'!K91)=0,11&lt;='01_Вводные'!$B$297),0,('06_Сеть_и_дети'!K63-'06_Сеть_и_дети'!K91)*IF('01_Вводные'!$B$239="Да",MeanMinAge11+'19_Расчет_аналитики'!K560*SUMIF(ThresholdAge11,"&lt;"&amp;'19_Расчет_аналитики'!K560,WeightedRevAge11)-SUMIF(ThresholdAge11,"&lt;"&amp;'19_Расчет_аналитики'!K560,WeightedMinAge11),MAX(CapacityAge11*'01_Вводные'!$B$218*'19_Расчет_аналитики'!K560,MeanMinAge11)))</f>
        <v/>
      </c>
      <c r="L502">
        <f>IF(OR(('19_Расчет_аналитики'!L418-'19_Расчет_аналитики'!L446)=0,11&lt;='01_Вводные'!$B$297),0,('19_Расчет_аналитики'!L418-'19_Расчет_аналитики'!L446)*IF('01_Вводные'!$B$239="Да",MeanMinAge11+'19_Расчет_аналитики'!L560*SUMIF(ThresholdAge11,"&lt;"&amp;'19_Расчет_аналитики'!L560,WeightedRevAge11)-SUMIF(ThresholdAge11,"&lt;"&amp;'19_Расчет_аналитики'!L560,WeightedMinAge11),MAX(CapacityAge11*'01_Вводные'!$B$218*'19_Расчет_аналитики'!L560,MeanMinAge11)))</f>
        <v/>
      </c>
      <c r="M502">
        <f>IF(OR(('19_Расчет_аналитики'!M418-'19_Расчет_аналитики'!M446)=0,11&lt;='01_Вводные'!$B$297),0,('19_Расчет_аналитики'!M418-'19_Расчет_аналитики'!M446)*IF('01_Вводные'!$B$239="Да",MeanMinAge11+'19_Расчет_аналитики'!M560*SUMIF(ThresholdAge11,"&lt;"&amp;'19_Расчет_аналитики'!M560,WeightedRevAge11)-SUMIF(ThresholdAge11,"&lt;"&amp;'19_Расчет_аналитики'!M560,WeightedMinAge11),MAX(CapacityAge11*'01_Вводные'!$B$218*'19_Расчет_аналитики'!M560,MeanMinAge11)))</f>
        <v/>
      </c>
      <c r="N502">
        <f>IF(OR(('19_Расчет_аналитики'!N418-'19_Расчет_аналитики'!N446)=0,11&lt;='01_Вводные'!$B$297),0,('19_Расчет_аналитики'!N418-'19_Расчет_аналитики'!N446)*IF('01_Вводные'!$B$239="Да",MeanMinAge11+'19_Расчет_аналитики'!N560*SUMIF(ThresholdAge11,"&lt;"&amp;'19_Расчет_аналитики'!N560,WeightedRevAge11)-SUMIF(ThresholdAge11,"&lt;"&amp;'19_Расчет_аналитики'!N560,WeightedMinAge11),MAX(CapacityAge11*'01_Вводные'!$B$218*'19_Расчет_аналитики'!N560,MeanMinAge11)))</f>
        <v/>
      </c>
      <c r="O502">
        <f>IF(OR(('19_Расчет_аналитики'!O418-'19_Расчет_аналитики'!O446)=0,11&lt;='01_Вводные'!$B$297),0,('19_Расчет_аналитики'!O418-'19_Расчет_аналитики'!O446)*IF('01_Вводные'!$B$239="Да",MeanMinAge11+'19_Расчет_аналитики'!O560*SUMIF(ThresholdAge11,"&lt;"&amp;'19_Расчет_аналитики'!O560,WeightedRevAge11)-SUMIF(ThresholdAge11,"&lt;"&amp;'19_Расчет_аналитики'!O560,WeightedMinAge11),MAX(CapacityAge11*'01_Вводные'!$B$218*'19_Расчет_аналитики'!O560,MeanMinAge11)))</f>
        <v/>
      </c>
      <c r="P502">
        <f>IF(OR(('19_Расчет_аналитики'!P418-'19_Расчет_аналитики'!P446)=0,11&lt;='01_Вводные'!$B$297),0,('19_Расчет_аналитики'!P418-'19_Расчет_аналитики'!P446)*IF('01_Вводные'!$B$239="Да",MeanMinAge11+'19_Расчет_аналитики'!P560*SUMIF(ThresholdAge11,"&lt;"&amp;'19_Расчет_аналитики'!P560,WeightedRevAge11)-SUMIF(ThresholdAge11,"&lt;"&amp;'19_Расчет_аналитики'!P560,WeightedMinAge11),MAX(CapacityAge11*'01_Вводные'!$B$218*'19_Расчет_аналитики'!P560,MeanMinAge11)))</f>
        <v/>
      </c>
      <c r="Q502">
        <f>IF(OR(('19_Расчет_аналитики'!Q418-'19_Расчет_аналитики'!Q446)=0,11&lt;='01_Вводные'!$B$297),0,('19_Расчет_аналитики'!Q418-'19_Расчет_аналитики'!Q446)*IF('01_Вводные'!$B$239="Да",MeanMinAge11+'19_Расчет_аналитики'!Q560*SUMIF(ThresholdAge11,"&lt;"&amp;'19_Расчет_аналитики'!Q560,WeightedRevAge11)-SUMIF(ThresholdAge11,"&lt;"&amp;'19_Расчет_аналитики'!Q560,WeightedMinAge11),MAX(CapacityAge11*'01_Вводные'!$B$218*'19_Расчет_аналитики'!Q560,MeanMinAge11)))</f>
        <v/>
      </c>
      <c r="R502">
        <f>IF(OR(('19_Расчет_аналитики'!R418-'19_Расчет_аналитики'!R446)=0,11&lt;='01_Вводные'!$B$297),0,('19_Расчет_аналитики'!R418-'19_Расчет_аналитики'!R446)*IF('01_Вводные'!$B$239="Да",MeanMinAge11+'19_Расчет_аналитики'!R560*SUMIF(ThresholdAge11,"&lt;"&amp;'19_Расчет_аналитики'!R560,WeightedRevAge11)-SUMIF(ThresholdAge11,"&lt;"&amp;'19_Расчет_аналитики'!R560,WeightedMinAge11),MAX(CapacityAge11*'01_Вводные'!$B$218*'19_Расчет_аналитики'!R560,MeanMinAge11)))</f>
        <v/>
      </c>
      <c r="S502">
        <f>IF(OR(('19_Расчет_аналитики'!S418-'19_Расчет_аналитики'!S446)=0,11&lt;='01_Вводные'!$B$297),0,('19_Расчет_аналитики'!S418-'19_Расчет_аналитики'!S446)*IF('01_Вводные'!$B$239="Да",MeanMinAge11+'19_Расчет_аналитики'!S560*SUMIF(ThresholdAge11,"&lt;"&amp;'19_Расчет_аналитики'!S560,WeightedRevAge11)-SUMIF(ThresholdAge11,"&lt;"&amp;'19_Расчет_аналитики'!S560,WeightedMinAge11),MAX(CapacityAge11*'01_Вводные'!$B$218*'19_Расчет_аналитики'!S560,MeanMinAge11)))</f>
        <v/>
      </c>
      <c r="T502">
        <f>IF(OR(('19_Расчет_аналитики'!T418-'19_Расчет_аналитики'!T446)=0,11&lt;='01_Вводные'!$B$297),0,('19_Расчет_аналитики'!T418-'19_Расчет_аналитики'!T446)*IF('01_Вводные'!$B$239="Да",MeanMinAge11+'19_Расчет_аналитики'!T560*SUMIF(ThresholdAge11,"&lt;"&amp;'19_Расчет_аналитики'!T560,WeightedRevAge11)-SUMIF(ThresholdAge11,"&lt;"&amp;'19_Расчет_аналитики'!T560,WeightedMinAge11),MAX(CapacityAge11*'01_Вводные'!$B$218*'19_Расчет_аналитики'!T560,MeanMinAge11)))</f>
        <v/>
      </c>
      <c r="U502">
        <f>IF(OR(('19_Расчет_аналитики'!U418-'19_Расчет_аналитики'!U446)=0,11&lt;='01_Вводные'!$B$297),0,('19_Расчет_аналитики'!U418-'19_Расчет_аналитики'!U446)*IF('01_Вводные'!$B$239="Да",MeanMinAge11+'19_Расчет_аналитики'!U560*SUMIF(ThresholdAge11,"&lt;"&amp;'19_Расчет_аналитики'!U560,WeightedRevAge11)-SUMIF(ThresholdAge11,"&lt;"&amp;'19_Расчет_аналитики'!U560,WeightedMinAge11),MAX(CapacityAge11*'01_Вводные'!$B$218*'19_Расчет_аналитики'!U560,MeanMinAge11)))</f>
        <v/>
      </c>
      <c r="V502">
        <f>IF(OR(('19_Расчет_аналитики'!V418-'19_Расчет_аналитики'!V446)=0,11&lt;='01_Вводные'!$B$297),0,('19_Расчет_аналитики'!V418-'19_Расчет_аналитики'!V446)*IF('01_Вводные'!$B$239="Да",MeanMinAge11+'19_Расчет_аналитики'!V560*SUMIF(ThresholdAge11,"&lt;"&amp;'19_Расчет_аналитики'!V560,WeightedRevAge11)-SUMIF(ThresholdAge11,"&lt;"&amp;'19_Расчет_аналитики'!V560,WeightedMinAge11),MAX(CapacityAge11*'01_Вводные'!$B$218*'19_Расчет_аналитики'!V560,MeanMinAge11)))</f>
        <v/>
      </c>
      <c r="W502">
        <f>IF(OR(('19_Расчет_аналитики'!W418-'19_Расчет_аналитики'!W446)=0,11&lt;='01_Вводные'!$B$297),0,('19_Расчет_аналитики'!W418-'19_Расчет_аналитики'!W446)*IF('01_Вводные'!$B$239="Да",MeanMinAge11+'19_Расчет_аналитики'!W560*SUMIF(ThresholdAge11,"&lt;"&amp;'19_Расчет_аналитики'!W560,WeightedRevAge11)-SUMIF(ThresholdAge11,"&lt;"&amp;'19_Расчет_аналитики'!W560,WeightedMinAge11),MAX(CapacityAge11*'01_Вводные'!$B$218*'19_Расчет_аналитики'!W560,MeanMinAge11)))</f>
        <v/>
      </c>
      <c r="X502">
        <f>IF(OR(('19_Расчет_аналитики'!X418-'19_Расчет_аналитики'!X446)=0,11&lt;='01_Вводные'!$B$297),0,('19_Расчет_аналитики'!X418-'19_Расчет_аналитики'!X446)*IF('01_Вводные'!$B$239="Да",MeanMinAge11+'19_Расчет_аналитики'!X560*SUMIF(ThresholdAge11,"&lt;"&amp;'19_Расчет_аналитики'!X560,WeightedRevAge11)-SUMIF(ThresholdAge11,"&lt;"&amp;'19_Расчет_аналитики'!X560,WeightedMinAge11),MAX(CapacityAge11*'01_Вводные'!$B$218*'19_Расчет_аналитики'!X560,MeanMinAge11)))</f>
        <v/>
      </c>
      <c r="Y502">
        <f>IF(OR(('19_Расчет_аналитики'!Y418-'19_Расчет_аналитики'!Y446)=0,11&lt;='01_Вводные'!$B$297),0,('19_Расчет_аналитики'!Y418-'19_Расчет_аналитики'!Y446)*IF('01_Вводные'!$B$239="Да",MeanMinAge11+'19_Расчет_аналитики'!Y560*SUMIF(ThresholdAge11,"&lt;"&amp;'19_Расчет_аналитики'!Y560,WeightedRevAge11)-SUMIF(ThresholdAge11,"&lt;"&amp;'19_Расчет_аналитики'!Y560,WeightedMinAge11),MAX(CapacityAge11*'01_Вводные'!$B$218*'19_Расчет_аналитики'!Y560,MeanMinAge11)))</f>
        <v/>
      </c>
      <c r="Z502">
        <f>IF(OR(('19_Расчет_аналитики'!Z418-'19_Расчет_аналитики'!Z446)=0,11&lt;='01_Вводные'!$B$297),0,('19_Расчет_аналитики'!Z418-'19_Расчет_аналитики'!Z446)*IF('01_Вводные'!$B$239="Да",MeanMinAge11+'19_Расчет_аналитики'!Z560*SUMIF(ThresholdAge11,"&lt;"&amp;'19_Расчет_аналитики'!Z560,WeightedRevAge11)-SUMIF(ThresholdAge11,"&lt;"&amp;'19_Расчет_аналитики'!Z560,WeightedMinAge11),MAX(CapacityAge11*'01_Вводные'!$B$218*'19_Расчет_аналитики'!Z560,MeanMinAge11)))</f>
        <v/>
      </c>
      <c r="AA502">
        <f>IF(OR(('19_Расчет_аналитики'!AA418-'19_Расчет_аналитики'!AA446)=0,11&lt;='01_Вводные'!$B$297),0,('19_Расчет_аналитики'!AA418-'19_Расчет_аналитики'!AA446)*IF('01_Вводные'!$B$239="Да",MeanMinAge11+'19_Расчет_аналитики'!AA560*SUMIF(ThresholdAge11,"&lt;"&amp;'19_Расчет_аналитики'!AA560,WeightedRevAge11)-SUMIF(ThresholdAge11,"&lt;"&amp;'19_Расчет_аналитики'!AA560,WeightedMinAge11),MAX(CapacityAge11*'01_Вводные'!$B$218*'19_Расчет_аналитики'!AA560,MeanMinAge11)))</f>
        <v/>
      </c>
      <c r="AB502">
        <f>IF(OR(('19_Расчет_аналитики'!AB418-'19_Расчет_аналитики'!AB446)=0,11&lt;='01_Вводные'!$B$297),0,('19_Расчет_аналитики'!AB418-'19_Расчет_аналитики'!AB446)*IF('01_Вводные'!$B$239="Да",MeanMinAge11+'19_Расчет_аналитики'!AB560*SUMIF(ThresholdAge11,"&lt;"&amp;'19_Расчет_аналитики'!AB560,WeightedRevAge11)-SUMIF(ThresholdAge11,"&lt;"&amp;'19_Расчет_аналитики'!AB560,WeightedMinAge11),MAX(CapacityAge11*'01_Вводные'!$B$218*'19_Расчет_аналитики'!AB560,MeanMinAge11)))</f>
        <v/>
      </c>
      <c r="AC502">
        <f>IF(OR(('19_Расчет_аналитики'!AC418-'19_Расчет_аналитики'!AC446)=0,11&lt;='01_Вводные'!$B$297),0,('19_Расчет_аналитики'!AC418-'19_Расчет_аналитики'!AC446)*IF('01_Вводные'!$B$239="Да",MeanMinAge11+'19_Расчет_аналитики'!AC560*SUMIF(ThresholdAge11,"&lt;"&amp;'19_Расчет_аналитики'!AC560,WeightedRevAge11)-SUMIF(ThresholdAge11,"&lt;"&amp;'19_Расчет_аналитики'!AC560,WeightedMinAge11),MAX(CapacityAge11*'01_Вводные'!$B$218*'19_Расчет_аналитики'!AC560,MeanMinAge11)))</f>
        <v/>
      </c>
      <c r="AD502">
        <f>IF(OR(('19_Расчет_аналитики'!AD418-'19_Расчет_аналитики'!AD446)=0,11&lt;='01_Вводные'!$B$297),0,('19_Расчет_аналитики'!AD418-'19_Расчет_аналитики'!AD446)*IF('01_Вводные'!$B$239="Да",MeanMinAge11+'19_Расчет_аналитики'!AD560*SUMIF(ThresholdAge11,"&lt;"&amp;'19_Расчет_аналитики'!AD560,WeightedRevAge11)-SUMIF(ThresholdAge11,"&lt;"&amp;'19_Расчет_аналитики'!AD560,WeightedMinAge11),MAX(CapacityAge11*'01_Вводные'!$B$218*'19_Расчет_аналитики'!AD560,MeanMinAge11)))</f>
        <v/>
      </c>
      <c r="AE502">
        <f>IF(OR(('19_Расчет_аналитики'!AE418-'19_Расчет_аналитики'!AE446)=0,11&lt;='01_Вводные'!$B$297),0,('19_Расчет_аналитики'!AE418-'19_Расчет_аналитики'!AE446)*IF('01_Вводные'!$B$239="Да",MeanMinAge11+'19_Расчет_аналитики'!AE560*SUMIF(ThresholdAge11,"&lt;"&amp;'19_Расчет_аналитики'!AE560,WeightedRevAge11)-SUMIF(ThresholdAge11,"&lt;"&amp;'19_Расчет_аналитики'!AE560,WeightedMinAge11),MAX(CapacityAge11*'01_Вводные'!$B$218*'19_Расчет_аналитики'!AE560,MeanMinAge11)))</f>
        <v/>
      </c>
      <c r="AF502">
        <f>IF(OR(('19_Расчет_аналитики'!AF418-'19_Расчет_аналитики'!AF446)=0,11&lt;='01_Вводные'!$B$297),0,('19_Расчет_аналитики'!AF418-'19_Расчет_аналитики'!AF446)*IF('01_Вводные'!$B$239="Да",MeanMinAge11+'19_Расчет_аналитики'!AF560*SUMIF(ThresholdAge11,"&lt;"&amp;'19_Расчет_аналитики'!AF560,WeightedRevAge11)-SUMIF(ThresholdAge11,"&lt;"&amp;'19_Расчет_аналитики'!AF560,WeightedMinAge11),MAX(CapacityAge11*'01_Вводные'!$B$218*'19_Расчет_аналитики'!AF560,MeanMinAge11)))</f>
        <v/>
      </c>
      <c r="AG502">
        <f>IF(OR(('19_Расчет_аналитики'!AG418-'19_Расчет_аналитики'!AG446)=0,11&lt;='01_Вводные'!$B$297),0,('19_Расчет_аналитики'!AG418-'19_Расчет_аналитики'!AG446)*IF('01_Вводные'!$B$239="Да",MeanMinAge11+'19_Расчет_аналитики'!AG560*SUMIF(ThresholdAge11,"&lt;"&amp;'19_Расчет_аналитики'!AG560,WeightedRevAge11)-SUMIF(ThresholdAge11,"&lt;"&amp;'19_Расчет_аналитики'!AG560,WeightedMinAge11),MAX(CapacityAge11*'01_Вводные'!$B$218*'19_Расчет_аналитики'!AG560,MeanMinAge11)))</f>
        <v/>
      </c>
      <c r="AH502">
        <f>IF(OR(('19_Расчет_аналитики'!AH418-'19_Расчет_аналитики'!AH446)=0,11&lt;='01_Вводные'!$B$297),0,('19_Расчет_аналитики'!AH418-'19_Расчет_аналитики'!AH446)*IF('01_Вводные'!$B$239="Да",MeanMinAge11+'19_Расчет_аналитики'!AH560*SUMIF(ThresholdAge11,"&lt;"&amp;'19_Расчет_аналитики'!AH560,WeightedRevAge11)-SUMIF(ThresholdAge11,"&lt;"&amp;'19_Расчет_аналитики'!AH560,WeightedMinAge11),MAX(CapacityAge11*'01_Вводные'!$B$218*'19_Расчет_аналитики'!AH560,MeanMinAge11)))</f>
        <v/>
      </c>
      <c r="AI502">
        <f>IF(OR(('19_Расчет_аналитики'!AI418-'19_Расчет_аналитики'!AI446)=0,11&lt;='01_Вводные'!$B$297),0,('19_Расчет_аналитики'!AI418-'19_Расчет_аналитики'!AI446)*IF('01_Вводные'!$B$239="Да",MeanMinAge11+'19_Расчет_аналитики'!AI560*SUMIF(ThresholdAge11,"&lt;"&amp;'19_Расчет_аналитики'!AI560,WeightedRevAge11)-SUMIF(ThresholdAge11,"&lt;"&amp;'19_Расчет_аналитики'!AI560,WeightedMinAge11),MAX(CapacityAge11*'01_Вводные'!$B$218*'19_Расчет_аналитики'!AI560,MeanMinAge11)))</f>
        <v/>
      </c>
      <c r="AJ502">
        <f>IF(OR(('19_Расчет_аналитики'!AJ418-'19_Расчет_аналитики'!AJ446)=0,11&lt;='01_Вводные'!$B$297),0,('19_Расчет_аналитики'!AJ418-'19_Расчет_аналитики'!AJ446)*IF('01_Вводные'!$B$239="Да",MeanMinAge11+'19_Расчет_аналитики'!AJ560*SUMIF(ThresholdAge11,"&lt;"&amp;'19_Расчет_аналитики'!AJ560,WeightedRevAge11)-SUMIF(ThresholdAge11,"&lt;"&amp;'19_Расчет_аналитики'!AJ560,WeightedMinAge11),MAX(CapacityAge11*'01_Вводные'!$B$218*'19_Расчет_аналитики'!AJ560,MeanMinAge11)))</f>
        <v/>
      </c>
      <c r="AK502">
        <f>IF(OR(('19_Расчет_аналитики'!AK418-'19_Расчет_аналитики'!AK446)=0,11&lt;='01_Вводные'!$B$297),0,('19_Расчет_аналитики'!AK418-'19_Расчет_аналитики'!AK446)*IF('01_Вводные'!$B$239="Да",MeanMinAge11+'19_Расчет_аналитики'!AK560*SUMIF(ThresholdAge11,"&lt;"&amp;'19_Расчет_аналитики'!AK560,WeightedRevAge11)-SUMIF(ThresholdAge11,"&lt;"&amp;'19_Расчет_аналитики'!AK560,WeightedMinAge11),MAX(CapacityAge11*'01_Вводные'!$B$218*'19_Расчет_аналитики'!AK560,MeanMinAge11)))</f>
        <v/>
      </c>
      <c r="AL502">
        <f>IF(OR(('19_Расчет_аналитики'!AL418-'19_Расчет_аналитики'!AL446)=0,11&lt;='01_Вводные'!$B$297),0,('19_Расчет_аналитики'!AL418-'19_Расчет_аналитики'!AL446)*IF('01_Вводные'!$B$239="Да",MeanMinAge11+'19_Расчет_аналитики'!AL560*SUMIF(ThresholdAge11,"&lt;"&amp;'19_Расчет_аналитики'!AL560,WeightedRevAge11)-SUMIF(ThresholdAge11,"&lt;"&amp;'19_Расчет_аналитики'!AL560,WeightedMinAge11),MAX(CapacityAge11*'01_Вводные'!$B$218*'19_Расчет_аналитики'!AL560,MeanMinAge11)))</f>
        <v/>
      </c>
      <c r="AM502">
        <f>IF(OR(('19_Расчет_аналитики'!AM418-'19_Расчет_аналитики'!AM446)=0,11&lt;='01_Вводные'!$B$297),0,('19_Расчет_аналитики'!AM418-'19_Расчет_аналитики'!AM446)*IF('01_Вводные'!$B$239="Да",MeanMinAge11+'19_Расчет_аналитики'!AM560*SUMIF(ThresholdAge11,"&lt;"&amp;'19_Расчет_аналитики'!AM560,WeightedRevAge11)-SUMIF(ThresholdAge11,"&lt;"&amp;'19_Расчет_аналитики'!AM560,WeightedMinAge11),MAX(CapacityAge11*'01_Вводные'!$B$218*'19_Расчет_аналитики'!AM560,MeanMinAge11)))</f>
        <v/>
      </c>
      <c r="AN502">
        <f>IF(OR(('19_Расчет_аналитики'!AN418-'19_Расчет_аналитики'!AN446)=0,11&lt;='01_Вводные'!$B$297),0,('19_Расчет_аналитики'!AN418-'19_Расчет_аналитики'!AN446)*IF('01_Вводные'!$B$239="Да",MeanMinAge11+'19_Расчет_аналитики'!AN560*SUMIF(ThresholdAge11,"&lt;"&amp;'19_Расчет_аналитики'!AN560,WeightedRevAge11)-SUMIF(ThresholdAge11,"&lt;"&amp;'19_Расчет_аналитики'!AN560,WeightedMinAge11),MAX(CapacityAge11*'01_Вводные'!$B$218*'19_Расчет_аналитики'!AN560,MeanMinAge11)))</f>
        <v/>
      </c>
      <c r="AO502">
        <f>IF(OR(('19_Расчет_аналитики'!AO418-'19_Расчет_аналитики'!AO446)=0,11&lt;='01_Вводные'!$B$297),0,('19_Расчет_аналитики'!AO418-'19_Расчет_аналитики'!AO446)*IF('01_Вводные'!$B$239="Да",MeanMinAge11+'19_Расчет_аналитики'!AO560*SUMIF(ThresholdAge11,"&lt;"&amp;'19_Расчет_аналитики'!AO560,WeightedRevAge11)-SUMIF(ThresholdAge11,"&lt;"&amp;'19_Расчет_аналитики'!AO560,WeightedMinAge11),MAX(CapacityAge11*'01_Вводные'!$B$218*'19_Расчет_аналитики'!AO560,MeanMinAge11)))</f>
        <v/>
      </c>
      <c r="AP502">
        <f>IF(OR(('19_Расчет_аналитики'!AP418-'19_Расчет_аналитики'!AP446)=0,11&lt;='01_Вводные'!$B$297),0,('19_Расчет_аналитики'!AP418-'19_Расчет_аналитики'!AP446)*IF('01_Вводные'!$B$239="Да",MeanMinAge11+'19_Расчет_аналитики'!AP560*SUMIF(ThresholdAge11,"&lt;"&amp;'19_Расчет_аналитики'!AP560,WeightedRevAge11)-SUMIF(ThresholdAge11,"&lt;"&amp;'19_Расчет_аналитики'!AP560,WeightedMinAge11),MAX(CapacityAge11*'01_Вводные'!$B$218*'19_Расчет_аналитики'!AP560,MeanMinAge11)))</f>
        <v/>
      </c>
      <c r="AQ502">
        <f>IF(OR(('19_Расчет_аналитики'!AQ418-'19_Расчет_аналитики'!AQ446)=0,11&lt;='01_Вводные'!$B$297),0,('19_Расчет_аналитики'!AQ418-'19_Расчет_аналитики'!AQ446)*IF('01_Вводные'!$B$239="Да",MeanMinAge11+'19_Расчет_аналитики'!AQ560*SUMIF(ThresholdAge11,"&lt;"&amp;'19_Расчет_аналитики'!AQ560,WeightedRevAge11)-SUMIF(ThresholdAge11,"&lt;"&amp;'19_Расчет_аналитики'!AQ560,WeightedMinAge11),MAX(CapacityAge11*'01_Вводные'!$B$218*'19_Расчет_аналитики'!AQ560,MeanMinAge11)))</f>
        <v/>
      </c>
      <c r="AR502">
        <f>IF(OR(('19_Расчет_аналитики'!AR418-'19_Расчет_аналитики'!AR446)=0,11&lt;='01_Вводные'!$B$297),0,('19_Расчет_аналитики'!AR418-'19_Расчет_аналитики'!AR446)*IF('01_Вводные'!$B$239="Да",MeanMinAge11+'19_Расчет_аналитики'!AR560*SUMIF(ThresholdAge11,"&lt;"&amp;'19_Расчет_аналитики'!AR560,WeightedRevAge11)-SUMIF(ThresholdAge11,"&lt;"&amp;'19_Расчет_аналитики'!AR560,WeightedMinAge11),MAX(CapacityAge11*'01_Вводные'!$B$218*'19_Расчет_аналитики'!AR560,MeanMinAge11)))</f>
        <v/>
      </c>
      <c r="AS502">
        <f>IF(OR(('19_Расчет_аналитики'!AS418-'19_Расчет_аналитики'!AS446)=0,11&lt;='01_Вводные'!$B$297),0,('19_Расчет_аналитики'!AS418-'19_Расчет_аналитики'!AS446)*IF('01_Вводные'!$B$239="Да",MeanMinAge11+'19_Расчет_аналитики'!AS560*SUMIF(ThresholdAge11,"&lt;"&amp;'19_Расчет_аналитики'!AS560,WeightedRevAge11)-SUMIF(ThresholdAge11,"&lt;"&amp;'19_Расчет_аналитики'!AS560,WeightedMinAge11),MAX(CapacityAge11*'01_Вводные'!$B$218*'19_Расчет_аналитики'!AS560,MeanMinAge11)))</f>
        <v/>
      </c>
      <c r="AT502">
        <f>IF(OR(('19_Расчет_аналитики'!AT418-'19_Расчет_аналитики'!AT446)=0,11&lt;='01_Вводные'!$B$297),0,('19_Расчет_аналитики'!AT418-'19_Расчет_аналитики'!AT446)*IF('01_Вводные'!$B$239="Да",MeanMinAge11+'19_Расчет_аналитики'!AT560*SUMIF(ThresholdAge11,"&lt;"&amp;'19_Расчет_аналитики'!AT560,WeightedRevAge11)-SUMIF(ThresholdAge11,"&lt;"&amp;'19_Расчет_аналитики'!AT560,WeightedMinAge11),MAX(CapacityAge11*'01_Вводные'!$B$218*'19_Расчет_аналитики'!AT560,MeanMinAge11)))</f>
        <v/>
      </c>
      <c r="AU502">
        <f>IF(OR(('19_Расчет_аналитики'!AU418-'19_Расчет_аналитики'!AU446)=0,11&lt;='01_Вводные'!$B$297),0,('19_Расчет_аналитики'!AU418-'19_Расчет_аналитики'!AU446)*IF('01_Вводные'!$B$239="Да",MeanMinAge11+'19_Расчет_аналитики'!AU560*SUMIF(ThresholdAge11,"&lt;"&amp;'19_Расчет_аналитики'!AU560,WeightedRevAge11)-SUMIF(ThresholdAge11,"&lt;"&amp;'19_Расчет_аналитики'!AU560,WeightedMinAge11),MAX(CapacityAge11*'01_Вводные'!$B$218*'19_Расчет_аналитики'!AU560,MeanMinAge11)))</f>
        <v/>
      </c>
      <c r="AV502">
        <f>IF(OR(('19_Расчет_аналитики'!AV418-'19_Расчет_аналитики'!AV446)=0,11&lt;='01_Вводные'!$B$297),0,('19_Расчет_аналитики'!AV418-'19_Расчет_аналитики'!AV446)*IF('01_Вводные'!$B$239="Да",MeanMinAge11+'19_Расчет_аналитики'!AV560*SUMIF(ThresholdAge11,"&lt;"&amp;'19_Расчет_аналитики'!AV560,WeightedRevAge11)-SUMIF(ThresholdAge11,"&lt;"&amp;'19_Расчет_аналитики'!AV560,WeightedMinAge11),MAX(CapacityAge11*'01_Вводные'!$B$218*'19_Расчет_аналитики'!AV560,MeanMinAge11)))</f>
        <v/>
      </c>
      <c r="AW502">
        <f>IF(OR(('19_Расчет_аналитики'!AW418-'19_Расчет_аналитики'!AW446)=0,11&lt;='01_Вводные'!$B$297),0,('19_Расчет_аналитики'!AW418-'19_Расчет_аналитики'!AW446)*IF('01_Вводные'!$B$239="Да",MeanMinAge11+'19_Расчет_аналитики'!AW560*SUMIF(ThresholdAge11,"&lt;"&amp;'19_Расчет_аналитики'!AW560,WeightedRevAge11)-SUMIF(ThresholdAge11,"&lt;"&amp;'19_Расчет_аналитики'!AW560,WeightedMinAge11),MAX(CapacityAge11*'01_Вводные'!$B$218*'19_Расчет_аналитики'!AW560,MeanMinAge11)))</f>
        <v/>
      </c>
      <c r="AX502">
        <f>IF(OR(('19_Расчет_аналитики'!AX418-'19_Расчет_аналитики'!AX446)=0,11&lt;='01_Вводные'!$B$297),0,('19_Расчет_аналитики'!AX418-'19_Расчет_аналитики'!AX446)*IF('01_Вводные'!$B$239="Да",MeanMinAge11+'19_Расчет_аналитики'!AX560*SUMIF(ThresholdAge11,"&lt;"&amp;'19_Расчет_аналитики'!AX560,WeightedRevAge11)-SUMIF(ThresholdAge11,"&lt;"&amp;'19_Расчет_аналитики'!AX560,WeightedMinAge11),MAX(CapacityAge11*'01_Вводные'!$B$218*'19_Расчет_аналитики'!AX560,MeanMinAge11)))</f>
        <v/>
      </c>
      <c r="AY502">
        <f>IF(OR(('19_Расчет_аналитики'!AY418-'19_Расчет_аналитики'!AY446)=0,11&lt;='01_Вводные'!$B$297),0,('19_Расчет_аналитики'!AY418-'19_Расчет_аналитики'!AY446)*IF('01_Вводные'!$B$239="Да",MeanMinAge11+'19_Расчет_аналитики'!AY560*SUMIF(ThresholdAge11,"&lt;"&amp;'19_Расчет_аналитики'!AY560,WeightedRevAge11)-SUMIF(ThresholdAge11,"&lt;"&amp;'19_Расчет_аналитики'!AY560,WeightedMinAge11),MAX(CapacityAge11*'01_Вводные'!$B$218*'19_Расчет_аналитики'!AY560,MeanMinAge11)))</f>
        <v/>
      </c>
      <c r="AZ502">
        <f>IF(OR(('19_Расчет_аналитики'!AZ418-'19_Расчет_аналитики'!AZ446)=0,11&lt;='01_Вводные'!$B$297),0,('19_Расчет_аналитики'!AZ418-'19_Расчет_аналитики'!AZ446)*IF('01_Вводные'!$B$239="Да",MeanMinAge11+'19_Расчет_аналитики'!AZ560*SUMIF(ThresholdAge11,"&lt;"&amp;'19_Расчет_аналитики'!AZ560,WeightedRevAge11)-SUMIF(ThresholdAge11,"&lt;"&amp;'19_Расчет_аналитики'!AZ560,WeightedMinAge11),MAX(CapacityAge11*'01_Вводные'!$B$218*'19_Расчет_аналитики'!AZ560,MeanMinAge11)))</f>
        <v/>
      </c>
      <c r="BA502">
        <f>IF(OR(('19_Расчет_аналитики'!BA418-'19_Расчет_аналитики'!BA446)=0,11&lt;='01_Вводные'!$B$297),0,('19_Расчет_аналитики'!BA418-'19_Расчет_аналитики'!BA446)*IF('01_Вводные'!$B$239="Да",MeanMinAge11+'19_Расчет_аналитики'!BA560*SUMIF(ThresholdAge11,"&lt;"&amp;'19_Расчет_аналитики'!BA560,WeightedRevAge11)-SUMIF(ThresholdAge11,"&lt;"&amp;'19_Расчет_аналитики'!BA560,WeightedMinAge11),MAX(CapacityAge11*'01_Вводные'!$B$218*'19_Расчет_аналитики'!BA560,MeanMinAge11)))</f>
        <v/>
      </c>
      <c r="BB502">
        <f>IF(OR(('19_Расчет_аналитики'!BB418-'19_Расчет_аналитики'!BB446)=0,11&lt;='01_Вводные'!$B$297),0,('19_Расчет_аналитики'!BB418-'19_Расчет_аналитики'!BB446)*IF('01_Вводные'!$B$239="Да",MeanMinAge11+'19_Расчет_аналитики'!BB560*SUMIF(ThresholdAge11,"&lt;"&amp;'19_Расчет_аналитики'!BB560,WeightedRevAge11)-SUMIF(ThresholdAge11,"&lt;"&amp;'19_Расчет_аналитики'!BB560,WeightedMinAge11),MAX(CapacityAge11*'01_Вводные'!$B$218*'19_Расчет_аналитики'!BB560,MeanMinAge11)))</f>
        <v/>
      </c>
      <c r="BC502">
        <f>IF(OR(('19_Расчет_аналитики'!BC418-'19_Расчет_аналитики'!BC446)=0,11&lt;='01_Вводные'!$B$297),0,('19_Расчет_аналитики'!BC418-'19_Расчет_аналитики'!BC446)*IF('01_Вводные'!$B$239="Да",MeanMinAge11+'19_Расчет_аналитики'!BC560*SUMIF(ThresholdAge11,"&lt;"&amp;'19_Расчет_аналитики'!BC560,WeightedRevAge11)-SUMIF(ThresholdAge11,"&lt;"&amp;'19_Расчет_аналитики'!BC560,WeightedMinAge11),MAX(CapacityAge11*'01_Вводные'!$B$218*'19_Расчет_аналитики'!BC560,MeanMinAge11)))</f>
        <v/>
      </c>
      <c r="BD502">
        <f>IF(OR(('19_Расчет_аналитики'!BD418-'19_Расчет_аналитики'!BD446)=0,11&lt;='01_Вводные'!$B$297),0,('19_Расчет_аналитики'!BD418-'19_Расчет_аналитики'!BD446)*IF('01_Вводные'!$B$239="Да",MeanMinAge11+'19_Расчет_аналитики'!BD560*SUMIF(ThresholdAge11,"&lt;"&amp;'19_Расчет_аналитики'!BD560,WeightedRevAge11)-SUMIF(ThresholdAge11,"&lt;"&amp;'19_Расчет_аналитики'!BD560,WeightedMinAge11),MAX(CapacityAge11*'01_Вводные'!$B$218*'19_Расчет_аналитики'!BD560,MeanMinAge11)))</f>
        <v/>
      </c>
      <c r="BE502">
        <f>IF(OR(('19_Расчет_аналитики'!BE418-'19_Расчет_аналитики'!BE446)=0,11&lt;='01_Вводные'!$B$297),0,('19_Расчет_аналитики'!BE418-'19_Расчет_аналитики'!BE446)*IF('01_Вводные'!$B$239="Да",MeanMinAge11+'19_Расчет_аналитики'!BE560*SUMIF(ThresholdAge11,"&lt;"&amp;'19_Расчет_аналитики'!BE560,WeightedRevAge11)-SUMIF(ThresholdAge11,"&lt;"&amp;'19_Расчет_аналитики'!BE560,WeightedMinAge11),MAX(CapacityAge11*'01_Вводные'!$B$218*'19_Расчет_аналитики'!BE560,MeanMinAge11)))</f>
        <v/>
      </c>
      <c r="BF502">
        <f>IF(OR(('19_Расчет_аналитики'!BF418-'19_Расчет_аналитики'!BF446)=0,11&lt;='01_Вводные'!$B$297),0,('19_Расчет_аналитики'!BF418-'19_Расчет_аналитики'!BF446)*IF('01_Вводные'!$B$239="Да",MeanMinAge11+'19_Расчет_аналитики'!BF560*SUMIF(ThresholdAge11,"&lt;"&amp;'19_Расчет_аналитики'!BF560,WeightedRevAge11)-SUMIF(ThresholdAge11,"&lt;"&amp;'19_Расчет_аналитики'!BF560,WeightedMinAge11),MAX(CapacityAge11*'01_Вводные'!$B$218*'19_Расчет_аналитики'!BF560,MeanMinAge11)))</f>
        <v/>
      </c>
      <c r="BG502">
        <f>IF(OR(('19_Расчет_аналитики'!BG418-'19_Расчет_аналитики'!BG446)=0,11&lt;='01_Вводные'!$B$297),0,('19_Расчет_аналитики'!BG418-'19_Расчет_аналитики'!BG446)*IF('01_Вводные'!$B$239="Да",MeanMinAge11+'19_Расчет_аналитики'!BG560*SUMIF(ThresholdAge11,"&lt;"&amp;'19_Расчет_аналитики'!BG560,WeightedRevAge11)-SUMIF(ThresholdAge11,"&lt;"&amp;'19_Расчет_аналитики'!BG560,WeightedMinAge11),MAX(CapacityAge11*'01_Вводные'!$B$218*'19_Расчет_аналитики'!BG560,MeanMinAge11)))</f>
        <v/>
      </c>
      <c r="BH502">
        <f>IF(OR(('19_Расчет_аналитики'!BH418-'19_Расчет_аналитики'!BH446)=0,11&lt;='01_Вводные'!$B$297),0,('19_Расчет_аналитики'!BH418-'19_Расчет_аналитики'!BH446)*IF('01_Вводные'!$B$239="Да",MeanMinAge11+'19_Расчет_аналитики'!BH560*SUMIF(ThresholdAge11,"&lt;"&amp;'19_Расчет_аналитики'!BH560,WeightedRevAge11)-SUMIF(ThresholdAge11,"&lt;"&amp;'19_Расчет_аналитики'!BH560,WeightedMinAge11),MAX(CapacityAge11*'01_Вводные'!$B$218*'19_Расчет_аналитики'!BH560,MeanMinAge11)))</f>
        <v/>
      </c>
      <c r="BI502">
        <f>IF(OR(('19_Расчет_аналитики'!BI418-'19_Расчет_аналитики'!BI446)=0,11&lt;='01_Вводные'!$B$297),0,('19_Расчет_аналитики'!BI418-'19_Расчет_аналитики'!BI446)*IF('01_Вводные'!$B$239="Да",MeanMinAge11+'19_Расчет_аналитики'!BI560*SUMIF(ThresholdAge11,"&lt;"&amp;'19_Расчет_аналитики'!BI560,WeightedRevAge11)-SUMIF(ThresholdAge11,"&lt;"&amp;'19_Расчет_аналитики'!BI560,WeightedMinAge11),MAX(CapacityAge11*'01_Вводные'!$B$218*'19_Расчет_аналитики'!BI560,MeanMinAge11)))</f>
        <v/>
      </c>
      <c r="BJ502">
        <f>IF(OR(('19_Расчет_аналитики'!BJ418-'19_Расчет_аналитики'!BJ446)=0,11&lt;='01_Вводные'!$B$297),0,('19_Расчет_аналитики'!BJ418-'19_Расчет_аналитики'!BJ446)*IF('01_Вводные'!$B$239="Да",MeanMinAge11+'19_Расчет_аналитики'!BJ560*SUMIF(ThresholdAge11,"&lt;"&amp;'19_Расчет_аналитики'!BJ560,WeightedRevAge11)-SUMIF(ThresholdAge11,"&lt;"&amp;'19_Расчет_аналитики'!BJ560,WeightedMinAge11),MAX(CapacityAge11*'01_Вводные'!$B$218*'19_Расчет_аналитики'!BJ560,MeanMinAge11)))</f>
        <v/>
      </c>
      <c r="BK502">
        <f>IF(OR(('19_Расчет_аналитики'!BK418-'19_Расчет_аналитики'!BK446)=0,11&lt;='01_Вводные'!$B$297),0,('19_Расчет_аналитики'!BK418-'19_Расчет_аналитики'!BK446)*IF('01_Вводные'!$B$239="Да",MeanMinAge11+'19_Расчет_аналитики'!BK560*SUMIF(ThresholdAge11,"&lt;"&amp;'19_Расчет_аналитики'!BK560,WeightedRevAge11)-SUMIF(ThresholdAge11,"&lt;"&amp;'19_Расчет_аналитики'!BK560,WeightedMinAge11),MAX(CapacityAge11*'01_Вводные'!$B$218*'19_Расчет_аналитики'!BK560,MeanMinAge11)))</f>
        <v/>
      </c>
      <c r="BL502">
        <f>IF(OR(('19_Расчет_аналитики'!BL418-'19_Расчет_аналитики'!BL446)=0,11&lt;='01_Вводные'!$B$297),0,('19_Расчет_аналитики'!BL418-'19_Расчет_аналитики'!BL446)*IF('01_Вводные'!$B$239="Да",MeanMinAge11+'19_Расчет_аналитики'!BL560*SUMIF(ThresholdAge11,"&lt;"&amp;'19_Расчет_аналитики'!BL560,WeightedRevAge11)-SUMIF(ThresholdAge11,"&lt;"&amp;'19_Расчет_аналитики'!BL560,WeightedMinAge11),MAX(CapacityAge11*'01_Вводные'!$B$218*'19_Расчет_аналитики'!BL560,MeanMinAge11)))</f>
        <v/>
      </c>
      <c r="BM502">
        <f>IF(OR(('19_Расчет_аналитики'!BM418-'19_Расчет_аналитики'!BM446)=0,11&lt;='01_Вводные'!$B$297),0,('19_Расчет_аналитики'!BM418-'19_Расчет_аналитики'!BM446)*IF('01_Вводные'!$B$239="Да",MeanMinAge11+'19_Расчет_аналитики'!BM560*SUMIF(ThresholdAge11,"&lt;"&amp;'19_Расчет_аналитики'!BM560,WeightedRevAge11)-SUMIF(ThresholdAge11,"&lt;"&amp;'19_Расчет_аналитики'!BM560,WeightedMinAge11),MAX(CapacityAge11*'01_Вводные'!$B$218*'19_Расчет_аналитики'!BM560,MeanMinAge11)))</f>
        <v/>
      </c>
      <c r="BN502">
        <f>IF(OR(('19_Расчет_аналитики'!BN418-'19_Расчет_аналитики'!BN446)=0,11&lt;='01_Вводные'!$B$297),0,('19_Расчет_аналитики'!BN418-'19_Расчет_аналитики'!BN446)*IF('01_Вводные'!$B$239="Да",MeanMinAge11+'19_Расчет_аналитики'!BN560*SUMIF(ThresholdAge11,"&lt;"&amp;'19_Расчет_аналитики'!BN560,WeightedRevAge11)-SUMIF(ThresholdAge11,"&lt;"&amp;'19_Расчет_аналитики'!BN560,WeightedMinAge11),MAX(CapacityAge11*'01_Вводные'!$B$218*'19_Расчет_аналитики'!BN560,MeanMinAge11)))</f>
        <v/>
      </c>
      <c r="BO502">
        <f>IF(OR(('19_Расчет_аналитики'!BO418-'19_Расчет_аналитики'!BO446)=0,11&lt;='01_Вводные'!$B$297),0,('19_Расчет_аналитики'!BO418-'19_Расчет_аналитики'!BO446)*IF('01_Вводные'!$B$239="Да",MeanMinAge11+'19_Расчет_аналитики'!BO560*SUMIF(ThresholdAge11,"&lt;"&amp;'19_Расчет_аналитики'!BO560,WeightedRevAge11)-SUMIF(ThresholdAge11,"&lt;"&amp;'19_Расчет_аналитики'!BO560,WeightedMinAge11),MAX(CapacityAge11*'01_Вводные'!$B$218*'19_Расчет_аналитики'!BO560,MeanMinAge11)))</f>
        <v/>
      </c>
    </row>
    <row r="503">
      <c r="B503">
        <f>IF(OR(('06_Сеть_и_дети'!B64-'06_Сеть_и_дети'!B92)=0,12&lt;='01_Вводные'!$B$297),0,('06_Сеть_и_дети'!B64-'06_Сеть_и_дети'!B92)*IF('01_Вводные'!$B$239="Да",MeanMinAge12+'19_Расчет_аналитики'!B560*SUMIF(ThresholdAge12,"&lt;"&amp;'19_Расчет_аналитики'!B560,WeightedRevAge12)-SUMIF(ThresholdAge12,"&lt;"&amp;'19_Расчет_аналитики'!B560,WeightedMinAge12),MAX(CapacityAge12*'01_Вводные'!$B$218*'19_Расчет_аналитики'!B560,MeanMinAge12)))</f>
        <v/>
      </c>
      <c r="C503">
        <f>IF(OR(('06_Сеть_и_дети'!C64-'06_Сеть_и_дети'!C92)=0,12&lt;='01_Вводные'!$B$297),0,('06_Сеть_и_дети'!C64-'06_Сеть_и_дети'!C92)*IF('01_Вводные'!$B$239="Да",MeanMinAge12+'19_Расчет_аналитики'!C560*SUMIF(ThresholdAge12,"&lt;"&amp;'19_Расчет_аналитики'!C560,WeightedRevAge12)-SUMIF(ThresholdAge12,"&lt;"&amp;'19_Расчет_аналитики'!C560,WeightedMinAge12),MAX(CapacityAge12*'01_Вводные'!$B$218*'19_Расчет_аналитики'!C560,MeanMinAge12)))</f>
        <v/>
      </c>
      <c r="D503">
        <f>IF(OR(('06_Сеть_и_дети'!D64-'06_Сеть_и_дети'!D92)=0,12&lt;='01_Вводные'!$B$297),0,('06_Сеть_и_дети'!D64-'06_Сеть_и_дети'!D92)*IF('01_Вводные'!$B$239="Да",MeanMinAge12+'19_Расчет_аналитики'!D560*SUMIF(ThresholdAge12,"&lt;"&amp;'19_Расчет_аналитики'!D560,WeightedRevAge12)-SUMIF(ThresholdAge12,"&lt;"&amp;'19_Расчет_аналитики'!D560,WeightedMinAge12),MAX(CapacityAge12*'01_Вводные'!$B$218*'19_Расчет_аналитики'!D560,MeanMinAge12)))</f>
        <v/>
      </c>
      <c r="E503">
        <f>IF(OR(('06_Сеть_и_дети'!E64-'06_Сеть_и_дети'!E92)=0,12&lt;='01_Вводные'!$B$297),0,('06_Сеть_и_дети'!E64-'06_Сеть_и_дети'!E92)*IF('01_Вводные'!$B$239="Да",MeanMinAge12+'19_Расчет_аналитики'!E560*SUMIF(ThresholdAge12,"&lt;"&amp;'19_Расчет_аналитики'!E560,WeightedRevAge12)-SUMIF(ThresholdAge12,"&lt;"&amp;'19_Расчет_аналитики'!E560,WeightedMinAge12),MAX(CapacityAge12*'01_Вводные'!$B$218*'19_Расчет_аналитики'!E560,MeanMinAge12)))</f>
        <v/>
      </c>
      <c r="F503">
        <f>IF(OR(('06_Сеть_и_дети'!F64-'06_Сеть_и_дети'!F92)=0,12&lt;='01_Вводные'!$B$297),0,('06_Сеть_и_дети'!F64-'06_Сеть_и_дети'!F92)*IF('01_Вводные'!$B$239="Да",MeanMinAge12+'19_Расчет_аналитики'!F560*SUMIF(ThresholdAge12,"&lt;"&amp;'19_Расчет_аналитики'!F560,WeightedRevAge12)-SUMIF(ThresholdAge12,"&lt;"&amp;'19_Расчет_аналитики'!F560,WeightedMinAge12),MAX(CapacityAge12*'01_Вводные'!$B$218*'19_Расчет_аналитики'!F560,MeanMinAge12)))</f>
        <v/>
      </c>
      <c r="G503">
        <f>IF(OR(('06_Сеть_и_дети'!G64-'06_Сеть_и_дети'!G92)=0,12&lt;='01_Вводные'!$B$297),0,('06_Сеть_и_дети'!G64-'06_Сеть_и_дети'!G92)*IF('01_Вводные'!$B$239="Да",MeanMinAge12+'19_Расчет_аналитики'!G560*SUMIF(ThresholdAge12,"&lt;"&amp;'19_Расчет_аналитики'!G560,WeightedRevAge12)-SUMIF(ThresholdAge12,"&lt;"&amp;'19_Расчет_аналитики'!G560,WeightedMinAge12),MAX(CapacityAge12*'01_Вводные'!$B$218*'19_Расчет_аналитики'!G560,MeanMinAge12)))</f>
        <v/>
      </c>
      <c r="H503">
        <f>IF(OR(('06_Сеть_и_дети'!H64-'06_Сеть_и_дети'!H92)=0,12&lt;='01_Вводные'!$B$297),0,('06_Сеть_и_дети'!H64-'06_Сеть_и_дети'!H92)*IF('01_Вводные'!$B$239="Да",MeanMinAge12+'19_Расчет_аналитики'!H560*SUMIF(ThresholdAge12,"&lt;"&amp;'19_Расчет_аналитики'!H560,WeightedRevAge12)-SUMIF(ThresholdAge12,"&lt;"&amp;'19_Расчет_аналитики'!H560,WeightedMinAge12),MAX(CapacityAge12*'01_Вводные'!$B$218*'19_Расчет_аналитики'!H560,MeanMinAge12)))</f>
        <v/>
      </c>
      <c r="I503">
        <f>IF(OR(('06_Сеть_и_дети'!I64-'06_Сеть_и_дети'!I92)=0,12&lt;='01_Вводные'!$B$297),0,('06_Сеть_и_дети'!I64-'06_Сеть_и_дети'!I92)*IF('01_Вводные'!$B$239="Да",MeanMinAge12+'19_Расчет_аналитики'!I560*SUMIF(ThresholdAge12,"&lt;"&amp;'19_Расчет_аналитики'!I560,WeightedRevAge12)-SUMIF(ThresholdAge12,"&lt;"&amp;'19_Расчет_аналитики'!I560,WeightedMinAge12),MAX(CapacityAge12*'01_Вводные'!$B$218*'19_Расчет_аналитики'!I560,MeanMinAge12)))</f>
        <v/>
      </c>
      <c r="J503">
        <f>IF(OR(('06_Сеть_и_дети'!J64-'06_Сеть_и_дети'!J92)=0,12&lt;='01_Вводные'!$B$297),0,('06_Сеть_и_дети'!J64-'06_Сеть_и_дети'!J92)*IF('01_Вводные'!$B$239="Да",MeanMinAge12+'19_Расчет_аналитики'!J560*SUMIF(ThresholdAge12,"&lt;"&amp;'19_Расчет_аналитики'!J560,WeightedRevAge12)-SUMIF(ThresholdAge12,"&lt;"&amp;'19_Расчет_аналитики'!J560,WeightedMinAge12),MAX(CapacityAge12*'01_Вводные'!$B$218*'19_Расчет_аналитики'!J560,MeanMinAge12)))</f>
        <v/>
      </c>
      <c r="K503">
        <f>IF(OR(('06_Сеть_и_дети'!K64-'06_Сеть_и_дети'!K92)=0,12&lt;='01_Вводные'!$B$297),0,('06_Сеть_и_дети'!K64-'06_Сеть_и_дети'!K92)*IF('01_Вводные'!$B$239="Да",MeanMinAge12+'19_Расчет_аналитики'!K560*SUMIF(ThresholdAge12,"&lt;"&amp;'19_Расчет_аналитики'!K560,WeightedRevAge12)-SUMIF(ThresholdAge12,"&lt;"&amp;'19_Расчет_аналитики'!K560,WeightedMinAge12),MAX(CapacityAge12*'01_Вводные'!$B$218*'19_Расчет_аналитики'!K560,MeanMinAge12)))</f>
        <v/>
      </c>
      <c r="L503">
        <f>IF(OR(('06_Сеть_и_дети'!L64-'06_Сеть_и_дети'!L92)=0,12&lt;='01_Вводные'!$B$297),0,('06_Сеть_и_дети'!L64-'06_Сеть_и_дети'!L92)*IF('01_Вводные'!$B$239="Да",MeanMinAge12+'19_Расчет_аналитики'!L560*SUMIF(ThresholdAge12,"&lt;"&amp;'19_Расчет_аналитики'!L560,WeightedRevAge12)-SUMIF(ThresholdAge12,"&lt;"&amp;'19_Расчет_аналитики'!L560,WeightedMinAge12),MAX(CapacityAge12*'01_Вводные'!$B$218*'19_Расчет_аналитики'!L560,MeanMinAge12)))</f>
        <v/>
      </c>
      <c r="M503">
        <f>IF(OR(('19_Расчет_аналитики'!M419-'19_Расчет_аналитики'!M447)=0,12&lt;='01_Вводные'!$B$297),0,('19_Расчет_аналитики'!M419-'19_Расчет_аналитики'!M447)*IF('01_Вводные'!$B$239="Да",MeanMinAge12+'19_Расчет_аналитики'!M560*SUMIF(ThresholdAge12,"&lt;"&amp;'19_Расчет_аналитики'!M560,WeightedRevAge12)-SUMIF(ThresholdAge12,"&lt;"&amp;'19_Расчет_аналитики'!M560,WeightedMinAge12),MAX(CapacityAge12*'01_Вводные'!$B$218*'19_Расчет_аналитики'!M560,MeanMinAge12)))</f>
        <v/>
      </c>
      <c r="N503">
        <f>IF(OR(('19_Расчет_аналитики'!N419-'19_Расчет_аналитики'!N447)=0,12&lt;='01_Вводные'!$B$297),0,('19_Расчет_аналитики'!N419-'19_Расчет_аналитики'!N447)*IF('01_Вводные'!$B$239="Да",MeanMinAge12+'19_Расчет_аналитики'!N560*SUMIF(ThresholdAge12,"&lt;"&amp;'19_Расчет_аналитики'!N560,WeightedRevAge12)-SUMIF(ThresholdAge12,"&lt;"&amp;'19_Расчет_аналитики'!N560,WeightedMinAge12),MAX(CapacityAge12*'01_Вводные'!$B$218*'19_Расчет_аналитики'!N560,MeanMinAge12)))</f>
        <v/>
      </c>
      <c r="O503">
        <f>IF(OR(('19_Расчет_аналитики'!O419-'19_Расчет_аналитики'!O447)=0,12&lt;='01_Вводные'!$B$297),0,('19_Расчет_аналитики'!O419-'19_Расчет_аналитики'!O447)*IF('01_Вводные'!$B$239="Да",MeanMinAge12+'19_Расчет_аналитики'!O560*SUMIF(ThresholdAge12,"&lt;"&amp;'19_Расчет_аналитики'!O560,WeightedRevAge12)-SUMIF(ThresholdAge12,"&lt;"&amp;'19_Расчет_аналитики'!O560,WeightedMinAge12),MAX(CapacityAge12*'01_Вводные'!$B$218*'19_Расчет_аналитики'!O560,MeanMinAge12)))</f>
        <v/>
      </c>
      <c r="P503">
        <f>IF(OR(('19_Расчет_аналитики'!P419-'19_Расчет_аналитики'!P447)=0,12&lt;='01_Вводные'!$B$297),0,('19_Расчет_аналитики'!P419-'19_Расчет_аналитики'!P447)*IF('01_Вводные'!$B$239="Да",MeanMinAge12+'19_Расчет_аналитики'!P560*SUMIF(ThresholdAge12,"&lt;"&amp;'19_Расчет_аналитики'!P560,WeightedRevAge12)-SUMIF(ThresholdAge12,"&lt;"&amp;'19_Расчет_аналитики'!P560,WeightedMinAge12),MAX(CapacityAge12*'01_Вводные'!$B$218*'19_Расчет_аналитики'!P560,MeanMinAge12)))</f>
        <v/>
      </c>
      <c r="Q503">
        <f>IF(OR(('19_Расчет_аналитики'!Q419-'19_Расчет_аналитики'!Q447)=0,12&lt;='01_Вводные'!$B$297),0,('19_Расчет_аналитики'!Q419-'19_Расчет_аналитики'!Q447)*IF('01_Вводные'!$B$239="Да",MeanMinAge12+'19_Расчет_аналитики'!Q560*SUMIF(ThresholdAge12,"&lt;"&amp;'19_Расчет_аналитики'!Q560,WeightedRevAge12)-SUMIF(ThresholdAge12,"&lt;"&amp;'19_Расчет_аналитики'!Q560,WeightedMinAge12),MAX(CapacityAge12*'01_Вводные'!$B$218*'19_Расчет_аналитики'!Q560,MeanMinAge12)))</f>
        <v/>
      </c>
      <c r="R503">
        <f>IF(OR(('19_Расчет_аналитики'!R419-'19_Расчет_аналитики'!R447)=0,12&lt;='01_Вводные'!$B$297),0,('19_Расчет_аналитики'!R419-'19_Расчет_аналитики'!R447)*IF('01_Вводные'!$B$239="Да",MeanMinAge12+'19_Расчет_аналитики'!R560*SUMIF(ThresholdAge12,"&lt;"&amp;'19_Расчет_аналитики'!R560,WeightedRevAge12)-SUMIF(ThresholdAge12,"&lt;"&amp;'19_Расчет_аналитики'!R560,WeightedMinAge12),MAX(CapacityAge12*'01_Вводные'!$B$218*'19_Расчет_аналитики'!R560,MeanMinAge12)))</f>
        <v/>
      </c>
      <c r="S503">
        <f>IF(OR(('19_Расчет_аналитики'!S419-'19_Расчет_аналитики'!S447)=0,12&lt;='01_Вводные'!$B$297),0,('19_Расчет_аналитики'!S419-'19_Расчет_аналитики'!S447)*IF('01_Вводные'!$B$239="Да",MeanMinAge12+'19_Расчет_аналитики'!S560*SUMIF(ThresholdAge12,"&lt;"&amp;'19_Расчет_аналитики'!S560,WeightedRevAge12)-SUMIF(ThresholdAge12,"&lt;"&amp;'19_Расчет_аналитики'!S560,WeightedMinAge12),MAX(CapacityAge12*'01_Вводные'!$B$218*'19_Расчет_аналитики'!S560,MeanMinAge12)))</f>
        <v/>
      </c>
      <c r="T503">
        <f>IF(OR(('19_Расчет_аналитики'!T419-'19_Расчет_аналитики'!T447)=0,12&lt;='01_Вводные'!$B$297),0,('19_Расчет_аналитики'!T419-'19_Расчет_аналитики'!T447)*IF('01_Вводные'!$B$239="Да",MeanMinAge12+'19_Расчет_аналитики'!T560*SUMIF(ThresholdAge12,"&lt;"&amp;'19_Расчет_аналитики'!T560,WeightedRevAge12)-SUMIF(ThresholdAge12,"&lt;"&amp;'19_Расчет_аналитики'!T560,WeightedMinAge12),MAX(CapacityAge12*'01_Вводные'!$B$218*'19_Расчет_аналитики'!T560,MeanMinAge12)))</f>
        <v/>
      </c>
      <c r="U503">
        <f>IF(OR(('19_Расчет_аналитики'!U419-'19_Расчет_аналитики'!U447)=0,12&lt;='01_Вводные'!$B$297),0,('19_Расчет_аналитики'!U419-'19_Расчет_аналитики'!U447)*IF('01_Вводные'!$B$239="Да",MeanMinAge12+'19_Расчет_аналитики'!U560*SUMIF(ThresholdAge12,"&lt;"&amp;'19_Расчет_аналитики'!U560,WeightedRevAge12)-SUMIF(ThresholdAge12,"&lt;"&amp;'19_Расчет_аналитики'!U560,WeightedMinAge12),MAX(CapacityAge12*'01_Вводные'!$B$218*'19_Расчет_аналитики'!U560,MeanMinAge12)))</f>
        <v/>
      </c>
      <c r="V503">
        <f>IF(OR(('19_Расчет_аналитики'!V419-'19_Расчет_аналитики'!V447)=0,12&lt;='01_Вводные'!$B$297),0,('19_Расчет_аналитики'!V419-'19_Расчет_аналитики'!V447)*IF('01_Вводные'!$B$239="Да",MeanMinAge12+'19_Расчет_аналитики'!V560*SUMIF(ThresholdAge12,"&lt;"&amp;'19_Расчет_аналитики'!V560,WeightedRevAge12)-SUMIF(ThresholdAge12,"&lt;"&amp;'19_Расчет_аналитики'!V560,WeightedMinAge12),MAX(CapacityAge12*'01_Вводные'!$B$218*'19_Расчет_аналитики'!V560,MeanMinAge12)))</f>
        <v/>
      </c>
      <c r="W503">
        <f>IF(OR(('19_Расчет_аналитики'!W419-'19_Расчет_аналитики'!W447)=0,12&lt;='01_Вводные'!$B$297),0,('19_Расчет_аналитики'!W419-'19_Расчет_аналитики'!W447)*IF('01_Вводные'!$B$239="Да",MeanMinAge12+'19_Расчет_аналитики'!W560*SUMIF(ThresholdAge12,"&lt;"&amp;'19_Расчет_аналитики'!W560,WeightedRevAge12)-SUMIF(ThresholdAge12,"&lt;"&amp;'19_Расчет_аналитики'!W560,WeightedMinAge12),MAX(CapacityAge12*'01_Вводные'!$B$218*'19_Расчет_аналитики'!W560,MeanMinAge12)))</f>
        <v/>
      </c>
      <c r="X503">
        <f>IF(OR(('19_Расчет_аналитики'!X419-'19_Расчет_аналитики'!X447)=0,12&lt;='01_Вводные'!$B$297),0,('19_Расчет_аналитики'!X419-'19_Расчет_аналитики'!X447)*IF('01_Вводные'!$B$239="Да",MeanMinAge12+'19_Расчет_аналитики'!X560*SUMIF(ThresholdAge12,"&lt;"&amp;'19_Расчет_аналитики'!X560,WeightedRevAge12)-SUMIF(ThresholdAge12,"&lt;"&amp;'19_Расчет_аналитики'!X560,WeightedMinAge12),MAX(CapacityAge12*'01_Вводные'!$B$218*'19_Расчет_аналитики'!X560,MeanMinAge12)))</f>
        <v/>
      </c>
      <c r="Y503">
        <f>IF(OR(('19_Расчет_аналитики'!Y419-'19_Расчет_аналитики'!Y447)=0,12&lt;='01_Вводные'!$B$297),0,('19_Расчет_аналитики'!Y419-'19_Расчет_аналитики'!Y447)*IF('01_Вводные'!$B$239="Да",MeanMinAge12+'19_Расчет_аналитики'!Y560*SUMIF(ThresholdAge12,"&lt;"&amp;'19_Расчет_аналитики'!Y560,WeightedRevAge12)-SUMIF(ThresholdAge12,"&lt;"&amp;'19_Расчет_аналитики'!Y560,WeightedMinAge12),MAX(CapacityAge12*'01_Вводные'!$B$218*'19_Расчет_аналитики'!Y560,MeanMinAge12)))</f>
        <v/>
      </c>
      <c r="Z503">
        <f>IF(OR(('19_Расчет_аналитики'!Z419-'19_Расчет_аналитики'!Z447)=0,12&lt;='01_Вводные'!$B$297),0,('19_Расчет_аналитики'!Z419-'19_Расчет_аналитики'!Z447)*IF('01_Вводные'!$B$239="Да",MeanMinAge12+'19_Расчет_аналитики'!Z560*SUMIF(ThresholdAge12,"&lt;"&amp;'19_Расчет_аналитики'!Z560,WeightedRevAge12)-SUMIF(ThresholdAge12,"&lt;"&amp;'19_Расчет_аналитики'!Z560,WeightedMinAge12),MAX(CapacityAge12*'01_Вводные'!$B$218*'19_Расчет_аналитики'!Z560,MeanMinAge12)))</f>
        <v/>
      </c>
      <c r="AA503">
        <f>IF(OR(('19_Расчет_аналитики'!AA419-'19_Расчет_аналитики'!AA447)=0,12&lt;='01_Вводные'!$B$297),0,('19_Расчет_аналитики'!AA419-'19_Расчет_аналитики'!AA447)*IF('01_Вводные'!$B$239="Да",MeanMinAge12+'19_Расчет_аналитики'!AA560*SUMIF(ThresholdAge12,"&lt;"&amp;'19_Расчет_аналитики'!AA560,WeightedRevAge12)-SUMIF(ThresholdAge12,"&lt;"&amp;'19_Расчет_аналитики'!AA560,WeightedMinAge12),MAX(CapacityAge12*'01_Вводные'!$B$218*'19_Расчет_аналитики'!AA560,MeanMinAge12)))</f>
        <v/>
      </c>
      <c r="AB503">
        <f>IF(OR(('19_Расчет_аналитики'!AB419-'19_Расчет_аналитики'!AB447)=0,12&lt;='01_Вводные'!$B$297),0,('19_Расчет_аналитики'!AB419-'19_Расчет_аналитики'!AB447)*IF('01_Вводные'!$B$239="Да",MeanMinAge12+'19_Расчет_аналитики'!AB560*SUMIF(ThresholdAge12,"&lt;"&amp;'19_Расчет_аналитики'!AB560,WeightedRevAge12)-SUMIF(ThresholdAge12,"&lt;"&amp;'19_Расчет_аналитики'!AB560,WeightedMinAge12),MAX(CapacityAge12*'01_Вводные'!$B$218*'19_Расчет_аналитики'!AB560,MeanMinAge12)))</f>
        <v/>
      </c>
      <c r="AC503">
        <f>IF(OR(('19_Расчет_аналитики'!AC419-'19_Расчет_аналитики'!AC447)=0,12&lt;='01_Вводные'!$B$297),0,('19_Расчет_аналитики'!AC419-'19_Расчет_аналитики'!AC447)*IF('01_Вводные'!$B$239="Да",MeanMinAge12+'19_Расчет_аналитики'!AC560*SUMIF(ThresholdAge12,"&lt;"&amp;'19_Расчет_аналитики'!AC560,WeightedRevAge12)-SUMIF(ThresholdAge12,"&lt;"&amp;'19_Расчет_аналитики'!AC560,WeightedMinAge12),MAX(CapacityAge12*'01_Вводные'!$B$218*'19_Расчет_аналитики'!AC560,MeanMinAge12)))</f>
        <v/>
      </c>
      <c r="AD503">
        <f>IF(OR(('19_Расчет_аналитики'!AD419-'19_Расчет_аналитики'!AD447)=0,12&lt;='01_Вводные'!$B$297),0,('19_Расчет_аналитики'!AD419-'19_Расчет_аналитики'!AD447)*IF('01_Вводные'!$B$239="Да",MeanMinAge12+'19_Расчет_аналитики'!AD560*SUMIF(ThresholdAge12,"&lt;"&amp;'19_Расчет_аналитики'!AD560,WeightedRevAge12)-SUMIF(ThresholdAge12,"&lt;"&amp;'19_Расчет_аналитики'!AD560,WeightedMinAge12),MAX(CapacityAge12*'01_Вводные'!$B$218*'19_Расчет_аналитики'!AD560,MeanMinAge12)))</f>
        <v/>
      </c>
      <c r="AE503">
        <f>IF(OR(('19_Расчет_аналитики'!AE419-'19_Расчет_аналитики'!AE447)=0,12&lt;='01_Вводные'!$B$297),0,('19_Расчет_аналитики'!AE419-'19_Расчет_аналитики'!AE447)*IF('01_Вводные'!$B$239="Да",MeanMinAge12+'19_Расчет_аналитики'!AE560*SUMIF(ThresholdAge12,"&lt;"&amp;'19_Расчет_аналитики'!AE560,WeightedRevAge12)-SUMIF(ThresholdAge12,"&lt;"&amp;'19_Расчет_аналитики'!AE560,WeightedMinAge12),MAX(CapacityAge12*'01_Вводные'!$B$218*'19_Расчет_аналитики'!AE560,MeanMinAge12)))</f>
        <v/>
      </c>
      <c r="AF503">
        <f>IF(OR(('19_Расчет_аналитики'!AF419-'19_Расчет_аналитики'!AF447)=0,12&lt;='01_Вводные'!$B$297),0,('19_Расчет_аналитики'!AF419-'19_Расчет_аналитики'!AF447)*IF('01_Вводные'!$B$239="Да",MeanMinAge12+'19_Расчет_аналитики'!AF560*SUMIF(ThresholdAge12,"&lt;"&amp;'19_Расчет_аналитики'!AF560,WeightedRevAge12)-SUMIF(ThresholdAge12,"&lt;"&amp;'19_Расчет_аналитики'!AF560,WeightedMinAge12),MAX(CapacityAge12*'01_Вводные'!$B$218*'19_Расчет_аналитики'!AF560,MeanMinAge12)))</f>
        <v/>
      </c>
      <c r="AG503">
        <f>IF(OR(('19_Расчет_аналитики'!AG419-'19_Расчет_аналитики'!AG447)=0,12&lt;='01_Вводные'!$B$297),0,('19_Расчет_аналитики'!AG419-'19_Расчет_аналитики'!AG447)*IF('01_Вводные'!$B$239="Да",MeanMinAge12+'19_Расчет_аналитики'!AG560*SUMIF(ThresholdAge12,"&lt;"&amp;'19_Расчет_аналитики'!AG560,WeightedRevAge12)-SUMIF(ThresholdAge12,"&lt;"&amp;'19_Расчет_аналитики'!AG560,WeightedMinAge12),MAX(CapacityAge12*'01_Вводные'!$B$218*'19_Расчет_аналитики'!AG560,MeanMinAge12)))</f>
        <v/>
      </c>
      <c r="AH503">
        <f>IF(OR(('19_Расчет_аналитики'!AH419-'19_Расчет_аналитики'!AH447)=0,12&lt;='01_Вводные'!$B$297),0,('19_Расчет_аналитики'!AH419-'19_Расчет_аналитики'!AH447)*IF('01_Вводные'!$B$239="Да",MeanMinAge12+'19_Расчет_аналитики'!AH560*SUMIF(ThresholdAge12,"&lt;"&amp;'19_Расчет_аналитики'!AH560,WeightedRevAge12)-SUMIF(ThresholdAge12,"&lt;"&amp;'19_Расчет_аналитики'!AH560,WeightedMinAge12),MAX(CapacityAge12*'01_Вводные'!$B$218*'19_Расчет_аналитики'!AH560,MeanMinAge12)))</f>
        <v/>
      </c>
      <c r="AI503">
        <f>IF(OR(('19_Расчет_аналитики'!AI419-'19_Расчет_аналитики'!AI447)=0,12&lt;='01_Вводные'!$B$297),0,('19_Расчет_аналитики'!AI419-'19_Расчет_аналитики'!AI447)*IF('01_Вводные'!$B$239="Да",MeanMinAge12+'19_Расчет_аналитики'!AI560*SUMIF(ThresholdAge12,"&lt;"&amp;'19_Расчет_аналитики'!AI560,WeightedRevAge12)-SUMIF(ThresholdAge12,"&lt;"&amp;'19_Расчет_аналитики'!AI560,WeightedMinAge12),MAX(CapacityAge12*'01_Вводные'!$B$218*'19_Расчет_аналитики'!AI560,MeanMinAge12)))</f>
        <v/>
      </c>
      <c r="AJ503">
        <f>IF(OR(('19_Расчет_аналитики'!AJ419-'19_Расчет_аналитики'!AJ447)=0,12&lt;='01_Вводные'!$B$297),0,('19_Расчет_аналитики'!AJ419-'19_Расчет_аналитики'!AJ447)*IF('01_Вводные'!$B$239="Да",MeanMinAge12+'19_Расчет_аналитики'!AJ560*SUMIF(ThresholdAge12,"&lt;"&amp;'19_Расчет_аналитики'!AJ560,WeightedRevAge12)-SUMIF(ThresholdAge12,"&lt;"&amp;'19_Расчет_аналитики'!AJ560,WeightedMinAge12),MAX(CapacityAge12*'01_Вводные'!$B$218*'19_Расчет_аналитики'!AJ560,MeanMinAge12)))</f>
        <v/>
      </c>
      <c r="AK503">
        <f>IF(OR(('19_Расчет_аналитики'!AK419-'19_Расчет_аналитики'!AK447)=0,12&lt;='01_Вводные'!$B$297),0,('19_Расчет_аналитики'!AK419-'19_Расчет_аналитики'!AK447)*IF('01_Вводные'!$B$239="Да",MeanMinAge12+'19_Расчет_аналитики'!AK560*SUMIF(ThresholdAge12,"&lt;"&amp;'19_Расчет_аналитики'!AK560,WeightedRevAge12)-SUMIF(ThresholdAge12,"&lt;"&amp;'19_Расчет_аналитики'!AK560,WeightedMinAge12),MAX(CapacityAge12*'01_Вводные'!$B$218*'19_Расчет_аналитики'!AK560,MeanMinAge12)))</f>
        <v/>
      </c>
      <c r="AL503">
        <f>IF(OR(('19_Расчет_аналитики'!AL419-'19_Расчет_аналитики'!AL447)=0,12&lt;='01_Вводные'!$B$297),0,('19_Расчет_аналитики'!AL419-'19_Расчет_аналитики'!AL447)*IF('01_Вводные'!$B$239="Да",MeanMinAge12+'19_Расчет_аналитики'!AL560*SUMIF(ThresholdAge12,"&lt;"&amp;'19_Расчет_аналитики'!AL560,WeightedRevAge12)-SUMIF(ThresholdAge12,"&lt;"&amp;'19_Расчет_аналитики'!AL560,WeightedMinAge12),MAX(CapacityAge12*'01_Вводные'!$B$218*'19_Расчет_аналитики'!AL560,MeanMinAge12)))</f>
        <v/>
      </c>
      <c r="AM503">
        <f>IF(OR(('19_Расчет_аналитики'!AM419-'19_Расчет_аналитики'!AM447)=0,12&lt;='01_Вводные'!$B$297),0,('19_Расчет_аналитики'!AM419-'19_Расчет_аналитики'!AM447)*IF('01_Вводные'!$B$239="Да",MeanMinAge12+'19_Расчет_аналитики'!AM560*SUMIF(ThresholdAge12,"&lt;"&amp;'19_Расчет_аналитики'!AM560,WeightedRevAge12)-SUMIF(ThresholdAge12,"&lt;"&amp;'19_Расчет_аналитики'!AM560,WeightedMinAge12),MAX(CapacityAge12*'01_Вводные'!$B$218*'19_Расчет_аналитики'!AM560,MeanMinAge12)))</f>
        <v/>
      </c>
      <c r="AN503">
        <f>IF(OR(('19_Расчет_аналитики'!AN419-'19_Расчет_аналитики'!AN447)=0,12&lt;='01_Вводные'!$B$297),0,('19_Расчет_аналитики'!AN419-'19_Расчет_аналитики'!AN447)*IF('01_Вводные'!$B$239="Да",MeanMinAge12+'19_Расчет_аналитики'!AN560*SUMIF(ThresholdAge12,"&lt;"&amp;'19_Расчет_аналитики'!AN560,WeightedRevAge12)-SUMIF(ThresholdAge12,"&lt;"&amp;'19_Расчет_аналитики'!AN560,WeightedMinAge12),MAX(CapacityAge12*'01_Вводные'!$B$218*'19_Расчет_аналитики'!AN560,MeanMinAge12)))</f>
        <v/>
      </c>
      <c r="AO503">
        <f>IF(OR(('19_Расчет_аналитики'!AO419-'19_Расчет_аналитики'!AO447)=0,12&lt;='01_Вводные'!$B$297),0,('19_Расчет_аналитики'!AO419-'19_Расчет_аналитики'!AO447)*IF('01_Вводные'!$B$239="Да",MeanMinAge12+'19_Расчет_аналитики'!AO560*SUMIF(ThresholdAge12,"&lt;"&amp;'19_Расчет_аналитики'!AO560,WeightedRevAge12)-SUMIF(ThresholdAge12,"&lt;"&amp;'19_Расчет_аналитики'!AO560,WeightedMinAge12),MAX(CapacityAge12*'01_Вводные'!$B$218*'19_Расчет_аналитики'!AO560,MeanMinAge12)))</f>
        <v/>
      </c>
      <c r="AP503">
        <f>IF(OR(('19_Расчет_аналитики'!AP419-'19_Расчет_аналитики'!AP447)=0,12&lt;='01_Вводные'!$B$297),0,('19_Расчет_аналитики'!AP419-'19_Расчет_аналитики'!AP447)*IF('01_Вводные'!$B$239="Да",MeanMinAge12+'19_Расчет_аналитики'!AP560*SUMIF(ThresholdAge12,"&lt;"&amp;'19_Расчет_аналитики'!AP560,WeightedRevAge12)-SUMIF(ThresholdAge12,"&lt;"&amp;'19_Расчет_аналитики'!AP560,WeightedMinAge12),MAX(CapacityAge12*'01_Вводные'!$B$218*'19_Расчет_аналитики'!AP560,MeanMinAge12)))</f>
        <v/>
      </c>
      <c r="AQ503">
        <f>IF(OR(('19_Расчет_аналитики'!AQ419-'19_Расчет_аналитики'!AQ447)=0,12&lt;='01_Вводные'!$B$297),0,('19_Расчет_аналитики'!AQ419-'19_Расчет_аналитики'!AQ447)*IF('01_Вводные'!$B$239="Да",MeanMinAge12+'19_Расчет_аналитики'!AQ560*SUMIF(ThresholdAge12,"&lt;"&amp;'19_Расчет_аналитики'!AQ560,WeightedRevAge12)-SUMIF(ThresholdAge12,"&lt;"&amp;'19_Расчет_аналитики'!AQ560,WeightedMinAge12),MAX(CapacityAge12*'01_Вводные'!$B$218*'19_Расчет_аналитики'!AQ560,MeanMinAge12)))</f>
        <v/>
      </c>
      <c r="AR503">
        <f>IF(OR(('19_Расчет_аналитики'!AR419-'19_Расчет_аналитики'!AR447)=0,12&lt;='01_Вводные'!$B$297),0,('19_Расчет_аналитики'!AR419-'19_Расчет_аналитики'!AR447)*IF('01_Вводные'!$B$239="Да",MeanMinAge12+'19_Расчет_аналитики'!AR560*SUMIF(ThresholdAge12,"&lt;"&amp;'19_Расчет_аналитики'!AR560,WeightedRevAge12)-SUMIF(ThresholdAge12,"&lt;"&amp;'19_Расчет_аналитики'!AR560,WeightedMinAge12),MAX(CapacityAge12*'01_Вводные'!$B$218*'19_Расчет_аналитики'!AR560,MeanMinAge12)))</f>
        <v/>
      </c>
      <c r="AS503">
        <f>IF(OR(('19_Расчет_аналитики'!AS419-'19_Расчет_аналитики'!AS447)=0,12&lt;='01_Вводные'!$B$297),0,('19_Расчет_аналитики'!AS419-'19_Расчет_аналитики'!AS447)*IF('01_Вводные'!$B$239="Да",MeanMinAge12+'19_Расчет_аналитики'!AS560*SUMIF(ThresholdAge12,"&lt;"&amp;'19_Расчет_аналитики'!AS560,WeightedRevAge12)-SUMIF(ThresholdAge12,"&lt;"&amp;'19_Расчет_аналитики'!AS560,WeightedMinAge12),MAX(CapacityAge12*'01_Вводные'!$B$218*'19_Расчет_аналитики'!AS560,MeanMinAge12)))</f>
        <v/>
      </c>
      <c r="AT503">
        <f>IF(OR(('19_Расчет_аналитики'!AT419-'19_Расчет_аналитики'!AT447)=0,12&lt;='01_Вводные'!$B$297),0,('19_Расчет_аналитики'!AT419-'19_Расчет_аналитики'!AT447)*IF('01_Вводные'!$B$239="Да",MeanMinAge12+'19_Расчет_аналитики'!AT560*SUMIF(ThresholdAge12,"&lt;"&amp;'19_Расчет_аналитики'!AT560,WeightedRevAge12)-SUMIF(ThresholdAge12,"&lt;"&amp;'19_Расчет_аналитики'!AT560,WeightedMinAge12),MAX(CapacityAge12*'01_Вводные'!$B$218*'19_Расчет_аналитики'!AT560,MeanMinAge12)))</f>
        <v/>
      </c>
      <c r="AU503">
        <f>IF(OR(('19_Расчет_аналитики'!AU419-'19_Расчет_аналитики'!AU447)=0,12&lt;='01_Вводные'!$B$297),0,('19_Расчет_аналитики'!AU419-'19_Расчет_аналитики'!AU447)*IF('01_Вводные'!$B$239="Да",MeanMinAge12+'19_Расчет_аналитики'!AU560*SUMIF(ThresholdAge12,"&lt;"&amp;'19_Расчет_аналитики'!AU560,WeightedRevAge12)-SUMIF(ThresholdAge12,"&lt;"&amp;'19_Расчет_аналитики'!AU560,WeightedMinAge12),MAX(CapacityAge12*'01_Вводные'!$B$218*'19_Расчет_аналитики'!AU560,MeanMinAge12)))</f>
        <v/>
      </c>
      <c r="AV503">
        <f>IF(OR(('19_Расчет_аналитики'!AV419-'19_Расчет_аналитики'!AV447)=0,12&lt;='01_Вводные'!$B$297),0,('19_Расчет_аналитики'!AV419-'19_Расчет_аналитики'!AV447)*IF('01_Вводные'!$B$239="Да",MeanMinAge12+'19_Расчет_аналитики'!AV560*SUMIF(ThresholdAge12,"&lt;"&amp;'19_Расчет_аналитики'!AV560,WeightedRevAge12)-SUMIF(ThresholdAge12,"&lt;"&amp;'19_Расчет_аналитики'!AV560,WeightedMinAge12),MAX(CapacityAge12*'01_Вводные'!$B$218*'19_Расчет_аналитики'!AV560,MeanMinAge12)))</f>
        <v/>
      </c>
      <c r="AW503">
        <f>IF(OR(('19_Расчет_аналитики'!AW419-'19_Расчет_аналитики'!AW447)=0,12&lt;='01_Вводные'!$B$297),0,('19_Расчет_аналитики'!AW419-'19_Расчет_аналитики'!AW447)*IF('01_Вводные'!$B$239="Да",MeanMinAge12+'19_Расчет_аналитики'!AW560*SUMIF(ThresholdAge12,"&lt;"&amp;'19_Расчет_аналитики'!AW560,WeightedRevAge12)-SUMIF(ThresholdAge12,"&lt;"&amp;'19_Расчет_аналитики'!AW560,WeightedMinAge12),MAX(CapacityAge12*'01_Вводные'!$B$218*'19_Расчет_аналитики'!AW560,MeanMinAge12)))</f>
        <v/>
      </c>
      <c r="AX503">
        <f>IF(OR(('19_Расчет_аналитики'!AX419-'19_Расчет_аналитики'!AX447)=0,12&lt;='01_Вводные'!$B$297),0,('19_Расчет_аналитики'!AX419-'19_Расчет_аналитики'!AX447)*IF('01_Вводные'!$B$239="Да",MeanMinAge12+'19_Расчет_аналитики'!AX560*SUMIF(ThresholdAge12,"&lt;"&amp;'19_Расчет_аналитики'!AX560,WeightedRevAge12)-SUMIF(ThresholdAge12,"&lt;"&amp;'19_Расчет_аналитики'!AX560,WeightedMinAge12),MAX(CapacityAge12*'01_Вводные'!$B$218*'19_Расчет_аналитики'!AX560,MeanMinAge12)))</f>
        <v/>
      </c>
      <c r="AY503">
        <f>IF(OR(('19_Расчет_аналитики'!AY419-'19_Расчет_аналитики'!AY447)=0,12&lt;='01_Вводные'!$B$297),0,('19_Расчет_аналитики'!AY419-'19_Расчет_аналитики'!AY447)*IF('01_Вводные'!$B$239="Да",MeanMinAge12+'19_Расчет_аналитики'!AY560*SUMIF(ThresholdAge12,"&lt;"&amp;'19_Расчет_аналитики'!AY560,WeightedRevAge12)-SUMIF(ThresholdAge12,"&lt;"&amp;'19_Расчет_аналитики'!AY560,WeightedMinAge12),MAX(CapacityAge12*'01_Вводные'!$B$218*'19_Расчет_аналитики'!AY560,MeanMinAge12)))</f>
        <v/>
      </c>
      <c r="AZ503">
        <f>IF(OR(('19_Расчет_аналитики'!AZ419-'19_Расчет_аналитики'!AZ447)=0,12&lt;='01_Вводные'!$B$297),0,('19_Расчет_аналитики'!AZ419-'19_Расчет_аналитики'!AZ447)*IF('01_Вводные'!$B$239="Да",MeanMinAge12+'19_Расчет_аналитики'!AZ560*SUMIF(ThresholdAge12,"&lt;"&amp;'19_Расчет_аналитики'!AZ560,WeightedRevAge12)-SUMIF(ThresholdAge12,"&lt;"&amp;'19_Расчет_аналитики'!AZ560,WeightedMinAge12),MAX(CapacityAge12*'01_Вводные'!$B$218*'19_Расчет_аналитики'!AZ560,MeanMinAge12)))</f>
        <v/>
      </c>
      <c r="BA503">
        <f>IF(OR(('19_Расчет_аналитики'!BA419-'19_Расчет_аналитики'!BA447)=0,12&lt;='01_Вводные'!$B$297),0,('19_Расчет_аналитики'!BA419-'19_Расчет_аналитики'!BA447)*IF('01_Вводные'!$B$239="Да",MeanMinAge12+'19_Расчет_аналитики'!BA560*SUMIF(ThresholdAge12,"&lt;"&amp;'19_Расчет_аналитики'!BA560,WeightedRevAge12)-SUMIF(ThresholdAge12,"&lt;"&amp;'19_Расчет_аналитики'!BA560,WeightedMinAge12),MAX(CapacityAge12*'01_Вводные'!$B$218*'19_Расчет_аналитики'!BA560,MeanMinAge12)))</f>
        <v/>
      </c>
      <c r="BB503">
        <f>IF(OR(('19_Расчет_аналитики'!BB419-'19_Расчет_аналитики'!BB447)=0,12&lt;='01_Вводные'!$B$297),0,('19_Расчет_аналитики'!BB419-'19_Расчет_аналитики'!BB447)*IF('01_Вводные'!$B$239="Да",MeanMinAge12+'19_Расчет_аналитики'!BB560*SUMIF(ThresholdAge12,"&lt;"&amp;'19_Расчет_аналитики'!BB560,WeightedRevAge12)-SUMIF(ThresholdAge12,"&lt;"&amp;'19_Расчет_аналитики'!BB560,WeightedMinAge12),MAX(CapacityAge12*'01_Вводные'!$B$218*'19_Расчет_аналитики'!BB560,MeanMinAge12)))</f>
        <v/>
      </c>
      <c r="BC503">
        <f>IF(OR(('19_Расчет_аналитики'!BC419-'19_Расчет_аналитики'!BC447)=0,12&lt;='01_Вводные'!$B$297),0,('19_Расчет_аналитики'!BC419-'19_Расчет_аналитики'!BC447)*IF('01_Вводные'!$B$239="Да",MeanMinAge12+'19_Расчет_аналитики'!BC560*SUMIF(ThresholdAge12,"&lt;"&amp;'19_Расчет_аналитики'!BC560,WeightedRevAge12)-SUMIF(ThresholdAge12,"&lt;"&amp;'19_Расчет_аналитики'!BC560,WeightedMinAge12),MAX(CapacityAge12*'01_Вводные'!$B$218*'19_Расчет_аналитики'!BC560,MeanMinAge12)))</f>
        <v/>
      </c>
      <c r="BD503">
        <f>IF(OR(('19_Расчет_аналитики'!BD419-'19_Расчет_аналитики'!BD447)=0,12&lt;='01_Вводные'!$B$297),0,('19_Расчет_аналитики'!BD419-'19_Расчет_аналитики'!BD447)*IF('01_Вводные'!$B$239="Да",MeanMinAge12+'19_Расчет_аналитики'!BD560*SUMIF(ThresholdAge12,"&lt;"&amp;'19_Расчет_аналитики'!BD560,WeightedRevAge12)-SUMIF(ThresholdAge12,"&lt;"&amp;'19_Расчет_аналитики'!BD560,WeightedMinAge12),MAX(CapacityAge12*'01_Вводные'!$B$218*'19_Расчет_аналитики'!BD560,MeanMinAge12)))</f>
        <v/>
      </c>
      <c r="BE503">
        <f>IF(OR(('19_Расчет_аналитики'!BE419-'19_Расчет_аналитики'!BE447)=0,12&lt;='01_Вводные'!$B$297),0,('19_Расчет_аналитики'!BE419-'19_Расчет_аналитики'!BE447)*IF('01_Вводные'!$B$239="Да",MeanMinAge12+'19_Расчет_аналитики'!BE560*SUMIF(ThresholdAge12,"&lt;"&amp;'19_Расчет_аналитики'!BE560,WeightedRevAge12)-SUMIF(ThresholdAge12,"&lt;"&amp;'19_Расчет_аналитики'!BE560,WeightedMinAge12),MAX(CapacityAge12*'01_Вводные'!$B$218*'19_Расчет_аналитики'!BE560,MeanMinAge12)))</f>
        <v/>
      </c>
      <c r="BF503">
        <f>IF(OR(('19_Расчет_аналитики'!BF419-'19_Расчет_аналитики'!BF447)=0,12&lt;='01_Вводные'!$B$297),0,('19_Расчет_аналитики'!BF419-'19_Расчет_аналитики'!BF447)*IF('01_Вводные'!$B$239="Да",MeanMinAge12+'19_Расчет_аналитики'!BF560*SUMIF(ThresholdAge12,"&lt;"&amp;'19_Расчет_аналитики'!BF560,WeightedRevAge12)-SUMIF(ThresholdAge12,"&lt;"&amp;'19_Расчет_аналитики'!BF560,WeightedMinAge12),MAX(CapacityAge12*'01_Вводные'!$B$218*'19_Расчет_аналитики'!BF560,MeanMinAge12)))</f>
        <v/>
      </c>
      <c r="BG503">
        <f>IF(OR(('19_Расчет_аналитики'!BG419-'19_Расчет_аналитики'!BG447)=0,12&lt;='01_Вводные'!$B$297),0,('19_Расчет_аналитики'!BG419-'19_Расчет_аналитики'!BG447)*IF('01_Вводные'!$B$239="Да",MeanMinAge12+'19_Расчет_аналитики'!BG560*SUMIF(ThresholdAge12,"&lt;"&amp;'19_Расчет_аналитики'!BG560,WeightedRevAge12)-SUMIF(ThresholdAge12,"&lt;"&amp;'19_Расчет_аналитики'!BG560,WeightedMinAge12),MAX(CapacityAge12*'01_Вводные'!$B$218*'19_Расчет_аналитики'!BG560,MeanMinAge12)))</f>
        <v/>
      </c>
      <c r="BH503">
        <f>IF(OR(('19_Расчет_аналитики'!BH419-'19_Расчет_аналитики'!BH447)=0,12&lt;='01_Вводные'!$B$297),0,('19_Расчет_аналитики'!BH419-'19_Расчет_аналитики'!BH447)*IF('01_Вводные'!$B$239="Да",MeanMinAge12+'19_Расчет_аналитики'!BH560*SUMIF(ThresholdAge12,"&lt;"&amp;'19_Расчет_аналитики'!BH560,WeightedRevAge12)-SUMIF(ThresholdAge12,"&lt;"&amp;'19_Расчет_аналитики'!BH560,WeightedMinAge12),MAX(CapacityAge12*'01_Вводные'!$B$218*'19_Расчет_аналитики'!BH560,MeanMinAge12)))</f>
        <v/>
      </c>
      <c r="BI503">
        <f>IF(OR(('19_Расчет_аналитики'!BI419-'19_Расчет_аналитики'!BI447)=0,12&lt;='01_Вводные'!$B$297),0,('19_Расчет_аналитики'!BI419-'19_Расчет_аналитики'!BI447)*IF('01_Вводные'!$B$239="Да",MeanMinAge12+'19_Расчет_аналитики'!BI560*SUMIF(ThresholdAge12,"&lt;"&amp;'19_Расчет_аналитики'!BI560,WeightedRevAge12)-SUMIF(ThresholdAge12,"&lt;"&amp;'19_Расчет_аналитики'!BI560,WeightedMinAge12),MAX(CapacityAge12*'01_Вводные'!$B$218*'19_Расчет_аналитики'!BI560,MeanMinAge12)))</f>
        <v/>
      </c>
      <c r="BJ503">
        <f>IF(OR(('19_Расчет_аналитики'!BJ419-'19_Расчет_аналитики'!BJ447)=0,12&lt;='01_Вводные'!$B$297),0,('19_Расчет_аналитики'!BJ419-'19_Расчет_аналитики'!BJ447)*IF('01_Вводные'!$B$239="Да",MeanMinAge12+'19_Расчет_аналитики'!BJ560*SUMIF(ThresholdAge12,"&lt;"&amp;'19_Расчет_аналитики'!BJ560,WeightedRevAge12)-SUMIF(ThresholdAge12,"&lt;"&amp;'19_Расчет_аналитики'!BJ560,WeightedMinAge12),MAX(CapacityAge12*'01_Вводные'!$B$218*'19_Расчет_аналитики'!BJ560,MeanMinAge12)))</f>
        <v/>
      </c>
      <c r="BK503">
        <f>IF(OR(('19_Расчет_аналитики'!BK419-'19_Расчет_аналитики'!BK447)=0,12&lt;='01_Вводные'!$B$297),0,('19_Расчет_аналитики'!BK419-'19_Расчет_аналитики'!BK447)*IF('01_Вводные'!$B$239="Да",MeanMinAge12+'19_Расчет_аналитики'!BK560*SUMIF(ThresholdAge12,"&lt;"&amp;'19_Расчет_аналитики'!BK560,WeightedRevAge12)-SUMIF(ThresholdAge12,"&lt;"&amp;'19_Расчет_аналитики'!BK560,WeightedMinAge12),MAX(CapacityAge12*'01_Вводные'!$B$218*'19_Расчет_аналитики'!BK560,MeanMinAge12)))</f>
        <v/>
      </c>
      <c r="BL503">
        <f>IF(OR(('19_Расчет_аналитики'!BL419-'19_Расчет_аналитики'!BL447)=0,12&lt;='01_Вводные'!$B$297),0,('19_Расчет_аналитики'!BL419-'19_Расчет_аналитики'!BL447)*IF('01_Вводные'!$B$239="Да",MeanMinAge12+'19_Расчет_аналитики'!BL560*SUMIF(ThresholdAge12,"&lt;"&amp;'19_Расчет_аналитики'!BL560,WeightedRevAge12)-SUMIF(ThresholdAge12,"&lt;"&amp;'19_Расчет_аналитики'!BL560,WeightedMinAge12),MAX(CapacityAge12*'01_Вводные'!$B$218*'19_Расчет_аналитики'!BL560,MeanMinAge12)))</f>
        <v/>
      </c>
      <c r="BM503">
        <f>IF(OR(('19_Расчет_аналитики'!BM419-'19_Расчет_аналитики'!BM447)=0,12&lt;='01_Вводные'!$B$297),0,('19_Расчет_аналитики'!BM419-'19_Расчет_аналитики'!BM447)*IF('01_Вводные'!$B$239="Да",MeanMinAge12+'19_Расчет_аналитики'!BM560*SUMIF(ThresholdAge12,"&lt;"&amp;'19_Расчет_аналитики'!BM560,WeightedRevAge12)-SUMIF(ThresholdAge12,"&lt;"&amp;'19_Расчет_аналитики'!BM560,WeightedMinAge12),MAX(CapacityAge12*'01_Вводные'!$B$218*'19_Расчет_аналитики'!BM560,MeanMinAge12)))</f>
        <v/>
      </c>
      <c r="BN503">
        <f>IF(OR(('19_Расчет_аналитики'!BN419-'19_Расчет_аналитики'!BN447)=0,12&lt;='01_Вводные'!$B$297),0,('19_Расчет_аналитики'!BN419-'19_Расчет_аналитики'!BN447)*IF('01_Вводные'!$B$239="Да",MeanMinAge12+'19_Расчет_аналитики'!BN560*SUMIF(ThresholdAge12,"&lt;"&amp;'19_Расчет_аналитики'!BN560,WeightedRevAge12)-SUMIF(ThresholdAge12,"&lt;"&amp;'19_Расчет_аналитики'!BN560,WeightedMinAge12),MAX(CapacityAge12*'01_Вводные'!$B$218*'19_Расчет_аналитики'!BN560,MeanMinAge12)))</f>
        <v/>
      </c>
      <c r="BO503">
        <f>IF(OR(('19_Расчет_аналитики'!BO419-'19_Расчет_аналитики'!BO447)=0,12&lt;='01_Вводные'!$B$297),0,('19_Расчет_аналитики'!BO419-'19_Расчет_аналитики'!BO447)*IF('01_Вводные'!$B$239="Да",MeanMinAge12+'19_Расчет_аналитики'!BO560*SUMIF(ThresholdAge12,"&lt;"&amp;'19_Расчет_аналитики'!BO560,WeightedRevAge12)-SUMIF(ThresholdAge12,"&lt;"&amp;'19_Расчет_аналитики'!BO560,WeightedMinAge12),MAX(CapacityAge12*'01_Вводные'!$B$218*'19_Расчет_аналитики'!BO560,MeanMinAge12)))</f>
        <v/>
      </c>
    </row>
    <row r="504">
      <c r="B504">
        <f>IF(OR(('06_Сеть_и_дети'!B65-'06_Сеть_и_дети'!B93)=0,13&lt;='01_Вводные'!$B$297),0,('06_Сеть_и_дети'!B65-'06_Сеть_и_дети'!B93)*IF('01_Вводные'!$B$239="Да",MeanMinAge13+'19_Расчет_аналитики'!B560*SUMIF(ThresholdAge13,"&lt;"&amp;'19_Расчет_аналитики'!B560,WeightedRevAge13)-SUMIF(ThresholdAge13,"&lt;"&amp;'19_Расчет_аналитики'!B560,WeightedMinAge13),MAX(CapacityAge13*'01_Вводные'!$B$218*'19_Расчет_аналитики'!B560,MeanMinAge13)))</f>
        <v/>
      </c>
      <c r="C504">
        <f>IF(OR(('06_Сеть_и_дети'!C65-'06_Сеть_и_дети'!C93)=0,13&lt;='01_Вводные'!$B$297),0,('06_Сеть_и_дети'!C65-'06_Сеть_и_дети'!C93)*IF('01_Вводные'!$B$239="Да",MeanMinAge13+'19_Расчет_аналитики'!C560*SUMIF(ThresholdAge13,"&lt;"&amp;'19_Расчет_аналитики'!C560,WeightedRevAge13)-SUMIF(ThresholdAge13,"&lt;"&amp;'19_Расчет_аналитики'!C560,WeightedMinAge13),MAX(CapacityAge13*'01_Вводные'!$B$218*'19_Расчет_аналитики'!C560,MeanMinAge13)))</f>
        <v/>
      </c>
      <c r="D504">
        <f>IF(OR(('06_Сеть_и_дети'!D65-'06_Сеть_и_дети'!D93)=0,13&lt;='01_Вводные'!$B$297),0,('06_Сеть_и_дети'!D65-'06_Сеть_и_дети'!D93)*IF('01_Вводные'!$B$239="Да",MeanMinAge13+'19_Расчет_аналитики'!D560*SUMIF(ThresholdAge13,"&lt;"&amp;'19_Расчет_аналитики'!D560,WeightedRevAge13)-SUMIF(ThresholdAge13,"&lt;"&amp;'19_Расчет_аналитики'!D560,WeightedMinAge13),MAX(CapacityAge13*'01_Вводные'!$B$218*'19_Расчет_аналитики'!D560,MeanMinAge13)))</f>
        <v/>
      </c>
      <c r="E504">
        <f>IF(OR(('06_Сеть_и_дети'!E65-'06_Сеть_и_дети'!E93)=0,13&lt;='01_Вводные'!$B$297),0,('06_Сеть_и_дети'!E65-'06_Сеть_и_дети'!E93)*IF('01_Вводные'!$B$239="Да",MeanMinAge13+'19_Расчет_аналитики'!E560*SUMIF(ThresholdAge13,"&lt;"&amp;'19_Расчет_аналитики'!E560,WeightedRevAge13)-SUMIF(ThresholdAge13,"&lt;"&amp;'19_Расчет_аналитики'!E560,WeightedMinAge13),MAX(CapacityAge13*'01_Вводные'!$B$218*'19_Расчет_аналитики'!E560,MeanMinAge13)))</f>
        <v/>
      </c>
      <c r="F504">
        <f>IF(OR(('06_Сеть_и_дети'!F65-'06_Сеть_и_дети'!F93)=0,13&lt;='01_Вводные'!$B$297),0,('06_Сеть_и_дети'!F65-'06_Сеть_и_дети'!F93)*IF('01_Вводные'!$B$239="Да",MeanMinAge13+'19_Расчет_аналитики'!F560*SUMIF(ThresholdAge13,"&lt;"&amp;'19_Расчет_аналитики'!F560,WeightedRevAge13)-SUMIF(ThresholdAge13,"&lt;"&amp;'19_Расчет_аналитики'!F560,WeightedMinAge13),MAX(CapacityAge13*'01_Вводные'!$B$218*'19_Расчет_аналитики'!F560,MeanMinAge13)))</f>
        <v/>
      </c>
      <c r="G504">
        <f>IF(OR(('06_Сеть_и_дети'!G65-'06_Сеть_и_дети'!G93)=0,13&lt;='01_Вводные'!$B$297),0,('06_Сеть_и_дети'!G65-'06_Сеть_и_дети'!G93)*IF('01_Вводные'!$B$239="Да",MeanMinAge13+'19_Расчет_аналитики'!G560*SUMIF(ThresholdAge13,"&lt;"&amp;'19_Расчет_аналитики'!G560,WeightedRevAge13)-SUMIF(ThresholdAge13,"&lt;"&amp;'19_Расчет_аналитики'!G560,WeightedMinAge13),MAX(CapacityAge13*'01_Вводные'!$B$218*'19_Расчет_аналитики'!G560,MeanMinAge13)))</f>
        <v/>
      </c>
      <c r="H504">
        <f>IF(OR(('06_Сеть_и_дети'!H65-'06_Сеть_и_дети'!H93)=0,13&lt;='01_Вводные'!$B$297),0,('06_Сеть_и_дети'!H65-'06_Сеть_и_дети'!H93)*IF('01_Вводные'!$B$239="Да",MeanMinAge13+'19_Расчет_аналитики'!H560*SUMIF(ThresholdAge13,"&lt;"&amp;'19_Расчет_аналитики'!H560,WeightedRevAge13)-SUMIF(ThresholdAge13,"&lt;"&amp;'19_Расчет_аналитики'!H560,WeightedMinAge13),MAX(CapacityAge13*'01_Вводные'!$B$218*'19_Расчет_аналитики'!H560,MeanMinAge13)))</f>
        <v/>
      </c>
      <c r="I504">
        <f>IF(OR(('06_Сеть_и_дети'!I65-'06_Сеть_и_дети'!I93)=0,13&lt;='01_Вводные'!$B$297),0,('06_Сеть_и_дети'!I65-'06_Сеть_и_дети'!I93)*IF('01_Вводные'!$B$239="Да",MeanMinAge13+'19_Расчет_аналитики'!I560*SUMIF(ThresholdAge13,"&lt;"&amp;'19_Расчет_аналитики'!I560,WeightedRevAge13)-SUMIF(ThresholdAge13,"&lt;"&amp;'19_Расчет_аналитики'!I560,WeightedMinAge13),MAX(CapacityAge13*'01_Вводные'!$B$218*'19_Расчет_аналитики'!I560,MeanMinAge13)))</f>
        <v/>
      </c>
      <c r="J504">
        <f>IF(OR(('06_Сеть_и_дети'!J65-'06_Сеть_и_дети'!J93)=0,13&lt;='01_Вводные'!$B$297),0,('06_Сеть_и_дети'!J65-'06_Сеть_и_дети'!J93)*IF('01_Вводные'!$B$239="Да",MeanMinAge13+'19_Расчет_аналитики'!J560*SUMIF(ThresholdAge13,"&lt;"&amp;'19_Расчет_аналитики'!J560,WeightedRevAge13)-SUMIF(ThresholdAge13,"&lt;"&amp;'19_Расчет_аналитики'!J560,WeightedMinAge13),MAX(CapacityAge13*'01_Вводные'!$B$218*'19_Расчет_аналитики'!J560,MeanMinAge13)))</f>
        <v/>
      </c>
      <c r="K504">
        <f>IF(OR(('06_Сеть_и_дети'!K65-'06_Сеть_и_дети'!K93)=0,13&lt;='01_Вводные'!$B$297),0,('06_Сеть_и_дети'!K65-'06_Сеть_и_дети'!K93)*IF('01_Вводные'!$B$239="Да",MeanMinAge13+'19_Расчет_аналитики'!K560*SUMIF(ThresholdAge13,"&lt;"&amp;'19_Расчет_аналитики'!K560,WeightedRevAge13)-SUMIF(ThresholdAge13,"&lt;"&amp;'19_Расчет_аналитики'!K560,WeightedMinAge13),MAX(CapacityAge13*'01_Вводные'!$B$218*'19_Расчет_аналитики'!K560,MeanMinAge13)))</f>
        <v/>
      </c>
      <c r="L504">
        <f>IF(OR(('06_Сеть_и_дети'!L65-'06_Сеть_и_дети'!L93)=0,13&lt;='01_Вводные'!$B$297),0,('06_Сеть_и_дети'!L65-'06_Сеть_и_дети'!L93)*IF('01_Вводные'!$B$239="Да",MeanMinAge13+'19_Расчет_аналитики'!L560*SUMIF(ThresholdAge13,"&lt;"&amp;'19_Расчет_аналитики'!L560,WeightedRevAge13)-SUMIF(ThresholdAge13,"&lt;"&amp;'19_Расчет_аналитики'!L560,WeightedMinAge13),MAX(CapacityAge13*'01_Вводные'!$B$218*'19_Расчет_аналитики'!L560,MeanMinAge13)))</f>
        <v/>
      </c>
      <c r="M504">
        <f>IF(OR(('06_Сеть_и_дети'!M65-'06_Сеть_и_дети'!M93)=0,13&lt;='01_Вводные'!$B$297),0,('06_Сеть_и_дети'!M65-'06_Сеть_и_дети'!M93)*IF('01_Вводные'!$B$239="Да",MeanMinAge13+'19_Расчет_аналитики'!M560*SUMIF(ThresholdAge13,"&lt;"&amp;'19_Расчет_аналитики'!M560,WeightedRevAge13)-SUMIF(ThresholdAge13,"&lt;"&amp;'19_Расчет_аналитики'!M560,WeightedMinAge13),MAX(CapacityAge13*'01_Вводные'!$B$218*'19_Расчет_аналитики'!M560,MeanMinAge13)))</f>
        <v/>
      </c>
      <c r="N504">
        <f>IF(OR(('19_Расчет_аналитики'!N420-'19_Расчет_аналитики'!N448)=0,13&lt;='01_Вводные'!$B$297),0,('19_Расчет_аналитики'!N420-'19_Расчет_аналитики'!N448)*IF('01_Вводные'!$B$239="Да",MeanMinAge13+'19_Расчет_аналитики'!N560*SUMIF(ThresholdAge13,"&lt;"&amp;'19_Расчет_аналитики'!N560,WeightedRevAge13)-SUMIF(ThresholdAge13,"&lt;"&amp;'19_Расчет_аналитики'!N560,WeightedMinAge13),MAX(CapacityAge13*'01_Вводные'!$B$218*'19_Расчет_аналитики'!N560,MeanMinAge13)))</f>
        <v/>
      </c>
      <c r="O504">
        <f>IF(OR(('19_Расчет_аналитики'!O420-'19_Расчет_аналитики'!O448)=0,13&lt;='01_Вводные'!$B$297),0,('19_Расчет_аналитики'!O420-'19_Расчет_аналитики'!O448)*IF('01_Вводные'!$B$239="Да",MeanMinAge13+'19_Расчет_аналитики'!O560*SUMIF(ThresholdAge13,"&lt;"&amp;'19_Расчет_аналитики'!O560,WeightedRevAge13)-SUMIF(ThresholdAge13,"&lt;"&amp;'19_Расчет_аналитики'!O560,WeightedMinAge13),MAX(CapacityAge13*'01_Вводные'!$B$218*'19_Расчет_аналитики'!O560,MeanMinAge13)))</f>
        <v/>
      </c>
      <c r="P504">
        <f>IF(OR(('19_Расчет_аналитики'!P420-'19_Расчет_аналитики'!P448)=0,13&lt;='01_Вводные'!$B$297),0,('19_Расчет_аналитики'!P420-'19_Расчет_аналитики'!P448)*IF('01_Вводные'!$B$239="Да",MeanMinAge13+'19_Расчет_аналитики'!P560*SUMIF(ThresholdAge13,"&lt;"&amp;'19_Расчет_аналитики'!P560,WeightedRevAge13)-SUMIF(ThresholdAge13,"&lt;"&amp;'19_Расчет_аналитики'!P560,WeightedMinAge13),MAX(CapacityAge13*'01_Вводные'!$B$218*'19_Расчет_аналитики'!P560,MeanMinAge13)))</f>
        <v/>
      </c>
      <c r="Q504">
        <f>IF(OR(('19_Расчет_аналитики'!Q420-'19_Расчет_аналитики'!Q448)=0,13&lt;='01_Вводные'!$B$297),0,('19_Расчет_аналитики'!Q420-'19_Расчет_аналитики'!Q448)*IF('01_Вводные'!$B$239="Да",MeanMinAge13+'19_Расчет_аналитики'!Q560*SUMIF(ThresholdAge13,"&lt;"&amp;'19_Расчет_аналитики'!Q560,WeightedRevAge13)-SUMIF(ThresholdAge13,"&lt;"&amp;'19_Расчет_аналитики'!Q560,WeightedMinAge13),MAX(CapacityAge13*'01_Вводные'!$B$218*'19_Расчет_аналитики'!Q560,MeanMinAge13)))</f>
        <v/>
      </c>
      <c r="R504">
        <f>IF(OR(('19_Расчет_аналитики'!R420-'19_Расчет_аналитики'!R448)=0,13&lt;='01_Вводные'!$B$297),0,('19_Расчет_аналитики'!R420-'19_Расчет_аналитики'!R448)*IF('01_Вводные'!$B$239="Да",MeanMinAge13+'19_Расчет_аналитики'!R560*SUMIF(ThresholdAge13,"&lt;"&amp;'19_Расчет_аналитики'!R560,WeightedRevAge13)-SUMIF(ThresholdAge13,"&lt;"&amp;'19_Расчет_аналитики'!R560,WeightedMinAge13),MAX(CapacityAge13*'01_Вводные'!$B$218*'19_Расчет_аналитики'!R560,MeanMinAge13)))</f>
        <v/>
      </c>
      <c r="S504">
        <f>IF(OR(('19_Расчет_аналитики'!S420-'19_Расчет_аналитики'!S448)=0,13&lt;='01_Вводные'!$B$297),0,('19_Расчет_аналитики'!S420-'19_Расчет_аналитики'!S448)*IF('01_Вводные'!$B$239="Да",MeanMinAge13+'19_Расчет_аналитики'!S560*SUMIF(ThresholdAge13,"&lt;"&amp;'19_Расчет_аналитики'!S560,WeightedRevAge13)-SUMIF(ThresholdAge13,"&lt;"&amp;'19_Расчет_аналитики'!S560,WeightedMinAge13),MAX(CapacityAge13*'01_Вводные'!$B$218*'19_Расчет_аналитики'!S560,MeanMinAge13)))</f>
        <v/>
      </c>
      <c r="T504">
        <f>IF(OR(('19_Расчет_аналитики'!T420-'19_Расчет_аналитики'!T448)=0,13&lt;='01_Вводные'!$B$297),0,('19_Расчет_аналитики'!T420-'19_Расчет_аналитики'!T448)*IF('01_Вводные'!$B$239="Да",MeanMinAge13+'19_Расчет_аналитики'!T560*SUMIF(ThresholdAge13,"&lt;"&amp;'19_Расчет_аналитики'!T560,WeightedRevAge13)-SUMIF(ThresholdAge13,"&lt;"&amp;'19_Расчет_аналитики'!T560,WeightedMinAge13),MAX(CapacityAge13*'01_Вводные'!$B$218*'19_Расчет_аналитики'!T560,MeanMinAge13)))</f>
        <v/>
      </c>
      <c r="U504">
        <f>IF(OR(('19_Расчет_аналитики'!U420-'19_Расчет_аналитики'!U448)=0,13&lt;='01_Вводные'!$B$297),0,('19_Расчет_аналитики'!U420-'19_Расчет_аналитики'!U448)*IF('01_Вводные'!$B$239="Да",MeanMinAge13+'19_Расчет_аналитики'!U560*SUMIF(ThresholdAge13,"&lt;"&amp;'19_Расчет_аналитики'!U560,WeightedRevAge13)-SUMIF(ThresholdAge13,"&lt;"&amp;'19_Расчет_аналитики'!U560,WeightedMinAge13),MAX(CapacityAge13*'01_Вводные'!$B$218*'19_Расчет_аналитики'!U560,MeanMinAge13)))</f>
        <v/>
      </c>
      <c r="V504">
        <f>IF(OR(('19_Расчет_аналитики'!V420-'19_Расчет_аналитики'!V448)=0,13&lt;='01_Вводные'!$B$297),0,('19_Расчет_аналитики'!V420-'19_Расчет_аналитики'!V448)*IF('01_Вводные'!$B$239="Да",MeanMinAge13+'19_Расчет_аналитики'!V560*SUMIF(ThresholdAge13,"&lt;"&amp;'19_Расчет_аналитики'!V560,WeightedRevAge13)-SUMIF(ThresholdAge13,"&lt;"&amp;'19_Расчет_аналитики'!V560,WeightedMinAge13),MAX(CapacityAge13*'01_Вводные'!$B$218*'19_Расчет_аналитики'!V560,MeanMinAge13)))</f>
        <v/>
      </c>
      <c r="W504">
        <f>IF(OR(('19_Расчет_аналитики'!W420-'19_Расчет_аналитики'!W448)=0,13&lt;='01_Вводные'!$B$297),0,('19_Расчет_аналитики'!W420-'19_Расчет_аналитики'!W448)*IF('01_Вводные'!$B$239="Да",MeanMinAge13+'19_Расчет_аналитики'!W560*SUMIF(ThresholdAge13,"&lt;"&amp;'19_Расчет_аналитики'!W560,WeightedRevAge13)-SUMIF(ThresholdAge13,"&lt;"&amp;'19_Расчет_аналитики'!W560,WeightedMinAge13),MAX(CapacityAge13*'01_Вводные'!$B$218*'19_Расчет_аналитики'!W560,MeanMinAge13)))</f>
        <v/>
      </c>
      <c r="X504">
        <f>IF(OR(('19_Расчет_аналитики'!X420-'19_Расчет_аналитики'!X448)=0,13&lt;='01_Вводные'!$B$297),0,('19_Расчет_аналитики'!X420-'19_Расчет_аналитики'!X448)*IF('01_Вводные'!$B$239="Да",MeanMinAge13+'19_Расчет_аналитики'!X560*SUMIF(ThresholdAge13,"&lt;"&amp;'19_Расчет_аналитики'!X560,WeightedRevAge13)-SUMIF(ThresholdAge13,"&lt;"&amp;'19_Расчет_аналитики'!X560,WeightedMinAge13),MAX(CapacityAge13*'01_Вводные'!$B$218*'19_Расчет_аналитики'!X560,MeanMinAge13)))</f>
        <v/>
      </c>
      <c r="Y504">
        <f>IF(OR(('19_Расчет_аналитики'!Y420-'19_Расчет_аналитики'!Y448)=0,13&lt;='01_Вводные'!$B$297),0,('19_Расчет_аналитики'!Y420-'19_Расчет_аналитики'!Y448)*IF('01_Вводные'!$B$239="Да",MeanMinAge13+'19_Расчет_аналитики'!Y560*SUMIF(ThresholdAge13,"&lt;"&amp;'19_Расчет_аналитики'!Y560,WeightedRevAge13)-SUMIF(ThresholdAge13,"&lt;"&amp;'19_Расчет_аналитики'!Y560,WeightedMinAge13),MAX(CapacityAge13*'01_Вводные'!$B$218*'19_Расчет_аналитики'!Y560,MeanMinAge13)))</f>
        <v/>
      </c>
      <c r="Z504">
        <f>IF(OR(('19_Расчет_аналитики'!Z420-'19_Расчет_аналитики'!Z448)=0,13&lt;='01_Вводные'!$B$297),0,('19_Расчет_аналитики'!Z420-'19_Расчет_аналитики'!Z448)*IF('01_Вводные'!$B$239="Да",MeanMinAge13+'19_Расчет_аналитики'!Z560*SUMIF(ThresholdAge13,"&lt;"&amp;'19_Расчет_аналитики'!Z560,WeightedRevAge13)-SUMIF(ThresholdAge13,"&lt;"&amp;'19_Расчет_аналитики'!Z560,WeightedMinAge13),MAX(CapacityAge13*'01_Вводные'!$B$218*'19_Расчет_аналитики'!Z560,MeanMinAge13)))</f>
        <v/>
      </c>
      <c r="AA504">
        <f>IF(OR(('19_Расчет_аналитики'!AA420-'19_Расчет_аналитики'!AA448)=0,13&lt;='01_Вводные'!$B$297),0,('19_Расчет_аналитики'!AA420-'19_Расчет_аналитики'!AA448)*IF('01_Вводные'!$B$239="Да",MeanMinAge13+'19_Расчет_аналитики'!AA560*SUMIF(ThresholdAge13,"&lt;"&amp;'19_Расчет_аналитики'!AA560,WeightedRevAge13)-SUMIF(ThresholdAge13,"&lt;"&amp;'19_Расчет_аналитики'!AA560,WeightedMinAge13),MAX(CapacityAge13*'01_Вводные'!$B$218*'19_Расчет_аналитики'!AA560,MeanMinAge13)))</f>
        <v/>
      </c>
      <c r="AB504">
        <f>IF(OR(('19_Расчет_аналитики'!AB420-'19_Расчет_аналитики'!AB448)=0,13&lt;='01_Вводные'!$B$297),0,('19_Расчет_аналитики'!AB420-'19_Расчет_аналитики'!AB448)*IF('01_Вводные'!$B$239="Да",MeanMinAge13+'19_Расчет_аналитики'!AB560*SUMIF(ThresholdAge13,"&lt;"&amp;'19_Расчет_аналитики'!AB560,WeightedRevAge13)-SUMIF(ThresholdAge13,"&lt;"&amp;'19_Расчет_аналитики'!AB560,WeightedMinAge13),MAX(CapacityAge13*'01_Вводные'!$B$218*'19_Расчет_аналитики'!AB560,MeanMinAge13)))</f>
        <v/>
      </c>
      <c r="AC504">
        <f>IF(OR(('19_Расчет_аналитики'!AC420-'19_Расчет_аналитики'!AC448)=0,13&lt;='01_Вводные'!$B$297),0,('19_Расчет_аналитики'!AC420-'19_Расчет_аналитики'!AC448)*IF('01_Вводные'!$B$239="Да",MeanMinAge13+'19_Расчет_аналитики'!AC560*SUMIF(ThresholdAge13,"&lt;"&amp;'19_Расчет_аналитики'!AC560,WeightedRevAge13)-SUMIF(ThresholdAge13,"&lt;"&amp;'19_Расчет_аналитики'!AC560,WeightedMinAge13),MAX(CapacityAge13*'01_Вводные'!$B$218*'19_Расчет_аналитики'!AC560,MeanMinAge13)))</f>
        <v/>
      </c>
      <c r="AD504">
        <f>IF(OR(('19_Расчет_аналитики'!AD420-'19_Расчет_аналитики'!AD448)=0,13&lt;='01_Вводные'!$B$297),0,('19_Расчет_аналитики'!AD420-'19_Расчет_аналитики'!AD448)*IF('01_Вводные'!$B$239="Да",MeanMinAge13+'19_Расчет_аналитики'!AD560*SUMIF(ThresholdAge13,"&lt;"&amp;'19_Расчет_аналитики'!AD560,WeightedRevAge13)-SUMIF(ThresholdAge13,"&lt;"&amp;'19_Расчет_аналитики'!AD560,WeightedMinAge13),MAX(CapacityAge13*'01_Вводные'!$B$218*'19_Расчет_аналитики'!AD560,MeanMinAge13)))</f>
        <v/>
      </c>
      <c r="AE504">
        <f>IF(OR(('19_Расчет_аналитики'!AE420-'19_Расчет_аналитики'!AE448)=0,13&lt;='01_Вводные'!$B$297),0,('19_Расчет_аналитики'!AE420-'19_Расчет_аналитики'!AE448)*IF('01_Вводные'!$B$239="Да",MeanMinAge13+'19_Расчет_аналитики'!AE560*SUMIF(ThresholdAge13,"&lt;"&amp;'19_Расчет_аналитики'!AE560,WeightedRevAge13)-SUMIF(ThresholdAge13,"&lt;"&amp;'19_Расчет_аналитики'!AE560,WeightedMinAge13),MAX(CapacityAge13*'01_Вводные'!$B$218*'19_Расчет_аналитики'!AE560,MeanMinAge13)))</f>
        <v/>
      </c>
      <c r="AF504">
        <f>IF(OR(('19_Расчет_аналитики'!AF420-'19_Расчет_аналитики'!AF448)=0,13&lt;='01_Вводные'!$B$297),0,('19_Расчет_аналитики'!AF420-'19_Расчет_аналитики'!AF448)*IF('01_Вводные'!$B$239="Да",MeanMinAge13+'19_Расчет_аналитики'!AF560*SUMIF(ThresholdAge13,"&lt;"&amp;'19_Расчет_аналитики'!AF560,WeightedRevAge13)-SUMIF(ThresholdAge13,"&lt;"&amp;'19_Расчет_аналитики'!AF560,WeightedMinAge13),MAX(CapacityAge13*'01_Вводные'!$B$218*'19_Расчет_аналитики'!AF560,MeanMinAge13)))</f>
        <v/>
      </c>
      <c r="AG504">
        <f>IF(OR(('19_Расчет_аналитики'!AG420-'19_Расчет_аналитики'!AG448)=0,13&lt;='01_Вводные'!$B$297),0,('19_Расчет_аналитики'!AG420-'19_Расчет_аналитики'!AG448)*IF('01_Вводные'!$B$239="Да",MeanMinAge13+'19_Расчет_аналитики'!AG560*SUMIF(ThresholdAge13,"&lt;"&amp;'19_Расчет_аналитики'!AG560,WeightedRevAge13)-SUMIF(ThresholdAge13,"&lt;"&amp;'19_Расчет_аналитики'!AG560,WeightedMinAge13),MAX(CapacityAge13*'01_Вводные'!$B$218*'19_Расчет_аналитики'!AG560,MeanMinAge13)))</f>
        <v/>
      </c>
      <c r="AH504">
        <f>IF(OR(('19_Расчет_аналитики'!AH420-'19_Расчет_аналитики'!AH448)=0,13&lt;='01_Вводные'!$B$297),0,('19_Расчет_аналитики'!AH420-'19_Расчет_аналитики'!AH448)*IF('01_Вводные'!$B$239="Да",MeanMinAge13+'19_Расчет_аналитики'!AH560*SUMIF(ThresholdAge13,"&lt;"&amp;'19_Расчет_аналитики'!AH560,WeightedRevAge13)-SUMIF(ThresholdAge13,"&lt;"&amp;'19_Расчет_аналитики'!AH560,WeightedMinAge13),MAX(CapacityAge13*'01_Вводные'!$B$218*'19_Расчет_аналитики'!AH560,MeanMinAge13)))</f>
        <v/>
      </c>
      <c r="AI504">
        <f>IF(OR(('19_Расчет_аналитики'!AI420-'19_Расчет_аналитики'!AI448)=0,13&lt;='01_Вводные'!$B$297),0,('19_Расчет_аналитики'!AI420-'19_Расчет_аналитики'!AI448)*IF('01_Вводные'!$B$239="Да",MeanMinAge13+'19_Расчет_аналитики'!AI560*SUMIF(ThresholdAge13,"&lt;"&amp;'19_Расчет_аналитики'!AI560,WeightedRevAge13)-SUMIF(ThresholdAge13,"&lt;"&amp;'19_Расчет_аналитики'!AI560,WeightedMinAge13),MAX(CapacityAge13*'01_Вводные'!$B$218*'19_Расчет_аналитики'!AI560,MeanMinAge13)))</f>
        <v/>
      </c>
      <c r="AJ504">
        <f>IF(OR(('19_Расчет_аналитики'!AJ420-'19_Расчет_аналитики'!AJ448)=0,13&lt;='01_Вводные'!$B$297),0,('19_Расчет_аналитики'!AJ420-'19_Расчет_аналитики'!AJ448)*IF('01_Вводные'!$B$239="Да",MeanMinAge13+'19_Расчет_аналитики'!AJ560*SUMIF(ThresholdAge13,"&lt;"&amp;'19_Расчет_аналитики'!AJ560,WeightedRevAge13)-SUMIF(ThresholdAge13,"&lt;"&amp;'19_Расчет_аналитики'!AJ560,WeightedMinAge13),MAX(CapacityAge13*'01_Вводные'!$B$218*'19_Расчет_аналитики'!AJ560,MeanMinAge13)))</f>
        <v/>
      </c>
      <c r="AK504">
        <f>IF(OR(('19_Расчет_аналитики'!AK420-'19_Расчет_аналитики'!AK448)=0,13&lt;='01_Вводные'!$B$297),0,('19_Расчет_аналитики'!AK420-'19_Расчет_аналитики'!AK448)*IF('01_Вводные'!$B$239="Да",MeanMinAge13+'19_Расчет_аналитики'!AK560*SUMIF(ThresholdAge13,"&lt;"&amp;'19_Расчет_аналитики'!AK560,WeightedRevAge13)-SUMIF(ThresholdAge13,"&lt;"&amp;'19_Расчет_аналитики'!AK560,WeightedMinAge13),MAX(CapacityAge13*'01_Вводные'!$B$218*'19_Расчет_аналитики'!AK560,MeanMinAge13)))</f>
        <v/>
      </c>
      <c r="AL504">
        <f>IF(OR(('19_Расчет_аналитики'!AL420-'19_Расчет_аналитики'!AL448)=0,13&lt;='01_Вводные'!$B$297),0,('19_Расчет_аналитики'!AL420-'19_Расчет_аналитики'!AL448)*IF('01_Вводные'!$B$239="Да",MeanMinAge13+'19_Расчет_аналитики'!AL560*SUMIF(ThresholdAge13,"&lt;"&amp;'19_Расчет_аналитики'!AL560,WeightedRevAge13)-SUMIF(ThresholdAge13,"&lt;"&amp;'19_Расчет_аналитики'!AL560,WeightedMinAge13),MAX(CapacityAge13*'01_Вводные'!$B$218*'19_Расчет_аналитики'!AL560,MeanMinAge13)))</f>
        <v/>
      </c>
      <c r="AM504">
        <f>IF(OR(('19_Расчет_аналитики'!AM420-'19_Расчет_аналитики'!AM448)=0,13&lt;='01_Вводные'!$B$297),0,('19_Расчет_аналитики'!AM420-'19_Расчет_аналитики'!AM448)*IF('01_Вводные'!$B$239="Да",MeanMinAge13+'19_Расчет_аналитики'!AM560*SUMIF(ThresholdAge13,"&lt;"&amp;'19_Расчет_аналитики'!AM560,WeightedRevAge13)-SUMIF(ThresholdAge13,"&lt;"&amp;'19_Расчет_аналитики'!AM560,WeightedMinAge13),MAX(CapacityAge13*'01_Вводные'!$B$218*'19_Расчет_аналитики'!AM560,MeanMinAge13)))</f>
        <v/>
      </c>
      <c r="AN504">
        <f>IF(OR(('19_Расчет_аналитики'!AN420-'19_Расчет_аналитики'!AN448)=0,13&lt;='01_Вводные'!$B$297),0,('19_Расчет_аналитики'!AN420-'19_Расчет_аналитики'!AN448)*IF('01_Вводные'!$B$239="Да",MeanMinAge13+'19_Расчет_аналитики'!AN560*SUMIF(ThresholdAge13,"&lt;"&amp;'19_Расчет_аналитики'!AN560,WeightedRevAge13)-SUMIF(ThresholdAge13,"&lt;"&amp;'19_Расчет_аналитики'!AN560,WeightedMinAge13),MAX(CapacityAge13*'01_Вводные'!$B$218*'19_Расчет_аналитики'!AN560,MeanMinAge13)))</f>
        <v/>
      </c>
      <c r="AO504">
        <f>IF(OR(('19_Расчет_аналитики'!AO420-'19_Расчет_аналитики'!AO448)=0,13&lt;='01_Вводные'!$B$297),0,('19_Расчет_аналитики'!AO420-'19_Расчет_аналитики'!AO448)*IF('01_Вводные'!$B$239="Да",MeanMinAge13+'19_Расчет_аналитики'!AO560*SUMIF(ThresholdAge13,"&lt;"&amp;'19_Расчет_аналитики'!AO560,WeightedRevAge13)-SUMIF(ThresholdAge13,"&lt;"&amp;'19_Расчет_аналитики'!AO560,WeightedMinAge13),MAX(CapacityAge13*'01_Вводные'!$B$218*'19_Расчет_аналитики'!AO560,MeanMinAge13)))</f>
        <v/>
      </c>
      <c r="AP504">
        <f>IF(OR(('19_Расчет_аналитики'!AP420-'19_Расчет_аналитики'!AP448)=0,13&lt;='01_Вводные'!$B$297),0,('19_Расчет_аналитики'!AP420-'19_Расчет_аналитики'!AP448)*IF('01_Вводные'!$B$239="Да",MeanMinAge13+'19_Расчет_аналитики'!AP560*SUMIF(ThresholdAge13,"&lt;"&amp;'19_Расчет_аналитики'!AP560,WeightedRevAge13)-SUMIF(ThresholdAge13,"&lt;"&amp;'19_Расчет_аналитики'!AP560,WeightedMinAge13),MAX(CapacityAge13*'01_Вводные'!$B$218*'19_Расчет_аналитики'!AP560,MeanMinAge13)))</f>
        <v/>
      </c>
      <c r="AQ504">
        <f>IF(OR(('19_Расчет_аналитики'!AQ420-'19_Расчет_аналитики'!AQ448)=0,13&lt;='01_Вводные'!$B$297),0,('19_Расчет_аналитики'!AQ420-'19_Расчет_аналитики'!AQ448)*IF('01_Вводные'!$B$239="Да",MeanMinAge13+'19_Расчет_аналитики'!AQ560*SUMIF(ThresholdAge13,"&lt;"&amp;'19_Расчет_аналитики'!AQ560,WeightedRevAge13)-SUMIF(ThresholdAge13,"&lt;"&amp;'19_Расчет_аналитики'!AQ560,WeightedMinAge13),MAX(CapacityAge13*'01_Вводные'!$B$218*'19_Расчет_аналитики'!AQ560,MeanMinAge13)))</f>
        <v/>
      </c>
      <c r="AR504">
        <f>IF(OR(('19_Расчет_аналитики'!AR420-'19_Расчет_аналитики'!AR448)=0,13&lt;='01_Вводные'!$B$297),0,('19_Расчет_аналитики'!AR420-'19_Расчет_аналитики'!AR448)*IF('01_Вводные'!$B$239="Да",MeanMinAge13+'19_Расчет_аналитики'!AR560*SUMIF(ThresholdAge13,"&lt;"&amp;'19_Расчет_аналитики'!AR560,WeightedRevAge13)-SUMIF(ThresholdAge13,"&lt;"&amp;'19_Расчет_аналитики'!AR560,WeightedMinAge13),MAX(CapacityAge13*'01_Вводные'!$B$218*'19_Расчет_аналитики'!AR560,MeanMinAge13)))</f>
        <v/>
      </c>
      <c r="AS504">
        <f>IF(OR(('19_Расчет_аналитики'!AS420-'19_Расчет_аналитики'!AS448)=0,13&lt;='01_Вводные'!$B$297),0,('19_Расчет_аналитики'!AS420-'19_Расчет_аналитики'!AS448)*IF('01_Вводные'!$B$239="Да",MeanMinAge13+'19_Расчет_аналитики'!AS560*SUMIF(ThresholdAge13,"&lt;"&amp;'19_Расчет_аналитики'!AS560,WeightedRevAge13)-SUMIF(ThresholdAge13,"&lt;"&amp;'19_Расчет_аналитики'!AS560,WeightedMinAge13),MAX(CapacityAge13*'01_Вводные'!$B$218*'19_Расчет_аналитики'!AS560,MeanMinAge13)))</f>
        <v/>
      </c>
      <c r="AT504">
        <f>IF(OR(('19_Расчет_аналитики'!AT420-'19_Расчет_аналитики'!AT448)=0,13&lt;='01_Вводные'!$B$297),0,('19_Расчет_аналитики'!AT420-'19_Расчет_аналитики'!AT448)*IF('01_Вводные'!$B$239="Да",MeanMinAge13+'19_Расчет_аналитики'!AT560*SUMIF(ThresholdAge13,"&lt;"&amp;'19_Расчет_аналитики'!AT560,WeightedRevAge13)-SUMIF(ThresholdAge13,"&lt;"&amp;'19_Расчет_аналитики'!AT560,WeightedMinAge13),MAX(CapacityAge13*'01_Вводные'!$B$218*'19_Расчет_аналитики'!AT560,MeanMinAge13)))</f>
        <v/>
      </c>
      <c r="AU504">
        <f>IF(OR(('19_Расчет_аналитики'!AU420-'19_Расчет_аналитики'!AU448)=0,13&lt;='01_Вводные'!$B$297),0,('19_Расчет_аналитики'!AU420-'19_Расчет_аналитики'!AU448)*IF('01_Вводные'!$B$239="Да",MeanMinAge13+'19_Расчет_аналитики'!AU560*SUMIF(ThresholdAge13,"&lt;"&amp;'19_Расчет_аналитики'!AU560,WeightedRevAge13)-SUMIF(ThresholdAge13,"&lt;"&amp;'19_Расчет_аналитики'!AU560,WeightedMinAge13),MAX(CapacityAge13*'01_Вводные'!$B$218*'19_Расчет_аналитики'!AU560,MeanMinAge13)))</f>
        <v/>
      </c>
      <c r="AV504">
        <f>IF(OR(('19_Расчет_аналитики'!AV420-'19_Расчет_аналитики'!AV448)=0,13&lt;='01_Вводные'!$B$297),0,('19_Расчет_аналитики'!AV420-'19_Расчет_аналитики'!AV448)*IF('01_Вводные'!$B$239="Да",MeanMinAge13+'19_Расчет_аналитики'!AV560*SUMIF(ThresholdAge13,"&lt;"&amp;'19_Расчет_аналитики'!AV560,WeightedRevAge13)-SUMIF(ThresholdAge13,"&lt;"&amp;'19_Расчет_аналитики'!AV560,WeightedMinAge13),MAX(CapacityAge13*'01_Вводные'!$B$218*'19_Расчет_аналитики'!AV560,MeanMinAge13)))</f>
        <v/>
      </c>
      <c r="AW504">
        <f>IF(OR(('19_Расчет_аналитики'!AW420-'19_Расчет_аналитики'!AW448)=0,13&lt;='01_Вводные'!$B$297),0,('19_Расчет_аналитики'!AW420-'19_Расчет_аналитики'!AW448)*IF('01_Вводные'!$B$239="Да",MeanMinAge13+'19_Расчет_аналитики'!AW560*SUMIF(ThresholdAge13,"&lt;"&amp;'19_Расчет_аналитики'!AW560,WeightedRevAge13)-SUMIF(ThresholdAge13,"&lt;"&amp;'19_Расчет_аналитики'!AW560,WeightedMinAge13),MAX(CapacityAge13*'01_Вводные'!$B$218*'19_Расчет_аналитики'!AW560,MeanMinAge13)))</f>
        <v/>
      </c>
      <c r="AX504">
        <f>IF(OR(('19_Расчет_аналитики'!AX420-'19_Расчет_аналитики'!AX448)=0,13&lt;='01_Вводные'!$B$297),0,('19_Расчет_аналитики'!AX420-'19_Расчет_аналитики'!AX448)*IF('01_Вводные'!$B$239="Да",MeanMinAge13+'19_Расчет_аналитики'!AX560*SUMIF(ThresholdAge13,"&lt;"&amp;'19_Расчет_аналитики'!AX560,WeightedRevAge13)-SUMIF(ThresholdAge13,"&lt;"&amp;'19_Расчет_аналитики'!AX560,WeightedMinAge13),MAX(CapacityAge13*'01_Вводные'!$B$218*'19_Расчет_аналитики'!AX560,MeanMinAge13)))</f>
        <v/>
      </c>
      <c r="AY504">
        <f>IF(OR(('19_Расчет_аналитики'!AY420-'19_Расчет_аналитики'!AY448)=0,13&lt;='01_Вводные'!$B$297),0,('19_Расчет_аналитики'!AY420-'19_Расчет_аналитики'!AY448)*IF('01_Вводные'!$B$239="Да",MeanMinAge13+'19_Расчет_аналитики'!AY560*SUMIF(ThresholdAge13,"&lt;"&amp;'19_Расчет_аналитики'!AY560,WeightedRevAge13)-SUMIF(ThresholdAge13,"&lt;"&amp;'19_Расчет_аналитики'!AY560,WeightedMinAge13),MAX(CapacityAge13*'01_Вводные'!$B$218*'19_Расчет_аналитики'!AY560,MeanMinAge13)))</f>
        <v/>
      </c>
      <c r="AZ504">
        <f>IF(OR(('19_Расчет_аналитики'!AZ420-'19_Расчет_аналитики'!AZ448)=0,13&lt;='01_Вводные'!$B$297),0,('19_Расчет_аналитики'!AZ420-'19_Расчет_аналитики'!AZ448)*IF('01_Вводные'!$B$239="Да",MeanMinAge13+'19_Расчет_аналитики'!AZ560*SUMIF(ThresholdAge13,"&lt;"&amp;'19_Расчет_аналитики'!AZ560,WeightedRevAge13)-SUMIF(ThresholdAge13,"&lt;"&amp;'19_Расчет_аналитики'!AZ560,WeightedMinAge13),MAX(CapacityAge13*'01_Вводные'!$B$218*'19_Расчет_аналитики'!AZ560,MeanMinAge13)))</f>
        <v/>
      </c>
      <c r="BA504">
        <f>IF(OR(('19_Расчет_аналитики'!BA420-'19_Расчет_аналитики'!BA448)=0,13&lt;='01_Вводные'!$B$297),0,('19_Расчет_аналитики'!BA420-'19_Расчет_аналитики'!BA448)*IF('01_Вводные'!$B$239="Да",MeanMinAge13+'19_Расчет_аналитики'!BA560*SUMIF(ThresholdAge13,"&lt;"&amp;'19_Расчет_аналитики'!BA560,WeightedRevAge13)-SUMIF(ThresholdAge13,"&lt;"&amp;'19_Расчет_аналитики'!BA560,WeightedMinAge13),MAX(CapacityAge13*'01_Вводные'!$B$218*'19_Расчет_аналитики'!BA560,MeanMinAge13)))</f>
        <v/>
      </c>
      <c r="BB504">
        <f>IF(OR(('19_Расчет_аналитики'!BB420-'19_Расчет_аналитики'!BB448)=0,13&lt;='01_Вводные'!$B$297),0,('19_Расчет_аналитики'!BB420-'19_Расчет_аналитики'!BB448)*IF('01_Вводные'!$B$239="Да",MeanMinAge13+'19_Расчет_аналитики'!BB560*SUMIF(ThresholdAge13,"&lt;"&amp;'19_Расчет_аналитики'!BB560,WeightedRevAge13)-SUMIF(ThresholdAge13,"&lt;"&amp;'19_Расчет_аналитики'!BB560,WeightedMinAge13),MAX(CapacityAge13*'01_Вводные'!$B$218*'19_Расчет_аналитики'!BB560,MeanMinAge13)))</f>
        <v/>
      </c>
      <c r="BC504">
        <f>IF(OR(('19_Расчет_аналитики'!BC420-'19_Расчет_аналитики'!BC448)=0,13&lt;='01_Вводные'!$B$297),0,('19_Расчет_аналитики'!BC420-'19_Расчет_аналитики'!BC448)*IF('01_Вводные'!$B$239="Да",MeanMinAge13+'19_Расчет_аналитики'!BC560*SUMIF(ThresholdAge13,"&lt;"&amp;'19_Расчет_аналитики'!BC560,WeightedRevAge13)-SUMIF(ThresholdAge13,"&lt;"&amp;'19_Расчет_аналитики'!BC560,WeightedMinAge13),MAX(CapacityAge13*'01_Вводные'!$B$218*'19_Расчет_аналитики'!BC560,MeanMinAge13)))</f>
        <v/>
      </c>
      <c r="BD504">
        <f>IF(OR(('19_Расчет_аналитики'!BD420-'19_Расчет_аналитики'!BD448)=0,13&lt;='01_Вводные'!$B$297),0,('19_Расчет_аналитики'!BD420-'19_Расчет_аналитики'!BD448)*IF('01_Вводные'!$B$239="Да",MeanMinAge13+'19_Расчет_аналитики'!BD560*SUMIF(ThresholdAge13,"&lt;"&amp;'19_Расчет_аналитики'!BD560,WeightedRevAge13)-SUMIF(ThresholdAge13,"&lt;"&amp;'19_Расчет_аналитики'!BD560,WeightedMinAge13),MAX(CapacityAge13*'01_Вводные'!$B$218*'19_Расчет_аналитики'!BD560,MeanMinAge13)))</f>
        <v/>
      </c>
      <c r="BE504">
        <f>IF(OR(('19_Расчет_аналитики'!BE420-'19_Расчет_аналитики'!BE448)=0,13&lt;='01_Вводные'!$B$297),0,('19_Расчет_аналитики'!BE420-'19_Расчет_аналитики'!BE448)*IF('01_Вводные'!$B$239="Да",MeanMinAge13+'19_Расчет_аналитики'!BE560*SUMIF(ThresholdAge13,"&lt;"&amp;'19_Расчет_аналитики'!BE560,WeightedRevAge13)-SUMIF(ThresholdAge13,"&lt;"&amp;'19_Расчет_аналитики'!BE560,WeightedMinAge13),MAX(CapacityAge13*'01_Вводные'!$B$218*'19_Расчет_аналитики'!BE560,MeanMinAge13)))</f>
        <v/>
      </c>
      <c r="BF504">
        <f>IF(OR(('19_Расчет_аналитики'!BF420-'19_Расчет_аналитики'!BF448)=0,13&lt;='01_Вводные'!$B$297),0,('19_Расчет_аналитики'!BF420-'19_Расчет_аналитики'!BF448)*IF('01_Вводные'!$B$239="Да",MeanMinAge13+'19_Расчет_аналитики'!BF560*SUMIF(ThresholdAge13,"&lt;"&amp;'19_Расчет_аналитики'!BF560,WeightedRevAge13)-SUMIF(ThresholdAge13,"&lt;"&amp;'19_Расчет_аналитики'!BF560,WeightedMinAge13),MAX(CapacityAge13*'01_Вводные'!$B$218*'19_Расчет_аналитики'!BF560,MeanMinAge13)))</f>
        <v/>
      </c>
      <c r="BG504">
        <f>IF(OR(('19_Расчет_аналитики'!BG420-'19_Расчет_аналитики'!BG448)=0,13&lt;='01_Вводные'!$B$297),0,('19_Расчет_аналитики'!BG420-'19_Расчет_аналитики'!BG448)*IF('01_Вводные'!$B$239="Да",MeanMinAge13+'19_Расчет_аналитики'!BG560*SUMIF(ThresholdAge13,"&lt;"&amp;'19_Расчет_аналитики'!BG560,WeightedRevAge13)-SUMIF(ThresholdAge13,"&lt;"&amp;'19_Расчет_аналитики'!BG560,WeightedMinAge13),MAX(CapacityAge13*'01_Вводные'!$B$218*'19_Расчет_аналитики'!BG560,MeanMinAge13)))</f>
        <v/>
      </c>
      <c r="BH504">
        <f>IF(OR(('19_Расчет_аналитики'!BH420-'19_Расчет_аналитики'!BH448)=0,13&lt;='01_Вводные'!$B$297),0,('19_Расчет_аналитики'!BH420-'19_Расчет_аналитики'!BH448)*IF('01_Вводные'!$B$239="Да",MeanMinAge13+'19_Расчет_аналитики'!BH560*SUMIF(ThresholdAge13,"&lt;"&amp;'19_Расчет_аналитики'!BH560,WeightedRevAge13)-SUMIF(ThresholdAge13,"&lt;"&amp;'19_Расчет_аналитики'!BH560,WeightedMinAge13),MAX(CapacityAge13*'01_Вводные'!$B$218*'19_Расчет_аналитики'!BH560,MeanMinAge13)))</f>
        <v/>
      </c>
      <c r="BI504">
        <f>IF(OR(('19_Расчет_аналитики'!BI420-'19_Расчет_аналитики'!BI448)=0,13&lt;='01_Вводные'!$B$297),0,('19_Расчет_аналитики'!BI420-'19_Расчет_аналитики'!BI448)*IF('01_Вводные'!$B$239="Да",MeanMinAge13+'19_Расчет_аналитики'!BI560*SUMIF(ThresholdAge13,"&lt;"&amp;'19_Расчет_аналитики'!BI560,WeightedRevAge13)-SUMIF(ThresholdAge13,"&lt;"&amp;'19_Расчет_аналитики'!BI560,WeightedMinAge13),MAX(CapacityAge13*'01_Вводные'!$B$218*'19_Расчет_аналитики'!BI560,MeanMinAge13)))</f>
        <v/>
      </c>
      <c r="BJ504">
        <f>IF(OR(('19_Расчет_аналитики'!BJ420-'19_Расчет_аналитики'!BJ448)=0,13&lt;='01_Вводные'!$B$297),0,('19_Расчет_аналитики'!BJ420-'19_Расчет_аналитики'!BJ448)*IF('01_Вводные'!$B$239="Да",MeanMinAge13+'19_Расчет_аналитики'!BJ560*SUMIF(ThresholdAge13,"&lt;"&amp;'19_Расчет_аналитики'!BJ560,WeightedRevAge13)-SUMIF(ThresholdAge13,"&lt;"&amp;'19_Расчет_аналитики'!BJ560,WeightedMinAge13),MAX(CapacityAge13*'01_Вводные'!$B$218*'19_Расчет_аналитики'!BJ560,MeanMinAge13)))</f>
        <v/>
      </c>
      <c r="BK504">
        <f>IF(OR(('19_Расчет_аналитики'!BK420-'19_Расчет_аналитики'!BK448)=0,13&lt;='01_Вводные'!$B$297),0,('19_Расчет_аналитики'!BK420-'19_Расчет_аналитики'!BK448)*IF('01_Вводные'!$B$239="Да",MeanMinAge13+'19_Расчет_аналитики'!BK560*SUMIF(ThresholdAge13,"&lt;"&amp;'19_Расчет_аналитики'!BK560,WeightedRevAge13)-SUMIF(ThresholdAge13,"&lt;"&amp;'19_Расчет_аналитики'!BK560,WeightedMinAge13),MAX(CapacityAge13*'01_Вводные'!$B$218*'19_Расчет_аналитики'!BK560,MeanMinAge13)))</f>
        <v/>
      </c>
      <c r="BL504">
        <f>IF(OR(('19_Расчет_аналитики'!BL420-'19_Расчет_аналитики'!BL448)=0,13&lt;='01_Вводные'!$B$297),0,('19_Расчет_аналитики'!BL420-'19_Расчет_аналитики'!BL448)*IF('01_Вводные'!$B$239="Да",MeanMinAge13+'19_Расчет_аналитики'!BL560*SUMIF(ThresholdAge13,"&lt;"&amp;'19_Расчет_аналитики'!BL560,WeightedRevAge13)-SUMIF(ThresholdAge13,"&lt;"&amp;'19_Расчет_аналитики'!BL560,WeightedMinAge13),MAX(CapacityAge13*'01_Вводные'!$B$218*'19_Расчет_аналитики'!BL560,MeanMinAge13)))</f>
        <v/>
      </c>
      <c r="BM504">
        <f>IF(OR(('19_Расчет_аналитики'!BM420-'19_Расчет_аналитики'!BM448)=0,13&lt;='01_Вводные'!$B$297),0,('19_Расчет_аналитики'!BM420-'19_Расчет_аналитики'!BM448)*IF('01_Вводные'!$B$239="Да",MeanMinAge13+'19_Расчет_аналитики'!BM560*SUMIF(ThresholdAge13,"&lt;"&amp;'19_Расчет_аналитики'!BM560,WeightedRevAge13)-SUMIF(ThresholdAge13,"&lt;"&amp;'19_Расчет_аналитики'!BM560,WeightedMinAge13),MAX(CapacityAge13*'01_Вводные'!$B$218*'19_Расчет_аналитики'!BM560,MeanMinAge13)))</f>
        <v/>
      </c>
      <c r="BN504">
        <f>IF(OR(('19_Расчет_аналитики'!BN420-'19_Расчет_аналитики'!BN448)=0,13&lt;='01_Вводные'!$B$297),0,('19_Расчет_аналитики'!BN420-'19_Расчет_аналитики'!BN448)*IF('01_Вводные'!$B$239="Да",MeanMinAge13+'19_Расчет_аналитики'!BN560*SUMIF(ThresholdAge13,"&lt;"&amp;'19_Расчет_аналитики'!BN560,WeightedRevAge13)-SUMIF(ThresholdAge13,"&lt;"&amp;'19_Расчет_аналитики'!BN560,WeightedMinAge13),MAX(CapacityAge13*'01_Вводные'!$B$218*'19_Расчет_аналитики'!BN560,MeanMinAge13)))</f>
        <v/>
      </c>
      <c r="BO504">
        <f>IF(OR(('19_Расчет_аналитики'!BO420-'19_Расчет_аналитики'!BO448)=0,13&lt;='01_Вводные'!$B$297),0,('19_Расчет_аналитики'!BO420-'19_Расчет_аналитики'!BO448)*IF('01_Вводные'!$B$239="Да",MeanMinAge13+'19_Расчет_аналитики'!BO560*SUMIF(ThresholdAge13,"&lt;"&amp;'19_Расчет_аналитики'!BO560,WeightedRevAge13)-SUMIF(ThresholdAge13,"&lt;"&amp;'19_Расчет_аналитики'!BO560,WeightedMinAge13),MAX(CapacityAge13*'01_Вводные'!$B$218*'19_Расчет_аналитики'!BO560,MeanMinAge13)))</f>
        <v/>
      </c>
    </row>
    <row r="505">
      <c r="B505">
        <f>IF(OR(('06_Сеть_и_дети'!B66-'06_Сеть_и_дети'!B94)=0,14&lt;='01_Вводные'!$B$297),0,('06_Сеть_и_дети'!B66-'06_Сеть_и_дети'!B94)*IF('01_Вводные'!$B$239="Да",MeanMinAge14+'19_Расчет_аналитики'!B560*SUMIF(ThresholdAge14,"&lt;"&amp;'19_Расчет_аналитики'!B560,WeightedRevAge14)-SUMIF(ThresholdAge14,"&lt;"&amp;'19_Расчет_аналитики'!B560,WeightedMinAge14),MAX(CapacityAge14*'01_Вводные'!$B$218*'19_Расчет_аналитики'!B560,MeanMinAge14)))</f>
        <v/>
      </c>
      <c r="C505">
        <f>IF(OR(('06_Сеть_и_дети'!C66-'06_Сеть_и_дети'!C94)=0,14&lt;='01_Вводные'!$B$297),0,('06_Сеть_и_дети'!C66-'06_Сеть_и_дети'!C94)*IF('01_Вводные'!$B$239="Да",MeanMinAge14+'19_Расчет_аналитики'!C560*SUMIF(ThresholdAge14,"&lt;"&amp;'19_Расчет_аналитики'!C560,WeightedRevAge14)-SUMIF(ThresholdAge14,"&lt;"&amp;'19_Расчет_аналитики'!C560,WeightedMinAge14),MAX(CapacityAge14*'01_Вводные'!$B$218*'19_Расчет_аналитики'!C560,MeanMinAge14)))</f>
        <v/>
      </c>
      <c r="D505">
        <f>IF(OR(('06_Сеть_и_дети'!D66-'06_Сеть_и_дети'!D94)=0,14&lt;='01_Вводные'!$B$297),0,('06_Сеть_и_дети'!D66-'06_Сеть_и_дети'!D94)*IF('01_Вводные'!$B$239="Да",MeanMinAge14+'19_Расчет_аналитики'!D560*SUMIF(ThresholdAge14,"&lt;"&amp;'19_Расчет_аналитики'!D560,WeightedRevAge14)-SUMIF(ThresholdAge14,"&lt;"&amp;'19_Расчет_аналитики'!D560,WeightedMinAge14),MAX(CapacityAge14*'01_Вводные'!$B$218*'19_Расчет_аналитики'!D560,MeanMinAge14)))</f>
        <v/>
      </c>
      <c r="E505">
        <f>IF(OR(('06_Сеть_и_дети'!E66-'06_Сеть_и_дети'!E94)=0,14&lt;='01_Вводные'!$B$297),0,('06_Сеть_и_дети'!E66-'06_Сеть_и_дети'!E94)*IF('01_Вводные'!$B$239="Да",MeanMinAge14+'19_Расчет_аналитики'!E560*SUMIF(ThresholdAge14,"&lt;"&amp;'19_Расчет_аналитики'!E560,WeightedRevAge14)-SUMIF(ThresholdAge14,"&lt;"&amp;'19_Расчет_аналитики'!E560,WeightedMinAge14),MAX(CapacityAge14*'01_Вводные'!$B$218*'19_Расчет_аналитики'!E560,MeanMinAge14)))</f>
        <v/>
      </c>
      <c r="F505">
        <f>IF(OR(('06_Сеть_и_дети'!F66-'06_Сеть_и_дети'!F94)=0,14&lt;='01_Вводные'!$B$297),0,('06_Сеть_и_дети'!F66-'06_Сеть_и_дети'!F94)*IF('01_Вводные'!$B$239="Да",MeanMinAge14+'19_Расчет_аналитики'!F560*SUMIF(ThresholdAge14,"&lt;"&amp;'19_Расчет_аналитики'!F560,WeightedRevAge14)-SUMIF(ThresholdAge14,"&lt;"&amp;'19_Расчет_аналитики'!F560,WeightedMinAge14),MAX(CapacityAge14*'01_Вводные'!$B$218*'19_Расчет_аналитики'!F560,MeanMinAge14)))</f>
        <v/>
      </c>
      <c r="G505">
        <f>IF(OR(('06_Сеть_и_дети'!G66-'06_Сеть_и_дети'!G94)=0,14&lt;='01_Вводные'!$B$297),0,('06_Сеть_и_дети'!G66-'06_Сеть_и_дети'!G94)*IF('01_Вводные'!$B$239="Да",MeanMinAge14+'19_Расчет_аналитики'!G560*SUMIF(ThresholdAge14,"&lt;"&amp;'19_Расчет_аналитики'!G560,WeightedRevAge14)-SUMIF(ThresholdAge14,"&lt;"&amp;'19_Расчет_аналитики'!G560,WeightedMinAge14),MAX(CapacityAge14*'01_Вводные'!$B$218*'19_Расчет_аналитики'!G560,MeanMinAge14)))</f>
        <v/>
      </c>
      <c r="H505">
        <f>IF(OR(('06_Сеть_и_дети'!H66-'06_Сеть_и_дети'!H94)=0,14&lt;='01_Вводные'!$B$297),0,('06_Сеть_и_дети'!H66-'06_Сеть_и_дети'!H94)*IF('01_Вводные'!$B$239="Да",MeanMinAge14+'19_Расчет_аналитики'!H560*SUMIF(ThresholdAge14,"&lt;"&amp;'19_Расчет_аналитики'!H560,WeightedRevAge14)-SUMIF(ThresholdAge14,"&lt;"&amp;'19_Расчет_аналитики'!H560,WeightedMinAge14),MAX(CapacityAge14*'01_Вводные'!$B$218*'19_Расчет_аналитики'!H560,MeanMinAge14)))</f>
        <v/>
      </c>
      <c r="I505">
        <f>IF(OR(('06_Сеть_и_дети'!I66-'06_Сеть_и_дети'!I94)=0,14&lt;='01_Вводные'!$B$297),0,('06_Сеть_и_дети'!I66-'06_Сеть_и_дети'!I94)*IF('01_Вводные'!$B$239="Да",MeanMinAge14+'19_Расчет_аналитики'!I560*SUMIF(ThresholdAge14,"&lt;"&amp;'19_Расчет_аналитики'!I560,WeightedRevAge14)-SUMIF(ThresholdAge14,"&lt;"&amp;'19_Расчет_аналитики'!I560,WeightedMinAge14),MAX(CapacityAge14*'01_Вводные'!$B$218*'19_Расчет_аналитики'!I560,MeanMinAge14)))</f>
        <v/>
      </c>
      <c r="J505">
        <f>IF(OR(('06_Сеть_и_дети'!J66-'06_Сеть_и_дети'!J94)=0,14&lt;='01_Вводные'!$B$297),0,('06_Сеть_и_дети'!J66-'06_Сеть_и_дети'!J94)*IF('01_Вводные'!$B$239="Да",MeanMinAge14+'19_Расчет_аналитики'!J560*SUMIF(ThresholdAge14,"&lt;"&amp;'19_Расчет_аналитики'!J560,WeightedRevAge14)-SUMIF(ThresholdAge14,"&lt;"&amp;'19_Расчет_аналитики'!J560,WeightedMinAge14),MAX(CapacityAge14*'01_Вводные'!$B$218*'19_Расчет_аналитики'!J560,MeanMinAge14)))</f>
        <v/>
      </c>
      <c r="K505">
        <f>IF(OR(('06_Сеть_и_дети'!K66-'06_Сеть_и_дети'!K94)=0,14&lt;='01_Вводные'!$B$297),0,('06_Сеть_и_дети'!K66-'06_Сеть_и_дети'!K94)*IF('01_Вводные'!$B$239="Да",MeanMinAge14+'19_Расчет_аналитики'!K560*SUMIF(ThresholdAge14,"&lt;"&amp;'19_Расчет_аналитики'!K560,WeightedRevAge14)-SUMIF(ThresholdAge14,"&lt;"&amp;'19_Расчет_аналитики'!K560,WeightedMinAge14),MAX(CapacityAge14*'01_Вводные'!$B$218*'19_Расчет_аналитики'!K560,MeanMinAge14)))</f>
        <v/>
      </c>
      <c r="L505">
        <f>IF(OR(('06_Сеть_и_дети'!L66-'06_Сеть_и_дети'!L94)=0,14&lt;='01_Вводные'!$B$297),0,('06_Сеть_и_дети'!L66-'06_Сеть_и_дети'!L94)*IF('01_Вводные'!$B$239="Да",MeanMinAge14+'19_Расчет_аналитики'!L560*SUMIF(ThresholdAge14,"&lt;"&amp;'19_Расчет_аналитики'!L560,WeightedRevAge14)-SUMIF(ThresholdAge14,"&lt;"&amp;'19_Расчет_аналитики'!L560,WeightedMinAge14),MAX(CapacityAge14*'01_Вводные'!$B$218*'19_Расчет_аналитики'!L560,MeanMinAge14)))</f>
        <v/>
      </c>
      <c r="M505">
        <f>IF(OR(('06_Сеть_и_дети'!M66-'06_Сеть_и_дети'!M94)=0,14&lt;='01_Вводные'!$B$297),0,('06_Сеть_и_дети'!M66-'06_Сеть_и_дети'!M94)*IF('01_Вводные'!$B$239="Да",MeanMinAge14+'19_Расчет_аналитики'!M560*SUMIF(ThresholdAge14,"&lt;"&amp;'19_Расчет_аналитики'!M560,WeightedRevAge14)-SUMIF(ThresholdAge14,"&lt;"&amp;'19_Расчет_аналитики'!M560,WeightedMinAge14),MAX(CapacityAge14*'01_Вводные'!$B$218*'19_Расчет_аналитики'!M560,MeanMinAge14)))</f>
        <v/>
      </c>
      <c r="N505">
        <f>IF(OR(('06_Сеть_и_дети'!N66-'06_Сеть_и_дети'!N94)=0,14&lt;='01_Вводные'!$B$297),0,('06_Сеть_и_дети'!N66-'06_Сеть_и_дети'!N94)*IF('01_Вводные'!$B$239="Да",MeanMinAge14+'19_Расчет_аналитики'!N560*SUMIF(ThresholdAge14,"&lt;"&amp;'19_Расчет_аналитики'!N560,WeightedRevAge14)-SUMIF(ThresholdAge14,"&lt;"&amp;'19_Расчет_аналитики'!N560,WeightedMinAge14),MAX(CapacityAge14*'01_Вводные'!$B$218*'19_Расчет_аналитики'!N560,MeanMinAge14)))</f>
        <v/>
      </c>
      <c r="O505">
        <f>IF(OR(('19_Расчет_аналитики'!O421-'19_Расчет_аналитики'!O449)=0,14&lt;='01_Вводные'!$B$297),0,('19_Расчет_аналитики'!O421-'19_Расчет_аналитики'!O449)*IF('01_Вводные'!$B$239="Да",MeanMinAge14+'19_Расчет_аналитики'!O560*SUMIF(ThresholdAge14,"&lt;"&amp;'19_Расчет_аналитики'!O560,WeightedRevAge14)-SUMIF(ThresholdAge14,"&lt;"&amp;'19_Расчет_аналитики'!O560,WeightedMinAge14),MAX(CapacityAge14*'01_Вводные'!$B$218*'19_Расчет_аналитики'!O560,MeanMinAge14)))</f>
        <v/>
      </c>
      <c r="P505">
        <f>IF(OR(('19_Расчет_аналитики'!P421-'19_Расчет_аналитики'!P449)=0,14&lt;='01_Вводные'!$B$297),0,('19_Расчет_аналитики'!P421-'19_Расчет_аналитики'!P449)*IF('01_Вводные'!$B$239="Да",MeanMinAge14+'19_Расчет_аналитики'!P560*SUMIF(ThresholdAge14,"&lt;"&amp;'19_Расчет_аналитики'!P560,WeightedRevAge14)-SUMIF(ThresholdAge14,"&lt;"&amp;'19_Расчет_аналитики'!P560,WeightedMinAge14),MAX(CapacityAge14*'01_Вводные'!$B$218*'19_Расчет_аналитики'!P560,MeanMinAge14)))</f>
        <v/>
      </c>
      <c r="Q505">
        <f>IF(OR(('19_Расчет_аналитики'!Q421-'19_Расчет_аналитики'!Q449)=0,14&lt;='01_Вводные'!$B$297),0,('19_Расчет_аналитики'!Q421-'19_Расчет_аналитики'!Q449)*IF('01_Вводные'!$B$239="Да",MeanMinAge14+'19_Расчет_аналитики'!Q560*SUMIF(ThresholdAge14,"&lt;"&amp;'19_Расчет_аналитики'!Q560,WeightedRevAge14)-SUMIF(ThresholdAge14,"&lt;"&amp;'19_Расчет_аналитики'!Q560,WeightedMinAge14),MAX(CapacityAge14*'01_Вводные'!$B$218*'19_Расчет_аналитики'!Q560,MeanMinAge14)))</f>
        <v/>
      </c>
      <c r="R505">
        <f>IF(OR(('19_Расчет_аналитики'!R421-'19_Расчет_аналитики'!R449)=0,14&lt;='01_Вводные'!$B$297),0,('19_Расчет_аналитики'!R421-'19_Расчет_аналитики'!R449)*IF('01_Вводные'!$B$239="Да",MeanMinAge14+'19_Расчет_аналитики'!R560*SUMIF(ThresholdAge14,"&lt;"&amp;'19_Расчет_аналитики'!R560,WeightedRevAge14)-SUMIF(ThresholdAge14,"&lt;"&amp;'19_Расчет_аналитики'!R560,WeightedMinAge14),MAX(CapacityAge14*'01_Вводные'!$B$218*'19_Расчет_аналитики'!R560,MeanMinAge14)))</f>
        <v/>
      </c>
      <c r="S505">
        <f>IF(OR(('19_Расчет_аналитики'!S421-'19_Расчет_аналитики'!S449)=0,14&lt;='01_Вводные'!$B$297),0,('19_Расчет_аналитики'!S421-'19_Расчет_аналитики'!S449)*IF('01_Вводные'!$B$239="Да",MeanMinAge14+'19_Расчет_аналитики'!S560*SUMIF(ThresholdAge14,"&lt;"&amp;'19_Расчет_аналитики'!S560,WeightedRevAge14)-SUMIF(ThresholdAge14,"&lt;"&amp;'19_Расчет_аналитики'!S560,WeightedMinAge14),MAX(CapacityAge14*'01_Вводные'!$B$218*'19_Расчет_аналитики'!S560,MeanMinAge14)))</f>
        <v/>
      </c>
      <c r="T505">
        <f>IF(OR(('19_Расчет_аналитики'!T421-'19_Расчет_аналитики'!T449)=0,14&lt;='01_Вводные'!$B$297),0,('19_Расчет_аналитики'!T421-'19_Расчет_аналитики'!T449)*IF('01_Вводные'!$B$239="Да",MeanMinAge14+'19_Расчет_аналитики'!T560*SUMIF(ThresholdAge14,"&lt;"&amp;'19_Расчет_аналитики'!T560,WeightedRevAge14)-SUMIF(ThresholdAge14,"&lt;"&amp;'19_Расчет_аналитики'!T560,WeightedMinAge14),MAX(CapacityAge14*'01_Вводные'!$B$218*'19_Расчет_аналитики'!T560,MeanMinAge14)))</f>
        <v/>
      </c>
      <c r="U505">
        <f>IF(OR(('19_Расчет_аналитики'!U421-'19_Расчет_аналитики'!U449)=0,14&lt;='01_Вводные'!$B$297),0,('19_Расчет_аналитики'!U421-'19_Расчет_аналитики'!U449)*IF('01_Вводные'!$B$239="Да",MeanMinAge14+'19_Расчет_аналитики'!U560*SUMIF(ThresholdAge14,"&lt;"&amp;'19_Расчет_аналитики'!U560,WeightedRevAge14)-SUMIF(ThresholdAge14,"&lt;"&amp;'19_Расчет_аналитики'!U560,WeightedMinAge14),MAX(CapacityAge14*'01_Вводные'!$B$218*'19_Расчет_аналитики'!U560,MeanMinAge14)))</f>
        <v/>
      </c>
      <c r="V505">
        <f>IF(OR(('19_Расчет_аналитики'!V421-'19_Расчет_аналитики'!V449)=0,14&lt;='01_Вводные'!$B$297),0,('19_Расчет_аналитики'!V421-'19_Расчет_аналитики'!V449)*IF('01_Вводные'!$B$239="Да",MeanMinAge14+'19_Расчет_аналитики'!V560*SUMIF(ThresholdAge14,"&lt;"&amp;'19_Расчет_аналитики'!V560,WeightedRevAge14)-SUMIF(ThresholdAge14,"&lt;"&amp;'19_Расчет_аналитики'!V560,WeightedMinAge14),MAX(CapacityAge14*'01_Вводные'!$B$218*'19_Расчет_аналитики'!V560,MeanMinAge14)))</f>
        <v/>
      </c>
      <c r="W505">
        <f>IF(OR(('19_Расчет_аналитики'!W421-'19_Расчет_аналитики'!W449)=0,14&lt;='01_Вводные'!$B$297),0,('19_Расчет_аналитики'!W421-'19_Расчет_аналитики'!W449)*IF('01_Вводные'!$B$239="Да",MeanMinAge14+'19_Расчет_аналитики'!W560*SUMIF(ThresholdAge14,"&lt;"&amp;'19_Расчет_аналитики'!W560,WeightedRevAge14)-SUMIF(ThresholdAge14,"&lt;"&amp;'19_Расчет_аналитики'!W560,WeightedMinAge14),MAX(CapacityAge14*'01_Вводные'!$B$218*'19_Расчет_аналитики'!W560,MeanMinAge14)))</f>
        <v/>
      </c>
      <c r="X505">
        <f>IF(OR(('19_Расчет_аналитики'!X421-'19_Расчет_аналитики'!X449)=0,14&lt;='01_Вводные'!$B$297),0,('19_Расчет_аналитики'!X421-'19_Расчет_аналитики'!X449)*IF('01_Вводные'!$B$239="Да",MeanMinAge14+'19_Расчет_аналитики'!X560*SUMIF(ThresholdAge14,"&lt;"&amp;'19_Расчет_аналитики'!X560,WeightedRevAge14)-SUMIF(ThresholdAge14,"&lt;"&amp;'19_Расчет_аналитики'!X560,WeightedMinAge14),MAX(CapacityAge14*'01_Вводные'!$B$218*'19_Расчет_аналитики'!X560,MeanMinAge14)))</f>
        <v/>
      </c>
      <c r="Y505">
        <f>IF(OR(('19_Расчет_аналитики'!Y421-'19_Расчет_аналитики'!Y449)=0,14&lt;='01_Вводные'!$B$297),0,('19_Расчет_аналитики'!Y421-'19_Расчет_аналитики'!Y449)*IF('01_Вводные'!$B$239="Да",MeanMinAge14+'19_Расчет_аналитики'!Y560*SUMIF(ThresholdAge14,"&lt;"&amp;'19_Расчет_аналитики'!Y560,WeightedRevAge14)-SUMIF(ThresholdAge14,"&lt;"&amp;'19_Расчет_аналитики'!Y560,WeightedMinAge14),MAX(CapacityAge14*'01_Вводные'!$B$218*'19_Расчет_аналитики'!Y560,MeanMinAge14)))</f>
        <v/>
      </c>
      <c r="Z505">
        <f>IF(OR(('19_Расчет_аналитики'!Z421-'19_Расчет_аналитики'!Z449)=0,14&lt;='01_Вводные'!$B$297),0,('19_Расчет_аналитики'!Z421-'19_Расчет_аналитики'!Z449)*IF('01_Вводные'!$B$239="Да",MeanMinAge14+'19_Расчет_аналитики'!Z560*SUMIF(ThresholdAge14,"&lt;"&amp;'19_Расчет_аналитики'!Z560,WeightedRevAge14)-SUMIF(ThresholdAge14,"&lt;"&amp;'19_Расчет_аналитики'!Z560,WeightedMinAge14),MAX(CapacityAge14*'01_Вводные'!$B$218*'19_Расчет_аналитики'!Z560,MeanMinAge14)))</f>
        <v/>
      </c>
      <c r="AA505">
        <f>IF(OR(('19_Расчет_аналитики'!AA421-'19_Расчет_аналитики'!AA449)=0,14&lt;='01_Вводные'!$B$297),0,('19_Расчет_аналитики'!AA421-'19_Расчет_аналитики'!AA449)*IF('01_Вводные'!$B$239="Да",MeanMinAge14+'19_Расчет_аналитики'!AA560*SUMIF(ThresholdAge14,"&lt;"&amp;'19_Расчет_аналитики'!AA560,WeightedRevAge14)-SUMIF(ThresholdAge14,"&lt;"&amp;'19_Расчет_аналитики'!AA560,WeightedMinAge14),MAX(CapacityAge14*'01_Вводные'!$B$218*'19_Расчет_аналитики'!AA560,MeanMinAge14)))</f>
        <v/>
      </c>
      <c r="AB505">
        <f>IF(OR(('19_Расчет_аналитики'!AB421-'19_Расчет_аналитики'!AB449)=0,14&lt;='01_Вводные'!$B$297),0,('19_Расчет_аналитики'!AB421-'19_Расчет_аналитики'!AB449)*IF('01_Вводные'!$B$239="Да",MeanMinAge14+'19_Расчет_аналитики'!AB560*SUMIF(ThresholdAge14,"&lt;"&amp;'19_Расчет_аналитики'!AB560,WeightedRevAge14)-SUMIF(ThresholdAge14,"&lt;"&amp;'19_Расчет_аналитики'!AB560,WeightedMinAge14),MAX(CapacityAge14*'01_Вводные'!$B$218*'19_Расчет_аналитики'!AB560,MeanMinAge14)))</f>
        <v/>
      </c>
      <c r="AC505">
        <f>IF(OR(('19_Расчет_аналитики'!AC421-'19_Расчет_аналитики'!AC449)=0,14&lt;='01_Вводные'!$B$297),0,('19_Расчет_аналитики'!AC421-'19_Расчет_аналитики'!AC449)*IF('01_Вводные'!$B$239="Да",MeanMinAge14+'19_Расчет_аналитики'!AC560*SUMIF(ThresholdAge14,"&lt;"&amp;'19_Расчет_аналитики'!AC560,WeightedRevAge14)-SUMIF(ThresholdAge14,"&lt;"&amp;'19_Расчет_аналитики'!AC560,WeightedMinAge14),MAX(CapacityAge14*'01_Вводные'!$B$218*'19_Расчет_аналитики'!AC560,MeanMinAge14)))</f>
        <v/>
      </c>
      <c r="AD505">
        <f>IF(OR(('19_Расчет_аналитики'!AD421-'19_Расчет_аналитики'!AD449)=0,14&lt;='01_Вводные'!$B$297),0,('19_Расчет_аналитики'!AD421-'19_Расчет_аналитики'!AD449)*IF('01_Вводные'!$B$239="Да",MeanMinAge14+'19_Расчет_аналитики'!AD560*SUMIF(ThresholdAge14,"&lt;"&amp;'19_Расчет_аналитики'!AD560,WeightedRevAge14)-SUMIF(ThresholdAge14,"&lt;"&amp;'19_Расчет_аналитики'!AD560,WeightedMinAge14),MAX(CapacityAge14*'01_Вводные'!$B$218*'19_Расчет_аналитики'!AD560,MeanMinAge14)))</f>
        <v/>
      </c>
      <c r="AE505">
        <f>IF(OR(('19_Расчет_аналитики'!AE421-'19_Расчет_аналитики'!AE449)=0,14&lt;='01_Вводные'!$B$297),0,('19_Расчет_аналитики'!AE421-'19_Расчет_аналитики'!AE449)*IF('01_Вводные'!$B$239="Да",MeanMinAge14+'19_Расчет_аналитики'!AE560*SUMIF(ThresholdAge14,"&lt;"&amp;'19_Расчет_аналитики'!AE560,WeightedRevAge14)-SUMIF(ThresholdAge14,"&lt;"&amp;'19_Расчет_аналитики'!AE560,WeightedMinAge14),MAX(CapacityAge14*'01_Вводные'!$B$218*'19_Расчет_аналитики'!AE560,MeanMinAge14)))</f>
        <v/>
      </c>
      <c r="AF505">
        <f>IF(OR(('19_Расчет_аналитики'!AF421-'19_Расчет_аналитики'!AF449)=0,14&lt;='01_Вводные'!$B$297),0,('19_Расчет_аналитики'!AF421-'19_Расчет_аналитики'!AF449)*IF('01_Вводные'!$B$239="Да",MeanMinAge14+'19_Расчет_аналитики'!AF560*SUMIF(ThresholdAge14,"&lt;"&amp;'19_Расчет_аналитики'!AF560,WeightedRevAge14)-SUMIF(ThresholdAge14,"&lt;"&amp;'19_Расчет_аналитики'!AF560,WeightedMinAge14),MAX(CapacityAge14*'01_Вводные'!$B$218*'19_Расчет_аналитики'!AF560,MeanMinAge14)))</f>
        <v/>
      </c>
      <c r="AG505">
        <f>IF(OR(('19_Расчет_аналитики'!AG421-'19_Расчет_аналитики'!AG449)=0,14&lt;='01_Вводные'!$B$297),0,('19_Расчет_аналитики'!AG421-'19_Расчет_аналитики'!AG449)*IF('01_Вводные'!$B$239="Да",MeanMinAge14+'19_Расчет_аналитики'!AG560*SUMIF(ThresholdAge14,"&lt;"&amp;'19_Расчет_аналитики'!AG560,WeightedRevAge14)-SUMIF(ThresholdAge14,"&lt;"&amp;'19_Расчет_аналитики'!AG560,WeightedMinAge14),MAX(CapacityAge14*'01_Вводные'!$B$218*'19_Расчет_аналитики'!AG560,MeanMinAge14)))</f>
        <v/>
      </c>
      <c r="AH505">
        <f>IF(OR(('19_Расчет_аналитики'!AH421-'19_Расчет_аналитики'!AH449)=0,14&lt;='01_Вводные'!$B$297),0,('19_Расчет_аналитики'!AH421-'19_Расчет_аналитики'!AH449)*IF('01_Вводные'!$B$239="Да",MeanMinAge14+'19_Расчет_аналитики'!AH560*SUMIF(ThresholdAge14,"&lt;"&amp;'19_Расчет_аналитики'!AH560,WeightedRevAge14)-SUMIF(ThresholdAge14,"&lt;"&amp;'19_Расчет_аналитики'!AH560,WeightedMinAge14),MAX(CapacityAge14*'01_Вводные'!$B$218*'19_Расчет_аналитики'!AH560,MeanMinAge14)))</f>
        <v/>
      </c>
      <c r="AI505">
        <f>IF(OR(('19_Расчет_аналитики'!AI421-'19_Расчет_аналитики'!AI449)=0,14&lt;='01_Вводные'!$B$297),0,('19_Расчет_аналитики'!AI421-'19_Расчет_аналитики'!AI449)*IF('01_Вводные'!$B$239="Да",MeanMinAge14+'19_Расчет_аналитики'!AI560*SUMIF(ThresholdAge14,"&lt;"&amp;'19_Расчет_аналитики'!AI560,WeightedRevAge14)-SUMIF(ThresholdAge14,"&lt;"&amp;'19_Расчет_аналитики'!AI560,WeightedMinAge14),MAX(CapacityAge14*'01_Вводные'!$B$218*'19_Расчет_аналитики'!AI560,MeanMinAge14)))</f>
        <v/>
      </c>
      <c r="AJ505">
        <f>IF(OR(('19_Расчет_аналитики'!AJ421-'19_Расчет_аналитики'!AJ449)=0,14&lt;='01_Вводные'!$B$297),0,('19_Расчет_аналитики'!AJ421-'19_Расчет_аналитики'!AJ449)*IF('01_Вводные'!$B$239="Да",MeanMinAge14+'19_Расчет_аналитики'!AJ560*SUMIF(ThresholdAge14,"&lt;"&amp;'19_Расчет_аналитики'!AJ560,WeightedRevAge14)-SUMIF(ThresholdAge14,"&lt;"&amp;'19_Расчет_аналитики'!AJ560,WeightedMinAge14),MAX(CapacityAge14*'01_Вводные'!$B$218*'19_Расчет_аналитики'!AJ560,MeanMinAge14)))</f>
        <v/>
      </c>
      <c r="AK505">
        <f>IF(OR(('19_Расчет_аналитики'!AK421-'19_Расчет_аналитики'!AK449)=0,14&lt;='01_Вводные'!$B$297),0,('19_Расчет_аналитики'!AK421-'19_Расчет_аналитики'!AK449)*IF('01_Вводные'!$B$239="Да",MeanMinAge14+'19_Расчет_аналитики'!AK560*SUMIF(ThresholdAge14,"&lt;"&amp;'19_Расчет_аналитики'!AK560,WeightedRevAge14)-SUMIF(ThresholdAge14,"&lt;"&amp;'19_Расчет_аналитики'!AK560,WeightedMinAge14),MAX(CapacityAge14*'01_Вводные'!$B$218*'19_Расчет_аналитики'!AK560,MeanMinAge14)))</f>
        <v/>
      </c>
      <c r="AL505">
        <f>IF(OR(('19_Расчет_аналитики'!AL421-'19_Расчет_аналитики'!AL449)=0,14&lt;='01_Вводные'!$B$297),0,('19_Расчет_аналитики'!AL421-'19_Расчет_аналитики'!AL449)*IF('01_Вводные'!$B$239="Да",MeanMinAge14+'19_Расчет_аналитики'!AL560*SUMIF(ThresholdAge14,"&lt;"&amp;'19_Расчет_аналитики'!AL560,WeightedRevAge14)-SUMIF(ThresholdAge14,"&lt;"&amp;'19_Расчет_аналитики'!AL560,WeightedMinAge14),MAX(CapacityAge14*'01_Вводные'!$B$218*'19_Расчет_аналитики'!AL560,MeanMinAge14)))</f>
        <v/>
      </c>
      <c r="AM505">
        <f>IF(OR(('19_Расчет_аналитики'!AM421-'19_Расчет_аналитики'!AM449)=0,14&lt;='01_Вводные'!$B$297),0,('19_Расчет_аналитики'!AM421-'19_Расчет_аналитики'!AM449)*IF('01_Вводные'!$B$239="Да",MeanMinAge14+'19_Расчет_аналитики'!AM560*SUMIF(ThresholdAge14,"&lt;"&amp;'19_Расчет_аналитики'!AM560,WeightedRevAge14)-SUMIF(ThresholdAge14,"&lt;"&amp;'19_Расчет_аналитики'!AM560,WeightedMinAge14),MAX(CapacityAge14*'01_Вводные'!$B$218*'19_Расчет_аналитики'!AM560,MeanMinAge14)))</f>
        <v/>
      </c>
      <c r="AN505">
        <f>IF(OR(('19_Расчет_аналитики'!AN421-'19_Расчет_аналитики'!AN449)=0,14&lt;='01_Вводные'!$B$297),0,('19_Расчет_аналитики'!AN421-'19_Расчет_аналитики'!AN449)*IF('01_Вводные'!$B$239="Да",MeanMinAge14+'19_Расчет_аналитики'!AN560*SUMIF(ThresholdAge14,"&lt;"&amp;'19_Расчет_аналитики'!AN560,WeightedRevAge14)-SUMIF(ThresholdAge14,"&lt;"&amp;'19_Расчет_аналитики'!AN560,WeightedMinAge14),MAX(CapacityAge14*'01_Вводные'!$B$218*'19_Расчет_аналитики'!AN560,MeanMinAge14)))</f>
        <v/>
      </c>
      <c r="AO505">
        <f>IF(OR(('19_Расчет_аналитики'!AO421-'19_Расчет_аналитики'!AO449)=0,14&lt;='01_Вводные'!$B$297),0,('19_Расчет_аналитики'!AO421-'19_Расчет_аналитики'!AO449)*IF('01_Вводные'!$B$239="Да",MeanMinAge14+'19_Расчет_аналитики'!AO560*SUMIF(ThresholdAge14,"&lt;"&amp;'19_Расчет_аналитики'!AO560,WeightedRevAge14)-SUMIF(ThresholdAge14,"&lt;"&amp;'19_Расчет_аналитики'!AO560,WeightedMinAge14),MAX(CapacityAge14*'01_Вводные'!$B$218*'19_Расчет_аналитики'!AO560,MeanMinAge14)))</f>
        <v/>
      </c>
      <c r="AP505">
        <f>IF(OR(('19_Расчет_аналитики'!AP421-'19_Расчет_аналитики'!AP449)=0,14&lt;='01_Вводные'!$B$297),0,('19_Расчет_аналитики'!AP421-'19_Расчет_аналитики'!AP449)*IF('01_Вводные'!$B$239="Да",MeanMinAge14+'19_Расчет_аналитики'!AP560*SUMIF(ThresholdAge14,"&lt;"&amp;'19_Расчет_аналитики'!AP560,WeightedRevAge14)-SUMIF(ThresholdAge14,"&lt;"&amp;'19_Расчет_аналитики'!AP560,WeightedMinAge14),MAX(CapacityAge14*'01_Вводные'!$B$218*'19_Расчет_аналитики'!AP560,MeanMinAge14)))</f>
        <v/>
      </c>
      <c r="AQ505">
        <f>IF(OR(('19_Расчет_аналитики'!AQ421-'19_Расчет_аналитики'!AQ449)=0,14&lt;='01_Вводные'!$B$297),0,('19_Расчет_аналитики'!AQ421-'19_Расчет_аналитики'!AQ449)*IF('01_Вводные'!$B$239="Да",MeanMinAge14+'19_Расчет_аналитики'!AQ560*SUMIF(ThresholdAge14,"&lt;"&amp;'19_Расчет_аналитики'!AQ560,WeightedRevAge14)-SUMIF(ThresholdAge14,"&lt;"&amp;'19_Расчет_аналитики'!AQ560,WeightedMinAge14),MAX(CapacityAge14*'01_Вводные'!$B$218*'19_Расчет_аналитики'!AQ560,MeanMinAge14)))</f>
        <v/>
      </c>
      <c r="AR505">
        <f>IF(OR(('19_Расчет_аналитики'!AR421-'19_Расчет_аналитики'!AR449)=0,14&lt;='01_Вводные'!$B$297),0,('19_Расчет_аналитики'!AR421-'19_Расчет_аналитики'!AR449)*IF('01_Вводные'!$B$239="Да",MeanMinAge14+'19_Расчет_аналитики'!AR560*SUMIF(ThresholdAge14,"&lt;"&amp;'19_Расчет_аналитики'!AR560,WeightedRevAge14)-SUMIF(ThresholdAge14,"&lt;"&amp;'19_Расчет_аналитики'!AR560,WeightedMinAge14),MAX(CapacityAge14*'01_Вводные'!$B$218*'19_Расчет_аналитики'!AR560,MeanMinAge14)))</f>
        <v/>
      </c>
      <c r="AS505">
        <f>IF(OR(('19_Расчет_аналитики'!AS421-'19_Расчет_аналитики'!AS449)=0,14&lt;='01_Вводные'!$B$297),0,('19_Расчет_аналитики'!AS421-'19_Расчет_аналитики'!AS449)*IF('01_Вводные'!$B$239="Да",MeanMinAge14+'19_Расчет_аналитики'!AS560*SUMIF(ThresholdAge14,"&lt;"&amp;'19_Расчет_аналитики'!AS560,WeightedRevAge14)-SUMIF(ThresholdAge14,"&lt;"&amp;'19_Расчет_аналитики'!AS560,WeightedMinAge14),MAX(CapacityAge14*'01_Вводные'!$B$218*'19_Расчет_аналитики'!AS560,MeanMinAge14)))</f>
        <v/>
      </c>
      <c r="AT505">
        <f>IF(OR(('19_Расчет_аналитики'!AT421-'19_Расчет_аналитики'!AT449)=0,14&lt;='01_Вводные'!$B$297),0,('19_Расчет_аналитики'!AT421-'19_Расчет_аналитики'!AT449)*IF('01_Вводные'!$B$239="Да",MeanMinAge14+'19_Расчет_аналитики'!AT560*SUMIF(ThresholdAge14,"&lt;"&amp;'19_Расчет_аналитики'!AT560,WeightedRevAge14)-SUMIF(ThresholdAge14,"&lt;"&amp;'19_Расчет_аналитики'!AT560,WeightedMinAge14),MAX(CapacityAge14*'01_Вводные'!$B$218*'19_Расчет_аналитики'!AT560,MeanMinAge14)))</f>
        <v/>
      </c>
      <c r="AU505">
        <f>IF(OR(('19_Расчет_аналитики'!AU421-'19_Расчет_аналитики'!AU449)=0,14&lt;='01_Вводные'!$B$297),0,('19_Расчет_аналитики'!AU421-'19_Расчет_аналитики'!AU449)*IF('01_Вводные'!$B$239="Да",MeanMinAge14+'19_Расчет_аналитики'!AU560*SUMIF(ThresholdAge14,"&lt;"&amp;'19_Расчет_аналитики'!AU560,WeightedRevAge14)-SUMIF(ThresholdAge14,"&lt;"&amp;'19_Расчет_аналитики'!AU560,WeightedMinAge14),MAX(CapacityAge14*'01_Вводные'!$B$218*'19_Расчет_аналитики'!AU560,MeanMinAge14)))</f>
        <v/>
      </c>
      <c r="AV505">
        <f>IF(OR(('19_Расчет_аналитики'!AV421-'19_Расчет_аналитики'!AV449)=0,14&lt;='01_Вводные'!$B$297),0,('19_Расчет_аналитики'!AV421-'19_Расчет_аналитики'!AV449)*IF('01_Вводные'!$B$239="Да",MeanMinAge14+'19_Расчет_аналитики'!AV560*SUMIF(ThresholdAge14,"&lt;"&amp;'19_Расчет_аналитики'!AV560,WeightedRevAge14)-SUMIF(ThresholdAge14,"&lt;"&amp;'19_Расчет_аналитики'!AV560,WeightedMinAge14),MAX(CapacityAge14*'01_Вводные'!$B$218*'19_Расчет_аналитики'!AV560,MeanMinAge14)))</f>
        <v/>
      </c>
      <c r="AW505">
        <f>IF(OR(('19_Расчет_аналитики'!AW421-'19_Расчет_аналитики'!AW449)=0,14&lt;='01_Вводные'!$B$297),0,('19_Расчет_аналитики'!AW421-'19_Расчет_аналитики'!AW449)*IF('01_Вводные'!$B$239="Да",MeanMinAge14+'19_Расчет_аналитики'!AW560*SUMIF(ThresholdAge14,"&lt;"&amp;'19_Расчет_аналитики'!AW560,WeightedRevAge14)-SUMIF(ThresholdAge14,"&lt;"&amp;'19_Расчет_аналитики'!AW560,WeightedMinAge14),MAX(CapacityAge14*'01_Вводные'!$B$218*'19_Расчет_аналитики'!AW560,MeanMinAge14)))</f>
        <v/>
      </c>
      <c r="AX505">
        <f>IF(OR(('19_Расчет_аналитики'!AX421-'19_Расчет_аналитики'!AX449)=0,14&lt;='01_Вводные'!$B$297),0,('19_Расчет_аналитики'!AX421-'19_Расчет_аналитики'!AX449)*IF('01_Вводные'!$B$239="Да",MeanMinAge14+'19_Расчет_аналитики'!AX560*SUMIF(ThresholdAge14,"&lt;"&amp;'19_Расчет_аналитики'!AX560,WeightedRevAge14)-SUMIF(ThresholdAge14,"&lt;"&amp;'19_Расчет_аналитики'!AX560,WeightedMinAge14),MAX(CapacityAge14*'01_Вводные'!$B$218*'19_Расчет_аналитики'!AX560,MeanMinAge14)))</f>
        <v/>
      </c>
      <c r="AY505">
        <f>IF(OR(('19_Расчет_аналитики'!AY421-'19_Расчет_аналитики'!AY449)=0,14&lt;='01_Вводные'!$B$297),0,('19_Расчет_аналитики'!AY421-'19_Расчет_аналитики'!AY449)*IF('01_Вводные'!$B$239="Да",MeanMinAge14+'19_Расчет_аналитики'!AY560*SUMIF(ThresholdAge14,"&lt;"&amp;'19_Расчет_аналитики'!AY560,WeightedRevAge14)-SUMIF(ThresholdAge14,"&lt;"&amp;'19_Расчет_аналитики'!AY560,WeightedMinAge14),MAX(CapacityAge14*'01_Вводные'!$B$218*'19_Расчет_аналитики'!AY560,MeanMinAge14)))</f>
        <v/>
      </c>
      <c r="AZ505">
        <f>IF(OR(('19_Расчет_аналитики'!AZ421-'19_Расчет_аналитики'!AZ449)=0,14&lt;='01_Вводные'!$B$297),0,('19_Расчет_аналитики'!AZ421-'19_Расчет_аналитики'!AZ449)*IF('01_Вводные'!$B$239="Да",MeanMinAge14+'19_Расчет_аналитики'!AZ560*SUMIF(ThresholdAge14,"&lt;"&amp;'19_Расчет_аналитики'!AZ560,WeightedRevAge14)-SUMIF(ThresholdAge14,"&lt;"&amp;'19_Расчет_аналитики'!AZ560,WeightedMinAge14),MAX(CapacityAge14*'01_Вводные'!$B$218*'19_Расчет_аналитики'!AZ560,MeanMinAge14)))</f>
        <v/>
      </c>
      <c r="BA505">
        <f>IF(OR(('19_Расчет_аналитики'!BA421-'19_Расчет_аналитики'!BA449)=0,14&lt;='01_Вводные'!$B$297),0,('19_Расчет_аналитики'!BA421-'19_Расчет_аналитики'!BA449)*IF('01_Вводные'!$B$239="Да",MeanMinAge14+'19_Расчет_аналитики'!BA560*SUMIF(ThresholdAge14,"&lt;"&amp;'19_Расчет_аналитики'!BA560,WeightedRevAge14)-SUMIF(ThresholdAge14,"&lt;"&amp;'19_Расчет_аналитики'!BA560,WeightedMinAge14),MAX(CapacityAge14*'01_Вводные'!$B$218*'19_Расчет_аналитики'!BA560,MeanMinAge14)))</f>
        <v/>
      </c>
      <c r="BB505">
        <f>IF(OR(('19_Расчет_аналитики'!BB421-'19_Расчет_аналитики'!BB449)=0,14&lt;='01_Вводные'!$B$297),0,('19_Расчет_аналитики'!BB421-'19_Расчет_аналитики'!BB449)*IF('01_Вводные'!$B$239="Да",MeanMinAge14+'19_Расчет_аналитики'!BB560*SUMIF(ThresholdAge14,"&lt;"&amp;'19_Расчет_аналитики'!BB560,WeightedRevAge14)-SUMIF(ThresholdAge14,"&lt;"&amp;'19_Расчет_аналитики'!BB560,WeightedMinAge14),MAX(CapacityAge14*'01_Вводные'!$B$218*'19_Расчет_аналитики'!BB560,MeanMinAge14)))</f>
        <v/>
      </c>
      <c r="BC505">
        <f>IF(OR(('19_Расчет_аналитики'!BC421-'19_Расчет_аналитики'!BC449)=0,14&lt;='01_Вводные'!$B$297),0,('19_Расчет_аналитики'!BC421-'19_Расчет_аналитики'!BC449)*IF('01_Вводные'!$B$239="Да",MeanMinAge14+'19_Расчет_аналитики'!BC560*SUMIF(ThresholdAge14,"&lt;"&amp;'19_Расчет_аналитики'!BC560,WeightedRevAge14)-SUMIF(ThresholdAge14,"&lt;"&amp;'19_Расчет_аналитики'!BC560,WeightedMinAge14),MAX(CapacityAge14*'01_Вводные'!$B$218*'19_Расчет_аналитики'!BC560,MeanMinAge14)))</f>
        <v/>
      </c>
      <c r="BD505">
        <f>IF(OR(('19_Расчет_аналитики'!BD421-'19_Расчет_аналитики'!BD449)=0,14&lt;='01_Вводные'!$B$297),0,('19_Расчет_аналитики'!BD421-'19_Расчет_аналитики'!BD449)*IF('01_Вводные'!$B$239="Да",MeanMinAge14+'19_Расчет_аналитики'!BD560*SUMIF(ThresholdAge14,"&lt;"&amp;'19_Расчет_аналитики'!BD560,WeightedRevAge14)-SUMIF(ThresholdAge14,"&lt;"&amp;'19_Расчет_аналитики'!BD560,WeightedMinAge14),MAX(CapacityAge14*'01_Вводные'!$B$218*'19_Расчет_аналитики'!BD560,MeanMinAge14)))</f>
        <v/>
      </c>
      <c r="BE505">
        <f>IF(OR(('19_Расчет_аналитики'!BE421-'19_Расчет_аналитики'!BE449)=0,14&lt;='01_Вводные'!$B$297),0,('19_Расчет_аналитики'!BE421-'19_Расчет_аналитики'!BE449)*IF('01_Вводные'!$B$239="Да",MeanMinAge14+'19_Расчет_аналитики'!BE560*SUMIF(ThresholdAge14,"&lt;"&amp;'19_Расчет_аналитики'!BE560,WeightedRevAge14)-SUMIF(ThresholdAge14,"&lt;"&amp;'19_Расчет_аналитики'!BE560,WeightedMinAge14),MAX(CapacityAge14*'01_Вводные'!$B$218*'19_Расчет_аналитики'!BE560,MeanMinAge14)))</f>
        <v/>
      </c>
      <c r="BF505">
        <f>IF(OR(('19_Расчет_аналитики'!BF421-'19_Расчет_аналитики'!BF449)=0,14&lt;='01_Вводные'!$B$297),0,('19_Расчет_аналитики'!BF421-'19_Расчет_аналитики'!BF449)*IF('01_Вводные'!$B$239="Да",MeanMinAge14+'19_Расчет_аналитики'!BF560*SUMIF(ThresholdAge14,"&lt;"&amp;'19_Расчет_аналитики'!BF560,WeightedRevAge14)-SUMIF(ThresholdAge14,"&lt;"&amp;'19_Расчет_аналитики'!BF560,WeightedMinAge14),MAX(CapacityAge14*'01_Вводные'!$B$218*'19_Расчет_аналитики'!BF560,MeanMinAge14)))</f>
        <v/>
      </c>
      <c r="BG505">
        <f>IF(OR(('19_Расчет_аналитики'!BG421-'19_Расчет_аналитики'!BG449)=0,14&lt;='01_Вводные'!$B$297),0,('19_Расчет_аналитики'!BG421-'19_Расчет_аналитики'!BG449)*IF('01_Вводные'!$B$239="Да",MeanMinAge14+'19_Расчет_аналитики'!BG560*SUMIF(ThresholdAge14,"&lt;"&amp;'19_Расчет_аналитики'!BG560,WeightedRevAge14)-SUMIF(ThresholdAge14,"&lt;"&amp;'19_Расчет_аналитики'!BG560,WeightedMinAge14),MAX(CapacityAge14*'01_Вводные'!$B$218*'19_Расчет_аналитики'!BG560,MeanMinAge14)))</f>
        <v/>
      </c>
      <c r="BH505">
        <f>IF(OR(('19_Расчет_аналитики'!BH421-'19_Расчет_аналитики'!BH449)=0,14&lt;='01_Вводные'!$B$297),0,('19_Расчет_аналитики'!BH421-'19_Расчет_аналитики'!BH449)*IF('01_Вводные'!$B$239="Да",MeanMinAge14+'19_Расчет_аналитики'!BH560*SUMIF(ThresholdAge14,"&lt;"&amp;'19_Расчет_аналитики'!BH560,WeightedRevAge14)-SUMIF(ThresholdAge14,"&lt;"&amp;'19_Расчет_аналитики'!BH560,WeightedMinAge14),MAX(CapacityAge14*'01_Вводные'!$B$218*'19_Расчет_аналитики'!BH560,MeanMinAge14)))</f>
        <v/>
      </c>
      <c r="BI505">
        <f>IF(OR(('19_Расчет_аналитики'!BI421-'19_Расчет_аналитики'!BI449)=0,14&lt;='01_Вводные'!$B$297),0,('19_Расчет_аналитики'!BI421-'19_Расчет_аналитики'!BI449)*IF('01_Вводные'!$B$239="Да",MeanMinAge14+'19_Расчет_аналитики'!BI560*SUMIF(ThresholdAge14,"&lt;"&amp;'19_Расчет_аналитики'!BI560,WeightedRevAge14)-SUMIF(ThresholdAge14,"&lt;"&amp;'19_Расчет_аналитики'!BI560,WeightedMinAge14),MAX(CapacityAge14*'01_Вводные'!$B$218*'19_Расчет_аналитики'!BI560,MeanMinAge14)))</f>
        <v/>
      </c>
      <c r="BJ505">
        <f>IF(OR(('19_Расчет_аналитики'!BJ421-'19_Расчет_аналитики'!BJ449)=0,14&lt;='01_Вводные'!$B$297),0,('19_Расчет_аналитики'!BJ421-'19_Расчет_аналитики'!BJ449)*IF('01_Вводные'!$B$239="Да",MeanMinAge14+'19_Расчет_аналитики'!BJ560*SUMIF(ThresholdAge14,"&lt;"&amp;'19_Расчет_аналитики'!BJ560,WeightedRevAge14)-SUMIF(ThresholdAge14,"&lt;"&amp;'19_Расчет_аналитики'!BJ560,WeightedMinAge14),MAX(CapacityAge14*'01_Вводные'!$B$218*'19_Расчет_аналитики'!BJ560,MeanMinAge14)))</f>
        <v/>
      </c>
      <c r="BK505">
        <f>IF(OR(('19_Расчет_аналитики'!BK421-'19_Расчет_аналитики'!BK449)=0,14&lt;='01_Вводные'!$B$297),0,('19_Расчет_аналитики'!BK421-'19_Расчет_аналитики'!BK449)*IF('01_Вводные'!$B$239="Да",MeanMinAge14+'19_Расчет_аналитики'!BK560*SUMIF(ThresholdAge14,"&lt;"&amp;'19_Расчет_аналитики'!BK560,WeightedRevAge14)-SUMIF(ThresholdAge14,"&lt;"&amp;'19_Расчет_аналитики'!BK560,WeightedMinAge14),MAX(CapacityAge14*'01_Вводные'!$B$218*'19_Расчет_аналитики'!BK560,MeanMinAge14)))</f>
        <v/>
      </c>
      <c r="BL505">
        <f>IF(OR(('19_Расчет_аналитики'!BL421-'19_Расчет_аналитики'!BL449)=0,14&lt;='01_Вводные'!$B$297),0,('19_Расчет_аналитики'!BL421-'19_Расчет_аналитики'!BL449)*IF('01_Вводные'!$B$239="Да",MeanMinAge14+'19_Расчет_аналитики'!BL560*SUMIF(ThresholdAge14,"&lt;"&amp;'19_Расчет_аналитики'!BL560,WeightedRevAge14)-SUMIF(ThresholdAge14,"&lt;"&amp;'19_Расчет_аналитики'!BL560,WeightedMinAge14),MAX(CapacityAge14*'01_Вводные'!$B$218*'19_Расчет_аналитики'!BL560,MeanMinAge14)))</f>
        <v/>
      </c>
      <c r="BM505">
        <f>IF(OR(('19_Расчет_аналитики'!BM421-'19_Расчет_аналитики'!BM449)=0,14&lt;='01_Вводные'!$B$297),0,('19_Расчет_аналитики'!BM421-'19_Расчет_аналитики'!BM449)*IF('01_Вводные'!$B$239="Да",MeanMinAge14+'19_Расчет_аналитики'!BM560*SUMIF(ThresholdAge14,"&lt;"&amp;'19_Расчет_аналитики'!BM560,WeightedRevAge14)-SUMIF(ThresholdAge14,"&lt;"&amp;'19_Расчет_аналитики'!BM560,WeightedMinAge14),MAX(CapacityAge14*'01_Вводные'!$B$218*'19_Расчет_аналитики'!BM560,MeanMinAge14)))</f>
        <v/>
      </c>
      <c r="BN505">
        <f>IF(OR(('19_Расчет_аналитики'!BN421-'19_Расчет_аналитики'!BN449)=0,14&lt;='01_Вводные'!$B$297),0,('19_Расчет_аналитики'!BN421-'19_Расчет_аналитики'!BN449)*IF('01_Вводные'!$B$239="Да",MeanMinAge14+'19_Расчет_аналитики'!BN560*SUMIF(ThresholdAge14,"&lt;"&amp;'19_Расчет_аналитики'!BN560,WeightedRevAge14)-SUMIF(ThresholdAge14,"&lt;"&amp;'19_Расчет_аналитики'!BN560,WeightedMinAge14),MAX(CapacityAge14*'01_Вводные'!$B$218*'19_Расчет_аналитики'!BN560,MeanMinAge14)))</f>
        <v/>
      </c>
      <c r="BO505">
        <f>IF(OR(('19_Расчет_аналитики'!BO421-'19_Расчет_аналитики'!BO449)=0,14&lt;='01_Вводные'!$B$297),0,('19_Расчет_аналитики'!BO421-'19_Расчет_аналитики'!BO449)*IF('01_Вводные'!$B$239="Да",MeanMinAge14+'19_Расчет_аналитики'!BO560*SUMIF(ThresholdAge14,"&lt;"&amp;'19_Расчет_аналитики'!BO560,WeightedRevAge14)-SUMIF(ThresholdAge14,"&lt;"&amp;'19_Расчет_аналитики'!BO560,WeightedMinAge14),MAX(CapacityAge14*'01_Вводные'!$B$218*'19_Расчет_аналитики'!BO560,MeanMinAge14)))</f>
        <v/>
      </c>
    </row>
    <row r="506">
      <c r="B506">
        <f>IF(OR(('06_Сеть_и_дети'!B67-'06_Сеть_и_дети'!B95)=0,15&lt;='01_Вводные'!$B$297),0,('06_Сеть_и_дети'!B67-'06_Сеть_и_дети'!B95)*IF('01_Вводные'!$B$239="Да",MeanMinAge15+'19_Расчет_аналитики'!B560*SUMIF(ThresholdAge15,"&lt;"&amp;'19_Расчет_аналитики'!B560,WeightedRevAge15)-SUMIF(ThresholdAge15,"&lt;"&amp;'19_Расчет_аналитики'!B560,WeightedMinAge15),MAX(CapacityAge15*'01_Вводные'!$B$218*'19_Расчет_аналитики'!B560,MeanMinAge15)))</f>
        <v/>
      </c>
      <c r="C506">
        <f>IF(OR(('06_Сеть_и_дети'!C67-'06_Сеть_и_дети'!C95)=0,15&lt;='01_Вводные'!$B$297),0,('06_Сеть_и_дети'!C67-'06_Сеть_и_дети'!C95)*IF('01_Вводные'!$B$239="Да",MeanMinAge15+'19_Расчет_аналитики'!C560*SUMIF(ThresholdAge15,"&lt;"&amp;'19_Расчет_аналитики'!C560,WeightedRevAge15)-SUMIF(ThresholdAge15,"&lt;"&amp;'19_Расчет_аналитики'!C560,WeightedMinAge15),MAX(CapacityAge15*'01_Вводные'!$B$218*'19_Расчет_аналитики'!C560,MeanMinAge15)))</f>
        <v/>
      </c>
      <c r="D506">
        <f>IF(OR(('06_Сеть_и_дети'!D67-'06_Сеть_и_дети'!D95)=0,15&lt;='01_Вводные'!$B$297),0,('06_Сеть_и_дети'!D67-'06_Сеть_и_дети'!D95)*IF('01_Вводные'!$B$239="Да",MeanMinAge15+'19_Расчет_аналитики'!D560*SUMIF(ThresholdAge15,"&lt;"&amp;'19_Расчет_аналитики'!D560,WeightedRevAge15)-SUMIF(ThresholdAge15,"&lt;"&amp;'19_Расчет_аналитики'!D560,WeightedMinAge15),MAX(CapacityAge15*'01_Вводные'!$B$218*'19_Расчет_аналитики'!D560,MeanMinAge15)))</f>
        <v/>
      </c>
      <c r="E506">
        <f>IF(OR(('06_Сеть_и_дети'!E67-'06_Сеть_и_дети'!E95)=0,15&lt;='01_Вводные'!$B$297),0,('06_Сеть_и_дети'!E67-'06_Сеть_и_дети'!E95)*IF('01_Вводные'!$B$239="Да",MeanMinAge15+'19_Расчет_аналитики'!E560*SUMIF(ThresholdAge15,"&lt;"&amp;'19_Расчет_аналитики'!E560,WeightedRevAge15)-SUMIF(ThresholdAge15,"&lt;"&amp;'19_Расчет_аналитики'!E560,WeightedMinAge15),MAX(CapacityAge15*'01_Вводные'!$B$218*'19_Расчет_аналитики'!E560,MeanMinAge15)))</f>
        <v/>
      </c>
      <c r="F506">
        <f>IF(OR(('06_Сеть_и_дети'!F67-'06_Сеть_и_дети'!F95)=0,15&lt;='01_Вводные'!$B$297),0,('06_Сеть_и_дети'!F67-'06_Сеть_и_дети'!F95)*IF('01_Вводные'!$B$239="Да",MeanMinAge15+'19_Расчет_аналитики'!F560*SUMIF(ThresholdAge15,"&lt;"&amp;'19_Расчет_аналитики'!F560,WeightedRevAge15)-SUMIF(ThresholdAge15,"&lt;"&amp;'19_Расчет_аналитики'!F560,WeightedMinAge15),MAX(CapacityAge15*'01_Вводные'!$B$218*'19_Расчет_аналитики'!F560,MeanMinAge15)))</f>
        <v/>
      </c>
      <c r="G506">
        <f>IF(OR(('06_Сеть_и_дети'!G67-'06_Сеть_и_дети'!G95)=0,15&lt;='01_Вводные'!$B$297),0,('06_Сеть_и_дети'!G67-'06_Сеть_и_дети'!G95)*IF('01_Вводные'!$B$239="Да",MeanMinAge15+'19_Расчет_аналитики'!G560*SUMIF(ThresholdAge15,"&lt;"&amp;'19_Расчет_аналитики'!G560,WeightedRevAge15)-SUMIF(ThresholdAge15,"&lt;"&amp;'19_Расчет_аналитики'!G560,WeightedMinAge15),MAX(CapacityAge15*'01_Вводные'!$B$218*'19_Расчет_аналитики'!G560,MeanMinAge15)))</f>
        <v/>
      </c>
      <c r="H506">
        <f>IF(OR(('06_Сеть_и_дети'!H67-'06_Сеть_и_дети'!H95)=0,15&lt;='01_Вводные'!$B$297),0,('06_Сеть_и_дети'!H67-'06_Сеть_и_дети'!H95)*IF('01_Вводные'!$B$239="Да",MeanMinAge15+'19_Расчет_аналитики'!H560*SUMIF(ThresholdAge15,"&lt;"&amp;'19_Расчет_аналитики'!H560,WeightedRevAge15)-SUMIF(ThresholdAge15,"&lt;"&amp;'19_Расчет_аналитики'!H560,WeightedMinAge15),MAX(CapacityAge15*'01_Вводные'!$B$218*'19_Расчет_аналитики'!H560,MeanMinAge15)))</f>
        <v/>
      </c>
      <c r="I506">
        <f>IF(OR(('06_Сеть_и_дети'!I67-'06_Сеть_и_дети'!I95)=0,15&lt;='01_Вводные'!$B$297),0,('06_Сеть_и_дети'!I67-'06_Сеть_и_дети'!I95)*IF('01_Вводные'!$B$239="Да",MeanMinAge15+'19_Расчет_аналитики'!I560*SUMIF(ThresholdAge15,"&lt;"&amp;'19_Расчет_аналитики'!I560,WeightedRevAge15)-SUMIF(ThresholdAge15,"&lt;"&amp;'19_Расчет_аналитики'!I560,WeightedMinAge15),MAX(CapacityAge15*'01_Вводные'!$B$218*'19_Расчет_аналитики'!I560,MeanMinAge15)))</f>
        <v/>
      </c>
      <c r="J506">
        <f>IF(OR(('06_Сеть_и_дети'!J67-'06_Сеть_и_дети'!J95)=0,15&lt;='01_Вводные'!$B$297),0,('06_Сеть_и_дети'!J67-'06_Сеть_и_дети'!J95)*IF('01_Вводные'!$B$239="Да",MeanMinAge15+'19_Расчет_аналитики'!J560*SUMIF(ThresholdAge15,"&lt;"&amp;'19_Расчет_аналитики'!J560,WeightedRevAge15)-SUMIF(ThresholdAge15,"&lt;"&amp;'19_Расчет_аналитики'!J560,WeightedMinAge15),MAX(CapacityAge15*'01_Вводные'!$B$218*'19_Расчет_аналитики'!J560,MeanMinAge15)))</f>
        <v/>
      </c>
      <c r="K506">
        <f>IF(OR(('06_Сеть_и_дети'!K67-'06_Сеть_и_дети'!K95)=0,15&lt;='01_Вводные'!$B$297),0,('06_Сеть_и_дети'!K67-'06_Сеть_и_дети'!K95)*IF('01_Вводные'!$B$239="Да",MeanMinAge15+'19_Расчет_аналитики'!K560*SUMIF(ThresholdAge15,"&lt;"&amp;'19_Расчет_аналитики'!K560,WeightedRevAge15)-SUMIF(ThresholdAge15,"&lt;"&amp;'19_Расчет_аналитики'!K560,WeightedMinAge15),MAX(CapacityAge15*'01_Вводные'!$B$218*'19_Расчет_аналитики'!K560,MeanMinAge15)))</f>
        <v/>
      </c>
      <c r="L506">
        <f>IF(OR(('06_Сеть_и_дети'!L67-'06_Сеть_и_дети'!L95)=0,15&lt;='01_Вводные'!$B$297),0,('06_Сеть_и_дети'!L67-'06_Сеть_и_дети'!L95)*IF('01_Вводные'!$B$239="Да",MeanMinAge15+'19_Расчет_аналитики'!L560*SUMIF(ThresholdAge15,"&lt;"&amp;'19_Расчет_аналитики'!L560,WeightedRevAge15)-SUMIF(ThresholdAge15,"&lt;"&amp;'19_Расчет_аналитики'!L560,WeightedMinAge15),MAX(CapacityAge15*'01_Вводные'!$B$218*'19_Расчет_аналитики'!L560,MeanMinAge15)))</f>
        <v/>
      </c>
      <c r="M506">
        <f>IF(OR(('06_Сеть_и_дети'!M67-'06_Сеть_и_дети'!M95)=0,15&lt;='01_Вводные'!$B$297),0,('06_Сеть_и_дети'!M67-'06_Сеть_и_дети'!M95)*IF('01_Вводные'!$B$239="Да",MeanMinAge15+'19_Расчет_аналитики'!M560*SUMIF(ThresholdAge15,"&lt;"&amp;'19_Расчет_аналитики'!M560,WeightedRevAge15)-SUMIF(ThresholdAge15,"&lt;"&amp;'19_Расчет_аналитики'!M560,WeightedMinAge15),MAX(CapacityAge15*'01_Вводные'!$B$218*'19_Расчет_аналитики'!M560,MeanMinAge15)))</f>
        <v/>
      </c>
      <c r="N506">
        <f>IF(OR(('06_Сеть_и_дети'!N67-'06_Сеть_и_дети'!N95)=0,15&lt;='01_Вводные'!$B$297),0,('06_Сеть_и_дети'!N67-'06_Сеть_и_дети'!N95)*IF('01_Вводные'!$B$239="Да",MeanMinAge15+'19_Расчет_аналитики'!N560*SUMIF(ThresholdAge15,"&lt;"&amp;'19_Расчет_аналитики'!N560,WeightedRevAge15)-SUMIF(ThresholdAge15,"&lt;"&amp;'19_Расчет_аналитики'!N560,WeightedMinAge15),MAX(CapacityAge15*'01_Вводные'!$B$218*'19_Расчет_аналитики'!N560,MeanMinAge15)))</f>
        <v/>
      </c>
      <c r="O506">
        <f>IF(OR(('06_Сеть_и_дети'!O67-'06_Сеть_и_дети'!O95)=0,15&lt;='01_Вводные'!$B$297),0,('06_Сеть_и_дети'!O67-'06_Сеть_и_дети'!O95)*IF('01_Вводные'!$B$239="Да",MeanMinAge15+'19_Расчет_аналитики'!O560*SUMIF(ThresholdAge15,"&lt;"&amp;'19_Расчет_аналитики'!O560,WeightedRevAge15)-SUMIF(ThresholdAge15,"&lt;"&amp;'19_Расчет_аналитики'!O560,WeightedMinAge15),MAX(CapacityAge15*'01_Вводные'!$B$218*'19_Расчет_аналитики'!O560,MeanMinAge15)))</f>
        <v/>
      </c>
      <c r="P506">
        <f>IF(OR(('19_Расчет_аналитики'!P422-'19_Расчет_аналитики'!P450)=0,15&lt;='01_Вводные'!$B$297),0,('19_Расчет_аналитики'!P422-'19_Расчет_аналитики'!P450)*IF('01_Вводные'!$B$239="Да",MeanMinAge15+'19_Расчет_аналитики'!P560*SUMIF(ThresholdAge15,"&lt;"&amp;'19_Расчет_аналитики'!P560,WeightedRevAge15)-SUMIF(ThresholdAge15,"&lt;"&amp;'19_Расчет_аналитики'!P560,WeightedMinAge15),MAX(CapacityAge15*'01_Вводные'!$B$218*'19_Расчет_аналитики'!P560,MeanMinAge15)))</f>
        <v/>
      </c>
      <c r="Q506">
        <f>IF(OR(('19_Расчет_аналитики'!Q422-'19_Расчет_аналитики'!Q450)=0,15&lt;='01_Вводные'!$B$297),0,('19_Расчет_аналитики'!Q422-'19_Расчет_аналитики'!Q450)*IF('01_Вводные'!$B$239="Да",MeanMinAge15+'19_Расчет_аналитики'!Q560*SUMIF(ThresholdAge15,"&lt;"&amp;'19_Расчет_аналитики'!Q560,WeightedRevAge15)-SUMIF(ThresholdAge15,"&lt;"&amp;'19_Расчет_аналитики'!Q560,WeightedMinAge15),MAX(CapacityAge15*'01_Вводные'!$B$218*'19_Расчет_аналитики'!Q560,MeanMinAge15)))</f>
        <v/>
      </c>
      <c r="R506">
        <f>IF(OR(('19_Расчет_аналитики'!R422-'19_Расчет_аналитики'!R450)=0,15&lt;='01_Вводные'!$B$297),0,('19_Расчет_аналитики'!R422-'19_Расчет_аналитики'!R450)*IF('01_Вводные'!$B$239="Да",MeanMinAge15+'19_Расчет_аналитики'!R560*SUMIF(ThresholdAge15,"&lt;"&amp;'19_Расчет_аналитики'!R560,WeightedRevAge15)-SUMIF(ThresholdAge15,"&lt;"&amp;'19_Расчет_аналитики'!R560,WeightedMinAge15),MAX(CapacityAge15*'01_Вводные'!$B$218*'19_Расчет_аналитики'!R560,MeanMinAge15)))</f>
        <v/>
      </c>
      <c r="S506">
        <f>IF(OR(('19_Расчет_аналитики'!S422-'19_Расчет_аналитики'!S450)=0,15&lt;='01_Вводные'!$B$297),0,('19_Расчет_аналитики'!S422-'19_Расчет_аналитики'!S450)*IF('01_Вводные'!$B$239="Да",MeanMinAge15+'19_Расчет_аналитики'!S560*SUMIF(ThresholdAge15,"&lt;"&amp;'19_Расчет_аналитики'!S560,WeightedRevAge15)-SUMIF(ThresholdAge15,"&lt;"&amp;'19_Расчет_аналитики'!S560,WeightedMinAge15),MAX(CapacityAge15*'01_Вводные'!$B$218*'19_Расчет_аналитики'!S560,MeanMinAge15)))</f>
        <v/>
      </c>
      <c r="T506">
        <f>IF(OR(('19_Расчет_аналитики'!T422-'19_Расчет_аналитики'!T450)=0,15&lt;='01_Вводные'!$B$297),0,('19_Расчет_аналитики'!T422-'19_Расчет_аналитики'!T450)*IF('01_Вводные'!$B$239="Да",MeanMinAge15+'19_Расчет_аналитики'!T560*SUMIF(ThresholdAge15,"&lt;"&amp;'19_Расчет_аналитики'!T560,WeightedRevAge15)-SUMIF(ThresholdAge15,"&lt;"&amp;'19_Расчет_аналитики'!T560,WeightedMinAge15),MAX(CapacityAge15*'01_Вводные'!$B$218*'19_Расчет_аналитики'!T560,MeanMinAge15)))</f>
        <v/>
      </c>
      <c r="U506">
        <f>IF(OR(('19_Расчет_аналитики'!U422-'19_Расчет_аналитики'!U450)=0,15&lt;='01_Вводные'!$B$297),0,('19_Расчет_аналитики'!U422-'19_Расчет_аналитики'!U450)*IF('01_Вводные'!$B$239="Да",MeanMinAge15+'19_Расчет_аналитики'!U560*SUMIF(ThresholdAge15,"&lt;"&amp;'19_Расчет_аналитики'!U560,WeightedRevAge15)-SUMIF(ThresholdAge15,"&lt;"&amp;'19_Расчет_аналитики'!U560,WeightedMinAge15),MAX(CapacityAge15*'01_Вводные'!$B$218*'19_Расчет_аналитики'!U560,MeanMinAge15)))</f>
        <v/>
      </c>
      <c r="V506">
        <f>IF(OR(('19_Расчет_аналитики'!V422-'19_Расчет_аналитики'!V450)=0,15&lt;='01_Вводные'!$B$297),0,('19_Расчет_аналитики'!V422-'19_Расчет_аналитики'!V450)*IF('01_Вводные'!$B$239="Да",MeanMinAge15+'19_Расчет_аналитики'!V560*SUMIF(ThresholdAge15,"&lt;"&amp;'19_Расчет_аналитики'!V560,WeightedRevAge15)-SUMIF(ThresholdAge15,"&lt;"&amp;'19_Расчет_аналитики'!V560,WeightedMinAge15),MAX(CapacityAge15*'01_Вводные'!$B$218*'19_Расчет_аналитики'!V560,MeanMinAge15)))</f>
        <v/>
      </c>
      <c r="W506">
        <f>IF(OR(('19_Расчет_аналитики'!W422-'19_Расчет_аналитики'!W450)=0,15&lt;='01_Вводные'!$B$297),0,('19_Расчет_аналитики'!W422-'19_Расчет_аналитики'!W450)*IF('01_Вводные'!$B$239="Да",MeanMinAge15+'19_Расчет_аналитики'!W560*SUMIF(ThresholdAge15,"&lt;"&amp;'19_Расчет_аналитики'!W560,WeightedRevAge15)-SUMIF(ThresholdAge15,"&lt;"&amp;'19_Расчет_аналитики'!W560,WeightedMinAge15),MAX(CapacityAge15*'01_Вводные'!$B$218*'19_Расчет_аналитики'!W560,MeanMinAge15)))</f>
        <v/>
      </c>
      <c r="X506">
        <f>IF(OR(('19_Расчет_аналитики'!X422-'19_Расчет_аналитики'!X450)=0,15&lt;='01_Вводные'!$B$297),0,('19_Расчет_аналитики'!X422-'19_Расчет_аналитики'!X450)*IF('01_Вводные'!$B$239="Да",MeanMinAge15+'19_Расчет_аналитики'!X560*SUMIF(ThresholdAge15,"&lt;"&amp;'19_Расчет_аналитики'!X560,WeightedRevAge15)-SUMIF(ThresholdAge15,"&lt;"&amp;'19_Расчет_аналитики'!X560,WeightedMinAge15),MAX(CapacityAge15*'01_Вводные'!$B$218*'19_Расчет_аналитики'!X560,MeanMinAge15)))</f>
        <v/>
      </c>
      <c r="Y506">
        <f>IF(OR(('19_Расчет_аналитики'!Y422-'19_Расчет_аналитики'!Y450)=0,15&lt;='01_Вводные'!$B$297),0,('19_Расчет_аналитики'!Y422-'19_Расчет_аналитики'!Y450)*IF('01_Вводные'!$B$239="Да",MeanMinAge15+'19_Расчет_аналитики'!Y560*SUMIF(ThresholdAge15,"&lt;"&amp;'19_Расчет_аналитики'!Y560,WeightedRevAge15)-SUMIF(ThresholdAge15,"&lt;"&amp;'19_Расчет_аналитики'!Y560,WeightedMinAge15),MAX(CapacityAge15*'01_Вводные'!$B$218*'19_Расчет_аналитики'!Y560,MeanMinAge15)))</f>
        <v/>
      </c>
      <c r="Z506">
        <f>IF(OR(('19_Расчет_аналитики'!Z422-'19_Расчет_аналитики'!Z450)=0,15&lt;='01_Вводные'!$B$297),0,('19_Расчет_аналитики'!Z422-'19_Расчет_аналитики'!Z450)*IF('01_Вводные'!$B$239="Да",MeanMinAge15+'19_Расчет_аналитики'!Z560*SUMIF(ThresholdAge15,"&lt;"&amp;'19_Расчет_аналитики'!Z560,WeightedRevAge15)-SUMIF(ThresholdAge15,"&lt;"&amp;'19_Расчет_аналитики'!Z560,WeightedMinAge15),MAX(CapacityAge15*'01_Вводные'!$B$218*'19_Расчет_аналитики'!Z560,MeanMinAge15)))</f>
        <v/>
      </c>
      <c r="AA506">
        <f>IF(OR(('19_Расчет_аналитики'!AA422-'19_Расчет_аналитики'!AA450)=0,15&lt;='01_Вводные'!$B$297),0,('19_Расчет_аналитики'!AA422-'19_Расчет_аналитики'!AA450)*IF('01_Вводные'!$B$239="Да",MeanMinAge15+'19_Расчет_аналитики'!AA560*SUMIF(ThresholdAge15,"&lt;"&amp;'19_Расчет_аналитики'!AA560,WeightedRevAge15)-SUMIF(ThresholdAge15,"&lt;"&amp;'19_Расчет_аналитики'!AA560,WeightedMinAge15),MAX(CapacityAge15*'01_Вводные'!$B$218*'19_Расчет_аналитики'!AA560,MeanMinAge15)))</f>
        <v/>
      </c>
      <c r="AB506">
        <f>IF(OR(('19_Расчет_аналитики'!AB422-'19_Расчет_аналитики'!AB450)=0,15&lt;='01_Вводные'!$B$297),0,('19_Расчет_аналитики'!AB422-'19_Расчет_аналитики'!AB450)*IF('01_Вводные'!$B$239="Да",MeanMinAge15+'19_Расчет_аналитики'!AB560*SUMIF(ThresholdAge15,"&lt;"&amp;'19_Расчет_аналитики'!AB560,WeightedRevAge15)-SUMIF(ThresholdAge15,"&lt;"&amp;'19_Расчет_аналитики'!AB560,WeightedMinAge15),MAX(CapacityAge15*'01_Вводные'!$B$218*'19_Расчет_аналитики'!AB560,MeanMinAge15)))</f>
        <v/>
      </c>
      <c r="AC506">
        <f>IF(OR(('19_Расчет_аналитики'!AC422-'19_Расчет_аналитики'!AC450)=0,15&lt;='01_Вводные'!$B$297),0,('19_Расчет_аналитики'!AC422-'19_Расчет_аналитики'!AC450)*IF('01_Вводные'!$B$239="Да",MeanMinAge15+'19_Расчет_аналитики'!AC560*SUMIF(ThresholdAge15,"&lt;"&amp;'19_Расчет_аналитики'!AC560,WeightedRevAge15)-SUMIF(ThresholdAge15,"&lt;"&amp;'19_Расчет_аналитики'!AC560,WeightedMinAge15),MAX(CapacityAge15*'01_Вводные'!$B$218*'19_Расчет_аналитики'!AC560,MeanMinAge15)))</f>
        <v/>
      </c>
      <c r="AD506">
        <f>IF(OR(('19_Расчет_аналитики'!AD422-'19_Расчет_аналитики'!AD450)=0,15&lt;='01_Вводные'!$B$297),0,('19_Расчет_аналитики'!AD422-'19_Расчет_аналитики'!AD450)*IF('01_Вводные'!$B$239="Да",MeanMinAge15+'19_Расчет_аналитики'!AD560*SUMIF(ThresholdAge15,"&lt;"&amp;'19_Расчет_аналитики'!AD560,WeightedRevAge15)-SUMIF(ThresholdAge15,"&lt;"&amp;'19_Расчет_аналитики'!AD560,WeightedMinAge15),MAX(CapacityAge15*'01_Вводные'!$B$218*'19_Расчет_аналитики'!AD560,MeanMinAge15)))</f>
        <v/>
      </c>
      <c r="AE506">
        <f>IF(OR(('19_Расчет_аналитики'!AE422-'19_Расчет_аналитики'!AE450)=0,15&lt;='01_Вводные'!$B$297),0,('19_Расчет_аналитики'!AE422-'19_Расчет_аналитики'!AE450)*IF('01_Вводные'!$B$239="Да",MeanMinAge15+'19_Расчет_аналитики'!AE560*SUMIF(ThresholdAge15,"&lt;"&amp;'19_Расчет_аналитики'!AE560,WeightedRevAge15)-SUMIF(ThresholdAge15,"&lt;"&amp;'19_Расчет_аналитики'!AE560,WeightedMinAge15),MAX(CapacityAge15*'01_Вводные'!$B$218*'19_Расчет_аналитики'!AE560,MeanMinAge15)))</f>
        <v/>
      </c>
      <c r="AF506">
        <f>IF(OR(('19_Расчет_аналитики'!AF422-'19_Расчет_аналитики'!AF450)=0,15&lt;='01_Вводные'!$B$297),0,('19_Расчет_аналитики'!AF422-'19_Расчет_аналитики'!AF450)*IF('01_Вводные'!$B$239="Да",MeanMinAge15+'19_Расчет_аналитики'!AF560*SUMIF(ThresholdAge15,"&lt;"&amp;'19_Расчет_аналитики'!AF560,WeightedRevAge15)-SUMIF(ThresholdAge15,"&lt;"&amp;'19_Расчет_аналитики'!AF560,WeightedMinAge15),MAX(CapacityAge15*'01_Вводные'!$B$218*'19_Расчет_аналитики'!AF560,MeanMinAge15)))</f>
        <v/>
      </c>
      <c r="AG506">
        <f>IF(OR(('19_Расчет_аналитики'!AG422-'19_Расчет_аналитики'!AG450)=0,15&lt;='01_Вводные'!$B$297),0,('19_Расчет_аналитики'!AG422-'19_Расчет_аналитики'!AG450)*IF('01_Вводные'!$B$239="Да",MeanMinAge15+'19_Расчет_аналитики'!AG560*SUMIF(ThresholdAge15,"&lt;"&amp;'19_Расчет_аналитики'!AG560,WeightedRevAge15)-SUMIF(ThresholdAge15,"&lt;"&amp;'19_Расчет_аналитики'!AG560,WeightedMinAge15),MAX(CapacityAge15*'01_Вводные'!$B$218*'19_Расчет_аналитики'!AG560,MeanMinAge15)))</f>
        <v/>
      </c>
      <c r="AH506">
        <f>IF(OR(('19_Расчет_аналитики'!AH422-'19_Расчет_аналитики'!AH450)=0,15&lt;='01_Вводные'!$B$297),0,('19_Расчет_аналитики'!AH422-'19_Расчет_аналитики'!AH450)*IF('01_Вводные'!$B$239="Да",MeanMinAge15+'19_Расчет_аналитики'!AH560*SUMIF(ThresholdAge15,"&lt;"&amp;'19_Расчет_аналитики'!AH560,WeightedRevAge15)-SUMIF(ThresholdAge15,"&lt;"&amp;'19_Расчет_аналитики'!AH560,WeightedMinAge15),MAX(CapacityAge15*'01_Вводные'!$B$218*'19_Расчет_аналитики'!AH560,MeanMinAge15)))</f>
        <v/>
      </c>
      <c r="AI506">
        <f>IF(OR(('19_Расчет_аналитики'!AI422-'19_Расчет_аналитики'!AI450)=0,15&lt;='01_Вводные'!$B$297),0,('19_Расчет_аналитики'!AI422-'19_Расчет_аналитики'!AI450)*IF('01_Вводные'!$B$239="Да",MeanMinAge15+'19_Расчет_аналитики'!AI560*SUMIF(ThresholdAge15,"&lt;"&amp;'19_Расчет_аналитики'!AI560,WeightedRevAge15)-SUMIF(ThresholdAge15,"&lt;"&amp;'19_Расчет_аналитики'!AI560,WeightedMinAge15),MAX(CapacityAge15*'01_Вводные'!$B$218*'19_Расчет_аналитики'!AI560,MeanMinAge15)))</f>
        <v/>
      </c>
      <c r="AJ506">
        <f>IF(OR(('19_Расчет_аналитики'!AJ422-'19_Расчет_аналитики'!AJ450)=0,15&lt;='01_Вводные'!$B$297),0,('19_Расчет_аналитики'!AJ422-'19_Расчет_аналитики'!AJ450)*IF('01_Вводные'!$B$239="Да",MeanMinAge15+'19_Расчет_аналитики'!AJ560*SUMIF(ThresholdAge15,"&lt;"&amp;'19_Расчет_аналитики'!AJ560,WeightedRevAge15)-SUMIF(ThresholdAge15,"&lt;"&amp;'19_Расчет_аналитики'!AJ560,WeightedMinAge15),MAX(CapacityAge15*'01_Вводные'!$B$218*'19_Расчет_аналитики'!AJ560,MeanMinAge15)))</f>
        <v/>
      </c>
      <c r="AK506">
        <f>IF(OR(('19_Расчет_аналитики'!AK422-'19_Расчет_аналитики'!AK450)=0,15&lt;='01_Вводные'!$B$297),0,('19_Расчет_аналитики'!AK422-'19_Расчет_аналитики'!AK450)*IF('01_Вводные'!$B$239="Да",MeanMinAge15+'19_Расчет_аналитики'!AK560*SUMIF(ThresholdAge15,"&lt;"&amp;'19_Расчет_аналитики'!AK560,WeightedRevAge15)-SUMIF(ThresholdAge15,"&lt;"&amp;'19_Расчет_аналитики'!AK560,WeightedMinAge15),MAX(CapacityAge15*'01_Вводные'!$B$218*'19_Расчет_аналитики'!AK560,MeanMinAge15)))</f>
        <v/>
      </c>
      <c r="AL506">
        <f>IF(OR(('19_Расчет_аналитики'!AL422-'19_Расчет_аналитики'!AL450)=0,15&lt;='01_Вводные'!$B$297),0,('19_Расчет_аналитики'!AL422-'19_Расчет_аналитики'!AL450)*IF('01_Вводные'!$B$239="Да",MeanMinAge15+'19_Расчет_аналитики'!AL560*SUMIF(ThresholdAge15,"&lt;"&amp;'19_Расчет_аналитики'!AL560,WeightedRevAge15)-SUMIF(ThresholdAge15,"&lt;"&amp;'19_Расчет_аналитики'!AL560,WeightedMinAge15),MAX(CapacityAge15*'01_Вводные'!$B$218*'19_Расчет_аналитики'!AL560,MeanMinAge15)))</f>
        <v/>
      </c>
      <c r="AM506">
        <f>IF(OR(('19_Расчет_аналитики'!AM422-'19_Расчет_аналитики'!AM450)=0,15&lt;='01_Вводные'!$B$297),0,('19_Расчет_аналитики'!AM422-'19_Расчет_аналитики'!AM450)*IF('01_Вводные'!$B$239="Да",MeanMinAge15+'19_Расчет_аналитики'!AM560*SUMIF(ThresholdAge15,"&lt;"&amp;'19_Расчет_аналитики'!AM560,WeightedRevAge15)-SUMIF(ThresholdAge15,"&lt;"&amp;'19_Расчет_аналитики'!AM560,WeightedMinAge15),MAX(CapacityAge15*'01_Вводные'!$B$218*'19_Расчет_аналитики'!AM560,MeanMinAge15)))</f>
        <v/>
      </c>
      <c r="AN506">
        <f>IF(OR(('19_Расчет_аналитики'!AN422-'19_Расчет_аналитики'!AN450)=0,15&lt;='01_Вводные'!$B$297),0,('19_Расчет_аналитики'!AN422-'19_Расчет_аналитики'!AN450)*IF('01_Вводные'!$B$239="Да",MeanMinAge15+'19_Расчет_аналитики'!AN560*SUMIF(ThresholdAge15,"&lt;"&amp;'19_Расчет_аналитики'!AN560,WeightedRevAge15)-SUMIF(ThresholdAge15,"&lt;"&amp;'19_Расчет_аналитики'!AN560,WeightedMinAge15),MAX(CapacityAge15*'01_Вводные'!$B$218*'19_Расчет_аналитики'!AN560,MeanMinAge15)))</f>
        <v/>
      </c>
      <c r="AO506">
        <f>IF(OR(('19_Расчет_аналитики'!AO422-'19_Расчет_аналитики'!AO450)=0,15&lt;='01_Вводные'!$B$297),0,('19_Расчет_аналитики'!AO422-'19_Расчет_аналитики'!AO450)*IF('01_Вводные'!$B$239="Да",MeanMinAge15+'19_Расчет_аналитики'!AO560*SUMIF(ThresholdAge15,"&lt;"&amp;'19_Расчет_аналитики'!AO560,WeightedRevAge15)-SUMIF(ThresholdAge15,"&lt;"&amp;'19_Расчет_аналитики'!AO560,WeightedMinAge15),MAX(CapacityAge15*'01_Вводные'!$B$218*'19_Расчет_аналитики'!AO560,MeanMinAge15)))</f>
        <v/>
      </c>
      <c r="AP506">
        <f>IF(OR(('19_Расчет_аналитики'!AP422-'19_Расчет_аналитики'!AP450)=0,15&lt;='01_Вводные'!$B$297),0,('19_Расчет_аналитики'!AP422-'19_Расчет_аналитики'!AP450)*IF('01_Вводные'!$B$239="Да",MeanMinAge15+'19_Расчет_аналитики'!AP560*SUMIF(ThresholdAge15,"&lt;"&amp;'19_Расчет_аналитики'!AP560,WeightedRevAge15)-SUMIF(ThresholdAge15,"&lt;"&amp;'19_Расчет_аналитики'!AP560,WeightedMinAge15),MAX(CapacityAge15*'01_Вводные'!$B$218*'19_Расчет_аналитики'!AP560,MeanMinAge15)))</f>
        <v/>
      </c>
      <c r="AQ506">
        <f>IF(OR(('19_Расчет_аналитики'!AQ422-'19_Расчет_аналитики'!AQ450)=0,15&lt;='01_Вводные'!$B$297),0,('19_Расчет_аналитики'!AQ422-'19_Расчет_аналитики'!AQ450)*IF('01_Вводные'!$B$239="Да",MeanMinAge15+'19_Расчет_аналитики'!AQ560*SUMIF(ThresholdAge15,"&lt;"&amp;'19_Расчет_аналитики'!AQ560,WeightedRevAge15)-SUMIF(ThresholdAge15,"&lt;"&amp;'19_Расчет_аналитики'!AQ560,WeightedMinAge15),MAX(CapacityAge15*'01_Вводные'!$B$218*'19_Расчет_аналитики'!AQ560,MeanMinAge15)))</f>
        <v/>
      </c>
      <c r="AR506">
        <f>IF(OR(('19_Расчет_аналитики'!AR422-'19_Расчет_аналитики'!AR450)=0,15&lt;='01_Вводные'!$B$297),0,('19_Расчет_аналитики'!AR422-'19_Расчет_аналитики'!AR450)*IF('01_Вводные'!$B$239="Да",MeanMinAge15+'19_Расчет_аналитики'!AR560*SUMIF(ThresholdAge15,"&lt;"&amp;'19_Расчет_аналитики'!AR560,WeightedRevAge15)-SUMIF(ThresholdAge15,"&lt;"&amp;'19_Расчет_аналитики'!AR560,WeightedMinAge15),MAX(CapacityAge15*'01_Вводные'!$B$218*'19_Расчет_аналитики'!AR560,MeanMinAge15)))</f>
        <v/>
      </c>
      <c r="AS506">
        <f>IF(OR(('19_Расчет_аналитики'!AS422-'19_Расчет_аналитики'!AS450)=0,15&lt;='01_Вводные'!$B$297),0,('19_Расчет_аналитики'!AS422-'19_Расчет_аналитики'!AS450)*IF('01_Вводные'!$B$239="Да",MeanMinAge15+'19_Расчет_аналитики'!AS560*SUMIF(ThresholdAge15,"&lt;"&amp;'19_Расчет_аналитики'!AS560,WeightedRevAge15)-SUMIF(ThresholdAge15,"&lt;"&amp;'19_Расчет_аналитики'!AS560,WeightedMinAge15),MAX(CapacityAge15*'01_Вводные'!$B$218*'19_Расчет_аналитики'!AS560,MeanMinAge15)))</f>
        <v/>
      </c>
      <c r="AT506">
        <f>IF(OR(('19_Расчет_аналитики'!AT422-'19_Расчет_аналитики'!AT450)=0,15&lt;='01_Вводные'!$B$297),0,('19_Расчет_аналитики'!AT422-'19_Расчет_аналитики'!AT450)*IF('01_Вводные'!$B$239="Да",MeanMinAge15+'19_Расчет_аналитики'!AT560*SUMIF(ThresholdAge15,"&lt;"&amp;'19_Расчет_аналитики'!AT560,WeightedRevAge15)-SUMIF(ThresholdAge15,"&lt;"&amp;'19_Расчет_аналитики'!AT560,WeightedMinAge15),MAX(CapacityAge15*'01_Вводные'!$B$218*'19_Расчет_аналитики'!AT560,MeanMinAge15)))</f>
        <v/>
      </c>
      <c r="AU506">
        <f>IF(OR(('19_Расчет_аналитики'!AU422-'19_Расчет_аналитики'!AU450)=0,15&lt;='01_Вводные'!$B$297),0,('19_Расчет_аналитики'!AU422-'19_Расчет_аналитики'!AU450)*IF('01_Вводные'!$B$239="Да",MeanMinAge15+'19_Расчет_аналитики'!AU560*SUMIF(ThresholdAge15,"&lt;"&amp;'19_Расчет_аналитики'!AU560,WeightedRevAge15)-SUMIF(ThresholdAge15,"&lt;"&amp;'19_Расчет_аналитики'!AU560,WeightedMinAge15),MAX(CapacityAge15*'01_Вводные'!$B$218*'19_Расчет_аналитики'!AU560,MeanMinAge15)))</f>
        <v/>
      </c>
      <c r="AV506">
        <f>IF(OR(('19_Расчет_аналитики'!AV422-'19_Расчет_аналитики'!AV450)=0,15&lt;='01_Вводные'!$B$297),0,('19_Расчет_аналитики'!AV422-'19_Расчет_аналитики'!AV450)*IF('01_Вводные'!$B$239="Да",MeanMinAge15+'19_Расчет_аналитики'!AV560*SUMIF(ThresholdAge15,"&lt;"&amp;'19_Расчет_аналитики'!AV560,WeightedRevAge15)-SUMIF(ThresholdAge15,"&lt;"&amp;'19_Расчет_аналитики'!AV560,WeightedMinAge15),MAX(CapacityAge15*'01_Вводные'!$B$218*'19_Расчет_аналитики'!AV560,MeanMinAge15)))</f>
        <v/>
      </c>
      <c r="AW506">
        <f>IF(OR(('19_Расчет_аналитики'!AW422-'19_Расчет_аналитики'!AW450)=0,15&lt;='01_Вводные'!$B$297),0,('19_Расчет_аналитики'!AW422-'19_Расчет_аналитики'!AW450)*IF('01_Вводные'!$B$239="Да",MeanMinAge15+'19_Расчет_аналитики'!AW560*SUMIF(ThresholdAge15,"&lt;"&amp;'19_Расчет_аналитики'!AW560,WeightedRevAge15)-SUMIF(ThresholdAge15,"&lt;"&amp;'19_Расчет_аналитики'!AW560,WeightedMinAge15),MAX(CapacityAge15*'01_Вводные'!$B$218*'19_Расчет_аналитики'!AW560,MeanMinAge15)))</f>
        <v/>
      </c>
      <c r="AX506">
        <f>IF(OR(('19_Расчет_аналитики'!AX422-'19_Расчет_аналитики'!AX450)=0,15&lt;='01_Вводные'!$B$297),0,('19_Расчет_аналитики'!AX422-'19_Расчет_аналитики'!AX450)*IF('01_Вводные'!$B$239="Да",MeanMinAge15+'19_Расчет_аналитики'!AX560*SUMIF(ThresholdAge15,"&lt;"&amp;'19_Расчет_аналитики'!AX560,WeightedRevAge15)-SUMIF(ThresholdAge15,"&lt;"&amp;'19_Расчет_аналитики'!AX560,WeightedMinAge15),MAX(CapacityAge15*'01_Вводные'!$B$218*'19_Расчет_аналитики'!AX560,MeanMinAge15)))</f>
        <v/>
      </c>
      <c r="AY506">
        <f>IF(OR(('19_Расчет_аналитики'!AY422-'19_Расчет_аналитики'!AY450)=0,15&lt;='01_Вводные'!$B$297),0,('19_Расчет_аналитики'!AY422-'19_Расчет_аналитики'!AY450)*IF('01_Вводные'!$B$239="Да",MeanMinAge15+'19_Расчет_аналитики'!AY560*SUMIF(ThresholdAge15,"&lt;"&amp;'19_Расчет_аналитики'!AY560,WeightedRevAge15)-SUMIF(ThresholdAge15,"&lt;"&amp;'19_Расчет_аналитики'!AY560,WeightedMinAge15),MAX(CapacityAge15*'01_Вводные'!$B$218*'19_Расчет_аналитики'!AY560,MeanMinAge15)))</f>
        <v/>
      </c>
      <c r="AZ506">
        <f>IF(OR(('19_Расчет_аналитики'!AZ422-'19_Расчет_аналитики'!AZ450)=0,15&lt;='01_Вводные'!$B$297),0,('19_Расчет_аналитики'!AZ422-'19_Расчет_аналитики'!AZ450)*IF('01_Вводные'!$B$239="Да",MeanMinAge15+'19_Расчет_аналитики'!AZ560*SUMIF(ThresholdAge15,"&lt;"&amp;'19_Расчет_аналитики'!AZ560,WeightedRevAge15)-SUMIF(ThresholdAge15,"&lt;"&amp;'19_Расчет_аналитики'!AZ560,WeightedMinAge15),MAX(CapacityAge15*'01_Вводные'!$B$218*'19_Расчет_аналитики'!AZ560,MeanMinAge15)))</f>
        <v/>
      </c>
      <c r="BA506">
        <f>IF(OR(('19_Расчет_аналитики'!BA422-'19_Расчет_аналитики'!BA450)=0,15&lt;='01_Вводные'!$B$297),0,('19_Расчет_аналитики'!BA422-'19_Расчет_аналитики'!BA450)*IF('01_Вводные'!$B$239="Да",MeanMinAge15+'19_Расчет_аналитики'!BA560*SUMIF(ThresholdAge15,"&lt;"&amp;'19_Расчет_аналитики'!BA560,WeightedRevAge15)-SUMIF(ThresholdAge15,"&lt;"&amp;'19_Расчет_аналитики'!BA560,WeightedMinAge15),MAX(CapacityAge15*'01_Вводные'!$B$218*'19_Расчет_аналитики'!BA560,MeanMinAge15)))</f>
        <v/>
      </c>
      <c r="BB506">
        <f>IF(OR(('19_Расчет_аналитики'!BB422-'19_Расчет_аналитики'!BB450)=0,15&lt;='01_Вводные'!$B$297),0,('19_Расчет_аналитики'!BB422-'19_Расчет_аналитики'!BB450)*IF('01_Вводные'!$B$239="Да",MeanMinAge15+'19_Расчет_аналитики'!BB560*SUMIF(ThresholdAge15,"&lt;"&amp;'19_Расчет_аналитики'!BB560,WeightedRevAge15)-SUMIF(ThresholdAge15,"&lt;"&amp;'19_Расчет_аналитики'!BB560,WeightedMinAge15),MAX(CapacityAge15*'01_Вводные'!$B$218*'19_Расчет_аналитики'!BB560,MeanMinAge15)))</f>
        <v/>
      </c>
      <c r="BC506">
        <f>IF(OR(('19_Расчет_аналитики'!BC422-'19_Расчет_аналитики'!BC450)=0,15&lt;='01_Вводные'!$B$297),0,('19_Расчет_аналитики'!BC422-'19_Расчет_аналитики'!BC450)*IF('01_Вводные'!$B$239="Да",MeanMinAge15+'19_Расчет_аналитики'!BC560*SUMIF(ThresholdAge15,"&lt;"&amp;'19_Расчет_аналитики'!BC560,WeightedRevAge15)-SUMIF(ThresholdAge15,"&lt;"&amp;'19_Расчет_аналитики'!BC560,WeightedMinAge15),MAX(CapacityAge15*'01_Вводные'!$B$218*'19_Расчет_аналитики'!BC560,MeanMinAge15)))</f>
        <v/>
      </c>
      <c r="BD506">
        <f>IF(OR(('19_Расчет_аналитики'!BD422-'19_Расчет_аналитики'!BD450)=0,15&lt;='01_Вводные'!$B$297),0,('19_Расчет_аналитики'!BD422-'19_Расчет_аналитики'!BD450)*IF('01_Вводные'!$B$239="Да",MeanMinAge15+'19_Расчет_аналитики'!BD560*SUMIF(ThresholdAge15,"&lt;"&amp;'19_Расчет_аналитики'!BD560,WeightedRevAge15)-SUMIF(ThresholdAge15,"&lt;"&amp;'19_Расчет_аналитики'!BD560,WeightedMinAge15),MAX(CapacityAge15*'01_Вводные'!$B$218*'19_Расчет_аналитики'!BD560,MeanMinAge15)))</f>
        <v/>
      </c>
      <c r="BE506">
        <f>IF(OR(('19_Расчет_аналитики'!BE422-'19_Расчет_аналитики'!BE450)=0,15&lt;='01_Вводные'!$B$297),0,('19_Расчет_аналитики'!BE422-'19_Расчет_аналитики'!BE450)*IF('01_Вводные'!$B$239="Да",MeanMinAge15+'19_Расчет_аналитики'!BE560*SUMIF(ThresholdAge15,"&lt;"&amp;'19_Расчет_аналитики'!BE560,WeightedRevAge15)-SUMIF(ThresholdAge15,"&lt;"&amp;'19_Расчет_аналитики'!BE560,WeightedMinAge15),MAX(CapacityAge15*'01_Вводные'!$B$218*'19_Расчет_аналитики'!BE560,MeanMinAge15)))</f>
        <v/>
      </c>
      <c r="BF506">
        <f>IF(OR(('19_Расчет_аналитики'!BF422-'19_Расчет_аналитики'!BF450)=0,15&lt;='01_Вводные'!$B$297),0,('19_Расчет_аналитики'!BF422-'19_Расчет_аналитики'!BF450)*IF('01_Вводные'!$B$239="Да",MeanMinAge15+'19_Расчет_аналитики'!BF560*SUMIF(ThresholdAge15,"&lt;"&amp;'19_Расчет_аналитики'!BF560,WeightedRevAge15)-SUMIF(ThresholdAge15,"&lt;"&amp;'19_Расчет_аналитики'!BF560,WeightedMinAge15),MAX(CapacityAge15*'01_Вводные'!$B$218*'19_Расчет_аналитики'!BF560,MeanMinAge15)))</f>
        <v/>
      </c>
      <c r="BG506">
        <f>IF(OR(('19_Расчет_аналитики'!BG422-'19_Расчет_аналитики'!BG450)=0,15&lt;='01_Вводные'!$B$297),0,('19_Расчет_аналитики'!BG422-'19_Расчет_аналитики'!BG450)*IF('01_Вводные'!$B$239="Да",MeanMinAge15+'19_Расчет_аналитики'!BG560*SUMIF(ThresholdAge15,"&lt;"&amp;'19_Расчет_аналитики'!BG560,WeightedRevAge15)-SUMIF(ThresholdAge15,"&lt;"&amp;'19_Расчет_аналитики'!BG560,WeightedMinAge15),MAX(CapacityAge15*'01_Вводные'!$B$218*'19_Расчет_аналитики'!BG560,MeanMinAge15)))</f>
        <v/>
      </c>
      <c r="BH506">
        <f>IF(OR(('19_Расчет_аналитики'!BH422-'19_Расчет_аналитики'!BH450)=0,15&lt;='01_Вводные'!$B$297),0,('19_Расчет_аналитики'!BH422-'19_Расчет_аналитики'!BH450)*IF('01_Вводные'!$B$239="Да",MeanMinAge15+'19_Расчет_аналитики'!BH560*SUMIF(ThresholdAge15,"&lt;"&amp;'19_Расчет_аналитики'!BH560,WeightedRevAge15)-SUMIF(ThresholdAge15,"&lt;"&amp;'19_Расчет_аналитики'!BH560,WeightedMinAge15),MAX(CapacityAge15*'01_Вводные'!$B$218*'19_Расчет_аналитики'!BH560,MeanMinAge15)))</f>
        <v/>
      </c>
      <c r="BI506">
        <f>IF(OR(('19_Расчет_аналитики'!BI422-'19_Расчет_аналитики'!BI450)=0,15&lt;='01_Вводные'!$B$297),0,('19_Расчет_аналитики'!BI422-'19_Расчет_аналитики'!BI450)*IF('01_Вводные'!$B$239="Да",MeanMinAge15+'19_Расчет_аналитики'!BI560*SUMIF(ThresholdAge15,"&lt;"&amp;'19_Расчет_аналитики'!BI560,WeightedRevAge15)-SUMIF(ThresholdAge15,"&lt;"&amp;'19_Расчет_аналитики'!BI560,WeightedMinAge15),MAX(CapacityAge15*'01_Вводные'!$B$218*'19_Расчет_аналитики'!BI560,MeanMinAge15)))</f>
        <v/>
      </c>
      <c r="BJ506">
        <f>IF(OR(('19_Расчет_аналитики'!BJ422-'19_Расчет_аналитики'!BJ450)=0,15&lt;='01_Вводные'!$B$297),0,('19_Расчет_аналитики'!BJ422-'19_Расчет_аналитики'!BJ450)*IF('01_Вводные'!$B$239="Да",MeanMinAge15+'19_Расчет_аналитики'!BJ560*SUMIF(ThresholdAge15,"&lt;"&amp;'19_Расчет_аналитики'!BJ560,WeightedRevAge15)-SUMIF(ThresholdAge15,"&lt;"&amp;'19_Расчет_аналитики'!BJ560,WeightedMinAge15),MAX(CapacityAge15*'01_Вводные'!$B$218*'19_Расчет_аналитики'!BJ560,MeanMinAge15)))</f>
        <v/>
      </c>
      <c r="BK506">
        <f>IF(OR(('19_Расчет_аналитики'!BK422-'19_Расчет_аналитики'!BK450)=0,15&lt;='01_Вводные'!$B$297),0,('19_Расчет_аналитики'!BK422-'19_Расчет_аналитики'!BK450)*IF('01_Вводные'!$B$239="Да",MeanMinAge15+'19_Расчет_аналитики'!BK560*SUMIF(ThresholdAge15,"&lt;"&amp;'19_Расчет_аналитики'!BK560,WeightedRevAge15)-SUMIF(ThresholdAge15,"&lt;"&amp;'19_Расчет_аналитики'!BK560,WeightedMinAge15),MAX(CapacityAge15*'01_Вводные'!$B$218*'19_Расчет_аналитики'!BK560,MeanMinAge15)))</f>
        <v/>
      </c>
      <c r="BL506">
        <f>IF(OR(('19_Расчет_аналитики'!BL422-'19_Расчет_аналитики'!BL450)=0,15&lt;='01_Вводные'!$B$297),0,('19_Расчет_аналитики'!BL422-'19_Расчет_аналитики'!BL450)*IF('01_Вводные'!$B$239="Да",MeanMinAge15+'19_Расчет_аналитики'!BL560*SUMIF(ThresholdAge15,"&lt;"&amp;'19_Расчет_аналитики'!BL560,WeightedRevAge15)-SUMIF(ThresholdAge15,"&lt;"&amp;'19_Расчет_аналитики'!BL560,WeightedMinAge15),MAX(CapacityAge15*'01_Вводные'!$B$218*'19_Расчет_аналитики'!BL560,MeanMinAge15)))</f>
        <v/>
      </c>
      <c r="BM506">
        <f>IF(OR(('19_Расчет_аналитики'!BM422-'19_Расчет_аналитики'!BM450)=0,15&lt;='01_Вводные'!$B$297),0,('19_Расчет_аналитики'!BM422-'19_Расчет_аналитики'!BM450)*IF('01_Вводные'!$B$239="Да",MeanMinAge15+'19_Расчет_аналитики'!BM560*SUMIF(ThresholdAge15,"&lt;"&amp;'19_Расчет_аналитики'!BM560,WeightedRevAge15)-SUMIF(ThresholdAge15,"&lt;"&amp;'19_Расчет_аналитики'!BM560,WeightedMinAge15),MAX(CapacityAge15*'01_Вводные'!$B$218*'19_Расчет_аналитики'!BM560,MeanMinAge15)))</f>
        <v/>
      </c>
      <c r="BN506">
        <f>IF(OR(('19_Расчет_аналитики'!BN422-'19_Расчет_аналитики'!BN450)=0,15&lt;='01_Вводные'!$B$297),0,('19_Расчет_аналитики'!BN422-'19_Расчет_аналитики'!BN450)*IF('01_Вводные'!$B$239="Да",MeanMinAge15+'19_Расчет_аналитики'!BN560*SUMIF(ThresholdAge15,"&lt;"&amp;'19_Расчет_аналитики'!BN560,WeightedRevAge15)-SUMIF(ThresholdAge15,"&lt;"&amp;'19_Расчет_аналитики'!BN560,WeightedMinAge15),MAX(CapacityAge15*'01_Вводные'!$B$218*'19_Расчет_аналитики'!BN560,MeanMinAge15)))</f>
        <v/>
      </c>
      <c r="BO506">
        <f>IF(OR(('19_Расчет_аналитики'!BO422-'19_Расчет_аналитики'!BO450)=0,15&lt;='01_Вводные'!$B$297),0,('19_Расчет_аналитики'!BO422-'19_Расчет_аналитики'!BO450)*IF('01_Вводные'!$B$239="Да",MeanMinAge15+'19_Расчет_аналитики'!BO560*SUMIF(ThresholdAge15,"&lt;"&amp;'19_Расчет_аналитики'!BO560,WeightedRevAge15)-SUMIF(ThresholdAge15,"&lt;"&amp;'19_Расчет_аналитики'!BO560,WeightedMinAge15),MAX(CapacityAge15*'01_Вводные'!$B$218*'19_Расчет_аналитики'!BO560,MeanMinAge15)))</f>
        <v/>
      </c>
    </row>
    <row r="507">
      <c r="B507">
        <f>IF(OR(('06_Сеть_и_дети'!B68-'06_Сеть_и_дети'!B96)=0,16&lt;='01_Вводные'!$B$297),0,('06_Сеть_и_дети'!B68-'06_Сеть_и_дети'!B96)*IF('01_Вводные'!$B$239="Да",MeanMinAge16+'19_Расчет_аналитики'!B560*SUMIF(ThresholdAge16,"&lt;"&amp;'19_Расчет_аналитики'!B560,WeightedRevAge16)-SUMIF(ThresholdAge16,"&lt;"&amp;'19_Расчет_аналитики'!B560,WeightedMinAge16),MAX(CapacityAge16*'01_Вводные'!$B$218*'19_Расчет_аналитики'!B560,MeanMinAge16)))</f>
        <v/>
      </c>
      <c r="C507">
        <f>IF(OR(('06_Сеть_и_дети'!C68-'06_Сеть_и_дети'!C96)=0,16&lt;='01_Вводные'!$B$297),0,('06_Сеть_и_дети'!C68-'06_Сеть_и_дети'!C96)*IF('01_Вводные'!$B$239="Да",MeanMinAge16+'19_Расчет_аналитики'!C560*SUMIF(ThresholdAge16,"&lt;"&amp;'19_Расчет_аналитики'!C560,WeightedRevAge16)-SUMIF(ThresholdAge16,"&lt;"&amp;'19_Расчет_аналитики'!C560,WeightedMinAge16),MAX(CapacityAge16*'01_Вводные'!$B$218*'19_Расчет_аналитики'!C560,MeanMinAge16)))</f>
        <v/>
      </c>
      <c r="D507">
        <f>IF(OR(('06_Сеть_и_дети'!D68-'06_Сеть_и_дети'!D96)=0,16&lt;='01_Вводные'!$B$297),0,('06_Сеть_и_дети'!D68-'06_Сеть_и_дети'!D96)*IF('01_Вводные'!$B$239="Да",MeanMinAge16+'19_Расчет_аналитики'!D560*SUMIF(ThresholdAge16,"&lt;"&amp;'19_Расчет_аналитики'!D560,WeightedRevAge16)-SUMIF(ThresholdAge16,"&lt;"&amp;'19_Расчет_аналитики'!D560,WeightedMinAge16),MAX(CapacityAge16*'01_Вводные'!$B$218*'19_Расчет_аналитики'!D560,MeanMinAge16)))</f>
        <v/>
      </c>
      <c r="E507">
        <f>IF(OR(('06_Сеть_и_дети'!E68-'06_Сеть_и_дети'!E96)=0,16&lt;='01_Вводные'!$B$297),0,('06_Сеть_и_дети'!E68-'06_Сеть_и_дети'!E96)*IF('01_Вводные'!$B$239="Да",MeanMinAge16+'19_Расчет_аналитики'!E560*SUMIF(ThresholdAge16,"&lt;"&amp;'19_Расчет_аналитики'!E560,WeightedRevAge16)-SUMIF(ThresholdAge16,"&lt;"&amp;'19_Расчет_аналитики'!E560,WeightedMinAge16),MAX(CapacityAge16*'01_Вводные'!$B$218*'19_Расчет_аналитики'!E560,MeanMinAge16)))</f>
        <v/>
      </c>
      <c r="F507">
        <f>IF(OR(('06_Сеть_и_дети'!F68-'06_Сеть_и_дети'!F96)=0,16&lt;='01_Вводные'!$B$297),0,('06_Сеть_и_дети'!F68-'06_Сеть_и_дети'!F96)*IF('01_Вводные'!$B$239="Да",MeanMinAge16+'19_Расчет_аналитики'!F560*SUMIF(ThresholdAge16,"&lt;"&amp;'19_Расчет_аналитики'!F560,WeightedRevAge16)-SUMIF(ThresholdAge16,"&lt;"&amp;'19_Расчет_аналитики'!F560,WeightedMinAge16),MAX(CapacityAge16*'01_Вводные'!$B$218*'19_Расчет_аналитики'!F560,MeanMinAge16)))</f>
        <v/>
      </c>
      <c r="G507">
        <f>IF(OR(('06_Сеть_и_дети'!G68-'06_Сеть_и_дети'!G96)=0,16&lt;='01_Вводные'!$B$297),0,('06_Сеть_и_дети'!G68-'06_Сеть_и_дети'!G96)*IF('01_Вводные'!$B$239="Да",MeanMinAge16+'19_Расчет_аналитики'!G560*SUMIF(ThresholdAge16,"&lt;"&amp;'19_Расчет_аналитики'!G560,WeightedRevAge16)-SUMIF(ThresholdAge16,"&lt;"&amp;'19_Расчет_аналитики'!G560,WeightedMinAge16),MAX(CapacityAge16*'01_Вводные'!$B$218*'19_Расчет_аналитики'!G560,MeanMinAge16)))</f>
        <v/>
      </c>
      <c r="H507">
        <f>IF(OR(('06_Сеть_и_дети'!H68-'06_Сеть_и_дети'!H96)=0,16&lt;='01_Вводные'!$B$297),0,('06_Сеть_и_дети'!H68-'06_Сеть_и_дети'!H96)*IF('01_Вводные'!$B$239="Да",MeanMinAge16+'19_Расчет_аналитики'!H560*SUMIF(ThresholdAge16,"&lt;"&amp;'19_Расчет_аналитики'!H560,WeightedRevAge16)-SUMIF(ThresholdAge16,"&lt;"&amp;'19_Расчет_аналитики'!H560,WeightedMinAge16),MAX(CapacityAge16*'01_Вводные'!$B$218*'19_Расчет_аналитики'!H560,MeanMinAge16)))</f>
        <v/>
      </c>
      <c r="I507">
        <f>IF(OR(('06_Сеть_и_дети'!I68-'06_Сеть_и_дети'!I96)=0,16&lt;='01_Вводные'!$B$297),0,('06_Сеть_и_дети'!I68-'06_Сеть_и_дети'!I96)*IF('01_Вводные'!$B$239="Да",MeanMinAge16+'19_Расчет_аналитики'!I560*SUMIF(ThresholdAge16,"&lt;"&amp;'19_Расчет_аналитики'!I560,WeightedRevAge16)-SUMIF(ThresholdAge16,"&lt;"&amp;'19_Расчет_аналитики'!I560,WeightedMinAge16),MAX(CapacityAge16*'01_Вводные'!$B$218*'19_Расчет_аналитики'!I560,MeanMinAge16)))</f>
        <v/>
      </c>
      <c r="J507">
        <f>IF(OR(('06_Сеть_и_дети'!J68-'06_Сеть_и_дети'!J96)=0,16&lt;='01_Вводные'!$B$297),0,('06_Сеть_и_дети'!J68-'06_Сеть_и_дети'!J96)*IF('01_Вводные'!$B$239="Да",MeanMinAge16+'19_Расчет_аналитики'!J560*SUMIF(ThresholdAge16,"&lt;"&amp;'19_Расчет_аналитики'!J560,WeightedRevAge16)-SUMIF(ThresholdAge16,"&lt;"&amp;'19_Расчет_аналитики'!J560,WeightedMinAge16),MAX(CapacityAge16*'01_Вводные'!$B$218*'19_Расчет_аналитики'!J560,MeanMinAge16)))</f>
        <v/>
      </c>
      <c r="K507">
        <f>IF(OR(('06_Сеть_и_дети'!K68-'06_Сеть_и_дети'!K96)=0,16&lt;='01_Вводные'!$B$297),0,('06_Сеть_и_дети'!K68-'06_Сеть_и_дети'!K96)*IF('01_Вводные'!$B$239="Да",MeanMinAge16+'19_Расчет_аналитики'!K560*SUMIF(ThresholdAge16,"&lt;"&amp;'19_Расчет_аналитики'!K560,WeightedRevAge16)-SUMIF(ThresholdAge16,"&lt;"&amp;'19_Расчет_аналитики'!K560,WeightedMinAge16),MAX(CapacityAge16*'01_Вводные'!$B$218*'19_Расчет_аналитики'!K560,MeanMinAge16)))</f>
        <v/>
      </c>
      <c r="L507">
        <f>IF(OR(('06_Сеть_и_дети'!L68-'06_Сеть_и_дети'!L96)=0,16&lt;='01_Вводные'!$B$297),0,('06_Сеть_и_дети'!L68-'06_Сеть_и_дети'!L96)*IF('01_Вводные'!$B$239="Да",MeanMinAge16+'19_Расчет_аналитики'!L560*SUMIF(ThresholdAge16,"&lt;"&amp;'19_Расчет_аналитики'!L560,WeightedRevAge16)-SUMIF(ThresholdAge16,"&lt;"&amp;'19_Расчет_аналитики'!L560,WeightedMinAge16),MAX(CapacityAge16*'01_Вводные'!$B$218*'19_Расчет_аналитики'!L560,MeanMinAge16)))</f>
        <v/>
      </c>
      <c r="M507">
        <f>IF(OR(('06_Сеть_и_дети'!M68-'06_Сеть_и_дети'!M96)=0,16&lt;='01_Вводные'!$B$297),0,('06_Сеть_и_дети'!M68-'06_Сеть_и_дети'!M96)*IF('01_Вводные'!$B$239="Да",MeanMinAge16+'19_Расчет_аналитики'!M560*SUMIF(ThresholdAge16,"&lt;"&amp;'19_Расчет_аналитики'!M560,WeightedRevAge16)-SUMIF(ThresholdAge16,"&lt;"&amp;'19_Расчет_аналитики'!M560,WeightedMinAge16),MAX(CapacityAge16*'01_Вводные'!$B$218*'19_Расчет_аналитики'!M560,MeanMinAge16)))</f>
        <v/>
      </c>
      <c r="N507">
        <f>IF(OR(('06_Сеть_и_дети'!N68-'06_Сеть_и_дети'!N96)=0,16&lt;='01_Вводные'!$B$297),0,('06_Сеть_и_дети'!N68-'06_Сеть_и_дети'!N96)*IF('01_Вводные'!$B$239="Да",MeanMinAge16+'19_Расчет_аналитики'!N560*SUMIF(ThresholdAge16,"&lt;"&amp;'19_Расчет_аналитики'!N560,WeightedRevAge16)-SUMIF(ThresholdAge16,"&lt;"&amp;'19_Расчет_аналитики'!N560,WeightedMinAge16),MAX(CapacityAge16*'01_Вводные'!$B$218*'19_Расчет_аналитики'!N560,MeanMinAge16)))</f>
        <v/>
      </c>
      <c r="O507">
        <f>IF(OR(('06_Сеть_и_дети'!O68-'06_Сеть_и_дети'!O96)=0,16&lt;='01_Вводные'!$B$297),0,('06_Сеть_и_дети'!O68-'06_Сеть_и_дети'!O96)*IF('01_Вводные'!$B$239="Да",MeanMinAge16+'19_Расчет_аналитики'!O560*SUMIF(ThresholdAge16,"&lt;"&amp;'19_Расчет_аналитики'!O560,WeightedRevAge16)-SUMIF(ThresholdAge16,"&lt;"&amp;'19_Расчет_аналитики'!O560,WeightedMinAge16),MAX(CapacityAge16*'01_Вводные'!$B$218*'19_Расчет_аналитики'!O560,MeanMinAge16)))</f>
        <v/>
      </c>
      <c r="P507">
        <f>IF(OR(('06_Сеть_и_дети'!P68-'06_Сеть_и_дети'!P96)=0,16&lt;='01_Вводные'!$B$297),0,('06_Сеть_и_дети'!P68-'06_Сеть_и_дети'!P96)*IF('01_Вводные'!$B$239="Да",MeanMinAge16+'19_Расчет_аналитики'!P560*SUMIF(ThresholdAge16,"&lt;"&amp;'19_Расчет_аналитики'!P560,WeightedRevAge16)-SUMIF(ThresholdAge16,"&lt;"&amp;'19_Расчет_аналитики'!P560,WeightedMinAge16),MAX(CapacityAge16*'01_Вводные'!$B$218*'19_Расчет_аналитики'!P560,MeanMinAge16)))</f>
        <v/>
      </c>
      <c r="Q507">
        <f>IF(OR(('19_Расчет_аналитики'!Q423-'19_Расчет_аналитики'!Q451)=0,16&lt;='01_Вводные'!$B$297),0,('19_Расчет_аналитики'!Q423-'19_Расчет_аналитики'!Q451)*IF('01_Вводные'!$B$239="Да",MeanMinAge16+'19_Расчет_аналитики'!Q560*SUMIF(ThresholdAge16,"&lt;"&amp;'19_Расчет_аналитики'!Q560,WeightedRevAge16)-SUMIF(ThresholdAge16,"&lt;"&amp;'19_Расчет_аналитики'!Q560,WeightedMinAge16),MAX(CapacityAge16*'01_Вводные'!$B$218*'19_Расчет_аналитики'!Q560,MeanMinAge16)))</f>
        <v/>
      </c>
      <c r="R507">
        <f>IF(OR(('19_Расчет_аналитики'!R423-'19_Расчет_аналитики'!R451)=0,16&lt;='01_Вводные'!$B$297),0,('19_Расчет_аналитики'!R423-'19_Расчет_аналитики'!R451)*IF('01_Вводные'!$B$239="Да",MeanMinAge16+'19_Расчет_аналитики'!R560*SUMIF(ThresholdAge16,"&lt;"&amp;'19_Расчет_аналитики'!R560,WeightedRevAge16)-SUMIF(ThresholdAge16,"&lt;"&amp;'19_Расчет_аналитики'!R560,WeightedMinAge16),MAX(CapacityAge16*'01_Вводные'!$B$218*'19_Расчет_аналитики'!R560,MeanMinAge16)))</f>
        <v/>
      </c>
      <c r="S507">
        <f>IF(OR(('19_Расчет_аналитики'!S423-'19_Расчет_аналитики'!S451)=0,16&lt;='01_Вводные'!$B$297),0,('19_Расчет_аналитики'!S423-'19_Расчет_аналитики'!S451)*IF('01_Вводные'!$B$239="Да",MeanMinAge16+'19_Расчет_аналитики'!S560*SUMIF(ThresholdAge16,"&lt;"&amp;'19_Расчет_аналитики'!S560,WeightedRevAge16)-SUMIF(ThresholdAge16,"&lt;"&amp;'19_Расчет_аналитики'!S560,WeightedMinAge16),MAX(CapacityAge16*'01_Вводные'!$B$218*'19_Расчет_аналитики'!S560,MeanMinAge16)))</f>
        <v/>
      </c>
      <c r="T507">
        <f>IF(OR(('19_Расчет_аналитики'!T423-'19_Расчет_аналитики'!T451)=0,16&lt;='01_Вводные'!$B$297),0,('19_Расчет_аналитики'!T423-'19_Расчет_аналитики'!T451)*IF('01_Вводные'!$B$239="Да",MeanMinAge16+'19_Расчет_аналитики'!T560*SUMIF(ThresholdAge16,"&lt;"&amp;'19_Расчет_аналитики'!T560,WeightedRevAge16)-SUMIF(ThresholdAge16,"&lt;"&amp;'19_Расчет_аналитики'!T560,WeightedMinAge16),MAX(CapacityAge16*'01_Вводные'!$B$218*'19_Расчет_аналитики'!T560,MeanMinAge16)))</f>
        <v/>
      </c>
      <c r="U507">
        <f>IF(OR(('19_Расчет_аналитики'!U423-'19_Расчет_аналитики'!U451)=0,16&lt;='01_Вводные'!$B$297),0,('19_Расчет_аналитики'!U423-'19_Расчет_аналитики'!U451)*IF('01_Вводные'!$B$239="Да",MeanMinAge16+'19_Расчет_аналитики'!U560*SUMIF(ThresholdAge16,"&lt;"&amp;'19_Расчет_аналитики'!U560,WeightedRevAge16)-SUMIF(ThresholdAge16,"&lt;"&amp;'19_Расчет_аналитики'!U560,WeightedMinAge16),MAX(CapacityAge16*'01_Вводные'!$B$218*'19_Расчет_аналитики'!U560,MeanMinAge16)))</f>
        <v/>
      </c>
      <c r="V507">
        <f>IF(OR(('19_Расчет_аналитики'!V423-'19_Расчет_аналитики'!V451)=0,16&lt;='01_Вводные'!$B$297),0,('19_Расчет_аналитики'!V423-'19_Расчет_аналитики'!V451)*IF('01_Вводные'!$B$239="Да",MeanMinAge16+'19_Расчет_аналитики'!V560*SUMIF(ThresholdAge16,"&lt;"&amp;'19_Расчет_аналитики'!V560,WeightedRevAge16)-SUMIF(ThresholdAge16,"&lt;"&amp;'19_Расчет_аналитики'!V560,WeightedMinAge16),MAX(CapacityAge16*'01_Вводные'!$B$218*'19_Расчет_аналитики'!V560,MeanMinAge16)))</f>
        <v/>
      </c>
      <c r="W507">
        <f>IF(OR(('19_Расчет_аналитики'!W423-'19_Расчет_аналитики'!W451)=0,16&lt;='01_Вводные'!$B$297),0,('19_Расчет_аналитики'!W423-'19_Расчет_аналитики'!W451)*IF('01_Вводные'!$B$239="Да",MeanMinAge16+'19_Расчет_аналитики'!W560*SUMIF(ThresholdAge16,"&lt;"&amp;'19_Расчет_аналитики'!W560,WeightedRevAge16)-SUMIF(ThresholdAge16,"&lt;"&amp;'19_Расчет_аналитики'!W560,WeightedMinAge16),MAX(CapacityAge16*'01_Вводные'!$B$218*'19_Расчет_аналитики'!W560,MeanMinAge16)))</f>
        <v/>
      </c>
      <c r="X507">
        <f>IF(OR(('19_Расчет_аналитики'!X423-'19_Расчет_аналитики'!X451)=0,16&lt;='01_Вводные'!$B$297),0,('19_Расчет_аналитики'!X423-'19_Расчет_аналитики'!X451)*IF('01_Вводные'!$B$239="Да",MeanMinAge16+'19_Расчет_аналитики'!X560*SUMIF(ThresholdAge16,"&lt;"&amp;'19_Расчет_аналитики'!X560,WeightedRevAge16)-SUMIF(ThresholdAge16,"&lt;"&amp;'19_Расчет_аналитики'!X560,WeightedMinAge16),MAX(CapacityAge16*'01_Вводные'!$B$218*'19_Расчет_аналитики'!X560,MeanMinAge16)))</f>
        <v/>
      </c>
      <c r="Y507">
        <f>IF(OR(('19_Расчет_аналитики'!Y423-'19_Расчет_аналитики'!Y451)=0,16&lt;='01_Вводные'!$B$297),0,('19_Расчет_аналитики'!Y423-'19_Расчет_аналитики'!Y451)*IF('01_Вводные'!$B$239="Да",MeanMinAge16+'19_Расчет_аналитики'!Y560*SUMIF(ThresholdAge16,"&lt;"&amp;'19_Расчет_аналитики'!Y560,WeightedRevAge16)-SUMIF(ThresholdAge16,"&lt;"&amp;'19_Расчет_аналитики'!Y560,WeightedMinAge16),MAX(CapacityAge16*'01_Вводные'!$B$218*'19_Расчет_аналитики'!Y560,MeanMinAge16)))</f>
        <v/>
      </c>
      <c r="Z507">
        <f>IF(OR(('19_Расчет_аналитики'!Z423-'19_Расчет_аналитики'!Z451)=0,16&lt;='01_Вводные'!$B$297),0,('19_Расчет_аналитики'!Z423-'19_Расчет_аналитики'!Z451)*IF('01_Вводные'!$B$239="Да",MeanMinAge16+'19_Расчет_аналитики'!Z560*SUMIF(ThresholdAge16,"&lt;"&amp;'19_Расчет_аналитики'!Z560,WeightedRevAge16)-SUMIF(ThresholdAge16,"&lt;"&amp;'19_Расчет_аналитики'!Z560,WeightedMinAge16),MAX(CapacityAge16*'01_Вводные'!$B$218*'19_Расчет_аналитики'!Z560,MeanMinAge16)))</f>
        <v/>
      </c>
      <c r="AA507">
        <f>IF(OR(('19_Расчет_аналитики'!AA423-'19_Расчет_аналитики'!AA451)=0,16&lt;='01_Вводные'!$B$297),0,('19_Расчет_аналитики'!AA423-'19_Расчет_аналитики'!AA451)*IF('01_Вводные'!$B$239="Да",MeanMinAge16+'19_Расчет_аналитики'!AA560*SUMIF(ThresholdAge16,"&lt;"&amp;'19_Расчет_аналитики'!AA560,WeightedRevAge16)-SUMIF(ThresholdAge16,"&lt;"&amp;'19_Расчет_аналитики'!AA560,WeightedMinAge16),MAX(CapacityAge16*'01_Вводные'!$B$218*'19_Расчет_аналитики'!AA560,MeanMinAge16)))</f>
        <v/>
      </c>
      <c r="AB507">
        <f>IF(OR(('19_Расчет_аналитики'!AB423-'19_Расчет_аналитики'!AB451)=0,16&lt;='01_Вводные'!$B$297),0,('19_Расчет_аналитики'!AB423-'19_Расчет_аналитики'!AB451)*IF('01_Вводные'!$B$239="Да",MeanMinAge16+'19_Расчет_аналитики'!AB560*SUMIF(ThresholdAge16,"&lt;"&amp;'19_Расчет_аналитики'!AB560,WeightedRevAge16)-SUMIF(ThresholdAge16,"&lt;"&amp;'19_Расчет_аналитики'!AB560,WeightedMinAge16),MAX(CapacityAge16*'01_Вводные'!$B$218*'19_Расчет_аналитики'!AB560,MeanMinAge16)))</f>
        <v/>
      </c>
      <c r="AC507">
        <f>IF(OR(('19_Расчет_аналитики'!AC423-'19_Расчет_аналитики'!AC451)=0,16&lt;='01_Вводные'!$B$297),0,('19_Расчет_аналитики'!AC423-'19_Расчет_аналитики'!AC451)*IF('01_Вводные'!$B$239="Да",MeanMinAge16+'19_Расчет_аналитики'!AC560*SUMIF(ThresholdAge16,"&lt;"&amp;'19_Расчет_аналитики'!AC560,WeightedRevAge16)-SUMIF(ThresholdAge16,"&lt;"&amp;'19_Расчет_аналитики'!AC560,WeightedMinAge16),MAX(CapacityAge16*'01_Вводные'!$B$218*'19_Расчет_аналитики'!AC560,MeanMinAge16)))</f>
        <v/>
      </c>
      <c r="AD507">
        <f>IF(OR(('19_Расчет_аналитики'!AD423-'19_Расчет_аналитики'!AD451)=0,16&lt;='01_Вводные'!$B$297),0,('19_Расчет_аналитики'!AD423-'19_Расчет_аналитики'!AD451)*IF('01_Вводные'!$B$239="Да",MeanMinAge16+'19_Расчет_аналитики'!AD560*SUMIF(ThresholdAge16,"&lt;"&amp;'19_Расчет_аналитики'!AD560,WeightedRevAge16)-SUMIF(ThresholdAge16,"&lt;"&amp;'19_Расчет_аналитики'!AD560,WeightedMinAge16),MAX(CapacityAge16*'01_Вводные'!$B$218*'19_Расчет_аналитики'!AD560,MeanMinAge16)))</f>
        <v/>
      </c>
      <c r="AE507">
        <f>IF(OR(('19_Расчет_аналитики'!AE423-'19_Расчет_аналитики'!AE451)=0,16&lt;='01_Вводные'!$B$297),0,('19_Расчет_аналитики'!AE423-'19_Расчет_аналитики'!AE451)*IF('01_Вводные'!$B$239="Да",MeanMinAge16+'19_Расчет_аналитики'!AE560*SUMIF(ThresholdAge16,"&lt;"&amp;'19_Расчет_аналитики'!AE560,WeightedRevAge16)-SUMIF(ThresholdAge16,"&lt;"&amp;'19_Расчет_аналитики'!AE560,WeightedMinAge16),MAX(CapacityAge16*'01_Вводные'!$B$218*'19_Расчет_аналитики'!AE560,MeanMinAge16)))</f>
        <v/>
      </c>
      <c r="AF507">
        <f>IF(OR(('19_Расчет_аналитики'!AF423-'19_Расчет_аналитики'!AF451)=0,16&lt;='01_Вводные'!$B$297),0,('19_Расчет_аналитики'!AF423-'19_Расчет_аналитики'!AF451)*IF('01_Вводные'!$B$239="Да",MeanMinAge16+'19_Расчет_аналитики'!AF560*SUMIF(ThresholdAge16,"&lt;"&amp;'19_Расчет_аналитики'!AF560,WeightedRevAge16)-SUMIF(ThresholdAge16,"&lt;"&amp;'19_Расчет_аналитики'!AF560,WeightedMinAge16),MAX(CapacityAge16*'01_Вводные'!$B$218*'19_Расчет_аналитики'!AF560,MeanMinAge16)))</f>
        <v/>
      </c>
      <c r="AG507">
        <f>IF(OR(('19_Расчет_аналитики'!AG423-'19_Расчет_аналитики'!AG451)=0,16&lt;='01_Вводные'!$B$297),0,('19_Расчет_аналитики'!AG423-'19_Расчет_аналитики'!AG451)*IF('01_Вводные'!$B$239="Да",MeanMinAge16+'19_Расчет_аналитики'!AG560*SUMIF(ThresholdAge16,"&lt;"&amp;'19_Расчет_аналитики'!AG560,WeightedRevAge16)-SUMIF(ThresholdAge16,"&lt;"&amp;'19_Расчет_аналитики'!AG560,WeightedMinAge16),MAX(CapacityAge16*'01_Вводные'!$B$218*'19_Расчет_аналитики'!AG560,MeanMinAge16)))</f>
        <v/>
      </c>
      <c r="AH507">
        <f>IF(OR(('19_Расчет_аналитики'!AH423-'19_Расчет_аналитики'!AH451)=0,16&lt;='01_Вводные'!$B$297),0,('19_Расчет_аналитики'!AH423-'19_Расчет_аналитики'!AH451)*IF('01_Вводные'!$B$239="Да",MeanMinAge16+'19_Расчет_аналитики'!AH560*SUMIF(ThresholdAge16,"&lt;"&amp;'19_Расчет_аналитики'!AH560,WeightedRevAge16)-SUMIF(ThresholdAge16,"&lt;"&amp;'19_Расчет_аналитики'!AH560,WeightedMinAge16),MAX(CapacityAge16*'01_Вводные'!$B$218*'19_Расчет_аналитики'!AH560,MeanMinAge16)))</f>
        <v/>
      </c>
      <c r="AI507">
        <f>IF(OR(('19_Расчет_аналитики'!AI423-'19_Расчет_аналитики'!AI451)=0,16&lt;='01_Вводные'!$B$297),0,('19_Расчет_аналитики'!AI423-'19_Расчет_аналитики'!AI451)*IF('01_Вводные'!$B$239="Да",MeanMinAge16+'19_Расчет_аналитики'!AI560*SUMIF(ThresholdAge16,"&lt;"&amp;'19_Расчет_аналитики'!AI560,WeightedRevAge16)-SUMIF(ThresholdAge16,"&lt;"&amp;'19_Расчет_аналитики'!AI560,WeightedMinAge16),MAX(CapacityAge16*'01_Вводные'!$B$218*'19_Расчет_аналитики'!AI560,MeanMinAge16)))</f>
        <v/>
      </c>
      <c r="AJ507">
        <f>IF(OR(('19_Расчет_аналитики'!AJ423-'19_Расчет_аналитики'!AJ451)=0,16&lt;='01_Вводные'!$B$297),0,('19_Расчет_аналитики'!AJ423-'19_Расчет_аналитики'!AJ451)*IF('01_Вводные'!$B$239="Да",MeanMinAge16+'19_Расчет_аналитики'!AJ560*SUMIF(ThresholdAge16,"&lt;"&amp;'19_Расчет_аналитики'!AJ560,WeightedRevAge16)-SUMIF(ThresholdAge16,"&lt;"&amp;'19_Расчет_аналитики'!AJ560,WeightedMinAge16),MAX(CapacityAge16*'01_Вводные'!$B$218*'19_Расчет_аналитики'!AJ560,MeanMinAge16)))</f>
        <v/>
      </c>
      <c r="AK507">
        <f>IF(OR(('19_Расчет_аналитики'!AK423-'19_Расчет_аналитики'!AK451)=0,16&lt;='01_Вводные'!$B$297),0,('19_Расчет_аналитики'!AK423-'19_Расчет_аналитики'!AK451)*IF('01_Вводные'!$B$239="Да",MeanMinAge16+'19_Расчет_аналитики'!AK560*SUMIF(ThresholdAge16,"&lt;"&amp;'19_Расчет_аналитики'!AK560,WeightedRevAge16)-SUMIF(ThresholdAge16,"&lt;"&amp;'19_Расчет_аналитики'!AK560,WeightedMinAge16),MAX(CapacityAge16*'01_Вводные'!$B$218*'19_Расчет_аналитики'!AK560,MeanMinAge16)))</f>
        <v/>
      </c>
      <c r="AL507">
        <f>IF(OR(('19_Расчет_аналитики'!AL423-'19_Расчет_аналитики'!AL451)=0,16&lt;='01_Вводные'!$B$297),0,('19_Расчет_аналитики'!AL423-'19_Расчет_аналитики'!AL451)*IF('01_Вводные'!$B$239="Да",MeanMinAge16+'19_Расчет_аналитики'!AL560*SUMIF(ThresholdAge16,"&lt;"&amp;'19_Расчет_аналитики'!AL560,WeightedRevAge16)-SUMIF(ThresholdAge16,"&lt;"&amp;'19_Расчет_аналитики'!AL560,WeightedMinAge16),MAX(CapacityAge16*'01_Вводные'!$B$218*'19_Расчет_аналитики'!AL560,MeanMinAge16)))</f>
        <v/>
      </c>
      <c r="AM507">
        <f>IF(OR(('19_Расчет_аналитики'!AM423-'19_Расчет_аналитики'!AM451)=0,16&lt;='01_Вводные'!$B$297),0,('19_Расчет_аналитики'!AM423-'19_Расчет_аналитики'!AM451)*IF('01_Вводные'!$B$239="Да",MeanMinAge16+'19_Расчет_аналитики'!AM560*SUMIF(ThresholdAge16,"&lt;"&amp;'19_Расчет_аналитики'!AM560,WeightedRevAge16)-SUMIF(ThresholdAge16,"&lt;"&amp;'19_Расчет_аналитики'!AM560,WeightedMinAge16),MAX(CapacityAge16*'01_Вводные'!$B$218*'19_Расчет_аналитики'!AM560,MeanMinAge16)))</f>
        <v/>
      </c>
      <c r="AN507">
        <f>IF(OR(('19_Расчет_аналитики'!AN423-'19_Расчет_аналитики'!AN451)=0,16&lt;='01_Вводные'!$B$297),0,('19_Расчет_аналитики'!AN423-'19_Расчет_аналитики'!AN451)*IF('01_Вводные'!$B$239="Да",MeanMinAge16+'19_Расчет_аналитики'!AN560*SUMIF(ThresholdAge16,"&lt;"&amp;'19_Расчет_аналитики'!AN560,WeightedRevAge16)-SUMIF(ThresholdAge16,"&lt;"&amp;'19_Расчет_аналитики'!AN560,WeightedMinAge16),MAX(CapacityAge16*'01_Вводные'!$B$218*'19_Расчет_аналитики'!AN560,MeanMinAge16)))</f>
        <v/>
      </c>
      <c r="AO507">
        <f>IF(OR(('19_Расчет_аналитики'!AO423-'19_Расчет_аналитики'!AO451)=0,16&lt;='01_Вводные'!$B$297),0,('19_Расчет_аналитики'!AO423-'19_Расчет_аналитики'!AO451)*IF('01_Вводные'!$B$239="Да",MeanMinAge16+'19_Расчет_аналитики'!AO560*SUMIF(ThresholdAge16,"&lt;"&amp;'19_Расчет_аналитики'!AO560,WeightedRevAge16)-SUMIF(ThresholdAge16,"&lt;"&amp;'19_Расчет_аналитики'!AO560,WeightedMinAge16),MAX(CapacityAge16*'01_Вводные'!$B$218*'19_Расчет_аналитики'!AO560,MeanMinAge16)))</f>
        <v/>
      </c>
      <c r="AP507">
        <f>IF(OR(('19_Расчет_аналитики'!AP423-'19_Расчет_аналитики'!AP451)=0,16&lt;='01_Вводные'!$B$297),0,('19_Расчет_аналитики'!AP423-'19_Расчет_аналитики'!AP451)*IF('01_Вводные'!$B$239="Да",MeanMinAge16+'19_Расчет_аналитики'!AP560*SUMIF(ThresholdAge16,"&lt;"&amp;'19_Расчет_аналитики'!AP560,WeightedRevAge16)-SUMIF(ThresholdAge16,"&lt;"&amp;'19_Расчет_аналитики'!AP560,WeightedMinAge16),MAX(CapacityAge16*'01_Вводные'!$B$218*'19_Расчет_аналитики'!AP560,MeanMinAge16)))</f>
        <v/>
      </c>
      <c r="AQ507">
        <f>IF(OR(('19_Расчет_аналитики'!AQ423-'19_Расчет_аналитики'!AQ451)=0,16&lt;='01_Вводные'!$B$297),0,('19_Расчет_аналитики'!AQ423-'19_Расчет_аналитики'!AQ451)*IF('01_Вводные'!$B$239="Да",MeanMinAge16+'19_Расчет_аналитики'!AQ560*SUMIF(ThresholdAge16,"&lt;"&amp;'19_Расчет_аналитики'!AQ560,WeightedRevAge16)-SUMIF(ThresholdAge16,"&lt;"&amp;'19_Расчет_аналитики'!AQ560,WeightedMinAge16),MAX(CapacityAge16*'01_Вводные'!$B$218*'19_Расчет_аналитики'!AQ560,MeanMinAge16)))</f>
        <v/>
      </c>
      <c r="AR507">
        <f>IF(OR(('19_Расчет_аналитики'!AR423-'19_Расчет_аналитики'!AR451)=0,16&lt;='01_Вводные'!$B$297),0,('19_Расчет_аналитики'!AR423-'19_Расчет_аналитики'!AR451)*IF('01_Вводные'!$B$239="Да",MeanMinAge16+'19_Расчет_аналитики'!AR560*SUMIF(ThresholdAge16,"&lt;"&amp;'19_Расчет_аналитики'!AR560,WeightedRevAge16)-SUMIF(ThresholdAge16,"&lt;"&amp;'19_Расчет_аналитики'!AR560,WeightedMinAge16),MAX(CapacityAge16*'01_Вводные'!$B$218*'19_Расчет_аналитики'!AR560,MeanMinAge16)))</f>
        <v/>
      </c>
      <c r="AS507">
        <f>IF(OR(('19_Расчет_аналитики'!AS423-'19_Расчет_аналитики'!AS451)=0,16&lt;='01_Вводные'!$B$297),0,('19_Расчет_аналитики'!AS423-'19_Расчет_аналитики'!AS451)*IF('01_Вводные'!$B$239="Да",MeanMinAge16+'19_Расчет_аналитики'!AS560*SUMIF(ThresholdAge16,"&lt;"&amp;'19_Расчет_аналитики'!AS560,WeightedRevAge16)-SUMIF(ThresholdAge16,"&lt;"&amp;'19_Расчет_аналитики'!AS560,WeightedMinAge16),MAX(CapacityAge16*'01_Вводные'!$B$218*'19_Расчет_аналитики'!AS560,MeanMinAge16)))</f>
        <v/>
      </c>
      <c r="AT507">
        <f>IF(OR(('19_Расчет_аналитики'!AT423-'19_Расчет_аналитики'!AT451)=0,16&lt;='01_Вводные'!$B$297),0,('19_Расчет_аналитики'!AT423-'19_Расчет_аналитики'!AT451)*IF('01_Вводные'!$B$239="Да",MeanMinAge16+'19_Расчет_аналитики'!AT560*SUMIF(ThresholdAge16,"&lt;"&amp;'19_Расчет_аналитики'!AT560,WeightedRevAge16)-SUMIF(ThresholdAge16,"&lt;"&amp;'19_Расчет_аналитики'!AT560,WeightedMinAge16),MAX(CapacityAge16*'01_Вводные'!$B$218*'19_Расчет_аналитики'!AT560,MeanMinAge16)))</f>
        <v/>
      </c>
      <c r="AU507">
        <f>IF(OR(('19_Расчет_аналитики'!AU423-'19_Расчет_аналитики'!AU451)=0,16&lt;='01_Вводные'!$B$297),0,('19_Расчет_аналитики'!AU423-'19_Расчет_аналитики'!AU451)*IF('01_Вводные'!$B$239="Да",MeanMinAge16+'19_Расчет_аналитики'!AU560*SUMIF(ThresholdAge16,"&lt;"&amp;'19_Расчет_аналитики'!AU560,WeightedRevAge16)-SUMIF(ThresholdAge16,"&lt;"&amp;'19_Расчет_аналитики'!AU560,WeightedMinAge16),MAX(CapacityAge16*'01_Вводные'!$B$218*'19_Расчет_аналитики'!AU560,MeanMinAge16)))</f>
        <v/>
      </c>
      <c r="AV507">
        <f>IF(OR(('19_Расчет_аналитики'!AV423-'19_Расчет_аналитики'!AV451)=0,16&lt;='01_Вводные'!$B$297),0,('19_Расчет_аналитики'!AV423-'19_Расчет_аналитики'!AV451)*IF('01_Вводные'!$B$239="Да",MeanMinAge16+'19_Расчет_аналитики'!AV560*SUMIF(ThresholdAge16,"&lt;"&amp;'19_Расчет_аналитики'!AV560,WeightedRevAge16)-SUMIF(ThresholdAge16,"&lt;"&amp;'19_Расчет_аналитики'!AV560,WeightedMinAge16),MAX(CapacityAge16*'01_Вводные'!$B$218*'19_Расчет_аналитики'!AV560,MeanMinAge16)))</f>
        <v/>
      </c>
      <c r="AW507">
        <f>IF(OR(('19_Расчет_аналитики'!AW423-'19_Расчет_аналитики'!AW451)=0,16&lt;='01_Вводные'!$B$297),0,('19_Расчет_аналитики'!AW423-'19_Расчет_аналитики'!AW451)*IF('01_Вводные'!$B$239="Да",MeanMinAge16+'19_Расчет_аналитики'!AW560*SUMIF(ThresholdAge16,"&lt;"&amp;'19_Расчет_аналитики'!AW560,WeightedRevAge16)-SUMIF(ThresholdAge16,"&lt;"&amp;'19_Расчет_аналитики'!AW560,WeightedMinAge16),MAX(CapacityAge16*'01_Вводные'!$B$218*'19_Расчет_аналитики'!AW560,MeanMinAge16)))</f>
        <v/>
      </c>
      <c r="AX507">
        <f>IF(OR(('19_Расчет_аналитики'!AX423-'19_Расчет_аналитики'!AX451)=0,16&lt;='01_Вводные'!$B$297),0,('19_Расчет_аналитики'!AX423-'19_Расчет_аналитики'!AX451)*IF('01_Вводные'!$B$239="Да",MeanMinAge16+'19_Расчет_аналитики'!AX560*SUMIF(ThresholdAge16,"&lt;"&amp;'19_Расчет_аналитики'!AX560,WeightedRevAge16)-SUMIF(ThresholdAge16,"&lt;"&amp;'19_Расчет_аналитики'!AX560,WeightedMinAge16),MAX(CapacityAge16*'01_Вводные'!$B$218*'19_Расчет_аналитики'!AX560,MeanMinAge16)))</f>
        <v/>
      </c>
      <c r="AY507">
        <f>IF(OR(('19_Расчет_аналитики'!AY423-'19_Расчет_аналитики'!AY451)=0,16&lt;='01_Вводные'!$B$297),0,('19_Расчет_аналитики'!AY423-'19_Расчет_аналитики'!AY451)*IF('01_Вводные'!$B$239="Да",MeanMinAge16+'19_Расчет_аналитики'!AY560*SUMIF(ThresholdAge16,"&lt;"&amp;'19_Расчет_аналитики'!AY560,WeightedRevAge16)-SUMIF(ThresholdAge16,"&lt;"&amp;'19_Расчет_аналитики'!AY560,WeightedMinAge16),MAX(CapacityAge16*'01_Вводные'!$B$218*'19_Расчет_аналитики'!AY560,MeanMinAge16)))</f>
        <v/>
      </c>
      <c r="AZ507">
        <f>IF(OR(('19_Расчет_аналитики'!AZ423-'19_Расчет_аналитики'!AZ451)=0,16&lt;='01_Вводные'!$B$297),0,('19_Расчет_аналитики'!AZ423-'19_Расчет_аналитики'!AZ451)*IF('01_Вводные'!$B$239="Да",MeanMinAge16+'19_Расчет_аналитики'!AZ560*SUMIF(ThresholdAge16,"&lt;"&amp;'19_Расчет_аналитики'!AZ560,WeightedRevAge16)-SUMIF(ThresholdAge16,"&lt;"&amp;'19_Расчет_аналитики'!AZ560,WeightedMinAge16),MAX(CapacityAge16*'01_Вводные'!$B$218*'19_Расчет_аналитики'!AZ560,MeanMinAge16)))</f>
        <v/>
      </c>
      <c r="BA507">
        <f>IF(OR(('19_Расчет_аналитики'!BA423-'19_Расчет_аналитики'!BA451)=0,16&lt;='01_Вводные'!$B$297),0,('19_Расчет_аналитики'!BA423-'19_Расчет_аналитики'!BA451)*IF('01_Вводные'!$B$239="Да",MeanMinAge16+'19_Расчет_аналитики'!BA560*SUMIF(ThresholdAge16,"&lt;"&amp;'19_Расчет_аналитики'!BA560,WeightedRevAge16)-SUMIF(ThresholdAge16,"&lt;"&amp;'19_Расчет_аналитики'!BA560,WeightedMinAge16),MAX(CapacityAge16*'01_Вводные'!$B$218*'19_Расчет_аналитики'!BA560,MeanMinAge16)))</f>
        <v/>
      </c>
      <c r="BB507">
        <f>IF(OR(('19_Расчет_аналитики'!BB423-'19_Расчет_аналитики'!BB451)=0,16&lt;='01_Вводные'!$B$297),0,('19_Расчет_аналитики'!BB423-'19_Расчет_аналитики'!BB451)*IF('01_Вводные'!$B$239="Да",MeanMinAge16+'19_Расчет_аналитики'!BB560*SUMIF(ThresholdAge16,"&lt;"&amp;'19_Расчет_аналитики'!BB560,WeightedRevAge16)-SUMIF(ThresholdAge16,"&lt;"&amp;'19_Расчет_аналитики'!BB560,WeightedMinAge16),MAX(CapacityAge16*'01_Вводные'!$B$218*'19_Расчет_аналитики'!BB560,MeanMinAge16)))</f>
        <v/>
      </c>
      <c r="BC507">
        <f>IF(OR(('19_Расчет_аналитики'!BC423-'19_Расчет_аналитики'!BC451)=0,16&lt;='01_Вводные'!$B$297),0,('19_Расчет_аналитики'!BC423-'19_Расчет_аналитики'!BC451)*IF('01_Вводные'!$B$239="Да",MeanMinAge16+'19_Расчет_аналитики'!BC560*SUMIF(ThresholdAge16,"&lt;"&amp;'19_Расчет_аналитики'!BC560,WeightedRevAge16)-SUMIF(ThresholdAge16,"&lt;"&amp;'19_Расчет_аналитики'!BC560,WeightedMinAge16),MAX(CapacityAge16*'01_Вводные'!$B$218*'19_Расчет_аналитики'!BC560,MeanMinAge16)))</f>
        <v/>
      </c>
      <c r="BD507">
        <f>IF(OR(('19_Расчет_аналитики'!BD423-'19_Расчет_аналитики'!BD451)=0,16&lt;='01_Вводные'!$B$297),0,('19_Расчет_аналитики'!BD423-'19_Расчет_аналитики'!BD451)*IF('01_Вводные'!$B$239="Да",MeanMinAge16+'19_Расчет_аналитики'!BD560*SUMIF(ThresholdAge16,"&lt;"&amp;'19_Расчет_аналитики'!BD560,WeightedRevAge16)-SUMIF(ThresholdAge16,"&lt;"&amp;'19_Расчет_аналитики'!BD560,WeightedMinAge16),MAX(CapacityAge16*'01_Вводные'!$B$218*'19_Расчет_аналитики'!BD560,MeanMinAge16)))</f>
        <v/>
      </c>
      <c r="BE507">
        <f>IF(OR(('19_Расчет_аналитики'!BE423-'19_Расчет_аналитики'!BE451)=0,16&lt;='01_Вводные'!$B$297),0,('19_Расчет_аналитики'!BE423-'19_Расчет_аналитики'!BE451)*IF('01_Вводные'!$B$239="Да",MeanMinAge16+'19_Расчет_аналитики'!BE560*SUMIF(ThresholdAge16,"&lt;"&amp;'19_Расчет_аналитики'!BE560,WeightedRevAge16)-SUMIF(ThresholdAge16,"&lt;"&amp;'19_Расчет_аналитики'!BE560,WeightedMinAge16),MAX(CapacityAge16*'01_Вводные'!$B$218*'19_Расчет_аналитики'!BE560,MeanMinAge16)))</f>
        <v/>
      </c>
      <c r="BF507">
        <f>IF(OR(('19_Расчет_аналитики'!BF423-'19_Расчет_аналитики'!BF451)=0,16&lt;='01_Вводные'!$B$297),0,('19_Расчет_аналитики'!BF423-'19_Расчет_аналитики'!BF451)*IF('01_Вводные'!$B$239="Да",MeanMinAge16+'19_Расчет_аналитики'!BF560*SUMIF(ThresholdAge16,"&lt;"&amp;'19_Расчет_аналитики'!BF560,WeightedRevAge16)-SUMIF(ThresholdAge16,"&lt;"&amp;'19_Расчет_аналитики'!BF560,WeightedMinAge16),MAX(CapacityAge16*'01_Вводные'!$B$218*'19_Расчет_аналитики'!BF560,MeanMinAge16)))</f>
        <v/>
      </c>
      <c r="BG507">
        <f>IF(OR(('19_Расчет_аналитики'!BG423-'19_Расчет_аналитики'!BG451)=0,16&lt;='01_Вводные'!$B$297),0,('19_Расчет_аналитики'!BG423-'19_Расчет_аналитики'!BG451)*IF('01_Вводные'!$B$239="Да",MeanMinAge16+'19_Расчет_аналитики'!BG560*SUMIF(ThresholdAge16,"&lt;"&amp;'19_Расчет_аналитики'!BG560,WeightedRevAge16)-SUMIF(ThresholdAge16,"&lt;"&amp;'19_Расчет_аналитики'!BG560,WeightedMinAge16),MAX(CapacityAge16*'01_Вводные'!$B$218*'19_Расчет_аналитики'!BG560,MeanMinAge16)))</f>
        <v/>
      </c>
      <c r="BH507">
        <f>IF(OR(('19_Расчет_аналитики'!BH423-'19_Расчет_аналитики'!BH451)=0,16&lt;='01_Вводные'!$B$297),0,('19_Расчет_аналитики'!BH423-'19_Расчет_аналитики'!BH451)*IF('01_Вводные'!$B$239="Да",MeanMinAge16+'19_Расчет_аналитики'!BH560*SUMIF(ThresholdAge16,"&lt;"&amp;'19_Расчет_аналитики'!BH560,WeightedRevAge16)-SUMIF(ThresholdAge16,"&lt;"&amp;'19_Расчет_аналитики'!BH560,WeightedMinAge16),MAX(CapacityAge16*'01_Вводные'!$B$218*'19_Расчет_аналитики'!BH560,MeanMinAge16)))</f>
        <v/>
      </c>
      <c r="BI507">
        <f>IF(OR(('19_Расчет_аналитики'!BI423-'19_Расчет_аналитики'!BI451)=0,16&lt;='01_Вводные'!$B$297),0,('19_Расчет_аналитики'!BI423-'19_Расчет_аналитики'!BI451)*IF('01_Вводные'!$B$239="Да",MeanMinAge16+'19_Расчет_аналитики'!BI560*SUMIF(ThresholdAge16,"&lt;"&amp;'19_Расчет_аналитики'!BI560,WeightedRevAge16)-SUMIF(ThresholdAge16,"&lt;"&amp;'19_Расчет_аналитики'!BI560,WeightedMinAge16),MAX(CapacityAge16*'01_Вводные'!$B$218*'19_Расчет_аналитики'!BI560,MeanMinAge16)))</f>
        <v/>
      </c>
      <c r="BJ507">
        <f>IF(OR(('19_Расчет_аналитики'!BJ423-'19_Расчет_аналитики'!BJ451)=0,16&lt;='01_Вводные'!$B$297),0,('19_Расчет_аналитики'!BJ423-'19_Расчет_аналитики'!BJ451)*IF('01_Вводные'!$B$239="Да",MeanMinAge16+'19_Расчет_аналитики'!BJ560*SUMIF(ThresholdAge16,"&lt;"&amp;'19_Расчет_аналитики'!BJ560,WeightedRevAge16)-SUMIF(ThresholdAge16,"&lt;"&amp;'19_Расчет_аналитики'!BJ560,WeightedMinAge16),MAX(CapacityAge16*'01_Вводные'!$B$218*'19_Расчет_аналитики'!BJ560,MeanMinAge16)))</f>
        <v/>
      </c>
      <c r="BK507">
        <f>IF(OR(('19_Расчет_аналитики'!BK423-'19_Расчет_аналитики'!BK451)=0,16&lt;='01_Вводные'!$B$297),0,('19_Расчет_аналитики'!BK423-'19_Расчет_аналитики'!BK451)*IF('01_Вводные'!$B$239="Да",MeanMinAge16+'19_Расчет_аналитики'!BK560*SUMIF(ThresholdAge16,"&lt;"&amp;'19_Расчет_аналитики'!BK560,WeightedRevAge16)-SUMIF(ThresholdAge16,"&lt;"&amp;'19_Расчет_аналитики'!BK560,WeightedMinAge16),MAX(CapacityAge16*'01_Вводные'!$B$218*'19_Расчет_аналитики'!BK560,MeanMinAge16)))</f>
        <v/>
      </c>
      <c r="BL507">
        <f>IF(OR(('19_Расчет_аналитики'!BL423-'19_Расчет_аналитики'!BL451)=0,16&lt;='01_Вводные'!$B$297),0,('19_Расчет_аналитики'!BL423-'19_Расчет_аналитики'!BL451)*IF('01_Вводные'!$B$239="Да",MeanMinAge16+'19_Расчет_аналитики'!BL560*SUMIF(ThresholdAge16,"&lt;"&amp;'19_Расчет_аналитики'!BL560,WeightedRevAge16)-SUMIF(ThresholdAge16,"&lt;"&amp;'19_Расчет_аналитики'!BL560,WeightedMinAge16),MAX(CapacityAge16*'01_Вводные'!$B$218*'19_Расчет_аналитики'!BL560,MeanMinAge16)))</f>
        <v/>
      </c>
      <c r="BM507">
        <f>IF(OR(('19_Расчет_аналитики'!BM423-'19_Расчет_аналитики'!BM451)=0,16&lt;='01_Вводные'!$B$297),0,('19_Расчет_аналитики'!BM423-'19_Расчет_аналитики'!BM451)*IF('01_Вводные'!$B$239="Да",MeanMinAge16+'19_Расчет_аналитики'!BM560*SUMIF(ThresholdAge16,"&lt;"&amp;'19_Расчет_аналитики'!BM560,WeightedRevAge16)-SUMIF(ThresholdAge16,"&lt;"&amp;'19_Расчет_аналитики'!BM560,WeightedMinAge16),MAX(CapacityAge16*'01_Вводные'!$B$218*'19_Расчет_аналитики'!BM560,MeanMinAge16)))</f>
        <v/>
      </c>
      <c r="BN507">
        <f>IF(OR(('19_Расчет_аналитики'!BN423-'19_Расчет_аналитики'!BN451)=0,16&lt;='01_Вводные'!$B$297),0,('19_Расчет_аналитики'!BN423-'19_Расчет_аналитики'!BN451)*IF('01_Вводные'!$B$239="Да",MeanMinAge16+'19_Расчет_аналитики'!BN560*SUMIF(ThresholdAge16,"&lt;"&amp;'19_Расчет_аналитики'!BN560,WeightedRevAge16)-SUMIF(ThresholdAge16,"&lt;"&amp;'19_Расчет_аналитики'!BN560,WeightedMinAge16),MAX(CapacityAge16*'01_Вводные'!$B$218*'19_Расчет_аналитики'!BN560,MeanMinAge16)))</f>
        <v/>
      </c>
      <c r="BO507">
        <f>IF(OR(('19_Расчет_аналитики'!BO423-'19_Расчет_аналитики'!BO451)=0,16&lt;='01_Вводные'!$B$297),0,('19_Расчет_аналитики'!BO423-'19_Расчет_аналитики'!BO451)*IF('01_Вводные'!$B$239="Да",MeanMinAge16+'19_Расчет_аналитики'!BO560*SUMIF(ThresholdAge16,"&lt;"&amp;'19_Расчет_аналитики'!BO560,WeightedRevAge16)-SUMIF(ThresholdAge16,"&lt;"&amp;'19_Расчет_аналитики'!BO560,WeightedMinAge16),MAX(CapacityAge16*'01_Вводные'!$B$218*'19_Расчет_аналитики'!BO560,MeanMinAge16)))</f>
        <v/>
      </c>
    </row>
    <row r="508">
      <c r="B508">
        <f>IF(OR(('06_Сеть_и_дети'!B69-'06_Сеть_и_дети'!B97)=0,17&lt;='01_Вводные'!$B$297),0,('06_Сеть_и_дети'!B69-'06_Сеть_и_дети'!B97)*IF('01_Вводные'!$B$239="Да",MeanMinAge17+'19_Расчет_аналитики'!B560*SUMIF(ThresholdAge17,"&lt;"&amp;'19_Расчет_аналитики'!B560,WeightedRevAge17)-SUMIF(ThresholdAge17,"&lt;"&amp;'19_Расчет_аналитики'!B560,WeightedMinAge17),MAX(CapacityAge17*'01_Вводные'!$B$218*'19_Расчет_аналитики'!B560,MeanMinAge17)))</f>
        <v/>
      </c>
      <c r="C508">
        <f>IF(OR(('06_Сеть_и_дети'!C69-'06_Сеть_и_дети'!C97)=0,17&lt;='01_Вводные'!$B$297),0,('06_Сеть_и_дети'!C69-'06_Сеть_и_дети'!C97)*IF('01_Вводные'!$B$239="Да",MeanMinAge17+'19_Расчет_аналитики'!C560*SUMIF(ThresholdAge17,"&lt;"&amp;'19_Расчет_аналитики'!C560,WeightedRevAge17)-SUMIF(ThresholdAge17,"&lt;"&amp;'19_Расчет_аналитики'!C560,WeightedMinAge17),MAX(CapacityAge17*'01_Вводные'!$B$218*'19_Расчет_аналитики'!C560,MeanMinAge17)))</f>
        <v/>
      </c>
      <c r="D508">
        <f>IF(OR(('06_Сеть_и_дети'!D69-'06_Сеть_и_дети'!D97)=0,17&lt;='01_Вводные'!$B$297),0,('06_Сеть_и_дети'!D69-'06_Сеть_и_дети'!D97)*IF('01_Вводные'!$B$239="Да",MeanMinAge17+'19_Расчет_аналитики'!D560*SUMIF(ThresholdAge17,"&lt;"&amp;'19_Расчет_аналитики'!D560,WeightedRevAge17)-SUMIF(ThresholdAge17,"&lt;"&amp;'19_Расчет_аналитики'!D560,WeightedMinAge17),MAX(CapacityAge17*'01_Вводные'!$B$218*'19_Расчет_аналитики'!D560,MeanMinAge17)))</f>
        <v/>
      </c>
      <c r="E508">
        <f>IF(OR(('06_Сеть_и_дети'!E69-'06_Сеть_и_дети'!E97)=0,17&lt;='01_Вводные'!$B$297),0,('06_Сеть_и_дети'!E69-'06_Сеть_и_дети'!E97)*IF('01_Вводные'!$B$239="Да",MeanMinAge17+'19_Расчет_аналитики'!E560*SUMIF(ThresholdAge17,"&lt;"&amp;'19_Расчет_аналитики'!E560,WeightedRevAge17)-SUMIF(ThresholdAge17,"&lt;"&amp;'19_Расчет_аналитики'!E560,WeightedMinAge17),MAX(CapacityAge17*'01_Вводные'!$B$218*'19_Расчет_аналитики'!E560,MeanMinAge17)))</f>
        <v/>
      </c>
      <c r="F508">
        <f>IF(OR(('06_Сеть_и_дети'!F69-'06_Сеть_и_дети'!F97)=0,17&lt;='01_Вводные'!$B$297),0,('06_Сеть_и_дети'!F69-'06_Сеть_и_дети'!F97)*IF('01_Вводные'!$B$239="Да",MeanMinAge17+'19_Расчет_аналитики'!F560*SUMIF(ThresholdAge17,"&lt;"&amp;'19_Расчет_аналитики'!F560,WeightedRevAge17)-SUMIF(ThresholdAge17,"&lt;"&amp;'19_Расчет_аналитики'!F560,WeightedMinAge17),MAX(CapacityAge17*'01_Вводные'!$B$218*'19_Расчет_аналитики'!F560,MeanMinAge17)))</f>
        <v/>
      </c>
      <c r="G508">
        <f>IF(OR(('06_Сеть_и_дети'!G69-'06_Сеть_и_дети'!G97)=0,17&lt;='01_Вводные'!$B$297),0,('06_Сеть_и_дети'!G69-'06_Сеть_и_дети'!G97)*IF('01_Вводные'!$B$239="Да",MeanMinAge17+'19_Расчет_аналитики'!G560*SUMIF(ThresholdAge17,"&lt;"&amp;'19_Расчет_аналитики'!G560,WeightedRevAge17)-SUMIF(ThresholdAge17,"&lt;"&amp;'19_Расчет_аналитики'!G560,WeightedMinAge17),MAX(CapacityAge17*'01_Вводные'!$B$218*'19_Расчет_аналитики'!G560,MeanMinAge17)))</f>
        <v/>
      </c>
      <c r="H508">
        <f>IF(OR(('06_Сеть_и_дети'!H69-'06_Сеть_и_дети'!H97)=0,17&lt;='01_Вводные'!$B$297),0,('06_Сеть_и_дети'!H69-'06_Сеть_и_дети'!H97)*IF('01_Вводные'!$B$239="Да",MeanMinAge17+'19_Расчет_аналитики'!H560*SUMIF(ThresholdAge17,"&lt;"&amp;'19_Расчет_аналитики'!H560,WeightedRevAge17)-SUMIF(ThresholdAge17,"&lt;"&amp;'19_Расчет_аналитики'!H560,WeightedMinAge17),MAX(CapacityAge17*'01_Вводные'!$B$218*'19_Расчет_аналитики'!H560,MeanMinAge17)))</f>
        <v/>
      </c>
      <c r="I508">
        <f>IF(OR(('06_Сеть_и_дети'!I69-'06_Сеть_и_дети'!I97)=0,17&lt;='01_Вводные'!$B$297),0,('06_Сеть_и_дети'!I69-'06_Сеть_и_дети'!I97)*IF('01_Вводные'!$B$239="Да",MeanMinAge17+'19_Расчет_аналитики'!I560*SUMIF(ThresholdAge17,"&lt;"&amp;'19_Расчет_аналитики'!I560,WeightedRevAge17)-SUMIF(ThresholdAge17,"&lt;"&amp;'19_Расчет_аналитики'!I560,WeightedMinAge17),MAX(CapacityAge17*'01_Вводные'!$B$218*'19_Расчет_аналитики'!I560,MeanMinAge17)))</f>
        <v/>
      </c>
      <c r="J508">
        <f>IF(OR(('06_Сеть_и_дети'!J69-'06_Сеть_и_дети'!J97)=0,17&lt;='01_Вводные'!$B$297),0,('06_Сеть_и_дети'!J69-'06_Сеть_и_дети'!J97)*IF('01_Вводные'!$B$239="Да",MeanMinAge17+'19_Расчет_аналитики'!J560*SUMIF(ThresholdAge17,"&lt;"&amp;'19_Расчет_аналитики'!J560,WeightedRevAge17)-SUMIF(ThresholdAge17,"&lt;"&amp;'19_Расчет_аналитики'!J560,WeightedMinAge17),MAX(CapacityAge17*'01_Вводные'!$B$218*'19_Расчет_аналитики'!J560,MeanMinAge17)))</f>
        <v/>
      </c>
      <c r="K508">
        <f>IF(OR(('06_Сеть_и_дети'!K69-'06_Сеть_и_дети'!K97)=0,17&lt;='01_Вводные'!$B$297),0,('06_Сеть_и_дети'!K69-'06_Сеть_и_дети'!K97)*IF('01_Вводные'!$B$239="Да",MeanMinAge17+'19_Расчет_аналитики'!K560*SUMIF(ThresholdAge17,"&lt;"&amp;'19_Расчет_аналитики'!K560,WeightedRevAge17)-SUMIF(ThresholdAge17,"&lt;"&amp;'19_Расчет_аналитики'!K560,WeightedMinAge17),MAX(CapacityAge17*'01_Вводные'!$B$218*'19_Расчет_аналитики'!K560,MeanMinAge17)))</f>
        <v/>
      </c>
      <c r="L508">
        <f>IF(OR(('06_Сеть_и_дети'!L69-'06_Сеть_и_дети'!L97)=0,17&lt;='01_Вводные'!$B$297),0,('06_Сеть_и_дети'!L69-'06_Сеть_и_дети'!L97)*IF('01_Вводные'!$B$239="Да",MeanMinAge17+'19_Расчет_аналитики'!L560*SUMIF(ThresholdAge17,"&lt;"&amp;'19_Расчет_аналитики'!L560,WeightedRevAge17)-SUMIF(ThresholdAge17,"&lt;"&amp;'19_Расчет_аналитики'!L560,WeightedMinAge17),MAX(CapacityAge17*'01_Вводные'!$B$218*'19_Расчет_аналитики'!L560,MeanMinAge17)))</f>
        <v/>
      </c>
      <c r="M508">
        <f>IF(OR(('06_Сеть_и_дети'!M69-'06_Сеть_и_дети'!M97)=0,17&lt;='01_Вводные'!$B$297),0,('06_Сеть_и_дети'!M69-'06_Сеть_и_дети'!M97)*IF('01_Вводные'!$B$239="Да",MeanMinAge17+'19_Расчет_аналитики'!M560*SUMIF(ThresholdAge17,"&lt;"&amp;'19_Расчет_аналитики'!M560,WeightedRevAge17)-SUMIF(ThresholdAge17,"&lt;"&amp;'19_Расчет_аналитики'!M560,WeightedMinAge17),MAX(CapacityAge17*'01_Вводные'!$B$218*'19_Расчет_аналитики'!M560,MeanMinAge17)))</f>
        <v/>
      </c>
      <c r="N508">
        <f>IF(OR(('06_Сеть_и_дети'!N69-'06_Сеть_и_дети'!N97)=0,17&lt;='01_Вводные'!$B$297),0,('06_Сеть_и_дети'!N69-'06_Сеть_и_дети'!N97)*IF('01_Вводные'!$B$239="Да",MeanMinAge17+'19_Расчет_аналитики'!N560*SUMIF(ThresholdAge17,"&lt;"&amp;'19_Расчет_аналитики'!N560,WeightedRevAge17)-SUMIF(ThresholdAge17,"&lt;"&amp;'19_Расчет_аналитики'!N560,WeightedMinAge17),MAX(CapacityAge17*'01_Вводные'!$B$218*'19_Расчет_аналитики'!N560,MeanMinAge17)))</f>
        <v/>
      </c>
      <c r="O508">
        <f>IF(OR(('06_Сеть_и_дети'!O69-'06_Сеть_и_дети'!O97)=0,17&lt;='01_Вводные'!$B$297),0,('06_Сеть_и_дети'!O69-'06_Сеть_и_дети'!O97)*IF('01_Вводные'!$B$239="Да",MeanMinAge17+'19_Расчет_аналитики'!O560*SUMIF(ThresholdAge17,"&lt;"&amp;'19_Расчет_аналитики'!O560,WeightedRevAge17)-SUMIF(ThresholdAge17,"&lt;"&amp;'19_Расчет_аналитики'!O560,WeightedMinAge17),MAX(CapacityAge17*'01_Вводные'!$B$218*'19_Расчет_аналитики'!O560,MeanMinAge17)))</f>
        <v/>
      </c>
      <c r="P508">
        <f>IF(OR(('06_Сеть_и_дети'!P69-'06_Сеть_и_дети'!P97)=0,17&lt;='01_Вводные'!$B$297),0,('06_Сеть_и_дети'!P69-'06_Сеть_и_дети'!P97)*IF('01_Вводные'!$B$239="Да",MeanMinAge17+'19_Расчет_аналитики'!P560*SUMIF(ThresholdAge17,"&lt;"&amp;'19_Расчет_аналитики'!P560,WeightedRevAge17)-SUMIF(ThresholdAge17,"&lt;"&amp;'19_Расчет_аналитики'!P560,WeightedMinAge17),MAX(CapacityAge17*'01_Вводные'!$B$218*'19_Расчет_аналитики'!P560,MeanMinAge17)))</f>
        <v/>
      </c>
      <c r="Q508">
        <f>IF(OR(('06_Сеть_и_дети'!Q69-'06_Сеть_и_дети'!Q97)=0,17&lt;='01_Вводные'!$B$297),0,('06_Сеть_и_дети'!Q69-'06_Сеть_и_дети'!Q97)*IF('01_Вводные'!$B$239="Да",MeanMinAge17+'19_Расчет_аналитики'!Q560*SUMIF(ThresholdAge17,"&lt;"&amp;'19_Расчет_аналитики'!Q560,WeightedRevAge17)-SUMIF(ThresholdAge17,"&lt;"&amp;'19_Расчет_аналитики'!Q560,WeightedMinAge17),MAX(CapacityAge17*'01_Вводные'!$B$218*'19_Расчет_аналитики'!Q560,MeanMinAge17)))</f>
        <v/>
      </c>
      <c r="R508">
        <f>IF(OR(('19_Расчет_аналитики'!R424-'19_Расчет_аналитики'!R452)=0,17&lt;='01_Вводные'!$B$297),0,('19_Расчет_аналитики'!R424-'19_Расчет_аналитики'!R452)*IF('01_Вводные'!$B$239="Да",MeanMinAge17+'19_Расчет_аналитики'!R560*SUMIF(ThresholdAge17,"&lt;"&amp;'19_Расчет_аналитики'!R560,WeightedRevAge17)-SUMIF(ThresholdAge17,"&lt;"&amp;'19_Расчет_аналитики'!R560,WeightedMinAge17),MAX(CapacityAge17*'01_Вводные'!$B$218*'19_Расчет_аналитики'!R560,MeanMinAge17)))</f>
        <v/>
      </c>
      <c r="S508">
        <f>IF(OR(('19_Расчет_аналитики'!S424-'19_Расчет_аналитики'!S452)=0,17&lt;='01_Вводные'!$B$297),0,('19_Расчет_аналитики'!S424-'19_Расчет_аналитики'!S452)*IF('01_Вводные'!$B$239="Да",MeanMinAge17+'19_Расчет_аналитики'!S560*SUMIF(ThresholdAge17,"&lt;"&amp;'19_Расчет_аналитики'!S560,WeightedRevAge17)-SUMIF(ThresholdAge17,"&lt;"&amp;'19_Расчет_аналитики'!S560,WeightedMinAge17),MAX(CapacityAge17*'01_Вводные'!$B$218*'19_Расчет_аналитики'!S560,MeanMinAge17)))</f>
        <v/>
      </c>
      <c r="T508">
        <f>IF(OR(('19_Расчет_аналитики'!T424-'19_Расчет_аналитики'!T452)=0,17&lt;='01_Вводные'!$B$297),0,('19_Расчет_аналитики'!T424-'19_Расчет_аналитики'!T452)*IF('01_Вводные'!$B$239="Да",MeanMinAge17+'19_Расчет_аналитики'!T560*SUMIF(ThresholdAge17,"&lt;"&amp;'19_Расчет_аналитики'!T560,WeightedRevAge17)-SUMIF(ThresholdAge17,"&lt;"&amp;'19_Расчет_аналитики'!T560,WeightedMinAge17),MAX(CapacityAge17*'01_Вводные'!$B$218*'19_Расчет_аналитики'!T560,MeanMinAge17)))</f>
        <v/>
      </c>
      <c r="U508">
        <f>IF(OR(('19_Расчет_аналитики'!U424-'19_Расчет_аналитики'!U452)=0,17&lt;='01_Вводные'!$B$297),0,('19_Расчет_аналитики'!U424-'19_Расчет_аналитики'!U452)*IF('01_Вводные'!$B$239="Да",MeanMinAge17+'19_Расчет_аналитики'!U560*SUMIF(ThresholdAge17,"&lt;"&amp;'19_Расчет_аналитики'!U560,WeightedRevAge17)-SUMIF(ThresholdAge17,"&lt;"&amp;'19_Расчет_аналитики'!U560,WeightedMinAge17),MAX(CapacityAge17*'01_Вводные'!$B$218*'19_Расчет_аналитики'!U560,MeanMinAge17)))</f>
        <v/>
      </c>
      <c r="V508">
        <f>IF(OR(('19_Расчет_аналитики'!V424-'19_Расчет_аналитики'!V452)=0,17&lt;='01_Вводные'!$B$297),0,('19_Расчет_аналитики'!V424-'19_Расчет_аналитики'!V452)*IF('01_Вводные'!$B$239="Да",MeanMinAge17+'19_Расчет_аналитики'!V560*SUMIF(ThresholdAge17,"&lt;"&amp;'19_Расчет_аналитики'!V560,WeightedRevAge17)-SUMIF(ThresholdAge17,"&lt;"&amp;'19_Расчет_аналитики'!V560,WeightedMinAge17),MAX(CapacityAge17*'01_Вводные'!$B$218*'19_Расчет_аналитики'!V560,MeanMinAge17)))</f>
        <v/>
      </c>
      <c r="W508">
        <f>IF(OR(('19_Расчет_аналитики'!W424-'19_Расчет_аналитики'!W452)=0,17&lt;='01_Вводные'!$B$297),0,('19_Расчет_аналитики'!W424-'19_Расчет_аналитики'!W452)*IF('01_Вводные'!$B$239="Да",MeanMinAge17+'19_Расчет_аналитики'!W560*SUMIF(ThresholdAge17,"&lt;"&amp;'19_Расчет_аналитики'!W560,WeightedRevAge17)-SUMIF(ThresholdAge17,"&lt;"&amp;'19_Расчет_аналитики'!W560,WeightedMinAge17),MAX(CapacityAge17*'01_Вводные'!$B$218*'19_Расчет_аналитики'!W560,MeanMinAge17)))</f>
        <v/>
      </c>
      <c r="X508">
        <f>IF(OR(('19_Расчет_аналитики'!X424-'19_Расчет_аналитики'!X452)=0,17&lt;='01_Вводные'!$B$297),0,('19_Расчет_аналитики'!X424-'19_Расчет_аналитики'!X452)*IF('01_Вводные'!$B$239="Да",MeanMinAge17+'19_Расчет_аналитики'!X560*SUMIF(ThresholdAge17,"&lt;"&amp;'19_Расчет_аналитики'!X560,WeightedRevAge17)-SUMIF(ThresholdAge17,"&lt;"&amp;'19_Расчет_аналитики'!X560,WeightedMinAge17),MAX(CapacityAge17*'01_Вводные'!$B$218*'19_Расчет_аналитики'!X560,MeanMinAge17)))</f>
        <v/>
      </c>
      <c r="Y508">
        <f>IF(OR(('19_Расчет_аналитики'!Y424-'19_Расчет_аналитики'!Y452)=0,17&lt;='01_Вводные'!$B$297),0,('19_Расчет_аналитики'!Y424-'19_Расчет_аналитики'!Y452)*IF('01_Вводные'!$B$239="Да",MeanMinAge17+'19_Расчет_аналитики'!Y560*SUMIF(ThresholdAge17,"&lt;"&amp;'19_Расчет_аналитики'!Y560,WeightedRevAge17)-SUMIF(ThresholdAge17,"&lt;"&amp;'19_Расчет_аналитики'!Y560,WeightedMinAge17),MAX(CapacityAge17*'01_Вводные'!$B$218*'19_Расчет_аналитики'!Y560,MeanMinAge17)))</f>
        <v/>
      </c>
      <c r="Z508">
        <f>IF(OR(('19_Расчет_аналитики'!Z424-'19_Расчет_аналитики'!Z452)=0,17&lt;='01_Вводные'!$B$297),0,('19_Расчет_аналитики'!Z424-'19_Расчет_аналитики'!Z452)*IF('01_Вводные'!$B$239="Да",MeanMinAge17+'19_Расчет_аналитики'!Z560*SUMIF(ThresholdAge17,"&lt;"&amp;'19_Расчет_аналитики'!Z560,WeightedRevAge17)-SUMIF(ThresholdAge17,"&lt;"&amp;'19_Расчет_аналитики'!Z560,WeightedMinAge17),MAX(CapacityAge17*'01_Вводные'!$B$218*'19_Расчет_аналитики'!Z560,MeanMinAge17)))</f>
        <v/>
      </c>
      <c r="AA508">
        <f>IF(OR(('19_Расчет_аналитики'!AA424-'19_Расчет_аналитики'!AA452)=0,17&lt;='01_Вводные'!$B$297),0,('19_Расчет_аналитики'!AA424-'19_Расчет_аналитики'!AA452)*IF('01_Вводные'!$B$239="Да",MeanMinAge17+'19_Расчет_аналитики'!AA560*SUMIF(ThresholdAge17,"&lt;"&amp;'19_Расчет_аналитики'!AA560,WeightedRevAge17)-SUMIF(ThresholdAge17,"&lt;"&amp;'19_Расчет_аналитики'!AA560,WeightedMinAge17),MAX(CapacityAge17*'01_Вводные'!$B$218*'19_Расчет_аналитики'!AA560,MeanMinAge17)))</f>
        <v/>
      </c>
      <c r="AB508">
        <f>IF(OR(('19_Расчет_аналитики'!AB424-'19_Расчет_аналитики'!AB452)=0,17&lt;='01_Вводные'!$B$297),0,('19_Расчет_аналитики'!AB424-'19_Расчет_аналитики'!AB452)*IF('01_Вводные'!$B$239="Да",MeanMinAge17+'19_Расчет_аналитики'!AB560*SUMIF(ThresholdAge17,"&lt;"&amp;'19_Расчет_аналитики'!AB560,WeightedRevAge17)-SUMIF(ThresholdAge17,"&lt;"&amp;'19_Расчет_аналитики'!AB560,WeightedMinAge17),MAX(CapacityAge17*'01_Вводные'!$B$218*'19_Расчет_аналитики'!AB560,MeanMinAge17)))</f>
        <v/>
      </c>
      <c r="AC508">
        <f>IF(OR(('19_Расчет_аналитики'!AC424-'19_Расчет_аналитики'!AC452)=0,17&lt;='01_Вводные'!$B$297),0,('19_Расчет_аналитики'!AC424-'19_Расчет_аналитики'!AC452)*IF('01_Вводные'!$B$239="Да",MeanMinAge17+'19_Расчет_аналитики'!AC560*SUMIF(ThresholdAge17,"&lt;"&amp;'19_Расчет_аналитики'!AC560,WeightedRevAge17)-SUMIF(ThresholdAge17,"&lt;"&amp;'19_Расчет_аналитики'!AC560,WeightedMinAge17),MAX(CapacityAge17*'01_Вводные'!$B$218*'19_Расчет_аналитики'!AC560,MeanMinAge17)))</f>
        <v/>
      </c>
      <c r="AD508">
        <f>IF(OR(('19_Расчет_аналитики'!AD424-'19_Расчет_аналитики'!AD452)=0,17&lt;='01_Вводные'!$B$297),0,('19_Расчет_аналитики'!AD424-'19_Расчет_аналитики'!AD452)*IF('01_Вводные'!$B$239="Да",MeanMinAge17+'19_Расчет_аналитики'!AD560*SUMIF(ThresholdAge17,"&lt;"&amp;'19_Расчет_аналитики'!AD560,WeightedRevAge17)-SUMIF(ThresholdAge17,"&lt;"&amp;'19_Расчет_аналитики'!AD560,WeightedMinAge17),MAX(CapacityAge17*'01_Вводные'!$B$218*'19_Расчет_аналитики'!AD560,MeanMinAge17)))</f>
        <v/>
      </c>
      <c r="AE508">
        <f>IF(OR(('19_Расчет_аналитики'!AE424-'19_Расчет_аналитики'!AE452)=0,17&lt;='01_Вводные'!$B$297),0,('19_Расчет_аналитики'!AE424-'19_Расчет_аналитики'!AE452)*IF('01_Вводные'!$B$239="Да",MeanMinAge17+'19_Расчет_аналитики'!AE560*SUMIF(ThresholdAge17,"&lt;"&amp;'19_Расчет_аналитики'!AE560,WeightedRevAge17)-SUMIF(ThresholdAge17,"&lt;"&amp;'19_Расчет_аналитики'!AE560,WeightedMinAge17),MAX(CapacityAge17*'01_Вводные'!$B$218*'19_Расчет_аналитики'!AE560,MeanMinAge17)))</f>
        <v/>
      </c>
      <c r="AF508">
        <f>IF(OR(('19_Расчет_аналитики'!AF424-'19_Расчет_аналитики'!AF452)=0,17&lt;='01_Вводные'!$B$297),0,('19_Расчет_аналитики'!AF424-'19_Расчет_аналитики'!AF452)*IF('01_Вводные'!$B$239="Да",MeanMinAge17+'19_Расчет_аналитики'!AF560*SUMIF(ThresholdAge17,"&lt;"&amp;'19_Расчет_аналитики'!AF560,WeightedRevAge17)-SUMIF(ThresholdAge17,"&lt;"&amp;'19_Расчет_аналитики'!AF560,WeightedMinAge17),MAX(CapacityAge17*'01_Вводные'!$B$218*'19_Расчет_аналитики'!AF560,MeanMinAge17)))</f>
        <v/>
      </c>
      <c r="AG508">
        <f>IF(OR(('19_Расчет_аналитики'!AG424-'19_Расчет_аналитики'!AG452)=0,17&lt;='01_Вводные'!$B$297),0,('19_Расчет_аналитики'!AG424-'19_Расчет_аналитики'!AG452)*IF('01_Вводные'!$B$239="Да",MeanMinAge17+'19_Расчет_аналитики'!AG560*SUMIF(ThresholdAge17,"&lt;"&amp;'19_Расчет_аналитики'!AG560,WeightedRevAge17)-SUMIF(ThresholdAge17,"&lt;"&amp;'19_Расчет_аналитики'!AG560,WeightedMinAge17),MAX(CapacityAge17*'01_Вводные'!$B$218*'19_Расчет_аналитики'!AG560,MeanMinAge17)))</f>
        <v/>
      </c>
      <c r="AH508">
        <f>IF(OR(('19_Расчет_аналитики'!AH424-'19_Расчет_аналитики'!AH452)=0,17&lt;='01_Вводные'!$B$297),0,('19_Расчет_аналитики'!AH424-'19_Расчет_аналитики'!AH452)*IF('01_Вводные'!$B$239="Да",MeanMinAge17+'19_Расчет_аналитики'!AH560*SUMIF(ThresholdAge17,"&lt;"&amp;'19_Расчет_аналитики'!AH560,WeightedRevAge17)-SUMIF(ThresholdAge17,"&lt;"&amp;'19_Расчет_аналитики'!AH560,WeightedMinAge17),MAX(CapacityAge17*'01_Вводные'!$B$218*'19_Расчет_аналитики'!AH560,MeanMinAge17)))</f>
        <v/>
      </c>
      <c r="AI508">
        <f>IF(OR(('19_Расчет_аналитики'!AI424-'19_Расчет_аналитики'!AI452)=0,17&lt;='01_Вводные'!$B$297),0,('19_Расчет_аналитики'!AI424-'19_Расчет_аналитики'!AI452)*IF('01_Вводные'!$B$239="Да",MeanMinAge17+'19_Расчет_аналитики'!AI560*SUMIF(ThresholdAge17,"&lt;"&amp;'19_Расчет_аналитики'!AI560,WeightedRevAge17)-SUMIF(ThresholdAge17,"&lt;"&amp;'19_Расчет_аналитики'!AI560,WeightedMinAge17),MAX(CapacityAge17*'01_Вводные'!$B$218*'19_Расчет_аналитики'!AI560,MeanMinAge17)))</f>
        <v/>
      </c>
      <c r="AJ508">
        <f>IF(OR(('19_Расчет_аналитики'!AJ424-'19_Расчет_аналитики'!AJ452)=0,17&lt;='01_Вводные'!$B$297),0,('19_Расчет_аналитики'!AJ424-'19_Расчет_аналитики'!AJ452)*IF('01_Вводные'!$B$239="Да",MeanMinAge17+'19_Расчет_аналитики'!AJ560*SUMIF(ThresholdAge17,"&lt;"&amp;'19_Расчет_аналитики'!AJ560,WeightedRevAge17)-SUMIF(ThresholdAge17,"&lt;"&amp;'19_Расчет_аналитики'!AJ560,WeightedMinAge17),MAX(CapacityAge17*'01_Вводные'!$B$218*'19_Расчет_аналитики'!AJ560,MeanMinAge17)))</f>
        <v/>
      </c>
      <c r="AK508">
        <f>IF(OR(('19_Расчет_аналитики'!AK424-'19_Расчет_аналитики'!AK452)=0,17&lt;='01_Вводные'!$B$297),0,('19_Расчет_аналитики'!AK424-'19_Расчет_аналитики'!AK452)*IF('01_Вводные'!$B$239="Да",MeanMinAge17+'19_Расчет_аналитики'!AK560*SUMIF(ThresholdAge17,"&lt;"&amp;'19_Расчет_аналитики'!AK560,WeightedRevAge17)-SUMIF(ThresholdAge17,"&lt;"&amp;'19_Расчет_аналитики'!AK560,WeightedMinAge17),MAX(CapacityAge17*'01_Вводные'!$B$218*'19_Расчет_аналитики'!AK560,MeanMinAge17)))</f>
        <v/>
      </c>
      <c r="AL508">
        <f>IF(OR(('19_Расчет_аналитики'!AL424-'19_Расчет_аналитики'!AL452)=0,17&lt;='01_Вводные'!$B$297),0,('19_Расчет_аналитики'!AL424-'19_Расчет_аналитики'!AL452)*IF('01_Вводные'!$B$239="Да",MeanMinAge17+'19_Расчет_аналитики'!AL560*SUMIF(ThresholdAge17,"&lt;"&amp;'19_Расчет_аналитики'!AL560,WeightedRevAge17)-SUMIF(ThresholdAge17,"&lt;"&amp;'19_Расчет_аналитики'!AL560,WeightedMinAge17),MAX(CapacityAge17*'01_Вводные'!$B$218*'19_Расчет_аналитики'!AL560,MeanMinAge17)))</f>
        <v/>
      </c>
      <c r="AM508">
        <f>IF(OR(('19_Расчет_аналитики'!AM424-'19_Расчет_аналитики'!AM452)=0,17&lt;='01_Вводные'!$B$297),0,('19_Расчет_аналитики'!AM424-'19_Расчет_аналитики'!AM452)*IF('01_Вводные'!$B$239="Да",MeanMinAge17+'19_Расчет_аналитики'!AM560*SUMIF(ThresholdAge17,"&lt;"&amp;'19_Расчет_аналитики'!AM560,WeightedRevAge17)-SUMIF(ThresholdAge17,"&lt;"&amp;'19_Расчет_аналитики'!AM560,WeightedMinAge17),MAX(CapacityAge17*'01_Вводные'!$B$218*'19_Расчет_аналитики'!AM560,MeanMinAge17)))</f>
        <v/>
      </c>
      <c r="AN508">
        <f>IF(OR(('19_Расчет_аналитики'!AN424-'19_Расчет_аналитики'!AN452)=0,17&lt;='01_Вводные'!$B$297),0,('19_Расчет_аналитики'!AN424-'19_Расчет_аналитики'!AN452)*IF('01_Вводные'!$B$239="Да",MeanMinAge17+'19_Расчет_аналитики'!AN560*SUMIF(ThresholdAge17,"&lt;"&amp;'19_Расчет_аналитики'!AN560,WeightedRevAge17)-SUMIF(ThresholdAge17,"&lt;"&amp;'19_Расчет_аналитики'!AN560,WeightedMinAge17),MAX(CapacityAge17*'01_Вводные'!$B$218*'19_Расчет_аналитики'!AN560,MeanMinAge17)))</f>
        <v/>
      </c>
      <c r="AO508">
        <f>IF(OR(('19_Расчет_аналитики'!AO424-'19_Расчет_аналитики'!AO452)=0,17&lt;='01_Вводные'!$B$297),0,('19_Расчет_аналитики'!AO424-'19_Расчет_аналитики'!AO452)*IF('01_Вводные'!$B$239="Да",MeanMinAge17+'19_Расчет_аналитики'!AO560*SUMIF(ThresholdAge17,"&lt;"&amp;'19_Расчет_аналитики'!AO560,WeightedRevAge17)-SUMIF(ThresholdAge17,"&lt;"&amp;'19_Расчет_аналитики'!AO560,WeightedMinAge17),MAX(CapacityAge17*'01_Вводные'!$B$218*'19_Расчет_аналитики'!AO560,MeanMinAge17)))</f>
        <v/>
      </c>
      <c r="AP508">
        <f>IF(OR(('19_Расчет_аналитики'!AP424-'19_Расчет_аналитики'!AP452)=0,17&lt;='01_Вводные'!$B$297),0,('19_Расчет_аналитики'!AP424-'19_Расчет_аналитики'!AP452)*IF('01_Вводные'!$B$239="Да",MeanMinAge17+'19_Расчет_аналитики'!AP560*SUMIF(ThresholdAge17,"&lt;"&amp;'19_Расчет_аналитики'!AP560,WeightedRevAge17)-SUMIF(ThresholdAge17,"&lt;"&amp;'19_Расчет_аналитики'!AP560,WeightedMinAge17),MAX(CapacityAge17*'01_Вводные'!$B$218*'19_Расчет_аналитики'!AP560,MeanMinAge17)))</f>
        <v/>
      </c>
      <c r="AQ508">
        <f>IF(OR(('19_Расчет_аналитики'!AQ424-'19_Расчет_аналитики'!AQ452)=0,17&lt;='01_Вводные'!$B$297),0,('19_Расчет_аналитики'!AQ424-'19_Расчет_аналитики'!AQ452)*IF('01_Вводные'!$B$239="Да",MeanMinAge17+'19_Расчет_аналитики'!AQ560*SUMIF(ThresholdAge17,"&lt;"&amp;'19_Расчет_аналитики'!AQ560,WeightedRevAge17)-SUMIF(ThresholdAge17,"&lt;"&amp;'19_Расчет_аналитики'!AQ560,WeightedMinAge17),MAX(CapacityAge17*'01_Вводные'!$B$218*'19_Расчет_аналитики'!AQ560,MeanMinAge17)))</f>
        <v/>
      </c>
      <c r="AR508">
        <f>IF(OR(('19_Расчет_аналитики'!AR424-'19_Расчет_аналитики'!AR452)=0,17&lt;='01_Вводные'!$B$297),0,('19_Расчет_аналитики'!AR424-'19_Расчет_аналитики'!AR452)*IF('01_Вводные'!$B$239="Да",MeanMinAge17+'19_Расчет_аналитики'!AR560*SUMIF(ThresholdAge17,"&lt;"&amp;'19_Расчет_аналитики'!AR560,WeightedRevAge17)-SUMIF(ThresholdAge17,"&lt;"&amp;'19_Расчет_аналитики'!AR560,WeightedMinAge17),MAX(CapacityAge17*'01_Вводные'!$B$218*'19_Расчет_аналитики'!AR560,MeanMinAge17)))</f>
        <v/>
      </c>
      <c r="AS508">
        <f>IF(OR(('19_Расчет_аналитики'!AS424-'19_Расчет_аналитики'!AS452)=0,17&lt;='01_Вводные'!$B$297),0,('19_Расчет_аналитики'!AS424-'19_Расчет_аналитики'!AS452)*IF('01_Вводные'!$B$239="Да",MeanMinAge17+'19_Расчет_аналитики'!AS560*SUMIF(ThresholdAge17,"&lt;"&amp;'19_Расчет_аналитики'!AS560,WeightedRevAge17)-SUMIF(ThresholdAge17,"&lt;"&amp;'19_Расчет_аналитики'!AS560,WeightedMinAge17),MAX(CapacityAge17*'01_Вводные'!$B$218*'19_Расчет_аналитики'!AS560,MeanMinAge17)))</f>
        <v/>
      </c>
      <c r="AT508">
        <f>IF(OR(('19_Расчет_аналитики'!AT424-'19_Расчет_аналитики'!AT452)=0,17&lt;='01_Вводные'!$B$297),0,('19_Расчет_аналитики'!AT424-'19_Расчет_аналитики'!AT452)*IF('01_Вводные'!$B$239="Да",MeanMinAge17+'19_Расчет_аналитики'!AT560*SUMIF(ThresholdAge17,"&lt;"&amp;'19_Расчет_аналитики'!AT560,WeightedRevAge17)-SUMIF(ThresholdAge17,"&lt;"&amp;'19_Расчет_аналитики'!AT560,WeightedMinAge17),MAX(CapacityAge17*'01_Вводные'!$B$218*'19_Расчет_аналитики'!AT560,MeanMinAge17)))</f>
        <v/>
      </c>
      <c r="AU508">
        <f>IF(OR(('19_Расчет_аналитики'!AU424-'19_Расчет_аналитики'!AU452)=0,17&lt;='01_Вводные'!$B$297),0,('19_Расчет_аналитики'!AU424-'19_Расчет_аналитики'!AU452)*IF('01_Вводные'!$B$239="Да",MeanMinAge17+'19_Расчет_аналитики'!AU560*SUMIF(ThresholdAge17,"&lt;"&amp;'19_Расчет_аналитики'!AU560,WeightedRevAge17)-SUMIF(ThresholdAge17,"&lt;"&amp;'19_Расчет_аналитики'!AU560,WeightedMinAge17),MAX(CapacityAge17*'01_Вводные'!$B$218*'19_Расчет_аналитики'!AU560,MeanMinAge17)))</f>
        <v/>
      </c>
      <c r="AV508">
        <f>IF(OR(('19_Расчет_аналитики'!AV424-'19_Расчет_аналитики'!AV452)=0,17&lt;='01_Вводные'!$B$297),0,('19_Расчет_аналитики'!AV424-'19_Расчет_аналитики'!AV452)*IF('01_Вводные'!$B$239="Да",MeanMinAge17+'19_Расчет_аналитики'!AV560*SUMIF(ThresholdAge17,"&lt;"&amp;'19_Расчет_аналитики'!AV560,WeightedRevAge17)-SUMIF(ThresholdAge17,"&lt;"&amp;'19_Расчет_аналитики'!AV560,WeightedMinAge17),MAX(CapacityAge17*'01_Вводные'!$B$218*'19_Расчет_аналитики'!AV560,MeanMinAge17)))</f>
        <v/>
      </c>
      <c r="AW508">
        <f>IF(OR(('19_Расчет_аналитики'!AW424-'19_Расчет_аналитики'!AW452)=0,17&lt;='01_Вводные'!$B$297),0,('19_Расчет_аналитики'!AW424-'19_Расчет_аналитики'!AW452)*IF('01_Вводные'!$B$239="Да",MeanMinAge17+'19_Расчет_аналитики'!AW560*SUMIF(ThresholdAge17,"&lt;"&amp;'19_Расчет_аналитики'!AW560,WeightedRevAge17)-SUMIF(ThresholdAge17,"&lt;"&amp;'19_Расчет_аналитики'!AW560,WeightedMinAge17),MAX(CapacityAge17*'01_Вводные'!$B$218*'19_Расчет_аналитики'!AW560,MeanMinAge17)))</f>
        <v/>
      </c>
      <c r="AX508">
        <f>IF(OR(('19_Расчет_аналитики'!AX424-'19_Расчет_аналитики'!AX452)=0,17&lt;='01_Вводные'!$B$297),0,('19_Расчет_аналитики'!AX424-'19_Расчет_аналитики'!AX452)*IF('01_Вводные'!$B$239="Да",MeanMinAge17+'19_Расчет_аналитики'!AX560*SUMIF(ThresholdAge17,"&lt;"&amp;'19_Расчет_аналитики'!AX560,WeightedRevAge17)-SUMIF(ThresholdAge17,"&lt;"&amp;'19_Расчет_аналитики'!AX560,WeightedMinAge17),MAX(CapacityAge17*'01_Вводные'!$B$218*'19_Расчет_аналитики'!AX560,MeanMinAge17)))</f>
        <v/>
      </c>
      <c r="AY508">
        <f>IF(OR(('19_Расчет_аналитики'!AY424-'19_Расчет_аналитики'!AY452)=0,17&lt;='01_Вводные'!$B$297),0,('19_Расчет_аналитики'!AY424-'19_Расчет_аналитики'!AY452)*IF('01_Вводные'!$B$239="Да",MeanMinAge17+'19_Расчет_аналитики'!AY560*SUMIF(ThresholdAge17,"&lt;"&amp;'19_Расчет_аналитики'!AY560,WeightedRevAge17)-SUMIF(ThresholdAge17,"&lt;"&amp;'19_Расчет_аналитики'!AY560,WeightedMinAge17),MAX(CapacityAge17*'01_Вводные'!$B$218*'19_Расчет_аналитики'!AY560,MeanMinAge17)))</f>
        <v/>
      </c>
      <c r="AZ508">
        <f>IF(OR(('19_Расчет_аналитики'!AZ424-'19_Расчет_аналитики'!AZ452)=0,17&lt;='01_Вводные'!$B$297),0,('19_Расчет_аналитики'!AZ424-'19_Расчет_аналитики'!AZ452)*IF('01_Вводные'!$B$239="Да",MeanMinAge17+'19_Расчет_аналитики'!AZ560*SUMIF(ThresholdAge17,"&lt;"&amp;'19_Расчет_аналитики'!AZ560,WeightedRevAge17)-SUMIF(ThresholdAge17,"&lt;"&amp;'19_Расчет_аналитики'!AZ560,WeightedMinAge17),MAX(CapacityAge17*'01_Вводные'!$B$218*'19_Расчет_аналитики'!AZ560,MeanMinAge17)))</f>
        <v/>
      </c>
      <c r="BA508">
        <f>IF(OR(('19_Расчет_аналитики'!BA424-'19_Расчет_аналитики'!BA452)=0,17&lt;='01_Вводные'!$B$297),0,('19_Расчет_аналитики'!BA424-'19_Расчет_аналитики'!BA452)*IF('01_Вводные'!$B$239="Да",MeanMinAge17+'19_Расчет_аналитики'!BA560*SUMIF(ThresholdAge17,"&lt;"&amp;'19_Расчет_аналитики'!BA560,WeightedRevAge17)-SUMIF(ThresholdAge17,"&lt;"&amp;'19_Расчет_аналитики'!BA560,WeightedMinAge17),MAX(CapacityAge17*'01_Вводные'!$B$218*'19_Расчет_аналитики'!BA560,MeanMinAge17)))</f>
        <v/>
      </c>
      <c r="BB508">
        <f>IF(OR(('19_Расчет_аналитики'!BB424-'19_Расчет_аналитики'!BB452)=0,17&lt;='01_Вводные'!$B$297),0,('19_Расчет_аналитики'!BB424-'19_Расчет_аналитики'!BB452)*IF('01_Вводные'!$B$239="Да",MeanMinAge17+'19_Расчет_аналитики'!BB560*SUMIF(ThresholdAge17,"&lt;"&amp;'19_Расчет_аналитики'!BB560,WeightedRevAge17)-SUMIF(ThresholdAge17,"&lt;"&amp;'19_Расчет_аналитики'!BB560,WeightedMinAge17),MAX(CapacityAge17*'01_Вводные'!$B$218*'19_Расчет_аналитики'!BB560,MeanMinAge17)))</f>
        <v/>
      </c>
      <c r="BC508">
        <f>IF(OR(('19_Расчет_аналитики'!BC424-'19_Расчет_аналитики'!BC452)=0,17&lt;='01_Вводные'!$B$297),0,('19_Расчет_аналитики'!BC424-'19_Расчет_аналитики'!BC452)*IF('01_Вводные'!$B$239="Да",MeanMinAge17+'19_Расчет_аналитики'!BC560*SUMIF(ThresholdAge17,"&lt;"&amp;'19_Расчет_аналитики'!BC560,WeightedRevAge17)-SUMIF(ThresholdAge17,"&lt;"&amp;'19_Расчет_аналитики'!BC560,WeightedMinAge17),MAX(CapacityAge17*'01_Вводные'!$B$218*'19_Расчет_аналитики'!BC560,MeanMinAge17)))</f>
        <v/>
      </c>
      <c r="BD508">
        <f>IF(OR(('19_Расчет_аналитики'!BD424-'19_Расчет_аналитики'!BD452)=0,17&lt;='01_Вводные'!$B$297),0,('19_Расчет_аналитики'!BD424-'19_Расчет_аналитики'!BD452)*IF('01_Вводные'!$B$239="Да",MeanMinAge17+'19_Расчет_аналитики'!BD560*SUMIF(ThresholdAge17,"&lt;"&amp;'19_Расчет_аналитики'!BD560,WeightedRevAge17)-SUMIF(ThresholdAge17,"&lt;"&amp;'19_Расчет_аналитики'!BD560,WeightedMinAge17),MAX(CapacityAge17*'01_Вводные'!$B$218*'19_Расчет_аналитики'!BD560,MeanMinAge17)))</f>
        <v/>
      </c>
      <c r="BE508">
        <f>IF(OR(('19_Расчет_аналитики'!BE424-'19_Расчет_аналитики'!BE452)=0,17&lt;='01_Вводные'!$B$297),0,('19_Расчет_аналитики'!BE424-'19_Расчет_аналитики'!BE452)*IF('01_Вводные'!$B$239="Да",MeanMinAge17+'19_Расчет_аналитики'!BE560*SUMIF(ThresholdAge17,"&lt;"&amp;'19_Расчет_аналитики'!BE560,WeightedRevAge17)-SUMIF(ThresholdAge17,"&lt;"&amp;'19_Расчет_аналитики'!BE560,WeightedMinAge17),MAX(CapacityAge17*'01_Вводные'!$B$218*'19_Расчет_аналитики'!BE560,MeanMinAge17)))</f>
        <v/>
      </c>
      <c r="BF508">
        <f>IF(OR(('19_Расчет_аналитики'!BF424-'19_Расчет_аналитики'!BF452)=0,17&lt;='01_Вводные'!$B$297),0,('19_Расчет_аналитики'!BF424-'19_Расчет_аналитики'!BF452)*IF('01_Вводные'!$B$239="Да",MeanMinAge17+'19_Расчет_аналитики'!BF560*SUMIF(ThresholdAge17,"&lt;"&amp;'19_Расчет_аналитики'!BF560,WeightedRevAge17)-SUMIF(ThresholdAge17,"&lt;"&amp;'19_Расчет_аналитики'!BF560,WeightedMinAge17),MAX(CapacityAge17*'01_Вводные'!$B$218*'19_Расчет_аналитики'!BF560,MeanMinAge17)))</f>
        <v/>
      </c>
      <c r="BG508">
        <f>IF(OR(('19_Расчет_аналитики'!BG424-'19_Расчет_аналитики'!BG452)=0,17&lt;='01_Вводные'!$B$297),0,('19_Расчет_аналитики'!BG424-'19_Расчет_аналитики'!BG452)*IF('01_Вводные'!$B$239="Да",MeanMinAge17+'19_Расчет_аналитики'!BG560*SUMIF(ThresholdAge17,"&lt;"&amp;'19_Расчет_аналитики'!BG560,WeightedRevAge17)-SUMIF(ThresholdAge17,"&lt;"&amp;'19_Расчет_аналитики'!BG560,WeightedMinAge17),MAX(CapacityAge17*'01_Вводные'!$B$218*'19_Расчет_аналитики'!BG560,MeanMinAge17)))</f>
        <v/>
      </c>
      <c r="BH508">
        <f>IF(OR(('19_Расчет_аналитики'!BH424-'19_Расчет_аналитики'!BH452)=0,17&lt;='01_Вводные'!$B$297),0,('19_Расчет_аналитики'!BH424-'19_Расчет_аналитики'!BH452)*IF('01_Вводные'!$B$239="Да",MeanMinAge17+'19_Расчет_аналитики'!BH560*SUMIF(ThresholdAge17,"&lt;"&amp;'19_Расчет_аналитики'!BH560,WeightedRevAge17)-SUMIF(ThresholdAge17,"&lt;"&amp;'19_Расчет_аналитики'!BH560,WeightedMinAge17),MAX(CapacityAge17*'01_Вводные'!$B$218*'19_Расчет_аналитики'!BH560,MeanMinAge17)))</f>
        <v/>
      </c>
      <c r="BI508">
        <f>IF(OR(('19_Расчет_аналитики'!BI424-'19_Расчет_аналитики'!BI452)=0,17&lt;='01_Вводные'!$B$297),0,('19_Расчет_аналитики'!BI424-'19_Расчет_аналитики'!BI452)*IF('01_Вводные'!$B$239="Да",MeanMinAge17+'19_Расчет_аналитики'!BI560*SUMIF(ThresholdAge17,"&lt;"&amp;'19_Расчет_аналитики'!BI560,WeightedRevAge17)-SUMIF(ThresholdAge17,"&lt;"&amp;'19_Расчет_аналитики'!BI560,WeightedMinAge17),MAX(CapacityAge17*'01_Вводные'!$B$218*'19_Расчет_аналитики'!BI560,MeanMinAge17)))</f>
        <v/>
      </c>
      <c r="BJ508">
        <f>IF(OR(('19_Расчет_аналитики'!BJ424-'19_Расчет_аналитики'!BJ452)=0,17&lt;='01_Вводные'!$B$297),0,('19_Расчет_аналитики'!BJ424-'19_Расчет_аналитики'!BJ452)*IF('01_Вводные'!$B$239="Да",MeanMinAge17+'19_Расчет_аналитики'!BJ560*SUMIF(ThresholdAge17,"&lt;"&amp;'19_Расчет_аналитики'!BJ560,WeightedRevAge17)-SUMIF(ThresholdAge17,"&lt;"&amp;'19_Расчет_аналитики'!BJ560,WeightedMinAge17),MAX(CapacityAge17*'01_Вводные'!$B$218*'19_Расчет_аналитики'!BJ560,MeanMinAge17)))</f>
        <v/>
      </c>
      <c r="BK508">
        <f>IF(OR(('19_Расчет_аналитики'!BK424-'19_Расчет_аналитики'!BK452)=0,17&lt;='01_Вводные'!$B$297),0,('19_Расчет_аналитики'!BK424-'19_Расчет_аналитики'!BK452)*IF('01_Вводные'!$B$239="Да",MeanMinAge17+'19_Расчет_аналитики'!BK560*SUMIF(ThresholdAge17,"&lt;"&amp;'19_Расчет_аналитики'!BK560,WeightedRevAge17)-SUMIF(ThresholdAge17,"&lt;"&amp;'19_Расчет_аналитики'!BK560,WeightedMinAge17),MAX(CapacityAge17*'01_Вводные'!$B$218*'19_Расчет_аналитики'!BK560,MeanMinAge17)))</f>
        <v/>
      </c>
      <c r="BL508">
        <f>IF(OR(('19_Расчет_аналитики'!BL424-'19_Расчет_аналитики'!BL452)=0,17&lt;='01_Вводные'!$B$297),0,('19_Расчет_аналитики'!BL424-'19_Расчет_аналитики'!BL452)*IF('01_Вводные'!$B$239="Да",MeanMinAge17+'19_Расчет_аналитики'!BL560*SUMIF(ThresholdAge17,"&lt;"&amp;'19_Расчет_аналитики'!BL560,WeightedRevAge17)-SUMIF(ThresholdAge17,"&lt;"&amp;'19_Расчет_аналитики'!BL560,WeightedMinAge17),MAX(CapacityAge17*'01_Вводные'!$B$218*'19_Расчет_аналитики'!BL560,MeanMinAge17)))</f>
        <v/>
      </c>
      <c r="BM508">
        <f>IF(OR(('19_Расчет_аналитики'!BM424-'19_Расчет_аналитики'!BM452)=0,17&lt;='01_Вводные'!$B$297),0,('19_Расчет_аналитики'!BM424-'19_Расчет_аналитики'!BM452)*IF('01_Вводные'!$B$239="Да",MeanMinAge17+'19_Расчет_аналитики'!BM560*SUMIF(ThresholdAge17,"&lt;"&amp;'19_Расчет_аналитики'!BM560,WeightedRevAge17)-SUMIF(ThresholdAge17,"&lt;"&amp;'19_Расчет_аналитики'!BM560,WeightedMinAge17),MAX(CapacityAge17*'01_Вводные'!$B$218*'19_Расчет_аналитики'!BM560,MeanMinAge17)))</f>
        <v/>
      </c>
      <c r="BN508">
        <f>IF(OR(('19_Расчет_аналитики'!BN424-'19_Расчет_аналитики'!BN452)=0,17&lt;='01_Вводные'!$B$297),0,('19_Расчет_аналитики'!BN424-'19_Расчет_аналитики'!BN452)*IF('01_Вводные'!$B$239="Да",MeanMinAge17+'19_Расчет_аналитики'!BN560*SUMIF(ThresholdAge17,"&lt;"&amp;'19_Расчет_аналитики'!BN560,WeightedRevAge17)-SUMIF(ThresholdAge17,"&lt;"&amp;'19_Расчет_аналитики'!BN560,WeightedMinAge17),MAX(CapacityAge17*'01_Вводные'!$B$218*'19_Расчет_аналитики'!BN560,MeanMinAge17)))</f>
        <v/>
      </c>
      <c r="BO508">
        <f>IF(OR(('19_Расчет_аналитики'!BO424-'19_Расчет_аналитики'!BO452)=0,17&lt;='01_Вводные'!$B$297),0,('19_Расчет_аналитики'!BO424-'19_Расчет_аналитики'!BO452)*IF('01_Вводные'!$B$239="Да",MeanMinAge17+'19_Расчет_аналитики'!BO560*SUMIF(ThresholdAge17,"&lt;"&amp;'19_Расчет_аналитики'!BO560,WeightedRevAge17)-SUMIF(ThresholdAge17,"&lt;"&amp;'19_Расчет_аналитики'!BO560,WeightedMinAge17),MAX(CapacityAge17*'01_Вводные'!$B$218*'19_Расчет_аналитики'!BO560,MeanMinAge17)))</f>
        <v/>
      </c>
    </row>
    <row r="509">
      <c r="B509">
        <f>IF(OR(('06_Сеть_и_дети'!B70-'06_Сеть_и_дети'!B98)=0,18&lt;='01_Вводные'!$B$297),0,('06_Сеть_и_дети'!B70-'06_Сеть_и_дети'!B98)*IF('01_Вводные'!$B$239="Да",MeanMinAge18+'19_Расчет_аналитики'!B560*SUMIF(ThresholdAge18,"&lt;"&amp;'19_Расчет_аналитики'!B560,WeightedRevAge18)-SUMIF(ThresholdAge18,"&lt;"&amp;'19_Расчет_аналитики'!B560,WeightedMinAge18),MAX(CapacityAge18*'01_Вводные'!$B$218*'19_Расчет_аналитики'!B560,MeanMinAge18)))</f>
        <v/>
      </c>
      <c r="C509">
        <f>IF(OR(('06_Сеть_и_дети'!C70-'06_Сеть_и_дети'!C98)=0,18&lt;='01_Вводные'!$B$297),0,('06_Сеть_и_дети'!C70-'06_Сеть_и_дети'!C98)*IF('01_Вводные'!$B$239="Да",MeanMinAge18+'19_Расчет_аналитики'!C560*SUMIF(ThresholdAge18,"&lt;"&amp;'19_Расчет_аналитики'!C560,WeightedRevAge18)-SUMIF(ThresholdAge18,"&lt;"&amp;'19_Расчет_аналитики'!C560,WeightedMinAge18),MAX(CapacityAge18*'01_Вводные'!$B$218*'19_Расчет_аналитики'!C560,MeanMinAge18)))</f>
        <v/>
      </c>
      <c r="D509">
        <f>IF(OR(('06_Сеть_и_дети'!D70-'06_Сеть_и_дети'!D98)=0,18&lt;='01_Вводные'!$B$297),0,('06_Сеть_и_дети'!D70-'06_Сеть_и_дети'!D98)*IF('01_Вводные'!$B$239="Да",MeanMinAge18+'19_Расчет_аналитики'!D560*SUMIF(ThresholdAge18,"&lt;"&amp;'19_Расчет_аналитики'!D560,WeightedRevAge18)-SUMIF(ThresholdAge18,"&lt;"&amp;'19_Расчет_аналитики'!D560,WeightedMinAge18),MAX(CapacityAge18*'01_Вводные'!$B$218*'19_Расчет_аналитики'!D560,MeanMinAge18)))</f>
        <v/>
      </c>
      <c r="E509">
        <f>IF(OR(('06_Сеть_и_дети'!E70-'06_Сеть_и_дети'!E98)=0,18&lt;='01_Вводные'!$B$297),0,('06_Сеть_и_дети'!E70-'06_Сеть_и_дети'!E98)*IF('01_Вводные'!$B$239="Да",MeanMinAge18+'19_Расчет_аналитики'!E560*SUMIF(ThresholdAge18,"&lt;"&amp;'19_Расчет_аналитики'!E560,WeightedRevAge18)-SUMIF(ThresholdAge18,"&lt;"&amp;'19_Расчет_аналитики'!E560,WeightedMinAge18),MAX(CapacityAge18*'01_Вводные'!$B$218*'19_Расчет_аналитики'!E560,MeanMinAge18)))</f>
        <v/>
      </c>
      <c r="F509">
        <f>IF(OR(('06_Сеть_и_дети'!F70-'06_Сеть_и_дети'!F98)=0,18&lt;='01_Вводные'!$B$297),0,('06_Сеть_и_дети'!F70-'06_Сеть_и_дети'!F98)*IF('01_Вводные'!$B$239="Да",MeanMinAge18+'19_Расчет_аналитики'!F560*SUMIF(ThresholdAge18,"&lt;"&amp;'19_Расчет_аналитики'!F560,WeightedRevAge18)-SUMIF(ThresholdAge18,"&lt;"&amp;'19_Расчет_аналитики'!F560,WeightedMinAge18),MAX(CapacityAge18*'01_Вводные'!$B$218*'19_Расчет_аналитики'!F560,MeanMinAge18)))</f>
        <v/>
      </c>
      <c r="G509">
        <f>IF(OR(('06_Сеть_и_дети'!G70-'06_Сеть_и_дети'!G98)=0,18&lt;='01_Вводные'!$B$297),0,('06_Сеть_и_дети'!G70-'06_Сеть_и_дети'!G98)*IF('01_Вводные'!$B$239="Да",MeanMinAge18+'19_Расчет_аналитики'!G560*SUMIF(ThresholdAge18,"&lt;"&amp;'19_Расчет_аналитики'!G560,WeightedRevAge18)-SUMIF(ThresholdAge18,"&lt;"&amp;'19_Расчет_аналитики'!G560,WeightedMinAge18),MAX(CapacityAge18*'01_Вводные'!$B$218*'19_Расчет_аналитики'!G560,MeanMinAge18)))</f>
        <v/>
      </c>
      <c r="H509">
        <f>IF(OR(('06_Сеть_и_дети'!H70-'06_Сеть_и_дети'!H98)=0,18&lt;='01_Вводные'!$B$297),0,('06_Сеть_и_дети'!H70-'06_Сеть_и_дети'!H98)*IF('01_Вводные'!$B$239="Да",MeanMinAge18+'19_Расчет_аналитики'!H560*SUMIF(ThresholdAge18,"&lt;"&amp;'19_Расчет_аналитики'!H560,WeightedRevAge18)-SUMIF(ThresholdAge18,"&lt;"&amp;'19_Расчет_аналитики'!H560,WeightedMinAge18),MAX(CapacityAge18*'01_Вводные'!$B$218*'19_Расчет_аналитики'!H560,MeanMinAge18)))</f>
        <v/>
      </c>
      <c r="I509">
        <f>IF(OR(('06_Сеть_и_дети'!I70-'06_Сеть_и_дети'!I98)=0,18&lt;='01_Вводные'!$B$297),0,('06_Сеть_и_дети'!I70-'06_Сеть_и_дети'!I98)*IF('01_Вводные'!$B$239="Да",MeanMinAge18+'19_Расчет_аналитики'!I560*SUMIF(ThresholdAge18,"&lt;"&amp;'19_Расчет_аналитики'!I560,WeightedRevAge18)-SUMIF(ThresholdAge18,"&lt;"&amp;'19_Расчет_аналитики'!I560,WeightedMinAge18),MAX(CapacityAge18*'01_Вводные'!$B$218*'19_Расчет_аналитики'!I560,MeanMinAge18)))</f>
        <v/>
      </c>
      <c r="J509">
        <f>IF(OR(('06_Сеть_и_дети'!J70-'06_Сеть_и_дети'!J98)=0,18&lt;='01_Вводные'!$B$297),0,('06_Сеть_и_дети'!J70-'06_Сеть_и_дети'!J98)*IF('01_Вводные'!$B$239="Да",MeanMinAge18+'19_Расчет_аналитики'!J560*SUMIF(ThresholdAge18,"&lt;"&amp;'19_Расчет_аналитики'!J560,WeightedRevAge18)-SUMIF(ThresholdAge18,"&lt;"&amp;'19_Расчет_аналитики'!J560,WeightedMinAge18),MAX(CapacityAge18*'01_Вводные'!$B$218*'19_Расчет_аналитики'!J560,MeanMinAge18)))</f>
        <v/>
      </c>
      <c r="K509">
        <f>IF(OR(('06_Сеть_и_дети'!K70-'06_Сеть_и_дети'!K98)=0,18&lt;='01_Вводные'!$B$297),0,('06_Сеть_и_дети'!K70-'06_Сеть_и_дети'!K98)*IF('01_Вводные'!$B$239="Да",MeanMinAge18+'19_Расчет_аналитики'!K560*SUMIF(ThresholdAge18,"&lt;"&amp;'19_Расчет_аналитики'!K560,WeightedRevAge18)-SUMIF(ThresholdAge18,"&lt;"&amp;'19_Расчет_аналитики'!K560,WeightedMinAge18),MAX(CapacityAge18*'01_Вводные'!$B$218*'19_Расчет_аналитики'!K560,MeanMinAge18)))</f>
        <v/>
      </c>
      <c r="L509">
        <f>IF(OR(('06_Сеть_и_дети'!L70-'06_Сеть_и_дети'!L98)=0,18&lt;='01_Вводные'!$B$297),0,('06_Сеть_и_дети'!L70-'06_Сеть_и_дети'!L98)*IF('01_Вводные'!$B$239="Да",MeanMinAge18+'19_Расчет_аналитики'!L560*SUMIF(ThresholdAge18,"&lt;"&amp;'19_Расчет_аналитики'!L560,WeightedRevAge18)-SUMIF(ThresholdAge18,"&lt;"&amp;'19_Расчет_аналитики'!L560,WeightedMinAge18),MAX(CapacityAge18*'01_Вводные'!$B$218*'19_Расчет_аналитики'!L560,MeanMinAge18)))</f>
        <v/>
      </c>
      <c r="M509">
        <f>IF(OR(('06_Сеть_и_дети'!M70-'06_Сеть_и_дети'!M98)=0,18&lt;='01_Вводные'!$B$297),0,('06_Сеть_и_дети'!M70-'06_Сеть_и_дети'!M98)*IF('01_Вводные'!$B$239="Да",MeanMinAge18+'19_Расчет_аналитики'!M560*SUMIF(ThresholdAge18,"&lt;"&amp;'19_Расчет_аналитики'!M560,WeightedRevAge18)-SUMIF(ThresholdAge18,"&lt;"&amp;'19_Расчет_аналитики'!M560,WeightedMinAge18),MAX(CapacityAge18*'01_Вводные'!$B$218*'19_Расчет_аналитики'!M560,MeanMinAge18)))</f>
        <v/>
      </c>
      <c r="N509">
        <f>IF(OR(('06_Сеть_и_дети'!N70-'06_Сеть_и_дети'!N98)=0,18&lt;='01_Вводные'!$B$297),0,('06_Сеть_и_дети'!N70-'06_Сеть_и_дети'!N98)*IF('01_Вводные'!$B$239="Да",MeanMinAge18+'19_Расчет_аналитики'!N560*SUMIF(ThresholdAge18,"&lt;"&amp;'19_Расчет_аналитики'!N560,WeightedRevAge18)-SUMIF(ThresholdAge18,"&lt;"&amp;'19_Расчет_аналитики'!N560,WeightedMinAge18),MAX(CapacityAge18*'01_Вводные'!$B$218*'19_Расчет_аналитики'!N560,MeanMinAge18)))</f>
        <v/>
      </c>
      <c r="O509">
        <f>IF(OR(('06_Сеть_и_дети'!O70-'06_Сеть_и_дети'!O98)=0,18&lt;='01_Вводные'!$B$297),0,('06_Сеть_и_дети'!O70-'06_Сеть_и_дети'!O98)*IF('01_Вводные'!$B$239="Да",MeanMinAge18+'19_Расчет_аналитики'!O560*SUMIF(ThresholdAge18,"&lt;"&amp;'19_Расчет_аналитики'!O560,WeightedRevAge18)-SUMIF(ThresholdAge18,"&lt;"&amp;'19_Расчет_аналитики'!O560,WeightedMinAge18),MAX(CapacityAge18*'01_Вводные'!$B$218*'19_Расчет_аналитики'!O560,MeanMinAge18)))</f>
        <v/>
      </c>
      <c r="P509">
        <f>IF(OR(('06_Сеть_и_дети'!P70-'06_Сеть_и_дети'!P98)=0,18&lt;='01_Вводные'!$B$297),0,('06_Сеть_и_дети'!P70-'06_Сеть_и_дети'!P98)*IF('01_Вводные'!$B$239="Да",MeanMinAge18+'19_Расчет_аналитики'!P560*SUMIF(ThresholdAge18,"&lt;"&amp;'19_Расчет_аналитики'!P560,WeightedRevAge18)-SUMIF(ThresholdAge18,"&lt;"&amp;'19_Расчет_аналитики'!P560,WeightedMinAge18),MAX(CapacityAge18*'01_Вводные'!$B$218*'19_Расчет_аналитики'!P560,MeanMinAge18)))</f>
        <v/>
      </c>
      <c r="Q509">
        <f>IF(OR(('06_Сеть_и_дети'!Q70-'06_Сеть_и_дети'!Q98)=0,18&lt;='01_Вводные'!$B$297),0,('06_Сеть_и_дети'!Q70-'06_Сеть_и_дети'!Q98)*IF('01_Вводные'!$B$239="Да",MeanMinAge18+'19_Расчет_аналитики'!Q560*SUMIF(ThresholdAge18,"&lt;"&amp;'19_Расчет_аналитики'!Q560,WeightedRevAge18)-SUMIF(ThresholdAge18,"&lt;"&amp;'19_Расчет_аналитики'!Q560,WeightedMinAge18),MAX(CapacityAge18*'01_Вводные'!$B$218*'19_Расчет_аналитики'!Q560,MeanMinAge18)))</f>
        <v/>
      </c>
      <c r="R509">
        <f>IF(OR(('06_Сеть_и_дети'!R70-'06_Сеть_и_дети'!R98)=0,18&lt;='01_Вводные'!$B$297),0,('06_Сеть_и_дети'!R70-'06_Сеть_и_дети'!R98)*IF('01_Вводные'!$B$239="Да",MeanMinAge18+'19_Расчет_аналитики'!R560*SUMIF(ThresholdAge18,"&lt;"&amp;'19_Расчет_аналитики'!R560,WeightedRevAge18)-SUMIF(ThresholdAge18,"&lt;"&amp;'19_Расчет_аналитики'!R560,WeightedMinAge18),MAX(CapacityAge18*'01_Вводные'!$B$218*'19_Расчет_аналитики'!R560,MeanMinAge18)))</f>
        <v/>
      </c>
      <c r="S509">
        <f>IF(OR(('19_Расчет_аналитики'!S425-'19_Расчет_аналитики'!S453)=0,18&lt;='01_Вводные'!$B$297),0,('19_Расчет_аналитики'!S425-'19_Расчет_аналитики'!S453)*IF('01_Вводные'!$B$239="Да",MeanMinAge18+'19_Расчет_аналитики'!S560*SUMIF(ThresholdAge18,"&lt;"&amp;'19_Расчет_аналитики'!S560,WeightedRevAge18)-SUMIF(ThresholdAge18,"&lt;"&amp;'19_Расчет_аналитики'!S560,WeightedMinAge18),MAX(CapacityAge18*'01_Вводные'!$B$218*'19_Расчет_аналитики'!S560,MeanMinAge18)))</f>
        <v/>
      </c>
      <c r="T509">
        <f>IF(OR(('19_Расчет_аналитики'!T425-'19_Расчет_аналитики'!T453)=0,18&lt;='01_Вводные'!$B$297),0,('19_Расчет_аналитики'!T425-'19_Расчет_аналитики'!T453)*IF('01_Вводные'!$B$239="Да",MeanMinAge18+'19_Расчет_аналитики'!T560*SUMIF(ThresholdAge18,"&lt;"&amp;'19_Расчет_аналитики'!T560,WeightedRevAge18)-SUMIF(ThresholdAge18,"&lt;"&amp;'19_Расчет_аналитики'!T560,WeightedMinAge18),MAX(CapacityAge18*'01_Вводные'!$B$218*'19_Расчет_аналитики'!T560,MeanMinAge18)))</f>
        <v/>
      </c>
      <c r="U509">
        <f>IF(OR(('19_Расчет_аналитики'!U425-'19_Расчет_аналитики'!U453)=0,18&lt;='01_Вводные'!$B$297),0,('19_Расчет_аналитики'!U425-'19_Расчет_аналитики'!U453)*IF('01_Вводные'!$B$239="Да",MeanMinAge18+'19_Расчет_аналитики'!U560*SUMIF(ThresholdAge18,"&lt;"&amp;'19_Расчет_аналитики'!U560,WeightedRevAge18)-SUMIF(ThresholdAge18,"&lt;"&amp;'19_Расчет_аналитики'!U560,WeightedMinAge18),MAX(CapacityAge18*'01_Вводные'!$B$218*'19_Расчет_аналитики'!U560,MeanMinAge18)))</f>
        <v/>
      </c>
      <c r="V509">
        <f>IF(OR(('19_Расчет_аналитики'!V425-'19_Расчет_аналитики'!V453)=0,18&lt;='01_Вводные'!$B$297),0,('19_Расчет_аналитики'!V425-'19_Расчет_аналитики'!V453)*IF('01_Вводные'!$B$239="Да",MeanMinAge18+'19_Расчет_аналитики'!V560*SUMIF(ThresholdAge18,"&lt;"&amp;'19_Расчет_аналитики'!V560,WeightedRevAge18)-SUMIF(ThresholdAge18,"&lt;"&amp;'19_Расчет_аналитики'!V560,WeightedMinAge18),MAX(CapacityAge18*'01_Вводные'!$B$218*'19_Расчет_аналитики'!V560,MeanMinAge18)))</f>
        <v/>
      </c>
      <c r="W509">
        <f>IF(OR(('19_Расчет_аналитики'!W425-'19_Расчет_аналитики'!W453)=0,18&lt;='01_Вводные'!$B$297),0,('19_Расчет_аналитики'!W425-'19_Расчет_аналитики'!W453)*IF('01_Вводные'!$B$239="Да",MeanMinAge18+'19_Расчет_аналитики'!W560*SUMIF(ThresholdAge18,"&lt;"&amp;'19_Расчет_аналитики'!W560,WeightedRevAge18)-SUMIF(ThresholdAge18,"&lt;"&amp;'19_Расчет_аналитики'!W560,WeightedMinAge18),MAX(CapacityAge18*'01_Вводные'!$B$218*'19_Расчет_аналитики'!W560,MeanMinAge18)))</f>
        <v/>
      </c>
      <c r="X509">
        <f>IF(OR(('19_Расчет_аналитики'!X425-'19_Расчет_аналитики'!X453)=0,18&lt;='01_Вводные'!$B$297),0,('19_Расчет_аналитики'!X425-'19_Расчет_аналитики'!X453)*IF('01_Вводные'!$B$239="Да",MeanMinAge18+'19_Расчет_аналитики'!X560*SUMIF(ThresholdAge18,"&lt;"&amp;'19_Расчет_аналитики'!X560,WeightedRevAge18)-SUMIF(ThresholdAge18,"&lt;"&amp;'19_Расчет_аналитики'!X560,WeightedMinAge18),MAX(CapacityAge18*'01_Вводные'!$B$218*'19_Расчет_аналитики'!X560,MeanMinAge18)))</f>
        <v/>
      </c>
      <c r="Y509">
        <f>IF(OR(('19_Расчет_аналитики'!Y425-'19_Расчет_аналитики'!Y453)=0,18&lt;='01_Вводные'!$B$297),0,('19_Расчет_аналитики'!Y425-'19_Расчет_аналитики'!Y453)*IF('01_Вводные'!$B$239="Да",MeanMinAge18+'19_Расчет_аналитики'!Y560*SUMIF(ThresholdAge18,"&lt;"&amp;'19_Расчет_аналитики'!Y560,WeightedRevAge18)-SUMIF(ThresholdAge18,"&lt;"&amp;'19_Расчет_аналитики'!Y560,WeightedMinAge18),MAX(CapacityAge18*'01_Вводные'!$B$218*'19_Расчет_аналитики'!Y560,MeanMinAge18)))</f>
        <v/>
      </c>
      <c r="Z509">
        <f>IF(OR(('19_Расчет_аналитики'!Z425-'19_Расчет_аналитики'!Z453)=0,18&lt;='01_Вводные'!$B$297),0,('19_Расчет_аналитики'!Z425-'19_Расчет_аналитики'!Z453)*IF('01_Вводные'!$B$239="Да",MeanMinAge18+'19_Расчет_аналитики'!Z560*SUMIF(ThresholdAge18,"&lt;"&amp;'19_Расчет_аналитики'!Z560,WeightedRevAge18)-SUMIF(ThresholdAge18,"&lt;"&amp;'19_Расчет_аналитики'!Z560,WeightedMinAge18),MAX(CapacityAge18*'01_Вводные'!$B$218*'19_Расчет_аналитики'!Z560,MeanMinAge18)))</f>
        <v/>
      </c>
      <c r="AA509">
        <f>IF(OR(('19_Расчет_аналитики'!AA425-'19_Расчет_аналитики'!AA453)=0,18&lt;='01_Вводные'!$B$297),0,('19_Расчет_аналитики'!AA425-'19_Расчет_аналитики'!AA453)*IF('01_Вводные'!$B$239="Да",MeanMinAge18+'19_Расчет_аналитики'!AA560*SUMIF(ThresholdAge18,"&lt;"&amp;'19_Расчет_аналитики'!AA560,WeightedRevAge18)-SUMIF(ThresholdAge18,"&lt;"&amp;'19_Расчет_аналитики'!AA560,WeightedMinAge18),MAX(CapacityAge18*'01_Вводные'!$B$218*'19_Расчет_аналитики'!AA560,MeanMinAge18)))</f>
        <v/>
      </c>
      <c r="AB509">
        <f>IF(OR(('19_Расчет_аналитики'!AB425-'19_Расчет_аналитики'!AB453)=0,18&lt;='01_Вводные'!$B$297),0,('19_Расчет_аналитики'!AB425-'19_Расчет_аналитики'!AB453)*IF('01_Вводные'!$B$239="Да",MeanMinAge18+'19_Расчет_аналитики'!AB560*SUMIF(ThresholdAge18,"&lt;"&amp;'19_Расчет_аналитики'!AB560,WeightedRevAge18)-SUMIF(ThresholdAge18,"&lt;"&amp;'19_Расчет_аналитики'!AB560,WeightedMinAge18),MAX(CapacityAge18*'01_Вводные'!$B$218*'19_Расчет_аналитики'!AB560,MeanMinAge18)))</f>
        <v/>
      </c>
      <c r="AC509">
        <f>IF(OR(('19_Расчет_аналитики'!AC425-'19_Расчет_аналитики'!AC453)=0,18&lt;='01_Вводные'!$B$297),0,('19_Расчет_аналитики'!AC425-'19_Расчет_аналитики'!AC453)*IF('01_Вводные'!$B$239="Да",MeanMinAge18+'19_Расчет_аналитики'!AC560*SUMIF(ThresholdAge18,"&lt;"&amp;'19_Расчет_аналитики'!AC560,WeightedRevAge18)-SUMIF(ThresholdAge18,"&lt;"&amp;'19_Расчет_аналитики'!AC560,WeightedMinAge18),MAX(CapacityAge18*'01_Вводные'!$B$218*'19_Расчет_аналитики'!AC560,MeanMinAge18)))</f>
        <v/>
      </c>
      <c r="AD509">
        <f>IF(OR(('19_Расчет_аналитики'!AD425-'19_Расчет_аналитики'!AD453)=0,18&lt;='01_Вводные'!$B$297),0,('19_Расчет_аналитики'!AD425-'19_Расчет_аналитики'!AD453)*IF('01_Вводные'!$B$239="Да",MeanMinAge18+'19_Расчет_аналитики'!AD560*SUMIF(ThresholdAge18,"&lt;"&amp;'19_Расчет_аналитики'!AD560,WeightedRevAge18)-SUMIF(ThresholdAge18,"&lt;"&amp;'19_Расчет_аналитики'!AD560,WeightedMinAge18),MAX(CapacityAge18*'01_Вводные'!$B$218*'19_Расчет_аналитики'!AD560,MeanMinAge18)))</f>
        <v/>
      </c>
      <c r="AE509">
        <f>IF(OR(('19_Расчет_аналитики'!AE425-'19_Расчет_аналитики'!AE453)=0,18&lt;='01_Вводные'!$B$297),0,('19_Расчет_аналитики'!AE425-'19_Расчет_аналитики'!AE453)*IF('01_Вводные'!$B$239="Да",MeanMinAge18+'19_Расчет_аналитики'!AE560*SUMIF(ThresholdAge18,"&lt;"&amp;'19_Расчет_аналитики'!AE560,WeightedRevAge18)-SUMIF(ThresholdAge18,"&lt;"&amp;'19_Расчет_аналитики'!AE560,WeightedMinAge18),MAX(CapacityAge18*'01_Вводные'!$B$218*'19_Расчет_аналитики'!AE560,MeanMinAge18)))</f>
        <v/>
      </c>
      <c r="AF509">
        <f>IF(OR(('19_Расчет_аналитики'!AF425-'19_Расчет_аналитики'!AF453)=0,18&lt;='01_Вводные'!$B$297),0,('19_Расчет_аналитики'!AF425-'19_Расчет_аналитики'!AF453)*IF('01_Вводные'!$B$239="Да",MeanMinAge18+'19_Расчет_аналитики'!AF560*SUMIF(ThresholdAge18,"&lt;"&amp;'19_Расчет_аналитики'!AF560,WeightedRevAge18)-SUMIF(ThresholdAge18,"&lt;"&amp;'19_Расчет_аналитики'!AF560,WeightedMinAge18),MAX(CapacityAge18*'01_Вводные'!$B$218*'19_Расчет_аналитики'!AF560,MeanMinAge18)))</f>
        <v/>
      </c>
      <c r="AG509">
        <f>IF(OR(('19_Расчет_аналитики'!AG425-'19_Расчет_аналитики'!AG453)=0,18&lt;='01_Вводные'!$B$297),0,('19_Расчет_аналитики'!AG425-'19_Расчет_аналитики'!AG453)*IF('01_Вводные'!$B$239="Да",MeanMinAge18+'19_Расчет_аналитики'!AG560*SUMIF(ThresholdAge18,"&lt;"&amp;'19_Расчет_аналитики'!AG560,WeightedRevAge18)-SUMIF(ThresholdAge18,"&lt;"&amp;'19_Расчет_аналитики'!AG560,WeightedMinAge18),MAX(CapacityAge18*'01_Вводные'!$B$218*'19_Расчет_аналитики'!AG560,MeanMinAge18)))</f>
        <v/>
      </c>
      <c r="AH509">
        <f>IF(OR(('19_Расчет_аналитики'!AH425-'19_Расчет_аналитики'!AH453)=0,18&lt;='01_Вводные'!$B$297),0,('19_Расчет_аналитики'!AH425-'19_Расчет_аналитики'!AH453)*IF('01_Вводные'!$B$239="Да",MeanMinAge18+'19_Расчет_аналитики'!AH560*SUMIF(ThresholdAge18,"&lt;"&amp;'19_Расчет_аналитики'!AH560,WeightedRevAge18)-SUMIF(ThresholdAge18,"&lt;"&amp;'19_Расчет_аналитики'!AH560,WeightedMinAge18),MAX(CapacityAge18*'01_Вводные'!$B$218*'19_Расчет_аналитики'!AH560,MeanMinAge18)))</f>
        <v/>
      </c>
      <c r="AI509">
        <f>IF(OR(('19_Расчет_аналитики'!AI425-'19_Расчет_аналитики'!AI453)=0,18&lt;='01_Вводные'!$B$297),0,('19_Расчет_аналитики'!AI425-'19_Расчет_аналитики'!AI453)*IF('01_Вводные'!$B$239="Да",MeanMinAge18+'19_Расчет_аналитики'!AI560*SUMIF(ThresholdAge18,"&lt;"&amp;'19_Расчет_аналитики'!AI560,WeightedRevAge18)-SUMIF(ThresholdAge18,"&lt;"&amp;'19_Расчет_аналитики'!AI560,WeightedMinAge18),MAX(CapacityAge18*'01_Вводные'!$B$218*'19_Расчет_аналитики'!AI560,MeanMinAge18)))</f>
        <v/>
      </c>
      <c r="AJ509">
        <f>IF(OR(('19_Расчет_аналитики'!AJ425-'19_Расчет_аналитики'!AJ453)=0,18&lt;='01_Вводные'!$B$297),0,('19_Расчет_аналитики'!AJ425-'19_Расчет_аналитики'!AJ453)*IF('01_Вводные'!$B$239="Да",MeanMinAge18+'19_Расчет_аналитики'!AJ560*SUMIF(ThresholdAge18,"&lt;"&amp;'19_Расчет_аналитики'!AJ560,WeightedRevAge18)-SUMIF(ThresholdAge18,"&lt;"&amp;'19_Расчет_аналитики'!AJ560,WeightedMinAge18),MAX(CapacityAge18*'01_Вводные'!$B$218*'19_Расчет_аналитики'!AJ560,MeanMinAge18)))</f>
        <v/>
      </c>
      <c r="AK509">
        <f>IF(OR(('19_Расчет_аналитики'!AK425-'19_Расчет_аналитики'!AK453)=0,18&lt;='01_Вводные'!$B$297),0,('19_Расчет_аналитики'!AK425-'19_Расчет_аналитики'!AK453)*IF('01_Вводные'!$B$239="Да",MeanMinAge18+'19_Расчет_аналитики'!AK560*SUMIF(ThresholdAge18,"&lt;"&amp;'19_Расчет_аналитики'!AK560,WeightedRevAge18)-SUMIF(ThresholdAge18,"&lt;"&amp;'19_Расчет_аналитики'!AK560,WeightedMinAge18),MAX(CapacityAge18*'01_Вводные'!$B$218*'19_Расчет_аналитики'!AK560,MeanMinAge18)))</f>
        <v/>
      </c>
      <c r="AL509">
        <f>IF(OR(('19_Расчет_аналитики'!AL425-'19_Расчет_аналитики'!AL453)=0,18&lt;='01_Вводные'!$B$297),0,('19_Расчет_аналитики'!AL425-'19_Расчет_аналитики'!AL453)*IF('01_Вводные'!$B$239="Да",MeanMinAge18+'19_Расчет_аналитики'!AL560*SUMIF(ThresholdAge18,"&lt;"&amp;'19_Расчет_аналитики'!AL560,WeightedRevAge18)-SUMIF(ThresholdAge18,"&lt;"&amp;'19_Расчет_аналитики'!AL560,WeightedMinAge18),MAX(CapacityAge18*'01_Вводные'!$B$218*'19_Расчет_аналитики'!AL560,MeanMinAge18)))</f>
        <v/>
      </c>
      <c r="AM509">
        <f>IF(OR(('19_Расчет_аналитики'!AM425-'19_Расчет_аналитики'!AM453)=0,18&lt;='01_Вводные'!$B$297),0,('19_Расчет_аналитики'!AM425-'19_Расчет_аналитики'!AM453)*IF('01_Вводные'!$B$239="Да",MeanMinAge18+'19_Расчет_аналитики'!AM560*SUMIF(ThresholdAge18,"&lt;"&amp;'19_Расчет_аналитики'!AM560,WeightedRevAge18)-SUMIF(ThresholdAge18,"&lt;"&amp;'19_Расчет_аналитики'!AM560,WeightedMinAge18),MAX(CapacityAge18*'01_Вводные'!$B$218*'19_Расчет_аналитики'!AM560,MeanMinAge18)))</f>
        <v/>
      </c>
      <c r="AN509">
        <f>IF(OR(('19_Расчет_аналитики'!AN425-'19_Расчет_аналитики'!AN453)=0,18&lt;='01_Вводные'!$B$297),0,('19_Расчет_аналитики'!AN425-'19_Расчет_аналитики'!AN453)*IF('01_Вводные'!$B$239="Да",MeanMinAge18+'19_Расчет_аналитики'!AN560*SUMIF(ThresholdAge18,"&lt;"&amp;'19_Расчет_аналитики'!AN560,WeightedRevAge18)-SUMIF(ThresholdAge18,"&lt;"&amp;'19_Расчет_аналитики'!AN560,WeightedMinAge18),MAX(CapacityAge18*'01_Вводные'!$B$218*'19_Расчет_аналитики'!AN560,MeanMinAge18)))</f>
        <v/>
      </c>
      <c r="AO509">
        <f>IF(OR(('19_Расчет_аналитики'!AO425-'19_Расчет_аналитики'!AO453)=0,18&lt;='01_Вводные'!$B$297),0,('19_Расчет_аналитики'!AO425-'19_Расчет_аналитики'!AO453)*IF('01_Вводные'!$B$239="Да",MeanMinAge18+'19_Расчет_аналитики'!AO560*SUMIF(ThresholdAge18,"&lt;"&amp;'19_Расчет_аналитики'!AO560,WeightedRevAge18)-SUMIF(ThresholdAge18,"&lt;"&amp;'19_Расчет_аналитики'!AO560,WeightedMinAge18),MAX(CapacityAge18*'01_Вводные'!$B$218*'19_Расчет_аналитики'!AO560,MeanMinAge18)))</f>
        <v/>
      </c>
      <c r="AP509">
        <f>IF(OR(('19_Расчет_аналитики'!AP425-'19_Расчет_аналитики'!AP453)=0,18&lt;='01_Вводные'!$B$297),0,('19_Расчет_аналитики'!AP425-'19_Расчет_аналитики'!AP453)*IF('01_Вводные'!$B$239="Да",MeanMinAge18+'19_Расчет_аналитики'!AP560*SUMIF(ThresholdAge18,"&lt;"&amp;'19_Расчет_аналитики'!AP560,WeightedRevAge18)-SUMIF(ThresholdAge18,"&lt;"&amp;'19_Расчет_аналитики'!AP560,WeightedMinAge18),MAX(CapacityAge18*'01_Вводные'!$B$218*'19_Расчет_аналитики'!AP560,MeanMinAge18)))</f>
        <v/>
      </c>
      <c r="AQ509">
        <f>IF(OR(('19_Расчет_аналитики'!AQ425-'19_Расчет_аналитики'!AQ453)=0,18&lt;='01_Вводные'!$B$297),0,('19_Расчет_аналитики'!AQ425-'19_Расчет_аналитики'!AQ453)*IF('01_Вводные'!$B$239="Да",MeanMinAge18+'19_Расчет_аналитики'!AQ560*SUMIF(ThresholdAge18,"&lt;"&amp;'19_Расчет_аналитики'!AQ560,WeightedRevAge18)-SUMIF(ThresholdAge18,"&lt;"&amp;'19_Расчет_аналитики'!AQ560,WeightedMinAge18),MAX(CapacityAge18*'01_Вводные'!$B$218*'19_Расчет_аналитики'!AQ560,MeanMinAge18)))</f>
        <v/>
      </c>
      <c r="AR509">
        <f>IF(OR(('19_Расчет_аналитики'!AR425-'19_Расчет_аналитики'!AR453)=0,18&lt;='01_Вводные'!$B$297),0,('19_Расчет_аналитики'!AR425-'19_Расчет_аналитики'!AR453)*IF('01_Вводные'!$B$239="Да",MeanMinAge18+'19_Расчет_аналитики'!AR560*SUMIF(ThresholdAge18,"&lt;"&amp;'19_Расчет_аналитики'!AR560,WeightedRevAge18)-SUMIF(ThresholdAge18,"&lt;"&amp;'19_Расчет_аналитики'!AR560,WeightedMinAge18),MAX(CapacityAge18*'01_Вводные'!$B$218*'19_Расчет_аналитики'!AR560,MeanMinAge18)))</f>
        <v/>
      </c>
      <c r="AS509">
        <f>IF(OR(('19_Расчет_аналитики'!AS425-'19_Расчет_аналитики'!AS453)=0,18&lt;='01_Вводные'!$B$297),0,('19_Расчет_аналитики'!AS425-'19_Расчет_аналитики'!AS453)*IF('01_Вводные'!$B$239="Да",MeanMinAge18+'19_Расчет_аналитики'!AS560*SUMIF(ThresholdAge18,"&lt;"&amp;'19_Расчет_аналитики'!AS560,WeightedRevAge18)-SUMIF(ThresholdAge18,"&lt;"&amp;'19_Расчет_аналитики'!AS560,WeightedMinAge18),MAX(CapacityAge18*'01_Вводные'!$B$218*'19_Расчет_аналитики'!AS560,MeanMinAge18)))</f>
        <v/>
      </c>
      <c r="AT509">
        <f>IF(OR(('19_Расчет_аналитики'!AT425-'19_Расчет_аналитики'!AT453)=0,18&lt;='01_Вводные'!$B$297),0,('19_Расчет_аналитики'!AT425-'19_Расчет_аналитики'!AT453)*IF('01_Вводные'!$B$239="Да",MeanMinAge18+'19_Расчет_аналитики'!AT560*SUMIF(ThresholdAge18,"&lt;"&amp;'19_Расчет_аналитики'!AT560,WeightedRevAge18)-SUMIF(ThresholdAge18,"&lt;"&amp;'19_Расчет_аналитики'!AT560,WeightedMinAge18),MAX(CapacityAge18*'01_Вводные'!$B$218*'19_Расчет_аналитики'!AT560,MeanMinAge18)))</f>
        <v/>
      </c>
      <c r="AU509">
        <f>IF(OR(('19_Расчет_аналитики'!AU425-'19_Расчет_аналитики'!AU453)=0,18&lt;='01_Вводные'!$B$297),0,('19_Расчет_аналитики'!AU425-'19_Расчет_аналитики'!AU453)*IF('01_Вводные'!$B$239="Да",MeanMinAge18+'19_Расчет_аналитики'!AU560*SUMIF(ThresholdAge18,"&lt;"&amp;'19_Расчет_аналитики'!AU560,WeightedRevAge18)-SUMIF(ThresholdAge18,"&lt;"&amp;'19_Расчет_аналитики'!AU560,WeightedMinAge18),MAX(CapacityAge18*'01_Вводные'!$B$218*'19_Расчет_аналитики'!AU560,MeanMinAge18)))</f>
        <v/>
      </c>
      <c r="AV509">
        <f>IF(OR(('19_Расчет_аналитики'!AV425-'19_Расчет_аналитики'!AV453)=0,18&lt;='01_Вводные'!$B$297),0,('19_Расчет_аналитики'!AV425-'19_Расчет_аналитики'!AV453)*IF('01_Вводные'!$B$239="Да",MeanMinAge18+'19_Расчет_аналитики'!AV560*SUMIF(ThresholdAge18,"&lt;"&amp;'19_Расчет_аналитики'!AV560,WeightedRevAge18)-SUMIF(ThresholdAge18,"&lt;"&amp;'19_Расчет_аналитики'!AV560,WeightedMinAge18),MAX(CapacityAge18*'01_Вводные'!$B$218*'19_Расчет_аналитики'!AV560,MeanMinAge18)))</f>
        <v/>
      </c>
      <c r="AW509">
        <f>IF(OR(('19_Расчет_аналитики'!AW425-'19_Расчет_аналитики'!AW453)=0,18&lt;='01_Вводные'!$B$297),0,('19_Расчет_аналитики'!AW425-'19_Расчет_аналитики'!AW453)*IF('01_Вводные'!$B$239="Да",MeanMinAge18+'19_Расчет_аналитики'!AW560*SUMIF(ThresholdAge18,"&lt;"&amp;'19_Расчет_аналитики'!AW560,WeightedRevAge18)-SUMIF(ThresholdAge18,"&lt;"&amp;'19_Расчет_аналитики'!AW560,WeightedMinAge18),MAX(CapacityAge18*'01_Вводные'!$B$218*'19_Расчет_аналитики'!AW560,MeanMinAge18)))</f>
        <v/>
      </c>
      <c r="AX509">
        <f>IF(OR(('19_Расчет_аналитики'!AX425-'19_Расчет_аналитики'!AX453)=0,18&lt;='01_Вводные'!$B$297),0,('19_Расчет_аналитики'!AX425-'19_Расчет_аналитики'!AX453)*IF('01_Вводные'!$B$239="Да",MeanMinAge18+'19_Расчет_аналитики'!AX560*SUMIF(ThresholdAge18,"&lt;"&amp;'19_Расчет_аналитики'!AX560,WeightedRevAge18)-SUMIF(ThresholdAge18,"&lt;"&amp;'19_Расчет_аналитики'!AX560,WeightedMinAge18),MAX(CapacityAge18*'01_Вводные'!$B$218*'19_Расчет_аналитики'!AX560,MeanMinAge18)))</f>
        <v/>
      </c>
      <c r="AY509">
        <f>IF(OR(('19_Расчет_аналитики'!AY425-'19_Расчет_аналитики'!AY453)=0,18&lt;='01_Вводные'!$B$297),0,('19_Расчет_аналитики'!AY425-'19_Расчет_аналитики'!AY453)*IF('01_Вводные'!$B$239="Да",MeanMinAge18+'19_Расчет_аналитики'!AY560*SUMIF(ThresholdAge18,"&lt;"&amp;'19_Расчет_аналитики'!AY560,WeightedRevAge18)-SUMIF(ThresholdAge18,"&lt;"&amp;'19_Расчет_аналитики'!AY560,WeightedMinAge18),MAX(CapacityAge18*'01_Вводные'!$B$218*'19_Расчет_аналитики'!AY560,MeanMinAge18)))</f>
        <v/>
      </c>
      <c r="AZ509">
        <f>IF(OR(('19_Расчет_аналитики'!AZ425-'19_Расчет_аналитики'!AZ453)=0,18&lt;='01_Вводные'!$B$297),0,('19_Расчет_аналитики'!AZ425-'19_Расчет_аналитики'!AZ453)*IF('01_Вводные'!$B$239="Да",MeanMinAge18+'19_Расчет_аналитики'!AZ560*SUMIF(ThresholdAge18,"&lt;"&amp;'19_Расчет_аналитики'!AZ560,WeightedRevAge18)-SUMIF(ThresholdAge18,"&lt;"&amp;'19_Расчет_аналитики'!AZ560,WeightedMinAge18),MAX(CapacityAge18*'01_Вводные'!$B$218*'19_Расчет_аналитики'!AZ560,MeanMinAge18)))</f>
        <v/>
      </c>
      <c r="BA509">
        <f>IF(OR(('19_Расчет_аналитики'!BA425-'19_Расчет_аналитики'!BA453)=0,18&lt;='01_Вводные'!$B$297),0,('19_Расчет_аналитики'!BA425-'19_Расчет_аналитики'!BA453)*IF('01_Вводные'!$B$239="Да",MeanMinAge18+'19_Расчет_аналитики'!BA560*SUMIF(ThresholdAge18,"&lt;"&amp;'19_Расчет_аналитики'!BA560,WeightedRevAge18)-SUMIF(ThresholdAge18,"&lt;"&amp;'19_Расчет_аналитики'!BA560,WeightedMinAge18),MAX(CapacityAge18*'01_Вводные'!$B$218*'19_Расчет_аналитики'!BA560,MeanMinAge18)))</f>
        <v/>
      </c>
      <c r="BB509">
        <f>IF(OR(('19_Расчет_аналитики'!BB425-'19_Расчет_аналитики'!BB453)=0,18&lt;='01_Вводные'!$B$297),0,('19_Расчет_аналитики'!BB425-'19_Расчет_аналитики'!BB453)*IF('01_Вводные'!$B$239="Да",MeanMinAge18+'19_Расчет_аналитики'!BB560*SUMIF(ThresholdAge18,"&lt;"&amp;'19_Расчет_аналитики'!BB560,WeightedRevAge18)-SUMIF(ThresholdAge18,"&lt;"&amp;'19_Расчет_аналитики'!BB560,WeightedMinAge18),MAX(CapacityAge18*'01_Вводные'!$B$218*'19_Расчет_аналитики'!BB560,MeanMinAge18)))</f>
        <v/>
      </c>
      <c r="BC509">
        <f>IF(OR(('19_Расчет_аналитики'!BC425-'19_Расчет_аналитики'!BC453)=0,18&lt;='01_Вводные'!$B$297),0,('19_Расчет_аналитики'!BC425-'19_Расчет_аналитики'!BC453)*IF('01_Вводные'!$B$239="Да",MeanMinAge18+'19_Расчет_аналитики'!BC560*SUMIF(ThresholdAge18,"&lt;"&amp;'19_Расчет_аналитики'!BC560,WeightedRevAge18)-SUMIF(ThresholdAge18,"&lt;"&amp;'19_Расчет_аналитики'!BC560,WeightedMinAge18),MAX(CapacityAge18*'01_Вводные'!$B$218*'19_Расчет_аналитики'!BC560,MeanMinAge18)))</f>
        <v/>
      </c>
      <c r="BD509">
        <f>IF(OR(('19_Расчет_аналитики'!BD425-'19_Расчет_аналитики'!BD453)=0,18&lt;='01_Вводные'!$B$297),0,('19_Расчет_аналитики'!BD425-'19_Расчет_аналитики'!BD453)*IF('01_Вводные'!$B$239="Да",MeanMinAge18+'19_Расчет_аналитики'!BD560*SUMIF(ThresholdAge18,"&lt;"&amp;'19_Расчет_аналитики'!BD560,WeightedRevAge18)-SUMIF(ThresholdAge18,"&lt;"&amp;'19_Расчет_аналитики'!BD560,WeightedMinAge18),MAX(CapacityAge18*'01_Вводные'!$B$218*'19_Расчет_аналитики'!BD560,MeanMinAge18)))</f>
        <v/>
      </c>
      <c r="BE509">
        <f>IF(OR(('19_Расчет_аналитики'!BE425-'19_Расчет_аналитики'!BE453)=0,18&lt;='01_Вводные'!$B$297),0,('19_Расчет_аналитики'!BE425-'19_Расчет_аналитики'!BE453)*IF('01_Вводные'!$B$239="Да",MeanMinAge18+'19_Расчет_аналитики'!BE560*SUMIF(ThresholdAge18,"&lt;"&amp;'19_Расчет_аналитики'!BE560,WeightedRevAge18)-SUMIF(ThresholdAge18,"&lt;"&amp;'19_Расчет_аналитики'!BE560,WeightedMinAge18),MAX(CapacityAge18*'01_Вводные'!$B$218*'19_Расчет_аналитики'!BE560,MeanMinAge18)))</f>
        <v/>
      </c>
      <c r="BF509">
        <f>IF(OR(('19_Расчет_аналитики'!BF425-'19_Расчет_аналитики'!BF453)=0,18&lt;='01_Вводные'!$B$297),0,('19_Расчет_аналитики'!BF425-'19_Расчет_аналитики'!BF453)*IF('01_Вводные'!$B$239="Да",MeanMinAge18+'19_Расчет_аналитики'!BF560*SUMIF(ThresholdAge18,"&lt;"&amp;'19_Расчет_аналитики'!BF560,WeightedRevAge18)-SUMIF(ThresholdAge18,"&lt;"&amp;'19_Расчет_аналитики'!BF560,WeightedMinAge18),MAX(CapacityAge18*'01_Вводные'!$B$218*'19_Расчет_аналитики'!BF560,MeanMinAge18)))</f>
        <v/>
      </c>
      <c r="BG509">
        <f>IF(OR(('19_Расчет_аналитики'!BG425-'19_Расчет_аналитики'!BG453)=0,18&lt;='01_Вводные'!$B$297),0,('19_Расчет_аналитики'!BG425-'19_Расчет_аналитики'!BG453)*IF('01_Вводные'!$B$239="Да",MeanMinAge18+'19_Расчет_аналитики'!BG560*SUMIF(ThresholdAge18,"&lt;"&amp;'19_Расчет_аналитики'!BG560,WeightedRevAge18)-SUMIF(ThresholdAge18,"&lt;"&amp;'19_Расчет_аналитики'!BG560,WeightedMinAge18),MAX(CapacityAge18*'01_Вводные'!$B$218*'19_Расчет_аналитики'!BG560,MeanMinAge18)))</f>
        <v/>
      </c>
      <c r="BH509">
        <f>IF(OR(('19_Расчет_аналитики'!BH425-'19_Расчет_аналитики'!BH453)=0,18&lt;='01_Вводные'!$B$297),0,('19_Расчет_аналитики'!BH425-'19_Расчет_аналитики'!BH453)*IF('01_Вводные'!$B$239="Да",MeanMinAge18+'19_Расчет_аналитики'!BH560*SUMIF(ThresholdAge18,"&lt;"&amp;'19_Расчет_аналитики'!BH560,WeightedRevAge18)-SUMIF(ThresholdAge18,"&lt;"&amp;'19_Расчет_аналитики'!BH560,WeightedMinAge18),MAX(CapacityAge18*'01_Вводные'!$B$218*'19_Расчет_аналитики'!BH560,MeanMinAge18)))</f>
        <v/>
      </c>
      <c r="BI509">
        <f>IF(OR(('19_Расчет_аналитики'!BI425-'19_Расчет_аналитики'!BI453)=0,18&lt;='01_Вводные'!$B$297),0,('19_Расчет_аналитики'!BI425-'19_Расчет_аналитики'!BI453)*IF('01_Вводные'!$B$239="Да",MeanMinAge18+'19_Расчет_аналитики'!BI560*SUMIF(ThresholdAge18,"&lt;"&amp;'19_Расчет_аналитики'!BI560,WeightedRevAge18)-SUMIF(ThresholdAge18,"&lt;"&amp;'19_Расчет_аналитики'!BI560,WeightedMinAge18),MAX(CapacityAge18*'01_Вводные'!$B$218*'19_Расчет_аналитики'!BI560,MeanMinAge18)))</f>
        <v/>
      </c>
      <c r="BJ509">
        <f>IF(OR(('19_Расчет_аналитики'!BJ425-'19_Расчет_аналитики'!BJ453)=0,18&lt;='01_Вводные'!$B$297),0,('19_Расчет_аналитики'!BJ425-'19_Расчет_аналитики'!BJ453)*IF('01_Вводные'!$B$239="Да",MeanMinAge18+'19_Расчет_аналитики'!BJ560*SUMIF(ThresholdAge18,"&lt;"&amp;'19_Расчет_аналитики'!BJ560,WeightedRevAge18)-SUMIF(ThresholdAge18,"&lt;"&amp;'19_Расчет_аналитики'!BJ560,WeightedMinAge18),MAX(CapacityAge18*'01_Вводные'!$B$218*'19_Расчет_аналитики'!BJ560,MeanMinAge18)))</f>
        <v/>
      </c>
      <c r="BK509">
        <f>IF(OR(('19_Расчет_аналитики'!BK425-'19_Расчет_аналитики'!BK453)=0,18&lt;='01_Вводные'!$B$297),0,('19_Расчет_аналитики'!BK425-'19_Расчет_аналитики'!BK453)*IF('01_Вводные'!$B$239="Да",MeanMinAge18+'19_Расчет_аналитики'!BK560*SUMIF(ThresholdAge18,"&lt;"&amp;'19_Расчет_аналитики'!BK560,WeightedRevAge18)-SUMIF(ThresholdAge18,"&lt;"&amp;'19_Расчет_аналитики'!BK560,WeightedMinAge18),MAX(CapacityAge18*'01_Вводные'!$B$218*'19_Расчет_аналитики'!BK560,MeanMinAge18)))</f>
        <v/>
      </c>
      <c r="BL509">
        <f>IF(OR(('19_Расчет_аналитики'!BL425-'19_Расчет_аналитики'!BL453)=0,18&lt;='01_Вводные'!$B$297),0,('19_Расчет_аналитики'!BL425-'19_Расчет_аналитики'!BL453)*IF('01_Вводные'!$B$239="Да",MeanMinAge18+'19_Расчет_аналитики'!BL560*SUMIF(ThresholdAge18,"&lt;"&amp;'19_Расчет_аналитики'!BL560,WeightedRevAge18)-SUMIF(ThresholdAge18,"&lt;"&amp;'19_Расчет_аналитики'!BL560,WeightedMinAge18),MAX(CapacityAge18*'01_Вводные'!$B$218*'19_Расчет_аналитики'!BL560,MeanMinAge18)))</f>
        <v/>
      </c>
      <c r="BM509">
        <f>IF(OR(('19_Расчет_аналитики'!BM425-'19_Расчет_аналитики'!BM453)=0,18&lt;='01_Вводные'!$B$297),0,('19_Расчет_аналитики'!BM425-'19_Расчет_аналитики'!BM453)*IF('01_Вводные'!$B$239="Да",MeanMinAge18+'19_Расчет_аналитики'!BM560*SUMIF(ThresholdAge18,"&lt;"&amp;'19_Расчет_аналитики'!BM560,WeightedRevAge18)-SUMIF(ThresholdAge18,"&lt;"&amp;'19_Расчет_аналитики'!BM560,WeightedMinAge18),MAX(CapacityAge18*'01_Вводные'!$B$218*'19_Расчет_аналитики'!BM560,MeanMinAge18)))</f>
        <v/>
      </c>
      <c r="BN509">
        <f>IF(OR(('19_Расчет_аналитики'!BN425-'19_Расчет_аналитики'!BN453)=0,18&lt;='01_Вводные'!$B$297),0,('19_Расчет_аналитики'!BN425-'19_Расчет_аналитики'!BN453)*IF('01_Вводные'!$B$239="Да",MeanMinAge18+'19_Расчет_аналитики'!BN560*SUMIF(ThresholdAge18,"&lt;"&amp;'19_Расчет_аналитики'!BN560,WeightedRevAge18)-SUMIF(ThresholdAge18,"&lt;"&amp;'19_Расчет_аналитики'!BN560,WeightedMinAge18),MAX(CapacityAge18*'01_Вводные'!$B$218*'19_Расчет_аналитики'!BN560,MeanMinAge18)))</f>
        <v/>
      </c>
      <c r="BO509">
        <f>IF(OR(('19_Расчет_аналитики'!BO425-'19_Расчет_аналитики'!BO453)=0,18&lt;='01_Вводные'!$B$297),0,('19_Расчет_аналитики'!BO425-'19_Расчет_аналитики'!BO453)*IF('01_Вводные'!$B$239="Да",MeanMinAge18+'19_Расчет_аналитики'!BO560*SUMIF(ThresholdAge18,"&lt;"&amp;'19_Расчет_аналитики'!BO560,WeightedRevAge18)-SUMIF(ThresholdAge18,"&lt;"&amp;'19_Расчет_аналитики'!BO560,WeightedMinAge18),MAX(CapacityAge18*'01_Вводные'!$B$218*'19_Расчет_аналитики'!BO560,MeanMinAge18)))</f>
        <v/>
      </c>
    </row>
    <row r="510">
      <c r="B510">
        <f>IF(OR(('06_Сеть_и_дети'!B71-'06_Сеть_и_дети'!B99)=0,19&lt;='01_Вводные'!$B$297),0,('06_Сеть_и_дети'!B71-'06_Сеть_и_дети'!B99)*IF('01_Вводные'!$B$239="Да",MeanMinAge19+'19_Расчет_аналитики'!B560*SUMIF(ThresholdAge19,"&lt;"&amp;'19_Расчет_аналитики'!B560,WeightedRevAge19)-SUMIF(ThresholdAge19,"&lt;"&amp;'19_Расчет_аналитики'!B560,WeightedMinAge19),MAX(CapacityAge19*'01_Вводные'!$B$218*'19_Расчет_аналитики'!B560,MeanMinAge19)))</f>
        <v/>
      </c>
      <c r="C510">
        <f>IF(OR(('06_Сеть_и_дети'!C71-'06_Сеть_и_дети'!C99)=0,19&lt;='01_Вводные'!$B$297),0,('06_Сеть_и_дети'!C71-'06_Сеть_и_дети'!C99)*IF('01_Вводные'!$B$239="Да",MeanMinAge19+'19_Расчет_аналитики'!C560*SUMIF(ThresholdAge19,"&lt;"&amp;'19_Расчет_аналитики'!C560,WeightedRevAge19)-SUMIF(ThresholdAge19,"&lt;"&amp;'19_Расчет_аналитики'!C560,WeightedMinAge19),MAX(CapacityAge19*'01_Вводные'!$B$218*'19_Расчет_аналитики'!C560,MeanMinAge19)))</f>
        <v/>
      </c>
      <c r="D510">
        <f>IF(OR(('06_Сеть_и_дети'!D71-'06_Сеть_и_дети'!D99)=0,19&lt;='01_Вводные'!$B$297),0,('06_Сеть_и_дети'!D71-'06_Сеть_и_дети'!D99)*IF('01_Вводные'!$B$239="Да",MeanMinAge19+'19_Расчет_аналитики'!D560*SUMIF(ThresholdAge19,"&lt;"&amp;'19_Расчет_аналитики'!D560,WeightedRevAge19)-SUMIF(ThresholdAge19,"&lt;"&amp;'19_Расчет_аналитики'!D560,WeightedMinAge19),MAX(CapacityAge19*'01_Вводные'!$B$218*'19_Расчет_аналитики'!D560,MeanMinAge19)))</f>
        <v/>
      </c>
      <c r="E510">
        <f>IF(OR(('06_Сеть_и_дети'!E71-'06_Сеть_и_дети'!E99)=0,19&lt;='01_Вводные'!$B$297),0,('06_Сеть_и_дети'!E71-'06_Сеть_и_дети'!E99)*IF('01_Вводные'!$B$239="Да",MeanMinAge19+'19_Расчет_аналитики'!E560*SUMIF(ThresholdAge19,"&lt;"&amp;'19_Расчет_аналитики'!E560,WeightedRevAge19)-SUMIF(ThresholdAge19,"&lt;"&amp;'19_Расчет_аналитики'!E560,WeightedMinAge19),MAX(CapacityAge19*'01_Вводные'!$B$218*'19_Расчет_аналитики'!E560,MeanMinAge19)))</f>
        <v/>
      </c>
      <c r="F510">
        <f>IF(OR(('06_Сеть_и_дети'!F71-'06_Сеть_и_дети'!F99)=0,19&lt;='01_Вводные'!$B$297),0,('06_Сеть_и_дети'!F71-'06_Сеть_и_дети'!F99)*IF('01_Вводные'!$B$239="Да",MeanMinAge19+'19_Расчет_аналитики'!F560*SUMIF(ThresholdAge19,"&lt;"&amp;'19_Расчет_аналитики'!F560,WeightedRevAge19)-SUMIF(ThresholdAge19,"&lt;"&amp;'19_Расчет_аналитики'!F560,WeightedMinAge19),MAX(CapacityAge19*'01_Вводные'!$B$218*'19_Расчет_аналитики'!F560,MeanMinAge19)))</f>
        <v/>
      </c>
      <c r="G510">
        <f>IF(OR(('06_Сеть_и_дети'!G71-'06_Сеть_и_дети'!G99)=0,19&lt;='01_Вводные'!$B$297),0,('06_Сеть_и_дети'!G71-'06_Сеть_и_дети'!G99)*IF('01_Вводные'!$B$239="Да",MeanMinAge19+'19_Расчет_аналитики'!G560*SUMIF(ThresholdAge19,"&lt;"&amp;'19_Расчет_аналитики'!G560,WeightedRevAge19)-SUMIF(ThresholdAge19,"&lt;"&amp;'19_Расчет_аналитики'!G560,WeightedMinAge19),MAX(CapacityAge19*'01_Вводные'!$B$218*'19_Расчет_аналитики'!G560,MeanMinAge19)))</f>
        <v/>
      </c>
      <c r="H510">
        <f>IF(OR(('06_Сеть_и_дети'!H71-'06_Сеть_и_дети'!H99)=0,19&lt;='01_Вводные'!$B$297),0,('06_Сеть_и_дети'!H71-'06_Сеть_и_дети'!H99)*IF('01_Вводные'!$B$239="Да",MeanMinAge19+'19_Расчет_аналитики'!H560*SUMIF(ThresholdAge19,"&lt;"&amp;'19_Расчет_аналитики'!H560,WeightedRevAge19)-SUMIF(ThresholdAge19,"&lt;"&amp;'19_Расчет_аналитики'!H560,WeightedMinAge19),MAX(CapacityAge19*'01_Вводные'!$B$218*'19_Расчет_аналитики'!H560,MeanMinAge19)))</f>
        <v/>
      </c>
      <c r="I510">
        <f>IF(OR(('06_Сеть_и_дети'!I71-'06_Сеть_и_дети'!I99)=0,19&lt;='01_Вводные'!$B$297),0,('06_Сеть_и_дети'!I71-'06_Сеть_и_дети'!I99)*IF('01_Вводные'!$B$239="Да",MeanMinAge19+'19_Расчет_аналитики'!I560*SUMIF(ThresholdAge19,"&lt;"&amp;'19_Расчет_аналитики'!I560,WeightedRevAge19)-SUMIF(ThresholdAge19,"&lt;"&amp;'19_Расчет_аналитики'!I560,WeightedMinAge19),MAX(CapacityAge19*'01_Вводные'!$B$218*'19_Расчет_аналитики'!I560,MeanMinAge19)))</f>
        <v/>
      </c>
      <c r="J510">
        <f>IF(OR(('06_Сеть_и_дети'!J71-'06_Сеть_и_дети'!J99)=0,19&lt;='01_Вводные'!$B$297),0,('06_Сеть_и_дети'!J71-'06_Сеть_и_дети'!J99)*IF('01_Вводные'!$B$239="Да",MeanMinAge19+'19_Расчет_аналитики'!J560*SUMIF(ThresholdAge19,"&lt;"&amp;'19_Расчет_аналитики'!J560,WeightedRevAge19)-SUMIF(ThresholdAge19,"&lt;"&amp;'19_Расчет_аналитики'!J560,WeightedMinAge19),MAX(CapacityAge19*'01_Вводные'!$B$218*'19_Расчет_аналитики'!J560,MeanMinAge19)))</f>
        <v/>
      </c>
      <c r="K510">
        <f>IF(OR(('06_Сеть_и_дети'!K71-'06_Сеть_и_дети'!K99)=0,19&lt;='01_Вводные'!$B$297),0,('06_Сеть_и_дети'!K71-'06_Сеть_и_дети'!K99)*IF('01_Вводные'!$B$239="Да",MeanMinAge19+'19_Расчет_аналитики'!K560*SUMIF(ThresholdAge19,"&lt;"&amp;'19_Расчет_аналитики'!K560,WeightedRevAge19)-SUMIF(ThresholdAge19,"&lt;"&amp;'19_Расчет_аналитики'!K560,WeightedMinAge19),MAX(CapacityAge19*'01_Вводные'!$B$218*'19_Расчет_аналитики'!K560,MeanMinAge19)))</f>
        <v/>
      </c>
      <c r="L510">
        <f>IF(OR(('06_Сеть_и_дети'!L71-'06_Сеть_и_дети'!L99)=0,19&lt;='01_Вводные'!$B$297),0,('06_Сеть_и_дети'!L71-'06_Сеть_и_дети'!L99)*IF('01_Вводные'!$B$239="Да",MeanMinAge19+'19_Расчет_аналитики'!L560*SUMIF(ThresholdAge19,"&lt;"&amp;'19_Расчет_аналитики'!L560,WeightedRevAge19)-SUMIF(ThresholdAge19,"&lt;"&amp;'19_Расчет_аналитики'!L560,WeightedMinAge19),MAX(CapacityAge19*'01_Вводные'!$B$218*'19_Расчет_аналитики'!L560,MeanMinAge19)))</f>
        <v/>
      </c>
      <c r="M510">
        <f>IF(OR(('06_Сеть_и_дети'!M71-'06_Сеть_и_дети'!M99)=0,19&lt;='01_Вводные'!$B$297),0,('06_Сеть_и_дети'!M71-'06_Сеть_и_дети'!M99)*IF('01_Вводные'!$B$239="Да",MeanMinAge19+'19_Расчет_аналитики'!M560*SUMIF(ThresholdAge19,"&lt;"&amp;'19_Расчет_аналитики'!M560,WeightedRevAge19)-SUMIF(ThresholdAge19,"&lt;"&amp;'19_Расчет_аналитики'!M560,WeightedMinAge19),MAX(CapacityAge19*'01_Вводные'!$B$218*'19_Расчет_аналитики'!M560,MeanMinAge19)))</f>
        <v/>
      </c>
      <c r="N510">
        <f>IF(OR(('06_Сеть_и_дети'!N71-'06_Сеть_и_дети'!N99)=0,19&lt;='01_Вводные'!$B$297),0,('06_Сеть_и_дети'!N71-'06_Сеть_и_дети'!N99)*IF('01_Вводные'!$B$239="Да",MeanMinAge19+'19_Расчет_аналитики'!N560*SUMIF(ThresholdAge19,"&lt;"&amp;'19_Расчет_аналитики'!N560,WeightedRevAge19)-SUMIF(ThresholdAge19,"&lt;"&amp;'19_Расчет_аналитики'!N560,WeightedMinAge19),MAX(CapacityAge19*'01_Вводные'!$B$218*'19_Расчет_аналитики'!N560,MeanMinAge19)))</f>
        <v/>
      </c>
      <c r="O510">
        <f>IF(OR(('06_Сеть_и_дети'!O71-'06_Сеть_и_дети'!O99)=0,19&lt;='01_Вводные'!$B$297),0,('06_Сеть_и_дети'!O71-'06_Сеть_и_дети'!O99)*IF('01_Вводные'!$B$239="Да",MeanMinAge19+'19_Расчет_аналитики'!O560*SUMIF(ThresholdAge19,"&lt;"&amp;'19_Расчет_аналитики'!O560,WeightedRevAge19)-SUMIF(ThresholdAge19,"&lt;"&amp;'19_Расчет_аналитики'!O560,WeightedMinAge19),MAX(CapacityAge19*'01_Вводные'!$B$218*'19_Расчет_аналитики'!O560,MeanMinAge19)))</f>
        <v/>
      </c>
      <c r="P510">
        <f>IF(OR(('06_Сеть_и_дети'!P71-'06_Сеть_и_дети'!P99)=0,19&lt;='01_Вводные'!$B$297),0,('06_Сеть_и_дети'!P71-'06_Сеть_и_дети'!P99)*IF('01_Вводные'!$B$239="Да",MeanMinAge19+'19_Расчет_аналитики'!P560*SUMIF(ThresholdAge19,"&lt;"&amp;'19_Расчет_аналитики'!P560,WeightedRevAge19)-SUMIF(ThresholdAge19,"&lt;"&amp;'19_Расчет_аналитики'!P560,WeightedMinAge19),MAX(CapacityAge19*'01_Вводные'!$B$218*'19_Расчет_аналитики'!P560,MeanMinAge19)))</f>
        <v/>
      </c>
      <c r="Q510">
        <f>IF(OR(('06_Сеть_и_дети'!Q71-'06_Сеть_и_дети'!Q99)=0,19&lt;='01_Вводные'!$B$297),0,('06_Сеть_и_дети'!Q71-'06_Сеть_и_дети'!Q99)*IF('01_Вводные'!$B$239="Да",MeanMinAge19+'19_Расчет_аналитики'!Q560*SUMIF(ThresholdAge19,"&lt;"&amp;'19_Расчет_аналитики'!Q560,WeightedRevAge19)-SUMIF(ThresholdAge19,"&lt;"&amp;'19_Расчет_аналитики'!Q560,WeightedMinAge19),MAX(CapacityAge19*'01_Вводные'!$B$218*'19_Расчет_аналитики'!Q560,MeanMinAge19)))</f>
        <v/>
      </c>
      <c r="R510">
        <f>IF(OR(('06_Сеть_и_дети'!R71-'06_Сеть_и_дети'!R99)=0,19&lt;='01_Вводные'!$B$297),0,('06_Сеть_и_дети'!R71-'06_Сеть_и_дети'!R99)*IF('01_Вводные'!$B$239="Да",MeanMinAge19+'19_Расчет_аналитики'!R560*SUMIF(ThresholdAge19,"&lt;"&amp;'19_Расчет_аналитики'!R560,WeightedRevAge19)-SUMIF(ThresholdAge19,"&lt;"&amp;'19_Расчет_аналитики'!R560,WeightedMinAge19),MAX(CapacityAge19*'01_Вводные'!$B$218*'19_Расчет_аналитики'!R560,MeanMinAge19)))</f>
        <v/>
      </c>
      <c r="S510">
        <f>IF(OR(('06_Сеть_и_дети'!S71-'06_Сеть_и_дети'!S99)=0,19&lt;='01_Вводные'!$B$297),0,('06_Сеть_и_дети'!S71-'06_Сеть_и_дети'!S99)*IF('01_Вводные'!$B$239="Да",MeanMinAge19+'19_Расчет_аналитики'!S560*SUMIF(ThresholdAge19,"&lt;"&amp;'19_Расчет_аналитики'!S560,WeightedRevAge19)-SUMIF(ThresholdAge19,"&lt;"&amp;'19_Расчет_аналитики'!S560,WeightedMinAge19),MAX(CapacityAge19*'01_Вводные'!$B$218*'19_Расчет_аналитики'!S560,MeanMinAge19)))</f>
        <v/>
      </c>
      <c r="T510">
        <f>IF(OR(('19_Расчет_аналитики'!T426-'19_Расчет_аналитики'!T454)=0,19&lt;='01_Вводные'!$B$297),0,('19_Расчет_аналитики'!T426-'19_Расчет_аналитики'!T454)*IF('01_Вводные'!$B$239="Да",MeanMinAge19+'19_Расчет_аналитики'!T560*SUMIF(ThresholdAge19,"&lt;"&amp;'19_Расчет_аналитики'!T560,WeightedRevAge19)-SUMIF(ThresholdAge19,"&lt;"&amp;'19_Расчет_аналитики'!T560,WeightedMinAge19),MAX(CapacityAge19*'01_Вводные'!$B$218*'19_Расчет_аналитики'!T560,MeanMinAge19)))</f>
        <v/>
      </c>
      <c r="U510">
        <f>IF(OR(('19_Расчет_аналитики'!U426-'19_Расчет_аналитики'!U454)=0,19&lt;='01_Вводные'!$B$297),0,('19_Расчет_аналитики'!U426-'19_Расчет_аналитики'!U454)*IF('01_Вводные'!$B$239="Да",MeanMinAge19+'19_Расчет_аналитики'!U560*SUMIF(ThresholdAge19,"&lt;"&amp;'19_Расчет_аналитики'!U560,WeightedRevAge19)-SUMIF(ThresholdAge19,"&lt;"&amp;'19_Расчет_аналитики'!U560,WeightedMinAge19),MAX(CapacityAge19*'01_Вводные'!$B$218*'19_Расчет_аналитики'!U560,MeanMinAge19)))</f>
        <v/>
      </c>
      <c r="V510">
        <f>IF(OR(('19_Расчет_аналитики'!V426-'19_Расчет_аналитики'!V454)=0,19&lt;='01_Вводные'!$B$297),0,('19_Расчет_аналитики'!V426-'19_Расчет_аналитики'!V454)*IF('01_Вводные'!$B$239="Да",MeanMinAge19+'19_Расчет_аналитики'!V560*SUMIF(ThresholdAge19,"&lt;"&amp;'19_Расчет_аналитики'!V560,WeightedRevAge19)-SUMIF(ThresholdAge19,"&lt;"&amp;'19_Расчет_аналитики'!V560,WeightedMinAge19),MAX(CapacityAge19*'01_Вводные'!$B$218*'19_Расчет_аналитики'!V560,MeanMinAge19)))</f>
        <v/>
      </c>
      <c r="W510">
        <f>IF(OR(('19_Расчет_аналитики'!W426-'19_Расчет_аналитики'!W454)=0,19&lt;='01_Вводные'!$B$297),0,('19_Расчет_аналитики'!W426-'19_Расчет_аналитики'!W454)*IF('01_Вводные'!$B$239="Да",MeanMinAge19+'19_Расчет_аналитики'!W560*SUMIF(ThresholdAge19,"&lt;"&amp;'19_Расчет_аналитики'!W560,WeightedRevAge19)-SUMIF(ThresholdAge19,"&lt;"&amp;'19_Расчет_аналитики'!W560,WeightedMinAge19),MAX(CapacityAge19*'01_Вводные'!$B$218*'19_Расчет_аналитики'!W560,MeanMinAge19)))</f>
        <v/>
      </c>
      <c r="X510">
        <f>IF(OR(('19_Расчет_аналитики'!X426-'19_Расчет_аналитики'!X454)=0,19&lt;='01_Вводные'!$B$297),0,('19_Расчет_аналитики'!X426-'19_Расчет_аналитики'!X454)*IF('01_Вводные'!$B$239="Да",MeanMinAge19+'19_Расчет_аналитики'!X560*SUMIF(ThresholdAge19,"&lt;"&amp;'19_Расчет_аналитики'!X560,WeightedRevAge19)-SUMIF(ThresholdAge19,"&lt;"&amp;'19_Расчет_аналитики'!X560,WeightedMinAge19),MAX(CapacityAge19*'01_Вводные'!$B$218*'19_Расчет_аналитики'!X560,MeanMinAge19)))</f>
        <v/>
      </c>
      <c r="Y510">
        <f>IF(OR(('19_Расчет_аналитики'!Y426-'19_Расчет_аналитики'!Y454)=0,19&lt;='01_Вводные'!$B$297),0,('19_Расчет_аналитики'!Y426-'19_Расчет_аналитики'!Y454)*IF('01_Вводные'!$B$239="Да",MeanMinAge19+'19_Расчет_аналитики'!Y560*SUMIF(ThresholdAge19,"&lt;"&amp;'19_Расчет_аналитики'!Y560,WeightedRevAge19)-SUMIF(ThresholdAge19,"&lt;"&amp;'19_Расчет_аналитики'!Y560,WeightedMinAge19),MAX(CapacityAge19*'01_Вводные'!$B$218*'19_Расчет_аналитики'!Y560,MeanMinAge19)))</f>
        <v/>
      </c>
      <c r="Z510">
        <f>IF(OR(('19_Расчет_аналитики'!Z426-'19_Расчет_аналитики'!Z454)=0,19&lt;='01_Вводные'!$B$297),0,('19_Расчет_аналитики'!Z426-'19_Расчет_аналитики'!Z454)*IF('01_Вводные'!$B$239="Да",MeanMinAge19+'19_Расчет_аналитики'!Z560*SUMIF(ThresholdAge19,"&lt;"&amp;'19_Расчет_аналитики'!Z560,WeightedRevAge19)-SUMIF(ThresholdAge19,"&lt;"&amp;'19_Расчет_аналитики'!Z560,WeightedMinAge19),MAX(CapacityAge19*'01_Вводные'!$B$218*'19_Расчет_аналитики'!Z560,MeanMinAge19)))</f>
        <v/>
      </c>
      <c r="AA510">
        <f>IF(OR(('19_Расчет_аналитики'!AA426-'19_Расчет_аналитики'!AA454)=0,19&lt;='01_Вводные'!$B$297),0,('19_Расчет_аналитики'!AA426-'19_Расчет_аналитики'!AA454)*IF('01_Вводные'!$B$239="Да",MeanMinAge19+'19_Расчет_аналитики'!AA560*SUMIF(ThresholdAge19,"&lt;"&amp;'19_Расчет_аналитики'!AA560,WeightedRevAge19)-SUMIF(ThresholdAge19,"&lt;"&amp;'19_Расчет_аналитики'!AA560,WeightedMinAge19),MAX(CapacityAge19*'01_Вводные'!$B$218*'19_Расчет_аналитики'!AA560,MeanMinAge19)))</f>
        <v/>
      </c>
      <c r="AB510">
        <f>IF(OR(('19_Расчет_аналитики'!AB426-'19_Расчет_аналитики'!AB454)=0,19&lt;='01_Вводные'!$B$297),0,('19_Расчет_аналитики'!AB426-'19_Расчет_аналитики'!AB454)*IF('01_Вводные'!$B$239="Да",MeanMinAge19+'19_Расчет_аналитики'!AB560*SUMIF(ThresholdAge19,"&lt;"&amp;'19_Расчет_аналитики'!AB560,WeightedRevAge19)-SUMIF(ThresholdAge19,"&lt;"&amp;'19_Расчет_аналитики'!AB560,WeightedMinAge19),MAX(CapacityAge19*'01_Вводные'!$B$218*'19_Расчет_аналитики'!AB560,MeanMinAge19)))</f>
        <v/>
      </c>
      <c r="AC510">
        <f>IF(OR(('19_Расчет_аналитики'!AC426-'19_Расчет_аналитики'!AC454)=0,19&lt;='01_Вводные'!$B$297),0,('19_Расчет_аналитики'!AC426-'19_Расчет_аналитики'!AC454)*IF('01_Вводные'!$B$239="Да",MeanMinAge19+'19_Расчет_аналитики'!AC560*SUMIF(ThresholdAge19,"&lt;"&amp;'19_Расчет_аналитики'!AC560,WeightedRevAge19)-SUMIF(ThresholdAge19,"&lt;"&amp;'19_Расчет_аналитики'!AC560,WeightedMinAge19),MAX(CapacityAge19*'01_Вводные'!$B$218*'19_Расчет_аналитики'!AC560,MeanMinAge19)))</f>
        <v/>
      </c>
      <c r="AD510">
        <f>IF(OR(('19_Расчет_аналитики'!AD426-'19_Расчет_аналитики'!AD454)=0,19&lt;='01_Вводные'!$B$297),0,('19_Расчет_аналитики'!AD426-'19_Расчет_аналитики'!AD454)*IF('01_Вводные'!$B$239="Да",MeanMinAge19+'19_Расчет_аналитики'!AD560*SUMIF(ThresholdAge19,"&lt;"&amp;'19_Расчет_аналитики'!AD560,WeightedRevAge19)-SUMIF(ThresholdAge19,"&lt;"&amp;'19_Расчет_аналитики'!AD560,WeightedMinAge19),MAX(CapacityAge19*'01_Вводные'!$B$218*'19_Расчет_аналитики'!AD560,MeanMinAge19)))</f>
        <v/>
      </c>
      <c r="AE510">
        <f>IF(OR(('19_Расчет_аналитики'!AE426-'19_Расчет_аналитики'!AE454)=0,19&lt;='01_Вводные'!$B$297),0,('19_Расчет_аналитики'!AE426-'19_Расчет_аналитики'!AE454)*IF('01_Вводные'!$B$239="Да",MeanMinAge19+'19_Расчет_аналитики'!AE560*SUMIF(ThresholdAge19,"&lt;"&amp;'19_Расчет_аналитики'!AE560,WeightedRevAge19)-SUMIF(ThresholdAge19,"&lt;"&amp;'19_Расчет_аналитики'!AE560,WeightedMinAge19),MAX(CapacityAge19*'01_Вводные'!$B$218*'19_Расчет_аналитики'!AE560,MeanMinAge19)))</f>
        <v/>
      </c>
      <c r="AF510">
        <f>IF(OR(('19_Расчет_аналитики'!AF426-'19_Расчет_аналитики'!AF454)=0,19&lt;='01_Вводные'!$B$297),0,('19_Расчет_аналитики'!AF426-'19_Расчет_аналитики'!AF454)*IF('01_Вводные'!$B$239="Да",MeanMinAge19+'19_Расчет_аналитики'!AF560*SUMIF(ThresholdAge19,"&lt;"&amp;'19_Расчет_аналитики'!AF560,WeightedRevAge19)-SUMIF(ThresholdAge19,"&lt;"&amp;'19_Расчет_аналитики'!AF560,WeightedMinAge19),MAX(CapacityAge19*'01_Вводные'!$B$218*'19_Расчет_аналитики'!AF560,MeanMinAge19)))</f>
        <v/>
      </c>
      <c r="AG510">
        <f>IF(OR(('19_Расчет_аналитики'!AG426-'19_Расчет_аналитики'!AG454)=0,19&lt;='01_Вводные'!$B$297),0,('19_Расчет_аналитики'!AG426-'19_Расчет_аналитики'!AG454)*IF('01_Вводные'!$B$239="Да",MeanMinAge19+'19_Расчет_аналитики'!AG560*SUMIF(ThresholdAge19,"&lt;"&amp;'19_Расчет_аналитики'!AG560,WeightedRevAge19)-SUMIF(ThresholdAge19,"&lt;"&amp;'19_Расчет_аналитики'!AG560,WeightedMinAge19),MAX(CapacityAge19*'01_Вводные'!$B$218*'19_Расчет_аналитики'!AG560,MeanMinAge19)))</f>
        <v/>
      </c>
      <c r="AH510">
        <f>IF(OR(('19_Расчет_аналитики'!AH426-'19_Расчет_аналитики'!AH454)=0,19&lt;='01_Вводные'!$B$297),0,('19_Расчет_аналитики'!AH426-'19_Расчет_аналитики'!AH454)*IF('01_Вводные'!$B$239="Да",MeanMinAge19+'19_Расчет_аналитики'!AH560*SUMIF(ThresholdAge19,"&lt;"&amp;'19_Расчет_аналитики'!AH560,WeightedRevAge19)-SUMIF(ThresholdAge19,"&lt;"&amp;'19_Расчет_аналитики'!AH560,WeightedMinAge19),MAX(CapacityAge19*'01_Вводные'!$B$218*'19_Расчет_аналитики'!AH560,MeanMinAge19)))</f>
        <v/>
      </c>
      <c r="AI510">
        <f>IF(OR(('19_Расчет_аналитики'!AI426-'19_Расчет_аналитики'!AI454)=0,19&lt;='01_Вводные'!$B$297),0,('19_Расчет_аналитики'!AI426-'19_Расчет_аналитики'!AI454)*IF('01_Вводные'!$B$239="Да",MeanMinAge19+'19_Расчет_аналитики'!AI560*SUMIF(ThresholdAge19,"&lt;"&amp;'19_Расчет_аналитики'!AI560,WeightedRevAge19)-SUMIF(ThresholdAge19,"&lt;"&amp;'19_Расчет_аналитики'!AI560,WeightedMinAge19),MAX(CapacityAge19*'01_Вводные'!$B$218*'19_Расчет_аналитики'!AI560,MeanMinAge19)))</f>
        <v/>
      </c>
      <c r="AJ510">
        <f>IF(OR(('19_Расчет_аналитики'!AJ426-'19_Расчет_аналитики'!AJ454)=0,19&lt;='01_Вводные'!$B$297),0,('19_Расчет_аналитики'!AJ426-'19_Расчет_аналитики'!AJ454)*IF('01_Вводные'!$B$239="Да",MeanMinAge19+'19_Расчет_аналитики'!AJ560*SUMIF(ThresholdAge19,"&lt;"&amp;'19_Расчет_аналитики'!AJ560,WeightedRevAge19)-SUMIF(ThresholdAge19,"&lt;"&amp;'19_Расчет_аналитики'!AJ560,WeightedMinAge19),MAX(CapacityAge19*'01_Вводные'!$B$218*'19_Расчет_аналитики'!AJ560,MeanMinAge19)))</f>
        <v/>
      </c>
      <c r="AK510">
        <f>IF(OR(('19_Расчет_аналитики'!AK426-'19_Расчет_аналитики'!AK454)=0,19&lt;='01_Вводные'!$B$297),0,('19_Расчет_аналитики'!AK426-'19_Расчет_аналитики'!AK454)*IF('01_Вводные'!$B$239="Да",MeanMinAge19+'19_Расчет_аналитики'!AK560*SUMIF(ThresholdAge19,"&lt;"&amp;'19_Расчет_аналитики'!AK560,WeightedRevAge19)-SUMIF(ThresholdAge19,"&lt;"&amp;'19_Расчет_аналитики'!AK560,WeightedMinAge19),MAX(CapacityAge19*'01_Вводные'!$B$218*'19_Расчет_аналитики'!AK560,MeanMinAge19)))</f>
        <v/>
      </c>
      <c r="AL510">
        <f>IF(OR(('19_Расчет_аналитики'!AL426-'19_Расчет_аналитики'!AL454)=0,19&lt;='01_Вводные'!$B$297),0,('19_Расчет_аналитики'!AL426-'19_Расчет_аналитики'!AL454)*IF('01_Вводные'!$B$239="Да",MeanMinAge19+'19_Расчет_аналитики'!AL560*SUMIF(ThresholdAge19,"&lt;"&amp;'19_Расчет_аналитики'!AL560,WeightedRevAge19)-SUMIF(ThresholdAge19,"&lt;"&amp;'19_Расчет_аналитики'!AL560,WeightedMinAge19),MAX(CapacityAge19*'01_Вводные'!$B$218*'19_Расчет_аналитики'!AL560,MeanMinAge19)))</f>
        <v/>
      </c>
      <c r="AM510">
        <f>IF(OR(('19_Расчет_аналитики'!AM426-'19_Расчет_аналитики'!AM454)=0,19&lt;='01_Вводные'!$B$297),0,('19_Расчет_аналитики'!AM426-'19_Расчет_аналитики'!AM454)*IF('01_Вводные'!$B$239="Да",MeanMinAge19+'19_Расчет_аналитики'!AM560*SUMIF(ThresholdAge19,"&lt;"&amp;'19_Расчет_аналитики'!AM560,WeightedRevAge19)-SUMIF(ThresholdAge19,"&lt;"&amp;'19_Расчет_аналитики'!AM560,WeightedMinAge19),MAX(CapacityAge19*'01_Вводные'!$B$218*'19_Расчет_аналитики'!AM560,MeanMinAge19)))</f>
        <v/>
      </c>
      <c r="AN510">
        <f>IF(OR(('19_Расчет_аналитики'!AN426-'19_Расчет_аналитики'!AN454)=0,19&lt;='01_Вводные'!$B$297),0,('19_Расчет_аналитики'!AN426-'19_Расчет_аналитики'!AN454)*IF('01_Вводные'!$B$239="Да",MeanMinAge19+'19_Расчет_аналитики'!AN560*SUMIF(ThresholdAge19,"&lt;"&amp;'19_Расчет_аналитики'!AN560,WeightedRevAge19)-SUMIF(ThresholdAge19,"&lt;"&amp;'19_Расчет_аналитики'!AN560,WeightedMinAge19),MAX(CapacityAge19*'01_Вводные'!$B$218*'19_Расчет_аналитики'!AN560,MeanMinAge19)))</f>
        <v/>
      </c>
      <c r="AO510">
        <f>IF(OR(('19_Расчет_аналитики'!AO426-'19_Расчет_аналитики'!AO454)=0,19&lt;='01_Вводные'!$B$297),0,('19_Расчет_аналитики'!AO426-'19_Расчет_аналитики'!AO454)*IF('01_Вводные'!$B$239="Да",MeanMinAge19+'19_Расчет_аналитики'!AO560*SUMIF(ThresholdAge19,"&lt;"&amp;'19_Расчет_аналитики'!AO560,WeightedRevAge19)-SUMIF(ThresholdAge19,"&lt;"&amp;'19_Расчет_аналитики'!AO560,WeightedMinAge19),MAX(CapacityAge19*'01_Вводные'!$B$218*'19_Расчет_аналитики'!AO560,MeanMinAge19)))</f>
        <v/>
      </c>
      <c r="AP510">
        <f>IF(OR(('19_Расчет_аналитики'!AP426-'19_Расчет_аналитики'!AP454)=0,19&lt;='01_Вводные'!$B$297),0,('19_Расчет_аналитики'!AP426-'19_Расчет_аналитики'!AP454)*IF('01_Вводные'!$B$239="Да",MeanMinAge19+'19_Расчет_аналитики'!AP560*SUMIF(ThresholdAge19,"&lt;"&amp;'19_Расчет_аналитики'!AP560,WeightedRevAge19)-SUMIF(ThresholdAge19,"&lt;"&amp;'19_Расчет_аналитики'!AP560,WeightedMinAge19),MAX(CapacityAge19*'01_Вводные'!$B$218*'19_Расчет_аналитики'!AP560,MeanMinAge19)))</f>
        <v/>
      </c>
      <c r="AQ510">
        <f>IF(OR(('19_Расчет_аналитики'!AQ426-'19_Расчет_аналитики'!AQ454)=0,19&lt;='01_Вводные'!$B$297),0,('19_Расчет_аналитики'!AQ426-'19_Расчет_аналитики'!AQ454)*IF('01_Вводные'!$B$239="Да",MeanMinAge19+'19_Расчет_аналитики'!AQ560*SUMIF(ThresholdAge19,"&lt;"&amp;'19_Расчет_аналитики'!AQ560,WeightedRevAge19)-SUMIF(ThresholdAge19,"&lt;"&amp;'19_Расчет_аналитики'!AQ560,WeightedMinAge19),MAX(CapacityAge19*'01_Вводные'!$B$218*'19_Расчет_аналитики'!AQ560,MeanMinAge19)))</f>
        <v/>
      </c>
      <c r="AR510">
        <f>IF(OR(('19_Расчет_аналитики'!AR426-'19_Расчет_аналитики'!AR454)=0,19&lt;='01_Вводные'!$B$297),0,('19_Расчет_аналитики'!AR426-'19_Расчет_аналитики'!AR454)*IF('01_Вводные'!$B$239="Да",MeanMinAge19+'19_Расчет_аналитики'!AR560*SUMIF(ThresholdAge19,"&lt;"&amp;'19_Расчет_аналитики'!AR560,WeightedRevAge19)-SUMIF(ThresholdAge19,"&lt;"&amp;'19_Расчет_аналитики'!AR560,WeightedMinAge19),MAX(CapacityAge19*'01_Вводные'!$B$218*'19_Расчет_аналитики'!AR560,MeanMinAge19)))</f>
        <v/>
      </c>
      <c r="AS510">
        <f>IF(OR(('19_Расчет_аналитики'!AS426-'19_Расчет_аналитики'!AS454)=0,19&lt;='01_Вводные'!$B$297),0,('19_Расчет_аналитики'!AS426-'19_Расчет_аналитики'!AS454)*IF('01_Вводные'!$B$239="Да",MeanMinAge19+'19_Расчет_аналитики'!AS560*SUMIF(ThresholdAge19,"&lt;"&amp;'19_Расчет_аналитики'!AS560,WeightedRevAge19)-SUMIF(ThresholdAge19,"&lt;"&amp;'19_Расчет_аналитики'!AS560,WeightedMinAge19),MAX(CapacityAge19*'01_Вводные'!$B$218*'19_Расчет_аналитики'!AS560,MeanMinAge19)))</f>
        <v/>
      </c>
      <c r="AT510">
        <f>IF(OR(('19_Расчет_аналитики'!AT426-'19_Расчет_аналитики'!AT454)=0,19&lt;='01_Вводные'!$B$297),0,('19_Расчет_аналитики'!AT426-'19_Расчет_аналитики'!AT454)*IF('01_Вводные'!$B$239="Да",MeanMinAge19+'19_Расчет_аналитики'!AT560*SUMIF(ThresholdAge19,"&lt;"&amp;'19_Расчет_аналитики'!AT560,WeightedRevAge19)-SUMIF(ThresholdAge19,"&lt;"&amp;'19_Расчет_аналитики'!AT560,WeightedMinAge19),MAX(CapacityAge19*'01_Вводные'!$B$218*'19_Расчет_аналитики'!AT560,MeanMinAge19)))</f>
        <v/>
      </c>
      <c r="AU510">
        <f>IF(OR(('19_Расчет_аналитики'!AU426-'19_Расчет_аналитики'!AU454)=0,19&lt;='01_Вводные'!$B$297),0,('19_Расчет_аналитики'!AU426-'19_Расчет_аналитики'!AU454)*IF('01_Вводные'!$B$239="Да",MeanMinAge19+'19_Расчет_аналитики'!AU560*SUMIF(ThresholdAge19,"&lt;"&amp;'19_Расчет_аналитики'!AU560,WeightedRevAge19)-SUMIF(ThresholdAge19,"&lt;"&amp;'19_Расчет_аналитики'!AU560,WeightedMinAge19),MAX(CapacityAge19*'01_Вводные'!$B$218*'19_Расчет_аналитики'!AU560,MeanMinAge19)))</f>
        <v/>
      </c>
      <c r="AV510">
        <f>IF(OR(('19_Расчет_аналитики'!AV426-'19_Расчет_аналитики'!AV454)=0,19&lt;='01_Вводные'!$B$297),0,('19_Расчет_аналитики'!AV426-'19_Расчет_аналитики'!AV454)*IF('01_Вводные'!$B$239="Да",MeanMinAge19+'19_Расчет_аналитики'!AV560*SUMIF(ThresholdAge19,"&lt;"&amp;'19_Расчет_аналитики'!AV560,WeightedRevAge19)-SUMIF(ThresholdAge19,"&lt;"&amp;'19_Расчет_аналитики'!AV560,WeightedMinAge19),MAX(CapacityAge19*'01_Вводные'!$B$218*'19_Расчет_аналитики'!AV560,MeanMinAge19)))</f>
        <v/>
      </c>
      <c r="AW510">
        <f>IF(OR(('19_Расчет_аналитики'!AW426-'19_Расчет_аналитики'!AW454)=0,19&lt;='01_Вводные'!$B$297),0,('19_Расчет_аналитики'!AW426-'19_Расчет_аналитики'!AW454)*IF('01_Вводные'!$B$239="Да",MeanMinAge19+'19_Расчет_аналитики'!AW560*SUMIF(ThresholdAge19,"&lt;"&amp;'19_Расчет_аналитики'!AW560,WeightedRevAge19)-SUMIF(ThresholdAge19,"&lt;"&amp;'19_Расчет_аналитики'!AW560,WeightedMinAge19),MAX(CapacityAge19*'01_Вводные'!$B$218*'19_Расчет_аналитики'!AW560,MeanMinAge19)))</f>
        <v/>
      </c>
      <c r="AX510">
        <f>IF(OR(('19_Расчет_аналитики'!AX426-'19_Расчет_аналитики'!AX454)=0,19&lt;='01_Вводные'!$B$297),0,('19_Расчет_аналитики'!AX426-'19_Расчет_аналитики'!AX454)*IF('01_Вводные'!$B$239="Да",MeanMinAge19+'19_Расчет_аналитики'!AX560*SUMIF(ThresholdAge19,"&lt;"&amp;'19_Расчет_аналитики'!AX560,WeightedRevAge19)-SUMIF(ThresholdAge19,"&lt;"&amp;'19_Расчет_аналитики'!AX560,WeightedMinAge19),MAX(CapacityAge19*'01_Вводные'!$B$218*'19_Расчет_аналитики'!AX560,MeanMinAge19)))</f>
        <v/>
      </c>
      <c r="AY510">
        <f>IF(OR(('19_Расчет_аналитики'!AY426-'19_Расчет_аналитики'!AY454)=0,19&lt;='01_Вводные'!$B$297),0,('19_Расчет_аналитики'!AY426-'19_Расчет_аналитики'!AY454)*IF('01_Вводные'!$B$239="Да",MeanMinAge19+'19_Расчет_аналитики'!AY560*SUMIF(ThresholdAge19,"&lt;"&amp;'19_Расчет_аналитики'!AY560,WeightedRevAge19)-SUMIF(ThresholdAge19,"&lt;"&amp;'19_Расчет_аналитики'!AY560,WeightedMinAge19),MAX(CapacityAge19*'01_Вводные'!$B$218*'19_Расчет_аналитики'!AY560,MeanMinAge19)))</f>
        <v/>
      </c>
      <c r="AZ510">
        <f>IF(OR(('19_Расчет_аналитики'!AZ426-'19_Расчет_аналитики'!AZ454)=0,19&lt;='01_Вводные'!$B$297),0,('19_Расчет_аналитики'!AZ426-'19_Расчет_аналитики'!AZ454)*IF('01_Вводные'!$B$239="Да",MeanMinAge19+'19_Расчет_аналитики'!AZ560*SUMIF(ThresholdAge19,"&lt;"&amp;'19_Расчет_аналитики'!AZ560,WeightedRevAge19)-SUMIF(ThresholdAge19,"&lt;"&amp;'19_Расчет_аналитики'!AZ560,WeightedMinAge19),MAX(CapacityAge19*'01_Вводные'!$B$218*'19_Расчет_аналитики'!AZ560,MeanMinAge19)))</f>
        <v/>
      </c>
      <c r="BA510">
        <f>IF(OR(('19_Расчет_аналитики'!BA426-'19_Расчет_аналитики'!BA454)=0,19&lt;='01_Вводные'!$B$297),0,('19_Расчет_аналитики'!BA426-'19_Расчет_аналитики'!BA454)*IF('01_Вводные'!$B$239="Да",MeanMinAge19+'19_Расчет_аналитики'!BA560*SUMIF(ThresholdAge19,"&lt;"&amp;'19_Расчет_аналитики'!BA560,WeightedRevAge19)-SUMIF(ThresholdAge19,"&lt;"&amp;'19_Расчет_аналитики'!BA560,WeightedMinAge19),MAX(CapacityAge19*'01_Вводные'!$B$218*'19_Расчет_аналитики'!BA560,MeanMinAge19)))</f>
        <v/>
      </c>
      <c r="BB510">
        <f>IF(OR(('19_Расчет_аналитики'!BB426-'19_Расчет_аналитики'!BB454)=0,19&lt;='01_Вводные'!$B$297),0,('19_Расчет_аналитики'!BB426-'19_Расчет_аналитики'!BB454)*IF('01_Вводные'!$B$239="Да",MeanMinAge19+'19_Расчет_аналитики'!BB560*SUMIF(ThresholdAge19,"&lt;"&amp;'19_Расчет_аналитики'!BB560,WeightedRevAge19)-SUMIF(ThresholdAge19,"&lt;"&amp;'19_Расчет_аналитики'!BB560,WeightedMinAge19),MAX(CapacityAge19*'01_Вводные'!$B$218*'19_Расчет_аналитики'!BB560,MeanMinAge19)))</f>
        <v/>
      </c>
      <c r="BC510">
        <f>IF(OR(('19_Расчет_аналитики'!BC426-'19_Расчет_аналитики'!BC454)=0,19&lt;='01_Вводные'!$B$297),0,('19_Расчет_аналитики'!BC426-'19_Расчет_аналитики'!BC454)*IF('01_Вводные'!$B$239="Да",MeanMinAge19+'19_Расчет_аналитики'!BC560*SUMIF(ThresholdAge19,"&lt;"&amp;'19_Расчет_аналитики'!BC560,WeightedRevAge19)-SUMIF(ThresholdAge19,"&lt;"&amp;'19_Расчет_аналитики'!BC560,WeightedMinAge19),MAX(CapacityAge19*'01_Вводные'!$B$218*'19_Расчет_аналитики'!BC560,MeanMinAge19)))</f>
        <v/>
      </c>
      <c r="BD510">
        <f>IF(OR(('19_Расчет_аналитики'!BD426-'19_Расчет_аналитики'!BD454)=0,19&lt;='01_Вводные'!$B$297),0,('19_Расчет_аналитики'!BD426-'19_Расчет_аналитики'!BD454)*IF('01_Вводные'!$B$239="Да",MeanMinAge19+'19_Расчет_аналитики'!BD560*SUMIF(ThresholdAge19,"&lt;"&amp;'19_Расчет_аналитики'!BD560,WeightedRevAge19)-SUMIF(ThresholdAge19,"&lt;"&amp;'19_Расчет_аналитики'!BD560,WeightedMinAge19),MAX(CapacityAge19*'01_Вводные'!$B$218*'19_Расчет_аналитики'!BD560,MeanMinAge19)))</f>
        <v/>
      </c>
      <c r="BE510">
        <f>IF(OR(('19_Расчет_аналитики'!BE426-'19_Расчет_аналитики'!BE454)=0,19&lt;='01_Вводные'!$B$297),0,('19_Расчет_аналитики'!BE426-'19_Расчет_аналитики'!BE454)*IF('01_Вводные'!$B$239="Да",MeanMinAge19+'19_Расчет_аналитики'!BE560*SUMIF(ThresholdAge19,"&lt;"&amp;'19_Расчет_аналитики'!BE560,WeightedRevAge19)-SUMIF(ThresholdAge19,"&lt;"&amp;'19_Расчет_аналитики'!BE560,WeightedMinAge19),MAX(CapacityAge19*'01_Вводные'!$B$218*'19_Расчет_аналитики'!BE560,MeanMinAge19)))</f>
        <v/>
      </c>
      <c r="BF510">
        <f>IF(OR(('19_Расчет_аналитики'!BF426-'19_Расчет_аналитики'!BF454)=0,19&lt;='01_Вводные'!$B$297),0,('19_Расчет_аналитики'!BF426-'19_Расчет_аналитики'!BF454)*IF('01_Вводные'!$B$239="Да",MeanMinAge19+'19_Расчет_аналитики'!BF560*SUMIF(ThresholdAge19,"&lt;"&amp;'19_Расчет_аналитики'!BF560,WeightedRevAge19)-SUMIF(ThresholdAge19,"&lt;"&amp;'19_Расчет_аналитики'!BF560,WeightedMinAge19),MAX(CapacityAge19*'01_Вводные'!$B$218*'19_Расчет_аналитики'!BF560,MeanMinAge19)))</f>
        <v/>
      </c>
      <c r="BG510">
        <f>IF(OR(('19_Расчет_аналитики'!BG426-'19_Расчет_аналитики'!BG454)=0,19&lt;='01_Вводные'!$B$297),0,('19_Расчет_аналитики'!BG426-'19_Расчет_аналитики'!BG454)*IF('01_Вводные'!$B$239="Да",MeanMinAge19+'19_Расчет_аналитики'!BG560*SUMIF(ThresholdAge19,"&lt;"&amp;'19_Расчет_аналитики'!BG560,WeightedRevAge19)-SUMIF(ThresholdAge19,"&lt;"&amp;'19_Расчет_аналитики'!BG560,WeightedMinAge19),MAX(CapacityAge19*'01_Вводные'!$B$218*'19_Расчет_аналитики'!BG560,MeanMinAge19)))</f>
        <v/>
      </c>
      <c r="BH510">
        <f>IF(OR(('19_Расчет_аналитики'!BH426-'19_Расчет_аналитики'!BH454)=0,19&lt;='01_Вводные'!$B$297),0,('19_Расчет_аналитики'!BH426-'19_Расчет_аналитики'!BH454)*IF('01_Вводные'!$B$239="Да",MeanMinAge19+'19_Расчет_аналитики'!BH560*SUMIF(ThresholdAge19,"&lt;"&amp;'19_Расчет_аналитики'!BH560,WeightedRevAge19)-SUMIF(ThresholdAge19,"&lt;"&amp;'19_Расчет_аналитики'!BH560,WeightedMinAge19),MAX(CapacityAge19*'01_Вводные'!$B$218*'19_Расчет_аналитики'!BH560,MeanMinAge19)))</f>
        <v/>
      </c>
      <c r="BI510">
        <f>IF(OR(('19_Расчет_аналитики'!BI426-'19_Расчет_аналитики'!BI454)=0,19&lt;='01_Вводные'!$B$297),0,('19_Расчет_аналитики'!BI426-'19_Расчет_аналитики'!BI454)*IF('01_Вводные'!$B$239="Да",MeanMinAge19+'19_Расчет_аналитики'!BI560*SUMIF(ThresholdAge19,"&lt;"&amp;'19_Расчет_аналитики'!BI560,WeightedRevAge19)-SUMIF(ThresholdAge19,"&lt;"&amp;'19_Расчет_аналитики'!BI560,WeightedMinAge19),MAX(CapacityAge19*'01_Вводные'!$B$218*'19_Расчет_аналитики'!BI560,MeanMinAge19)))</f>
        <v/>
      </c>
      <c r="BJ510">
        <f>IF(OR(('19_Расчет_аналитики'!BJ426-'19_Расчет_аналитики'!BJ454)=0,19&lt;='01_Вводные'!$B$297),0,('19_Расчет_аналитики'!BJ426-'19_Расчет_аналитики'!BJ454)*IF('01_Вводные'!$B$239="Да",MeanMinAge19+'19_Расчет_аналитики'!BJ560*SUMIF(ThresholdAge19,"&lt;"&amp;'19_Расчет_аналитики'!BJ560,WeightedRevAge19)-SUMIF(ThresholdAge19,"&lt;"&amp;'19_Расчет_аналитики'!BJ560,WeightedMinAge19),MAX(CapacityAge19*'01_Вводные'!$B$218*'19_Расчет_аналитики'!BJ560,MeanMinAge19)))</f>
        <v/>
      </c>
      <c r="BK510">
        <f>IF(OR(('19_Расчет_аналитики'!BK426-'19_Расчет_аналитики'!BK454)=0,19&lt;='01_Вводные'!$B$297),0,('19_Расчет_аналитики'!BK426-'19_Расчет_аналитики'!BK454)*IF('01_Вводные'!$B$239="Да",MeanMinAge19+'19_Расчет_аналитики'!BK560*SUMIF(ThresholdAge19,"&lt;"&amp;'19_Расчет_аналитики'!BK560,WeightedRevAge19)-SUMIF(ThresholdAge19,"&lt;"&amp;'19_Расчет_аналитики'!BK560,WeightedMinAge19),MAX(CapacityAge19*'01_Вводные'!$B$218*'19_Расчет_аналитики'!BK560,MeanMinAge19)))</f>
        <v/>
      </c>
      <c r="BL510">
        <f>IF(OR(('19_Расчет_аналитики'!BL426-'19_Расчет_аналитики'!BL454)=0,19&lt;='01_Вводные'!$B$297),0,('19_Расчет_аналитики'!BL426-'19_Расчет_аналитики'!BL454)*IF('01_Вводные'!$B$239="Да",MeanMinAge19+'19_Расчет_аналитики'!BL560*SUMIF(ThresholdAge19,"&lt;"&amp;'19_Расчет_аналитики'!BL560,WeightedRevAge19)-SUMIF(ThresholdAge19,"&lt;"&amp;'19_Расчет_аналитики'!BL560,WeightedMinAge19),MAX(CapacityAge19*'01_Вводные'!$B$218*'19_Расчет_аналитики'!BL560,MeanMinAge19)))</f>
        <v/>
      </c>
      <c r="BM510">
        <f>IF(OR(('19_Расчет_аналитики'!BM426-'19_Расчет_аналитики'!BM454)=0,19&lt;='01_Вводные'!$B$297),0,('19_Расчет_аналитики'!BM426-'19_Расчет_аналитики'!BM454)*IF('01_Вводные'!$B$239="Да",MeanMinAge19+'19_Расчет_аналитики'!BM560*SUMIF(ThresholdAge19,"&lt;"&amp;'19_Расчет_аналитики'!BM560,WeightedRevAge19)-SUMIF(ThresholdAge19,"&lt;"&amp;'19_Расчет_аналитики'!BM560,WeightedMinAge19),MAX(CapacityAge19*'01_Вводные'!$B$218*'19_Расчет_аналитики'!BM560,MeanMinAge19)))</f>
        <v/>
      </c>
      <c r="BN510">
        <f>IF(OR(('19_Расчет_аналитики'!BN426-'19_Расчет_аналитики'!BN454)=0,19&lt;='01_Вводные'!$B$297),0,('19_Расчет_аналитики'!BN426-'19_Расчет_аналитики'!BN454)*IF('01_Вводные'!$B$239="Да",MeanMinAge19+'19_Расчет_аналитики'!BN560*SUMIF(ThresholdAge19,"&lt;"&amp;'19_Расчет_аналитики'!BN560,WeightedRevAge19)-SUMIF(ThresholdAge19,"&lt;"&amp;'19_Расчет_аналитики'!BN560,WeightedMinAge19),MAX(CapacityAge19*'01_Вводные'!$B$218*'19_Расчет_аналитики'!BN560,MeanMinAge19)))</f>
        <v/>
      </c>
      <c r="BO510">
        <f>IF(OR(('19_Расчет_аналитики'!BO426-'19_Расчет_аналитики'!BO454)=0,19&lt;='01_Вводные'!$B$297),0,('19_Расчет_аналитики'!BO426-'19_Расчет_аналитики'!BO454)*IF('01_Вводные'!$B$239="Да",MeanMinAge19+'19_Расчет_аналитики'!BO560*SUMIF(ThresholdAge19,"&lt;"&amp;'19_Расчет_аналитики'!BO560,WeightedRevAge19)-SUMIF(ThresholdAge19,"&lt;"&amp;'19_Расчет_аналитики'!BO560,WeightedMinAge19),MAX(CapacityAge19*'01_Вводные'!$B$218*'19_Расчет_аналитики'!BO560,MeanMinAge19)))</f>
        <v/>
      </c>
    </row>
    <row r="511">
      <c r="B511">
        <f>IF(OR(('06_Сеть_и_дети'!B72-'06_Сеть_и_дети'!B100)=0,20&lt;='01_Вводные'!$B$297),0,('06_Сеть_и_дети'!B72-'06_Сеть_и_дети'!B100)*IF('01_Вводные'!$B$239="Да",MeanMinAge20+'19_Расчет_аналитики'!B560*SUMIF(ThresholdAge20,"&lt;"&amp;'19_Расчет_аналитики'!B560,WeightedRevAge20)-SUMIF(ThresholdAge20,"&lt;"&amp;'19_Расчет_аналитики'!B560,WeightedMinAge20),MAX(CapacityAge20*'01_Вводные'!$B$218*'19_Расчет_аналитики'!B560,MeanMinAge20)))</f>
        <v/>
      </c>
      <c r="C511">
        <f>IF(OR(('06_Сеть_и_дети'!C72-'06_Сеть_и_дети'!C100)=0,20&lt;='01_Вводные'!$B$297),0,('06_Сеть_и_дети'!C72-'06_Сеть_и_дети'!C100)*IF('01_Вводные'!$B$239="Да",MeanMinAge20+'19_Расчет_аналитики'!C560*SUMIF(ThresholdAge20,"&lt;"&amp;'19_Расчет_аналитики'!C560,WeightedRevAge20)-SUMIF(ThresholdAge20,"&lt;"&amp;'19_Расчет_аналитики'!C560,WeightedMinAge20),MAX(CapacityAge20*'01_Вводные'!$B$218*'19_Расчет_аналитики'!C560,MeanMinAge20)))</f>
        <v/>
      </c>
      <c r="D511">
        <f>IF(OR(('06_Сеть_и_дети'!D72-'06_Сеть_и_дети'!D100)=0,20&lt;='01_Вводные'!$B$297),0,('06_Сеть_и_дети'!D72-'06_Сеть_и_дети'!D100)*IF('01_Вводные'!$B$239="Да",MeanMinAge20+'19_Расчет_аналитики'!D560*SUMIF(ThresholdAge20,"&lt;"&amp;'19_Расчет_аналитики'!D560,WeightedRevAge20)-SUMIF(ThresholdAge20,"&lt;"&amp;'19_Расчет_аналитики'!D560,WeightedMinAge20),MAX(CapacityAge20*'01_Вводные'!$B$218*'19_Расчет_аналитики'!D560,MeanMinAge20)))</f>
        <v/>
      </c>
      <c r="E511">
        <f>IF(OR(('06_Сеть_и_дети'!E72-'06_Сеть_и_дети'!E100)=0,20&lt;='01_Вводные'!$B$297),0,('06_Сеть_и_дети'!E72-'06_Сеть_и_дети'!E100)*IF('01_Вводные'!$B$239="Да",MeanMinAge20+'19_Расчет_аналитики'!E560*SUMIF(ThresholdAge20,"&lt;"&amp;'19_Расчет_аналитики'!E560,WeightedRevAge20)-SUMIF(ThresholdAge20,"&lt;"&amp;'19_Расчет_аналитики'!E560,WeightedMinAge20),MAX(CapacityAge20*'01_Вводные'!$B$218*'19_Расчет_аналитики'!E560,MeanMinAge20)))</f>
        <v/>
      </c>
      <c r="F511">
        <f>IF(OR(('06_Сеть_и_дети'!F72-'06_Сеть_и_дети'!F100)=0,20&lt;='01_Вводные'!$B$297),0,('06_Сеть_и_дети'!F72-'06_Сеть_и_дети'!F100)*IF('01_Вводные'!$B$239="Да",MeanMinAge20+'19_Расчет_аналитики'!F560*SUMIF(ThresholdAge20,"&lt;"&amp;'19_Расчет_аналитики'!F560,WeightedRevAge20)-SUMIF(ThresholdAge20,"&lt;"&amp;'19_Расчет_аналитики'!F560,WeightedMinAge20),MAX(CapacityAge20*'01_Вводные'!$B$218*'19_Расчет_аналитики'!F560,MeanMinAge20)))</f>
        <v/>
      </c>
      <c r="G511">
        <f>IF(OR(('06_Сеть_и_дети'!G72-'06_Сеть_и_дети'!G100)=0,20&lt;='01_Вводные'!$B$297),0,('06_Сеть_и_дети'!G72-'06_Сеть_и_дети'!G100)*IF('01_Вводные'!$B$239="Да",MeanMinAge20+'19_Расчет_аналитики'!G560*SUMIF(ThresholdAge20,"&lt;"&amp;'19_Расчет_аналитики'!G560,WeightedRevAge20)-SUMIF(ThresholdAge20,"&lt;"&amp;'19_Расчет_аналитики'!G560,WeightedMinAge20),MAX(CapacityAge20*'01_Вводные'!$B$218*'19_Расчет_аналитики'!G560,MeanMinAge20)))</f>
        <v/>
      </c>
      <c r="H511">
        <f>IF(OR(('06_Сеть_и_дети'!H72-'06_Сеть_и_дети'!H100)=0,20&lt;='01_Вводные'!$B$297),0,('06_Сеть_и_дети'!H72-'06_Сеть_и_дети'!H100)*IF('01_Вводные'!$B$239="Да",MeanMinAge20+'19_Расчет_аналитики'!H560*SUMIF(ThresholdAge20,"&lt;"&amp;'19_Расчет_аналитики'!H560,WeightedRevAge20)-SUMIF(ThresholdAge20,"&lt;"&amp;'19_Расчет_аналитики'!H560,WeightedMinAge20),MAX(CapacityAge20*'01_Вводные'!$B$218*'19_Расчет_аналитики'!H560,MeanMinAge20)))</f>
        <v/>
      </c>
      <c r="I511">
        <f>IF(OR(('06_Сеть_и_дети'!I72-'06_Сеть_и_дети'!I100)=0,20&lt;='01_Вводные'!$B$297),0,('06_Сеть_и_дети'!I72-'06_Сеть_и_дети'!I100)*IF('01_Вводные'!$B$239="Да",MeanMinAge20+'19_Расчет_аналитики'!I560*SUMIF(ThresholdAge20,"&lt;"&amp;'19_Расчет_аналитики'!I560,WeightedRevAge20)-SUMIF(ThresholdAge20,"&lt;"&amp;'19_Расчет_аналитики'!I560,WeightedMinAge20),MAX(CapacityAge20*'01_Вводные'!$B$218*'19_Расчет_аналитики'!I560,MeanMinAge20)))</f>
        <v/>
      </c>
      <c r="J511">
        <f>IF(OR(('06_Сеть_и_дети'!J72-'06_Сеть_и_дети'!J100)=0,20&lt;='01_Вводные'!$B$297),0,('06_Сеть_и_дети'!J72-'06_Сеть_и_дети'!J100)*IF('01_Вводные'!$B$239="Да",MeanMinAge20+'19_Расчет_аналитики'!J560*SUMIF(ThresholdAge20,"&lt;"&amp;'19_Расчет_аналитики'!J560,WeightedRevAge20)-SUMIF(ThresholdAge20,"&lt;"&amp;'19_Расчет_аналитики'!J560,WeightedMinAge20),MAX(CapacityAge20*'01_Вводные'!$B$218*'19_Расчет_аналитики'!J560,MeanMinAge20)))</f>
        <v/>
      </c>
      <c r="K511">
        <f>IF(OR(('06_Сеть_и_дети'!K72-'06_Сеть_и_дети'!K100)=0,20&lt;='01_Вводные'!$B$297),0,('06_Сеть_и_дети'!K72-'06_Сеть_и_дети'!K100)*IF('01_Вводные'!$B$239="Да",MeanMinAge20+'19_Расчет_аналитики'!K560*SUMIF(ThresholdAge20,"&lt;"&amp;'19_Расчет_аналитики'!K560,WeightedRevAge20)-SUMIF(ThresholdAge20,"&lt;"&amp;'19_Расчет_аналитики'!K560,WeightedMinAge20),MAX(CapacityAge20*'01_Вводные'!$B$218*'19_Расчет_аналитики'!K560,MeanMinAge20)))</f>
        <v/>
      </c>
      <c r="L511">
        <f>IF(OR(('06_Сеть_и_дети'!L72-'06_Сеть_и_дети'!L100)=0,20&lt;='01_Вводные'!$B$297),0,('06_Сеть_и_дети'!L72-'06_Сеть_и_дети'!L100)*IF('01_Вводные'!$B$239="Да",MeanMinAge20+'19_Расчет_аналитики'!L560*SUMIF(ThresholdAge20,"&lt;"&amp;'19_Расчет_аналитики'!L560,WeightedRevAge20)-SUMIF(ThresholdAge20,"&lt;"&amp;'19_Расчет_аналитики'!L560,WeightedMinAge20),MAX(CapacityAge20*'01_Вводные'!$B$218*'19_Расчет_аналитики'!L560,MeanMinAge20)))</f>
        <v/>
      </c>
      <c r="M511">
        <f>IF(OR(('06_Сеть_и_дети'!M72-'06_Сеть_и_дети'!M100)=0,20&lt;='01_Вводные'!$B$297),0,('06_Сеть_и_дети'!M72-'06_Сеть_и_дети'!M100)*IF('01_Вводные'!$B$239="Да",MeanMinAge20+'19_Расчет_аналитики'!M560*SUMIF(ThresholdAge20,"&lt;"&amp;'19_Расчет_аналитики'!M560,WeightedRevAge20)-SUMIF(ThresholdAge20,"&lt;"&amp;'19_Расчет_аналитики'!M560,WeightedMinAge20),MAX(CapacityAge20*'01_Вводные'!$B$218*'19_Расчет_аналитики'!M560,MeanMinAge20)))</f>
        <v/>
      </c>
      <c r="N511">
        <f>IF(OR(('06_Сеть_и_дети'!N72-'06_Сеть_и_дети'!N100)=0,20&lt;='01_Вводные'!$B$297),0,('06_Сеть_и_дети'!N72-'06_Сеть_и_дети'!N100)*IF('01_Вводные'!$B$239="Да",MeanMinAge20+'19_Расчет_аналитики'!N560*SUMIF(ThresholdAge20,"&lt;"&amp;'19_Расчет_аналитики'!N560,WeightedRevAge20)-SUMIF(ThresholdAge20,"&lt;"&amp;'19_Расчет_аналитики'!N560,WeightedMinAge20),MAX(CapacityAge20*'01_Вводные'!$B$218*'19_Расчет_аналитики'!N560,MeanMinAge20)))</f>
        <v/>
      </c>
      <c r="O511">
        <f>IF(OR(('06_Сеть_и_дети'!O72-'06_Сеть_и_дети'!O100)=0,20&lt;='01_Вводные'!$B$297),0,('06_Сеть_и_дети'!O72-'06_Сеть_и_дети'!O100)*IF('01_Вводные'!$B$239="Да",MeanMinAge20+'19_Расчет_аналитики'!O560*SUMIF(ThresholdAge20,"&lt;"&amp;'19_Расчет_аналитики'!O560,WeightedRevAge20)-SUMIF(ThresholdAge20,"&lt;"&amp;'19_Расчет_аналитики'!O560,WeightedMinAge20),MAX(CapacityAge20*'01_Вводные'!$B$218*'19_Расчет_аналитики'!O560,MeanMinAge20)))</f>
        <v/>
      </c>
      <c r="P511">
        <f>IF(OR(('06_Сеть_и_дети'!P72-'06_Сеть_и_дети'!P100)=0,20&lt;='01_Вводные'!$B$297),0,('06_Сеть_и_дети'!P72-'06_Сеть_и_дети'!P100)*IF('01_Вводные'!$B$239="Да",MeanMinAge20+'19_Расчет_аналитики'!P560*SUMIF(ThresholdAge20,"&lt;"&amp;'19_Расчет_аналитики'!P560,WeightedRevAge20)-SUMIF(ThresholdAge20,"&lt;"&amp;'19_Расчет_аналитики'!P560,WeightedMinAge20),MAX(CapacityAge20*'01_Вводные'!$B$218*'19_Расчет_аналитики'!P560,MeanMinAge20)))</f>
        <v/>
      </c>
      <c r="Q511">
        <f>IF(OR(('06_Сеть_и_дети'!Q72-'06_Сеть_и_дети'!Q100)=0,20&lt;='01_Вводные'!$B$297),0,('06_Сеть_и_дети'!Q72-'06_Сеть_и_дети'!Q100)*IF('01_Вводные'!$B$239="Да",MeanMinAge20+'19_Расчет_аналитики'!Q560*SUMIF(ThresholdAge20,"&lt;"&amp;'19_Расчет_аналитики'!Q560,WeightedRevAge20)-SUMIF(ThresholdAge20,"&lt;"&amp;'19_Расчет_аналитики'!Q560,WeightedMinAge20),MAX(CapacityAge20*'01_Вводные'!$B$218*'19_Расчет_аналитики'!Q560,MeanMinAge20)))</f>
        <v/>
      </c>
      <c r="R511">
        <f>IF(OR(('06_Сеть_и_дети'!R72-'06_Сеть_и_дети'!R100)=0,20&lt;='01_Вводные'!$B$297),0,('06_Сеть_и_дети'!R72-'06_Сеть_и_дети'!R100)*IF('01_Вводные'!$B$239="Да",MeanMinAge20+'19_Расчет_аналитики'!R560*SUMIF(ThresholdAge20,"&lt;"&amp;'19_Расчет_аналитики'!R560,WeightedRevAge20)-SUMIF(ThresholdAge20,"&lt;"&amp;'19_Расчет_аналитики'!R560,WeightedMinAge20),MAX(CapacityAge20*'01_Вводные'!$B$218*'19_Расчет_аналитики'!R560,MeanMinAge20)))</f>
        <v/>
      </c>
      <c r="S511">
        <f>IF(OR(('06_Сеть_и_дети'!S72-'06_Сеть_и_дети'!S100)=0,20&lt;='01_Вводные'!$B$297),0,('06_Сеть_и_дети'!S72-'06_Сеть_и_дети'!S100)*IF('01_Вводные'!$B$239="Да",MeanMinAge20+'19_Расчет_аналитики'!S560*SUMIF(ThresholdAge20,"&lt;"&amp;'19_Расчет_аналитики'!S560,WeightedRevAge20)-SUMIF(ThresholdAge20,"&lt;"&amp;'19_Расчет_аналитики'!S560,WeightedMinAge20),MAX(CapacityAge20*'01_Вводные'!$B$218*'19_Расчет_аналитики'!S560,MeanMinAge20)))</f>
        <v/>
      </c>
      <c r="T511">
        <f>IF(OR(('06_Сеть_и_дети'!T72-'06_Сеть_и_дети'!T100)=0,20&lt;='01_Вводные'!$B$297),0,('06_Сеть_и_дети'!T72-'06_Сеть_и_дети'!T100)*IF('01_Вводные'!$B$239="Да",MeanMinAge20+'19_Расчет_аналитики'!T560*SUMIF(ThresholdAge20,"&lt;"&amp;'19_Расчет_аналитики'!T560,WeightedRevAge20)-SUMIF(ThresholdAge20,"&lt;"&amp;'19_Расчет_аналитики'!T560,WeightedMinAge20),MAX(CapacityAge20*'01_Вводные'!$B$218*'19_Расчет_аналитики'!T560,MeanMinAge20)))</f>
        <v/>
      </c>
      <c r="U511">
        <f>IF(OR(('19_Расчет_аналитики'!U427-'19_Расчет_аналитики'!U455)=0,20&lt;='01_Вводные'!$B$297),0,('19_Расчет_аналитики'!U427-'19_Расчет_аналитики'!U455)*IF('01_Вводные'!$B$239="Да",MeanMinAge20+'19_Расчет_аналитики'!U560*SUMIF(ThresholdAge20,"&lt;"&amp;'19_Расчет_аналитики'!U560,WeightedRevAge20)-SUMIF(ThresholdAge20,"&lt;"&amp;'19_Расчет_аналитики'!U560,WeightedMinAge20),MAX(CapacityAge20*'01_Вводные'!$B$218*'19_Расчет_аналитики'!U560,MeanMinAge20)))</f>
        <v/>
      </c>
      <c r="V511">
        <f>IF(OR(('19_Расчет_аналитики'!V427-'19_Расчет_аналитики'!V455)=0,20&lt;='01_Вводные'!$B$297),0,('19_Расчет_аналитики'!V427-'19_Расчет_аналитики'!V455)*IF('01_Вводные'!$B$239="Да",MeanMinAge20+'19_Расчет_аналитики'!V560*SUMIF(ThresholdAge20,"&lt;"&amp;'19_Расчет_аналитики'!V560,WeightedRevAge20)-SUMIF(ThresholdAge20,"&lt;"&amp;'19_Расчет_аналитики'!V560,WeightedMinAge20),MAX(CapacityAge20*'01_Вводные'!$B$218*'19_Расчет_аналитики'!V560,MeanMinAge20)))</f>
        <v/>
      </c>
      <c r="W511">
        <f>IF(OR(('19_Расчет_аналитики'!W427-'19_Расчет_аналитики'!W455)=0,20&lt;='01_Вводные'!$B$297),0,('19_Расчет_аналитики'!W427-'19_Расчет_аналитики'!W455)*IF('01_Вводные'!$B$239="Да",MeanMinAge20+'19_Расчет_аналитики'!W560*SUMIF(ThresholdAge20,"&lt;"&amp;'19_Расчет_аналитики'!W560,WeightedRevAge20)-SUMIF(ThresholdAge20,"&lt;"&amp;'19_Расчет_аналитики'!W560,WeightedMinAge20),MAX(CapacityAge20*'01_Вводные'!$B$218*'19_Расчет_аналитики'!W560,MeanMinAge20)))</f>
        <v/>
      </c>
      <c r="X511">
        <f>IF(OR(('19_Расчет_аналитики'!X427-'19_Расчет_аналитики'!X455)=0,20&lt;='01_Вводные'!$B$297),0,('19_Расчет_аналитики'!X427-'19_Расчет_аналитики'!X455)*IF('01_Вводные'!$B$239="Да",MeanMinAge20+'19_Расчет_аналитики'!X560*SUMIF(ThresholdAge20,"&lt;"&amp;'19_Расчет_аналитики'!X560,WeightedRevAge20)-SUMIF(ThresholdAge20,"&lt;"&amp;'19_Расчет_аналитики'!X560,WeightedMinAge20),MAX(CapacityAge20*'01_Вводные'!$B$218*'19_Расчет_аналитики'!X560,MeanMinAge20)))</f>
        <v/>
      </c>
      <c r="Y511">
        <f>IF(OR(('19_Расчет_аналитики'!Y427-'19_Расчет_аналитики'!Y455)=0,20&lt;='01_Вводные'!$B$297),0,('19_Расчет_аналитики'!Y427-'19_Расчет_аналитики'!Y455)*IF('01_Вводные'!$B$239="Да",MeanMinAge20+'19_Расчет_аналитики'!Y560*SUMIF(ThresholdAge20,"&lt;"&amp;'19_Расчет_аналитики'!Y560,WeightedRevAge20)-SUMIF(ThresholdAge20,"&lt;"&amp;'19_Расчет_аналитики'!Y560,WeightedMinAge20),MAX(CapacityAge20*'01_Вводные'!$B$218*'19_Расчет_аналитики'!Y560,MeanMinAge20)))</f>
        <v/>
      </c>
      <c r="Z511">
        <f>IF(OR(('19_Расчет_аналитики'!Z427-'19_Расчет_аналитики'!Z455)=0,20&lt;='01_Вводные'!$B$297),0,('19_Расчет_аналитики'!Z427-'19_Расчет_аналитики'!Z455)*IF('01_Вводные'!$B$239="Да",MeanMinAge20+'19_Расчет_аналитики'!Z560*SUMIF(ThresholdAge20,"&lt;"&amp;'19_Расчет_аналитики'!Z560,WeightedRevAge20)-SUMIF(ThresholdAge20,"&lt;"&amp;'19_Расчет_аналитики'!Z560,WeightedMinAge20),MAX(CapacityAge20*'01_Вводные'!$B$218*'19_Расчет_аналитики'!Z560,MeanMinAge20)))</f>
        <v/>
      </c>
      <c r="AA511">
        <f>IF(OR(('19_Расчет_аналитики'!AA427-'19_Расчет_аналитики'!AA455)=0,20&lt;='01_Вводные'!$B$297),0,('19_Расчет_аналитики'!AA427-'19_Расчет_аналитики'!AA455)*IF('01_Вводные'!$B$239="Да",MeanMinAge20+'19_Расчет_аналитики'!AA560*SUMIF(ThresholdAge20,"&lt;"&amp;'19_Расчет_аналитики'!AA560,WeightedRevAge20)-SUMIF(ThresholdAge20,"&lt;"&amp;'19_Расчет_аналитики'!AA560,WeightedMinAge20),MAX(CapacityAge20*'01_Вводные'!$B$218*'19_Расчет_аналитики'!AA560,MeanMinAge20)))</f>
        <v/>
      </c>
      <c r="AB511">
        <f>IF(OR(('19_Расчет_аналитики'!AB427-'19_Расчет_аналитики'!AB455)=0,20&lt;='01_Вводные'!$B$297),0,('19_Расчет_аналитики'!AB427-'19_Расчет_аналитики'!AB455)*IF('01_Вводные'!$B$239="Да",MeanMinAge20+'19_Расчет_аналитики'!AB560*SUMIF(ThresholdAge20,"&lt;"&amp;'19_Расчет_аналитики'!AB560,WeightedRevAge20)-SUMIF(ThresholdAge20,"&lt;"&amp;'19_Расчет_аналитики'!AB560,WeightedMinAge20),MAX(CapacityAge20*'01_Вводные'!$B$218*'19_Расчет_аналитики'!AB560,MeanMinAge20)))</f>
        <v/>
      </c>
      <c r="AC511">
        <f>IF(OR(('19_Расчет_аналитики'!AC427-'19_Расчет_аналитики'!AC455)=0,20&lt;='01_Вводные'!$B$297),0,('19_Расчет_аналитики'!AC427-'19_Расчет_аналитики'!AC455)*IF('01_Вводные'!$B$239="Да",MeanMinAge20+'19_Расчет_аналитики'!AC560*SUMIF(ThresholdAge20,"&lt;"&amp;'19_Расчет_аналитики'!AC560,WeightedRevAge20)-SUMIF(ThresholdAge20,"&lt;"&amp;'19_Расчет_аналитики'!AC560,WeightedMinAge20),MAX(CapacityAge20*'01_Вводные'!$B$218*'19_Расчет_аналитики'!AC560,MeanMinAge20)))</f>
        <v/>
      </c>
      <c r="AD511">
        <f>IF(OR(('19_Расчет_аналитики'!AD427-'19_Расчет_аналитики'!AD455)=0,20&lt;='01_Вводные'!$B$297),0,('19_Расчет_аналитики'!AD427-'19_Расчет_аналитики'!AD455)*IF('01_Вводные'!$B$239="Да",MeanMinAge20+'19_Расчет_аналитики'!AD560*SUMIF(ThresholdAge20,"&lt;"&amp;'19_Расчет_аналитики'!AD560,WeightedRevAge20)-SUMIF(ThresholdAge20,"&lt;"&amp;'19_Расчет_аналитики'!AD560,WeightedMinAge20),MAX(CapacityAge20*'01_Вводные'!$B$218*'19_Расчет_аналитики'!AD560,MeanMinAge20)))</f>
        <v/>
      </c>
      <c r="AE511">
        <f>IF(OR(('19_Расчет_аналитики'!AE427-'19_Расчет_аналитики'!AE455)=0,20&lt;='01_Вводные'!$B$297),0,('19_Расчет_аналитики'!AE427-'19_Расчет_аналитики'!AE455)*IF('01_Вводные'!$B$239="Да",MeanMinAge20+'19_Расчет_аналитики'!AE560*SUMIF(ThresholdAge20,"&lt;"&amp;'19_Расчет_аналитики'!AE560,WeightedRevAge20)-SUMIF(ThresholdAge20,"&lt;"&amp;'19_Расчет_аналитики'!AE560,WeightedMinAge20),MAX(CapacityAge20*'01_Вводные'!$B$218*'19_Расчет_аналитики'!AE560,MeanMinAge20)))</f>
        <v/>
      </c>
      <c r="AF511">
        <f>IF(OR(('19_Расчет_аналитики'!AF427-'19_Расчет_аналитики'!AF455)=0,20&lt;='01_Вводные'!$B$297),0,('19_Расчет_аналитики'!AF427-'19_Расчет_аналитики'!AF455)*IF('01_Вводные'!$B$239="Да",MeanMinAge20+'19_Расчет_аналитики'!AF560*SUMIF(ThresholdAge20,"&lt;"&amp;'19_Расчет_аналитики'!AF560,WeightedRevAge20)-SUMIF(ThresholdAge20,"&lt;"&amp;'19_Расчет_аналитики'!AF560,WeightedMinAge20),MAX(CapacityAge20*'01_Вводные'!$B$218*'19_Расчет_аналитики'!AF560,MeanMinAge20)))</f>
        <v/>
      </c>
      <c r="AG511">
        <f>IF(OR(('19_Расчет_аналитики'!AG427-'19_Расчет_аналитики'!AG455)=0,20&lt;='01_Вводные'!$B$297),0,('19_Расчет_аналитики'!AG427-'19_Расчет_аналитики'!AG455)*IF('01_Вводные'!$B$239="Да",MeanMinAge20+'19_Расчет_аналитики'!AG560*SUMIF(ThresholdAge20,"&lt;"&amp;'19_Расчет_аналитики'!AG560,WeightedRevAge20)-SUMIF(ThresholdAge20,"&lt;"&amp;'19_Расчет_аналитики'!AG560,WeightedMinAge20),MAX(CapacityAge20*'01_Вводные'!$B$218*'19_Расчет_аналитики'!AG560,MeanMinAge20)))</f>
        <v/>
      </c>
      <c r="AH511">
        <f>IF(OR(('19_Расчет_аналитики'!AH427-'19_Расчет_аналитики'!AH455)=0,20&lt;='01_Вводные'!$B$297),0,('19_Расчет_аналитики'!AH427-'19_Расчет_аналитики'!AH455)*IF('01_Вводные'!$B$239="Да",MeanMinAge20+'19_Расчет_аналитики'!AH560*SUMIF(ThresholdAge20,"&lt;"&amp;'19_Расчет_аналитики'!AH560,WeightedRevAge20)-SUMIF(ThresholdAge20,"&lt;"&amp;'19_Расчет_аналитики'!AH560,WeightedMinAge20),MAX(CapacityAge20*'01_Вводные'!$B$218*'19_Расчет_аналитики'!AH560,MeanMinAge20)))</f>
        <v/>
      </c>
      <c r="AI511">
        <f>IF(OR(('19_Расчет_аналитики'!AI427-'19_Расчет_аналитики'!AI455)=0,20&lt;='01_Вводные'!$B$297),0,('19_Расчет_аналитики'!AI427-'19_Расчет_аналитики'!AI455)*IF('01_Вводные'!$B$239="Да",MeanMinAge20+'19_Расчет_аналитики'!AI560*SUMIF(ThresholdAge20,"&lt;"&amp;'19_Расчет_аналитики'!AI560,WeightedRevAge20)-SUMIF(ThresholdAge20,"&lt;"&amp;'19_Расчет_аналитики'!AI560,WeightedMinAge20),MAX(CapacityAge20*'01_Вводные'!$B$218*'19_Расчет_аналитики'!AI560,MeanMinAge20)))</f>
        <v/>
      </c>
      <c r="AJ511">
        <f>IF(OR(('19_Расчет_аналитики'!AJ427-'19_Расчет_аналитики'!AJ455)=0,20&lt;='01_Вводные'!$B$297),0,('19_Расчет_аналитики'!AJ427-'19_Расчет_аналитики'!AJ455)*IF('01_Вводные'!$B$239="Да",MeanMinAge20+'19_Расчет_аналитики'!AJ560*SUMIF(ThresholdAge20,"&lt;"&amp;'19_Расчет_аналитики'!AJ560,WeightedRevAge20)-SUMIF(ThresholdAge20,"&lt;"&amp;'19_Расчет_аналитики'!AJ560,WeightedMinAge20),MAX(CapacityAge20*'01_Вводные'!$B$218*'19_Расчет_аналитики'!AJ560,MeanMinAge20)))</f>
        <v/>
      </c>
      <c r="AK511">
        <f>IF(OR(('19_Расчет_аналитики'!AK427-'19_Расчет_аналитики'!AK455)=0,20&lt;='01_Вводные'!$B$297),0,('19_Расчет_аналитики'!AK427-'19_Расчет_аналитики'!AK455)*IF('01_Вводные'!$B$239="Да",MeanMinAge20+'19_Расчет_аналитики'!AK560*SUMIF(ThresholdAge20,"&lt;"&amp;'19_Расчет_аналитики'!AK560,WeightedRevAge20)-SUMIF(ThresholdAge20,"&lt;"&amp;'19_Расчет_аналитики'!AK560,WeightedMinAge20),MAX(CapacityAge20*'01_Вводные'!$B$218*'19_Расчет_аналитики'!AK560,MeanMinAge20)))</f>
        <v/>
      </c>
      <c r="AL511">
        <f>IF(OR(('19_Расчет_аналитики'!AL427-'19_Расчет_аналитики'!AL455)=0,20&lt;='01_Вводные'!$B$297),0,('19_Расчет_аналитики'!AL427-'19_Расчет_аналитики'!AL455)*IF('01_Вводные'!$B$239="Да",MeanMinAge20+'19_Расчет_аналитики'!AL560*SUMIF(ThresholdAge20,"&lt;"&amp;'19_Расчет_аналитики'!AL560,WeightedRevAge20)-SUMIF(ThresholdAge20,"&lt;"&amp;'19_Расчет_аналитики'!AL560,WeightedMinAge20),MAX(CapacityAge20*'01_Вводные'!$B$218*'19_Расчет_аналитики'!AL560,MeanMinAge20)))</f>
        <v/>
      </c>
      <c r="AM511">
        <f>IF(OR(('19_Расчет_аналитики'!AM427-'19_Расчет_аналитики'!AM455)=0,20&lt;='01_Вводные'!$B$297),0,('19_Расчет_аналитики'!AM427-'19_Расчет_аналитики'!AM455)*IF('01_Вводные'!$B$239="Да",MeanMinAge20+'19_Расчет_аналитики'!AM560*SUMIF(ThresholdAge20,"&lt;"&amp;'19_Расчет_аналитики'!AM560,WeightedRevAge20)-SUMIF(ThresholdAge20,"&lt;"&amp;'19_Расчет_аналитики'!AM560,WeightedMinAge20),MAX(CapacityAge20*'01_Вводные'!$B$218*'19_Расчет_аналитики'!AM560,MeanMinAge20)))</f>
        <v/>
      </c>
      <c r="AN511">
        <f>IF(OR(('19_Расчет_аналитики'!AN427-'19_Расчет_аналитики'!AN455)=0,20&lt;='01_Вводные'!$B$297),0,('19_Расчет_аналитики'!AN427-'19_Расчет_аналитики'!AN455)*IF('01_Вводные'!$B$239="Да",MeanMinAge20+'19_Расчет_аналитики'!AN560*SUMIF(ThresholdAge20,"&lt;"&amp;'19_Расчет_аналитики'!AN560,WeightedRevAge20)-SUMIF(ThresholdAge20,"&lt;"&amp;'19_Расчет_аналитики'!AN560,WeightedMinAge20),MAX(CapacityAge20*'01_Вводные'!$B$218*'19_Расчет_аналитики'!AN560,MeanMinAge20)))</f>
        <v/>
      </c>
      <c r="AO511">
        <f>IF(OR(('19_Расчет_аналитики'!AO427-'19_Расчет_аналитики'!AO455)=0,20&lt;='01_Вводные'!$B$297),0,('19_Расчет_аналитики'!AO427-'19_Расчет_аналитики'!AO455)*IF('01_Вводные'!$B$239="Да",MeanMinAge20+'19_Расчет_аналитики'!AO560*SUMIF(ThresholdAge20,"&lt;"&amp;'19_Расчет_аналитики'!AO560,WeightedRevAge20)-SUMIF(ThresholdAge20,"&lt;"&amp;'19_Расчет_аналитики'!AO560,WeightedMinAge20),MAX(CapacityAge20*'01_Вводные'!$B$218*'19_Расчет_аналитики'!AO560,MeanMinAge20)))</f>
        <v/>
      </c>
      <c r="AP511">
        <f>IF(OR(('19_Расчет_аналитики'!AP427-'19_Расчет_аналитики'!AP455)=0,20&lt;='01_Вводные'!$B$297),0,('19_Расчет_аналитики'!AP427-'19_Расчет_аналитики'!AP455)*IF('01_Вводные'!$B$239="Да",MeanMinAge20+'19_Расчет_аналитики'!AP560*SUMIF(ThresholdAge20,"&lt;"&amp;'19_Расчет_аналитики'!AP560,WeightedRevAge20)-SUMIF(ThresholdAge20,"&lt;"&amp;'19_Расчет_аналитики'!AP560,WeightedMinAge20),MAX(CapacityAge20*'01_Вводные'!$B$218*'19_Расчет_аналитики'!AP560,MeanMinAge20)))</f>
        <v/>
      </c>
      <c r="AQ511">
        <f>IF(OR(('19_Расчет_аналитики'!AQ427-'19_Расчет_аналитики'!AQ455)=0,20&lt;='01_Вводные'!$B$297),0,('19_Расчет_аналитики'!AQ427-'19_Расчет_аналитики'!AQ455)*IF('01_Вводные'!$B$239="Да",MeanMinAge20+'19_Расчет_аналитики'!AQ560*SUMIF(ThresholdAge20,"&lt;"&amp;'19_Расчет_аналитики'!AQ560,WeightedRevAge20)-SUMIF(ThresholdAge20,"&lt;"&amp;'19_Расчет_аналитики'!AQ560,WeightedMinAge20),MAX(CapacityAge20*'01_Вводные'!$B$218*'19_Расчет_аналитики'!AQ560,MeanMinAge20)))</f>
        <v/>
      </c>
      <c r="AR511">
        <f>IF(OR(('19_Расчет_аналитики'!AR427-'19_Расчет_аналитики'!AR455)=0,20&lt;='01_Вводные'!$B$297),0,('19_Расчет_аналитики'!AR427-'19_Расчет_аналитики'!AR455)*IF('01_Вводные'!$B$239="Да",MeanMinAge20+'19_Расчет_аналитики'!AR560*SUMIF(ThresholdAge20,"&lt;"&amp;'19_Расчет_аналитики'!AR560,WeightedRevAge20)-SUMIF(ThresholdAge20,"&lt;"&amp;'19_Расчет_аналитики'!AR560,WeightedMinAge20),MAX(CapacityAge20*'01_Вводные'!$B$218*'19_Расчет_аналитики'!AR560,MeanMinAge20)))</f>
        <v/>
      </c>
      <c r="AS511">
        <f>IF(OR(('19_Расчет_аналитики'!AS427-'19_Расчет_аналитики'!AS455)=0,20&lt;='01_Вводные'!$B$297),0,('19_Расчет_аналитики'!AS427-'19_Расчет_аналитики'!AS455)*IF('01_Вводные'!$B$239="Да",MeanMinAge20+'19_Расчет_аналитики'!AS560*SUMIF(ThresholdAge20,"&lt;"&amp;'19_Расчет_аналитики'!AS560,WeightedRevAge20)-SUMIF(ThresholdAge20,"&lt;"&amp;'19_Расчет_аналитики'!AS560,WeightedMinAge20),MAX(CapacityAge20*'01_Вводные'!$B$218*'19_Расчет_аналитики'!AS560,MeanMinAge20)))</f>
        <v/>
      </c>
      <c r="AT511">
        <f>IF(OR(('19_Расчет_аналитики'!AT427-'19_Расчет_аналитики'!AT455)=0,20&lt;='01_Вводные'!$B$297),0,('19_Расчет_аналитики'!AT427-'19_Расчет_аналитики'!AT455)*IF('01_Вводные'!$B$239="Да",MeanMinAge20+'19_Расчет_аналитики'!AT560*SUMIF(ThresholdAge20,"&lt;"&amp;'19_Расчет_аналитики'!AT560,WeightedRevAge20)-SUMIF(ThresholdAge20,"&lt;"&amp;'19_Расчет_аналитики'!AT560,WeightedMinAge20),MAX(CapacityAge20*'01_Вводные'!$B$218*'19_Расчет_аналитики'!AT560,MeanMinAge20)))</f>
        <v/>
      </c>
      <c r="AU511">
        <f>IF(OR(('19_Расчет_аналитики'!AU427-'19_Расчет_аналитики'!AU455)=0,20&lt;='01_Вводные'!$B$297),0,('19_Расчет_аналитики'!AU427-'19_Расчет_аналитики'!AU455)*IF('01_Вводные'!$B$239="Да",MeanMinAge20+'19_Расчет_аналитики'!AU560*SUMIF(ThresholdAge20,"&lt;"&amp;'19_Расчет_аналитики'!AU560,WeightedRevAge20)-SUMIF(ThresholdAge20,"&lt;"&amp;'19_Расчет_аналитики'!AU560,WeightedMinAge20),MAX(CapacityAge20*'01_Вводные'!$B$218*'19_Расчет_аналитики'!AU560,MeanMinAge20)))</f>
        <v/>
      </c>
      <c r="AV511">
        <f>IF(OR(('19_Расчет_аналитики'!AV427-'19_Расчет_аналитики'!AV455)=0,20&lt;='01_Вводные'!$B$297),0,('19_Расчет_аналитики'!AV427-'19_Расчет_аналитики'!AV455)*IF('01_Вводные'!$B$239="Да",MeanMinAge20+'19_Расчет_аналитики'!AV560*SUMIF(ThresholdAge20,"&lt;"&amp;'19_Расчет_аналитики'!AV560,WeightedRevAge20)-SUMIF(ThresholdAge20,"&lt;"&amp;'19_Расчет_аналитики'!AV560,WeightedMinAge20),MAX(CapacityAge20*'01_Вводные'!$B$218*'19_Расчет_аналитики'!AV560,MeanMinAge20)))</f>
        <v/>
      </c>
      <c r="AW511">
        <f>IF(OR(('19_Расчет_аналитики'!AW427-'19_Расчет_аналитики'!AW455)=0,20&lt;='01_Вводные'!$B$297),0,('19_Расчет_аналитики'!AW427-'19_Расчет_аналитики'!AW455)*IF('01_Вводные'!$B$239="Да",MeanMinAge20+'19_Расчет_аналитики'!AW560*SUMIF(ThresholdAge20,"&lt;"&amp;'19_Расчет_аналитики'!AW560,WeightedRevAge20)-SUMIF(ThresholdAge20,"&lt;"&amp;'19_Расчет_аналитики'!AW560,WeightedMinAge20),MAX(CapacityAge20*'01_Вводные'!$B$218*'19_Расчет_аналитики'!AW560,MeanMinAge20)))</f>
        <v/>
      </c>
      <c r="AX511">
        <f>IF(OR(('19_Расчет_аналитики'!AX427-'19_Расчет_аналитики'!AX455)=0,20&lt;='01_Вводные'!$B$297),0,('19_Расчет_аналитики'!AX427-'19_Расчет_аналитики'!AX455)*IF('01_Вводные'!$B$239="Да",MeanMinAge20+'19_Расчет_аналитики'!AX560*SUMIF(ThresholdAge20,"&lt;"&amp;'19_Расчет_аналитики'!AX560,WeightedRevAge20)-SUMIF(ThresholdAge20,"&lt;"&amp;'19_Расчет_аналитики'!AX560,WeightedMinAge20),MAX(CapacityAge20*'01_Вводные'!$B$218*'19_Расчет_аналитики'!AX560,MeanMinAge20)))</f>
        <v/>
      </c>
      <c r="AY511">
        <f>IF(OR(('19_Расчет_аналитики'!AY427-'19_Расчет_аналитики'!AY455)=0,20&lt;='01_Вводные'!$B$297),0,('19_Расчет_аналитики'!AY427-'19_Расчет_аналитики'!AY455)*IF('01_Вводные'!$B$239="Да",MeanMinAge20+'19_Расчет_аналитики'!AY560*SUMIF(ThresholdAge20,"&lt;"&amp;'19_Расчет_аналитики'!AY560,WeightedRevAge20)-SUMIF(ThresholdAge20,"&lt;"&amp;'19_Расчет_аналитики'!AY560,WeightedMinAge20),MAX(CapacityAge20*'01_Вводные'!$B$218*'19_Расчет_аналитики'!AY560,MeanMinAge20)))</f>
        <v/>
      </c>
      <c r="AZ511">
        <f>IF(OR(('19_Расчет_аналитики'!AZ427-'19_Расчет_аналитики'!AZ455)=0,20&lt;='01_Вводные'!$B$297),0,('19_Расчет_аналитики'!AZ427-'19_Расчет_аналитики'!AZ455)*IF('01_Вводные'!$B$239="Да",MeanMinAge20+'19_Расчет_аналитики'!AZ560*SUMIF(ThresholdAge20,"&lt;"&amp;'19_Расчет_аналитики'!AZ560,WeightedRevAge20)-SUMIF(ThresholdAge20,"&lt;"&amp;'19_Расчет_аналитики'!AZ560,WeightedMinAge20),MAX(CapacityAge20*'01_Вводные'!$B$218*'19_Расчет_аналитики'!AZ560,MeanMinAge20)))</f>
        <v/>
      </c>
      <c r="BA511">
        <f>IF(OR(('19_Расчет_аналитики'!BA427-'19_Расчет_аналитики'!BA455)=0,20&lt;='01_Вводные'!$B$297),0,('19_Расчет_аналитики'!BA427-'19_Расчет_аналитики'!BA455)*IF('01_Вводные'!$B$239="Да",MeanMinAge20+'19_Расчет_аналитики'!BA560*SUMIF(ThresholdAge20,"&lt;"&amp;'19_Расчет_аналитики'!BA560,WeightedRevAge20)-SUMIF(ThresholdAge20,"&lt;"&amp;'19_Расчет_аналитики'!BA560,WeightedMinAge20),MAX(CapacityAge20*'01_Вводные'!$B$218*'19_Расчет_аналитики'!BA560,MeanMinAge20)))</f>
        <v/>
      </c>
      <c r="BB511">
        <f>IF(OR(('19_Расчет_аналитики'!BB427-'19_Расчет_аналитики'!BB455)=0,20&lt;='01_Вводные'!$B$297),0,('19_Расчет_аналитики'!BB427-'19_Расчет_аналитики'!BB455)*IF('01_Вводные'!$B$239="Да",MeanMinAge20+'19_Расчет_аналитики'!BB560*SUMIF(ThresholdAge20,"&lt;"&amp;'19_Расчет_аналитики'!BB560,WeightedRevAge20)-SUMIF(ThresholdAge20,"&lt;"&amp;'19_Расчет_аналитики'!BB560,WeightedMinAge20),MAX(CapacityAge20*'01_Вводные'!$B$218*'19_Расчет_аналитики'!BB560,MeanMinAge20)))</f>
        <v/>
      </c>
      <c r="BC511">
        <f>IF(OR(('19_Расчет_аналитики'!BC427-'19_Расчет_аналитики'!BC455)=0,20&lt;='01_Вводные'!$B$297),0,('19_Расчет_аналитики'!BC427-'19_Расчет_аналитики'!BC455)*IF('01_Вводные'!$B$239="Да",MeanMinAge20+'19_Расчет_аналитики'!BC560*SUMIF(ThresholdAge20,"&lt;"&amp;'19_Расчет_аналитики'!BC560,WeightedRevAge20)-SUMIF(ThresholdAge20,"&lt;"&amp;'19_Расчет_аналитики'!BC560,WeightedMinAge20),MAX(CapacityAge20*'01_Вводные'!$B$218*'19_Расчет_аналитики'!BC560,MeanMinAge20)))</f>
        <v/>
      </c>
      <c r="BD511">
        <f>IF(OR(('19_Расчет_аналитики'!BD427-'19_Расчет_аналитики'!BD455)=0,20&lt;='01_Вводные'!$B$297),0,('19_Расчет_аналитики'!BD427-'19_Расчет_аналитики'!BD455)*IF('01_Вводные'!$B$239="Да",MeanMinAge20+'19_Расчет_аналитики'!BD560*SUMIF(ThresholdAge20,"&lt;"&amp;'19_Расчет_аналитики'!BD560,WeightedRevAge20)-SUMIF(ThresholdAge20,"&lt;"&amp;'19_Расчет_аналитики'!BD560,WeightedMinAge20),MAX(CapacityAge20*'01_Вводные'!$B$218*'19_Расчет_аналитики'!BD560,MeanMinAge20)))</f>
        <v/>
      </c>
      <c r="BE511">
        <f>IF(OR(('19_Расчет_аналитики'!BE427-'19_Расчет_аналитики'!BE455)=0,20&lt;='01_Вводные'!$B$297),0,('19_Расчет_аналитики'!BE427-'19_Расчет_аналитики'!BE455)*IF('01_Вводные'!$B$239="Да",MeanMinAge20+'19_Расчет_аналитики'!BE560*SUMIF(ThresholdAge20,"&lt;"&amp;'19_Расчет_аналитики'!BE560,WeightedRevAge20)-SUMIF(ThresholdAge20,"&lt;"&amp;'19_Расчет_аналитики'!BE560,WeightedMinAge20),MAX(CapacityAge20*'01_Вводные'!$B$218*'19_Расчет_аналитики'!BE560,MeanMinAge20)))</f>
        <v/>
      </c>
      <c r="BF511">
        <f>IF(OR(('19_Расчет_аналитики'!BF427-'19_Расчет_аналитики'!BF455)=0,20&lt;='01_Вводные'!$B$297),0,('19_Расчет_аналитики'!BF427-'19_Расчет_аналитики'!BF455)*IF('01_Вводные'!$B$239="Да",MeanMinAge20+'19_Расчет_аналитики'!BF560*SUMIF(ThresholdAge20,"&lt;"&amp;'19_Расчет_аналитики'!BF560,WeightedRevAge20)-SUMIF(ThresholdAge20,"&lt;"&amp;'19_Расчет_аналитики'!BF560,WeightedMinAge20),MAX(CapacityAge20*'01_Вводные'!$B$218*'19_Расчет_аналитики'!BF560,MeanMinAge20)))</f>
        <v/>
      </c>
      <c r="BG511">
        <f>IF(OR(('19_Расчет_аналитики'!BG427-'19_Расчет_аналитики'!BG455)=0,20&lt;='01_Вводные'!$B$297),0,('19_Расчет_аналитики'!BG427-'19_Расчет_аналитики'!BG455)*IF('01_Вводные'!$B$239="Да",MeanMinAge20+'19_Расчет_аналитики'!BG560*SUMIF(ThresholdAge20,"&lt;"&amp;'19_Расчет_аналитики'!BG560,WeightedRevAge20)-SUMIF(ThresholdAge20,"&lt;"&amp;'19_Расчет_аналитики'!BG560,WeightedMinAge20),MAX(CapacityAge20*'01_Вводные'!$B$218*'19_Расчет_аналитики'!BG560,MeanMinAge20)))</f>
        <v/>
      </c>
      <c r="BH511">
        <f>IF(OR(('19_Расчет_аналитики'!BH427-'19_Расчет_аналитики'!BH455)=0,20&lt;='01_Вводные'!$B$297),0,('19_Расчет_аналитики'!BH427-'19_Расчет_аналитики'!BH455)*IF('01_Вводные'!$B$239="Да",MeanMinAge20+'19_Расчет_аналитики'!BH560*SUMIF(ThresholdAge20,"&lt;"&amp;'19_Расчет_аналитики'!BH560,WeightedRevAge20)-SUMIF(ThresholdAge20,"&lt;"&amp;'19_Расчет_аналитики'!BH560,WeightedMinAge20),MAX(CapacityAge20*'01_Вводные'!$B$218*'19_Расчет_аналитики'!BH560,MeanMinAge20)))</f>
        <v/>
      </c>
      <c r="BI511">
        <f>IF(OR(('19_Расчет_аналитики'!BI427-'19_Расчет_аналитики'!BI455)=0,20&lt;='01_Вводные'!$B$297),0,('19_Расчет_аналитики'!BI427-'19_Расчет_аналитики'!BI455)*IF('01_Вводные'!$B$239="Да",MeanMinAge20+'19_Расчет_аналитики'!BI560*SUMIF(ThresholdAge20,"&lt;"&amp;'19_Расчет_аналитики'!BI560,WeightedRevAge20)-SUMIF(ThresholdAge20,"&lt;"&amp;'19_Расчет_аналитики'!BI560,WeightedMinAge20),MAX(CapacityAge20*'01_Вводные'!$B$218*'19_Расчет_аналитики'!BI560,MeanMinAge20)))</f>
        <v/>
      </c>
      <c r="BJ511">
        <f>IF(OR(('19_Расчет_аналитики'!BJ427-'19_Расчет_аналитики'!BJ455)=0,20&lt;='01_Вводные'!$B$297),0,('19_Расчет_аналитики'!BJ427-'19_Расчет_аналитики'!BJ455)*IF('01_Вводные'!$B$239="Да",MeanMinAge20+'19_Расчет_аналитики'!BJ560*SUMIF(ThresholdAge20,"&lt;"&amp;'19_Расчет_аналитики'!BJ560,WeightedRevAge20)-SUMIF(ThresholdAge20,"&lt;"&amp;'19_Расчет_аналитики'!BJ560,WeightedMinAge20),MAX(CapacityAge20*'01_Вводные'!$B$218*'19_Расчет_аналитики'!BJ560,MeanMinAge20)))</f>
        <v/>
      </c>
      <c r="BK511">
        <f>IF(OR(('19_Расчет_аналитики'!BK427-'19_Расчет_аналитики'!BK455)=0,20&lt;='01_Вводные'!$B$297),0,('19_Расчет_аналитики'!BK427-'19_Расчет_аналитики'!BK455)*IF('01_Вводные'!$B$239="Да",MeanMinAge20+'19_Расчет_аналитики'!BK560*SUMIF(ThresholdAge20,"&lt;"&amp;'19_Расчет_аналитики'!BK560,WeightedRevAge20)-SUMIF(ThresholdAge20,"&lt;"&amp;'19_Расчет_аналитики'!BK560,WeightedMinAge20),MAX(CapacityAge20*'01_Вводные'!$B$218*'19_Расчет_аналитики'!BK560,MeanMinAge20)))</f>
        <v/>
      </c>
      <c r="BL511">
        <f>IF(OR(('19_Расчет_аналитики'!BL427-'19_Расчет_аналитики'!BL455)=0,20&lt;='01_Вводные'!$B$297),0,('19_Расчет_аналитики'!BL427-'19_Расчет_аналитики'!BL455)*IF('01_Вводные'!$B$239="Да",MeanMinAge20+'19_Расчет_аналитики'!BL560*SUMIF(ThresholdAge20,"&lt;"&amp;'19_Расчет_аналитики'!BL560,WeightedRevAge20)-SUMIF(ThresholdAge20,"&lt;"&amp;'19_Расчет_аналитики'!BL560,WeightedMinAge20),MAX(CapacityAge20*'01_Вводные'!$B$218*'19_Расчет_аналитики'!BL560,MeanMinAge20)))</f>
        <v/>
      </c>
      <c r="BM511">
        <f>IF(OR(('19_Расчет_аналитики'!BM427-'19_Расчет_аналитики'!BM455)=0,20&lt;='01_Вводные'!$B$297),0,('19_Расчет_аналитики'!BM427-'19_Расчет_аналитики'!BM455)*IF('01_Вводные'!$B$239="Да",MeanMinAge20+'19_Расчет_аналитики'!BM560*SUMIF(ThresholdAge20,"&lt;"&amp;'19_Расчет_аналитики'!BM560,WeightedRevAge20)-SUMIF(ThresholdAge20,"&lt;"&amp;'19_Расчет_аналитики'!BM560,WeightedMinAge20),MAX(CapacityAge20*'01_Вводные'!$B$218*'19_Расчет_аналитики'!BM560,MeanMinAge20)))</f>
        <v/>
      </c>
      <c r="BN511">
        <f>IF(OR(('19_Расчет_аналитики'!BN427-'19_Расчет_аналитики'!BN455)=0,20&lt;='01_Вводные'!$B$297),0,('19_Расчет_аналитики'!BN427-'19_Расчет_аналитики'!BN455)*IF('01_Вводные'!$B$239="Да",MeanMinAge20+'19_Расчет_аналитики'!BN560*SUMIF(ThresholdAge20,"&lt;"&amp;'19_Расчет_аналитики'!BN560,WeightedRevAge20)-SUMIF(ThresholdAge20,"&lt;"&amp;'19_Расчет_аналитики'!BN560,WeightedMinAge20),MAX(CapacityAge20*'01_Вводные'!$B$218*'19_Расчет_аналитики'!BN560,MeanMinAge20)))</f>
        <v/>
      </c>
      <c r="BO511">
        <f>IF(OR(('19_Расчет_аналитики'!BO427-'19_Расчет_аналитики'!BO455)=0,20&lt;='01_Вводные'!$B$297),0,('19_Расчет_аналитики'!BO427-'19_Расчет_аналитики'!BO455)*IF('01_Вводные'!$B$239="Да",MeanMinAge20+'19_Расчет_аналитики'!BO560*SUMIF(ThresholdAge20,"&lt;"&amp;'19_Расчет_аналитики'!BO560,WeightedRevAge20)-SUMIF(ThresholdAge20,"&lt;"&amp;'19_Расчет_аналитики'!BO560,WeightedMinAge20),MAX(CapacityAge20*'01_Вводные'!$B$218*'19_Расчет_аналитики'!BO560,MeanMinAge20)))</f>
        <v/>
      </c>
    </row>
    <row r="512">
      <c r="B512">
        <f>IF(OR(('06_Сеть_и_дети'!B73-'06_Сеть_и_дети'!B101)=0,21&lt;='01_Вводные'!$B$297),0,('06_Сеть_и_дети'!B73-'06_Сеть_и_дети'!B101)*IF('01_Вводные'!$B$239="Да",MeanMinAge21+'19_Расчет_аналитики'!B560*SUMIF(ThresholdAge21,"&lt;"&amp;'19_Расчет_аналитики'!B560,WeightedRevAge21)-SUMIF(ThresholdAge21,"&lt;"&amp;'19_Расчет_аналитики'!B560,WeightedMinAge21),MAX(CapacityAge21*'01_Вводные'!$B$218*'19_Расчет_аналитики'!B560,MeanMinAge21)))</f>
        <v/>
      </c>
      <c r="C512">
        <f>IF(OR(('06_Сеть_и_дети'!C73-'06_Сеть_и_дети'!C101)=0,21&lt;='01_Вводные'!$B$297),0,('06_Сеть_и_дети'!C73-'06_Сеть_и_дети'!C101)*IF('01_Вводные'!$B$239="Да",MeanMinAge21+'19_Расчет_аналитики'!C560*SUMIF(ThresholdAge21,"&lt;"&amp;'19_Расчет_аналитики'!C560,WeightedRevAge21)-SUMIF(ThresholdAge21,"&lt;"&amp;'19_Расчет_аналитики'!C560,WeightedMinAge21),MAX(CapacityAge21*'01_Вводные'!$B$218*'19_Расчет_аналитики'!C560,MeanMinAge21)))</f>
        <v/>
      </c>
      <c r="D512">
        <f>IF(OR(('06_Сеть_и_дети'!D73-'06_Сеть_и_дети'!D101)=0,21&lt;='01_Вводные'!$B$297),0,('06_Сеть_и_дети'!D73-'06_Сеть_и_дети'!D101)*IF('01_Вводные'!$B$239="Да",MeanMinAge21+'19_Расчет_аналитики'!D560*SUMIF(ThresholdAge21,"&lt;"&amp;'19_Расчет_аналитики'!D560,WeightedRevAge21)-SUMIF(ThresholdAge21,"&lt;"&amp;'19_Расчет_аналитики'!D560,WeightedMinAge21),MAX(CapacityAge21*'01_Вводные'!$B$218*'19_Расчет_аналитики'!D560,MeanMinAge21)))</f>
        <v/>
      </c>
      <c r="E512">
        <f>IF(OR(('06_Сеть_и_дети'!E73-'06_Сеть_и_дети'!E101)=0,21&lt;='01_Вводные'!$B$297),0,('06_Сеть_и_дети'!E73-'06_Сеть_и_дети'!E101)*IF('01_Вводные'!$B$239="Да",MeanMinAge21+'19_Расчет_аналитики'!E560*SUMIF(ThresholdAge21,"&lt;"&amp;'19_Расчет_аналитики'!E560,WeightedRevAge21)-SUMIF(ThresholdAge21,"&lt;"&amp;'19_Расчет_аналитики'!E560,WeightedMinAge21),MAX(CapacityAge21*'01_Вводные'!$B$218*'19_Расчет_аналитики'!E560,MeanMinAge21)))</f>
        <v/>
      </c>
      <c r="F512">
        <f>IF(OR(('06_Сеть_и_дети'!F73-'06_Сеть_и_дети'!F101)=0,21&lt;='01_Вводные'!$B$297),0,('06_Сеть_и_дети'!F73-'06_Сеть_и_дети'!F101)*IF('01_Вводные'!$B$239="Да",MeanMinAge21+'19_Расчет_аналитики'!F560*SUMIF(ThresholdAge21,"&lt;"&amp;'19_Расчет_аналитики'!F560,WeightedRevAge21)-SUMIF(ThresholdAge21,"&lt;"&amp;'19_Расчет_аналитики'!F560,WeightedMinAge21),MAX(CapacityAge21*'01_Вводные'!$B$218*'19_Расчет_аналитики'!F560,MeanMinAge21)))</f>
        <v/>
      </c>
      <c r="G512">
        <f>IF(OR(('06_Сеть_и_дети'!G73-'06_Сеть_и_дети'!G101)=0,21&lt;='01_Вводные'!$B$297),0,('06_Сеть_и_дети'!G73-'06_Сеть_и_дети'!G101)*IF('01_Вводные'!$B$239="Да",MeanMinAge21+'19_Расчет_аналитики'!G560*SUMIF(ThresholdAge21,"&lt;"&amp;'19_Расчет_аналитики'!G560,WeightedRevAge21)-SUMIF(ThresholdAge21,"&lt;"&amp;'19_Расчет_аналитики'!G560,WeightedMinAge21),MAX(CapacityAge21*'01_Вводные'!$B$218*'19_Расчет_аналитики'!G560,MeanMinAge21)))</f>
        <v/>
      </c>
      <c r="H512">
        <f>IF(OR(('06_Сеть_и_дети'!H73-'06_Сеть_и_дети'!H101)=0,21&lt;='01_Вводные'!$B$297),0,('06_Сеть_и_дети'!H73-'06_Сеть_и_дети'!H101)*IF('01_Вводные'!$B$239="Да",MeanMinAge21+'19_Расчет_аналитики'!H560*SUMIF(ThresholdAge21,"&lt;"&amp;'19_Расчет_аналитики'!H560,WeightedRevAge21)-SUMIF(ThresholdAge21,"&lt;"&amp;'19_Расчет_аналитики'!H560,WeightedMinAge21),MAX(CapacityAge21*'01_Вводные'!$B$218*'19_Расчет_аналитики'!H560,MeanMinAge21)))</f>
        <v/>
      </c>
      <c r="I512">
        <f>IF(OR(('06_Сеть_и_дети'!I73-'06_Сеть_и_дети'!I101)=0,21&lt;='01_Вводные'!$B$297),0,('06_Сеть_и_дети'!I73-'06_Сеть_и_дети'!I101)*IF('01_Вводные'!$B$239="Да",MeanMinAge21+'19_Расчет_аналитики'!I560*SUMIF(ThresholdAge21,"&lt;"&amp;'19_Расчет_аналитики'!I560,WeightedRevAge21)-SUMIF(ThresholdAge21,"&lt;"&amp;'19_Расчет_аналитики'!I560,WeightedMinAge21),MAX(CapacityAge21*'01_Вводные'!$B$218*'19_Расчет_аналитики'!I560,MeanMinAge21)))</f>
        <v/>
      </c>
      <c r="J512">
        <f>IF(OR(('06_Сеть_и_дети'!J73-'06_Сеть_и_дети'!J101)=0,21&lt;='01_Вводные'!$B$297),0,('06_Сеть_и_дети'!J73-'06_Сеть_и_дети'!J101)*IF('01_Вводные'!$B$239="Да",MeanMinAge21+'19_Расчет_аналитики'!J560*SUMIF(ThresholdAge21,"&lt;"&amp;'19_Расчет_аналитики'!J560,WeightedRevAge21)-SUMIF(ThresholdAge21,"&lt;"&amp;'19_Расчет_аналитики'!J560,WeightedMinAge21),MAX(CapacityAge21*'01_Вводные'!$B$218*'19_Расчет_аналитики'!J560,MeanMinAge21)))</f>
        <v/>
      </c>
      <c r="K512">
        <f>IF(OR(('06_Сеть_и_дети'!K73-'06_Сеть_и_дети'!K101)=0,21&lt;='01_Вводные'!$B$297),0,('06_Сеть_и_дети'!K73-'06_Сеть_и_дети'!K101)*IF('01_Вводные'!$B$239="Да",MeanMinAge21+'19_Расчет_аналитики'!K560*SUMIF(ThresholdAge21,"&lt;"&amp;'19_Расчет_аналитики'!K560,WeightedRevAge21)-SUMIF(ThresholdAge21,"&lt;"&amp;'19_Расчет_аналитики'!K560,WeightedMinAge21),MAX(CapacityAge21*'01_Вводные'!$B$218*'19_Расчет_аналитики'!K560,MeanMinAge21)))</f>
        <v/>
      </c>
      <c r="L512">
        <f>IF(OR(('06_Сеть_и_дети'!L73-'06_Сеть_и_дети'!L101)=0,21&lt;='01_Вводные'!$B$297),0,('06_Сеть_и_дети'!L73-'06_Сеть_и_дети'!L101)*IF('01_Вводные'!$B$239="Да",MeanMinAge21+'19_Расчет_аналитики'!L560*SUMIF(ThresholdAge21,"&lt;"&amp;'19_Расчет_аналитики'!L560,WeightedRevAge21)-SUMIF(ThresholdAge21,"&lt;"&amp;'19_Расчет_аналитики'!L560,WeightedMinAge21),MAX(CapacityAge21*'01_Вводные'!$B$218*'19_Расчет_аналитики'!L560,MeanMinAge21)))</f>
        <v/>
      </c>
      <c r="M512">
        <f>IF(OR(('06_Сеть_и_дети'!M73-'06_Сеть_и_дети'!M101)=0,21&lt;='01_Вводные'!$B$297),0,('06_Сеть_и_дети'!M73-'06_Сеть_и_дети'!M101)*IF('01_Вводные'!$B$239="Да",MeanMinAge21+'19_Расчет_аналитики'!M560*SUMIF(ThresholdAge21,"&lt;"&amp;'19_Расчет_аналитики'!M560,WeightedRevAge21)-SUMIF(ThresholdAge21,"&lt;"&amp;'19_Расчет_аналитики'!M560,WeightedMinAge21),MAX(CapacityAge21*'01_Вводные'!$B$218*'19_Расчет_аналитики'!M560,MeanMinAge21)))</f>
        <v/>
      </c>
      <c r="N512">
        <f>IF(OR(('06_Сеть_и_дети'!N73-'06_Сеть_и_дети'!N101)=0,21&lt;='01_Вводные'!$B$297),0,('06_Сеть_и_дети'!N73-'06_Сеть_и_дети'!N101)*IF('01_Вводные'!$B$239="Да",MeanMinAge21+'19_Расчет_аналитики'!N560*SUMIF(ThresholdAge21,"&lt;"&amp;'19_Расчет_аналитики'!N560,WeightedRevAge21)-SUMIF(ThresholdAge21,"&lt;"&amp;'19_Расчет_аналитики'!N560,WeightedMinAge21),MAX(CapacityAge21*'01_Вводные'!$B$218*'19_Расчет_аналитики'!N560,MeanMinAge21)))</f>
        <v/>
      </c>
      <c r="O512">
        <f>IF(OR(('06_Сеть_и_дети'!O73-'06_Сеть_и_дети'!O101)=0,21&lt;='01_Вводные'!$B$297),0,('06_Сеть_и_дети'!O73-'06_Сеть_и_дети'!O101)*IF('01_Вводные'!$B$239="Да",MeanMinAge21+'19_Расчет_аналитики'!O560*SUMIF(ThresholdAge21,"&lt;"&amp;'19_Расчет_аналитики'!O560,WeightedRevAge21)-SUMIF(ThresholdAge21,"&lt;"&amp;'19_Расчет_аналитики'!O560,WeightedMinAge21),MAX(CapacityAge21*'01_Вводные'!$B$218*'19_Расчет_аналитики'!O560,MeanMinAge21)))</f>
        <v/>
      </c>
      <c r="P512">
        <f>IF(OR(('06_Сеть_и_дети'!P73-'06_Сеть_и_дети'!P101)=0,21&lt;='01_Вводные'!$B$297),0,('06_Сеть_и_дети'!P73-'06_Сеть_и_дети'!P101)*IF('01_Вводные'!$B$239="Да",MeanMinAge21+'19_Расчет_аналитики'!P560*SUMIF(ThresholdAge21,"&lt;"&amp;'19_Расчет_аналитики'!P560,WeightedRevAge21)-SUMIF(ThresholdAge21,"&lt;"&amp;'19_Расчет_аналитики'!P560,WeightedMinAge21),MAX(CapacityAge21*'01_Вводные'!$B$218*'19_Расчет_аналитики'!P560,MeanMinAge21)))</f>
        <v/>
      </c>
      <c r="Q512">
        <f>IF(OR(('06_Сеть_и_дети'!Q73-'06_Сеть_и_дети'!Q101)=0,21&lt;='01_Вводные'!$B$297),0,('06_Сеть_и_дети'!Q73-'06_Сеть_и_дети'!Q101)*IF('01_Вводные'!$B$239="Да",MeanMinAge21+'19_Расчет_аналитики'!Q560*SUMIF(ThresholdAge21,"&lt;"&amp;'19_Расчет_аналитики'!Q560,WeightedRevAge21)-SUMIF(ThresholdAge21,"&lt;"&amp;'19_Расчет_аналитики'!Q560,WeightedMinAge21),MAX(CapacityAge21*'01_Вводные'!$B$218*'19_Расчет_аналитики'!Q560,MeanMinAge21)))</f>
        <v/>
      </c>
      <c r="R512">
        <f>IF(OR(('06_Сеть_и_дети'!R73-'06_Сеть_и_дети'!R101)=0,21&lt;='01_Вводные'!$B$297),0,('06_Сеть_и_дети'!R73-'06_Сеть_и_дети'!R101)*IF('01_Вводные'!$B$239="Да",MeanMinAge21+'19_Расчет_аналитики'!R560*SUMIF(ThresholdAge21,"&lt;"&amp;'19_Расчет_аналитики'!R560,WeightedRevAge21)-SUMIF(ThresholdAge21,"&lt;"&amp;'19_Расчет_аналитики'!R560,WeightedMinAge21),MAX(CapacityAge21*'01_Вводные'!$B$218*'19_Расчет_аналитики'!R560,MeanMinAge21)))</f>
        <v/>
      </c>
      <c r="S512">
        <f>IF(OR(('06_Сеть_и_дети'!S73-'06_Сеть_и_дети'!S101)=0,21&lt;='01_Вводные'!$B$297),0,('06_Сеть_и_дети'!S73-'06_Сеть_и_дети'!S101)*IF('01_Вводные'!$B$239="Да",MeanMinAge21+'19_Расчет_аналитики'!S560*SUMIF(ThresholdAge21,"&lt;"&amp;'19_Расчет_аналитики'!S560,WeightedRevAge21)-SUMIF(ThresholdAge21,"&lt;"&amp;'19_Расчет_аналитики'!S560,WeightedMinAge21),MAX(CapacityAge21*'01_Вводные'!$B$218*'19_Расчет_аналитики'!S560,MeanMinAge21)))</f>
        <v/>
      </c>
      <c r="T512">
        <f>IF(OR(('06_Сеть_и_дети'!T73-'06_Сеть_и_дети'!T101)=0,21&lt;='01_Вводные'!$B$297),0,('06_Сеть_и_дети'!T73-'06_Сеть_и_дети'!T101)*IF('01_Вводные'!$B$239="Да",MeanMinAge21+'19_Расчет_аналитики'!T560*SUMIF(ThresholdAge21,"&lt;"&amp;'19_Расчет_аналитики'!T560,WeightedRevAge21)-SUMIF(ThresholdAge21,"&lt;"&amp;'19_Расчет_аналитики'!T560,WeightedMinAge21),MAX(CapacityAge21*'01_Вводные'!$B$218*'19_Расчет_аналитики'!T560,MeanMinAge21)))</f>
        <v/>
      </c>
      <c r="U512">
        <f>IF(OR(('06_Сеть_и_дети'!U73-'06_Сеть_и_дети'!U101)=0,21&lt;='01_Вводные'!$B$297),0,('06_Сеть_и_дети'!U73-'06_Сеть_и_дети'!U101)*IF('01_Вводные'!$B$239="Да",MeanMinAge21+'19_Расчет_аналитики'!U560*SUMIF(ThresholdAge21,"&lt;"&amp;'19_Расчет_аналитики'!U560,WeightedRevAge21)-SUMIF(ThresholdAge21,"&lt;"&amp;'19_Расчет_аналитики'!U560,WeightedMinAge21),MAX(CapacityAge21*'01_Вводные'!$B$218*'19_Расчет_аналитики'!U560,MeanMinAge21)))</f>
        <v/>
      </c>
      <c r="V512">
        <f>IF(OR(('19_Расчет_аналитики'!V428-'19_Расчет_аналитики'!V456)=0,21&lt;='01_Вводные'!$B$297),0,('19_Расчет_аналитики'!V428-'19_Расчет_аналитики'!V456)*IF('01_Вводные'!$B$239="Да",MeanMinAge21+'19_Расчет_аналитики'!V560*SUMIF(ThresholdAge21,"&lt;"&amp;'19_Расчет_аналитики'!V560,WeightedRevAge21)-SUMIF(ThresholdAge21,"&lt;"&amp;'19_Расчет_аналитики'!V560,WeightedMinAge21),MAX(CapacityAge21*'01_Вводные'!$B$218*'19_Расчет_аналитики'!V560,MeanMinAge21)))</f>
        <v/>
      </c>
      <c r="W512">
        <f>IF(OR(('19_Расчет_аналитики'!W428-'19_Расчет_аналитики'!W456)=0,21&lt;='01_Вводные'!$B$297),0,('19_Расчет_аналитики'!W428-'19_Расчет_аналитики'!W456)*IF('01_Вводные'!$B$239="Да",MeanMinAge21+'19_Расчет_аналитики'!W560*SUMIF(ThresholdAge21,"&lt;"&amp;'19_Расчет_аналитики'!W560,WeightedRevAge21)-SUMIF(ThresholdAge21,"&lt;"&amp;'19_Расчет_аналитики'!W560,WeightedMinAge21),MAX(CapacityAge21*'01_Вводные'!$B$218*'19_Расчет_аналитики'!W560,MeanMinAge21)))</f>
        <v/>
      </c>
      <c r="X512">
        <f>IF(OR(('19_Расчет_аналитики'!X428-'19_Расчет_аналитики'!X456)=0,21&lt;='01_Вводные'!$B$297),0,('19_Расчет_аналитики'!X428-'19_Расчет_аналитики'!X456)*IF('01_Вводные'!$B$239="Да",MeanMinAge21+'19_Расчет_аналитики'!X560*SUMIF(ThresholdAge21,"&lt;"&amp;'19_Расчет_аналитики'!X560,WeightedRevAge21)-SUMIF(ThresholdAge21,"&lt;"&amp;'19_Расчет_аналитики'!X560,WeightedMinAge21),MAX(CapacityAge21*'01_Вводные'!$B$218*'19_Расчет_аналитики'!X560,MeanMinAge21)))</f>
        <v/>
      </c>
      <c r="Y512">
        <f>IF(OR(('19_Расчет_аналитики'!Y428-'19_Расчет_аналитики'!Y456)=0,21&lt;='01_Вводные'!$B$297),0,('19_Расчет_аналитики'!Y428-'19_Расчет_аналитики'!Y456)*IF('01_Вводные'!$B$239="Да",MeanMinAge21+'19_Расчет_аналитики'!Y560*SUMIF(ThresholdAge21,"&lt;"&amp;'19_Расчет_аналитики'!Y560,WeightedRevAge21)-SUMIF(ThresholdAge21,"&lt;"&amp;'19_Расчет_аналитики'!Y560,WeightedMinAge21),MAX(CapacityAge21*'01_Вводные'!$B$218*'19_Расчет_аналитики'!Y560,MeanMinAge21)))</f>
        <v/>
      </c>
      <c r="Z512">
        <f>IF(OR(('19_Расчет_аналитики'!Z428-'19_Расчет_аналитики'!Z456)=0,21&lt;='01_Вводные'!$B$297),0,('19_Расчет_аналитики'!Z428-'19_Расчет_аналитики'!Z456)*IF('01_Вводные'!$B$239="Да",MeanMinAge21+'19_Расчет_аналитики'!Z560*SUMIF(ThresholdAge21,"&lt;"&amp;'19_Расчет_аналитики'!Z560,WeightedRevAge21)-SUMIF(ThresholdAge21,"&lt;"&amp;'19_Расчет_аналитики'!Z560,WeightedMinAge21),MAX(CapacityAge21*'01_Вводные'!$B$218*'19_Расчет_аналитики'!Z560,MeanMinAge21)))</f>
        <v/>
      </c>
      <c r="AA512">
        <f>IF(OR(('19_Расчет_аналитики'!AA428-'19_Расчет_аналитики'!AA456)=0,21&lt;='01_Вводные'!$B$297),0,('19_Расчет_аналитики'!AA428-'19_Расчет_аналитики'!AA456)*IF('01_Вводные'!$B$239="Да",MeanMinAge21+'19_Расчет_аналитики'!AA560*SUMIF(ThresholdAge21,"&lt;"&amp;'19_Расчет_аналитики'!AA560,WeightedRevAge21)-SUMIF(ThresholdAge21,"&lt;"&amp;'19_Расчет_аналитики'!AA560,WeightedMinAge21),MAX(CapacityAge21*'01_Вводные'!$B$218*'19_Расчет_аналитики'!AA560,MeanMinAge21)))</f>
        <v/>
      </c>
      <c r="AB512">
        <f>IF(OR(('19_Расчет_аналитики'!AB428-'19_Расчет_аналитики'!AB456)=0,21&lt;='01_Вводные'!$B$297),0,('19_Расчет_аналитики'!AB428-'19_Расчет_аналитики'!AB456)*IF('01_Вводные'!$B$239="Да",MeanMinAge21+'19_Расчет_аналитики'!AB560*SUMIF(ThresholdAge21,"&lt;"&amp;'19_Расчет_аналитики'!AB560,WeightedRevAge21)-SUMIF(ThresholdAge21,"&lt;"&amp;'19_Расчет_аналитики'!AB560,WeightedMinAge21),MAX(CapacityAge21*'01_Вводные'!$B$218*'19_Расчет_аналитики'!AB560,MeanMinAge21)))</f>
        <v/>
      </c>
      <c r="AC512">
        <f>IF(OR(('19_Расчет_аналитики'!AC428-'19_Расчет_аналитики'!AC456)=0,21&lt;='01_Вводные'!$B$297),0,('19_Расчет_аналитики'!AC428-'19_Расчет_аналитики'!AC456)*IF('01_Вводные'!$B$239="Да",MeanMinAge21+'19_Расчет_аналитики'!AC560*SUMIF(ThresholdAge21,"&lt;"&amp;'19_Расчет_аналитики'!AC560,WeightedRevAge21)-SUMIF(ThresholdAge21,"&lt;"&amp;'19_Расчет_аналитики'!AC560,WeightedMinAge21),MAX(CapacityAge21*'01_Вводные'!$B$218*'19_Расчет_аналитики'!AC560,MeanMinAge21)))</f>
        <v/>
      </c>
      <c r="AD512">
        <f>IF(OR(('19_Расчет_аналитики'!AD428-'19_Расчет_аналитики'!AD456)=0,21&lt;='01_Вводные'!$B$297),0,('19_Расчет_аналитики'!AD428-'19_Расчет_аналитики'!AD456)*IF('01_Вводные'!$B$239="Да",MeanMinAge21+'19_Расчет_аналитики'!AD560*SUMIF(ThresholdAge21,"&lt;"&amp;'19_Расчет_аналитики'!AD560,WeightedRevAge21)-SUMIF(ThresholdAge21,"&lt;"&amp;'19_Расчет_аналитики'!AD560,WeightedMinAge21),MAX(CapacityAge21*'01_Вводные'!$B$218*'19_Расчет_аналитики'!AD560,MeanMinAge21)))</f>
        <v/>
      </c>
      <c r="AE512">
        <f>IF(OR(('19_Расчет_аналитики'!AE428-'19_Расчет_аналитики'!AE456)=0,21&lt;='01_Вводные'!$B$297),0,('19_Расчет_аналитики'!AE428-'19_Расчет_аналитики'!AE456)*IF('01_Вводные'!$B$239="Да",MeanMinAge21+'19_Расчет_аналитики'!AE560*SUMIF(ThresholdAge21,"&lt;"&amp;'19_Расчет_аналитики'!AE560,WeightedRevAge21)-SUMIF(ThresholdAge21,"&lt;"&amp;'19_Расчет_аналитики'!AE560,WeightedMinAge21),MAX(CapacityAge21*'01_Вводные'!$B$218*'19_Расчет_аналитики'!AE560,MeanMinAge21)))</f>
        <v/>
      </c>
      <c r="AF512">
        <f>IF(OR(('19_Расчет_аналитики'!AF428-'19_Расчет_аналитики'!AF456)=0,21&lt;='01_Вводные'!$B$297),0,('19_Расчет_аналитики'!AF428-'19_Расчет_аналитики'!AF456)*IF('01_Вводные'!$B$239="Да",MeanMinAge21+'19_Расчет_аналитики'!AF560*SUMIF(ThresholdAge21,"&lt;"&amp;'19_Расчет_аналитики'!AF560,WeightedRevAge21)-SUMIF(ThresholdAge21,"&lt;"&amp;'19_Расчет_аналитики'!AF560,WeightedMinAge21),MAX(CapacityAge21*'01_Вводные'!$B$218*'19_Расчет_аналитики'!AF560,MeanMinAge21)))</f>
        <v/>
      </c>
      <c r="AG512">
        <f>IF(OR(('19_Расчет_аналитики'!AG428-'19_Расчет_аналитики'!AG456)=0,21&lt;='01_Вводные'!$B$297),0,('19_Расчет_аналитики'!AG428-'19_Расчет_аналитики'!AG456)*IF('01_Вводные'!$B$239="Да",MeanMinAge21+'19_Расчет_аналитики'!AG560*SUMIF(ThresholdAge21,"&lt;"&amp;'19_Расчет_аналитики'!AG560,WeightedRevAge21)-SUMIF(ThresholdAge21,"&lt;"&amp;'19_Расчет_аналитики'!AG560,WeightedMinAge21),MAX(CapacityAge21*'01_Вводные'!$B$218*'19_Расчет_аналитики'!AG560,MeanMinAge21)))</f>
        <v/>
      </c>
      <c r="AH512">
        <f>IF(OR(('19_Расчет_аналитики'!AH428-'19_Расчет_аналитики'!AH456)=0,21&lt;='01_Вводные'!$B$297),0,('19_Расчет_аналитики'!AH428-'19_Расчет_аналитики'!AH456)*IF('01_Вводные'!$B$239="Да",MeanMinAge21+'19_Расчет_аналитики'!AH560*SUMIF(ThresholdAge21,"&lt;"&amp;'19_Расчет_аналитики'!AH560,WeightedRevAge21)-SUMIF(ThresholdAge21,"&lt;"&amp;'19_Расчет_аналитики'!AH560,WeightedMinAge21),MAX(CapacityAge21*'01_Вводные'!$B$218*'19_Расчет_аналитики'!AH560,MeanMinAge21)))</f>
        <v/>
      </c>
      <c r="AI512">
        <f>IF(OR(('19_Расчет_аналитики'!AI428-'19_Расчет_аналитики'!AI456)=0,21&lt;='01_Вводные'!$B$297),0,('19_Расчет_аналитики'!AI428-'19_Расчет_аналитики'!AI456)*IF('01_Вводные'!$B$239="Да",MeanMinAge21+'19_Расчет_аналитики'!AI560*SUMIF(ThresholdAge21,"&lt;"&amp;'19_Расчет_аналитики'!AI560,WeightedRevAge21)-SUMIF(ThresholdAge21,"&lt;"&amp;'19_Расчет_аналитики'!AI560,WeightedMinAge21),MAX(CapacityAge21*'01_Вводные'!$B$218*'19_Расчет_аналитики'!AI560,MeanMinAge21)))</f>
        <v/>
      </c>
      <c r="AJ512">
        <f>IF(OR(('19_Расчет_аналитики'!AJ428-'19_Расчет_аналитики'!AJ456)=0,21&lt;='01_Вводные'!$B$297),0,('19_Расчет_аналитики'!AJ428-'19_Расчет_аналитики'!AJ456)*IF('01_Вводные'!$B$239="Да",MeanMinAge21+'19_Расчет_аналитики'!AJ560*SUMIF(ThresholdAge21,"&lt;"&amp;'19_Расчет_аналитики'!AJ560,WeightedRevAge21)-SUMIF(ThresholdAge21,"&lt;"&amp;'19_Расчет_аналитики'!AJ560,WeightedMinAge21),MAX(CapacityAge21*'01_Вводные'!$B$218*'19_Расчет_аналитики'!AJ560,MeanMinAge21)))</f>
        <v/>
      </c>
      <c r="AK512">
        <f>IF(OR(('19_Расчет_аналитики'!AK428-'19_Расчет_аналитики'!AK456)=0,21&lt;='01_Вводные'!$B$297),0,('19_Расчет_аналитики'!AK428-'19_Расчет_аналитики'!AK456)*IF('01_Вводные'!$B$239="Да",MeanMinAge21+'19_Расчет_аналитики'!AK560*SUMIF(ThresholdAge21,"&lt;"&amp;'19_Расчет_аналитики'!AK560,WeightedRevAge21)-SUMIF(ThresholdAge21,"&lt;"&amp;'19_Расчет_аналитики'!AK560,WeightedMinAge21),MAX(CapacityAge21*'01_Вводные'!$B$218*'19_Расчет_аналитики'!AK560,MeanMinAge21)))</f>
        <v/>
      </c>
      <c r="AL512">
        <f>IF(OR(('19_Расчет_аналитики'!AL428-'19_Расчет_аналитики'!AL456)=0,21&lt;='01_Вводные'!$B$297),0,('19_Расчет_аналитики'!AL428-'19_Расчет_аналитики'!AL456)*IF('01_Вводные'!$B$239="Да",MeanMinAge21+'19_Расчет_аналитики'!AL560*SUMIF(ThresholdAge21,"&lt;"&amp;'19_Расчет_аналитики'!AL560,WeightedRevAge21)-SUMIF(ThresholdAge21,"&lt;"&amp;'19_Расчет_аналитики'!AL560,WeightedMinAge21),MAX(CapacityAge21*'01_Вводные'!$B$218*'19_Расчет_аналитики'!AL560,MeanMinAge21)))</f>
        <v/>
      </c>
      <c r="AM512">
        <f>IF(OR(('19_Расчет_аналитики'!AM428-'19_Расчет_аналитики'!AM456)=0,21&lt;='01_Вводные'!$B$297),0,('19_Расчет_аналитики'!AM428-'19_Расчет_аналитики'!AM456)*IF('01_Вводные'!$B$239="Да",MeanMinAge21+'19_Расчет_аналитики'!AM560*SUMIF(ThresholdAge21,"&lt;"&amp;'19_Расчет_аналитики'!AM560,WeightedRevAge21)-SUMIF(ThresholdAge21,"&lt;"&amp;'19_Расчет_аналитики'!AM560,WeightedMinAge21),MAX(CapacityAge21*'01_Вводные'!$B$218*'19_Расчет_аналитики'!AM560,MeanMinAge21)))</f>
        <v/>
      </c>
      <c r="AN512">
        <f>IF(OR(('19_Расчет_аналитики'!AN428-'19_Расчет_аналитики'!AN456)=0,21&lt;='01_Вводные'!$B$297),0,('19_Расчет_аналитики'!AN428-'19_Расчет_аналитики'!AN456)*IF('01_Вводные'!$B$239="Да",MeanMinAge21+'19_Расчет_аналитики'!AN560*SUMIF(ThresholdAge21,"&lt;"&amp;'19_Расчет_аналитики'!AN560,WeightedRevAge21)-SUMIF(ThresholdAge21,"&lt;"&amp;'19_Расчет_аналитики'!AN560,WeightedMinAge21),MAX(CapacityAge21*'01_Вводные'!$B$218*'19_Расчет_аналитики'!AN560,MeanMinAge21)))</f>
        <v/>
      </c>
      <c r="AO512">
        <f>IF(OR(('19_Расчет_аналитики'!AO428-'19_Расчет_аналитики'!AO456)=0,21&lt;='01_Вводные'!$B$297),0,('19_Расчет_аналитики'!AO428-'19_Расчет_аналитики'!AO456)*IF('01_Вводные'!$B$239="Да",MeanMinAge21+'19_Расчет_аналитики'!AO560*SUMIF(ThresholdAge21,"&lt;"&amp;'19_Расчет_аналитики'!AO560,WeightedRevAge21)-SUMIF(ThresholdAge21,"&lt;"&amp;'19_Расчет_аналитики'!AO560,WeightedMinAge21),MAX(CapacityAge21*'01_Вводные'!$B$218*'19_Расчет_аналитики'!AO560,MeanMinAge21)))</f>
        <v/>
      </c>
      <c r="AP512">
        <f>IF(OR(('19_Расчет_аналитики'!AP428-'19_Расчет_аналитики'!AP456)=0,21&lt;='01_Вводные'!$B$297),0,('19_Расчет_аналитики'!AP428-'19_Расчет_аналитики'!AP456)*IF('01_Вводные'!$B$239="Да",MeanMinAge21+'19_Расчет_аналитики'!AP560*SUMIF(ThresholdAge21,"&lt;"&amp;'19_Расчет_аналитики'!AP560,WeightedRevAge21)-SUMIF(ThresholdAge21,"&lt;"&amp;'19_Расчет_аналитики'!AP560,WeightedMinAge21),MAX(CapacityAge21*'01_Вводные'!$B$218*'19_Расчет_аналитики'!AP560,MeanMinAge21)))</f>
        <v/>
      </c>
      <c r="AQ512">
        <f>IF(OR(('19_Расчет_аналитики'!AQ428-'19_Расчет_аналитики'!AQ456)=0,21&lt;='01_Вводные'!$B$297),0,('19_Расчет_аналитики'!AQ428-'19_Расчет_аналитики'!AQ456)*IF('01_Вводные'!$B$239="Да",MeanMinAge21+'19_Расчет_аналитики'!AQ560*SUMIF(ThresholdAge21,"&lt;"&amp;'19_Расчет_аналитики'!AQ560,WeightedRevAge21)-SUMIF(ThresholdAge21,"&lt;"&amp;'19_Расчет_аналитики'!AQ560,WeightedMinAge21),MAX(CapacityAge21*'01_Вводные'!$B$218*'19_Расчет_аналитики'!AQ560,MeanMinAge21)))</f>
        <v/>
      </c>
      <c r="AR512">
        <f>IF(OR(('19_Расчет_аналитики'!AR428-'19_Расчет_аналитики'!AR456)=0,21&lt;='01_Вводные'!$B$297),0,('19_Расчет_аналитики'!AR428-'19_Расчет_аналитики'!AR456)*IF('01_Вводные'!$B$239="Да",MeanMinAge21+'19_Расчет_аналитики'!AR560*SUMIF(ThresholdAge21,"&lt;"&amp;'19_Расчет_аналитики'!AR560,WeightedRevAge21)-SUMIF(ThresholdAge21,"&lt;"&amp;'19_Расчет_аналитики'!AR560,WeightedMinAge21),MAX(CapacityAge21*'01_Вводные'!$B$218*'19_Расчет_аналитики'!AR560,MeanMinAge21)))</f>
        <v/>
      </c>
      <c r="AS512">
        <f>IF(OR(('19_Расчет_аналитики'!AS428-'19_Расчет_аналитики'!AS456)=0,21&lt;='01_Вводные'!$B$297),0,('19_Расчет_аналитики'!AS428-'19_Расчет_аналитики'!AS456)*IF('01_Вводные'!$B$239="Да",MeanMinAge21+'19_Расчет_аналитики'!AS560*SUMIF(ThresholdAge21,"&lt;"&amp;'19_Расчет_аналитики'!AS560,WeightedRevAge21)-SUMIF(ThresholdAge21,"&lt;"&amp;'19_Расчет_аналитики'!AS560,WeightedMinAge21),MAX(CapacityAge21*'01_Вводные'!$B$218*'19_Расчет_аналитики'!AS560,MeanMinAge21)))</f>
        <v/>
      </c>
      <c r="AT512">
        <f>IF(OR(('19_Расчет_аналитики'!AT428-'19_Расчет_аналитики'!AT456)=0,21&lt;='01_Вводные'!$B$297),0,('19_Расчет_аналитики'!AT428-'19_Расчет_аналитики'!AT456)*IF('01_Вводные'!$B$239="Да",MeanMinAge21+'19_Расчет_аналитики'!AT560*SUMIF(ThresholdAge21,"&lt;"&amp;'19_Расчет_аналитики'!AT560,WeightedRevAge21)-SUMIF(ThresholdAge21,"&lt;"&amp;'19_Расчет_аналитики'!AT560,WeightedMinAge21),MAX(CapacityAge21*'01_Вводные'!$B$218*'19_Расчет_аналитики'!AT560,MeanMinAge21)))</f>
        <v/>
      </c>
      <c r="AU512">
        <f>IF(OR(('19_Расчет_аналитики'!AU428-'19_Расчет_аналитики'!AU456)=0,21&lt;='01_Вводные'!$B$297),0,('19_Расчет_аналитики'!AU428-'19_Расчет_аналитики'!AU456)*IF('01_Вводные'!$B$239="Да",MeanMinAge21+'19_Расчет_аналитики'!AU560*SUMIF(ThresholdAge21,"&lt;"&amp;'19_Расчет_аналитики'!AU560,WeightedRevAge21)-SUMIF(ThresholdAge21,"&lt;"&amp;'19_Расчет_аналитики'!AU560,WeightedMinAge21),MAX(CapacityAge21*'01_Вводные'!$B$218*'19_Расчет_аналитики'!AU560,MeanMinAge21)))</f>
        <v/>
      </c>
      <c r="AV512">
        <f>IF(OR(('19_Расчет_аналитики'!AV428-'19_Расчет_аналитики'!AV456)=0,21&lt;='01_Вводные'!$B$297),0,('19_Расчет_аналитики'!AV428-'19_Расчет_аналитики'!AV456)*IF('01_Вводные'!$B$239="Да",MeanMinAge21+'19_Расчет_аналитики'!AV560*SUMIF(ThresholdAge21,"&lt;"&amp;'19_Расчет_аналитики'!AV560,WeightedRevAge21)-SUMIF(ThresholdAge21,"&lt;"&amp;'19_Расчет_аналитики'!AV560,WeightedMinAge21),MAX(CapacityAge21*'01_Вводные'!$B$218*'19_Расчет_аналитики'!AV560,MeanMinAge21)))</f>
        <v/>
      </c>
      <c r="AW512">
        <f>IF(OR(('19_Расчет_аналитики'!AW428-'19_Расчет_аналитики'!AW456)=0,21&lt;='01_Вводные'!$B$297),0,('19_Расчет_аналитики'!AW428-'19_Расчет_аналитики'!AW456)*IF('01_Вводные'!$B$239="Да",MeanMinAge21+'19_Расчет_аналитики'!AW560*SUMIF(ThresholdAge21,"&lt;"&amp;'19_Расчет_аналитики'!AW560,WeightedRevAge21)-SUMIF(ThresholdAge21,"&lt;"&amp;'19_Расчет_аналитики'!AW560,WeightedMinAge21),MAX(CapacityAge21*'01_Вводные'!$B$218*'19_Расчет_аналитики'!AW560,MeanMinAge21)))</f>
        <v/>
      </c>
      <c r="AX512">
        <f>IF(OR(('19_Расчет_аналитики'!AX428-'19_Расчет_аналитики'!AX456)=0,21&lt;='01_Вводные'!$B$297),0,('19_Расчет_аналитики'!AX428-'19_Расчет_аналитики'!AX456)*IF('01_Вводные'!$B$239="Да",MeanMinAge21+'19_Расчет_аналитики'!AX560*SUMIF(ThresholdAge21,"&lt;"&amp;'19_Расчет_аналитики'!AX560,WeightedRevAge21)-SUMIF(ThresholdAge21,"&lt;"&amp;'19_Расчет_аналитики'!AX560,WeightedMinAge21),MAX(CapacityAge21*'01_Вводные'!$B$218*'19_Расчет_аналитики'!AX560,MeanMinAge21)))</f>
        <v/>
      </c>
      <c r="AY512">
        <f>IF(OR(('19_Расчет_аналитики'!AY428-'19_Расчет_аналитики'!AY456)=0,21&lt;='01_Вводные'!$B$297),0,('19_Расчет_аналитики'!AY428-'19_Расчет_аналитики'!AY456)*IF('01_Вводные'!$B$239="Да",MeanMinAge21+'19_Расчет_аналитики'!AY560*SUMIF(ThresholdAge21,"&lt;"&amp;'19_Расчет_аналитики'!AY560,WeightedRevAge21)-SUMIF(ThresholdAge21,"&lt;"&amp;'19_Расчет_аналитики'!AY560,WeightedMinAge21),MAX(CapacityAge21*'01_Вводные'!$B$218*'19_Расчет_аналитики'!AY560,MeanMinAge21)))</f>
        <v/>
      </c>
      <c r="AZ512">
        <f>IF(OR(('19_Расчет_аналитики'!AZ428-'19_Расчет_аналитики'!AZ456)=0,21&lt;='01_Вводные'!$B$297),0,('19_Расчет_аналитики'!AZ428-'19_Расчет_аналитики'!AZ456)*IF('01_Вводные'!$B$239="Да",MeanMinAge21+'19_Расчет_аналитики'!AZ560*SUMIF(ThresholdAge21,"&lt;"&amp;'19_Расчет_аналитики'!AZ560,WeightedRevAge21)-SUMIF(ThresholdAge21,"&lt;"&amp;'19_Расчет_аналитики'!AZ560,WeightedMinAge21),MAX(CapacityAge21*'01_Вводные'!$B$218*'19_Расчет_аналитики'!AZ560,MeanMinAge21)))</f>
        <v/>
      </c>
      <c r="BA512">
        <f>IF(OR(('19_Расчет_аналитики'!BA428-'19_Расчет_аналитики'!BA456)=0,21&lt;='01_Вводные'!$B$297),0,('19_Расчет_аналитики'!BA428-'19_Расчет_аналитики'!BA456)*IF('01_Вводные'!$B$239="Да",MeanMinAge21+'19_Расчет_аналитики'!BA560*SUMIF(ThresholdAge21,"&lt;"&amp;'19_Расчет_аналитики'!BA560,WeightedRevAge21)-SUMIF(ThresholdAge21,"&lt;"&amp;'19_Расчет_аналитики'!BA560,WeightedMinAge21),MAX(CapacityAge21*'01_Вводные'!$B$218*'19_Расчет_аналитики'!BA560,MeanMinAge21)))</f>
        <v/>
      </c>
      <c r="BB512">
        <f>IF(OR(('19_Расчет_аналитики'!BB428-'19_Расчет_аналитики'!BB456)=0,21&lt;='01_Вводные'!$B$297),0,('19_Расчет_аналитики'!BB428-'19_Расчет_аналитики'!BB456)*IF('01_Вводные'!$B$239="Да",MeanMinAge21+'19_Расчет_аналитики'!BB560*SUMIF(ThresholdAge21,"&lt;"&amp;'19_Расчет_аналитики'!BB560,WeightedRevAge21)-SUMIF(ThresholdAge21,"&lt;"&amp;'19_Расчет_аналитики'!BB560,WeightedMinAge21),MAX(CapacityAge21*'01_Вводные'!$B$218*'19_Расчет_аналитики'!BB560,MeanMinAge21)))</f>
        <v/>
      </c>
      <c r="BC512">
        <f>IF(OR(('19_Расчет_аналитики'!BC428-'19_Расчет_аналитики'!BC456)=0,21&lt;='01_Вводные'!$B$297),0,('19_Расчет_аналитики'!BC428-'19_Расчет_аналитики'!BC456)*IF('01_Вводные'!$B$239="Да",MeanMinAge21+'19_Расчет_аналитики'!BC560*SUMIF(ThresholdAge21,"&lt;"&amp;'19_Расчет_аналитики'!BC560,WeightedRevAge21)-SUMIF(ThresholdAge21,"&lt;"&amp;'19_Расчет_аналитики'!BC560,WeightedMinAge21),MAX(CapacityAge21*'01_Вводные'!$B$218*'19_Расчет_аналитики'!BC560,MeanMinAge21)))</f>
        <v/>
      </c>
      <c r="BD512">
        <f>IF(OR(('19_Расчет_аналитики'!BD428-'19_Расчет_аналитики'!BD456)=0,21&lt;='01_Вводные'!$B$297),0,('19_Расчет_аналитики'!BD428-'19_Расчет_аналитики'!BD456)*IF('01_Вводные'!$B$239="Да",MeanMinAge21+'19_Расчет_аналитики'!BD560*SUMIF(ThresholdAge21,"&lt;"&amp;'19_Расчет_аналитики'!BD560,WeightedRevAge21)-SUMIF(ThresholdAge21,"&lt;"&amp;'19_Расчет_аналитики'!BD560,WeightedMinAge21),MAX(CapacityAge21*'01_Вводные'!$B$218*'19_Расчет_аналитики'!BD560,MeanMinAge21)))</f>
        <v/>
      </c>
      <c r="BE512">
        <f>IF(OR(('19_Расчет_аналитики'!BE428-'19_Расчет_аналитики'!BE456)=0,21&lt;='01_Вводные'!$B$297),0,('19_Расчет_аналитики'!BE428-'19_Расчет_аналитики'!BE456)*IF('01_Вводные'!$B$239="Да",MeanMinAge21+'19_Расчет_аналитики'!BE560*SUMIF(ThresholdAge21,"&lt;"&amp;'19_Расчет_аналитики'!BE560,WeightedRevAge21)-SUMIF(ThresholdAge21,"&lt;"&amp;'19_Расчет_аналитики'!BE560,WeightedMinAge21),MAX(CapacityAge21*'01_Вводные'!$B$218*'19_Расчет_аналитики'!BE560,MeanMinAge21)))</f>
        <v/>
      </c>
      <c r="BF512">
        <f>IF(OR(('19_Расчет_аналитики'!BF428-'19_Расчет_аналитики'!BF456)=0,21&lt;='01_Вводные'!$B$297),0,('19_Расчет_аналитики'!BF428-'19_Расчет_аналитики'!BF456)*IF('01_Вводные'!$B$239="Да",MeanMinAge21+'19_Расчет_аналитики'!BF560*SUMIF(ThresholdAge21,"&lt;"&amp;'19_Расчет_аналитики'!BF560,WeightedRevAge21)-SUMIF(ThresholdAge21,"&lt;"&amp;'19_Расчет_аналитики'!BF560,WeightedMinAge21),MAX(CapacityAge21*'01_Вводные'!$B$218*'19_Расчет_аналитики'!BF560,MeanMinAge21)))</f>
        <v/>
      </c>
      <c r="BG512">
        <f>IF(OR(('19_Расчет_аналитики'!BG428-'19_Расчет_аналитики'!BG456)=0,21&lt;='01_Вводные'!$B$297),0,('19_Расчет_аналитики'!BG428-'19_Расчет_аналитики'!BG456)*IF('01_Вводные'!$B$239="Да",MeanMinAge21+'19_Расчет_аналитики'!BG560*SUMIF(ThresholdAge21,"&lt;"&amp;'19_Расчет_аналитики'!BG560,WeightedRevAge21)-SUMIF(ThresholdAge21,"&lt;"&amp;'19_Расчет_аналитики'!BG560,WeightedMinAge21),MAX(CapacityAge21*'01_Вводные'!$B$218*'19_Расчет_аналитики'!BG560,MeanMinAge21)))</f>
        <v/>
      </c>
      <c r="BH512">
        <f>IF(OR(('19_Расчет_аналитики'!BH428-'19_Расчет_аналитики'!BH456)=0,21&lt;='01_Вводные'!$B$297),0,('19_Расчет_аналитики'!BH428-'19_Расчет_аналитики'!BH456)*IF('01_Вводные'!$B$239="Да",MeanMinAge21+'19_Расчет_аналитики'!BH560*SUMIF(ThresholdAge21,"&lt;"&amp;'19_Расчет_аналитики'!BH560,WeightedRevAge21)-SUMIF(ThresholdAge21,"&lt;"&amp;'19_Расчет_аналитики'!BH560,WeightedMinAge21),MAX(CapacityAge21*'01_Вводные'!$B$218*'19_Расчет_аналитики'!BH560,MeanMinAge21)))</f>
        <v/>
      </c>
      <c r="BI512">
        <f>IF(OR(('19_Расчет_аналитики'!BI428-'19_Расчет_аналитики'!BI456)=0,21&lt;='01_Вводные'!$B$297),0,('19_Расчет_аналитики'!BI428-'19_Расчет_аналитики'!BI456)*IF('01_Вводные'!$B$239="Да",MeanMinAge21+'19_Расчет_аналитики'!BI560*SUMIF(ThresholdAge21,"&lt;"&amp;'19_Расчет_аналитики'!BI560,WeightedRevAge21)-SUMIF(ThresholdAge21,"&lt;"&amp;'19_Расчет_аналитики'!BI560,WeightedMinAge21),MAX(CapacityAge21*'01_Вводные'!$B$218*'19_Расчет_аналитики'!BI560,MeanMinAge21)))</f>
        <v/>
      </c>
      <c r="BJ512">
        <f>IF(OR(('19_Расчет_аналитики'!BJ428-'19_Расчет_аналитики'!BJ456)=0,21&lt;='01_Вводные'!$B$297),0,('19_Расчет_аналитики'!BJ428-'19_Расчет_аналитики'!BJ456)*IF('01_Вводные'!$B$239="Да",MeanMinAge21+'19_Расчет_аналитики'!BJ560*SUMIF(ThresholdAge21,"&lt;"&amp;'19_Расчет_аналитики'!BJ560,WeightedRevAge21)-SUMIF(ThresholdAge21,"&lt;"&amp;'19_Расчет_аналитики'!BJ560,WeightedMinAge21),MAX(CapacityAge21*'01_Вводные'!$B$218*'19_Расчет_аналитики'!BJ560,MeanMinAge21)))</f>
        <v/>
      </c>
      <c r="BK512">
        <f>IF(OR(('19_Расчет_аналитики'!BK428-'19_Расчет_аналитики'!BK456)=0,21&lt;='01_Вводные'!$B$297),0,('19_Расчет_аналитики'!BK428-'19_Расчет_аналитики'!BK456)*IF('01_Вводные'!$B$239="Да",MeanMinAge21+'19_Расчет_аналитики'!BK560*SUMIF(ThresholdAge21,"&lt;"&amp;'19_Расчет_аналитики'!BK560,WeightedRevAge21)-SUMIF(ThresholdAge21,"&lt;"&amp;'19_Расчет_аналитики'!BK560,WeightedMinAge21),MAX(CapacityAge21*'01_Вводные'!$B$218*'19_Расчет_аналитики'!BK560,MeanMinAge21)))</f>
        <v/>
      </c>
      <c r="BL512">
        <f>IF(OR(('19_Расчет_аналитики'!BL428-'19_Расчет_аналитики'!BL456)=0,21&lt;='01_Вводные'!$B$297),0,('19_Расчет_аналитики'!BL428-'19_Расчет_аналитики'!BL456)*IF('01_Вводные'!$B$239="Да",MeanMinAge21+'19_Расчет_аналитики'!BL560*SUMIF(ThresholdAge21,"&lt;"&amp;'19_Расчет_аналитики'!BL560,WeightedRevAge21)-SUMIF(ThresholdAge21,"&lt;"&amp;'19_Расчет_аналитики'!BL560,WeightedMinAge21),MAX(CapacityAge21*'01_Вводные'!$B$218*'19_Расчет_аналитики'!BL560,MeanMinAge21)))</f>
        <v/>
      </c>
      <c r="BM512">
        <f>IF(OR(('19_Расчет_аналитики'!BM428-'19_Расчет_аналитики'!BM456)=0,21&lt;='01_Вводные'!$B$297),0,('19_Расчет_аналитики'!BM428-'19_Расчет_аналитики'!BM456)*IF('01_Вводные'!$B$239="Да",MeanMinAge21+'19_Расчет_аналитики'!BM560*SUMIF(ThresholdAge21,"&lt;"&amp;'19_Расчет_аналитики'!BM560,WeightedRevAge21)-SUMIF(ThresholdAge21,"&lt;"&amp;'19_Расчет_аналитики'!BM560,WeightedMinAge21),MAX(CapacityAge21*'01_Вводные'!$B$218*'19_Расчет_аналитики'!BM560,MeanMinAge21)))</f>
        <v/>
      </c>
      <c r="BN512">
        <f>IF(OR(('19_Расчет_аналитики'!BN428-'19_Расчет_аналитики'!BN456)=0,21&lt;='01_Вводные'!$B$297),0,('19_Расчет_аналитики'!BN428-'19_Расчет_аналитики'!BN456)*IF('01_Вводные'!$B$239="Да",MeanMinAge21+'19_Расчет_аналитики'!BN560*SUMIF(ThresholdAge21,"&lt;"&amp;'19_Расчет_аналитики'!BN560,WeightedRevAge21)-SUMIF(ThresholdAge21,"&lt;"&amp;'19_Расчет_аналитики'!BN560,WeightedMinAge21),MAX(CapacityAge21*'01_Вводные'!$B$218*'19_Расчет_аналитики'!BN560,MeanMinAge21)))</f>
        <v/>
      </c>
      <c r="BO512">
        <f>IF(OR(('19_Расчет_аналитики'!BO428-'19_Расчет_аналитики'!BO456)=0,21&lt;='01_Вводные'!$B$297),0,('19_Расчет_аналитики'!BO428-'19_Расчет_аналитики'!BO456)*IF('01_Вводные'!$B$239="Да",MeanMinAge21+'19_Расчет_аналитики'!BO560*SUMIF(ThresholdAge21,"&lt;"&amp;'19_Расчет_аналитики'!BO560,WeightedRevAge21)-SUMIF(ThresholdAge21,"&lt;"&amp;'19_Расчет_аналитики'!BO560,WeightedMinAge21),MAX(CapacityAge21*'01_Вводные'!$B$218*'19_Расчет_аналитики'!BO560,MeanMinAge21)))</f>
        <v/>
      </c>
    </row>
    <row r="513">
      <c r="B513">
        <f>IF(OR(('06_Сеть_и_дети'!B74-'06_Сеть_и_дети'!B102)=0,22&lt;='01_Вводные'!$B$297),0,('06_Сеть_и_дети'!B74-'06_Сеть_и_дети'!B102)*IF('01_Вводные'!$B$239="Да",MeanMinAge22+'19_Расчет_аналитики'!B560*SUMIF(ThresholdAge22,"&lt;"&amp;'19_Расчет_аналитики'!B560,WeightedRevAge22)-SUMIF(ThresholdAge22,"&lt;"&amp;'19_Расчет_аналитики'!B560,WeightedMinAge22),MAX(CapacityAge22*'01_Вводные'!$B$218*'19_Расчет_аналитики'!B560,MeanMinAge22)))</f>
        <v/>
      </c>
      <c r="C513">
        <f>IF(OR(('06_Сеть_и_дети'!C74-'06_Сеть_и_дети'!C102)=0,22&lt;='01_Вводные'!$B$297),0,('06_Сеть_и_дети'!C74-'06_Сеть_и_дети'!C102)*IF('01_Вводные'!$B$239="Да",MeanMinAge22+'19_Расчет_аналитики'!C560*SUMIF(ThresholdAge22,"&lt;"&amp;'19_Расчет_аналитики'!C560,WeightedRevAge22)-SUMIF(ThresholdAge22,"&lt;"&amp;'19_Расчет_аналитики'!C560,WeightedMinAge22),MAX(CapacityAge22*'01_Вводные'!$B$218*'19_Расчет_аналитики'!C560,MeanMinAge22)))</f>
        <v/>
      </c>
      <c r="D513">
        <f>IF(OR(('06_Сеть_и_дети'!D74-'06_Сеть_и_дети'!D102)=0,22&lt;='01_Вводные'!$B$297),0,('06_Сеть_и_дети'!D74-'06_Сеть_и_дети'!D102)*IF('01_Вводные'!$B$239="Да",MeanMinAge22+'19_Расчет_аналитики'!D560*SUMIF(ThresholdAge22,"&lt;"&amp;'19_Расчет_аналитики'!D560,WeightedRevAge22)-SUMIF(ThresholdAge22,"&lt;"&amp;'19_Расчет_аналитики'!D560,WeightedMinAge22),MAX(CapacityAge22*'01_Вводные'!$B$218*'19_Расчет_аналитики'!D560,MeanMinAge22)))</f>
        <v/>
      </c>
      <c r="E513">
        <f>IF(OR(('06_Сеть_и_дети'!E74-'06_Сеть_и_дети'!E102)=0,22&lt;='01_Вводные'!$B$297),0,('06_Сеть_и_дети'!E74-'06_Сеть_и_дети'!E102)*IF('01_Вводные'!$B$239="Да",MeanMinAge22+'19_Расчет_аналитики'!E560*SUMIF(ThresholdAge22,"&lt;"&amp;'19_Расчет_аналитики'!E560,WeightedRevAge22)-SUMIF(ThresholdAge22,"&lt;"&amp;'19_Расчет_аналитики'!E560,WeightedMinAge22),MAX(CapacityAge22*'01_Вводные'!$B$218*'19_Расчет_аналитики'!E560,MeanMinAge22)))</f>
        <v/>
      </c>
      <c r="F513">
        <f>IF(OR(('06_Сеть_и_дети'!F74-'06_Сеть_и_дети'!F102)=0,22&lt;='01_Вводные'!$B$297),0,('06_Сеть_и_дети'!F74-'06_Сеть_и_дети'!F102)*IF('01_Вводные'!$B$239="Да",MeanMinAge22+'19_Расчет_аналитики'!F560*SUMIF(ThresholdAge22,"&lt;"&amp;'19_Расчет_аналитики'!F560,WeightedRevAge22)-SUMIF(ThresholdAge22,"&lt;"&amp;'19_Расчет_аналитики'!F560,WeightedMinAge22),MAX(CapacityAge22*'01_Вводные'!$B$218*'19_Расчет_аналитики'!F560,MeanMinAge22)))</f>
        <v/>
      </c>
      <c r="G513">
        <f>IF(OR(('06_Сеть_и_дети'!G74-'06_Сеть_и_дети'!G102)=0,22&lt;='01_Вводные'!$B$297),0,('06_Сеть_и_дети'!G74-'06_Сеть_и_дети'!G102)*IF('01_Вводные'!$B$239="Да",MeanMinAge22+'19_Расчет_аналитики'!G560*SUMIF(ThresholdAge22,"&lt;"&amp;'19_Расчет_аналитики'!G560,WeightedRevAge22)-SUMIF(ThresholdAge22,"&lt;"&amp;'19_Расчет_аналитики'!G560,WeightedMinAge22),MAX(CapacityAge22*'01_Вводные'!$B$218*'19_Расчет_аналитики'!G560,MeanMinAge22)))</f>
        <v/>
      </c>
      <c r="H513">
        <f>IF(OR(('06_Сеть_и_дети'!H74-'06_Сеть_и_дети'!H102)=0,22&lt;='01_Вводные'!$B$297),0,('06_Сеть_и_дети'!H74-'06_Сеть_и_дети'!H102)*IF('01_Вводные'!$B$239="Да",MeanMinAge22+'19_Расчет_аналитики'!H560*SUMIF(ThresholdAge22,"&lt;"&amp;'19_Расчет_аналитики'!H560,WeightedRevAge22)-SUMIF(ThresholdAge22,"&lt;"&amp;'19_Расчет_аналитики'!H560,WeightedMinAge22),MAX(CapacityAge22*'01_Вводные'!$B$218*'19_Расчет_аналитики'!H560,MeanMinAge22)))</f>
        <v/>
      </c>
      <c r="I513">
        <f>IF(OR(('06_Сеть_и_дети'!I74-'06_Сеть_и_дети'!I102)=0,22&lt;='01_Вводные'!$B$297),0,('06_Сеть_и_дети'!I74-'06_Сеть_и_дети'!I102)*IF('01_Вводные'!$B$239="Да",MeanMinAge22+'19_Расчет_аналитики'!I560*SUMIF(ThresholdAge22,"&lt;"&amp;'19_Расчет_аналитики'!I560,WeightedRevAge22)-SUMIF(ThresholdAge22,"&lt;"&amp;'19_Расчет_аналитики'!I560,WeightedMinAge22),MAX(CapacityAge22*'01_Вводные'!$B$218*'19_Расчет_аналитики'!I560,MeanMinAge22)))</f>
        <v/>
      </c>
      <c r="J513">
        <f>IF(OR(('06_Сеть_и_дети'!J74-'06_Сеть_и_дети'!J102)=0,22&lt;='01_Вводные'!$B$297),0,('06_Сеть_и_дети'!J74-'06_Сеть_и_дети'!J102)*IF('01_Вводные'!$B$239="Да",MeanMinAge22+'19_Расчет_аналитики'!J560*SUMIF(ThresholdAge22,"&lt;"&amp;'19_Расчет_аналитики'!J560,WeightedRevAge22)-SUMIF(ThresholdAge22,"&lt;"&amp;'19_Расчет_аналитики'!J560,WeightedMinAge22),MAX(CapacityAge22*'01_Вводные'!$B$218*'19_Расчет_аналитики'!J560,MeanMinAge22)))</f>
        <v/>
      </c>
      <c r="K513">
        <f>IF(OR(('06_Сеть_и_дети'!K74-'06_Сеть_и_дети'!K102)=0,22&lt;='01_Вводные'!$B$297),0,('06_Сеть_и_дети'!K74-'06_Сеть_и_дети'!K102)*IF('01_Вводные'!$B$239="Да",MeanMinAge22+'19_Расчет_аналитики'!K560*SUMIF(ThresholdAge22,"&lt;"&amp;'19_Расчет_аналитики'!K560,WeightedRevAge22)-SUMIF(ThresholdAge22,"&lt;"&amp;'19_Расчет_аналитики'!K560,WeightedMinAge22),MAX(CapacityAge22*'01_Вводные'!$B$218*'19_Расчет_аналитики'!K560,MeanMinAge22)))</f>
        <v/>
      </c>
      <c r="L513">
        <f>IF(OR(('06_Сеть_и_дети'!L74-'06_Сеть_и_дети'!L102)=0,22&lt;='01_Вводные'!$B$297),0,('06_Сеть_и_дети'!L74-'06_Сеть_и_дети'!L102)*IF('01_Вводные'!$B$239="Да",MeanMinAge22+'19_Расчет_аналитики'!L560*SUMIF(ThresholdAge22,"&lt;"&amp;'19_Расчет_аналитики'!L560,WeightedRevAge22)-SUMIF(ThresholdAge22,"&lt;"&amp;'19_Расчет_аналитики'!L560,WeightedMinAge22),MAX(CapacityAge22*'01_Вводные'!$B$218*'19_Расчет_аналитики'!L560,MeanMinAge22)))</f>
        <v/>
      </c>
      <c r="M513">
        <f>IF(OR(('06_Сеть_и_дети'!M74-'06_Сеть_и_дети'!M102)=0,22&lt;='01_Вводные'!$B$297),0,('06_Сеть_и_дети'!M74-'06_Сеть_и_дети'!M102)*IF('01_Вводные'!$B$239="Да",MeanMinAge22+'19_Расчет_аналитики'!M560*SUMIF(ThresholdAge22,"&lt;"&amp;'19_Расчет_аналитики'!M560,WeightedRevAge22)-SUMIF(ThresholdAge22,"&lt;"&amp;'19_Расчет_аналитики'!M560,WeightedMinAge22),MAX(CapacityAge22*'01_Вводные'!$B$218*'19_Расчет_аналитики'!M560,MeanMinAge22)))</f>
        <v/>
      </c>
      <c r="N513">
        <f>IF(OR(('06_Сеть_и_дети'!N74-'06_Сеть_и_дети'!N102)=0,22&lt;='01_Вводные'!$B$297),0,('06_Сеть_и_дети'!N74-'06_Сеть_и_дети'!N102)*IF('01_Вводные'!$B$239="Да",MeanMinAge22+'19_Расчет_аналитики'!N560*SUMIF(ThresholdAge22,"&lt;"&amp;'19_Расчет_аналитики'!N560,WeightedRevAge22)-SUMIF(ThresholdAge22,"&lt;"&amp;'19_Расчет_аналитики'!N560,WeightedMinAge22),MAX(CapacityAge22*'01_Вводные'!$B$218*'19_Расчет_аналитики'!N560,MeanMinAge22)))</f>
        <v/>
      </c>
      <c r="O513">
        <f>IF(OR(('06_Сеть_и_дети'!O74-'06_Сеть_и_дети'!O102)=0,22&lt;='01_Вводные'!$B$297),0,('06_Сеть_и_дети'!O74-'06_Сеть_и_дети'!O102)*IF('01_Вводные'!$B$239="Да",MeanMinAge22+'19_Расчет_аналитики'!O560*SUMIF(ThresholdAge22,"&lt;"&amp;'19_Расчет_аналитики'!O560,WeightedRevAge22)-SUMIF(ThresholdAge22,"&lt;"&amp;'19_Расчет_аналитики'!O560,WeightedMinAge22),MAX(CapacityAge22*'01_Вводные'!$B$218*'19_Расчет_аналитики'!O560,MeanMinAge22)))</f>
        <v/>
      </c>
      <c r="P513">
        <f>IF(OR(('06_Сеть_и_дети'!P74-'06_Сеть_и_дети'!P102)=0,22&lt;='01_Вводные'!$B$297),0,('06_Сеть_и_дети'!P74-'06_Сеть_и_дети'!P102)*IF('01_Вводные'!$B$239="Да",MeanMinAge22+'19_Расчет_аналитики'!P560*SUMIF(ThresholdAge22,"&lt;"&amp;'19_Расчет_аналитики'!P560,WeightedRevAge22)-SUMIF(ThresholdAge22,"&lt;"&amp;'19_Расчет_аналитики'!P560,WeightedMinAge22),MAX(CapacityAge22*'01_Вводные'!$B$218*'19_Расчет_аналитики'!P560,MeanMinAge22)))</f>
        <v/>
      </c>
      <c r="Q513">
        <f>IF(OR(('06_Сеть_и_дети'!Q74-'06_Сеть_и_дети'!Q102)=0,22&lt;='01_Вводные'!$B$297),0,('06_Сеть_и_дети'!Q74-'06_Сеть_и_дети'!Q102)*IF('01_Вводные'!$B$239="Да",MeanMinAge22+'19_Расчет_аналитики'!Q560*SUMIF(ThresholdAge22,"&lt;"&amp;'19_Расчет_аналитики'!Q560,WeightedRevAge22)-SUMIF(ThresholdAge22,"&lt;"&amp;'19_Расчет_аналитики'!Q560,WeightedMinAge22),MAX(CapacityAge22*'01_Вводные'!$B$218*'19_Расчет_аналитики'!Q560,MeanMinAge22)))</f>
        <v/>
      </c>
      <c r="R513">
        <f>IF(OR(('06_Сеть_и_дети'!R74-'06_Сеть_и_дети'!R102)=0,22&lt;='01_Вводные'!$B$297),0,('06_Сеть_и_дети'!R74-'06_Сеть_и_дети'!R102)*IF('01_Вводные'!$B$239="Да",MeanMinAge22+'19_Расчет_аналитики'!R560*SUMIF(ThresholdAge22,"&lt;"&amp;'19_Расчет_аналитики'!R560,WeightedRevAge22)-SUMIF(ThresholdAge22,"&lt;"&amp;'19_Расчет_аналитики'!R560,WeightedMinAge22),MAX(CapacityAge22*'01_Вводные'!$B$218*'19_Расчет_аналитики'!R560,MeanMinAge22)))</f>
        <v/>
      </c>
      <c r="S513">
        <f>IF(OR(('06_Сеть_и_дети'!S74-'06_Сеть_и_дети'!S102)=0,22&lt;='01_Вводные'!$B$297),0,('06_Сеть_и_дети'!S74-'06_Сеть_и_дети'!S102)*IF('01_Вводные'!$B$239="Да",MeanMinAge22+'19_Расчет_аналитики'!S560*SUMIF(ThresholdAge22,"&lt;"&amp;'19_Расчет_аналитики'!S560,WeightedRevAge22)-SUMIF(ThresholdAge22,"&lt;"&amp;'19_Расчет_аналитики'!S560,WeightedMinAge22),MAX(CapacityAge22*'01_Вводные'!$B$218*'19_Расчет_аналитики'!S560,MeanMinAge22)))</f>
        <v/>
      </c>
      <c r="T513">
        <f>IF(OR(('06_Сеть_и_дети'!T74-'06_Сеть_и_дети'!T102)=0,22&lt;='01_Вводные'!$B$297),0,('06_Сеть_и_дети'!T74-'06_Сеть_и_дети'!T102)*IF('01_Вводные'!$B$239="Да",MeanMinAge22+'19_Расчет_аналитики'!T560*SUMIF(ThresholdAge22,"&lt;"&amp;'19_Расчет_аналитики'!T560,WeightedRevAge22)-SUMIF(ThresholdAge22,"&lt;"&amp;'19_Расчет_аналитики'!T560,WeightedMinAge22),MAX(CapacityAge22*'01_Вводные'!$B$218*'19_Расчет_аналитики'!T560,MeanMinAge22)))</f>
        <v/>
      </c>
      <c r="U513">
        <f>IF(OR(('06_Сеть_и_дети'!U74-'06_Сеть_и_дети'!U102)=0,22&lt;='01_Вводные'!$B$297),0,('06_Сеть_и_дети'!U74-'06_Сеть_и_дети'!U102)*IF('01_Вводные'!$B$239="Да",MeanMinAge22+'19_Расчет_аналитики'!U560*SUMIF(ThresholdAge22,"&lt;"&amp;'19_Расчет_аналитики'!U560,WeightedRevAge22)-SUMIF(ThresholdAge22,"&lt;"&amp;'19_Расчет_аналитики'!U560,WeightedMinAge22),MAX(CapacityAge22*'01_Вводные'!$B$218*'19_Расчет_аналитики'!U560,MeanMinAge22)))</f>
        <v/>
      </c>
      <c r="V513">
        <f>IF(OR(('06_Сеть_и_дети'!V74-'06_Сеть_и_дети'!V102)=0,22&lt;='01_Вводные'!$B$297),0,('06_Сеть_и_дети'!V74-'06_Сеть_и_дети'!V102)*IF('01_Вводные'!$B$239="Да",MeanMinAge22+'19_Расчет_аналитики'!V560*SUMIF(ThresholdAge22,"&lt;"&amp;'19_Расчет_аналитики'!V560,WeightedRevAge22)-SUMIF(ThresholdAge22,"&lt;"&amp;'19_Расчет_аналитики'!V560,WeightedMinAge22),MAX(CapacityAge22*'01_Вводные'!$B$218*'19_Расчет_аналитики'!V560,MeanMinAge22)))</f>
        <v/>
      </c>
      <c r="W513">
        <f>IF(OR(('19_Расчет_аналитики'!W429-'19_Расчет_аналитики'!W457)=0,22&lt;='01_Вводные'!$B$297),0,('19_Расчет_аналитики'!W429-'19_Расчет_аналитики'!W457)*IF('01_Вводные'!$B$239="Да",MeanMinAge22+'19_Расчет_аналитики'!W560*SUMIF(ThresholdAge22,"&lt;"&amp;'19_Расчет_аналитики'!W560,WeightedRevAge22)-SUMIF(ThresholdAge22,"&lt;"&amp;'19_Расчет_аналитики'!W560,WeightedMinAge22),MAX(CapacityAge22*'01_Вводные'!$B$218*'19_Расчет_аналитики'!W560,MeanMinAge22)))</f>
        <v/>
      </c>
      <c r="X513">
        <f>IF(OR(('19_Расчет_аналитики'!X429-'19_Расчет_аналитики'!X457)=0,22&lt;='01_Вводные'!$B$297),0,('19_Расчет_аналитики'!X429-'19_Расчет_аналитики'!X457)*IF('01_Вводные'!$B$239="Да",MeanMinAge22+'19_Расчет_аналитики'!X560*SUMIF(ThresholdAge22,"&lt;"&amp;'19_Расчет_аналитики'!X560,WeightedRevAge22)-SUMIF(ThresholdAge22,"&lt;"&amp;'19_Расчет_аналитики'!X560,WeightedMinAge22),MAX(CapacityAge22*'01_Вводные'!$B$218*'19_Расчет_аналитики'!X560,MeanMinAge22)))</f>
        <v/>
      </c>
      <c r="Y513">
        <f>IF(OR(('19_Расчет_аналитики'!Y429-'19_Расчет_аналитики'!Y457)=0,22&lt;='01_Вводные'!$B$297),0,('19_Расчет_аналитики'!Y429-'19_Расчет_аналитики'!Y457)*IF('01_Вводные'!$B$239="Да",MeanMinAge22+'19_Расчет_аналитики'!Y560*SUMIF(ThresholdAge22,"&lt;"&amp;'19_Расчет_аналитики'!Y560,WeightedRevAge22)-SUMIF(ThresholdAge22,"&lt;"&amp;'19_Расчет_аналитики'!Y560,WeightedMinAge22),MAX(CapacityAge22*'01_Вводные'!$B$218*'19_Расчет_аналитики'!Y560,MeanMinAge22)))</f>
        <v/>
      </c>
      <c r="Z513">
        <f>IF(OR(('19_Расчет_аналитики'!Z429-'19_Расчет_аналитики'!Z457)=0,22&lt;='01_Вводные'!$B$297),0,('19_Расчет_аналитики'!Z429-'19_Расчет_аналитики'!Z457)*IF('01_Вводные'!$B$239="Да",MeanMinAge22+'19_Расчет_аналитики'!Z560*SUMIF(ThresholdAge22,"&lt;"&amp;'19_Расчет_аналитики'!Z560,WeightedRevAge22)-SUMIF(ThresholdAge22,"&lt;"&amp;'19_Расчет_аналитики'!Z560,WeightedMinAge22),MAX(CapacityAge22*'01_Вводные'!$B$218*'19_Расчет_аналитики'!Z560,MeanMinAge22)))</f>
        <v/>
      </c>
      <c r="AA513">
        <f>IF(OR(('19_Расчет_аналитики'!AA429-'19_Расчет_аналитики'!AA457)=0,22&lt;='01_Вводные'!$B$297),0,('19_Расчет_аналитики'!AA429-'19_Расчет_аналитики'!AA457)*IF('01_Вводные'!$B$239="Да",MeanMinAge22+'19_Расчет_аналитики'!AA560*SUMIF(ThresholdAge22,"&lt;"&amp;'19_Расчет_аналитики'!AA560,WeightedRevAge22)-SUMIF(ThresholdAge22,"&lt;"&amp;'19_Расчет_аналитики'!AA560,WeightedMinAge22),MAX(CapacityAge22*'01_Вводные'!$B$218*'19_Расчет_аналитики'!AA560,MeanMinAge22)))</f>
        <v/>
      </c>
      <c r="AB513">
        <f>IF(OR(('19_Расчет_аналитики'!AB429-'19_Расчет_аналитики'!AB457)=0,22&lt;='01_Вводные'!$B$297),0,('19_Расчет_аналитики'!AB429-'19_Расчет_аналитики'!AB457)*IF('01_Вводные'!$B$239="Да",MeanMinAge22+'19_Расчет_аналитики'!AB560*SUMIF(ThresholdAge22,"&lt;"&amp;'19_Расчет_аналитики'!AB560,WeightedRevAge22)-SUMIF(ThresholdAge22,"&lt;"&amp;'19_Расчет_аналитики'!AB560,WeightedMinAge22),MAX(CapacityAge22*'01_Вводные'!$B$218*'19_Расчет_аналитики'!AB560,MeanMinAge22)))</f>
        <v/>
      </c>
      <c r="AC513">
        <f>IF(OR(('19_Расчет_аналитики'!AC429-'19_Расчет_аналитики'!AC457)=0,22&lt;='01_Вводные'!$B$297),0,('19_Расчет_аналитики'!AC429-'19_Расчет_аналитики'!AC457)*IF('01_Вводные'!$B$239="Да",MeanMinAge22+'19_Расчет_аналитики'!AC560*SUMIF(ThresholdAge22,"&lt;"&amp;'19_Расчет_аналитики'!AC560,WeightedRevAge22)-SUMIF(ThresholdAge22,"&lt;"&amp;'19_Расчет_аналитики'!AC560,WeightedMinAge22),MAX(CapacityAge22*'01_Вводные'!$B$218*'19_Расчет_аналитики'!AC560,MeanMinAge22)))</f>
        <v/>
      </c>
      <c r="AD513">
        <f>IF(OR(('19_Расчет_аналитики'!AD429-'19_Расчет_аналитики'!AD457)=0,22&lt;='01_Вводные'!$B$297),0,('19_Расчет_аналитики'!AD429-'19_Расчет_аналитики'!AD457)*IF('01_Вводные'!$B$239="Да",MeanMinAge22+'19_Расчет_аналитики'!AD560*SUMIF(ThresholdAge22,"&lt;"&amp;'19_Расчет_аналитики'!AD560,WeightedRevAge22)-SUMIF(ThresholdAge22,"&lt;"&amp;'19_Расчет_аналитики'!AD560,WeightedMinAge22),MAX(CapacityAge22*'01_Вводные'!$B$218*'19_Расчет_аналитики'!AD560,MeanMinAge22)))</f>
        <v/>
      </c>
      <c r="AE513">
        <f>IF(OR(('19_Расчет_аналитики'!AE429-'19_Расчет_аналитики'!AE457)=0,22&lt;='01_Вводные'!$B$297),0,('19_Расчет_аналитики'!AE429-'19_Расчет_аналитики'!AE457)*IF('01_Вводные'!$B$239="Да",MeanMinAge22+'19_Расчет_аналитики'!AE560*SUMIF(ThresholdAge22,"&lt;"&amp;'19_Расчет_аналитики'!AE560,WeightedRevAge22)-SUMIF(ThresholdAge22,"&lt;"&amp;'19_Расчет_аналитики'!AE560,WeightedMinAge22),MAX(CapacityAge22*'01_Вводные'!$B$218*'19_Расчет_аналитики'!AE560,MeanMinAge22)))</f>
        <v/>
      </c>
      <c r="AF513">
        <f>IF(OR(('19_Расчет_аналитики'!AF429-'19_Расчет_аналитики'!AF457)=0,22&lt;='01_Вводные'!$B$297),0,('19_Расчет_аналитики'!AF429-'19_Расчет_аналитики'!AF457)*IF('01_Вводные'!$B$239="Да",MeanMinAge22+'19_Расчет_аналитики'!AF560*SUMIF(ThresholdAge22,"&lt;"&amp;'19_Расчет_аналитики'!AF560,WeightedRevAge22)-SUMIF(ThresholdAge22,"&lt;"&amp;'19_Расчет_аналитики'!AF560,WeightedMinAge22),MAX(CapacityAge22*'01_Вводные'!$B$218*'19_Расчет_аналитики'!AF560,MeanMinAge22)))</f>
        <v/>
      </c>
      <c r="AG513">
        <f>IF(OR(('19_Расчет_аналитики'!AG429-'19_Расчет_аналитики'!AG457)=0,22&lt;='01_Вводные'!$B$297),0,('19_Расчет_аналитики'!AG429-'19_Расчет_аналитики'!AG457)*IF('01_Вводные'!$B$239="Да",MeanMinAge22+'19_Расчет_аналитики'!AG560*SUMIF(ThresholdAge22,"&lt;"&amp;'19_Расчет_аналитики'!AG560,WeightedRevAge22)-SUMIF(ThresholdAge22,"&lt;"&amp;'19_Расчет_аналитики'!AG560,WeightedMinAge22),MAX(CapacityAge22*'01_Вводные'!$B$218*'19_Расчет_аналитики'!AG560,MeanMinAge22)))</f>
        <v/>
      </c>
      <c r="AH513">
        <f>IF(OR(('19_Расчет_аналитики'!AH429-'19_Расчет_аналитики'!AH457)=0,22&lt;='01_Вводные'!$B$297),0,('19_Расчет_аналитики'!AH429-'19_Расчет_аналитики'!AH457)*IF('01_Вводные'!$B$239="Да",MeanMinAge22+'19_Расчет_аналитики'!AH560*SUMIF(ThresholdAge22,"&lt;"&amp;'19_Расчет_аналитики'!AH560,WeightedRevAge22)-SUMIF(ThresholdAge22,"&lt;"&amp;'19_Расчет_аналитики'!AH560,WeightedMinAge22),MAX(CapacityAge22*'01_Вводные'!$B$218*'19_Расчет_аналитики'!AH560,MeanMinAge22)))</f>
        <v/>
      </c>
      <c r="AI513">
        <f>IF(OR(('19_Расчет_аналитики'!AI429-'19_Расчет_аналитики'!AI457)=0,22&lt;='01_Вводные'!$B$297),0,('19_Расчет_аналитики'!AI429-'19_Расчет_аналитики'!AI457)*IF('01_Вводные'!$B$239="Да",MeanMinAge22+'19_Расчет_аналитики'!AI560*SUMIF(ThresholdAge22,"&lt;"&amp;'19_Расчет_аналитики'!AI560,WeightedRevAge22)-SUMIF(ThresholdAge22,"&lt;"&amp;'19_Расчет_аналитики'!AI560,WeightedMinAge22),MAX(CapacityAge22*'01_Вводные'!$B$218*'19_Расчет_аналитики'!AI560,MeanMinAge22)))</f>
        <v/>
      </c>
      <c r="AJ513">
        <f>IF(OR(('19_Расчет_аналитики'!AJ429-'19_Расчет_аналитики'!AJ457)=0,22&lt;='01_Вводные'!$B$297),0,('19_Расчет_аналитики'!AJ429-'19_Расчет_аналитики'!AJ457)*IF('01_Вводные'!$B$239="Да",MeanMinAge22+'19_Расчет_аналитики'!AJ560*SUMIF(ThresholdAge22,"&lt;"&amp;'19_Расчет_аналитики'!AJ560,WeightedRevAge22)-SUMIF(ThresholdAge22,"&lt;"&amp;'19_Расчет_аналитики'!AJ560,WeightedMinAge22),MAX(CapacityAge22*'01_Вводные'!$B$218*'19_Расчет_аналитики'!AJ560,MeanMinAge22)))</f>
        <v/>
      </c>
      <c r="AK513">
        <f>IF(OR(('19_Расчет_аналитики'!AK429-'19_Расчет_аналитики'!AK457)=0,22&lt;='01_Вводные'!$B$297),0,('19_Расчет_аналитики'!AK429-'19_Расчет_аналитики'!AK457)*IF('01_Вводные'!$B$239="Да",MeanMinAge22+'19_Расчет_аналитики'!AK560*SUMIF(ThresholdAge22,"&lt;"&amp;'19_Расчет_аналитики'!AK560,WeightedRevAge22)-SUMIF(ThresholdAge22,"&lt;"&amp;'19_Расчет_аналитики'!AK560,WeightedMinAge22),MAX(CapacityAge22*'01_Вводные'!$B$218*'19_Расчет_аналитики'!AK560,MeanMinAge22)))</f>
        <v/>
      </c>
      <c r="AL513">
        <f>IF(OR(('19_Расчет_аналитики'!AL429-'19_Расчет_аналитики'!AL457)=0,22&lt;='01_Вводные'!$B$297),0,('19_Расчет_аналитики'!AL429-'19_Расчет_аналитики'!AL457)*IF('01_Вводные'!$B$239="Да",MeanMinAge22+'19_Расчет_аналитики'!AL560*SUMIF(ThresholdAge22,"&lt;"&amp;'19_Расчет_аналитики'!AL560,WeightedRevAge22)-SUMIF(ThresholdAge22,"&lt;"&amp;'19_Расчет_аналитики'!AL560,WeightedMinAge22),MAX(CapacityAge22*'01_Вводные'!$B$218*'19_Расчет_аналитики'!AL560,MeanMinAge22)))</f>
        <v/>
      </c>
      <c r="AM513">
        <f>IF(OR(('19_Расчет_аналитики'!AM429-'19_Расчет_аналитики'!AM457)=0,22&lt;='01_Вводные'!$B$297),0,('19_Расчет_аналитики'!AM429-'19_Расчет_аналитики'!AM457)*IF('01_Вводные'!$B$239="Да",MeanMinAge22+'19_Расчет_аналитики'!AM560*SUMIF(ThresholdAge22,"&lt;"&amp;'19_Расчет_аналитики'!AM560,WeightedRevAge22)-SUMIF(ThresholdAge22,"&lt;"&amp;'19_Расчет_аналитики'!AM560,WeightedMinAge22),MAX(CapacityAge22*'01_Вводные'!$B$218*'19_Расчет_аналитики'!AM560,MeanMinAge22)))</f>
        <v/>
      </c>
      <c r="AN513">
        <f>IF(OR(('19_Расчет_аналитики'!AN429-'19_Расчет_аналитики'!AN457)=0,22&lt;='01_Вводные'!$B$297),0,('19_Расчет_аналитики'!AN429-'19_Расчет_аналитики'!AN457)*IF('01_Вводные'!$B$239="Да",MeanMinAge22+'19_Расчет_аналитики'!AN560*SUMIF(ThresholdAge22,"&lt;"&amp;'19_Расчет_аналитики'!AN560,WeightedRevAge22)-SUMIF(ThresholdAge22,"&lt;"&amp;'19_Расчет_аналитики'!AN560,WeightedMinAge22),MAX(CapacityAge22*'01_Вводные'!$B$218*'19_Расчет_аналитики'!AN560,MeanMinAge22)))</f>
        <v/>
      </c>
      <c r="AO513">
        <f>IF(OR(('19_Расчет_аналитики'!AO429-'19_Расчет_аналитики'!AO457)=0,22&lt;='01_Вводные'!$B$297),0,('19_Расчет_аналитики'!AO429-'19_Расчет_аналитики'!AO457)*IF('01_Вводные'!$B$239="Да",MeanMinAge22+'19_Расчет_аналитики'!AO560*SUMIF(ThresholdAge22,"&lt;"&amp;'19_Расчет_аналитики'!AO560,WeightedRevAge22)-SUMIF(ThresholdAge22,"&lt;"&amp;'19_Расчет_аналитики'!AO560,WeightedMinAge22),MAX(CapacityAge22*'01_Вводные'!$B$218*'19_Расчет_аналитики'!AO560,MeanMinAge22)))</f>
        <v/>
      </c>
      <c r="AP513">
        <f>IF(OR(('19_Расчет_аналитики'!AP429-'19_Расчет_аналитики'!AP457)=0,22&lt;='01_Вводные'!$B$297),0,('19_Расчет_аналитики'!AP429-'19_Расчет_аналитики'!AP457)*IF('01_Вводные'!$B$239="Да",MeanMinAge22+'19_Расчет_аналитики'!AP560*SUMIF(ThresholdAge22,"&lt;"&amp;'19_Расчет_аналитики'!AP560,WeightedRevAge22)-SUMIF(ThresholdAge22,"&lt;"&amp;'19_Расчет_аналитики'!AP560,WeightedMinAge22),MAX(CapacityAge22*'01_Вводные'!$B$218*'19_Расчет_аналитики'!AP560,MeanMinAge22)))</f>
        <v/>
      </c>
      <c r="AQ513">
        <f>IF(OR(('19_Расчет_аналитики'!AQ429-'19_Расчет_аналитики'!AQ457)=0,22&lt;='01_Вводные'!$B$297),0,('19_Расчет_аналитики'!AQ429-'19_Расчет_аналитики'!AQ457)*IF('01_Вводные'!$B$239="Да",MeanMinAge22+'19_Расчет_аналитики'!AQ560*SUMIF(ThresholdAge22,"&lt;"&amp;'19_Расчет_аналитики'!AQ560,WeightedRevAge22)-SUMIF(ThresholdAge22,"&lt;"&amp;'19_Расчет_аналитики'!AQ560,WeightedMinAge22),MAX(CapacityAge22*'01_Вводные'!$B$218*'19_Расчет_аналитики'!AQ560,MeanMinAge22)))</f>
        <v/>
      </c>
      <c r="AR513">
        <f>IF(OR(('19_Расчет_аналитики'!AR429-'19_Расчет_аналитики'!AR457)=0,22&lt;='01_Вводные'!$B$297),0,('19_Расчет_аналитики'!AR429-'19_Расчет_аналитики'!AR457)*IF('01_Вводные'!$B$239="Да",MeanMinAge22+'19_Расчет_аналитики'!AR560*SUMIF(ThresholdAge22,"&lt;"&amp;'19_Расчет_аналитики'!AR560,WeightedRevAge22)-SUMIF(ThresholdAge22,"&lt;"&amp;'19_Расчет_аналитики'!AR560,WeightedMinAge22),MAX(CapacityAge22*'01_Вводные'!$B$218*'19_Расчет_аналитики'!AR560,MeanMinAge22)))</f>
        <v/>
      </c>
      <c r="AS513">
        <f>IF(OR(('19_Расчет_аналитики'!AS429-'19_Расчет_аналитики'!AS457)=0,22&lt;='01_Вводные'!$B$297),0,('19_Расчет_аналитики'!AS429-'19_Расчет_аналитики'!AS457)*IF('01_Вводные'!$B$239="Да",MeanMinAge22+'19_Расчет_аналитики'!AS560*SUMIF(ThresholdAge22,"&lt;"&amp;'19_Расчет_аналитики'!AS560,WeightedRevAge22)-SUMIF(ThresholdAge22,"&lt;"&amp;'19_Расчет_аналитики'!AS560,WeightedMinAge22),MAX(CapacityAge22*'01_Вводные'!$B$218*'19_Расчет_аналитики'!AS560,MeanMinAge22)))</f>
        <v/>
      </c>
      <c r="AT513">
        <f>IF(OR(('19_Расчет_аналитики'!AT429-'19_Расчет_аналитики'!AT457)=0,22&lt;='01_Вводные'!$B$297),0,('19_Расчет_аналитики'!AT429-'19_Расчет_аналитики'!AT457)*IF('01_Вводные'!$B$239="Да",MeanMinAge22+'19_Расчет_аналитики'!AT560*SUMIF(ThresholdAge22,"&lt;"&amp;'19_Расчет_аналитики'!AT560,WeightedRevAge22)-SUMIF(ThresholdAge22,"&lt;"&amp;'19_Расчет_аналитики'!AT560,WeightedMinAge22),MAX(CapacityAge22*'01_Вводные'!$B$218*'19_Расчет_аналитики'!AT560,MeanMinAge22)))</f>
        <v/>
      </c>
      <c r="AU513">
        <f>IF(OR(('19_Расчет_аналитики'!AU429-'19_Расчет_аналитики'!AU457)=0,22&lt;='01_Вводные'!$B$297),0,('19_Расчет_аналитики'!AU429-'19_Расчет_аналитики'!AU457)*IF('01_Вводные'!$B$239="Да",MeanMinAge22+'19_Расчет_аналитики'!AU560*SUMIF(ThresholdAge22,"&lt;"&amp;'19_Расчет_аналитики'!AU560,WeightedRevAge22)-SUMIF(ThresholdAge22,"&lt;"&amp;'19_Расчет_аналитики'!AU560,WeightedMinAge22),MAX(CapacityAge22*'01_Вводные'!$B$218*'19_Расчет_аналитики'!AU560,MeanMinAge22)))</f>
        <v/>
      </c>
      <c r="AV513">
        <f>IF(OR(('19_Расчет_аналитики'!AV429-'19_Расчет_аналитики'!AV457)=0,22&lt;='01_Вводные'!$B$297),0,('19_Расчет_аналитики'!AV429-'19_Расчет_аналитики'!AV457)*IF('01_Вводные'!$B$239="Да",MeanMinAge22+'19_Расчет_аналитики'!AV560*SUMIF(ThresholdAge22,"&lt;"&amp;'19_Расчет_аналитики'!AV560,WeightedRevAge22)-SUMIF(ThresholdAge22,"&lt;"&amp;'19_Расчет_аналитики'!AV560,WeightedMinAge22),MAX(CapacityAge22*'01_Вводные'!$B$218*'19_Расчет_аналитики'!AV560,MeanMinAge22)))</f>
        <v/>
      </c>
      <c r="AW513">
        <f>IF(OR(('19_Расчет_аналитики'!AW429-'19_Расчет_аналитики'!AW457)=0,22&lt;='01_Вводные'!$B$297),0,('19_Расчет_аналитики'!AW429-'19_Расчет_аналитики'!AW457)*IF('01_Вводные'!$B$239="Да",MeanMinAge22+'19_Расчет_аналитики'!AW560*SUMIF(ThresholdAge22,"&lt;"&amp;'19_Расчет_аналитики'!AW560,WeightedRevAge22)-SUMIF(ThresholdAge22,"&lt;"&amp;'19_Расчет_аналитики'!AW560,WeightedMinAge22),MAX(CapacityAge22*'01_Вводные'!$B$218*'19_Расчет_аналитики'!AW560,MeanMinAge22)))</f>
        <v/>
      </c>
      <c r="AX513">
        <f>IF(OR(('19_Расчет_аналитики'!AX429-'19_Расчет_аналитики'!AX457)=0,22&lt;='01_Вводные'!$B$297),0,('19_Расчет_аналитики'!AX429-'19_Расчет_аналитики'!AX457)*IF('01_Вводные'!$B$239="Да",MeanMinAge22+'19_Расчет_аналитики'!AX560*SUMIF(ThresholdAge22,"&lt;"&amp;'19_Расчет_аналитики'!AX560,WeightedRevAge22)-SUMIF(ThresholdAge22,"&lt;"&amp;'19_Расчет_аналитики'!AX560,WeightedMinAge22),MAX(CapacityAge22*'01_Вводные'!$B$218*'19_Расчет_аналитики'!AX560,MeanMinAge22)))</f>
        <v/>
      </c>
      <c r="AY513">
        <f>IF(OR(('19_Расчет_аналитики'!AY429-'19_Расчет_аналитики'!AY457)=0,22&lt;='01_Вводные'!$B$297),0,('19_Расчет_аналитики'!AY429-'19_Расчет_аналитики'!AY457)*IF('01_Вводные'!$B$239="Да",MeanMinAge22+'19_Расчет_аналитики'!AY560*SUMIF(ThresholdAge22,"&lt;"&amp;'19_Расчет_аналитики'!AY560,WeightedRevAge22)-SUMIF(ThresholdAge22,"&lt;"&amp;'19_Расчет_аналитики'!AY560,WeightedMinAge22),MAX(CapacityAge22*'01_Вводные'!$B$218*'19_Расчет_аналитики'!AY560,MeanMinAge22)))</f>
        <v/>
      </c>
      <c r="AZ513">
        <f>IF(OR(('19_Расчет_аналитики'!AZ429-'19_Расчет_аналитики'!AZ457)=0,22&lt;='01_Вводные'!$B$297),0,('19_Расчет_аналитики'!AZ429-'19_Расчет_аналитики'!AZ457)*IF('01_Вводные'!$B$239="Да",MeanMinAge22+'19_Расчет_аналитики'!AZ560*SUMIF(ThresholdAge22,"&lt;"&amp;'19_Расчет_аналитики'!AZ560,WeightedRevAge22)-SUMIF(ThresholdAge22,"&lt;"&amp;'19_Расчет_аналитики'!AZ560,WeightedMinAge22),MAX(CapacityAge22*'01_Вводные'!$B$218*'19_Расчет_аналитики'!AZ560,MeanMinAge22)))</f>
        <v/>
      </c>
      <c r="BA513">
        <f>IF(OR(('19_Расчет_аналитики'!BA429-'19_Расчет_аналитики'!BA457)=0,22&lt;='01_Вводные'!$B$297),0,('19_Расчет_аналитики'!BA429-'19_Расчет_аналитики'!BA457)*IF('01_Вводные'!$B$239="Да",MeanMinAge22+'19_Расчет_аналитики'!BA560*SUMIF(ThresholdAge22,"&lt;"&amp;'19_Расчет_аналитики'!BA560,WeightedRevAge22)-SUMIF(ThresholdAge22,"&lt;"&amp;'19_Расчет_аналитики'!BA560,WeightedMinAge22),MAX(CapacityAge22*'01_Вводные'!$B$218*'19_Расчет_аналитики'!BA560,MeanMinAge22)))</f>
        <v/>
      </c>
      <c r="BB513">
        <f>IF(OR(('19_Расчет_аналитики'!BB429-'19_Расчет_аналитики'!BB457)=0,22&lt;='01_Вводные'!$B$297),0,('19_Расчет_аналитики'!BB429-'19_Расчет_аналитики'!BB457)*IF('01_Вводные'!$B$239="Да",MeanMinAge22+'19_Расчет_аналитики'!BB560*SUMIF(ThresholdAge22,"&lt;"&amp;'19_Расчет_аналитики'!BB560,WeightedRevAge22)-SUMIF(ThresholdAge22,"&lt;"&amp;'19_Расчет_аналитики'!BB560,WeightedMinAge22),MAX(CapacityAge22*'01_Вводные'!$B$218*'19_Расчет_аналитики'!BB560,MeanMinAge22)))</f>
        <v/>
      </c>
      <c r="BC513">
        <f>IF(OR(('19_Расчет_аналитики'!BC429-'19_Расчет_аналитики'!BC457)=0,22&lt;='01_Вводные'!$B$297),0,('19_Расчет_аналитики'!BC429-'19_Расчет_аналитики'!BC457)*IF('01_Вводные'!$B$239="Да",MeanMinAge22+'19_Расчет_аналитики'!BC560*SUMIF(ThresholdAge22,"&lt;"&amp;'19_Расчет_аналитики'!BC560,WeightedRevAge22)-SUMIF(ThresholdAge22,"&lt;"&amp;'19_Расчет_аналитики'!BC560,WeightedMinAge22),MAX(CapacityAge22*'01_Вводные'!$B$218*'19_Расчет_аналитики'!BC560,MeanMinAge22)))</f>
        <v/>
      </c>
      <c r="BD513">
        <f>IF(OR(('19_Расчет_аналитики'!BD429-'19_Расчет_аналитики'!BD457)=0,22&lt;='01_Вводные'!$B$297),0,('19_Расчет_аналитики'!BD429-'19_Расчет_аналитики'!BD457)*IF('01_Вводные'!$B$239="Да",MeanMinAge22+'19_Расчет_аналитики'!BD560*SUMIF(ThresholdAge22,"&lt;"&amp;'19_Расчет_аналитики'!BD560,WeightedRevAge22)-SUMIF(ThresholdAge22,"&lt;"&amp;'19_Расчет_аналитики'!BD560,WeightedMinAge22),MAX(CapacityAge22*'01_Вводные'!$B$218*'19_Расчет_аналитики'!BD560,MeanMinAge22)))</f>
        <v/>
      </c>
      <c r="BE513">
        <f>IF(OR(('19_Расчет_аналитики'!BE429-'19_Расчет_аналитики'!BE457)=0,22&lt;='01_Вводные'!$B$297),0,('19_Расчет_аналитики'!BE429-'19_Расчет_аналитики'!BE457)*IF('01_Вводные'!$B$239="Да",MeanMinAge22+'19_Расчет_аналитики'!BE560*SUMIF(ThresholdAge22,"&lt;"&amp;'19_Расчет_аналитики'!BE560,WeightedRevAge22)-SUMIF(ThresholdAge22,"&lt;"&amp;'19_Расчет_аналитики'!BE560,WeightedMinAge22),MAX(CapacityAge22*'01_Вводные'!$B$218*'19_Расчет_аналитики'!BE560,MeanMinAge22)))</f>
        <v/>
      </c>
      <c r="BF513">
        <f>IF(OR(('19_Расчет_аналитики'!BF429-'19_Расчет_аналитики'!BF457)=0,22&lt;='01_Вводные'!$B$297),0,('19_Расчет_аналитики'!BF429-'19_Расчет_аналитики'!BF457)*IF('01_Вводные'!$B$239="Да",MeanMinAge22+'19_Расчет_аналитики'!BF560*SUMIF(ThresholdAge22,"&lt;"&amp;'19_Расчет_аналитики'!BF560,WeightedRevAge22)-SUMIF(ThresholdAge22,"&lt;"&amp;'19_Расчет_аналитики'!BF560,WeightedMinAge22),MAX(CapacityAge22*'01_Вводные'!$B$218*'19_Расчет_аналитики'!BF560,MeanMinAge22)))</f>
        <v/>
      </c>
      <c r="BG513">
        <f>IF(OR(('19_Расчет_аналитики'!BG429-'19_Расчет_аналитики'!BG457)=0,22&lt;='01_Вводные'!$B$297),0,('19_Расчет_аналитики'!BG429-'19_Расчет_аналитики'!BG457)*IF('01_Вводные'!$B$239="Да",MeanMinAge22+'19_Расчет_аналитики'!BG560*SUMIF(ThresholdAge22,"&lt;"&amp;'19_Расчет_аналитики'!BG560,WeightedRevAge22)-SUMIF(ThresholdAge22,"&lt;"&amp;'19_Расчет_аналитики'!BG560,WeightedMinAge22),MAX(CapacityAge22*'01_Вводные'!$B$218*'19_Расчет_аналитики'!BG560,MeanMinAge22)))</f>
        <v/>
      </c>
      <c r="BH513">
        <f>IF(OR(('19_Расчет_аналитики'!BH429-'19_Расчет_аналитики'!BH457)=0,22&lt;='01_Вводные'!$B$297),0,('19_Расчет_аналитики'!BH429-'19_Расчет_аналитики'!BH457)*IF('01_Вводные'!$B$239="Да",MeanMinAge22+'19_Расчет_аналитики'!BH560*SUMIF(ThresholdAge22,"&lt;"&amp;'19_Расчет_аналитики'!BH560,WeightedRevAge22)-SUMIF(ThresholdAge22,"&lt;"&amp;'19_Расчет_аналитики'!BH560,WeightedMinAge22),MAX(CapacityAge22*'01_Вводные'!$B$218*'19_Расчет_аналитики'!BH560,MeanMinAge22)))</f>
        <v/>
      </c>
      <c r="BI513">
        <f>IF(OR(('19_Расчет_аналитики'!BI429-'19_Расчет_аналитики'!BI457)=0,22&lt;='01_Вводные'!$B$297),0,('19_Расчет_аналитики'!BI429-'19_Расчет_аналитики'!BI457)*IF('01_Вводные'!$B$239="Да",MeanMinAge22+'19_Расчет_аналитики'!BI560*SUMIF(ThresholdAge22,"&lt;"&amp;'19_Расчет_аналитики'!BI560,WeightedRevAge22)-SUMIF(ThresholdAge22,"&lt;"&amp;'19_Расчет_аналитики'!BI560,WeightedMinAge22),MAX(CapacityAge22*'01_Вводные'!$B$218*'19_Расчет_аналитики'!BI560,MeanMinAge22)))</f>
        <v/>
      </c>
      <c r="BJ513">
        <f>IF(OR(('19_Расчет_аналитики'!BJ429-'19_Расчет_аналитики'!BJ457)=0,22&lt;='01_Вводные'!$B$297),0,('19_Расчет_аналитики'!BJ429-'19_Расчет_аналитики'!BJ457)*IF('01_Вводные'!$B$239="Да",MeanMinAge22+'19_Расчет_аналитики'!BJ560*SUMIF(ThresholdAge22,"&lt;"&amp;'19_Расчет_аналитики'!BJ560,WeightedRevAge22)-SUMIF(ThresholdAge22,"&lt;"&amp;'19_Расчет_аналитики'!BJ560,WeightedMinAge22),MAX(CapacityAge22*'01_Вводные'!$B$218*'19_Расчет_аналитики'!BJ560,MeanMinAge22)))</f>
        <v/>
      </c>
      <c r="BK513">
        <f>IF(OR(('19_Расчет_аналитики'!BK429-'19_Расчет_аналитики'!BK457)=0,22&lt;='01_Вводные'!$B$297),0,('19_Расчет_аналитики'!BK429-'19_Расчет_аналитики'!BK457)*IF('01_Вводные'!$B$239="Да",MeanMinAge22+'19_Расчет_аналитики'!BK560*SUMIF(ThresholdAge22,"&lt;"&amp;'19_Расчет_аналитики'!BK560,WeightedRevAge22)-SUMIF(ThresholdAge22,"&lt;"&amp;'19_Расчет_аналитики'!BK560,WeightedMinAge22),MAX(CapacityAge22*'01_Вводные'!$B$218*'19_Расчет_аналитики'!BK560,MeanMinAge22)))</f>
        <v/>
      </c>
      <c r="BL513">
        <f>IF(OR(('19_Расчет_аналитики'!BL429-'19_Расчет_аналитики'!BL457)=0,22&lt;='01_Вводные'!$B$297),0,('19_Расчет_аналитики'!BL429-'19_Расчет_аналитики'!BL457)*IF('01_Вводные'!$B$239="Да",MeanMinAge22+'19_Расчет_аналитики'!BL560*SUMIF(ThresholdAge22,"&lt;"&amp;'19_Расчет_аналитики'!BL560,WeightedRevAge22)-SUMIF(ThresholdAge22,"&lt;"&amp;'19_Расчет_аналитики'!BL560,WeightedMinAge22),MAX(CapacityAge22*'01_Вводные'!$B$218*'19_Расчет_аналитики'!BL560,MeanMinAge22)))</f>
        <v/>
      </c>
      <c r="BM513">
        <f>IF(OR(('19_Расчет_аналитики'!BM429-'19_Расчет_аналитики'!BM457)=0,22&lt;='01_Вводные'!$B$297),0,('19_Расчет_аналитики'!BM429-'19_Расчет_аналитики'!BM457)*IF('01_Вводные'!$B$239="Да",MeanMinAge22+'19_Расчет_аналитики'!BM560*SUMIF(ThresholdAge22,"&lt;"&amp;'19_Расчет_аналитики'!BM560,WeightedRevAge22)-SUMIF(ThresholdAge22,"&lt;"&amp;'19_Расчет_аналитики'!BM560,WeightedMinAge22),MAX(CapacityAge22*'01_Вводные'!$B$218*'19_Расчет_аналитики'!BM560,MeanMinAge22)))</f>
        <v/>
      </c>
      <c r="BN513">
        <f>IF(OR(('19_Расчет_аналитики'!BN429-'19_Расчет_аналитики'!BN457)=0,22&lt;='01_Вводные'!$B$297),0,('19_Расчет_аналитики'!BN429-'19_Расчет_аналитики'!BN457)*IF('01_Вводные'!$B$239="Да",MeanMinAge22+'19_Расчет_аналитики'!BN560*SUMIF(ThresholdAge22,"&lt;"&amp;'19_Расчет_аналитики'!BN560,WeightedRevAge22)-SUMIF(ThresholdAge22,"&lt;"&amp;'19_Расчет_аналитики'!BN560,WeightedMinAge22),MAX(CapacityAge22*'01_Вводные'!$B$218*'19_Расчет_аналитики'!BN560,MeanMinAge22)))</f>
        <v/>
      </c>
      <c r="BO513">
        <f>IF(OR(('19_Расчет_аналитики'!BO429-'19_Расчет_аналитики'!BO457)=0,22&lt;='01_Вводные'!$B$297),0,('19_Расчет_аналитики'!BO429-'19_Расчет_аналитики'!BO457)*IF('01_Вводные'!$B$239="Да",MeanMinAge22+'19_Расчет_аналитики'!BO560*SUMIF(ThresholdAge22,"&lt;"&amp;'19_Расчет_аналитики'!BO560,WeightedRevAge22)-SUMIF(ThresholdAge22,"&lt;"&amp;'19_Расчет_аналитики'!BO560,WeightedMinAge22),MAX(CapacityAge22*'01_Вводные'!$B$218*'19_Расчет_аналитики'!BO560,MeanMinAge22)))</f>
        <v/>
      </c>
    </row>
    <row r="514">
      <c r="B514">
        <f>IF(OR(('06_Сеть_и_дети'!B75-'06_Сеть_и_дети'!B103)=0,23&lt;='01_Вводные'!$B$297),0,('06_Сеть_и_дети'!B75-'06_Сеть_и_дети'!B103)*IF('01_Вводные'!$B$239="Да",MeanMinAge23+'19_Расчет_аналитики'!B560*SUMIF(ThresholdAge23,"&lt;"&amp;'19_Расчет_аналитики'!B560,WeightedRevAge23)-SUMIF(ThresholdAge23,"&lt;"&amp;'19_Расчет_аналитики'!B560,WeightedMinAge23),MAX(CapacityAge23*'01_Вводные'!$B$218*'19_Расчет_аналитики'!B560,MeanMinAge23)))</f>
        <v/>
      </c>
      <c r="C514">
        <f>IF(OR(('06_Сеть_и_дети'!C75-'06_Сеть_и_дети'!C103)=0,23&lt;='01_Вводные'!$B$297),0,('06_Сеть_и_дети'!C75-'06_Сеть_и_дети'!C103)*IF('01_Вводные'!$B$239="Да",MeanMinAge23+'19_Расчет_аналитики'!C560*SUMIF(ThresholdAge23,"&lt;"&amp;'19_Расчет_аналитики'!C560,WeightedRevAge23)-SUMIF(ThresholdAge23,"&lt;"&amp;'19_Расчет_аналитики'!C560,WeightedMinAge23),MAX(CapacityAge23*'01_Вводные'!$B$218*'19_Расчет_аналитики'!C560,MeanMinAge23)))</f>
        <v/>
      </c>
      <c r="D514">
        <f>IF(OR(('06_Сеть_и_дети'!D75-'06_Сеть_и_дети'!D103)=0,23&lt;='01_Вводные'!$B$297),0,('06_Сеть_и_дети'!D75-'06_Сеть_и_дети'!D103)*IF('01_Вводные'!$B$239="Да",MeanMinAge23+'19_Расчет_аналитики'!D560*SUMIF(ThresholdAge23,"&lt;"&amp;'19_Расчет_аналитики'!D560,WeightedRevAge23)-SUMIF(ThresholdAge23,"&lt;"&amp;'19_Расчет_аналитики'!D560,WeightedMinAge23),MAX(CapacityAge23*'01_Вводные'!$B$218*'19_Расчет_аналитики'!D560,MeanMinAge23)))</f>
        <v/>
      </c>
      <c r="E514">
        <f>IF(OR(('06_Сеть_и_дети'!E75-'06_Сеть_и_дети'!E103)=0,23&lt;='01_Вводные'!$B$297),0,('06_Сеть_и_дети'!E75-'06_Сеть_и_дети'!E103)*IF('01_Вводные'!$B$239="Да",MeanMinAge23+'19_Расчет_аналитики'!E560*SUMIF(ThresholdAge23,"&lt;"&amp;'19_Расчет_аналитики'!E560,WeightedRevAge23)-SUMIF(ThresholdAge23,"&lt;"&amp;'19_Расчет_аналитики'!E560,WeightedMinAge23),MAX(CapacityAge23*'01_Вводные'!$B$218*'19_Расчет_аналитики'!E560,MeanMinAge23)))</f>
        <v/>
      </c>
      <c r="F514">
        <f>IF(OR(('06_Сеть_и_дети'!F75-'06_Сеть_и_дети'!F103)=0,23&lt;='01_Вводные'!$B$297),0,('06_Сеть_и_дети'!F75-'06_Сеть_и_дети'!F103)*IF('01_Вводные'!$B$239="Да",MeanMinAge23+'19_Расчет_аналитики'!F560*SUMIF(ThresholdAge23,"&lt;"&amp;'19_Расчет_аналитики'!F560,WeightedRevAge23)-SUMIF(ThresholdAge23,"&lt;"&amp;'19_Расчет_аналитики'!F560,WeightedMinAge23),MAX(CapacityAge23*'01_Вводные'!$B$218*'19_Расчет_аналитики'!F560,MeanMinAge23)))</f>
        <v/>
      </c>
      <c r="G514">
        <f>IF(OR(('06_Сеть_и_дети'!G75-'06_Сеть_и_дети'!G103)=0,23&lt;='01_Вводные'!$B$297),0,('06_Сеть_и_дети'!G75-'06_Сеть_и_дети'!G103)*IF('01_Вводные'!$B$239="Да",MeanMinAge23+'19_Расчет_аналитики'!G560*SUMIF(ThresholdAge23,"&lt;"&amp;'19_Расчет_аналитики'!G560,WeightedRevAge23)-SUMIF(ThresholdAge23,"&lt;"&amp;'19_Расчет_аналитики'!G560,WeightedMinAge23),MAX(CapacityAge23*'01_Вводные'!$B$218*'19_Расчет_аналитики'!G560,MeanMinAge23)))</f>
        <v/>
      </c>
      <c r="H514">
        <f>IF(OR(('06_Сеть_и_дети'!H75-'06_Сеть_и_дети'!H103)=0,23&lt;='01_Вводные'!$B$297),0,('06_Сеть_и_дети'!H75-'06_Сеть_и_дети'!H103)*IF('01_Вводные'!$B$239="Да",MeanMinAge23+'19_Расчет_аналитики'!H560*SUMIF(ThresholdAge23,"&lt;"&amp;'19_Расчет_аналитики'!H560,WeightedRevAge23)-SUMIF(ThresholdAge23,"&lt;"&amp;'19_Расчет_аналитики'!H560,WeightedMinAge23),MAX(CapacityAge23*'01_Вводные'!$B$218*'19_Расчет_аналитики'!H560,MeanMinAge23)))</f>
        <v/>
      </c>
      <c r="I514">
        <f>IF(OR(('06_Сеть_и_дети'!I75-'06_Сеть_и_дети'!I103)=0,23&lt;='01_Вводные'!$B$297),0,('06_Сеть_и_дети'!I75-'06_Сеть_и_дети'!I103)*IF('01_Вводные'!$B$239="Да",MeanMinAge23+'19_Расчет_аналитики'!I560*SUMIF(ThresholdAge23,"&lt;"&amp;'19_Расчет_аналитики'!I560,WeightedRevAge23)-SUMIF(ThresholdAge23,"&lt;"&amp;'19_Расчет_аналитики'!I560,WeightedMinAge23),MAX(CapacityAge23*'01_Вводные'!$B$218*'19_Расчет_аналитики'!I560,MeanMinAge23)))</f>
        <v/>
      </c>
      <c r="J514">
        <f>IF(OR(('06_Сеть_и_дети'!J75-'06_Сеть_и_дети'!J103)=0,23&lt;='01_Вводные'!$B$297),0,('06_Сеть_и_дети'!J75-'06_Сеть_и_дети'!J103)*IF('01_Вводные'!$B$239="Да",MeanMinAge23+'19_Расчет_аналитики'!J560*SUMIF(ThresholdAge23,"&lt;"&amp;'19_Расчет_аналитики'!J560,WeightedRevAge23)-SUMIF(ThresholdAge23,"&lt;"&amp;'19_Расчет_аналитики'!J560,WeightedMinAge23),MAX(CapacityAge23*'01_Вводные'!$B$218*'19_Расчет_аналитики'!J560,MeanMinAge23)))</f>
        <v/>
      </c>
      <c r="K514">
        <f>IF(OR(('06_Сеть_и_дети'!K75-'06_Сеть_и_дети'!K103)=0,23&lt;='01_Вводные'!$B$297),0,('06_Сеть_и_дети'!K75-'06_Сеть_и_дети'!K103)*IF('01_Вводные'!$B$239="Да",MeanMinAge23+'19_Расчет_аналитики'!K560*SUMIF(ThresholdAge23,"&lt;"&amp;'19_Расчет_аналитики'!K560,WeightedRevAge23)-SUMIF(ThresholdAge23,"&lt;"&amp;'19_Расчет_аналитики'!K560,WeightedMinAge23),MAX(CapacityAge23*'01_Вводные'!$B$218*'19_Расчет_аналитики'!K560,MeanMinAge23)))</f>
        <v/>
      </c>
      <c r="L514">
        <f>IF(OR(('06_Сеть_и_дети'!L75-'06_Сеть_и_дети'!L103)=0,23&lt;='01_Вводные'!$B$297),0,('06_Сеть_и_дети'!L75-'06_Сеть_и_дети'!L103)*IF('01_Вводные'!$B$239="Да",MeanMinAge23+'19_Расчет_аналитики'!L560*SUMIF(ThresholdAge23,"&lt;"&amp;'19_Расчет_аналитики'!L560,WeightedRevAge23)-SUMIF(ThresholdAge23,"&lt;"&amp;'19_Расчет_аналитики'!L560,WeightedMinAge23),MAX(CapacityAge23*'01_Вводные'!$B$218*'19_Расчет_аналитики'!L560,MeanMinAge23)))</f>
        <v/>
      </c>
      <c r="M514">
        <f>IF(OR(('06_Сеть_и_дети'!M75-'06_Сеть_и_дети'!M103)=0,23&lt;='01_Вводные'!$B$297),0,('06_Сеть_и_дети'!M75-'06_Сеть_и_дети'!M103)*IF('01_Вводные'!$B$239="Да",MeanMinAge23+'19_Расчет_аналитики'!M560*SUMIF(ThresholdAge23,"&lt;"&amp;'19_Расчет_аналитики'!M560,WeightedRevAge23)-SUMIF(ThresholdAge23,"&lt;"&amp;'19_Расчет_аналитики'!M560,WeightedMinAge23),MAX(CapacityAge23*'01_Вводные'!$B$218*'19_Расчет_аналитики'!M560,MeanMinAge23)))</f>
        <v/>
      </c>
      <c r="N514">
        <f>IF(OR(('06_Сеть_и_дети'!N75-'06_Сеть_и_дети'!N103)=0,23&lt;='01_Вводные'!$B$297),0,('06_Сеть_и_дети'!N75-'06_Сеть_и_дети'!N103)*IF('01_Вводные'!$B$239="Да",MeanMinAge23+'19_Расчет_аналитики'!N560*SUMIF(ThresholdAge23,"&lt;"&amp;'19_Расчет_аналитики'!N560,WeightedRevAge23)-SUMIF(ThresholdAge23,"&lt;"&amp;'19_Расчет_аналитики'!N560,WeightedMinAge23),MAX(CapacityAge23*'01_Вводные'!$B$218*'19_Расчет_аналитики'!N560,MeanMinAge23)))</f>
        <v/>
      </c>
      <c r="O514">
        <f>IF(OR(('06_Сеть_и_дети'!O75-'06_Сеть_и_дети'!O103)=0,23&lt;='01_Вводные'!$B$297),0,('06_Сеть_и_дети'!O75-'06_Сеть_и_дети'!O103)*IF('01_Вводные'!$B$239="Да",MeanMinAge23+'19_Расчет_аналитики'!O560*SUMIF(ThresholdAge23,"&lt;"&amp;'19_Расчет_аналитики'!O560,WeightedRevAge23)-SUMIF(ThresholdAge23,"&lt;"&amp;'19_Расчет_аналитики'!O560,WeightedMinAge23),MAX(CapacityAge23*'01_Вводные'!$B$218*'19_Расчет_аналитики'!O560,MeanMinAge23)))</f>
        <v/>
      </c>
      <c r="P514">
        <f>IF(OR(('06_Сеть_и_дети'!P75-'06_Сеть_и_дети'!P103)=0,23&lt;='01_Вводные'!$B$297),0,('06_Сеть_и_дети'!P75-'06_Сеть_и_дети'!P103)*IF('01_Вводные'!$B$239="Да",MeanMinAge23+'19_Расчет_аналитики'!P560*SUMIF(ThresholdAge23,"&lt;"&amp;'19_Расчет_аналитики'!P560,WeightedRevAge23)-SUMIF(ThresholdAge23,"&lt;"&amp;'19_Расчет_аналитики'!P560,WeightedMinAge23),MAX(CapacityAge23*'01_Вводные'!$B$218*'19_Расчет_аналитики'!P560,MeanMinAge23)))</f>
        <v/>
      </c>
      <c r="Q514">
        <f>IF(OR(('06_Сеть_и_дети'!Q75-'06_Сеть_и_дети'!Q103)=0,23&lt;='01_Вводные'!$B$297),0,('06_Сеть_и_дети'!Q75-'06_Сеть_и_дети'!Q103)*IF('01_Вводные'!$B$239="Да",MeanMinAge23+'19_Расчет_аналитики'!Q560*SUMIF(ThresholdAge23,"&lt;"&amp;'19_Расчет_аналитики'!Q560,WeightedRevAge23)-SUMIF(ThresholdAge23,"&lt;"&amp;'19_Расчет_аналитики'!Q560,WeightedMinAge23),MAX(CapacityAge23*'01_Вводные'!$B$218*'19_Расчет_аналитики'!Q560,MeanMinAge23)))</f>
        <v/>
      </c>
      <c r="R514">
        <f>IF(OR(('06_Сеть_и_дети'!R75-'06_Сеть_и_дети'!R103)=0,23&lt;='01_Вводные'!$B$297),0,('06_Сеть_и_дети'!R75-'06_Сеть_и_дети'!R103)*IF('01_Вводные'!$B$239="Да",MeanMinAge23+'19_Расчет_аналитики'!R560*SUMIF(ThresholdAge23,"&lt;"&amp;'19_Расчет_аналитики'!R560,WeightedRevAge23)-SUMIF(ThresholdAge23,"&lt;"&amp;'19_Расчет_аналитики'!R560,WeightedMinAge23),MAX(CapacityAge23*'01_Вводные'!$B$218*'19_Расчет_аналитики'!R560,MeanMinAge23)))</f>
        <v/>
      </c>
      <c r="S514">
        <f>IF(OR(('06_Сеть_и_дети'!S75-'06_Сеть_и_дети'!S103)=0,23&lt;='01_Вводные'!$B$297),0,('06_Сеть_и_дети'!S75-'06_Сеть_и_дети'!S103)*IF('01_Вводные'!$B$239="Да",MeanMinAge23+'19_Расчет_аналитики'!S560*SUMIF(ThresholdAge23,"&lt;"&amp;'19_Расчет_аналитики'!S560,WeightedRevAge23)-SUMIF(ThresholdAge23,"&lt;"&amp;'19_Расчет_аналитики'!S560,WeightedMinAge23),MAX(CapacityAge23*'01_Вводные'!$B$218*'19_Расчет_аналитики'!S560,MeanMinAge23)))</f>
        <v/>
      </c>
      <c r="T514">
        <f>IF(OR(('06_Сеть_и_дети'!T75-'06_Сеть_и_дети'!T103)=0,23&lt;='01_Вводные'!$B$297),0,('06_Сеть_и_дети'!T75-'06_Сеть_и_дети'!T103)*IF('01_Вводные'!$B$239="Да",MeanMinAge23+'19_Расчет_аналитики'!T560*SUMIF(ThresholdAge23,"&lt;"&amp;'19_Расчет_аналитики'!T560,WeightedRevAge23)-SUMIF(ThresholdAge23,"&lt;"&amp;'19_Расчет_аналитики'!T560,WeightedMinAge23),MAX(CapacityAge23*'01_Вводные'!$B$218*'19_Расчет_аналитики'!T560,MeanMinAge23)))</f>
        <v/>
      </c>
      <c r="U514">
        <f>IF(OR(('06_Сеть_и_дети'!U75-'06_Сеть_и_дети'!U103)=0,23&lt;='01_Вводные'!$B$297),0,('06_Сеть_и_дети'!U75-'06_Сеть_и_дети'!U103)*IF('01_Вводные'!$B$239="Да",MeanMinAge23+'19_Расчет_аналитики'!U560*SUMIF(ThresholdAge23,"&lt;"&amp;'19_Расчет_аналитики'!U560,WeightedRevAge23)-SUMIF(ThresholdAge23,"&lt;"&amp;'19_Расчет_аналитики'!U560,WeightedMinAge23),MAX(CapacityAge23*'01_Вводные'!$B$218*'19_Расчет_аналитики'!U560,MeanMinAge23)))</f>
        <v/>
      </c>
      <c r="V514">
        <f>IF(OR(('06_Сеть_и_дети'!V75-'06_Сеть_и_дети'!V103)=0,23&lt;='01_Вводные'!$B$297),0,('06_Сеть_и_дети'!V75-'06_Сеть_и_дети'!V103)*IF('01_Вводные'!$B$239="Да",MeanMinAge23+'19_Расчет_аналитики'!V560*SUMIF(ThresholdAge23,"&lt;"&amp;'19_Расчет_аналитики'!V560,WeightedRevAge23)-SUMIF(ThresholdAge23,"&lt;"&amp;'19_Расчет_аналитики'!V560,WeightedMinAge23),MAX(CapacityAge23*'01_Вводные'!$B$218*'19_Расчет_аналитики'!V560,MeanMinAge23)))</f>
        <v/>
      </c>
      <c r="W514">
        <f>IF(OR(('06_Сеть_и_дети'!W75-'06_Сеть_и_дети'!W103)=0,23&lt;='01_Вводные'!$B$297),0,('06_Сеть_и_дети'!W75-'06_Сеть_и_дети'!W103)*IF('01_Вводные'!$B$239="Да",MeanMinAge23+'19_Расчет_аналитики'!W560*SUMIF(ThresholdAge23,"&lt;"&amp;'19_Расчет_аналитики'!W560,WeightedRevAge23)-SUMIF(ThresholdAge23,"&lt;"&amp;'19_Расчет_аналитики'!W560,WeightedMinAge23),MAX(CapacityAge23*'01_Вводные'!$B$218*'19_Расчет_аналитики'!W560,MeanMinAge23)))</f>
        <v/>
      </c>
      <c r="X514">
        <f>IF(OR(('19_Расчет_аналитики'!X430-'19_Расчет_аналитики'!X458)=0,23&lt;='01_Вводные'!$B$297),0,('19_Расчет_аналитики'!X430-'19_Расчет_аналитики'!X458)*IF('01_Вводные'!$B$239="Да",MeanMinAge23+'19_Расчет_аналитики'!X560*SUMIF(ThresholdAge23,"&lt;"&amp;'19_Расчет_аналитики'!X560,WeightedRevAge23)-SUMIF(ThresholdAge23,"&lt;"&amp;'19_Расчет_аналитики'!X560,WeightedMinAge23),MAX(CapacityAge23*'01_Вводные'!$B$218*'19_Расчет_аналитики'!X560,MeanMinAge23)))</f>
        <v/>
      </c>
      <c r="Y514">
        <f>IF(OR(('19_Расчет_аналитики'!Y430-'19_Расчет_аналитики'!Y458)=0,23&lt;='01_Вводные'!$B$297),0,('19_Расчет_аналитики'!Y430-'19_Расчет_аналитики'!Y458)*IF('01_Вводные'!$B$239="Да",MeanMinAge23+'19_Расчет_аналитики'!Y560*SUMIF(ThresholdAge23,"&lt;"&amp;'19_Расчет_аналитики'!Y560,WeightedRevAge23)-SUMIF(ThresholdAge23,"&lt;"&amp;'19_Расчет_аналитики'!Y560,WeightedMinAge23),MAX(CapacityAge23*'01_Вводные'!$B$218*'19_Расчет_аналитики'!Y560,MeanMinAge23)))</f>
        <v/>
      </c>
      <c r="Z514">
        <f>IF(OR(('19_Расчет_аналитики'!Z430-'19_Расчет_аналитики'!Z458)=0,23&lt;='01_Вводные'!$B$297),0,('19_Расчет_аналитики'!Z430-'19_Расчет_аналитики'!Z458)*IF('01_Вводные'!$B$239="Да",MeanMinAge23+'19_Расчет_аналитики'!Z560*SUMIF(ThresholdAge23,"&lt;"&amp;'19_Расчет_аналитики'!Z560,WeightedRevAge23)-SUMIF(ThresholdAge23,"&lt;"&amp;'19_Расчет_аналитики'!Z560,WeightedMinAge23),MAX(CapacityAge23*'01_Вводные'!$B$218*'19_Расчет_аналитики'!Z560,MeanMinAge23)))</f>
        <v/>
      </c>
      <c r="AA514">
        <f>IF(OR(('19_Расчет_аналитики'!AA430-'19_Расчет_аналитики'!AA458)=0,23&lt;='01_Вводные'!$B$297),0,('19_Расчет_аналитики'!AA430-'19_Расчет_аналитики'!AA458)*IF('01_Вводные'!$B$239="Да",MeanMinAge23+'19_Расчет_аналитики'!AA560*SUMIF(ThresholdAge23,"&lt;"&amp;'19_Расчет_аналитики'!AA560,WeightedRevAge23)-SUMIF(ThresholdAge23,"&lt;"&amp;'19_Расчет_аналитики'!AA560,WeightedMinAge23),MAX(CapacityAge23*'01_Вводные'!$B$218*'19_Расчет_аналитики'!AA560,MeanMinAge23)))</f>
        <v/>
      </c>
      <c r="AB514">
        <f>IF(OR(('19_Расчет_аналитики'!AB430-'19_Расчет_аналитики'!AB458)=0,23&lt;='01_Вводные'!$B$297),0,('19_Расчет_аналитики'!AB430-'19_Расчет_аналитики'!AB458)*IF('01_Вводные'!$B$239="Да",MeanMinAge23+'19_Расчет_аналитики'!AB560*SUMIF(ThresholdAge23,"&lt;"&amp;'19_Расчет_аналитики'!AB560,WeightedRevAge23)-SUMIF(ThresholdAge23,"&lt;"&amp;'19_Расчет_аналитики'!AB560,WeightedMinAge23),MAX(CapacityAge23*'01_Вводные'!$B$218*'19_Расчет_аналитики'!AB560,MeanMinAge23)))</f>
        <v/>
      </c>
      <c r="AC514">
        <f>IF(OR(('19_Расчет_аналитики'!AC430-'19_Расчет_аналитики'!AC458)=0,23&lt;='01_Вводные'!$B$297),0,('19_Расчет_аналитики'!AC430-'19_Расчет_аналитики'!AC458)*IF('01_Вводные'!$B$239="Да",MeanMinAge23+'19_Расчет_аналитики'!AC560*SUMIF(ThresholdAge23,"&lt;"&amp;'19_Расчет_аналитики'!AC560,WeightedRevAge23)-SUMIF(ThresholdAge23,"&lt;"&amp;'19_Расчет_аналитики'!AC560,WeightedMinAge23),MAX(CapacityAge23*'01_Вводные'!$B$218*'19_Расчет_аналитики'!AC560,MeanMinAge23)))</f>
        <v/>
      </c>
      <c r="AD514">
        <f>IF(OR(('19_Расчет_аналитики'!AD430-'19_Расчет_аналитики'!AD458)=0,23&lt;='01_Вводные'!$B$297),0,('19_Расчет_аналитики'!AD430-'19_Расчет_аналитики'!AD458)*IF('01_Вводные'!$B$239="Да",MeanMinAge23+'19_Расчет_аналитики'!AD560*SUMIF(ThresholdAge23,"&lt;"&amp;'19_Расчет_аналитики'!AD560,WeightedRevAge23)-SUMIF(ThresholdAge23,"&lt;"&amp;'19_Расчет_аналитики'!AD560,WeightedMinAge23),MAX(CapacityAge23*'01_Вводные'!$B$218*'19_Расчет_аналитики'!AD560,MeanMinAge23)))</f>
        <v/>
      </c>
      <c r="AE514">
        <f>IF(OR(('19_Расчет_аналитики'!AE430-'19_Расчет_аналитики'!AE458)=0,23&lt;='01_Вводные'!$B$297),0,('19_Расчет_аналитики'!AE430-'19_Расчет_аналитики'!AE458)*IF('01_Вводные'!$B$239="Да",MeanMinAge23+'19_Расчет_аналитики'!AE560*SUMIF(ThresholdAge23,"&lt;"&amp;'19_Расчет_аналитики'!AE560,WeightedRevAge23)-SUMIF(ThresholdAge23,"&lt;"&amp;'19_Расчет_аналитики'!AE560,WeightedMinAge23),MAX(CapacityAge23*'01_Вводные'!$B$218*'19_Расчет_аналитики'!AE560,MeanMinAge23)))</f>
        <v/>
      </c>
      <c r="AF514">
        <f>IF(OR(('19_Расчет_аналитики'!AF430-'19_Расчет_аналитики'!AF458)=0,23&lt;='01_Вводные'!$B$297),0,('19_Расчет_аналитики'!AF430-'19_Расчет_аналитики'!AF458)*IF('01_Вводные'!$B$239="Да",MeanMinAge23+'19_Расчет_аналитики'!AF560*SUMIF(ThresholdAge23,"&lt;"&amp;'19_Расчет_аналитики'!AF560,WeightedRevAge23)-SUMIF(ThresholdAge23,"&lt;"&amp;'19_Расчет_аналитики'!AF560,WeightedMinAge23),MAX(CapacityAge23*'01_Вводные'!$B$218*'19_Расчет_аналитики'!AF560,MeanMinAge23)))</f>
        <v/>
      </c>
      <c r="AG514">
        <f>IF(OR(('19_Расчет_аналитики'!AG430-'19_Расчет_аналитики'!AG458)=0,23&lt;='01_Вводные'!$B$297),0,('19_Расчет_аналитики'!AG430-'19_Расчет_аналитики'!AG458)*IF('01_Вводные'!$B$239="Да",MeanMinAge23+'19_Расчет_аналитики'!AG560*SUMIF(ThresholdAge23,"&lt;"&amp;'19_Расчет_аналитики'!AG560,WeightedRevAge23)-SUMIF(ThresholdAge23,"&lt;"&amp;'19_Расчет_аналитики'!AG560,WeightedMinAge23),MAX(CapacityAge23*'01_Вводные'!$B$218*'19_Расчет_аналитики'!AG560,MeanMinAge23)))</f>
        <v/>
      </c>
      <c r="AH514">
        <f>IF(OR(('19_Расчет_аналитики'!AH430-'19_Расчет_аналитики'!AH458)=0,23&lt;='01_Вводные'!$B$297),0,('19_Расчет_аналитики'!AH430-'19_Расчет_аналитики'!AH458)*IF('01_Вводные'!$B$239="Да",MeanMinAge23+'19_Расчет_аналитики'!AH560*SUMIF(ThresholdAge23,"&lt;"&amp;'19_Расчет_аналитики'!AH560,WeightedRevAge23)-SUMIF(ThresholdAge23,"&lt;"&amp;'19_Расчет_аналитики'!AH560,WeightedMinAge23),MAX(CapacityAge23*'01_Вводные'!$B$218*'19_Расчет_аналитики'!AH560,MeanMinAge23)))</f>
        <v/>
      </c>
      <c r="AI514">
        <f>IF(OR(('19_Расчет_аналитики'!AI430-'19_Расчет_аналитики'!AI458)=0,23&lt;='01_Вводные'!$B$297),0,('19_Расчет_аналитики'!AI430-'19_Расчет_аналитики'!AI458)*IF('01_Вводные'!$B$239="Да",MeanMinAge23+'19_Расчет_аналитики'!AI560*SUMIF(ThresholdAge23,"&lt;"&amp;'19_Расчет_аналитики'!AI560,WeightedRevAge23)-SUMIF(ThresholdAge23,"&lt;"&amp;'19_Расчет_аналитики'!AI560,WeightedMinAge23),MAX(CapacityAge23*'01_Вводные'!$B$218*'19_Расчет_аналитики'!AI560,MeanMinAge23)))</f>
        <v/>
      </c>
      <c r="AJ514">
        <f>IF(OR(('19_Расчет_аналитики'!AJ430-'19_Расчет_аналитики'!AJ458)=0,23&lt;='01_Вводные'!$B$297),0,('19_Расчет_аналитики'!AJ430-'19_Расчет_аналитики'!AJ458)*IF('01_Вводные'!$B$239="Да",MeanMinAge23+'19_Расчет_аналитики'!AJ560*SUMIF(ThresholdAge23,"&lt;"&amp;'19_Расчет_аналитики'!AJ560,WeightedRevAge23)-SUMIF(ThresholdAge23,"&lt;"&amp;'19_Расчет_аналитики'!AJ560,WeightedMinAge23),MAX(CapacityAge23*'01_Вводные'!$B$218*'19_Расчет_аналитики'!AJ560,MeanMinAge23)))</f>
        <v/>
      </c>
      <c r="AK514">
        <f>IF(OR(('19_Расчет_аналитики'!AK430-'19_Расчет_аналитики'!AK458)=0,23&lt;='01_Вводные'!$B$297),0,('19_Расчет_аналитики'!AK430-'19_Расчет_аналитики'!AK458)*IF('01_Вводные'!$B$239="Да",MeanMinAge23+'19_Расчет_аналитики'!AK560*SUMIF(ThresholdAge23,"&lt;"&amp;'19_Расчет_аналитики'!AK560,WeightedRevAge23)-SUMIF(ThresholdAge23,"&lt;"&amp;'19_Расчет_аналитики'!AK560,WeightedMinAge23),MAX(CapacityAge23*'01_Вводные'!$B$218*'19_Расчет_аналитики'!AK560,MeanMinAge23)))</f>
        <v/>
      </c>
      <c r="AL514">
        <f>IF(OR(('19_Расчет_аналитики'!AL430-'19_Расчет_аналитики'!AL458)=0,23&lt;='01_Вводные'!$B$297),0,('19_Расчет_аналитики'!AL430-'19_Расчет_аналитики'!AL458)*IF('01_Вводные'!$B$239="Да",MeanMinAge23+'19_Расчет_аналитики'!AL560*SUMIF(ThresholdAge23,"&lt;"&amp;'19_Расчет_аналитики'!AL560,WeightedRevAge23)-SUMIF(ThresholdAge23,"&lt;"&amp;'19_Расчет_аналитики'!AL560,WeightedMinAge23),MAX(CapacityAge23*'01_Вводные'!$B$218*'19_Расчет_аналитики'!AL560,MeanMinAge23)))</f>
        <v/>
      </c>
      <c r="AM514">
        <f>IF(OR(('19_Расчет_аналитики'!AM430-'19_Расчет_аналитики'!AM458)=0,23&lt;='01_Вводные'!$B$297),0,('19_Расчет_аналитики'!AM430-'19_Расчет_аналитики'!AM458)*IF('01_Вводные'!$B$239="Да",MeanMinAge23+'19_Расчет_аналитики'!AM560*SUMIF(ThresholdAge23,"&lt;"&amp;'19_Расчет_аналитики'!AM560,WeightedRevAge23)-SUMIF(ThresholdAge23,"&lt;"&amp;'19_Расчет_аналитики'!AM560,WeightedMinAge23),MAX(CapacityAge23*'01_Вводные'!$B$218*'19_Расчет_аналитики'!AM560,MeanMinAge23)))</f>
        <v/>
      </c>
      <c r="AN514">
        <f>IF(OR(('19_Расчет_аналитики'!AN430-'19_Расчет_аналитики'!AN458)=0,23&lt;='01_Вводные'!$B$297),0,('19_Расчет_аналитики'!AN430-'19_Расчет_аналитики'!AN458)*IF('01_Вводные'!$B$239="Да",MeanMinAge23+'19_Расчет_аналитики'!AN560*SUMIF(ThresholdAge23,"&lt;"&amp;'19_Расчет_аналитики'!AN560,WeightedRevAge23)-SUMIF(ThresholdAge23,"&lt;"&amp;'19_Расчет_аналитики'!AN560,WeightedMinAge23),MAX(CapacityAge23*'01_Вводные'!$B$218*'19_Расчет_аналитики'!AN560,MeanMinAge23)))</f>
        <v/>
      </c>
      <c r="AO514">
        <f>IF(OR(('19_Расчет_аналитики'!AO430-'19_Расчет_аналитики'!AO458)=0,23&lt;='01_Вводные'!$B$297),0,('19_Расчет_аналитики'!AO430-'19_Расчет_аналитики'!AO458)*IF('01_Вводные'!$B$239="Да",MeanMinAge23+'19_Расчет_аналитики'!AO560*SUMIF(ThresholdAge23,"&lt;"&amp;'19_Расчет_аналитики'!AO560,WeightedRevAge23)-SUMIF(ThresholdAge23,"&lt;"&amp;'19_Расчет_аналитики'!AO560,WeightedMinAge23),MAX(CapacityAge23*'01_Вводные'!$B$218*'19_Расчет_аналитики'!AO560,MeanMinAge23)))</f>
        <v/>
      </c>
      <c r="AP514">
        <f>IF(OR(('19_Расчет_аналитики'!AP430-'19_Расчет_аналитики'!AP458)=0,23&lt;='01_Вводные'!$B$297),0,('19_Расчет_аналитики'!AP430-'19_Расчет_аналитики'!AP458)*IF('01_Вводные'!$B$239="Да",MeanMinAge23+'19_Расчет_аналитики'!AP560*SUMIF(ThresholdAge23,"&lt;"&amp;'19_Расчет_аналитики'!AP560,WeightedRevAge23)-SUMIF(ThresholdAge23,"&lt;"&amp;'19_Расчет_аналитики'!AP560,WeightedMinAge23),MAX(CapacityAge23*'01_Вводные'!$B$218*'19_Расчет_аналитики'!AP560,MeanMinAge23)))</f>
        <v/>
      </c>
      <c r="AQ514">
        <f>IF(OR(('19_Расчет_аналитики'!AQ430-'19_Расчет_аналитики'!AQ458)=0,23&lt;='01_Вводные'!$B$297),0,('19_Расчет_аналитики'!AQ430-'19_Расчет_аналитики'!AQ458)*IF('01_Вводные'!$B$239="Да",MeanMinAge23+'19_Расчет_аналитики'!AQ560*SUMIF(ThresholdAge23,"&lt;"&amp;'19_Расчет_аналитики'!AQ560,WeightedRevAge23)-SUMIF(ThresholdAge23,"&lt;"&amp;'19_Расчет_аналитики'!AQ560,WeightedMinAge23),MAX(CapacityAge23*'01_Вводные'!$B$218*'19_Расчет_аналитики'!AQ560,MeanMinAge23)))</f>
        <v/>
      </c>
      <c r="AR514">
        <f>IF(OR(('19_Расчет_аналитики'!AR430-'19_Расчет_аналитики'!AR458)=0,23&lt;='01_Вводные'!$B$297),0,('19_Расчет_аналитики'!AR430-'19_Расчет_аналитики'!AR458)*IF('01_Вводные'!$B$239="Да",MeanMinAge23+'19_Расчет_аналитики'!AR560*SUMIF(ThresholdAge23,"&lt;"&amp;'19_Расчет_аналитики'!AR560,WeightedRevAge23)-SUMIF(ThresholdAge23,"&lt;"&amp;'19_Расчет_аналитики'!AR560,WeightedMinAge23),MAX(CapacityAge23*'01_Вводные'!$B$218*'19_Расчет_аналитики'!AR560,MeanMinAge23)))</f>
        <v/>
      </c>
      <c r="AS514">
        <f>IF(OR(('19_Расчет_аналитики'!AS430-'19_Расчет_аналитики'!AS458)=0,23&lt;='01_Вводные'!$B$297),0,('19_Расчет_аналитики'!AS430-'19_Расчет_аналитики'!AS458)*IF('01_Вводные'!$B$239="Да",MeanMinAge23+'19_Расчет_аналитики'!AS560*SUMIF(ThresholdAge23,"&lt;"&amp;'19_Расчет_аналитики'!AS560,WeightedRevAge23)-SUMIF(ThresholdAge23,"&lt;"&amp;'19_Расчет_аналитики'!AS560,WeightedMinAge23),MAX(CapacityAge23*'01_Вводные'!$B$218*'19_Расчет_аналитики'!AS560,MeanMinAge23)))</f>
        <v/>
      </c>
      <c r="AT514">
        <f>IF(OR(('19_Расчет_аналитики'!AT430-'19_Расчет_аналитики'!AT458)=0,23&lt;='01_Вводные'!$B$297),0,('19_Расчет_аналитики'!AT430-'19_Расчет_аналитики'!AT458)*IF('01_Вводные'!$B$239="Да",MeanMinAge23+'19_Расчет_аналитики'!AT560*SUMIF(ThresholdAge23,"&lt;"&amp;'19_Расчет_аналитики'!AT560,WeightedRevAge23)-SUMIF(ThresholdAge23,"&lt;"&amp;'19_Расчет_аналитики'!AT560,WeightedMinAge23),MAX(CapacityAge23*'01_Вводные'!$B$218*'19_Расчет_аналитики'!AT560,MeanMinAge23)))</f>
        <v/>
      </c>
      <c r="AU514">
        <f>IF(OR(('19_Расчет_аналитики'!AU430-'19_Расчет_аналитики'!AU458)=0,23&lt;='01_Вводные'!$B$297),0,('19_Расчет_аналитики'!AU430-'19_Расчет_аналитики'!AU458)*IF('01_Вводные'!$B$239="Да",MeanMinAge23+'19_Расчет_аналитики'!AU560*SUMIF(ThresholdAge23,"&lt;"&amp;'19_Расчет_аналитики'!AU560,WeightedRevAge23)-SUMIF(ThresholdAge23,"&lt;"&amp;'19_Расчет_аналитики'!AU560,WeightedMinAge23),MAX(CapacityAge23*'01_Вводные'!$B$218*'19_Расчет_аналитики'!AU560,MeanMinAge23)))</f>
        <v/>
      </c>
      <c r="AV514">
        <f>IF(OR(('19_Расчет_аналитики'!AV430-'19_Расчет_аналитики'!AV458)=0,23&lt;='01_Вводные'!$B$297),0,('19_Расчет_аналитики'!AV430-'19_Расчет_аналитики'!AV458)*IF('01_Вводные'!$B$239="Да",MeanMinAge23+'19_Расчет_аналитики'!AV560*SUMIF(ThresholdAge23,"&lt;"&amp;'19_Расчет_аналитики'!AV560,WeightedRevAge23)-SUMIF(ThresholdAge23,"&lt;"&amp;'19_Расчет_аналитики'!AV560,WeightedMinAge23),MAX(CapacityAge23*'01_Вводные'!$B$218*'19_Расчет_аналитики'!AV560,MeanMinAge23)))</f>
        <v/>
      </c>
      <c r="AW514">
        <f>IF(OR(('19_Расчет_аналитики'!AW430-'19_Расчет_аналитики'!AW458)=0,23&lt;='01_Вводные'!$B$297),0,('19_Расчет_аналитики'!AW430-'19_Расчет_аналитики'!AW458)*IF('01_Вводные'!$B$239="Да",MeanMinAge23+'19_Расчет_аналитики'!AW560*SUMIF(ThresholdAge23,"&lt;"&amp;'19_Расчет_аналитики'!AW560,WeightedRevAge23)-SUMIF(ThresholdAge23,"&lt;"&amp;'19_Расчет_аналитики'!AW560,WeightedMinAge23),MAX(CapacityAge23*'01_Вводные'!$B$218*'19_Расчет_аналитики'!AW560,MeanMinAge23)))</f>
        <v/>
      </c>
      <c r="AX514">
        <f>IF(OR(('19_Расчет_аналитики'!AX430-'19_Расчет_аналитики'!AX458)=0,23&lt;='01_Вводные'!$B$297),0,('19_Расчет_аналитики'!AX430-'19_Расчет_аналитики'!AX458)*IF('01_Вводные'!$B$239="Да",MeanMinAge23+'19_Расчет_аналитики'!AX560*SUMIF(ThresholdAge23,"&lt;"&amp;'19_Расчет_аналитики'!AX560,WeightedRevAge23)-SUMIF(ThresholdAge23,"&lt;"&amp;'19_Расчет_аналитики'!AX560,WeightedMinAge23),MAX(CapacityAge23*'01_Вводные'!$B$218*'19_Расчет_аналитики'!AX560,MeanMinAge23)))</f>
        <v/>
      </c>
      <c r="AY514">
        <f>IF(OR(('19_Расчет_аналитики'!AY430-'19_Расчет_аналитики'!AY458)=0,23&lt;='01_Вводные'!$B$297),0,('19_Расчет_аналитики'!AY430-'19_Расчет_аналитики'!AY458)*IF('01_Вводные'!$B$239="Да",MeanMinAge23+'19_Расчет_аналитики'!AY560*SUMIF(ThresholdAge23,"&lt;"&amp;'19_Расчет_аналитики'!AY560,WeightedRevAge23)-SUMIF(ThresholdAge23,"&lt;"&amp;'19_Расчет_аналитики'!AY560,WeightedMinAge23),MAX(CapacityAge23*'01_Вводные'!$B$218*'19_Расчет_аналитики'!AY560,MeanMinAge23)))</f>
        <v/>
      </c>
      <c r="AZ514">
        <f>IF(OR(('19_Расчет_аналитики'!AZ430-'19_Расчет_аналитики'!AZ458)=0,23&lt;='01_Вводные'!$B$297),0,('19_Расчет_аналитики'!AZ430-'19_Расчет_аналитики'!AZ458)*IF('01_Вводные'!$B$239="Да",MeanMinAge23+'19_Расчет_аналитики'!AZ560*SUMIF(ThresholdAge23,"&lt;"&amp;'19_Расчет_аналитики'!AZ560,WeightedRevAge23)-SUMIF(ThresholdAge23,"&lt;"&amp;'19_Расчет_аналитики'!AZ560,WeightedMinAge23),MAX(CapacityAge23*'01_Вводные'!$B$218*'19_Расчет_аналитики'!AZ560,MeanMinAge23)))</f>
        <v/>
      </c>
      <c r="BA514">
        <f>IF(OR(('19_Расчет_аналитики'!BA430-'19_Расчет_аналитики'!BA458)=0,23&lt;='01_Вводные'!$B$297),0,('19_Расчет_аналитики'!BA430-'19_Расчет_аналитики'!BA458)*IF('01_Вводные'!$B$239="Да",MeanMinAge23+'19_Расчет_аналитики'!BA560*SUMIF(ThresholdAge23,"&lt;"&amp;'19_Расчет_аналитики'!BA560,WeightedRevAge23)-SUMIF(ThresholdAge23,"&lt;"&amp;'19_Расчет_аналитики'!BA560,WeightedMinAge23),MAX(CapacityAge23*'01_Вводные'!$B$218*'19_Расчет_аналитики'!BA560,MeanMinAge23)))</f>
        <v/>
      </c>
      <c r="BB514">
        <f>IF(OR(('19_Расчет_аналитики'!BB430-'19_Расчет_аналитики'!BB458)=0,23&lt;='01_Вводные'!$B$297),0,('19_Расчет_аналитики'!BB430-'19_Расчет_аналитики'!BB458)*IF('01_Вводные'!$B$239="Да",MeanMinAge23+'19_Расчет_аналитики'!BB560*SUMIF(ThresholdAge23,"&lt;"&amp;'19_Расчет_аналитики'!BB560,WeightedRevAge23)-SUMIF(ThresholdAge23,"&lt;"&amp;'19_Расчет_аналитики'!BB560,WeightedMinAge23),MAX(CapacityAge23*'01_Вводные'!$B$218*'19_Расчет_аналитики'!BB560,MeanMinAge23)))</f>
        <v/>
      </c>
      <c r="BC514">
        <f>IF(OR(('19_Расчет_аналитики'!BC430-'19_Расчет_аналитики'!BC458)=0,23&lt;='01_Вводные'!$B$297),0,('19_Расчет_аналитики'!BC430-'19_Расчет_аналитики'!BC458)*IF('01_Вводные'!$B$239="Да",MeanMinAge23+'19_Расчет_аналитики'!BC560*SUMIF(ThresholdAge23,"&lt;"&amp;'19_Расчет_аналитики'!BC560,WeightedRevAge23)-SUMIF(ThresholdAge23,"&lt;"&amp;'19_Расчет_аналитики'!BC560,WeightedMinAge23),MAX(CapacityAge23*'01_Вводные'!$B$218*'19_Расчет_аналитики'!BC560,MeanMinAge23)))</f>
        <v/>
      </c>
      <c r="BD514">
        <f>IF(OR(('19_Расчет_аналитики'!BD430-'19_Расчет_аналитики'!BD458)=0,23&lt;='01_Вводные'!$B$297),0,('19_Расчет_аналитики'!BD430-'19_Расчет_аналитики'!BD458)*IF('01_Вводные'!$B$239="Да",MeanMinAge23+'19_Расчет_аналитики'!BD560*SUMIF(ThresholdAge23,"&lt;"&amp;'19_Расчет_аналитики'!BD560,WeightedRevAge23)-SUMIF(ThresholdAge23,"&lt;"&amp;'19_Расчет_аналитики'!BD560,WeightedMinAge23),MAX(CapacityAge23*'01_Вводные'!$B$218*'19_Расчет_аналитики'!BD560,MeanMinAge23)))</f>
        <v/>
      </c>
      <c r="BE514">
        <f>IF(OR(('19_Расчет_аналитики'!BE430-'19_Расчет_аналитики'!BE458)=0,23&lt;='01_Вводные'!$B$297),0,('19_Расчет_аналитики'!BE430-'19_Расчет_аналитики'!BE458)*IF('01_Вводные'!$B$239="Да",MeanMinAge23+'19_Расчет_аналитики'!BE560*SUMIF(ThresholdAge23,"&lt;"&amp;'19_Расчет_аналитики'!BE560,WeightedRevAge23)-SUMIF(ThresholdAge23,"&lt;"&amp;'19_Расчет_аналитики'!BE560,WeightedMinAge23),MAX(CapacityAge23*'01_Вводные'!$B$218*'19_Расчет_аналитики'!BE560,MeanMinAge23)))</f>
        <v/>
      </c>
      <c r="BF514">
        <f>IF(OR(('19_Расчет_аналитики'!BF430-'19_Расчет_аналитики'!BF458)=0,23&lt;='01_Вводные'!$B$297),0,('19_Расчет_аналитики'!BF430-'19_Расчет_аналитики'!BF458)*IF('01_Вводные'!$B$239="Да",MeanMinAge23+'19_Расчет_аналитики'!BF560*SUMIF(ThresholdAge23,"&lt;"&amp;'19_Расчет_аналитики'!BF560,WeightedRevAge23)-SUMIF(ThresholdAge23,"&lt;"&amp;'19_Расчет_аналитики'!BF560,WeightedMinAge23),MAX(CapacityAge23*'01_Вводные'!$B$218*'19_Расчет_аналитики'!BF560,MeanMinAge23)))</f>
        <v/>
      </c>
      <c r="BG514">
        <f>IF(OR(('19_Расчет_аналитики'!BG430-'19_Расчет_аналитики'!BG458)=0,23&lt;='01_Вводные'!$B$297),0,('19_Расчет_аналитики'!BG430-'19_Расчет_аналитики'!BG458)*IF('01_Вводные'!$B$239="Да",MeanMinAge23+'19_Расчет_аналитики'!BG560*SUMIF(ThresholdAge23,"&lt;"&amp;'19_Расчет_аналитики'!BG560,WeightedRevAge23)-SUMIF(ThresholdAge23,"&lt;"&amp;'19_Расчет_аналитики'!BG560,WeightedMinAge23),MAX(CapacityAge23*'01_Вводные'!$B$218*'19_Расчет_аналитики'!BG560,MeanMinAge23)))</f>
        <v/>
      </c>
      <c r="BH514">
        <f>IF(OR(('19_Расчет_аналитики'!BH430-'19_Расчет_аналитики'!BH458)=0,23&lt;='01_Вводные'!$B$297),0,('19_Расчет_аналитики'!BH430-'19_Расчет_аналитики'!BH458)*IF('01_Вводные'!$B$239="Да",MeanMinAge23+'19_Расчет_аналитики'!BH560*SUMIF(ThresholdAge23,"&lt;"&amp;'19_Расчет_аналитики'!BH560,WeightedRevAge23)-SUMIF(ThresholdAge23,"&lt;"&amp;'19_Расчет_аналитики'!BH560,WeightedMinAge23),MAX(CapacityAge23*'01_Вводные'!$B$218*'19_Расчет_аналитики'!BH560,MeanMinAge23)))</f>
        <v/>
      </c>
      <c r="BI514">
        <f>IF(OR(('19_Расчет_аналитики'!BI430-'19_Расчет_аналитики'!BI458)=0,23&lt;='01_Вводные'!$B$297),0,('19_Расчет_аналитики'!BI430-'19_Расчет_аналитики'!BI458)*IF('01_Вводные'!$B$239="Да",MeanMinAge23+'19_Расчет_аналитики'!BI560*SUMIF(ThresholdAge23,"&lt;"&amp;'19_Расчет_аналитики'!BI560,WeightedRevAge23)-SUMIF(ThresholdAge23,"&lt;"&amp;'19_Расчет_аналитики'!BI560,WeightedMinAge23),MAX(CapacityAge23*'01_Вводные'!$B$218*'19_Расчет_аналитики'!BI560,MeanMinAge23)))</f>
        <v/>
      </c>
      <c r="BJ514">
        <f>IF(OR(('19_Расчет_аналитики'!BJ430-'19_Расчет_аналитики'!BJ458)=0,23&lt;='01_Вводные'!$B$297),0,('19_Расчет_аналитики'!BJ430-'19_Расчет_аналитики'!BJ458)*IF('01_Вводные'!$B$239="Да",MeanMinAge23+'19_Расчет_аналитики'!BJ560*SUMIF(ThresholdAge23,"&lt;"&amp;'19_Расчет_аналитики'!BJ560,WeightedRevAge23)-SUMIF(ThresholdAge23,"&lt;"&amp;'19_Расчет_аналитики'!BJ560,WeightedMinAge23),MAX(CapacityAge23*'01_Вводные'!$B$218*'19_Расчет_аналитики'!BJ560,MeanMinAge23)))</f>
        <v/>
      </c>
      <c r="BK514">
        <f>IF(OR(('19_Расчет_аналитики'!BK430-'19_Расчет_аналитики'!BK458)=0,23&lt;='01_Вводные'!$B$297),0,('19_Расчет_аналитики'!BK430-'19_Расчет_аналитики'!BK458)*IF('01_Вводные'!$B$239="Да",MeanMinAge23+'19_Расчет_аналитики'!BK560*SUMIF(ThresholdAge23,"&lt;"&amp;'19_Расчет_аналитики'!BK560,WeightedRevAge23)-SUMIF(ThresholdAge23,"&lt;"&amp;'19_Расчет_аналитики'!BK560,WeightedMinAge23),MAX(CapacityAge23*'01_Вводные'!$B$218*'19_Расчет_аналитики'!BK560,MeanMinAge23)))</f>
        <v/>
      </c>
      <c r="BL514">
        <f>IF(OR(('19_Расчет_аналитики'!BL430-'19_Расчет_аналитики'!BL458)=0,23&lt;='01_Вводные'!$B$297),0,('19_Расчет_аналитики'!BL430-'19_Расчет_аналитики'!BL458)*IF('01_Вводные'!$B$239="Да",MeanMinAge23+'19_Расчет_аналитики'!BL560*SUMIF(ThresholdAge23,"&lt;"&amp;'19_Расчет_аналитики'!BL560,WeightedRevAge23)-SUMIF(ThresholdAge23,"&lt;"&amp;'19_Расчет_аналитики'!BL560,WeightedMinAge23),MAX(CapacityAge23*'01_Вводные'!$B$218*'19_Расчет_аналитики'!BL560,MeanMinAge23)))</f>
        <v/>
      </c>
      <c r="BM514">
        <f>IF(OR(('19_Расчет_аналитики'!BM430-'19_Расчет_аналитики'!BM458)=0,23&lt;='01_Вводные'!$B$297),0,('19_Расчет_аналитики'!BM430-'19_Расчет_аналитики'!BM458)*IF('01_Вводные'!$B$239="Да",MeanMinAge23+'19_Расчет_аналитики'!BM560*SUMIF(ThresholdAge23,"&lt;"&amp;'19_Расчет_аналитики'!BM560,WeightedRevAge23)-SUMIF(ThresholdAge23,"&lt;"&amp;'19_Расчет_аналитики'!BM560,WeightedMinAge23),MAX(CapacityAge23*'01_Вводные'!$B$218*'19_Расчет_аналитики'!BM560,MeanMinAge23)))</f>
        <v/>
      </c>
      <c r="BN514">
        <f>IF(OR(('19_Расчет_аналитики'!BN430-'19_Расчет_аналитики'!BN458)=0,23&lt;='01_Вводные'!$B$297),0,('19_Расчет_аналитики'!BN430-'19_Расчет_аналитики'!BN458)*IF('01_Вводные'!$B$239="Да",MeanMinAge23+'19_Расчет_аналитики'!BN560*SUMIF(ThresholdAge23,"&lt;"&amp;'19_Расчет_аналитики'!BN560,WeightedRevAge23)-SUMIF(ThresholdAge23,"&lt;"&amp;'19_Расчет_аналитики'!BN560,WeightedMinAge23),MAX(CapacityAge23*'01_Вводные'!$B$218*'19_Расчет_аналитики'!BN560,MeanMinAge23)))</f>
        <v/>
      </c>
      <c r="BO514">
        <f>IF(OR(('19_Расчет_аналитики'!BO430-'19_Расчет_аналитики'!BO458)=0,23&lt;='01_Вводные'!$B$297),0,('19_Расчет_аналитики'!BO430-'19_Расчет_аналитики'!BO458)*IF('01_Вводные'!$B$239="Да",MeanMinAge23+'19_Расчет_аналитики'!BO560*SUMIF(ThresholdAge23,"&lt;"&amp;'19_Расчет_аналитики'!BO560,WeightedRevAge23)-SUMIF(ThresholdAge23,"&lt;"&amp;'19_Расчет_аналитики'!BO560,WeightedMinAge23),MAX(CapacityAge23*'01_Вводные'!$B$218*'19_Расчет_аналитики'!BO560,MeanMinAge23)))</f>
        <v/>
      </c>
    </row>
    <row r="515">
      <c r="B515">
        <f>IF(OR(('06_Сеть_и_дети'!B76-'06_Сеть_и_дети'!B104)=0,24&lt;='01_Вводные'!$B$297),0,('06_Сеть_и_дети'!B76-'06_Сеть_и_дети'!B104)*IF('01_Вводные'!$B$239="Да",MeanMinAge24+'19_Расчет_аналитики'!B560*SUMIF(ThresholdAge24,"&lt;"&amp;'19_Расчет_аналитики'!B560,WeightedRevAge24)-SUMIF(ThresholdAge24,"&lt;"&amp;'19_Расчет_аналитики'!B560,WeightedMinAge24),MAX(CapacityAge24*'01_Вводные'!$B$218*'19_Расчет_аналитики'!B560,MeanMinAge24)))</f>
        <v/>
      </c>
      <c r="C515">
        <f>IF(OR(('06_Сеть_и_дети'!C76-'06_Сеть_и_дети'!C104)=0,24&lt;='01_Вводные'!$B$297),0,('06_Сеть_и_дети'!C76-'06_Сеть_и_дети'!C104)*IF('01_Вводные'!$B$239="Да",MeanMinAge24+'19_Расчет_аналитики'!C560*SUMIF(ThresholdAge24,"&lt;"&amp;'19_Расчет_аналитики'!C560,WeightedRevAge24)-SUMIF(ThresholdAge24,"&lt;"&amp;'19_Расчет_аналитики'!C560,WeightedMinAge24),MAX(CapacityAge24*'01_Вводные'!$B$218*'19_Расчет_аналитики'!C560,MeanMinAge24)))</f>
        <v/>
      </c>
      <c r="D515">
        <f>IF(OR(('06_Сеть_и_дети'!D76-'06_Сеть_и_дети'!D104)=0,24&lt;='01_Вводные'!$B$297),0,('06_Сеть_и_дети'!D76-'06_Сеть_и_дети'!D104)*IF('01_Вводные'!$B$239="Да",MeanMinAge24+'19_Расчет_аналитики'!D560*SUMIF(ThresholdAge24,"&lt;"&amp;'19_Расчет_аналитики'!D560,WeightedRevAge24)-SUMIF(ThresholdAge24,"&lt;"&amp;'19_Расчет_аналитики'!D560,WeightedMinAge24),MAX(CapacityAge24*'01_Вводные'!$B$218*'19_Расчет_аналитики'!D560,MeanMinAge24)))</f>
        <v/>
      </c>
      <c r="E515">
        <f>IF(OR(('06_Сеть_и_дети'!E76-'06_Сеть_и_дети'!E104)=0,24&lt;='01_Вводные'!$B$297),0,('06_Сеть_и_дети'!E76-'06_Сеть_и_дети'!E104)*IF('01_Вводные'!$B$239="Да",MeanMinAge24+'19_Расчет_аналитики'!E560*SUMIF(ThresholdAge24,"&lt;"&amp;'19_Расчет_аналитики'!E560,WeightedRevAge24)-SUMIF(ThresholdAge24,"&lt;"&amp;'19_Расчет_аналитики'!E560,WeightedMinAge24),MAX(CapacityAge24*'01_Вводные'!$B$218*'19_Расчет_аналитики'!E560,MeanMinAge24)))</f>
        <v/>
      </c>
      <c r="F515">
        <f>IF(OR(('06_Сеть_и_дети'!F76-'06_Сеть_и_дети'!F104)=0,24&lt;='01_Вводные'!$B$297),0,('06_Сеть_и_дети'!F76-'06_Сеть_и_дети'!F104)*IF('01_Вводные'!$B$239="Да",MeanMinAge24+'19_Расчет_аналитики'!F560*SUMIF(ThresholdAge24,"&lt;"&amp;'19_Расчет_аналитики'!F560,WeightedRevAge24)-SUMIF(ThresholdAge24,"&lt;"&amp;'19_Расчет_аналитики'!F560,WeightedMinAge24),MAX(CapacityAge24*'01_Вводные'!$B$218*'19_Расчет_аналитики'!F560,MeanMinAge24)))</f>
        <v/>
      </c>
      <c r="G515">
        <f>IF(OR(('06_Сеть_и_дети'!G76-'06_Сеть_и_дети'!G104)=0,24&lt;='01_Вводные'!$B$297),0,('06_Сеть_и_дети'!G76-'06_Сеть_и_дети'!G104)*IF('01_Вводные'!$B$239="Да",MeanMinAge24+'19_Расчет_аналитики'!G560*SUMIF(ThresholdAge24,"&lt;"&amp;'19_Расчет_аналитики'!G560,WeightedRevAge24)-SUMIF(ThresholdAge24,"&lt;"&amp;'19_Расчет_аналитики'!G560,WeightedMinAge24),MAX(CapacityAge24*'01_Вводные'!$B$218*'19_Расчет_аналитики'!G560,MeanMinAge24)))</f>
        <v/>
      </c>
      <c r="H515">
        <f>IF(OR(('06_Сеть_и_дети'!H76-'06_Сеть_и_дети'!H104)=0,24&lt;='01_Вводные'!$B$297),0,('06_Сеть_и_дети'!H76-'06_Сеть_и_дети'!H104)*IF('01_Вводные'!$B$239="Да",MeanMinAge24+'19_Расчет_аналитики'!H560*SUMIF(ThresholdAge24,"&lt;"&amp;'19_Расчет_аналитики'!H560,WeightedRevAge24)-SUMIF(ThresholdAge24,"&lt;"&amp;'19_Расчет_аналитики'!H560,WeightedMinAge24),MAX(CapacityAge24*'01_Вводные'!$B$218*'19_Расчет_аналитики'!H560,MeanMinAge24)))</f>
        <v/>
      </c>
      <c r="I515">
        <f>IF(OR(('06_Сеть_и_дети'!I76-'06_Сеть_и_дети'!I104)=0,24&lt;='01_Вводные'!$B$297),0,('06_Сеть_и_дети'!I76-'06_Сеть_и_дети'!I104)*IF('01_Вводные'!$B$239="Да",MeanMinAge24+'19_Расчет_аналитики'!I560*SUMIF(ThresholdAge24,"&lt;"&amp;'19_Расчет_аналитики'!I560,WeightedRevAge24)-SUMIF(ThresholdAge24,"&lt;"&amp;'19_Расчет_аналитики'!I560,WeightedMinAge24),MAX(CapacityAge24*'01_Вводные'!$B$218*'19_Расчет_аналитики'!I560,MeanMinAge24)))</f>
        <v/>
      </c>
      <c r="J515">
        <f>IF(OR(('06_Сеть_и_дети'!J76-'06_Сеть_и_дети'!J104)=0,24&lt;='01_Вводные'!$B$297),0,('06_Сеть_и_дети'!J76-'06_Сеть_и_дети'!J104)*IF('01_Вводные'!$B$239="Да",MeanMinAge24+'19_Расчет_аналитики'!J560*SUMIF(ThresholdAge24,"&lt;"&amp;'19_Расчет_аналитики'!J560,WeightedRevAge24)-SUMIF(ThresholdAge24,"&lt;"&amp;'19_Расчет_аналитики'!J560,WeightedMinAge24),MAX(CapacityAge24*'01_Вводные'!$B$218*'19_Расчет_аналитики'!J560,MeanMinAge24)))</f>
        <v/>
      </c>
      <c r="K515">
        <f>IF(OR(('06_Сеть_и_дети'!K76-'06_Сеть_и_дети'!K104)=0,24&lt;='01_Вводные'!$B$297),0,('06_Сеть_и_дети'!K76-'06_Сеть_и_дети'!K104)*IF('01_Вводные'!$B$239="Да",MeanMinAge24+'19_Расчет_аналитики'!K560*SUMIF(ThresholdAge24,"&lt;"&amp;'19_Расчет_аналитики'!K560,WeightedRevAge24)-SUMIF(ThresholdAge24,"&lt;"&amp;'19_Расчет_аналитики'!K560,WeightedMinAge24),MAX(CapacityAge24*'01_Вводные'!$B$218*'19_Расчет_аналитики'!K560,MeanMinAge24)))</f>
        <v/>
      </c>
      <c r="L515">
        <f>IF(OR(('06_Сеть_и_дети'!L76-'06_Сеть_и_дети'!L104)=0,24&lt;='01_Вводные'!$B$297),0,('06_Сеть_и_дети'!L76-'06_Сеть_и_дети'!L104)*IF('01_Вводные'!$B$239="Да",MeanMinAge24+'19_Расчет_аналитики'!L560*SUMIF(ThresholdAge24,"&lt;"&amp;'19_Расчет_аналитики'!L560,WeightedRevAge24)-SUMIF(ThresholdAge24,"&lt;"&amp;'19_Расчет_аналитики'!L560,WeightedMinAge24),MAX(CapacityAge24*'01_Вводные'!$B$218*'19_Расчет_аналитики'!L560,MeanMinAge24)))</f>
        <v/>
      </c>
      <c r="M515">
        <f>IF(OR(('06_Сеть_и_дети'!M76-'06_Сеть_и_дети'!M104)=0,24&lt;='01_Вводные'!$B$297),0,('06_Сеть_и_дети'!M76-'06_Сеть_и_дети'!M104)*IF('01_Вводные'!$B$239="Да",MeanMinAge24+'19_Расчет_аналитики'!M560*SUMIF(ThresholdAge24,"&lt;"&amp;'19_Расчет_аналитики'!M560,WeightedRevAge24)-SUMIF(ThresholdAge24,"&lt;"&amp;'19_Расчет_аналитики'!M560,WeightedMinAge24),MAX(CapacityAge24*'01_Вводные'!$B$218*'19_Расчет_аналитики'!M560,MeanMinAge24)))</f>
        <v/>
      </c>
      <c r="N515">
        <f>IF(OR(('06_Сеть_и_дети'!N76-'06_Сеть_и_дети'!N104)=0,24&lt;='01_Вводные'!$B$297),0,('06_Сеть_и_дети'!N76-'06_Сеть_и_дети'!N104)*IF('01_Вводные'!$B$239="Да",MeanMinAge24+'19_Расчет_аналитики'!N560*SUMIF(ThresholdAge24,"&lt;"&amp;'19_Расчет_аналитики'!N560,WeightedRevAge24)-SUMIF(ThresholdAge24,"&lt;"&amp;'19_Расчет_аналитики'!N560,WeightedMinAge24),MAX(CapacityAge24*'01_Вводные'!$B$218*'19_Расчет_аналитики'!N560,MeanMinAge24)))</f>
        <v/>
      </c>
      <c r="O515">
        <f>IF(OR(('06_Сеть_и_дети'!O76-'06_Сеть_и_дети'!O104)=0,24&lt;='01_Вводные'!$B$297),0,('06_Сеть_и_дети'!O76-'06_Сеть_и_дети'!O104)*IF('01_Вводные'!$B$239="Да",MeanMinAge24+'19_Расчет_аналитики'!O560*SUMIF(ThresholdAge24,"&lt;"&amp;'19_Расчет_аналитики'!O560,WeightedRevAge24)-SUMIF(ThresholdAge24,"&lt;"&amp;'19_Расчет_аналитики'!O560,WeightedMinAge24),MAX(CapacityAge24*'01_Вводные'!$B$218*'19_Расчет_аналитики'!O560,MeanMinAge24)))</f>
        <v/>
      </c>
      <c r="P515">
        <f>IF(OR(('06_Сеть_и_дети'!P76-'06_Сеть_и_дети'!P104)=0,24&lt;='01_Вводные'!$B$297),0,('06_Сеть_и_дети'!P76-'06_Сеть_и_дети'!P104)*IF('01_Вводные'!$B$239="Да",MeanMinAge24+'19_Расчет_аналитики'!P560*SUMIF(ThresholdAge24,"&lt;"&amp;'19_Расчет_аналитики'!P560,WeightedRevAge24)-SUMIF(ThresholdAge24,"&lt;"&amp;'19_Расчет_аналитики'!P560,WeightedMinAge24),MAX(CapacityAge24*'01_Вводные'!$B$218*'19_Расчет_аналитики'!P560,MeanMinAge24)))</f>
        <v/>
      </c>
      <c r="Q515">
        <f>IF(OR(('06_Сеть_и_дети'!Q76-'06_Сеть_и_дети'!Q104)=0,24&lt;='01_Вводные'!$B$297),0,('06_Сеть_и_дети'!Q76-'06_Сеть_и_дети'!Q104)*IF('01_Вводные'!$B$239="Да",MeanMinAge24+'19_Расчет_аналитики'!Q560*SUMIF(ThresholdAge24,"&lt;"&amp;'19_Расчет_аналитики'!Q560,WeightedRevAge24)-SUMIF(ThresholdAge24,"&lt;"&amp;'19_Расчет_аналитики'!Q560,WeightedMinAge24),MAX(CapacityAge24*'01_Вводные'!$B$218*'19_Расчет_аналитики'!Q560,MeanMinAge24)))</f>
        <v/>
      </c>
      <c r="R515">
        <f>IF(OR(('06_Сеть_и_дети'!R76-'06_Сеть_и_дети'!R104)=0,24&lt;='01_Вводные'!$B$297),0,('06_Сеть_и_дети'!R76-'06_Сеть_и_дети'!R104)*IF('01_Вводные'!$B$239="Да",MeanMinAge24+'19_Расчет_аналитики'!R560*SUMIF(ThresholdAge24,"&lt;"&amp;'19_Расчет_аналитики'!R560,WeightedRevAge24)-SUMIF(ThresholdAge24,"&lt;"&amp;'19_Расчет_аналитики'!R560,WeightedMinAge24),MAX(CapacityAge24*'01_Вводные'!$B$218*'19_Расчет_аналитики'!R560,MeanMinAge24)))</f>
        <v/>
      </c>
      <c r="S515">
        <f>IF(OR(('06_Сеть_и_дети'!S76-'06_Сеть_и_дети'!S104)=0,24&lt;='01_Вводные'!$B$297),0,('06_Сеть_и_дети'!S76-'06_Сеть_и_дети'!S104)*IF('01_Вводные'!$B$239="Да",MeanMinAge24+'19_Расчет_аналитики'!S560*SUMIF(ThresholdAge24,"&lt;"&amp;'19_Расчет_аналитики'!S560,WeightedRevAge24)-SUMIF(ThresholdAge24,"&lt;"&amp;'19_Расчет_аналитики'!S560,WeightedMinAge24),MAX(CapacityAge24*'01_Вводные'!$B$218*'19_Расчет_аналитики'!S560,MeanMinAge24)))</f>
        <v/>
      </c>
      <c r="T515">
        <f>IF(OR(('06_Сеть_и_дети'!T76-'06_Сеть_и_дети'!T104)=0,24&lt;='01_Вводные'!$B$297),0,('06_Сеть_и_дети'!T76-'06_Сеть_и_дети'!T104)*IF('01_Вводные'!$B$239="Да",MeanMinAge24+'19_Расчет_аналитики'!T560*SUMIF(ThresholdAge24,"&lt;"&amp;'19_Расчет_аналитики'!T560,WeightedRevAge24)-SUMIF(ThresholdAge24,"&lt;"&amp;'19_Расчет_аналитики'!T560,WeightedMinAge24),MAX(CapacityAge24*'01_Вводные'!$B$218*'19_Расчет_аналитики'!T560,MeanMinAge24)))</f>
        <v/>
      </c>
      <c r="U515">
        <f>IF(OR(('06_Сеть_и_дети'!U76-'06_Сеть_и_дети'!U104)=0,24&lt;='01_Вводные'!$B$297),0,('06_Сеть_и_дети'!U76-'06_Сеть_и_дети'!U104)*IF('01_Вводные'!$B$239="Да",MeanMinAge24+'19_Расчет_аналитики'!U560*SUMIF(ThresholdAge24,"&lt;"&amp;'19_Расчет_аналитики'!U560,WeightedRevAge24)-SUMIF(ThresholdAge24,"&lt;"&amp;'19_Расчет_аналитики'!U560,WeightedMinAge24),MAX(CapacityAge24*'01_Вводные'!$B$218*'19_Расчет_аналитики'!U560,MeanMinAge24)))</f>
        <v/>
      </c>
      <c r="V515">
        <f>IF(OR(('06_Сеть_и_дети'!V76-'06_Сеть_и_дети'!V104)=0,24&lt;='01_Вводные'!$B$297),0,('06_Сеть_и_дети'!V76-'06_Сеть_и_дети'!V104)*IF('01_Вводные'!$B$239="Да",MeanMinAge24+'19_Расчет_аналитики'!V560*SUMIF(ThresholdAge24,"&lt;"&amp;'19_Расчет_аналитики'!V560,WeightedRevAge24)-SUMIF(ThresholdAge24,"&lt;"&amp;'19_Расчет_аналитики'!V560,WeightedMinAge24),MAX(CapacityAge24*'01_Вводные'!$B$218*'19_Расчет_аналитики'!V560,MeanMinAge24)))</f>
        <v/>
      </c>
      <c r="W515">
        <f>IF(OR(('06_Сеть_и_дети'!W76-'06_Сеть_и_дети'!W104)=0,24&lt;='01_Вводные'!$B$297),0,('06_Сеть_и_дети'!W76-'06_Сеть_и_дети'!W104)*IF('01_Вводные'!$B$239="Да",MeanMinAge24+'19_Расчет_аналитики'!W560*SUMIF(ThresholdAge24,"&lt;"&amp;'19_Расчет_аналитики'!W560,WeightedRevAge24)-SUMIF(ThresholdAge24,"&lt;"&amp;'19_Расчет_аналитики'!W560,WeightedMinAge24),MAX(CapacityAge24*'01_Вводные'!$B$218*'19_Расчет_аналитики'!W560,MeanMinAge24)))</f>
        <v/>
      </c>
      <c r="X515">
        <f>IF(OR(('06_Сеть_и_дети'!X76-'06_Сеть_и_дети'!X104)=0,24&lt;='01_Вводные'!$B$297),0,('06_Сеть_и_дети'!X76-'06_Сеть_и_дети'!X104)*IF('01_Вводные'!$B$239="Да",MeanMinAge24+'19_Расчет_аналитики'!X560*SUMIF(ThresholdAge24,"&lt;"&amp;'19_Расчет_аналитики'!X560,WeightedRevAge24)-SUMIF(ThresholdAge24,"&lt;"&amp;'19_Расчет_аналитики'!X560,WeightedMinAge24),MAX(CapacityAge24*'01_Вводные'!$B$218*'19_Расчет_аналитики'!X560,MeanMinAge24)))</f>
        <v/>
      </c>
      <c r="Y515">
        <f>IF(OR(('19_Расчет_аналитики'!Y431-'19_Расчет_аналитики'!Y459)=0,24&lt;='01_Вводные'!$B$297),0,('19_Расчет_аналитики'!Y431-'19_Расчет_аналитики'!Y459)*IF('01_Вводные'!$B$239="Да",MeanMinAge24+'19_Расчет_аналитики'!Y560*SUMIF(ThresholdAge24,"&lt;"&amp;'19_Расчет_аналитики'!Y560,WeightedRevAge24)-SUMIF(ThresholdAge24,"&lt;"&amp;'19_Расчет_аналитики'!Y560,WeightedMinAge24),MAX(CapacityAge24*'01_Вводные'!$B$218*'19_Расчет_аналитики'!Y560,MeanMinAge24)))</f>
        <v/>
      </c>
      <c r="Z515">
        <f>IF(OR(('19_Расчет_аналитики'!Z431-'19_Расчет_аналитики'!Z459)=0,24&lt;='01_Вводные'!$B$297),0,('19_Расчет_аналитики'!Z431-'19_Расчет_аналитики'!Z459)*IF('01_Вводные'!$B$239="Да",MeanMinAge24+'19_Расчет_аналитики'!Z560*SUMIF(ThresholdAge24,"&lt;"&amp;'19_Расчет_аналитики'!Z560,WeightedRevAge24)-SUMIF(ThresholdAge24,"&lt;"&amp;'19_Расчет_аналитики'!Z560,WeightedMinAge24),MAX(CapacityAge24*'01_Вводные'!$B$218*'19_Расчет_аналитики'!Z560,MeanMinAge24)))</f>
        <v/>
      </c>
      <c r="AA515">
        <f>IF(OR(('19_Расчет_аналитики'!AA431-'19_Расчет_аналитики'!AA459)=0,24&lt;='01_Вводные'!$B$297),0,('19_Расчет_аналитики'!AA431-'19_Расчет_аналитики'!AA459)*IF('01_Вводные'!$B$239="Да",MeanMinAge24+'19_Расчет_аналитики'!AA560*SUMIF(ThresholdAge24,"&lt;"&amp;'19_Расчет_аналитики'!AA560,WeightedRevAge24)-SUMIF(ThresholdAge24,"&lt;"&amp;'19_Расчет_аналитики'!AA560,WeightedMinAge24),MAX(CapacityAge24*'01_Вводные'!$B$218*'19_Расчет_аналитики'!AA560,MeanMinAge24)))</f>
        <v/>
      </c>
      <c r="AB515">
        <f>IF(OR(('19_Расчет_аналитики'!AB431-'19_Расчет_аналитики'!AB459)=0,24&lt;='01_Вводные'!$B$297),0,('19_Расчет_аналитики'!AB431-'19_Расчет_аналитики'!AB459)*IF('01_Вводные'!$B$239="Да",MeanMinAge24+'19_Расчет_аналитики'!AB560*SUMIF(ThresholdAge24,"&lt;"&amp;'19_Расчет_аналитики'!AB560,WeightedRevAge24)-SUMIF(ThresholdAge24,"&lt;"&amp;'19_Расчет_аналитики'!AB560,WeightedMinAge24),MAX(CapacityAge24*'01_Вводные'!$B$218*'19_Расчет_аналитики'!AB560,MeanMinAge24)))</f>
        <v/>
      </c>
      <c r="AC515">
        <f>IF(OR(('19_Расчет_аналитики'!AC431-'19_Расчет_аналитики'!AC459)=0,24&lt;='01_Вводные'!$B$297),0,('19_Расчет_аналитики'!AC431-'19_Расчет_аналитики'!AC459)*IF('01_Вводные'!$B$239="Да",MeanMinAge24+'19_Расчет_аналитики'!AC560*SUMIF(ThresholdAge24,"&lt;"&amp;'19_Расчет_аналитики'!AC560,WeightedRevAge24)-SUMIF(ThresholdAge24,"&lt;"&amp;'19_Расчет_аналитики'!AC560,WeightedMinAge24),MAX(CapacityAge24*'01_Вводные'!$B$218*'19_Расчет_аналитики'!AC560,MeanMinAge24)))</f>
        <v/>
      </c>
      <c r="AD515">
        <f>IF(OR(('19_Расчет_аналитики'!AD431-'19_Расчет_аналитики'!AD459)=0,24&lt;='01_Вводные'!$B$297),0,('19_Расчет_аналитики'!AD431-'19_Расчет_аналитики'!AD459)*IF('01_Вводные'!$B$239="Да",MeanMinAge24+'19_Расчет_аналитики'!AD560*SUMIF(ThresholdAge24,"&lt;"&amp;'19_Расчет_аналитики'!AD560,WeightedRevAge24)-SUMIF(ThresholdAge24,"&lt;"&amp;'19_Расчет_аналитики'!AD560,WeightedMinAge24),MAX(CapacityAge24*'01_Вводные'!$B$218*'19_Расчет_аналитики'!AD560,MeanMinAge24)))</f>
        <v/>
      </c>
      <c r="AE515">
        <f>IF(OR(('19_Расчет_аналитики'!AE431-'19_Расчет_аналитики'!AE459)=0,24&lt;='01_Вводные'!$B$297),0,('19_Расчет_аналитики'!AE431-'19_Расчет_аналитики'!AE459)*IF('01_Вводные'!$B$239="Да",MeanMinAge24+'19_Расчет_аналитики'!AE560*SUMIF(ThresholdAge24,"&lt;"&amp;'19_Расчет_аналитики'!AE560,WeightedRevAge24)-SUMIF(ThresholdAge24,"&lt;"&amp;'19_Расчет_аналитики'!AE560,WeightedMinAge24),MAX(CapacityAge24*'01_Вводные'!$B$218*'19_Расчет_аналитики'!AE560,MeanMinAge24)))</f>
        <v/>
      </c>
      <c r="AF515">
        <f>IF(OR(('19_Расчет_аналитики'!AF431-'19_Расчет_аналитики'!AF459)=0,24&lt;='01_Вводные'!$B$297),0,('19_Расчет_аналитики'!AF431-'19_Расчет_аналитики'!AF459)*IF('01_Вводные'!$B$239="Да",MeanMinAge24+'19_Расчет_аналитики'!AF560*SUMIF(ThresholdAge24,"&lt;"&amp;'19_Расчет_аналитики'!AF560,WeightedRevAge24)-SUMIF(ThresholdAge24,"&lt;"&amp;'19_Расчет_аналитики'!AF560,WeightedMinAge24),MAX(CapacityAge24*'01_Вводные'!$B$218*'19_Расчет_аналитики'!AF560,MeanMinAge24)))</f>
        <v/>
      </c>
      <c r="AG515">
        <f>IF(OR(('19_Расчет_аналитики'!AG431-'19_Расчет_аналитики'!AG459)=0,24&lt;='01_Вводные'!$B$297),0,('19_Расчет_аналитики'!AG431-'19_Расчет_аналитики'!AG459)*IF('01_Вводные'!$B$239="Да",MeanMinAge24+'19_Расчет_аналитики'!AG560*SUMIF(ThresholdAge24,"&lt;"&amp;'19_Расчет_аналитики'!AG560,WeightedRevAge24)-SUMIF(ThresholdAge24,"&lt;"&amp;'19_Расчет_аналитики'!AG560,WeightedMinAge24),MAX(CapacityAge24*'01_Вводные'!$B$218*'19_Расчет_аналитики'!AG560,MeanMinAge24)))</f>
        <v/>
      </c>
      <c r="AH515">
        <f>IF(OR(('19_Расчет_аналитики'!AH431-'19_Расчет_аналитики'!AH459)=0,24&lt;='01_Вводные'!$B$297),0,('19_Расчет_аналитики'!AH431-'19_Расчет_аналитики'!AH459)*IF('01_Вводные'!$B$239="Да",MeanMinAge24+'19_Расчет_аналитики'!AH560*SUMIF(ThresholdAge24,"&lt;"&amp;'19_Расчет_аналитики'!AH560,WeightedRevAge24)-SUMIF(ThresholdAge24,"&lt;"&amp;'19_Расчет_аналитики'!AH560,WeightedMinAge24),MAX(CapacityAge24*'01_Вводные'!$B$218*'19_Расчет_аналитики'!AH560,MeanMinAge24)))</f>
        <v/>
      </c>
      <c r="AI515">
        <f>IF(OR(('19_Расчет_аналитики'!AI431-'19_Расчет_аналитики'!AI459)=0,24&lt;='01_Вводные'!$B$297),0,('19_Расчет_аналитики'!AI431-'19_Расчет_аналитики'!AI459)*IF('01_Вводные'!$B$239="Да",MeanMinAge24+'19_Расчет_аналитики'!AI560*SUMIF(ThresholdAge24,"&lt;"&amp;'19_Расчет_аналитики'!AI560,WeightedRevAge24)-SUMIF(ThresholdAge24,"&lt;"&amp;'19_Расчет_аналитики'!AI560,WeightedMinAge24),MAX(CapacityAge24*'01_Вводные'!$B$218*'19_Расчет_аналитики'!AI560,MeanMinAge24)))</f>
        <v/>
      </c>
      <c r="AJ515">
        <f>IF(OR(('19_Расчет_аналитики'!AJ431-'19_Расчет_аналитики'!AJ459)=0,24&lt;='01_Вводные'!$B$297),0,('19_Расчет_аналитики'!AJ431-'19_Расчет_аналитики'!AJ459)*IF('01_Вводные'!$B$239="Да",MeanMinAge24+'19_Расчет_аналитики'!AJ560*SUMIF(ThresholdAge24,"&lt;"&amp;'19_Расчет_аналитики'!AJ560,WeightedRevAge24)-SUMIF(ThresholdAge24,"&lt;"&amp;'19_Расчет_аналитики'!AJ560,WeightedMinAge24),MAX(CapacityAge24*'01_Вводные'!$B$218*'19_Расчет_аналитики'!AJ560,MeanMinAge24)))</f>
        <v/>
      </c>
      <c r="AK515">
        <f>IF(OR(('19_Расчет_аналитики'!AK431-'19_Расчет_аналитики'!AK459)=0,24&lt;='01_Вводные'!$B$297),0,('19_Расчет_аналитики'!AK431-'19_Расчет_аналитики'!AK459)*IF('01_Вводные'!$B$239="Да",MeanMinAge24+'19_Расчет_аналитики'!AK560*SUMIF(ThresholdAge24,"&lt;"&amp;'19_Расчет_аналитики'!AK560,WeightedRevAge24)-SUMIF(ThresholdAge24,"&lt;"&amp;'19_Расчет_аналитики'!AK560,WeightedMinAge24),MAX(CapacityAge24*'01_Вводные'!$B$218*'19_Расчет_аналитики'!AK560,MeanMinAge24)))</f>
        <v/>
      </c>
      <c r="AL515">
        <f>IF(OR(('19_Расчет_аналитики'!AL431-'19_Расчет_аналитики'!AL459)=0,24&lt;='01_Вводные'!$B$297),0,('19_Расчет_аналитики'!AL431-'19_Расчет_аналитики'!AL459)*IF('01_Вводные'!$B$239="Да",MeanMinAge24+'19_Расчет_аналитики'!AL560*SUMIF(ThresholdAge24,"&lt;"&amp;'19_Расчет_аналитики'!AL560,WeightedRevAge24)-SUMIF(ThresholdAge24,"&lt;"&amp;'19_Расчет_аналитики'!AL560,WeightedMinAge24),MAX(CapacityAge24*'01_Вводные'!$B$218*'19_Расчет_аналитики'!AL560,MeanMinAge24)))</f>
        <v/>
      </c>
      <c r="AM515">
        <f>IF(OR(('19_Расчет_аналитики'!AM431-'19_Расчет_аналитики'!AM459)=0,24&lt;='01_Вводные'!$B$297),0,('19_Расчет_аналитики'!AM431-'19_Расчет_аналитики'!AM459)*IF('01_Вводные'!$B$239="Да",MeanMinAge24+'19_Расчет_аналитики'!AM560*SUMIF(ThresholdAge24,"&lt;"&amp;'19_Расчет_аналитики'!AM560,WeightedRevAge24)-SUMIF(ThresholdAge24,"&lt;"&amp;'19_Расчет_аналитики'!AM560,WeightedMinAge24),MAX(CapacityAge24*'01_Вводные'!$B$218*'19_Расчет_аналитики'!AM560,MeanMinAge24)))</f>
        <v/>
      </c>
      <c r="AN515">
        <f>IF(OR(('19_Расчет_аналитики'!AN431-'19_Расчет_аналитики'!AN459)=0,24&lt;='01_Вводные'!$B$297),0,('19_Расчет_аналитики'!AN431-'19_Расчет_аналитики'!AN459)*IF('01_Вводные'!$B$239="Да",MeanMinAge24+'19_Расчет_аналитики'!AN560*SUMIF(ThresholdAge24,"&lt;"&amp;'19_Расчет_аналитики'!AN560,WeightedRevAge24)-SUMIF(ThresholdAge24,"&lt;"&amp;'19_Расчет_аналитики'!AN560,WeightedMinAge24),MAX(CapacityAge24*'01_Вводные'!$B$218*'19_Расчет_аналитики'!AN560,MeanMinAge24)))</f>
        <v/>
      </c>
      <c r="AO515">
        <f>IF(OR(('19_Расчет_аналитики'!AO431-'19_Расчет_аналитики'!AO459)=0,24&lt;='01_Вводные'!$B$297),0,('19_Расчет_аналитики'!AO431-'19_Расчет_аналитики'!AO459)*IF('01_Вводные'!$B$239="Да",MeanMinAge24+'19_Расчет_аналитики'!AO560*SUMIF(ThresholdAge24,"&lt;"&amp;'19_Расчет_аналитики'!AO560,WeightedRevAge24)-SUMIF(ThresholdAge24,"&lt;"&amp;'19_Расчет_аналитики'!AO560,WeightedMinAge24),MAX(CapacityAge24*'01_Вводные'!$B$218*'19_Расчет_аналитики'!AO560,MeanMinAge24)))</f>
        <v/>
      </c>
      <c r="AP515">
        <f>IF(OR(('19_Расчет_аналитики'!AP431-'19_Расчет_аналитики'!AP459)=0,24&lt;='01_Вводные'!$B$297),0,('19_Расчет_аналитики'!AP431-'19_Расчет_аналитики'!AP459)*IF('01_Вводные'!$B$239="Да",MeanMinAge24+'19_Расчет_аналитики'!AP560*SUMIF(ThresholdAge24,"&lt;"&amp;'19_Расчет_аналитики'!AP560,WeightedRevAge24)-SUMIF(ThresholdAge24,"&lt;"&amp;'19_Расчет_аналитики'!AP560,WeightedMinAge24),MAX(CapacityAge24*'01_Вводные'!$B$218*'19_Расчет_аналитики'!AP560,MeanMinAge24)))</f>
        <v/>
      </c>
      <c r="AQ515">
        <f>IF(OR(('19_Расчет_аналитики'!AQ431-'19_Расчет_аналитики'!AQ459)=0,24&lt;='01_Вводные'!$B$297),0,('19_Расчет_аналитики'!AQ431-'19_Расчет_аналитики'!AQ459)*IF('01_Вводные'!$B$239="Да",MeanMinAge24+'19_Расчет_аналитики'!AQ560*SUMIF(ThresholdAge24,"&lt;"&amp;'19_Расчет_аналитики'!AQ560,WeightedRevAge24)-SUMIF(ThresholdAge24,"&lt;"&amp;'19_Расчет_аналитики'!AQ560,WeightedMinAge24),MAX(CapacityAge24*'01_Вводные'!$B$218*'19_Расчет_аналитики'!AQ560,MeanMinAge24)))</f>
        <v/>
      </c>
      <c r="AR515">
        <f>IF(OR(('19_Расчет_аналитики'!AR431-'19_Расчет_аналитики'!AR459)=0,24&lt;='01_Вводные'!$B$297),0,('19_Расчет_аналитики'!AR431-'19_Расчет_аналитики'!AR459)*IF('01_Вводные'!$B$239="Да",MeanMinAge24+'19_Расчет_аналитики'!AR560*SUMIF(ThresholdAge24,"&lt;"&amp;'19_Расчет_аналитики'!AR560,WeightedRevAge24)-SUMIF(ThresholdAge24,"&lt;"&amp;'19_Расчет_аналитики'!AR560,WeightedMinAge24),MAX(CapacityAge24*'01_Вводные'!$B$218*'19_Расчет_аналитики'!AR560,MeanMinAge24)))</f>
        <v/>
      </c>
      <c r="AS515">
        <f>IF(OR(('19_Расчет_аналитики'!AS431-'19_Расчет_аналитики'!AS459)=0,24&lt;='01_Вводные'!$B$297),0,('19_Расчет_аналитики'!AS431-'19_Расчет_аналитики'!AS459)*IF('01_Вводные'!$B$239="Да",MeanMinAge24+'19_Расчет_аналитики'!AS560*SUMIF(ThresholdAge24,"&lt;"&amp;'19_Расчет_аналитики'!AS560,WeightedRevAge24)-SUMIF(ThresholdAge24,"&lt;"&amp;'19_Расчет_аналитики'!AS560,WeightedMinAge24),MAX(CapacityAge24*'01_Вводные'!$B$218*'19_Расчет_аналитики'!AS560,MeanMinAge24)))</f>
        <v/>
      </c>
      <c r="AT515">
        <f>IF(OR(('19_Расчет_аналитики'!AT431-'19_Расчет_аналитики'!AT459)=0,24&lt;='01_Вводные'!$B$297),0,('19_Расчет_аналитики'!AT431-'19_Расчет_аналитики'!AT459)*IF('01_Вводные'!$B$239="Да",MeanMinAge24+'19_Расчет_аналитики'!AT560*SUMIF(ThresholdAge24,"&lt;"&amp;'19_Расчет_аналитики'!AT560,WeightedRevAge24)-SUMIF(ThresholdAge24,"&lt;"&amp;'19_Расчет_аналитики'!AT560,WeightedMinAge24),MAX(CapacityAge24*'01_Вводные'!$B$218*'19_Расчет_аналитики'!AT560,MeanMinAge24)))</f>
        <v/>
      </c>
      <c r="AU515">
        <f>IF(OR(('19_Расчет_аналитики'!AU431-'19_Расчет_аналитики'!AU459)=0,24&lt;='01_Вводные'!$B$297),0,('19_Расчет_аналитики'!AU431-'19_Расчет_аналитики'!AU459)*IF('01_Вводные'!$B$239="Да",MeanMinAge24+'19_Расчет_аналитики'!AU560*SUMIF(ThresholdAge24,"&lt;"&amp;'19_Расчет_аналитики'!AU560,WeightedRevAge24)-SUMIF(ThresholdAge24,"&lt;"&amp;'19_Расчет_аналитики'!AU560,WeightedMinAge24),MAX(CapacityAge24*'01_Вводные'!$B$218*'19_Расчет_аналитики'!AU560,MeanMinAge24)))</f>
        <v/>
      </c>
      <c r="AV515">
        <f>IF(OR(('19_Расчет_аналитики'!AV431-'19_Расчет_аналитики'!AV459)=0,24&lt;='01_Вводные'!$B$297),0,('19_Расчет_аналитики'!AV431-'19_Расчет_аналитики'!AV459)*IF('01_Вводные'!$B$239="Да",MeanMinAge24+'19_Расчет_аналитики'!AV560*SUMIF(ThresholdAge24,"&lt;"&amp;'19_Расчет_аналитики'!AV560,WeightedRevAge24)-SUMIF(ThresholdAge24,"&lt;"&amp;'19_Расчет_аналитики'!AV560,WeightedMinAge24),MAX(CapacityAge24*'01_Вводные'!$B$218*'19_Расчет_аналитики'!AV560,MeanMinAge24)))</f>
        <v/>
      </c>
      <c r="AW515">
        <f>IF(OR(('19_Расчет_аналитики'!AW431-'19_Расчет_аналитики'!AW459)=0,24&lt;='01_Вводные'!$B$297),0,('19_Расчет_аналитики'!AW431-'19_Расчет_аналитики'!AW459)*IF('01_Вводные'!$B$239="Да",MeanMinAge24+'19_Расчет_аналитики'!AW560*SUMIF(ThresholdAge24,"&lt;"&amp;'19_Расчет_аналитики'!AW560,WeightedRevAge24)-SUMIF(ThresholdAge24,"&lt;"&amp;'19_Расчет_аналитики'!AW560,WeightedMinAge24),MAX(CapacityAge24*'01_Вводные'!$B$218*'19_Расчет_аналитики'!AW560,MeanMinAge24)))</f>
        <v/>
      </c>
      <c r="AX515">
        <f>IF(OR(('19_Расчет_аналитики'!AX431-'19_Расчет_аналитики'!AX459)=0,24&lt;='01_Вводные'!$B$297),0,('19_Расчет_аналитики'!AX431-'19_Расчет_аналитики'!AX459)*IF('01_Вводные'!$B$239="Да",MeanMinAge24+'19_Расчет_аналитики'!AX560*SUMIF(ThresholdAge24,"&lt;"&amp;'19_Расчет_аналитики'!AX560,WeightedRevAge24)-SUMIF(ThresholdAge24,"&lt;"&amp;'19_Расчет_аналитики'!AX560,WeightedMinAge24),MAX(CapacityAge24*'01_Вводные'!$B$218*'19_Расчет_аналитики'!AX560,MeanMinAge24)))</f>
        <v/>
      </c>
      <c r="AY515">
        <f>IF(OR(('19_Расчет_аналитики'!AY431-'19_Расчет_аналитики'!AY459)=0,24&lt;='01_Вводные'!$B$297),0,('19_Расчет_аналитики'!AY431-'19_Расчет_аналитики'!AY459)*IF('01_Вводные'!$B$239="Да",MeanMinAge24+'19_Расчет_аналитики'!AY560*SUMIF(ThresholdAge24,"&lt;"&amp;'19_Расчет_аналитики'!AY560,WeightedRevAge24)-SUMIF(ThresholdAge24,"&lt;"&amp;'19_Расчет_аналитики'!AY560,WeightedMinAge24),MAX(CapacityAge24*'01_Вводные'!$B$218*'19_Расчет_аналитики'!AY560,MeanMinAge24)))</f>
        <v/>
      </c>
      <c r="AZ515">
        <f>IF(OR(('19_Расчет_аналитики'!AZ431-'19_Расчет_аналитики'!AZ459)=0,24&lt;='01_Вводные'!$B$297),0,('19_Расчет_аналитики'!AZ431-'19_Расчет_аналитики'!AZ459)*IF('01_Вводные'!$B$239="Да",MeanMinAge24+'19_Расчет_аналитики'!AZ560*SUMIF(ThresholdAge24,"&lt;"&amp;'19_Расчет_аналитики'!AZ560,WeightedRevAge24)-SUMIF(ThresholdAge24,"&lt;"&amp;'19_Расчет_аналитики'!AZ560,WeightedMinAge24),MAX(CapacityAge24*'01_Вводные'!$B$218*'19_Расчет_аналитики'!AZ560,MeanMinAge24)))</f>
        <v/>
      </c>
      <c r="BA515">
        <f>IF(OR(('19_Расчет_аналитики'!BA431-'19_Расчет_аналитики'!BA459)=0,24&lt;='01_Вводные'!$B$297),0,('19_Расчет_аналитики'!BA431-'19_Расчет_аналитики'!BA459)*IF('01_Вводные'!$B$239="Да",MeanMinAge24+'19_Расчет_аналитики'!BA560*SUMIF(ThresholdAge24,"&lt;"&amp;'19_Расчет_аналитики'!BA560,WeightedRevAge24)-SUMIF(ThresholdAge24,"&lt;"&amp;'19_Расчет_аналитики'!BA560,WeightedMinAge24),MAX(CapacityAge24*'01_Вводные'!$B$218*'19_Расчет_аналитики'!BA560,MeanMinAge24)))</f>
        <v/>
      </c>
      <c r="BB515">
        <f>IF(OR(('19_Расчет_аналитики'!BB431-'19_Расчет_аналитики'!BB459)=0,24&lt;='01_Вводные'!$B$297),0,('19_Расчет_аналитики'!BB431-'19_Расчет_аналитики'!BB459)*IF('01_Вводные'!$B$239="Да",MeanMinAge24+'19_Расчет_аналитики'!BB560*SUMIF(ThresholdAge24,"&lt;"&amp;'19_Расчет_аналитики'!BB560,WeightedRevAge24)-SUMIF(ThresholdAge24,"&lt;"&amp;'19_Расчет_аналитики'!BB560,WeightedMinAge24),MAX(CapacityAge24*'01_Вводные'!$B$218*'19_Расчет_аналитики'!BB560,MeanMinAge24)))</f>
        <v/>
      </c>
      <c r="BC515">
        <f>IF(OR(('19_Расчет_аналитики'!BC431-'19_Расчет_аналитики'!BC459)=0,24&lt;='01_Вводные'!$B$297),0,('19_Расчет_аналитики'!BC431-'19_Расчет_аналитики'!BC459)*IF('01_Вводные'!$B$239="Да",MeanMinAge24+'19_Расчет_аналитики'!BC560*SUMIF(ThresholdAge24,"&lt;"&amp;'19_Расчет_аналитики'!BC560,WeightedRevAge24)-SUMIF(ThresholdAge24,"&lt;"&amp;'19_Расчет_аналитики'!BC560,WeightedMinAge24),MAX(CapacityAge24*'01_Вводные'!$B$218*'19_Расчет_аналитики'!BC560,MeanMinAge24)))</f>
        <v/>
      </c>
      <c r="BD515">
        <f>IF(OR(('19_Расчет_аналитики'!BD431-'19_Расчет_аналитики'!BD459)=0,24&lt;='01_Вводные'!$B$297),0,('19_Расчет_аналитики'!BD431-'19_Расчет_аналитики'!BD459)*IF('01_Вводные'!$B$239="Да",MeanMinAge24+'19_Расчет_аналитики'!BD560*SUMIF(ThresholdAge24,"&lt;"&amp;'19_Расчет_аналитики'!BD560,WeightedRevAge24)-SUMIF(ThresholdAge24,"&lt;"&amp;'19_Расчет_аналитики'!BD560,WeightedMinAge24),MAX(CapacityAge24*'01_Вводные'!$B$218*'19_Расчет_аналитики'!BD560,MeanMinAge24)))</f>
        <v/>
      </c>
      <c r="BE515">
        <f>IF(OR(('19_Расчет_аналитики'!BE431-'19_Расчет_аналитики'!BE459)=0,24&lt;='01_Вводные'!$B$297),0,('19_Расчет_аналитики'!BE431-'19_Расчет_аналитики'!BE459)*IF('01_Вводные'!$B$239="Да",MeanMinAge24+'19_Расчет_аналитики'!BE560*SUMIF(ThresholdAge24,"&lt;"&amp;'19_Расчет_аналитики'!BE560,WeightedRevAge24)-SUMIF(ThresholdAge24,"&lt;"&amp;'19_Расчет_аналитики'!BE560,WeightedMinAge24),MAX(CapacityAge24*'01_Вводные'!$B$218*'19_Расчет_аналитики'!BE560,MeanMinAge24)))</f>
        <v/>
      </c>
      <c r="BF515">
        <f>IF(OR(('19_Расчет_аналитики'!BF431-'19_Расчет_аналитики'!BF459)=0,24&lt;='01_Вводные'!$B$297),0,('19_Расчет_аналитики'!BF431-'19_Расчет_аналитики'!BF459)*IF('01_Вводные'!$B$239="Да",MeanMinAge24+'19_Расчет_аналитики'!BF560*SUMIF(ThresholdAge24,"&lt;"&amp;'19_Расчет_аналитики'!BF560,WeightedRevAge24)-SUMIF(ThresholdAge24,"&lt;"&amp;'19_Расчет_аналитики'!BF560,WeightedMinAge24),MAX(CapacityAge24*'01_Вводные'!$B$218*'19_Расчет_аналитики'!BF560,MeanMinAge24)))</f>
        <v/>
      </c>
      <c r="BG515">
        <f>IF(OR(('19_Расчет_аналитики'!BG431-'19_Расчет_аналитики'!BG459)=0,24&lt;='01_Вводные'!$B$297),0,('19_Расчет_аналитики'!BG431-'19_Расчет_аналитики'!BG459)*IF('01_Вводные'!$B$239="Да",MeanMinAge24+'19_Расчет_аналитики'!BG560*SUMIF(ThresholdAge24,"&lt;"&amp;'19_Расчет_аналитики'!BG560,WeightedRevAge24)-SUMIF(ThresholdAge24,"&lt;"&amp;'19_Расчет_аналитики'!BG560,WeightedMinAge24),MAX(CapacityAge24*'01_Вводные'!$B$218*'19_Расчет_аналитики'!BG560,MeanMinAge24)))</f>
        <v/>
      </c>
      <c r="BH515">
        <f>IF(OR(('19_Расчет_аналитики'!BH431-'19_Расчет_аналитики'!BH459)=0,24&lt;='01_Вводные'!$B$297),0,('19_Расчет_аналитики'!BH431-'19_Расчет_аналитики'!BH459)*IF('01_Вводные'!$B$239="Да",MeanMinAge24+'19_Расчет_аналитики'!BH560*SUMIF(ThresholdAge24,"&lt;"&amp;'19_Расчет_аналитики'!BH560,WeightedRevAge24)-SUMIF(ThresholdAge24,"&lt;"&amp;'19_Расчет_аналитики'!BH560,WeightedMinAge24),MAX(CapacityAge24*'01_Вводные'!$B$218*'19_Расчет_аналитики'!BH560,MeanMinAge24)))</f>
        <v/>
      </c>
      <c r="BI515">
        <f>IF(OR(('19_Расчет_аналитики'!BI431-'19_Расчет_аналитики'!BI459)=0,24&lt;='01_Вводные'!$B$297),0,('19_Расчет_аналитики'!BI431-'19_Расчет_аналитики'!BI459)*IF('01_Вводные'!$B$239="Да",MeanMinAge24+'19_Расчет_аналитики'!BI560*SUMIF(ThresholdAge24,"&lt;"&amp;'19_Расчет_аналитики'!BI560,WeightedRevAge24)-SUMIF(ThresholdAge24,"&lt;"&amp;'19_Расчет_аналитики'!BI560,WeightedMinAge24),MAX(CapacityAge24*'01_Вводные'!$B$218*'19_Расчет_аналитики'!BI560,MeanMinAge24)))</f>
        <v/>
      </c>
      <c r="BJ515">
        <f>IF(OR(('19_Расчет_аналитики'!BJ431-'19_Расчет_аналитики'!BJ459)=0,24&lt;='01_Вводные'!$B$297),0,('19_Расчет_аналитики'!BJ431-'19_Расчет_аналитики'!BJ459)*IF('01_Вводные'!$B$239="Да",MeanMinAge24+'19_Расчет_аналитики'!BJ560*SUMIF(ThresholdAge24,"&lt;"&amp;'19_Расчет_аналитики'!BJ560,WeightedRevAge24)-SUMIF(ThresholdAge24,"&lt;"&amp;'19_Расчет_аналитики'!BJ560,WeightedMinAge24),MAX(CapacityAge24*'01_Вводные'!$B$218*'19_Расчет_аналитики'!BJ560,MeanMinAge24)))</f>
        <v/>
      </c>
      <c r="BK515">
        <f>IF(OR(('19_Расчет_аналитики'!BK431-'19_Расчет_аналитики'!BK459)=0,24&lt;='01_Вводные'!$B$297),0,('19_Расчет_аналитики'!BK431-'19_Расчет_аналитики'!BK459)*IF('01_Вводные'!$B$239="Да",MeanMinAge24+'19_Расчет_аналитики'!BK560*SUMIF(ThresholdAge24,"&lt;"&amp;'19_Расчет_аналитики'!BK560,WeightedRevAge24)-SUMIF(ThresholdAge24,"&lt;"&amp;'19_Расчет_аналитики'!BK560,WeightedMinAge24),MAX(CapacityAge24*'01_Вводные'!$B$218*'19_Расчет_аналитики'!BK560,MeanMinAge24)))</f>
        <v/>
      </c>
      <c r="BL515">
        <f>IF(OR(('19_Расчет_аналитики'!BL431-'19_Расчет_аналитики'!BL459)=0,24&lt;='01_Вводные'!$B$297),0,('19_Расчет_аналитики'!BL431-'19_Расчет_аналитики'!BL459)*IF('01_Вводные'!$B$239="Да",MeanMinAge24+'19_Расчет_аналитики'!BL560*SUMIF(ThresholdAge24,"&lt;"&amp;'19_Расчет_аналитики'!BL560,WeightedRevAge24)-SUMIF(ThresholdAge24,"&lt;"&amp;'19_Расчет_аналитики'!BL560,WeightedMinAge24),MAX(CapacityAge24*'01_Вводные'!$B$218*'19_Расчет_аналитики'!BL560,MeanMinAge24)))</f>
        <v/>
      </c>
      <c r="BM515">
        <f>IF(OR(('19_Расчет_аналитики'!BM431-'19_Расчет_аналитики'!BM459)=0,24&lt;='01_Вводные'!$B$297),0,('19_Расчет_аналитики'!BM431-'19_Расчет_аналитики'!BM459)*IF('01_Вводные'!$B$239="Да",MeanMinAge24+'19_Расчет_аналитики'!BM560*SUMIF(ThresholdAge24,"&lt;"&amp;'19_Расчет_аналитики'!BM560,WeightedRevAge24)-SUMIF(ThresholdAge24,"&lt;"&amp;'19_Расчет_аналитики'!BM560,WeightedMinAge24),MAX(CapacityAge24*'01_Вводные'!$B$218*'19_Расчет_аналитики'!BM560,MeanMinAge24)))</f>
        <v/>
      </c>
      <c r="BN515">
        <f>IF(OR(('19_Расчет_аналитики'!BN431-'19_Расчет_аналитики'!BN459)=0,24&lt;='01_Вводные'!$B$297),0,('19_Расчет_аналитики'!BN431-'19_Расчет_аналитики'!BN459)*IF('01_Вводные'!$B$239="Да",MeanMinAge24+'19_Расчет_аналитики'!BN560*SUMIF(ThresholdAge24,"&lt;"&amp;'19_Расчет_аналитики'!BN560,WeightedRevAge24)-SUMIF(ThresholdAge24,"&lt;"&amp;'19_Расчет_аналитики'!BN560,WeightedMinAge24),MAX(CapacityAge24*'01_Вводные'!$B$218*'19_Расчет_аналитики'!BN560,MeanMinAge24)))</f>
        <v/>
      </c>
      <c r="BO515">
        <f>IF(OR(('19_Расчет_аналитики'!BO431-'19_Расчет_аналитики'!BO459)=0,24&lt;='01_Вводные'!$B$297),0,('19_Расчет_аналитики'!BO431-'19_Расчет_аналитики'!BO459)*IF('01_Вводные'!$B$239="Да",MeanMinAge24+'19_Расчет_аналитики'!BO560*SUMIF(ThresholdAge24,"&lt;"&amp;'19_Расчет_аналитики'!BO560,WeightedRevAge24)-SUMIF(ThresholdAge24,"&lt;"&amp;'19_Расчет_аналитики'!BO560,WeightedMinAge24),MAX(CapacityAge24*'01_Вводные'!$B$218*'19_Расчет_аналитики'!BO560,MeanMinAge24)))</f>
        <v/>
      </c>
    </row>
    <row r="516">
      <c r="B516">
        <f>IF(OR(('06_Сеть_и_дети'!B77-'06_Сеть_и_дети'!B105)=0,25&lt;='01_Вводные'!$B$297),0,('06_Сеть_и_дети'!B77-'06_Сеть_и_дети'!B105)*IF('01_Вводные'!$B$239="Да",MeanMinAge25+'19_Расчет_аналитики'!B560*SUMIF(ThresholdAge25,"&lt;"&amp;'19_Расчет_аналитики'!B560,WeightedRevAge25)-SUMIF(ThresholdAge25,"&lt;"&amp;'19_Расчет_аналитики'!B560,WeightedMinAge25),MAX(CapacityAge25*'01_Вводные'!$B$218*'19_Расчет_аналитики'!B560,MeanMinAge25)))</f>
        <v/>
      </c>
      <c r="C516">
        <f>IF(OR(('06_Сеть_и_дети'!C77-'06_Сеть_и_дети'!C105)=0,25&lt;='01_Вводные'!$B$297),0,('06_Сеть_и_дети'!C77-'06_Сеть_и_дети'!C105)*IF('01_Вводные'!$B$239="Да",MeanMinAge25+'19_Расчет_аналитики'!C560*SUMIF(ThresholdAge25,"&lt;"&amp;'19_Расчет_аналитики'!C560,WeightedRevAge25)-SUMIF(ThresholdAge25,"&lt;"&amp;'19_Расчет_аналитики'!C560,WeightedMinAge25),MAX(CapacityAge25*'01_Вводные'!$B$218*'19_Расчет_аналитики'!C560,MeanMinAge25)))</f>
        <v/>
      </c>
      <c r="D516">
        <f>IF(OR(('06_Сеть_и_дети'!D77-'06_Сеть_и_дети'!D105)=0,25&lt;='01_Вводные'!$B$297),0,('06_Сеть_и_дети'!D77-'06_Сеть_и_дети'!D105)*IF('01_Вводные'!$B$239="Да",MeanMinAge25+'19_Расчет_аналитики'!D560*SUMIF(ThresholdAge25,"&lt;"&amp;'19_Расчет_аналитики'!D560,WeightedRevAge25)-SUMIF(ThresholdAge25,"&lt;"&amp;'19_Расчет_аналитики'!D560,WeightedMinAge25),MAX(CapacityAge25*'01_Вводные'!$B$218*'19_Расчет_аналитики'!D560,MeanMinAge25)))</f>
        <v/>
      </c>
      <c r="E516">
        <f>IF(OR(('06_Сеть_и_дети'!E77-'06_Сеть_и_дети'!E105)=0,25&lt;='01_Вводные'!$B$297),0,('06_Сеть_и_дети'!E77-'06_Сеть_и_дети'!E105)*IF('01_Вводные'!$B$239="Да",MeanMinAge25+'19_Расчет_аналитики'!E560*SUMIF(ThresholdAge25,"&lt;"&amp;'19_Расчет_аналитики'!E560,WeightedRevAge25)-SUMIF(ThresholdAge25,"&lt;"&amp;'19_Расчет_аналитики'!E560,WeightedMinAge25),MAX(CapacityAge25*'01_Вводные'!$B$218*'19_Расчет_аналитики'!E560,MeanMinAge25)))</f>
        <v/>
      </c>
      <c r="F516">
        <f>IF(OR(('06_Сеть_и_дети'!F77-'06_Сеть_и_дети'!F105)=0,25&lt;='01_Вводные'!$B$297),0,('06_Сеть_и_дети'!F77-'06_Сеть_и_дети'!F105)*IF('01_Вводные'!$B$239="Да",MeanMinAge25+'19_Расчет_аналитики'!F560*SUMIF(ThresholdAge25,"&lt;"&amp;'19_Расчет_аналитики'!F560,WeightedRevAge25)-SUMIF(ThresholdAge25,"&lt;"&amp;'19_Расчет_аналитики'!F560,WeightedMinAge25),MAX(CapacityAge25*'01_Вводные'!$B$218*'19_Расчет_аналитики'!F560,MeanMinAge25)))</f>
        <v/>
      </c>
      <c r="G516">
        <f>IF(OR(('06_Сеть_и_дети'!G77-'06_Сеть_и_дети'!G105)=0,25&lt;='01_Вводные'!$B$297),0,('06_Сеть_и_дети'!G77-'06_Сеть_и_дети'!G105)*IF('01_Вводные'!$B$239="Да",MeanMinAge25+'19_Расчет_аналитики'!G560*SUMIF(ThresholdAge25,"&lt;"&amp;'19_Расчет_аналитики'!G560,WeightedRevAge25)-SUMIF(ThresholdAge25,"&lt;"&amp;'19_Расчет_аналитики'!G560,WeightedMinAge25),MAX(CapacityAge25*'01_Вводные'!$B$218*'19_Расчет_аналитики'!G560,MeanMinAge25)))</f>
        <v/>
      </c>
      <c r="H516">
        <f>IF(OR(('06_Сеть_и_дети'!H77-'06_Сеть_и_дети'!H105)=0,25&lt;='01_Вводные'!$B$297),0,('06_Сеть_и_дети'!H77-'06_Сеть_и_дети'!H105)*IF('01_Вводные'!$B$239="Да",MeanMinAge25+'19_Расчет_аналитики'!H560*SUMIF(ThresholdAge25,"&lt;"&amp;'19_Расчет_аналитики'!H560,WeightedRevAge25)-SUMIF(ThresholdAge25,"&lt;"&amp;'19_Расчет_аналитики'!H560,WeightedMinAge25),MAX(CapacityAge25*'01_Вводные'!$B$218*'19_Расчет_аналитики'!H560,MeanMinAge25)))</f>
        <v/>
      </c>
      <c r="I516">
        <f>IF(OR(('06_Сеть_и_дети'!I77-'06_Сеть_и_дети'!I105)=0,25&lt;='01_Вводные'!$B$297),0,('06_Сеть_и_дети'!I77-'06_Сеть_и_дети'!I105)*IF('01_Вводные'!$B$239="Да",MeanMinAge25+'19_Расчет_аналитики'!I560*SUMIF(ThresholdAge25,"&lt;"&amp;'19_Расчет_аналитики'!I560,WeightedRevAge25)-SUMIF(ThresholdAge25,"&lt;"&amp;'19_Расчет_аналитики'!I560,WeightedMinAge25),MAX(CapacityAge25*'01_Вводные'!$B$218*'19_Расчет_аналитики'!I560,MeanMinAge25)))</f>
        <v/>
      </c>
      <c r="J516">
        <f>IF(OR(('06_Сеть_и_дети'!J77-'06_Сеть_и_дети'!J105)=0,25&lt;='01_Вводные'!$B$297),0,('06_Сеть_и_дети'!J77-'06_Сеть_и_дети'!J105)*IF('01_Вводные'!$B$239="Да",MeanMinAge25+'19_Расчет_аналитики'!J560*SUMIF(ThresholdAge25,"&lt;"&amp;'19_Расчет_аналитики'!J560,WeightedRevAge25)-SUMIF(ThresholdAge25,"&lt;"&amp;'19_Расчет_аналитики'!J560,WeightedMinAge25),MAX(CapacityAge25*'01_Вводные'!$B$218*'19_Расчет_аналитики'!J560,MeanMinAge25)))</f>
        <v/>
      </c>
      <c r="K516">
        <f>IF(OR(('06_Сеть_и_дети'!K77-'06_Сеть_и_дети'!K105)=0,25&lt;='01_Вводные'!$B$297),0,('06_Сеть_и_дети'!K77-'06_Сеть_и_дети'!K105)*IF('01_Вводные'!$B$239="Да",MeanMinAge25+'19_Расчет_аналитики'!K560*SUMIF(ThresholdAge25,"&lt;"&amp;'19_Расчет_аналитики'!K560,WeightedRevAge25)-SUMIF(ThresholdAge25,"&lt;"&amp;'19_Расчет_аналитики'!K560,WeightedMinAge25),MAX(CapacityAge25*'01_Вводные'!$B$218*'19_Расчет_аналитики'!K560,MeanMinAge25)))</f>
        <v/>
      </c>
      <c r="L516">
        <f>IF(OR(('06_Сеть_и_дети'!L77-'06_Сеть_и_дети'!L105)=0,25&lt;='01_Вводные'!$B$297),0,('06_Сеть_и_дети'!L77-'06_Сеть_и_дети'!L105)*IF('01_Вводные'!$B$239="Да",MeanMinAge25+'19_Расчет_аналитики'!L560*SUMIF(ThresholdAge25,"&lt;"&amp;'19_Расчет_аналитики'!L560,WeightedRevAge25)-SUMIF(ThresholdAge25,"&lt;"&amp;'19_Расчет_аналитики'!L560,WeightedMinAge25),MAX(CapacityAge25*'01_Вводные'!$B$218*'19_Расчет_аналитики'!L560,MeanMinAge25)))</f>
        <v/>
      </c>
      <c r="M516">
        <f>IF(OR(('06_Сеть_и_дети'!M77-'06_Сеть_и_дети'!M105)=0,25&lt;='01_Вводные'!$B$297),0,('06_Сеть_и_дети'!M77-'06_Сеть_и_дети'!M105)*IF('01_Вводные'!$B$239="Да",MeanMinAge25+'19_Расчет_аналитики'!M560*SUMIF(ThresholdAge25,"&lt;"&amp;'19_Расчет_аналитики'!M560,WeightedRevAge25)-SUMIF(ThresholdAge25,"&lt;"&amp;'19_Расчет_аналитики'!M560,WeightedMinAge25),MAX(CapacityAge25*'01_Вводные'!$B$218*'19_Расчет_аналитики'!M560,MeanMinAge25)))</f>
        <v/>
      </c>
      <c r="N516">
        <f>IF(OR(('06_Сеть_и_дети'!N77-'06_Сеть_и_дети'!N105)=0,25&lt;='01_Вводные'!$B$297),0,('06_Сеть_и_дети'!N77-'06_Сеть_и_дети'!N105)*IF('01_Вводные'!$B$239="Да",MeanMinAge25+'19_Расчет_аналитики'!N560*SUMIF(ThresholdAge25,"&lt;"&amp;'19_Расчет_аналитики'!N560,WeightedRevAge25)-SUMIF(ThresholdAge25,"&lt;"&amp;'19_Расчет_аналитики'!N560,WeightedMinAge25),MAX(CapacityAge25*'01_Вводные'!$B$218*'19_Расчет_аналитики'!N560,MeanMinAge25)))</f>
        <v/>
      </c>
      <c r="O516">
        <f>IF(OR(('06_Сеть_и_дети'!O77-'06_Сеть_и_дети'!O105)=0,25&lt;='01_Вводные'!$B$297),0,('06_Сеть_и_дети'!O77-'06_Сеть_и_дети'!O105)*IF('01_Вводные'!$B$239="Да",MeanMinAge25+'19_Расчет_аналитики'!O560*SUMIF(ThresholdAge25,"&lt;"&amp;'19_Расчет_аналитики'!O560,WeightedRevAge25)-SUMIF(ThresholdAge25,"&lt;"&amp;'19_Расчет_аналитики'!O560,WeightedMinAge25),MAX(CapacityAge25*'01_Вводные'!$B$218*'19_Расчет_аналитики'!O560,MeanMinAge25)))</f>
        <v/>
      </c>
      <c r="P516">
        <f>IF(OR(('06_Сеть_и_дети'!P77-'06_Сеть_и_дети'!P105)=0,25&lt;='01_Вводные'!$B$297),0,('06_Сеть_и_дети'!P77-'06_Сеть_и_дети'!P105)*IF('01_Вводные'!$B$239="Да",MeanMinAge25+'19_Расчет_аналитики'!P560*SUMIF(ThresholdAge25,"&lt;"&amp;'19_Расчет_аналитики'!P560,WeightedRevAge25)-SUMIF(ThresholdAge25,"&lt;"&amp;'19_Расчет_аналитики'!P560,WeightedMinAge25),MAX(CapacityAge25*'01_Вводные'!$B$218*'19_Расчет_аналитики'!P560,MeanMinAge25)))</f>
        <v/>
      </c>
      <c r="Q516">
        <f>IF(OR(('06_Сеть_и_дети'!Q77-'06_Сеть_и_дети'!Q105)=0,25&lt;='01_Вводные'!$B$297),0,('06_Сеть_и_дети'!Q77-'06_Сеть_и_дети'!Q105)*IF('01_Вводные'!$B$239="Да",MeanMinAge25+'19_Расчет_аналитики'!Q560*SUMIF(ThresholdAge25,"&lt;"&amp;'19_Расчет_аналитики'!Q560,WeightedRevAge25)-SUMIF(ThresholdAge25,"&lt;"&amp;'19_Расчет_аналитики'!Q560,WeightedMinAge25),MAX(CapacityAge25*'01_Вводные'!$B$218*'19_Расчет_аналитики'!Q560,MeanMinAge25)))</f>
        <v/>
      </c>
      <c r="R516">
        <f>IF(OR(('06_Сеть_и_дети'!R77-'06_Сеть_и_дети'!R105)=0,25&lt;='01_Вводные'!$B$297),0,('06_Сеть_и_дети'!R77-'06_Сеть_и_дети'!R105)*IF('01_Вводные'!$B$239="Да",MeanMinAge25+'19_Расчет_аналитики'!R560*SUMIF(ThresholdAge25,"&lt;"&amp;'19_Расчет_аналитики'!R560,WeightedRevAge25)-SUMIF(ThresholdAge25,"&lt;"&amp;'19_Расчет_аналитики'!R560,WeightedMinAge25),MAX(CapacityAge25*'01_Вводные'!$B$218*'19_Расчет_аналитики'!R560,MeanMinAge25)))</f>
        <v/>
      </c>
      <c r="S516">
        <f>IF(OR(('06_Сеть_и_дети'!S77-'06_Сеть_и_дети'!S105)=0,25&lt;='01_Вводные'!$B$297),0,('06_Сеть_и_дети'!S77-'06_Сеть_и_дети'!S105)*IF('01_Вводные'!$B$239="Да",MeanMinAge25+'19_Расчет_аналитики'!S560*SUMIF(ThresholdAge25,"&lt;"&amp;'19_Расчет_аналитики'!S560,WeightedRevAge25)-SUMIF(ThresholdAge25,"&lt;"&amp;'19_Расчет_аналитики'!S560,WeightedMinAge25),MAX(CapacityAge25*'01_Вводные'!$B$218*'19_Расчет_аналитики'!S560,MeanMinAge25)))</f>
        <v/>
      </c>
      <c r="T516">
        <f>IF(OR(('06_Сеть_и_дети'!T77-'06_Сеть_и_дети'!T105)=0,25&lt;='01_Вводные'!$B$297),0,('06_Сеть_и_дети'!T77-'06_Сеть_и_дети'!T105)*IF('01_Вводные'!$B$239="Да",MeanMinAge25+'19_Расчет_аналитики'!T560*SUMIF(ThresholdAge25,"&lt;"&amp;'19_Расчет_аналитики'!T560,WeightedRevAge25)-SUMIF(ThresholdAge25,"&lt;"&amp;'19_Расчет_аналитики'!T560,WeightedMinAge25),MAX(CapacityAge25*'01_Вводные'!$B$218*'19_Расчет_аналитики'!T560,MeanMinAge25)))</f>
        <v/>
      </c>
      <c r="U516">
        <f>IF(OR(('06_Сеть_и_дети'!U77-'06_Сеть_и_дети'!U105)=0,25&lt;='01_Вводные'!$B$297),0,('06_Сеть_и_дети'!U77-'06_Сеть_и_дети'!U105)*IF('01_Вводные'!$B$239="Да",MeanMinAge25+'19_Расчет_аналитики'!U560*SUMIF(ThresholdAge25,"&lt;"&amp;'19_Расчет_аналитики'!U560,WeightedRevAge25)-SUMIF(ThresholdAge25,"&lt;"&amp;'19_Расчет_аналитики'!U560,WeightedMinAge25),MAX(CapacityAge25*'01_Вводные'!$B$218*'19_Расчет_аналитики'!U560,MeanMinAge25)))</f>
        <v/>
      </c>
      <c r="V516">
        <f>IF(OR(('06_Сеть_и_дети'!V77-'06_Сеть_и_дети'!V105)=0,25&lt;='01_Вводные'!$B$297),0,('06_Сеть_и_дети'!V77-'06_Сеть_и_дети'!V105)*IF('01_Вводные'!$B$239="Да",MeanMinAge25+'19_Расчет_аналитики'!V560*SUMIF(ThresholdAge25,"&lt;"&amp;'19_Расчет_аналитики'!V560,WeightedRevAge25)-SUMIF(ThresholdAge25,"&lt;"&amp;'19_Расчет_аналитики'!V560,WeightedMinAge25),MAX(CapacityAge25*'01_Вводные'!$B$218*'19_Расчет_аналитики'!V560,MeanMinAge25)))</f>
        <v/>
      </c>
      <c r="W516">
        <f>IF(OR(('06_Сеть_и_дети'!W77-'06_Сеть_и_дети'!W105)=0,25&lt;='01_Вводные'!$B$297),0,('06_Сеть_и_дети'!W77-'06_Сеть_и_дети'!W105)*IF('01_Вводные'!$B$239="Да",MeanMinAge25+'19_Расчет_аналитики'!W560*SUMIF(ThresholdAge25,"&lt;"&amp;'19_Расчет_аналитики'!W560,WeightedRevAge25)-SUMIF(ThresholdAge25,"&lt;"&amp;'19_Расчет_аналитики'!W560,WeightedMinAge25),MAX(CapacityAge25*'01_Вводные'!$B$218*'19_Расчет_аналитики'!W560,MeanMinAge25)))</f>
        <v/>
      </c>
      <c r="X516">
        <f>IF(OR(('06_Сеть_и_дети'!X77-'06_Сеть_и_дети'!X105)=0,25&lt;='01_Вводные'!$B$297),0,('06_Сеть_и_дети'!X77-'06_Сеть_и_дети'!X105)*IF('01_Вводные'!$B$239="Да",MeanMinAge25+'19_Расчет_аналитики'!X560*SUMIF(ThresholdAge25,"&lt;"&amp;'19_Расчет_аналитики'!X560,WeightedRevAge25)-SUMIF(ThresholdAge25,"&lt;"&amp;'19_Расчет_аналитики'!X560,WeightedMinAge25),MAX(CapacityAge25*'01_Вводные'!$B$218*'19_Расчет_аналитики'!X560,MeanMinAge25)))</f>
        <v/>
      </c>
      <c r="Y516">
        <f>IF(OR(('06_Сеть_и_дети'!Y77-'06_Сеть_и_дети'!Y105)=0,25&lt;='01_Вводные'!$B$297),0,('06_Сеть_и_дети'!Y77-'06_Сеть_и_дети'!Y105)*IF('01_Вводные'!$B$239="Да",MeanMinAge25+'19_Расчет_аналитики'!Y560*SUMIF(ThresholdAge25,"&lt;"&amp;'19_Расчет_аналитики'!Y560,WeightedRevAge25)-SUMIF(ThresholdAge25,"&lt;"&amp;'19_Расчет_аналитики'!Y560,WeightedMinAge25),MAX(CapacityAge25*'01_Вводные'!$B$218*'19_Расчет_аналитики'!Y560,MeanMinAge25)))</f>
        <v/>
      </c>
      <c r="Z516">
        <f>IF(OR(('19_Расчет_аналитики'!Z432-'19_Расчет_аналитики'!Z460)=0,25&lt;='01_Вводные'!$B$297),0,('19_Расчет_аналитики'!Z432-'19_Расчет_аналитики'!Z460)*IF('01_Вводные'!$B$239="Да",MeanMinAge25+'19_Расчет_аналитики'!Z560*SUMIF(ThresholdAge25,"&lt;"&amp;'19_Расчет_аналитики'!Z560,WeightedRevAge25)-SUMIF(ThresholdAge25,"&lt;"&amp;'19_Расчет_аналитики'!Z560,WeightedMinAge25),MAX(CapacityAge25*'01_Вводные'!$B$218*'19_Расчет_аналитики'!Z560,MeanMinAge25)))</f>
        <v/>
      </c>
      <c r="AA516">
        <f>IF(OR(('19_Расчет_аналитики'!AA432-'19_Расчет_аналитики'!AA460)=0,25&lt;='01_Вводные'!$B$297),0,('19_Расчет_аналитики'!AA432-'19_Расчет_аналитики'!AA460)*IF('01_Вводные'!$B$239="Да",MeanMinAge25+'19_Расчет_аналитики'!AA560*SUMIF(ThresholdAge25,"&lt;"&amp;'19_Расчет_аналитики'!AA560,WeightedRevAge25)-SUMIF(ThresholdAge25,"&lt;"&amp;'19_Расчет_аналитики'!AA560,WeightedMinAge25),MAX(CapacityAge25*'01_Вводные'!$B$218*'19_Расчет_аналитики'!AA560,MeanMinAge25)))</f>
        <v/>
      </c>
      <c r="AB516">
        <f>IF(OR(('19_Расчет_аналитики'!AB432-'19_Расчет_аналитики'!AB460)=0,25&lt;='01_Вводные'!$B$297),0,('19_Расчет_аналитики'!AB432-'19_Расчет_аналитики'!AB460)*IF('01_Вводные'!$B$239="Да",MeanMinAge25+'19_Расчет_аналитики'!AB560*SUMIF(ThresholdAge25,"&lt;"&amp;'19_Расчет_аналитики'!AB560,WeightedRevAge25)-SUMIF(ThresholdAge25,"&lt;"&amp;'19_Расчет_аналитики'!AB560,WeightedMinAge25),MAX(CapacityAge25*'01_Вводные'!$B$218*'19_Расчет_аналитики'!AB560,MeanMinAge25)))</f>
        <v/>
      </c>
      <c r="AC516">
        <f>IF(OR(('19_Расчет_аналитики'!AC432-'19_Расчет_аналитики'!AC460)=0,25&lt;='01_Вводные'!$B$297),0,('19_Расчет_аналитики'!AC432-'19_Расчет_аналитики'!AC460)*IF('01_Вводные'!$B$239="Да",MeanMinAge25+'19_Расчет_аналитики'!AC560*SUMIF(ThresholdAge25,"&lt;"&amp;'19_Расчет_аналитики'!AC560,WeightedRevAge25)-SUMIF(ThresholdAge25,"&lt;"&amp;'19_Расчет_аналитики'!AC560,WeightedMinAge25),MAX(CapacityAge25*'01_Вводные'!$B$218*'19_Расчет_аналитики'!AC560,MeanMinAge25)))</f>
        <v/>
      </c>
      <c r="AD516">
        <f>IF(OR(('19_Расчет_аналитики'!AD432-'19_Расчет_аналитики'!AD460)=0,25&lt;='01_Вводные'!$B$297),0,('19_Расчет_аналитики'!AD432-'19_Расчет_аналитики'!AD460)*IF('01_Вводные'!$B$239="Да",MeanMinAge25+'19_Расчет_аналитики'!AD560*SUMIF(ThresholdAge25,"&lt;"&amp;'19_Расчет_аналитики'!AD560,WeightedRevAge25)-SUMIF(ThresholdAge25,"&lt;"&amp;'19_Расчет_аналитики'!AD560,WeightedMinAge25),MAX(CapacityAge25*'01_Вводные'!$B$218*'19_Расчет_аналитики'!AD560,MeanMinAge25)))</f>
        <v/>
      </c>
      <c r="AE516">
        <f>IF(OR(('19_Расчет_аналитики'!AE432-'19_Расчет_аналитики'!AE460)=0,25&lt;='01_Вводные'!$B$297),0,('19_Расчет_аналитики'!AE432-'19_Расчет_аналитики'!AE460)*IF('01_Вводные'!$B$239="Да",MeanMinAge25+'19_Расчет_аналитики'!AE560*SUMIF(ThresholdAge25,"&lt;"&amp;'19_Расчет_аналитики'!AE560,WeightedRevAge25)-SUMIF(ThresholdAge25,"&lt;"&amp;'19_Расчет_аналитики'!AE560,WeightedMinAge25),MAX(CapacityAge25*'01_Вводные'!$B$218*'19_Расчет_аналитики'!AE560,MeanMinAge25)))</f>
        <v/>
      </c>
      <c r="AF516">
        <f>IF(OR(('19_Расчет_аналитики'!AF432-'19_Расчет_аналитики'!AF460)=0,25&lt;='01_Вводные'!$B$297),0,('19_Расчет_аналитики'!AF432-'19_Расчет_аналитики'!AF460)*IF('01_Вводные'!$B$239="Да",MeanMinAge25+'19_Расчет_аналитики'!AF560*SUMIF(ThresholdAge25,"&lt;"&amp;'19_Расчет_аналитики'!AF560,WeightedRevAge25)-SUMIF(ThresholdAge25,"&lt;"&amp;'19_Расчет_аналитики'!AF560,WeightedMinAge25),MAX(CapacityAge25*'01_Вводные'!$B$218*'19_Расчет_аналитики'!AF560,MeanMinAge25)))</f>
        <v/>
      </c>
      <c r="AG516">
        <f>IF(OR(('19_Расчет_аналитики'!AG432-'19_Расчет_аналитики'!AG460)=0,25&lt;='01_Вводные'!$B$297),0,('19_Расчет_аналитики'!AG432-'19_Расчет_аналитики'!AG460)*IF('01_Вводные'!$B$239="Да",MeanMinAge25+'19_Расчет_аналитики'!AG560*SUMIF(ThresholdAge25,"&lt;"&amp;'19_Расчет_аналитики'!AG560,WeightedRevAge25)-SUMIF(ThresholdAge25,"&lt;"&amp;'19_Расчет_аналитики'!AG560,WeightedMinAge25),MAX(CapacityAge25*'01_Вводные'!$B$218*'19_Расчет_аналитики'!AG560,MeanMinAge25)))</f>
        <v/>
      </c>
      <c r="AH516">
        <f>IF(OR(('19_Расчет_аналитики'!AH432-'19_Расчет_аналитики'!AH460)=0,25&lt;='01_Вводные'!$B$297),0,('19_Расчет_аналитики'!AH432-'19_Расчет_аналитики'!AH460)*IF('01_Вводные'!$B$239="Да",MeanMinAge25+'19_Расчет_аналитики'!AH560*SUMIF(ThresholdAge25,"&lt;"&amp;'19_Расчет_аналитики'!AH560,WeightedRevAge25)-SUMIF(ThresholdAge25,"&lt;"&amp;'19_Расчет_аналитики'!AH560,WeightedMinAge25),MAX(CapacityAge25*'01_Вводные'!$B$218*'19_Расчет_аналитики'!AH560,MeanMinAge25)))</f>
        <v/>
      </c>
      <c r="AI516">
        <f>IF(OR(('19_Расчет_аналитики'!AI432-'19_Расчет_аналитики'!AI460)=0,25&lt;='01_Вводные'!$B$297),0,('19_Расчет_аналитики'!AI432-'19_Расчет_аналитики'!AI460)*IF('01_Вводные'!$B$239="Да",MeanMinAge25+'19_Расчет_аналитики'!AI560*SUMIF(ThresholdAge25,"&lt;"&amp;'19_Расчет_аналитики'!AI560,WeightedRevAge25)-SUMIF(ThresholdAge25,"&lt;"&amp;'19_Расчет_аналитики'!AI560,WeightedMinAge25),MAX(CapacityAge25*'01_Вводные'!$B$218*'19_Расчет_аналитики'!AI560,MeanMinAge25)))</f>
        <v/>
      </c>
      <c r="AJ516">
        <f>IF(OR(('19_Расчет_аналитики'!AJ432-'19_Расчет_аналитики'!AJ460)=0,25&lt;='01_Вводные'!$B$297),0,('19_Расчет_аналитики'!AJ432-'19_Расчет_аналитики'!AJ460)*IF('01_Вводные'!$B$239="Да",MeanMinAge25+'19_Расчет_аналитики'!AJ560*SUMIF(ThresholdAge25,"&lt;"&amp;'19_Расчет_аналитики'!AJ560,WeightedRevAge25)-SUMIF(ThresholdAge25,"&lt;"&amp;'19_Расчет_аналитики'!AJ560,WeightedMinAge25),MAX(CapacityAge25*'01_Вводные'!$B$218*'19_Расчет_аналитики'!AJ560,MeanMinAge25)))</f>
        <v/>
      </c>
      <c r="AK516">
        <f>IF(OR(('19_Расчет_аналитики'!AK432-'19_Расчет_аналитики'!AK460)=0,25&lt;='01_Вводные'!$B$297),0,('19_Расчет_аналитики'!AK432-'19_Расчет_аналитики'!AK460)*IF('01_Вводные'!$B$239="Да",MeanMinAge25+'19_Расчет_аналитики'!AK560*SUMIF(ThresholdAge25,"&lt;"&amp;'19_Расчет_аналитики'!AK560,WeightedRevAge25)-SUMIF(ThresholdAge25,"&lt;"&amp;'19_Расчет_аналитики'!AK560,WeightedMinAge25),MAX(CapacityAge25*'01_Вводные'!$B$218*'19_Расчет_аналитики'!AK560,MeanMinAge25)))</f>
        <v/>
      </c>
      <c r="AL516">
        <f>IF(OR(('19_Расчет_аналитики'!AL432-'19_Расчет_аналитики'!AL460)=0,25&lt;='01_Вводные'!$B$297),0,('19_Расчет_аналитики'!AL432-'19_Расчет_аналитики'!AL460)*IF('01_Вводные'!$B$239="Да",MeanMinAge25+'19_Расчет_аналитики'!AL560*SUMIF(ThresholdAge25,"&lt;"&amp;'19_Расчет_аналитики'!AL560,WeightedRevAge25)-SUMIF(ThresholdAge25,"&lt;"&amp;'19_Расчет_аналитики'!AL560,WeightedMinAge25),MAX(CapacityAge25*'01_Вводные'!$B$218*'19_Расчет_аналитики'!AL560,MeanMinAge25)))</f>
        <v/>
      </c>
      <c r="AM516">
        <f>IF(OR(('19_Расчет_аналитики'!AM432-'19_Расчет_аналитики'!AM460)=0,25&lt;='01_Вводные'!$B$297),0,('19_Расчет_аналитики'!AM432-'19_Расчет_аналитики'!AM460)*IF('01_Вводные'!$B$239="Да",MeanMinAge25+'19_Расчет_аналитики'!AM560*SUMIF(ThresholdAge25,"&lt;"&amp;'19_Расчет_аналитики'!AM560,WeightedRevAge25)-SUMIF(ThresholdAge25,"&lt;"&amp;'19_Расчет_аналитики'!AM560,WeightedMinAge25),MAX(CapacityAge25*'01_Вводные'!$B$218*'19_Расчет_аналитики'!AM560,MeanMinAge25)))</f>
        <v/>
      </c>
      <c r="AN516">
        <f>IF(OR(('19_Расчет_аналитики'!AN432-'19_Расчет_аналитики'!AN460)=0,25&lt;='01_Вводные'!$B$297),0,('19_Расчет_аналитики'!AN432-'19_Расчет_аналитики'!AN460)*IF('01_Вводные'!$B$239="Да",MeanMinAge25+'19_Расчет_аналитики'!AN560*SUMIF(ThresholdAge25,"&lt;"&amp;'19_Расчет_аналитики'!AN560,WeightedRevAge25)-SUMIF(ThresholdAge25,"&lt;"&amp;'19_Расчет_аналитики'!AN560,WeightedMinAge25),MAX(CapacityAge25*'01_Вводные'!$B$218*'19_Расчет_аналитики'!AN560,MeanMinAge25)))</f>
        <v/>
      </c>
      <c r="AO516">
        <f>IF(OR(('19_Расчет_аналитики'!AO432-'19_Расчет_аналитики'!AO460)=0,25&lt;='01_Вводные'!$B$297),0,('19_Расчет_аналитики'!AO432-'19_Расчет_аналитики'!AO460)*IF('01_Вводные'!$B$239="Да",MeanMinAge25+'19_Расчет_аналитики'!AO560*SUMIF(ThresholdAge25,"&lt;"&amp;'19_Расчет_аналитики'!AO560,WeightedRevAge25)-SUMIF(ThresholdAge25,"&lt;"&amp;'19_Расчет_аналитики'!AO560,WeightedMinAge25),MAX(CapacityAge25*'01_Вводные'!$B$218*'19_Расчет_аналитики'!AO560,MeanMinAge25)))</f>
        <v/>
      </c>
      <c r="AP516">
        <f>IF(OR(('19_Расчет_аналитики'!AP432-'19_Расчет_аналитики'!AP460)=0,25&lt;='01_Вводные'!$B$297),0,('19_Расчет_аналитики'!AP432-'19_Расчет_аналитики'!AP460)*IF('01_Вводные'!$B$239="Да",MeanMinAge25+'19_Расчет_аналитики'!AP560*SUMIF(ThresholdAge25,"&lt;"&amp;'19_Расчет_аналитики'!AP560,WeightedRevAge25)-SUMIF(ThresholdAge25,"&lt;"&amp;'19_Расчет_аналитики'!AP560,WeightedMinAge25),MAX(CapacityAge25*'01_Вводные'!$B$218*'19_Расчет_аналитики'!AP560,MeanMinAge25)))</f>
        <v/>
      </c>
      <c r="AQ516">
        <f>IF(OR(('19_Расчет_аналитики'!AQ432-'19_Расчет_аналитики'!AQ460)=0,25&lt;='01_Вводные'!$B$297),0,('19_Расчет_аналитики'!AQ432-'19_Расчет_аналитики'!AQ460)*IF('01_Вводные'!$B$239="Да",MeanMinAge25+'19_Расчет_аналитики'!AQ560*SUMIF(ThresholdAge25,"&lt;"&amp;'19_Расчет_аналитики'!AQ560,WeightedRevAge25)-SUMIF(ThresholdAge25,"&lt;"&amp;'19_Расчет_аналитики'!AQ560,WeightedMinAge25),MAX(CapacityAge25*'01_Вводные'!$B$218*'19_Расчет_аналитики'!AQ560,MeanMinAge25)))</f>
        <v/>
      </c>
      <c r="AR516">
        <f>IF(OR(('19_Расчет_аналитики'!AR432-'19_Расчет_аналитики'!AR460)=0,25&lt;='01_Вводные'!$B$297),0,('19_Расчет_аналитики'!AR432-'19_Расчет_аналитики'!AR460)*IF('01_Вводные'!$B$239="Да",MeanMinAge25+'19_Расчет_аналитики'!AR560*SUMIF(ThresholdAge25,"&lt;"&amp;'19_Расчет_аналитики'!AR560,WeightedRevAge25)-SUMIF(ThresholdAge25,"&lt;"&amp;'19_Расчет_аналитики'!AR560,WeightedMinAge25),MAX(CapacityAge25*'01_Вводные'!$B$218*'19_Расчет_аналитики'!AR560,MeanMinAge25)))</f>
        <v/>
      </c>
      <c r="AS516">
        <f>IF(OR(('19_Расчет_аналитики'!AS432-'19_Расчет_аналитики'!AS460)=0,25&lt;='01_Вводные'!$B$297),0,('19_Расчет_аналитики'!AS432-'19_Расчет_аналитики'!AS460)*IF('01_Вводные'!$B$239="Да",MeanMinAge25+'19_Расчет_аналитики'!AS560*SUMIF(ThresholdAge25,"&lt;"&amp;'19_Расчет_аналитики'!AS560,WeightedRevAge25)-SUMIF(ThresholdAge25,"&lt;"&amp;'19_Расчет_аналитики'!AS560,WeightedMinAge25),MAX(CapacityAge25*'01_Вводные'!$B$218*'19_Расчет_аналитики'!AS560,MeanMinAge25)))</f>
        <v/>
      </c>
      <c r="AT516">
        <f>IF(OR(('19_Расчет_аналитики'!AT432-'19_Расчет_аналитики'!AT460)=0,25&lt;='01_Вводные'!$B$297),0,('19_Расчет_аналитики'!AT432-'19_Расчет_аналитики'!AT460)*IF('01_Вводные'!$B$239="Да",MeanMinAge25+'19_Расчет_аналитики'!AT560*SUMIF(ThresholdAge25,"&lt;"&amp;'19_Расчет_аналитики'!AT560,WeightedRevAge25)-SUMIF(ThresholdAge25,"&lt;"&amp;'19_Расчет_аналитики'!AT560,WeightedMinAge25),MAX(CapacityAge25*'01_Вводные'!$B$218*'19_Расчет_аналитики'!AT560,MeanMinAge25)))</f>
        <v/>
      </c>
      <c r="AU516">
        <f>IF(OR(('19_Расчет_аналитики'!AU432-'19_Расчет_аналитики'!AU460)=0,25&lt;='01_Вводные'!$B$297),0,('19_Расчет_аналитики'!AU432-'19_Расчет_аналитики'!AU460)*IF('01_Вводные'!$B$239="Да",MeanMinAge25+'19_Расчет_аналитики'!AU560*SUMIF(ThresholdAge25,"&lt;"&amp;'19_Расчет_аналитики'!AU560,WeightedRevAge25)-SUMIF(ThresholdAge25,"&lt;"&amp;'19_Расчет_аналитики'!AU560,WeightedMinAge25),MAX(CapacityAge25*'01_Вводные'!$B$218*'19_Расчет_аналитики'!AU560,MeanMinAge25)))</f>
        <v/>
      </c>
      <c r="AV516">
        <f>IF(OR(('19_Расчет_аналитики'!AV432-'19_Расчет_аналитики'!AV460)=0,25&lt;='01_Вводные'!$B$297),0,('19_Расчет_аналитики'!AV432-'19_Расчет_аналитики'!AV460)*IF('01_Вводные'!$B$239="Да",MeanMinAge25+'19_Расчет_аналитики'!AV560*SUMIF(ThresholdAge25,"&lt;"&amp;'19_Расчет_аналитики'!AV560,WeightedRevAge25)-SUMIF(ThresholdAge25,"&lt;"&amp;'19_Расчет_аналитики'!AV560,WeightedMinAge25),MAX(CapacityAge25*'01_Вводные'!$B$218*'19_Расчет_аналитики'!AV560,MeanMinAge25)))</f>
        <v/>
      </c>
      <c r="AW516">
        <f>IF(OR(('19_Расчет_аналитики'!AW432-'19_Расчет_аналитики'!AW460)=0,25&lt;='01_Вводные'!$B$297),0,('19_Расчет_аналитики'!AW432-'19_Расчет_аналитики'!AW460)*IF('01_Вводные'!$B$239="Да",MeanMinAge25+'19_Расчет_аналитики'!AW560*SUMIF(ThresholdAge25,"&lt;"&amp;'19_Расчет_аналитики'!AW560,WeightedRevAge25)-SUMIF(ThresholdAge25,"&lt;"&amp;'19_Расчет_аналитики'!AW560,WeightedMinAge25),MAX(CapacityAge25*'01_Вводные'!$B$218*'19_Расчет_аналитики'!AW560,MeanMinAge25)))</f>
        <v/>
      </c>
      <c r="AX516">
        <f>IF(OR(('19_Расчет_аналитики'!AX432-'19_Расчет_аналитики'!AX460)=0,25&lt;='01_Вводные'!$B$297),0,('19_Расчет_аналитики'!AX432-'19_Расчет_аналитики'!AX460)*IF('01_Вводные'!$B$239="Да",MeanMinAge25+'19_Расчет_аналитики'!AX560*SUMIF(ThresholdAge25,"&lt;"&amp;'19_Расчет_аналитики'!AX560,WeightedRevAge25)-SUMIF(ThresholdAge25,"&lt;"&amp;'19_Расчет_аналитики'!AX560,WeightedMinAge25),MAX(CapacityAge25*'01_Вводные'!$B$218*'19_Расчет_аналитики'!AX560,MeanMinAge25)))</f>
        <v/>
      </c>
      <c r="AY516">
        <f>IF(OR(('19_Расчет_аналитики'!AY432-'19_Расчет_аналитики'!AY460)=0,25&lt;='01_Вводные'!$B$297),0,('19_Расчет_аналитики'!AY432-'19_Расчет_аналитики'!AY460)*IF('01_Вводные'!$B$239="Да",MeanMinAge25+'19_Расчет_аналитики'!AY560*SUMIF(ThresholdAge25,"&lt;"&amp;'19_Расчет_аналитики'!AY560,WeightedRevAge25)-SUMIF(ThresholdAge25,"&lt;"&amp;'19_Расчет_аналитики'!AY560,WeightedMinAge25),MAX(CapacityAge25*'01_Вводные'!$B$218*'19_Расчет_аналитики'!AY560,MeanMinAge25)))</f>
        <v/>
      </c>
      <c r="AZ516">
        <f>IF(OR(('19_Расчет_аналитики'!AZ432-'19_Расчет_аналитики'!AZ460)=0,25&lt;='01_Вводные'!$B$297),0,('19_Расчет_аналитики'!AZ432-'19_Расчет_аналитики'!AZ460)*IF('01_Вводные'!$B$239="Да",MeanMinAge25+'19_Расчет_аналитики'!AZ560*SUMIF(ThresholdAge25,"&lt;"&amp;'19_Расчет_аналитики'!AZ560,WeightedRevAge25)-SUMIF(ThresholdAge25,"&lt;"&amp;'19_Расчет_аналитики'!AZ560,WeightedMinAge25),MAX(CapacityAge25*'01_Вводные'!$B$218*'19_Расчет_аналитики'!AZ560,MeanMinAge25)))</f>
        <v/>
      </c>
      <c r="BA516">
        <f>IF(OR(('19_Расчет_аналитики'!BA432-'19_Расчет_аналитики'!BA460)=0,25&lt;='01_Вводные'!$B$297),0,('19_Расчет_аналитики'!BA432-'19_Расчет_аналитики'!BA460)*IF('01_Вводные'!$B$239="Да",MeanMinAge25+'19_Расчет_аналитики'!BA560*SUMIF(ThresholdAge25,"&lt;"&amp;'19_Расчет_аналитики'!BA560,WeightedRevAge25)-SUMIF(ThresholdAge25,"&lt;"&amp;'19_Расчет_аналитики'!BA560,WeightedMinAge25),MAX(CapacityAge25*'01_Вводные'!$B$218*'19_Расчет_аналитики'!BA560,MeanMinAge25)))</f>
        <v/>
      </c>
      <c r="BB516">
        <f>IF(OR(('19_Расчет_аналитики'!BB432-'19_Расчет_аналитики'!BB460)=0,25&lt;='01_Вводные'!$B$297),0,('19_Расчет_аналитики'!BB432-'19_Расчет_аналитики'!BB460)*IF('01_Вводные'!$B$239="Да",MeanMinAge25+'19_Расчет_аналитики'!BB560*SUMIF(ThresholdAge25,"&lt;"&amp;'19_Расчет_аналитики'!BB560,WeightedRevAge25)-SUMIF(ThresholdAge25,"&lt;"&amp;'19_Расчет_аналитики'!BB560,WeightedMinAge25),MAX(CapacityAge25*'01_Вводные'!$B$218*'19_Расчет_аналитики'!BB560,MeanMinAge25)))</f>
        <v/>
      </c>
      <c r="BC516">
        <f>IF(OR(('19_Расчет_аналитики'!BC432-'19_Расчет_аналитики'!BC460)=0,25&lt;='01_Вводные'!$B$297),0,('19_Расчет_аналитики'!BC432-'19_Расчет_аналитики'!BC460)*IF('01_Вводные'!$B$239="Да",MeanMinAge25+'19_Расчет_аналитики'!BC560*SUMIF(ThresholdAge25,"&lt;"&amp;'19_Расчет_аналитики'!BC560,WeightedRevAge25)-SUMIF(ThresholdAge25,"&lt;"&amp;'19_Расчет_аналитики'!BC560,WeightedMinAge25),MAX(CapacityAge25*'01_Вводные'!$B$218*'19_Расчет_аналитики'!BC560,MeanMinAge25)))</f>
        <v/>
      </c>
      <c r="BD516">
        <f>IF(OR(('19_Расчет_аналитики'!BD432-'19_Расчет_аналитики'!BD460)=0,25&lt;='01_Вводные'!$B$297),0,('19_Расчет_аналитики'!BD432-'19_Расчет_аналитики'!BD460)*IF('01_Вводные'!$B$239="Да",MeanMinAge25+'19_Расчет_аналитики'!BD560*SUMIF(ThresholdAge25,"&lt;"&amp;'19_Расчет_аналитики'!BD560,WeightedRevAge25)-SUMIF(ThresholdAge25,"&lt;"&amp;'19_Расчет_аналитики'!BD560,WeightedMinAge25),MAX(CapacityAge25*'01_Вводные'!$B$218*'19_Расчет_аналитики'!BD560,MeanMinAge25)))</f>
        <v/>
      </c>
      <c r="BE516">
        <f>IF(OR(('19_Расчет_аналитики'!BE432-'19_Расчет_аналитики'!BE460)=0,25&lt;='01_Вводные'!$B$297),0,('19_Расчет_аналитики'!BE432-'19_Расчет_аналитики'!BE460)*IF('01_Вводные'!$B$239="Да",MeanMinAge25+'19_Расчет_аналитики'!BE560*SUMIF(ThresholdAge25,"&lt;"&amp;'19_Расчет_аналитики'!BE560,WeightedRevAge25)-SUMIF(ThresholdAge25,"&lt;"&amp;'19_Расчет_аналитики'!BE560,WeightedMinAge25),MAX(CapacityAge25*'01_Вводные'!$B$218*'19_Расчет_аналитики'!BE560,MeanMinAge25)))</f>
        <v/>
      </c>
      <c r="BF516">
        <f>IF(OR(('19_Расчет_аналитики'!BF432-'19_Расчет_аналитики'!BF460)=0,25&lt;='01_Вводные'!$B$297),0,('19_Расчет_аналитики'!BF432-'19_Расчет_аналитики'!BF460)*IF('01_Вводные'!$B$239="Да",MeanMinAge25+'19_Расчет_аналитики'!BF560*SUMIF(ThresholdAge25,"&lt;"&amp;'19_Расчет_аналитики'!BF560,WeightedRevAge25)-SUMIF(ThresholdAge25,"&lt;"&amp;'19_Расчет_аналитики'!BF560,WeightedMinAge25),MAX(CapacityAge25*'01_Вводные'!$B$218*'19_Расчет_аналитики'!BF560,MeanMinAge25)))</f>
        <v/>
      </c>
      <c r="BG516">
        <f>IF(OR(('19_Расчет_аналитики'!BG432-'19_Расчет_аналитики'!BG460)=0,25&lt;='01_Вводные'!$B$297),0,('19_Расчет_аналитики'!BG432-'19_Расчет_аналитики'!BG460)*IF('01_Вводные'!$B$239="Да",MeanMinAge25+'19_Расчет_аналитики'!BG560*SUMIF(ThresholdAge25,"&lt;"&amp;'19_Расчет_аналитики'!BG560,WeightedRevAge25)-SUMIF(ThresholdAge25,"&lt;"&amp;'19_Расчет_аналитики'!BG560,WeightedMinAge25),MAX(CapacityAge25*'01_Вводные'!$B$218*'19_Расчет_аналитики'!BG560,MeanMinAge25)))</f>
        <v/>
      </c>
      <c r="BH516">
        <f>IF(OR(('19_Расчет_аналитики'!BH432-'19_Расчет_аналитики'!BH460)=0,25&lt;='01_Вводные'!$B$297),0,('19_Расчет_аналитики'!BH432-'19_Расчет_аналитики'!BH460)*IF('01_Вводные'!$B$239="Да",MeanMinAge25+'19_Расчет_аналитики'!BH560*SUMIF(ThresholdAge25,"&lt;"&amp;'19_Расчет_аналитики'!BH560,WeightedRevAge25)-SUMIF(ThresholdAge25,"&lt;"&amp;'19_Расчет_аналитики'!BH560,WeightedMinAge25),MAX(CapacityAge25*'01_Вводные'!$B$218*'19_Расчет_аналитики'!BH560,MeanMinAge25)))</f>
        <v/>
      </c>
      <c r="BI516">
        <f>IF(OR(('19_Расчет_аналитики'!BI432-'19_Расчет_аналитики'!BI460)=0,25&lt;='01_Вводные'!$B$297),0,('19_Расчет_аналитики'!BI432-'19_Расчет_аналитики'!BI460)*IF('01_Вводные'!$B$239="Да",MeanMinAge25+'19_Расчет_аналитики'!BI560*SUMIF(ThresholdAge25,"&lt;"&amp;'19_Расчет_аналитики'!BI560,WeightedRevAge25)-SUMIF(ThresholdAge25,"&lt;"&amp;'19_Расчет_аналитики'!BI560,WeightedMinAge25),MAX(CapacityAge25*'01_Вводные'!$B$218*'19_Расчет_аналитики'!BI560,MeanMinAge25)))</f>
        <v/>
      </c>
      <c r="BJ516">
        <f>IF(OR(('19_Расчет_аналитики'!BJ432-'19_Расчет_аналитики'!BJ460)=0,25&lt;='01_Вводные'!$B$297),0,('19_Расчет_аналитики'!BJ432-'19_Расчет_аналитики'!BJ460)*IF('01_Вводные'!$B$239="Да",MeanMinAge25+'19_Расчет_аналитики'!BJ560*SUMIF(ThresholdAge25,"&lt;"&amp;'19_Расчет_аналитики'!BJ560,WeightedRevAge25)-SUMIF(ThresholdAge25,"&lt;"&amp;'19_Расчет_аналитики'!BJ560,WeightedMinAge25),MAX(CapacityAge25*'01_Вводные'!$B$218*'19_Расчет_аналитики'!BJ560,MeanMinAge25)))</f>
        <v/>
      </c>
      <c r="BK516">
        <f>IF(OR(('19_Расчет_аналитики'!BK432-'19_Расчет_аналитики'!BK460)=0,25&lt;='01_Вводные'!$B$297),0,('19_Расчет_аналитики'!BK432-'19_Расчет_аналитики'!BK460)*IF('01_Вводные'!$B$239="Да",MeanMinAge25+'19_Расчет_аналитики'!BK560*SUMIF(ThresholdAge25,"&lt;"&amp;'19_Расчет_аналитики'!BK560,WeightedRevAge25)-SUMIF(ThresholdAge25,"&lt;"&amp;'19_Расчет_аналитики'!BK560,WeightedMinAge25),MAX(CapacityAge25*'01_Вводные'!$B$218*'19_Расчет_аналитики'!BK560,MeanMinAge25)))</f>
        <v/>
      </c>
      <c r="BL516">
        <f>IF(OR(('19_Расчет_аналитики'!BL432-'19_Расчет_аналитики'!BL460)=0,25&lt;='01_Вводные'!$B$297),0,('19_Расчет_аналитики'!BL432-'19_Расчет_аналитики'!BL460)*IF('01_Вводные'!$B$239="Да",MeanMinAge25+'19_Расчет_аналитики'!BL560*SUMIF(ThresholdAge25,"&lt;"&amp;'19_Расчет_аналитики'!BL560,WeightedRevAge25)-SUMIF(ThresholdAge25,"&lt;"&amp;'19_Расчет_аналитики'!BL560,WeightedMinAge25),MAX(CapacityAge25*'01_Вводные'!$B$218*'19_Расчет_аналитики'!BL560,MeanMinAge25)))</f>
        <v/>
      </c>
      <c r="BM516">
        <f>IF(OR(('19_Расчет_аналитики'!BM432-'19_Расчет_аналитики'!BM460)=0,25&lt;='01_Вводные'!$B$297),0,('19_Расчет_аналитики'!BM432-'19_Расчет_аналитики'!BM460)*IF('01_Вводные'!$B$239="Да",MeanMinAge25+'19_Расчет_аналитики'!BM560*SUMIF(ThresholdAge25,"&lt;"&amp;'19_Расчет_аналитики'!BM560,WeightedRevAge25)-SUMIF(ThresholdAge25,"&lt;"&amp;'19_Расчет_аналитики'!BM560,WeightedMinAge25),MAX(CapacityAge25*'01_Вводные'!$B$218*'19_Расчет_аналитики'!BM560,MeanMinAge25)))</f>
        <v/>
      </c>
      <c r="BN516">
        <f>IF(OR(('19_Расчет_аналитики'!BN432-'19_Расчет_аналитики'!BN460)=0,25&lt;='01_Вводные'!$B$297),0,('19_Расчет_аналитики'!BN432-'19_Расчет_аналитики'!BN460)*IF('01_Вводные'!$B$239="Да",MeanMinAge25+'19_Расчет_аналитики'!BN560*SUMIF(ThresholdAge25,"&lt;"&amp;'19_Расчет_аналитики'!BN560,WeightedRevAge25)-SUMIF(ThresholdAge25,"&lt;"&amp;'19_Расчет_аналитики'!BN560,WeightedMinAge25),MAX(CapacityAge25*'01_Вводные'!$B$218*'19_Расчет_аналитики'!BN560,MeanMinAge25)))</f>
        <v/>
      </c>
      <c r="BO516">
        <f>IF(OR(('19_Расчет_аналитики'!BO432-'19_Расчет_аналитики'!BO460)=0,25&lt;='01_Вводные'!$B$297),0,('19_Расчет_аналитики'!BO432-'19_Расчет_аналитики'!BO460)*IF('01_Вводные'!$B$239="Да",MeanMinAge25+'19_Расчет_аналитики'!BO560*SUMIF(ThresholdAge25,"&lt;"&amp;'19_Расчет_аналитики'!BO560,WeightedRevAge25)-SUMIF(ThresholdAge25,"&lt;"&amp;'19_Расчет_аналитики'!BO560,WeightedMinAge25),MAX(CapacityAge25*'01_Вводные'!$B$218*'19_Расчет_аналитики'!BO560,MeanMinAge25)))</f>
        <v/>
      </c>
    </row>
    <row r="517"/>
    <row r="518"/>
    <row r="519"/>
    <row r="520">
      <c r="B520">
        <f>IF(IF('01_Вводные'!$B$296="Новый сезон",FALSE,FALSE),'19_Расчет_аналитики'!B408*CapacityAge01*'19_Расчет_аналитики'!$F$211,0)</f>
        <v/>
      </c>
      <c r="C520">
        <f>IF(IF('01_Вводные'!$B$296="Новый сезон",FALSE,FALSE),'19_Расчет_аналитики'!C408*CapacityAge01*'19_Расчет_аналитики'!$F$211,0)</f>
        <v/>
      </c>
      <c r="D520">
        <f>IF(IF('01_Вводные'!$B$296="Новый сезон",FALSE,FALSE),'19_Расчет_аналитики'!D408*CapacityAge01*'19_Расчет_аналитики'!$F$211,0)</f>
        <v/>
      </c>
      <c r="E520">
        <f>IF(IF('01_Вводные'!$B$296="Новый сезон",FALSE,FALSE),'19_Расчет_аналитики'!E408*CapacityAge01*'19_Расчет_аналитики'!$F$211,0)</f>
        <v/>
      </c>
      <c r="F520">
        <f>IF(IF('01_Вводные'!$B$296="Новый сезон",FALSE,FALSE),'19_Расчет_аналитики'!F408*CapacityAge01*'19_Расчет_аналитики'!$F$211,0)</f>
        <v/>
      </c>
      <c r="G520">
        <f>IF(IF('01_Вводные'!$B$296="Новый сезон",FALSE,FALSE),'19_Расчет_аналитики'!G408*CapacityAge01*'19_Расчет_аналитики'!$F$211,0)</f>
        <v/>
      </c>
      <c r="H520">
        <f>IF(IF('01_Вводные'!$B$296="Новый сезон",FALSE,FALSE),'19_Расчет_аналитики'!H408*CapacityAge01*'19_Расчет_аналитики'!$F$211,0)</f>
        <v/>
      </c>
      <c r="I520">
        <f>IF(IF('01_Вводные'!$B$296="Новый сезон",FALSE,FALSE),'19_Расчет_аналитики'!I408*CapacityAge01*'19_Расчет_аналитики'!$F$211,0)</f>
        <v/>
      </c>
      <c r="J520">
        <f>IF(IF('01_Вводные'!$B$296="Новый сезон",FALSE,FALSE),'19_Расчет_аналитики'!J408*CapacityAge01*'19_Расчет_аналитики'!$F$211,0)</f>
        <v/>
      </c>
      <c r="K520">
        <f>IF(IF('01_Вводные'!$B$296="Новый сезон",FALSE,FALSE),'19_Расчет_аналитики'!K408*CapacityAge01*'19_Расчет_аналитики'!$F$211,0)</f>
        <v/>
      </c>
      <c r="L520">
        <f>IF(IF('01_Вводные'!$B$296="Новый сезон",FALSE,FALSE),'19_Расчет_аналитики'!L408*CapacityAge01*'19_Расчет_аналитики'!$F$211,0)</f>
        <v/>
      </c>
      <c r="M520">
        <f>IF(IF('01_Вводные'!$B$296="Новый сезон",FALSE,FALSE),'19_Расчет_аналитики'!M408*CapacityAge01*'19_Расчет_аналитики'!$F$211,0)</f>
        <v/>
      </c>
      <c r="N520">
        <f>IF(IF('01_Вводные'!$B$296="Новый сезон",FALSE,FALSE),'19_Расчет_аналитики'!N408*CapacityAge01*'19_Расчет_аналитики'!$F$211,0)</f>
        <v/>
      </c>
      <c r="O520">
        <f>IF(IF('01_Вводные'!$B$296="Новый сезон",FALSE,FALSE),'19_Расчет_аналитики'!O408*CapacityAge01*'19_Расчет_аналитики'!$F$211,0)</f>
        <v/>
      </c>
      <c r="P520">
        <f>IF(IF('01_Вводные'!$B$296="Новый сезон",FALSE,FALSE),'19_Расчет_аналитики'!P408*CapacityAge01*'19_Расчет_аналитики'!$F$211,0)</f>
        <v/>
      </c>
      <c r="Q520">
        <f>IF(IF('01_Вводные'!$B$296="Новый сезон",FALSE,FALSE),'19_Расчет_аналитики'!Q408*CapacityAge01*'19_Расчет_аналитики'!$F$211,0)</f>
        <v/>
      </c>
      <c r="R520">
        <f>IF(IF('01_Вводные'!$B$296="Новый сезон",FALSE,FALSE),'19_Расчет_аналитики'!R408*CapacityAge01*'19_Расчет_аналитики'!$F$211,0)</f>
        <v/>
      </c>
      <c r="S520">
        <f>IF(IF('01_Вводные'!$B$296="Новый сезон",FALSE,FALSE),'19_Расчет_аналитики'!S408*CapacityAge01*'19_Расчет_аналитики'!$F$211,0)</f>
        <v/>
      </c>
      <c r="T520">
        <f>IF(IF('01_Вводные'!$B$296="Новый сезон",FALSE,FALSE),'19_Расчет_аналитики'!T408*CapacityAge01*'19_Расчет_аналитики'!$F$211,0)</f>
        <v/>
      </c>
      <c r="U520">
        <f>IF(IF('01_Вводные'!$B$296="Новый сезон",FALSE,FALSE),'19_Расчет_аналитики'!U408*CapacityAge01*'19_Расчет_аналитики'!$F$211,0)</f>
        <v/>
      </c>
      <c r="V520">
        <f>IF(IF('01_Вводные'!$B$296="Новый сезон",FALSE,FALSE),'19_Расчет_аналитики'!V408*CapacityAge01*'19_Расчет_аналитики'!$F$211,0)</f>
        <v/>
      </c>
      <c r="W520">
        <f>IF(IF('01_Вводные'!$B$296="Новый сезон",FALSE,FALSE),'19_Расчет_аналитики'!W408*CapacityAge01*'19_Расчет_аналитики'!$F$211,0)</f>
        <v/>
      </c>
      <c r="X520">
        <f>IF(IF('01_Вводные'!$B$296="Новый сезон",FALSE,FALSE),'19_Расчет_аналитики'!X408*CapacityAge01*'19_Расчет_аналитики'!$F$211,0)</f>
        <v/>
      </c>
      <c r="Y520">
        <f>IF(IF('01_Вводные'!$B$296="Новый сезон",FALSE,FALSE),'19_Расчет_аналитики'!Y408*CapacityAge01*'19_Расчет_аналитики'!$F$211,0)</f>
        <v/>
      </c>
      <c r="Z520">
        <f>IF(IF('01_Вводные'!$B$296="Новый сезон",FALSE,FALSE),'19_Расчет_аналитики'!Z408*CapacityAge01*'19_Расчет_аналитики'!$F$211,0)</f>
        <v/>
      </c>
      <c r="AA520">
        <f>IF(IF('01_Вводные'!$B$296="Новый сезон",FALSE,FALSE),'19_Расчет_аналитики'!AA408*CapacityAge01*'19_Расчет_аналитики'!$F$211,0)</f>
        <v/>
      </c>
      <c r="AB520">
        <f>IF(IF('01_Вводные'!$B$296="Новый сезон",FALSE,FALSE),'19_Расчет_аналитики'!AB408*CapacityAge01*'19_Расчет_аналитики'!$F$211,0)</f>
        <v/>
      </c>
      <c r="AC520">
        <f>IF(IF('01_Вводные'!$B$296="Новый сезон",FALSE,FALSE),'19_Расчет_аналитики'!AC408*CapacityAge01*'19_Расчет_аналитики'!$F$211,0)</f>
        <v/>
      </c>
      <c r="AD520">
        <f>IF(IF('01_Вводные'!$B$296="Новый сезон",FALSE,FALSE),'19_Расчет_аналитики'!AD408*CapacityAge01*'19_Расчет_аналитики'!$F$211,0)</f>
        <v/>
      </c>
      <c r="AE520">
        <f>IF(IF('01_Вводные'!$B$296="Новый сезон",FALSE,FALSE),'19_Расчет_аналитики'!AE408*CapacityAge01*'19_Расчет_аналитики'!$F$211,0)</f>
        <v/>
      </c>
      <c r="AF520">
        <f>IF(IF('01_Вводные'!$B$296="Новый сезон",FALSE,FALSE),'19_Расчет_аналитики'!AF408*CapacityAge01*'19_Расчет_аналитики'!$F$211,0)</f>
        <v/>
      </c>
      <c r="AG520">
        <f>IF(IF('01_Вводные'!$B$296="Новый сезон",FALSE,FALSE),'19_Расчет_аналитики'!AG408*CapacityAge01*'19_Расчет_аналитики'!$F$211,0)</f>
        <v/>
      </c>
      <c r="AH520">
        <f>IF(IF('01_Вводные'!$B$296="Новый сезон",FALSE,FALSE),'19_Расчет_аналитики'!AH408*CapacityAge01*'19_Расчет_аналитики'!$F$211,0)</f>
        <v/>
      </c>
      <c r="AI520">
        <f>IF(IF('01_Вводные'!$B$296="Новый сезон",FALSE,FALSE),'19_Расчет_аналитики'!AI408*CapacityAge01*'19_Расчет_аналитики'!$F$211,0)</f>
        <v/>
      </c>
      <c r="AJ520">
        <f>IF(IF('01_Вводные'!$B$296="Новый сезон",FALSE,FALSE),'19_Расчет_аналитики'!AJ408*CapacityAge01*'19_Расчет_аналитики'!$F$211,0)</f>
        <v/>
      </c>
      <c r="AK520">
        <f>IF(IF('01_Вводные'!$B$296="Новый сезон",FALSE,FALSE),'19_Расчет_аналитики'!AK408*CapacityAge01*'19_Расчет_аналитики'!$F$211,0)</f>
        <v/>
      </c>
      <c r="AL520">
        <f>IF(IF('01_Вводные'!$B$296="Новый сезон",FALSE,FALSE),'19_Расчет_аналитики'!AL408*CapacityAge01*'19_Расчет_аналитики'!$F$211,0)</f>
        <v/>
      </c>
      <c r="AM520">
        <f>IF(IF('01_Вводные'!$B$296="Новый сезон",FALSE,FALSE),'19_Расчет_аналитики'!AM408*CapacityAge01*'19_Расчет_аналитики'!$F$211,0)</f>
        <v/>
      </c>
      <c r="AN520">
        <f>IF(IF('01_Вводные'!$B$296="Новый сезон",FALSE,FALSE),'19_Расчет_аналитики'!AN408*CapacityAge01*'19_Расчет_аналитики'!$F$211,0)</f>
        <v/>
      </c>
      <c r="AO520">
        <f>IF(IF('01_Вводные'!$B$296="Новый сезон",FALSE,FALSE),'19_Расчет_аналитики'!AO408*CapacityAge01*'19_Расчет_аналитики'!$F$211,0)</f>
        <v/>
      </c>
      <c r="AP520">
        <f>IF(IF('01_Вводные'!$B$296="Новый сезон",FALSE,FALSE),'19_Расчет_аналитики'!AP408*CapacityAge01*'19_Расчет_аналитики'!$F$211,0)</f>
        <v/>
      </c>
      <c r="AQ520">
        <f>IF(IF('01_Вводные'!$B$296="Новый сезон",FALSE,FALSE),'19_Расчет_аналитики'!AQ408*CapacityAge01*'19_Расчет_аналитики'!$F$211,0)</f>
        <v/>
      </c>
      <c r="AR520">
        <f>IF(IF('01_Вводные'!$B$296="Новый сезон",FALSE,FALSE),'19_Расчет_аналитики'!AR408*CapacityAge01*'19_Расчет_аналитики'!$F$211,0)</f>
        <v/>
      </c>
      <c r="AS520">
        <f>IF(IF('01_Вводные'!$B$296="Новый сезон",FALSE,FALSE),'19_Расчет_аналитики'!AS408*CapacityAge01*'19_Расчет_аналитики'!$F$211,0)</f>
        <v/>
      </c>
      <c r="AT520">
        <f>IF(IF('01_Вводные'!$B$296="Новый сезон",FALSE,FALSE),'19_Расчет_аналитики'!AT408*CapacityAge01*'19_Расчет_аналитики'!$F$211,0)</f>
        <v/>
      </c>
      <c r="AU520">
        <f>IF(IF('01_Вводные'!$B$296="Новый сезон",FALSE,FALSE),'19_Расчет_аналитики'!AU408*CapacityAge01*'19_Расчет_аналитики'!$F$211,0)</f>
        <v/>
      </c>
      <c r="AV520">
        <f>IF(IF('01_Вводные'!$B$296="Новый сезон",FALSE,FALSE),'19_Расчет_аналитики'!AV408*CapacityAge01*'19_Расчет_аналитики'!$F$211,0)</f>
        <v/>
      </c>
      <c r="AW520">
        <f>IF(IF('01_Вводные'!$B$296="Новый сезон",FALSE,FALSE),'19_Расчет_аналитики'!AW408*CapacityAge01*'19_Расчет_аналитики'!$F$211,0)</f>
        <v/>
      </c>
      <c r="AX520">
        <f>IF(IF('01_Вводные'!$B$296="Новый сезон",FALSE,FALSE),'19_Расчет_аналитики'!AX408*CapacityAge01*'19_Расчет_аналитики'!$F$211,0)</f>
        <v/>
      </c>
      <c r="AY520">
        <f>IF(IF('01_Вводные'!$B$296="Новый сезон",FALSE,FALSE),'19_Расчет_аналитики'!AY408*CapacityAge01*'19_Расчет_аналитики'!$F$211,0)</f>
        <v/>
      </c>
      <c r="AZ520">
        <f>IF(IF('01_Вводные'!$B$296="Новый сезон",FALSE,FALSE),'19_Расчет_аналитики'!AZ408*CapacityAge01*'19_Расчет_аналитики'!$F$211,0)</f>
        <v/>
      </c>
      <c r="BA520">
        <f>IF(IF('01_Вводные'!$B$296="Новый сезон",FALSE,FALSE),'19_Расчет_аналитики'!BA408*CapacityAge01*'19_Расчет_аналитики'!$F$211,0)</f>
        <v/>
      </c>
      <c r="BB520">
        <f>IF(IF('01_Вводные'!$B$296="Новый сезон",FALSE,FALSE),'19_Расчет_аналитики'!BB408*CapacityAge01*'19_Расчет_аналитики'!$F$211,0)</f>
        <v/>
      </c>
      <c r="BC520">
        <f>IF(IF('01_Вводные'!$B$296="Новый сезон",FALSE,FALSE),'19_Расчет_аналитики'!BC408*CapacityAge01*'19_Расчет_аналитики'!$F$211,0)</f>
        <v/>
      </c>
      <c r="BD520">
        <f>IF(IF('01_Вводные'!$B$296="Новый сезон",FALSE,FALSE),'19_Расчет_аналитики'!BD408*CapacityAge01*'19_Расчет_аналитики'!$F$211,0)</f>
        <v/>
      </c>
      <c r="BE520">
        <f>IF(IF('01_Вводные'!$B$296="Новый сезон",FALSE,FALSE),'19_Расчет_аналитики'!BE408*CapacityAge01*'19_Расчет_аналитики'!$F$211,0)</f>
        <v/>
      </c>
      <c r="BF520">
        <f>IF(IF('01_Вводные'!$B$296="Новый сезон",FALSE,FALSE),'19_Расчет_аналитики'!BF408*CapacityAge01*'19_Расчет_аналитики'!$F$211,0)</f>
        <v/>
      </c>
      <c r="BG520">
        <f>IF(IF('01_Вводные'!$B$296="Новый сезон",FALSE,FALSE),'19_Расчет_аналитики'!BG408*CapacityAge01*'19_Расчет_аналитики'!$F$211,0)</f>
        <v/>
      </c>
      <c r="BH520">
        <f>IF(IF('01_Вводные'!$B$296="Новый сезон",FALSE,FALSE),'19_Расчет_аналитики'!BH408*CapacityAge01*'19_Расчет_аналитики'!$F$211,0)</f>
        <v/>
      </c>
      <c r="BI520">
        <f>IF(IF('01_Вводные'!$B$296="Новый сезон",FALSE,FALSE),'19_Расчет_аналитики'!BI408*CapacityAge01*'19_Расчет_аналитики'!$F$211,0)</f>
        <v/>
      </c>
      <c r="BJ520">
        <f>IF(IF('01_Вводные'!$B$296="Новый сезон",FALSE,FALSE),'19_Расчет_аналитики'!BJ408*CapacityAge01*'19_Расчет_аналитики'!$F$211,0)</f>
        <v/>
      </c>
      <c r="BK520">
        <f>IF(IF('01_Вводные'!$B$296="Новый сезон",FALSE,FALSE),'19_Расчет_аналитики'!BK408*CapacityAge01*'19_Расчет_аналитики'!$F$211,0)</f>
        <v/>
      </c>
      <c r="BL520">
        <f>IF(IF('01_Вводные'!$B$296="Новый сезон",FALSE,FALSE),'19_Расчет_аналитики'!BL408*CapacityAge01*'19_Расчет_аналитики'!$F$211,0)</f>
        <v/>
      </c>
      <c r="BM520">
        <f>IF(IF('01_Вводные'!$B$296="Новый сезон",FALSE,FALSE),'19_Расчет_аналитики'!BM408*CapacityAge01*'19_Расчет_аналитики'!$F$211,0)</f>
        <v/>
      </c>
      <c r="BN520">
        <f>IF(IF('01_Вводные'!$B$296="Новый сезон",FALSE,FALSE),'19_Расчет_аналитики'!BN408*CapacityAge01*'19_Расчет_аналитики'!$F$211,0)</f>
        <v/>
      </c>
      <c r="BO520">
        <f>IF(IF('01_Вводные'!$B$296="Новый сезон",FALSE,FALSE),'19_Расчет_аналитики'!BO408*CapacityAge01*'19_Расчет_аналитики'!$F$211,0)</f>
        <v/>
      </c>
    </row>
    <row r="521">
      <c r="B521">
        <f>IF(IF('01_Вводные'!$B$296="Новый сезон",FALSE,FALSE),'06_Сеть_и_дети'!B54*CapacityAge02*'19_Расчет_аналитики'!$F$211,0)</f>
        <v/>
      </c>
      <c r="C521">
        <f>IF(IF('01_Вводные'!$B$296="Новый сезон",FALSE,FALSE),'19_Расчет_аналитики'!C409*CapacityAge02*'19_Расчет_аналитики'!$F$211,0)</f>
        <v/>
      </c>
      <c r="D521">
        <f>IF(IF('01_Вводные'!$B$296="Новый сезон",FALSE,FALSE),'19_Расчет_аналитики'!D409*CapacityAge02*'19_Расчет_аналитики'!$F$211,0)</f>
        <v/>
      </c>
      <c r="E521">
        <f>IF(IF('01_Вводные'!$B$296="Новый сезон",FALSE,FALSE),'19_Расчет_аналитики'!E409*CapacityAge02*'19_Расчет_аналитики'!$F$211,0)</f>
        <v/>
      </c>
      <c r="F521">
        <f>IF(IF('01_Вводные'!$B$296="Новый сезон",FALSE,FALSE),'19_Расчет_аналитики'!F409*CapacityAge02*'19_Расчет_аналитики'!$F$211,0)</f>
        <v/>
      </c>
      <c r="G521">
        <f>IF(IF('01_Вводные'!$B$296="Новый сезон",FALSE,FALSE),'19_Расчет_аналитики'!G409*CapacityAge02*'19_Расчет_аналитики'!$F$211,0)</f>
        <v/>
      </c>
      <c r="H521">
        <f>IF(IF('01_Вводные'!$B$296="Новый сезон",FALSE,FALSE),'19_Расчет_аналитики'!H409*CapacityAge02*'19_Расчет_аналитики'!$F$211,0)</f>
        <v/>
      </c>
      <c r="I521">
        <f>IF(IF('01_Вводные'!$B$296="Новый сезон",FALSE,FALSE),'19_Расчет_аналитики'!I409*CapacityAge02*'19_Расчет_аналитики'!$F$211,0)</f>
        <v/>
      </c>
      <c r="J521">
        <f>IF(IF('01_Вводные'!$B$296="Новый сезон",FALSE,FALSE),'19_Расчет_аналитики'!J409*CapacityAge02*'19_Расчет_аналитики'!$F$211,0)</f>
        <v/>
      </c>
      <c r="K521">
        <f>IF(IF('01_Вводные'!$B$296="Новый сезон",FALSE,FALSE),'19_Расчет_аналитики'!K409*CapacityAge02*'19_Расчет_аналитики'!$F$211,0)</f>
        <v/>
      </c>
      <c r="L521">
        <f>IF(IF('01_Вводные'!$B$296="Новый сезон",FALSE,FALSE),'19_Расчет_аналитики'!L409*CapacityAge02*'19_Расчет_аналитики'!$F$211,0)</f>
        <v/>
      </c>
      <c r="M521">
        <f>IF(IF('01_Вводные'!$B$296="Новый сезон",FALSE,FALSE),'19_Расчет_аналитики'!M409*CapacityAge02*'19_Расчет_аналитики'!$F$211,0)</f>
        <v/>
      </c>
      <c r="N521">
        <f>IF(IF('01_Вводные'!$B$296="Новый сезон",FALSE,FALSE),'19_Расчет_аналитики'!N409*CapacityAge02*'19_Расчет_аналитики'!$F$211,0)</f>
        <v/>
      </c>
      <c r="O521">
        <f>IF(IF('01_Вводные'!$B$296="Новый сезон",FALSE,FALSE),'19_Расчет_аналитики'!O409*CapacityAge02*'19_Расчет_аналитики'!$F$211,0)</f>
        <v/>
      </c>
      <c r="P521">
        <f>IF(IF('01_Вводные'!$B$296="Новый сезон",FALSE,FALSE),'19_Расчет_аналитики'!P409*CapacityAge02*'19_Расчет_аналитики'!$F$211,0)</f>
        <v/>
      </c>
      <c r="Q521">
        <f>IF(IF('01_Вводные'!$B$296="Новый сезон",FALSE,FALSE),'19_Расчет_аналитики'!Q409*CapacityAge02*'19_Расчет_аналитики'!$F$211,0)</f>
        <v/>
      </c>
      <c r="R521">
        <f>IF(IF('01_Вводные'!$B$296="Новый сезон",FALSE,FALSE),'19_Расчет_аналитики'!R409*CapacityAge02*'19_Расчет_аналитики'!$F$211,0)</f>
        <v/>
      </c>
      <c r="S521">
        <f>IF(IF('01_Вводные'!$B$296="Новый сезон",FALSE,FALSE),'19_Расчет_аналитики'!S409*CapacityAge02*'19_Расчет_аналитики'!$F$211,0)</f>
        <v/>
      </c>
      <c r="T521">
        <f>IF(IF('01_Вводные'!$B$296="Новый сезон",FALSE,FALSE),'19_Расчет_аналитики'!T409*CapacityAge02*'19_Расчет_аналитики'!$F$211,0)</f>
        <v/>
      </c>
      <c r="U521">
        <f>IF(IF('01_Вводные'!$B$296="Новый сезон",FALSE,FALSE),'19_Расчет_аналитики'!U409*CapacityAge02*'19_Расчет_аналитики'!$F$211,0)</f>
        <v/>
      </c>
      <c r="V521">
        <f>IF(IF('01_Вводные'!$B$296="Новый сезон",FALSE,FALSE),'19_Расчет_аналитики'!V409*CapacityAge02*'19_Расчет_аналитики'!$F$211,0)</f>
        <v/>
      </c>
      <c r="W521">
        <f>IF(IF('01_Вводные'!$B$296="Новый сезон",FALSE,FALSE),'19_Расчет_аналитики'!W409*CapacityAge02*'19_Расчет_аналитики'!$F$211,0)</f>
        <v/>
      </c>
      <c r="X521">
        <f>IF(IF('01_Вводные'!$B$296="Новый сезон",FALSE,FALSE),'19_Расчет_аналитики'!X409*CapacityAge02*'19_Расчет_аналитики'!$F$211,0)</f>
        <v/>
      </c>
      <c r="Y521">
        <f>IF(IF('01_Вводные'!$B$296="Новый сезон",FALSE,FALSE),'19_Расчет_аналитики'!Y409*CapacityAge02*'19_Расчет_аналитики'!$F$211,0)</f>
        <v/>
      </c>
      <c r="Z521">
        <f>IF(IF('01_Вводные'!$B$296="Новый сезон",FALSE,FALSE),'19_Расчет_аналитики'!Z409*CapacityAge02*'19_Расчет_аналитики'!$F$211,0)</f>
        <v/>
      </c>
      <c r="AA521">
        <f>IF(IF('01_Вводные'!$B$296="Новый сезон",FALSE,FALSE),'19_Расчет_аналитики'!AA409*CapacityAge02*'19_Расчет_аналитики'!$F$211,0)</f>
        <v/>
      </c>
      <c r="AB521">
        <f>IF(IF('01_Вводные'!$B$296="Новый сезон",FALSE,FALSE),'19_Расчет_аналитики'!AB409*CapacityAge02*'19_Расчет_аналитики'!$F$211,0)</f>
        <v/>
      </c>
      <c r="AC521">
        <f>IF(IF('01_Вводные'!$B$296="Новый сезон",FALSE,FALSE),'19_Расчет_аналитики'!AC409*CapacityAge02*'19_Расчет_аналитики'!$F$211,0)</f>
        <v/>
      </c>
      <c r="AD521">
        <f>IF(IF('01_Вводные'!$B$296="Новый сезон",FALSE,FALSE),'19_Расчет_аналитики'!AD409*CapacityAge02*'19_Расчет_аналитики'!$F$211,0)</f>
        <v/>
      </c>
      <c r="AE521">
        <f>IF(IF('01_Вводные'!$B$296="Новый сезон",FALSE,FALSE),'19_Расчет_аналитики'!AE409*CapacityAge02*'19_Расчет_аналитики'!$F$211,0)</f>
        <v/>
      </c>
      <c r="AF521">
        <f>IF(IF('01_Вводные'!$B$296="Новый сезон",FALSE,FALSE),'19_Расчет_аналитики'!AF409*CapacityAge02*'19_Расчет_аналитики'!$F$211,0)</f>
        <v/>
      </c>
      <c r="AG521">
        <f>IF(IF('01_Вводные'!$B$296="Новый сезон",FALSE,FALSE),'19_Расчет_аналитики'!AG409*CapacityAge02*'19_Расчет_аналитики'!$F$211,0)</f>
        <v/>
      </c>
      <c r="AH521">
        <f>IF(IF('01_Вводные'!$B$296="Новый сезон",FALSE,FALSE),'19_Расчет_аналитики'!AH409*CapacityAge02*'19_Расчет_аналитики'!$F$211,0)</f>
        <v/>
      </c>
      <c r="AI521">
        <f>IF(IF('01_Вводные'!$B$296="Новый сезон",FALSE,FALSE),'19_Расчет_аналитики'!AI409*CapacityAge02*'19_Расчет_аналитики'!$F$211,0)</f>
        <v/>
      </c>
      <c r="AJ521">
        <f>IF(IF('01_Вводные'!$B$296="Новый сезон",FALSE,FALSE),'19_Расчет_аналитики'!AJ409*CapacityAge02*'19_Расчет_аналитики'!$F$211,0)</f>
        <v/>
      </c>
      <c r="AK521">
        <f>IF(IF('01_Вводные'!$B$296="Новый сезон",FALSE,FALSE),'19_Расчет_аналитики'!AK409*CapacityAge02*'19_Расчет_аналитики'!$F$211,0)</f>
        <v/>
      </c>
      <c r="AL521">
        <f>IF(IF('01_Вводные'!$B$296="Новый сезон",FALSE,FALSE),'19_Расчет_аналитики'!AL409*CapacityAge02*'19_Расчет_аналитики'!$F$211,0)</f>
        <v/>
      </c>
      <c r="AM521">
        <f>IF(IF('01_Вводные'!$B$296="Новый сезон",FALSE,FALSE),'19_Расчет_аналитики'!AM409*CapacityAge02*'19_Расчет_аналитики'!$F$211,0)</f>
        <v/>
      </c>
      <c r="AN521">
        <f>IF(IF('01_Вводные'!$B$296="Новый сезон",FALSE,FALSE),'19_Расчет_аналитики'!AN409*CapacityAge02*'19_Расчет_аналитики'!$F$211,0)</f>
        <v/>
      </c>
      <c r="AO521">
        <f>IF(IF('01_Вводные'!$B$296="Новый сезон",FALSE,FALSE),'19_Расчет_аналитики'!AO409*CapacityAge02*'19_Расчет_аналитики'!$F$211,0)</f>
        <v/>
      </c>
      <c r="AP521">
        <f>IF(IF('01_Вводные'!$B$296="Новый сезон",FALSE,FALSE),'19_Расчет_аналитики'!AP409*CapacityAge02*'19_Расчет_аналитики'!$F$211,0)</f>
        <v/>
      </c>
      <c r="AQ521">
        <f>IF(IF('01_Вводные'!$B$296="Новый сезон",FALSE,FALSE),'19_Расчет_аналитики'!AQ409*CapacityAge02*'19_Расчет_аналитики'!$F$211,0)</f>
        <v/>
      </c>
      <c r="AR521">
        <f>IF(IF('01_Вводные'!$B$296="Новый сезон",FALSE,FALSE),'19_Расчет_аналитики'!AR409*CapacityAge02*'19_Расчет_аналитики'!$F$211,0)</f>
        <v/>
      </c>
      <c r="AS521">
        <f>IF(IF('01_Вводные'!$B$296="Новый сезон",FALSE,FALSE),'19_Расчет_аналитики'!AS409*CapacityAge02*'19_Расчет_аналитики'!$F$211,0)</f>
        <v/>
      </c>
      <c r="AT521">
        <f>IF(IF('01_Вводные'!$B$296="Новый сезон",FALSE,FALSE),'19_Расчет_аналитики'!AT409*CapacityAge02*'19_Расчет_аналитики'!$F$211,0)</f>
        <v/>
      </c>
      <c r="AU521">
        <f>IF(IF('01_Вводные'!$B$296="Новый сезон",FALSE,FALSE),'19_Расчет_аналитики'!AU409*CapacityAge02*'19_Расчет_аналитики'!$F$211,0)</f>
        <v/>
      </c>
      <c r="AV521">
        <f>IF(IF('01_Вводные'!$B$296="Новый сезон",FALSE,FALSE),'19_Расчет_аналитики'!AV409*CapacityAge02*'19_Расчет_аналитики'!$F$211,0)</f>
        <v/>
      </c>
      <c r="AW521">
        <f>IF(IF('01_Вводные'!$B$296="Новый сезон",FALSE,FALSE),'19_Расчет_аналитики'!AW409*CapacityAge02*'19_Расчет_аналитики'!$F$211,0)</f>
        <v/>
      </c>
      <c r="AX521">
        <f>IF(IF('01_Вводные'!$B$296="Новый сезон",FALSE,FALSE),'19_Расчет_аналитики'!AX409*CapacityAge02*'19_Расчет_аналитики'!$F$211,0)</f>
        <v/>
      </c>
      <c r="AY521">
        <f>IF(IF('01_Вводные'!$B$296="Новый сезон",FALSE,FALSE),'19_Расчет_аналитики'!AY409*CapacityAge02*'19_Расчет_аналитики'!$F$211,0)</f>
        <v/>
      </c>
      <c r="AZ521">
        <f>IF(IF('01_Вводные'!$B$296="Новый сезон",FALSE,FALSE),'19_Расчет_аналитики'!AZ409*CapacityAge02*'19_Расчет_аналитики'!$F$211,0)</f>
        <v/>
      </c>
      <c r="BA521">
        <f>IF(IF('01_Вводные'!$B$296="Новый сезон",FALSE,FALSE),'19_Расчет_аналитики'!BA409*CapacityAge02*'19_Расчет_аналитики'!$F$211,0)</f>
        <v/>
      </c>
      <c r="BB521">
        <f>IF(IF('01_Вводные'!$B$296="Новый сезон",FALSE,FALSE),'19_Расчет_аналитики'!BB409*CapacityAge02*'19_Расчет_аналитики'!$F$211,0)</f>
        <v/>
      </c>
      <c r="BC521">
        <f>IF(IF('01_Вводные'!$B$296="Новый сезон",FALSE,FALSE),'19_Расчет_аналитики'!BC409*CapacityAge02*'19_Расчет_аналитики'!$F$211,0)</f>
        <v/>
      </c>
      <c r="BD521">
        <f>IF(IF('01_Вводные'!$B$296="Новый сезон",FALSE,FALSE),'19_Расчет_аналитики'!BD409*CapacityAge02*'19_Расчет_аналитики'!$F$211,0)</f>
        <v/>
      </c>
      <c r="BE521">
        <f>IF(IF('01_Вводные'!$B$296="Новый сезон",FALSE,FALSE),'19_Расчет_аналитики'!BE409*CapacityAge02*'19_Расчет_аналитики'!$F$211,0)</f>
        <v/>
      </c>
      <c r="BF521">
        <f>IF(IF('01_Вводные'!$B$296="Новый сезон",FALSE,FALSE),'19_Расчет_аналитики'!BF409*CapacityAge02*'19_Расчет_аналитики'!$F$211,0)</f>
        <v/>
      </c>
      <c r="BG521">
        <f>IF(IF('01_Вводные'!$B$296="Новый сезон",FALSE,FALSE),'19_Расчет_аналитики'!BG409*CapacityAge02*'19_Расчет_аналитики'!$F$211,0)</f>
        <v/>
      </c>
      <c r="BH521">
        <f>IF(IF('01_Вводные'!$B$296="Новый сезон",FALSE,FALSE),'19_Расчет_аналитики'!BH409*CapacityAge02*'19_Расчет_аналитики'!$F$211,0)</f>
        <v/>
      </c>
      <c r="BI521">
        <f>IF(IF('01_Вводные'!$B$296="Новый сезон",FALSE,FALSE),'19_Расчет_аналитики'!BI409*CapacityAge02*'19_Расчет_аналитики'!$F$211,0)</f>
        <v/>
      </c>
      <c r="BJ521">
        <f>IF(IF('01_Вводные'!$B$296="Новый сезон",FALSE,FALSE),'19_Расчет_аналитики'!BJ409*CapacityAge02*'19_Расчет_аналитики'!$F$211,0)</f>
        <v/>
      </c>
      <c r="BK521">
        <f>IF(IF('01_Вводные'!$B$296="Новый сезон",FALSE,FALSE),'19_Расчет_аналитики'!BK409*CapacityAge02*'19_Расчет_аналитики'!$F$211,0)</f>
        <v/>
      </c>
      <c r="BL521">
        <f>IF(IF('01_Вводные'!$B$296="Новый сезон",FALSE,FALSE),'19_Расчет_аналитики'!BL409*CapacityAge02*'19_Расчет_аналитики'!$F$211,0)</f>
        <v/>
      </c>
      <c r="BM521">
        <f>IF(IF('01_Вводные'!$B$296="Новый сезон",FALSE,FALSE),'19_Расчет_аналитики'!BM409*CapacityAge02*'19_Расчет_аналитики'!$F$211,0)</f>
        <v/>
      </c>
      <c r="BN521">
        <f>IF(IF('01_Вводные'!$B$296="Новый сезон",FALSE,FALSE),'19_Расчет_аналитики'!BN409*CapacityAge02*'19_Расчет_аналитики'!$F$211,0)</f>
        <v/>
      </c>
      <c r="BO521">
        <f>IF(IF('01_Вводные'!$B$296="Новый сезон",FALSE,FALSE),'19_Расчет_аналитики'!BO409*CapacityAge02*'19_Расчет_аналитики'!$F$211,0)</f>
        <v/>
      </c>
    </row>
    <row r="522">
      <c r="B522">
        <f>IF(IF('01_Вводные'!$B$296="Новый сезон",FALSE,FALSE),'06_Сеть_и_дети'!B55*CapacityAge03*'19_Расчет_аналитики'!$F$211,0)</f>
        <v/>
      </c>
      <c r="C522">
        <f>IF(IF('01_Вводные'!$B$296="Новый сезон",FALSE,FALSE),'06_Сеть_и_дети'!C55*CapacityAge03*'19_Расчет_аналитики'!$F$211,0)</f>
        <v/>
      </c>
      <c r="D522">
        <f>IF(IF('01_Вводные'!$B$296="Новый сезон",FALSE,FALSE),'19_Расчет_аналитики'!D410*CapacityAge03*'19_Расчет_аналитики'!$F$211,0)</f>
        <v/>
      </c>
      <c r="E522">
        <f>IF(IF('01_Вводные'!$B$296="Новый сезон",FALSE,FALSE),'19_Расчет_аналитики'!E410*CapacityAge03*'19_Расчет_аналитики'!$F$211,0)</f>
        <v/>
      </c>
      <c r="F522">
        <f>IF(IF('01_Вводные'!$B$296="Новый сезон",FALSE,FALSE),'19_Расчет_аналитики'!F410*CapacityAge03*'19_Расчет_аналитики'!$F$211,0)</f>
        <v/>
      </c>
      <c r="G522">
        <f>IF(IF('01_Вводные'!$B$296="Новый сезон",FALSE,FALSE),'19_Расчет_аналитики'!G410*CapacityAge03*'19_Расчет_аналитики'!$F$211,0)</f>
        <v/>
      </c>
      <c r="H522">
        <f>IF(IF('01_Вводные'!$B$296="Новый сезон",FALSE,FALSE),'19_Расчет_аналитики'!H410*CapacityAge03*'19_Расчет_аналитики'!$F$211,0)</f>
        <v/>
      </c>
      <c r="I522">
        <f>IF(IF('01_Вводные'!$B$296="Новый сезон",FALSE,FALSE),'19_Расчет_аналитики'!I410*CapacityAge03*'19_Расчет_аналитики'!$F$211,0)</f>
        <v/>
      </c>
      <c r="J522">
        <f>IF(IF('01_Вводные'!$B$296="Новый сезон",FALSE,FALSE),'19_Расчет_аналитики'!J410*CapacityAge03*'19_Расчет_аналитики'!$F$211,0)</f>
        <v/>
      </c>
      <c r="K522">
        <f>IF(IF('01_Вводные'!$B$296="Новый сезон",FALSE,FALSE),'19_Расчет_аналитики'!K410*CapacityAge03*'19_Расчет_аналитики'!$F$211,0)</f>
        <v/>
      </c>
      <c r="L522">
        <f>IF(IF('01_Вводные'!$B$296="Новый сезон",FALSE,FALSE),'19_Расчет_аналитики'!L410*CapacityAge03*'19_Расчет_аналитики'!$F$211,0)</f>
        <v/>
      </c>
      <c r="M522">
        <f>IF(IF('01_Вводные'!$B$296="Новый сезон",FALSE,FALSE),'19_Расчет_аналитики'!M410*CapacityAge03*'19_Расчет_аналитики'!$F$211,0)</f>
        <v/>
      </c>
      <c r="N522">
        <f>IF(IF('01_Вводные'!$B$296="Новый сезон",FALSE,FALSE),'19_Расчет_аналитики'!N410*CapacityAge03*'19_Расчет_аналитики'!$F$211,0)</f>
        <v/>
      </c>
      <c r="O522">
        <f>IF(IF('01_Вводные'!$B$296="Новый сезон",FALSE,FALSE),'19_Расчет_аналитики'!O410*CapacityAge03*'19_Расчет_аналитики'!$F$211,0)</f>
        <v/>
      </c>
      <c r="P522">
        <f>IF(IF('01_Вводные'!$B$296="Новый сезон",FALSE,FALSE),'19_Расчет_аналитики'!P410*CapacityAge03*'19_Расчет_аналитики'!$F$211,0)</f>
        <v/>
      </c>
      <c r="Q522">
        <f>IF(IF('01_Вводные'!$B$296="Новый сезон",FALSE,FALSE),'19_Расчет_аналитики'!Q410*CapacityAge03*'19_Расчет_аналитики'!$F$211,0)</f>
        <v/>
      </c>
      <c r="R522">
        <f>IF(IF('01_Вводные'!$B$296="Новый сезон",FALSE,FALSE),'19_Расчет_аналитики'!R410*CapacityAge03*'19_Расчет_аналитики'!$F$211,0)</f>
        <v/>
      </c>
      <c r="S522">
        <f>IF(IF('01_Вводные'!$B$296="Новый сезон",FALSE,FALSE),'19_Расчет_аналитики'!S410*CapacityAge03*'19_Расчет_аналитики'!$F$211,0)</f>
        <v/>
      </c>
      <c r="T522">
        <f>IF(IF('01_Вводные'!$B$296="Новый сезон",FALSE,FALSE),'19_Расчет_аналитики'!T410*CapacityAge03*'19_Расчет_аналитики'!$F$211,0)</f>
        <v/>
      </c>
      <c r="U522">
        <f>IF(IF('01_Вводные'!$B$296="Новый сезон",FALSE,FALSE),'19_Расчет_аналитики'!U410*CapacityAge03*'19_Расчет_аналитики'!$F$211,0)</f>
        <v/>
      </c>
      <c r="V522">
        <f>IF(IF('01_Вводные'!$B$296="Новый сезон",FALSE,FALSE),'19_Расчет_аналитики'!V410*CapacityAge03*'19_Расчет_аналитики'!$F$211,0)</f>
        <v/>
      </c>
      <c r="W522">
        <f>IF(IF('01_Вводные'!$B$296="Новый сезон",FALSE,FALSE),'19_Расчет_аналитики'!W410*CapacityAge03*'19_Расчет_аналитики'!$F$211,0)</f>
        <v/>
      </c>
      <c r="X522">
        <f>IF(IF('01_Вводные'!$B$296="Новый сезон",FALSE,FALSE),'19_Расчет_аналитики'!X410*CapacityAge03*'19_Расчет_аналитики'!$F$211,0)</f>
        <v/>
      </c>
      <c r="Y522">
        <f>IF(IF('01_Вводные'!$B$296="Новый сезон",FALSE,FALSE),'19_Расчет_аналитики'!Y410*CapacityAge03*'19_Расчет_аналитики'!$F$211,0)</f>
        <v/>
      </c>
      <c r="Z522">
        <f>IF(IF('01_Вводные'!$B$296="Новый сезон",FALSE,FALSE),'19_Расчет_аналитики'!Z410*CapacityAge03*'19_Расчет_аналитики'!$F$211,0)</f>
        <v/>
      </c>
      <c r="AA522">
        <f>IF(IF('01_Вводные'!$B$296="Новый сезон",FALSE,FALSE),'19_Расчет_аналитики'!AA410*CapacityAge03*'19_Расчет_аналитики'!$F$211,0)</f>
        <v/>
      </c>
      <c r="AB522">
        <f>IF(IF('01_Вводные'!$B$296="Новый сезон",FALSE,FALSE),'19_Расчет_аналитики'!AB410*CapacityAge03*'19_Расчет_аналитики'!$F$211,0)</f>
        <v/>
      </c>
      <c r="AC522">
        <f>IF(IF('01_Вводные'!$B$296="Новый сезон",FALSE,FALSE),'19_Расчет_аналитики'!AC410*CapacityAge03*'19_Расчет_аналитики'!$F$211,0)</f>
        <v/>
      </c>
      <c r="AD522">
        <f>IF(IF('01_Вводные'!$B$296="Новый сезон",FALSE,FALSE),'19_Расчет_аналитики'!AD410*CapacityAge03*'19_Расчет_аналитики'!$F$211,0)</f>
        <v/>
      </c>
      <c r="AE522">
        <f>IF(IF('01_Вводные'!$B$296="Новый сезон",FALSE,FALSE),'19_Расчет_аналитики'!AE410*CapacityAge03*'19_Расчет_аналитики'!$F$211,0)</f>
        <v/>
      </c>
      <c r="AF522">
        <f>IF(IF('01_Вводные'!$B$296="Новый сезон",FALSE,FALSE),'19_Расчет_аналитики'!AF410*CapacityAge03*'19_Расчет_аналитики'!$F$211,0)</f>
        <v/>
      </c>
      <c r="AG522">
        <f>IF(IF('01_Вводные'!$B$296="Новый сезон",FALSE,FALSE),'19_Расчет_аналитики'!AG410*CapacityAge03*'19_Расчет_аналитики'!$F$211,0)</f>
        <v/>
      </c>
      <c r="AH522">
        <f>IF(IF('01_Вводные'!$B$296="Новый сезон",FALSE,FALSE),'19_Расчет_аналитики'!AH410*CapacityAge03*'19_Расчет_аналитики'!$F$211,0)</f>
        <v/>
      </c>
      <c r="AI522">
        <f>IF(IF('01_Вводные'!$B$296="Новый сезон",FALSE,FALSE),'19_Расчет_аналитики'!AI410*CapacityAge03*'19_Расчет_аналитики'!$F$211,0)</f>
        <v/>
      </c>
      <c r="AJ522">
        <f>IF(IF('01_Вводные'!$B$296="Новый сезон",FALSE,FALSE),'19_Расчет_аналитики'!AJ410*CapacityAge03*'19_Расчет_аналитики'!$F$211,0)</f>
        <v/>
      </c>
      <c r="AK522">
        <f>IF(IF('01_Вводные'!$B$296="Новый сезон",FALSE,FALSE),'19_Расчет_аналитики'!AK410*CapacityAge03*'19_Расчет_аналитики'!$F$211,0)</f>
        <v/>
      </c>
      <c r="AL522">
        <f>IF(IF('01_Вводные'!$B$296="Новый сезон",FALSE,FALSE),'19_Расчет_аналитики'!AL410*CapacityAge03*'19_Расчет_аналитики'!$F$211,0)</f>
        <v/>
      </c>
      <c r="AM522">
        <f>IF(IF('01_Вводные'!$B$296="Новый сезон",FALSE,FALSE),'19_Расчет_аналитики'!AM410*CapacityAge03*'19_Расчет_аналитики'!$F$211,0)</f>
        <v/>
      </c>
      <c r="AN522">
        <f>IF(IF('01_Вводные'!$B$296="Новый сезон",FALSE,FALSE),'19_Расчет_аналитики'!AN410*CapacityAge03*'19_Расчет_аналитики'!$F$211,0)</f>
        <v/>
      </c>
      <c r="AO522">
        <f>IF(IF('01_Вводные'!$B$296="Новый сезон",FALSE,FALSE),'19_Расчет_аналитики'!AO410*CapacityAge03*'19_Расчет_аналитики'!$F$211,0)</f>
        <v/>
      </c>
      <c r="AP522">
        <f>IF(IF('01_Вводные'!$B$296="Новый сезон",FALSE,FALSE),'19_Расчет_аналитики'!AP410*CapacityAge03*'19_Расчет_аналитики'!$F$211,0)</f>
        <v/>
      </c>
      <c r="AQ522">
        <f>IF(IF('01_Вводные'!$B$296="Новый сезон",FALSE,FALSE),'19_Расчет_аналитики'!AQ410*CapacityAge03*'19_Расчет_аналитики'!$F$211,0)</f>
        <v/>
      </c>
      <c r="AR522">
        <f>IF(IF('01_Вводные'!$B$296="Новый сезон",FALSE,FALSE),'19_Расчет_аналитики'!AR410*CapacityAge03*'19_Расчет_аналитики'!$F$211,0)</f>
        <v/>
      </c>
      <c r="AS522">
        <f>IF(IF('01_Вводные'!$B$296="Новый сезон",FALSE,FALSE),'19_Расчет_аналитики'!AS410*CapacityAge03*'19_Расчет_аналитики'!$F$211,0)</f>
        <v/>
      </c>
      <c r="AT522">
        <f>IF(IF('01_Вводные'!$B$296="Новый сезон",FALSE,FALSE),'19_Расчет_аналитики'!AT410*CapacityAge03*'19_Расчет_аналитики'!$F$211,0)</f>
        <v/>
      </c>
      <c r="AU522">
        <f>IF(IF('01_Вводные'!$B$296="Новый сезон",FALSE,FALSE),'19_Расчет_аналитики'!AU410*CapacityAge03*'19_Расчет_аналитики'!$F$211,0)</f>
        <v/>
      </c>
      <c r="AV522">
        <f>IF(IF('01_Вводные'!$B$296="Новый сезон",FALSE,FALSE),'19_Расчет_аналитики'!AV410*CapacityAge03*'19_Расчет_аналитики'!$F$211,0)</f>
        <v/>
      </c>
      <c r="AW522">
        <f>IF(IF('01_Вводные'!$B$296="Новый сезон",FALSE,FALSE),'19_Расчет_аналитики'!AW410*CapacityAge03*'19_Расчет_аналитики'!$F$211,0)</f>
        <v/>
      </c>
      <c r="AX522">
        <f>IF(IF('01_Вводные'!$B$296="Новый сезон",FALSE,FALSE),'19_Расчет_аналитики'!AX410*CapacityAge03*'19_Расчет_аналитики'!$F$211,0)</f>
        <v/>
      </c>
      <c r="AY522">
        <f>IF(IF('01_Вводные'!$B$296="Новый сезон",FALSE,FALSE),'19_Расчет_аналитики'!AY410*CapacityAge03*'19_Расчет_аналитики'!$F$211,0)</f>
        <v/>
      </c>
      <c r="AZ522">
        <f>IF(IF('01_Вводные'!$B$296="Новый сезон",FALSE,FALSE),'19_Расчет_аналитики'!AZ410*CapacityAge03*'19_Расчет_аналитики'!$F$211,0)</f>
        <v/>
      </c>
      <c r="BA522">
        <f>IF(IF('01_Вводные'!$B$296="Новый сезон",FALSE,FALSE),'19_Расчет_аналитики'!BA410*CapacityAge03*'19_Расчет_аналитики'!$F$211,0)</f>
        <v/>
      </c>
      <c r="BB522">
        <f>IF(IF('01_Вводные'!$B$296="Новый сезон",FALSE,FALSE),'19_Расчет_аналитики'!BB410*CapacityAge03*'19_Расчет_аналитики'!$F$211,0)</f>
        <v/>
      </c>
      <c r="BC522">
        <f>IF(IF('01_Вводные'!$B$296="Новый сезон",FALSE,FALSE),'19_Расчет_аналитики'!BC410*CapacityAge03*'19_Расчет_аналитики'!$F$211,0)</f>
        <v/>
      </c>
      <c r="BD522">
        <f>IF(IF('01_Вводные'!$B$296="Новый сезон",FALSE,FALSE),'19_Расчет_аналитики'!BD410*CapacityAge03*'19_Расчет_аналитики'!$F$211,0)</f>
        <v/>
      </c>
      <c r="BE522">
        <f>IF(IF('01_Вводные'!$B$296="Новый сезон",FALSE,FALSE),'19_Расчет_аналитики'!BE410*CapacityAge03*'19_Расчет_аналитики'!$F$211,0)</f>
        <v/>
      </c>
      <c r="BF522">
        <f>IF(IF('01_Вводные'!$B$296="Новый сезон",FALSE,FALSE),'19_Расчет_аналитики'!BF410*CapacityAge03*'19_Расчет_аналитики'!$F$211,0)</f>
        <v/>
      </c>
      <c r="BG522">
        <f>IF(IF('01_Вводные'!$B$296="Новый сезон",FALSE,FALSE),'19_Расчет_аналитики'!BG410*CapacityAge03*'19_Расчет_аналитики'!$F$211,0)</f>
        <v/>
      </c>
      <c r="BH522">
        <f>IF(IF('01_Вводные'!$B$296="Новый сезон",FALSE,FALSE),'19_Расчет_аналитики'!BH410*CapacityAge03*'19_Расчет_аналитики'!$F$211,0)</f>
        <v/>
      </c>
      <c r="BI522">
        <f>IF(IF('01_Вводные'!$B$296="Новый сезон",FALSE,FALSE),'19_Расчет_аналитики'!BI410*CapacityAge03*'19_Расчет_аналитики'!$F$211,0)</f>
        <v/>
      </c>
      <c r="BJ522">
        <f>IF(IF('01_Вводные'!$B$296="Новый сезон",FALSE,FALSE),'19_Расчет_аналитики'!BJ410*CapacityAge03*'19_Расчет_аналитики'!$F$211,0)</f>
        <v/>
      </c>
      <c r="BK522">
        <f>IF(IF('01_Вводные'!$B$296="Новый сезон",FALSE,FALSE),'19_Расчет_аналитики'!BK410*CapacityAge03*'19_Расчет_аналитики'!$F$211,0)</f>
        <v/>
      </c>
      <c r="BL522">
        <f>IF(IF('01_Вводные'!$B$296="Новый сезон",FALSE,FALSE),'19_Расчет_аналитики'!BL410*CapacityAge03*'19_Расчет_аналитики'!$F$211,0)</f>
        <v/>
      </c>
      <c r="BM522">
        <f>IF(IF('01_Вводные'!$B$296="Новый сезон",FALSE,FALSE),'19_Расчет_аналитики'!BM410*CapacityAge03*'19_Расчет_аналитики'!$F$211,0)</f>
        <v/>
      </c>
      <c r="BN522">
        <f>IF(IF('01_Вводные'!$B$296="Новый сезон",FALSE,FALSE),'19_Расчет_аналитики'!BN410*CapacityAge03*'19_Расчет_аналитики'!$F$211,0)</f>
        <v/>
      </c>
      <c r="BO522">
        <f>IF(IF('01_Вводные'!$B$296="Новый сезон",FALSE,FALSE),'19_Расчет_аналитики'!BO410*CapacityAge03*'19_Расчет_аналитики'!$F$211,0)</f>
        <v/>
      </c>
    </row>
    <row r="523">
      <c r="B523">
        <f>IF(IF('01_Вводные'!$B$296="Новый сезон",FALSE,FALSE),'06_Сеть_и_дети'!B56*CapacityAge04*'19_Расчет_аналитики'!$F$211,0)</f>
        <v/>
      </c>
      <c r="C523">
        <f>IF(IF('01_Вводные'!$B$296="Новый сезон",FALSE,FALSE),'06_Сеть_и_дети'!C56*CapacityAge04*'19_Расчет_аналитики'!$F$211,0)</f>
        <v/>
      </c>
      <c r="D523">
        <f>IF(IF('01_Вводные'!$B$296="Новый сезон",FALSE,FALSE),'06_Сеть_и_дети'!D56*CapacityAge04*'19_Расчет_аналитики'!$F$211,0)</f>
        <v/>
      </c>
      <c r="E523">
        <f>IF(IF('01_Вводные'!$B$296="Новый сезон",FALSE,FALSE),'19_Расчет_аналитики'!E411*CapacityAge04*'19_Расчет_аналитики'!$F$211,0)</f>
        <v/>
      </c>
      <c r="F523">
        <f>IF(IF('01_Вводные'!$B$296="Новый сезон",FALSE,FALSE),'19_Расчет_аналитики'!F411*CapacityAge04*'19_Расчет_аналитики'!$F$211,0)</f>
        <v/>
      </c>
      <c r="G523">
        <f>IF(IF('01_Вводные'!$B$296="Новый сезон",FALSE,FALSE),'19_Расчет_аналитики'!G411*CapacityAge04*'19_Расчет_аналитики'!$F$211,0)</f>
        <v/>
      </c>
      <c r="H523">
        <f>IF(IF('01_Вводные'!$B$296="Новый сезон",FALSE,FALSE),'19_Расчет_аналитики'!H411*CapacityAge04*'19_Расчет_аналитики'!$F$211,0)</f>
        <v/>
      </c>
      <c r="I523">
        <f>IF(IF('01_Вводные'!$B$296="Новый сезон",FALSE,FALSE),'19_Расчет_аналитики'!I411*CapacityAge04*'19_Расчет_аналитики'!$F$211,0)</f>
        <v/>
      </c>
      <c r="J523">
        <f>IF(IF('01_Вводные'!$B$296="Новый сезон",FALSE,FALSE),'19_Расчет_аналитики'!J411*CapacityAge04*'19_Расчет_аналитики'!$F$211,0)</f>
        <v/>
      </c>
      <c r="K523">
        <f>IF(IF('01_Вводные'!$B$296="Новый сезон",FALSE,FALSE),'19_Расчет_аналитики'!K411*CapacityAge04*'19_Расчет_аналитики'!$F$211,0)</f>
        <v/>
      </c>
      <c r="L523">
        <f>IF(IF('01_Вводные'!$B$296="Новый сезон",FALSE,FALSE),'19_Расчет_аналитики'!L411*CapacityAge04*'19_Расчет_аналитики'!$F$211,0)</f>
        <v/>
      </c>
      <c r="M523">
        <f>IF(IF('01_Вводные'!$B$296="Новый сезон",FALSE,FALSE),'19_Расчет_аналитики'!M411*CapacityAge04*'19_Расчет_аналитики'!$F$211,0)</f>
        <v/>
      </c>
      <c r="N523">
        <f>IF(IF('01_Вводные'!$B$296="Новый сезон",FALSE,FALSE),'19_Расчет_аналитики'!N411*CapacityAge04*'19_Расчет_аналитики'!$F$211,0)</f>
        <v/>
      </c>
      <c r="O523">
        <f>IF(IF('01_Вводные'!$B$296="Новый сезон",FALSE,FALSE),'19_Расчет_аналитики'!O411*CapacityAge04*'19_Расчет_аналитики'!$F$211,0)</f>
        <v/>
      </c>
      <c r="P523">
        <f>IF(IF('01_Вводные'!$B$296="Новый сезон",FALSE,FALSE),'19_Расчет_аналитики'!P411*CapacityAge04*'19_Расчет_аналитики'!$F$211,0)</f>
        <v/>
      </c>
      <c r="Q523">
        <f>IF(IF('01_Вводные'!$B$296="Новый сезон",FALSE,FALSE),'19_Расчет_аналитики'!Q411*CapacityAge04*'19_Расчет_аналитики'!$F$211,0)</f>
        <v/>
      </c>
      <c r="R523">
        <f>IF(IF('01_Вводные'!$B$296="Новый сезон",FALSE,FALSE),'19_Расчет_аналитики'!R411*CapacityAge04*'19_Расчет_аналитики'!$F$211,0)</f>
        <v/>
      </c>
      <c r="S523">
        <f>IF(IF('01_Вводные'!$B$296="Новый сезон",FALSE,FALSE),'19_Расчет_аналитики'!S411*CapacityAge04*'19_Расчет_аналитики'!$F$211,0)</f>
        <v/>
      </c>
      <c r="T523">
        <f>IF(IF('01_Вводные'!$B$296="Новый сезон",FALSE,FALSE),'19_Расчет_аналитики'!T411*CapacityAge04*'19_Расчет_аналитики'!$F$211,0)</f>
        <v/>
      </c>
      <c r="U523">
        <f>IF(IF('01_Вводные'!$B$296="Новый сезон",FALSE,FALSE),'19_Расчет_аналитики'!U411*CapacityAge04*'19_Расчет_аналитики'!$F$211,0)</f>
        <v/>
      </c>
      <c r="V523">
        <f>IF(IF('01_Вводные'!$B$296="Новый сезон",FALSE,FALSE),'19_Расчет_аналитики'!V411*CapacityAge04*'19_Расчет_аналитики'!$F$211,0)</f>
        <v/>
      </c>
      <c r="W523">
        <f>IF(IF('01_Вводные'!$B$296="Новый сезон",FALSE,FALSE),'19_Расчет_аналитики'!W411*CapacityAge04*'19_Расчет_аналитики'!$F$211,0)</f>
        <v/>
      </c>
      <c r="X523">
        <f>IF(IF('01_Вводные'!$B$296="Новый сезон",FALSE,FALSE),'19_Расчет_аналитики'!X411*CapacityAge04*'19_Расчет_аналитики'!$F$211,0)</f>
        <v/>
      </c>
      <c r="Y523">
        <f>IF(IF('01_Вводные'!$B$296="Новый сезон",FALSE,FALSE),'19_Расчет_аналитики'!Y411*CapacityAge04*'19_Расчет_аналитики'!$F$211,0)</f>
        <v/>
      </c>
      <c r="Z523">
        <f>IF(IF('01_Вводные'!$B$296="Новый сезон",FALSE,FALSE),'19_Расчет_аналитики'!Z411*CapacityAge04*'19_Расчет_аналитики'!$F$211,0)</f>
        <v/>
      </c>
      <c r="AA523">
        <f>IF(IF('01_Вводные'!$B$296="Новый сезон",FALSE,FALSE),'19_Расчет_аналитики'!AA411*CapacityAge04*'19_Расчет_аналитики'!$F$211,0)</f>
        <v/>
      </c>
      <c r="AB523">
        <f>IF(IF('01_Вводные'!$B$296="Новый сезон",FALSE,FALSE),'19_Расчет_аналитики'!AB411*CapacityAge04*'19_Расчет_аналитики'!$F$211,0)</f>
        <v/>
      </c>
      <c r="AC523">
        <f>IF(IF('01_Вводные'!$B$296="Новый сезон",FALSE,FALSE),'19_Расчет_аналитики'!AC411*CapacityAge04*'19_Расчет_аналитики'!$F$211,0)</f>
        <v/>
      </c>
      <c r="AD523">
        <f>IF(IF('01_Вводные'!$B$296="Новый сезон",FALSE,FALSE),'19_Расчет_аналитики'!AD411*CapacityAge04*'19_Расчет_аналитики'!$F$211,0)</f>
        <v/>
      </c>
      <c r="AE523">
        <f>IF(IF('01_Вводные'!$B$296="Новый сезон",FALSE,FALSE),'19_Расчет_аналитики'!AE411*CapacityAge04*'19_Расчет_аналитики'!$F$211,0)</f>
        <v/>
      </c>
      <c r="AF523">
        <f>IF(IF('01_Вводные'!$B$296="Новый сезон",FALSE,FALSE),'19_Расчет_аналитики'!AF411*CapacityAge04*'19_Расчет_аналитики'!$F$211,0)</f>
        <v/>
      </c>
      <c r="AG523">
        <f>IF(IF('01_Вводные'!$B$296="Новый сезон",FALSE,FALSE),'19_Расчет_аналитики'!AG411*CapacityAge04*'19_Расчет_аналитики'!$F$211,0)</f>
        <v/>
      </c>
      <c r="AH523">
        <f>IF(IF('01_Вводные'!$B$296="Новый сезон",FALSE,FALSE),'19_Расчет_аналитики'!AH411*CapacityAge04*'19_Расчет_аналитики'!$F$211,0)</f>
        <v/>
      </c>
      <c r="AI523">
        <f>IF(IF('01_Вводные'!$B$296="Новый сезон",FALSE,FALSE),'19_Расчет_аналитики'!AI411*CapacityAge04*'19_Расчет_аналитики'!$F$211,0)</f>
        <v/>
      </c>
      <c r="AJ523">
        <f>IF(IF('01_Вводные'!$B$296="Новый сезон",FALSE,FALSE),'19_Расчет_аналитики'!AJ411*CapacityAge04*'19_Расчет_аналитики'!$F$211,0)</f>
        <v/>
      </c>
      <c r="AK523">
        <f>IF(IF('01_Вводные'!$B$296="Новый сезон",FALSE,FALSE),'19_Расчет_аналитики'!AK411*CapacityAge04*'19_Расчет_аналитики'!$F$211,0)</f>
        <v/>
      </c>
      <c r="AL523">
        <f>IF(IF('01_Вводные'!$B$296="Новый сезон",FALSE,FALSE),'19_Расчет_аналитики'!AL411*CapacityAge04*'19_Расчет_аналитики'!$F$211,0)</f>
        <v/>
      </c>
      <c r="AM523">
        <f>IF(IF('01_Вводные'!$B$296="Новый сезон",FALSE,FALSE),'19_Расчет_аналитики'!AM411*CapacityAge04*'19_Расчет_аналитики'!$F$211,0)</f>
        <v/>
      </c>
      <c r="AN523">
        <f>IF(IF('01_Вводные'!$B$296="Новый сезон",FALSE,FALSE),'19_Расчет_аналитики'!AN411*CapacityAge04*'19_Расчет_аналитики'!$F$211,0)</f>
        <v/>
      </c>
      <c r="AO523">
        <f>IF(IF('01_Вводные'!$B$296="Новый сезон",FALSE,FALSE),'19_Расчет_аналитики'!AO411*CapacityAge04*'19_Расчет_аналитики'!$F$211,0)</f>
        <v/>
      </c>
      <c r="AP523">
        <f>IF(IF('01_Вводные'!$B$296="Новый сезон",FALSE,FALSE),'19_Расчет_аналитики'!AP411*CapacityAge04*'19_Расчет_аналитики'!$F$211,0)</f>
        <v/>
      </c>
      <c r="AQ523">
        <f>IF(IF('01_Вводные'!$B$296="Новый сезон",FALSE,FALSE),'19_Расчет_аналитики'!AQ411*CapacityAge04*'19_Расчет_аналитики'!$F$211,0)</f>
        <v/>
      </c>
      <c r="AR523">
        <f>IF(IF('01_Вводные'!$B$296="Новый сезон",FALSE,FALSE),'19_Расчет_аналитики'!AR411*CapacityAge04*'19_Расчет_аналитики'!$F$211,0)</f>
        <v/>
      </c>
      <c r="AS523">
        <f>IF(IF('01_Вводные'!$B$296="Новый сезон",FALSE,FALSE),'19_Расчет_аналитики'!AS411*CapacityAge04*'19_Расчет_аналитики'!$F$211,0)</f>
        <v/>
      </c>
      <c r="AT523">
        <f>IF(IF('01_Вводные'!$B$296="Новый сезон",FALSE,FALSE),'19_Расчет_аналитики'!AT411*CapacityAge04*'19_Расчет_аналитики'!$F$211,0)</f>
        <v/>
      </c>
      <c r="AU523">
        <f>IF(IF('01_Вводные'!$B$296="Новый сезон",FALSE,FALSE),'19_Расчет_аналитики'!AU411*CapacityAge04*'19_Расчет_аналитики'!$F$211,0)</f>
        <v/>
      </c>
      <c r="AV523">
        <f>IF(IF('01_Вводные'!$B$296="Новый сезон",FALSE,FALSE),'19_Расчет_аналитики'!AV411*CapacityAge04*'19_Расчет_аналитики'!$F$211,0)</f>
        <v/>
      </c>
      <c r="AW523">
        <f>IF(IF('01_Вводные'!$B$296="Новый сезон",FALSE,FALSE),'19_Расчет_аналитики'!AW411*CapacityAge04*'19_Расчет_аналитики'!$F$211,0)</f>
        <v/>
      </c>
      <c r="AX523">
        <f>IF(IF('01_Вводные'!$B$296="Новый сезон",FALSE,FALSE),'19_Расчет_аналитики'!AX411*CapacityAge04*'19_Расчет_аналитики'!$F$211,0)</f>
        <v/>
      </c>
      <c r="AY523">
        <f>IF(IF('01_Вводные'!$B$296="Новый сезон",FALSE,FALSE),'19_Расчет_аналитики'!AY411*CapacityAge04*'19_Расчет_аналитики'!$F$211,0)</f>
        <v/>
      </c>
      <c r="AZ523">
        <f>IF(IF('01_Вводные'!$B$296="Новый сезон",FALSE,FALSE),'19_Расчет_аналитики'!AZ411*CapacityAge04*'19_Расчет_аналитики'!$F$211,0)</f>
        <v/>
      </c>
      <c r="BA523">
        <f>IF(IF('01_Вводные'!$B$296="Новый сезон",FALSE,FALSE),'19_Расчет_аналитики'!BA411*CapacityAge04*'19_Расчет_аналитики'!$F$211,0)</f>
        <v/>
      </c>
      <c r="BB523">
        <f>IF(IF('01_Вводные'!$B$296="Новый сезон",FALSE,FALSE),'19_Расчет_аналитики'!BB411*CapacityAge04*'19_Расчет_аналитики'!$F$211,0)</f>
        <v/>
      </c>
      <c r="BC523">
        <f>IF(IF('01_Вводные'!$B$296="Новый сезон",FALSE,FALSE),'19_Расчет_аналитики'!BC411*CapacityAge04*'19_Расчет_аналитики'!$F$211,0)</f>
        <v/>
      </c>
      <c r="BD523">
        <f>IF(IF('01_Вводные'!$B$296="Новый сезон",FALSE,FALSE),'19_Расчет_аналитики'!BD411*CapacityAge04*'19_Расчет_аналитики'!$F$211,0)</f>
        <v/>
      </c>
      <c r="BE523">
        <f>IF(IF('01_Вводные'!$B$296="Новый сезон",FALSE,FALSE),'19_Расчет_аналитики'!BE411*CapacityAge04*'19_Расчет_аналитики'!$F$211,0)</f>
        <v/>
      </c>
      <c r="BF523">
        <f>IF(IF('01_Вводные'!$B$296="Новый сезон",FALSE,FALSE),'19_Расчет_аналитики'!BF411*CapacityAge04*'19_Расчет_аналитики'!$F$211,0)</f>
        <v/>
      </c>
      <c r="BG523">
        <f>IF(IF('01_Вводные'!$B$296="Новый сезон",FALSE,FALSE),'19_Расчет_аналитики'!BG411*CapacityAge04*'19_Расчет_аналитики'!$F$211,0)</f>
        <v/>
      </c>
      <c r="BH523">
        <f>IF(IF('01_Вводные'!$B$296="Новый сезон",FALSE,FALSE),'19_Расчет_аналитики'!BH411*CapacityAge04*'19_Расчет_аналитики'!$F$211,0)</f>
        <v/>
      </c>
      <c r="BI523">
        <f>IF(IF('01_Вводные'!$B$296="Новый сезон",FALSE,FALSE),'19_Расчет_аналитики'!BI411*CapacityAge04*'19_Расчет_аналитики'!$F$211,0)</f>
        <v/>
      </c>
      <c r="BJ523">
        <f>IF(IF('01_Вводные'!$B$296="Новый сезон",FALSE,FALSE),'19_Расчет_аналитики'!BJ411*CapacityAge04*'19_Расчет_аналитики'!$F$211,0)</f>
        <v/>
      </c>
      <c r="BK523">
        <f>IF(IF('01_Вводные'!$B$296="Новый сезон",FALSE,FALSE),'19_Расчет_аналитики'!BK411*CapacityAge04*'19_Расчет_аналитики'!$F$211,0)</f>
        <v/>
      </c>
      <c r="BL523">
        <f>IF(IF('01_Вводные'!$B$296="Новый сезон",FALSE,FALSE),'19_Расчет_аналитики'!BL411*CapacityAge04*'19_Расчет_аналитики'!$F$211,0)</f>
        <v/>
      </c>
      <c r="BM523">
        <f>IF(IF('01_Вводные'!$B$296="Новый сезон",FALSE,FALSE),'19_Расчет_аналитики'!BM411*CapacityAge04*'19_Расчет_аналитики'!$F$211,0)</f>
        <v/>
      </c>
      <c r="BN523">
        <f>IF(IF('01_Вводные'!$B$296="Новый сезон",FALSE,FALSE),'19_Расчет_аналитики'!BN411*CapacityAge04*'19_Расчет_аналитики'!$F$211,0)</f>
        <v/>
      </c>
      <c r="BO523">
        <f>IF(IF('01_Вводные'!$B$296="Новый сезон",FALSE,FALSE),'19_Расчет_аналитики'!BO411*CapacityAge04*'19_Расчет_аналитики'!$F$211,0)</f>
        <v/>
      </c>
    </row>
    <row r="524">
      <c r="B524">
        <f>IF(IF('01_Вводные'!$B$296="Новый сезон",5-1&gt;MOD(MONTH('06_Сеть_и_дети'!B$3)-9,12),FALSE),'06_Сеть_и_дети'!B57*CapacityAge05*'19_Расчет_аналитики'!$F$211,0)</f>
        <v/>
      </c>
      <c r="C524">
        <f>IF(IF('01_Вводные'!$B$296="Новый сезон",5-1&gt;MOD(MONTH('06_Сеть_и_дети'!C$3)-9,12),FALSE),'06_Сеть_и_дети'!C57*CapacityAge05*'19_Расчет_аналитики'!$F$211,0)</f>
        <v/>
      </c>
      <c r="D524">
        <f>IF(IF('01_Вводные'!$B$296="Новый сезон",5-1&gt;MOD(MONTH('06_Сеть_и_дети'!D$3)-9,12),FALSE),'06_Сеть_и_дети'!D57*CapacityAge05*'19_Расчет_аналитики'!$F$211,0)</f>
        <v/>
      </c>
      <c r="E524">
        <f>IF(IF('01_Вводные'!$B$296="Новый сезон",5-1&gt;MOD(MONTH('06_Сеть_и_дети'!E$3)-9,12),FALSE),'06_Сеть_и_дети'!E57*CapacityAge05*'19_Расчет_аналитики'!$F$211,0)</f>
        <v/>
      </c>
      <c r="F524">
        <f>IF(IF('01_Вводные'!$B$296="Новый сезон",5-1&gt;MOD(MONTH('06_Сеть_и_дети'!F$3)-9,12),FALSE),'19_Расчет_аналитики'!F412*CapacityAge05*'19_Расчет_аналитики'!$F$211,0)</f>
        <v/>
      </c>
      <c r="G524">
        <f>IF(IF('01_Вводные'!$B$296="Новый сезон",5-1&gt;MOD(MONTH('06_Сеть_и_дети'!G$3)-9,12),FALSE),'19_Расчет_аналитики'!G412*CapacityAge05*'19_Расчет_аналитики'!$F$211,0)</f>
        <v/>
      </c>
      <c r="H524">
        <f>IF(IF('01_Вводные'!$B$296="Новый сезон",5-1&gt;MOD(MONTH('06_Сеть_и_дети'!H$3)-9,12),FALSE),'19_Расчет_аналитики'!H412*CapacityAge05*'19_Расчет_аналитики'!$F$211,0)</f>
        <v/>
      </c>
      <c r="I524">
        <f>IF(IF('01_Вводные'!$B$296="Новый сезон",5-1&gt;MOD(MONTH('06_Сеть_и_дети'!I$3)-9,12),FALSE),'19_Расчет_аналитики'!I412*CapacityAge05*'19_Расчет_аналитики'!$F$211,0)</f>
        <v/>
      </c>
      <c r="J524">
        <f>IF(IF('01_Вводные'!$B$296="Новый сезон",5-1&gt;MOD(MONTH('06_Сеть_и_дети'!J$3)-9,12),FALSE),'19_Расчет_аналитики'!J412*CapacityAge05*'19_Расчет_аналитики'!$F$211,0)</f>
        <v/>
      </c>
      <c r="K524">
        <f>IF(IF('01_Вводные'!$B$296="Новый сезон",5-1&gt;MOD(MONTH('06_Сеть_и_дети'!K$3)-9,12),FALSE),'19_Расчет_аналитики'!K412*CapacityAge05*'19_Расчет_аналитики'!$F$211,0)</f>
        <v/>
      </c>
      <c r="L524">
        <f>IF(IF('01_Вводные'!$B$296="Новый сезон",5-1&gt;MOD(MONTH('06_Сеть_и_дети'!L$3)-9,12),FALSE),'19_Расчет_аналитики'!L412*CapacityAge05*'19_Расчет_аналитики'!$F$211,0)</f>
        <v/>
      </c>
      <c r="M524">
        <f>IF(IF('01_Вводные'!$B$296="Новый сезон",5-1&gt;MOD(MONTH('06_Сеть_и_дети'!M$3)-9,12),FALSE),'19_Расчет_аналитики'!M412*CapacityAge05*'19_Расчет_аналитики'!$F$211,0)</f>
        <v/>
      </c>
      <c r="N524">
        <f>IF(IF('01_Вводные'!$B$296="Новый сезон",5-1&gt;MOD(MONTH('06_Сеть_и_дети'!N$3)-9,12),FALSE),'19_Расчет_аналитики'!N412*CapacityAge05*'19_Расчет_аналитики'!$F$211,0)</f>
        <v/>
      </c>
      <c r="O524">
        <f>IF(IF('01_Вводные'!$B$296="Новый сезон",5-1&gt;MOD(MONTH('06_Сеть_и_дети'!O$3)-9,12),FALSE),'19_Расчет_аналитики'!O412*CapacityAge05*'19_Расчет_аналитики'!$F$211,0)</f>
        <v/>
      </c>
      <c r="P524">
        <f>IF(IF('01_Вводные'!$B$296="Новый сезон",5-1&gt;MOD(MONTH('06_Сеть_и_дети'!P$3)-9,12),FALSE),'19_Расчет_аналитики'!P412*CapacityAge05*'19_Расчет_аналитики'!$F$211,0)</f>
        <v/>
      </c>
      <c r="Q524">
        <f>IF(IF('01_Вводные'!$B$296="Новый сезон",5-1&gt;MOD(MONTH('06_Сеть_и_дети'!Q$3)-9,12),FALSE),'19_Расчет_аналитики'!Q412*CapacityAge05*'19_Расчет_аналитики'!$F$211,0)</f>
        <v/>
      </c>
      <c r="R524">
        <f>IF(IF('01_Вводные'!$B$296="Новый сезон",5-1&gt;MOD(MONTH('06_Сеть_и_дети'!R$3)-9,12),FALSE),'19_Расчет_аналитики'!R412*CapacityAge05*'19_Расчет_аналитики'!$F$211,0)</f>
        <v/>
      </c>
      <c r="S524">
        <f>IF(IF('01_Вводные'!$B$296="Новый сезон",5-1&gt;MOD(MONTH('06_Сеть_и_дети'!S$3)-9,12),FALSE),'19_Расчет_аналитики'!S412*CapacityAge05*'19_Расчет_аналитики'!$F$211,0)</f>
        <v/>
      </c>
      <c r="T524">
        <f>IF(IF('01_Вводные'!$B$296="Новый сезон",5-1&gt;MOD(MONTH('06_Сеть_и_дети'!T$3)-9,12),FALSE),'19_Расчет_аналитики'!T412*CapacityAge05*'19_Расчет_аналитики'!$F$211,0)</f>
        <v/>
      </c>
      <c r="U524">
        <f>IF(IF('01_Вводные'!$B$296="Новый сезон",5-1&gt;MOD(MONTH('06_Сеть_и_дети'!U$3)-9,12),FALSE),'19_Расчет_аналитики'!U412*CapacityAge05*'19_Расчет_аналитики'!$F$211,0)</f>
        <v/>
      </c>
      <c r="V524">
        <f>IF(IF('01_Вводные'!$B$296="Новый сезон",5-1&gt;MOD(MONTH('06_Сеть_и_дети'!V$3)-9,12),FALSE),'19_Расчет_аналитики'!V412*CapacityAge05*'19_Расчет_аналитики'!$F$211,0)</f>
        <v/>
      </c>
      <c r="W524">
        <f>IF(IF('01_Вводные'!$B$296="Новый сезон",5-1&gt;MOD(MONTH('06_Сеть_и_дети'!W$3)-9,12),FALSE),'19_Расчет_аналитики'!W412*CapacityAge05*'19_Расчет_аналитики'!$F$211,0)</f>
        <v/>
      </c>
      <c r="X524">
        <f>IF(IF('01_Вводные'!$B$296="Новый сезон",5-1&gt;MOD(MONTH('06_Сеть_и_дети'!X$3)-9,12),FALSE),'19_Расчет_аналитики'!X412*CapacityAge05*'19_Расчет_аналитики'!$F$211,0)</f>
        <v/>
      </c>
      <c r="Y524">
        <f>IF(IF('01_Вводные'!$B$296="Новый сезон",5-1&gt;MOD(MONTH('06_Сеть_и_дети'!Y$3)-9,12),FALSE),'19_Расчет_аналитики'!Y412*CapacityAge05*'19_Расчет_аналитики'!$F$211,0)</f>
        <v/>
      </c>
      <c r="Z524">
        <f>IF(IF('01_Вводные'!$B$296="Новый сезон",5-1&gt;MOD(MONTH('06_Сеть_и_дети'!Z$3)-9,12),FALSE),'19_Расчет_аналитики'!Z412*CapacityAge05*'19_Расчет_аналитики'!$F$211,0)</f>
        <v/>
      </c>
      <c r="AA524">
        <f>IF(IF('01_Вводные'!$B$296="Новый сезон",5-1&gt;MOD(MONTH('06_Сеть_и_дети'!AA$3)-9,12),FALSE),'19_Расчет_аналитики'!AA412*CapacityAge05*'19_Расчет_аналитики'!$F$211,0)</f>
        <v/>
      </c>
      <c r="AB524">
        <f>IF(IF('01_Вводные'!$B$296="Новый сезон",5-1&gt;MOD(MONTH('06_Сеть_и_дети'!AB$3)-9,12),FALSE),'19_Расчет_аналитики'!AB412*CapacityAge05*'19_Расчет_аналитики'!$F$211,0)</f>
        <v/>
      </c>
      <c r="AC524">
        <f>IF(IF('01_Вводные'!$B$296="Новый сезон",5-1&gt;MOD(MONTH('06_Сеть_и_дети'!AC$3)-9,12),FALSE),'19_Расчет_аналитики'!AC412*CapacityAge05*'19_Расчет_аналитики'!$F$211,0)</f>
        <v/>
      </c>
      <c r="AD524">
        <f>IF(IF('01_Вводные'!$B$296="Новый сезон",5-1&gt;MOD(MONTH('06_Сеть_и_дети'!AD$3)-9,12),FALSE),'19_Расчет_аналитики'!AD412*CapacityAge05*'19_Расчет_аналитики'!$F$211,0)</f>
        <v/>
      </c>
      <c r="AE524">
        <f>IF(IF('01_Вводные'!$B$296="Новый сезон",5-1&gt;MOD(MONTH('06_Сеть_и_дети'!AE$3)-9,12),FALSE),'19_Расчет_аналитики'!AE412*CapacityAge05*'19_Расчет_аналитики'!$F$211,0)</f>
        <v/>
      </c>
      <c r="AF524">
        <f>IF(IF('01_Вводные'!$B$296="Новый сезон",5-1&gt;MOD(MONTH('06_Сеть_и_дети'!AF$3)-9,12),FALSE),'19_Расчет_аналитики'!AF412*CapacityAge05*'19_Расчет_аналитики'!$F$211,0)</f>
        <v/>
      </c>
      <c r="AG524">
        <f>IF(IF('01_Вводные'!$B$296="Новый сезон",5-1&gt;MOD(MONTH('06_Сеть_и_дети'!AG$3)-9,12),FALSE),'19_Расчет_аналитики'!AG412*CapacityAge05*'19_Расчет_аналитики'!$F$211,0)</f>
        <v/>
      </c>
      <c r="AH524">
        <f>IF(IF('01_Вводные'!$B$296="Новый сезон",5-1&gt;MOD(MONTH('06_Сеть_и_дети'!AH$3)-9,12),FALSE),'19_Расчет_аналитики'!AH412*CapacityAge05*'19_Расчет_аналитики'!$F$211,0)</f>
        <v/>
      </c>
      <c r="AI524">
        <f>IF(IF('01_Вводные'!$B$296="Новый сезон",5-1&gt;MOD(MONTH('06_Сеть_и_дети'!AI$3)-9,12),FALSE),'19_Расчет_аналитики'!AI412*CapacityAge05*'19_Расчет_аналитики'!$F$211,0)</f>
        <v/>
      </c>
      <c r="AJ524">
        <f>IF(IF('01_Вводные'!$B$296="Новый сезон",5-1&gt;MOD(MONTH('06_Сеть_и_дети'!AJ$3)-9,12),FALSE),'19_Расчет_аналитики'!AJ412*CapacityAge05*'19_Расчет_аналитики'!$F$211,0)</f>
        <v/>
      </c>
      <c r="AK524">
        <f>IF(IF('01_Вводные'!$B$296="Новый сезон",5-1&gt;MOD(MONTH('06_Сеть_и_дети'!AK$3)-9,12),FALSE),'19_Расчет_аналитики'!AK412*CapacityAge05*'19_Расчет_аналитики'!$F$211,0)</f>
        <v/>
      </c>
      <c r="AL524">
        <f>IF(IF('01_Вводные'!$B$296="Новый сезон",5-1&gt;MOD(MONTH('06_Сеть_и_дети'!AL$3)-9,12),FALSE),'19_Расчет_аналитики'!AL412*CapacityAge05*'19_Расчет_аналитики'!$F$211,0)</f>
        <v/>
      </c>
      <c r="AM524">
        <f>IF(IF('01_Вводные'!$B$296="Новый сезон",5-1&gt;MOD(MONTH('06_Сеть_и_дети'!AM$3)-9,12),FALSE),'19_Расчет_аналитики'!AM412*CapacityAge05*'19_Расчет_аналитики'!$F$211,0)</f>
        <v/>
      </c>
      <c r="AN524">
        <f>IF(IF('01_Вводные'!$B$296="Новый сезон",5-1&gt;MOD(MONTH('06_Сеть_и_дети'!AN$3)-9,12),FALSE),'19_Расчет_аналитики'!AN412*CapacityAge05*'19_Расчет_аналитики'!$F$211,0)</f>
        <v/>
      </c>
      <c r="AO524">
        <f>IF(IF('01_Вводные'!$B$296="Новый сезон",5-1&gt;MOD(MONTH('06_Сеть_и_дети'!AO$3)-9,12),FALSE),'19_Расчет_аналитики'!AO412*CapacityAge05*'19_Расчет_аналитики'!$F$211,0)</f>
        <v/>
      </c>
      <c r="AP524">
        <f>IF(IF('01_Вводные'!$B$296="Новый сезон",5-1&gt;MOD(MONTH('06_Сеть_и_дети'!AP$3)-9,12),FALSE),'19_Расчет_аналитики'!AP412*CapacityAge05*'19_Расчет_аналитики'!$F$211,0)</f>
        <v/>
      </c>
      <c r="AQ524">
        <f>IF(IF('01_Вводные'!$B$296="Новый сезон",5-1&gt;MOD(MONTH('06_Сеть_и_дети'!AQ$3)-9,12),FALSE),'19_Расчет_аналитики'!AQ412*CapacityAge05*'19_Расчет_аналитики'!$F$211,0)</f>
        <v/>
      </c>
      <c r="AR524">
        <f>IF(IF('01_Вводные'!$B$296="Новый сезон",5-1&gt;MOD(MONTH('06_Сеть_и_дети'!AR$3)-9,12),FALSE),'19_Расчет_аналитики'!AR412*CapacityAge05*'19_Расчет_аналитики'!$F$211,0)</f>
        <v/>
      </c>
      <c r="AS524">
        <f>IF(IF('01_Вводные'!$B$296="Новый сезон",5-1&gt;MOD(MONTH('06_Сеть_и_дети'!AS$3)-9,12),FALSE),'19_Расчет_аналитики'!AS412*CapacityAge05*'19_Расчет_аналитики'!$F$211,0)</f>
        <v/>
      </c>
      <c r="AT524">
        <f>IF(IF('01_Вводные'!$B$296="Новый сезон",5-1&gt;MOD(MONTH('06_Сеть_и_дети'!AT$3)-9,12),FALSE),'19_Расчет_аналитики'!AT412*CapacityAge05*'19_Расчет_аналитики'!$F$211,0)</f>
        <v/>
      </c>
      <c r="AU524">
        <f>IF(IF('01_Вводные'!$B$296="Новый сезон",5-1&gt;MOD(MONTH('06_Сеть_и_дети'!AU$3)-9,12),FALSE),'19_Расчет_аналитики'!AU412*CapacityAge05*'19_Расчет_аналитики'!$F$211,0)</f>
        <v/>
      </c>
      <c r="AV524">
        <f>IF(IF('01_Вводные'!$B$296="Новый сезон",5-1&gt;MOD(MONTH('06_Сеть_и_дети'!AV$3)-9,12),FALSE),'19_Расчет_аналитики'!AV412*CapacityAge05*'19_Расчет_аналитики'!$F$211,0)</f>
        <v/>
      </c>
      <c r="AW524">
        <f>IF(IF('01_Вводные'!$B$296="Новый сезон",5-1&gt;MOD(MONTH('06_Сеть_и_дети'!AW$3)-9,12),FALSE),'19_Расчет_аналитики'!AW412*CapacityAge05*'19_Расчет_аналитики'!$F$211,0)</f>
        <v/>
      </c>
      <c r="AX524">
        <f>IF(IF('01_Вводные'!$B$296="Новый сезон",5-1&gt;MOD(MONTH('06_Сеть_и_дети'!AX$3)-9,12),FALSE),'19_Расчет_аналитики'!AX412*CapacityAge05*'19_Расчет_аналитики'!$F$211,0)</f>
        <v/>
      </c>
      <c r="AY524">
        <f>IF(IF('01_Вводные'!$B$296="Новый сезон",5-1&gt;MOD(MONTH('06_Сеть_и_дети'!AY$3)-9,12),FALSE),'19_Расчет_аналитики'!AY412*CapacityAge05*'19_Расчет_аналитики'!$F$211,0)</f>
        <v/>
      </c>
      <c r="AZ524">
        <f>IF(IF('01_Вводные'!$B$296="Новый сезон",5-1&gt;MOD(MONTH('06_Сеть_и_дети'!AZ$3)-9,12),FALSE),'19_Расчет_аналитики'!AZ412*CapacityAge05*'19_Расчет_аналитики'!$F$211,0)</f>
        <v/>
      </c>
      <c r="BA524">
        <f>IF(IF('01_Вводные'!$B$296="Новый сезон",5-1&gt;MOD(MONTH('06_Сеть_и_дети'!BA$3)-9,12),FALSE),'19_Расчет_аналитики'!BA412*CapacityAge05*'19_Расчет_аналитики'!$F$211,0)</f>
        <v/>
      </c>
      <c r="BB524">
        <f>IF(IF('01_Вводные'!$B$296="Новый сезон",5-1&gt;MOD(MONTH('06_Сеть_и_дети'!BB$3)-9,12),FALSE),'19_Расчет_аналитики'!BB412*CapacityAge05*'19_Расчет_аналитики'!$F$211,0)</f>
        <v/>
      </c>
      <c r="BC524">
        <f>IF(IF('01_Вводные'!$B$296="Новый сезон",5-1&gt;MOD(MONTH('06_Сеть_и_дети'!BC$3)-9,12),FALSE),'19_Расчет_аналитики'!BC412*CapacityAge05*'19_Расчет_аналитики'!$F$211,0)</f>
        <v/>
      </c>
      <c r="BD524">
        <f>IF(IF('01_Вводные'!$B$296="Новый сезон",5-1&gt;MOD(MONTH('06_Сеть_и_дети'!BD$3)-9,12),FALSE),'19_Расчет_аналитики'!BD412*CapacityAge05*'19_Расчет_аналитики'!$F$211,0)</f>
        <v/>
      </c>
      <c r="BE524">
        <f>IF(IF('01_Вводные'!$B$296="Новый сезон",5-1&gt;MOD(MONTH('06_Сеть_и_дети'!BE$3)-9,12),FALSE),'19_Расчет_аналитики'!BE412*CapacityAge05*'19_Расчет_аналитики'!$F$211,0)</f>
        <v/>
      </c>
      <c r="BF524">
        <f>IF(IF('01_Вводные'!$B$296="Новый сезон",5-1&gt;MOD(MONTH('06_Сеть_и_дети'!BF$3)-9,12),FALSE),'19_Расчет_аналитики'!BF412*CapacityAge05*'19_Расчет_аналитики'!$F$211,0)</f>
        <v/>
      </c>
      <c r="BG524">
        <f>IF(IF('01_Вводные'!$B$296="Новый сезон",5-1&gt;MOD(MONTH('06_Сеть_и_дети'!BG$3)-9,12),FALSE),'19_Расчет_аналитики'!BG412*CapacityAge05*'19_Расчет_аналитики'!$F$211,0)</f>
        <v/>
      </c>
      <c r="BH524">
        <f>IF(IF('01_Вводные'!$B$296="Новый сезон",5-1&gt;MOD(MONTH('06_Сеть_и_дети'!BH$3)-9,12),FALSE),'19_Расчет_аналитики'!BH412*CapacityAge05*'19_Расчет_аналитики'!$F$211,0)</f>
        <v/>
      </c>
      <c r="BI524">
        <f>IF(IF('01_Вводные'!$B$296="Новый сезон",5-1&gt;MOD(MONTH('06_Сеть_и_дети'!BI$3)-9,12),FALSE),'19_Расчет_аналитики'!BI412*CapacityAge05*'19_Расчет_аналитики'!$F$211,0)</f>
        <v/>
      </c>
      <c r="BJ524">
        <f>IF(IF('01_Вводные'!$B$296="Новый сезон",5-1&gt;MOD(MONTH('06_Сеть_и_дети'!BJ$3)-9,12),FALSE),'19_Расчет_аналитики'!BJ412*CapacityAge05*'19_Расчет_аналитики'!$F$211,0)</f>
        <v/>
      </c>
      <c r="BK524">
        <f>IF(IF('01_Вводные'!$B$296="Новый сезон",5-1&gt;MOD(MONTH('06_Сеть_и_дети'!BK$3)-9,12),FALSE),'19_Расчет_аналитики'!BK412*CapacityAge05*'19_Расчет_аналитики'!$F$211,0)</f>
        <v/>
      </c>
      <c r="BL524">
        <f>IF(IF('01_Вводные'!$B$296="Новый сезон",5-1&gt;MOD(MONTH('06_Сеть_и_дети'!BL$3)-9,12),FALSE),'19_Расчет_аналитики'!BL412*CapacityAge05*'19_Расчет_аналитики'!$F$211,0)</f>
        <v/>
      </c>
      <c r="BM524">
        <f>IF(IF('01_Вводные'!$B$296="Новый сезон",5-1&gt;MOD(MONTH('06_Сеть_и_дети'!BM$3)-9,12),FALSE),'19_Расчет_аналитики'!BM412*CapacityAge05*'19_Расчет_аналитики'!$F$211,0)</f>
        <v/>
      </c>
      <c r="BN524">
        <f>IF(IF('01_Вводные'!$B$296="Новый сезон",5-1&gt;MOD(MONTH('06_Сеть_и_дети'!BN$3)-9,12),FALSE),'19_Расчет_аналитики'!BN412*CapacityAge05*'19_Расчет_аналитики'!$F$211,0)</f>
        <v/>
      </c>
      <c r="BO524">
        <f>IF(IF('01_Вводные'!$B$296="Новый сезон",5-1&gt;MOD(MONTH('06_Сеть_и_дети'!BO$3)-9,12),FALSE),'19_Расчет_аналитики'!BO412*CapacityAge05*'19_Расчет_аналитики'!$F$211,0)</f>
        <v/>
      </c>
    </row>
    <row r="525">
      <c r="B525">
        <f>IF(IF('01_Вводные'!$B$296="Новый сезон",6-1&gt;MOD(MONTH('06_Сеть_и_дети'!B$3)-9,12),FALSE),'06_Сеть_и_дети'!B58*CapacityAge06*'19_Расчет_аналитики'!$F$211,0)</f>
        <v/>
      </c>
      <c r="C525">
        <f>IF(IF('01_Вводные'!$B$296="Новый сезон",6-1&gt;MOD(MONTH('06_Сеть_и_дети'!C$3)-9,12),FALSE),'06_Сеть_и_дети'!C58*CapacityAge06*'19_Расчет_аналитики'!$F$211,0)</f>
        <v/>
      </c>
      <c r="D525">
        <f>IF(IF('01_Вводные'!$B$296="Новый сезон",6-1&gt;MOD(MONTH('06_Сеть_и_дети'!D$3)-9,12),FALSE),'06_Сеть_и_дети'!D58*CapacityAge06*'19_Расчет_аналитики'!$F$211,0)</f>
        <v/>
      </c>
      <c r="E525">
        <f>IF(IF('01_Вводные'!$B$296="Новый сезон",6-1&gt;MOD(MONTH('06_Сеть_и_дети'!E$3)-9,12),FALSE),'06_Сеть_и_дети'!E58*CapacityAge06*'19_Расчет_аналитики'!$F$211,0)</f>
        <v/>
      </c>
      <c r="F525">
        <f>IF(IF('01_Вводные'!$B$296="Новый сезон",6-1&gt;MOD(MONTH('06_Сеть_и_дети'!F$3)-9,12),FALSE),'06_Сеть_и_дети'!F58*CapacityAge06*'19_Расчет_аналитики'!$F$211,0)</f>
        <v/>
      </c>
      <c r="G525">
        <f>IF(IF('01_Вводные'!$B$296="Новый сезон",6-1&gt;MOD(MONTH('06_Сеть_и_дети'!G$3)-9,12),FALSE),'19_Расчет_аналитики'!G413*CapacityAge06*'19_Расчет_аналитики'!$F$211,0)</f>
        <v/>
      </c>
      <c r="H525">
        <f>IF(IF('01_Вводные'!$B$296="Новый сезон",6-1&gt;MOD(MONTH('06_Сеть_и_дети'!H$3)-9,12),FALSE),'19_Расчет_аналитики'!H413*CapacityAge06*'19_Расчет_аналитики'!$F$211,0)</f>
        <v/>
      </c>
      <c r="I525">
        <f>IF(IF('01_Вводные'!$B$296="Новый сезон",6-1&gt;MOD(MONTH('06_Сеть_и_дети'!I$3)-9,12),FALSE),'19_Расчет_аналитики'!I413*CapacityAge06*'19_Расчет_аналитики'!$F$211,0)</f>
        <v/>
      </c>
      <c r="J525">
        <f>IF(IF('01_Вводные'!$B$296="Новый сезон",6-1&gt;MOD(MONTH('06_Сеть_и_дети'!J$3)-9,12),FALSE),'19_Расчет_аналитики'!J413*CapacityAge06*'19_Расчет_аналитики'!$F$211,0)</f>
        <v/>
      </c>
      <c r="K525">
        <f>IF(IF('01_Вводные'!$B$296="Новый сезон",6-1&gt;MOD(MONTH('06_Сеть_и_дети'!K$3)-9,12),FALSE),'19_Расчет_аналитики'!K413*CapacityAge06*'19_Расчет_аналитики'!$F$211,0)</f>
        <v/>
      </c>
      <c r="L525">
        <f>IF(IF('01_Вводные'!$B$296="Новый сезон",6-1&gt;MOD(MONTH('06_Сеть_и_дети'!L$3)-9,12),FALSE),'19_Расчет_аналитики'!L413*CapacityAge06*'19_Расчет_аналитики'!$F$211,0)</f>
        <v/>
      </c>
      <c r="M525">
        <f>IF(IF('01_Вводные'!$B$296="Новый сезон",6-1&gt;MOD(MONTH('06_Сеть_и_дети'!M$3)-9,12),FALSE),'19_Расчет_аналитики'!M413*CapacityAge06*'19_Расчет_аналитики'!$F$211,0)</f>
        <v/>
      </c>
      <c r="N525">
        <f>IF(IF('01_Вводные'!$B$296="Новый сезон",6-1&gt;MOD(MONTH('06_Сеть_и_дети'!N$3)-9,12),FALSE),'19_Расчет_аналитики'!N413*CapacityAge06*'19_Расчет_аналитики'!$F$211,0)</f>
        <v/>
      </c>
      <c r="O525">
        <f>IF(IF('01_Вводные'!$B$296="Новый сезон",6-1&gt;MOD(MONTH('06_Сеть_и_дети'!O$3)-9,12),FALSE),'19_Расчет_аналитики'!O413*CapacityAge06*'19_Расчет_аналитики'!$F$211,0)</f>
        <v/>
      </c>
      <c r="P525">
        <f>IF(IF('01_Вводные'!$B$296="Новый сезон",6-1&gt;MOD(MONTH('06_Сеть_и_дети'!P$3)-9,12),FALSE),'19_Расчет_аналитики'!P413*CapacityAge06*'19_Расчет_аналитики'!$F$211,0)</f>
        <v/>
      </c>
      <c r="Q525">
        <f>IF(IF('01_Вводные'!$B$296="Новый сезон",6-1&gt;MOD(MONTH('06_Сеть_и_дети'!Q$3)-9,12),FALSE),'19_Расчет_аналитики'!Q413*CapacityAge06*'19_Расчет_аналитики'!$F$211,0)</f>
        <v/>
      </c>
      <c r="R525">
        <f>IF(IF('01_Вводные'!$B$296="Новый сезон",6-1&gt;MOD(MONTH('06_Сеть_и_дети'!R$3)-9,12),FALSE),'19_Расчет_аналитики'!R413*CapacityAge06*'19_Расчет_аналитики'!$F$211,0)</f>
        <v/>
      </c>
      <c r="S525">
        <f>IF(IF('01_Вводные'!$B$296="Новый сезон",6-1&gt;MOD(MONTH('06_Сеть_и_дети'!S$3)-9,12),FALSE),'19_Расчет_аналитики'!S413*CapacityAge06*'19_Расчет_аналитики'!$F$211,0)</f>
        <v/>
      </c>
      <c r="T525">
        <f>IF(IF('01_Вводные'!$B$296="Новый сезон",6-1&gt;MOD(MONTH('06_Сеть_и_дети'!T$3)-9,12),FALSE),'19_Расчет_аналитики'!T413*CapacityAge06*'19_Расчет_аналитики'!$F$211,0)</f>
        <v/>
      </c>
      <c r="U525">
        <f>IF(IF('01_Вводные'!$B$296="Новый сезон",6-1&gt;MOD(MONTH('06_Сеть_и_дети'!U$3)-9,12),FALSE),'19_Расчет_аналитики'!U413*CapacityAge06*'19_Расчет_аналитики'!$F$211,0)</f>
        <v/>
      </c>
      <c r="V525">
        <f>IF(IF('01_Вводные'!$B$296="Новый сезон",6-1&gt;MOD(MONTH('06_Сеть_и_дети'!V$3)-9,12),FALSE),'19_Расчет_аналитики'!V413*CapacityAge06*'19_Расчет_аналитики'!$F$211,0)</f>
        <v/>
      </c>
      <c r="W525">
        <f>IF(IF('01_Вводные'!$B$296="Новый сезон",6-1&gt;MOD(MONTH('06_Сеть_и_дети'!W$3)-9,12),FALSE),'19_Расчет_аналитики'!W413*CapacityAge06*'19_Расчет_аналитики'!$F$211,0)</f>
        <v/>
      </c>
      <c r="X525">
        <f>IF(IF('01_Вводные'!$B$296="Новый сезон",6-1&gt;MOD(MONTH('06_Сеть_и_дети'!X$3)-9,12),FALSE),'19_Расчет_аналитики'!X413*CapacityAge06*'19_Расчет_аналитики'!$F$211,0)</f>
        <v/>
      </c>
      <c r="Y525">
        <f>IF(IF('01_Вводные'!$B$296="Новый сезон",6-1&gt;MOD(MONTH('06_Сеть_и_дети'!Y$3)-9,12),FALSE),'19_Расчет_аналитики'!Y413*CapacityAge06*'19_Расчет_аналитики'!$F$211,0)</f>
        <v/>
      </c>
      <c r="Z525">
        <f>IF(IF('01_Вводные'!$B$296="Новый сезон",6-1&gt;MOD(MONTH('06_Сеть_и_дети'!Z$3)-9,12),FALSE),'19_Расчет_аналитики'!Z413*CapacityAge06*'19_Расчет_аналитики'!$F$211,0)</f>
        <v/>
      </c>
      <c r="AA525">
        <f>IF(IF('01_Вводные'!$B$296="Новый сезон",6-1&gt;MOD(MONTH('06_Сеть_и_дети'!AA$3)-9,12),FALSE),'19_Расчет_аналитики'!AA413*CapacityAge06*'19_Расчет_аналитики'!$F$211,0)</f>
        <v/>
      </c>
      <c r="AB525">
        <f>IF(IF('01_Вводные'!$B$296="Новый сезон",6-1&gt;MOD(MONTH('06_Сеть_и_дети'!AB$3)-9,12),FALSE),'19_Расчет_аналитики'!AB413*CapacityAge06*'19_Расчет_аналитики'!$F$211,0)</f>
        <v/>
      </c>
      <c r="AC525">
        <f>IF(IF('01_Вводные'!$B$296="Новый сезон",6-1&gt;MOD(MONTH('06_Сеть_и_дети'!AC$3)-9,12),FALSE),'19_Расчет_аналитики'!AC413*CapacityAge06*'19_Расчет_аналитики'!$F$211,0)</f>
        <v/>
      </c>
      <c r="AD525">
        <f>IF(IF('01_Вводные'!$B$296="Новый сезон",6-1&gt;MOD(MONTH('06_Сеть_и_дети'!AD$3)-9,12),FALSE),'19_Расчет_аналитики'!AD413*CapacityAge06*'19_Расчет_аналитики'!$F$211,0)</f>
        <v/>
      </c>
      <c r="AE525">
        <f>IF(IF('01_Вводные'!$B$296="Новый сезон",6-1&gt;MOD(MONTH('06_Сеть_и_дети'!AE$3)-9,12),FALSE),'19_Расчет_аналитики'!AE413*CapacityAge06*'19_Расчет_аналитики'!$F$211,0)</f>
        <v/>
      </c>
      <c r="AF525">
        <f>IF(IF('01_Вводные'!$B$296="Новый сезон",6-1&gt;MOD(MONTH('06_Сеть_и_дети'!AF$3)-9,12),FALSE),'19_Расчет_аналитики'!AF413*CapacityAge06*'19_Расчет_аналитики'!$F$211,0)</f>
        <v/>
      </c>
      <c r="AG525">
        <f>IF(IF('01_Вводные'!$B$296="Новый сезон",6-1&gt;MOD(MONTH('06_Сеть_и_дети'!AG$3)-9,12),FALSE),'19_Расчет_аналитики'!AG413*CapacityAge06*'19_Расчет_аналитики'!$F$211,0)</f>
        <v/>
      </c>
      <c r="AH525">
        <f>IF(IF('01_Вводные'!$B$296="Новый сезон",6-1&gt;MOD(MONTH('06_Сеть_и_дети'!AH$3)-9,12),FALSE),'19_Расчет_аналитики'!AH413*CapacityAge06*'19_Расчет_аналитики'!$F$211,0)</f>
        <v/>
      </c>
      <c r="AI525">
        <f>IF(IF('01_Вводные'!$B$296="Новый сезон",6-1&gt;MOD(MONTH('06_Сеть_и_дети'!AI$3)-9,12),FALSE),'19_Расчет_аналитики'!AI413*CapacityAge06*'19_Расчет_аналитики'!$F$211,0)</f>
        <v/>
      </c>
      <c r="AJ525">
        <f>IF(IF('01_Вводные'!$B$296="Новый сезон",6-1&gt;MOD(MONTH('06_Сеть_и_дети'!AJ$3)-9,12),FALSE),'19_Расчет_аналитики'!AJ413*CapacityAge06*'19_Расчет_аналитики'!$F$211,0)</f>
        <v/>
      </c>
      <c r="AK525">
        <f>IF(IF('01_Вводные'!$B$296="Новый сезон",6-1&gt;MOD(MONTH('06_Сеть_и_дети'!AK$3)-9,12),FALSE),'19_Расчет_аналитики'!AK413*CapacityAge06*'19_Расчет_аналитики'!$F$211,0)</f>
        <v/>
      </c>
      <c r="AL525">
        <f>IF(IF('01_Вводные'!$B$296="Новый сезон",6-1&gt;MOD(MONTH('06_Сеть_и_дети'!AL$3)-9,12),FALSE),'19_Расчет_аналитики'!AL413*CapacityAge06*'19_Расчет_аналитики'!$F$211,0)</f>
        <v/>
      </c>
      <c r="AM525">
        <f>IF(IF('01_Вводные'!$B$296="Новый сезон",6-1&gt;MOD(MONTH('06_Сеть_и_дети'!AM$3)-9,12),FALSE),'19_Расчет_аналитики'!AM413*CapacityAge06*'19_Расчет_аналитики'!$F$211,0)</f>
        <v/>
      </c>
      <c r="AN525">
        <f>IF(IF('01_Вводные'!$B$296="Новый сезон",6-1&gt;MOD(MONTH('06_Сеть_и_дети'!AN$3)-9,12),FALSE),'19_Расчет_аналитики'!AN413*CapacityAge06*'19_Расчет_аналитики'!$F$211,0)</f>
        <v/>
      </c>
      <c r="AO525">
        <f>IF(IF('01_Вводные'!$B$296="Новый сезон",6-1&gt;MOD(MONTH('06_Сеть_и_дети'!AO$3)-9,12),FALSE),'19_Расчет_аналитики'!AO413*CapacityAge06*'19_Расчет_аналитики'!$F$211,0)</f>
        <v/>
      </c>
      <c r="AP525">
        <f>IF(IF('01_Вводные'!$B$296="Новый сезон",6-1&gt;MOD(MONTH('06_Сеть_и_дети'!AP$3)-9,12),FALSE),'19_Расчет_аналитики'!AP413*CapacityAge06*'19_Расчет_аналитики'!$F$211,0)</f>
        <v/>
      </c>
      <c r="AQ525">
        <f>IF(IF('01_Вводные'!$B$296="Новый сезон",6-1&gt;MOD(MONTH('06_Сеть_и_дети'!AQ$3)-9,12),FALSE),'19_Расчет_аналитики'!AQ413*CapacityAge06*'19_Расчет_аналитики'!$F$211,0)</f>
        <v/>
      </c>
      <c r="AR525">
        <f>IF(IF('01_Вводные'!$B$296="Новый сезон",6-1&gt;MOD(MONTH('06_Сеть_и_дети'!AR$3)-9,12),FALSE),'19_Расчет_аналитики'!AR413*CapacityAge06*'19_Расчет_аналитики'!$F$211,0)</f>
        <v/>
      </c>
      <c r="AS525">
        <f>IF(IF('01_Вводные'!$B$296="Новый сезон",6-1&gt;MOD(MONTH('06_Сеть_и_дети'!AS$3)-9,12),FALSE),'19_Расчет_аналитики'!AS413*CapacityAge06*'19_Расчет_аналитики'!$F$211,0)</f>
        <v/>
      </c>
      <c r="AT525">
        <f>IF(IF('01_Вводные'!$B$296="Новый сезон",6-1&gt;MOD(MONTH('06_Сеть_и_дети'!AT$3)-9,12),FALSE),'19_Расчет_аналитики'!AT413*CapacityAge06*'19_Расчет_аналитики'!$F$211,0)</f>
        <v/>
      </c>
      <c r="AU525">
        <f>IF(IF('01_Вводные'!$B$296="Новый сезон",6-1&gt;MOD(MONTH('06_Сеть_и_дети'!AU$3)-9,12),FALSE),'19_Расчет_аналитики'!AU413*CapacityAge06*'19_Расчет_аналитики'!$F$211,0)</f>
        <v/>
      </c>
      <c r="AV525">
        <f>IF(IF('01_Вводные'!$B$296="Новый сезон",6-1&gt;MOD(MONTH('06_Сеть_и_дети'!AV$3)-9,12),FALSE),'19_Расчет_аналитики'!AV413*CapacityAge06*'19_Расчет_аналитики'!$F$211,0)</f>
        <v/>
      </c>
      <c r="AW525">
        <f>IF(IF('01_Вводные'!$B$296="Новый сезон",6-1&gt;MOD(MONTH('06_Сеть_и_дети'!AW$3)-9,12),FALSE),'19_Расчет_аналитики'!AW413*CapacityAge06*'19_Расчет_аналитики'!$F$211,0)</f>
        <v/>
      </c>
      <c r="AX525">
        <f>IF(IF('01_Вводные'!$B$296="Новый сезон",6-1&gt;MOD(MONTH('06_Сеть_и_дети'!AX$3)-9,12),FALSE),'19_Расчет_аналитики'!AX413*CapacityAge06*'19_Расчет_аналитики'!$F$211,0)</f>
        <v/>
      </c>
      <c r="AY525">
        <f>IF(IF('01_Вводные'!$B$296="Новый сезон",6-1&gt;MOD(MONTH('06_Сеть_и_дети'!AY$3)-9,12),FALSE),'19_Расчет_аналитики'!AY413*CapacityAge06*'19_Расчет_аналитики'!$F$211,0)</f>
        <v/>
      </c>
      <c r="AZ525">
        <f>IF(IF('01_Вводные'!$B$296="Новый сезон",6-1&gt;MOD(MONTH('06_Сеть_и_дети'!AZ$3)-9,12),FALSE),'19_Расчет_аналитики'!AZ413*CapacityAge06*'19_Расчет_аналитики'!$F$211,0)</f>
        <v/>
      </c>
      <c r="BA525">
        <f>IF(IF('01_Вводные'!$B$296="Новый сезон",6-1&gt;MOD(MONTH('06_Сеть_и_дети'!BA$3)-9,12),FALSE),'19_Расчет_аналитики'!BA413*CapacityAge06*'19_Расчет_аналитики'!$F$211,0)</f>
        <v/>
      </c>
      <c r="BB525">
        <f>IF(IF('01_Вводные'!$B$296="Новый сезон",6-1&gt;MOD(MONTH('06_Сеть_и_дети'!BB$3)-9,12),FALSE),'19_Расчет_аналитики'!BB413*CapacityAge06*'19_Расчет_аналитики'!$F$211,0)</f>
        <v/>
      </c>
      <c r="BC525">
        <f>IF(IF('01_Вводные'!$B$296="Новый сезон",6-1&gt;MOD(MONTH('06_Сеть_и_дети'!BC$3)-9,12),FALSE),'19_Расчет_аналитики'!BC413*CapacityAge06*'19_Расчет_аналитики'!$F$211,0)</f>
        <v/>
      </c>
      <c r="BD525">
        <f>IF(IF('01_Вводные'!$B$296="Новый сезон",6-1&gt;MOD(MONTH('06_Сеть_и_дети'!BD$3)-9,12),FALSE),'19_Расчет_аналитики'!BD413*CapacityAge06*'19_Расчет_аналитики'!$F$211,0)</f>
        <v/>
      </c>
      <c r="BE525">
        <f>IF(IF('01_Вводные'!$B$296="Новый сезон",6-1&gt;MOD(MONTH('06_Сеть_и_дети'!BE$3)-9,12),FALSE),'19_Расчет_аналитики'!BE413*CapacityAge06*'19_Расчет_аналитики'!$F$211,0)</f>
        <v/>
      </c>
      <c r="BF525">
        <f>IF(IF('01_Вводные'!$B$296="Новый сезон",6-1&gt;MOD(MONTH('06_Сеть_и_дети'!BF$3)-9,12),FALSE),'19_Расчет_аналитики'!BF413*CapacityAge06*'19_Расчет_аналитики'!$F$211,0)</f>
        <v/>
      </c>
      <c r="BG525">
        <f>IF(IF('01_Вводные'!$B$296="Новый сезон",6-1&gt;MOD(MONTH('06_Сеть_и_дети'!BG$3)-9,12),FALSE),'19_Расчет_аналитики'!BG413*CapacityAge06*'19_Расчет_аналитики'!$F$211,0)</f>
        <v/>
      </c>
      <c r="BH525">
        <f>IF(IF('01_Вводные'!$B$296="Новый сезон",6-1&gt;MOD(MONTH('06_Сеть_и_дети'!BH$3)-9,12),FALSE),'19_Расчет_аналитики'!BH413*CapacityAge06*'19_Расчет_аналитики'!$F$211,0)</f>
        <v/>
      </c>
      <c r="BI525">
        <f>IF(IF('01_Вводные'!$B$296="Новый сезон",6-1&gt;MOD(MONTH('06_Сеть_и_дети'!BI$3)-9,12),FALSE),'19_Расчет_аналитики'!BI413*CapacityAge06*'19_Расчет_аналитики'!$F$211,0)</f>
        <v/>
      </c>
      <c r="BJ525">
        <f>IF(IF('01_Вводные'!$B$296="Новый сезон",6-1&gt;MOD(MONTH('06_Сеть_и_дети'!BJ$3)-9,12),FALSE),'19_Расчет_аналитики'!BJ413*CapacityAge06*'19_Расчет_аналитики'!$F$211,0)</f>
        <v/>
      </c>
      <c r="BK525">
        <f>IF(IF('01_Вводные'!$B$296="Новый сезон",6-1&gt;MOD(MONTH('06_Сеть_и_дети'!BK$3)-9,12),FALSE),'19_Расчет_аналитики'!BK413*CapacityAge06*'19_Расчет_аналитики'!$F$211,0)</f>
        <v/>
      </c>
      <c r="BL525">
        <f>IF(IF('01_Вводные'!$B$296="Новый сезон",6-1&gt;MOD(MONTH('06_Сеть_и_дети'!BL$3)-9,12),FALSE),'19_Расчет_аналитики'!BL413*CapacityAge06*'19_Расчет_аналитики'!$F$211,0)</f>
        <v/>
      </c>
      <c r="BM525">
        <f>IF(IF('01_Вводные'!$B$296="Новый сезон",6-1&gt;MOD(MONTH('06_Сеть_и_дети'!BM$3)-9,12),FALSE),'19_Расчет_аналитики'!BM413*CapacityAge06*'19_Расчет_аналитики'!$F$211,0)</f>
        <v/>
      </c>
      <c r="BN525">
        <f>IF(IF('01_Вводные'!$B$296="Новый сезон",6-1&gt;MOD(MONTH('06_Сеть_и_дети'!BN$3)-9,12),FALSE),'19_Расчет_аналитики'!BN413*CapacityAge06*'19_Расчет_аналитики'!$F$211,0)</f>
        <v/>
      </c>
      <c r="BO525">
        <f>IF(IF('01_Вводные'!$B$296="Новый сезон",6-1&gt;MOD(MONTH('06_Сеть_и_дети'!BO$3)-9,12),FALSE),'19_Расчет_аналитики'!BO413*CapacityAge06*'19_Расчет_аналитики'!$F$211,0)</f>
        <v/>
      </c>
    </row>
    <row r="526">
      <c r="B526">
        <f>IF(IF('01_Вводные'!$B$296="Новый сезон",7-1&gt;MOD(MONTH('06_Сеть_и_дети'!B$3)-9,12),FALSE),'06_Сеть_и_дети'!B59*CapacityAge07*'19_Расчет_аналитики'!$F$211,0)</f>
        <v/>
      </c>
      <c r="C526">
        <f>IF(IF('01_Вводные'!$B$296="Новый сезон",7-1&gt;MOD(MONTH('06_Сеть_и_дети'!C$3)-9,12),FALSE),'06_Сеть_и_дети'!C59*CapacityAge07*'19_Расчет_аналитики'!$F$211,0)</f>
        <v/>
      </c>
      <c r="D526">
        <f>IF(IF('01_Вводные'!$B$296="Новый сезон",7-1&gt;MOD(MONTH('06_Сеть_и_дети'!D$3)-9,12),FALSE),'06_Сеть_и_дети'!D59*CapacityAge07*'19_Расчет_аналитики'!$F$211,0)</f>
        <v/>
      </c>
      <c r="E526">
        <f>IF(IF('01_Вводные'!$B$296="Новый сезон",7-1&gt;MOD(MONTH('06_Сеть_и_дети'!E$3)-9,12),FALSE),'06_Сеть_и_дети'!E59*CapacityAge07*'19_Расчет_аналитики'!$F$211,0)</f>
        <v/>
      </c>
      <c r="F526">
        <f>IF(IF('01_Вводные'!$B$296="Новый сезон",7-1&gt;MOD(MONTH('06_Сеть_и_дети'!F$3)-9,12),FALSE),'06_Сеть_и_дети'!F59*CapacityAge07*'19_Расчет_аналитики'!$F$211,0)</f>
        <v/>
      </c>
      <c r="G526">
        <f>IF(IF('01_Вводные'!$B$296="Новый сезон",7-1&gt;MOD(MONTH('06_Сеть_и_дети'!G$3)-9,12),FALSE),'06_Сеть_и_дети'!G59*CapacityAge07*'19_Расчет_аналитики'!$F$211,0)</f>
        <v/>
      </c>
      <c r="H526">
        <f>IF(IF('01_Вводные'!$B$296="Новый сезон",7-1&gt;MOD(MONTH('06_Сеть_и_дети'!H$3)-9,12),FALSE),'19_Расчет_аналитики'!H414*CapacityAge07*'19_Расчет_аналитики'!$F$211,0)</f>
        <v/>
      </c>
      <c r="I526">
        <f>IF(IF('01_Вводные'!$B$296="Новый сезон",7-1&gt;MOD(MONTH('06_Сеть_и_дети'!I$3)-9,12),FALSE),'19_Расчет_аналитики'!I414*CapacityAge07*'19_Расчет_аналитики'!$F$211,0)</f>
        <v/>
      </c>
      <c r="J526">
        <f>IF(IF('01_Вводные'!$B$296="Новый сезон",7-1&gt;MOD(MONTH('06_Сеть_и_дети'!J$3)-9,12),FALSE),'19_Расчет_аналитики'!J414*CapacityAge07*'19_Расчет_аналитики'!$F$211,0)</f>
        <v/>
      </c>
      <c r="K526">
        <f>IF(IF('01_Вводные'!$B$296="Новый сезон",7-1&gt;MOD(MONTH('06_Сеть_и_дети'!K$3)-9,12),FALSE),'19_Расчет_аналитики'!K414*CapacityAge07*'19_Расчет_аналитики'!$F$211,0)</f>
        <v/>
      </c>
      <c r="L526">
        <f>IF(IF('01_Вводные'!$B$296="Новый сезон",7-1&gt;MOD(MONTH('06_Сеть_и_дети'!L$3)-9,12),FALSE),'19_Расчет_аналитики'!L414*CapacityAge07*'19_Расчет_аналитики'!$F$211,0)</f>
        <v/>
      </c>
      <c r="M526">
        <f>IF(IF('01_Вводные'!$B$296="Новый сезон",7-1&gt;MOD(MONTH('06_Сеть_и_дети'!M$3)-9,12),FALSE),'19_Расчет_аналитики'!M414*CapacityAge07*'19_Расчет_аналитики'!$F$211,0)</f>
        <v/>
      </c>
      <c r="N526">
        <f>IF(IF('01_Вводные'!$B$296="Новый сезон",7-1&gt;MOD(MONTH('06_Сеть_и_дети'!N$3)-9,12),FALSE),'19_Расчет_аналитики'!N414*CapacityAge07*'19_Расчет_аналитики'!$F$211,0)</f>
        <v/>
      </c>
      <c r="O526">
        <f>IF(IF('01_Вводные'!$B$296="Новый сезон",7-1&gt;MOD(MONTH('06_Сеть_и_дети'!O$3)-9,12),FALSE),'19_Расчет_аналитики'!O414*CapacityAge07*'19_Расчет_аналитики'!$F$211,0)</f>
        <v/>
      </c>
      <c r="P526">
        <f>IF(IF('01_Вводные'!$B$296="Новый сезон",7-1&gt;MOD(MONTH('06_Сеть_и_дети'!P$3)-9,12),FALSE),'19_Расчет_аналитики'!P414*CapacityAge07*'19_Расчет_аналитики'!$F$211,0)</f>
        <v/>
      </c>
      <c r="Q526">
        <f>IF(IF('01_Вводные'!$B$296="Новый сезон",7-1&gt;MOD(MONTH('06_Сеть_и_дети'!Q$3)-9,12),FALSE),'19_Расчет_аналитики'!Q414*CapacityAge07*'19_Расчет_аналитики'!$F$211,0)</f>
        <v/>
      </c>
      <c r="R526">
        <f>IF(IF('01_Вводные'!$B$296="Новый сезон",7-1&gt;MOD(MONTH('06_Сеть_и_дети'!R$3)-9,12),FALSE),'19_Расчет_аналитики'!R414*CapacityAge07*'19_Расчет_аналитики'!$F$211,0)</f>
        <v/>
      </c>
      <c r="S526">
        <f>IF(IF('01_Вводные'!$B$296="Новый сезон",7-1&gt;MOD(MONTH('06_Сеть_и_дети'!S$3)-9,12),FALSE),'19_Расчет_аналитики'!S414*CapacityAge07*'19_Расчет_аналитики'!$F$211,0)</f>
        <v/>
      </c>
      <c r="T526">
        <f>IF(IF('01_Вводные'!$B$296="Новый сезон",7-1&gt;MOD(MONTH('06_Сеть_и_дети'!T$3)-9,12),FALSE),'19_Расчет_аналитики'!T414*CapacityAge07*'19_Расчет_аналитики'!$F$211,0)</f>
        <v/>
      </c>
      <c r="U526">
        <f>IF(IF('01_Вводные'!$B$296="Новый сезон",7-1&gt;MOD(MONTH('06_Сеть_и_дети'!U$3)-9,12),FALSE),'19_Расчет_аналитики'!U414*CapacityAge07*'19_Расчет_аналитики'!$F$211,0)</f>
        <v/>
      </c>
      <c r="V526">
        <f>IF(IF('01_Вводные'!$B$296="Новый сезон",7-1&gt;MOD(MONTH('06_Сеть_и_дети'!V$3)-9,12),FALSE),'19_Расчет_аналитики'!V414*CapacityAge07*'19_Расчет_аналитики'!$F$211,0)</f>
        <v/>
      </c>
      <c r="W526">
        <f>IF(IF('01_Вводные'!$B$296="Новый сезон",7-1&gt;MOD(MONTH('06_Сеть_и_дети'!W$3)-9,12),FALSE),'19_Расчет_аналитики'!W414*CapacityAge07*'19_Расчет_аналитики'!$F$211,0)</f>
        <v/>
      </c>
      <c r="X526">
        <f>IF(IF('01_Вводные'!$B$296="Новый сезон",7-1&gt;MOD(MONTH('06_Сеть_и_дети'!X$3)-9,12),FALSE),'19_Расчет_аналитики'!X414*CapacityAge07*'19_Расчет_аналитики'!$F$211,0)</f>
        <v/>
      </c>
      <c r="Y526">
        <f>IF(IF('01_Вводные'!$B$296="Новый сезон",7-1&gt;MOD(MONTH('06_Сеть_и_дети'!Y$3)-9,12),FALSE),'19_Расчет_аналитики'!Y414*CapacityAge07*'19_Расчет_аналитики'!$F$211,0)</f>
        <v/>
      </c>
      <c r="Z526">
        <f>IF(IF('01_Вводные'!$B$296="Новый сезон",7-1&gt;MOD(MONTH('06_Сеть_и_дети'!Z$3)-9,12),FALSE),'19_Расчет_аналитики'!Z414*CapacityAge07*'19_Расчет_аналитики'!$F$211,0)</f>
        <v/>
      </c>
      <c r="AA526">
        <f>IF(IF('01_Вводные'!$B$296="Новый сезон",7-1&gt;MOD(MONTH('06_Сеть_и_дети'!AA$3)-9,12),FALSE),'19_Расчет_аналитики'!AA414*CapacityAge07*'19_Расчет_аналитики'!$F$211,0)</f>
        <v/>
      </c>
      <c r="AB526">
        <f>IF(IF('01_Вводные'!$B$296="Новый сезон",7-1&gt;MOD(MONTH('06_Сеть_и_дети'!AB$3)-9,12),FALSE),'19_Расчет_аналитики'!AB414*CapacityAge07*'19_Расчет_аналитики'!$F$211,0)</f>
        <v/>
      </c>
      <c r="AC526">
        <f>IF(IF('01_Вводные'!$B$296="Новый сезон",7-1&gt;MOD(MONTH('06_Сеть_и_дети'!AC$3)-9,12),FALSE),'19_Расчет_аналитики'!AC414*CapacityAge07*'19_Расчет_аналитики'!$F$211,0)</f>
        <v/>
      </c>
      <c r="AD526">
        <f>IF(IF('01_Вводные'!$B$296="Новый сезон",7-1&gt;MOD(MONTH('06_Сеть_и_дети'!AD$3)-9,12),FALSE),'19_Расчет_аналитики'!AD414*CapacityAge07*'19_Расчет_аналитики'!$F$211,0)</f>
        <v/>
      </c>
      <c r="AE526">
        <f>IF(IF('01_Вводные'!$B$296="Новый сезон",7-1&gt;MOD(MONTH('06_Сеть_и_дети'!AE$3)-9,12),FALSE),'19_Расчет_аналитики'!AE414*CapacityAge07*'19_Расчет_аналитики'!$F$211,0)</f>
        <v/>
      </c>
      <c r="AF526">
        <f>IF(IF('01_Вводные'!$B$296="Новый сезон",7-1&gt;MOD(MONTH('06_Сеть_и_дети'!AF$3)-9,12),FALSE),'19_Расчет_аналитики'!AF414*CapacityAge07*'19_Расчет_аналитики'!$F$211,0)</f>
        <v/>
      </c>
      <c r="AG526">
        <f>IF(IF('01_Вводные'!$B$296="Новый сезон",7-1&gt;MOD(MONTH('06_Сеть_и_дети'!AG$3)-9,12),FALSE),'19_Расчет_аналитики'!AG414*CapacityAge07*'19_Расчет_аналитики'!$F$211,0)</f>
        <v/>
      </c>
      <c r="AH526">
        <f>IF(IF('01_Вводные'!$B$296="Новый сезон",7-1&gt;MOD(MONTH('06_Сеть_и_дети'!AH$3)-9,12),FALSE),'19_Расчет_аналитики'!AH414*CapacityAge07*'19_Расчет_аналитики'!$F$211,0)</f>
        <v/>
      </c>
      <c r="AI526">
        <f>IF(IF('01_Вводные'!$B$296="Новый сезон",7-1&gt;MOD(MONTH('06_Сеть_и_дети'!AI$3)-9,12),FALSE),'19_Расчет_аналитики'!AI414*CapacityAge07*'19_Расчет_аналитики'!$F$211,0)</f>
        <v/>
      </c>
      <c r="AJ526">
        <f>IF(IF('01_Вводные'!$B$296="Новый сезон",7-1&gt;MOD(MONTH('06_Сеть_и_дети'!AJ$3)-9,12),FALSE),'19_Расчет_аналитики'!AJ414*CapacityAge07*'19_Расчет_аналитики'!$F$211,0)</f>
        <v/>
      </c>
      <c r="AK526">
        <f>IF(IF('01_Вводные'!$B$296="Новый сезон",7-1&gt;MOD(MONTH('06_Сеть_и_дети'!AK$3)-9,12),FALSE),'19_Расчет_аналитики'!AK414*CapacityAge07*'19_Расчет_аналитики'!$F$211,0)</f>
        <v/>
      </c>
      <c r="AL526">
        <f>IF(IF('01_Вводные'!$B$296="Новый сезон",7-1&gt;MOD(MONTH('06_Сеть_и_дети'!AL$3)-9,12),FALSE),'19_Расчет_аналитики'!AL414*CapacityAge07*'19_Расчет_аналитики'!$F$211,0)</f>
        <v/>
      </c>
      <c r="AM526">
        <f>IF(IF('01_Вводные'!$B$296="Новый сезон",7-1&gt;MOD(MONTH('06_Сеть_и_дети'!AM$3)-9,12),FALSE),'19_Расчет_аналитики'!AM414*CapacityAge07*'19_Расчет_аналитики'!$F$211,0)</f>
        <v/>
      </c>
      <c r="AN526">
        <f>IF(IF('01_Вводные'!$B$296="Новый сезон",7-1&gt;MOD(MONTH('06_Сеть_и_дети'!AN$3)-9,12),FALSE),'19_Расчет_аналитики'!AN414*CapacityAge07*'19_Расчет_аналитики'!$F$211,0)</f>
        <v/>
      </c>
      <c r="AO526">
        <f>IF(IF('01_Вводные'!$B$296="Новый сезон",7-1&gt;MOD(MONTH('06_Сеть_и_дети'!AO$3)-9,12),FALSE),'19_Расчет_аналитики'!AO414*CapacityAge07*'19_Расчет_аналитики'!$F$211,0)</f>
        <v/>
      </c>
      <c r="AP526">
        <f>IF(IF('01_Вводные'!$B$296="Новый сезон",7-1&gt;MOD(MONTH('06_Сеть_и_дети'!AP$3)-9,12),FALSE),'19_Расчет_аналитики'!AP414*CapacityAge07*'19_Расчет_аналитики'!$F$211,0)</f>
        <v/>
      </c>
      <c r="AQ526">
        <f>IF(IF('01_Вводные'!$B$296="Новый сезон",7-1&gt;MOD(MONTH('06_Сеть_и_дети'!AQ$3)-9,12),FALSE),'19_Расчет_аналитики'!AQ414*CapacityAge07*'19_Расчет_аналитики'!$F$211,0)</f>
        <v/>
      </c>
      <c r="AR526">
        <f>IF(IF('01_Вводные'!$B$296="Новый сезон",7-1&gt;MOD(MONTH('06_Сеть_и_дети'!AR$3)-9,12),FALSE),'19_Расчет_аналитики'!AR414*CapacityAge07*'19_Расчет_аналитики'!$F$211,0)</f>
        <v/>
      </c>
      <c r="AS526">
        <f>IF(IF('01_Вводные'!$B$296="Новый сезон",7-1&gt;MOD(MONTH('06_Сеть_и_дети'!AS$3)-9,12),FALSE),'19_Расчет_аналитики'!AS414*CapacityAge07*'19_Расчет_аналитики'!$F$211,0)</f>
        <v/>
      </c>
      <c r="AT526">
        <f>IF(IF('01_Вводные'!$B$296="Новый сезон",7-1&gt;MOD(MONTH('06_Сеть_и_дети'!AT$3)-9,12),FALSE),'19_Расчет_аналитики'!AT414*CapacityAge07*'19_Расчет_аналитики'!$F$211,0)</f>
        <v/>
      </c>
      <c r="AU526">
        <f>IF(IF('01_Вводные'!$B$296="Новый сезон",7-1&gt;MOD(MONTH('06_Сеть_и_дети'!AU$3)-9,12),FALSE),'19_Расчет_аналитики'!AU414*CapacityAge07*'19_Расчет_аналитики'!$F$211,0)</f>
        <v/>
      </c>
      <c r="AV526">
        <f>IF(IF('01_Вводные'!$B$296="Новый сезон",7-1&gt;MOD(MONTH('06_Сеть_и_дети'!AV$3)-9,12),FALSE),'19_Расчет_аналитики'!AV414*CapacityAge07*'19_Расчет_аналитики'!$F$211,0)</f>
        <v/>
      </c>
      <c r="AW526">
        <f>IF(IF('01_Вводные'!$B$296="Новый сезон",7-1&gt;MOD(MONTH('06_Сеть_и_дети'!AW$3)-9,12),FALSE),'19_Расчет_аналитики'!AW414*CapacityAge07*'19_Расчет_аналитики'!$F$211,0)</f>
        <v/>
      </c>
      <c r="AX526">
        <f>IF(IF('01_Вводные'!$B$296="Новый сезон",7-1&gt;MOD(MONTH('06_Сеть_и_дети'!AX$3)-9,12),FALSE),'19_Расчет_аналитики'!AX414*CapacityAge07*'19_Расчет_аналитики'!$F$211,0)</f>
        <v/>
      </c>
      <c r="AY526">
        <f>IF(IF('01_Вводные'!$B$296="Новый сезон",7-1&gt;MOD(MONTH('06_Сеть_и_дети'!AY$3)-9,12),FALSE),'19_Расчет_аналитики'!AY414*CapacityAge07*'19_Расчет_аналитики'!$F$211,0)</f>
        <v/>
      </c>
      <c r="AZ526">
        <f>IF(IF('01_Вводные'!$B$296="Новый сезон",7-1&gt;MOD(MONTH('06_Сеть_и_дети'!AZ$3)-9,12),FALSE),'19_Расчет_аналитики'!AZ414*CapacityAge07*'19_Расчет_аналитики'!$F$211,0)</f>
        <v/>
      </c>
      <c r="BA526">
        <f>IF(IF('01_Вводные'!$B$296="Новый сезон",7-1&gt;MOD(MONTH('06_Сеть_и_дети'!BA$3)-9,12),FALSE),'19_Расчет_аналитики'!BA414*CapacityAge07*'19_Расчет_аналитики'!$F$211,0)</f>
        <v/>
      </c>
      <c r="BB526">
        <f>IF(IF('01_Вводные'!$B$296="Новый сезон",7-1&gt;MOD(MONTH('06_Сеть_и_дети'!BB$3)-9,12),FALSE),'19_Расчет_аналитики'!BB414*CapacityAge07*'19_Расчет_аналитики'!$F$211,0)</f>
        <v/>
      </c>
      <c r="BC526">
        <f>IF(IF('01_Вводные'!$B$296="Новый сезон",7-1&gt;MOD(MONTH('06_Сеть_и_дети'!BC$3)-9,12),FALSE),'19_Расчет_аналитики'!BC414*CapacityAge07*'19_Расчет_аналитики'!$F$211,0)</f>
        <v/>
      </c>
      <c r="BD526">
        <f>IF(IF('01_Вводные'!$B$296="Новый сезон",7-1&gt;MOD(MONTH('06_Сеть_и_дети'!BD$3)-9,12),FALSE),'19_Расчет_аналитики'!BD414*CapacityAge07*'19_Расчет_аналитики'!$F$211,0)</f>
        <v/>
      </c>
      <c r="BE526">
        <f>IF(IF('01_Вводные'!$B$296="Новый сезон",7-1&gt;MOD(MONTH('06_Сеть_и_дети'!BE$3)-9,12),FALSE),'19_Расчет_аналитики'!BE414*CapacityAge07*'19_Расчет_аналитики'!$F$211,0)</f>
        <v/>
      </c>
      <c r="BF526">
        <f>IF(IF('01_Вводные'!$B$296="Новый сезон",7-1&gt;MOD(MONTH('06_Сеть_и_дети'!BF$3)-9,12),FALSE),'19_Расчет_аналитики'!BF414*CapacityAge07*'19_Расчет_аналитики'!$F$211,0)</f>
        <v/>
      </c>
      <c r="BG526">
        <f>IF(IF('01_Вводные'!$B$296="Новый сезон",7-1&gt;MOD(MONTH('06_Сеть_и_дети'!BG$3)-9,12),FALSE),'19_Расчет_аналитики'!BG414*CapacityAge07*'19_Расчет_аналитики'!$F$211,0)</f>
        <v/>
      </c>
      <c r="BH526">
        <f>IF(IF('01_Вводные'!$B$296="Новый сезон",7-1&gt;MOD(MONTH('06_Сеть_и_дети'!BH$3)-9,12),FALSE),'19_Расчет_аналитики'!BH414*CapacityAge07*'19_Расчет_аналитики'!$F$211,0)</f>
        <v/>
      </c>
      <c r="BI526">
        <f>IF(IF('01_Вводные'!$B$296="Новый сезон",7-1&gt;MOD(MONTH('06_Сеть_и_дети'!BI$3)-9,12),FALSE),'19_Расчет_аналитики'!BI414*CapacityAge07*'19_Расчет_аналитики'!$F$211,0)</f>
        <v/>
      </c>
      <c r="BJ526">
        <f>IF(IF('01_Вводные'!$B$296="Новый сезон",7-1&gt;MOD(MONTH('06_Сеть_и_дети'!BJ$3)-9,12),FALSE),'19_Расчет_аналитики'!BJ414*CapacityAge07*'19_Расчет_аналитики'!$F$211,0)</f>
        <v/>
      </c>
      <c r="BK526">
        <f>IF(IF('01_Вводные'!$B$296="Новый сезон",7-1&gt;MOD(MONTH('06_Сеть_и_дети'!BK$3)-9,12),FALSE),'19_Расчет_аналитики'!BK414*CapacityAge07*'19_Расчет_аналитики'!$F$211,0)</f>
        <v/>
      </c>
      <c r="BL526">
        <f>IF(IF('01_Вводные'!$B$296="Новый сезон",7-1&gt;MOD(MONTH('06_Сеть_и_дети'!BL$3)-9,12),FALSE),'19_Расчет_аналитики'!BL414*CapacityAge07*'19_Расчет_аналитики'!$F$211,0)</f>
        <v/>
      </c>
      <c r="BM526">
        <f>IF(IF('01_Вводные'!$B$296="Новый сезон",7-1&gt;MOD(MONTH('06_Сеть_и_дети'!BM$3)-9,12),FALSE),'19_Расчет_аналитики'!BM414*CapacityAge07*'19_Расчет_аналитики'!$F$211,0)</f>
        <v/>
      </c>
      <c r="BN526">
        <f>IF(IF('01_Вводные'!$B$296="Новый сезон",7-1&gt;MOD(MONTH('06_Сеть_и_дети'!BN$3)-9,12),FALSE),'19_Расчет_аналитики'!BN414*CapacityAge07*'19_Расчет_аналитики'!$F$211,0)</f>
        <v/>
      </c>
      <c r="BO526">
        <f>IF(IF('01_Вводные'!$B$296="Новый сезон",7-1&gt;MOD(MONTH('06_Сеть_и_дети'!BO$3)-9,12),FALSE),'19_Расчет_аналитики'!BO414*CapacityAge07*'19_Расчет_аналитики'!$F$211,0)</f>
        <v/>
      </c>
    </row>
    <row r="527">
      <c r="B527">
        <f>IF(IF('01_Вводные'!$B$296="Новый сезон",8-1&gt;MOD(MONTH('06_Сеть_и_дети'!B$3)-9,12),FALSE),'06_Сеть_и_дети'!B60*CapacityAge08*'19_Расчет_аналитики'!$F$211,0)</f>
        <v/>
      </c>
      <c r="C527">
        <f>IF(IF('01_Вводные'!$B$296="Новый сезон",8-1&gt;MOD(MONTH('06_Сеть_и_дети'!C$3)-9,12),FALSE),'06_Сеть_и_дети'!C60*CapacityAge08*'19_Расчет_аналитики'!$F$211,0)</f>
        <v/>
      </c>
      <c r="D527">
        <f>IF(IF('01_Вводные'!$B$296="Новый сезон",8-1&gt;MOD(MONTH('06_Сеть_и_дети'!D$3)-9,12),FALSE),'06_Сеть_и_дети'!D60*CapacityAge08*'19_Расчет_аналитики'!$F$211,0)</f>
        <v/>
      </c>
      <c r="E527">
        <f>IF(IF('01_Вводные'!$B$296="Новый сезон",8-1&gt;MOD(MONTH('06_Сеть_и_дети'!E$3)-9,12),FALSE),'06_Сеть_и_дети'!E60*CapacityAge08*'19_Расчет_аналитики'!$F$211,0)</f>
        <v/>
      </c>
      <c r="F527">
        <f>IF(IF('01_Вводные'!$B$296="Новый сезон",8-1&gt;MOD(MONTH('06_Сеть_и_дети'!F$3)-9,12),FALSE),'06_Сеть_и_дети'!F60*CapacityAge08*'19_Расчет_аналитики'!$F$211,0)</f>
        <v/>
      </c>
      <c r="G527">
        <f>IF(IF('01_Вводные'!$B$296="Новый сезон",8-1&gt;MOD(MONTH('06_Сеть_и_дети'!G$3)-9,12),FALSE),'06_Сеть_и_дети'!G60*CapacityAge08*'19_Расчет_аналитики'!$F$211,0)</f>
        <v/>
      </c>
      <c r="H527">
        <f>IF(IF('01_Вводные'!$B$296="Новый сезон",8-1&gt;MOD(MONTH('06_Сеть_и_дети'!H$3)-9,12),FALSE),'06_Сеть_и_дети'!H60*CapacityAge08*'19_Расчет_аналитики'!$F$211,0)</f>
        <v/>
      </c>
      <c r="I527">
        <f>IF(IF('01_Вводные'!$B$296="Новый сезон",8-1&gt;MOD(MONTH('06_Сеть_и_дети'!I$3)-9,12),FALSE),'19_Расчет_аналитики'!I415*CapacityAge08*'19_Расчет_аналитики'!$F$211,0)</f>
        <v/>
      </c>
      <c r="J527">
        <f>IF(IF('01_Вводные'!$B$296="Новый сезон",8-1&gt;MOD(MONTH('06_Сеть_и_дети'!J$3)-9,12),FALSE),'19_Расчет_аналитики'!J415*CapacityAge08*'19_Расчет_аналитики'!$F$211,0)</f>
        <v/>
      </c>
      <c r="K527">
        <f>IF(IF('01_Вводные'!$B$296="Новый сезон",8-1&gt;MOD(MONTH('06_Сеть_и_дети'!K$3)-9,12),FALSE),'19_Расчет_аналитики'!K415*CapacityAge08*'19_Расчет_аналитики'!$F$211,0)</f>
        <v/>
      </c>
      <c r="L527">
        <f>IF(IF('01_Вводные'!$B$296="Новый сезон",8-1&gt;MOD(MONTH('06_Сеть_и_дети'!L$3)-9,12),FALSE),'19_Расчет_аналитики'!L415*CapacityAge08*'19_Расчет_аналитики'!$F$211,0)</f>
        <v/>
      </c>
      <c r="M527">
        <f>IF(IF('01_Вводные'!$B$296="Новый сезон",8-1&gt;MOD(MONTH('06_Сеть_и_дети'!M$3)-9,12),FALSE),'19_Расчет_аналитики'!M415*CapacityAge08*'19_Расчет_аналитики'!$F$211,0)</f>
        <v/>
      </c>
      <c r="N527">
        <f>IF(IF('01_Вводные'!$B$296="Новый сезон",8-1&gt;MOD(MONTH('06_Сеть_и_дети'!N$3)-9,12),FALSE),'19_Расчет_аналитики'!N415*CapacityAge08*'19_Расчет_аналитики'!$F$211,0)</f>
        <v/>
      </c>
      <c r="O527">
        <f>IF(IF('01_Вводные'!$B$296="Новый сезон",8-1&gt;MOD(MONTH('06_Сеть_и_дети'!O$3)-9,12),FALSE),'19_Расчет_аналитики'!O415*CapacityAge08*'19_Расчет_аналитики'!$F$211,0)</f>
        <v/>
      </c>
      <c r="P527">
        <f>IF(IF('01_Вводные'!$B$296="Новый сезон",8-1&gt;MOD(MONTH('06_Сеть_и_дети'!P$3)-9,12),FALSE),'19_Расчет_аналитики'!P415*CapacityAge08*'19_Расчет_аналитики'!$F$211,0)</f>
        <v/>
      </c>
      <c r="Q527">
        <f>IF(IF('01_Вводные'!$B$296="Новый сезон",8-1&gt;MOD(MONTH('06_Сеть_и_дети'!Q$3)-9,12),FALSE),'19_Расчет_аналитики'!Q415*CapacityAge08*'19_Расчет_аналитики'!$F$211,0)</f>
        <v/>
      </c>
      <c r="R527">
        <f>IF(IF('01_Вводные'!$B$296="Новый сезон",8-1&gt;MOD(MONTH('06_Сеть_и_дети'!R$3)-9,12),FALSE),'19_Расчет_аналитики'!R415*CapacityAge08*'19_Расчет_аналитики'!$F$211,0)</f>
        <v/>
      </c>
      <c r="S527">
        <f>IF(IF('01_Вводные'!$B$296="Новый сезон",8-1&gt;MOD(MONTH('06_Сеть_и_дети'!S$3)-9,12),FALSE),'19_Расчет_аналитики'!S415*CapacityAge08*'19_Расчет_аналитики'!$F$211,0)</f>
        <v/>
      </c>
      <c r="T527">
        <f>IF(IF('01_Вводные'!$B$296="Новый сезон",8-1&gt;MOD(MONTH('06_Сеть_и_дети'!T$3)-9,12),FALSE),'19_Расчет_аналитики'!T415*CapacityAge08*'19_Расчет_аналитики'!$F$211,0)</f>
        <v/>
      </c>
      <c r="U527">
        <f>IF(IF('01_Вводные'!$B$296="Новый сезон",8-1&gt;MOD(MONTH('06_Сеть_и_дети'!U$3)-9,12),FALSE),'19_Расчет_аналитики'!U415*CapacityAge08*'19_Расчет_аналитики'!$F$211,0)</f>
        <v/>
      </c>
      <c r="V527">
        <f>IF(IF('01_Вводные'!$B$296="Новый сезон",8-1&gt;MOD(MONTH('06_Сеть_и_дети'!V$3)-9,12),FALSE),'19_Расчет_аналитики'!V415*CapacityAge08*'19_Расчет_аналитики'!$F$211,0)</f>
        <v/>
      </c>
      <c r="W527">
        <f>IF(IF('01_Вводные'!$B$296="Новый сезон",8-1&gt;MOD(MONTH('06_Сеть_и_дети'!W$3)-9,12),FALSE),'19_Расчет_аналитики'!W415*CapacityAge08*'19_Расчет_аналитики'!$F$211,0)</f>
        <v/>
      </c>
      <c r="X527">
        <f>IF(IF('01_Вводные'!$B$296="Новый сезон",8-1&gt;MOD(MONTH('06_Сеть_и_дети'!X$3)-9,12),FALSE),'19_Расчет_аналитики'!X415*CapacityAge08*'19_Расчет_аналитики'!$F$211,0)</f>
        <v/>
      </c>
      <c r="Y527">
        <f>IF(IF('01_Вводные'!$B$296="Новый сезон",8-1&gt;MOD(MONTH('06_Сеть_и_дети'!Y$3)-9,12),FALSE),'19_Расчет_аналитики'!Y415*CapacityAge08*'19_Расчет_аналитики'!$F$211,0)</f>
        <v/>
      </c>
      <c r="Z527">
        <f>IF(IF('01_Вводные'!$B$296="Новый сезон",8-1&gt;MOD(MONTH('06_Сеть_и_дети'!Z$3)-9,12),FALSE),'19_Расчет_аналитики'!Z415*CapacityAge08*'19_Расчет_аналитики'!$F$211,0)</f>
        <v/>
      </c>
      <c r="AA527">
        <f>IF(IF('01_Вводные'!$B$296="Новый сезон",8-1&gt;MOD(MONTH('06_Сеть_и_дети'!AA$3)-9,12),FALSE),'19_Расчет_аналитики'!AA415*CapacityAge08*'19_Расчет_аналитики'!$F$211,0)</f>
        <v/>
      </c>
      <c r="AB527">
        <f>IF(IF('01_Вводные'!$B$296="Новый сезон",8-1&gt;MOD(MONTH('06_Сеть_и_дети'!AB$3)-9,12),FALSE),'19_Расчет_аналитики'!AB415*CapacityAge08*'19_Расчет_аналитики'!$F$211,0)</f>
        <v/>
      </c>
      <c r="AC527">
        <f>IF(IF('01_Вводные'!$B$296="Новый сезон",8-1&gt;MOD(MONTH('06_Сеть_и_дети'!AC$3)-9,12),FALSE),'19_Расчет_аналитики'!AC415*CapacityAge08*'19_Расчет_аналитики'!$F$211,0)</f>
        <v/>
      </c>
      <c r="AD527">
        <f>IF(IF('01_Вводные'!$B$296="Новый сезон",8-1&gt;MOD(MONTH('06_Сеть_и_дети'!AD$3)-9,12),FALSE),'19_Расчет_аналитики'!AD415*CapacityAge08*'19_Расчет_аналитики'!$F$211,0)</f>
        <v/>
      </c>
      <c r="AE527">
        <f>IF(IF('01_Вводные'!$B$296="Новый сезон",8-1&gt;MOD(MONTH('06_Сеть_и_дети'!AE$3)-9,12),FALSE),'19_Расчет_аналитики'!AE415*CapacityAge08*'19_Расчет_аналитики'!$F$211,0)</f>
        <v/>
      </c>
      <c r="AF527">
        <f>IF(IF('01_Вводные'!$B$296="Новый сезон",8-1&gt;MOD(MONTH('06_Сеть_и_дети'!AF$3)-9,12),FALSE),'19_Расчет_аналитики'!AF415*CapacityAge08*'19_Расчет_аналитики'!$F$211,0)</f>
        <v/>
      </c>
      <c r="AG527">
        <f>IF(IF('01_Вводные'!$B$296="Новый сезон",8-1&gt;MOD(MONTH('06_Сеть_и_дети'!AG$3)-9,12),FALSE),'19_Расчет_аналитики'!AG415*CapacityAge08*'19_Расчет_аналитики'!$F$211,0)</f>
        <v/>
      </c>
      <c r="AH527">
        <f>IF(IF('01_Вводные'!$B$296="Новый сезон",8-1&gt;MOD(MONTH('06_Сеть_и_дети'!AH$3)-9,12),FALSE),'19_Расчет_аналитики'!AH415*CapacityAge08*'19_Расчет_аналитики'!$F$211,0)</f>
        <v/>
      </c>
      <c r="AI527">
        <f>IF(IF('01_Вводные'!$B$296="Новый сезон",8-1&gt;MOD(MONTH('06_Сеть_и_дети'!AI$3)-9,12),FALSE),'19_Расчет_аналитики'!AI415*CapacityAge08*'19_Расчет_аналитики'!$F$211,0)</f>
        <v/>
      </c>
      <c r="AJ527">
        <f>IF(IF('01_Вводные'!$B$296="Новый сезон",8-1&gt;MOD(MONTH('06_Сеть_и_дети'!AJ$3)-9,12),FALSE),'19_Расчет_аналитики'!AJ415*CapacityAge08*'19_Расчет_аналитики'!$F$211,0)</f>
        <v/>
      </c>
      <c r="AK527">
        <f>IF(IF('01_Вводные'!$B$296="Новый сезон",8-1&gt;MOD(MONTH('06_Сеть_и_дети'!AK$3)-9,12),FALSE),'19_Расчет_аналитики'!AK415*CapacityAge08*'19_Расчет_аналитики'!$F$211,0)</f>
        <v/>
      </c>
      <c r="AL527">
        <f>IF(IF('01_Вводные'!$B$296="Новый сезон",8-1&gt;MOD(MONTH('06_Сеть_и_дети'!AL$3)-9,12),FALSE),'19_Расчет_аналитики'!AL415*CapacityAge08*'19_Расчет_аналитики'!$F$211,0)</f>
        <v/>
      </c>
      <c r="AM527">
        <f>IF(IF('01_Вводные'!$B$296="Новый сезон",8-1&gt;MOD(MONTH('06_Сеть_и_дети'!AM$3)-9,12),FALSE),'19_Расчет_аналитики'!AM415*CapacityAge08*'19_Расчет_аналитики'!$F$211,0)</f>
        <v/>
      </c>
      <c r="AN527">
        <f>IF(IF('01_Вводные'!$B$296="Новый сезон",8-1&gt;MOD(MONTH('06_Сеть_и_дети'!AN$3)-9,12),FALSE),'19_Расчет_аналитики'!AN415*CapacityAge08*'19_Расчет_аналитики'!$F$211,0)</f>
        <v/>
      </c>
      <c r="AO527">
        <f>IF(IF('01_Вводные'!$B$296="Новый сезон",8-1&gt;MOD(MONTH('06_Сеть_и_дети'!AO$3)-9,12),FALSE),'19_Расчет_аналитики'!AO415*CapacityAge08*'19_Расчет_аналитики'!$F$211,0)</f>
        <v/>
      </c>
      <c r="AP527">
        <f>IF(IF('01_Вводные'!$B$296="Новый сезон",8-1&gt;MOD(MONTH('06_Сеть_и_дети'!AP$3)-9,12),FALSE),'19_Расчет_аналитики'!AP415*CapacityAge08*'19_Расчет_аналитики'!$F$211,0)</f>
        <v/>
      </c>
      <c r="AQ527">
        <f>IF(IF('01_Вводные'!$B$296="Новый сезон",8-1&gt;MOD(MONTH('06_Сеть_и_дети'!AQ$3)-9,12),FALSE),'19_Расчет_аналитики'!AQ415*CapacityAge08*'19_Расчет_аналитики'!$F$211,0)</f>
        <v/>
      </c>
      <c r="AR527">
        <f>IF(IF('01_Вводные'!$B$296="Новый сезон",8-1&gt;MOD(MONTH('06_Сеть_и_дети'!AR$3)-9,12),FALSE),'19_Расчет_аналитики'!AR415*CapacityAge08*'19_Расчет_аналитики'!$F$211,0)</f>
        <v/>
      </c>
      <c r="AS527">
        <f>IF(IF('01_Вводные'!$B$296="Новый сезон",8-1&gt;MOD(MONTH('06_Сеть_и_дети'!AS$3)-9,12),FALSE),'19_Расчет_аналитики'!AS415*CapacityAge08*'19_Расчет_аналитики'!$F$211,0)</f>
        <v/>
      </c>
      <c r="AT527">
        <f>IF(IF('01_Вводные'!$B$296="Новый сезон",8-1&gt;MOD(MONTH('06_Сеть_и_дети'!AT$3)-9,12),FALSE),'19_Расчет_аналитики'!AT415*CapacityAge08*'19_Расчет_аналитики'!$F$211,0)</f>
        <v/>
      </c>
      <c r="AU527">
        <f>IF(IF('01_Вводные'!$B$296="Новый сезон",8-1&gt;MOD(MONTH('06_Сеть_и_дети'!AU$3)-9,12),FALSE),'19_Расчет_аналитики'!AU415*CapacityAge08*'19_Расчет_аналитики'!$F$211,0)</f>
        <v/>
      </c>
      <c r="AV527">
        <f>IF(IF('01_Вводные'!$B$296="Новый сезон",8-1&gt;MOD(MONTH('06_Сеть_и_дети'!AV$3)-9,12),FALSE),'19_Расчет_аналитики'!AV415*CapacityAge08*'19_Расчет_аналитики'!$F$211,0)</f>
        <v/>
      </c>
      <c r="AW527">
        <f>IF(IF('01_Вводные'!$B$296="Новый сезон",8-1&gt;MOD(MONTH('06_Сеть_и_дети'!AW$3)-9,12),FALSE),'19_Расчет_аналитики'!AW415*CapacityAge08*'19_Расчет_аналитики'!$F$211,0)</f>
        <v/>
      </c>
      <c r="AX527">
        <f>IF(IF('01_Вводные'!$B$296="Новый сезон",8-1&gt;MOD(MONTH('06_Сеть_и_дети'!AX$3)-9,12),FALSE),'19_Расчет_аналитики'!AX415*CapacityAge08*'19_Расчет_аналитики'!$F$211,0)</f>
        <v/>
      </c>
      <c r="AY527">
        <f>IF(IF('01_Вводные'!$B$296="Новый сезон",8-1&gt;MOD(MONTH('06_Сеть_и_дети'!AY$3)-9,12),FALSE),'19_Расчет_аналитики'!AY415*CapacityAge08*'19_Расчет_аналитики'!$F$211,0)</f>
        <v/>
      </c>
      <c r="AZ527">
        <f>IF(IF('01_Вводные'!$B$296="Новый сезон",8-1&gt;MOD(MONTH('06_Сеть_и_дети'!AZ$3)-9,12),FALSE),'19_Расчет_аналитики'!AZ415*CapacityAge08*'19_Расчет_аналитики'!$F$211,0)</f>
        <v/>
      </c>
      <c r="BA527">
        <f>IF(IF('01_Вводные'!$B$296="Новый сезон",8-1&gt;MOD(MONTH('06_Сеть_и_дети'!BA$3)-9,12),FALSE),'19_Расчет_аналитики'!BA415*CapacityAge08*'19_Расчет_аналитики'!$F$211,0)</f>
        <v/>
      </c>
      <c r="BB527">
        <f>IF(IF('01_Вводные'!$B$296="Новый сезон",8-1&gt;MOD(MONTH('06_Сеть_и_дети'!BB$3)-9,12),FALSE),'19_Расчет_аналитики'!BB415*CapacityAge08*'19_Расчет_аналитики'!$F$211,0)</f>
        <v/>
      </c>
      <c r="BC527">
        <f>IF(IF('01_Вводные'!$B$296="Новый сезон",8-1&gt;MOD(MONTH('06_Сеть_и_дети'!BC$3)-9,12),FALSE),'19_Расчет_аналитики'!BC415*CapacityAge08*'19_Расчет_аналитики'!$F$211,0)</f>
        <v/>
      </c>
      <c r="BD527">
        <f>IF(IF('01_Вводные'!$B$296="Новый сезон",8-1&gt;MOD(MONTH('06_Сеть_и_дети'!BD$3)-9,12),FALSE),'19_Расчет_аналитики'!BD415*CapacityAge08*'19_Расчет_аналитики'!$F$211,0)</f>
        <v/>
      </c>
      <c r="BE527">
        <f>IF(IF('01_Вводные'!$B$296="Новый сезон",8-1&gt;MOD(MONTH('06_Сеть_и_дети'!BE$3)-9,12),FALSE),'19_Расчет_аналитики'!BE415*CapacityAge08*'19_Расчет_аналитики'!$F$211,0)</f>
        <v/>
      </c>
      <c r="BF527">
        <f>IF(IF('01_Вводные'!$B$296="Новый сезон",8-1&gt;MOD(MONTH('06_Сеть_и_дети'!BF$3)-9,12),FALSE),'19_Расчет_аналитики'!BF415*CapacityAge08*'19_Расчет_аналитики'!$F$211,0)</f>
        <v/>
      </c>
      <c r="BG527">
        <f>IF(IF('01_Вводные'!$B$296="Новый сезон",8-1&gt;MOD(MONTH('06_Сеть_и_дети'!BG$3)-9,12),FALSE),'19_Расчет_аналитики'!BG415*CapacityAge08*'19_Расчет_аналитики'!$F$211,0)</f>
        <v/>
      </c>
      <c r="BH527">
        <f>IF(IF('01_Вводные'!$B$296="Новый сезон",8-1&gt;MOD(MONTH('06_Сеть_и_дети'!BH$3)-9,12),FALSE),'19_Расчет_аналитики'!BH415*CapacityAge08*'19_Расчет_аналитики'!$F$211,0)</f>
        <v/>
      </c>
      <c r="BI527">
        <f>IF(IF('01_Вводные'!$B$296="Новый сезон",8-1&gt;MOD(MONTH('06_Сеть_и_дети'!BI$3)-9,12),FALSE),'19_Расчет_аналитики'!BI415*CapacityAge08*'19_Расчет_аналитики'!$F$211,0)</f>
        <v/>
      </c>
      <c r="BJ527">
        <f>IF(IF('01_Вводные'!$B$296="Новый сезон",8-1&gt;MOD(MONTH('06_Сеть_и_дети'!BJ$3)-9,12),FALSE),'19_Расчет_аналитики'!BJ415*CapacityAge08*'19_Расчет_аналитики'!$F$211,0)</f>
        <v/>
      </c>
      <c r="BK527">
        <f>IF(IF('01_Вводные'!$B$296="Новый сезон",8-1&gt;MOD(MONTH('06_Сеть_и_дети'!BK$3)-9,12),FALSE),'19_Расчет_аналитики'!BK415*CapacityAge08*'19_Расчет_аналитики'!$F$211,0)</f>
        <v/>
      </c>
      <c r="BL527">
        <f>IF(IF('01_Вводные'!$B$296="Новый сезон",8-1&gt;MOD(MONTH('06_Сеть_и_дети'!BL$3)-9,12),FALSE),'19_Расчет_аналитики'!BL415*CapacityAge08*'19_Расчет_аналитики'!$F$211,0)</f>
        <v/>
      </c>
      <c r="BM527">
        <f>IF(IF('01_Вводные'!$B$296="Новый сезон",8-1&gt;MOD(MONTH('06_Сеть_и_дети'!BM$3)-9,12),FALSE),'19_Расчет_аналитики'!BM415*CapacityAge08*'19_Расчет_аналитики'!$F$211,0)</f>
        <v/>
      </c>
      <c r="BN527">
        <f>IF(IF('01_Вводные'!$B$296="Новый сезон",8-1&gt;MOD(MONTH('06_Сеть_и_дети'!BN$3)-9,12),FALSE),'19_Расчет_аналитики'!BN415*CapacityAge08*'19_Расчет_аналитики'!$F$211,0)</f>
        <v/>
      </c>
      <c r="BO527">
        <f>IF(IF('01_Вводные'!$B$296="Новый сезон",8-1&gt;MOD(MONTH('06_Сеть_и_дети'!BO$3)-9,12),FALSE),'19_Расчет_аналитики'!BO415*CapacityAge08*'19_Расчет_аналитики'!$F$211,0)</f>
        <v/>
      </c>
    </row>
    <row r="528">
      <c r="B528">
        <f>IF(IF('01_Вводные'!$B$296="Новый сезон",9-1&gt;MOD(MONTH('06_Сеть_и_дети'!B$3)-9,12),FALSE),'06_Сеть_и_дети'!B61*CapacityAge09*'19_Расчет_аналитики'!$F$211,0)</f>
        <v/>
      </c>
      <c r="C528">
        <f>IF(IF('01_Вводные'!$B$296="Новый сезон",9-1&gt;MOD(MONTH('06_Сеть_и_дети'!C$3)-9,12),FALSE),'06_Сеть_и_дети'!C61*CapacityAge09*'19_Расчет_аналитики'!$F$211,0)</f>
        <v/>
      </c>
      <c r="D528">
        <f>IF(IF('01_Вводные'!$B$296="Новый сезон",9-1&gt;MOD(MONTH('06_Сеть_и_дети'!D$3)-9,12),FALSE),'06_Сеть_и_дети'!D61*CapacityAge09*'19_Расчет_аналитики'!$F$211,0)</f>
        <v/>
      </c>
      <c r="E528">
        <f>IF(IF('01_Вводные'!$B$296="Новый сезон",9-1&gt;MOD(MONTH('06_Сеть_и_дети'!E$3)-9,12),FALSE),'06_Сеть_и_дети'!E61*CapacityAge09*'19_Расчет_аналитики'!$F$211,0)</f>
        <v/>
      </c>
      <c r="F528">
        <f>IF(IF('01_Вводные'!$B$296="Новый сезон",9-1&gt;MOD(MONTH('06_Сеть_и_дети'!F$3)-9,12),FALSE),'06_Сеть_и_дети'!F61*CapacityAge09*'19_Расчет_аналитики'!$F$211,0)</f>
        <v/>
      </c>
      <c r="G528">
        <f>IF(IF('01_Вводные'!$B$296="Новый сезон",9-1&gt;MOD(MONTH('06_Сеть_и_дети'!G$3)-9,12),FALSE),'06_Сеть_и_дети'!G61*CapacityAge09*'19_Расчет_аналитики'!$F$211,0)</f>
        <v/>
      </c>
      <c r="H528">
        <f>IF(IF('01_Вводные'!$B$296="Новый сезон",9-1&gt;MOD(MONTH('06_Сеть_и_дети'!H$3)-9,12),FALSE),'06_Сеть_и_дети'!H61*CapacityAge09*'19_Расчет_аналитики'!$F$211,0)</f>
        <v/>
      </c>
      <c r="I528">
        <f>IF(IF('01_Вводные'!$B$296="Новый сезон",9-1&gt;MOD(MONTH('06_Сеть_и_дети'!I$3)-9,12),FALSE),'06_Сеть_и_дети'!I61*CapacityAge09*'19_Расчет_аналитики'!$F$211,0)</f>
        <v/>
      </c>
      <c r="J528">
        <f>IF(IF('01_Вводные'!$B$296="Новый сезон",9-1&gt;MOD(MONTH('06_Сеть_и_дети'!J$3)-9,12),FALSE),'19_Расчет_аналитики'!J416*CapacityAge09*'19_Расчет_аналитики'!$F$211,0)</f>
        <v/>
      </c>
      <c r="K528">
        <f>IF(IF('01_Вводные'!$B$296="Новый сезон",9-1&gt;MOD(MONTH('06_Сеть_и_дети'!K$3)-9,12),FALSE),'19_Расчет_аналитики'!K416*CapacityAge09*'19_Расчет_аналитики'!$F$211,0)</f>
        <v/>
      </c>
      <c r="L528">
        <f>IF(IF('01_Вводные'!$B$296="Новый сезон",9-1&gt;MOD(MONTH('06_Сеть_и_дети'!L$3)-9,12),FALSE),'19_Расчет_аналитики'!L416*CapacityAge09*'19_Расчет_аналитики'!$F$211,0)</f>
        <v/>
      </c>
      <c r="M528">
        <f>IF(IF('01_Вводные'!$B$296="Новый сезон",9-1&gt;MOD(MONTH('06_Сеть_и_дети'!M$3)-9,12),FALSE),'19_Расчет_аналитики'!M416*CapacityAge09*'19_Расчет_аналитики'!$F$211,0)</f>
        <v/>
      </c>
      <c r="N528">
        <f>IF(IF('01_Вводные'!$B$296="Новый сезон",9-1&gt;MOD(MONTH('06_Сеть_и_дети'!N$3)-9,12),FALSE),'19_Расчет_аналитики'!N416*CapacityAge09*'19_Расчет_аналитики'!$F$211,0)</f>
        <v/>
      </c>
      <c r="O528">
        <f>IF(IF('01_Вводные'!$B$296="Новый сезон",9-1&gt;MOD(MONTH('06_Сеть_и_дети'!O$3)-9,12),FALSE),'19_Расчет_аналитики'!O416*CapacityAge09*'19_Расчет_аналитики'!$F$211,0)</f>
        <v/>
      </c>
      <c r="P528">
        <f>IF(IF('01_Вводные'!$B$296="Новый сезон",9-1&gt;MOD(MONTH('06_Сеть_и_дети'!P$3)-9,12),FALSE),'19_Расчет_аналитики'!P416*CapacityAge09*'19_Расчет_аналитики'!$F$211,0)</f>
        <v/>
      </c>
      <c r="Q528">
        <f>IF(IF('01_Вводные'!$B$296="Новый сезон",9-1&gt;MOD(MONTH('06_Сеть_и_дети'!Q$3)-9,12),FALSE),'19_Расчет_аналитики'!Q416*CapacityAge09*'19_Расчет_аналитики'!$F$211,0)</f>
        <v/>
      </c>
      <c r="R528">
        <f>IF(IF('01_Вводные'!$B$296="Новый сезон",9-1&gt;MOD(MONTH('06_Сеть_и_дети'!R$3)-9,12),FALSE),'19_Расчет_аналитики'!R416*CapacityAge09*'19_Расчет_аналитики'!$F$211,0)</f>
        <v/>
      </c>
      <c r="S528">
        <f>IF(IF('01_Вводные'!$B$296="Новый сезон",9-1&gt;MOD(MONTH('06_Сеть_и_дети'!S$3)-9,12),FALSE),'19_Расчет_аналитики'!S416*CapacityAge09*'19_Расчет_аналитики'!$F$211,0)</f>
        <v/>
      </c>
      <c r="T528">
        <f>IF(IF('01_Вводные'!$B$296="Новый сезон",9-1&gt;MOD(MONTH('06_Сеть_и_дети'!T$3)-9,12),FALSE),'19_Расчет_аналитики'!T416*CapacityAge09*'19_Расчет_аналитики'!$F$211,0)</f>
        <v/>
      </c>
      <c r="U528">
        <f>IF(IF('01_Вводные'!$B$296="Новый сезон",9-1&gt;MOD(MONTH('06_Сеть_и_дети'!U$3)-9,12),FALSE),'19_Расчет_аналитики'!U416*CapacityAge09*'19_Расчет_аналитики'!$F$211,0)</f>
        <v/>
      </c>
      <c r="V528">
        <f>IF(IF('01_Вводные'!$B$296="Новый сезон",9-1&gt;MOD(MONTH('06_Сеть_и_дети'!V$3)-9,12),FALSE),'19_Расчет_аналитики'!V416*CapacityAge09*'19_Расчет_аналитики'!$F$211,0)</f>
        <v/>
      </c>
      <c r="W528">
        <f>IF(IF('01_Вводные'!$B$296="Новый сезон",9-1&gt;MOD(MONTH('06_Сеть_и_дети'!W$3)-9,12),FALSE),'19_Расчет_аналитики'!W416*CapacityAge09*'19_Расчет_аналитики'!$F$211,0)</f>
        <v/>
      </c>
      <c r="X528">
        <f>IF(IF('01_Вводные'!$B$296="Новый сезон",9-1&gt;MOD(MONTH('06_Сеть_и_дети'!X$3)-9,12),FALSE),'19_Расчет_аналитики'!X416*CapacityAge09*'19_Расчет_аналитики'!$F$211,0)</f>
        <v/>
      </c>
      <c r="Y528">
        <f>IF(IF('01_Вводные'!$B$296="Новый сезон",9-1&gt;MOD(MONTH('06_Сеть_и_дети'!Y$3)-9,12),FALSE),'19_Расчет_аналитики'!Y416*CapacityAge09*'19_Расчет_аналитики'!$F$211,0)</f>
        <v/>
      </c>
      <c r="Z528">
        <f>IF(IF('01_Вводные'!$B$296="Новый сезон",9-1&gt;MOD(MONTH('06_Сеть_и_дети'!Z$3)-9,12),FALSE),'19_Расчет_аналитики'!Z416*CapacityAge09*'19_Расчет_аналитики'!$F$211,0)</f>
        <v/>
      </c>
      <c r="AA528">
        <f>IF(IF('01_Вводные'!$B$296="Новый сезон",9-1&gt;MOD(MONTH('06_Сеть_и_дети'!AA$3)-9,12),FALSE),'19_Расчет_аналитики'!AA416*CapacityAge09*'19_Расчет_аналитики'!$F$211,0)</f>
        <v/>
      </c>
      <c r="AB528">
        <f>IF(IF('01_Вводные'!$B$296="Новый сезон",9-1&gt;MOD(MONTH('06_Сеть_и_дети'!AB$3)-9,12),FALSE),'19_Расчет_аналитики'!AB416*CapacityAge09*'19_Расчет_аналитики'!$F$211,0)</f>
        <v/>
      </c>
      <c r="AC528">
        <f>IF(IF('01_Вводные'!$B$296="Новый сезон",9-1&gt;MOD(MONTH('06_Сеть_и_дети'!AC$3)-9,12),FALSE),'19_Расчет_аналитики'!AC416*CapacityAge09*'19_Расчет_аналитики'!$F$211,0)</f>
        <v/>
      </c>
      <c r="AD528">
        <f>IF(IF('01_Вводные'!$B$296="Новый сезон",9-1&gt;MOD(MONTH('06_Сеть_и_дети'!AD$3)-9,12),FALSE),'19_Расчет_аналитики'!AD416*CapacityAge09*'19_Расчет_аналитики'!$F$211,0)</f>
        <v/>
      </c>
      <c r="AE528">
        <f>IF(IF('01_Вводные'!$B$296="Новый сезон",9-1&gt;MOD(MONTH('06_Сеть_и_дети'!AE$3)-9,12),FALSE),'19_Расчет_аналитики'!AE416*CapacityAge09*'19_Расчет_аналитики'!$F$211,0)</f>
        <v/>
      </c>
      <c r="AF528">
        <f>IF(IF('01_Вводные'!$B$296="Новый сезон",9-1&gt;MOD(MONTH('06_Сеть_и_дети'!AF$3)-9,12),FALSE),'19_Расчет_аналитики'!AF416*CapacityAge09*'19_Расчет_аналитики'!$F$211,0)</f>
        <v/>
      </c>
      <c r="AG528">
        <f>IF(IF('01_Вводные'!$B$296="Новый сезон",9-1&gt;MOD(MONTH('06_Сеть_и_дети'!AG$3)-9,12),FALSE),'19_Расчет_аналитики'!AG416*CapacityAge09*'19_Расчет_аналитики'!$F$211,0)</f>
        <v/>
      </c>
      <c r="AH528">
        <f>IF(IF('01_Вводные'!$B$296="Новый сезон",9-1&gt;MOD(MONTH('06_Сеть_и_дети'!AH$3)-9,12),FALSE),'19_Расчет_аналитики'!AH416*CapacityAge09*'19_Расчет_аналитики'!$F$211,0)</f>
        <v/>
      </c>
      <c r="AI528">
        <f>IF(IF('01_Вводные'!$B$296="Новый сезон",9-1&gt;MOD(MONTH('06_Сеть_и_дети'!AI$3)-9,12),FALSE),'19_Расчет_аналитики'!AI416*CapacityAge09*'19_Расчет_аналитики'!$F$211,0)</f>
        <v/>
      </c>
      <c r="AJ528">
        <f>IF(IF('01_Вводные'!$B$296="Новый сезон",9-1&gt;MOD(MONTH('06_Сеть_и_дети'!AJ$3)-9,12),FALSE),'19_Расчет_аналитики'!AJ416*CapacityAge09*'19_Расчет_аналитики'!$F$211,0)</f>
        <v/>
      </c>
      <c r="AK528">
        <f>IF(IF('01_Вводные'!$B$296="Новый сезон",9-1&gt;MOD(MONTH('06_Сеть_и_дети'!AK$3)-9,12),FALSE),'19_Расчет_аналитики'!AK416*CapacityAge09*'19_Расчет_аналитики'!$F$211,0)</f>
        <v/>
      </c>
      <c r="AL528">
        <f>IF(IF('01_Вводные'!$B$296="Новый сезон",9-1&gt;MOD(MONTH('06_Сеть_и_дети'!AL$3)-9,12),FALSE),'19_Расчет_аналитики'!AL416*CapacityAge09*'19_Расчет_аналитики'!$F$211,0)</f>
        <v/>
      </c>
      <c r="AM528">
        <f>IF(IF('01_Вводные'!$B$296="Новый сезон",9-1&gt;MOD(MONTH('06_Сеть_и_дети'!AM$3)-9,12),FALSE),'19_Расчет_аналитики'!AM416*CapacityAge09*'19_Расчет_аналитики'!$F$211,0)</f>
        <v/>
      </c>
      <c r="AN528">
        <f>IF(IF('01_Вводные'!$B$296="Новый сезон",9-1&gt;MOD(MONTH('06_Сеть_и_дети'!AN$3)-9,12),FALSE),'19_Расчет_аналитики'!AN416*CapacityAge09*'19_Расчет_аналитики'!$F$211,0)</f>
        <v/>
      </c>
      <c r="AO528">
        <f>IF(IF('01_Вводные'!$B$296="Новый сезон",9-1&gt;MOD(MONTH('06_Сеть_и_дети'!AO$3)-9,12),FALSE),'19_Расчет_аналитики'!AO416*CapacityAge09*'19_Расчет_аналитики'!$F$211,0)</f>
        <v/>
      </c>
      <c r="AP528">
        <f>IF(IF('01_Вводные'!$B$296="Новый сезон",9-1&gt;MOD(MONTH('06_Сеть_и_дети'!AP$3)-9,12),FALSE),'19_Расчет_аналитики'!AP416*CapacityAge09*'19_Расчет_аналитики'!$F$211,0)</f>
        <v/>
      </c>
      <c r="AQ528">
        <f>IF(IF('01_Вводные'!$B$296="Новый сезон",9-1&gt;MOD(MONTH('06_Сеть_и_дети'!AQ$3)-9,12),FALSE),'19_Расчет_аналитики'!AQ416*CapacityAge09*'19_Расчет_аналитики'!$F$211,0)</f>
        <v/>
      </c>
      <c r="AR528">
        <f>IF(IF('01_Вводные'!$B$296="Новый сезон",9-1&gt;MOD(MONTH('06_Сеть_и_дети'!AR$3)-9,12),FALSE),'19_Расчет_аналитики'!AR416*CapacityAge09*'19_Расчет_аналитики'!$F$211,0)</f>
        <v/>
      </c>
      <c r="AS528">
        <f>IF(IF('01_Вводные'!$B$296="Новый сезон",9-1&gt;MOD(MONTH('06_Сеть_и_дети'!AS$3)-9,12),FALSE),'19_Расчет_аналитики'!AS416*CapacityAge09*'19_Расчет_аналитики'!$F$211,0)</f>
        <v/>
      </c>
      <c r="AT528">
        <f>IF(IF('01_Вводные'!$B$296="Новый сезон",9-1&gt;MOD(MONTH('06_Сеть_и_дети'!AT$3)-9,12),FALSE),'19_Расчет_аналитики'!AT416*CapacityAge09*'19_Расчет_аналитики'!$F$211,0)</f>
        <v/>
      </c>
      <c r="AU528">
        <f>IF(IF('01_Вводные'!$B$296="Новый сезон",9-1&gt;MOD(MONTH('06_Сеть_и_дети'!AU$3)-9,12),FALSE),'19_Расчет_аналитики'!AU416*CapacityAge09*'19_Расчет_аналитики'!$F$211,0)</f>
        <v/>
      </c>
      <c r="AV528">
        <f>IF(IF('01_Вводные'!$B$296="Новый сезон",9-1&gt;MOD(MONTH('06_Сеть_и_дети'!AV$3)-9,12),FALSE),'19_Расчет_аналитики'!AV416*CapacityAge09*'19_Расчет_аналитики'!$F$211,0)</f>
        <v/>
      </c>
      <c r="AW528">
        <f>IF(IF('01_Вводные'!$B$296="Новый сезон",9-1&gt;MOD(MONTH('06_Сеть_и_дети'!AW$3)-9,12),FALSE),'19_Расчет_аналитики'!AW416*CapacityAge09*'19_Расчет_аналитики'!$F$211,0)</f>
        <v/>
      </c>
      <c r="AX528">
        <f>IF(IF('01_Вводные'!$B$296="Новый сезон",9-1&gt;MOD(MONTH('06_Сеть_и_дети'!AX$3)-9,12),FALSE),'19_Расчет_аналитики'!AX416*CapacityAge09*'19_Расчет_аналитики'!$F$211,0)</f>
        <v/>
      </c>
      <c r="AY528">
        <f>IF(IF('01_Вводные'!$B$296="Новый сезон",9-1&gt;MOD(MONTH('06_Сеть_и_дети'!AY$3)-9,12),FALSE),'19_Расчет_аналитики'!AY416*CapacityAge09*'19_Расчет_аналитики'!$F$211,0)</f>
        <v/>
      </c>
      <c r="AZ528">
        <f>IF(IF('01_Вводные'!$B$296="Новый сезон",9-1&gt;MOD(MONTH('06_Сеть_и_дети'!AZ$3)-9,12),FALSE),'19_Расчет_аналитики'!AZ416*CapacityAge09*'19_Расчет_аналитики'!$F$211,0)</f>
        <v/>
      </c>
      <c r="BA528">
        <f>IF(IF('01_Вводные'!$B$296="Новый сезон",9-1&gt;MOD(MONTH('06_Сеть_и_дети'!BA$3)-9,12),FALSE),'19_Расчет_аналитики'!BA416*CapacityAge09*'19_Расчет_аналитики'!$F$211,0)</f>
        <v/>
      </c>
      <c r="BB528">
        <f>IF(IF('01_Вводные'!$B$296="Новый сезон",9-1&gt;MOD(MONTH('06_Сеть_и_дети'!BB$3)-9,12),FALSE),'19_Расчет_аналитики'!BB416*CapacityAge09*'19_Расчет_аналитики'!$F$211,0)</f>
        <v/>
      </c>
      <c r="BC528">
        <f>IF(IF('01_Вводные'!$B$296="Новый сезон",9-1&gt;MOD(MONTH('06_Сеть_и_дети'!BC$3)-9,12),FALSE),'19_Расчет_аналитики'!BC416*CapacityAge09*'19_Расчет_аналитики'!$F$211,0)</f>
        <v/>
      </c>
      <c r="BD528">
        <f>IF(IF('01_Вводные'!$B$296="Новый сезон",9-1&gt;MOD(MONTH('06_Сеть_и_дети'!BD$3)-9,12),FALSE),'19_Расчет_аналитики'!BD416*CapacityAge09*'19_Расчет_аналитики'!$F$211,0)</f>
        <v/>
      </c>
      <c r="BE528">
        <f>IF(IF('01_Вводные'!$B$296="Новый сезон",9-1&gt;MOD(MONTH('06_Сеть_и_дети'!BE$3)-9,12),FALSE),'19_Расчет_аналитики'!BE416*CapacityAge09*'19_Расчет_аналитики'!$F$211,0)</f>
        <v/>
      </c>
      <c r="BF528">
        <f>IF(IF('01_Вводные'!$B$296="Новый сезон",9-1&gt;MOD(MONTH('06_Сеть_и_дети'!BF$3)-9,12),FALSE),'19_Расчет_аналитики'!BF416*CapacityAge09*'19_Расчет_аналитики'!$F$211,0)</f>
        <v/>
      </c>
      <c r="BG528">
        <f>IF(IF('01_Вводные'!$B$296="Новый сезон",9-1&gt;MOD(MONTH('06_Сеть_и_дети'!BG$3)-9,12),FALSE),'19_Расчет_аналитики'!BG416*CapacityAge09*'19_Расчет_аналитики'!$F$211,0)</f>
        <v/>
      </c>
      <c r="BH528">
        <f>IF(IF('01_Вводные'!$B$296="Новый сезон",9-1&gt;MOD(MONTH('06_Сеть_и_дети'!BH$3)-9,12),FALSE),'19_Расчет_аналитики'!BH416*CapacityAge09*'19_Расчет_аналитики'!$F$211,0)</f>
        <v/>
      </c>
      <c r="BI528">
        <f>IF(IF('01_Вводные'!$B$296="Новый сезон",9-1&gt;MOD(MONTH('06_Сеть_и_дети'!BI$3)-9,12),FALSE),'19_Расчет_аналитики'!BI416*CapacityAge09*'19_Расчет_аналитики'!$F$211,0)</f>
        <v/>
      </c>
      <c r="BJ528">
        <f>IF(IF('01_Вводные'!$B$296="Новый сезон",9-1&gt;MOD(MONTH('06_Сеть_и_дети'!BJ$3)-9,12),FALSE),'19_Расчет_аналитики'!BJ416*CapacityAge09*'19_Расчет_аналитики'!$F$211,0)</f>
        <v/>
      </c>
      <c r="BK528">
        <f>IF(IF('01_Вводные'!$B$296="Новый сезон",9-1&gt;MOD(MONTH('06_Сеть_и_дети'!BK$3)-9,12),FALSE),'19_Расчет_аналитики'!BK416*CapacityAge09*'19_Расчет_аналитики'!$F$211,0)</f>
        <v/>
      </c>
      <c r="BL528">
        <f>IF(IF('01_Вводные'!$B$296="Новый сезон",9-1&gt;MOD(MONTH('06_Сеть_и_дети'!BL$3)-9,12),FALSE),'19_Расчет_аналитики'!BL416*CapacityAge09*'19_Расчет_аналитики'!$F$211,0)</f>
        <v/>
      </c>
      <c r="BM528">
        <f>IF(IF('01_Вводные'!$B$296="Новый сезон",9-1&gt;MOD(MONTH('06_Сеть_и_дети'!BM$3)-9,12),FALSE),'19_Расчет_аналитики'!BM416*CapacityAge09*'19_Расчет_аналитики'!$F$211,0)</f>
        <v/>
      </c>
      <c r="BN528">
        <f>IF(IF('01_Вводные'!$B$296="Новый сезон",9-1&gt;MOD(MONTH('06_Сеть_и_дети'!BN$3)-9,12),FALSE),'19_Расчет_аналитики'!BN416*CapacityAge09*'19_Расчет_аналитики'!$F$211,0)</f>
        <v/>
      </c>
      <c r="BO528">
        <f>IF(IF('01_Вводные'!$B$296="Новый сезон",9-1&gt;MOD(MONTH('06_Сеть_и_дети'!BO$3)-9,12),FALSE),'19_Расчет_аналитики'!BO416*CapacityAge09*'19_Расчет_аналитики'!$F$211,0)</f>
        <v/>
      </c>
    </row>
    <row r="529">
      <c r="B529">
        <f>IF(IF('01_Вводные'!$B$296="Новый сезон",10-1&gt;MOD(MONTH('06_Сеть_и_дети'!B$3)-9,12),FALSE),'06_Сеть_и_дети'!B62*CapacityAge10*'19_Расчет_аналитики'!$F$211,0)</f>
        <v/>
      </c>
      <c r="C529">
        <f>IF(IF('01_Вводные'!$B$296="Новый сезон",10-1&gt;MOD(MONTH('06_Сеть_и_дети'!C$3)-9,12),FALSE),'06_Сеть_и_дети'!C62*CapacityAge10*'19_Расчет_аналитики'!$F$211,0)</f>
        <v/>
      </c>
      <c r="D529">
        <f>IF(IF('01_Вводные'!$B$296="Новый сезон",10-1&gt;MOD(MONTH('06_Сеть_и_дети'!D$3)-9,12),FALSE),'06_Сеть_и_дети'!D62*CapacityAge10*'19_Расчет_аналитики'!$F$211,0)</f>
        <v/>
      </c>
      <c r="E529">
        <f>IF(IF('01_Вводные'!$B$296="Новый сезон",10-1&gt;MOD(MONTH('06_Сеть_и_дети'!E$3)-9,12),FALSE),'06_Сеть_и_дети'!E62*CapacityAge10*'19_Расчет_аналитики'!$F$211,0)</f>
        <v/>
      </c>
      <c r="F529">
        <f>IF(IF('01_Вводные'!$B$296="Новый сезон",10-1&gt;MOD(MONTH('06_Сеть_и_дети'!F$3)-9,12),FALSE),'06_Сеть_и_дети'!F62*CapacityAge10*'19_Расчет_аналитики'!$F$211,0)</f>
        <v/>
      </c>
      <c r="G529">
        <f>IF(IF('01_Вводные'!$B$296="Новый сезон",10-1&gt;MOD(MONTH('06_Сеть_и_дети'!G$3)-9,12),FALSE),'06_Сеть_и_дети'!G62*CapacityAge10*'19_Расчет_аналитики'!$F$211,0)</f>
        <v/>
      </c>
      <c r="H529">
        <f>IF(IF('01_Вводные'!$B$296="Новый сезон",10-1&gt;MOD(MONTH('06_Сеть_и_дети'!H$3)-9,12),FALSE),'06_Сеть_и_дети'!H62*CapacityAge10*'19_Расчет_аналитики'!$F$211,0)</f>
        <v/>
      </c>
      <c r="I529">
        <f>IF(IF('01_Вводные'!$B$296="Новый сезон",10-1&gt;MOD(MONTH('06_Сеть_и_дети'!I$3)-9,12),FALSE),'06_Сеть_и_дети'!I62*CapacityAge10*'19_Расчет_аналитики'!$F$211,0)</f>
        <v/>
      </c>
      <c r="J529">
        <f>IF(IF('01_Вводные'!$B$296="Новый сезон",10-1&gt;MOD(MONTH('06_Сеть_и_дети'!J$3)-9,12),FALSE),'06_Сеть_и_дети'!J62*CapacityAge10*'19_Расчет_аналитики'!$F$211,0)</f>
        <v/>
      </c>
      <c r="K529">
        <f>IF(IF('01_Вводные'!$B$296="Новый сезон",10-1&gt;MOD(MONTH('06_Сеть_и_дети'!K$3)-9,12),FALSE),'19_Расчет_аналитики'!K417*CapacityAge10*'19_Расчет_аналитики'!$F$211,0)</f>
        <v/>
      </c>
      <c r="L529">
        <f>IF(IF('01_Вводные'!$B$296="Новый сезон",10-1&gt;MOD(MONTH('06_Сеть_и_дети'!L$3)-9,12),FALSE),'19_Расчет_аналитики'!L417*CapacityAge10*'19_Расчет_аналитики'!$F$211,0)</f>
        <v/>
      </c>
      <c r="M529">
        <f>IF(IF('01_Вводные'!$B$296="Новый сезон",10-1&gt;MOD(MONTH('06_Сеть_и_дети'!M$3)-9,12),FALSE),'19_Расчет_аналитики'!M417*CapacityAge10*'19_Расчет_аналитики'!$F$211,0)</f>
        <v/>
      </c>
      <c r="N529">
        <f>IF(IF('01_Вводные'!$B$296="Новый сезон",10-1&gt;MOD(MONTH('06_Сеть_и_дети'!N$3)-9,12),FALSE),'19_Расчет_аналитики'!N417*CapacityAge10*'19_Расчет_аналитики'!$F$211,0)</f>
        <v/>
      </c>
      <c r="O529">
        <f>IF(IF('01_Вводные'!$B$296="Новый сезон",10-1&gt;MOD(MONTH('06_Сеть_и_дети'!O$3)-9,12),FALSE),'19_Расчет_аналитики'!O417*CapacityAge10*'19_Расчет_аналитики'!$F$211,0)</f>
        <v/>
      </c>
      <c r="P529">
        <f>IF(IF('01_Вводные'!$B$296="Новый сезон",10-1&gt;MOD(MONTH('06_Сеть_и_дети'!P$3)-9,12),FALSE),'19_Расчет_аналитики'!P417*CapacityAge10*'19_Расчет_аналитики'!$F$211,0)</f>
        <v/>
      </c>
      <c r="Q529">
        <f>IF(IF('01_Вводные'!$B$296="Новый сезон",10-1&gt;MOD(MONTH('06_Сеть_и_дети'!Q$3)-9,12),FALSE),'19_Расчет_аналитики'!Q417*CapacityAge10*'19_Расчет_аналитики'!$F$211,0)</f>
        <v/>
      </c>
      <c r="R529">
        <f>IF(IF('01_Вводные'!$B$296="Новый сезон",10-1&gt;MOD(MONTH('06_Сеть_и_дети'!R$3)-9,12),FALSE),'19_Расчет_аналитики'!R417*CapacityAge10*'19_Расчет_аналитики'!$F$211,0)</f>
        <v/>
      </c>
      <c r="S529">
        <f>IF(IF('01_Вводные'!$B$296="Новый сезон",10-1&gt;MOD(MONTH('06_Сеть_и_дети'!S$3)-9,12),FALSE),'19_Расчет_аналитики'!S417*CapacityAge10*'19_Расчет_аналитики'!$F$211,0)</f>
        <v/>
      </c>
      <c r="T529">
        <f>IF(IF('01_Вводные'!$B$296="Новый сезон",10-1&gt;MOD(MONTH('06_Сеть_и_дети'!T$3)-9,12),FALSE),'19_Расчет_аналитики'!T417*CapacityAge10*'19_Расчет_аналитики'!$F$211,0)</f>
        <v/>
      </c>
      <c r="U529">
        <f>IF(IF('01_Вводные'!$B$296="Новый сезон",10-1&gt;MOD(MONTH('06_Сеть_и_дети'!U$3)-9,12),FALSE),'19_Расчет_аналитики'!U417*CapacityAge10*'19_Расчет_аналитики'!$F$211,0)</f>
        <v/>
      </c>
      <c r="V529">
        <f>IF(IF('01_Вводные'!$B$296="Новый сезон",10-1&gt;MOD(MONTH('06_Сеть_и_дети'!V$3)-9,12),FALSE),'19_Расчет_аналитики'!V417*CapacityAge10*'19_Расчет_аналитики'!$F$211,0)</f>
        <v/>
      </c>
      <c r="W529">
        <f>IF(IF('01_Вводные'!$B$296="Новый сезон",10-1&gt;MOD(MONTH('06_Сеть_и_дети'!W$3)-9,12),FALSE),'19_Расчет_аналитики'!W417*CapacityAge10*'19_Расчет_аналитики'!$F$211,0)</f>
        <v/>
      </c>
      <c r="X529">
        <f>IF(IF('01_Вводные'!$B$296="Новый сезон",10-1&gt;MOD(MONTH('06_Сеть_и_дети'!X$3)-9,12),FALSE),'19_Расчет_аналитики'!X417*CapacityAge10*'19_Расчет_аналитики'!$F$211,0)</f>
        <v/>
      </c>
      <c r="Y529">
        <f>IF(IF('01_Вводные'!$B$296="Новый сезон",10-1&gt;MOD(MONTH('06_Сеть_и_дети'!Y$3)-9,12),FALSE),'19_Расчет_аналитики'!Y417*CapacityAge10*'19_Расчет_аналитики'!$F$211,0)</f>
        <v/>
      </c>
      <c r="Z529">
        <f>IF(IF('01_Вводные'!$B$296="Новый сезон",10-1&gt;MOD(MONTH('06_Сеть_и_дети'!Z$3)-9,12),FALSE),'19_Расчет_аналитики'!Z417*CapacityAge10*'19_Расчет_аналитики'!$F$211,0)</f>
        <v/>
      </c>
      <c r="AA529">
        <f>IF(IF('01_Вводные'!$B$296="Новый сезон",10-1&gt;MOD(MONTH('06_Сеть_и_дети'!AA$3)-9,12),FALSE),'19_Расчет_аналитики'!AA417*CapacityAge10*'19_Расчет_аналитики'!$F$211,0)</f>
        <v/>
      </c>
      <c r="AB529">
        <f>IF(IF('01_Вводные'!$B$296="Новый сезон",10-1&gt;MOD(MONTH('06_Сеть_и_дети'!AB$3)-9,12),FALSE),'19_Расчет_аналитики'!AB417*CapacityAge10*'19_Расчет_аналитики'!$F$211,0)</f>
        <v/>
      </c>
      <c r="AC529">
        <f>IF(IF('01_Вводные'!$B$296="Новый сезон",10-1&gt;MOD(MONTH('06_Сеть_и_дети'!AC$3)-9,12),FALSE),'19_Расчет_аналитики'!AC417*CapacityAge10*'19_Расчет_аналитики'!$F$211,0)</f>
        <v/>
      </c>
      <c r="AD529">
        <f>IF(IF('01_Вводные'!$B$296="Новый сезон",10-1&gt;MOD(MONTH('06_Сеть_и_дети'!AD$3)-9,12),FALSE),'19_Расчет_аналитики'!AD417*CapacityAge10*'19_Расчет_аналитики'!$F$211,0)</f>
        <v/>
      </c>
      <c r="AE529">
        <f>IF(IF('01_Вводные'!$B$296="Новый сезон",10-1&gt;MOD(MONTH('06_Сеть_и_дети'!AE$3)-9,12),FALSE),'19_Расчет_аналитики'!AE417*CapacityAge10*'19_Расчет_аналитики'!$F$211,0)</f>
        <v/>
      </c>
      <c r="AF529">
        <f>IF(IF('01_Вводные'!$B$296="Новый сезон",10-1&gt;MOD(MONTH('06_Сеть_и_дети'!AF$3)-9,12),FALSE),'19_Расчет_аналитики'!AF417*CapacityAge10*'19_Расчет_аналитики'!$F$211,0)</f>
        <v/>
      </c>
      <c r="AG529">
        <f>IF(IF('01_Вводные'!$B$296="Новый сезон",10-1&gt;MOD(MONTH('06_Сеть_и_дети'!AG$3)-9,12),FALSE),'19_Расчет_аналитики'!AG417*CapacityAge10*'19_Расчет_аналитики'!$F$211,0)</f>
        <v/>
      </c>
      <c r="AH529">
        <f>IF(IF('01_Вводные'!$B$296="Новый сезон",10-1&gt;MOD(MONTH('06_Сеть_и_дети'!AH$3)-9,12),FALSE),'19_Расчет_аналитики'!AH417*CapacityAge10*'19_Расчет_аналитики'!$F$211,0)</f>
        <v/>
      </c>
      <c r="AI529">
        <f>IF(IF('01_Вводные'!$B$296="Новый сезон",10-1&gt;MOD(MONTH('06_Сеть_и_дети'!AI$3)-9,12),FALSE),'19_Расчет_аналитики'!AI417*CapacityAge10*'19_Расчет_аналитики'!$F$211,0)</f>
        <v/>
      </c>
      <c r="AJ529">
        <f>IF(IF('01_Вводные'!$B$296="Новый сезон",10-1&gt;MOD(MONTH('06_Сеть_и_дети'!AJ$3)-9,12),FALSE),'19_Расчет_аналитики'!AJ417*CapacityAge10*'19_Расчет_аналитики'!$F$211,0)</f>
        <v/>
      </c>
      <c r="AK529">
        <f>IF(IF('01_Вводные'!$B$296="Новый сезон",10-1&gt;MOD(MONTH('06_Сеть_и_дети'!AK$3)-9,12),FALSE),'19_Расчет_аналитики'!AK417*CapacityAge10*'19_Расчет_аналитики'!$F$211,0)</f>
        <v/>
      </c>
      <c r="AL529">
        <f>IF(IF('01_Вводные'!$B$296="Новый сезон",10-1&gt;MOD(MONTH('06_Сеть_и_дети'!AL$3)-9,12),FALSE),'19_Расчет_аналитики'!AL417*CapacityAge10*'19_Расчет_аналитики'!$F$211,0)</f>
        <v/>
      </c>
      <c r="AM529">
        <f>IF(IF('01_Вводные'!$B$296="Новый сезон",10-1&gt;MOD(MONTH('06_Сеть_и_дети'!AM$3)-9,12),FALSE),'19_Расчет_аналитики'!AM417*CapacityAge10*'19_Расчет_аналитики'!$F$211,0)</f>
        <v/>
      </c>
      <c r="AN529">
        <f>IF(IF('01_Вводные'!$B$296="Новый сезон",10-1&gt;MOD(MONTH('06_Сеть_и_дети'!AN$3)-9,12),FALSE),'19_Расчет_аналитики'!AN417*CapacityAge10*'19_Расчет_аналитики'!$F$211,0)</f>
        <v/>
      </c>
      <c r="AO529">
        <f>IF(IF('01_Вводные'!$B$296="Новый сезон",10-1&gt;MOD(MONTH('06_Сеть_и_дети'!AO$3)-9,12),FALSE),'19_Расчет_аналитики'!AO417*CapacityAge10*'19_Расчет_аналитики'!$F$211,0)</f>
        <v/>
      </c>
      <c r="AP529">
        <f>IF(IF('01_Вводные'!$B$296="Новый сезон",10-1&gt;MOD(MONTH('06_Сеть_и_дети'!AP$3)-9,12),FALSE),'19_Расчет_аналитики'!AP417*CapacityAge10*'19_Расчет_аналитики'!$F$211,0)</f>
        <v/>
      </c>
      <c r="AQ529">
        <f>IF(IF('01_Вводные'!$B$296="Новый сезон",10-1&gt;MOD(MONTH('06_Сеть_и_дети'!AQ$3)-9,12),FALSE),'19_Расчет_аналитики'!AQ417*CapacityAge10*'19_Расчет_аналитики'!$F$211,0)</f>
        <v/>
      </c>
      <c r="AR529">
        <f>IF(IF('01_Вводные'!$B$296="Новый сезон",10-1&gt;MOD(MONTH('06_Сеть_и_дети'!AR$3)-9,12),FALSE),'19_Расчет_аналитики'!AR417*CapacityAge10*'19_Расчет_аналитики'!$F$211,0)</f>
        <v/>
      </c>
      <c r="AS529">
        <f>IF(IF('01_Вводные'!$B$296="Новый сезон",10-1&gt;MOD(MONTH('06_Сеть_и_дети'!AS$3)-9,12),FALSE),'19_Расчет_аналитики'!AS417*CapacityAge10*'19_Расчет_аналитики'!$F$211,0)</f>
        <v/>
      </c>
      <c r="AT529">
        <f>IF(IF('01_Вводные'!$B$296="Новый сезон",10-1&gt;MOD(MONTH('06_Сеть_и_дети'!AT$3)-9,12),FALSE),'19_Расчет_аналитики'!AT417*CapacityAge10*'19_Расчет_аналитики'!$F$211,0)</f>
        <v/>
      </c>
      <c r="AU529">
        <f>IF(IF('01_Вводные'!$B$296="Новый сезон",10-1&gt;MOD(MONTH('06_Сеть_и_дети'!AU$3)-9,12),FALSE),'19_Расчет_аналитики'!AU417*CapacityAge10*'19_Расчет_аналитики'!$F$211,0)</f>
        <v/>
      </c>
      <c r="AV529">
        <f>IF(IF('01_Вводные'!$B$296="Новый сезон",10-1&gt;MOD(MONTH('06_Сеть_и_дети'!AV$3)-9,12),FALSE),'19_Расчет_аналитики'!AV417*CapacityAge10*'19_Расчет_аналитики'!$F$211,0)</f>
        <v/>
      </c>
      <c r="AW529">
        <f>IF(IF('01_Вводные'!$B$296="Новый сезон",10-1&gt;MOD(MONTH('06_Сеть_и_дети'!AW$3)-9,12),FALSE),'19_Расчет_аналитики'!AW417*CapacityAge10*'19_Расчет_аналитики'!$F$211,0)</f>
        <v/>
      </c>
      <c r="AX529">
        <f>IF(IF('01_Вводные'!$B$296="Новый сезон",10-1&gt;MOD(MONTH('06_Сеть_и_дети'!AX$3)-9,12),FALSE),'19_Расчет_аналитики'!AX417*CapacityAge10*'19_Расчет_аналитики'!$F$211,0)</f>
        <v/>
      </c>
      <c r="AY529">
        <f>IF(IF('01_Вводные'!$B$296="Новый сезон",10-1&gt;MOD(MONTH('06_Сеть_и_дети'!AY$3)-9,12),FALSE),'19_Расчет_аналитики'!AY417*CapacityAge10*'19_Расчет_аналитики'!$F$211,0)</f>
        <v/>
      </c>
      <c r="AZ529">
        <f>IF(IF('01_Вводные'!$B$296="Новый сезон",10-1&gt;MOD(MONTH('06_Сеть_и_дети'!AZ$3)-9,12),FALSE),'19_Расчет_аналитики'!AZ417*CapacityAge10*'19_Расчет_аналитики'!$F$211,0)</f>
        <v/>
      </c>
      <c r="BA529">
        <f>IF(IF('01_Вводные'!$B$296="Новый сезон",10-1&gt;MOD(MONTH('06_Сеть_и_дети'!BA$3)-9,12),FALSE),'19_Расчет_аналитики'!BA417*CapacityAge10*'19_Расчет_аналитики'!$F$211,0)</f>
        <v/>
      </c>
      <c r="BB529">
        <f>IF(IF('01_Вводные'!$B$296="Новый сезон",10-1&gt;MOD(MONTH('06_Сеть_и_дети'!BB$3)-9,12),FALSE),'19_Расчет_аналитики'!BB417*CapacityAge10*'19_Расчет_аналитики'!$F$211,0)</f>
        <v/>
      </c>
      <c r="BC529">
        <f>IF(IF('01_Вводные'!$B$296="Новый сезон",10-1&gt;MOD(MONTH('06_Сеть_и_дети'!BC$3)-9,12),FALSE),'19_Расчет_аналитики'!BC417*CapacityAge10*'19_Расчет_аналитики'!$F$211,0)</f>
        <v/>
      </c>
      <c r="BD529">
        <f>IF(IF('01_Вводные'!$B$296="Новый сезон",10-1&gt;MOD(MONTH('06_Сеть_и_дети'!BD$3)-9,12),FALSE),'19_Расчет_аналитики'!BD417*CapacityAge10*'19_Расчет_аналитики'!$F$211,0)</f>
        <v/>
      </c>
      <c r="BE529">
        <f>IF(IF('01_Вводные'!$B$296="Новый сезон",10-1&gt;MOD(MONTH('06_Сеть_и_дети'!BE$3)-9,12),FALSE),'19_Расчет_аналитики'!BE417*CapacityAge10*'19_Расчет_аналитики'!$F$211,0)</f>
        <v/>
      </c>
      <c r="BF529">
        <f>IF(IF('01_Вводные'!$B$296="Новый сезон",10-1&gt;MOD(MONTH('06_Сеть_и_дети'!BF$3)-9,12),FALSE),'19_Расчет_аналитики'!BF417*CapacityAge10*'19_Расчет_аналитики'!$F$211,0)</f>
        <v/>
      </c>
      <c r="BG529">
        <f>IF(IF('01_Вводные'!$B$296="Новый сезон",10-1&gt;MOD(MONTH('06_Сеть_и_дети'!BG$3)-9,12),FALSE),'19_Расчет_аналитики'!BG417*CapacityAge10*'19_Расчет_аналитики'!$F$211,0)</f>
        <v/>
      </c>
      <c r="BH529">
        <f>IF(IF('01_Вводные'!$B$296="Новый сезон",10-1&gt;MOD(MONTH('06_Сеть_и_дети'!BH$3)-9,12),FALSE),'19_Расчет_аналитики'!BH417*CapacityAge10*'19_Расчет_аналитики'!$F$211,0)</f>
        <v/>
      </c>
      <c r="BI529">
        <f>IF(IF('01_Вводные'!$B$296="Новый сезон",10-1&gt;MOD(MONTH('06_Сеть_и_дети'!BI$3)-9,12),FALSE),'19_Расчет_аналитики'!BI417*CapacityAge10*'19_Расчет_аналитики'!$F$211,0)</f>
        <v/>
      </c>
      <c r="BJ529">
        <f>IF(IF('01_Вводные'!$B$296="Новый сезон",10-1&gt;MOD(MONTH('06_Сеть_и_дети'!BJ$3)-9,12),FALSE),'19_Расчет_аналитики'!BJ417*CapacityAge10*'19_Расчет_аналитики'!$F$211,0)</f>
        <v/>
      </c>
      <c r="BK529">
        <f>IF(IF('01_Вводные'!$B$296="Новый сезон",10-1&gt;MOD(MONTH('06_Сеть_и_дети'!BK$3)-9,12),FALSE),'19_Расчет_аналитики'!BK417*CapacityAge10*'19_Расчет_аналитики'!$F$211,0)</f>
        <v/>
      </c>
      <c r="BL529">
        <f>IF(IF('01_Вводные'!$B$296="Новый сезон",10-1&gt;MOD(MONTH('06_Сеть_и_дети'!BL$3)-9,12),FALSE),'19_Расчет_аналитики'!BL417*CapacityAge10*'19_Расчет_аналитики'!$F$211,0)</f>
        <v/>
      </c>
      <c r="BM529">
        <f>IF(IF('01_Вводные'!$B$296="Новый сезон",10-1&gt;MOD(MONTH('06_Сеть_и_дети'!BM$3)-9,12),FALSE),'19_Расчет_аналитики'!BM417*CapacityAge10*'19_Расчет_аналитики'!$F$211,0)</f>
        <v/>
      </c>
      <c r="BN529">
        <f>IF(IF('01_Вводные'!$B$296="Новый сезон",10-1&gt;MOD(MONTH('06_Сеть_и_дети'!BN$3)-9,12),FALSE),'19_Расчет_аналитики'!BN417*CapacityAge10*'19_Расчет_аналитики'!$F$211,0)</f>
        <v/>
      </c>
      <c r="BO529">
        <f>IF(IF('01_Вводные'!$B$296="Новый сезон",10-1&gt;MOD(MONTH('06_Сеть_и_дети'!BO$3)-9,12),FALSE),'19_Расчет_аналитики'!BO417*CapacityAge10*'19_Расчет_аналитики'!$F$211,0)</f>
        <v/>
      </c>
    </row>
    <row r="530">
      <c r="B530">
        <f>IF(IF('01_Вводные'!$B$296="Новый сезон",11-1&gt;MOD(MONTH('06_Сеть_и_дети'!B$3)-9,12),FALSE),'06_Сеть_и_дети'!B63*CapacityAge11*'19_Расчет_аналитики'!$F$211,0)</f>
        <v/>
      </c>
      <c r="C530">
        <f>IF(IF('01_Вводные'!$B$296="Новый сезон",11-1&gt;MOD(MONTH('06_Сеть_и_дети'!C$3)-9,12),FALSE),'06_Сеть_и_дети'!C63*CapacityAge11*'19_Расчет_аналитики'!$F$211,0)</f>
        <v/>
      </c>
      <c r="D530">
        <f>IF(IF('01_Вводные'!$B$296="Новый сезон",11-1&gt;MOD(MONTH('06_Сеть_и_дети'!D$3)-9,12),FALSE),'06_Сеть_и_дети'!D63*CapacityAge11*'19_Расчет_аналитики'!$F$211,0)</f>
        <v/>
      </c>
      <c r="E530">
        <f>IF(IF('01_Вводные'!$B$296="Новый сезон",11-1&gt;MOD(MONTH('06_Сеть_и_дети'!E$3)-9,12),FALSE),'06_Сеть_и_дети'!E63*CapacityAge11*'19_Расчет_аналитики'!$F$211,0)</f>
        <v/>
      </c>
      <c r="F530">
        <f>IF(IF('01_Вводные'!$B$296="Новый сезон",11-1&gt;MOD(MONTH('06_Сеть_и_дети'!F$3)-9,12),FALSE),'06_Сеть_и_дети'!F63*CapacityAge11*'19_Расчет_аналитики'!$F$211,0)</f>
        <v/>
      </c>
      <c r="G530">
        <f>IF(IF('01_Вводные'!$B$296="Новый сезон",11-1&gt;MOD(MONTH('06_Сеть_и_дети'!G$3)-9,12),FALSE),'06_Сеть_и_дети'!G63*CapacityAge11*'19_Расчет_аналитики'!$F$211,0)</f>
        <v/>
      </c>
      <c r="H530">
        <f>IF(IF('01_Вводные'!$B$296="Новый сезон",11-1&gt;MOD(MONTH('06_Сеть_и_дети'!H$3)-9,12),FALSE),'06_Сеть_и_дети'!H63*CapacityAge11*'19_Расчет_аналитики'!$F$211,0)</f>
        <v/>
      </c>
      <c r="I530">
        <f>IF(IF('01_Вводные'!$B$296="Новый сезон",11-1&gt;MOD(MONTH('06_Сеть_и_дети'!I$3)-9,12),FALSE),'06_Сеть_и_дети'!I63*CapacityAge11*'19_Расчет_аналитики'!$F$211,0)</f>
        <v/>
      </c>
      <c r="J530">
        <f>IF(IF('01_Вводные'!$B$296="Новый сезон",11-1&gt;MOD(MONTH('06_Сеть_и_дети'!J$3)-9,12),FALSE),'06_Сеть_и_дети'!J63*CapacityAge11*'19_Расчет_аналитики'!$F$211,0)</f>
        <v/>
      </c>
      <c r="K530">
        <f>IF(IF('01_Вводные'!$B$296="Новый сезон",11-1&gt;MOD(MONTH('06_Сеть_и_дети'!K$3)-9,12),FALSE),'06_Сеть_и_дети'!K63*CapacityAge11*'19_Расчет_аналитики'!$F$211,0)</f>
        <v/>
      </c>
      <c r="L530">
        <f>IF(IF('01_Вводные'!$B$296="Новый сезон",11-1&gt;MOD(MONTH('06_Сеть_и_дети'!L$3)-9,12),FALSE),'19_Расчет_аналитики'!L418*CapacityAge11*'19_Расчет_аналитики'!$F$211,0)</f>
        <v/>
      </c>
      <c r="M530">
        <f>IF(IF('01_Вводные'!$B$296="Новый сезон",11-1&gt;MOD(MONTH('06_Сеть_и_дети'!M$3)-9,12),FALSE),'19_Расчет_аналитики'!M418*CapacityAge11*'19_Расчет_аналитики'!$F$211,0)</f>
        <v/>
      </c>
      <c r="N530">
        <f>IF(IF('01_Вводные'!$B$296="Новый сезон",11-1&gt;MOD(MONTH('06_Сеть_и_дети'!N$3)-9,12),FALSE),'19_Расчет_аналитики'!N418*CapacityAge11*'19_Расчет_аналитики'!$F$211,0)</f>
        <v/>
      </c>
      <c r="O530">
        <f>IF(IF('01_Вводные'!$B$296="Новый сезон",11-1&gt;MOD(MONTH('06_Сеть_и_дети'!O$3)-9,12),FALSE),'19_Расчет_аналитики'!O418*CapacityAge11*'19_Расчет_аналитики'!$F$211,0)</f>
        <v/>
      </c>
      <c r="P530">
        <f>IF(IF('01_Вводные'!$B$296="Новый сезон",11-1&gt;MOD(MONTH('06_Сеть_и_дети'!P$3)-9,12),FALSE),'19_Расчет_аналитики'!P418*CapacityAge11*'19_Расчет_аналитики'!$F$211,0)</f>
        <v/>
      </c>
      <c r="Q530">
        <f>IF(IF('01_Вводные'!$B$296="Новый сезон",11-1&gt;MOD(MONTH('06_Сеть_и_дети'!Q$3)-9,12),FALSE),'19_Расчет_аналитики'!Q418*CapacityAge11*'19_Расчет_аналитики'!$F$211,0)</f>
        <v/>
      </c>
      <c r="R530">
        <f>IF(IF('01_Вводные'!$B$296="Новый сезон",11-1&gt;MOD(MONTH('06_Сеть_и_дети'!R$3)-9,12),FALSE),'19_Расчет_аналитики'!R418*CapacityAge11*'19_Расчет_аналитики'!$F$211,0)</f>
        <v/>
      </c>
      <c r="S530">
        <f>IF(IF('01_Вводные'!$B$296="Новый сезон",11-1&gt;MOD(MONTH('06_Сеть_и_дети'!S$3)-9,12),FALSE),'19_Расчет_аналитики'!S418*CapacityAge11*'19_Расчет_аналитики'!$F$211,0)</f>
        <v/>
      </c>
      <c r="T530">
        <f>IF(IF('01_Вводные'!$B$296="Новый сезон",11-1&gt;MOD(MONTH('06_Сеть_и_дети'!T$3)-9,12),FALSE),'19_Расчет_аналитики'!T418*CapacityAge11*'19_Расчет_аналитики'!$F$211,0)</f>
        <v/>
      </c>
      <c r="U530">
        <f>IF(IF('01_Вводные'!$B$296="Новый сезон",11-1&gt;MOD(MONTH('06_Сеть_и_дети'!U$3)-9,12),FALSE),'19_Расчет_аналитики'!U418*CapacityAge11*'19_Расчет_аналитики'!$F$211,0)</f>
        <v/>
      </c>
      <c r="V530">
        <f>IF(IF('01_Вводные'!$B$296="Новый сезон",11-1&gt;MOD(MONTH('06_Сеть_и_дети'!V$3)-9,12),FALSE),'19_Расчет_аналитики'!V418*CapacityAge11*'19_Расчет_аналитики'!$F$211,0)</f>
        <v/>
      </c>
      <c r="W530">
        <f>IF(IF('01_Вводные'!$B$296="Новый сезон",11-1&gt;MOD(MONTH('06_Сеть_и_дети'!W$3)-9,12),FALSE),'19_Расчет_аналитики'!W418*CapacityAge11*'19_Расчет_аналитики'!$F$211,0)</f>
        <v/>
      </c>
      <c r="X530">
        <f>IF(IF('01_Вводные'!$B$296="Новый сезон",11-1&gt;MOD(MONTH('06_Сеть_и_дети'!X$3)-9,12),FALSE),'19_Расчет_аналитики'!X418*CapacityAge11*'19_Расчет_аналитики'!$F$211,0)</f>
        <v/>
      </c>
      <c r="Y530">
        <f>IF(IF('01_Вводные'!$B$296="Новый сезон",11-1&gt;MOD(MONTH('06_Сеть_и_дети'!Y$3)-9,12),FALSE),'19_Расчет_аналитики'!Y418*CapacityAge11*'19_Расчет_аналитики'!$F$211,0)</f>
        <v/>
      </c>
      <c r="Z530">
        <f>IF(IF('01_Вводные'!$B$296="Новый сезон",11-1&gt;MOD(MONTH('06_Сеть_и_дети'!Z$3)-9,12),FALSE),'19_Расчет_аналитики'!Z418*CapacityAge11*'19_Расчет_аналитики'!$F$211,0)</f>
        <v/>
      </c>
      <c r="AA530">
        <f>IF(IF('01_Вводные'!$B$296="Новый сезон",11-1&gt;MOD(MONTH('06_Сеть_и_дети'!AA$3)-9,12),FALSE),'19_Расчет_аналитики'!AA418*CapacityAge11*'19_Расчет_аналитики'!$F$211,0)</f>
        <v/>
      </c>
      <c r="AB530">
        <f>IF(IF('01_Вводные'!$B$296="Новый сезон",11-1&gt;MOD(MONTH('06_Сеть_и_дети'!AB$3)-9,12),FALSE),'19_Расчет_аналитики'!AB418*CapacityAge11*'19_Расчет_аналитики'!$F$211,0)</f>
        <v/>
      </c>
      <c r="AC530">
        <f>IF(IF('01_Вводные'!$B$296="Новый сезон",11-1&gt;MOD(MONTH('06_Сеть_и_дети'!AC$3)-9,12),FALSE),'19_Расчет_аналитики'!AC418*CapacityAge11*'19_Расчет_аналитики'!$F$211,0)</f>
        <v/>
      </c>
      <c r="AD530">
        <f>IF(IF('01_Вводные'!$B$296="Новый сезон",11-1&gt;MOD(MONTH('06_Сеть_и_дети'!AD$3)-9,12),FALSE),'19_Расчет_аналитики'!AD418*CapacityAge11*'19_Расчет_аналитики'!$F$211,0)</f>
        <v/>
      </c>
      <c r="AE530">
        <f>IF(IF('01_Вводные'!$B$296="Новый сезон",11-1&gt;MOD(MONTH('06_Сеть_и_дети'!AE$3)-9,12),FALSE),'19_Расчет_аналитики'!AE418*CapacityAge11*'19_Расчет_аналитики'!$F$211,0)</f>
        <v/>
      </c>
      <c r="AF530">
        <f>IF(IF('01_Вводные'!$B$296="Новый сезон",11-1&gt;MOD(MONTH('06_Сеть_и_дети'!AF$3)-9,12),FALSE),'19_Расчет_аналитики'!AF418*CapacityAge11*'19_Расчет_аналитики'!$F$211,0)</f>
        <v/>
      </c>
      <c r="AG530">
        <f>IF(IF('01_Вводные'!$B$296="Новый сезон",11-1&gt;MOD(MONTH('06_Сеть_и_дети'!AG$3)-9,12),FALSE),'19_Расчет_аналитики'!AG418*CapacityAge11*'19_Расчет_аналитики'!$F$211,0)</f>
        <v/>
      </c>
      <c r="AH530">
        <f>IF(IF('01_Вводные'!$B$296="Новый сезон",11-1&gt;MOD(MONTH('06_Сеть_и_дети'!AH$3)-9,12),FALSE),'19_Расчет_аналитики'!AH418*CapacityAge11*'19_Расчет_аналитики'!$F$211,0)</f>
        <v/>
      </c>
      <c r="AI530">
        <f>IF(IF('01_Вводные'!$B$296="Новый сезон",11-1&gt;MOD(MONTH('06_Сеть_и_дети'!AI$3)-9,12),FALSE),'19_Расчет_аналитики'!AI418*CapacityAge11*'19_Расчет_аналитики'!$F$211,0)</f>
        <v/>
      </c>
      <c r="AJ530">
        <f>IF(IF('01_Вводные'!$B$296="Новый сезон",11-1&gt;MOD(MONTH('06_Сеть_и_дети'!AJ$3)-9,12),FALSE),'19_Расчет_аналитики'!AJ418*CapacityAge11*'19_Расчет_аналитики'!$F$211,0)</f>
        <v/>
      </c>
      <c r="AK530">
        <f>IF(IF('01_Вводные'!$B$296="Новый сезон",11-1&gt;MOD(MONTH('06_Сеть_и_дети'!AK$3)-9,12),FALSE),'19_Расчет_аналитики'!AK418*CapacityAge11*'19_Расчет_аналитики'!$F$211,0)</f>
        <v/>
      </c>
      <c r="AL530">
        <f>IF(IF('01_Вводные'!$B$296="Новый сезон",11-1&gt;MOD(MONTH('06_Сеть_и_дети'!AL$3)-9,12),FALSE),'19_Расчет_аналитики'!AL418*CapacityAge11*'19_Расчет_аналитики'!$F$211,0)</f>
        <v/>
      </c>
      <c r="AM530">
        <f>IF(IF('01_Вводные'!$B$296="Новый сезон",11-1&gt;MOD(MONTH('06_Сеть_и_дети'!AM$3)-9,12),FALSE),'19_Расчет_аналитики'!AM418*CapacityAge11*'19_Расчет_аналитики'!$F$211,0)</f>
        <v/>
      </c>
      <c r="AN530">
        <f>IF(IF('01_Вводные'!$B$296="Новый сезон",11-1&gt;MOD(MONTH('06_Сеть_и_дети'!AN$3)-9,12),FALSE),'19_Расчет_аналитики'!AN418*CapacityAge11*'19_Расчет_аналитики'!$F$211,0)</f>
        <v/>
      </c>
      <c r="AO530">
        <f>IF(IF('01_Вводные'!$B$296="Новый сезон",11-1&gt;MOD(MONTH('06_Сеть_и_дети'!AO$3)-9,12),FALSE),'19_Расчет_аналитики'!AO418*CapacityAge11*'19_Расчет_аналитики'!$F$211,0)</f>
        <v/>
      </c>
      <c r="AP530">
        <f>IF(IF('01_Вводные'!$B$296="Новый сезон",11-1&gt;MOD(MONTH('06_Сеть_и_дети'!AP$3)-9,12),FALSE),'19_Расчет_аналитики'!AP418*CapacityAge11*'19_Расчет_аналитики'!$F$211,0)</f>
        <v/>
      </c>
      <c r="AQ530">
        <f>IF(IF('01_Вводные'!$B$296="Новый сезон",11-1&gt;MOD(MONTH('06_Сеть_и_дети'!AQ$3)-9,12),FALSE),'19_Расчет_аналитики'!AQ418*CapacityAge11*'19_Расчет_аналитики'!$F$211,0)</f>
        <v/>
      </c>
      <c r="AR530">
        <f>IF(IF('01_Вводные'!$B$296="Новый сезон",11-1&gt;MOD(MONTH('06_Сеть_и_дети'!AR$3)-9,12),FALSE),'19_Расчет_аналитики'!AR418*CapacityAge11*'19_Расчет_аналитики'!$F$211,0)</f>
        <v/>
      </c>
      <c r="AS530">
        <f>IF(IF('01_Вводные'!$B$296="Новый сезон",11-1&gt;MOD(MONTH('06_Сеть_и_дети'!AS$3)-9,12),FALSE),'19_Расчет_аналитики'!AS418*CapacityAge11*'19_Расчет_аналитики'!$F$211,0)</f>
        <v/>
      </c>
      <c r="AT530">
        <f>IF(IF('01_Вводные'!$B$296="Новый сезон",11-1&gt;MOD(MONTH('06_Сеть_и_дети'!AT$3)-9,12),FALSE),'19_Расчет_аналитики'!AT418*CapacityAge11*'19_Расчет_аналитики'!$F$211,0)</f>
        <v/>
      </c>
      <c r="AU530">
        <f>IF(IF('01_Вводные'!$B$296="Новый сезон",11-1&gt;MOD(MONTH('06_Сеть_и_дети'!AU$3)-9,12),FALSE),'19_Расчет_аналитики'!AU418*CapacityAge11*'19_Расчет_аналитики'!$F$211,0)</f>
        <v/>
      </c>
      <c r="AV530">
        <f>IF(IF('01_Вводные'!$B$296="Новый сезон",11-1&gt;MOD(MONTH('06_Сеть_и_дети'!AV$3)-9,12),FALSE),'19_Расчет_аналитики'!AV418*CapacityAge11*'19_Расчет_аналитики'!$F$211,0)</f>
        <v/>
      </c>
      <c r="AW530">
        <f>IF(IF('01_Вводные'!$B$296="Новый сезон",11-1&gt;MOD(MONTH('06_Сеть_и_дети'!AW$3)-9,12),FALSE),'19_Расчет_аналитики'!AW418*CapacityAge11*'19_Расчет_аналитики'!$F$211,0)</f>
        <v/>
      </c>
      <c r="AX530">
        <f>IF(IF('01_Вводные'!$B$296="Новый сезон",11-1&gt;MOD(MONTH('06_Сеть_и_дети'!AX$3)-9,12),FALSE),'19_Расчет_аналитики'!AX418*CapacityAge11*'19_Расчет_аналитики'!$F$211,0)</f>
        <v/>
      </c>
      <c r="AY530">
        <f>IF(IF('01_Вводные'!$B$296="Новый сезон",11-1&gt;MOD(MONTH('06_Сеть_и_дети'!AY$3)-9,12),FALSE),'19_Расчет_аналитики'!AY418*CapacityAge11*'19_Расчет_аналитики'!$F$211,0)</f>
        <v/>
      </c>
      <c r="AZ530">
        <f>IF(IF('01_Вводные'!$B$296="Новый сезон",11-1&gt;MOD(MONTH('06_Сеть_и_дети'!AZ$3)-9,12),FALSE),'19_Расчет_аналитики'!AZ418*CapacityAge11*'19_Расчет_аналитики'!$F$211,0)</f>
        <v/>
      </c>
      <c r="BA530">
        <f>IF(IF('01_Вводные'!$B$296="Новый сезон",11-1&gt;MOD(MONTH('06_Сеть_и_дети'!BA$3)-9,12),FALSE),'19_Расчет_аналитики'!BA418*CapacityAge11*'19_Расчет_аналитики'!$F$211,0)</f>
        <v/>
      </c>
      <c r="BB530">
        <f>IF(IF('01_Вводные'!$B$296="Новый сезон",11-1&gt;MOD(MONTH('06_Сеть_и_дети'!BB$3)-9,12),FALSE),'19_Расчет_аналитики'!BB418*CapacityAge11*'19_Расчет_аналитики'!$F$211,0)</f>
        <v/>
      </c>
      <c r="BC530">
        <f>IF(IF('01_Вводные'!$B$296="Новый сезон",11-1&gt;MOD(MONTH('06_Сеть_и_дети'!BC$3)-9,12),FALSE),'19_Расчет_аналитики'!BC418*CapacityAge11*'19_Расчет_аналитики'!$F$211,0)</f>
        <v/>
      </c>
      <c r="BD530">
        <f>IF(IF('01_Вводные'!$B$296="Новый сезон",11-1&gt;MOD(MONTH('06_Сеть_и_дети'!BD$3)-9,12),FALSE),'19_Расчет_аналитики'!BD418*CapacityAge11*'19_Расчет_аналитики'!$F$211,0)</f>
        <v/>
      </c>
      <c r="BE530">
        <f>IF(IF('01_Вводные'!$B$296="Новый сезон",11-1&gt;MOD(MONTH('06_Сеть_и_дети'!BE$3)-9,12),FALSE),'19_Расчет_аналитики'!BE418*CapacityAge11*'19_Расчет_аналитики'!$F$211,0)</f>
        <v/>
      </c>
      <c r="BF530">
        <f>IF(IF('01_Вводные'!$B$296="Новый сезон",11-1&gt;MOD(MONTH('06_Сеть_и_дети'!BF$3)-9,12),FALSE),'19_Расчет_аналитики'!BF418*CapacityAge11*'19_Расчет_аналитики'!$F$211,0)</f>
        <v/>
      </c>
      <c r="BG530">
        <f>IF(IF('01_Вводные'!$B$296="Новый сезон",11-1&gt;MOD(MONTH('06_Сеть_и_дети'!BG$3)-9,12),FALSE),'19_Расчет_аналитики'!BG418*CapacityAge11*'19_Расчет_аналитики'!$F$211,0)</f>
        <v/>
      </c>
      <c r="BH530">
        <f>IF(IF('01_Вводные'!$B$296="Новый сезон",11-1&gt;MOD(MONTH('06_Сеть_и_дети'!BH$3)-9,12),FALSE),'19_Расчет_аналитики'!BH418*CapacityAge11*'19_Расчет_аналитики'!$F$211,0)</f>
        <v/>
      </c>
      <c r="BI530">
        <f>IF(IF('01_Вводные'!$B$296="Новый сезон",11-1&gt;MOD(MONTH('06_Сеть_и_дети'!BI$3)-9,12),FALSE),'19_Расчет_аналитики'!BI418*CapacityAge11*'19_Расчет_аналитики'!$F$211,0)</f>
        <v/>
      </c>
      <c r="BJ530">
        <f>IF(IF('01_Вводные'!$B$296="Новый сезон",11-1&gt;MOD(MONTH('06_Сеть_и_дети'!BJ$3)-9,12),FALSE),'19_Расчет_аналитики'!BJ418*CapacityAge11*'19_Расчет_аналитики'!$F$211,0)</f>
        <v/>
      </c>
      <c r="BK530">
        <f>IF(IF('01_Вводные'!$B$296="Новый сезон",11-1&gt;MOD(MONTH('06_Сеть_и_дети'!BK$3)-9,12),FALSE),'19_Расчет_аналитики'!BK418*CapacityAge11*'19_Расчет_аналитики'!$F$211,0)</f>
        <v/>
      </c>
      <c r="BL530">
        <f>IF(IF('01_Вводные'!$B$296="Новый сезон",11-1&gt;MOD(MONTH('06_Сеть_и_дети'!BL$3)-9,12),FALSE),'19_Расчет_аналитики'!BL418*CapacityAge11*'19_Расчет_аналитики'!$F$211,0)</f>
        <v/>
      </c>
      <c r="BM530">
        <f>IF(IF('01_Вводные'!$B$296="Новый сезон",11-1&gt;MOD(MONTH('06_Сеть_и_дети'!BM$3)-9,12),FALSE),'19_Расчет_аналитики'!BM418*CapacityAge11*'19_Расчет_аналитики'!$F$211,0)</f>
        <v/>
      </c>
      <c r="BN530">
        <f>IF(IF('01_Вводные'!$B$296="Новый сезон",11-1&gt;MOD(MONTH('06_Сеть_и_дети'!BN$3)-9,12),FALSE),'19_Расчет_аналитики'!BN418*CapacityAge11*'19_Расчет_аналитики'!$F$211,0)</f>
        <v/>
      </c>
      <c r="BO530">
        <f>IF(IF('01_Вводные'!$B$296="Новый сезон",11-1&gt;MOD(MONTH('06_Сеть_и_дети'!BO$3)-9,12),FALSE),'19_Расчет_аналитики'!BO418*CapacityAge11*'19_Расчет_аналитики'!$F$211,0)</f>
        <v/>
      </c>
    </row>
    <row r="531">
      <c r="B531">
        <f>IF(IF('01_Вводные'!$B$296="Новый сезон",12-1&gt;MOD(MONTH('06_Сеть_и_дети'!B$3)-9,12),FALSE),'06_Сеть_и_дети'!B64*CapacityAge12*'19_Расчет_аналитики'!$F$211,0)</f>
        <v/>
      </c>
      <c r="C531">
        <f>IF(IF('01_Вводные'!$B$296="Новый сезон",12-1&gt;MOD(MONTH('06_Сеть_и_дети'!C$3)-9,12),FALSE),'06_Сеть_и_дети'!C64*CapacityAge12*'19_Расчет_аналитики'!$F$211,0)</f>
        <v/>
      </c>
      <c r="D531">
        <f>IF(IF('01_Вводные'!$B$296="Новый сезон",12-1&gt;MOD(MONTH('06_Сеть_и_дети'!D$3)-9,12),FALSE),'06_Сеть_и_дети'!D64*CapacityAge12*'19_Расчет_аналитики'!$F$211,0)</f>
        <v/>
      </c>
      <c r="E531">
        <f>IF(IF('01_Вводные'!$B$296="Новый сезон",12-1&gt;MOD(MONTH('06_Сеть_и_дети'!E$3)-9,12),FALSE),'06_Сеть_и_дети'!E64*CapacityAge12*'19_Расчет_аналитики'!$F$211,0)</f>
        <v/>
      </c>
      <c r="F531">
        <f>IF(IF('01_Вводные'!$B$296="Новый сезон",12-1&gt;MOD(MONTH('06_Сеть_и_дети'!F$3)-9,12),FALSE),'06_Сеть_и_дети'!F64*CapacityAge12*'19_Расчет_аналитики'!$F$211,0)</f>
        <v/>
      </c>
      <c r="G531">
        <f>IF(IF('01_Вводные'!$B$296="Новый сезон",12-1&gt;MOD(MONTH('06_Сеть_и_дети'!G$3)-9,12),FALSE),'06_Сеть_и_дети'!G64*CapacityAge12*'19_Расчет_аналитики'!$F$211,0)</f>
        <v/>
      </c>
      <c r="H531">
        <f>IF(IF('01_Вводные'!$B$296="Новый сезон",12-1&gt;MOD(MONTH('06_Сеть_и_дети'!H$3)-9,12),FALSE),'06_Сеть_и_дети'!H64*CapacityAge12*'19_Расчет_аналитики'!$F$211,0)</f>
        <v/>
      </c>
      <c r="I531">
        <f>IF(IF('01_Вводные'!$B$296="Новый сезон",12-1&gt;MOD(MONTH('06_Сеть_и_дети'!I$3)-9,12),FALSE),'06_Сеть_и_дети'!I64*CapacityAge12*'19_Расчет_аналитики'!$F$211,0)</f>
        <v/>
      </c>
      <c r="J531">
        <f>IF(IF('01_Вводные'!$B$296="Новый сезон",12-1&gt;MOD(MONTH('06_Сеть_и_дети'!J$3)-9,12),FALSE),'06_Сеть_и_дети'!J64*CapacityAge12*'19_Расчет_аналитики'!$F$211,0)</f>
        <v/>
      </c>
      <c r="K531">
        <f>IF(IF('01_Вводные'!$B$296="Новый сезон",12-1&gt;MOD(MONTH('06_Сеть_и_дети'!K$3)-9,12),FALSE),'06_Сеть_и_дети'!K64*CapacityAge12*'19_Расчет_аналитики'!$F$211,0)</f>
        <v/>
      </c>
      <c r="L531">
        <f>IF(IF('01_Вводные'!$B$296="Новый сезон",12-1&gt;MOD(MONTH('06_Сеть_и_дети'!L$3)-9,12),FALSE),'06_Сеть_и_дети'!L64*CapacityAge12*'19_Расчет_аналитики'!$F$211,0)</f>
        <v/>
      </c>
      <c r="M531">
        <f>IF(IF('01_Вводные'!$B$296="Новый сезон",12-1&gt;MOD(MONTH('06_Сеть_и_дети'!M$3)-9,12),FALSE),'19_Расчет_аналитики'!M419*CapacityAge12*'19_Расчет_аналитики'!$F$211,0)</f>
        <v/>
      </c>
      <c r="N531">
        <f>IF(IF('01_Вводные'!$B$296="Новый сезон",12-1&gt;MOD(MONTH('06_Сеть_и_дети'!N$3)-9,12),FALSE),'19_Расчет_аналитики'!N419*CapacityAge12*'19_Расчет_аналитики'!$F$211,0)</f>
        <v/>
      </c>
      <c r="O531">
        <f>IF(IF('01_Вводные'!$B$296="Новый сезон",12-1&gt;MOD(MONTH('06_Сеть_и_дети'!O$3)-9,12),FALSE),'19_Расчет_аналитики'!O419*CapacityAge12*'19_Расчет_аналитики'!$F$211,0)</f>
        <v/>
      </c>
      <c r="P531">
        <f>IF(IF('01_Вводные'!$B$296="Новый сезон",12-1&gt;MOD(MONTH('06_Сеть_и_дети'!P$3)-9,12),FALSE),'19_Расчет_аналитики'!P419*CapacityAge12*'19_Расчет_аналитики'!$F$211,0)</f>
        <v/>
      </c>
      <c r="Q531">
        <f>IF(IF('01_Вводные'!$B$296="Новый сезон",12-1&gt;MOD(MONTH('06_Сеть_и_дети'!Q$3)-9,12),FALSE),'19_Расчет_аналитики'!Q419*CapacityAge12*'19_Расчет_аналитики'!$F$211,0)</f>
        <v/>
      </c>
      <c r="R531">
        <f>IF(IF('01_Вводные'!$B$296="Новый сезон",12-1&gt;MOD(MONTH('06_Сеть_и_дети'!R$3)-9,12),FALSE),'19_Расчет_аналитики'!R419*CapacityAge12*'19_Расчет_аналитики'!$F$211,0)</f>
        <v/>
      </c>
      <c r="S531">
        <f>IF(IF('01_Вводные'!$B$296="Новый сезон",12-1&gt;MOD(MONTH('06_Сеть_и_дети'!S$3)-9,12),FALSE),'19_Расчет_аналитики'!S419*CapacityAge12*'19_Расчет_аналитики'!$F$211,0)</f>
        <v/>
      </c>
      <c r="T531">
        <f>IF(IF('01_Вводные'!$B$296="Новый сезон",12-1&gt;MOD(MONTH('06_Сеть_и_дети'!T$3)-9,12),FALSE),'19_Расчет_аналитики'!T419*CapacityAge12*'19_Расчет_аналитики'!$F$211,0)</f>
        <v/>
      </c>
      <c r="U531">
        <f>IF(IF('01_Вводные'!$B$296="Новый сезон",12-1&gt;MOD(MONTH('06_Сеть_и_дети'!U$3)-9,12),FALSE),'19_Расчет_аналитики'!U419*CapacityAge12*'19_Расчет_аналитики'!$F$211,0)</f>
        <v/>
      </c>
      <c r="V531">
        <f>IF(IF('01_Вводные'!$B$296="Новый сезон",12-1&gt;MOD(MONTH('06_Сеть_и_дети'!V$3)-9,12),FALSE),'19_Расчет_аналитики'!V419*CapacityAge12*'19_Расчет_аналитики'!$F$211,0)</f>
        <v/>
      </c>
      <c r="W531">
        <f>IF(IF('01_Вводные'!$B$296="Новый сезон",12-1&gt;MOD(MONTH('06_Сеть_и_дети'!W$3)-9,12),FALSE),'19_Расчет_аналитики'!W419*CapacityAge12*'19_Расчет_аналитики'!$F$211,0)</f>
        <v/>
      </c>
      <c r="X531">
        <f>IF(IF('01_Вводные'!$B$296="Новый сезон",12-1&gt;MOD(MONTH('06_Сеть_и_дети'!X$3)-9,12),FALSE),'19_Расчет_аналитики'!X419*CapacityAge12*'19_Расчет_аналитики'!$F$211,0)</f>
        <v/>
      </c>
      <c r="Y531">
        <f>IF(IF('01_Вводные'!$B$296="Новый сезон",12-1&gt;MOD(MONTH('06_Сеть_и_дети'!Y$3)-9,12),FALSE),'19_Расчет_аналитики'!Y419*CapacityAge12*'19_Расчет_аналитики'!$F$211,0)</f>
        <v/>
      </c>
      <c r="Z531">
        <f>IF(IF('01_Вводные'!$B$296="Новый сезон",12-1&gt;MOD(MONTH('06_Сеть_и_дети'!Z$3)-9,12),FALSE),'19_Расчет_аналитики'!Z419*CapacityAge12*'19_Расчет_аналитики'!$F$211,0)</f>
        <v/>
      </c>
      <c r="AA531">
        <f>IF(IF('01_Вводные'!$B$296="Новый сезон",12-1&gt;MOD(MONTH('06_Сеть_и_дети'!AA$3)-9,12),FALSE),'19_Расчет_аналитики'!AA419*CapacityAge12*'19_Расчет_аналитики'!$F$211,0)</f>
        <v/>
      </c>
      <c r="AB531">
        <f>IF(IF('01_Вводные'!$B$296="Новый сезон",12-1&gt;MOD(MONTH('06_Сеть_и_дети'!AB$3)-9,12),FALSE),'19_Расчет_аналитики'!AB419*CapacityAge12*'19_Расчет_аналитики'!$F$211,0)</f>
        <v/>
      </c>
      <c r="AC531">
        <f>IF(IF('01_Вводные'!$B$296="Новый сезон",12-1&gt;MOD(MONTH('06_Сеть_и_дети'!AC$3)-9,12),FALSE),'19_Расчет_аналитики'!AC419*CapacityAge12*'19_Расчет_аналитики'!$F$211,0)</f>
        <v/>
      </c>
      <c r="AD531">
        <f>IF(IF('01_Вводные'!$B$296="Новый сезон",12-1&gt;MOD(MONTH('06_Сеть_и_дети'!AD$3)-9,12),FALSE),'19_Расчет_аналитики'!AD419*CapacityAge12*'19_Расчет_аналитики'!$F$211,0)</f>
        <v/>
      </c>
      <c r="AE531">
        <f>IF(IF('01_Вводные'!$B$296="Новый сезон",12-1&gt;MOD(MONTH('06_Сеть_и_дети'!AE$3)-9,12),FALSE),'19_Расчет_аналитики'!AE419*CapacityAge12*'19_Расчет_аналитики'!$F$211,0)</f>
        <v/>
      </c>
      <c r="AF531">
        <f>IF(IF('01_Вводные'!$B$296="Новый сезон",12-1&gt;MOD(MONTH('06_Сеть_и_дети'!AF$3)-9,12),FALSE),'19_Расчет_аналитики'!AF419*CapacityAge12*'19_Расчет_аналитики'!$F$211,0)</f>
        <v/>
      </c>
      <c r="AG531">
        <f>IF(IF('01_Вводные'!$B$296="Новый сезон",12-1&gt;MOD(MONTH('06_Сеть_и_дети'!AG$3)-9,12),FALSE),'19_Расчет_аналитики'!AG419*CapacityAge12*'19_Расчет_аналитики'!$F$211,0)</f>
        <v/>
      </c>
      <c r="AH531">
        <f>IF(IF('01_Вводные'!$B$296="Новый сезон",12-1&gt;MOD(MONTH('06_Сеть_и_дети'!AH$3)-9,12),FALSE),'19_Расчет_аналитики'!AH419*CapacityAge12*'19_Расчет_аналитики'!$F$211,0)</f>
        <v/>
      </c>
      <c r="AI531">
        <f>IF(IF('01_Вводные'!$B$296="Новый сезон",12-1&gt;MOD(MONTH('06_Сеть_и_дети'!AI$3)-9,12),FALSE),'19_Расчет_аналитики'!AI419*CapacityAge12*'19_Расчет_аналитики'!$F$211,0)</f>
        <v/>
      </c>
      <c r="AJ531">
        <f>IF(IF('01_Вводные'!$B$296="Новый сезон",12-1&gt;MOD(MONTH('06_Сеть_и_дети'!AJ$3)-9,12),FALSE),'19_Расчет_аналитики'!AJ419*CapacityAge12*'19_Расчет_аналитики'!$F$211,0)</f>
        <v/>
      </c>
      <c r="AK531">
        <f>IF(IF('01_Вводные'!$B$296="Новый сезон",12-1&gt;MOD(MONTH('06_Сеть_и_дети'!AK$3)-9,12),FALSE),'19_Расчет_аналитики'!AK419*CapacityAge12*'19_Расчет_аналитики'!$F$211,0)</f>
        <v/>
      </c>
      <c r="AL531">
        <f>IF(IF('01_Вводные'!$B$296="Новый сезон",12-1&gt;MOD(MONTH('06_Сеть_и_дети'!AL$3)-9,12),FALSE),'19_Расчет_аналитики'!AL419*CapacityAge12*'19_Расчет_аналитики'!$F$211,0)</f>
        <v/>
      </c>
      <c r="AM531">
        <f>IF(IF('01_Вводные'!$B$296="Новый сезон",12-1&gt;MOD(MONTH('06_Сеть_и_дети'!AM$3)-9,12),FALSE),'19_Расчет_аналитики'!AM419*CapacityAge12*'19_Расчет_аналитики'!$F$211,0)</f>
        <v/>
      </c>
      <c r="AN531">
        <f>IF(IF('01_Вводные'!$B$296="Новый сезон",12-1&gt;MOD(MONTH('06_Сеть_и_дети'!AN$3)-9,12),FALSE),'19_Расчет_аналитики'!AN419*CapacityAge12*'19_Расчет_аналитики'!$F$211,0)</f>
        <v/>
      </c>
      <c r="AO531">
        <f>IF(IF('01_Вводные'!$B$296="Новый сезон",12-1&gt;MOD(MONTH('06_Сеть_и_дети'!AO$3)-9,12),FALSE),'19_Расчет_аналитики'!AO419*CapacityAge12*'19_Расчет_аналитики'!$F$211,0)</f>
        <v/>
      </c>
      <c r="AP531">
        <f>IF(IF('01_Вводные'!$B$296="Новый сезон",12-1&gt;MOD(MONTH('06_Сеть_и_дети'!AP$3)-9,12),FALSE),'19_Расчет_аналитики'!AP419*CapacityAge12*'19_Расчет_аналитики'!$F$211,0)</f>
        <v/>
      </c>
      <c r="AQ531">
        <f>IF(IF('01_Вводные'!$B$296="Новый сезон",12-1&gt;MOD(MONTH('06_Сеть_и_дети'!AQ$3)-9,12),FALSE),'19_Расчет_аналитики'!AQ419*CapacityAge12*'19_Расчет_аналитики'!$F$211,0)</f>
        <v/>
      </c>
      <c r="AR531">
        <f>IF(IF('01_Вводные'!$B$296="Новый сезон",12-1&gt;MOD(MONTH('06_Сеть_и_дети'!AR$3)-9,12),FALSE),'19_Расчет_аналитики'!AR419*CapacityAge12*'19_Расчет_аналитики'!$F$211,0)</f>
        <v/>
      </c>
      <c r="AS531">
        <f>IF(IF('01_Вводные'!$B$296="Новый сезон",12-1&gt;MOD(MONTH('06_Сеть_и_дети'!AS$3)-9,12),FALSE),'19_Расчет_аналитики'!AS419*CapacityAge12*'19_Расчет_аналитики'!$F$211,0)</f>
        <v/>
      </c>
      <c r="AT531">
        <f>IF(IF('01_Вводные'!$B$296="Новый сезон",12-1&gt;MOD(MONTH('06_Сеть_и_дети'!AT$3)-9,12),FALSE),'19_Расчет_аналитики'!AT419*CapacityAge12*'19_Расчет_аналитики'!$F$211,0)</f>
        <v/>
      </c>
      <c r="AU531">
        <f>IF(IF('01_Вводные'!$B$296="Новый сезон",12-1&gt;MOD(MONTH('06_Сеть_и_дети'!AU$3)-9,12),FALSE),'19_Расчет_аналитики'!AU419*CapacityAge12*'19_Расчет_аналитики'!$F$211,0)</f>
        <v/>
      </c>
      <c r="AV531">
        <f>IF(IF('01_Вводные'!$B$296="Новый сезон",12-1&gt;MOD(MONTH('06_Сеть_и_дети'!AV$3)-9,12),FALSE),'19_Расчет_аналитики'!AV419*CapacityAge12*'19_Расчет_аналитики'!$F$211,0)</f>
        <v/>
      </c>
      <c r="AW531">
        <f>IF(IF('01_Вводные'!$B$296="Новый сезон",12-1&gt;MOD(MONTH('06_Сеть_и_дети'!AW$3)-9,12),FALSE),'19_Расчет_аналитики'!AW419*CapacityAge12*'19_Расчет_аналитики'!$F$211,0)</f>
        <v/>
      </c>
      <c r="AX531">
        <f>IF(IF('01_Вводные'!$B$296="Новый сезон",12-1&gt;MOD(MONTH('06_Сеть_и_дети'!AX$3)-9,12),FALSE),'19_Расчет_аналитики'!AX419*CapacityAge12*'19_Расчет_аналитики'!$F$211,0)</f>
        <v/>
      </c>
      <c r="AY531">
        <f>IF(IF('01_Вводные'!$B$296="Новый сезон",12-1&gt;MOD(MONTH('06_Сеть_и_дети'!AY$3)-9,12),FALSE),'19_Расчет_аналитики'!AY419*CapacityAge12*'19_Расчет_аналитики'!$F$211,0)</f>
        <v/>
      </c>
      <c r="AZ531">
        <f>IF(IF('01_Вводные'!$B$296="Новый сезон",12-1&gt;MOD(MONTH('06_Сеть_и_дети'!AZ$3)-9,12),FALSE),'19_Расчет_аналитики'!AZ419*CapacityAge12*'19_Расчет_аналитики'!$F$211,0)</f>
        <v/>
      </c>
      <c r="BA531">
        <f>IF(IF('01_Вводные'!$B$296="Новый сезон",12-1&gt;MOD(MONTH('06_Сеть_и_дети'!BA$3)-9,12),FALSE),'19_Расчет_аналитики'!BA419*CapacityAge12*'19_Расчет_аналитики'!$F$211,0)</f>
        <v/>
      </c>
      <c r="BB531">
        <f>IF(IF('01_Вводные'!$B$296="Новый сезон",12-1&gt;MOD(MONTH('06_Сеть_и_дети'!BB$3)-9,12),FALSE),'19_Расчет_аналитики'!BB419*CapacityAge12*'19_Расчет_аналитики'!$F$211,0)</f>
        <v/>
      </c>
      <c r="BC531">
        <f>IF(IF('01_Вводные'!$B$296="Новый сезон",12-1&gt;MOD(MONTH('06_Сеть_и_дети'!BC$3)-9,12),FALSE),'19_Расчет_аналитики'!BC419*CapacityAge12*'19_Расчет_аналитики'!$F$211,0)</f>
        <v/>
      </c>
      <c r="BD531">
        <f>IF(IF('01_Вводные'!$B$296="Новый сезон",12-1&gt;MOD(MONTH('06_Сеть_и_дети'!BD$3)-9,12),FALSE),'19_Расчет_аналитики'!BD419*CapacityAge12*'19_Расчет_аналитики'!$F$211,0)</f>
        <v/>
      </c>
      <c r="BE531">
        <f>IF(IF('01_Вводные'!$B$296="Новый сезон",12-1&gt;MOD(MONTH('06_Сеть_и_дети'!BE$3)-9,12),FALSE),'19_Расчет_аналитики'!BE419*CapacityAge12*'19_Расчет_аналитики'!$F$211,0)</f>
        <v/>
      </c>
      <c r="BF531">
        <f>IF(IF('01_Вводные'!$B$296="Новый сезон",12-1&gt;MOD(MONTH('06_Сеть_и_дети'!BF$3)-9,12),FALSE),'19_Расчет_аналитики'!BF419*CapacityAge12*'19_Расчет_аналитики'!$F$211,0)</f>
        <v/>
      </c>
      <c r="BG531">
        <f>IF(IF('01_Вводные'!$B$296="Новый сезон",12-1&gt;MOD(MONTH('06_Сеть_и_дети'!BG$3)-9,12),FALSE),'19_Расчет_аналитики'!BG419*CapacityAge12*'19_Расчет_аналитики'!$F$211,0)</f>
        <v/>
      </c>
      <c r="BH531">
        <f>IF(IF('01_Вводные'!$B$296="Новый сезон",12-1&gt;MOD(MONTH('06_Сеть_и_дети'!BH$3)-9,12),FALSE),'19_Расчет_аналитики'!BH419*CapacityAge12*'19_Расчет_аналитики'!$F$211,0)</f>
        <v/>
      </c>
      <c r="BI531">
        <f>IF(IF('01_Вводные'!$B$296="Новый сезон",12-1&gt;MOD(MONTH('06_Сеть_и_дети'!BI$3)-9,12),FALSE),'19_Расчет_аналитики'!BI419*CapacityAge12*'19_Расчет_аналитики'!$F$211,0)</f>
        <v/>
      </c>
      <c r="BJ531">
        <f>IF(IF('01_Вводные'!$B$296="Новый сезон",12-1&gt;MOD(MONTH('06_Сеть_и_дети'!BJ$3)-9,12),FALSE),'19_Расчет_аналитики'!BJ419*CapacityAge12*'19_Расчет_аналитики'!$F$211,0)</f>
        <v/>
      </c>
      <c r="BK531">
        <f>IF(IF('01_Вводные'!$B$296="Новый сезон",12-1&gt;MOD(MONTH('06_Сеть_и_дети'!BK$3)-9,12),FALSE),'19_Расчет_аналитики'!BK419*CapacityAge12*'19_Расчет_аналитики'!$F$211,0)</f>
        <v/>
      </c>
      <c r="BL531">
        <f>IF(IF('01_Вводные'!$B$296="Новый сезон",12-1&gt;MOD(MONTH('06_Сеть_и_дети'!BL$3)-9,12),FALSE),'19_Расчет_аналитики'!BL419*CapacityAge12*'19_Расчет_аналитики'!$F$211,0)</f>
        <v/>
      </c>
      <c r="BM531">
        <f>IF(IF('01_Вводные'!$B$296="Новый сезон",12-1&gt;MOD(MONTH('06_Сеть_и_дети'!BM$3)-9,12),FALSE),'19_Расчет_аналитики'!BM419*CapacityAge12*'19_Расчет_аналитики'!$F$211,0)</f>
        <v/>
      </c>
      <c r="BN531">
        <f>IF(IF('01_Вводные'!$B$296="Новый сезон",12-1&gt;MOD(MONTH('06_Сеть_и_дети'!BN$3)-9,12),FALSE),'19_Расчет_аналитики'!BN419*CapacityAge12*'19_Расчет_аналитики'!$F$211,0)</f>
        <v/>
      </c>
      <c r="BO531">
        <f>IF(IF('01_Вводные'!$B$296="Новый сезон",12-1&gt;MOD(MONTH('06_Сеть_и_дети'!BO$3)-9,12),FALSE),'19_Расчет_аналитики'!BO419*CapacityAge12*'19_Расчет_аналитики'!$F$211,0)</f>
        <v/>
      </c>
    </row>
    <row r="532">
      <c r="B532">
        <f>IF(IF('01_Вводные'!$B$296="Новый сезон",TRUE,TRUE),'06_Сеть_и_дети'!B65*CapacityAge13*'19_Расчет_аналитики'!$F$211,0)</f>
        <v/>
      </c>
      <c r="C532">
        <f>IF(IF('01_Вводные'!$B$296="Новый сезон",TRUE,TRUE),'06_Сеть_и_дети'!C65*CapacityAge13*'19_Расчет_аналитики'!$F$211,0)</f>
        <v/>
      </c>
      <c r="D532">
        <f>IF(IF('01_Вводные'!$B$296="Новый сезон",TRUE,TRUE),'06_Сеть_и_дети'!D65*CapacityAge13*'19_Расчет_аналитики'!$F$211,0)</f>
        <v/>
      </c>
      <c r="E532">
        <f>IF(IF('01_Вводные'!$B$296="Новый сезон",TRUE,TRUE),'06_Сеть_и_дети'!E65*CapacityAge13*'19_Расчет_аналитики'!$F$211,0)</f>
        <v/>
      </c>
      <c r="F532">
        <f>IF(IF('01_Вводные'!$B$296="Новый сезон",TRUE,TRUE),'06_Сеть_и_дети'!F65*CapacityAge13*'19_Расчет_аналитики'!$F$211,0)</f>
        <v/>
      </c>
      <c r="G532">
        <f>IF(IF('01_Вводные'!$B$296="Новый сезон",TRUE,TRUE),'06_Сеть_и_дети'!G65*CapacityAge13*'19_Расчет_аналитики'!$F$211,0)</f>
        <v/>
      </c>
      <c r="H532">
        <f>IF(IF('01_Вводные'!$B$296="Новый сезон",TRUE,TRUE),'06_Сеть_и_дети'!H65*CapacityAge13*'19_Расчет_аналитики'!$F$211,0)</f>
        <v/>
      </c>
      <c r="I532">
        <f>IF(IF('01_Вводные'!$B$296="Новый сезон",TRUE,TRUE),'06_Сеть_и_дети'!I65*CapacityAge13*'19_Расчет_аналитики'!$F$211,0)</f>
        <v/>
      </c>
      <c r="J532">
        <f>IF(IF('01_Вводные'!$B$296="Новый сезон",TRUE,TRUE),'06_Сеть_и_дети'!J65*CapacityAge13*'19_Расчет_аналитики'!$F$211,0)</f>
        <v/>
      </c>
      <c r="K532">
        <f>IF(IF('01_Вводные'!$B$296="Новый сезон",TRUE,TRUE),'06_Сеть_и_дети'!K65*CapacityAge13*'19_Расчет_аналитики'!$F$211,0)</f>
        <v/>
      </c>
      <c r="L532">
        <f>IF(IF('01_Вводные'!$B$296="Новый сезон",TRUE,TRUE),'06_Сеть_и_дети'!L65*CapacityAge13*'19_Расчет_аналитики'!$F$211,0)</f>
        <v/>
      </c>
      <c r="M532">
        <f>IF(IF('01_Вводные'!$B$296="Новый сезон",TRUE,TRUE),'06_Сеть_и_дети'!M65*CapacityAge13*'19_Расчет_аналитики'!$F$211,0)</f>
        <v/>
      </c>
      <c r="N532">
        <f>IF(IF('01_Вводные'!$B$296="Новый сезон",TRUE,TRUE),'19_Расчет_аналитики'!N420*CapacityAge13*'19_Расчет_аналитики'!$F$211,0)</f>
        <v/>
      </c>
      <c r="O532">
        <f>IF(IF('01_Вводные'!$B$296="Новый сезон",TRUE,TRUE),'19_Расчет_аналитики'!O420*CapacityAge13*'19_Расчет_аналитики'!$F$211,0)</f>
        <v/>
      </c>
      <c r="P532">
        <f>IF(IF('01_Вводные'!$B$296="Новый сезон",TRUE,TRUE),'19_Расчет_аналитики'!P420*CapacityAge13*'19_Расчет_аналитики'!$F$211,0)</f>
        <v/>
      </c>
      <c r="Q532">
        <f>IF(IF('01_Вводные'!$B$296="Новый сезон",TRUE,TRUE),'19_Расчет_аналитики'!Q420*CapacityAge13*'19_Расчет_аналитики'!$F$211,0)</f>
        <v/>
      </c>
      <c r="R532">
        <f>IF(IF('01_Вводные'!$B$296="Новый сезон",TRUE,TRUE),'19_Расчет_аналитики'!R420*CapacityAge13*'19_Расчет_аналитики'!$F$211,0)</f>
        <v/>
      </c>
      <c r="S532">
        <f>IF(IF('01_Вводные'!$B$296="Новый сезон",TRUE,TRUE),'19_Расчет_аналитики'!S420*CapacityAge13*'19_Расчет_аналитики'!$F$211,0)</f>
        <v/>
      </c>
      <c r="T532">
        <f>IF(IF('01_Вводные'!$B$296="Новый сезон",TRUE,TRUE),'19_Расчет_аналитики'!T420*CapacityAge13*'19_Расчет_аналитики'!$F$211,0)</f>
        <v/>
      </c>
      <c r="U532">
        <f>IF(IF('01_Вводные'!$B$296="Новый сезон",TRUE,TRUE),'19_Расчет_аналитики'!U420*CapacityAge13*'19_Расчет_аналитики'!$F$211,0)</f>
        <v/>
      </c>
      <c r="V532">
        <f>IF(IF('01_Вводные'!$B$296="Новый сезон",TRUE,TRUE),'19_Расчет_аналитики'!V420*CapacityAge13*'19_Расчет_аналитики'!$F$211,0)</f>
        <v/>
      </c>
      <c r="W532">
        <f>IF(IF('01_Вводные'!$B$296="Новый сезон",TRUE,TRUE),'19_Расчет_аналитики'!W420*CapacityAge13*'19_Расчет_аналитики'!$F$211,0)</f>
        <v/>
      </c>
      <c r="X532">
        <f>IF(IF('01_Вводные'!$B$296="Новый сезон",TRUE,TRUE),'19_Расчет_аналитики'!X420*CapacityAge13*'19_Расчет_аналитики'!$F$211,0)</f>
        <v/>
      </c>
      <c r="Y532">
        <f>IF(IF('01_Вводные'!$B$296="Новый сезон",TRUE,TRUE),'19_Расчет_аналитики'!Y420*CapacityAge13*'19_Расчет_аналитики'!$F$211,0)</f>
        <v/>
      </c>
      <c r="Z532">
        <f>IF(IF('01_Вводные'!$B$296="Новый сезон",TRUE,TRUE),'19_Расчет_аналитики'!Z420*CapacityAge13*'19_Расчет_аналитики'!$F$211,0)</f>
        <v/>
      </c>
      <c r="AA532">
        <f>IF(IF('01_Вводные'!$B$296="Новый сезон",TRUE,TRUE),'19_Расчет_аналитики'!AA420*CapacityAge13*'19_Расчет_аналитики'!$F$211,0)</f>
        <v/>
      </c>
      <c r="AB532">
        <f>IF(IF('01_Вводные'!$B$296="Новый сезон",TRUE,TRUE),'19_Расчет_аналитики'!AB420*CapacityAge13*'19_Расчет_аналитики'!$F$211,0)</f>
        <v/>
      </c>
      <c r="AC532">
        <f>IF(IF('01_Вводные'!$B$296="Новый сезон",TRUE,TRUE),'19_Расчет_аналитики'!AC420*CapacityAge13*'19_Расчет_аналитики'!$F$211,0)</f>
        <v/>
      </c>
      <c r="AD532">
        <f>IF(IF('01_Вводные'!$B$296="Новый сезон",TRUE,TRUE),'19_Расчет_аналитики'!AD420*CapacityAge13*'19_Расчет_аналитики'!$F$211,0)</f>
        <v/>
      </c>
      <c r="AE532">
        <f>IF(IF('01_Вводные'!$B$296="Новый сезон",TRUE,TRUE),'19_Расчет_аналитики'!AE420*CapacityAge13*'19_Расчет_аналитики'!$F$211,0)</f>
        <v/>
      </c>
      <c r="AF532">
        <f>IF(IF('01_Вводные'!$B$296="Новый сезон",TRUE,TRUE),'19_Расчет_аналитики'!AF420*CapacityAge13*'19_Расчет_аналитики'!$F$211,0)</f>
        <v/>
      </c>
      <c r="AG532">
        <f>IF(IF('01_Вводные'!$B$296="Новый сезон",TRUE,TRUE),'19_Расчет_аналитики'!AG420*CapacityAge13*'19_Расчет_аналитики'!$F$211,0)</f>
        <v/>
      </c>
      <c r="AH532">
        <f>IF(IF('01_Вводные'!$B$296="Новый сезон",TRUE,TRUE),'19_Расчет_аналитики'!AH420*CapacityAge13*'19_Расчет_аналитики'!$F$211,0)</f>
        <v/>
      </c>
      <c r="AI532">
        <f>IF(IF('01_Вводные'!$B$296="Новый сезон",TRUE,TRUE),'19_Расчет_аналитики'!AI420*CapacityAge13*'19_Расчет_аналитики'!$F$211,0)</f>
        <v/>
      </c>
      <c r="AJ532">
        <f>IF(IF('01_Вводные'!$B$296="Новый сезон",TRUE,TRUE),'19_Расчет_аналитики'!AJ420*CapacityAge13*'19_Расчет_аналитики'!$F$211,0)</f>
        <v/>
      </c>
      <c r="AK532">
        <f>IF(IF('01_Вводные'!$B$296="Новый сезон",TRUE,TRUE),'19_Расчет_аналитики'!AK420*CapacityAge13*'19_Расчет_аналитики'!$F$211,0)</f>
        <v/>
      </c>
      <c r="AL532">
        <f>IF(IF('01_Вводные'!$B$296="Новый сезон",TRUE,TRUE),'19_Расчет_аналитики'!AL420*CapacityAge13*'19_Расчет_аналитики'!$F$211,0)</f>
        <v/>
      </c>
      <c r="AM532">
        <f>IF(IF('01_Вводные'!$B$296="Новый сезон",TRUE,TRUE),'19_Расчет_аналитики'!AM420*CapacityAge13*'19_Расчет_аналитики'!$F$211,0)</f>
        <v/>
      </c>
      <c r="AN532">
        <f>IF(IF('01_Вводные'!$B$296="Новый сезон",TRUE,TRUE),'19_Расчет_аналитики'!AN420*CapacityAge13*'19_Расчет_аналитики'!$F$211,0)</f>
        <v/>
      </c>
      <c r="AO532">
        <f>IF(IF('01_Вводные'!$B$296="Новый сезон",TRUE,TRUE),'19_Расчет_аналитики'!AO420*CapacityAge13*'19_Расчет_аналитики'!$F$211,0)</f>
        <v/>
      </c>
      <c r="AP532">
        <f>IF(IF('01_Вводные'!$B$296="Новый сезон",TRUE,TRUE),'19_Расчет_аналитики'!AP420*CapacityAge13*'19_Расчет_аналитики'!$F$211,0)</f>
        <v/>
      </c>
      <c r="AQ532">
        <f>IF(IF('01_Вводные'!$B$296="Новый сезон",TRUE,TRUE),'19_Расчет_аналитики'!AQ420*CapacityAge13*'19_Расчет_аналитики'!$F$211,0)</f>
        <v/>
      </c>
      <c r="AR532">
        <f>IF(IF('01_Вводные'!$B$296="Новый сезон",TRUE,TRUE),'19_Расчет_аналитики'!AR420*CapacityAge13*'19_Расчет_аналитики'!$F$211,0)</f>
        <v/>
      </c>
      <c r="AS532">
        <f>IF(IF('01_Вводные'!$B$296="Новый сезон",TRUE,TRUE),'19_Расчет_аналитики'!AS420*CapacityAge13*'19_Расчет_аналитики'!$F$211,0)</f>
        <v/>
      </c>
      <c r="AT532">
        <f>IF(IF('01_Вводные'!$B$296="Новый сезон",TRUE,TRUE),'19_Расчет_аналитики'!AT420*CapacityAge13*'19_Расчет_аналитики'!$F$211,0)</f>
        <v/>
      </c>
      <c r="AU532">
        <f>IF(IF('01_Вводные'!$B$296="Новый сезон",TRUE,TRUE),'19_Расчет_аналитики'!AU420*CapacityAge13*'19_Расчет_аналитики'!$F$211,0)</f>
        <v/>
      </c>
      <c r="AV532">
        <f>IF(IF('01_Вводные'!$B$296="Новый сезон",TRUE,TRUE),'19_Расчет_аналитики'!AV420*CapacityAge13*'19_Расчет_аналитики'!$F$211,0)</f>
        <v/>
      </c>
      <c r="AW532">
        <f>IF(IF('01_Вводные'!$B$296="Новый сезон",TRUE,TRUE),'19_Расчет_аналитики'!AW420*CapacityAge13*'19_Расчет_аналитики'!$F$211,0)</f>
        <v/>
      </c>
      <c r="AX532">
        <f>IF(IF('01_Вводные'!$B$296="Новый сезон",TRUE,TRUE),'19_Расчет_аналитики'!AX420*CapacityAge13*'19_Расчет_аналитики'!$F$211,0)</f>
        <v/>
      </c>
      <c r="AY532">
        <f>IF(IF('01_Вводные'!$B$296="Новый сезон",TRUE,TRUE),'19_Расчет_аналитики'!AY420*CapacityAge13*'19_Расчет_аналитики'!$F$211,0)</f>
        <v/>
      </c>
      <c r="AZ532">
        <f>IF(IF('01_Вводные'!$B$296="Новый сезон",TRUE,TRUE),'19_Расчет_аналитики'!AZ420*CapacityAge13*'19_Расчет_аналитики'!$F$211,0)</f>
        <v/>
      </c>
      <c r="BA532">
        <f>IF(IF('01_Вводные'!$B$296="Новый сезон",TRUE,TRUE),'19_Расчет_аналитики'!BA420*CapacityAge13*'19_Расчет_аналитики'!$F$211,0)</f>
        <v/>
      </c>
      <c r="BB532">
        <f>IF(IF('01_Вводные'!$B$296="Новый сезон",TRUE,TRUE),'19_Расчет_аналитики'!BB420*CapacityAge13*'19_Расчет_аналитики'!$F$211,0)</f>
        <v/>
      </c>
      <c r="BC532">
        <f>IF(IF('01_Вводные'!$B$296="Новый сезон",TRUE,TRUE),'19_Расчет_аналитики'!BC420*CapacityAge13*'19_Расчет_аналитики'!$F$211,0)</f>
        <v/>
      </c>
      <c r="BD532">
        <f>IF(IF('01_Вводные'!$B$296="Новый сезон",TRUE,TRUE),'19_Расчет_аналитики'!BD420*CapacityAge13*'19_Расчет_аналитики'!$F$211,0)</f>
        <v/>
      </c>
      <c r="BE532">
        <f>IF(IF('01_Вводные'!$B$296="Новый сезон",TRUE,TRUE),'19_Расчет_аналитики'!BE420*CapacityAge13*'19_Расчет_аналитики'!$F$211,0)</f>
        <v/>
      </c>
      <c r="BF532">
        <f>IF(IF('01_Вводные'!$B$296="Новый сезон",TRUE,TRUE),'19_Расчет_аналитики'!BF420*CapacityAge13*'19_Расчет_аналитики'!$F$211,0)</f>
        <v/>
      </c>
      <c r="BG532">
        <f>IF(IF('01_Вводные'!$B$296="Новый сезон",TRUE,TRUE),'19_Расчет_аналитики'!BG420*CapacityAge13*'19_Расчет_аналитики'!$F$211,0)</f>
        <v/>
      </c>
      <c r="BH532">
        <f>IF(IF('01_Вводные'!$B$296="Новый сезон",TRUE,TRUE),'19_Расчет_аналитики'!BH420*CapacityAge13*'19_Расчет_аналитики'!$F$211,0)</f>
        <v/>
      </c>
      <c r="BI532">
        <f>IF(IF('01_Вводные'!$B$296="Новый сезон",TRUE,TRUE),'19_Расчет_аналитики'!BI420*CapacityAge13*'19_Расчет_аналитики'!$F$211,0)</f>
        <v/>
      </c>
      <c r="BJ532">
        <f>IF(IF('01_Вводные'!$B$296="Новый сезон",TRUE,TRUE),'19_Расчет_аналитики'!BJ420*CapacityAge13*'19_Расчет_аналитики'!$F$211,0)</f>
        <v/>
      </c>
      <c r="BK532">
        <f>IF(IF('01_Вводные'!$B$296="Новый сезон",TRUE,TRUE),'19_Расчет_аналитики'!BK420*CapacityAge13*'19_Расчет_аналитики'!$F$211,0)</f>
        <v/>
      </c>
      <c r="BL532">
        <f>IF(IF('01_Вводные'!$B$296="Новый сезон",TRUE,TRUE),'19_Расчет_аналитики'!BL420*CapacityAge13*'19_Расчет_аналитики'!$F$211,0)</f>
        <v/>
      </c>
      <c r="BM532">
        <f>IF(IF('01_Вводные'!$B$296="Новый сезон",TRUE,TRUE),'19_Расчет_аналитики'!BM420*CapacityAge13*'19_Расчет_аналитики'!$F$211,0)</f>
        <v/>
      </c>
      <c r="BN532">
        <f>IF(IF('01_Вводные'!$B$296="Новый сезон",TRUE,TRUE),'19_Расчет_аналитики'!BN420*CapacityAge13*'19_Расчет_аналитики'!$F$211,0)</f>
        <v/>
      </c>
      <c r="BO532">
        <f>IF(IF('01_Вводные'!$B$296="Новый сезон",TRUE,TRUE),'19_Расчет_аналитики'!BO420*CapacityAge13*'19_Расчет_аналитики'!$F$211,0)</f>
        <v/>
      </c>
    </row>
    <row r="533">
      <c r="B533">
        <f>IF(IF('01_Вводные'!$B$296="Новый сезон",TRUE,TRUE),'06_Сеть_и_дети'!B66*CapacityAge14*'19_Расчет_аналитики'!$F$211,0)</f>
        <v/>
      </c>
      <c r="C533">
        <f>IF(IF('01_Вводные'!$B$296="Новый сезон",TRUE,TRUE),'06_Сеть_и_дети'!C66*CapacityAge14*'19_Расчет_аналитики'!$F$211,0)</f>
        <v/>
      </c>
      <c r="D533">
        <f>IF(IF('01_Вводные'!$B$296="Новый сезон",TRUE,TRUE),'06_Сеть_и_дети'!D66*CapacityAge14*'19_Расчет_аналитики'!$F$211,0)</f>
        <v/>
      </c>
      <c r="E533">
        <f>IF(IF('01_Вводные'!$B$296="Новый сезон",TRUE,TRUE),'06_Сеть_и_дети'!E66*CapacityAge14*'19_Расчет_аналитики'!$F$211,0)</f>
        <v/>
      </c>
      <c r="F533">
        <f>IF(IF('01_Вводные'!$B$296="Новый сезон",TRUE,TRUE),'06_Сеть_и_дети'!F66*CapacityAge14*'19_Расчет_аналитики'!$F$211,0)</f>
        <v/>
      </c>
      <c r="G533">
        <f>IF(IF('01_Вводные'!$B$296="Новый сезон",TRUE,TRUE),'06_Сеть_и_дети'!G66*CapacityAge14*'19_Расчет_аналитики'!$F$211,0)</f>
        <v/>
      </c>
      <c r="H533">
        <f>IF(IF('01_Вводные'!$B$296="Новый сезон",TRUE,TRUE),'06_Сеть_и_дети'!H66*CapacityAge14*'19_Расчет_аналитики'!$F$211,0)</f>
        <v/>
      </c>
      <c r="I533">
        <f>IF(IF('01_Вводные'!$B$296="Новый сезон",TRUE,TRUE),'06_Сеть_и_дети'!I66*CapacityAge14*'19_Расчет_аналитики'!$F$211,0)</f>
        <v/>
      </c>
      <c r="J533">
        <f>IF(IF('01_Вводные'!$B$296="Новый сезон",TRUE,TRUE),'06_Сеть_и_дети'!J66*CapacityAge14*'19_Расчет_аналитики'!$F$211,0)</f>
        <v/>
      </c>
      <c r="K533">
        <f>IF(IF('01_Вводные'!$B$296="Новый сезон",TRUE,TRUE),'06_Сеть_и_дети'!K66*CapacityAge14*'19_Расчет_аналитики'!$F$211,0)</f>
        <v/>
      </c>
      <c r="L533">
        <f>IF(IF('01_Вводные'!$B$296="Новый сезон",TRUE,TRUE),'06_Сеть_и_дети'!L66*CapacityAge14*'19_Расчет_аналитики'!$F$211,0)</f>
        <v/>
      </c>
      <c r="M533">
        <f>IF(IF('01_Вводные'!$B$296="Новый сезон",TRUE,TRUE),'06_Сеть_и_дети'!M66*CapacityAge14*'19_Расчет_аналитики'!$F$211,0)</f>
        <v/>
      </c>
      <c r="N533">
        <f>IF(IF('01_Вводные'!$B$296="Новый сезон",TRUE,TRUE),'06_Сеть_и_дети'!N66*CapacityAge14*'19_Расчет_аналитики'!$F$211,0)</f>
        <v/>
      </c>
      <c r="O533">
        <f>IF(IF('01_Вводные'!$B$296="Новый сезон",TRUE,TRUE),'19_Расчет_аналитики'!O421*CapacityAge14*'19_Расчет_аналитики'!$F$211,0)</f>
        <v/>
      </c>
      <c r="P533">
        <f>IF(IF('01_Вводные'!$B$296="Новый сезон",TRUE,TRUE),'19_Расчет_аналитики'!P421*CapacityAge14*'19_Расчет_аналитики'!$F$211,0)</f>
        <v/>
      </c>
      <c r="Q533">
        <f>IF(IF('01_Вводные'!$B$296="Новый сезон",TRUE,TRUE),'19_Расчет_аналитики'!Q421*CapacityAge14*'19_Расчет_аналитики'!$F$211,0)</f>
        <v/>
      </c>
      <c r="R533">
        <f>IF(IF('01_Вводные'!$B$296="Новый сезон",TRUE,TRUE),'19_Расчет_аналитики'!R421*CapacityAge14*'19_Расчет_аналитики'!$F$211,0)</f>
        <v/>
      </c>
      <c r="S533">
        <f>IF(IF('01_Вводные'!$B$296="Новый сезон",TRUE,TRUE),'19_Расчет_аналитики'!S421*CapacityAge14*'19_Расчет_аналитики'!$F$211,0)</f>
        <v/>
      </c>
      <c r="T533">
        <f>IF(IF('01_Вводные'!$B$296="Новый сезон",TRUE,TRUE),'19_Расчет_аналитики'!T421*CapacityAge14*'19_Расчет_аналитики'!$F$211,0)</f>
        <v/>
      </c>
      <c r="U533">
        <f>IF(IF('01_Вводные'!$B$296="Новый сезон",TRUE,TRUE),'19_Расчет_аналитики'!U421*CapacityAge14*'19_Расчет_аналитики'!$F$211,0)</f>
        <v/>
      </c>
      <c r="V533">
        <f>IF(IF('01_Вводные'!$B$296="Новый сезон",TRUE,TRUE),'19_Расчет_аналитики'!V421*CapacityAge14*'19_Расчет_аналитики'!$F$211,0)</f>
        <v/>
      </c>
      <c r="W533">
        <f>IF(IF('01_Вводные'!$B$296="Новый сезон",TRUE,TRUE),'19_Расчет_аналитики'!W421*CapacityAge14*'19_Расчет_аналитики'!$F$211,0)</f>
        <v/>
      </c>
      <c r="X533">
        <f>IF(IF('01_Вводные'!$B$296="Новый сезон",TRUE,TRUE),'19_Расчет_аналитики'!X421*CapacityAge14*'19_Расчет_аналитики'!$F$211,0)</f>
        <v/>
      </c>
      <c r="Y533">
        <f>IF(IF('01_Вводные'!$B$296="Новый сезон",TRUE,TRUE),'19_Расчет_аналитики'!Y421*CapacityAge14*'19_Расчет_аналитики'!$F$211,0)</f>
        <v/>
      </c>
      <c r="Z533">
        <f>IF(IF('01_Вводные'!$B$296="Новый сезон",TRUE,TRUE),'19_Расчет_аналитики'!Z421*CapacityAge14*'19_Расчет_аналитики'!$F$211,0)</f>
        <v/>
      </c>
      <c r="AA533">
        <f>IF(IF('01_Вводные'!$B$296="Новый сезон",TRUE,TRUE),'19_Расчет_аналитики'!AA421*CapacityAge14*'19_Расчет_аналитики'!$F$211,0)</f>
        <v/>
      </c>
      <c r="AB533">
        <f>IF(IF('01_Вводные'!$B$296="Новый сезон",TRUE,TRUE),'19_Расчет_аналитики'!AB421*CapacityAge14*'19_Расчет_аналитики'!$F$211,0)</f>
        <v/>
      </c>
      <c r="AC533">
        <f>IF(IF('01_Вводные'!$B$296="Новый сезон",TRUE,TRUE),'19_Расчет_аналитики'!AC421*CapacityAge14*'19_Расчет_аналитики'!$F$211,0)</f>
        <v/>
      </c>
      <c r="AD533">
        <f>IF(IF('01_Вводные'!$B$296="Новый сезон",TRUE,TRUE),'19_Расчет_аналитики'!AD421*CapacityAge14*'19_Расчет_аналитики'!$F$211,0)</f>
        <v/>
      </c>
      <c r="AE533">
        <f>IF(IF('01_Вводные'!$B$296="Новый сезон",TRUE,TRUE),'19_Расчет_аналитики'!AE421*CapacityAge14*'19_Расчет_аналитики'!$F$211,0)</f>
        <v/>
      </c>
      <c r="AF533">
        <f>IF(IF('01_Вводные'!$B$296="Новый сезон",TRUE,TRUE),'19_Расчет_аналитики'!AF421*CapacityAge14*'19_Расчет_аналитики'!$F$211,0)</f>
        <v/>
      </c>
      <c r="AG533">
        <f>IF(IF('01_Вводные'!$B$296="Новый сезон",TRUE,TRUE),'19_Расчет_аналитики'!AG421*CapacityAge14*'19_Расчет_аналитики'!$F$211,0)</f>
        <v/>
      </c>
      <c r="AH533">
        <f>IF(IF('01_Вводные'!$B$296="Новый сезон",TRUE,TRUE),'19_Расчет_аналитики'!AH421*CapacityAge14*'19_Расчет_аналитики'!$F$211,0)</f>
        <v/>
      </c>
      <c r="AI533">
        <f>IF(IF('01_Вводные'!$B$296="Новый сезон",TRUE,TRUE),'19_Расчет_аналитики'!AI421*CapacityAge14*'19_Расчет_аналитики'!$F$211,0)</f>
        <v/>
      </c>
      <c r="AJ533">
        <f>IF(IF('01_Вводные'!$B$296="Новый сезон",TRUE,TRUE),'19_Расчет_аналитики'!AJ421*CapacityAge14*'19_Расчет_аналитики'!$F$211,0)</f>
        <v/>
      </c>
      <c r="AK533">
        <f>IF(IF('01_Вводные'!$B$296="Новый сезон",TRUE,TRUE),'19_Расчет_аналитики'!AK421*CapacityAge14*'19_Расчет_аналитики'!$F$211,0)</f>
        <v/>
      </c>
      <c r="AL533">
        <f>IF(IF('01_Вводные'!$B$296="Новый сезон",TRUE,TRUE),'19_Расчет_аналитики'!AL421*CapacityAge14*'19_Расчет_аналитики'!$F$211,0)</f>
        <v/>
      </c>
      <c r="AM533">
        <f>IF(IF('01_Вводные'!$B$296="Новый сезон",TRUE,TRUE),'19_Расчет_аналитики'!AM421*CapacityAge14*'19_Расчет_аналитики'!$F$211,0)</f>
        <v/>
      </c>
      <c r="AN533">
        <f>IF(IF('01_Вводные'!$B$296="Новый сезон",TRUE,TRUE),'19_Расчет_аналитики'!AN421*CapacityAge14*'19_Расчет_аналитики'!$F$211,0)</f>
        <v/>
      </c>
      <c r="AO533">
        <f>IF(IF('01_Вводные'!$B$296="Новый сезон",TRUE,TRUE),'19_Расчет_аналитики'!AO421*CapacityAge14*'19_Расчет_аналитики'!$F$211,0)</f>
        <v/>
      </c>
      <c r="AP533">
        <f>IF(IF('01_Вводные'!$B$296="Новый сезон",TRUE,TRUE),'19_Расчет_аналитики'!AP421*CapacityAge14*'19_Расчет_аналитики'!$F$211,0)</f>
        <v/>
      </c>
      <c r="AQ533">
        <f>IF(IF('01_Вводные'!$B$296="Новый сезон",TRUE,TRUE),'19_Расчет_аналитики'!AQ421*CapacityAge14*'19_Расчет_аналитики'!$F$211,0)</f>
        <v/>
      </c>
      <c r="AR533">
        <f>IF(IF('01_Вводные'!$B$296="Новый сезон",TRUE,TRUE),'19_Расчет_аналитики'!AR421*CapacityAge14*'19_Расчет_аналитики'!$F$211,0)</f>
        <v/>
      </c>
      <c r="AS533">
        <f>IF(IF('01_Вводные'!$B$296="Новый сезон",TRUE,TRUE),'19_Расчет_аналитики'!AS421*CapacityAge14*'19_Расчет_аналитики'!$F$211,0)</f>
        <v/>
      </c>
      <c r="AT533">
        <f>IF(IF('01_Вводные'!$B$296="Новый сезон",TRUE,TRUE),'19_Расчет_аналитики'!AT421*CapacityAge14*'19_Расчет_аналитики'!$F$211,0)</f>
        <v/>
      </c>
      <c r="AU533">
        <f>IF(IF('01_Вводные'!$B$296="Новый сезон",TRUE,TRUE),'19_Расчет_аналитики'!AU421*CapacityAge14*'19_Расчет_аналитики'!$F$211,0)</f>
        <v/>
      </c>
      <c r="AV533">
        <f>IF(IF('01_Вводные'!$B$296="Новый сезон",TRUE,TRUE),'19_Расчет_аналитики'!AV421*CapacityAge14*'19_Расчет_аналитики'!$F$211,0)</f>
        <v/>
      </c>
      <c r="AW533">
        <f>IF(IF('01_Вводные'!$B$296="Новый сезон",TRUE,TRUE),'19_Расчет_аналитики'!AW421*CapacityAge14*'19_Расчет_аналитики'!$F$211,0)</f>
        <v/>
      </c>
      <c r="AX533">
        <f>IF(IF('01_Вводные'!$B$296="Новый сезон",TRUE,TRUE),'19_Расчет_аналитики'!AX421*CapacityAge14*'19_Расчет_аналитики'!$F$211,0)</f>
        <v/>
      </c>
      <c r="AY533">
        <f>IF(IF('01_Вводные'!$B$296="Новый сезон",TRUE,TRUE),'19_Расчет_аналитики'!AY421*CapacityAge14*'19_Расчет_аналитики'!$F$211,0)</f>
        <v/>
      </c>
      <c r="AZ533">
        <f>IF(IF('01_Вводные'!$B$296="Новый сезон",TRUE,TRUE),'19_Расчет_аналитики'!AZ421*CapacityAge14*'19_Расчет_аналитики'!$F$211,0)</f>
        <v/>
      </c>
      <c r="BA533">
        <f>IF(IF('01_Вводные'!$B$296="Новый сезон",TRUE,TRUE),'19_Расчет_аналитики'!BA421*CapacityAge14*'19_Расчет_аналитики'!$F$211,0)</f>
        <v/>
      </c>
      <c r="BB533">
        <f>IF(IF('01_Вводные'!$B$296="Новый сезон",TRUE,TRUE),'19_Расчет_аналитики'!BB421*CapacityAge14*'19_Расчет_аналитики'!$F$211,0)</f>
        <v/>
      </c>
      <c r="BC533">
        <f>IF(IF('01_Вводные'!$B$296="Новый сезон",TRUE,TRUE),'19_Расчет_аналитики'!BC421*CapacityAge14*'19_Расчет_аналитики'!$F$211,0)</f>
        <v/>
      </c>
      <c r="BD533">
        <f>IF(IF('01_Вводные'!$B$296="Новый сезон",TRUE,TRUE),'19_Расчет_аналитики'!BD421*CapacityAge14*'19_Расчет_аналитики'!$F$211,0)</f>
        <v/>
      </c>
      <c r="BE533">
        <f>IF(IF('01_Вводные'!$B$296="Новый сезон",TRUE,TRUE),'19_Расчет_аналитики'!BE421*CapacityAge14*'19_Расчет_аналитики'!$F$211,0)</f>
        <v/>
      </c>
      <c r="BF533">
        <f>IF(IF('01_Вводные'!$B$296="Новый сезон",TRUE,TRUE),'19_Расчет_аналитики'!BF421*CapacityAge14*'19_Расчет_аналитики'!$F$211,0)</f>
        <v/>
      </c>
      <c r="BG533">
        <f>IF(IF('01_Вводные'!$B$296="Новый сезон",TRUE,TRUE),'19_Расчет_аналитики'!BG421*CapacityAge14*'19_Расчет_аналитики'!$F$211,0)</f>
        <v/>
      </c>
      <c r="BH533">
        <f>IF(IF('01_Вводные'!$B$296="Новый сезон",TRUE,TRUE),'19_Расчет_аналитики'!BH421*CapacityAge14*'19_Расчет_аналитики'!$F$211,0)</f>
        <v/>
      </c>
      <c r="BI533">
        <f>IF(IF('01_Вводные'!$B$296="Новый сезон",TRUE,TRUE),'19_Расчет_аналитики'!BI421*CapacityAge14*'19_Расчет_аналитики'!$F$211,0)</f>
        <v/>
      </c>
      <c r="BJ533">
        <f>IF(IF('01_Вводные'!$B$296="Новый сезон",TRUE,TRUE),'19_Расчет_аналитики'!BJ421*CapacityAge14*'19_Расчет_аналитики'!$F$211,0)</f>
        <v/>
      </c>
      <c r="BK533">
        <f>IF(IF('01_Вводные'!$B$296="Новый сезон",TRUE,TRUE),'19_Расчет_аналитики'!BK421*CapacityAge14*'19_Расчет_аналитики'!$F$211,0)</f>
        <v/>
      </c>
      <c r="BL533">
        <f>IF(IF('01_Вводные'!$B$296="Новый сезон",TRUE,TRUE),'19_Расчет_аналитики'!BL421*CapacityAge14*'19_Расчет_аналитики'!$F$211,0)</f>
        <v/>
      </c>
      <c r="BM533">
        <f>IF(IF('01_Вводные'!$B$296="Новый сезон",TRUE,TRUE),'19_Расчет_аналитики'!BM421*CapacityAge14*'19_Расчет_аналитики'!$F$211,0)</f>
        <v/>
      </c>
      <c r="BN533">
        <f>IF(IF('01_Вводные'!$B$296="Новый сезон",TRUE,TRUE),'19_Расчет_аналитики'!BN421*CapacityAge14*'19_Расчет_аналитики'!$F$211,0)</f>
        <v/>
      </c>
      <c r="BO533">
        <f>IF(IF('01_Вводные'!$B$296="Новый сезон",TRUE,TRUE),'19_Расчет_аналитики'!BO421*CapacityAge14*'19_Расчет_аналитики'!$F$211,0)</f>
        <v/>
      </c>
    </row>
    <row r="534">
      <c r="B534">
        <f>IF(IF('01_Вводные'!$B$296="Новый сезон",TRUE,TRUE),'06_Сеть_и_дети'!B67*CapacityAge15*'19_Расчет_аналитики'!$F$211,0)</f>
        <v/>
      </c>
      <c r="C534">
        <f>IF(IF('01_Вводные'!$B$296="Новый сезон",TRUE,TRUE),'06_Сеть_и_дети'!C67*CapacityAge15*'19_Расчет_аналитики'!$F$211,0)</f>
        <v/>
      </c>
      <c r="D534">
        <f>IF(IF('01_Вводные'!$B$296="Новый сезон",TRUE,TRUE),'06_Сеть_и_дети'!D67*CapacityAge15*'19_Расчет_аналитики'!$F$211,0)</f>
        <v/>
      </c>
      <c r="E534">
        <f>IF(IF('01_Вводные'!$B$296="Новый сезон",TRUE,TRUE),'06_Сеть_и_дети'!E67*CapacityAge15*'19_Расчет_аналитики'!$F$211,0)</f>
        <v/>
      </c>
      <c r="F534">
        <f>IF(IF('01_Вводные'!$B$296="Новый сезон",TRUE,TRUE),'06_Сеть_и_дети'!F67*CapacityAge15*'19_Расчет_аналитики'!$F$211,0)</f>
        <v/>
      </c>
      <c r="G534">
        <f>IF(IF('01_Вводные'!$B$296="Новый сезон",TRUE,TRUE),'06_Сеть_и_дети'!G67*CapacityAge15*'19_Расчет_аналитики'!$F$211,0)</f>
        <v/>
      </c>
      <c r="H534">
        <f>IF(IF('01_Вводные'!$B$296="Новый сезон",TRUE,TRUE),'06_Сеть_и_дети'!H67*CapacityAge15*'19_Расчет_аналитики'!$F$211,0)</f>
        <v/>
      </c>
      <c r="I534">
        <f>IF(IF('01_Вводные'!$B$296="Новый сезон",TRUE,TRUE),'06_Сеть_и_дети'!I67*CapacityAge15*'19_Расчет_аналитики'!$F$211,0)</f>
        <v/>
      </c>
      <c r="J534">
        <f>IF(IF('01_Вводные'!$B$296="Новый сезон",TRUE,TRUE),'06_Сеть_и_дети'!J67*CapacityAge15*'19_Расчет_аналитики'!$F$211,0)</f>
        <v/>
      </c>
      <c r="K534">
        <f>IF(IF('01_Вводные'!$B$296="Новый сезон",TRUE,TRUE),'06_Сеть_и_дети'!K67*CapacityAge15*'19_Расчет_аналитики'!$F$211,0)</f>
        <v/>
      </c>
      <c r="L534">
        <f>IF(IF('01_Вводные'!$B$296="Новый сезон",TRUE,TRUE),'06_Сеть_и_дети'!L67*CapacityAge15*'19_Расчет_аналитики'!$F$211,0)</f>
        <v/>
      </c>
      <c r="M534">
        <f>IF(IF('01_Вводные'!$B$296="Новый сезон",TRUE,TRUE),'06_Сеть_и_дети'!M67*CapacityAge15*'19_Расчет_аналитики'!$F$211,0)</f>
        <v/>
      </c>
      <c r="N534">
        <f>IF(IF('01_Вводные'!$B$296="Новый сезон",TRUE,TRUE),'06_Сеть_и_дети'!N67*CapacityAge15*'19_Расчет_аналитики'!$F$211,0)</f>
        <v/>
      </c>
      <c r="O534">
        <f>IF(IF('01_Вводные'!$B$296="Новый сезон",TRUE,TRUE),'06_Сеть_и_дети'!O67*CapacityAge15*'19_Расчет_аналитики'!$F$211,0)</f>
        <v/>
      </c>
      <c r="P534">
        <f>IF(IF('01_Вводные'!$B$296="Новый сезон",TRUE,TRUE),'19_Расчет_аналитики'!P422*CapacityAge15*'19_Расчет_аналитики'!$F$211,0)</f>
        <v/>
      </c>
      <c r="Q534">
        <f>IF(IF('01_Вводные'!$B$296="Новый сезон",TRUE,TRUE),'19_Расчет_аналитики'!Q422*CapacityAge15*'19_Расчет_аналитики'!$F$211,0)</f>
        <v/>
      </c>
      <c r="R534">
        <f>IF(IF('01_Вводные'!$B$296="Новый сезон",TRUE,TRUE),'19_Расчет_аналитики'!R422*CapacityAge15*'19_Расчет_аналитики'!$F$211,0)</f>
        <v/>
      </c>
      <c r="S534">
        <f>IF(IF('01_Вводные'!$B$296="Новый сезон",TRUE,TRUE),'19_Расчет_аналитики'!S422*CapacityAge15*'19_Расчет_аналитики'!$F$211,0)</f>
        <v/>
      </c>
      <c r="T534">
        <f>IF(IF('01_Вводные'!$B$296="Новый сезон",TRUE,TRUE),'19_Расчет_аналитики'!T422*CapacityAge15*'19_Расчет_аналитики'!$F$211,0)</f>
        <v/>
      </c>
      <c r="U534">
        <f>IF(IF('01_Вводные'!$B$296="Новый сезон",TRUE,TRUE),'19_Расчет_аналитики'!U422*CapacityAge15*'19_Расчет_аналитики'!$F$211,0)</f>
        <v/>
      </c>
      <c r="V534">
        <f>IF(IF('01_Вводные'!$B$296="Новый сезон",TRUE,TRUE),'19_Расчет_аналитики'!V422*CapacityAge15*'19_Расчет_аналитики'!$F$211,0)</f>
        <v/>
      </c>
      <c r="W534">
        <f>IF(IF('01_Вводные'!$B$296="Новый сезон",TRUE,TRUE),'19_Расчет_аналитики'!W422*CapacityAge15*'19_Расчет_аналитики'!$F$211,0)</f>
        <v/>
      </c>
      <c r="X534">
        <f>IF(IF('01_Вводные'!$B$296="Новый сезон",TRUE,TRUE),'19_Расчет_аналитики'!X422*CapacityAge15*'19_Расчет_аналитики'!$F$211,0)</f>
        <v/>
      </c>
      <c r="Y534">
        <f>IF(IF('01_Вводные'!$B$296="Новый сезон",TRUE,TRUE),'19_Расчет_аналитики'!Y422*CapacityAge15*'19_Расчет_аналитики'!$F$211,0)</f>
        <v/>
      </c>
      <c r="Z534">
        <f>IF(IF('01_Вводные'!$B$296="Новый сезон",TRUE,TRUE),'19_Расчет_аналитики'!Z422*CapacityAge15*'19_Расчет_аналитики'!$F$211,0)</f>
        <v/>
      </c>
      <c r="AA534">
        <f>IF(IF('01_Вводные'!$B$296="Новый сезон",TRUE,TRUE),'19_Расчет_аналитики'!AA422*CapacityAge15*'19_Расчет_аналитики'!$F$211,0)</f>
        <v/>
      </c>
      <c r="AB534">
        <f>IF(IF('01_Вводные'!$B$296="Новый сезон",TRUE,TRUE),'19_Расчет_аналитики'!AB422*CapacityAge15*'19_Расчет_аналитики'!$F$211,0)</f>
        <v/>
      </c>
      <c r="AC534">
        <f>IF(IF('01_Вводные'!$B$296="Новый сезон",TRUE,TRUE),'19_Расчет_аналитики'!AC422*CapacityAge15*'19_Расчет_аналитики'!$F$211,0)</f>
        <v/>
      </c>
      <c r="AD534">
        <f>IF(IF('01_Вводные'!$B$296="Новый сезон",TRUE,TRUE),'19_Расчет_аналитики'!AD422*CapacityAge15*'19_Расчет_аналитики'!$F$211,0)</f>
        <v/>
      </c>
      <c r="AE534">
        <f>IF(IF('01_Вводные'!$B$296="Новый сезон",TRUE,TRUE),'19_Расчет_аналитики'!AE422*CapacityAge15*'19_Расчет_аналитики'!$F$211,0)</f>
        <v/>
      </c>
      <c r="AF534">
        <f>IF(IF('01_Вводные'!$B$296="Новый сезон",TRUE,TRUE),'19_Расчет_аналитики'!AF422*CapacityAge15*'19_Расчет_аналитики'!$F$211,0)</f>
        <v/>
      </c>
      <c r="AG534">
        <f>IF(IF('01_Вводные'!$B$296="Новый сезон",TRUE,TRUE),'19_Расчет_аналитики'!AG422*CapacityAge15*'19_Расчет_аналитики'!$F$211,0)</f>
        <v/>
      </c>
      <c r="AH534">
        <f>IF(IF('01_Вводные'!$B$296="Новый сезон",TRUE,TRUE),'19_Расчет_аналитики'!AH422*CapacityAge15*'19_Расчет_аналитики'!$F$211,0)</f>
        <v/>
      </c>
      <c r="AI534">
        <f>IF(IF('01_Вводные'!$B$296="Новый сезон",TRUE,TRUE),'19_Расчет_аналитики'!AI422*CapacityAge15*'19_Расчет_аналитики'!$F$211,0)</f>
        <v/>
      </c>
      <c r="AJ534">
        <f>IF(IF('01_Вводные'!$B$296="Новый сезон",TRUE,TRUE),'19_Расчет_аналитики'!AJ422*CapacityAge15*'19_Расчет_аналитики'!$F$211,0)</f>
        <v/>
      </c>
      <c r="AK534">
        <f>IF(IF('01_Вводные'!$B$296="Новый сезон",TRUE,TRUE),'19_Расчет_аналитики'!AK422*CapacityAge15*'19_Расчет_аналитики'!$F$211,0)</f>
        <v/>
      </c>
      <c r="AL534">
        <f>IF(IF('01_Вводные'!$B$296="Новый сезон",TRUE,TRUE),'19_Расчет_аналитики'!AL422*CapacityAge15*'19_Расчет_аналитики'!$F$211,0)</f>
        <v/>
      </c>
      <c r="AM534">
        <f>IF(IF('01_Вводные'!$B$296="Новый сезон",TRUE,TRUE),'19_Расчет_аналитики'!AM422*CapacityAge15*'19_Расчет_аналитики'!$F$211,0)</f>
        <v/>
      </c>
      <c r="AN534">
        <f>IF(IF('01_Вводные'!$B$296="Новый сезон",TRUE,TRUE),'19_Расчет_аналитики'!AN422*CapacityAge15*'19_Расчет_аналитики'!$F$211,0)</f>
        <v/>
      </c>
      <c r="AO534">
        <f>IF(IF('01_Вводные'!$B$296="Новый сезон",TRUE,TRUE),'19_Расчет_аналитики'!AO422*CapacityAge15*'19_Расчет_аналитики'!$F$211,0)</f>
        <v/>
      </c>
      <c r="AP534">
        <f>IF(IF('01_Вводные'!$B$296="Новый сезон",TRUE,TRUE),'19_Расчет_аналитики'!AP422*CapacityAge15*'19_Расчет_аналитики'!$F$211,0)</f>
        <v/>
      </c>
      <c r="AQ534">
        <f>IF(IF('01_Вводные'!$B$296="Новый сезон",TRUE,TRUE),'19_Расчет_аналитики'!AQ422*CapacityAge15*'19_Расчет_аналитики'!$F$211,0)</f>
        <v/>
      </c>
      <c r="AR534">
        <f>IF(IF('01_Вводные'!$B$296="Новый сезон",TRUE,TRUE),'19_Расчет_аналитики'!AR422*CapacityAge15*'19_Расчет_аналитики'!$F$211,0)</f>
        <v/>
      </c>
      <c r="AS534">
        <f>IF(IF('01_Вводные'!$B$296="Новый сезон",TRUE,TRUE),'19_Расчет_аналитики'!AS422*CapacityAge15*'19_Расчет_аналитики'!$F$211,0)</f>
        <v/>
      </c>
      <c r="AT534">
        <f>IF(IF('01_Вводные'!$B$296="Новый сезон",TRUE,TRUE),'19_Расчет_аналитики'!AT422*CapacityAge15*'19_Расчет_аналитики'!$F$211,0)</f>
        <v/>
      </c>
      <c r="AU534">
        <f>IF(IF('01_Вводные'!$B$296="Новый сезон",TRUE,TRUE),'19_Расчет_аналитики'!AU422*CapacityAge15*'19_Расчет_аналитики'!$F$211,0)</f>
        <v/>
      </c>
      <c r="AV534">
        <f>IF(IF('01_Вводные'!$B$296="Новый сезон",TRUE,TRUE),'19_Расчет_аналитики'!AV422*CapacityAge15*'19_Расчет_аналитики'!$F$211,0)</f>
        <v/>
      </c>
      <c r="AW534">
        <f>IF(IF('01_Вводные'!$B$296="Новый сезон",TRUE,TRUE),'19_Расчет_аналитики'!AW422*CapacityAge15*'19_Расчет_аналитики'!$F$211,0)</f>
        <v/>
      </c>
      <c r="AX534">
        <f>IF(IF('01_Вводные'!$B$296="Новый сезон",TRUE,TRUE),'19_Расчет_аналитики'!AX422*CapacityAge15*'19_Расчет_аналитики'!$F$211,0)</f>
        <v/>
      </c>
      <c r="AY534">
        <f>IF(IF('01_Вводные'!$B$296="Новый сезон",TRUE,TRUE),'19_Расчет_аналитики'!AY422*CapacityAge15*'19_Расчет_аналитики'!$F$211,0)</f>
        <v/>
      </c>
      <c r="AZ534">
        <f>IF(IF('01_Вводные'!$B$296="Новый сезон",TRUE,TRUE),'19_Расчет_аналитики'!AZ422*CapacityAge15*'19_Расчет_аналитики'!$F$211,0)</f>
        <v/>
      </c>
      <c r="BA534">
        <f>IF(IF('01_Вводные'!$B$296="Новый сезон",TRUE,TRUE),'19_Расчет_аналитики'!BA422*CapacityAge15*'19_Расчет_аналитики'!$F$211,0)</f>
        <v/>
      </c>
      <c r="BB534">
        <f>IF(IF('01_Вводные'!$B$296="Новый сезон",TRUE,TRUE),'19_Расчет_аналитики'!BB422*CapacityAge15*'19_Расчет_аналитики'!$F$211,0)</f>
        <v/>
      </c>
      <c r="BC534">
        <f>IF(IF('01_Вводные'!$B$296="Новый сезон",TRUE,TRUE),'19_Расчет_аналитики'!BC422*CapacityAge15*'19_Расчет_аналитики'!$F$211,0)</f>
        <v/>
      </c>
      <c r="BD534">
        <f>IF(IF('01_Вводные'!$B$296="Новый сезон",TRUE,TRUE),'19_Расчет_аналитики'!BD422*CapacityAge15*'19_Расчет_аналитики'!$F$211,0)</f>
        <v/>
      </c>
      <c r="BE534">
        <f>IF(IF('01_Вводные'!$B$296="Новый сезон",TRUE,TRUE),'19_Расчет_аналитики'!BE422*CapacityAge15*'19_Расчет_аналитики'!$F$211,0)</f>
        <v/>
      </c>
      <c r="BF534">
        <f>IF(IF('01_Вводные'!$B$296="Новый сезон",TRUE,TRUE),'19_Расчет_аналитики'!BF422*CapacityAge15*'19_Расчет_аналитики'!$F$211,0)</f>
        <v/>
      </c>
      <c r="BG534">
        <f>IF(IF('01_Вводные'!$B$296="Новый сезон",TRUE,TRUE),'19_Расчет_аналитики'!BG422*CapacityAge15*'19_Расчет_аналитики'!$F$211,0)</f>
        <v/>
      </c>
      <c r="BH534">
        <f>IF(IF('01_Вводные'!$B$296="Новый сезон",TRUE,TRUE),'19_Расчет_аналитики'!BH422*CapacityAge15*'19_Расчет_аналитики'!$F$211,0)</f>
        <v/>
      </c>
      <c r="BI534">
        <f>IF(IF('01_Вводные'!$B$296="Новый сезон",TRUE,TRUE),'19_Расчет_аналитики'!BI422*CapacityAge15*'19_Расчет_аналитики'!$F$211,0)</f>
        <v/>
      </c>
      <c r="BJ534">
        <f>IF(IF('01_Вводные'!$B$296="Новый сезон",TRUE,TRUE),'19_Расчет_аналитики'!BJ422*CapacityAge15*'19_Расчет_аналитики'!$F$211,0)</f>
        <v/>
      </c>
      <c r="BK534">
        <f>IF(IF('01_Вводные'!$B$296="Новый сезон",TRUE,TRUE),'19_Расчет_аналитики'!BK422*CapacityAge15*'19_Расчет_аналитики'!$F$211,0)</f>
        <v/>
      </c>
      <c r="BL534">
        <f>IF(IF('01_Вводные'!$B$296="Новый сезон",TRUE,TRUE),'19_Расчет_аналитики'!BL422*CapacityAge15*'19_Расчет_аналитики'!$F$211,0)</f>
        <v/>
      </c>
      <c r="BM534">
        <f>IF(IF('01_Вводные'!$B$296="Новый сезон",TRUE,TRUE),'19_Расчет_аналитики'!BM422*CapacityAge15*'19_Расчет_аналитики'!$F$211,0)</f>
        <v/>
      </c>
      <c r="BN534">
        <f>IF(IF('01_Вводные'!$B$296="Новый сезон",TRUE,TRUE),'19_Расчет_аналитики'!BN422*CapacityAge15*'19_Расчет_аналитики'!$F$211,0)</f>
        <v/>
      </c>
      <c r="BO534">
        <f>IF(IF('01_Вводные'!$B$296="Новый сезон",TRUE,TRUE),'19_Расчет_аналитики'!BO422*CapacityAge15*'19_Расчет_аналитики'!$F$211,0)</f>
        <v/>
      </c>
    </row>
    <row r="535">
      <c r="B535">
        <f>IF(IF('01_Вводные'!$B$296="Новый сезон",TRUE,TRUE),'06_Сеть_и_дети'!B68*CapacityAge16*'19_Расчет_аналитики'!$F$211,0)</f>
        <v/>
      </c>
      <c r="C535">
        <f>IF(IF('01_Вводные'!$B$296="Новый сезон",TRUE,TRUE),'06_Сеть_и_дети'!C68*CapacityAge16*'19_Расчет_аналитики'!$F$211,0)</f>
        <v/>
      </c>
      <c r="D535">
        <f>IF(IF('01_Вводные'!$B$296="Новый сезон",TRUE,TRUE),'06_Сеть_и_дети'!D68*CapacityAge16*'19_Расчет_аналитики'!$F$211,0)</f>
        <v/>
      </c>
      <c r="E535">
        <f>IF(IF('01_Вводные'!$B$296="Новый сезон",TRUE,TRUE),'06_Сеть_и_дети'!E68*CapacityAge16*'19_Расчет_аналитики'!$F$211,0)</f>
        <v/>
      </c>
      <c r="F535">
        <f>IF(IF('01_Вводные'!$B$296="Новый сезон",TRUE,TRUE),'06_Сеть_и_дети'!F68*CapacityAge16*'19_Расчет_аналитики'!$F$211,0)</f>
        <v/>
      </c>
      <c r="G535">
        <f>IF(IF('01_Вводные'!$B$296="Новый сезон",TRUE,TRUE),'06_Сеть_и_дети'!G68*CapacityAge16*'19_Расчет_аналитики'!$F$211,0)</f>
        <v/>
      </c>
      <c r="H535">
        <f>IF(IF('01_Вводные'!$B$296="Новый сезон",TRUE,TRUE),'06_Сеть_и_дети'!H68*CapacityAge16*'19_Расчет_аналитики'!$F$211,0)</f>
        <v/>
      </c>
      <c r="I535">
        <f>IF(IF('01_Вводные'!$B$296="Новый сезон",TRUE,TRUE),'06_Сеть_и_дети'!I68*CapacityAge16*'19_Расчет_аналитики'!$F$211,0)</f>
        <v/>
      </c>
      <c r="J535">
        <f>IF(IF('01_Вводные'!$B$296="Новый сезон",TRUE,TRUE),'06_Сеть_и_дети'!J68*CapacityAge16*'19_Расчет_аналитики'!$F$211,0)</f>
        <v/>
      </c>
      <c r="K535">
        <f>IF(IF('01_Вводные'!$B$296="Новый сезон",TRUE,TRUE),'06_Сеть_и_дети'!K68*CapacityAge16*'19_Расчет_аналитики'!$F$211,0)</f>
        <v/>
      </c>
      <c r="L535">
        <f>IF(IF('01_Вводные'!$B$296="Новый сезон",TRUE,TRUE),'06_Сеть_и_дети'!L68*CapacityAge16*'19_Расчет_аналитики'!$F$211,0)</f>
        <v/>
      </c>
      <c r="M535">
        <f>IF(IF('01_Вводные'!$B$296="Новый сезон",TRUE,TRUE),'06_Сеть_и_дети'!M68*CapacityAge16*'19_Расчет_аналитики'!$F$211,0)</f>
        <v/>
      </c>
      <c r="N535">
        <f>IF(IF('01_Вводные'!$B$296="Новый сезон",TRUE,TRUE),'06_Сеть_и_дети'!N68*CapacityAge16*'19_Расчет_аналитики'!$F$211,0)</f>
        <v/>
      </c>
      <c r="O535">
        <f>IF(IF('01_Вводные'!$B$296="Новый сезон",TRUE,TRUE),'06_Сеть_и_дети'!O68*CapacityAge16*'19_Расчет_аналитики'!$F$211,0)</f>
        <v/>
      </c>
      <c r="P535">
        <f>IF(IF('01_Вводные'!$B$296="Новый сезон",TRUE,TRUE),'06_Сеть_и_дети'!P68*CapacityAge16*'19_Расчет_аналитики'!$F$211,0)</f>
        <v/>
      </c>
      <c r="Q535">
        <f>IF(IF('01_Вводные'!$B$296="Новый сезон",TRUE,TRUE),'19_Расчет_аналитики'!Q423*CapacityAge16*'19_Расчет_аналитики'!$F$211,0)</f>
        <v/>
      </c>
      <c r="R535">
        <f>IF(IF('01_Вводные'!$B$296="Новый сезон",TRUE,TRUE),'19_Расчет_аналитики'!R423*CapacityAge16*'19_Расчет_аналитики'!$F$211,0)</f>
        <v/>
      </c>
      <c r="S535">
        <f>IF(IF('01_Вводные'!$B$296="Новый сезон",TRUE,TRUE),'19_Расчет_аналитики'!S423*CapacityAge16*'19_Расчет_аналитики'!$F$211,0)</f>
        <v/>
      </c>
      <c r="T535">
        <f>IF(IF('01_Вводные'!$B$296="Новый сезон",TRUE,TRUE),'19_Расчет_аналитики'!T423*CapacityAge16*'19_Расчет_аналитики'!$F$211,0)</f>
        <v/>
      </c>
      <c r="U535">
        <f>IF(IF('01_Вводные'!$B$296="Новый сезон",TRUE,TRUE),'19_Расчет_аналитики'!U423*CapacityAge16*'19_Расчет_аналитики'!$F$211,0)</f>
        <v/>
      </c>
      <c r="V535">
        <f>IF(IF('01_Вводные'!$B$296="Новый сезон",TRUE,TRUE),'19_Расчет_аналитики'!V423*CapacityAge16*'19_Расчет_аналитики'!$F$211,0)</f>
        <v/>
      </c>
      <c r="W535">
        <f>IF(IF('01_Вводные'!$B$296="Новый сезон",TRUE,TRUE),'19_Расчет_аналитики'!W423*CapacityAge16*'19_Расчет_аналитики'!$F$211,0)</f>
        <v/>
      </c>
      <c r="X535">
        <f>IF(IF('01_Вводные'!$B$296="Новый сезон",TRUE,TRUE),'19_Расчет_аналитики'!X423*CapacityAge16*'19_Расчет_аналитики'!$F$211,0)</f>
        <v/>
      </c>
      <c r="Y535">
        <f>IF(IF('01_Вводные'!$B$296="Новый сезон",TRUE,TRUE),'19_Расчет_аналитики'!Y423*CapacityAge16*'19_Расчет_аналитики'!$F$211,0)</f>
        <v/>
      </c>
      <c r="Z535">
        <f>IF(IF('01_Вводные'!$B$296="Новый сезон",TRUE,TRUE),'19_Расчет_аналитики'!Z423*CapacityAge16*'19_Расчет_аналитики'!$F$211,0)</f>
        <v/>
      </c>
      <c r="AA535">
        <f>IF(IF('01_Вводные'!$B$296="Новый сезон",TRUE,TRUE),'19_Расчет_аналитики'!AA423*CapacityAge16*'19_Расчет_аналитики'!$F$211,0)</f>
        <v/>
      </c>
      <c r="AB535">
        <f>IF(IF('01_Вводные'!$B$296="Новый сезон",TRUE,TRUE),'19_Расчет_аналитики'!AB423*CapacityAge16*'19_Расчет_аналитики'!$F$211,0)</f>
        <v/>
      </c>
      <c r="AC535">
        <f>IF(IF('01_Вводные'!$B$296="Новый сезон",TRUE,TRUE),'19_Расчет_аналитики'!AC423*CapacityAge16*'19_Расчет_аналитики'!$F$211,0)</f>
        <v/>
      </c>
      <c r="AD535">
        <f>IF(IF('01_Вводные'!$B$296="Новый сезон",TRUE,TRUE),'19_Расчет_аналитики'!AD423*CapacityAge16*'19_Расчет_аналитики'!$F$211,0)</f>
        <v/>
      </c>
      <c r="AE535">
        <f>IF(IF('01_Вводные'!$B$296="Новый сезон",TRUE,TRUE),'19_Расчет_аналитики'!AE423*CapacityAge16*'19_Расчет_аналитики'!$F$211,0)</f>
        <v/>
      </c>
      <c r="AF535">
        <f>IF(IF('01_Вводные'!$B$296="Новый сезон",TRUE,TRUE),'19_Расчет_аналитики'!AF423*CapacityAge16*'19_Расчет_аналитики'!$F$211,0)</f>
        <v/>
      </c>
      <c r="AG535">
        <f>IF(IF('01_Вводные'!$B$296="Новый сезон",TRUE,TRUE),'19_Расчет_аналитики'!AG423*CapacityAge16*'19_Расчет_аналитики'!$F$211,0)</f>
        <v/>
      </c>
      <c r="AH535">
        <f>IF(IF('01_Вводные'!$B$296="Новый сезон",TRUE,TRUE),'19_Расчет_аналитики'!AH423*CapacityAge16*'19_Расчет_аналитики'!$F$211,0)</f>
        <v/>
      </c>
      <c r="AI535">
        <f>IF(IF('01_Вводные'!$B$296="Новый сезон",TRUE,TRUE),'19_Расчет_аналитики'!AI423*CapacityAge16*'19_Расчет_аналитики'!$F$211,0)</f>
        <v/>
      </c>
      <c r="AJ535">
        <f>IF(IF('01_Вводные'!$B$296="Новый сезон",TRUE,TRUE),'19_Расчет_аналитики'!AJ423*CapacityAge16*'19_Расчет_аналитики'!$F$211,0)</f>
        <v/>
      </c>
      <c r="AK535">
        <f>IF(IF('01_Вводные'!$B$296="Новый сезон",TRUE,TRUE),'19_Расчет_аналитики'!AK423*CapacityAge16*'19_Расчет_аналитики'!$F$211,0)</f>
        <v/>
      </c>
      <c r="AL535">
        <f>IF(IF('01_Вводные'!$B$296="Новый сезон",TRUE,TRUE),'19_Расчет_аналитики'!AL423*CapacityAge16*'19_Расчет_аналитики'!$F$211,0)</f>
        <v/>
      </c>
      <c r="AM535">
        <f>IF(IF('01_Вводные'!$B$296="Новый сезон",TRUE,TRUE),'19_Расчет_аналитики'!AM423*CapacityAge16*'19_Расчет_аналитики'!$F$211,0)</f>
        <v/>
      </c>
      <c r="AN535">
        <f>IF(IF('01_Вводные'!$B$296="Новый сезон",TRUE,TRUE),'19_Расчет_аналитики'!AN423*CapacityAge16*'19_Расчет_аналитики'!$F$211,0)</f>
        <v/>
      </c>
      <c r="AO535">
        <f>IF(IF('01_Вводные'!$B$296="Новый сезон",TRUE,TRUE),'19_Расчет_аналитики'!AO423*CapacityAge16*'19_Расчет_аналитики'!$F$211,0)</f>
        <v/>
      </c>
      <c r="AP535">
        <f>IF(IF('01_Вводные'!$B$296="Новый сезон",TRUE,TRUE),'19_Расчет_аналитики'!AP423*CapacityAge16*'19_Расчет_аналитики'!$F$211,0)</f>
        <v/>
      </c>
      <c r="AQ535">
        <f>IF(IF('01_Вводные'!$B$296="Новый сезон",TRUE,TRUE),'19_Расчет_аналитики'!AQ423*CapacityAge16*'19_Расчет_аналитики'!$F$211,0)</f>
        <v/>
      </c>
      <c r="AR535">
        <f>IF(IF('01_Вводные'!$B$296="Новый сезон",TRUE,TRUE),'19_Расчет_аналитики'!AR423*CapacityAge16*'19_Расчет_аналитики'!$F$211,0)</f>
        <v/>
      </c>
      <c r="AS535">
        <f>IF(IF('01_Вводные'!$B$296="Новый сезон",TRUE,TRUE),'19_Расчет_аналитики'!AS423*CapacityAge16*'19_Расчет_аналитики'!$F$211,0)</f>
        <v/>
      </c>
      <c r="AT535">
        <f>IF(IF('01_Вводные'!$B$296="Новый сезон",TRUE,TRUE),'19_Расчет_аналитики'!AT423*CapacityAge16*'19_Расчет_аналитики'!$F$211,0)</f>
        <v/>
      </c>
      <c r="AU535">
        <f>IF(IF('01_Вводные'!$B$296="Новый сезон",TRUE,TRUE),'19_Расчет_аналитики'!AU423*CapacityAge16*'19_Расчет_аналитики'!$F$211,0)</f>
        <v/>
      </c>
      <c r="AV535">
        <f>IF(IF('01_Вводные'!$B$296="Новый сезон",TRUE,TRUE),'19_Расчет_аналитики'!AV423*CapacityAge16*'19_Расчет_аналитики'!$F$211,0)</f>
        <v/>
      </c>
      <c r="AW535">
        <f>IF(IF('01_Вводные'!$B$296="Новый сезон",TRUE,TRUE),'19_Расчет_аналитики'!AW423*CapacityAge16*'19_Расчет_аналитики'!$F$211,0)</f>
        <v/>
      </c>
      <c r="AX535">
        <f>IF(IF('01_Вводные'!$B$296="Новый сезон",TRUE,TRUE),'19_Расчет_аналитики'!AX423*CapacityAge16*'19_Расчет_аналитики'!$F$211,0)</f>
        <v/>
      </c>
      <c r="AY535">
        <f>IF(IF('01_Вводные'!$B$296="Новый сезон",TRUE,TRUE),'19_Расчет_аналитики'!AY423*CapacityAge16*'19_Расчет_аналитики'!$F$211,0)</f>
        <v/>
      </c>
      <c r="AZ535">
        <f>IF(IF('01_Вводные'!$B$296="Новый сезон",TRUE,TRUE),'19_Расчет_аналитики'!AZ423*CapacityAge16*'19_Расчет_аналитики'!$F$211,0)</f>
        <v/>
      </c>
      <c r="BA535">
        <f>IF(IF('01_Вводные'!$B$296="Новый сезон",TRUE,TRUE),'19_Расчет_аналитики'!BA423*CapacityAge16*'19_Расчет_аналитики'!$F$211,0)</f>
        <v/>
      </c>
      <c r="BB535">
        <f>IF(IF('01_Вводные'!$B$296="Новый сезон",TRUE,TRUE),'19_Расчет_аналитики'!BB423*CapacityAge16*'19_Расчет_аналитики'!$F$211,0)</f>
        <v/>
      </c>
      <c r="BC535">
        <f>IF(IF('01_Вводные'!$B$296="Новый сезон",TRUE,TRUE),'19_Расчет_аналитики'!BC423*CapacityAge16*'19_Расчет_аналитики'!$F$211,0)</f>
        <v/>
      </c>
      <c r="BD535">
        <f>IF(IF('01_Вводные'!$B$296="Новый сезон",TRUE,TRUE),'19_Расчет_аналитики'!BD423*CapacityAge16*'19_Расчет_аналитики'!$F$211,0)</f>
        <v/>
      </c>
      <c r="BE535">
        <f>IF(IF('01_Вводные'!$B$296="Новый сезон",TRUE,TRUE),'19_Расчет_аналитики'!BE423*CapacityAge16*'19_Расчет_аналитики'!$F$211,0)</f>
        <v/>
      </c>
      <c r="BF535">
        <f>IF(IF('01_Вводные'!$B$296="Новый сезон",TRUE,TRUE),'19_Расчет_аналитики'!BF423*CapacityAge16*'19_Расчет_аналитики'!$F$211,0)</f>
        <v/>
      </c>
      <c r="BG535">
        <f>IF(IF('01_Вводные'!$B$296="Новый сезон",TRUE,TRUE),'19_Расчет_аналитики'!BG423*CapacityAge16*'19_Расчет_аналитики'!$F$211,0)</f>
        <v/>
      </c>
      <c r="BH535">
        <f>IF(IF('01_Вводные'!$B$296="Новый сезон",TRUE,TRUE),'19_Расчет_аналитики'!BH423*CapacityAge16*'19_Расчет_аналитики'!$F$211,0)</f>
        <v/>
      </c>
      <c r="BI535">
        <f>IF(IF('01_Вводные'!$B$296="Новый сезон",TRUE,TRUE),'19_Расчет_аналитики'!BI423*CapacityAge16*'19_Расчет_аналитики'!$F$211,0)</f>
        <v/>
      </c>
      <c r="BJ535">
        <f>IF(IF('01_Вводные'!$B$296="Новый сезон",TRUE,TRUE),'19_Расчет_аналитики'!BJ423*CapacityAge16*'19_Расчет_аналитики'!$F$211,0)</f>
        <v/>
      </c>
      <c r="BK535">
        <f>IF(IF('01_Вводные'!$B$296="Новый сезон",TRUE,TRUE),'19_Расчет_аналитики'!BK423*CapacityAge16*'19_Расчет_аналитики'!$F$211,0)</f>
        <v/>
      </c>
      <c r="BL535">
        <f>IF(IF('01_Вводные'!$B$296="Новый сезон",TRUE,TRUE),'19_Расчет_аналитики'!BL423*CapacityAge16*'19_Расчет_аналитики'!$F$211,0)</f>
        <v/>
      </c>
      <c r="BM535">
        <f>IF(IF('01_Вводные'!$B$296="Новый сезон",TRUE,TRUE),'19_Расчет_аналитики'!BM423*CapacityAge16*'19_Расчет_аналитики'!$F$211,0)</f>
        <v/>
      </c>
      <c r="BN535">
        <f>IF(IF('01_Вводные'!$B$296="Новый сезон",TRUE,TRUE),'19_Расчет_аналитики'!BN423*CapacityAge16*'19_Расчет_аналитики'!$F$211,0)</f>
        <v/>
      </c>
      <c r="BO535">
        <f>IF(IF('01_Вводные'!$B$296="Новый сезон",TRUE,TRUE),'19_Расчет_аналитики'!BO423*CapacityAge16*'19_Расчет_аналитики'!$F$211,0)</f>
        <v/>
      </c>
    </row>
    <row r="536">
      <c r="B536">
        <f>IF(IF('01_Вводные'!$B$296="Новый сезон",TRUE,TRUE),'06_Сеть_и_дети'!B69*CapacityAge17*'19_Расчет_аналитики'!$F$211,0)</f>
        <v/>
      </c>
      <c r="C536">
        <f>IF(IF('01_Вводные'!$B$296="Новый сезон",TRUE,TRUE),'06_Сеть_и_дети'!C69*CapacityAge17*'19_Расчет_аналитики'!$F$211,0)</f>
        <v/>
      </c>
      <c r="D536">
        <f>IF(IF('01_Вводные'!$B$296="Новый сезон",TRUE,TRUE),'06_Сеть_и_дети'!D69*CapacityAge17*'19_Расчет_аналитики'!$F$211,0)</f>
        <v/>
      </c>
      <c r="E536">
        <f>IF(IF('01_Вводные'!$B$296="Новый сезон",TRUE,TRUE),'06_Сеть_и_дети'!E69*CapacityAge17*'19_Расчет_аналитики'!$F$211,0)</f>
        <v/>
      </c>
      <c r="F536">
        <f>IF(IF('01_Вводные'!$B$296="Новый сезон",TRUE,TRUE),'06_Сеть_и_дети'!F69*CapacityAge17*'19_Расчет_аналитики'!$F$211,0)</f>
        <v/>
      </c>
      <c r="G536">
        <f>IF(IF('01_Вводные'!$B$296="Новый сезон",TRUE,TRUE),'06_Сеть_и_дети'!G69*CapacityAge17*'19_Расчет_аналитики'!$F$211,0)</f>
        <v/>
      </c>
      <c r="H536">
        <f>IF(IF('01_Вводные'!$B$296="Новый сезон",TRUE,TRUE),'06_Сеть_и_дети'!H69*CapacityAge17*'19_Расчет_аналитики'!$F$211,0)</f>
        <v/>
      </c>
      <c r="I536">
        <f>IF(IF('01_Вводные'!$B$296="Новый сезон",TRUE,TRUE),'06_Сеть_и_дети'!I69*CapacityAge17*'19_Расчет_аналитики'!$F$211,0)</f>
        <v/>
      </c>
      <c r="J536">
        <f>IF(IF('01_Вводные'!$B$296="Новый сезон",TRUE,TRUE),'06_Сеть_и_дети'!J69*CapacityAge17*'19_Расчет_аналитики'!$F$211,0)</f>
        <v/>
      </c>
      <c r="K536">
        <f>IF(IF('01_Вводные'!$B$296="Новый сезон",TRUE,TRUE),'06_Сеть_и_дети'!K69*CapacityAge17*'19_Расчет_аналитики'!$F$211,0)</f>
        <v/>
      </c>
      <c r="L536">
        <f>IF(IF('01_Вводные'!$B$296="Новый сезон",TRUE,TRUE),'06_Сеть_и_дети'!L69*CapacityAge17*'19_Расчет_аналитики'!$F$211,0)</f>
        <v/>
      </c>
      <c r="M536">
        <f>IF(IF('01_Вводные'!$B$296="Новый сезон",TRUE,TRUE),'06_Сеть_и_дети'!M69*CapacityAge17*'19_Расчет_аналитики'!$F$211,0)</f>
        <v/>
      </c>
      <c r="N536">
        <f>IF(IF('01_Вводные'!$B$296="Новый сезон",TRUE,TRUE),'06_Сеть_и_дети'!N69*CapacityAge17*'19_Расчет_аналитики'!$F$211,0)</f>
        <v/>
      </c>
      <c r="O536">
        <f>IF(IF('01_Вводные'!$B$296="Новый сезон",TRUE,TRUE),'06_Сеть_и_дети'!O69*CapacityAge17*'19_Расчет_аналитики'!$F$211,0)</f>
        <v/>
      </c>
      <c r="P536">
        <f>IF(IF('01_Вводные'!$B$296="Новый сезон",TRUE,TRUE),'06_Сеть_и_дети'!P69*CapacityAge17*'19_Расчет_аналитики'!$F$211,0)</f>
        <v/>
      </c>
      <c r="Q536">
        <f>IF(IF('01_Вводные'!$B$296="Новый сезон",TRUE,TRUE),'06_Сеть_и_дети'!Q69*CapacityAge17*'19_Расчет_аналитики'!$F$211,0)</f>
        <v/>
      </c>
      <c r="R536">
        <f>IF(IF('01_Вводные'!$B$296="Новый сезон",TRUE,TRUE),'19_Расчет_аналитики'!R424*CapacityAge17*'19_Расчет_аналитики'!$F$211,0)</f>
        <v/>
      </c>
      <c r="S536">
        <f>IF(IF('01_Вводные'!$B$296="Новый сезон",TRUE,TRUE),'19_Расчет_аналитики'!S424*CapacityAge17*'19_Расчет_аналитики'!$F$211,0)</f>
        <v/>
      </c>
      <c r="T536">
        <f>IF(IF('01_Вводные'!$B$296="Новый сезон",TRUE,TRUE),'19_Расчет_аналитики'!T424*CapacityAge17*'19_Расчет_аналитики'!$F$211,0)</f>
        <v/>
      </c>
      <c r="U536">
        <f>IF(IF('01_Вводные'!$B$296="Новый сезон",TRUE,TRUE),'19_Расчет_аналитики'!U424*CapacityAge17*'19_Расчет_аналитики'!$F$211,0)</f>
        <v/>
      </c>
      <c r="V536">
        <f>IF(IF('01_Вводные'!$B$296="Новый сезон",TRUE,TRUE),'19_Расчет_аналитики'!V424*CapacityAge17*'19_Расчет_аналитики'!$F$211,0)</f>
        <v/>
      </c>
      <c r="W536">
        <f>IF(IF('01_Вводные'!$B$296="Новый сезон",TRUE,TRUE),'19_Расчет_аналитики'!W424*CapacityAge17*'19_Расчет_аналитики'!$F$211,0)</f>
        <v/>
      </c>
      <c r="X536">
        <f>IF(IF('01_Вводные'!$B$296="Новый сезон",TRUE,TRUE),'19_Расчет_аналитики'!X424*CapacityAge17*'19_Расчет_аналитики'!$F$211,0)</f>
        <v/>
      </c>
      <c r="Y536">
        <f>IF(IF('01_Вводные'!$B$296="Новый сезон",TRUE,TRUE),'19_Расчет_аналитики'!Y424*CapacityAge17*'19_Расчет_аналитики'!$F$211,0)</f>
        <v/>
      </c>
      <c r="Z536">
        <f>IF(IF('01_Вводные'!$B$296="Новый сезон",TRUE,TRUE),'19_Расчет_аналитики'!Z424*CapacityAge17*'19_Расчет_аналитики'!$F$211,0)</f>
        <v/>
      </c>
      <c r="AA536">
        <f>IF(IF('01_Вводные'!$B$296="Новый сезон",TRUE,TRUE),'19_Расчет_аналитики'!AA424*CapacityAge17*'19_Расчет_аналитики'!$F$211,0)</f>
        <v/>
      </c>
      <c r="AB536">
        <f>IF(IF('01_Вводные'!$B$296="Новый сезон",TRUE,TRUE),'19_Расчет_аналитики'!AB424*CapacityAge17*'19_Расчет_аналитики'!$F$211,0)</f>
        <v/>
      </c>
      <c r="AC536">
        <f>IF(IF('01_Вводные'!$B$296="Новый сезон",TRUE,TRUE),'19_Расчет_аналитики'!AC424*CapacityAge17*'19_Расчет_аналитики'!$F$211,0)</f>
        <v/>
      </c>
      <c r="AD536">
        <f>IF(IF('01_Вводные'!$B$296="Новый сезон",TRUE,TRUE),'19_Расчет_аналитики'!AD424*CapacityAge17*'19_Расчет_аналитики'!$F$211,0)</f>
        <v/>
      </c>
      <c r="AE536">
        <f>IF(IF('01_Вводные'!$B$296="Новый сезон",TRUE,TRUE),'19_Расчет_аналитики'!AE424*CapacityAge17*'19_Расчет_аналитики'!$F$211,0)</f>
        <v/>
      </c>
      <c r="AF536">
        <f>IF(IF('01_Вводные'!$B$296="Новый сезон",TRUE,TRUE),'19_Расчет_аналитики'!AF424*CapacityAge17*'19_Расчет_аналитики'!$F$211,0)</f>
        <v/>
      </c>
      <c r="AG536">
        <f>IF(IF('01_Вводные'!$B$296="Новый сезон",TRUE,TRUE),'19_Расчет_аналитики'!AG424*CapacityAge17*'19_Расчет_аналитики'!$F$211,0)</f>
        <v/>
      </c>
      <c r="AH536">
        <f>IF(IF('01_Вводные'!$B$296="Новый сезон",TRUE,TRUE),'19_Расчет_аналитики'!AH424*CapacityAge17*'19_Расчет_аналитики'!$F$211,0)</f>
        <v/>
      </c>
      <c r="AI536">
        <f>IF(IF('01_Вводные'!$B$296="Новый сезон",TRUE,TRUE),'19_Расчет_аналитики'!AI424*CapacityAge17*'19_Расчет_аналитики'!$F$211,0)</f>
        <v/>
      </c>
      <c r="AJ536">
        <f>IF(IF('01_Вводные'!$B$296="Новый сезон",TRUE,TRUE),'19_Расчет_аналитики'!AJ424*CapacityAge17*'19_Расчет_аналитики'!$F$211,0)</f>
        <v/>
      </c>
      <c r="AK536">
        <f>IF(IF('01_Вводные'!$B$296="Новый сезон",TRUE,TRUE),'19_Расчет_аналитики'!AK424*CapacityAge17*'19_Расчет_аналитики'!$F$211,0)</f>
        <v/>
      </c>
      <c r="AL536">
        <f>IF(IF('01_Вводные'!$B$296="Новый сезон",TRUE,TRUE),'19_Расчет_аналитики'!AL424*CapacityAge17*'19_Расчет_аналитики'!$F$211,0)</f>
        <v/>
      </c>
      <c r="AM536">
        <f>IF(IF('01_Вводные'!$B$296="Новый сезон",TRUE,TRUE),'19_Расчет_аналитики'!AM424*CapacityAge17*'19_Расчет_аналитики'!$F$211,0)</f>
        <v/>
      </c>
      <c r="AN536">
        <f>IF(IF('01_Вводные'!$B$296="Новый сезон",TRUE,TRUE),'19_Расчет_аналитики'!AN424*CapacityAge17*'19_Расчет_аналитики'!$F$211,0)</f>
        <v/>
      </c>
      <c r="AO536">
        <f>IF(IF('01_Вводные'!$B$296="Новый сезон",TRUE,TRUE),'19_Расчет_аналитики'!AO424*CapacityAge17*'19_Расчет_аналитики'!$F$211,0)</f>
        <v/>
      </c>
      <c r="AP536">
        <f>IF(IF('01_Вводные'!$B$296="Новый сезон",TRUE,TRUE),'19_Расчет_аналитики'!AP424*CapacityAge17*'19_Расчет_аналитики'!$F$211,0)</f>
        <v/>
      </c>
      <c r="AQ536">
        <f>IF(IF('01_Вводные'!$B$296="Новый сезон",TRUE,TRUE),'19_Расчет_аналитики'!AQ424*CapacityAge17*'19_Расчет_аналитики'!$F$211,0)</f>
        <v/>
      </c>
      <c r="AR536">
        <f>IF(IF('01_Вводные'!$B$296="Новый сезон",TRUE,TRUE),'19_Расчет_аналитики'!AR424*CapacityAge17*'19_Расчет_аналитики'!$F$211,0)</f>
        <v/>
      </c>
      <c r="AS536">
        <f>IF(IF('01_Вводные'!$B$296="Новый сезон",TRUE,TRUE),'19_Расчет_аналитики'!AS424*CapacityAge17*'19_Расчет_аналитики'!$F$211,0)</f>
        <v/>
      </c>
      <c r="AT536">
        <f>IF(IF('01_Вводные'!$B$296="Новый сезон",TRUE,TRUE),'19_Расчет_аналитики'!AT424*CapacityAge17*'19_Расчет_аналитики'!$F$211,0)</f>
        <v/>
      </c>
      <c r="AU536">
        <f>IF(IF('01_Вводные'!$B$296="Новый сезон",TRUE,TRUE),'19_Расчет_аналитики'!AU424*CapacityAge17*'19_Расчет_аналитики'!$F$211,0)</f>
        <v/>
      </c>
      <c r="AV536">
        <f>IF(IF('01_Вводные'!$B$296="Новый сезон",TRUE,TRUE),'19_Расчет_аналитики'!AV424*CapacityAge17*'19_Расчет_аналитики'!$F$211,0)</f>
        <v/>
      </c>
      <c r="AW536">
        <f>IF(IF('01_Вводные'!$B$296="Новый сезон",TRUE,TRUE),'19_Расчет_аналитики'!AW424*CapacityAge17*'19_Расчет_аналитики'!$F$211,0)</f>
        <v/>
      </c>
      <c r="AX536">
        <f>IF(IF('01_Вводные'!$B$296="Новый сезон",TRUE,TRUE),'19_Расчет_аналитики'!AX424*CapacityAge17*'19_Расчет_аналитики'!$F$211,0)</f>
        <v/>
      </c>
      <c r="AY536">
        <f>IF(IF('01_Вводные'!$B$296="Новый сезон",TRUE,TRUE),'19_Расчет_аналитики'!AY424*CapacityAge17*'19_Расчет_аналитики'!$F$211,0)</f>
        <v/>
      </c>
      <c r="AZ536">
        <f>IF(IF('01_Вводные'!$B$296="Новый сезон",TRUE,TRUE),'19_Расчет_аналитики'!AZ424*CapacityAge17*'19_Расчет_аналитики'!$F$211,0)</f>
        <v/>
      </c>
      <c r="BA536">
        <f>IF(IF('01_Вводные'!$B$296="Новый сезон",TRUE,TRUE),'19_Расчет_аналитики'!BA424*CapacityAge17*'19_Расчет_аналитики'!$F$211,0)</f>
        <v/>
      </c>
      <c r="BB536">
        <f>IF(IF('01_Вводные'!$B$296="Новый сезон",TRUE,TRUE),'19_Расчет_аналитики'!BB424*CapacityAge17*'19_Расчет_аналитики'!$F$211,0)</f>
        <v/>
      </c>
      <c r="BC536">
        <f>IF(IF('01_Вводные'!$B$296="Новый сезон",TRUE,TRUE),'19_Расчет_аналитики'!BC424*CapacityAge17*'19_Расчет_аналитики'!$F$211,0)</f>
        <v/>
      </c>
      <c r="BD536">
        <f>IF(IF('01_Вводные'!$B$296="Новый сезон",TRUE,TRUE),'19_Расчет_аналитики'!BD424*CapacityAge17*'19_Расчет_аналитики'!$F$211,0)</f>
        <v/>
      </c>
      <c r="BE536">
        <f>IF(IF('01_Вводные'!$B$296="Новый сезон",TRUE,TRUE),'19_Расчет_аналитики'!BE424*CapacityAge17*'19_Расчет_аналитики'!$F$211,0)</f>
        <v/>
      </c>
      <c r="BF536">
        <f>IF(IF('01_Вводные'!$B$296="Новый сезон",TRUE,TRUE),'19_Расчет_аналитики'!BF424*CapacityAge17*'19_Расчет_аналитики'!$F$211,0)</f>
        <v/>
      </c>
      <c r="BG536">
        <f>IF(IF('01_Вводные'!$B$296="Новый сезон",TRUE,TRUE),'19_Расчет_аналитики'!BG424*CapacityAge17*'19_Расчет_аналитики'!$F$211,0)</f>
        <v/>
      </c>
      <c r="BH536">
        <f>IF(IF('01_Вводные'!$B$296="Новый сезон",TRUE,TRUE),'19_Расчет_аналитики'!BH424*CapacityAge17*'19_Расчет_аналитики'!$F$211,0)</f>
        <v/>
      </c>
      <c r="BI536">
        <f>IF(IF('01_Вводные'!$B$296="Новый сезон",TRUE,TRUE),'19_Расчет_аналитики'!BI424*CapacityAge17*'19_Расчет_аналитики'!$F$211,0)</f>
        <v/>
      </c>
      <c r="BJ536">
        <f>IF(IF('01_Вводные'!$B$296="Новый сезон",TRUE,TRUE),'19_Расчет_аналитики'!BJ424*CapacityAge17*'19_Расчет_аналитики'!$F$211,0)</f>
        <v/>
      </c>
      <c r="BK536">
        <f>IF(IF('01_Вводные'!$B$296="Новый сезон",TRUE,TRUE),'19_Расчет_аналитики'!BK424*CapacityAge17*'19_Расчет_аналитики'!$F$211,0)</f>
        <v/>
      </c>
      <c r="BL536">
        <f>IF(IF('01_Вводные'!$B$296="Новый сезон",TRUE,TRUE),'19_Расчет_аналитики'!BL424*CapacityAge17*'19_Расчет_аналитики'!$F$211,0)</f>
        <v/>
      </c>
      <c r="BM536">
        <f>IF(IF('01_Вводные'!$B$296="Новый сезон",TRUE,TRUE),'19_Расчет_аналитики'!BM424*CapacityAge17*'19_Расчет_аналитики'!$F$211,0)</f>
        <v/>
      </c>
      <c r="BN536">
        <f>IF(IF('01_Вводные'!$B$296="Новый сезон",TRUE,TRUE),'19_Расчет_аналитики'!BN424*CapacityAge17*'19_Расчет_аналитики'!$F$211,0)</f>
        <v/>
      </c>
      <c r="BO536">
        <f>IF(IF('01_Вводные'!$B$296="Новый сезон",TRUE,TRUE),'19_Расчет_аналитики'!BO424*CapacityAge17*'19_Расчет_аналитики'!$F$211,0)</f>
        <v/>
      </c>
    </row>
    <row r="537">
      <c r="B537">
        <f>IF(IF('01_Вводные'!$B$296="Новый сезон",TRUE,TRUE),'06_Сеть_и_дети'!B70*CapacityAge18*'19_Расчет_аналитики'!$F$211,0)</f>
        <v/>
      </c>
      <c r="C537">
        <f>IF(IF('01_Вводные'!$B$296="Новый сезон",TRUE,TRUE),'06_Сеть_и_дети'!C70*CapacityAge18*'19_Расчет_аналитики'!$F$211,0)</f>
        <v/>
      </c>
      <c r="D537">
        <f>IF(IF('01_Вводные'!$B$296="Новый сезон",TRUE,TRUE),'06_Сеть_и_дети'!D70*CapacityAge18*'19_Расчет_аналитики'!$F$211,0)</f>
        <v/>
      </c>
      <c r="E537">
        <f>IF(IF('01_Вводные'!$B$296="Новый сезон",TRUE,TRUE),'06_Сеть_и_дети'!E70*CapacityAge18*'19_Расчет_аналитики'!$F$211,0)</f>
        <v/>
      </c>
      <c r="F537">
        <f>IF(IF('01_Вводные'!$B$296="Новый сезон",TRUE,TRUE),'06_Сеть_и_дети'!F70*CapacityAge18*'19_Расчет_аналитики'!$F$211,0)</f>
        <v/>
      </c>
      <c r="G537">
        <f>IF(IF('01_Вводные'!$B$296="Новый сезон",TRUE,TRUE),'06_Сеть_и_дети'!G70*CapacityAge18*'19_Расчет_аналитики'!$F$211,0)</f>
        <v/>
      </c>
      <c r="H537">
        <f>IF(IF('01_Вводные'!$B$296="Новый сезон",TRUE,TRUE),'06_Сеть_и_дети'!H70*CapacityAge18*'19_Расчет_аналитики'!$F$211,0)</f>
        <v/>
      </c>
      <c r="I537">
        <f>IF(IF('01_Вводные'!$B$296="Новый сезон",TRUE,TRUE),'06_Сеть_и_дети'!I70*CapacityAge18*'19_Расчет_аналитики'!$F$211,0)</f>
        <v/>
      </c>
      <c r="J537">
        <f>IF(IF('01_Вводные'!$B$296="Новый сезон",TRUE,TRUE),'06_Сеть_и_дети'!J70*CapacityAge18*'19_Расчет_аналитики'!$F$211,0)</f>
        <v/>
      </c>
      <c r="K537">
        <f>IF(IF('01_Вводные'!$B$296="Новый сезон",TRUE,TRUE),'06_Сеть_и_дети'!K70*CapacityAge18*'19_Расчет_аналитики'!$F$211,0)</f>
        <v/>
      </c>
      <c r="L537">
        <f>IF(IF('01_Вводные'!$B$296="Новый сезон",TRUE,TRUE),'06_Сеть_и_дети'!L70*CapacityAge18*'19_Расчет_аналитики'!$F$211,0)</f>
        <v/>
      </c>
      <c r="M537">
        <f>IF(IF('01_Вводные'!$B$296="Новый сезон",TRUE,TRUE),'06_Сеть_и_дети'!M70*CapacityAge18*'19_Расчет_аналитики'!$F$211,0)</f>
        <v/>
      </c>
      <c r="N537">
        <f>IF(IF('01_Вводные'!$B$296="Новый сезон",TRUE,TRUE),'06_Сеть_и_дети'!N70*CapacityAge18*'19_Расчет_аналитики'!$F$211,0)</f>
        <v/>
      </c>
      <c r="O537">
        <f>IF(IF('01_Вводные'!$B$296="Новый сезон",TRUE,TRUE),'06_Сеть_и_дети'!O70*CapacityAge18*'19_Расчет_аналитики'!$F$211,0)</f>
        <v/>
      </c>
      <c r="P537">
        <f>IF(IF('01_Вводные'!$B$296="Новый сезон",TRUE,TRUE),'06_Сеть_и_дети'!P70*CapacityAge18*'19_Расчет_аналитики'!$F$211,0)</f>
        <v/>
      </c>
      <c r="Q537">
        <f>IF(IF('01_Вводные'!$B$296="Новый сезон",TRUE,TRUE),'06_Сеть_и_дети'!Q70*CapacityAge18*'19_Расчет_аналитики'!$F$211,0)</f>
        <v/>
      </c>
      <c r="R537">
        <f>IF(IF('01_Вводные'!$B$296="Новый сезон",TRUE,TRUE),'06_Сеть_и_дети'!R70*CapacityAge18*'19_Расчет_аналитики'!$F$211,0)</f>
        <v/>
      </c>
      <c r="S537">
        <f>IF(IF('01_Вводные'!$B$296="Новый сезон",TRUE,TRUE),'19_Расчет_аналитики'!S425*CapacityAge18*'19_Расчет_аналитики'!$F$211,0)</f>
        <v/>
      </c>
      <c r="T537">
        <f>IF(IF('01_Вводные'!$B$296="Новый сезон",TRUE,TRUE),'19_Расчет_аналитики'!T425*CapacityAge18*'19_Расчет_аналитики'!$F$211,0)</f>
        <v/>
      </c>
      <c r="U537">
        <f>IF(IF('01_Вводные'!$B$296="Новый сезон",TRUE,TRUE),'19_Расчет_аналитики'!U425*CapacityAge18*'19_Расчет_аналитики'!$F$211,0)</f>
        <v/>
      </c>
      <c r="V537">
        <f>IF(IF('01_Вводные'!$B$296="Новый сезон",TRUE,TRUE),'19_Расчет_аналитики'!V425*CapacityAge18*'19_Расчет_аналитики'!$F$211,0)</f>
        <v/>
      </c>
      <c r="W537">
        <f>IF(IF('01_Вводные'!$B$296="Новый сезон",TRUE,TRUE),'19_Расчет_аналитики'!W425*CapacityAge18*'19_Расчет_аналитики'!$F$211,0)</f>
        <v/>
      </c>
      <c r="X537">
        <f>IF(IF('01_Вводные'!$B$296="Новый сезон",TRUE,TRUE),'19_Расчет_аналитики'!X425*CapacityAge18*'19_Расчет_аналитики'!$F$211,0)</f>
        <v/>
      </c>
      <c r="Y537">
        <f>IF(IF('01_Вводные'!$B$296="Новый сезон",TRUE,TRUE),'19_Расчет_аналитики'!Y425*CapacityAge18*'19_Расчет_аналитики'!$F$211,0)</f>
        <v/>
      </c>
      <c r="Z537">
        <f>IF(IF('01_Вводные'!$B$296="Новый сезон",TRUE,TRUE),'19_Расчет_аналитики'!Z425*CapacityAge18*'19_Расчет_аналитики'!$F$211,0)</f>
        <v/>
      </c>
      <c r="AA537">
        <f>IF(IF('01_Вводные'!$B$296="Новый сезон",TRUE,TRUE),'19_Расчет_аналитики'!AA425*CapacityAge18*'19_Расчет_аналитики'!$F$211,0)</f>
        <v/>
      </c>
      <c r="AB537">
        <f>IF(IF('01_Вводные'!$B$296="Новый сезон",TRUE,TRUE),'19_Расчет_аналитики'!AB425*CapacityAge18*'19_Расчет_аналитики'!$F$211,0)</f>
        <v/>
      </c>
      <c r="AC537">
        <f>IF(IF('01_Вводные'!$B$296="Новый сезон",TRUE,TRUE),'19_Расчет_аналитики'!AC425*CapacityAge18*'19_Расчет_аналитики'!$F$211,0)</f>
        <v/>
      </c>
      <c r="AD537">
        <f>IF(IF('01_Вводные'!$B$296="Новый сезон",TRUE,TRUE),'19_Расчет_аналитики'!AD425*CapacityAge18*'19_Расчет_аналитики'!$F$211,0)</f>
        <v/>
      </c>
      <c r="AE537">
        <f>IF(IF('01_Вводные'!$B$296="Новый сезон",TRUE,TRUE),'19_Расчет_аналитики'!AE425*CapacityAge18*'19_Расчет_аналитики'!$F$211,0)</f>
        <v/>
      </c>
      <c r="AF537">
        <f>IF(IF('01_Вводные'!$B$296="Новый сезон",TRUE,TRUE),'19_Расчет_аналитики'!AF425*CapacityAge18*'19_Расчет_аналитики'!$F$211,0)</f>
        <v/>
      </c>
      <c r="AG537">
        <f>IF(IF('01_Вводные'!$B$296="Новый сезон",TRUE,TRUE),'19_Расчет_аналитики'!AG425*CapacityAge18*'19_Расчет_аналитики'!$F$211,0)</f>
        <v/>
      </c>
      <c r="AH537">
        <f>IF(IF('01_Вводные'!$B$296="Новый сезон",TRUE,TRUE),'19_Расчет_аналитики'!AH425*CapacityAge18*'19_Расчет_аналитики'!$F$211,0)</f>
        <v/>
      </c>
      <c r="AI537">
        <f>IF(IF('01_Вводные'!$B$296="Новый сезон",TRUE,TRUE),'19_Расчет_аналитики'!AI425*CapacityAge18*'19_Расчет_аналитики'!$F$211,0)</f>
        <v/>
      </c>
      <c r="AJ537">
        <f>IF(IF('01_Вводные'!$B$296="Новый сезон",TRUE,TRUE),'19_Расчет_аналитики'!AJ425*CapacityAge18*'19_Расчет_аналитики'!$F$211,0)</f>
        <v/>
      </c>
      <c r="AK537">
        <f>IF(IF('01_Вводные'!$B$296="Новый сезон",TRUE,TRUE),'19_Расчет_аналитики'!AK425*CapacityAge18*'19_Расчет_аналитики'!$F$211,0)</f>
        <v/>
      </c>
      <c r="AL537">
        <f>IF(IF('01_Вводные'!$B$296="Новый сезон",TRUE,TRUE),'19_Расчет_аналитики'!AL425*CapacityAge18*'19_Расчет_аналитики'!$F$211,0)</f>
        <v/>
      </c>
      <c r="AM537">
        <f>IF(IF('01_Вводные'!$B$296="Новый сезон",TRUE,TRUE),'19_Расчет_аналитики'!AM425*CapacityAge18*'19_Расчет_аналитики'!$F$211,0)</f>
        <v/>
      </c>
      <c r="AN537">
        <f>IF(IF('01_Вводные'!$B$296="Новый сезон",TRUE,TRUE),'19_Расчет_аналитики'!AN425*CapacityAge18*'19_Расчет_аналитики'!$F$211,0)</f>
        <v/>
      </c>
      <c r="AO537">
        <f>IF(IF('01_Вводные'!$B$296="Новый сезон",TRUE,TRUE),'19_Расчет_аналитики'!AO425*CapacityAge18*'19_Расчет_аналитики'!$F$211,0)</f>
        <v/>
      </c>
      <c r="AP537">
        <f>IF(IF('01_Вводные'!$B$296="Новый сезон",TRUE,TRUE),'19_Расчет_аналитики'!AP425*CapacityAge18*'19_Расчет_аналитики'!$F$211,0)</f>
        <v/>
      </c>
      <c r="AQ537">
        <f>IF(IF('01_Вводные'!$B$296="Новый сезон",TRUE,TRUE),'19_Расчет_аналитики'!AQ425*CapacityAge18*'19_Расчет_аналитики'!$F$211,0)</f>
        <v/>
      </c>
      <c r="AR537">
        <f>IF(IF('01_Вводные'!$B$296="Новый сезон",TRUE,TRUE),'19_Расчет_аналитики'!AR425*CapacityAge18*'19_Расчет_аналитики'!$F$211,0)</f>
        <v/>
      </c>
      <c r="AS537">
        <f>IF(IF('01_Вводные'!$B$296="Новый сезон",TRUE,TRUE),'19_Расчет_аналитики'!AS425*CapacityAge18*'19_Расчет_аналитики'!$F$211,0)</f>
        <v/>
      </c>
      <c r="AT537">
        <f>IF(IF('01_Вводные'!$B$296="Новый сезон",TRUE,TRUE),'19_Расчет_аналитики'!AT425*CapacityAge18*'19_Расчет_аналитики'!$F$211,0)</f>
        <v/>
      </c>
      <c r="AU537">
        <f>IF(IF('01_Вводные'!$B$296="Новый сезон",TRUE,TRUE),'19_Расчет_аналитики'!AU425*CapacityAge18*'19_Расчет_аналитики'!$F$211,0)</f>
        <v/>
      </c>
      <c r="AV537">
        <f>IF(IF('01_Вводные'!$B$296="Новый сезон",TRUE,TRUE),'19_Расчет_аналитики'!AV425*CapacityAge18*'19_Расчет_аналитики'!$F$211,0)</f>
        <v/>
      </c>
      <c r="AW537">
        <f>IF(IF('01_Вводные'!$B$296="Новый сезон",TRUE,TRUE),'19_Расчет_аналитики'!AW425*CapacityAge18*'19_Расчет_аналитики'!$F$211,0)</f>
        <v/>
      </c>
      <c r="AX537">
        <f>IF(IF('01_Вводные'!$B$296="Новый сезон",TRUE,TRUE),'19_Расчет_аналитики'!AX425*CapacityAge18*'19_Расчет_аналитики'!$F$211,0)</f>
        <v/>
      </c>
      <c r="AY537">
        <f>IF(IF('01_Вводные'!$B$296="Новый сезон",TRUE,TRUE),'19_Расчет_аналитики'!AY425*CapacityAge18*'19_Расчет_аналитики'!$F$211,0)</f>
        <v/>
      </c>
      <c r="AZ537">
        <f>IF(IF('01_Вводные'!$B$296="Новый сезон",TRUE,TRUE),'19_Расчет_аналитики'!AZ425*CapacityAge18*'19_Расчет_аналитики'!$F$211,0)</f>
        <v/>
      </c>
      <c r="BA537">
        <f>IF(IF('01_Вводные'!$B$296="Новый сезон",TRUE,TRUE),'19_Расчет_аналитики'!BA425*CapacityAge18*'19_Расчет_аналитики'!$F$211,0)</f>
        <v/>
      </c>
      <c r="BB537">
        <f>IF(IF('01_Вводные'!$B$296="Новый сезон",TRUE,TRUE),'19_Расчет_аналитики'!BB425*CapacityAge18*'19_Расчет_аналитики'!$F$211,0)</f>
        <v/>
      </c>
      <c r="BC537">
        <f>IF(IF('01_Вводные'!$B$296="Новый сезон",TRUE,TRUE),'19_Расчет_аналитики'!BC425*CapacityAge18*'19_Расчет_аналитики'!$F$211,0)</f>
        <v/>
      </c>
      <c r="BD537">
        <f>IF(IF('01_Вводные'!$B$296="Новый сезон",TRUE,TRUE),'19_Расчет_аналитики'!BD425*CapacityAge18*'19_Расчет_аналитики'!$F$211,0)</f>
        <v/>
      </c>
      <c r="BE537">
        <f>IF(IF('01_Вводные'!$B$296="Новый сезон",TRUE,TRUE),'19_Расчет_аналитики'!BE425*CapacityAge18*'19_Расчет_аналитики'!$F$211,0)</f>
        <v/>
      </c>
      <c r="BF537">
        <f>IF(IF('01_Вводные'!$B$296="Новый сезон",TRUE,TRUE),'19_Расчет_аналитики'!BF425*CapacityAge18*'19_Расчет_аналитики'!$F$211,0)</f>
        <v/>
      </c>
      <c r="BG537">
        <f>IF(IF('01_Вводные'!$B$296="Новый сезон",TRUE,TRUE),'19_Расчет_аналитики'!BG425*CapacityAge18*'19_Расчет_аналитики'!$F$211,0)</f>
        <v/>
      </c>
      <c r="BH537">
        <f>IF(IF('01_Вводные'!$B$296="Новый сезон",TRUE,TRUE),'19_Расчет_аналитики'!BH425*CapacityAge18*'19_Расчет_аналитики'!$F$211,0)</f>
        <v/>
      </c>
      <c r="BI537">
        <f>IF(IF('01_Вводные'!$B$296="Новый сезон",TRUE,TRUE),'19_Расчет_аналитики'!BI425*CapacityAge18*'19_Расчет_аналитики'!$F$211,0)</f>
        <v/>
      </c>
      <c r="BJ537">
        <f>IF(IF('01_Вводные'!$B$296="Новый сезон",TRUE,TRUE),'19_Расчет_аналитики'!BJ425*CapacityAge18*'19_Расчет_аналитики'!$F$211,0)</f>
        <v/>
      </c>
      <c r="BK537">
        <f>IF(IF('01_Вводные'!$B$296="Новый сезон",TRUE,TRUE),'19_Расчет_аналитики'!BK425*CapacityAge18*'19_Расчет_аналитики'!$F$211,0)</f>
        <v/>
      </c>
      <c r="BL537">
        <f>IF(IF('01_Вводные'!$B$296="Новый сезон",TRUE,TRUE),'19_Расчет_аналитики'!BL425*CapacityAge18*'19_Расчет_аналитики'!$F$211,0)</f>
        <v/>
      </c>
      <c r="BM537">
        <f>IF(IF('01_Вводные'!$B$296="Новый сезон",TRUE,TRUE),'19_Расчет_аналитики'!BM425*CapacityAge18*'19_Расчет_аналитики'!$F$211,0)</f>
        <v/>
      </c>
      <c r="BN537">
        <f>IF(IF('01_Вводные'!$B$296="Новый сезон",TRUE,TRUE),'19_Расчет_аналитики'!BN425*CapacityAge18*'19_Расчет_аналитики'!$F$211,0)</f>
        <v/>
      </c>
      <c r="BO537">
        <f>IF(IF('01_Вводные'!$B$296="Новый сезон",TRUE,TRUE),'19_Расчет_аналитики'!BO425*CapacityAge18*'19_Расчет_аналитики'!$F$211,0)</f>
        <v/>
      </c>
    </row>
    <row r="538">
      <c r="B538">
        <f>IF(IF('01_Вводные'!$B$296="Новый сезон",TRUE,TRUE),'06_Сеть_и_дети'!B71*CapacityAge19*'19_Расчет_аналитики'!$F$211,0)</f>
        <v/>
      </c>
      <c r="C538">
        <f>IF(IF('01_Вводные'!$B$296="Новый сезон",TRUE,TRUE),'06_Сеть_и_дети'!C71*CapacityAge19*'19_Расчет_аналитики'!$F$211,0)</f>
        <v/>
      </c>
      <c r="D538">
        <f>IF(IF('01_Вводные'!$B$296="Новый сезон",TRUE,TRUE),'06_Сеть_и_дети'!D71*CapacityAge19*'19_Расчет_аналитики'!$F$211,0)</f>
        <v/>
      </c>
      <c r="E538">
        <f>IF(IF('01_Вводные'!$B$296="Новый сезон",TRUE,TRUE),'06_Сеть_и_дети'!E71*CapacityAge19*'19_Расчет_аналитики'!$F$211,0)</f>
        <v/>
      </c>
      <c r="F538">
        <f>IF(IF('01_Вводные'!$B$296="Новый сезон",TRUE,TRUE),'06_Сеть_и_дети'!F71*CapacityAge19*'19_Расчет_аналитики'!$F$211,0)</f>
        <v/>
      </c>
      <c r="G538">
        <f>IF(IF('01_Вводные'!$B$296="Новый сезон",TRUE,TRUE),'06_Сеть_и_дети'!G71*CapacityAge19*'19_Расчет_аналитики'!$F$211,0)</f>
        <v/>
      </c>
      <c r="H538">
        <f>IF(IF('01_Вводные'!$B$296="Новый сезон",TRUE,TRUE),'06_Сеть_и_дети'!H71*CapacityAge19*'19_Расчет_аналитики'!$F$211,0)</f>
        <v/>
      </c>
      <c r="I538">
        <f>IF(IF('01_Вводные'!$B$296="Новый сезон",TRUE,TRUE),'06_Сеть_и_дети'!I71*CapacityAge19*'19_Расчет_аналитики'!$F$211,0)</f>
        <v/>
      </c>
      <c r="J538">
        <f>IF(IF('01_Вводные'!$B$296="Новый сезон",TRUE,TRUE),'06_Сеть_и_дети'!J71*CapacityAge19*'19_Расчет_аналитики'!$F$211,0)</f>
        <v/>
      </c>
      <c r="K538">
        <f>IF(IF('01_Вводные'!$B$296="Новый сезон",TRUE,TRUE),'06_Сеть_и_дети'!K71*CapacityAge19*'19_Расчет_аналитики'!$F$211,0)</f>
        <v/>
      </c>
      <c r="L538">
        <f>IF(IF('01_Вводные'!$B$296="Новый сезон",TRUE,TRUE),'06_Сеть_и_дети'!L71*CapacityAge19*'19_Расчет_аналитики'!$F$211,0)</f>
        <v/>
      </c>
      <c r="M538">
        <f>IF(IF('01_Вводные'!$B$296="Новый сезон",TRUE,TRUE),'06_Сеть_и_дети'!M71*CapacityAge19*'19_Расчет_аналитики'!$F$211,0)</f>
        <v/>
      </c>
      <c r="N538">
        <f>IF(IF('01_Вводные'!$B$296="Новый сезон",TRUE,TRUE),'06_Сеть_и_дети'!N71*CapacityAge19*'19_Расчет_аналитики'!$F$211,0)</f>
        <v/>
      </c>
      <c r="O538">
        <f>IF(IF('01_Вводные'!$B$296="Новый сезон",TRUE,TRUE),'06_Сеть_и_дети'!O71*CapacityAge19*'19_Расчет_аналитики'!$F$211,0)</f>
        <v/>
      </c>
      <c r="P538">
        <f>IF(IF('01_Вводные'!$B$296="Новый сезон",TRUE,TRUE),'06_Сеть_и_дети'!P71*CapacityAge19*'19_Расчет_аналитики'!$F$211,0)</f>
        <v/>
      </c>
      <c r="Q538">
        <f>IF(IF('01_Вводные'!$B$296="Новый сезон",TRUE,TRUE),'06_Сеть_и_дети'!Q71*CapacityAge19*'19_Расчет_аналитики'!$F$211,0)</f>
        <v/>
      </c>
      <c r="R538">
        <f>IF(IF('01_Вводные'!$B$296="Новый сезон",TRUE,TRUE),'06_Сеть_и_дети'!R71*CapacityAge19*'19_Расчет_аналитики'!$F$211,0)</f>
        <v/>
      </c>
      <c r="S538">
        <f>IF(IF('01_Вводные'!$B$296="Новый сезон",TRUE,TRUE),'06_Сеть_и_дети'!S71*CapacityAge19*'19_Расчет_аналитики'!$F$211,0)</f>
        <v/>
      </c>
      <c r="T538">
        <f>IF(IF('01_Вводные'!$B$296="Новый сезон",TRUE,TRUE),'19_Расчет_аналитики'!T426*CapacityAge19*'19_Расчет_аналитики'!$F$211,0)</f>
        <v/>
      </c>
      <c r="U538">
        <f>IF(IF('01_Вводные'!$B$296="Новый сезон",TRUE,TRUE),'19_Расчет_аналитики'!U426*CapacityAge19*'19_Расчет_аналитики'!$F$211,0)</f>
        <v/>
      </c>
      <c r="V538">
        <f>IF(IF('01_Вводные'!$B$296="Новый сезон",TRUE,TRUE),'19_Расчет_аналитики'!V426*CapacityAge19*'19_Расчет_аналитики'!$F$211,0)</f>
        <v/>
      </c>
      <c r="W538">
        <f>IF(IF('01_Вводные'!$B$296="Новый сезон",TRUE,TRUE),'19_Расчет_аналитики'!W426*CapacityAge19*'19_Расчет_аналитики'!$F$211,0)</f>
        <v/>
      </c>
      <c r="X538">
        <f>IF(IF('01_Вводные'!$B$296="Новый сезон",TRUE,TRUE),'19_Расчет_аналитики'!X426*CapacityAge19*'19_Расчет_аналитики'!$F$211,0)</f>
        <v/>
      </c>
      <c r="Y538">
        <f>IF(IF('01_Вводные'!$B$296="Новый сезон",TRUE,TRUE),'19_Расчет_аналитики'!Y426*CapacityAge19*'19_Расчет_аналитики'!$F$211,0)</f>
        <v/>
      </c>
      <c r="Z538">
        <f>IF(IF('01_Вводные'!$B$296="Новый сезон",TRUE,TRUE),'19_Расчет_аналитики'!Z426*CapacityAge19*'19_Расчет_аналитики'!$F$211,0)</f>
        <v/>
      </c>
      <c r="AA538">
        <f>IF(IF('01_Вводные'!$B$296="Новый сезон",TRUE,TRUE),'19_Расчет_аналитики'!AA426*CapacityAge19*'19_Расчет_аналитики'!$F$211,0)</f>
        <v/>
      </c>
      <c r="AB538">
        <f>IF(IF('01_Вводные'!$B$296="Новый сезон",TRUE,TRUE),'19_Расчет_аналитики'!AB426*CapacityAge19*'19_Расчет_аналитики'!$F$211,0)</f>
        <v/>
      </c>
      <c r="AC538">
        <f>IF(IF('01_Вводные'!$B$296="Новый сезон",TRUE,TRUE),'19_Расчет_аналитики'!AC426*CapacityAge19*'19_Расчет_аналитики'!$F$211,0)</f>
        <v/>
      </c>
      <c r="AD538">
        <f>IF(IF('01_Вводные'!$B$296="Новый сезон",TRUE,TRUE),'19_Расчет_аналитики'!AD426*CapacityAge19*'19_Расчет_аналитики'!$F$211,0)</f>
        <v/>
      </c>
      <c r="AE538">
        <f>IF(IF('01_Вводные'!$B$296="Новый сезон",TRUE,TRUE),'19_Расчет_аналитики'!AE426*CapacityAge19*'19_Расчет_аналитики'!$F$211,0)</f>
        <v/>
      </c>
      <c r="AF538">
        <f>IF(IF('01_Вводные'!$B$296="Новый сезон",TRUE,TRUE),'19_Расчет_аналитики'!AF426*CapacityAge19*'19_Расчет_аналитики'!$F$211,0)</f>
        <v/>
      </c>
      <c r="AG538">
        <f>IF(IF('01_Вводные'!$B$296="Новый сезон",TRUE,TRUE),'19_Расчет_аналитики'!AG426*CapacityAge19*'19_Расчет_аналитики'!$F$211,0)</f>
        <v/>
      </c>
      <c r="AH538">
        <f>IF(IF('01_Вводные'!$B$296="Новый сезон",TRUE,TRUE),'19_Расчет_аналитики'!AH426*CapacityAge19*'19_Расчет_аналитики'!$F$211,0)</f>
        <v/>
      </c>
      <c r="AI538">
        <f>IF(IF('01_Вводные'!$B$296="Новый сезон",TRUE,TRUE),'19_Расчет_аналитики'!AI426*CapacityAge19*'19_Расчет_аналитики'!$F$211,0)</f>
        <v/>
      </c>
      <c r="AJ538">
        <f>IF(IF('01_Вводные'!$B$296="Новый сезон",TRUE,TRUE),'19_Расчет_аналитики'!AJ426*CapacityAge19*'19_Расчет_аналитики'!$F$211,0)</f>
        <v/>
      </c>
      <c r="AK538">
        <f>IF(IF('01_Вводные'!$B$296="Новый сезон",TRUE,TRUE),'19_Расчет_аналитики'!AK426*CapacityAge19*'19_Расчет_аналитики'!$F$211,0)</f>
        <v/>
      </c>
      <c r="AL538">
        <f>IF(IF('01_Вводные'!$B$296="Новый сезон",TRUE,TRUE),'19_Расчет_аналитики'!AL426*CapacityAge19*'19_Расчет_аналитики'!$F$211,0)</f>
        <v/>
      </c>
      <c r="AM538">
        <f>IF(IF('01_Вводные'!$B$296="Новый сезон",TRUE,TRUE),'19_Расчет_аналитики'!AM426*CapacityAge19*'19_Расчет_аналитики'!$F$211,0)</f>
        <v/>
      </c>
      <c r="AN538">
        <f>IF(IF('01_Вводные'!$B$296="Новый сезон",TRUE,TRUE),'19_Расчет_аналитики'!AN426*CapacityAge19*'19_Расчет_аналитики'!$F$211,0)</f>
        <v/>
      </c>
      <c r="AO538">
        <f>IF(IF('01_Вводные'!$B$296="Новый сезон",TRUE,TRUE),'19_Расчет_аналитики'!AO426*CapacityAge19*'19_Расчет_аналитики'!$F$211,0)</f>
        <v/>
      </c>
      <c r="AP538">
        <f>IF(IF('01_Вводные'!$B$296="Новый сезон",TRUE,TRUE),'19_Расчет_аналитики'!AP426*CapacityAge19*'19_Расчет_аналитики'!$F$211,0)</f>
        <v/>
      </c>
      <c r="AQ538">
        <f>IF(IF('01_Вводные'!$B$296="Новый сезон",TRUE,TRUE),'19_Расчет_аналитики'!AQ426*CapacityAge19*'19_Расчет_аналитики'!$F$211,0)</f>
        <v/>
      </c>
      <c r="AR538">
        <f>IF(IF('01_Вводные'!$B$296="Новый сезон",TRUE,TRUE),'19_Расчет_аналитики'!AR426*CapacityAge19*'19_Расчет_аналитики'!$F$211,0)</f>
        <v/>
      </c>
      <c r="AS538">
        <f>IF(IF('01_Вводные'!$B$296="Новый сезон",TRUE,TRUE),'19_Расчет_аналитики'!AS426*CapacityAge19*'19_Расчет_аналитики'!$F$211,0)</f>
        <v/>
      </c>
      <c r="AT538">
        <f>IF(IF('01_Вводные'!$B$296="Новый сезон",TRUE,TRUE),'19_Расчет_аналитики'!AT426*CapacityAge19*'19_Расчет_аналитики'!$F$211,0)</f>
        <v/>
      </c>
      <c r="AU538">
        <f>IF(IF('01_Вводные'!$B$296="Новый сезон",TRUE,TRUE),'19_Расчет_аналитики'!AU426*CapacityAge19*'19_Расчет_аналитики'!$F$211,0)</f>
        <v/>
      </c>
      <c r="AV538">
        <f>IF(IF('01_Вводные'!$B$296="Новый сезон",TRUE,TRUE),'19_Расчет_аналитики'!AV426*CapacityAge19*'19_Расчет_аналитики'!$F$211,0)</f>
        <v/>
      </c>
      <c r="AW538">
        <f>IF(IF('01_Вводные'!$B$296="Новый сезон",TRUE,TRUE),'19_Расчет_аналитики'!AW426*CapacityAge19*'19_Расчет_аналитики'!$F$211,0)</f>
        <v/>
      </c>
      <c r="AX538">
        <f>IF(IF('01_Вводные'!$B$296="Новый сезон",TRUE,TRUE),'19_Расчет_аналитики'!AX426*CapacityAge19*'19_Расчет_аналитики'!$F$211,0)</f>
        <v/>
      </c>
      <c r="AY538">
        <f>IF(IF('01_Вводные'!$B$296="Новый сезон",TRUE,TRUE),'19_Расчет_аналитики'!AY426*CapacityAge19*'19_Расчет_аналитики'!$F$211,0)</f>
        <v/>
      </c>
      <c r="AZ538">
        <f>IF(IF('01_Вводные'!$B$296="Новый сезон",TRUE,TRUE),'19_Расчет_аналитики'!AZ426*CapacityAge19*'19_Расчет_аналитики'!$F$211,0)</f>
        <v/>
      </c>
      <c r="BA538">
        <f>IF(IF('01_Вводные'!$B$296="Новый сезон",TRUE,TRUE),'19_Расчет_аналитики'!BA426*CapacityAge19*'19_Расчет_аналитики'!$F$211,0)</f>
        <v/>
      </c>
      <c r="BB538">
        <f>IF(IF('01_Вводные'!$B$296="Новый сезон",TRUE,TRUE),'19_Расчет_аналитики'!BB426*CapacityAge19*'19_Расчет_аналитики'!$F$211,0)</f>
        <v/>
      </c>
      <c r="BC538">
        <f>IF(IF('01_Вводные'!$B$296="Новый сезон",TRUE,TRUE),'19_Расчет_аналитики'!BC426*CapacityAge19*'19_Расчет_аналитики'!$F$211,0)</f>
        <v/>
      </c>
      <c r="BD538">
        <f>IF(IF('01_Вводные'!$B$296="Новый сезон",TRUE,TRUE),'19_Расчет_аналитики'!BD426*CapacityAge19*'19_Расчет_аналитики'!$F$211,0)</f>
        <v/>
      </c>
      <c r="BE538">
        <f>IF(IF('01_Вводные'!$B$296="Новый сезон",TRUE,TRUE),'19_Расчет_аналитики'!BE426*CapacityAge19*'19_Расчет_аналитики'!$F$211,0)</f>
        <v/>
      </c>
      <c r="BF538">
        <f>IF(IF('01_Вводные'!$B$296="Новый сезон",TRUE,TRUE),'19_Расчет_аналитики'!BF426*CapacityAge19*'19_Расчет_аналитики'!$F$211,0)</f>
        <v/>
      </c>
      <c r="BG538">
        <f>IF(IF('01_Вводные'!$B$296="Новый сезон",TRUE,TRUE),'19_Расчет_аналитики'!BG426*CapacityAge19*'19_Расчет_аналитики'!$F$211,0)</f>
        <v/>
      </c>
      <c r="BH538">
        <f>IF(IF('01_Вводные'!$B$296="Новый сезон",TRUE,TRUE),'19_Расчет_аналитики'!BH426*CapacityAge19*'19_Расчет_аналитики'!$F$211,0)</f>
        <v/>
      </c>
      <c r="BI538">
        <f>IF(IF('01_Вводные'!$B$296="Новый сезон",TRUE,TRUE),'19_Расчет_аналитики'!BI426*CapacityAge19*'19_Расчет_аналитики'!$F$211,0)</f>
        <v/>
      </c>
      <c r="BJ538">
        <f>IF(IF('01_Вводные'!$B$296="Новый сезон",TRUE,TRUE),'19_Расчет_аналитики'!BJ426*CapacityAge19*'19_Расчет_аналитики'!$F$211,0)</f>
        <v/>
      </c>
      <c r="BK538">
        <f>IF(IF('01_Вводные'!$B$296="Новый сезон",TRUE,TRUE),'19_Расчет_аналитики'!BK426*CapacityAge19*'19_Расчет_аналитики'!$F$211,0)</f>
        <v/>
      </c>
      <c r="BL538">
        <f>IF(IF('01_Вводные'!$B$296="Новый сезон",TRUE,TRUE),'19_Расчет_аналитики'!BL426*CapacityAge19*'19_Расчет_аналитики'!$F$211,0)</f>
        <v/>
      </c>
      <c r="BM538">
        <f>IF(IF('01_Вводные'!$B$296="Новый сезон",TRUE,TRUE),'19_Расчет_аналитики'!BM426*CapacityAge19*'19_Расчет_аналитики'!$F$211,0)</f>
        <v/>
      </c>
      <c r="BN538">
        <f>IF(IF('01_Вводные'!$B$296="Новый сезон",TRUE,TRUE),'19_Расчет_аналитики'!BN426*CapacityAge19*'19_Расчет_аналитики'!$F$211,0)</f>
        <v/>
      </c>
      <c r="BO538">
        <f>IF(IF('01_Вводные'!$B$296="Новый сезон",TRUE,TRUE),'19_Расчет_аналитики'!BO426*CapacityAge19*'19_Расчет_аналитики'!$F$211,0)</f>
        <v/>
      </c>
    </row>
    <row r="539">
      <c r="B539">
        <f>IF(IF('01_Вводные'!$B$296="Новый сезон",TRUE,TRUE),'06_Сеть_и_дети'!B72*CapacityAge20*'19_Расчет_аналитики'!$F$211,0)</f>
        <v/>
      </c>
      <c r="C539">
        <f>IF(IF('01_Вводные'!$B$296="Новый сезон",TRUE,TRUE),'06_Сеть_и_дети'!C72*CapacityAge20*'19_Расчет_аналитики'!$F$211,0)</f>
        <v/>
      </c>
      <c r="D539">
        <f>IF(IF('01_Вводные'!$B$296="Новый сезон",TRUE,TRUE),'06_Сеть_и_дети'!D72*CapacityAge20*'19_Расчет_аналитики'!$F$211,0)</f>
        <v/>
      </c>
      <c r="E539">
        <f>IF(IF('01_Вводные'!$B$296="Новый сезон",TRUE,TRUE),'06_Сеть_и_дети'!E72*CapacityAge20*'19_Расчет_аналитики'!$F$211,0)</f>
        <v/>
      </c>
      <c r="F539">
        <f>IF(IF('01_Вводные'!$B$296="Новый сезон",TRUE,TRUE),'06_Сеть_и_дети'!F72*CapacityAge20*'19_Расчет_аналитики'!$F$211,0)</f>
        <v/>
      </c>
      <c r="G539">
        <f>IF(IF('01_Вводные'!$B$296="Новый сезон",TRUE,TRUE),'06_Сеть_и_дети'!G72*CapacityAge20*'19_Расчет_аналитики'!$F$211,0)</f>
        <v/>
      </c>
      <c r="H539">
        <f>IF(IF('01_Вводные'!$B$296="Новый сезон",TRUE,TRUE),'06_Сеть_и_дети'!H72*CapacityAge20*'19_Расчет_аналитики'!$F$211,0)</f>
        <v/>
      </c>
      <c r="I539">
        <f>IF(IF('01_Вводные'!$B$296="Новый сезон",TRUE,TRUE),'06_Сеть_и_дети'!I72*CapacityAge20*'19_Расчет_аналитики'!$F$211,0)</f>
        <v/>
      </c>
      <c r="J539">
        <f>IF(IF('01_Вводные'!$B$296="Новый сезон",TRUE,TRUE),'06_Сеть_и_дети'!J72*CapacityAge20*'19_Расчет_аналитики'!$F$211,0)</f>
        <v/>
      </c>
      <c r="K539">
        <f>IF(IF('01_Вводные'!$B$296="Новый сезон",TRUE,TRUE),'06_Сеть_и_дети'!K72*CapacityAge20*'19_Расчет_аналитики'!$F$211,0)</f>
        <v/>
      </c>
      <c r="L539">
        <f>IF(IF('01_Вводные'!$B$296="Новый сезон",TRUE,TRUE),'06_Сеть_и_дети'!L72*CapacityAge20*'19_Расчет_аналитики'!$F$211,0)</f>
        <v/>
      </c>
      <c r="M539">
        <f>IF(IF('01_Вводные'!$B$296="Новый сезон",TRUE,TRUE),'06_Сеть_и_дети'!M72*CapacityAge20*'19_Расчет_аналитики'!$F$211,0)</f>
        <v/>
      </c>
      <c r="N539">
        <f>IF(IF('01_Вводные'!$B$296="Новый сезон",TRUE,TRUE),'06_Сеть_и_дети'!N72*CapacityAge20*'19_Расчет_аналитики'!$F$211,0)</f>
        <v/>
      </c>
      <c r="O539">
        <f>IF(IF('01_Вводные'!$B$296="Новый сезон",TRUE,TRUE),'06_Сеть_и_дети'!O72*CapacityAge20*'19_Расчет_аналитики'!$F$211,0)</f>
        <v/>
      </c>
      <c r="P539">
        <f>IF(IF('01_Вводные'!$B$296="Новый сезон",TRUE,TRUE),'06_Сеть_и_дети'!P72*CapacityAge20*'19_Расчет_аналитики'!$F$211,0)</f>
        <v/>
      </c>
      <c r="Q539">
        <f>IF(IF('01_Вводные'!$B$296="Новый сезон",TRUE,TRUE),'06_Сеть_и_дети'!Q72*CapacityAge20*'19_Расчет_аналитики'!$F$211,0)</f>
        <v/>
      </c>
      <c r="R539">
        <f>IF(IF('01_Вводные'!$B$296="Новый сезон",TRUE,TRUE),'06_Сеть_и_дети'!R72*CapacityAge20*'19_Расчет_аналитики'!$F$211,0)</f>
        <v/>
      </c>
      <c r="S539">
        <f>IF(IF('01_Вводные'!$B$296="Новый сезон",TRUE,TRUE),'06_Сеть_и_дети'!S72*CapacityAge20*'19_Расчет_аналитики'!$F$211,0)</f>
        <v/>
      </c>
      <c r="T539">
        <f>IF(IF('01_Вводные'!$B$296="Новый сезон",TRUE,TRUE),'06_Сеть_и_дети'!T72*CapacityAge20*'19_Расчет_аналитики'!$F$211,0)</f>
        <v/>
      </c>
      <c r="U539">
        <f>IF(IF('01_Вводные'!$B$296="Новый сезон",TRUE,TRUE),'19_Расчет_аналитики'!U427*CapacityAge20*'19_Расчет_аналитики'!$F$211,0)</f>
        <v/>
      </c>
      <c r="V539">
        <f>IF(IF('01_Вводные'!$B$296="Новый сезон",TRUE,TRUE),'19_Расчет_аналитики'!V427*CapacityAge20*'19_Расчет_аналитики'!$F$211,0)</f>
        <v/>
      </c>
      <c r="W539">
        <f>IF(IF('01_Вводные'!$B$296="Новый сезон",TRUE,TRUE),'19_Расчет_аналитики'!W427*CapacityAge20*'19_Расчет_аналитики'!$F$211,0)</f>
        <v/>
      </c>
      <c r="X539">
        <f>IF(IF('01_Вводные'!$B$296="Новый сезон",TRUE,TRUE),'19_Расчет_аналитики'!X427*CapacityAge20*'19_Расчет_аналитики'!$F$211,0)</f>
        <v/>
      </c>
      <c r="Y539">
        <f>IF(IF('01_Вводные'!$B$296="Новый сезон",TRUE,TRUE),'19_Расчет_аналитики'!Y427*CapacityAge20*'19_Расчет_аналитики'!$F$211,0)</f>
        <v/>
      </c>
      <c r="Z539">
        <f>IF(IF('01_Вводные'!$B$296="Новый сезон",TRUE,TRUE),'19_Расчет_аналитики'!Z427*CapacityAge20*'19_Расчет_аналитики'!$F$211,0)</f>
        <v/>
      </c>
      <c r="AA539">
        <f>IF(IF('01_Вводные'!$B$296="Новый сезон",TRUE,TRUE),'19_Расчет_аналитики'!AA427*CapacityAge20*'19_Расчет_аналитики'!$F$211,0)</f>
        <v/>
      </c>
      <c r="AB539">
        <f>IF(IF('01_Вводные'!$B$296="Новый сезон",TRUE,TRUE),'19_Расчет_аналитики'!AB427*CapacityAge20*'19_Расчет_аналитики'!$F$211,0)</f>
        <v/>
      </c>
      <c r="AC539">
        <f>IF(IF('01_Вводные'!$B$296="Новый сезон",TRUE,TRUE),'19_Расчет_аналитики'!AC427*CapacityAge20*'19_Расчет_аналитики'!$F$211,0)</f>
        <v/>
      </c>
      <c r="AD539">
        <f>IF(IF('01_Вводные'!$B$296="Новый сезон",TRUE,TRUE),'19_Расчет_аналитики'!AD427*CapacityAge20*'19_Расчет_аналитики'!$F$211,0)</f>
        <v/>
      </c>
      <c r="AE539">
        <f>IF(IF('01_Вводные'!$B$296="Новый сезон",TRUE,TRUE),'19_Расчет_аналитики'!AE427*CapacityAge20*'19_Расчет_аналитики'!$F$211,0)</f>
        <v/>
      </c>
      <c r="AF539">
        <f>IF(IF('01_Вводные'!$B$296="Новый сезон",TRUE,TRUE),'19_Расчет_аналитики'!AF427*CapacityAge20*'19_Расчет_аналитики'!$F$211,0)</f>
        <v/>
      </c>
      <c r="AG539">
        <f>IF(IF('01_Вводные'!$B$296="Новый сезон",TRUE,TRUE),'19_Расчет_аналитики'!AG427*CapacityAge20*'19_Расчет_аналитики'!$F$211,0)</f>
        <v/>
      </c>
      <c r="AH539">
        <f>IF(IF('01_Вводные'!$B$296="Новый сезон",TRUE,TRUE),'19_Расчет_аналитики'!AH427*CapacityAge20*'19_Расчет_аналитики'!$F$211,0)</f>
        <v/>
      </c>
      <c r="AI539">
        <f>IF(IF('01_Вводные'!$B$296="Новый сезон",TRUE,TRUE),'19_Расчет_аналитики'!AI427*CapacityAge20*'19_Расчет_аналитики'!$F$211,0)</f>
        <v/>
      </c>
      <c r="AJ539">
        <f>IF(IF('01_Вводные'!$B$296="Новый сезон",TRUE,TRUE),'19_Расчет_аналитики'!AJ427*CapacityAge20*'19_Расчет_аналитики'!$F$211,0)</f>
        <v/>
      </c>
      <c r="AK539">
        <f>IF(IF('01_Вводные'!$B$296="Новый сезон",TRUE,TRUE),'19_Расчет_аналитики'!AK427*CapacityAge20*'19_Расчет_аналитики'!$F$211,0)</f>
        <v/>
      </c>
      <c r="AL539">
        <f>IF(IF('01_Вводные'!$B$296="Новый сезон",TRUE,TRUE),'19_Расчет_аналитики'!AL427*CapacityAge20*'19_Расчет_аналитики'!$F$211,0)</f>
        <v/>
      </c>
      <c r="AM539">
        <f>IF(IF('01_Вводные'!$B$296="Новый сезон",TRUE,TRUE),'19_Расчет_аналитики'!AM427*CapacityAge20*'19_Расчет_аналитики'!$F$211,0)</f>
        <v/>
      </c>
      <c r="AN539">
        <f>IF(IF('01_Вводные'!$B$296="Новый сезон",TRUE,TRUE),'19_Расчет_аналитики'!AN427*CapacityAge20*'19_Расчет_аналитики'!$F$211,0)</f>
        <v/>
      </c>
      <c r="AO539">
        <f>IF(IF('01_Вводные'!$B$296="Новый сезон",TRUE,TRUE),'19_Расчет_аналитики'!AO427*CapacityAge20*'19_Расчет_аналитики'!$F$211,0)</f>
        <v/>
      </c>
      <c r="AP539">
        <f>IF(IF('01_Вводные'!$B$296="Новый сезон",TRUE,TRUE),'19_Расчет_аналитики'!AP427*CapacityAge20*'19_Расчет_аналитики'!$F$211,0)</f>
        <v/>
      </c>
      <c r="AQ539">
        <f>IF(IF('01_Вводные'!$B$296="Новый сезон",TRUE,TRUE),'19_Расчет_аналитики'!AQ427*CapacityAge20*'19_Расчет_аналитики'!$F$211,0)</f>
        <v/>
      </c>
      <c r="AR539">
        <f>IF(IF('01_Вводные'!$B$296="Новый сезон",TRUE,TRUE),'19_Расчет_аналитики'!AR427*CapacityAge20*'19_Расчет_аналитики'!$F$211,0)</f>
        <v/>
      </c>
      <c r="AS539">
        <f>IF(IF('01_Вводные'!$B$296="Новый сезон",TRUE,TRUE),'19_Расчет_аналитики'!AS427*CapacityAge20*'19_Расчет_аналитики'!$F$211,0)</f>
        <v/>
      </c>
      <c r="AT539">
        <f>IF(IF('01_Вводные'!$B$296="Новый сезон",TRUE,TRUE),'19_Расчет_аналитики'!AT427*CapacityAge20*'19_Расчет_аналитики'!$F$211,0)</f>
        <v/>
      </c>
      <c r="AU539">
        <f>IF(IF('01_Вводные'!$B$296="Новый сезон",TRUE,TRUE),'19_Расчет_аналитики'!AU427*CapacityAge20*'19_Расчет_аналитики'!$F$211,0)</f>
        <v/>
      </c>
      <c r="AV539">
        <f>IF(IF('01_Вводные'!$B$296="Новый сезон",TRUE,TRUE),'19_Расчет_аналитики'!AV427*CapacityAge20*'19_Расчет_аналитики'!$F$211,0)</f>
        <v/>
      </c>
      <c r="AW539">
        <f>IF(IF('01_Вводные'!$B$296="Новый сезон",TRUE,TRUE),'19_Расчет_аналитики'!AW427*CapacityAge20*'19_Расчет_аналитики'!$F$211,0)</f>
        <v/>
      </c>
      <c r="AX539">
        <f>IF(IF('01_Вводные'!$B$296="Новый сезон",TRUE,TRUE),'19_Расчет_аналитики'!AX427*CapacityAge20*'19_Расчет_аналитики'!$F$211,0)</f>
        <v/>
      </c>
      <c r="AY539">
        <f>IF(IF('01_Вводные'!$B$296="Новый сезон",TRUE,TRUE),'19_Расчет_аналитики'!AY427*CapacityAge20*'19_Расчет_аналитики'!$F$211,0)</f>
        <v/>
      </c>
      <c r="AZ539">
        <f>IF(IF('01_Вводные'!$B$296="Новый сезон",TRUE,TRUE),'19_Расчет_аналитики'!AZ427*CapacityAge20*'19_Расчет_аналитики'!$F$211,0)</f>
        <v/>
      </c>
      <c r="BA539">
        <f>IF(IF('01_Вводные'!$B$296="Новый сезон",TRUE,TRUE),'19_Расчет_аналитики'!BA427*CapacityAge20*'19_Расчет_аналитики'!$F$211,0)</f>
        <v/>
      </c>
      <c r="BB539">
        <f>IF(IF('01_Вводные'!$B$296="Новый сезон",TRUE,TRUE),'19_Расчет_аналитики'!BB427*CapacityAge20*'19_Расчет_аналитики'!$F$211,0)</f>
        <v/>
      </c>
      <c r="BC539">
        <f>IF(IF('01_Вводные'!$B$296="Новый сезон",TRUE,TRUE),'19_Расчет_аналитики'!BC427*CapacityAge20*'19_Расчет_аналитики'!$F$211,0)</f>
        <v/>
      </c>
      <c r="BD539">
        <f>IF(IF('01_Вводные'!$B$296="Новый сезон",TRUE,TRUE),'19_Расчет_аналитики'!BD427*CapacityAge20*'19_Расчет_аналитики'!$F$211,0)</f>
        <v/>
      </c>
      <c r="BE539">
        <f>IF(IF('01_Вводные'!$B$296="Новый сезон",TRUE,TRUE),'19_Расчет_аналитики'!BE427*CapacityAge20*'19_Расчет_аналитики'!$F$211,0)</f>
        <v/>
      </c>
      <c r="BF539">
        <f>IF(IF('01_Вводные'!$B$296="Новый сезон",TRUE,TRUE),'19_Расчет_аналитики'!BF427*CapacityAge20*'19_Расчет_аналитики'!$F$211,0)</f>
        <v/>
      </c>
      <c r="BG539">
        <f>IF(IF('01_Вводные'!$B$296="Новый сезон",TRUE,TRUE),'19_Расчет_аналитики'!BG427*CapacityAge20*'19_Расчет_аналитики'!$F$211,0)</f>
        <v/>
      </c>
      <c r="BH539">
        <f>IF(IF('01_Вводные'!$B$296="Новый сезон",TRUE,TRUE),'19_Расчет_аналитики'!BH427*CapacityAge20*'19_Расчет_аналитики'!$F$211,0)</f>
        <v/>
      </c>
      <c r="BI539">
        <f>IF(IF('01_Вводные'!$B$296="Новый сезон",TRUE,TRUE),'19_Расчет_аналитики'!BI427*CapacityAge20*'19_Расчет_аналитики'!$F$211,0)</f>
        <v/>
      </c>
      <c r="BJ539">
        <f>IF(IF('01_Вводные'!$B$296="Новый сезон",TRUE,TRUE),'19_Расчет_аналитики'!BJ427*CapacityAge20*'19_Расчет_аналитики'!$F$211,0)</f>
        <v/>
      </c>
      <c r="BK539">
        <f>IF(IF('01_Вводные'!$B$296="Новый сезон",TRUE,TRUE),'19_Расчет_аналитики'!BK427*CapacityAge20*'19_Расчет_аналитики'!$F$211,0)</f>
        <v/>
      </c>
      <c r="BL539">
        <f>IF(IF('01_Вводные'!$B$296="Новый сезон",TRUE,TRUE),'19_Расчет_аналитики'!BL427*CapacityAge20*'19_Расчет_аналитики'!$F$211,0)</f>
        <v/>
      </c>
      <c r="BM539">
        <f>IF(IF('01_Вводные'!$B$296="Новый сезон",TRUE,TRUE),'19_Расчет_аналитики'!BM427*CapacityAge20*'19_Расчет_аналитики'!$F$211,0)</f>
        <v/>
      </c>
      <c r="BN539">
        <f>IF(IF('01_Вводные'!$B$296="Новый сезон",TRUE,TRUE),'19_Расчет_аналитики'!BN427*CapacityAge20*'19_Расчет_аналитики'!$F$211,0)</f>
        <v/>
      </c>
      <c r="BO539">
        <f>IF(IF('01_Вводные'!$B$296="Новый сезон",TRUE,TRUE),'19_Расчет_аналитики'!BO427*CapacityAge20*'19_Расчет_аналитики'!$F$211,0)</f>
        <v/>
      </c>
    </row>
    <row r="540">
      <c r="B540">
        <f>IF(IF('01_Вводные'!$B$296="Новый сезон",TRUE,TRUE),'06_Сеть_и_дети'!B73*CapacityAge21*'19_Расчет_аналитики'!$F$211,0)</f>
        <v/>
      </c>
      <c r="C540">
        <f>IF(IF('01_Вводные'!$B$296="Новый сезон",TRUE,TRUE),'06_Сеть_и_дети'!C73*CapacityAge21*'19_Расчет_аналитики'!$F$211,0)</f>
        <v/>
      </c>
      <c r="D540">
        <f>IF(IF('01_Вводные'!$B$296="Новый сезон",TRUE,TRUE),'06_Сеть_и_дети'!D73*CapacityAge21*'19_Расчет_аналитики'!$F$211,0)</f>
        <v/>
      </c>
      <c r="E540">
        <f>IF(IF('01_Вводные'!$B$296="Новый сезон",TRUE,TRUE),'06_Сеть_и_дети'!E73*CapacityAge21*'19_Расчет_аналитики'!$F$211,0)</f>
        <v/>
      </c>
      <c r="F540">
        <f>IF(IF('01_Вводные'!$B$296="Новый сезон",TRUE,TRUE),'06_Сеть_и_дети'!F73*CapacityAge21*'19_Расчет_аналитики'!$F$211,0)</f>
        <v/>
      </c>
      <c r="G540">
        <f>IF(IF('01_Вводные'!$B$296="Новый сезон",TRUE,TRUE),'06_Сеть_и_дети'!G73*CapacityAge21*'19_Расчет_аналитики'!$F$211,0)</f>
        <v/>
      </c>
      <c r="H540">
        <f>IF(IF('01_Вводные'!$B$296="Новый сезон",TRUE,TRUE),'06_Сеть_и_дети'!H73*CapacityAge21*'19_Расчет_аналитики'!$F$211,0)</f>
        <v/>
      </c>
      <c r="I540">
        <f>IF(IF('01_Вводные'!$B$296="Новый сезон",TRUE,TRUE),'06_Сеть_и_дети'!I73*CapacityAge21*'19_Расчет_аналитики'!$F$211,0)</f>
        <v/>
      </c>
      <c r="J540">
        <f>IF(IF('01_Вводные'!$B$296="Новый сезон",TRUE,TRUE),'06_Сеть_и_дети'!J73*CapacityAge21*'19_Расчет_аналитики'!$F$211,0)</f>
        <v/>
      </c>
      <c r="K540">
        <f>IF(IF('01_Вводные'!$B$296="Новый сезон",TRUE,TRUE),'06_Сеть_и_дети'!K73*CapacityAge21*'19_Расчет_аналитики'!$F$211,0)</f>
        <v/>
      </c>
      <c r="L540">
        <f>IF(IF('01_Вводные'!$B$296="Новый сезон",TRUE,TRUE),'06_Сеть_и_дети'!L73*CapacityAge21*'19_Расчет_аналитики'!$F$211,0)</f>
        <v/>
      </c>
      <c r="M540">
        <f>IF(IF('01_Вводные'!$B$296="Новый сезон",TRUE,TRUE),'06_Сеть_и_дети'!M73*CapacityAge21*'19_Расчет_аналитики'!$F$211,0)</f>
        <v/>
      </c>
      <c r="N540">
        <f>IF(IF('01_Вводные'!$B$296="Новый сезон",TRUE,TRUE),'06_Сеть_и_дети'!N73*CapacityAge21*'19_Расчет_аналитики'!$F$211,0)</f>
        <v/>
      </c>
      <c r="O540">
        <f>IF(IF('01_Вводные'!$B$296="Новый сезон",TRUE,TRUE),'06_Сеть_и_дети'!O73*CapacityAge21*'19_Расчет_аналитики'!$F$211,0)</f>
        <v/>
      </c>
      <c r="P540">
        <f>IF(IF('01_Вводные'!$B$296="Новый сезон",TRUE,TRUE),'06_Сеть_и_дети'!P73*CapacityAge21*'19_Расчет_аналитики'!$F$211,0)</f>
        <v/>
      </c>
      <c r="Q540">
        <f>IF(IF('01_Вводные'!$B$296="Новый сезон",TRUE,TRUE),'06_Сеть_и_дети'!Q73*CapacityAge21*'19_Расчет_аналитики'!$F$211,0)</f>
        <v/>
      </c>
      <c r="R540">
        <f>IF(IF('01_Вводные'!$B$296="Новый сезон",TRUE,TRUE),'06_Сеть_и_дети'!R73*CapacityAge21*'19_Расчет_аналитики'!$F$211,0)</f>
        <v/>
      </c>
      <c r="S540">
        <f>IF(IF('01_Вводные'!$B$296="Новый сезон",TRUE,TRUE),'06_Сеть_и_дети'!S73*CapacityAge21*'19_Расчет_аналитики'!$F$211,0)</f>
        <v/>
      </c>
      <c r="T540">
        <f>IF(IF('01_Вводные'!$B$296="Новый сезон",TRUE,TRUE),'06_Сеть_и_дети'!T73*CapacityAge21*'19_Расчет_аналитики'!$F$211,0)</f>
        <v/>
      </c>
      <c r="U540">
        <f>IF(IF('01_Вводные'!$B$296="Новый сезон",TRUE,TRUE),'06_Сеть_и_дети'!U73*CapacityAge21*'19_Расчет_аналитики'!$F$211,0)</f>
        <v/>
      </c>
      <c r="V540">
        <f>IF(IF('01_Вводные'!$B$296="Новый сезон",TRUE,TRUE),'19_Расчет_аналитики'!V428*CapacityAge21*'19_Расчет_аналитики'!$F$211,0)</f>
        <v/>
      </c>
      <c r="W540">
        <f>IF(IF('01_Вводные'!$B$296="Новый сезон",TRUE,TRUE),'19_Расчет_аналитики'!W428*CapacityAge21*'19_Расчет_аналитики'!$F$211,0)</f>
        <v/>
      </c>
      <c r="X540">
        <f>IF(IF('01_Вводные'!$B$296="Новый сезон",TRUE,TRUE),'19_Расчет_аналитики'!X428*CapacityAge21*'19_Расчет_аналитики'!$F$211,0)</f>
        <v/>
      </c>
      <c r="Y540">
        <f>IF(IF('01_Вводные'!$B$296="Новый сезон",TRUE,TRUE),'19_Расчет_аналитики'!Y428*CapacityAge21*'19_Расчет_аналитики'!$F$211,0)</f>
        <v/>
      </c>
      <c r="Z540">
        <f>IF(IF('01_Вводные'!$B$296="Новый сезон",TRUE,TRUE),'19_Расчет_аналитики'!Z428*CapacityAge21*'19_Расчет_аналитики'!$F$211,0)</f>
        <v/>
      </c>
      <c r="AA540">
        <f>IF(IF('01_Вводные'!$B$296="Новый сезон",TRUE,TRUE),'19_Расчет_аналитики'!AA428*CapacityAge21*'19_Расчет_аналитики'!$F$211,0)</f>
        <v/>
      </c>
      <c r="AB540">
        <f>IF(IF('01_Вводные'!$B$296="Новый сезон",TRUE,TRUE),'19_Расчет_аналитики'!AB428*CapacityAge21*'19_Расчет_аналитики'!$F$211,0)</f>
        <v/>
      </c>
      <c r="AC540">
        <f>IF(IF('01_Вводные'!$B$296="Новый сезон",TRUE,TRUE),'19_Расчет_аналитики'!AC428*CapacityAge21*'19_Расчет_аналитики'!$F$211,0)</f>
        <v/>
      </c>
      <c r="AD540">
        <f>IF(IF('01_Вводные'!$B$296="Новый сезон",TRUE,TRUE),'19_Расчет_аналитики'!AD428*CapacityAge21*'19_Расчет_аналитики'!$F$211,0)</f>
        <v/>
      </c>
      <c r="AE540">
        <f>IF(IF('01_Вводные'!$B$296="Новый сезон",TRUE,TRUE),'19_Расчет_аналитики'!AE428*CapacityAge21*'19_Расчет_аналитики'!$F$211,0)</f>
        <v/>
      </c>
      <c r="AF540">
        <f>IF(IF('01_Вводные'!$B$296="Новый сезон",TRUE,TRUE),'19_Расчет_аналитики'!AF428*CapacityAge21*'19_Расчет_аналитики'!$F$211,0)</f>
        <v/>
      </c>
      <c r="AG540">
        <f>IF(IF('01_Вводные'!$B$296="Новый сезон",TRUE,TRUE),'19_Расчет_аналитики'!AG428*CapacityAge21*'19_Расчет_аналитики'!$F$211,0)</f>
        <v/>
      </c>
      <c r="AH540">
        <f>IF(IF('01_Вводные'!$B$296="Новый сезон",TRUE,TRUE),'19_Расчет_аналитики'!AH428*CapacityAge21*'19_Расчет_аналитики'!$F$211,0)</f>
        <v/>
      </c>
      <c r="AI540">
        <f>IF(IF('01_Вводные'!$B$296="Новый сезон",TRUE,TRUE),'19_Расчет_аналитики'!AI428*CapacityAge21*'19_Расчет_аналитики'!$F$211,0)</f>
        <v/>
      </c>
      <c r="AJ540">
        <f>IF(IF('01_Вводные'!$B$296="Новый сезон",TRUE,TRUE),'19_Расчет_аналитики'!AJ428*CapacityAge21*'19_Расчет_аналитики'!$F$211,0)</f>
        <v/>
      </c>
      <c r="AK540">
        <f>IF(IF('01_Вводные'!$B$296="Новый сезон",TRUE,TRUE),'19_Расчет_аналитики'!AK428*CapacityAge21*'19_Расчет_аналитики'!$F$211,0)</f>
        <v/>
      </c>
      <c r="AL540">
        <f>IF(IF('01_Вводные'!$B$296="Новый сезон",TRUE,TRUE),'19_Расчет_аналитики'!AL428*CapacityAge21*'19_Расчет_аналитики'!$F$211,0)</f>
        <v/>
      </c>
      <c r="AM540">
        <f>IF(IF('01_Вводные'!$B$296="Новый сезон",TRUE,TRUE),'19_Расчет_аналитики'!AM428*CapacityAge21*'19_Расчет_аналитики'!$F$211,0)</f>
        <v/>
      </c>
      <c r="AN540">
        <f>IF(IF('01_Вводные'!$B$296="Новый сезон",TRUE,TRUE),'19_Расчет_аналитики'!AN428*CapacityAge21*'19_Расчет_аналитики'!$F$211,0)</f>
        <v/>
      </c>
      <c r="AO540">
        <f>IF(IF('01_Вводные'!$B$296="Новый сезон",TRUE,TRUE),'19_Расчет_аналитики'!AO428*CapacityAge21*'19_Расчет_аналитики'!$F$211,0)</f>
        <v/>
      </c>
      <c r="AP540">
        <f>IF(IF('01_Вводные'!$B$296="Новый сезон",TRUE,TRUE),'19_Расчет_аналитики'!AP428*CapacityAge21*'19_Расчет_аналитики'!$F$211,0)</f>
        <v/>
      </c>
      <c r="AQ540">
        <f>IF(IF('01_Вводные'!$B$296="Новый сезон",TRUE,TRUE),'19_Расчет_аналитики'!AQ428*CapacityAge21*'19_Расчет_аналитики'!$F$211,0)</f>
        <v/>
      </c>
      <c r="AR540">
        <f>IF(IF('01_Вводные'!$B$296="Новый сезон",TRUE,TRUE),'19_Расчет_аналитики'!AR428*CapacityAge21*'19_Расчет_аналитики'!$F$211,0)</f>
        <v/>
      </c>
      <c r="AS540">
        <f>IF(IF('01_Вводные'!$B$296="Новый сезон",TRUE,TRUE),'19_Расчет_аналитики'!AS428*CapacityAge21*'19_Расчет_аналитики'!$F$211,0)</f>
        <v/>
      </c>
      <c r="AT540">
        <f>IF(IF('01_Вводные'!$B$296="Новый сезон",TRUE,TRUE),'19_Расчет_аналитики'!AT428*CapacityAge21*'19_Расчет_аналитики'!$F$211,0)</f>
        <v/>
      </c>
      <c r="AU540">
        <f>IF(IF('01_Вводные'!$B$296="Новый сезон",TRUE,TRUE),'19_Расчет_аналитики'!AU428*CapacityAge21*'19_Расчет_аналитики'!$F$211,0)</f>
        <v/>
      </c>
      <c r="AV540">
        <f>IF(IF('01_Вводные'!$B$296="Новый сезон",TRUE,TRUE),'19_Расчет_аналитики'!AV428*CapacityAge21*'19_Расчет_аналитики'!$F$211,0)</f>
        <v/>
      </c>
      <c r="AW540">
        <f>IF(IF('01_Вводные'!$B$296="Новый сезон",TRUE,TRUE),'19_Расчет_аналитики'!AW428*CapacityAge21*'19_Расчет_аналитики'!$F$211,0)</f>
        <v/>
      </c>
      <c r="AX540">
        <f>IF(IF('01_Вводные'!$B$296="Новый сезон",TRUE,TRUE),'19_Расчет_аналитики'!AX428*CapacityAge21*'19_Расчет_аналитики'!$F$211,0)</f>
        <v/>
      </c>
      <c r="AY540">
        <f>IF(IF('01_Вводные'!$B$296="Новый сезон",TRUE,TRUE),'19_Расчет_аналитики'!AY428*CapacityAge21*'19_Расчет_аналитики'!$F$211,0)</f>
        <v/>
      </c>
      <c r="AZ540">
        <f>IF(IF('01_Вводные'!$B$296="Новый сезон",TRUE,TRUE),'19_Расчет_аналитики'!AZ428*CapacityAge21*'19_Расчет_аналитики'!$F$211,0)</f>
        <v/>
      </c>
      <c r="BA540">
        <f>IF(IF('01_Вводные'!$B$296="Новый сезон",TRUE,TRUE),'19_Расчет_аналитики'!BA428*CapacityAge21*'19_Расчет_аналитики'!$F$211,0)</f>
        <v/>
      </c>
      <c r="BB540">
        <f>IF(IF('01_Вводные'!$B$296="Новый сезон",TRUE,TRUE),'19_Расчет_аналитики'!BB428*CapacityAge21*'19_Расчет_аналитики'!$F$211,0)</f>
        <v/>
      </c>
      <c r="BC540">
        <f>IF(IF('01_Вводные'!$B$296="Новый сезон",TRUE,TRUE),'19_Расчет_аналитики'!BC428*CapacityAge21*'19_Расчет_аналитики'!$F$211,0)</f>
        <v/>
      </c>
      <c r="BD540">
        <f>IF(IF('01_Вводные'!$B$296="Новый сезон",TRUE,TRUE),'19_Расчет_аналитики'!BD428*CapacityAge21*'19_Расчет_аналитики'!$F$211,0)</f>
        <v/>
      </c>
      <c r="BE540">
        <f>IF(IF('01_Вводные'!$B$296="Новый сезон",TRUE,TRUE),'19_Расчет_аналитики'!BE428*CapacityAge21*'19_Расчет_аналитики'!$F$211,0)</f>
        <v/>
      </c>
      <c r="BF540">
        <f>IF(IF('01_Вводные'!$B$296="Новый сезон",TRUE,TRUE),'19_Расчет_аналитики'!BF428*CapacityAge21*'19_Расчет_аналитики'!$F$211,0)</f>
        <v/>
      </c>
      <c r="BG540">
        <f>IF(IF('01_Вводные'!$B$296="Новый сезон",TRUE,TRUE),'19_Расчет_аналитики'!BG428*CapacityAge21*'19_Расчет_аналитики'!$F$211,0)</f>
        <v/>
      </c>
      <c r="BH540">
        <f>IF(IF('01_Вводные'!$B$296="Новый сезон",TRUE,TRUE),'19_Расчет_аналитики'!BH428*CapacityAge21*'19_Расчет_аналитики'!$F$211,0)</f>
        <v/>
      </c>
      <c r="BI540">
        <f>IF(IF('01_Вводные'!$B$296="Новый сезон",TRUE,TRUE),'19_Расчет_аналитики'!BI428*CapacityAge21*'19_Расчет_аналитики'!$F$211,0)</f>
        <v/>
      </c>
      <c r="BJ540">
        <f>IF(IF('01_Вводные'!$B$296="Новый сезон",TRUE,TRUE),'19_Расчет_аналитики'!BJ428*CapacityAge21*'19_Расчет_аналитики'!$F$211,0)</f>
        <v/>
      </c>
      <c r="BK540">
        <f>IF(IF('01_Вводные'!$B$296="Новый сезон",TRUE,TRUE),'19_Расчет_аналитики'!BK428*CapacityAge21*'19_Расчет_аналитики'!$F$211,0)</f>
        <v/>
      </c>
      <c r="BL540">
        <f>IF(IF('01_Вводные'!$B$296="Новый сезон",TRUE,TRUE),'19_Расчет_аналитики'!BL428*CapacityAge21*'19_Расчет_аналитики'!$F$211,0)</f>
        <v/>
      </c>
      <c r="BM540">
        <f>IF(IF('01_Вводные'!$B$296="Новый сезон",TRUE,TRUE),'19_Расчет_аналитики'!BM428*CapacityAge21*'19_Расчет_аналитики'!$F$211,0)</f>
        <v/>
      </c>
      <c r="BN540">
        <f>IF(IF('01_Вводные'!$B$296="Новый сезон",TRUE,TRUE),'19_Расчет_аналитики'!BN428*CapacityAge21*'19_Расчет_аналитики'!$F$211,0)</f>
        <v/>
      </c>
      <c r="BO540">
        <f>IF(IF('01_Вводные'!$B$296="Новый сезон",TRUE,TRUE),'19_Расчет_аналитики'!BO428*CapacityAge21*'19_Расчет_аналитики'!$F$211,0)</f>
        <v/>
      </c>
    </row>
    <row r="541">
      <c r="B541">
        <f>IF(IF('01_Вводные'!$B$296="Новый сезон",TRUE,TRUE),'06_Сеть_и_дети'!B74*CapacityAge22*'19_Расчет_аналитики'!$F$211,0)</f>
        <v/>
      </c>
      <c r="C541">
        <f>IF(IF('01_Вводные'!$B$296="Новый сезон",TRUE,TRUE),'06_Сеть_и_дети'!C74*CapacityAge22*'19_Расчет_аналитики'!$F$211,0)</f>
        <v/>
      </c>
      <c r="D541">
        <f>IF(IF('01_Вводные'!$B$296="Новый сезон",TRUE,TRUE),'06_Сеть_и_дети'!D74*CapacityAge22*'19_Расчет_аналитики'!$F$211,0)</f>
        <v/>
      </c>
      <c r="E541">
        <f>IF(IF('01_Вводные'!$B$296="Новый сезон",TRUE,TRUE),'06_Сеть_и_дети'!E74*CapacityAge22*'19_Расчет_аналитики'!$F$211,0)</f>
        <v/>
      </c>
      <c r="F541">
        <f>IF(IF('01_Вводные'!$B$296="Новый сезон",TRUE,TRUE),'06_Сеть_и_дети'!F74*CapacityAge22*'19_Расчет_аналитики'!$F$211,0)</f>
        <v/>
      </c>
      <c r="G541">
        <f>IF(IF('01_Вводные'!$B$296="Новый сезон",TRUE,TRUE),'06_Сеть_и_дети'!G74*CapacityAge22*'19_Расчет_аналитики'!$F$211,0)</f>
        <v/>
      </c>
      <c r="H541">
        <f>IF(IF('01_Вводные'!$B$296="Новый сезон",TRUE,TRUE),'06_Сеть_и_дети'!H74*CapacityAge22*'19_Расчет_аналитики'!$F$211,0)</f>
        <v/>
      </c>
      <c r="I541">
        <f>IF(IF('01_Вводные'!$B$296="Новый сезон",TRUE,TRUE),'06_Сеть_и_дети'!I74*CapacityAge22*'19_Расчет_аналитики'!$F$211,0)</f>
        <v/>
      </c>
      <c r="J541">
        <f>IF(IF('01_Вводные'!$B$296="Новый сезон",TRUE,TRUE),'06_Сеть_и_дети'!J74*CapacityAge22*'19_Расчет_аналитики'!$F$211,0)</f>
        <v/>
      </c>
      <c r="K541">
        <f>IF(IF('01_Вводные'!$B$296="Новый сезон",TRUE,TRUE),'06_Сеть_и_дети'!K74*CapacityAge22*'19_Расчет_аналитики'!$F$211,0)</f>
        <v/>
      </c>
      <c r="L541">
        <f>IF(IF('01_Вводные'!$B$296="Новый сезон",TRUE,TRUE),'06_Сеть_и_дети'!L74*CapacityAge22*'19_Расчет_аналитики'!$F$211,0)</f>
        <v/>
      </c>
      <c r="M541">
        <f>IF(IF('01_Вводные'!$B$296="Новый сезон",TRUE,TRUE),'06_Сеть_и_дети'!M74*CapacityAge22*'19_Расчет_аналитики'!$F$211,0)</f>
        <v/>
      </c>
      <c r="N541">
        <f>IF(IF('01_Вводные'!$B$296="Новый сезон",TRUE,TRUE),'06_Сеть_и_дети'!N74*CapacityAge22*'19_Расчет_аналитики'!$F$211,0)</f>
        <v/>
      </c>
      <c r="O541">
        <f>IF(IF('01_Вводные'!$B$296="Новый сезон",TRUE,TRUE),'06_Сеть_и_дети'!O74*CapacityAge22*'19_Расчет_аналитики'!$F$211,0)</f>
        <v/>
      </c>
      <c r="P541">
        <f>IF(IF('01_Вводные'!$B$296="Новый сезон",TRUE,TRUE),'06_Сеть_и_дети'!P74*CapacityAge22*'19_Расчет_аналитики'!$F$211,0)</f>
        <v/>
      </c>
      <c r="Q541">
        <f>IF(IF('01_Вводные'!$B$296="Новый сезон",TRUE,TRUE),'06_Сеть_и_дети'!Q74*CapacityAge22*'19_Расчет_аналитики'!$F$211,0)</f>
        <v/>
      </c>
      <c r="R541">
        <f>IF(IF('01_Вводные'!$B$296="Новый сезон",TRUE,TRUE),'06_Сеть_и_дети'!R74*CapacityAge22*'19_Расчет_аналитики'!$F$211,0)</f>
        <v/>
      </c>
      <c r="S541">
        <f>IF(IF('01_Вводные'!$B$296="Новый сезон",TRUE,TRUE),'06_Сеть_и_дети'!S74*CapacityAge22*'19_Расчет_аналитики'!$F$211,0)</f>
        <v/>
      </c>
      <c r="T541">
        <f>IF(IF('01_Вводные'!$B$296="Новый сезон",TRUE,TRUE),'06_Сеть_и_дети'!T74*CapacityAge22*'19_Расчет_аналитики'!$F$211,0)</f>
        <v/>
      </c>
      <c r="U541">
        <f>IF(IF('01_Вводные'!$B$296="Новый сезон",TRUE,TRUE),'06_Сеть_и_дети'!U74*CapacityAge22*'19_Расчет_аналитики'!$F$211,0)</f>
        <v/>
      </c>
      <c r="V541">
        <f>IF(IF('01_Вводные'!$B$296="Новый сезон",TRUE,TRUE),'06_Сеть_и_дети'!V74*CapacityAge22*'19_Расчет_аналитики'!$F$211,0)</f>
        <v/>
      </c>
      <c r="W541">
        <f>IF(IF('01_Вводные'!$B$296="Новый сезон",TRUE,TRUE),'19_Расчет_аналитики'!W429*CapacityAge22*'19_Расчет_аналитики'!$F$211,0)</f>
        <v/>
      </c>
      <c r="X541">
        <f>IF(IF('01_Вводные'!$B$296="Новый сезон",TRUE,TRUE),'19_Расчет_аналитики'!X429*CapacityAge22*'19_Расчет_аналитики'!$F$211,0)</f>
        <v/>
      </c>
      <c r="Y541">
        <f>IF(IF('01_Вводные'!$B$296="Новый сезон",TRUE,TRUE),'19_Расчет_аналитики'!Y429*CapacityAge22*'19_Расчет_аналитики'!$F$211,0)</f>
        <v/>
      </c>
      <c r="Z541">
        <f>IF(IF('01_Вводные'!$B$296="Новый сезон",TRUE,TRUE),'19_Расчет_аналитики'!Z429*CapacityAge22*'19_Расчет_аналитики'!$F$211,0)</f>
        <v/>
      </c>
      <c r="AA541">
        <f>IF(IF('01_Вводные'!$B$296="Новый сезон",TRUE,TRUE),'19_Расчет_аналитики'!AA429*CapacityAge22*'19_Расчет_аналитики'!$F$211,0)</f>
        <v/>
      </c>
      <c r="AB541">
        <f>IF(IF('01_Вводные'!$B$296="Новый сезон",TRUE,TRUE),'19_Расчет_аналитики'!AB429*CapacityAge22*'19_Расчет_аналитики'!$F$211,0)</f>
        <v/>
      </c>
      <c r="AC541">
        <f>IF(IF('01_Вводные'!$B$296="Новый сезон",TRUE,TRUE),'19_Расчет_аналитики'!AC429*CapacityAge22*'19_Расчет_аналитики'!$F$211,0)</f>
        <v/>
      </c>
      <c r="AD541">
        <f>IF(IF('01_Вводные'!$B$296="Новый сезон",TRUE,TRUE),'19_Расчет_аналитики'!AD429*CapacityAge22*'19_Расчет_аналитики'!$F$211,0)</f>
        <v/>
      </c>
      <c r="AE541">
        <f>IF(IF('01_Вводные'!$B$296="Новый сезон",TRUE,TRUE),'19_Расчет_аналитики'!AE429*CapacityAge22*'19_Расчет_аналитики'!$F$211,0)</f>
        <v/>
      </c>
      <c r="AF541">
        <f>IF(IF('01_Вводные'!$B$296="Новый сезон",TRUE,TRUE),'19_Расчет_аналитики'!AF429*CapacityAge22*'19_Расчет_аналитики'!$F$211,0)</f>
        <v/>
      </c>
      <c r="AG541">
        <f>IF(IF('01_Вводные'!$B$296="Новый сезон",TRUE,TRUE),'19_Расчет_аналитики'!AG429*CapacityAge22*'19_Расчет_аналитики'!$F$211,0)</f>
        <v/>
      </c>
      <c r="AH541">
        <f>IF(IF('01_Вводные'!$B$296="Новый сезон",TRUE,TRUE),'19_Расчет_аналитики'!AH429*CapacityAge22*'19_Расчет_аналитики'!$F$211,0)</f>
        <v/>
      </c>
      <c r="AI541">
        <f>IF(IF('01_Вводные'!$B$296="Новый сезон",TRUE,TRUE),'19_Расчет_аналитики'!AI429*CapacityAge22*'19_Расчет_аналитики'!$F$211,0)</f>
        <v/>
      </c>
      <c r="AJ541">
        <f>IF(IF('01_Вводные'!$B$296="Новый сезон",TRUE,TRUE),'19_Расчет_аналитики'!AJ429*CapacityAge22*'19_Расчет_аналитики'!$F$211,0)</f>
        <v/>
      </c>
      <c r="AK541">
        <f>IF(IF('01_Вводные'!$B$296="Новый сезон",TRUE,TRUE),'19_Расчет_аналитики'!AK429*CapacityAge22*'19_Расчет_аналитики'!$F$211,0)</f>
        <v/>
      </c>
      <c r="AL541">
        <f>IF(IF('01_Вводные'!$B$296="Новый сезон",TRUE,TRUE),'19_Расчет_аналитики'!AL429*CapacityAge22*'19_Расчет_аналитики'!$F$211,0)</f>
        <v/>
      </c>
      <c r="AM541">
        <f>IF(IF('01_Вводные'!$B$296="Новый сезон",TRUE,TRUE),'19_Расчет_аналитики'!AM429*CapacityAge22*'19_Расчет_аналитики'!$F$211,0)</f>
        <v/>
      </c>
      <c r="AN541">
        <f>IF(IF('01_Вводные'!$B$296="Новый сезон",TRUE,TRUE),'19_Расчет_аналитики'!AN429*CapacityAge22*'19_Расчет_аналитики'!$F$211,0)</f>
        <v/>
      </c>
      <c r="AO541">
        <f>IF(IF('01_Вводные'!$B$296="Новый сезон",TRUE,TRUE),'19_Расчет_аналитики'!AO429*CapacityAge22*'19_Расчет_аналитики'!$F$211,0)</f>
        <v/>
      </c>
      <c r="AP541">
        <f>IF(IF('01_Вводные'!$B$296="Новый сезон",TRUE,TRUE),'19_Расчет_аналитики'!AP429*CapacityAge22*'19_Расчет_аналитики'!$F$211,0)</f>
        <v/>
      </c>
      <c r="AQ541">
        <f>IF(IF('01_Вводные'!$B$296="Новый сезон",TRUE,TRUE),'19_Расчет_аналитики'!AQ429*CapacityAge22*'19_Расчет_аналитики'!$F$211,0)</f>
        <v/>
      </c>
      <c r="AR541">
        <f>IF(IF('01_Вводные'!$B$296="Новый сезон",TRUE,TRUE),'19_Расчет_аналитики'!AR429*CapacityAge22*'19_Расчет_аналитики'!$F$211,0)</f>
        <v/>
      </c>
      <c r="AS541">
        <f>IF(IF('01_Вводные'!$B$296="Новый сезон",TRUE,TRUE),'19_Расчет_аналитики'!AS429*CapacityAge22*'19_Расчет_аналитики'!$F$211,0)</f>
        <v/>
      </c>
      <c r="AT541">
        <f>IF(IF('01_Вводные'!$B$296="Новый сезон",TRUE,TRUE),'19_Расчет_аналитики'!AT429*CapacityAge22*'19_Расчет_аналитики'!$F$211,0)</f>
        <v/>
      </c>
      <c r="AU541">
        <f>IF(IF('01_Вводные'!$B$296="Новый сезон",TRUE,TRUE),'19_Расчет_аналитики'!AU429*CapacityAge22*'19_Расчет_аналитики'!$F$211,0)</f>
        <v/>
      </c>
      <c r="AV541">
        <f>IF(IF('01_Вводные'!$B$296="Новый сезон",TRUE,TRUE),'19_Расчет_аналитики'!AV429*CapacityAge22*'19_Расчет_аналитики'!$F$211,0)</f>
        <v/>
      </c>
      <c r="AW541">
        <f>IF(IF('01_Вводные'!$B$296="Новый сезон",TRUE,TRUE),'19_Расчет_аналитики'!AW429*CapacityAge22*'19_Расчет_аналитики'!$F$211,0)</f>
        <v/>
      </c>
      <c r="AX541">
        <f>IF(IF('01_Вводные'!$B$296="Новый сезон",TRUE,TRUE),'19_Расчет_аналитики'!AX429*CapacityAge22*'19_Расчет_аналитики'!$F$211,0)</f>
        <v/>
      </c>
      <c r="AY541">
        <f>IF(IF('01_Вводные'!$B$296="Новый сезон",TRUE,TRUE),'19_Расчет_аналитики'!AY429*CapacityAge22*'19_Расчет_аналитики'!$F$211,0)</f>
        <v/>
      </c>
      <c r="AZ541">
        <f>IF(IF('01_Вводные'!$B$296="Новый сезон",TRUE,TRUE),'19_Расчет_аналитики'!AZ429*CapacityAge22*'19_Расчет_аналитики'!$F$211,0)</f>
        <v/>
      </c>
      <c r="BA541">
        <f>IF(IF('01_Вводные'!$B$296="Новый сезон",TRUE,TRUE),'19_Расчет_аналитики'!BA429*CapacityAge22*'19_Расчет_аналитики'!$F$211,0)</f>
        <v/>
      </c>
      <c r="BB541">
        <f>IF(IF('01_Вводные'!$B$296="Новый сезон",TRUE,TRUE),'19_Расчет_аналитики'!BB429*CapacityAge22*'19_Расчет_аналитики'!$F$211,0)</f>
        <v/>
      </c>
      <c r="BC541">
        <f>IF(IF('01_Вводные'!$B$296="Новый сезон",TRUE,TRUE),'19_Расчет_аналитики'!BC429*CapacityAge22*'19_Расчет_аналитики'!$F$211,0)</f>
        <v/>
      </c>
      <c r="BD541">
        <f>IF(IF('01_Вводные'!$B$296="Новый сезон",TRUE,TRUE),'19_Расчет_аналитики'!BD429*CapacityAge22*'19_Расчет_аналитики'!$F$211,0)</f>
        <v/>
      </c>
      <c r="BE541">
        <f>IF(IF('01_Вводные'!$B$296="Новый сезон",TRUE,TRUE),'19_Расчет_аналитики'!BE429*CapacityAge22*'19_Расчет_аналитики'!$F$211,0)</f>
        <v/>
      </c>
      <c r="BF541">
        <f>IF(IF('01_Вводные'!$B$296="Новый сезон",TRUE,TRUE),'19_Расчет_аналитики'!BF429*CapacityAge22*'19_Расчет_аналитики'!$F$211,0)</f>
        <v/>
      </c>
      <c r="BG541">
        <f>IF(IF('01_Вводные'!$B$296="Новый сезон",TRUE,TRUE),'19_Расчет_аналитики'!BG429*CapacityAge22*'19_Расчет_аналитики'!$F$211,0)</f>
        <v/>
      </c>
      <c r="BH541">
        <f>IF(IF('01_Вводные'!$B$296="Новый сезон",TRUE,TRUE),'19_Расчет_аналитики'!BH429*CapacityAge22*'19_Расчет_аналитики'!$F$211,0)</f>
        <v/>
      </c>
      <c r="BI541">
        <f>IF(IF('01_Вводные'!$B$296="Новый сезон",TRUE,TRUE),'19_Расчет_аналитики'!BI429*CapacityAge22*'19_Расчет_аналитики'!$F$211,0)</f>
        <v/>
      </c>
      <c r="BJ541">
        <f>IF(IF('01_Вводные'!$B$296="Новый сезон",TRUE,TRUE),'19_Расчет_аналитики'!BJ429*CapacityAge22*'19_Расчет_аналитики'!$F$211,0)</f>
        <v/>
      </c>
      <c r="BK541">
        <f>IF(IF('01_Вводные'!$B$296="Новый сезон",TRUE,TRUE),'19_Расчет_аналитики'!BK429*CapacityAge22*'19_Расчет_аналитики'!$F$211,0)</f>
        <v/>
      </c>
      <c r="BL541">
        <f>IF(IF('01_Вводные'!$B$296="Новый сезон",TRUE,TRUE),'19_Расчет_аналитики'!BL429*CapacityAge22*'19_Расчет_аналитики'!$F$211,0)</f>
        <v/>
      </c>
      <c r="BM541">
        <f>IF(IF('01_Вводные'!$B$296="Новый сезон",TRUE,TRUE),'19_Расчет_аналитики'!BM429*CapacityAge22*'19_Расчет_аналитики'!$F$211,0)</f>
        <v/>
      </c>
      <c r="BN541">
        <f>IF(IF('01_Вводные'!$B$296="Новый сезон",TRUE,TRUE),'19_Расчет_аналитики'!BN429*CapacityAge22*'19_Расчет_аналитики'!$F$211,0)</f>
        <v/>
      </c>
      <c r="BO541">
        <f>IF(IF('01_Вводные'!$B$296="Новый сезон",TRUE,TRUE),'19_Расчет_аналитики'!BO429*CapacityAge22*'19_Расчет_аналитики'!$F$211,0)</f>
        <v/>
      </c>
    </row>
    <row r="542">
      <c r="B542">
        <f>IF(IF('01_Вводные'!$B$296="Новый сезон",TRUE,TRUE),'06_Сеть_и_дети'!B75*CapacityAge23*'19_Расчет_аналитики'!$F$211,0)</f>
        <v/>
      </c>
      <c r="C542">
        <f>IF(IF('01_Вводные'!$B$296="Новый сезон",TRUE,TRUE),'06_Сеть_и_дети'!C75*CapacityAge23*'19_Расчет_аналитики'!$F$211,0)</f>
        <v/>
      </c>
      <c r="D542">
        <f>IF(IF('01_Вводные'!$B$296="Новый сезон",TRUE,TRUE),'06_Сеть_и_дети'!D75*CapacityAge23*'19_Расчет_аналитики'!$F$211,0)</f>
        <v/>
      </c>
      <c r="E542">
        <f>IF(IF('01_Вводные'!$B$296="Новый сезон",TRUE,TRUE),'06_Сеть_и_дети'!E75*CapacityAge23*'19_Расчет_аналитики'!$F$211,0)</f>
        <v/>
      </c>
      <c r="F542">
        <f>IF(IF('01_Вводные'!$B$296="Новый сезон",TRUE,TRUE),'06_Сеть_и_дети'!F75*CapacityAge23*'19_Расчет_аналитики'!$F$211,0)</f>
        <v/>
      </c>
      <c r="G542">
        <f>IF(IF('01_Вводные'!$B$296="Новый сезон",TRUE,TRUE),'06_Сеть_и_дети'!G75*CapacityAge23*'19_Расчет_аналитики'!$F$211,0)</f>
        <v/>
      </c>
      <c r="H542">
        <f>IF(IF('01_Вводные'!$B$296="Новый сезон",TRUE,TRUE),'06_Сеть_и_дети'!H75*CapacityAge23*'19_Расчет_аналитики'!$F$211,0)</f>
        <v/>
      </c>
      <c r="I542">
        <f>IF(IF('01_Вводные'!$B$296="Новый сезон",TRUE,TRUE),'06_Сеть_и_дети'!I75*CapacityAge23*'19_Расчет_аналитики'!$F$211,0)</f>
        <v/>
      </c>
      <c r="J542">
        <f>IF(IF('01_Вводные'!$B$296="Новый сезон",TRUE,TRUE),'06_Сеть_и_дети'!J75*CapacityAge23*'19_Расчет_аналитики'!$F$211,0)</f>
        <v/>
      </c>
      <c r="K542">
        <f>IF(IF('01_Вводные'!$B$296="Новый сезон",TRUE,TRUE),'06_Сеть_и_дети'!K75*CapacityAge23*'19_Расчет_аналитики'!$F$211,0)</f>
        <v/>
      </c>
      <c r="L542">
        <f>IF(IF('01_Вводные'!$B$296="Новый сезон",TRUE,TRUE),'06_Сеть_и_дети'!L75*CapacityAge23*'19_Расчет_аналитики'!$F$211,0)</f>
        <v/>
      </c>
      <c r="M542">
        <f>IF(IF('01_Вводные'!$B$296="Новый сезон",TRUE,TRUE),'06_Сеть_и_дети'!M75*CapacityAge23*'19_Расчет_аналитики'!$F$211,0)</f>
        <v/>
      </c>
      <c r="N542">
        <f>IF(IF('01_Вводные'!$B$296="Новый сезон",TRUE,TRUE),'06_Сеть_и_дети'!N75*CapacityAge23*'19_Расчет_аналитики'!$F$211,0)</f>
        <v/>
      </c>
      <c r="O542">
        <f>IF(IF('01_Вводные'!$B$296="Новый сезон",TRUE,TRUE),'06_Сеть_и_дети'!O75*CapacityAge23*'19_Расчет_аналитики'!$F$211,0)</f>
        <v/>
      </c>
      <c r="P542">
        <f>IF(IF('01_Вводные'!$B$296="Новый сезон",TRUE,TRUE),'06_Сеть_и_дети'!P75*CapacityAge23*'19_Расчет_аналитики'!$F$211,0)</f>
        <v/>
      </c>
      <c r="Q542">
        <f>IF(IF('01_Вводные'!$B$296="Новый сезон",TRUE,TRUE),'06_Сеть_и_дети'!Q75*CapacityAge23*'19_Расчет_аналитики'!$F$211,0)</f>
        <v/>
      </c>
      <c r="R542">
        <f>IF(IF('01_Вводные'!$B$296="Новый сезон",TRUE,TRUE),'06_Сеть_и_дети'!R75*CapacityAge23*'19_Расчет_аналитики'!$F$211,0)</f>
        <v/>
      </c>
      <c r="S542">
        <f>IF(IF('01_Вводные'!$B$296="Новый сезон",TRUE,TRUE),'06_Сеть_и_дети'!S75*CapacityAge23*'19_Расчет_аналитики'!$F$211,0)</f>
        <v/>
      </c>
      <c r="T542">
        <f>IF(IF('01_Вводные'!$B$296="Новый сезон",TRUE,TRUE),'06_Сеть_и_дети'!T75*CapacityAge23*'19_Расчет_аналитики'!$F$211,0)</f>
        <v/>
      </c>
      <c r="U542">
        <f>IF(IF('01_Вводные'!$B$296="Новый сезон",TRUE,TRUE),'06_Сеть_и_дети'!U75*CapacityAge23*'19_Расчет_аналитики'!$F$211,0)</f>
        <v/>
      </c>
      <c r="V542">
        <f>IF(IF('01_Вводные'!$B$296="Новый сезон",TRUE,TRUE),'06_Сеть_и_дети'!V75*CapacityAge23*'19_Расчет_аналитики'!$F$211,0)</f>
        <v/>
      </c>
      <c r="W542">
        <f>IF(IF('01_Вводные'!$B$296="Новый сезон",TRUE,TRUE),'06_Сеть_и_дети'!W75*CapacityAge23*'19_Расчет_аналитики'!$F$211,0)</f>
        <v/>
      </c>
      <c r="X542">
        <f>IF(IF('01_Вводные'!$B$296="Новый сезон",TRUE,TRUE),'19_Расчет_аналитики'!X430*CapacityAge23*'19_Расчет_аналитики'!$F$211,0)</f>
        <v/>
      </c>
      <c r="Y542">
        <f>IF(IF('01_Вводные'!$B$296="Новый сезон",TRUE,TRUE),'19_Расчет_аналитики'!Y430*CapacityAge23*'19_Расчет_аналитики'!$F$211,0)</f>
        <v/>
      </c>
      <c r="Z542">
        <f>IF(IF('01_Вводные'!$B$296="Новый сезон",TRUE,TRUE),'19_Расчет_аналитики'!Z430*CapacityAge23*'19_Расчет_аналитики'!$F$211,0)</f>
        <v/>
      </c>
      <c r="AA542">
        <f>IF(IF('01_Вводные'!$B$296="Новый сезон",TRUE,TRUE),'19_Расчет_аналитики'!AA430*CapacityAge23*'19_Расчет_аналитики'!$F$211,0)</f>
        <v/>
      </c>
      <c r="AB542">
        <f>IF(IF('01_Вводные'!$B$296="Новый сезон",TRUE,TRUE),'19_Расчет_аналитики'!AB430*CapacityAge23*'19_Расчет_аналитики'!$F$211,0)</f>
        <v/>
      </c>
      <c r="AC542">
        <f>IF(IF('01_Вводные'!$B$296="Новый сезон",TRUE,TRUE),'19_Расчет_аналитики'!AC430*CapacityAge23*'19_Расчет_аналитики'!$F$211,0)</f>
        <v/>
      </c>
      <c r="AD542">
        <f>IF(IF('01_Вводные'!$B$296="Новый сезон",TRUE,TRUE),'19_Расчет_аналитики'!AD430*CapacityAge23*'19_Расчет_аналитики'!$F$211,0)</f>
        <v/>
      </c>
      <c r="AE542">
        <f>IF(IF('01_Вводные'!$B$296="Новый сезон",TRUE,TRUE),'19_Расчет_аналитики'!AE430*CapacityAge23*'19_Расчет_аналитики'!$F$211,0)</f>
        <v/>
      </c>
      <c r="AF542">
        <f>IF(IF('01_Вводные'!$B$296="Новый сезон",TRUE,TRUE),'19_Расчет_аналитики'!AF430*CapacityAge23*'19_Расчет_аналитики'!$F$211,0)</f>
        <v/>
      </c>
      <c r="AG542">
        <f>IF(IF('01_Вводные'!$B$296="Новый сезон",TRUE,TRUE),'19_Расчет_аналитики'!AG430*CapacityAge23*'19_Расчет_аналитики'!$F$211,0)</f>
        <v/>
      </c>
      <c r="AH542">
        <f>IF(IF('01_Вводные'!$B$296="Новый сезон",TRUE,TRUE),'19_Расчет_аналитики'!AH430*CapacityAge23*'19_Расчет_аналитики'!$F$211,0)</f>
        <v/>
      </c>
      <c r="AI542">
        <f>IF(IF('01_Вводные'!$B$296="Новый сезон",TRUE,TRUE),'19_Расчет_аналитики'!AI430*CapacityAge23*'19_Расчет_аналитики'!$F$211,0)</f>
        <v/>
      </c>
      <c r="AJ542">
        <f>IF(IF('01_Вводные'!$B$296="Новый сезон",TRUE,TRUE),'19_Расчет_аналитики'!AJ430*CapacityAge23*'19_Расчет_аналитики'!$F$211,0)</f>
        <v/>
      </c>
      <c r="AK542">
        <f>IF(IF('01_Вводные'!$B$296="Новый сезон",TRUE,TRUE),'19_Расчет_аналитики'!AK430*CapacityAge23*'19_Расчет_аналитики'!$F$211,0)</f>
        <v/>
      </c>
      <c r="AL542">
        <f>IF(IF('01_Вводные'!$B$296="Новый сезон",TRUE,TRUE),'19_Расчет_аналитики'!AL430*CapacityAge23*'19_Расчет_аналитики'!$F$211,0)</f>
        <v/>
      </c>
      <c r="AM542">
        <f>IF(IF('01_Вводные'!$B$296="Новый сезон",TRUE,TRUE),'19_Расчет_аналитики'!AM430*CapacityAge23*'19_Расчет_аналитики'!$F$211,0)</f>
        <v/>
      </c>
      <c r="AN542">
        <f>IF(IF('01_Вводные'!$B$296="Новый сезон",TRUE,TRUE),'19_Расчет_аналитики'!AN430*CapacityAge23*'19_Расчет_аналитики'!$F$211,0)</f>
        <v/>
      </c>
      <c r="AO542">
        <f>IF(IF('01_Вводные'!$B$296="Новый сезон",TRUE,TRUE),'19_Расчет_аналитики'!AO430*CapacityAge23*'19_Расчет_аналитики'!$F$211,0)</f>
        <v/>
      </c>
      <c r="AP542">
        <f>IF(IF('01_Вводные'!$B$296="Новый сезон",TRUE,TRUE),'19_Расчет_аналитики'!AP430*CapacityAge23*'19_Расчет_аналитики'!$F$211,0)</f>
        <v/>
      </c>
      <c r="AQ542">
        <f>IF(IF('01_Вводные'!$B$296="Новый сезон",TRUE,TRUE),'19_Расчет_аналитики'!AQ430*CapacityAge23*'19_Расчет_аналитики'!$F$211,0)</f>
        <v/>
      </c>
      <c r="AR542">
        <f>IF(IF('01_Вводные'!$B$296="Новый сезон",TRUE,TRUE),'19_Расчет_аналитики'!AR430*CapacityAge23*'19_Расчет_аналитики'!$F$211,0)</f>
        <v/>
      </c>
      <c r="AS542">
        <f>IF(IF('01_Вводные'!$B$296="Новый сезон",TRUE,TRUE),'19_Расчет_аналитики'!AS430*CapacityAge23*'19_Расчет_аналитики'!$F$211,0)</f>
        <v/>
      </c>
      <c r="AT542">
        <f>IF(IF('01_Вводные'!$B$296="Новый сезон",TRUE,TRUE),'19_Расчет_аналитики'!AT430*CapacityAge23*'19_Расчет_аналитики'!$F$211,0)</f>
        <v/>
      </c>
      <c r="AU542">
        <f>IF(IF('01_Вводные'!$B$296="Новый сезон",TRUE,TRUE),'19_Расчет_аналитики'!AU430*CapacityAge23*'19_Расчет_аналитики'!$F$211,0)</f>
        <v/>
      </c>
      <c r="AV542">
        <f>IF(IF('01_Вводные'!$B$296="Новый сезон",TRUE,TRUE),'19_Расчет_аналитики'!AV430*CapacityAge23*'19_Расчет_аналитики'!$F$211,0)</f>
        <v/>
      </c>
      <c r="AW542">
        <f>IF(IF('01_Вводные'!$B$296="Новый сезон",TRUE,TRUE),'19_Расчет_аналитики'!AW430*CapacityAge23*'19_Расчет_аналитики'!$F$211,0)</f>
        <v/>
      </c>
      <c r="AX542">
        <f>IF(IF('01_Вводные'!$B$296="Новый сезон",TRUE,TRUE),'19_Расчет_аналитики'!AX430*CapacityAge23*'19_Расчет_аналитики'!$F$211,0)</f>
        <v/>
      </c>
      <c r="AY542">
        <f>IF(IF('01_Вводные'!$B$296="Новый сезон",TRUE,TRUE),'19_Расчет_аналитики'!AY430*CapacityAge23*'19_Расчет_аналитики'!$F$211,0)</f>
        <v/>
      </c>
      <c r="AZ542">
        <f>IF(IF('01_Вводные'!$B$296="Новый сезон",TRUE,TRUE),'19_Расчет_аналитики'!AZ430*CapacityAge23*'19_Расчет_аналитики'!$F$211,0)</f>
        <v/>
      </c>
      <c r="BA542">
        <f>IF(IF('01_Вводные'!$B$296="Новый сезон",TRUE,TRUE),'19_Расчет_аналитики'!BA430*CapacityAge23*'19_Расчет_аналитики'!$F$211,0)</f>
        <v/>
      </c>
      <c r="BB542">
        <f>IF(IF('01_Вводные'!$B$296="Новый сезон",TRUE,TRUE),'19_Расчет_аналитики'!BB430*CapacityAge23*'19_Расчет_аналитики'!$F$211,0)</f>
        <v/>
      </c>
      <c r="BC542">
        <f>IF(IF('01_Вводные'!$B$296="Новый сезон",TRUE,TRUE),'19_Расчет_аналитики'!BC430*CapacityAge23*'19_Расчет_аналитики'!$F$211,0)</f>
        <v/>
      </c>
      <c r="BD542">
        <f>IF(IF('01_Вводные'!$B$296="Новый сезон",TRUE,TRUE),'19_Расчет_аналитики'!BD430*CapacityAge23*'19_Расчет_аналитики'!$F$211,0)</f>
        <v/>
      </c>
      <c r="BE542">
        <f>IF(IF('01_Вводные'!$B$296="Новый сезон",TRUE,TRUE),'19_Расчет_аналитики'!BE430*CapacityAge23*'19_Расчет_аналитики'!$F$211,0)</f>
        <v/>
      </c>
      <c r="BF542">
        <f>IF(IF('01_Вводные'!$B$296="Новый сезон",TRUE,TRUE),'19_Расчет_аналитики'!BF430*CapacityAge23*'19_Расчет_аналитики'!$F$211,0)</f>
        <v/>
      </c>
      <c r="BG542">
        <f>IF(IF('01_Вводные'!$B$296="Новый сезон",TRUE,TRUE),'19_Расчет_аналитики'!BG430*CapacityAge23*'19_Расчет_аналитики'!$F$211,0)</f>
        <v/>
      </c>
      <c r="BH542">
        <f>IF(IF('01_Вводные'!$B$296="Новый сезон",TRUE,TRUE),'19_Расчет_аналитики'!BH430*CapacityAge23*'19_Расчет_аналитики'!$F$211,0)</f>
        <v/>
      </c>
      <c r="BI542">
        <f>IF(IF('01_Вводные'!$B$296="Новый сезон",TRUE,TRUE),'19_Расчет_аналитики'!BI430*CapacityAge23*'19_Расчет_аналитики'!$F$211,0)</f>
        <v/>
      </c>
      <c r="BJ542">
        <f>IF(IF('01_Вводные'!$B$296="Новый сезон",TRUE,TRUE),'19_Расчет_аналитики'!BJ430*CapacityAge23*'19_Расчет_аналитики'!$F$211,0)</f>
        <v/>
      </c>
      <c r="BK542">
        <f>IF(IF('01_Вводные'!$B$296="Новый сезон",TRUE,TRUE),'19_Расчет_аналитики'!BK430*CapacityAge23*'19_Расчет_аналитики'!$F$211,0)</f>
        <v/>
      </c>
      <c r="BL542">
        <f>IF(IF('01_Вводные'!$B$296="Новый сезон",TRUE,TRUE),'19_Расчет_аналитики'!BL430*CapacityAge23*'19_Расчет_аналитики'!$F$211,0)</f>
        <v/>
      </c>
      <c r="BM542">
        <f>IF(IF('01_Вводные'!$B$296="Новый сезон",TRUE,TRUE),'19_Расчет_аналитики'!BM430*CapacityAge23*'19_Расчет_аналитики'!$F$211,0)</f>
        <v/>
      </c>
      <c r="BN542">
        <f>IF(IF('01_Вводные'!$B$296="Новый сезон",TRUE,TRUE),'19_Расчет_аналитики'!BN430*CapacityAge23*'19_Расчет_аналитики'!$F$211,0)</f>
        <v/>
      </c>
      <c r="BO542">
        <f>IF(IF('01_Вводные'!$B$296="Новый сезон",TRUE,TRUE),'19_Расчет_аналитики'!BO430*CapacityAge23*'19_Расчет_аналитики'!$F$211,0)</f>
        <v/>
      </c>
    </row>
    <row r="543">
      <c r="B543">
        <f>IF(IF('01_Вводные'!$B$296="Новый сезон",TRUE,TRUE),'06_Сеть_и_дети'!B76*CapacityAge24*'19_Расчет_аналитики'!$F$211,0)</f>
        <v/>
      </c>
      <c r="C543">
        <f>IF(IF('01_Вводные'!$B$296="Новый сезон",TRUE,TRUE),'06_Сеть_и_дети'!C76*CapacityAge24*'19_Расчет_аналитики'!$F$211,0)</f>
        <v/>
      </c>
      <c r="D543">
        <f>IF(IF('01_Вводные'!$B$296="Новый сезон",TRUE,TRUE),'06_Сеть_и_дети'!D76*CapacityAge24*'19_Расчет_аналитики'!$F$211,0)</f>
        <v/>
      </c>
      <c r="E543">
        <f>IF(IF('01_Вводные'!$B$296="Новый сезон",TRUE,TRUE),'06_Сеть_и_дети'!E76*CapacityAge24*'19_Расчет_аналитики'!$F$211,0)</f>
        <v/>
      </c>
      <c r="F543">
        <f>IF(IF('01_Вводные'!$B$296="Новый сезон",TRUE,TRUE),'06_Сеть_и_дети'!F76*CapacityAge24*'19_Расчет_аналитики'!$F$211,0)</f>
        <v/>
      </c>
      <c r="G543">
        <f>IF(IF('01_Вводные'!$B$296="Новый сезон",TRUE,TRUE),'06_Сеть_и_дети'!G76*CapacityAge24*'19_Расчет_аналитики'!$F$211,0)</f>
        <v/>
      </c>
      <c r="H543">
        <f>IF(IF('01_Вводные'!$B$296="Новый сезон",TRUE,TRUE),'06_Сеть_и_дети'!H76*CapacityAge24*'19_Расчет_аналитики'!$F$211,0)</f>
        <v/>
      </c>
      <c r="I543">
        <f>IF(IF('01_Вводные'!$B$296="Новый сезон",TRUE,TRUE),'06_Сеть_и_дети'!I76*CapacityAge24*'19_Расчет_аналитики'!$F$211,0)</f>
        <v/>
      </c>
      <c r="J543">
        <f>IF(IF('01_Вводные'!$B$296="Новый сезон",TRUE,TRUE),'06_Сеть_и_дети'!J76*CapacityAge24*'19_Расчет_аналитики'!$F$211,0)</f>
        <v/>
      </c>
      <c r="K543">
        <f>IF(IF('01_Вводные'!$B$296="Новый сезон",TRUE,TRUE),'06_Сеть_и_дети'!K76*CapacityAge24*'19_Расчет_аналитики'!$F$211,0)</f>
        <v/>
      </c>
      <c r="L543">
        <f>IF(IF('01_Вводные'!$B$296="Новый сезон",TRUE,TRUE),'06_Сеть_и_дети'!L76*CapacityAge24*'19_Расчет_аналитики'!$F$211,0)</f>
        <v/>
      </c>
      <c r="M543">
        <f>IF(IF('01_Вводные'!$B$296="Новый сезон",TRUE,TRUE),'06_Сеть_и_дети'!M76*CapacityAge24*'19_Расчет_аналитики'!$F$211,0)</f>
        <v/>
      </c>
      <c r="N543">
        <f>IF(IF('01_Вводные'!$B$296="Новый сезон",TRUE,TRUE),'06_Сеть_и_дети'!N76*CapacityAge24*'19_Расчет_аналитики'!$F$211,0)</f>
        <v/>
      </c>
      <c r="O543">
        <f>IF(IF('01_Вводные'!$B$296="Новый сезон",TRUE,TRUE),'06_Сеть_и_дети'!O76*CapacityAge24*'19_Расчет_аналитики'!$F$211,0)</f>
        <v/>
      </c>
      <c r="P543">
        <f>IF(IF('01_Вводные'!$B$296="Новый сезон",TRUE,TRUE),'06_Сеть_и_дети'!P76*CapacityAge24*'19_Расчет_аналитики'!$F$211,0)</f>
        <v/>
      </c>
      <c r="Q543">
        <f>IF(IF('01_Вводные'!$B$296="Новый сезон",TRUE,TRUE),'06_Сеть_и_дети'!Q76*CapacityAge24*'19_Расчет_аналитики'!$F$211,0)</f>
        <v/>
      </c>
      <c r="R543">
        <f>IF(IF('01_Вводные'!$B$296="Новый сезон",TRUE,TRUE),'06_Сеть_и_дети'!R76*CapacityAge24*'19_Расчет_аналитики'!$F$211,0)</f>
        <v/>
      </c>
      <c r="S543">
        <f>IF(IF('01_Вводные'!$B$296="Новый сезон",TRUE,TRUE),'06_Сеть_и_дети'!S76*CapacityAge24*'19_Расчет_аналитики'!$F$211,0)</f>
        <v/>
      </c>
      <c r="T543">
        <f>IF(IF('01_Вводные'!$B$296="Новый сезон",TRUE,TRUE),'06_Сеть_и_дети'!T76*CapacityAge24*'19_Расчет_аналитики'!$F$211,0)</f>
        <v/>
      </c>
      <c r="U543">
        <f>IF(IF('01_Вводные'!$B$296="Новый сезон",TRUE,TRUE),'06_Сеть_и_дети'!U76*CapacityAge24*'19_Расчет_аналитики'!$F$211,0)</f>
        <v/>
      </c>
      <c r="V543">
        <f>IF(IF('01_Вводные'!$B$296="Новый сезон",TRUE,TRUE),'06_Сеть_и_дети'!V76*CapacityAge24*'19_Расчет_аналитики'!$F$211,0)</f>
        <v/>
      </c>
      <c r="W543">
        <f>IF(IF('01_Вводные'!$B$296="Новый сезон",TRUE,TRUE),'06_Сеть_и_дети'!W76*CapacityAge24*'19_Расчет_аналитики'!$F$211,0)</f>
        <v/>
      </c>
      <c r="X543">
        <f>IF(IF('01_Вводные'!$B$296="Новый сезон",TRUE,TRUE),'06_Сеть_и_дети'!X76*CapacityAge24*'19_Расчет_аналитики'!$F$211,0)</f>
        <v/>
      </c>
      <c r="Y543">
        <f>IF(IF('01_Вводные'!$B$296="Новый сезон",TRUE,TRUE),'19_Расчет_аналитики'!Y431*CapacityAge24*'19_Расчет_аналитики'!$F$211,0)</f>
        <v/>
      </c>
      <c r="Z543">
        <f>IF(IF('01_Вводные'!$B$296="Новый сезон",TRUE,TRUE),'19_Расчет_аналитики'!Z431*CapacityAge24*'19_Расчет_аналитики'!$F$211,0)</f>
        <v/>
      </c>
      <c r="AA543">
        <f>IF(IF('01_Вводные'!$B$296="Новый сезон",TRUE,TRUE),'19_Расчет_аналитики'!AA431*CapacityAge24*'19_Расчет_аналитики'!$F$211,0)</f>
        <v/>
      </c>
      <c r="AB543">
        <f>IF(IF('01_Вводные'!$B$296="Новый сезон",TRUE,TRUE),'19_Расчет_аналитики'!AB431*CapacityAge24*'19_Расчет_аналитики'!$F$211,0)</f>
        <v/>
      </c>
      <c r="AC543">
        <f>IF(IF('01_Вводные'!$B$296="Новый сезон",TRUE,TRUE),'19_Расчет_аналитики'!AC431*CapacityAge24*'19_Расчет_аналитики'!$F$211,0)</f>
        <v/>
      </c>
      <c r="AD543">
        <f>IF(IF('01_Вводные'!$B$296="Новый сезон",TRUE,TRUE),'19_Расчет_аналитики'!AD431*CapacityAge24*'19_Расчет_аналитики'!$F$211,0)</f>
        <v/>
      </c>
      <c r="AE543">
        <f>IF(IF('01_Вводные'!$B$296="Новый сезон",TRUE,TRUE),'19_Расчет_аналитики'!AE431*CapacityAge24*'19_Расчет_аналитики'!$F$211,0)</f>
        <v/>
      </c>
      <c r="AF543">
        <f>IF(IF('01_Вводные'!$B$296="Новый сезон",TRUE,TRUE),'19_Расчет_аналитики'!AF431*CapacityAge24*'19_Расчет_аналитики'!$F$211,0)</f>
        <v/>
      </c>
      <c r="AG543">
        <f>IF(IF('01_Вводные'!$B$296="Новый сезон",TRUE,TRUE),'19_Расчет_аналитики'!AG431*CapacityAge24*'19_Расчет_аналитики'!$F$211,0)</f>
        <v/>
      </c>
      <c r="AH543">
        <f>IF(IF('01_Вводные'!$B$296="Новый сезон",TRUE,TRUE),'19_Расчет_аналитики'!AH431*CapacityAge24*'19_Расчет_аналитики'!$F$211,0)</f>
        <v/>
      </c>
      <c r="AI543">
        <f>IF(IF('01_Вводные'!$B$296="Новый сезон",TRUE,TRUE),'19_Расчет_аналитики'!AI431*CapacityAge24*'19_Расчет_аналитики'!$F$211,0)</f>
        <v/>
      </c>
      <c r="AJ543">
        <f>IF(IF('01_Вводные'!$B$296="Новый сезон",TRUE,TRUE),'19_Расчет_аналитики'!AJ431*CapacityAge24*'19_Расчет_аналитики'!$F$211,0)</f>
        <v/>
      </c>
      <c r="AK543">
        <f>IF(IF('01_Вводные'!$B$296="Новый сезон",TRUE,TRUE),'19_Расчет_аналитики'!AK431*CapacityAge24*'19_Расчет_аналитики'!$F$211,0)</f>
        <v/>
      </c>
      <c r="AL543">
        <f>IF(IF('01_Вводные'!$B$296="Новый сезон",TRUE,TRUE),'19_Расчет_аналитики'!AL431*CapacityAge24*'19_Расчет_аналитики'!$F$211,0)</f>
        <v/>
      </c>
      <c r="AM543">
        <f>IF(IF('01_Вводные'!$B$296="Новый сезон",TRUE,TRUE),'19_Расчет_аналитики'!AM431*CapacityAge24*'19_Расчет_аналитики'!$F$211,0)</f>
        <v/>
      </c>
      <c r="AN543">
        <f>IF(IF('01_Вводные'!$B$296="Новый сезон",TRUE,TRUE),'19_Расчет_аналитики'!AN431*CapacityAge24*'19_Расчет_аналитики'!$F$211,0)</f>
        <v/>
      </c>
      <c r="AO543">
        <f>IF(IF('01_Вводные'!$B$296="Новый сезон",TRUE,TRUE),'19_Расчет_аналитики'!AO431*CapacityAge24*'19_Расчет_аналитики'!$F$211,0)</f>
        <v/>
      </c>
      <c r="AP543">
        <f>IF(IF('01_Вводные'!$B$296="Новый сезон",TRUE,TRUE),'19_Расчет_аналитики'!AP431*CapacityAge24*'19_Расчет_аналитики'!$F$211,0)</f>
        <v/>
      </c>
      <c r="AQ543">
        <f>IF(IF('01_Вводные'!$B$296="Новый сезон",TRUE,TRUE),'19_Расчет_аналитики'!AQ431*CapacityAge24*'19_Расчет_аналитики'!$F$211,0)</f>
        <v/>
      </c>
      <c r="AR543">
        <f>IF(IF('01_Вводные'!$B$296="Новый сезон",TRUE,TRUE),'19_Расчет_аналитики'!AR431*CapacityAge24*'19_Расчет_аналитики'!$F$211,0)</f>
        <v/>
      </c>
      <c r="AS543">
        <f>IF(IF('01_Вводные'!$B$296="Новый сезон",TRUE,TRUE),'19_Расчет_аналитики'!AS431*CapacityAge24*'19_Расчет_аналитики'!$F$211,0)</f>
        <v/>
      </c>
      <c r="AT543">
        <f>IF(IF('01_Вводные'!$B$296="Новый сезон",TRUE,TRUE),'19_Расчет_аналитики'!AT431*CapacityAge24*'19_Расчет_аналитики'!$F$211,0)</f>
        <v/>
      </c>
      <c r="AU543">
        <f>IF(IF('01_Вводные'!$B$296="Новый сезон",TRUE,TRUE),'19_Расчет_аналитики'!AU431*CapacityAge24*'19_Расчет_аналитики'!$F$211,0)</f>
        <v/>
      </c>
      <c r="AV543">
        <f>IF(IF('01_Вводные'!$B$296="Новый сезон",TRUE,TRUE),'19_Расчет_аналитики'!AV431*CapacityAge24*'19_Расчет_аналитики'!$F$211,0)</f>
        <v/>
      </c>
      <c r="AW543">
        <f>IF(IF('01_Вводные'!$B$296="Новый сезон",TRUE,TRUE),'19_Расчет_аналитики'!AW431*CapacityAge24*'19_Расчет_аналитики'!$F$211,0)</f>
        <v/>
      </c>
      <c r="AX543">
        <f>IF(IF('01_Вводные'!$B$296="Новый сезон",TRUE,TRUE),'19_Расчет_аналитики'!AX431*CapacityAge24*'19_Расчет_аналитики'!$F$211,0)</f>
        <v/>
      </c>
      <c r="AY543">
        <f>IF(IF('01_Вводные'!$B$296="Новый сезон",TRUE,TRUE),'19_Расчет_аналитики'!AY431*CapacityAge24*'19_Расчет_аналитики'!$F$211,0)</f>
        <v/>
      </c>
      <c r="AZ543">
        <f>IF(IF('01_Вводные'!$B$296="Новый сезон",TRUE,TRUE),'19_Расчет_аналитики'!AZ431*CapacityAge24*'19_Расчет_аналитики'!$F$211,0)</f>
        <v/>
      </c>
      <c r="BA543">
        <f>IF(IF('01_Вводные'!$B$296="Новый сезон",TRUE,TRUE),'19_Расчет_аналитики'!BA431*CapacityAge24*'19_Расчет_аналитики'!$F$211,0)</f>
        <v/>
      </c>
      <c r="BB543">
        <f>IF(IF('01_Вводные'!$B$296="Новый сезон",TRUE,TRUE),'19_Расчет_аналитики'!BB431*CapacityAge24*'19_Расчет_аналитики'!$F$211,0)</f>
        <v/>
      </c>
      <c r="BC543">
        <f>IF(IF('01_Вводные'!$B$296="Новый сезон",TRUE,TRUE),'19_Расчет_аналитики'!BC431*CapacityAge24*'19_Расчет_аналитики'!$F$211,0)</f>
        <v/>
      </c>
      <c r="BD543">
        <f>IF(IF('01_Вводные'!$B$296="Новый сезон",TRUE,TRUE),'19_Расчет_аналитики'!BD431*CapacityAge24*'19_Расчет_аналитики'!$F$211,0)</f>
        <v/>
      </c>
      <c r="BE543">
        <f>IF(IF('01_Вводные'!$B$296="Новый сезон",TRUE,TRUE),'19_Расчет_аналитики'!BE431*CapacityAge24*'19_Расчет_аналитики'!$F$211,0)</f>
        <v/>
      </c>
      <c r="BF543">
        <f>IF(IF('01_Вводные'!$B$296="Новый сезон",TRUE,TRUE),'19_Расчет_аналитики'!BF431*CapacityAge24*'19_Расчет_аналитики'!$F$211,0)</f>
        <v/>
      </c>
      <c r="BG543">
        <f>IF(IF('01_Вводные'!$B$296="Новый сезон",TRUE,TRUE),'19_Расчет_аналитики'!BG431*CapacityAge24*'19_Расчет_аналитики'!$F$211,0)</f>
        <v/>
      </c>
      <c r="BH543">
        <f>IF(IF('01_Вводные'!$B$296="Новый сезон",TRUE,TRUE),'19_Расчет_аналитики'!BH431*CapacityAge24*'19_Расчет_аналитики'!$F$211,0)</f>
        <v/>
      </c>
      <c r="BI543">
        <f>IF(IF('01_Вводные'!$B$296="Новый сезон",TRUE,TRUE),'19_Расчет_аналитики'!BI431*CapacityAge24*'19_Расчет_аналитики'!$F$211,0)</f>
        <v/>
      </c>
      <c r="BJ543">
        <f>IF(IF('01_Вводные'!$B$296="Новый сезон",TRUE,TRUE),'19_Расчет_аналитики'!BJ431*CapacityAge24*'19_Расчет_аналитики'!$F$211,0)</f>
        <v/>
      </c>
      <c r="BK543">
        <f>IF(IF('01_Вводные'!$B$296="Новый сезон",TRUE,TRUE),'19_Расчет_аналитики'!BK431*CapacityAge24*'19_Расчет_аналитики'!$F$211,0)</f>
        <v/>
      </c>
      <c r="BL543">
        <f>IF(IF('01_Вводные'!$B$296="Новый сезон",TRUE,TRUE),'19_Расчет_аналитики'!BL431*CapacityAge24*'19_Расчет_аналитики'!$F$211,0)</f>
        <v/>
      </c>
      <c r="BM543">
        <f>IF(IF('01_Вводные'!$B$296="Новый сезон",TRUE,TRUE),'19_Расчет_аналитики'!BM431*CapacityAge24*'19_Расчет_аналитики'!$F$211,0)</f>
        <v/>
      </c>
      <c r="BN543">
        <f>IF(IF('01_Вводные'!$B$296="Новый сезон",TRUE,TRUE),'19_Расчет_аналитики'!BN431*CapacityAge24*'19_Расчет_аналитики'!$F$211,0)</f>
        <v/>
      </c>
      <c r="BO543">
        <f>IF(IF('01_Вводные'!$B$296="Новый сезон",TRUE,TRUE),'19_Расчет_аналитики'!BO431*CapacityAge24*'19_Расчет_аналитики'!$F$211,0)</f>
        <v/>
      </c>
    </row>
    <row r="544">
      <c r="B544">
        <f>IF(IF('01_Вводные'!$B$296="Новый сезон",TRUE,TRUE),'06_Сеть_и_дети'!B77*CapacityAge25*'19_Расчет_аналитики'!$F$211,0)</f>
        <v/>
      </c>
      <c r="C544">
        <f>IF(IF('01_Вводные'!$B$296="Новый сезон",TRUE,TRUE),'06_Сеть_и_дети'!C77*CapacityAge25*'19_Расчет_аналитики'!$F$211,0)</f>
        <v/>
      </c>
      <c r="D544">
        <f>IF(IF('01_Вводные'!$B$296="Новый сезон",TRUE,TRUE),'06_Сеть_и_дети'!D77*CapacityAge25*'19_Расчет_аналитики'!$F$211,0)</f>
        <v/>
      </c>
      <c r="E544">
        <f>IF(IF('01_Вводные'!$B$296="Новый сезон",TRUE,TRUE),'06_Сеть_и_дети'!E77*CapacityAge25*'19_Расчет_аналитики'!$F$211,0)</f>
        <v/>
      </c>
      <c r="F544">
        <f>IF(IF('01_Вводные'!$B$296="Новый сезон",TRUE,TRUE),'06_Сеть_и_дети'!F77*CapacityAge25*'19_Расчет_аналитики'!$F$211,0)</f>
        <v/>
      </c>
      <c r="G544">
        <f>IF(IF('01_Вводные'!$B$296="Новый сезон",TRUE,TRUE),'06_Сеть_и_дети'!G77*CapacityAge25*'19_Расчет_аналитики'!$F$211,0)</f>
        <v/>
      </c>
      <c r="H544">
        <f>IF(IF('01_Вводные'!$B$296="Новый сезон",TRUE,TRUE),'06_Сеть_и_дети'!H77*CapacityAge25*'19_Расчет_аналитики'!$F$211,0)</f>
        <v/>
      </c>
      <c r="I544">
        <f>IF(IF('01_Вводные'!$B$296="Новый сезон",TRUE,TRUE),'06_Сеть_и_дети'!I77*CapacityAge25*'19_Расчет_аналитики'!$F$211,0)</f>
        <v/>
      </c>
      <c r="J544">
        <f>IF(IF('01_Вводные'!$B$296="Новый сезон",TRUE,TRUE),'06_Сеть_и_дети'!J77*CapacityAge25*'19_Расчет_аналитики'!$F$211,0)</f>
        <v/>
      </c>
      <c r="K544">
        <f>IF(IF('01_Вводные'!$B$296="Новый сезон",TRUE,TRUE),'06_Сеть_и_дети'!K77*CapacityAge25*'19_Расчет_аналитики'!$F$211,0)</f>
        <v/>
      </c>
      <c r="L544">
        <f>IF(IF('01_Вводные'!$B$296="Новый сезон",TRUE,TRUE),'06_Сеть_и_дети'!L77*CapacityAge25*'19_Расчет_аналитики'!$F$211,0)</f>
        <v/>
      </c>
      <c r="M544">
        <f>IF(IF('01_Вводные'!$B$296="Новый сезон",TRUE,TRUE),'06_Сеть_и_дети'!M77*CapacityAge25*'19_Расчет_аналитики'!$F$211,0)</f>
        <v/>
      </c>
      <c r="N544">
        <f>IF(IF('01_Вводные'!$B$296="Новый сезон",TRUE,TRUE),'06_Сеть_и_дети'!N77*CapacityAge25*'19_Расчет_аналитики'!$F$211,0)</f>
        <v/>
      </c>
      <c r="O544">
        <f>IF(IF('01_Вводные'!$B$296="Новый сезон",TRUE,TRUE),'06_Сеть_и_дети'!O77*CapacityAge25*'19_Расчет_аналитики'!$F$211,0)</f>
        <v/>
      </c>
      <c r="P544">
        <f>IF(IF('01_Вводные'!$B$296="Новый сезон",TRUE,TRUE),'06_Сеть_и_дети'!P77*CapacityAge25*'19_Расчет_аналитики'!$F$211,0)</f>
        <v/>
      </c>
      <c r="Q544">
        <f>IF(IF('01_Вводные'!$B$296="Новый сезон",TRUE,TRUE),'06_Сеть_и_дети'!Q77*CapacityAge25*'19_Расчет_аналитики'!$F$211,0)</f>
        <v/>
      </c>
      <c r="R544">
        <f>IF(IF('01_Вводные'!$B$296="Новый сезон",TRUE,TRUE),'06_Сеть_и_дети'!R77*CapacityAge25*'19_Расчет_аналитики'!$F$211,0)</f>
        <v/>
      </c>
      <c r="S544">
        <f>IF(IF('01_Вводные'!$B$296="Новый сезон",TRUE,TRUE),'06_Сеть_и_дети'!S77*CapacityAge25*'19_Расчет_аналитики'!$F$211,0)</f>
        <v/>
      </c>
      <c r="T544">
        <f>IF(IF('01_Вводные'!$B$296="Новый сезон",TRUE,TRUE),'06_Сеть_и_дети'!T77*CapacityAge25*'19_Расчет_аналитики'!$F$211,0)</f>
        <v/>
      </c>
      <c r="U544">
        <f>IF(IF('01_Вводные'!$B$296="Новый сезон",TRUE,TRUE),'06_Сеть_и_дети'!U77*CapacityAge25*'19_Расчет_аналитики'!$F$211,0)</f>
        <v/>
      </c>
      <c r="V544">
        <f>IF(IF('01_Вводные'!$B$296="Новый сезон",TRUE,TRUE),'06_Сеть_и_дети'!V77*CapacityAge25*'19_Расчет_аналитики'!$F$211,0)</f>
        <v/>
      </c>
      <c r="W544">
        <f>IF(IF('01_Вводные'!$B$296="Новый сезон",TRUE,TRUE),'06_Сеть_и_дети'!W77*CapacityAge25*'19_Расчет_аналитики'!$F$211,0)</f>
        <v/>
      </c>
      <c r="X544">
        <f>IF(IF('01_Вводные'!$B$296="Новый сезон",TRUE,TRUE),'06_Сеть_и_дети'!X77*CapacityAge25*'19_Расчет_аналитики'!$F$211,0)</f>
        <v/>
      </c>
      <c r="Y544">
        <f>IF(IF('01_Вводные'!$B$296="Новый сезон",TRUE,TRUE),'06_Сеть_и_дети'!Y77*CapacityAge25*'19_Расчет_аналитики'!$F$211,0)</f>
        <v/>
      </c>
      <c r="Z544">
        <f>IF(IF('01_Вводные'!$B$296="Новый сезон",TRUE,TRUE),'19_Расчет_аналитики'!Z432*CapacityAge25*'19_Расчет_аналитики'!$F$211,0)</f>
        <v/>
      </c>
      <c r="AA544">
        <f>IF(IF('01_Вводные'!$B$296="Новый сезон",TRUE,TRUE),'19_Расчет_аналитики'!AA432*CapacityAge25*'19_Расчет_аналитики'!$F$211,0)</f>
        <v/>
      </c>
      <c r="AB544">
        <f>IF(IF('01_Вводные'!$B$296="Новый сезон",TRUE,TRUE),'19_Расчет_аналитики'!AB432*CapacityAge25*'19_Расчет_аналитики'!$F$211,0)</f>
        <v/>
      </c>
      <c r="AC544">
        <f>IF(IF('01_Вводные'!$B$296="Новый сезон",TRUE,TRUE),'19_Расчет_аналитики'!AC432*CapacityAge25*'19_Расчет_аналитики'!$F$211,0)</f>
        <v/>
      </c>
      <c r="AD544">
        <f>IF(IF('01_Вводные'!$B$296="Новый сезон",TRUE,TRUE),'19_Расчет_аналитики'!AD432*CapacityAge25*'19_Расчет_аналитики'!$F$211,0)</f>
        <v/>
      </c>
      <c r="AE544">
        <f>IF(IF('01_Вводные'!$B$296="Новый сезон",TRUE,TRUE),'19_Расчет_аналитики'!AE432*CapacityAge25*'19_Расчет_аналитики'!$F$211,0)</f>
        <v/>
      </c>
      <c r="AF544">
        <f>IF(IF('01_Вводные'!$B$296="Новый сезон",TRUE,TRUE),'19_Расчет_аналитики'!AF432*CapacityAge25*'19_Расчет_аналитики'!$F$211,0)</f>
        <v/>
      </c>
      <c r="AG544">
        <f>IF(IF('01_Вводные'!$B$296="Новый сезон",TRUE,TRUE),'19_Расчет_аналитики'!AG432*CapacityAge25*'19_Расчет_аналитики'!$F$211,0)</f>
        <v/>
      </c>
      <c r="AH544">
        <f>IF(IF('01_Вводные'!$B$296="Новый сезон",TRUE,TRUE),'19_Расчет_аналитики'!AH432*CapacityAge25*'19_Расчет_аналитики'!$F$211,0)</f>
        <v/>
      </c>
      <c r="AI544">
        <f>IF(IF('01_Вводные'!$B$296="Новый сезон",TRUE,TRUE),'19_Расчет_аналитики'!AI432*CapacityAge25*'19_Расчет_аналитики'!$F$211,0)</f>
        <v/>
      </c>
      <c r="AJ544">
        <f>IF(IF('01_Вводные'!$B$296="Новый сезон",TRUE,TRUE),'19_Расчет_аналитики'!AJ432*CapacityAge25*'19_Расчет_аналитики'!$F$211,0)</f>
        <v/>
      </c>
      <c r="AK544">
        <f>IF(IF('01_Вводные'!$B$296="Новый сезон",TRUE,TRUE),'19_Расчет_аналитики'!AK432*CapacityAge25*'19_Расчет_аналитики'!$F$211,0)</f>
        <v/>
      </c>
      <c r="AL544">
        <f>IF(IF('01_Вводные'!$B$296="Новый сезон",TRUE,TRUE),'19_Расчет_аналитики'!AL432*CapacityAge25*'19_Расчет_аналитики'!$F$211,0)</f>
        <v/>
      </c>
      <c r="AM544">
        <f>IF(IF('01_Вводные'!$B$296="Новый сезон",TRUE,TRUE),'19_Расчет_аналитики'!AM432*CapacityAge25*'19_Расчет_аналитики'!$F$211,0)</f>
        <v/>
      </c>
      <c r="AN544">
        <f>IF(IF('01_Вводные'!$B$296="Новый сезон",TRUE,TRUE),'19_Расчет_аналитики'!AN432*CapacityAge25*'19_Расчет_аналитики'!$F$211,0)</f>
        <v/>
      </c>
      <c r="AO544">
        <f>IF(IF('01_Вводные'!$B$296="Новый сезон",TRUE,TRUE),'19_Расчет_аналитики'!AO432*CapacityAge25*'19_Расчет_аналитики'!$F$211,0)</f>
        <v/>
      </c>
      <c r="AP544">
        <f>IF(IF('01_Вводные'!$B$296="Новый сезон",TRUE,TRUE),'19_Расчет_аналитики'!AP432*CapacityAge25*'19_Расчет_аналитики'!$F$211,0)</f>
        <v/>
      </c>
      <c r="AQ544">
        <f>IF(IF('01_Вводные'!$B$296="Новый сезон",TRUE,TRUE),'19_Расчет_аналитики'!AQ432*CapacityAge25*'19_Расчет_аналитики'!$F$211,0)</f>
        <v/>
      </c>
      <c r="AR544">
        <f>IF(IF('01_Вводные'!$B$296="Новый сезон",TRUE,TRUE),'19_Расчет_аналитики'!AR432*CapacityAge25*'19_Расчет_аналитики'!$F$211,0)</f>
        <v/>
      </c>
      <c r="AS544">
        <f>IF(IF('01_Вводные'!$B$296="Новый сезон",TRUE,TRUE),'19_Расчет_аналитики'!AS432*CapacityAge25*'19_Расчет_аналитики'!$F$211,0)</f>
        <v/>
      </c>
      <c r="AT544">
        <f>IF(IF('01_Вводные'!$B$296="Новый сезон",TRUE,TRUE),'19_Расчет_аналитики'!AT432*CapacityAge25*'19_Расчет_аналитики'!$F$211,0)</f>
        <v/>
      </c>
      <c r="AU544">
        <f>IF(IF('01_Вводные'!$B$296="Новый сезон",TRUE,TRUE),'19_Расчет_аналитики'!AU432*CapacityAge25*'19_Расчет_аналитики'!$F$211,0)</f>
        <v/>
      </c>
      <c r="AV544">
        <f>IF(IF('01_Вводные'!$B$296="Новый сезон",TRUE,TRUE),'19_Расчет_аналитики'!AV432*CapacityAge25*'19_Расчет_аналитики'!$F$211,0)</f>
        <v/>
      </c>
      <c r="AW544">
        <f>IF(IF('01_Вводные'!$B$296="Новый сезон",TRUE,TRUE),'19_Расчет_аналитики'!AW432*CapacityAge25*'19_Расчет_аналитики'!$F$211,0)</f>
        <v/>
      </c>
      <c r="AX544">
        <f>IF(IF('01_Вводные'!$B$296="Новый сезон",TRUE,TRUE),'19_Расчет_аналитики'!AX432*CapacityAge25*'19_Расчет_аналитики'!$F$211,0)</f>
        <v/>
      </c>
      <c r="AY544">
        <f>IF(IF('01_Вводные'!$B$296="Новый сезон",TRUE,TRUE),'19_Расчет_аналитики'!AY432*CapacityAge25*'19_Расчет_аналитики'!$F$211,0)</f>
        <v/>
      </c>
      <c r="AZ544">
        <f>IF(IF('01_Вводные'!$B$296="Новый сезон",TRUE,TRUE),'19_Расчет_аналитики'!AZ432*CapacityAge25*'19_Расчет_аналитики'!$F$211,0)</f>
        <v/>
      </c>
      <c r="BA544">
        <f>IF(IF('01_Вводные'!$B$296="Новый сезон",TRUE,TRUE),'19_Расчет_аналитики'!BA432*CapacityAge25*'19_Расчет_аналитики'!$F$211,0)</f>
        <v/>
      </c>
      <c r="BB544">
        <f>IF(IF('01_Вводные'!$B$296="Новый сезон",TRUE,TRUE),'19_Расчет_аналитики'!BB432*CapacityAge25*'19_Расчет_аналитики'!$F$211,0)</f>
        <v/>
      </c>
      <c r="BC544">
        <f>IF(IF('01_Вводные'!$B$296="Новый сезон",TRUE,TRUE),'19_Расчет_аналитики'!BC432*CapacityAge25*'19_Расчет_аналитики'!$F$211,0)</f>
        <v/>
      </c>
      <c r="BD544">
        <f>IF(IF('01_Вводные'!$B$296="Новый сезон",TRUE,TRUE),'19_Расчет_аналитики'!BD432*CapacityAge25*'19_Расчет_аналитики'!$F$211,0)</f>
        <v/>
      </c>
      <c r="BE544">
        <f>IF(IF('01_Вводные'!$B$296="Новый сезон",TRUE,TRUE),'19_Расчет_аналитики'!BE432*CapacityAge25*'19_Расчет_аналитики'!$F$211,0)</f>
        <v/>
      </c>
      <c r="BF544">
        <f>IF(IF('01_Вводные'!$B$296="Новый сезон",TRUE,TRUE),'19_Расчет_аналитики'!BF432*CapacityAge25*'19_Расчет_аналитики'!$F$211,0)</f>
        <v/>
      </c>
      <c r="BG544">
        <f>IF(IF('01_Вводные'!$B$296="Новый сезон",TRUE,TRUE),'19_Расчет_аналитики'!BG432*CapacityAge25*'19_Расчет_аналитики'!$F$211,0)</f>
        <v/>
      </c>
      <c r="BH544">
        <f>IF(IF('01_Вводные'!$B$296="Новый сезон",TRUE,TRUE),'19_Расчет_аналитики'!BH432*CapacityAge25*'19_Расчет_аналитики'!$F$211,0)</f>
        <v/>
      </c>
      <c r="BI544">
        <f>IF(IF('01_Вводные'!$B$296="Новый сезон",TRUE,TRUE),'19_Расчет_аналитики'!BI432*CapacityAge25*'19_Расчет_аналитики'!$F$211,0)</f>
        <v/>
      </c>
      <c r="BJ544">
        <f>IF(IF('01_Вводные'!$B$296="Новый сезон",TRUE,TRUE),'19_Расчет_аналитики'!BJ432*CapacityAge25*'19_Расчет_аналитики'!$F$211,0)</f>
        <v/>
      </c>
      <c r="BK544">
        <f>IF(IF('01_Вводные'!$B$296="Новый сезон",TRUE,TRUE),'19_Расчет_аналитики'!BK432*CapacityAge25*'19_Расчет_аналитики'!$F$211,0)</f>
        <v/>
      </c>
      <c r="BL544">
        <f>IF(IF('01_Вводные'!$B$296="Новый сезон",TRUE,TRUE),'19_Расчет_аналитики'!BL432*CapacityAge25*'19_Расчет_аналитики'!$F$211,0)</f>
        <v/>
      </c>
      <c r="BM544">
        <f>IF(IF('01_Вводные'!$B$296="Новый сезон",TRUE,TRUE),'19_Расчет_аналитики'!BM432*CapacityAge25*'19_Расчет_аналитики'!$F$211,0)</f>
        <v/>
      </c>
      <c r="BN544">
        <f>IF(IF('01_Вводные'!$B$296="Новый сезон",TRUE,TRUE),'19_Расчет_аналитики'!BN432*CapacityAge25*'19_Расчет_аналитики'!$F$211,0)</f>
        <v/>
      </c>
      <c r="BO544">
        <f>IF(IF('01_Вводные'!$B$296="Новый сезон",TRUE,TRUE),'19_Расчет_аналитики'!BO432*CapacityAge25*'19_Расчет_аналитики'!$F$211,0)</f>
        <v/>
      </c>
    </row>
    <row r="545"/>
    <row r="546">
      <c r="B546">
        <f>SUM('19_Расчет_аналитики'!B520:B544)</f>
        <v/>
      </c>
      <c r="C546">
        <f>SUM('19_Расчет_аналитики'!C520:C544)</f>
        <v/>
      </c>
      <c r="D546">
        <f>SUM('19_Расчет_аналитики'!D520:D544)</f>
        <v/>
      </c>
      <c r="E546">
        <f>SUM('19_Расчет_аналитики'!E520:E544)</f>
        <v/>
      </c>
      <c r="F546">
        <f>SUM('19_Расчет_аналитики'!F520:F544)</f>
        <v/>
      </c>
      <c r="G546">
        <f>SUM('19_Расчет_аналитики'!G520:G544)</f>
        <v/>
      </c>
      <c r="H546">
        <f>SUM('19_Расчет_аналитики'!H520:H544)</f>
        <v/>
      </c>
      <c r="I546">
        <f>SUM('19_Расчет_аналитики'!I520:I544)</f>
        <v/>
      </c>
      <c r="J546">
        <f>SUM('19_Расчет_аналитики'!J520:J544)</f>
        <v/>
      </c>
      <c r="K546">
        <f>SUM('19_Расчет_аналитики'!K520:K544)</f>
        <v/>
      </c>
      <c r="L546">
        <f>SUM('19_Расчет_аналитики'!L520:L544)</f>
        <v/>
      </c>
      <c r="M546">
        <f>SUM('19_Расчет_аналитики'!M520:M544)</f>
        <v/>
      </c>
      <c r="N546">
        <f>SUM('19_Расчет_аналитики'!N520:N544)</f>
        <v/>
      </c>
      <c r="O546">
        <f>SUM('19_Расчет_аналитики'!O520:O544)</f>
        <v/>
      </c>
      <c r="P546">
        <f>SUM('19_Расчет_аналитики'!P520:P544)</f>
        <v/>
      </c>
      <c r="Q546">
        <f>SUM('19_Расчет_аналитики'!Q520:Q544)</f>
        <v/>
      </c>
      <c r="R546">
        <f>SUM('19_Расчет_аналитики'!R520:R544)</f>
        <v/>
      </c>
      <c r="S546">
        <f>SUM('19_Расчет_аналитики'!S520:S544)</f>
        <v/>
      </c>
      <c r="T546">
        <f>SUM('19_Расчет_аналитики'!T520:T544)</f>
        <v/>
      </c>
      <c r="U546">
        <f>SUM('19_Расчет_аналитики'!U520:U544)</f>
        <v/>
      </c>
      <c r="V546">
        <f>SUM('19_Расчет_аналитики'!V520:V544)</f>
        <v/>
      </c>
      <c r="W546">
        <f>SUM('19_Расчет_аналитики'!W520:W544)</f>
        <v/>
      </c>
      <c r="X546">
        <f>SUM('19_Расчет_аналитики'!X520:X544)</f>
        <v/>
      </c>
      <c r="Y546">
        <f>SUM('19_Расчет_аналитики'!Y520:Y544)</f>
        <v/>
      </c>
      <c r="Z546">
        <f>SUM('19_Расчет_аналитики'!Z520:Z544)</f>
        <v/>
      </c>
      <c r="AA546">
        <f>SUM('19_Расчет_аналитики'!AA520:AA544)</f>
        <v/>
      </c>
      <c r="AB546">
        <f>SUM('19_Расчет_аналитики'!AB520:AB544)</f>
        <v/>
      </c>
      <c r="AC546">
        <f>SUM('19_Расчет_аналитики'!AC520:AC544)</f>
        <v/>
      </c>
      <c r="AD546">
        <f>SUM('19_Расчет_аналитики'!AD520:AD544)</f>
        <v/>
      </c>
      <c r="AE546">
        <f>SUM('19_Расчет_аналитики'!AE520:AE544)</f>
        <v/>
      </c>
      <c r="AF546">
        <f>SUM('19_Расчет_аналитики'!AF520:AF544)</f>
        <v/>
      </c>
      <c r="AG546">
        <f>SUM('19_Расчет_аналитики'!AG520:AG544)</f>
        <v/>
      </c>
      <c r="AH546">
        <f>SUM('19_Расчет_аналитики'!AH520:AH544)</f>
        <v/>
      </c>
      <c r="AI546">
        <f>SUM('19_Расчет_аналитики'!AI520:AI544)</f>
        <v/>
      </c>
      <c r="AJ546">
        <f>SUM('19_Расчет_аналитики'!AJ520:AJ544)</f>
        <v/>
      </c>
      <c r="AK546">
        <f>SUM('19_Расчет_аналитики'!AK520:AK544)</f>
        <v/>
      </c>
      <c r="AL546">
        <f>SUM('19_Расчет_аналитики'!AL520:AL544)</f>
        <v/>
      </c>
      <c r="AM546">
        <f>SUM('19_Расчет_аналитики'!AM520:AM544)</f>
        <v/>
      </c>
      <c r="AN546">
        <f>SUM('19_Расчет_аналитики'!AN520:AN544)</f>
        <v/>
      </c>
      <c r="AO546">
        <f>SUM('19_Расчет_аналитики'!AO520:AO544)</f>
        <v/>
      </c>
      <c r="AP546">
        <f>SUM('19_Расчет_аналитики'!AP520:AP544)</f>
        <v/>
      </c>
      <c r="AQ546">
        <f>SUM('19_Расчет_аналитики'!AQ520:AQ544)</f>
        <v/>
      </c>
      <c r="AR546">
        <f>SUM('19_Расчет_аналитики'!AR520:AR544)</f>
        <v/>
      </c>
      <c r="AS546">
        <f>SUM('19_Расчет_аналитики'!AS520:AS544)</f>
        <v/>
      </c>
      <c r="AT546">
        <f>SUM('19_Расчет_аналитики'!AT520:AT544)</f>
        <v/>
      </c>
      <c r="AU546">
        <f>SUM('19_Расчет_аналитики'!AU520:AU544)</f>
        <v/>
      </c>
      <c r="AV546">
        <f>SUM('19_Расчет_аналитики'!AV520:AV544)</f>
        <v/>
      </c>
      <c r="AW546">
        <f>SUM('19_Расчет_аналитики'!AW520:AW544)</f>
        <v/>
      </c>
      <c r="AX546">
        <f>SUM('19_Расчет_аналитики'!AX520:AX544)</f>
        <v/>
      </c>
      <c r="AY546">
        <f>SUM('19_Расчет_аналитики'!AY520:AY544)</f>
        <v/>
      </c>
      <c r="AZ546">
        <f>SUM('19_Расчет_аналитики'!AZ520:AZ544)</f>
        <v/>
      </c>
      <c r="BA546">
        <f>SUM('19_Расчет_аналитики'!BA520:BA544)</f>
        <v/>
      </c>
      <c r="BB546">
        <f>SUM('19_Расчет_аналитики'!BB520:BB544)</f>
        <v/>
      </c>
      <c r="BC546">
        <f>SUM('19_Расчет_аналитики'!BC520:BC544)</f>
        <v/>
      </c>
      <c r="BD546">
        <f>SUM('19_Расчет_аналитики'!BD520:BD544)</f>
        <v/>
      </c>
      <c r="BE546">
        <f>SUM('19_Расчет_аналитики'!BE520:BE544)</f>
        <v/>
      </c>
      <c r="BF546">
        <f>SUM('19_Расчет_аналитики'!BF520:BF544)</f>
        <v/>
      </c>
      <c r="BG546">
        <f>SUM('19_Расчет_аналитики'!BG520:BG544)</f>
        <v/>
      </c>
      <c r="BH546">
        <f>SUM('19_Расчет_аналитики'!BH520:BH544)</f>
        <v/>
      </c>
      <c r="BI546">
        <f>SUM('19_Расчет_аналитики'!BI520:BI544)</f>
        <v/>
      </c>
      <c r="BJ546">
        <f>SUM('19_Расчет_аналитики'!BJ520:BJ544)</f>
        <v/>
      </c>
      <c r="BK546">
        <f>SUM('19_Расчет_аналитики'!BK520:BK544)</f>
        <v/>
      </c>
      <c r="BL546">
        <f>SUM('19_Расчет_аналитики'!BL520:BL544)</f>
        <v/>
      </c>
      <c r="BM546">
        <f>SUM('19_Расчет_аналитики'!BM520:BM544)</f>
        <v/>
      </c>
      <c r="BN546">
        <f>SUM('19_Расчет_аналитики'!BN520:BN544)</f>
        <v/>
      </c>
      <c r="BO546">
        <f>SUM('19_Расчет_аналитики'!BO520:BO544)</f>
        <v/>
      </c>
    </row>
    <row r="547"/>
    <row r="548"/>
    <row r="549"/>
    <row r="550"/>
    <row r="551"/>
    <row r="552"/>
    <row r="553"/>
    <row r="554"/>
    <row r="555"/>
    <row r="556"/>
    <row r="557">
      <c r="B557">
        <f>'06_Сеть_и_дети'!B5*'19_Расчет_аналитики'!$F$211*'19_Расчет_аналитики'!$F$212*'18_Календарь_тарифы'!B4</f>
        <v/>
      </c>
      <c r="C557">
        <f>'06_Сеть_и_дети'!C5*'19_Расчет_аналитики'!$F$211*'19_Расчет_аналитики'!$F$212*'18_Календарь_тарифы'!C4</f>
        <v/>
      </c>
      <c r="D557">
        <f>'06_Сеть_и_дети'!D5*'19_Расчет_аналитики'!$F$211*'19_Расчет_аналитики'!$F$212*'18_Календарь_тарифы'!D4</f>
        <v/>
      </c>
      <c r="E557">
        <f>'06_Сеть_и_дети'!E5*'19_Расчет_аналитики'!$F$211*'19_Расчет_аналитики'!$F$212*'18_Календарь_тарифы'!E4</f>
        <v/>
      </c>
      <c r="F557">
        <f>'06_Сеть_и_дети'!F5*'19_Расчет_аналитики'!$F$211*'19_Расчет_аналитики'!$F$212*'18_Календарь_тарифы'!F4</f>
        <v/>
      </c>
      <c r="G557">
        <f>'06_Сеть_и_дети'!G5*'19_Расчет_аналитики'!$F$211*'19_Расчет_аналитики'!$F$212*'18_Календарь_тарифы'!G4</f>
        <v/>
      </c>
      <c r="H557">
        <f>'06_Сеть_и_дети'!H5*'19_Расчет_аналитики'!$F$211*'19_Расчет_аналитики'!$F$212*'18_Календарь_тарифы'!H4</f>
        <v/>
      </c>
      <c r="I557">
        <f>'06_Сеть_и_дети'!I5*'19_Расчет_аналитики'!$F$211*'19_Расчет_аналитики'!$F$212*'18_Календарь_тарифы'!I4</f>
        <v/>
      </c>
      <c r="J557">
        <f>'06_Сеть_и_дети'!J5*'19_Расчет_аналитики'!$F$211*'19_Расчет_аналитики'!$F$212*'18_Календарь_тарифы'!J4</f>
        <v/>
      </c>
      <c r="K557">
        <f>'06_Сеть_и_дети'!K5*'19_Расчет_аналитики'!$F$211*'19_Расчет_аналитики'!$F$212*'18_Календарь_тарифы'!K4</f>
        <v/>
      </c>
      <c r="L557">
        <f>'06_Сеть_и_дети'!L5*'19_Расчет_аналитики'!$F$211*'19_Расчет_аналитики'!$F$212*'18_Календарь_тарифы'!L4</f>
        <v/>
      </c>
      <c r="M557">
        <f>'06_Сеть_и_дети'!M5*'19_Расчет_аналитики'!$F$211*'19_Расчет_аналитики'!$F$212*'18_Календарь_тарифы'!M4</f>
        <v/>
      </c>
      <c r="N557">
        <f>'06_Сеть_и_дети'!N5*'19_Расчет_аналитики'!$F$211*'19_Расчет_аналитики'!$F$212*'18_Календарь_тарифы'!N4</f>
        <v/>
      </c>
      <c r="O557">
        <f>'06_Сеть_и_дети'!O5*'19_Расчет_аналитики'!$F$211*'19_Расчет_аналитики'!$F$212*'18_Календарь_тарифы'!O4</f>
        <v/>
      </c>
      <c r="P557">
        <f>'06_Сеть_и_дети'!P5*'19_Расчет_аналитики'!$F$211*'19_Расчет_аналитики'!$F$212*'18_Календарь_тарифы'!P4</f>
        <v/>
      </c>
      <c r="Q557">
        <f>'06_Сеть_и_дети'!Q5*'19_Расчет_аналитики'!$F$211*'19_Расчет_аналитики'!$F$212*'18_Календарь_тарифы'!Q4</f>
        <v/>
      </c>
      <c r="R557">
        <f>'06_Сеть_и_дети'!R5*'19_Расчет_аналитики'!$F$211*'19_Расчет_аналитики'!$F$212*'18_Календарь_тарифы'!R4</f>
        <v/>
      </c>
      <c r="S557">
        <f>'06_Сеть_и_дети'!S5*'19_Расчет_аналитики'!$F$211*'19_Расчет_аналитики'!$F$212*'18_Календарь_тарифы'!S4</f>
        <v/>
      </c>
      <c r="T557">
        <f>'06_Сеть_и_дети'!T5*'19_Расчет_аналитики'!$F$211*'19_Расчет_аналитики'!$F$212*'18_Календарь_тарифы'!T4</f>
        <v/>
      </c>
      <c r="U557">
        <f>'06_Сеть_и_дети'!U5*'19_Расчет_аналитики'!$F$211*'19_Расчет_аналитики'!$F$212*'18_Календарь_тарифы'!U4</f>
        <v/>
      </c>
      <c r="V557">
        <f>'06_Сеть_и_дети'!V5*'19_Расчет_аналитики'!$F$211*'19_Расчет_аналитики'!$F$212*'18_Календарь_тарифы'!V4</f>
        <v/>
      </c>
      <c r="W557">
        <f>'06_Сеть_и_дети'!W5*'19_Расчет_аналитики'!$F$211*'19_Расчет_аналитики'!$F$212*'18_Календарь_тарифы'!W4</f>
        <v/>
      </c>
      <c r="X557">
        <f>'06_Сеть_и_дети'!X5*'19_Расчет_аналитики'!$F$211*'19_Расчет_аналитики'!$F$212*'18_Календарь_тарифы'!X4</f>
        <v/>
      </c>
      <c r="Y557">
        <f>'06_Сеть_и_дети'!Y5*'19_Расчет_аналитики'!$F$211*'19_Расчет_аналитики'!$F$212*'18_Календарь_тарифы'!Y4</f>
        <v/>
      </c>
      <c r="Z557">
        <f>'06_Сеть_и_дети'!Z5*'19_Расчет_аналитики'!$F$211*'19_Расчет_аналитики'!$F$212*'18_Календарь_тарифы'!Z4</f>
        <v/>
      </c>
      <c r="AA557">
        <f>'06_Сеть_и_дети'!AA5*'19_Расчет_аналитики'!$F$211*'19_Расчет_аналитики'!$F$212*'18_Календарь_тарифы'!AA4</f>
        <v/>
      </c>
      <c r="AB557">
        <f>'06_Сеть_и_дети'!AB5*'19_Расчет_аналитики'!$F$211*'19_Расчет_аналитики'!$F$212*'18_Календарь_тарифы'!AB4</f>
        <v/>
      </c>
      <c r="AC557">
        <f>'06_Сеть_и_дети'!AC5*'19_Расчет_аналитики'!$F$211*'19_Расчет_аналитики'!$F$212*'18_Календарь_тарифы'!AC4</f>
        <v/>
      </c>
      <c r="AD557">
        <f>'06_Сеть_и_дети'!AD5*'19_Расчет_аналитики'!$F$211*'19_Расчет_аналитики'!$F$212*'18_Календарь_тарифы'!AD4</f>
        <v/>
      </c>
      <c r="AE557">
        <f>'06_Сеть_и_дети'!AE5*'19_Расчет_аналитики'!$F$211*'19_Расчет_аналитики'!$F$212*'18_Календарь_тарифы'!AE4</f>
        <v/>
      </c>
      <c r="AF557">
        <f>'06_Сеть_и_дети'!AF5*'19_Расчет_аналитики'!$F$211*'19_Расчет_аналитики'!$F$212*'18_Календарь_тарифы'!AF4</f>
        <v/>
      </c>
      <c r="AG557">
        <f>'06_Сеть_и_дети'!AG5*'19_Расчет_аналитики'!$F$211*'19_Расчет_аналитики'!$F$212*'18_Календарь_тарифы'!AG4</f>
        <v/>
      </c>
      <c r="AH557">
        <f>'06_Сеть_и_дети'!AH5*'19_Расчет_аналитики'!$F$211*'19_Расчет_аналитики'!$F$212*'18_Календарь_тарифы'!AH4</f>
        <v/>
      </c>
      <c r="AI557">
        <f>'06_Сеть_и_дети'!AI5*'19_Расчет_аналитики'!$F$211*'19_Расчет_аналитики'!$F$212*'18_Календарь_тарифы'!AI4</f>
        <v/>
      </c>
      <c r="AJ557">
        <f>'06_Сеть_и_дети'!AJ5*'19_Расчет_аналитики'!$F$211*'19_Расчет_аналитики'!$F$212*'18_Календарь_тарифы'!AJ4</f>
        <v/>
      </c>
      <c r="AK557">
        <f>'06_Сеть_и_дети'!AK5*'19_Расчет_аналитики'!$F$211*'19_Расчет_аналитики'!$F$212*'18_Календарь_тарифы'!AK4</f>
        <v/>
      </c>
      <c r="AL557">
        <f>'06_Сеть_и_дети'!AL5*'19_Расчет_аналитики'!$F$211*'19_Расчет_аналитики'!$F$212*'18_Календарь_тарифы'!AL4</f>
        <v/>
      </c>
      <c r="AM557">
        <f>'06_Сеть_и_дети'!AM5*'19_Расчет_аналитики'!$F$211*'19_Расчет_аналитики'!$F$212*'18_Календарь_тарифы'!AM4</f>
        <v/>
      </c>
      <c r="AN557">
        <f>'06_Сеть_и_дети'!AN5*'19_Расчет_аналитики'!$F$211*'19_Расчет_аналитики'!$F$212*'18_Календарь_тарифы'!AN4</f>
        <v/>
      </c>
      <c r="AO557">
        <f>'06_Сеть_и_дети'!AO5*'19_Расчет_аналитики'!$F$211*'19_Расчет_аналитики'!$F$212*'18_Календарь_тарифы'!AO4</f>
        <v/>
      </c>
      <c r="AP557">
        <f>'06_Сеть_и_дети'!AP5*'19_Расчет_аналитики'!$F$211*'19_Расчет_аналитики'!$F$212*'18_Календарь_тарифы'!AP4</f>
        <v/>
      </c>
      <c r="AQ557">
        <f>'06_Сеть_и_дети'!AQ5*'19_Расчет_аналитики'!$F$211*'19_Расчет_аналитики'!$F$212*'18_Календарь_тарифы'!AQ4</f>
        <v/>
      </c>
      <c r="AR557">
        <f>'06_Сеть_и_дети'!AR5*'19_Расчет_аналитики'!$F$211*'19_Расчет_аналитики'!$F$212*'18_Календарь_тарифы'!AR4</f>
        <v/>
      </c>
      <c r="AS557">
        <f>'06_Сеть_и_дети'!AS5*'19_Расчет_аналитики'!$F$211*'19_Расчет_аналитики'!$F$212*'18_Календарь_тарифы'!AS4</f>
        <v/>
      </c>
      <c r="AT557">
        <f>'06_Сеть_и_дети'!AT5*'19_Расчет_аналитики'!$F$211*'19_Расчет_аналитики'!$F$212*'18_Календарь_тарифы'!AT4</f>
        <v/>
      </c>
      <c r="AU557">
        <f>'06_Сеть_и_дети'!AU5*'19_Расчет_аналитики'!$F$211*'19_Расчет_аналитики'!$F$212*'18_Календарь_тарифы'!AU4</f>
        <v/>
      </c>
      <c r="AV557">
        <f>'06_Сеть_и_дети'!AV5*'19_Расчет_аналитики'!$F$211*'19_Расчет_аналитики'!$F$212*'18_Календарь_тарифы'!AV4</f>
        <v/>
      </c>
      <c r="AW557">
        <f>'06_Сеть_и_дети'!AW5*'19_Расчет_аналитики'!$F$211*'19_Расчет_аналитики'!$F$212*'18_Календарь_тарифы'!AW4</f>
        <v/>
      </c>
      <c r="AX557">
        <f>'06_Сеть_и_дети'!AX5*'19_Расчет_аналитики'!$F$211*'19_Расчет_аналитики'!$F$212*'18_Календарь_тарифы'!AX4</f>
        <v/>
      </c>
      <c r="AY557">
        <f>'06_Сеть_и_дети'!AY5*'19_Расчет_аналитики'!$F$211*'19_Расчет_аналитики'!$F$212*'18_Календарь_тарифы'!AY4</f>
        <v/>
      </c>
      <c r="AZ557">
        <f>'06_Сеть_и_дети'!AZ5*'19_Расчет_аналитики'!$F$211*'19_Расчет_аналитики'!$F$212*'18_Календарь_тарифы'!AZ4</f>
        <v/>
      </c>
      <c r="BA557">
        <f>'06_Сеть_и_дети'!BA5*'19_Расчет_аналитики'!$F$211*'19_Расчет_аналитики'!$F$212*'18_Календарь_тарифы'!BA4</f>
        <v/>
      </c>
      <c r="BB557">
        <f>'06_Сеть_и_дети'!BB5*'19_Расчет_аналитики'!$F$211*'19_Расчет_аналитики'!$F$212*'18_Календарь_тарифы'!BB4</f>
        <v/>
      </c>
      <c r="BC557">
        <f>'06_Сеть_и_дети'!BC5*'19_Расчет_аналитики'!$F$211*'19_Расчет_аналитики'!$F$212*'18_Календарь_тарифы'!BC4</f>
        <v/>
      </c>
      <c r="BD557">
        <f>'06_Сеть_и_дети'!BD5*'19_Расчет_аналитики'!$F$211*'19_Расчет_аналитики'!$F$212*'18_Календарь_тарифы'!BD4</f>
        <v/>
      </c>
      <c r="BE557">
        <f>'06_Сеть_и_дети'!BE5*'19_Расчет_аналитики'!$F$211*'19_Расчет_аналитики'!$F$212*'18_Календарь_тарифы'!BE4</f>
        <v/>
      </c>
      <c r="BF557">
        <f>'06_Сеть_и_дети'!BF5*'19_Расчет_аналитики'!$F$211*'19_Расчет_аналитики'!$F$212*'18_Календарь_тарифы'!BF4</f>
        <v/>
      </c>
      <c r="BG557">
        <f>'06_Сеть_и_дети'!BG5*'19_Расчет_аналитики'!$F$211*'19_Расчет_аналитики'!$F$212*'18_Календарь_тарифы'!BG4</f>
        <v/>
      </c>
      <c r="BH557">
        <f>'06_Сеть_и_дети'!BH5*'19_Расчет_аналитики'!$F$211*'19_Расчет_аналитики'!$F$212*'18_Календарь_тарифы'!BH4</f>
        <v/>
      </c>
      <c r="BI557">
        <f>'06_Сеть_и_дети'!BI5*'19_Расчет_аналитики'!$F$211*'19_Расчет_аналитики'!$F$212*'18_Календарь_тарифы'!BI4</f>
        <v/>
      </c>
      <c r="BJ557">
        <f>'06_Сеть_и_дети'!BJ5*'19_Расчет_аналитики'!$F$211*'19_Расчет_аналитики'!$F$212*'18_Календарь_тарифы'!BJ4</f>
        <v/>
      </c>
      <c r="BK557">
        <f>'06_Сеть_и_дети'!BK5*'19_Расчет_аналитики'!$F$211*'19_Расчет_аналитики'!$F$212*'18_Календарь_тарифы'!BK4</f>
        <v/>
      </c>
      <c r="BL557">
        <f>'06_Сеть_и_дети'!BL5*'19_Расчет_аналитики'!$F$211*'19_Расчет_аналитики'!$F$212*'18_Календарь_тарифы'!BL4</f>
        <v/>
      </c>
      <c r="BM557">
        <f>'06_Сеть_и_дети'!BM5*'19_Расчет_аналитики'!$F$211*'19_Расчет_аналитики'!$F$212*'18_Календарь_тарифы'!BM4</f>
        <v/>
      </c>
      <c r="BN557">
        <f>'06_Сеть_и_дети'!BN5*'19_Расчет_аналитики'!$F$211*'19_Расчет_аналитики'!$F$212*'18_Календарь_тарифы'!BN4</f>
        <v/>
      </c>
      <c r="BO557">
        <f>'06_Сеть_и_дети'!BO5*'19_Расчет_аналитики'!$F$211*'19_Расчет_аналитики'!$F$212*'18_Календарь_тарифы'!BO4</f>
        <v/>
      </c>
    </row>
    <row r="558"/>
    <row r="559">
      <c r="B559">
        <f>'19_Расчет_аналитики'!B557*IF('06_Сеть_и_дети'!B$3&gt;='01_Вводные'!$B$245,'01_Вводные'!$B$57,'01_Вводные'!$B$55)</f>
        <v/>
      </c>
      <c r="C559">
        <f>'19_Расчет_аналитики'!C557*IF('06_Сеть_и_дети'!C$3&gt;='01_Вводные'!$B$245,'01_Вводные'!$B$57,'01_Вводные'!$B$55)</f>
        <v/>
      </c>
      <c r="D559">
        <f>'19_Расчет_аналитики'!D557*IF('06_Сеть_и_дети'!D$3&gt;='01_Вводные'!$B$245,'01_Вводные'!$B$57,'01_Вводные'!$B$55)</f>
        <v/>
      </c>
      <c r="E559">
        <f>'19_Расчет_аналитики'!E557*IF('06_Сеть_и_дети'!E$3&gt;='01_Вводные'!$B$245,'01_Вводные'!$B$57,'01_Вводные'!$B$55)</f>
        <v/>
      </c>
      <c r="F559">
        <f>'19_Расчет_аналитики'!F557*IF('06_Сеть_и_дети'!F$3&gt;='01_Вводные'!$B$245,'01_Вводные'!$B$57,'01_Вводные'!$B$55)</f>
        <v/>
      </c>
      <c r="G559">
        <f>'19_Расчет_аналитики'!G557*IF('06_Сеть_и_дети'!G$3&gt;='01_Вводные'!$B$245,'01_Вводные'!$B$57,'01_Вводные'!$B$55)</f>
        <v/>
      </c>
      <c r="H559">
        <f>'19_Расчет_аналитики'!H557*IF('06_Сеть_и_дети'!H$3&gt;='01_Вводные'!$B$245,'01_Вводные'!$B$57,'01_Вводные'!$B$55)</f>
        <v/>
      </c>
      <c r="I559">
        <f>'19_Расчет_аналитики'!I557*IF('06_Сеть_и_дети'!I$3&gt;='01_Вводные'!$B$245,'01_Вводные'!$B$57,'01_Вводные'!$B$55)</f>
        <v/>
      </c>
      <c r="J559">
        <f>'19_Расчет_аналитики'!J557*IF('06_Сеть_и_дети'!J$3&gt;='01_Вводные'!$B$245,'01_Вводные'!$B$57,'01_Вводные'!$B$55)</f>
        <v/>
      </c>
      <c r="K559">
        <f>'19_Расчет_аналитики'!K557*IF('06_Сеть_и_дети'!K$3&gt;='01_Вводные'!$B$245,'01_Вводные'!$B$57,'01_Вводные'!$B$55)</f>
        <v/>
      </c>
      <c r="L559">
        <f>'19_Расчет_аналитики'!L557*IF('06_Сеть_и_дети'!L$3&gt;='01_Вводные'!$B$245,'01_Вводные'!$B$57,'01_Вводные'!$B$55)</f>
        <v/>
      </c>
      <c r="M559">
        <f>'19_Расчет_аналитики'!M557*IF('06_Сеть_и_дети'!M$3&gt;='01_Вводные'!$B$245,'01_Вводные'!$B$57,'01_Вводные'!$B$55)</f>
        <v/>
      </c>
      <c r="N559">
        <f>'19_Расчет_аналитики'!N557*IF('06_Сеть_и_дети'!N$3&gt;='01_Вводные'!$B$245,'01_Вводные'!$B$57,'01_Вводные'!$B$55)</f>
        <v/>
      </c>
      <c r="O559">
        <f>'19_Расчет_аналитики'!O557*IF('06_Сеть_и_дети'!O$3&gt;='01_Вводные'!$B$245,'01_Вводные'!$B$57,'01_Вводные'!$B$55)</f>
        <v/>
      </c>
      <c r="P559">
        <f>'19_Расчет_аналитики'!P557*IF('06_Сеть_и_дети'!P$3&gt;='01_Вводные'!$B$245,'01_Вводные'!$B$57,'01_Вводные'!$B$55)</f>
        <v/>
      </c>
      <c r="Q559">
        <f>'19_Расчет_аналитики'!Q557*IF('06_Сеть_и_дети'!Q$3&gt;='01_Вводные'!$B$245,'01_Вводные'!$B$57,'01_Вводные'!$B$55)</f>
        <v/>
      </c>
      <c r="R559">
        <f>'19_Расчет_аналитики'!R557*IF('06_Сеть_и_дети'!R$3&gt;='01_Вводные'!$B$245,'01_Вводные'!$B$57,'01_Вводные'!$B$55)</f>
        <v/>
      </c>
      <c r="S559">
        <f>'19_Расчет_аналитики'!S557*IF('06_Сеть_и_дети'!S$3&gt;='01_Вводные'!$B$245,'01_Вводные'!$B$57,'01_Вводные'!$B$55)</f>
        <v/>
      </c>
      <c r="T559">
        <f>'19_Расчет_аналитики'!T557*IF('06_Сеть_и_дети'!T$3&gt;='01_Вводные'!$B$245,'01_Вводные'!$B$57,'01_Вводные'!$B$55)</f>
        <v/>
      </c>
      <c r="U559">
        <f>'19_Расчет_аналитики'!U557*IF('06_Сеть_и_дети'!U$3&gt;='01_Вводные'!$B$245,'01_Вводные'!$B$57,'01_Вводные'!$B$55)</f>
        <v/>
      </c>
      <c r="V559">
        <f>'19_Расчет_аналитики'!V557*IF('06_Сеть_и_дети'!V$3&gt;='01_Вводные'!$B$245,'01_Вводные'!$B$57,'01_Вводные'!$B$55)</f>
        <v/>
      </c>
      <c r="W559">
        <f>'19_Расчет_аналитики'!W557*IF('06_Сеть_и_дети'!W$3&gt;='01_Вводные'!$B$245,'01_Вводные'!$B$57,'01_Вводные'!$B$55)</f>
        <v/>
      </c>
      <c r="X559">
        <f>'19_Расчет_аналитики'!X557*IF('06_Сеть_и_дети'!X$3&gt;='01_Вводные'!$B$245,'01_Вводные'!$B$57,'01_Вводные'!$B$55)</f>
        <v/>
      </c>
      <c r="Y559">
        <f>'19_Расчет_аналитики'!Y557*IF('06_Сеть_и_дети'!Y$3&gt;='01_Вводные'!$B$245,'01_Вводные'!$B$57,'01_Вводные'!$B$55)</f>
        <v/>
      </c>
      <c r="Z559">
        <f>'19_Расчет_аналитики'!Z557*IF('06_Сеть_и_дети'!Z$3&gt;='01_Вводные'!$B$245,'01_Вводные'!$B$57,'01_Вводные'!$B$55)</f>
        <v/>
      </c>
      <c r="AA559">
        <f>'19_Расчет_аналитики'!AA557*IF('06_Сеть_и_дети'!AA$3&gt;='01_Вводные'!$B$245,'01_Вводные'!$B$57,'01_Вводные'!$B$55)</f>
        <v/>
      </c>
      <c r="AB559">
        <f>'19_Расчет_аналитики'!AB557*IF('06_Сеть_и_дети'!AB$3&gt;='01_Вводные'!$B$245,'01_Вводные'!$B$57,'01_Вводные'!$B$55)</f>
        <v/>
      </c>
      <c r="AC559">
        <f>'19_Расчет_аналитики'!AC557*IF('06_Сеть_и_дети'!AC$3&gt;='01_Вводные'!$B$245,'01_Вводные'!$B$57,'01_Вводные'!$B$55)</f>
        <v/>
      </c>
      <c r="AD559">
        <f>'19_Расчет_аналитики'!AD557*IF('06_Сеть_и_дети'!AD$3&gt;='01_Вводные'!$B$245,'01_Вводные'!$B$57,'01_Вводные'!$B$55)</f>
        <v/>
      </c>
      <c r="AE559">
        <f>'19_Расчет_аналитики'!AE557*IF('06_Сеть_и_дети'!AE$3&gt;='01_Вводные'!$B$245,'01_Вводные'!$B$57,'01_Вводные'!$B$55)</f>
        <v/>
      </c>
      <c r="AF559">
        <f>'19_Расчет_аналитики'!AF557*IF('06_Сеть_и_дети'!AF$3&gt;='01_Вводные'!$B$245,'01_Вводные'!$B$57,'01_Вводные'!$B$55)</f>
        <v/>
      </c>
      <c r="AG559">
        <f>'19_Расчет_аналитики'!AG557*IF('06_Сеть_и_дети'!AG$3&gt;='01_Вводные'!$B$245,'01_Вводные'!$B$57,'01_Вводные'!$B$55)</f>
        <v/>
      </c>
      <c r="AH559">
        <f>'19_Расчет_аналитики'!AH557*IF('06_Сеть_и_дети'!AH$3&gt;='01_Вводные'!$B$245,'01_Вводные'!$B$57,'01_Вводные'!$B$55)</f>
        <v/>
      </c>
      <c r="AI559">
        <f>'19_Расчет_аналитики'!AI557*IF('06_Сеть_и_дети'!AI$3&gt;='01_Вводные'!$B$245,'01_Вводные'!$B$57,'01_Вводные'!$B$55)</f>
        <v/>
      </c>
      <c r="AJ559">
        <f>'19_Расчет_аналитики'!AJ557*IF('06_Сеть_и_дети'!AJ$3&gt;='01_Вводные'!$B$245,'01_Вводные'!$B$57,'01_Вводные'!$B$55)</f>
        <v/>
      </c>
      <c r="AK559">
        <f>'19_Расчет_аналитики'!AK557*IF('06_Сеть_и_дети'!AK$3&gt;='01_Вводные'!$B$245,'01_Вводные'!$B$57,'01_Вводные'!$B$55)</f>
        <v/>
      </c>
      <c r="AL559">
        <f>'19_Расчет_аналитики'!AL557*IF('06_Сеть_и_дети'!AL$3&gt;='01_Вводные'!$B$245,'01_Вводные'!$B$57,'01_Вводные'!$B$55)</f>
        <v/>
      </c>
      <c r="AM559">
        <f>'19_Расчет_аналитики'!AM557*IF('06_Сеть_и_дети'!AM$3&gt;='01_Вводные'!$B$245,'01_Вводные'!$B$57,'01_Вводные'!$B$55)</f>
        <v/>
      </c>
      <c r="AN559">
        <f>'19_Расчет_аналитики'!AN557*IF('06_Сеть_и_дети'!AN$3&gt;='01_Вводные'!$B$245,'01_Вводные'!$B$57,'01_Вводные'!$B$55)</f>
        <v/>
      </c>
      <c r="AO559">
        <f>'19_Расчет_аналитики'!AO557*IF('06_Сеть_и_дети'!AO$3&gt;='01_Вводные'!$B$245,'01_Вводные'!$B$57,'01_Вводные'!$B$55)</f>
        <v/>
      </c>
      <c r="AP559">
        <f>'19_Расчет_аналитики'!AP557*IF('06_Сеть_и_дети'!AP$3&gt;='01_Вводные'!$B$245,'01_Вводные'!$B$57,'01_Вводные'!$B$55)</f>
        <v/>
      </c>
      <c r="AQ559">
        <f>'19_Расчет_аналитики'!AQ557*IF('06_Сеть_и_дети'!AQ$3&gt;='01_Вводные'!$B$245,'01_Вводные'!$B$57,'01_Вводные'!$B$55)</f>
        <v/>
      </c>
      <c r="AR559">
        <f>'19_Расчет_аналитики'!AR557*IF('06_Сеть_и_дети'!AR$3&gt;='01_Вводные'!$B$245,'01_Вводные'!$B$57,'01_Вводные'!$B$55)</f>
        <v/>
      </c>
      <c r="AS559">
        <f>'19_Расчет_аналитики'!AS557*IF('06_Сеть_и_дети'!AS$3&gt;='01_Вводные'!$B$245,'01_Вводные'!$B$57,'01_Вводные'!$B$55)</f>
        <v/>
      </c>
      <c r="AT559">
        <f>'19_Расчет_аналитики'!AT557*IF('06_Сеть_и_дети'!AT$3&gt;='01_Вводные'!$B$245,'01_Вводные'!$B$57,'01_Вводные'!$B$55)</f>
        <v/>
      </c>
      <c r="AU559">
        <f>'19_Расчет_аналитики'!AU557*IF('06_Сеть_и_дети'!AU$3&gt;='01_Вводные'!$B$245,'01_Вводные'!$B$57,'01_Вводные'!$B$55)</f>
        <v/>
      </c>
      <c r="AV559">
        <f>'19_Расчет_аналитики'!AV557*IF('06_Сеть_и_дети'!AV$3&gt;='01_Вводные'!$B$245,'01_Вводные'!$B$57,'01_Вводные'!$B$55)</f>
        <v/>
      </c>
      <c r="AW559">
        <f>'19_Расчет_аналитики'!AW557*IF('06_Сеть_и_дети'!AW$3&gt;='01_Вводные'!$B$245,'01_Вводные'!$B$57,'01_Вводные'!$B$55)</f>
        <v/>
      </c>
      <c r="AX559">
        <f>'19_Расчет_аналитики'!AX557*IF('06_Сеть_и_дети'!AX$3&gt;='01_Вводные'!$B$245,'01_Вводные'!$B$57,'01_Вводные'!$B$55)</f>
        <v/>
      </c>
      <c r="AY559">
        <f>'19_Расчет_аналитики'!AY557*IF('06_Сеть_и_дети'!AY$3&gt;='01_Вводные'!$B$245,'01_Вводные'!$B$57,'01_Вводные'!$B$55)</f>
        <v/>
      </c>
      <c r="AZ559">
        <f>'19_Расчет_аналитики'!AZ557*IF('06_Сеть_и_дети'!AZ$3&gt;='01_Вводные'!$B$245,'01_Вводные'!$B$57,'01_Вводные'!$B$55)</f>
        <v/>
      </c>
      <c r="BA559">
        <f>'19_Расчет_аналитики'!BA557*IF('06_Сеть_и_дети'!BA$3&gt;='01_Вводные'!$B$245,'01_Вводные'!$B$57,'01_Вводные'!$B$55)</f>
        <v/>
      </c>
      <c r="BB559">
        <f>'19_Расчет_аналитики'!BB557*IF('06_Сеть_и_дети'!BB$3&gt;='01_Вводные'!$B$245,'01_Вводные'!$B$57,'01_Вводные'!$B$55)</f>
        <v/>
      </c>
      <c r="BC559">
        <f>'19_Расчет_аналитики'!BC557*IF('06_Сеть_и_дети'!BC$3&gt;='01_Вводные'!$B$245,'01_Вводные'!$B$57,'01_Вводные'!$B$55)</f>
        <v/>
      </c>
      <c r="BD559">
        <f>'19_Расчет_аналитики'!BD557*IF('06_Сеть_и_дети'!BD$3&gt;='01_Вводные'!$B$245,'01_Вводные'!$B$57,'01_Вводные'!$B$55)</f>
        <v/>
      </c>
      <c r="BE559">
        <f>'19_Расчет_аналитики'!BE557*IF('06_Сеть_и_дети'!BE$3&gt;='01_Вводные'!$B$245,'01_Вводные'!$B$57,'01_Вводные'!$B$55)</f>
        <v/>
      </c>
      <c r="BF559">
        <f>'19_Расчет_аналитики'!BF557*IF('06_Сеть_и_дети'!BF$3&gt;='01_Вводные'!$B$245,'01_Вводные'!$B$57,'01_Вводные'!$B$55)</f>
        <v/>
      </c>
      <c r="BG559">
        <f>'19_Расчет_аналитики'!BG557*IF('06_Сеть_и_дети'!BG$3&gt;='01_Вводные'!$B$245,'01_Вводные'!$B$57,'01_Вводные'!$B$55)</f>
        <v/>
      </c>
      <c r="BH559">
        <f>'19_Расчет_аналитики'!BH557*IF('06_Сеть_и_дети'!BH$3&gt;='01_Вводные'!$B$245,'01_Вводные'!$B$57,'01_Вводные'!$B$55)</f>
        <v/>
      </c>
      <c r="BI559">
        <f>'19_Расчет_аналитики'!BI557*IF('06_Сеть_и_дети'!BI$3&gt;='01_Вводные'!$B$245,'01_Вводные'!$B$57,'01_Вводные'!$B$55)</f>
        <v/>
      </c>
      <c r="BJ559">
        <f>'19_Расчет_аналитики'!BJ557*IF('06_Сеть_и_дети'!BJ$3&gt;='01_Вводные'!$B$245,'01_Вводные'!$B$57,'01_Вводные'!$B$55)</f>
        <v/>
      </c>
      <c r="BK559">
        <f>'19_Расчет_аналитики'!BK557*IF('06_Сеть_и_дети'!BK$3&gt;='01_Вводные'!$B$245,'01_Вводные'!$B$57,'01_Вводные'!$B$55)</f>
        <v/>
      </c>
      <c r="BL559">
        <f>'19_Расчет_аналитики'!BL557*IF('06_Сеть_и_дети'!BL$3&gt;='01_Вводные'!$B$245,'01_Вводные'!$B$57,'01_Вводные'!$B$55)</f>
        <v/>
      </c>
      <c r="BM559">
        <f>'19_Расчет_аналитики'!BM557*IF('06_Сеть_и_дети'!BM$3&gt;='01_Вводные'!$B$245,'01_Вводные'!$B$57,'01_Вводные'!$B$55)</f>
        <v/>
      </c>
      <c r="BN559">
        <f>'19_Расчет_аналитики'!BN557*IF('06_Сеть_и_дети'!BN$3&gt;='01_Вводные'!$B$245,'01_Вводные'!$B$57,'01_Вводные'!$B$55)</f>
        <v/>
      </c>
      <c r="BO559">
        <f>'19_Расчет_аналитики'!BO557*IF('06_Сеть_и_дети'!BO$3&gt;='01_Вводные'!$B$245,'01_Вводные'!$B$57,'01_Вводные'!$B$55)</f>
        <v/>
      </c>
    </row>
    <row r="560">
      <c r="B560">
        <f>'19_Расчет_аналитики'!B557*IF('06_Сеть_и_дети'!B$3&gt;='01_Вводные'!$B$245,'01_Вводные'!$B$57,'01_Вводные'!$B$56)</f>
        <v/>
      </c>
      <c r="C560">
        <f>'19_Расчет_аналитики'!C557*IF('06_Сеть_и_дети'!C$3&gt;='01_Вводные'!$B$245,'01_Вводные'!$B$57,'01_Вводные'!$B$56)</f>
        <v/>
      </c>
      <c r="D560">
        <f>'19_Расчет_аналитики'!D557*IF('06_Сеть_и_дети'!D$3&gt;='01_Вводные'!$B$245,'01_Вводные'!$B$57,'01_Вводные'!$B$56)</f>
        <v/>
      </c>
      <c r="E560">
        <f>'19_Расчет_аналитики'!E557*IF('06_Сеть_и_дети'!E$3&gt;='01_Вводные'!$B$245,'01_Вводные'!$B$57,'01_Вводные'!$B$56)</f>
        <v/>
      </c>
      <c r="F560">
        <f>'19_Расчет_аналитики'!F557*IF('06_Сеть_и_дети'!F$3&gt;='01_Вводные'!$B$245,'01_Вводные'!$B$57,'01_Вводные'!$B$56)</f>
        <v/>
      </c>
      <c r="G560">
        <f>'19_Расчет_аналитики'!G557*IF('06_Сеть_и_дети'!G$3&gt;='01_Вводные'!$B$245,'01_Вводные'!$B$57,'01_Вводные'!$B$56)</f>
        <v/>
      </c>
      <c r="H560">
        <f>'19_Расчет_аналитики'!H557*IF('06_Сеть_и_дети'!H$3&gt;='01_Вводные'!$B$245,'01_Вводные'!$B$57,'01_Вводные'!$B$56)</f>
        <v/>
      </c>
      <c r="I560">
        <f>'19_Расчет_аналитики'!I557*IF('06_Сеть_и_дети'!I$3&gt;='01_Вводные'!$B$245,'01_Вводные'!$B$57,'01_Вводные'!$B$56)</f>
        <v/>
      </c>
      <c r="J560">
        <f>'19_Расчет_аналитики'!J557*IF('06_Сеть_и_дети'!J$3&gt;='01_Вводные'!$B$245,'01_Вводные'!$B$57,'01_Вводные'!$B$56)</f>
        <v/>
      </c>
      <c r="K560">
        <f>'19_Расчет_аналитики'!K557*IF('06_Сеть_и_дети'!K$3&gt;='01_Вводные'!$B$245,'01_Вводные'!$B$57,'01_Вводные'!$B$56)</f>
        <v/>
      </c>
      <c r="L560">
        <f>'19_Расчет_аналитики'!L557*IF('06_Сеть_и_дети'!L$3&gt;='01_Вводные'!$B$245,'01_Вводные'!$B$57,'01_Вводные'!$B$56)</f>
        <v/>
      </c>
      <c r="M560">
        <f>'19_Расчет_аналитики'!M557*IF('06_Сеть_и_дети'!M$3&gt;='01_Вводные'!$B$245,'01_Вводные'!$B$57,'01_Вводные'!$B$56)</f>
        <v/>
      </c>
      <c r="N560">
        <f>'19_Расчет_аналитики'!N557*IF('06_Сеть_и_дети'!N$3&gt;='01_Вводные'!$B$245,'01_Вводные'!$B$57,'01_Вводные'!$B$56)</f>
        <v/>
      </c>
      <c r="O560">
        <f>'19_Расчет_аналитики'!O557*IF('06_Сеть_и_дети'!O$3&gt;='01_Вводные'!$B$245,'01_Вводные'!$B$57,'01_Вводные'!$B$56)</f>
        <v/>
      </c>
      <c r="P560">
        <f>'19_Расчет_аналитики'!P557*IF('06_Сеть_и_дети'!P$3&gt;='01_Вводные'!$B$245,'01_Вводные'!$B$57,'01_Вводные'!$B$56)</f>
        <v/>
      </c>
      <c r="Q560">
        <f>'19_Расчет_аналитики'!Q557*IF('06_Сеть_и_дети'!Q$3&gt;='01_Вводные'!$B$245,'01_Вводные'!$B$57,'01_Вводные'!$B$56)</f>
        <v/>
      </c>
      <c r="R560">
        <f>'19_Расчет_аналитики'!R557*IF('06_Сеть_и_дети'!R$3&gt;='01_Вводные'!$B$245,'01_Вводные'!$B$57,'01_Вводные'!$B$56)</f>
        <v/>
      </c>
      <c r="S560">
        <f>'19_Расчет_аналитики'!S557*IF('06_Сеть_и_дети'!S$3&gt;='01_Вводные'!$B$245,'01_Вводные'!$B$57,'01_Вводные'!$B$56)</f>
        <v/>
      </c>
      <c r="T560">
        <f>'19_Расчет_аналитики'!T557*IF('06_Сеть_и_дети'!T$3&gt;='01_Вводные'!$B$245,'01_Вводные'!$B$57,'01_Вводные'!$B$56)</f>
        <v/>
      </c>
      <c r="U560">
        <f>'19_Расчет_аналитики'!U557*IF('06_Сеть_и_дети'!U$3&gt;='01_Вводные'!$B$245,'01_Вводные'!$B$57,'01_Вводные'!$B$56)</f>
        <v/>
      </c>
      <c r="V560">
        <f>'19_Расчет_аналитики'!V557*IF('06_Сеть_и_дети'!V$3&gt;='01_Вводные'!$B$245,'01_Вводные'!$B$57,'01_Вводные'!$B$56)</f>
        <v/>
      </c>
      <c r="W560">
        <f>'19_Расчет_аналитики'!W557*IF('06_Сеть_и_дети'!W$3&gt;='01_Вводные'!$B$245,'01_Вводные'!$B$57,'01_Вводные'!$B$56)</f>
        <v/>
      </c>
      <c r="X560">
        <f>'19_Расчет_аналитики'!X557*IF('06_Сеть_и_дети'!X$3&gt;='01_Вводные'!$B$245,'01_Вводные'!$B$57,'01_Вводные'!$B$56)</f>
        <v/>
      </c>
      <c r="Y560">
        <f>'19_Расчет_аналитики'!Y557*IF('06_Сеть_и_дети'!Y$3&gt;='01_Вводные'!$B$245,'01_Вводные'!$B$57,'01_Вводные'!$B$56)</f>
        <v/>
      </c>
      <c r="Z560">
        <f>'19_Расчет_аналитики'!Z557*IF('06_Сеть_и_дети'!Z$3&gt;='01_Вводные'!$B$245,'01_Вводные'!$B$57,'01_Вводные'!$B$56)</f>
        <v/>
      </c>
      <c r="AA560">
        <f>'19_Расчет_аналитики'!AA557*IF('06_Сеть_и_дети'!AA$3&gt;='01_Вводные'!$B$245,'01_Вводные'!$B$57,'01_Вводные'!$B$56)</f>
        <v/>
      </c>
      <c r="AB560">
        <f>'19_Расчет_аналитики'!AB557*IF('06_Сеть_и_дети'!AB$3&gt;='01_Вводные'!$B$245,'01_Вводные'!$B$57,'01_Вводные'!$B$56)</f>
        <v/>
      </c>
      <c r="AC560">
        <f>'19_Расчет_аналитики'!AC557*IF('06_Сеть_и_дети'!AC$3&gt;='01_Вводные'!$B$245,'01_Вводные'!$B$57,'01_Вводные'!$B$56)</f>
        <v/>
      </c>
      <c r="AD560">
        <f>'19_Расчет_аналитики'!AD557*IF('06_Сеть_и_дети'!AD$3&gt;='01_Вводные'!$B$245,'01_Вводные'!$B$57,'01_Вводные'!$B$56)</f>
        <v/>
      </c>
      <c r="AE560">
        <f>'19_Расчет_аналитики'!AE557*IF('06_Сеть_и_дети'!AE$3&gt;='01_Вводные'!$B$245,'01_Вводные'!$B$57,'01_Вводные'!$B$56)</f>
        <v/>
      </c>
      <c r="AF560">
        <f>'19_Расчет_аналитики'!AF557*IF('06_Сеть_и_дети'!AF$3&gt;='01_Вводные'!$B$245,'01_Вводные'!$B$57,'01_Вводные'!$B$56)</f>
        <v/>
      </c>
      <c r="AG560">
        <f>'19_Расчет_аналитики'!AG557*IF('06_Сеть_и_дети'!AG$3&gt;='01_Вводные'!$B$245,'01_Вводные'!$B$57,'01_Вводные'!$B$56)</f>
        <v/>
      </c>
      <c r="AH560">
        <f>'19_Расчет_аналитики'!AH557*IF('06_Сеть_и_дети'!AH$3&gt;='01_Вводные'!$B$245,'01_Вводные'!$B$57,'01_Вводные'!$B$56)</f>
        <v/>
      </c>
      <c r="AI560">
        <f>'19_Расчет_аналитики'!AI557*IF('06_Сеть_и_дети'!AI$3&gt;='01_Вводные'!$B$245,'01_Вводные'!$B$57,'01_Вводные'!$B$56)</f>
        <v/>
      </c>
      <c r="AJ560">
        <f>'19_Расчет_аналитики'!AJ557*IF('06_Сеть_и_дети'!AJ$3&gt;='01_Вводные'!$B$245,'01_Вводные'!$B$57,'01_Вводные'!$B$56)</f>
        <v/>
      </c>
      <c r="AK560">
        <f>'19_Расчет_аналитики'!AK557*IF('06_Сеть_и_дети'!AK$3&gt;='01_Вводные'!$B$245,'01_Вводные'!$B$57,'01_Вводные'!$B$56)</f>
        <v/>
      </c>
      <c r="AL560">
        <f>'19_Расчет_аналитики'!AL557*IF('06_Сеть_и_дети'!AL$3&gt;='01_Вводные'!$B$245,'01_Вводные'!$B$57,'01_Вводные'!$B$56)</f>
        <v/>
      </c>
      <c r="AM560">
        <f>'19_Расчет_аналитики'!AM557*IF('06_Сеть_и_дети'!AM$3&gt;='01_Вводные'!$B$245,'01_Вводные'!$B$57,'01_Вводные'!$B$56)</f>
        <v/>
      </c>
      <c r="AN560">
        <f>'19_Расчет_аналитики'!AN557*IF('06_Сеть_и_дети'!AN$3&gt;='01_Вводные'!$B$245,'01_Вводные'!$B$57,'01_Вводные'!$B$56)</f>
        <v/>
      </c>
      <c r="AO560">
        <f>'19_Расчет_аналитики'!AO557*IF('06_Сеть_и_дети'!AO$3&gt;='01_Вводные'!$B$245,'01_Вводные'!$B$57,'01_Вводные'!$B$56)</f>
        <v/>
      </c>
      <c r="AP560">
        <f>'19_Расчет_аналитики'!AP557*IF('06_Сеть_и_дети'!AP$3&gt;='01_Вводные'!$B$245,'01_Вводные'!$B$57,'01_Вводные'!$B$56)</f>
        <v/>
      </c>
      <c r="AQ560">
        <f>'19_Расчет_аналитики'!AQ557*IF('06_Сеть_и_дети'!AQ$3&gt;='01_Вводные'!$B$245,'01_Вводные'!$B$57,'01_Вводные'!$B$56)</f>
        <v/>
      </c>
      <c r="AR560">
        <f>'19_Расчет_аналитики'!AR557*IF('06_Сеть_и_дети'!AR$3&gt;='01_Вводные'!$B$245,'01_Вводные'!$B$57,'01_Вводные'!$B$56)</f>
        <v/>
      </c>
      <c r="AS560">
        <f>'19_Расчет_аналитики'!AS557*IF('06_Сеть_и_дети'!AS$3&gt;='01_Вводные'!$B$245,'01_Вводные'!$B$57,'01_Вводные'!$B$56)</f>
        <v/>
      </c>
      <c r="AT560">
        <f>'19_Расчет_аналитики'!AT557*IF('06_Сеть_и_дети'!AT$3&gt;='01_Вводные'!$B$245,'01_Вводные'!$B$57,'01_Вводные'!$B$56)</f>
        <v/>
      </c>
      <c r="AU560">
        <f>'19_Расчет_аналитики'!AU557*IF('06_Сеть_и_дети'!AU$3&gt;='01_Вводные'!$B$245,'01_Вводные'!$B$57,'01_Вводные'!$B$56)</f>
        <v/>
      </c>
      <c r="AV560">
        <f>'19_Расчет_аналитики'!AV557*IF('06_Сеть_и_дети'!AV$3&gt;='01_Вводные'!$B$245,'01_Вводные'!$B$57,'01_Вводные'!$B$56)</f>
        <v/>
      </c>
      <c r="AW560">
        <f>'19_Расчет_аналитики'!AW557*IF('06_Сеть_и_дети'!AW$3&gt;='01_Вводные'!$B$245,'01_Вводные'!$B$57,'01_Вводные'!$B$56)</f>
        <v/>
      </c>
      <c r="AX560">
        <f>'19_Расчет_аналитики'!AX557*IF('06_Сеть_и_дети'!AX$3&gt;='01_Вводные'!$B$245,'01_Вводные'!$B$57,'01_Вводные'!$B$56)</f>
        <v/>
      </c>
      <c r="AY560">
        <f>'19_Расчет_аналитики'!AY557*IF('06_Сеть_и_дети'!AY$3&gt;='01_Вводные'!$B$245,'01_Вводные'!$B$57,'01_Вводные'!$B$56)</f>
        <v/>
      </c>
      <c r="AZ560">
        <f>'19_Расчет_аналитики'!AZ557*IF('06_Сеть_и_дети'!AZ$3&gt;='01_Вводные'!$B$245,'01_Вводные'!$B$57,'01_Вводные'!$B$56)</f>
        <v/>
      </c>
      <c r="BA560">
        <f>'19_Расчет_аналитики'!BA557*IF('06_Сеть_и_дети'!BA$3&gt;='01_Вводные'!$B$245,'01_Вводные'!$B$57,'01_Вводные'!$B$56)</f>
        <v/>
      </c>
      <c r="BB560">
        <f>'19_Расчет_аналитики'!BB557*IF('06_Сеть_и_дети'!BB$3&gt;='01_Вводные'!$B$245,'01_Вводные'!$B$57,'01_Вводные'!$B$56)</f>
        <v/>
      </c>
      <c r="BC560">
        <f>'19_Расчет_аналитики'!BC557*IF('06_Сеть_и_дети'!BC$3&gt;='01_Вводные'!$B$245,'01_Вводные'!$B$57,'01_Вводные'!$B$56)</f>
        <v/>
      </c>
      <c r="BD560">
        <f>'19_Расчет_аналитики'!BD557*IF('06_Сеть_и_дети'!BD$3&gt;='01_Вводные'!$B$245,'01_Вводные'!$B$57,'01_Вводные'!$B$56)</f>
        <v/>
      </c>
      <c r="BE560">
        <f>'19_Расчет_аналитики'!BE557*IF('06_Сеть_и_дети'!BE$3&gt;='01_Вводные'!$B$245,'01_Вводные'!$B$57,'01_Вводные'!$B$56)</f>
        <v/>
      </c>
      <c r="BF560">
        <f>'19_Расчет_аналитики'!BF557*IF('06_Сеть_и_дети'!BF$3&gt;='01_Вводные'!$B$245,'01_Вводные'!$B$57,'01_Вводные'!$B$56)</f>
        <v/>
      </c>
      <c r="BG560">
        <f>'19_Расчет_аналитики'!BG557*IF('06_Сеть_и_дети'!BG$3&gt;='01_Вводные'!$B$245,'01_Вводные'!$B$57,'01_Вводные'!$B$56)</f>
        <v/>
      </c>
      <c r="BH560">
        <f>'19_Расчет_аналитики'!BH557*IF('06_Сеть_и_дети'!BH$3&gt;='01_Вводные'!$B$245,'01_Вводные'!$B$57,'01_Вводные'!$B$56)</f>
        <v/>
      </c>
      <c r="BI560">
        <f>'19_Расчет_аналитики'!BI557*IF('06_Сеть_и_дети'!BI$3&gt;='01_Вводные'!$B$245,'01_Вводные'!$B$57,'01_Вводные'!$B$56)</f>
        <v/>
      </c>
      <c r="BJ560">
        <f>'19_Расчет_аналитики'!BJ557*IF('06_Сеть_и_дети'!BJ$3&gt;='01_Вводные'!$B$245,'01_Вводные'!$B$57,'01_Вводные'!$B$56)</f>
        <v/>
      </c>
      <c r="BK560">
        <f>'19_Расчет_аналитики'!BK557*IF('06_Сеть_и_дети'!BK$3&gt;='01_Вводные'!$B$245,'01_Вводные'!$B$57,'01_Вводные'!$B$56)</f>
        <v/>
      </c>
      <c r="BL560">
        <f>'19_Расчет_аналитики'!BL557*IF('06_Сеть_и_дети'!BL$3&gt;='01_Вводные'!$B$245,'01_Вводные'!$B$57,'01_Вводные'!$B$56)</f>
        <v/>
      </c>
      <c r="BM560">
        <f>'19_Расчет_аналитики'!BM557*IF('06_Сеть_и_дети'!BM$3&gt;='01_Вводные'!$B$245,'01_Вводные'!$B$57,'01_Вводные'!$B$56)</f>
        <v/>
      </c>
      <c r="BN560">
        <f>'19_Расчет_аналитики'!BN557*IF('06_Сеть_и_дети'!BN$3&gt;='01_Вводные'!$B$245,'01_Вводные'!$B$57,'01_Вводные'!$B$56)</f>
        <v/>
      </c>
      <c r="BO560">
        <f>'19_Расчет_аналитики'!BO557*IF('06_Сеть_и_дети'!BO$3&gt;='01_Вводные'!$B$245,'01_Вводные'!$B$57,'01_Вводные'!$B$56)</f>
        <v/>
      </c>
    </row>
    <row r="561">
      <c r="B561">
        <f>SUM('19_Расчет_аналитики'!B408:B432)-'19_Расчет_аналитики'!B371</f>
        <v/>
      </c>
      <c r="C561">
        <f>SUM('19_Расчет_аналитики'!C408:C432)-'19_Расчет_аналитики'!C371</f>
        <v/>
      </c>
      <c r="D561">
        <f>SUM('19_Расчет_аналитики'!D408:D432)-'19_Расчет_аналитики'!D371</f>
        <v/>
      </c>
      <c r="E561">
        <f>SUM('19_Расчет_аналитики'!E408:E432)-'19_Расчет_аналитики'!E371</f>
        <v/>
      </c>
      <c r="F561">
        <f>SUM('19_Расчет_аналитики'!F408:F432)-'19_Расчет_аналитики'!F371</f>
        <v/>
      </c>
      <c r="G561">
        <f>SUM('19_Расчет_аналитики'!G408:G432)-'19_Расчет_аналитики'!G371</f>
        <v/>
      </c>
      <c r="H561">
        <f>SUM('19_Расчет_аналитики'!H408:H432)-'19_Расчет_аналитики'!H371</f>
        <v/>
      </c>
      <c r="I561">
        <f>SUM('19_Расчет_аналитики'!I408:I432)-'19_Расчет_аналитики'!I371</f>
        <v/>
      </c>
      <c r="J561">
        <f>SUM('19_Расчет_аналитики'!J408:J432)-'19_Расчет_аналитики'!J371</f>
        <v/>
      </c>
      <c r="K561">
        <f>SUM('19_Расчет_аналитики'!K408:K432)-'19_Расчет_аналитики'!K371</f>
        <v/>
      </c>
      <c r="L561">
        <f>SUM('19_Расчет_аналитики'!L408:L432)-'19_Расчет_аналитики'!L371</f>
        <v/>
      </c>
      <c r="M561">
        <f>SUM('19_Расчет_аналитики'!M408:M432)-'19_Расчет_аналитики'!M371</f>
        <v/>
      </c>
      <c r="N561">
        <f>SUM('19_Расчет_аналитики'!N408:N432)-'19_Расчет_аналитики'!N371</f>
        <v/>
      </c>
      <c r="O561">
        <f>SUM('19_Расчет_аналитики'!O408:O432)-'19_Расчет_аналитики'!O371</f>
        <v/>
      </c>
      <c r="P561">
        <f>SUM('19_Расчет_аналитики'!P408:P432)-'19_Расчет_аналитики'!P371</f>
        <v/>
      </c>
      <c r="Q561">
        <f>SUM('19_Расчет_аналитики'!Q408:Q432)-'19_Расчет_аналитики'!Q371</f>
        <v/>
      </c>
      <c r="R561">
        <f>SUM('19_Расчет_аналитики'!R408:R432)-'19_Расчет_аналитики'!R371</f>
        <v/>
      </c>
      <c r="S561">
        <f>SUM('19_Расчет_аналитики'!S408:S432)-'19_Расчет_аналитики'!S371</f>
        <v/>
      </c>
      <c r="T561">
        <f>SUM('19_Расчет_аналитики'!T408:T432)-'19_Расчет_аналитики'!T371</f>
        <v/>
      </c>
      <c r="U561">
        <f>SUM('19_Расчет_аналитики'!U408:U432)-'19_Расчет_аналитики'!U371</f>
        <v/>
      </c>
      <c r="V561">
        <f>SUM('19_Расчет_аналитики'!V408:V432)-'19_Расчет_аналитики'!V371</f>
        <v/>
      </c>
      <c r="W561">
        <f>SUM('19_Расчет_аналитики'!W408:W432)-'19_Расчет_аналитики'!W371</f>
        <v/>
      </c>
      <c r="X561">
        <f>SUM('19_Расчет_аналитики'!X408:X432)-'19_Расчет_аналитики'!X371</f>
        <v/>
      </c>
      <c r="Y561">
        <f>SUM('19_Расчет_аналитики'!Y408:Y432)-'19_Расчет_аналитики'!Y371</f>
        <v/>
      </c>
      <c r="Z561">
        <f>SUM('19_Расчет_аналитики'!Z408:Z432)-'19_Расчет_аналитики'!Z371</f>
        <v/>
      </c>
      <c r="AA561">
        <f>SUM('19_Расчет_аналитики'!AA408:AA432)-'19_Расчет_аналитики'!AA371</f>
        <v/>
      </c>
      <c r="AB561">
        <f>SUM('19_Расчет_аналитики'!AB408:AB432)-'19_Расчет_аналитики'!AB371</f>
        <v/>
      </c>
      <c r="AC561">
        <f>SUM('19_Расчет_аналитики'!AC408:AC432)-'19_Расчет_аналитики'!AC371</f>
        <v/>
      </c>
      <c r="AD561">
        <f>SUM('19_Расчет_аналитики'!AD408:AD432)-'19_Расчет_аналитики'!AD371</f>
        <v/>
      </c>
      <c r="AE561">
        <f>SUM('19_Расчет_аналитики'!AE408:AE432)-'19_Расчет_аналитики'!AE371</f>
        <v/>
      </c>
      <c r="AF561">
        <f>SUM('19_Расчет_аналитики'!AF408:AF432)-'19_Расчет_аналитики'!AF371</f>
        <v/>
      </c>
      <c r="AG561">
        <f>SUM('19_Расчет_аналитики'!AG408:AG432)-'19_Расчет_аналитики'!AG371</f>
        <v/>
      </c>
      <c r="AH561">
        <f>SUM('19_Расчет_аналитики'!AH408:AH432)-'19_Расчет_аналитики'!AH371</f>
        <v/>
      </c>
      <c r="AI561">
        <f>SUM('19_Расчет_аналитики'!AI408:AI432)-'19_Расчет_аналитики'!AI371</f>
        <v/>
      </c>
      <c r="AJ561">
        <f>SUM('19_Расчет_аналитики'!AJ408:AJ432)-'19_Расчет_аналитики'!AJ371</f>
        <v/>
      </c>
      <c r="AK561">
        <f>SUM('19_Расчет_аналитики'!AK408:AK432)-'19_Расчет_аналитики'!AK371</f>
        <v/>
      </c>
      <c r="AL561">
        <f>SUM('19_Расчет_аналитики'!AL408:AL432)-'19_Расчет_аналитики'!AL371</f>
        <v/>
      </c>
      <c r="AM561">
        <f>SUM('19_Расчет_аналитики'!AM408:AM432)-'19_Расчет_аналитики'!AM371</f>
        <v/>
      </c>
      <c r="AN561">
        <f>SUM('19_Расчет_аналитики'!AN408:AN432)-'19_Расчет_аналитики'!AN371</f>
        <v/>
      </c>
      <c r="AO561">
        <f>SUM('19_Расчет_аналитики'!AO408:AO432)-'19_Расчет_аналитики'!AO371</f>
        <v/>
      </c>
      <c r="AP561">
        <f>SUM('19_Расчет_аналитики'!AP408:AP432)-'19_Расчет_аналитики'!AP371</f>
        <v/>
      </c>
      <c r="AQ561">
        <f>SUM('19_Расчет_аналитики'!AQ408:AQ432)-'19_Расчет_аналитики'!AQ371</f>
        <v/>
      </c>
      <c r="AR561">
        <f>SUM('19_Расчет_аналитики'!AR408:AR432)-'19_Расчет_аналитики'!AR371</f>
        <v/>
      </c>
      <c r="AS561">
        <f>SUM('19_Расчет_аналитики'!AS408:AS432)-'19_Расчет_аналитики'!AS371</f>
        <v/>
      </c>
      <c r="AT561">
        <f>SUM('19_Расчет_аналитики'!AT408:AT432)-'19_Расчет_аналитики'!AT371</f>
        <v/>
      </c>
      <c r="AU561">
        <f>SUM('19_Расчет_аналитики'!AU408:AU432)-'19_Расчет_аналитики'!AU371</f>
        <v/>
      </c>
      <c r="AV561">
        <f>SUM('19_Расчет_аналитики'!AV408:AV432)-'19_Расчет_аналитики'!AV371</f>
        <v/>
      </c>
      <c r="AW561">
        <f>SUM('19_Расчет_аналитики'!AW408:AW432)-'19_Расчет_аналитики'!AW371</f>
        <v/>
      </c>
      <c r="AX561">
        <f>SUM('19_Расчет_аналитики'!AX408:AX432)-'19_Расчет_аналитики'!AX371</f>
        <v/>
      </c>
      <c r="AY561">
        <f>SUM('19_Расчет_аналитики'!AY408:AY432)-'19_Расчет_аналитики'!AY371</f>
        <v/>
      </c>
      <c r="AZ561">
        <f>SUM('19_Расчет_аналитики'!AZ408:AZ432)-'19_Расчет_аналитики'!AZ371</f>
        <v/>
      </c>
      <c r="BA561">
        <f>SUM('19_Расчет_аналитики'!BA408:BA432)-'19_Расчет_аналитики'!BA371</f>
        <v/>
      </c>
      <c r="BB561">
        <f>SUM('19_Расчет_аналитики'!BB408:BB432)-'19_Расчет_аналитики'!BB371</f>
        <v/>
      </c>
      <c r="BC561">
        <f>SUM('19_Расчет_аналитики'!BC408:BC432)-'19_Расчет_аналитики'!BC371</f>
        <v/>
      </c>
      <c r="BD561">
        <f>SUM('19_Расчет_аналитики'!BD408:BD432)-'19_Расчет_аналитики'!BD371</f>
        <v/>
      </c>
      <c r="BE561">
        <f>SUM('19_Расчет_аналитики'!BE408:BE432)-'19_Расчет_аналитики'!BE371</f>
        <v/>
      </c>
      <c r="BF561">
        <f>SUM('19_Расчет_аналитики'!BF408:BF432)-'19_Расчет_аналитики'!BF371</f>
        <v/>
      </c>
      <c r="BG561">
        <f>SUM('19_Расчет_аналитики'!BG408:BG432)-'19_Расчет_аналитики'!BG371</f>
        <v/>
      </c>
      <c r="BH561">
        <f>SUM('19_Расчет_аналитики'!BH408:BH432)-'19_Расчет_аналитики'!BH371</f>
        <v/>
      </c>
      <c r="BI561">
        <f>SUM('19_Расчет_аналитики'!BI408:BI432)-'19_Расчет_аналитики'!BI371</f>
        <v/>
      </c>
      <c r="BJ561">
        <f>SUM('19_Расчет_аналитики'!BJ408:BJ432)-'19_Расчет_аналитики'!BJ371</f>
        <v/>
      </c>
      <c r="BK561">
        <f>SUM('19_Расчет_аналитики'!BK408:BK432)-'19_Расчет_аналитики'!BK371</f>
        <v/>
      </c>
      <c r="BL561">
        <f>SUM('19_Расчет_аналитики'!BL408:BL432)-'19_Расчет_аналитики'!BL371</f>
        <v/>
      </c>
      <c r="BM561">
        <f>SUM('19_Расчет_аналитики'!BM408:BM432)-'19_Расчет_аналитики'!BM371</f>
        <v/>
      </c>
      <c r="BN561">
        <f>SUM('19_Расчет_аналитики'!BN408:BN432)-'19_Расчет_аналитики'!BN371</f>
        <v/>
      </c>
      <c r="BO561">
        <f>SUM('19_Расчет_аналитики'!BO408:BO432)-'19_Расчет_аналитики'!BO371</f>
        <v/>
      </c>
    </row>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c r="F606">
        <f>'06_Сеть_и_дети'!F19*'19_Расчет_аналитики'!$B$86*'07_Мерч'!F4</f>
        <v/>
      </c>
      <c r="G606">
        <f>'06_Сеть_и_дети'!G19*'19_Расчет_аналитики'!$B$86*'07_Мерч'!G4</f>
        <v/>
      </c>
      <c r="H606">
        <f>'06_Сеть_и_дети'!H19*'19_Расчет_аналитики'!$B$86*'07_Мерч'!H4</f>
        <v/>
      </c>
      <c r="I606">
        <f>'06_Сеть_и_дети'!I19*'19_Расчет_аналитики'!$B$86*'07_Мерч'!I4</f>
        <v/>
      </c>
      <c r="J606">
        <f>'06_Сеть_и_дети'!J19*'19_Расчет_аналитики'!$B$86*'07_Мерч'!J4</f>
        <v/>
      </c>
      <c r="K606">
        <f>'06_Сеть_и_дети'!K19*'19_Расчет_аналитики'!$B$86*'07_Мерч'!K4</f>
        <v/>
      </c>
      <c r="L606">
        <f>'06_Сеть_и_дети'!L19*'19_Расчет_аналитики'!$B$86*'07_Мерч'!L4</f>
        <v/>
      </c>
      <c r="M606">
        <f>'06_Сеть_и_дети'!M19*'19_Расчет_аналитики'!$B$86*'07_Мерч'!M4</f>
        <v/>
      </c>
      <c r="N606">
        <f>'06_Сеть_и_дети'!N19*'19_Расчет_аналитики'!$B$86*'07_Мерч'!N4</f>
        <v/>
      </c>
      <c r="O606">
        <f>'06_Сеть_и_дети'!O19*'19_Расчет_аналитики'!$B$86*'07_Мерч'!O4</f>
        <v/>
      </c>
      <c r="P606">
        <f>'06_Сеть_и_дети'!P19*'19_Расчет_аналитики'!$B$86*'07_Мерч'!P4</f>
        <v/>
      </c>
      <c r="Q606">
        <f>'06_Сеть_и_дети'!Q19*'19_Расчет_аналитики'!$B$86*'07_Мерч'!Q4</f>
        <v/>
      </c>
      <c r="R606">
        <f>'06_Сеть_и_дети'!R19*'19_Расчет_аналитики'!$B$86*'07_Мерч'!R4</f>
        <v/>
      </c>
      <c r="S606">
        <f>'06_Сеть_и_дети'!S19*'19_Расчет_аналитики'!$B$86*'07_Мерч'!S4</f>
        <v/>
      </c>
      <c r="T606">
        <f>'06_Сеть_и_дети'!T19*'19_Расчет_аналитики'!$B$86*'07_Мерч'!T4</f>
        <v/>
      </c>
      <c r="U606">
        <f>'06_Сеть_и_дети'!U19*'19_Расчет_аналитики'!$B$86*'07_Мерч'!U4</f>
        <v/>
      </c>
      <c r="V606">
        <f>'06_Сеть_и_дети'!V19*'19_Расчет_аналитики'!$B$86*'07_Мерч'!V4</f>
        <v/>
      </c>
      <c r="W606">
        <f>'06_Сеть_и_дети'!W19*'19_Расчет_аналитики'!$B$86*'07_Мерч'!W4</f>
        <v/>
      </c>
      <c r="X606">
        <f>'06_Сеть_и_дети'!X19*'19_Расчет_аналитики'!$B$86*'07_Мерч'!X4</f>
        <v/>
      </c>
      <c r="Y606">
        <f>'06_Сеть_и_дети'!Y19*'19_Расчет_аналитики'!$B$86*'07_Мерч'!Y4</f>
        <v/>
      </c>
      <c r="Z606">
        <f>'06_Сеть_и_дети'!Z19*'19_Расчет_аналитики'!$B$86*'07_Мерч'!Z4</f>
        <v/>
      </c>
      <c r="AA606">
        <f>'06_Сеть_и_дети'!AA19*'19_Расчет_аналитики'!$B$86*'07_Мерч'!AA4</f>
        <v/>
      </c>
      <c r="AB606">
        <f>'06_Сеть_и_дети'!AB19*'19_Расчет_аналитики'!$B$86*'07_Мерч'!AB4</f>
        <v/>
      </c>
      <c r="AC606">
        <f>'06_Сеть_и_дети'!AC19*'19_Расчет_аналитики'!$B$86*'07_Мерч'!AC4</f>
        <v/>
      </c>
      <c r="AD606">
        <f>'06_Сеть_и_дети'!AD19*'19_Расчет_аналитики'!$B$86*'07_Мерч'!AD4</f>
        <v/>
      </c>
      <c r="AE606">
        <f>'06_Сеть_и_дети'!AE19*'19_Расчет_аналитики'!$B$86*'07_Мерч'!AE4</f>
        <v/>
      </c>
      <c r="AF606">
        <f>'06_Сеть_и_дети'!AF19*'19_Расчет_аналитики'!$B$86*'07_Мерч'!AF4</f>
        <v/>
      </c>
      <c r="AG606">
        <f>'06_Сеть_и_дети'!AG19*'19_Расчет_аналитики'!$B$86*'07_Мерч'!AG4</f>
        <v/>
      </c>
      <c r="AH606">
        <f>'06_Сеть_и_дети'!AH19*'19_Расчет_аналитики'!$B$86*'07_Мерч'!AH4</f>
        <v/>
      </c>
      <c r="AI606">
        <f>'06_Сеть_и_дети'!AI19*'19_Расчет_аналитики'!$B$86*'07_Мерч'!AI4</f>
        <v/>
      </c>
      <c r="AJ606">
        <f>'06_Сеть_и_дети'!AJ19*'19_Расчет_аналитики'!$B$86*'07_Мерч'!AJ4</f>
        <v/>
      </c>
      <c r="AK606">
        <f>'06_Сеть_и_дети'!AK19*'19_Расчет_аналитики'!$B$86*'07_Мерч'!AK4</f>
        <v/>
      </c>
      <c r="AL606">
        <f>'06_Сеть_и_дети'!AL19*'19_Расчет_аналитики'!$B$86*'07_Мерч'!AL4</f>
        <v/>
      </c>
      <c r="AM606">
        <f>'06_Сеть_и_дети'!AM19*'19_Расчет_аналитики'!$B$86*'07_Мерч'!AM4</f>
        <v/>
      </c>
      <c r="AN606">
        <f>'06_Сеть_и_дети'!AN19*'19_Расчет_аналитики'!$B$86*'07_Мерч'!AN4</f>
        <v/>
      </c>
      <c r="AO606">
        <f>'06_Сеть_и_дети'!AO19*'19_Расчет_аналитики'!$B$86*'07_Мерч'!AO4</f>
        <v/>
      </c>
      <c r="AP606">
        <f>'06_Сеть_и_дети'!AP19*'19_Расчет_аналитики'!$B$86*'07_Мерч'!AP4</f>
        <v/>
      </c>
      <c r="AQ606">
        <f>'06_Сеть_и_дети'!AQ19*'19_Расчет_аналитики'!$B$86*'07_Мерч'!AQ4</f>
        <v/>
      </c>
      <c r="AR606">
        <f>'06_Сеть_и_дети'!AR19*'19_Расчет_аналитики'!$B$86*'07_Мерч'!AR4</f>
        <v/>
      </c>
      <c r="AS606">
        <f>'06_Сеть_и_дети'!AS19*'19_Расчет_аналитики'!$B$86*'07_Мерч'!AS4</f>
        <v/>
      </c>
      <c r="AT606">
        <f>'06_Сеть_и_дети'!AT19*'19_Расчет_аналитики'!$B$86*'07_Мерч'!AT4</f>
        <v/>
      </c>
      <c r="AU606">
        <f>'06_Сеть_и_дети'!AU19*'19_Расчет_аналитики'!$B$86*'07_Мерч'!AU4</f>
        <v/>
      </c>
      <c r="AV606">
        <f>'06_Сеть_и_дети'!AV19*'19_Расчет_аналитики'!$B$86*'07_Мерч'!AV4</f>
        <v/>
      </c>
      <c r="AW606">
        <f>'06_Сеть_и_дети'!AW19*'19_Расчет_аналитики'!$B$86*'07_Мерч'!AW4</f>
        <v/>
      </c>
      <c r="AX606">
        <f>'06_Сеть_и_дети'!AX19*'19_Расчет_аналитики'!$B$86*'07_Мерч'!AX4</f>
        <v/>
      </c>
      <c r="AY606">
        <f>'06_Сеть_и_дети'!AY19*'19_Расчет_аналитики'!$B$86*'07_Мерч'!AY4</f>
        <v/>
      </c>
      <c r="AZ606">
        <f>'06_Сеть_и_дети'!AZ19*'19_Расчет_аналитики'!$B$86*'07_Мерч'!AZ4</f>
        <v/>
      </c>
      <c r="BA606">
        <f>'06_Сеть_и_дети'!BA19*'19_Расчет_аналитики'!$B$86*'07_Мерч'!BA4</f>
        <v/>
      </c>
      <c r="BB606">
        <f>'06_Сеть_и_дети'!BB19*'19_Расчет_аналитики'!$B$86*'07_Мерч'!BB4</f>
        <v/>
      </c>
      <c r="BC606">
        <f>'06_Сеть_и_дети'!BC19*'19_Расчет_аналитики'!$B$86*'07_Мерч'!BC4</f>
        <v/>
      </c>
      <c r="BD606">
        <f>'06_Сеть_и_дети'!BD19*'19_Расчет_аналитики'!$B$86*'07_Мерч'!BD4</f>
        <v/>
      </c>
      <c r="BE606">
        <f>'06_Сеть_и_дети'!BE19*'19_Расчет_аналитики'!$B$86*'07_Мерч'!BE4</f>
        <v/>
      </c>
      <c r="BF606">
        <f>'06_Сеть_и_дети'!BF19*'19_Расчет_аналитики'!$B$86*'07_Мерч'!BF4</f>
        <v/>
      </c>
      <c r="BG606">
        <f>'06_Сеть_и_дети'!BG19*'19_Расчет_аналитики'!$B$86*'07_Мерч'!BG4</f>
        <v/>
      </c>
      <c r="BH606">
        <f>'06_Сеть_и_дети'!BH19*'19_Расчет_аналитики'!$B$86*'07_Мерч'!BH4</f>
        <v/>
      </c>
      <c r="BI606">
        <f>'06_Сеть_и_дети'!BI19*'19_Расчет_аналитики'!$B$86*'07_Мерч'!BI4</f>
        <v/>
      </c>
      <c r="BJ606">
        <f>'06_Сеть_и_дети'!BJ19*'19_Расчет_аналитики'!$B$86*'07_Мерч'!BJ4</f>
        <v/>
      </c>
      <c r="BK606">
        <f>'06_Сеть_и_дети'!BK19*'19_Расчет_аналитики'!$B$86*'07_Мерч'!BK4</f>
        <v/>
      </c>
      <c r="BL606">
        <f>'06_Сеть_и_дети'!BL19*'19_Расчет_аналитики'!$B$86*'07_Мерч'!BL4</f>
        <v/>
      </c>
      <c r="BM606">
        <f>'06_Сеть_и_дети'!BM19*'19_Расчет_аналитики'!$B$86*'07_Мерч'!BM4</f>
        <v/>
      </c>
      <c r="BN606">
        <f>'06_Сеть_и_дети'!BN19*'19_Расчет_аналитики'!$B$86*'07_Мерч'!BN4</f>
        <v/>
      </c>
      <c r="BO606">
        <f>'06_Сеть_и_дети'!BO19*'19_Расчет_аналитики'!$B$86*'07_Мерч'!BO4</f>
        <v/>
      </c>
    </row>
    <row r="607">
      <c r="F607">
        <f>'19_Расчет_аналитики'!F606*'18_Календарь_тарифы'!F10</f>
        <v/>
      </c>
      <c r="G607">
        <f>'19_Расчет_аналитики'!G606*'18_Календарь_тарифы'!G10</f>
        <v/>
      </c>
      <c r="H607">
        <f>'19_Расчет_аналитики'!H606*'18_Календарь_тарифы'!H10</f>
        <v/>
      </c>
      <c r="I607">
        <f>'19_Расчет_аналитики'!I606*'18_Календарь_тарифы'!I10</f>
        <v/>
      </c>
      <c r="J607">
        <f>'19_Расчет_аналитики'!J606*'18_Календарь_тарифы'!J10</f>
        <v/>
      </c>
      <c r="K607">
        <f>'19_Расчет_аналитики'!K606*'18_Календарь_тарифы'!K10</f>
        <v/>
      </c>
      <c r="L607">
        <f>'19_Расчет_аналитики'!L606*'18_Календарь_тарифы'!L10</f>
        <v/>
      </c>
      <c r="M607">
        <f>'19_Расчет_аналитики'!M606*'18_Календарь_тарифы'!M10</f>
        <v/>
      </c>
      <c r="N607">
        <f>'19_Расчет_аналитики'!N606*'18_Календарь_тарифы'!N10</f>
        <v/>
      </c>
      <c r="O607">
        <f>'19_Расчет_аналитики'!O606*'18_Календарь_тарифы'!O10</f>
        <v/>
      </c>
      <c r="P607">
        <f>'19_Расчет_аналитики'!P606*'18_Календарь_тарифы'!P10</f>
        <v/>
      </c>
      <c r="Q607">
        <f>'19_Расчет_аналитики'!Q606*'18_Календарь_тарифы'!Q10</f>
        <v/>
      </c>
      <c r="R607">
        <f>'19_Расчет_аналитики'!R606*'18_Календарь_тарифы'!R10</f>
        <v/>
      </c>
      <c r="S607">
        <f>'19_Расчет_аналитики'!S606*'18_Календарь_тарифы'!S10</f>
        <v/>
      </c>
      <c r="T607">
        <f>'19_Расчет_аналитики'!T606*'18_Календарь_тарифы'!T10</f>
        <v/>
      </c>
      <c r="U607">
        <f>'19_Расчет_аналитики'!U606*'18_Календарь_тарифы'!U10</f>
        <v/>
      </c>
      <c r="V607">
        <f>'19_Расчет_аналитики'!V606*'18_Календарь_тарифы'!V10</f>
        <v/>
      </c>
      <c r="W607">
        <f>'19_Расчет_аналитики'!W606*'18_Календарь_тарифы'!W10</f>
        <v/>
      </c>
      <c r="X607">
        <f>'19_Расчет_аналитики'!X606*'18_Календарь_тарифы'!X10</f>
        <v/>
      </c>
      <c r="Y607">
        <f>'19_Расчет_аналитики'!Y606*'18_Календарь_тарифы'!Y10</f>
        <v/>
      </c>
      <c r="Z607">
        <f>'19_Расчет_аналитики'!Z606*'18_Календарь_тарифы'!Z10</f>
        <v/>
      </c>
      <c r="AA607">
        <f>'19_Расчет_аналитики'!AA606*'18_Календарь_тарифы'!AA10</f>
        <v/>
      </c>
      <c r="AB607">
        <f>'19_Расчет_аналитики'!AB606*'18_Календарь_тарифы'!AB10</f>
        <v/>
      </c>
      <c r="AC607">
        <f>'19_Расчет_аналитики'!AC606*'18_Календарь_тарифы'!AC10</f>
        <v/>
      </c>
      <c r="AD607">
        <f>'19_Расчет_аналитики'!AD606*'18_Календарь_тарифы'!AD10</f>
        <v/>
      </c>
      <c r="AE607">
        <f>'19_Расчет_аналитики'!AE606*'18_Календарь_тарифы'!AE10</f>
        <v/>
      </c>
      <c r="AF607">
        <f>'19_Расчет_аналитики'!AF606*'18_Календарь_тарифы'!AF10</f>
        <v/>
      </c>
      <c r="AG607">
        <f>'19_Расчет_аналитики'!AG606*'18_Календарь_тарифы'!AG10</f>
        <v/>
      </c>
      <c r="AH607">
        <f>'19_Расчет_аналитики'!AH606*'18_Календарь_тарифы'!AH10</f>
        <v/>
      </c>
      <c r="AI607">
        <f>'19_Расчет_аналитики'!AI606*'18_Календарь_тарифы'!AI10</f>
        <v/>
      </c>
      <c r="AJ607">
        <f>'19_Расчет_аналитики'!AJ606*'18_Календарь_тарифы'!AJ10</f>
        <v/>
      </c>
      <c r="AK607">
        <f>'19_Расчет_аналитики'!AK606*'18_Календарь_тарифы'!AK10</f>
        <v/>
      </c>
      <c r="AL607">
        <f>'19_Расчет_аналитики'!AL606*'18_Календарь_тарифы'!AL10</f>
        <v/>
      </c>
      <c r="AM607">
        <f>'19_Расчет_аналитики'!AM606*'18_Календарь_тарифы'!AM10</f>
        <v/>
      </c>
      <c r="AN607">
        <f>'19_Расчет_аналитики'!AN606*'18_Календарь_тарифы'!AN10</f>
        <v/>
      </c>
      <c r="AO607">
        <f>'19_Расчет_аналитики'!AO606*'18_Календарь_тарифы'!AO10</f>
        <v/>
      </c>
      <c r="AP607">
        <f>'19_Расчет_аналитики'!AP606*'18_Календарь_тарифы'!AP10</f>
        <v/>
      </c>
      <c r="AQ607">
        <f>'19_Расчет_аналитики'!AQ606*'18_Календарь_тарифы'!AQ10</f>
        <v/>
      </c>
      <c r="AR607">
        <f>'19_Расчет_аналитики'!AR606*'18_Календарь_тарифы'!AR10</f>
        <v/>
      </c>
      <c r="AS607">
        <f>'19_Расчет_аналитики'!AS606*'18_Календарь_тарифы'!AS10</f>
        <v/>
      </c>
      <c r="AT607">
        <f>'19_Расчет_аналитики'!AT606*'18_Календарь_тарифы'!AT10</f>
        <v/>
      </c>
      <c r="AU607">
        <f>'19_Расчет_аналитики'!AU606*'18_Календарь_тарифы'!AU10</f>
        <v/>
      </c>
      <c r="AV607">
        <f>'19_Расчет_аналитики'!AV606*'18_Календарь_тарифы'!AV10</f>
        <v/>
      </c>
      <c r="AW607">
        <f>'19_Расчет_аналитики'!AW606*'18_Календарь_тарифы'!AW10</f>
        <v/>
      </c>
      <c r="AX607">
        <f>'19_Расчет_аналитики'!AX606*'18_Календарь_тарифы'!AX10</f>
        <v/>
      </c>
      <c r="AY607">
        <f>'19_Расчет_аналитики'!AY606*'18_Календарь_тарифы'!AY10</f>
        <v/>
      </c>
      <c r="AZ607">
        <f>'19_Расчет_аналитики'!AZ606*'18_Календарь_тарифы'!AZ10</f>
        <v/>
      </c>
      <c r="BA607">
        <f>'19_Расчет_аналитики'!BA606*'18_Календарь_тарифы'!BA10</f>
        <v/>
      </c>
      <c r="BB607">
        <f>'19_Расчет_аналитики'!BB606*'18_Календарь_тарифы'!BB10</f>
        <v/>
      </c>
      <c r="BC607">
        <f>'19_Расчет_аналитики'!BC606*'18_Календарь_тарифы'!BC10</f>
        <v/>
      </c>
      <c r="BD607">
        <f>'19_Расчет_аналитики'!BD606*'18_Календарь_тарифы'!BD10</f>
        <v/>
      </c>
      <c r="BE607">
        <f>'19_Расчет_аналитики'!BE606*'18_Календарь_тарифы'!BE10</f>
        <v/>
      </c>
      <c r="BF607">
        <f>'19_Расчет_аналитики'!BF606*'18_Календарь_тарифы'!BF10</f>
        <v/>
      </c>
      <c r="BG607">
        <f>'19_Расчет_аналитики'!BG606*'18_Календарь_тарифы'!BG10</f>
        <v/>
      </c>
      <c r="BH607">
        <f>'19_Расчет_аналитики'!BH606*'18_Календарь_тарифы'!BH10</f>
        <v/>
      </c>
      <c r="BI607">
        <f>'19_Расчет_аналитики'!BI606*'18_Календарь_тарифы'!BI10</f>
        <v/>
      </c>
      <c r="BJ607">
        <f>'19_Расчет_аналитики'!BJ606*'18_Календарь_тарифы'!BJ10</f>
        <v/>
      </c>
      <c r="BK607">
        <f>'19_Расчет_аналитики'!BK606*'18_Календарь_тарифы'!BK10</f>
        <v/>
      </c>
      <c r="BL607">
        <f>'19_Расчет_аналитики'!BL606*'18_Календарь_тарифы'!BL10</f>
        <v/>
      </c>
      <c r="BM607">
        <f>'19_Расчет_аналитики'!BM606*'18_Календарь_тарифы'!BM10</f>
        <v/>
      </c>
      <c r="BN607">
        <f>'19_Расчет_аналитики'!BN606*'18_Календарь_тарифы'!BN10</f>
        <v/>
      </c>
      <c r="BO607">
        <f>'19_Расчет_аналитики'!BO606*'18_Календарь_тарифы'!BO10</f>
        <v/>
      </c>
    </row>
    <row r="608">
      <c r="F608">
        <f>'19_Расчет_аналитики'!F606*'18_Календарь_тарифы'!F9</f>
        <v/>
      </c>
      <c r="G608">
        <f>'19_Расчет_аналитики'!G606*'18_Календарь_тарифы'!G9</f>
        <v/>
      </c>
      <c r="H608">
        <f>'19_Расчет_аналитики'!H606*'18_Календарь_тарифы'!H9</f>
        <v/>
      </c>
      <c r="I608">
        <f>'19_Расчет_аналитики'!I606*'18_Календарь_тарифы'!I9</f>
        <v/>
      </c>
      <c r="J608">
        <f>'19_Расчет_аналитики'!J606*'18_Календарь_тарифы'!J9</f>
        <v/>
      </c>
      <c r="K608">
        <f>'19_Расчет_аналитики'!K606*'18_Календарь_тарифы'!K9</f>
        <v/>
      </c>
      <c r="L608">
        <f>'19_Расчет_аналитики'!L606*'18_Календарь_тарифы'!L9</f>
        <v/>
      </c>
      <c r="M608">
        <f>'19_Расчет_аналитики'!M606*'18_Календарь_тарифы'!M9</f>
        <v/>
      </c>
      <c r="N608">
        <f>'19_Расчет_аналитики'!N606*'18_Календарь_тарифы'!N9</f>
        <v/>
      </c>
      <c r="O608">
        <f>'19_Расчет_аналитики'!O606*'18_Календарь_тарифы'!O9</f>
        <v/>
      </c>
      <c r="P608">
        <f>'19_Расчет_аналитики'!P606*'18_Календарь_тарифы'!P9</f>
        <v/>
      </c>
      <c r="Q608">
        <f>'19_Расчет_аналитики'!Q606*'18_Календарь_тарифы'!Q9</f>
        <v/>
      </c>
      <c r="R608">
        <f>'19_Расчет_аналитики'!R606*'18_Календарь_тарифы'!R9</f>
        <v/>
      </c>
      <c r="S608">
        <f>'19_Расчет_аналитики'!S606*'18_Календарь_тарифы'!S9</f>
        <v/>
      </c>
      <c r="T608">
        <f>'19_Расчет_аналитики'!T606*'18_Календарь_тарифы'!T9</f>
        <v/>
      </c>
      <c r="U608">
        <f>'19_Расчет_аналитики'!U606*'18_Календарь_тарифы'!U9</f>
        <v/>
      </c>
      <c r="V608">
        <f>'19_Расчет_аналитики'!V606*'18_Календарь_тарифы'!V9</f>
        <v/>
      </c>
      <c r="W608">
        <f>'19_Расчет_аналитики'!W606*'18_Календарь_тарифы'!W9</f>
        <v/>
      </c>
      <c r="X608">
        <f>'19_Расчет_аналитики'!X606*'18_Календарь_тарифы'!X9</f>
        <v/>
      </c>
      <c r="Y608">
        <f>'19_Расчет_аналитики'!Y606*'18_Календарь_тарифы'!Y9</f>
        <v/>
      </c>
      <c r="Z608">
        <f>'19_Расчет_аналитики'!Z606*'18_Календарь_тарифы'!Z9</f>
        <v/>
      </c>
      <c r="AA608">
        <f>'19_Расчет_аналитики'!AA606*'18_Календарь_тарифы'!AA9</f>
        <v/>
      </c>
      <c r="AB608">
        <f>'19_Расчет_аналитики'!AB606*'18_Календарь_тарифы'!AB9</f>
        <v/>
      </c>
      <c r="AC608">
        <f>'19_Расчет_аналитики'!AC606*'18_Календарь_тарифы'!AC9</f>
        <v/>
      </c>
      <c r="AD608">
        <f>'19_Расчет_аналитики'!AD606*'18_Календарь_тарифы'!AD9</f>
        <v/>
      </c>
      <c r="AE608">
        <f>'19_Расчет_аналитики'!AE606*'18_Календарь_тарифы'!AE9</f>
        <v/>
      </c>
      <c r="AF608">
        <f>'19_Расчет_аналитики'!AF606*'18_Календарь_тарифы'!AF9</f>
        <v/>
      </c>
      <c r="AG608">
        <f>'19_Расчет_аналитики'!AG606*'18_Календарь_тарифы'!AG9</f>
        <v/>
      </c>
      <c r="AH608">
        <f>'19_Расчет_аналитики'!AH606*'18_Календарь_тарифы'!AH9</f>
        <v/>
      </c>
      <c r="AI608">
        <f>'19_Расчет_аналитики'!AI606*'18_Календарь_тарифы'!AI9</f>
        <v/>
      </c>
      <c r="AJ608">
        <f>'19_Расчет_аналитики'!AJ606*'18_Календарь_тарифы'!AJ9</f>
        <v/>
      </c>
      <c r="AK608">
        <f>'19_Расчет_аналитики'!AK606*'18_Календарь_тарифы'!AK9</f>
        <v/>
      </c>
      <c r="AL608">
        <f>'19_Расчет_аналитики'!AL606*'18_Календарь_тарифы'!AL9</f>
        <v/>
      </c>
      <c r="AM608">
        <f>'19_Расчет_аналитики'!AM606*'18_Календарь_тарифы'!AM9</f>
        <v/>
      </c>
      <c r="AN608">
        <f>'19_Расчет_аналитики'!AN606*'18_Календарь_тарифы'!AN9</f>
        <v/>
      </c>
      <c r="AO608">
        <f>'19_Расчет_аналитики'!AO606*'18_Календарь_тарифы'!AO9</f>
        <v/>
      </c>
      <c r="AP608">
        <f>'19_Расчет_аналитики'!AP606*'18_Календарь_тарифы'!AP9</f>
        <v/>
      </c>
      <c r="AQ608">
        <f>'19_Расчет_аналитики'!AQ606*'18_Календарь_тарифы'!AQ9</f>
        <v/>
      </c>
      <c r="AR608">
        <f>'19_Расчет_аналитики'!AR606*'18_Календарь_тарифы'!AR9</f>
        <v/>
      </c>
      <c r="AS608">
        <f>'19_Расчет_аналитики'!AS606*'18_Календарь_тарифы'!AS9</f>
        <v/>
      </c>
      <c r="AT608">
        <f>'19_Расчет_аналитики'!AT606*'18_Календарь_тарифы'!AT9</f>
        <v/>
      </c>
      <c r="AU608">
        <f>'19_Расчет_аналитики'!AU606*'18_Календарь_тарифы'!AU9</f>
        <v/>
      </c>
      <c r="AV608">
        <f>'19_Расчет_аналитики'!AV606*'18_Календарь_тарифы'!AV9</f>
        <v/>
      </c>
      <c r="AW608">
        <f>'19_Расчет_аналитики'!AW606*'18_Календарь_тарифы'!AW9</f>
        <v/>
      </c>
      <c r="AX608">
        <f>'19_Расчет_аналитики'!AX606*'18_Календарь_тарифы'!AX9</f>
        <v/>
      </c>
      <c r="AY608">
        <f>'19_Расчет_аналитики'!AY606*'18_Календарь_тарифы'!AY9</f>
        <v/>
      </c>
      <c r="AZ608">
        <f>'19_Расчет_аналитики'!AZ606*'18_Календарь_тарифы'!AZ9</f>
        <v/>
      </c>
      <c r="BA608">
        <f>'19_Расчет_аналитики'!BA606*'18_Календарь_тарифы'!BA9</f>
        <v/>
      </c>
      <c r="BB608">
        <f>'19_Расчет_аналитики'!BB606*'18_Календарь_тарифы'!BB9</f>
        <v/>
      </c>
      <c r="BC608">
        <f>'19_Расчет_аналитики'!BC606*'18_Календарь_тарифы'!BC9</f>
        <v/>
      </c>
      <c r="BD608">
        <f>'19_Расчет_аналитики'!BD606*'18_Календарь_тарифы'!BD9</f>
        <v/>
      </c>
      <c r="BE608">
        <f>'19_Расчет_аналитики'!BE606*'18_Календарь_тарифы'!BE9</f>
        <v/>
      </c>
      <c r="BF608">
        <f>'19_Расчет_аналитики'!BF606*'18_Календарь_тарифы'!BF9</f>
        <v/>
      </c>
      <c r="BG608">
        <f>'19_Расчет_аналитики'!BG606*'18_Календарь_тарифы'!BG9</f>
        <v/>
      </c>
      <c r="BH608">
        <f>'19_Расчет_аналитики'!BH606*'18_Календарь_тарифы'!BH9</f>
        <v/>
      </c>
      <c r="BI608">
        <f>'19_Расчет_аналитики'!BI606*'18_Календарь_тарифы'!BI9</f>
        <v/>
      </c>
      <c r="BJ608">
        <f>'19_Расчет_аналитики'!BJ606*'18_Календарь_тарифы'!BJ9</f>
        <v/>
      </c>
      <c r="BK608">
        <f>'19_Расчет_аналитики'!BK606*'18_Календарь_тарифы'!BK9</f>
        <v/>
      </c>
      <c r="BL608">
        <f>'19_Расчет_аналитики'!BL606*'18_Календарь_тарифы'!BL9</f>
        <v/>
      </c>
      <c r="BM608">
        <f>'19_Расчет_аналитики'!BM606*'18_Календарь_тарифы'!BM9</f>
        <v/>
      </c>
      <c r="BN608">
        <f>'19_Расчет_аналитики'!BN606*'18_Календарь_тарифы'!BN9</f>
        <v/>
      </c>
      <c r="BO608">
        <f>'19_Расчет_аналитики'!BO606*'18_Календарь_тарифы'!BO9</f>
        <v/>
      </c>
    </row>
    <row r="609"/>
    <row r="610">
      <c r="B610">
        <f>'07_Мерч'!B9</f>
        <v/>
      </c>
      <c r="C610">
        <f>('19_Расчет_аналитики'!B363*'01_Вводные'!$B$87*'01_Вводные'!$B$14^1)*'19_Расчет_аналитики'!$B$58*'19_Расчет_аналитики'!$B$86</f>
        <v/>
      </c>
      <c r="D610">
        <f>('19_Расчет_аналитики'!C363*'01_Вводные'!$B$87*'01_Вводные'!$B$14^1+'19_Расчет_аналитики'!B363*'01_Вводные'!$B$88*'01_Вводные'!$B$14^2)*'19_Расчет_аналитики'!$B$58*'19_Расчет_аналитики'!$B$86</f>
        <v/>
      </c>
      <c r="E610">
        <f>('19_Расчет_аналитики'!D363*'01_Вводные'!$B$87*'01_Вводные'!$B$14^1+'19_Расчет_аналитики'!C363*'01_Вводные'!$B$88*'01_Вводные'!$B$14^2+'19_Расчет_аналитики'!B363*'01_Вводные'!$B$89*'01_Вводные'!$B$14^3)*'19_Расчет_аналитики'!$B$58*'19_Расчет_аналитики'!$B$86</f>
        <v/>
      </c>
      <c r="F610">
        <f>('19_Расчет_аналитики'!E363*'01_Вводные'!$B$87*'01_Вводные'!$B$14^1+'19_Расчет_аналитики'!D363*'01_Вводные'!$B$88*'01_Вводные'!$B$14^2+'19_Расчет_аналитики'!C363*'01_Вводные'!$B$89*'01_Вводные'!$B$14^3)*'19_Расчет_аналитики'!$B$58*'19_Расчет_аналитики'!$B$86</f>
        <v/>
      </c>
      <c r="G610">
        <f>('19_Расчет_аналитики'!F363*'01_Вводные'!$B$87*'01_Вводные'!$B$14^1+'19_Расчет_аналитики'!E363*'01_Вводные'!$B$88*'01_Вводные'!$B$14^2+'19_Расчет_аналитики'!D363*'01_Вводные'!$B$89*'01_Вводные'!$B$14^3)*'19_Расчет_аналитики'!$B$58*'19_Расчет_аналитики'!$B$86</f>
        <v/>
      </c>
      <c r="H610">
        <f>('19_Расчет_аналитики'!G363*'01_Вводные'!$B$87*'01_Вводные'!$B$14^1+'19_Расчет_аналитики'!F363*'01_Вводные'!$B$88*'01_Вводные'!$B$14^2+'19_Расчет_аналитики'!E363*'01_Вводные'!$B$89*'01_Вводные'!$B$14^3)*'19_Расчет_аналитики'!$B$58*'19_Расчет_аналитики'!$B$86</f>
        <v/>
      </c>
      <c r="I610">
        <f>('19_Расчет_аналитики'!H363*'01_Вводные'!$B$87*'01_Вводные'!$B$14^1+'19_Расчет_аналитики'!G363*'01_Вводные'!$B$88*'01_Вводные'!$B$14^2+'19_Расчет_аналитики'!F363*'01_Вводные'!$B$89*'01_Вводные'!$B$14^3)*'19_Расчет_аналитики'!$B$58*'19_Расчет_аналитики'!$B$86</f>
        <v/>
      </c>
      <c r="J610">
        <f>('19_Расчет_аналитики'!I363*'01_Вводные'!$B$87*'01_Вводные'!$B$14^1+'19_Расчет_аналитики'!H363*'01_Вводные'!$B$88*'01_Вводные'!$B$14^2+'19_Расчет_аналитики'!G363*'01_Вводные'!$B$89*'01_Вводные'!$B$14^3)*'19_Расчет_аналитики'!$B$58*'19_Расчет_аналитики'!$B$86</f>
        <v/>
      </c>
      <c r="K610">
        <f>('19_Расчет_аналитики'!J363*'01_Вводные'!$B$87*'01_Вводные'!$B$14^1+'19_Расчет_аналитики'!I363*'01_Вводные'!$B$88*'01_Вводные'!$B$14^2+'19_Расчет_аналитики'!H363*'01_Вводные'!$B$89*'01_Вводные'!$B$14^3)*'19_Расчет_аналитики'!$B$58*'19_Расчет_аналитики'!$B$86</f>
        <v/>
      </c>
      <c r="L610">
        <f>('19_Расчет_аналитики'!K363*'01_Вводные'!$B$87*'01_Вводные'!$B$14^1+'19_Расчет_аналитики'!J363*'01_Вводные'!$B$88*'01_Вводные'!$B$14^2+'19_Расчет_аналитики'!I363*'01_Вводные'!$B$89*'01_Вводные'!$B$14^3)*'19_Расчет_аналитики'!$B$58*'19_Расчет_аналитики'!$B$86</f>
        <v/>
      </c>
      <c r="M610">
        <f>('19_Расчет_аналитики'!L363*'01_Вводные'!$B$87*'01_Вводные'!$B$14^1+'19_Расчет_аналитики'!K363*'01_Вводные'!$B$88*'01_Вводные'!$B$14^2+'19_Расчет_аналитики'!J363*'01_Вводные'!$B$89*'01_Вводные'!$B$14^3)*'19_Расчет_аналитики'!$B$58*'19_Расчет_аналитики'!$B$86</f>
        <v/>
      </c>
      <c r="N610">
        <f>('19_Расчет_аналитики'!M363*'01_Вводные'!$B$87*'01_Вводные'!$B$14^1+'19_Расчет_аналитики'!L363*'01_Вводные'!$B$88*'01_Вводные'!$B$14^2+'19_Расчет_аналитики'!K363*'01_Вводные'!$B$89*'01_Вводные'!$B$14^3)*'19_Расчет_аналитики'!$B$58*'19_Расчет_аналитики'!$B$86</f>
        <v/>
      </c>
      <c r="O610">
        <f>('19_Расчет_аналитики'!N363*'01_Вводные'!$B$87*'01_Вводные'!$B$14^1+'19_Расчет_аналитики'!M363*'01_Вводные'!$B$88*'01_Вводные'!$B$14^2+'19_Расчет_аналитики'!L363*'01_Вводные'!$B$89*'01_Вводные'!$B$14^3)*'19_Расчет_аналитики'!$B$58*'19_Расчет_аналитики'!$B$86</f>
        <v/>
      </c>
      <c r="P610">
        <f>('19_Расчет_аналитики'!O363*'01_Вводные'!$B$87*'01_Вводные'!$B$14^1+'19_Расчет_аналитики'!N363*'01_Вводные'!$B$88*'01_Вводные'!$B$14^2+'19_Расчет_аналитики'!M363*'01_Вводные'!$B$89*'01_Вводные'!$B$14^3)*'19_Расчет_аналитики'!$B$58*'19_Расчет_аналитики'!$B$86</f>
        <v/>
      </c>
      <c r="Q610">
        <f>('19_Расчет_аналитики'!P363*'01_Вводные'!$B$87*'01_Вводные'!$B$14^1+'19_Расчет_аналитики'!O363*'01_Вводные'!$B$88*'01_Вводные'!$B$14^2+'19_Расчет_аналитики'!N363*'01_Вводные'!$B$89*'01_Вводные'!$B$14^3)*'19_Расчет_аналитики'!$B$58*'19_Расчет_аналитики'!$B$86</f>
        <v/>
      </c>
      <c r="R610">
        <f>('19_Расчет_аналитики'!Q363*'01_Вводные'!$B$87*'01_Вводные'!$B$14^1+'19_Расчет_аналитики'!P363*'01_Вводные'!$B$88*'01_Вводные'!$B$14^2+'19_Расчет_аналитики'!O363*'01_Вводные'!$B$89*'01_Вводные'!$B$14^3)*'19_Расчет_аналитики'!$B$58*'19_Расчет_аналитики'!$B$86</f>
        <v/>
      </c>
      <c r="S610">
        <f>('19_Расчет_аналитики'!R363*'01_Вводные'!$B$87*'01_Вводные'!$B$14^1+'19_Расчет_аналитики'!Q363*'01_Вводные'!$B$88*'01_Вводные'!$B$14^2+'19_Расчет_аналитики'!P363*'01_Вводные'!$B$89*'01_Вводные'!$B$14^3)*'19_Расчет_аналитики'!$B$58*'19_Расчет_аналитики'!$B$86</f>
        <v/>
      </c>
      <c r="T610">
        <f>('19_Расчет_аналитики'!S363*'01_Вводные'!$B$87*'01_Вводные'!$B$14^1+'19_Расчет_аналитики'!R363*'01_Вводные'!$B$88*'01_Вводные'!$B$14^2+'19_Расчет_аналитики'!Q363*'01_Вводные'!$B$89*'01_Вводные'!$B$14^3)*'19_Расчет_аналитики'!$B$58*'19_Расчет_аналитики'!$B$86</f>
        <v/>
      </c>
      <c r="U610">
        <f>('19_Расчет_аналитики'!T363*'01_Вводные'!$B$87*'01_Вводные'!$B$14^1+'19_Расчет_аналитики'!S363*'01_Вводные'!$B$88*'01_Вводные'!$B$14^2+'19_Расчет_аналитики'!R363*'01_Вводные'!$B$89*'01_Вводные'!$B$14^3)*'19_Расчет_аналитики'!$B$58*'19_Расчет_аналитики'!$B$86</f>
        <v/>
      </c>
      <c r="V610">
        <f>('19_Расчет_аналитики'!U363*'01_Вводные'!$B$87*'01_Вводные'!$B$14^1+'19_Расчет_аналитики'!T363*'01_Вводные'!$B$88*'01_Вводные'!$B$14^2+'19_Расчет_аналитики'!S363*'01_Вводные'!$B$89*'01_Вводные'!$B$14^3)*'19_Расчет_аналитики'!$B$58*'19_Расчет_аналитики'!$B$86</f>
        <v/>
      </c>
      <c r="W610">
        <f>('19_Расчет_аналитики'!V363*'01_Вводные'!$B$87*'01_Вводные'!$B$14^1+'19_Расчет_аналитики'!U363*'01_Вводные'!$B$88*'01_Вводные'!$B$14^2+'19_Расчет_аналитики'!T363*'01_Вводные'!$B$89*'01_Вводные'!$B$14^3)*'19_Расчет_аналитики'!$B$58*'19_Расчет_аналитики'!$B$86</f>
        <v/>
      </c>
      <c r="X610">
        <f>('19_Расчет_аналитики'!W363*'01_Вводные'!$B$87*'01_Вводные'!$B$14^1+'19_Расчет_аналитики'!V363*'01_Вводные'!$B$88*'01_Вводные'!$B$14^2+'19_Расчет_аналитики'!U363*'01_Вводные'!$B$89*'01_Вводные'!$B$14^3)*'19_Расчет_аналитики'!$B$58*'19_Расчет_аналитики'!$B$86</f>
        <v/>
      </c>
      <c r="Y610">
        <f>('19_Расчет_аналитики'!X363*'01_Вводные'!$B$87*'01_Вводные'!$B$14^1+'19_Расчет_аналитики'!W363*'01_Вводные'!$B$88*'01_Вводные'!$B$14^2+'19_Расчет_аналитики'!V363*'01_Вводные'!$B$89*'01_Вводные'!$B$14^3)*'19_Расчет_аналитики'!$B$58*'19_Расчет_аналитики'!$B$86</f>
        <v/>
      </c>
      <c r="Z610">
        <f>('19_Расчет_аналитики'!Y363*'01_Вводные'!$B$87*'01_Вводные'!$B$14^1+'19_Расчет_аналитики'!X363*'01_Вводные'!$B$88*'01_Вводные'!$B$14^2+'19_Расчет_аналитики'!W363*'01_Вводные'!$B$89*'01_Вводные'!$B$14^3)*'19_Расчет_аналитики'!$B$58*'19_Расчет_аналитики'!$B$86</f>
        <v/>
      </c>
      <c r="AA610">
        <f>('19_Расчет_аналитики'!Z363*'01_Вводные'!$B$87*'01_Вводные'!$B$14^1+'19_Расчет_аналитики'!Y363*'01_Вводные'!$B$88*'01_Вводные'!$B$14^2+'19_Расчет_аналитики'!X363*'01_Вводные'!$B$89*'01_Вводные'!$B$14^3)*'19_Расчет_аналитики'!$B$58*'19_Расчет_аналитики'!$B$86</f>
        <v/>
      </c>
      <c r="AB610">
        <f>('19_Расчет_аналитики'!AA363*'01_Вводные'!$B$87*'01_Вводные'!$B$14^1+'19_Расчет_аналитики'!Z363*'01_Вводные'!$B$88*'01_Вводные'!$B$14^2+'19_Расчет_аналитики'!Y363*'01_Вводные'!$B$89*'01_Вводные'!$B$14^3)*'19_Расчет_аналитики'!$B$58*'19_Расчет_аналитики'!$B$86</f>
        <v/>
      </c>
      <c r="AC610">
        <f>('19_Расчет_аналитики'!AB363*'01_Вводные'!$B$87*'01_Вводные'!$B$14^1+'19_Расчет_аналитики'!AA363*'01_Вводные'!$B$88*'01_Вводные'!$B$14^2+'19_Расчет_аналитики'!Z363*'01_Вводные'!$B$89*'01_Вводные'!$B$14^3)*'19_Расчет_аналитики'!$B$58*'19_Расчет_аналитики'!$B$86</f>
        <v/>
      </c>
      <c r="AD610">
        <f>('19_Расчет_аналитики'!AC363*'01_Вводные'!$B$87*'01_Вводные'!$B$14^1+'19_Расчет_аналитики'!AB363*'01_Вводные'!$B$88*'01_Вводные'!$B$14^2+'19_Расчет_аналитики'!AA363*'01_Вводные'!$B$89*'01_Вводные'!$B$14^3)*'19_Расчет_аналитики'!$B$58*'19_Расчет_аналитики'!$B$86</f>
        <v/>
      </c>
      <c r="AE610">
        <f>('19_Расчет_аналитики'!AD363*'01_Вводные'!$B$87*'01_Вводные'!$B$14^1+'19_Расчет_аналитики'!AC363*'01_Вводные'!$B$88*'01_Вводные'!$B$14^2+'19_Расчет_аналитики'!AB363*'01_Вводные'!$B$89*'01_Вводные'!$B$14^3)*'19_Расчет_аналитики'!$B$58*'19_Расчет_аналитики'!$B$86</f>
        <v/>
      </c>
      <c r="AF610">
        <f>('19_Расчет_аналитики'!AE363*'01_Вводные'!$B$87*'01_Вводные'!$B$14^1+'19_Расчет_аналитики'!AD363*'01_Вводные'!$B$88*'01_Вводные'!$B$14^2+'19_Расчет_аналитики'!AC363*'01_Вводные'!$B$89*'01_Вводные'!$B$14^3)*'19_Расчет_аналитики'!$B$58*'19_Расчет_аналитики'!$B$86</f>
        <v/>
      </c>
      <c r="AG610">
        <f>('19_Расчет_аналитики'!AF363*'01_Вводные'!$B$87*'01_Вводные'!$B$14^1+'19_Расчет_аналитики'!AE363*'01_Вводные'!$B$88*'01_Вводные'!$B$14^2+'19_Расчет_аналитики'!AD363*'01_Вводные'!$B$89*'01_Вводные'!$B$14^3)*'19_Расчет_аналитики'!$B$58*'19_Расчет_аналитики'!$B$86</f>
        <v/>
      </c>
      <c r="AH610">
        <f>('19_Расчет_аналитики'!AG363*'01_Вводные'!$B$87*'01_Вводные'!$B$14^1+'19_Расчет_аналитики'!AF363*'01_Вводные'!$B$88*'01_Вводные'!$B$14^2+'19_Расчет_аналитики'!AE363*'01_Вводные'!$B$89*'01_Вводные'!$B$14^3)*'19_Расчет_аналитики'!$B$58*'19_Расчет_аналитики'!$B$86</f>
        <v/>
      </c>
      <c r="AI610">
        <f>('19_Расчет_аналитики'!AH363*'01_Вводные'!$B$87*'01_Вводные'!$B$14^1+'19_Расчет_аналитики'!AG363*'01_Вводные'!$B$88*'01_Вводные'!$B$14^2+'19_Расчет_аналитики'!AF363*'01_Вводные'!$B$89*'01_Вводные'!$B$14^3)*'19_Расчет_аналитики'!$B$58*'19_Расчет_аналитики'!$B$86</f>
        <v/>
      </c>
      <c r="AJ610">
        <f>('19_Расчет_аналитики'!AI363*'01_Вводные'!$B$87*'01_Вводные'!$B$14^1+'19_Расчет_аналитики'!AH363*'01_Вводные'!$B$88*'01_Вводные'!$B$14^2+'19_Расчет_аналитики'!AG363*'01_Вводные'!$B$89*'01_Вводные'!$B$14^3)*'19_Расчет_аналитики'!$B$58*'19_Расчет_аналитики'!$B$86</f>
        <v/>
      </c>
      <c r="AK610">
        <f>('19_Расчет_аналитики'!AJ363*'01_Вводные'!$B$87*'01_Вводные'!$B$14^1+'19_Расчет_аналитики'!AI363*'01_Вводные'!$B$88*'01_Вводные'!$B$14^2+'19_Расчет_аналитики'!AH363*'01_Вводные'!$B$89*'01_Вводные'!$B$14^3)*'19_Расчет_аналитики'!$B$58*'19_Расчет_аналитики'!$B$86</f>
        <v/>
      </c>
      <c r="AL610">
        <f>('19_Расчет_аналитики'!AK363*'01_Вводные'!$B$87*'01_Вводные'!$B$14^1+'19_Расчет_аналитики'!AJ363*'01_Вводные'!$B$88*'01_Вводные'!$B$14^2+'19_Расчет_аналитики'!AI363*'01_Вводные'!$B$89*'01_Вводные'!$B$14^3)*'19_Расчет_аналитики'!$B$58*'19_Расчет_аналитики'!$B$86</f>
        <v/>
      </c>
      <c r="AM610">
        <f>('19_Расчет_аналитики'!AL363*'01_Вводные'!$B$87*'01_Вводные'!$B$14^1+'19_Расчет_аналитики'!AK363*'01_Вводные'!$B$88*'01_Вводные'!$B$14^2+'19_Расчет_аналитики'!AJ363*'01_Вводные'!$B$89*'01_Вводные'!$B$14^3)*'19_Расчет_аналитики'!$B$58*'19_Расчет_аналитики'!$B$86</f>
        <v/>
      </c>
      <c r="AN610">
        <f>('19_Расчет_аналитики'!AM363*'01_Вводные'!$B$87*'01_Вводные'!$B$14^1+'19_Расчет_аналитики'!AL363*'01_Вводные'!$B$88*'01_Вводные'!$B$14^2+'19_Расчет_аналитики'!AK363*'01_Вводные'!$B$89*'01_Вводные'!$B$14^3)*'19_Расчет_аналитики'!$B$58*'19_Расчет_аналитики'!$B$86</f>
        <v/>
      </c>
      <c r="AO610">
        <f>('19_Расчет_аналитики'!AN363*'01_Вводные'!$B$87*'01_Вводные'!$B$14^1+'19_Расчет_аналитики'!AM363*'01_Вводные'!$B$88*'01_Вводные'!$B$14^2+'19_Расчет_аналитики'!AL363*'01_Вводные'!$B$89*'01_Вводные'!$B$14^3)*'19_Расчет_аналитики'!$B$58*'19_Расчет_аналитики'!$B$86</f>
        <v/>
      </c>
      <c r="AP610">
        <f>('19_Расчет_аналитики'!AO363*'01_Вводные'!$B$87*'01_Вводные'!$B$14^1+'19_Расчет_аналитики'!AN363*'01_Вводные'!$B$88*'01_Вводные'!$B$14^2+'19_Расчет_аналитики'!AM363*'01_Вводные'!$B$89*'01_Вводные'!$B$14^3)*'19_Расчет_аналитики'!$B$58*'19_Расчет_аналитики'!$B$86</f>
        <v/>
      </c>
      <c r="AQ610">
        <f>('19_Расчет_аналитики'!AP363*'01_Вводные'!$B$87*'01_Вводные'!$B$14^1+'19_Расчет_аналитики'!AO363*'01_Вводные'!$B$88*'01_Вводные'!$B$14^2+'19_Расчет_аналитики'!AN363*'01_Вводные'!$B$89*'01_Вводные'!$B$14^3)*'19_Расчет_аналитики'!$B$58*'19_Расчет_аналитики'!$B$86</f>
        <v/>
      </c>
      <c r="AR610">
        <f>('19_Расчет_аналитики'!AQ363*'01_Вводные'!$B$87*'01_Вводные'!$B$14^1+'19_Расчет_аналитики'!AP363*'01_Вводные'!$B$88*'01_Вводные'!$B$14^2+'19_Расчет_аналитики'!AO363*'01_Вводные'!$B$89*'01_Вводные'!$B$14^3)*'19_Расчет_аналитики'!$B$58*'19_Расчет_аналитики'!$B$86</f>
        <v/>
      </c>
      <c r="AS610">
        <f>('19_Расчет_аналитики'!AR363*'01_Вводные'!$B$87*'01_Вводные'!$B$14^1+'19_Расчет_аналитики'!AQ363*'01_Вводные'!$B$88*'01_Вводные'!$B$14^2+'19_Расчет_аналитики'!AP363*'01_Вводные'!$B$89*'01_Вводные'!$B$14^3)*'19_Расчет_аналитики'!$B$58*'19_Расчет_аналитики'!$B$86</f>
        <v/>
      </c>
      <c r="AT610">
        <f>('19_Расчет_аналитики'!AS363*'01_Вводные'!$B$87*'01_Вводные'!$B$14^1+'19_Расчет_аналитики'!AR363*'01_Вводные'!$B$88*'01_Вводные'!$B$14^2+'19_Расчет_аналитики'!AQ363*'01_Вводные'!$B$89*'01_Вводные'!$B$14^3)*'19_Расчет_аналитики'!$B$58*'19_Расчет_аналитики'!$B$86</f>
        <v/>
      </c>
      <c r="AU610">
        <f>('19_Расчет_аналитики'!AT363*'01_Вводные'!$B$87*'01_Вводные'!$B$14^1+'19_Расчет_аналитики'!AS363*'01_Вводные'!$B$88*'01_Вводные'!$B$14^2+'19_Расчет_аналитики'!AR363*'01_Вводные'!$B$89*'01_Вводные'!$B$14^3)*'19_Расчет_аналитики'!$B$58*'19_Расчет_аналитики'!$B$86</f>
        <v/>
      </c>
      <c r="AV610">
        <f>('19_Расчет_аналитики'!AU363*'01_Вводные'!$B$87*'01_Вводные'!$B$14^1+'19_Расчет_аналитики'!AT363*'01_Вводные'!$B$88*'01_Вводные'!$B$14^2+'19_Расчет_аналитики'!AS363*'01_Вводные'!$B$89*'01_Вводные'!$B$14^3)*'19_Расчет_аналитики'!$B$58*'19_Расчет_аналитики'!$B$86</f>
        <v/>
      </c>
      <c r="AW610">
        <f>('19_Расчет_аналитики'!AV363*'01_Вводные'!$B$87*'01_Вводные'!$B$14^1+'19_Расчет_аналитики'!AU363*'01_Вводные'!$B$88*'01_Вводные'!$B$14^2+'19_Расчет_аналитики'!AT363*'01_Вводные'!$B$89*'01_Вводные'!$B$14^3)*'19_Расчет_аналитики'!$B$58*'19_Расчет_аналитики'!$B$86</f>
        <v/>
      </c>
      <c r="AX610">
        <f>('19_Расчет_аналитики'!AW363*'01_Вводные'!$B$87*'01_Вводные'!$B$14^1+'19_Расчет_аналитики'!AV363*'01_Вводные'!$B$88*'01_Вводные'!$B$14^2+'19_Расчет_аналитики'!AU363*'01_Вводные'!$B$89*'01_Вводные'!$B$14^3)*'19_Расчет_аналитики'!$B$58*'19_Расчет_аналитики'!$B$86</f>
        <v/>
      </c>
      <c r="AY610">
        <f>('19_Расчет_аналитики'!AX363*'01_Вводные'!$B$87*'01_Вводные'!$B$14^1+'19_Расчет_аналитики'!AW363*'01_Вводные'!$B$88*'01_Вводные'!$B$14^2+'19_Расчет_аналитики'!AV363*'01_Вводные'!$B$89*'01_Вводные'!$B$14^3)*'19_Расчет_аналитики'!$B$58*'19_Расчет_аналитики'!$B$86</f>
        <v/>
      </c>
      <c r="AZ610">
        <f>('19_Расчет_аналитики'!AY363*'01_Вводные'!$B$87*'01_Вводные'!$B$14^1+'19_Расчет_аналитики'!AX363*'01_Вводные'!$B$88*'01_Вводные'!$B$14^2+'19_Расчет_аналитики'!AW363*'01_Вводные'!$B$89*'01_Вводные'!$B$14^3)*'19_Расчет_аналитики'!$B$58*'19_Расчет_аналитики'!$B$86</f>
        <v/>
      </c>
      <c r="BA610">
        <f>('19_Расчет_аналитики'!AZ363*'01_Вводные'!$B$87*'01_Вводные'!$B$14^1+'19_Расчет_аналитики'!AY363*'01_Вводные'!$B$88*'01_Вводные'!$B$14^2+'19_Расчет_аналитики'!AX363*'01_Вводные'!$B$89*'01_Вводные'!$B$14^3)*'19_Расчет_аналитики'!$B$58*'19_Расчет_аналитики'!$B$86</f>
        <v/>
      </c>
      <c r="BB610">
        <f>('19_Расчет_аналитики'!BA363*'01_Вводные'!$B$87*'01_Вводные'!$B$14^1+'19_Расчет_аналитики'!AZ363*'01_Вводные'!$B$88*'01_Вводные'!$B$14^2+'19_Расчет_аналитики'!AY363*'01_Вводные'!$B$89*'01_Вводные'!$B$14^3)*'19_Расчет_аналитики'!$B$58*'19_Расчет_аналитики'!$B$86</f>
        <v/>
      </c>
      <c r="BC610">
        <f>('19_Расчет_аналитики'!BB363*'01_Вводные'!$B$87*'01_Вводные'!$B$14^1+'19_Расчет_аналитики'!BA363*'01_Вводные'!$B$88*'01_Вводные'!$B$14^2+'19_Расчет_аналитики'!AZ363*'01_Вводные'!$B$89*'01_Вводные'!$B$14^3)*'19_Расчет_аналитики'!$B$58*'19_Расчет_аналитики'!$B$86</f>
        <v/>
      </c>
      <c r="BD610">
        <f>('19_Расчет_аналитики'!BC363*'01_Вводные'!$B$87*'01_Вводные'!$B$14^1+'19_Расчет_аналитики'!BB363*'01_Вводные'!$B$88*'01_Вводные'!$B$14^2+'19_Расчет_аналитики'!BA363*'01_Вводные'!$B$89*'01_Вводные'!$B$14^3)*'19_Расчет_аналитики'!$B$58*'19_Расчет_аналитики'!$B$86</f>
        <v/>
      </c>
      <c r="BE610">
        <f>('19_Расчет_аналитики'!BD363*'01_Вводные'!$B$87*'01_Вводные'!$B$14^1+'19_Расчет_аналитики'!BC363*'01_Вводные'!$B$88*'01_Вводные'!$B$14^2+'19_Расчет_аналитики'!BB363*'01_Вводные'!$B$89*'01_Вводные'!$B$14^3)*'19_Расчет_аналитики'!$B$58*'19_Расчет_аналитики'!$B$86</f>
        <v/>
      </c>
      <c r="BF610">
        <f>('19_Расчет_аналитики'!BE363*'01_Вводные'!$B$87*'01_Вводные'!$B$14^1+'19_Расчет_аналитики'!BD363*'01_Вводные'!$B$88*'01_Вводные'!$B$14^2+'19_Расчет_аналитики'!BC363*'01_Вводные'!$B$89*'01_Вводные'!$B$14^3)*'19_Расчет_аналитики'!$B$58*'19_Расчет_аналитики'!$B$86</f>
        <v/>
      </c>
      <c r="BG610">
        <f>('19_Расчет_аналитики'!BF363*'01_Вводные'!$B$87*'01_Вводные'!$B$14^1+'19_Расчет_аналитики'!BE363*'01_Вводные'!$B$88*'01_Вводные'!$B$14^2+'19_Расчет_аналитики'!BD363*'01_Вводные'!$B$89*'01_Вводные'!$B$14^3)*'19_Расчет_аналитики'!$B$58*'19_Расчет_аналитики'!$B$86</f>
        <v/>
      </c>
      <c r="BH610">
        <f>('19_Расчет_аналитики'!BG363*'01_Вводные'!$B$87*'01_Вводные'!$B$14^1+'19_Расчет_аналитики'!BF363*'01_Вводные'!$B$88*'01_Вводные'!$B$14^2+'19_Расчет_аналитики'!BE363*'01_Вводные'!$B$89*'01_Вводные'!$B$14^3)*'19_Расчет_аналитики'!$B$58*'19_Расчет_аналитики'!$B$86</f>
        <v/>
      </c>
      <c r="BI610">
        <f>('19_Расчет_аналитики'!BH363*'01_Вводные'!$B$87*'01_Вводные'!$B$14^1+'19_Расчет_аналитики'!BG363*'01_Вводные'!$B$88*'01_Вводные'!$B$14^2+'19_Расчет_аналитики'!BF363*'01_Вводные'!$B$89*'01_Вводные'!$B$14^3)*'19_Расчет_аналитики'!$B$58*'19_Расчет_аналитики'!$B$86</f>
        <v/>
      </c>
      <c r="BJ610">
        <f>('19_Расчет_аналитики'!BI363*'01_Вводные'!$B$87*'01_Вводные'!$B$14^1+'19_Расчет_аналитики'!BH363*'01_Вводные'!$B$88*'01_Вводные'!$B$14^2+'19_Расчет_аналитики'!BG363*'01_Вводные'!$B$89*'01_Вводные'!$B$14^3)*'19_Расчет_аналитики'!$B$58*'19_Расчет_аналитики'!$B$86</f>
        <v/>
      </c>
      <c r="BK610">
        <f>('19_Расчет_аналитики'!BJ363*'01_Вводные'!$B$87*'01_Вводные'!$B$14^1+'19_Расчет_аналитики'!BI363*'01_Вводные'!$B$88*'01_Вводные'!$B$14^2+'19_Расчет_аналитики'!BH363*'01_Вводные'!$B$89*'01_Вводные'!$B$14^3)*'19_Расчет_аналитики'!$B$58*'19_Расчет_аналитики'!$B$86</f>
        <v/>
      </c>
      <c r="BL610">
        <f>('19_Расчет_аналитики'!BK363*'01_Вводные'!$B$87*'01_Вводные'!$B$14^1+'19_Расчет_аналитики'!BJ363*'01_Вводные'!$B$88*'01_Вводные'!$B$14^2+'19_Расчет_аналитики'!BI363*'01_Вводные'!$B$89*'01_Вводные'!$B$14^3)*'19_Расчет_аналитики'!$B$58*'19_Расчет_аналитики'!$B$86</f>
        <v/>
      </c>
      <c r="BM610">
        <f>('19_Расчет_аналитики'!BL363*'01_Вводные'!$B$87*'01_Вводные'!$B$14^1+'19_Расчет_аналитики'!BK363*'01_Вводные'!$B$88*'01_Вводные'!$B$14^2+'19_Расчет_аналитики'!BJ363*'01_Вводные'!$B$89*'01_Вводные'!$B$14^3)*'19_Расчет_аналитики'!$B$58*'19_Расчет_аналитики'!$B$86</f>
        <v/>
      </c>
      <c r="BN610">
        <f>('19_Расчет_аналитики'!BM363*'01_Вводные'!$B$87*'01_Вводные'!$B$14^1+'19_Расчет_аналитики'!BL363*'01_Вводные'!$B$88*'01_Вводные'!$B$14^2+'19_Расчет_аналитики'!BK363*'01_Вводные'!$B$89*'01_Вводные'!$B$14^3)*'19_Расчет_аналитики'!$B$58*'19_Расчет_аналитики'!$B$86</f>
        <v/>
      </c>
      <c r="BO610">
        <f>('19_Расчет_аналитики'!BN363*'01_Вводные'!$B$87*'01_Вводные'!$B$14^1+'19_Расчет_аналитики'!BM363*'01_Вводные'!$B$88*'01_Вводные'!$B$14^2+'19_Расчет_аналитики'!BL363*'01_Вводные'!$B$89*'01_Вводные'!$B$14^3)*'19_Расчет_аналитики'!$B$58*'19_Расчет_аналитики'!$B$86</f>
        <v/>
      </c>
    </row>
    <row r="611">
      <c r="B611">
        <f>'19_Расчет_аналитики'!B546*'19_Расчет_аналитики'!$B$86*'07_Мерч'!B4</f>
        <v/>
      </c>
      <c r="C611">
        <f>'19_Расчет_аналитики'!C546*'19_Расчет_аналитики'!$B$86*'07_Мерч'!C4</f>
        <v/>
      </c>
      <c r="D611">
        <f>'19_Расчет_аналитики'!D546*'19_Расчет_аналитики'!$B$86*'07_Мерч'!D4</f>
        <v/>
      </c>
      <c r="E611">
        <f>'19_Расчет_аналитики'!E546*'19_Расчет_аналитики'!$B$86*'07_Мерч'!E4</f>
        <v/>
      </c>
      <c r="F611">
        <f>'19_Расчет_аналитики'!F546*'19_Расчет_аналитики'!$B$86*'07_Мерч'!F4</f>
        <v/>
      </c>
      <c r="G611">
        <f>'19_Расчет_аналитики'!G546*'19_Расчет_аналитики'!$B$86*'07_Мерч'!G4</f>
        <v/>
      </c>
      <c r="H611">
        <f>'19_Расчет_аналитики'!H546*'19_Расчет_аналитики'!$B$86*'07_Мерч'!H4</f>
        <v/>
      </c>
      <c r="I611">
        <f>'19_Расчет_аналитики'!I546*'19_Расчет_аналитики'!$B$86*'07_Мерч'!I4</f>
        <v/>
      </c>
      <c r="J611">
        <f>'19_Расчет_аналитики'!J546*'19_Расчет_аналитики'!$B$86*'07_Мерч'!J4</f>
        <v/>
      </c>
      <c r="K611">
        <f>'19_Расчет_аналитики'!K546*'19_Расчет_аналитики'!$B$86*'07_Мерч'!K4</f>
        <v/>
      </c>
      <c r="L611">
        <f>'19_Расчет_аналитики'!L546*'19_Расчет_аналитики'!$B$86*'07_Мерч'!L4</f>
        <v/>
      </c>
      <c r="M611">
        <f>'19_Расчет_аналитики'!M546*'19_Расчет_аналитики'!$B$86*'07_Мерч'!M4</f>
        <v/>
      </c>
      <c r="N611">
        <f>'19_Расчет_аналитики'!N546*'19_Расчет_аналитики'!$B$86*'07_Мерч'!N4</f>
        <v/>
      </c>
      <c r="O611">
        <f>'19_Расчет_аналитики'!O546*'19_Расчет_аналитики'!$B$86*'07_Мерч'!O4</f>
        <v/>
      </c>
      <c r="P611">
        <f>'19_Расчет_аналитики'!P546*'19_Расчет_аналитики'!$B$86*'07_Мерч'!P4</f>
        <v/>
      </c>
      <c r="Q611">
        <f>'19_Расчет_аналитики'!Q546*'19_Расчет_аналитики'!$B$86*'07_Мерч'!Q4</f>
        <v/>
      </c>
      <c r="R611">
        <f>'19_Расчет_аналитики'!R546*'19_Расчет_аналитики'!$B$86*'07_Мерч'!R4</f>
        <v/>
      </c>
      <c r="S611">
        <f>'19_Расчет_аналитики'!S546*'19_Расчет_аналитики'!$B$86*'07_Мерч'!S4</f>
        <v/>
      </c>
      <c r="T611">
        <f>'19_Расчет_аналитики'!T546*'19_Расчет_аналитики'!$B$86*'07_Мерч'!T4</f>
        <v/>
      </c>
      <c r="U611">
        <f>'19_Расчет_аналитики'!U546*'19_Расчет_аналитики'!$B$86*'07_Мерч'!U4</f>
        <v/>
      </c>
      <c r="V611">
        <f>'19_Расчет_аналитики'!V546*'19_Расчет_аналитики'!$B$86*'07_Мерч'!V4</f>
        <v/>
      </c>
      <c r="W611">
        <f>'19_Расчет_аналитики'!W546*'19_Расчет_аналитики'!$B$86*'07_Мерч'!W4</f>
        <v/>
      </c>
      <c r="X611">
        <f>'19_Расчет_аналитики'!X546*'19_Расчет_аналитики'!$B$86*'07_Мерч'!X4</f>
        <v/>
      </c>
      <c r="Y611">
        <f>'19_Расчет_аналитики'!Y546*'19_Расчет_аналитики'!$B$86*'07_Мерч'!Y4</f>
        <v/>
      </c>
      <c r="Z611">
        <f>'19_Расчет_аналитики'!Z546*'19_Расчет_аналитики'!$B$86*'07_Мерч'!Z4</f>
        <v/>
      </c>
      <c r="AA611">
        <f>'19_Расчет_аналитики'!AA546*'19_Расчет_аналитики'!$B$86*'07_Мерч'!AA4</f>
        <v/>
      </c>
      <c r="AB611">
        <f>'19_Расчет_аналитики'!AB546*'19_Расчет_аналитики'!$B$86*'07_Мерч'!AB4</f>
        <v/>
      </c>
      <c r="AC611">
        <f>'19_Расчет_аналитики'!AC546*'19_Расчет_аналитики'!$B$86*'07_Мерч'!AC4</f>
        <v/>
      </c>
      <c r="AD611">
        <f>'19_Расчет_аналитики'!AD546*'19_Расчет_аналитики'!$B$86*'07_Мерч'!AD4</f>
        <v/>
      </c>
      <c r="AE611">
        <f>'19_Расчет_аналитики'!AE546*'19_Расчет_аналитики'!$B$86*'07_Мерч'!AE4</f>
        <v/>
      </c>
      <c r="AF611">
        <f>'19_Расчет_аналитики'!AF546*'19_Расчет_аналитики'!$B$86*'07_Мерч'!AF4</f>
        <v/>
      </c>
      <c r="AG611">
        <f>'19_Расчет_аналитики'!AG546*'19_Расчет_аналитики'!$B$86*'07_Мерч'!AG4</f>
        <v/>
      </c>
      <c r="AH611">
        <f>'19_Расчет_аналитики'!AH546*'19_Расчет_аналитики'!$B$86*'07_Мерч'!AH4</f>
        <v/>
      </c>
      <c r="AI611">
        <f>'19_Расчет_аналитики'!AI546*'19_Расчет_аналитики'!$B$86*'07_Мерч'!AI4</f>
        <v/>
      </c>
      <c r="AJ611">
        <f>'19_Расчет_аналитики'!AJ546*'19_Расчет_аналитики'!$B$86*'07_Мерч'!AJ4</f>
        <v/>
      </c>
      <c r="AK611">
        <f>'19_Расчет_аналитики'!AK546*'19_Расчет_аналитики'!$B$86*'07_Мерч'!AK4</f>
        <v/>
      </c>
      <c r="AL611">
        <f>'19_Расчет_аналитики'!AL546*'19_Расчет_аналитики'!$B$86*'07_Мерч'!AL4</f>
        <v/>
      </c>
      <c r="AM611">
        <f>'19_Расчет_аналитики'!AM546*'19_Расчет_аналитики'!$B$86*'07_Мерч'!AM4</f>
        <v/>
      </c>
      <c r="AN611">
        <f>'19_Расчет_аналитики'!AN546*'19_Расчет_аналитики'!$B$86*'07_Мерч'!AN4</f>
        <v/>
      </c>
      <c r="AO611">
        <f>'19_Расчет_аналитики'!AO546*'19_Расчет_аналитики'!$B$86*'07_Мерч'!AO4</f>
        <v/>
      </c>
      <c r="AP611">
        <f>'19_Расчет_аналитики'!AP546*'19_Расчет_аналитики'!$B$86*'07_Мерч'!AP4</f>
        <v/>
      </c>
      <c r="AQ611">
        <f>'19_Расчет_аналитики'!AQ546*'19_Расчет_аналитики'!$B$86*'07_Мерч'!AQ4</f>
        <v/>
      </c>
      <c r="AR611">
        <f>'19_Расчет_аналитики'!AR546*'19_Расчет_аналитики'!$B$86*'07_Мерч'!AR4</f>
        <v/>
      </c>
      <c r="AS611">
        <f>'19_Расчет_аналитики'!AS546*'19_Расчет_аналитики'!$B$86*'07_Мерч'!AS4</f>
        <v/>
      </c>
      <c r="AT611">
        <f>'19_Расчет_аналитики'!AT546*'19_Расчет_аналитики'!$B$86*'07_Мерч'!AT4</f>
        <v/>
      </c>
      <c r="AU611">
        <f>'19_Расчет_аналитики'!AU546*'19_Расчет_аналитики'!$B$86*'07_Мерч'!AU4</f>
        <v/>
      </c>
      <c r="AV611">
        <f>'19_Расчет_аналитики'!AV546*'19_Расчет_аналитики'!$B$86*'07_Мерч'!AV4</f>
        <v/>
      </c>
      <c r="AW611">
        <f>'19_Расчет_аналитики'!AW546*'19_Расчет_аналитики'!$B$86*'07_Мерч'!AW4</f>
        <v/>
      </c>
      <c r="AX611">
        <f>'19_Расчет_аналитики'!AX546*'19_Расчет_аналитики'!$B$86*'07_Мерч'!AX4</f>
        <v/>
      </c>
      <c r="AY611">
        <f>'19_Расчет_аналитики'!AY546*'19_Расчет_аналитики'!$B$86*'07_Мерч'!AY4</f>
        <v/>
      </c>
      <c r="AZ611">
        <f>'19_Расчет_аналитики'!AZ546*'19_Расчет_аналитики'!$B$86*'07_Мерч'!AZ4</f>
        <v/>
      </c>
      <c r="BA611">
        <f>'19_Расчет_аналитики'!BA546*'19_Расчет_аналитики'!$B$86*'07_Мерч'!BA4</f>
        <v/>
      </c>
      <c r="BB611">
        <f>'19_Расчет_аналитики'!BB546*'19_Расчет_аналитики'!$B$86*'07_Мерч'!BB4</f>
        <v/>
      </c>
      <c r="BC611">
        <f>'19_Расчет_аналитики'!BC546*'19_Расчет_аналитики'!$B$86*'07_Мерч'!BC4</f>
        <v/>
      </c>
      <c r="BD611">
        <f>'19_Расчет_аналитики'!BD546*'19_Расчет_аналитики'!$B$86*'07_Мерч'!BD4</f>
        <v/>
      </c>
      <c r="BE611">
        <f>'19_Расчет_аналитики'!BE546*'19_Расчет_аналитики'!$B$86*'07_Мерч'!BE4</f>
        <v/>
      </c>
      <c r="BF611">
        <f>'19_Расчет_аналитики'!BF546*'19_Расчет_аналитики'!$B$86*'07_Мерч'!BF4</f>
        <v/>
      </c>
      <c r="BG611">
        <f>'19_Расчет_аналитики'!BG546*'19_Расчет_аналитики'!$B$86*'07_Мерч'!BG4</f>
        <v/>
      </c>
      <c r="BH611">
        <f>'19_Расчет_аналитики'!BH546*'19_Расчет_аналитики'!$B$86*'07_Мерч'!BH4</f>
        <v/>
      </c>
      <c r="BI611">
        <f>'19_Расчет_аналитики'!BI546*'19_Расчет_аналитики'!$B$86*'07_Мерч'!BI4</f>
        <v/>
      </c>
      <c r="BJ611">
        <f>'19_Расчет_аналитики'!BJ546*'19_Расчет_аналитики'!$B$86*'07_Мерч'!BJ4</f>
        <v/>
      </c>
      <c r="BK611">
        <f>'19_Расчет_аналитики'!BK546*'19_Расчет_аналитики'!$B$86*'07_Мерч'!BK4</f>
        <v/>
      </c>
      <c r="BL611">
        <f>'19_Расчет_аналитики'!BL546*'19_Расчет_аналитики'!$B$86*'07_Мерч'!BL4</f>
        <v/>
      </c>
      <c r="BM611">
        <f>'19_Расчет_аналитики'!BM546*'19_Расчет_аналитики'!$B$86*'07_Мерч'!BM4</f>
        <v/>
      </c>
      <c r="BN611">
        <f>'19_Расчет_аналитики'!BN546*'19_Расчет_аналитики'!$B$86*'07_Мерч'!BN4</f>
        <v/>
      </c>
      <c r="BO611">
        <f>'19_Расчет_аналитики'!BO546*'19_Расчет_аналитики'!$B$86*'07_Мерч'!BO4</f>
        <v/>
      </c>
    </row>
    <row r="612">
      <c r="B612">
        <f>SUM('19_Расчет_аналитики'!B610:B611)*'18_Календарь_тарифы'!B10</f>
        <v/>
      </c>
      <c r="C612">
        <f>SUM('19_Расчет_аналитики'!C610:C611)*'18_Календарь_тарифы'!C10</f>
        <v/>
      </c>
      <c r="D612">
        <f>SUM('19_Расчет_аналитики'!D610:D611)*'18_Календарь_тарифы'!D10</f>
        <v/>
      </c>
      <c r="E612">
        <f>SUM('19_Расчет_аналитики'!E610:E611)*'18_Календарь_тарифы'!E10</f>
        <v/>
      </c>
      <c r="F612">
        <f>SUM('19_Расчет_аналитики'!F610:F611)*'18_Календарь_тарифы'!F10</f>
        <v/>
      </c>
      <c r="G612">
        <f>SUM('19_Расчет_аналитики'!G610:G611)*'18_Календарь_тарифы'!G10</f>
        <v/>
      </c>
      <c r="H612">
        <f>SUM('19_Расчет_аналитики'!H610:H611)*'18_Календарь_тарифы'!H10</f>
        <v/>
      </c>
      <c r="I612">
        <f>SUM('19_Расчет_аналитики'!I610:I611)*'18_Календарь_тарифы'!I10</f>
        <v/>
      </c>
      <c r="J612">
        <f>SUM('19_Расчет_аналитики'!J610:J611)*'18_Календарь_тарифы'!J10</f>
        <v/>
      </c>
      <c r="K612">
        <f>SUM('19_Расчет_аналитики'!K610:K611)*'18_Календарь_тарифы'!K10</f>
        <v/>
      </c>
      <c r="L612">
        <f>SUM('19_Расчет_аналитики'!L610:L611)*'18_Календарь_тарифы'!L10</f>
        <v/>
      </c>
      <c r="M612">
        <f>SUM('19_Расчет_аналитики'!M610:M611)*'18_Календарь_тарифы'!M10</f>
        <v/>
      </c>
      <c r="N612">
        <f>SUM('19_Расчет_аналитики'!N610:N611)*'18_Календарь_тарифы'!N10</f>
        <v/>
      </c>
      <c r="O612">
        <f>SUM('19_Расчет_аналитики'!O610:O611)*'18_Календарь_тарифы'!O10</f>
        <v/>
      </c>
      <c r="P612">
        <f>SUM('19_Расчет_аналитики'!P610:P611)*'18_Календарь_тарифы'!P10</f>
        <v/>
      </c>
      <c r="Q612">
        <f>SUM('19_Расчет_аналитики'!Q610:Q611)*'18_Календарь_тарифы'!Q10</f>
        <v/>
      </c>
      <c r="R612">
        <f>SUM('19_Расчет_аналитики'!R610:R611)*'18_Календарь_тарифы'!R10</f>
        <v/>
      </c>
      <c r="S612">
        <f>SUM('19_Расчет_аналитики'!S610:S611)*'18_Календарь_тарифы'!S10</f>
        <v/>
      </c>
      <c r="T612">
        <f>SUM('19_Расчет_аналитики'!T610:T611)*'18_Календарь_тарифы'!T10</f>
        <v/>
      </c>
      <c r="U612">
        <f>SUM('19_Расчет_аналитики'!U610:U611)*'18_Календарь_тарифы'!U10</f>
        <v/>
      </c>
      <c r="V612">
        <f>SUM('19_Расчет_аналитики'!V610:V611)*'18_Календарь_тарифы'!V10</f>
        <v/>
      </c>
      <c r="W612">
        <f>SUM('19_Расчет_аналитики'!W610:W611)*'18_Календарь_тарифы'!W10</f>
        <v/>
      </c>
      <c r="X612">
        <f>SUM('19_Расчет_аналитики'!X610:X611)*'18_Календарь_тарифы'!X10</f>
        <v/>
      </c>
      <c r="Y612">
        <f>SUM('19_Расчет_аналитики'!Y610:Y611)*'18_Календарь_тарифы'!Y10</f>
        <v/>
      </c>
      <c r="Z612">
        <f>SUM('19_Расчет_аналитики'!Z610:Z611)*'18_Календарь_тарифы'!Z10</f>
        <v/>
      </c>
      <c r="AA612">
        <f>SUM('19_Расчет_аналитики'!AA610:AA611)*'18_Календарь_тарифы'!AA10</f>
        <v/>
      </c>
      <c r="AB612">
        <f>SUM('19_Расчет_аналитики'!AB610:AB611)*'18_Календарь_тарифы'!AB10</f>
        <v/>
      </c>
      <c r="AC612">
        <f>SUM('19_Расчет_аналитики'!AC610:AC611)*'18_Календарь_тарифы'!AC10</f>
        <v/>
      </c>
      <c r="AD612">
        <f>SUM('19_Расчет_аналитики'!AD610:AD611)*'18_Календарь_тарифы'!AD10</f>
        <v/>
      </c>
      <c r="AE612">
        <f>SUM('19_Расчет_аналитики'!AE610:AE611)*'18_Календарь_тарифы'!AE10</f>
        <v/>
      </c>
      <c r="AF612">
        <f>SUM('19_Расчет_аналитики'!AF610:AF611)*'18_Календарь_тарифы'!AF10</f>
        <v/>
      </c>
      <c r="AG612">
        <f>SUM('19_Расчет_аналитики'!AG610:AG611)*'18_Календарь_тарифы'!AG10</f>
        <v/>
      </c>
      <c r="AH612">
        <f>SUM('19_Расчет_аналитики'!AH610:AH611)*'18_Календарь_тарифы'!AH10</f>
        <v/>
      </c>
      <c r="AI612">
        <f>SUM('19_Расчет_аналитики'!AI610:AI611)*'18_Календарь_тарифы'!AI10</f>
        <v/>
      </c>
      <c r="AJ612">
        <f>SUM('19_Расчет_аналитики'!AJ610:AJ611)*'18_Календарь_тарифы'!AJ10</f>
        <v/>
      </c>
      <c r="AK612">
        <f>SUM('19_Расчет_аналитики'!AK610:AK611)*'18_Календарь_тарифы'!AK10</f>
        <v/>
      </c>
      <c r="AL612">
        <f>SUM('19_Расчет_аналитики'!AL610:AL611)*'18_Календарь_тарифы'!AL10</f>
        <v/>
      </c>
      <c r="AM612">
        <f>SUM('19_Расчет_аналитики'!AM610:AM611)*'18_Календарь_тарифы'!AM10</f>
        <v/>
      </c>
      <c r="AN612">
        <f>SUM('19_Расчет_аналитики'!AN610:AN611)*'18_Календарь_тарифы'!AN10</f>
        <v/>
      </c>
      <c r="AO612">
        <f>SUM('19_Расчет_аналитики'!AO610:AO611)*'18_Календарь_тарифы'!AO10</f>
        <v/>
      </c>
      <c r="AP612">
        <f>SUM('19_Расчет_аналитики'!AP610:AP611)*'18_Календарь_тарифы'!AP10</f>
        <v/>
      </c>
      <c r="AQ612">
        <f>SUM('19_Расчет_аналитики'!AQ610:AQ611)*'18_Календарь_тарифы'!AQ10</f>
        <v/>
      </c>
      <c r="AR612">
        <f>SUM('19_Расчет_аналитики'!AR610:AR611)*'18_Календарь_тарифы'!AR10</f>
        <v/>
      </c>
      <c r="AS612">
        <f>SUM('19_Расчет_аналитики'!AS610:AS611)*'18_Календарь_тарифы'!AS10</f>
        <v/>
      </c>
      <c r="AT612">
        <f>SUM('19_Расчет_аналитики'!AT610:AT611)*'18_Календарь_тарифы'!AT10</f>
        <v/>
      </c>
      <c r="AU612">
        <f>SUM('19_Расчет_аналитики'!AU610:AU611)*'18_Календарь_тарифы'!AU10</f>
        <v/>
      </c>
      <c r="AV612">
        <f>SUM('19_Расчет_аналитики'!AV610:AV611)*'18_Календарь_тарифы'!AV10</f>
        <v/>
      </c>
      <c r="AW612">
        <f>SUM('19_Расчет_аналитики'!AW610:AW611)*'18_Календарь_тарифы'!AW10</f>
        <v/>
      </c>
      <c r="AX612">
        <f>SUM('19_Расчет_аналитики'!AX610:AX611)*'18_Календарь_тарифы'!AX10</f>
        <v/>
      </c>
      <c r="AY612">
        <f>SUM('19_Расчет_аналитики'!AY610:AY611)*'18_Календарь_тарифы'!AY10</f>
        <v/>
      </c>
      <c r="AZ612">
        <f>SUM('19_Расчет_аналитики'!AZ610:AZ611)*'18_Календарь_тарифы'!AZ10</f>
        <v/>
      </c>
      <c r="BA612">
        <f>SUM('19_Расчет_аналитики'!BA610:BA611)*'18_Календарь_тарифы'!BA10</f>
        <v/>
      </c>
      <c r="BB612">
        <f>SUM('19_Расчет_аналитики'!BB610:BB611)*'18_Календарь_тарифы'!BB10</f>
        <v/>
      </c>
      <c r="BC612">
        <f>SUM('19_Расчет_аналитики'!BC610:BC611)*'18_Календарь_тарифы'!BC10</f>
        <v/>
      </c>
      <c r="BD612">
        <f>SUM('19_Расчет_аналитики'!BD610:BD611)*'18_Календарь_тарифы'!BD10</f>
        <v/>
      </c>
      <c r="BE612">
        <f>SUM('19_Расчет_аналитики'!BE610:BE611)*'18_Календарь_тарифы'!BE10</f>
        <v/>
      </c>
      <c r="BF612">
        <f>SUM('19_Расчет_аналитики'!BF610:BF611)*'18_Календарь_тарифы'!BF10</f>
        <v/>
      </c>
      <c r="BG612">
        <f>SUM('19_Расчет_аналитики'!BG610:BG611)*'18_Календарь_тарифы'!BG10</f>
        <v/>
      </c>
      <c r="BH612">
        <f>SUM('19_Расчет_аналитики'!BH610:BH611)*'18_Календарь_тарифы'!BH10</f>
        <v/>
      </c>
      <c r="BI612">
        <f>SUM('19_Расчет_аналитики'!BI610:BI611)*'18_Календарь_тарифы'!BI10</f>
        <v/>
      </c>
      <c r="BJ612">
        <f>SUM('19_Расчет_аналитики'!BJ610:BJ611)*'18_Календарь_тарифы'!BJ10</f>
        <v/>
      </c>
      <c r="BK612">
        <f>SUM('19_Расчет_аналитики'!BK610:BK611)*'18_Календарь_тарифы'!BK10</f>
        <v/>
      </c>
      <c r="BL612">
        <f>SUM('19_Расчет_аналитики'!BL610:BL611)*'18_Календарь_тарифы'!BL10</f>
        <v/>
      </c>
      <c r="BM612">
        <f>SUM('19_Расчет_аналитики'!BM610:BM611)*'18_Календарь_тарифы'!BM10</f>
        <v/>
      </c>
      <c r="BN612">
        <f>SUM('19_Расчет_аналитики'!BN610:BN611)*'18_Календарь_тарифы'!BN10</f>
        <v/>
      </c>
      <c r="BO612">
        <f>SUM('19_Расчет_аналитики'!BO610:BO611)*'18_Календарь_тарифы'!BO10</f>
        <v/>
      </c>
    </row>
    <row r="613">
      <c r="B613">
        <f>SUM('19_Расчет_аналитики'!B610:B611)*'18_Календарь_тарифы'!B9</f>
        <v/>
      </c>
      <c r="C613">
        <f>SUM('19_Расчет_аналитики'!C610:C611)*'18_Календарь_тарифы'!C9</f>
        <v/>
      </c>
      <c r="D613">
        <f>SUM('19_Расчет_аналитики'!D610:D611)*'18_Календарь_тарифы'!D9</f>
        <v/>
      </c>
      <c r="E613">
        <f>SUM('19_Расчет_аналитики'!E610:E611)*'18_Календарь_тарифы'!E9</f>
        <v/>
      </c>
      <c r="F613">
        <f>SUM('19_Расчет_аналитики'!F610:F611)*'18_Календарь_тарифы'!F9</f>
        <v/>
      </c>
      <c r="G613">
        <f>SUM('19_Расчет_аналитики'!G610:G611)*'18_Календарь_тарифы'!G9</f>
        <v/>
      </c>
      <c r="H613">
        <f>SUM('19_Расчет_аналитики'!H610:H611)*'18_Календарь_тарифы'!H9</f>
        <v/>
      </c>
      <c r="I613">
        <f>SUM('19_Расчет_аналитики'!I610:I611)*'18_Календарь_тарифы'!I9</f>
        <v/>
      </c>
      <c r="J613">
        <f>SUM('19_Расчет_аналитики'!J610:J611)*'18_Календарь_тарифы'!J9</f>
        <v/>
      </c>
      <c r="K613">
        <f>SUM('19_Расчет_аналитики'!K610:K611)*'18_Календарь_тарифы'!K9</f>
        <v/>
      </c>
      <c r="L613">
        <f>SUM('19_Расчет_аналитики'!L610:L611)*'18_Календарь_тарифы'!L9</f>
        <v/>
      </c>
      <c r="M613">
        <f>SUM('19_Расчет_аналитики'!M610:M611)*'18_Календарь_тарифы'!M9</f>
        <v/>
      </c>
      <c r="N613">
        <f>SUM('19_Расчет_аналитики'!N610:N611)*'18_Календарь_тарифы'!N9</f>
        <v/>
      </c>
      <c r="O613">
        <f>SUM('19_Расчет_аналитики'!O610:O611)*'18_Календарь_тарифы'!O9</f>
        <v/>
      </c>
      <c r="P613">
        <f>SUM('19_Расчет_аналитики'!P610:P611)*'18_Календарь_тарифы'!P9</f>
        <v/>
      </c>
      <c r="Q613">
        <f>SUM('19_Расчет_аналитики'!Q610:Q611)*'18_Календарь_тарифы'!Q9</f>
        <v/>
      </c>
      <c r="R613">
        <f>SUM('19_Расчет_аналитики'!R610:R611)*'18_Календарь_тарифы'!R9</f>
        <v/>
      </c>
      <c r="S613">
        <f>SUM('19_Расчет_аналитики'!S610:S611)*'18_Календарь_тарифы'!S9</f>
        <v/>
      </c>
      <c r="T613">
        <f>SUM('19_Расчет_аналитики'!T610:T611)*'18_Календарь_тарифы'!T9</f>
        <v/>
      </c>
      <c r="U613">
        <f>SUM('19_Расчет_аналитики'!U610:U611)*'18_Календарь_тарифы'!U9</f>
        <v/>
      </c>
      <c r="V613">
        <f>SUM('19_Расчет_аналитики'!V610:V611)*'18_Календарь_тарифы'!V9</f>
        <v/>
      </c>
      <c r="W613">
        <f>SUM('19_Расчет_аналитики'!W610:W611)*'18_Календарь_тарифы'!W9</f>
        <v/>
      </c>
      <c r="X613">
        <f>SUM('19_Расчет_аналитики'!X610:X611)*'18_Календарь_тарифы'!X9</f>
        <v/>
      </c>
      <c r="Y613">
        <f>SUM('19_Расчет_аналитики'!Y610:Y611)*'18_Календарь_тарифы'!Y9</f>
        <v/>
      </c>
      <c r="Z613">
        <f>SUM('19_Расчет_аналитики'!Z610:Z611)*'18_Календарь_тарифы'!Z9</f>
        <v/>
      </c>
      <c r="AA613">
        <f>SUM('19_Расчет_аналитики'!AA610:AA611)*'18_Календарь_тарифы'!AA9</f>
        <v/>
      </c>
      <c r="AB613">
        <f>SUM('19_Расчет_аналитики'!AB610:AB611)*'18_Календарь_тарифы'!AB9</f>
        <v/>
      </c>
      <c r="AC613">
        <f>SUM('19_Расчет_аналитики'!AC610:AC611)*'18_Календарь_тарифы'!AC9</f>
        <v/>
      </c>
      <c r="AD613">
        <f>SUM('19_Расчет_аналитики'!AD610:AD611)*'18_Календарь_тарифы'!AD9</f>
        <v/>
      </c>
      <c r="AE613">
        <f>SUM('19_Расчет_аналитики'!AE610:AE611)*'18_Календарь_тарифы'!AE9</f>
        <v/>
      </c>
      <c r="AF613">
        <f>SUM('19_Расчет_аналитики'!AF610:AF611)*'18_Календарь_тарифы'!AF9</f>
        <v/>
      </c>
      <c r="AG613">
        <f>SUM('19_Расчет_аналитики'!AG610:AG611)*'18_Календарь_тарифы'!AG9</f>
        <v/>
      </c>
      <c r="AH613">
        <f>SUM('19_Расчет_аналитики'!AH610:AH611)*'18_Календарь_тарифы'!AH9</f>
        <v/>
      </c>
      <c r="AI613">
        <f>SUM('19_Расчет_аналитики'!AI610:AI611)*'18_Календарь_тарифы'!AI9</f>
        <v/>
      </c>
      <c r="AJ613">
        <f>SUM('19_Расчет_аналитики'!AJ610:AJ611)*'18_Календарь_тарифы'!AJ9</f>
        <v/>
      </c>
      <c r="AK613">
        <f>SUM('19_Расчет_аналитики'!AK610:AK611)*'18_Календарь_тарифы'!AK9</f>
        <v/>
      </c>
      <c r="AL613">
        <f>SUM('19_Расчет_аналитики'!AL610:AL611)*'18_Календарь_тарифы'!AL9</f>
        <v/>
      </c>
      <c r="AM613">
        <f>SUM('19_Расчет_аналитики'!AM610:AM611)*'18_Календарь_тарифы'!AM9</f>
        <v/>
      </c>
      <c r="AN613">
        <f>SUM('19_Расчет_аналитики'!AN610:AN611)*'18_Календарь_тарифы'!AN9</f>
        <v/>
      </c>
      <c r="AO613">
        <f>SUM('19_Расчет_аналитики'!AO610:AO611)*'18_Календарь_тарифы'!AO9</f>
        <v/>
      </c>
      <c r="AP613">
        <f>SUM('19_Расчет_аналитики'!AP610:AP611)*'18_Календарь_тарифы'!AP9</f>
        <v/>
      </c>
      <c r="AQ613">
        <f>SUM('19_Расчет_аналитики'!AQ610:AQ611)*'18_Календарь_тарифы'!AQ9</f>
        <v/>
      </c>
      <c r="AR613">
        <f>SUM('19_Расчет_аналитики'!AR610:AR611)*'18_Календарь_тарифы'!AR9</f>
        <v/>
      </c>
      <c r="AS613">
        <f>SUM('19_Расчет_аналитики'!AS610:AS611)*'18_Календарь_тарифы'!AS9</f>
        <v/>
      </c>
      <c r="AT613">
        <f>SUM('19_Расчет_аналитики'!AT610:AT611)*'18_Календарь_тарифы'!AT9</f>
        <v/>
      </c>
      <c r="AU613">
        <f>SUM('19_Расчет_аналитики'!AU610:AU611)*'18_Календарь_тарифы'!AU9</f>
        <v/>
      </c>
      <c r="AV613">
        <f>SUM('19_Расчет_аналитики'!AV610:AV611)*'18_Календарь_тарифы'!AV9</f>
        <v/>
      </c>
      <c r="AW613">
        <f>SUM('19_Расчет_аналитики'!AW610:AW611)*'18_Календарь_тарифы'!AW9</f>
        <v/>
      </c>
      <c r="AX613">
        <f>SUM('19_Расчет_аналитики'!AX610:AX611)*'18_Календарь_тарифы'!AX9</f>
        <v/>
      </c>
      <c r="AY613">
        <f>SUM('19_Расчет_аналитики'!AY610:AY611)*'18_Календарь_тарифы'!AY9</f>
        <v/>
      </c>
      <c r="AZ613">
        <f>SUM('19_Расчет_аналитики'!AZ610:AZ611)*'18_Календарь_тарифы'!AZ9</f>
        <v/>
      </c>
      <c r="BA613">
        <f>SUM('19_Расчет_аналитики'!BA610:BA611)*'18_Календарь_тарифы'!BA9</f>
        <v/>
      </c>
      <c r="BB613">
        <f>SUM('19_Расчет_аналитики'!BB610:BB611)*'18_Календарь_тарифы'!BB9</f>
        <v/>
      </c>
      <c r="BC613">
        <f>SUM('19_Расчет_аналитики'!BC610:BC611)*'18_Календарь_тарифы'!BC9</f>
        <v/>
      </c>
      <c r="BD613">
        <f>SUM('19_Расчет_аналитики'!BD610:BD611)*'18_Календарь_тарифы'!BD9</f>
        <v/>
      </c>
      <c r="BE613">
        <f>SUM('19_Расчет_аналитики'!BE610:BE611)*'18_Календарь_тарифы'!BE9</f>
        <v/>
      </c>
      <c r="BF613">
        <f>SUM('19_Расчет_аналитики'!BF610:BF611)*'18_Календарь_тарифы'!BF9</f>
        <v/>
      </c>
      <c r="BG613">
        <f>SUM('19_Расчет_аналитики'!BG610:BG611)*'18_Календарь_тарифы'!BG9</f>
        <v/>
      </c>
      <c r="BH613">
        <f>SUM('19_Расчет_аналитики'!BH610:BH611)*'18_Календарь_тарифы'!BH9</f>
        <v/>
      </c>
      <c r="BI613">
        <f>SUM('19_Расчет_аналитики'!BI610:BI611)*'18_Календарь_тарифы'!BI9</f>
        <v/>
      </c>
      <c r="BJ613">
        <f>SUM('19_Расчет_аналитики'!BJ610:BJ611)*'18_Календарь_тарифы'!BJ9</f>
        <v/>
      </c>
      <c r="BK613">
        <f>SUM('19_Расчет_аналитики'!BK610:BK611)*'18_Календарь_тарифы'!BK9</f>
        <v/>
      </c>
      <c r="BL613">
        <f>SUM('19_Расчет_аналитики'!BL610:BL611)*'18_Календарь_тарифы'!BL9</f>
        <v/>
      </c>
      <c r="BM613">
        <f>SUM('19_Расчет_аналитики'!BM610:BM611)*'18_Календарь_тарифы'!BM9</f>
        <v/>
      </c>
      <c r="BN613">
        <f>SUM('19_Расчет_аналитики'!BN610:BN611)*'18_Календарь_тарифы'!BN9</f>
        <v/>
      </c>
      <c r="BO613">
        <f>SUM('19_Расчет_аналитики'!BO610:BO611)*'18_Календарь_тарифы'!BO9</f>
        <v/>
      </c>
    </row>
    <row r="614"/>
    <row r="615">
      <c r="B615">
        <f>'07_Мерч'!B6+'19_Расчет_аналитики'!B612</f>
        <v/>
      </c>
      <c r="C615">
        <f>'07_Мерч'!C6+'19_Расчет_аналитики'!C612</f>
        <v/>
      </c>
      <c r="D615">
        <f>'07_Мерч'!D6+'19_Расчет_аналитики'!D612</f>
        <v/>
      </c>
      <c r="E615">
        <f>'07_Мерч'!E6+'19_Расчет_аналитики'!E612</f>
        <v/>
      </c>
      <c r="F615">
        <f>'19_Расчет_аналитики'!F607+'19_Расчет_аналитики'!F612</f>
        <v/>
      </c>
      <c r="G615">
        <f>'19_Расчет_аналитики'!G607+'19_Расчет_аналитики'!G612</f>
        <v/>
      </c>
      <c r="H615">
        <f>'19_Расчет_аналитики'!H607+'19_Расчет_аналитики'!H612</f>
        <v/>
      </c>
      <c r="I615">
        <f>'19_Расчет_аналитики'!I607+'19_Расчет_аналитики'!I612</f>
        <v/>
      </c>
      <c r="J615">
        <f>'19_Расчет_аналитики'!J607+'19_Расчет_аналитики'!J612</f>
        <v/>
      </c>
      <c r="K615">
        <f>'19_Расчет_аналитики'!K607+'19_Расчет_аналитики'!K612</f>
        <v/>
      </c>
      <c r="L615">
        <f>'19_Расчет_аналитики'!L607+'19_Расчет_аналитики'!L612</f>
        <v/>
      </c>
      <c r="M615">
        <f>'19_Расчет_аналитики'!M607+'19_Расчет_аналитики'!M612</f>
        <v/>
      </c>
      <c r="N615">
        <f>'19_Расчет_аналитики'!N607+'19_Расчет_аналитики'!N612</f>
        <v/>
      </c>
      <c r="O615">
        <f>'19_Расчет_аналитики'!O607+'19_Расчет_аналитики'!O612</f>
        <v/>
      </c>
      <c r="P615">
        <f>'19_Расчет_аналитики'!P607+'19_Расчет_аналитики'!P612</f>
        <v/>
      </c>
      <c r="Q615">
        <f>'19_Расчет_аналитики'!Q607+'19_Расчет_аналитики'!Q612</f>
        <v/>
      </c>
      <c r="R615">
        <f>'19_Расчет_аналитики'!R607+'19_Расчет_аналитики'!R612</f>
        <v/>
      </c>
      <c r="S615">
        <f>'19_Расчет_аналитики'!S607+'19_Расчет_аналитики'!S612</f>
        <v/>
      </c>
      <c r="T615">
        <f>'19_Расчет_аналитики'!T607+'19_Расчет_аналитики'!T612</f>
        <v/>
      </c>
      <c r="U615">
        <f>'19_Расчет_аналитики'!U607+'19_Расчет_аналитики'!U612</f>
        <v/>
      </c>
      <c r="V615">
        <f>'19_Расчет_аналитики'!V607+'19_Расчет_аналитики'!V612</f>
        <v/>
      </c>
      <c r="W615">
        <f>'19_Расчет_аналитики'!W607+'19_Расчет_аналитики'!W612</f>
        <v/>
      </c>
      <c r="X615">
        <f>'19_Расчет_аналитики'!X607+'19_Расчет_аналитики'!X612</f>
        <v/>
      </c>
      <c r="Y615">
        <f>'19_Расчет_аналитики'!Y607+'19_Расчет_аналитики'!Y612</f>
        <v/>
      </c>
      <c r="Z615">
        <f>'19_Расчет_аналитики'!Z607+'19_Расчет_аналитики'!Z612</f>
        <v/>
      </c>
      <c r="AA615">
        <f>'19_Расчет_аналитики'!AA607+'19_Расчет_аналитики'!AA612</f>
        <v/>
      </c>
      <c r="AB615">
        <f>'19_Расчет_аналитики'!AB607+'19_Расчет_аналитики'!AB612</f>
        <v/>
      </c>
      <c r="AC615">
        <f>'19_Расчет_аналитики'!AC607+'19_Расчет_аналитики'!AC612</f>
        <v/>
      </c>
      <c r="AD615">
        <f>'19_Расчет_аналитики'!AD607+'19_Расчет_аналитики'!AD612</f>
        <v/>
      </c>
      <c r="AE615">
        <f>'19_Расчет_аналитики'!AE607+'19_Расчет_аналитики'!AE612</f>
        <v/>
      </c>
      <c r="AF615">
        <f>'19_Расчет_аналитики'!AF607+'19_Расчет_аналитики'!AF612</f>
        <v/>
      </c>
      <c r="AG615">
        <f>'19_Расчет_аналитики'!AG607+'19_Расчет_аналитики'!AG612</f>
        <v/>
      </c>
      <c r="AH615">
        <f>'19_Расчет_аналитики'!AH607+'19_Расчет_аналитики'!AH612</f>
        <v/>
      </c>
      <c r="AI615">
        <f>'19_Расчет_аналитики'!AI607+'19_Расчет_аналитики'!AI612</f>
        <v/>
      </c>
      <c r="AJ615">
        <f>'19_Расчет_аналитики'!AJ607+'19_Расчет_аналитики'!AJ612</f>
        <v/>
      </c>
      <c r="AK615">
        <f>'19_Расчет_аналитики'!AK607+'19_Расчет_аналитики'!AK612</f>
        <v/>
      </c>
      <c r="AL615">
        <f>'19_Расчет_аналитики'!AL607+'19_Расчет_аналитики'!AL612</f>
        <v/>
      </c>
      <c r="AM615">
        <f>'19_Расчет_аналитики'!AM607+'19_Расчет_аналитики'!AM612</f>
        <v/>
      </c>
      <c r="AN615">
        <f>'19_Расчет_аналитики'!AN607+'19_Расчет_аналитики'!AN612</f>
        <v/>
      </c>
      <c r="AO615">
        <f>'19_Расчет_аналитики'!AO607+'19_Расчет_аналитики'!AO612</f>
        <v/>
      </c>
      <c r="AP615">
        <f>'19_Расчет_аналитики'!AP607+'19_Расчет_аналитики'!AP612</f>
        <v/>
      </c>
      <c r="AQ615">
        <f>'19_Расчет_аналитики'!AQ607+'19_Расчет_аналитики'!AQ612</f>
        <v/>
      </c>
      <c r="AR615">
        <f>'19_Расчет_аналитики'!AR607+'19_Расчет_аналитики'!AR612</f>
        <v/>
      </c>
      <c r="AS615">
        <f>'19_Расчет_аналитики'!AS607+'19_Расчет_аналитики'!AS612</f>
        <v/>
      </c>
      <c r="AT615">
        <f>'19_Расчет_аналитики'!AT607+'19_Расчет_аналитики'!AT612</f>
        <v/>
      </c>
      <c r="AU615">
        <f>'19_Расчет_аналитики'!AU607+'19_Расчет_аналитики'!AU612</f>
        <v/>
      </c>
      <c r="AV615">
        <f>'19_Расчет_аналитики'!AV607+'19_Расчет_аналитики'!AV612</f>
        <v/>
      </c>
      <c r="AW615">
        <f>'19_Расчет_аналитики'!AW607+'19_Расчет_аналитики'!AW612</f>
        <v/>
      </c>
      <c r="AX615">
        <f>'19_Расчет_аналитики'!AX607+'19_Расчет_аналитики'!AX612</f>
        <v/>
      </c>
      <c r="AY615">
        <f>'19_Расчет_аналитики'!AY607+'19_Расчет_аналитики'!AY612</f>
        <v/>
      </c>
      <c r="AZ615">
        <f>'19_Расчет_аналитики'!AZ607+'19_Расчет_аналитики'!AZ612</f>
        <v/>
      </c>
      <c r="BA615">
        <f>'19_Расчет_аналитики'!BA607+'19_Расчет_аналитики'!BA612</f>
        <v/>
      </c>
      <c r="BB615">
        <f>'19_Расчет_аналитики'!BB607+'19_Расчет_аналитики'!BB612</f>
        <v/>
      </c>
      <c r="BC615">
        <f>'19_Расчет_аналитики'!BC607+'19_Расчет_аналитики'!BC612</f>
        <v/>
      </c>
      <c r="BD615">
        <f>'19_Расчет_аналитики'!BD607+'19_Расчет_аналитики'!BD612</f>
        <v/>
      </c>
      <c r="BE615">
        <f>'19_Расчет_аналитики'!BE607+'19_Расчет_аналитики'!BE612</f>
        <v/>
      </c>
      <c r="BF615">
        <f>'19_Расчет_аналитики'!BF607+'19_Расчет_аналитики'!BF612</f>
        <v/>
      </c>
      <c r="BG615">
        <f>'19_Расчет_аналитики'!BG607+'19_Расчет_аналитики'!BG612</f>
        <v/>
      </c>
      <c r="BH615">
        <f>'19_Расчет_аналитики'!BH607+'19_Расчет_аналитики'!BH612</f>
        <v/>
      </c>
      <c r="BI615">
        <f>'19_Расчет_аналитики'!BI607+'19_Расчет_аналитики'!BI612</f>
        <v/>
      </c>
      <c r="BJ615">
        <f>'19_Расчет_аналитики'!BJ607+'19_Расчет_аналитики'!BJ612</f>
        <v/>
      </c>
      <c r="BK615">
        <f>'19_Расчет_аналитики'!BK607+'19_Расчет_аналитики'!BK612</f>
        <v/>
      </c>
      <c r="BL615">
        <f>'19_Расчет_аналитики'!BL607+'19_Расчет_аналитики'!BL612</f>
        <v/>
      </c>
      <c r="BM615">
        <f>'19_Расчет_аналитики'!BM607+'19_Расчет_аналитики'!BM612</f>
        <v/>
      </c>
      <c r="BN615">
        <f>'19_Расчет_аналитики'!BN607+'19_Расчет_аналитики'!BN612</f>
        <v/>
      </c>
      <c r="BO615">
        <f>'19_Расчет_аналитики'!BO607+'19_Расчет_аналитики'!BO612</f>
        <v/>
      </c>
    </row>
    <row r="616">
      <c r="B616">
        <f>'19_Расчет_аналитики'!B615/(1+'01_Вводные'!$B$58)</f>
        <v/>
      </c>
      <c r="C616">
        <f>'19_Расчет_аналитики'!C615/(1+'01_Вводные'!$B$58)</f>
        <v/>
      </c>
      <c r="D616">
        <f>'19_Расчет_аналитики'!D615/(1+'01_Вводные'!$B$58)</f>
        <v/>
      </c>
      <c r="E616">
        <f>'19_Расчет_аналитики'!E615/(1+'01_Вводные'!$B$58)</f>
        <v/>
      </c>
      <c r="F616">
        <f>'19_Расчет_аналитики'!F615/(1+'01_Вводные'!$B$58)</f>
        <v/>
      </c>
      <c r="G616">
        <f>'19_Расчет_аналитики'!G615/(1+'01_Вводные'!$B$58)</f>
        <v/>
      </c>
      <c r="H616">
        <f>'19_Расчет_аналитики'!H615/(1+'01_Вводные'!$B$58)</f>
        <v/>
      </c>
      <c r="I616">
        <f>'19_Расчет_аналитики'!I615/(1+'01_Вводные'!$B$58)</f>
        <v/>
      </c>
      <c r="J616">
        <f>'19_Расчет_аналитики'!J615/(1+'01_Вводные'!$B$58)</f>
        <v/>
      </c>
      <c r="K616">
        <f>'19_Расчет_аналитики'!K615/(1+'01_Вводные'!$B$58)</f>
        <v/>
      </c>
      <c r="L616">
        <f>'19_Расчет_аналитики'!L615/(1+'01_Вводные'!$B$58)</f>
        <v/>
      </c>
      <c r="M616">
        <f>'19_Расчет_аналитики'!M615/(1+'01_Вводные'!$B$58)</f>
        <v/>
      </c>
      <c r="N616">
        <f>'19_Расчет_аналитики'!N615/(1+'01_Вводные'!$B$58)</f>
        <v/>
      </c>
      <c r="O616">
        <f>'19_Расчет_аналитики'!O615/(1+'01_Вводные'!$B$58)</f>
        <v/>
      </c>
      <c r="P616">
        <f>'19_Расчет_аналитики'!P615/(1+'01_Вводные'!$B$58)</f>
        <v/>
      </c>
      <c r="Q616">
        <f>'19_Расчет_аналитики'!Q615/(1+'01_Вводные'!$B$58)</f>
        <v/>
      </c>
      <c r="R616">
        <f>'19_Расчет_аналитики'!R615/(1+'01_Вводные'!$B$58)</f>
        <v/>
      </c>
      <c r="S616">
        <f>'19_Расчет_аналитики'!S615/(1+'01_Вводные'!$B$58)</f>
        <v/>
      </c>
      <c r="T616">
        <f>'19_Расчет_аналитики'!T615/(1+'01_Вводные'!$B$58)</f>
        <v/>
      </c>
      <c r="U616">
        <f>'19_Расчет_аналитики'!U615/(1+'01_Вводные'!$B$58)</f>
        <v/>
      </c>
      <c r="V616">
        <f>'19_Расчет_аналитики'!V615/(1+'01_Вводные'!$B$58)</f>
        <v/>
      </c>
      <c r="W616">
        <f>'19_Расчет_аналитики'!W615/(1+'01_Вводные'!$B$58)</f>
        <v/>
      </c>
      <c r="X616">
        <f>'19_Расчет_аналитики'!X615/(1+'01_Вводные'!$B$58)</f>
        <v/>
      </c>
      <c r="Y616">
        <f>'19_Расчет_аналитики'!Y615/(1+'01_Вводные'!$B$58)</f>
        <v/>
      </c>
      <c r="Z616">
        <f>'19_Расчет_аналитики'!Z615/(1+'01_Вводные'!$B$58)</f>
        <v/>
      </c>
      <c r="AA616">
        <f>'19_Расчет_аналитики'!AA615/(1+'01_Вводные'!$B$58)</f>
        <v/>
      </c>
      <c r="AB616">
        <f>'19_Расчет_аналитики'!AB615/(1+'01_Вводные'!$B$58)</f>
        <v/>
      </c>
      <c r="AC616">
        <f>'19_Расчет_аналитики'!AC615/(1+'01_Вводные'!$B$58)</f>
        <v/>
      </c>
      <c r="AD616">
        <f>'19_Расчет_аналитики'!AD615/(1+'01_Вводные'!$B$58)</f>
        <v/>
      </c>
      <c r="AE616">
        <f>'19_Расчет_аналитики'!AE615/(1+'01_Вводные'!$B$58)</f>
        <v/>
      </c>
      <c r="AF616">
        <f>'19_Расчет_аналитики'!AF615/(1+'01_Вводные'!$B$58)</f>
        <v/>
      </c>
      <c r="AG616">
        <f>'19_Расчет_аналитики'!AG615/(1+'01_Вводные'!$B$58)</f>
        <v/>
      </c>
      <c r="AH616">
        <f>'19_Расчет_аналитики'!AH615/(1+'01_Вводные'!$B$58)</f>
        <v/>
      </c>
      <c r="AI616">
        <f>'19_Расчет_аналитики'!AI615/(1+'01_Вводные'!$B$58)</f>
        <v/>
      </c>
      <c r="AJ616">
        <f>'19_Расчет_аналитики'!AJ615/(1+'01_Вводные'!$B$58)</f>
        <v/>
      </c>
      <c r="AK616">
        <f>'19_Расчет_аналитики'!AK615/(1+'01_Вводные'!$B$58)</f>
        <v/>
      </c>
      <c r="AL616">
        <f>'19_Расчет_аналитики'!AL615/(1+'01_Вводные'!$B$58)</f>
        <v/>
      </c>
      <c r="AM616">
        <f>'19_Расчет_аналитики'!AM615/(1+'01_Вводные'!$B$58)</f>
        <v/>
      </c>
      <c r="AN616">
        <f>'19_Расчет_аналитики'!AN615/(1+'01_Вводные'!$B$58)</f>
        <v/>
      </c>
      <c r="AO616">
        <f>'19_Расчет_аналитики'!AO615/(1+'01_Вводные'!$B$58)</f>
        <v/>
      </c>
      <c r="AP616">
        <f>'19_Расчет_аналитики'!AP615/(1+'01_Вводные'!$B$58)</f>
        <v/>
      </c>
      <c r="AQ616">
        <f>'19_Расчет_аналитики'!AQ615/(1+'01_Вводные'!$B$58)</f>
        <v/>
      </c>
      <c r="AR616">
        <f>'19_Расчет_аналитики'!AR615/(1+'01_Вводные'!$B$58)</f>
        <v/>
      </c>
      <c r="AS616">
        <f>'19_Расчет_аналитики'!AS615/(1+'01_Вводные'!$B$58)</f>
        <v/>
      </c>
      <c r="AT616">
        <f>'19_Расчет_аналитики'!AT615/(1+'01_Вводные'!$B$58)</f>
        <v/>
      </c>
      <c r="AU616">
        <f>'19_Расчет_аналитики'!AU615/(1+'01_Вводные'!$B$58)</f>
        <v/>
      </c>
      <c r="AV616">
        <f>'19_Расчет_аналитики'!AV615/(1+'01_Вводные'!$B$58)</f>
        <v/>
      </c>
      <c r="AW616">
        <f>'19_Расчет_аналитики'!AW615/(1+'01_Вводные'!$B$58)</f>
        <v/>
      </c>
      <c r="AX616">
        <f>'19_Расчет_аналитики'!AX615/(1+'01_Вводные'!$B$58)</f>
        <v/>
      </c>
      <c r="AY616">
        <f>'19_Расчет_аналитики'!AY615/(1+'01_Вводные'!$B$58)</f>
        <v/>
      </c>
      <c r="AZ616">
        <f>'19_Расчет_аналитики'!AZ615/(1+'01_Вводные'!$B$58)</f>
        <v/>
      </c>
      <c r="BA616">
        <f>'19_Расчет_аналитики'!BA615/(1+'01_Вводные'!$B$58)</f>
        <v/>
      </c>
      <c r="BB616">
        <f>'19_Расчет_аналитики'!BB615/(1+'01_Вводные'!$B$58)</f>
        <v/>
      </c>
      <c r="BC616">
        <f>'19_Расчет_аналитики'!BC615/(1+'01_Вводные'!$B$58)</f>
        <v/>
      </c>
      <c r="BD616">
        <f>'19_Расчет_аналитики'!BD615/(1+'01_Вводные'!$B$58)</f>
        <v/>
      </c>
      <c r="BE616">
        <f>'19_Расчет_аналитики'!BE615/(1+'01_Вводные'!$B$58)</f>
        <v/>
      </c>
      <c r="BF616">
        <f>'19_Расчет_аналитики'!BF615/(1+'01_Вводные'!$B$58)</f>
        <v/>
      </c>
      <c r="BG616">
        <f>'19_Расчет_аналитики'!BG615/(1+'01_Вводные'!$B$58)</f>
        <v/>
      </c>
      <c r="BH616">
        <f>'19_Расчет_аналитики'!BH615/(1+'01_Вводные'!$B$58)</f>
        <v/>
      </c>
      <c r="BI616">
        <f>'19_Расчет_аналитики'!BI615/(1+'01_Вводные'!$B$58)</f>
        <v/>
      </c>
      <c r="BJ616">
        <f>'19_Расчет_аналитики'!BJ615/(1+'01_Вводные'!$B$58)</f>
        <v/>
      </c>
      <c r="BK616">
        <f>'19_Расчет_аналитики'!BK615/(1+'01_Вводные'!$B$58)</f>
        <v/>
      </c>
      <c r="BL616">
        <f>'19_Расчет_аналитики'!BL615/(1+'01_Вводные'!$B$58)</f>
        <v/>
      </c>
      <c r="BM616">
        <f>'19_Расчет_аналитики'!BM615/(1+'01_Вводные'!$B$58)</f>
        <v/>
      </c>
      <c r="BN616">
        <f>'19_Расчет_аналитики'!BN615/(1+'01_Вводные'!$B$58)</f>
        <v/>
      </c>
      <c r="BO616">
        <f>'19_Расчет_аналитики'!BO615/(1+'01_Вводные'!$B$58)</f>
        <v/>
      </c>
    </row>
    <row r="617">
      <c r="B617">
        <f>'07_Мерч'!B7+'19_Расчет_аналитики'!B613</f>
        <v/>
      </c>
      <c r="C617">
        <f>'07_Мерч'!C7+'19_Расчет_аналитики'!C613</f>
        <v/>
      </c>
      <c r="D617">
        <f>'07_Мерч'!D7+'19_Расчет_аналитики'!D613</f>
        <v/>
      </c>
      <c r="E617">
        <f>'07_Мерч'!E7+'19_Расчет_аналитики'!E613</f>
        <v/>
      </c>
      <c r="F617">
        <f>'19_Расчет_аналитики'!F608+'19_Расчет_аналитики'!F613</f>
        <v/>
      </c>
      <c r="G617">
        <f>'19_Расчет_аналитики'!G608+'19_Расчет_аналитики'!G613</f>
        <v/>
      </c>
      <c r="H617">
        <f>'19_Расчет_аналитики'!H608+'19_Расчет_аналитики'!H613</f>
        <v/>
      </c>
      <c r="I617">
        <f>'19_Расчет_аналитики'!I608+'19_Расчет_аналитики'!I613</f>
        <v/>
      </c>
      <c r="J617">
        <f>'19_Расчет_аналитики'!J608+'19_Расчет_аналитики'!J613</f>
        <v/>
      </c>
      <c r="K617">
        <f>'19_Расчет_аналитики'!K608+'19_Расчет_аналитики'!K613</f>
        <v/>
      </c>
      <c r="L617">
        <f>'19_Расчет_аналитики'!L608+'19_Расчет_аналитики'!L613</f>
        <v/>
      </c>
      <c r="M617">
        <f>'19_Расчет_аналитики'!M608+'19_Расчет_аналитики'!M613</f>
        <v/>
      </c>
      <c r="N617">
        <f>'19_Расчет_аналитики'!N608+'19_Расчет_аналитики'!N613</f>
        <v/>
      </c>
      <c r="O617">
        <f>'19_Расчет_аналитики'!O608+'19_Расчет_аналитики'!O613</f>
        <v/>
      </c>
      <c r="P617">
        <f>'19_Расчет_аналитики'!P608+'19_Расчет_аналитики'!P613</f>
        <v/>
      </c>
      <c r="Q617">
        <f>'19_Расчет_аналитики'!Q608+'19_Расчет_аналитики'!Q613</f>
        <v/>
      </c>
      <c r="R617">
        <f>'19_Расчет_аналитики'!R608+'19_Расчет_аналитики'!R613</f>
        <v/>
      </c>
      <c r="S617">
        <f>'19_Расчет_аналитики'!S608+'19_Расчет_аналитики'!S613</f>
        <v/>
      </c>
      <c r="T617">
        <f>'19_Расчет_аналитики'!T608+'19_Расчет_аналитики'!T613</f>
        <v/>
      </c>
      <c r="U617">
        <f>'19_Расчет_аналитики'!U608+'19_Расчет_аналитики'!U613</f>
        <v/>
      </c>
      <c r="V617">
        <f>'19_Расчет_аналитики'!V608+'19_Расчет_аналитики'!V613</f>
        <v/>
      </c>
      <c r="W617">
        <f>'19_Расчет_аналитики'!W608+'19_Расчет_аналитики'!W613</f>
        <v/>
      </c>
      <c r="X617">
        <f>'19_Расчет_аналитики'!X608+'19_Расчет_аналитики'!X613</f>
        <v/>
      </c>
      <c r="Y617">
        <f>'19_Расчет_аналитики'!Y608+'19_Расчет_аналитики'!Y613</f>
        <v/>
      </c>
      <c r="Z617">
        <f>'19_Расчет_аналитики'!Z608+'19_Расчет_аналитики'!Z613</f>
        <v/>
      </c>
      <c r="AA617">
        <f>'19_Расчет_аналитики'!AA608+'19_Расчет_аналитики'!AA613</f>
        <v/>
      </c>
      <c r="AB617">
        <f>'19_Расчет_аналитики'!AB608+'19_Расчет_аналитики'!AB613</f>
        <v/>
      </c>
      <c r="AC617">
        <f>'19_Расчет_аналитики'!AC608+'19_Расчет_аналитики'!AC613</f>
        <v/>
      </c>
      <c r="AD617">
        <f>'19_Расчет_аналитики'!AD608+'19_Расчет_аналитики'!AD613</f>
        <v/>
      </c>
      <c r="AE617">
        <f>'19_Расчет_аналитики'!AE608+'19_Расчет_аналитики'!AE613</f>
        <v/>
      </c>
      <c r="AF617">
        <f>'19_Расчет_аналитики'!AF608+'19_Расчет_аналитики'!AF613</f>
        <v/>
      </c>
      <c r="AG617">
        <f>'19_Расчет_аналитики'!AG608+'19_Расчет_аналитики'!AG613</f>
        <v/>
      </c>
      <c r="AH617">
        <f>'19_Расчет_аналитики'!AH608+'19_Расчет_аналитики'!AH613</f>
        <v/>
      </c>
      <c r="AI617">
        <f>'19_Расчет_аналитики'!AI608+'19_Расчет_аналитики'!AI613</f>
        <v/>
      </c>
      <c r="AJ617">
        <f>'19_Расчет_аналитики'!AJ608+'19_Расчет_аналитики'!AJ613</f>
        <v/>
      </c>
      <c r="AK617">
        <f>'19_Расчет_аналитики'!AK608+'19_Расчет_аналитики'!AK613</f>
        <v/>
      </c>
      <c r="AL617">
        <f>'19_Расчет_аналитики'!AL608+'19_Расчет_аналитики'!AL613</f>
        <v/>
      </c>
      <c r="AM617">
        <f>'19_Расчет_аналитики'!AM608+'19_Расчет_аналитики'!AM613</f>
        <v/>
      </c>
      <c r="AN617">
        <f>'19_Расчет_аналитики'!AN608+'19_Расчет_аналитики'!AN613</f>
        <v/>
      </c>
      <c r="AO617">
        <f>'19_Расчет_аналитики'!AO608+'19_Расчет_аналитики'!AO613</f>
        <v/>
      </c>
      <c r="AP617">
        <f>'19_Расчет_аналитики'!AP608+'19_Расчет_аналитики'!AP613</f>
        <v/>
      </c>
      <c r="AQ617">
        <f>'19_Расчет_аналитики'!AQ608+'19_Расчет_аналитики'!AQ613</f>
        <v/>
      </c>
      <c r="AR617">
        <f>'19_Расчет_аналитики'!AR608+'19_Расчет_аналитики'!AR613</f>
        <v/>
      </c>
      <c r="AS617">
        <f>'19_Расчет_аналитики'!AS608+'19_Расчет_аналитики'!AS613</f>
        <v/>
      </c>
      <c r="AT617">
        <f>'19_Расчет_аналитики'!AT608+'19_Расчет_аналитики'!AT613</f>
        <v/>
      </c>
      <c r="AU617">
        <f>'19_Расчет_аналитики'!AU608+'19_Расчет_аналитики'!AU613</f>
        <v/>
      </c>
      <c r="AV617">
        <f>'19_Расчет_аналитики'!AV608+'19_Расчет_аналитики'!AV613</f>
        <v/>
      </c>
      <c r="AW617">
        <f>'19_Расчет_аналитики'!AW608+'19_Расчет_аналитики'!AW613</f>
        <v/>
      </c>
      <c r="AX617">
        <f>'19_Расчет_аналитики'!AX608+'19_Расчет_аналитики'!AX613</f>
        <v/>
      </c>
      <c r="AY617">
        <f>'19_Расчет_аналитики'!AY608+'19_Расчет_аналитики'!AY613</f>
        <v/>
      </c>
      <c r="AZ617">
        <f>'19_Расчет_аналитики'!AZ608+'19_Расчет_аналитики'!AZ613</f>
        <v/>
      </c>
      <c r="BA617">
        <f>'19_Расчет_аналитики'!BA608+'19_Расчет_аналитики'!BA613</f>
        <v/>
      </c>
      <c r="BB617">
        <f>'19_Расчет_аналитики'!BB608+'19_Расчет_аналитики'!BB613</f>
        <v/>
      </c>
      <c r="BC617">
        <f>'19_Расчет_аналитики'!BC608+'19_Расчет_аналитики'!BC613</f>
        <v/>
      </c>
      <c r="BD617">
        <f>'19_Расчет_аналитики'!BD608+'19_Расчет_аналитики'!BD613</f>
        <v/>
      </c>
      <c r="BE617">
        <f>'19_Расчет_аналитики'!BE608+'19_Расчет_аналитики'!BE613</f>
        <v/>
      </c>
      <c r="BF617">
        <f>'19_Расчет_аналитики'!BF608+'19_Расчет_аналитики'!BF613</f>
        <v/>
      </c>
      <c r="BG617">
        <f>'19_Расчет_аналитики'!BG608+'19_Расчет_аналитики'!BG613</f>
        <v/>
      </c>
      <c r="BH617">
        <f>'19_Расчет_аналитики'!BH608+'19_Расчет_аналитики'!BH613</f>
        <v/>
      </c>
      <c r="BI617">
        <f>'19_Расчет_аналитики'!BI608+'19_Расчет_аналитики'!BI613</f>
        <v/>
      </c>
      <c r="BJ617">
        <f>'19_Расчет_аналитики'!BJ608+'19_Расчет_аналитики'!BJ613</f>
        <v/>
      </c>
      <c r="BK617">
        <f>'19_Расчет_аналитики'!BK608+'19_Расчет_аналитики'!BK613</f>
        <v/>
      </c>
      <c r="BL617">
        <f>'19_Расчет_аналитики'!BL608+'19_Расчет_аналитики'!BL613</f>
        <v/>
      </c>
      <c r="BM617">
        <f>'19_Расчет_аналитики'!BM608+'19_Расчет_аналитики'!BM613</f>
        <v/>
      </c>
      <c r="BN617">
        <f>'19_Расчет_аналитики'!BN608+'19_Расчет_аналитики'!BN613</f>
        <v/>
      </c>
      <c r="BO617">
        <f>'19_Расчет_аналитики'!BO608+'19_Расчет_аналитики'!BO613</f>
        <v/>
      </c>
    </row>
    <row r="618">
      <c r="B618">
        <f>'19_Расчет_аналитики'!B616*'01_Вводные'!$B$75</f>
        <v/>
      </c>
      <c r="C618">
        <f>'19_Расчет_аналитики'!C616*'01_Вводные'!$B$75</f>
        <v/>
      </c>
      <c r="D618">
        <f>'19_Расчет_аналитики'!D616*'01_Вводные'!$B$75</f>
        <v/>
      </c>
      <c r="E618">
        <f>'19_Расчет_аналитики'!E616*'01_Вводные'!$B$75</f>
        <v/>
      </c>
      <c r="F618">
        <f>'19_Расчет_аналитики'!F616*'01_Вводные'!$B$75</f>
        <v/>
      </c>
      <c r="G618">
        <f>'19_Расчет_аналитики'!G616*'01_Вводные'!$B$75</f>
        <v/>
      </c>
      <c r="H618">
        <f>'19_Расчет_аналитики'!H616*'01_Вводные'!$B$75</f>
        <v/>
      </c>
      <c r="I618">
        <f>'19_Расчет_аналитики'!I616*'01_Вводные'!$B$75</f>
        <v/>
      </c>
      <c r="J618">
        <f>'19_Расчет_аналитики'!J616*'01_Вводные'!$B$75</f>
        <v/>
      </c>
      <c r="K618">
        <f>'19_Расчет_аналитики'!K616*'01_Вводные'!$B$75</f>
        <v/>
      </c>
      <c r="L618">
        <f>'19_Расчет_аналитики'!L616*'01_Вводные'!$B$75</f>
        <v/>
      </c>
      <c r="M618">
        <f>'19_Расчет_аналитики'!M616*'01_Вводные'!$B$75</f>
        <v/>
      </c>
      <c r="N618">
        <f>'19_Расчет_аналитики'!N616*'01_Вводные'!$B$75</f>
        <v/>
      </c>
      <c r="O618">
        <f>'19_Расчет_аналитики'!O616*'01_Вводные'!$B$75</f>
        <v/>
      </c>
      <c r="P618">
        <f>'19_Расчет_аналитики'!P616*'01_Вводные'!$B$75</f>
        <v/>
      </c>
      <c r="Q618">
        <f>'19_Расчет_аналитики'!Q616*'01_Вводные'!$B$75</f>
        <v/>
      </c>
      <c r="R618">
        <f>'19_Расчет_аналитики'!R616*'01_Вводные'!$B$75</f>
        <v/>
      </c>
      <c r="S618">
        <f>'19_Расчет_аналитики'!S616*'01_Вводные'!$B$75</f>
        <v/>
      </c>
      <c r="T618">
        <f>'19_Расчет_аналитики'!T616*'01_Вводные'!$B$75</f>
        <v/>
      </c>
      <c r="U618">
        <f>'19_Расчет_аналитики'!U616*'01_Вводные'!$B$75</f>
        <v/>
      </c>
      <c r="V618">
        <f>'19_Расчет_аналитики'!V616*'01_Вводные'!$B$75</f>
        <v/>
      </c>
      <c r="W618">
        <f>'19_Расчет_аналитики'!W616*'01_Вводные'!$B$75</f>
        <v/>
      </c>
      <c r="X618">
        <f>'19_Расчет_аналитики'!X616*'01_Вводные'!$B$75</f>
        <v/>
      </c>
      <c r="Y618">
        <f>'19_Расчет_аналитики'!Y616*'01_Вводные'!$B$75</f>
        <v/>
      </c>
      <c r="Z618">
        <f>'19_Расчет_аналитики'!Z616*'01_Вводные'!$B$75</f>
        <v/>
      </c>
      <c r="AA618">
        <f>'19_Расчет_аналитики'!AA616*'01_Вводные'!$B$75</f>
        <v/>
      </c>
      <c r="AB618">
        <f>'19_Расчет_аналитики'!AB616*'01_Вводные'!$B$75</f>
        <v/>
      </c>
      <c r="AC618">
        <f>'19_Расчет_аналитики'!AC616*'01_Вводные'!$B$75</f>
        <v/>
      </c>
      <c r="AD618">
        <f>'19_Расчет_аналитики'!AD616*'01_Вводные'!$B$75</f>
        <v/>
      </c>
      <c r="AE618">
        <f>'19_Расчет_аналитики'!AE616*'01_Вводные'!$B$75</f>
        <v/>
      </c>
      <c r="AF618">
        <f>'19_Расчет_аналитики'!AF616*'01_Вводные'!$B$75</f>
        <v/>
      </c>
      <c r="AG618">
        <f>'19_Расчет_аналитики'!AG616*'01_Вводные'!$B$75</f>
        <v/>
      </c>
      <c r="AH618">
        <f>'19_Расчет_аналитики'!AH616*'01_Вводные'!$B$75</f>
        <v/>
      </c>
      <c r="AI618">
        <f>'19_Расчет_аналитики'!AI616*'01_Вводные'!$B$75</f>
        <v/>
      </c>
      <c r="AJ618">
        <f>'19_Расчет_аналитики'!AJ616*'01_Вводные'!$B$75</f>
        <v/>
      </c>
      <c r="AK618">
        <f>'19_Расчет_аналитики'!AK616*'01_Вводные'!$B$75</f>
        <v/>
      </c>
      <c r="AL618">
        <f>'19_Расчет_аналитики'!AL616*'01_Вводные'!$B$75</f>
        <v/>
      </c>
      <c r="AM618">
        <f>'19_Расчет_аналитики'!AM616*'01_Вводные'!$B$75</f>
        <v/>
      </c>
      <c r="AN618">
        <f>'19_Расчет_аналитики'!AN616*'01_Вводные'!$B$75</f>
        <v/>
      </c>
      <c r="AO618">
        <f>'19_Расчет_аналитики'!AO616*'01_Вводные'!$B$75</f>
        <v/>
      </c>
      <c r="AP618">
        <f>'19_Расчет_аналитики'!AP616*'01_Вводные'!$B$75</f>
        <v/>
      </c>
      <c r="AQ618">
        <f>'19_Расчет_аналитики'!AQ616*'01_Вводные'!$B$75</f>
        <v/>
      </c>
      <c r="AR618">
        <f>'19_Расчет_аналитики'!AR616*'01_Вводные'!$B$75</f>
        <v/>
      </c>
      <c r="AS618">
        <f>'19_Расчет_аналитики'!AS616*'01_Вводные'!$B$75</f>
        <v/>
      </c>
      <c r="AT618">
        <f>'19_Расчет_аналитики'!AT616*'01_Вводные'!$B$75</f>
        <v/>
      </c>
      <c r="AU618">
        <f>'19_Расчет_аналитики'!AU616*'01_Вводные'!$B$75</f>
        <v/>
      </c>
      <c r="AV618">
        <f>'19_Расчет_аналитики'!AV616*'01_Вводные'!$B$75</f>
        <v/>
      </c>
      <c r="AW618">
        <f>'19_Расчет_аналитики'!AW616*'01_Вводные'!$B$75</f>
        <v/>
      </c>
      <c r="AX618">
        <f>'19_Расчет_аналитики'!AX616*'01_Вводные'!$B$75</f>
        <v/>
      </c>
      <c r="AY618">
        <f>'19_Расчет_аналитики'!AY616*'01_Вводные'!$B$75</f>
        <v/>
      </c>
      <c r="AZ618">
        <f>'19_Расчет_аналитики'!AZ616*'01_Вводные'!$B$75</f>
        <v/>
      </c>
      <c r="BA618">
        <f>'19_Расчет_аналитики'!BA616*'01_Вводные'!$B$75</f>
        <v/>
      </c>
      <c r="BB618">
        <f>'19_Расчет_аналитики'!BB616*'01_Вводные'!$B$75</f>
        <v/>
      </c>
      <c r="BC618">
        <f>'19_Расчет_аналитики'!BC616*'01_Вводные'!$B$75</f>
        <v/>
      </c>
      <c r="BD618">
        <f>'19_Расчет_аналитики'!BD616*'01_Вводные'!$B$75</f>
        <v/>
      </c>
      <c r="BE618">
        <f>'19_Расчет_аналитики'!BE616*'01_Вводные'!$B$75</f>
        <v/>
      </c>
      <c r="BF618">
        <f>'19_Расчет_аналитики'!BF616*'01_Вводные'!$B$75</f>
        <v/>
      </c>
      <c r="BG618">
        <f>'19_Расчет_аналитики'!BG616*'01_Вводные'!$B$75</f>
        <v/>
      </c>
      <c r="BH618">
        <f>'19_Расчет_аналитики'!BH616*'01_Вводные'!$B$75</f>
        <v/>
      </c>
      <c r="BI618">
        <f>'19_Расчет_аналитики'!BI616*'01_Вводные'!$B$75</f>
        <v/>
      </c>
      <c r="BJ618">
        <f>'19_Расчет_аналитики'!BJ616*'01_Вводные'!$B$75</f>
        <v/>
      </c>
      <c r="BK618">
        <f>'19_Расчет_аналитики'!BK616*'01_Вводные'!$B$75</f>
        <v/>
      </c>
      <c r="BL618">
        <f>'19_Расчет_аналитики'!BL616*'01_Вводные'!$B$75</f>
        <v/>
      </c>
      <c r="BM618">
        <f>'19_Расчет_аналитики'!BM616*'01_Вводные'!$B$75</f>
        <v/>
      </c>
      <c r="BN618">
        <f>'19_Расчет_аналитики'!BN616*'01_Вводные'!$B$75</f>
        <v/>
      </c>
      <c r="BO618">
        <f>'19_Расчет_аналитики'!BO616*'01_Вводные'!$B$75</f>
        <v/>
      </c>
    </row>
    <row r="619">
      <c r="B619">
        <f>MAX(0,'19_Расчет_аналитики'!B616-'19_Расчет_аналитики'!B617-'19_Расчет_аналитики'!B618)</f>
        <v/>
      </c>
      <c r="C619">
        <f>MAX(0,'19_Расчет_аналитики'!C616-'19_Расчет_аналитики'!C617-'19_Расчет_аналитики'!C618)</f>
        <v/>
      </c>
      <c r="D619">
        <f>MAX(0,'19_Расчет_аналитики'!D616-'19_Расчет_аналитики'!D617-'19_Расчет_аналитики'!D618)</f>
        <v/>
      </c>
      <c r="E619">
        <f>MAX(0,'19_Расчет_аналитики'!E616-'19_Расчет_аналитики'!E617-'19_Расчет_аналитики'!E618)</f>
        <v/>
      </c>
      <c r="F619">
        <f>MAX(0,'19_Расчет_аналитики'!F616-'19_Расчет_аналитики'!F617-'19_Расчет_аналитики'!F618)</f>
        <v/>
      </c>
      <c r="G619">
        <f>MAX(0,'19_Расчет_аналитики'!G616-'19_Расчет_аналитики'!G617-'19_Расчет_аналитики'!G618)</f>
        <v/>
      </c>
      <c r="H619">
        <f>MAX(0,'19_Расчет_аналитики'!H616-'19_Расчет_аналитики'!H617-'19_Расчет_аналитики'!H618)</f>
        <v/>
      </c>
      <c r="I619">
        <f>MAX(0,'19_Расчет_аналитики'!I616-'19_Расчет_аналитики'!I617-'19_Расчет_аналитики'!I618)</f>
        <v/>
      </c>
      <c r="J619">
        <f>MAX(0,'19_Расчет_аналитики'!J616-'19_Расчет_аналитики'!J617-'19_Расчет_аналитики'!J618)</f>
        <v/>
      </c>
      <c r="K619">
        <f>MAX(0,'19_Расчет_аналитики'!K616-'19_Расчет_аналитики'!K617-'19_Расчет_аналитики'!K618)</f>
        <v/>
      </c>
      <c r="L619">
        <f>MAX(0,'19_Расчет_аналитики'!L616-'19_Расчет_аналитики'!L617-'19_Расчет_аналитики'!L618)</f>
        <v/>
      </c>
      <c r="M619">
        <f>MAX(0,'19_Расчет_аналитики'!M616-'19_Расчет_аналитики'!M617-'19_Расчет_аналитики'!M618)</f>
        <v/>
      </c>
      <c r="N619">
        <f>MAX(0,'19_Расчет_аналитики'!N616-'19_Расчет_аналитики'!N617-'19_Расчет_аналитики'!N618)</f>
        <v/>
      </c>
      <c r="O619">
        <f>MAX(0,'19_Расчет_аналитики'!O616-'19_Расчет_аналитики'!O617-'19_Расчет_аналитики'!O618)</f>
        <v/>
      </c>
      <c r="P619">
        <f>MAX(0,'19_Расчет_аналитики'!P616-'19_Расчет_аналитики'!P617-'19_Расчет_аналитики'!P618)</f>
        <v/>
      </c>
      <c r="Q619">
        <f>MAX(0,'19_Расчет_аналитики'!Q616-'19_Расчет_аналитики'!Q617-'19_Расчет_аналитики'!Q618)</f>
        <v/>
      </c>
      <c r="R619">
        <f>MAX(0,'19_Расчет_аналитики'!R616-'19_Расчет_аналитики'!R617-'19_Расчет_аналитики'!R618)</f>
        <v/>
      </c>
      <c r="S619">
        <f>MAX(0,'19_Расчет_аналитики'!S616-'19_Расчет_аналитики'!S617-'19_Расчет_аналитики'!S618)</f>
        <v/>
      </c>
      <c r="T619">
        <f>MAX(0,'19_Расчет_аналитики'!T616-'19_Расчет_аналитики'!T617-'19_Расчет_аналитики'!T618)</f>
        <v/>
      </c>
      <c r="U619">
        <f>MAX(0,'19_Расчет_аналитики'!U616-'19_Расчет_аналитики'!U617-'19_Расчет_аналитики'!U618)</f>
        <v/>
      </c>
      <c r="V619">
        <f>MAX(0,'19_Расчет_аналитики'!V616-'19_Расчет_аналитики'!V617-'19_Расчет_аналитики'!V618)</f>
        <v/>
      </c>
      <c r="W619">
        <f>MAX(0,'19_Расчет_аналитики'!W616-'19_Расчет_аналитики'!W617-'19_Расчет_аналитики'!W618)</f>
        <v/>
      </c>
      <c r="X619">
        <f>MAX(0,'19_Расчет_аналитики'!X616-'19_Расчет_аналитики'!X617-'19_Расчет_аналитики'!X618)</f>
        <v/>
      </c>
      <c r="Y619">
        <f>MAX(0,'19_Расчет_аналитики'!Y616-'19_Расчет_аналитики'!Y617-'19_Расчет_аналитики'!Y618)</f>
        <v/>
      </c>
      <c r="Z619">
        <f>MAX(0,'19_Расчет_аналитики'!Z616-'19_Расчет_аналитики'!Z617-'19_Расчет_аналитики'!Z618)</f>
        <v/>
      </c>
      <c r="AA619">
        <f>MAX(0,'19_Расчет_аналитики'!AA616-'19_Расчет_аналитики'!AA617-'19_Расчет_аналитики'!AA618)</f>
        <v/>
      </c>
      <c r="AB619">
        <f>MAX(0,'19_Расчет_аналитики'!AB616-'19_Расчет_аналитики'!AB617-'19_Расчет_аналитики'!AB618)</f>
        <v/>
      </c>
      <c r="AC619">
        <f>MAX(0,'19_Расчет_аналитики'!AC616-'19_Расчет_аналитики'!AC617-'19_Расчет_аналитики'!AC618)</f>
        <v/>
      </c>
      <c r="AD619">
        <f>MAX(0,'19_Расчет_аналитики'!AD616-'19_Расчет_аналитики'!AD617-'19_Расчет_аналитики'!AD618)</f>
        <v/>
      </c>
      <c r="AE619">
        <f>MAX(0,'19_Расчет_аналитики'!AE616-'19_Расчет_аналитики'!AE617-'19_Расчет_аналитики'!AE618)</f>
        <v/>
      </c>
      <c r="AF619">
        <f>MAX(0,'19_Расчет_аналитики'!AF616-'19_Расчет_аналитики'!AF617-'19_Расчет_аналитики'!AF618)</f>
        <v/>
      </c>
      <c r="AG619">
        <f>MAX(0,'19_Расчет_аналитики'!AG616-'19_Расчет_аналитики'!AG617-'19_Расчет_аналитики'!AG618)</f>
        <v/>
      </c>
      <c r="AH619">
        <f>MAX(0,'19_Расчет_аналитики'!AH616-'19_Расчет_аналитики'!AH617-'19_Расчет_аналитики'!AH618)</f>
        <v/>
      </c>
      <c r="AI619">
        <f>MAX(0,'19_Расчет_аналитики'!AI616-'19_Расчет_аналитики'!AI617-'19_Расчет_аналитики'!AI618)</f>
        <v/>
      </c>
      <c r="AJ619">
        <f>MAX(0,'19_Расчет_аналитики'!AJ616-'19_Расчет_аналитики'!AJ617-'19_Расчет_аналитики'!AJ618)</f>
        <v/>
      </c>
      <c r="AK619">
        <f>MAX(0,'19_Расчет_аналитики'!AK616-'19_Расчет_аналитики'!AK617-'19_Расчет_аналитики'!AK618)</f>
        <v/>
      </c>
      <c r="AL619">
        <f>MAX(0,'19_Расчет_аналитики'!AL616-'19_Расчет_аналитики'!AL617-'19_Расчет_аналитики'!AL618)</f>
        <v/>
      </c>
      <c r="AM619">
        <f>MAX(0,'19_Расчет_аналитики'!AM616-'19_Расчет_аналитики'!AM617-'19_Расчет_аналитики'!AM618)</f>
        <v/>
      </c>
      <c r="AN619">
        <f>MAX(0,'19_Расчет_аналитики'!AN616-'19_Расчет_аналитики'!AN617-'19_Расчет_аналитики'!AN618)</f>
        <v/>
      </c>
      <c r="AO619">
        <f>MAX(0,'19_Расчет_аналитики'!AO616-'19_Расчет_аналитики'!AO617-'19_Расчет_аналитики'!AO618)</f>
        <v/>
      </c>
      <c r="AP619">
        <f>MAX(0,'19_Расчет_аналитики'!AP616-'19_Расчет_аналитики'!AP617-'19_Расчет_аналитики'!AP618)</f>
        <v/>
      </c>
      <c r="AQ619">
        <f>MAX(0,'19_Расчет_аналитики'!AQ616-'19_Расчет_аналитики'!AQ617-'19_Расчет_аналитики'!AQ618)</f>
        <v/>
      </c>
      <c r="AR619">
        <f>MAX(0,'19_Расчет_аналитики'!AR616-'19_Расчет_аналитики'!AR617-'19_Расчет_аналитики'!AR618)</f>
        <v/>
      </c>
      <c r="AS619">
        <f>MAX(0,'19_Расчет_аналитики'!AS616-'19_Расчет_аналитики'!AS617-'19_Расчет_аналитики'!AS618)</f>
        <v/>
      </c>
      <c r="AT619">
        <f>MAX(0,'19_Расчет_аналитики'!AT616-'19_Расчет_аналитики'!AT617-'19_Расчет_аналитики'!AT618)</f>
        <v/>
      </c>
      <c r="AU619">
        <f>MAX(0,'19_Расчет_аналитики'!AU616-'19_Расчет_аналитики'!AU617-'19_Расчет_аналитики'!AU618)</f>
        <v/>
      </c>
      <c r="AV619">
        <f>MAX(0,'19_Расчет_аналитики'!AV616-'19_Расчет_аналитики'!AV617-'19_Расчет_аналитики'!AV618)</f>
        <v/>
      </c>
      <c r="AW619">
        <f>MAX(0,'19_Расчет_аналитики'!AW616-'19_Расчет_аналитики'!AW617-'19_Расчет_аналитики'!AW618)</f>
        <v/>
      </c>
      <c r="AX619">
        <f>MAX(0,'19_Расчет_аналитики'!AX616-'19_Расчет_аналитики'!AX617-'19_Расчет_аналитики'!AX618)</f>
        <v/>
      </c>
      <c r="AY619">
        <f>MAX(0,'19_Расчет_аналитики'!AY616-'19_Расчет_аналитики'!AY617-'19_Расчет_аналитики'!AY618)</f>
        <v/>
      </c>
      <c r="AZ619">
        <f>MAX(0,'19_Расчет_аналитики'!AZ616-'19_Расчет_аналитики'!AZ617-'19_Расчет_аналитики'!AZ618)</f>
        <v/>
      </c>
      <c r="BA619">
        <f>MAX(0,'19_Расчет_аналитики'!BA616-'19_Расчет_аналитики'!BA617-'19_Расчет_аналитики'!BA618)</f>
        <v/>
      </c>
      <c r="BB619">
        <f>MAX(0,'19_Расчет_аналитики'!BB616-'19_Расчет_аналитики'!BB617-'19_Расчет_аналитики'!BB618)</f>
        <v/>
      </c>
      <c r="BC619">
        <f>MAX(0,'19_Расчет_аналитики'!BC616-'19_Расчет_аналитики'!BC617-'19_Расчет_аналитики'!BC618)</f>
        <v/>
      </c>
      <c r="BD619">
        <f>MAX(0,'19_Расчет_аналитики'!BD616-'19_Расчет_аналитики'!BD617-'19_Расчет_аналитики'!BD618)</f>
        <v/>
      </c>
      <c r="BE619">
        <f>MAX(0,'19_Расчет_аналитики'!BE616-'19_Расчет_аналитики'!BE617-'19_Расчет_аналитики'!BE618)</f>
        <v/>
      </c>
      <c r="BF619">
        <f>MAX(0,'19_Расчет_аналитики'!BF616-'19_Расчет_аналитики'!BF617-'19_Расчет_аналитики'!BF618)</f>
        <v/>
      </c>
      <c r="BG619">
        <f>MAX(0,'19_Расчет_аналитики'!BG616-'19_Расчет_аналитики'!BG617-'19_Расчет_аналитики'!BG618)</f>
        <v/>
      </c>
      <c r="BH619">
        <f>MAX(0,'19_Расчет_аналитики'!BH616-'19_Расчет_аналитики'!BH617-'19_Расчет_аналитики'!BH618)</f>
        <v/>
      </c>
      <c r="BI619">
        <f>MAX(0,'19_Расчет_аналитики'!BI616-'19_Расчет_аналитики'!BI617-'19_Расчет_аналитики'!BI618)</f>
        <v/>
      </c>
      <c r="BJ619">
        <f>MAX(0,'19_Расчет_аналитики'!BJ616-'19_Расчет_аналитики'!BJ617-'19_Расчет_аналитики'!BJ618)</f>
        <v/>
      </c>
      <c r="BK619">
        <f>MAX(0,'19_Расчет_аналитики'!BK616-'19_Расчет_аналитики'!BK617-'19_Расчет_аналитики'!BK618)</f>
        <v/>
      </c>
      <c r="BL619">
        <f>MAX(0,'19_Расчет_аналитики'!BL616-'19_Расчет_аналитики'!BL617-'19_Расчет_аналитики'!BL618)</f>
        <v/>
      </c>
      <c r="BM619">
        <f>MAX(0,'19_Расчет_аналитики'!BM616-'19_Расчет_аналитики'!BM617-'19_Расчет_аналитики'!BM618)</f>
        <v/>
      </c>
      <c r="BN619">
        <f>MAX(0,'19_Расчет_аналитики'!BN616-'19_Расчет_аналитики'!BN617-'19_Расчет_аналитики'!BN618)</f>
        <v/>
      </c>
      <c r="BO619">
        <f>MAX(0,'19_Расчет_аналитики'!BO616-'19_Расчет_аналитики'!BO617-'19_Расчет_аналитики'!BO618)</f>
        <v/>
      </c>
    </row>
    <row r="620">
      <c r="B620">
        <f>'19_Расчет_аналитики'!B619*'01_Вводные'!$B$76</f>
        <v/>
      </c>
      <c r="C620">
        <f>'19_Расчет_аналитики'!C619*'01_Вводные'!$B$76</f>
        <v/>
      </c>
      <c r="D620">
        <f>'19_Расчет_аналитики'!D619*'01_Вводные'!$B$76</f>
        <v/>
      </c>
      <c r="E620">
        <f>'19_Расчет_аналитики'!E619*'01_Вводные'!$B$76</f>
        <v/>
      </c>
      <c r="F620">
        <f>'19_Расчет_аналитики'!F619*'01_Вводные'!$B$76</f>
        <v/>
      </c>
      <c r="G620">
        <f>'19_Расчет_аналитики'!G619*'01_Вводные'!$B$76</f>
        <v/>
      </c>
      <c r="H620">
        <f>'19_Расчет_аналитики'!H619*'01_Вводные'!$B$76</f>
        <v/>
      </c>
      <c r="I620">
        <f>'19_Расчет_аналитики'!I619*'01_Вводные'!$B$76</f>
        <v/>
      </c>
      <c r="J620">
        <f>'19_Расчет_аналитики'!J619*'01_Вводные'!$B$76</f>
        <v/>
      </c>
      <c r="K620">
        <f>'19_Расчет_аналитики'!K619*'01_Вводные'!$B$76</f>
        <v/>
      </c>
      <c r="L620">
        <f>'19_Расчет_аналитики'!L619*'01_Вводные'!$B$76</f>
        <v/>
      </c>
      <c r="M620">
        <f>'19_Расчет_аналитики'!M619*'01_Вводные'!$B$76</f>
        <v/>
      </c>
      <c r="N620">
        <f>'19_Расчет_аналитики'!N619*'01_Вводные'!$B$76</f>
        <v/>
      </c>
      <c r="O620">
        <f>'19_Расчет_аналитики'!O619*'01_Вводные'!$B$76</f>
        <v/>
      </c>
      <c r="P620">
        <f>'19_Расчет_аналитики'!P619*'01_Вводные'!$B$76</f>
        <v/>
      </c>
      <c r="Q620">
        <f>'19_Расчет_аналитики'!Q619*'01_Вводные'!$B$76</f>
        <v/>
      </c>
      <c r="R620">
        <f>'19_Расчет_аналитики'!R619*'01_Вводные'!$B$76</f>
        <v/>
      </c>
      <c r="S620">
        <f>'19_Расчет_аналитики'!S619*'01_Вводные'!$B$76</f>
        <v/>
      </c>
      <c r="T620">
        <f>'19_Расчет_аналитики'!T619*'01_Вводные'!$B$76</f>
        <v/>
      </c>
      <c r="U620">
        <f>'19_Расчет_аналитики'!U619*'01_Вводные'!$B$76</f>
        <v/>
      </c>
      <c r="V620">
        <f>'19_Расчет_аналитики'!V619*'01_Вводные'!$B$76</f>
        <v/>
      </c>
      <c r="W620">
        <f>'19_Расчет_аналитики'!W619*'01_Вводные'!$B$76</f>
        <v/>
      </c>
      <c r="X620">
        <f>'19_Расчет_аналитики'!X619*'01_Вводные'!$B$76</f>
        <v/>
      </c>
      <c r="Y620">
        <f>'19_Расчет_аналитики'!Y619*'01_Вводные'!$B$76</f>
        <v/>
      </c>
      <c r="Z620">
        <f>'19_Расчет_аналитики'!Z619*'01_Вводные'!$B$76</f>
        <v/>
      </c>
      <c r="AA620">
        <f>'19_Расчет_аналитики'!AA619*'01_Вводные'!$B$76</f>
        <v/>
      </c>
      <c r="AB620">
        <f>'19_Расчет_аналитики'!AB619*'01_Вводные'!$B$76</f>
        <v/>
      </c>
      <c r="AC620">
        <f>'19_Расчет_аналитики'!AC619*'01_Вводные'!$B$76</f>
        <v/>
      </c>
      <c r="AD620">
        <f>'19_Расчет_аналитики'!AD619*'01_Вводные'!$B$76</f>
        <v/>
      </c>
      <c r="AE620">
        <f>'19_Расчет_аналитики'!AE619*'01_Вводные'!$B$76</f>
        <v/>
      </c>
      <c r="AF620">
        <f>'19_Расчет_аналитики'!AF619*'01_Вводные'!$B$76</f>
        <v/>
      </c>
      <c r="AG620">
        <f>'19_Расчет_аналитики'!AG619*'01_Вводные'!$B$76</f>
        <v/>
      </c>
      <c r="AH620">
        <f>'19_Расчет_аналитики'!AH619*'01_Вводные'!$B$76</f>
        <v/>
      </c>
      <c r="AI620">
        <f>'19_Расчет_аналитики'!AI619*'01_Вводные'!$B$76</f>
        <v/>
      </c>
      <c r="AJ620">
        <f>'19_Расчет_аналитики'!AJ619*'01_Вводные'!$B$76</f>
        <v/>
      </c>
      <c r="AK620">
        <f>'19_Расчет_аналитики'!AK619*'01_Вводные'!$B$76</f>
        <v/>
      </c>
      <c r="AL620">
        <f>'19_Расчет_аналитики'!AL619*'01_Вводные'!$B$76</f>
        <v/>
      </c>
      <c r="AM620">
        <f>'19_Расчет_аналитики'!AM619*'01_Вводные'!$B$76</f>
        <v/>
      </c>
      <c r="AN620">
        <f>'19_Расчет_аналитики'!AN619*'01_Вводные'!$B$76</f>
        <v/>
      </c>
      <c r="AO620">
        <f>'19_Расчет_аналитики'!AO619*'01_Вводные'!$B$76</f>
        <v/>
      </c>
      <c r="AP620">
        <f>'19_Расчет_аналитики'!AP619*'01_Вводные'!$B$76</f>
        <v/>
      </c>
      <c r="AQ620">
        <f>'19_Расчет_аналитики'!AQ619*'01_Вводные'!$B$76</f>
        <v/>
      </c>
      <c r="AR620">
        <f>'19_Расчет_аналитики'!AR619*'01_Вводные'!$B$76</f>
        <v/>
      </c>
      <c r="AS620">
        <f>'19_Расчет_аналитики'!AS619*'01_Вводные'!$B$76</f>
        <v/>
      </c>
      <c r="AT620">
        <f>'19_Расчет_аналитики'!AT619*'01_Вводные'!$B$76</f>
        <v/>
      </c>
      <c r="AU620">
        <f>'19_Расчет_аналитики'!AU619*'01_Вводные'!$B$76</f>
        <v/>
      </c>
      <c r="AV620">
        <f>'19_Расчет_аналитики'!AV619*'01_Вводные'!$B$76</f>
        <v/>
      </c>
      <c r="AW620">
        <f>'19_Расчет_аналитики'!AW619*'01_Вводные'!$B$76</f>
        <v/>
      </c>
      <c r="AX620">
        <f>'19_Расчет_аналитики'!AX619*'01_Вводные'!$B$76</f>
        <v/>
      </c>
      <c r="AY620">
        <f>'19_Расчет_аналитики'!AY619*'01_Вводные'!$B$76</f>
        <v/>
      </c>
      <c r="AZ620">
        <f>'19_Расчет_аналитики'!AZ619*'01_Вводные'!$B$76</f>
        <v/>
      </c>
      <c r="BA620">
        <f>'19_Расчет_аналитики'!BA619*'01_Вводные'!$B$76</f>
        <v/>
      </c>
      <c r="BB620">
        <f>'19_Расчет_аналитики'!BB619*'01_Вводные'!$B$76</f>
        <v/>
      </c>
      <c r="BC620">
        <f>'19_Расчет_аналитики'!BC619*'01_Вводные'!$B$76</f>
        <v/>
      </c>
      <c r="BD620">
        <f>'19_Расчет_аналитики'!BD619*'01_Вводные'!$B$76</f>
        <v/>
      </c>
      <c r="BE620">
        <f>'19_Расчет_аналитики'!BE619*'01_Вводные'!$B$76</f>
        <v/>
      </c>
      <c r="BF620">
        <f>'19_Расчет_аналитики'!BF619*'01_Вводные'!$B$76</f>
        <v/>
      </c>
      <c r="BG620">
        <f>'19_Расчет_аналитики'!BG619*'01_Вводные'!$B$76</f>
        <v/>
      </c>
      <c r="BH620">
        <f>'19_Расчет_аналитики'!BH619*'01_Вводные'!$B$76</f>
        <v/>
      </c>
      <c r="BI620">
        <f>'19_Расчет_аналитики'!BI619*'01_Вводные'!$B$76</f>
        <v/>
      </c>
      <c r="BJ620">
        <f>'19_Расчет_аналитики'!BJ619*'01_Вводные'!$B$76</f>
        <v/>
      </c>
      <c r="BK620">
        <f>'19_Расчет_аналитики'!BK619*'01_Вводные'!$B$76</f>
        <v/>
      </c>
      <c r="BL620">
        <f>'19_Расчет_аналитики'!BL619*'01_Вводные'!$B$76</f>
        <v/>
      </c>
      <c r="BM620">
        <f>'19_Расчет_аналитики'!BM619*'01_Вводные'!$B$76</f>
        <v/>
      </c>
      <c r="BN620">
        <f>'19_Расчет_аналитики'!BN619*'01_Вводные'!$B$76</f>
        <v/>
      </c>
      <c r="BO620">
        <f>'19_Расчет_аналитики'!BO619*'01_Вводные'!$B$76</f>
        <v/>
      </c>
    </row>
    <row r="621"/>
    <row r="622"/>
    <row r="623">
      <c r="C623">
        <f>'19_Расчет_аналитики'!B627</f>
        <v/>
      </c>
      <c r="D623">
        <f>'19_Расчет_аналитики'!C627</f>
        <v/>
      </c>
      <c r="E623">
        <f>'19_Расчет_аналитики'!D627</f>
        <v/>
      </c>
      <c r="F623">
        <f>'19_Расчет_аналитики'!E627</f>
        <v/>
      </c>
      <c r="G623">
        <f>'19_Расчет_аналитики'!F627</f>
        <v/>
      </c>
      <c r="H623">
        <f>'19_Расчет_аналитики'!G627</f>
        <v/>
      </c>
      <c r="I623">
        <f>'19_Расчет_аналитики'!H627</f>
        <v/>
      </c>
      <c r="J623">
        <f>'19_Расчет_аналитики'!I627</f>
        <v/>
      </c>
      <c r="K623">
        <f>'19_Расчет_аналитики'!J627</f>
        <v/>
      </c>
      <c r="L623">
        <f>'19_Расчет_аналитики'!K627</f>
        <v/>
      </c>
      <c r="M623">
        <f>'19_Расчет_аналитики'!L627</f>
        <v/>
      </c>
      <c r="N623">
        <f>'19_Расчет_аналитики'!M627</f>
        <v/>
      </c>
      <c r="O623">
        <f>'19_Расчет_аналитики'!N627</f>
        <v/>
      </c>
      <c r="P623">
        <f>'19_Расчет_аналитики'!O627</f>
        <v/>
      </c>
      <c r="Q623">
        <f>'19_Расчет_аналитики'!P627</f>
        <v/>
      </c>
      <c r="R623">
        <f>'19_Расчет_аналитики'!Q627</f>
        <v/>
      </c>
      <c r="S623">
        <f>'19_Расчет_аналитики'!R627</f>
        <v/>
      </c>
      <c r="T623">
        <f>'19_Расчет_аналитики'!S627</f>
        <v/>
      </c>
      <c r="U623">
        <f>'19_Расчет_аналитики'!T627</f>
        <v/>
      </c>
      <c r="V623">
        <f>'19_Расчет_аналитики'!U627</f>
        <v/>
      </c>
      <c r="W623">
        <f>'19_Расчет_аналитики'!V627</f>
        <v/>
      </c>
      <c r="X623">
        <f>'19_Расчет_аналитики'!W627</f>
        <v/>
      </c>
      <c r="Y623">
        <f>'19_Расчет_аналитики'!X627</f>
        <v/>
      </c>
      <c r="Z623">
        <f>'19_Расчет_аналитики'!Y627</f>
        <v/>
      </c>
      <c r="AA623">
        <f>'19_Расчет_аналитики'!Z627</f>
        <v/>
      </c>
      <c r="AB623">
        <f>'19_Расчет_аналитики'!AA627</f>
        <v/>
      </c>
      <c r="AC623">
        <f>'19_Расчет_аналитики'!AB627</f>
        <v/>
      </c>
      <c r="AD623">
        <f>'19_Расчет_аналитики'!AC627</f>
        <v/>
      </c>
      <c r="AE623">
        <f>'19_Расчет_аналитики'!AD627</f>
        <v/>
      </c>
      <c r="AF623">
        <f>'19_Расчет_аналитики'!AE627</f>
        <v/>
      </c>
      <c r="AG623">
        <f>'19_Расчет_аналитики'!AF627</f>
        <v/>
      </c>
      <c r="AH623">
        <f>'19_Расчет_аналитики'!AG627</f>
        <v/>
      </c>
      <c r="AI623">
        <f>'19_Расчет_аналитики'!AH627</f>
        <v/>
      </c>
      <c r="AJ623">
        <f>'19_Расчет_аналитики'!AI627</f>
        <v/>
      </c>
      <c r="AK623">
        <f>'19_Расчет_аналитики'!AJ627</f>
        <v/>
      </c>
      <c r="AL623">
        <f>'19_Расчет_аналитики'!AK627</f>
        <v/>
      </c>
      <c r="AM623">
        <f>'19_Расчет_аналитики'!AL627</f>
        <v/>
      </c>
      <c r="AN623">
        <f>'19_Расчет_аналитики'!AM627</f>
        <v/>
      </c>
      <c r="AO623">
        <f>'19_Расчет_аналитики'!AN627</f>
        <v/>
      </c>
      <c r="AP623">
        <f>'19_Расчет_аналитики'!AO627</f>
        <v/>
      </c>
      <c r="AQ623">
        <f>'19_Расчет_аналитики'!AP627</f>
        <v/>
      </c>
      <c r="AR623">
        <f>'19_Расчет_аналитики'!AQ627</f>
        <v/>
      </c>
      <c r="AS623">
        <f>'19_Расчет_аналитики'!AR627</f>
        <v/>
      </c>
      <c r="AT623">
        <f>'19_Расчет_аналитики'!AS627</f>
        <v/>
      </c>
      <c r="AU623">
        <f>'19_Расчет_аналитики'!AT627</f>
        <v/>
      </c>
      <c r="AV623">
        <f>'19_Расчет_аналитики'!AU627</f>
        <v/>
      </c>
      <c r="AW623">
        <f>'19_Расчет_аналитики'!AV627</f>
        <v/>
      </c>
      <c r="AX623">
        <f>'19_Расчет_аналитики'!AW627</f>
        <v/>
      </c>
      <c r="AY623">
        <f>'19_Расчет_аналитики'!AX627</f>
        <v/>
      </c>
      <c r="AZ623">
        <f>'19_Расчет_аналитики'!AY627</f>
        <v/>
      </c>
      <c r="BA623">
        <f>'19_Расчет_аналитики'!AZ627</f>
        <v/>
      </c>
      <c r="BB623">
        <f>'19_Расчет_аналитики'!BA627</f>
        <v/>
      </c>
      <c r="BC623">
        <f>'19_Расчет_аналитики'!BB627</f>
        <v/>
      </c>
      <c r="BD623">
        <f>'19_Расчет_аналитики'!BC627</f>
        <v/>
      </c>
      <c r="BE623">
        <f>'19_Расчет_аналитики'!BD627</f>
        <v/>
      </c>
      <c r="BF623">
        <f>'19_Расчет_аналитики'!BE627</f>
        <v/>
      </c>
      <c r="BG623">
        <f>'19_Расчет_аналитики'!BF627</f>
        <v/>
      </c>
      <c r="BH623">
        <f>'19_Расчет_аналитики'!BG627</f>
        <v/>
      </c>
      <c r="BI623">
        <f>'19_Расчет_аналитики'!BH627</f>
        <v/>
      </c>
      <c r="BJ623">
        <f>'19_Расчет_аналитики'!BI627</f>
        <v/>
      </c>
      <c r="BK623">
        <f>'19_Расчет_аналитики'!BJ627</f>
        <v/>
      </c>
      <c r="BL623">
        <f>'19_Расчет_аналитики'!BK627</f>
        <v/>
      </c>
      <c r="BM623">
        <f>'19_Расчет_аналитики'!BL627</f>
        <v/>
      </c>
      <c r="BN623">
        <f>'19_Расчет_аналитики'!BM627</f>
        <v/>
      </c>
      <c r="BO623">
        <f>'19_Расчет_аналитики'!BN627</f>
        <v/>
      </c>
    </row>
    <row r="624">
      <c r="B624">
        <f>'19_Расчет_аналитики'!B617</f>
        <v/>
      </c>
      <c r="C624">
        <f>'19_Расчет_аналитики'!C617</f>
        <v/>
      </c>
      <c r="D624">
        <f>'19_Расчет_аналитики'!D617</f>
        <v/>
      </c>
      <c r="E624">
        <f>'19_Расчет_аналитики'!E617</f>
        <v/>
      </c>
      <c r="F624">
        <f>'19_Расчет_аналитики'!F617</f>
        <v/>
      </c>
      <c r="G624">
        <f>'19_Расчет_аналитики'!G617</f>
        <v/>
      </c>
      <c r="H624">
        <f>'19_Расчет_аналитики'!H617</f>
        <v/>
      </c>
      <c r="I624">
        <f>'19_Расчет_аналитики'!I617</f>
        <v/>
      </c>
      <c r="J624">
        <f>'19_Расчет_аналитики'!J617</f>
        <v/>
      </c>
      <c r="K624">
        <f>'19_Расчет_аналитики'!K617</f>
        <v/>
      </c>
      <c r="L624">
        <f>'19_Расчет_аналитики'!L617</f>
        <v/>
      </c>
      <c r="M624">
        <f>'19_Расчет_аналитики'!M617</f>
        <v/>
      </c>
      <c r="N624">
        <f>'19_Расчет_аналитики'!N617</f>
        <v/>
      </c>
      <c r="O624">
        <f>'19_Расчет_аналитики'!O617</f>
        <v/>
      </c>
      <c r="P624">
        <f>'19_Расчет_аналитики'!P617</f>
        <v/>
      </c>
      <c r="Q624">
        <f>'19_Расчет_аналитики'!Q617</f>
        <v/>
      </c>
      <c r="R624">
        <f>'19_Расчет_аналитики'!R617</f>
        <v/>
      </c>
      <c r="S624">
        <f>'19_Расчет_аналитики'!S617</f>
        <v/>
      </c>
      <c r="T624">
        <f>'19_Расчет_аналитики'!T617</f>
        <v/>
      </c>
      <c r="U624">
        <f>'19_Расчет_аналитики'!U617</f>
        <v/>
      </c>
      <c r="V624">
        <f>'19_Расчет_аналитики'!V617</f>
        <v/>
      </c>
      <c r="W624">
        <f>'19_Расчет_аналитики'!W617</f>
        <v/>
      </c>
      <c r="X624">
        <f>'19_Расчет_аналитики'!X617</f>
        <v/>
      </c>
      <c r="Y624">
        <f>'19_Расчет_аналитики'!Y617</f>
        <v/>
      </c>
      <c r="Z624">
        <f>'19_Расчет_аналитики'!Z617</f>
        <v/>
      </c>
      <c r="AA624">
        <f>'19_Расчет_аналитики'!AA617</f>
        <v/>
      </c>
      <c r="AB624">
        <f>'19_Расчет_аналитики'!AB617</f>
        <v/>
      </c>
      <c r="AC624">
        <f>'19_Расчет_аналитики'!AC617</f>
        <v/>
      </c>
      <c r="AD624">
        <f>'19_Расчет_аналитики'!AD617</f>
        <v/>
      </c>
      <c r="AE624">
        <f>'19_Расчет_аналитики'!AE617</f>
        <v/>
      </c>
      <c r="AF624">
        <f>'19_Расчет_аналитики'!AF617</f>
        <v/>
      </c>
      <c r="AG624">
        <f>'19_Расчет_аналитики'!AG617</f>
        <v/>
      </c>
      <c r="AH624">
        <f>'19_Расчет_аналитики'!AH617</f>
        <v/>
      </c>
      <c r="AI624">
        <f>'19_Расчет_аналитики'!AI617</f>
        <v/>
      </c>
      <c r="AJ624">
        <f>'19_Расчет_аналитики'!AJ617</f>
        <v/>
      </c>
      <c r="AK624">
        <f>'19_Расчет_аналитики'!AK617</f>
        <v/>
      </c>
      <c r="AL624">
        <f>'19_Расчет_аналитики'!AL617</f>
        <v/>
      </c>
      <c r="AM624">
        <f>'19_Расчет_аналитики'!AM617</f>
        <v/>
      </c>
      <c r="AN624">
        <f>'19_Расчет_аналитики'!AN617</f>
        <v/>
      </c>
      <c r="AO624">
        <f>'19_Расчет_аналитики'!AO617</f>
        <v/>
      </c>
      <c r="AP624">
        <f>'19_Расчет_аналитики'!AP617</f>
        <v/>
      </c>
      <c r="AQ624">
        <f>'19_Расчет_аналитики'!AQ617</f>
        <v/>
      </c>
      <c r="AR624">
        <f>'19_Расчет_аналитики'!AR617</f>
        <v/>
      </c>
      <c r="AS624">
        <f>'19_Расчет_аналитики'!AS617</f>
        <v/>
      </c>
      <c r="AT624">
        <f>'19_Расчет_аналитики'!AT617</f>
        <v/>
      </c>
      <c r="AU624">
        <f>'19_Расчет_аналитики'!AU617</f>
        <v/>
      </c>
      <c r="AV624">
        <f>'19_Расчет_аналитики'!AV617</f>
        <v/>
      </c>
      <c r="AW624">
        <f>'19_Расчет_аналитики'!AW617</f>
        <v/>
      </c>
      <c r="AX624">
        <f>'19_Расчет_аналитики'!AX617</f>
        <v/>
      </c>
      <c r="AY624">
        <f>'19_Расчет_аналитики'!AY617</f>
        <v/>
      </c>
      <c r="AZ624">
        <f>'19_Расчет_аналитики'!AZ617</f>
        <v/>
      </c>
      <c r="BA624">
        <f>'19_Расчет_аналитики'!BA617</f>
        <v/>
      </c>
      <c r="BB624">
        <f>'19_Расчет_аналитики'!BB617</f>
        <v/>
      </c>
      <c r="BC624">
        <f>'19_Расчет_аналитики'!BC617</f>
        <v/>
      </c>
      <c r="BD624">
        <f>'19_Расчет_аналитики'!BD617</f>
        <v/>
      </c>
      <c r="BE624">
        <f>'19_Расчет_аналитики'!BE617</f>
        <v/>
      </c>
      <c r="BF624">
        <f>'19_Расчет_аналитики'!BF617</f>
        <v/>
      </c>
      <c r="BG624">
        <f>'19_Расчет_аналитики'!BG617</f>
        <v/>
      </c>
      <c r="BH624">
        <f>'19_Расчет_аналитики'!BH617</f>
        <v/>
      </c>
      <c r="BI624">
        <f>'19_Расчет_аналитики'!BI617</f>
        <v/>
      </c>
      <c r="BJ624">
        <f>'19_Расчет_аналитики'!BJ617</f>
        <v/>
      </c>
      <c r="BK624">
        <f>'19_Расчет_аналитики'!BK617</f>
        <v/>
      </c>
      <c r="BL624">
        <f>'19_Расчет_аналитики'!BL617</f>
        <v/>
      </c>
      <c r="BM624">
        <f>'19_Расчет_аналитики'!BM617</f>
        <v/>
      </c>
      <c r="BN624">
        <f>'19_Расчет_аналитики'!BN617</f>
        <v/>
      </c>
      <c r="BO624">
        <f>'19_Расчет_аналитики'!BO617</f>
        <v/>
      </c>
    </row>
    <row r="625">
      <c r="B625">
        <f>SUM(IF('01_Вводные'!$B$80&gt;=1,'19_Расчет_аналитики'!C617,0),IF('01_Вводные'!$B$80&gt;=2,'19_Расчет_аналитики'!D617,0),IF('01_Вводные'!$B$80&gt;=3,'19_Расчет_аналитики'!E617,0),IF('01_Вводные'!$B$80&gt;=4,'19_Расчет_аналитики'!F617,0),IF('01_Вводные'!$B$80&gt;=5,'19_Расчет_аналитики'!G617,0),IF('01_Вводные'!$B$80&gt;=6,'19_Расчет_аналитики'!H617,0))</f>
        <v/>
      </c>
      <c r="C625">
        <f>SUM(IF('01_Вводные'!$B$80&gt;=1,'19_Расчет_аналитики'!D617,0),IF('01_Вводные'!$B$80&gt;=2,'19_Расчет_аналитики'!E617,0),IF('01_Вводные'!$B$80&gt;=3,'19_Расчет_аналитики'!F617,0),IF('01_Вводные'!$B$80&gt;=4,'19_Расчет_аналитики'!G617,0),IF('01_Вводные'!$B$80&gt;=5,'19_Расчет_аналитики'!H617,0),IF('01_Вводные'!$B$80&gt;=6,'19_Расчет_аналитики'!I617,0))</f>
        <v/>
      </c>
      <c r="D625">
        <f>SUM(IF('01_Вводные'!$B$80&gt;=1,'19_Расчет_аналитики'!E617,0),IF('01_Вводные'!$B$80&gt;=2,'19_Расчет_аналитики'!F617,0),IF('01_Вводные'!$B$80&gt;=3,'19_Расчет_аналитики'!G617,0),IF('01_Вводные'!$B$80&gt;=4,'19_Расчет_аналитики'!H617,0),IF('01_Вводные'!$B$80&gt;=5,'19_Расчет_аналитики'!I617,0),IF('01_Вводные'!$B$80&gt;=6,'19_Расчет_аналитики'!J617,0))</f>
        <v/>
      </c>
      <c r="E625">
        <f>SUM(IF('01_Вводные'!$B$80&gt;=1,'19_Расчет_аналитики'!F617,0),IF('01_Вводные'!$B$80&gt;=2,'19_Расчет_аналитики'!G617,0),IF('01_Вводные'!$B$80&gt;=3,'19_Расчет_аналитики'!H617,0),IF('01_Вводные'!$B$80&gt;=4,'19_Расчет_аналитики'!I617,0),IF('01_Вводные'!$B$80&gt;=5,'19_Расчет_аналитики'!J617,0),IF('01_Вводные'!$B$80&gt;=6,'19_Расчет_аналитики'!K617,0))</f>
        <v/>
      </c>
      <c r="F625">
        <f>SUM(IF('01_Вводные'!$B$80&gt;=1,'19_Расчет_аналитики'!G617,0),IF('01_Вводные'!$B$80&gt;=2,'19_Расчет_аналитики'!H617,0),IF('01_Вводные'!$B$80&gt;=3,'19_Расчет_аналитики'!I617,0),IF('01_Вводные'!$B$80&gt;=4,'19_Расчет_аналитики'!J617,0),IF('01_Вводные'!$B$80&gt;=5,'19_Расчет_аналитики'!K617,0),IF('01_Вводные'!$B$80&gt;=6,'19_Расчет_аналитики'!L617,0))</f>
        <v/>
      </c>
      <c r="G625">
        <f>SUM(IF('01_Вводные'!$B$80&gt;=1,'19_Расчет_аналитики'!H617,0),IF('01_Вводные'!$B$80&gt;=2,'19_Расчет_аналитики'!I617,0),IF('01_Вводные'!$B$80&gt;=3,'19_Расчет_аналитики'!J617,0),IF('01_Вводные'!$B$80&gt;=4,'19_Расчет_аналитики'!K617,0),IF('01_Вводные'!$B$80&gt;=5,'19_Расчет_аналитики'!L617,0),IF('01_Вводные'!$B$80&gt;=6,'19_Расчет_аналитики'!M617,0))</f>
        <v/>
      </c>
      <c r="H625">
        <f>SUM(IF('01_Вводные'!$B$80&gt;=1,'19_Расчет_аналитики'!I617,0),IF('01_Вводные'!$B$80&gt;=2,'19_Расчет_аналитики'!J617,0),IF('01_Вводные'!$B$80&gt;=3,'19_Расчет_аналитики'!K617,0),IF('01_Вводные'!$B$80&gt;=4,'19_Расчет_аналитики'!L617,0),IF('01_Вводные'!$B$80&gt;=5,'19_Расчет_аналитики'!M617,0),IF('01_Вводные'!$B$80&gt;=6,'19_Расчет_аналитики'!N617,0))</f>
        <v/>
      </c>
      <c r="I625">
        <f>SUM(IF('01_Вводные'!$B$80&gt;=1,'19_Расчет_аналитики'!J617,0),IF('01_Вводные'!$B$80&gt;=2,'19_Расчет_аналитики'!K617,0),IF('01_Вводные'!$B$80&gt;=3,'19_Расчет_аналитики'!L617,0),IF('01_Вводные'!$B$80&gt;=4,'19_Расчет_аналитики'!M617,0),IF('01_Вводные'!$B$80&gt;=5,'19_Расчет_аналитики'!N617,0),IF('01_Вводные'!$B$80&gt;=6,'19_Расчет_аналитики'!O617,0))</f>
        <v/>
      </c>
      <c r="J625">
        <f>SUM(IF('01_Вводные'!$B$80&gt;=1,'19_Расчет_аналитики'!K617,0),IF('01_Вводные'!$B$80&gt;=2,'19_Расчет_аналитики'!L617,0),IF('01_Вводные'!$B$80&gt;=3,'19_Расчет_аналитики'!M617,0),IF('01_Вводные'!$B$80&gt;=4,'19_Расчет_аналитики'!N617,0),IF('01_Вводные'!$B$80&gt;=5,'19_Расчет_аналитики'!O617,0),IF('01_Вводные'!$B$80&gt;=6,'19_Расчет_аналитики'!P617,0))</f>
        <v/>
      </c>
      <c r="K625">
        <f>SUM(IF('01_Вводные'!$B$80&gt;=1,'19_Расчет_аналитики'!L617,0),IF('01_Вводные'!$B$80&gt;=2,'19_Расчет_аналитики'!M617,0),IF('01_Вводные'!$B$80&gt;=3,'19_Расчет_аналитики'!N617,0),IF('01_Вводные'!$B$80&gt;=4,'19_Расчет_аналитики'!O617,0),IF('01_Вводные'!$B$80&gt;=5,'19_Расчет_аналитики'!P617,0),IF('01_Вводные'!$B$80&gt;=6,'19_Расчет_аналитики'!Q617,0))</f>
        <v/>
      </c>
      <c r="L625">
        <f>SUM(IF('01_Вводные'!$B$80&gt;=1,'19_Расчет_аналитики'!M617,0),IF('01_Вводные'!$B$80&gt;=2,'19_Расчет_аналитики'!N617,0),IF('01_Вводные'!$B$80&gt;=3,'19_Расчет_аналитики'!O617,0),IF('01_Вводные'!$B$80&gt;=4,'19_Расчет_аналитики'!P617,0),IF('01_Вводные'!$B$80&gt;=5,'19_Расчет_аналитики'!Q617,0),IF('01_Вводные'!$B$80&gt;=6,'19_Расчет_аналитики'!R617,0))</f>
        <v/>
      </c>
      <c r="M625">
        <f>SUM(IF('01_Вводные'!$B$80&gt;=1,'19_Расчет_аналитики'!N617,0),IF('01_Вводные'!$B$80&gt;=2,'19_Расчет_аналитики'!O617,0),IF('01_Вводные'!$B$80&gt;=3,'19_Расчет_аналитики'!P617,0),IF('01_Вводные'!$B$80&gt;=4,'19_Расчет_аналитики'!Q617,0),IF('01_Вводные'!$B$80&gt;=5,'19_Расчет_аналитики'!R617,0),IF('01_Вводные'!$B$80&gt;=6,'19_Расчет_аналитики'!S617,0))</f>
        <v/>
      </c>
      <c r="N625">
        <f>SUM(IF('01_Вводные'!$B$80&gt;=1,'19_Расчет_аналитики'!O617,0),IF('01_Вводные'!$B$80&gt;=2,'19_Расчет_аналитики'!P617,0),IF('01_Вводные'!$B$80&gt;=3,'19_Расчет_аналитики'!Q617,0),IF('01_Вводные'!$B$80&gt;=4,'19_Расчет_аналитики'!R617,0),IF('01_Вводные'!$B$80&gt;=5,'19_Расчет_аналитики'!S617,0),IF('01_Вводные'!$B$80&gt;=6,'19_Расчет_аналитики'!T617,0))</f>
        <v/>
      </c>
      <c r="O625">
        <f>SUM(IF('01_Вводные'!$B$80&gt;=1,'19_Расчет_аналитики'!P617,0),IF('01_Вводные'!$B$80&gt;=2,'19_Расчет_аналитики'!Q617,0),IF('01_Вводные'!$B$80&gt;=3,'19_Расчет_аналитики'!R617,0),IF('01_Вводные'!$B$80&gt;=4,'19_Расчет_аналитики'!S617,0),IF('01_Вводные'!$B$80&gt;=5,'19_Расчет_аналитики'!T617,0),IF('01_Вводные'!$B$80&gt;=6,'19_Расчет_аналитики'!U617,0))</f>
        <v/>
      </c>
      <c r="P625">
        <f>SUM(IF('01_Вводные'!$B$80&gt;=1,'19_Расчет_аналитики'!Q617,0),IF('01_Вводные'!$B$80&gt;=2,'19_Расчет_аналитики'!R617,0),IF('01_Вводные'!$B$80&gt;=3,'19_Расчет_аналитики'!S617,0),IF('01_Вводные'!$B$80&gt;=4,'19_Расчет_аналитики'!T617,0),IF('01_Вводные'!$B$80&gt;=5,'19_Расчет_аналитики'!U617,0),IF('01_Вводные'!$B$80&gt;=6,'19_Расчет_аналитики'!V617,0))</f>
        <v/>
      </c>
      <c r="Q625">
        <f>SUM(IF('01_Вводные'!$B$80&gt;=1,'19_Расчет_аналитики'!R617,0),IF('01_Вводные'!$B$80&gt;=2,'19_Расчет_аналитики'!S617,0),IF('01_Вводные'!$B$80&gt;=3,'19_Расчет_аналитики'!T617,0),IF('01_Вводные'!$B$80&gt;=4,'19_Расчет_аналитики'!U617,0),IF('01_Вводные'!$B$80&gt;=5,'19_Расчет_аналитики'!V617,0),IF('01_Вводные'!$B$80&gt;=6,'19_Расчет_аналитики'!W617,0))</f>
        <v/>
      </c>
      <c r="R625">
        <f>SUM(IF('01_Вводные'!$B$80&gt;=1,'19_Расчет_аналитики'!S617,0),IF('01_Вводные'!$B$80&gt;=2,'19_Расчет_аналитики'!T617,0),IF('01_Вводные'!$B$80&gt;=3,'19_Расчет_аналитики'!U617,0),IF('01_Вводные'!$B$80&gt;=4,'19_Расчет_аналитики'!V617,0),IF('01_Вводные'!$B$80&gt;=5,'19_Расчет_аналитики'!W617,0),IF('01_Вводные'!$B$80&gt;=6,'19_Расчет_аналитики'!X617,0))</f>
        <v/>
      </c>
      <c r="S625">
        <f>SUM(IF('01_Вводные'!$B$80&gt;=1,'19_Расчет_аналитики'!T617,0),IF('01_Вводные'!$B$80&gt;=2,'19_Расчет_аналитики'!U617,0),IF('01_Вводные'!$B$80&gt;=3,'19_Расчет_аналитики'!V617,0),IF('01_Вводные'!$B$80&gt;=4,'19_Расчет_аналитики'!W617,0),IF('01_Вводные'!$B$80&gt;=5,'19_Расчет_аналитики'!X617,0),IF('01_Вводные'!$B$80&gt;=6,'19_Расчет_аналитики'!Y617,0))</f>
        <v/>
      </c>
      <c r="T625">
        <f>SUM(IF('01_Вводные'!$B$80&gt;=1,'19_Расчет_аналитики'!U617,0),IF('01_Вводные'!$B$80&gt;=2,'19_Расчет_аналитики'!V617,0),IF('01_Вводные'!$B$80&gt;=3,'19_Расчет_аналитики'!W617,0),IF('01_Вводные'!$B$80&gt;=4,'19_Расчет_аналитики'!X617,0),IF('01_Вводные'!$B$80&gt;=5,'19_Расчет_аналитики'!Y617,0),IF('01_Вводные'!$B$80&gt;=6,'19_Расчет_аналитики'!Z617,0))</f>
        <v/>
      </c>
      <c r="U625">
        <f>SUM(IF('01_Вводные'!$B$80&gt;=1,'19_Расчет_аналитики'!V617,0),IF('01_Вводные'!$B$80&gt;=2,'19_Расчет_аналитики'!W617,0),IF('01_Вводные'!$B$80&gt;=3,'19_Расчет_аналитики'!X617,0),IF('01_Вводные'!$B$80&gt;=4,'19_Расчет_аналитики'!Y617,0),IF('01_Вводные'!$B$80&gt;=5,'19_Расчет_аналитики'!Z617,0),IF('01_Вводные'!$B$80&gt;=6,'19_Расчет_аналитики'!AA617,0))</f>
        <v/>
      </c>
      <c r="V625">
        <f>SUM(IF('01_Вводные'!$B$80&gt;=1,'19_Расчет_аналитики'!W617,0),IF('01_Вводные'!$B$80&gt;=2,'19_Расчет_аналитики'!X617,0),IF('01_Вводные'!$B$80&gt;=3,'19_Расчет_аналитики'!Y617,0),IF('01_Вводные'!$B$80&gt;=4,'19_Расчет_аналитики'!Z617,0),IF('01_Вводные'!$B$80&gt;=5,'19_Расчет_аналитики'!AA617,0),IF('01_Вводные'!$B$80&gt;=6,'19_Расчет_аналитики'!AB617,0))</f>
        <v/>
      </c>
      <c r="W625">
        <f>SUM(IF('01_Вводные'!$B$80&gt;=1,'19_Расчет_аналитики'!X617,0),IF('01_Вводные'!$B$80&gt;=2,'19_Расчет_аналитики'!Y617,0),IF('01_Вводные'!$B$80&gt;=3,'19_Расчет_аналитики'!Z617,0),IF('01_Вводные'!$B$80&gt;=4,'19_Расчет_аналитики'!AA617,0),IF('01_Вводные'!$B$80&gt;=5,'19_Расчет_аналитики'!AB617,0),IF('01_Вводные'!$B$80&gt;=6,'19_Расчет_аналитики'!AC617,0))</f>
        <v/>
      </c>
      <c r="X625">
        <f>SUM(IF('01_Вводные'!$B$80&gt;=1,'19_Расчет_аналитики'!Y617,0),IF('01_Вводные'!$B$80&gt;=2,'19_Расчет_аналитики'!Z617,0),IF('01_Вводные'!$B$80&gt;=3,'19_Расчет_аналитики'!AA617,0),IF('01_Вводные'!$B$80&gt;=4,'19_Расчет_аналитики'!AB617,0),IF('01_Вводные'!$B$80&gt;=5,'19_Расчет_аналитики'!AC617,0),IF('01_Вводные'!$B$80&gt;=6,'19_Расчет_аналитики'!AD617,0))</f>
        <v/>
      </c>
      <c r="Y625">
        <f>SUM(IF('01_Вводные'!$B$80&gt;=1,'19_Расчет_аналитики'!Z617,0),IF('01_Вводные'!$B$80&gt;=2,'19_Расчет_аналитики'!AA617,0),IF('01_Вводные'!$B$80&gt;=3,'19_Расчет_аналитики'!AB617,0),IF('01_Вводные'!$B$80&gt;=4,'19_Расчет_аналитики'!AC617,0),IF('01_Вводные'!$B$80&gt;=5,'19_Расчет_аналитики'!AD617,0),IF('01_Вводные'!$B$80&gt;=6,'19_Расчет_аналитики'!AE617,0))</f>
        <v/>
      </c>
      <c r="Z625">
        <f>SUM(IF('01_Вводные'!$B$80&gt;=1,'19_Расчет_аналитики'!AA617,0),IF('01_Вводные'!$B$80&gt;=2,'19_Расчет_аналитики'!AB617,0),IF('01_Вводные'!$B$80&gt;=3,'19_Расчет_аналитики'!AC617,0),IF('01_Вводные'!$B$80&gt;=4,'19_Расчет_аналитики'!AD617,0),IF('01_Вводные'!$B$80&gt;=5,'19_Расчет_аналитики'!AE617,0),IF('01_Вводные'!$B$80&gt;=6,'19_Расчет_аналитики'!AF617,0))</f>
        <v/>
      </c>
      <c r="AA625">
        <f>SUM(IF('01_Вводные'!$B$80&gt;=1,'19_Расчет_аналитики'!AB617,0),IF('01_Вводные'!$B$80&gt;=2,'19_Расчет_аналитики'!AC617,0),IF('01_Вводные'!$B$80&gt;=3,'19_Расчет_аналитики'!AD617,0),IF('01_Вводные'!$B$80&gt;=4,'19_Расчет_аналитики'!AE617,0),IF('01_Вводные'!$B$80&gt;=5,'19_Расчет_аналитики'!AF617,0),IF('01_Вводные'!$B$80&gt;=6,'19_Расчет_аналитики'!AG617,0))</f>
        <v/>
      </c>
      <c r="AB625">
        <f>SUM(IF('01_Вводные'!$B$80&gt;=1,'19_Расчет_аналитики'!AC617,0),IF('01_Вводные'!$B$80&gt;=2,'19_Расчет_аналитики'!AD617,0),IF('01_Вводные'!$B$80&gt;=3,'19_Расчет_аналитики'!AE617,0),IF('01_Вводные'!$B$80&gt;=4,'19_Расчет_аналитики'!AF617,0),IF('01_Вводные'!$B$80&gt;=5,'19_Расчет_аналитики'!AG617,0),IF('01_Вводные'!$B$80&gt;=6,'19_Расчет_аналитики'!AH617,0))</f>
        <v/>
      </c>
      <c r="AC625">
        <f>SUM(IF('01_Вводные'!$B$80&gt;=1,'19_Расчет_аналитики'!AD617,0),IF('01_Вводные'!$B$80&gt;=2,'19_Расчет_аналитики'!AE617,0),IF('01_Вводные'!$B$80&gt;=3,'19_Расчет_аналитики'!AF617,0),IF('01_Вводные'!$B$80&gt;=4,'19_Расчет_аналитики'!AG617,0),IF('01_Вводные'!$B$80&gt;=5,'19_Расчет_аналитики'!AH617,0),IF('01_Вводные'!$B$80&gt;=6,'19_Расчет_аналитики'!AI617,0))</f>
        <v/>
      </c>
      <c r="AD625">
        <f>SUM(IF('01_Вводные'!$B$80&gt;=1,'19_Расчет_аналитики'!AE617,0),IF('01_Вводные'!$B$80&gt;=2,'19_Расчет_аналитики'!AF617,0),IF('01_Вводные'!$B$80&gt;=3,'19_Расчет_аналитики'!AG617,0),IF('01_Вводные'!$B$80&gt;=4,'19_Расчет_аналитики'!AH617,0),IF('01_Вводные'!$B$80&gt;=5,'19_Расчет_аналитики'!AI617,0),IF('01_Вводные'!$B$80&gt;=6,'19_Расчет_аналитики'!AJ617,0))</f>
        <v/>
      </c>
      <c r="AE625">
        <f>SUM(IF('01_Вводные'!$B$80&gt;=1,'19_Расчет_аналитики'!AF617,0),IF('01_Вводные'!$B$80&gt;=2,'19_Расчет_аналитики'!AG617,0),IF('01_Вводные'!$B$80&gt;=3,'19_Расчет_аналитики'!AH617,0),IF('01_Вводные'!$B$80&gt;=4,'19_Расчет_аналитики'!AI617,0),IF('01_Вводные'!$B$80&gt;=5,'19_Расчет_аналитики'!AJ617,0),IF('01_Вводные'!$B$80&gt;=6,'19_Расчет_аналитики'!AK617,0))</f>
        <v/>
      </c>
      <c r="AF625">
        <f>SUM(IF('01_Вводные'!$B$80&gt;=1,'19_Расчет_аналитики'!AG617,0),IF('01_Вводные'!$B$80&gt;=2,'19_Расчет_аналитики'!AH617,0),IF('01_Вводные'!$B$80&gt;=3,'19_Расчет_аналитики'!AI617,0),IF('01_Вводные'!$B$80&gt;=4,'19_Расчет_аналитики'!AJ617,0),IF('01_Вводные'!$B$80&gt;=5,'19_Расчет_аналитики'!AK617,0),IF('01_Вводные'!$B$80&gt;=6,'19_Расчет_аналитики'!AL617,0))</f>
        <v/>
      </c>
      <c r="AG625">
        <f>SUM(IF('01_Вводные'!$B$80&gt;=1,'19_Расчет_аналитики'!AH617,0),IF('01_Вводные'!$B$80&gt;=2,'19_Расчет_аналитики'!AI617,0),IF('01_Вводные'!$B$80&gt;=3,'19_Расчет_аналитики'!AJ617,0),IF('01_Вводные'!$B$80&gt;=4,'19_Расчет_аналитики'!AK617,0),IF('01_Вводные'!$B$80&gt;=5,'19_Расчет_аналитики'!AL617,0),IF('01_Вводные'!$B$80&gt;=6,'19_Расчет_аналитики'!AM617,0))</f>
        <v/>
      </c>
      <c r="AH625">
        <f>SUM(IF('01_Вводные'!$B$80&gt;=1,'19_Расчет_аналитики'!AI617,0),IF('01_Вводные'!$B$80&gt;=2,'19_Расчет_аналитики'!AJ617,0),IF('01_Вводные'!$B$80&gt;=3,'19_Расчет_аналитики'!AK617,0),IF('01_Вводные'!$B$80&gt;=4,'19_Расчет_аналитики'!AL617,0),IF('01_Вводные'!$B$80&gt;=5,'19_Расчет_аналитики'!AM617,0),IF('01_Вводные'!$B$80&gt;=6,'19_Расчет_аналитики'!AN617,0))</f>
        <v/>
      </c>
      <c r="AI625">
        <f>SUM(IF('01_Вводные'!$B$80&gt;=1,'19_Расчет_аналитики'!AJ617,0),IF('01_Вводные'!$B$80&gt;=2,'19_Расчет_аналитики'!AK617,0),IF('01_Вводные'!$B$80&gt;=3,'19_Расчет_аналитики'!AL617,0),IF('01_Вводные'!$B$80&gt;=4,'19_Расчет_аналитики'!AM617,0),IF('01_Вводные'!$B$80&gt;=5,'19_Расчет_аналитики'!AN617,0),IF('01_Вводные'!$B$80&gt;=6,'19_Расчет_аналитики'!AO617,0))</f>
        <v/>
      </c>
      <c r="AJ625">
        <f>SUM(IF('01_Вводные'!$B$80&gt;=1,'19_Расчет_аналитики'!AK617,0),IF('01_Вводные'!$B$80&gt;=2,'19_Расчет_аналитики'!AL617,0),IF('01_Вводные'!$B$80&gt;=3,'19_Расчет_аналитики'!AM617,0),IF('01_Вводные'!$B$80&gt;=4,'19_Расчет_аналитики'!AN617,0),IF('01_Вводные'!$B$80&gt;=5,'19_Расчет_аналитики'!AO617,0),IF('01_Вводные'!$B$80&gt;=6,'19_Расчет_аналитики'!AP617,0))</f>
        <v/>
      </c>
      <c r="AK625">
        <f>SUM(IF('01_Вводные'!$B$80&gt;=1,'19_Расчет_аналитики'!AL617,0),IF('01_Вводные'!$B$80&gt;=2,'19_Расчет_аналитики'!AM617,0),IF('01_Вводные'!$B$80&gt;=3,'19_Расчет_аналитики'!AN617,0),IF('01_Вводные'!$B$80&gt;=4,'19_Расчет_аналитики'!AO617,0),IF('01_Вводные'!$B$80&gt;=5,'19_Расчет_аналитики'!AP617,0),IF('01_Вводные'!$B$80&gt;=6,'19_Расчет_аналитики'!AQ617,0))</f>
        <v/>
      </c>
      <c r="AL625">
        <f>SUM(IF('01_Вводные'!$B$80&gt;=1,'19_Расчет_аналитики'!AM617,0),IF('01_Вводные'!$B$80&gt;=2,'19_Расчет_аналитики'!AN617,0),IF('01_Вводные'!$B$80&gt;=3,'19_Расчет_аналитики'!AO617,0),IF('01_Вводные'!$B$80&gt;=4,'19_Расчет_аналитики'!AP617,0),IF('01_Вводные'!$B$80&gt;=5,'19_Расчет_аналитики'!AQ617,0),IF('01_Вводные'!$B$80&gt;=6,'19_Расчет_аналитики'!AR617,0))</f>
        <v/>
      </c>
      <c r="AM625">
        <f>SUM(IF('01_Вводные'!$B$80&gt;=1,'19_Расчет_аналитики'!AN617,0),IF('01_Вводные'!$B$80&gt;=2,'19_Расчет_аналитики'!AO617,0),IF('01_Вводные'!$B$80&gt;=3,'19_Расчет_аналитики'!AP617,0),IF('01_Вводные'!$B$80&gt;=4,'19_Расчет_аналитики'!AQ617,0),IF('01_Вводные'!$B$80&gt;=5,'19_Расчет_аналитики'!AR617,0),IF('01_Вводные'!$B$80&gt;=6,'19_Расчет_аналитики'!AS617,0))</f>
        <v/>
      </c>
      <c r="AN625">
        <f>SUM(IF('01_Вводные'!$B$80&gt;=1,'19_Расчет_аналитики'!AO617,0),IF('01_Вводные'!$B$80&gt;=2,'19_Расчет_аналитики'!AP617,0),IF('01_Вводные'!$B$80&gt;=3,'19_Расчет_аналитики'!AQ617,0),IF('01_Вводные'!$B$80&gt;=4,'19_Расчет_аналитики'!AR617,0),IF('01_Вводные'!$B$80&gt;=5,'19_Расчет_аналитики'!AS617,0),IF('01_Вводные'!$B$80&gt;=6,'19_Расчет_аналитики'!AT617,0))</f>
        <v/>
      </c>
      <c r="AO625">
        <f>SUM(IF('01_Вводные'!$B$80&gt;=1,'19_Расчет_аналитики'!AP617,0),IF('01_Вводные'!$B$80&gt;=2,'19_Расчет_аналитики'!AQ617,0),IF('01_Вводные'!$B$80&gt;=3,'19_Расчет_аналитики'!AR617,0),IF('01_Вводные'!$B$80&gt;=4,'19_Расчет_аналитики'!AS617,0),IF('01_Вводные'!$B$80&gt;=5,'19_Расчет_аналитики'!AT617,0),IF('01_Вводные'!$B$80&gt;=6,'19_Расчет_аналитики'!AU617,0))</f>
        <v/>
      </c>
      <c r="AP625">
        <f>SUM(IF('01_Вводные'!$B$80&gt;=1,'19_Расчет_аналитики'!AQ617,0),IF('01_Вводные'!$B$80&gt;=2,'19_Расчет_аналитики'!AR617,0),IF('01_Вводные'!$B$80&gt;=3,'19_Расчет_аналитики'!AS617,0),IF('01_Вводные'!$B$80&gt;=4,'19_Расчет_аналитики'!AT617,0),IF('01_Вводные'!$B$80&gt;=5,'19_Расчет_аналитики'!AU617,0),IF('01_Вводные'!$B$80&gt;=6,'19_Расчет_аналитики'!AV617,0))</f>
        <v/>
      </c>
      <c r="AQ625">
        <f>SUM(IF('01_Вводные'!$B$80&gt;=1,'19_Расчет_аналитики'!AR617,0),IF('01_Вводные'!$B$80&gt;=2,'19_Расчет_аналитики'!AS617,0),IF('01_Вводные'!$B$80&gt;=3,'19_Расчет_аналитики'!AT617,0),IF('01_Вводные'!$B$80&gt;=4,'19_Расчет_аналитики'!AU617,0),IF('01_Вводные'!$B$80&gt;=5,'19_Расчет_аналитики'!AV617,0),IF('01_Вводные'!$B$80&gt;=6,'19_Расчет_аналитики'!AW617,0))</f>
        <v/>
      </c>
      <c r="AR625">
        <f>SUM(IF('01_Вводные'!$B$80&gt;=1,'19_Расчет_аналитики'!AS617,0),IF('01_Вводные'!$B$80&gt;=2,'19_Расчет_аналитики'!AT617,0),IF('01_Вводные'!$B$80&gt;=3,'19_Расчет_аналитики'!AU617,0),IF('01_Вводные'!$B$80&gt;=4,'19_Расчет_аналитики'!AV617,0),IF('01_Вводные'!$B$80&gt;=5,'19_Расчет_аналитики'!AW617,0),IF('01_Вводные'!$B$80&gt;=6,'19_Расчет_аналитики'!AX617,0))</f>
        <v/>
      </c>
      <c r="AS625">
        <f>SUM(IF('01_Вводные'!$B$80&gt;=1,'19_Расчет_аналитики'!AT617,0),IF('01_Вводные'!$B$80&gt;=2,'19_Расчет_аналитики'!AU617,0),IF('01_Вводные'!$B$80&gt;=3,'19_Расчет_аналитики'!AV617,0),IF('01_Вводные'!$B$80&gt;=4,'19_Расчет_аналитики'!AW617,0),IF('01_Вводные'!$B$80&gt;=5,'19_Расчет_аналитики'!AX617,0),IF('01_Вводные'!$B$80&gt;=6,'19_Расчет_аналитики'!AY617,0))</f>
        <v/>
      </c>
      <c r="AT625">
        <f>SUM(IF('01_Вводные'!$B$80&gt;=1,'19_Расчет_аналитики'!AU617,0),IF('01_Вводные'!$B$80&gt;=2,'19_Расчет_аналитики'!AV617,0),IF('01_Вводные'!$B$80&gt;=3,'19_Расчет_аналитики'!AW617,0),IF('01_Вводные'!$B$80&gt;=4,'19_Расчет_аналитики'!AX617,0),IF('01_Вводные'!$B$80&gt;=5,'19_Расчет_аналитики'!AY617,0),IF('01_Вводные'!$B$80&gt;=6,'19_Расчет_аналитики'!AZ617,0))</f>
        <v/>
      </c>
      <c r="AU625">
        <f>SUM(IF('01_Вводные'!$B$80&gt;=1,'19_Расчет_аналитики'!AV617,0),IF('01_Вводные'!$B$80&gt;=2,'19_Расчет_аналитики'!AW617,0),IF('01_Вводные'!$B$80&gt;=3,'19_Расчет_аналитики'!AX617,0),IF('01_Вводные'!$B$80&gt;=4,'19_Расчет_аналитики'!AY617,0),IF('01_Вводные'!$B$80&gt;=5,'19_Расчет_аналитики'!AZ617,0),IF('01_Вводные'!$B$80&gt;=6,'19_Расчет_аналитики'!BA617,0))</f>
        <v/>
      </c>
      <c r="AV625">
        <f>SUM(IF('01_Вводные'!$B$80&gt;=1,'19_Расчет_аналитики'!AW617,0),IF('01_Вводные'!$B$80&gt;=2,'19_Расчет_аналитики'!AX617,0),IF('01_Вводные'!$B$80&gt;=3,'19_Расчет_аналитики'!AY617,0),IF('01_Вводные'!$B$80&gt;=4,'19_Расчет_аналитики'!AZ617,0),IF('01_Вводные'!$B$80&gt;=5,'19_Расчет_аналитики'!BA617,0),IF('01_Вводные'!$B$80&gt;=6,'19_Расчет_аналитики'!BB617,0))</f>
        <v/>
      </c>
      <c r="AW625">
        <f>SUM(IF('01_Вводные'!$B$80&gt;=1,'19_Расчет_аналитики'!AX617,0),IF('01_Вводные'!$B$80&gt;=2,'19_Расчет_аналитики'!AY617,0),IF('01_Вводные'!$B$80&gt;=3,'19_Расчет_аналитики'!AZ617,0),IF('01_Вводные'!$B$80&gt;=4,'19_Расчет_аналитики'!BA617,0),IF('01_Вводные'!$B$80&gt;=5,'19_Расчет_аналитики'!BB617,0),IF('01_Вводные'!$B$80&gt;=6,'19_Расчет_аналитики'!BC617,0))</f>
        <v/>
      </c>
      <c r="AX625">
        <f>SUM(IF('01_Вводные'!$B$80&gt;=1,'19_Расчет_аналитики'!AY617,0),IF('01_Вводные'!$B$80&gt;=2,'19_Расчет_аналитики'!AZ617,0),IF('01_Вводные'!$B$80&gt;=3,'19_Расчет_аналитики'!BA617,0),IF('01_Вводные'!$B$80&gt;=4,'19_Расчет_аналитики'!BB617,0),IF('01_Вводные'!$B$80&gt;=5,'19_Расчет_аналитики'!BC617,0),IF('01_Вводные'!$B$80&gt;=6,'19_Расчет_аналитики'!BD617,0))</f>
        <v/>
      </c>
      <c r="AY625">
        <f>SUM(IF('01_Вводные'!$B$80&gt;=1,'19_Расчет_аналитики'!AZ617,0),IF('01_Вводные'!$B$80&gt;=2,'19_Расчет_аналитики'!BA617,0),IF('01_Вводные'!$B$80&gt;=3,'19_Расчет_аналитики'!BB617,0),IF('01_Вводные'!$B$80&gt;=4,'19_Расчет_аналитики'!BC617,0),IF('01_Вводные'!$B$80&gt;=5,'19_Расчет_аналитики'!BD617,0),IF('01_Вводные'!$B$80&gt;=6,'19_Расчет_аналитики'!BE617,0))</f>
        <v/>
      </c>
      <c r="AZ625">
        <f>SUM(IF('01_Вводные'!$B$80&gt;=1,'19_Расчет_аналитики'!BA617,0),IF('01_Вводные'!$B$80&gt;=2,'19_Расчет_аналитики'!BB617,0),IF('01_Вводные'!$B$80&gt;=3,'19_Расчет_аналитики'!BC617,0),IF('01_Вводные'!$B$80&gt;=4,'19_Расчет_аналитики'!BD617,0),IF('01_Вводные'!$B$80&gt;=5,'19_Расчет_аналитики'!BE617,0),IF('01_Вводные'!$B$80&gt;=6,'19_Расчет_аналитики'!BF617,0))</f>
        <v/>
      </c>
      <c r="BA625">
        <f>SUM(IF('01_Вводные'!$B$80&gt;=1,'19_Расчет_аналитики'!BB617,0),IF('01_Вводные'!$B$80&gt;=2,'19_Расчет_аналитики'!BC617,0),IF('01_Вводные'!$B$80&gt;=3,'19_Расчет_аналитики'!BD617,0),IF('01_Вводные'!$B$80&gt;=4,'19_Расчет_аналитики'!BE617,0),IF('01_Вводные'!$B$80&gt;=5,'19_Расчет_аналитики'!BF617,0),IF('01_Вводные'!$B$80&gt;=6,'19_Расчет_аналитики'!BG617,0))</f>
        <v/>
      </c>
      <c r="BB625">
        <f>SUM(IF('01_Вводные'!$B$80&gt;=1,'19_Расчет_аналитики'!BC617,0),IF('01_Вводные'!$B$80&gt;=2,'19_Расчет_аналитики'!BD617,0),IF('01_Вводные'!$B$80&gt;=3,'19_Расчет_аналитики'!BE617,0),IF('01_Вводные'!$B$80&gt;=4,'19_Расчет_аналитики'!BF617,0),IF('01_Вводные'!$B$80&gt;=5,'19_Расчет_аналитики'!BG617,0),IF('01_Вводные'!$B$80&gt;=6,'19_Расчет_аналитики'!BH617,0))</f>
        <v/>
      </c>
      <c r="BC625">
        <f>SUM(IF('01_Вводные'!$B$80&gt;=1,'19_Расчет_аналитики'!BD617,0),IF('01_Вводные'!$B$80&gt;=2,'19_Расчет_аналитики'!BE617,0),IF('01_Вводные'!$B$80&gt;=3,'19_Расчет_аналитики'!BF617,0),IF('01_Вводные'!$B$80&gt;=4,'19_Расчет_аналитики'!BG617,0),IF('01_Вводные'!$B$80&gt;=5,'19_Расчет_аналитики'!BH617,0),IF('01_Вводные'!$B$80&gt;=6,'19_Расчет_аналитики'!BI617,0))</f>
        <v/>
      </c>
      <c r="BD625">
        <f>SUM(IF('01_Вводные'!$B$80&gt;=1,'19_Расчет_аналитики'!BE617,0),IF('01_Вводные'!$B$80&gt;=2,'19_Расчет_аналитики'!BF617,0),IF('01_Вводные'!$B$80&gt;=3,'19_Расчет_аналитики'!BG617,0),IF('01_Вводные'!$B$80&gt;=4,'19_Расчет_аналитики'!BH617,0),IF('01_Вводные'!$B$80&gt;=5,'19_Расчет_аналитики'!BI617,0),IF('01_Вводные'!$B$80&gt;=6,'19_Расчет_аналитики'!BJ617,0))</f>
        <v/>
      </c>
      <c r="BE625">
        <f>SUM(IF('01_Вводные'!$B$80&gt;=1,'19_Расчет_аналитики'!BF617,0),IF('01_Вводные'!$B$80&gt;=2,'19_Расчет_аналитики'!BG617,0),IF('01_Вводные'!$B$80&gt;=3,'19_Расчет_аналитики'!BH617,0),IF('01_Вводные'!$B$80&gt;=4,'19_Расчет_аналитики'!BI617,0),IF('01_Вводные'!$B$80&gt;=5,'19_Расчет_аналитики'!BJ617,0),IF('01_Вводные'!$B$80&gt;=6,'19_Расчет_аналитики'!BK617,0))</f>
        <v/>
      </c>
      <c r="BF625">
        <f>SUM(IF('01_Вводные'!$B$80&gt;=1,'19_Расчет_аналитики'!BG617,0),IF('01_Вводные'!$B$80&gt;=2,'19_Расчет_аналитики'!BH617,0),IF('01_Вводные'!$B$80&gt;=3,'19_Расчет_аналитики'!BI617,0),IF('01_Вводные'!$B$80&gt;=4,'19_Расчет_аналитики'!BJ617,0),IF('01_Вводные'!$B$80&gt;=5,'19_Расчет_аналитики'!BK617,0),IF('01_Вводные'!$B$80&gt;=6,'19_Расчет_аналитики'!BL617,0))</f>
        <v/>
      </c>
      <c r="BG625">
        <f>SUM(IF('01_Вводные'!$B$80&gt;=1,'19_Расчет_аналитики'!BH617,0),IF('01_Вводные'!$B$80&gt;=2,'19_Расчет_аналитики'!BI617,0),IF('01_Вводные'!$B$80&gt;=3,'19_Расчет_аналитики'!BJ617,0),IF('01_Вводные'!$B$80&gt;=4,'19_Расчет_аналитики'!BK617,0),IF('01_Вводные'!$B$80&gt;=5,'19_Расчет_аналитики'!BL617,0),IF('01_Вводные'!$B$80&gt;=6,'19_Расчет_аналитики'!BM617,0))</f>
        <v/>
      </c>
      <c r="BH625">
        <f>SUM(IF('01_Вводные'!$B$80&gt;=1,'19_Расчет_аналитики'!BI617,0),IF('01_Вводные'!$B$80&gt;=2,'19_Расчет_аналитики'!BJ617,0),IF('01_Вводные'!$B$80&gt;=3,'19_Расчет_аналитики'!BK617,0),IF('01_Вводные'!$B$80&gt;=4,'19_Расчет_аналитики'!BL617,0),IF('01_Вводные'!$B$80&gt;=5,'19_Расчет_аналитики'!BM617,0),IF('01_Вводные'!$B$80&gt;=6,'19_Расчет_аналитики'!BN617,0))</f>
        <v/>
      </c>
      <c r="BI625">
        <f>SUM(IF('01_Вводные'!$B$80&gt;=1,'19_Расчет_аналитики'!BJ617,0),IF('01_Вводные'!$B$80&gt;=2,'19_Расчет_аналитики'!BK617,0),IF('01_Вводные'!$B$80&gt;=3,'19_Расчет_аналитики'!BL617,0),IF('01_Вводные'!$B$80&gt;=4,'19_Расчет_аналитики'!BM617,0),IF('01_Вводные'!$B$80&gt;=5,'19_Расчет_аналитики'!BN617,0),IF('01_Вводные'!$B$80&gt;=6,'19_Расчет_аналитики'!BO617,0))</f>
        <v/>
      </c>
    </row>
    <row r="626">
      <c r="B626">
        <f>IF(AND('07_Мерч'!B$3&gt;='01_Вводные'!$B$81,OR(MONTH('07_Мерч'!B$3)='01_Вводные'!$B$82,MONTH('07_Мерч'!B$3)='01_Вводные'!$B$83,MONTH('07_Мерч'!B$3)='01_Вводные'!$B$84,MONTH('07_Мерч'!B$3)='01_Вводные'!$B$85)),MAX(0,'19_Расчет_аналитики'!B625-('07_Мерч'!B22-'19_Расчет_аналитики'!B624)),0)</f>
        <v/>
      </c>
      <c r="C626">
        <f>IF(AND('07_Мерч'!C$3&gt;='01_Вводные'!$B$81,OR(MONTH('07_Мерч'!C$3)='01_Вводные'!$B$82,MONTH('07_Мерч'!C$3)='01_Вводные'!$B$83,MONTH('07_Мерч'!C$3)='01_Вводные'!$B$84,MONTH('07_Мерч'!C$3)='01_Вводные'!$B$85)),MAX(0,'19_Расчет_аналитики'!C625-('19_Расчет_аналитики'!C623-'19_Расчет_аналитики'!C624)),0)</f>
        <v/>
      </c>
      <c r="D626">
        <f>IF(AND('07_Мерч'!D$3&gt;='01_Вводные'!$B$81,OR(MONTH('07_Мерч'!D$3)='01_Вводные'!$B$82,MONTH('07_Мерч'!D$3)='01_Вводные'!$B$83,MONTH('07_Мерч'!D$3)='01_Вводные'!$B$84,MONTH('07_Мерч'!D$3)='01_Вводные'!$B$85)),MAX(0,'19_Расчет_аналитики'!D625-('19_Расчет_аналитики'!D623-'19_Расчет_аналитики'!D624)),0)</f>
        <v/>
      </c>
      <c r="E626">
        <f>IF(AND('07_Мерч'!E$3&gt;='01_Вводные'!$B$81,OR(MONTH('07_Мерч'!E$3)='01_Вводные'!$B$82,MONTH('07_Мерч'!E$3)='01_Вводные'!$B$83,MONTH('07_Мерч'!E$3)='01_Вводные'!$B$84,MONTH('07_Мерч'!E$3)='01_Вводные'!$B$85)),MAX(0,'19_Расчет_аналитики'!E625-('19_Расчет_аналитики'!E623-'19_Расчет_аналитики'!E624)),0)</f>
        <v/>
      </c>
      <c r="F626">
        <f>IF(AND('07_Мерч'!F$3&gt;='01_Вводные'!$B$81,OR(MONTH('07_Мерч'!F$3)='01_Вводные'!$B$82,MONTH('07_Мерч'!F$3)='01_Вводные'!$B$83,MONTH('07_Мерч'!F$3)='01_Вводные'!$B$84,MONTH('07_Мерч'!F$3)='01_Вводные'!$B$85)),MAX(0,'19_Расчет_аналитики'!F625-('19_Расчет_аналитики'!F623-'19_Расчет_аналитики'!F624)),0)</f>
        <v/>
      </c>
      <c r="G626">
        <f>IF(AND('07_Мерч'!G$3&gt;='01_Вводные'!$B$81,OR(MONTH('07_Мерч'!G$3)='01_Вводные'!$B$82,MONTH('07_Мерч'!G$3)='01_Вводные'!$B$83,MONTH('07_Мерч'!G$3)='01_Вводные'!$B$84,MONTH('07_Мерч'!G$3)='01_Вводные'!$B$85)),MAX(0,'19_Расчет_аналитики'!G625-('19_Расчет_аналитики'!G623-'19_Расчет_аналитики'!G624)),0)</f>
        <v/>
      </c>
      <c r="H626">
        <f>IF(AND('07_Мерч'!H$3&gt;='01_Вводные'!$B$81,OR(MONTH('07_Мерч'!H$3)='01_Вводные'!$B$82,MONTH('07_Мерч'!H$3)='01_Вводные'!$B$83,MONTH('07_Мерч'!H$3)='01_Вводные'!$B$84,MONTH('07_Мерч'!H$3)='01_Вводные'!$B$85)),MAX(0,'19_Расчет_аналитики'!H625-('19_Расчет_аналитики'!H623-'19_Расчет_аналитики'!H624)),0)</f>
        <v/>
      </c>
      <c r="I626">
        <f>IF(AND('07_Мерч'!I$3&gt;='01_Вводные'!$B$81,OR(MONTH('07_Мерч'!I$3)='01_Вводные'!$B$82,MONTH('07_Мерч'!I$3)='01_Вводные'!$B$83,MONTH('07_Мерч'!I$3)='01_Вводные'!$B$84,MONTH('07_Мерч'!I$3)='01_Вводные'!$B$85)),MAX(0,'19_Расчет_аналитики'!I625-('19_Расчет_аналитики'!I623-'19_Расчет_аналитики'!I624)),0)</f>
        <v/>
      </c>
      <c r="J626">
        <f>IF(AND('07_Мерч'!J$3&gt;='01_Вводные'!$B$81,OR(MONTH('07_Мерч'!J$3)='01_Вводные'!$B$82,MONTH('07_Мерч'!J$3)='01_Вводные'!$B$83,MONTH('07_Мерч'!J$3)='01_Вводные'!$B$84,MONTH('07_Мерч'!J$3)='01_Вводные'!$B$85)),MAX(0,'19_Расчет_аналитики'!J625-('19_Расчет_аналитики'!J623-'19_Расчет_аналитики'!J624)),0)</f>
        <v/>
      </c>
      <c r="K626">
        <f>IF(AND('07_Мерч'!K$3&gt;='01_Вводные'!$B$81,OR(MONTH('07_Мерч'!K$3)='01_Вводные'!$B$82,MONTH('07_Мерч'!K$3)='01_Вводные'!$B$83,MONTH('07_Мерч'!K$3)='01_Вводные'!$B$84,MONTH('07_Мерч'!K$3)='01_Вводные'!$B$85)),MAX(0,'19_Расчет_аналитики'!K625-('19_Расчет_аналитики'!K623-'19_Расчет_аналитики'!K624)),0)</f>
        <v/>
      </c>
      <c r="L626">
        <f>IF(AND('07_Мерч'!L$3&gt;='01_Вводные'!$B$81,OR(MONTH('07_Мерч'!L$3)='01_Вводные'!$B$82,MONTH('07_Мерч'!L$3)='01_Вводные'!$B$83,MONTH('07_Мерч'!L$3)='01_Вводные'!$B$84,MONTH('07_Мерч'!L$3)='01_Вводные'!$B$85)),MAX(0,'19_Расчет_аналитики'!L625-('19_Расчет_аналитики'!L623-'19_Расчет_аналитики'!L624)),0)</f>
        <v/>
      </c>
      <c r="M626">
        <f>IF(AND('07_Мерч'!M$3&gt;='01_Вводные'!$B$81,OR(MONTH('07_Мерч'!M$3)='01_Вводные'!$B$82,MONTH('07_Мерч'!M$3)='01_Вводные'!$B$83,MONTH('07_Мерч'!M$3)='01_Вводные'!$B$84,MONTH('07_Мерч'!M$3)='01_Вводные'!$B$85)),MAX(0,'19_Расчет_аналитики'!M625-('19_Расчет_аналитики'!M623-'19_Расчет_аналитики'!M624)),0)</f>
        <v/>
      </c>
      <c r="N626">
        <f>IF(AND('07_Мерч'!N$3&gt;='01_Вводные'!$B$81,OR(MONTH('07_Мерч'!N$3)='01_Вводные'!$B$82,MONTH('07_Мерч'!N$3)='01_Вводные'!$B$83,MONTH('07_Мерч'!N$3)='01_Вводные'!$B$84,MONTH('07_Мерч'!N$3)='01_Вводные'!$B$85)),MAX(0,'19_Расчет_аналитики'!N625-('19_Расчет_аналитики'!N623-'19_Расчет_аналитики'!N624)),0)</f>
        <v/>
      </c>
      <c r="O626">
        <f>IF(AND('07_Мерч'!O$3&gt;='01_Вводные'!$B$81,OR(MONTH('07_Мерч'!O$3)='01_Вводные'!$B$82,MONTH('07_Мерч'!O$3)='01_Вводные'!$B$83,MONTH('07_Мерч'!O$3)='01_Вводные'!$B$84,MONTH('07_Мерч'!O$3)='01_Вводные'!$B$85)),MAX(0,'19_Расчет_аналитики'!O625-('19_Расчет_аналитики'!O623-'19_Расчет_аналитики'!O624)),0)</f>
        <v/>
      </c>
      <c r="P626">
        <f>IF(AND('07_Мерч'!P$3&gt;='01_Вводные'!$B$81,OR(MONTH('07_Мерч'!P$3)='01_Вводные'!$B$82,MONTH('07_Мерч'!P$3)='01_Вводные'!$B$83,MONTH('07_Мерч'!P$3)='01_Вводные'!$B$84,MONTH('07_Мерч'!P$3)='01_Вводные'!$B$85)),MAX(0,'19_Расчет_аналитики'!P625-('19_Расчет_аналитики'!P623-'19_Расчет_аналитики'!P624)),0)</f>
        <v/>
      </c>
      <c r="Q626">
        <f>IF(AND('07_Мерч'!Q$3&gt;='01_Вводные'!$B$81,OR(MONTH('07_Мерч'!Q$3)='01_Вводные'!$B$82,MONTH('07_Мерч'!Q$3)='01_Вводные'!$B$83,MONTH('07_Мерч'!Q$3)='01_Вводные'!$B$84,MONTH('07_Мерч'!Q$3)='01_Вводные'!$B$85)),MAX(0,'19_Расчет_аналитики'!Q625-('19_Расчет_аналитики'!Q623-'19_Расчет_аналитики'!Q624)),0)</f>
        <v/>
      </c>
      <c r="R626">
        <f>IF(AND('07_Мерч'!R$3&gt;='01_Вводные'!$B$81,OR(MONTH('07_Мерч'!R$3)='01_Вводные'!$B$82,MONTH('07_Мерч'!R$3)='01_Вводные'!$B$83,MONTH('07_Мерч'!R$3)='01_Вводные'!$B$84,MONTH('07_Мерч'!R$3)='01_Вводные'!$B$85)),MAX(0,'19_Расчет_аналитики'!R625-('19_Расчет_аналитики'!R623-'19_Расчет_аналитики'!R624)),0)</f>
        <v/>
      </c>
      <c r="S626">
        <f>IF(AND('07_Мерч'!S$3&gt;='01_Вводные'!$B$81,OR(MONTH('07_Мерч'!S$3)='01_Вводные'!$B$82,MONTH('07_Мерч'!S$3)='01_Вводные'!$B$83,MONTH('07_Мерч'!S$3)='01_Вводные'!$B$84,MONTH('07_Мерч'!S$3)='01_Вводные'!$B$85)),MAX(0,'19_Расчет_аналитики'!S625-('19_Расчет_аналитики'!S623-'19_Расчет_аналитики'!S624)),0)</f>
        <v/>
      </c>
      <c r="T626">
        <f>IF(AND('07_Мерч'!T$3&gt;='01_Вводные'!$B$81,OR(MONTH('07_Мерч'!T$3)='01_Вводные'!$B$82,MONTH('07_Мерч'!T$3)='01_Вводные'!$B$83,MONTH('07_Мерч'!T$3)='01_Вводные'!$B$84,MONTH('07_Мерч'!T$3)='01_Вводные'!$B$85)),MAX(0,'19_Расчет_аналитики'!T625-('19_Расчет_аналитики'!T623-'19_Расчет_аналитики'!T624)),0)</f>
        <v/>
      </c>
      <c r="U626">
        <f>IF(AND('07_Мерч'!U$3&gt;='01_Вводные'!$B$81,OR(MONTH('07_Мерч'!U$3)='01_Вводные'!$B$82,MONTH('07_Мерч'!U$3)='01_Вводные'!$B$83,MONTH('07_Мерч'!U$3)='01_Вводные'!$B$84,MONTH('07_Мерч'!U$3)='01_Вводные'!$B$85)),MAX(0,'19_Расчет_аналитики'!U625-('19_Расчет_аналитики'!U623-'19_Расчет_аналитики'!U624)),0)</f>
        <v/>
      </c>
      <c r="V626">
        <f>IF(AND('07_Мерч'!V$3&gt;='01_Вводные'!$B$81,OR(MONTH('07_Мерч'!V$3)='01_Вводные'!$B$82,MONTH('07_Мерч'!V$3)='01_Вводные'!$B$83,MONTH('07_Мерч'!V$3)='01_Вводные'!$B$84,MONTH('07_Мерч'!V$3)='01_Вводные'!$B$85)),MAX(0,'19_Расчет_аналитики'!V625-('19_Расчет_аналитики'!V623-'19_Расчет_аналитики'!V624)),0)</f>
        <v/>
      </c>
      <c r="W626">
        <f>IF(AND('07_Мерч'!W$3&gt;='01_Вводные'!$B$81,OR(MONTH('07_Мерч'!W$3)='01_Вводные'!$B$82,MONTH('07_Мерч'!W$3)='01_Вводные'!$B$83,MONTH('07_Мерч'!W$3)='01_Вводные'!$B$84,MONTH('07_Мерч'!W$3)='01_Вводные'!$B$85)),MAX(0,'19_Расчет_аналитики'!W625-('19_Расчет_аналитики'!W623-'19_Расчет_аналитики'!W624)),0)</f>
        <v/>
      </c>
      <c r="X626">
        <f>IF(AND('07_Мерч'!X$3&gt;='01_Вводные'!$B$81,OR(MONTH('07_Мерч'!X$3)='01_Вводные'!$B$82,MONTH('07_Мерч'!X$3)='01_Вводные'!$B$83,MONTH('07_Мерч'!X$3)='01_Вводные'!$B$84,MONTH('07_Мерч'!X$3)='01_Вводные'!$B$85)),MAX(0,'19_Расчет_аналитики'!X625-('19_Расчет_аналитики'!X623-'19_Расчет_аналитики'!X624)),0)</f>
        <v/>
      </c>
      <c r="Y626">
        <f>IF(AND('07_Мерч'!Y$3&gt;='01_Вводные'!$B$81,OR(MONTH('07_Мерч'!Y$3)='01_Вводные'!$B$82,MONTH('07_Мерч'!Y$3)='01_Вводные'!$B$83,MONTH('07_Мерч'!Y$3)='01_Вводные'!$B$84,MONTH('07_Мерч'!Y$3)='01_Вводные'!$B$85)),MAX(0,'19_Расчет_аналитики'!Y625-('19_Расчет_аналитики'!Y623-'19_Расчет_аналитики'!Y624)),0)</f>
        <v/>
      </c>
      <c r="Z626">
        <f>IF(AND('07_Мерч'!Z$3&gt;='01_Вводные'!$B$81,OR(MONTH('07_Мерч'!Z$3)='01_Вводные'!$B$82,MONTH('07_Мерч'!Z$3)='01_Вводные'!$B$83,MONTH('07_Мерч'!Z$3)='01_Вводные'!$B$84,MONTH('07_Мерч'!Z$3)='01_Вводные'!$B$85)),MAX(0,'19_Расчет_аналитики'!Z625-('19_Расчет_аналитики'!Z623-'19_Расчет_аналитики'!Z624)),0)</f>
        <v/>
      </c>
      <c r="AA626">
        <f>IF(AND('07_Мерч'!AA$3&gt;='01_Вводные'!$B$81,OR(MONTH('07_Мерч'!AA$3)='01_Вводные'!$B$82,MONTH('07_Мерч'!AA$3)='01_Вводные'!$B$83,MONTH('07_Мерч'!AA$3)='01_Вводные'!$B$84,MONTH('07_Мерч'!AA$3)='01_Вводные'!$B$85)),MAX(0,'19_Расчет_аналитики'!AA625-('19_Расчет_аналитики'!AA623-'19_Расчет_аналитики'!AA624)),0)</f>
        <v/>
      </c>
      <c r="AB626">
        <f>IF(AND('07_Мерч'!AB$3&gt;='01_Вводные'!$B$81,OR(MONTH('07_Мерч'!AB$3)='01_Вводные'!$B$82,MONTH('07_Мерч'!AB$3)='01_Вводные'!$B$83,MONTH('07_Мерч'!AB$3)='01_Вводные'!$B$84,MONTH('07_Мерч'!AB$3)='01_Вводные'!$B$85)),MAX(0,'19_Расчет_аналитики'!AB625-('19_Расчет_аналитики'!AB623-'19_Расчет_аналитики'!AB624)),0)</f>
        <v/>
      </c>
      <c r="AC626">
        <f>IF(AND('07_Мерч'!AC$3&gt;='01_Вводные'!$B$81,OR(MONTH('07_Мерч'!AC$3)='01_Вводные'!$B$82,MONTH('07_Мерч'!AC$3)='01_Вводные'!$B$83,MONTH('07_Мерч'!AC$3)='01_Вводные'!$B$84,MONTH('07_Мерч'!AC$3)='01_Вводные'!$B$85)),MAX(0,'19_Расчет_аналитики'!AC625-('19_Расчет_аналитики'!AC623-'19_Расчет_аналитики'!AC624)),0)</f>
        <v/>
      </c>
      <c r="AD626">
        <f>IF(AND('07_Мерч'!AD$3&gt;='01_Вводные'!$B$81,OR(MONTH('07_Мерч'!AD$3)='01_Вводные'!$B$82,MONTH('07_Мерч'!AD$3)='01_Вводные'!$B$83,MONTH('07_Мерч'!AD$3)='01_Вводные'!$B$84,MONTH('07_Мерч'!AD$3)='01_Вводные'!$B$85)),MAX(0,'19_Расчет_аналитики'!AD625-('19_Расчет_аналитики'!AD623-'19_Расчет_аналитики'!AD624)),0)</f>
        <v/>
      </c>
      <c r="AE626">
        <f>IF(AND('07_Мерч'!AE$3&gt;='01_Вводные'!$B$81,OR(MONTH('07_Мерч'!AE$3)='01_Вводные'!$B$82,MONTH('07_Мерч'!AE$3)='01_Вводные'!$B$83,MONTH('07_Мерч'!AE$3)='01_Вводные'!$B$84,MONTH('07_Мерч'!AE$3)='01_Вводные'!$B$85)),MAX(0,'19_Расчет_аналитики'!AE625-('19_Расчет_аналитики'!AE623-'19_Расчет_аналитики'!AE624)),0)</f>
        <v/>
      </c>
      <c r="AF626">
        <f>IF(AND('07_Мерч'!AF$3&gt;='01_Вводные'!$B$81,OR(MONTH('07_Мерч'!AF$3)='01_Вводные'!$B$82,MONTH('07_Мерч'!AF$3)='01_Вводные'!$B$83,MONTH('07_Мерч'!AF$3)='01_Вводные'!$B$84,MONTH('07_Мерч'!AF$3)='01_Вводные'!$B$85)),MAX(0,'19_Расчет_аналитики'!AF625-('19_Расчет_аналитики'!AF623-'19_Расчет_аналитики'!AF624)),0)</f>
        <v/>
      </c>
      <c r="AG626">
        <f>IF(AND('07_Мерч'!AG$3&gt;='01_Вводные'!$B$81,OR(MONTH('07_Мерч'!AG$3)='01_Вводные'!$B$82,MONTH('07_Мерч'!AG$3)='01_Вводные'!$B$83,MONTH('07_Мерч'!AG$3)='01_Вводные'!$B$84,MONTH('07_Мерч'!AG$3)='01_Вводные'!$B$85)),MAX(0,'19_Расчет_аналитики'!AG625-('19_Расчет_аналитики'!AG623-'19_Расчет_аналитики'!AG624)),0)</f>
        <v/>
      </c>
      <c r="AH626">
        <f>IF(AND('07_Мерч'!AH$3&gt;='01_Вводные'!$B$81,OR(MONTH('07_Мерч'!AH$3)='01_Вводные'!$B$82,MONTH('07_Мерч'!AH$3)='01_Вводные'!$B$83,MONTH('07_Мерч'!AH$3)='01_Вводные'!$B$84,MONTH('07_Мерч'!AH$3)='01_Вводные'!$B$85)),MAX(0,'19_Расчет_аналитики'!AH625-('19_Расчет_аналитики'!AH623-'19_Расчет_аналитики'!AH624)),0)</f>
        <v/>
      </c>
      <c r="AI626">
        <f>IF(AND('07_Мерч'!AI$3&gt;='01_Вводные'!$B$81,OR(MONTH('07_Мерч'!AI$3)='01_Вводные'!$B$82,MONTH('07_Мерч'!AI$3)='01_Вводные'!$B$83,MONTH('07_Мерч'!AI$3)='01_Вводные'!$B$84,MONTH('07_Мерч'!AI$3)='01_Вводные'!$B$85)),MAX(0,'19_Расчет_аналитики'!AI625-('19_Расчет_аналитики'!AI623-'19_Расчет_аналитики'!AI624)),0)</f>
        <v/>
      </c>
      <c r="AJ626">
        <f>IF(AND('07_Мерч'!AJ$3&gt;='01_Вводные'!$B$81,OR(MONTH('07_Мерч'!AJ$3)='01_Вводные'!$B$82,MONTH('07_Мерч'!AJ$3)='01_Вводные'!$B$83,MONTH('07_Мерч'!AJ$3)='01_Вводные'!$B$84,MONTH('07_Мерч'!AJ$3)='01_Вводные'!$B$85)),MAX(0,'19_Расчет_аналитики'!AJ625-('19_Расчет_аналитики'!AJ623-'19_Расчет_аналитики'!AJ624)),0)</f>
        <v/>
      </c>
      <c r="AK626">
        <f>IF(AND('07_Мерч'!AK$3&gt;='01_Вводные'!$B$81,OR(MONTH('07_Мерч'!AK$3)='01_Вводные'!$B$82,MONTH('07_Мерч'!AK$3)='01_Вводные'!$B$83,MONTH('07_Мерч'!AK$3)='01_Вводные'!$B$84,MONTH('07_Мерч'!AK$3)='01_Вводные'!$B$85)),MAX(0,'19_Расчет_аналитики'!AK625-('19_Расчет_аналитики'!AK623-'19_Расчет_аналитики'!AK624)),0)</f>
        <v/>
      </c>
      <c r="AL626">
        <f>IF(AND('07_Мерч'!AL$3&gt;='01_Вводные'!$B$81,OR(MONTH('07_Мерч'!AL$3)='01_Вводные'!$B$82,MONTH('07_Мерч'!AL$3)='01_Вводные'!$B$83,MONTH('07_Мерч'!AL$3)='01_Вводные'!$B$84,MONTH('07_Мерч'!AL$3)='01_Вводные'!$B$85)),MAX(0,'19_Расчет_аналитики'!AL625-('19_Расчет_аналитики'!AL623-'19_Расчет_аналитики'!AL624)),0)</f>
        <v/>
      </c>
      <c r="AM626">
        <f>IF(AND('07_Мерч'!AM$3&gt;='01_Вводные'!$B$81,OR(MONTH('07_Мерч'!AM$3)='01_Вводные'!$B$82,MONTH('07_Мерч'!AM$3)='01_Вводные'!$B$83,MONTH('07_Мерч'!AM$3)='01_Вводные'!$B$84,MONTH('07_Мерч'!AM$3)='01_Вводные'!$B$85)),MAX(0,'19_Расчет_аналитики'!AM625-('19_Расчет_аналитики'!AM623-'19_Расчет_аналитики'!AM624)),0)</f>
        <v/>
      </c>
      <c r="AN626">
        <f>IF(AND('07_Мерч'!AN$3&gt;='01_Вводные'!$B$81,OR(MONTH('07_Мерч'!AN$3)='01_Вводные'!$B$82,MONTH('07_Мерч'!AN$3)='01_Вводные'!$B$83,MONTH('07_Мерч'!AN$3)='01_Вводные'!$B$84,MONTH('07_Мерч'!AN$3)='01_Вводные'!$B$85)),MAX(0,'19_Расчет_аналитики'!AN625-('19_Расчет_аналитики'!AN623-'19_Расчет_аналитики'!AN624)),0)</f>
        <v/>
      </c>
      <c r="AO626">
        <f>IF(AND('07_Мерч'!AO$3&gt;='01_Вводные'!$B$81,OR(MONTH('07_Мерч'!AO$3)='01_Вводные'!$B$82,MONTH('07_Мерч'!AO$3)='01_Вводные'!$B$83,MONTH('07_Мерч'!AO$3)='01_Вводные'!$B$84,MONTH('07_Мерч'!AO$3)='01_Вводные'!$B$85)),MAX(0,'19_Расчет_аналитики'!AO625-('19_Расчет_аналитики'!AO623-'19_Расчет_аналитики'!AO624)),0)</f>
        <v/>
      </c>
      <c r="AP626">
        <f>IF(AND('07_Мерч'!AP$3&gt;='01_Вводные'!$B$81,OR(MONTH('07_Мерч'!AP$3)='01_Вводные'!$B$82,MONTH('07_Мерч'!AP$3)='01_Вводные'!$B$83,MONTH('07_Мерч'!AP$3)='01_Вводные'!$B$84,MONTH('07_Мерч'!AP$3)='01_Вводные'!$B$85)),MAX(0,'19_Расчет_аналитики'!AP625-('19_Расчет_аналитики'!AP623-'19_Расчет_аналитики'!AP624)),0)</f>
        <v/>
      </c>
      <c r="AQ626">
        <f>IF(AND('07_Мерч'!AQ$3&gt;='01_Вводные'!$B$81,OR(MONTH('07_Мерч'!AQ$3)='01_Вводные'!$B$82,MONTH('07_Мерч'!AQ$3)='01_Вводные'!$B$83,MONTH('07_Мерч'!AQ$3)='01_Вводные'!$B$84,MONTH('07_Мерч'!AQ$3)='01_Вводные'!$B$85)),MAX(0,'19_Расчет_аналитики'!AQ625-('19_Расчет_аналитики'!AQ623-'19_Расчет_аналитики'!AQ624)),0)</f>
        <v/>
      </c>
      <c r="AR626">
        <f>IF(AND('07_Мерч'!AR$3&gt;='01_Вводные'!$B$81,OR(MONTH('07_Мерч'!AR$3)='01_Вводные'!$B$82,MONTH('07_Мерч'!AR$3)='01_Вводные'!$B$83,MONTH('07_Мерч'!AR$3)='01_Вводные'!$B$84,MONTH('07_Мерч'!AR$3)='01_Вводные'!$B$85)),MAX(0,'19_Расчет_аналитики'!AR625-('19_Расчет_аналитики'!AR623-'19_Расчет_аналитики'!AR624)),0)</f>
        <v/>
      </c>
      <c r="AS626">
        <f>IF(AND('07_Мерч'!AS$3&gt;='01_Вводные'!$B$81,OR(MONTH('07_Мерч'!AS$3)='01_Вводные'!$B$82,MONTH('07_Мерч'!AS$3)='01_Вводные'!$B$83,MONTH('07_Мерч'!AS$3)='01_Вводные'!$B$84,MONTH('07_Мерч'!AS$3)='01_Вводные'!$B$85)),MAX(0,'19_Расчет_аналитики'!AS625-('19_Расчет_аналитики'!AS623-'19_Расчет_аналитики'!AS624)),0)</f>
        <v/>
      </c>
      <c r="AT626">
        <f>IF(AND('07_Мерч'!AT$3&gt;='01_Вводные'!$B$81,OR(MONTH('07_Мерч'!AT$3)='01_Вводные'!$B$82,MONTH('07_Мерч'!AT$3)='01_Вводные'!$B$83,MONTH('07_Мерч'!AT$3)='01_Вводные'!$B$84,MONTH('07_Мерч'!AT$3)='01_Вводные'!$B$85)),MAX(0,'19_Расчет_аналитики'!AT625-('19_Расчет_аналитики'!AT623-'19_Расчет_аналитики'!AT624)),0)</f>
        <v/>
      </c>
      <c r="AU626">
        <f>IF(AND('07_Мерч'!AU$3&gt;='01_Вводные'!$B$81,OR(MONTH('07_Мерч'!AU$3)='01_Вводные'!$B$82,MONTH('07_Мерч'!AU$3)='01_Вводные'!$B$83,MONTH('07_Мерч'!AU$3)='01_Вводные'!$B$84,MONTH('07_Мерч'!AU$3)='01_Вводные'!$B$85)),MAX(0,'19_Расчет_аналитики'!AU625-('19_Расчет_аналитики'!AU623-'19_Расчет_аналитики'!AU624)),0)</f>
        <v/>
      </c>
      <c r="AV626">
        <f>IF(AND('07_Мерч'!AV$3&gt;='01_Вводные'!$B$81,OR(MONTH('07_Мерч'!AV$3)='01_Вводные'!$B$82,MONTH('07_Мерч'!AV$3)='01_Вводные'!$B$83,MONTH('07_Мерч'!AV$3)='01_Вводные'!$B$84,MONTH('07_Мерч'!AV$3)='01_Вводные'!$B$85)),MAX(0,'19_Расчет_аналитики'!AV625-('19_Расчет_аналитики'!AV623-'19_Расчет_аналитики'!AV624)),0)</f>
        <v/>
      </c>
      <c r="AW626">
        <f>IF(AND('07_Мерч'!AW$3&gt;='01_Вводные'!$B$81,OR(MONTH('07_Мерч'!AW$3)='01_Вводные'!$B$82,MONTH('07_Мерч'!AW$3)='01_Вводные'!$B$83,MONTH('07_Мерч'!AW$3)='01_Вводные'!$B$84,MONTH('07_Мерч'!AW$3)='01_Вводные'!$B$85)),MAX(0,'19_Расчет_аналитики'!AW625-('19_Расчет_аналитики'!AW623-'19_Расчет_аналитики'!AW624)),0)</f>
        <v/>
      </c>
      <c r="AX626">
        <f>IF(AND('07_Мерч'!AX$3&gt;='01_Вводные'!$B$81,OR(MONTH('07_Мерч'!AX$3)='01_Вводные'!$B$82,MONTH('07_Мерч'!AX$3)='01_Вводные'!$B$83,MONTH('07_Мерч'!AX$3)='01_Вводные'!$B$84,MONTH('07_Мерч'!AX$3)='01_Вводные'!$B$85)),MAX(0,'19_Расчет_аналитики'!AX625-('19_Расчет_аналитики'!AX623-'19_Расчет_аналитики'!AX624)),0)</f>
        <v/>
      </c>
      <c r="AY626">
        <f>IF(AND('07_Мерч'!AY$3&gt;='01_Вводные'!$B$81,OR(MONTH('07_Мерч'!AY$3)='01_Вводные'!$B$82,MONTH('07_Мерч'!AY$3)='01_Вводные'!$B$83,MONTH('07_Мерч'!AY$3)='01_Вводные'!$B$84,MONTH('07_Мерч'!AY$3)='01_Вводные'!$B$85)),MAX(0,'19_Расчет_аналитики'!AY625-('19_Расчет_аналитики'!AY623-'19_Расчет_аналитики'!AY624)),0)</f>
        <v/>
      </c>
      <c r="AZ626">
        <f>IF(AND('07_Мерч'!AZ$3&gt;='01_Вводные'!$B$81,OR(MONTH('07_Мерч'!AZ$3)='01_Вводные'!$B$82,MONTH('07_Мерч'!AZ$3)='01_Вводные'!$B$83,MONTH('07_Мерч'!AZ$3)='01_Вводные'!$B$84,MONTH('07_Мерч'!AZ$3)='01_Вводные'!$B$85)),MAX(0,'19_Расчет_аналитики'!AZ625-('19_Расчет_аналитики'!AZ623-'19_Расчет_аналитики'!AZ624)),0)</f>
        <v/>
      </c>
      <c r="BA626">
        <f>IF(AND('07_Мерч'!BA$3&gt;='01_Вводные'!$B$81,OR(MONTH('07_Мерч'!BA$3)='01_Вводные'!$B$82,MONTH('07_Мерч'!BA$3)='01_Вводные'!$B$83,MONTH('07_Мерч'!BA$3)='01_Вводные'!$B$84,MONTH('07_Мерч'!BA$3)='01_Вводные'!$B$85)),MAX(0,'19_Расчет_аналитики'!BA625-('19_Расчет_аналитики'!BA623-'19_Расчет_аналитики'!BA624)),0)</f>
        <v/>
      </c>
      <c r="BB626">
        <f>IF(AND('07_Мерч'!BB$3&gt;='01_Вводные'!$B$81,OR(MONTH('07_Мерч'!BB$3)='01_Вводные'!$B$82,MONTH('07_Мерч'!BB$3)='01_Вводные'!$B$83,MONTH('07_Мерч'!BB$3)='01_Вводные'!$B$84,MONTH('07_Мерч'!BB$3)='01_Вводные'!$B$85)),MAX(0,'19_Расчет_аналитики'!BB625-('19_Расчет_аналитики'!BB623-'19_Расчет_аналитики'!BB624)),0)</f>
        <v/>
      </c>
      <c r="BC626">
        <f>IF(AND('07_Мерч'!BC$3&gt;='01_Вводные'!$B$81,OR(MONTH('07_Мерч'!BC$3)='01_Вводные'!$B$82,MONTH('07_Мерч'!BC$3)='01_Вводные'!$B$83,MONTH('07_Мерч'!BC$3)='01_Вводные'!$B$84,MONTH('07_Мерч'!BC$3)='01_Вводные'!$B$85)),MAX(0,'19_Расчет_аналитики'!BC625-('19_Расчет_аналитики'!BC623-'19_Расчет_аналитики'!BC624)),0)</f>
        <v/>
      </c>
      <c r="BD626">
        <f>IF(AND('07_Мерч'!BD$3&gt;='01_Вводные'!$B$81,OR(MONTH('07_Мерч'!BD$3)='01_Вводные'!$B$82,MONTH('07_Мерч'!BD$3)='01_Вводные'!$B$83,MONTH('07_Мерч'!BD$3)='01_Вводные'!$B$84,MONTH('07_Мерч'!BD$3)='01_Вводные'!$B$85)),MAX(0,'19_Расчет_аналитики'!BD625-('19_Расчет_аналитики'!BD623-'19_Расчет_аналитики'!BD624)),0)</f>
        <v/>
      </c>
      <c r="BE626">
        <f>IF(AND('07_Мерч'!BE$3&gt;='01_Вводные'!$B$81,OR(MONTH('07_Мерч'!BE$3)='01_Вводные'!$B$82,MONTH('07_Мерч'!BE$3)='01_Вводные'!$B$83,MONTH('07_Мерч'!BE$3)='01_Вводные'!$B$84,MONTH('07_Мерч'!BE$3)='01_Вводные'!$B$85)),MAX(0,'19_Расчет_аналитики'!BE625-('19_Расчет_аналитики'!BE623-'19_Расчет_аналитики'!BE624)),0)</f>
        <v/>
      </c>
      <c r="BF626">
        <f>IF(AND('07_Мерч'!BF$3&gt;='01_Вводные'!$B$81,OR(MONTH('07_Мерч'!BF$3)='01_Вводные'!$B$82,MONTH('07_Мерч'!BF$3)='01_Вводные'!$B$83,MONTH('07_Мерч'!BF$3)='01_Вводные'!$B$84,MONTH('07_Мерч'!BF$3)='01_Вводные'!$B$85)),MAX(0,'19_Расчет_аналитики'!BF625-('19_Расчет_аналитики'!BF623-'19_Расчет_аналитики'!BF624)),0)</f>
        <v/>
      </c>
      <c r="BG626">
        <f>IF(AND('07_Мерч'!BG$3&gt;='01_Вводные'!$B$81,OR(MONTH('07_Мерч'!BG$3)='01_Вводные'!$B$82,MONTH('07_Мерч'!BG$3)='01_Вводные'!$B$83,MONTH('07_Мерч'!BG$3)='01_Вводные'!$B$84,MONTH('07_Мерч'!BG$3)='01_Вводные'!$B$85)),MAX(0,'19_Расчет_аналитики'!BG625-('19_Расчет_аналитики'!BG623-'19_Расчет_аналитики'!BG624)),0)</f>
        <v/>
      </c>
      <c r="BH626">
        <f>IF(AND('07_Мерч'!BH$3&gt;='01_Вводные'!$B$81,OR(MONTH('07_Мерч'!BH$3)='01_Вводные'!$B$82,MONTH('07_Мерч'!BH$3)='01_Вводные'!$B$83,MONTH('07_Мерч'!BH$3)='01_Вводные'!$B$84,MONTH('07_Мерч'!BH$3)='01_Вводные'!$B$85)),MAX(0,'19_Расчет_аналитики'!BH625-('19_Расчет_аналитики'!BH623-'19_Расчет_аналитики'!BH624)),0)</f>
        <v/>
      </c>
      <c r="BI626">
        <f>IF(AND('07_Мерч'!BI$3&gt;='01_Вводные'!$B$81,OR(MONTH('07_Мерч'!BI$3)='01_Вводные'!$B$82,MONTH('07_Мерч'!BI$3)='01_Вводные'!$B$83,MONTH('07_Мерч'!BI$3)='01_Вводные'!$B$84,MONTH('07_Мерч'!BI$3)='01_Вводные'!$B$85)),MAX(0,'19_Расчет_аналитики'!BI625-('19_Расчет_аналитики'!BI623-'19_Расчет_аналитики'!BI624)),0)</f>
        <v/>
      </c>
      <c r="BJ626">
        <f>IF(AND('07_Мерч'!BJ$3&gt;='01_Вводные'!$B$81,OR(MONTH('07_Мерч'!BJ$3)='01_Вводные'!$B$82,MONTH('07_Мерч'!BJ$3)='01_Вводные'!$B$83,MONTH('07_Мерч'!BJ$3)='01_Вводные'!$B$84,MONTH('07_Мерч'!BJ$3)='01_Вводные'!$B$85)),MAX(0,'07_Мерч'!BJ24-('19_Расчет_аналитики'!BJ623-'19_Расчет_аналитики'!BJ624)),0)</f>
        <v/>
      </c>
      <c r="BK626">
        <f>IF(AND('07_Мерч'!BK$3&gt;='01_Вводные'!$B$81,OR(MONTH('07_Мерч'!BK$3)='01_Вводные'!$B$82,MONTH('07_Мерч'!BK$3)='01_Вводные'!$B$83,MONTH('07_Мерч'!BK$3)='01_Вводные'!$B$84,MONTH('07_Мерч'!BK$3)='01_Вводные'!$B$85)),MAX(0,'07_Мерч'!BK24-('19_Расчет_аналитики'!BK623-'19_Расчет_аналитики'!BK624)),0)</f>
        <v/>
      </c>
      <c r="BL626">
        <f>IF(AND('07_Мерч'!BL$3&gt;='01_Вводные'!$B$81,OR(MONTH('07_Мерч'!BL$3)='01_Вводные'!$B$82,MONTH('07_Мерч'!BL$3)='01_Вводные'!$B$83,MONTH('07_Мерч'!BL$3)='01_Вводные'!$B$84,MONTH('07_Мерч'!BL$3)='01_Вводные'!$B$85)),MAX(0,'07_Мерч'!BL24-('19_Расчет_аналитики'!BL623-'19_Расчет_аналитики'!BL624)),0)</f>
        <v/>
      </c>
      <c r="BM626">
        <f>IF(AND('07_Мерч'!BM$3&gt;='01_Вводные'!$B$81,OR(MONTH('07_Мерч'!BM$3)='01_Вводные'!$B$82,MONTH('07_Мерч'!BM$3)='01_Вводные'!$B$83,MONTH('07_Мерч'!BM$3)='01_Вводные'!$B$84,MONTH('07_Мерч'!BM$3)='01_Вводные'!$B$85)),MAX(0,'07_Мерч'!BM24-('19_Расчет_аналитики'!BM623-'19_Расчет_аналитики'!BM624)),0)</f>
        <v/>
      </c>
      <c r="BN626">
        <f>IF(AND('07_Мерч'!BN$3&gt;='01_Вводные'!$B$81,OR(MONTH('07_Мерч'!BN$3)='01_Вводные'!$B$82,MONTH('07_Мерч'!BN$3)='01_Вводные'!$B$83,MONTH('07_Мерч'!BN$3)='01_Вводные'!$B$84,MONTH('07_Мерч'!BN$3)='01_Вводные'!$B$85)),MAX(0,'07_Мерч'!BN24-('19_Расчет_аналитики'!BN623-'19_Расчет_аналитики'!BN624)),0)</f>
        <v/>
      </c>
      <c r="BO626">
        <f>IF(AND('07_Мерч'!BO$3&gt;='01_Вводные'!$B$81,OR(MONTH('07_Мерч'!BO$3)='01_Вводные'!$B$82,MONTH('07_Мерч'!BO$3)='01_Вводные'!$B$83,MONTH('07_Мерч'!BO$3)='01_Вводные'!$B$84,MONTH('07_Мерч'!BO$3)='01_Вводные'!$B$85)),MAX(0,'07_Мерч'!BO24-('19_Расчет_аналитики'!BO623-'19_Расчет_аналитики'!BO624)),0)</f>
        <v/>
      </c>
    </row>
    <row r="627">
      <c r="B627">
        <f>'07_Мерч'!B22+'19_Расчет_аналитики'!B626-'19_Расчет_аналитики'!B624</f>
        <v/>
      </c>
      <c r="C627">
        <f>'19_Расчет_аналитики'!C623+'19_Расчет_аналитики'!C626-'19_Расчет_аналитики'!C624</f>
        <v/>
      </c>
      <c r="D627">
        <f>'19_Расчет_аналитики'!D623+'19_Расчет_аналитики'!D626-'19_Расчет_аналитики'!D624</f>
        <v/>
      </c>
      <c r="E627">
        <f>'19_Расчет_аналитики'!E623+'19_Расчет_аналитики'!E626-'19_Расчет_аналитики'!E624</f>
        <v/>
      </c>
      <c r="F627">
        <f>'19_Расчет_аналитики'!F623+'19_Расчет_аналитики'!F626-'19_Расчет_аналитики'!F624</f>
        <v/>
      </c>
      <c r="G627">
        <f>'19_Расчет_аналитики'!G623+'19_Расчет_аналитики'!G626-'19_Расчет_аналитики'!G624</f>
        <v/>
      </c>
      <c r="H627">
        <f>'19_Расчет_аналитики'!H623+'19_Расчет_аналитики'!H626-'19_Расчет_аналитики'!H624</f>
        <v/>
      </c>
      <c r="I627">
        <f>'19_Расчет_аналитики'!I623+'19_Расчет_аналитики'!I626-'19_Расчет_аналитики'!I624</f>
        <v/>
      </c>
      <c r="J627">
        <f>'19_Расчет_аналитики'!J623+'19_Расчет_аналитики'!J626-'19_Расчет_аналитики'!J624</f>
        <v/>
      </c>
      <c r="K627">
        <f>'19_Расчет_аналитики'!K623+'19_Расчет_аналитики'!K626-'19_Расчет_аналитики'!K624</f>
        <v/>
      </c>
      <c r="L627">
        <f>'19_Расчет_аналитики'!L623+'19_Расчет_аналитики'!L626-'19_Расчет_аналитики'!L624</f>
        <v/>
      </c>
      <c r="M627">
        <f>'19_Расчет_аналитики'!M623+'19_Расчет_аналитики'!M626-'19_Расчет_аналитики'!M624</f>
        <v/>
      </c>
      <c r="N627">
        <f>'19_Расчет_аналитики'!N623+'19_Расчет_аналитики'!N626-'19_Расчет_аналитики'!N624</f>
        <v/>
      </c>
      <c r="O627">
        <f>'19_Расчет_аналитики'!O623+'19_Расчет_аналитики'!O626-'19_Расчет_аналитики'!O624</f>
        <v/>
      </c>
      <c r="P627">
        <f>'19_Расчет_аналитики'!P623+'19_Расчет_аналитики'!P626-'19_Расчет_аналитики'!P624</f>
        <v/>
      </c>
      <c r="Q627">
        <f>'19_Расчет_аналитики'!Q623+'19_Расчет_аналитики'!Q626-'19_Расчет_аналитики'!Q624</f>
        <v/>
      </c>
      <c r="R627">
        <f>'19_Расчет_аналитики'!R623+'19_Расчет_аналитики'!R626-'19_Расчет_аналитики'!R624</f>
        <v/>
      </c>
      <c r="S627">
        <f>'19_Расчет_аналитики'!S623+'19_Расчет_аналитики'!S626-'19_Расчет_аналитики'!S624</f>
        <v/>
      </c>
      <c r="T627">
        <f>'19_Расчет_аналитики'!T623+'19_Расчет_аналитики'!T626-'19_Расчет_аналитики'!T624</f>
        <v/>
      </c>
      <c r="U627">
        <f>'19_Расчет_аналитики'!U623+'19_Расчет_аналитики'!U626-'19_Расчет_аналитики'!U624</f>
        <v/>
      </c>
      <c r="V627">
        <f>'19_Расчет_аналитики'!V623+'19_Расчет_аналитики'!V626-'19_Расчет_аналитики'!V624</f>
        <v/>
      </c>
      <c r="W627">
        <f>'19_Расчет_аналитики'!W623+'19_Расчет_аналитики'!W626-'19_Расчет_аналитики'!W624</f>
        <v/>
      </c>
      <c r="X627">
        <f>'19_Расчет_аналитики'!X623+'19_Расчет_аналитики'!X626-'19_Расчет_аналитики'!X624</f>
        <v/>
      </c>
      <c r="Y627">
        <f>'19_Расчет_аналитики'!Y623+'19_Расчет_аналитики'!Y626-'19_Расчет_аналитики'!Y624</f>
        <v/>
      </c>
      <c r="Z627">
        <f>'19_Расчет_аналитики'!Z623+'19_Расчет_аналитики'!Z626-'19_Расчет_аналитики'!Z624</f>
        <v/>
      </c>
      <c r="AA627">
        <f>'19_Расчет_аналитики'!AA623+'19_Расчет_аналитики'!AA626-'19_Расчет_аналитики'!AA624</f>
        <v/>
      </c>
      <c r="AB627">
        <f>'19_Расчет_аналитики'!AB623+'19_Расчет_аналитики'!AB626-'19_Расчет_аналитики'!AB624</f>
        <v/>
      </c>
      <c r="AC627">
        <f>'19_Расчет_аналитики'!AC623+'19_Расчет_аналитики'!AC626-'19_Расчет_аналитики'!AC624</f>
        <v/>
      </c>
      <c r="AD627">
        <f>'19_Расчет_аналитики'!AD623+'19_Расчет_аналитики'!AD626-'19_Расчет_аналитики'!AD624</f>
        <v/>
      </c>
      <c r="AE627">
        <f>'19_Расчет_аналитики'!AE623+'19_Расчет_аналитики'!AE626-'19_Расчет_аналитики'!AE624</f>
        <v/>
      </c>
      <c r="AF627">
        <f>'19_Расчет_аналитики'!AF623+'19_Расчет_аналитики'!AF626-'19_Расчет_аналитики'!AF624</f>
        <v/>
      </c>
      <c r="AG627">
        <f>'19_Расчет_аналитики'!AG623+'19_Расчет_аналитики'!AG626-'19_Расчет_аналитики'!AG624</f>
        <v/>
      </c>
      <c r="AH627">
        <f>'19_Расчет_аналитики'!AH623+'19_Расчет_аналитики'!AH626-'19_Расчет_аналитики'!AH624</f>
        <v/>
      </c>
      <c r="AI627">
        <f>'19_Расчет_аналитики'!AI623+'19_Расчет_аналитики'!AI626-'19_Расчет_аналитики'!AI624</f>
        <v/>
      </c>
      <c r="AJ627">
        <f>'19_Расчет_аналитики'!AJ623+'19_Расчет_аналитики'!AJ626-'19_Расчет_аналитики'!AJ624</f>
        <v/>
      </c>
      <c r="AK627">
        <f>'19_Расчет_аналитики'!AK623+'19_Расчет_аналитики'!AK626-'19_Расчет_аналитики'!AK624</f>
        <v/>
      </c>
      <c r="AL627">
        <f>'19_Расчет_аналитики'!AL623+'19_Расчет_аналитики'!AL626-'19_Расчет_аналитики'!AL624</f>
        <v/>
      </c>
      <c r="AM627">
        <f>'19_Расчет_аналитики'!AM623+'19_Расчет_аналитики'!AM626-'19_Расчет_аналитики'!AM624</f>
        <v/>
      </c>
      <c r="AN627">
        <f>'19_Расчет_аналитики'!AN623+'19_Расчет_аналитики'!AN626-'19_Расчет_аналитики'!AN624</f>
        <v/>
      </c>
      <c r="AO627">
        <f>'19_Расчет_аналитики'!AO623+'19_Расчет_аналитики'!AO626-'19_Расчет_аналитики'!AO624</f>
        <v/>
      </c>
      <c r="AP627">
        <f>'19_Расчет_аналитики'!AP623+'19_Расчет_аналитики'!AP626-'19_Расчет_аналитики'!AP624</f>
        <v/>
      </c>
      <c r="AQ627">
        <f>'19_Расчет_аналитики'!AQ623+'19_Расчет_аналитики'!AQ626-'19_Расчет_аналитики'!AQ624</f>
        <v/>
      </c>
      <c r="AR627">
        <f>'19_Расчет_аналитики'!AR623+'19_Расчет_аналитики'!AR626-'19_Расчет_аналитики'!AR624</f>
        <v/>
      </c>
      <c r="AS627">
        <f>'19_Расчет_аналитики'!AS623+'19_Расчет_аналитики'!AS626-'19_Расчет_аналитики'!AS624</f>
        <v/>
      </c>
      <c r="AT627">
        <f>'19_Расчет_аналитики'!AT623+'19_Расчет_аналитики'!AT626-'19_Расчет_аналитики'!AT624</f>
        <v/>
      </c>
      <c r="AU627">
        <f>'19_Расчет_аналитики'!AU623+'19_Расчет_аналитики'!AU626-'19_Расчет_аналитики'!AU624</f>
        <v/>
      </c>
      <c r="AV627">
        <f>'19_Расчет_аналитики'!AV623+'19_Расчет_аналитики'!AV626-'19_Расчет_аналитики'!AV624</f>
        <v/>
      </c>
      <c r="AW627">
        <f>'19_Расчет_аналитики'!AW623+'19_Расчет_аналитики'!AW626-'19_Расчет_аналитики'!AW624</f>
        <v/>
      </c>
      <c r="AX627">
        <f>'19_Расчет_аналитики'!AX623+'19_Расчет_аналитики'!AX626-'19_Расчет_аналитики'!AX624</f>
        <v/>
      </c>
      <c r="AY627">
        <f>'19_Расчет_аналитики'!AY623+'19_Расчет_аналитики'!AY626-'19_Расчет_аналитики'!AY624</f>
        <v/>
      </c>
      <c r="AZ627">
        <f>'19_Расчет_аналитики'!AZ623+'19_Расчет_аналитики'!AZ626-'19_Расчет_аналитики'!AZ624</f>
        <v/>
      </c>
      <c r="BA627">
        <f>'19_Расчет_аналитики'!BA623+'19_Расчет_аналитики'!BA626-'19_Расчет_аналитики'!BA624</f>
        <v/>
      </c>
      <c r="BB627">
        <f>'19_Расчет_аналитики'!BB623+'19_Расчет_аналитики'!BB626-'19_Расчет_аналитики'!BB624</f>
        <v/>
      </c>
      <c r="BC627">
        <f>'19_Расчет_аналитики'!BC623+'19_Расчет_аналитики'!BC626-'19_Расчет_аналитики'!BC624</f>
        <v/>
      </c>
      <c r="BD627">
        <f>'19_Расчет_аналитики'!BD623+'19_Расчет_аналитики'!BD626-'19_Расчет_аналитики'!BD624</f>
        <v/>
      </c>
      <c r="BE627">
        <f>'19_Расчет_аналитики'!BE623+'19_Расчет_аналитики'!BE626-'19_Расчет_аналитики'!BE624</f>
        <v/>
      </c>
      <c r="BF627">
        <f>'19_Расчет_аналитики'!BF623+'19_Расчет_аналитики'!BF626-'19_Расчет_аналитики'!BF624</f>
        <v/>
      </c>
      <c r="BG627">
        <f>'19_Расчет_аналитики'!BG623+'19_Расчет_аналитики'!BG626-'19_Расчет_аналитики'!BG624</f>
        <v/>
      </c>
      <c r="BH627">
        <f>'19_Расчет_аналитики'!BH623+'19_Расчет_аналитики'!BH626-'19_Расчет_аналитики'!BH624</f>
        <v/>
      </c>
      <c r="BI627">
        <f>'19_Расчет_аналитики'!BI623+'19_Расчет_аналитики'!BI626-'19_Расчет_аналитики'!BI624</f>
        <v/>
      </c>
      <c r="BJ627">
        <f>'19_Расчет_аналитики'!BJ623+'19_Расчет_аналитики'!BJ626-'19_Расчет_аналитики'!BJ624</f>
        <v/>
      </c>
      <c r="BK627">
        <f>'19_Расчет_аналитики'!BK623+'19_Расчет_аналитики'!BK626-'19_Расчет_аналитики'!BK624</f>
        <v/>
      </c>
      <c r="BL627">
        <f>'19_Расчет_аналитики'!BL623+'19_Расчет_аналитики'!BL626-'19_Расчет_аналитики'!BL624</f>
        <v/>
      </c>
      <c r="BM627">
        <f>'19_Расчет_аналитики'!BM623+'19_Расчет_аналитики'!BM626-'19_Расчет_аналитики'!BM624</f>
        <v/>
      </c>
      <c r="BN627">
        <f>'19_Расчет_аналитики'!BN623+'19_Расчет_аналитики'!BN626-'19_Расчет_аналитики'!BN624</f>
        <v/>
      </c>
      <c r="BO627">
        <f>'19_Расчет_аналитики'!BO623+'19_Расчет_аналитики'!BO626-'19_Расчет_аналитики'!BO624</f>
        <v/>
      </c>
    </row>
    <row r="628">
      <c r="B628">
        <f>MAX(0,-'19_Расчет_аналитики'!B627)</f>
        <v/>
      </c>
      <c r="C628">
        <f>MAX(0,-'19_Расчет_аналитики'!C627)</f>
        <v/>
      </c>
      <c r="D628">
        <f>MAX(0,-'19_Расчет_аналитики'!D627)</f>
        <v/>
      </c>
      <c r="E628">
        <f>MAX(0,-'19_Расчет_аналитики'!E627)</f>
        <v/>
      </c>
      <c r="F628">
        <f>MAX(0,-'19_Расчет_аналитики'!F627)</f>
        <v/>
      </c>
      <c r="G628">
        <f>MAX(0,-'19_Расчет_аналитики'!G627)</f>
        <v/>
      </c>
      <c r="H628">
        <f>MAX(0,-'19_Расчет_аналитики'!H627)</f>
        <v/>
      </c>
      <c r="I628">
        <f>MAX(0,-'19_Расчет_аналитики'!I627)</f>
        <v/>
      </c>
      <c r="J628">
        <f>MAX(0,-'19_Расчет_аналитики'!J627)</f>
        <v/>
      </c>
      <c r="K628">
        <f>MAX(0,-'19_Расчет_аналитики'!K627)</f>
        <v/>
      </c>
      <c r="L628">
        <f>MAX(0,-'19_Расчет_аналитики'!L627)</f>
        <v/>
      </c>
      <c r="M628">
        <f>MAX(0,-'19_Расчет_аналитики'!M627)</f>
        <v/>
      </c>
      <c r="N628">
        <f>MAX(0,-'19_Расчет_аналитики'!N627)</f>
        <v/>
      </c>
      <c r="O628">
        <f>MAX(0,-'19_Расчет_аналитики'!O627)</f>
        <v/>
      </c>
      <c r="P628">
        <f>MAX(0,-'19_Расчет_аналитики'!P627)</f>
        <v/>
      </c>
      <c r="Q628">
        <f>MAX(0,-'19_Расчет_аналитики'!Q627)</f>
        <v/>
      </c>
      <c r="R628">
        <f>MAX(0,-'19_Расчет_аналитики'!R627)</f>
        <v/>
      </c>
      <c r="S628">
        <f>MAX(0,-'19_Расчет_аналитики'!S627)</f>
        <v/>
      </c>
      <c r="T628">
        <f>MAX(0,-'19_Расчет_аналитики'!T627)</f>
        <v/>
      </c>
      <c r="U628">
        <f>MAX(0,-'19_Расчет_аналитики'!U627)</f>
        <v/>
      </c>
      <c r="V628">
        <f>MAX(0,-'19_Расчет_аналитики'!V627)</f>
        <v/>
      </c>
      <c r="W628">
        <f>MAX(0,-'19_Расчет_аналитики'!W627)</f>
        <v/>
      </c>
      <c r="X628">
        <f>MAX(0,-'19_Расчет_аналитики'!X627)</f>
        <v/>
      </c>
      <c r="Y628">
        <f>MAX(0,-'19_Расчет_аналитики'!Y627)</f>
        <v/>
      </c>
      <c r="Z628">
        <f>MAX(0,-'19_Расчет_аналитики'!Z627)</f>
        <v/>
      </c>
      <c r="AA628">
        <f>MAX(0,-'19_Расчет_аналитики'!AA627)</f>
        <v/>
      </c>
      <c r="AB628">
        <f>MAX(0,-'19_Расчет_аналитики'!AB627)</f>
        <v/>
      </c>
      <c r="AC628">
        <f>MAX(0,-'19_Расчет_аналитики'!AC627)</f>
        <v/>
      </c>
      <c r="AD628">
        <f>MAX(0,-'19_Расчет_аналитики'!AD627)</f>
        <v/>
      </c>
      <c r="AE628">
        <f>MAX(0,-'19_Расчет_аналитики'!AE627)</f>
        <v/>
      </c>
      <c r="AF628">
        <f>MAX(0,-'19_Расчет_аналитики'!AF627)</f>
        <v/>
      </c>
      <c r="AG628">
        <f>MAX(0,-'19_Расчет_аналитики'!AG627)</f>
        <v/>
      </c>
      <c r="AH628">
        <f>MAX(0,-'19_Расчет_аналитики'!AH627)</f>
        <v/>
      </c>
      <c r="AI628">
        <f>MAX(0,-'19_Расчет_аналитики'!AI627)</f>
        <v/>
      </c>
      <c r="AJ628">
        <f>MAX(0,-'19_Расчет_аналитики'!AJ627)</f>
        <v/>
      </c>
      <c r="AK628">
        <f>MAX(0,-'19_Расчет_аналитики'!AK627)</f>
        <v/>
      </c>
      <c r="AL628">
        <f>MAX(0,-'19_Расчет_аналитики'!AL627)</f>
        <v/>
      </c>
      <c r="AM628">
        <f>MAX(0,-'19_Расчет_аналитики'!AM627)</f>
        <v/>
      </c>
      <c r="AN628">
        <f>MAX(0,-'19_Расчет_аналитики'!AN627)</f>
        <v/>
      </c>
      <c r="AO628">
        <f>MAX(0,-'19_Расчет_аналитики'!AO627)</f>
        <v/>
      </c>
      <c r="AP628">
        <f>MAX(0,-'19_Расчет_аналитики'!AP627)</f>
        <v/>
      </c>
      <c r="AQ628">
        <f>MAX(0,-'19_Расчет_аналитики'!AQ627)</f>
        <v/>
      </c>
      <c r="AR628">
        <f>MAX(0,-'19_Расчет_аналитики'!AR627)</f>
        <v/>
      </c>
      <c r="AS628">
        <f>MAX(0,-'19_Расчет_аналитики'!AS627)</f>
        <v/>
      </c>
      <c r="AT628">
        <f>MAX(0,-'19_Расчет_аналитики'!AT627)</f>
        <v/>
      </c>
      <c r="AU628">
        <f>MAX(0,-'19_Расчет_аналитики'!AU627)</f>
        <v/>
      </c>
      <c r="AV628">
        <f>MAX(0,-'19_Расчет_аналитики'!AV627)</f>
        <v/>
      </c>
      <c r="AW628">
        <f>MAX(0,-'19_Расчет_аналитики'!AW627)</f>
        <v/>
      </c>
      <c r="AX628">
        <f>MAX(0,-'19_Расчет_аналитики'!AX627)</f>
        <v/>
      </c>
      <c r="AY628">
        <f>MAX(0,-'19_Расчет_аналитики'!AY627)</f>
        <v/>
      </c>
      <c r="AZ628">
        <f>MAX(0,-'19_Расчет_аналитики'!AZ627)</f>
        <v/>
      </c>
      <c r="BA628">
        <f>MAX(0,-'19_Расчет_аналитики'!BA627)</f>
        <v/>
      </c>
      <c r="BB628">
        <f>MAX(0,-'19_Расчет_аналитики'!BB627)</f>
        <v/>
      </c>
      <c r="BC628">
        <f>MAX(0,-'19_Расчет_аналитики'!BC627)</f>
        <v/>
      </c>
      <c r="BD628">
        <f>MAX(0,-'19_Расчет_аналитики'!BD627)</f>
        <v/>
      </c>
      <c r="BE628">
        <f>MAX(0,-'19_Расчет_аналитики'!BE627)</f>
        <v/>
      </c>
      <c r="BF628">
        <f>MAX(0,-'19_Расчет_аналитики'!BF627)</f>
        <v/>
      </c>
      <c r="BG628">
        <f>MAX(0,-'19_Расчет_аналитики'!BG627)</f>
        <v/>
      </c>
      <c r="BH628">
        <f>MAX(0,-'19_Расчет_аналитики'!BH627)</f>
        <v/>
      </c>
      <c r="BI628">
        <f>MAX(0,-'19_Расчет_аналитики'!BI627)</f>
        <v/>
      </c>
      <c r="BJ628">
        <f>MAX(0,-'19_Расчет_аналитики'!BJ627)</f>
        <v/>
      </c>
      <c r="BK628">
        <f>MAX(0,-'19_Расчет_аналитики'!BK627)</f>
        <v/>
      </c>
      <c r="BL628">
        <f>MAX(0,-'19_Расчет_аналитики'!BL627)</f>
        <v/>
      </c>
      <c r="BM628">
        <f>MAX(0,-'19_Расчет_аналитики'!BM627)</f>
        <v/>
      </c>
      <c r="BN628">
        <f>MAX(0,-'19_Расчет_аналитики'!BN627)</f>
        <v/>
      </c>
      <c r="BO628">
        <f>MAX(0,-'19_Расчет_аналитики'!BO627)</f>
        <v/>
      </c>
    </row>
    <row r="629"/>
    <row r="630">
      <c r="C630">
        <f>'19_Расчет_аналитики'!B633</f>
        <v/>
      </c>
      <c r="D630">
        <f>'19_Расчет_аналитики'!C633</f>
        <v/>
      </c>
      <c r="E630">
        <f>'19_Расчет_аналитики'!D633</f>
        <v/>
      </c>
      <c r="F630">
        <f>'19_Расчет_аналитики'!E633</f>
        <v/>
      </c>
      <c r="G630">
        <f>'19_Расчет_аналитики'!F633</f>
        <v/>
      </c>
      <c r="H630">
        <f>'19_Расчет_аналитики'!G633</f>
        <v/>
      </c>
      <c r="I630">
        <f>'19_Расчет_аналитики'!H633</f>
        <v/>
      </c>
      <c r="J630">
        <f>'19_Расчет_аналитики'!I633</f>
        <v/>
      </c>
      <c r="K630">
        <f>'19_Расчет_аналитики'!J633</f>
        <v/>
      </c>
      <c r="L630">
        <f>'19_Расчет_аналитики'!K633</f>
        <v/>
      </c>
      <c r="M630">
        <f>'19_Расчет_аналитики'!L633</f>
        <v/>
      </c>
      <c r="N630">
        <f>'19_Расчет_аналитики'!M633</f>
        <v/>
      </c>
      <c r="O630">
        <f>'19_Расчет_аналитики'!N633</f>
        <v/>
      </c>
      <c r="P630">
        <f>'19_Расчет_аналитики'!O633</f>
        <v/>
      </c>
      <c r="Q630">
        <f>'19_Расчет_аналитики'!P633</f>
        <v/>
      </c>
      <c r="R630">
        <f>'19_Расчет_аналитики'!Q633</f>
        <v/>
      </c>
      <c r="S630">
        <f>'19_Расчет_аналитики'!R633</f>
        <v/>
      </c>
      <c r="T630">
        <f>'19_Расчет_аналитики'!S633</f>
        <v/>
      </c>
      <c r="U630">
        <f>'19_Расчет_аналитики'!T633</f>
        <v/>
      </c>
      <c r="V630">
        <f>'19_Расчет_аналитики'!U633</f>
        <v/>
      </c>
      <c r="W630">
        <f>'19_Расчет_аналитики'!V633</f>
        <v/>
      </c>
      <c r="X630">
        <f>'19_Расчет_аналитики'!W633</f>
        <v/>
      </c>
      <c r="Y630">
        <f>'19_Расчет_аналитики'!X633</f>
        <v/>
      </c>
      <c r="Z630">
        <f>'19_Расчет_аналитики'!Y633</f>
        <v/>
      </c>
      <c r="AA630">
        <f>'19_Расчет_аналитики'!Z633</f>
        <v/>
      </c>
      <c r="AB630">
        <f>'19_Расчет_аналитики'!AA633</f>
        <v/>
      </c>
      <c r="AC630">
        <f>'19_Расчет_аналитики'!AB633</f>
        <v/>
      </c>
      <c r="AD630">
        <f>'19_Расчет_аналитики'!AC633</f>
        <v/>
      </c>
      <c r="AE630">
        <f>'19_Расчет_аналитики'!AD633</f>
        <v/>
      </c>
      <c r="AF630">
        <f>'19_Расчет_аналитики'!AE633</f>
        <v/>
      </c>
      <c r="AG630">
        <f>'19_Расчет_аналитики'!AF633</f>
        <v/>
      </c>
      <c r="AH630">
        <f>'19_Расчет_аналитики'!AG633</f>
        <v/>
      </c>
      <c r="AI630">
        <f>'19_Расчет_аналитики'!AH633</f>
        <v/>
      </c>
      <c r="AJ630">
        <f>'19_Расчет_аналитики'!AI633</f>
        <v/>
      </c>
      <c r="AK630">
        <f>'19_Расчет_аналитики'!AJ633</f>
        <v/>
      </c>
      <c r="AL630">
        <f>'19_Расчет_аналитики'!AK633</f>
        <v/>
      </c>
      <c r="AM630">
        <f>'19_Расчет_аналитики'!AL633</f>
        <v/>
      </c>
      <c r="AN630">
        <f>'19_Расчет_аналитики'!AM633</f>
        <v/>
      </c>
      <c r="AO630">
        <f>'19_Расчет_аналитики'!AN633</f>
        <v/>
      </c>
      <c r="AP630">
        <f>'19_Расчет_аналитики'!AO633</f>
        <v/>
      </c>
      <c r="AQ630">
        <f>'19_Расчет_аналитики'!AP633</f>
        <v/>
      </c>
      <c r="AR630">
        <f>'19_Расчет_аналитики'!AQ633</f>
        <v/>
      </c>
      <c r="AS630">
        <f>'19_Расчет_аналитики'!AR633</f>
        <v/>
      </c>
      <c r="AT630">
        <f>'19_Расчет_аналитики'!AS633</f>
        <v/>
      </c>
      <c r="AU630">
        <f>'19_Расчет_аналитики'!AT633</f>
        <v/>
      </c>
      <c r="AV630">
        <f>'19_Расчет_аналитики'!AU633</f>
        <v/>
      </c>
      <c r="AW630">
        <f>'19_Расчет_аналитики'!AV633</f>
        <v/>
      </c>
      <c r="AX630">
        <f>'19_Расчет_аналитики'!AW633</f>
        <v/>
      </c>
      <c r="AY630">
        <f>'19_Расчет_аналитики'!AX633</f>
        <v/>
      </c>
      <c r="AZ630">
        <f>'19_Расчет_аналитики'!AY633</f>
        <v/>
      </c>
      <c r="BA630">
        <f>'19_Расчет_аналитики'!AZ633</f>
        <v/>
      </c>
      <c r="BB630">
        <f>'19_Расчет_аналитики'!BA633</f>
        <v/>
      </c>
      <c r="BC630">
        <f>'19_Расчет_аналитики'!BB633</f>
        <v/>
      </c>
      <c r="BD630">
        <f>'19_Расчет_аналитики'!BC633</f>
        <v/>
      </c>
      <c r="BE630">
        <f>'19_Расчет_аналитики'!BD633</f>
        <v/>
      </c>
      <c r="BF630">
        <f>'19_Расчет_аналитики'!BE633</f>
        <v/>
      </c>
      <c r="BG630">
        <f>'19_Расчет_аналитики'!BF633</f>
        <v/>
      </c>
      <c r="BH630">
        <f>'19_Расчет_аналитики'!BG633</f>
        <v/>
      </c>
      <c r="BI630">
        <f>'19_Расчет_аналитики'!BH633</f>
        <v/>
      </c>
      <c r="BJ630">
        <f>'19_Расчет_аналитики'!BI633</f>
        <v/>
      </c>
      <c r="BK630">
        <f>'19_Расчет_аналитики'!BJ633</f>
        <v/>
      </c>
      <c r="BL630">
        <f>'19_Расчет_аналитики'!BK633</f>
        <v/>
      </c>
      <c r="BM630">
        <f>'19_Расчет_аналитики'!BL633</f>
        <v/>
      </c>
      <c r="BN630">
        <f>'19_Расчет_аналитики'!BM633</f>
        <v/>
      </c>
      <c r="BO630">
        <f>'19_Расчет_аналитики'!BN633</f>
        <v/>
      </c>
    </row>
    <row r="631">
      <c r="B631">
        <f>MIN('07_Мерч'!B29,'19_Расчет_аналитики'!B617*'01_Вводные'!$B$79)</f>
        <v/>
      </c>
      <c r="C631">
        <f>MIN('19_Расчет_аналитики'!C630,'19_Расчет_аналитики'!C617*'01_Вводные'!$B$79)</f>
        <v/>
      </c>
      <c r="D631">
        <f>MIN('19_Расчет_аналитики'!D630,'19_Расчет_аналитики'!D617*'01_Вводные'!$B$79)</f>
        <v/>
      </c>
      <c r="E631">
        <f>MIN('19_Расчет_аналитики'!E630,'19_Расчет_аналитики'!E617*'01_Вводные'!$B$79)</f>
        <v/>
      </c>
      <c r="F631">
        <f>MIN('19_Расчет_аналитики'!F630,'19_Расчет_аналитики'!F617*'01_Вводные'!$B$79)</f>
        <v/>
      </c>
      <c r="G631">
        <f>MIN('19_Расчет_аналитики'!G630,'19_Расчет_аналитики'!G617*'01_Вводные'!$B$79)</f>
        <v/>
      </c>
      <c r="H631">
        <f>MIN('19_Расчет_аналитики'!H630,'19_Расчет_аналитики'!H617*'01_Вводные'!$B$79)</f>
        <v/>
      </c>
      <c r="I631">
        <f>MIN('19_Расчет_аналитики'!I630,'19_Расчет_аналитики'!I617*'01_Вводные'!$B$79)</f>
        <v/>
      </c>
      <c r="J631">
        <f>MIN('19_Расчет_аналитики'!J630,'19_Расчет_аналитики'!J617*'01_Вводные'!$B$79)</f>
        <v/>
      </c>
      <c r="K631">
        <f>MIN('19_Расчет_аналитики'!K630,'19_Расчет_аналитики'!K617*'01_Вводные'!$B$79)</f>
        <v/>
      </c>
      <c r="L631">
        <f>MIN('19_Расчет_аналитики'!L630,'19_Расчет_аналитики'!L617*'01_Вводные'!$B$79)</f>
        <v/>
      </c>
      <c r="M631">
        <f>MIN('19_Расчет_аналитики'!M630,'19_Расчет_аналитики'!M617*'01_Вводные'!$B$79)</f>
        <v/>
      </c>
      <c r="N631">
        <f>MIN('19_Расчет_аналитики'!N630,'19_Расчет_аналитики'!N617*'01_Вводные'!$B$79)</f>
        <v/>
      </c>
      <c r="O631">
        <f>MIN('19_Расчет_аналитики'!O630,'19_Расчет_аналитики'!O617*'01_Вводные'!$B$79)</f>
        <v/>
      </c>
      <c r="P631">
        <f>MIN('19_Расчет_аналитики'!P630,'19_Расчет_аналитики'!P617*'01_Вводные'!$B$79)</f>
        <v/>
      </c>
      <c r="Q631">
        <f>MIN('19_Расчет_аналитики'!Q630,'19_Расчет_аналитики'!Q617*'01_Вводные'!$B$79)</f>
        <v/>
      </c>
      <c r="R631">
        <f>MIN('19_Расчет_аналитики'!R630,'19_Расчет_аналитики'!R617*'01_Вводные'!$B$79)</f>
        <v/>
      </c>
      <c r="S631">
        <f>MIN('19_Расчет_аналитики'!S630,'19_Расчет_аналитики'!S617*'01_Вводные'!$B$79)</f>
        <v/>
      </c>
      <c r="T631">
        <f>MIN('19_Расчет_аналитики'!T630,'19_Расчет_аналитики'!T617*'01_Вводные'!$B$79)</f>
        <v/>
      </c>
      <c r="U631">
        <f>MIN('19_Расчет_аналитики'!U630,'19_Расчет_аналитики'!U617*'01_Вводные'!$B$79)</f>
        <v/>
      </c>
      <c r="V631">
        <f>MIN('19_Расчет_аналитики'!V630,'19_Расчет_аналитики'!V617*'01_Вводные'!$B$79)</f>
        <v/>
      </c>
      <c r="W631">
        <f>MIN('19_Расчет_аналитики'!W630,'19_Расчет_аналитики'!W617*'01_Вводные'!$B$79)</f>
        <v/>
      </c>
      <c r="X631">
        <f>MIN('19_Расчет_аналитики'!X630,'19_Расчет_аналитики'!X617*'01_Вводные'!$B$79)</f>
        <v/>
      </c>
      <c r="Y631">
        <f>MIN('19_Расчет_аналитики'!Y630,'19_Расчет_аналитики'!Y617*'01_Вводные'!$B$79)</f>
        <v/>
      </c>
      <c r="Z631">
        <f>MIN('19_Расчет_аналитики'!Z630,'19_Расчет_аналитики'!Z617*'01_Вводные'!$B$79)</f>
        <v/>
      </c>
      <c r="AA631">
        <f>MIN('19_Расчет_аналитики'!AA630,'19_Расчет_аналитики'!AA617*'01_Вводные'!$B$79)</f>
        <v/>
      </c>
      <c r="AB631">
        <f>MIN('19_Расчет_аналитики'!AB630,'19_Расчет_аналитики'!AB617*'01_Вводные'!$B$79)</f>
        <v/>
      </c>
      <c r="AC631">
        <f>MIN('19_Расчет_аналитики'!AC630,'19_Расчет_аналитики'!AC617*'01_Вводные'!$B$79)</f>
        <v/>
      </c>
      <c r="AD631">
        <f>MIN('19_Расчет_аналитики'!AD630,'19_Расчет_аналитики'!AD617*'01_Вводные'!$B$79)</f>
        <v/>
      </c>
      <c r="AE631">
        <f>MIN('19_Расчет_аналитики'!AE630,'19_Расчет_аналитики'!AE617*'01_Вводные'!$B$79)</f>
        <v/>
      </c>
      <c r="AF631">
        <f>MIN('19_Расчет_аналитики'!AF630,'19_Расчет_аналитики'!AF617*'01_Вводные'!$B$79)</f>
        <v/>
      </c>
      <c r="AG631">
        <f>MIN('19_Расчет_аналитики'!AG630,'19_Расчет_аналитики'!AG617*'01_Вводные'!$B$79)</f>
        <v/>
      </c>
      <c r="AH631">
        <f>MIN('19_Расчет_аналитики'!AH630,'19_Расчет_аналитики'!AH617*'01_Вводные'!$B$79)</f>
        <v/>
      </c>
      <c r="AI631">
        <f>MIN('19_Расчет_аналитики'!AI630,'19_Расчет_аналитики'!AI617*'01_Вводные'!$B$79)</f>
        <v/>
      </c>
      <c r="AJ631">
        <f>MIN('19_Расчет_аналитики'!AJ630,'19_Расчет_аналитики'!AJ617*'01_Вводные'!$B$79)</f>
        <v/>
      </c>
      <c r="AK631">
        <f>MIN('19_Расчет_аналитики'!AK630,'19_Расчет_аналитики'!AK617*'01_Вводные'!$B$79)</f>
        <v/>
      </c>
      <c r="AL631">
        <f>MIN('19_Расчет_аналитики'!AL630,'19_Расчет_аналитики'!AL617*'01_Вводные'!$B$79)</f>
        <v/>
      </c>
      <c r="AM631">
        <f>MIN('19_Расчет_аналитики'!AM630,'19_Расчет_аналитики'!AM617*'01_Вводные'!$B$79)</f>
        <v/>
      </c>
      <c r="AN631">
        <f>MIN('19_Расчет_аналитики'!AN630,'19_Расчет_аналитики'!AN617*'01_Вводные'!$B$79)</f>
        <v/>
      </c>
      <c r="AO631">
        <f>MIN('19_Расчет_аналитики'!AO630,'19_Расчет_аналитики'!AO617*'01_Вводные'!$B$79)</f>
        <v/>
      </c>
      <c r="AP631">
        <f>MIN('19_Расчет_аналитики'!AP630,'19_Расчет_аналитики'!AP617*'01_Вводные'!$B$79)</f>
        <v/>
      </c>
      <c r="AQ631">
        <f>MIN('19_Расчет_аналитики'!AQ630,'19_Расчет_аналитики'!AQ617*'01_Вводные'!$B$79)</f>
        <v/>
      </c>
      <c r="AR631">
        <f>MIN('19_Расчет_аналитики'!AR630,'19_Расчет_аналитики'!AR617*'01_Вводные'!$B$79)</f>
        <v/>
      </c>
      <c r="AS631">
        <f>MIN('19_Расчет_аналитики'!AS630,'19_Расчет_аналитики'!AS617*'01_Вводные'!$B$79)</f>
        <v/>
      </c>
      <c r="AT631">
        <f>MIN('19_Расчет_аналитики'!AT630,'19_Расчет_аналитики'!AT617*'01_Вводные'!$B$79)</f>
        <v/>
      </c>
      <c r="AU631">
        <f>MIN('19_Расчет_аналитики'!AU630,'19_Расчет_аналитики'!AU617*'01_Вводные'!$B$79)</f>
        <v/>
      </c>
      <c r="AV631">
        <f>MIN('19_Расчет_аналитики'!AV630,'19_Расчет_аналитики'!AV617*'01_Вводные'!$B$79)</f>
        <v/>
      </c>
      <c r="AW631">
        <f>MIN('19_Расчет_аналитики'!AW630,'19_Расчет_аналитики'!AW617*'01_Вводные'!$B$79)</f>
        <v/>
      </c>
      <c r="AX631">
        <f>MIN('19_Расчет_аналитики'!AX630,'19_Расчет_аналитики'!AX617*'01_Вводные'!$B$79)</f>
        <v/>
      </c>
      <c r="AY631">
        <f>MIN('19_Расчет_аналитики'!AY630,'19_Расчет_аналитики'!AY617*'01_Вводные'!$B$79)</f>
        <v/>
      </c>
      <c r="AZ631">
        <f>MIN('19_Расчет_аналитики'!AZ630,'19_Расчет_аналитики'!AZ617*'01_Вводные'!$B$79)</f>
        <v/>
      </c>
      <c r="BA631">
        <f>MIN('19_Расчет_аналитики'!BA630,'19_Расчет_аналитики'!BA617*'01_Вводные'!$B$79)</f>
        <v/>
      </c>
      <c r="BB631">
        <f>MIN('19_Расчет_аналитики'!BB630,'19_Расчет_аналитики'!BB617*'01_Вводные'!$B$79)</f>
        <v/>
      </c>
      <c r="BC631">
        <f>MIN('19_Расчет_аналитики'!BC630,'19_Расчет_аналитики'!BC617*'01_Вводные'!$B$79)</f>
        <v/>
      </c>
      <c r="BD631">
        <f>MIN('19_Расчет_аналитики'!BD630,'19_Расчет_аналитики'!BD617*'01_Вводные'!$B$79)</f>
        <v/>
      </c>
      <c r="BE631">
        <f>MIN('19_Расчет_аналитики'!BE630,'19_Расчет_аналитики'!BE617*'01_Вводные'!$B$79)</f>
        <v/>
      </c>
      <c r="BF631">
        <f>MIN('19_Расчет_аналитики'!BF630,'19_Расчет_аналитики'!BF617*'01_Вводные'!$B$79)</f>
        <v/>
      </c>
      <c r="BG631">
        <f>MIN('19_Расчет_аналитики'!BG630,'19_Расчет_аналитики'!BG617*'01_Вводные'!$B$79)</f>
        <v/>
      </c>
      <c r="BH631">
        <f>MIN('19_Расчет_аналитики'!BH630,'19_Расчет_аналитики'!BH617*'01_Вводные'!$B$79)</f>
        <v/>
      </c>
      <c r="BI631">
        <f>MIN('19_Расчет_аналитики'!BI630,'19_Расчет_аналитики'!BI617*'01_Вводные'!$B$79)</f>
        <v/>
      </c>
      <c r="BJ631">
        <f>MIN('19_Расчет_аналитики'!BJ630,'19_Расчет_аналитики'!BJ617*'01_Вводные'!$B$79)</f>
        <v/>
      </c>
      <c r="BK631">
        <f>MIN('19_Расчет_аналитики'!BK630,'19_Расчет_аналитики'!BK617*'01_Вводные'!$B$79)</f>
        <v/>
      </c>
      <c r="BL631">
        <f>MIN('19_Расчет_аналитики'!BL630,'19_Расчет_аналитики'!BL617*'01_Вводные'!$B$79)</f>
        <v/>
      </c>
      <c r="BM631">
        <f>MIN('19_Расчет_аналитики'!BM630,'19_Расчет_аналитики'!BM617*'01_Вводные'!$B$79)</f>
        <v/>
      </c>
      <c r="BN631">
        <f>MIN('19_Расчет_аналитики'!BN630,'19_Расчет_аналитики'!BN617*'01_Вводные'!$B$79)</f>
        <v/>
      </c>
      <c r="BO631">
        <f>MIN('19_Расчет_аналитики'!BO630,'19_Расчет_аналитики'!BO617*'01_Вводные'!$B$79)</f>
        <v/>
      </c>
    </row>
    <row r="632">
      <c r="B632">
        <f>IF(OR('01_Вводные'!$B$238="Нет",'19_Расчет_аналитики'!B627&gt;='19_Расчет_аналитики'!B339-0.01),MIN('19_Расчет_аналитики'!B631,MAX(0,'19_Расчет_аналитики'!B787)),0)</f>
        <v/>
      </c>
      <c r="C632">
        <f>IF(OR('01_Вводные'!$B$238="Нет",'19_Расчет_аналитики'!C627&gt;='19_Расчет_аналитики'!C339-0.01),MIN('19_Расчет_аналитики'!C631,MAX(0,'19_Расчет_аналитики'!C787)),0)</f>
        <v/>
      </c>
      <c r="D632">
        <f>IF(OR('01_Вводные'!$B$238="Нет",'19_Расчет_аналитики'!D627&gt;='19_Расчет_аналитики'!D339-0.01),MIN('19_Расчет_аналитики'!D631,MAX(0,'19_Расчет_аналитики'!D787)),0)</f>
        <v/>
      </c>
      <c r="E632">
        <f>IF(OR('01_Вводные'!$B$238="Нет",'19_Расчет_аналитики'!E627&gt;='19_Расчет_аналитики'!E339-0.01),MIN('19_Расчет_аналитики'!E631,MAX(0,'19_Расчет_аналитики'!E787)),0)</f>
        <v/>
      </c>
      <c r="F632">
        <f>IF(OR('01_Вводные'!$B$238="Нет",'19_Расчет_аналитики'!F627&gt;='19_Расчет_аналитики'!F339-0.01),MIN('19_Расчет_аналитики'!F631,MAX(0,'19_Расчет_аналитики'!F787)),0)</f>
        <v/>
      </c>
      <c r="G632">
        <f>IF(OR('01_Вводные'!$B$238="Нет",'19_Расчет_аналитики'!G627&gt;='19_Расчет_аналитики'!G339-0.01),MIN('19_Расчет_аналитики'!G631,MAX(0,'19_Расчет_аналитики'!G787)),0)</f>
        <v/>
      </c>
      <c r="H632">
        <f>IF(OR('01_Вводные'!$B$238="Нет",'19_Расчет_аналитики'!H627&gt;='19_Расчет_аналитики'!H339-0.01),MIN('19_Расчет_аналитики'!H631,MAX(0,'19_Расчет_аналитики'!H787)),0)</f>
        <v/>
      </c>
      <c r="I632">
        <f>IF(OR('01_Вводные'!$B$238="Нет",'19_Расчет_аналитики'!I627&gt;='19_Расчет_аналитики'!I339-0.01),MIN('19_Расчет_аналитики'!I631,MAX(0,'19_Расчет_аналитики'!I787)),0)</f>
        <v/>
      </c>
      <c r="J632">
        <f>IF(OR('01_Вводные'!$B$238="Нет",'19_Расчет_аналитики'!J627&gt;='19_Расчет_аналитики'!J339-0.01),MIN('19_Расчет_аналитики'!J631,MAX(0,'19_Расчет_аналитики'!J787)),0)</f>
        <v/>
      </c>
      <c r="K632">
        <f>IF(OR('01_Вводные'!$B$238="Нет",'19_Расчет_аналитики'!K627&gt;='19_Расчет_аналитики'!K339-0.01),MIN('19_Расчет_аналитики'!K631,MAX(0,'19_Расчет_аналитики'!K787)),0)</f>
        <v/>
      </c>
      <c r="L632">
        <f>IF(OR('01_Вводные'!$B$238="Нет",'19_Расчет_аналитики'!L627&gt;='19_Расчет_аналитики'!L339-0.01),MIN('19_Расчет_аналитики'!L631,MAX(0,'19_Расчет_аналитики'!L787)),0)</f>
        <v/>
      </c>
      <c r="M632">
        <f>IF(OR('01_Вводные'!$B$238="Нет",'19_Расчет_аналитики'!M627&gt;='19_Расчет_аналитики'!M339-0.01),MIN('19_Расчет_аналитики'!M631,MAX(0,'19_Расчет_аналитики'!M787)),0)</f>
        <v/>
      </c>
      <c r="N632">
        <f>IF(OR('01_Вводные'!$B$238="Нет",'19_Расчет_аналитики'!N627&gt;='19_Расчет_аналитики'!N339-0.01),MIN('19_Расчет_аналитики'!N631,MAX(0,'19_Расчет_аналитики'!N787)),0)</f>
        <v/>
      </c>
      <c r="O632">
        <f>IF(OR('01_Вводные'!$B$238="Нет",'19_Расчет_аналитики'!O627&gt;='19_Расчет_аналитики'!O339-0.01),MIN('19_Расчет_аналитики'!O631,MAX(0,'19_Расчет_аналитики'!O787)),0)</f>
        <v/>
      </c>
      <c r="P632">
        <f>IF(OR('01_Вводные'!$B$238="Нет",'19_Расчет_аналитики'!P627&gt;='19_Расчет_аналитики'!P339-0.01),MIN('19_Расчет_аналитики'!P631,MAX(0,'19_Расчет_аналитики'!P787)),0)</f>
        <v/>
      </c>
      <c r="Q632">
        <f>IF(OR('01_Вводные'!$B$238="Нет",'19_Расчет_аналитики'!Q627&gt;='19_Расчет_аналитики'!Q339-0.01),MIN('19_Расчет_аналитики'!Q631,MAX(0,'19_Расчет_аналитики'!Q787)),0)</f>
        <v/>
      </c>
      <c r="R632">
        <f>IF(OR('01_Вводные'!$B$238="Нет",'19_Расчет_аналитики'!R627&gt;='19_Расчет_аналитики'!R339-0.01),MIN('19_Расчет_аналитики'!R631,MAX(0,'19_Расчет_аналитики'!R787)),0)</f>
        <v/>
      </c>
      <c r="S632">
        <f>IF(OR('01_Вводные'!$B$238="Нет",'19_Расчет_аналитики'!S627&gt;='19_Расчет_аналитики'!S339-0.01),MIN('19_Расчет_аналитики'!S631,MAX(0,'19_Расчет_аналитики'!S787)),0)</f>
        <v/>
      </c>
      <c r="T632">
        <f>IF(OR('01_Вводные'!$B$238="Нет",'19_Расчет_аналитики'!T627&gt;='19_Расчет_аналитики'!T339-0.01),MIN('19_Расчет_аналитики'!T631,MAX(0,'19_Расчет_аналитики'!T787)),0)</f>
        <v/>
      </c>
      <c r="U632">
        <f>IF(OR('01_Вводные'!$B$238="Нет",'19_Расчет_аналитики'!U627&gt;='19_Расчет_аналитики'!U339-0.01),MIN('19_Расчет_аналитики'!U631,MAX(0,'19_Расчет_аналитики'!U787)),0)</f>
        <v/>
      </c>
      <c r="V632">
        <f>IF(OR('01_Вводные'!$B$238="Нет",'19_Расчет_аналитики'!V627&gt;='19_Расчет_аналитики'!V339-0.01),MIN('19_Расчет_аналитики'!V631,MAX(0,'19_Расчет_аналитики'!V787)),0)</f>
        <v/>
      </c>
      <c r="W632">
        <f>IF(OR('01_Вводные'!$B$238="Нет",'19_Расчет_аналитики'!W627&gt;='19_Расчет_аналитики'!W339-0.01),MIN('19_Расчет_аналитики'!W631,MAX(0,'19_Расчет_аналитики'!W787)),0)</f>
        <v/>
      </c>
      <c r="X632">
        <f>IF(OR('01_Вводные'!$B$238="Нет",'19_Расчет_аналитики'!X627&gt;='19_Расчет_аналитики'!X339-0.01),MIN('19_Расчет_аналитики'!X631,MAX(0,'19_Расчет_аналитики'!X787)),0)</f>
        <v/>
      </c>
      <c r="Y632">
        <f>IF(OR('01_Вводные'!$B$238="Нет",'19_Расчет_аналитики'!Y627&gt;='19_Расчет_аналитики'!Y339-0.01),MIN('19_Расчет_аналитики'!Y631,MAX(0,'19_Расчет_аналитики'!Y787)),0)</f>
        <v/>
      </c>
      <c r="Z632">
        <f>IF(OR('01_Вводные'!$B$238="Нет",'19_Расчет_аналитики'!Z627&gt;='19_Расчет_аналитики'!Z339-0.01),MIN('19_Расчет_аналитики'!Z631,MAX(0,'19_Расчет_аналитики'!Z787)),0)</f>
        <v/>
      </c>
      <c r="AA632">
        <f>IF(OR('01_Вводные'!$B$238="Нет",'19_Расчет_аналитики'!AA627&gt;='19_Расчет_аналитики'!AA339-0.01),MIN('19_Расчет_аналитики'!AA631,MAX(0,'19_Расчет_аналитики'!AA787)),0)</f>
        <v/>
      </c>
      <c r="AB632">
        <f>IF(OR('01_Вводные'!$B$238="Нет",'19_Расчет_аналитики'!AB627&gt;='19_Расчет_аналитики'!AB339-0.01),MIN('19_Расчет_аналитики'!AB631,MAX(0,'19_Расчет_аналитики'!AB787)),0)</f>
        <v/>
      </c>
      <c r="AC632">
        <f>IF(OR('01_Вводные'!$B$238="Нет",'19_Расчет_аналитики'!AC627&gt;='19_Расчет_аналитики'!AC339-0.01),MIN('19_Расчет_аналитики'!AC631,MAX(0,'19_Расчет_аналитики'!AC787)),0)</f>
        <v/>
      </c>
      <c r="AD632">
        <f>IF(OR('01_Вводные'!$B$238="Нет",'19_Расчет_аналитики'!AD627&gt;='19_Расчет_аналитики'!AD339-0.01),MIN('19_Расчет_аналитики'!AD631,MAX(0,'19_Расчет_аналитики'!AD787)),0)</f>
        <v/>
      </c>
      <c r="AE632">
        <f>IF(OR('01_Вводные'!$B$238="Нет",'19_Расчет_аналитики'!AE627&gt;='19_Расчет_аналитики'!AE339-0.01),MIN('19_Расчет_аналитики'!AE631,MAX(0,'19_Расчет_аналитики'!AE787)),0)</f>
        <v/>
      </c>
      <c r="AF632">
        <f>IF(OR('01_Вводные'!$B$238="Нет",'19_Расчет_аналитики'!AF627&gt;='19_Расчет_аналитики'!AF339-0.01),MIN('19_Расчет_аналитики'!AF631,MAX(0,'19_Расчет_аналитики'!AF787)),0)</f>
        <v/>
      </c>
      <c r="AG632">
        <f>IF(OR('01_Вводные'!$B$238="Нет",'19_Расчет_аналитики'!AG627&gt;='19_Расчет_аналитики'!AG339-0.01),MIN('19_Расчет_аналитики'!AG631,MAX(0,'19_Расчет_аналитики'!AG787)),0)</f>
        <v/>
      </c>
      <c r="AH632">
        <f>IF(OR('01_Вводные'!$B$238="Нет",'19_Расчет_аналитики'!AH627&gt;='19_Расчет_аналитики'!AH339-0.01),MIN('19_Расчет_аналитики'!AH631,MAX(0,'19_Расчет_аналитики'!AH787)),0)</f>
        <v/>
      </c>
      <c r="AI632">
        <f>IF(OR('01_Вводные'!$B$238="Нет",'19_Расчет_аналитики'!AI627&gt;='19_Расчет_аналитики'!AI339-0.01),MIN('19_Расчет_аналитики'!AI631,MAX(0,'19_Расчет_аналитики'!AI787)),0)</f>
        <v/>
      </c>
      <c r="AJ632">
        <f>IF(OR('01_Вводные'!$B$238="Нет",'19_Расчет_аналитики'!AJ627&gt;='19_Расчет_аналитики'!AJ339-0.01),MIN('19_Расчет_аналитики'!AJ631,MAX(0,'19_Расчет_аналитики'!AJ787)),0)</f>
        <v/>
      </c>
      <c r="AK632">
        <f>IF(OR('01_Вводные'!$B$238="Нет",'19_Расчет_аналитики'!AK627&gt;='19_Расчет_аналитики'!AK339-0.01),MIN('19_Расчет_аналитики'!AK631,MAX(0,'19_Расчет_аналитики'!AK787)),0)</f>
        <v/>
      </c>
      <c r="AL632">
        <f>IF(OR('01_Вводные'!$B$238="Нет",'19_Расчет_аналитики'!AL627&gt;='19_Расчет_аналитики'!AL339-0.01),MIN('19_Расчет_аналитики'!AL631,MAX(0,'19_Расчет_аналитики'!AL787)),0)</f>
        <v/>
      </c>
      <c r="AM632">
        <f>IF(OR('01_Вводные'!$B$238="Нет",'19_Расчет_аналитики'!AM627&gt;='19_Расчет_аналитики'!AM339-0.01),MIN('19_Расчет_аналитики'!AM631,MAX(0,'19_Расчет_аналитики'!AM787)),0)</f>
        <v/>
      </c>
      <c r="AN632">
        <f>IF(OR('01_Вводные'!$B$238="Нет",'19_Расчет_аналитики'!AN627&gt;='19_Расчет_аналитики'!AN339-0.01),MIN('19_Расчет_аналитики'!AN631,MAX(0,'19_Расчет_аналитики'!AN787)),0)</f>
        <v/>
      </c>
      <c r="AO632">
        <f>IF(OR('01_Вводные'!$B$238="Нет",'19_Расчет_аналитики'!AO627&gt;='19_Расчет_аналитики'!AO339-0.01),MIN('19_Расчет_аналитики'!AO631,MAX(0,'19_Расчет_аналитики'!AO787)),0)</f>
        <v/>
      </c>
      <c r="AP632">
        <f>IF(OR('01_Вводные'!$B$238="Нет",'19_Расчет_аналитики'!AP627&gt;='19_Расчет_аналитики'!AP339-0.01),MIN('19_Расчет_аналитики'!AP631,MAX(0,'19_Расчет_аналитики'!AP787)),0)</f>
        <v/>
      </c>
      <c r="AQ632">
        <f>IF(OR('01_Вводные'!$B$238="Нет",'19_Расчет_аналитики'!AQ627&gt;='19_Расчет_аналитики'!AQ339-0.01),MIN('19_Расчет_аналитики'!AQ631,MAX(0,'19_Расчет_аналитики'!AQ787)),0)</f>
        <v/>
      </c>
      <c r="AR632">
        <f>IF(OR('01_Вводные'!$B$238="Нет",'19_Расчет_аналитики'!AR627&gt;='19_Расчет_аналитики'!AR339-0.01),MIN('19_Расчет_аналитики'!AR631,MAX(0,'19_Расчет_аналитики'!AR787)),0)</f>
        <v/>
      </c>
      <c r="AS632">
        <f>IF(OR('01_Вводные'!$B$238="Нет",'19_Расчет_аналитики'!AS627&gt;='19_Расчет_аналитики'!AS339-0.01),MIN('19_Расчет_аналитики'!AS631,MAX(0,'19_Расчет_аналитики'!AS787)),0)</f>
        <v/>
      </c>
      <c r="AT632">
        <f>IF(OR('01_Вводные'!$B$238="Нет",'19_Расчет_аналитики'!AT627&gt;='19_Расчет_аналитики'!AT339-0.01),MIN('19_Расчет_аналитики'!AT631,MAX(0,'19_Расчет_аналитики'!AT787)),0)</f>
        <v/>
      </c>
      <c r="AU632">
        <f>IF(OR('01_Вводные'!$B$238="Нет",'19_Расчет_аналитики'!AU627&gt;='19_Расчет_аналитики'!AU339-0.01),MIN('19_Расчет_аналитики'!AU631,MAX(0,'19_Расчет_аналитики'!AU787)),0)</f>
        <v/>
      </c>
      <c r="AV632">
        <f>IF(OR('01_Вводные'!$B$238="Нет",'19_Расчет_аналитики'!AV627&gt;='19_Расчет_аналитики'!AV339-0.01),MIN('19_Расчет_аналитики'!AV631,MAX(0,'19_Расчет_аналитики'!AV787)),0)</f>
        <v/>
      </c>
      <c r="AW632">
        <f>IF(OR('01_Вводные'!$B$238="Нет",'19_Расчет_аналитики'!AW627&gt;='19_Расчет_аналитики'!AW339-0.01),MIN('19_Расчет_аналитики'!AW631,MAX(0,'19_Расчет_аналитики'!AW787)),0)</f>
        <v/>
      </c>
      <c r="AX632">
        <f>IF(OR('01_Вводные'!$B$238="Нет",'19_Расчет_аналитики'!AX627&gt;='19_Расчет_аналитики'!AX339-0.01),MIN('19_Расчет_аналитики'!AX631,MAX(0,'19_Расчет_аналитики'!AX787)),0)</f>
        <v/>
      </c>
      <c r="AY632">
        <f>IF(OR('01_Вводные'!$B$238="Нет",'19_Расчет_аналитики'!AY627&gt;='19_Расчет_аналитики'!AY339-0.01),MIN('19_Расчет_аналитики'!AY631,MAX(0,'19_Расчет_аналитики'!AY787)),0)</f>
        <v/>
      </c>
      <c r="AZ632">
        <f>IF(OR('01_Вводные'!$B$238="Нет",'19_Расчет_аналитики'!AZ627&gt;='19_Расчет_аналитики'!AZ339-0.01),MIN('19_Расчет_аналитики'!AZ631,MAX(0,'19_Расчет_аналитики'!AZ787)),0)</f>
        <v/>
      </c>
      <c r="BA632">
        <f>IF(OR('01_Вводные'!$B$238="Нет",'19_Расчет_аналитики'!BA627&gt;='19_Расчет_аналитики'!BA339-0.01),MIN('19_Расчет_аналитики'!BA631,MAX(0,'19_Расчет_аналитики'!BA787)),0)</f>
        <v/>
      </c>
      <c r="BB632">
        <f>IF(OR('01_Вводные'!$B$238="Нет",'19_Расчет_аналитики'!BB627&gt;='19_Расчет_аналитики'!BB339-0.01),MIN('19_Расчет_аналитики'!BB631,MAX(0,'19_Расчет_аналитики'!BB787)),0)</f>
        <v/>
      </c>
      <c r="BC632">
        <f>IF(OR('01_Вводные'!$B$238="Нет",'19_Расчет_аналитики'!BC627&gt;='19_Расчет_аналитики'!BC339-0.01),MIN('19_Расчет_аналитики'!BC631,MAX(0,'19_Расчет_аналитики'!BC787)),0)</f>
        <v/>
      </c>
      <c r="BD632">
        <f>IF(OR('01_Вводные'!$B$238="Нет",'19_Расчет_аналитики'!BD627&gt;='19_Расчет_аналитики'!BD339-0.01),MIN('19_Расчет_аналитики'!BD631,MAX(0,'19_Расчет_аналитики'!BD787)),0)</f>
        <v/>
      </c>
      <c r="BE632">
        <f>IF(OR('01_Вводные'!$B$238="Нет",'19_Расчет_аналитики'!BE627&gt;='19_Расчет_аналитики'!BE339-0.01),MIN('19_Расчет_аналитики'!BE631,MAX(0,'19_Расчет_аналитики'!BE787)),0)</f>
        <v/>
      </c>
      <c r="BF632">
        <f>IF(OR('01_Вводные'!$B$238="Нет",'19_Расчет_аналитики'!BF627&gt;='19_Расчет_аналитики'!BF339-0.01),MIN('19_Расчет_аналитики'!BF631,MAX(0,'19_Расчет_аналитики'!BF787)),0)</f>
        <v/>
      </c>
      <c r="BG632">
        <f>IF(OR('01_Вводные'!$B$238="Нет",'19_Расчет_аналитики'!BG627&gt;='19_Расчет_аналитики'!BG339-0.01),MIN('19_Расчет_аналитики'!BG631,MAX(0,'19_Расчет_аналитики'!BG787)),0)</f>
        <v/>
      </c>
      <c r="BH632">
        <f>IF(OR('01_Вводные'!$B$238="Нет",'19_Расчет_аналитики'!BH627&gt;='19_Расчет_аналитики'!BH339-0.01),MIN('19_Расчет_аналитики'!BH631,MAX(0,'19_Расчет_аналитики'!BH787)),0)</f>
        <v/>
      </c>
      <c r="BI632">
        <f>IF(OR('01_Вводные'!$B$238="Нет",'19_Расчет_аналитики'!BI627&gt;='19_Расчет_аналитики'!BI339-0.01),MIN('19_Расчет_аналитики'!BI631,MAX(0,'19_Расчет_аналитики'!BI787)),0)</f>
        <v/>
      </c>
    </row>
    <row r="633">
      <c r="B633">
        <f>MAX(0,'07_Мерч'!B29-'19_Расчет_аналитики'!B632)</f>
        <v/>
      </c>
      <c r="C633">
        <f>MAX(0,'19_Расчет_аналитики'!C630-'19_Расчет_аналитики'!C632)</f>
        <v/>
      </c>
      <c r="D633">
        <f>MAX(0,'19_Расчет_аналитики'!D630-'19_Расчет_аналитики'!D632)</f>
        <v/>
      </c>
      <c r="E633">
        <f>MAX(0,'19_Расчет_аналитики'!E630-'19_Расчет_аналитики'!E632)</f>
        <v/>
      </c>
      <c r="F633">
        <f>MAX(0,'19_Расчет_аналитики'!F630-'19_Расчет_аналитики'!F632)</f>
        <v/>
      </c>
      <c r="G633">
        <f>MAX(0,'19_Расчет_аналитики'!G630-'19_Расчет_аналитики'!G632)</f>
        <v/>
      </c>
      <c r="H633">
        <f>MAX(0,'19_Расчет_аналитики'!H630-'19_Расчет_аналитики'!H632)</f>
        <v/>
      </c>
      <c r="I633">
        <f>MAX(0,'19_Расчет_аналитики'!I630-'19_Расчет_аналитики'!I632)</f>
        <v/>
      </c>
      <c r="J633">
        <f>MAX(0,'19_Расчет_аналитики'!J630-'19_Расчет_аналитики'!J632)</f>
        <v/>
      </c>
      <c r="K633">
        <f>MAX(0,'19_Расчет_аналитики'!K630-'19_Расчет_аналитики'!K632)</f>
        <v/>
      </c>
      <c r="L633">
        <f>MAX(0,'19_Расчет_аналитики'!L630-'19_Расчет_аналитики'!L632)</f>
        <v/>
      </c>
      <c r="M633">
        <f>MAX(0,'19_Расчет_аналитики'!M630-'19_Расчет_аналитики'!M632)</f>
        <v/>
      </c>
      <c r="N633">
        <f>MAX(0,'19_Расчет_аналитики'!N630-'19_Расчет_аналитики'!N632)</f>
        <v/>
      </c>
      <c r="O633">
        <f>MAX(0,'19_Расчет_аналитики'!O630-'19_Расчет_аналитики'!O632)</f>
        <v/>
      </c>
      <c r="P633">
        <f>MAX(0,'19_Расчет_аналитики'!P630-'19_Расчет_аналитики'!P632)</f>
        <v/>
      </c>
      <c r="Q633">
        <f>MAX(0,'19_Расчет_аналитики'!Q630-'19_Расчет_аналитики'!Q632)</f>
        <v/>
      </c>
      <c r="R633">
        <f>MAX(0,'19_Расчет_аналитики'!R630-'19_Расчет_аналитики'!R632)</f>
        <v/>
      </c>
      <c r="S633">
        <f>MAX(0,'19_Расчет_аналитики'!S630-'19_Расчет_аналитики'!S632)</f>
        <v/>
      </c>
      <c r="T633">
        <f>MAX(0,'19_Расчет_аналитики'!T630-'19_Расчет_аналитики'!T632)</f>
        <v/>
      </c>
      <c r="U633">
        <f>MAX(0,'19_Расчет_аналитики'!U630-'19_Расчет_аналитики'!U632)</f>
        <v/>
      </c>
      <c r="V633">
        <f>MAX(0,'19_Расчет_аналитики'!V630-'19_Расчет_аналитики'!V632)</f>
        <v/>
      </c>
      <c r="W633">
        <f>MAX(0,'19_Расчет_аналитики'!W630-'19_Расчет_аналитики'!W632)</f>
        <v/>
      </c>
      <c r="X633">
        <f>MAX(0,'19_Расчет_аналитики'!X630-'19_Расчет_аналитики'!X632)</f>
        <v/>
      </c>
      <c r="Y633">
        <f>MAX(0,'19_Расчет_аналитики'!Y630-'19_Расчет_аналитики'!Y632)</f>
        <v/>
      </c>
      <c r="Z633">
        <f>MAX(0,'19_Расчет_аналитики'!Z630-'19_Расчет_аналитики'!Z632)</f>
        <v/>
      </c>
      <c r="AA633">
        <f>MAX(0,'19_Расчет_аналитики'!AA630-'19_Расчет_аналитики'!AA632)</f>
        <v/>
      </c>
      <c r="AB633">
        <f>MAX(0,'19_Расчет_аналитики'!AB630-'19_Расчет_аналитики'!AB632)</f>
        <v/>
      </c>
      <c r="AC633">
        <f>MAX(0,'19_Расчет_аналитики'!AC630-'19_Расчет_аналитики'!AC632)</f>
        <v/>
      </c>
      <c r="AD633">
        <f>MAX(0,'19_Расчет_аналитики'!AD630-'19_Расчет_аналитики'!AD632)</f>
        <v/>
      </c>
      <c r="AE633">
        <f>MAX(0,'19_Расчет_аналитики'!AE630-'19_Расчет_аналитики'!AE632)</f>
        <v/>
      </c>
      <c r="AF633">
        <f>MAX(0,'19_Расчет_аналитики'!AF630-'19_Расчет_аналитики'!AF632)</f>
        <v/>
      </c>
      <c r="AG633">
        <f>MAX(0,'19_Расчет_аналитики'!AG630-'19_Расчет_аналитики'!AG632)</f>
        <v/>
      </c>
      <c r="AH633">
        <f>MAX(0,'19_Расчет_аналитики'!AH630-'19_Расчет_аналитики'!AH632)</f>
        <v/>
      </c>
      <c r="AI633">
        <f>MAX(0,'19_Расчет_аналитики'!AI630-'19_Расчет_аналитики'!AI632)</f>
        <v/>
      </c>
      <c r="AJ633">
        <f>MAX(0,'19_Расчет_аналитики'!AJ630-'19_Расчет_аналитики'!AJ632)</f>
        <v/>
      </c>
      <c r="AK633">
        <f>MAX(0,'19_Расчет_аналитики'!AK630-'19_Расчет_аналитики'!AK632)</f>
        <v/>
      </c>
      <c r="AL633">
        <f>MAX(0,'19_Расчет_аналитики'!AL630-'19_Расчет_аналитики'!AL632)</f>
        <v/>
      </c>
      <c r="AM633">
        <f>MAX(0,'19_Расчет_аналитики'!AM630-'19_Расчет_аналитики'!AM632)</f>
        <v/>
      </c>
      <c r="AN633">
        <f>MAX(0,'19_Расчет_аналитики'!AN630-'19_Расчет_аналитики'!AN632)</f>
        <v/>
      </c>
      <c r="AO633">
        <f>MAX(0,'19_Расчет_аналитики'!AO630-'19_Расчет_аналитики'!AO632)</f>
        <v/>
      </c>
      <c r="AP633">
        <f>MAX(0,'19_Расчет_аналитики'!AP630-'19_Расчет_аналитики'!AP632)</f>
        <v/>
      </c>
      <c r="AQ633">
        <f>MAX(0,'19_Расчет_аналитики'!AQ630-'19_Расчет_аналитики'!AQ632)</f>
        <v/>
      </c>
      <c r="AR633">
        <f>MAX(0,'19_Расчет_аналитики'!AR630-'19_Расчет_аналитики'!AR632)</f>
        <v/>
      </c>
      <c r="AS633">
        <f>MAX(0,'19_Расчет_аналитики'!AS630-'19_Расчет_аналитики'!AS632)</f>
        <v/>
      </c>
      <c r="AT633">
        <f>MAX(0,'19_Расчет_аналитики'!AT630-'19_Расчет_аналитики'!AT632)</f>
        <v/>
      </c>
      <c r="AU633">
        <f>MAX(0,'19_Расчет_аналитики'!AU630-'19_Расчет_аналитики'!AU632)</f>
        <v/>
      </c>
      <c r="AV633">
        <f>MAX(0,'19_Расчет_аналитики'!AV630-'19_Расчет_аналитики'!AV632)</f>
        <v/>
      </c>
      <c r="AW633">
        <f>MAX(0,'19_Расчет_аналитики'!AW630-'19_Расчет_аналитики'!AW632)</f>
        <v/>
      </c>
      <c r="AX633">
        <f>MAX(0,'19_Расчет_аналитики'!AX630-'19_Расчет_аналитики'!AX632)</f>
        <v/>
      </c>
      <c r="AY633">
        <f>MAX(0,'19_Расчет_аналитики'!AY630-'19_Расчет_аналитики'!AY632)</f>
        <v/>
      </c>
      <c r="AZ633">
        <f>MAX(0,'19_Расчет_аналитики'!AZ630-'19_Расчет_аналитики'!AZ632)</f>
        <v/>
      </c>
      <c r="BA633">
        <f>MAX(0,'19_Расчет_аналитики'!BA630-'19_Расчет_аналитики'!BA632)</f>
        <v/>
      </c>
      <c r="BB633">
        <f>MAX(0,'19_Расчет_аналитики'!BB630-'19_Расчет_аналитики'!BB632)</f>
        <v/>
      </c>
      <c r="BC633">
        <f>MAX(0,'19_Расчет_аналитики'!BC630-'19_Расчет_аналитики'!BC632)</f>
        <v/>
      </c>
      <c r="BD633">
        <f>MAX(0,'19_Расчет_аналитики'!BD630-'19_Расчет_аналитики'!BD632)</f>
        <v/>
      </c>
      <c r="BE633">
        <f>MAX(0,'19_Расчет_аналитики'!BE630-'19_Расчет_аналитики'!BE632)</f>
        <v/>
      </c>
      <c r="BF633">
        <f>MAX(0,'19_Расчет_аналитики'!BF630-'19_Расчет_аналитики'!BF632)</f>
        <v/>
      </c>
      <c r="BG633">
        <f>MAX(0,'19_Расчет_аналитики'!BG630-'19_Расчет_аналитики'!BG632)</f>
        <v/>
      </c>
      <c r="BH633">
        <f>MAX(0,'19_Расчет_аналитики'!BH630-'19_Расчет_аналитики'!BH632)</f>
        <v/>
      </c>
      <c r="BI633">
        <f>MAX(0,'19_Расчет_аналитики'!BI630-'19_Расчет_аналитики'!BI632)</f>
        <v/>
      </c>
      <c r="BJ633">
        <f>MAX(0,'19_Расчет_аналитики'!BJ630-'07_Мерч'!BJ31)</f>
        <v/>
      </c>
      <c r="BK633">
        <f>MAX(0,'19_Расчет_аналитики'!BK630-'07_Мерч'!BK31)</f>
        <v/>
      </c>
      <c r="BL633">
        <f>MAX(0,'19_Расчет_аналитики'!BL630-'07_Мерч'!BL31)</f>
        <v/>
      </c>
      <c r="BM633">
        <f>MAX(0,'19_Расчет_аналитики'!BM630-'07_Мерч'!BM31)</f>
        <v/>
      </c>
      <c r="BN633">
        <f>MAX(0,'19_Расчет_аналитики'!BN630-'07_Мерч'!BN31)</f>
        <v/>
      </c>
      <c r="BO633">
        <f>MAX(0,'19_Расчет_аналитики'!BO630-'07_Мерч'!BO31)</f>
        <v/>
      </c>
    </row>
    <row r="634"/>
    <row r="635"/>
    <row r="636"/>
    <row r="637"/>
    <row r="638"/>
    <row r="639"/>
    <row r="640"/>
    <row r="641"/>
    <row r="642"/>
    <row r="643"/>
    <row r="644"/>
    <row r="645"/>
    <row r="646"/>
    <row r="647">
      <c r="C647">
        <f>MAX(0,MAX('01_Вводные'!$B$118,INT('19_Расчет_аналитики'!C707/'01_Вводные'!$B$117)+1)-'01_Вводные'!$B$118)</f>
        <v/>
      </c>
      <c r="D647">
        <f>MAX(0,MAX('01_Вводные'!$B$118,INT('19_Расчет_аналитики'!D707/'01_Вводные'!$B$117)+1)-'01_Вводные'!$B$118)</f>
        <v/>
      </c>
      <c r="E647">
        <f>MAX(0,MAX('01_Вводные'!$B$118,INT('19_Расчет_аналитики'!E707/'01_Вводные'!$B$117)+1)-'01_Вводные'!$B$118)</f>
        <v/>
      </c>
      <c r="F647">
        <f>MAX(0,MAX('01_Вводные'!$B$118,INT('19_Расчет_аналитики'!F707/'01_Вводные'!$B$117)+1)-'01_Вводные'!$B$118)</f>
        <v/>
      </c>
      <c r="G647">
        <f>MAX(0,MAX('01_Вводные'!$B$118,INT('19_Расчет_аналитики'!G707/'01_Вводные'!$B$117)+1)-'01_Вводные'!$B$118)</f>
        <v/>
      </c>
      <c r="H647">
        <f>MAX(0,MAX('01_Вводные'!$B$118,INT('19_Расчет_аналитики'!H707/'01_Вводные'!$B$117)+1)-'01_Вводные'!$B$118)</f>
        <v/>
      </c>
      <c r="I647">
        <f>MAX(0,MAX('01_Вводные'!$B$118,INT('19_Расчет_аналитики'!I707/'01_Вводные'!$B$117)+1)-'01_Вводные'!$B$118)</f>
        <v/>
      </c>
      <c r="J647">
        <f>MAX(0,MAX('01_Вводные'!$B$118,INT('19_Расчет_аналитики'!J707/'01_Вводные'!$B$117)+1)-'01_Вводные'!$B$118)</f>
        <v/>
      </c>
      <c r="K647">
        <f>MAX(0,MAX('01_Вводные'!$B$118,INT('19_Расчет_аналитики'!K707/'01_Вводные'!$B$117)+1)-'01_Вводные'!$B$118)</f>
        <v/>
      </c>
      <c r="L647">
        <f>MAX(0,MAX('01_Вводные'!$B$118,INT('19_Расчет_аналитики'!L707/'01_Вводные'!$B$117)+1)-'01_Вводные'!$B$118)</f>
        <v/>
      </c>
      <c r="M647">
        <f>MAX(0,MAX('01_Вводные'!$B$118,INT('19_Расчет_аналитики'!M707/'01_Вводные'!$B$117)+1)-'01_Вводные'!$B$118)</f>
        <v/>
      </c>
      <c r="N647">
        <f>MAX(0,MAX('01_Вводные'!$B$118,INT('19_Расчет_аналитики'!N707/'01_Вводные'!$B$117)+1)-'01_Вводные'!$B$118)</f>
        <v/>
      </c>
      <c r="O647">
        <f>MAX(0,MAX('01_Вводные'!$B$118,INT('19_Расчет_аналитики'!O707/'01_Вводные'!$B$117)+1)-'01_Вводные'!$B$118)</f>
        <v/>
      </c>
      <c r="P647">
        <f>MAX(0,MAX('01_Вводные'!$B$118,INT('19_Расчет_аналитики'!P707/'01_Вводные'!$B$117)+1)-'01_Вводные'!$B$118)</f>
        <v/>
      </c>
      <c r="Q647">
        <f>MAX(0,MAX('01_Вводные'!$B$118,INT('19_Расчет_аналитики'!Q707/'01_Вводные'!$B$117)+1)-'01_Вводные'!$B$118)</f>
        <v/>
      </c>
      <c r="R647">
        <f>MAX(0,MAX('01_Вводные'!$B$118,INT('19_Расчет_аналитики'!R707/'01_Вводные'!$B$117)+1)-'01_Вводные'!$B$118)</f>
        <v/>
      </c>
      <c r="S647">
        <f>MAX(0,MAX('01_Вводные'!$B$118,INT('19_Расчет_аналитики'!S707/'01_Вводные'!$B$117)+1)-'01_Вводные'!$B$118)</f>
        <v/>
      </c>
      <c r="T647">
        <f>MAX(0,MAX('01_Вводные'!$B$118,INT('19_Расчет_аналитики'!T707/'01_Вводные'!$B$117)+1)-'01_Вводные'!$B$118)</f>
        <v/>
      </c>
      <c r="U647">
        <f>MAX(0,MAX('01_Вводные'!$B$118,INT('19_Расчет_аналитики'!U707/'01_Вводные'!$B$117)+1)-'01_Вводные'!$B$118)</f>
        <v/>
      </c>
      <c r="V647">
        <f>MAX(0,MAX('01_Вводные'!$B$118,INT('19_Расчет_аналитики'!V707/'01_Вводные'!$B$117)+1)-'01_Вводные'!$B$118)</f>
        <v/>
      </c>
      <c r="W647">
        <f>MAX(0,MAX('01_Вводные'!$B$118,INT('19_Расчет_аналитики'!W707/'01_Вводные'!$B$117)+1)-'01_Вводные'!$B$118)</f>
        <v/>
      </c>
      <c r="X647">
        <f>MAX(0,MAX('01_Вводные'!$B$118,INT('19_Расчет_аналитики'!X707/'01_Вводные'!$B$117)+1)-'01_Вводные'!$B$118)</f>
        <v/>
      </c>
      <c r="Y647">
        <f>MAX(0,MAX('01_Вводные'!$B$118,INT('19_Расчет_аналитики'!Y707/'01_Вводные'!$B$117)+1)-'01_Вводные'!$B$118)</f>
        <v/>
      </c>
      <c r="Z647">
        <f>MAX(0,MAX('01_Вводные'!$B$118,INT('19_Расчет_аналитики'!Z707/'01_Вводные'!$B$117)+1)-'01_Вводные'!$B$118)</f>
        <v/>
      </c>
      <c r="AA647">
        <f>MAX(0,MAX('01_Вводные'!$B$118,INT('19_Расчет_аналитики'!AA707/'01_Вводные'!$B$117)+1)-'01_Вводные'!$B$118)</f>
        <v/>
      </c>
      <c r="AB647">
        <f>MAX(0,MAX('01_Вводные'!$B$118,INT('19_Расчет_аналитики'!AB707/'01_Вводные'!$B$117)+1)-'01_Вводные'!$B$118)</f>
        <v/>
      </c>
      <c r="AC647">
        <f>MAX(0,MAX('01_Вводные'!$B$118,INT('19_Расчет_аналитики'!AC707/'01_Вводные'!$B$117)+1)-'01_Вводные'!$B$118)</f>
        <v/>
      </c>
      <c r="AD647">
        <f>MAX(0,MAX('01_Вводные'!$B$118,INT('19_Расчет_аналитики'!AD707/'01_Вводные'!$B$117)+1)-'01_Вводные'!$B$118)</f>
        <v/>
      </c>
      <c r="AE647">
        <f>MAX(0,MAX('01_Вводные'!$B$118,INT('19_Расчет_аналитики'!AE707/'01_Вводные'!$B$117)+1)-'01_Вводные'!$B$118)</f>
        <v/>
      </c>
      <c r="AF647">
        <f>MAX(0,MAX('01_Вводные'!$B$118,INT('19_Расчет_аналитики'!AF707/'01_Вводные'!$B$117)+1)-'01_Вводные'!$B$118)</f>
        <v/>
      </c>
      <c r="AG647">
        <f>MAX(0,MAX('01_Вводные'!$B$118,INT('19_Расчет_аналитики'!AG707/'01_Вводные'!$B$117)+1)-'01_Вводные'!$B$118)</f>
        <v/>
      </c>
      <c r="AH647">
        <f>MAX(0,MAX('01_Вводные'!$B$118,INT('19_Расчет_аналитики'!AH707/'01_Вводные'!$B$117)+1)-'01_Вводные'!$B$118)</f>
        <v/>
      </c>
      <c r="AI647">
        <f>MAX(0,MAX('01_Вводные'!$B$118,INT('19_Расчет_аналитики'!AI707/'01_Вводные'!$B$117)+1)-'01_Вводные'!$B$118)</f>
        <v/>
      </c>
      <c r="AJ647">
        <f>MAX(0,MAX('01_Вводные'!$B$118,INT('19_Расчет_аналитики'!AJ707/'01_Вводные'!$B$117)+1)-'01_Вводные'!$B$118)</f>
        <v/>
      </c>
      <c r="AK647">
        <f>MAX(0,MAX('01_Вводные'!$B$118,INT('19_Расчет_аналитики'!AK707/'01_Вводные'!$B$117)+1)-'01_Вводные'!$B$118)</f>
        <v/>
      </c>
      <c r="AL647">
        <f>MAX(0,MAX('01_Вводные'!$B$118,INT('19_Расчет_аналитики'!AL707/'01_Вводные'!$B$117)+1)-'01_Вводные'!$B$118)</f>
        <v/>
      </c>
      <c r="AM647">
        <f>MAX(0,MAX('01_Вводные'!$B$118,INT('19_Расчет_аналитики'!AM707/'01_Вводные'!$B$117)+1)-'01_Вводные'!$B$118)</f>
        <v/>
      </c>
      <c r="AN647">
        <f>MAX(0,MAX('01_Вводные'!$B$118,INT('19_Расчет_аналитики'!AN707/'01_Вводные'!$B$117)+1)-'01_Вводные'!$B$118)</f>
        <v/>
      </c>
      <c r="AO647">
        <f>MAX(0,MAX('01_Вводные'!$B$118,INT('19_Расчет_аналитики'!AO707/'01_Вводные'!$B$117)+1)-'01_Вводные'!$B$118)</f>
        <v/>
      </c>
      <c r="AP647">
        <f>MAX(0,MAX('01_Вводные'!$B$118,INT('19_Расчет_аналитики'!AP707/'01_Вводные'!$B$117)+1)-'01_Вводные'!$B$118)</f>
        <v/>
      </c>
      <c r="AQ647">
        <f>MAX(0,MAX('01_Вводные'!$B$118,INT('19_Расчет_аналитики'!AQ707/'01_Вводные'!$B$117)+1)-'01_Вводные'!$B$118)</f>
        <v/>
      </c>
      <c r="AR647">
        <f>MAX(0,MAX('01_Вводные'!$B$118,INT('19_Расчет_аналитики'!AR707/'01_Вводные'!$B$117)+1)-'01_Вводные'!$B$118)</f>
        <v/>
      </c>
      <c r="AS647">
        <f>MAX(0,MAX('01_Вводные'!$B$118,INT('19_Расчет_аналитики'!AS707/'01_Вводные'!$B$117)+1)-'01_Вводные'!$B$118)</f>
        <v/>
      </c>
      <c r="AT647">
        <f>MAX(0,MAX('01_Вводные'!$B$118,INT('19_Расчет_аналитики'!AT707/'01_Вводные'!$B$117)+1)-'01_Вводные'!$B$118)</f>
        <v/>
      </c>
      <c r="AU647">
        <f>MAX(0,MAX('01_Вводные'!$B$118,INT('19_Расчет_аналитики'!AU707/'01_Вводные'!$B$117)+1)-'01_Вводные'!$B$118)</f>
        <v/>
      </c>
      <c r="AV647">
        <f>MAX(0,MAX('01_Вводные'!$B$118,INT('19_Расчет_аналитики'!AV707/'01_Вводные'!$B$117)+1)-'01_Вводные'!$B$118)</f>
        <v/>
      </c>
      <c r="AW647">
        <f>MAX(0,MAX('01_Вводные'!$B$118,INT('19_Расчет_аналитики'!AW707/'01_Вводные'!$B$117)+1)-'01_Вводные'!$B$118)</f>
        <v/>
      </c>
      <c r="AX647">
        <f>MAX(0,MAX('01_Вводные'!$B$118,INT('19_Расчет_аналитики'!AX707/'01_Вводные'!$B$117)+1)-'01_Вводные'!$B$118)</f>
        <v/>
      </c>
      <c r="AY647">
        <f>MAX(0,MAX('01_Вводные'!$B$118,INT('19_Расчет_аналитики'!AY707/'01_Вводные'!$B$117)+1)-'01_Вводные'!$B$118)</f>
        <v/>
      </c>
      <c r="AZ647">
        <f>MAX(0,MAX('01_Вводные'!$B$118,INT('19_Расчет_аналитики'!AZ707/'01_Вводные'!$B$117)+1)-'01_Вводные'!$B$118)</f>
        <v/>
      </c>
      <c r="BA647">
        <f>MAX(0,MAX('01_Вводные'!$B$118,INT('19_Расчет_аналитики'!BA707/'01_Вводные'!$B$117)+1)-'01_Вводные'!$B$118)</f>
        <v/>
      </c>
      <c r="BB647">
        <f>MAX(0,MAX('01_Вводные'!$B$118,INT('19_Расчет_аналитики'!BB707/'01_Вводные'!$B$117)+1)-'01_Вводные'!$B$118)</f>
        <v/>
      </c>
      <c r="BC647">
        <f>MAX(0,MAX('01_Вводные'!$B$118,INT('19_Расчет_аналитики'!BC707/'01_Вводные'!$B$117)+1)-'01_Вводные'!$B$118)</f>
        <v/>
      </c>
      <c r="BD647">
        <f>MAX(0,MAX('01_Вводные'!$B$118,INT('19_Расчет_аналитики'!BD707/'01_Вводные'!$B$117)+1)-'01_Вводные'!$B$118)</f>
        <v/>
      </c>
      <c r="BE647">
        <f>MAX(0,MAX('01_Вводные'!$B$118,INT('19_Расчет_аналитики'!BE707/'01_Вводные'!$B$117)+1)-'01_Вводные'!$B$118)</f>
        <v/>
      </c>
      <c r="BF647">
        <f>MAX(0,MAX('01_Вводные'!$B$118,INT('19_Расчет_аналитики'!BF707/'01_Вводные'!$B$117)+1)-'01_Вводные'!$B$118)</f>
        <v/>
      </c>
      <c r="BG647">
        <f>MAX(0,MAX('01_Вводные'!$B$118,INT('19_Расчет_аналитики'!BG707/'01_Вводные'!$B$117)+1)-'01_Вводные'!$B$118)</f>
        <v/>
      </c>
      <c r="BH647">
        <f>MAX(0,MAX('01_Вводные'!$B$118,INT('19_Расчет_аналитики'!BH707/'01_Вводные'!$B$117)+1)-'01_Вводные'!$B$118)</f>
        <v/>
      </c>
      <c r="BI647">
        <f>MAX(0,MAX('01_Вводные'!$B$118,INT('19_Расчет_аналитики'!BI707/'01_Вводные'!$B$117)+1)-'01_Вводные'!$B$118)</f>
        <v/>
      </c>
    </row>
    <row r="648">
      <c r="C648">
        <f>'19_Расчет_аналитики'!C647*'01_Вводные'!$B$119*'08_ФОТ'!C5</f>
        <v/>
      </c>
      <c r="D648">
        <f>'19_Расчет_аналитики'!D647*'01_Вводные'!$B$119*'08_ФОТ'!D5</f>
        <v/>
      </c>
      <c r="E648">
        <f>'19_Расчет_аналитики'!E647*'01_Вводные'!$B$119*'08_ФОТ'!E5</f>
        <v/>
      </c>
      <c r="F648">
        <f>'19_Расчет_аналитики'!F647*'01_Вводные'!$B$119*'08_ФОТ'!F5</f>
        <v/>
      </c>
      <c r="G648">
        <f>'19_Расчет_аналитики'!G647*'01_Вводные'!$B$119*'08_ФОТ'!G5</f>
        <v/>
      </c>
      <c r="H648">
        <f>'19_Расчет_аналитики'!H647*'01_Вводные'!$B$119*'08_ФОТ'!H5</f>
        <v/>
      </c>
      <c r="I648">
        <f>'19_Расчет_аналитики'!I647*'01_Вводные'!$B$119*'08_ФОТ'!I5</f>
        <v/>
      </c>
      <c r="J648">
        <f>'19_Расчет_аналитики'!J647*'01_Вводные'!$B$119*'08_ФОТ'!J5</f>
        <v/>
      </c>
      <c r="K648">
        <f>'19_Расчет_аналитики'!K647*'01_Вводные'!$B$119*'08_ФОТ'!K5</f>
        <v/>
      </c>
      <c r="L648">
        <f>'19_Расчет_аналитики'!L647*'01_Вводные'!$B$119*'08_ФОТ'!L5</f>
        <v/>
      </c>
      <c r="M648">
        <f>'19_Расчет_аналитики'!M647*'01_Вводные'!$B$119*'08_ФОТ'!M5</f>
        <v/>
      </c>
      <c r="N648">
        <f>'19_Расчет_аналитики'!N647*'01_Вводные'!$B$119*'08_ФОТ'!N5</f>
        <v/>
      </c>
      <c r="O648">
        <f>'19_Расчет_аналитики'!O647*'01_Вводные'!$B$119*'08_ФОТ'!O5</f>
        <v/>
      </c>
      <c r="P648">
        <f>'19_Расчет_аналитики'!P647*'01_Вводные'!$B$119*'08_ФОТ'!P5</f>
        <v/>
      </c>
      <c r="Q648">
        <f>'19_Расчет_аналитики'!Q647*'01_Вводные'!$B$119*'08_ФОТ'!Q5</f>
        <v/>
      </c>
      <c r="R648">
        <f>'19_Расчет_аналитики'!R647*'01_Вводные'!$B$119*'08_ФОТ'!R5</f>
        <v/>
      </c>
      <c r="S648">
        <f>'19_Расчет_аналитики'!S647*'01_Вводные'!$B$119*'08_ФОТ'!S5</f>
        <v/>
      </c>
      <c r="T648">
        <f>'19_Расчет_аналитики'!T647*'01_Вводные'!$B$119*'08_ФОТ'!T5</f>
        <v/>
      </c>
      <c r="U648">
        <f>'19_Расчет_аналитики'!U647*'01_Вводные'!$B$119*'08_ФОТ'!U5</f>
        <v/>
      </c>
      <c r="V648">
        <f>'19_Расчет_аналитики'!V647*'01_Вводные'!$B$119*'08_ФОТ'!V5</f>
        <v/>
      </c>
      <c r="W648">
        <f>'19_Расчет_аналитики'!W647*'01_Вводные'!$B$119*'08_ФОТ'!W5</f>
        <v/>
      </c>
      <c r="X648">
        <f>'19_Расчет_аналитики'!X647*'01_Вводные'!$B$119*'08_ФОТ'!X5</f>
        <v/>
      </c>
      <c r="Y648">
        <f>'19_Расчет_аналитики'!Y647*'01_Вводные'!$B$119*'08_ФОТ'!Y5</f>
        <v/>
      </c>
      <c r="Z648">
        <f>'19_Расчет_аналитики'!Z647*'01_Вводные'!$B$119*'08_ФОТ'!Z5</f>
        <v/>
      </c>
      <c r="AA648">
        <f>'19_Расчет_аналитики'!AA647*'01_Вводные'!$B$119*'08_ФОТ'!AA5</f>
        <v/>
      </c>
      <c r="AB648">
        <f>'19_Расчет_аналитики'!AB647*'01_Вводные'!$B$119*'08_ФОТ'!AB5</f>
        <v/>
      </c>
      <c r="AC648">
        <f>'19_Расчет_аналитики'!AC647*'01_Вводные'!$B$119*'08_ФОТ'!AC5</f>
        <v/>
      </c>
      <c r="AD648">
        <f>'19_Расчет_аналитики'!AD647*'01_Вводные'!$B$119*'08_ФОТ'!AD5</f>
        <v/>
      </c>
      <c r="AE648">
        <f>'19_Расчет_аналитики'!AE647*'01_Вводные'!$B$119*'08_ФОТ'!AE5</f>
        <v/>
      </c>
      <c r="AF648">
        <f>'19_Расчет_аналитики'!AF647*'01_Вводные'!$B$119*'08_ФОТ'!AF5</f>
        <v/>
      </c>
      <c r="AG648">
        <f>'19_Расчет_аналитики'!AG647*'01_Вводные'!$B$119*'08_ФОТ'!AG5</f>
        <v/>
      </c>
      <c r="AH648">
        <f>'19_Расчет_аналитики'!AH647*'01_Вводные'!$B$119*'08_ФОТ'!AH5</f>
        <v/>
      </c>
      <c r="AI648">
        <f>'19_Расчет_аналитики'!AI647*'01_Вводные'!$B$119*'08_ФОТ'!AI5</f>
        <v/>
      </c>
      <c r="AJ648">
        <f>'19_Расчет_аналитики'!AJ647*'01_Вводные'!$B$119*'08_ФОТ'!AJ5</f>
        <v/>
      </c>
      <c r="AK648">
        <f>'19_Расчет_аналитики'!AK647*'01_Вводные'!$B$119*'08_ФОТ'!AK5</f>
        <v/>
      </c>
      <c r="AL648">
        <f>'19_Расчет_аналитики'!AL647*'01_Вводные'!$B$119*'08_ФОТ'!AL5</f>
        <v/>
      </c>
      <c r="AM648">
        <f>'19_Расчет_аналитики'!AM647*'01_Вводные'!$B$119*'08_ФОТ'!AM5</f>
        <v/>
      </c>
      <c r="AN648">
        <f>'19_Расчет_аналитики'!AN647*'01_Вводные'!$B$119*'08_ФОТ'!AN5</f>
        <v/>
      </c>
      <c r="AO648">
        <f>'19_Расчет_аналитики'!AO647*'01_Вводные'!$B$119*'08_ФОТ'!AO5</f>
        <v/>
      </c>
      <c r="AP648">
        <f>'19_Расчет_аналитики'!AP647*'01_Вводные'!$B$119*'08_ФОТ'!AP5</f>
        <v/>
      </c>
      <c r="AQ648">
        <f>'19_Расчет_аналитики'!AQ647*'01_Вводные'!$B$119*'08_ФОТ'!AQ5</f>
        <v/>
      </c>
      <c r="AR648">
        <f>'19_Расчет_аналитики'!AR647*'01_Вводные'!$B$119*'08_ФОТ'!AR5</f>
        <v/>
      </c>
      <c r="AS648">
        <f>'19_Расчет_аналитики'!AS647*'01_Вводные'!$B$119*'08_ФОТ'!AS5</f>
        <v/>
      </c>
      <c r="AT648">
        <f>'19_Расчет_аналитики'!AT647*'01_Вводные'!$B$119*'08_ФОТ'!AT5</f>
        <v/>
      </c>
      <c r="AU648">
        <f>'19_Расчет_аналитики'!AU647*'01_Вводные'!$B$119*'08_ФОТ'!AU5</f>
        <v/>
      </c>
      <c r="AV648">
        <f>'19_Расчет_аналитики'!AV647*'01_Вводные'!$B$119*'08_ФОТ'!AV5</f>
        <v/>
      </c>
      <c r="AW648">
        <f>'19_Расчет_аналитики'!AW647*'01_Вводные'!$B$119*'08_ФОТ'!AW5</f>
        <v/>
      </c>
      <c r="AX648">
        <f>'19_Расчет_аналитики'!AX647*'01_Вводные'!$B$119*'08_ФОТ'!AX5</f>
        <v/>
      </c>
      <c r="AY648">
        <f>'19_Расчет_аналитики'!AY647*'01_Вводные'!$B$119*'08_ФОТ'!AY5</f>
        <v/>
      </c>
      <c r="AZ648">
        <f>'19_Расчет_аналитики'!AZ647*'01_Вводные'!$B$119*'08_ФОТ'!AZ5</f>
        <v/>
      </c>
      <c r="BA648">
        <f>'19_Расчет_аналитики'!BA647*'01_Вводные'!$B$119*'08_ФОТ'!BA5</f>
        <v/>
      </c>
      <c r="BB648">
        <f>'19_Расчет_аналитики'!BB647*'01_Вводные'!$B$119*'08_ФОТ'!BB5</f>
        <v/>
      </c>
      <c r="BC648">
        <f>'19_Расчет_аналитики'!BC647*'01_Вводные'!$B$119*'08_ФОТ'!BC5</f>
        <v/>
      </c>
      <c r="BD648">
        <f>'19_Расчет_аналитики'!BD647*'01_Вводные'!$B$119*'08_ФОТ'!BD5</f>
        <v/>
      </c>
      <c r="BE648">
        <f>'19_Расчет_аналитики'!BE647*'01_Вводные'!$B$119*'08_ФОТ'!BE5</f>
        <v/>
      </c>
      <c r="BF648">
        <f>'19_Расчет_аналитики'!BF647*'01_Вводные'!$B$119*'08_ФОТ'!BF5</f>
        <v/>
      </c>
      <c r="BG648">
        <f>'19_Расчет_аналитики'!BG647*'01_Вводные'!$B$119*'08_ФОТ'!BG5</f>
        <v/>
      </c>
      <c r="BH648">
        <f>'19_Расчет_аналитики'!BH647*'01_Вводные'!$B$119*'08_ФОТ'!BH5</f>
        <v/>
      </c>
      <c r="BI648">
        <f>'19_Расчет_аналитики'!BI647*'01_Вводные'!$B$119*'08_ФОТ'!BI5</f>
        <v/>
      </c>
    </row>
    <row r="649">
      <c r="C649">
        <f>SUM('08_ФОТ'!C7:C9,'19_Расчет_аналитики'!C648)</f>
        <v/>
      </c>
      <c r="D649">
        <f>SUM('08_ФОТ'!D7:D9,'19_Расчет_аналитики'!D648)</f>
        <v/>
      </c>
      <c r="E649">
        <f>SUM('08_ФОТ'!E7:E9,'19_Расчет_аналитики'!E648)</f>
        <v/>
      </c>
      <c r="F649">
        <f>SUM('08_ФОТ'!F7:F9,'19_Расчет_аналитики'!F648)</f>
        <v/>
      </c>
      <c r="G649">
        <f>SUM('08_ФОТ'!G7:G9,'19_Расчет_аналитики'!G648)</f>
        <v/>
      </c>
      <c r="H649">
        <f>SUM('08_ФОТ'!H7:H9,'19_Расчет_аналитики'!H648)</f>
        <v/>
      </c>
      <c r="I649">
        <f>SUM('08_ФОТ'!I7:I9,'19_Расчет_аналитики'!I648)</f>
        <v/>
      </c>
      <c r="J649">
        <f>SUM('08_ФОТ'!J7:J9,'19_Расчет_аналитики'!J648)</f>
        <v/>
      </c>
      <c r="K649">
        <f>SUM('08_ФОТ'!K7:K9,'19_Расчет_аналитики'!K648)</f>
        <v/>
      </c>
      <c r="L649">
        <f>SUM('08_ФОТ'!L7:L9,'19_Расчет_аналитики'!L648)</f>
        <v/>
      </c>
      <c r="M649">
        <f>SUM('08_ФОТ'!M7:M9,'19_Расчет_аналитики'!M648)</f>
        <v/>
      </c>
      <c r="N649">
        <f>SUM('08_ФОТ'!N7:N9,'19_Расчет_аналитики'!N648)</f>
        <v/>
      </c>
      <c r="O649">
        <f>SUM('08_ФОТ'!O7:O9,'19_Расчет_аналитики'!O648)</f>
        <v/>
      </c>
      <c r="P649">
        <f>SUM('08_ФОТ'!P7:P9,'19_Расчет_аналитики'!P648)</f>
        <v/>
      </c>
      <c r="Q649">
        <f>SUM('08_ФОТ'!Q7:Q9,'19_Расчет_аналитики'!Q648)</f>
        <v/>
      </c>
      <c r="R649">
        <f>SUM('08_ФОТ'!R7:R9,'19_Расчет_аналитики'!R648)</f>
        <v/>
      </c>
      <c r="S649">
        <f>SUM('08_ФОТ'!S7:S9,'19_Расчет_аналитики'!S648)</f>
        <v/>
      </c>
      <c r="T649">
        <f>SUM('08_ФОТ'!T7:T9,'19_Расчет_аналитики'!T648)</f>
        <v/>
      </c>
      <c r="U649">
        <f>SUM('08_ФОТ'!U7:U9,'19_Расчет_аналитики'!U648)</f>
        <v/>
      </c>
      <c r="V649">
        <f>SUM('08_ФОТ'!V7:V9,'19_Расчет_аналитики'!V648)</f>
        <v/>
      </c>
      <c r="W649">
        <f>SUM('08_ФОТ'!W7:W9,'19_Расчет_аналитики'!W648)</f>
        <v/>
      </c>
      <c r="X649">
        <f>SUM('08_ФОТ'!X7:X9,'19_Расчет_аналитики'!X648)</f>
        <v/>
      </c>
      <c r="Y649">
        <f>SUM('08_ФОТ'!Y7:Y9,'19_Расчет_аналитики'!Y648)</f>
        <v/>
      </c>
      <c r="Z649">
        <f>SUM('08_ФОТ'!Z7:Z9,'19_Расчет_аналитики'!Z648)</f>
        <v/>
      </c>
      <c r="AA649">
        <f>SUM('08_ФОТ'!AA7:AA9,'19_Расчет_аналитики'!AA648)</f>
        <v/>
      </c>
      <c r="AB649">
        <f>SUM('08_ФОТ'!AB7:AB9,'19_Расчет_аналитики'!AB648)</f>
        <v/>
      </c>
      <c r="AC649">
        <f>SUM('08_ФОТ'!AC7:AC9,'19_Расчет_аналитики'!AC648)</f>
        <v/>
      </c>
      <c r="AD649">
        <f>SUM('08_ФОТ'!AD7:AD9,'19_Расчет_аналитики'!AD648)</f>
        <v/>
      </c>
      <c r="AE649">
        <f>SUM('08_ФОТ'!AE7:AE9,'19_Расчет_аналитики'!AE648)</f>
        <v/>
      </c>
      <c r="AF649">
        <f>SUM('08_ФОТ'!AF7:AF9,'19_Расчет_аналитики'!AF648)</f>
        <v/>
      </c>
      <c r="AG649">
        <f>SUM('08_ФОТ'!AG7:AG9,'19_Расчет_аналитики'!AG648)</f>
        <v/>
      </c>
      <c r="AH649">
        <f>SUM('08_ФОТ'!AH7:AH9,'19_Расчет_аналитики'!AH648)</f>
        <v/>
      </c>
      <c r="AI649">
        <f>SUM('08_ФОТ'!AI7:AI9,'19_Расчет_аналитики'!AI648)</f>
        <v/>
      </c>
      <c r="AJ649">
        <f>SUM('08_ФОТ'!AJ7:AJ9,'19_Расчет_аналитики'!AJ648)</f>
        <v/>
      </c>
      <c r="AK649">
        <f>SUM('08_ФОТ'!AK7:AK9,'19_Расчет_аналитики'!AK648)</f>
        <v/>
      </c>
      <c r="AL649">
        <f>SUM('08_ФОТ'!AL7:AL9,'19_Расчет_аналитики'!AL648)</f>
        <v/>
      </c>
      <c r="AM649">
        <f>SUM('08_ФОТ'!AM7:AM9,'19_Расчет_аналитики'!AM648)</f>
        <v/>
      </c>
      <c r="AN649">
        <f>SUM('08_ФОТ'!AN7:AN9,'19_Расчет_аналитики'!AN648)</f>
        <v/>
      </c>
      <c r="AO649">
        <f>SUM('08_ФОТ'!AO7:AO9,'19_Расчет_аналитики'!AO648)</f>
        <v/>
      </c>
      <c r="AP649">
        <f>SUM('08_ФОТ'!AP7:AP9,'19_Расчет_аналитики'!AP648)</f>
        <v/>
      </c>
      <c r="AQ649">
        <f>SUM('08_ФОТ'!AQ7:AQ9,'19_Расчет_аналитики'!AQ648)</f>
        <v/>
      </c>
      <c r="AR649">
        <f>SUM('08_ФОТ'!AR7:AR9,'19_Расчет_аналитики'!AR648)</f>
        <v/>
      </c>
      <c r="AS649">
        <f>SUM('08_ФОТ'!AS7:AS9,'19_Расчет_аналитики'!AS648)</f>
        <v/>
      </c>
      <c r="AT649">
        <f>SUM('08_ФОТ'!AT7:AT9,'19_Расчет_аналитики'!AT648)</f>
        <v/>
      </c>
      <c r="AU649">
        <f>SUM('08_ФОТ'!AU7:AU9,'19_Расчет_аналитики'!AU648)</f>
        <v/>
      </c>
      <c r="AV649">
        <f>SUM('08_ФОТ'!AV7:AV9,'19_Расчет_аналитики'!AV648)</f>
        <v/>
      </c>
      <c r="AW649">
        <f>SUM('08_ФОТ'!AW7:AW9,'19_Расчет_аналитики'!AW648)</f>
        <v/>
      </c>
      <c r="AX649">
        <f>SUM('08_ФОТ'!AX7:AX9,'19_Расчет_аналитики'!AX648)</f>
        <v/>
      </c>
      <c r="AY649">
        <f>SUM('08_ФОТ'!AY7:AY9,'19_Расчет_аналитики'!AY648)</f>
        <v/>
      </c>
      <c r="AZ649">
        <f>SUM('08_ФОТ'!AZ7:AZ9,'19_Расчет_аналитики'!AZ648)</f>
        <v/>
      </c>
      <c r="BA649">
        <f>SUM('08_ФОТ'!BA7:BA9,'19_Расчет_аналитики'!BA648)</f>
        <v/>
      </c>
      <c r="BB649">
        <f>SUM('08_ФОТ'!BB7:BB9,'19_Расчет_аналитики'!BB648)</f>
        <v/>
      </c>
      <c r="BC649">
        <f>SUM('08_ФОТ'!BC7:BC9,'19_Расчет_аналитики'!BC648)</f>
        <v/>
      </c>
      <c r="BD649">
        <f>SUM('08_ФОТ'!BD7:BD9,'19_Расчет_аналитики'!BD648)</f>
        <v/>
      </c>
      <c r="BE649">
        <f>SUM('08_ФОТ'!BE7:BE9,'19_Расчет_аналитики'!BE648)</f>
        <v/>
      </c>
      <c r="BF649">
        <f>SUM('08_ФОТ'!BF7:BF9,'19_Расчет_аналитики'!BF648)</f>
        <v/>
      </c>
      <c r="BG649">
        <f>SUM('08_ФОТ'!BG7:BG9,'19_Расчет_аналитики'!BG648)</f>
        <v/>
      </c>
      <c r="BH649">
        <f>SUM('08_ФОТ'!BH7:BH9,'19_Расчет_аналитики'!BH648)</f>
        <v/>
      </c>
      <c r="BI649">
        <f>SUM('08_ФОТ'!BI7:BI9,'19_Расчет_аналитики'!BI648)</f>
        <v/>
      </c>
    </row>
    <row r="650">
      <c r="C650">
        <f>'19_Расчет_аналитики'!C649*'01_Вводные'!$B$131</f>
        <v/>
      </c>
      <c r="D650">
        <f>'19_Расчет_аналитики'!D649*'01_Вводные'!$B$131</f>
        <v/>
      </c>
      <c r="E650">
        <f>'19_Расчет_аналитики'!E649*'01_Вводные'!$B$131</f>
        <v/>
      </c>
      <c r="F650">
        <f>'19_Расчет_аналитики'!F649*'01_Вводные'!$B$131</f>
        <v/>
      </c>
      <c r="G650">
        <f>'19_Расчет_аналитики'!G649*'01_Вводные'!$B$131</f>
        <v/>
      </c>
      <c r="H650">
        <f>'19_Расчет_аналитики'!H649*'01_Вводные'!$B$131</f>
        <v/>
      </c>
      <c r="I650">
        <f>'19_Расчет_аналитики'!I649*'01_Вводные'!$B$131</f>
        <v/>
      </c>
      <c r="J650">
        <f>'19_Расчет_аналитики'!J649*'01_Вводные'!$B$131</f>
        <v/>
      </c>
      <c r="K650">
        <f>'19_Расчет_аналитики'!K649*'01_Вводные'!$B$131</f>
        <v/>
      </c>
      <c r="L650">
        <f>'19_Расчет_аналитики'!L649*'01_Вводные'!$B$131</f>
        <v/>
      </c>
      <c r="M650">
        <f>'19_Расчет_аналитики'!M649*'01_Вводные'!$B$131</f>
        <v/>
      </c>
      <c r="N650">
        <f>'19_Расчет_аналитики'!N649*'01_Вводные'!$B$131</f>
        <v/>
      </c>
      <c r="O650">
        <f>'19_Расчет_аналитики'!O649*'01_Вводные'!$B$131</f>
        <v/>
      </c>
      <c r="P650">
        <f>'19_Расчет_аналитики'!P649*'01_Вводные'!$B$131</f>
        <v/>
      </c>
      <c r="Q650">
        <f>'19_Расчет_аналитики'!Q649*'01_Вводные'!$B$131</f>
        <v/>
      </c>
      <c r="R650">
        <f>'19_Расчет_аналитики'!R649*'01_Вводные'!$B$131</f>
        <v/>
      </c>
      <c r="S650">
        <f>'19_Расчет_аналитики'!S649*'01_Вводные'!$B$131</f>
        <v/>
      </c>
      <c r="T650">
        <f>'19_Расчет_аналитики'!T649*'01_Вводные'!$B$131</f>
        <v/>
      </c>
      <c r="U650">
        <f>'19_Расчет_аналитики'!U649*'01_Вводные'!$B$131</f>
        <v/>
      </c>
      <c r="V650">
        <f>'19_Расчет_аналитики'!V649*'01_Вводные'!$B$131</f>
        <v/>
      </c>
      <c r="W650">
        <f>'19_Расчет_аналитики'!W649*'01_Вводные'!$B$131</f>
        <v/>
      </c>
      <c r="X650">
        <f>'19_Расчет_аналитики'!X649*'01_Вводные'!$B$131</f>
        <v/>
      </c>
      <c r="Y650">
        <f>'19_Расчет_аналитики'!Y649*'01_Вводные'!$B$131</f>
        <v/>
      </c>
      <c r="Z650">
        <f>'19_Расчет_аналитики'!Z649*'01_Вводные'!$B$131</f>
        <v/>
      </c>
      <c r="AA650">
        <f>'19_Расчет_аналитики'!AA649*'01_Вводные'!$B$131</f>
        <v/>
      </c>
      <c r="AB650">
        <f>'19_Расчет_аналитики'!AB649*'01_Вводные'!$B$131</f>
        <v/>
      </c>
      <c r="AC650">
        <f>'19_Расчет_аналитики'!AC649*'01_Вводные'!$B$131</f>
        <v/>
      </c>
      <c r="AD650">
        <f>'19_Расчет_аналитики'!AD649*'01_Вводные'!$B$131</f>
        <v/>
      </c>
      <c r="AE650">
        <f>'19_Расчет_аналитики'!AE649*'01_Вводные'!$B$131</f>
        <v/>
      </c>
      <c r="AF650">
        <f>'19_Расчет_аналитики'!AF649*'01_Вводные'!$B$131</f>
        <v/>
      </c>
      <c r="AG650">
        <f>'19_Расчет_аналитики'!AG649*'01_Вводные'!$B$131</f>
        <v/>
      </c>
      <c r="AH650">
        <f>'19_Расчет_аналитики'!AH649*'01_Вводные'!$B$131</f>
        <v/>
      </c>
      <c r="AI650">
        <f>'19_Расчет_аналитики'!AI649*'01_Вводные'!$B$131</f>
        <v/>
      </c>
      <c r="AJ650">
        <f>'19_Расчет_аналитики'!AJ649*'01_Вводные'!$B$131</f>
        <v/>
      </c>
      <c r="AK650">
        <f>'19_Расчет_аналитики'!AK649*'01_Вводные'!$B$131</f>
        <v/>
      </c>
      <c r="AL650">
        <f>'19_Расчет_аналитики'!AL649*'01_Вводные'!$B$131</f>
        <v/>
      </c>
      <c r="AM650">
        <f>'19_Расчет_аналитики'!AM649*'01_Вводные'!$B$131</f>
        <v/>
      </c>
      <c r="AN650">
        <f>'19_Расчет_аналитики'!AN649*'01_Вводные'!$B$131</f>
        <v/>
      </c>
      <c r="AO650">
        <f>'19_Расчет_аналитики'!AO649*'01_Вводные'!$B$131</f>
        <v/>
      </c>
      <c r="AP650">
        <f>'19_Расчет_аналитики'!AP649*'01_Вводные'!$B$131</f>
        <v/>
      </c>
      <c r="AQ650">
        <f>'19_Расчет_аналитики'!AQ649*'01_Вводные'!$B$131</f>
        <v/>
      </c>
      <c r="AR650">
        <f>'19_Расчет_аналитики'!AR649*'01_Вводные'!$B$131</f>
        <v/>
      </c>
      <c r="AS650">
        <f>'19_Расчет_аналитики'!AS649*'01_Вводные'!$B$131</f>
        <v/>
      </c>
      <c r="AT650">
        <f>'19_Расчет_аналитики'!AT649*'01_Вводные'!$B$131</f>
        <v/>
      </c>
      <c r="AU650">
        <f>'19_Расчет_аналитики'!AU649*'01_Вводные'!$B$131</f>
        <v/>
      </c>
      <c r="AV650">
        <f>'19_Расчет_аналитики'!AV649*'01_Вводные'!$B$131</f>
        <v/>
      </c>
      <c r="AW650">
        <f>'19_Расчет_аналитики'!AW649*'01_Вводные'!$B$131</f>
        <v/>
      </c>
      <c r="AX650">
        <f>'19_Расчет_аналитики'!AX649*'01_Вводные'!$B$131</f>
        <v/>
      </c>
      <c r="AY650">
        <f>'19_Расчет_аналитики'!AY649*'01_Вводные'!$B$131</f>
        <v/>
      </c>
      <c r="AZ650">
        <f>'19_Расчет_аналитики'!AZ649*'01_Вводные'!$B$131</f>
        <v/>
      </c>
      <c r="BA650">
        <f>'19_Расчет_аналитики'!BA649*'01_Вводные'!$B$131</f>
        <v/>
      </c>
      <c r="BB650">
        <f>'19_Расчет_аналитики'!BB649*'01_Вводные'!$B$131</f>
        <v/>
      </c>
      <c r="BC650">
        <f>'19_Расчет_аналитики'!BC649*'01_Вводные'!$B$131</f>
        <v/>
      </c>
      <c r="BD650">
        <f>'19_Расчет_аналитики'!BD649*'01_Вводные'!$B$131</f>
        <v/>
      </c>
      <c r="BE650">
        <f>'19_Расчет_аналитики'!BE649*'01_Вводные'!$B$131</f>
        <v/>
      </c>
      <c r="BF650">
        <f>'19_Расчет_аналитики'!BF649*'01_Вводные'!$B$131</f>
        <v/>
      </c>
      <c r="BG650">
        <f>'19_Расчет_аналитики'!BG649*'01_Вводные'!$B$131</f>
        <v/>
      </c>
      <c r="BH650">
        <f>'19_Расчет_аналитики'!BH649*'01_Вводные'!$B$131</f>
        <v/>
      </c>
      <c r="BI650">
        <f>'19_Расчет_аналитики'!BI649*'01_Вводные'!$B$131</f>
        <v/>
      </c>
    </row>
    <row r="651"/>
    <row r="652">
      <c r="C652">
        <f>('01_Вводные'!$B$118+'19_Расчет_аналитики'!C647+1)*IF('08_ФОТ'!C$3&lt;'01_Вводные'!$B$250,'01_Вводные'!$B$123,'01_Вводные'!$B$124)/'01_Вводные'!$B$132</f>
        <v/>
      </c>
      <c r="D652">
        <f>('01_Вводные'!$B$118+'19_Расчет_аналитики'!D647+1)*IF('08_ФОТ'!D$3&lt;'01_Вводные'!$B$250,'01_Вводные'!$B$123,'01_Вводные'!$B$124)/'01_Вводные'!$B$132</f>
        <v/>
      </c>
      <c r="E652">
        <f>('01_Вводные'!$B$118+'19_Расчет_аналитики'!E647+1)*IF('08_ФОТ'!E$3&lt;'01_Вводные'!$B$250,'01_Вводные'!$B$123,'01_Вводные'!$B$124)/'01_Вводные'!$B$132</f>
        <v/>
      </c>
      <c r="F652">
        <f>('01_Вводные'!$B$118+'19_Расчет_аналитики'!F647+1)*IF('08_ФОТ'!F$3&lt;'01_Вводные'!$B$250,'01_Вводные'!$B$123,'01_Вводные'!$B$124)/'01_Вводные'!$B$132</f>
        <v/>
      </c>
      <c r="G652">
        <f>('01_Вводные'!$B$118+'19_Расчет_аналитики'!G647+1)*IF('08_ФОТ'!G$3&lt;'01_Вводные'!$B$250,'01_Вводные'!$B$123,'01_Вводные'!$B$124)/'01_Вводные'!$B$132</f>
        <v/>
      </c>
      <c r="H652">
        <f>('01_Вводные'!$B$118+'19_Расчет_аналитики'!H647+1)*IF('08_ФОТ'!H$3&lt;'01_Вводные'!$B$250,'01_Вводные'!$B$123,'01_Вводные'!$B$124)/'01_Вводные'!$B$132</f>
        <v/>
      </c>
      <c r="I652">
        <f>('01_Вводные'!$B$118+'19_Расчет_аналитики'!I647+1)*IF('08_ФОТ'!I$3&lt;'01_Вводные'!$B$250,'01_Вводные'!$B$123,'01_Вводные'!$B$124)/'01_Вводные'!$B$132</f>
        <v/>
      </c>
      <c r="J652">
        <f>('01_Вводные'!$B$118+'19_Расчет_аналитики'!J647+1)*IF('08_ФОТ'!J$3&lt;'01_Вводные'!$B$250,'01_Вводные'!$B$123,'01_Вводные'!$B$124)/'01_Вводные'!$B$132</f>
        <v/>
      </c>
      <c r="K652">
        <f>('01_Вводные'!$B$118+'19_Расчет_аналитики'!K647+1)*IF('08_ФОТ'!K$3&lt;'01_Вводные'!$B$250,'01_Вводные'!$B$123,'01_Вводные'!$B$124)/'01_Вводные'!$B$132</f>
        <v/>
      </c>
      <c r="L652">
        <f>('01_Вводные'!$B$118+'19_Расчет_аналитики'!L647+1)*IF('08_ФОТ'!L$3&lt;'01_Вводные'!$B$250,'01_Вводные'!$B$123,'01_Вводные'!$B$124)/'01_Вводные'!$B$132</f>
        <v/>
      </c>
      <c r="M652">
        <f>('01_Вводные'!$B$118+'19_Расчет_аналитики'!M647+1)*IF('08_ФОТ'!M$3&lt;'01_Вводные'!$B$250,'01_Вводные'!$B$123,'01_Вводные'!$B$124)/'01_Вводные'!$B$132</f>
        <v/>
      </c>
      <c r="N652">
        <f>('01_Вводные'!$B$118+'19_Расчет_аналитики'!N647+1)*IF('08_ФОТ'!N$3&lt;'01_Вводные'!$B$250,'01_Вводные'!$B$123,'01_Вводные'!$B$124)/'01_Вводные'!$B$132</f>
        <v/>
      </c>
      <c r="O652">
        <f>('01_Вводные'!$B$118+'19_Расчет_аналитики'!O647+1)*IF('08_ФОТ'!O$3&lt;'01_Вводные'!$B$250,'01_Вводные'!$B$123,'01_Вводные'!$B$124)/'01_Вводные'!$B$132</f>
        <v/>
      </c>
      <c r="P652">
        <f>('01_Вводные'!$B$118+'19_Расчет_аналитики'!P647+1)*IF('08_ФОТ'!P$3&lt;'01_Вводные'!$B$250,'01_Вводные'!$B$123,'01_Вводные'!$B$124)/'01_Вводные'!$B$132</f>
        <v/>
      </c>
      <c r="Q652">
        <f>('01_Вводные'!$B$118+'19_Расчет_аналитики'!Q647+1)*IF('08_ФОТ'!Q$3&lt;'01_Вводные'!$B$250,'01_Вводные'!$B$123,'01_Вводные'!$B$124)/'01_Вводные'!$B$132</f>
        <v/>
      </c>
      <c r="R652">
        <f>('01_Вводные'!$B$118+'19_Расчет_аналитики'!R647+1)*IF('08_ФОТ'!R$3&lt;'01_Вводные'!$B$250,'01_Вводные'!$B$123,'01_Вводные'!$B$124)/'01_Вводные'!$B$132</f>
        <v/>
      </c>
      <c r="S652">
        <f>('01_Вводные'!$B$118+'19_Расчет_аналитики'!S647+1)*IF('08_ФОТ'!S$3&lt;'01_Вводные'!$B$250,'01_Вводные'!$B$123,'01_Вводные'!$B$124)/'01_Вводные'!$B$132</f>
        <v/>
      </c>
      <c r="T652">
        <f>('01_Вводные'!$B$118+'19_Расчет_аналитики'!T647+1)*IF('08_ФОТ'!T$3&lt;'01_Вводные'!$B$250,'01_Вводные'!$B$123,'01_Вводные'!$B$124)/'01_Вводные'!$B$132</f>
        <v/>
      </c>
      <c r="U652">
        <f>('01_Вводные'!$B$118+'19_Расчет_аналитики'!U647+1)*IF('08_ФОТ'!U$3&lt;'01_Вводные'!$B$250,'01_Вводные'!$B$123,'01_Вводные'!$B$124)/'01_Вводные'!$B$132</f>
        <v/>
      </c>
      <c r="V652">
        <f>('01_Вводные'!$B$118+'19_Расчет_аналитики'!V647+1)*IF('08_ФОТ'!V$3&lt;'01_Вводные'!$B$250,'01_Вводные'!$B$123,'01_Вводные'!$B$124)/'01_Вводные'!$B$132</f>
        <v/>
      </c>
      <c r="W652">
        <f>('01_Вводные'!$B$118+'19_Расчет_аналитики'!W647+1)*IF('08_ФОТ'!W$3&lt;'01_Вводные'!$B$250,'01_Вводные'!$B$123,'01_Вводные'!$B$124)/'01_Вводные'!$B$132</f>
        <v/>
      </c>
      <c r="X652">
        <f>('01_Вводные'!$B$118+'19_Расчет_аналитики'!X647+1)*IF('08_ФОТ'!X$3&lt;'01_Вводные'!$B$250,'01_Вводные'!$B$123,'01_Вводные'!$B$124)/'01_Вводные'!$B$132</f>
        <v/>
      </c>
      <c r="Y652">
        <f>('01_Вводные'!$B$118+'19_Расчет_аналитики'!Y647+1)*IF('08_ФОТ'!Y$3&lt;'01_Вводные'!$B$250,'01_Вводные'!$B$123,'01_Вводные'!$B$124)/'01_Вводные'!$B$132</f>
        <v/>
      </c>
      <c r="Z652">
        <f>('01_Вводные'!$B$118+'19_Расчет_аналитики'!Z647+1)*IF('08_ФОТ'!Z$3&lt;'01_Вводные'!$B$250,'01_Вводные'!$B$123,'01_Вводные'!$B$124)/'01_Вводные'!$B$132</f>
        <v/>
      </c>
      <c r="AA652">
        <f>('01_Вводные'!$B$118+'19_Расчет_аналитики'!AA647+1)*IF('08_ФОТ'!AA$3&lt;'01_Вводные'!$B$250,'01_Вводные'!$B$123,'01_Вводные'!$B$124)/'01_Вводные'!$B$132</f>
        <v/>
      </c>
      <c r="AB652">
        <f>('01_Вводные'!$B$118+'19_Расчет_аналитики'!AB647+1)*IF('08_ФОТ'!AB$3&lt;'01_Вводные'!$B$250,'01_Вводные'!$B$123,'01_Вводные'!$B$124)/'01_Вводные'!$B$132</f>
        <v/>
      </c>
      <c r="AC652">
        <f>('01_Вводные'!$B$118+'19_Расчет_аналитики'!AC647+1)*IF('08_ФОТ'!AC$3&lt;'01_Вводные'!$B$250,'01_Вводные'!$B$123,'01_Вводные'!$B$124)/'01_Вводные'!$B$132</f>
        <v/>
      </c>
      <c r="AD652">
        <f>('01_Вводные'!$B$118+'19_Расчет_аналитики'!AD647+1)*IF('08_ФОТ'!AD$3&lt;'01_Вводные'!$B$250,'01_Вводные'!$B$123,'01_Вводные'!$B$124)/'01_Вводные'!$B$132</f>
        <v/>
      </c>
      <c r="AE652">
        <f>('01_Вводные'!$B$118+'19_Расчет_аналитики'!AE647+1)*IF('08_ФОТ'!AE$3&lt;'01_Вводные'!$B$250,'01_Вводные'!$B$123,'01_Вводные'!$B$124)/'01_Вводные'!$B$132</f>
        <v/>
      </c>
      <c r="AF652">
        <f>('01_Вводные'!$B$118+'19_Расчет_аналитики'!AF647+1)*IF('08_ФОТ'!AF$3&lt;'01_Вводные'!$B$250,'01_Вводные'!$B$123,'01_Вводные'!$B$124)/'01_Вводные'!$B$132</f>
        <v/>
      </c>
      <c r="AG652">
        <f>('01_Вводные'!$B$118+'19_Расчет_аналитики'!AG647+1)*IF('08_ФОТ'!AG$3&lt;'01_Вводные'!$B$250,'01_Вводные'!$B$123,'01_Вводные'!$B$124)/'01_Вводные'!$B$132</f>
        <v/>
      </c>
      <c r="AH652">
        <f>('01_Вводные'!$B$118+'19_Расчет_аналитики'!AH647+1)*IF('08_ФОТ'!AH$3&lt;'01_Вводные'!$B$250,'01_Вводные'!$B$123,'01_Вводные'!$B$124)/'01_Вводные'!$B$132</f>
        <v/>
      </c>
      <c r="AI652">
        <f>('01_Вводные'!$B$118+'19_Расчет_аналитики'!AI647+1)*IF('08_ФОТ'!AI$3&lt;'01_Вводные'!$B$250,'01_Вводные'!$B$123,'01_Вводные'!$B$124)/'01_Вводные'!$B$132</f>
        <v/>
      </c>
      <c r="AJ652">
        <f>('01_Вводные'!$B$118+'19_Расчет_аналитики'!AJ647+1)*IF('08_ФОТ'!AJ$3&lt;'01_Вводные'!$B$250,'01_Вводные'!$B$123,'01_Вводные'!$B$124)/'01_Вводные'!$B$132</f>
        <v/>
      </c>
      <c r="AK652">
        <f>('01_Вводные'!$B$118+'19_Расчет_аналитики'!AK647+1)*IF('08_ФОТ'!AK$3&lt;'01_Вводные'!$B$250,'01_Вводные'!$B$123,'01_Вводные'!$B$124)/'01_Вводные'!$B$132</f>
        <v/>
      </c>
      <c r="AL652">
        <f>('01_Вводные'!$B$118+'19_Расчет_аналитики'!AL647+1)*IF('08_ФОТ'!AL$3&lt;'01_Вводные'!$B$250,'01_Вводные'!$B$123,'01_Вводные'!$B$124)/'01_Вводные'!$B$132</f>
        <v/>
      </c>
      <c r="AM652">
        <f>('01_Вводные'!$B$118+'19_Расчет_аналитики'!AM647+1)*IF('08_ФОТ'!AM$3&lt;'01_Вводные'!$B$250,'01_Вводные'!$B$123,'01_Вводные'!$B$124)/'01_Вводные'!$B$132</f>
        <v/>
      </c>
      <c r="AN652">
        <f>('01_Вводные'!$B$118+'19_Расчет_аналитики'!AN647+1)*IF('08_ФОТ'!AN$3&lt;'01_Вводные'!$B$250,'01_Вводные'!$B$123,'01_Вводные'!$B$124)/'01_Вводные'!$B$132</f>
        <v/>
      </c>
      <c r="AO652">
        <f>('01_Вводные'!$B$118+'19_Расчет_аналитики'!AO647+1)*IF('08_ФОТ'!AO$3&lt;'01_Вводные'!$B$250,'01_Вводные'!$B$123,'01_Вводные'!$B$124)/'01_Вводные'!$B$132</f>
        <v/>
      </c>
      <c r="AP652">
        <f>('01_Вводные'!$B$118+'19_Расчет_аналитики'!AP647+1)*IF('08_ФОТ'!AP$3&lt;'01_Вводные'!$B$250,'01_Вводные'!$B$123,'01_Вводные'!$B$124)/'01_Вводные'!$B$132</f>
        <v/>
      </c>
      <c r="AQ652">
        <f>('01_Вводные'!$B$118+'19_Расчет_аналитики'!AQ647+1)*IF('08_ФОТ'!AQ$3&lt;'01_Вводные'!$B$250,'01_Вводные'!$B$123,'01_Вводные'!$B$124)/'01_Вводные'!$B$132</f>
        <v/>
      </c>
      <c r="AR652">
        <f>('01_Вводные'!$B$118+'19_Расчет_аналитики'!AR647+1)*IF('08_ФОТ'!AR$3&lt;'01_Вводные'!$B$250,'01_Вводные'!$B$123,'01_Вводные'!$B$124)/'01_Вводные'!$B$132</f>
        <v/>
      </c>
      <c r="AS652">
        <f>('01_Вводные'!$B$118+'19_Расчет_аналитики'!AS647+1)*IF('08_ФОТ'!AS$3&lt;'01_Вводные'!$B$250,'01_Вводные'!$B$123,'01_Вводные'!$B$124)/'01_Вводные'!$B$132</f>
        <v/>
      </c>
      <c r="AT652">
        <f>('01_Вводные'!$B$118+'19_Расчет_аналитики'!AT647+1)*IF('08_ФОТ'!AT$3&lt;'01_Вводные'!$B$250,'01_Вводные'!$B$123,'01_Вводные'!$B$124)/'01_Вводные'!$B$132</f>
        <v/>
      </c>
      <c r="AU652">
        <f>('01_Вводные'!$B$118+'19_Расчет_аналитики'!AU647+1)*IF('08_ФОТ'!AU$3&lt;'01_Вводные'!$B$250,'01_Вводные'!$B$123,'01_Вводные'!$B$124)/'01_Вводные'!$B$132</f>
        <v/>
      </c>
      <c r="AV652">
        <f>('01_Вводные'!$B$118+'19_Расчет_аналитики'!AV647+1)*IF('08_ФОТ'!AV$3&lt;'01_Вводные'!$B$250,'01_Вводные'!$B$123,'01_Вводные'!$B$124)/'01_Вводные'!$B$132</f>
        <v/>
      </c>
      <c r="AW652">
        <f>('01_Вводные'!$B$118+'19_Расчет_аналитики'!AW647+1)*IF('08_ФОТ'!AW$3&lt;'01_Вводные'!$B$250,'01_Вводные'!$B$123,'01_Вводные'!$B$124)/'01_Вводные'!$B$132</f>
        <v/>
      </c>
      <c r="AX652">
        <f>('01_Вводные'!$B$118+'19_Расчет_аналитики'!AX647+1)*IF('08_ФОТ'!AX$3&lt;'01_Вводные'!$B$250,'01_Вводные'!$B$123,'01_Вводные'!$B$124)/'01_Вводные'!$B$132</f>
        <v/>
      </c>
      <c r="AY652">
        <f>('01_Вводные'!$B$118+'19_Расчет_аналитики'!AY647+1)*IF('08_ФОТ'!AY$3&lt;'01_Вводные'!$B$250,'01_Вводные'!$B$123,'01_Вводные'!$B$124)/'01_Вводные'!$B$132</f>
        <v/>
      </c>
      <c r="AZ652">
        <f>('01_Вводные'!$B$118+'19_Расчет_аналитики'!AZ647+1)*IF('08_ФОТ'!AZ$3&lt;'01_Вводные'!$B$250,'01_Вводные'!$B$123,'01_Вводные'!$B$124)/'01_Вводные'!$B$132</f>
        <v/>
      </c>
      <c r="BA652">
        <f>('01_Вводные'!$B$118+'19_Расчет_аналитики'!BA647+1)*IF('08_ФОТ'!BA$3&lt;'01_Вводные'!$B$250,'01_Вводные'!$B$123,'01_Вводные'!$B$124)/'01_Вводные'!$B$132</f>
        <v/>
      </c>
      <c r="BB652">
        <f>('01_Вводные'!$B$118+'19_Расчет_аналитики'!BB647+1)*IF('08_ФОТ'!BB$3&lt;'01_Вводные'!$B$250,'01_Вводные'!$B$123,'01_Вводные'!$B$124)/'01_Вводные'!$B$132</f>
        <v/>
      </c>
      <c r="BC652">
        <f>('01_Вводные'!$B$118+'19_Расчет_аналитики'!BC647+1)*IF('08_ФОТ'!BC$3&lt;'01_Вводные'!$B$250,'01_Вводные'!$B$123,'01_Вводные'!$B$124)/'01_Вводные'!$B$132</f>
        <v/>
      </c>
      <c r="BD652">
        <f>('01_Вводные'!$B$118+'19_Расчет_аналитики'!BD647+1)*IF('08_ФОТ'!BD$3&lt;'01_Вводные'!$B$250,'01_Вводные'!$B$123,'01_Вводные'!$B$124)/'01_Вводные'!$B$132</f>
        <v/>
      </c>
      <c r="BE652">
        <f>('01_Вводные'!$B$118+'19_Расчет_аналитики'!BE647+1)*IF('08_ФОТ'!BE$3&lt;'01_Вводные'!$B$250,'01_Вводные'!$B$123,'01_Вводные'!$B$124)/'01_Вводные'!$B$132</f>
        <v/>
      </c>
      <c r="BF652">
        <f>('01_Вводные'!$B$118+'19_Расчет_аналитики'!BF647+1)*IF('08_ФОТ'!BF$3&lt;'01_Вводные'!$B$250,'01_Вводные'!$B$123,'01_Вводные'!$B$124)/'01_Вводные'!$B$132</f>
        <v/>
      </c>
      <c r="BG652">
        <f>('01_Вводные'!$B$118+'19_Расчет_аналитики'!BG647+1)*IF('08_ФОТ'!BG$3&lt;'01_Вводные'!$B$250,'01_Вводные'!$B$123,'01_Вводные'!$B$124)/'01_Вводные'!$B$132</f>
        <v/>
      </c>
      <c r="BH652">
        <f>('01_Вводные'!$B$118+'19_Расчет_аналитики'!BH647+1)*IF('08_ФОТ'!BH$3&lt;'01_Вводные'!$B$250,'01_Вводные'!$B$123,'01_Вводные'!$B$124)/'01_Вводные'!$B$132</f>
        <v/>
      </c>
      <c r="BI652">
        <f>('01_Вводные'!$B$118+'19_Расчет_аналитики'!BI647+1)*IF('08_ФОТ'!BI$3&lt;'01_Вводные'!$B$250,'01_Вводные'!$B$123,'01_Вводные'!$B$124)/'01_Вводные'!$B$132</f>
        <v/>
      </c>
    </row>
    <row r="653">
      <c r="C653">
        <f>'19_Расчет_аналитики'!C652*'01_Вводные'!$B$131</f>
        <v/>
      </c>
      <c r="D653">
        <f>'19_Расчет_аналитики'!D652*'01_Вводные'!$B$131</f>
        <v/>
      </c>
      <c r="E653">
        <f>'19_Расчет_аналитики'!E652*'01_Вводные'!$B$131</f>
        <v/>
      </c>
      <c r="F653">
        <f>'19_Расчет_аналитики'!F652*'01_Вводные'!$B$131</f>
        <v/>
      </c>
      <c r="G653">
        <f>'19_Расчет_аналитики'!G652*'01_Вводные'!$B$131</f>
        <v/>
      </c>
      <c r="H653">
        <f>'19_Расчет_аналитики'!H652*'01_Вводные'!$B$131</f>
        <v/>
      </c>
      <c r="I653">
        <f>'19_Расчет_аналитики'!I652*'01_Вводные'!$B$131</f>
        <v/>
      </c>
      <c r="J653">
        <f>'19_Расчет_аналитики'!J652*'01_Вводные'!$B$131</f>
        <v/>
      </c>
      <c r="K653">
        <f>'19_Расчет_аналитики'!K652*'01_Вводные'!$B$131</f>
        <v/>
      </c>
      <c r="L653">
        <f>'19_Расчет_аналитики'!L652*'01_Вводные'!$B$131</f>
        <v/>
      </c>
      <c r="M653">
        <f>'19_Расчет_аналитики'!M652*'01_Вводные'!$B$131</f>
        <v/>
      </c>
      <c r="N653">
        <f>'19_Расчет_аналитики'!N652*'01_Вводные'!$B$131</f>
        <v/>
      </c>
      <c r="O653">
        <f>'19_Расчет_аналитики'!O652*'01_Вводные'!$B$131</f>
        <v/>
      </c>
      <c r="P653">
        <f>'19_Расчет_аналитики'!P652*'01_Вводные'!$B$131</f>
        <v/>
      </c>
      <c r="Q653">
        <f>'19_Расчет_аналитики'!Q652*'01_Вводные'!$B$131</f>
        <v/>
      </c>
      <c r="R653">
        <f>'19_Расчет_аналитики'!R652*'01_Вводные'!$B$131</f>
        <v/>
      </c>
      <c r="S653">
        <f>'19_Расчет_аналитики'!S652*'01_Вводные'!$B$131</f>
        <v/>
      </c>
      <c r="T653">
        <f>'19_Расчет_аналитики'!T652*'01_Вводные'!$B$131</f>
        <v/>
      </c>
      <c r="U653">
        <f>'19_Расчет_аналитики'!U652*'01_Вводные'!$B$131</f>
        <v/>
      </c>
      <c r="V653">
        <f>'19_Расчет_аналитики'!V652*'01_Вводные'!$B$131</f>
        <v/>
      </c>
      <c r="W653">
        <f>'19_Расчет_аналитики'!W652*'01_Вводные'!$B$131</f>
        <v/>
      </c>
      <c r="X653">
        <f>'19_Расчет_аналитики'!X652*'01_Вводные'!$B$131</f>
        <v/>
      </c>
      <c r="Y653">
        <f>'19_Расчет_аналитики'!Y652*'01_Вводные'!$B$131</f>
        <v/>
      </c>
      <c r="Z653">
        <f>'19_Расчет_аналитики'!Z652*'01_Вводные'!$B$131</f>
        <v/>
      </c>
      <c r="AA653">
        <f>'19_Расчет_аналитики'!AA652*'01_Вводные'!$B$131</f>
        <v/>
      </c>
      <c r="AB653">
        <f>'19_Расчет_аналитики'!AB652*'01_Вводные'!$B$131</f>
        <v/>
      </c>
      <c r="AC653">
        <f>'19_Расчет_аналитики'!AC652*'01_Вводные'!$B$131</f>
        <v/>
      </c>
      <c r="AD653">
        <f>'19_Расчет_аналитики'!AD652*'01_Вводные'!$B$131</f>
        <v/>
      </c>
      <c r="AE653">
        <f>'19_Расчет_аналитики'!AE652*'01_Вводные'!$B$131</f>
        <v/>
      </c>
      <c r="AF653">
        <f>'19_Расчет_аналитики'!AF652*'01_Вводные'!$B$131</f>
        <v/>
      </c>
      <c r="AG653">
        <f>'19_Расчет_аналитики'!AG652*'01_Вводные'!$B$131</f>
        <v/>
      </c>
      <c r="AH653">
        <f>'19_Расчет_аналитики'!AH652*'01_Вводные'!$B$131</f>
        <v/>
      </c>
      <c r="AI653">
        <f>'19_Расчет_аналитики'!AI652*'01_Вводные'!$B$131</f>
        <v/>
      </c>
      <c r="AJ653">
        <f>'19_Расчет_аналитики'!AJ652*'01_Вводные'!$B$131</f>
        <v/>
      </c>
      <c r="AK653">
        <f>'19_Расчет_аналитики'!AK652*'01_Вводные'!$B$131</f>
        <v/>
      </c>
      <c r="AL653">
        <f>'19_Расчет_аналитики'!AL652*'01_Вводные'!$B$131</f>
        <v/>
      </c>
      <c r="AM653">
        <f>'19_Расчет_аналитики'!AM652*'01_Вводные'!$B$131</f>
        <v/>
      </c>
      <c r="AN653">
        <f>'19_Расчет_аналитики'!AN652*'01_Вводные'!$B$131</f>
        <v/>
      </c>
      <c r="AO653">
        <f>'19_Расчет_аналитики'!AO652*'01_Вводные'!$B$131</f>
        <v/>
      </c>
      <c r="AP653">
        <f>'19_Расчет_аналитики'!AP652*'01_Вводные'!$B$131</f>
        <v/>
      </c>
      <c r="AQ653">
        <f>'19_Расчет_аналитики'!AQ652*'01_Вводные'!$B$131</f>
        <v/>
      </c>
      <c r="AR653">
        <f>'19_Расчет_аналитики'!AR652*'01_Вводные'!$B$131</f>
        <v/>
      </c>
      <c r="AS653">
        <f>'19_Расчет_аналитики'!AS652*'01_Вводные'!$B$131</f>
        <v/>
      </c>
      <c r="AT653">
        <f>'19_Расчет_аналитики'!AT652*'01_Вводные'!$B$131</f>
        <v/>
      </c>
      <c r="AU653">
        <f>'19_Расчет_аналитики'!AU652*'01_Вводные'!$B$131</f>
        <v/>
      </c>
      <c r="AV653">
        <f>'19_Расчет_аналитики'!AV652*'01_Вводные'!$B$131</f>
        <v/>
      </c>
      <c r="AW653">
        <f>'19_Расчет_аналитики'!AW652*'01_Вводные'!$B$131</f>
        <v/>
      </c>
      <c r="AX653">
        <f>'19_Расчет_аналитики'!AX652*'01_Вводные'!$B$131</f>
        <v/>
      </c>
      <c r="AY653">
        <f>'19_Расчет_аналитики'!AY652*'01_Вводные'!$B$131</f>
        <v/>
      </c>
      <c r="AZ653">
        <f>'19_Расчет_аналитики'!AZ652*'01_Вводные'!$B$131</f>
        <v/>
      </c>
      <c r="BA653">
        <f>'19_Расчет_аналитики'!BA652*'01_Вводные'!$B$131</f>
        <v/>
      </c>
      <c r="BB653">
        <f>'19_Расчет_аналитики'!BB652*'01_Вводные'!$B$131</f>
        <v/>
      </c>
      <c r="BC653">
        <f>'19_Расчет_аналитики'!BC652*'01_Вводные'!$B$131</f>
        <v/>
      </c>
      <c r="BD653">
        <f>'19_Расчет_аналитики'!BD652*'01_Вводные'!$B$131</f>
        <v/>
      </c>
      <c r="BE653">
        <f>'19_Расчет_аналитики'!BE652*'01_Вводные'!$B$131</f>
        <v/>
      </c>
      <c r="BF653">
        <f>'19_Расчет_аналитики'!BF652*'01_Вводные'!$B$131</f>
        <v/>
      </c>
      <c r="BG653">
        <f>'19_Расчет_аналитики'!BG652*'01_Вводные'!$B$131</f>
        <v/>
      </c>
      <c r="BH653">
        <f>'19_Расчет_аналитики'!BH652*'01_Вводные'!$B$131</f>
        <v/>
      </c>
      <c r="BI653">
        <f>'19_Расчет_аналитики'!BI652*'01_Вводные'!$B$131</f>
        <v/>
      </c>
    </row>
    <row r="654">
      <c r="C654">
        <f>IF('19_Расчет_аналитики'!C338&gt;=2,'19_Расчет_аналитики'!C349*'01_Вводные'!$B$125/(1+'01_Вводные'!$B$131),0)</f>
        <v/>
      </c>
      <c r="D654">
        <f>IF('19_Расчет_аналитики'!D338&gt;=2,'19_Расчет_аналитики'!D349*'01_Вводные'!$B$125/(1+'01_Вводные'!$B$131),0)</f>
        <v/>
      </c>
      <c r="E654">
        <f>IF('19_Расчет_аналитики'!E338&gt;=2,'19_Расчет_аналитики'!E349*'01_Вводные'!$B$125/(1+'01_Вводные'!$B$131),0)</f>
        <v/>
      </c>
      <c r="F654">
        <f>IF('19_Расчет_аналитики'!F338&gt;=2,'19_Расчет_аналитики'!F349*'01_Вводные'!$B$125/(1+'01_Вводные'!$B$131),0)</f>
        <v/>
      </c>
      <c r="G654">
        <f>IF('19_Расчет_аналитики'!G338&gt;=2,'19_Расчет_аналитики'!G349*'01_Вводные'!$B$125/(1+'01_Вводные'!$B$131),0)</f>
        <v/>
      </c>
      <c r="H654">
        <f>IF('19_Расчет_аналитики'!H338&gt;=2,'19_Расчет_аналитики'!H349*'01_Вводные'!$B$125/(1+'01_Вводные'!$B$131),0)</f>
        <v/>
      </c>
      <c r="I654">
        <f>IF('19_Расчет_аналитики'!I338&gt;=2,'19_Расчет_аналитики'!I349*'01_Вводные'!$B$125/(1+'01_Вводные'!$B$131),0)</f>
        <v/>
      </c>
      <c r="J654">
        <f>IF('19_Расчет_аналитики'!J338&gt;=2,'19_Расчет_аналитики'!J349*'01_Вводные'!$B$125/(1+'01_Вводные'!$B$131),0)</f>
        <v/>
      </c>
      <c r="K654">
        <f>IF('19_Расчет_аналитики'!K338&gt;=2,'19_Расчет_аналитики'!K349*'01_Вводные'!$B$125/(1+'01_Вводные'!$B$131),0)</f>
        <v/>
      </c>
      <c r="L654">
        <f>IF('19_Расчет_аналитики'!L338&gt;=2,'19_Расчет_аналитики'!L349*'01_Вводные'!$B$125/(1+'01_Вводные'!$B$131),0)</f>
        <v/>
      </c>
      <c r="M654">
        <f>IF('19_Расчет_аналитики'!M338&gt;=2,'19_Расчет_аналитики'!M349*'01_Вводные'!$B$125/(1+'01_Вводные'!$B$131),0)</f>
        <v/>
      </c>
      <c r="N654">
        <f>IF('19_Расчет_аналитики'!N338&gt;=2,'19_Расчет_аналитики'!N349*'01_Вводные'!$B$125/(1+'01_Вводные'!$B$131),0)</f>
        <v/>
      </c>
      <c r="O654">
        <f>IF('19_Расчет_аналитики'!O338&gt;=2,'19_Расчет_аналитики'!O349*'01_Вводные'!$B$125/(1+'01_Вводные'!$B$131),0)</f>
        <v/>
      </c>
      <c r="P654">
        <f>IF('19_Расчет_аналитики'!P338&gt;=2,'19_Расчет_аналитики'!P349*'01_Вводные'!$B$125/(1+'01_Вводные'!$B$131),0)</f>
        <v/>
      </c>
      <c r="Q654">
        <f>IF('19_Расчет_аналитики'!Q338&gt;=2,'19_Расчет_аналитики'!Q349*'01_Вводные'!$B$125/(1+'01_Вводные'!$B$131),0)</f>
        <v/>
      </c>
      <c r="R654">
        <f>IF('19_Расчет_аналитики'!R338&gt;=2,'19_Расчет_аналитики'!R349*'01_Вводные'!$B$125/(1+'01_Вводные'!$B$131),0)</f>
        <v/>
      </c>
      <c r="S654">
        <f>IF('19_Расчет_аналитики'!S338&gt;=2,'19_Расчет_аналитики'!S349*'01_Вводные'!$B$125/(1+'01_Вводные'!$B$131),0)</f>
        <v/>
      </c>
      <c r="T654">
        <f>IF('19_Расчет_аналитики'!T338&gt;=2,'19_Расчет_аналитики'!T349*'01_Вводные'!$B$125/(1+'01_Вводные'!$B$131),0)</f>
        <v/>
      </c>
      <c r="U654">
        <f>IF('19_Расчет_аналитики'!U338&gt;=2,'19_Расчет_аналитики'!U349*'01_Вводные'!$B$125/(1+'01_Вводные'!$B$131),0)</f>
        <v/>
      </c>
      <c r="V654">
        <f>IF('19_Расчет_аналитики'!V338&gt;=2,'19_Расчет_аналитики'!V349*'01_Вводные'!$B$125/(1+'01_Вводные'!$B$131),0)</f>
        <v/>
      </c>
      <c r="W654">
        <f>IF('19_Расчет_аналитики'!W338&gt;=2,'19_Расчет_аналитики'!W349*'01_Вводные'!$B$125/(1+'01_Вводные'!$B$131),0)</f>
        <v/>
      </c>
      <c r="X654">
        <f>IF('19_Расчет_аналитики'!X338&gt;=2,'19_Расчет_аналитики'!X349*'01_Вводные'!$B$125/(1+'01_Вводные'!$B$131),0)</f>
        <v/>
      </c>
      <c r="Y654">
        <f>IF('19_Расчет_аналитики'!Y338&gt;=2,'19_Расчет_аналитики'!Y349*'01_Вводные'!$B$125/(1+'01_Вводные'!$B$131),0)</f>
        <v/>
      </c>
      <c r="Z654">
        <f>IF('19_Расчет_аналитики'!Z338&gt;=2,'19_Расчет_аналитики'!Z349*'01_Вводные'!$B$125/(1+'01_Вводные'!$B$131),0)</f>
        <v/>
      </c>
      <c r="AA654">
        <f>IF('19_Расчет_аналитики'!AA338&gt;=2,'19_Расчет_аналитики'!AA349*'01_Вводные'!$B$125/(1+'01_Вводные'!$B$131),0)</f>
        <v/>
      </c>
      <c r="AB654">
        <f>IF('19_Расчет_аналитики'!AB338&gt;=2,'19_Расчет_аналитики'!AB349*'01_Вводные'!$B$125/(1+'01_Вводные'!$B$131),0)</f>
        <v/>
      </c>
      <c r="AC654">
        <f>IF('19_Расчет_аналитики'!AC338&gt;=2,'19_Расчет_аналитики'!AC349*'01_Вводные'!$B$125/(1+'01_Вводные'!$B$131),0)</f>
        <v/>
      </c>
      <c r="AD654">
        <f>IF('19_Расчет_аналитики'!AD338&gt;=2,'19_Расчет_аналитики'!AD349*'01_Вводные'!$B$125/(1+'01_Вводные'!$B$131),0)</f>
        <v/>
      </c>
      <c r="AE654">
        <f>IF('19_Расчет_аналитики'!AE338&gt;=2,'19_Расчет_аналитики'!AE349*'01_Вводные'!$B$125/(1+'01_Вводные'!$B$131),0)</f>
        <v/>
      </c>
      <c r="AF654">
        <f>IF('19_Расчет_аналитики'!AF338&gt;=2,'19_Расчет_аналитики'!AF349*'01_Вводные'!$B$125/(1+'01_Вводные'!$B$131),0)</f>
        <v/>
      </c>
      <c r="AG654">
        <f>IF('19_Расчет_аналитики'!AG338&gt;=2,'19_Расчет_аналитики'!AG349*'01_Вводные'!$B$125/(1+'01_Вводные'!$B$131),0)</f>
        <v/>
      </c>
      <c r="AH654">
        <f>IF('19_Расчет_аналитики'!AH338&gt;=2,'19_Расчет_аналитики'!AH349*'01_Вводные'!$B$125/(1+'01_Вводные'!$B$131),0)</f>
        <v/>
      </c>
      <c r="AI654">
        <f>IF('19_Расчет_аналитики'!AI338&gt;=2,'19_Расчет_аналитики'!AI349*'01_Вводные'!$B$125/(1+'01_Вводные'!$B$131),0)</f>
        <v/>
      </c>
      <c r="AJ654">
        <f>IF('19_Расчет_аналитики'!AJ338&gt;=2,'19_Расчет_аналитики'!AJ349*'01_Вводные'!$B$125/(1+'01_Вводные'!$B$131),0)</f>
        <v/>
      </c>
      <c r="AK654">
        <f>IF('19_Расчет_аналитики'!AK338&gt;=2,'19_Расчет_аналитики'!AK349*'01_Вводные'!$B$125/(1+'01_Вводные'!$B$131),0)</f>
        <v/>
      </c>
      <c r="AL654">
        <f>IF('19_Расчет_аналитики'!AL338&gt;=2,'19_Расчет_аналитики'!AL349*'01_Вводные'!$B$125/(1+'01_Вводные'!$B$131),0)</f>
        <v/>
      </c>
      <c r="AM654">
        <f>IF('19_Расчет_аналитики'!AM338&gt;=2,'19_Расчет_аналитики'!AM349*'01_Вводные'!$B$125/(1+'01_Вводные'!$B$131),0)</f>
        <v/>
      </c>
      <c r="AN654">
        <f>IF('19_Расчет_аналитики'!AN338&gt;=2,'19_Расчет_аналитики'!AN349*'01_Вводные'!$B$125/(1+'01_Вводные'!$B$131),0)</f>
        <v/>
      </c>
      <c r="AO654">
        <f>IF('19_Расчет_аналитики'!AO338&gt;=2,'19_Расчет_аналитики'!AO349*'01_Вводные'!$B$125/(1+'01_Вводные'!$B$131),0)</f>
        <v/>
      </c>
      <c r="AP654">
        <f>IF('19_Расчет_аналитики'!AP338&gt;=2,'19_Расчет_аналитики'!AP349*'01_Вводные'!$B$125/(1+'01_Вводные'!$B$131),0)</f>
        <v/>
      </c>
      <c r="AQ654">
        <f>IF('19_Расчет_аналитики'!AQ338&gt;=2,'19_Расчет_аналитики'!AQ349*'01_Вводные'!$B$125/(1+'01_Вводные'!$B$131),0)</f>
        <v/>
      </c>
      <c r="AR654">
        <f>IF('19_Расчет_аналитики'!AR338&gt;=2,'19_Расчет_аналитики'!AR349*'01_Вводные'!$B$125/(1+'01_Вводные'!$B$131),0)</f>
        <v/>
      </c>
      <c r="AS654">
        <f>IF('19_Расчет_аналитики'!AS338&gt;=2,'19_Расчет_аналитики'!AS349*'01_Вводные'!$B$125/(1+'01_Вводные'!$B$131),0)</f>
        <v/>
      </c>
      <c r="AT654">
        <f>IF('19_Расчет_аналитики'!AT338&gt;=2,'19_Расчет_аналитики'!AT349*'01_Вводные'!$B$125/(1+'01_Вводные'!$B$131),0)</f>
        <v/>
      </c>
      <c r="AU654">
        <f>IF('19_Расчет_аналитики'!AU338&gt;=2,'19_Расчет_аналитики'!AU349*'01_Вводные'!$B$125/(1+'01_Вводные'!$B$131),0)</f>
        <v/>
      </c>
      <c r="AV654">
        <f>IF('19_Расчет_аналитики'!AV338&gt;=2,'19_Расчет_аналитики'!AV349*'01_Вводные'!$B$125/(1+'01_Вводные'!$B$131),0)</f>
        <v/>
      </c>
      <c r="AW654">
        <f>IF('19_Расчет_аналитики'!AW338&gt;=2,'19_Расчет_аналитики'!AW349*'01_Вводные'!$B$125/(1+'01_Вводные'!$B$131),0)</f>
        <v/>
      </c>
      <c r="AX654">
        <f>IF('19_Расчет_аналитики'!AX338&gt;=2,'19_Расчет_аналитики'!AX349*'01_Вводные'!$B$125/(1+'01_Вводные'!$B$131),0)</f>
        <v/>
      </c>
      <c r="AY654">
        <f>IF('19_Расчет_аналитики'!AY338&gt;=2,'19_Расчет_аналитики'!AY349*'01_Вводные'!$B$125/(1+'01_Вводные'!$B$131),0)</f>
        <v/>
      </c>
      <c r="AZ654">
        <f>IF('19_Расчет_аналитики'!AZ338&gt;=2,'19_Расчет_аналитики'!AZ349*'01_Вводные'!$B$125/(1+'01_Вводные'!$B$131),0)</f>
        <v/>
      </c>
      <c r="BA654">
        <f>IF('19_Расчет_аналитики'!BA338&gt;=2,'19_Расчет_аналитики'!BA349*'01_Вводные'!$B$125/(1+'01_Вводные'!$B$131),0)</f>
        <v/>
      </c>
      <c r="BB654">
        <f>IF('19_Расчет_аналитики'!BB338&gt;=2,'19_Расчет_аналитики'!BB349*'01_Вводные'!$B$125/(1+'01_Вводные'!$B$131),0)</f>
        <v/>
      </c>
      <c r="BC654">
        <f>IF('19_Расчет_аналитики'!BC338&gt;=2,'19_Расчет_аналитики'!BC349*'01_Вводные'!$B$125/(1+'01_Вводные'!$B$131),0)</f>
        <v/>
      </c>
      <c r="BD654">
        <f>IF('19_Расчет_аналитики'!BD338&gt;=2,'19_Расчет_аналитики'!BD349*'01_Вводные'!$B$125/(1+'01_Вводные'!$B$131),0)</f>
        <v/>
      </c>
      <c r="BE654">
        <f>IF('19_Расчет_аналитики'!BE338&gt;=2,'19_Расчет_аналитики'!BE349*'01_Вводные'!$B$125/(1+'01_Вводные'!$B$131),0)</f>
        <v/>
      </c>
      <c r="BF654">
        <f>IF('19_Расчет_аналитики'!BF338&gt;=2,'19_Расчет_аналитики'!BF349*'01_Вводные'!$B$125/(1+'01_Вводные'!$B$131),0)</f>
        <v/>
      </c>
      <c r="BG654">
        <f>IF('19_Расчет_аналитики'!BG338&gt;=2,'19_Расчет_аналитики'!BG349*'01_Вводные'!$B$125/(1+'01_Вводные'!$B$131),0)</f>
        <v/>
      </c>
      <c r="BH654">
        <f>IF('19_Расчет_аналитики'!BH338&gt;=2,'19_Расчет_аналитики'!BH349*'01_Вводные'!$B$125/(1+'01_Вводные'!$B$131),0)</f>
        <v/>
      </c>
      <c r="BI654">
        <f>IF('19_Расчет_аналитики'!BI338&gt;=2,'19_Расчет_аналитики'!BI349*'01_Вводные'!$B$125/(1+'01_Вводные'!$B$131),0)</f>
        <v/>
      </c>
    </row>
    <row r="655">
      <c r="C655">
        <f>'19_Расчет_аналитики'!C654*'01_Вводные'!$B$131</f>
        <v/>
      </c>
      <c r="D655">
        <f>'19_Расчет_аналитики'!D654*'01_Вводные'!$B$131</f>
        <v/>
      </c>
      <c r="E655">
        <f>'19_Расчет_аналитики'!E654*'01_Вводные'!$B$131</f>
        <v/>
      </c>
      <c r="F655">
        <f>'19_Расчет_аналитики'!F654*'01_Вводные'!$B$131</f>
        <v/>
      </c>
      <c r="G655">
        <f>'19_Расчет_аналитики'!G654*'01_Вводные'!$B$131</f>
        <v/>
      </c>
      <c r="H655">
        <f>'19_Расчет_аналитики'!H654*'01_Вводные'!$B$131</f>
        <v/>
      </c>
      <c r="I655">
        <f>'19_Расчет_аналитики'!I654*'01_Вводные'!$B$131</f>
        <v/>
      </c>
      <c r="J655">
        <f>'19_Расчет_аналитики'!J654*'01_Вводные'!$B$131</f>
        <v/>
      </c>
      <c r="K655">
        <f>'19_Расчет_аналитики'!K654*'01_Вводные'!$B$131</f>
        <v/>
      </c>
      <c r="L655">
        <f>'19_Расчет_аналитики'!L654*'01_Вводные'!$B$131</f>
        <v/>
      </c>
      <c r="M655">
        <f>'19_Расчет_аналитики'!M654*'01_Вводные'!$B$131</f>
        <v/>
      </c>
      <c r="N655">
        <f>'19_Расчет_аналитики'!N654*'01_Вводные'!$B$131</f>
        <v/>
      </c>
      <c r="O655">
        <f>'19_Расчет_аналитики'!O654*'01_Вводные'!$B$131</f>
        <v/>
      </c>
      <c r="P655">
        <f>'19_Расчет_аналитики'!P654*'01_Вводные'!$B$131</f>
        <v/>
      </c>
      <c r="Q655">
        <f>'19_Расчет_аналитики'!Q654*'01_Вводные'!$B$131</f>
        <v/>
      </c>
      <c r="R655">
        <f>'19_Расчет_аналитики'!R654*'01_Вводные'!$B$131</f>
        <v/>
      </c>
      <c r="S655">
        <f>'19_Расчет_аналитики'!S654*'01_Вводные'!$B$131</f>
        <v/>
      </c>
      <c r="T655">
        <f>'19_Расчет_аналитики'!T654*'01_Вводные'!$B$131</f>
        <v/>
      </c>
      <c r="U655">
        <f>'19_Расчет_аналитики'!U654*'01_Вводные'!$B$131</f>
        <v/>
      </c>
      <c r="V655">
        <f>'19_Расчет_аналитики'!V654*'01_Вводные'!$B$131</f>
        <v/>
      </c>
      <c r="W655">
        <f>'19_Расчет_аналитики'!W654*'01_Вводные'!$B$131</f>
        <v/>
      </c>
      <c r="X655">
        <f>'19_Расчет_аналитики'!X654*'01_Вводные'!$B$131</f>
        <v/>
      </c>
      <c r="Y655">
        <f>'19_Расчет_аналитики'!Y654*'01_Вводные'!$B$131</f>
        <v/>
      </c>
      <c r="Z655">
        <f>'19_Расчет_аналитики'!Z654*'01_Вводные'!$B$131</f>
        <v/>
      </c>
      <c r="AA655">
        <f>'19_Расчет_аналитики'!AA654*'01_Вводные'!$B$131</f>
        <v/>
      </c>
      <c r="AB655">
        <f>'19_Расчет_аналитики'!AB654*'01_Вводные'!$B$131</f>
        <v/>
      </c>
      <c r="AC655">
        <f>'19_Расчет_аналитики'!AC654*'01_Вводные'!$B$131</f>
        <v/>
      </c>
      <c r="AD655">
        <f>'19_Расчет_аналитики'!AD654*'01_Вводные'!$B$131</f>
        <v/>
      </c>
      <c r="AE655">
        <f>'19_Расчет_аналитики'!AE654*'01_Вводные'!$B$131</f>
        <v/>
      </c>
      <c r="AF655">
        <f>'19_Расчет_аналитики'!AF654*'01_Вводные'!$B$131</f>
        <v/>
      </c>
      <c r="AG655">
        <f>'19_Расчет_аналитики'!AG654*'01_Вводные'!$B$131</f>
        <v/>
      </c>
      <c r="AH655">
        <f>'19_Расчет_аналитики'!AH654*'01_Вводные'!$B$131</f>
        <v/>
      </c>
      <c r="AI655">
        <f>'19_Расчет_аналитики'!AI654*'01_Вводные'!$B$131</f>
        <v/>
      </c>
      <c r="AJ655">
        <f>'19_Расчет_аналитики'!AJ654*'01_Вводные'!$B$131</f>
        <v/>
      </c>
      <c r="AK655">
        <f>'19_Расчет_аналитики'!AK654*'01_Вводные'!$B$131</f>
        <v/>
      </c>
      <c r="AL655">
        <f>'19_Расчет_аналитики'!AL654*'01_Вводные'!$B$131</f>
        <v/>
      </c>
      <c r="AM655">
        <f>'19_Расчет_аналитики'!AM654*'01_Вводные'!$B$131</f>
        <v/>
      </c>
      <c r="AN655">
        <f>'19_Расчет_аналитики'!AN654*'01_Вводные'!$B$131</f>
        <v/>
      </c>
      <c r="AO655">
        <f>'19_Расчет_аналитики'!AO654*'01_Вводные'!$B$131</f>
        <v/>
      </c>
      <c r="AP655">
        <f>'19_Расчет_аналитики'!AP654*'01_Вводные'!$B$131</f>
        <v/>
      </c>
      <c r="AQ655">
        <f>'19_Расчет_аналитики'!AQ654*'01_Вводные'!$B$131</f>
        <v/>
      </c>
      <c r="AR655">
        <f>'19_Расчет_аналитики'!AR654*'01_Вводные'!$B$131</f>
        <v/>
      </c>
      <c r="AS655">
        <f>'19_Расчет_аналитики'!AS654*'01_Вводные'!$B$131</f>
        <v/>
      </c>
      <c r="AT655">
        <f>'19_Расчет_аналитики'!AT654*'01_Вводные'!$B$131</f>
        <v/>
      </c>
      <c r="AU655">
        <f>'19_Расчет_аналитики'!AU654*'01_Вводные'!$B$131</f>
        <v/>
      </c>
      <c r="AV655">
        <f>'19_Расчет_аналитики'!AV654*'01_Вводные'!$B$131</f>
        <v/>
      </c>
      <c r="AW655">
        <f>'19_Расчет_аналитики'!AW654*'01_Вводные'!$B$131</f>
        <v/>
      </c>
      <c r="AX655">
        <f>'19_Расчет_аналитики'!AX654*'01_Вводные'!$B$131</f>
        <v/>
      </c>
      <c r="AY655">
        <f>'19_Расчет_аналитики'!AY654*'01_Вводные'!$B$131</f>
        <v/>
      </c>
      <c r="AZ655">
        <f>'19_Расчет_аналитики'!AZ654*'01_Вводные'!$B$131</f>
        <v/>
      </c>
      <c r="BA655">
        <f>'19_Расчет_аналитики'!BA654*'01_Вводные'!$B$131</f>
        <v/>
      </c>
      <c r="BB655">
        <f>'19_Расчет_аналитики'!BB654*'01_Вводные'!$B$131</f>
        <v/>
      </c>
      <c r="BC655">
        <f>'19_Расчет_аналитики'!BC654*'01_Вводные'!$B$131</f>
        <v/>
      </c>
      <c r="BD655">
        <f>'19_Расчет_аналитики'!BD654*'01_Вводные'!$B$131</f>
        <v/>
      </c>
      <c r="BE655">
        <f>'19_Расчет_аналитики'!BE654*'01_Вводные'!$B$131</f>
        <v/>
      </c>
      <c r="BF655">
        <f>'19_Расчет_аналитики'!BF654*'01_Вводные'!$B$131</f>
        <v/>
      </c>
      <c r="BG655">
        <f>'19_Расчет_аналитики'!BG654*'01_Вводные'!$B$131</f>
        <v/>
      </c>
      <c r="BH655">
        <f>'19_Расчет_аналитики'!BH654*'01_Вводные'!$B$131</f>
        <v/>
      </c>
      <c r="BI655">
        <f>'19_Расчет_аналитики'!BI654*'01_Вводные'!$B$131</f>
        <v/>
      </c>
    </row>
    <row r="656">
      <c r="C656">
        <f>IF('19_Расчет_аналитики'!C338&gt;='01_Вводные'!$B$126,IF('01_Вводные'!$B$129="ИП",'01_Вводные'!$B$127+'19_Расчет_аналитики'!C349*'01_Вводные'!$B$128,('01_Вводные'!$B$127/'01_Вводные'!$B$132+'19_Расчет_аналитики'!C349*'01_Вводные'!$B$128)*(1+'01_Вводные'!$B$131)),0)</f>
        <v/>
      </c>
      <c r="D656">
        <f>IF('19_Расчет_аналитики'!D338&gt;='01_Вводные'!$B$126,IF('01_Вводные'!$B$129="ИП",'01_Вводные'!$B$127+'19_Расчет_аналитики'!D349*'01_Вводные'!$B$128,('01_Вводные'!$B$127/'01_Вводные'!$B$132+'19_Расчет_аналитики'!D349*'01_Вводные'!$B$128)*(1+'01_Вводные'!$B$131)),0)</f>
        <v/>
      </c>
      <c r="E656">
        <f>IF('19_Расчет_аналитики'!E338&gt;='01_Вводные'!$B$126,IF('01_Вводные'!$B$129="ИП",'01_Вводные'!$B$127+'19_Расчет_аналитики'!E349*'01_Вводные'!$B$128,('01_Вводные'!$B$127/'01_Вводные'!$B$132+'19_Расчет_аналитики'!E349*'01_Вводные'!$B$128)*(1+'01_Вводные'!$B$131)),0)</f>
        <v/>
      </c>
      <c r="F656">
        <f>IF('19_Расчет_аналитики'!F338&gt;='01_Вводные'!$B$126,IF('01_Вводные'!$B$129="ИП",'01_Вводные'!$B$127+'19_Расчет_аналитики'!F349*'01_Вводные'!$B$128,('01_Вводные'!$B$127/'01_Вводные'!$B$132+'19_Расчет_аналитики'!F349*'01_Вводные'!$B$128)*(1+'01_Вводные'!$B$131)),0)</f>
        <v/>
      </c>
      <c r="G656">
        <f>IF('19_Расчет_аналитики'!G338&gt;='01_Вводные'!$B$126,IF('01_Вводные'!$B$129="ИП",'01_Вводные'!$B$127+'19_Расчет_аналитики'!G349*'01_Вводные'!$B$128,('01_Вводные'!$B$127/'01_Вводные'!$B$132+'19_Расчет_аналитики'!G349*'01_Вводные'!$B$128)*(1+'01_Вводные'!$B$131)),0)</f>
        <v/>
      </c>
      <c r="H656">
        <f>IF('19_Расчет_аналитики'!H338&gt;='01_Вводные'!$B$126,IF('01_Вводные'!$B$129="ИП",'01_Вводные'!$B$127+'19_Расчет_аналитики'!H349*'01_Вводные'!$B$128,('01_Вводные'!$B$127/'01_Вводные'!$B$132+'19_Расчет_аналитики'!H349*'01_Вводные'!$B$128)*(1+'01_Вводные'!$B$131)),0)</f>
        <v/>
      </c>
      <c r="I656">
        <f>IF('19_Расчет_аналитики'!I338&gt;='01_Вводные'!$B$126,IF('01_Вводные'!$B$129="ИП",'01_Вводные'!$B$127+'19_Расчет_аналитики'!I349*'01_Вводные'!$B$128,('01_Вводные'!$B$127/'01_Вводные'!$B$132+'19_Расчет_аналитики'!I349*'01_Вводные'!$B$128)*(1+'01_Вводные'!$B$131)),0)</f>
        <v/>
      </c>
      <c r="J656">
        <f>IF('19_Расчет_аналитики'!J338&gt;='01_Вводные'!$B$126,IF('01_Вводные'!$B$129="ИП",'01_Вводные'!$B$127+'19_Расчет_аналитики'!J349*'01_Вводные'!$B$128,('01_Вводные'!$B$127/'01_Вводные'!$B$132+'19_Расчет_аналитики'!J349*'01_Вводные'!$B$128)*(1+'01_Вводные'!$B$131)),0)</f>
        <v/>
      </c>
      <c r="K656">
        <f>IF('19_Расчет_аналитики'!K338&gt;='01_Вводные'!$B$126,IF('01_Вводные'!$B$129="ИП",'01_Вводные'!$B$127+'19_Расчет_аналитики'!K349*'01_Вводные'!$B$128,('01_Вводные'!$B$127/'01_Вводные'!$B$132+'19_Расчет_аналитики'!K349*'01_Вводные'!$B$128)*(1+'01_Вводные'!$B$131)),0)</f>
        <v/>
      </c>
      <c r="L656">
        <f>IF('19_Расчет_аналитики'!L338&gt;='01_Вводные'!$B$126,IF('01_Вводные'!$B$129="ИП",'01_Вводные'!$B$127+'19_Расчет_аналитики'!L349*'01_Вводные'!$B$128,('01_Вводные'!$B$127/'01_Вводные'!$B$132+'19_Расчет_аналитики'!L349*'01_Вводные'!$B$128)*(1+'01_Вводные'!$B$131)),0)</f>
        <v/>
      </c>
      <c r="M656">
        <f>IF('19_Расчет_аналитики'!M338&gt;='01_Вводные'!$B$126,IF('01_Вводные'!$B$129="ИП",'01_Вводные'!$B$127+'19_Расчет_аналитики'!M349*'01_Вводные'!$B$128,('01_Вводные'!$B$127/'01_Вводные'!$B$132+'19_Расчет_аналитики'!M349*'01_Вводные'!$B$128)*(1+'01_Вводные'!$B$131)),0)</f>
        <v/>
      </c>
      <c r="N656">
        <f>IF('19_Расчет_аналитики'!N338&gt;='01_Вводные'!$B$126,IF('01_Вводные'!$B$129="ИП",'01_Вводные'!$B$127+'19_Расчет_аналитики'!N349*'01_Вводные'!$B$128,('01_Вводные'!$B$127/'01_Вводные'!$B$132+'19_Расчет_аналитики'!N349*'01_Вводные'!$B$128)*(1+'01_Вводные'!$B$131)),0)</f>
        <v/>
      </c>
      <c r="O656">
        <f>IF('19_Расчет_аналитики'!O338&gt;='01_Вводные'!$B$126,IF('01_Вводные'!$B$129="ИП",'01_Вводные'!$B$127+'19_Расчет_аналитики'!O349*'01_Вводные'!$B$128,('01_Вводные'!$B$127/'01_Вводные'!$B$132+'19_Расчет_аналитики'!O349*'01_Вводные'!$B$128)*(1+'01_Вводные'!$B$131)),0)</f>
        <v/>
      </c>
      <c r="P656">
        <f>IF('19_Расчет_аналитики'!P338&gt;='01_Вводные'!$B$126,IF('01_Вводные'!$B$129="ИП",'01_Вводные'!$B$127+'19_Расчет_аналитики'!P349*'01_Вводные'!$B$128,('01_Вводные'!$B$127/'01_Вводные'!$B$132+'19_Расчет_аналитики'!P349*'01_Вводные'!$B$128)*(1+'01_Вводные'!$B$131)),0)</f>
        <v/>
      </c>
      <c r="Q656">
        <f>IF('19_Расчет_аналитики'!Q338&gt;='01_Вводные'!$B$126,IF('01_Вводные'!$B$129="ИП",'01_Вводные'!$B$127+'19_Расчет_аналитики'!Q349*'01_Вводные'!$B$128,('01_Вводные'!$B$127/'01_Вводные'!$B$132+'19_Расчет_аналитики'!Q349*'01_Вводные'!$B$128)*(1+'01_Вводные'!$B$131)),0)</f>
        <v/>
      </c>
      <c r="R656">
        <f>IF('19_Расчет_аналитики'!R338&gt;='01_Вводные'!$B$126,IF('01_Вводные'!$B$129="ИП",'01_Вводные'!$B$127+'19_Расчет_аналитики'!R349*'01_Вводные'!$B$128,('01_Вводные'!$B$127/'01_Вводные'!$B$132+'19_Расчет_аналитики'!R349*'01_Вводные'!$B$128)*(1+'01_Вводные'!$B$131)),0)</f>
        <v/>
      </c>
      <c r="S656">
        <f>IF('19_Расчет_аналитики'!S338&gt;='01_Вводные'!$B$126,IF('01_Вводные'!$B$129="ИП",'01_Вводные'!$B$127+'19_Расчет_аналитики'!S349*'01_Вводные'!$B$128,('01_Вводные'!$B$127/'01_Вводные'!$B$132+'19_Расчет_аналитики'!S349*'01_Вводные'!$B$128)*(1+'01_Вводные'!$B$131)),0)</f>
        <v/>
      </c>
      <c r="T656">
        <f>IF('19_Расчет_аналитики'!T338&gt;='01_Вводные'!$B$126,IF('01_Вводные'!$B$129="ИП",'01_Вводные'!$B$127+'19_Расчет_аналитики'!T349*'01_Вводные'!$B$128,('01_Вводные'!$B$127/'01_Вводные'!$B$132+'19_Расчет_аналитики'!T349*'01_Вводные'!$B$128)*(1+'01_Вводные'!$B$131)),0)</f>
        <v/>
      </c>
      <c r="U656">
        <f>IF('19_Расчет_аналитики'!U338&gt;='01_Вводные'!$B$126,IF('01_Вводные'!$B$129="ИП",'01_Вводные'!$B$127+'19_Расчет_аналитики'!U349*'01_Вводные'!$B$128,('01_Вводные'!$B$127/'01_Вводные'!$B$132+'19_Расчет_аналитики'!U349*'01_Вводные'!$B$128)*(1+'01_Вводные'!$B$131)),0)</f>
        <v/>
      </c>
      <c r="V656">
        <f>IF('19_Расчет_аналитики'!V338&gt;='01_Вводные'!$B$126,IF('01_Вводные'!$B$129="ИП",'01_Вводные'!$B$127+'19_Расчет_аналитики'!V349*'01_Вводные'!$B$128,('01_Вводные'!$B$127/'01_Вводные'!$B$132+'19_Расчет_аналитики'!V349*'01_Вводные'!$B$128)*(1+'01_Вводные'!$B$131)),0)</f>
        <v/>
      </c>
      <c r="W656">
        <f>IF('19_Расчет_аналитики'!W338&gt;='01_Вводные'!$B$126,IF('01_Вводные'!$B$129="ИП",'01_Вводные'!$B$127+'19_Расчет_аналитики'!W349*'01_Вводные'!$B$128,('01_Вводные'!$B$127/'01_Вводные'!$B$132+'19_Расчет_аналитики'!W349*'01_Вводные'!$B$128)*(1+'01_Вводные'!$B$131)),0)</f>
        <v/>
      </c>
      <c r="X656">
        <f>IF('19_Расчет_аналитики'!X338&gt;='01_Вводные'!$B$126,IF('01_Вводные'!$B$129="ИП",'01_Вводные'!$B$127+'19_Расчет_аналитики'!X349*'01_Вводные'!$B$128,('01_Вводные'!$B$127/'01_Вводные'!$B$132+'19_Расчет_аналитики'!X349*'01_Вводные'!$B$128)*(1+'01_Вводные'!$B$131)),0)</f>
        <v/>
      </c>
      <c r="Y656">
        <f>IF('19_Расчет_аналитики'!Y338&gt;='01_Вводные'!$B$126,IF('01_Вводные'!$B$129="ИП",'01_Вводные'!$B$127+'19_Расчет_аналитики'!Y349*'01_Вводные'!$B$128,('01_Вводные'!$B$127/'01_Вводные'!$B$132+'19_Расчет_аналитики'!Y349*'01_Вводные'!$B$128)*(1+'01_Вводные'!$B$131)),0)</f>
        <v/>
      </c>
      <c r="Z656">
        <f>IF('19_Расчет_аналитики'!Z338&gt;='01_Вводные'!$B$126,IF('01_Вводные'!$B$129="ИП",'01_Вводные'!$B$127+'19_Расчет_аналитики'!Z349*'01_Вводные'!$B$128,('01_Вводные'!$B$127/'01_Вводные'!$B$132+'19_Расчет_аналитики'!Z349*'01_Вводные'!$B$128)*(1+'01_Вводные'!$B$131)),0)</f>
        <v/>
      </c>
      <c r="AA656">
        <f>IF('19_Расчет_аналитики'!AA338&gt;='01_Вводные'!$B$126,IF('01_Вводные'!$B$129="ИП",'01_Вводные'!$B$127+'19_Расчет_аналитики'!AA349*'01_Вводные'!$B$128,('01_Вводные'!$B$127/'01_Вводные'!$B$132+'19_Расчет_аналитики'!AA349*'01_Вводные'!$B$128)*(1+'01_Вводные'!$B$131)),0)</f>
        <v/>
      </c>
      <c r="AB656">
        <f>IF('19_Расчет_аналитики'!AB338&gt;='01_Вводные'!$B$126,IF('01_Вводные'!$B$129="ИП",'01_Вводные'!$B$127+'19_Расчет_аналитики'!AB349*'01_Вводные'!$B$128,('01_Вводные'!$B$127/'01_Вводные'!$B$132+'19_Расчет_аналитики'!AB349*'01_Вводные'!$B$128)*(1+'01_Вводные'!$B$131)),0)</f>
        <v/>
      </c>
      <c r="AC656">
        <f>IF('19_Расчет_аналитики'!AC338&gt;='01_Вводные'!$B$126,IF('01_Вводные'!$B$129="ИП",'01_Вводные'!$B$127+'19_Расчет_аналитики'!AC349*'01_Вводные'!$B$128,('01_Вводные'!$B$127/'01_Вводные'!$B$132+'19_Расчет_аналитики'!AC349*'01_Вводные'!$B$128)*(1+'01_Вводные'!$B$131)),0)</f>
        <v/>
      </c>
      <c r="AD656">
        <f>IF('19_Расчет_аналитики'!AD338&gt;='01_Вводные'!$B$126,IF('01_Вводные'!$B$129="ИП",'01_Вводные'!$B$127+'19_Расчет_аналитики'!AD349*'01_Вводные'!$B$128,('01_Вводные'!$B$127/'01_Вводные'!$B$132+'19_Расчет_аналитики'!AD349*'01_Вводные'!$B$128)*(1+'01_Вводные'!$B$131)),0)</f>
        <v/>
      </c>
      <c r="AE656">
        <f>IF('19_Расчет_аналитики'!AE338&gt;='01_Вводные'!$B$126,IF('01_Вводные'!$B$129="ИП",'01_Вводные'!$B$127+'19_Расчет_аналитики'!AE349*'01_Вводные'!$B$128,('01_Вводные'!$B$127/'01_Вводные'!$B$132+'19_Расчет_аналитики'!AE349*'01_Вводные'!$B$128)*(1+'01_Вводные'!$B$131)),0)</f>
        <v/>
      </c>
      <c r="AF656">
        <f>IF('19_Расчет_аналитики'!AF338&gt;='01_Вводные'!$B$126,IF('01_Вводные'!$B$129="ИП",'01_Вводные'!$B$127+'19_Расчет_аналитики'!AF349*'01_Вводные'!$B$128,('01_Вводные'!$B$127/'01_Вводные'!$B$132+'19_Расчет_аналитики'!AF349*'01_Вводные'!$B$128)*(1+'01_Вводные'!$B$131)),0)</f>
        <v/>
      </c>
      <c r="AG656">
        <f>IF('19_Расчет_аналитики'!AG338&gt;='01_Вводные'!$B$126,IF('01_Вводные'!$B$129="ИП",'01_Вводные'!$B$127+'19_Расчет_аналитики'!AG349*'01_Вводные'!$B$128,('01_Вводные'!$B$127/'01_Вводные'!$B$132+'19_Расчет_аналитики'!AG349*'01_Вводные'!$B$128)*(1+'01_Вводные'!$B$131)),0)</f>
        <v/>
      </c>
      <c r="AH656">
        <f>IF('19_Расчет_аналитики'!AH338&gt;='01_Вводные'!$B$126,IF('01_Вводные'!$B$129="ИП",'01_Вводные'!$B$127+'19_Расчет_аналитики'!AH349*'01_Вводные'!$B$128,('01_Вводные'!$B$127/'01_Вводные'!$B$132+'19_Расчет_аналитики'!AH349*'01_Вводные'!$B$128)*(1+'01_Вводные'!$B$131)),0)</f>
        <v/>
      </c>
      <c r="AI656">
        <f>IF('19_Расчет_аналитики'!AI338&gt;='01_Вводные'!$B$126,IF('01_Вводные'!$B$129="ИП",'01_Вводные'!$B$127+'19_Расчет_аналитики'!AI349*'01_Вводные'!$B$128,('01_Вводные'!$B$127/'01_Вводные'!$B$132+'19_Расчет_аналитики'!AI349*'01_Вводные'!$B$128)*(1+'01_Вводные'!$B$131)),0)</f>
        <v/>
      </c>
      <c r="AJ656">
        <f>IF('19_Расчет_аналитики'!AJ338&gt;='01_Вводные'!$B$126,IF('01_Вводные'!$B$129="ИП",'01_Вводные'!$B$127+'19_Расчет_аналитики'!AJ349*'01_Вводные'!$B$128,('01_Вводные'!$B$127/'01_Вводные'!$B$132+'19_Расчет_аналитики'!AJ349*'01_Вводные'!$B$128)*(1+'01_Вводные'!$B$131)),0)</f>
        <v/>
      </c>
      <c r="AK656">
        <f>IF('19_Расчет_аналитики'!AK338&gt;='01_Вводные'!$B$126,IF('01_Вводные'!$B$129="ИП",'01_Вводные'!$B$127+'19_Расчет_аналитики'!AK349*'01_Вводные'!$B$128,('01_Вводные'!$B$127/'01_Вводные'!$B$132+'19_Расчет_аналитики'!AK349*'01_Вводные'!$B$128)*(1+'01_Вводные'!$B$131)),0)</f>
        <v/>
      </c>
      <c r="AL656">
        <f>IF('19_Расчет_аналитики'!AL338&gt;='01_Вводные'!$B$126,IF('01_Вводные'!$B$129="ИП",'01_Вводные'!$B$127+'19_Расчет_аналитики'!AL349*'01_Вводные'!$B$128,('01_Вводные'!$B$127/'01_Вводные'!$B$132+'19_Расчет_аналитики'!AL349*'01_Вводные'!$B$128)*(1+'01_Вводные'!$B$131)),0)</f>
        <v/>
      </c>
      <c r="AM656">
        <f>IF('19_Расчет_аналитики'!AM338&gt;='01_Вводные'!$B$126,IF('01_Вводные'!$B$129="ИП",'01_Вводные'!$B$127+'19_Расчет_аналитики'!AM349*'01_Вводные'!$B$128,('01_Вводные'!$B$127/'01_Вводные'!$B$132+'19_Расчет_аналитики'!AM349*'01_Вводные'!$B$128)*(1+'01_Вводные'!$B$131)),0)</f>
        <v/>
      </c>
      <c r="AN656">
        <f>IF('19_Расчет_аналитики'!AN338&gt;='01_Вводные'!$B$126,IF('01_Вводные'!$B$129="ИП",'01_Вводные'!$B$127+'19_Расчет_аналитики'!AN349*'01_Вводные'!$B$128,('01_Вводные'!$B$127/'01_Вводные'!$B$132+'19_Расчет_аналитики'!AN349*'01_Вводные'!$B$128)*(1+'01_Вводные'!$B$131)),0)</f>
        <v/>
      </c>
      <c r="AO656">
        <f>IF('19_Расчет_аналитики'!AO338&gt;='01_Вводные'!$B$126,IF('01_Вводные'!$B$129="ИП",'01_Вводные'!$B$127+'19_Расчет_аналитики'!AO349*'01_Вводные'!$B$128,('01_Вводные'!$B$127/'01_Вводные'!$B$132+'19_Расчет_аналитики'!AO349*'01_Вводные'!$B$128)*(1+'01_Вводные'!$B$131)),0)</f>
        <v/>
      </c>
      <c r="AP656">
        <f>IF('19_Расчет_аналитики'!AP338&gt;='01_Вводные'!$B$126,IF('01_Вводные'!$B$129="ИП",'01_Вводные'!$B$127+'19_Расчет_аналитики'!AP349*'01_Вводные'!$B$128,('01_Вводные'!$B$127/'01_Вводные'!$B$132+'19_Расчет_аналитики'!AP349*'01_Вводные'!$B$128)*(1+'01_Вводные'!$B$131)),0)</f>
        <v/>
      </c>
      <c r="AQ656">
        <f>IF('19_Расчет_аналитики'!AQ338&gt;='01_Вводные'!$B$126,IF('01_Вводные'!$B$129="ИП",'01_Вводные'!$B$127+'19_Расчет_аналитики'!AQ349*'01_Вводные'!$B$128,('01_Вводные'!$B$127/'01_Вводные'!$B$132+'19_Расчет_аналитики'!AQ349*'01_Вводные'!$B$128)*(1+'01_Вводные'!$B$131)),0)</f>
        <v/>
      </c>
      <c r="AR656">
        <f>IF('19_Расчет_аналитики'!AR338&gt;='01_Вводные'!$B$126,IF('01_Вводные'!$B$129="ИП",'01_Вводные'!$B$127+'19_Расчет_аналитики'!AR349*'01_Вводные'!$B$128,('01_Вводные'!$B$127/'01_Вводные'!$B$132+'19_Расчет_аналитики'!AR349*'01_Вводные'!$B$128)*(1+'01_Вводные'!$B$131)),0)</f>
        <v/>
      </c>
      <c r="AS656">
        <f>IF('19_Расчет_аналитики'!AS338&gt;='01_Вводные'!$B$126,IF('01_Вводные'!$B$129="ИП",'01_Вводные'!$B$127+'19_Расчет_аналитики'!AS349*'01_Вводные'!$B$128,('01_Вводные'!$B$127/'01_Вводные'!$B$132+'19_Расчет_аналитики'!AS349*'01_Вводные'!$B$128)*(1+'01_Вводные'!$B$131)),0)</f>
        <v/>
      </c>
      <c r="AT656">
        <f>IF('19_Расчет_аналитики'!AT338&gt;='01_Вводные'!$B$126,IF('01_Вводные'!$B$129="ИП",'01_Вводные'!$B$127+'19_Расчет_аналитики'!AT349*'01_Вводные'!$B$128,('01_Вводные'!$B$127/'01_Вводные'!$B$132+'19_Расчет_аналитики'!AT349*'01_Вводные'!$B$128)*(1+'01_Вводные'!$B$131)),0)</f>
        <v/>
      </c>
      <c r="AU656">
        <f>IF('19_Расчет_аналитики'!AU338&gt;='01_Вводные'!$B$126,IF('01_Вводные'!$B$129="ИП",'01_Вводные'!$B$127+'19_Расчет_аналитики'!AU349*'01_Вводные'!$B$128,('01_Вводные'!$B$127/'01_Вводные'!$B$132+'19_Расчет_аналитики'!AU349*'01_Вводные'!$B$128)*(1+'01_Вводные'!$B$131)),0)</f>
        <v/>
      </c>
      <c r="AV656">
        <f>IF('19_Расчет_аналитики'!AV338&gt;='01_Вводные'!$B$126,IF('01_Вводные'!$B$129="ИП",'01_Вводные'!$B$127+'19_Расчет_аналитики'!AV349*'01_Вводные'!$B$128,('01_Вводные'!$B$127/'01_Вводные'!$B$132+'19_Расчет_аналитики'!AV349*'01_Вводные'!$B$128)*(1+'01_Вводные'!$B$131)),0)</f>
        <v/>
      </c>
      <c r="AW656">
        <f>IF('19_Расчет_аналитики'!AW338&gt;='01_Вводные'!$B$126,IF('01_Вводные'!$B$129="ИП",'01_Вводные'!$B$127+'19_Расчет_аналитики'!AW349*'01_Вводные'!$B$128,('01_Вводные'!$B$127/'01_Вводные'!$B$132+'19_Расчет_аналитики'!AW349*'01_Вводные'!$B$128)*(1+'01_Вводные'!$B$131)),0)</f>
        <v/>
      </c>
      <c r="AX656">
        <f>IF('19_Расчет_аналитики'!AX338&gt;='01_Вводные'!$B$126,IF('01_Вводные'!$B$129="ИП",'01_Вводные'!$B$127+'19_Расчет_аналитики'!AX349*'01_Вводные'!$B$128,('01_Вводные'!$B$127/'01_Вводные'!$B$132+'19_Расчет_аналитики'!AX349*'01_Вводные'!$B$128)*(1+'01_Вводные'!$B$131)),0)</f>
        <v/>
      </c>
      <c r="AY656">
        <f>IF('19_Расчет_аналитики'!AY338&gt;='01_Вводные'!$B$126,IF('01_Вводные'!$B$129="ИП",'01_Вводные'!$B$127+'19_Расчет_аналитики'!AY349*'01_Вводные'!$B$128,('01_Вводные'!$B$127/'01_Вводные'!$B$132+'19_Расчет_аналитики'!AY349*'01_Вводные'!$B$128)*(1+'01_Вводные'!$B$131)),0)</f>
        <v/>
      </c>
      <c r="AZ656">
        <f>IF('19_Расчет_аналитики'!AZ338&gt;='01_Вводные'!$B$126,IF('01_Вводные'!$B$129="ИП",'01_Вводные'!$B$127+'19_Расчет_аналитики'!AZ349*'01_Вводные'!$B$128,('01_Вводные'!$B$127/'01_Вводные'!$B$132+'19_Расчет_аналитики'!AZ349*'01_Вводные'!$B$128)*(1+'01_Вводные'!$B$131)),0)</f>
        <v/>
      </c>
      <c r="BA656">
        <f>IF('19_Расчет_аналитики'!BA338&gt;='01_Вводные'!$B$126,IF('01_Вводные'!$B$129="ИП",'01_Вводные'!$B$127+'19_Расчет_аналитики'!BA349*'01_Вводные'!$B$128,('01_Вводные'!$B$127/'01_Вводные'!$B$132+'19_Расчет_аналитики'!BA349*'01_Вводные'!$B$128)*(1+'01_Вводные'!$B$131)),0)</f>
        <v/>
      </c>
      <c r="BB656">
        <f>IF('19_Расчет_аналитики'!BB338&gt;='01_Вводные'!$B$126,IF('01_Вводные'!$B$129="ИП",'01_Вводные'!$B$127+'19_Расчет_аналитики'!BB349*'01_Вводные'!$B$128,('01_Вводные'!$B$127/'01_Вводные'!$B$132+'19_Расчет_аналитики'!BB349*'01_Вводные'!$B$128)*(1+'01_Вводные'!$B$131)),0)</f>
        <v/>
      </c>
      <c r="BC656">
        <f>IF('19_Расчет_аналитики'!BC338&gt;='01_Вводные'!$B$126,IF('01_Вводные'!$B$129="ИП",'01_Вводные'!$B$127+'19_Расчет_аналитики'!BC349*'01_Вводные'!$B$128,('01_Вводные'!$B$127/'01_Вводные'!$B$132+'19_Расчет_аналитики'!BC349*'01_Вводные'!$B$128)*(1+'01_Вводные'!$B$131)),0)</f>
        <v/>
      </c>
      <c r="BD656">
        <f>IF('19_Расчет_аналитики'!BD338&gt;='01_Вводные'!$B$126,IF('01_Вводные'!$B$129="ИП",'01_Вводные'!$B$127+'19_Расчет_аналитики'!BD349*'01_Вводные'!$B$128,('01_Вводные'!$B$127/'01_Вводные'!$B$132+'19_Расчет_аналитики'!BD349*'01_Вводные'!$B$128)*(1+'01_Вводные'!$B$131)),0)</f>
        <v/>
      </c>
      <c r="BE656">
        <f>IF('19_Расчет_аналитики'!BE338&gt;='01_Вводные'!$B$126,IF('01_Вводные'!$B$129="ИП",'01_Вводные'!$B$127+'19_Расчет_аналитики'!BE349*'01_Вводные'!$B$128,('01_Вводные'!$B$127/'01_Вводные'!$B$132+'19_Расчет_аналитики'!BE349*'01_Вводные'!$B$128)*(1+'01_Вводные'!$B$131)),0)</f>
        <v/>
      </c>
      <c r="BF656">
        <f>IF('19_Расчет_аналитики'!BF338&gt;='01_Вводные'!$B$126,IF('01_Вводные'!$B$129="ИП",'01_Вводные'!$B$127+'19_Расчет_аналитики'!BF349*'01_Вводные'!$B$128,('01_Вводные'!$B$127/'01_Вводные'!$B$132+'19_Расчет_аналитики'!BF349*'01_Вводные'!$B$128)*(1+'01_Вводные'!$B$131)),0)</f>
        <v/>
      </c>
      <c r="BG656">
        <f>IF('19_Расчет_аналитики'!BG338&gt;='01_Вводные'!$B$126,IF('01_Вводные'!$B$129="ИП",'01_Вводные'!$B$127+'19_Расчет_аналитики'!BG349*'01_Вводные'!$B$128,('01_Вводные'!$B$127/'01_Вводные'!$B$132+'19_Расчет_аналитики'!BG349*'01_Вводные'!$B$128)*(1+'01_Вводные'!$B$131)),0)</f>
        <v/>
      </c>
      <c r="BH656">
        <f>IF('19_Расчет_аналитики'!BH338&gt;='01_Вводные'!$B$126,IF('01_Вводные'!$B$129="ИП",'01_Вводные'!$B$127+'19_Расчет_аналитики'!BH349*'01_Вводные'!$B$128,('01_Вводные'!$B$127/'01_Вводные'!$B$132+'19_Расчет_аналитики'!BH349*'01_Вводные'!$B$128)*(1+'01_Вводные'!$B$131)),0)</f>
        <v/>
      </c>
      <c r="BI656">
        <f>IF('19_Расчет_аналитики'!BI338&gt;='01_Вводные'!$B$126,IF('01_Вводные'!$B$129="ИП",'01_Вводные'!$B$127+'19_Расчет_аналитики'!BI349*'01_Вводные'!$B$128,('01_Вводные'!$B$127/'01_Вводные'!$B$132+'19_Расчет_аналитики'!BI349*'01_Вводные'!$B$128)*(1+'01_Вводные'!$B$131)),0)</f>
        <v/>
      </c>
    </row>
    <row r="657"/>
    <row r="658"/>
    <row r="659"/>
    <row r="660"/>
    <row r="661">
      <c r="C661">
        <f>(MAX(0,'19_Расчет_аналитики'!C647-'08_ФОТ'!B10)*'01_Вводные'!$B$119*'08_ФОТ'!C5+IF('08_ФОТ'!C$3='01_Вводные'!$B$247,'01_Вводные'!$B$133/'01_Вводные'!$B$132,0)+IF('08_ФОТ'!C$3='01_Вводные'!$B$248,'01_Вводные'!$B$134/'01_Вводные'!$B$132,0))*'01_Вводные'!$B$120</f>
        <v/>
      </c>
      <c r="D661">
        <f>(MAX(0,'19_Расчет_аналитики'!D647-'19_Расчет_аналитики'!C647)*'01_Вводные'!$B$119*'08_ФОТ'!D5+IF('08_ФОТ'!D$3='01_Вводные'!$B$247,'01_Вводные'!$B$133/'01_Вводные'!$B$132,0)+IF('08_ФОТ'!D$3='01_Вводные'!$B$248,'01_Вводные'!$B$134/'01_Вводные'!$B$132,0))*'01_Вводные'!$B$120</f>
        <v/>
      </c>
      <c r="E661">
        <f>(MAX(0,'19_Расчет_аналитики'!E647-'19_Расчет_аналитики'!D647)*'01_Вводные'!$B$119*'08_ФОТ'!E5+IF('08_ФОТ'!E$3='01_Вводные'!$B$247,'01_Вводные'!$B$133/'01_Вводные'!$B$132,0)+IF('08_ФОТ'!E$3='01_Вводные'!$B$248,'01_Вводные'!$B$134/'01_Вводные'!$B$132,0))*'01_Вводные'!$B$120</f>
        <v/>
      </c>
      <c r="F661">
        <f>(MAX(0,'19_Расчет_аналитики'!F647-'19_Расчет_аналитики'!E647)*'01_Вводные'!$B$119*'08_ФОТ'!F5+IF('08_ФОТ'!F$3='01_Вводные'!$B$247,'01_Вводные'!$B$133/'01_Вводные'!$B$132,0)+IF('08_ФОТ'!F$3='01_Вводные'!$B$248,'01_Вводные'!$B$134/'01_Вводные'!$B$132,0))*'01_Вводные'!$B$120</f>
        <v/>
      </c>
      <c r="G661">
        <f>(MAX(0,'19_Расчет_аналитики'!G647-'19_Расчет_аналитики'!F647)*'01_Вводные'!$B$119*'08_ФОТ'!G5+IF('08_ФОТ'!G$3='01_Вводные'!$B$247,'01_Вводные'!$B$133/'01_Вводные'!$B$132,0)+IF('08_ФОТ'!G$3='01_Вводные'!$B$248,'01_Вводные'!$B$134/'01_Вводные'!$B$132,0))*'01_Вводные'!$B$120</f>
        <v/>
      </c>
      <c r="H661">
        <f>(MAX(0,'19_Расчет_аналитики'!H647-'19_Расчет_аналитики'!G647)*'01_Вводные'!$B$119*'08_ФОТ'!H5+IF('08_ФОТ'!H$3='01_Вводные'!$B$247,'01_Вводные'!$B$133/'01_Вводные'!$B$132,0)+IF('08_ФОТ'!H$3='01_Вводные'!$B$248,'01_Вводные'!$B$134/'01_Вводные'!$B$132,0))*'01_Вводные'!$B$120</f>
        <v/>
      </c>
      <c r="I661">
        <f>(MAX(0,'19_Расчет_аналитики'!I647-'19_Расчет_аналитики'!H647)*'01_Вводные'!$B$119*'08_ФОТ'!I5+IF('08_ФОТ'!I$3='01_Вводные'!$B$247,'01_Вводные'!$B$133/'01_Вводные'!$B$132,0)+IF('08_ФОТ'!I$3='01_Вводные'!$B$248,'01_Вводные'!$B$134/'01_Вводные'!$B$132,0))*'01_Вводные'!$B$120</f>
        <v/>
      </c>
      <c r="J661">
        <f>(MAX(0,'19_Расчет_аналитики'!J647-'19_Расчет_аналитики'!I647)*'01_Вводные'!$B$119*'08_ФОТ'!J5+IF('08_ФОТ'!J$3='01_Вводные'!$B$247,'01_Вводные'!$B$133/'01_Вводные'!$B$132,0)+IF('08_ФОТ'!J$3='01_Вводные'!$B$248,'01_Вводные'!$B$134/'01_Вводные'!$B$132,0))*'01_Вводные'!$B$120</f>
        <v/>
      </c>
      <c r="K661">
        <f>(MAX(0,'19_Расчет_аналитики'!K647-'19_Расчет_аналитики'!J647)*'01_Вводные'!$B$119*'08_ФОТ'!K5+IF('08_ФОТ'!K$3='01_Вводные'!$B$247,'01_Вводные'!$B$133/'01_Вводные'!$B$132,0)+IF('08_ФОТ'!K$3='01_Вводные'!$B$248,'01_Вводные'!$B$134/'01_Вводные'!$B$132,0))*'01_Вводные'!$B$120</f>
        <v/>
      </c>
      <c r="L661">
        <f>(MAX(0,'19_Расчет_аналитики'!L647-'19_Расчет_аналитики'!K647)*'01_Вводные'!$B$119*'08_ФОТ'!L5+IF('08_ФОТ'!L$3='01_Вводные'!$B$247,'01_Вводные'!$B$133/'01_Вводные'!$B$132,0)+IF('08_ФОТ'!L$3='01_Вводные'!$B$248,'01_Вводные'!$B$134/'01_Вводные'!$B$132,0))*'01_Вводные'!$B$120</f>
        <v/>
      </c>
      <c r="M661">
        <f>(MAX(0,'19_Расчет_аналитики'!M647-'19_Расчет_аналитики'!L647)*'01_Вводные'!$B$119*'08_ФОТ'!M5+IF('08_ФОТ'!M$3='01_Вводные'!$B$247,'01_Вводные'!$B$133/'01_Вводные'!$B$132,0)+IF('08_ФОТ'!M$3='01_Вводные'!$B$248,'01_Вводные'!$B$134/'01_Вводные'!$B$132,0))*'01_Вводные'!$B$120</f>
        <v/>
      </c>
      <c r="N661">
        <f>(MAX(0,'19_Расчет_аналитики'!N647-'19_Расчет_аналитики'!M647)*'01_Вводные'!$B$119*'08_ФОТ'!N5+IF('08_ФОТ'!N$3='01_Вводные'!$B$247,'01_Вводные'!$B$133/'01_Вводные'!$B$132,0)+IF('08_ФОТ'!N$3='01_Вводные'!$B$248,'01_Вводные'!$B$134/'01_Вводные'!$B$132,0))*'01_Вводные'!$B$120</f>
        <v/>
      </c>
      <c r="O661">
        <f>(MAX(0,'19_Расчет_аналитики'!O647-'19_Расчет_аналитики'!N647)*'01_Вводные'!$B$119*'08_ФОТ'!O5+IF('08_ФОТ'!O$3='01_Вводные'!$B$247,'01_Вводные'!$B$133/'01_Вводные'!$B$132,0)+IF('08_ФОТ'!O$3='01_Вводные'!$B$248,'01_Вводные'!$B$134/'01_Вводные'!$B$132,0))*'01_Вводные'!$B$120</f>
        <v/>
      </c>
      <c r="P661">
        <f>(MAX(0,'19_Расчет_аналитики'!P647-'19_Расчет_аналитики'!O647)*'01_Вводные'!$B$119*'08_ФОТ'!P5+IF('08_ФОТ'!P$3='01_Вводные'!$B$247,'01_Вводные'!$B$133/'01_Вводные'!$B$132,0)+IF('08_ФОТ'!P$3='01_Вводные'!$B$248,'01_Вводные'!$B$134/'01_Вводные'!$B$132,0))*'01_Вводные'!$B$120</f>
        <v/>
      </c>
      <c r="Q661">
        <f>(MAX(0,'19_Расчет_аналитики'!Q647-'19_Расчет_аналитики'!P647)*'01_Вводные'!$B$119*'08_ФОТ'!Q5+IF('08_ФОТ'!Q$3='01_Вводные'!$B$247,'01_Вводные'!$B$133/'01_Вводные'!$B$132,0)+IF('08_ФОТ'!Q$3='01_Вводные'!$B$248,'01_Вводные'!$B$134/'01_Вводные'!$B$132,0))*'01_Вводные'!$B$120</f>
        <v/>
      </c>
      <c r="R661">
        <f>(MAX(0,'19_Расчет_аналитики'!R647-'19_Расчет_аналитики'!Q647)*'01_Вводные'!$B$119*'08_ФОТ'!R5+IF('08_ФОТ'!R$3='01_Вводные'!$B$247,'01_Вводные'!$B$133/'01_Вводные'!$B$132,0)+IF('08_ФОТ'!R$3='01_Вводные'!$B$248,'01_Вводные'!$B$134/'01_Вводные'!$B$132,0))*'01_Вводные'!$B$120</f>
        <v/>
      </c>
      <c r="S661">
        <f>(MAX(0,'19_Расчет_аналитики'!S647-'19_Расчет_аналитики'!R647)*'01_Вводные'!$B$119*'08_ФОТ'!S5+IF('08_ФОТ'!S$3='01_Вводные'!$B$247,'01_Вводные'!$B$133/'01_Вводные'!$B$132,0)+IF('08_ФОТ'!S$3='01_Вводные'!$B$248,'01_Вводные'!$B$134/'01_Вводные'!$B$132,0))*'01_Вводные'!$B$120</f>
        <v/>
      </c>
      <c r="T661">
        <f>(MAX(0,'19_Расчет_аналитики'!T647-'19_Расчет_аналитики'!S647)*'01_Вводные'!$B$119*'08_ФОТ'!T5+IF('08_ФОТ'!T$3='01_Вводные'!$B$247,'01_Вводные'!$B$133/'01_Вводные'!$B$132,0)+IF('08_ФОТ'!T$3='01_Вводные'!$B$248,'01_Вводные'!$B$134/'01_Вводные'!$B$132,0))*'01_Вводные'!$B$120</f>
        <v/>
      </c>
      <c r="U661">
        <f>(MAX(0,'19_Расчет_аналитики'!U647-'19_Расчет_аналитики'!T647)*'01_Вводные'!$B$119*'08_ФОТ'!U5+IF('08_ФОТ'!U$3='01_Вводные'!$B$247,'01_Вводные'!$B$133/'01_Вводные'!$B$132,0)+IF('08_ФОТ'!U$3='01_Вводные'!$B$248,'01_Вводные'!$B$134/'01_Вводные'!$B$132,0))*'01_Вводные'!$B$120</f>
        <v/>
      </c>
      <c r="V661">
        <f>(MAX(0,'19_Расчет_аналитики'!V647-'19_Расчет_аналитики'!U647)*'01_Вводные'!$B$119*'08_ФОТ'!V5+IF('08_ФОТ'!V$3='01_Вводные'!$B$247,'01_Вводные'!$B$133/'01_Вводные'!$B$132,0)+IF('08_ФОТ'!V$3='01_Вводные'!$B$248,'01_Вводные'!$B$134/'01_Вводные'!$B$132,0))*'01_Вводные'!$B$120</f>
        <v/>
      </c>
      <c r="W661">
        <f>(MAX(0,'19_Расчет_аналитики'!W647-'19_Расчет_аналитики'!V647)*'01_Вводные'!$B$119*'08_ФОТ'!W5+IF('08_ФОТ'!W$3='01_Вводные'!$B$247,'01_Вводные'!$B$133/'01_Вводные'!$B$132,0)+IF('08_ФОТ'!W$3='01_Вводные'!$B$248,'01_Вводные'!$B$134/'01_Вводные'!$B$132,0))*'01_Вводные'!$B$120</f>
        <v/>
      </c>
      <c r="X661">
        <f>(MAX(0,'19_Расчет_аналитики'!X647-'19_Расчет_аналитики'!W647)*'01_Вводные'!$B$119*'08_ФОТ'!X5+IF('08_ФОТ'!X$3='01_Вводные'!$B$247,'01_Вводные'!$B$133/'01_Вводные'!$B$132,0)+IF('08_ФОТ'!X$3='01_Вводные'!$B$248,'01_Вводные'!$B$134/'01_Вводные'!$B$132,0))*'01_Вводные'!$B$120</f>
        <v/>
      </c>
      <c r="Y661">
        <f>(MAX(0,'19_Расчет_аналитики'!Y647-'19_Расчет_аналитики'!X647)*'01_Вводные'!$B$119*'08_ФОТ'!Y5+IF('08_ФОТ'!Y$3='01_Вводные'!$B$247,'01_Вводные'!$B$133/'01_Вводные'!$B$132,0)+IF('08_ФОТ'!Y$3='01_Вводные'!$B$248,'01_Вводные'!$B$134/'01_Вводные'!$B$132,0))*'01_Вводные'!$B$120</f>
        <v/>
      </c>
      <c r="Z661">
        <f>(MAX(0,'19_Расчет_аналитики'!Z647-'19_Расчет_аналитики'!Y647)*'01_Вводные'!$B$119*'08_ФОТ'!Z5+IF('08_ФОТ'!Z$3='01_Вводные'!$B$247,'01_Вводные'!$B$133/'01_Вводные'!$B$132,0)+IF('08_ФОТ'!Z$3='01_Вводные'!$B$248,'01_Вводные'!$B$134/'01_Вводные'!$B$132,0))*'01_Вводные'!$B$120</f>
        <v/>
      </c>
      <c r="AA661">
        <f>(MAX(0,'19_Расчет_аналитики'!AA647-'19_Расчет_аналитики'!Z647)*'01_Вводные'!$B$119*'08_ФОТ'!AA5+IF('08_ФОТ'!AA$3='01_Вводные'!$B$247,'01_Вводные'!$B$133/'01_Вводные'!$B$132,0)+IF('08_ФОТ'!AA$3='01_Вводные'!$B$248,'01_Вводные'!$B$134/'01_Вводные'!$B$132,0))*'01_Вводные'!$B$120</f>
        <v/>
      </c>
      <c r="AB661">
        <f>(MAX(0,'19_Расчет_аналитики'!AB647-'19_Расчет_аналитики'!AA647)*'01_Вводные'!$B$119*'08_ФОТ'!AB5+IF('08_ФОТ'!AB$3='01_Вводные'!$B$247,'01_Вводные'!$B$133/'01_Вводные'!$B$132,0)+IF('08_ФОТ'!AB$3='01_Вводные'!$B$248,'01_Вводные'!$B$134/'01_Вводные'!$B$132,0))*'01_Вводные'!$B$120</f>
        <v/>
      </c>
      <c r="AC661">
        <f>(MAX(0,'19_Расчет_аналитики'!AC647-'19_Расчет_аналитики'!AB647)*'01_Вводные'!$B$119*'08_ФОТ'!AC5+IF('08_ФОТ'!AC$3='01_Вводные'!$B$247,'01_Вводные'!$B$133/'01_Вводные'!$B$132,0)+IF('08_ФОТ'!AC$3='01_Вводные'!$B$248,'01_Вводные'!$B$134/'01_Вводные'!$B$132,0))*'01_Вводные'!$B$120</f>
        <v/>
      </c>
      <c r="AD661">
        <f>(MAX(0,'19_Расчет_аналитики'!AD647-'19_Расчет_аналитики'!AC647)*'01_Вводные'!$B$119*'08_ФОТ'!AD5+IF('08_ФОТ'!AD$3='01_Вводные'!$B$247,'01_Вводные'!$B$133/'01_Вводные'!$B$132,0)+IF('08_ФОТ'!AD$3='01_Вводные'!$B$248,'01_Вводные'!$B$134/'01_Вводные'!$B$132,0))*'01_Вводные'!$B$120</f>
        <v/>
      </c>
      <c r="AE661">
        <f>(MAX(0,'19_Расчет_аналитики'!AE647-'19_Расчет_аналитики'!AD647)*'01_Вводные'!$B$119*'08_ФОТ'!AE5+IF('08_ФОТ'!AE$3='01_Вводные'!$B$247,'01_Вводные'!$B$133/'01_Вводные'!$B$132,0)+IF('08_ФОТ'!AE$3='01_Вводные'!$B$248,'01_Вводные'!$B$134/'01_Вводные'!$B$132,0))*'01_Вводные'!$B$120</f>
        <v/>
      </c>
      <c r="AF661">
        <f>(MAX(0,'19_Расчет_аналитики'!AF647-'19_Расчет_аналитики'!AE647)*'01_Вводные'!$B$119*'08_ФОТ'!AF5+IF('08_ФОТ'!AF$3='01_Вводные'!$B$247,'01_Вводные'!$B$133/'01_Вводные'!$B$132,0)+IF('08_ФОТ'!AF$3='01_Вводные'!$B$248,'01_Вводные'!$B$134/'01_Вводные'!$B$132,0))*'01_Вводные'!$B$120</f>
        <v/>
      </c>
      <c r="AG661">
        <f>(MAX(0,'19_Расчет_аналитики'!AG647-'19_Расчет_аналитики'!AF647)*'01_Вводные'!$B$119*'08_ФОТ'!AG5+IF('08_ФОТ'!AG$3='01_Вводные'!$B$247,'01_Вводные'!$B$133/'01_Вводные'!$B$132,0)+IF('08_ФОТ'!AG$3='01_Вводные'!$B$248,'01_Вводные'!$B$134/'01_Вводные'!$B$132,0))*'01_Вводные'!$B$120</f>
        <v/>
      </c>
      <c r="AH661">
        <f>(MAX(0,'19_Расчет_аналитики'!AH647-'19_Расчет_аналитики'!AG647)*'01_Вводные'!$B$119*'08_ФОТ'!AH5+IF('08_ФОТ'!AH$3='01_Вводные'!$B$247,'01_Вводные'!$B$133/'01_Вводные'!$B$132,0)+IF('08_ФОТ'!AH$3='01_Вводные'!$B$248,'01_Вводные'!$B$134/'01_Вводные'!$B$132,0))*'01_Вводные'!$B$120</f>
        <v/>
      </c>
      <c r="AI661">
        <f>(MAX(0,'19_Расчет_аналитики'!AI647-'19_Расчет_аналитики'!AH647)*'01_Вводные'!$B$119*'08_ФОТ'!AI5+IF('08_ФОТ'!AI$3='01_Вводные'!$B$247,'01_Вводные'!$B$133/'01_Вводные'!$B$132,0)+IF('08_ФОТ'!AI$3='01_Вводные'!$B$248,'01_Вводные'!$B$134/'01_Вводные'!$B$132,0))*'01_Вводные'!$B$120</f>
        <v/>
      </c>
      <c r="AJ661">
        <f>(MAX(0,'19_Расчет_аналитики'!AJ647-'19_Расчет_аналитики'!AI647)*'01_Вводные'!$B$119*'08_ФОТ'!AJ5+IF('08_ФОТ'!AJ$3='01_Вводные'!$B$247,'01_Вводные'!$B$133/'01_Вводные'!$B$132,0)+IF('08_ФОТ'!AJ$3='01_Вводные'!$B$248,'01_Вводные'!$B$134/'01_Вводные'!$B$132,0))*'01_Вводные'!$B$120</f>
        <v/>
      </c>
      <c r="AK661">
        <f>(MAX(0,'19_Расчет_аналитики'!AK647-'19_Расчет_аналитики'!AJ647)*'01_Вводные'!$B$119*'08_ФОТ'!AK5+IF('08_ФОТ'!AK$3='01_Вводные'!$B$247,'01_Вводные'!$B$133/'01_Вводные'!$B$132,0)+IF('08_ФОТ'!AK$3='01_Вводные'!$B$248,'01_Вводные'!$B$134/'01_Вводные'!$B$132,0))*'01_Вводные'!$B$120</f>
        <v/>
      </c>
      <c r="AL661">
        <f>(MAX(0,'19_Расчет_аналитики'!AL647-'19_Расчет_аналитики'!AK647)*'01_Вводные'!$B$119*'08_ФОТ'!AL5+IF('08_ФОТ'!AL$3='01_Вводные'!$B$247,'01_Вводные'!$B$133/'01_Вводные'!$B$132,0)+IF('08_ФОТ'!AL$3='01_Вводные'!$B$248,'01_Вводные'!$B$134/'01_Вводные'!$B$132,0))*'01_Вводные'!$B$120</f>
        <v/>
      </c>
      <c r="AM661">
        <f>(MAX(0,'19_Расчет_аналитики'!AM647-'19_Расчет_аналитики'!AL647)*'01_Вводные'!$B$119*'08_ФОТ'!AM5+IF('08_ФОТ'!AM$3='01_Вводные'!$B$247,'01_Вводные'!$B$133/'01_Вводные'!$B$132,0)+IF('08_ФОТ'!AM$3='01_Вводные'!$B$248,'01_Вводные'!$B$134/'01_Вводные'!$B$132,0))*'01_Вводные'!$B$120</f>
        <v/>
      </c>
      <c r="AN661">
        <f>(MAX(0,'19_Расчет_аналитики'!AN647-'19_Расчет_аналитики'!AM647)*'01_Вводные'!$B$119*'08_ФОТ'!AN5+IF('08_ФОТ'!AN$3='01_Вводные'!$B$247,'01_Вводные'!$B$133/'01_Вводные'!$B$132,0)+IF('08_ФОТ'!AN$3='01_Вводные'!$B$248,'01_Вводные'!$B$134/'01_Вводные'!$B$132,0))*'01_Вводные'!$B$120</f>
        <v/>
      </c>
      <c r="AO661">
        <f>(MAX(0,'19_Расчет_аналитики'!AO647-'19_Расчет_аналитики'!AN647)*'01_Вводные'!$B$119*'08_ФОТ'!AO5+IF('08_ФОТ'!AO$3='01_Вводные'!$B$247,'01_Вводные'!$B$133/'01_Вводные'!$B$132,0)+IF('08_ФОТ'!AO$3='01_Вводные'!$B$248,'01_Вводные'!$B$134/'01_Вводные'!$B$132,0))*'01_Вводные'!$B$120</f>
        <v/>
      </c>
      <c r="AP661">
        <f>(MAX(0,'19_Расчет_аналитики'!AP647-'19_Расчет_аналитики'!AO647)*'01_Вводные'!$B$119*'08_ФОТ'!AP5+IF('08_ФОТ'!AP$3='01_Вводные'!$B$247,'01_Вводные'!$B$133/'01_Вводные'!$B$132,0)+IF('08_ФОТ'!AP$3='01_Вводные'!$B$248,'01_Вводные'!$B$134/'01_Вводные'!$B$132,0))*'01_Вводные'!$B$120</f>
        <v/>
      </c>
      <c r="AQ661">
        <f>(MAX(0,'19_Расчет_аналитики'!AQ647-'19_Расчет_аналитики'!AP647)*'01_Вводные'!$B$119*'08_ФОТ'!AQ5+IF('08_ФОТ'!AQ$3='01_Вводные'!$B$247,'01_Вводные'!$B$133/'01_Вводные'!$B$132,0)+IF('08_ФОТ'!AQ$3='01_Вводные'!$B$248,'01_Вводные'!$B$134/'01_Вводные'!$B$132,0))*'01_Вводные'!$B$120</f>
        <v/>
      </c>
      <c r="AR661">
        <f>(MAX(0,'19_Расчет_аналитики'!AR647-'19_Расчет_аналитики'!AQ647)*'01_Вводные'!$B$119*'08_ФОТ'!AR5+IF('08_ФОТ'!AR$3='01_Вводные'!$B$247,'01_Вводные'!$B$133/'01_Вводные'!$B$132,0)+IF('08_ФОТ'!AR$3='01_Вводные'!$B$248,'01_Вводные'!$B$134/'01_Вводные'!$B$132,0))*'01_Вводные'!$B$120</f>
        <v/>
      </c>
      <c r="AS661">
        <f>(MAX(0,'19_Расчет_аналитики'!AS647-'19_Расчет_аналитики'!AR647)*'01_Вводные'!$B$119*'08_ФОТ'!AS5+IF('08_ФОТ'!AS$3='01_Вводные'!$B$247,'01_Вводные'!$B$133/'01_Вводные'!$B$132,0)+IF('08_ФОТ'!AS$3='01_Вводные'!$B$248,'01_Вводные'!$B$134/'01_Вводные'!$B$132,0))*'01_Вводные'!$B$120</f>
        <v/>
      </c>
      <c r="AT661">
        <f>(MAX(0,'19_Расчет_аналитики'!AT647-'19_Расчет_аналитики'!AS647)*'01_Вводные'!$B$119*'08_ФОТ'!AT5+IF('08_ФОТ'!AT$3='01_Вводные'!$B$247,'01_Вводные'!$B$133/'01_Вводные'!$B$132,0)+IF('08_ФОТ'!AT$3='01_Вводные'!$B$248,'01_Вводные'!$B$134/'01_Вводные'!$B$132,0))*'01_Вводные'!$B$120</f>
        <v/>
      </c>
      <c r="AU661">
        <f>(MAX(0,'19_Расчет_аналитики'!AU647-'19_Расчет_аналитики'!AT647)*'01_Вводные'!$B$119*'08_ФОТ'!AU5+IF('08_ФОТ'!AU$3='01_Вводные'!$B$247,'01_Вводные'!$B$133/'01_Вводные'!$B$132,0)+IF('08_ФОТ'!AU$3='01_Вводные'!$B$248,'01_Вводные'!$B$134/'01_Вводные'!$B$132,0))*'01_Вводные'!$B$120</f>
        <v/>
      </c>
      <c r="AV661">
        <f>(MAX(0,'19_Расчет_аналитики'!AV647-'19_Расчет_аналитики'!AU647)*'01_Вводные'!$B$119*'08_ФОТ'!AV5+IF('08_ФОТ'!AV$3='01_Вводные'!$B$247,'01_Вводные'!$B$133/'01_Вводные'!$B$132,0)+IF('08_ФОТ'!AV$3='01_Вводные'!$B$248,'01_Вводные'!$B$134/'01_Вводные'!$B$132,0))*'01_Вводные'!$B$120</f>
        <v/>
      </c>
      <c r="AW661">
        <f>(MAX(0,'19_Расчет_аналитики'!AW647-'19_Расчет_аналитики'!AV647)*'01_Вводные'!$B$119*'08_ФОТ'!AW5+IF('08_ФОТ'!AW$3='01_Вводные'!$B$247,'01_Вводные'!$B$133/'01_Вводные'!$B$132,0)+IF('08_ФОТ'!AW$3='01_Вводные'!$B$248,'01_Вводные'!$B$134/'01_Вводные'!$B$132,0))*'01_Вводные'!$B$120</f>
        <v/>
      </c>
      <c r="AX661">
        <f>(MAX(0,'19_Расчет_аналитики'!AX647-'19_Расчет_аналитики'!AW647)*'01_Вводные'!$B$119*'08_ФОТ'!AX5+IF('08_ФОТ'!AX$3='01_Вводные'!$B$247,'01_Вводные'!$B$133/'01_Вводные'!$B$132,0)+IF('08_ФОТ'!AX$3='01_Вводные'!$B$248,'01_Вводные'!$B$134/'01_Вводные'!$B$132,0))*'01_Вводные'!$B$120</f>
        <v/>
      </c>
      <c r="AY661">
        <f>(MAX(0,'19_Расчет_аналитики'!AY647-'19_Расчет_аналитики'!AX647)*'01_Вводные'!$B$119*'08_ФОТ'!AY5+IF('08_ФОТ'!AY$3='01_Вводные'!$B$247,'01_Вводные'!$B$133/'01_Вводные'!$B$132,0)+IF('08_ФОТ'!AY$3='01_Вводные'!$B$248,'01_Вводные'!$B$134/'01_Вводные'!$B$132,0))*'01_Вводные'!$B$120</f>
        <v/>
      </c>
      <c r="AZ661">
        <f>(MAX(0,'19_Расчет_аналитики'!AZ647-'19_Расчет_аналитики'!AY647)*'01_Вводные'!$B$119*'08_ФОТ'!AZ5+IF('08_ФОТ'!AZ$3='01_Вводные'!$B$247,'01_Вводные'!$B$133/'01_Вводные'!$B$132,0)+IF('08_ФОТ'!AZ$3='01_Вводные'!$B$248,'01_Вводные'!$B$134/'01_Вводные'!$B$132,0))*'01_Вводные'!$B$120</f>
        <v/>
      </c>
      <c r="BA661">
        <f>(MAX(0,'19_Расчет_аналитики'!BA647-'19_Расчет_аналитики'!AZ647)*'01_Вводные'!$B$119*'08_ФОТ'!BA5+IF('08_ФОТ'!BA$3='01_Вводные'!$B$247,'01_Вводные'!$B$133/'01_Вводные'!$B$132,0)+IF('08_ФОТ'!BA$3='01_Вводные'!$B$248,'01_Вводные'!$B$134/'01_Вводные'!$B$132,0))*'01_Вводные'!$B$120</f>
        <v/>
      </c>
      <c r="BB661">
        <f>(MAX(0,'19_Расчет_аналитики'!BB647-'19_Расчет_аналитики'!BA647)*'01_Вводные'!$B$119*'08_ФОТ'!BB5+IF('08_ФОТ'!BB$3='01_Вводные'!$B$247,'01_Вводные'!$B$133/'01_Вводные'!$B$132,0)+IF('08_ФОТ'!BB$3='01_Вводные'!$B$248,'01_Вводные'!$B$134/'01_Вводные'!$B$132,0))*'01_Вводные'!$B$120</f>
        <v/>
      </c>
      <c r="BC661">
        <f>(MAX(0,'19_Расчет_аналитики'!BC647-'19_Расчет_аналитики'!BB647)*'01_Вводные'!$B$119*'08_ФОТ'!BC5+IF('08_ФОТ'!BC$3='01_Вводные'!$B$247,'01_Вводные'!$B$133/'01_Вводные'!$B$132,0)+IF('08_ФОТ'!BC$3='01_Вводные'!$B$248,'01_Вводные'!$B$134/'01_Вводные'!$B$132,0))*'01_Вводные'!$B$120</f>
        <v/>
      </c>
      <c r="BD661">
        <f>(MAX(0,'19_Расчет_аналитики'!BD647-'19_Расчет_аналитики'!BC647)*'01_Вводные'!$B$119*'08_ФОТ'!BD5+IF('08_ФОТ'!BD$3='01_Вводные'!$B$247,'01_Вводные'!$B$133/'01_Вводные'!$B$132,0)+IF('08_ФОТ'!BD$3='01_Вводные'!$B$248,'01_Вводные'!$B$134/'01_Вводные'!$B$132,0))*'01_Вводные'!$B$120</f>
        <v/>
      </c>
      <c r="BE661">
        <f>(MAX(0,'19_Расчет_аналитики'!BE647-'19_Расчет_аналитики'!BD647)*'01_Вводные'!$B$119*'08_ФОТ'!BE5+IF('08_ФОТ'!BE$3='01_Вводные'!$B$247,'01_Вводные'!$B$133/'01_Вводные'!$B$132,0)+IF('08_ФОТ'!BE$3='01_Вводные'!$B$248,'01_Вводные'!$B$134/'01_Вводные'!$B$132,0))*'01_Вводные'!$B$120</f>
        <v/>
      </c>
      <c r="BF661">
        <f>(MAX(0,'19_Расчет_аналитики'!BF647-'19_Расчет_аналитики'!BE647)*'01_Вводные'!$B$119*'08_ФОТ'!BF5+IF('08_ФОТ'!BF$3='01_Вводные'!$B$247,'01_Вводные'!$B$133/'01_Вводные'!$B$132,0)+IF('08_ФОТ'!BF$3='01_Вводные'!$B$248,'01_Вводные'!$B$134/'01_Вводные'!$B$132,0))*'01_Вводные'!$B$120</f>
        <v/>
      </c>
      <c r="BG661">
        <f>(MAX(0,'19_Расчет_аналитики'!BG647-'19_Расчет_аналитики'!BF647)*'01_Вводные'!$B$119*'08_ФОТ'!BG5+IF('08_ФОТ'!BG$3='01_Вводные'!$B$247,'01_Вводные'!$B$133/'01_Вводные'!$B$132,0)+IF('08_ФОТ'!BG$3='01_Вводные'!$B$248,'01_Вводные'!$B$134/'01_Вводные'!$B$132,0))*'01_Вводные'!$B$120</f>
        <v/>
      </c>
      <c r="BH661">
        <f>(MAX(0,'19_Расчет_аналитики'!BH647-'19_Расчет_аналитики'!BG647)*'01_Вводные'!$B$119*'08_ФОТ'!BH5+IF('08_ФОТ'!BH$3='01_Вводные'!$B$247,'01_Вводные'!$B$133/'01_Вводные'!$B$132,0)+IF('08_ФОТ'!BH$3='01_Вводные'!$B$248,'01_Вводные'!$B$134/'01_Вводные'!$B$132,0))*'01_Вводные'!$B$120</f>
        <v/>
      </c>
      <c r="BI661">
        <f>(MAX(0,'19_Расчет_аналитики'!BI647-'19_Расчет_аналитики'!BH647)*'01_Вводные'!$B$119*'08_ФОТ'!BI5+IF('08_ФОТ'!BI$3='01_Вводные'!$B$247,'01_Вводные'!$B$133/'01_Вводные'!$B$132,0)+IF('08_ФОТ'!BI$3='01_Вводные'!$B$248,'01_Вводные'!$B$134/'01_Вводные'!$B$132,0))*'01_Вводные'!$B$120</f>
        <v/>
      </c>
    </row>
    <row r="662">
      <c r="C662">
        <f>'08_ФОТ'!C25</f>
        <v/>
      </c>
      <c r="D662">
        <f>'08_ФОТ'!D25</f>
        <v/>
      </c>
      <c r="E662">
        <f>'08_ФОТ'!E25</f>
        <v/>
      </c>
      <c r="F662">
        <f>'08_ФОТ'!F25</f>
        <v/>
      </c>
      <c r="G662">
        <f>'08_ФОТ'!G25</f>
        <v/>
      </c>
      <c r="H662">
        <f>'08_ФОТ'!H25</f>
        <v/>
      </c>
      <c r="I662">
        <f>'08_ФОТ'!I25</f>
        <v/>
      </c>
      <c r="J662">
        <f>'08_ФОТ'!J25</f>
        <v/>
      </c>
      <c r="K662">
        <f>'08_ФОТ'!K25</f>
        <v/>
      </c>
      <c r="L662">
        <f>'08_ФОТ'!L25</f>
        <v/>
      </c>
      <c r="M662">
        <f>'08_ФОТ'!M25</f>
        <v/>
      </c>
      <c r="N662">
        <f>'08_ФОТ'!N25</f>
        <v/>
      </c>
      <c r="O662">
        <f>'08_ФОТ'!O25</f>
        <v/>
      </c>
      <c r="P662">
        <f>'08_ФОТ'!P25</f>
        <v/>
      </c>
      <c r="Q662">
        <f>'08_ФОТ'!Q25</f>
        <v/>
      </c>
      <c r="R662">
        <f>'08_ФОТ'!R25</f>
        <v/>
      </c>
      <c r="S662">
        <f>'08_ФОТ'!S25</f>
        <v/>
      </c>
      <c r="T662">
        <f>'08_ФОТ'!T25</f>
        <v/>
      </c>
      <c r="U662">
        <f>'08_ФОТ'!U25</f>
        <v/>
      </c>
      <c r="V662">
        <f>'08_ФОТ'!V25</f>
        <v/>
      </c>
      <c r="W662">
        <f>'08_ФОТ'!W25</f>
        <v/>
      </c>
      <c r="X662">
        <f>'08_ФОТ'!X25</f>
        <v/>
      </c>
      <c r="Y662">
        <f>'08_ФОТ'!Y25</f>
        <v/>
      </c>
      <c r="Z662">
        <f>'08_ФОТ'!Z25</f>
        <v/>
      </c>
      <c r="AA662">
        <f>'08_ФОТ'!AA25</f>
        <v/>
      </c>
      <c r="AB662">
        <f>'08_ФОТ'!AB25</f>
        <v/>
      </c>
      <c r="AC662">
        <f>'08_ФОТ'!AC25</f>
        <v/>
      </c>
      <c r="AD662">
        <f>'08_ФОТ'!AD25</f>
        <v/>
      </c>
      <c r="AE662">
        <f>'08_ФОТ'!AE25</f>
        <v/>
      </c>
      <c r="AF662">
        <f>'08_ФОТ'!AF25</f>
        <v/>
      </c>
      <c r="AG662">
        <f>'08_ФОТ'!AG25</f>
        <v/>
      </c>
      <c r="AH662">
        <f>'08_ФОТ'!AH25</f>
        <v/>
      </c>
      <c r="AI662">
        <f>'08_ФОТ'!AI25</f>
        <v/>
      </c>
      <c r="AJ662">
        <f>'08_ФОТ'!AJ25</f>
        <v/>
      </c>
      <c r="AK662">
        <f>'08_ФОТ'!AK25</f>
        <v/>
      </c>
      <c r="AL662">
        <f>'08_ФОТ'!AL25</f>
        <v/>
      </c>
      <c r="AM662">
        <f>'08_ФОТ'!AM25</f>
        <v/>
      </c>
      <c r="AN662">
        <f>'08_ФОТ'!AN25</f>
        <v/>
      </c>
      <c r="AO662">
        <f>'08_ФОТ'!AO25</f>
        <v/>
      </c>
      <c r="AP662">
        <f>'08_ФОТ'!AP25</f>
        <v/>
      </c>
      <c r="AQ662">
        <f>'08_ФОТ'!AQ25</f>
        <v/>
      </c>
      <c r="AR662">
        <f>'08_ФОТ'!AR25</f>
        <v/>
      </c>
      <c r="AS662">
        <f>'08_ФОТ'!AS25</f>
        <v/>
      </c>
      <c r="AT662">
        <f>'08_ФОТ'!AT25</f>
        <v/>
      </c>
      <c r="AU662">
        <f>'08_ФОТ'!AU25</f>
        <v/>
      </c>
      <c r="AV662">
        <f>'08_ФОТ'!AV25</f>
        <v/>
      </c>
      <c r="AW662">
        <f>'08_ФОТ'!AW25</f>
        <v/>
      </c>
      <c r="AX662">
        <f>'08_ФОТ'!AX25</f>
        <v/>
      </c>
      <c r="AY662">
        <f>'08_ФОТ'!AY25</f>
        <v/>
      </c>
      <c r="AZ662">
        <f>'08_ФОТ'!AZ25</f>
        <v/>
      </c>
      <c r="BA662">
        <f>'08_ФОТ'!BA25</f>
        <v/>
      </c>
      <c r="BB662">
        <f>'08_ФОТ'!BB25</f>
        <v/>
      </c>
      <c r="BC662">
        <f>'08_ФОТ'!BC25</f>
        <v/>
      </c>
      <c r="BD662">
        <f>'08_ФОТ'!BD25</f>
        <v/>
      </c>
      <c r="BE662">
        <f>'08_ФОТ'!BE25</f>
        <v/>
      </c>
      <c r="BF662">
        <f>'08_ФОТ'!BF25</f>
        <v/>
      </c>
      <c r="BG662">
        <f>'08_ФОТ'!BG25</f>
        <v/>
      </c>
      <c r="BH662">
        <f>'08_ФОТ'!BH25</f>
        <v/>
      </c>
      <c r="BI662">
        <f>'08_ФОТ'!BI25</f>
        <v/>
      </c>
    </row>
    <row r="663">
      <c r="C663">
        <f>'08_ФОТ'!C26</f>
        <v/>
      </c>
      <c r="D663">
        <f>'08_ФОТ'!D26</f>
        <v/>
      </c>
      <c r="E663">
        <f>'08_ФОТ'!E26</f>
        <v/>
      </c>
      <c r="F663">
        <f>'08_ФОТ'!F26</f>
        <v/>
      </c>
      <c r="G663">
        <f>'08_ФОТ'!G26</f>
        <v/>
      </c>
      <c r="H663">
        <f>'08_ФОТ'!H26</f>
        <v/>
      </c>
      <c r="I663">
        <f>'08_ФОТ'!I26</f>
        <v/>
      </c>
      <c r="J663">
        <f>'08_ФОТ'!J26</f>
        <v/>
      </c>
      <c r="K663">
        <f>'08_ФОТ'!K26</f>
        <v/>
      </c>
      <c r="L663">
        <f>'08_ФОТ'!L26</f>
        <v/>
      </c>
      <c r="M663">
        <f>'08_ФОТ'!M26</f>
        <v/>
      </c>
      <c r="N663">
        <f>'08_ФОТ'!N26</f>
        <v/>
      </c>
      <c r="O663">
        <f>'08_ФОТ'!O26</f>
        <v/>
      </c>
      <c r="P663">
        <f>'08_ФОТ'!P26</f>
        <v/>
      </c>
      <c r="Q663">
        <f>'08_ФОТ'!Q26</f>
        <v/>
      </c>
      <c r="R663">
        <f>'08_ФОТ'!R26</f>
        <v/>
      </c>
      <c r="S663">
        <f>'08_ФОТ'!S26</f>
        <v/>
      </c>
      <c r="T663">
        <f>'08_ФОТ'!T26</f>
        <v/>
      </c>
      <c r="U663">
        <f>'08_ФОТ'!U26</f>
        <v/>
      </c>
      <c r="V663">
        <f>'08_ФОТ'!V26</f>
        <v/>
      </c>
      <c r="W663">
        <f>'08_ФОТ'!W26</f>
        <v/>
      </c>
      <c r="X663">
        <f>'08_ФОТ'!X26</f>
        <v/>
      </c>
      <c r="Y663">
        <f>'08_ФОТ'!Y26</f>
        <v/>
      </c>
      <c r="Z663">
        <f>'08_ФОТ'!Z26</f>
        <v/>
      </c>
      <c r="AA663">
        <f>'08_ФОТ'!AA26</f>
        <v/>
      </c>
      <c r="AB663">
        <f>'08_ФОТ'!AB26</f>
        <v/>
      </c>
      <c r="AC663">
        <f>'08_ФОТ'!AC26</f>
        <v/>
      </c>
      <c r="AD663">
        <f>'08_ФОТ'!AD26</f>
        <v/>
      </c>
      <c r="AE663">
        <f>'08_ФОТ'!AE26</f>
        <v/>
      </c>
      <c r="AF663">
        <f>'08_ФОТ'!AF26</f>
        <v/>
      </c>
      <c r="AG663">
        <f>'08_ФОТ'!AG26</f>
        <v/>
      </c>
      <c r="AH663">
        <f>'08_ФОТ'!AH26</f>
        <v/>
      </c>
      <c r="AI663">
        <f>'08_ФОТ'!AI26</f>
        <v/>
      </c>
      <c r="AJ663">
        <f>'08_ФОТ'!AJ26</f>
        <v/>
      </c>
      <c r="AK663">
        <f>'08_ФОТ'!AK26</f>
        <v/>
      </c>
      <c r="AL663">
        <f>'08_ФОТ'!AL26</f>
        <v/>
      </c>
      <c r="AM663">
        <f>'08_ФОТ'!AM26</f>
        <v/>
      </c>
      <c r="AN663">
        <f>'08_ФОТ'!AN26</f>
        <v/>
      </c>
      <c r="AO663">
        <f>'08_ФОТ'!AO26</f>
        <v/>
      </c>
      <c r="AP663">
        <f>'08_ФОТ'!AP26</f>
        <v/>
      </c>
      <c r="AQ663">
        <f>'08_ФОТ'!AQ26</f>
        <v/>
      </c>
      <c r="AR663">
        <f>'08_ФОТ'!AR26</f>
        <v/>
      </c>
      <c r="AS663">
        <f>'08_ФОТ'!AS26</f>
        <v/>
      </c>
      <c r="AT663">
        <f>'08_ФОТ'!AT26</f>
        <v/>
      </c>
      <c r="AU663">
        <f>'08_ФОТ'!AU26</f>
        <v/>
      </c>
      <c r="AV663">
        <f>'08_ФОТ'!AV26</f>
        <v/>
      </c>
      <c r="AW663">
        <f>'08_ФОТ'!AW26</f>
        <v/>
      </c>
      <c r="AX663">
        <f>'08_ФОТ'!AX26</f>
        <v/>
      </c>
      <c r="AY663">
        <f>'08_ФОТ'!AY26</f>
        <v/>
      </c>
      <c r="AZ663">
        <f>'08_ФОТ'!AZ26</f>
        <v/>
      </c>
      <c r="BA663">
        <f>'08_ФОТ'!BA26</f>
        <v/>
      </c>
      <c r="BB663">
        <f>'08_ФОТ'!BB26</f>
        <v/>
      </c>
      <c r="BC663">
        <f>'08_ФОТ'!BC26</f>
        <v/>
      </c>
      <c r="BD663">
        <f>'08_ФОТ'!BD26</f>
        <v/>
      </c>
      <c r="BE663">
        <f>'08_ФОТ'!BE26</f>
        <v/>
      </c>
      <c r="BF663">
        <f>'08_ФОТ'!BF26</f>
        <v/>
      </c>
      <c r="BG663">
        <f>'08_ФОТ'!BG26</f>
        <v/>
      </c>
      <c r="BH663">
        <f>'08_ФОТ'!BH26</f>
        <v/>
      </c>
      <c r="BI663">
        <f>'08_ФОТ'!BI26</f>
        <v/>
      </c>
    </row>
    <row r="664"/>
    <row r="665">
      <c r="C665">
        <f>SUM('19_Расчет_аналитики'!C649:C650,'19_Расчет_аналитики'!C652:C656,'08_ФОТ'!C21:C22,'19_Расчет_аналитики'!C661:C663)</f>
        <v/>
      </c>
      <c r="D665">
        <f>SUM('19_Расчет_аналитики'!D649:D650,'19_Расчет_аналитики'!D652:D656,'08_ФОТ'!D21:D22,'19_Расчет_аналитики'!D661:D663)</f>
        <v/>
      </c>
      <c r="E665">
        <f>SUM('19_Расчет_аналитики'!E649:E650,'19_Расчет_аналитики'!E652:E656,'08_ФОТ'!E21:E22,'19_Расчет_аналитики'!E661:E663)</f>
        <v/>
      </c>
      <c r="F665">
        <f>SUM('19_Расчет_аналитики'!F649:F650,'19_Расчет_аналитики'!F652:F656,'08_ФОТ'!F21:F22,'19_Расчет_аналитики'!F661:F663)</f>
        <v/>
      </c>
      <c r="G665">
        <f>SUM('19_Расчет_аналитики'!G649:G650,'19_Расчет_аналитики'!G652:G656,'08_ФОТ'!G21:G22,'19_Расчет_аналитики'!G661:G663)</f>
        <v/>
      </c>
      <c r="H665">
        <f>SUM('19_Расчет_аналитики'!H649:H650,'19_Расчет_аналитики'!H652:H656,'08_ФОТ'!H21:H22,'19_Расчет_аналитики'!H661:H663)</f>
        <v/>
      </c>
      <c r="I665">
        <f>SUM('19_Расчет_аналитики'!I649:I650,'19_Расчет_аналитики'!I652:I656,'08_ФОТ'!I21:I22,'19_Расчет_аналитики'!I661:I663)</f>
        <v/>
      </c>
      <c r="J665">
        <f>SUM('19_Расчет_аналитики'!J649:J650,'19_Расчет_аналитики'!J652:J656,'08_ФОТ'!J21:J22,'19_Расчет_аналитики'!J661:J663)</f>
        <v/>
      </c>
      <c r="K665">
        <f>SUM('19_Расчет_аналитики'!K649:K650,'19_Расчет_аналитики'!K652:K656,'08_ФОТ'!K21:K22,'19_Расчет_аналитики'!K661:K663)</f>
        <v/>
      </c>
      <c r="L665">
        <f>SUM('19_Расчет_аналитики'!L649:L650,'19_Расчет_аналитики'!L652:L656,'08_ФОТ'!L21:L22,'19_Расчет_аналитики'!L661:L663)</f>
        <v/>
      </c>
      <c r="M665">
        <f>SUM('19_Расчет_аналитики'!M649:M650,'19_Расчет_аналитики'!M652:M656,'08_ФОТ'!M21:M22,'19_Расчет_аналитики'!M661:M663)</f>
        <v/>
      </c>
      <c r="N665">
        <f>SUM('19_Расчет_аналитики'!N649:N650,'19_Расчет_аналитики'!N652:N656,'08_ФОТ'!N21:N22,'19_Расчет_аналитики'!N661:N663)</f>
        <v/>
      </c>
      <c r="O665">
        <f>SUM('19_Расчет_аналитики'!O649:O650,'19_Расчет_аналитики'!O652:O656,'08_ФОТ'!O21:O22,'19_Расчет_аналитики'!O661:O663)</f>
        <v/>
      </c>
      <c r="P665">
        <f>SUM('19_Расчет_аналитики'!P649:P650,'19_Расчет_аналитики'!P652:P656,'08_ФОТ'!P21:P22,'19_Расчет_аналитики'!P661:P663)</f>
        <v/>
      </c>
      <c r="Q665">
        <f>SUM('19_Расчет_аналитики'!Q649:Q650,'19_Расчет_аналитики'!Q652:Q656,'08_ФОТ'!Q21:Q22,'19_Расчет_аналитики'!Q661:Q663)</f>
        <v/>
      </c>
      <c r="R665">
        <f>SUM('19_Расчет_аналитики'!R649:R650,'19_Расчет_аналитики'!R652:R656,'08_ФОТ'!R21:R22,'19_Расчет_аналитики'!R661:R663)</f>
        <v/>
      </c>
      <c r="S665">
        <f>SUM('19_Расчет_аналитики'!S649:S650,'19_Расчет_аналитики'!S652:S656,'08_ФОТ'!S21:S22,'19_Расчет_аналитики'!S661:S663)</f>
        <v/>
      </c>
      <c r="T665">
        <f>SUM('19_Расчет_аналитики'!T649:T650,'19_Расчет_аналитики'!T652:T656,'08_ФОТ'!T21:T22,'19_Расчет_аналитики'!T661:T663)</f>
        <v/>
      </c>
      <c r="U665">
        <f>SUM('19_Расчет_аналитики'!U649:U650,'19_Расчет_аналитики'!U652:U656,'08_ФОТ'!U21:U22,'19_Расчет_аналитики'!U661:U663)</f>
        <v/>
      </c>
      <c r="V665">
        <f>SUM('19_Расчет_аналитики'!V649:V650,'19_Расчет_аналитики'!V652:V656,'08_ФОТ'!V21:V22,'19_Расчет_аналитики'!V661:V663)</f>
        <v/>
      </c>
      <c r="W665">
        <f>SUM('19_Расчет_аналитики'!W649:W650,'19_Расчет_аналитики'!W652:W656,'08_ФОТ'!W21:W22,'19_Расчет_аналитики'!W661:W663)</f>
        <v/>
      </c>
      <c r="X665">
        <f>SUM('19_Расчет_аналитики'!X649:X650,'19_Расчет_аналитики'!X652:X656,'08_ФОТ'!X21:X22,'19_Расчет_аналитики'!X661:X663)</f>
        <v/>
      </c>
      <c r="Y665">
        <f>SUM('19_Расчет_аналитики'!Y649:Y650,'19_Расчет_аналитики'!Y652:Y656,'08_ФОТ'!Y21:Y22,'19_Расчет_аналитики'!Y661:Y663)</f>
        <v/>
      </c>
      <c r="Z665">
        <f>SUM('19_Расчет_аналитики'!Z649:Z650,'19_Расчет_аналитики'!Z652:Z656,'08_ФОТ'!Z21:Z22,'19_Расчет_аналитики'!Z661:Z663)</f>
        <v/>
      </c>
      <c r="AA665">
        <f>SUM('19_Расчет_аналитики'!AA649:AA650,'19_Расчет_аналитики'!AA652:AA656,'08_ФОТ'!AA21:AA22,'19_Расчет_аналитики'!AA661:AA663)</f>
        <v/>
      </c>
      <c r="AB665">
        <f>SUM('19_Расчет_аналитики'!AB649:AB650,'19_Расчет_аналитики'!AB652:AB656,'08_ФОТ'!AB21:AB22,'19_Расчет_аналитики'!AB661:AB663)</f>
        <v/>
      </c>
      <c r="AC665">
        <f>SUM('19_Расчет_аналитики'!AC649:AC650,'19_Расчет_аналитики'!AC652:AC656,'08_ФОТ'!AC21:AC22,'19_Расчет_аналитики'!AC661:AC663)</f>
        <v/>
      </c>
      <c r="AD665">
        <f>SUM('19_Расчет_аналитики'!AD649:AD650,'19_Расчет_аналитики'!AD652:AD656,'08_ФОТ'!AD21:AD22,'19_Расчет_аналитики'!AD661:AD663)</f>
        <v/>
      </c>
      <c r="AE665">
        <f>SUM('19_Расчет_аналитики'!AE649:AE650,'19_Расчет_аналитики'!AE652:AE656,'08_ФОТ'!AE21:AE22,'19_Расчет_аналитики'!AE661:AE663)</f>
        <v/>
      </c>
      <c r="AF665">
        <f>SUM('19_Расчет_аналитики'!AF649:AF650,'19_Расчет_аналитики'!AF652:AF656,'08_ФОТ'!AF21:AF22,'19_Расчет_аналитики'!AF661:AF663)</f>
        <v/>
      </c>
      <c r="AG665">
        <f>SUM('19_Расчет_аналитики'!AG649:AG650,'19_Расчет_аналитики'!AG652:AG656,'08_ФОТ'!AG21:AG22,'19_Расчет_аналитики'!AG661:AG663)</f>
        <v/>
      </c>
      <c r="AH665">
        <f>SUM('19_Расчет_аналитики'!AH649:AH650,'19_Расчет_аналитики'!AH652:AH656,'08_ФОТ'!AH21:AH22,'19_Расчет_аналитики'!AH661:AH663)</f>
        <v/>
      </c>
      <c r="AI665">
        <f>SUM('19_Расчет_аналитики'!AI649:AI650,'19_Расчет_аналитики'!AI652:AI656,'08_ФОТ'!AI21:AI22,'19_Расчет_аналитики'!AI661:AI663)</f>
        <v/>
      </c>
      <c r="AJ665">
        <f>SUM('19_Расчет_аналитики'!AJ649:AJ650,'19_Расчет_аналитики'!AJ652:AJ656,'08_ФОТ'!AJ21:AJ22,'19_Расчет_аналитики'!AJ661:AJ663)</f>
        <v/>
      </c>
      <c r="AK665">
        <f>SUM('19_Расчет_аналитики'!AK649:AK650,'19_Расчет_аналитики'!AK652:AK656,'08_ФОТ'!AK21:AK22,'19_Расчет_аналитики'!AK661:AK663)</f>
        <v/>
      </c>
      <c r="AL665">
        <f>SUM('19_Расчет_аналитики'!AL649:AL650,'19_Расчет_аналитики'!AL652:AL656,'08_ФОТ'!AL21:AL22,'19_Расчет_аналитики'!AL661:AL663)</f>
        <v/>
      </c>
      <c r="AM665">
        <f>SUM('19_Расчет_аналитики'!AM649:AM650,'19_Расчет_аналитики'!AM652:AM656,'08_ФОТ'!AM21:AM22,'19_Расчет_аналитики'!AM661:AM663)</f>
        <v/>
      </c>
      <c r="AN665">
        <f>SUM('19_Расчет_аналитики'!AN649:AN650,'19_Расчет_аналитики'!AN652:AN656,'08_ФОТ'!AN21:AN22,'19_Расчет_аналитики'!AN661:AN663)</f>
        <v/>
      </c>
      <c r="AO665">
        <f>SUM('19_Расчет_аналитики'!AO649:AO650,'19_Расчет_аналитики'!AO652:AO656,'08_ФОТ'!AO21:AO22,'19_Расчет_аналитики'!AO661:AO663)</f>
        <v/>
      </c>
      <c r="AP665">
        <f>SUM('19_Расчет_аналитики'!AP649:AP650,'19_Расчет_аналитики'!AP652:AP656,'08_ФОТ'!AP21:AP22,'19_Расчет_аналитики'!AP661:AP663)</f>
        <v/>
      </c>
      <c r="AQ665">
        <f>SUM('19_Расчет_аналитики'!AQ649:AQ650,'19_Расчет_аналитики'!AQ652:AQ656,'08_ФОТ'!AQ21:AQ22,'19_Расчет_аналитики'!AQ661:AQ663)</f>
        <v/>
      </c>
      <c r="AR665">
        <f>SUM('19_Расчет_аналитики'!AR649:AR650,'19_Расчет_аналитики'!AR652:AR656,'08_ФОТ'!AR21:AR22,'19_Расчет_аналитики'!AR661:AR663)</f>
        <v/>
      </c>
      <c r="AS665">
        <f>SUM('19_Расчет_аналитики'!AS649:AS650,'19_Расчет_аналитики'!AS652:AS656,'08_ФОТ'!AS21:AS22,'19_Расчет_аналитики'!AS661:AS663)</f>
        <v/>
      </c>
      <c r="AT665">
        <f>SUM('19_Расчет_аналитики'!AT649:AT650,'19_Расчет_аналитики'!AT652:AT656,'08_ФОТ'!AT21:AT22,'19_Расчет_аналитики'!AT661:AT663)</f>
        <v/>
      </c>
      <c r="AU665">
        <f>SUM('19_Расчет_аналитики'!AU649:AU650,'19_Расчет_аналитики'!AU652:AU656,'08_ФОТ'!AU21:AU22,'19_Расчет_аналитики'!AU661:AU663)</f>
        <v/>
      </c>
      <c r="AV665">
        <f>SUM('19_Расчет_аналитики'!AV649:AV650,'19_Расчет_аналитики'!AV652:AV656,'08_ФОТ'!AV21:AV22,'19_Расчет_аналитики'!AV661:AV663)</f>
        <v/>
      </c>
      <c r="AW665">
        <f>SUM('19_Расчет_аналитики'!AW649:AW650,'19_Расчет_аналитики'!AW652:AW656,'08_ФОТ'!AW21:AW22,'19_Расчет_аналитики'!AW661:AW663)</f>
        <v/>
      </c>
      <c r="AX665">
        <f>SUM('19_Расчет_аналитики'!AX649:AX650,'19_Расчет_аналитики'!AX652:AX656,'08_ФОТ'!AX21:AX22,'19_Расчет_аналитики'!AX661:AX663)</f>
        <v/>
      </c>
      <c r="AY665">
        <f>SUM('19_Расчет_аналитики'!AY649:AY650,'19_Расчет_аналитики'!AY652:AY656,'08_ФОТ'!AY21:AY22,'19_Расчет_аналитики'!AY661:AY663)</f>
        <v/>
      </c>
      <c r="AZ665">
        <f>SUM('19_Расчет_аналитики'!AZ649:AZ650,'19_Расчет_аналитики'!AZ652:AZ656,'08_ФОТ'!AZ21:AZ22,'19_Расчет_аналитики'!AZ661:AZ663)</f>
        <v/>
      </c>
      <c r="BA665">
        <f>SUM('19_Расчет_аналитики'!BA649:BA650,'19_Расчет_аналитики'!BA652:BA656,'08_ФОТ'!BA21:BA22,'19_Расчет_аналитики'!BA661:BA663)</f>
        <v/>
      </c>
      <c r="BB665">
        <f>SUM('19_Расчет_аналитики'!BB649:BB650,'19_Расчет_аналитики'!BB652:BB656,'08_ФОТ'!BB21:BB22,'19_Расчет_аналитики'!BB661:BB663)</f>
        <v/>
      </c>
      <c r="BC665">
        <f>SUM('19_Расчет_аналитики'!BC649:BC650,'19_Расчет_аналитики'!BC652:BC656,'08_ФОТ'!BC21:BC22,'19_Расчет_аналитики'!BC661:BC663)</f>
        <v/>
      </c>
      <c r="BD665">
        <f>SUM('19_Расчет_аналитики'!BD649:BD650,'19_Расчет_аналитики'!BD652:BD656,'08_ФОТ'!BD21:BD22,'19_Расчет_аналитики'!BD661:BD663)</f>
        <v/>
      </c>
      <c r="BE665">
        <f>SUM('19_Расчет_аналитики'!BE649:BE650,'19_Расчет_аналитики'!BE652:BE656,'08_ФОТ'!BE21:BE22,'19_Расчет_аналитики'!BE661:BE663)</f>
        <v/>
      </c>
      <c r="BF665">
        <f>SUM('19_Расчет_аналитики'!BF649:BF650,'19_Расчет_аналитики'!BF652:BF656,'08_ФОТ'!BF21:BF22,'19_Расчет_аналитики'!BF661:BF663)</f>
        <v/>
      </c>
      <c r="BG665">
        <f>SUM('19_Расчет_аналитики'!BG649:BG650,'19_Расчет_аналитики'!BG652:BG656,'08_ФОТ'!BG21:BG22,'19_Расчет_аналитики'!BG661:BG663)</f>
        <v/>
      </c>
      <c r="BH665">
        <f>SUM('19_Расчет_аналитики'!BH649:BH650,'19_Расчет_аналитики'!BH652:BH656,'08_ФОТ'!BH21:BH22,'19_Расчет_аналитики'!BH661:BH663)</f>
        <v/>
      </c>
      <c r="BI665">
        <f>SUM('19_Расчет_аналитики'!BI649:BI650,'19_Расчет_аналитики'!BI652:BI656,'08_ФОТ'!BI21:BI22,'19_Расчет_аналитики'!BI661:BI663)</f>
        <v/>
      </c>
    </row>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c r="C707">
        <f>'19_Расчет_аналитики'!C365</f>
        <v/>
      </c>
      <c r="D707">
        <f>'19_Расчет_аналитики'!D365</f>
        <v/>
      </c>
      <c r="E707">
        <f>'19_Расчет_аналитики'!E365</f>
        <v/>
      </c>
      <c r="F707">
        <f>'19_Расчет_аналитики'!F365</f>
        <v/>
      </c>
      <c r="G707">
        <f>'19_Расчет_аналитики'!G365</f>
        <v/>
      </c>
      <c r="H707">
        <f>'19_Расчет_аналитики'!H365</f>
        <v/>
      </c>
      <c r="I707">
        <f>'19_Расчет_аналитики'!I365</f>
        <v/>
      </c>
      <c r="J707">
        <f>'19_Расчет_аналитики'!J365</f>
        <v/>
      </c>
      <c r="K707">
        <f>'19_Расчет_аналитики'!K365</f>
        <v/>
      </c>
      <c r="L707">
        <f>'19_Расчет_аналитики'!L365</f>
        <v/>
      </c>
      <c r="M707">
        <f>'19_Расчет_аналитики'!M365</f>
        <v/>
      </c>
      <c r="N707">
        <f>'19_Расчет_аналитики'!N365</f>
        <v/>
      </c>
      <c r="O707">
        <f>'19_Расчет_аналитики'!O365</f>
        <v/>
      </c>
      <c r="P707">
        <f>'19_Расчет_аналитики'!P365</f>
        <v/>
      </c>
      <c r="Q707">
        <f>'19_Расчет_аналитики'!Q365</f>
        <v/>
      </c>
      <c r="R707">
        <f>'19_Расчет_аналитики'!R365</f>
        <v/>
      </c>
      <c r="S707">
        <f>'19_Расчет_аналитики'!S365</f>
        <v/>
      </c>
      <c r="T707">
        <f>'19_Расчет_аналитики'!T365</f>
        <v/>
      </c>
      <c r="U707">
        <f>'19_Расчет_аналитики'!U365</f>
        <v/>
      </c>
      <c r="V707">
        <f>'19_Расчет_аналитики'!V365</f>
        <v/>
      </c>
      <c r="W707">
        <f>'19_Расчет_аналитики'!W365</f>
        <v/>
      </c>
      <c r="X707">
        <f>'19_Расчет_аналитики'!X365</f>
        <v/>
      </c>
      <c r="Y707">
        <f>'19_Расчет_аналитики'!Y365</f>
        <v/>
      </c>
      <c r="Z707">
        <f>'19_Расчет_аналитики'!Z365</f>
        <v/>
      </c>
      <c r="AA707">
        <f>'19_Расчет_аналитики'!AA365</f>
        <v/>
      </c>
      <c r="AB707">
        <f>'19_Расчет_аналитики'!AB365</f>
        <v/>
      </c>
      <c r="AC707">
        <f>'19_Расчет_аналитики'!AC365</f>
        <v/>
      </c>
      <c r="AD707">
        <f>'19_Расчет_аналитики'!AD365</f>
        <v/>
      </c>
      <c r="AE707">
        <f>'19_Расчет_аналитики'!AE365</f>
        <v/>
      </c>
      <c r="AF707">
        <f>'19_Расчет_аналитики'!AF365</f>
        <v/>
      </c>
      <c r="AG707">
        <f>'19_Расчет_аналитики'!AG365</f>
        <v/>
      </c>
      <c r="AH707">
        <f>'19_Расчет_аналитики'!AH365</f>
        <v/>
      </c>
      <c r="AI707">
        <f>'19_Расчет_аналитики'!AI365</f>
        <v/>
      </c>
      <c r="AJ707">
        <f>'19_Расчет_аналитики'!AJ365</f>
        <v/>
      </c>
      <c r="AK707">
        <f>'19_Расчет_аналитики'!AK365</f>
        <v/>
      </c>
      <c r="AL707">
        <f>'19_Расчет_аналитики'!AL365</f>
        <v/>
      </c>
      <c r="AM707">
        <f>'19_Расчет_аналитики'!AM365</f>
        <v/>
      </c>
      <c r="AN707">
        <f>'19_Расчет_аналитики'!AN365</f>
        <v/>
      </c>
      <c r="AO707">
        <f>'19_Расчет_аналитики'!AO365</f>
        <v/>
      </c>
      <c r="AP707">
        <f>'19_Расчет_аналитики'!AP365</f>
        <v/>
      </c>
      <c r="AQ707">
        <f>'19_Расчет_аналитики'!AQ365</f>
        <v/>
      </c>
      <c r="AR707">
        <f>'19_Расчет_аналитики'!AR365</f>
        <v/>
      </c>
      <c r="AS707">
        <f>'19_Расчет_аналитики'!AS365</f>
        <v/>
      </c>
      <c r="AT707">
        <f>'19_Расчет_аналитики'!AT365</f>
        <v/>
      </c>
      <c r="AU707">
        <f>'19_Расчет_аналитики'!AU365</f>
        <v/>
      </c>
      <c r="AV707">
        <f>'19_Расчет_аналитики'!AV365</f>
        <v/>
      </c>
      <c r="AW707">
        <f>'19_Расчет_аналитики'!AW365</f>
        <v/>
      </c>
      <c r="AX707">
        <f>'19_Расчет_аналитики'!AX365</f>
        <v/>
      </c>
      <c r="AY707">
        <f>'19_Расчет_аналитики'!AY365</f>
        <v/>
      </c>
      <c r="AZ707">
        <f>'19_Расчет_аналитики'!AZ365</f>
        <v/>
      </c>
      <c r="BA707">
        <f>'19_Расчет_аналитики'!BA365</f>
        <v/>
      </c>
      <c r="BB707">
        <f>'19_Расчет_аналитики'!BB365</f>
        <v/>
      </c>
      <c r="BC707">
        <f>'19_Расчет_аналитики'!BC365</f>
        <v/>
      </c>
      <c r="BD707">
        <f>'19_Расчет_аналитики'!BD365</f>
        <v/>
      </c>
      <c r="BE707">
        <f>'19_Расчет_аналитики'!BE365</f>
        <v/>
      </c>
      <c r="BF707">
        <f>'19_Расчет_аналитики'!BF365</f>
        <v/>
      </c>
      <c r="BG707">
        <f>'19_Расчет_аналитики'!BG365</f>
        <v/>
      </c>
      <c r="BH707">
        <f>'19_Расчет_аналитики'!BH365</f>
        <v/>
      </c>
      <c r="BI707">
        <f>'19_Расчет_аналитики'!BI365</f>
        <v/>
      </c>
    </row>
    <row r="708">
      <c r="B708">
        <f>'19_Расчет_аналитики'!B379</f>
        <v/>
      </c>
      <c r="C708">
        <f>'19_Расчет_аналитики'!C379</f>
        <v/>
      </c>
      <c r="D708">
        <f>'19_Расчет_аналитики'!D379</f>
        <v/>
      </c>
      <c r="E708">
        <f>'19_Расчет_аналитики'!E379</f>
        <v/>
      </c>
      <c r="F708">
        <f>'19_Расчет_аналитики'!F379</f>
        <v/>
      </c>
      <c r="G708">
        <f>'19_Расчет_аналитики'!G379</f>
        <v/>
      </c>
      <c r="H708">
        <f>'19_Расчет_аналитики'!H379</f>
        <v/>
      </c>
      <c r="I708">
        <f>'19_Расчет_аналитики'!I379</f>
        <v/>
      </c>
      <c r="J708">
        <f>'19_Расчет_аналитики'!J379</f>
        <v/>
      </c>
      <c r="K708">
        <f>'19_Расчет_аналитики'!K379</f>
        <v/>
      </c>
      <c r="L708">
        <f>'19_Расчет_аналитики'!L379</f>
        <v/>
      </c>
      <c r="M708">
        <f>'19_Расчет_аналитики'!M379</f>
        <v/>
      </c>
      <c r="N708">
        <f>'19_Расчет_аналитики'!N379</f>
        <v/>
      </c>
      <c r="O708">
        <f>'19_Расчет_аналитики'!O379</f>
        <v/>
      </c>
      <c r="P708">
        <f>'19_Расчет_аналитики'!P379</f>
        <v/>
      </c>
      <c r="Q708">
        <f>'19_Расчет_аналитики'!Q379</f>
        <v/>
      </c>
      <c r="R708">
        <f>'19_Расчет_аналитики'!R379</f>
        <v/>
      </c>
      <c r="S708">
        <f>'19_Расчет_аналитики'!S379</f>
        <v/>
      </c>
      <c r="T708">
        <f>'19_Расчет_аналитики'!T379</f>
        <v/>
      </c>
      <c r="U708">
        <f>'19_Расчет_аналитики'!U379</f>
        <v/>
      </c>
      <c r="V708">
        <f>'19_Расчет_аналитики'!V379</f>
        <v/>
      </c>
      <c r="W708">
        <f>'19_Расчет_аналитики'!W379</f>
        <v/>
      </c>
      <c r="X708">
        <f>'19_Расчет_аналитики'!X379</f>
        <v/>
      </c>
      <c r="Y708">
        <f>'19_Расчет_аналитики'!Y379</f>
        <v/>
      </c>
      <c r="Z708">
        <f>'19_Расчет_аналитики'!Z379</f>
        <v/>
      </c>
      <c r="AA708">
        <f>'19_Расчет_аналитики'!AA379</f>
        <v/>
      </c>
      <c r="AB708">
        <f>'19_Расчет_аналитики'!AB379</f>
        <v/>
      </c>
      <c r="AC708">
        <f>'19_Расчет_аналитики'!AC379</f>
        <v/>
      </c>
      <c r="AD708">
        <f>'19_Расчет_аналитики'!AD379</f>
        <v/>
      </c>
      <c r="AE708">
        <f>'19_Расчет_аналитики'!AE379</f>
        <v/>
      </c>
      <c r="AF708">
        <f>'19_Расчет_аналитики'!AF379</f>
        <v/>
      </c>
      <c r="AG708">
        <f>'19_Расчет_аналитики'!AG379</f>
        <v/>
      </c>
      <c r="AH708">
        <f>'19_Расчет_аналитики'!AH379</f>
        <v/>
      </c>
      <c r="AI708">
        <f>'19_Расчет_аналитики'!AI379</f>
        <v/>
      </c>
      <c r="AJ708">
        <f>'19_Расчет_аналитики'!AJ379</f>
        <v/>
      </c>
      <c r="AK708">
        <f>'19_Расчет_аналитики'!AK379</f>
        <v/>
      </c>
      <c r="AL708">
        <f>'19_Расчет_аналитики'!AL379</f>
        <v/>
      </c>
      <c r="AM708">
        <f>'19_Расчет_аналитики'!AM379</f>
        <v/>
      </c>
      <c r="AN708">
        <f>'19_Расчет_аналитики'!AN379</f>
        <v/>
      </c>
      <c r="AO708">
        <f>'19_Расчет_аналитики'!AO379</f>
        <v/>
      </c>
      <c r="AP708">
        <f>'19_Расчет_аналитики'!AP379</f>
        <v/>
      </c>
      <c r="AQ708">
        <f>'19_Расчет_аналитики'!AQ379</f>
        <v/>
      </c>
      <c r="AR708">
        <f>'19_Расчет_аналитики'!AR379</f>
        <v/>
      </c>
      <c r="AS708">
        <f>'19_Расчет_аналитики'!AS379</f>
        <v/>
      </c>
      <c r="AT708">
        <f>'19_Расчет_аналитики'!AT379</f>
        <v/>
      </c>
      <c r="AU708">
        <f>'19_Расчет_аналитики'!AU379</f>
        <v/>
      </c>
      <c r="AV708">
        <f>'19_Расчет_аналитики'!AV379</f>
        <v/>
      </c>
      <c r="AW708">
        <f>'19_Расчет_аналитики'!AW379</f>
        <v/>
      </c>
      <c r="AX708">
        <f>'19_Расчет_аналитики'!AX379</f>
        <v/>
      </c>
      <c r="AY708">
        <f>'19_Расчет_аналитики'!AY379</f>
        <v/>
      </c>
      <c r="AZ708">
        <f>'19_Расчет_аналитики'!AZ379</f>
        <v/>
      </c>
      <c r="BA708">
        <f>'19_Расчет_аналитики'!BA379</f>
        <v/>
      </c>
      <c r="BB708">
        <f>'19_Расчет_аналитики'!BB379</f>
        <v/>
      </c>
      <c r="BC708">
        <f>'19_Расчет_аналитики'!BC379</f>
        <v/>
      </c>
      <c r="BD708">
        <f>'19_Расчет_аналитики'!BD379</f>
        <v/>
      </c>
      <c r="BE708">
        <f>'19_Расчет_аналитики'!BE379</f>
        <v/>
      </c>
      <c r="BF708">
        <f>'19_Расчет_аналитики'!BF379</f>
        <v/>
      </c>
      <c r="BG708">
        <f>'19_Расчет_аналитики'!BG379</f>
        <v/>
      </c>
      <c r="BH708">
        <f>'19_Расчет_аналитики'!BH379</f>
        <v/>
      </c>
      <c r="BI708">
        <f>'19_Расчет_аналитики'!BI379</f>
        <v/>
      </c>
    </row>
    <row r="709">
      <c r="B709">
        <f>'19_Расчет_аналитики'!B380</f>
        <v/>
      </c>
      <c r="C709">
        <f>'19_Расчет_аналитики'!C380</f>
        <v/>
      </c>
      <c r="D709">
        <f>'19_Расчет_аналитики'!D380</f>
        <v/>
      </c>
      <c r="E709">
        <f>'19_Расчет_аналитики'!E380</f>
        <v/>
      </c>
      <c r="F709">
        <f>'19_Расчет_аналитики'!F380</f>
        <v/>
      </c>
      <c r="G709">
        <f>'19_Расчет_аналитики'!G380</f>
        <v/>
      </c>
      <c r="H709">
        <f>'19_Расчет_аналитики'!H380</f>
        <v/>
      </c>
      <c r="I709">
        <f>'19_Расчет_аналитики'!I380</f>
        <v/>
      </c>
      <c r="J709">
        <f>'19_Расчет_аналитики'!J380</f>
        <v/>
      </c>
      <c r="K709">
        <f>'19_Расчет_аналитики'!K380</f>
        <v/>
      </c>
      <c r="L709">
        <f>'19_Расчет_аналитики'!L380</f>
        <v/>
      </c>
      <c r="M709">
        <f>'19_Расчет_аналитики'!M380</f>
        <v/>
      </c>
      <c r="N709">
        <f>'19_Расчет_аналитики'!N380</f>
        <v/>
      </c>
      <c r="O709">
        <f>'19_Расчет_аналитики'!O380</f>
        <v/>
      </c>
      <c r="P709">
        <f>'19_Расчет_аналитики'!P380</f>
        <v/>
      </c>
      <c r="Q709">
        <f>'19_Расчет_аналитики'!Q380</f>
        <v/>
      </c>
      <c r="R709">
        <f>'19_Расчет_аналитики'!R380</f>
        <v/>
      </c>
      <c r="S709">
        <f>'19_Расчет_аналитики'!S380</f>
        <v/>
      </c>
      <c r="T709">
        <f>'19_Расчет_аналитики'!T380</f>
        <v/>
      </c>
      <c r="U709">
        <f>'19_Расчет_аналитики'!U380</f>
        <v/>
      </c>
      <c r="V709">
        <f>'19_Расчет_аналитики'!V380</f>
        <v/>
      </c>
      <c r="W709">
        <f>'19_Расчет_аналитики'!W380</f>
        <v/>
      </c>
      <c r="X709">
        <f>'19_Расчет_аналитики'!X380</f>
        <v/>
      </c>
      <c r="Y709">
        <f>'19_Расчет_аналитики'!Y380</f>
        <v/>
      </c>
      <c r="Z709">
        <f>'19_Расчет_аналитики'!Z380</f>
        <v/>
      </c>
      <c r="AA709">
        <f>'19_Расчет_аналитики'!AA380</f>
        <v/>
      </c>
      <c r="AB709">
        <f>'19_Расчет_аналитики'!AB380</f>
        <v/>
      </c>
      <c r="AC709">
        <f>'19_Расчет_аналитики'!AC380</f>
        <v/>
      </c>
      <c r="AD709">
        <f>'19_Расчет_аналитики'!AD380</f>
        <v/>
      </c>
      <c r="AE709">
        <f>'19_Расчет_аналитики'!AE380</f>
        <v/>
      </c>
      <c r="AF709">
        <f>'19_Расчет_аналитики'!AF380</f>
        <v/>
      </c>
      <c r="AG709">
        <f>'19_Расчет_аналитики'!AG380</f>
        <v/>
      </c>
      <c r="AH709">
        <f>'19_Расчет_аналитики'!AH380</f>
        <v/>
      </c>
      <c r="AI709">
        <f>'19_Расчет_аналитики'!AI380</f>
        <v/>
      </c>
      <c r="AJ709">
        <f>'19_Расчет_аналитики'!AJ380</f>
        <v/>
      </c>
      <c r="AK709">
        <f>'19_Расчет_аналитики'!AK380</f>
        <v/>
      </c>
      <c r="AL709">
        <f>'19_Расчет_аналитики'!AL380</f>
        <v/>
      </c>
      <c r="AM709">
        <f>'19_Расчет_аналитики'!AM380</f>
        <v/>
      </c>
      <c r="AN709">
        <f>'19_Расчет_аналитики'!AN380</f>
        <v/>
      </c>
      <c r="AO709">
        <f>'19_Расчет_аналитики'!AO380</f>
        <v/>
      </c>
      <c r="AP709">
        <f>'19_Расчет_аналитики'!AP380</f>
        <v/>
      </c>
      <c r="AQ709">
        <f>'19_Расчет_аналитики'!AQ380</f>
        <v/>
      </c>
      <c r="AR709">
        <f>'19_Расчет_аналитики'!AR380</f>
        <v/>
      </c>
      <c r="AS709">
        <f>'19_Расчет_аналитики'!AS380</f>
        <v/>
      </c>
      <c r="AT709">
        <f>'19_Расчет_аналитики'!AT380</f>
        <v/>
      </c>
      <c r="AU709">
        <f>'19_Расчет_аналитики'!AU380</f>
        <v/>
      </c>
      <c r="AV709">
        <f>'19_Расчет_аналитики'!AV380</f>
        <v/>
      </c>
      <c r="AW709">
        <f>'19_Расчет_аналитики'!AW380</f>
        <v/>
      </c>
      <c r="AX709">
        <f>'19_Расчет_аналитики'!AX380</f>
        <v/>
      </c>
      <c r="AY709">
        <f>'19_Расчет_аналитики'!AY380</f>
        <v/>
      </c>
      <c r="AZ709">
        <f>'19_Расчет_аналитики'!AZ380</f>
        <v/>
      </c>
      <c r="BA709">
        <f>'19_Расчет_аналитики'!BA380</f>
        <v/>
      </c>
      <c r="BB709">
        <f>'19_Расчет_аналитики'!BB380</f>
        <v/>
      </c>
      <c r="BC709">
        <f>'19_Расчет_аналитики'!BC380</f>
        <v/>
      </c>
      <c r="BD709">
        <f>'19_Расчет_аналитики'!BD380</f>
        <v/>
      </c>
      <c r="BE709">
        <f>'19_Расчет_аналитики'!BE380</f>
        <v/>
      </c>
      <c r="BF709">
        <f>'19_Расчет_аналитики'!BF380</f>
        <v/>
      </c>
      <c r="BG709">
        <f>'19_Расчет_аналитики'!BG380</f>
        <v/>
      </c>
      <c r="BH709">
        <f>'19_Расчет_аналитики'!BH380</f>
        <v/>
      </c>
      <c r="BI709">
        <f>'19_Расчет_аналитики'!BI380</f>
        <v/>
      </c>
    </row>
    <row r="710"/>
    <row r="711"/>
    <row r="712">
      <c r="B712">
        <f>'02_Модель'!B18</f>
        <v/>
      </c>
      <c r="C712">
        <f>'19_Расчет_аналитики'!C349</f>
        <v/>
      </c>
      <c r="D712">
        <f>'19_Расчет_аналитики'!D349</f>
        <v/>
      </c>
      <c r="E712">
        <f>'19_Расчет_аналитики'!E349</f>
        <v/>
      </c>
      <c r="F712">
        <f>'19_Расчет_аналитики'!F349</f>
        <v/>
      </c>
      <c r="G712">
        <f>'19_Расчет_аналитики'!G349</f>
        <v/>
      </c>
      <c r="H712">
        <f>'19_Расчет_аналитики'!H349</f>
        <v/>
      </c>
      <c r="I712">
        <f>'19_Расчет_аналитики'!I349</f>
        <v/>
      </c>
      <c r="J712">
        <f>'19_Расчет_аналитики'!J349</f>
        <v/>
      </c>
      <c r="K712">
        <f>'19_Расчет_аналитики'!K349</f>
        <v/>
      </c>
      <c r="L712">
        <f>'19_Расчет_аналитики'!L349</f>
        <v/>
      </c>
      <c r="M712">
        <f>'19_Расчет_аналитики'!M349</f>
        <v/>
      </c>
      <c r="N712">
        <f>'19_Расчет_аналитики'!N349</f>
        <v/>
      </c>
      <c r="O712">
        <f>'19_Расчет_аналитики'!O349</f>
        <v/>
      </c>
      <c r="P712">
        <f>'19_Расчет_аналитики'!P349</f>
        <v/>
      </c>
      <c r="Q712">
        <f>'19_Расчет_аналитики'!Q349</f>
        <v/>
      </c>
      <c r="R712">
        <f>'19_Расчет_аналитики'!R349</f>
        <v/>
      </c>
      <c r="S712">
        <f>'19_Расчет_аналитики'!S349</f>
        <v/>
      </c>
      <c r="T712">
        <f>'19_Расчет_аналитики'!T349</f>
        <v/>
      </c>
      <c r="U712">
        <f>'19_Расчет_аналитики'!U349</f>
        <v/>
      </c>
      <c r="V712">
        <f>'19_Расчет_аналитики'!V349</f>
        <v/>
      </c>
      <c r="W712">
        <f>'19_Расчет_аналитики'!W349</f>
        <v/>
      </c>
      <c r="X712">
        <f>'19_Расчет_аналитики'!X349</f>
        <v/>
      </c>
      <c r="Y712">
        <f>'19_Расчет_аналитики'!Y349</f>
        <v/>
      </c>
      <c r="Z712">
        <f>'19_Расчет_аналитики'!Z349</f>
        <v/>
      </c>
      <c r="AA712">
        <f>'19_Расчет_аналитики'!AA349</f>
        <v/>
      </c>
      <c r="AB712">
        <f>'19_Расчет_аналитики'!AB349</f>
        <v/>
      </c>
      <c r="AC712">
        <f>'19_Расчет_аналитики'!AC349</f>
        <v/>
      </c>
      <c r="AD712">
        <f>'19_Расчет_аналитики'!AD349</f>
        <v/>
      </c>
      <c r="AE712">
        <f>'19_Расчет_аналитики'!AE349</f>
        <v/>
      </c>
      <c r="AF712">
        <f>'19_Расчет_аналитики'!AF349</f>
        <v/>
      </c>
      <c r="AG712">
        <f>'19_Расчет_аналитики'!AG349</f>
        <v/>
      </c>
      <c r="AH712">
        <f>'19_Расчет_аналитики'!AH349</f>
        <v/>
      </c>
      <c r="AI712">
        <f>'19_Расчет_аналитики'!AI349</f>
        <v/>
      </c>
      <c r="AJ712">
        <f>'19_Расчет_аналитики'!AJ349</f>
        <v/>
      </c>
      <c r="AK712">
        <f>'19_Расчет_аналитики'!AK349</f>
        <v/>
      </c>
      <c r="AL712">
        <f>'19_Расчет_аналитики'!AL349</f>
        <v/>
      </c>
      <c r="AM712">
        <f>'19_Расчет_аналитики'!AM349</f>
        <v/>
      </c>
      <c r="AN712">
        <f>'19_Расчет_аналитики'!AN349</f>
        <v/>
      </c>
      <c r="AO712">
        <f>'19_Расчет_аналитики'!AO349</f>
        <v/>
      </c>
      <c r="AP712">
        <f>'19_Расчет_аналитики'!AP349</f>
        <v/>
      </c>
      <c r="AQ712">
        <f>'19_Расчет_аналитики'!AQ349</f>
        <v/>
      </c>
      <c r="AR712">
        <f>'19_Расчет_аналитики'!AR349</f>
        <v/>
      </c>
      <c r="AS712">
        <f>'19_Расчет_аналитики'!AS349</f>
        <v/>
      </c>
      <c r="AT712">
        <f>'19_Расчет_аналитики'!AT349</f>
        <v/>
      </c>
      <c r="AU712">
        <f>'19_Расчет_аналитики'!AU349</f>
        <v/>
      </c>
      <c r="AV712">
        <f>'19_Расчет_аналитики'!AV349</f>
        <v/>
      </c>
      <c r="AW712">
        <f>'19_Расчет_аналитики'!AW349</f>
        <v/>
      </c>
      <c r="AX712">
        <f>'19_Расчет_аналитики'!AX349</f>
        <v/>
      </c>
      <c r="AY712">
        <f>'19_Расчет_аналитики'!AY349</f>
        <v/>
      </c>
      <c r="AZ712">
        <f>'19_Расчет_аналитики'!AZ349</f>
        <v/>
      </c>
      <c r="BA712">
        <f>'19_Расчет_аналитики'!BA349</f>
        <v/>
      </c>
      <c r="BB712">
        <f>'19_Расчет_аналитики'!BB349</f>
        <v/>
      </c>
      <c r="BC712">
        <f>'19_Расчет_аналитики'!BC349</f>
        <v/>
      </c>
      <c r="BD712">
        <f>'19_Расчет_аналитики'!BD349</f>
        <v/>
      </c>
      <c r="BE712">
        <f>'19_Расчет_аналитики'!BE349</f>
        <v/>
      </c>
      <c r="BF712">
        <f>'19_Расчет_аналитики'!BF349</f>
        <v/>
      </c>
      <c r="BG712">
        <f>'19_Расчет_аналитики'!BG349</f>
        <v/>
      </c>
      <c r="BH712">
        <f>'19_Расчет_аналитики'!BH349</f>
        <v/>
      </c>
      <c r="BI712">
        <f>'19_Расчет_аналитики'!BI349</f>
        <v/>
      </c>
    </row>
    <row r="713">
      <c r="B713">
        <f>'19_Расчет_аналитики'!B383/(1+'01_Вводные'!$B$58)</f>
        <v/>
      </c>
      <c r="C713">
        <f>'19_Расчет_аналитики'!C383/(1+'01_Вводные'!$B$58)</f>
        <v/>
      </c>
      <c r="D713">
        <f>'19_Расчет_аналитики'!D383/(1+'01_Вводные'!$B$58)</f>
        <v/>
      </c>
      <c r="E713">
        <f>'19_Расчет_аналитики'!E383/(1+'01_Вводные'!$B$58)</f>
        <v/>
      </c>
      <c r="F713">
        <f>'19_Расчет_аналитики'!F383/(1+'01_Вводные'!$B$58)</f>
        <v/>
      </c>
      <c r="G713">
        <f>'19_Расчет_аналитики'!G383/(1+'01_Вводные'!$B$58)</f>
        <v/>
      </c>
      <c r="H713">
        <f>'19_Расчет_аналитики'!H383/(1+'01_Вводные'!$B$58)</f>
        <v/>
      </c>
      <c r="I713">
        <f>'19_Расчет_аналитики'!I383/(1+'01_Вводные'!$B$58)</f>
        <v/>
      </c>
      <c r="J713">
        <f>'19_Расчет_аналитики'!J383/(1+'01_Вводные'!$B$58)</f>
        <v/>
      </c>
      <c r="K713">
        <f>'19_Расчет_аналитики'!K383/(1+'01_Вводные'!$B$58)</f>
        <v/>
      </c>
      <c r="L713">
        <f>'19_Расчет_аналитики'!L383/(1+'01_Вводные'!$B$58)</f>
        <v/>
      </c>
      <c r="M713">
        <f>'19_Расчет_аналитики'!M383/(1+'01_Вводные'!$B$58)</f>
        <v/>
      </c>
      <c r="N713">
        <f>'19_Расчет_аналитики'!N383/(1+'01_Вводные'!$B$58)</f>
        <v/>
      </c>
      <c r="O713">
        <f>'19_Расчет_аналитики'!O383/(1+'01_Вводные'!$B$58)</f>
        <v/>
      </c>
      <c r="P713">
        <f>'19_Расчет_аналитики'!P383/(1+'01_Вводные'!$B$58)</f>
        <v/>
      </c>
      <c r="Q713">
        <f>'19_Расчет_аналитики'!Q383/(1+'01_Вводные'!$B$58)</f>
        <v/>
      </c>
      <c r="R713">
        <f>'19_Расчет_аналитики'!R383/(1+'01_Вводные'!$B$58)</f>
        <v/>
      </c>
      <c r="S713">
        <f>'19_Расчет_аналитики'!S383/(1+'01_Вводные'!$B$58)</f>
        <v/>
      </c>
      <c r="T713">
        <f>'19_Расчет_аналитики'!T383/(1+'01_Вводные'!$B$58)</f>
        <v/>
      </c>
      <c r="U713">
        <f>'19_Расчет_аналитики'!U383/(1+'01_Вводные'!$B$58)</f>
        <v/>
      </c>
      <c r="V713">
        <f>'19_Расчет_аналитики'!V383/(1+'01_Вводные'!$B$58)</f>
        <v/>
      </c>
      <c r="W713">
        <f>'19_Расчет_аналитики'!W383/(1+'01_Вводные'!$B$58)</f>
        <v/>
      </c>
      <c r="X713">
        <f>'19_Расчет_аналитики'!X383/(1+'01_Вводные'!$B$58)</f>
        <v/>
      </c>
      <c r="Y713">
        <f>'19_Расчет_аналитики'!Y383/(1+'01_Вводные'!$B$58)</f>
        <v/>
      </c>
      <c r="Z713">
        <f>'19_Расчет_аналитики'!Z383/(1+'01_Вводные'!$B$58)</f>
        <v/>
      </c>
      <c r="AA713">
        <f>'19_Расчет_аналитики'!AA383/(1+'01_Вводные'!$B$58)</f>
        <v/>
      </c>
      <c r="AB713">
        <f>'19_Расчет_аналитики'!AB383/(1+'01_Вводные'!$B$58)</f>
        <v/>
      </c>
      <c r="AC713">
        <f>'19_Расчет_аналитики'!AC383/(1+'01_Вводные'!$B$58)</f>
        <v/>
      </c>
      <c r="AD713">
        <f>'19_Расчет_аналитики'!AD383/(1+'01_Вводные'!$B$58)</f>
        <v/>
      </c>
      <c r="AE713">
        <f>'19_Расчет_аналитики'!AE383/(1+'01_Вводные'!$B$58)</f>
        <v/>
      </c>
      <c r="AF713">
        <f>'19_Расчет_аналитики'!AF383/(1+'01_Вводные'!$B$58)</f>
        <v/>
      </c>
      <c r="AG713">
        <f>'19_Расчет_аналитики'!AG383/(1+'01_Вводные'!$B$58)</f>
        <v/>
      </c>
      <c r="AH713">
        <f>'19_Расчет_аналитики'!AH383/(1+'01_Вводные'!$B$58)</f>
        <v/>
      </c>
      <c r="AI713">
        <f>'19_Расчет_аналитики'!AI383/(1+'01_Вводные'!$B$58)</f>
        <v/>
      </c>
      <c r="AJ713">
        <f>'19_Расчет_аналитики'!AJ383/(1+'01_Вводные'!$B$58)</f>
        <v/>
      </c>
      <c r="AK713">
        <f>'19_Расчет_аналитики'!AK383/(1+'01_Вводные'!$B$58)</f>
        <v/>
      </c>
      <c r="AL713">
        <f>'19_Расчет_аналитики'!AL383/(1+'01_Вводные'!$B$58)</f>
        <v/>
      </c>
      <c r="AM713">
        <f>'19_Расчет_аналитики'!AM383/(1+'01_Вводные'!$B$58)</f>
        <v/>
      </c>
      <c r="AN713">
        <f>'19_Расчет_аналитики'!AN383/(1+'01_Вводные'!$B$58)</f>
        <v/>
      </c>
      <c r="AO713">
        <f>'19_Расчет_аналитики'!AO383/(1+'01_Вводные'!$B$58)</f>
        <v/>
      </c>
      <c r="AP713">
        <f>'19_Расчет_аналитики'!AP383/(1+'01_Вводные'!$B$58)</f>
        <v/>
      </c>
      <c r="AQ713">
        <f>'19_Расчет_аналитики'!AQ383/(1+'01_Вводные'!$B$58)</f>
        <v/>
      </c>
      <c r="AR713">
        <f>'19_Расчет_аналитики'!AR383/(1+'01_Вводные'!$B$58)</f>
        <v/>
      </c>
      <c r="AS713">
        <f>'19_Расчет_аналитики'!AS383/(1+'01_Вводные'!$B$58)</f>
        <v/>
      </c>
      <c r="AT713">
        <f>'19_Расчет_аналитики'!AT383/(1+'01_Вводные'!$B$58)</f>
        <v/>
      </c>
      <c r="AU713">
        <f>'19_Расчет_аналитики'!AU383/(1+'01_Вводные'!$B$58)</f>
        <v/>
      </c>
      <c r="AV713">
        <f>'19_Расчет_аналитики'!AV383/(1+'01_Вводные'!$B$58)</f>
        <v/>
      </c>
      <c r="AW713">
        <f>'19_Расчет_аналитики'!AW383/(1+'01_Вводные'!$B$58)</f>
        <v/>
      </c>
      <c r="AX713">
        <f>'19_Расчет_аналитики'!AX383/(1+'01_Вводные'!$B$58)</f>
        <v/>
      </c>
      <c r="AY713">
        <f>'19_Расчет_аналитики'!AY383/(1+'01_Вводные'!$B$58)</f>
        <v/>
      </c>
      <c r="AZ713">
        <f>'19_Расчет_аналитики'!AZ383/(1+'01_Вводные'!$B$58)</f>
        <v/>
      </c>
      <c r="BA713">
        <f>'19_Расчет_аналитики'!BA383/(1+'01_Вводные'!$B$58)</f>
        <v/>
      </c>
      <c r="BB713">
        <f>'19_Расчет_аналитики'!BB383/(1+'01_Вводные'!$B$58)</f>
        <v/>
      </c>
      <c r="BC713">
        <f>'19_Расчет_аналитики'!BC383/(1+'01_Вводные'!$B$58)</f>
        <v/>
      </c>
      <c r="BD713">
        <f>'19_Расчет_аналитики'!BD383/(1+'01_Вводные'!$B$58)</f>
        <v/>
      </c>
      <c r="BE713">
        <f>'19_Расчет_аналитики'!BE383/(1+'01_Вводные'!$B$58)</f>
        <v/>
      </c>
      <c r="BF713">
        <f>'19_Расчет_аналитики'!BF383/(1+'01_Вводные'!$B$58)</f>
        <v/>
      </c>
      <c r="BG713">
        <f>'19_Расчет_аналитики'!BG383/(1+'01_Вводные'!$B$58)</f>
        <v/>
      </c>
      <c r="BH713">
        <f>'19_Расчет_аналитики'!BH383/(1+'01_Вводные'!$B$58)</f>
        <v/>
      </c>
      <c r="BI713">
        <f>'19_Расчет_аналитики'!BI383/(1+'01_Вводные'!$B$58)</f>
        <v/>
      </c>
    </row>
    <row r="714">
      <c r="B714">
        <f>'19_Расчет_аналитики'!B384/(1+'01_Вводные'!$B$58)</f>
        <v/>
      </c>
      <c r="C714">
        <f>'19_Расчет_аналитики'!C384/(1+'01_Вводные'!$B$58)</f>
        <v/>
      </c>
      <c r="D714">
        <f>'19_Расчет_аналитики'!D384/(1+'01_Вводные'!$B$58)</f>
        <v/>
      </c>
      <c r="E714">
        <f>'19_Расчет_аналитики'!E384/(1+'01_Вводные'!$B$58)</f>
        <v/>
      </c>
      <c r="F714">
        <f>'19_Расчет_аналитики'!F384/(1+'01_Вводные'!$B$58)</f>
        <v/>
      </c>
      <c r="G714">
        <f>'19_Расчет_аналитики'!G384/(1+'01_Вводные'!$B$58)</f>
        <v/>
      </c>
      <c r="H714">
        <f>'19_Расчет_аналитики'!H384/(1+'01_Вводные'!$B$58)</f>
        <v/>
      </c>
      <c r="I714">
        <f>'19_Расчет_аналитики'!I384/(1+'01_Вводные'!$B$58)</f>
        <v/>
      </c>
      <c r="J714">
        <f>'19_Расчет_аналитики'!J384/(1+'01_Вводные'!$B$58)</f>
        <v/>
      </c>
      <c r="K714">
        <f>'19_Расчет_аналитики'!K384/(1+'01_Вводные'!$B$58)</f>
        <v/>
      </c>
      <c r="L714">
        <f>'19_Расчет_аналитики'!L384/(1+'01_Вводные'!$B$58)</f>
        <v/>
      </c>
      <c r="M714">
        <f>'19_Расчет_аналитики'!M384/(1+'01_Вводные'!$B$58)</f>
        <v/>
      </c>
      <c r="N714">
        <f>'19_Расчет_аналитики'!N384/(1+'01_Вводные'!$B$58)</f>
        <v/>
      </c>
      <c r="O714">
        <f>'19_Расчет_аналитики'!O384/(1+'01_Вводные'!$B$58)</f>
        <v/>
      </c>
      <c r="P714">
        <f>'19_Расчет_аналитики'!P384/(1+'01_Вводные'!$B$58)</f>
        <v/>
      </c>
      <c r="Q714">
        <f>'19_Расчет_аналитики'!Q384/(1+'01_Вводные'!$B$58)</f>
        <v/>
      </c>
      <c r="R714">
        <f>'19_Расчет_аналитики'!R384/(1+'01_Вводные'!$B$58)</f>
        <v/>
      </c>
      <c r="S714">
        <f>'19_Расчет_аналитики'!S384/(1+'01_Вводные'!$B$58)</f>
        <v/>
      </c>
      <c r="T714">
        <f>'19_Расчет_аналитики'!T384/(1+'01_Вводные'!$B$58)</f>
        <v/>
      </c>
      <c r="U714">
        <f>'19_Расчет_аналитики'!U384/(1+'01_Вводные'!$B$58)</f>
        <v/>
      </c>
      <c r="V714">
        <f>'19_Расчет_аналитики'!V384/(1+'01_Вводные'!$B$58)</f>
        <v/>
      </c>
      <c r="W714">
        <f>'19_Расчет_аналитики'!W384/(1+'01_Вводные'!$B$58)</f>
        <v/>
      </c>
      <c r="X714">
        <f>'19_Расчет_аналитики'!X384/(1+'01_Вводные'!$B$58)</f>
        <v/>
      </c>
      <c r="Y714">
        <f>'19_Расчет_аналитики'!Y384/(1+'01_Вводные'!$B$58)</f>
        <v/>
      </c>
      <c r="Z714">
        <f>'19_Расчет_аналитики'!Z384/(1+'01_Вводные'!$B$58)</f>
        <v/>
      </c>
      <c r="AA714">
        <f>'19_Расчет_аналитики'!AA384/(1+'01_Вводные'!$B$58)</f>
        <v/>
      </c>
      <c r="AB714">
        <f>'19_Расчет_аналитики'!AB384/(1+'01_Вводные'!$B$58)</f>
        <v/>
      </c>
      <c r="AC714">
        <f>'19_Расчет_аналитики'!AC384/(1+'01_Вводные'!$B$58)</f>
        <v/>
      </c>
      <c r="AD714">
        <f>'19_Расчет_аналитики'!AD384/(1+'01_Вводные'!$B$58)</f>
        <v/>
      </c>
      <c r="AE714">
        <f>'19_Расчет_аналитики'!AE384/(1+'01_Вводные'!$B$58)</f>
        <v/>
      </c>
      <c r="AF714">
        <f>'19_Расчет_аналитики'!AF384/(1+'01_Вводные'!$B$58)</f>
        <v/>
      </c>
      <c r="AG714">
        <f>'19_Расчет_аналитики'!AG384/(1+'01_Вводные'!$B$58)</f>
        <v/>
      </c>
      <c r="AH714">
        <f>'19_Расчет_аналитики'!AH384/(1+'01_Вводные'!$B$58)</f>
        <v/>
      </c>
      <c r="AI714">
        <f>'19_Расчет_аналитики'!AI384/(1+'01_Вводные'!$B$58)</f>
        <v/>
      </c>
      <c r="AJ714">
        <f>'19_Расчет_аналитики'!AJ384/(1+'01_Вводные'!$B$58)</f>
        <v/>
      </c>
      <c r="AK714">
        <f>'19_Расчет_аналитики'!AK384/(1+'01_Вводные'!$B$58)</f>
        <v/>
      </c>
      <c r="AL714">
        <f>'19_Расчет_аналитики'!AL384/(1+'01_Вводные'!$B$58)</f>
        <v/>
      </c>
      <c r="AM714">
        <f>'19_Расчет_аналитики'!AM384/(1+'01_Вводные'!$B$58)</f>
        <v/>
      </c>
      <c r="AN714">
        <f>'19_Расчет_аналитики'!AN384/(1+'01_Вводные'!$B$58)</f>
        <v/>
      </c>
      <c r="AO714">
        <f>'19_Расчет_аналитики'!AO384/(1+'01_Вводные'!$B$58)</f>
        <v/>
      </c>
      <c r="AP714">
        <f>'19_Расчет_аналитики'!AP384/(1+'01_Вводные'!$B$58)</f>
        <v/>
      </c>
      <c r="AQ714">
        <f>'19_Расчет_аналитики'!AQ384/(1+'01_Вводные'!$B$58)</f>
        <v/>
      </c>
      <c r="AR714">
        <f>'19_Расчет_аналитики'!AR384/(1+'01_Вводные'!$B$58)</f>
        <v/>
      </c>
      <c r="AS714">
        <f>'19_Расчет_аналитики'!AS384/(1+'01_Вводные'!$B$58)</f>
        <v/>
      </c>
      <c r="AT714">
        <f>'19_Расчет_аналитики'!AT384/(1+'01_Вводные'!$B$58)</f>
        <v/>
      </c>
      <c r="AU714">
        <f>'19_Расчет_аналитики'!AU384/(1+'01_Вводные'!$B$58)</f>
        <v/>
      </c>
      <c r="AV714">
        <f>'19_Расчет_аналитики'!AV384/(1+'01_Вводные'!$B$58)</f>
        <v/>
      </c>
      <c r="AW714">
        <f>'19_Расчет_аналитики'!AW384/(1+'01_Вводные'!$B$58)</f>
        <v/>
      </c>
      <c r="AX714">
        <f>'19_Расчет_аналитики'!AX384/(1+'01_Вводные'!$B$58)</f>
        <v/>
      </c>
      <c r="AY714">
        <f>'19_Расчет_аналитики'!AY384/(1+'01_Вводные'!$B$58)</f>
        <v/>
      </c>
      <c r="AZ714">
        <f>'19_Расчет_аналитики'!AZ384/(1+'01_Вводные'!$B$58)</f>
        <v/>
      </c>
      <c r="BA714">
        <f>'19_Расчет_аналитики'!BA384/(1+'01_Вводные'!$B$58)</f>
        <v/>
      </c>
      <c r="BB714">
        <f>'19_Расчет_аналитики'!BB384/(1+'01_Вводные'!$B$58)</f>
        <v/>
      </c>
      <c r="BC714">
        <f>'19_Расчет_аналитики'!BC384/(1+'01_Вводные'!$B$58)</f>
        <v/>
      </c>
      <c r="BD714">
        <f>'19_Расчет_аналитики'!BD384/(1+'01_Вводные'!$B$58)</f>
        <v/>
      </c>
      <c r="BE714">
        <f>'19_Расчет_аналитики'!BE384/(1+'01_Вводные'!$B$58)</f>
        <v/>
      </c>
      <c r="BF714">
        <f>'19_Расчет_аналитики'!BF384/(1+'01_Вводные'!$B$58)</f>
        <v/>
      </c>
      <c r="BG714">
        <f>'19_Расчет_аналитики'!BG384/(1+'01_Вводные'!$B$58)</f>
        <v/>
      </c>
      <c r="BH714">
        <f>'19_Расчет_аналитики'!BH384/(1+'01_Вводные'!$B$58)</f>
        <v/>
      </c>
      <c r="BI714">
        <f>'19_Расчет_аналитики'!BI384/(1+'01_Вводные'!$B$58)</f>
        <v/>
      </c>
    </row>
    <row r="715">
      <c r="B715">
        <f>'19_Расчет_аналитики'!B616</f>
        <v/>
      </c>
      <c r="C715">
        <f>'19_Расчет_аналитики'!C616</f>
        <v/>
      </c>
      <c r="D715">
        <f>'19_Расчет_аналитики'!D616</f>
        <v/>
      </c>
      <c r="E715">
        <f>'19_Расчет_аналитики'!E616</f>
        <v/>
      </c>
      <c r="F715">
        <f>'19_Расчет_аналитики'!F616</f>
        <v/>
      </c>
      <c r="G715">
        <f>'19_Расчет_аналитики'!G616</f>
        <v/>
      </c>
      <c r="H715">
        <f>'19_Расчет_аналитики'!H616</f>
        <v/>
      </c>
      <c r="I715">
        <f>'19_Расчет_аналитики'!I616</f>
        <v/>
      </c>
      <c r="J715">
        <f>'19_Расчет_аналитики'!J616</f>
        <v/>
      </c>
      <c r="K715">
        <f>'19_Расчет_аналитики'!K616</f>
        <v/>
      </c>
      <c r="L715">
        <f>'19_Расчет_аналитики'!L616</f>
        <v/>
      </c>
      <c r="M715">
        <f>'19_Расчет_аналитики'!M616</f>
        <v/>
      </c>
      <c r="N715">
        <f>'19_Расчет_аналитики'!N616</f>
        <v/>
      </c>
      <c r="O715">
        <f>'19_Расчет_аналитики'!O616</f>
        <v/>
      </c>
      <c r="P715">
        <f>'19_Расчет_аналитики'!P616</f>
        <v/>
      </c>
      <c r="Q715">
        <f>'19_Расчет_аналитики'!Q616</f>
        <v/>
      </c>
      <c r="R715">
        <f>'19_Расчет_аналитики'!R616</f>
        <v/>
      </c>
      <c r="S715">
        <f>'19_Расчет_аналитики'!S616</f>
        <v/>
      </c>
      <c r="T715">
        <f>'19_Расчет_аналитики'!T616</f>
        <v/>
      </c>
      <c r="U715">
        <f>'19_Расчет_аналитики'!U616</f>
        <v/>
      </c>
      <c r="V715">
        <f>'19_Расчет_аналитики'!V616</f>
        <v/>
      </c>
      <c r="W715">
        <f>'19_Расчет_аналитики'!W616</f>
        <v/>
      </c>
      <c r="X715">
        <f>'19_Расчет_аналитики'!X616</f>
        <v/>
      </c>
      <c r="Y715">
        <f>'19_Расчет_аналитики'!Y616</f>
        <v/>
      </c>
      <c r="Z715">
        <f>'19_Расчет_аналитики'!Z616</f>
        <v/>
      </c>
      <c r="AA715">
        <f>'19_Расчет_аналитики'!AA616</f>
        <v/>
      </c>
      <c r="AB715">
        <f>'19_Расчет_аналитики'!AB616</f>
        <v/>
      </c>
      <c r="AC715">
        <f>'19_Расчет_аналитики'!AC616</f>
        <v/>
      </c>
      <c r="AD715">
        <f>'19_Расчет_аналитики'!AD616</f>
        <v/>
      </c>
      <c r="AE715">
        <f>'19_Расчет_аналитики'!AE616</f>
        <v/>
      </c>
      <c r="AF715">
        <f>'19_Расчет_аналитики'!AF616</f>
        <v/>
      </c>
      <c r="AG715">
        <f>'19_Расчет_аналитики'!AG616</f>
        <v/>
      </c>
      <c r="AH715">
        <f>'19_Расчет_аналитики'!AH616</f>
        <v/>
      </c>
      <c r="AI715">
        <f>'19_Расчет_аналитики'!AI616</f>
        <v/>
      </c>
      <c r="AJ715">
        <f>'19_Расчет_аналитики'!AJ616</f>
        <v/>
      </c>
      <c r="AK715">
        <f>'19_Расчет_аналитики'!AK616</f>
        <v/>
      </c>
      <c r="AL715">
        <f>'19_Расчет_аналитики'!AL616</f>
        <v/>
      </c>
      <c r="AM715">
        <f>'19_Расчет_аналитики'!AM616</f>
        <v/>
      </c>
      <c r="AN715">
        <f>'19_Расчет_аналитики'!AN616</f>
        <v/>
      </c>
      <c r="AO715">
        <f>'19_Расчет_аналитики'!AO616</f>
        <v/>
      </c>
      <c r="AP715">
        <f>'19_Расчет_аналитики'!AP616</f>
        <v/>
      </c>
      <c r="AQ715">
        <f>'19_Расчет_аналитики'!AQ616</f>
        <v/>
      </c>
      <c r="AR715">
        <f>'19_Расчет_аналитики'!AR616</f>
        <v/>
      </c>
      <c r="AS715">
        <f>'19_Расчет_аналитики'!AS616</f>
        <v/>
      </c>
      <c r="AT715">
        <f>'19_Расчет_аналитики'!AT616</f>
        <v/>
      </c>
      <c r="AU715">
        <f>'19_Расчет_аналитики'!AU616</f>
        <v/>
      </c>
      <c r="AV715">
        <f>'19_Расчет_аналитики'!AV616</f>
        <v/>
      </c>
      <c r="AW715">
        <f>'19_Расчет_аналитики'!AW616</f>
        <v/>
      </c>
      <c r="AX715">
        <f>'19_Расчет_аналитики'!AX616</f>
        <v/>
      </c>
      <c r="AY715">
        <f>'19_Расчет_аналитики'!AY616</f>
        <v/>
      </c>
      <c r="AZ715">
        <f>'19_Расчет_аналитики'!AZ616</f>
        <v/>
      </c>
      <c r="BA715">
        <f>'19_Расчет_аналитики'!BA616</f>
        <v/>
      </c>
      <c r="BB715">
        <f>'19_Расчет_аналитики'!BB616</f>
        <v/>
      </c>
      <c r="BC715">
        <f>'19_Расчет_аналитики'!BC616</f>
        <v/>
      </c>
      <c r="BD715">
        <f>'19_Расчет_аналитики'!BD616</f>
        <v/>
      </c>
      <c r="BE715">
        <f>'19_Расчет_аналитики'!BE616</f>
        <v/>
      </c>
      <c r="BF715">
        <f>'19_Расчет_аналитики'!BF616</f>
        <v/>
      </c>
      <c r="BG715">
        <f>'19_Расчет_аналитики'!BG616</f>
        <v/>
      </c>
      <c r="BH715">
        <f>'19_Расчет_аналитики'!BH616</f>
        <v/>
      </c>
      <c r="BI715">
        <f>'19_Расчет_аналитики'!BI616</f>
        <v/>
      </c>
    </row>
    <row r="716">
      <c r="B716">
        <f>'02_Модель'!B22</f>
        <v/>
      </c>
      <c r="C716">
        <f>'02_Модель'!C22</f>
        <v/>
      </c>
      <c r="D716">
        <f>'02_Модель'!D22</f>
        <v/>
      </c>
      <c r="E716">
        <f>'02_Модель'!E22</f>
        <v/>
      </c>
      <c r="F716">
        <f>'02_Модель'!F22</f>
        <v/>
      </c>
      <c r="G716">
        <f>'02_Модель'!G22</f>
        <v/>
      </c>
      <c r="H716">
        <f>'02_Модель'!H22</f>
        <v/>
      </c>
      <c r="I716">
        <f>'02_Модель'!I22</f>
        <v/>
      </c>
      <c r="J716">
        <f>'02_Модель'!J22</f>
        <v/>
      </c>
      <c r="K716">
        <f>'02_Модель'!K22</f>
        <v/>
      </c>
      <c r="L716">
        <f>'02_Модель'!L22</f>
        <v/>
      </c>
      <c r="M716">
        <f>'02_Модель'!M22</f>
        <v/>
      </c>
      <c r="N716">
        <f>'02_Модель'!N22</f>
        <v/>
      </c>
      <c r="O716">
        <f>'02_Модель'!O22</f>
        <v/>
      </c>
      <c r="P716">
        <f>'02_Модель'!P22</f>
        <v/>
      </c>
      <c r="Q716">
        <f>'02_Модель'!Q22</f>
        <v/>
      </c>
      <c r="R716">
        <f>'02_Модель'!R22</f>
        <v/>
      </c>
      <c r="S716">
        <f>'02_Модель'!S22</f>
        <v/>
      </c>
      <c r="T716">
        <f>'02_Модель'!T22</f>
        <v/>
      </c>
      <c r="U716">
        <f>'02_Модель'!U22</f>
        <v/>
      </c>
      <c r="V716">
        <f>'02_Модель'!V22</f>
        <v/>
      </c>
      <c r="W716">
        <f>'02_Модель'!W22</f>
        <v/>
      </c>
      <c r="X716">
        <f>'02_Модель'!X22</f>
        <v/>
      </c>
      <c r="Y716">
        <f>'02_Модель'!Y22</f>
        <v/>
      </c>
      <c r="Z716">
        <f>'02_Модель'!Z22</f>
        <v/>
      </c>
      <c r="AA716">
        <f>'02_Модель'!AA22</f>
        <v/>
      </c>
      <c r="AB716">
        <f>'02_Модель'!AB22</f>
        <v/>
      </c>
      <c r="AC716">
        <f>'02_Модель'!AC22</f>
        <v/>
      </c>
      <c r="AD716">
        <f>'02_Модель'!AD22</f>
        <v/>
      </c>
      <c r="AE716">
        <f>'02_Модель'!AE22</f>
        <v/>
      </c>
      <c r="AF716">
        <f>'02_Модель'!AF22</f>
        <v/>
      </c>
      <c r="AG716">
        <f>'02_Модель'!AG22</f>
        <v/>
      </c>
      <c r="AH716">
        <f>'02_Модель'!AH22</f>
        <v/>
      </c>
      <c r="AI716">
        <f>'02_Модель'!AI22</f>
        <v/>
      </c>
      <c r="AJ716">
        <f>'02_Модель'!AJ22</f>
        <v/>
      </c>
      <c r="AK716">
        <f>'02_Модель'!AK22</f>
        <v/>
      </c>
      <c r="AL716">
        <f>'02_Модель'!AL22</f>
        <v/>
      </c>
      <c r="AM716">
        <f>'02_Модель'!AM22</f>
        <v/>
      </c>
      <c r="AN716">
        <f>'02_Модель'!AN22</f>
        <v/>
      </c>
      <c r="AO716">
        <f>'02_Модель'!AO22</f>
        <v/>
      </c>
      <c r="AP716">
        <f>'02_Модель'!AP22</f>
        <v/>
      </c>
      <c r="AQ716">
        <f>'02_Модель'!AQ22</f>
        <v/>
      </c>
      <c r="AR716">
        <f>'02_Модель'!AR22</f>
        <v/>
      </c>
      <c r="AS716">
        <f>'02_Модель'!AS22</f>
        <v/>
      </c>
      <c r="AT716">
        <f>'02_Модель'!AT22</f>
        <v/>
      </c>
      <c r="AU716">
        <f>'02_Модель'!AU22</f>
        <v/>
      </c>
      <c r="AV716">
        <f>'02_Модель'!AV22</f>
        <v/>
      </c>
      <c r="AW716">
        <f>'02_Модель'!AW22</f>
        <v/>
      </c>
      <c r="AX716">
        <f>'02_Модель'!AX22</f>
        <v/>
      </c>
      <c r="AY716">
        <f>'02_Модель'!AY22</f>
        <v/>
      </c>
      <c r="AZ716">
        <f>'02_Модель'!AZ22</f>
        <v/>
      </c>
      <c r="BA716">
        <f>'02_Модель'!BA22</f>
        <v/>
      </c>
      <c r="BB716">
        <f>'02_Модель'!BB22</f>
        <v/>
      </c>
      <c r="BC716">
        <f>'02_Модель'!BC22</f>
        <v/>
      </c>
      <c r="BD716">
        <f>'02_Модель'!BD22</f>
        <v/>
      </c>
      <c r="BE716">
        <f>'02_Модель'!BE22</f>
        <v/>
      </c>
      <c r="BF716">
        <f>'02_Модель'!BF22</f>
        <v/>
      </c>
      <c r="BG716">
        <f>'02_Модель'!BG22</f>
        <v/>
      </c>
      <c r="BH716">
        <f>'02_Модель'!BH22</f>
        <v/>
      </c>
      <c r="BI716">
        <f>'02_Модель'!BI22</f>
        <v/>
      </c>
    </row>
    <row r="717">
      <c r="B717">
        <f>SUM('19_Расчет_аналитики'!B712:B716)</f>
        <v/>
      </c>
      <c r="C717">
        <f>SUM('19_Расчет_аналитики'!C712:C716)</f>
        <v/>
      </c>
      <c r="D717">
        <f>SUM('19_Расчет_аналитики'!D712:D716)</f>
        <v/>
      </c>
      <c r="E717">
        <f>SUM('19_Расчет_аналитики'!E712:E716)</f>
        <v/>
      </c>
      <c r="F717">
        <f>SUM('19_Расчет_аналитики'!F712:F716)</f>
        <v/>
      </c>
      <c r="G717">
        <f>SUM('19_Расчет_аналитики'!G712:G716)</f>
        <v/>
      </c>
      <c r="H717">
        <f>SUM('19_Расчет_аналитики'!H712:H716)</f>
        <v/>
      </c>
      <c r="I717">
        <f>SUM('19_Расчет_аналитики'!I712:I716)</f>
        <v/>
      </c>
      <c r="J717">
        <f>SUM('19_Расчет_аналитики'!J712:J716)</f>
        <v/>
      </c>
      <c r="K717">
        <f>SUM('19_Расчет_аналитики'!K712:K716)</f>
        <v/>
      </c>
      <c r="L717">
        <f>SUM('19_Расчет_аналитики'!L712:L716)</f>
        <v/>
      </c>
      <c r="M717">
        <f>SUM('19_Расчет_аналитики'!M712:M716)</f>
        <v/>
      </c>
      <c r="N717">
        <f>SUM('19_Расчет_аналитики'!N712:N716)</f>
        <v/>
      </c>
      <c r="O717">
        <f>SUM('19_Расчет_аналитики'!O712:O716)</f>
        <v/>
      </c>
      <c r="P717">
        <f>SUM('19_Расчет_аналитики'!P712:P716)</f>
        <v/>
      </c>
      <c r="Q717">
        <f>SUM('19_Расчет_аналитики'!Q712:Q716)</f>
        <v/>
      </c>
      <c r="R717">
        <f>SUM('19_Расчет_аналитики'!R712:R716)</f>
        <v/>
      </c>
      <c r="S717">
        <f>SUM('19_Расчет_аналитики'!S712:S716)</f>
        <v/>
      </c>
      <c r="T717">
        <f>SUM('19_Расчет_аналитики'!T712:T716)</f>
        <v/>
      </c>
      <c r="U717">
        <f>SUM('19_Расчет_аналитики'!U712:U716)</f>
        <v/>
      </c>
      <c r="V717">
        <f>SUM('19_Расчет_аналитики'!V712:V716)</f>
        <v/>
      </c>
      <c r="W717">
        <f>SUM('19_Расчет_аналитики'!W712:W716)</f>
        <v/>
      </c>
      <c r="X717">
        <f>SUM('19_Расчет_аналитики'!X712:X716)</f>
        <v/>
      </c>
      <c r="Y717">
        <f>SUM('19_Расчет_аналитики'!Y712:Y716)</f>
        <v/>
      </c>
      <c r="Z717">
        <f>SUM('19_Расчет_аналитики'!Z712:Z716)</f>
        <v/>
      </c>
      <c r="AA717">
        <f>SUM('19_Расчет_аналитики'!AA712:AA716)</f>
        <v/>
      </c>
      <c r="AB717">
        <f>SUM('19_Расчет_аналитики'!AB712:AB716)</f>
        <v/>
      </c>
      <c r="AC717">
        <f>SUM('19_Расчет_аналитики'!AC712:AC716)</f>
        <v/>
      </c>
      <c r="AD717">
        <f>SUM('19_Расчет_аналитики'!AD712:AD716)</f>
        <v/>
      </c>
      <c r="AE717">
        <f>SUM('19_Расчет_аналитики'!AE712:AE716)</f>
        <v/>
      </c>
      <c r="AF717">
        <f>SUM('19_Расчет_аналитики'!AF712:AF716)</f>
        <v/>
      </c>
      <c r="AG717">
        <f>SUM('19_Расчет_аналитики'!AG712:AG716)</f>
        <v/>
      </c>
      <c r="AH717">
        <f>SUM('19_Расчет_аналитики'!AH712:AH716)</f>
        <v/>
      </c>
      <c r="AI717">
        <f>SUM('19_Расчет_аналитики'!AI712:AI716)</f>
        <v/>
      </c>
      <c r="AJ717">
        <f>SUM('19_Расчет_аналитики'!AJ712:AJ716)</f>
        <v/>
      </c>
      <c r="AK717">
        <f>SUM('19_Расчет_аналитики'!AK712:AK716)</f>
        <v/>
      </c>
      <c r="AL717">
        <f>SUM('19_Расчет_аналитики'!AL712:AL716)</f>
        <v/>
      </c>
      <c r="AM717">
        <f>SUM('19_Расчет_аналитики'!AM712:AM716)</f>
        <v/>
      </c>
      <c r="AN717">
        <f>SUM('19_Расчет_аналитики'!AN712:AN716)</f>
        <v/>
      </c>
      <c r="AO717">
        <f>SUM('19_Расчет_аналитики'!AO712:AO716)</f>
        <v/>
      </c>
      <c r="AP717">
        <f>SUM('19_Расчет_аналитики'!AP712:AP716)</f>
        <v/>
      </c>
      <c r="AQ717">
        <f>SUM('19_Расчет_аналитики'!AQ712:AQ716)</f>
        <v/>
      </c>
      <c r="AR717">
        <f>SUM('19_Расчет_аналитики'!AR712:AR716)</f>
        <v/>
      </c>
      <c r="AS717">
        <f>SUM('19_Расчет_аналитики'!AS712:AS716)</f>
        <v/>
      </c>
      <c r="AT717">
        <f>SUM('19_Расчет_аналитики'!AT712:AT716)</f>
        <v/>
      </c>
      <c r="AU717">
        <f>SUM('19_Расчет_аналитики'!AU712:AU716)</f>
        <v/>
      </c>
      <c r="AV717">
        <f>SUM('19_Расчет_аналитики'!AV712:AV716)</f>
        <v/>
      </c>
      <c r="AW717">
        <f>SUM('19_Расчет_аналитики'!AW712:AW716)</f>
        <v/>
      </c>
      <c r="AX717">
        <f>SUM('19_Расчет_аналитики'!AX712:AX716)</f>
        <v/>
      </c>
      <c r="AY717">
        <f>SUM('19_Расчет_аналитики'!AY712:AY716)</f>
        <v/>
      </c>
      <c r="AZ717">
        <f>SUM('19_Расчет_аналитики'!AZ712:AZ716)</f>
        <v/>
      </c>
      <c r="BA717">
        <f>SUM('19_Расчет_аналитики'!BA712:BA716)</f>
        <v/>
      </c>
      <c r="BB717">
        <f>SUM('19_Расчет_аналитики'!BB712:BB716)</f>
        <v/>
      </c>
      <c r="BC717">
        <f>SUM('19_Расчет_аналитики'!BC712:BC716)</f>
        <v/>
      </c>
      <c r="BD717">
        <f>SUM('19_Расчет_аналитики'!BD712:BD716)</f>
        <v/>
      </c>
      <c r="BE717">
        <f>SUM('19_Расчет_аналитики'!BE712:BE716)</f>
        <v/>
      </c>
      <c r="BF717">
        <f>SUM('19_Расчет_аналитики'!BF712:BF716)</f>
        <v/>
      </c>
      <c r="BG717">
        <f>SUM('19_Расчет_аналитики'!BG712:BG716)</f>
        <v/>
      </c>
      <c r="BH717">
        <f>SUM('19_Расчет_аналитики'!BH712:BH716)</f>
        <v/>
      </c>
      <c r="BI717">
        <f>SUM('19_Расчет_аналитики'!BI712:BI716)</f>
        <v/>
      </c>
    </row>
    <row r="718"/>
    <row r="719"/>
    <row r="720">
      <c r="B720">
        <f>'19_Расчет_аналитики'!B617</f>
        <v/>
      </c>
      <c r="C720">
        <f>'19_Расчет_аналитики'!C617</f>
        <v/>
      </c>
      <c r="D720">
        <f>'19_Расчет_аналитики'!D617</f>
        <v/>
      </c>
      <c r="E720">
        <f>'19_Расчет_аналитики'!E617</f>
        <v/>
      </c>
      <c r="F720">
        <f>'19_Расчет_аналитики'!F617</f>
        <v/>
      </c>
      <c r="G720">
        <f>'19_Расчет_аналитики'!G617</f>
        <v/>
      </c>
      <c r="H720">
        <f>'19_Расчет_аналитики'!H617</f>
        <v/>
      </c>
      <c r="I720">
        <f>'19_Расчет_аналитики'!I617</f>
        <v/>
      </c>
      <c r="J720">
        <f>'19_Расчет_аналитики'!J617</f>
        <v/>
      </c>
      <c r="K720">
        <f>'19_Расчет_аналитики'!K617</f>
        <v/>
      </c>
      <c r="L720">
        <f>'19_Расчет_аналитики'!L617</f>
        <v/>
      </c>
      <c r="M720">
        <f>'19_Расчет_аналитики'!M617</f>
        <v/>
      </c>
      <c r="N720">
        <f>'19_Расчет_аналитики'!N617</f>
        <v/>
      </c>
      <c r="O720">
        <f>'19_Расчет_аналитики'!O617</f>
        <v/>
      </c>
      <c r="P720">
        <f>'19_Расчет_аналитики'!P617</f>
        <v/>
      </c>
      <c r="Q720">
        <f>'19_Расчет_аналитики'!Q617</f>
        <v/>
      </c>
      <c r="R720">
        <f>'19_Расчет_аналитики'!R617</f>
        <v/>
      </c>
      <c r="S720">
        <f>'19_Расчет_аналитики'!S617</f>
        <v/>
      </c>
      <c r="T720">
        <f>'19_Расчет_аналитики'!T617</f>
        <v/>
      </c>
      <c r="U720">
        <f>'19_Расчет_аналитики'!U617</f>
        <v/>
      </c>
      <c r="V720">
        <f>'19_Расчет_аналитики'!V617</f>
        <v/>
      </c>
      <c r="W720">
        <f>'19_Расчет_аналитики'!W617</f>
        <v/>
      </c>
      <c r="X720">
        <f>'19_Расчет_аналитики'!X617</f>
        <v/>
      </c>
      <c r="Y720">
        <f>'19_Расчет_аналитики'!Y617</f>
        <v/>
      </c>
      <c r="Z720">
        <f>'19_Расчет_аналитики'!Z617</f>
        <v/>
      </c>
      <c r="AA720">
        <f>'19_Расчет_аналитики'!AA617</f>
        <v/>
      </c>
      <c r="AB720">
        <f>'19_Расчет_аналитики'!AB617</f>
        <v/>
      </c>
      <c r="AC720">
        <f>'19_Расчет_аналитики'!AC617</f>
        <v/>
      </c>
      <c r="AD720">
        <f>'19_Расчет_аналитики'!AD617</f>
        <v/>
      </c>
      <c r="AE720">
        <f>'19_Расчет_аналитики'!AE617</f>
        <v/>
      </c>
      <c r="AF720">
        <f>'19_Расчет_аналитики'!AF617</f>
        <v/>
      </c>
      <c r="AG720">
        <f>'19_Расчет_аналитики'!AG617</f>
        <v/>
      </c>
      <c r="AH720">
        <f>'19_Расчет_аналитики'!AH617</f>
        <v/>
      </c>
      <c r="AI720">
        <f>'19_Расчет_аналитики'!AI617</f>
        <v/>
      </c>
      <c r="AJ720">
        <f>'19_Расчет_аналитики'!AJ617</f>
        <v/>
      </c>
      <c r="AK720">
        <f>'19_Расчет_аналитики'!AK617</f>
        <v/>
      </c>
      <c r="AL720">
        <f>'19_Расчет_аналитики'!AL617</f>
        <v/>
      </c>
      <c r="AM720">
        <f>'19_Расчет_аналитики'!AM617</f>
        <v/>
      </c>
      <c r="AN720">
        <f>'19_Расчет_аналитики'!AN617</f>
        <v/>
      </c>
      <c r="AO720">
        <f>'19_Расчет_аналитики'!AO617</f>
        <v/>
      </c>
      <c r="AP720">
        <f>'19_Расчет_аналитики'!AP617</f>
        <v/>
      </c>
      <c r="AQ720">
        <f>'19_Расчет_аналитики'!AQ617</f>
        <v/>
      </c>
      <c r="AR720">
        <f>'19_Расчет_аналитики'!AR617</f>
        <v/>
      </c>
      <c r="AS720">
        <f>'19_Расчет_аналитики'!AS617</f>
        <v/>
      </c>
      <c r="AT720">
        <f>'19_Расчет_аналитики'!AT617</f>
        <v/>
      </c>
      <c r="AU720">
        <f>'19_Расчет_аналитики'!AU617</f>
        <v/>
      </c>
      <c r="AV720">
        <f>'19_Расчет_аналитики'!AV617</f>
        <v/>
      </c>
      <c r="AW720">
        <f>'19_Расчет_аналитики'!AW617</f>
        <v/>
      </c>
      <c r="AX720">
        <f>'19_Расчет_аналитики'!AX617</f>
        <v/>
      </c>
      <c r="AY720">
        <f>'19_Расчет_аналитики'!AY617</f>
        <v/>
      </c>
      <c r="AZ720">
        <f>'19_Расчет_аналитики'!AZ617</f>
        <v/>
      </c>
      <c r="BA720">
        <f>'19_Расчет_аналитики'!BA617</f>
        <v/>
      </c>
      <c r="BB720">
        <f>'19_Расчет_аналитики'!BB617</f>
        <v/>
      </c>
      <c r="BC720">
        <f>'19_Расчет_аналитики'!BC617</f>
        <v/>
      </c>
      <c r="BD720">
        <f>'19_Расчет_аналитики'!BD617</f>
        <v/>
      </c>
      <c r="BE720">
        <f>'19_Расчет_аналитики'!BE617</f>
        <v/>
      </c>
      <c r="BF720">
        <f>'19_Расчет_аналитики'!BF617</f>
        <v/>
      </c>
      <c r="BG720">
        <f>'19_Расчет_аналитики'!BG617</f>
        <v/>
      </c>
      <c r="BH720">
        <f>'19_Расчет_аналитики'!BH617</f>
        <v/>
      </c>
      <c r="BI720">
        <f>'19_Расчет_аналитики'!BI617</f>
        <v/>
      </c>
    </row>
    <row r="721">
      <c r="B721">
        <f>'19_Расчет_аналитики'!B618</f>
        <v/>
      </c>
      <c r="C721">
        <f>'19_Расчет_аналитики'!C618</f>
        <v/>
      </c>
      <c r="D721">
        <f>'19_Расчет_аналитики'!D618</f>
        <v/>
      </c>
      <c r="E721">
        <f>'19_Расчет_аналитики'!E618</f>
        <v/>
      </c>
      <c r="F721">
        <f>'19_Расчет_аналитики'!F618</f>
        <v/>
      </c>
      <c r="G721">
        <f>'19_Расчет_аналитики'!G618</f>
        <v/>
      </c>
      <c r="H721">
        <f>'19_Расчет_аналитики'!H618</f>
        <v/>
      </c>
      <c r="I721">
        <f>'19_Расчет_аналитики'!I618</f>
        <v/>
      </c>
      <c r="J721">
        <f>'19_Расчет_аналитики'!J618</f>
        <v/>
      </c>
      <c r="K721">
        <f>'19_Расчет_аналитики'!K618</f>
        <v/>
      </c>
      <c r="L721">
        <f>'19_Расчет_аналитики'!L618</f>
        <v/>
      </c>
      <c r="M721">
        <f>'19_Расчет_аналитики'!M618</f>
        <v/>
      </c>
      <c r="N721">
        <f>'19_Расчет_аналитики'!N618</f>
        <v/>
      </c>
      <c r="O721">
        <f>'19_Расчет_аналитики'!O618</f>
        <v/>
      </c>
      <c r="P721">
        <f>'19_Расчет_аналитики'!P618</f>
        <v/>
      </c>
      <c r="Q721">
        <f>'19_Расчет_аналитики'!Q618</f>
        <v/>
      </c>
      <c r="R721">
        <f>'19_Расчет_аналитики'!R618</f>
        <v/>
      </c>
      <c r="S721">
        <f>'19_Расчет_аналитики'!S618</f>
        <v/>
      </c>
      <c r="T721">
        <f>'19_Расчет_аналитики'!T618</f>
        <v/>
      </c>
      <c r="U721">
        <f>'19_Расчет_аналитики'!U618</f>
        <v/>
      </c>
      <c r="V721">
        <f>'19_Расчет_аналитики'!V618</f>
        <v/>
      </c>
      <c r="W721">
        <f>'19_Расчет_аналитики'!W618</f>
        <v/>
      </c>
      <c r="X721">
        <f>'19_Расчет_аналитики'!X618</f>
        <v/>
      </c>
      <c r="Y721">
        <f>'19_Расчет_аналитики'!Y618</f>
        <v/>
      </c>
      <c r="Z721">
        <f>'19_Расчет_аналитики'!Z618</f>
        <v/>
      </c>
      <c r="AA721">
        <f>'19_Расчет_аналитики'!AA618</f>
        <v/>
      </c>
      <c r="AB721">
        <f>'19_Расчет_аналитики'!AB618</f>
        <v/>
      </c>
      <c r="AC721">
        <f>'19_Расчет_аналитики'!AC618</f>
        <v/>
      </c>
      <c r="AD721">
        <f>'19_Расчет_аналитики'!AD618</f>
        <v/>
      </c>
      <c r="AE721">
        <f>'19_Расчет_аналитики'!AE618</f>
        <v/>
      </c>
      <c r="AF721">
        <f>'19_Расчет_аналитики'!AF618</f>
        <v/>
      </c>
      <c r="AG721">
        <f>'19_Расчет_аналитики'!AG618</f>
        <v/>
      </c>
      <c r="AH721">
        <f>'19_Расчет_аналитики'!AH618</f>
        <v/>
      </c>
      <c r="AI721">
        <f>'19_Расчет_аналитики'!AI618</f>
        <v/>
      </c>
      <c r="AJ721">
        <f>'19_Расчет_аналитики'!AJ618</f>
        <v/>
      </c>
      <c r="AK721">
        <f>'19_Расчет_аналитики'!AK618</f>
        <v/>
      </c>
      <c r="AL721">
        <f>'19_Расчет_аналитики'!AL618</f>
        <v/>
      </c>
      <c r="AM721">
        <f>'19_Расчет_аналитики'!AM618</f>
        <v/>
      </c>
      <c r="AN721">
        <f>'19_Расчет_аналитики'!AN618</f>
        <v/>
      </c>
      <c r="AO721">
        <f>'19_Расчет_аналитики'!AO618</f>
        <v/>
      </c>
      <c r="AP721">
        <f>'19_Расчет_аналитики'!AP618</f>
        <v/>
      </c>
      <c r="AQ721">
        <f>'19_Расчет_аналитики'!AQ618</f>
        <v/>
      </c>
      <c r="AR721">
        <f>'19_Расчет_аналитики'!AR618</f>
        <v/>
      </c>
      <c r="AS721">
        <f>'19_Расчет_аналитики'!AS618</f>
        <v/>
      </c>
      <c r="AT721">
        <f>'19_Расчет_аналитики'!AT618</f>
        <v/>
      </c>
      <c r="AU721">
        <f>'19_Расчет_аналитики'!AU618</f>
        <v/>
      </c>
      <c r="AV721">
        <f>'19_Расчет_аналитики'!AV618</f>
        <v/>
      </c>
      <c r="AW721">
        <f>'19_Расчет_аналитики'!AW618</f>
        <v/>
      </c>
      <c r="AX721">
        <f>'19_Расчет_аналитики'!AX618</f>
        <v/>
      </c>
      <c r="AY721">
        <f>'19_Расчет_аналитики'!AY618</f>
        <v/>
      </c>
      <c r="AZ721">
        <f>'19_Расчет_аналитики'!AZ618</f>
        <v/>
      </c>
      <c r="BA721">
        <f>'19_Расчет_аналитики'!BA618</f>
        <v/>
      </c>
      <c r="BB721">
        <f>'19_Расчет_аналитики'!BB618</f>
        <v/>
      </c>
      <c r="BC721">
        <f>'19_Расчет_аналитики'!BC618</f>
        <v/>
      </c>
      <c r="BD721">
        <f>'19_Расчет_аналитики'!BD618</f>
        <v/>
      </c>
      <c r="BE721">
        <f>'19_Расчет_аналитики'!BE618</f>
        <v/>
      </c>
      <c r="BF721">
        <f>'19_Расчет_аналитики'!BF618</f>
        <v/>
      </c>
      <c r="BG721">
        <f>'19_Расчет_аналитики'!BG618</f>
        <v/>
      </c>
      <c r="BH721">
        <f>'19_Расчет_аналитики'!BH618</f>
        <v/>
      </c>
      <c r="BI721">
        <f>'19_Расчет_аналитики'!BI618</f>
        <v/>
      </c>
    </row>
    <row r="722">
      <c r="B722">
        <f>'19_Расчет_аналитики'!B620</f>
        <v/>
      </c>
      <c r="C722">
        <f>'19_Расчет_аналитики'!C620</f>
        <v/>
      </c>
      <c r="D722">
        <f>'19_Расчет_аналитики'!D620</f>
        <v/>
      </c>
      <c r="E722">
        <f>'19_Расчет_аналитики'!E620</f>
        <v/>
      </c>
      <c r="F722">
        <f>'19_Расчет_аналитики'!F620</f>
        <v/>
      </c>
      <c r="G722">
        <f>'19_Расчет_аналитики'!G620</f>
        <v/>
      </c>
      <c r="H722">
        <f>'19_Расчет_аналитики'!H620</f>
        <v/>
      </c>
      <c r="I722">
        <f>'19_Расчет_аналитики'!I620</f>
        <v/>
      </c>
      <c r="J722">
        <f>'19_Расчет_аналитики'!J620</f>
        <v/>
      </c>
      <c r="K722">
        <f>'19_Расчет_аналитики'!K620</f>
        <v/>
      </c>
      <c r="L722">
        <f>'19_Расчет_аналитики'!L620</f>
        <v/>
      </c>
      <c r="M722">
        <f>'19_Расчет_аналитики'!M620</f>
        <v/>
      </c>
      <c r="N722">
        <f>'19_Расчет_аналитики'!N620</f>
        <v/>
      </c>
      <c r="O722">
        <f>'19_Расчет_аналитики'!O620</f>
        <v/>
      </c>
      <c r="P722">
        <f>'19_Расчет_аналитики'!P620</f>
        <v/>
      </c>
      <c r="Q722">
        <f>'19_Расчет_аналитики'!Q620</f>
        <v/>
      </c>
      <c r="R722">
        <f>'19_Расчет_аналитики'!R620</f>
        <v/>
      </c>
      <c r="S722">
        <f>'19_Расчет_аналитики'!S620</f>
        <v/>
      </c>
      <c r="T722">
        <f>'19_Расчет_аналитики'!T620</f>
        <v/>
      </c>
      <c r="U722">
        <f>'19_Расчет_аналитики'!U620</f>
        <v/>
      </c>
      <c r="V722">
        <f>'19_Расчет_аналитики'!V620</f>
        <v/>
      </c>
      <c r="W722">
        <f>'19_Расчет_аналитики'!W620</f>
        <v/>
      </c>
      <c r="X722">
        <f>'19_Расчет_аналитики'!X620</f>
        <v/>
      </c>
      <c r="Y722">
        <f>'19_Расчет_аналитики'!Y620</f>
        <v/>
      </c>
      <c r="Z722">
        <f>'19_Расчет_аналитики'!Z620</f>
        <v/>
      </c>
      <c r="AA722">
        <f>'19_Расчет_аналитики'!AA620</f>
        <v/>
      </c>
      <c r="AB722">
        <f>'19_Расчет_аналитики'!AB620</f>
        <v/>
      </c>
      <c r="AC722">
        <f>'19_Расчет_аналитики'!AC620</f>
        <v/>
      </c>
      <c r="AD722">
        <f>'19_Расчет_аналитики'!AD620</f>
        <v/>
      </c>
      <c r="AE722">
        <f>'19_Расчет_аналитики'!AE620</f>
        <v/>
      </c>
      <c r="AF722">
        <f>'19_Расчет_аналитики'!AF620</f>
        <v/>
      </c>
      <c r="AG722">
        <f>'19_Расчет_аналитики'!AG620</f>
        <v/>
      </c>
      <c r="AH722">
        <f>'19_Расчет_аналитики'!AH620</f>
        <v/>
      </c>
      <c r="AI722">
        <f>'19_Расчет_аналитики'!AI620</f>
        <v/>
      </c>
      <c r="AJ722">
        <f>'19_Расчет_аналитики'!AJ620</f>
        <v/>
      </c>
      <c r="AK722">
        <f>'19_Расчет_аналитики'!AK620</f>
        <v/>
      </c>
      <c r="AL722">
        <f>'19_Расчет_аналитики'!AL620</f>
        <v/>
      </c>
      <c r="AM722">
        <f>'19_Расчет_аналитики'!AM620</f>
        <v/>
      </c>
      <c r="AN722">
        <f>'19_Расчет_аналитики'!AN620</f>
        <v/>
      </c>
      <c r="AO722">
        <f>'19_Расчет_аналитики'!AO620</f>
        <v/>
      </c>
      <c r="AP722">
        <f>'19_Расчет_аналитики'!AP620</f>
        <v/>
      </c>
      <c r="AQ722">
        <f>'19_Расчет_аналитики'!AQ620</f>
        <v/>
      </c>
      <c r="AR722">
        <f>'19_Расчет_аналитики'!AR620</f>
        <v/>
      </c>
      <c r="AS722">
        <f>'19_Расчет_аналитики'!AS620</f>
        <v/>
      </c>
      <c r="AT722">
        <f>'19_Расчет_аналитики'!AT620</f>
        <v/>
      </c>
      <c r="AU722">
        <f>'19_Расчет_аналитики'!AU620</f>
        <v/>
      </c>
      <c r="AV722">
        <f>'19_Расчет_аналитики'!AV620</f>
        <v/>
      </c>
      <c r="AW722">
        <f>'19_Расчет_аналитики'!AW620</f>
        <v/>
      </c>
      <c r="AX722">
        <f>'19_Расчет_аналитики'!AX620</f>
        <v/>
      </c>
      <c r="AY722">
        <f>'19_Расчет_аналитики'!AY620</f>
        <v/>
      </c>
      <c r="AZ722">
        <f>'19_Расчет_аналитики'!AZ620</f>
        <v/>
      </c>
      <c r="BA722">
        <f>'19_Расчет_аналитики'!BA620</f>
        <v/>
      </c>
      <c r="BB722">
        <f>'19_Расчет_аналитики'!BB620</f>
        <v/>
      </c>
      <c r="BC722">
        <f>'19_Расчет_аналитики'!BC620</f>
        <v/>
      </c>
      <c r="BD722">
        <f>'19_Расчет_аналитики'!BD620</f>
        <v/>
      </c>
      <c r="BE722">
        <f>'19_Расчет_аналитики'!BE620</f>
        <v/>
      </c>
      <c r="BF722">
        <f>'19_Расчет_аналитики'!BF620</f>
        <v/>
      </c>
      <c r="BG722">
        <f>'19_Расчет_аналитики'!BG620</f>
        <v/>
      </c>
      <c r="BH722">
        <f>'19_Расчет_аналитики'!BH620</f>
        <v/>
      </c>
      <c r="BI722">
        <f>'19_Расчет_аналитики'!BI620</f>
        <v/>
      </c>
    </row>
    <row r="723">
      <c r="B723">
        <f>'02_Модель'!B29</f>
        <v/>
      </c>
      <c r="C723">
        <f>'19_Расчет_аналитики'!C712*'01_Вводные'!$B$59</f>
        <v/>
      </c>
      <c r="D723">
        <f>'19_Расчет_аналитики'!D712*'01_Вводные'!$B$59</f>
        <v/>
      </c>
      <c r="E723">
        <f>'19_Расчет_аналитики'!E712*'01_Вводные'!$B$59</f>
        <v/>
      </c>
      <c r="F723">
        <f>'19_Расчет_аналитики'!F712*'01_Вводные'!$B$59</f>
        <v/>
      </c>
      <c r="G723">
        <f>'19_Расчет_аналитики'!G712*'01_Вводные'!$B$59</f>
        <v/>
      </c>
      <c r="H723">
        <f>'19_Расчет_аналитики'!H712*'01_Вводные'!$B$59</f>
        <v/>
      </c>
      <c r="I723">
        <f>'19_Расчет_аналитики'!I712*'01_Вводные'!$B$59</f>
        <v/>
      </c>
      <c r="J723">
        <f>'19_Расчет_аналитики'!J712*'01_Вводные'!$B$59</f>
        <v/>
      </c>
      <c r="K723">
        <f>'19_Расчет_аналитики'!K712*'01_Вводные'!$B$59</f>
        <v/>
      </c>
      <c r="L723">
        <f>'19_Расчет_аналитики'!L712*'01_Вводные'!$B$59</f>
        <v/>
      </c>
      <c r="M723">
        <f>'19_Расчет_аналитики'!M712*'01_Вводные'!$B$59</f>
        <v/>
      </c>
      <c r="N723">
        <f>'19_Расчет_аналитики'!N712*'01_Вводные'!$B$59</f>
        <v/>
      </c>
      <c r="O723">
        <f>'19_Расчет_аналитики'!O712*'01_Вводные'!$B$59</f>
        <v/>
      </c>
      <c r="P723">
        <f>'19_Расчет_аналитики'!P712*'01_Вводные'!$B$59</f>
        <v/>
      </c>
      <c r="Q723">
        <f>'19_Расчет_аналитики'!Q712*'01_Вводные'!$B$59</f>
        <v/>
      </c>
      <c r="R723">
        <f>'19_Расчет_аналитики'!R712*'01_Вводные'!$B$59</f>
        <v/>
      </c>
      <c r="S723">
        <f>'19_Расчет_аналитики'!S712*'01_Вводные'!$B$59</f>
        <v/>
      </c>
      <c r="T723">
        <f>'19_Расчет_аналитики'!T712*'01_Вводные'!$B$59</f>
        <v/>
      </c>
      <c r="U723">
        <f>'19_Расчет_аналитики'!U712*'01_Вводные'!$B$59</f>
        <v/>
      </c>
      <c r="V723">
        <f>'19_Расчет_аналитики'!V712*'01_Вводные'!$B$59</f>
        <v/>
      </c>
      <c r="W723">
        <f>'19_Расчет_аналитики'!W712*'01_Вводные'!$B$59</f>
        <v/>
      </c>
      <c r="X723">
        <f>'19_Расчет_аналитики'!X712*'01_Вводные'!$B$59</f>
        <v/>
      </c>
      <c r="Y723">
        <f>'19_Расчет_аналитики'!Y712*'01_Вводные'!$B$59</f>
        <v/>
      </c>
      <c r="Z723">
        <f>'19_Расчет_аналитики'!Z712*'01_Вводные'!$B$59</f>
        <v/>
      </c>
      <c r="AA723">
        <f>'19_Расчет_аналитики'!AA712*'01_Вводные'!$B$59</f>
        <v/>
      </c>
      <c r="AB723">
        <f>'19_Расчет_аналитики'!AB712*'01_Вводные'!$B$59</f>
        <v/>
      </c>
      <c r="AC723">
        <f>'19_Расчет_аналитики'!AC712*'01_Вводные'!$B$59</f>
        <v/>
      </c>
      <c r="AD723">
        <f>'19_Расчет_аналитики'!AD712*'01_Вводные'!$B$59</f>
        <v/>
      </c>
      <c r="AE723">
        <f>'19_Расчет_аналитики'!AE712*'01_Вводные'!$B$59</f>
        <v/>
      </c>
      <c r="AF723">
        <f>'19_Расчет_аналитики'!AF712*'01_Вводные'!$B$59</f>
        <v/>
      </c>
      <c r="AG723">
        <f>'19_Расчет_аналитики'!AG712*'01_Вводные'!$B$59</f>
        <v/>
      </c>
      <c r="AH723">
        <f>'19_Расчет_аналитики'!AH712*'01_Вводные'!$B$59</f>
        <v/>
      </c>
      <c r="AI723">
        <f>'19_Расчет_аналитики'!AI712*'01_Вводные'!$B$59</f>
        <v/>
      </c>
      <c r="AJ723">
        <f>'19_Расчет_аналитики'!AJ712*'01_Вводные'!$B$59</f>
        <v/>
      </c>
      <c r="AK723">
        <f>'19_Расчет_аналитики'!AK712*'01_Вводные'!$B$59</f>
        <v/>
      </c>
      <c r="AL723">
        <f>'19_Расчет_аналитики'!AL712*'01_Вводные'!$B$59</f>
        <v/>
      </c>
      <c r="AM723">
        <f>'19_Расчет_аналитики'!AM712*'01_Вводные'!$B$59</f>
        <v/>
      </c>
      <c r="AN723">
        <f>'19_Расчет_аналитики'!AN712*'01_Вводные'!$B$59</f>
        <v/>
      </c>
      <c r="AO723">
        <f>'19_Расчет_аналитики'!AO712*'01_Вводные'!$B$59</f>
        <v/>
      </c>
      <c r="AP723">
        <f>'19_Расчет_аналитики'!AP712*'01_Вводные'!$B$59</f>
        <v/>
      </c>
      <c r="AQ723">
        <f>'19_Расчет_аналитики'!AQ712*'01_Вводные'!$B$59</f>
        <v/>
      </c>
      <c r="AR723">
        <f>'19_Расчет_аналитики'!AR712*'01_Вводные'!$B$59</f>
        <v/>
      </c>
      <c r="AS723">
        <f>'19_Расчет_аналитики'!AS712*'01_Вводные'!$B$59</f>
        <v/>
      </c>
      <c r="AT723">
        <f>'19_Расчет_аналитики'!AT712*'01_Вводные'!$B$59</f>
        <v/>
      </c>
      <c r="AU723">
        <f>'19_Расчет_аналитики'!AU712*'01_Вводные'!$B$59</f>
        <v/>
      </c>
      <c r="AV723">
        <f>'19_Расчет_аналитики'!AV712*'01_Вводные'!$B$59</f>
        <v/>
      </c>
      <c r="AW723">
        <f>'19_Расчет_аналитики'!AW712*'01_Вводные'!$B$59</f>
        <v/>
      </c>
      <c r="AX723">
        <f>'19_Расчет_аналитики'!AX712*'01_Вводные'!$B$59</f>
        <v/>
      </c>
      <c r="AY723">
        <f>'19_Расчет_аналитики'!AY712*'01_Вводные'!$B$59</f>
        <v/>
      </c>
      <c r="AZ723">
        <f>'19_Расчет_аналитики'!AZ712*'01_Вводные'!$B$59</f>
        <v/>
      </c>
      <c r="BA723">
        <f>'19_Расчет_аналитики'!BA712*'01_Вводные'!$B$59</f>
        <v/>
      </c>
      <c r="BB723">
        <f>'19_Расчет_аналитики'!BB712*'01_Вводные'!$B$59</f>
        <v/>
      </c>
      <c r="BC723">
        <f>'19_Расчет_аналитики'!BC712*'01_Вводные'!$B$59</f>
        <v/>
      </c>
      <c r="BD723">
        <f>'19_Расчет_аналитики'!BD712*'01_Вводные'!$B$59</f>
        <v/>
      </c>
      <c r="BE723">
        <f>'19_Расчет_аналитики'!BE712*'01_Вводные'!$B$59</f>
        <v/>
      </c>
      <c r="BF723">
        <f>'19_Расчет_аналитики'!BF712*'01_Вводные'!$B$59</f>
        <v/>
      </c>
      <c r="BG723">
        <f>'19_Расчет_аналитики'!BG712*'01_Вводные'!$B$59</f>
        <v/>
      </c>
      <c r="BH723">
        <f>'19_Расчет_аналитики'!BH712*'01_Вводные'!$B$59</f>
        <v/>
      </c>
      <c r="BI723">
        <f>'19_Расчет_аналитики'!BI712*'01_Вводные'!$B$59</f>
        <v/>
      </c>
    </row>
    <row r="724">
      <c r="B724">
        <f>('19_Расчет_аналитики'!B713+'19_Расчет_аналитики'!B714)*'01_Вводные'!$B$60</f>
        <v/>
      </c>
      <c r="C724">
        <f>('19_Расчет_аналитики'!C713+'19_Расчет_аналитики'!C714)*'01_Вводные'!$B$60</f>
        <v/>
      </c>
      <c r="D724">
        <f>('19_Расчет_аналитики'!D713+'19_Расчет_аналитики'!D714)*'01_Вводные'!$B$60</f>
        <v/>
      </c>
      <c r="E724">
        <f>('19_Расчет_аналитики'!E713+'19_Расчет_аналитики'!E714)*'01_Вводные'!$B$60</f>
        <v/>
      </c>
      <c r="F724">
        <f>('19_Расчет_аналитики'!F713+'19_Расчет_аналитики'!F714)*'01_Вводные'!$B$60</f>
        <v/>
      </c>
      <c r="G724">
        <f>('19_Расчет_аналитики'!G713+'19_Расчет_аналитики'!G714)*'01_Вводные'!$B$60</f>
        <v/>
      </c>
      <c r="H724">
        <f>('19_Расчет_аналитики'!H713+'19_Расчет_аналитики'!H714)*'01_Вводные'!$B$60</f>
        <v/>
      </c>
      <c r="I724">
        <f>('19_Расчет_аналитики'!I713+'19_Расчет_аналитики'!I714)*'01_Вводные'!$B$60</f>
        <v/>
      </c>
      <c r="J724">
        <f>('19_Расчет_аналитики'!J713+'19_Расчет_аналитики'!J714)*'01_Вводные'!$B$60</f>
        <v/>
      </c>
      <c r="K724">
        <f>('19_Расчет_аналитики'!K713+'19_Расчет_аналитики'!K714)*'01_Вводные'!$B$60</f>
        <v/>
      </c>
      <c r="L724">
        <f>('19_Расчет_аналитики'!L713+'19_Расчет_аналитики'!L714)*'01_Вводные'!$B$60</f>
        <v/>
      </c>
      <c r="M724">
        <f>('19_Расчет_аналитики'!M713+'19_Расчет_аналитики'!M714)*'01_Вводные'!$B$60</f>
        <v/>
      </c>
      <c r="N724">
        <f>('19_Расчет_аналитики'!N713+'19_Расчет_аналитики'!N714)*'01_Вводные'!$B$60</f>
        <v/>
      </c>
      <c r="O724">
        <f>('19_Расчет_аналитики'!O713+'19_Расчет_аналитики'!O714)*'01_Вводные'!$B$60</f>
        <v/>
      </c>
      <c r="P724">
        <f>('19_Расчет_аналитики'!P713+'19_Расчет_аналитики'!P714)*'01_Вводные'!$B$60</f>
        <v/>
      </c>
      <c r="Q724">
        <f>('19_Расчет_аналитики'!Q713+'19_Расчет_аналитики'!Q714)*'01_Вводные'!$B$60</f>
        <v/>
      </c>
      <c r="R724">
        <f>('19_Расчет_аналитики'!R713+'19_Расчет_аналитики'!R714)*'01_Вводные'!$B$60</f>
        <v/>
      </c>
      <c r="S724">
        <f>('19_Расчет_аналитики'!S713+'19_Расчет_аналитики'!S714)*'01_Вводные'!$B$60</f>
        <v/>
      </c>
      <c r="T724">
        <f>('19_Расчет_аналитики'!T713+'19_Расчет_аналитики'!T714)*'01_Вводные'!$B$60</f>
        <v/>
      </c>
      <c r="U724">
        <f>('19_Расчет_аналитики'!U713+'19_Расчет_аналитики'!U714)*'01_Вводные'!$B$60</f>
        <v/>
      </c>
      <c r="V724">
        <f>('19_Расчет_аналитики'!V713+'19_Расчет_аналитики'!V714)*'01_Вводные'!$B$60</f>
        <v/>
      </c>
      <c r="W724">
        <f>('19_Расчет_аналитики'!W713+'19_Расчет_аналитики'!W714)*'01_Вводные'!$B$60</f>
        <v/>
      </c>
      <c r="X724">
        <f>('19_Расчет_аналитики'!X713+'19_Расчет_аналитики'!X714)*'01_Вводные'!$B$60</f>
        <v/>
      </c>
      <c r="Y724">
        <f>('19_Расчет_аналитики'!Y713+'19_Расчет_аналитики'!Y714)*'01_Вводные'!$B$60</f>
        <v/>
      </c>
      <c r="Z724">
        <f>('19_Расчет_аналитики'!Z713+'19_Расчет_аналитики'!Z714)*'01_Вводные'!$B$60</f>
        <v/>
      </c>
      <c r="AA724">
        <f>('19_Расчет_аналитики'!AA713+'19_Расчет_аналитики'!AA714)*'01_Вводные'!$B$60</f>
        <v/>
      </c>
      <c r="AB724">
        <f>('19_Расчет_аналитики'!AB713+'19_Расчет_аналитики'!AB714)*'01_Вводные'!$B$60</f>
        <v/>
      </c>
      <c r="AC724">
        <f>('19_Расчет_аналитики'!AC713+'19_Расчет_аналитики'!AC714)*'01_Вводные'!$B$60</f>
        <v/>
      </c>
      <c r="AD724">
        <f>('19_Расчет_аналитики'!AD713+'19_Расчет_аналитики'!AD714)*'01_Вводные'!$B$60</f>
        <v/>
      </c>
      <c r="AE724">
        <f>('19_Расчет_аналитики'!AE713+'19_Расчет_аналитики'!AE714)*'01_Вводные'!$B$60</f>
        <v/>
      </c>
      <c r="AF724">
        <f>('19_Расчет_аналитики'!AF713+'19_Расчет_аналитики'!AF714)*'01_Вводные'!$B$60</f>
        <v/>
      </c>
      <c r="AG724">
        <f>('19_Расчет_аналитики'!AG713+'19_Расчет_аналитики'!AG714)*'01_Вводные'!$B$60</f>
        <v/>
      </c>
      <c r="AH724">
        <f>('19_Расчет_аналитики'!AH713+'19_Расчет_аналитики'!AH714)*'01_Вводные'!$B$60</f>
        <v/>
      </c>
      <c r="AI724">
        <f>('19_Расчет_аналитики'!AI713+'19_Расчет_аналитики'!AI714)*'01_Вводные'!$B$60</f>
        <v/>
      </c>
      <c r="AJ724">
        <f>('19_Расчет_аналитики'!AJ713+'19_Расчет_аналитики'!AJ714)*'01_Вводные'!$B$60</f>
        <v/>
      </c>
      <c r="AK724">
        <f>('19_Расчет_аналитики'!AK713+'19_Расчет_аналитики'!AK714)*'01_Вводные'!$B$60</f>
        <v/>
      </c>
      <c r="AL724">
        <f>('19_Расчет_аналитики'!AL713+'19_Расчет_аналитики'!AL714)*'01_Вводные'!$B$60</f>
        <v/>
      </c>
      <c r="AM724">
        <f>('19_Расчет_аналитики'!AM713+'19_Расчет_аналитики'!AM714)*'01_Вводные'!$B$60</f>
        <v/>
      </c>
      <c r="AN724">
        <f>('19_Расчет_аналитики'!AN713+'19_Расчет_аналитики'!AN714)*'01_Вводные'!$B$60</f>
        <v/>
      </c>
      <c r="AO724">
        <f>('19_Расчет_аналитики'!AO713+'19_Расчет_аналитики'!AO714)*'01_Вводные'!$B$60</f>
        <v/>
      </c>
      <c r="AP724">
        <f>('19_Расчет_аналитики'!AP713+'19_Расчет_аналитики'!AP714)*'01_Вводные'!$B$60</f>
        <v/>
      </c>
      <c r="AQ724">
        <f>('19_Расчет_аналитики'!AQ713+'19_Расчет_аналитики'!AQ714)*'01_Вводные'!$B$60</f>
        <v/>
      </c>
      <c r="AR724">
        <f>('19_Расчет_аналитики'!AR713+'19_Расчет_аналитики'!AR714)*'01_Вводные'!$B$60</f>
        <v/>
      </c>
      <c r="AS724">
        <f>('19_Расчет_аналитики'!AS713+'19_Расчет_аналитики'!AS714)*'01_Вводные'!$B$60</f>
        <v/>
      </c>
      <c r="AT724">
        <f>('19_Расчет_аналитики'!AT713+'19_Расчет_аналитики'!AT714)*'01_Вводные'!$B$60</f>
        <v/>
      </c>
      <c r="AU724">
        <f>('19_Расчет_аналитики'!AU713+'19_Расчет_аналитики'!AU714)*'01_Вводные'!$B$60</f>
        <v/>
      </c>
      <c r="AV724">
        <f>('19_Расчет_аналитики'!AV713+'19_Расчет_аналитики'!AV714)*'01_Вводные'!$B$60</f>
        <v/>
      </c>
      <c r="AW724">
        <f>('19_Расчет_аналитики'!AW713+'19_Расчет_аналитики'!AW714)*'01_Вводные'!$B$60</f>
        <v/>
      </c>
      <c r="AX724">
        <f>('19_Расчет_аналитики'!AX713+'19_Расчет_аналитики'!AX714)*'01_Вводные'!$B$60</f>
        <v/>
      </c>
      <c r="AY724">
        <f>('19_Расчет_аналитики'!AY713+'19_Расчет_аналитики'!AY714)*'01_Вводные'!$B$60</f>
        <v/>
      </c>
      <c r="AZ724">
        <f>('19_Расчет_аналитики'!AZ713+'19_Расчет_аналитики'!AZ714)*'01_Вводные'!$B$60</f>
        <v/>
      </c>
      <c r="BA724">
        <f>('19_Расчет_аналитики'!BA713+'19_Расчет_аналитики'!BA714)*'01_Вводные'!$B$60</f>
        <v/>
      </c>
      <c r="BB724">
        <f>('19_Расчет_аналитики'!BB713+'19_Расчет_аналитики'!BB714)*'01_Вводные'!$B$60</f>
        <v/>
      </c>
      <c r="BC724">
        <f>('19_Расчет_аналитики'!BC713+'19_Расчет_аналитики'!BC714)*'01_Вводные'!$B$60</f>
        <v/>
      </c>
      <c r="BD724">
        <f>('19_Расчет_аналитики'!BD713+'19_Расчет_аналитики'!BD714)*'01_Вводные'!$B$60</f>
        <v/>
      </c>
      <c r="BE724">
        <f>('19_Расчет_аналитики'!BE713+'19_Расчет_аналитики'!BE714)*'01_Вводные'!$B$60</f>
        <v/>
      </c>
      <c r="BF724">
        <f>('19_Расчет_аналитики'!BF713+'19_Расчет_аналитики'!BF714)*'01_Вводные'!$B$60</f>
        <v/>
      </c>
      <c r="BG724">
        <f>('19_Расчет_аналитики'!BG713+'19_Расчет_аналитики'!BG714)*'01_Вводные'!$B$60</f>
        <v/>
      </c>
      <c r="BH724">
        <f>('19_Расчет_аналитики'!BH713+'19_Расчет_аналитики'!BH714)*'01_Вводные'!$B$60</f>
        <v/>
      </c>
      <c r="BI724">
        <f>('19_Расчет_аналитики'!BI713+'19_Расчет_аналитики'!BI714)*'01_Вводные'!$B$60</f>
        <v/>
      </c>
    </row>
    <row r="725">
      <c r="B725">
        <f>'02_Модель'!B31</f>
        <v/>
      </c>
      <c r="C725">
        <f>'02_Модель'!C31</f>
        <v/>
      </c>
      <c r="D725">
        <f>'02_Модель'!D31</f>
        <v/>
      </c>
      <c r="E725">
        <f>'02_Модель'!E31</f>
        <v/>
      </c>
      <c r="F725">
        <f>'02_Модель'!F31</f>
        <v/>
      </c>
      <c r="G725">
        <f>'02_Модель'!G31</f>
        <v/>
      </c>
      <c r="H725">
        <f>'02_Модель'!H31</f>
        <v/>
      </c>
      <c r="I725">
        <f>'02_Модель'!I31</f>
        <v/>
      </c>
      <c r="J725">
        <f>'02_Модель'!J31</f>
        <v/>
      </c>
      <c r="K725">
        <f>'02_Модель'!K31</f>
        <v/>
      </c>
      <c r="L725">
        <f>'02_Модель'!L31</f>
        <v/>
      </c>
      <c r="M725">
        <f>'02_Модель'!M31</f>
        <v/>
      </c>
      <c r="N725">
        <f>'02_Модель'!N31</f>
        <v/>
      </c>
      <c r="O725">
        <f>'02_Модель'!O31</f>
        <v/>
      </c>
      <c r="P725">
        <f>'02_Модель'!P31</f>
        <v/>
      </c>
      <c r="Q725">
        <f>'02_Модель'!Q31</f>
        <v/>
      </c>
      <c r="R725">
        <f>'02_Модель'!R31</f>
        <v/>
      </c>
      <c r="S725">
        <f>'02_Модель'!S31</f>
        <v/>
      </c>
      <c r="T725">
        <f>'02_Модель'!T31</f>
        <v/>
      </c>
      <c r="U725">
        <f>'02_Модель'!U31</f>
        <v/>
      </c>
      <c r="V725">
        <f>'02_Модель'!V31</f>
        <v/>
      </c>
      <c r="W725">
        <f>'02_Модель'!W31</f>
        <v/>
      </c>
      <c r="X725">
        <f>'02_Модель'!X31</f>
        <v/>
      </c>
      <c r="Y725">
        <f>'02_Модель'!Y31</f>
        <v/>
      </c>
      <c r="Z725">
        <f>'02_Модель'!Z31</f>
        <v/>
      </c>
      <c r="AA725">
        <f>'02_Модель'!AA31</f>
        <v/>
      </c>
      <c r="AB725">
        <f>'02_Модель'!AB31</f>
        <v/>
      </c>
      <c r="AC725">
        <f>'02_Модель'!AC31</f>
        <v/>
      </c>
      <c r="AD725">
        <f>'02_Модель'!AD31</f>
        <v/>
      </c>
      <c r="AE725">
        <f>'02_Модель'!AE31</f>
        <v/>
      </c>
      <c r="AF725">
        <f>'02_Модель'!AF31</f>
        <v/>
      </c>
      <c r="AG725">
        <f>'02_Модель'!AG31</f>
        <v/>
      </c>
      <c r="AH725">
        <f>'02_Модель'!AH31</f>
        <v/>
      </c>
      <c r="AI725">
        <f>'02_Модель'!AI31</f>
        <v/>
      </c>
      <c r="AJ725">
        <f>'02_Модель'!AJ31</f>
        <v/>
      </c>
      <c r="AK725">
        <f>'02_Модель'!AK31</f>
        <v/>
      </c>
      <c r="AL725">
        <f>'02_Модель'!AL31</f>
        <v/>
      </c>
      <c r="AM725">
        <f>'02_Модель'!AM31</f>
        <v/>
      </c>
      <c r="AN725">
        <f>'02_Модель'!AN31</f>
        <v/>
      </c>
      <c r="AO725">
        <f>'02_Модель'!AO31</f>
        <v/>
      </c>
      <c r="AP725">
        <f>'02_Модель'!AP31</f>
        <v/>
      </c>
      <c r="AQ725">
        <f>'02_Модель'!AQ31</f>
        <v/>
      </c>
      <c r="AR725">
        <f>'02_Модель'!AR31</f>
        <v/>
      </c>
      <c r="AS725">
        <f>'02_Модель'!AS31</f>
        <v/>
      </c>
      <c r="AT725">
        <f>'02_Модель'!AT31</f>
        <v/>
      </c>
      <c r="AU725">
        <f>'02_Модель'!AU31</f>
        <v/>
      </c>
      <c r="AV725">
        <f>'02_Модель'!AV31</f>
        <v/>
      </c>
      <c r="AW725">
        <f>'02_Модель'!AW31</f>
        <v/>
      </c>
      <c r="AX725">
        <f>'02_Модель'!AX31</f>
        <v/>
      </c>
      <c r="AY725">
        <f>'02_Модель'!AY31</f>
        <v/>
      </c>
      <c r="AZ725">
        <f>'02_Модель'!AZ31</f>
        <v/>
      </c>
      <c r="BA725">
        <f>'02_Модель'!BA31</f>
        <v/>
      </c>
      <c r="BB725">
        <f>'02_Модель'!BB31</f>
        <v/>
      </c>
      <c r="BC725">
        <f>'02_Модель'!BC31</f>
        <v/>
      </c>
      <c r="BD725">
        <f>'02_Модель'!BD31</f>
        <v/>
      </c>
      <c r="BE725">
        <f>'02_Модель'!BE31</f>
        <v/>
      </c>
      <c r="BF725">
        <f>'02_Модель'!BF31</f>
        <v/>
      </c>
      <c r="BG725">
        <f>'02_Модель'!BG31</f>
        <v/>
      </c>
      <c r="BH725">
        <f>'02_Модель'!BH31</f>
        <v/>
      </c>
      <c r="BI725">
        <f>'02_Модель'!BI31</f>
        <v/>
      </c>
    </row>
    <row r="726">
      <c r="B726">
        <f>SUM('19_Расчет_аналитики'!B720:B725)</f>
        <v/>
      </c>
      <c r="C726">
        <f>SUM('19_Расчет_аналитики'!C720:C725)</f>
        <v/>
      </c>
      <c r="D726">
        <f>SUM('19_Расчет_аналитики'!D720:D725)</f>
        <v/>
      </c>
      <c r="E726">
        <f>SUM('19_Расчет_аналитики'!E720:E725)</f>
        <v/>
      </c>
      <c r="F726">
        <f>SUM('19_Расчет_аналитики'!F720:F725)</f>
        <v/>
      </c>
      <c r="G726">
        <f>SUM('19_Расчет_аналитики'!G720:G725)</f>
        <v/>
      </c>
      <c r="H726">
        <f>SUM('19_Расчет_аналитики'!H720:H725)</f>
        <v/>
      </c>
      <c r="I726">
        <f>SUM('19_Расчет_аналитики'!I720:I725)</f>
        <v/>
      </c>
      <c r="J726">
        <f>SUM('19_Расчет_аналитики'!J720:J725)</f>
        <v/>
      </c>
      <c r="K726">
        <f>SUM('19_Расчет_аналитики'!K720:K725)</f>
        <v/>
      </c>
      <c r="L726">
        <f>SUM('19_Расчет_аналитики'!L720:L725)</f>
        <v/>
      </c>
      <c r="M726">
        <f>SUM('19_Расчет_аналитики'!M720:M725)</f>
        <v/>
      </c>
      <c r="N726">
        <f>SUM('19_Расчет_аналитики'!N720:N725)</f>
        <v/>
      </c>
      <c r="O726">
        <f>SUM('19_Расчет_аналитики'!O720:O725)</f>
        <v/>
      </c>
      <c r="P726">
        <f>SUM('19_Расчет_аналитики'!P720:P725)</f>
        <v/>
      </c>
      <c r="Q726">
        <f>SUM('19_Расчет_аналитики'!Q720:Q725)</f>
        <v/>
      </c>
      <c r="R726">
        <f>SUM('19_Расчет_аналитики'!R720:R725)</f>
        <v/>
      </c>
      <c r="S726">
        <f>SUM('19_Расчет_аналитики'!S720:S725)</f>
        <v/>
      </c>
      <c r="T726">
        <f>SUM('19_Расчет_аналитики'!T720:T725)</f>
        <v/>
      </c>
      <c r="U726">
        <f>SUM('19_Расчет_аналитики'!U720:U725)</f>
        <v/>
      </c>
      <c r="V726">
        <f>SUM('19_Расчет_аналитики'!V720:V725)</f>
        <v/>
      </c>
      <c r="W726">
        <f>SUM('19_Расчет_аналитики'!W720:W725)</f>
        <v/>
      </c>
      <c r="X726">
        <f>SUM('19_Расчет_аналитики'!X720:X725)</f>
        <v/>
      </c>
      <c r="Y726">
        <f>SUM('19_Расчет_аналитики'!Y720:Y725)</f>
        <v/>
      </c>
      <c r="Z726">
        <f>SUM('19_Расчет_аналитики'!Z720:Z725)</f>
        <v/>
      </c>
      <c r="AA726">
        <f>SUM('19_Расчет_аналитики'!AA720:AA725)</f>
        <v/>
      </c>
      <c r="AB726">
        <f>SUM('19_Расчет_аналитики'!AB720:AB725)</f>
        <v/>
      </c>
      <c r="AC726">
        <f>SUM('19_Расчет_аналитики'!AC720:AC725)</f>
        <v/>
      </c>
      <c r="AD726">
        <f>SUM('19_Расчет_аналитики'!AD720:AD725)</f>
        <v/>
      </c>
      <c r="AE726">
        <f>SUM('19_Расчет_аналитики'!AE720:AE725)</f>
        <v/>
      </c>
      <c r="AF726">
        <f>SUM('19_Расчет_аналитики'!AF720:AF725)</f>
        <v/>
      </c>
      <c r="AG726">
        <f>SUM('19_Расчет_аналитики'!AG720:AG725)</f>
        <v/>
      </c>
      <c r="AH726">
        <f>SUM('19_Расчет_аналитики'!AH720:AH725)</f>
        <v/>
      </c>
      <c r="AI726">
        <f>SUM('19_Расчет_аналитики'!AI720:AI725)</f>
        <v/>
      </c>
      <c r="AJ726">
        <f>SUM('19_Расчет_аналитики'!AJ720:AJ725)</f>
        <v/>
      </c>
      <c r="AK726">
        <f>SUM('19_Расчет_аналитики'!AK720:AK725)</f>
        <v/>
      </c>
      <c r="AL726">
        <f>SUM('19_Расчет_аналитики'!AL720:AL725)</f>
        <v/>
      </c>
      <c r="AM726">
        <f>SUM('19_Расчет_аналитики'!AM720:AM725)</f>
        <v/>
      </c>
      <c r="AN726">
        <f>SUM('19_Расчет_аналитики'!AN720:AN725)</f>
        <v/>
      </c>
      <c r="AO726">
        <f>SUM('19_Расчет_аналитики'!AO720:AO725)</f>
        <v/>
      </c>
      <c r="AP726">
        <f>SUM('19_Расчет_аналитики'!AP720:AP725)</f>
        <v/>
      </c>
      <c r="AQ726">
        <f>SUM('19_Расчет_аналитики'!AQ720:AQ725)</f>
        <v/>
      </c>
      <c r="AR726">
        <f>SUM('19_Расчет_аналитики'!AR720:AR725)</f>
        <v/>
      </c>
      <c r="AS726">
        <f>SUM('19_Расчет_аналитики'!AS720:AS725)</f>
        <v/>
      </c>
      <c r="AT726">
        <f>SUM('19_Расчет_аналитики'!AT720:AT725)</f>
        <v/>
      </c>
      <c r="AU726">
        <f>SUM('19_Расчет_аналитики'!AU720:AU725)</f>
        <v/>
      </c>
      <c r="AV726">
        <f>SUM('19_Расчет_аналитики'!AV720:AV725)</f>
        <v/>
      </c>
      <c r="AW726">
        <f>SUM('19_Расчет_аналитики'!AW720:AW725)</f>
        <v/>
      </c>
      <c r="AX726">
        <f>SUM('19_Расчет_аналитики'!AX720:AX725)</f>
        <v/>
      </c>
      <c r="AY726">
        <f>SUM('19_Расчет_аналитики'!AY720:AY725)</f>
        <v/>
      </c>
      <c r="AZ726">
        <f>SUM('19_Расчет_аналитики'!AZ720:AZ725)</f>
        <v/>
      </c>
      <c r="BA726">
        <f>SUM('19_Расчет_аналитики'!BA720:BA725)</f>
        <v/>
      </c>
      <c r="BB726">
        <f>SUM('19_Расчет_аналитики'!BB720:BB725)</f>
        <v/>
      </c>
      <c r="BC726">
        <f>SUM('19_Расчет_аналитики'!BC720:BC725)</f>
        <v/>
      </c>
      <c r="BD726">
        <f>SUM('19_Расчет_аналитики'!BD720:BD725)</f>
        <v/>
      </c>
      <c r="BE726">
        <f>SUM('19_Расчет_аналитики'!BE720:BE725)</f>
        <v/>
      </c>
      <c r="BF726">
        <f>SUM('19_Расчет_аналитики'!BF720:BF725)</f>
        <v/>
      </c>
      <c r="BG726">
        <f>SUM('19_Расчет_аналитики'!BG720:BG725)</f>
        <v/>
      </c>
      <c r="BH726">
        <f>SUM('19_Расчет_аналитики'!BH720:BH725)</f>
        <v/>
      </c>
      <c r="BI726">
        <f>SUM('19_Расчет_аналитики'!BI720:BI725)</f>
        <v/>
      </c>
    </row>
    <row r="727">
      <c r="B727">
        <f>'19_Расчет_аналитики'!B717-'19_Расчет_аналитики'!B726</f>
        <v/>
      </c>
      <c r="C727">
        <f>'19_Расчет_аналитики'!C717-'19_Расчет_аналитики'!C726</f>
        <v/>
      </c>
      <c r="D727">
        <f>'19_Расчет_аналитики'!D717-'19_Расчет_аналитики'!D726</f>
        <v/>
      </c>
      <c r="E727">
        <f>'19_Расчет_аналитики'!E717-'19_Расчет_аналитики'!E726</f>
        <v/>
      </c>
      <c r="F727">
        <f>'19_Расчет_аналитики'!F717-'19_Расчет_аналитики'!F726</f>
        <v/>
      </c>
      <c r="G727">
        <f>'19_Расчет_аналитики'!G717-'19_Расчет_аналитики'!G726</f>
        <v/>
      </c>
      <c r="H727">
        <f>'19_Расчет_аналитики'!H717-'19_Расчет_аналитики'!H726</f>
        <v/>
      </c>
      <c r="I727">
        <f>'19_Расчет_аналитики'!I717-'19_Расчет_аналитики'!I726</f>
        <v/>
      </c>
      <c r="J727">
        <f>'19_Расчет_аналитики'!J717-'19_Расчет_аналитики'!J726</f>
        <v/>
      </c>
      <c r="K727">
        <f>'19_Расчет_аналитики'!K717-'19_Расчет_аналитики'!K726</f>
        <v/>
      </c>
      <c r="L727">
        <f>'19_Расчет_аналитики'!L717-'19_Расчет_аналитики'!L726</f>
        <v/>
      </c>
      <c r="M727">
        <f>'19_Расчет_аналитики'!M717-'19_Расчет_аналитики'!M726</f>
        <v/>
      </c>
      <c r="N727">
        <f>'19_Расчет_аналитики'!N717-'19_Расчет_аналитики'!N726</f>
        <v/>
      </c>
      <c r="O727">
        <f>'19_Расчет_аналитики'!O717-'19_Расчет_аналитики'!O726</f>
        <v/>
      </c>
      <c r="P727">
        <f>'19_Расчет_аналитики'!P717-'19_Расчет_аналитики'!P726</f>
        <v/>
      </c>
      <c r="Q727">
        <f>'19_Расчет_аналитики'!Q717-'19_Расчет_аналитики'!Q726</f>
        <v/>
      </c>
      <c r="R727">
        <f>'19_Расчет_аналитики'!R717-'19_Расчет_аналитики'!R726</f>
        <v/>
      </c>
      <c r="S727">
        <f>'19_Расчет_аналитики'!S717-'19_Расчет_аналитики'!S726</f>
        <v/>
      </c>
      <c r="T727">
        <f>'19_Расчет_аналитики'!T717-'19_Расчет_аналитики'!T726</f>
        <v/>
      </c>
      <c r="U727">
        <f>'19_Расчет_аналитики'!U717-'19_Расчет_аналитики'!U726</f>
        <v/>
      </c>
      <c r="V727">
        <f>'19_Расчет_аналитики'!V717-'19_Расчет_аналитики'!V726</f>
        <v/>
      </c>
      <c r="W727">
        <f>'19_Расчет_аналитики'!W717-'19_Расчет_аналитики'!W726</f>
        <v/>
      </c>
      <c r="X727">
        <f>'19_Расчет_аналитики'!X717-'19_Расчет_аналитики'!X726</f>
        <v/>
      </c>
      <c r="Y727">
        <f>'19_Расчет_аналитики'!Y717-'19_Расчет_аналитики'!Y726</f>
        <v/>
      </c>
      <c r="Z727">
        <f>'19_Расчет_аналитики'!Z717-'19_Расчет_аналитики'!Z726</f>
        <v/>
      </c>
      <c r="AA727">
        <f>'19_Расчет_аналитики'!AA717-'19_Расчет_аналитики'!AA726</f>
        <v/>
      </c>
      <c r="AB727">
        <f>'19_Расчет_аналитики'!AB717-'19_Расчет_аналитики'!AB726</f>
        <v/>
      </c>
      <c r="AC727">
        <f>'19_Расчет_аналитики'!AC717-'19_Расчет_аналитики'!AC726</f>
        <v/>
      </c>
      <c r="AD727">
        <f>'19_Расчет_аналитики'!AD717-'19_Расчет_аналитики'!AD726</f>
        <v/>
      </c>
      <c r="AE727">
        <f>'19_Расчет_аналитики'!AE717-'19_Расчет_аналитики'!AE726</f>
        <v/>
      </c>
      <c r="AF727">
        <f>'19_Расчет_аналитики'!AF717-'19_Расчет_аналитики'!AF726</f>
        <v/>
      </c>
      <c r="AG727">
        <f>'19_Расчет_аналитики'!AG717-'19_Расчет_аналитики'!AG726</f>
        <v/>
      </c>
      <c r="AH727">
        <f>'19_Расчет_аналитики'!AH717-'19_Расчет_аналитики'!AH726</f>
        <v/>
      </c>
      <c r="AI727">
        <f>'19_Расчет_аналитики'!AI717-'19_Расчет_аналитики'!AI726</f>
        <v/>
      </c>
      <c r="AJ727">
        <f>'19_Расчет_аналитики'!AJ717-'19_Расчет_аналитики'!AJ726</f>
        <v/>
      </c>
      <c r="AK727">
        <f>'19_Расчет_аналитики'!AK717-'19_Расчет_аналитики'!AK726</f>
        <v/>
      </c>
      <c r="AL727">
        <f>'19_Расчет_аналитики'!AL717-'19_Расчет_аналитики'!AL726</f>
        <v/>
      </c>
      <c r="AM727">
        <f>'19_Расчет_аналитики'!AM717-'19_Расчет_аналитики'!AM726</f>
        <v/>
      </c>
      <c r="AN727">
        <f>'19_Расчет_аналитики'!AN717-'19_Расчет_аналитики'!AN726</f>
        <v/>
      </c>
      <c r="AO727">
        <f>'19_Расчет_аналитики'!AO717-'19_Расчет_аналитики'!AO726</f>
        <v/>
      </c>
      <c r="AP727">
        <f>'19_Расчет_аналитики'!AP717-'19_Расчет_аналитики'!AP726</f>
        <v/>
      </c>
      <c r="AQ727">
        <f>'19_Расчет_аналитики'!AQ717-'19_Расчет_аналитики'!AQ726</f>
        <v/>
      </c>
      <c r="AR727">
        <f>'19_Расчет_аналитики'!AR717-'19_Расчет_аналитики'!AR726</f>
        <v/>
      </c>
      <c r="AS727">
        <f>'19_Расчет_аналитики'!AS717-'19_Расчет_аналитики'!AS726</f>
        <v/>
      </c>
      <c r="AT727">
        <f>'19_Расчет_аналитики'!AT717-'19_Расчет_аналитики'!AT726</f>
        <v/>
      </c>
      <c r="AU727">
        <f>'19_Расчет_аналитики'!AU717-'19_Расчет_аналитики'!AU726</f>
        <v/>
      </c>
      <c r="AV727">
        <f>'19_Расчет_аналитики'!AV717-'19_Расчет_аналитики'!AV726</f>
        <v/>
      </c>
      <c r="AW727">
        <f>'19_Расчет_аналитики'!AW717-'19_Расчет_аналитики'!AW726</f>
        <v/>
      </c>
      <c r="AX727">
        <f>'19_Расчет_аналитики'!AX717-'19_Расчет_аналитики'!AX726</f>
        <v/>
      </c>
      <c r="AY727">
        <f>'19_Расчет_аналитики'!AY717-'19_Расчет_аналитики'!AY726</f>
        <v/>
      </c>
      <c r="AZ727">
        <f>'19_Расчет_аналитики'!AZ717-'19_Расчет_аналитики'!AZ726</f>
        <v/>
      </c>
      <c r="BA727">
        <f>'19_Расчет_аналитики'!BA717-'19_Расчет_аналитики'!BA726</f>
        <v/>
      </c>
      <c r="BB727">
        <f>'19_Расчет_аналитики'!BB717-'19_Расчет_аналитики'!BB726</f>
        <v/>
      </c>
      <c r="BC727">
        <f>'19_Расчет_аналитики'!BC717-'19_Расчет_аналитики'!BC726</f>
        <v/>
      </c>
      <c r="BD727">
        <f>'19_Расчет_аналитики'!BD717-'19_Расчет_аналитики'!BD726</f>
        <v/>
      </c>
      <c r="BE727">
        <f>'19_Расчет_аналитики'!BE717-'19_Расчет_аналитики'!BE726</f>
        <v/>
      </c>
      <c r="BF727">
        <f>'19_Расчет_аналитики'!BF717-'19_Расчет_аналитики'!BF726</f>
        <v/>
      </c>
      <c r="BG727">
        <f>'19_Расчет_аналитики'!BG717-'19_Расчет_аналитики'!BG726</f>
        <v/>
      </c>
      <c r="BH727">
        <f>'19_Расчет_аналитики'!BH717-'19_Расчет_аналитики'!BH726</f>
        <v/>
      </c>
      <c r="BI727">
        <f>'19_Расчет_аналитики'!BI717-'19_Расчет_аналитики'!BI726</f>
        <v/>
      </c>
    </row>
    <row r="728"/>
    <row r="729"/>
    <row r="730">
      <c r="B730">
        <f>'02_Модель'!B36</f>
        <v/>
      </c>
      <c r="C730">
        <f>'19_Расчет_аналитики'!C665</f>
        <v/>
      </c>
      <c r="D730">
        <f>'19_Расчет_аналитики'!D665</f>
        <v/>
      </c>
      <c r="E730">
        <f>'19_Расчет_аналитики'!E665</f>
        <v/>
      </c>
      <c r="F730">
        <f>'19_Расчет_аналитики'!F665</f>
        <v/>
      </c>
      <c r="G730">
        <f>'19_Расчет_аналитики'!G665</f>
        <v/>
      </c>
      <c r="H730">
        <f>'19_Расчет_аналитики'!H665</f>
        <v/>
      </c>
      <c r="I730">
        <f>'19_Расчет_аналитики'!I665</f>
        <v/>
      </c>
      <c r="J730">
        <f>'19_Расчет_аналитики'!J665</f>
        <v/>
      </c>
      <c r="K730">
        <f>'19_Расчет_аналитики'!K665</f>
        <v/>
      </c>
      <c r="L730">
        <f>'19_Расчет_аналитики'!L665</f>
        <v/>
      </c>
      <c r="M730">
        <f>'19_Расчет_аналитики'!M665</f>
        <v/>
      </c>
      <c r="N730">
        <f>'19_Расчет_аналитики'!N665</f>
        <v/>
      </c>
      <c r="O730">
        <f>'19_Расчет_аналитики'!O665</f>
        <v/>
      </c>
      <c r="P730">
        <f>'19_Расчет_аналитики'!P665</f>
        <v/>
      </c>
      <c r="Q730">
        <f>'19_Расчет_аналитики'!Q665</f>
        <v/>
      </c>
      <c r="R730">
        <f>'19_Расчет_аналитики'!R665</f>
        <v/>
      </c>
      <c r="S730">
        <f>'19_Расчет_аналитики'!S665</f>
        <v/>
      </c>
      <c r="T730">
        <f>'19_Расчет_аналитики'!T665</f>
        <v/>
      </c>
      <c r="U730">
        <f>'19_Расчет_аналитики'!U665</f>
        <v/>
      </c>
      <c r="V730">
        <f>'19_Расчет_аналитики'!V665</f>
        <v/>
      </c>
      <c r="W730">
        <f>'19_Расчет_аналитики'!W665</f>
        <v/>
      </c>
      <c r="X730">
        <f>'19_Расчет_аналитики'!X665</f>
        <v/>
      </c>
      <c r="Y730">
        <f>'19_Расчет_аналитики'!Y665</f>
        <v/>
      </c>
      <c r="Z730">
        <f>'19_Расчет_аналитики'!Z665</f>
        <v/>
      </c>
      <c r="AA730">
        <f>'19_Расчет_аналитики'!AA665</f>
        <v/>
      </c>
      <c r="AB730">
        <f>'19_Расчет_аналитики'!AB665</f>
        <v/>
      </c>
      <c r="AC730">
        <f>'19_Расчет_аналитики'!AC665</f>
        <v/>
      </c>
      <c r="AD730">
        <f>'19_Расчет_аналитики'!AD665</f>
        <v/>
      </c>
      <c r="AE730">
        <f>'19_Расчет_аналитики'!AE665</f>
        <v/>
      </c>
      <c r="AF730">
        <f>'19_Расчет_аналитики'!AF665</f>
        <v/>
      </c>
      <c r="AG730">
        <f>'19_Расчет_аналитики'!AG665</f>
        <v/>
      </c>
      <c r="AH730">
        <f>'19_Расчет_аналитики'!AH665</f>
        <v/>
      </c>
      <c r="AI730">
        <f>'19_Расчет_аналитики'!AI665</f>
        <v/>
      </c>
      <c r="AJ730">
        <f>'19_Расчет_аналитики'!AJ665</f>
        <v/>
      </c>
      <c r="AK730">
        <f>'19_Расчет_аналитики'!AK665</f>
        <v/>
      </c>
      <c r="AL730">
        <f>'19_Расчет_аналитики'!AL665</f>
        <v/>
      </c>
      <c r="AM730">
        <f>'19_Расчет_аналитики'!AM665</f>
        <v/>
      </c>
      <c r="AN730">
        <f>'19_Расчет_аналитики'!AN665</f>
        <v/>
      </c>
      <c r="AO730">
        <f>'19_Расчет_аналитики'!AO665</f>
        <v/>
      </c>
      <c r="AP730">
        <f>'19_Расчет_аналитики'!AP665</f>
        <v/>
      </c>
      <c r="AQ730">
        <f>'19_Расчет_аналитики'!AQ665</f>
        <v/>
      </c>
      <c r="AR730">
        <f>'19_Расчет_аналитики'!AR665</f>
        <v/>
      </c>
      <c r="AS730">
        <f>'19_Расчет_аналитики'!AS665</f>
        <v/>
      </c>
      <c r="AT730">
        <f>'19_Расчет_аналитики'!AT665</f>
        <v/>
      </c>
      <c r="AU730">
        <f>'19_Расчет_аналитики'!AU665</f>
        <v/>
      </c>
      <c r="AV730">
        <f>'19_Расчет_аналитики'!AV665</f>
        <v/>
      </c>
      <c r="AW730">
        <f>'19_Расчет_аналитики'!AW665</f>
        <v/>
      </c>
      <c r="AX730">
        <f>'19_Расчет_аналитики'!AX665</f>
        <v/>
      </c>
      <c r="AY730">
        <f>'19_Расчет_аналитики'!AY665</f>
        <v/>
      </c>
      <c r="AZ730">
        <f>'19_Расчет_аналитики'!AZ665</f>
        <v/>
      </c>
      <c r="BA730">
        <f>'19_Расчет_аналитики'!BA665</f>
        <v/>
      </c>
      <c r="BB730">
        <f>'19_Расчет_аналитики'!BB665</f>
        <v/>
      </c>
      <c r="BC730">
        <f>'19_Расчет_аналитики'!BC665</f>
        <v/>
      </c>
      <c r="BD730">
        <f>'19_Расчет_аналитики'!BD665</f>
        <v/>
      </c>
      <c r="BE730">
        <f>'19_Расчет_аналитики'!BE665</f>
        <v/>
      </c>
      <c r="BF730">
        <f>'19_Расчет_аналитики'!BF665</f>
        <v/>
      </c>
      <c r="BG730">
        <f>'19_Расчет_аналитики'!BG665</f>
        <v/>
      </c>
      <c r="BH730">
        <f>'19_Расчет_аналитики'!BH665</f>
        <v/>
      </c>
      <c r="BI730">
        <f>'19_Расчет_аналитики'!BI665</f>
        <v/>
      </c>
    </row>
    <row r="731">
      <c r="B731">
        <f>('01_Вводные'!$B$105+(MAX(0,'06_Сеть_и_дети'!B11-'01_Вводные'!$B$106)+'19_Расчет_аналитики'!B399)*'01_Вводные'!$B$107)*'18_Календарь_тарифы'!B4</f>
        <v/>
      </c>
      <c r="C731">
        <f>('01_Вводные'!$B$105+(MAX(0,'06_Сеть_и_дети'!C11-'01_Вводные'!$B$106)+'19_Расчет_аналитики'!C399)*'01_Вводные'!$B$107)*'18_Календарь_тарифы'!C4</f>
        <v/>
      </c>
      <c r="D731">
        <f>('01_Вводные'!$B$105+(MAX(0,'06_Сеть_и_дети'!D11-'01_Вводные'!$B$106)+'19_Расчет_аналитики'!D399)*'01_Вводные'!$B$107)*'18_Календарь_тарифы'!D4</f>
        <v/>
      </c>
      <c r="E731">
        <f>('01_Вводные'!$B$105+(MAX(0,'06_Сеть_и_дети'!E11-'01_Вводные'!$B$106)+'19_Расчет_аналитики'!E399)*'01_Вводные'!$B$107)*'18_Календарь_тарифы'!E4</f>
        <v/>
      </c>
      <c r="F731">
        <f>('01_Вводные'!$B$105+(MAX(0,'06_Сеть_и_дети'!F11-'01_Вводные'!$B$106)+'19_Расчет_аналитики'!F399)*'01_Вводные'!$B$107)*'18_Календарь_тарифы'!F4</f>
        <v/>
      </c>
      <c r="G731">
        <f>('01_Вводные'!$B$105+(MAX(0,'06_Сеть_и_дети'!G11-'01_Вводные'!$B$106)+'19_Расчет_аналитики'!G399)*'01_Вводные'!$B$107)*'18_Календарь_тарифы'!G4</f>
        <v/>
      </c>
      <c r="H731">
        <f>('01_Вводные'!$B$105+(MAX(0,'06_Сеть_и_дети'!H11-'01_Вводные'!$B$106)+'19_Расчет_аналитики'!H399)*'01_Вводные'!$B$107)*'18_Календарь_тарифы'!H4</f>
        <v/>
      </c>
      <c r="I731">
        <f>('01_Вводные'!$B$105+(MAX(0,'06_Сеть_и_дети'!I11-'01_Вводные'!$B$106)+'19_Расчет_аналитики'!I399)*'01_Вводные'!$B$107)*'18_Календарь_тарифы'!I4</f>
        <v/>
      </c>
      <c r="J731">
        <f>('01_Вводные'!$B$105+(MAX(0,'06_Сеть_и_дети'!J11-'01_Вводные'!$B$106)+'19_Расчет_аналитики'!J399)*'01_Вводные'!$B$107)*'18_Календарь_тарифы'!J4</f>
        <v/>
      </c>
      <c r="K731">
        <f>('01_Вводные'!$B$105+(MAX(0,'06_Сеть_и_дети'!K11-'01_Вводные'!$B$106)+'19_Расчет_аналитики'!K399)*'01_Вводные'!$B$107)*'18_Календарь_тарифы'!K4</f>
        <v/>
      </c>
      <c r="L731">
        <f>('01_Вводные'!$B$105+(MAX(0,'06_Сеть_и_дети'!L11-'01_Вводные'!$B$106)+'19_Расчет_аналитики'!L399)*'01_Вводные'!$B$107)*'18_Календарь_тарифы'!L4</f>
        <v/>
      </c>
      <c r="M731">
        <f>('01_Вводные'!$B$105+(MAX(0,'06_Сеть_и_дети'!M11-'01_Вводные'!$B$106)+'19_Расчет_аналитики'!M399)*'01_Вводные'!$B$107)*'18_Календарь_тарифы'!M4</f>
        <v/>
      </c>
      <c r="N731">
        <f>('01_Вводные'!$B$105+(MAX(0,'06_Сеть_и_дети'!N11-'01_Вводные'!$B$106)+'19_Расчет_аналитики'!N399)*'01_Вводные'!$B$107)*'18_Календарь_тарифы'!N4</f>
        <v/>
      </c>
      <c r="O731">
        <f>('01_Вводные'!$B$105+(MAX(0,'06_Сеть_и_дети'!O11-'01_Вводные'!$B$106)+'19_Расчет_аналитики'!O399)*'01_Вводные'!$B$107)*'18_Календарь_тарифы'!O4</f>
        <v/>
      </c>
      <c r="P731">
        <f>('01_Вводные'!$B$105+(MAX(0,'06_Сеть_и_дети'!P11-'01_Вводные'!$B$106)+'19_Расчет_аналитики'!P399)*'01_Вводные'!$B$107)*'18_Календарь_тарифы'!P4</f>
        <v/>
      </c>
      <c r="Q731">
        <f>('01_Вводные'!$B$105+(MAX(0,'06_Сеть_и_дети'!Q11-'01_Вводные'!$B$106)+'19_Расчет_аналитики'!Q399)*'01_Вводные'!$B$107)*'18_Календарь_тарифы'!Q4</f>
        <v/>
      </c>
      <c r="R731">
        <f>('01_Вводные'!$B$105+(MAX(0,'06_Сеть_и_дети'!R11-'01_Вводные'!$B$106)+'19_Расчет_аналитики'!R399)*'01_Вводные'!$B$107)*'18_Календарь_тарифы'!R4</f>
        <v/>
      </c>
      <c r="S731">
        <f>('01_Вводные'!$B$105+(MAX(0,'06_Сеть_и_дети'!S11-'01_Вводные'!$B$106)+'19_Расчет_аналитики'!S399)*'01_Вводные'!$B$107)*'18_Календарь_тарифы'!S4</f>
        <v/>
      </c>
      <c r="T731">
        <f>('01_Вводные'!$B$105+(MAX(0,'06_Сеть_и_дети'!T11-'01_Вводные'!$B$106)+'19_Расчет_аналитики'!T399)*'01_Вводные'!$B$107)*'18_Календарь_тарифы'!T4</f>
        <v/>
      </c>
      <c r="U731">
        <f>('01_Вводные'!$B$105+(MAX(0,'06_Сеть_и_дети'!U11-'01_Вводные'!$B$106)+'19_Расчет_аналитики'!U399)*'01_Вводные'!$B$107)*'18_Календарь_тарифы'!U4</f>
        <v/>
      </c>
      <c r="V731">
        <f>('01_Вводные'!$B$105+(MAX(0,'06_Сеть_и_дети'!V11-'01_Вводные'!$B$106)+'19_Расчет_аналитики'!V399)*'01_Вводные'!$B$107)*'18_Календарь_тарифы'!V4</f>
        <v/>
      </c>
      <c r="W731">
        <f>('01_Вводные'!$B$105+(MAX(0,'06_Сеть_и_дети'!W11-'01_Вводные'!$B$106)+'19_Расчет_аналитики'!W399)*'01_Вводные'!$B$107)*'18_Календарь_тарифы'!W4</f>
        <v/>
      </c>
      <c r="X731">
        <f>('01_Вводные'!$B$105+(MAX(0,'06_Сеть_и_дети'!X11-'01_Вводные'!$B$106)+'19_Расчет_аналитики'!X399)*'01_Вводные'!$B$107)*'18_Календарь_тарифы'!X4</f>
        <v/>
      </c>
      <c r="Y731">
        <f>('01_Вводные'!$B$105+(MAX(0,'06_Сеть_и_дети'!Y11-'01_Вводные'!$B$106)+'19_Расчет_аналитики'!Y399)*'01_Вводные'!$B$107)*'18_Календарь_тарифы'!Y4</f>
        <v/>
      </c>
      <c r="Z731">
        <f>('01_Вводные'!$B$105+(MAX(0,'06_Сеть_и_дети'!Z11-'01_Вводные'!$B$106)+'19_Расчет_аналитики'!Z399)*'01_Вводные'!$B$107)*'18_Календарь_тарифы'!Z4</f>
        <v/>
      </c>
      <c r="AA731">
        <f>('01_Вводные'!$B$105+(MAX(0,'06_Сеть_и_дети'!AA11-'01_Вводные'!$B$106)+'19_Расчет_аналитики'!AA399)*'01_Вводные'!$B$107)*'18_Календарь_тарифы'!AA4</f>
        <v/>
      </c>
      <c r="AB731">
        <f>('01_Вводные'!$B$105+(MAX(0,'06_Сеть_и_дети'!AB11-'01_Вводные'!$B$106)+'19_Расчет_аналитики'!AB399)*'01_Вводные'!$B$107)*'18_Календарь_тарифы'!AB4</f>
        <v/>
      </c>
      <c r="AC731">
        <f>('01_Вводные'!$B$105+(MAX(0,'06_Сеть_и_дети'!AC11-'01_Вводные'!$B$106)+'19_Расчет_аналитики'!AC399)*'01_Вводные'!$B$107)*'18_Календарь_тарифы'!AC4</f>
        <v/>
      </c>
      <c r="AD731">
        <f>('01_Вводные'!$B$105+(MAX(0,'06_Сеть_и_дети'!AD11-'01_Вводные'!$B$106)+'19_Расчет_аналитики'!AD399)*'01_Вводные'!$B$107)*'18_Календарь_тарифы'!AD4</f>
        <v/>
      </c>
      <c r="AE731">
        <f>('01_Вводные'!$B$105+(MAX(0,'06_Сеть_и_дети'!AE11-'01_Вводные'!$B$106)+'19_Расчет_аналитики'!AE399)*'01_Вводные'!$B$107)*'18_Календарь_тарифы'!AE4</f>
        <v/>
      </c>
      <c r="AF731">
        <f>('01_Вводные'!$B$105+(MAX(0,'06_Сеть_и_дети'!AF11-'01_Вводные'!$B$106)+'19_Расчет_аналитики'!AF399)*'01_Вводные'!$B$107)*'18_Календарь_тарифы'!AF4</f>
        <v/>
      </c>
      <c r="AG731">
        <f>('01_Вводные'!$B$105+(MAX(0,'06_Сеть_и_дети'!AG11-'01_Вводные'!$B$106)+'19_Расчет_аналитики'!AG399)*'01_Вводные'!$B$107)*'18_Календарь_тарифы'!AG4</f>
        <v/>
      </c>
      <c r="AH731">
        <f>('01_Вводные'!$B$105+(MAX(0,'06_Сеть_и_дети'!AH11-'01_Вводные'!$B$106)+'19_Расчет_аналитики'!AH399)*'01_Вводные'!$B$107)*'18_Календарь_тарифы'!AH4</f>
        <v/>
      </c>
      <c r="AI731">
        <f>('01_Вводные'!$B$105+(MAX(0,'06_Сеть_и_дети'!AI11-'01_Вводные'!$B$106)+'19_Расчет_аналитики'!AI399)*'01_Вводные'!$B$107)*'18_Календарь_тарифы'!AI4</f>
        <v/>
      </c>
      <c r="AJ731">
        <f>('01_Вводные'!$B$105+(MAX(0,'06_Сеть_и_дети'!AJ11-'01_Вводные'!$B$106)+'19_Расчет_аналитики'!AJ399)*'01_Вводные'!$B$107)*'18_Календарь_тарифы'!AJ4</f>
        <v/>
      </c>
      <c r="AK731">
        <f>('01_Вводные'!$B$105+(MAX(0,'06_Сеть_и_дети'!AK11-'01_Вводные'!$B$106)+'19_Расчет_аналитики'!AK399)*'01_Вводные'!$B$107)*'18_Календарь_тарифы'!AK4</f>
        <v/>
      </c>
      <c r="AL731">
        <f>('01_Вводные'!$B$105+(MAX(0,'06_Сеть_и_дети'!AL11-'01_Вводные'!$B$106)+'19_Расчет_аналитики'!AL399)*'01_Вводные'!$B$107)*'18_Календарь_тарифы'!AL4</f>
        <v/>
      </c>
      <c r="AM731">
        <f>('01_Вводные'!$B$105+(MAX(0,'06_Сеть_и_дети'!AM11-'01_Вводные'!$B$106)+'19_Расчет_аналитики'!AM399)*'01_Вводные'!$B$107)*'18_Календарь_тарифы'!AM4</f>
        <v/>
      </c>
      <c r="AN731">
        <f>('01_Вводные'!$B$105+(MAX(0,'06_Сеть_и_дети'!AN11-'01_Вводные'!$B$106)+'19_Расчет_аналитики'!AN399)*'01_Вводные'!$B$107)*'18_Календарь_тарифы'!AN4</f>
        <v/>
      </c>
      <c r="AO731">
        <f>('01_Вводные'!$B$105+(MAX(0,'06_Сеть_и_дети'!AO11-'01_Вводные'!$B$106)+'19_Расчет_аналитики'!AO399)*'01_Вводные'!$B$107)*'18_Календарь_тарифы'!AO4</f>
        <v/>
      </c>
      <c r="AP731">
        <f>('01_Вводные'!$B$105+(MAX(0,'06_Сеть_и_дети'!AP11-'01_Вводные'!$B$106)+'19_Расчет_аналитики'!AP399)*'01_Вводные'!$B$107)*'18_Календарь_тарифы'!AP4</f>
        <v/>
      </c>
      <c r="AQ731">
        <f>('01_Вводные'!$B$105+(MAX(0,'06_Сеть_и_дети'!AQ11-'01_Вводные'!$B$106)+'19_Расчет_аналитики'!AQ399)*'01_Вводные'!$B$107)*'18_Календарь_тарифы'!AQ4</f>
        <v/>
      </c>
      <c r="AR731">
        <f>('01_Вводные'!$B$105+(MAX(0,'06_Сеть_и_дети'!AR11-'01_Вводные'!$B$106)+'19_Расчет_аналитики'!AR399)*'01_Вводные'!$B$107)*'18_Календарь_тарифы'!AR4</f>
        <v/>
      </c>
      <c r="AS731">
        <f>('01_Вводные'!$B$105+(MAX(0,'06_Сеть_и_дети'!AS11-'01_Вводные'!$B$106)+'19_Расчет_аналитики'!AS399)*'01_Вводные'!$B$107)*'18_Календарь_тарифы'!AS4</f>
        <v/>
      </c>
      <c r="AT731">
        <f>('01_Вводные'!$B$105+(MAX(0,'06_Сеть_и_дети'!AT11-'01_Вводные'!$B$106)+'19_Расчет_аналитики'!AT399)*'01_Вводные'!$B$107)*'18_Календарь_тарифы'!AT4</f>
        <v/>
      </c>
      <c r="AU731">
        <f>('01_Вводные'!$B$105+(MAX(0,'06_Сеть_и_дети'!AU11-'01_Вводные'!$B$106)+'19_Расчет_аналитики'!AU399)*'01_Вводные'!$B$107)*'18_Календарь_тарифы'!AU4</f>
        <v/>
      </c>
      <c r="AV731">
        <f>('01_Вводные'!$B$105+(MAX(0,'06_Сеть_и_дети'!AV11-'01_Вводные'!$B$106)+'19_Расчет_аналитики'!AV399)*'01_Вводные'!$B$107)*'18_Календарь_тарифы'!AV4</f>
        <v/>
      </c>
      <c r="AW731">
        <f>('01_Вводные'!$B$105+(MAX(0,'06_Сеть_и_дети'!AW11-'01_Вводные'!$B$106)+'19_Расчет_аналитики'!AW399)*'01_Вводные'!$B$107)*'18_Календарь_тарифы'!AW4</f>
        <v/>
      </c>
      <c r="AX731">
        <f>('01_Вводные'!$B$105+(MAX(0,'06_Сеть_и_дети'!AX11-'01_Вводные'!$B$106)+'19_Расчет_аналитики'!AX399)*'01_Вводные'!$B$107)*'18_Календарь_тарифы'!AX4</f>
        <v/>
      </c>
      <c r="AY731">
        <f>('01_Вводные'!$B$105+(MAX(0,'06_Сеть_и_дети'!AY11-'01_Вводные'!$B$106)+'19_Расчет_аналитики'!AY399)*'01_Вводные'!$B$107)*'18_Календарь_тарифы'!AY4</f>
        <v/>
      </c>
      <c r="AZ731">
        <f>('01_Вводные'!$B$105+(MAX(0,'06_Сеть_и_дети'!AZ11-'01_Вводные'!$B$106)+'19_Расчет_аналитики'!AZ399)*'01_Вводные'!$B$107)*'18_Календарь_тарифы'!AZ4</f>
        <v/>
      </c>
      <c r="BA731">
        <f>('01_Вводные'!$B$105+(MAX(0,'06_Сеть_и_дети'!BA11-'01_Вводные'!$B$106)+'19_Расчет_аналитики'!BA399)*'01_Вводные'!$B$107)*'18_Календарь_тарифы'!BA4</f>
        <v/>
      </c>
      <c r="BB731">
        <f>('01_Вводные'!$B$105+(MAX(0,'06_Сеть_и_дети'!BB11-'01_Вводные'!$B$106)+'19_Расчет_аналитики'!BB399)*'01_Вводные'!$B$107)*'18_Календарь_тарифы'!BB4</f>
        <v/>
      </c>
      <c r="BC731">
        <f>('01_Вводные'!$B$105+(MAX(0,'06_Сеть_и_дети'!BC11-'01_Вводные'!$B$106)+'19_Расчет_аналитики'!BC399)*'01_Вводные'!$B$107)*'18_Календарь_тарифы'!BC4</f>
        <v/>
      </c>
      <c r="BD731">
        <f>('01_Вводные'!$B$105+(MAX(0,'06_Сеть_и_дети'!BD11-'01_Вводные'!$B$106)+'19_Расчет_аналитики'!BD399)*'01_Вводные'!$B$107)*'18_Календарь_тарифы'!BD4</f>
        <v/>
      </c>
      <c r="BE731">
        <f>('01_Вводные'!$B$105+(MAX(0,'06_Сеть_и_дети'!BE11-'01_Вводные'!$B$106)+'19_Расчет_аналитики'!BE399)*'01_Вводные'!$B$107)*'18_Календарь_тарифы'!BE4</f>
        <v/>
      </c>
      <c r="BF731">
        <f>('01_Вводные'!$B$105+(MAX(0,'06_Сеть_и_дети'!BF11-'01_Вводные'!$B$106)+'19_Расчет_аналитики'!BF399)*'01_Вводные'!$B$107)*'18_Календарь_тарифы'!BF4</f>
        <v/>
      </c>
      <c r="BG731">
        <f>('01_Вводные'!$B$105+(MAX(0,'06_Сеть_и_дети'!BG11-'01_Вводные'!$B$106)+'19_Расчет_аналитики'!BG399)*'01_Вводные'!$B$107)*'18_Календарь_тарифы'!BG4</f>
        <v/>
      </c>
      <c r="BH731">
        <f>('01_Вводные'!$B$105+(MAX(0,'06_Сеть_и_дети'!BH11-'01_Вводные'!$B$106)+'19_Расчет_аналитики'!BH399)*'01_Вводные'!$B$107)*'18_Календарь_тарифы'!BH4</f>
        <v/>
      </c>
      <c r="BI731">
        <f>('01_Вводные'!$B$105+(MAX(0,'06_Сеть_и_дети'!BI11-'01_Вводные'!$B$106)+'19_Расчет_аналитики'!BI399)*'01_Вводные'!$B$107)*'18_Календарь_тарифы'!BI4</f>
        <v/>
      </c>
    </row>
    <row r="732">
      <c r="B732">
        <f>'02_Модель'!B38</f>
        <v/>
      </c>
      <c r="C732">
        <f>'02_Модель'!C38</f>
        <v/>
      </c>
      <c r="D732">
        <f>'02_Модель'!D38</f>
        <v/>
      </c>
      <c r="E732">
        <f>'02_Модель'!E38</f>
        <v/>
      </c>
      <c r="F732">
        <f>'02_Модель'!F38</f>
        <v/>
      </c>
      <c r="G732">
        <f>'02_Модель'!G38</f>
        <v/>
      </c>
      <c r="H732">
        <f>'02_Модель'!H38</f>
        <v/>
      </c>
      <c r="I732">
        <f>'02_Модель'!I38</f>
        <v/>
      </c>
      <c r="J732">
        <f>'02_Модель'!J38</f>
        <v/>
      </c>
      <c r="K732">
        <f>'02_Модель'!K38</f>
        <v/>
      </c>
      <c r="L732">
        <f>'02_Модель'!L38</f>
        <v/>
      </c>
      <c r="M732">
        <f>'02_Модель'!M38</f>
        <v/>
      </c>
      <c r="N732">
        <f>'02_Модель'!N38</f>
        <v/>
      </c>
      <c r="O732">
        <f>'02_Модель'!O38</f>
        <v/>
      </c>
      <c r="P732">
        <f>'02_Модель'!P38</f>
        <v/>
      </c>
      <c r="Q732">
        <f>'02_Модель'!Q38</f>
        <v/>
      </c>
      <c r="R732">
        <f>'02_Модель'!R38</f>
        <v/>
      </c>
      <c r="S732">
        <f>'02_Модель'!S38</f>
        <v/>
      </c>
      <c r="T732">
        <f>'02_Модель'!T38</f>
        <v/>
      </c>
      <c r="U732">
        <f>'02_Модель'!U38</f>
        <v/>
      </c>
      <c r="V732">
        <f>'02_Модель'!V38</f>
        <v/>
      </c>
      <c r="W732">
        <f>'02_Модель'!W38</f>
        <v/>
      </c>
      <c r="X732">
        <f>'02_Модель'!X38</f>
        <v/>
      </c>
      <c r="Y732">
        <f>'02_Модель'!Y38</f>
        <v/>
      </c>
      <c r="Z732">
        <f>'02_Модель'!Z38</f>
        <v/>
      </c>
      <c r="AA732">
        <f>'02_Модель'!AA38</f>
        <v/>
      </c>
      <c r="AB732">
        <f>'02_Модель'!AB38</f>
        <v/>
      </c>
      <c r="AC732">
        <f>'02_Модель'!AC38</f>
        <v/>
      </c>
      <c r="AD732">
        <f>'02_Модель'!AD38</f>
        <v/>
      </c>
      <c r="AE732">
        <f>'02_Модель'!AE38</f>
        <v/>
      </c>
      <c r="AF732">
        <f>'02_Модель'!AF38</f>
        <v/>
      </c>
      <c r="AG732">
        <f>'02_Модель'!AG38</f>
        <v/>
      </c>
      <c r="AH732">
        <f>'02_Модель'!AH38</f>
        <v/>
      </c>
      <c r="AI732">
        <f>'02_Модель'!AI38</f>
        <v/>
      </c>
      <c r="AJ732">
        <f>'02_Модель'!AJ38</f>
        <v/>
      </c>
      <c r="AK732">
        <f>'02_Модель'!AK38</f>
        <v/>
      </c>
      <c r="AL732">
        <f>'02_Модель'!AL38</f>
        <v/>
      </c>
      <c r="AM732">
        <f>'02_Модель'!AM38</f>
        <v/>
      </c>
      <c r="AN732">
        <f>'02_Модель'!AN38</f>
        <v/>
      </c>
      <c r="AO732">
        <f>'02_Модель'!AO38</f>
        <v/>
      </c>
      <c r="AP732">
        <f>'02_Модель'!AP38</f>
        <v/>
      </c>
      <c r="AQ732">
        <f>'02_Модель'!AQ38</f>
        <v/>
      </c>
      <c r="AR732">
        <f>'02_Модель'!AR38</f>
        <v/>
      </c>
      <c r="AS732">
        <f>'02_Модель'!AS38</f>
        <v/>
      </c>
      <c r="AT732">
        <f>'02_Модель'!AT38</f>
        <v/>
      </c>
      <c r="AU732">
        <f>'02_Модель'!AU38</f>
        <v/>
      </c>
      <c r="AV732">
        <f>'02_Модель'!AV38</f>
        <v/>
      </c>
      <c r="AW732">
        <f>'02_Модель'!AW38</f>
        <v/>
      </c>
      <c r="AX732">
        <f>'02_Модель'!AX38</f>
        <v/>
      </c>
      <c r="AY732">
        <f>'02_Модель'!AY38</f>
        <v/>
      </c>
      <c r="AZ732">
        <f>'02_Модель'!AZ38</f>
        <v/>
      </c>
      <c r="BA732">
        <f>'02_Модель'!BA38</f>
        <v/>
      </c>
      <c r="BB732">
        <f>'02_Модель'!BB38</f>
        <v/>
      </c>
      <c r="BC732">
        <f>'02_Модель'!BC38</f>
        <v/>
      </c>
      <c r="BD732">
        <f>'02_Модель'!BD38</f>
        <v/>
      </c>
      <c r="BE732">
        <f>'02_Модель'!BE38</f>
        <v/>
      </c>
      <c r="BF732">
        <f>'02_Модель'!BF38</f>
        <v/>
      </c>
      <c r="BG732">
        <f>'02_Модель'!BG38</f>
        <v/>
      </c>
      <c r="BH732">
        <f>'02_Модель'!BH38</f>
        <v/>
      </c>
      <c r="BI732">
        <f>'02_Модель'!BI38</f>
        <v/>
      </c>
    </row>
    <row r="733">
      <c r="B733">
        <f>'02_Модель'!B39</f>
        <v/>
      </c>
      <c r="C733">
        <f>'02_Модель'!C39</f>
        <v/>
      </c>
      <c r="D733">
        <f>'02_Модель'!D39</f>
        <v/>
      </c>
      <c r="E733">
        <f>'02_Модель'!E39</f>
        <v/>
      </c>
      <c r="F733">
        <f>'02_Модель'!F39</f>
        <v/>
      </c>
      <c r="G733">
        <f>'02_Модель'!G39</f>
        <v/>
      </c>
      <c r="H733">
        <f>'02_Модель'!H39</f>
        <v/>
      </c>
      <c r="I733">
        <f>'02_Модель'!I39</f>
        <v/>
      </c>
      <c r="J733">
        <f>'02_Модель'!J39</f>
        <v/>
      </c>
      <c r="K733">
        <f>'02_Модель'!K39</f>
        <v/>
      </c>
      <c r="L733">
        <f>'02_Модель'!L39</f>
        <v/>
      </c>
      <c r="M733">
        <f>'02_Модель'!M39</f>
        <v/>
      </c>
      <c r="N733">
        <f>'02_Модель'!N39</f>
        <v/>
      </c>
      <c r="O733">
        <f>'02_Модель'!O39</f>
        <v/>
      </c>
      <c r="P733">
        <f>'02_Модель'!P39</f>
        <v/>
      </c>
      <c r="Q733">
        <f>'02_Модель'!Q39</f>
        <v/>
      </c>
      <c r="R733">
        <f>'02_Модель'!R39</f>
        <v/>
      </c>
      <c r="S733">
        <f>'02_Модель'!S39</f>
        <v/>
      </c>
      <c r="T733">
        <f>'02_Модель'!T39</f>
        <v/>
      </c>
      <c r="U733">
        <f>'02_Модель'!U39</f>
        <v/>
      </c>
      <c r="V733">
        <f>'02_Модель'!V39</f>
        <v/>
      </c>
      <c r="W733">
        <f>'02_Модель'!W39</f>
        <v/>
      </c>
      <c r="X733">
        <f>'02_Модель'!X39</f>
        <v/>
      </c>
      <c r="Y733">
        <f>'02_Модель'!Y39</f>
        <v/>
      </c>
      <c r="Z733">
        <f>'02_Модель'!Z39</f>
        <v/>
      </c>
      <c r="AA733">
        <f>'02_Модель'!AA39</f>
        <v/>
      </c>
      <c r="AB733">
        <f>'02_Модель'!AB39</f>
        <v/>
      </c>
      <c r="AC733">
        <f>'02_Модель'!AC39</f>
        <v/>
      </c>
      <c r="AD733">
        <f>'02_Модель'!AD39</f>
        <v/>
      </c>
      <c r="AE733">
        <f>'02_Модель'!AE39</f>
        <v/>
      </c>
      <c r="AF733">
        <f>'02_Модель'!AF39</f>
        <v/>
      </c>
      <c r="AG733">
        <f>'02_Модель'!AG39</f>
        <v/>
      </c>
      <c r="AH733">
        <f>'02_Модель'!AH39</f>
        <v/>
      </c>
      <c r="AI733">
        <f>'02_Модель'!AI39</f>
        <v/>
      </c>
      <c r="AJ733">
        <f>'02_Модель'!AJ39</f>
        <v/>
      </c>
      <c r="AK733">
        <f>'02_Модель'!AK39</f>
        <v/>
      </c>
      <c r="AL733">
        <f>'02_Модель'!AL39</f>
        <v/>
      </c>
      <c r="AM733">
        <f>'02_Модель'!AM39</f>
        <v/>
      </c>
      <c r="AN733">
        <f>'02_Модель'!AN39</f>
        <v/>
      </c>
      <c r="AO733">
        <f>'02_Модель'!AO39</f>
        <v/>
      </c>
      <c r="AP733">
        <f>'02_Модель'!AP39</f>
        <v/>
      </c>
      <c r="AQ733">
        <f>'02_Модель'!AQ39</f>
        <v/>
      </c>
      <c r="AR733">
        <f>'02_Модель'!AR39</f>
        <v/>
      </c>
      <c r="AS733">
        <f>'02_Модель'!AS39</f>
        <v/>
      </c>
      <c r="AT733">
        <f>'02_Модель'!AT39</f>
        <v/>
      </c>
      <c r="AU733">
        <f>'02_Модель'!AU39</f>
        <v/>
      </c>
      <c r="AV733">
        <f>'02_Модель'!AV39</f>
        <v/>
      </c>
      <c r="AW733">
        <f>'02_Модель'!AW39</f>
        <v/>
      </c>
      <c r="AX733">
        <f>'02_Модель'!AX39</f>
        <v/>
      </c>
      <c r="AY733">
        <f>'02_Модель'!AY39</f>
        <v/>
      </c>
      <c r="AZ733">
        <f>'02_Модель'!AZ39</f>
        <v/>
      </c>
      <c r="BA733">
        <f>'02_Модель'!BA39</f>
        <v/>
      </c>
      <c r="BB733">
        <f>'02_Модель'!BB39</f>
        <v/>
      </c>
      <c r="BC733">
        <f>'02_Модель'!BC39</f>
        <v/>
      </c>
      <c r="BD733">
        <f>'02_Модель'!BD39</f>
        <v/>
      </c>
      <c r="BE733">
        <f>'02_Модель'!BE39</f>
        <v/>
      </c>
      <c r="BF733">
        <f>'02_Модель'!BF39</f>
        <v/>
      </c>
      <c r="BG733">
        <f>'02_Модель'!BG39</f>
        <v/>
      </c>
      <c r="BH733">
        <f>'02_Модель'!BH39</f>
        <v/>
      </c>
      <c r="BI733">
        <f>'02_Модель'!BI39</f>
        <v/>
      </c>
    </row>
    <row r="734">
      <c r="B734">
        <f>'02_Модель'!B40</f>
        <v/>
      </c>
      <c r="C734">
        <f>'02_Модель'!C40</f>
        <v/>
      </c>
      <c r="D734">
        <f>'02_Модель'!D40</f>
        <v/>
      </c>
      <c r="E734">
        <f>'02_Модель'!E40</f>
        <v/>
      </c>
      <c r="F734">
        <f>'02_Модель'!F40</f>
        <v/>
      </c>
      <c r="G734">
        <f>'02_Модель'!G40</f>
        <v/>
      </c>
      <c r="H734">
        <f>'02_Модель'!H40</f>
        <v/>
      </c>
      <c r="I734">
        <f>'02_Модель'!I40</f>
        <v/>
      </c>
      <c r="J734">
        <f>'02_Модель'!J40</f>
        <v/>
      </c>
      <c r="K734">
        <f>'02_Модель'!K40</f>
        <v/>
      </c>
      <c r="L734">
        <f>'02_Модель'!L40</f>
        <v/>
      </c>
      <c r="M734">
        <f>'02_Модель'!M40</f>
        <v/>
      </c>
      <c r="N734">
        <f>'02_Модель'!N40</f>
        <v/>
      </c>
      <c r="O734">
        <f>'02_Модель'!O40</f>
        <v/>
      </c>
      <c r="P734">
        <f>'02_Модель'!P40</f>
        <v/>
      </c>
      <c r="Q734">
        <f>'02_Модель'!Q40</f>
        <v/>
      </c>
      <c r="R734">
        <f>'02_Модель'!R40</f>
        <v/>
      </c>
      <c r="S734">
        <f>'02_Модель'!S40</f>
        <v/>
      </c>
      <c r="T734">
        <f>'02_Модель'!T40</f>
        <v/>
      </c>
      <c r="U734">
        <f>'02_Модель'!U40</f>
        <v/>
      </c>
      <c r="V734">
        <f>'02_Модель'!V40</f>
        <v/>
      </c>
      <c r="W734">
        <f>'02_Модель'!W40</f>
        <v/>
      </c>
      <c r="X734">
        <f>'02_Модель'!X40</f>
        <v/>
      </c>
      <c r="Y734">
        <f>'02_Модель'!Y40</f>
        <v/>
      </c>
      <c r="Z734">
        <f>'02_Модель'!Z40</f>
        <v/>
      </c>
      <c r="AA734">
        <f>'02_Модель'!AA40</f>
        <v/>
      </c>
      <c r="AB734">
        <f>'02_Модель'!AB40</f>
        <v/>
      </c>
      <c r="AC734">
        <f>'02_Модель'!AC40</f>
        <v/>
      </c>
      <c r="AD734">
        <f>'02_Модель'!AD40</f>
        <v/>
      </c>
      <c r="AE734">
        <f>'02_Модель'!AE40</f>
        <v/>
      </c>
      <c r="AF734">
        <f>'02_Модель'!AF40</f>
        <v/>
      </c>
      <c r="AG734">
        <f>'02_Модель'!AG40</f>
        <v/>
      </c>
      <c r="AH734">
        <f>'02_Модель'!AH40</f>
        <v/>
      </c>
      <c r="AI734">
        <f>'02_Модель'!AI40</f>
        <v/>
      </c>
      <c r="AJ734">
        <f>'02_Модель'!AJ40</f>
        <v/>
      </c>
      <c r="AK734">
        <f>'02_Модель'!AK40</f>
        <v/>
      </c>
      <c r="AL734">
        <f>'02_Модель'!AL40</f>
        <v/>
      </c>
      <c r="AM734">
        <f>'02_Модель'!AM40</f>
        <v/>
      </c>
      <c r="AN734">
        <f>'02_Модель'!AN40</f>
        <v/>
      </c>
      <c r="AO734">
        <f>'02_Модель'!AO40</f>
        <v/>
      </c>
      <c r="AP734">
        <f>'02_Модель'!AP40</f>
        <v/>
      </c>
      <c r="AQ734">
        <f>'02_Модель'!AQ40</f>
        <v/>
      </c>
      <c r="AR734">
        <f>'02_Модель'!AR40</f>
        <v/>
      </c>
      <c r="AS734">
        <f>'02_Модель'!AS40</f>
        <v/>
      </c>
      <c r="AT734">
        <f>'02_Модель'!AT40</f>
        <v/>
      </c>
      <c r="AU734">
        <f>'02_Модель'!AU40</f>
        <v/>
      </c>
      <c r="AV734">
        <f>'02_Модель'!AV40</f>
        <v/>
      </c>
      <c r="AW734">
        <f>'02_Модель'!AW40</f>
        <v/>
      </c>
      <c r="AX734">
        <f>'02_Модель'!AX40</f>
        <v/>
      </c>
      <c r="AY734">
        <f>'02_Модель'!AY40</f>
        <v/>
      </c>
      <c r="AZ734">
        <f>'02_Модель'!AZ40</f>
        <v/>
      </c>
      <c r="BA734">
        <f>'02_Модель'!BA40</f>
        <v/>
      </c>
      <c r="BB734">
        <f>'02_Модель'!BB40</f>
        <v/>
      </c>
      <c r="BC734">
        <f>'02_Модель'!BC40</f>
        <v/>
      </c>
      <c r="BD734">
        <f>'02_Модель'!BD40</f>
        <v/>
      </c>
      <c r="BE734">
        <f>'02_Модель'!BE40</f>
        <v/>
      </c>
      <c r="BF734">
        <f>'02_Модель'!BF40</f>
        <v/>
      </c>
      <c r="BG734">
        <f>'02_Модель'!BG40</f>
        <v/>
      </c>
      <c r="BH734">
        <f>'02_Модель'!BH40</f>
        <v/>
      </c>
      <c r="BI734">
        <f>'02_Модель'!BI40</f>
        <v/>
      </c>
    </row>
    <row r="735">
      <c r="B735">
        <f>'02_Модель'!B41</f>
        <v/>
      </c>
      <c r="C735">
        <f>'02_Модель'!C41</f>
        <v/>
      </c>
      <c r="D735">
        <f>'02_Модель'!D41</f>
        <v/>
      </c>
      <c r="E735">
        <f>'02_Модель'!E41</f>
        <v/>
      </c>
      <c r="F735">
        <f>'02_Модель'!F41</f>
        <v/>
      </c>
      <c r="G735">
        <f>'02_Модель'!G41</f>
        <v/>
      </c>
      <c r="H735">
        <f>'02_Модель'!H41</f>
        <v/>
      </c>
      <c r="I735">
        <f>'02_Модель'!I41</f>
        <v/>
      </c>
      <c r="J735">
        <f>'02_Модель'!J41</f>
        <v/>
      </c>
      <c r="K735">
        <f>'02_Модель'!K41</f>
        <v/>
      </c>
      <c r="L735">
        <f>'02_Модель'!L41</f>
        <v/>
      </c>
      <c r="M735">
        <f>'02_Модель'!M41</f>
        <v/>
      </c>
      <c r="N735">
        <f>'02_Модель'!N41</f>
        <v/>
      </c>
      <c r="O735">
        <f>'02_Модель'!O41</f>
        <v/>
      </c>
      <c r="P735">
        <f>'02_Модель'!P41</f>
        <v/>
      </c>
      <c r="Q735">
        <f>'02_Модель'!Q41</f>
        <v/>
      </c>
      <c r="R735">
        <f>'02_Модель'!R41</f>
        <v/>
      </c>
      <c r="S735">
        <f>'02_Модель'!S41</f>
        <v/>
      </c>
      <c r="T735">
        <f>'02_Модель'!T41</f>
        <v/>
      </c>
      <c r="U735">
        <f>'02_Модель'!U41</f>
        <v/>
      </c>
      <c r="V735">
        <f>'02_Модель'!V41</f>
        <v/>
      </c>
      <c r="W735">
        <f>'02_Модель'!W41</f>
        <v/>
      </c>
      <c r="X735">
        <f>'02_Модель'!X41</f>
        <v/>
      </c>
      <c r="Y735">
        <f>'02_Модель'!Y41</f>
        <v/>
      </c>
      <c r="Z735">
        <f>'02_Модель'!Z41</f>
        <v/>
      </c>
      <c r="AA735">
        <f>'02_Модель'!AA41</f>
        <v/>
      </c>
      <c r="AB735">
        <f>'02_Модель'!AB41</f>
        <v/>
      </c>
      <c r="AC735">
        <f>'02_Модель'!AC41</f>
        <v/>
      </c>
      <c r="AD735">
        <f>'02_Модель'!AD41</f>
        <v/>
      </c>
      <c r="AE735">
        <f>'02_Модель'!AE41</f>
        <v/>
      </c>
      <c r="AF735">
        <f>'02_Модель'!AF41</f>
        <v/>
      </c>
      <c r="AG735">
        <f>'02_Модель'!AG41</f>
        <v/>
      </c>
      <c r="AH735">
        <f>'02_Модель'!AH41</f>
        <v/>
      </c>
      <c r="AI735">
        <f>'02_Модель'!AI41</f>
        <v/>
      </c>
      <c r="AJ735">
        <f>'02_Модель'!AJ41</f>
        <v/>
      </c>
      <c r="AK735">
        <f>'02_Модель'!AK41</f>
        <v/>
      </c>
      <c r="AL735">
        <f>'02_Модель'!AL41</f>
        <v/>
      </c>
      <c r="AM735">
        <f>'02_Модель'!AM41</f>
        <v/>
      </c>
      <c r="AN735">
        <f>'02_Модель'!AN41</f>
        <v/>
      </c>
      <c r="AO735">
        <f>'02_Модель'!AO41</f>
        <v/>
      </c>
      <c r="AP735">
        <f>'02_Модель'!AP41</f>
        <v/>
      </c>
      <c r="AQ735">
        <f>'02_Модель'!AQ41</f>
        <v/>
      </c>
      <c r="AR735">
        <f>'02_Модель'!AR41</f>
        <v/>
      </c>
      <c r="AS735">
        <f>'02_Модель'!AS41</f>
        <v/>
      </c>
      <c r="AT735">
        <f>'02_Модель'!AT41</f>
        <v/>
      </c>
      <c r="AU735">
        <f>'02_Модель'!AU41</f>
        <v/>
      </c>
      <c r="AV735">
        <f>'02_Модель'!AV41</f>
        <v/>
      </c>
      <c r="AW735">
        <f>'02_Модель'!AW41</f>
        <v/>
      </c>
      <c r="AX735">
        <f>'02_Модель'!AX41</f>
        <v/>
      </c>
      <c r="AY735">
        <f>'02_Модель'!AY41</f>
        <v/>
      </c>
      <c r="AZ735">
        <f>'02_Модель'!AZ41</f>
        <v/>
      </c>
      <c r="BA735">
        <f>'02_Модель'!BA41</f>
        <v/>
      </c>
      <c r="BB735">
        <f>'02_Модель'!BB41</f>
        <v/>
      </c>
      <c r="BC735">
        <f>'02_Модель'!BC41</f>
        <v/>
      </c>
      <c r="BD735">
        <f>'02_Модель'!BD41</f>
        <v/>
      </c>
      <c r="BE735">
        <f>'02_Модель'!BE41</f>
        <v/>
      </c>
      <c r="BF735">
        <f>'02_Модель'!BF41</f>
        <v/>
      </c>
      <c r="BG735">
        <f>'02_Модель'!BG41</f>
        <v/>
      </c>
      <c r="BH735">
        <f>'02_Модель'!BH41</f>
        <v/>
      </c>
      <c r="BI735">
        <f>'02_Модель'!BI41</f>
        <v/>
      </c>
    </row>
    <row r="736">
      <c r="B736">
        <f>'19_Расчет_аналитики'!B346</f>
        <v/>
      </c>
      <c r="C736">
        <f>'19_Расчет_аналитики'!C346</f>
        <v/>
      </c>
      <c r="D736">
        <f>'19_Расчет_аналитики'!D346</f>
        <v/>
      </c>
      <c r="E736">
        <f>'19_Расчет_аналитики'!E346</f>
        <v/>
      </c>
      <c r="F736">
        <f>'19_Расчет_аналитики'!F346</f>
        <v/>
      </c>
      <c r="G736">
        <f>'19_Расчет_аналитики'!G346</f>
        <v/>
      </c>
      <c r="H736">
        <f>'19_Расчет_аналитики'!H346</f>
        <v/>
      </c>
      <c r="I736">
        <f>'19_Расчет_аналитики'!I346</f>
        <v/>
      </c>
      <c r="J736">
        <f>'19_Расчет_аналитики'!J346</f>
        <v/>
      </c>
      <c r="K736">
        <f>'19_Расчет_аналитики'!K346</f>
        <v/>
      </c>
      <c r="L736">
        <f>'19_Расчет_аналитики'!L346</f>
        <v/>
      </c>
      <c r="M736">
        <f>'19_Расчет_аналитики'!M346</f>
        <v/>
      </c>
      <c r="N736">
        <f>'19_Расчет_аналитики'!N346</f>
        <v/>
      </c>
      <c r="O736">
        <f>'19_Расчет_аналитики'!O346</f>
        <v/>
      </c>
      <c r="P736">
        <f>'19_Расчет_аналитики'!P346</f>
        <v/>
      </c>
      <c r="Q736">
        <f>'19_Расчет_аналитики'!Q346</f>
        <v/>
      </c>
      <c r="R736">
        <f>'19_Расчет_аналитики'!R346</f>
        <v/>
      </c>
      <c r="S736">
        <f>'19_Расчет_аналитики'!S346</f>
        <v/>
      </c>
      <c r="T736">
        <f>'19_Расчет_аналитики'!T346</f>
        <v/>
      </c>
      <c r="U736">
        <f>'19_Расчет_аналитики'!U346</f>
        <v/>
      </c>
      <c r="V736">
        <f>'19_Расчет_аналитики'!V346</f>
        <v/>
      </c>
      <c r="W736">
        <f>'19_Расчет_аналитики'!W346</f>
        <v/>
      </c>
      <c r="X736">
        <f>'19_Расчет_аналитики'!X346</f>
        <v/>
      </c>
      <c r="Y736">
        <f>'19_Расчет_аналитики'!Y346</f>
        <v/>
      </c>
      <c r="Z736">
        <f>'19_Расчет_аналитики'!Z346</f>
        <v/>
      </c>
      <c r="AA736">
        <f>'19_Расчет_аналитики'!AA346</f>
        <v/>
      </c>
      <c r="AB736">
        <f>'19_Расчет_аналитики'!AB346</f>
        <v/>
      </c>
      <c r="AC736">
        <f>'19_Расчет_аналитики'!AC346</f>
        <v/>
      </c>
      <c r="AD736">
        <f>'19_Расчет_аналитики'!AD346</f>
        <v/>
      </c>
      <c r="AE736">
        <f>'19_Расчет_аналитики'!AE346</f>
        <v/>
      </c>
      <c r="AF736">
        <f>'19_Расчет_аналитики'!AF346</f>
        <v/>
      </c>
      <c r="AG736">
        <f>'19_Расчет_аналитики'!AG346</f>
        <v/>
      </c>
      <c r="AH736">
        <f>'19_Расчет_аналитики'!AH346</f>
        <v/>
      </c>
      <c r="AI736">
        <f>'19_Расчет_аналитики'!AI346</f>
        <v/>
      </c>
      <c r="AJ736">
        <f>'19_Расчет_аналитики'!AJ346</f>
        <v/>
      </c>
      <c r="AK736">
        <f>'19_Расчет_аналитики'!AK346</f>
        <v/>
      </c>
      <c r="AL736">
        <f>'19_Расчет_аналитики'!AL346</f>
        <v/>
      </c>
      <c r="AM736">
        <f>'19_Расчет_аналитики'!AM346</f>
        <v/>
      </c>
      <c r="AN736">
        <f>'19_Расчет_аналитики'!AN346</f>
        <v/>
      </c>
      <c r="AO736">
        <f>'19_Расчет_аналитики'!AO346</f>
        <v/>
      </c>
      <c r="AP736">
        <f>'19_Расчет_аналитики'!AP346</f>
        <v/>
      </c>
      <c r="AQ736">
        <f>'19_Расчет_аналитики'!AQ346</f>
        <v/>
      </c>
      <c r="AR736">
        <f>'19_Расчет_аналитики'!AR346</f>
        <v/>
      </c>
      <c r="AS736">
        <f>'19_Расчет_аналитики'!AS346</f>
        <v/>
      </c>
      <c r="AT736">
        <f>'19_Расчет_аналитики'!AT346</f>
        <v/>
      </c>
      <c r="AU736">
        <f>'19_Расчет_аналитики'!AU346</f>
        <v/>
      </c>
      <c r="AV736">
        <f>'19_Расчет_аналитики'!AV346</f>
        <v/>
      </c>
      <c r="AW736">
        <f>'19_Расчет_аналитики'!AW346</f>
        <v/>
      </c>
      <c r="AX736">
        <f>'19_Расчет_аналитики'!AX346</f>
        <v/>
      </c>
      <c r="AY736">
        <f>'19_Расчет_аналитики'!AY346</f>
        <v/>
      </c>
      <c r="AZ736">
        <f>'19_Расчет_аналитики'!AZ346</f>
        <v/>
      </c>
      <c r="BA736">
        <f>'19_Расчет_аналитики'!BA346</f>
        <v/>
      </c>
      <c r="BB736">
        <f>'19_Расчет_аналитики'!BB346</f>
        <v/>
      </c>
      <c r="BC736">
        <f>'19_Расчет_аналитики'!BC346</f>
        <v/>
      </c>
      <c r="BD736">
        <f>'19_Расчет_аналитики'!BD346</f>
        <v/>
      </c>
      <c r="BE736">
        <f>'19_Расчет_аналитики'!BE346</f>
        <v/>
      </c>
      <c r="BF736">
        <f>'19_Расчет_аналитики'!BF346</f>
        <v/>
      </c>
      <c r="BG736">
        <f>'19_Расчет_аналитики'!BG346</f>
        <v/>
      </c>
      <c r="BH736">
        <f>'19_Расчет_аналитики'!BH346</f>
        <v/>
      </c>
      <c r="BI736">
        <f>'19_Расчет_аналитики'!BI346</f>
        <v/>
      </c>
    </row>
    <row r="737">
      <c r="B737">
        <f>SUM('19_Расчет_аналитики'!B730:B736)</f>
        <v/>
      </c>
      <c r="C737">
        <f>SUM('19_Расчет_аналитики'!C730:C736)</f>
        <v/>
      </c>
      <c r="D737">
        <f>SUM('19_Расчет_аналитики'!D730:D736)</f>
        <v/>
      </c>
      <c r="E737">
        <f>SUM('19_Расчет_аналитики'!E730:E736)</f>
        <v/>
      </c>
      <c r="F737">
        <f>SUM('19_Расчет_аналитики'!F730:F736)</f>
        <v/>
      </c>
      <c r="G737">
        <f>SUM('19_Расчет_аналитики'!G730:G736)</f>
        <v/>
      </c>
      <c r="H737">
        <f>SUM('19_Расчет_аналитики'!H730:H736)</f>
        <v/>
      </c>
      <c r="I737">
        <f>SUM('19_Расчет_аналитики'!I730:I736)</f>
        <v/>
      </c>
      <c r="J737">
        <f>SUM('19_Расчет_аналитики'!J730:J736)</f>
        <v/>
      </c>
      <c r="K737">
        <f>SUM('19_Расчет_аналитики'!K730:K736)</f>
        <v/>
      </c>
      <c r="L737">
        <f>SUM('19_Расчет_аналитики'!L730:L736)</f>
        <v/>
      </c>
      <c r="M737">
        <f>SUM('19_Расчет_аналитики'!M730:M736)</f>
        <v/>
      </c>
      <c r="N737">
        <f>SUM('19_Расчет_аналитики'!N730:N736)</f>
        <v/>
      </c>
      <c r="O737">
        <f>SUM('19_Расчет_аналитики'!O730:O736)</f>
        <v/>
      </c>
      <c r="P737">
        <f>SUM('19_Расчет_аналитики'!P730:P736)</f>
        <v/>
      </c>
      <c r="Q737">
        <f>SUM('19_Расчет_аналитики'!Q730:Q736)</f>
        <v/>
      </c>
      <c r="R737">
        <f>SUM('19_Расчет_аналитики'!R730:R736)</f>
        <v/>
      </c>
      <c r="S737">
        <f>SUM('19_Расчет_аналитики'!S730:S736)</f>
        <v/>
      </c>
      <c r="T737">
        <f>SUM('19_Расчет_аналитики'!T730:T736)</f>
        <v/>
      </c>
      <c r="U737">
        <f>SUM('19_Расчет_аналитики'!U730:U736)</f>
        <v/>
      </c>
      <c r="V737">
        <f>SUM('19_Расчет_аналитики'!V730:V736)</f>
        <v/>
      </c>
      <c r="W737">
        <f>SUM('19_Расчет_аналитики'!W730:W736)</f>
        <v/>
      </c>
      <c r="X737">
        <f>SUM('19_Расчет_аналитики'!X730:X736)</f>
        <v/>
      </c>
      <c r="Y737">
        <f>SUM('19_Расчет_аналитики'!Y730:Y736)</f>
        <v/>
      </c>
      <c r="Z737">
        <f>SUM('19_Расчет_аналитики'!Z730:Z736)</f>
        <v/>
      </c>
      <c r="AA737">
        <f>SUM('19_Расчет_аналитики'!AA730:AA736)</f>
        <v/>
      </c>
      <c r="AB737">
        <f>SUM('19_Расчет_аналитики'!AB730:AB736)</f>
        <v/>
      </c>
      <c r="AC737">
        <f>SUM('19_Расчет_аналитики'!AC730:AC736)</f>
        <v/>
      </c>
      <c r="AD737">
        <f>SUM('19_Расчет_аналитики'!AD730:AD736)</f>
        <v/>
      </c>
      <c r="AE737">
        <f>SUM('19_Расчет_аналитики'!AE730:AE736)</f>
        <v/>
      </c>
      <c r="AF737">
        <f>SUM('19_Расчет_аналитики'!AF730:AF736)</f>
        <v/>
      </c>
      <c r="AG737">
        <f>SUM('19_Расчет_аналитики'!AG730:AG736)</f>
        <v/>
      </c>
      <c r="AH737">
        <f>SUM('19_Расчет_аналитики'!AH730:AH736)</f>
        <v/>
      </c>
      <c r="AI737">
        <f>SUM('19_Расчет_аналитики'!AI730:AI736)</f>
        <v/>
      </c>
      <c r="AJ737">
        <f>SUM('19_Расчет_аналитики'!AJ730:AJ736)</f>
        <v/>
      </c>
      <c r="AK737">
        <f>SUM('19_Расчет_аналитики'!AK730:AK736)</f>
        <v/>
      </c>
      <c r="AL737">
        <f>SUM('19_Расчет_аналитики'!AL730:AL736)</f>
        <v/>
      </c>
      <c r="AM737">
        <f>SUM('19_Расчет_аналитики'!AM730:AM736)</f>
        <v/>
      </c>
      <c r="AN737">
        <f>SUM('19_Расчет_аналитики'!AN730:AN736)</f>
        <v/>
      </c>
      <c r="AO737">
        <f>SUM('19_Расчет_аналитики'!AO730:AO736)</f>
        <v/>
      </c>
      <c r="AP737">
        <f>SUM('19_Расчет_аналитики'!AP730:AP736)</f>
        <v/>
      </c>
      <c r="AQ737">
        <f>SUM('19_Расчет_аналитики'!AQ730:AQ736)</f>
        <v/>
      </c>
      <c r="AR737">
        <f>SUM('19_Расчет_аналитики'!AR730:AR736)</f>
        <v/>
      </c>
      <c r="AS737">
        <f>SUM('19_Расчет_аналитики'!AS730:AS736)</f>
        <v/>
      </c>
      <c r="AT737">
        <f>SUM('19_Расчет_аналитики'!AT730:AT736)</f>
        <v/>
      </c>
      <c r="AU737">
        <f>SUM('19_Расчет_аналитики'!AU730:AU736)</f>
        <v/>
      </c>
      <c r="AV737">
        <f>SUM('19_Расчет_аналитики'!AV730:AV736)</f>
        <v/>
      </c>
      <c r="AW737">
        <f>SUM('19_Расчет_аналитики'!AW730:AW736)</f>
        <v/>
      </c>
      <c r="AX737">
        <f>SUM('19_Расчет_аналитики'!AX730:AX736)</f>
        <v/>
      </c>
      <c r="AY737">
        <f>SUM('19_Расчет_аналитики'!AY730:AY736)</f>
        <v/>
      </c>
      <c r="AZ737">
        <f>SUM('19_Расчет_аналитики'!AZ730:AZ736)</f>
        <v/>
      </c>
      <c r="BA737">
        <f>SUM('19_Расчет_аналитики'!BA730:BA736)</f>
        <v/>
      </c>
      <c r="BB737">
        <f>SUM('19_Расчет_аналитики'!BB730:BB736)</f>
        <v/>
      </c>
      <c r="BC737">
        <f>SUM('19_Расчет_аналитики'!BC730:BC736)</f>
        <v/>
      </c>
      <c r="BD737">
        <f>SUM('19_Расчет_аналитики'!BD730:BD736)</f>
        <v/>
      </c>
      <c r="BE737">
        <f>SUM('19_Расчет_аналитики'!BE730:BE736)</f>
        <v/>
      </c>
      <c r="BF737">
        <f>SUM('19_Расчет_аналитики'!BF730:BF736)</f>
        <v/>
      </c>
      <c r="BG737">
        <f>SUM('19_Расчет_аналитики'!BG730:BG736)</f>
        <v/>
      </c>
      <c r="BH737">
        <f>SUM('19_Расчет_аналитики'!BH730:BH736)</f>
        <v/>
      </c>
      <c r="BI737">
        <f>SUM('19_Расчет_аналитики'!BI730:BI736)</f>
        <v/>
      </c>
    </row>
    <row r="738">
      <c r="B738">
        <f>'19_Расчет_аналитики'!B727-'19_Расчет_аналитики'!B737</f>
        <v/>
      </c>
      <c r="C738">
        <f>'19_Расчет_аналитики'!C727-'19_Расчет_аналитики'!C737</f>
        <v/>
      </c>
      <c r="D738">
        <f>'19_Расчет_аналитики'!D727-'19_Расчет_аналитики'!D737</f>
        <v/>
      </c>
      <c r="E738">
        <f>'19_Расчет_аналитики'!E727-'19_Расчет_аналитики'!E737</f>
        <v/>
      </c>
      <c r="F738">
        <f>'19_Расчет_аналитики'!F727-'19_Расчет_аналитики'!F737</f>
        <v/>
      </c>
      <c r="G738">
        <f>'19_Расчет_аналитики'!G727-'19_Расчет_аналитики'!G737</f>
        <v/>
      </c>
      <c r="H738">
        <f>'19_Расчет_аналитики'!H727-'19_Расчет_аналитики'!H737</f>
        <v/>
      </c>
      <c r="I738">
        <f>'19_Расчет_аналитики'!I727-'19_Расчет_аналитики'!I737</f>
        <v/>
      </c>
      <c r="J738">
        <f>'19_Расчет_аналитики'!J727-'19_Расчет_аналитики'!J737</f>
        <v/>
      </c>
      <c r="K738">
        <f>'19_Расчет_аналитики'!K727-'19_Расчет_аналитики'!K737</f>
        <v/>
      </c>
      <c r="L738">
        <f>'19_Расчет_аналитики'!L727-'19_Расчет_аналитики'!L737</f>
        <v/>
      </c>
      <c r="M738">
        <f>'19_Расчет_аналитики'!M727-'19_Расчет_аналитики'!M737</f>
        <v/>
      </c>
      <c r="N738">
        <f>'19_Расчет_аналитики'!N727-'19_Расчет_аналитики'!N737</f>
        <v/>
      </c>
      <c r="O738">
        <f>'19_Расчет_аналитики'!O727-'19_Расчет_аналитики'!O737</f>
        <v/>
      </c>
      <c r="P738">
        <f>'19_Расчет_аналитики'!P727-'19_Расчет_аналитики'!P737</f>
        <v/>
      </c>
      <c r="Q738">
        <f>'19_Расчет_аналитики'!Q727-'19_Расчет_аналитики'!Q737</f>
        <v/>
      </c>
      <c r="R738">
        <f>'19_Расчет_аналитики'!R727-'19_Расчет_аналитики'!R737</f>
        <v/>
      </c>
      <c r="S738">
        <f>'19_Расчет_аналитики'!S727-'19_Расчет_аналитики'!S737</f>
        <v/>
      </c>
      <c r="T738">
        <f>'19_Расчет_аналитики'!T727-'19_Расчет_аналитики'!T737</f>
        <v/>
      </c>
      <c r="U738">
        <f>'19_Расчет_аналитики'!U727-'19_Расчет_аналитики'!U737</f>
        <v/>
      </c>
      <c r="V738">
        <f>'19_Расчет_аналитики'!V727-'19_Расчет_аналитики'!V737</f>
        <v/>
      </c>
      <c r="W738">
        <f>'19_Расчет_аналитики'!W727-'19_Расчет_аналитики'!W737</f>
        <v/>
      </c>
      <c r="X738">
        <f>'19_Расчет_аналитики'!X727-'19_Расчет_аналитики'!X737</f>
        <v/>
      </c>
      <c r="Y738">
        <f>'19_Расчет_аналитики'!Y727-'19_Расчет_аналитики'!Y737</f>
        <v/>
      </c>
      <c r="Z738">
        <f>'19_Расчет_аналитики'!Z727-'19_Расчет_аналитики'!Z737</f>
        <v/>
      </c>
      <c r="AA738">
        <f>'19_Расчет_аналитики'!AA727-'19_Расчет_аналитики'!AA737</f>
        <v/>
      </c>
      <c r="AB738">
        <f>'19_Расчет_аналитики'!AB727-'19_Расчет_аналитики'!AB737</f>
        <v/>
      </c>
      <c r="AC738">
        <f>'19_Расчет_аналитики'!AC727-'19_Расчет_аналитики'!AC737</f>
        <v/>
      </c>
      <c r="AD738">
        <f>'19_Расчет_аналитики'!AD727-'19_Расчет_аналитики'!AD737</f>
        <v/>
      </c>
      <c r="AE738">
        <f>'19_Расчет_аналитики'!AE727-'19_Расчет_аналитики'!AE737</f>
        <v/>
      </c>
      <c r="AF738">
        <f>'19_Расчет_аналитики'!AF727-'19_Расчет_аналитики'!AF737</f>
        <v/>
      </c>
      <c r="AG738">
        <f>'19_Расчет_аналитики'!AG727-'19_Расчет_аналитики'!AG737</f>
        <v/>
      </c>
      <c r="AH738">
        <f>'19_Расчет_аналитики'!AH727-'19_Расчет_аналитики'!AH737</f>
        <v/>
      </c>
      <c r="AI738">
        <f>'19_Расчет_аналитики'!AI727-'19_Расчет_аналитики'!AI737</f>
        <v/>
      </c>
      <c r="AJ738">
        <f>'19_Расчет_аналитики'!AJ727-'19_Расчет_аналитики'!AJ737</f>
        <v/>
      </c>
      <c r="AK738">
        <f>'19_Расчет_аналитики'!AK727-'19_Расчет_аналитики'!AK737</f>
        <v/>
      </c>
      <c r="AL738">
        <f>'19_Расчет_аналитики'!AL727-'19_Расчет_аналитики'!AL737</f>
        <v/>
      </c>
      <c r="AM738">
        <f>'19_Расчет_аналитики'!AM727-'19_Расчет_аналитики'!AM737</f>
        <v/>
      </c>
      <c r="AN738">
        <f>'19_Расчет_аналитики'!AN727-'19_Расчет_аналитики'!AN737</f>
        <v/>
      </c>
      <c r="AO738">
        <f>'19_Расчет_аналитики'!AO727-'19_Расчет_аналитики'!AO737</f>
        <v/>
      </c>
      <c r="AP738">
        <f>'19_Расчет_аналитики'!AP727-'19_Расчет_аналитики'!AP737</f>
        <v/>
      </c>
      <c r="AQ738">
        <f>'19_Расчет_аналитики'!AQ727-'19_Расчет_аналитики'!AQ737</f>
        <v/>
      </c>
      <c r="AR738">
        <f>'19_Расчет_аналитики'!AR727-'19_Расчет_аналитики'!AR737</f>
        <v/>
      </c>
      <c r="AS738">
        <f>'19_Расчет_аналитики'!AS727-'19_Расчет_аналитики'!AS737</f>
        <v/>
      </c>
      <c r="AT738">
        <f>'19_Расчет_аналитики'!AT727-'19_Расчет_аналитики'!AT737</f>
        <v/>
      </c>
      <c r="AU738">
        <f>'19_Расчет_аналитики'!AU727-'19_Расчет_аналитики'!AU737</f>
        <v/>
      </c>
      <c r="AV738">
        <f>'19_Расчет_аналитики'!AV727-'19_Расчет_аналитики'!AV737</f>
        <v/>
      </c>
      <c r="AW738">
        <f>'19_Расчет_аналитики'!AW727-'19_Расчет_аналитики'!AW737</f>
        <v/>
      </c>
      <c r="AX738">
        <f>'19_Расчет_аналитики'!AX727-'19_Расчет_аналитики'!AX737</f>
        <v/>
      </c>
      <c r="AY738">
        <f>'19_Расчет_аналитики'!AY727-'19_Расчет_аналитики'!AY737</f>
        <v/>
      </c>
      <c r="AZ738">
        <f>'19_Расчет_аналитики'!AZ727-'19_Расчет_аналитики'!AZ737</f>
        <v/>
      </c>
      <c r="BA738">
        <f>'19_Расчет_аналитики'!BA727-'19_Расчет_аналитики'!BA737</f>
        <v/>
      </c>
      <c r="BB738">
        <f>'19_Расчет_аналитики'!BB727-'19_Расчет_аналитики'!BB737</f>
        <v/>
      </c>
      <c r="BC738">
        <f>'19_Расчет_аналитики'!BC727-'19_Расчет_аналитики'!BC737</f>
        <v/>
      </c>
      <c r="BD738">
        <f>'19_Расчет_аналитики'!BD727-'19_Расчет_аналитики'!BD737</f>
        <v/>
      </c>
      <c r="BE738">
        <f>'19_Расчет_аналитики'!BE727-'19_Расчет_аналитики'!BE737</f>
        <v/>
      </c>
      <c r="BF738">
        <f>'19_Расчет_аналитики'!BF727-'19_Расчет_аналитики'!BF737</f>
        <v/>
      </c>
      <c r="BG738">
        <f>'19_Расчет_аналитики'!BG727-'19_Расчет_аналитики'!BG737</f>
        <v/>
      </c>
      <c r="BH738">
        <f>'19_Расчет_аналитики'!BH727-'19_Расчет_аналитики'!BH737</f>
        <v/>
      </c>
      <c r="BI738">
        <f>'19_Расчет_аналитики'!BI727-'19_Расчет_аналитики'!BI737</f>
        <v/>
      </c>
    </row>
    <row r="739">
      <c r="B739">
        <f>IF('19_Расчет_аналитики'!B717=0,0,'19_Расчет_аналитики'!B738/'19_Расчет_аналитики'!B717)</f>
        <v/>
      </c>
      <c r="C739">
        <f>IF('19_Расчет_аналитики'!C717=0,0,'19_Расчет_аналитики'!C738/'19_Расчет_аналитики'!C717)</f>
        <v/>
      </c>
      <c r="D739">
        <f>IF('19_Расчет_аналитики'!D717=0,0,'19_Расчет_аналитики'!D738/'19_Расчет_аналитики'!D717)</f>
        <v/>
      </c>
      <c r="E739">
        <f>IF('19_Расчет_аналитики'!E717=0,0,'19_Расчет_аналитики'!E738/'19_Расчет_аналитики'!E717)</f>
        <v/>
      </c>
      <c r="F739">
        <f>IF('19_Расчет_аналитики'!F717=0,0,'19_Расчет_аналитики'!F738/'19_Расчет_аналитики'!F717)</f>
        <v/>
      </c>
      <c r="G739">
        <f>IF('19_Расчет_аналитики'!G717=0,0,'19_Расчет_аналитики'!G738/'19_Расчет_аналитики'!G717)</f>
        <v/>
      </c>
      <c r="H739">
        <f>IF('19_Расчет_аналитики'!H717=0,0,'19_Расчет_аналитики'!H738/'19_Расчет_аналитики'!H717)</f>
        <v/>
      </c>
      <c r="I739">
        <f>IF('19_Расчет_аналитики'!I717=0,0,'19_Расчет_аналитики'!I738/'19_Расчет_аналитики'!I717)</f>
        <v/>
      </c>
      <c r="J739">
        <f>IF('19_Расчет_аналитики'!J717=0,0,'19_Расчет_аналитики'!J738/'19_Расчет_аналитики'!J717)</f>
        <v/>
      </c>
      <c r="K739">
        <f>IF('19_Расчет_аналитики'!K717=0,0,'19_Расчет_аналитики'!K738/'19_Расчет_аналитики'!K717)</f>
        <v/>
      </c>
      <c r="L739">
        <f>IF('19_Расчет_аналитики'!L717=0,0,'19_Расчет_аналитики'!L738/'19_Расчет_аналитики'!L717)</f>
        <v/>
      </c>
      <c r="M739">
        <f>IF('19_Расчет_аналитики'!M717=0,0,'19_Расчет_аналитики'!M738/'19_Расчет_аналитики'!M717)</f>
        <v/>
      </c>
      <c r="N739">
        <f>IF('19_Расчет_аналитики'!N717=0,0,'19_Расчет_аналитики'!N738/'19_Расчет_аналитики'!N717)</f>
        <v/>
      </c>
      <c r="O739">
        <f>IF('19_Расчет_аналитики'!O717=0,0,'19_Расчет_аналитики'!O738/'19_Расчет_аналитики'!O717)</f>
        <v/>
      </c>
      <c r="P739">
        <f>IF('19_Расчет_аналитики'!P717=0,0,'19_Расчет_аналитики'!P738/'19_Расчет_аналитики'!P717)</f>
        <v/>
      </c>
      <c r="Q739">
        <f>IF('19_Расчет_аналитики'!Q717=0,0,'19_Расчет_аналитики'!Q738/'19_Расчет_аналитики'!Q717)</f>
        <v/>
      </c>
      <c r="R739">
        <f>IF('19_Расчет_аналитики'!R717=0,0,'19_Расчет_аналитики'!R738/'19_Расчет_аналитики'!R717)</f>
        <v/>
      </c>
      <c r="S739">
        <f>IF('19_Расчет_аналитики'!S717=0,0,'19_Расчет_аналитики'!S738/'19_Расчет_аналитики'!S717)</f>
        <v/>
      </c>
      <c r="T739">
        <f>IF('19_Расчет_аналитики'!T717=0,0,'19_Расчет_аналитики'!T738/'19_Расчет_аналитики'!T717)</f>
        <v/>
      </c>
      <c r="U739">
        <f>IF('19_Расчет_аналитики'!U717=0,0,'19_Расчет_аналитики'!U738/'19_Расчет_аналитики'!U717)</f>
        <v/>
      </c>
      <c r="V739">
        <f>IF('19_Расчет_аналитики'!V717=0,0,'19_Расчет_аналитики'!V738/'19_Расчет_аналитики'!V717)</f>
        <v/>
      </c>
      <c r="W739">
        <f>IF('19_Расчет_аналитики'!W717=0,0,'19_Расчет_аналитики'!W738/'19_Расчет_аналитики'!W717)</f>
        <v/>
      </c>
      <c r="X739">
        <f>IF('19_Расчет_аналитики'!X717=0,0,'19_Расчет_аналитики'!X738/'19_Расчет_аналитики'!X717)</f>
        <v/>
      </c>
      <c r="Y739">
        <f>IF('19_Расчет_аналитики'!Y717=0,0,'19_Расчет_аналитики'!Y738/'19_Расчет_аналитики'!Y717)</f>
        <v/>
      </c>
      <c r="Z739">
        <f>IF('19_Расчет_аналитики'!Z717=0,0,'19_Расчет_аналитики'!Z738/'19_Расчет_аналитики'!Z717)</f>
        <v/>
      </c>
      <c r="AA739">
        <f>IF('19_Расчет_аналитики'!AA717=0,0,'19_Расчет_аналитики'!AA738/'19_Расчет_аналитики'!AA717)</f>
        <v/>
      </c>
      <c r="AB739">
        <f>IF('19_Расчет_аналитики'!AB717=0,0,'19_Расчет_аналитики'!AB738/'19_Расчет_аналитики'!AB717)</f>
        <v/>
      </c>
      <c r="AC739">
        <f>IF('19_Расчет_аналитики'!AC717=0,0,'19_Расчет_аналитики'!AC738/'19_Расчет_аналитики'!AC717)</f>
        <v/>
      </c>
      <c r="AD739">
        <f>IF('19_Расчет_аналитики'!AD717=0,0,'19_Расчет_аналитики'!AD738/'19_Расчет_аналитики'!AD717)</f>
        <v/>
      </c>
      <c r="AE739">
        <f>IF('19_Расчет_аналитики'!AE717=0,0,'19_Расчет_аналитики'!AE738/'19_Расчет_аналитики'!AE717)</f>
        <v/>
      </c>
      <c r="AF739">
        <f>IF('19_Расчет_аналитики'!AF717=0,0,'19_Расчет_аналитики'!AF738/'19_Расчет_аналитики'!AF717)</f>
        <v/>
      </c>
      <c r="AG739">
        <f>IF('19_Расчет_аналитики'!AG717=0,0,'19_Расчет_аналитики'!AG738/'19_Расчет_аналитики'!AG717)</f>
        <v/>
      </c>
      <c r="AH739">
        <f>IF('19_Расчет_аналитики'!AH717=0,0,'19_Расчет_аналитики'!AH738/'19_Расчет_аналитики'!AH717)</f>
        <v/>
      </c>
      <c r="AI739">
        <f>IF('19_Расчет_аналитики'!AI717=0,0,'19_Расчет_аналитики'!AI738/'19_Расчет_аналитики'!AI717)</f>
        <v/>
      </c>
      <c r="AJ739">
        <f>IF('19_Расчет_аналитики'!AJ717=0,0,'19_Расчет_аналитики'!AJ738/'19_Расчет_аналитики'!AJ717)</f>
        <v/>
      </c>
      <c r="AK739">
        <f>IF('19_Расчет_аналитики'!AK717=0,0,'19_Расчет_аналитики'!AK738/'19_Расчет_аналитики'!AK717)</f>
        <v/>
      </c>
      <c r="AL739">
        <f>IF('19_Расчет_аналитики'!AL717=0,0,'19_Расчет_аналитики'!AL738/'19_Расчет_аналитики'!AL717)</f>
        <v/>
      </c>
      <c r="AM739">
        <f>IF('19_Расчет_аналитики'!AM717=0,0,'19_Расчет_аналитики'!AM738/'19_Расчет_аналитики'!AM717)</f>
        <v/>
      </c>
      <c r="AN739">
        <f>IF('19_Расчет_аналитики'!AN717=0,0,'19_Расчет_аналитики'!AN738/'19_Расчет_аналитики'!AN717)</f>
        <v/>
      </c>
      <c r="AO739">
        <f>IF('19_Расчет_аналитики'!AO717=0,0,'19_Расчет_аналитики'!AO738/'19_Расчет_аналитики'!AO717)</f>
        <v/>
      </c>
      <c r="AP739">
        <f>IF('19_Расчет_аналитики'!AP717=0,0,'19_Расчет_аналитики'!AP738/'19_Расчет_аналитики'!AP717)</f>
        <v/>
      </c>
      <c r="AQ739">
        <f>IF('19_Расчет_аналитики'!AQ717=0,0,'19_Расчет_аналитики'!AQ738/'19_Расчет_аналитики'!AQ717)</f>
        <v/>
      </c>
      <c r="AR739">
        <f>IF('19_Расчет_аналитики'!AR717=0,0,'19_Расчет_аналитики'!AR738/'19_Расчет_аналитики'!AR717)</f>
        <v/>
      </c>
      <c r="AS739">
        <f>IF('19_Расчет_аналитики'!AS717=0,0,'19_Расчет_аналитики'!AS738/'19_Расчет_аналитики'!AS717)</f>
        <v/>
      </c>
      <c r="AT739">
        <f>IF('19_Расчет_аналитики'!AT717=0,0,'19_Расчет_аналитики'!AT738/'19_Расчет_аналитики'!AT717)</f>
        <v/>
      </c>
      <c r="AU739">
        <f>IF('19_Расчет_аналитики'!AU717=0,0,'19_Расчет_аналитики'!AU738/'19_Расчет_аналитики'!AU717)</f>
        <v/>
      </c>
      <c r="AV739">
        <f>IF('19_Расчет_аналитики'!AV717=0,0,'19_Расчет_аналитики'!AV738/'19_Расчет_аналитики'!AV717)</f>
        <v/>
      </c>
      <c r="AW739">
        <f>IF('19_Расчет_аналитики'!AW717=0,0,'19_Расчет_аналитики'!AW738/'19_Расчет_аналитики'!AW717)</f>
        <v/>
      </c>
      <c r="AX739">
        <f>IF('19_Расчет_аналитики'!AX717=0,0,'19_Расчет_аналитики'!AX738/'19_Расчет_аналитики'!AX717)</f>
        <v/>
      </c>
      <c r="AY739">
        <f>IF('19_Расчет_аналитики'!AY717=0,0,'19_Расчет_аналитики'!AY738/'19_Расчет_аналитики'!AY717)</f>
        <v/>
      </c>
      <c r="AZ739">
        <f>IF('19_Расчет_аналитики'!AZ717=0,0,'19_Расчет_аналитики'!AZ738/'19_Расчет_аналитики'!AZ717)</f>
        <v/>
      </c>
      <c r="BA739">
        <f>IF('19_Расчет_аналитики'!BA717=0,0,'19_Расчет_аналитики'!BA738/'19_Расчет_аналитики'!BA717)</f>
        <v/>
      </c>
      <c r="BB739">
        <f>IF('19_Расчет_аналитики'!BB717=0,0,'19_Расчет_аналитики'!BB738/'19_Расчет_аналитики'!BB717)</f>
        <v/>
      </c>
      <c r="BC739">
        <f>IF('19_Расчет_аналитики'!BC717=0,0,'19_Расчет_аналитики'!BC738/'19_Расчет_аналитики'!BC717)</f>
        <v/>
      </c>
      <c r="BD739">
        <f>IF('19_Расчет_аналитики'!BD717=0,0,'19_Расчет_аналитики'!BD738/'19_Расчет_аналитики'!BD717)</f>
        <v/>
      </c>
      <c r="BE739">
        <f>IF('19_Расчет_аналитики'!BE717=0,0,'19_Расчет_аналитики'!BE738/'19_Расчет_аналитики'!BE717)</f>
        <v/>
      </c>
      <c r="BF739">
        <f>IF('19_Расчет_аналитики'!BF717=0,0,'19_Расчет_аналитики'!BF738/'19_Расчет_аналитики'!BF717)</f>
        <v/>
      </c>
      <c r="BG739">
        <f>IF('19_Расчет_аналитики'!BG717=0,0,'19_Расчет_аналитики'!BG738/'19_Расчет_аналитики'!BG717)</f>
        <v/>
      </c>
      <c r="BH739">
        <f>IF('19_Расчет_аналитики'!BH717=0,0,'19_Расчет_аналитики'!BH738/'19_Расчет_аналитики'!BH717)</f>
        <v/>
      </c>
      <c r="BI739">
        <f>IF('19_Расчет_аналитики'!BI717=0,0,'19_Расчет_аналитики'!BI738/'19_Расчет_аналитики'!BI717)</f>
        <v/>
      </c>
    </row>
    <row r="740">
      <c r="B740">
        <f>MAX('01_Вводные'!$B$157*'19_Расчет_аналитики'!B717,'01_Вводные'!$B$156*MAX(0,'19_Расчет_аналитики'!B738))</f>
        <v/>
      </c>
      <c r="C740">
        <f>MAX('01_Вводные'!$B$157*'19_Расчет_аналитики'!C717,'01_Вводные'!$B$156*MAX(0,'19_Расчет_аналитики'!C738))</f>
        <v/>
      </c>
      <c r="D740">
        <f>MAX('01_Вводные'!$B$157*'19_Расчет_аналитики'!D717,'01_Вводные'!$B$156*MAX(0,'19_Расчет_аналитики'!D738))</f>
        <v/>
      </c>
      <c r="E740">
        <f>MAX('01_Вводные'!$B$157*'19_Расчет_аналитики'!E717,'01_Вводные'!$B$156*MAX(0,'19_Расчет_аналитики'!E738))</f>
        <v/>
      </c>
      <c r="F740">
        <f>MAX('01_Вводные'!$B$157*'19_Расчет_аналитики'!F717,'01_Вводные'!$B$156*MAX(0,'19_Расчет_аналитики'!F738))</f>
        <v/>
      </c>
      <c r="G740">
        <f>MAX('01_Вводные'!$B$157*'19_Расчет_аналитики'!G717,'01_Вводные'!$B$156*MAX(0,'19_Расчет_аналитики'!G738))</f>
        <v/>
      </c>
      <c r="H740">
        <f>MAX('01_Вводные'!$B$157*'19_Расчет_аналитики'!H717,'01_Вводные'!$B$156*MAX(0,'19_Расчет_аналитики'!H738))</f>
        <v/>
      </c>
      <c r="I740">
        <f>MAX('01_Вводные'!$B$157*'19_Расчет_аналитики'!I717,'01_Вводные'!$B$156*MAX(0,'19_Расчет_аналитики'!I738))</f>
        <v/>
      </c>
      <c r="J740">
        <f>MAX('01_Вводные'!$B$157*'19_Расчет_аналитики'!J717,'01_Вводные'!$B$156*MAX(0,'19_Расчет_аналитики'!J738))</f>
        <v/>
      </c>
      <c r="K740">
        <f>MAX('01_Вводные'!$B$157*'19_Расчет_аналитики'!K717,'01_Вводные'!$B$156*MAX(0,'19_Расчет_аналитики'!K738))</f>
        <v/>
      </c>
      <c r="L740">
        <f>MAX('01_Вводные'!$B$157*'19_Расчет_аналитики'!L717,'01_Вводные'!$B$156*MAX(0,'19_Расчет_аналитики'!L738))</f>
        <v/>
      </c>
      <c r="M740">
        <f>MAX('01_Вводные'!$B$157*'19_Расчет_аналитики'!M717,'01_Вводные'!$B$156*MAX(0,'19_Расчет_аналитики'!M738))</f>
        <v/>
      </c>
      <c r="N740">
        <f>MAX('01_Вводные'!$B$157*'19_Расчет_аналитики'!N717,'01_Вводные'!$B$156*MAX(0,'19_Расчет_аналитики'!N738))</f>
        <v/>
      </c>
      <c r="O740">
        <f>MAX('01_Вводные'!$B$157*'19_Расчет_аналитики'!O717,'01_Вводные'!$B$156*MAX(0,'19_Расчет_аналитики'!O738))</f>
        <v/>
      </c>
      <c r="P740">
        <f>MAX('01_Вводные'!$B$157*'19_Расчет_аналитики'!P717,'01_Вводные'!$B$156*MAX(0,'19_Расчет_аналитики'!P738))</f>
        <v/>
      </c>
      <c r="Q740">
        <f>MAX('01_Вводные'!$B$157*'19_Расчет_аналитики'!Q717,'01_Вводные'!$B$156*MAX(0,'19_Расчет_аналитики'!Q738))</f>
        <v/>
      </c>
      <c r="R740">
        <f>MAX('01_Вводные'!$B$157*'19_Расчет_аналитики'!R717,'01_Вводные'!$B$156*MAX(0,'19_Расчет_аналитики'!R738))</f>
        <v/>
      </c>
      <c r="S740">
        <f>MAX('01_Вводные'!$B$157*'19_Расчет_аналитики'!S717,'01_Вводные'!$B$156*MAX(0,'19_Расчет_аналитики'!S738))</f>
        <v/>
      </c>
      <c r="T740">
        <f>MAX('01_Вводные'!$B$157*'19_Расчет_аналитики'!T717,'01_Вводные'!$B$156*MAX(0,'19_Расчет_аналитики'!T738))</f>
        <v/>
      </c>
      <c r="U740">
        <f>MAX('01_Вводные'!$B$157*'19_Расчет_аналитики'!U717,'01_Вводные'!$B$156*MAX(0,'19_Расчет_аналитики'!U738))</f>
        <v/>
      </c>
      <c r="V740">
        <f>MAX('01_Вводные'!$B$157*'19_Расчет_аналитики'!V717,'01_Вводные'!$B$156*MAX(0,'19_Расчет_аналитики'!V738))</f>
        <v/>
      </c>
      <c r="W740">
        <f>MAX('01_Вводные'!$B$157*'19_Расчет_аналитики'!W717,'01_Вводные'!$B$156*MAX(0,'19_Расчет_аналитики'!W738))</f>
        <v/>
      </c>
      <c r="X740">
        <f>MAX('01_Вводные'!$B$157*'19_Расчет_аналитики'!X717,'01_Вводные'!$B$156*MAX(0,'19_Расчет_аналитики'!X738))</f>
        <v/>
      </c>
      <c r="Y740">
        <f>MAX('01_Вводные'!$B$157*'19_Расчет_аналитики'!Y717,'01_Вводные'!$B$156*MAX(0,'19_Расчет_аналитики'!Y738))</f>
        <v/>
      </c>
      <c r="Z740">
        <f>MAX('01_Вводные'!$B$157*'19_Расчет_аналитики'!Z717,'01_Вводные'!$B$156*MAX(0,'19_Расчет_аналитики'!Z738))</f>
        <v/>
      </c>
      <c r="AA740">
        <f>MAX('01_Вводные'!$B$157*'19_Расчет_аналитики'!AA717,'01_Вводные'!$B$156*MAX(0,'19_Расчет_аналитики'!AA738))</f>
        <v/>
      </c>
      <c r="AB740">
        <f>MAX('01_Вводные'!$B$157*'19_Расчет_аналитики'!AB717,'01_Вводные'!$B$156*MAX(0,'19_Расчет_аналитики'!AB738))</f>
        <v/>
      </c>
      <c r="AC740">
        <f>MAX('01_Вводные'!$B$157*'19_Расчет_аналитики'!AC717,'01_Вводные'!$B$156*MAX(0,'19_Расчет_аналитики'!AC738))</f>
        <v/>
      </c>
      <c r="AD740">
        <f>MAX('01_Вводные'!$B$157*'19_Расчет_аналитики'!AD717,'01_Вводные'!$B$156*MAX(0,'19_Расчет_аналитики'!AD738))</f>
        <v/>
      </c>
      <c r="AE740">
        <f>MAX('01_Вводные'!$B$157*'19_Расчет_аналитики'!AE717,'01_Вводные'!$B$156*MAX(0,'19_Расчет_аналитики'!AE738))</f>
        <v/>
      </c>
      <c r="AF740">
        <f>MAX('01_Вводные'!$B$157*'19_Расчет_аналитики'!AF717,'01_Вводные'!$B$156*MAX(0,'19_Расчет_аналитики'!AF738))</f>
        <v/>
      </c>
      <c r="AG740">
        <f>MAX('01_Вводные'!$B$157*'19_Расчет_аналитики'!AG717,'01_Вводные'!$B$156*MAX(0,'19_Расчет_аналитики'!AG738))</f>
        <v/>
      </c>
      <c r="AH740">
        <f>MAX('01_Вводные'!$B$157*'19_Расчет_аналитики'!AH717,'01_Вводные'!$B$156*MAX(0,'19_Расчет_аналитики'!AH738))</f>
        <v/>
      </c>
      <c r="AI740">
        <f>MAX('01_Вводные'!$B$157*'19_Расчет_аналитики'!AI717,'01_Вводные'!$B$156*MAX(0,'19_Расчет_аналитики'!AI738))</f>
        <v/>
      </c>
      <c r="AJ740">
        <f>MAX('01_Вводные'!$B$157*'19_Расчет_аналитики'!AJ717,'01_Вводные'!$B$156*MAX(0,'19_Расчет_аналитики'!AJ738))</f>
        <v/>
      </c>
      <c r="AK740">
        <f>MAX('01_Вводные'!$B$157*'19_Расчет_аналитики'!AK717,'01_Вводные'!$B$156*MAX(0,'19_Расчет_аналитики'!AK738))</f>
        <v/>
      </c>
      <c r="AL740">
        <f>MAX('01_Вводные'!$B$157*'19_Расчет_аналитики'!AL717,'01_Вводные'!$B$156*MAX(0,'19_Расчет_аналитики'!AL738))</f>
        <v/>
      </c>
      <c r="AM740">
        <f>MAX('01_Вводные'!$B$157*'19_Расчет_аналитики'!AM717,'01_Вводные'!$B$156*MAX(0,'19_Расчет_аналитики'!AM738))</f>
        <v/>
      </c>
      <c r="AN740">
        <f>MAX('01_Вводные'!$B$157*'19_Расчет_аналитики'!AN717,'01_Вводные'!$B$156*MAX(0,'19_Расчет_аналитики'!AN738))</f>
        <v/>
      </c>
      <c r="AO740">
        <f>MAX('01_Вводные'!$B$157*'19_Расчет_аналитики'!AO717,'01_Вводные'!$B$156*MAX(0,'19_Расчет_аналитики'!AO738))</f>
        <v/>
      </c>
      <c r="AP740">
        <f>MAX('01_Вводные'!$B$157*'19_Расчет_аналитики'!AP717,'01_Вводные'!$B$156*MAX(0,'19_Расчет_аналитики'!AP738))</f>
        <v/>
      </c>
      <c r="AQ740">
        <f>MAX('01_Вводные'!$B$157*'19_Расчет_аналитики'!AQ717,'01_Вводные'!$B$156*MAX(0,'19_Расчет_аналитики'!AQ738))</f>
        <v/>
      </c>
      <c r="AR740">
        <f>MAX('01_Вводные'!$B$157*'19_Расчет_аналитики'!AR717,'01_Вводные'!$B$156*MAX(0,'19_Расчет_аналитики'!AR738))</f>
        <v/>
      </c>
      <c r="AS740">
        <f>MAX('01_Вводные'!$B$157*'19_Расчет_аналитики'!AS717,'01_Вводные'!$B$156*MAX(0,'19_Расчет_аналитики'!AS738))</f>
        <v/>
      </c>
      <c r="AT740">
        <f>MAX('01_Вводные'!$B$157*'19_Расчет_аналитики'!AT717,'01_Вводные'!$B$156*MAX(0,'19_Расчет_аналитики'!AT738))</f>
        <v/>
      </c>
      <c r="AU740">
        <f>MAX('01_Вводные'!$B$157*'19_Расчет_аналитики'!AU717,'01_Вводные'!$B$156*MAX(0,'19_Расчет_аналитики'!AU738))</f>
        <v/>
      </c>
      <c r="AV740">
        <f>MAX('01_Вводные'!$B$157*'19_Расчет_аналитики'!AV717,'01_Вводные'!$B$156*MAX(0,'19_Расчет_аналитики'!AV738))</f>
        <v/>
      </c>
      <c r="AW740">
        <f>MAX('01_Вводные'!$B$157*'19_Расчет_аналитики'!AW717,'01_Вводные'!$B$156*MAX(0,'19_Расчет_аналитики'!AW738))</f>
        <v/>
      </c>
      <c r="AX740">
        <f>MAX('01_Вводные'!$B$157*'19_Расчет_аналитики'!AX717,'01_Вводные'!$B$156*MAX(0,'19_Расчет_аналитики'!AX738))</f>
        <v/>
      </c>
      <c r="AY740">
        <f>MAX('01_Вводные'!$B$157*'19_Расчет_аналитики'!AY717,'01_Вводные'!$B$156*MAX(0,'19_Расчет_аналитики'!AY738))</f>
        <v/>
      </c>
      <c r="AZ740">
        <f>MAX('01_Вводные'!$B$157*'19_Расчет_аналитики'!AZ717,'01_Вводные'!$B$156*MAX(0,'19_Расчет_аналитики'!AZ738))</f>
        <v/>
      </c>
      <c r="BA740">
        <f>MAX('01_Вводные'!$B$157*'19_Расчет_аналитики'!BA717,'01_Вводные'!$B$156*MAX(0,'19_Расчет_аналитики'!BA738))</f>
        <v/>
      </c>
      <c r="BB740">
        <f>MAX('01_Вводные'!$B$157*'19_Расчет_аналитики'!BB717,'01_Вводные'!$B$156*MAX(0,'19_Расчет_аналитики'!BB738))</f>
        <v/>
      </c>
      <c r="BC740">
        <f>MAX('01_Вводные'!$B$157*'19_Расчет_аналитики'!BC717,'01_Вводные'!$B$156*MAX(0,'19_Расчет_аналитики'!BC738))</f>
        <v/>
      </c>
      <c r="BD740">
        <f>MAX('01_Вводные'!$B$157*'19_Расчет_аналитики'!BD717,'01_Вводные'!$B$156*MAX(0,'19_Расчет_аналитики'!BD738))</f>
        <v/>
      </c>
      <c r="BE740">
        <f>MAX('01_Вводные'!$B$157*'19_Расчет_аналитики'!BE717,'01_Вводные'!$B$156*MAX(0,'19_Расчет_аналитики'!BE738))</f>
        <v/>
      </c>
      <c r="BF740">
        <f>MAX('01_Вводные'!$B$157*'19_Расчет_аналитики'!BF717,'01_Вводные'!$B$156*MAX(0,'19_Расчет_аналитики'!BF738))</f>
        <v/>
      </c>
      <c r="BG740">
        <f>MAX('01_Вводные'!$B$157*'19_Расчет_аналитики'!BG717,'01_Вводные'!$B$156*MAX(0,'19_Расчет_аналитики'!BG738))</f>
        <v/>
      </c>
      <c r="BH740">
        <f>MAX('01_Вводные'!$B$157*'19_Расчет_аналитики'!BH717,'01_Вводные'!$B$156*MAX(0,'19_Расчет_аналитики'!BH738))</f>
        <v/>
      </c>
      <c r="BI740">
        <f>MAX('01_Вводные'!$B$157*'19_Расчет_аналитики'!BI717,'01_Вводные'!$B$156*MAX(0,'19_Расчет_аналитики'!BI738))</f>
        <v/>
      </c>
    </row>
    <row r="741">
      <c r="B741">
        <f>'19_Расчет_аналитики'!B738-'19_Расчет_аналитики'!B740</f>
        <v/>
      </c>
      <c r="C741">
        <f>'19_Расчет_аналитики'!C738-'19_Расчет_аналитики'!C740</f>
        <v/>
      </c>
      <c r="D741">
        <f>'19_Расчет_аналитики'!D738-'19_Расчет_аналитики'!D740</f>
        <v/>
      </c>
      <c r="E741">
        <f>'19_Расчет_аналитики'!E738-'19_Расчет_аналитики'!E740</f>
        <v/>
      </c>
      <c r="F741">
        <f>'19_Расчет_аналитики'!F738-'19_Расчет_аналитики'!F740</f>
        <v/>
      </c>
      <c r="G741">
        <f>'19_Расчет_аналитики'!G738-'19_Расчет_аналитики'!G740</f>
        <v/>
      </c>
      <c r="H741">
        <f>'19_Расчет_аналитики'!H738-'19_Расчет_аналитики'!H740</f>
        <v/>
      </c>
      <c r="I741">
        <f>'19_Расчет_аналитики'!I738-'19_Расчет_аналитики'!I740</f>
        <v/>
      </c>
      <c r="J741">
        <f>'19_Расчет_аналитики'!J738-'19_Расчет_аналитики'!J740</f>
        <v/>
      </c>
      <c r="K741">
        <f>'19_Расчет_аналитики'!K738-'19_Расчет_аналитики'!K740</f>
        <v/>
      </c>
      <c r="L741">
        <f>'19_Расчет_аналитики'!L738-'19_Расчет_аналитики'!L740</f>
        <v/>
      </c>
      <c r="M741">
        <f>'19_Расчет_аналитики'!M738-'19_Расчет_аналитики'!M740</f>
        <v/>
      </c>
      <c r="N741">
        <f>'19_Расчет_аналитики'!N738-'19_Расчет_аналитики'!N740</f>
        <v/>
      </c>
      <c r="O741">
        <f>'19_Расчет_аналитики'!O738-'19_Расчет_аналитики'!O740</f>
        <v/>
      </c>
      <c r="P741">
        <f>'19_Расчет_аналитики'!P738-'19_Расчет_аналитики'!P740</f>
        <v/>
      </c>
      <c r="Q741">
        <f>'19_Расчет_аналитики'!Q738-'19_Расчет_аналитики'!Q740</f>
        <v/>
      </c>
      <c r="R741">
        <f>'19_Расчет_аналитики'!R738-'19_Расчет_аналитики'!R740</f>
        <v/>
      </c>
      <c r="S741">
        <f>'19_Расчет_аналитики'!S738-'19_Расчет_аналитики'!S740</f>
        <v/>
      </c>
      <c r="T741">
        <f>'19_Расчет_аналитики'!T738-'19_Расчет_аналитики'!T740</f>
        <v/>
      </c>
      <c r="U741">
        <f>'19_Расчет_аналитики'!U738-'19_Расчет_аналитики'!U740</f>
        <v/>
      </c>
      <c r="V741">
        <f>'19_Расчет_аналитики'!V738-'19_Расчет_аналитики'!V740</f>
        <v/>
      </c>
      <c r="W741">
        <f>'19_Расчет_аналитики'!W738-'19_Расчет_аналитики'!W740</f>
        <v/>
      </c>
      <c r="X741">
        <f>'19_Расчет_аналитики'!X738-'19_Расчет_аналитики'!X740</f>
        <v/>
      </c>
      <c r="Y741">
        <f>'19_Расчет_аналитики'!Y738-'19_Расчет_аналитики'!Y740</f>
        <v/>
      </c>
      <c r="Z741">
        <f>'19_Расчет_аналитики'!Z738-'19_Расчет_аналитики'!Z740</f>
        <v/>
      </c>
      <c r="AA741">
        <f>'19_Расчет_аналитики'!AA738-'19_Расчет_аналитики'!AA740</f>
        <v/>
      </c>
      <c r="AB741">
        <f>'19_Расчет_аналитики'!AB738-'19_Расчет_аналитики'!AB740</f>
        <v/>
      </c>
      <c r="AC741">
        <f>'19_Расчет_аналитики'!AC738-'19_Расчет_аналитики'!AC740</f>
        <v/>
      </c>
      <c r="AD741">
        <f>'19_Расчет_аналитики'!AD738-'19_Расчет_аналитики'!AD740</f>
        <v/>
      </c>
      <c r="AE741">
        <f>'19_Расчет_аналитики'!AE738-'19_Расчет_аналитики'!AE740</f>
        <v/>
      </c>
      <c r="AF741">
        <f>'19_Расчет_аналитики'!AF738-'19_Расчет_аналитики'!AF740</f>
        <v/>
      </c>
      <c r="AG741">
        <f>'19_Расчет_аналитики'!AG738-'19_Расчет_аналитики'!AG740</f>
        <v/>
      </c>
      <c r="AH741">
        <f>'19_Расчет_аналитики'!AH738-'19_Расчет_аналитики'!AH740</f>
        <v/>
      </c>
      <c r="AI741">
        <f>'19_Расчет_аналитики'!AI738-'19_Расчет_аналитики'!AI740</f>
        <v/>
      </c>
      <c r="AJ741">
        <f>'19_Расчет_аналитики'!AJ738-'19_Расчет_аналитики'!AJ740</f>
        <v/>
      </c>
      <c r="AK741">
        <f>'19_Расчет_аналитики'!AK738-'19_Расчет_аналитики'!AK740</f>
        <v/>
      </c>
      <c r="AL741">
        <f>'19_Расчет_аналитики'!AL738-'19_Расчет_аналитики'!AL740</f>
        <v/>
      </c>
      <c r="AM741">
        <f>'19_Расчет_аналитики'!AM738-'19_Расчет_аналитики'!AM740</f>
        <v/>
      </c>
      <c r="AN741">
        <f>'19_Расчет_аналитики'!AN738-'19_Расчет_аналитики'!AN740</f>
        <v/>
      </c>
      <c r="AO741">
        <f>'19_Расчет_аналитики'!AO738-'19_Расчет_аналитики'!AO740</f>
        <v/>
      </c>
      <c r="AP741">
        <f>'19_Расчет_аналитики'!AP738-'19_Расчет_аналитики'!AP740</f>
        <v/>
      </c>
      <c r="AQ741">
        <f>'19_Расчет_аналитики'!AQ738-'19_Расчет_аналитики'!AQ740</f>
        <v/>
      </c>
      <c r="AR741">
        <f>'19_Расчет_аналитики'!AR738-'19_Расчет_аналитики'!AR740</f>
        <v/>
      </c>
      <c r="AS741">
        <f>'19_Расчет_аналитики'!AS738-'19_Расчет_аналитики'!AS740</f>
        <v/>
      </c>
      <c r="AT741">
        <f>'19_Расчет_аналитики'!AT738-'19_Расчет_аналитики'!AT740</f>
        <v/>
      </c>
      <c r="AU741">
        <f>'19_Расчет_аналитики'!AU738-'19_Расчет_аналитики'!AU740</f>
        <v/>
      </c>
      <c r="AV741">
        <f>'19_Расчет_аналитики'!AV738-'19_Расчет_аналитики'!AV740</f>
        <v/>
      </c>
      <c r="AW741">
        <f>'19_Расчет_аналитики'!AW738-'19_Расчет_аналитики'!AW740</f>
        <v/>
      </c>
      <c r="AX741">
        <f>'19_Расчет_аналитики'!AX738-'19_Расчет_аналитики'!AX740</f>
        <v/>
      </c>
      <c r="AY741">
        <f>'19_Расчет_аналитики'!AY738-'19_Расчет_аналитики'!AY740</f>
        <v/>
      </c>
      <c r="AZ741">
        <f>'19_Расчет_аналитики'!AZ738-'19_Расчет_аналитики'!AZ740</f>
        <v/>
      </c>
      <c r="BA741">
        <f>'19_Расчет_аналитики'!BA738-'19_Расчет_аналитики'!BA740</f>
        <v/>
      </c>
      <c r="BB741">
        <f>'19_Расчет_аналитики'!BB738-'19_Расчет_аналитики'!BB740</f>
        <v/>
      </c>
      <c r="BC741">
        <f>'19_Расчет_аналитики'!BC738-'19_Расчет_аналитики'!BC740</f>
        <v/>
      </c>
      <c r="BD741">
        <f>'19_Расчет_аналитики'!BD738-'19_Расчет_аналитики'!BD740</f>
        <v/>
      </c>
      <c r="BE741">
        <f>'19_Расчет_аналитики'!BE738-'19_Расчет_аналитики'!BE740</f>
        <v/>
      </c>
      <c r="BF741">
        <f>'19_Расчет_аналитики'!BF738-'19_Расчет_аналитики'!BF740</f>
        <v/>
      </c>
      <c r="BG741">
        <f>'19_Расчет_аналитики'!BG738-'19_Расчет_аналитики'!BG740</f>
        <v/>
      </c>
      <c r="BH741">
        <f>'19_Расчет_аналитики'!BH738-'19_Расчет_аналитики'!BH740</f>
        <v/>
      </c>
      <c r="BI741">
        <f>'19_Расчет_аналитики'!BI738-'19_Расчет_аналитики'!BI740</f>
        <v/>
      </c>
    </row>
    <row r="742"/>
    <row r="743"/>
    <row r="744"/>
    <row r="745">
      <c r="C745">
        <f>'19_Расчет_аналитики'!B766</f>
        <v/>
      </c>
      <c r="D745">
        <f>'19_Расчет_аналитики'!C766</f>
        <v/>
      </c>
      <c r="E745">
        <f>'19_Расчет_аналитики'!D766</f>
        <v/>
      </c>
      <c r="F745">
        <f>'19_Расчет_аналитики'!E766</f>
        <v/>
      </c>
      <c r="G745">
        <f>'19_Расчет_аналитики'!F766</f>
        <v/>
      </c>
      <c r="H745">
        <f>'19_Расчет_аналитики'!G766</f>
        <v/>
      </c>
      <c r="I745">
        <f>'19_Расчет_аналитики'!H766</f>
        <v/>
      </c>
      <c r="J745">
        <f>'19_Расчет_аналитики'!I766</f>
        <v/>
      </c>
      <c r="K745">
        <f>'19_Расчет_аналитики'!J766</f>
        <v/>
      </c>
      <c r="L745">
        <f>'19_Расчет_аналитики'!K766</f>
        <v/>
      </c>
      <c r="M745">
        <f>'19_Расчет_аналитики'!L766</f>
        <v/>
      </c>
      <c r="N745">
        <f>'19_Расчет_аналитики'!M766</f>
        <v/>
      </c>
      <c r="O745">
        <f>'19_Расчет_аналитики'!N766</f>
        <v/>
      </c>
      <c r="P745">
        <f>'19_Расчет_аналитики'!O766</f>
        <v/>
      </c>
      <c r="Q745">
        <f>'19_Расчет_аналитики'!P766</f>
        <v/>
      </c>
      <c r="R745">
        <f>'19_Расчет_аналитики'!Q766</f>
        <v/>
      </c>
      <c r="S745">
        <f>'19_Расчет_аналитики'!R766</f>
        <v/>
      </c>
      <c r="T745">
        <f>'19_Расчет_аналитики'!S766</f>
        <v/>
      </c>
      <c r="U745">
        <f>'19_Расчет_аналитики'!T766</f>
        <v/>
      </c>
      <c r="V745">
        <f>'19_Расчет_аналитики'!U766</f>
        <v/>
      </c>
      <c r="W745">
        <f>'19_Расчет_аналитики'!V766</f>
        <v/>
      </c>
      <c r="X745">
        <f>'19_Расчет_аналитики'!W766</f>
        <v/>
      </c>
      <c r="Y745">
        <f>'19_Расчет_аналитики'!X766</f>
        <v/>
      </c>
      <c r="Z745">
        <f>'19_Расчет_аналитики'!Y766</f>
        <v/>
      </c>
      <c r="AA745">
        <f>'19_Расчет_аналитики'!Z766</f>
        <v/>
      </c>
      <c r="AB745">
        <f>'19_Расчет_аналитики'!AA766</f>
        <v/>
      </c>
      <c r="AC745">
        <f>'19_Расчет_аналитики'!AB766</f>
        <v/>
      </c>
      <c r="AD745">
        <f>'19_Расчет_аналитики'!AC766</f>
        <v/>
      </c>
      <c r="AE745">
        <f>'19_Расчет_аналитики'!AD766</f>
        <v/>
      </c>
      <c r="AF745">
        <f>'19_Расчет_аналитики'!AE766</f>
        <v/>
      </c>
      <c r="AG745">
        <f>'19_Расчет_аналитики'!AF766</f>
        <v/>
      </c>
      <c r="AH745">
        <f>'19_Расчет_аналитики'!AG766</f>
        <v/>
      </c>
      <c r="AI745">
        <f>'19_Расчет_аналитики'!AH766</f>
        <v/>
      </c>
      <c r="AJ745">
        <f>'19_Расчет_аналитики'!AI766</f>
        <v/>
      </c>
      <c r="AK745">
        <f>'19_Расчет_аналитики'!AJ766</f>
        <v/>
      </c>
      <c r="AL745">
        <f>'19_Расчет_аналитики'!AK766</f>
        <v/>
      </c>
      <c r="AM745">
        <f>'19_Расчет_аналитики'!AL766</f>
        <v/>
      </c>
      <c r="AN745">
        <f>'19_Расчет_аналитики'!AM766</f>
        <v/>
      </c>
      <c r="AO745">
        <f>'19_Расчет_аналитики'!AN766</f>
        <v/>
      </c>
      <c r="AP745">
        <f>'19_Расчет_аналитики'!AO766</f>
        <v/>
      </c>
      <c r="AQ745">
        <f>'19_Расчет_аналитики'!AP766</f>
        <v/>
      </c>
      <c r="AR745">
        <f>'19_Расчет_аналитики'!AQ766</f>
        <v/>
      </c>
      <c r="AS745">
        <f>'19_Расчет_аналитики'!AR766</f>
        <v/>
      </c>
      <c r="AT745">
        <f>'19_Расчет_аналитики'!AS766</f>
        <v/>
      </c>
      <c r="AU745">
        <f>'19_Расчет_аналитики'!AT766</f>
        <v/>
      </c>
      <c r="AV745">
        <f>'19_Расчет_аналитики'!AU766</f>
        <v/>
      </c>
      <c r="AW745">
        <f>'19_Расчет_аналитики'!AV766</f>
        <v/>
      </c>
      <c r="AX745">
        <f>'19_Расчет_аналитики'!AW766</f>
        <v/>
      </c>
      <c r="AY745">
        <f>'19_Расчет_аналитики'!AX766</f>
        <v/>
      </c>
      <c r="AZ745">
        <f>'19_Расчет_аналитики'!AY766</f>
        <v/>
      </c>
      <c r="BA745">
        <f>'19_Расчет_аналитики'!AZ766</f>
        <v/>
      </c>
      <c r="BB745">
        <f>'19_Расчет_аналитики'!BA766</f>
        <v/>
      </c>
      <c r="BC745">
        <f>'19_Расчет_аналитики'!BB766</f>
        <v/>
      </c>
      <c r="BD745">
        <f>'19_Расчет_аналитики'!BC766</f>
        <v/>
      </c>
      <c r="BE745">
        <f>'19_Расчет_аналитики'!BD766</f>
        <v/>
      </c>
      <c r="BF745">
        <f>'19_Расчет_аналитики'!BE766</f>
        <v/>
      </c>
      <c r="BG745">
        <f>'19_Расчет_аналитики'!BF766</f>
        <v/>
      </c>
      <c r="BH745">
        <f>'19_Расчет_аналитики'!BG766</f>
        <v/>
      </c>
      <c r="BI745">
        <f>'19_Расчет_аналитики'!BH766</f>
        <v/>
      </c>
    </row>
    <row r="746">
      <c r="B746">
        <f>'02_Модель'!B52</f>
        <v/>
      </c>
      <c r="C746">
        <f>'19_Расчет_аналитики'!C348</f>
        <v/>
      </c>
      <c r="D746">
        <f>'19_Расчет_аналитики'!D348</f>
        <v/>
      </c>
      <c r="E746">
        <f>'19_Расчет_аналитики'!E348</f>
        <v/>
      </c>
      <c r="F746">
        <f>'19_Расчет_аналитики'!F348</f>
        <v/>
      </c>
      <c r="G746">
        <f>'19_Расчет_аналитики'!G348</f>
        <v/>
      </c>
      <c r="H746">
        <f>'19_Расчет_аналитики'!H348</f>
        <v/>
      </c>
      <c r="I746">
        <f>'19_Расчет_аналитики'!I348</f>
        <v/>
      </c>
      <c r="J746">
        <f>'19_Расчет_аналитики'!J348</f>
        <v/>
      </c>
      <c r="K746">
        <f>'19_Расчет_аналитики'!K348</f>
        <v/>
      </c>
      <c r="L746">
        <f>'19_Расчет_аналитики'!L348</f>
        <v/>
      </c>
      <c r="M746">
        <f>'19_Расчет_аналитики'!M348</f>
        <v/>
      </c>
      <c r="N746">
        <f>'19_Расчет_аналитики'!N348</f>
        <v/>
      </c>
      <c r="O746">
        <f>'19_Расчет_аналитики'!O348</f>
        <v/>
      </c>
      <c r="P746">
        <f>'19_Расчет_аналитики'!P348</f>
        <v/>
      </c>
      <c r="Q746">
        <f>'19_Расчет_аналитики'!Q348</f>
        <v/>
      </c>
      <c r="R746">
        <f>'19_Расчет_аналитики'!R348</f>
        <v/>
      </c>
      <c r="S746">
        <f>'19_Расчет_аналитики'!S348</f>
        <v/>
      </c>
      <c r="T746">
        <f>'19_Расчет_аналитики'!T348</f>
        <v/>
      </c>
      <c r="U746">
        <f>'19_Расчет_аналитики'!U348</f>
        <v/>
      </c>
      <c r="V746">
        <f>'19_Расчет_аналитики'!V348</f>
        <v/>
      </c>
      <c r="W746">
        <f>'19_Расчет_аналитики'!W348</f>
        <v/>
      </c>
      <c r="X746">
        <f>'19_Расчет_аналитики'!X348</f>
        <v/>
      </c>
      <c r="Y746">
        <f>'19_Расчет_аналитики'!Y348</f>
        <v/>
      </c>
      <c r="Z746">
        <f>'19_Расчет_аналитики'!Z348</f>
        <v/>
      </c>
      <c r="AA746">
        <f>'19_Расчет_аналитики'!AA348</f>
        <v/>
      </c>
      <c r="AB746">
        <f>'19_Расчет_аналитики'!AB348</f>
        <v/>
      </c>
      <c r="AC746">
        <f>'19_Расчет_аналитики'!AC348</f>
        <v/>
      </c>
      <c r="AD746">
        <f>'19_Расчет_аналитики'!AD348</f>
        <v/>
      </c>
      <c r="AE746">
        <f>'19_Расчет_аналитики'!AE348</f>
        <v/>
      </c>
      <c r="AF746">
        <f>'19_Расчет_аналитики'!AF348</f>
        <v/>
      </c>
      <c r="AG746">
        <f>'19_Расчет_аналитики'!AG348</f>
        <v/>
      </c>
      <c r="AH746">
        <f>'19_Расчет_аналитики'!AH348</f>
        <v/>
      </c>
      <c r="AI746">
        <f>'19_Расчет_аналитики'!AI348</f>
        <v/>
      </c>
      <c r="AJ746">
        <f>'19_Расчет_аналитики'!AJ348</f>
        <v/>
      </c>
      <c r="AK746">
        <f>'19_Расчет_аналитики'!AK348</f>
        <v/>
      </c>
      <c r="AL746">
        <f>'19_Расчет_аналитики'!AL348</f>
        <v/>
      </c>
      <c r="AM746">
        <f>'19_Расчет_аналитики'!AM348</f>
        <v/>
      </c>
      <c r="AN746">
        <f>'19_Расчет_аналитики'!AN348</f>
        <v/>
      </c>
      <c r="AO746">
        <f>'19_Расчет_аналитики'!AO348</f>
        <v/>
      </c>
      <c r="AP746">
        <f>'19_Расчет_аналитики'!AP348</f>
        <v/>
      </c>
      <c r="AQ746">
        <f>'19_Расчет_аналитики'!AQ348</f>
        <v/>
      </c>
      <c r="AR746">
        <f>'19_Расчет_аналитики'!AR348</f>
        <v/>
      </c>
      <c r="AS746">
        <f>'19_Расчет_аналитики'!AS348</f>
        <v/>
      </c>
      <c r="AT746">
        <f>'19_Расчет_аналитики'!AT348</f>
        <v/>
      </c>
      <c r="AU746">
        <f>'19_Расчет_аналитики'!AU348</f>
        <v/>
      </c>
      <c r="AV746">
        <f>'19_Расчет_аналитики'!AV348</f>
        <v/>
      </c>
      <c r="AW746">
        <f>'19_Расчет_аналитики'!AW348</f>
        <v/>
      </c>
      <c r="AX746">
        <f>'19_Расчет_аналитики'!AX348</f>
        <v/>
      </c>
      <c r="AY746">
        <f>'19_Расчет_аналитики'!AY348</f>
        <v/>
      </c>
      <c r="AZ746">
        <f>'19_Расчет_аналитики'!AZ348</f>
        <v/>
      </c>
      <c r="BA746">
        <f>'19_Расчет_аналитики'!BA348</f>
        <v/>
      </c>
      <c r="BB746">
        <f>'19_Расчет_аналитики'!BB348</f>
        <v/>
      </c>
      <c r="BC746">
        <f>'19_Расчет_аналитики'!BC348</f>
        <v/>
      </c>
      <c r="BD746">
        <f>'19_Расчет_аналитики'!BD348</f>
        <v/>
      </c>
      <c r="BE746">
        <f>'19_Расчет_аналитики'!BE348</f>
        <v/>
      </c>
      <c r="BF746">
        <f>'19_Расчет_аналитики'!BF348</f>
        <v/>
      </c>
      <c r="BG746">
        <f>'19_Расчет_аналитики'!BG348</f>
        <v/>
      </c>
      <c r="BH746">
        <f>'19_Расчет_аналитики'!BH348</f>
        <v/>
      </c>
      <c r="BI746">
        <f>'19_Расчет_аналитики'!BI348</f>
        <v/>
      </c>
    </row>
    <row r="747">
      <c r="B747">
        <f>'19_Расчет_аналитики'!$B$32*('19_Расчет_аналитики'!B713+'19_Расчет_аналитики'!B714)*(1+'01_Вводные'!$B$58)+(1-'19_Расчет_аналитики'!$B$32)*0</f>
        <v/>
      </c>
      <c r="C747">
        <f>'19_Расчет_аналитики'!$B$32*('19_Расчет_аналитики'!C713+'19_Расчет_аналитики'!C714)*(1+'01_Вводные'!$B$58)+(1-'19_Расчет_аналитики'!$B$32)*('19_Расчет_аналитики'!B713+'19_Расчет_аналитики'!B714)*(1+'01_Вводные'!$B$58)</f>
        <v/>
      </c>
      <c r="D747">
        <f>'19_Расчет_аналитики'!$B$32*('19_Расчет_аналитики'!D713+'19_Расчет_аналитики'!D714)*(1+'01_Вводные'!$B$58)+(1-'19_Расчет_аналитики'!$B$32)*('19_Расчет_аналитики'!C713+'19_Расчет_аналитики'!C714)*(1+'01_Вводные'!$B$58)</f>
        <v/>
      </c>
      <c r="E747">
        <f>'19_Расчет_аналитики'!$B$32*('19_Расчет_аналитики'!E713+'19_Расчет_аналитики'!E714)*(1+'01_Вводные'!$B$58)+(1-'19_Расчет_аналитики'!$B$32)*('19_Расчет_аналитики'!D713+'19_Расчет_аналитики'!D714)*(1+'01_Вводные'!$B$58)</f>
        <v/>
      </c>
      <c r="F747">
        <f>'19_Расчет_аналитики'!$B$32*('19_Расчет_аналитики'!F713+'19_Расчет_аналитики'!F714)*(1+'01_Вводные'!$B$58)+(1-'19_Расчет_аналитики'!$B$32)*('19_Расчет_аналитики'!E713+'19_Расчет_аналитики'!E714)*(1+'01_Вводные'!$B$58)</f>
        <v/>
      </c>
      <c r="G747">
        <f>'19_Расчет_аналитики'!$B$32*('19_Расчет_аналитики'!G713+'19_Расчет_аналитики'!G714)*(1+'01_Вводные'!$B$58)+(1-'19_Расчет_аналитики'!$B$32)*('19_Расчет_аналитики'!F713+'19_Расчет_аналитики'!F714)*(1+'01_Вводные'!$B$58)</f>
        <v/>
      </c>
      <c r="H747">
        <f>'19_Расчет_аналитики'!$B$32*('19_Расчет_аналитики'!H713+'19_Расчет_аналитики'!H714)*(1+'01_Вводные'!$B$58)+(1-'19_Расчет_аналитики'!$B$32)*('19_Расчет_аналитики'!G713+'19_Расчет_аналитики'!G714)*(1+'01_Вводные'!$B$58)</f>
        <v/>
      </c>
      <c r="I747">
        <f>'19_Расчет_аналитики'!$B$32*('19_Расчет_аналитики'!I713+'19_Расчет_аналитики'!I714)*(1+'01_Вводные'!$B$58)+(1-'19_Расчет_аналитики'!$B$32)*('19_Расчет_аналитики'!H713+'19_Расчет_аналитики'!H714)*(1+'01_Вводные'!$B$58)</f>
        <v/>
      </c>
      <c r="J747">
        <f>'19_Расчет_аналитики'!$B$32*('19_Расчет_аналитики'!J713+'19_Расчет_аналитики'!J714)*(1+'01_Вводные'!$B$58)+(1-'19_Расчет_аналитики'!$B$32)*('19_Расчет_аналитики'!I713+'19_Расчет_аналитики'!I714)*(1+'01_Вводные'!$B$58)</f>
        <v/>
      </c>
      <c r="K747">
        <f>'19_Расчет_аналитики'!$B$32*('19_Расчет_аналитики'!K713+'19_Расчет_аналитики'!K714)*(1+'01_Вводные'!$B$58)+(1-'19_Расчет_аналитики'!$B$32)*('19_Расчет_аналитики'!J713+'19_Расчет_аналитики'!J714)*(1+'01_Вводные'!$B$58)</f>
        <v/>
      </c>
      <c r="L747">
        <f>'19_Расчет_аналитики'!$B$32*('19_Расчет_аналитики'!L713+'19_Расчет_аналитики'!L714)*(1+'01_Вводные'!$B$58)+(1-'19_Расчет_аналитики'!$B$32)*('19_Расчет_аналитики'!K713+'19_Расчет_аналитики'!K714)*(1+'01_Вводные'!$B$58)</f>
        <v/>
      </c>
      <c r="M747">
        <f>'19_Расчет_аналитики'!$B$32*('19_Расчет_аналитики'!M713+'19_Расчет_аналитики'!M714)*(1+'01_Вводные'!$B$58)+(1-'19_Расчет_аналитики'!$B$32)*('19_Расчет_аналитики'!L713+'19_Расчет_аналитики'!L714)*(1+'01_Вводные'!$B$58)</f>
        <v/>
      </c>
      <c r="N747">
        <f>'19_Расчет_аналитики'!$B$32*('19_Расчет_аналитики'!N713+'19_Расчет_аналитики'!N714)*(1+'01_Вводные'!$B$58)+(1-'19_Расчет_аналитики'!$B$32)*('19_Расчет_аналитики'!M713+'19_Расчет_аналитики'!M714)*(1+'01_Вводные'!$B$58)</f>
        <v/>
      </c>
      <c r="O747">
        <f>'19_Расчет_аналитики'!$B$32*('19_Расчет_аналитики'!O713+'19_Расчет_аналитики'!O714)*(1+'01_Вводные'!$B$58)+(1-'19_Расчет_аналитики'!$B$32)*('19_Расчет_аналитики'!N713+'19_Расчет_аналитики'!N714)*(1+'01_Вводные'!$B$58)</f>
        <v/>
      </c>
      <c r="P747">
        <f>'19_Расчет_аналитики'!$B$32*('19_Расчет_аналитики'!P713+'19_Расчет_аналитики'!P714)*(1+'01_Вводные'!$B$58)+(1-'19_Расчет_аналитики'!$B$32)*('19_Расчет_аналитики'!O713+'19_Расчет_аналитики'!O714)*(1+'01_Вводные'!$B$58)</f>
        <v/>
      </c>
      <c r="Q747">
        <f>'19_Расчет_аналитики'!$B$32*('19_Расчет_аналитики'!Q713+'19_Расчет_аналитики'!Q714)*(1+'01_Вводные'!$B$58)+(1-'19_Расчет_аналитики'!$B$32)*('19_Расчет_аналитики'!P713+'19_Расчет_аналитики'!P714)*(1+'01_Вводные'!$B$58)</f>
        <v/>
      </c>
      <c r="R747">
        <f>'19_Расчет_аналитики'!$B$32*('19_Расчет_аналитики'!R713+'19_Расчет_аналитики'!R714)*(1+'01_Вводные'!$B$58)+(1-'19_Расчет_аналитики'!$B$32)*('19_Расчет_аналитики'!Q713+'19_Расчет_аналитики'!Q714)*(1+'01_Вводные'!$B$58)</f>
        <v/>
      </c>
      <c r="S747">
        <f>'19_Расчет_аналитики'!$B$32*('19_Расчет_аналитики'!S713+'19_Расчет_аналитики'!S714)*(1+'01_Вводные'!$B$58)+(1-'19_Расчет_аналитики'!$B$32)*('19_Расчет_аналитики'!R713+'19_Расчет_аналитики'!R714)*(1+'01_Вводные'!$B$58)</f>
        <v/>
      </c>
      <c r="T747">
        <f>'19_Расчет_аналитики'!$B$32*('19_Расчет_аналитики'!T713+'19_Расчет_аналитики'!T714)*(1+'01_Вводные'!$B$58)+(1-'19_Расчет_аналитики'!$B$32)*('19_Расчет_аналитики'!S713+'19_Расчет_аналитики'!S714)*(1+'01_Вводные'!$B$58)</f>
        <v/>
      </c>
      <c r="U747">
        <f>'19_Расчет_аналитики'!$B$32*('19_Расчет_аналитики'!U713+'19_Расчет_аналитики'!U714)*(1+'01_Вводные'!$B$58)+(1-'19_Расчет_аналитики'!$B$32)*('19_Расчет_аналитики'!T713+'19_Расчет_аналитики'!T714)*(1+'01_Вводные'!$B$58)</f>
        <v/>
      </c>
      <c r="V747">
        <f>'19_Расчет_аналитики'!$B$32*('19_Расчет_аналитики'!V713+'19_Расчет_аналитики'!V714)*(1+'01_Вводные'!$B$58)+(1-'19_Расчет_аналитики'!$B$32)*('19_Расчет_аналитики'!U713+'19_Расчет_аналитики'!U714)*(1+'01_Вводные'!$B$58)</f>
        <v/>
      </c>
      <c r="W747">
        <f>'19_Расчет_аналитики'!$B$32*('19_Расчет_аналитики'!W713+'19_Расчет_аналитики'!W714)*(1+'01_Вводные'!$B$58)+(1-'19_Расчет_аналитики'!$B$32)*('19_Расчет_аналитики'!V713+'19_Расчет_аналитики'!V714)*(1+'01_Вводные'!$B$58)</f>
        <v/>
      </c>
      <c r="X747">
        <f>'19_Расчет_аналитики'!$B$32*('19_Расчет_аналитики'!X713+'19_Расчет_аналитики'!X714)*(1+'01_Вводные'!$B$58)+(1-'19_Расчет_аналитики'!$B$32)*('19_Расчет_аналитики'!W713+'19_Расчет_аналитики'!W714)*(1+'01_Вводные'!$B$58)</f>
        <v/>
      </c>
      <c r="Y747">
        <f>'19_Расчет_аналитики'!$B$32*('19_Расчет_аналитики'!Y713+'19_Расчет_аналитики'!Y714)*(1+'01_Вводные'!$B$58)+(1-'19_Расчет_аналитики'!$B$32)*('19_Расчет_аналитики'!X713+'19_Расчет_аналитики'!X714)*(1+'01_Вводные'!$B$58)</f>
        <v/>
      </c>
      <c r="Z747">
        <f>'19_Расчет_аналитики'!$B$32*('19_Расчет_аналитики'!Z713+'19_Расчет_аналитики'!Z714)*(1+'01_Вводные'!$B$58)+(1-'19_Расчет_аналитики'!$B$32)*('19_Расчет_аналитики'!Y713+'19_Расчет_аналитики'!Y714)*(1+'01_Вводные'!$B$58)</f>
        <v/>
      </c>
      <c r="AA747">
        <f>'19_Расчет_аналитики'!$B$32*('19_Расчет_аналитики'!AA713+'19_Расчет_аналитики'!AA714)*(1+'01_Вводные'!$B$58)+(1-'19_Расчет_аналитики'!$B$32)*('19_Расчет_аналитики'!Z713+'19_Расчет_аналитики'!Z714)*(1+'01_Вводные'!$B$58)</f>
        <v/>
      </c>
      <c r="AB747">
        <f>'19_Расчет_аналитики'!$B$32*('19_Расчет_аналитики'!AB713+'19_Расчет_аналитики'!AB714)*(1+'01_Вводные'!$B$58)+(1-'19_Расчет_аналитики'!$B$32)*('19_Расчет_аналитики'!AA713+'19_Расчет_аналитики'!AA714)*(1+'01_Вводные'!$B$58)</f>
        <v/>
      </c>
      <c r="AC747">
        <f>'19_Расчет_аналитики'!$B$32*('19_Расчет_аналитики'!AC713+'19_Расчет_аналитики'!AC714)*(1+'01_Вводные'!$B$58)+(1-'19_Расчет_аналитики'!$B$32)*('19_Расчет_аналитики'!AB713+'19_Расчет_аналитики'!AB714)*(1+'01_Вводные'!$B$58)</f>
        <v/>
      </c>
      <c r="AD747">
        <f>'19_Расчет_аналитики'!$B$32*('19_Расчет_аналитики'!AD713+'19_Расчет_аналитики'!AD714)*(1+'01_Вводные'!$B$58)+(1-'19_Расчет_аналитики'!$B$32)*('19_Расчет_аналитики'!AC713+'19_Расчет_аналитики'!AC714)*(1+'01_Вводные'!$B$58)</f>
        <v/>
      </c>
      <c r="AE747">
        <f>'19_Расчет_аналитики'!$B$32*('19_Расчет_аналитики'!AE713+'19_Расчет_аналитики'!AE714)*(1+'01_Вводные'!$B$58)+(1-'19_Расчет_аналитики'!$B$32)*('19_Расчет_аналитики'!AD713+'19_Расчет_аналитики'!AD714)*(1+'01_Вводные'!$B$58)</f>
        <v/>
      </c>
      <c r="AF747">
        <f>'19_Расчет_аналитики'!$B$32*('19_Расчет_аналитики'!AF713+'19_Расчет_аналитики'!AF714)*(1+'01_Вводные'!$B$58)+(1-'19_Расчет_аналитики'!$B$32)*('19_Расчет_аналитики'!AE713+'19_Расчет_аналитики'!AE714)*(1+'01_Вводные'!$B$58)</f>
        <v/>
      </c>
      <c r="AG747">
        <f>'19_Расчет_аналитики'!$B$32*('19_Расчет_аналитики'!AG713+'19_Расчет_аналитики'!AG714)*(1+'01_Вводные'!$B$58)+(1-'19_Расчет_аналитики'!$B$32)*('19_Расчет_аналитики'!AF713+'19_Расчет_аналитики'!AF714)*(1+'01_Вводные'!$B$58)</f>
        <v/>
      </c>
      <c r="AH747">
        <f>'19_Расчет_аналитики'!$B$32*('19_Расчет_аналитики'!AH713+'19_Расчет_аналитики'!AH714)*(1+'01_Вводные'!$B$58)+(1-'19_Расчет_аналитики'!$B$32)*('19_Расчет_аналитики'!AG713+'19_Расчет_аналитики'!AG714)*(1+'01_Вводные'!$B$58)</f>
        <v/>
      </c>
      <c r="AI747">
        <f>'19_Расчет_аналитики'!$B$32*('19_Расчет_аналитики'!AI713+'19_Расчет_аналитики'!AI714)*(1+'01_Вводные'!$B$58)+(1-'19_Расчет_аналитики'!$B$32)*('19_Расчет_аналитики'!AH713+'19_Расчет_аналитики'!AH714)*(1+'01_Вводные'!$B$58)</f>
        <v/>
      </c>
      <c r="AJ747">
        <f>'19_Расчет_аналитики'!$B$32*('19_Расчет_аналитики'!AJ713+'19_Расчет_аналитики'!AJ714)*(1+'01_Вводные'!$B$58)+(1-'19_Расчет_аналитики'!$B$32)*('19_Расчет_аналитики'!AI713+'19_Расчет_аналитики'!AI714)*(1+'01_Вводные'!$B$58)</f>
        <v/>
      </c>
      <c r="AK747">
        <f>'19_Расчет_аналитики'!$B$32*('19_Расчет_аналитики'!AK713+'19_Расчет_аналитики'!AK714)*(1+'01_Вводные'!$B$58)+(1-'19_Расчет_аналитики'!$B$32)*('19_Расчет_аналитики'!AJ713+'19_Расчет_аналитики'!AJ714)*(1+'01_Вводные'!$B$58)</f>
        <v/>
      </c>
      <c r="AL747">
        <f>'19_Расчет_аналитики'!$B$32*('19_Расчет_аналитики'!AL713+'19_Расчет_аналитики'!AL714)*(1+'01_Вводные'!$B$58)+(1-'19_Расчет_аналитики'!$B$32)*('19_Расчет_аналитики'!AK713+'19_Расчет_аналитики'!AK714)*(1+'01_Вводные'!$B$58)</f>
        <v/>
      </c>
      <c r="AM747">
        <f>'19_Расчет_аналитики'!$B$32*('19_Расчет_аналитики'!AM713+'19_Расчет_аналитики'!AM714)*(1+'01_Вводные'!$B$58)+(1-'19_Расчет_аналитики'!$B$32)*('19_Расчет_аналитики'!AL713+'19_Расчет_аналитики'!AL714)*(1+'01_Вводные'!$B$58)</f>
        <v/>
      </c>
      <c r="AN747">
        <f>'19_Расчет_аналитики'!$B$32*('19_Расчет_аналитики'!AN713+'19_Расчет_аналитики'!AN714)*(1+'01_Вводные'!$B$58)+(1-'19_Расчет_аналитики'!$B$32)*('19_Расчет_аналитики'!AM713+'19_Расчет_аналитики'!AM714)*(1+'01_Вводные'!$B$58)</f>
        <v/>
      </c>
      <c r="AO747">
        <f>'19_Расчет_аналитики'!$B$32*('19_Расчет_аналитики'!AO713+'19_Расчет_аналитики'!AO714)*(1+'01_Вводные'!$B$58)+(1-'19_Расчет_аналитики'!$B$32)*('19_Расчет_аналитики'!AN713+'19_Расчет_аналитики'!AN714)*(1+'01_Вводные'!$B$58)</f>
        <v/>
      </c>
      <c r="AP747">
        <f>'19_Расчет_аналитики'!$B$32*('19_Расчет_аналитики'!AP713+'19_Расчет_аналитики'!AP714)*(1+'01_Вводные'!$B$58)+(1-'19_Расчет_аналитики'!$B$32)*('19_Расчет_аналитики'!AO713+'19_Расчет_аналитики'!AO714)*(1+'01_Вводные'!$B$58)</f>
        <v/>
      </c>
      <c r="AQ747">
        <f>'19_Расчет_аналитики'!$B$32*('19_Расчет_аналитики'!AQ713+'19_Расчет_аналитики'!AQ714)*(1+'01_Вводные'!$B$58)+(1-'19_Расчет_аналитики'!$B$32)*('19_Расчет_аналитики'!AP713+'19_Расчет_аналитики'!AP714)*(1+'01_Вводные'!$B$58)</f>
        <v/>
      </c>
      <c r="AR747">
        <f>'19_Расчет_аналитики'!$B$32*('19_Расчет_аналитики'!AR713+'19_Расчет_аналитики'!AR714)*(1+'01_Вводные'!$B$58)+(1-'19_Расчет_аналитики'!$B$32)*('19_Расчет_аналитики'!AQ713+'19_Расчет_аналитики'!AQ714)*(1+'01_Вводные'!$B$58)</f>
        <v/>
      </c>
      <c r="AS747">
        <f>'19_Расчет_аналитики'!$B$32*('19_Расчет_аналитики'!AS713+'19_Расчет_аналитики'!AS714)*(1+'01_Вводные'!$B$58)+(1-'19_Расчет_аналитики'!$B$32)*('19_Расчет_аналитики'!AR713+'19_Расчет_аналитики'!AR714)*(1+'01_Вводные'!$B$58)</f>
        <v/>
      </c>
      <c r="AT747">
        <f>'19_Расчет_аналитики'!$B$32*('19_Расчет_аналитики'!AT713+'19_Расчет_аналитики'!AT714)*(1+'01_Вводные'!$B$58)+(1-'19_Расчет_аналитики'!$B$32)*('19_Расчет_аналитики'!AS713+'19_Расчет_аналитики'!AS714)*(1+'01_Вводные'!$B$58)</f>
        <v/>
      </c>
      <c r="AU747">
        <f>'19_Расчет_аналитики'!$B$32*('19_Расчет_аналитики'!AU713+'19_Расчет_аналитики'!AU714)*(1+'01_Вводные'!$B$58)+(1-'19_Расчет_аналитики'!$B$32)*('19_Расчет_аналитики'!AT713+'19_Расчет_аналитики'!AT714)*(1+'01_Вводные'!$B$58)</f>
        <v/>
      </c>
      <c r="AV747">
        <f>'19_Расчет_аналитики'!$B$32*('19_Расчет_аналитики'!AV713+'19_Расчет_аналитики'!AV714)*(1+'01_Вводные'!$B$58)+(1-'19_Расчет_аналитики'!$B$32)*('19_Расчет_аналитики'!AU713+'19_Расчет_аналитики'!AU714)*(1+'01_Вводные'!$B$58)</f>
        <v/>
      </c>
      <c r="AW747">
        <f>'19_Расчет_аналитики'!$B$32*('19_Расчет_аналитики'!AW713+'19_Расчет_аналитики'!AW714)*(1+'01_Вводные'!$B$58)+(1-'19_Расчет_аналитики'!$B$32)*('19_Расчет_аналитики'!AV713+'19_Расчет_аналитики'!AV714)*(1+'01_Вводные'!$B$58)</f>
        <v/>
      </c>
      <c r="AX747">
        <f>'19_Расчет_аналитики'!$B$32*('19_Расчет_аналитики'!AX713+'19_Расчет_аналитики'!AX714)*(1+'01_Вводные'!$B$58)+(1-'19_Расчет_аналитики'!$B$32)*('19_Расчет_аналитики'!AW713+'19_Расчет_аналитики'!AW714)*(1+'01_Вводные'!$B$58)</f>
        <v/>
      </c>
      <c r="AY747">
        <f>'19_Расчет_аналитики'!$B$32*('19_Расчет_аналитики'!AY713+'19_Расчет_аналитики'!AY714)*(1+'01_Вводные'!$B$58)+(1-'19_Расчет_аналитики'!$B$32)*('19_Расчет_аналитики'!AX713+'19_Расчет_аналитики'!AX714)*(1+'01_Вводные'!$B$58)</f>
        <v/>
      </c>
      <c r="AZ747">
        <f>'19_Расчет_аналитики'!$B$32*('19_Расчет_аналитики'!AZ713+'19_Расчет_аналитики'!AZ714)*(1+'01_Вводные'!$B$58)+(1-'19_Расчет_аналитики'!$B$32)*('19_Расчет_аналитики'!AY713+'19_Расчет_аналитики'!AY714)*(1+'01_Вводные'!$B$58)</f>
        <v/>
      </c>
      <c r="BA747">
        <f>'19_Расчет_аналитики'!$B$32*('19_Расчет_аналитики'!BA713+'19_Расчет_аналитики'!BA714)*(1+'01_Вводные'!$B$58)+(1-'19_Расчет_аналитики'!$B$32)*('19_Расчет_аналитики'!AZ713+'19_Расчет_аналитики'!AZ714)*(1+'01_Вводные'!$B$58)</f>
        <v/>
      </c>
      <c r="BB747">
        <f>'19_Расчет_аналитики'!$B$32*('19_Расчет_аналитики'!BB713+'19_Расчет_аналитики'!BB714)*(1+'01_Вводные'!$B$58)+(1-'19_Расчет_аналитики'!$B$32)*('19_Расчет_аналитики'!BA713+'19_Расчет_аналитики'!BA714)*(1+'01_Вводные'!$B$58)</f>
        <v/>
      </c>
      <c r="BC747">
        <f>'19_Расчет_аналитики'!$B$32*('19_Расчет_аналитики'!BC713+'19_Расчет_аналитики'!BC714)*(1+'01_Вводные'!$B$58)+(1-'19_Расчет_аналитики'!$B$32)*('19_Расчет_аналитики'!BB713+'19_Расчет_аналитики'!BB714)*(1+'01_Вводные'!$B$58)</f>
        <v/>
      </c>
      <c r="BD747">
        <f>'19_Расчет_аналитики'!$B$32*('19_Расчет_аналитики'!BD713+'19_Расчет_аналитики'!BD714)*(1+'01_Вводные'!$B$58)+(1-'19_Расчет_аналитики'!$B$32)*('19_Расчет_аналитики'!BC713+'19_Расчет_аналитики'!BC714)*(1+'01_Вводные'!$B$58)</f>
        <v/>
      </c>
      <c r="BE747">
        <f>'19_Расчет_аналитики'!$B$32*('19_Расчет_аналитики'!BE713+'19_Расчет_аналитики'!BE714)*(1+'01_Вводные'!$B$58)+(1-'19_Расчет_аналитики'!$B$32)*('19_Расчет_аналитики'!BD713+'19_Расчет_аналитики'!BD714)*(1+'01_Вводные'!$B$58)</f>
        <v/>
      </c>
      <c r="BF747">
        <f>'19_Расчет_аналитики'!$B$32*('19_Расчет_аналитики'!BF713+'19_Расчет_аналитики'!BF714)*(1+'01_Вводные'!$B$58)+(1-'19_Расчет_аналитики'!$B$32)*('19_Расчет_аналитики'!BE713+'19_Расчет_аналитики'!BE714)*(1+'01_Вводные'!$B$58)</f>
        <v/>
      </c>
      <c r="BG747">
        <f>'19_Расчет_аналитики'!$B$32*('19_Расчет_аналитики'!BG713+'19_Расчет_аналитики'!BG714)*(1+'01_Вводные'!$B$58)+(1-'19_Расчет_аналитики'!$B$32)*('19_Расчет_аналитики'!BF713+'19_Расчет_аналитики'!BF714)*(1+'01_Вводные'!$B$58)</f>
        <v/>
      </c>
      <c r="BH747">
        <f>'19_Расчет_аналитики'!$B$32*('19_Расчет_аналитики'!BH713+'19_Расчет_аналитики'!BH714)*(1+'01_Вводные'!$B$58)+(1-'19_Расчет_аналитики'!$B$32)*('19_Расчет_аналитики'!BG713+'19_Расчет_аналитики'!BG714)*(1+'01_Вводные'!$B$58)</f>
        <v/>
      </c>
      <c r="BI747">
        <f>'19_Расчет_аналитики'!$B$32*('19_Расчет_аналитики'!BI713+'19_Расчет_аналитики'!BI714)*(1+'01_Вводные'!$B$58)+(1-'19_Расчет_аналитики'!$B$32)*('19_Расчет_аналитики'!BH713+'19_Расчет_аналитики'!BH714)*(1+'01_Вводные'!$B$58)</f>
        <v/>
      </c>
    </row>
    <row r="748">
      <c r="B748">
        <f>'19_Расчет_аналитики'!B615</f>
        <v/>
      </c>
      <c r="C748">
        <f>'19_Расчет_аналитики'!C615</f>
        <v/>
      </c>
      <c r="D748">
        <f>'19_Расчет_аналитики'!D615</f>
        <v/>
      </c>
      <c r="E748">
        <f>'19_Расчет_аналитики'!E615</f>
        <v/>
      </c>
      <c r="F748">
        <f>'19_Расчет_аналитики'!F615</f>
        <v/>
      </c>
      <c r="G748">
        <f>'19_Расчет_аналитики'!G615</f>
        <v/>
      </c>
      <c r="H748">
        <f>'19_Расчет_аналитики'!H615</f>
        <v/>
      </c>
      <c r="I748">
        <f>'19_Расчет_аналитики'!I615</f>
        <v/>
      </c>
      <c r="J748">
        <f>'19_Расчет_аналитики'!J615</f>
        <v/>
      </c>
      <c r="K748">
        <f>'19_Расчет_аналитики'!K615</f>
        <v/>
      </c>
      <c r="L748">
        <f>'19_Расчет_аналитики'!L615</f>
        <v/>
      </c>
      <c r="M748">
        <f>'19_Расчет_аналитики'!M615</f>
        <v/>
      </c>
      <c r="N748">
        <f>'19_Расчет_аналитики'!N615</f>
        <v/>
      </c>
      <c r="O748">
        <f>'19_Расчет_аналитики'!O615</f>
        <v/>
      </c>
      <c r="P748">
        <f>'19_Расчет_аналитики'!P615</f>
        <v/>
      </c>
      <c r="Q748">
        <f>'19_Расчет_аналитики'!Q615</f>
        <v/>
      </c>
      <c r="R748">
        <f>'19_Расчет_аналитики'!R615</f>
        <v/>
      </c>
      <c r="S748">
        <f>'19_Расчет_аналитики'!S615</f>
        <v/>
      </c>
      <c r="T748">
        <f>'19_Расчет_аналитики'!T615</f>
        <v/>
      </c>
      <c r="U748">
        <f>'19_Расчет_аналитики'!U615</f>
        <v/>
      </c>
      <c r="V748">
        <f>'19_Расчет_аналитики'!V615</f>
        <v/>
      </c>
      <c r="W748">
        <f>'19_Расчет_аналитики'!W615</f>
        <v/>
      </c>
      <c r="X748">
        <f>'19_Расчет_аналитики'!X615</f>
        <v/>
      </c>
      <c r="Y748">
        <f>'19_Расчет_аналитики'!Y615</f>
        <v/>
      </c>
      <c r="Z748">
        <f>'19_Расчет_аналитики'!Z615</f>
        <v/>
      </c>
      <c r="AA748">
        <f>'19_Расчет_аналитики'!AA615</f>
        <v/>
      </c>
      <c r="AB748">
        <f>'19_Расчет_аналитики'!AB615</f>
        <v/>
      </c>
      <c r="AC748">
        <f>'19_Расчет_аналитики'!AC615</f>
        <v/>
      </c>
      <c r="AD748">
        <f>'19_Расчет_аналитики'!AD615</f>
        <v/>
      </c>
      <c r="AE748">
        <f>'19_Расчет_аналитики'!AE615</f>
        <v/>
      </c>
      <c r="AF748">
        <f>'19_Расчет_аналитики'!AF615</f>
        <v/>
      </c>
      <c r="AG748">
        <f>'19_Расчет_аналитики'!AG615</f>
        <v/>
      </c>
      <c r="AH748">
        <f>'19_Расчет_аналитики'!AH615</f>
        <v/>
      </c>
      <c r="AI748">
        <f>'19_Расчет_аналитики'!AI615</f>
        <v/>
      </c>
      <c r="AJ748">
        <f>'19_Расчет_аналитики'!AJ615</f>
        <v/>
      </c>
      <c r="AK748">
        <f>'19_Расчет_аналитики'!AK615</f>
        <v/>
      </c>
      <c r="AL748">
        <f>'19_Расчет_аналитики'!AL615</f>
        <v/>
      </c>
      <c r="AM748">
        <f>'19_Расчет_аналитики'!AM615</f>
        <v/>
      </c>
      <c r="AN748">
        <f>'19_Расчет_аналитики'!AN615</f>
        <v/>
      </c>
      <c r="AO748">
        <f>'19_Расчет_аналитики'!AO615</f>
        <v/>
      </c>
      <c r="AP748">
        <f>'19_Расчет_аналитики'!AP615</f>
        <v/>
      </c>
      <c r="AQ748">
        <f>'19_Расчет_аналитики'!AQ615</f>
        <v/>
      </c>
      <c r="AR748">
        <f>'19_Расчет_аналитики'!AR615</f>
        <v/>
      </c>
      <c r="AS748">
        <f>'19_Расчет_аналитики'!AS615</f>
        <v/>
      </c>
      <c r="AT748">
        <f>'19_Расчет_аналитики'!AT615</f>
        <v/>
      </c>
      <c r="AU748">
        <f>'19_Расчет_аналитики'!AU615</f>
        <v/>
      </c>
      <c r="AV748">
        <f>'19_Расчет_аналитики'!AV615</f>
        <v/>
      </c>
      <c r="AW748">
        <f>'19_Расчет_аналитики'!AW615</f>
        <v/>
      </c>
      <c r="AX748">
        <f>'19_Расчет_аналитики'!AX615</f>
        <v/>
      </c>
      <c r="AY748">
        <f>'19_Расчет_аналитики'!AY615</f>
        <v/>
      </c>
      <c r="AZ748">
        <f>'19_Расчет_аналитики'!AZ615</f>
        <v/>
      </c>
      <c r="BA748">
        <f>'19_Расчет_аналитики'!BA615</f>
        <v/>
      </c>
      <c r="BB748">
        <f>'19_Расчет_аналитики'!BB615</f>
        <v/>
      </c>
      <c r="BC748">
        <f>'19_Расчет_аналитики'!BC615</f>
        <v/>
      </c>
      <c r="BD748">
        <f>'19_Расчет_аналитики'!BD615</f>
        <v/>
      </c>
      <c r="BE748">
        <f>'19_Расчет_аналитики'!BE615</f>
        <v/>
      </c>
      <c r="BF748">
        <f>'19_Расчет_аналитики'!BF615</f>
        <v/>
      </c>
      <c r="BG748">
        <f>'19_Расчет_аналитики'!BG615</f>
        <v/>
      </c>
      <c r="BH748">
        <f>'19_Расчет_аналитики'!BH615</f>
        <v/>
      </c>
      <c r="BI748">
        <f>'19_Расчет_аналитики'!BI615</f>
        <v/>
      </c>
    </row>
    <row r="749">
      <c r="B749">
        <f>'02_Модель'!B55</f>
        <v/>
      </c>
      <c r="C749">
        <f>'02_Модель'!C55</f>
        <v/>
      </c>
      <c r="D749">
        <f>'02_Модель'!D55</f>
        <v/>
      </c>
      <c r="E749">
        <f>'02_Модель'!E55</f>
        <v/>
      </c>
      <c r="F749">
        <f>'02_Модель'!F55</f>
        <v/>
      </c>
      <c r="G749">
        <f>'02_Модель'!G55</f>
        <v/>
      </c>
      <c r="H749">
        <f>'02_Модель'!H55</f>
        <v/>
      </c>
      <c r="I749">
        <f>'02_Модель'!I55</f>
        <v/>
      </c>
      <c r="J749">
        <f>'02_Модель'!J55</f>
        <v/>
      </c>
      <c r="K749">
        <f>'02_Модель'!K55</f>
        <v/>
      </c>
      <c r="L749">
        <f>'02_Модель'!L55</f>
        <v/>
      </c>
      <c r="M749">
        <f>'02_Модель'!M55</f>
        <v/>
      </c>
      <c r="N749">
        <f>'02_Модель'!N55</f>
        <v/>
      </c>
      <c r="O749">
        <f>'02_Модель'!O55</f>
        <v/>
      </c>
      <c r="P749">
        <f>'02_Модель'!P55</f>
        <v/>
      </c>
      <c r="Q749">
        <f>'02_Модель'!Q55</f>
        <v/>
      </c>
      <c r="R749">
        <f>'02_Модель'!R55</f>
        <v/>
      </c>
      <c r="S749">
        <f>'02_Модель'!S55</f>
        <v/>
      </c>
      <c r="T749">
        <f>'02_Модель'!T55</f>
        <v/>
      </c>
      <c r="U749">
        <f>'02_Модель'!U55</f>
        <v/>
      </c>
      <c r="V749">
        <f>'02_Модель'!V55</f>
        <v/>
      </c>
      <c r="W749">
        <f>'02_Модель'!W55</f>
        <v/>
      </c>
      <c r="X749">
        <f>'02_Модель'!X55</f>
        <v/>
      </c>
      <c r="Y749">
        <f>'02_Модель'!Y55</f>
        <v/>
      </c>
      <c r="Z749">
        <f>'02_Модель'!Z55</f>
        <v/>
      </c>
      <c r="AA749">
        <f>'02_Модель'!AA55</f>
        <v/>
      </c>
      <c r="AB749">
        <f>'02_Модель'!AB55</f>
        <v/>
      </c>
      <c r="AC749">
        <f>'02_Модель'!AC55</f>
        <v/>
      </c>
      <c r="AD749">
        <f>'02_Модель'!AD55</f>
        <v/>
      </c>
      <c r="AE749">
        <f>'02_Модель'!AE55</f>
        <v/>
      </c>
      <c r="AF749">
        <f>'02_Модель'!AF55</f>
        <v/>
      </c>
      <c r="AG749">
        <f>'02_Модель'!AG55</f>
        <v/>
      </c>
      <c r="AH749">
        <f>'02_Модель'!AH55</f>
        <v/>
      </c>
      <c r="AI749">
        <f>'02_Модель'!AI55</f>
        <v/>
      </c>
      <c r="AJ749">
        <f>'02_Модель'!AJ55</f>
        <v/>
      </c>
      <c r="AK749">
        <f>'02_Модель'!AK55</f>
        <v/>
      </c>
      <c r="AL749">
        <f>'02_Модель'!AL55</f>
        <v/>
      </c>
      <c r="AM749">
        <f>'02_Модель'!AM55</f>
        <v/>
      </c>
      <c r="AN749">
        <f>'02_Модель'!AN55</f>
        <v/>
      </c>
      <c r="AO749">
        <f>'02_Модель'!AO55</f>
        <v/>
      </c>
      <c r="AP749">
        <f>'02_Модель'!AP55</f>
        <v/>
      </c>
      <c r="AQ749">
        <f>'02_Модель'!AQ55</f>
        <v/>
      </c>
      <c r="AR749">
        <f>'02_Модель'!AR55</f>
        <v/>
      </c>
      <c r="AS749">
        <f>'02_Модель'!AS55</f>
        <v/>
      </c>
      <c r="AT749">
        <f>'02_Модель'!AT55</f>
        <v/>
      </c>
      <c r="AU749">
        <f>'02_Модель'!AU55</f>
        <v/>
      </c>
      <c r="AV749">
        <f>'02_Модель'!AV55</f>
        <v/>
      </c>
      <c r="AW749">
        <f>'02_Модель'!AW55</f>
        <v/>
      </c>
      <c r="AX749">
        <f>'02_Модель'!AX55</f>
        <v/>
      </c>
      <c r="AY749">
        <f>'02_Модель'!AY55</f>
        <v/>
      </c>
      <c r="AZ749">
        <f>'02_Модель'!AZ55</f>
        <v/>
      </c>
      <c r="BA749">
        <f>'02_Модель'!BA55</f>
        <v/>
      </c>
      <c r="BB749">
        <f>'02_Модель'!BB55</f>
        <v/>
      </c>
      <c r="BC749">
        <f>'02_Модель'!BC55</f>
        <v/>
      </c>
      <c r="BD749">
        <f>'02_Модель'!BD55</f>
        <v/>
      </c>
      <c r="BE749">
        <f>'02_Модель'!BE55</f>
        <v/>
      </c>
      <c r="BF749">
        <f>'02_Модель'!BF55</f>
        <v/>
      </c>
      <c r="BG749">
        <f>'02_Модель'!BG55</f>
        <v/>
      </c>
      <c r="BH749">
        <f>'02_Модель'!BH55</f>
        <v/>
      </c>
      <c r="BI749">
        <f>'02_Модель'!BI55</f>
        <v/>
      </c>
    </row>
    <row r="750">
      <c r="B750">
        <f>SUM('19_Расчет_аналитики'!B746:B749)</f>
        <v/>
      </c>
      <c r="C750">
        <f>SUM('19_Расчет_аналитики'!C746:C749)</f>
        <v/>
      </c>
      <c r="D750">
        <f>SUM('19_Расчет_аналитики'!D746:D749)</f>
        <v/>
      </c>
      <c r="E750">
        <f>SUM('19_Расчет_аналитики'!E746:E749)</f>
        <v/>
      </c>
      <c r="F750">
        <f>SUM('19_Расчет_аналитики'!F746:F749)</f>
        <v/>
      </c>
      <c r="G750">
        <f>SUM('19_Расчет_аналитики'!G746:G749)</f>
        <v/>
      </c>
      <c r="H750">
        <f>SUM('19_Расчет_аналитики'!H746:H749)</f>
        <v/>
      </c>
      <c r="I750">
        <f>SUM('19_Расчет_аналитики'!I746:I749)</f>
        <v/>
      </c>
      <c r="J750">
        <f>SUM('19_Расчет_аналитики'!J746:J749)</f>
        <v/>
      </c>
      <c r="K750">
        <f>SUM('19_Расчет_аналитики'!K746:K749)</f>
        <v/>
      </c>
      <c r="L750">
        <f>SUM('19_Расчет_аналитики'!L746:L749)</f>
        <v/>
      </c>
      <c r="M750">
        <f>SUM('19_Расчет_аналитики'!M746:M749)</f>
        <v/>
      </c>
      <c r="N750">
        <f>SUM('19_Расчет_аналитики'!N746:N749)</f>
        <v/>
      </c>
      <c r="O750">
        <f>SUM('19_Расчет_аналитики'!O746:O749)</f>
        <v/>
      </c>
      <c r="P750">
        <f>SUM('19_Расчет_аналитики'!P746:P749)</f>
        <v/>
      </c>
      <c r="Q750">
        <f>SUM('19_Расчет_аналитики'!Q746:Q749)</f>
        <v/>
      </c>
      <c r="R750">
        <f>SUM('19_Расчет_аналитики'!R746:R749)</f>
        <v/>
      </c>
      <c r="S750">
        <f>SUM('19_Расчет_аналитики'!S746:S749)</f>
        <v/>
      </c>
      <c r="T750">
        <f>SUM('19_Расчет_аналитики'!T746:T749)</f>
        <v/>
      </c>
      <c r="U750">
        <f>SUM('19_Расчет_аналитики'!U746:U749)</f>
        <v/>
      </c>
      <c r="V750">
        <f>SUM('19_Расчет_аналитики'!V746:V749)</f>
        <v/>
      </c>
      <c r="W750">
        <f>SUM('19_Расчет_аналитики'!W746:W749)</f>
        <v/>
      </c>
      <c r="X750">
        <f>SUM('19_Расчет_аналитики'!X746:X749)</f>
        <v/>
      </c>
      <c r="Y750">
        <f>SUM('19_Расчет_аналитики'!Y746:Y749)</f>
        <v/>
      </c>
      <c r="Z750">
        <f>SUM('19_Расчет_аналитики'!Z746:Z749)</f>
        <v/>
      </c>
      <c r="AA750">
        <f>SUM('19_Расчет_аналитики'!AA746:AA749)</f>
        <v/>
      </c>
      <c r="AB750">
        <f>SUM('19_Расчет_аналитики'!AB746:AB749)</f>
        <v/>
      </c>
      <c r="AC750">
        <f>SUM('19_Расчет_аналитики'!AC746:AC749)</f>
        <v/>
      </c>
      <c r="AD750">
        <f>SUM('19_Расчет_аналитики'!AD746:AD749)</f>
        <v/>
      </c>
      <c r="AE750">
        <f>SUM('19_Расчет_аналитики'!AE746:AE749)</f>
        <v/>
      </c>
      <c r="AF750">
        <f>SUM('19_Расчет_аналитики'!AF746:AF749)</f>
        <v/>
      </c>
      <c r="AG750">
        <f>SUM('19_Расчет_аналитики'!AG746:AG749)</f>
        <v/>
      </c>
      <c r="AH750">
        <f>SUM('19_Расчет_аналитики'!AH746:AH749)</f>
        <v/>
      </c>
      <c r="AI750">
        <f>SUM('19_Расчет_аналитики'!AI746:AI749)</f>
        <v/>
      </c>
      <c r="AJ750">
        <f>SUM('19_Расчет_аналитики'!AJ746:AJ749)</f>
        <v/>
      </c>
      <c r="AK750">
        <f>SUM('19_Расчет_аналитики'!AK746:AK749)</f>
        <v/>
      </c>
      <c r="AL750">
        <f>SUM('19_Расчет_аналитики'!AL746:AL749)</f>
        <v/>
      </c>
      <c r="AM750">
        <f>SUM('19_Расчет_аналитики'!AM746:AM749)</f>
        <v/>
      </c>
      <c r="AN750">
        <f>SUM('19_Расчет_аналитики'!AN746:AN749)</f>
        <v/>
      </c>
      <c r="AO750">
        <f>SUM('19_Расчет_аналитики'!AO746:AO749)</f>
        <v/>
      </c>
      <c r="AP750">
        <f>SUM('19_Расчет_аналитики'!AP746:AP749)</f>
        <v/>
      </c>
      <c r="AQ750">
        <f>SUM('19_Расчет_аналитики'!AQ746:AQ749)</f>
        <v/>
      </c>
      <c r="AR750">
        <f>SUM('19_Расчет_аналитики'!AR746:AR749)</f>
        <v/>
      </c>
      <c r="AS750">
        <f>SUM('19_Расчет_аналитики'!AS746:AS749)</f>
        <v/>
      </c>
      <c r="AT750">
        <f>SUM('19_Расчет_аналитики'!AT746:AT749)</f>
        <v/>
      </c>
      <c r="AU750">
        <f>SUM('19_Расчет_аналитики'!AU746:AU749)</f>
        <v/>
      </c>
      <c r="AV750">
        <f>SUM('19_Расчет_аналитики'!AV746:AV749)</f>
        <v/>
      </c>
      <c r="AW750">
        <f>SUM('19_Расчет_аналитики'!AW746:AW749)</f>
        <v/>
      </c>
      <c r="AX750">
        <f>SUM('19_Расчет_аналитики'!AX746:AX749)</f>
        <v/>
      </c>
      <c r="AY750">
        <f>SUM('19_Расчет_аналитики'!AY746:AY749)</f>
        <v/>
      </c>
      <c r="AZ750">
        <f>SUM('19_Расчет_аналитики'!AZ746:AZ749)</f>
        <v/>
      </c>
      <c r="BA750">
        <f>SUM('19_Расчет_аналитики'!BA746:BA749)</f>
        <v/>
      </c>
      <c r="BB750">
        <f>SUM('19_Расчет_аналитики'!BB746:BB749)</f>
        <v/>
      </c>
      <c r="BC750">
        <f>SUM('19_Расчет_аналитики'!BC746:BC749)</f>
        <v/>
      </c>
      <c r="BD750">
        <f>SUM('19_Расчет_аналитики'!BD746:BD749)</f>
        <v/>
      </c>
      <c r="BE750">
        <f>SUM('19_Расчет_аналитики'!BE746:BE749)</f>
        <v/>
      </c>
      <c r="BF750">
        <f>SUM('19_Расчет_аналитики'!BF746:BF749)</f>
        <v/>
      </c>
      <c r="BG750">
        <f>SUM('19_Расчет_аналитики'!BG746:BG749)</f>
        <v/>
      </c>
      <c r="BH750">
        <f>SUM('19_Расчет_аналитики'!BH746:BH749)</f>
        <v/>
      </c>
      <c r="BI750">
        <f>SUM('19_Расчет_аналитики'!BI746:BI749)</f>
        <v/>
      </c>
    </row>
    <row r="751">
      <c r="B751">
        <f>'19_Расчет_аналитики'!B793</f>
        <v/>
      </c>
      <c r="C751">
        <f>'19_Расчет_аналитики'!C793</f>
        <v/>
      </c>
      <c r="D751">
        <f>'19_Расчет_аналитики'!D793</f>
        <v/>
      </c>
      <c r="E751">
        <f>'19_Расчет_аналитики'!E793</f>
        <v/>
      </c>
      <c r="F751">
        <f>'19_Расчет_аналитики'!F793</f>
        <v/>
      </c>
      <c r="G751">
        <f>'19_Расчет_аналитики'!G793</f>
        <v/>
      </c>
      <c r="H751">
        <f>'19_Расчет_аналитики'!H793</f>
        <v/>
      </c>
      <c r="I751">
        <f>'19_Расчет_аналитики'!I793</f>
        <v/>
      </c>
      <c r="J751">
        <f>'19_Расчет_аналитики'!J793</f>
        <v/>
      </c>
      <c r="K751">
        <f>'19_Расчет_аналитики'!K793</f>
        <v/>
      </c>
      <c r="L751">
        <f>'19_Расчет_аналитики'!L793</f>
        <v/>
      </c>
      <c r="M751">
        <f>'19_Расчет_аналитики'!M793</f>
        <v/>
      </c>
      <c r="N751">
        <f>'19_Расчет_аналитики'!N793</f>
        <v/>
      </c>
      <c r="O751">
        <f>'19_Расчет_аналитики'!O793</f>
        <v/>
      </c>
      <c r="P751">
        <f>'19_Расчет_аналитики'!P793</f>
        <v/>
      </c>
      <c r="Q751">
        <f>'19_Расчет_аналитики'!Q793</f>
        <v/>
      </c>
      <c r="R751">
        <f>'19_Расчет_аналитики'!R793</f>
        <v/>
      </c>
      <c r="S751">
        <f>'19_Расчет_аналитики'!S793</f>
        <v/>
      </c>
      <c r="T751">
        <f>'19_Расчет_аналитики'!T793</f>
        <v/>
      </c>
      <c r="U751">
        <f>'19_Расчет_аналитики'!U793</f>
        <v/>
      </c>
      <c r="V751">
        <f>'19_Расчет_аналитики'!V793</f>
        <v/>
      </c>
      <c r="W751">
        <f>'19_Расчет_аналитики'!W793</f>
        <v/>
      </c>
      <c r="X751">
        <f>'19_Расчет_аналитики'!X793</f>
        <v/>
      </c>
      <c r="Y751">
        <f>'19_Расчет_аналитики'!Y793</f>
        <v/>
      </c>
      <c r="Z751">
        <f>'19_Расчет_аналитики'!Z793</f>
        <v/>
      </c>
      <c r="AA751">
        <f>'19_Расчет_аналитики'!AA793</f>
        <v/>
      </c>
      <c r="AB751">
        <f>'19_Расчет_аналитики'!AB793</f>
        <v/>
      </c>
      <c r="AC751">
        <f>'19_Расчет_аналитики'!AC793</f>
        <v/>
      </c>
      <c r="AD751">
        <f>'19_Расчет_аналитики'!AD793</f>
        <v/>
      </c>
      <c r="AE751">
        <f>'19_Расчет_аналитики'!AE793</f>
        <v/>
      </c>
      <c r="AF751">
        <f>'19_Расчет_аналитики'!AF793</f>
        <v/>
      </c>
      <c r="AG751">
        <f>'19_Расчет_аналитики'!AG793</f>
        <v/>
      </c>
      <c r="AH751">
        <f>'19_Расчет_аналитики'!AH793</f>
        <v/>
      </c>
      <c r="AI751">
        <f>'19_Расчет_аналитики'!AI793</f>
        <v/>
      </c>
      <c r="AJ751">
        <f>'19_Расчет_аналитики'!AJ793</f>
        <v/>
      </c>
      <c r="AK751">
        <f>'19_Расчет_аналитики'!AK793</f>
        <v/>
      </c>
      <c r="AL751">
        <f>'19_Расчет_аналитики'!AL793</f>
        <v/>
      </c>
      <c r="AM751">
        <f>'19_Расчет_аналитики'!AM793</f>
        <v/>
      </c>
      <c r="AN751">
        <f>'19_Расчет_аналитики'!AN793</f>
        <v/>
      </c>
      <c r="AO751">
        <f>'19_Расчет_аналитики'!AO793</f>
        <v/>
      </c>
      <c r="AP751">
        <f>'19_Расчет_аналитики'!AP793</f>
        <v/>
      </c>
      <c r="AQ751">
        <f>'19_Расчет_аналитики'!AQ793</f>
        <v/>
      </c>
      <c r="AR751">
        <f>'19_Расчет_аналитики'!AR793</f>
        <v/>
      </c>
      <c r="AS751">
        <f>'19_Расчет_аналитики'!AS793</f>
        <v/>
      </c>
      <c r="AT751">
        <f>'19_Расчет_аналитики'!AT793</f>
        <v/>
      </c>
      <c r="AU751">
        <f>'19_Расчет_аналитики'!AU793</f>
        <v/>
      </c>
      <c r="AV751">
        <f>'19_Расчет_аналитики'!AV793</f>
        <v/>
      </c>
      <c r="AW751">
        <f>'19_Расчет_аналитики'!AW793</f>
        <v/>
      </c>
      <c r="AX751">
        <f>'19_Расчет_аналитики'!AX793</f>
        <v/>
      </c>
      <c r="AY751">
        <f>'19_Расчет_аналитики'!AY793</f>
        <v/>
      </c>
      <c r="AZ751">
        <f>'19_Расчет_аналитики'!AZ793</f>
        <v/>
      </c>
      <c r="BA751">
        <f>'19_Расчет_аналитики'!BA793</f>
        <v/>
      </c>
      <c r="BB751">
        <f>'19_Расчет_аналитики'!BB793</f>
        <v/>
      </c>
      <c r="BC751">
        <f>'19_Расчет_аналитики'!BC793</f>
        <v/>
      </c>
      <c r="BD751">
        <f>'19_Расчет_аналитики'!BD793</f>
        <v/>
      </c>
      <c r="BE751">
        <f>'19_Расчет_аналитики'!BE793</f>
        <v/>
      </c>
      <c r="BF751">
        <f>'19_Расчет_аналитики'!BF793</f>
        <v/>
      </c>
      <c r="BG751">
        <f>'19_Расчет_аналитики'!BG793</f>
        <v/>
      </c>
      <c r="BH751">
        <f>'19_Расчет_аналитики'!BH793</f>
        <v/>
      </c>
      <c r="BI751">
        <f>'19_Расчет_аналитики'!BI793</f>
        <v/>
      </c>
    </row>
    <row r="752">
      <c r="B752">
        <f>'19_Расчет_аналитики'!B721</f>
        <v/>
      </c>
      <c r="C752">
        <f>'19_Расчет_аналитики'!C721</f>
        <v/>
      </c>
      <c r="D752">
        <f>'19_Расчет_аналитики'!D721</f>
        <v/>
      </c>
      <c r="E752">
        <f>'19_Расчет_аналитики'!E721</f>
        <v/>
      </c>
      <c r="F752">
        <f>'19_Расчет_аналитики'!F721</f>
        <v/>
      </c>
      <c r="G752">
        <f>'19_Расчет_аналитики'!G721</f>
        <v/>
      </c>
      <c r="H752">
        <f>'19_Расчет_аналитики'!H721</f>
        <v/>
      </c>
      <c r="I752">
        <f>'19_Расчет_аналитики'!I721</f>
        <v/>
      </c>
      <c r="J752">
        <f>'19_Расчет_аналитики'!J721</f>
        <v/>
      </c>
      <c r="K752">
        <f>'19_Расчет_аналитики'!K721</f>
        <v/>
      </c>
      <c r="L752">
        <f>'19_Расчет_аналитики'!L721</f>
        <v/>
      </c>
      <c r="M752">
        <f>'19_Расчет_аналитики'!M721</f>
        <v/>
      </c>
      <c r="N752">
        <f>'19_Расчет_аналитики'!N721</f>
        <v/>
      </c>
      <c r="O752">
        <f>'19_Расчет_аналитики'!O721</f>
        <v/>
      </c>
      <c r="P752">
        <f>'19_Расчет_аналитики'!P721</f>
        <v/>
      </c>
      <c r="Q752">
        <f>'19_Расчет_аналитики'!Q721</f>
        <v/>
      </c>
      <c r="R752">
        <f>'19_Расчет_аналитики'!R721</f>
        <v/>
      </c>
      <c r="S752">
        <f>'19_Расчет_аналитики'!S721</f>
        <v/>
      </c>
      <c r="T752">
        <f>'19_Расчет_аналитики'!T721</f>
        <v/>
      </c>
      <c r="U752">
        <f>'19_Расчет_аналитики'!U721</f>
        <v/>
      </c>
      <c r="V752">
        <f>'19_Расчет_аналитики'!V721</f>
        <v/>
      </c>
      <c r="W752">
        <f>'19_Расчет_аналитики'!W721</f>
        <v/>
      </c>
      <c r="X752">
        <f>'19_Расчет_аналитики'!X721</f>
        <v/>
      </c>
      <c r="Y752">
        <f>'19_Расчет_аналитики'!Y721</f>
        <v/>
      </c>
      <c r="Z752">
        <f>'19_Расчет_аналитики'!Z721</f>
        <v/>
      </c>
      <c r="AA752">
        <f>'19_Расчет_аналитики'!AA721</f>
        <v/>
      </c>
      <c r="AB752">
        <f>'19_Расчет_аналитики'!AB721</f>
        <v/>
      </c>
      <c r="AC752">
        <f>'19_Расчет_аналитики'!AC721</f>
        <v/>
      </c>
      <c r="AD752">
        <f>'19_Расчет_аналитики'!AD721</f>
        <v/>
      </c>
      <c r="AE752">
        <f>'19_Расчет_аналитики'!AE721</f>
        <v/>
      </c>
      <c r="AF752">
        <f>'19_Расчет_аналитики'!AF721</f>
        <v/>
      </c>
      <c r="AG752">
        <f>'19_Расчет_аналитики'!AG721</f>
        <v/>
      </c>
      <c r="AH752">
        <f>'19_Расчет_аналитики'!AH721</f>
        <v/>
      </c>
      <c r="AI752">
        <f>'19_Расчет_аналитики'!AI721</f>
        <v/>
      </c>
      <c r="AJ752">
        <f>'19_Расчет_аналитики'!AJ721</f>
        <v/>
      </c>
      <c r="AK752">
        <f>'19_Расчет_аналитики'!AK721</f>
        <v/>
      </c>
      <c r="AL752">
        <f>'19_Расчет_аналитики'!AL721</f>
        <v/>
      </c>
      <c r="AM752">
        <f>'19_Расчет_аналитики'!AM721</f>
        <v/>
      </c>
      <c r="AN752">
        <f>'19_Расчет_аналитики'!AN721</f>
        <v/>
      </c>
      <c r="AO752">
        <f>'19_Расчет_аналитики'!AO721</f>
        <v/>
      </c>
      <c r="AP752">
        <f>'19_Расчет_аналитики'!AP721</f>
        <v/>
      </c>
      <c r="AQ752">
        <f>'19_Расчет_аналитики'!AQ721</f>
        <v/>
      </c>
      <c r="AR752">
        <f>'19_Расчет_аналитики'!AR721</f>
        <v/>
      </c>
      <c r="AS752">
        <f>'19_Расчет_аналитики'!AS721</f>
        <v/>
      </c>
      <c r="AT752">
        <f>'19_Расчет_аналитики'!AT721</f>
        <v/>
      </c>
      <c r="AU752">
        <f>'19_Расчет_аналитики'!AU721</f>
        <v/>
      </c>
      <c r="AV752">
        <f>'19_Расчет_аналитики'!AV721</f>
        <v/>
      </c>
      <c r="AW752">
        <f>'19_Расчет_аналитики'!AW721</f>
        <v/>
      </c>
      <c r="AX752">
        <f>'19_Расчет_аналитики'!AX721</f>
        <v/>
      </c>
      <c r="AY752">
        <f>'19_Расчет_аналитики'!AY721</f>
        <v/>
      </c>
      <c r="AZ752">
        <f>'19_Расчет_аналитики'!AZ721</f>
        <v/>
      </c>
      <c r="BA752">
        <f>'19_Расчет_аналитики'!BA721</f>
        <v/>
      </c>
      <c r="BB752">
        <f>'19_Расчет_аналитики'!BB721</f>
        <v/>
      </c>
      <c r="BC752">
        <f>'19_Расчет_аналитики'!BC721</f>
        <v/>
      </c>
      <c r="BD752">
        <f>'19_Расчет_аналитики'!BD721</f>
        <v/>
      </c>
      <c r="BE752">
        <f>'19_Расчет_аналитики'!BE721</f>
        <v/>
      </c>
      <c r="BF752">
        <f>'19_Расчет_аналитики'!BF721</f>
        <v/>
      </c>
      <c r="BG752">
        <f>'19_Расчет_аналитики'!BG721</f>
        <v/>
      </c>
      <c r="BH752">
        <f>'19_Расчет_аналитики'!BH721</f>
        <v/>
      </c>
      <c r="BI752">
        <f>'19_Расчет_аналитики'!BI721</f>
        <v/>
      </c>
    </row>
    <row r="753">
      <c r="B753">
        <f>'01_Вводные'!$B$21*('19_Расчет_аналитики'!B731+'02_Модель'!B38+'02_Модель'!B39+'02_Модель'!B40+'02_Модель'!B41+'19_Расчет_аналитики'!B736+'19_Расчет_аналитики'!B626)+(1-'01_Вводные'!$B$21)*0</f>
        <v/>
      </c>
      <c r="C753">
        <f>'01_Вводные'!$B$21*('19_Расчет_аналитики'!C731+'02_Модель'!C38+'02_Модель'!C39+'02_Модель'!C40+'02_Модель'!C41+'19_Расчет_аналитики'!C736+'19_Расчет_аналитики'!C626)+(1-'01_Вводные'!$B$21)*('19_Расчет_аналитики'!B731+'02_Модель'!B38+'02_Модель'!B39+'02_Модель'!B40+'02_Модель'!B41+'19_Расчет_аналитики'!B736+'19_Расчет_аналитики'!B626)</f>
        <v/>
      </c>
      <c r="D753">
        <f>'01_Вводные'!$B$21*('19_Расчет_аналитики'!D731+'02_Модель'!D38+'02_Модель'!D39+'02_Модель'!D40+'02_Модель'!D41+'19_Расчет_аналитики'!D736+'19_Расчет_аналитики'!D626)+(1-'01_Вводные'!$B$21)*('19_Расчет_аналитики'!C731+'02_Модель'!C38+'02_Модель'!C39+'02_Модель'!C40+'02_Модель'!C41+'19_Расчет_аналитики'!C736+'19_Расчет_аналитики'!C626)</f>
        <v/>
      </c>
      <c r="E753">
        <f>'01_Вводные'!$B$21*('19_Расчет_аналитики'!E731+'02_Модель'!E38+'02_Модель'!E39+'02_Модель'!E40+'02_Модель'!E41+'19_Расчет_аналитики'!E736+'19_Расчет_аналитики'!E626)+(1-'01_Вводные'!$B$21)*('19_Расчет_аналитики'!D731+'02_Модель'!D38+'02_Модель'!D39+'02_Модель'!D40+'02_Модель'!D41+'19_Расчет_аналитики'!D736+'19_Расчет_аналитики'!D626)</f>
        <v/>
      </c>
      <c r="F753">
        <f>'01_Вводные'!$B$21*('19_Расчет_аналитики'!F731+'02_Модель'!F38+'02_Модель'!F39+'02_Модель'!F40+'02_Модель'!F41+'19_Расчет_аналитики'!F736+'19_Расчет_аналитики'!F626)+(1-'01_Вводные'!$B$21)*('19_Расчет_аналитики'!E731+'02_Модель'!E38+'02_Модель'!E39+'02_Модель'!E40+'02_Модель'!E41+'19_Расчет_аналитики'!E736+'19_Расчет_аналитики'!E626)</f>
        <v/>
      </c>
      <c r="G753">
        <f>'01_Вводные'!$B$21*('19_Расчет_аналитики'!G731+'02_Модель'!G38+'02_Модель'!G39+'02_Модель'!G40+'02_Модель'!G41+'19_Расчет_аналитики'!G736+'19_Расчет_аналитики'!G626)+(1-'01_Вводные'!$B$21)*('19_Расчет_аналитики'!F731+'02_Модель'!F38+'02_Модель'!F39+'02_Модель'!F40+'02_Модель'!F41+'19_Расчет_аналитики'!F736+'19_Расчет_аналитики'!F626)</f>
        <v/>
      </c>
      <c r="H753">
        <f>'01_Вводные'!$B$21*('19_Расчет_аналитики'!H731+'02_Модель'!H38+'02_Модель'!H39+'02_Модель'!H40+'02_Модель'!H41+'19_Расчет_аналитики'!H736+'19_Расчет_аналитики'!H626)+(1-'01_Вводные'!$B$21)*('19_Расчет_аналитики'!G731+'02_Модель'!G38+'02_Модель'!G39+'02_Модель'!G40+'02_Модель'!G41+'19_Расчет_аналитики'!G736+'19_Расчет_аналитики'!G626)</f>
        <v/>
      </c>
      <c r="I753">
        <f>'01_Вводные'!$B$21*('19_Расчет_аналитики'!I731+'02_Модель'!I38+'02_Модель'!I39+'02_Модель'!I40+'02_Модель'!I41+'19_Расчет_аналитики'!I736+'19_Расчет_аналитики'!I626)+(1-'01_Вводные'!$B$21)*('19_Расчет_аналитики'!H731+'02_Модель'!H38+'02_Модель'!H39+'02_Модель'!H40+'02_Модель'!H41+'19_Расчет_аналитики'!H736+'19_Расчет_аналитики'!H626)</f>
        <v/>
      </c>
      <c r="J753">
        <f>'01_Вводные'!$B$21*('19_Расчет_аналитики'!J731+'02_Модель'!J38+'02_Модель'!J39+'02_Модель'!J40+'02_Модель'!J41+'19_Расчет_аналитики'!J736+'19_Расчет_аналитики'!J626)+(1-'01_Вводные'!$B$21)*('19_Расчет_аналитики'!I731+'02_Модель'!I38+'02_Модель'!I39+'02_Модель'!I40+'02_Модель'!I41+'19_Расчет_аналитики'!I736+'19_Расчет_аналитики'!I626)</f>
        <v/>
      </c>
      <c r="K753">
        <f>'01_Вводные'!$B$21*('19_Расчет_аналитики'!K731+'02_Модель'!K38+'02_Модель'!K39+'02_Модель'!K40+'02_Модель'!K41+'19_Расчет_аналитики'!K736+'19_Расчет_аналитики'!K626)+(1-'01_Вводные'!$B$21)*('19_Расчет_аналитики'!J731+'02_Модель'!J38+'02_Модель'!J39+'02_Модель'!J40+'02_Модель'!J41+'19_Расчет_аналитики'!J736+'19_Расчет_аналитики'!J626)</f>
        <v/>
      </c>
      <c r="L753">
        <f>'01_Вводные'!$B$21*('19_Расчет_аналитики'!L731+'02_Модель'!L38+'02_Модель'!L39+'02_Модель'!L40+'02_Модель'!L41+'19_Расчет_аналитики'!L736+'19_Расчет_аналитики'!L626)+(1-'01_Вводные'!$B$21)*('19_Расчет_аналитики'!K731+'02_Модель'!K38+'02_Модель'!K39+'02_Модель'!K40+'02_Модель'!K41+'19_Расчет_аналитики'!K736+'19_Расчет_аналитики'!K626)</f>
        <v/>
      </c>
      <c r="M753">
        <f>'01_Вводные'!$B$21*('19_Расчет_аналитики'!M731+'02_Модель'!M38+'02_Модель'!M39+'02_Модель'!M40+'02_Модель'!M41+'19_Расчет_аналитики'!M736+'19_Расчет_аналитики'!M626)+(1-'01_Вводные'!$B$21)*('19_Расчет_аналитики'!L731+'02_Модель'!L38+'02_Модель'!L39+'02_Модель'!L40+'02_Модель'!L41+'19_Расчет_аналитики'!L736+'19_Расчет_аналитики'!L626)</f>
        <v/>
      </c>
      <c r="N753">
        <f>'01_Вводные'!$B$21*('19_Расчет_аналитики'!N731+'02_Модель'!N38+'02_Модель'!N39+'02_Модель'!N40+'02_Модель'!N41+'19_Расчет_аналитики'!N736+'19_Расчет_аналитики'!N626)+(1-'01_Вводные'!$B$21)*('19_Расчет_аналитики'!M731+'02_Модель'!M38+'02_Модель'!M39+'02_Модель'!M40+'02_Модель'!M41+'19_Расчет_аналитики'!M736+'19_Расчет_аналитики'!M626)</f>
        <v/>
      </c>
      <c r="O753">
        <f>'01_Вводные'!$B$21*('19_Расчет_аналитики'!O731+'02_Модель'!O38+'02_Модель'!O39+'02_Модель'!O40+'02_Модель'!O41+'19_Расчет_аналитики'!O736+'19_Расчет_аналитики'!O626)+(1-'01_Вводные'!$B$21)*('19_Расчет_аналитики'!N731+'02_Модель'!N38+'02_Модель'!N39+'02_Модель'!N40+'02_Модель'!N41+'19_Расчет_аналитики'!N736+'19_Расчет_аналитики'!N626)</f>
        <v/>
      </c>
      <c r="P753">
        <f>'01_Вводные'!$B$21*('19_Расчет_аналитики'!P731+'02_Модель'!P38+'02_Модель'!P39+'02_Модель'!P40+'02_Модель'!P41+'19_Расчет_аналитики'!P736+'19_Расчет_аналитики'!P626)+(1-'01_Вводные'!$B$21)*('19_Расчет_аналитики'!O731+'02_Модель'!O38+'02_Модель'!O39+'02_Модель'!O40+'02_Модель'!O41+'19_Расчет_аналитики'!O736+'19_Расчет_аналитики'!O626)</f>
        <v/>
      </c>
      <c r="Q753">
        <f>'01_Вводные'!$B$21*('19_Расчет_аналитики'!Q731+'02_Модель'!Q38+'02_Модель'!Q39+'02_Модель'!Q40+'02_Модель'!Q41+'19_Расчет_аналитики'!Q736+'19_Расчет_аналитики'!Q626)+(1-'01_Вводные'!$B$21)*('19_Расчет_аналитики'!P731+'02_Модель'!P38+'02_Модель'!P39+'02_Модель'!P40+'02_Модель'!P41+'19_Расчет_аналитики'!P736+'19_Расчет_аналитики'!P626)</f>
        <v/>
      </c>
      <c r="R753">
        <f>'01_Вводные'!$B$21*('19_Расчет_аналитики'!R731+'02_Модель'!R38+'02_Модель'!R39+'02_Модель'!R40+'02_Модель'!R41+'19_Расчет_аналитики'!R736+'19_Расчет_аналитики'!R626)+(1-'01_Вводные'!$B$21)*('19_Расчет_аналитики'!Q731+'02_Модель'!Q38+'02_Модель'!Q39+'02_Модель'!Q40+'02_Модель'!Q41+'19_Расчет_аналитики'!Q736+'19_Расчет_аналитики'!Q626)</f>
        <v/>
      </c>
      <c r="S753">
        <f>'01_Вводные'!$B$21*('19_Расчет_аналитики'!S731+'02_Модель'!S38+'02_Модель'!S39+'02_Модель'!S40+'02_Модель'!S41+'19_Расчет_аналитики'!S736+'19_Расчет_аналитики'!S626)+(1-'01_Вводные'!$B$21)*('19_Расчет_аналитики'!R731+'02_Модель'!R38+'02_Модель'!R39+'02_Модель'!R40+'02_Модель'!R41+'19_Расчет_аналитики'!R736+'19_Расчет_аналитики'!R626)</f>
        <v/>
      </c>
      <c r="T753">
        <f>'01_Вводные'!$B$21*('19_Расчет_аналитики'!T731+'02_Модель'!T38+'02_Модель'!T39+'02_Модель'!T40+'02_Модель'!T41+'19_Расчет_аналитики'!T736+'19_Расчет_аналитики'!T626)+(1-'01_Вводные'!$B$21)*('19_Расчет_аналитики'!S731+'02_Модель'!S38+'02_Модель'!S39+'02_Модель'!S40+'02_Модель'!S41+'19_Расчет_аналитики'!S736+'19_Расчет_аналитики'!S626)</f>
        <v/>
      </c>
      <c r="U753">
        <f>'01_Вводные'!$B$21*('19_Расчет_аналитики'!U731+'02_Модель'!U38+'02_Модель'!U39+'02_Модель'!U40+'02_Модель'!U41+'19_Расчет_аналитики'!U736+'19_Расчет_аналитики'!U626)+(1-'01_Вводные'!$B$21)*('19_Расчет_аналитики'!T731+'02_Модель'!T38+'02_Модель'!T39+'02_Модель'!T40+'02_Модель'!T41+'19_Расчет_аналитики'!T736+'19_Расчет_аналитики'!T626)</f>
        <v/>
      </c>
      <c r="V753">
        <f>'01_Вводные'!$B$21*('19_Расчет_аналитики'!V731+'02_Модель'!V38+'02_Модель'!V39+'02_Модель'!V40+'02_Модель'!V41+'19_Расчет_аналитики'!V736+'19_Расчет_аналитики'!V626)+(1-'01_Вводные'!$B$21)*('19_Расчет_аналитики'!U731+'02_Модель'!U38+'02_Модель'!U39+'02_Модель'!U40+'02_Модель'!U41+'19_Расчет_аналитики'!U736+'19_Расчет_аналитики'!U626)</f>
        <v/>
      </c>
      <c r="W753">
        <f>'01_Вводные'!$B$21*('19_Расчет_аналитики'!W731+'02_Модель'!W38+'02_Модель'!W39+'02_Модель'!W40+'02_Модель'!W41+'19_Расчет_аналитики'!W736+'19_Расчет_аналитики'!W626)+(1-'01_Вводные'!$B$21)*('19_Расчет_аналитики'!V731+'02_Модель'!V38+'02_Модель'!V39+'02_Модель'!V40+'02_Модель'!V41+'19_Расчет_аналитики'!V736+'19_Расчет_аналитики'!V626)</f>
        <v/>
      </c>
      <c r="X753">
        <f>'01_Вводные'!$B$21*('19_Расчет_аналитики'!X731+'02_Модель'!X38+'02_Модель'!X39+'02_Модель'!X40+'02_Модель'!X41+'19_Расчет_аналитики'!X736+'19_Расчет_аналитики'!X626)+(1-'01_Вводные'!$B$21)*('19_Расчет_аналитики'!W731+'02_Модель'!W38+'02_Модель'!W39+'02_Модель'!W40+'02_Модель'!W41+'19_Расчет_аналитики'!W736+'19_Расчет_аналитики'!W626)</f>
        <v/>
      </c>
      <c r="Y753">
        <f>'01_Вводные'!$B$21*('19_Расчет_аналитики'!Y731+'02_Модель'!Y38+'02_Модель'!Y39+'02_Модель'!Y40+'02_Модель'!Y41+'19_Расчет_аналитики'!Y736+'19_Расчет_аналитики'!Y626)+(1-'01_Вводные'!$B$21)*('19_Расчет_аналитики'!X731+'02_Модель'!X38+'02_Модель'!X39+'02_Модель'!X40+'02_Модель'!X41+'19_Расчет_аналитики'!X736+'19_Расчет_аналитики'!X626)</f>
        <v/>
      </c>
      <c r="Z753">
        <f>'01_Вводные'!$B$21*('19_Расчет_аналитики'!Z731+'02_Модель'!Z38+'02_Модель'!Z39+'02_Модель'!Z40+'02_Модель'!Z41+'19_Расчет_аналитики'!Z736+'19_Расчет_аналитики'!Z626)+(1-'01_Вводные'!$B$21)*('19_Расчет_аналитики'!Y731+'02_Модель'!Y38+'02_Модель'!Y39+'02_Модель'!Y40+'02_Модель'!Y41+'19_Расчет_аналитики'!Y736+'19_Расчет_аналитики'!Y626)</f>
        <v/>
      </c>
      <c r="AA753">
        <f>'01_Вводные'!$B$21*('19_Расчет_аналитики'!AA731+'02_Модель'!AA38+'02_Модель'!AA39+'02_Модель'!AA40+'02_Модель'!AA41+'19_Расчет_аналитики'!AA736+'19_Расчет_аналитики'!AA626)+(1-'01_Вводные'!$B$21)*('19_Расчет_аналитики'!Z731+'02_Модель'!Z38+'02_Модель'!Z39+'02_Модель'!Z40+'02_Модель'!Z41+'19_Расчет_аналитики'!Z736+'19_Расчет_аналитики'!Z626)</f>
        <v/>
      </c>
      <c r="AB753">
        <f>'01_Вводные'!$B$21*('19_Расчет_аналитики'!AB731+'02_Модель'!AB38+'02_Модель'!AB39+'02_Модель'!AB40+'02_Модель'!AB41+'19_Расчет_аналитики'!AB736+'19_Расчет_аналитики'!AB626)+(1-'01_Вводные'!$B$21)*('19_Расчет_аналитики'!AA731+'02_Модель'!AA38+'02_Модель'!AA39+'02_Модель'!AA40+'02_Модель'!AA41+'19_Расчет_аналитики'!AA736+'19_Расчет_аналитики'!AA626)</f>
        <v/>
      </c>
      <c r="AC753">
        <f>'01_Вводные'!$B$21*('19_Расчет_аналитики'!AC731+'02_Модель'!AC38+'02_Модель'!AC39+'02_Модель'!AC40+'02_Модель'!AC41+'19_Расчет_аналитики'!AC736+'19_Расчет_аналитики'!AC626)+(1-'01_Вводные'!$B$21)*('19_Расчет_аналитики'!AB731+'02_Модель'!AB38+'02_Модель'!AB39+'02_Модель'!AB40+'02_Модель'!AB41+'19_Расчет_аналитики'!AB736+'19_Расчет_аналитики'!AB626)</f>
        <v/>
      </c>
      <c r="AD753">
        <f>'01_Вводные'!$B$21*('19_Расчет_аналитики'!AD731+'02_Модель'!AD38+'02_Модель'!AD39+'02_Модель'!AD40+'02_Модель'!AD41+'19_Расчет_аналитики'!AD736+'19_Расчет_аналитики'!AD626)+(1-'01_Вводные'!$B$21)*('19_Расчет_аналитики'!AC731+'02_Модель'!AC38+'02_Модель'!AC39+'02_Модель'!AC40+'02_Модель'!AC41+'19_Расчет_аналитики'!AC736+'19_Расчет_аналитики'!AC626)</f>
        <v/>
      </c>
      <c r="AE753">
        <f>'01_Вводные'!$B$21*('19_Расчет_аналитики'!AE731+'02_Модель'!AE38+'02_Модель'!AE39+'02_Модель'!AE40+'02_Модель'!AE41+'19_Расчет_аналитики'!AE736+'19_Расчет_аналитики'!AE626)+(1-'01_Вводные'!$B$21)*('19_Расчет_аналитики'!AD731+'02_Модель'!AD38+'02_Модель'!AD39+'02_Модель'!AD40+'02_Модель'!AD41+'19_Расчет_аналитики'!AD736+'19_Расчет_аналитики'!AD626)</f>
        <v/>
      </c>
      <c r="AF753">
        <f>'01_Вводные'!$B$21*('19_Расчет_аналитики'!AF731+'02_Модель'!AF38+'02_Модель'!AF39+'02_Модель'!AF40+'02_Модель'!AF41+'19_Расчет_аналитики'!AF736+'19_Расчет_аналитики'!AF626)+(1-'01_Вводные'!$B$21)*('19_Расчет_аналитики'!AE731+'02_Модель'!AE38+'02_Модель'!AE39+'02_Модель'!AE40+'02_Модель'!AE41+'19_Расчет_аналитики'!AE736+'19_Расчет_аналитики'!AE626)</f>
        <v/>
      </c>
      <c r="AG753">
        <f>'01_Вводные'!$B$21*('19_Расчет_аналитики'!AG731+'02_Модель'!AG38+'02_Модель'!AG39+'02_Модель'!AG40+'02_Модель'!AG41+'19_Расчет_аналитики'!AG736+'19_Расчет_аналитики'!AG626)+(1-'01_Вводные'!$B$21)*('19_Расчет_аналитики'!AF731+'02_Модель'!AF38+'02_Модель'!AF39+'02_Модель'!AF40+'02_Модель'!AF41+'19_Расчет_аналитики'!AF736+'19_Расчет_аналитики'!AF626)</f>
        <v/>
      </c>
      <c r="AH753">
        <f>'01_Вводные'!$B$21*('19_Расчет_аналитики'!AH731+'02_Модель'!AH38+'02_Модель'!AH39+'02_Модель'!AH40+'02_Модель'!AH41+'19_Расчет_аналитики'!AH736+'19_Расчет_аналитики'!AH626)+(1-'01_Вводные'!$B$21)*('19_Расчет_аналитики'!AG731+'02_Модель'!AG38+'02_Модель'!AG39+'02_Модель'!AG40+'02_Модель'!AG41+'19_Расчет_аналитики'!AG736+'19_Расчет_аналитики'!AG626)</f>
        <v/>
      </c>
      <c r="AI753">
        <f>'01_Вводные'!$B$21*('19_Расчет_аналитики'!AI731+'02_Модель'!AI38+'02_Модель'!AI39+'02_Модель'!AI40+'02_Модель'!AI41+'19_Расчет_аналитики'!AI736+'19_Расчет_аналитики'!AI626)+(1-'01_Вводные'!$B$21)*('19_Расчет_аналитики'!AH731+'02_Модель'!AH38+'02_Модель'!AH39+'02_Модель'!AH40+'02_Модель'!AH41+'19_Расчет_аналитики'!AH736+'19_Расчет_аналитики'!AH626)</f>
        <v/>
      </c>
      <c r="AJ753">
        <f>'01_Вводные'!$B$21*('19_Расчет_аналитики'!AJ731+'02_Модель'!AJ38+'02_Модель'!AJ39+'02_Модель'!AJ40+'02_Модель'!AJ41+'19_Расчет_аналитики'!AJ736+'19_Расчет_аналитики'!AJ626)+(1-'01_Вводные'!$B$21)*('19_Расчет_аналитики'!AI731+'02_Модель'!AI38+'02_Модель'!AI39+'02_Модель'!AI40+'02_Модель'!AI41+'19_Расчет_аналитики'!AI736+'19_Расчет_аналитики'!AI626)</f>
        <v/>
      </c>
      <c r="AK753">
        <f>'01_Вводные'!$B$21*('19_Расчет_аналитики'!AK731+'02_Модель'!AK38+'02_Модель'!AK39+'02_Модель'!AK40+'02_Модель'!AK41+'19_Расчет_аналитики'!AK736+'19_Расчет_аналитики'!AK626)+(1-'01_Вводные'!$B$21)*('19_Расчет_аналитики'!AJ731+'02_Модель'!AJ38+'02_Модель'!AJ39+'02_Модель'!AJ40+'02_Модель'!AJ41+'19_Расчет_аналитики'!AJ736+'19_Расчет_аналитики'!AJ626)</f>
        <v/>
      </c>
      <c r="AL753">
        <f>'01_Вводные'!$B$21*('19_Расчет_аналитики'!AL731+'02_Модель'!AL38+'02_Модель'!AL39+'02_Модель'!AL40+'02_Модель'!AL41+'19_Расчет_аналитики'!AL736+'19_Расчет_аналитики'!AL626)+(1-'01_Вводные'!$B$21)*('19_Расчет_аналитики'!AK731+'02_Модель'!AK38+'02_Модель'!AK39+'02_Модель'!AK40+'02_Модель'!AK41+'19_Расчет_аналитики'!AK736+'19_Расчет_аналитики'!AK626)</f>
        <v/>
      </c>
      <c r="AM753">
        <f>'01_Вводные'!$B$21*('19_Расчет_аналитики'!AM731+'02_Модель'!AM38+'02_Модель'!AM39+'02_Модель'!AM40+'02_Модель'!AM41+'19_Расчет_аналитики'!AM736+'19_Расчет_аналитики'!AM626)+(1-'01_Вводные'!$B$21)*('19_Расчет_аналитики'!AL731+'02_Модель'!AL38+'02_Модель'!AL39+'02_Модель'!AL40+'02_Модель'!AL41+'19_Расчет_аналитики'!AL736+'19_Расчет_аналитики'!AL626)</f>
        <v/>
      </c>
      <c r="AN753">
        <f>'01_Вводные'!$B$21*('19_Расчет_аналитики'!AN731+'02_Модель'!AN38+'02_Модель'!AN39+'02_Модель'!AN40+'02_Модель'!AN41+'19_Расчет_аналитики'!AN736+'19_Расчет_аналитики'!AN626)+(1-'01_Вводные'!$B$21)*('19_Расчет_аналитики'!AM731+'02_Модель'!AM38+'02_Модель'!AM39+'02_Модель'!AM40+'02_Модель'!AM41+'19_Расчет_аналитики'!AM736+'19_Расчет_аналитики'!AM626)</f>
        <v/>
      </c>
      <c r="AO753">
        <f>'01_Вводные'!$B$21*('19_Расчет_аналитики'!AO731+'02_Модель'!AO38+'02_Модель'!AO39+'02_Модель'!AO40+'02_Модель'!AO41+'19_Расчет_аналитики'!AO736+'19_Расчет_аналитики'!AO626)+(1-'01_Вводные'!$B$21)*('19_Расчет_аналитики'!AN731+'02_Модель'!AN38+'02_Модель'!AN39+'02_Модель'!AN40+'02_Модель'!AN41+'19_Расчет_аналитики'!AN736+'19_Расчет_аналитики'!AN626)</f>
        <v/>
      </c>
      <c r="AP753">
        <f>'01_Вводные'!$B$21*('19_Расчет_аналитики'!AP731+'02_Модель'!AP38+'02_Модель'!AP39+'02_Модель'!AP40+'02_Модель'!AP41+'19_Расчет_аналитики'!AP736+'19_Расчет_аналитики'!AP626)+(1-'01_Вводные'!$B$21)*('19_Расчет_аналитики'!AO731+'02_Модель'!AO38+'02_Модель'!AO39+'02_Модель'!AO40+'02_Модель'!AO41+'19_Расчет_аналитики'!AO736+'19_Расчет_аналитики'!AO626)</f>
        <v/>
      </c>
      <c r="AQ753">
        <f>'01_Вводные'!$B$21*('19_Расчет_аналитики'!AQ731+'02_Модель'!AQ38+'02_Модель'!AQ39+'02_Модель'!AQ40+'02_Модель'!AQ41+'19_Расчет_аналитики'!AQ736+'19_Расчет_аналитики'!AQ626)+(1-'01_Вводные'!$B$21)*('19_Расчет_аналитики'!AP731+'02_Модель'!AP38+'02_Модель'!AP39+'02_Модель'!AP40+'02_Модель'!AP41+'19_Расчет_аналитики'!AP736+'19_Расчет_аналитики'!AP626)</f>
        <v/>
      </c>
      <c r="AR753">
        <f>'01_Вводные'!$B$21*('19_Расчет_аналитики'!AR731+'02_Модель'!AR38+'02_Модель'!AR39+'02_Модель'!AR40+'02_Модель'!AR41+'19_Расчет_аналитики'!AR736+'19_Расчет_аналитики'!AR626)+(1-'01_Вводные'!$B$21)*('19_Расчет_аналитики'!AQ731+'02_Модель'!AQ38+'02_Модель'!AQ39+'02_Модель'!AQ40+'02_Модель'!AQ41+'19_Расчет_аналитики'!AQ736+'19_Расчет_аналитики'!AQ626)</f>
        <v/>
      </c>
      <c r="AS753">
        <f>'01_Вводные'!$B$21*('19_Расчет_аналитики'!AS731+'02_Модель'!AS38+'02_Модель'!AS39+'02_Модель'!AS40+'02_Модель'!AS41+'19_Расчет_аналитики'!AS736+'19_Расчет_аналитики'!AS626)+(1-'01_Вводные'!$B$21)*('19_Расчет_аналитики'!AR731+'02_Модель'!AR38+'02_Модель'!AR39+'02_Модель'!AR40+'02_Модель'!AR41+'19_Расчет_аналитики'!AR736+'19_Расчет_аналитики'!AR626)</f>
        <v/>
      </c>
      <c r="AT753">
        <f>'01_Вводные'!$B$21*('19_Расчет_аналитики'!AT731+'02_Модель'!AT38+'02_Модель'!AT39+'02_Модель'!AT40+'02_Модель'!AT41+'19_Расчет_аналитики'!AT736+'19_Расчет_аналитики'!AT626)+(1-'01_Вводные'!$B$21)*('19_Расчет_аналитики'!AS731+'02_Модель'!AS38+'02_Модель'!AS39+'02_Модель'!AS40+'02_Модель'!AS41+'19_Расчет_аналитики'!AS736+'19_Расчет_аналитики'!AS626)</f>
        <v/>
      </c>
      <c r="AU753">
        <f>'01_Вводные'!$B$21*('19_Расчет_аналитики'!AU731+'02_Модель'!AU38+'02_Модель'!AU39+'02_Модель'!AU40+'02_Модель'!AU41+'19_Расчет_аналитики'!AU736+'19_Расчет_аналитики'!AU626)+(1-'01_Вводные'!$B$21)*('19_Расчет_аналитики'!AT731+'02_Модель'!AT38+'02_Модель'!AT39+'02_Модель'!AT40+'02_Модель'!AT41+'19_Расчет_аналитики'!AT736+'19_Расчет_аналитики'!AT626)</f>
        <v/>
      </c>
      <c r="AV753">
        <f>'01_Вводные'!$B$21*('19_Расчет_аналитики'!AV731+'02_Модель'!AV38+'02_Модель'!AV39+'02_Модель'!AV40+'02_Модель'!AV41+'19_Расчет_аналитики'!AV736+'19_Расчет_аналитики'!AV626)+(1-'01_Вводные'!$B$21)*('19_Расчет_аналитики'!AU731+'02_Модель'!AU38+'02_Модель'!AU39+'02_Модель'!AU40+'02_Модель'!AU41+'19_Расчет_аналитики'!AU736+'19_Расчет_аналитики'!AU626)</f>
        <v/>
      </c>
      <c r="AW753">
        <f>'01_Вводные'!$B$21*('19_Расчет_аналитики'!AW731+'02_Модель'!AW38+'02_Модель'!AW39+'02_Модель'!AW40+'02_Модель'!AW41+'19_Расчет_аналитики'!AW736+'19_Расчет_аналитики'!AW626)+(1-'01_Вводные'!$B$21)*('19_Расчет_аналитики'!AV731+'02_Модель'!AV38+'02_Модель'!AV39+'02_Модель'!AV40+'02_Модель'!AV41+'19_Расчет_аналитики'!AV736+'19_Расчет_аналитики'!AV626)</f>
        <v/>
      </c>
      <c r="AX753">
        <f>'01_Вводные'!$B$21*('19_Расчет_аналитики'!AX731+'02_Модель'!AX38+'02_Модель'!AX39+'02_Модель'!AX40+'02_Модель'!AX41+'19_Расчет_аналитики'!AX736+'19_Расчет_аналитики'!AX626)+(1-'01_Вводные'!$B$21)*('19_Расчет_аналитики'!AW731+'02_Модель'!AW38+'02_Модель'!AW39+'02_Модель'!AW40+'02_Модель'!AW41+'19_Расчет_аналитики'!AW736+'19_Расчет_аналитики'!AW626)</f>
        <v/>
      </c>
      <c r="AY753">
        <f>'01_Вводные'!$B$21*('19_Расчет_аналитики'!AY731+'02_Модель'!AY38+'02_Модель'!AY39+'02_Модель'!AY40+'02_Модель'!AY41+'19_Расчет_аналитики'!AY736+'19_Расчет_аналитики'!AY626)+(1-'01_Вводные'!$B$21)*('19_Расчет_аналитики'!AX731+'02_Модель'!AX38+'02_Модель'!AX39+'02_Модель'!AX40+'02_Модель'!AX41+'19_Расчет_аналитики'!AX736+'19_Расчет_аналитики'!AX626)</f>
        <v/>
      </c>
      <c r="AZ753">
        <f>'01_Вводные'!$B$21*('19_Расчет_аналитики'!AZ731+'02_Модель'!AZ38+'02_Модель'!AZ39+'02_Модель'!AZ40+'02_Модель'!AZ41+'19_Расчет_аналитики'!AZ736+'19_Расчет_аналитики'!AZ626)+(1-'01_Вводные'!$B$21)*('19_Расчет_аналитики'!AY731+'02_Модель'!AY38+'02_Модель'!AY39+'02_Модель'!AY40+'02_Модель'!AY41+'19_Расчет_аналитики'!AY736+'19_Расчет_аналитики'!AY626)</f>
        <v/>
      </c>
      <c r="BA753">
        <f>'01_Вводные'!$B$21*('19_Расчет_аналитики'!BA731+'02_Модель'!BA38+'02_Модель'!BA39+'02_Модель'!BA40+'02_Модель'!BA41+'19_Расчет_аналитики'!BA736+'19_Расчет_аналитики'!BA626)+(1-'01_Вводные'!$B$21)*('19_Расчет_аналитики'!AZ731+'02_Модель'!AZ38+'02_Модель'!AZ39+'02_Модель'!AZ40+'02_Модель'!AZ41+'19_Расчет_аналитики'!AZ736+'19_Расчет_аналитики'!AZ626)</f>
        <v/>
      </c>
      <c r="BB753">
        <f>'01_Вводные'!$B$21*('19_Расчет_аналитики'!BB731+'02_Модель'!BB38+'02_Модель'!BB39+'02_Модель'!BB40+'02_Модель'!BB41+'19_Расчет_аналитики'!BB736+'19_Расчет_аналитики'!BB626)+(1-'01_Вводные'!$B$21)*('19_Расчет_аналитики'!BA731+'02_Модель'!BA38+'02_Модель'!BA39+'02_Модель'!BA40+'02_Модель'!BA41+'19_Расчет_аналитики'!BA736+'19_Расчет_аналитики'!BA626)</f>
        <v/>
      </c>
      <c r="BC753">
        <f>'01_Вводные'!$B$21*('19_Расчет_аналитики'!BC731+'02_Модель'!BC38+'02_Модель'!BC39+'02_Модель'!BC40+'02_Модель'!BC41+'19_Расчет_аналитики'!BC736+'19_Расчет_аналитики'!BC626)+(1-'01_Вводные'!$B$21)*('19_Расчет_аналитики'!BB731+'02_Модель'!BB38+'02_Модель'!BB39+'02_Модель'!BB40+'02_Модель'!BB41+'19_Расчет_аналитики'!BB736+'19_Расчет_аналитики'!BB626)</f>
        <v/>
      </c>
      <c r="BD753">
        <f>'01_Вводные'!$B$21*('19_Расчет_аналитики'!BD731+'02_Модель'!BD38+'02_Модель'!BD39+'02_Модель'!BD40+'02_Модель'!BD41+'19_Расчет_аналитики'!BD736+'19_Расчет_аналитики'!BD626)+(1-'01_Вводные'!$B$21)*('19_Расчет_аналитики'!BC731+'02_Модель'!BC38+'02_Модель'!BC39+'02_Модель'!BC40+'02_Модель'!BC41+'19_Расчет_аналитики'!BC736+'19_Расчет_аналитики'!BC626)</f>
        <v/>
      </c>
      <c r="BE753">
        <f>'01_Вводные'!$B$21*('19_Расчет_аналитики'!BE731+'02_Модель'!BE38+'02_Модель'!BE39+'02_Модель'!BE40+'02_Модель'!BE41+'19_Расчет_аналитики'!BE736+'19_Расчет_аналитики'!BE626)+(1-'01_Вводные'!$B$21)*('19_Расчет_аналитики'!BD731+'02_Модель'!BD38+'02_Модель'!BD39+'02_Модель'!BD40+'02_Модель'!BD41+'19_Расчет_аналитики'!BD736+'19_Расчет_аналитики'!BD626)</f>
        <v/>
      </c>
      <c r="BF753">
        <f>'01_Вводные'!$B$21*('19_Расчет_аналитики'!BF731+'02_Модель'!BF38+'02_Модель'!BF39+'02_Модель'!BF40+'02_Модель'!BF41+'19_Расчет_аналитики'!BF736+'19_Расчет_аналитики'!BF626)+(1-'01_Вводные'!$B$21)*('19_Расчет_аналитики'!BE731+'02_Модель'!BE38+'02_Модель'!BE39+'02_Модель'!BE40+'02_Модель'!BE41+'19_Расчет_аналитики'!BE736+'19_Расчет_аналитики'!BE626)</f>
        <v/>
      </c>
      <c r="BG753">
        <f>'01_Вводные'!$B$21*('19_Расчет_аналитики'!BG731+'02_Модель'!BG38+'02_Модель'!BG39+'02_Модель'!BG40+'02_Модель'!BG41+'19_Расчет_аналитики'!BG736+'19_Расчет_аналитики'!BG626)+(1-'01_Вводные'!$B$21)*('19_Расчет_аналитики'!BF731+'02_Модель'!BF38+'02_Модель'!BF39+'02_Модель'!BF40+'02_Модель'!BF41+'19_Расчет_аналитики'!BF736+'19_Расчет_аналитики'!BF626)</f>
        <v/>
      </c>
      <c r="BH753">
        <f>'01_Вводные'!$B$21*('19_Расчет_аналитики'!BH731+'02_Модель'!BH38+'02_Модель'!BH39+'02_Модель'!BH40+'02_Модель'!BH41+'19_Расчет_аналитики'!BH736+'19_Расчет_аналитики'!BH626)+(1-'01_Вводные'!$B$21)*('19_Расчет_аналитики'!BG731+'02_Модель'!BG38+'02_Модель'!BG39+'02_Модель'!BG40+'02_Модель'!BG41+'19_Расчет_аналитики'!BG736+'19_Расчет_аналитики'!BG626)</f>
        <v/>
      </c>
      <c r="BI753">
        <f>'01_Вводные'!$B$21*('19_Расчет_аналитики'!BI731+'02_Модель'!BI38+'02_Модель'!BI39+'02_Модель'!BI40+'02_Модель'!BI41+'19_Расчет_аналитики'!BI736+'19_Расчет_аналитики'!BI626)+(1-'01_Вводные'!$B$21)*('19_Расчет_аналитики'!BH731+'02_Модель'!BH38+'02_Модель'!BH39+'02_Модель'!BH40+'02_Модель'!BH41+'19_Расчет_аналитики'!BH736+'19_Расчет_аналитики'!BH626)</f>
        <v/>
      </c>
    </row>
    <row r="754">
      <c r="B754">
        <f>'02_Модель'!B60</f>
        <v/>
      </c>
      <c r="C754">
        <f>'19_Расчет_аналитики'!C730</f>
        <v/>
      </c>
      <c r="D754">
        <f>'19_Расчет_аналитики'!D730</f>
        <v/>
      </c>
      <c r="E754">
        <f>'19_Расчет_аналитики'!E730</f>
        <v/>
      </c>
      <c r="F754">
        <f>'19_Расчет_аналитики'!F730</f>
        <v/>
      </c>
      <c r="G754">
        <f>'19_Расчет_аналитики'!G730</f>
        <v/>
      </c>
      <c r="H754">
        <f>'19_Расчет_аналитики'!H730</f>
        <v/>
      </c>
      <c r="I754">
        <f>'19_Расчет_аналитики'!I730</f>
        <v/>
      </c>
      <c r="J754">
        <f>'19_Расчет_аналитики'!J730</f>
        <v/>
      </c>
      <c r="K754">
        <f>'19_Расчет_аналитики'!K730</f>
        <v/>
      </c>
      <c r="L754">
        <f>'19_Расчет_аналитики'!L730</f>
        <v/>
      </c>
      <c r="M754">
        <f>'19_Расчет_аналитики'!M730</f>
        <v/>
      </c>
      <c r="N754">
        <f>'19_Расчет_аналитики'!N730</f>
        <v/>
      </c>
      <c r="O754">
        <f>'19_Расчет_аналитики'!O730</f>
        <v/>
      </c>
      <c r="P754">
        <f>'19_Расчет_аналитики'!P730</f>
        <v/>
      </c>
      <c r="Q754">
        <f>'19_Расчет_аналитики'!Q730</f>
        <v/>
      </c>
      <c r="R754">
        <f>'19_Расчет_аналитики'!R730</f>
        <v/>
      </c>
      <c r="S754">
        <f>'19_Расчет_аналитики'!S730</f>
        <v/>
      </c>
      <c r="T754">
        <f>'19_Расчет_аналитики'!T730</f>
        <v/>
      </c>
      <c r="U754">
        <f>'19_Расчет_аналитики'!U730</f>
        <v/>
      </c>
      <c r="V754">
        <f>'19_Расчет_аналитики'!V730</f>
        <v/>
      </c>
      <c r="W754">
        <f>'19_Расчет_аналитики'!W730</f>
        <v/>
      </c>
      <c r="X754">
        <f>'19_Расчет_аналитики'!X730</f>
        <v/>
      </c>
      <c r="Y754">
        <f>'19_Расчет_аналитики'!Y730</f>
        <v/>
      </c>
      <c r="Z754">
        <f>'19_Расчет_аналитики'!Z730</f>
        <v/>
      </c>
      <c r="AA754">
        <f>'19_Расчет_аналитики'!AA730</f>
        <v/>
      </c>
      <c r="AB754">
        <f>'19_Расчет_аналитики'!AB730</f>
        <v/>
      </c>
      <c r="AC754">
        <f>'19_Расчет_аналитики'!AC730</f>
        <v/>
      </c>
      <c r="AD754">
        <f>'19_Расчет_аналитики'!AD730</f>
        <v/>
      </c>
      <c r="AE754">
        <f>'19_Расчет_аналитики'!AE730</f>
        <v/>
      </c>
      <c r="AF754">
        <f>'19_Расчет_аналитики'!AF730</f>
        <v/>
      </c>
      <c r="AG754">
        <f>'19_Расчет_аналитики'!AG730</f>
        <v/>
      </c>
      <c r="AH754">
        <f>'19_Расчет_аналитики'!AH730</f>
        <v/>
      </c>
      <c r="AI754">
        <f>'19_Расчет_аналитики'!AI730</f>
        <v/>
      </c>
      <c r="AJ754">
        <f>'19_Расчет_аналитики'!AJ730</f>
        <v/>
      </c>
      <c r="AK754">
        <f>'19_Расчет_аналитики'!AK730</f>
        <v/>
      </c>
      <c r="AL754">
        <f>'19_Расчет_аналитики'!AL730</f>
        <v/>
      </c>
      <c r="AM754">
        <f>'19_Расчет_аналитики'!AM730</f>
        <v/>
      </c>
      <c r="AN754">
        <f>'19_Расчет_аналитики'!AN730</f>
        <v/>
      </c>
      <c r="AO754">
        <f>'19_Расчет_аналитики'!AO730</f>
        <v/>
      </c>
      <c r="AP754">
        <f>'19_Расчет_аналитики'!AP730</f>
        <v/>
      </c>
      <c r="AQ754">
        <f>'19_Расчет_аналитики'!AQ730</f>
        <v/>
      </c>
      <c r="AR754">
        <f>'19_Расчет_аналитики'!AR730</f>
        <v/>
      </c>
      <c r="AS754">
        <f>'19_Расчет_аналитики'!AS730</f>
        <v/>
      </c>
      <c r="AT754">
        <f>'19_Расчет_аналитики'!AT730</f>
        <v/>
      </c>
      <c r="AU754">
        <f>'19_Расчет_аналитики'!AU730</f>
        <v/>
      </c>
      <c r="AV754">
        <f>'19_Расчет_аналитики'!AV730</f>
        <v/>
      </c>
      <c r="AW754">
        <f>'19_Расчет_аналитики'!AW730</f>
        <v/>
      </c>
      <c r="AX754">
        <f>'19_Расчет_аналитики'!AX730</f>
        <v/>
      </c>
      <c r="AY754">
        <f>'19_Расчет_аналитики'!AY730</f>
        <v/>
      </c>
      <c r="AZ754">
        <f>'19_Расчет_аналитики'!AZ730</f>
        <v/>
      </c>
      <c r="BA754">
        <f>'19_Расчет_аналитики'!BA730</f>
        <v/>
      </c>
      <c r="BB754">
        <f>'19_Расчет_аналитики'!BB730</f>
        <v/>
      </c>
      <c r="BC754">
        <f>'19_Расчет_аналитики'!BC730</f>
        <v/>
      </c>
      <c r="BD754">
        <f>'19_Расчет_аналитики'!BD730</f>
        <v/>
      </c>
      <c r="BE754">
        <f>'19_Расчет_аналитики'!BE730</f>
        <v/>
      </c>
      <c r="BF754">
        <f>'19_Расчет_аналитики'!BF730</f>
        <v/>
      </c>
      <c r="BG754">
        <f>'19_Расчет_аналитики'!BG730</f>
        <v/>
      </c>
      <c r="BH754">
        <f>'19_Расчет_аналитики'!BH730</f>
        <v/>
      </c>
      <c r="BI754">
        <f>'19_Расчет_аналитики'!BI730</f>
        <v/>
      </c>
    </row>
    <row r="755">
      <c r="B755">
        <f>'02_Модель'!B29+('19_Расчет_аналитики'!B747/(1+'01_Вводные'!$B$58))*'01_Вводные'!$B$60+'19_Расчет_аналитики'!B722</f>
        <v/>
      </c>
      <c r="C755">
        <f>'19_Расчет_аналитики'!C723+('19_Расчет_аналитики'!C747/(1+'01_Вводные'!$B$58))*'01_Вводные'!$B$60+'19_Расчет_аналитики'!C722</f>
        <v/>
      </c>
      <c r="D755">
        <f>'19_Расчет_аналитики'!D723+('19_Расчет_аналитики'!D747/(1+'01_Вводные'!$B$58))*'01_Вводные'!$B$60+'19_Расчет_аналитики'!D722</f>
        <v/>
      </c>
      <c r="E755">
        <f>'19_Расчет_аналитики'!E723+('19_Расчет_аналитики'!E747/(1+'01_Вводные'!$B$58))*'01_Вводные'!$B$60+'19_Расчет_аналитики'!E722</f>
        <v/>
      </c>
      <c r="F755">
        <f>'19_Расчет_аналитики'!F723+('19_Расчет_аналитики'!F747/(1+'01_Вводные'!$B$58))*'01_Вводные'!$B$60+'19_Расчет_аналитики'!F722</f>
        <v/>
      </c>
      <c r="G755">
        <f>'19_Расчет_аналитики'!G723+('19_Расчет_аналитики'!G747/(1+'01_Вводные'!$B$58))*'01_Вводные'!$B$60+'19_Расчет_аналитики'!G722</f>
        <v/>
      </c>
      <c r="H755">
        <f>'19_Расчет_аналитики'!H723+('19_Расчет_аналитики'!H747/(1+'01_Вводные'!$B$58))*'01_Вводные'!$B$60+'19_Расчет_аналитики'!H722</f>
        <v/>
      </c>
      <c r="I755">
        <f>'19_Расчет_аналитики'!I723+('19_Расчет_аналитики'!I747/(1+'01_Вводные'!$B$58))*'01_Вводные'!$B$60+'19_Расчет_аналитики'!I722</f>
        <v/>
      </c>
      <c r="J755">
        <f>'19_Расчет_аналитики'!J723+('19_Расчет_аналитики'!J747/(1+'01_Вводные'!$B$58))*'01_Вводные'!$B$60+'19_Расчет_аналитики'!J722</f>
        <v/>
      </c>
      <c r="K755">
        <f>'19_Расчет_аналитики'!K723+('19_Расчет_аналитики'!K747/(1+'01_Вводные'!$B$58))*'01_Вводные'!$B$60+'19_Расчет_аналитики'!K722</f>
        <v/>
      </c>
      <c r="L755">
        <f>'19_Расчет_аналитики'!L723+('19_Расчет_аналитики'!L747/(1+'01_Вводные'!$B$58))*'01_Вводные'!$B$60+'19_Расчет_аналитики'!L722</f>
        <v/>
      </c>
      <c r="M755">
        <f>'19_Расчет_аналитики'!M723+('19_Расчет_аналитики'!M747/(1+'01_Вводные'!$B$58))*'01_Вводные'!$B$60+'19_Расчет_аналитики'!M722</f>
        <v/>
      </c>
      <c r="N755">
        <f>'19_Расчет_аналитики'!N723+('19_Расчет_аналитики'!N747/(1+'01_Вводные'!$B$58))*'01_Вводные'!$B$60+'19_Расчет_аналитики'!N722</f>
        <v/>
      </c>
      <c r="O755">
        <f>'19_Расчет_аналитики'!O723+('19_Расчет_аналитики'!O747/(1+'01_Вводные'!$B$58))*'01_Вводные'!$B$60+'19_Расчет_аналитики'!O722</f>
        <v/>
      </c>
      <c r="P755">
        <f>'19_Расчет_аналитики'!P723+('19_Расчет_аналитики'!P747/(1+'01_Вводные'!$B$58))*'01_Вводные'!$B$60+'19_Расчет_аналитики'!P722</f>
        <v/>
      </c>
      <c r="Q755">
        <f>'19_Расчет_аналитики'!Q723+('19_Расчет_аналитики'!Q747/(1+'01_Вводные'!$B$58))*'01_Вводные'!$B$60+'19_Расчет_аналитики'!Q722</f>
        <v/>
      </c>
      <c r="R755">
        <f>'19_Расчет_аналитики'!R723+('19_Расчет_аналитики'!R747/(1+'01_Вводные'!$B$58))*'01_Вводные'!$B$60+'19_Расчет_аналитики'!R722</f>
        <v/>
      </c>
      <c r="S755">
        <f>'19_Расчет_аналитики'!S723+('19_Расчет_аналитики'!S747/(1+'01_Вводные'!$B$58))*'01_Вводные'!$B$60+'19_Расчет_аналитики'!S722</f>
        <v/>
      </c>
      <c r="T755">
        <f>'19_Расчет_аналитики'!T723+('19_Расчет_аналитики'!T747/(1+'01_Вводные'!$B$58))*'01_Вводные'!$B$60+'19_Расчет_аналитики'!T722</f>
        <v/>
      </c>
      <c r="U755">
        <f>'19_Расчет_аналитики'!U723+('19_Расчет_аналитики'!U747/(1+'01_Вводные'!$B$58))*'01_Вводные'!$B$60+'19_Расчет_аналитики'!U722</f>
        <v/>
      </c>
      <c r="V755">
        <f>'19_Расчет_аналитики'!V723+('19_Расчет_аналитики'!V747/(1+'01_Вводные'!$B$58))*'01_Вводные'!$B$60+'19_Расчет_аналитики'!V722</f>
        <v/>
      </c>
      <c r="W755">
        <f>'19_Расчет_аналитики'!W723+('19_Расчет_аналитики'!W747/(1+'01_Вводные'!$B$58))*'01_Вводные'!$B$60+'19_Расчет_аналитики'!W722</f>
        <v/>
      </c>
      <c r="X755">
        <f>'19_Расчет_аналитики'!X723+('19_Расчет_аналитики'!X747/(1+'01_Вводные'!$B$58))*'01_Вводные'!$B$60+'19_Расчет_аналитики'!X722</f>
        <v/>
      </c>
      <c r="Y755">
        <f>'19_Расчет_аналитики'!Y723+('19_Расчет_аналитики'!Y747/(1+'01_Вводные'!$B$58))*'01_Вводные'!$B$60+'19_Расчет_аналитики'!Y722</f>
        <v/>
      </c>
      <c r="Z755">
        <f>'19_Расчет_аналитики'!Z723+('19_Расчет_аналитики'!Z747/(1+'01_Вводные'!$B$58))*'01_Вводные'!$B$60+'19_Расчет_аналитики'!Z722</f>
        <v/>
      </c>
      <c r="AA755">
        <f>'19_Расчет_аналитики'!AA723+('19_Расчет_аналитики'!AA747/(1+'01_Вводные'!$B$58))*'01_Вводные'!$B$60+'19_Расчет_аналитики'!AA722</f>
        <v/>
      </c>
      <c r="AB755">
        <f>'19_Расчет_аналитики'!AB723+('19_Расчет_аналитики'!AB747/(1+'01_Вводные'!$B$58))*'01_Вводные'!$B$60+'19_Расчет_аналитики'!AB722</f>
        <v/>
      </c>
      <c r="AC755">
        <f>'19_Расчет_аналитики'!AC723+('19_Расчет_аналитики'!AC747/(1+'01_Вводные'!$B$58))*'01_Вводные'!$B$60+'19_Расчет_аналитики'!AC722</f>
        <v/>
      </c>
      <c r="AD755">
        <f>'19_Расчет_аналитики'!AD723+('19_Расчет_аналитики'!AD747/(1+'01_Вводные'!$B$58))*'01_Вводные'!$B$60+'19_Расчет_аналитики'!AD722</f>
        <v/>
      </c>
      <c r="AE755">
        <f>'19_Расчет_аналитики'!AE723+('19_Расчет_аналитики'!AE747/(1+'01_Вводные'!$B$58))*'01_Вводные'!$B$60+'19_Расчет_аналитики'!AE722</f>
        <v/>
      </c>
      <c r="AF755">
        <f>'19_Расчет_аналитики'!AF723+('19_Расчет_аналитики'!AF747/(1+'01_Вводные'!$B$58))*'01_Вводные'!$B$60+'19_Расчет_аналитики'!AF722</f>
        <v/>
      </c>
      <c r="AG755">
        <f>'19_Расчет_аналитики'!AG723+('19_Расчет_аналитики'!AG747/(1+'01_Вводные'!$B$58))*'01_Вводные'!$B$60+'19_Расчет_аналитики'!AG722</f>
        <v/>
      </c>
      <c r="AH755">
        <f>'19_Расчет_аналитики'!AH723+('19_Расчет_аналитики'!AH747/(1+'01_Вводные'!$B$58))*'01_Вводные'!$B$60+'19_Расчет_аналитики'!AH722</f>
        <v/>
      </c>
      <c r="AI755">
        <f>'19_Расчет_аналитики'!AI723+('19_Расчет_аналитики'!AI747/(1+'01_Вводные'!$B$58))*'01_Вводные'!$B$60+'19_Расчет_аналитики'!AI722</f>
        <v/>
      </c>
      <c r="AJ755">
        <f>'19_Расчет_аналитики'!AJ723+('19_Расчет_аналитики'!AJ747/(1+'01_Вводные'!$B$58))*'01_Вводные'!$B$60+'19_Расчет_аналитики'!AJ722</f>
        <v/>
      </c>
      <c r="AK755">
        <f>'19_Расчет_аналитики'!AK723+('19_Расчет_аналитики'!AK747/(1+'01_Вводные'!$B$58))*'01_Вводные'!$B$60+'19_Расчет_аналитики'!AK722</f>
        <v/>
      </c>
      <c r="AL755">
        <f>'19_Расчет_аналитики'!AL723+('19_Расчет_аналитики'!AL747/(1+'01_Вводные'!$B$58))*'01_Вводные'!$B$60+'19_Расчет_аналитики'!AL722</f>
        <v/>
      </c>
      <c r="AM755">
        <f>'19_Расчет_аналитики'!AM723+('19_Расчет_аналитики'!AM747/(1+'01_Вводные'!$B$58))*'01_Вводные'!$B$60+'19_Расчет_аналитики'!AM722</f>
        <v/>
      </c>
      <c r="AN755">
        <f>'19_Расчет_аналитики'!AN723+('19_Расчет_аналитики'!AN747/(1+'01_Вводные'!$B$58))*'01_Вводные'!$B$60+'19_Расчет_аналитики'!AN722</f>
        <v/>
      </c>
      <c r="AO755">
        <f>'19_Расчет_аналитики'!AO723+('19_Расчет_аналитики'!AO747/(1+'01_Вводные'!$B$58))*'01_Вводные'!$B$60+'19_Расчет_аналитики'!AO722</f>
        <v/>
      </c>
      <c r="AP755">
        <f>'19_Расчет_аналитики'!AP723+('19_Расчет_аналитики'!AP747/(1+'01_Вводные'!$B$58))*'01_Вводные'!$B$60+'19_Расчет_аналитики'!AP722</f>
        <v/>
      </c>
      <c r="AQ755">
        <f>'19_Расчет_аналитики'!AQ723+('19_Расчет_аналитики'!AQ747/(1+'01_Вводные'!$B$58))*'01_Вводные'!$B$60+'19_Расчет_аналитики'!AQ722</f>
        <v/>
      </c>
      <c r="AR755">
        <f>'19_Расчет_аналитики'!AR723+('19_Расчет_аналитики'!AR747/(1+'01_Вводные'!$B$58))*'01_Вводные'!$B$60+'19_Расчет_аналитики'!AR722</f>
        <v/>
      </c>
      <c r="AS755">
        <f>'19_Расчет_аналитики'!AS723+('19_Расчет_аналитики'!AS747/(1+'01_Вводные'!$B$58))*'01_Вводные'!$B$60+'19_Расчет_аналитики'!AS722</f>
        <v/>
      </c>
      <c r="AT755">
        <f>'19_Расчет_аналитики'!AT723+('19_Расчет_аналитики'!AT747/(1+'01_Вводные'!$B$58))*'01_Вводные'!$B$60+'19_Расчет_аналитики'!AT722</f>
        <v/>
      </c>
      <c r="AU755">
        <f>'19_Расчет_аналитики'!AU723+('19_Расчет_аналитики'!AU747/(1+'01_Вводные'!$B$58))*'01_Вводные'!$B$60+'19_Расчет_аналитики'!AU722</f>
        <v/>
      </c>
      <c r="AV755">
        <f>'19_Расчет_аналитики'!AV723+('19_Расчет_аналитики'!AV747/(1+'01_Вводные'!$B$58))*'01_Вводные'!$B$60+'19_Расчет_аналитики'!AV722</f>
        <v/>
      </c>
      <c r="AW755">
        <f>'19_Расчет_аналитики'!AW723+('19_Расчет_аналитики'!AW747/(1+'01_Вводные'!$B$58))*'01_Вводные'!$B$60+'19_Расчет_аналитики'!AW722</f>
        <v/>
      </c>
      <c r="AX755">
        <f>'19_Расчет_аналитики'!AX723+('19_Расчет_аналитики'!AX747/(1+'01_Вводные'!$B$58))*'01_Вводные'!$B$60+'19_Расчет_аналитики'!AX722</f>
        <v/>
      </c>
      <c r="AY755">
        <f>'19_Расчет_аналитики'!AY723+('19_Расчет_аналитики'!AY747/(1+'01_Вводные'!$B$58))*'01_Вводные'!$B$60+'19_Расчет_аналитики'!AY722</f>
        <v/>
      </c>
      <c r="AZ755">
        <f>'19_Расчет_аналитики'!AZ723+('19_Расчет_аналитики'!AZ747/(1+'01_Вводные'!$B$58))*'01_Вводные'!$B$60+'19_Расчет_аналитики'!AZ722</f>
        <v/>
      </c>
      <c r="BA755">
        <f>'19_Расчет_аналитики'!BA723+('19_Расчет_аналитики'!BA747/(1+'01_Вводные'!$B$58))*'01_Вводные'!$B$60+'19_Расчет_аналитики'!BA722</f>
        <v/>
      </c>
      <c r="BB755">
        <f>'19_Расчет_аналитики'!BB723+('19_Расчет_аналитики'!BB747/(1+'01_Вводные'!$B$58))*'01_Вводные'!$B$60+'19_Расчет_аналитики'!BB722</f>
        <v/>
      </c>
      <c r="BC755">
        <f>'19_Расчет_аналитики'!BC723+('19_Расчет_аналитики'!BC747/(1+'01_Вводные'!$B$58))*'01_Вводные'!$B$60+'19_Расчет_аналитики'!BC722</f>
        <v/>
      </c>
      <c r="BD755">
        <f>'19_Расчет_аналитики'!BD723+('19_Расчет_аналитики'!BD747/(1+'01_Вводные'!$B$58))*'01_Вводные'!$B$60+'19_Расчет_аналитики'!BD722</f>
        <v/>
      </c>
      <c r="BE755">
        <f>'19_Расчет_аналитики'!BE723+('19_Расчет_аналитики'!BE747/(1+'01_Вводные'!$B$58))*'01_Вводные'!$B$60+'19_Расчет_аналитики'!BE722</f>
        <v/>
      </c>
      <c r="BF755">
        <f>'19_Расчет_аналитики'!BF723+('19_Расчет_аналитики'!BF747/(1+'01_Вводные'!$B$58))*'01_Вводные'!$B$60+'19_Расчет_аналитики'!BF722</f>
        <v/>
      </c>
      <c r="BG755">
        <f>'19_Расчет_аналитики'!BG723+('19_Расчет_аналитики'!BG747/(1+'01_Вводные'!$B$58))*'01_Вводные'!$B$60+'19_Расчет_аналитики'!BG722</f>
        <v/>
      </c>
      <c r="BH755">
        <f>'19_Расчет_аналитики'!BH723+('19_Расчет_аналитики'!BH747/(1+'01_Вводные'!$B$58))*'01_Вводные'!$B$60+'19_Расчет_аналитики'!BH722</f>
        <v/>
      </c>
      <c r="BI755">
        <f>'19_Расчет_аналитики'!BI723+('19_Расчет_аналитики'!BI747/(1+'01_Вводные'!$B$58))*'01_Вводные'!$B$60+'19_Расчет_аналитики'!BI722</f>
        <v/>
      </c>
    </row>
    <row r="756">
      <c r="B756">
        <f>('02_Модель'!B52+'19_Расчет_аналитики'!B747+'19_Расчет_аналитики'!B748)-('02_Модель'!B52+'19_Расчет_аналитики'!B747+'19_Расчет_аналитики'!B748)/(1+'01_Вводные'!$B$58)</f>
        <v/>
      </c>
      <c r="C756">
        <f>('19_Расчет_аналитики'!C746+'19_Расчет_аналитики'!C747+'19_Расчет_аналитики'!C748)-('19_Расчет_аналитики'!C746+'19_Расчет_аналитики'!C747+'19_Расчет_аналитики'!C748)/(1+'01_Вводные'!$B$58)</f>
        <v/>
      </c>
      <c r="D756">
        <f>('19_Расчет_аналитики'!D746+'19_Расчет_аналитики'!D747+'19_Расчет_аналитики'!D748)-('19_Расчет_аналитики'!D746+'19_Расчет_аналитики'!D747+'19_Расчет_аналитики'!D748)/(1+'01_Вводные'!$B$58)</f>
        <v/>
      </c>
      <c r="E756">
        <f>('19_Расчет_аналитики'!E746+'19_Расчет_аналитики'!E747+'19_Расчет_аналитики'!E748)-('19_Расчет_аналитики'!E746+'19_Расчет_аналитики'!E747+'19_Расчет_аналитики'!E748)/(1+'01_Вводные'!$B$58)</f>
        <v/>
      </c>
      <c r="F756">
        <f>('19_Расчет_аналитики'!F746+'19_Расчет_аналитики'!F747+'19_Расчет_аналитики'!F748)-('19_Расчет_аналитики'!F746+'19_Расчет_аналитики'!F747+'19_Расчет_аналитики'!F748)/(1+'01_Вводные'!$B$58)</f>
        <v/>
      </c>
      <c r="G756">
        <f>('19_Расчет_аналитики'!G746+'19_Расчет_аналитики'!G747+'19_Расчет_аналитики'!G748)-('19_Расчет_аналитики'!G746+'19_Расчет_аналитики'!G747+'19_Расчет_аналитики'!G748)/(1+'01_Вводные'!$B$58)</f>
        <v/>
      </c>
      <c r="H756">
        <f>('19_Расчет_аналитики'!H746+'19_Расчет_аналитики'!H747+'19_Расчет_аналитики'!H748)-('19_Расчет_аналитики'!H746+'19_Расчет_аналитики'!H747+'19_Расчет_аналитики'!H748)/(1+'01_Вводные'!$B$58)</f>
        <v/>
      </c>
      <c r="I756">
        <f>('19_Расчет_аналитики'!I746+'19_Расчет_аналитики'!I747+'19_Расчет_аналитики'!I748)-('19_Расчет_аналитики'!I746+'19_Расчет_аналитики'!I747+'19_Расчет_аналитики'!I748)/(1+'01_Вводные'!$B$58)</f>
        <v/>
      </c>
      <c r="J756">
        <f>('19_Расчет_аналитики'!J746+'19_Расчет_аналитики'!J747+'19_Расчет_аналитики'!J748)-('19_Расчет_аналитики'!J746+'19_Расчет_аналитики'!J747+'19_Расчет_аналитики'!J748)/(1+'01_Вводные'!$B$58)</f>
        <v/>
      </c>
      <c r="K756">
        <f>('19_Расчет_аналитики'!K746+'19_Расчет_аналитики'!K747+'19_Расчет_аналитики'!K748)-('19_Расчет_аналитики'!K746+'19_Расчет_аналитики'!K747+'19_Расчет_аналитики'!K748)/(1+'01_Вводные'!$B$58)</f>
        <v/>
      </c>
      <c r="L756">
        <f>('19_Расчет_аналитики'!L746+'19_Расчет_аналитики'!L747+'19_Расчет_аналитики'!L748)-('19_Расчет_аналитики'!L746+'19_Расчет_аналитики'!L747+'19_Расчет_аналитики'!L748)/(1+'01_Вводные'!$B$58)</f>
        <v/>
      </c>
      <c r="M756">
        <f>('19_Расчет_аналитики'!M746+'19_Расчет_аналитики'!M747+'19_Расчет_аналитики'!M748)-('19_Расчет_аналитики'!M746+'19_Расчет_аналитики'!M747+'19_Расчет_аналитики'!M748)/(1+'01_Вводные'!$B$58)</f>
        <v/>
      </c>
      <c r="N756">
        <f>('19_Расчет_аналитики'!N746+'19_Расчет_аналитики'!N747+'19_Расчет_аналитики'!N748)-('19_Расчет_аналитики'!N746+'19_Расчет_аналитики'!N747+'19_Расчет_аналитики'!N748)/(1+'01_Вводные'!$B$58)</f>
        <v/>
      </c>
      <c r="O756">
        <f>('19_Расчет_аналитики'!O746+'19_Расчет_аналитики'!O747+'19_Расчет_аналитики'!O748)-('19_Расчет_аналитики'!O746+'19_Расчет_аналитики'!O747+'19_Расчет_аналитики'!O748)/(1+'01_Вводные'!$B$58)</f>
        <v/>
      </c>
      <c r="P756">
        <f>('19_Расчет_аналитики'!P746+'19_Расчет_аналитики'!P747+'19_Расчет_аналитики'!P748)-('19_Расчет_аналитики'!P746+'19_Расчет_аналитики'!P747+'19_Расчет_аналитики'!P748)/(1+'01_Вводные'!$B$58)</f>
        <v/>
      </c>
      <c r="Q756">
        <f>('19_Расчет_аналитики'!Q746+'19_Расчет_аналитики'!Q747+'19_Расчет_аналитики'!Q748)-('19_Расчет_аналитики'!Q746+'19_Расчет_аналитики'!Q747+'19_Расчет_аналитики'!Q748)/(1+'01_Вводные'!$B$58)</f>
        <v/>
      </c>
      <c r="R756">
        <f>('19_Расчет_аналитики'!R746+'19_Расчет_аналитики'!R747+'19_Расчет_аналитики'!R748)-('19_Расчет_аналитики'!R746+'19_Расчет_аналитики'!R747+'19_Расчет_аналитики'!R748)/(1+'01_Вводные'!$B$58)</f>
        <v/>
      </c>
      <c r="S756">
        <f>('19_Расчет_аналитики'!S746+'19_Расчет_аналитики'!S747+'19_Расчет_аналитики'!S748)-('19_Расчет_аналитики'!S746+'19_Расчет_аналитики'!S747+'19_Расчет_аналитики'!S748)/(1+'01_Вводные'!$B$58)</f>
        <v/>
      </c>
      <c r="T756">
        <f>('19_Расчет_аналитики'!T746+'19_Расчет_аналитики'!T747+'19_Расчет_аналитики'!T748)-('19_Расчет_аналитики'!T746+'19_Расчет_аналитики'!T747+'19_Расчет_аналитики'!T748)/(1+'01_Вводные'!$B$58)</f>
        <v/>
      </c>
      <c r="U756">
        <f>('19_Расчет_аналитики'!U746+'19_Расчет_аналитики'!U747+'19_Расчет_аналитики'!U748)-('19_Расчет_аналитики'!U746+'19_Расчет_аналитики'!U747+'19_Расчет_аналитики'!U748)/(1+'01_Вводные'!$B$58)</f>
        <v/>
      </c>
      <c r="V756">
        <f>('19_Расчет_аналитики'!V746+'19_Расчет_аналитики'!V747+'19_Расчет_аналитики'!V748)-('19_Расчет_аналитики'!V746+'19_Расчет_аналитики'!V747+'19_Расчет_аналитики'!V748)/(1+'01_Вводные'!$B$58)</f>
        <v/>
      </c>
      <c r="W756">
        <f>('19_Расчет_аналитики'!W746+'19_Расчет_аналитики'!W747+'19_Расчет_аналитики'!W748)-('19_Расчет_аналитики'!W746+'19_Расчет_аналитики'!W747+'19_Расчет_аналитики'!W748)/(1+'01_Вводные'!$B$58)</f>
        <v/>
      </c>
      <c r="X756">
        <f>('19_Расчет_аналитики'!X746+'19_Расчет_аналитики'!X747+'19_Расчет_аналитики'!X748)-('19_Расчет_аналитики'!X746+'19_Расчет_аналитики'!X747+'19_Расчет_аналитики'!X748)/(1+'01_Вводные'!$B$58)</f>
        <v/>
      </c>
      <c r="Y756">
        <f>('19_Расчет_аналитики'!Y746+'19_Расчет_аналитики'!Y747+'19_Расчет_аналитики'!Y748)-('19_Расчет_аналитики'!Y746+'19_Расчет_аналитики'!Y747+'19_Расчет_аналитики'!Y748)/(1+'01_Вводные'!$B$58)</f>
        <v/>
      </c>
      <c r="Z756">
        <f>('19_Расчет_аналитики'!Z746+'19_Расчет_аналитики'!Z747+'19_Расчет_аналитики'!Z748)-('19_Расчет_аналитики'!Z746+'19_Расчет_аналитики'!Z747+'19_Расчет_аналитики'!Z748)/(1+'01_Вводные'!$B$58)</f>
        <v/>
      </c>
      <c r="AA756">
        <f>('19_Расчет_аналитики'!AA746+'19_Расчет_аналитики'!AA747+'19_Расчет_аналитики'!AA748)-('19_Расчет_аналитики'!AA746+'19_Расчет_аналитики'!AA747+'19_Расчет_аналитики'!AA748)/(1+'01_Вводные'!$B$58)</f>
        <v/>
      </c>
      <c r="AB756">
        <f>('19_Расчет_аналитики'!AB746+'19_Расчет_аналитики'!AB747+'19_Расчет_аналитики'!AB748)-('19_Расчет_аналитики'!AB746+'19_Расчет_аналитики'!AB747+'19_Расчет_аналитики'!AB748)/(1+'01_Вводные'!$B$58)</f>
        <v/>
      </c>
      <c r="AC756">
        <f>('19_Расчет_аналитики'!AC746+'19_Расчет_аналитики'!AC747+'19_Расчет_аналитики'!AC748)-('19_Расчет_аналитики'!AC746+'19_Расчет_аналитики'!AC747+'19_Расчет_аналитики'!AC748)/(1+'01_Вводные'!$B$58)</f>
        <v/>
      </c>
      <c r="AD756">
        <f>('19_Расчет_аналитики'!AD746+'19_Расчет_аналитики'!AD747+'19_Расчет_аналитики'!AD748)-('19_Расчет_аналитики'!AD746+'19_Расчет_аналитики'!AD747+'19_Расчет_аналитики'!AD748)/(1+'01_Вводные'!$B$58)</f>
        <v/>
      </c>
      <c r="AE756">
        <f>('19_Расчет_аналитики'!AE746+'19_Расчет_аналитики'!AE747+'19_Расчет_аналитики'!AE748)-('19_Расчет_аналитики'!AE746+'19_Расчет_аналитики'!AE747+'19_Расчет_аналитики'!AE748)/(1+'01_Вводные'!$B$58)</f>
        <v/>
      </c>
      <c r="AF756">
        <f>('19_Расчет_аналитики'!AF746+'19_Расчет_аналитики'!AF747+'19_Расчет_аналитики'!AF748)-('19_Расчет_аналитики'!AF746+'19_Расчет_аналитики'!AF747+'19_Расчет_аналитики'!AF748)/(1+'01_Вводные'!$B$58)</f>
        <v/>
      </c>
      <c r="AG756">
        <f>('19_Расчет_аналитики'!AG746+'19_Расчет_аналитики'!AG747+'19_Расчет_аналитики'!AG748)-('19_Расчет_аналитики'!AG746+'19_Расчет_аналитики'!AG747+'19_Расчет_аналитики'!AG748)/(1+'01_Вводные'!$B$58)</f>
        <v/>
      </c>
      <c r="AH756">
        <f>('19_Расчет_аналитики'!AH746+'19_Расчет_аналитики'!AH747+'19_Расчет_аналитики'!AH748)-('19_Расчет_аналитики'!AH746+'19_Расчет_аналитики'!AH747+'19_Расчет_аналитики'!AH748)/(1+'01_Вводные'!$B$58)</f>
        <v/>
      </c>
      <c r="AI756">
        <f>('19_Расчет_аналитики'!AI746+'19_Расчет_аналитики'!AI747+'19_Расчет_аналитики'!AI748)-('19_Расчет_аналитики'!AI746+'19_Расчет_аналитики'!AI747+'19_Расчет_аналитики'!AI748)/(1+'01_Вводные'!$B$58)</f>
        <v/>
      </c>
      <c r="AJ756">
        <f>('19_Расчет_аналитики'!AJ746+'19_Расчет_аналитики'!AJ747+'19_Расчет_аналитики'!AJ748)-('19_Расчет_аналитики'!AJ746+'19_Расчет_аналитики'!AJ747+'19_Расчет_аналитики'!AJ748)/(1+'01_Вводные'!$B$58)</f>
        <v/>
      </c>
      <c r="AK756">
        <f>('19_Расчет_аналитики'!AK746+'19_Расчет_аналитики'!AK747+'19_Расчет_аналитики'!AK748)-('19_Расчет_аналитики'!AK746+'19_Расчет_аналитики'!AK747+'19_Расчет_аналитики'!AK748)/(1+'01_Вводные'!$B$58)</f>
        <v/>
      </c>
      <c r="AL756">
        <f>('19_Расчет_аналитики'!AL746+'19_Расчет_аналитики'!AL747+'19_Расчет_аналитики'!AL748)-('19_Расчет_аналитики'!AL746+'19_Расчет_аналитики'!AL747+'19_Расчет_аналитики'!AL748)/(1+'01_Вводные'!$B$58)</f>
        <v/>
      </c>
      <c r="AM756">
        <f>('19_Расчет_аналитики'!AM746+'19_Расчет_аналитики'!AM747+'19_Расчет_аналитики'!AM748)-('19_Расчет_аналитики'!AM746+'19_Расчет_аналитики'!AM747+'19_Расчет_аналитики'!AM748)/(1+'01_Вводные'!$B$58)</f>
        <v/>
      </c>
      <c r="AN756">
        <f>('19_Расчет_аналитики'!AN746+'19_Расчет_аналитики'!AN747+'19_Расчет_аналитики'!AN748)-('19_Расчет_аналитики'!AN746+'19_Расчет_аналитики'!AN747+'19_Расчет_аналитики'!AN748)/(1+'01_Вводные'!$B$58)</f>
        <v/>
      </c>
      <c r="AO756">
        <f>('19_Расчет_аналитики'!AO746+'19_Расчет_аналитики'!AO747+'19_Расчет_аналитики'!AO748)-('19_Расчет_аналитики'!AO746+'19_Расчет_аналитики'!AO747+'19_Расчет_аналитики'!AO748)/(1+'01_Вводные'!$B$58)</f>
        <v/>
      </c>
      <c r="AP756">
        <f>('19_Расчет_аналитики'!AP746+'19_Расчет_аналитики'!AP747+'19_Расчет_аналитики'!AP748)-('19_Расчет_аналитики'!AP746+'19_Расчет_аналитики'!AP747+'19_Расчет_аналитики'!AP748)/(1+'01_Вводные'!$B$58)</f>
        <v/>
      </c>
      <c r="AQ756">
        <f>('19_Расчет_аналитики'!AQ746+'19_Расчет_аналитики'!AQ747+'19_Расчет_аналитики'!AQ748)-('19_Расчет_аналитики'!AQ746+'19_Расчет_аналитики'!AQ747+'19_Расчет_аналитики'!AQ748)/(1+'01_Вводные'!$B$58)</f>
        <v/>
      </c>
      <c r="AR756">
        <f>('19_Расчет_аналитики'!AR746+'19_Расчет_аналитики'!AR747+'19_Расчет_аналитики'!AR748)-('19_Расчет_аналитики'!AR746+'19_Расчет_аналитики'!AR747+'19_Расчет_аналитики'!AR748)/(1+'01_Вводные'!$B$58)</f>
        <v/>
      </c>
      <c r="AS756">
        <f>('19_Расчет_аналитики'!AS746+'19_Расчет_аналитики'!AS747+'19_Расчет_аналитики'!AS748)-('19_Расчет_аналитики'!AS746+'19_Расчет_аналитики'!AS747+'19_Расчет_аналитики'!AS748)/(1+'01_Вводные'!$B$58)</f>
        <v/>
      </c>
      <c r="AT756">
        <f>('19_Расчет_аналитики'!AT746+'19_Расчет_аналитики'!AT747+'19_Расчет_аналитики'!AT748)-('19_Расчет_аналитики'!AT746+'19_Расчет_аналитики'!AT747+'19_Расчет_аналитики'!AT748)/(1+'01_Вводные'!$B$58)</f>
        <v/>
      </c>
      <c r="AU756">
        <f>('19_Расчет_аналитики'!AU746+'19_Расчет_аналитики'!AU747+'19_Расчет_аналитики'!AU748)-('19_Расчет_аналитики'!AU746+'19_Расчет_аналитики'!AU747+'19_Расчет_аналитики'!AU748)/(1+'01_Вводные'!$B$58)</f>
        <v/>
      </c>
      <c r="AV756">
        <f>('19_Расчет_аналитики'!AV746+'19_Расчет_аналитики'!AV747+'19_Расчет_аналитики'!AV748)-('19_Расчет_аналитики'!AV746+'19_Расчет_аналитики'!AV747+'19_Расчет_аналитики'!AV748)/(1+'01_Вводные'!$B$58)</f>
        <v/>
      </c>
      <c r="AW756">
        <f>('19_Расчет_аналитики'!AW746+'19_Расчет_аналитики'!AW747+'19_Расчет_аналитики'!AW748)-('19_Расчет_аналитики'!AW746+'19_Расчет_аналитики'!AW747+'19_Расчет_аналитики'!AW748)/(1+'01_Вводные'!$B$58)</f>
        <v/>
      </c>
      <c r="AX756">
        <f>('19_Расчет_аналитики'!AX746+'19_Расчет_аналитики'!AX747+'19_Расчет_аналитики'!AX748)-('19_Расчет_аналитики'!AX746+'19_Расчет_аналитики'!AX747+'19_Расчет_аналитики'!AX748)/(1+'01_Вводные'!$B$58)</f>
        <v/>
      </c>
      <c r="AY756">
        <f>('19_Расчет_аналитики'!AY746+'19_Расчет_аналитики'!AY747+'19_Расчет_аналитики'!AY748)-('19_Расчет_аналитики'!AY746+'19_Расчет_аналитики'!AY747+'19_Расчет_аналитики'!AY748)/(1+'01_Вводные'!$B$58)</f>
        <v/>
      </c>
      <c r="AZ756">
        <f>('19_Расчет_аналитики'!AZ746+'19_Расчет_аналитики'!AZ747+'19_Расчет_аналитики'!AZ748)-('19_Расчет_аналитики'!AZ746+'19_Расчет_аналитики'!AZ747+'19_Расчет_аналитики'!AZ748)/(1+'01_Вводные'!$B$58)</f>
        <v/>
      </c>
      <c r="BA756">
        <f>('19_Расчет_аналитики'!BA746+'19_Расчет_аналитики'!BA747+'19_Расчет_аналитики'!BA748)-('19_Расчет_аналитики'!BA746+'19_Расчет_аналитики'!BA747+'19_Расчет_аналитики'!BA748)/(1+'01_Вводные'!$B$58)</f>
        <v/>
      </c>
      <c r="BB756">
        <f>('19_Расчет_аналитики'!BB746+'19_Расчет_аналитики'!BB747+'19_Расчет_аналитики'!BB748)-('19_Расчет_аналитики'!BB746+'19_Расчет_аналитики'!BB747+'19_Расчет_аналитики'!BB748)/(1+'01_Вводные'!$B$58)</f>
        <v/>
      </c>
      <c r="BC756">
        <f>('19_Расчет_аналитики'!BC746+'19_Расчет_аналитики'!BC747+'19_Расчет_аналитики'!BC748)-('19_Расчет_аналитики'!BC746+'19_Расчет_аналитики'!BC747+'19_Расчет_аналитики'!BC748)/(1+'01_Вводные'!$B$58)</f>
        <v/>
      </c>
      <c r="BD756">
        <f>('19_Расчет_аналитики'!BD746+'19_Расчет_аналитики'!BD747+'19_Расчет_аналитики'!BD748)-('19_Расчет_аналитики'!BD746+'19_Расчет_аналитики'!BD747+'19_Расчет_аналитики'!BD748)/(1+'01_Вводные'!$B$58)</f>
        <v/>
      </c>
      <c r="BE756">
        <f>('19_Расчет_аналитики'!BE746+'19_Расчет_аналитики'!BE747+'19_Расчет_аналитики'!BE748)-('19_Расчет_аналитики'!BE746+'19_Расчет_аналитики'!BE747+'19_Расчет_аналитики'!BE748)/(1+'01_Вводные'!$B$58)</f>
        <v/>
      </c>
      <c r="BF756">
        <f>('19_Расчет_аналитики'!BF746+'19_Расчет_аналитики'!BF747+'19_Расчет_аналитики'!BF748)-('19_Расчет_аналитики'!BF746+'19_Расчет_аналитики'!BF747+'19_Расчет_аналитики'!BF748)/(1+'01_Вводные'!$B$58)</f>
        <v/>
      </c>
      <c r="BG756">
        <f>('19_Расчет_аналитики'!BG746+'19_Расчет_аналитики'!BG747+'19_Расчет_аналитики'!BG748)-('19_Расчет_аналитики'!BG746+'19_Расчет_аналитики'!BG747+'19_Расчет_аналитики'!BG748)/(1+'01_Вводные'!$B$58)</f>
        <v/>
      </c>
      <c r="BH756">
        <f>('19_Расчет_аналитики'!BH746+'19_Расчет_аналитики'!BH747+'19_Расчет_аналитики'!BH748)-('19_Расчет_аналитики'!BH746+'19_Расчет_аналитики'!BH747+'19_Расчет_аналитики'!BH748)/(1+'01_Вводные'!$B$58)</f>
        <v/>
      </c>
      <c r="BI756">
        <f>('19_Расчет_аналитики'!BI746+'19_Расчет_аналитики'!BI747+'19_Расчет_аналитики'!BI748)-('19_Расчет_аналитики'!BI746+'19_Расчет_аналитики'!BI747+'19_Расчет_аналитики'!BI748)/(1+'01_Вводные'!$B$58)</f>
        <v/>
      </c>
    </row>
    <row r="757">
      <c r="B757">
        <f>'02_Модель'!B63</f>
        <v/>
      </c>
      <c r="C757">
        <f>'02_Модель'!C63</f>
        <v/>
      </c>
      <c r="D757">
        <f>'02_Модель'!D63</f>
        <v/>
      </c>
      <c r="E757">
        <f>'02_Модель'!E63</f>
        <v/>
      </c>
      <c r="F757">
        <f>'02_Модель'!F63</f>
        <v/>
      </c>
      <c r="G757">
        <f>'02_Модель'!G63</f>
        <v/>
      </c>
      <c r="H757">
        <f>'02_Модель'!H63</f>
        <v/>
      </c>
      <c r="I757">
        <f>'02_Модель'!I63</f>
        <v/>
      </c>
      <c r="J757">
        <f>'02_Модель'!J63</f>
        <v/>
      </c>
      <c r="K757">
        <f>'02_Модель'!K63</f>
        <v/>
      </c>
      <c r="L757">
        <f>'02_Модель'!L63</f>
        <v/>
      </c>
      <c r="M757">
        <f>'02_Модель'!M63</f>
        <v/>
      </c>
      <c r="N757">
        <f>'02_Модель'!N63</f>
        <v/>
      </c>
      <c r="O757">
        <f>'02_Модель'!O63</f>
        <v/>
      </c>
      <c r="P757">
        <f>'02_Модель'!P63</f>
        <v/>
      </c>
      <c r="Q757">
        <f>'02_Модель'!Q63</f>
        <v/>
      </c>
      <c r="R757">
        <f>'02_Модель'!R63</f>
        <v/>
      </c>
      <c r="S757">
        <f>'02_Модель'!S63</f>
        <v/>
      </c>
      <c r="T757">
        <f>'02_Модель'!T63</f>
        <v/>
      </c>
      <c r="U757">
        <f>'02_Модель'!U63</f>
        <v/>
      </c>
      <c r="V757">
        <f>'02_Модель'!V63</f>
        <v/>
      </c>
      <c r="W757">
        <f>'02_Модель'!W63</f>
        <v/>
      </c>
      <c r="X757">
        <f>'02_Модель'!X63</f>
        <v/>
      </c>
      <c r="Y757">
        <f>'02_Модель'!Y63</f>
        <v/>
      </c>
      <c r="Z757">
        <f>'02_Модель'!Z63</f>
        <v/>
      </c>
      <c r="AA757">
        <f>'02_Модель'!AA63</f>
        <v/>
      </c>
      <c r="AB757">
        <f>'02_Модель'!AB63</f>
        <v/>
      </c>
      <c r="AC757">
        <f>'02_Модель'!AC63</f>
        <v/>
      </c>
      <c r="AD757">
        <f>'02_Модель'!AD63</f>
        <v/>
      </c>
      <c r="AE757">
        <f>'02_Модель'!AE63</f>
        <v/>
      </c>
      <c r="AF757">
        <f>'02_Модель'!AF63</f>
        <v/>
      </c>
      <c r="AG757">
        <f>'02_Модель'!AG63</f>
        <v/>
      </c>
      <c r="AH757">
        <f>'02_Модель'!AH63</f>
        <v/>
      </c>
      <c r="AI757">
        <f>'02_Модель'!AI63</f>
        <v/>
      </c>
      <c r="AJ757">
        <f>'02_Модель'!AJ63</f>
        <v/>
      </c>
      <c r="AK757">
        <f>'02_Модель'!AK63</f>
        <v/>
      </c>
      <c r="AL757">
        <f>'02_Модель'!AL63</f>
        <v/>
      </c>
      <c r="AM757">
        <f>'02_Модель'!AM63</f>
        <v/>
      </c>
      <c r="AN757">
        <f>'02_Модель'!AN63</f>
        <v/>
      </c>
      <c r="AO757">
        <f>'02_Модель'!AO63</f>
        <v/>
      </c>
      <c r="AP757">
        <f>'02_Модель'!AP63</f>
        <v/>
      </c>
      <c r="AQ757">
        <f>'02_Модель'!AQ63</f>
        <v/>
      </c>
      <c r="AR757">
        <f>'02_Модель'!AR63</f>
        <v/>
      </c>
      <c r="AS757">
        <f>'02_Модель'!AS63</f>
        <v/>
      </c>
      <c r="AT757">
        <f>'02_Модель'!AT63</f>
        <v/>
      </c>
      <c r="AU757">
        <f>'02_Модель'!AU63</f>
        <v/>
      </c>
      <c r="AV757">
        <f>'02_Модель'!AV63</f>
        <v/>
      </c>
      <c r="AW757">
        <f>'02_Модель'!AW63</f>
        <v/>
      </c>
      <c r="AX757">
        <f>'02_Модель'!AX63</f>
        <v/>
      </c>
      <c r="AY757">
        <f>'02_Модель'!AY63</f>
        <v/>
      </c>
      <c r="AZ757">
        <f>'02_Модель'!AZ63</f>
        <v/>
      </c>
      <c r="BA757">
        <f>'02_Модель'!BA63</f>
        <v/>
      </c>
      <c r="BB757">
        <f>'02_Модель'!BB63</f>
        <v/>
      </c>
      <c r="BC757">
        <f>'02_Модель'!BC63</f>
        <v/>
      </c>
      <c r="BD757">
        <f>'02_Модель'!BD63</f>
        <v/>
      </c>
      <c r="BE757">
        <f>'02_Модель'!BE63</f>
        <v/>
      </c>
      <c r="BF757">
        <f>'02_Модель'!BF63</f>
        <v/>
      </c>
      <c r="BG757">
        <f>'02_Модель'!BG63</f>
        <v/>
      </c>
      <c r="BH757">
        <f>'02_Модель'!BH63</f>
        <v/>
      </c>
      <c r="BI757">
        <f>'02_Модель'!BI63</f>
        <v/>
      </c>
    </row>
    <row r="758">
      <c r="B758">
        <f>'19_Расчет_аналитики'!B740</f>
        <v/>
      </c>
      <c r="C758">
        <f>'19_Расчет_аналитики'!C740</f>
        <v/>
      </c>
      <c r="D758">
        <f>'19_Расчет_аналитики'!D740</f>
        <v/>
      </c>
      <c r="E758">
        <f>'19_Расчет_аналитики'!E740</f>
        <v/>
      </c>
      <c r="F758">
        <f>'19_Расчет_аналитики'!F740</f>
        <v/>
      </c>
      <c r="G758">
        <f>'19_Расчет_аналитики'!G740</f>
        <v/>
      </c>
      <c r="H758">
        <f>'19_Расчет_аналитики'!H740</f>
        <v/>
      </c>
      <c r="I758">
        <f>'19_Расчет_аналитики'!I740</f>
        <v/>
      </c>
      <c r="J758">
        <f>'19_Расчет_аналитики'!J740</f>
        <v/>
      </c>
      <c r="K758">
        <f>'19_Расчет_аналитики'!K740</f>
        <v/>
      </c>
      <c r="L758">
        <f>'19_Расчет_аналитики'!L740</f>
        <v/>
      </c>
      <c r="M758">
        <f>'19_Расчет_аналитики'!M740</f>
        <v/>
      </c>
      <c r="N758">
        <f>'19_Расчет_аналитики'!N740</f>
        <v/>
      </c>
      <c r="O758">
        <f>'19_Расчет_аналитики'!O740</f>
        <v/>
      </c>
      <c r="P758">
        <f>'19_Расчет_аналитики'!P740</f>
        <v/>
      </c>
      <c r="Q758">
        <f>'19_Расчет_аналитики'!Q740</f>
        <v/>
      </c>
      <c r="R758">
        <f>'19_Расчет_аналитики'!R740</f>
        <v/>
      </c>
      <c r="S758">
        <f>'19_Расчет_аналитики'!S740</f>
        <v/>
      </c>
      <c r="T758">
        <f>'19_Расчет_аналитики'!T740</f>
        <v/>
      </c>
      <c r="U758">
        <f>'19_Расчет_аналитики'!U740</f>
        <v/>
      </c>
      <c r="V758">
        <f>'19_Расчет_аналитики'!V740</f>
        <v/>
      </c>
      <c r="W758">
        <f>'19_Расчет_аналитики'!W740</f>
        <v/>
      </c>
      <c r="X758">
        <f>'19_Расчет_аналитики'!X740</f>
        <v/>
      </c>
      <c r="Y758">
        <f>'19_Расчет_аналитики'!Y740</f>
        <v/>
      </c>
      <c r="Z758">
        <f>'19_Расчет_аналитики'!Z740</f>
        <v/>
      </c>
      <c r="AA758">
        <f>'19_Расчет_аналитики'!AA740</f>
        <v/>
      </c>
      <c r="AB758">
        <f>'19_Расчет_аналитики'!AB740</f>
        <v/>
      </c>
      <c r="AC758">
        <f>'19_Расчет_аналитики'!AC740</f>
        <v/>
      </c>
      <c r="AD758">
        <f>'19_Расчет_аналитики'!AD740</f>
        <v/>
      </c>
      <c r="AE758">
        <f>'19_Расчет_аналитики'!AE740</f>
        <v/>
      </c>
      <c r="AF758">
        <f>'19_Расчет_аналитики'!AF740</f>
        <v/>
      </c>
      <c r="AG758">
        <f>'19_Расчет_аналитики'!AG740</f>
        <v/>
      </c>
      <c r="AH758">
        <f>'19_Расчет_аналитики'!AH740</f>
        <v/>
      </c>
      <c r="AI758">
        <f>'19_Расчет_аналитики'!AI740</f>
        <v/>
      </c>
      <c r="AJ758">
        <f>'19_Расчет_аналитики'!AJ740</f>
        <v/>
      </c>
      <c r="AK758">
        <f>'19_Расчет_аналитики'!AK740</f>
        <v/>
      </c>
      <c r="AL758">
        <f>'19_Расчет_аналитики'!AL740</f>
        <v/>
      </c>
      <c r="AM758">
        <f>'19_Расчет_аналитики'!AM740</f>
        <v/>
      </c>
      <c r="AN758">
        <f>'19_Расчет_аналитики'!AN740</f>
        <v/>
      </c>
      <c r="AO758">
        <f>'19_Расчет_аналитики'!AO740</f>
        <v/>
      </c>
      <c r="AP758">
        <f>'19_Расчет_аналитики'!AP740</f>
        <v/>
      </c>
      <c r="AQ758">
        <f>'19_Расчет_аналитики'!AQ740</f>
        <v/>
      </c>
      <c r="AR758">
        <f>'19_Расчет_аналитики'!AR740</f>
        <v/>
      </c>
      <c r="AS758">
        <f>'19_Расчет_аналитики'!AS740</f>
        <v/>
      </c>
      <c r="AT758">
        <f>'19_Расчет_аналитики'!AT740</f>
        <v/>
      </c>
      <c r="AU758">
        <f>'19_Расчет_аналитики'!AU740</f>
        <v/>
      </c>
      <c r="AV758">
        <f>'19_Расчет_аналитики'!AV740</f>
        <v/>
      </c>
      <c r="AW758">
        <f>'19_Расчет_аналитики'!AW740</f>
        <v/>
      </c>
      <c r="AX758">
        <f>'19_Расчет_аналитики'!AX740</f>
        <v/>
      </c>
      <c r="AY758">
        <f>'19_Расчет_аналитики'!AY740</f>
        <v/>
      </c>
      <c r="AZ758">
        <f>'19_Расчет_аналитики'!AZ740</f>
        <v/>
      </c>
      <c r="BA758">
        <f>'19_Расчет_аналитики'!BA740</f>
        <v/>
      </c>
      <c r="BB758">
        <f>'19_Расчет_аналитики'!BB740</f>
        <v/>
      </c>
      <c r="BC758">
        <f>'19_Расчет_аналитики'!BC740</f>
        <v/>
      </c>
      <c r="BD758">
        <f>'19_Расчет_аналитики'!BD740</f>
        <v/>
      </c>
      <c r="BE758">
        <f>'19_Расчет_аналитики'!BE740</f>
        <v/>
      </c>
      <c r="BF758">
        <f>'19_Расчет_аналитики'!BF740</f>
        <v/>
      </c>
      <c r="BG758">
        <f>'19_Расчет_аналитики'!BG740</f>
        <v/>
      </c>
      <c r="BH758">
        <f>'19_Расчет_аналитики'!BH740</f>
        <v/>
      </c>
      <c r="BI758">
        <f>'19_Расчет_аналитики'!BI740</f>
        <v/>
      </c>
    </row>
    <row r="759">
      <c r="B759">
        <f>'19_Расчет_аналитики'!B626</f>
        <v/>
      </c>
      <c r="C759">
        <f>'19_Расчет_аналитики'!C626</f>
        <v/>
      </c>
      <c r="D759">
        <f>'19_Расчет_аналитики'!D626</f>
        <v/>
      </c>
      <c r="E759">
        <f>'19_Расчет_аналитики'!E626</f>
        <v/>
      </c>
      <c r="F759">
        <f>'19_Расчет_аналитики'!F626</f>
        <v/>
      </c>
      <c r="G759">
        <f>'19_Расчет_аналитики'!G626</f>
        <v/>
      </c>
      <c r="H759">
        <f>'19_Расчет_аналитики'!H626</f>
        <v/>
      </c>
      <c r="I759">
        <f>'19_Расчет_аналитики'!I626</f>
        <v/>
      </c>
      <c r="J759">
        <f>'19_Расчет_аналитики'!J626</f>
        <v/>
      </c>
      <c r="K759">
        <f>'19_Расчет_аналитики'!K626</f>
        <v/>
      </c>
      <c r="L759">
        <f>'19_Расчет_аналитики'!L626</f>
        <v/>
      </c>
      <c r="M759">
        <f>'19_Расчет_аналитики'!M626</f>
        <v/>
      </c>
      <c r="N759">
        <f>'19_Расчет_аналитики'!N626</f>
        <v/>
      </c>
      <c r="O759">
        <f>'19_Расчет_аналитики'!O626</f>
        <v/>
      </c>
      <c r="P759">
        <f>'19_Расчет_аналитики'!P626</f>
        <v/>
      </c>
      <c r="Q759">
        <f>'19_Расчет_аналитики'!Q626</f>
        <v/>
      </c>
      <c r="R759">
        <f>'19_Расчет_аналитики'!R626</f>
        <v/>
      </c>
      <c r="S759">
        <f>'19_Расчет_аналитики'!S626</f>
        <v/>
      </c>
      <c r="T759">
        <f>'19_Расчет_аналитики'!T626</f>
        <v/>
      </c>
      <c r="U759">
        <f>'19_Расчет_аналитики'!U626</f>
        <v/>
      </c>
      <c r="V759">
        <f>'19_Расчет_аналитики'!V626</f>
        <v/>
      </c>
      <c r="W759">
        <f>'19_Расчет_аналитики'!W626</f>
        <v/>
      </c>
      <c r="X759">
        <f>'19_Расчет_аналитики'!X626</f>
        <v/>
      </c>
      <c r="Y759">
        <f>'19_Расчет_аналитики'!Y626</f>
        <v/>
      </c>
      <c r="Z759">
        <f>'19_Расчет_аналитики'!Z626</f>
        <v/>
      </c>
      <c r="AA759">
        <f>'19_Расчет_аналитики'!AA626</f>
        <v/>
      </c>
      <c r="AB759">
        <f>'19_Расчет_аналитики'!AB626</f>
        <v/>
      </c>
      <c r="AC759">
        <f>'19_Расчет_аналитики'!AC626</f>
        <v/>
      </c>
      <c r="AD759">
        <f>'19_Расчет_аналитики'!AD626</f>
        <v/>
      </c>
      <c r="AE759">
        <f>'19_Расчет_аналитики'!AE626</f>
        <v/>
      </c>
      <c r="AF759">
        <f>'19_Расчет_аналитики'!AF626</f>
        <v/>
      </c>
      <c r="AG759">
        <f>'19_Расчет_аналитики'!AG626</f>
        <v/>
      </c>
      <c r="AH759">
        <f>'19_Расчет_аналитики'!AH626</f>
        <v/>
      </c>
      <c r="AI759">
        <f>'19_Расчет_аналитики'!AI626</f>
        <v/>
      </c>
      <c r="AJ759">
        <f>'19_Расчет_аналитики'!AJ626</f>
        <v/>
      </c>
      <c r="AK759">
        <f>'19_Расчет_аналитики'!AK626</f>
        <v/>
      </c>
      <c r="AL759">
        <f>'19_Расчет_аналитики'!AL626</f>
        <v/>
      </c>
      <c r="AM759">
        <f>'19_Расчет_аналитики'!AM626</f>
        <v/>
      </c>
      <c r="AN759">
        <f>'19_Расчет_аналитики'!AN626</f>
        <v/>
      </c>
      <c r="AO759">
        <f>'19_Расчет_аналитики'!AO626</f>
        <v/>
      </c>
      <c r="AP759">
        <f>'19_Расчет_аналитики'!AP626</f>
        <v/>
      </c>
      <c r="AQ759">
        <f>'19_Расчет_аналитики'!AQ626</f>
        <v/>
      </c>
      <c r="AR759">
        <f>'19_Расчет_аналитики'!AR626</f>
        <v/>
      </c>
      <c r="AS759">
        <f>'19_Расчет_аналитики'!AS626</f>
        <v/>
      </c>
      <c r="AT759">
        <f>'19_Расчет_аналитики'!AT626</f>
        <v/>
      </c>
      <c r="AU759">
        <f>'19_Расчет_аналитики'!AU626</f>
        <v/>
      </c>
      <c r="AV759">
        <f>'19_Расчет_аналитики'!AV626</f>
        <v/>
      </c>
      <c r="AW759">
        <f>'19_Расчет_аналитики'!AW626</f>
        <v/>
      </c>
      <c r="AX759">
        <f>'19_Расчет_аналитики'!AX626</f>
        <v/>
      </c>
      <c r="AY759">
        <f>'19_Расчет_аналитики'!AY626</f>
        <v/>
      </c>
      <c r="AZ759">
        <f>'19_Расчет_аналитики'!AZ626</f>
        <v/>
      </c>
      <c r="BA759">
        <f>'19_Расчет_аналитики'!BA626</f>
        <v/>
      </c>
      <c r="BB759">
        <f>'19_Расчет_аналитики'!BB626</f>
        <v/>
      </c>
      <c r="BC759">
        <f>'19_Расчет_аналитики'!BC626</f>
        <v/>
      </c>
      <c r="BD759">
        <f>'19_Расчет_аналитики'!BD626</f>
        <v/>
      </c>
      <c r="BE759">
        <f>'19_Расчет_аналитики'!BE626</f>
        <v/>
      </c>
      <c r="BF759">
        <f>'19_Расчет_аналитики'!BF626</f>
        <v/>
      </c>
      <c r="BG759">
        <f>'19_Расчет_аналитики'!BG626</f>
        <v/>
      </c>
      <c r="BH759">
        <f>'19_Расчет_аналитики'!BH626</f>
        <v/>
      </c>
      <c r="BI759">
        <f>'19_Расчет_аналитики'!BI626</f>
        <v/>
      </c>
    </row>
    <row r="760"/>
    <row r="761">
      <c r="B761">
        <f>SUM('19_Расчет_аналитики'!B751:B758)+'02_Модель'!B66</f>
        <v/>
      </c>
      <c r="C761">
        <f>SUM('19_Расчет_аналитики'!C751:C758)+'02_Модель'!C66</f>
        <v/>
      </c>
      <c r="D761">
        <f>SUM('19_Расчет_аналитики'!D751:D758)+'02_Модель'!D66</f>
        <v/>
      </c>
      <c r="E761">
        <f>SUM('19_Расчет_аналитики'!E751:E758)+'02_Модель'!E66</f>
        <v/>
      </c>
      <c r="F761">
        <f>SUM('19_Расчет_аналитики'!F751:F758)+'02_Модель'!F66</f>
        <v/>
      </c>
      <c r="G761">
        <f>SUM('19_Расчет_аналитики'!G751:G758)+'02_Модель'!G66</f>
        <v/>
      </c>
      <c r="H761">
        <f>SUM('19_Расчет_аналитики'!H751:H758)+'02_Модель'!H66</f>
        <v/>
      </c>
      <c r="I761">
        <f>SUM('19_Расчет_аналитики'!I751:I758)+'02_Модель'!I66</f>
        <v/>
      </c>
      <c r="J761">
        <f>SUM('19_Расчет_аналитики'!J751:J758)+'02_Модель'!J66</f>
        <v/>
      </c>
      <c r="K761">
        <f>SUM('19_Расчет_аналитики'!K751:K758)+'02_Модель'!K66</f>
        <v/>
      </c>
      <c r="L761">
        <f>SUM('19_Расчет_аналитики'!L751:L758)+'02_Модель'!L66</f>
        <v/>
      </c>
      <c r="M761">
        <f>SUM('19_Расчет_аналитики'!M751:M758)+'02_Модель'!M66</f>
        <v/>
      </c>
      <c r="N761">
        <f>SUM('19_Расчет_аналитики'!N751:N758)+'02_Модель'!N66</f>
        <v/>
      </c>
      <c r="O761">
        <f>SUM('19_Расчет_аналитики'!O751:O758)+'02_Модель'!O66</f>
        <v/>
      </c>
      <c r="P761">
        <f>SUM('19_Расчет_аналитики'!P751:P758)+'02_Модель'!P66</f>
        <v/>
      </c>
      <c r="Q761">
        <f>SUM('19_Расчет_аналитики'!Q751:Q758)+'02_Модель'!Q66</f>
        <v/>
      </c>
      <c r="R761">
        <f>SUM('19_Расчет_аналитики'!R751:R758)+'02_Модель'!R66</f>
        <v/>
      </c>
      <c r="S761">
        <f>SUM('19_Расчет_аналитики'!S751:S758)+'02_Модель'!S66</f>
        <v/>
      </c>
      <c r="T761">
        <f>SUM('19_Расчет_аналитики'!T751:T758)+'02_Модель'!T66</f>
        <v/>
      </c>
      <c r="U761">
        <f>SUM('19_Расчет_аналитики'!U751:U758)+'02_Модель'!U66</f>
        <v/>
      </c>
      <c r="V761">
        <f>SUM('19_Расчет_аналитики'!V751:V758)+'02_Модель'!V66</f>
        <v/>
      </c>
      <c r="W761">
        <f>SUM('19_Расчет_аналитики'!W751:W758)+'02_Модель'!W66</f>
        <v/>
      </c>
      <c r="X761">
        <f>SUM('19_Расчет_аналитики'!X751:X758)+'02_Модель'!X66</f>
        <v/>
      </c>
      <c r="Y761">
        <f>SUM('19_Расчет_аналитики'!Y751:Y758)+'02_Модель'!Y66</f>
        <v/>
      </c>
      <c r="Z761">
        <f>SUM('19_Расчет_аналитики'!Z751:Z758)+'02_Модель'!Z66</f>
        <v/>
      </c>
      <c r="AA761">
        <f>SUM('19_Расчет_аналитики'!AA751:AA758)+'02_Модель'!AA66</f>
        <v/>
      </c>
      <c r="AB761">
        <f>SUM('19_Расчет_аналитики'!AB751:AB758)+'02_Модель'!AB66</f>
        <v/>
      </c>
      <c r="AC761">
        <f>SUM('19_Расчет_аналитики'!AC751:AC758)+'02_Модель'!AC66</f>
        <v/>
      </c>
      <c r="AD761">
        <f>SUM('19_Расчет_аналитики'!AD751:AD758)+'02_Модель'!AD66</f>
        <v/>
      </c>
      <c r="AE761">
        <f>SUM('19_Расчет_аналитики'!AE751:AE758)+'02_Модель'!AE66</f>
        <v/>
      </c>
      <c r="AF761">
        <f>SUM('19_Расчет_аналитики'!AF751:AF758)+'02_Модель'!AF66</f>
        <v/>
      </c>
      <c r="AG761">
        <f>SUM('19_Расчет_аналитики'!AG751:AG758)+'02_Модель'!AG66</f>
        <v/>
      </c>
      <c r="AH761">
        <f>SUM('19_Расчет_аналитики'!AH751:AH758)+'02_Модель'!AH66</f>
        <v/>
      </c>
      <c r="AI761">
        <f>SUM('19_Расчет_аналитики'!AI751:AI758)+'02_Модель'!AI66</f>
        <v/>
      </c>
      <c r="AJ761">
        <f>SUM('19_Расчет_аналитики'!AJ751:AJ758)+'02_Модель'!AJ66</f>
        <v/>
      </c>
      <c r="AK761">
        <f>SUM('19_Расчет_аналитики'!AK751:AK758)+'02_Модель'!AK66</f>
        <v/>
      </c>
      <c r="AL761">
        <f>SUM('19_Расчет_аналитики'!AL751:AL758)+'02_Модель'!AL66</f>
        <v/>
      </c>
      <c r="AM761">
        <f>SUM('19_Расчет_аналитики'!AM751:AM758)+'02_Модель'!AM66</f>
        <v/>
      </c>
      <c r="AN761">
        <f>SUM('19_Расчет_аналитики'!AN751:AN758)+'02_Модель'!AN66</f>
        <v/>
      </c>
      <c r="AO761">
        <f>SUM('19_Расчет_аналитики'!AO751:AO758)+'02_Модель'!AO66</f>
        <v/>
      </c>
      <c r="AP761">
        <f>SUM('19_Расчет_аналитики'!AP751:AP758)+'02_Модель'!AP66</f>
        <v/>
      </c>
      <c r="AQ761">
        <f>SUM('19_Расчет_аналитики'!AQ751:AQ758)+'02_Модель'!AQ66</f>
        <v/>
      </c>
      <c r="AR761">
        <f>SUM('19_Расчет_аналитики'!AR751:AR758)+'02_Модель'!AR66</f>
        <v/>
      </c>
      <c r="AS761">
        <f>SUM('19_Расчет_аналитики'!AS751:AS758)+'02_Модель'!AS66</f>
        <v/>
      </c>
      <c r="AT761">
        <f>SUM('19_Расчет_аналитики'!AT751:AT758)+'02_Модель'!AT66</f>
        <v/>
      </c>
      <c r="AU761">
        <f>SUM('19_Расчет_аналитики'!AU751:AU758)+'02_Модель'!AU66</f>
        <v/>
      </c>
      <c r="AV761">
        <f>SUM('19_Расчет_аналитики'!AV751:AV758)+'02_Модель'!AV66</f>
        <v/>
      </c>
      <c r="AW761">
        <f>SUM('19_Расчет_аналитики'!AW751:AW758)+'02_Модель'!AW66</f>
        <v/>
      </c>
      <c r="AX761">
        <f>SUM('19_Расчет_аналитики'!AX751:AX758)+'02_Модель'!AX66</f>
        <v/>
      </c>
      <c r="AY761">
        <f>SUM('19_Расчет_аналитики'!AY751:AY758)+'02_Модель'!AY66</f>
        <v/>
      </c>
      <c r="AZ761">
        <f>SUM('19_Расчет_аналитики'!AZ751:AZ758)+'02_Модель'!AZ66</f>
        <v/>
      </c>
      <c r="BA761">
        <f>SUM('19_Расчет_аналитики'!BA751:BA758)+'02_Модель'!BA66</f>
        <v/>
      </c>
      <c r="BB761">
        <f>SUM('19_Расчет_аналитики'!BB751:BB758)+'02_Модель'!BB66</f>
        <v/>
      </c>
      <c r="BC761">
        <f>SUM('19_Расчет_аналитики'!BC751:BC758)+'02_Модель'!BC66</f>
        <v/>
      </c>
      <c r="BD761">
        <f>SUM('19_Расчет_аналитики'!BD751:BD758)+'02_Модель'!BD66</f>
        <v/>
      </c>
      <c r="BE761">
        <f>SUM('19_Расчет_аналитики'!BE751:BE758)+'02_Модель'!BE66</f>
        <v/>
      </c>
      <c r="BF761">
        <f>SUM('19_Расчет_аналитики'!BF751:BF758)+'02_Модель'!BF66</f>
        <v/>
      </c>
      <c r="BG761">
        <f>SUM('19_Расчет_аналитики'!BG751:BG758)+'02_Модель'!BG66</f>
        <v/>
      </c>
      <c r="BH761">
        <f>SUM('19_Расчет_аналитики'!BH751:BH758)+'02_Модель'!BH66</f>
        <v/>
      </c>
      <c r="BI761">
        <f>SUM('19_Расчет_аналитики'!BI751:BI758)+'02_Модель'!BI66</f>
        <v/>
      </c>
    </row>
    <row r="762">
      <c r="B762">
        <f>'19_Расчет_аналитики'!B750-'19_Расчет_аналитики'!B761</f>
        <v/>
      </c>
      <c r="C762">
        <f>'19_Расчет_аналитики'!C750-'19_Расчет_аналитики'!C761</f>
        <v/>
      </c>
      <c r="D762">
        <f>'19_Расчет_аналитики'!D750-'19_Расчет_аналитики'!D761</f>
        <v/>
      </c>
      <c r="E762">
        <f>'19_Расчет_аналитики'!E750-'19_Расчет_аналитики'!E761</f>
        <v/>
      </c>
      <c r="F762">
        <f>'19_Расчет_аналитики'!F750-'19_Расчет_аналитики'!F761</f>
        <v/>
      </c>
      <c r="G762">
        <f>'19_Расчет_аналитики'!G750-'19_Расчет_аналитики'!G761</f>
        <v/>
      </c>
      <c r="H762">
        <f>'19_Расчет_аналитики'!H750-'19_Расчет_аналитики'!H761</f>
        <v/>
      </c>
      <c r="I762">
        <f>'19_Расчет_аналитики'!I750-'19_Расчет_аналитики'!I761</f>
        <v/>
      </c>
      <c r="J762">
        <f>'19_Расчет_аналитики'!J750-'19_Расчет_аналитики'!J761</f>
        <v/>
      </c>
      <c r="K762">
        <f>'19_Расчет_аналитики'!K750-'19_Расчет_аналитики'!K761</f>
        <v/>
      </c>
      <c r="L762">
        <f>'19_Расчет_аналитики'!L750-'19_Расчет_аналитики'!L761</f>
        <v/>
      </c>
      <c r="M762">
        <f>'19_Расчет_аналитики'!M750-'19_Расчет_аналитики'!M761</f>
        <v/>
      </c>
      <c r="N762">
        <f>'19_Расчет_аналитики'!N750-'19_Расчет_аналитики'!N761</f>
        <v/>
      </c>
      <c r="O762">
        <f>'19_Расчет_аналитики'!O750-'19_Расчет_аналитики'!O761</f>
        <v/>
      </c>
      <c r="P762">
        <f>'19_Расчет_аналитики'!P750-'19_Расчет_аналитики'!P761</f>
        <v/>
      </c>
      <c r="Q762">
        <f>'19_Расчет_аналитики'!Q750-'19_Расчет_аналитики'!Q761</f>
        <v/>
      </c>
      <c r="R762">
        <f>'19_Расчет_аналитики'!R750-'19_Расчет_аналитики'!R761</f>
        <v/>
      </c>
      <c r="S762">
        <f>'19_Расчет_аналитики'!S750-'19_Расчет_аналитики'!S761</f>
        <v/>
      </c>
      <c r="T762">
        <f>'19_Расчет_аналитики'!T750-'19_Расчет_аналитики'!T761</f>
        <v/>
      </c>
      <c r="U762">
        <f>'19_Расчет_аналитики'!U750-'19_Расчет_аналитики'!U761</f>
        <v/>
      </c>
      <c r="V762">
        <f>'19_Расчет_аналитики'!V750-'19_Расчет_аналитики'!V761</f>
        <v/>
      </c>
      <c r="W762">
        <f>'19_Расчет_аналитики'!W750-'19_Расчет_аналитики'!W761</f>
        <v/>
      </c>
      <c r="X762">
        <f>'19_Расчет_аналитики'!X750-'19_Расчет_аналитики'!X761</f>
        <v/>
      </c>
      <c r="Y762">
        <f>'19_Расчет_аналитики'!Y750-'19_Расчет_аналитики'!Y761</f>
        <v/>
      </c>
      <c r="Z762">
        <f>'19_Расчет_аналитики'!Z750-'19_Расчет_аналитики'!Z761</f>
        <v/>
      </c>
      <c r="AA762">
        <f>'19_Расчет_аналитики'!AA750-'19_Расчет_аналитики'!AA761</f>
        <v/>
      </c>
      <c r="AB762">
        <f>'19_Расчет_аналитики'!AB750-'19_Расчет_аналитики'!AB761</f>
        <v/>
      </c>
      <c r="AC762">
        <f>'19_Расчет_аналитики'!AC750-'19_Расчет_аналитики'!AC761</f>
        <v/>
      </c>
      <c r="AD762">
        <f>'19_Расчет_аналитики'!AD750-'19_Расчет_аналитики'!AD761</f>
        <v/>
      </c>
      <c r="AE762">
        <f>'19_Расчет_аналитики'!AE750-'19_Расчет_аналитики'!AE761</f>
        <v/>
      </c>
      <c r="AF762">
        <f>'19_Расчет_аналитики'!AF750-'19_Расчет_аналитики'!AF761</f>
        <v/>
      </c>
      <c r="AG762">
        <f>'19_Расчет_аналитики'!AG750-'19_Расчет_аналитики'!AG761</f>
        <v/>
      </c>
      <c r="AH762">
        <f>'19_Расчет_аналитики'!AH750-'19_Расчет_аналитики'!AH761</f>
        <v/>
      </c>
      <c r="AI762">
        <f>'19_Расчет_аналитики'!AI750-'19_Расчет_аналитики'!AI761</f>
        <v/>
      </c>
      <c r="AJ762">
        <f>'19_Расчет_аналитики'!AJ750-'19_Расчет_аналитики'!AJ761</f>
        <v/>
      </c>
      <c r="AK762">
        <f>'19_Расчет_аналитики'!AK750-'19_Расчет_аналитики'!AK761</f>
        <v/>
      </c>
      <c r="AL762">
        <f>'19_Расчет_аналитики'!AL750-'19_Расчет_аналитики'!AL761</f>
        <v/>
      </c>
      <c r="AM762">
        <f>'19_Расчет_аналитики'!AM750-'19_Расчет_аналитики'!AM761</f>
        <v/>
      </c>
      <c r="AN762">
        <f>'19_Расчет_аналитики'!AN750-'19_Расчет_аналитики'!AN761</f>
        <v/>
      </c>
      <c r="AO762">
        <f>'19_Расчет_аналитики'!AO750-'19_Расчет_аналитики'!AO761</f>
        <v/>
      </c>
      <c r="AP762">
        <f>'19_Расчет_аналитики'!AP750-'19_Расчет_аналитики'!AP761</f>
        <v/>
      </c>
      <c r="AQ762">
        <f>'19_Расчет_аналитики'!AQ750-'19_Расчет_аналитики'!AQ761</f>
        <v/>
      </c>
      <c r="AR762">
        <f>'19_Расчет_аналитики'!AR750-'19_Расчет_аналитики'!AR761</f>
        <v/>
      </c>
      <c r="AS762">
        <f>'19_Расчет_аналитики'!AS750-'19_Расчет_аналитики'!AS761</f>
        <v/>
      </c>
      <c r="AT762">
        <f>'19_Расчет_аналитики'!AT750-'19_Расчет_аналитики'!AT761</f>
        <v/>
      </c>
      <c r="AU762">
        <f>'19_Расчет_аналитики'!AU750-'19_Расчет_аналитики'!AU761</f>
        <v/>
      </c>
      <c r="AV762">
        <f>'19_Расчет_аналитики'!AV750-'19_Расчет_аналитики'!AV761</f>
        <v/>
      </c>
      <c r="AW762">
        <f>'19_Расчет_аналитики'!AW750-'19_Расчет_аналитики'!AW761</f>
        <v/>
      </c>
      <c r="AX762">
        <f>'19_Расчет_аналитики'!AX750-'19_Расчет_аналитики'!AX761</f>
        <v/>
      </c>
      <c r="AY762">
        <f>'19_Расчет_аналитики'!AY750-'19_Расчет_аналитики'!AY761</f>
        <v/>
      </c>
      <c r="AZ762">
        <f>'19_Расчет_аналитики'!AZ750-'19_Расчет_аналитики'!AZ761</f>
        <v/>
      </c>
      <c r="BA762">
        <f>'19_Расчет_аналитики'!BA750-'19_Расчет_аналитики'!BA761</f>
        <v/>
      </c>
      <c r="BB762">
        <f>'19_Расчет_аналитики'!BB750-'19_Расчет_аналитики'!BB761</f>
        <v/>
      </c>
      <c r="BC762">
        <f>'19_Расчет_аналитики'!BC750-'19_Расчет_аналитики'!BC761</f>
        <v/>
      </c>
      <c r="BD762">
        <f>'19_Расчет_аналитики'!BD750-'19_Расчет_аналитики'!BD761</f>
        <v/>
      </c>
      <c r="BE762">
        <f>'19_Расчет_аналитики'!BE750-'19_Расчет_аналитики'!BE761</f>
        <v/>
      </c>
      <c r="BF762">
        <f>'19_Расчет_аналитики'!BF750-'19_Расчет_аналитики'!BF761</f>
        <v/>
      </c>
      <c r="BG762">
        <f>'19_Расчет_аналитики'!BG750-'19_Расчет_аналитики'!BG761</f>
        <v/>
      </c>
      <c r="BH762">
        <f>'19_Расчет_аналитики'!BH750-'19_Расчет_аналитики'!BH761</f>
        <v/>
      </c>
      <c r="BI762">
        <f>'19_Расчет_аналитики'!BI750-'19_Расчет_аналитики'!BI761</f>
        <v/>
      </c>
    </row>
    <row r="763">
      <c r="B763">
        <f>'02_Модель'!B51+'19_Расчет_аналитики'!B762</f>
        <v/>
      </c>
      <c r="C763">
        <f>'19_Расчет_аналитики'!C745+'19_Расчет_аналитики'!C762</f>
        <v/>
      </c>
      <c r="D763">
        <f>'19_Расчет_аналитики'!D745+'19_Расчет_аналитики'!D762</f>
        <v/>
      </c>
      <c r="E763">
        <f>'19_Расчет_аналитики'!E745+'19_Расчет_аналитики'!E762</f>
        <v/>
      </c>
      <c r="F763">
        <f>'19_Расчет_аналитики'!F745+'19_Расчет_аналитики'!F762</f>
        <v/>
      </c>
      <c r="G763">
        <f>'19_Расчет_аналитики'!G745+'19_Расчет_аналитики'!G762</f>
        <v/>
      </c>
      <c r="H763">
        <f>'19_Расчет_аналитики'!H745+'19_Расчет_аналитики'!H762</f>
        <v/>
      </c>
      <c r="I763">
        <f>'19_Расчет_аналитики'!I745+'19_Расчет_аналитики'!I762</f>
        <v/>
      </c>
      <c r="J763">
        <f>'19_Расчет_аналитики'!J745+'19_Расчет_аналитики'!J762</f>
        <v/>
      </c>
      <c r="K763">
        <f>'19_Расчет_аналитики'!K745+'19_Расчет_аналитики'!K762</f>
        <v/>
      </c>
      <c r="L763">
        <f>'19_Расчет_аналитики'!L745+'19_Расчет_аналитики'!L762</f>
        <v/>
      </c>
      <c r="M763">
        <f>'19_Расчет_аналитики'!M745+'19_Расчет_аналитики'!M762</f>
        <v/>
      </c>
      <c r="N763">
        <f>'19_Расчет_аналитики'!N745+'19_Расчет_аналитики'!N762</f>
        <v/>
      </c>
      <c r="O763">
        <f>'19_Расчет_аналитики'!O745+'19_Расчет_аналитики'!O762</f>
        <v/>
      </c>
      <c r="P763">
        <f>'19_Расчет_аналитики'!P745+'19_Расчет_аналитики'!P762</f>
        <v/>
      </c>
      <c r="Q763">
        <f>'19_Расчет_аналитики'!Q745+'19_Расчет_аналитики'!Q762</f>
        <v/>
      </c>
      <c r="R763">
        <f>'19_Расчет_аналитики'!R745+'19_Расчет_аналитики'!R762</f>
        <v/>
      </c>
      <c r="S763">
        <f>'19_Расчет_аналитики'!S745+'19_Расчет_аналитики'!S762</f>
        <v/>
      </c>
      <c r="T763">
        <f>'19_Расчет_аналитики'!T745+'19_Расчет_аналитики'!T762</f>
        <v/>
      </c>
      <c r="U763">
        <f>'19_Расчет_аналитики'!U745+'19_Расчет_аналитики'!U762</f>
        <v/>
      </c>
      <c r="V763">
        <f>'19_Расчет_аналитики'!V745+'19_Расчет_аналитики'!V762</f>
        <v/>
      </c>
      <c r="W763">
        <f>'19_Расчет_аналитики'!W745+'19_Расчет_аналитики'!W762</f>
        <v/>
      </c>
      <c r="X763">
        <f>'19_Расчет_аналитики'!X745+'19_Расчет_аналитики'!X762</f>
        <v/>
      </c>
      <c r="Y763">
        <f>'19_Расчет_аналитики'!Y745+'19_Расчет_аналитики'!Y762</f>
        <v/>
      </c>
      <c r="Z763">
        <f>'19_Расчет_аналитики'!Z745+'19_Расчет_аналитики'!Z762</f>
        <v/>
      </c>
      <c r="AA763">
        <f>'19_Расчет_аналитики'!AA745+'19_Расчет_аналитики'!AA762</f>
        <v/>
      </c>
      <c r="AB763">
        <f>'19_Расчет_аналитики'!AB745+'19_Расчет_аналитики'!AB762</f>
        <v/>
      </c>
      <c r="AC763">
        <f>'19_Расчет_аналитики'!AC745+'19_Расчет_аналитики'!AC762</f>
        <v/>
      </c>
      <c r="AD763">
        <f>'19_Расчет_аналитики'!AD745+'19_Расчет_аналитики'!AD762</f>
        <v/>
      </c>
      <c r="AE763">
        <f>'19_Расчет_аналитики'!AE745+'19_Расчет_аналитики'!AE762</f>
        <v/>
      </c>
      <c r="AF763">
        <f>'19_Расчет_аналитики'!AF745+'19_Расчет_аналитики'!AF762</f>
        <v/>
      </c>
      <c r="AG763">
        <f>'19_Расчет_аналитики'!AG745+'19_Расчет_аналитики'!AG762</f>
        <v/>
      </c>
      <c r="AH763">
        <f>'19_Расчет_аналитики'!AH745+'19_Расчет_аналитики'!AH762</f>
        <v/>
      </c>
      <c r="AI763">
        <f>'19_Расчет_аналитики'!AI745+'19_Расчет_аналитики'!AI762</f>
        <v/>
      </c>
      <c r="AJ763">
        <f>'19_Расчет_аналитики'!AJ745+'19_Расчет_аналитики'!AJ762</f>
        <v/>
      </c>
      <c r="AK763">
        <f>'19_Расчет_аналитики'!AK745+'19_Расчет_аналитики'!AK762</f>
        <v/>
      </c>
      <c r="AL763">
        <f>'19_Расчет_аналитики'!AL745+'19_Расчет_аналитики'!AL762</f>
        <v/>
      </c>
      <c r="AM763">
        <f>'19_Расчет_аналитики'!AM745+'19_Расчет_аналитики'!AM762</f>
        <v/>
      </c>
      <c r="AN763">
        <f>'19_Расчет_аналитики'!AN745+'19_Расчет_аналитики'!AN762</f>
        <v/>
      </c>
      <c r="AO763">
        <f>'19_Расчет_аналитики'!AO745+'19_Расчет_аналитики'!AO762</f>
        <v/>
      </c>
      <c r="AP763">
        <f>'19_Расчет_аналитики'!AP745+'19_Расчет_аналитики'!AP762</f>
        <v/>
      </c>
      <c r="AQ763">
        <f>'19_Расчет_аналитики'!AQ745+'19_Расчет_аналитики'!AQ762</f>
        <v/>
      </c>
      <c r="AR763">
        <f>'19_Расчет_аналитики'!AR745+'19_Расчет_аналитики'!AR762</f>
        <v/>
      </c>
      <c r="AS763">
        <f>'19_Расчет_аналитики'!AS745+'19_Расчет_аналитики'!AS762</f>
        <v/>
      </c>
      <c r="AT763">
        <f>'19_Расчет_аналитики'!AT745+'19_Расчет_аналитики'!AT762</f>
        <v/>
      </c>
      <c r="AU763">
        <f>'19_Расчет_аналитики'!AU745+'19_Расчет_аналитики'!AU762</f>
        <v/>
      </c>
      <c r="AV763">
        <f>'19_Расчет_аналитики'!AV745+'19_Расчет_аналитики'!AV762</f>
        <v/>
      </c>
      <c r="AW763">
        <f>'19_Расчет_аналитики'!AW745+'19_Расчет_аналитики'!AW762</f>
        <v/>
      </c>
      <c r="AX763">
        <f>'19_Расчет_аналитики'!AX745+'19_Расчет_аналитики'!AX762</f>
        <v/>
      </c>
      <c r="AY763">
        <f>'19_Расчет_аналитики'!AY745+'19_Расчет_аналитики'!AY762</f>
        <v/>
      </c>
      <c r="AZ763">
        <f>'19_Расчет_аналитики'!AZ745+'19_Расчет_аналитики'!AZ762</f>
        <v/>
      </c>
      <c r="BA763">
        <f>'19_Расчет_аналитики'!BA745+'19_Расчет_аналитики'!BA762</f>
        <v/>
      </c>
      <c r="BB763">
        <f>'19_Расчет_аналитики'!BB745+'19_Расчет_аналитики'!BB762</f>
        <v/>
      </c>
      <c r="BC763">
        <f>'19_Расчет_аналитики'!BC745+'19_Расчет_аналитики'!BC762</f>
        <v/>
      </c>
      <c r="BD763">
        <f>'19_Расчет_аналитики'!BD745+'19_Расчет_аналитики'!BD762</f>
        <v/>
      </c>
      <c r="BE763">
        <f>'19_Расчет_аналитики'!BE745+'19_Расчет_аналитики'!BE762</f>
        <v/>
      </c>
      <c r="BF763">
        <f>'19_Расчет_аналитики'!BF745+'19_Расчет_аналитики'!BF762</f>
        <v/>
      </c>
      <c r="BG763">
        <f>'19_Расчет_аналитики'!BG745+'19_Расчет_аналитики'!BG762</f>
        <v/>
      </c>
      <c r="BH763">
        <f>'19_Расчет_аналитики'!BH745+'19_Расчет_аналитики'!BH762</f>
        <v/>
      </c>
      <c r="BI763">
        <f>'19_Расчет_аналитики'!BI745+'19_Расчет_аналитики'!BI762</f>
        <v/>
      </c>
    </row>
    <row r="764">
      <c r="B764">
        <f>'19_Расчет_аналитики'!B632</f>
        <v/>
      </c>
      <c r="C764">
        <f>'19_Расчет_аналитики'!C632</f>
        <v/>
      </c>
      <c r="D764">
        <f>'19_Расчет_аналитики'!D632</f>
        <v/>
      </c>
      <c r="E764">
        <f>'19_Расчет_аналитики'!E632</f>
        <v/>
      </c>
      <c r="F764">
        <f>'19_Расчет_аналитики'!F632</f>
        <v/>
      </c>
      <c r="G764">
        <f>'19_Расчет_аналитики'!G632</f>
        <v/>
      </c>
      <c r="H764">
        <f>'19_Расчет_аналитики'!H632</f>
        <v/>
      </c>
      <c r="I764">
        <f>'19_Расчет_аналитики'!I632</f>
        <v/>
      </c>
      <c r="J764">
        <f>'19_Расчет_аналитики'!J632</f>
        <v/>
      </c>
      <c r="K764">
        <f>'19_Расчет_аналитики'!K632</f>
        <v/>
      </c>
      <c r="L764">
        <f>'19_Расчет_аналитики'!L632</f>
        <v/>
      </c>
      <c r="M764">
        <f>'19_Расчет_аналитики'!M632</f>
        <v/>
      </c>
      <c r="N764">
        <f>'19_Расчет_аналитики'!N632</f>
        <v/>
      </c>
      <c r="O764">
        <f>'19_Расчет_аналитики'!O632</f>
        <v/>
      </c>
      <c r="P764">
        <f>'19_Расчет_аналитики'!P632</f>
        <v/>
      </c>
      <c r="Q764">
        <f>'19_Расчет_аналитики'!Q632</f>
        <v/>
      </c>
      <c r="R764">
        <f>'19_Расчет_аналитики'!R632</f>
        <v/>
      </c>
      <c r="S764">
        <f>'19_Расчет_аналитики'!S632</f>
        <v/>
      </c>
      <c r="T764">
        <f>'19_Расчет_аналитики'!T632</f>
        <v/>
      </c>
      <c r="U764">
        <f>'19_Расчет_аналитики'!U632</f>
        <v/>
      </c>
      <c r="V764">
        <f>'19_Расчет_аналитики'!V632</f>
        <v/>
      </c>
      <c r="W764">
        <f>'19_Расчет_аналитики'!W632</f>
        <v/>
      </c>
      <c r="X764">
        <f>'19_Расчет_аналитики'!X632</f>
        <v/>
      </c>
      <c r="Y764">
        <f>'19_Расчет_аналитики'!Y632</f>
        <v/>
      </c>
      <c r="Z764">
        <f>'19_Расчет_аналитики'!Z632</f>
        <v/>
      </c>
      <c r="AA764">
        <f>'19_Расчет_аналитики'!AA632</f>
        <v/>
      </c>
      <c r="AB764">
        <f>'19_Расчет_аналитики'!AB632</f>
        <v/>
      </c>
      <c r="AC764">
        <f>'19_Расчет_аналитики'!AC632</f>
        <v/>
      </c>
      <c r="AD764">
        <f>'19_Расчет_аналитики'!AD632</f>
        <v/>
      </c>
      <c r="AE764">
        <f>'19_Расчет_аналитики'!AE632</f>
        <v/>
      </c>
      <c r="AF764">
        <f>'19_Расчет_аналитики'!AF632</f>
        <v/>
      </c>
      <c r="AG764">
        <f>'19_Расчет_аналитики'!AG632</f>
        <v/>
      </c>
      <c r="AH764">
        <f>'19_Расчет_аналитики'!AH632</f>
        <v/>
      </c>
      <c r="AI764">
        <f>'19_Расчет_аналитики'!AI632</f>
        <v/>
      </c>
      <c r="AJ764">
        <f>'19_Расчет_аналитики'!AJ632</f>
        <v/>
      </c>
      <c r="AK764">
        <f>'19_Расчет_аналитики'!AK632</f>
        <v/>
      </c>
      <c r="AL764">
        <f>'19_Расчет_аналитики'!AL632</f>
        <v/>
      </c>
      <c r="AM764">
        <f>'19_Расчет_аналитики'!AM632</f>
        <v/>
      </c>
      <c r="AN764">
        <f>'19_Расчет_аналитики'!AN632</f>
        <v/>
      </c>
      <c r="AO764">
        <f>'19_Расчет_аналитики'!AO632</f>
        <v/>
      </c>
      <c r="AP764">
        <f>'19_Расчет_аналитики'!AP632</f>
        <v/>
      </c>
      <c r="AQ764">
        <f>'19_Расчет_аналитики'!AQ632</f>
        <v/>
      </c>
      <c r="AR764">
        <f>'19_Расчет_аналитики'!AR632</f>
        <v/>
      </c>
      <c r="AS764">
        <f>'19_Расчет_аналитики'!AS632</f>
        <v/>
      </c>
      <c r="AT764">
        <f>'19_Расчет_аналитики'!AT632</f>
        <v/>
      </c>
      <c r="AU764">
        <f>'19_Расчет_аналитики'!AU632</f>
        <v/>
      </c>
      <c r="AV764">
        <f>'19_Расчет_аналитики'!AV632</f>
        <v/>
      </c>
      <c r="AW764">
        <f>'19_Расчет_аналитики'!AW632</f>
        <v/>
      </c>
      <c r="AX764">
        <f>'19_Расчет_аналитики'!AX632</f>
        <v/>
      </c>
      <c r="AY764">
        <f>'19_Расчет_аналитики'!AY632</f>
        <v/>
      </c>
      <c r="AZ764">
        <f>'19_Расчет_аналитики'!AZ632</f>
        <v/>
      </c>
      <c r="BA764">
        <f>'19_Расчет_аналитики'!BA632</f>
        <v/>
      </c>
      <c r="BB764">
        <f>'19_Расчет_аналитики'!BB632</f>
        <v/>
      </c>
      <c r="BC764">
        <f>'19_Расчет_аналитики'!BC632</f>
        <v/>
      </c>
      <c r="BD764">
        <f>'19_Расчет_аналитики'!BD632</f>
        <v/>
      </c>
      <c r="BE764">
        <f>'19_Расчет_аналитики'!BE632</f>
        <v/>
      </c>
      <c r="BF764">
        <f>'19_Расчет_аналитики'!BF632</f>
        <v/>
      </c>
      <c r="BG764">
        <f>'19_Расчет_аналитики'!BG632</f>
        <v/>
      </c>
      <c r="BH764">
        <f>'19_Расчет_аналитики'!BH632</f>
        <v/>
      </c>
      <c r="BI764">
        <f>'19_Расчет_аналитики'!BI632</f>
        <v/>
      </c>
    </row>
    <row r="765">
      <c r="B765">
        <f>'19_Расчет_аналитики'!B762-'19_Расчет_аналитики'!B764</f>
        <v/>
      </c>
      <c r="C765">
        <f>'19_Расчет_аналитики'!C762-'19_Расчет_аналитики'!C764</f>
        <v/>
      </c>
      <c r="D765">
        <f>'19_Расчет_аналитики'!D762-'19_Расчет_аналитики'!D764</f>
        <v/>
      </c>
      <c r="E765">
        <f>'19_Расчет_аналитики'!E762-'19_Расчет_аналитики'!E764</f>
        <v/>
      </c>
      <c r="F765">
        <f>'19_Расчет_аналитики'!F762-'19_Расчет_аналитики'!F764</f>
        <v/>
      </c>
      <c r="G765">
        <f>'19_Расчет_аналитики'!G762-'19_Расчет_аналитики'!G764</f>
        <v/>
      </c>
      <c r="H765">
        <f>'19_Расчет_аналитики'!H762-'19_Расчет_аналитики'!H764</f>
        <v/>
      </c>
      <c r="I765">
        <f>'19_Расчет_аналитики'!I762-'19_Расчет_аналитики'!I764</f>
        <v/>
      </c>
      <c r="J765">
        <f>'19_Расчет_аналитики'!J762-'19_Расчет_аналитики'!J764</f>
        <v/>
      </c>
      <c r="K765">
        <f>'19_Расчет_аналитики'!K762-'19_Расчет_аналитики'!K764</f>
        <v/>
      </c>
      <c r="L765">
        <f>'19_Расчет_аналитики'!L762-'19_Расчет_аналитики'!L764</f>
        <v/>
      </c>
      <c r="M765">
        <f>'19_Расчет_аналитики'!M762-'19_Расчет_аналитики'!M764</f>
        <v/>
      </c>
      <c r="N765">
        <f>'19_Расчет_аналитики'!N762-'19_Расчет_аналитики'!N764</f>
        <v/>
      </c>
      <c r="O765">
        <f>'19_Расчет_аналитики'!O762-'19_Расчет_аналитики'!O764</f>
        <v/>
      </c>
      <c r="P765">
        <f>'19_Расчет_аналитики'!P762-'19_Расчет_аналитики'!P764</f>
        <v/>
      </c>
      <c r="Q765">
        <f>'19_Расчет_аналитики'!Q762-'19_Расчет_аналитики'!Q764</f>
        <v/>
      </c>
      <c r="R765">
        <f>'19_Расчет_аналитики'!R762-'19_Расчет_аналитики'!R764</f>
        <v/>
      </c>
      <c r="S765">
        <f>'19_Расчет_аналитики'!S762-'19_Расчет_аналитики'!S764</f>
        <v/>
      </c>
      <c r="T765">
        <f>'19_Расчет_аналитики'!T762-'19_Расчет_аналитики'!T764</f>
        <v/>
      </c>
      <c r="U765">
        <f>'19_Расчет_аналитики'!U762-'19_Расчет_аналитики'!U764</f>
        <v/>
      </c>
      <c r="V765">
        <f>'19_Расчет_аналитики'!V762-'19_Расчет_аналитики'!V764</f>
        <v/>
      </c>
      <c r="W765">
        <f>'19_Расчет_аналитики'!W762-'19_Расчет_аналитики'!W764</f>
        <v/>
      </c>
      <c r="X765">
        <f>'19_Расчет_аналитики'!X762-'19_Расчет_аналитики'!X764</f>
        <v/>
      </c>
      <c r="Y765">
        <f>'19_Расчет_аналитики'!Y762-'19_Расчет_аналитики'!Y764</f>
        <v/>
      </c>
      <c r="Z765">
        <f>'19_Расчет_аналитики'!Z762-'19_Расчет_аналитики'!Z764</f>
        <v/>
      </c>
      <c r="AA765">
        <f>'19_Расчет_аналитики'!AA762-'19_Расчет_аналитики'!AA764</f>
        <v/>
      </c>
      <c r="AB765">
        <f>'19_Расчет_аналитики'!AB762-'19_Расчет_аналитики'!AB764</f>
        <v/>
      </c>
      <c r="AC765">
        <f>'19_Расчет_аналитики'!AC762-'19_Расчет_аналитики'!AC764</f>
        <v/>
      </c>
      <c r="AD765">
        <f>'19_Расчет_аналитики'!AD762-'19_Расчет_аналитики'!AD764</f>
        <v/>
      </c>
      <c r="AE765">
        <f>'19_Расчет_аналитики'!AE762-'19_Расчет_аналитики'!AE764</f>
        <v/>
      </c>
      <c r="AF765">
        <f>'19_Расчет_аналитики'!AF762-'19_Расчет_аналитики'!AF764</f>
        <v/>
      </c>
      <c r="AG765">
        <f>'19_Расчет_аналитики'!AG762-'19_Расчет_аналитики'!AG764</f>
        <v/>
      </c>
      <c r="AH765">
        <f>'19_Расчет_аналитики'!AH762-'19_Расчет_аналитики'!AH764</f>
        <v/>
      </c>
      <c r="AI765">
        <f>'19_Расчет_аналитики'!AI762-'19_Расчет_аналитики'!AI764</f>
        <v/>
      </c>
      <c r="AJ765">
        <f>'19_Расчет_аналитики'!AJ762-'19_Расчет_аналитики'!AJ764</f>
        <v/>
      </c>
      <c r="AK765">
        <f>'19_Расчет_аналитики'!AK762-'19_Расчет_аналитики'!AK764</f>
        <v/>
      </c>
      <c r="AL765">
        <f>'19_Расчет_аналитики'!AL762-'19_Расчет_аналитики'!AL764</f>
        <v/>
      </c>
      <c r="AM765">
        <f>'19_Расчет_аналитики'!AM762-'19_Расчет_аналитики'!AM764</f>
        <v/>
      </c>
      <c r="AN765">
        <f>'19_Расчет_аналитики'!AN762-'19_Расчет_аналитики'!AN764</f>
        <v/>
      </c>
      <c r="AO765">
        <f>'19_Расчет_аналитики'!AO762-'19_Расчет_аналитики'!AO764</f>
        <v/>
      </c>
      <c r="AP765">
        <f>'19_Расчет_аналитики'!AP762-'19_Расчет_аналитики'!AP764</f>
        <v/>
      </c>
      <c r="AQ765">
        <f>'19_Расчет_аналитики'!AQ762-'19_Расчет_аналитики'!AQ764</f>
        <v/>
      </c>
      <c r="AR765">
        <f>'19_Расчет_аналитики'!AR762-'19_Расчет_аналитики'!AR764</f>
        <v/>
      </c>
      <c r="AS765">
        <f>'19_Расчет_аналитики'!AS762-'19_Расчет_аналитики'!AS764</f>
        <v/>
      </c>
      <c r="AT765">
        <f>'19_Расчет_аналитики'!AT762-'19_Расчет_аналитики'!AT764</f>
        <v/>
      </c>
      <c r="AU765">
        <f>'19_Расчет_аналитики'!AU762-'19_Расчет_аналитики'!AU764</f>
        <v/>
      </c>
      <c r="AV765">
        <f>'19_Расчет_аналитики'!AV762-'19_Расчет_аналитики'!AV764</f>
        <v/>
      </c>
      <c r="AW765">
        <f>'19_Расчет_аналитики'!AW762-'19_Расчет_аналитики'!AW764</f>
        <v/>
      </c>
      <c r="AX765">
        <f>'19_Расчет_аналитики'!AX762-'19_Расчет_аналитики'!AX764</f>
        <v/>
      </c>
      <c r="AY765">
        <f>'19_Расчет_аналитики'!AY762-'19_Расчет_аналитики'!AY764</f>
        <v/>
      </c>
      <c r="AZ765">
        <f>'19_Расчет_аналитики'!AZ762-'19_Расчет_аналитики'!AZ764</f>
        <v/>
      </c>
      <c r="BA765">
        <f>'19_Расчет_аналитики'!BA762-'19_Расчет_аналитики'!BA764</f>
        <v/>
      </c>
      <c r="BB765">
        <f>'19_Расчет_аналитики'!BB762-'19_Расчет_аналитики'!BB764</f>
        <v/>
      </c>
      <c r="BC765">
        <f>'19_Расчет_аналитики'!BC762-'19_Расчет_аналитики'!BC764</f>
        <v/>
      </c>
      <c r="BD765">
        <f>'19_Расчет_аналитики'!BD762-'19_Расчет_аналитики'!BD764</f>
        <v/>
      </c>
      <c r="BE765">
        <f>'19_Расчет_аналитики'!BE762-'19_Расчет_аналитики'!BE764</f>
        <v/>
      </c>
      <c r="BF765">
        <f>'19_Расчет_аналитики'!BF762-'19_Расчет_аналитики'!BF764</f>
        <v/>
      </c>
      <c r="BG765">
        <f>'19_Расчет_аналитики'!BG762-'19_Расчет_аналитики'!BG764</f>
        <v/>
      </c>
      <c r="BH765">
        <f>'19_Расчет_аналитики'!BH762-'19_Расчет_аналитики'!BH764</f>
        <v/>
      </c>
      <c r="BI765">
        <f>'19_Расчет_аналитики'!BI762-'19_Расчет_аналитики'!BI764</f>
        <v/>
      </c>
    </row>
    <row r="766">
      <c r="B766">
        <f>'02_Модель'!B51+'19_Расчет_аналитики'!B765</f>
        <v/>
      </c>
      <c r="C766">
        <f>'19_Расчет_аналитики'!C745+'19_Расчет_аналитики'!C765</f>
        <v/>
      </c>
      <c r="D766">
        <f>'19_Расчет_аналитики'!D745+'19_Расчет_аналитики'!D765</f>
        <v/>
      </c>
      <c r="E766">
        <f>'19_Расчет_аналитики'!E745+'19_Расчет_аналитики'!E765</f>
        <v/>
      </c>
      <c r="F766">
        <f>'19_Расчет_аналитики'!F745+'19_Расчет_аналитики'!F765</f>
        <v/>
      </c>
      <c r="G766">
        <f>'19_Расчет_аналитики'!G745+'19_Расчет_аналитики'!G765</f>
        <v/>
      </c>
      <c r="H766">
        <f>'19_Расчет_аналитики'!H745+'19_Расчет_аналитики'!H765</f>
        <v/>
      </c>
      <c r="I766">
        <f>'19_Расчет_аналитики'!I745+'19_Расчет_аналитики'!I765</f>
        <v/>
      </c>
      <c r="J766">
        <f>'19_Расчет_аналитики'!J745+'19_Расчет_аналитики'!J765</f>
        <v/>
      </c>
      <c r="K766">
        <f>'19_Расчет_аналитики'!K745+'19_Расчет_аналитики'!K765</f>
        <v/>
      </c>
      <c r="L766">
        <f>'19_Расчет_аналитики'!L745+'19_Расчет_аналитики'!L765</f>
        <v/>
      </c>
      <c r="M766">
        <f>'19_Расчет_аналитики'!M745+'19_Расчет_аналитики'!M765</f>
        <v/>
      </c>
      <c r="N766">
        <f>'19_Расчет_аналитики'!N745+'19_Расчет_аналитики'!N765</f>
        <v/>
      </c>
      <c r="O766">
        <f>'19_Расчет_аналитики'!O745+'19_Расчет_аналитики'!O765</f>
        <v/>
      </c>
      <c r="P766">
        <f>'19_Расчет_аналитики'!P745+'19_Расчет_аналитики'!P765</f>
        <v/>
      </c>
      <c r="Q766">
        <f>'19_Расчет_аналитики'!Q745+'19_Расчет_аналитики'!Q765</f>
        <v/>
      </c>
      <c r="R766">
        <f>'19_Расчет_аналитики'!R745+'19_Расчет_аналитики'!R765</f>
        <v/>
      </c>
      <c r="S766">
        <f>'19_Расчет_аналитики'!S745+'19_Расчет_аналитики'!S765</f>
        <v/>
      </c>
      <c r="T766">
        <f>'19_Расчет_аналитики'!T745+'19_Расчет_аналитики'!T765</f>
        <v/>
      </c>
      <c r="U766">
        <f>'19_Расчет_аналитики'!U745+'19_Расчет_аналитики'!U765</f>
        <v/>
      </c>
      <c r="V766">
        <f>'19_Расчет_аналитики'!V745+'19_Расчет_аналитики'!V765</f>
        <v/>
      </c>
      <c r="W766">
        <f>'19_Расчет_аналитики'!W745+'19_Расчет_аналитики'!W765</f>
        <v/>
      </c>
      <c r="X766">
        <f>'19_Расчет_аналитики'!X745+'19_Расчет_аналитики'!X765</f>
        <v/>
      </c>
      <c r="Y766">
        <f>'19_Расчет_аналитики'!Y745+'19_Расчет_аналитики'!Y765</f>
        <v/>
      </c>
      <c r="Z766">
        <f>'19_Расчет_аналитики'!Z745+'19_Расчет_аналитики'!Z765</f>
        <v/>
      </c>
      <c r="AA766">
        <f>'19_Расчет_аналитики'!AA745+'19_Расчет_аналитики'!AA765</f>
        <v/>
      </c>
      <c r="AB766">
        <f>'19_Расчет_аналитики'!AB745+'19_Расчет_аналитики'!AB765</f>
        <v/>
      </c>
      <c r="AC766">
        <f>'19_Расчет_аналитики'!AC745+'19_Расчет_аналитики'!AC765</f>
        <v/>
      </c>
      <c r="AD766">
        <f>'19_Расчет_аналитики'!AD745+'19_Расчет_аналитики'!AD765</f>
        <v/>
      </c>
      <c r="AE766">
        <f>'19_Расчет_аналитики'!AE745+'19_Расчет_аналитики'!AE765</f>
        <v/>
      </c>
      <c r="AF766">
        <f>'19_Расчет_аналитики'!AF745+'19_Расчет_аналитики'!AF765</f>
        <v/>
      </c>
      <c r="AG766">
        <f>'19_Расчет_аналитики'!AG745+'19_Расчет_аналитики'!AG765</f>
        <v/>
      </c>
      <c r="AH766">
        <f>'19_Расчет_аналитики'!AH745+'19_Расчет_аналитики'!AH765</f>
        <v/>
      </c>
      <c r="AI766">
        <f>'19_Расчет_аналитики'!AI745+'19_Расчет_аналитики'!AI765</f>
        <v/>
      </c>
      <c r="AJ766">
        <f>'19_Расчет_аналитики'!AJ745+'19_Расчет_аналитики'!AJ765</f>
        <v/>
      </c>
      <c r="AK766">
        <f>'19_Расчет_аналитики'!AK745+'19_Расчет_аналитики'!AK765</f>
        <v/>
      </c>
      <c r="AL766">
        <f>'19_Расчет_аналитики'!AL745+'19_Расчет_аналитики'!AL765</f>
        <v/>
      </c>
      <c r="AM766">
        <f>'19_Расчет_аналитики'!AM745+'19_Расчет_аналитики'!AM765</f>
        <v/>
      </c>
      <c r="AN766">
        <f>'19_Расчет_аналитики'!AN745+'19_Расчет_аналитики'!AN765</f>
        <v/>
      </c>
      <c r="AO766">
        <f>'19_Расчет_аналитики'!AO745+'19_Расчет_аналитики'!AO765</f>
        <v/>
      </c>
      <c r="AP766">
        <f>'19_Расчет_аналитики'!AP745+'19_Расчет_аналитики'!AP765</f>
        <v/>
      </c>
      <c r="AQ766">
        <f>'19_Расчет_аналитики'!AQ745+'19_Расчет_аналитики'!AQ765</f>
        <v/>
      </c>
      <c r="AR766">
        <f>'19_Расчет_аналитики'!AR745+'19_Расчет_аналитики'!AR765</f>
        <v/>
      </c>
      <c r="AS766">
        <f>'19_Расчет_аналитики'!AS745+'19_Расчет_аналитики'!AS765</f>
        <v/>
      </c>
      <c r="AT766">
        <f>'19_Расчет_аналитики'!AT745+'19_Расчет_аналитики'!AT765</f>
        <v/>
      </c>
      <c r="AU766">
        <f>'19_Расчет_аналитики'!AU745+'19_Расчет_аналитики'!AU765</f>
        <v/>
      </c>
      <c r="AV766">
        <f>'19_Расчет_аналитики'!AV745+'19_Расчет_аналитики'!AV765</f>
        <v/>
      </c>
      <c r="AW766">
        <f>'19_Расчет_аналитики'!AW745+'19_Расчет_аналитики'!AW765</f>
        <v/>
      </c>
      <c r="AX766">
        <f>'19_Расчет_аналитики'!AX745+'19_Расчет_аналитики'!AX765</f>
        <v/>
      </c>
      <c r="AY766">
        <f>'19_Расчет_аналитики'!AY745+'19_Расчет_аналитики'!AY765</f>
        <v/>
      </c>
      <c r="AZ766">
        <f>'19_Расчет_аналитики'!AZ745+'19_Расчет_аналитики'!AZ765</f>
        <v/>
      </c>
      <c r="BA766">
        <f>'19_Расчет_аналитики'!BA745+'19_Расчет_аналитики'!BA765</f>
        <v/>
      </c>
      <c r="BB766">
        <f>'19_Расчет_аналитики'!BB745+'19_Расчет_аналитики'!BB765</f>
        <v/>
      </c>
      <c r="BC766">
        <f>'19_Расчет_аналитики'!BC745+'19_Расчет_аналитики'!BC765</f>
        <v/>
      </c>
      <c r="BD766">
        <f>'19_Расчет_аналитики'!BD745+'19_Расчет_аналитики'!BD765</f>
        <v/>
      </c>
      <c r="BE766">
        <f>'19_Расчет_аналитики'!BE745+'19_Расчет_аналитики'!BE765</f>
        <v/>
      </c>
      <c r="BF766">
        <f>'19_Расчет_аналитики'!BF745+'19_Расчет_аналитики'!BF765</f>
        <v/>
      </c>
      <c r="BG766">
        <f>'19_Расчет_аналитики'!BG745+'19_Расчет_аналитики'!BG765</f>
        <v/>
      </c>
      <c r="BH766">
        <f>'19_Расчет_аналитики'!BH745+'19_Расчет_аналитики'!BH765</f>
        <v/>
      </c>
      <c r="BI766">
        <f>'19_Расчет_аналитики'!BI745+'19_Расчет_аналитики'!BI765</f>
        <v/>
      </c>
    </row>
    <row r="767"/>
    <row r="768"/>
    <row r="769">
      <c r="B769">
        <f>'19_Расчет_аналитики'!B633</f>
        <v/>
      </c>
      <c r="C769">
        <f>'19_Расчет_аналитики'!C633</f>
        <v/>
      </c>
      <c r="D769">
        <f>'19_Расчет_аналитики'!D633</f>
        <v/>
      </c>
      <c r="E769">
        <f>'19_Расчет_аналитики'!E633</f>
        <v/>
      </c>
      <c r="F769">
        <f>'19_Расчет_аналитики'!F633</f>
        <v/>
      </c>
      <c r="G769">
        <f>'19_Расчет_аналитики'!G633</f>
        <v/>
      </c>
      <c r="H769">
        <f>'19_Расчет_аналитики'!H633</f>
        <v/>
      </c>
      <c r="I769">
        <f>'19_Расчет_аналитики'!I633</f>
        <v/>
      </c>
      <c r="J769">
        <f>'19_Расчет_аналитики'!J633</f>
        <v/>
      </c>
      <c r="K769">
        <f>'19_Расчет_аналитики'!K633</f>
        <v/>
      </c>
      <c r="L769">
        <f>'19_Расчет_аналитики'!L633</f>
        <v/>
      </c>
      <c r="M769">
        <f>'19_Расчет_аналитики'!M633</f>
        <v/>
      </c>
      <c r="N769">
        <f>'19_Расчет_аналитики'!N633</f>
        <v/>
      </c>
      <c r="O769">
        <f>'19_Расчет_аналитики'!O633</f>
        <v/>
      </c>
      <c r="P769">
        <f>'19_Расчет_аналитики'!P633</f>
        <v/>
      </c>
      <c r="Q769">
        <f>'19_Расчет_аналитики'!Q633</f>
        <v/>
      </c>
      <c r="R769">
        <f>'19_Расчет_аналитики'!R633</f>
        <v/>
      </c>
      <c r="S769">
        <f>'19_Расчет_аналитики'!S633</f>
        <v/>
      </c>
      <c r="T769">
        <f>'19_Расчет_аналитики'!T633</f>
        <v/>
      </c>
      <c r="U769">
        <f>'19_Расчет_аналитики'!U633</f>
        <v/>
      </c>
      <c r="V769">
        <f>'19_Расчет_аналитики'!V633</f>
        <v/>
      </c>
      <c r="W769">
        <f>'19_Расчет_аналитики'!W633</f>
        <v/>
      </c>
      <c r="X769">
        <f>'19_Расчет_аналитики'!X633</f>
        <v/>
      </c>
      <c r="Y769">
        <f>'19_Расчет_аналитики'!Y633</f>
        <v/>
      </c>
      <c r="Z769">
        <f>'19_Расчет_аналитики'!Z633</f>
        <v/>
      </c>
      <c r="AA769">
        <f>'19_Расчет_аналитики'!AA633</f>
        <v/>
      </c>
      <c r="AB769">
        <f>'19_Расчет_аналитики'!AB633</f>
        <v/>
      </c>
      <c r="AC769">
        <f>'19_Расчет_аналитики'!AC633</f>
        <v/>
      </c>
      <c r="AD769">
        <f>'19_Расчет_аналитики'!AD633</f>
        <v/>
      </c>
      <c r="AE769">
        <f>'19_Расчет_аналитики'!AE633</f>
        <v/>
      </c>
      <c r="AF769">
        <f>'19_Расчет_аналитики'!AF633</f>
        <v/>
      </c>
      <c r="AG769">
        <f>'19_Расчет_аналитики'!AG633</f>
        <v/>
      </c>
      <c r="AH769">
        <f>'19_Расчет_аналитики'!AH633</f>
        <v/>
      </c>
      <c r="AI769">
        <f>'19_Расчет_аналитики'!AI633</f>
        <v/>
      </c>
      <c r="AJ769">
        <f>'19_Расчет_аналитики'!AJ633</f>
        <v/>
      </c>
      <c r="AK769">
        <f>'19_Расчет_аналитики'!AK633</f>
        <v/>
      </c>
      <c r="AL769">
        <f>'19_Расчет_аналитики'!AL633</f>
        <v/>
      </c>
      <c r="AM769">
        <f>'19_Расчет_аналитики'!AM633</f>
        <v/>
      </c>
      <c r="AN769">
        <f>'19_Расчет_аналитики'!AN633</f>
        <v/>
      </c>
      <c r="AO769">
        <f>'19_Расчет_аналитики'!AO633</f>
        <v/>
      </c>
      <c r="AP769">
        <f>'19_Расчет_аналитики'!AP633</f>
        <v/>
      </c>
      <c r="AQ769">
        <f>'19_Расчет_аналитики'!AQ633</f>
        <v/>
      </c>
      <c r="AR769">
        <f>'19_Расчет_аналитики'!AR633</f>
        <v/>
      </c>
      <c r="AS769">
        <f>'19_Расчет_аналитики'!AS633</f>
        <v/>
      </c>
      <c r="AT769">
        <f>'19_Расчет_аналитики'!AT633</f>
        <v/>
      </c>
      <c r="AU769">
        <f>'19_Расчет_аналитики'!AU633</f>
        <v/>
      </c>
      <c r="AV769">
        <f>'19_Расчет_аналитики'!AV633</f>
        <v/>
      </c>
      <c r="AW769">
        <f>'19_Расчет_аналитики'!AW633</f>
        <v/>
      </c>
      <c r="AX769">
        <f>'19_Расчет_аналитики'!AX633</f>
        <v/>
      </c>
      <c r="AY769">
        <f>'19_Расчет_аналитики'!AY633</f>
        <v/>
      </c>
      <c r="AZ769">
        <f>'19_Расчет_аналитики'!AZ633</f>
        <v/>
      </c>
      <c r="BA769">
        <f>'19_Расчет_аналитики'!BA633</f>
        <v/>
      </c>
      <c r="BB769">
        <f>'19_Расчет_аналитики'!BB633</f>
        <v/>
      </c>
      <c r="BC769">
        <f>'19_Расчет_аналитики'!BC633</f>
        <v/>
      </c>
      <c r="BD769">
        <f>'19_Расчет_аналитики'!BD633</f>
        <v/>
      </c>
      <c r="BE769">
        <f>'19_Расчет_аналитики'!BE633</f>
        <v/>
      </c>
      <c r="BF769">
        <f>'19_Расчет_аналитики'!BF633</f>
        <v/>
      </c>
      <c r="BG769">
        <f>'19_Расчет_аналитики'!BG633</f>
        <v/>
      </c>
      <c r="BH769">
        <f>'19_Расчет_аналитики'!BH633</f>
        <v/>
      </c>
      <c r="BI769">
        <f>'19_Расчет_аналитики'!BI633</f>
        <v/>
      </c>
    </row>
    <row r="770">
      <c r="B770">
        <f>'19_Расчет_аналитики'!B627</f>
        <v/>
      </c>
      <c r="C770">
        <f>'19_Расчет_аналитики'!C627</f>
        <v/>
      </c>
      <c r="D770">
        <f>'19_Расчет_аналитики'!D627</f>
        <v/>
      </c>
      <c r="E770">
        <f>'19_Расчет_аналитики'!E627</f>
        <v/>
      </c>
      <c r="F770">
        <f>'19_Расчет_аналитики'!F627</f>
        <v/>
      </c>
      <c r="G770">
        <f>'19_Расчет_аналитики'!G627</f>
        <v/>
      </c>
      <c r="H770">
        <f>'19_Расчет_аналитики'!H627</f>
        <v/>
      </c>
      <c r="I770">
        <f>'19_Расчет_аналитики'!I627</f>
        <v/>
      </c>
      <c r="J770">
        <f>'19_Расчет_аналитики'!J627</f>
        <v/>
      </c>
      <c r="K770">
        <f>'19_Расчет_аналитики'!K627</f>
        <v/>
      </c>
      <c r="L770">
        <f>'19_Расчет_аналитики'!L627</f>
        <v/>
      </c>
      <c r="M770">
        <f>'19_Расчет_аналитики'!M627</f>
        <v/>
      </c>
      <c r="N770">
        <f>'19_Расчет_аналитики'!N627</f>
        <v/>
      </c>
      <c r="O770">
        <f>'19_Расчет_аналитики'!O627</f>
        <v/>
      </c>
      <c r="P770">
        <f>'19_Расчет_аналитики'!P627</f>
        <v/>
      </c>
      <c r="Q770">
        <f>'19_Расчет_аналитики'!Q627</f>
        <v/>
      </c>
      <c r="R770">
        <f>'19_Расчет_аналитики'!R627</f>
        <v/>
      </c>
      <c r="S770">
        <f>'19_Расчет_аналитики'!S627</f>
        <v/>
      </c>
      <c r="T770">
        <f>'19_Расчет_аналитики'!T627</f>
        <v/>
      </c>
      <c r="U770">
        <f>'19_Расчет_аналитики'!U627</f>
        <v/>
      </c>
      <c r="V770">
        <f>'19_Расчет_аналитики'!V627</f>
        <v/>
      </c>
      <c r="W770">
        <f>'19_Расчет_аналитики'!W627</f>
        <v/>
      </c>
      <c r="X770">
        <f>'19_Расчет_аналитики'!X627</f>
        <v/>
      </c>
      <c r="Y770">
        <f>'19_Расчет_аналитики'!Y627</f>
        <v/>
      </c>
      <c r="Z770">
        <f>'19_Расчет_аналитики'!Z627</f>
        <v/>
      </c>
      <c r="AA770">
        <f>'19_Расчет_аналитики'!AA627</f>
        <v/>
      </c>
      <c r="AB770">
        <f>'19_Расчет_аналитики'!AB627</f>
        <v/>
      </c>
      <c r="AC770">
        <f>'19_Расчет_аналитики'!AC627</f>
        <v/>
      </c>
      <c r="AD770">
        <f>'19_Расчет_аналитики'!AD627</f>
        <v/>
      </c>
      <c r="AE770">
        <f>'19_Расчет_аналитики'!AE627</f>
        <v/>
      </c>
      <c r="AF770">
        <f>'19_Расчет_аналитики'!AF627</f>
        <v/>
      </c>
      <c r="AG770">
        <f>'19_Расчет_аналитики'!AG627</f>
        <v/>
      </c>
      <c r="AH770">
        <f>'19_Расчет_аналитики'!AH627</f>
        <v/>
      </c>
      <c r="AI770">
        <f>'19_Расчет_аналитики'!AI627</f>
        <v/>
      </c>
      <c r="AJ770">
        <f>'19_Расчет_аналитики'!AJ627</f>
        <v/>
      </c>
      <c r="AK770">
        <f>'19_Расчет_аналитики'!AK627</f>
        <v/>
      </c>
      <c r="AL770">
        <f>'19_Расчет_аналитики'!AL627</f>
        <v/>
      </c>
      <c r="AM770">
        <f>'19_Расчет_аналитики'!AM627</f>
        <v/>
      </c>
      <c r="AN770">
        <f>'19_Расчет_аналитики'!AN627</f>
        <v/>
      </c>
      <c r="AO770">
        <f>'19_Расчет_аналитики'!AO627</f>
        <v/>
      </c>
      <c r="AP770">
        <f>'19_Расчет_аналитики'!AP627</f>
        <v/>
      </c>
      <c r="AQ770">
        <f>'19_Расчет_аналитики'!AQ627</f>
        <v/>
      </c>
      <c r="AR770">
        <f>'19_Расчет_аналитики'!AR627</f>
        <v/>
      </c>
      <c r="AS770">
        <f>'19_Расчет_аналитики'!AS627</f>
        <v/>
      </c>
      <c r="AT770">
        <f>'19_Расчет_аналитики'!AT627</f>
        <v/>
      </c>
      <c r="AU770">
        <f>'19_Расчет_аналитики'!AU627</f>
        <v/>
      </c>
      <c r="AV770">
        <f>'19_Расчет_аналитики'!AV627</f>
        <v/>
      </c>
      <c r="AW770">
        <f>'19_Расчет_аналитики'!AW627</f>
        <v/>
      </c>
      <c r="AX770">
        <f>'19_Расчет_аналитики'!AX627</f>
        <v/>
      </c>
      <c r="AY770">
        <f>'19_Расчет_аналитики'!AY627</f>
        <v/>
      </c>
      <c r="AZ770">
        <f>'19_Расчет_аналитики'!AZ627</f>
        <v/>
      </c>
      <c r="BA770">
        <f>'19_Расчет_аналитики'!BA627</f>
        <v/>
      </c>
      <c r="BB770">
        <f>'19_Расчет_аналитики'!BB627</f>
        <v/>
      </c>
      <c r="BC770">
        <f>'19_Расчет_аналитики'!BC627</f>
        <v/>
      </c>
      <c r="BD770">
        <f>'19_Расчет_аналитики'!BD627</f>
        <v/>
      </c>
      <c r="BE770">
        <f>'19_Расчет_аналитики'!BE627</f>
        <v/>
      </c>
      <c r="BF770">
        <f>'19_Расчет_аналитики'!BF627</f>
        <v/>
      </c>
      <c r="BG770">
        <f>'19_Расчет_аналитики'!BG627</f>
        <v/>
      </c>
      <c r="BH770">
        <f>'19_Расчет_аналитики'!BH627</f>
        <v/>
      </c>
      <c r="BI770">
        <f>'19_Расчет_аналитики'!BI627</f>
        <v/>
      </c>
    </row>
    <row r="771">
      <c r="B771">
        <f>'19_Расчет_аналитики'!B625</f>
        <v/>
      </c>
      <c r="C771">
        <f>'19_Расчет_аналитики'!C625</f>
        <v/>
      </c>
      <c r="D771">
        <f>'19_Расчет_аналитики'!D625</f>
        <v/>
      </c>
      <c r="E771">
        <f>'19_Расчет_аналитики'!E625</f>
        <v/>
      </c>
      <c r="F771">
        <f>'19_Расчет_аналитики'!F625</f>
        <v/>
      </c>
      <c r="G771">
        <f>'19_Расчет_аналитики'!G625</f>
        <v/>
      </c>
      <c r="H771">
        <f>'19_Расчет_аналитики'!H625</f>
        <v/>
      </c>
      <c r="I771">
        <f>'19_Расчет_аналитики'!I625</f>
        <v/>
      </c>
      <c r="J771">
        <f>'19_Расчет_аналитики'!J625</f>
        <v/>
      </c>
      <c r="K771">
        <f>'19_Расчет_аналитики'!K625</f>
        <v/>
      </c>
      <c r="L771">
        <f>'19_Расчет_аналитики'!L625</f>
        <v/>
      </c>
      <c r="M771">
        <f>'19_Расчет_аналитики'!M625</f>
        <v/>
      </c>
      <c r="N771">
        <f>'19_Расчет_аналитики'!N625</f>
        <v/>
      </c>
      <c r="O771">
        <f>'19_Расчет_аналитики'!O625</f>
        <v/>
      </c>
      <c r="P771">
        <f>'19_Расчет_аналитики'!P625</f>
        <v/>
      </c>
      <c r="Q771">
        <f>'19_Расчет_аналитики'!Q625</f>
        <v/>
      </c>
      <c r="R771">
        <f>'19_Расчет_аналитики'!R625</f>
        <v/>
      </c>
      <c r="S771">
        <f>'19_Расчет_аналитики'!S625</f>
        <v/>
      </c>
      <c r="T771">
        <f>'19_Расчет_аналитики'!T625</f>
        <v/>
      </c>
      <c r="U771">
        <f>'19_Расчет_аналитики'!U625</f>
        <v/>
      </c>
      <c r="V771">
        <f>'19_Расчет_аналитики'!V625</f>
        <v/>
      </c>
      <c r="W771">
        <f>'19_Расчет_аналитики'!W625</f>
        <v/>
      </c>
      <c r="X771">
        <f>'19_Расчет_аналитики'!X625</f>
        <v/>
      </c>
      <c r="Y771">
        <f>'19_Расчет_аналитики'!Y625</f>
        <v/>
      </c>
      <c r="Z771">
        <f>'19_Расчет_аналитики'!Z625</f>
        <v/>
      </c>
      <c r="AA771">
        <f>'19_Расчет_аналитики'!AA625</f>
        <v/>
      </c>
      <c r="AB771">
        <f>'19_Расчет_аналитики'!AB625</f>
        <v/>
      </c>
      <c r="AC771">
        <f>'19_Расчет_аналитики'!AC625</f>
        <v/>
      </c>
      <c r="AD771">
        <f>'19_Расчет_аналитики'!AD625</f>
        <v/>
      </c>
      <c r="AE771">
        <f>'19_Расчет_аналитики'!AE625</f>
        <v/>
      </c>
      <c r="AF771">
        <f>'19_Расчет_аналитики'!AF625</f>
        <v/>
      </c>
      <c r="AG771">
        <f>'19_Расчет_аналитики'!AG625</f>
        <v/>
      </c>
      <c r="AH771">
        <f>'19_Расчет_аналитики'!AH625</f>
        <v/>
      </c>
      <c r="AI771">
        <f>'19_Расчет_аналитики'!AI625</f>
        <v/>
      </c>
      <c r="AJ771">
        <f>'19_Расчет_аналитики'!AJ625</f>
        <v/>
      </c>
      <c r="AK771">
        <f>'19_Расчет_аналитики'!AK625</f>
        <v/>
      </c>
      <c r="AL771">
        <f>'19_Расчет_аналитики'!AL625</f>
        <v/>
      </c>
      <c r="AM771">
        <f>'19_Расчет_аналитики'!AM625</f>
        <v/>
      </c>
      <c r="AN771">
        <f>'19_Расчет_аналитики'!AN625</f>
        <v/>
      </c>
      <c r="AO771">
        <f>'19_Расчет_аналитики'!AO625</f>
        <v/>
      </c>
      <c r="AP771">
        <f>'19_Расчет_аналитики'!AP625</f>
        <v/>
      </c>
      <c r="AQ771">
        <f>'19_Расчет_аналитики'!AQ625</f>
        <v/>
      </c>
      <c r="AR771">
        <f>'19_Расчет_аналитики'!AR625</f>
        <v/>
      </c>
      <c r="AS771">
        <f>'19_Расчет_аналитики'!AS625</f>
        <v/>
      </c>
      <c r="AT771">
        <f>'19_Расчет_аналитики'!AT625</f>
        <v/>
      </c>
      <c r="AU771">
        <f>'19_Расчет_аналитики'!AU625</f>
        <v/>
      </c>
      <c r="AV771">
        <f>'19_Расчет_аналитики'!AV625</f>
        <v/>
      </c>
      <c r="AW771">
        <f>'19_Расчет_аналитики'!AW625</f>
        <v/>
      </c>
      <c r="AX771">
        <f>'19_Расчет_аналитики'!AX625</f>
        <v/>
      </c>
      <c r="AY771">
        <f>'19_Расчет_аналитики'!AY625</f>
        <v/>
      </c>
      <c r="AZ771">
        <f>'19_Расчет_аналитики'!AZ625</f>
        <v/>
      </c>
      <c r="BA771">
        <f>'19_Расчет_аналитики'!BA625</f>
        <v/>
      </c>
      <c r="BB771">
        <f>'19_Расчет_аналитики'!BB625</f>
        <v/>
      </c>
      <c r="BC771">
        <f>'19_Расчет_аналитики'!BC625</f>
        <v/>
      </c>
      <c r="BD771">
        <f>'19_Расчет_аналитики'!BD625</f>
        <v/>
      </c>
      <c r="BE771">
        <f>'19_Расчет_аналитики'!BE625</f>
        <v/>
      </c>
      <c r="BF771">
        <f>'19_Расчет_аналитики'!BF625</f>
        <v/>
      </c>
      <c r="BG771">
        <f>'19_Расчет_аналитики'!BG625</f>
        <v/>
      </c>
      <c r="BH771">
        <f>'19_Расчет_аналитики'!BH625</f>
        <v/>
      </c>
      <c r="BI771">
        <f>'19_Расчет_аналитики'!BI625</f>
        <v/>
      </c>
    </row>
    <row r="772">
      <c r="B772">
        <f>'19_Расчет_аналитики'!B628</f>
        <v/>
      </c>
      <c r="C772">
        <f>'19_Расчет_аналитики'!C628</f>
        <v/>
      </c>
      <c r="D772">
        <f>'19_Расчет_аналитики'!D628</f>
        <v/>
      </c>
      <c r="E772">
        <f>'19_Расчет_аналитики'!E628</f>
        <v/>
      </c>
      <c r="F772">
        <f>'19_Расчет_аналитики'!F628</f>
        <v/>
      </c>
      <c r="G772">
        <f>'19_Расчет_аналитики'!G628</f>
        <v/>
      </c>
      <c r="H772">
        <f>'19_Расчет_аналитики'!H628</f>
        <v/>
      </c>
      <c r="I772">
        <f>'19_Расчет_аналитики'!I628</f>
        <v/>
      </c>
      <c r="J772">
        <f>'19_Расчет_аналитики'!J628</f>
        <v/>
      </c>
      <c r="K772">
        <f>'19_Расчет_аналитики'!K628</f>
        <v/>
      </c>
      <c r="L772">
        <f>'19_Расчет_аналитики'!L628</f>
        <v/>
      </c>
      <c r="M772">
        <f>'19_Расчет_аналитики'!M628</f>
        <v/>
      </c>
      <c r="N772">
        <f>'19_Расчет_аналитики'!N628</f>
        <v/>
      </c>
      <c r="O772">
        <f>'19_Расчет_аналитики'!O628</f>
        <v/>
      </c>
      <c r="P772">
        <f>'19_Расчет_аналитики'!P628</f>
        <v/>
      </c>
      <c r="Q772">
        <f>'19_Расчет_аналитики'!Q628</f>
        <v/>
      </c>
      <c r="R772">
        <f>'19_Расчет_аналитики'!R628</f>
        <v/>
      </c>
      <c r="S772">
        <f>'19_Расчет_аналитики'!S628</f>
        <v/>
      </c>
      <c r="T772">
        <f>'19_Расчет_аналитики'!T628</f>
        <v/>
      </c>
      <c r="U772">
        <f>'19_Расчет_аналитики'!U628</f>
        <v/>
      </c>
      <c r="V772">
        <f>'19_Расчет_аналитики'!V628</f>
        <v/>
      </c>
      <c r="W772">
        <f>'19_Расчет_аналитики'!W628</f>
        <v/>
      </c>
      <c r="X772">
        <f>'19_Расчет_аналитики'!X628</f>
        <v/>
      </c>
      <c r="Y772">
        <f>'19_Расчет_аналитики'!Y628</f>
        <v/>
      </c>
      <c r="Z772">
        <f>'19_Расчет_аналитики'!Z628</f>
        <v/>
      </c>
      <c r="AA772">
        <f>'19_Расчет_аналитики'!AA628</f>
        <v/>
      </c>
      <c r="AB772">
        <f>'19_Расчет_аналитики'!AB628</f>
        <v/>
      </c>
      <c r="AC772">
        <f>'19_Расчет_аналитики'!AC628</f>
        <v/>
      </c>
      <c r="AD772">
        <f>'19_Расчет_аналитики'!AD628</f>
        <v/>
      </c>
      <c r="AE772">
        <f>'19_Расчет_аналитики'!AE628</f>
        <v/>
      </c>
      <c r="AF772">
        <f>'19_Расчет_аналитики'!AF628</f>
        <v/>
      </c>
      <c r="AG772">
        <f>'19_Расчет_аналитики'!AG628</f>
        <v/>
      </c>
      <c r="AH772">
        <f>'19_Расчет_аналитики'!AH628</f>
        <v/>
      </c>
      <c r="AI772">
        <f>'19_Расчет_аналитики'!AI628</f>
        <v/>
      </c>
      <c r="AJ772">
        <f>'19_Расчет_аналитики'!AJ628</f>
        <v/>
      </c>
      <c r="AK772">
        <f>'19_Расчет_аналитики'!AK628</f>
        <v/>
      </c>
      <c r="AL772">
        <f>'19_Расчет_аналитики'!AL628</f>
        <v/>
      </c>
      <c r="AM772">
        <f>'19_Расчет_аналитики'!AM628</f>
        <v/>
      </c>
      <c r="AN772">
        <f>'19_Расчет_аналитики'!AN628</f>
        <v/>
      </c>
      <c r="AO772">
        <f>'19_Расчет_аналитики'!AO628</f>
        <v/>
      </c>
      <c r="AP772">
        <f>'19_Расчет_аналитики'!AP628</f>
        <v/>
      </c>
      <c r="AQ772">
        <f>'19_Расчет_аналитики'!AQ628</f>
        <v/>
      </c>
      <c r="AR772">
        <f>'19_Расчет_аналитики'!AR628</f>
        <v/>
      </c>
      <c r="AS772">
        <f>'19_Расчет_аналитики'!AS628</f>
        <v/>
      </c>
      <c r="AT772">
        <f>'19_Расчет_аналитики'!AT628</f>
        <v/>
      </c>
      <c r="AU772">
        <f>'19_Расчет_аналитики'!AU628</f>
        <v/>
      </c>
      <c r="AV772">
        <f>'19_Расчет_аналитики'!AV628</f>
        <v/>
      </c>
      <c r="AW772">
        <f>'19_Расчет_аналитики'!AW628</f>
        <v/>
      </c>
      <c r="AX772">
        <f>'19_Расчет_аналитики'!AX628</f>
        <v/>
      </c>
      <c r="AY772">
        <f>'19_Расчет_аналитики'!AY628</f>
        <v/>
      </c>
      <c r="AZ772">
        <f>'19_Расчет_аналитики'!AZ628</f>
        <v/>
      </c>
      <c r="BA772">
        <f>'19_Расчет_аналитики'!BA628</f>
        <v/>
      </c>
      <c r="BB772">
        <f>'19_Расчет_аналитики'!BB628</f>
        <v/>
      </c>
      <c r="BC772">
        <f>'19_Расчет_аналитики'!BC628</f>
        <v/>
      </c>
      <c r="BD772">
        <f>'19_Расчет_аналитики'!BD628</f>
        <v/>
      </c>
      <c r="BE772">
        <f>'19_Расчет_аналитики'!BE628</f>
        <v/>
      </c>
      <c r="BF772">
        <f>'19_Расчет_аналитики'!BF628</f>
        <v/>
      </c>
      <c r="BG772">
        <f>'19_Расчет_аналитики'!BG628</f>
        <v/>
      </c>
      <c r="BH772">
        <f>'19_Расчет_аналитики'!BH628</f>
        <v/>
      </c>
      <c r="BI772">
        <f>'19_Расчет_аналитики'!BI628</f>
        <v/>
      </c>
    </row>
    <row r="773"/>
    <row r="774">
      <c r="B774">
        <f>0+'19_Расчет_аналитики'!B713+'19_Расчет_аналитики'!B714-'19_Расчет_аналитики'!B747/(1+'01_Вводные'!$B$58)</f>
        <v/>
      </c>
      <c r="C774">
        <f>'19_Расчет_аналитики'!B774+'19_Расчет_аналитики'!C713+'19_Расчет_аналитики'!C714-'19_Расчет_аналитики'!C747/(1+'01_Вводные'!$B$58)</f>
        <v/>
      </c>
      <c r="D774">
        <f>'19_Расчет_аналитики'!C774+'19_Расчет_аналитики'!D713+'19_Расчет_аналитики'!D714-'19_Расчет_аналитики'!D747/(1+'01_Вводные'!$B$58)</f>
        <v/>
      </c>
      <c r="E774">
        <f>'19_Расчет_аналитики'!D774+'19_Расчет_аналитики'!E713+'19_Расчет_аналитики'!E714-'19_Расчет_аналитики'!E747/(1+'01_Вводные'!$B$58)</f>
        <v/>
      </c>
      <c r="F774">
        <f>'19_Расчет_аналитики'!E774+'19_Расчет_аналитики'!F713+'19_Расчет_аналитики'!F714-'19_Расчет_аналитики'!F747/(1+'01_Вводные'!$B$58)</f>
        <v/>
      </c>
      <c r="G774">
        <f>'19_Расчет_аналитики'!F774+'19_Расчет_аналитики'!G713+'19_Расчет_аналитики'!G714-'19_Расчет_аналитики'!G747/(1+'01_Вводные'!$B$58)</f>
        <v/>
      </c>
      <c r="H774">
        <f>'19_Расчет_аналитики'!G774+'19_Расчет_аналитики'!H713+'19_Расчет_аналитики'!H714-'19_Расчет_аналитики'!H747/(1+'01_Вводные'!$B$58)</f>
        <v/>
      </c>
      <c r="I774">
        <f>'19_Расчет_аналитики'!H774+'19_Расчет_аналитики'!I713+'19_Расчет_аналитики'!I714-'19_Расчет_аналитики'!I747/(1+'01_Вводные'!$B$58)</f>
        <v/>
      </c>
      <c r="J774">
        <f>'19_Расчет_аналитики'!I774+'19_Расчет_аналитики'!J713+'19_Расчет_аналитики'!J714-'19_Расчет_аналитики'!J747/(1+'01_Вводные'!$B$58)</f>
        <v/>
      </c>
      <c r="K774">
        <f>'19_Расчет_аналитики'!J774+'19_Расчет_аналитики'!K713+'19_Расчет_аналитики'!K714-'19_Расчет_аналитики'!K747/(1+'01_Вводные'!$B$58)</f>
        <v/>
      </c>
      <c r="L774">
        <f>'19_Расчет_аналитики'!K774+'19_Расчет_аналитики'!L713+'19_Расчет_аналитики'!L714-'19_Расчет_аналитики'!L747/(1+'01_Вводные'!$B$58)</f>
        <v/>
      </c>
      <c r="M774">
        <f>'19_Расчет_аналитики'!L774+'19_Расчет_аналитики'!M713+'19_Расчет_аналитики'!M714-'19_Расчет_аналитики'!M747/(1+'01_Вводные'!$B$58)</f>
        <v/>
      </c>
      <c r="N774">
        <f>'19_Расчет_аналитики'!M774+'19_Расчет_аналитики'!N713+'19_Расчет_аналитики'!N714-'19_Расчет_аналитики'!N747/(1+'01_Вводные'!$B$58)</f>
        <v/>
      </c>
      <c r="O774">
        <f>'19_Расчет_аналитики'!N774+'19_Расчет_аналитики'!O713+'19_Расчет_аналитики'!O714-'19_Расчет_аналитики'!O747/(1+'01_Вводные'!$B$58)</f>
        <v/>
      </c>
      <c r="P774">
        <f>'19_Расчет_аналитики'!O774+'19_Расчет_аналитики'!P713+'19_Расчет_аналитики'!P714-'19_Расчет_аналитики'!P747/(1+'01_Вводные'!$B$58)</f>
        <v/>
      </c>
      <c r="Q774">
        <f>'19_Расчет_аналитики'!P774+'19_Расчет_аналитики'!Q713+'19_Расчет_аналитики'!Q714-'19_Расчет_аналитики'!Q747/(1+'01_Вводные'!$B$58)</f>
        <v/>
      </c>
      <c r="R774">
        <f>'19_Расчет_аналитики'!Q774+'19_Расчет_аналитики'!R713+'19_Расчет_аналитики'!R714-'19_Расчет_аналитики'!R747/(1+'01_Вводные'!$B$58)</f>
        <v/>
      </c>
      <c r="S774">
        <f>'19_Расчет_аналитики'!R774+'19_Расчет_аналитики'!S713+'19_Расчет_аналитики'!S714-'19_Расчет_аналитики'!S747/(1+'01_Вводные'!$B$58)</f>
        <v/>
      </c>
      <c r="T774">
        <f>'19_Расчет_аналитики'!S774+'19_Расчет_аналитики'!T713+'19_Расчет_аналитики'!T714-'19_Расчет_аналитики'!T747/(1+'01_Вводные'!$B$58)</f>
        <v/>
      </c>
      <c r="U774">
        <f>'19_Расчет_аналитики'!T774+'19_Расчет_аналитики'!U713+'19_Расчет_аналитики'!U714-'19_Расчет_аналитики'!U747/(1+'01_Вводные'!$B$58)</f>
        <v/>
      </c>
      <c r="V774">
        <f>'19_Расчет_аналитики'!U774+'19_Расчет_аналитики'!V713+'19_Расчет_аналитики'!V714-'19_Расчет_аналитики'!V747/(1+'01_Вводные'!$B$58)</f>
        <v/>
      </c>
      <c r="W774">
        <f>'19_Расчет_аналитики'!V774+'19_Расчет_аналитики'!W713+'19_Расчет_аналитики'!W714-'19_Расчет_аналитики'!W747/(1+'01_Вводные'!$B$58)</f>
        <v/>
      </c>
      <c r="X774">
        <f>'19_Расчет_аналитики'!W774+'19_Расчет_аналитики'!X713+'19_Расчет_аналитики'!X714-'19_Расчет_аналитики'!X747/(1+'01_Вводные'!$B$58)</f>
        <v/>
      </c>
      <c r="Y774">
        <f>'19_Расчет_аналитики'!X774+'19_Расчет_аналитики'!Y713+'19_Расчет_аналитики'!Y714-'19_Расчет_аналитики'!Y747/(1+'01_Вводные'!$B$58)</f>
        <v/>
      </c>
      <c r="Z774">
        <f>'19_Расчет_аналитики'!Y774+'19_Расчет_аналитики'!Z713+'19_Расчет_аналитики'!Z714-'19_Расчет_аналитики'!Z747/(1+'01_Вводные'!$B$58)</f>
        <v/>
      </c>
      <c r="AA774">
        <f>'19_Расчет_аналитики'!Z774+'19_Расчет_аналитики'!AA713+'19_Расчет_аналитики'!AA714-'19_Расчет_аналитики'!AA747/(1+'01_Вводные'!$B$58)</f>
        <v/>
      </c>
      <c r="AB774">
        <f>'19_Расчет_аналитики'!AA774+'19_Расчет_аналитики'!AB713+'19_Расчет_аналитики'!AB714-'19_Расчет_аналитики'!AB747/(1+'01_Вводные'!$B$58)</f>
        <v/>
      </c>
      <c r="AC774">
        <f>'19_Расчет_аналитики'!AB774+'19_Расчет_аналитики'!AC713+'19_Расчет_аналитики'!AC714-'19_Расчет_аналитики'!AC747/(1+'01_Вводные'!$B$58)</f>
        <v/>
      </c>
      <c r="AD774">
        <f>'19_Расчет_аналитики'!AC774+'19_Расчет_аналитики'!AD713+'19_Расчет_аналитики'!AD714-'19_Расчет_аналитики'!AD747/(1+'01_Вводные'!$B$58)</f>
        <v/>
      </c>
      <c r="AE774">
        <f>'19_Расчет_аналитики'!AD774+'19_Расчет_аналитики'!AE713+'19_Расчет_аналитики'!AE714-'19_Расчет_аналитики'!AE747/(1+'01_Вводные'!$B$58)</f>
        <v/>
      </c>
      <c r="AF774">
        <f>'19_Расчет_аналитики'!AE774+'19_Расчет_аналитики'!AF713+'19_Расчет_аналитики'!AF714-'19_Расчет_аналитики'!AF747/(1+'01_Вводные'!$B$58)</f>
        <v/>
      </c>
      <c r="AG774">
        <f>'19_Расчет_аналитики'!AF774+'19_Расчет_аналитики'!AG713+'19_Расчет_аналитики'!AG714-'19_Расчет_аналитики'!AG747/(1+'01_Вводные'!$B$58)</f>
        <v/>
      </c>
      <c r="AH774">
        <f>'19_Расчет_аналитики'!AG774+'19_Расчет_аналитики'!AH713+'19_Расчет_аналитики'!AH714-'19_Расчет_аналитики'!AH747/(1+'01_Вводные'!$B$58)</f>
        <v/>
      </c>
      <c r="AI774">
        <f>'19_Расчет_аналитики'!AH774+'19_Расчет_аналитики'!AI713+'19_Расчет_аналитики'!AI714-'19_Расчет_аналитики'!AI747/(1+'01_Вводные'!$B$58)</f>
        <v/>
      </c>
      <c r="AJ774">
        <f>'19_Расчет_аналитики'!AI774+'19_Расчет_аналитики'!AJ713+'19_Расчет_аналитики'!AJ714-'19_Расчет_аналитики'!AJ747/(1+'01_Вводные'!$B$58)</f>
        <v/>
      </c>
      <c r="AK774">
        <f>'19_Расчет_аналитики'!AJ774+'19_Расчет_аналитики'!AK713+'19_Расчет_аналитики'!AK714-'19_Расчет_аналитики'!AK747/(1+'01_Вводные'!$B$58)</f>
        <v/>
      </c>
      <c r="AL774">
        <f>'19_Расчет_аналитики'!AK774+'19_Расчет_аналитики'!AL713+'19_Расчет_аналитики'!AL714-'19_Расчет_аналитики'!AL747/(1+'01_Вводные'!$B$58)</f>
        <v/>
      </c>
      <c r="AM774">
        <f>'19_Расчет_аналитики'!AL774+'19_Расчет_аналитики'!AM713+'19_Расчет_аналитики'!AM714-'19_Расчет_аналитики'!AM747/(1+'01_Вводные'!$B$58)</f>
        <v/>
      </c>
      <c r="AN774">
        <f>'19_Расчет_аналитики'!AM774+'19_Расчет_аналитики'!AN713+'19_Расчет_аналитики'!AN714-'19_Расчет_аналитики'!AN747/(1+'01_Вводные'!$B$58)</f>
        <v/>
      </c>
      <c r="AO774">
        <f>'19_Расчет_аналитики'!AN774+'19_Расчет_аналитики'!AO713+'19_Расчет_аналитики'!AO714-'19_Расчет_аналитики'!AO747/(1+'01_Вводные'!$B$58)</f>
        <v/>
      </c>
      <c r="AP774">
        <f>'19_Расчет_аналитики'!AO774+'19_Расчет_аналитики'!AP713+'19_Расчет_аналитики'!AP714-'19_Расчет_аналитики'!AP747/(1+'01_Вводные'!$B$58)</f>
        <v/>
      </c>
      <c r="AQ774">
        <f>'19_Расчет_аналитики'!AP774+'19_Расчет_аналитики'!AQ713+'19_Расчет_аналитики'!AQ714-'19_Расчет_аналитики'!AQ747/(1+'01_Вводные'!$B$58)</f>
        <v/>
      </c>
      <c r="AR774">
        <f>'19_Расчет_аналитики'!AQ774+'19_Расчет_аналитики'!AR713+'19_Расчет_аналитики'!AR714-'19_Расчет_аналитики'!AR747/(1+'01_Вводные'!$B$58)</f>
        <v/>
      </c>
      <c r="AS774">
        <f>'19_Расчет_аналитики'!AR774+'19_Расчет_аналитики'!AS713+'19_Расчет_аналитики'!AS714-'19_Расчет_аналитики'!AS747/(1+'01_Вводные'!$B$58)</f>
        <v/>
      </c>
      <c r="AT774">
        <f>'19_Расчет_аналитики'!AS774+'19_Расчет_аналитики'!AT713+'19_Расчет_аналитики'!AT714-'19_Расчет_аналитики'!AT747/(1+'01_Вводные'!$B$58)</f>
        <v/>
      </c>
      <c r="AU774">
        <f>'19_Расчет_аналитики'!AT774+'19_Расчет_аналитики'!AU713+'19_Расчет_аналитики'!AU714-'19_Расчет_аналитики'!AU747/(1+'01_Вводные'!$B$58)</f>
        <v/>
      </c>
      <c r="AV774">
        <f>'19_Расчет_аналитики'!AU774+'19_Расчет_аналитики'!AV713+'19_Расчет_аналитики'!AV714-'19_Расчет_аналитики'!AV747/(1+'01_Вводные'!$B$58)</f>
        <v/>
      </c>
      <c r="AW774">
        <f>'19_Расчет_аналитики'!AV774+'19_Расчет_аналитики'!AW713+'19_Расчет_аналитики'!AW714-'19_Расчет_аналитики'!AW747/(1+'01_Вводные'!$B$58)</f>
        <v/>
      </c>
      <c r="AX774">
        <f>'19_Расчет_аналитики'!AW774+'19_Расчет_аналитики'!AX713+'19_Расчет_аналитики'!AX714-'19_Расчет_аналитики'!AX747/(1+'01_Вводные'!$B$58)</f>
        <v/>
      </c>
      <c r="AY774">
        <f>'19_Расчет_аналитики'!AX774+'19_Расчет_аналитики'!AY713+'19_Расчет_аналитики'!AY714-'19_Расчет_аналитики'!AY747/(1+'01_Вводные'!$B$58)</f>
        <v/>
      </c>
      <c r="AZ774">
        <f>'19_Расчет_аналитики'!AY774+'19_Расчет_аналитики'!AZ713+'19_Расчет_аналитики'!AZ714-'19_Расчет_аналитики'!AZ747/(1+'01_Вводные'!$B$58)</f>
        <v/>
      </c>
      <c r="BA774">
        <f>'19_Расчет_аналитики'!AZ774+'19_Расчет_аналитики'!BA713+'19_Расчет_аналитики'!BA714-'19_Расчет_аналитики'!BA747/(1+'01_Вводные'!$B$58)</f>
        <v/>
      </c>
      <c r="BB774">
        <f>'19_Расчет_аналитики'!BA774+'19_Расчет_аналитики'!BB713+'19_Расчет_аналитики'!BB714-'19_Расчет_аналитики'!BB747/(1+'01_Вводные'!$B$58)</f>
        <v/>
      </c>
      <c r="BC774">
        <f>'19_Расчет_аналитики'!BB774+'19_Расчет_аналитики'!BC713+'19_Расчет_аналитики'!BC714-'19_Расчет_аналитики'!BC747/(1+'01_Вводные'!$B$58)</f>
        <v/>
      </c>
      <c r="BD774">
        <f>'19_Расчет_аналитики'!BC774+'19_Расчет_аналитики'!BD713+'19_Расчет_аналитики'!BD714-'19_Расчет_аналитики'!BD747/(1+'01_Вводные'!$B$58)</f>
        <v/>
      </c>
      <c r="BE774">
        <f>'19_Расчет_аналитики'!BD774+'19_Расчет_аналитики'!BE713+'19_Расчет_аналитики'!BE714-'19_Расчет_аналитики'!BE747/(1+'01_Вводные'!$B$58)</f>
        <v/>
      </c>
      <c r="BF774">
        <f>'19_Расчет_аналитики'!BE774+'19_Расчет_аналитики'!BF713+'19_Расчет_аналитики'!BF714-'19_Расчет_аналитики'!BF747/(1+'01_Вводные'!$B$58)</f>
        <v/>
      </c>
      <c r="BG774">
        <f>'19_Расчет_аналитики'!BF774+'19_Расчет_аналитики'!BG713+'19_Расчет_аналитики'!BG714-'19_Расчет_аналитики'!BG747/(1+'01_Вводные'!$B$58)</f>
        <v/>
      </c>
      <c r="BH774">
        <f>'19_Расчет_аналитики'!BG774+'19_Расчет_аналитики'!BH713+'19_Расчет_аналитики'!BH714-'19_Расчет_аналитики'!BH747/(1+'01_Вводные'!$B$58)</f>
        <v/>
      </c>
      <c r="BI774">
        <f>'19_Расчет_аналитики'!BH774+'19_Расчет_аналитики'!BI713+'19_Расчет_аналитики'!BI714-'19_Расчет_аналитики'!BI747/(1+'01_Вводные'!$B$58)</f>
        <v/>
      </c>
    </row>
    <row r="775">
      <c r="B775">
        <f>0+SUM('19_Расчет_аналитики'!B731:B736)+'19_Расчет_аналитики'!B626-'19_Расчет_аналитики'!B753</f>
        <v/>
      </c>
      <c r="C775">
        <f>'19_Расчет_аналитики'!B775+SUM('19_Расчет_аналитики'!C731:C736)+'19_Расчет_аналитики'!C626-'19_Расчет_аналитики'!C753</f>
        <v/>
      </c>
      <c r="D775">
        <f>'19_Расчет_аналитики'!C775+SUM('19_Расчет_аналитики'!D731:D736)+'19_Расчет_аналитики'!D626-'19_Расчет_аналитики'!D753</f>
        <v/>
      </c>
      <c r="E775">
        <f>'19_Расчет_аналитики'!D775+SUM('19_Расчет_аналитики'!E731:E736)+'19_Расчет_аналитики'!E626-'19_Расчет_аналитики'!E753</f>
        <v/>
      </c>
      <c r="F775">
        <f>'19_Расчет_аналитики'!E775+SUM('19_Расчет_аналитики'!F731:F736)+'19_Расчет_аналитики'!F626-'19_Расчет_аналитики'!F753</f>
        <v/>
      </c>
      <c r="G775">
        <f>'19_Расчет_аналитики'!F775+SUM('19_Расчет_аналитики'!G731:G736)+'19_Расчет_аналитики'!G626-'19_Расчет_аналитики'!G753</f>
        <v/>
      </c>
      <c r="H775">
        <f>'19_Расчет_аналитики'!G775+SUM('19_Расчет_аналитики'!H731:H736)+'19_Расчет_аналитики'!H626-'19_Расчет_аналитики'!H753</f>
        <v/>
      </c>
      <c r="I775">
        <f>'19_Расчет_аналитики'!H775+SUM('19_Расчет_аналитики'!I731:I736)+'19_Расчет_аналитики'!I626-'19_Расчет_аналитики'!I753</f>
        <v/>
      </c>
      <c r="J775">
        <f>'19_Расчет_аналитики'!I775+SUM('19_Расчет_аналитики'!J731:J736)+'19_Расчет_аналитики'!J626-'19_Расчет_аналитики'!J753</f>
        <v/>
      </c>
      <c r="K775">
        <f>'19_Расчет_аналитики'!J775+SUM('19_Расчет_аналитики'!K731:K736)+'19_Расчет_аналитики'!K626-'19_Расчет_аналитики'!K753</f>
        <v/>
      </c>
      <c r="L775">
        <f>'19_Расчет_аналитики'!K775+SUM('19_Расчет_аналитики'!L731:L736)+'19_Расчет_аналитики'!L626-'19_Расчет_аналитики'!L753</f>
        <v/>
      </c>
      <c r="M775">
        <f>'19_Расчет_аналитики'!L775+SUM('19_Расчет_аналитики'!M731:M736)+'19_Расчет_аналитики'!M626-'19_Расчет_аналитики'!M753</f>
        <v/>
      </c>
      <c r="N775">
        <f>'19_Расчет_аналитики'!M775+SUM('19_Расчет_аналитики'!N731:N736)+'19_Расчет_аналитики'!N626-'19_Расчет_аналитики'!N753</f>
        <v/>
      </c>
      <c r="O775">
        <f>'19_Расчет_аналитики'!N775+SUM('19_Расчет_аналитики'!O731:O736)+'19_Расчет_аналитики'!O626-'19_Расчет_аналитики'!O753</f>
        <v/>
      </c>
      <c r="P775">
        <f>'19_Расчет_аналитики'!O775+SUM('19_Расчет_аналитики'!P731:P736)+'19_Расчет_аналитики'!P626-'19_Расчет_аналитики'!P753</f>
        <v/>
      </c>
      <c r="Q775">
        <f>'19_Расчет_аналитики'!P775+SUM('19_Расчет_аналитики'!Q731:Q736)+'19_Расчет_аналитики'!Q626-'19_Расчет_аналитики'!Q753</f>
        <v/>
      </c>
      <c r="R775">
        <f>'19_Расчет_аналитики'!Q775+SUM('19_Расчет_аналитики'!R731:R736)+'19_Расчет_аналитики'!R626-'19_Расчет_аналитики'!R753</f>
        <v/>
      </c>
      <c r="S775">
        <f>'19_Расчет_аналитики'!R775+SUM('19_Расчет_аналитики'!S731:S736)+'19_Расчет_аналитики'!S626-'19_Расчет_аналитики'!S753</f>
        <v/>
      </c>
      <c r="T775">
        <f>'19_Расчет_аналитики'!S775+SUM('19_Расчет_аналитики'!T731:T736)+'19_Расчет_аналитики'!T626-'19_Расчет_аналитики'!T753</f>
        <v/>
      </c>
      <c r="U775">
        <f>'19_Расчет_аналитики'!T775+SUM('19_Расчет_аналитики'!U731:U736)+'19_Расчет_аналитики'!U626-'19_Расчет_аналитики'!U753</f>
        <v/>
      </c>
      <c r="V775">
        <f>'19_Расчет_аналитики'!U775+SUM('19_Расчет_аналитики'!V731:V736)+'19_Расчет_аналитики'!V626-'19_Расчет_аналитики'!V753</f>
        <v/>
      </c>
      <c r="W775">
        <f>'19_Расчет_аналитики'!V775+SUM('19_Расчет_аналитики'!W731:W736)+'19_Расчет_аналитики'!W626-'19_Расчет_аналитики'!W753</f>
        <v/>
      </c>
      <c r="X775">
        <f>'19_Расчет_аналитики'!W775+SUM('19_Расчет_аналитики'!X731:X736)+'19_Расчет_аналитики'!X626-'19_Расчет_аналитики'!X753</f>
        <v/>
      </c>
      <c r="Y775">
        <f>'19_Расчет_аналитики'!X775+SUM('19_Расчет_аналитики'!Y731:Y736)+'19_Расчет_аналитики'!Y626-'19_Расчет_аналитики'!Y753</f>
        <v/>
      </c>
      <c r="Z775">
        <f>'19_Расчет_аналитики'!Y775+SUM('19_Расчет_аналитики'!Z731:Z736)+'19_Расчет_аналитики'!Z626-'19_Расчет_аналитики'!Z753</f>
        <v/>
      </c>
      <c r="AA775">
        <f>'19_Расчет_аналитики'!Z775+SUM('19_Расчет_аналитики'!AA731:AA736)+'19_Расчет_аналитики'!AA626-'19_Расчет_аналитики'!AA753</f>
        <v/>
      </c>
      <c r="AB775">
        <f>'19_Расчет_аналитики'!AA775+SUM('19_Расчет_аналитики'!AB731:AB736)+'19_Расчет_аналитики'!AB626-'19_Расчет_аналитики'!AB753</f>
        <v/>
      </c>
      <c r="AC775">
        <f>'19_Расчет_аналитики'!AB775+SUM('19_Расчет_аналитики'!AC731:AC736)+'19_Расчет_аналитики'!AC626-'19_Расчет_аналитики'!AC753</f>
        <v/>
      </c>
      <c r="AD775">
        <f>'19_Расчет_аналитики'!AC775+SUM('19_Расчет_аналитики'!AD731:AD736)+'19_Расчет_аналитики'!AD626-'19_Расчет_аналитики'!AD753</f>
        <v/>
      </c>
      <c r="AE775">
        <f>'19_Расчет_аналитики'!AD775+SUM('19_Расчет_аналитики'!AE731:AE736)+'19_Расчет_аналитики'!AE626-'19_Расчет_аналитики'!AE753</f>
        <v/>
      </c>
      <c r="AF775">
        <f>'19_Расчет_аналитики'!AE775+SUM('19_Расчет_аналитики'!AF731:AF736)+'19_Расчет_аналитики'!AF626-'19_Расчет_аналитики'!AF753</f>
        <v/>
      </c>
      <c r="AG775">
        <f>'19_Расчет_аналитики'!AF775+SUM('19_Расчет_аналитики'!AG731:AG736)+'19_Расчет_аналитики'!AG626-'19_Расчет_аналитики'!AG753</f>
        <v/>
      </c>
      <c r="AH775">
        <f>'19_Расчет_аналитики'!AG775+SUM('19_Расчет_аналитики'!AH731:AH736)+'19_Расчет_аналитики'!AH626-'19_Расчет_аналитики'!AH753</f>
        <v/>
      </c>
      <c r="AI775">
        <f>'19_Расчет_аналитики'!AH775+SUM('19_Расчет_аналитики'!AI731:AI736)+'19_Расчет_аналитики'!AI626-'19_Расчет_аналитики'!AI753</f>
        <v/>
      </c>
      <c r="AJ775">
        <f>'19_Расчет_аналитики'!AI775+SUM('19_Расчет_аналитики'!AJ731:AJ736)+'19_Расчет_аналитики'!AJ626-'19_Расчет_аналитики'!AJ753</f>
        <v/>
      </c>
      <c r="AK775">
        <f>'19_Расчет_аналитики'!AJ775+SUM('19_Расчет_аналитики'!AK731:AK736)+'19_Расчет_аналитики'!AK626-'19_Расчет_аналитики'!AK753</f>
        <v/>
      </c>
      <c r="AL775">
        <f>'19_Расчет_аналитики'!AK775+SUM('19_Расчет_аналитики'!AL731:AL736)+'19_Расчет_аналитики'!AL626-'19_Расчет_аналитики'!AL753</f>
        <v/>
      </c>
      <c r="AM775">
        <f>'19_Расчет_аналитики'!AL775+SUM('19_Расчет_аналитики'!AM731:AM736)+'19_Расчет_аналитики'!AM626-'19_Расчет_аналитики'!AM753</f>
        <v/>
      </c>
      <c r="AN775">
        <f>'19_Расчет_аналитики'!AM775+SUM('19_Расчет_аналитики'!AN731:AN736)+'19_Расчет_аналитики'!AN626-'19_Расчет_аналитики'!AN753</f>
        <v/>
      </c>
      <c r="AO775">
        <f>'19_Расчет_аналитики'!AN775+SUM('19_Расчет_аналитики'!AO731:AO736)+'19_Расчет_аналитики'!AO626-'19_Расчет_аналитики'!AO753</f>
        <v/>
      </c>
      <c r="AP775">
        <f>'19_Расчет_аналитики'!AO775+SUM('19_Расчет_аналитики'!AP731:AP736)+'19_Расчет_аналитики'!AP626-'19_Расчет_аналитики'!AP753</f>
        <v/>
      </c>
      <c r="AQ775">
        <f>'19_Расчет_аналитики'!AP775+SUM('19_Расчет_аналитики'!AQ731:AQ736)+'19_Расчет_аналитики'!AQ626-'19_Расчет_аналитики'!AQ753</f>
        <v/>
      </c>
      <c r="AR775">
        <f>'19_Расчет_аналитики'!AQ775+SUM('19_Расчет_аналитики'!AR731:AR736)+'19_Расчет_аналитики'!AR626-'19_Расчет_аналитики'!AR753</f>
        <v/>
      </c>
      <c r="AS775">
        <f>'19_Расчет_аналитики'!AR775+SUM('19_Расчет_аналитики'!AS731:AS736)+'19_Расчет_аналитики'!AS626-'19_Расчет_аналитики'!AS753</f>
        <v/>
      </c>
      <c r="AT775">
        <f>'19_Расчет_аналитики'!AS775+SUM('19_Расчет_аналитики'!AT731:AT736)+'19_Расчет_аналитики'!AT626-'19_Расчет_аналитики'!AT753</f>
        <v/>
      </c>
      <c r="AU775">
        <f>'19_Расчет_аналитики'!AT775+SUM('19_Расчет_аналитики'!AU731:AU736)+'19_Расчет_аналитики'!AU626-'19_Расчет_аналитики'!AU753</f>
        <v/>
      </c>
      <c r="AV775">
        <f>'19_Расчет_аналитики'!AU775+SUM('19_Расчет_аналитики'!AV731:AV736)+'19_Расчет_аналитики'!AV626-'19_Расчет_аналитики'!AV753</f>
        <v/>
      </c>
      <c r="AW775">
        <f>'19_Расчет_аналитики'!AV775+SUM('19_Расчет_аналитики'!AW731:AW736)+'19_Расчет_аналитики'!AW626-'19_Расчет_аналитики'!AW753</f>
        <v/>
      </c>
      <c r="AX775">
        <f>'19_Расчет_аналитики'!AW775+SUM('19_Расчет_аналитики'!AX731:AX736)+'19_Расчет_аналитики'!AX626-'19_Расчет_аналитики'!AX753</f>
        <v/>
      </c>
      <c r="AY775">
        <f>'19_Расчет_аналитики'!AX775+SUM('19_Расчет_аналитики'!AY731:AY736)+'19_Расчет_аналитики'!AY626-'19_Расчет_аналитики'!AY753</f>
        <v/>
      </c>
      <c r="AZ775">
        <f>'19_Расчет_аналитики'!AY775+SUM('19_Расчет_аналитики'!AZ731:AZ736)+'19_Расчет_аналитики'!AZ626-'19_Расчет_аналитики'!AZ753</f>
        <v/>
      </c>
      <c r="BA775">
        <f>'19_Расчет_аналитики'!AZ775+SUM('19_Расчет_аналитики'!BA731:BA736)+'19_Расчет_аналитики'!BA626-'19_Расчет_аналитики'!BA753</f>
        <v/>
      </c>
      <c r="BB775">
        <f>'19_Расчет_аналитики'!BA775+SUM('19_Расчет_аналитики'!BB731:BB736)+'19_Расчет_аналитики'!BB626-'19_Расчет_аналитики'!BB753</f>
        <v/>
      </c>
      <c r="BC775">
        <f>'19_Расчет_аналитики'!BB775+SUM('19_Расчет_аналитики'!BC731:BC736)+'19_Расчет_аналитики'!BC626-'19_Расчет_аналитики'!BC753</f>
        <v/>
      </c>
      <c r="BD775">
        <f>'19_Расчет_аналитики'!BC775+SUM('19_Расчет_аналитики'!BD731:BD736)+'19_Расчет_аналитики'!BD626-'19_Расчет_аналитики'!BD753</f>
        <v/>
      </c>
      <c r="BE775">
        <f>'19_Расчет_аналитики'!BD775+SUM('19_Расчет_аналитики'!BE731:BE736)+'19_Расчет_аналитики'!BE626-'19_Расчет_аналитики'!BE753</f>
        <v/>
      </c>
      <c r="BF775">
        <f>'19_Расчет_аналитики'!BE775+SUM('19_Расчет_аналитики'!BF731:BF736)+'19_Расчет_аналитики'!BF626-'19_Расчет_аналитики'!BF753</f>
        <v/>
      </c>
      <c r="BG775">
        <f>'19_Расчет_аналитики'!BF775+SUM('19_Расчет_аналитики'!BG731:BG736)+'19_Расчет_аналитики'!BG626-'19_Расчет_аналитики'!BG753</f>
        <v/>
      </c>
      <c r="BH775">
        <f>'19_Расчет_аналитики'!BG775+SUM('19_Расчет_аналитики'!BH731:BH736)+'19_Расчет_аналитики'!BH626-'19_Расчет_аналитики'!BH753</f>
        <v/>
      </c>
      <c r="BI775">
        <f>'19_Расчет_аналитики'!BH775+SUM('19_Расчет_аналитики'!BI731:BI736)+'19_Расчет_аналитики'!BI626-'19_Расчет_аналитики'!BI753</f>
        <v/>
      </c>
    </row>
    <row r="776"/>
    <row r="777"/>
    <row r="778">
      <c r="B778">
        <f>'19_Расчет_аналитики'!B627-'07_Мерч'!B22</f>
        <v/>
      </c>
      <c r="C778">
        <f>'19_Расчет_аналитики'!C627-'19_Расчет_аналитики'!C623</f>
        <v/>
      </c>
      <c r="D778">
        <f>'19_Расчет_аналитики'!D627-'19_Расчет_аналитики'!D623</f>
        <v/>
      </c>
      <c r="E778">
        <f>'19_Расчет_аналитики'!E627-'19_Расчет_аналитики'!E623</f>
        <v/>
      </c>
      <c r="F778">
        <f>'19_Расчет_аналитики'!F627-'19_Расчет_аналитики'!F623</f>
        <v/>
      </c>
      <c r="G778">
        <f>'19_Расчет_аналитики'!G627-'19_Расчет_аналитики'!G623</f>
        <v/>
      </c>
      <c r="H778">
        <f>'19_Расчет_аналитики'!H627-'19_Расчет_аналитики'!H623</f>
        <v/>
      </c>
      <c r="I778">
        <f>'19_Расчет_аналитики'!I627-'19_Расчет_аналитики'!I623</f>
        <v/>
      </c>
      <c r="J778">
        <f>'19_Расчет_аналитики'!J627-'19_Расчет_аналитики'!J623</f>
        <v/>
      </c>
      <c r="K778">
        <f>'19_Расчет_аналитики'!K627-'19_Расчет_аналитики'!K623</f>
        <v/>
      </c>
      <c r="L778">
        <f>'19_Расчет_аналитики'!L627-'19_Расчет_аналитики'!L623</f>
        <v/>
      </c>
      <c r="M778">
        <f>'19_Расчет_аналитики'!M627-'19_Расчет_аналитики'!M623</f>
        <v/>
      </c>
      <c r="N778">
        <f>'19_Расчет_аналитики'!N627-'19_Расчет_аналитики'!N623</f>
        <v/>
      </c>
      <c r="O778">
        <f>'19_Расчет_аналитики'!O627-'19_Расчет_аналитики'!O623</f>
        <v/>
      </c>
      <c r="P778">
        <f>'19_Расчет_аналитики'!P627-'19_Расчет_аналитики'!P623</f>
        <v/>
      </c>
      <c r="Q778">
        <f>'19_Расчет_аналитики'!Q627-'19_Расчет_аналитики'!Q623</f>
        <v/>
      </c>
      <c r="R778">
        <f>'19_Расчет_аналитики'!R627-'19_Расчет_аналитики'!R623</f>
        <v/>
      </c>
      <c r="S778">
        <f>'19_Расчет_аналитики'!S627-'19_Расчет_аналитики'!S623</f>
        <v/>
      </c>
      <c r="T778">
        <f>'19_Расчет_аналитики'!T627-'19_Расчет_аналитики'!T623</f>
        <v/>
      </c>
      <c r="U778">
        <f>'19_Расчет_аналитики'!U627-'19_Расчет_аналитики'!U623</f>
        <v/>
      </c>
      <c r="V778">
        <f>'19_Расчет_аналитики'!V627-'19_Расчет_аналитики'!V623</f>
        <v/>
      </c>
      <c r="W778">
        <f>'19_Расчет_аналитики'!W627-'19_Расчет_аналитики'!W623</f>
        <v/>
      </c>
      <c r="X778">
        <f>'19_Расчет_аналитики'!X627-'19_Расчет_аналитики'!X623</f>
        <v/>
      </c>
      <c r="Y778">
        <f>'19_Расчет_аналитики'!Y627-'19_Расчет_аналитики'!Y623</f>
        <v/>
      </c>
      <c r="Z778">
        <f>'19_Расчет_аналитики'!Z627-'19_Расчет_аналитики'!Z623</f>
        <v/>
      </c>
      <c r="AA778">
        <f>'19_Расчет_аналитики'!AA627-'19_Расчет_аналитики'!AA623</f>
        <v/>
      </c>
      <c r="AB778">
        <f>'19_Расчет_аналитики'!AB627-'19_Расчет_аналитики'!AB623</f>
        <v/>
      </c>
      <c r="AC778">
        <f>'19_Расчет_аналитики'!AC627-'19_Расчет_аналитики'!AC623</f>
        <v/>
      </c>
      <c r="AD778">
        <f>'19_Расчет_аналитики'!AD627-'19_Расчет_аналитики'!AD623</f>
        <v/>
      </c>
      <c r="AE778">
        <f>'19_Расчет_аналитики'!AE627-'19_Расчет_аналитики'!AE623</f>
        <v/>
      </c>
      <c r="AF778">
        <f>'19_Расчет_аналитики'!AF627-'19_Расчет_аналитики'!AF623</f>
        <v/>
      </c>
      <c r="AG778">
        <f>'19_Расчет_аналитики'!AG627-'19_Расчет_аналитики'!AG623</f>
        <v/>
      </c>
      <c r="AH778">
        <f>'19_Расчет_аналитики'!AH627-'19_Расчет_аналитики'!AH623</f>
        <v/>
      </c>
      <c r="AI778">
        <f>'19_Расчет_аналитики'!AI627-'19_Расчет_аналитики'!AI623</f>
        <v/>
      </c>
      <c r="AJ778">
        <f>'19_Расчет_аналитики'!AJ627-'19_Расчет_аналитики'!AJ623</f>
        <v/>
      </c>
      <c r="AK778">
        <f>'19_Расчет_аналитики'!AK627-'19_Расчет_аналитики'!AK623</f>
        <v/>
      </c>
      <c r="AL778">
        <f>'19_Расчет_аналитики'!AL627-'19_Расчет_аналитики'!AL623</f>
        <v/>
      </c>
      <c r="AM778">
        <f>'19_Расчет_аналитики'!AM627-'19_Расчет_аналитики'!AM623</f>
        <v/>
      </c>
      <c r="AN778">
        <f>'19_Расчет_аналитики'!AN627-'19_Расчет_аналитики'!AN623</f>
        <v/>
      </c>
      <c r="AO778">
        <f>'19_Расчет_аналитики'!AO627-'19_Расчет_аналитики'!AO623</f>
        <v/>
      </c>
      <c r="AP778">
        <f>'19_Расчет_аналитики'!AP627-'19_Расчет_аналитики'!AP623</f>
        <v/>
      </c>
      <c r="AQ778">
        <f>'19_Расчет_аналитики'!AQ627-'19_Расчет_аналитики'!AQ623</f>
        <v/>
      </c>
      <c r="AR778">
        <f>'19_Расчет_аналитики'!AR627-'19_Расчет_аналитики'!AR623</f>
        <v/>
      </c>
      <c r="AS778">
        <f>'19_Расчет_аналитики'!AS627-'19_Расчет_аналитики'!AS623</f>
        <v/>
      </c>
      <c r="AT778">
        <f>'19_Расчет_аналитики'!AT627-'19_Расчет_аналитики'!AT623</f>
        <v/>
      </c>
      <c r="AU778">
        <f>'19_Расчет_аналитики'!AU627-'19_Расчет_аналитики'!AU623</f>
        <v/>
      </c>
      <c r="AV778">
        <f>'19_Расчет_аналитики'!AV627-'19_Расчет_аналитики'!AV623</f>
        <v/>
      </c>
      <c r="AW778">
        <f>'19_Расчет_аналитики'!AW627-'19_Расчет_аналитики'!AW623</f>
        <v/>
      </c>
      <c r="AX778">
        <f>'19_Расчет_аналитики'!AX627-'19_Расчет_аналитики'!AX623</f>
        <v/>
      </c>
      <c r="AY778">
        <f>'19_Расчет_аналитики'!AY627-'19_Расчет_аналитики'!AY623</f>
        <v/>
      </c>
      <c r="AZ778">
        <f>'19_Расчет_аналитики'!AZ627-'19_Расчет_аналитики'!AZ623</f>
        <v/>
      </c>
      <c r="BA778">
        <f>'19_Расчет_аналитики'!BA627-'19_Расчет_аналитики'!BA623</f>
        <v/>
      </c>
      <c r="BB778">
        <f>'19_Расчет_аналитики'!BB627-'19_Расчет_аналитики'!BB623</f>
        <v/>
      </c>
      <c r="BC778">
        <f>'19_Расчет_аналитики'!BC627-'19_Расчет_аналитики'!BC623</f>
        <v/>
      </c>
      <c r="BD778">
        <f>'19_Расчет_аналитики'!BD627-'19_Расчет_аналитики'!BD623</f>
        <v/>
      </c>
      <c r="BE778">
        <f>'19_Расчет_аналитики'!BE627-'19_Расчет_аналитики'!BE623</f>
        <v/>
      </c>
      <c r="BF778">
        <f>'19_Расчет_аналитики'!BF627-'19_Расчет_аналитики'!BF623</f>
        <v/>
      </c>
      <c r="BG778">
        <f>'19_Расчет_аналитики'!BG627-'19_Расчет_аналитики'!BG623</f>
        <v/>
      </c>
      <c r="BH778">
        <f>'19_Расчет_аналитики'!BH627-'19_Расчет_аналитики'!BH623</f>
        <v/>
      </c>
      <c r="BI778">
        <f>'19_Расчет_аналитики'!BI627-'19_Расчет_аналитики'!BI623</f>
        <v/>
      </c>
    </row>
    <row r="779">
      <c r="B779">
        <f>'19_Расчет_аналитики'!B738-'19_Расчет_аналитики'!B740-('19_Расчет_аналитики'!B774-0)+('19_Расчет_аналитики'!B775-0)+('02_Модель'!B82-0)-('02_Модель'!B83-0)-'19_Расчет_аналитики'!B778-'19_Расчет_аналитики'!B764+('19_Расчет_аналитики'!B782-0)-'19_Расчет_аналитики'!B751</f>
        <v/>
      </c>
      <c r="C779">
        <f>'19_Расчет_аналитики'!C738-'19_Расчет_аналитики'!C740-('19_Расчет_аналитики'!C774-'19_Расчет_аналитики'!B774)+('19_Расчет_аналитики'!C775-'19_Расчет_аналитики'!B775)+('02_Модель'!C82-'02_Модель'!B82)-('02_Модель'!C83-'02_Модель'!B83)-'19_Расчет_аналитики'!C778-'19_Расчет_аналитики'!C764+('19_Расчет_аналитики'!C782-'19_Расчет_аналитики'!B782)-'19_Расчет_аналитики'!C751</f>
        <v/>
      </c>
      <c r="D779">
        <f>'19_Расчет_аналитики'!D738-'19_Расчет_аналитики'!D740-('19_Расчет_аналитики'!D774-'19_Расчет_аналитики'!C774)+('19_Расчет_аналитики'!D775-'19_Расчет_аналитики'!C775)+('02_Модель'!D82-'02_Модель'!C82)-('02_Модель'!D83-'02_Модель'!C83)-'19_Расчет_аналитики'!D778-'19_Расчет_аналитики'!D764+('19_Расчет_аналитики'!D782-'19_Расчет_аналитики'!C782)-'19_Расчет_аналитики'!D751</f>
        <v/>
      </c>
      <c r="E779">
        <f>'19_Расчет_аналитики'!E738-'19_Расчет_аналитики'!E740-('19_Расчет_аналитики'!E774-'19_Расчет_аналитики'!D774)+('19_Расчет_аналитики'!E775-'19_Расчет_аналитики'!D775)+('02_Модель'!E82-'02_Модель'!D82)-('02_Модель'!E83-'02_Модель'!D83)-'19_Расчет_аналитики'!E778-'19_Расчет_аналитики'!E764+('19_Расчет_аналитики'!E782-'19_Расчет_аналитики'!D782)-'19_Расчет_аналитики'!E751</f>
        <v/>
      </c>
      <c r="F779">
        <f>'19_Расчет_аналитики'!F738-'19_Расчет_аналитики'!F740-('19_Расчет_аналитики'!F774-'19_Расчет_аналитики'!E774)+('19_Расчет_аналитики'!F775-'19_Расчет_аналитики'!E775)+('02_Модель'!F82-'02_Модель'!E82)-('02_Модель'!F83-'02_Модель'!E83)-'19_Расчет_аналитики'!F778-'19_Расчет_аналитики'!F764+('19_Расчет_аналитики'!F782-'19_Расчет_аналитики'!E782)-'19_Расчет_аналитики'!F751</f>
        <v/>
      </c>
      <c r="G779">
        <f>'19_Расчет_аналитики'!G738-'19_Расчет_аналитики'!G740-('19_Расчет_аналитики'!G774-'19_Расчет_аналитики'!F774)+('19_Расчет_аналитики'!G775-'19_Расчет_аналитики'!F775)+('02_Модель'!G82-'02_Модель'!F82)-('02_Модель'!G83-'02_Модель'!F83)-'19_Расчет_аналитики'!G778-'19_Расчет_аналитики'!G764+('19_Расчет_аналитики'!G782-'19_Расчет_аналитики'!F782)-'19_Расчет_аналитики'!G751</f>
        <v/>
      </c>
      <c r="H779">
        <f>'19_Расчет_аналитики'!H738-'19_Расчет_аналитики'!H740-('19_Расчет_аналитики'!H774-'19_Расчет_аналитики'!G774)+('19_Расчет_аналитики'!H775-'19_Расчет_аналитики'!G775)+('02_Модель'!H82-'02_Модель'!G82)-('02_Модель'!H83-'02_Модель'!G83)-'19_Расчет_аналитики'!H778-'19_Расчет_аналитики'!H764+('19_Расчет_аналитики'!H782-'19_Расчет_аналитики'!G782)-'19_Расчет_аналитики'!H751</f>
        <v/>
      </c>
      <c r="I779">
        <f>'19_Расчет_аналитики'!I738-'19_Расчет_аналитики'!I740-('19_Расчет_аналитики'!I774-'19_Расчет_аналитики'!H774)+('19_Расчет_аналитики'!I775-'19_Расчет_аналитики'!H775)+('02_Модель'!I82-'02_Модель'!H82)-('02_Модель'!I83-'02_Модель'!H83)-'19_Расчет_аналитики'!I778-'19_Расчет_аналитики'!I764+('19_Расчет_аналитики'!I782-'19_Расчет_аналитики'!H782)-'19_Расчет_аналитики'!I751</f>
        <v/>
      </c>
      <c r="J779">
        <f>'19_Расчет_аналитики'!J738-'19_Расчет_аналитики'!J740-('19_Расчет_аналитики'!J774-'19_Расчет_аналитики'!I774)+('19_Расчет_аналитики'!J775-'19_Расчет_аналитики'!I775)+('02_Модель'!J82-'02_Модель'!I82)-('02_Модель'!J83-'02_Модель'!I83)-'19_Расчет_аналитики'!J778-'19_Расчет_аналитики'!J764+('19_Расчет_аналитики'!J782-'19_Расчет_аналитики'!I782)-'19_Расчет_аналитики'!J751</f>
        <v/>
      </c>
      <c r="K779">
        <f>'19_Расчет_аналитики'!K738-'19_Расчет_аналитики'!K740-('19_Расчет_аналитики'!K774-'19_Расчет_аналитики'!J774)+('19_Расчет_аналитики'!K775-'19_Расчет_аналитики'!J775)+('02_Модель'!K82-'02_Модель'!J82)-('02_Модель'!K83-'02_Модель'!J83)-'19_Расчет_аналитики'!K778-'19_Расчет_аналитики'!K764+('19_Расчет_аналитики'!K782-'19_Расчет_аналитики'!J782)-'19_Расчет_аналитики'!K751</f>
        <v/>
      </c>
      <c r="L779">
        <f>'19_Расчет_аналитики'!L738-'19_Расчет_аналитики'!L740-('19_Расчет_аналитики'!L774-'19_Расчет_аналитики'!K774)+('19_Расчет_аналитики'!L775-'19_Расчет_аналитики'!K775)+('02_Модель'!L82-'02_Модель'!K82)-('02_Модель'!L83-'02_Модель'!K83)-'19_Расчет_аналитики'!L778-'19_Расчет_аналитики'!L764+('19_Расчет_аналитики'!L782-'19_Расчет_аналитики'!K782)-'19_Расчет_аналитики'!L751</f>
        <v/>
      </c>
      <c r="M779">
        <f>'19_Расчет_аналитики'!M738-'19_Расчет_аналитики'!M740-('19_Расчет_аналитики'!M774-'19_Расчет_аналитики'!L774)+('19_Расчет_аналитики'!M775-'19_Расчет_аналитики'!L775)+('02_Модель'!M82-'02_Модель'!L82)-('02_Модель'!M83-'02_Модель'!L83)-'19_Расчет_аналитики'!M778-'19_Расчет_аналитики'!M764+('19_Расчет_аналитики'!M782-'19_Расчет_аналитики'!L782)-'19_Расчет_аналитики'!M751</f>
        <v/>
      </c>
      <c r="N779">
        <f>'19_Расчет_аналитики'!N738-'19_Расчет_аналитики'!N740-('19_Расчет_аналитики'!N774-'19_Расчет_аналитики'!M774)+('19_Расчет_аналитики'!N775-'19_Расчет_аналитики'!M775)+('02_Модель'!N82-'02_Модель'!M82)-('02_Модель'!N83-'02_Модель'!M83)-'19_Расчет_аналитики'!N778-'19_Расчет_аналитики'!N764+('19_Расчет_аналитики'!N782-'19_Расчет_аналитики'!M782)-'19_Расчет_аналитики'!N751</f>
        <v/>
      </c>
      <c r="O779">
        <f>'19_Расчет_аналитики'!O738-'19_Расчет_аналитики'!O740-('19_Расчет_аналитики'!O774-'19_Расчет_аналитики'!N774)+('19_Расчет_аналитики'!O775-'19_Расчет_аналитики'!N775)+('02_Модель'!O82-'02_Модель'!N82)-('02_Модель'!O83-'02_Модель'!N83)-'19_Расчет_аналитики'!O778-'19_Расчет_аналитики'!O764+('19_Расчет_аналитики'!O782-'19_Расчет_аналитики'!N782)-'19_Расчет_аналитики'!O751</f>
        <v/>
      </c>
      <c r="P779">
        <f>'19_Расчет_аналитики'!P738-'19_Расчет_аналитики'!P740-('19_Расчет_аналитики'!P774-'19_Расчет_аналитики'!O774)+('19_Расчет_аналитики'!P775-'19_Расчет_аналитики'!O775)+('02_Модель'!P82-'02_Модель'!O82)-('02_Модель'!P83-'02_Модель'!O83)-'19_Расчет_аналитики'!P778-'19_Расчет_аналитики'!P764+('19_Расчет_аналитики'!P782-'19_Расчет_аналитики'!O782)-'19_Расчет_аналитики'!P751</f>
        <v/>
      </c>
      <c r="Q779">
        <f>'19_Расчет_аналитики'!Q738-'19_Расчет_аналитики'!Q740-('19_Расчет_аналитики'!Q774-'19_Расчет_аналитики'!P774)+('19_Расчет_аналитики'!Q775-'19_Расчет_аналитики'!P775)+('02_Модель'!Q82-'02_Модель'!P82)-('02_Модель'!Q83-'02_Модель'!P83)-'19_Расчет_аналитики'!Q778-'19_Расчет_аналитики'!Q764+('19_Расчет_аналитики'!Q782-'19_Расчет_аналитики'!P782)-'19_Расчет_аналитики'!Q751</f>
        <v/>
      </c>
      <c r="R779">
        <f>'19_Расчет_аналитики'!R738-'19_Расчет_аналитики'!R740-('19_Расчет_аналитики'!R774-'19_Расчет_аналитики'!Q774)+('19_Расчет_аналитики'!R775-'19_Расчет_аналитики'!Q775)+('02_Модель'!R82-'02_Модель'!Q82)-('02_Модель'!R83-'02_Модель'!Q83)-'19_Расчет_аналитики'!R778-'19_Расчет_аналитики'!R764+('19_Расчет_аналитики'!R782-'19_Расчет_аналитики'!Q782)-'19_Расчет_аналитики'!R751</f>
        <v/>
      </c>
      <c r="S779">
        <f>'19_Расчет_аналитики'!S738-'19_Расчет_аналитики'!S740-('19_Расчет_аналитики'!S774-'19_Расчет_аналитики'!R774)+('19_Расчет_аналитики'!S775-'19_Расчет_аналитики'!R775)+('02_Модель'!S82-'02_Модель'!R82)-('02_Модель'!S83-'02_Модель'!R83)-'19_Расчет_аналитики'!S778-'19_Расчет_аналитики'!S764+('19_Расчет_аналитики'!S782-'19_Расчет_аналитики'!R782)-'19_Расчет_аналитики'!S751</f>
        <v/>
      </c>
      <c r="T779">
        <f>'19_Расчет_аналитики'!T738-'19_Расчет_аналитики'!T740-('19_Расчет_аналитики'!T774-'19_Расчет_аналитики'!S774)+('19_Расчет_аналитики'!T775-'19_Расчет_аналитики'!S775)+('02_Модель'!T82-'02_Модель'!S82)-('02_Модель'!T83-'02_Модель'!S83)-'19_Расчет_аналитики'!T778-'19_Расчет_аналитики'!T764+('19_Расчет_аналитики'!T782-'19_Расчет_аналитики'!S782)-'19_Расчет_аналитики'!T751</f>
        <v/>
      </c>
      <c r="U779">
        <f>'19_Расчет_аналитики'!U738-'19_Расчет_аналитики'!U740-('19_Расчет_аналитики'!U774-'19_Расчет_аналитики'!T774)+('19_Расчет_аналитики'!U775-'19_Расчет_аналитики'!T775)+('02_Модель'!U82-'02_Модель'!T82)-('02_Модель'!U83-'02_Модель'!T83)-'19_Расчет_аналитики'!U778-'19_Расчет_аналитики'!U764+('19_Расчет_аналитики'!U782-'19_Расчет_аналитики'!T782)-'19_Расчет_аналитики'!U751</f>
        <v/>
      </c>
      <c r="V779">
        <f>'19_Расчет_аналитики'!V738-'19_Расчет_аналитики'!V740-('19_Расчет_аналитики'!V774-'19_Расчет_аналитики'!U774)+('19_Расчет_аналитики'!V775-'19_Расчет_аналитики'!U775)+('02_Модель'!V82-'02_Модель'!U82)-('02_Модель'!V83-'02_Модель'!U83)-'19_Расчет_аналитики'!V778-'19_Расчет_аналитики'!V764+('19_Расчет_аналитики'!V782-'19_Расчет_аналитики'!U782)-'19_Расчет_аналитики'!V751</f>
        <v/>
      </c>
      <c r="W779">
        <f>'19_Расчет_аналитики'!W738-'19_Расчет_аналитики'!W740-('19_Расчет_аналитики'!W774-'19_Расчет_аналитики'!V774)+('19_Расчет_аналитики'!W775-'19_Расчет_аналитики'!V775)+('02_Модель'!W82-'02_Модель'!V82)-('02_Модель'!W83-'02_Модель'!V83)-'19_Расчет_аналитики'!W778-'19_Расчет_аналитики'!W764+('19_Расчет_аналитики'!W782-'19_Расчет_аналитики'!V782)-'19_Расчет_аналитики'!W751</f>
        <v/>
      </c>
      <c r="X779">
        <f>'19_Расчет_аналитики'!X738-'19_Расчет_аналитики'!X740-('19_Расчет_аналитики'!X774-'19_Расчет_аналитики'!W774)+('19_Расчет_аналитики'!X775-'19_Расчет_аналитики'!W775)+('02_Модель'!X82-'02_Модель'!W82)-('02_Модель'!X83-'02_Модель'!W83)-'19_Расчет_аналитики'!X778-'19_Расчет_аналитики'!X764+('19_Расчет_аналитики'!X782-'19_Расчет_аналитики'!W782)-'19_Расчет_аналитики'!X751</f>
        <v/>
      </c>
      <c r="Y779">
        <f>'19_Расчет_аналитики'!Y738-'19_Расчет_аналитики'!Y740-('19_Расчет_аналитики'!Y774-'19_Расчет_аналитики'!X774)+('19_Расчет_аналитики'!Y775-'19_Расчет_аналитики'!X775)+('02_Модель'!Y82-'02_Модель'!X82)-('02_Модель'!Y83-'02_Модель'!X83)-'19_Расчет_аналитики'!Y778-'19_Расчет_аналитики'!Y764+('19_Расчет_аналитики'!Y782-'19_Расчет_аналитики'!X782)-'19_Расчет_аналитики'!Y751</f>
        <v/>
      </c>
      <c r="Z779">
        <f>'19_Расчет_аналитики'!Z738-'19_Расчет_аналитики'!Z740-('19_Расчет_аналитики'!Z774-'19_Расчет_аналитики'!Y774)+('19_Расчет_аналитики'!Z775-'19_Расчет_аналитики'!Y775)+('02_Модель'!Z82-'02_Модель'!Y82)-('02_Модель'!Z83-'02_Модель'!Y83)-'19_Расчет_аналитики'!Z778-'19_Расчет_аналитики'!Z764+('19_Расчет_аналитики'!Z782-'19_Расчет_аналитики'!Y782)-'19_Расчет_аналитики'!Z751</f>
        <v/>
      </c>
      <c r="AA779">
        <f>'19_Расчет_аналитики'!AA738-'19_Расчет_аналитики'!AA740-('19_Расчет_аналитики'!AA774-'19_Расчет_аналитики'!Z774)+('19_Расчет_аналитики'!AA775-'19_Расчет_аналитики'!Z775)+('02_Модель'!AA82-'02_Модель'!Z82)-('02_Модель'!AA83-'02_Модель'!Z83)-'19_Расчет_аналитики'!AA778-'19_Расчет_аналитики'!AA764+('19_Расчет_аналитики'!AA782-'19_Расчет_аналитики'!Z782)-'19_Расчет_аналитики'!AA751</f>
        <v/>
      </c>
      <c r="AB779">
        <f>'19_Расчет_аналитики'!AB738-'19_Расчет_аналитики'!AB740-('19_Расчет_аналитики'!AB774-'19_Расчет_аналитики'!AA774)+('19_Расчет_аналитики'!AB775-'19_Расчет_аналитики'!AA775)+('02_Модель'!AB82-'02_Модель'!AA82)-('02_Модель'!AB83-'02_Модель'!AA83)-'19_Расчет_аналитики'!AB778-'19_Расчет_аналитики'!AB764+('19_Расчет_аналитики'!AB782-'19_Расчет_аналитики'!AA782)-'19_Расчет_аналитики'!AB751</f>
        <v/>
      </c>
      <c r="AC779">
        <f>'19_Расчет_аналитики'!AC738-'19_Расчет_аналитики'!AC740-('19_Расчет_аналитики'!AC774-'19_Расчет_аналитики'!AB774)+('19_Расчет_аналитики'!AC775-'19_Расчет_аналитики'!AB775)+('02_Модель'!AC82-'02_Модель'!AB82)-('02_Модель'!AC83-'02_Модель'!AB83)-'19_Расчет_аналитики'!AC778-'19_Расчет_аналитики'!AC764+('19_Расчет_аналитики'!AC782-'19_Расчет_аналитики'!AB782)-'19_Расчет_аналитики'!AC751</f>
        <v/>
      </c>
      <c r="AD779">
        <f>'19_Расчет_аналитики'!AD738-'19_Расчет_аналитики'!AD740-('19_Расчет_аналитики'!AD774-'19_Расчет_аналитики'!AC774)+('19_Расчет_аналитики'!AD775-'19_Расчет_аналитики'!AC775)+('02_Модель'!AD82-'02_Модель'!AC82)-('02_Модель'!AD83-'02_Модель'!AC83)-'19_Расчет_аналитики'!AD778-'19_Расчет_аналитики'!AD764+('19_Расчет_аналитики'!AD782-'19_Расчет_аналитики'!AC782)-'19_Расчет_аналитики'!AD751</f>
        <v/>
      </c>
      <c r="AE779">
        <f>'19_Расчет_аналитики'!AE738-'19_Расчет_аналитики'!AE740-('19_Расчет_аналитики'!AE774-'19_Расчет_аналитики'!AD774)+('19_Расчет_аналитики'!AE775-'19_Расчет_аналитики'!AD775)+('02_Модель'!AE82-'02_Модель'!AD82)-('02_Модель'!AE83-'02_Модель'!AD83)-'19_Расчет_аналитики'!AE778-'19_Расчет_аналитики'!AE764+('19_Расчет_аналитики'!AE782-'19_Расчет_аналитики'!AD782)-'19_Расчет_аналитики'!AE751</f>
        <v/>
      </c>
      <c r="AF779">
        <f>'19_Расчет_аналитики'!AF738-'19_Расчет_аналитики'!AF740-('19_Расчет_аналитики'!AF774-'19_Расчет_аналитики'!AE774)+('19_Расчет_аналитики'!AF775-'19_Расчет_аналитики'!AE775)+('02_Модель'!AF82-'02_Модель'!AE82)-('02_Модель'!AF83-'02_Модель'!AE83)-'19_Расчет_аналитики'!AF778-'19_Расчет_аналитики'!AF764+('19_Расчет_аналитики'!AF782-'19_Расчет_аналитики'!AE782)-'19_Расчет_аналитики'!AF751</f>
        <v/>
      </c>
      <c r="AG779">
        <f>'19_Расчет_аналитики'!AG738-'19_Расчет_аналитики'!AG740-('19_Расчет_аналитики'!AG774-'19_Расчет_аналитики'!AF774)+('19_Расчет_аналитики'!AG775-'19_Расчет_аналитики'!AF775)+('02_Модель'!AG82-'02_Модель'!AF82)-('02_Модель'!AG83-'02_Модель'!AF83)-'19_Расчет_аналитики'!AG778-'19_Расчет_аналитики'!AG764+('19_Расчет_аналитики'!AG782-'19_Расчет_аналитики'!AF782)-'19_Расчет_аналитики'!AG751</f>
        <v/>
      </c>
      <c r="AH779">
        <f>'19_Расчет_аналитики'!AH738-'19_Расчет_аналитики'!AH740-('19_Расчет_аналитики'!AH774-'19_Расчет_аналитики'!AG774)+('19_Расчет_аналитики'!AH775-'19_Расчет_аналитики'!AG775)+('02_Модель'!AH82-'02_Модель'!AG82)-('02_Модель'!AH83-'02_Модель'!AG83)-'19_Расчет_аналитики'!AH778-'19_Расчет_аналитики'!AH764+('19_Расчет_аналитики'!AH782-'19_Расчет_аналитики'!AG782)-'19_Расчет_аналитики'!AH751</f>
        <v/>
      </c>
      <c r="AI779">
        <f>'19_Расчет_аналитики'!AI738-'19_Расчет_аналитики'!AI740-('19_Расчет_аналитики'!AI774-'19_Расчет_аналитики'!AH774)+('19_Расчет_аналитики'!AI775-'19_Расчет_аналитики'!AH775)+('02_Модель'!AI82-'02_Модель'!AH82)-('02_Модель'!AI83-'02_Модель'!AH83)-'19_Расчет_аналитики'!AI778-'19_Расчет_аналитики'!AI764+('19_Расчет_аналитики'!AI782-'19_Расчет_аналитики'!AH782)-'19_Расчет_аналитики'!AI751</f>
        <v/>
      </c>
      <c r="AJ779">
        <f>'19_Расчет_аналитики'!AJ738-'19_Расчет_аналитики'!AJ740-('19_Расчет_аналитики'!AJ774-'19_Расчет_аналитики'!AI774)+('19_Расчет_аналитики'!AJ775-'19_Расчет_аналитики'!AI775)+('02_Модель'!AJ82-'02_Модель'!AI82)-('02_Модель'!AJ83-'02_Модель'!AI83)-'19_Расчет_аналитики'!AJ778-'19_Расчет_аналитики'!AJ764+('19_Расчет_аналитики'!AJ782-'19_Расчет_аналитики'!AI782)-'19_Расчет_аналитики'!AJ751</f>
        <v/>
      </c>
      <c r="AK779">
        <f>'19_Расчет_аналитики'!AK738-'19_Расчет_аналитики'!AK740-('19_Расчет_аналитики'!AK774-'19_Расчет_аналитики'!AJ774)+('19_Расчет_аналитики'!AK775-'19_Расчет_аналитики'!AJ775)+('02_Модель'!AK82-'02_Модель'!AJ82)-('02_Модель'!AK83-'02_Модель'!AJ83)-'19_Расчет_аналитики'!AK778-'19_Расчет_аналитики'!AK764+('19_Расчет_аналитики'!AK782-'19_Расчет_аналитики'!AJ782)-'19_Расчет_аналитики'!AK751</f>
        <v/>
      </c>
      <c r="AL779">
        <f>'19_Расчет_аналитики'!AL738-'19_Расчет_аналитики'!AL740-('19_Расчет_аналитики'!AL774-'19_Расчет_аналитики'!AK774)+('19_Расчет_аналитики'!AL775-'19_Расчет_аналитики'!AK775)+('02_Модель'!AL82-'02_Модель'!AK82)-('02_Модель'!AL83-'02_Модель'!AK83)-'19_Расчет_аналитики'!AL778-'19_Расчет_аналитики'!AL764+('19_Расчет_аналитики'!AL782-'19_Расчет_аналитики'!AK782)-'19_Расчет_аналитики'!AL751</f>
        <v/>
      </c>
      <c r="AM779">
        <f>'19_Расчет_аналитики'!AM738-'19_Расчет_аналитики'!AM740-('19_Расчет_аналитики'!AM774-'19_Расчет_аналитики'!AL774)+('19_Расчет_аналитики'!AM775-'19_Расчет_аналитики'!AL775)+('02_Модель'!AM82-'02_Модель'!AL82)-('02_Модель'!AM83-'02_Модель'!AL83)-'19_Расчет_аналитики'!AM778-'19_Расчет_аналитики'!AM764+('19_Расчет_аналитики'!AM782-'19_Расчет_аналитики'!AL782)-'19_Расчет_аналитики'!AM751</f>
        <v/>
      </c>
      <c r="AN779">
        <f>'19_Расчет_аналитики'!AN738-'19_Расчет_аналитики'!AN740-('19_Расчет_аналитики'!AN774-'19_Расчет_аналитики'!AM774)+('19_Расчет_аналитики'!AN775-'19_Расчет_аналитики'!AM775)+('02_Модель'!AN82-'02_Модель'!AM82)-('02_Модель'!AN83-'02_Модель'!AM83)-'19_Расчет_аналитики'!AN778-'19_Расчет_аналитики'!AN764+('19_Расчет_аналитики'!AN782-'19_Расчет_аналитики'!AM782)-'19_Расчет_аналитики'!AN751</f>
        <v/>
      </c>
      <c r="AO779">
        <f>'19_Расчет_аналитики'!AO738-'19_Расчет_аналитики'!AO740-('19_Расчет_аналитики'!AO774-'19_Расчет_аналитики'!AN774)+('19_Расчет_аналитики'!AO775-'19_Расчет_аналитики'!AN775)+('02_Модель'!AO82-'02_Модель'!AN82)-('02_Модель'!AO83-'02_Модель'!AN83)-'19_Расчет_аналитики'!AO778-'19_Расчет_аналитики'!AO764+('19_Расчет_аналитики'!AO782-'19_Расчет_аналитики'!AN782)-'19_Расчет_аналитики'!AO751</f>
        <v/>
      </c>
      <c r="AP779">
        <f>'19_Расчет_аналитики'!AP738-'19_Расчет_аналитики'!AP740-('19_Расчет_аналитики'!AP774-'19_Расчет_аналитики'!AO774)+('19_Расчет_аналитики'!AP775-'19_Расчет_аналитики'!AO775)+('02_Модель'!AP82-'02_Модель'!AO82)-('02_Модель'!AP83-'02_Модель'!AO83)-'19_Расчет_аналитики'!AP778-'19_Расчет_аналитики'!AP764+('19_Расчет_аналитики'!AP782-'19_Расчет_аналитики'!AO782)-'19_Расчет_аналитики'!AP751</f>
        <v/>
      </c>
      <c r="AQ779">
        <f>'19_Расчет_аналитики'!AQ738-'19_Расчет_аналитики'!AQ740-('19_Расчет_аналитики'!AQ774-'19_Расчет_аналитики'!AP774)+('19_Расчет_аналитики'!AQ775-'19_Расчет_аналитики'!AP775)+('02_Модель'!AQ82-'02_Модель'!AP82)-('02_Модель'!AQ83-'02_Модель'!AP83)-'19_Расчет_аналитики'!AQ778-'19_Расчет_аналитики'!AQ764+('19_Расчет_аналитики'!AQ782-'19_Расчет_аналитики'!AP782)-'19_Расчет_аналитики'!AQ751</f>
        <v/>
      </c>
      <c r="AR779">
        <f>'19_Расчет_аналитики'!AR738-'19_Расчет_аналитики'!AR740-('19_Расчет_аналитики'!AR774-'19_Расчет_аналитики'!AQ774)+('19_Расчет_аналитики'!AR775-'19_Расчет_аналитики'!AQ775)+('02_Модель'!AR82-'02_Модель'!AQ82)-('02_Модель'!AR83-'02_Модель'!AQ83)-'19_Расчет_аналитики'!AR778-'19_Расчет_аналитики'!AR764+('19_Расчет_аналитики'!AR782-'19_Расчет_аналитики'!AQ782)-'19_Расчет_аналитики'!AR751</f>
        <v/>
      </c>
      <c r="AS779">
        <f>'19_Расчет_аналитики'!AS738-'19_Расчет_аналитики'!AS740-('19_Расчет_аналитики'!AS774-'19_Расчет_аналитики'!AR774)+('19_Расчет_аналитики'!AS775-'19_Расчет_аналитики'!AR775)+('02_Модель'!AS82-'02_Модель'!AR82)-('02_Модель'!AS83-'02_Модель'!AR83)-'19_Расчет_аналитики'!AS778-'19_Расчет_аналитики'!AS764+('19_Расчет_аналитики'!AS782-'19_Расчет_аналитики'!AR782)-'19_Расчет_аналитики'!AS751</f>
        <v/>
      </c>
      <c r="AT779">
        <f>'19_Расчет_аналитики'!AT738-'19_Расчет_аналитики'!AT740-('19_Расчет_аналитики'!AT774-'19_Расчет_аналитики'!AS774)+('19_Расчет_аналитики'!AT775-'19_Расчет_аналитики'!AS775)+('02_Модель'!AT82-'02_Модель'!AS82)-('02_Модель'!AT83-'02_Модель'!AS83)-'19_Расчет_аналитики'!AT778-'19_Расчет_аналитики'!AT764+('19_Расчет_аналитики'!AT782-'19_Расчет_аналитики'!AS782)-'19_Расчет_аналитики'!AT751</f>
        <v/>
      </c>
      <c r="AU779">
        <f>'19_Расчет_аналитики'!AU738-'19_Расчет_аналитики'!AU740-('19_Расчет_аналитики'!AU774-'19_Расчет_аналитики'!AT774)+('19_Расчет_аналитики'!AU775-'19_Расчет_аналитики'!AT775)+('02_Модель'!AU82-'02_Модель'!AT82)-('02_Модель'!AU83-'02_Модель'!AT83)-'19_Расчет_аналитики'!AU778-'19_Расчет_аналитики'!AU764+('19_Расчет_аналитики'!AU782-'19_Расчет_аналитики'!AT782)-'19_Расчет_аналитики'!AU751</f>
        <v/>
      </c>
      <c r="AV779">
        <f>'19_Расчет_аналитики'!AV738-'19_Расчет_аналитики'!AV740-('19_Расчет_аналитики'!AV774-'19_Расчет_аналитики'!AU774)+('19_Расчет_аналитики'!AV775-'19_Расчет_аналитики'!AU775)+('02_Модель'!AV82-'02_Модель'!AU82)-('02_Модель'!AV83-'02_Модель'!AU83)-'19_Расчет_аналитики'!AV778-'19_Расчет_аналитики'!AV764+('19_Расчет_аналитики'!AV782-'19_Расчет_аналитики'!AU782)-'19_Расчет_аналитики'!AV751</f>
        <v/>
      </c>
      <c r="AW779">
        <f>'19_Расчет_аналитики'!AW738-'19_Расчет_аналитики'!AW740-('19_Расчет_аналитики'!AW774-'19_Расчет_аналитики'!AV774)+('19_Расчет_аналитики'!AW775-'19_Расчет_аналитики'!AV775)+('02_Модель'!AW82-'02_Модель'!AV82)-('02_Модель'!AW83-'02_Модель'!AV83)-'19_Расчет_аналитики'!AW778-'19_Расчет_аналитики'!AW764+('19_Расчет_аналитики'!AW782-'19_Расчет_аналитики'!AV782)-'19_Расчет_аналитики'!AW751</f>
        <v/>
      </c>
      <c r="AX779">
        <f>'19_Расчет_аналитики'!AX738-'19_Расчет_аналитики'!AX740-('19_Расчет_аналитики'!AX774-'19_Расчет_аналитики'!AW774)+('19_Расчет_аналитики'!AX775-'19_Расчет_аналитики'!AW775)+('02_Модель'!AX82-'02_Модель'!AW82)-('02_Модель'!AX83-'02_Модель'!AW83)-'19_Расчет_аналитики'!AX778-'19_Расчет_аналитики'!AX764+('19_Расчет_аналитики'!AX782-'19_Расчет_аналитики'!AW782)-'19_Расчет_аналитики'!AX751</f>
        <v/>
      </c>
      <c r="AY779">
        <f>'19_Расчет_аналитики'!AY738-'19_Расчет_аналитики'!AY740-('19_Расчет_аналитики'!AY774-'19_Расчет_аналитики'!AX774)+('19_Расчет_аналитики'!AY775-'19_Расчет_аналитики'!AX775)+('02_Модель'!AY82-'02_Модель'!AX82)-('02_Модель'!AY83-'02_Модель'!AX83)-'19_Расчет_аналитики'!AY778-'19_Расчет_аналитики'!AY764+('19_Расчет_аналитики'!AY782-'19_Расчет_аналитики'!AX782)-'19_Расчет_аналитики'!AY751</f>
        <v/>
      </c>
      <c r="AZ779">
        <f>'19_Расчет_аналитики'!AZ738-'19_Расчет_аналитики'!AZ740-('19_Расчет_аналитики'!AZ774-'19_Расчет_аналитики'!AY774)+('19_Расчет_аналитики'!AZ775-'19_Расчет_аналитики'!AY775)+('02_Модель'!AZ82-'02_Модель'!AY82)-('02_Модель'!AZ83-'02_Модель'!AY83)-'19_Расчет_аналитики'!AZ778-'19_Расчет_аналитики'!AZ764+('19_Расчет_аналитики'!AZ782-'19_Расчет_аналитики'!AY782)-'19_Расчет_аналитики'!AZ751</f>
        <v/>
      </c>
      <c r="BA779">
        <f>'19_Расчет_аналитики'!BA738-'19_Расчет_аналитики'!BA740-('19_Расчет_аналитики'!BA774-'19_Расчет_аналитики'!AZ774)+('19_Расчет_аналитики'!BA775-'19_Расчет_аналитики'!AZ775)+('02_Модель'!BA82-'02_Модель'!AZ82)-('02_Модель'!BA83-'02_Модель'!AZ83)-'19_Расчет_аналитики'!BA778-'19_Расчет_аналитики'!BA764+('19_Расчет_аналитики'!BA782-'19_Расчет_аналитики'!AZ782)-'19_Расчет_аналитики'!BA751</f>
        <v/>
      </c>
      <c r="BB779">
        <f>'19_Расчет_аналитики'!BB738-'19_Расчет_аналитики'!BB740-('19_Расчет_аналитики'!BB774-'19_Расчет_аналитики'!BA774)+('19_Расчет_аналитики'!BB775-'19_Расчет_аналитики'!BA775)+('02_Модель'!BB82-'02_Модель'!BA82)-('02_Модель'!BB83-'02_Модель'!BA83)-'19_Расчет_аналитики'!BB778-'19_Расчет_аналитики'!BB764+('19_Расчет_аналитики'!BB782-'19_Расчет_аналитики'!BA782)-'19_Расчет_аналитики'!BB751</f>
        <v/>
      </c>
      <c r="BC779">
        <f>'19_Расчет_аналитики'!BC738-'19_Расчет_аналитики'!BC740-('19_Расчет_аналитики'!BC774-'19_Расчет_аналитики'!BB774)+('19_Расчет_аналитики'!BC775-'19_Расчет_аналитики'!BB775)+('02_Модель'!BC82-'02_Модель'!BB82)-('02_Модель'!BC83-'02_Модель'!BB83)-'19_Расчет_аналитики'!BC778-'19_Расчет_аналитики'!BC764+('19_Расчет_аналитики'!BC782-'19_Расчет_аналитики'!BB782)-'19_Расчет_аналитики'!BC751</f>
        <v/>
      </c>
      <c r="BD779">
        <f>'19_Расчет_аналитики'!BD738-'19_Расчет_аналитики'!BD740-('19_Расчет_аналитики'!BD774-'19_Расчет_аналитики'!BC774)+('19_Расчет_аналитики'!BD775-'19_Расчет_аналитики'!BC775)+('02_Модель'!BD82-'02_Модель'!BC82)-('02_Модель'!BD83-'02_Модель'!BC83)-'19_Расчет_аналитики'!BD778-'19_Расчет_аналитики'!BD764+('19_Расчет_аналитики'!BD782-'19_Расчет_аналитики'!BC782)-'19_Расчет_аналитики'!BD751</f>
        <v/>
      </c>
      <c r="BE779">
        <f>'19_Расчет_аналитики'!BE738-'19_Расчет_аналитики'!BE740-('19_Расчет_аналитики'!BE774-'19_Расчет_аналитики'!BD774)+('19_Расчет_аналитики'!BE775-'19_Расчет_аналитики'!BD775)+('02_Модель'!BE82-'02_Модель'!BD82)-('02_Модель'!BE83-'02_Модель'!BD83)-'19_Расчет_аналитики'!BE778-'19_Расчет_аналитики'!BE764+('19_Расчет_аналитики'!BE782-'19_Расчет_аналитики'!BD782)-'19_Расчет_аналитики'!BE751</f>
        <v/>
      </c>
      <c r="BF779">
        <f>'19_Расчет_аналитики'!BF738-'19_Расчет_аналитики'!BF740-('19_Расчет_аналитики'!BF774-'19_Расчет_аналитики'!BE774)+('19_Расчет_аналитики'!BF775-'19_Расчет_аналитики'!BE775)+('02_Модель'!BF82-'02_Модель'!BE82)-('02_Модель'!BF83-'02_Модель'!BE83)-'19_Расчет_аналитики'!BF778-'19_Расчет_аналитики'!BF764+('19_Расчет_аналитики'!BF782-'19_Расчет_аналитики'!BE782)-'19_Расчет_аналитики'!BF751</f>
        <v/>
      </c>
      <c r="BG779">
        <f>'19_Расчет_аналитики'!BG738-'19_Расчет_аналитики'!BG740-('19_Расчет_аналитики'!BG774-'19_Расчет_аналитики'!BF774)+('19_Расчет_аналитики'!BG775-'19_Расчет_аналитики'!BF775)+('02_Модель'!BG82-'02_Модель'!BF82)-('02_Модель'!BG83-'02_Модель'!BF83)-'19_Расчет_аналитики'!BG778-'19_Расчет_аналитики'!BG764+('19_Расчет_аналитики'!BG782-'19_Расчет_аналитики'!BF782)-'19_Расчет_аналитики'!BG751</f>
        <v/>
      </c>
      <c r="BH779">
        <f>'19_Расчет_аналитики'!BH738-'19_Расчет_аналитики'!BH740-('19_Расчет_аналитики'!BH774-'19_Расчет_аналитики'!BG774)+('19_Расчет_аналитики'!BH775-'19_Расчет_аналитики'!BG775)+('02_Модель'!BH82-'02_Модель'!BG82)-('02_Модель'!BH83-'02_Модель'!BG83)-'19_Расчет_аналитики'!BH778-'19_Расчет_аналитики'!BH764+('19_Расчет_аналитики'!BH782-'19_Расчет_аналитики'!BG782)-'19_Расчет_аналитики'!BH751</f>
        <v/>
      </c>
      <c r="BI779">
        <f>'19_Расчет_аналитики'!BI738-'19_Расчет_аналитики'!BI740-('19_Расчет_аналитики'!BI774-'19_Расчет_аналитики'!BH774)+('19_Расчет_аналитики'!BI775-'19_Расчет_аналитики'!BH775)+('02_Модель'!BI82-'02_Модель'!BH82)-('02_Модель'!BI83-'02_Модель'!BH83)-'19_Расчет_аналитики'!BI778-'19_Расчет_аналитики'!BI764+('19_Расчет_аналитики'!BI782-'19_Расчет_аналитики'!BH782)-'19_Расчет_аналитики'!BI751</f>
        <v/>
      </c>
    </row>
    <row r="780">
      <c r="B780">
        <f>'19_Расчет_аналитики'!B779-'19_Расчет_аналитики'!B765</f>
        <v/>
      </c>
      <c r="C780">
        <f>'19_Расчет_аналитики'!C779-'19_Расчет_аналитики'!C765</f>
        <v/>
      </c>
      <c r="D780">
        <f>'19_Расчет_аналитики'!D779-'19_Расчет_аналитики'!D765</f>
        <v/>
      </c>
      <c r="E780">
        <f>'19_Расчет_аналитики'!E779-'19_Расчет_аналитики'!E765</f>
        <v/>
      </c>
      <c r="F780">
        <f>'19_Расчет_аналитики'!F779-'19_Расчет_аналитики'!F765</f>
        <v/>
      </c>
      <c r="G780">
        <f>'19_Расчет_аналитики'!G779-'19_Расчет_аналитики'!G765</f>
        <v/>
      </c>
      <c r="H780">
        <f>'19_Расчет_аналитики'!H779-'19_Расчет_аналитики'!H765</f>
        <v/>
      </c>
      <c r="I780">
        <f>'19_Расчет_аналитики'!I779-'19_Расчет_аналитики'!I765</f>
        <v/>
      </c>
      <c r="J780">
        <f>'19_Расчет_аналитики'!J779-'19_Расчет_аналитики'!J765</f>
        <v/>
      </c>
      <c r="K780">
        <f>'19_Расчет_аналитики'!K779-'19_Расчет_аналитики'!K765</f>
        <v/>
      </c>
      <c r="L780">
        <f>'19_Расчет_аналитики'!L779-'19_Расчет_аналитики'!L765</f>
        <v/>
      </c>
      <c r="M780">
        <f>'19_Расчет_аналитики'!M779-'19_Расчет_аналитики'!M765</f>
        <v/>
      </c>
      <c r="N780">
        <f>'19_Расчет_аналитики'!N779-'19_Расчет_аналитики'!N765</f>
        <v/>
      </c>
      <c r="O780">
        <f>'19_Расчет_аналитики'!O779-'19_Расчет_аналитики'!O765</f>
        <v/>
      </c>
      <c r="P780">
        <f>'19_Расчет_аналитики'!P779-'19_Расчет_аналитики'!P765</f>
        <v/>
      </c>
      <c r="Q780">
        <f>'19_Расчет_аналитики'!Q779-'19_Расчет_аналитики'!Q765</f>
        <v/>
      </c>
      <c r="R780">
        <f>'19_Расчет_аналитики'!R779-'19_Расчет_аналитики'!R765</f>
        <v/>
      </c>
      <c r="S780">
        <f>'19_Расчет_аналитики'!S779-'19_Расчет_аналитики'!S765</f>
        <v/>
      </c>
      <c r="T780">
        <f>'19_Расчет_аналитики'!T779-'19_Расчет_аналитики'!T765</f>
        <v/>
      </c>
      <c r="U780">
        <f>'19_Расчет_аналитики'!U779-'19_Расчет_аналитики'!U765</f>
        <v/>
      </c>
      <c r="V780">
        <f>'19_Расчет_аналитики'!V779-'19_Расчет_аналитики'!V765</f>
        <v/>
      </c>
      <c r="W780">
        <f>'19_Расчет_аналитики'!W779-'19_Расчет_аналитики'!W765</f>
        <v/>
      </c>
      <c r="X780">
        <f>'19_Расчет_аналитики'!X779-'19_Расчет_аналитики'!X765</f>
        <v/>
      </c>
      <c r="Y780">
        <f>'19_Расчет_аналитики'!Y779-'19_Расчет_аналитики'!Y765</f>
        <v/>
      </c>
      <c r="Z780">
        <f>'19_Расчет_аналитики'!Z779-'19_Расчет_аналитики'!Z765</f>
        <v/>
      </c>
      <c r="AA780">
        <f>'19_Расчет_аналитики'!AA779-'19_Расчет_аналитики'!AA765</f>
        <v/>
      </c>
      <c r="AB780">
        <f>'19_Расчет_аналитики'!AB779-'19_Расчет_аналитики'!AB765</f>
        <v/>
      </c>
      <c r="AC780">
        <f>'19_Расчет_аналитики'!AC779-'19_Расчет_аналитики'!AC765</f>
        <v/>
      </c>
      <c r="AD780">
        <f>'19_Расчет_аналитики'!AD779-'19_Расчет_аналитики'!AD765</f>
        <v/>
      </c>
      <c r="AE780">
        <f>'19_Расчет_аналитики'!AE779-'19_Расчет_аналитики'!AE765</f>
        <v/>
      </c>
      <c r="AF780">
        <f>'19_Расчет_аналитики'!AF779-'19_Расчет_аналитики'!AF765</f>
        <v/>
      </c>
      <c r="AG780">
        <f>'19_Расчет_аналитики'!AG779-'19_Расчет_аналитики'!AG765</f>
        <v/>
      </c>
      <c r="AH780">
        <f>'19_Расчет_аналитики'!AH779-'19_Расчет_аналитики'!AH765</f>
        <v/>
      </c>
      <c r="AI780">
        <f>'19_Расчет_аналитики'!AI779-'19_Расчет_аналитики'!AI765</f>
        <v/>
      </c>
      <c r="AJ780">
        <f>'19_Расчет_аналитики'!AJ779-'19_Расчет_аналитики'!AJ765</f>
        <v/>
      </c>
      <c r="AK780">
        <f>'19_Расчет_аналитики'!AK779-'19_Расчет_аналитики'!AK765</f>
        <v/>
      </c>
      <c r="AL780">
        <f>'19_Расчет_аналитики'!AL779-'19_Расчет_аналитики'!AL765</f>
        <v/>
      </c>
      <c r="AM780">
        <f>'19_Расчет_аналитики'!AM779-'19_Расчет_аналитики'!AM765</f>
        <v/>
      </c>
      <c r="AN780">
        <f>'19_Расчет_аналитики'!AN779-'19_Расчет_аналитики'!AN765</f>
        <v/>
      </c>
      <c r="AO780">
        <f>'19_Расчет_аналитики'!AO779-'19_Расчет_аналитики'!AO765</f>
        <v/>
      </c>
      <c r="AP780">
        <f>'19_Расчет_аналитики'!AP779-'19_Расчет_аналитики'!AP765</f>
        <v/>
      </c>
      <c r="AQ780">
        <f>'19_Расчет_аналитики'!AQ779-'19_Расчет_аналитики'!AQ765</f>
        <v/>
      </c>
      <c r="AR780">
        <f>'19_Расчет_аналитики'!AR779-'19_Расчет_аналитики'!AR765</f>
        <v/>
      </c>
      <c r="AS780">
        <f>'19_Расчет_аналитики'!AS779-'19_Расчет_аналитики'!AS765</f>
        <v/>
      </c>
      <c r="AT780">
        <f>'19_Расчет_аналитики'!AT779-'19_Расчет_аналитики'!AT765</f>
        <v/>
      </c>
      <c r="AU780">
        <f>'19_Расчет_аналитики'!AU779-'19_Расчет_аналитики'!AU765</f>
        <v/>
      </c>
      <c r="AV780">
        <f>'19_Расчет_аналитики'!AV779-'19_Расчет_аналитики'!AV765</f>
        <v/>
      </c>
      <c r="AW780">
        <f>'19_Расчет_аналитики'!AW779-'19_Расчет_аналитики'!AW765</f>
        <v/>
      </c>
      <c r="AX780">
        <f>'19_Расчет_аналитики'!AX779-'19_Расчет_аналитики'!AX765</f>
        <v/>
      </c>
      <c r="AY780">
        <f>'19_Расчет_аналитики'!AY779-'19_Расчет_аналитики'!AY765</f>
        <v/>
      </c>
      <c r="AZ780">
        <f>'19_Расчет_аналитики'!AZ779-'19_Расчет_аналитики'!AZ765</f>
        <v/>
      </c>
      <c r="BA780">
        <f>'19_Расчет_аналитики'!BA779-'19_Расчет_аналитики'!BA765</f>
        <v/>
      </c>
      <c r="BB780">
        <f>'19_Расчет_аналитики'!BB779-'19_Расчет_аналитики'!BB765</f>
        <v/>
      </c>
      <c r="BC780">
        <f>'19_Расчет_аналитики'!BC779-'19_Расчет_аналитики'!BC765</f>
        <v/>
      </c>
      <c r="BD780">
        <f>'19_Расчет_аналитики'!BD779-'19_Расчет_аналитики'!BD765</f>
        <v/>
      </c>
      <c r="BE780">
        <f>'19_Расчет_аналитики'!BE779-'19_Расчет_аналитики'!BE765</f>
        <v/>
      </c>
      <c r="BF780">
        <f>'19_Расчет_аналитики'!BF779-'19_Расчет_аналитики'!BF765</f>
        <v/>
      </c>
      <c r="BG780">
        <f>'19_Расчет_аналитики'!BG779-'19_Расчет_аналитики'!BG765</f>
        <v/>
      </c>
      <c r="BH780">
        <f>'19_Расчет_аналитики'!BH779-'19_Расчет_аналитики'!BH765</f>
        <v/>
      </c>
      <c r="BI780">
        <f>'19_Расчет_аналитики'!BI779-'19_Расчет_аналитики'!BI765</f>
        <v/>
      </c>
    </row>
    <row r="781">
      <c r="B781">
        <f>'07_Мерч'!B22+'19_Расчет_аналитики'!B626-'19_Расчет_аналитики'!B624-'19_Расчет_аналитики'!B627</f>
        <v/>
      </c>
      <c r="C781">
        <f>'19_Расчет_аналитики'!C623+'19_Расчет_аналитики'!C626-'19_Расчет_аналитики'!C624-'19_Расчет_аналитики'!C627</f>
        <v/>
      </c>
      <c r="D781">
        <f>'19_Расчет_аналитики'!D623+'19_Расчет_аналитики'!D626-'19_Расчет_аналитики'!D624-'19_Расчет_аналитики'!D627</f>
        <v/>
      </c>
      <c r="E781">
        <f>'19_Расчет_аналитики'!E623+'19_Расчет_аналитики'!E626-'19_Расчет_аналитики'!E624-'19_Расчет_аналитики'!E627</f>
        <v/>
      </c>
      <c r="F781">
        <f>'19_Расчет_аналитики'!F623+'19_Расчет_аналитики'!F626-'19_Расчет_аналитики'!F624-'19_Расчет_аналитики'!F627</f>
        <v/>
      </c>
      <c r="G781">
        <f>'19_Расчет_аналитики'!G623+'19_Расчет_аналитики'!G626-'19_Расчет_аналитики'!G624-'19_Расчет_аналитики'!G627</f>
        <v/>
      </c>
      <c r="H781">
        <f>'19_Расчет_аналитики'!H623+'19_Расчет_аналитики'!H626-'19_Расчет_аналитики'!H624-'19_Расчет_аналитики'!H627</f>
        <v/>
      </c>
      <c r="I781">
        <f>'19_Расчет_аналитики'!I623+'19_Расчет_аналитики'!I626-'19_Расчет_аналитики'!I624-'19_Расчет_аналитики'!I627</f>
        <v/>
      </c>
      <c r="J781">
        <f>'19_Расчет_аналитики'!J623+'19_Расчет_аналитики'!J626-'19_Расчет_аналитики'!J624-'19_Расчет_аналитики'!J627</f>
        <v/>
      </c>
      <c r="K781">
        <f>'19_Расчет_аналитики'!K623+'19_Расчет_аналитики'!K626-'19_Расчет_аналитики'!K624-'19_Расчет_аналитики'!K627</f>
        <v/>
      </c>
      <c r="L781">
        <f>'19_Расчет_аналитики'!L623+'19_Расчет_аналитики'!L626-'19_Расчет_аналитики'!L624-'19_Расчет_аналитики'!L627</f>
        <v/>
      </c>
      <c r="M781">
        <f>'19_Расчет_аналитики'!M623+'19_Расчет_аналитики'!M626-'19_Расчет_аналитики'!M624-'19_Расчет_аналитики'!M627</f>
        <v/>
      </c>
      <c r="N781">
        <f>'19_Расчет_аналитики'!N623+'19_Расчет_аналитики'!N626-'19_Расчет_аналитики'!N624-'19_Расчет_аналитики'!N627</f>
        <v/>
      </c>
      <c r="O781">
        <f>'19_Расчет_аналитики'!O623+'19_Расчет_аналитики'!O626-'19_Расчет_аналитики'!O624-'19_Расчет_аналитики'!O627</f>
        <v/>
      </c>
      <c r="P781">
        <f>'19_Расчет_аналитики'!P623+'19_Расчет_аналитики'!P626-'19_Расчет_аналитики'!P624-'19_Расчет_аналитики'!P627</f>
        <v/>
      </c>
      <c r="Q781">
        <f>'19_Расчет_аналитики'!Q623+'19_Расчет_аналитики'!Q626-'19_Расчет_аналитики'!Q624-'19_Расчет_аналитики'!Q627</f>
        <v/>
      </c>
      <c r="R781">
        <f>'19_Расчет_аналитики'!R623+'19_Расчет_аналитики'!R626-'19_Расчет_аналитики'!R624-'19_Расчет_аналитики'!R627</f>
        <v/>
      </c>
      <c r="S781">
        <f>'19_Расчет_аналитики'!S623+'19_Расчет_аналитики'!S626-'19_Расчет_аналитики'!S624-'19_Расчет_аналитики'!S627</f>
        <v/>
      </c>
      <c r="T781">
        <f>'19_Расчет_аналитики'!T623+'19_Расчет_аналитики'!T626-'19_Расчет_аналитики'!T624-'19_Расчет_аналитики'!T627</f>
        <v/>
      </c>
      <c r="U781">
        <f>'19_Расчет_аналитики'!U623+'19_Расчет_аналитики'!U626-'19_Расчет_аналитики'!U624-'19_Расчет_аналитики'!U627</f>
        <v/>
      </c>
      <c r="V781">
        <f>'19_Расчет_аналитики'!V623+'19_Расчет_аналитики'!V626-'19_Расчет_аналитики'!V624-'19_Расчет_аналитики'!V627</f>
        <v/>
      </c>
      <c r="W781">
        <f>'19_Расчет_аналитики'!W623+'19_Расчет_аналитики'!W626-'19_Расчет_аналитики'!W624-'19_Расчет_аналитики'!W627</f>
        <v/>
      </c>
      <c r="X781">
        <f>'19_Расчет_аналитики'!X623+'19_Расчет_аналитики'!X626-'19_Расчет_аналитики'!X624-'19_Расчет_аналитики'!X627</f>
        <v/>
      </c>
      <c r="Y781">
        <f>'19_Расчет_аналитики'!Y623+'19_Расчет_аналитики'!Y626-'19_Расчет_аналитики'!Y624-'19_Расчет_аналитики'!Y627</f>
        <v/>
      </c>
      <c r="Z781">
        <f>'19_Расчет_аналитики'!Z623+'19_Расчет_аналитики'!Z626-'19_Расчет_аналитики'!Z624-'19_Расчет_аналитики'!Z627</f>
        <v/>
      </c>
      <c r="AA781">
        <f>'19_Расчет_аналитики'!AA623+'19_Расчет_аналитики'!AA626-'19_Расчет_аналитики'!AA624-'19_Расчет_аналитики'!AA627</f>
        <v/>
      </c>
      <c r="AB781">
        <f>'19_Расчет_аналитики'!AB623+'19_Расчет_аналитики'!AB626-'19_Расчет_аналитики'!AB624-'19_Расчет_аналитики'!AB627</f>
        <v/>
      </c>
      <c r="AC781">
        <f>'19_Расчет_аналитики'!AC623+'19_Расчет_аналитики'!AC626-'19_Расчет_аналитики'!AC624-'19_Расчет_аналитики'!AC627</f>
        <v/>
      </c>
      <c r="AD781">
        <f>'19_Расчет_аналитики'!AD623+'19_Расчет_аналитики'!AD626-'19_Расчет_аналитики'!AD624-'19_Расчет_аналитики'!AD627</f>
        <v/>
      </c>
      <c r="AE781">
        <f>'19_Расчет_аналитики'!AE623+'19_Расчет_аналитики'!AE626-'19_Расчет_аналитики'!AE624-'19_Расчет_аналитики'!AE627</f>
        <v/>
      </c>
      <c r="AF781">
        <f>'19_Расчет_аналитики'!AF623+'19_Расчет_аналитики'!AF626-'19_Расчет_аналитики'!AF624-'19_Расчет_аналитики'!AF627</f>
        <v/>
      </c>
      <c r="AG781">
        <f>'19_Расчет_аналитики'!AG623+'19_Расчет_аналитики'!AG626-'19_Расчет_аналитики'!AG624-'19_Расчет_аналитики'!AG627</f>
        <v/>
      </c>
      <c r="AH781">
        <f>'19_Расчет_аналитики'!AH623+'19_Расчет_аналитики'!AH626-'19_Расчет_аналитики'!AH624-'19_Расчет_аналитики'!AH627</f>
        <v/>
      </c>
      <c r="AI781">
        <f>'19_Расчет_аналитики'!AI623+'19_Расчет_аналитики'!AI626-'19_Расчет_аналитики'!AI624-'19_Расчет_аналитики'!AI627</f>
        <v/>
      </c>
      <c r="AJ781">
        <f>'19_Расчет_аналитики'!AJ623+'19_Расчет_аналитики'!AJ626-'19_Расчет_аналитики'!AJ624-'19_Расчет_аналитики'!AJ627</f>
        <v/>
      </c>
      <c r="AK781">
        <f>'19_Расчет_аналитики'!AK623+'19_Расчет_аналитики'!AK626-'19_Расчет_аналитики'!AK624-'19_Расчет_аналитики'!AK627</f>
        <v/>
      </c>
      <c r="AL781">
        <f>'19_Расчет_аналитики'!AL623+'19_Расчет_аналитики'!AL626-'19_Расчет_аналитики'!AL624-'19_Расчет_аналитики'!AL627</f>
        <v/>
      </c>
      <c r="AM781">
        <f>'19_Расчет_аналитики'!AM623+'19_Расчет_аналитики'!AM626-'19_Расчет_аналитики'!AM624-'19_Расчет_аналитики'!AM627</f>
        <v/>
      </c>
      <c r="AN781">
        <f>'19_Расчет_аналитики'!AN623+'19_Расчет_аналитики'!AN626-'19_Расчет_аналитики'!AN624-'19_Расчет_аналитики'!AN627</f>
        <v/>
      </c>
      <c r="AO781">
        <f>'19_Расчет_аналитики'!AO623+'19_Расчет_аналитики'!AO626-'19_Расчет_аналитики'!AO624-'19_Расчет_аналитики'!AO627</f>
        <v/>
      </c>
      <c r="AP781">
        <f>'19_Расчет_аналитики'!AP623+'19_Расчет_аналитики'!AP626-'19_Расчет_аналитики'!AP624-'19_Расчет_аналитики'!AP627</f>
        <v/>
      </c>
      <c r="AQ781">
        <f>'19_Расчет_аналитики'!AQ623+'19_Расчет_аналитики'!AQ626-'19_Расчет_аналитики'!AQ624-'19_Расчет_аналитики'!AQ627</f>
        <v/>
      </c>
      <c r="AR781">
        <f>'19_Расчет_аналитики'!AR623+'19_Расчет_аналитики'!AR626-'19_Расчет_аналитики'!AR624-'19_Расчет_аналитики'!AR627</f>
        <v/>
      </c>
      <c r="AS781">
        <f>'19_Расчет_аналитики'!AS623+'19_Расчет_аналитики'!AS626-'19_Расчет_аналитики'!AS624-'19_Расчет_аналитики'!AS627</f>
        <v/>
      </c>
      <c r="AT781">
        <f>'19_Расчет_аналитики'!AT623+'19_Расчет_аналитики'!AT626-'19_Расчет_аналитики'!AT624-'19_Расчет_аналитики'!AT627</f>
        <v/>
      </c>
      <c r="AU781">
        <f>'19_Расчет_аналитики'!AU623+'19_Расчет_аналитики'!AU626-'19_Расчет_аналитики'!AU624-'19_Расчет_аналитики'!AU627</f>
        <v/>
      </c>
      <c r="AV781">
        <f>'19_Расчет_аналитики'!AV623+'19_Расчет_аналитики'!AV626-'19_Расчет_аналитики'!AV624-'19_Расчет_аналитики'!AV627</f>
        <v/>
      </c>
      <c r="AW781">
        <f>'19_Расчет_аналитики'!AW623+'19_Расчет_аналитики'!AW626-'19_Расчет_аналитики'!AW624-'19_Расчет_аналитики'!AW627</f>
        <v/>
      </c>
      <c r="AX781">
        <f>'19_Расчет_аналитики'!AX623+'19_Расчет_аналитики'!AX626-'19_Расчет_аналитики'!AX624-'19_Расчет_аналитики'!AX627</f>
        <v/>
      </c>
      <c r="AY781">
        <f>'19_Расчет_аналитики'!AY623+'19_Расчет_аналитики'!AY626-'19_Расчет_аналитики'!AY624-'19_Расчет_аналитики'!AY627</f>
        <v/>
      </c>
      <c r="AZ781">
        <f>'19_Расчет_аналитики'!AZ623+'19_Расчет_аналитики'!AZ626-'19_Расчет_аналитики'!AZ624-'19_Расчет_аналитики'!AZ627</f>
        <v/>
      </c>
      <c r="BA781">
        <f>'19_Расчет_аналитики'!BA623+'19_Расчет_аналитики'!BA626-'19_Расчет_аналитики'!BA624-'19_Расчет_аналитики'!BA627</f>
        <v/>
      </c>
      <c r="BB781">
        <f>'19_Расчет_аналитики'!BB623+'19_Расчет_аналитики'!BB626-'19_Расчет_аналитики'!BB624-'19_Расчет_аналитики'!BB627</f>
        <v/>
      </c>
      <c r="BC781">
        <f>'19_Расчет_аналитики'!BC623+'19_Расчет_аналитики'!BC626-'19_Расчет_аналитики'!BC624-'19_Расчет_аналитики'!BC627</f>
        <v/>
      </c>
      <c r="BD781">
        <f>'19_Расчет_аналитики'!BD623+'19_Расчет_аналитики'!BD626-'19_Расчет_аналитики'!BD624-'19_Расчет_аналитики'!BD627</f>
        <v/>
      </c>
      <c r="BE781">
        <f>'19_Расчет_аналитики'!BE623+'19_Расчет_аналитики'!BE626-'19_Расчет_аналитики'!BE624-'19_Расчет_аналитики'!BE627</f>
        <v/>
      </c>
      <c r="BF781">
        <f>'19_Расчет_аналитики'!BF623+'19_Расчет_аналитики'!BF626-'19_Расчет_аналитики'!BF624-'19_Расчет_аналитики'!BF627</f>
        <v/>
      </c>
      <c r="BG781">
        <f>'19_Расчет_аналитики'!BG623+'19_Расчет_аналитики'!BG626-'19_Расчет_аналитики'!BG624-'19_Расчет_аналитики'!BG627</f>
        <v/>
      </c>
      <c r="BH781">
        <f>'19_Расчет_аналитики'!BH623+'19_Расчет_аналитики'!BH626-'19_Расчет_аналитики'!BH624-'19_Расчет_аналитики'!BH627</f>
        <v/>
      </c>
      <c r="BI781">
        <f>'19_Расчет_аналитики'!BI623+'19_Расчет_аналитики'!BI626-'19_Расчет_аналитики'!BI624-'19_Расчет_аналитики'!BI627</f>
        <v/>
      </c>
    </row>
    <row r="782">
      <c r="B782">
        <f>0+SUM('19_Расчет_аналитики'!B722:B724)-'19_Расчет_аналитики'!B755</f>
        <v/>
      </c>
      <c r="C782">
        <f>'19_Расчет_аналитики'!B782+SUM('19_Расчет_аналитики'!C722:C724)-'19_Расчет_аналитики'!C755</f>
        <v/>
      </c>
      <c r="D782">
        <f>'19_Расчет_аналитики'!C782+SUM('19_Расчет_аналитики'!D722:D724)-'19_Расчет_аналитики'!D755</f>
        <v/>
      </c>
      <c r="E782">
        <f>'19_Расчет_аналитики'!D782+SUM('19_Расчет_аналитики'!E722:E724)-'19_Расчет_аналитики'!E755</f>
        <v/>
      </c>
      <c r="F782">
        <f>'19_Расчет_аналитики'!E782+SUM('19_Расчет_аналитики'!F722:F724)-'19_Расчет_аналитики'!F755</f>
        <v/>
      </c>
      <c r="G782">
        <f>'19_Расчет_аналитики'!F782+SUM('19_Расчет_аналитики'!G722:G724)-'19_Расчет_аналитики'!G755</f>
        <v/>
      </c>
      <c r="H782">
        <f>'19_Расчет_аналитики'!G782+SUM('19_Расчет_аналитики'!H722:H724)-'19_Расчет_аналитики'!H755</f>
        <v/>
      </c>
      <c r="I782">
        <f>'19_Расчет_аналитики'!H782+SUM('19_Расчет_аналитики'!I722:I724)-'19_Расчет_аналитики'!I755</f>
        <v/>
      </c>
      <c r="J782">
        <f>'19_Расчет_аналитики'!I782+SUM('19_Расчет_аналитики'!J722:J724)-'19_Расчет_аналитики'!J755</f>
        <v/>
      </c>
      <c r="K782">
        <f>'19_Расчет_аналитики'!J782+SUM('19_Расчет_аналитики'!K722:K724)-'19_Расчет_аналитики'!K755</f>
        <v/>
      </c>
      <c r="L782">
        <f>'19_Расчет_аналитики'!K782+SUM('19_Расчет_аналитики'!L722:L724)-'19_Расчет_аналитики'!L755</f>
        <v/>
      </c>
      <c r="M782">
        <f>'19_Расчет_аналитики'!L782+SUM('19_Расчет_аналитики'!M722:M724)-'19_Расчет_аналитики'!M755</f>
        <v/>
      </c>
      <c r="N782">
        <f>'19_Расчет_аналитики'!M782+SUM('19_Расчет_аналитики'!N722:N724)-'19_Расчет_аналитики'!N755</f>
        <v/>
      </c>
      <c r="O782">
        <f>'19_Расчет_аналитики'!N782+SUM('19_Расчет_аналитики'!O722:O724)-'19_Расчет_аналитики'!O755</f>
        <v/>
      </c>
      <c r="P782">
        <f>'19_Расчет_аналитики'!O782+SUM('19_Расчет_аналитики'!P722:P724)-'19_Расчет_аналитики'!P755</f>
        <v/>
      </c>
      <c r="Q782">
        <f>'19_Расчет_аналитики'!P782+SUM('19_Расчет_аналитики'!Q722:Q724)-'19_Расчет_аналитики'!Q755</f>
        <v/>
      </c>
      <c r="R782">
        <f>'19_Расчет_аналитики'!Q782+SUM('19_Расчет_аналитики'!R722:R724)-'19_Расчет_аналитики'!R755</f>
        <v/>
      </c>
      <c r="S782">
        <f>'19_Расчет_аналитики'!R782+SUM('19_Расчет_аналитики'!S722:S724)-'19_Расчет_аналитики'!S755</f>
        <v/>
      </c>
      <c r="T782">
        <f>'19_Расчет_аналитики'!S782+SUM('19_Расчет_аналитики'!T722:T724)-'19_Расчет_аналитики'!T755</f>
        <v/>
      </c>
      <c r="U782">
        <f>'19_Расчет_аналитики'!T782+SUM('19_Расчет_аналитики'!U722:U724)-'19_Расчет_аналитики'!U755</f>
        <v/>
      </c>
      <c r="V782">
        <f>'19_Расчет_аналитики'!U782+SUM('19_Расчет_аналитики'!V722:V724)-'19_Расчет_аналитики'!V755</f>
        <v/>
      </c>
      <c r="W782">
        <f>'19_Расчет_аналитики'!V782+SUM('19_Расчет_аналитики'!W722:W724)-'19_Расчет_аналитики'!W755</f>
        <v/>
      </c>
      <c r="X782">
        <f>'19_Расчет_аналитики'!W782+SUM('19_Расчет_аналитики'!X722:X724)-'19_Расчет_аналитики'!X755</f>
        <v/>
      </c>
      <c r="Y782">
        <f>'19_Расчет_аналитики'!X782+SUM('19_Расчет_аналитики'!Y722:Y724)-'19_Расчет_аналитики'!Y755</f>
        <v/>
      </c>
      <c r="Z782">
        <f>'19_Расчет_аналитики'!Y782+SUM('19_Расчет_аналитики'!Z722:Z724)-'19_Расчет_аналитики'!Z755</f>
        <v/>
      </c>
      <c r="AA782">
        <f>'19_Расчет_аналитики'!Z782+SUM('19_Расчет_аналитики'!AA722:AA724)-'19_Расчет_аналитики'!AA755</f>
        <v/>
      </c>
      <c r="AB782">
        <f>'19_Расчет_аналитики'!AA782+SUM('19_Расчет_аналитики'!AB722:AB724)-'19_Расчет_аналитики'!AB755</f>
        <v/>
      </c>
      <c r="AC782">
        <f>'19_Расчет_аналитики'!AB782+SUM('19_Расчет_аналитики'!AC722:AC724)-'19_Расчет_аналитики'!AC755</f>
        <v/>
      </c>
      <c r="AD782">
        <f>'19_Расчет_аналитики'!AC782+SUM('19_Расчет_аналитики'!AD722:AD724)-'19_Расчет_аналитики'!AD755</f>
        <v/>
      </c>
      <c r="AE782">
        <f>'19_Расчет_аналитики'!AD782+SUM('19_Расчет_аналитики'!AE722:AE724)-'19_Расчет_аналитики'!AE755</f>
        <v/>
      </c>
      <c r="AF782">
        <f>'19_Расчет_аналитики'!AE782+SUM('19_Расчет_аналитики'!AF722:AF724)-'19_Расчет_аналитики'!AF755</f>
        <v/>
      </c>
      <c r="AG782">
        <f>'19_Расчет_аналитики'!AF782+SUM('19_Расчет_аналитики'!AG722:AG724)-'19_Расчет_аналитики'!AG755</f>
        <v/>
      </c>
      <c r="AH782">
        <f>'19_Расчет_аналитики'!AG782+SUM('19_Расчет_аналитики'!AH722:AH724)-'19_Расчет_аналитики'!AH755</f>
        <v/>
      </c>
      <c r="AI782">
        <f>'19_Расчет_аналитики'!AH782+SUM('19_Расчет_аналитики'!AI722:AI724)-'19_Расчет_аналитики'!AI755</f>
        <v/>
      </c>
      <c r="AJ782">
        <f>'19_Расчет_аналитики'!AI782+SUM('19_Расчет_аналитики'!AJ722:AJ724)-'19_Расчет_аналитики'!AJ755</f>
        <v/>
      </c>
      <c r="AK782">
        <f>'19_Расчет_аналитики'!AJ782+SUM('19_Расчет_аналитики'!AK722:AK724)-'19_Расчет_аналитики'!AK755</f>
        <v/>
      </c>
      <c r="AL782">
        <f>'19_Расчет_аналитики'!AK782+SUM('19_Расчет_аналитики'!AL722:AL724)-'19_Расчет_аналитики'!AL755</f>
        <v/>
      </c>
      <c r="AM782">
        <f>'19_Расчет_аналитики'!AL782+SUM('19_Расчет_аналитики'!AM722:AM724)-'19_Расчет_аналитики'!AM755</f>
        <v/>
      </c>
      <c r="AN782">
        <f>'19_Расчет_аналитики'!AM782+SUM('19_Расчет_аналитики'!AN722:AN724)-'19_Расчет_аналитики'!AN755</f>
        <v/>
      </c>
      <c r="AO782">
        <f>'19_Расчет_аналитики'!AN782+SUM('19_Расчет_аналитики'!AO722:AO724)-'19_Расчет_аналитики'!AO755</f>
        <v/>
      </c>
      <c r="AP782">
        <f>'19_Расчет_аналитики'!AO782+SUM('19_Расчет_аналитики'!AP722:AP724)-'19_Расчет_аналитики'!AP755</f>
        <v/>
      </c>
      <c r="AQ782">
        <f>'19_Расчет_аналитики'!AP782+SUM('19_Расчет_аналитики'!AQ722:AQ724)-'19_Расчет_аналитики'!AQ755</f>
        <v/>
      </c>
      <c r="AR782">
        <f>'19_Расчет_аналитики'!AQ782+SUM('19_Расчет_аналитики'!AR722:AR724)-'19_Расчет_аналитики'!AR755</f>
        <v/>
      </c>
      <c r="AS782">
        <f>'19_Расчет_аналитики'!AR782+SUM('19_Расчет_аналитики'!AS722:AS724)-'19_Расчет_аналитики'!AS755</f>
        <v/>
      </c>
      <c r="AT782">
        <f>'19_Расчет_аналитики'!AS782+SUM('19_Расчет_аналитики'!AT722:AT724)-'19_Расчет_аналитики'!AT755</f>
        <v/>
      </c>
      <c r="AU782">
        <f>'19_Расчет_аналитики'!AT782+SUM('19_Расчет_аналитики'!AU722:AU724)-'19_Расчет_аналитики'!AU755</f>
        <v/>
      </c>
      <c r="AV782">
        <f>'19_Расчет_аналитики'!AU782+SUM('19_Расчет_аналитики'!AV722:AV724)-'19_Расчет_аналитики'!AV755</f>
        <v/>
      </c>
      <c r="AW782">
        <f>'19_Расчет_аналитики'!AV782+SUM('19_Расчет_аналитики'!AW722:AW724)-'19_Расчет_аналитики'!AW755</f>
        <v/>
      </c>
      <c r="AX782">
        <f>'19_Расчет_аналитики'!AW782+SUM('19_Расчет_аналитики'!AX722:AX724)-'19_Расчет_аналитики'!AX755</f>
        <v/>
      </c>
      <c r="AY782">
        <f>'19_Расчет_аналитики'!AX782+SUM('19_Расчет_аналитики'!AY722:AY724)-'19_Расчет_аналитики'!AY755</f>
        <v/>
      </c>
      <c r="AZ782">
        <f>'19_Расчет_аналитики'!AY782+SUM('19_Расчет_аналитики'!AZ722:AZ724)-'19_Расчет_аналитики'!AZ755</f>
        <v/>
      </c>
      <c r="BA782">
        <f>'19_Расчет_аналитики'!AZ782+SUM('19_Расчет_аналитики'!BA722:BA724)-'19_Расчет_аналитики'!BA755</f>
        <v/>
      </c>
      <c r="BB782">
        <f>'19_Расчет_аналитики'!BA782+SUM('19_Расчет_аналитики'!BB722:BB724)-'19_Расчет_аналитики'!BB755</f>
        <v/>
      </c>
      <c r="BC782">
        <f>'19_Расчет_аналитики'!BB782+SUM('19_Расчет_аналитики'!BC722:BC724)-'19_Расчет_аналитики'!BC755</f>
        <v/>
      </c>
      <c r="BD782">
        <f>'19_Расчет_аналитики'!BC782+SUM('19_Расчет_аналитики'!BD722:BD724)-'19_Расчет_аналитики'!BD755</f>
        <v/>
      </c>
      <c r="BE782">
        <f>'19_Расчет_аналитики'!BD782+SUM('19_Расчет_аналитики'!BE722:BE724)-'19_Расчет_аналитики'!BE755</f>
        <v/>
      </c>
      <c r="BF782">
        <f>'19_Расчет_аналитики'!BE782+SUM('19_Расчет_аналитики'!BF722:BF724)-'19_Расчет_аналитики'!BF755</f>
        <v/>
      </c>
      <c r="BG782">
        <f>'19_Расчет_аналитики'!BF782+SUM('19_Расчет_аналитики'!BG722:BG724)-'19_Расчет_аналитики'!BG755</f>
        <v/>
      </c>
      <c r="BH782">
        <f>'19_Расчет_аналитики'!BG782+SUM('19_Расчет_аналитики'!BH722:BH724)-'19_Расчет_аналитики'!BH755</f>
        <v/>
      </c>
      <c r="BI782">
        <f>'19_Расчет_аналитики'!BH782+SUM('19_Расчет_аналитики'!BI722:BI724)-'19_Расчет_аналитики'!BI755</f>
        <v/>
      </c>
    </row>
    <row r="783"/>
    <row r="784"/>
    <row r="785"/>
    <row r="786"/>
    <row r="787">
      <c r="B787">
        <f>MAX(0,'19_Расчет_аналитики'!B763-'01_Вводные'!$B$237)</f>
        <v/>
      </c>
      <c r="C787">
        <f>MAX(0,'19_Расчет_аналитики'!C763-'01_Вводные'!$B$237)</f>
        <v/>
      </c>
      <c r="D787">
        <f>MAX(0,'19_Расчет_аналитики'!D763-'01_Вводные'!$B$237)</f>
        <v/>
      </c>
      <c r="E787">
        <f>MAX(0,'19_Расчет_аналитики'!E763-'01_Вводные'!$B$237)</f>
        <v/>
      </c>
      <c r="F787">
        <f>MAX(0,'19_Расчет_аналитики'!F763-'01_Вводные'!$B$237)</f>
        <v/>
      </c>
      <c r="G787">
        <f>MAX(0,'19_Расчет_аналитики'!G763-'01_Вводные'!$B$237)</f>
        <v/>
      </c>
      <c r="H787">
        <f>MAX(0,'19_Расчет_аналитики'!H763-'01_Вводные'!$B$237)</f>
        <v/>
      </c>
      <c r="I787">
        <f>MAX(0,'19_Расчет_аналитики'!I763-'01_Вводные'!$B$237)</f>
        <v/>
      </c>
      <c r="J787">
        <f>MAX(0,'19_Расчет_аналитики'!J763-'01_Вводные'!$B$237)</f>
        <v/>
      </c>
      <c r="K787">
        <f>MAX(0,'19_Расчет_аналитики'!K763-'01_Вводные'!$B$237)</f>
        <v/>
      </c>
      <c r="L787">
        <f>MAX(0,'19_Расчет_аналитики'!L763-'01_Вводные'!$B$237)</f>
        <v/>
      </c>
      <c r="M787">
        <f>MAX(0,'19_Расчет_аналитики'!M763-'01_Вводные'!$B$237)</f>
        <v/>
      </c>
      <c r="N787">
        <f>MAX(0,'19_Расчет_аналитики'!N763-'01_Вводные'!$B$237)</f>
        <v/>
      </c>
      <c r="O787">
        <f>MAX(0,'19_Расчет_аналитики'!O763-'01_Вводные'!$B$237)</f>
        <v/>
      </c>
      <c r="P787">
        <f>MAX(0,'19_Расчет_аналитики'!P763-'01_Вводные'!$B$237)</f>
        <v/>
      </c>
      <c r="Q787">
        <f>MAX(0,'19_Расчет_аналитики'!Q763-'01_Вводные'!$B$237)</f>
        <v/>
      </c>
      <c r="R787">
        <f>MAX(0,'19_Расчет_аналитики'!R763-'01_Вводные'!$B$237)</f>
        <v/>
      </c>
      <c r="S787">
        <f>MAX(0,'19_Расчет_аналитики'!S763-'01_Вводные'!$B$237)</f>
        <v/>
      </c>
      <c r="T787">
        <f>MAX(0,'19_Расчет_аналитики'!T763-'01_Вводные'!$B$237)</f>
        <v/>
      </c>
      <c r="U787">
        <f>MAX(0,'19_Расчет_аналитики'!U763-'01_Вводные'!$B$237)</f>
        <v/>
      </c>
      <c r="V787">
        <f>MAX(0,'19_Расчет_аналитики'!V763-'01_Вводные'!$B$237)</f>
        <v/>
      </c>
      <c r="W787">
        <f>MAX(0,'19_Расчет_аналитики'!W763-'01_Вводные'!$B$237)</f>
        <v/>
      </c>
      <c r="X787">
        <f>MAX(0,'19_Расчет_аналитики'!X763-'01_Вводные'!$B$237)</f>
        <v/>
      </c>
      <c r="Y787">
        <f>MAX(0,'19_Расчет_аналитики'!Y763-'01_Вводные'!$B$237)</f>
        <v/>
      </c>
      <c r="Z787">
        <f>MAX(0,'19_Расчет_аналитики'!Z763-'01_Вводные'!$B$237)</f>
        <v/>
      </c>
      <c r="AA787">
        <f>MAX(0,'19_Расчет_аналитики'!AA763-'01_Вводные'!$B$237)</f>
        <v/>
      </c>
      <c r="AB787">
        <f>MAX(0,'19_Расчет_аналитики'!AB763-'01_Вводные'!$B$237)</f>
        <v/>
      </c>
      <c r="AC787">
        <f>MAX(0,'19_Расчет_аналитики'!AC763-'01_Вводные'!$B$237)</f>
        <v/>
      </c>
      <c r="AD787">
        <f>MAX(0,'19_Расчет_аналитики'!AD763-'01_Вводные'!$B$237)</f>
        <v/>
      </c>
      <c r="AE787">
        <f>MAX(0,'19_Расчет_аналитики'!AE763-'01_Вводные'!$B$237)</f>
        <v/>
      </c>
      <c r="AF787">
        <f>MAX(0,'19_Расчет_аналитики'!AF763-'01_Вводные'!$B$237)</f>
        <v/>
      </c>
      <c r="AG787">
        <f>MAX(0,'19_Расчет_аналитики'!AG763-'01_Вводные'!$B$237)</f>
        <v/>
      </c>
      <c r="AH787">
        <f>MAX(0,'19_Расчет_аналитики'!AH763-'01_Вводные'!$B$237)</f>
        <v/>
      </c>
      <c r="AI787">
        <f>MAX(0,'19_Расчет_аналитики'!AI763-'01_Вводные'!$B$237)</f>
        <v/>
      </c>
      <c r="AJ787">
        <f>MAX(0,'19_Расчет_аналитики'!AJ763-'01_Вводные'!$B$237)</f>
        <v/>
      </c>
      <c r="AK787">
        <f>MAX(0,'19_Расчет_аналитики'!AK763-'01_Вводные'!$B$237)</f>
        <v/>
      </c>
      <c r="AL787">
        <f>MAX(0,'19_Расчет_аналитики'!AL763-'01_Вводные'!$B$237)</f>
        <v/>
      </c>
      <c r="AM787">
        <f>MAX(0,'19_Расчет_аналитики'!AM763-'01_Вводные'!$B$237)</f>
        <v/>
      </c>
      <c r="AN787">
        <f>MAX(0,'19_Расчет_аналитики'!AN763-'01_Вводные'!$B$237)</f>
        <v/>
      </c>
      <c r="AO787">
        <f>MAX(0,'19_Расчет_аналитики'!AO763-'01_Вводные'!$B$237)</f>
        <v/>
      </c>
      <c r="AP787">
        <f>MAX(0,'19_Расчет_аналитики'!AP763-'01_Вводные'!$B$237)</f>
        <v/>
      </c>
      <c r="AQ787">
        <f>MAX(0,'19_Расчет_аналитики'!AQ763-'01_Вводные'!$B$237)</f>
        <v/>
      </c>
      <c r="AR787">
        <f>MAX(0,'19_Расчет_аналитики'!AR763-'01_Вводные'!$B$237)</f>
        <v/>
      </c>
      <c r="AS787">
        <f>MAX(0,'19_Расчет_аналитики'!AS763-'01_Вводные'!$B$237)</f>
        <v/>
      </c>
      <c r="AT787">
        <f>MAX(0,'19_Расчет_аналитики'!AT763-'01_Вводные'!$B$237)</f>
        <v/>
      </c>
      <c r="AU787">
        <f>MAX(0,'19_Расчет_аналитики'!AU763-'01_Вводные'!$B$237)</f>
        <v/>
      </c>
      <c r="AV787">
        <f>MAX(0,'19_Расчет_аналитики'!AV763-'01_Вводные'!$B$237)</f>
        <v/>
      </c>
      <c r="AW787">
        <f>MAX(0,'19_Расчет_аналитики'!AW763-'01_Вводные'!$B$237)</f>
        <v/>
      </c>
      <c r="AX787">
        <f>MAX(0,'19_Расчет_аналитики'!AX763-'01_Вводные'!$B$237)</f>
        <v/>
      </c>
      <c r="AY787">
        <f>MAX(0,'19_Расчет_аналитики'!AY763-'01_Вводные'!$B$237)</f>
        <v/>
      </c>
      <c r="AZ787">
        <f>MAX(0,'19_Расчет_аналитики'!AZ763-'01_Вводные'!$B$237)</f>
        <v/>
      </c>
      <c r="BA787">
        <f>MAX(0,'19_Расчет_аналитики'!BA763-'01_Вводные'!$B$237)</f>
        <v/>
      </c>
      <c r="BB787">
        <f>MAX(0,'19_Расчет_аналитики'!BB763-'01_Вводные'!$B$237)</f>
        <v/>
      </c>
      <c r="BC787">
        <f>MAX(0,'19_Расчет_аналитики'!BC763-'01_Вводные'!$B$237)</f>
        <v/>
      </c>
      <c r="BD787">
        <f>MAX(0,'19_Расчет_аналитики'!BD763-'01_Вводные'!$B$237)</f>
        <v/>
      </c>
      <c r="BE787">
        <f>MAX(0,'19_Расчет_аналитики'!BE763-'01_Вводные'!$B$237)</f>
        <v/>
      </c>
      <c r="BF787">
        <f>MAX(0,'19_Расчет_аналитики'!BF763-'01_Вводные'!$B$237)</f>
        <v/>
      </c>
      <c r="BG787">
        <f>MAX(0,'19_Расчет_аналитики'!BG763-'01_Вводные'!$B$237)</f>
        <v/>
      </c>
      <c r="BH787">
        <f>MAX(0,'19_Расчет_аналитики'!BH763-'01_Вводные'!$B$237)</f>
        <v/>
      </c>
      <c r="BI787">
        <f>MAX(0,'19_Расчет_аналитики'!BI763-'01_Вводные'!$B$237)</f>
        <v/>
      </c>
    </row>
    <row r="788"/>
    <row r="789"/>
    <row r="790">
      <c r="B790">
        <f>IF('01_Вводные'!$B$288="С НДС",SUM('19_Расчет_аналитики'!B712:B715)*(1+'01_Вводные'!$B$58)+'09_Лагеря'!B10,'19_Расчет_аналитики'!B717)</f>
        <v/>
      </c>
      <c r="C790">
        <f>IF('01_Вводные'!$B$288="С НДС",SUM('19_Расчет_аналитики'!C712:C715)*(1+'01_Вводные'!$B$58)+'09_Лагеря'!C10,'19_Расчет_аналитики'!C717)</f>
        <v/>
      </c>
      <c r="D790">
        <f>IF('01_Вводные'!$B$288="С НДС",SUM('19_Расчет_аналитики'!D712:D715)*(1+'01_Вводные'!$B$58)+'09_Лагеря'!D10,'19_Расчет_аналитики'!D717)</f>
        <v/>
      </c>
      <c r="E790">
        <f>IF('01_Вводные'!$B$288="С НДС",SUM('19_Расчет_аналитики'!E712:E715)*(1+'01_Вводные'!$B$58)+'09_Лагеря'!E10,'19_Расчет_аналитики'!E717)</f>
        <v/>
      </c>
      <c r="F790">
        <f>IF('01_Вводные'!$B$288="С НДС",SUM('19_Расчет_аналитики'!F712:F715)*(1+'01_Вводные'!$B$58)+'09_Лагеря'!F10,'19_Расчет_аналитики'!F717)</f>
        <v/>
      </c>
      <c r="G790">
        <f>IF('01_Вводные'!$B$288="С НДС",SUM('19_Расчет_аналитики'!G712:G715)*(1+'01_Вводные'!$B$58)+'09_Лагеря'!G10,'19_Расчет_аналитики'!G717)</f>
        <v/>
      </c>
      <c r="H790">
        <f>IF('01_Вводные'!$B$288="С НДС",SUM('19_Расчет_аналитики'!H712:H715)*(1+'01_Вводные'!$B$58)+'09_Лагеря'!H10,'19_Расчет_аналитики'!H717)</f>
        <v/>
      </c>
      <c r="I790">
        <f>IF('01_Вводные'!$B$288="С НДС",SUM('19_Расчет_аналитики'!I712:I715)*(1+'01_Вводные'!$B$58)+'09_Лагеря'!I10,'19_Расчет_аналитики'!I717)</f>
        <v/>
      </c>
      <c r="J790">
        <f>IF('01_Вводные'!$B$288="С НДС",SUM('19_Расчет_аналитики'!J712:J715)*(1+'01_Вводные'!$B$58)+'09_Лагеря'!J10,'19_Расчет_аналитики'!J717)</f>
        <v/>
      </c>
      <c r="K790">
        <f>IF('01_Вводные'!$B$288="С НДС",SUM('19_Расчет_аналитики'!K712:K715)*(1+'01_Вводные'!$B$58)+'09_Лагеря'!K10,'19_Расчет_аналитики'!K717)</f>
        <v/>
      </c>
      <c r="L790">
        <f>IF('01_Вводные'!$B$288="С НДС",SUM('19_Расчет_аналитики'!L712:L715)*(1+'01_Вводные'!$B$58)+'09_Лагеря'!L10,'19_Расчет_аналитики'!L717)</f>
        <v/>
      </c>
      <c r="M790">
        <f>IF('01_Вводные'!$B$288="С НДС",SUM('19_Расчет_аналитики'!M712:M715)*(1+'01_Вводные'!$B$58)+'09_Лагеря'!M10,'19_Расчет_аналитики'!M717)</f>
        <v/>
      </c>
      <c r="N790">
        <f>IF('01_Вводные'!$B$288="С НДС",SUM('19_Расчет_аналитики'!N712:N715)*(1+'01_Вводные'!$B$58)+'09_Лагеря'!N10,'19_Расчет_аналитики'!N717)</f>
        <v/>
      </c>
      <c r="O790">
        <f>IF('01_Вводные'!$B$288="С НДС",SUM('19_Расчет_аналитики'!O712:O715)*(1+'01_Вводные'!$B$58)+'09_Лагеря'!O10,'19_Расчет_аналитики'!O717)</f>
        <v/>
      </c>
      <c r="P790">
        <f>IF('01_Вводные'!$B$288="С НДС",SUM('19_Расчет_аналитики'!P712:P715)*(1+'01_Вводные'!$B$58)+'09_Лагеря'!P10,'19_Расчет_аналитики'!P717)</f>
        <v/>
      </c>
      <c r="Q790">
        <f>IF('01_Вводные'!$B$288="С НДС",SUM('19_Расчет_аналитики'!Q712:Q715)*(1+'01_Вводные'!$B$58)+'09_Лагеря'!Q10,'19_Расчет_аналитики'!Q717)</f>
        <v/>
      </c>
      <c r="R790">
        <f>IF('01_Вводные'!$B$288="С НДС",SUM('19_Расчет_аналитики'!R712:R715)*(1+'01_Вводные'!$B$58)+'09_Лагеря'!R10,'19_Расчет_аналитики'!R717)</f>
        <v/>
      </c>
      <c r="S790">
        <f>IF('01_Вводные'!$B$288="С НДС",SUM('19_Расчет_аналитики'!S712:S715)*(1+'01_Вводные'!$B$58)+'09_Лагеря'!S10,'19_Расчет_аналитики'!S717)</f>
        <v/>
      </c>
      <c r="T790">
        <f>IF('01_Вводные'!$B$288="С НДС",SUM('19_Расчет_аналитики'!T712:T715)*(1+'01_Вводные'!$B$58)+'09_Лагеря'!T10,'19_Расчет_аналитики'!T717)</f>
        <v/>
      </c>
      <c r="U790">
        <f>IF('01_Вводные'!$B$288="С НДС",SUM('19_Расчет_аналитики'!U712:U715)*(1+'01_Вводные'!$B$58)+'09_Лагеря'!U10,'19_Расчет_аналитики'!U717)</f>
        <v/>
      </c>
      <c r="V790">
        <f>IF('01_Вводные'!$B$288="С НДС",SUM('19_Расчет_аналитики'!V712:V715)*(1+'01_Вводные'!$B$58)+'09_Лагеря'!V10,'19_Расчет_аналитики'!V717)</f>
        <v/>
      </c>
      <c r="W790">
        <f>IF('01_Вводные'!$B$288="С НДС",SUM('19_Расчет_аналитики'!W712:W715)*(1+'01_Вводные'!$B$58)+'09_Лагеря'!W10,'19_Расчет_аналитики'!W717)</f>
        <v/>
      </c>
      <c r="X790">
        <f>IF('01_Вводные'!$B$288="С НДС",SUM('19_Расчет_аналитики'!X712:X715)*(1+'01_Вводные'!$B$58)+'09_Лагеря'!X10,'19_Расчет_аналитики'!X717)</f>
        <v/>
      </c>
      <c r="Y790">
        <f>IF('01_Вводные'!$B$288="С НДС",SUM('19_Расчет_аналитики'!Y712:Y715)*(1+'01_Вводные'!$B$58)+'09_Лагеря'!Y10,'19_Расчет_аналитики'!Y717)</f>
        <v/>
      </c>
      <c r="Z790">
        <f>IF('01_Вводные'!$B$288="С НДС",SUM('19_Расчет_аналитики'!Z712:Z715)*(1+'01_Вводные'!$B$58)+'09_Лагеря'!Z10,'19_Расчет_аналитики'!Z717)</f>
        <v/>
      </c>
      <c r="AA790">
        <f>IF('01_Вводные'!$B$288="С НДС",SUM('19_Расчет_аналитики'!AA712:AA715)*(1+'01_Вводные'!$B$58)+'09_Лагеря'!AA10,'19_Расчет_аналитики'!AA717)</f>
        <v/>
      </c>
      <c r="AB790">
        <f>IF('01_Вводные'!$B$288="С НДС",SUM('19_Расчет_аналитики'!AB712:AB715)*(1+'01_Вводные'!$B$58)+'09_Лагеря'!AB10,'19_Расчет_аналитики'!AB717)</f>
        <v/>
      </c>
      <c r="AC790">
        <f>IF('01_Вводные'!$B$288="С НДС",SUM('19_Расчет_аналитики'!AC712:AC715)*(1+'01_Вводные'!$B$58)+'09_Лагеря'!AC10,'19_Расчет_аналитики'!AC717)</f>
        <v/>
      </c>
      <c r="AD790">
        <f>IF('01_Вводные'!$B$288="С НДС",SUM('19_Расчет_аналитики'!AD712:AD715)*(1+'01_Вводные'!$B$58)+'09_Лагеря'!AD10,'19_Расчет_аналитики'!AD717)</f>
        <v/>
      </c>
      <c r="AE790">
        <f>IF('01_Вводные'!$B$288="С НДС",SUM('19_Расчет_аналитики'!AE712:AE715)*(1+'01_Вводные'!$B$58)+'09_Лагеря'!AE10,'19_Расчет_аналитики'!AE717)</f>
        <v/>
      </c>
      <c r="AF790">
        <f>IF('01_Вводные'!$B$288="С НДС",SUM('19_Расчет_аналитики'!AF712:AF715)*(1+'01_Вводные'!$B$58)+'09_Лагеря'!AF10,'19_Расчет_аналитики'!AF717)</f>
        <v/>
      </c>
      <c r="AG790">
        <f>IF('01_Вводные'!$B$288="С НДС",SUM('19_Расчет_аналитики'!AG712:AG715)*(1+'01_Вводные'!$B$58)+'09_Лагеря'!AG10,'19_Расчет_аналитики'!AG717)</f>
        <v/>
      </c>
      <c r="AH790">
        <f>IF('01_Вводные'!$B$288="С НДС",SUM('19_Расчет_аналитики'!AH712:AH715)*(1+'01_Вводные'!$B$58)+'09_Лагеря'!AH10,'19_Расчет_аналитики'!AH717)</f>
        <v/>
      </c>
      <c r="AI790">
        <f>IF('01_Вводные'!$B$288="С НДС",SUM('19_Расчет_аналитики'!AI712:AI715)*(1+'01_Вводные'!$B$58)+'09_Лагеря'!AI10,'19_Расчет_аналитики'!AI717)</f>
        <v/>
      </c>
      <c r="AJ790">
        <f>IF('01_Вводные'!$B$288="С НДС",SUM('19_Расчет_аналитики'!AJ712:AJ715)*(1+'01_Вводные'!$B$58)+'09_Лагеря'!AJ10,'19_Расчет_аналитики'!AJ717)</f>
        <v/>
      </c>
      <c r="AK790">
        <f>IF('01_Вводные'!$B$288="С НДС",SUM('19_Расчет_аналитики'!AK712:AK715)*(1+'01_Вводные'!$B$58)+'09_Лагеря'!AK10,'19_Расчет_аналитики'!AK717)</f>
        <v/>
      </c>
      <c r="AL790">
        <f>IF('01_Вводные'!$B$288="С НДС",SUM('19_Расчет_аналитики'!AL712:AL715)*(1+'01_Вводные'!$B$58)+'09_Лагеря'!AL10,'19_Расчет_аналитики'!AL717)</f>
        <v/>
      </c>
      <c r="AM790">
        <f>IF('01_Вводные'!$B$288="С НДС",SUM('19_Расчет_аналитики'!AM712:AM715)*(1+'01_Вводные'!$B$58)+'09_Лагеря'!AM10,'19_Расчет_аналитики'!AM717)</f>
        <v/>
      </c>
      <c r="AN790">
        <f>IF('01_Вводные'!$B$288="С НДС",SUM('19_Расчет_аналитики'!AN712:AN715)*(1+'01_Вводные'!$B$58)+'09_Лагеря'!AN10,'19_Расчет_аналитики'!AN717)</f>
        <v/>
      </c>
      <c r="AO790">
        <f>IF('01_Вводные'!$B$288="С НДС",SUM('19_Расчет_аналитики'!AO712:AO715)*(1+'01_Вводные'!$B$58)+'09_Лагеря'!AO10,'19_Расчет_аналитики'!AO717)</f>
        <v/>
      </c>
      <c r="AP790">
        <f>IF('01_Вводные'!$B$288="С НДС",SUM('19_Расчет_аналитики'!AP712:AP715)*(1+'01_Вводные'!$B$58)+'09_Лагеря'!AP10,'19_Расчет_аналитики'!AP717)</f>
        <v/>
      </c>
      <c r="AQ790">
        <f>IF('01_Вводные'!$B$288="С НДС",SUM('19_Расчет_аналитики'!AQ712:AQ715)*(1+'01_Вводные'!$B$58)+'09_Лагеря'!AQ10,'19_Расчет_аналитики'!AQ717)</f>
        <v/>
      </c>
      <c r="AR790">
        <f>IF('01_Вводные'!$B$288="С НДС",SUM('19_Расчет_аналитики'!AR712:AR715)*(1+'01_Вводные'!$B$58)+'09_Лагеря'!AR10,'19_Расчет_аналитики'!AR717)</f>
        <v/>
      </c>
      <c r="AS790">
        <f>IF('01_Вводные'!$B$288="С НДС",SUM('19_Расчет_аналитики'!AS712:AS715)*(1+'01_Вводные'!$B$58)+'09_Лагеря'!AS10,'19_Расчет_аналитики'!AS717)</f>
        <v/>
      </c>
      <c r="AT790">
        <f>IF('01_Вводные'!$B$288="С НДС",SUM('19_Расчет_аналитики'!AT712:AT715)*(1+'01_Вводные'!$B$58)+'09_Лагеря'!AT10,'19_Расчет_аналитики'!AT717)</f>
        <v/>
      </c>
      <c r="AU790">
        <f>IF('01_Вводные'!$B$288="С НДС",SUM('19_Расчет_аналитики'!AU712:AU715)*(1+'01_Вводные'!$B$58)+'09_Лагеря'!AU10,'19_Расчет_аналитики'!AU717)</f>
        <v/>
      </c>
      <c r="AV790">
        <f>IF('01_Вводные'!$B$288="С НДС",SUM('19_Расчет_аналитики'!AV712:AV715)*(1+'01_Вводные'!$B$58)+'09_Лагеря'!AV10,'19_Расчет_аналитики'!AV717)</f>
        <v/>
      </c>
      <c r="AW790">
        <f>IF('01_Вводные'!$B$288="С НДС",SUM('19_Расчет_аналитики'!AW712:AW715)*(1+'01_Вводные'!$B$58)+'09_Лагеря'!AW10,'19_Расчет_аналитики'!AW717)</f>
        <v/>
      </c>
      <c r="AX790">
        <f>IF('01_Вводные'!$B$288="С НДС",SUM('19_Расчет_аналитики'!AX712:AX715)*(1+'01_Вводные'!$B$58)+'09_Лагеря'!AX10,'19_Расчет_аналитики'!AX717)</f>
        <v/>
      </c>
      <c r="AY790">
        <f>IF('01_Вводные'!$B$288="С НДС",SUM('19_Расчет_аналитики'!AY712:AY715)*(1+'01_Вводные'!$B$58)+'09_Лагеря'!AY10,'19_Расчет_аналитики'!AY717)</f>
        <v/>
      </c>
      <c r="AZ790">
        <f>IF('01_Вводные'!$B$288="С НДС",SUM('19_Расчет_аналитики'!AZ712:AZ715)*(1+'01_Вводные'!$B$58)+'09_Лагеря'!AZ10,'19_Расчет_аналитики'!AZ717)</f>
        <v/>
      </c>
      <c r="BA790">
        <f>IF('01_Вводные'!$B$288="С НДС",SUM('19_Расчет_аналитики'!BA712:BA715)*(1+'01_Вводные'!$B$58)+'09_Лагеря'!BA10,'19_Расчет_аналитики'!BA717)</f>
        <v/>
      </c>
      <c r="BB790">
        <f>IF('01_Вводные'!$B$288="С НДС",SUM('19_Расчет_аналитики'!BB712:BB715)*(1+'01_Вводные'!$B$58)+'09_Лагеря'!BB10,'19_Расчет_аналитики'!BB717)</f>
        <v/>
      </c>
      <c r="BC790">
        <f>IF('01_Вводные'!$B$288="С НДС",SUM('19_Расчет_аналитики'!BC712:BC715)*(1+'01_Вводные'!$B$58)+'09_Лагеря'!BC10,'19_Расчет_аналитики'!BC717)</f>
        <v/>
      </c>
      <c r="BD790">
        <f>IF('01_Вводные'!$B$288="С НДС",SUM('19_Расчет_аналитики'!BD712:BD715)*(1+'01_Вводные'!$B$58)+'09_Лагеря'!BD10,'19_Расчет_аналитики'!BD717)</f>
        <v/>
      </c>
      <c r="BE790">
        <f>IF('01_Вводные'!$B$288="С НДС",SUM('19_Расчет_аналитики'!BE712:BE715)*(1+'01_Вводные'!$B$58)+'09_Лагеря'!BE10,'19_Расчет_аналитики'!BE717)</f>
        <v/>
      </c>
      <c r="BF790">
        <f>IF('01_Вводные'!$B$288="С НДС",SUM('19_Расчет_аналитики'!BF712:BF715)*(1+'01_Вводные'!$B$58)+'09_Лагеря'!BF10,'19_Расчет_аналитики'!BF717)</f>
        <v/>
      </c>
      <c r="BG790">
        <f>IF('01_Вводные'!$B$288="С НДС",SUM('19_Расчет_аналитики'!BG712:BG715)*(1+'01_Вводные'!$B$58)+'09_Лагеря'!BG10,'19_Расчет_аналитики'!BG717)</f>
        <v/>
      </c>
      <c r="BH790">
        <f>IF('01_Вводные'!$B$288="С НДС",SUM('19_Расчет_аналитики'!BH712:BH715)*(1+'01_Вводные'!$B$58)+'09_Лагеря'!BH10,'19_Расчет_аналитики'!BH717)</f>
        <v/>
      </c>
      <c r="BI790">
        <f>IF('01_Вводные'!$B$288="С НДС",SUM('19_Расчет_аналитики'!BI712:BI715)*(1+'01_Вводные'!$B$58)+'09_Лагеря'!BI10,'19_Расчет_аналитики'!BI717)</f>
        <v/>
      </c>
    </row>
    <row r="791">
      <c r="B791">
        <f>IF('01_Вводные'!$B$290="Да",'19_Расчет_аналитики'!B790*'01_Вводные'!$B$286,0)</f>
        <v/>
      </c>
      <c r="C791">
        <f>IF('01_Вводные'!$B$290="Да",'19_Расчет_аналитики'!C790*'01_Вводные'!$B$286,0)</f>
        <v/>
      </c>
      <c r="D791">
        <f>IF('01_Вводные'!$B$290="Да",'19_Расчет_аналитики'!D790*'01_Вводные'!$B$286,0)</f>
        <v/>
      </c>
      <c r="E791">
        <f>IF('01_Вводные'!$B$290="Да",'19_Расчет_аналитики'!E790*'01_Вводные'!$B$286,0)</f>
        <v/>
      </c>
      <c r="F791">
        <f>IF('01_Вводные'!$B$290="Да",'19_Расчет_аналитики'!F790*'01_Вводные'!$B$286,0)</f>
        <v/>
      </c>
      <c r="G791">
        <f>IF('01_Вводные'!$B$290="Да",'19_Расчет_аналитики'!G790*'01_Вводные'!$B$286,0)</f>
        <v/>
      </c>
      <c r="H791">
        <f>IF('01_Вводные'!$B$290="Да",'19_Расчет_аналитики'!H790*'01_Вводные'!$B$286,0)</f>
        <v/>
      </c>
      <c r="I791">
        <f>IF('01_Вводные'!$B$290="Да",'19_Расчет_аналитики'!I790*'01_Вводные'!$B$286,0)</f>
        <v/>
      </c>
      <c r="J791">
        <f>IF('01_Вводные'!$B$290="Да",'19_Расчет_аналитики'!J790*'01_Вводные'!$B$286,0)</f>
        <v/>
      </c>
      <c r="K791">
        <f>IF('01_Вводные'!$B$290="Да",'19_Расчет_аналитики'!K790*'01_Вводные'!$B$286,0)</f>
        <v/>
      </c>
      <c r="L791">
        <f>IF('01_Вводные'!$B$290="Да",'19_Расчет_аналитики'!L790*'01_Вводные'!$B$286,0)</f>
        <v/>
      </c>
      <c r="M791">
        <f>IF('01_Вводные'!$B$290="Да",'19_Расчет_аналитики'!M790*'01_Вводные'!$B$286,0)</f>
        <v/>
      </c>
      <c r="N791">
        <f>IF('01_Вводные'!$B$290="Да",'19_Расчет_аналитики'!N790*'01_Вводные'!$B$286,0)</f>
        <v/>
      </c>
      <c r="O791">
        <f>IF('01_Вводные'!$B$290="Да",'19_Расчет_аналитики'!O790*'01_Вводные'!$B$286,0)</f>
        <v/>
      </c>
      <c r="P791">
        <f>IF('01_Вводные'!$B$290="Да",'19_Расчет_аналитики'!P790*'01_Вводные'!$B$286,0)</f>
        <v/>
      </c>
      <c r="Q791">
        <f>IF('01_Вводные'!$B$290="Да",'19_Расчет_аналитики'!Q790*'01_Вводные'!$B$286,0)</f>
        <v/>
      </c>
      <c r="R791">
        <f>IF('01_Вводные'!$B$290="Да",'19_Расчет_аналитики'!R790*'01_Вводные'!$B$286,0)</f>
        <v/>
      </c>
      <c r="S791">
        <f>IF('01_Вводные'!$B$290="Да",'19_Расчет_аналитики'!S790*'01_Вводные'!$B$286,0)</f>
        <v/>
      </c>
      <c r="T791">
        <f>IF('01_Вводные'!$B$290="Да",'19_Расчет_аналитики'!T790*'01_Вводные'!$B$286,0)</f>
        <v/>
      </c>
      <c r="U791">
        <f>IF('01_Вводные'!$B$290="Да",'19_Расчет_аналитики'!U790*'01_Вводные'!$B$286,0)</f>
        <v/>
      </c>
      <c r="V791">
        <f>IF('01_Вводные'!$B$290="Да",'19_Расчет_аналитики'!V790*'01_Вводные'!$B$286,0)</f>
        <v/>
      </c>
      <c r="W791">
        <f>IF('01_Вводные'!$B$290="Да",'19_Расчет_аналитики'!W790*'01_Вводные'!$B$286,0)</f>
        <v/>
      </c>
      <c r="X791">
        <f>IF('01_Вводные'!$B$290="Да",'19_Расчет_аналитики'!X790*'01_Вводные'!$B$286,0)</f>
        <v/>
      </c>
      <c r="Y791">
        <f>IF('01_Вводные'!$B$290="Да",'19_Расчет_аналитики'!Y790*'01_Вводные'!$B$286,0)</f>
        <v/>
      </c>
      <c r="Z791">
        <f>IF('01_Вводные'!$B$290="Да",'19_Расчет_аналитики'!Z790*'01_Вводные'!$B$286,0)</f>
        <v/>
      </c>
      <c r="AA791">
        <f>IF('01_Вводные'!$B$290="Да",'19_Расчет_аналитики'!AA790*'01_Вводные'!$B$286,0)</f>
        <v/>
      </c>
      <c r="AB791">
        <f>IF('01_Вводные'!$B$290="Да",'19_Расчет_аналитики'!AB790*'01_Вводные'!$B$286,0)</f>
        <v/>
      </c>
      <c r="AC791">
        <f>IF('01_Вводные'!$B$290="Да",'19_Расчет_аналитики'!AC790*'01_Вводные'!$B$286,0)</f>
        <v/>
      </c>
      <c r="AD791">
        <f>IF('01_Вводные'!$B$290="Да",'19_Расчет_аналитики'!AD790*'01_Вводные'!$B$286,0)</f>
        <v/>
      </c>
      <c r="AE791">
        <f>IF('01_Вводные'!$B$290="Да",'19_Расчет_аналитики'!AE790*'01_Вводные'!$B$286,0)</f>
        <v/>
      </c>
      <c r="AF791">
        <f>IF('01_Вводные'!$B$290="Да",'19_Расчет_аналитики'!AF790*'01_Вводные'!$B$286,0)</f>
        <v/>
      </c>
      <c r="AG791">
        <f>IF('01_Вводные'!$B$290="Да",'19_Расчет_аналитики'!AG790*'01_Вводные'!$B$286,0)</f>
        <v/>
      </c>
      <c r="AH791">
        <f>IF('01_Вводные'!$B$290="Да",'19_Расчет_аналитики'!AH790*'01_Вводные'!$B$286,0)</f>
        <v/>
      </c>
      <c r="AI791">
        <f>IF('01_Вводные'!$B$290="Да",'19_Расчет_аналитики'!AI790*'01_Вводные'!$B$286,0)</f>
        <v/>
      </c>
      <c r="AJ791">
        <f>IF('01_Вводные'!$B$290="Да",'19_Расчет_аналитики'!AJ790*'01_Вводные'!$B$286,0)</f>
        <v/>
      </c>
      <c r="AK791">
        <f>IF('01_Вводные'!$B$290="Да",'19_Расчет_аналитики'!AK790*'01_Вводные'!$B$286,0)</f>
        <v/>
      </c>
      <c r="AL791">
        <f>IF('01_Вводные'!$B$290="Да",'19_Расчет_аналитики'!AL790*'01_Вводные'!$B$286,0)</f>
        <v/>
      </c>
      <c r="AM791">
        <f>IF('01_Вводные'!$B$290="Да",'19_Расчет_аналитики'!AM790*'01_Вводные'!$B$286,0)</f>
        <v/>
      </c>
      <c r="AN791">
        <f>IF('01_Вводные'!$B$290="Да",'19_Расчет_аналитики'!AN790*'01_Вводные'!$B$286,0)</f>
        <v/>
      </c>
      <c r="AO791">
        <f>IF('01_Вводные'!$B$290="Да",'19_Расчет_аналитики'!AO790*'01_Вводные'!$B$286,0)</f>
        <v/>
      </c>
      <c r="AP791">
        <f>IF('01_Вводные'!$B$290="Да",'19_Расчет_аналитики'!AP790*'01_Вводные'!$B$286,0)</f>
        <v/>
      </c>
      <c r="AQ791">
        <f>IF('01_Вводные'!$B$290="Да",'19_Расчет_аналитики'!AQ790*'01_Вводные'!$B$286,0)</f>
        <v/>
      </c>
      <c r="AR791">
        <f>IF('01_Вводные'!$B$290="Да",'19_Расчет_аналитики'!AR790*'01_Вводные'!$B$286,0)</f>
        <v/>
      </c>
      <c r="AS791">
        <f>IF('01_Вводные'!$B$290="Да",'19_Расчет_аналитики'!AS790*'01_Вводные'!$B$286,0)</f>
        <v/>
      </c>
      <c r="AT791">
        <f>IF('01_Вводные'!$B$290="Да",'19_Расчет_аналитики'!AT790*'01_Вводные'!$B$286,0)</f>
        <v/>
      </c>
      <c r="AU791">
        <f>IF('01_Вводные'!$B$290="Да",'19_Расчет_аналитики'!AU790*'01_Вводные'!$B$286,0)</f>
        <v/>
      </c>
      <c r="AV791">
        <f>IF('01_Вводные'!$B$290="Да",'19_Расчет_аналитики'!AV790*'01_Вводные'!$B$286,0)</f>
        <v/>
      </c>
      <c r="AW791">
        <f>IF('01_Вводные'!$B$290="Да",'19_Расчет_аналитики'!AW790*'01_Вводные'!$B$286,0)</f>
        <v/>
      </c>
      <c r="AX791">
        <f>IF('01_Вводные'!$B$290="Да",'19_Расчет_аналитики'!AX790*'01_Вводные'!$B$286,0)</f>
        <v/>
      </c>
      <c r="AY791">
        <f>IF('01_Вводные'!$B$290="Да",'19_Расчет_аналитики'!AY790*'01_Вводные'!$B$286,0)</f>
        <v/>
      </c>
      <c r="AZ791">
        <f>IF('01_Вводные'!$B$290="Да",'19_Расчет_аналитики'!AZ790*'01_Вводные'!$B$286,0)</f>
        <v/>
      </c>
      <c r="BA791">
        <f>IF('01_Вводные'!$B$290="Да",'19_Расчет_аналитики'!BA790*'01_Вводные'!$B$286,0)</f>
        <v/>
      </c>
      <c r="BB791">
        <f>IF('01_Вводные'!$B$290="Да",'19_Расчет_аналитики'!BB790*'01_Вводные'!$B$286,0)</f>
        <v/>
      </c>
      <c r="BC791">
        <f>IF('01_Вводные'!$B$290="Да",'19_Расчет_аналитики'!BC790*'01_Вводные'!$B$286,0)</f>
        <v/>
      </c>
      <c r="BD791">
        <f>IF('01_Вводные'!$B$290="Да",'19_Расчет_аналитики'!BD790*'01_Вводные'!$B$286,0)</f>
        <v/>
      </c>
      <c r="BE791">
        <f>IF('01_Вводные'!$B$290="Да",'19_Расчет_аналитики'!BE790*'01_Вводные'!$B$286,0)</f>
        <v/>
      </c>
      <c r="BF791">
        <f>IF('01_Вводные'!$B$290="Да",'19_Расчет_аналитики'!BF790*'01_Вводные'!$B$286,0)</f>
        <v/>
      </c>
      <c r="BG791">
        <f>IF('01_Вводные'!$B$290="Да",'19_Расчет_аналитики'!BG790*'01_Вводные'!$B$286,0)</f>
        <v/>
      </c>
      <c r="BH791">
        <f>IF('01_Вводные'!$B$290="Да",'19_Расчет_аналитики'!BH790*'01_Вводные'!$B$286,0)</f>
        <v/>
      </c>
      <c r="BI791">
        <f>IF('01_Вводные'!$B$290="Да",'19_Расчет_аналитики'!BI790*'01_Вводные'!$B$286,0)</f>
        <v/>
      </c>
    </row>
    <row r="792">
      <c r="B792">
        <f>'02_Модель'!B98</f>
        <v/>
      </c>
      <c r="C792">
        <f>'02_Модель'!C98</f>
        <v/>
      </c>
      <c r="D792">
        <f>'02_Модель'!D98</f>
        <v/>
      </c>
      <c r="E792">
        <f>'02_Модель'!E98</f>
        <v/>
      </c>
      <c r="F792">
        <f>'02_Модель'!F98</f>
        <v/>
      </c>
      <c r="G792">
        <f>'02_Модель'!G98</f>
        <v/>
      </c>
      <c r="H792">
        <f>'02_Модель'!H98</f>
        <v/>
      </c>
      <c r="I792">
        <f>'02_Модель'!I98</f>
        <v/>
      </c>
      <c r="J792">
        <f>'02_Модель'!J98</f>
        <v/>
      </c>
      <c r="K792">
        <f>'02_Модель'!K98</f>
        <v/>
      </c>
      <c r="L792">
        <f>'02_Модель'!L98</f>
        <v/>
      </c>
      <c r="M792">
        <f>'02_Модель'!M98</f>
        <v/>
      </c>
      <c r="N792">
        <f>'02_Модель'!N98</f>
        <v/>
      </c>
      <c r="O792">
        <f>'02_Модель'!O98</f>
        <v/>
      </c>
      <c r="P792">
        <f>'02_Модель'!P98</f>
        <v/>
      </c>
      <c r="Q792">
        <f>'02_Модель'!Q98</f>
        <v/>
      </c>
      <c r="R792">
        <f>'02_Модель'!R98</f>
        <v/>
      </c>
      <c r="S792">
        <f>'02_Модель'!S98</f>
        <v/>
      </c>
      <c r="T792">
        <f>'02_Модель'!T98</f>
        <v/>
      </c>
      <c r="U792">
        <f>'02_Модель'!U98</f>
        <v/>
      </c>
      <c r="V792">
        <f>'02_Модель'!V98</f>
        <v/>
      </c>
      <c r="W792">
        <f>'02_Модель'!W98</f>
        <v/>
      </c>
      <c r="X792">
        <f>'02_Модель'!X98</f>
        <v/>
      </c>
      <c r="Y792">
        <f>'02_Модель'!Y98</f>
        <v/>
      </c>
      <c r="Z792">
        <f>'02_Модель'!Z98</f>
        <v/>
      </c>
      <c r="AA792">
        <f>'02_Модель'!AA98</f>
        <v/>
      </c>
      <c r="AB792">
        <f>'02_Модель'!AB98</f>
        <v/>
      </c>
      <c r="AC792">
        <f>'02_Модель'!AC98</f>
        <v/>
      </c>
      <c r="AD792">
        <f>'02_Модель'!AD98</f>
        <v/>
      </c>
      <c r="AE792">
        <f>'02_Модель'!AE98</f>
        <v/>
      </c>
      <c r="AF792">
        <f>'02_Модель'!AF98</f>
        <v/>
      </c>
      <c r="AG792">
        <f>'02_Модель'!AG98</f>
        <v/>
      </c>
      <c r="AH792">
        <f>'02_Модель'!AH98</f>
        <v/>
      </c>
      <c r="AI792">
        <f>'02_Модель'!AI98</f>
        <v/>
      </c>
      <c r="AJ792">
        <f>'02_Модель'!AJ98</f>
        <v/>
      </c>
      <c r="AK792">
        <f>'02_Модель'!AK98</f>
        <v/>
      </c>
      <c r="AL792">
        <f>'02_Модель'!AL98</f>
        <v/>
      </c>
      <c r="AM792">
        <f>'02_Модель'!AM98</f>
        <v/>
      </c>
      <c r="AN792">
        <f>'02_Модель'!AN98</f>
        <v/>
      </c>
      <c r="AO792">
        <f>'02_Модель'!AO98</f>
        <v/>
      </c>
      <c r="AP792">
        <f>'02_Модель'!AP98</f>
        <v/>
      </c>
      <c r="AQ792">
        <f>'02_Модель'!AQ98</f>
        <v/>
      </c>
      <c r="AR792">
        <f>'02_Модель'!AR98</f>
        <v/>
      </c>
      <c r="AS792">
        <f>'02_Модель'!AS98</f>
        <v/>
      </c>
      <c r="AT792">
        <f>'02_Модель'!AT98</f>
        <v/>
      </c>
      <c r="AU792">
        <f>'02_Модель'!AU98</f>
        <v/>
      </c>
      <c r="AV792">
        <f>'02_Модель'!AV98</f>
        <v/>
      </c>
      <c r="AW792">
        <f>'02_Модель'!AW98</f>
        <v/>
      </c>
      <c r="AX792">
        <f>'02_Модель'!AX98</f>
        <v/>
      </c>
      <c r="AY792">
        <f>'02_Модель'!AY98</f>
        <v/>
      </c>
      <c r="AZ792">
        <f>'02_Модель'!AZ98</f>
        <v/>
      </c>
      <c r="BA792">
        <f>'02_Модель'!BA98</f>
        <v/>
      </c>
      <c r="BB792">
        <f>'02_Модель'!BB98</f>
        <v/>
      </c>
      <c r="BC792">
        <f>'02_Модель'!BC98</f>
        <v/>
      </c>
      <c r="BD792">
        <f>'02_Модель'!BD98</f>
        <v/>
      </c>
      <c r="BE792">
        <f>'02_Модель'!BE98</f>
        <v/>
      </c>
      <c r="BF792">
        <f>'02_Модель'!BF98</f>
        <v/>
      </c>
      <c r="BG792">
        <f>'02_Модель'!BG98</f>
        <v/>
      </c>
      <c r="BH792">
        <f>'02_Модель'!BH98</f>
        <v/>
      </c>
      <c r="BI792">
        <f>'02_Модель'!BI98</f>
        <v/>
      </c>
    </row>
    <row r="793">
      <c r="B793">
        <f>SUM('19_Расчет_аналитики'!B791:B792)</f>
        <v/>
      </c>
      <c r="C793">
        <f>SUM('19_Расчет_аналитики'!C791:C792)</f>
        <v/>
      </c>
      <c r="D793">
        <f>SUM('19_Расчет_аналитики'!D791:D792)</f>
        <v/>
      </c>
      <c r="E793">
        <f>SUM('19_Расчет_аналитики'!E791:E792)</f>
        <v/>
      </c>
      <c r="F793">
        <f>SUM('19_Расчет_аналитики'!F791:F792)</f>
        <v/>
      </c>
      <c r="G793">
        <f>SUM('19_Расчет_аналитики'!G791:G792)</f>
        <v/>
      </c>
      <c r="H793">
        <f>SUM('19_Расчет_аналитики'!H791:H792)</f>
        <v/>
      </c>
      <c r="I793">
        <f>SUM('19_Расчет_аналитики'!I791:I792)</f>
        <v/>
      </c>
      <c r="J793">
        <f>SUM('19_Расчет_аналитики'!J791:J792)</f>
        <v/>
      </c>
      <c r="K793">
        <f>SUM('19_Расчет_аналитики'!K791:K792)</f>
        <v/>
      </c>
      <c r="L793">
        <f>SUM('19_Расчет_аналитики'!L791:L792)</f>
        <v/>
      </c>
      <c r="M793">
        <f>SUM('19_Расчет_аналитики'!M791:M792)</f>
        <v/>
      </c>
      <c r="N793">
        <f>SUM('19_Расчет_аналитики'!N791:N792)</f>
        <v/>
      </c>
      <c r="O793">
        <f>SUM('19_Расчет_аналитики'!O791:O792)</f>
        <v/>
      </c>
      <c r="P793">
        <f>SUM('19_Расчет_аналитики'!P791:P792)</f>
        <v/>
      </c>
      <c r="Q793">
        <f>SUM('19_Расчет_аналитики'!Q791:Q792)</f>
        <v/>
      </c>
      <c r="R793">
        <f>SUM('19_Расчет_аналитики'!R791:R792)</f>
        <v/>
      </c>
      <c r="S793">
        <f>SUM('19_Расчет_аналитики'!S791:S792)</f>
        <v/>
      </c>
      <c r="T793">
        <f>SUM('19_Расчет_аналитики'!T791:T792)</f>
        <v/>
      </c>
      <c r="U793">
        <f>SUM('19_Расчет_аналитики'!U791:U792)</f>
        <v/>
      </c>
      <c r="V793">
        <f>SUM('19_Расчет_аналитики'!V791:V792)</f>
        <v/>
      </c>
      <c r="W793">
        <f>SUM('19_Расчет_аналитики'!W791:W792)</f>
        <v/>
      </c>
      <c r="X793">
        <f>SUM('19_Расчет_аналитики'!X791:X792)</f>
        <v/>
      </c>
      <c r="Y793">
        <f>SUM('19_Расчет_аналитики'!Y791:Y792)</f>
        <v/>
      </c>
      <c r="Z793">
        <f>SUM('19_Расчет_аналитики'!Z791:Z792)</f>
        <v/>
      </c>
      <c r="AA793">
        <f>SUM('19_Расчет_аналитики'!AA791:AA792)</f>
        <v/>
      </c>
      <c r="AB793">
        <f>SUM('19_Расчет_аналитики'!AB791:AB792)</f>
        <v/>
      </c>
      <c r="AC793">
        <f>SUM('19_Расчет_аналитики'!AC791:AC792)</f>
        <v/>
      </c>
      <c r="AD793">
        <f>SUM('19_Расчет_аналитики'!AD791:AD792)</f>
        <v/>
      </c>
      <c r="AE793">
        <f>SUM('19_Расчет_аналитики'!AE791:AE792)</f>
        <v/>
      </c>
      <c r="AF793">
        <f>SUM('19_Расчет_аналитики'!AF791:AF792)</f>
        <v/>
      </c>
      <c r="AG793">
        <f>SUM('19_Расчет_аналитики'!AG791:AG792)</f>
        <v/>
      </c>
      <c r="AH793">
        <f>SUM('19_Расчет_аналитики'!AH791:AH792)</f>
        <v/>
      </c>
      <c r="AI793">
        <f>SUM('19_Расчет_аналитики'!AI791:AI792)</f>
        <v/>
      </c>
      <c r="AJ793">
        <f>SUM('19_Расчет_аналитики'!AJ791:AJ792)</f>
        <v/>
      </c>
      <c r="AK793">
        <f>SUM('19_Расчет_аналитики'!AK791:AK792)</f>
        <v/>
      </c>
      <c r="AL793">
        <f>SUM('19_Расчет_аналитики'!AL791:AL792)</f>
        <v/>
      </c>
      <c r="AM793">
        <f>SUM('19_Расчет_аналитики'!AM791:AM792)</f>
        <v/>
      </c>
      <c r="AN793">
        <f>SUM('19_Расчет_аналитики'!AN791:AN792)</f>
        <v/>
      </c>
      <c r="AO793">
        <f>SUM('19_Расчет_аналитики'!AO791:AO792)</f>
        <v/>
      </c>
      <c r="AP793">
        <f>SUM('19_Расчет_аналитики'!AP791:AP792)</f>
        <v/>
      </c>
      <c r="AQ793">
        <f>SUM('19_Расчет_аналитики'!AQ791:AQ792)</f>
        <v/>
      </c>
      <c r="AR793">
        <f>SUM('19_Расчет_аналитики'!AR791:AR792)</f>
        <v/>
      </c>
      <c r="AS793">
        <f>SUM('19_Расчет_аналитики'!AS791:AS792)</f>
        <v/>
      </c>
      <c r="AT793">
        <f>SUM('19_Расчет_аналитики'!AT791:AT792)</f>
        <v/>
      </c>
      <c r="AU793">
        <f>SUM('19_Расчет_аналитики'!AU791:AU792)</f>
        <v/>
      </c>
      <c r="AV793">
        <f>SUM('19_Расчет_аналитики'!AV791:AV792)</f>
        <v/>
      </c>
      <c r="AW793">
        <f>SUM('19_Расчет_аналитики'!AW791:AW792)</f>
        <v/>
      </c>
      <c r="AX793">
        <f>SUM('19_Расчет_аналитики'!AX791:AX792)</f>
        <v/>
      </c>
      <c r="AY793">
        <f>SUM('19_Расчет_аналитики'!AY791:AY792)</f>
        <v/>
      </c>
      <c r="AZ793">
        <f>SUM('19_Расчет_аналитики'!AZ791:AZ792)</f>
        <v/>
      </c>
      <c r="BA793">
        <f>SUM('19_Расчет_аналитики'!BA791:BA792)</f>
        <v/>
      </c>
      <c r="BB793">
        <f>SUM('19_Расчет_аналитики'!BB791:BB792)</f>
        <v/>
      </c>
      <c r="BC793">
        <f>SUM('19_Расчет_аналитики'!BC791:BC792)</f>
        <v/>
      </c>
      <c r="BD793">
        <f>SUM('19_Расчет_аналитики'!BD791:BD792)</f>
        <v/>
      </c>
      <c r="BE793">
        <f>SUM('19_Расчет_аналитики'!BE791:BE792)</f>
        <v/>
      </c>
      <c r="BF793">
        <f>SUM('19_Расчет_аналитики'!BF791:BF792)</f>
        <v/>
      </c>
      <c r="BG793">
        <f>SUM('19_Расчет_аналитики'!BG791:BG792)</f>
        <v/>
      </c>
      <c r="BH793">
        <f>SUM('19_Расчет_аналитики'!BH791:BH792)</f>
        <v/>
      </c>
      <c r="BI793">
        <f>SUM('19_Расчет_аналитики'!BI791:BI792)</f>
        <v/>
      </c>
    </row>
    <row r="794">
      <c r="B794">
        <f>SUM('19_Расчет_аналитики'!$B793:B793)</f>
        <v/>
      </c>
      <c r="C794">
        <f>SUM('19_Расчет_аналитики'!$B793:C793)</f>
        <v/>
      </c>
      <c r="D794">
        <f>SUM('19_Расчет_аналитики'!$B793:D793)</f>
        <v/>
      </c>
      <c r="E794">
        <f>SUM('19_Расчет_аналитики'!$B793:E793)</f>
        <v/>
      </c>
      <c r="F794">
        <f>SUM('19_Расчет_аналитики'!$B793:F793)</f>
        <v/>
      </c>
      <c r="G794">
        <f>SUM('19_Расчет_аналитики'!$B793:G793)</f>
        <v/>
      </c>
      <c r="H794">
        <f>SUM('19_Расчет_аналитики'!$B793:H793)</f>
        <v/>
      </c>
      <c r="I794">
        <f>SUM('19_Расчет_аналитики'!$B793:I793)</f>
        <v/>
      </c>
      <c r="J794">
        <f>SUM('19_Расчет_аналитики'!$B793:J793)</f>
        <v/>
      </c>
      <c r="K794">
        <f>SUM('19_Расчет_аналитики'!$B793:K793)</f>
        <v/>
      </c>
      <c r="L794">
        <f>SUM('19_Расчет_аналитики'!$B793:L793)</f>
        <v/>
      </c>
      <c r="M794">
        <f>SUM('19_Расчет_аналитики'!$B793:M793)</f>
        <v/>
      </c>
      <c r="N794">
        <f>SUM('19_Расчет_аналитики'!$B793:N793)</f>
        <v/>
      </c>
      <c r="O794">
        <f>SUM('19_Расчет_аналитики'!$B793:O793)</f>
        <v/>
      </c>
      <c r="P794">
        <f>SUM('19_Расчет_аналитики'!$B793:P793)</f>
        <v/>
      </c>
      <c r="Q794">
        <f>SUM('19_Расчет_аналитики'!$B793:Q793)</f>
        <v/>
      </c>
      <c r="R794">
        <f>SUM('19_Расчет_аналитики'!$B793:R793)</f>
        <v/>
      </c>
      <c r="S794">
        <f>SUM('19_Расчет_аналитики'!$B793:S793)</f>
        <v/>
      </c>
      <c r="T794">
        <f>SUM('19_Расчет_аналитики'!$B793:T793)</f>
        <v/>
      </c>
      <c r="U794">
        <f>SUM('19_Расчет_аналитики'!$B793:U793)</f>
        <v/>
      </c>
      <c r="V794">
        <f>SUM('19_Расчет_аналитики'!$B793:V793)</f>
        <v/>
      </c>
      <c r="W794">
        <f>SUM('19_Расчет_аналитики'!$B793:W793)</f>
        <v/>
      </c>
      <c r="X794">
        <f>SUM('19_Расчет_аналитики'!$B793:X793)</f>
        <v/>
      </c>
      <c r="Y794">
        <f>SUM('19_Расчет_аналитики'!$B793:Y793)</f>
        <v/>
      </c>
      <c r="Z794">
        <f>SUM('19_Расчет_аналитики'!$B793:Z793)</f>
        <v/>
      </c>
      <c r="AA794">
        <f>SUM('19_Расчет_аналитики'!$B793:AA793)</f>
        <v/>
      </c>
      <c r="AB794">
        <f>SUM('19_Расчет_аналитики'!$B793:AB793)</f>
        <v/>
      </c>
      <c r="AC794">
        <f>SUM('19_Расчет_аналитики'!$B793:AC793)</f>
        <v/>
      </c>
      <c r="AD794">
        <f>SUM('19_Расчет_аналитики'!$B793:AD793)</f>
        <v/>
      </c>
      <c r="AE794">
        <f>SUM('19_Расчет_аналитики'!$B793:AE793)</f>
        <v/>
      </c>
      <c r="AF794">
        <f>SUM('19_Расчет_аналитики'!$B793:AF793)</f>
        <v/>
      </c>
      <c r="AG794">
        <f>SUM('19_Расчет_аналитики'!$B793:AG793)</f>
        <v/>
      </c>
      <c r="AH794">
        <f>SUM('19_Расчет_аналитики'!$B793:AH793)</f>
        <v/>
      </c>
      <c r="AI794">
        <f>SUM('19_Расчет_аналитики'!$B793:AI793)</f>
        <v/>
      </c>
      <c r="AJ794">
        <f>SUM('19_Расчет_аналитики'!$B793:AJ793)</f>
        <v/>
      </c>
      <c r="AK794">
        <f>SUM('19_Расчет_аналитики'!$B793:AK793)</f>
        <v/>
      </c>
      <c r="AL794">
        <f>SUM('19_Расчет_аналитики'!$B793:AL793)</f>
        <v/>
      </c>
      <c r="AM794">
        <f>SUM('19_Расчет_аналитики'!$B793:AM793)</f>
        <v/>
      </c>
      <c r="AN794">
        <f>SUM('19_Расчет_аналитики'!$B793:AN793)</f>
        <v/>
      </c>
      <c r="AO794">
        <f>SUM('19_Расчет_аналитики'!$B793:AO793)</f>
        <v/>
      </c>
      <c r="AP794">
        <f>SUM('19_Расчет_аналитики'!$B793:AP793)</f>
        <v/>
      </c>
      <c r="AQ794">
        <f>SUM('19_Расчет_аналитики'!$B793:AQ793)</f>
        <v/>
      </c>
      <c r="AR794">
        <f>SUM('19_Расчет_аналитики'!$B793:AR793)</f>
        <v/>
      </c>
      <c r="AS794">
        <f>SUM('19_Расчет_аналитики'!$B793:AS793)</f>
        <v/>
      </c>
      <c r="AT794">
        <f>SUM('19_Расчет_аналитики'!$B793:AT793)</f>
        <v/>
      </c>
      <c r="AU794">
        <f>SUM('19_Расчет_аналитики'!$B793:AU793)</f>
        <v/>
      </c>
      <c r="AV794">
        <f>SUM('19_Расчет_аналитики'!$B793:AV793)</f>
        <v/>
      </c>
      <c r="AW794">
        <f>SUM('19_Расчет_аналитики'!$B793:AW793)</f>
        <v/>
      </c>
      <c r="AX794">
        <f>SUM('19_Расчет_аналитики'!$B793:AX793)</f>
        <v/>
      </c>
      <c r="AY794">
        <f>SUM('19_Расчет_аналитики'!$B793:AY793)</f>
        <v/>
      </c>
      <c r="AZ794">
        <f>SUM('19_Расчет_аналитики'!$B793:AZ793)</f>
        <v/>
      </c>
      <c r="BA794">
        <f>SUM('19_Расчет_аналитики'!$B793:BA793)</f>
        <v/>
      </c>
      <c r="BB794">
        <f>SUM('19_Расчет_аналитики'!$B793:BB793)</f>
        <v/>
      </c>
      <c r="BC794">
        <f>SUM('19_Расчет_аналитики'!$B793:BC793)</f>
        <v/>
      </c>
      <c r="BD794">
        <f>SUM('19_Расчет_аналитики'!$B793:BD793)</f>
        <v/>
      </c>
      <c r="BE794">
        <f>SUM('19_Расчет_аналитики'!$B793:BE793)</f>
        <v/>
      </c>
      <c r="BF794">
        <f>SUM('19_Расчет_аналитики'!$B793:BF793)</f>
        <v/>
      </c>
      <c r="BG794">
        <f>SUM('19_Расчет_аналитики'!$B793:BG793)</f>
        <v/>
      </c>
      <c r="BH794">
        <f>SUM('19_Расчет_аналитики'!$B793:BH793)</f>
        <v/>
      </c>
      <c r="BI794">
        <f>SUM('19_Расчет_аналитики'!$B793:BI793)</f>
        <v/>
      </c>
    </row>
    <row r="795"/>
    <row r="796"/>
    <row r="797"/>
    <row r="798"/>
    <row r="799"/>
    <row r="800"/>
    <row r="801"/>
    <row r="802"/>
    <row r="803"/>
    <row r="804"/>
    <row r="805">
      <c r="B805">
        <f>INDEX('19_Расчет_аналитики'!$C$75:$C$79,MIN(5,INT(0/12)+1),1)*'18_Календарь_тарифы'!B4</f>
        <v/>
      </c>
      <c r="C805">
        <f>INDEX('19_Расчет_аналитики'!$C$75:$C$79,MIN(5,INT(1/12)+1),1)*'18_Календарь_тарифы'!C4</f>
        <v/>
      </c>
      <c r="D805">
        <f>INDEX('19_Расчет_аналитики'!$C$75:$C$79,MIN(5,INT(2/12)+1),1)*'18_Календарь_тарифы'!D4</f>
        <v/>
      </c>
      <c r="E805">
        <f>INDEX('19_Расчет_аналитики'!$C$75:$C$79,MIN(5,INT(3/12)+1),1)*'18_Календарь_тарифы'!E4</f>
        <v/>
      </c>
      <c r="F805">
        <f>INDEX('19_Расчет_аналитики'!$C$75:$C$79,MIN(5,INT(4/12)+1),1)*'18_Календарь_тарифы'!F4</f>
        <v/>
      </c>
      <c r="G805">
        <f>INDEX('19_Расчет_аналитики'!$C$75:$C$79,MIN(5,INT(5/12)+1),1)*'18_Календарь_тарифы'!G4</f>
        <v/>
      </c>
      <c r="H805">
        <f>INDEX('19_Расчет_аналитики'!$C$75:$C$79,MIN(5,INT(6/12)+1),1)*'18_Календарь_тарифы'!H4</f>
        <v/>
      </c>
      <c r="I805">
        <f>INDEX('19_Расчет_аналитики'!$C$75:$C$79,MIN(5,INT(7/12)+1),1)*'18_Календарь_тарифы'!I4</f>
        <v/>
      </c>
      <c r="J805">
        <f>INDEX('19_Расчет_аналитики'!$C$75:$C$79,MIN(5,INT(8/12)+1),1)*'18_Календарь_тарифы'!J4</f>
        <v/>
      </c>
      <c r="K805">
        <f>INDEX('19_Расчет_аналитики'!$C$75:$C$79,MIN(5,INT(9/12)+1),1)*'18_Календарь_тарифы'!K4</f>
        <v/>
      </c>
      <c r="L805">
        <f>INDEX('19_Расчет_аналитики'!$C$75:$C$79,MIN(5,INT(10/12)+1),1)*'18_Календарь_тарифы'!L4</f>
        <v/>
      </c>
      <c r="M805">
        <f>INDEX('19_Расчет_аналитики'!$C$75:$C$79,MIN(5,INT(11/12)+1),1)*'18_Календарь_тарифы'!M4</f>
        <v/>
      </c>
      <c r="N805">
        <f>INDEX('19_Расчет_аналитики'!$C$75:$C$79,MIN(5,INT(12/12)+1),1)*'18_Календарь_тарифы'!N4</f>
        <v/>
      </c>
      <c r="O805">
        <f>INDEX('19_Расчет_аналитики'!$C$75:$C$79,MIN(5,INT(13/12)+1),1)*'18_Календарь_тарифы'!O4</f>
        <v/>
      </c>
      <c r="P805">
        <f>INDEX('19_Расчет_аналитики'!$C$75:$C$79,MIN(5,INT(14/12)+1),1)*'18_Календарь_тарифы'!P4</f>
        <v/>
      </c>
      <c r="Q805">
        <f>INDEX('19_Расчет_аналитики'!$C$75:$C$79,MIN(5,INT(15/12)+1),1)*'18_Календарь_тарифы'!Q4</f>
        <v/>
      </c>
      <c r="R805">
        <f>INDEX('19_Расчет_аналитики'!$C$75:$C$79,MIN(5,INT(16/12)+1),1)*'18_Календарь_тарифы'!R4</f>
        <v/>
      </c>
      <c r="S805">
        <f>INDEX('19_Расчет_аналитики'!$C$75:$C$79,MIN(5,INT(17/12)+1),1)*'18_Календарь_тарифы'!S4</f>
        <v/>
      </c>
      <c r="T805">
        <f>INDEX('19_Расчет_аналитики'!$C$75:$C$79,MIN(5,INT(18/12)+1),1)*'18_Календарь_тарифы'!T4</f>
        <v/>
      </c>
      <c r="U805">
        <f>INDEX('19_Расчет_аналитики'!$C$75:$C$79,MIN(5,INT(19/12)+1),1)*'18_Календарь_тарифы'!U4</f>
        <v/>
      </c>
      <c r="V805">
        <f>INDEX('19_Расчет_аналитики'!$C$75:$C$79,MIN(5,INT(20/12)+1),1)*'18_Календарь_тарифы'!V4</f>
        <v/>
      </c>
      <c r="W805">
        <f>INDEX('19_Расчет_аналитики'!$C$75:$C$79,MIN(5,INT(21/12)+1),1)*'18_Календарь_тарифы'!W4</f>
        <v/>
      </c>
      <c r="X805">
        <f>INDEX('19_Расчет_аналитики'!$C$75:$C$79,MIN(5,INT(22/12)+1),1)*'18_Календарь_тарифы'!X4</f>
        <v/>
      </c>
      <c r="Y805">
        <f>INDEX('19_Расчет_аналитики'!$C$75:$C$79,MIN(5,INT(23/12)+1),1)*'18_Календарь_тарифы'!Y4</f>
        <v/>
      </c>
      <c r="Z805">
        <f>INDEX('19_Расчет_аналитики'!$C$75:$C$79,MIN(5,INT(24/12)+1),1)*'18_Календарь_тарифы'!Z4</f>
        <v/>
      </c>
      <c r="AA805">
        <f>INDEX('19_Расчет_аналитики'!$C$75:$C$79,MIN(5,INT(25/12)+1),1)*'18_Календарь_тарифы'!AA4</f>
        <v/>
      </c>
      <c r="AB805">
        <f>INDEX('19_Расчет_аналитики'!$C$75:$C$79,MIN(5,INT(26/12)+1),1)*'18_Календарь_тарифы'!AB4</f>
        <v/>
      </c>
      <c r="AC805">
        <f>INDEX('19_Расчет_аналитики'!$C$75:$C$79,MIN(5,INT(27/12)+1),1)*'18_Календарь_тарифы'!AC4</f>
        <v/>
      </c>
      <c r="AD805">
        <f>INDEX('19_Расчет_аналитики'!$C$75:$C$79,MIN(5,INT(28/12)+1),1)*'18_Календарь_тарифы'!AD4</f>
        <v/>
      </c>
      <c r="AE805">
        <f>INDEX('19_Расчет_аналитики'!$C$75:$C$79,MIN(5,INT(29/12)+1),1)*'18_Календарь_тарифы'!AE4</f>
        <v/>
      </c>
      <c r="AF805">
        <f>INDEX('19_Расчет_аналитики'!$C$75:$C$79,MIN(5,INT(30/12)+1),1)*'18_Календарь_тарифы'!AF4</f>
        <v/>
      </c>
      <c r="AG805">
        <f>INDEX('19_Расчет_аналитики'!$C$75:$C$79,MIN(5,INT(31/12)+1),1)*'18_Календарь_тарифы'!AG4</f>
        <v/>
      </c>
      <c r="AH805">
        <f>INDEX('19_Расчет_аналитики'!$C$75:$C$79,MIN(5,INT(32/12)+1),1)*'18_Календарь_тарифы'!AH4</f>
        <v/>
      </c>
      <c r="AI805">
        <f>INDEX('19_Расчет_аналитики'!$C$75:$C$79,MIN(5,INT(33/12)+1),1)*'18_Календарь_тарифы'!AI4</f>
        <v/>
      </c>
      <c r="AJ805">
        <f>INDEX('19_Расчет_аналитики'!$C$75:$C$79,MIN(5,INT(34/12)+1),1)*'18_Календарь_тарифы'!AJ4</f>
        <v/>
      </c>
      <c r="AK805">
        <f>INDEX('19_Расчет_аналитики'!$C$75:$C$79,MIN(5,INT(35/12)+1),1)*'18_Календарь_тарифы'!AK4</f>
        <v/>
      </c>
      <c r="AL805">
        <f>INDEX('19_Расчет_аналитики'!$C$75:$C$79,MIN(5,INT(36/12)+1),1)*'18_Календарь_тарифы'!AL4</f>
        <v/>
      </c>
      <c r="AM805">
        <f>INDEX('19_Расчет_аналитики'!$C$75:$C$79,MIN(5,INT(37/12)+1),1)*'18_Календарь_тарифы'!AM4</f>
        <v/>
      </c>
      <c r="AN805">
        <f>INDEX('19_Расчет_аналитики'!$C$75:$C$79,MIN(5,INT(38/12)+1),1)*'18_Календарь_тарифы'!AN4</f>
        <v/>
      </c>
      <c r="AO805">
        <f>INDEX('19_Расчет_аналитики'!$C$75:$C$79,MIN(5,INT(39/12)+1),1)*'18_Календарь_тарифы'!AO4</f>
        <v/>
      </c>
      <c r="AP805">
        <f>INDEX('19_Расчет_аналитики'!$C$75:$C$79,MIN(5,INT(40/12)+1),1)*'18_Календарь_тарифы'!AP4</f>
        <v/>
      </c>
      <c r="AQ805">
        <f>INDEX('19_Расчет_аналитики'!$C$75:$C$79,MIN(5,INT(41/12)+1),1)*'18_Календарь_тарифы'!AQ4</f>
        <v/>
      </c>
      <c r="AR805">
        <f>INDEX('19_Расчет_аналитики'!$C$75:$C$79,MIN(5,INT(42/12)+1),1)*'18_Календарь_тарифы'!AR4</f>
        <v/>
      </c>
      <c r="AS805">
        <f>INDEX('19_Расчет_аналитики'!$C$75:$C$79,MIN(5,INT(43/12)+1),1)*'18_Календарь_тарифы'!AS4</f>
        <v/>
      </c>
      <c r="AT805">
        <f>INDEX('19_Расчет_аналитики'!$C$75:$C$79,MIN(5,INT(44/12)+1),1)*'18_Календарь_тарифы'!AT4</f>
        <v/>
      </c>
      <c r="AU805">
        <f>INDEX('19_Расчет_аналитики'!$C$75:$C$79,MIN(5,INT(45/12)+1),1)*'18_Календарь_тарифы'!AU4</f>
        <v/>
      </c>
      <c r="AV805">
        <f>INDEX('19_Расчет_аналитики'!$C$75:$C$79,MIN(5,INT(46/12)+1),1)*'18_Календарь_тарифы'!AV4</f>
        <v/>
      </c>
      <c r="AW805">
        <f>INDEX('19_Расчет_аналитики'!$C$75:$C$79,MIN(5,INT(47/12)+1),1)*'18_Календарь_тарифы'!AW4</f>
        <v/>
      </c>
      <c r="AX805">
        <f>INDEX('19_Расчет_аналитики'!$C$75:$C$79,MIN(5,INT(48/12)+1),1)*'18_Календарь_тарифы'!AX4</f>
        <v/>
      </c>
      <c r="AY805">
        <f>INDEX('19_Расчет_аналитики'!$C$75:$C$79,MIN(5,INT(49/12)+1),1)*'18_Календарь_тарифы'!AY4</f>
        <v/>
      </c>
      <c r="AZ805">
        <f>INDEX('19_Расчет_аналитики'!$C$75:$C$79,MIN(5,INT(50/12)+1),1)*'18_Календарь_тарифы'!AZ4</f>
        <v/>
      </c>
      <c r="BA805">
        <f>INDEX('19_Расчет_аналитики'!$C$75:$C$79,MIN(5,INT(51/12)+1),1)*'18_Календарь_тарифы'!BA4</f>
        <v/>
      </c>
      <c r="BB805">
        <f>INDEX('19_Расчет_аналитики'!$C$75:$C$79,MIN(5,INT(52/12)+1),1)*'18_Календарь_тарифы'!BB4</f>
        <v/>
      </c>
      <c r="BC805">
        <f>INDEX('19_Расчет_аналитики'!$C$75:$C$79,MIN(5,INT(53/12)+1),1)*'18_Календарь_тарифы'!BC4</f>
        <v/>
      </c>
      <c r="BD805">
        <f>INDEX('19_Расчет_аналитики'!$C$75:$C$79,MIN(5,INT(54/12)+1),1)*'18_Календарь_тарифы'!BD4</f>
        <v/>
      </c>
      <c r="BE805">
        <f>INDEX('19_Расчет_аналитики'!$C$75:$C$79,MIN(5,INT(55/12)+1),1)*'18_Календарь_тарифы'!BE4</f>
        <v/>
      </c>
      <c r="BF805">
        <f>INDEX('19_Расчет_аналитики'!$C$75:$C$79,MIN(5,INT(56/12)+1),1)*'18_Календарь_тарифы'!BF4</f>
        <v/>
      </c>
      <c r="BG805">
        <f>INDEX('19_Расчет_аналитики'!$C$75:$C$79,MIN(5,INT(57/12)+1),1)*'18_Календарь_тарифы'!BG4</f>
        <v/>
      </c>
      <c r="BH805">
        <f>INDEX('19_Расчет_аналитики'!$C$75:$C$79,MIN(5,INT(58/12)+1),1)*'18_Календарь_тарифы'!BH4</f>
        <v/>
      </c>
      <c r="BI805">
        <f>INDEX('19_Расчет_аналитики'!$C$75:$C$79,MIN(5,INT(59/12)+1),1)*'18_Календарь_тарифы'!BI4</f>
        <v/>
      </c>
      <c r="BJ805">
        <f>INDEX('19_Расчет_аналитики'!$C$75:$C$79,MIN(5,INT(60/12)+1),1)*'18_Календарь_тарифы'!BJ4</f>
        <v/>
      </c>
      <c r="BK805">
        <f>INDEX('19_Расчет_аналитики'!$C$75:$C$79,MIN(5,INT(61/12)+1),1)*'18_Календарь_тарифы'!BK4</f>
        <v/>
      </c>
      <c r="BL805">
        <f>INDEX('19_Расчет_аналитики'!$C$75:$C$79,MIN(5,INT(62/12)+1),1)*'18_Календарь_тарифы'!BL4</f>
        <v/>
      </c>
      <c r="BM805">
        <f>INDEX('19_Расчет_аналитики'!$C$75:$C$79,MIN(5,INT(63/12)+1),1)*'18_Календарь_тарифы'!BM4</f>
        <v/>
      </c>
      <c r="BN805">
        <f>INDEX('19_Расчет_аналитики'!$C$75:$C$79,MIN(5,INT(64/12)+1),1)*'18_Календарь_тарифы'!BN4</f>
        <v/>
      </c>
      <c r="BO805">
        <f>INDEX('19_Расчет_аналитики'!$C$75:$C$79,MIN(5,INT(65/12)+1),1)*'18_Календарь_тарифы'!BO4</f>
        <v/>
      </c>
    </row>
    <row r="806">
      <c r="B806">
        <f>'19_Расчет_аналитики'!$B$63*'18_Календарь_тарифы'!B4</f>
        <v/>
      </c>
      <c r="C806">
        <f>'19_Расчет_аналитики'!$B$63*'18_Календарь_тарифы'!C4</f>
        <v/>
      </c>
      <c r="D806">
        <f>'19_Расчет_аналитики'!$B$63*'18_Календарь_тарифы'!D4</f>
        <v/>
      </c>
      <c r="E806">
        <f>'19_Расчет_аналитики'!$B$63*'18_Календарь_тарифы'!E4</f>
        <v/>
      </c>
      <c r="F806">
        <f>'19_Расчет_аналитики'!$B$63*'18_Календарь_тарифы'!F4</f>
        <v/>
      </c>
      <c r="G806">
        <f>'19_Расчет_аналитики'!$B$63*'18_Календарь_тарифы'!G4</f>
        <v/>
      </c>
      <c r="H806">
        <f>'19_Расчет_аналитики'!$B$63*'18_Календарь_тарифы'!H4</f>
        <v/>
      </c>
      <c r="I806">
        <f>'19_Расчет_аналитики'!$B$63*'18_Календарь_тарифы'!I4</f>
        <v/>
      </c>
      <c r="J806">
        <f>'19_Расчет_аналитики'!$B$63*'18_Календарь_тарифы'!J4</f>
        <v/>
      </c>
      <c r="K806">
        <f>'19_Расчет_аналитики'!$B$63*'18_Календарь_тарифы'!K4</f>
        <v/>
      </c>
      <c r="L806">
        <f>'19_Расчет_аналитики'!$B$63*'18_Календарь_тарифы'!L4</f>
        <v/>
      </c>
      <c r="M806">
        <f>'19_Расчет_аналитики'!$B$63*'18_Календарь_тарифы'!M4</f>
        <v/>
      </c>
      <c r="N806">
        <f>'19_Расчет_аналитики'!$B$63*'18_Календарь_тарифы'!N4</f>
        <v/>
      </c>
      <c r="O806">
        <f>'19_Расчет_аналитики'!$B$63*'18_Календарь_тарифы'!O4</f>
        <v/>
      </c>
      <c r="P806">
        <f>'19_Расчет_аналитики'!$B$63*'18_Календарь_тарифы'!P4</f>
        <v/>
      </c>
      <c r="Q806">
        <f>'19_Расчет_аналитики'!$B$63*'18_Календарь_тарифы'!Q4</f>
        <v/>
      </c>
      <c r="R806">
        <f>'19_Расчет_аналитики'!$B$63*'18_Календарь_тарифы'!R4</f>
        <v/>
      </c>
      <c r="S806">
        <f>'19_Расчет_аналитики'!$B$63*'18_Календарь_тарифы'!S4</f>
        <v/>
      </c>
      <c r="T806">
        <f>'19_Расчет_аналитики'!$B$63*'18_Календарь_тарифы'!T4</f>
        <v/>
      </c>
      <c r="U806">
        <f>'19_Расчет_аналитики'!$B$63*'18_Календарь_тарифы'!U4</f>
        <v/>
      </c>
      <c r="V806">
        <f>'19_Расчет_аналитики'!$B$63*'18_Календарь_тарифы'!V4</f>
        <v/>
      </c>
      <c r="W806">
        <f>'19_Расчет_аналитики'!$B$63*'18_Календарь_тарифы'!W4</f>
        <v/>
      </c>
      <c r="X806">
        <f>'19_Расчет_аналитики'!$B$63*'18_Календарь_тарифы'!X4</f>
        <v/>
      </c>
      <c r="Y806">
        <f>'19_Расчет_аналитики'!$B$63*'18_Календарь_тарифы'!Y4</f>
        <v/>
      </c>
      <c r="Z806">
        <f>'19_Расчет_аналитики'!$B$63*'18_Календарь_тарифы'!Z4</f>
        <v/>
      </c>
      <c r="AA806">
        <f>'19_Расчет_аналитики'!$B$63*'18_Календарь_тарифы'!AA4</f>
        <v/>
      </c>
      <c r="AB806">
        <f>'19_Расчет_аналитики'!$B$63*'18_Календарь_тарифы'!AB4</f>
        <v/>
      </c>
      <c r="AC806">
        <f>'19_Расчет_аналитики'!$B$63*'18_Календарь_тарифы'!AC4</f>
        <v/>
      </c>
      <c r="AD806">
        <f>'19_Расчет_аналитики'!$B$63*'18_Календарь_тарифы'!AD4</f>
        <v/>
      </c>
      <c r="AE806">
        <f>'19_Расчет_аналитики'!$B$63*'18_Календарь_тарифы'!AE4</f>
        <v/>
      </c>
      <c r="AF806">
        <f>'19_Расчет_аналитики'!$B$63*'18_Календарь_тарифы'!AF4</f>
        <v/>
      </c>
      <c r="AG806">
        <f>'19_Расчет_аналитики'!$B$63*'18_Календарь_тарифы'!AG4</f>
        <v/>
      </c>
      <c r="AH806">
        <f>'19_Расчет_аналитики'!$B$63*'18_Календарь_тарифы'!AH4</f>
        <v/>
      </c>
      <c r="AI806">
        <f>'19_Расчет_аналитики'!$B$63*'18_Календарь_тарифы'!AI4</f>
        <v/>
      </c>
      <c r="AJ806">
        <f>'19_Расчет_аналитики'!$B$63*'18_Календарь_тарифы'!AJ4</f>
        <v/>
      </c>
      <c r="AK806">
        <f>'19_Расчет_аналитики'!$B$63*'18_Календарь_тарифы'!AK4</f>
        <v/>
      </c>
      <c r="AL806">
        <f>'19_Расчет_аналитики'!$B$63*'18_Календарь_тарифы'!AL4</f>
        <v/>
      </c>
      <c r="AM806">
        <f>'19_Расчет_аналитики'!$B$63*'18_Календарь_тарифы'!AM4</f>
        <v/>
      </c>
      <c r="AN806">
        <f>'19_Расчет_аналитики'!$B$63*'18_Календарь_тарифы'!AN4</f>
        <v/>
      </c>
      <c r="AO806">
        <f>'19_Расчет_аналитики'!$B$63*'18_Календарь_тарифы'!AO4</f>
        <v/>
      </c>
      <c r="AP806">
        <f>'19_Расчет_аналитики'!$B$63*'18_Календарь_тарифы'!AP4</f>
        <v/>
      </c>
      <c r="AQ806">
        <f>'19_Расчет_аналитики'!$B$63*'18_Календарь_тарифы'!AQ4</f>
        <v/>
      </c>
      <c r="AR806">
        <f>'19_Расчет_аналитики'!$B$63*'18_Календарь_тарифы'!AR4</f>
        <v/>
      </c>
      <c r="AS806">
        <f>'19_Расчет_аналитики'!$B$63*'18_Календарь_тарифы'!AS4</f>
        <v/>
      </c>
      <c r="AT806">
        <f>'19_Расчет_аналитики'!$B$63*'18_Календарь_тарифы'!AT4</f>
        <v/>
      </c>
      <c r="AU806">
        <f>'19_Расчет_аналитики'!$B$63*'18_Календарь_тарифы'!AU4</f>
        <v/>
      </c>
      <c r="AV806">
        <f>'19_Расчет_аналитики'!$B$63*'18_Календарь_тарифы'!AV4</f>
        <v/>
      </c>
      <c r="AW806">
        <f>'19_Расчет_аналитики'!$B$63*'18_Календарь_тарифы'!AW4</f>
        <v/>
      </c>
      <c r="AX806">
        <f>'19_Расчет_аналитики'!$B$63*'18_Календарь_тарифы'!AX4</f>
        <v/>
      </c>
      <c r="AY806">
        <f>'19_Расчет_аналитики'!$B$63*'18_Календарь_тарифы'!AY4</f>
        <v/>
      </c>
      <c r="AZ806">
        <f>'19_Расчет_аналитики'!$B$63*'18_Календарь_тарифы'!AZ4</f>
        <v/>
      </c>
      <c r="BA806">
        <f>'19_Расчет_аналитики'!$B$63*'18_Календарь_тарифы'!BA4</f>
        <v/>
      </c>
      <c r="BB806">
        <f>'19_Расчет_аналитики'!$B$63*'18_Календарь_тарифы'!BB4</f>
        <v/>
      </c>
      <c r="BC806">
        <f>'19_Расчет_аналитики'!$B$63*'18_Календарь_тарифы'!BC4</f>
        <v/>
      </c>
      <c r="BD806">
        <f>'19_Расчет_аналитики'!$B$63*'18_Календарь_тарифы'!BD4</f>
        <v/>
      </c>
      <c r="BE806">
        <f>'19_Расчет_аналитики'!$B$63*'18_Календарь_тарифы'!BE4</f>
        <v/>
      </c>
      <c r="BF806">
        <f>'19_Расчет_аналитики'!$B$63*'18_Календарь_тарифы'!BF4</f>
        <v/>
      </c>
      <c r="BG806">
        <f>'19_Расчет_аналитики'!$B$63*'18_Календарь_тарифы'!BG4</f>
        <v/>
      </c>
      <c r="BH806">
        <f>'19_Расчет_аналитики'!$B$63*'18_Календарь_тарифы'!BH4</f>
        <v/>
      </c>
      <c r="BI806">
        <f>'19_Расчет_аналитики'!$B$63*'18_Календарь_тарифы'!BI4</f>
        <v/>
      </c>
      <c r="BJ806">
        <f>'19_Расчет_аналитики'!$B$63*'18_Календарь_тарифы'!BJ4</f>
        <v/>
      </c>
      <c r="BK806">
        <f>'19_Расчет_аналитики'!$B$63*'18_Календарь_тарифы'!BK4</f>
        <v/>
      </c>
      <c r="BL806">
        <f>'19_Расчет_аналитики'!$B$63*'18_Календарь_тарифы'!BL4</f>
        <v/>
      </c>
      <c r="BM806">
        <f>'19_Расчет_аналитики'!$B$63*'18_Календарь_тарифы'!BM4</f>
        <v/>
      </c>
      <c r="BN806">
        <f>'19_Расчет_аналитики'!$B$63*'18_Календарь_тарифы'!BN4</f>
        <v/>
      </c>
      <c r="BO806">
        <f>'19_Расчет_аналитики'!$B$63*'18_Календарь_тарифы'!BO4</f>
        <v/>
      </c>
    </row>
    <row r="807"/>
    <row r="808"/>
    <row r="809">
      <c r="B809">
        <f>'19_Расчет_аналитики'!$B$38*'18_Календарь_тарифы'!B4</f>
        <v/>
      </c>
      <c r="C809">
        <f>'19_Расчет_аналитики'!$B$38*'18_Календарь_тарифы'!C4</f>
        <v/>
      </c>
      <c r="D809">
        <f>'19_Расчет_аналитики'!$B$38*'18_Календарь_тарифы'!D4</f>
        <v/>
      </c>
      <c r="E809">
        <f>'19_Расчет_аналитики'!$B$38*'18_Календарь_тарифы'!E4</f>
        <v/>
      </c>
      <c r="F809">
        <f>'19_Расчет_аналитики'!$B$38*'18_Календарь_тарифы'!F4</f>
        <v/>
      </c>
      <c r="G809">
        <f>'19_Расчет_аналитики'!$B$38*'18_Календарь_тарифы'!G4</f>
        <v/>
      </c>
      <c r="H809">
        <f>'19_Расчет_аналитики'!$B$38*'18_Календарь_тарифы'!H4</f>
        <v/>
      </c>
      <c r="I809">
        <f>'19_Расчет_аналитики'!$B$38*'18_Календарь_тарифы'!I4</f>
        <v/>
      </c>
      <c r="J809">
        <f>'19_Расчет_аналитики'!$B$38*'18_Календарь_тарифы'!J4</f>
        <v/>
      </c>
      <c r="K809">
        <f>'19_Расчет_аналитики'!$B$38*'18_Календарь_тарифы'!K4</f>
        <v/>
      </c>
      <c r="L809">
        <f>'19_Расчет_аналитики'!$B$38*'18_Календарь_тарифы'!L4</f>
        <v/>
      </c>
      <c r="M809">
        <f>'19_Расчет_аналитики'!$B$38*'18_Календарь_тарифы'!M4</f>
        <v/>
      </c>
      <c r="N809">
        <f>'19_Расчет_аналитики'!$B$38*'18_Календарь_тарифы'!N4</f>
        <v/>
      </c>
      <c r="O809">
        <f>'19_Расчет_аналитики'!$B$38*'18_Календарь_тарифы'!O4</f>
        <v/>
      </c>
      <c r="P809">
        <f>'19_Расчет_аналитики'!$B$38*'18_Календарь_тарифы'!P4</f>
        <v/>
      </c>
      <c r="Q809">
        <f>'19_Расчет_аналитики'!$B$38*'18_Календарь_тарифы'!Q4</f>
        <v/>
      </c>
      <c r="R809">
        <f>'19_Расчет_аналитики'!$B$38*'18_Календарь_тарифы'!R4</f>
        <v/>
      </c>
      <c r="S809">
        <f>'19_Расчет_аналитики'!$B$38*'18_Календарь_тарифы'!S4</f>
        <v/>
      </c>
      <c r="T809">
        <f>'19_Расчет_аналитики'!$B$38*'18_Календарь_тарифы'!T4</f>
        <v/>
      </c>
      <c r="U809">
        <f>'19_Расчет_аналитики'!$B$38*'18_Календарь_тарифы'!U4</f>
        <v/>
      </c>
      <c r="V809">
        <f>'19_Расчет_аналитики'!$B$38*'18_Календарь_тарифы'!V4</f>
        <v/>
      </c>
      <c r="W809">
        <f>'19_Расчет_аналитики'!$B$38*'18_Календарь_тарифы'!W4</f>
        <v/>
      </c>
      <c r="X809">
        <f>'19_Расчет_аналитики'!$B$38*'18_Календарь_тарифы'!X4</f>
        <v/>
      </c>
      <c r="Y809">
        <f>'19_Расчет_аналитики'!$B$38*'18_Календарь_тарифы'!Y4</f>
        <v/>
      </c>
      <c r="Z809">
        <f>'19_Расчет_аналитики'!$B$38*'18_Календарь_тарифы'!Z4</f>
        <v/>
      </c>
      <c r="AA809">
        <f>'19_Расчет_аналитики'!$B$38*'18_Календарь_тарифы'!AA4</f>
        <v/>
      </c>
      <c r="AB809">
        <f>'19_Расчет_аналитики'!$B$38*'18_Календарь_тарифы'!AB4</f>
        <v/>
      </c>
      <c r="AC809">
        <f>'19_Расчет_аналитики'!$B$38*'18_Календарь_тарифы'!AC4</f>
        <v/>
      </c>
      <c r="AD809">
        <f>'19_Расчет_аналитики'!$B$38*'18_Календарь_тарифы'!AD4</f>
        <v/>
      </c>
      <c r="AE809">
        <f>'19_Расчет_аналитики'!$B$38*'18_Календарь_тарифы'!AE4</f>
        <v/>
      </c>
      <c r="AF809">
        <f>'19_Расчет_аналитики'!$B$38*'18_Календарь_тарифы'!AF4</f>
        <v/>
      </c>
      <c r="AG809">
        <f>'19_Расчет_аналитики'!$B$38*'18_Календарь_тарифы'!AG4</f>
        <v/>
      </c>
      <c r="AH809">
        <f>'19_Расчет_аналитики'!$B$38*'18_Календарь_тарифы'!AH4</f>
        <v/>
      </c>
      <c r="AI809">
        <f>'19_Расчет_аналитики'!$B$38*'18_Календарь_тарифы'!AI4</f>
        <v/>
      </c>
      <c r="AJ809">
        <f>'19_Расчет_аналитики'!$B$38*'18_Календарь_тарифы'!AJ4</f>
        <v/>
      </c>
      <c r="AK809">
        <f>'19_Расчет_аналитики'!$B$38*'18_Календарь_тарифы'!AK4</f>
        <v/>
      </c>
      <c r="AL809">
        <f>'19_Расчет_аналитики'!$B$38*'18_Календарь_тарифы'!AL4</f>
        <v/>
      </c>
      <c r="AM809">
        <f>'19_Расчет_аналитики'!$B$38*'18_Календарь_тарифы'!AM4</f>
        <v/>
      </c>
      <c r="AN809">
        <f>'19_Расчет_аналитики'!$B$38*'18_Календарь_тарифы'!AN4</f>
        <v/>
      </c>
      <c r="AO809">
        <f>'19_Расчет_аналитики'!$B$38*'18_Календарь_тарифы'!AO4</f>
        <v/>
      </c>
      <c r="AP809">
        <f>'19_Расчет_аналитики'!$B$38*'18_Календарь_тарифы'!AP4</f>
        <v/>
      </c>
      <c r="AQ809">
        <f>'19_Расчет_аналитики'!$B$38*'18_Календарь_тарифы'!AQ4</f>
        <v/>
      </c>
      <c r="AR809">
        <f>'19_Расчет_аналитики'!$B$38*'18_Календарь_тарифы'!AR4</f>
        <v/>
      </c>
      <c r="AS809">
        <f>'19_Расчет_аналитики'!$B$38*'18_Календарь_тарифы'!AS4</f>
        <v/>
      </c>
      <c r="AT809">
        <f>'19_Расчет_аналитики'!$B$38*'18_Календарь_тарифы'!AT4</f>
        <v/>
      </c>
      <c r="AU809">
        <f>'19_Расчет_аналитики'!$B$38*'18_Календарь_тарифы'!AU4</f>
        <v/>
      </c>
      <c r="AV809">
        <f>'19_Расчет_аналитики'!$B$38*'18_Календарь_тарифы'!AV4</f>
        <v/>
      </c>
      <c r="AW809">
        <f>'19_Расчет_аналитики'!$B$38*'18_Календарь_тарифы'!AW4</f>
        <v/>
      </c>
      <c r="AX809">
        <f>'19_Расчет_аналитики'!$B$38*'18_Календарь_тарифы'!AX4</f>
        <v/>
      </c>
      <c r="AY809">
        <f>'19_Расчет_аналитики'!$B$38*'18_Календарь_тарифы'!AY4</f>
        <v/>
      </c>
      <c r="AZ809">
        <f>'19_Расчет_аналитики'!$B$38*'18_Календарь_тарифы'!AZ4</f>
        <v/>
      </c>
      <c r="BA809">
        <f>'19_Расчет_аналитики'!$B$38*'18_Календарь_тарифы'!BA4</f>
        <v/>
      </c>
      <c r="BB809">
        <f>'19_Расчет_аналитики'!$B$38*'18_Календарь_тарифы'!BB4</f>
        <v/>
      </c>
      <c r="BC809">
        <f>'19_Расчет_аналитики'!$B$38*'18_Календарь_тарифы'!BC4</f>
        <v/>
      </c>
      <c r="BD809">
        <f>'19_Расчет_аналитики'!$B$38*'18_Календарь_тарифы'!BD4</f>
        <v/>
      </c>
      <c r="BE809">
        <f>'19_Расчет_аналитики'!$B$38*'18_Календарь_тарифы'!BE4</f>
        <v/>
      </c>
      <c r="BF809">
        <f>'19_Расчет_аналитики'!$B$38*'18_Календарь_тарифы'!BF4</f>
        <v/>
      </c>
      <c r="BG809">
        <f>'19_Расчет_аналитики'!$B$38*'18_Календарь_тарифы'!BG4</f>
        <v/>
      </c>
      <c r="BH809">
        <f>'19_Расчет_аналитики'!$B$38*'18_Календарь_тарифы'!BH4</f>
        <v/>
      </c>
      <c r="BI809">
        <f>'19_Расчет_аналитики'!$B$38*'18_Календарь_тарифы'!BI4</f>
        <v/>
      </c>
      <c r="BJ809">
        <f>'19_Расчет_аналитики'!$B$38*'18_Календарь_тарифы'!BJ4</f>
        <v/>
      </c>
      <c r="BK809">
        <f>'19_Расчет_аналитики'!$B$38*'18_Календарь_тарифы'!BK4</f>
        <v/>
      </c>
      <c r="BL809">
        <f>'19_Расчет_аналитики'!$B$38*'18_Календарь_тарифы'!BL4</f>
        <v/>
      </c>
      <c r="BM809">
        <f>'19_Расчет_аналитики'!$B$38*'18_Календарь_тарифы'!BM4</f>
        <v/>
      </c>
      <c r="BN809">
        <f>'19_Расчет_аналитики'!$B$38*'18_Календарь_тарифы'!BN4</f>
        <v/>
      </c>
      <c r="BO809">
        <f>'19_Расчет_аналитики'!$B$38*'18_Календарь_тарифы'!BO4</f>
        <v/>
      </c>
    </row>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c r="A1015" t="inlineStr">
        <is>
          <t>Base</t>
        </is>
      </c>
    </row>
    <row r="1016"/>
    <row r="1017">
      <c r="B1017">
        <f>'01_Вводные'!D198</f>
        <v/>
      </c>
      <c r="C1017">
        <f>'01_Вводные'!D199</f>
        <v/>
      </c>
      <c r="D1017">
        <f>'01_Вводные'!D200</f>
        <v/>
      </c>
      <c r="E1017">
        <f>'01_Вводные'!D201</f>
        <v/>
      </c>
      <c r="F1017">
        <f>'01_Вводные'!D202</f>
        <v/>
      </c>
      <c r="G1017">
        <f>'01_Вводные'!D203</f>
        <v/>
      </c>
    </row>
    <row r="1018"/>
    <row r="1019"/>
    <row r="1020"/>
    <row r="1021"/>
    <row r="1022"/>
    <row r="1023"/>
    <row r="1024"/>
    <row r="1025"/>
    <row r="1026"/>
    <row r="1027"/>
    <row r="1028"/>
    <row r="1029"/>
    <row r="1030"/>
    <row r="1031"/>
    <row r="1032"/>
    <row r="1033"/>
    <row r="1034"/>
    <row r="1035"/>
    <row r="1036"/>
    <row r="1037"/>
    <row r="1038"/>
    <row r="1039"/>
    <row r="1040"/>
    <row r="1041"/>
    <row r="1042">
      <c r="B1042">
        <f>'01_Вводные'!$B$225*'19_Расчет_аналитики'!$F$1227</f>
        <v/>
      </c>
    </row>
    <row r="1043"/>
    <row r="1044">
      <c r="B1044">
        <f>MAX(0,MIN(1,(30-'19_Расчет_аналитики'!B1042)/30))</f>
        <v/>
      </c>
    </row>
    <row r="1045"/>
    <row r="1046"/>
    <row r="1047"/>
    <row r="1048"/>
    <row r="1049"/>
    <row r="1050">
      <c r="B1050">
        <f>'01_Вводные'!$B$224*'19_Расчет_аналитики'!$F$1226</f>
        <v/>
      </c>
    </row>
    <row r="1051"/>
    <row r="1052"/>
    <row r="1053"/>
    <row r="1054"/>
    <row r="1055"/>
    <row r="1056"/>
    <row r="1057"/>
    <row r="1058"/>
    <row r="1059"/>
    <row r="1060">
      <c r="B1060">
        <f>'01_Вводные'!$B$210*'19_Расчет_аналитики'!$F$1222</f>
        <v/>
      </c>
    </row>
    <row r="1061">
      <c r="B1061">
        <f>'01_Вводные'!$B$211*'19_Расчет_аналитики'!$F$1222</f>
        <v/>
      </c>
    </row>
    <row r="1062">
      <c r="B1062">
        <f>'01_Вводные'!$B$212*'19_Расчет_аналитики'!$F$1222</f>
        <v/>
      </c>
    </row>
    <row r="1063">
      <c r="B1063">
        <f>'01_Вводные'!$B$213*'19_Расчет_аналитики'!$F$1222</f>
        <v/>
      </c>
    </row>
    <row r="1064">
      <c r="B1064">
        <f>'01_Вводные'!$B$214*'19_Расчет_аналитики'!$F$1222</f>
        <v/>
      </c>
    </row>
    <row r="1065"/>
    <row r="1066"/>
    <row r="1067"/>
    <row r="1068"/>
    <row r="1069"/>
    <row r="1070">
      <c r="B1070">
        <f>'01_Вводные'!$B$215*'19_Расчет_аналитики'!$F$1223</f>
        <v/>
      </c>
    </row>
    <row r="1071">
      <c r="B1071">
        <f>'01_Вводные'!$B$216*'19_Расчет_аналитики'!$F$1223</f>
        <v/>
      </c>
    </row>
    <row r="1072"/>
    <row r="1073"/>
    <row r="1074"/>
    <row r="1075">
      <c r="B1075">
        <f>'01_Вводные'!$B$217*'19_Расчет_аналитики'!$F$1224</f>
        <v/>
      </c>
    </row>
    <row r="1076"/>
    <row r="1077"/>
    <row r="1078"/>
    <row r="1079"/>
    <row r="1080"/>
    <row r="1081"/>
    <row r="1082"/>
    <row r="1083"/>
    <row r="1084"/>
    <row r="1085"/>
    <row r="1086"/>
    <row r="1087">
      <c r="C1087">
        <f>'01_Вводные'!$B$218*'19_Расчет_аналитики'!$F$1224</f>
        <v/>
      </c>
    </row>
    <row r="1088">
      <c r="C1088">
        <f>'01_Вводные'!$B$219*'19_Расчет_аналитики'!$F$1224</f>
        <v/>
      </c>
    </row>
    <row r="1089">
      <c r="C1089">
        <f>'01_Вводные'!$B$220*'19_Расчет_аналитики'!$F$1224</f>
        <v/>
      </c>
    </row>
    <row r="1090">
      <c r="C1090">
        <f>'01_Вводные'!$B$221*'19_Расчет_аналитики'!$F$1224</f>
        <v/>
      </c>
    </row>
    <row r="1091">
      <c r="C1091">
        <f>'01_Вводные'!$B$222*'19_Расчет_аналитики'!$F$1224</f>
        <v/>
      </c>
    </row>
    <row r="1092"/>
    <row r="1093"/>
    <row r="1094"/>
    <row r="1095"/>
    <row r="1096"/>
    <row r="1097"/>
    <row r="1098">
      <c r="B1098">
        <f>'01_Вводные'!$B$223*'19_Расчет_аналитики'!$F$1225</f>
        <v/>
      </c>
    </row>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c r="F1222">
        <f>'19_Расчет_аналитики'!$B$1017</f>
        <v/>
      </c>
    </row>
    <row r="1223">
      <c r="F1223">
        <f>'19_Расчет_аналитики'!$C$1017</f>
        <v/>
      </c>
    </row>
    <row r="1224">
      <c r="F1224">
        <f>'19_Расчет_аналитики'!$D$1017</f>
        <v/>
      </c>
    </row>
    <row r="1225">
      <c r="F1225">
        <f>'19_Расчет_аналитики'!$E$1017</f>
        <v/>
      </c>
    </row>
    <row r="1226">
      <c r="F1226">
        <f>'19_Расчет_аналитики'!$F$1017</f>
        <v/>
      </c>
    </row>
    <row r="1227">
      <c r="F1227">
        <f>'19_Расчет_аналитики'!$G$1017</f>
        <v/>
      </c>
    </row>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c r="B1340">
        <f>'19_Расчет_аналитики'!B1060</f>
        <v/>
      </c>
      <c r="D1340">
        <f>SUM('19_Расчет_аналитики'!B1350:M1350)</f>
        <v/>
      </c>
      <c r="E1340">
        <f>ROUND('19_Расчет_аналитики'!D1340-'19_Расчет_аналитики'!B1340,8)</f>
        <v/>
      </c>
    </row>
    <row r="1341">
      <c r="B1341">
        <f>'19_Расчет_аналитики'!B1061</f>
        <v/>
      </c>
      <c r="D1341">
        <f>SUM('19_Расчет_аналитики'!N1350:Y1350)</f>
        <v/>
      </c>
      <c r="E1341">
        <f>ROUND('19_Расчет_аналитики'!D1341-'19_Расчет_аналитики'!B1341,8)</f>
        <v/>
      </c>
    </row>
    <row r="1342">
      <c r="B1342">
        <f>'19_Расчет_аналитики'!B1062</f>
        <v/>
      </c>
      <c r="D1342">
        <f>SUM('19_Расчет_аналитики'!Z1350:AK1350)</f>
        <v/>
      </c>
      <c r="E1342">
        <f>ROUND('19_Расчет_аналитики'!D1342-'19_Расчет_аналитики'!B1342,8)</f>
        <v/>
      </c>
    </row>
    <row r="1343">
      <c r="B1343">
        <f>'19_Расчет_аналитики'!B1063</f>
        <v/>
      </c>
      <c r="D1343">
        <f>SUM('19_Расчет_аналитики'!AL1350:AW1350)</f>
        <v/>
      </c>
      <c r="E1343">
        <f>ROUND('19_Расчет_аналитики'!D1343-'19_Расчет_аналитики'!B1343,8)</f>
        <v/>
      </c>
    </row>
    <row r="1344">
      <c r="B1344">
        <f>'19_Расчет_аналитики'!B1064</f>
        <v/>
      </c>
      <c r="D1344">
        <f>SUM('19_Расчет_аналитики'!AX1350:BI1350)</f>
        <v/>
      </c>
      <c r="E1344">
        <f>ROUND('19_Расчет_аналитики'!D1344-'19_Расчет_аналитики'!B1344,8)</f>
        <v/>
      </c>
    </row>
    <row r="1345"/>
    <row r="1346"/>
    <row r="1347"/>
    <row r="1348"/>
    <row r="1349"/>
    <row r="1350">
      <c r="B1350">
        <f>0</f>
        <v/>
      </c>
      <c r="C1350">
        <f>'19_Расчет_аналитики'!$B$1060*INDEX('01_Вводные'!$C$36:$N$36,1,MOD(MONTH('06_Сеть_и_дети'!C$3)-9,12)+1)/(SUM('01_Вводные'!$C$36:$N$36)-INDEX('01_Вводные'!$C$36:$N$36,1,MOD(MONTH('01_Вводные'!$B$7)-9,12)+1))</f>
        <v/>
      </c>
      <c r="D1350">
        <f>'19_Расчет_аналитики'!$B$1060*INDEX('01_Вводные'!$C$36:$N$36,1,MOD(MONTH('06_Сеть_и_дети'!D$3)-9,12)+1)/(SUM('01_Вводные'!$C$36:$N$36)-INDEX('01_Вводные'!$C$36:$N$36,1,MOD(MONTH('01_Вводные'!$B$7)-9,12)+1))</f>
        <v/>
      </c>
      <c r="E1350">
        <f>'19_Расчет_аналитики'!$B$1060*INDEX('01_Вводные'!$C$36:$N$36,1,MOD(MONTH('06_Сеть_и_дети'!E$3)-9,12)+1)/(SUM('01_Вводные'!$C$36:$N$36)-INDEX('01_Вводные'!$C$36:$N$36,1,MOD(MONTH('01_Вводные'!$B$7)-9,12)+1))</f>
        <v/>
      </c>
      <c r="F1350">
        <f>'19_Расчет_аналитики'!$B$1060*INDEX('01_Вводные'!$C$36:$N$36,1,MOD(MONTH('06_Сеть_и_дети'!F$3)-9,12)+1)/(SUM('01_Вводные'!$C$36:$N$36)-INDEX('01_Вводные'!$C$36:$N$36,1,MOD(MONTH('01_Вводные'!$B$7)-9,12)+1))</f>
        <v/>
      </c>
      <c r="G1350">
        <f>'19_Расчет_аналитики'!$B$1060*INDEX('01_Вводные'!$C$36:$N$36,1,MOD(MONTH('06_Сеть_и_дети'!G$3)-9,12)+1)/(SUM('01_Вводные'!$C$36:$N$36)-INDEX('01_Вводные'!$C$36:$N$36,1,MOD(MONTH('01_Вводные'!$B$7)-9,12)+1))</f>
        <v/>
      </c>
      <c r="H1350">
        <f>'19_Расчет_аналитики'!$B$1060*INDEX('01_Вводные'!$C$36:$N$36,1,MOD(MONTH('06_Сеть_и_дети'!H$3)-9,12)+1)/(SUM('01_Вводные'!$C$36:$N$36)-INDEX('01_Вводные'!$C$36:$N$36,1,MOD(MONTH('01_Вводные'!$B$7)-9,12)+1))</f>
        <v/>
      </c>
      <c r="I1350">
        <f>'19_Расчет_аналитики'!$B$1060*INDEX('01_Вводные'!$C$36:$N$36,1,MOD(MONTH('06_Сеть_и_дети'!I$3)-9,12)+1)/(SUM('01_Вводные'!$C$36:$N$36)-INDEX('01_Вводные'!$C$36:$N$36,1,MOD(MONTH('01_Вводные'!$B$7)-9,12)+1))</f>
        <v/>
      </c>
      <c r="J1350">
        <f>'19_Расчет_аналитики'!$B$1060*INDEX('01_Вводные'!$C$36:$N$36,1,MOD(MONTH('06_Сеть_и_дети'!J$3)-9,12)+1)/(SUM('01_Вводные'!$C$36:$N$36)-INDEX('01_Вводные'!$C$36:$N$36,1,MOD(MONTH('01_Вводные'!$B$7)-9,12)+1))</f>
        <v/>
      </c>
      <c r="K1350">
        <f>'19_Расчет_аналитики'!$B$1060*INDEX('01_Вводные'!$C$36:$N$36,1,MOD(MONTH('06_Сеть_и_дети'!K$3)-9,12)+1)/(SUM('01_Вводные'!$C$36:$N$36)-INDEX('01_Вводные'!$C$36:$N$36,1,MOD(MONTH('01_Вводные'!$B$7)-9,12)+1))</f>
        <v/>
      </c>
      <c r="L1350">
        <f>'19_Расчет_аналитики'!$B$1060*INDEX('01_Вводные'!$C$36:$N$36,1,MOD(MONTH('06_Сеть_и_дети'!L$3)-9,12)+1)/(SUM('01_Вводные'!$C$36:$N$36)-INDEX('01_Вводные'!$C$36:$N$36,1,MOD(MONTH('01_Вводные'!$B$7)-9,12)+1))</f>
        <v/>
      </c>
      <c r="M1350">
        <f>'19_Расчет_аналитики'!$B$1060*INDEX('01_Вводные'!$C$36:$N$36,1,MOD(MONTH('06_Сеть_и_дети'!M$3)-9,12)+1)/(SUM('01_Вводные'!$C$36:$N$36)-INDEX('01_Вводные'!$C$36:$N$36,1,MOD(MONTH('01_Вводные'!$B$7)-9,12)+1))</f>
        <v/>
      </c>
      <c r="N1350">
        <f>'19_Расчет_аналитики'!$B$1061*INDEX('01_Вводные'!$C$37:$N$37,1,MOD(MONTH('06_Сеть_и_дети'!N$3)-9,12)+1)/SUM('01_Вводные'!$C$37:$N$37)</f>
        <v/>
      </c>
      <c r="O1350">
        <f>'19_Расчет_аналитики'!$B$1061*INDEX('01_Вводные'!$C$37:$N$37,1,MOD(MONTH('06_Сеть_и_дети'!O$3)-9,12)+1)/SUM('01_Вводные'!$C$37:$N$37)</f>
        <v/>
      </c>
      <c r="P1350">
        <f>'19_Расчет_аналитики'!$B$1061*INDEX('01_Вводные'!$C$37:$N$37,1,MOD(MONTH('06_Сеть_и_дети'!P$3)-9,12)+1)/SUM('01_Вводные'!$C$37:$N$37)</f>
        <v/>
      </c>
      <c r="Q1350">
        <f>'19_Расчет_аналитики'!$B$1061*INDEX('01_Вводные'!$C$37:$N$37,1,MOD(MONTH('06_Сеть_и_дети'!Q$3)-9,12)+1)/SUM('01_Вводные'!$C$37:$N$37)</f>
        <v/>
      </c>
      <c r="R1350">
        <f>'19_Расчет_аналитики'!$B$1061*INDEX('01_Вводные'!$C$37:$N$37,1,MOD(MONTH('06_Сеть_и_дети'!R$3)-9,12)+1)/SUM('01_Вводные'!$C$37:$N$37)</f>
        <v/>
      </c>
      <c r="S1350">
        <f>'19_Расчет_аналитики'!$B$1061*INDEX('01_Вводные'!$C$37:$N$37,1,MOD(MONTH('06_Сеть_и_дети'!S$3)-9,12)+1)/SUM('01_Вводные'!$C$37:$N$37)</f>
        <v/>
      </c>
      <c r="T1350">
        <f>'19_Расчет_аналитики'!$B$1061*INDEX('01_Вводные'!$C$37:$N$37,1,MOD(MONTH('06_Сеть_и_дети'!T$3)-9,12)+1)/SUM('01_Вводные'!$C$37:$N$37)</f>
        <v/>
      </c>
      <c r="U1350">
        <f>'19_Расчет_аналитики'!$B$1061*INDEX('01_Вводные'!$C$37:$N$37,1,MOD(MONTH('06_Сеть_и_дети'!U$3)-9,12)+1)/SUM('01_Вводные'!$C$37:$N$37)</f>
        <v/>
      </c>
      <c r="V1350">
        <f>'19_Расчет_аналитики'!$B$1061*INDEX('01_Вводные'!$C$37:$N$37,1,MOD(MONTH('06_Сеть_и_дети'!V$3)-9,12)+1)/SUM('01_Вводные'!$C$37:$N$37)</f>
        <v/>
      </c>
      <c r="W1350">
        <f>'19_Расчет_аналитики'!$B$1061*INDEX('01_Вводные'!$C$37:$N$37,1,MOD(MONTH('06_Сеть_и_дети'!W$3)-9,12)+1)/SUM('01_Вводные'!$C$37:$N$37)</f>
        <v/>
      </c>
      <c r="X1350">
        <f>'19_Расчет_аналитики'!$B$1061*INDEX('01_Вводные'!$C$37:$N$37,1,MOD(MONTH('06_Сеть_и_дети'!X$3)-9,12)+1)/SUM('01_Вводные'!$C$37:$N$37)</f>
        <v/>
      </c>
      <c r="Y1350">
        <f>'19_Расчет_аналитики'!$B$1061*INDEX('01_Вводные'!$C$37:$N$37,1,MOD(MONTH('06_Сеть_и_дети'!Y$3)-9,12)+1)/SUM('01_Вводные'!$C$37:$N$37)</f>
        <v/>
      </c>
      <c r="Z1350">
        <f>'19_Расчет_аналитики'!$B$1062*INDEX('01_Вводные'!$C$38:$N$38,1,MOD(MONTH('06_Сеть_и_дети'!Z$3)-9,12)+1)/SUM('01_Вводные'!$C$38:$N$38)</f>
        <v/>
      </c>
      <c r="AA1350">
        <f>'19_Расчет_аналитики'!$B$1062*INDEX('01_Вводные'!$C$38:$N$38,1,MOD(MONTH('06_Сеть_и_дети'!AA$3)-9,12)+1)/SUM('01_Вводные'!$C$38:$N$38)</f>
        <v/>
      </c>
      <c r="AB1350">
        <f>'19_Расчет_аналитики'!$B$1062*INDEX('01_Вводные'!$C$38:$N$38,1,MOD(MONTH('06_Сеть_и_дети'!AB$3)-9,12)+1)/SUM('01_Вводные'!$C$38:$N$38)</f>
        <v/>
      </c>
      <c r="AC1350">
        <f>'19_Расчет_аналитики'!$B$1062*INDEX('01_Вводные'!$C$38:$N$38,1,MOD(MONTH('06_Сеть_и_дети'!AC$3)-9,12)+1)/SUM('01_Вводные'!$C$38:$N$38)</f>
        <v/>
      </c>
      <c r="AD1350">
        <f>'19_Расчет_аналитики'!$B$1062*INDEX('01_Вводные'!$C$38:$N$38,1,MOD(MONTH('06_Сеть_и_дети'!AD$3)-9,12)+1)/SUM('01_Вводные'!$C$38:$N$38)</f>
        <v/>
      </c>
      <c r="AE1350">
        <f>'19_Расчет_аналитики'!$B$1062*INDEX('01_Вводные'!$C$38:$N$38,1,MOD(MONTH('06_Сеть_и_дети'!AE$3)-9,12)+1)/SUM('01_Вводные'!$C$38:$N$38)</f>
        <v/>
      </c>
      <c r="AF1350">
        <f>'19_Расчет_аналитики'!$B$1062*INDEX('01_Вводные'!$C$38:$N$38,1,MOD(MONTH('06_Сеть_и_дети'!AF$3)-9,12)+1)/SUM('01_Вводные'!$C$38:$N$38)</f>
        <v/>
      </c>
      <c r="AG1350">
        <f>'19_Расчет_аналитики'!$B$1062*INDEX('01_Вводные'!$C$38:$N$38,1,MOD(MONTH('06_Сеть_и_дети'!AG$3)-9,12)+1)/SUM('01_Вводные'!$C$38:$N$38)</f>
        <v/>
      </c>
      <c r="AH1350">
        <f>'19_Расчет_аналитики'!$B$1062*INDEX('01_Вводные'!$C$38:$N$38,1,MOD(MONTH('06_Сеть_и_дети'!AH$3)-9,12)+1)/SUM('01_Вводные'!$C$38:$N$38)</f>
        <v/>
      </c>
      <c r="AI1350">
        <f>'19_Расчет_аналитики'!$B$1062*INDEX('01_Вводные'!$C$38:$N$38,1,MOD(MONTH('06_Сеть_и_дети'!AI$3)-9,12)+1)/SUM('01_Вводные'!$C$38:$N$38)</f>
        <v/>
      </c>
      <c r="AJ1350">
        <f>'19_Расчет_аналитики'!$B$1062*INDEX('01_Вводные'!$C$38:$N$38,1,MOD(MONTH('06_Сеть_и_дети'!AJ$3)-9,12)+1)/SUM('01_Вводные'!$C$38:$N$38)</f>
        <v/>
      </c>
      <c r="AK1350">
        <f>'19_Расчет_аналитики'!$B$1062*INDEX('01_Вводные'!$C$38:$N$38,1,MOD(MONTH('06_Сеть_и_дети'!AK$3)-9,12)+1)/SUM('01_Вводные'!$C$38:$N$38)</f>
        <v/>
      </c>
      <c r="AL1350">
        <f>'19_Расчет_аналитики'!$B$1063*INDEX('01_Вводные'!$C$39:$N$39,1,MOD(MONTH('06_Сеть_и_дети'!AL$3)-9,12)+1)/SUM('01_Вводные'!$C$39:$N$39)</f>
        <v/>
      </c>
      <c r="AM1350">
        <f>'19_Расчет_аналитики'!$B$1063*INDEX('01_Вводные'!$C$39:$N$39,1,MOD(MONTH('06_Сеть_и_дети'!AM$3)-9,12)+1)/SUM('01_Вводные'!$C$39:$N$39)</f>
        <v/>
      </c>
      <c r="AN1350">
        <f>'19_Расчет_аналитики'!$B$1063*INDEX('01_Вводные'!$C$39:$N$39,1,MOD(MONTH('06_Сеть_и_дети'!AN$3)-9,12)+1)/SUM('01_Вводные'!$C$39:$N$39)</f>
        <v/>
      </c>
      <c r="AO1350">
        <f>'19_Расчет_аналитики'!$B$1063*INDEX('01_Вводные'!$C$39:$N$39,1,MOD(MONTH('06_Сеть_и_дети'!AO$3)-9,12)+1)/SUM('01_Вводные'!$C$39:$N$39)</f>
        <v/>
      </c>
      <c r="AP1350">
        <f>'19_Расчет_аналитики'!$B$1063*INDEX('01_Вводные'!$C$39:$N$39,1,MOD(MONTH('06_Сеть_и_дети'!AP$3)-9,12)+1)/SUM('01_Вводные'!$C$39:$N$39)</f>
        <v/>
      </c>
      <c r="AQ1350">
        <f>'19_Расчет_аналитики'!$B$1063*INDEX('01_Вводные'!$C$39:$N$39,1,MOD(MONTH('06_Сеть_и_дети'!AQ$3)-9,12)+1)/SUM('01_Вводные'!$C$39:$N$39)</f>
        <v/>
      </c>
      <c r="AR1350">
        <f>'19_Расчет_аналитики'!$B$1063*INDEX('01_Вводные'!$C$39:$N$39,1,MOD(MONTH('06_Сеть_и_дети'!AR$3)-9,12)+1)/SUM('01_Вводные'!$C$39:$N$39)</f>
        <v/>
      </c>
      <c r="AS1350">
        <f>'19_Расчет_аналитики'!$B$1063*INDEX('01_Вводные'!$C$39:$N$39,1,MOD(MONTH('06_Сеть_и_дети'!AS$3)-9,12)+1)/SUM('01_Вводные'!$C$39:$N$39)</f>
        <v/>
      </c>
      <c r="AT1350">
        <f>'19_Расчет_аналитики'!$B$1063*INDEX('01_Вводные'!$C$39:$N$39,1,MOD(MONTH('06_Сеть_и_дети'!AT$3)-9,12)+1)/SUM('01_Вводные'!$C$39:$N$39)</f>
        <v/>
      </c>
      <c r="AU1350">
        <f>'19_Расчет_аналитики'!$B$1063*INDEX('01_Вводные'!$C$39:$N$39,1,MOD(MONTH('06_Сеть_и_дети'!AU$3)-9,12)+1)/SUM('01_Вводные'!$C$39:$N$39)</f>
        <v/>
      </c>
      <c r="AV1350">
        <f>'19_Расчет_аналитики'!$B$1063*INDEX('01_Вводные'!$C$39:$N$39,1,MOD(MONTH('06_Сеть_и_дети'!AV$3)-9,12)+1)/SUM('01_Вводные'!$C$39:$N$39)</f>
        <v/>
      </c>
      <c r="AW1350">
        <f>'19_Расчет_аналитики'!$B$1063*INDEX('01_Вводные'!$C$39:$N$39,1,MOD(MONTH('06_Сеть_и_дети'!AW$3)-9,12)+1)/SUM('01_Вводные'!$C$39:$N$39)</f>
        <v/>
      </c>
      <c r="AX1350">
        <f>'19_Расчет_аналитики'!$B$1064*INDEX('01_Вводные'!$C$40:$N$40,1,MOD(MONTH('06_Сеть_и_дети'!AX$3)-9,12)+1)/SUM('01_Вводные'!$C$40:$N$40)</f>
        <v/>
      </c>
      <c r="AY1350">
        <f>'19_Расчет_аналитики'!$B$1064*INDEX('01_Вводные'!$C$40:$N$40,1,MOD(MONTH('06_Сеть_и_дети'!AY$3)-9,12)+1)/SUM('01_Вводные'!$C$40:$N$40)</f>
        <v/>
      </c>
      <c r="AZ1350">
        <f>'19_Расчет_аналитики'!$B$1064*INDEX('01_Вводные'!$C$40:$N$40,1,MOD(MONTH('06_Сеть_и_дети'!AZ$3)-9,12)+1)/SUM('01_Вводные'!$C$40:$N$40)</f>
        <v/>
      </c>
      <c r="BA1350">
        <f>'19_Расчет_аналитики'!$B$1064*INDEX('01_Вводные'!$C$40:$N$40,1,MOD(MONTH('06_Сеть_и_дети'!BA$3)-9,12)+1)/SUM('01_Вводные'!$C$40:$N$40)</f>
        <v/>
      </c>
      <c r="BB1350">
        <f>'19_Расчет_аналитики'!$B$1064*INDEX('01_Вводные'!$C$40:$N$40,1,MOD(MONTH('06_Сеть_и_дети'!BB$3)-9,12)+1)/SUM('01_Вводные'!$C$40:$N$40)</f>
        <v/>
      </c>
      <c r="BC1350">
        <f>'19_Расчет_аналитики'!$B$1064*INDEX('01_Вводные'!$C$40:$N$40,1,MOD(MONTH('06_Сеть_и_дети'!BC$3)-9,12)+1)/SUM('01_Вводные'!$C$40:$N$40)</f>
        <v/>
      </c>
      <c r="BD1350">
        <f>'19_Расчет_аналитики'!$B$1064*INDEX('01_Вводные'!$C$40:$N$40,1,MOD(MONTH('06_Сеть_и_дети'!BD$3)-9,12)+1)/SUM('01_Вводные'!$C$40:$N$40)</f>
        <v/>
      </c>
      <c r="BE1350">
        <f>'19_Расчет_аналитики'!$B$1064*INDEX('01_Вводные'!$C$40:$N$40,1,MOD(MONTH('06_Сеть_и_дети'!BE$3)-9,12)+1)/SUM('01_Вводные'!$C$40:$N$40)</f>
        <v/>
      </c>
      <c r="BF1350">
        <f>'19_Расчет_аналитики'!$B$1064*INDEX('01_Вводные'!$C$40:$N$40,1,MOD(MONTH('06_Сеть_и_дети'!BF$3)-9,12)+1)/SUM('01_Вводные'!$C$40:$N$40)</f>
        <v/>
      </c>
      <c r="BG1350">
        <f>'19_Расчет_аналитики'!$B$1064*INDEX('01_Вводные'!$C$40:$N$40,1,MOD(MONTH('06_Сеть_и_дети'!BG$3)-9,12)+1)/SUM('01_Вводные'!$C$40:$N$40)</f>
        <v/>
      </c>
      <c r="BH1350">
        <f>'19_Расчет_аналитики'!$B$1064*INDEX('01_Вводные'!$C$40:$N$40,1,MOD(MONTH('06_Сеть_и_дети'!BH$3)-9,12)+1)/SUM('01_Вводные'!$C$40:$N$40)</f>
        <v/>
      </c>
      <c r="BI1350">
        <f>'19_Расчет_аналитики'!$B$1064*INDEX('01_Вводные'!$C$40:$N$40,1,MOD(MONTH('06_Сеть_и_дети'!BI$3)-9,12)+1)/SUM('01_Вводные'!$C$40:$N$40)</f>
        <v/>
      </c>
    </row>
    <row r="1351">
      <c r="A1351" t="inlineStr">
        <is>
          <t>Минимальный запас для возврата займа</t>
        </is>
      </c>
      <c r="B1351">
        <f>SUM(IF('01_Вводные'!$B$310&gt;=1,'19_Расчет_аналитики'!C1629,0),IF('01_Вводные'!$B$310&gt;=2,'19_Расчет_аналитики'!D1629,0),IF('01_Вводные'!$B$310&gt;=3,'19_Расчет_аналитики'!E1629,0),IF('01_Вводные'!$B$310&gt;=4,'19_Расчет_аналитики'!F1629,0),IF('01_Вводные'!$B$310&gt;=5,'19_Расчет_аналитики'!G1629,0),IF('01_Вводные'!$B$310&gt;=6,'19_Расчет_аналитики'!H1629,0))</f>
        <v/>
      </c>
      <c r="C1351">
        <f>SUM(IF('01_Вводные'!$B$310&gt;=1,'19_Расчет_аналитики'!D1629,0),IF('01_Вводные'!$B$310&gt;=2,'19_Расчет_аналитики'!E1629,0),IF('01_Вводные'!$B$310&gt;=3,'19_Расчет_аналитики'!F1629,0),IF('01_Вводные'!$B$310&gt;=4,'19_Расчет_аналитики'!G1629,0),IF('01_Вводные'!$B$310&gt;=5,'19_Расчет_аналитики'!H1629,0),IF('01_Вводные'!$B$310&gt;=6,'19_Расчет_аналитики'!I1629,0))</f>
        <v/>
      </c>
      <c r="D1351">
        <f>SUM(IF('01_Вводные'!$B$310&gt;=1,'19_Расчет_аналитики'!E1629,0),IF('01_Вводные'!$B$310&gt;=2,'19_Расчет_аналитики'!F1629,0),IF('01_Вводные'!$B$310&gt;=3,'19_Расчет_аналитики'!G1629,0),IF('01_Вводные'!$B$310&gt;=4,'19_Расчет_аналитики'!H1629,0),IF('01_Вводные'!$B$310&gt;=5,'19_Расчет_аналитики'!I1629,0),IF('01_Вводные'!$B$310&gt;=6,'19_Расчет_аналитики'!J1629,0))</f>
        <v/>
      </c>
      <c r="E1351">
        <f>SUM(IF('01_Вводные'!$B$310&gt;=1,'19_Расчет_аналитики'!F1629,0),IF('01_Вводные'!$B$310&gt;=2,'19_Расчет_аналитики'!G1629,0),IF('01_Вводные'!$B$310&gt;=3,'19_Расчет_аналитики'!H1629,0),IF('01_Вводные'!$B$310&gt;=4,'19_Расчет_аналитики'!I1629,0),IF('01_Вводные'!$B$310&gt;=5,'19_Расчет_аналитики'!J1629,0),IF('01_Вводные'!$B$310&gt;=6,'19_Расчет_аналитики'!K1629,0))</f>
        <v/>
      </c>
      <c r="F1351">
        <f>SUM(IF('01_Вводные'!$B$310&gt;=1,'19_Расчет_аналитики'!G1629,0),IF('01_Вводные'!$B$310&gt;=2,'19_Расчет_аналитики'!H1629,0),IF('01_Вводные'!$B$310&gt;=3,'19_Расчет_аналитики'!I1629,0),IF('01_Вводные'!$B$310&gt;=4,'19_Расчет_аналитики'!J1629,0),IF('01_Вводные'!$B$310&gt;=5,'19_Расчет_аналитики'!K1629,0),IF('01_Вводные'!$B$310&gt;=6,'19_Расчет_аналитики'!L1629,0))</f>
        <v/>
      </c>
      <c r="G1351">
        <f>SUM(IF('01_Вводные'!$B$310&gt;=1,'19_Расчет_аналитики'!H1629,0),IF('01_Вводные'!$B$310&gt;=2,'19_Расчет_аналитики'!I1629,0),IF('01_Вводные'!$B$310&gt;=3,'19_Расчет_аналитики'!J1629,0),IF('01_Вводные'!$B$310&gt;=4,'19_Расчет_аналитики'!K1629,0),IF('01_Вводные'!$B$310&gt;=5,'19_Расчет_аналитики'!L1629,0),IF('01_Вводные'!$B$310&gt;=6,'19_Расчет_аналитики'!M1629,0))</f>
        <v/>
      </c>
      <c r="H1351">
        <f>SUM(IF('01_Вводные'!$B$310&gt;=1,'19_Расчет_аналитики'!I1629,0),IF('01_Вводные'!$B$310&gt;=2,'19_Расчет_аналитики'!J1629,0),IF('01_Вводные'!$B$310&gt;=3,'19_Расчет_аналитики'!K1629,0),IF('01_Вводные'!$B$310&gt;=4,'19_Расчет_аналитики'!L1629,0),IF('01_Вводные'!$B$310&gt;=5,'19_Расчет_аналитики'!M1629,0),IF('01_Вводные'!$B$310&gt;=6,'19_Расчет_аналитики'!N1629,0))</f>
        <v/>
      </c>
      <c r="I1351">
        <f>SUM(IF('01_Вводные'!$B$310&gt;=1,'19_Расчет_аналитики'!J1629,0),IF('01_Вводные'!$B$310&gt;=2,'19_Расчет_аналитики'!K1629,0),IF('01_Вводные'!$B$310&gt;=3,'19_Расчет_аналитики'!L1629,0),IF('01_Вводные'!$B$310&gt;=4,'19_Расчет_аналитики'!M1629,0),IF('01_Вводные'!$B$310&gt;=5,'19_Расчет_аналитики'!N1629,0),IF('01_Вводные'!$B$310&gt;=6,'19_Расчет_аналитики'!O1629,0))</f>
        <v/>
      </c>
      <c r="J1351">
        <f>SUM(IF('01_Вводные'!$B$310&gt;=1,'19_Расчет_аналитики'!K1629,0),IF('01_Вводные'!$B$310&gt;=2,'19_Расчет_аналитики'!L1629,0),IF('01_Вводные'!$B$310&gt;=3,'19_Расчет_аналитики'!M1629,0),IF('01_Вводные'!$B$310&gt;=4,'19_Расчет_аналитики'!N1629,0),IF('01_Вводные'!$B$310&gt;=5,'19_Расчет_аналитики'!O1629,0),IF('01_Вводные'!$B$310&gt;=6,'19_Расчет_аналитики'!P1629,0))</f>
        <v/>
      </c>
      <c r="K1351">
        <f>SUM(IF('01_Вводные'!$B$310&gt;=1,'19_Расчет_аналитики'!L1629,0),IF('01_Вводные'!$B$310&gt;=2,'19_Расчет_аналитики'!M1629,0),IF('01_Вводные'!$B$310&gt;=3,'19_Расчет_аналитики'!N1629,0),IF('01_Вводные'!$B$310&gt;=4,'19_Расчет_аналитики'!O1629,0),IF('01_Вводные'!$B$310&gt;=5,'19_Расчет_аналитики'!P1629,0),IF('01_Вводные'!$B$310&gt;=6,'19_Расчет_аналитики'!Q1629,0))</f>
        <v/>
      </c>
      <c r="L1351">
        <f>SUM(IF('01_Вводные'!$B$310&gt;=1,'19_Расчет_аналитики'!M1629,0),IF('01_Вводные'!$B$310&gt;=2,'19_Расчет_аналитики'!N1629,0),IF('01_Вводные'!$B$310&gt;=3,'19_Расчет_аналитики'!O1629,0),IF('01_Вводные'!$B$310&gt;=4,'19_Расчет_аналитики'!P1629,0),IF('01_Вводные'!$B$310&gt;=5,'19_Расчет_аналитики'!Q1629,0),IF('01_Вводные'!$B$310&gt;=6,'19_Расчет_аналитики'!R1629,0))</f>
        <v/>
      </c>
      <c r="M1351">
        <f>SUM(IF('01_Вводные'!$B$310&gt;=1,'19_Расчет_аналитики'!N1629,0),IF('01_Вводные'!$B$310&gt;=2,'19_Расчет_аналитики'!O1629,0),IF('01_Вводные'!$B$310&gt;=3,'19_Расчет_аналитики'!P1629,0),IF('01_Вводные'!$B$310&gt;=4,'19_Расчет_аналитики'!Q1629,0),IF('01_Вводные'!$B$310&gt;=5,'19_Расчет_аналитики'!R1629,0),IF('01_Вводные'!$B$310&gt;=6,'19_Расчет_аналитики'!S1629,0))</f>
        <v/>
      </c>
      <c r="N1351">
        <f>SUM(IF('01_Вводные'!$B$310&gt;=1,'19_Расчет_аналитики'!O1629,0),IF('01_Вводные'!$B$310&gt;=2,'19_Расчет_аналитики'!P1629,0),IF('01_Вводные'!$B$310&gt;=3,'19_Расчет_аналитики'!Q1629,0),IF('01_Вводные'!$B$310&gt;=4,'19_Расчет_аналитики'!R1629,0),IF('01_Вводные'!$B$310&gt;=5,'19_Расчет_аналитики'!S1629,0),IF('01_Вводные'!$B$310&gt;=6,'19_Расчет_аналитики'!T1629,0))</f>
        <v/>
      </c>
      <c r="O1351">
        <f>SUM(IF('01_Вводные'!$B$310&gt;=1,'19_Расчет_аналитики'!P1629,0),IF('01_Вводные'!$B$310&gt;=2,'19_Расчет_аналитики'!Q1629,0),IF('01_Вводные'!$B$310&gt;=3,'19_Расчет_аналитики'!R1629,0),IF('01_Вводные'!$B$310&gt;=4,'19_Расчет_аналитики'!S1629,0),IF('01_Вводные'!$B$310&gt;=5,'19_Расчет_аналитики'!T1629,0),IF('01_Вводные'!$B$310&gt;=6,'19_Расчет_аналитики'!U1629,0))</f>
        <v/>
      </c>
      <c r="P1351">
        <f>SUM(IF('01_Вводные'!$B$310&gt;=1,'19_Расчет_аналитики'!Q1629,0),IF('01_Вводные'!$B$310&gt;=2,'19_Расчет_аналитики'!R1629,0),IF('01_Вводные'!$B$310&gt;=3,'19_Расчет_аналитики'!S1629,0),IF('01_Вводные'!$B$310&gt;=4,'19_Расчет_аналитики'!T1629,0),IF('01_Вводные'!$B$310&gt;=5,'19_Расчет_аналитики'!U1629,0),IF('01_Вводные'!$B$310&gt;=6,'19_Расчет_аналитики'!V1629,0))</f>
        <v/>
      </c>
      <c r="Q1351">
        <f>SUM(IF('01_Вводные'!$B$310&gt;=1,'19_Расчет_аналитики'!R1629,0),IF('01_Вводные'!$B$310&gt;=2,'19_Расчет_аналитики'!S1629,0),IF('01_Вводные'!$B$310&gt;=3,'19_Расчет_аналитики'!T1629,0),IF('01_Вводные'!$B$310&gt;=4,'19_Расчет_аналитики'!U1629,0),IF('01_Вводные'!$B$310&gt;=5,'19_Расчет_аналитики'!V1629,0),IF('01_Вводные'!$B$310&gt;=6,'19_Расчет_аналитики'!W1629,0))</f>
        <v/>
      </c>
      <c r="R1351">
        <f>SUM(IF('01_Вводные'!$B$310&gt;=1,'19_Расчет_аналитики'!S1629,0),IF('01_Вводные'!$B$310&gt;=2,'19_Расчет_аналитики'!T1629,0),IF('01_Вводные'!$B$310&gt;=3,'19_Расчет_аналитики'!U1629,0),IF('01_Вводные'!$B$310&gt;=4,'19_Расчет_аналитики'!V1629,0),IF('01_Вводные'!$B$310&gt;=5,'19_Расчет_аналитики'!W1629,0),IF('01_Вводные'!$B$310&gt;=6,'19_Расчет_аналитики'!X1629,0))</f>
        <v/>
      </c>
      <c r="S1351">
        <f>SUM(IF('01_Вводные'!$B$310&gt;=1,'19_Расчет_аналитики'!T1629,0),IF('01_Вводные'!$B$310&gt;=2,'19_Расчет_аналитики'!U1629,0),IF('01_Вводные'!$B$310&gt;=3,'19_Расчет_аналитики'!V1629,0),IF('01_Вводные'!$B$310&gt;=4,'19_Расчет_аналитики'!W1629,0),IF('01_Вводные'!$B$310&gt;=5,'19_Расчет_аналитики'!X1629,0),IF('01_Вводные'!$B$310&gt;=6,'19_Расчет_аналитики'!Y1629,0))</f>
        <v/>
      </c>
      <c r="T1351">
        <f>SUM(IF('01_Вводные'!$B$310&gt;=1,'19_Расчет_аналитики'!U1629,0),IF('01_Вводные'!$B$310&gt;=2,'19_Расчет_аналитики'!V1629,0),IF('01_Вводные'!$B$310&gt;=3,'19_Расчет_аналитики'!W1629,0),IF('01_Вводные'!$B$310&gt;=4,'19_Расчет_аналитики'!X1629,0),IF('01_Вводные'!$B$310&gt;=5,'19_Расчет_аналитики'!Y1629,0),IF('01_Вводные'!$B$310&gt;=6,'19_Расчет_аналитики'!Z1629,0))</f>
        <v/>
      </c>
      <c r="U1351">
        <f>SUM(IF('01_Вводные'!$B$310&gt;=1,'19_Расчет_аналитики'!V1629,0),IF('01_Вводные'!$B$310&gt;=2,'19_Расчет_аналитики'!W1629,0),IF('01_Вводные'!$B$310&gt;=3,'19_Расчет_аналитики'!X1629,0),IF('01_Вводные'!$B$310&gt;=4,'19_Расчет_аналитики'!Y1629,0),IF('01_Вводные'!$B$310&gt;=5,'19_Расчет_аналитики'!Z1629,0),IF('01_Вводные'!$B$310&gt;=6,'19_Расчет_аналитики'!AA1629,0))</f>
        <v/>
      </c>
      <c r="V1351">
        <f>SUM(IF('01_Вводные'!$B$310&gt;=1,'19_Расчет_аналитики'!W1629,0),IF('01_Вводные'!$B$310&gt;=2,'19_Расчет_аналитики'!X1629,0),IF('01_Вводные'!$B$310&gt;=3,'19_Расчет_аналитики'!Y1629,0),IF('01_Вводные'!$B$310&gt;=4,'19_Расчет_аналитики'!Z1629,0),IF('01_Вводные'!$B$310&gt;=5,'19_Расчет_аналитики'!AA1629,0),IF('01_Вводные'!$B$310&gt;=6,'19_Расчет_аналитики'!AB1629,0))</f>
        <v/>
      </c>
      <c r="W1351">
        <f>SUM(IF('01_Вводные'!$B$310&gt;=1,'19_Расчет_аналитики'!X1629,0),IF('01_Вводные'!$B$310&gt;=2,'19_Расчет_аналитики'!Y1629,0),IF('01_Вводные'!$B$310&gt;=3,'19_Расчет_аналитики'!Z1629,0),IF('01_Вводные'!$B$310&gt;=4,'19_Расчет_аналитики'!AA1629,0),IF('01_Вводные'!$B$310&gt;=5,'19_Расчет_аналитики'!AB1629,0),IF('01_Вводные'!$B$310&gt;=6,'19_Расчет_аналитики'!AC1629,0))</f>
        <v/>
      </c>
      <c r="X1351">
        <f>SUM(IF('01_Вводные'!$B$310&gt;=1,'19_Расчет_аналитики'!Y1629,0),IF('01_Вводные'!$B$310&gt;=2,'19_Расчет_аналитики'!Z1629,0),IF('01_Вводные'!$B$310&gt;=3,'19_Расчет_аналитики'!AA1629,0),IF('01_Вводные'!$B$310&gt;=4,'19_Расчет_аналитики'!AB1629,0),IF('01_Вводные'!$B$310&gt;=5,'19_Расчет_аналитики'!AC1629,0),IF('01_Вводные'!$B$310&gt;=6,'19_Расчет_аналитики'!AD1629,0))</f>
        <v/>
      </c>
      <c r="Y1351">
        <f>SUM(IF('01_Вводные'!$B$310&gt;=1,'19_Расчет_аналитики'!Z1629,0),IF('01_Вводные'!$B$310&gt;=2,'19_Расчет_аналитики'!AA1629,0),IF('01_Вводные'!$B$310&gt;=3,'19_Расчет_аналитики'!AB1629,0),IF('01_Вводные'!$B$310&gt;=4,'19_Расчет_аналитики'!AC1629,0),IF('01_Вводные'!$B$310&gt;=5,'19_Расчет_аналитики'!AD1629,0),IF('01_Вводные'!$B$310&gt;=6,'19_Расчет_аналитики'!AE1629,0))</f>
        <v/>
      </c>
      <c r="Z1351">
        <f>SUM(IF('01_Вводные'!$B$310&gt;=1,'19_Расчет_аналитики'!AA1629,0),IF('01_Вводные'!$B$310&gt;=2,'19_Расчет_аналитики'!AB1629,0),IF('01_Вводные'!$B$310&gt;=3,'19_Расчет_аналитики'!AC1629,0),IF('01_Вводные'!$B$310&gt;=4,'19_Расчет_аналитики'!AD1629,0),IF('01_Вводные'!$B$310&gt;=5,'19_Расчет_аналитики'!AE1629,0),IF('01_Вводные'!$B$310&gt;=6,'19_Расчет_аналитики'!AF1629,0))</f>
        <v/>
      </c>
      <c r="AA1351">
        <f>SUM(IF('01_Вводные'!$B$310&gt;=1,'19_Расчет_аналитики'!AB1629,0),IF('01_Вводные'!$B$310&gt;=2,'19_Расчет_аналитики'!AC1629,0),IF('01_Вводные'!$B$310&gt;=3,'19_Расчет_аналитики'!AD1629,0),IF('01_Вводные'!$B$310&gt;=4,'19_Расчет_аналитики'!AE1629,0),IF('01_Вводные'!$B$310&gt;=5,'19_Расчет_аналитики'!AF1629,0),IF('01_Вводные'!$B$310&gt;=6,'19_Расчет_аналитики'!AG1629,0))</f>
        <v/>
      </c>
      <c r="AB1351">
        <f>SUM(IF('01_Вводные'!$B$310&gt;=1,'19_Расчет_аналитики'!AC1629,0),IF('01_Вводные'!$B$310&gt;=2,'19_Расчет_аналитики'!AD1629,0),IF('01_Вводные'!$B$310&gt;=3,'19_Расчет_аналитики'!AE1629,0),IF('01_Вводные'!$B$310&gt;=4,'19_Расчет_аналитики'!AF1629,0),IF('01_Вводные'!$B$310&gt;=5,'19_Расчет_аналитики'!AG1629,0),IF('01_Вводные'!$B$310&gt;=6,'19_Расчет_аналитики'!AH1629,0))</f>
        <v/>
      </c>
      <c r="AC1351">
        <f>SUM(IF('01_Вводные'!$B$310&gt;=1,'19_Расчет_аналитики'!AD1629,0),IF('01_Вводные'!$B$310&gt;=2,'19_Расчет_аналитики'!AE1629,0),IF('01_Вводные'!$B$310&gt;=3,'19_Расчет_аналитики'!AF1629,0),IF('01_Вводные'!$B$310&gt;=4,'19_Расчет_аналитики'!AG1629,0),IF('01_Вводные'!$B$310&gt;=5,'19_Расчет_аналитики'!AH1629,0),IF('01_Вводные'!$B$310&gt;=6,'19_Расчет_аналитики'!AI1629,0))</f>
        <v/>
      </c>
      <c r="AD1351">
        <f>SUM(IF('01_Вводные'!$B$310&gt;=1,'19_Расчет_аналитики'!AE1629,0),IF('01_Вводные'!$B$310&gt;=2,'19_Расчет_аналитики'!AF1629,0),IF('01_Вводные'!$B$310&gt;=3,'19_Расчет_аналитики'!AG1629,0),IF('01_Вводные'!$B$310&gt;=4,'19_Расчет_аналитики'!AH1629,0),IF('01_Вводные'!$B$310&gt;=5,'19_Расчет_аналитики'!AI1629,0),IF('01_Вводные'!$B$310&gt;=6,'19_Расчет_аналитики'!AJ1629,0))</f>
        <v/>
      </c>
      <c r="AE1351">
        <f>SUM(IF('01_Вводные'!$B$310&gt;=1,'19_Расчет_аналитики'!AF1629,0),IF('01_Вводные'!$B$310&gt;=2,'19_Расчет_аналитики'!AG1629,0),IF('01_Вводные'!$B$310&gt;=3,'19_Расчет_аналитики'!AH1629,0),IF('01_Вводные'!$B$310&gt;=4,'19_Расчет_аналитики'!AI1629,0),IF('01_Вводные'!$B$310&gt;=5,'19_Расчет_аналитики'!AJ1629,0),IF('01_Вводные'!$B$310&gt;=6,'19_Расчет_аналитики'!AK1629,0))</f>
        <v/>
      </c>
      <c r="AF1351">
        <f>SUM(IF('01_Вводные'!$B$310&gt;=1,'19_Расчет_аналитики'!AG1629,0),IF('01_Вводные'!$B$310&gt;=2,'19_Расчет_аналитики'!AH1629,0),IF('01_Вводные'!$B$310&gt;=3,'19_Расчет_аналитики'!AI1629,0),IF('01_Вводные'!$B$310&gt;=4,'19_Расчет_аналитики'!AJ1629,0),IF('01_Вводные'!$B$310&gt;=5,'19_Расчет_аналитики'!AK1629,0),IF('01_Вводные'!$B$310&gt;=6,'19_Расчет_аналитики'!AL1629,0))</f>
        <v/>
      </c>
      <c r="AG1351">
        <f>SUM(IF('01_Вводные'!$B$310&gt;=1,'19_Расчет_аналитики'!AH1629,0),IF('01_Вводные'!$B$310&gt;=2,'19_Расчет_аналитики'!AI1629,0),IF('01_Вводные'!$B$310&gt;=3,'19_Расчет_аналитики'!AJ1629,0),IF('01_Вводные'!$B$310&gt;=4,'19_Расчет_аналитики'!AK1629,0),IF('01_Вводные'!$B$310&gt;=5,'19_Расчет_аналитики'!AL1629,0),IF('01_Вводные'!$B$310&gt;=6,'19_Расчет_аналитики'!AM1629,0))</f>
        <v/>
      </c>
      <c r="AH1351">
        <f>SUM(IF('01_Вводные'!$B$310&gt;=1,'19_Расчет_аналитики'!AI1629,0),IF('01_Вводные'!$B$310&gt;=2,'19_Расчет_аналитики'!AJ1629,0),IF('01_Вводные'!$B$310&gt;=3,'19_Расчет_аналитики'!AK1629,0),IF('01_Вводные'!$B$310&gt;=4,'19_Расчет_аналитики'!AL1629,0),IF('01_Вводные'!$B$310&gt;=5,'19_Расчет_аналитики'!AM1629,0),IF('01_Вводные'!$B$310&gt;=6,'19_Расчет_аналитики'!AN1629,0))</f>
        <v/>
      </c>
      <c r="AI1351">
        <f>SUM(IF('01_Вводные'!$B$310&gt;=1,'19_Расчет_аналитики'!AJ1629,0),IF('01_Вводные'!$B$310&gt;=2,'19_Расчет_аналитики'!AK1629,0),IF('01_Вводные'!$B$310&gt;=3,'19_Расчет_аналитики'!AL1629,0),IF('01_Вводные'!$B$310&gt;=4,'19_Расчет_аналитики'!AM1629,0),IF('01_Вводные'!$B$310&gt;=5,'19_Расчет_аналитики'!AN1629,0),IF('01_Вводные'!$B$310&gt;=6,'19_Расчет_аналитики'!AO1629,0))</f>
        <v/>
      </c>
      <c r="AJ1351">
        <f>SUM(IF('01_Вводные'!$B$310&gt;=1,'19_Расчет_аналитики'!AK1629,0),IF('01_Вводные'!$B$310&gt;=2,'19_Расчет_аналитики'!AL1629,0),IF('01_Вводные'!$B$310&gt;=3,'19_Расчет_аналитики'!AM1629,0),IF('01_Вводные'!$B$310&gt;=4,'19_Расчет_аналитики'!AN1629,0),IF('01_Вводные'!$B$310&gt;=5,'19_Расчет_аналитики'!AO1629,0),IF('01_Вводные'!$B$310&gt;=6,'19_Расчет_аналитики'!AP1629,0))</f>
        <v/>
      </c>
      <c r="AK1351">
        <f>SUM(IF('01_Вводные'!$B$310&gt;=1,'19_Расчет_аналитики'!AL1629,0),IF('01_Вводные'!$B$310&gt;=2,'19_Расчет_аналитики'!AM1629,0),IF('01_Вводные'!$B$310&gt;=3,'19_Расчет_аналитики'!AN1629,0),IF('01_Вводные'!$B$310&gt;=4,'19_Расчет_аналитики'!AO1629,0),IF('01_Вводные'!$B$310&gt;=5,'19_Расчет_аналитики'!AP1629,0),IF('01_Вводные'!$B$310&gt;=6,'19_Расчет_аналитики'!AQ1629,0))</f>
        <v/>
      </c>
      <c r="AL1351">
        <f>SUM(IF('01_Вводные'!$B$310&gt;=1,'19_Расчет_аналитики'!AM1629,0),IF('01_Вводные'!$B$310&gt;=2,'19_Расчет_аналитики'!AN1629,0),IF('01_Вводные'!$B$310&gt;=3,'19_Расчет_аналитики'!AO1629,0),IF('01_Вводные'!$B$310&gt;=4,'19_Расчет_аналитики'!AP1629,0),IF('01_Вводные'!$B$310&gt;=5,'19_Расчет_аналитики'!AQ1629,0),IF('01_Вводные'!$B$310&gt;=6,'19_Расчет_аналитики'!AR1629,0))</f>
        <v/>
      </c>
      <c r="AM1351">
        <f>SUM(IF('01_Вводные'!$B$310&gt;=1,'19_Расчет_аналитики'!AN1629,0),IF('01_Вводные'!$B$310&gt;=2,'19_Расчет_аналитики'!AO1629,0),IF('01_Вводные'!$B$310&gt;=3,'19_Расчет_аналитики'!AP1629,0),IF('01_Вводные'!$B$310&gt;=4,'19_Расчет_аналитики'!AQ1629,0),IF('01_Вводные'!$B$310&gt;=5,'19_Расчет_аналитики'!AR1629,0),IF('01_Вводные'!$B$310&gt;=6,'19_Расчет_аналитики'!AS1629,0))</f>
        <v/>
      </c>
      <c r="AN1351">
        <f>SUM(IF('01_Вводные'!$B$310&gt;=1,'19_Расчет_аналитики'!AO1629,0),IF('01_Вводные'!$B$310&gt;=2,'19_Расчет_аналитики'!AP1629,0),IF('01_Вводные'!$B$310&gt;=3,'19_Расчет_аналитики'!AQ1629,0),IF('01_Вводные'!$B$310&gt;=4,'19_Расчет_аналитики'!AR1629,0),IF('01_Вводные'!$B$310&gt;=5,'19_Расчет_аналитики'!AS1629,0),IF('01_Вводные'!$B$310&gt;=6,'19_Расчет_аналитики'!AT1629,0))</f>
        <v/>
      </c>
      <c r="AO1351">
        <f>SUM(IF('01_Вводные'!$B$310&gt;=1,'19_Расчет_аналитики'!AP1629,0),IF('01_Вводные'!$B$310&gt;=2,'19_Расчет_аналитики'!AQ1629,0),IF('01_Вводные'!$B$310&gt;=3,'19_Расчет_аналитики'!AR1629,0),IF('01_Вводные'!$B$310&gt;=4,'19_Расчет_аналитики'!AS1629,0),IF('01_Вводные'!$B$310&gt;=5,'19_Расчет_аналитики'!AT1629,0),IF('01_Вводные'!$B$310&gt;=6,'19_Расчет_аналитики'!AU1629,0))</f>
        <v/>
      </c>
      <c r="AP1351">
        <f>SUM(IF('01_Вводные'!$B$310&gt;=1,'19_Расчет_аналитики'!AQ1629,0),IF('01_Вводные'!$B$310&gt;=2,'19_Расчет_аналитики'!AR1629,0),IF('01_Вводные'!$B$310&gt;=3,'19_Расчет_аналитики'!AS1629,0),IF('01_Вводные'!$B$310&gt;=4,'19_Расчет_аналитики'!AT1629,0),IF('01_Вводные'!$B$310&gt;=5,'19_Расчет_аналитики'!AU1629,0),IF('01_Вводные'!$B$310&gt;=6,'19_Расчет_аналитики'!AV1629,0))</f>
        <v/>
      </c>
      <c r="AQ1351">
        <f>SUM(IF('01_Вводные'!$B$310&gt;=1,'19_Расчет_аналитики'!AR1629,0),IF('01_Вводные'!$B$310&gt;=2,'19_Расчет_аналитики'!AS1629,0),IF('01_Вводные'!$B$310&gt;=3,'19_Расчет_аналитики'!AT1629,0),IF('01_Вводные'!$B$310&gt;=4,'19_Расчет_аналитики'!AU1629,0),IF('01_Вводные'!$B$310&gt;=5,'19_Расчет_аналитики'!AV1629,0),IF('01_Вводные'!$B$310&gt;=6,'19_Расчет_аналитики'!AW1629,0))</f>
        <v/>
      </c>
      <c r="AR1351">
        <f>SUM(IF('01_Вводные'!$B$310&gt;=1,'19_Расчет_аналитики'!AS1629,0),IF('01_Вводные'!$B$310&gt;=2,'19_Расчет_аналитики'!AT1629,0),IF('01_Вводные'!$B$310&gt;=3,'19_Расчет_аналитики'!AU1629,0),IF('01_Вводные'!$B$310&gt;=4,'19_Расчет_аналитики'!AV1629,0),IF('01_Вводные'!$B$310&gt;=5,'19_Расчет_аналитики'!AW1629,0),IF('01_Вводные'!$B$310&gt;=6,'19_Расчет_аналитики'!AX1629,0))</f>
        <v/>
      </c>
      <c r="AS1351">
        <f>SUM(IF('01_Вводные'!$B$310&gt;=1,'19_Расчет_аналитики'!AT1629,0),IF('01_Вводные'!$B$310&gt;=2,'19_Расчет_аналитики'!AU1629,0),IF('01_Вводные'!$B$310&gt;=3,'19_Расчет_аналитики'!AV1629,0),IF('01_Вводные'!$B$310&gt;=4,'19_Расчет_аналитики'!AW1629,0),IF('01_Вводные'!$B$310&gt;=5,'19_Расчет_аналитики'!AX1629,0),IF('01_Вводные'!$B$310&gt;=6,'19_Расчет_аналитики'!AY1629,0))</f>
        <v/>
      </c>
      <c r="AT1351">
        <f>SUM(IF('01_Вводные'!$B$310&gt;=1,'19_Расчет_аналитики'!AU1629,0),IF('01_Вводные'!$B$310&gt;=2,'19_Расчет_аналитики'!AV1629,0),IF('01_Вводные'!$B$310&gt;=3,'19_Расчет_аналитики'!AW1629,0),IF('01_Вводные'!$B$310&gt;=4,'19_Расчет_аналитики'!AX1629,0),IF('01_Вводные'!$B$310&gt;=5,'19_Расчет_аналитики'!AY1629,0),IF('01_Вводные'!$B$310&gt;=6,'19_Расчет_аналитики'!AZ1629,0))</f>
        <v/>
      </c>
      <c r="AU1351">
        <f>SUM(IF('01_Вводные'!$B$310&gt;=1,'19_Расчет_аналитики'!AV1629,0),IF('01_Вводные'!$B$310&gt;=2,'19_Расчет_аналитики'!AW1629,0),IF('01_Вводные'!$B$310&gt;=3,'19_Расчет_аналитики'!AX1629,0),IF('01_Вводные'!$B$310&gt;=4,'19_Расчет_аналитики'!AY1629,0),IF('01_Вводные'!$B$310&gt;=5,'19_Расчет_аналитики'!AZ1629,0),IF('01_Вводные'!$B$310&gt;=6,'19_Расчет_аналитики'!BA1629,0))</f>
        <v/>
      </c>
      <c r="AV1351">
        <f>SUM(IF('01_Вводные'!$B$310&gt;=1,'19_Расчет_аналитики'!AW1629,0),IF('01_Вводные'!$B$310&gt;=2,'19_Расчет_аналитики'!AX1629,0),IF('01_Вводные'!$B$310&gt;=3,'19_Расчет_аналитики'!AY1629,0),IF('01_Вводные'!$B$310&gt;=4,'19_Расчет_аналитики'!AZ1629,0),IF('01_Вводные'!$B$310&gt;=5,'19_Расчет_аналитики'!BA1629,0),IF('01_Вводные'!$B$310&gt;=6,'19_Расчет_аналитики'!BB1629,0))</f>
        <v/>
      </c>
      <c r="AW1351">
        <f>SUM(IF('01_Вводные'!$B$310&gt;=1,'19_Расчет_аналитики'!AX1629,0),IF('01_Вводные'!$B$310&gt;=2,'19_Расчет_аналитики'!AY1629,0),IF('01_Вводные'!$B$310&gt;=3,'19_Расчет_аналитики'!AZ1629,0),IF('01_Вводные'!$B$310&gt;=4,'19_Расчет_аналитики'!BA1629,0),IF('01_Вводные'!$B$310&gt;=5,'19_Расчет_аналитики'!BB1629,0),IF('01_Вводные'!$B$310&gt;=6,'19_Расчет_аналитики'!BC1629,0))</f>
        <v/>
      </c>
      <c r="AX1351">
        <f>SUM(IF('01_Вводные'!$B$310&gt;=1,'19_Расчет_аналитики'!AY1629,0),IF('01_Вводные'!$B$310&gt;=2,'19_Расчет_аналитики'!AZ1629,0),IF('01_Вводные'!$B$310&gt;=3,'19_Расчет_аналитики'!BA1629,0),IF('01_Вводные'!$B$310&gt;=4,'19_Расчет_аналитики'!BB1629,0),IF('01_Вводные'!$B$310&gt;=5,'19_Расчет_аналитики'!BC1629,0),IF('01_Вводные'!$B$310&gt;=6,'19_Расчет_аналитики'!BD1629,0))</f>
        <v/>
      </c>
      <c r="AY1351">
        <f>SUM(IF('01_Вводные'!$B$310&gt;=1,'19_Расчет_аналитики'!AZ1629,0),IF('01_Вводные'!$B$310&gt;=2,'19_Расчет_аналитики'!BA1629,0),IF('01_Вводные'!$B$310&gt;=3,'19_Расчет_аналитики'!BB1629,0),IF('01_Вводные'!$B$310&gt;=4,'19_Расчет_аналитики'!BC1629,0),IF('01_Вводные'!$B$310&gt;=5,'19_Расчет_аналитики'!BD1629,0),IF('01_Вводные'!$B$310&gt;=6,'19_Расчет_аналитики'!BE1629,0))</f>
        <v/>
      </c>
      <c r="AZ1351">
        <f>SUM(IF('01_Вводные'!$B$310&gt;=1,'19_Расчет_аналитики'!BA1629,0),IF('01_Вводные'!$B$310&gt;=2,'19_Расчет_аналитики'!BB1629,0),IF('01_Вводные'!$B$310&gt;=3,'19_Расчет_аналитики'!BC1629,0),IF('01_Вводные'!$B$310&gt;=4,'19_Расчет_аналитики'!BD1629,0),IF('01_Вводные'!$B$310&gt;=5,'19_Расчет_аналитики'!BE1629,0),IF('01_Вводные'!$B$310&gt;=6,'19_Расчет_аналитики'!BF1629,0))</f>
        <v/>
      </c>
      <c r="BA1351">
        <f>SUM(IF('01_Вводные'!$B$310&gt;=1,'19_Расчет_аналитики'!BB1629,0),IF('01_Вводные'!$B$310&gt;=2,'19_Расчет_аналитики'!BC1629,0),IF('01_Вводные'!$B$310&gt;=3,'19_Расчет_аналитики'!BD1629,0),IF('01_Вводные'!$B$310&gt;=4,'19_Расчет_аналитики'!BE1629,0),IF('01_Вводные'!$B$310&gt;=5,'19_Расчет_аналитики'!BF1629,0),IF('01_Вводные'!$B$310&gt;=6,'19_Расчет_аналитики'!BG1629,0))</f>
        <v/>
      </c>
      <c r="BB1351">
        <f>SUM(IF('01_Вводные'!$B$310&gt;=1,'19_Расчет_аналитики'!BC1629,0),IF('01_Вводные'!$B$310&gt;=2,'19_Расчет_аналитики'!BD1629,0),IF('01_Вводные'!$B$310&gt;=3,'19_Расчет_аналитики'!BE1629,0),IF('01_Вводные'!$B$310&gt;=4,'19_Расчет_аналитики'!BF1629,0),IF('01_Вводные'!$B$310&gt;=5,'19_Расчет_аналитики'!BG1629,0),IF('01_Вводные'!$B$310&gt;=6,'19_Расчет_аналитики'!BH1629,0))</f>
        <v/>
      </c>
      <c r="BC1351">
        <f>SUM(IF('01_Вводные'!$B$310&gt;=1,'19_Расчет_аналитики'!BD1629,0),IF('01_Вводные'!$B$310&gt;=2,'19_Расчет_аналитики'!BE1629,0),IF('01_Вводные'!$B$310&gt;=3,'19_Расчет_аналитики'!BF1629,0),IF('01_Вводные'!$B$310&gt;=4,'19_Расчет_аналитики'!BG1629,0),IF('01_Вводные'!$B$310&gt;=5,'19_Расчет_аналитики'!BH1629,0),IF('01_Вводные'!$B$310&gt;=6,'19_Расчет_аналитики'!BI1629,0))</f>
        <v/>
      </c>
      <c r="BD1351">
        <f>SUM(IF('01_Вводные'!$B$310&gt;=1,'19_Расчет_аналитики'!BE1629,0),IF('01_Вводные'!$B$310&gt;=2,'19_Расчет_аналитики'!BF1629,0),IF('01_Вводные'!$B$310&gt;=3,'19_Расчет_аналитики'!BG1629,0),IF('01_Вводные'!$B$310&gt;=4,'19_Расчет_аналитики'!BH1629,0),IF('01_Вводные'!$B$310&gt;=5,'19_Расчет_аналитики'!BI1629,0),IF('01_Вводные'!$B$310&gt;=6,'19_Расчет_аналитики'!BJ1629,0))</f>
        <v/>
      </c>
      <c r="BE1351">
        <f>SUM(IF('01_Вводные'!$B$310&gt;=1,'19_Расчет_аналитики'!BF1629,0),IF('01_Вводные'!$B$310&gt;=2,'19_Расчет_аналитики'!BG1629,0),IF('01_Вводные'!$B$310&gt;=3,'19_Расчет_аналитики'!BH1629,0),IF('01_Вводные'!$B$310&gt;=4,'19_Расчет_аналитики'!BI1629,0),IF('01_Вводные'!$B$310&gt;=5,'19_Расчет_аналитики'!BJ1629,0),IF('01_Вводные'!$B$310&gt;=6,'19_Расчет_аналитики'!BK1629,0))</f>
        <v/>
      </c>
      <c r="BF1351">
        <f>SUM(IF('01_Вводные'!$B$310&gt;=1,'19_Расчет_аналитики'!BG1629,0),IF('01_Вводные'!$B$310&gt;=2,'19_Расчет_аналитики'!BH1629,0),IF('01_Вводные'!$B$310&gt;=3,'19_Расчет_аналитики'!BI1629,0),IF('01_Вводные'!$B$310&gt;=4,'19_Расчет_аналитики'!BJ1629,0),IF('01_Вводные'!$B$310&gt;=5,'19_Расчет_аналитики'!BK1629,0),IF('01_Вводные'!$B$310&gt;=6,'19_Расчет_аналитики'!BL1629,0))</f>
        <v/>
      </c>
      <c r="BG1351">
        <f>SUM(IF('01_Вводные'!$B$310&gt;=1,'19_Расчет_аналитики'!BH1629,0),IF('01_Вводные'!$B$310&gt;=2,'19_Расчет_аналитики'!BI1629,0),IF('01_Вводные'!$B$310&gt;=3,'19_Расчет_аналитики'!BJ1629,0),IF('01_Вводные'!$B$310&gt;=4,'19_Расчет_аналитики'!BK1629,0),IF('01_Вводные'!$B$310&gt;=5,'19_Расчет_аналитики'!BL1629,0),IF('01_Вводные'!$B$310&gt;=6,'19_Расчет_аналитики'!BM1629,0))</f>
        <v/>
      </c>
      <c r="BH1351">
        <f>SUM(IF('01_Вводные'!$B$310&gt;=1,'19_Расчет_аналитики'!BI1629,0),IF('01_Вводные'!$B$310&gt;=2,'19_Расчет_аналитики'!BJ1629,0),IF('01_Вводные'!$B$310&gt;=3,'19_Расчет_аналитики'!BK1629,0),IF('01_Вводные'!$B$310&gt;=4,'19_Расчет_аналитики'!BL1629,0),IF('01_Вводные'!$B$310&gt;=5,'19_Расчет_аналитики'!BM1629,0),IF('01_Вводные'!$B$310&gt;=6,'19_Расчет_аналитики'!BN1629,0))</f>
        <v/>
      </c>
      <c r="BI1351">
        <f>SUM(IF('01_Вводные'!$B$310&gt;=1,'19_Расчет_аналитики'!BJ1629,0),IF('01_Вводные'!$B$310&gt;=2,'19_Расчет_аналитики'!BK1629,0),IF('01_Вводные'!$B$310&gt;=3,'19_Расчет_аналитики'!BL1629,0),IF('01_Вводные'!$B$310&gt;=4,'19_Расчет_аналитики'!BM1629,0),IF('01_Вводные'!$B$310&gt;=5,'19_Расчет_аналитики'!BN1629,0),IF('01_Вводные'!$B$310&gt;=6,'19_Расчет_аналитики'!BO1629,0))</f>
        <v/>
      </c>
      <c r="BJ1351">
        <f>SUM(IF('01_Вводные'!$B$310&gt;=1,'19_Расчет_аналитики'!BK1629,0),IF('01_Вводные'!$B$310&gt;=2,'19_Расчет_аналитики'!BL1629,0),IF('01_Вводные'!$B$310&gt;=3,'19_Расчет_аналитики'!BM1629,0),IF('01_Вводные'!$B$310&gt;=4,'19_Расчет_аналитики'!BN1629,0),IF('01_Вводные'!$B$310&gt;=5,'19_Расчет_аналитики'!BO1629,0),IF('01_Вводные'!$B$310&gt;=6,'19_Расчет_аналитики'!BP1629,0))</f>
        <v/>
      </c>
      <c r="BK1351">
        <f>SUM(IF('01_Вводные'!$B$310&gt;=1,'19_Расчет_аналитики'!BL1629,0),IF('01_Вводные'!$B$310&gt;=2,'19_Расчет_аналитики'!BM1629,0),IF('01_Вводные'!$B$310&gt;=3,'19_Расчет_аналитики'!BN1629,0),IF('01_Вводные'!$B$310&gt;=4,'19_Расчет_аналитики'!BO1629,0),IF('01_Вводные'!$B$310&gt;=5,'19_Расчет_аналитики'!BP1629,0),IF('01_Вводные'!$B$310&gt;=6,'19_Расчет_аналитики'!BQ1629,0))</f>
        <v/>
      </c>
      <c r="BL1351">
        <f>SUM(IF('01_Вводные'!$B$310&gt;=1,'19_Расчет_аналитики'!BM1629,0),IF('01_Вводные'!$B$310&gt;=2,'19_Расчет_аналитики'!BN1629,0),IF('01_Вводные'!$B$310&gt;=3,'19_Расчет_аналитики'!BO1629,0),IF('01_Вводные'!$B$310&gt;=4,'19_Расчет_аналитики'!BP1629,0),IF('01_Вводные'!$B$310&gt;=5,'19_Расчет_аналитики'!BQ1629,0),IF('01_Вводные'!$B$310&gt;=6,'19_Расчет_аналитики'!BR1629,0))</f>
        <v/>
      </c>
      <c r="BM1351">
        <f>SUM(IF('01_Вводные'!$B$310&gt;=1,'19_Расчет_аналитики'!BN1629,0),IF('01_Вводные'!$B$310&gt;=2,'19_Расчет_аналитики'!BO1629,0),IF('01_Вводные'!$B$310&gt;=3,'19_Расчет_аналитики'!BP1629,0),IF('01_Вводные'!$B$310&gt;=4,'19_Расчет_аналитики'!BQ1629,0),IF('01_Вводные'!$B$310&gt;=5,'19_Расчет_аналитики'!BR1629,0),IF('01_Вводные'!$B$310&gt;=6,'19_Расчет_аналитики'!BS1629,0))</f>
        <v/>
      </c>
      <c r="BN1351">
        <f>SUM(IF('01_Вводные'!$B$310&gt;=1,'19_Расчет_аналитики'!BO1629,0),IF('01_Вводные'!$B$310&gt;=2,'19_Расчет_аналитики'!BP1629,0),IF('01_Вводные'!$B$310&gt;=3,'19_Расчет_аналитики'!BQ1629,0),IF('01_Вводные'!$B$310&gt;=4,'19_Расчет_аналитики'!BR1629,0),IF('01_Вводные'!$B$310&gt;=5,'19_Расчет_аналитики'!BS1629,0),IF('01_Вводные'!$B$310&gt;=6,'19_Расчет_аналитики'!BT1629,0))</f>
        <v/>
      </c>
      <c r="BO1351">
        <f>SUM(IF('01_Вводные'!$B$310&gt;=1,'19_Расчет_аналитики'!BP1629,0),IF('01_Вводные'!$B$310&gt;=2,'19_Расчет_аналитики'!BQ1629,0),IF('01_Вводные'!$B$310&gt;=3,'19_Расчет_аналитики'!BR1629,0),IF('01_Вводные'!$B$310&gt;=4,'19_Расчет_аналитики'!BS1629,0),IF('01_Вводные'!$B$310&gt;=5,'19_Расчет_аналитики'!BT1629,0),IF('01_Вводные'!$B$310&gt;=6,'19_Расчет_аналитики'!BU1629,0))</f>
        <v/>
      </c>
    </row>
    <row r="1352">
      <c r="C1352">
        <f>IF('01_Вводные'!$B$25&gt;0,ROUNDUP(ROUND('19_Расчет_аналитики'!C1350/'01_Вводные'!$B$25,10),0),0)</f>
        <v/>
      </c>
      <c r="D1352">
        <f>IF('01_Вводные'!$B$25&gt;0,ROUNDUP(ROUND('19_Расчет_аналитики'!D1350/'01_Вводные'!$B$25,10),0),0)</f>
        <v/>
      </c>
      <c r="E1352">
        <f>IF('01_Вводные'!$B$25&gt;0,ROUNDUP(ROUND('19_Расчет_аналитики'!E1350/'01_Вводные'!$B$25,10),0),0)</f>
        <v/>
      </c>
      <c r="F1352">
        <f>IF('01_Вводные'!$B$25&gt;0,ROUNDUP(ROUND('19_Расчет_аналитики'!F1350/'01_Вводные'!$B$25,10),0),0)</f>
        <v/>
      </c>
      <c r="G1352">
        <f>IF('01_Вводные'!$B$25&gt;0,ROUNDUP(ROUND('19_Расчет_аналитики'!G1350/'01_Вводные'!$B$25,10),0),0)</f>
        <v/>
      </c>
      <c r="H1352">
        <f>IF('01_Вводные'!$B$25&gt;0,ROUNDUP(ROUND('19_Расчет_аналитики'!H1350/'01_Вводные'!$B$25,10),0),0)</f>
        <v/>
      </c>
      <c r="I1352">
        <f>IF('01_Вводные'!$B$25&gt;0,ROUNDUP(ROUND('19_Расчет_аналитики'!I1350/'01_Вводные'!$B$25,10),0),0)</f>
        <v/>
      </c>
      <c r="J1352">
        <f>IF('01_Вводные'!$B$25&gt;0,ROUNDUP(ROUND('19_Расчет_аналитики'!J1350/'01_Вводные'!$B$25,10),0),0)</f>
        <v/>
      </c>
      <c r="K1352">
        <f>IF('01_Вводные'!$B$25&gt;0,ROUNDUP(ROUND('19_Расчет_аналитики'!K1350/'01_Вводные'!$B$25,10),0),0)</f>
        <v/>
      </c>
      <c r="L1352">
        <f>IF('01_Вводные'!$B$25&gt;0,ROUNDUP(ROUND('19_Расчет_аналитики'!L1350/'01_Вводные'!$B$25,10),0),0)</f>
        <v/>
      </c>
      <c r="M1352">
        <f>IF('01_Вводные'!$B$25&gt;0,ROUNDUP(ROUND('19_Расчет_аналитики'!M1350/'01_Вводные'!$B$25,10),0),0)</f>
        <v/>
      </c>
      <c r="N1352">
        <f>IF('01_Вводные'!$B$25&gt;0,ROUNDUP(ROUND('19_Расчет_аналитики'!N1350/'01_Вводные'!$B$25,10),0),0)</f>
        <v/>
      </c>
      <c r="O1352">
        <f>IF('01_Вводные'!$B$25&gt;0,ROUNDUP(ROUND('19_Расчет_аналитики'!O1350/'01_Вводные'!$B$25,10),0),0)</f>
        <v/>
      </c>
      <c r="P1352">
        <f>IF('01_Вводные'!$B$25&gt;0,ROUNDUP(ROUND('19_Расчет_аналитики'!P1350/'01_Вводные'!$B$25,10),0),0)</f>
        <v/>
      </c>
      <c r="Q1352">
        <f>IF('01_Вводные'!$B$25&gt;0,ROUNDUP(ROUND('19_Расчет_аналитики'!Q1350/'01_Вводные'!$B$25,10),0),0)</f>
        <v/>
      </c>
      <c r="R1352">
        <f>IF('01_Вводные'!$B$25&gt;0,ROUNDUP(ROUND('19_Расчет_аналитики'!R1350/'01_Вводные'!$B$25,10),0),0)</f>
        <v/>
      </c>
      <c r="S1352">
        <f>IF('01_Вводные'!$B$25&gt;0,ROUNDUP(ROUND('19_Расчет_аналитики'!S1350/'01_Вводные'!$B$25,10),0),0)</f>
        <v/>
      </c>
      <c r="T1352">
        <f>IF('01_Вводные'!$B$25&gt;0,ROUNDUP(ROUND('19_Расчет_аналитики'!T1350/'01_Вводные'!$B$25,10),0),0)</f>
        <v/>
      </c>
      <c r="U1352">
        <f>IF('01_Вводные'!$B$25&gt;0,ROUNDUP(ROUND('19_Расчет_аналитики'!U1350/'01_Вводные'!$B$25,10),0),0)</f>
        <v/>
      </c>
      <c r="V1352">
        <f>IF('01_Вводные'!$B$25&gt;0,ROUNDUP(ROUND('19_Расчет_аналитики'!V1350/'01_Вводные'!$B$25,10),0),0)</f>
        <v/>
      </c>
      <c r="W1352">
        <f>IF('01_Вводные'!$B$25&gt;0,ROUNDUP(ROUND('19_Расчет_аналитики'!W1350/'01_Вводные'!$B$25,10),0),0)</f>
        <v/>
      </c>
      <c r="X1352">
        <f>IF('01_Вводные'!$B$25&gt;0,ROUNDUP(ROUND('19_Расчет_аналитики'!X1350/'01_Вводные'!$B$25,10),0),0)</f>
        <v/>
      </c>
      <c r="Y1352">
        <f>IF('01_Вводные'!$B$25&gt;0,ROUNDUP(ROUND('19_Расчет_аналитики'!Y1350/'01_Вводные'!$B$25,10),0),0)</f>
        <v/>
      </c>
      <c r="Z1352">
        <f>IF('01_Вводные'!$B$25&gt;0,ROUNDUP(ROUND('19_Расчет_аналитики'!Z1350/'01_Вводные'!$B$25,10),0),0)</f>
        <v/>
      </c>
      <c r="AA1352">
        <f>IF('01_Вводные'!$B$25&gt;0,ROUNDUP(ROUND('19_Расчет_аналитики'!AA1350/'01_Вводные'!$B$25,10),0),0)</f>
        <v/>
      </c>
      <c r="AB1352">
        <f>IF('01_Вводные'!$B$25&gt;0,ROUNDUP(ROUND('19_Расчет_аналитики'!AB1350/'01_Вводные'!$B$25,10),0),0)</f>
        <v/>
      </c>
      <c r="AC1352">
        <f>IF('01_Вводные'!$B$25&gt;0,ROUNDUP(ROUND('19_Расчет_аналитики'!AC1350/'01_Вводные'!$B$25,10),0),0)</f>
        <v/>
      </c>
      <c r="AD1352">
        <f>IF('01_Вводные'!$B$25&gt;0,ROUNDUP(ROUND('19_Расчет_аналитики'!AD1350/'01_Вводные'!$B$25,10),0),0)</f>
        <v/>
      </c>
      <c r="AE1352">
        <f>IF('01_Вводные'!$B$25&gt;0,ROUNDUP(ROUND('19_Расчет_аналитики'!AE1350/'01_Вводные'!$B$25,10),0),0)</f>
        <v/>
      </c>
      <c r="AF1352">
        <f>IF('01_Вводные'!$B$25&gt;0,ROUNDUP(ROUND('19_Расчет_аналитики'!AF1350/'01_Вводные'!$B$25,10),0),0)</f>
        <v/>
      </c>
      <c r="AG1352">
        <f>IF('01_Вводные'!$B$25&gt;0,ROUNDUP(ROUND('19_Расчет_аналитики'!AG1350/'01_Вводные'!$B$25,10),0),0)</f>
        <v/>
      </c>
      <c r="AH1352">
        <f>IF('01_Вводные'!$B$25&gt;0,ROUNDUP(ROUND('19_Расчет_аналитики'!AH1350/'01_Вводные'!$B$25,10),0),0)</f>
        <v/>
      </c>
      <c r="AI1352">
        <f>IF('01_Вводные'!$B$25&gt;0,ROUNDUP(ROUND('19_Расчет_аналитики'!AI1350/'01_Вводные'!$B$25,10),0),0)</f>
        <v/>
      </c>
      <c r="AJ1352">
        <f>IF('01_Вводные'!$B$25&gt;0,ROUNDUP(ROUND('19_Расчет_аналитики'!AJ1350/'01_Вводные'!$B$25,10),0),0)</f>
        <v/>
      </c>
      <c r="AK1352">
        <f>IF('01_Вводные'!$B$25&gt;0,ROUNDUP(ROUND('19_Расчет_аналитики'!AK1350/'01_Вводные'!$B$25,10),0),0)</f>
        <v/>
      </c>
      <c r="AL1352">
        <f>IF('01_Вводные'!$B$25&gt;0,ROUNDUP(ROUND('19_Расчет_аналитики'!AL1350/'01_Вводные'!$B$25,10),0),0)</f>
        <v/>
      </c>
      <c r="AM1352">
        <f>IF('01_Вводные'!$B$25&gt;0,ROUNDUP(ROUND('19_Расчет_аналитики'!AM1350/'01_Вводные'!$B$25,10),0),0)</f>
        <v/>
      </c>
      <c r="AN1352">
        <f>IF('01_Вводные'!$B$25&gt;0,ROUNDUP(ROUND('19_Расчет_аналитики'!AN1350/'01_Вводные'!$B$25,10),0),0)</f>
        <v/>
      </c>
      <c r="AO1352">
        <f>IF('01_Вводные'!$B$25&gt;0,ROUNDUP(ROUND('19_Расчет_аналитики'!AO1350/'01_Вводные'!$B$25,10),0),0)</f>
        <v/>
      </c>
      <c r="AP1352">
        <f>IF('01_Вводные'!$B$25&gt;0,ROUNDUP(ROUND('19_Расчет_аналитики'!AP1350/'01_Вводные'!$B$25,10),0),0)</f>
        <v/>
      </c>
      <c r="AQ1352">
        <f>IF('01_Вводные'!$B$25&gt;0,ROUNDUP(ROUND('19_Расчет_аналитики'!AQ1350/'01_Вводные'!$B$25,10),0),0)</f>
        <v/>
      </c>
      <c r="AR1352">
        <f>IF('01_Вводные'!$B$25&gt;0,ROUNDUP(ROUND('19_Расчет_аналитики'!AR1350/'01_Вводные'!$B$25,10),0),0)</f>
        <v/>
      </c>
      <c r="AS1352">
        <f>IF('01_Вводные'!$B$25&gt;0,ROUNDUP(ROUND('19_Расчет_аналитики'!AS1350/'01_Вводные'!$B$25,10),0),0)</f>
        <v/>
      </c>
      <c r="AT1352">
        <f>IF('01_Вводные'!$B$25&gt;0,ROUNDUP(ROUND('19_Расчет_аналитики'!AT1350/'01_Вводные'!$B$25,10),0),0)</f>
        <v/>
      </c>
      <c r="AU1352">
        <f>IF('01_Вводные'!$B$25&gt;0,ROUNDUP(ROUND('19_Расчет_аналитики'!AU1350/'01_Вводные'!$B$25,10),0),0)</f>
        <v/>
      </c>
      <c r="AV1352">
        <f>IF('01_Вводные'!$B$25&gt;0,ROUNDUP(ROUND('19_Расчет_аналитики'!AV1350/'01_Вводные'!$B$25,10),0),0)</f>
        <v/>
      </c>
      <c r="AW1352">
        <f>IF('01_Вводные'!$B$25&gt;0,ROUNDUP(ROUND('19_Расчет_аналитики'!AW1350/'01_Вводные'!$B$25,10),0),0)</f>
        <v/>
      </c>
      <c r="AX1352">
        <f>IF('01_Вводные'!$B$25&gt;0,ROUNDUP(ROUND('19_Расчет_аналитики'!AX1350/'01_Вводные'!$B$25,10),0),0)</f>
        <v/>
      </c>
      <c r="AY1352">
        <f>IF('01_Вводные'!$B$25&gt;0,ROUNDUP(ROUND('19_Расчет_аналитики'!AY1350/'01_Вводные'!$B$25,10),0),0)</f>
        <v/>
      </c>
      <c r="AZ1352">
        <f>IF('01_Вводные'!$B$25&gt;0,ROUNDUP(ROUND('19_Расчет_аналитики'!AZ1350/'01_Вводные'!$B$25,10),0),0)</f>
        <v/>
      </c>
      <c r="BA1352">
        <f>IF('01_Вводные'!$B$25&gt;0,ROUNDUP(ROUND('19_Расчет_аналитики'!BA1350/'01_Вводные'!$B$25,10),0),0)</f>
        <v/>
      </c>
      <c r="BB1352">
        <f>IF('01_Вводные'!$B$25&gt;0,ROUNDUP(ROUND('19_Расчет_аналитики'!BB1350/'01_Вводные'!$B$25,10),0),0)</f>
        <v/>
      </c>
      <c r="BC1352">
        <f>IF('01_Вводные'!$B$25&gt;0,ROUNDUP(ROUND('19_Расчет_аналитики'!BC1350/'01_Вводные'!$B$25,10),0),0)</f>
        <v/>
      </c>
      <c r="BD1352">
        <f>IF('01_Вводные'!$B$25&gt;0,ROUNDUP(ROUND('19_Расчет_аналитики'!BD1350/'01_Вводные'!$B$25,10),0),0)</f>
        <v/>
      </c>
      <c r="BE1352">
        <f>IF('01_Вводные'!$B$25&gt;0,ROUNDUP(ROUND('19_Расчет_аналитики'!BE1350/'01_Вводные'!$B$25,10),0),0)</f>
        <v/>
      </c>
      <c r="BF1352">
        <f>IF('01_Вводные'!$B$25&gt;0,ROUNDUP(ROUND('19_Расчет_аналитики'!BF1350/'01_Вводные'!$B$25,10),0),0)</f>
        <v/>
      </c>
      <c r="BG1352">
        <f>IF('01_Вводные'!$B$25&gt;0,ROUNDUP(ROUND('19_Расчет_аналитики'!BG1350/'01_Вводные'!$B$25,10),0),0)</f>
        <v/>
      </c>
      <c r="BH1352">
        <f>IF('01_Вводные'!$B$25&gt;0,ROUNDUP(ROUND('19_Расчет_аналитики'!BH1350/'01_Вводные'!$B$25,10),0),0)</f>
        <v/>
      </c>
      <c r="BI1352">
        <f>IF('01_Вводные'!$B$25&gt;0,ROUNDUP(ROUND('19_Расчет_аналитики'!BI1350/'01_Вводные'!$B$25,10),0),0)</f>
        <v/>
      </c>
    </row>
    <row r="1353">
      <c r="B1353">
        <f>IF(1&lt;='01_Вводные'!$B$15,0,INDEX('19_Расчет_аналитики'!$B$1350:$BI$1350,1,1-'01_Вводные'!$B$15))*'01_Вводные'!$B$298</f>
        <v/>
      </c>
      <c r="C1353">
        <f>IF(2&lt;='01_Вводные'!$B$15,0,INDEX('19_Расчет_аналитики'!$B$1350:$BI$1350,1,2-'01_Вводные'!$B$15))*'01_Вводные'!$B$298</f>
        <v/>
      </c>
      <c r="D1353">
        <f>IF(3&lt;='01_Вводные'!$B$15,0,INDEX('19_Расчет_аналитики'!$B$1350:$BI$1350,1,3-'01_Вводные'!$B$15))*'01_Вводные'!$B$298</f>
        <v/>
      </c>
      <c r="E1353">
        <f>IF(4&lt;='01_Вводные'!$B$15,0,INDEX('19_Расчет_аналитики'!$B$1350:$BI$1350,1,4-'01_Вводные'!$B$15))*'01_Вводные'!$B$298</f>
        <v/>
      </c>
      <c r="F1353">
        <f>IF(5&lt;='01_Вводные'!$B$15,0,INDEX('19_Расчет_аналитики'!$B$1350:$BI$1350,1,5-'01_Вводные'!$B$15))*'01_Вводные'!$B$298</f>
        <v/>
      </c>
      <c r="G1353">
        <f>IF(6&lt;='01_Вводные'!$B$15,0,INDEX('19_Расчет_аналитики'!$B$1350:$BI$1350,1,6-'01_Вводные'!$B$15))*'01_Вводные'!$B$298</f>
        <v/>
      </c>
      <c r="H1353">
        <f>IF(7&lt;='01_Вводные'!$B$15,0,INDEX('19_Расчет_аналитики'!$B$1350:$BI$1350,1,7-'01_Вводные'!$B$15))*'01_Вводные'!$B$298</f>
        <v/>
      </c>
      <c r="I1353">
        <f>IF(8&lt;='01_Вводные'!$B$15,0,INDEX('19_Расчет_аналитики'!$B$1350:$BI$1350,1,8-'01_Вводные'!$B$15))*'01_Вводные'!$B$298</f>
        <v/>
      </c>
      <c r="J1353">
        <f>IF(9&lt;='01_Вводные'!$B$15,0,INDEX('19_Расчет_аналитики'!$B$1350:$BI$1350,1,9-'01_Вводные'!$B$15))*'01_Вводные'!$B$298</f>
        <v/>
      </c>
      <c r="K1353">
        <f>IF(10&lt;='01_Вводные'!$B$15,0,INDEX('19_Расчет_аналитики'!$B$1350:$BI$1350,1,10-'01_Вводные'!$B$15))*'01_Вводные'!$B$298</f>
        <v/>
      </c>
      <c r="L1353">
        <f>IF(11&lt;='01_Вводные'!$B$15,0,INDEX('19_Расчет_аналитики'!$B$1350:$BI$1350,1,11-'01_Вводные'!$B$15))*'01_Вводные'!$B$298</f>
        <v/>
      </c>
      <c r="M1353">
        <f>IF(12&lt;='01_Вводные'!$B$15,0,INDEX('19_Расчет_аналитики'!$B$1350:$BI$1350,1,12-'01_Вводные'!$B$15))*'01_Вводные'!$B$298</f>
        <v/>
      </c>
      <c r="N1353">
        <f>IF(13&lt;='01_Вводные'!$B$15,0,INDEX('19_Расчет_аналитики'!$B$1350:$BI$1350,1,13-'01_Вводные'!$B$15))*'01_Вводные'!$B$298</f>
        <v/>
      </c>
      <c r="O1353">
        <f>IF(14&lt;='01_Вводные'!$B$15,0,INDEX('19_Расчет_аналитики'!$B$1350:$BI$1350,1,14-'01_Вводные'!$B$15))*'01_Вводные'!$B$298</f>
        <v/>
      </c>
      <c r="P1353">
        <f>IF(15&lt;='01_Вводные'!$B$15,0,INDEX('19_Расчет_аналитики'!$B$1350:$BI$1350,1,15-'01_Вводные'!$B$15))*'01_Вводные'!$B$298</f>
        <v/>
      </c>
      <c r="Q1353">
        <f>IF(16&lt;='01_Вводные'!$B$15,0,INDEX('19_Расчет_аналитики'!$B$1350:$BI$1350,1,16-'01_Вводные'!$B$15))*'01_Вводные'!$B$298</f>
        <v/>
      </c>
      <c r="R1353">
        <f>IF(17&lt;='01_Вводные'!$B$15,0,INDEX('19_Расчет_аналитики'!$B$1350:$BI$1350,1,17-'01_Вводные'!$B$15))*'01_Вводные'!$B$298</f>
        <v/>
      </c>
      <c r="S1353">
        <f>IF(18&lt;='01_Вводные'!$B$15,0,INDEX('19_Расчет_аналитики'!$B$1350:$BI$1350,1,18-'01_Вводные'!$B$15))*'01_Вводные'!$B$298</f>
        <v/>
      </c>
      <c r="T1353">
        <f>IF(19&lt;='01_Вводные'!$B$15,0,INDEX('19_Расчет_аналитики'!$B$1350:$BI$1350,1,19-'01_Вводные'!$B$15))*'01_Вводные'!$B$298</f>
        <v/>
      </c>
      <c r="U1353">
        <f>IF(20&lt;='01_Вводные'!$B$15,0,INDEX('19_Расчет_аналитики'!$B$1350:$BI$1350,1,20-'01_Вводные'!$B$15))*'01_Вводные'!$B$298</f>
        <v/>
      </c>
      <c r="V1353">
        <f>IF(21&lt;='01_Вводные'!$B$15,0,INDEX('19_Расчет_аналитики'!$B$1350:$BI$1350,1,21-'01_Вводные'!$B$15))*'01_Вводные'!$B$298</f>
        <v/>
      </c>
      <c r="W1353">
        <f>IF(22&lt;='01_Вводные'!$B$15,0,INDEX('19_Расчет_аналитики'!$B$1350:$BI$1350,1,22-'01_Вводные'!$B$15))*'01_Вводные'!$B$298</f>
        <v/>
      </c>
      <c r="X1353">
        <f>IF(23&lt;='01_Вводные'!$B$15,0,INDEX('19_Расчет_аналитики'!$B$1350:$BI$1350,1,23-'01_Вводные'!$B$15))*'01_Вводные'!$B$298</f>
        <v/>
      </c>
      <c r="Y1353">
        <f>IF(24&lt;='01_Вводные'!$B$15,0,INDEX('19_Расчет_аналитики'!$B$1350:$BI$1350,1,24-'01_Вводные'!$B$15))*'01_Вводные'!$B$298</f>
        <v/>
      </c>
      <c r="Z1353">
        <f>IF(25&lt;='01_Вводные'!$B$15,0,INDEX('19_Расчет_аналитики'!$B$1350:$BI$1350,1,25-'01_Вводные'!$B$15))*'01_Вводные'!$B$298</f>
        <v/>
      </c>
      <c r="AA1353">
        <f>IF(26&lt;='01_Вводные'!$B$15,0,INDEX('19_Расчет_аналитики'!$B$1350:$BI$1350,1,26-'01_Вводные'!$B$15))*'01_Вводные'!$B$298</f>
        <v/>
      </c>
      <c r="AB1353">
        <f>IF(27&lt;='01_Вводные'!$B$15,0,INDEX('19_Расчет_аналитики'!$B$1350:$BI$1350,1,27-'01_Вводные'!$B$15))*'01_Вводные'!$B$298</f>
        <v/>
      </c>
      <c r="AC1353">
        <f>IF(28&lt;='01_Вводные'!$B$15,0,INDEX('19_Расчет_аналитики'!$B$1350:$BI$1350,1,28-'01_Вводные'!$B$15))*'01_Вводные'!$B$298</f>
        <v/>
      </c>
      <c r="AD1353">
        <f>IF(29&lt;='01_Вводные'!$B$15,0,INDEX('19_Расчет_аналитики'!$B$1350:$BI$1350,1,29-'01_Вводные'!$B$15))*'01_Вводные'!$B$298</f>
        <v/>
      </c>
      <c r="AE1353">
        <f>IF(30&lt;='01_Вводные'!$B$15,0,INDEX('19_Расчет_аналитики'!$B$1350:$BI$1350,1,30-'01_Вводные'!$B$15))*'01_Вводные'!$B$298</f>
        <v/>
      </c>
      <c r="AF1353">
        <f>IF(31&lt;='01_Вводные'!$B$15,0,INDEX('19_Расчет_аналитики'!$B$1350:$BI$1350,1,31-'01_Вводные'!$B$15))*'01_Вводные'!$B$298</f>
        <v/>
      </c>
      <c r="AG1353">
        <f>IF(32&lt;='01_Вводные'!$B$15,0,INDEX('19_Расчет_аналитики'!$B$1350:$BI$1350,1,32-'01_Вводные'!$B$15))*'01_Вводные'!$B$298</f>
        <v/>
      </c>
      <c r="AH1353">
        <f>IF(33&lt;='01_Вводные'!$B$15,0,INDEX('19_Расчет_аналитики'!$B$1350:$BI$1350,1,33-'01_Вводные'!$B$15))*'01_Вводные'!$B$298</f>
        <v/>
      </c>
      <c r="AI1353">
        <f>IF(34&lt;='01_Вводные'!$B$15,0,INDEX('19_Расчет_аналитики'!$B$1350:$BI$1350,1,34-'01_Вводные'!$B$15))*'01_Вводные'!$B$298</f>
        <v/>
      </c>
      <c r="AJ1353">
        <f>IF(35&lt;='01_Вводные'!$B$15,0,INDEX('19_Расчет_аналитики'!$B$1350:$BI$1350,1,35-'01_Вводные'!$B$15))*'01_Вводные'!$B$298</f>
        <v/>
      </c>
      <c r="AK1353">
        <f>IF(36&lt;='01_Вводные'!$B$15,0,INDEX('19_Расчет_аналитики'!$B$1350:$BI$1350,1,36-'01_Вводные'!$B$15))*'01_Вводные'!$B$298</f>
        <v/>
      </c>
      <c r="AL1353">
        <f>IF(37&lt;='01_Вводные'!$B$15,0,INDEX('19_Расчет_аналитики'!$B$1350:$BI$1350,1,37-'01_Вводные'!$B$15))*'01_Вводные'!$B$298</f>
        <v/>
      </c>
      <c r="AM1353">
        <f>IF(38&lt;='01_Вводные'!$B$15,0,INDEX('19_Расчет_аналитики'!$B$1350:$BI$1350,1,38-'01_Вводные'!$B$15))*'01_Вводные'!$B$298</f>
        <v/>
      </c>
      <c r="AN1353">
        <f>IF(39&lt;='01_Вводные'!$B$15,0,INDEX('19_Расчет_аналитики'!$B$1350:$BI$1350,1,39-'01_Вводные'!$B$15))*'01_Вводные'!$B$298</f>
        <v/>
      </c>
      <c r="AO1353">
        <f>IF(40&lt;='01_Вводные'!$B$15,0,INDEX('19_Расчет_аналитики'!$B$1350:$BI$1350,1,40-'01_Вводные'!$B$15))*'01_Вводные'!$B$298</f>
        <v/>
      </c>
      <c r="AP1353">
        <f>IF(41&lt;='01_Вводные'!$B$15,0,INDEX('19_Расчет_аналитики'!$B$1350:$BI$1350,1,41-'01_Вводные'!$B$15))*'01_Вводные'!$B$298</f>
        <v/>
      </c>
      <c r="AQ1353">
        <f>IF(42&lt;='01_Вводные'!$B$15,0,INDEX('19_Расчет_аналитики'!$B$1350:$BI$1350,1,42-'01_Вводные'!$B$15))*'01_Вводные'!$B$298</f>
        <v/>
      </c>
      <c r="AR1353">
        <f>IF(43&lt;='01_Вводные'!$B$15,0,INDEX('19_Расчет_аналитики'!$B$1350:$BI$1350,1,43-'01_Вводные'!$B$15))*'01_Вводные'!$B$298</f>
        <v/>
      </c>
      <c r="AS1353">
        <f>IF(44&lt;='01_Вводные'!$B$15,0,INDEX('19_Расчет_аналитики'!$B$1350:$BI$1350,1,44-'01_Вводные'!$B$15))*'01_Вводные'!$B$298</f>
        <v/>
      </c>
      <c r="AT1353">
        <f>IF(45&lt;='01_Вводные'!$B$15,0,INDEX('19_Расчет_аналитики'!$B$1350:$BI$1350,1,45-'01_Вводные'!$B$15))*'01_Вводные'!$B$298</f>
        <v/>
      </c>
      <c r="AU1353">
        <f>IF(46&lt;='01_Вводные'!$B$15,0,INDEX('19_Расчет_аналитики'!$B$1350:$BI$1350,1,46-'01_Вводные'!$B$15))*'01_Вводные'!$B$298</f>
        <v/>
      </c>
      <c r="AV1353">
        <f>IF(47&lt;='01_Вводные'!$B$15,0,INDEX('19_Расчет_аналитики'!$B$1350:$BI$1350,1,47-'01_Вводные'!$B$15))*'01_Вводные'!$B$298</f>
        <v/>
      </c>
      <c r="AW1353">
        <f>IF(48&lt;='01_Вводные'!$B$15,0,INDEX('19_Расчет_аналитики'!$B$1350:$BI$1350,1,48-'01_Вводные'!$B$15))*'01_Вводные'!$B$298</f>
        <v/>
      </c>
      <c r="AX1353">
        <f>IF(49&lt;='01_Вводные'!$B$15,0,INDEX('19_Расчет_аналитики'!$B$1350:$BI$1350,1,49-'01_Вводные'!$B$15))*'01_Вводные'!$B$298</f>
        <v/>
      </c>
      <c r="AY1353">
        <f>IF(50&lt;='01_Вводные'!$B$15,0,INDEX('19_Расчет_аналитики'!$B$1350:$BI$1350,1,50-'01_Вводные'!$B$15))*'01_Вводные'!$B$298</f>
        <v/>
      </c>
      <c r="AZ1353">
        <f>IF(51&lt;='01_Вводные'!$B$15,0,INDEX('19_Расчет_аналитики'!$B$1350:$BI$1350,1,51-'01_Вводные'!$B$15))*'01_Вводные'!$B$298</f>
        <v/>
      </c>
      <c r="BA1353">
        <f>IF(52&lt;='01_Вводные'!$B$15,0,INDEX('19_Расчет_аналитики'!$B$1350:$BI$1350,1,52-'01_Вводные'!$B$15))*'01_Вводные'!$B$298</f>
        <v/>
      </c>
      <c r="BB1353">
        <f>IF(53&lt;='01_Вводные'!$B$15,0,INDEX('19_Расчет_аналитики'!$B$1350:$BI$1350,1,53-'01_Вводные'!$B$15))*'01_Вводные'!$B$298</f>
        <v/>
      </c>
      <c r="BC1353">
        <f>IF(54&lt;='01_Вводные'!$B$15,0,INDEX('19_Расчет_аналитики'!$B$1350:$BI$1350,1,54-'01_Вводные'!$B$15))*'01_Вводные'!$B$298</f>
        <v/>
      </c>
      <c r="BD1353">
        <f>IF(55&lt;='01_Вводные'!$B$15,0,INDEX('19_Расчет_аналитики'!$B$1350:$BI$1350,1,55-'01_Вводные'!$B$15))*'01_Вводные'!$B$298</f>
        <v/>
      </c>
      <c r="BE1353">
        <f>IF(56&lt;='01_Вводные'!$B$15,0,INDEX('19_Расчет_аналитики'!$B$1350:$BI$1350,1,56-'01_Вводные'!$B$15))*'01_Вводные'!$B$298</f>
        <v/>
      </c>
      <c r="BF1353">
        <f>IF(57&lt;='01_Вводные'!$B$15,0,INDEX('19_Расчет_аналитики'!$B$1350:$BI$1350,1,57-'01_Вводные'!$B$15))*'01_Вводные'!$B$298</f>
        <v/>
      </c>
      <c r="BG1353">
        <f>IF(58&lt;='01_Вводные'!$B$15,0,INDEX('19_Расчет_аналитики'!$B$1350:$BI$1350,1,58-'01_Вводные'!$B$15))*'01_Вводные'!$B$298</f>
        <v/>
      </c>
      <c r="BH1353">
        <f>IF(59&lt;='01_Вводные'!$B$15,0,INDEX('19_Расчет_аналитики'!$B$1350:$BI$1350,1,59-'01_Вводные'!$B$15))*'01_Вводные'!$B$298</f>
        <v/>
      </c>
      <c r="BI1353">
        <f>IF(60&lt;='01_Вводные'!$B$15,0,INDEX('19_Расчет_аналитики'!$B$1350:$BI$1350,1,60-'01_Вводные'!$B$15))*'01_Вводные'!$B$298</f>
        <v/>
      </c>
    </row>
    <row r="1354"/>
    <row r="1355"/>
    <row r="1356">
      <c r="B1356">
        <f>SUMIF('04_Продажи'!$B$28:$BI$28,'04_Продажи'!B$11,'19_Расчет_аналитики'!$B$1350:$BI$1350)*'19_Расчет_аналитики'!B1821</f>
        <v/>
      </c>
      <c r="C1356">
        <f>SUMIF('04_Продажи'!$B$28:$BI$28,'04_Продажи'!C$11,'19_Расчет_аналитики'!$B$1350:$BI$1350)*'19_Расчет_аналитики'!C1821</f>
        <v/>
      </c>
      <c r="D1356">
        <f>SUMIF('04_Продажи'!$B$28:$BI$28,'04_Продажи'!D$11,'19_Расчет_аналитики'!$B$1350:$BI$1350)*'19_Расчет_аналитики'!D1821</f>
        <v/>
      </c>
      <c r="E1356">
        <f>SUMIF('04_Продажи'!$B$28:$BI$28,'04_Продажи'!E$11,'19_Расчет_аналитики'!$B$1350:$BI$1350)*'19_Расчет_аналитики'!E1821</f>
        <v/>
      </c>
      <c r="F1356">
        <f>SUMIF('04_Продажи'!$B$28:$BI$28,'04_Продажи'!F$11,'19_Расчет_аналитики'!$B$1350:$BI$1350)*'19_Расчет_аналитики'!F1821</f>
        <v/>
      </c>
      <c r="G1356">
        <f>SUMIF('04_Продажи'!$B$28:$BI$28,'04_Продажи'!G$11,'19_Расчет_аналитики'!$B$1350:$BI$1350)*'19_Расчет_аналитики'!G1821</f>
        <v/>
      </c>
      <c r="H1356">
        <f>SUMIF('04_Продажи'!$B$28:$BI$28,'04_Продажи'!H$11,'19_Расчет_аналитики'!$B$1350:$BI$1350)*'19_Расчет_аналитики'!H1821</f>
        <v/>
      </c>
      <c r="I1356">
        <f>SUMIF('04_Продажи'!$B$28:$BI$28,'04_Продажи'!I$11,'19_Расчет_аналитики'!$B$1350:$BI$1350)*'19_Расчет_аналитики'!I1821</f>
        <v/>
      </c>
      <c r="J1356">
        <f>SUMIF('04_Продажи'!$B$28:$BI$28,'04_Продажи'!J$11,'19_Расчет_аналитики'!$B$1350:$BI$1350)*'19_Расчет_аналитики'!J1821</f>
        <v/>
      </c>
      <c r="K1356">
        <f>SUMIF('04_Продажи'!$B$28:$BI$28,'04_Продажи'!K$11,'19_Расчет_аналитики'!$B$1350:$BI$1350)*'19_Расчет_аналитики'!K1821</f>
        <v/>
      </c>
      <c r="L1356">
        <f>SUMIF('04_Продажи'!$B$28:$BI$28,'04_Продажи'!L$11,'19_Расчет_аналитики'!$B$1350:$BI$1350)*'19_Расчет_аналитики'!L1821</f>
        <v/>
      </c>
      <c r="M1356">
        <f>SUMIF('04_Продажи'!$B$28:$BI$28,'04_Продажи'!M$11,'19_Расчет_аналитики'!$B$1350:$BI$1350)*'19_Расчет_аналитики'!M1821</f>
        <v/>
      </c>
      <c r="N1356">
        <f>SUMIF('04_Продажи'!$B$28:$BI$28,'04_Продажи'!N$11,'19_Расчет_аналитики'!$B$1350:$BI$1350)*'19_Расчет_аналитики'!N1821</f>
        <v/>
      </c>
      <c r="O1356">
        <f>SUMIF('04_Продажи'!$B$28:$BI$28,'04_Продажи'!O$11,'19_Расчет_аналитики'!$B$1350:$BI$1350)*'19_Расчет_аналитики'!O1821</f>
        <v/>
      </c>
      <c r="P1356">
        <f>SUMIF('04_Продажи'!$B$28:$BI$28,'04_Продажи'!P$11,'19_Расчет_аналитики'!$B$1350:$BI$1350)*'19_Расчет_аналитики'!P1821</f>
        <v/>
      </c>
      <c r="Q1356">
        <f>SUMIF('04_Продажи'!$B$28:$BI$28,'04_Продажи'!Q$11,'19_Расчет_аналитики'!$B$1350:$BI$1350)*'19_Расчет_аналитики'!Q1821</f>
        <v/>
      </c>
      <c r="R1356">
        <f>SUMIF('04_Продажи'!$B$28:$BI$28,'04_Продажи'!R$11,'19_Расчет_аналитики'!$B$1350:$BI$1350)*'19_Расчет_аналитики'!R1821</f>
        <v/>
      </c>
      <c r="S1356">
        <f>SUMIF('04_Продажи'!$B$28:$BI$28,'04_Продажи'!S$11,'19_Расчет_аналитики'!$B$1350:$BI$1350)*'19_Расчет_аналитики'!S1821</f>
        <v/>
      </c>
      <c r="T1356">
        <f>SUMIF('04_Продажи'!$B$28:$BI$28,'04_Продажи'!T$11,'19_Расчет_аналитики'!$B$1350:$BI$1350)*'19_Расчет_аналитики'!T1821</f>
        <v/>
      </c>
      <c r="U1356">
        <f>SUMIF('04_Продажи'!$B$28:$BI$28,'04_Продажи'!U$11,'19_Расчет_аналитики'!$B$1350:$BI$1350)*'19_Расчет_аналитики'!U1821</f>
        <v/>
      </c>
      <c r="V1356">
        <f>SUMIF('04_Продажи'!$B$28:$BI$28,'04_Продажи'!V$11,'19_Расчет_аналитики'!$B$1350:$BI$1350)*'19_Расчет_аналитики'!V1821</f>
        <v/>
      </c>
      <c r="W1356">
        <f>SUMIF('04_Продажи'!$B$28:$BI$28,'04_Продажи'!W$11,'19_Расчет_аналитики'!$B$1350:$BI$1350)*'19_Расчет_аналитики'!W1821</f>
        <v/>
      </c>
      <c r="X1356">
        <f>SUMIF('04_Продажи'!$B$28:$BI$28,'04_Продажи'!X$11,'19_Расчет_аналитики'!$B$1350:$BI$1350)*'19_Расчет_аналитики'!X1821</f>
        <v/>
      </c>
      <c r="Y1356">
        <f>SUMIF('04_Продажи'!$B$28:$BI$28,'04_Продажи'!Y$11,'19_Расчет_аналитики'!$B$1350:$BI$1350)*'19_Расчет_аналитики'!Y1821</f>
        <v/>
      </c>
      <c r="Z1356">
        <f>SUMIF('04_Продажи'!$B$28:$BI$28,'04_Продажи'!Z$11,'19_Расчет_аналитики'!$B$1350:$BI$1350)*'19_Расчет_аналитики'!Z1821</f>
        <v/>
      </c>
      <c r="AA1356">
        <f>SUMIF('04_Продажи'!$B$28:$BI$28,'04_Продажи'!AA$11,'19_Расчет_аналитики'!$B$1350:$BI$1350)*'19_Расчет_аналитики'!AA1821</f>
        <v/>
      </c>
      <c r="AB1356">
        <f>SUMIF('04_Продажи'!$B$28:$BI$28,'04_Продажи'!AB$11,'19_Расчет_аналитики'!$B$1350:$BI$1350)*'19_Расчет_аналитики'!AB1821</f>
        <v/>
      </c>
      <c r="AC1356">
        <f>SUMIF('04_Продажи'!$B$28:$BI$28,'04_Продажи'!AC$11,'19_Расчет_аналитики'!$B$1350:$BI$1350)*'19_Расчет_аналитики'!AC1821</f>
        <v/>
      </c>
      <c r="AD1356">
        <f>SUMIF('04_Продажи'!$B$28:$BI$28,'04_Продажи'!AD$11,'19_Расчет_аналитики'!$B$1350:$BI$1350)*'19_Расчет_аналитики'!AD1821</f>
        <v/>
      </c>
      <c r="AE1356">
        <f>SUMIF('04_Продажи'!$B$28:$BI$28,'04_Продажи'!AE$11,'19_Расчет_аналитики'!$B$1350:$BI$1350)*'19_Расчет_аналитики'!AE1821</f>
        <v/>
      </c>
      <c r="AF1356">
        <f>SUMIF('04_Продажи'!$B$28:$BI$28,'04_Продажи'!AF$11,'19_Расчет_аналитики'!$B$1350:$BI$1350)*'19_Расчет_аналитики'!AF1821</f>
        <v/>
      </c>
      <c r="AG1356">
        <f>SUMIF('04_Продажи'!$B$28:$BI$28,'04_Продажи'!AG$11,'19_Расчет_аналитики'!$B$1350:$BI$1350)*'19_Расчет_аналитики'!AG1821</f>
        <v/>
      </c>
      <c r="AH1356">
        <f>SUMIF('04_Продажи'!$B$28:$BI$28,'04_Продажи'!AH$11,'19_Расчет_аналитики'!$B$1350:$BI$1350)*'19_Расчет_аналитики'!AH1821</f>
        <v/>
      </c>
      <c r="AI1356">
        <f>SUMIF('04_Продажи'!$B$28:$BI$28,'04_Продажи'!AI$11,'19_Расчет_аналитики'!$B$1350:$BI$1350)*'19_Расчет_аналитики'!AI1821</f>
        <v/>
      </c>
      <c r="AJ1356">
        <f>SUMIF('04_Продажи'!$B$28:$BI$28,'04_Продажи'!AJ$11,'19_Расчет_аналитики'!$B$1350:$BI$1350)*'19_Расчет_аналитики'!AJ1821</f>
        <v/>
      </c>
      <c r="AK1356">
        <f>SUMIF('04_Продажи'!$B$28:$BI$28,'04_Продажи'!AK$11,'19_Расчет_аналитики'!$B$1350:$BI$1350)*'19_Расчет_аналитики'!AK1821</f>
        <v/>
      </c>
      <c r="AL1356">
        <f>SUMIF('04_Продажи'!$B$28:$BI$28,'04_Продажи'!AL$11,'19_Расчет_аналитики'!$B$1350:$BI$1350)*'19_Расчет_аналитики'!AL1821</f>
        <v/>
      </c>
      <c r="AM1356">
        <f>SUMIF('04_Продажи'!$B$28:$BI$28,'04_Продажи'!AM$11,'19_Расчет_аналитики'!$B$1350:$BI$1350)*'19_Расчет_аналитики'!AM1821</f>
        <v/>
      </c>
      <c r="AN1356">
        <f>SUMIF('04_Продажи'!$B$28:$BI$28,'04_Продажи'!AN$11,'19_Расчет_аналитики'!$B$1350:$BI$1350)*'19_Расчет_аналитики'!AN1821</f>
        <v/>
      </c>
      <c r="AO1356">
        <f>SUMIF('04_Продажи'!$B$28:$BI$28,'04_Продажи'!AO$11,'19_Расчет_аналитики'!$B$1350:$BI$1350)*'19_Расчет_аналитики'!AO1821</f>
        <v/>
      </c>
      <c r="AP1356">
        <f>SUMIF('04_Продажи'!$B$28:$BI$28,'04_Продажи'!AP$11,'19_Расчет_аналитики'!$B$1350:$BI$1350)*'19_Расчет_аналитики'!AP1821</f>
        <v/>
      </c>
      <c r="AQ1356">
        <f>SUMIF('04_Продажи'!$B$28:$BI$28,'04_Продажи'!AQ$11,'19_Расчет_аналитики'!$B$1350:$BI$1350)*'19_Расчет_аналитики'!AQ1821</f>
        <v/>
      </c>
      <c r="AR1356">
        <f>SUMIF('04_Продажи'!$B$28:$BI$28,'04_Продажи'!AR$11,'19_Расчет_аналитики'!$B$1350:$BI$1350)*'19_Расчет_аналитики'!AR1821</f>
        <v/>
      </c>
      <c r="AS1356">
        <f>SUMIF('04_Продажи'!$B$28:$BI$28,'04_Продажи'!AS$11,'19_Расчет_аналитики'!$B$1350:$BI$1350)*'19_Расчет_аналитики'!AS1821</f>
        <v/>
      </c>
      <c r="AT1356">
        <f>SUMIF('04_Продажи'!$B$28:$BI$28,'04_Продажи'!AT$11,'19_Расчет_аналитики'!$B$1350:$BI$1350)*'19_Расчет_аналитики'!AT1821</f>
        <v/>
      </c>
      <c r="AU1356">
        <f>SUMIF('04_Продажи'!$B$28:$BI$28,'04_Продажи'!AU$11,'19_Расчет_аналитики'!$B$1350:$BI$1350)*'19_Расчет_аналитики'!AU1821</f>
        <v/>
      </c>
      <c r="AV1356">
        <f>SUMIF('04_Продажи'!$B$28:$BI$28,'04_Продажи'!AV$11,'19_Расчет_аналитики'!$B$1350:$BI$1350)*'19_Расчет_аналитики'!AV1821</f>
        <v/>
      </c>
      <c r="AW1356">
        <f>SUMIF('04_Продажи'!$B$28:$BI$28,'04_Продажи'!AW$11,'19_Расчет_аналитики'!$B$1350:$BI$1350)*'19_Расчет_аналитики'!AW1821</f>
        <v/>
      </c>
      <c r="AX1356">
        <f>SUMIF('04_Продажи'!$B$28:$BI$28,'04_Продажи'!AX$11,'19_Расчет_аналитики'!$B$1350:$BI$1350)*'19_Расчет_аналитики'!AX1821</f>
        <v/>
      </c>
      <c r="AY1356">
        <f>SUMIF('04_Продажи'!$B$28:$BI$28,'04_Продажи'!AY$11,'19_Расчет_аналитики'!$B$1350:$BI$1350)*'19_Расчет_аналитики'!AY1821</f>
        <v/>
      </c>
      <c r="AZ1356">
        <f>SUMIF('04_Продажи'!$B$28:$BI$28,'04_Продажи'!AZ$11,'19_Расчет_аналитики'!$B$1350:$BI$1350)*'19_Расчет_аналитики'!AZ1821</f>
        <v/>
      </c>
      <c r="BA1356">
        <f>SUMIF('04_Продажи'!$B$28:$BI$28,'04_Продажи'!BA$11,'19_Расчет_аналитики'!$B$1350:$BI$1350)*'19_Расчет_аналитики'!BA1821</f>
        <v/>
      </c>
      <c r="BB1356">
        <f>SUMIF('04_Продажи'!$B$28:$BI$28,'04_Продажи'!BB$11,'19_Расчет_аналитики'!$B$1350:$BI$1350)*'19_Расчет_аналитики'!BB1821</f>
        <v/>
      </c>
      <c r="BC1356">
        <f>SUMIF('04_Продажи'!$B$28:$BI$28,'04_Продажи'!BC$11,'19_Расчет_аналитики'!$B$1350:$BI$1350)*'19_Расчет_аналитики'!BC1821</f>
        <v/>
      </c>
      <c r="BD1356">
        <f>SUMIF('04_Продажи'!$B$28:$BI$28,'04_Продажи'!BD$11,'19_Расчет_аналитики'!$B$1350:$BI$1350)*'19_Расчет_аналитики'!BD1821</f>
        <v/>
      </c>
      <c r="BE1356">
        <f>SUMIF('04_Продажи'!$B$28:$BI$28,'04_Продажи'!BE$11,'19_Расчет_аналитики'!$B$1350:$BI$1350)*'19_Расчет_аналитики'!BE1821</f>
        <v/>
      </c>
      <c r="BF1356">
        <f>SUMIF('04_Продажи'!$B$28:$BI$28,'04_Продажи'!BF$11,'19_Расчет_аналитики'!$B$1350:$BI$1350)*'19_Расчет_аналитики'!BF1821</f>
        <v/>
      </c>
      <c r="BG1356">
        <f>SUMIF('04_Продажи'!$B$28:$BI$28,'04_Продажи'!BG$11,'19_Расчет_аналитики'!$B$1350:$BI$1350)*'19_Расчет_аналитики'!BG1821</f>
        <v/>
      </c>
      <c r="BH1356">
        <f>SUMIF('04_Продажи'!$B$28:$BI$28,'04_Продажи'!BH$11,'19_Расчет_аналитики'!$B$1350:$BI$1350)*'19_Расчет_аналитики'!BH1821</f>
        <v/>
      </c>
      <c r="BI1356">
        <f>SUMIF('04_Продажи'!$B$28:$BI$28,'04_Продажи'!BI$11,'19_Расчет_аналитики'!$B$1350:$BI$1350)*'19_Расчет_аналитики'!BI1821</f>
        <v/>
      </c>
    </row>
    <row r="1357"/>
    <row r="1358">
      <c r="B1358">
        <f>'19_Расчет_аналитики'!B1356+'04_Продажи'!B22</f>
        <v/>
      </c>
      <c r="C1358">
        <f>'19_Расчет_аналитики'!C1356+'04_Продажи'!C22</f>
        <v/>
      </c>
      <c r="D1358">
        <f>'19_Расчет_аналитики'!D1356+'04_Продажи'!D22</f>
        <v/>
      </c>
      <c r="E1358">
        <f>'19_Расчет_аналитики'!E1356+'04_Продажи'!E22</f>
        <v/>
      </c>
      <c r="F1358">
        <f>'19_Расчет_аналитики'!F1356+'04_Продажи'!F22</f>
        <v/>
      </c>
      <c r="G1358">
        <f>'19_Расчет_аналитики'!G1356+'04_Продажи'!G22</f>
        <v/>
      </c>
      <c r="H1358">
        <f>'19_Расчет_аналитики'!H1356+'04_Продажи'!H22</f>
        <v/>
      </c>
      <c r="I1358">
        <f>'19_Расчет_аналитики'!I1356+'04_Продажи'!I22</f>
        <v/>
      </c>
      <c r="J1358">
        <f>'19_Расчет_аналитики'!J1356+'04_Продажи'!J22</f>
        <v/>
      </c>
      <c r="K1358">
        <f>'19_Расчет_аналитики'!K1356+'04_Продажи'!K22</f>
        <v/>
      </c>
      <c r="L1358">
        <f>'19_Расчет_аналитики'!L1356+'04_Продажи'!L22</f>
        <v/>
      </c>
      <c r="M1358">
        <f>'19_Расчет_аналитики'!M1356+'04_Продажи'!M22</f>
        <v/>
      </c>
      <c r="N1358">
        <f>'19_Расчет_аналитики'!N1356+'04_Продажи'!N22</f>
        <v/>
      </c>
      <c r="O1358">
        <f>'19_Расчет_аналитики'!O1356+'04_Продажи'!O22</f>
        <v/>
      </c>
      <c r="P1358">
        <f>'19_Расчет_аналитики'!P1356+'04_Продажи'!P22</f>
        <v/>
      </c>
      <c r="Q1358">
        <f>'19_Расчет_аналитики'!Q1356+'04_Продажи'!Q22</f>
        <v/>
      </c>
      <c r="R1358">
        <f>'19_Расчет_аналитики'!R1356+'04_Продажи'!R22</f>
        <v/>
      </c>
      <c r="S1358">
        <f>'19_Расчет_аналитики'!S1356+'04_Продажи'!S22</f>
        <v/>
      </c>
      <c r="T1358">
        <f>'19_Расчет_аналитики'!T1356+'04_Продажи'!T22</f>
        <v/>
      </c>
      <c r="U1358">
        <f>'19_Расчет_аналитики'!U1356+'04_Продажи'!U22</f>
        <v/>
      </c>
      <c r="V1358">
        <f>'19_Расчет_аналитики'!V1356+'04_Продажи'!V22</f>
        <v/>
      </c>
      <c r="W1358">
        <f>'19_Расчет_аналитики'!W1356+'04_Продажи'!W22</f>
        <v/>
      </c>
      <c r="X1358">
        <f>'19_Расчет_аналитики'!X1356+'04_Продажи'!X22</f>
        <v/>
      </c>
      <c r="Y1358">
        <f>'19_Расчет_аналитики'!Y1356+'04_Продажи'!Y22</f>
        <v/>
      </c>
      <c r="Z1358">
        <f>'19_Расчет_аналитики'!Z1356+'04_Продажи'!Z22</f>
        <v/>
      </c>
      <c r="AA1358">
        <f>'19_Расчет_аналитики'!AA1356+'04_Продажи'!AA22</f>
        <v/>
      </c>
      <c r="AB1358">
        <f>'19_Расчет_аналитики'!AB1356+'04_Продажи'!AB22</f>
        <v/>
      </c>
      <c r="AC1358">
        <f>'19_Расчет_аналитики'!AC1356+'04_Продажи'!AC22</f>
        <v/>
      </c>
      <c r="AD1358">
        <f>'19_Расчет_аналитики'!AD1356+'04_Продажи'!AD22</f>
        <v/>
      </c>
      <c r="AE1358">
        <f>'19_Расчет_аналитики'!AE1356+'04_Продажи'!AE22</f>
        <v/>
      </c>
      <c r="AF1358">
        <f>'19_Расчет_аналитики'!AF1356+'04_Продажи'!AF22</f>
        <v/>
      </c>
      <c r="AG1358">
        <f>'19_Расчет_аналитики'!AG1356+'04_Продажи'!AG22</f>
        <v/>
      </c>
      <c r="AH1358">
        <f>'19_Расчет_аналитики'!AH1356+'04_Продажи'!AH22</f>
        <v/>
      </c>
      <c r="AI1358">
        <f>'19_Расчет_аналитики'!AI1356+'04_Продажи'!AI22</f>
        <v/>
      </c>
      <c r="AJ1358">
        <f>'19_Расчет_аналитики'!AJ1356+'04_Продажи'!AJ22</f>
        <v/>
      </c>
      <c r="AK1358">
        <f>'19_Расчет_аналитики'!AK1356+'04_Продажи'!AK22</f>
        <v/>
      </c>
      <c r="AL1358">
        <f>'19_Расчет_аналитики'!AL1356+'04_Продажи'!AL22</f>
        <v/>
      </c>
      <c r="AM1358">
        <f>'19_Расчет_аналитики'!AM1356+'04_Продажи'!AM22</f>
        <v/>
      </c>
      <c r="AN1358">
        <f>'19_Расчет_аналитики'!AN1356+'04_Продажи'!AN22</f>
        <v/>
      </c>
      <c r="AO1358">
        <f>'19_Расчет_аналитики'!AO1356+'04_Продажи'!AO22</f>
        <v/>
      </c>
      <c r="AP1358">
        <f>'19_Расчет_аналитики'!AP1356+'04_Продажи'!AP22</f>
        <v/>
      </c>
      <c r="AQ1358">
        <f>'19_Расчет_аналитики'!AQ1356+'04_Продажи'!AQ22</f>
        <v/>
      </c>
      <c r="AR1358">
        <f>'19_Расчет_аналитики'!AR1356+'04_Продажи'!AR22</f>
        <v/>
      </c>
      <c r="AS1358">
        <f>'19_Расчет_аналитики'!AS1356+'04_Продажи'!AS22</f>
        <v/>
      </c>
      <c r="AT1358">
        <f>'19_Расчет_аналитики'!AT1356+'04_Продажи'!AT22</f>
        <v/>
      </c>
      <c r="AU1358">
        <f>'19_Расчет_аналитики'!AU1356+'04_Продажи'!AU22</f>
        <v/>
      </c>
      <c r="AV1358">
        <f>'19_Расчет_аналитики'!AV1356+'04_Продажи'!AV22</f>
        <v/>
      </c>
      <c r="AW1358">
        <f>'19_Расчет_аналитики'!AW1356+'04_Продажи'!AW22</f>
        <v/>
      </c>
      <c r="AX1358">
        <f>'19_Расчет_аналитики'!AX1356+'04_Продажи'!AX22</f>
        <v/>
      </c>
      <c r="AY1358">
        <f>'19_Расчет_аналитики'!AY1356+'04_Продажи'!AY22</f>
        <v/>
      </c>
      <c r="AZ1358">
        <f>'19_Расчет_аналитики'!AZ1356+'04_Продажи'!AZ22</f>
        <v/>
      </c>
      <c r="BA1358">
        <f>'19_Расчет_аналитики'!BA1356+'04_Продажи'!BA22</f>
        <v/>
      </c>
      <c r="BB1358">
        <f>'19_Расчет_аналитики'!BB1356+'04_Продажи'!BB22</f>
        <v/>
      </c>
      <c r="BC1358">
        <f>'19_Расчет_аналитики'!BC1356+'04_Продажи'!BC22</f>
        <v/>
      </c>
      <c r="BD1358">
        <f>'19_Расчет_аналитики'!BD1356+'04_Продажи'!BD22</f>
        <v/>
      </c>
      <c r="BE1358">
        <f>'19_Расчет_аналитики'!BE1356+'04_Продажи'!BE22</f>
        <v/>
      </c>
      <c r="BF1358">
        <f>'19_Расчет_аналитики'!BF1356+'04_Продажи'!BF22</f>
        <v/>
      </c>
      <c r="BG1358">
        <f>'19_Расчет_аналитики'!BG1356+'04_Продажи'!BG22</f>
        <v/>
      </c>
      <c r="BH1358">
        <f>'19_Расчет_аналитики'!BH1356+'04_Продажи'!BH22</f>
        <v/>
      </c>
      <c r="BI1358">
        <f>'19_Расчет_аналитики'!BI1356+'04_Продажи'!BI22</f>
        <v/>
      </c>
    </row>
    <row r="1359"/>
    <row r="1360">
      <c r="C1360">
        <f>'19_Расчет_аналитики'!C1350*'18_Календарь_тарифы'!C6</f>
        <v/>
      </c>
      <c r="D1360">
        <f>'19_Расчет_аналитики'!D1350*'18_Календарь_тарифы'!D6</f>
        <v/>
      </c>
      <c r="E1360">
        <f>'19_Расчет_аналитики'!E1350*'18_Календарь_тарифы'!E6</f>
        <v/>
      </c>
      <c r="F1360">
        <f>'19_Расчет_аналитики'!F1350*'18_Календарь_тарифы'!F6</f>
        <v/>
      </c>
      <c r="G1360">
        <f>'19_Расчет_аналитики'!G1350*'18_Календарь_тарифы'!G6</f>
        <v/>
      </c>
      <c r="H1360">
        <f>'19_Расчет_аналитики'!H1350*'18_Календарь_тарифы'!H6</f>
        <v/>
      </c>
      <c r="I1360">
        <f>'19_Расчет_аналитики'!I1350*'18_Календарь_тарифы'!I6</f>
        <v/>
      </c>
      <c r="J1360">
        <f>'19_Расчет_аналитики'!J1350*'18_Календарь_тарифы'!J6</f>
        <v/>
      </c>
      <c r="K1360">
        <f>'19_Расчет_аналитики'!K1350*'18_Календарь_тарифы'!K6</f>
        <v/>
      </c>
      <c r="L1360">
        <f>'19_Расчет_аналитики'!L1350*'18_Календарь_тарифы'!L6</f>
        <v/>
      </c>
      <c r="M1360">
        <f>'19_Расчет_аналитики'!M1350*'18_Календарь_тарифы'!M6</f>
        <v/>
      </c>
      <c r="N1360">
        <f>'19_Расчет_аналитики'!N1350*'18_Календарь_тарифы'!N6</f>
        <v/>
      </c>
      <c r="O1360">
        <f>'19_Расчет_аналитики'!O1350*'18_Календарь_тарифы'!O6</f>
        <v/>
      </c>
      <c r="P1360">
        <f>'19_Расчет_аналитики'!P1350*'18_Календарь_тарифы'!P6</f>
        <v/>
      </c>
      <c r="Q1360">
        <f>'19_Расчет_аналитики'!Q1350*'18_Календарь_тарифы'!Q6</f>
        <v/>
      </c>
      <c r="R1360">
        <f>'19_Расчет_аналитики'!R1350*'18_Календарь_тарифы'!R6</f>
        <v/>
      </c>
      <c r="S1360">
        <f>'19_Расчет_аналитики'!S1350*'18_Календарь_тарифы'!S6</f>
        <v/>
      </c>
      <c r="T1360">
        <f>'19_Расчет_аналитики'!T1350*'18_Календарь_тарифы'!T6</f>
        <v/>
      </c>
      <c r="U1360">
        <f>'19_Расчет_аналитики'!U1350*'18_Календарь_тарифы'!U6</f>
        <v/>
      </c>
      <c r="V1360">
        <f>'19_Расчет_аналитики'!V1350*'18_Календарь_тарифы'!V6</f>
        <v/>
      </c>
      <c r="W1360">
        <f>'19_Расчет_аналитики'!W1350*'18_Календарь_тарифы'!W6</f>
        <v/>
      </c>
      <c r="X1360">
        <f>'19_Расчет_аналитики'!X1350*'18_Календарь_тарифы'!X6</f>
        <v/>
      </c>
      <c r="Y1360">
        <f>'19_Расчет_аналитики'!Y1350*'18_Календарь_тарифы'!Y6</f>
        <v/>
      </c>
      <c r="Z1360">
        <f>'19_Расчет_аналитики'!Z1350*'18_Календарь_тарифы'!Z6</f>
        <v/>
      </c>
      <c r="AA1360">
        <f>'19_Расчет_аналитики'!AA1350*'18_Календарь_тарифы'!AA6</f>
        <v/>
      </c>
      <c r="AB1360">
        <f>'19_Расчет_аналитики'!AB1350*'18_Календарь_тарифы'!AB6</f>
        <v/>
      </c>
      <c r="AC1360">
        <f>'19_Расчет_аналитики'!AC1350*'18_Календарь_тарифы'!AC6</f>
        <v/>
      </c>
      <c r="AD1360">
        <f>'19_Расчет_аналитики'!AD1350*'18_Календарь_тарифы'!AD6</f>
        <v/>
      </c>
      <c r="AE1360">
        <f>'19_Расчет_аналитики'!AE1350*'18_Календарь_тарифы'!AE6</f>
        <v/>
      </c>
      <c r="AF1360">
        <f>'19_Расчет_аналитики'!AF1350*'18_Календарь_тарифы'!AF6</f>
        <v/>
      </c>
      <c r="AG1360">
        <f>'19_Расчет_аналитики'!AG1350*'18_Календарь_тарифы'!AG6</f>
        <v/>
      </c>
      <c r="AH1360">
        <f>'19_Расчет_аналитики'!AH1350*'18_Календарь_тарифы'!AH6</f>
        <v/>
      </c>
      <c r="AI1360">
        <f>'19_Расчет_аналитики'!AI1350*'18_Календарь_тарифы'!AI6</f>
        <v/>
      </c>
      <c r="AJ1360">
        <f>'19_Расчет_аналитики'!AJ1350*'18_Календарь_тарифы'!AJ6</f>
        <v/>
      </c>
      <c r="AK1360">
        <f>'19_Расчет_аналитики'!AK1350*'18_Календарь_тарифы'!AK6</f>
        <v/>
      </c>
      <c r="AL1360">
        <f>'19_Расчет_аналитики'!AL1350*'18_Календарь_тарифы'!AL6</f>
        <v/>
      </c>
      <c r="AM1360">
        <f>'19_Расчет_аналитики'!AM1350*'18_Календарь_тарифы'!AM6</f>
        <v/>
      </c>
      <c r="AN1360">
        <f>'19_Расчет_аналитики'!AN1350*'18_Календарь_тарифы'!AN6</f>
        <v/>
      </c>
      <c r="AO1360">
        <f>'19_Расчет_аналитики'!AO1350*'18_Календарь_тарифы'!AO6</f>
        <v/>
      </c>
      <c r="AP1360">
        <f>'19_Расчет_аналитики'!AP1350*'18_Календарь_тарифы'!AP6</f>
        <v/>
      </c>
      <c r="AQ1360">
        <f>'19_Расчет_аналитики'!AQ1350*'18_Календарь_тарифы'!AQ6</f>
        <v/>
      </c>
      <c r="AR1360">
        <f>'19_Расчет_аналитики'!AR1350*'18_Календарь_тарифы'!AR6</f>
        <v/>
      </c>
      <c r="AS1360">
        <f>'19_Расчет_аналитики'!AS1350*'18_Календарь_тарифы'!AS6</f>
        <v/>
      </c>
      <c r="AT1360">
        <f>'19_Расчет_аналитики'!AT1350*'18_Календарь_тарифы'!AT6</f>
        <v/>
      </c>
      <c r="AU1360">
        <f>'19_Расчет_аналитики'!AU1350*'18_Календарь_тарифы'!AU6</f>
        <v/>
      </c>
      <c r="AV1360">
        <f>'19_Расчет_аналитики'!AV1350*'18_Календарь_тарифы'!AV6</f>
        <v/>
      </c>
      <c r="AW1360">
        <f>'19_Расчет_аналитики'!AW1350*'18_Календарь_тарифы'!AW6</f>
        <v/>
      </c>
      <c r="AX1360">
        <f>'19_Расчет_аналитики'!AX1350*'18_Календарь_тарифы'!AX6</f>
        <v/>
      </c>
      <c r="AY1360">
        <f>'19_Расчет_аналитики'!AY1350*'18_Календарь_тарифы'!AY6</f>
        <v/>
      </c>
      <c r="AZ1360">
        <f>'19_Расчет_аналитики'!AZ1350*'18_Календарь_тарифы'!AZ6</f>
        <v/>
      </c>
      <c r="BA1360">
        <f>'19_Расчет_аналитики'!BA1350*'18_Календарь_тарифы'!BA6</f>
        <v/>
      </c>
      <c r="BB1360">
        <f>'19_Расчет_аналитики'!BB1350*'18_Календарь_тарифы'!BB6</f>
        <v/>
      </c>
      <c r="BC1360">
        <f>'19_Расчет_аналитики'!BC1350*'18_Календарь_тарифы'!BC6</f>
        <v/>
      </c>
      <c r="BD1360">
        <f>'19_Расчет_аналитики'!BD1350*'18_Календарь_тарифы'!BD6</f>
        <v/>
      </c>
      <c r="BE1360">
        <f>'19_Расчет_аналитики'!BE1350*'18_Календарь_тарифы'!BE6</f>
        <v/>
      </c>
      <c r="BF1360">
        <f>'19_Расчет_аналитики'!BF1350*'18_Календарь_тарифы'!BF6</f>
        <v/>
      </c>
      <c r="BG1360">
        <f>'19_Расчет_аналитики'!BG1350*'18_Календарь_тарифы'!BG6</f>
        <v/>
      </c>
      <c r="BH1360">
        <f>'19_Расчет_аналитики'!BH1350*'18_Календарь_тарифы'!BH6</f>
        <v/>
      </c>
      <c r="BI1360">
        <f>'19_Расчет_аналитики'!BI1350*'18_Календарь_тарифы'!BI6</f>
        <v/>
      </c>
    </row>
    <row r="1361">
      <c r="C1361">
        <f>'19_Расчет_аналитики'!C1360/(1+'01_Вводные'!$B$58)</f>
        <v/>
      </c>
      <c r="D1361">
        <f>'19_Расчет_аналитики'!D1360/(1+'01_Вводные'!$B$58)</f>
        <v/>
      </c>
      <c r="E1361">
        <f>'19_Расчет_аналитики'!E1360/(1+'01_Вводные'!$B$58)</f>
        <v/>
      </c>
      <c r="F1361">
        <f>'19_Расчет_аналитики'!F1360/(1+'01_Вводные'!$B$58)</f>
        <v/>
      </c>
      <c r="G1361">
        <f>'19_Расчет_аналитики'!G1360/(1+'01_Вводные'!$B$58)</f>
        <v/>
      </c>
      <c r="H1361">
        <f>'19_Расчет_аналитики'!H1360/(1+'01_Вводные'!$B$58)</f>
        <v/>
      </c>
      <c r="I1361">
        <f>'19_Расчет_аналитики'!I1360/(1+'01_Вводные'!$B$58)</f>
        <v/>
      </c>
      <c r="J1361">
        <f>'19_Расчет_аналитики'!J1360/(1+'01_Вводные'!$B$58)</f>
        <v/>
      </c>
      <c r="K1361">
        <f>'19_Расчет_аналитики'!K1360/(1+'01_Вводные'!$B$58)</f>
        <v/>
      </c>
      <c r="L1361">
        <f>'19_Расчет_аналитики'!L1360/(1+'01_Вводные'!$B$58)</f>
        <v/>
      </c>
      <c r="M1361">
        <f>'19_Расчет_аналитики'!M1360/(1+'01_Вводные'!$B$58)</f>
        <v/>
      </c>
      <c r="N1361">
        <f>'19_Расчет_аналитики'!N1360/(1+'01_Вводные'!$B$58)</f>
        <v/>
      </c>
      <c r="O1361">
        <f>'19_Расчет_аналитики'!O1360/(1+'01_Вводные'!$B$58)</f>
        <v/>
      </c>
      <c r="P1361">
        <f>'19_Расчет_аналитики'!P1360/(1+'01_Вводные'!$B$58)</f>
        <v/>
      </c>
      <c r="Q1361">
        <f>'19_Расчет_аналитики'!Q1360/(1+'01_Вводные'!$B$58)</f>
        <v/>
      </c>
      <c r="R1361">
        <f>'19_Расчет_аналитики'!R1360/(1+'01_Вводные'!$B$58)</f>
        <v/>
      </c>
      <c r="S1361">
        <f>'19_Расчет_аналитики'!S1360/(1+'01_Вводные'!$B$58)</f>
        <v/>
      </c>
      <c r="T1361">
        <f>'19_Расчет_аналитики'!T1360/(1+'01_Вводные'!$B$58)</f>
        <v/>
      </c>
      <c r="U1361">
        <f>'19_Расчет_аналитики'!U1360/(1+'01_Вводные'!$B$58)</f>
        <v/>
      </c>
      <c r="V1361">
        <f>'19_Расчет_аналитики'!V1360/(1+'01_Вводные'!$B$58)</f>
        <v/>
      </c>
      <c r="W1361">
        <f>'19_Расчет_аналитики'!W1360/(1+'01_Вводные'!$B$58)</f>
        <v/>
      </c>
      <c r="X1361">
        <f>'19_Расчет_аналитики'!X1360/(1+'01_Вводные'!$B$58)</f>
        <v/>
      </c>
      <c r="Y1361">
        <f>'19_Расчет_аналитики'!Y1360/(1+'01_Вводные'!$B$58)</f>
        <v/>
      </c>
      <c r="Z1361">
        <f>'19_Расчет_аналитики'!Z1360/(1+'01_Вводные'!$B$58)</f>
        <v/>
      </c>
      <c r="AA1361">
        <f>'19_Расчет_аналитики'!AA1360/(1+'01_Вводные'!$B$58)</f>
        <v/>
      </c>
      <c r="AB1361">
        <f>'19_Расчет_аналитики'!AB1360/(1+'01_Вводные'!$B$58)</f>
        <v/>
      </c>
      <c r="AC1361">
        <f>'19_Расчет_аналитики'!AC1360/(1+'01_Вводные'!$B$58)</f>
        <v/>
      </c>
      <c r="AD1361">
        <f>'19_Расчет_аналитики'!AD1360/(1+'01_Вводные'!$B$58)</f>
        <v/>
      </c>
      <c r="AE1361">
        <f>'19_Расчет_аналитики'!AE1360/(1+'01_Вводные'!$B$58)</f>
        <v/>
      </c>
      <c r="AF1361">
        <f>'19_Расчет_аналитики'!AF1360/(1+'01_Вводные'!$B$58)</f>
        <v/>
      </c>
      <c r="AG1361">
        <f>'19_Расчет_аналитики'!AG1360/(1+'01_Вводные'!$B$58)</f>
        <v/>
      </c>
      <c r="AH1361">
        <f>'19_Расчет_аналитики'!AH1360/(1+'01_Вводные'!$B$58)</f>
        <v/>
      </c>
      <c r="AI1361">
        <f>'19_Расчет_аналитики'!AI1360/(1+'01_Вводные'!$B$58)</f>
        <v/>
      </c>
      <c r="AJ1361">
        <f>'19_Расчет_аналитики'!AJ1360/(1+'01_Вводные'!$B$58)</f>
        <v/>
      </c>
      <c r="AK1361">
        <f>'19_Расчет_аналитики'!AK1360/(1+'01_Вводные'!$B$58)</f>
        <v/>
      </c>
      <c r="AL1361">
        <f>'19_Расчет_аналитики'!AL1360/(1+'01_Вводные'!$B$58)</f>
        <v/>
      </c>
      <c r="AM1361">
        <f>'19_Расчет_аналитики'!AM1360/(1+'01_Вводные'!$B$58)</f>
        <v/>
      </c>
      <c r="AN1361">
        <f>'19_Расчет_аналитики'!AN1360/(1+'01_Вводные'!$B$58)</f>
        <v/>
      </c>
      <c r="AO1361">
        <f>'19_Расчет_аналитики'!AO1360/(1+'01_Вводные'!$B$58)</f>
        <v/>
      </c>
      <c r="AP1361">
        <f>'19_Расчет_аналитики'!AP1360/(1+'01_Вводные'!$B$58)</f>
        <v/>
      </c>
      <c r="AQ1361">
        <f>'19_Расчет_аналитики'!AQ1360/(1+'01_Вводные'!$B$58)</f>
        <v/>
      </c>
      <c r="AR1361">
        <f>'19_Расчет_аналитики'!AR1360/(1+'01_Вводные'!$B$58)</f>
        <v/>
      </c>
      <c r="AS1361">
        <f>'19_Расчет_аналитики'!AS1360/(1+'01_Вводные'!$B$58)</f>
        <v/>
      </c>
      <c r="AT1361">
        <f>'19_Расчет_аналитики'!AT1360/(1+'01_Вводные'!$B$58)</f>
        <v/>
      </c>
      <c r="AU1361">
        <f>'19_Расчет_аналитики'!AU1360/(1+'01_Вводные'!$B$58)</f>
        <v/>
      </c>
      <c r="AV1361">
        <f>'19_Расчет_аналитики'!AV1360/(1+'01_Вводные'!$B$58)</f>
        <v/>
      </c>
      <c r="AW1361">
        <f>'19_Расчет_аналитики'!AW1360/(1+'01_Вводные'!$B$58)</f>
        <v/>
      </c>
      <c r="AX1361">
        <f>'19_Расчет_аналитики'!AX1360/(1+'01_Вводные'!$B$58)</f>
        <v/>
      </c>
      <c r="AY1361">
        <f>'19_Расчет_аналитики'!AY1360/(1+'01_Вводные'!$B$58)</f>
        <v/>
      </c>
      <c r="AZ1361">
        <f>'19_Расчет_аналитики'!AZ1360/(1+'01_Вводные'!$B$58)</f>
        <v/>
      </c>
      <c r="BA1361">
        <f>'19_Расчет_аналитики'!BA1360/(1+'01_Вводные'!$B$58)</f>
        <v/>
      </c>
      <c r="BB1361">
        <f>'19_Расчет_аналитики'!BB1360/(1+'01_Вводные'!$B$58)</f>
        <v/>
      </c>
      <c r="BC1361">
        <f>'19_Расчет_аналитики'!BC1360/(1+'01_Вводные'!$B$58)</f>
        <v/>
      </c>
      <c r="BD1361">
        <f>'19_Расчет_аналитики'!BD1360/(1+'01_Вводные'!$B$58)</f>
        <v/>
      </c>
      <c r="BE1361">
        <f>'19_Расчет_аналитики'!BE1360/(1+'01_Вводные'!$B$58)</f>
        <v/>
      </c>
      <c r="BF1361">
        <f>'19_Расчет_аналитики'!BF1360/(1+'01_Вводные'!$B$58)</f>
        <v/>
      </c>
      <c r="BG1361">
        <f>'19_Расчет_аналитики'!BG1360/(1+'01_Вводные'!$B$58)</f>
        <v/>
      </c>
      <c r="BH1361">
        <f>'19_Расчет_аналитики'!BH1360/(1+'01_Вводные'!$B$58)</f>
        <v/>
      </c>
      <c r="BI1361">
        <f>'19_Расчет_аналитики'!BI1360/(1+'01_Вводные'!$B$58)</f>
        <v/>
      </c>
    </row>
    <row r="1362"/>
    <row r="1363"/>
    <row r="1364"/>
    <row r="1365"/>
    <row r="1366"/>
    <row r="1367"/>
    <row r="1368"/>
    <row r="1369"/>
    <row r="1370"/>
    <row r="1371"/>
    <row r="1372"/>
    <row r="1373"/>
    <row r="1374">
      <c r="C1374">
        <f>'19_Расчет_аналитики'!C1350</f>
        <v/>
      </c>
      <c r="D1374">
        <f>'19_Расчет_аналитики'!D1350</f>
        <v/>
      </c>
      <c r="E1374">
        <f>'19_Расчет_аналитики'!E1350</f>
        <v/>
      </c>
      <c r="F1374">
        <f>'19_Расчет_аналитики'!F1350</f>
        <v/>
      </c>
      <c r="G1374">
        <f>'19_Расчет_аналитики'!G1350</f>
        <v/>
      </c>
      <c r="H1374">
        <f>'19_Расчет_аналитики'!H1350</f>
        <v/>
      </c>
      <c r="I1374">
        <f>'19_Расчет_аналитики'!I1350</f>
        <v/>
      </c>
      <c r="J1374">
        <f>'19_Расчет_аналитики'!J1350</f>
        <v/>
      </c>
      <c r="K1374">
        <f>'19_Расчет_аналитики'!K1350</f>
        <v/>
      </c>
      <c r="L1374">
        <f>'19_Расчет_аналитики'!L1350</f>
        <v/>
      </c>
      <c r="M1374">
        <f>'19_Расчет_аналитики'!M1350</f>
        <v/>
      </c>
      <c r="N1374">
        <f>'19_Расчет_аналитики'!N1350</f>
        <v/>
      </c>
      <c r="O1374">
        <f>'19_Расчет_аналитики'!O1350</f>
        <v/>
      </c>
      <c r="P1374">
        <f>'19_Расчет_аналитики'!P1350</f>
        <v/>
      </c>
      <c r="Q1374">
        <f>'19_Расчет_аналитики'!Q1350</f>
        <v/>
      </c>
      <c r="R1374">
        <f>'19_Расчет_аналитики'!R1350</f>
        <v/>
      </c>
      <c r="S1374">
        <f>'19_Расчет_аналитики'!S1350</f>
        <v/>
      </c>
      <c r="T1374">
        <f>'19_Расчет_аналитики'!T1350</f>
        <v/>
      </c>
      <c r="U1374">
        <f>'19_Расчет_аналитики'!U1350</f>
        <v/>
      </c>
      <c r="V1374">
        <f>'19_Расчет_аналитики'!V1350</f>
        <v/>
      </c>
      <c r="W1374">
        <f>'19_Расчет_аналитики'!W1350</f>
        <v/>
      </c>
      <c r="X1374">
        <f>'19_Расчет_аналитики'!X1350</f>
        <v/>
      </c>
      <c r="Y1374">
        <f>'19_Расчет_аналитики'!Y1350</f>
        <v/>
      </c>
      <c r="Z1374">
        <f>'19_Расчет_аналитики'!Z1350</f>
        <v/>
      </c>
      <c r="AA1374">
        <f>'19_Расчет_аналитики'!AA1350</f>
        <v/>
      </c>
      <c r="AB1374">
        <f>'19_Расчет_аналитики'!AB1350</f>
        <v/>
      </c>
      <c r="AC1374">
        <f>'19_Расчет_аналитики'!AC1350</f>
        <v/>
      </c>
      <c r="AD1374">
        <f>'19_Расчет_аналитики'!AD1350</f>
        <v/>
      </c>
      <c r="AE1374">
        <f>'19_Расчет_аналитики'!AE1350</f>
        <v/>
      </c>
      <c r="AF1374">
        <f>'19_Расчет_аналитики'!AF1350</f>
        <v/>
      </c>
      <c r="AG1374">
        <f>'19_Расчет_аналитики'!AG1350</f>
        <v/>
      </c>
      <c r="AH1374">
        <f>'19_Расчет_аналитики'!AH1350</f>
        <v/>
      </c>
      <c r="AI1374">
        <f>'19_Расчет_аналитики'!AI1350</f>
        <v/>
      </c>
      <c r="AJ1374">
        <f>'19_Расчет_аналитики'!AJ1350</f>
        <v/>
      </c>
      <c r="AK1374">
        <f>'19_Расчет_аналитики'!AK1350</f>
        <v/>
      </c>
      <c r="AL1374">
        <f>'19_Расчет_аналитики'!AL1350</f>
        <v/>
      </c>
      <c r="AM1374">
        <f>'19_Расчет_аналитики'!AM1350</f>
        <v/>
      </c>
      <c r="AN1374">
        <f>'19_Расчет_аналитики'!AN1350</f>
        <v/>
      </c>
      <c r="AO1374">
        <f>'19_Расчет_аналитики'!AO1350</f>
        <v/>
      </c>
      <c r="AP1374">
        <f>'19_Расчет_аналитики'!AP1350</f>
        <v/>
      </c>
      <c r="AQ1374">
        <f>'19_Расчет_аналитики'!AQ1350</f>
        <v/>
      </c>
      <c r="AR1374">
        <f>'19_Расчет_аналитики'!AR1350</f>
        <v/>
      </c>
      <c r="AS1374">
        <f>'19_Расчет_аналитики'!AS1350</f>
        <v/>
      </c>
      <c r="AT1374">
        <f>'19_Расчет_аналитики'!AT1350</f>
        <v/>
      </c>
      <c r="AU1374">
        <f>'19_Расчет_аналитики'!AU1350</f>
        <v/>
      </c>
      <c r="AV1374">
        <f>'19_Расчет_аналитики'!AV1350</f>
        <v/>
      </c>
      <c r="AW1374">
        <f>'19_Расчет_аналитики'!AW1350</f>
        <v/>
      </c>
      <c r="AX1374">
        <f>'19_Расчет_аналитики'!AX1350</f>
        <v/>
      </c>
      <c r="AY1374">
        <f>'19_Расчет_аналитики'!AY1350</f>
        <v/>
      </c>
      <c r="AZ1374">
        <f>'19_Расчет_аналитики'!AZ1350</f>
        <v/>
      </c>
      <c r="BA1374">
        <f>'19_Расчет_аналитики'!BA1350</f>
        <v/>
      </c>
      <c r="BB1374">
        <f>'19_Расчет_аналитики'!BB1350</f>
        <v/>
      </c>
      <c r="BC1374">
        <f>'19_Расчет_аналитики'!BC1350</f>
        <v/>
      </c>
      <c r="BD1374">
        <f>'19_Расчет_аналитики'!BD1350</f>
        <v/>
      </c>
      <c r="BE1374">
        <f>'19_Расчет_аналитики'!BE1350</f>
        <v/>
      </c>
      <c r="BF1374">
        <f>'19_Расчет_аналитики'!BF1350</f>
        <v/>
      </c>
      <c r="BG1374">
        <f>'19_Расчет_аналитики'!BG1350</f>
        <v/>
      </c>
      <c r="BH1374">
        <f>'19_Расчет_аналитики'!BH1350</f>
        <v/>
      </c>
      <c r="BI1374">
        <f>'19_Расчет_аналитики'!BI1350</f>
        <v/>
      </c>
    </row>
    <row r="1375">
      <c r="B1375">
        <f>IF(OR(1&lt;='01_Вводные'!$B$15,1-'01_Вводные'!$B$15&gt;60),0,INDEX('19_Расчет_аналитики'!$B$1350:$BI$1350,1,1-'01_Вводные'!$B$15))*'01_Вводные'!$B$298*MIN(1,'01_Вводные'!$B$22)+IF(OR(1&lt;=('01_Вводные'!$B$15+'01_Вводные'!$B$311),1-('01_Вводные'!$B$15+'01_Вводные'!$B$311)&gt;60),0,INDEX('19_Расчет_аналитики'!$B$1350:$BI$1350,1,1-('01_Вводные'!$B$15+'01_Вводные'!$B$311)))*'01_Вводные'!$B$298*MAX(0,'01_Вводные'!$B$22-1)</f>
        <v/>
      </c>
      <c r="C1375">
        <f>IF(OR(2&lt;='01_Вводные'!$B$15,2-'01_Вводные'!$B$15&gt;60),0,INDEX('19_Расчет_аналитики'!$B$1350:$BI$1350,1,2-'01_Вводные'!$B$15))*'01_Вводные'!$B$298*MIN(1,'01_Вводные'!$B$22)+IF(OR(2&lt;=('01_Вводные'!$B$15+'01_Вводные'!$B$311),2-('01_Вводные'!$B$15+'01_Вводные'!$B$311)&gt;60),0,INDEX('19_Расчет_аналитики'!$B$1350:$BI$1350,1,2-('01_Вводные'!$B$15+'01_Вводные'!$B$311)))*'01_Вводные'!$B$298*MAX(0,'01_Вводные'!$B$22-1)</f>
        <v/>
      </c>
      <c r="D1375">
        <f>IF(OR(3&lt;='01_Вводные'!$B$15,3-'01_Вводные'!$B$15&gt;60),0,INDEX('19_Расчет_аналитики'!$B$1350:$BI$1350,1,3-'01_Вводные'!$B$15))*'01_Вводные'!$B$298*MIN(1,'01_Вводные'!$B$22)+IF(OR(3&lt;=('01_Вводные'!$B$15+'01_Вводные'!$B$311),3-('01_Вводные'!$B$15+'01_Вводные'!$B$311)&gt;60),0,INDEX('19_Расчет_аналитики'!$B$1350:$BI$1350,1,3-('01_Вводные'!$B$15+'01_Вводные'!$B$311)))*'01_Вводные'!$B$298*MAX(0,'01_Вводные'!$B$22-1)</f>
        <v/>
      </c>
      <c r="E1375">
        <f>IF(OR(4&lt;='01_Вводные'!$B$15,4-'01_Вводные'!$B$15&gt;60),0,INDEX('19_Расчет_аналитики'!$B$1350:$BI$1350,1,4-'01_Вводные'!$B$15))*'01_Вводные'!$B$298*MIN(1,'01_Вводные'!$B$22)+IF(OR(4&lt;=('01_Вводные'!$B$15+'01_Вводные'!$B$311),4-('01_Вводные'!$B$15+'01_Вводные'!$B$311)&gt;60),0,INDEX('19_Расчет_аналитики'!$B$1350:$BI$1350,1,4-('01_Вводные'!$B$15+'01_Вводные'!$B$311)))*'01_Вводные'!$B$298*MAX(0,'01_Вводные'!$B$22-1)</f>
        <v/>
      </c>
      <c r="F1375">
        <f>IF(OR(5&lt;='01_Вводные'!$B$15,5-'01_Вводные'!$B$15&gt;60),0,INDEX('19_Расчет_аналитики'!$B$1350:$BI$1350,1,5-'01_Вводные'!$B$15))*'01_Вводные'!$B$298*MIN(1,'01_Вводные'!$B$22)+IF(OR(5&lt;=('01_Вводные'!$B$15+'01_Вводные'!$B$311),5-('01_Вводные'!$B$15+'01_Вводные'!$B$311)&gt;60),0,INDEX('19_Расчет_аналитики'!$B$1350:$BI$1350,1,5-('01_Вводные'!$B$15+'01_Вводные'!$B$311)))*'01_Вводные'!$B$298*MAX(0,'01_Вводные'!$B$22-1)</f>
        <v/>
      </c>
      <c r="G1375">
        <f>IF(OR(6&lt;='01_Вводные'!$B$15,6-'01_Вводные'!$B$15&gt;60),0,INDEX('19_Расчет_аналитики'!$B$1350:$BI$1350,1,6-'01_Вводные'!$B$15))*'01_Вводные'!$B$298*MIN(1,'01_Вводные'!$B$22)+IF(OR(6&lt;=('01_Вводные'!$B$15+'01_Вводные'!$B$311),6-('01_Вводные'!$B$15+'01_Вводные'!$B$311)&gt;60),0,INDEX('19_Расчет_аналитики'!$B$1350:$BI$1350,1,6-('01_Вводные'!$B$15+'01_Вводные'!$B$311)))*'01_Вводные'!$B$298*MAX(0,'01_Вводные'!$B$22-1)</f>
        <v/>
      </c>
      <c r="H1375">
        <f>IF(OR(7&lt;='01_Вводные'!$B$15,7-'01_Вводные'!$B$15&gt;60),0,INDEX('19_Расчет_аналитики'!$B$1350:$BI$1350,1,7-'01_Вводные'!$B$15))*'01_Вводные'!$B$298*MIN(1,'01_Вводные'!$B$22)+IF(OR(7&lt;=('01_Вводные'!$B$15+'01_Вводные'!$B$311),7-('01_Вводные'!$B$15+'01_Вводные'!$B$311)&gt;60),0,INDEX('19_Расчет_аналитики'!$B$1350:$BI$1350,1,7-('01_Вводные'!$B$15+'01_Вводные'!$B$311)))*'01_Вводные'!$B$298*MAX(0,'01_Вводные'!$B$22-1)</f>
        <v/>
      </c>
      <c r="I1375">
        <f>IF(OR(8&lt;='01_Вводные'!$B$15,8-'01_Вводные'!$B$15&gt;60),0,INDEX('19_Расчет_аналитики'!$B$1350:$BI$1350,1,8-'01_Вводные'!$B$15))*'01_Вводные'!$B$298*MIN(1,'01_Вводные'!$B$22)+IF(OR(8&lt;=('01_Вводные'!$B$15+'01_Вводные'!$B$311),8-('01_Вводные'!$B$15+'01_Вводные'!$B$311)&gt;60),0,INDEX('19_Расчет_аналитики'!$B$1350:$BI$1350,1,8-('01_Вводные'!$B$15+'01_Вводные'!$B$311)))*'01_Вводные'!$B$298*MAX(0,'01_Вводные'!$B$22-1)</f>
        <v/>
      </c>
      <c r="J1375">
        <f>IF(OR(9&lt;='01_Вводные'!$B$15,9-'01_Вводные'!$B$15&gt;60),0,INDEX('19_Расчет_аналитики'!$B$1350:$BI$1350,1,9-'01_Вводные'!$B$15))*'01_Вводные'!$B$298*MIN(1,'01_Вводные'!$B$22)+IF(OR(9&lt;=('01_Вводные'!$B$15+'01_Вводные'!$B$311),9-('01_Вводные'!$B$15+'01_Вводные'!$B$311)&gt;60),0,INDEX('19_Расчет_аналитики'!$B$1350:$BI$1350,1,9-('01_Вводные'!$B$15+'01_Вводные'!$B$311)))*'01_Вводные'!$B$298*MAX(0,'01_Вводные'!$B$22-1)</f>
        <v/>
      </c>
      <c r="K1375">
        <f>IF(OR(10&lt;='01_Вводные'!$B$15,10-'01_Вводные'!$B$15&gt;60),0,INDEX('19_Расчет_аналитики'!$B$1350:$BI$1350,1,10-'01_Вводные'!$B$15))*'01_Вводные'!$B$298*MIN(1,'01_Вводные'!$B$22)+IF(OR(10&lt;=('01_Вводные'!$B$15+'01_Вводные'!$B$311),10-('01_Вводные'!$B$15+'01_Вводные'!$B$311)&gt;60),0,INDEX('19_Расчет_аналитики'!$B$1350:$BI$1350,1,10-('01_Вводные'!$B$15+'01_Вводные'!$B$311)))*'01_Вводные'!$B$298*MAX(0,'01_Вводные'!$B$22-1)</f>
        <v/>
      </c>
      <c r="L1375">
        <f>IF(OR(11&lt;='01_Вводные'!$B$15,11-'01_Вводные'!$B$15&gt;60),0,INDEX('19_Расчет_аналитики'!$B$1350:$BI$1350,1,11-'01_Вводные'!$B$15))*'01_Вводные'!$B$298*MIN(1,'01_Вводные'!$B$22)+IF(OR(11&lt;=('01_Вводные'!$B$15+'01_Вводные'!$B$311),11-('01_Вводные'!$B$15+'01_Вводные'!$B$311)&gt;60),0,INDEX('19_Расчет_аналитики'!$B$1350:$BI$1350,1,11-('01_Вводные'!$B$15+'01_Вводные'!$B$311)))*'01_Вводные'!$B$298*MAX(0,'01_Вводные'!$B$22-1)</f>
        <v/>
      </c>
      <c r="M1375">
        <f>IF(OR(12&lt;='01_Вводные'!$B$15,12-'01_Вводные'!$B$15&gt;60),0,INDEX('19_Расчет_аналитики'!$B$1350:$BI$1350,1,12-'01_Вводные'!$B$15))*'01_Вводные'!$B$298*MIN(1,'01_Вводные'!$B$22)+IF(OR(12&lt;=('01_Вводные'!$B$15+'01_Вводные'!$B$311),12-('01_Вводные'!$B$15+'01_Вводные'!$B$311)&gt;60),0,INDEX('19_Расчет_аналитики'!$B$1350:$BI$1350,1,12-('01_Вводные'!$B$15+'01_Вводные'!$B$311)))*'01_Вводные'!$B$298*MAX(0,'01_Вводные'!$B$22-1)</f>
        <v/>
      </c>
      <c r="N1375">
        <f>IF(OR(13&lt;='01_Вводные'!$B$15,13-'01_Вводные'!$B$15&gt;60),0,INDEX('19_Расчет_аналитики'!$B$1350:$BI$1350,1,13-'01_Вводные'!$B$15))*'01_Вводные'!$B$298*MIN(1,'01_Вводные'!$B$22)+IF(OR(13&lt;=('01_Вводные'!$B$15+'01_Вводные'!$B$311),13-('01_Вводные'!$B$15+'01_Вводные'!$B$311)&gt;60),0,INDEX('19_Расчет_аналитики'!$B$1350:$BI$1350,1,13-('01_Вводные'!$B$15+'01_Вводные'!$B$311)))*'01_Вводные'!$B$298*MAX(0,'01_Вводные'!$B$22-1)</f>
        <v/>
      </c>
      <c r="O1375">
        <f>IF(OR(14&lt;='01_Вводные'!$B$15,14-'01_Вводные'!$B$15&gt;60),0,INDEX('19_Расчет_аналитики'!$B$1350:$BI$1350,1,14-'01_Вводные'!$B$15))*'01_Вводные'!$B$298*MIN(1,'01_Вводные'!$B$22)+IF(OR(14&lt;=('01_Вводные'!$B$15+'01_Вводные'!$B$311),14-('01_Вводные'!$B$15+'01_Вводные'!$B$311)&gt;60),0,INDEX('19_Расчет_аналитики'!$B$1350:$BI$1350,1,14-('01_Вводные'!$B$15+'01_Вводные'!$B$311)))*'01_Вводные'!$B$298*MAX(0,'01_Вводные'!$B$22-1)</f>
        <v/>
      </c>
      <c r="P1375">
        <f>IF(OR(15&lt;='01_Вводные'!$B$15,15-'01_Вводные'!$B$15&gt;60),0,INDEX('19_Расчет_аналитики'!$B$1350:$BI$1350,1,15-'01_Вводные'!$B$15))*'01_Вводные'!$B$298*MIN(1,'01_Вводные'!$B$22)+IF(OR(15&lt;=('01_Вводные'!$B$15+'01_Вводные'!$B$311),15-('01_Вводные'!$B$15+'01_Вводные'!$B$311)&gt;60),0,INDEX('19_Расчет_аналитики'!$B$1350:$BI$1350,1,15-('01_Вводные'!$B$15+'01_Вводные'!$B$311)))*'01_Вводные'!$B$298*MAX(0,'01_Вводные'!$B$22-1)</f>
        <v/>
      </c>
      <c r="Q1375">
        <f>IF(OR(16&lt;='01_Вводные'!$B$15,16-'01_Вводные'!$B$15&gt;60),0,INDEX('19_Расчет_аналитики'!$B$1350:$BI$1350,1,16-'01_Вводные'!$B$15))*'01_Вводные'!$B$298*MIN(1,'01_Вводные'!$B$22)+IF(OR(16&lt;=('01_Вводные'!$B$15+'01_Вводные'!$B$311),16-('01_Вводные'!$B$15+'01_Вводные'!$B$311)&gt;60),0,INDEX('19_Расчет_аналитики'!$B$1350:$BI$1350,1,16-('01_Вводные'!$B$15+'01_Вводные'!$B$311)))*'01_Вводные'!$B$298*MAX(0,'01_Вводные'!$B$22-1)</f>
        <v/>
      </c>
      <c r="R1375">
        <f>IF(OR(17&lt;='01_Вводные'!$B$15,17-'01_Вводные'!$B$15&gt;60),0,INDEX('19_Расчет_аналитики'!$B$1350:$BI$1350,1,17-'01_Вводные'!$B$15))*'01_Вводные'!$B$298*MIN(1,'01_Вводные'!$B$22)+IF(OR(17&lt;=('01_Вводные'!$B$15+'01_Вводные'!$B$311),17-('01_Вводные'!$B$15+'01_Вводные'!$B$311)&gt;60),0,INDEX('19_Расчет_аналитики'!$B$1350:$BI$1350,1,17-('01_Вводные'!$B$15+'01_Вводные'!$B$311)))*'01_Вводные'!$B$298*MAX(0,'01_Вводные'!$B$22-1)</f>
        <v/>
      </c>
      <c r="S1375">
        <f>IF(OR(18&lt;='01_Вводные'!$B$15,18-'01_Вводные'!$B$15&gt;60),0,INDEX('19_Расчет_аналитики'!$B$1350:$BI$1350,1,18-'01_Вводные'!$B$15))*'01_Вводные'!$B$298*MIN(1,'01_Вводные'!$B$22)+IF(OR(18&lt;=('01_Вводные'!$B$15+'01_Вводные'!$B$311),18-('01_Вводные'!$B$15+'01_Вводные'!$B$311)&gt;60),0,INDEX('19_Расчет_аналитики'!$B$1350:$BI$1350,1,18-('01_Вводные'!$B$15+'01_Вводные'!$B$311)))*'01_Вводные'!$B$298*MAX(0,'01_Вводные'!$B$22-1)</f>
        <v/>
      </c>
      <c r="T1375">
        <f>IF(OR(19&lt;='01_Вводные'!$B$15,19-'01_Вводные'!$B$15&gt;60),0,INDEX('19_Расчет_аналитики'!$B$1350:$BI$1350,1,19-'01_Вводные'!$B$15))*'01_Вводные'!$B$298*MIN(1,'01_Вводные'!$B$22)+IF(OR(19&lt;=('01_Вводные'!$B$15+'01_Вводные'!$B$311),19-('01_Вводные'!$B$15+'01_Вводные'!$B$311)&gt;60),0,INDEX('19_Расчет_аналитики'!$B$1350:$BI$1350,1,19-('01_Вводные'!$B$15+'01_Вводные'!$B$311)))*'01_Вводные'!$B$298*MAX(0,'01_Вводные'!$B$22-1)</f>
        <v/>
      </c>
      <c r="U1375">
        <f>IF(OR(20&lt;='01_Вводные'!$B$15,20-'01_Вводные'!$B$15&gt;60),0,INDEX('19_Расчет_аналитики'!$B$1350:$BI$1350,1,20-'01_Вводные'!$B$15))*'01_Вводные'!$B$298*MIN(1,'01_Вводные'!$B$22)+IF(OR(20&lt;=('01_Вводные'!$B$15+'01_Вводные'!$B$311),20-('01_Вводные'!$B$15+'01_Вводные'!$B$311)&gt;60),0,INDEX('19_Расчет_аналитики'!$B$1350:$BI$1350,1,20-('01_Вводные'!$B$15+'01_Вводные'!$B$311)))*'01_Вводные'!$B$298*MAX(0,'01_Вводные'!$B$22-1)</f>
        <v/>
      </c>
      <c r="V1375">
        <f>IF(OR(21&lt;='01_Вводные'!$B$15,21-'01_Вводные'!$B$15&gt;60),0,INDEX('19_Расчет_аналитики'!$B$1350:$BI$1350,1,21-'01_Вводные'!$B$15))*'01_Вводные'!$B$298*MIN(1,'01_Вводные'!$B$22)+IF(OR(21&lt;=('01_Вводные'!$B$15+'01_Вводные'!$B$311),21-('01_Вводные'!$B$15+'01_Вводные'!$B$311)&gt;60),0,INDEX('19_Расчет_аналитики'!$B$1350:$BI$1350,1,21-('01_Вводные'!$B$15+'01_Вводные'!$B$311)))*'01_Вводные'!$B$298*MAX(0,'01_Вводные'!$B$22-1)</f>
        <v/>
      </c>
      <c r="W1375">
        <f>IF(OR(22&lt;='01_Вводные'!$B$15,22-'01_Вводные'!$B$15&gt;60),0,INDEX('19_Расчет_аналитики'!$B$1350:$BI$1350,1,22-'01_Вводные'!$B$15))*'01_Вводные'!$B$298*MIN(1,'01_Вводные'!$B$22)+IF(OR(22&lt;=('01_Вводные'!$B$15+'01_Вводные'!$B$311),22-('01_Вводные'!$B$15+'01_Вводные'!$B$311)&gt;60),0,INDEX('19_Расчет_аналитики'!$B$1350:$BI$1350,1,22-('01_Вводные'!$B$15+'01_Вводные'!$B$311)))*'01_Вводные'!$B$298*MAX(0,'01_Вводные'!$B$22-1)</f>
        <v/>
      </c>
      <c r="X1375">
        <f>IF(OR(23&lt;='01_Вводные'!$B$15,23-'01_Вводные'!$B$15&gt;60),0,INDEX('19_Расчет_аналитики'!$B$1350:$BI$1350,1,23-'01_Вводные'!$B$15))*'01_Вводные'!$B$298*MIN(1,'01_Вводные'!$B$22)+IF(OR(23&lt;=('01_Вводные'!$B$15+'01_Вводные'!$B$311),23-('01_Вводные'!$B$15+'01_Вводные'!$B$311)&gt;60),0,INDEX('19_Расчет_аналитики'!$B$1350:$BI$1350,1,23-('01_Вводные'!$B$15+'01_Вводные'!$B$311)))*'01_Вводные'!$B$298*MAX(0,'01_Вводные'!$B$22-1)</f>
        <v/>
      </c>
      <c r="Y1375">
        <f>IF(OR(24&lt;='01_Вводные'!$B$15,24-'01_Вводные'!$B$15&gt;60),0,INDEX('19_Расчет_аналитики'!$B$1350:$BI$1350,1,24-'01_Вводные'!$B$15))*'01_Вводные'!$B$298*MIN(1,'01_Вводные'!$B$22)+IF(OR(24&lt;=('01_Вводные'!$B$15+'01_Вводные'!$B$311),24-('01_Вводные'!$B$15+'01_Вводные'!$B$311)&gt;60),0,INDEX('19_Расчет_аналитики'!$B$1350:$BI$1350,1,24-('01_Вводные'!$B$15+'01_Вводные'!$B$311)))*'01_Вводные'!$B$298*MAX(0,'01_Вводные'!$B$22-1)</f>
        <v/>
      </c>
      <c r="Z1375">
        <f>IF(OR(25&lt;='01_Вводные'!$B$15,25-'01_Вводные'!$B$15&gt;60),0,INDEX('19_Расчет_аналитики'!$B$1350:$BI$1350,1,25-'01_Вводные'!$B$15))*'01_Вводные'!$B$298*MIN(1,'01_Вводные'!$B$22)+IF(OR(25&lt;=('01_Вводные'!$B$15+'01_Вводные'!$B$311),25-('01_Вводные'!$B$15+'01_Вводные'!$B$311)&gt;60),0,INDEX('19_Расчет_аналитики'!$B$1350:$BI$1350,1,25-('01_Вводные'!$B$15+'01_Вводные'!$B$311)))*'01_Вводные'!$B$298*MAX(0,'01_Вводные'!$B$22-1)</f>
        <v/>
      </c>
      <c r="AA1375">
        <f>IF(OR(26&lt;='01_Вводные'!$B$15,26-'01_Вводные'!$B$15&gt;60),0,INDEX('19_Расчет_аналитики'!$B$1350:$BI$1350,1,26-'01_Вводные'!$B$15))*'01_Вводные'!$B$298*MIN(1,'01_Вводные'!$B$22)+IF(OR(26&lt;=('01_Вводные'!$B$15+'01_Вводные'!$B$311),26-('01_Вводные'!$B$15+'01_Вводные'!$B$311)&gt;60),0,INDEX('19_Расчет_аналитики'!$B$1350:$BI$1350,1,26-('01_Вводные'!$B$15+'01_Вводные'!$B$311)))*'01_Вводные'!$B$298*MAX(0,'01_Вводные'!$B$22-1)</f>
        <v/>
      </c>
      <c r="AB1375">
        <f>IF(OR(27&lt;='01_Вводные'!$B$15,27-'01_Вводные'!$B$15&gt;60),0,INDEX('19_Расчет_аналитики'!$B$1350:$BI$1350,1,27-'01_Вводные'!$B$15))*'01_Вводные'!$B$298*MIN(1,'01_Вводные'!$B$22)+IF(OR(27&lt;=('01_Вводные'!$B$15+'01_Вводные'!$B$311),27-('01_Вводные'!$B$15+'01_Вводные'!$B$311)&gt;60),0,INDEX('19_Расчет_аналитики'!$B$1350:$BI$1350,1,27-('01_Вводные'!$B$15+'01_Вводные'!$B$311)))*'01_Вводные'!$B$298*MAX(0,'01_Вводные'!$B$22-1)</f>
        <v/>
      </c>
      <c r="AC1375">
        <f>IF(OR(28&lt;='01_Вводные'!$B$15,28-'01_Вводные'!$B$15&gt;60),0,INDEX('19_Расчет_аналитики'!$B$1350:$BI$1350,1,28-'01_Вводные'!$B$15))*'01_Вводные'!$B$298*MIN(1,'01_Вводные'!$B$22)+IF(OR(28&lt;=('01_Вводные'!$B$15+'01_Вводные'!$B$311),28-('01_Вводные'!$B$15+'01_Вводные'!$B$311)&gt;60),0,INDEX('19_Расчет_аналитики'!$B$1350:$BI$1350,1,28-('01_Вводные'!$B$15+'01_Вводные'!$B$311)))*'01_Вводные'!$B$298*MAX(0,'01_Вводные'!$B$22-1)</f>
        <v/>
      </c>
      <c r="AD1375">
        <f>IF(OR(29&lt;='01_Вводные'!$B$15,29-'01_Вводные'!$B$15&gt;60),0,INDEX('19_Расчет_аналитики'!$B$1350:$BI$1350,1,29-'01_Вводные'!$B$15))*'01_Вводные'!$B$298*MIN(1,'01_Вводные'!$B$22)+IF(OR(29&lt;=('01_Вводные'!$B$15+'01_Вводные'!$B$311),29-('01_Вводные'!$B$15+'01_Вводные'!$B$311)&gt;60),0,INDEX('19_Расчет_аналитики'!$B$1350:$BI$1350,1,29-('01_Вводные'!$B$15+'01_Вводные'!$B$311)))*'01_Вводные'!$B$298*MAX(0,'01_Вводные'!$B$22-1)</f>
        <v/>
      </c>
      <c r="AE1375">
        <f>IF(OR(30&lt;='01_Вводные'!$B$15,30-'01_Вводные'!$B$15&gt;60),0,INDEX('19_Расчет_аналитики'!$B$1350:$BI$1350,1,30-'01_Вводные'!$B$15))*'01_Вводные'!$B$298*MIN(1,'01_Вводные'!$B$22)+IF(OR(30&lt;=('01_Вводные'!$B$15+'01_Вводные'!$B$311),30-('01_Вводные'!$B$15+'01_Вводные'!$B$311)&gt;60),0,INDEX('19_Расчет_аналитики'!$B$1350:$BI$1350,1,30-('01_Вводные'!$B$15+'01_Вводные'!$B$311)))*'01_Вводные'!$B$298*MAX(0,'01_Вводные'!$B$22-1)</f>
        <v/>
      </c>
      <c r="AF1375">
        <f>IF(OR(31&lt;='01_Вводные'!$B$15,31-'01_Вводные'!$B$15&gt;60),0,INDEX('19_Расчет_аналитики'!$B$1350:$BI$1350,1,31-'01_Вводные'!$B$15))*'01_Вводные'!$B$298*MIN(1,'01_Вводные'!$B$22)+IF(OR(31&lt;=('01_Вводные'!$B$15+'01_Вводные'!$B$311),31-('01_Вводные'!$B$15+'01_Вводные'!$B$311)&gt;60),0,INDEX('19_Расчет_аналитики'!$B$1350:$BI$1350,1,31-('01_Вводные'!$B$15+'01_Вводные'!$B$311)))*'01_Вводные'!$B$298*MAX(0,'01_Вводные'!$B$22-1)</f>
        <v/>
      </c>
      <c r="AG1375">
        <f>IF(OR(32&lt;='01_Вводные'!$B$15,32-'01_Вводные'!$B$15&gt;60),0,INDEX('19_Расчет_аналитики'!$B$1350:$BI$1350,1,32-'01_Вводные'!$B$15))*'01_Вводные'!$B$298*MIN(1,'01_Вводные'!$B$22)+IF(OR(32&lt;=('01_Вводные'!$B$15+'01_Вводные'!$B$311),32-('01_Вводные'!$B$15+'01_Вводные'!$B$311)&gt;60),0,INDEX('19_Расчет_аналитики'!$B$1350:$BI$1350,1,32-('01_Вводные'!$B$15+'01_Вводные'!$B$311)))*'01_Вводные'!$B$298*MAX(0,'01_Вводные'!$B$22-1)</f>
        <v/>
      </c>
      <c r="AH1375">
        <f>IF(OR(33&lt;='01_Вводные'!$B$15,33-'01_Вводные'!$B$15&gt;60),0,INDEX('19_Расчет_аналитики'!$B$1350:$BI$1350,1,33-'01_Вводные'!$B$15))*'01_Вводные'!$B$298*MIN(1,'01_Вводные'!$B$22)+IF(OR(33&lt;=('01_Вводные'!$B$15+'01_Вводные'!$B$311),33-('01_Вводные'!$B$15+'01_Вводные'!$B$311)&gt;60),0,INDEX('19_Расчет_аналитики'!$B$1350:$BI$1350,1,33-('01_Вводные'!$B$15+'01_Вводные'!$B$311)))*'01_Вводные'!$B$298*MAX(0,'01_Вводные'!$B$22-1)</f>
        <v/>
      </c>
      <c r="AI1375">
        <f>IF(OR(34&lt;='01_Вводные'!$B$15,34-'01_Вводные'!$B$15&gt;60),0,INDEX('19_Расчет_аналитики'!$B$1350:$BI$1350,1,34-'01_Вводные'!$B$15))*'01_Вводные'!$B$298*MIN(1,'01_Вводные'!$B$22)+IF(OR(34&lt;=('01_Вводные'!$B$15+'01_Вводные'!$B$311),34-('01_Вводные'!$B$15+'01_Вводные'!$B$311)&gt;60),0,INDEX('19_Расчет_аналитики'!$B$1350:$BI$1350,1,34-('01_Вводные'!$B$15+'01_Вводные'!$B$311)))*'01_Вводные'!$B$298*MAX(0,'01_Вводные'!$B$22-1)</f>
        <v/>
      </c>
      <c r="AJ1375">
        <f>IF(OR(35&lt;='01_Вводные'!$B$15,35-'01_Вводные'!$B$15&gt;60),0,INDEX('19_Расчет_аналитики'!$B$1350:$BI$1350,1,35-'01_Вводные'!$B$15))*'01_Вводные'!$B$298*MIN(1,'01_Вводные'!$B$22)+IF(OR(35&lt;=('01_Вводные'!$B$15+'01_Вводные'!$B$311),35-('01_Вводные'!$B$15+'01_Вводные'!$B$311)&gt;60),0,INDEX('19_Расчет_аналитики'!$B$1350:$BI$1350,1,35-('01_Вводные'!$B$15+'01_Вводные'!$B$311)))*'01_Вводные'!$B$298*MAX(0,'01_Вводные'!$B$22-1)</f>
        <v/>
      </c>
      <c r="AK1375">
        <f>IF(OR(36&lt;='01_Вводные'!$B$15,36-'01_Вводные'!$B$15&gt;60),0,INDEX('19_Расчет_аналитики'!$B$1350:$BI$1350,1,36-'01_Вводные'!$B$15))*'01_Вводные'!$B$298*MIN(1,'01_Вводные'!$B$22)+IF(OR(36&lt;=('01_Вводные'!$B$15+'01_Вводные'!$B$311),36-('01_Вводные'!$B$15+'01_Вводные'!$B$311)&gt;60),0,INDEX('19_Расчет_аналитики'!$B$1350:$BI$1350,1,36-('01_Вводные'!$B$15+'01_Вводные'!$B$311)))*'01_Вводные'!$B$298*MAX(0,'01_Вводные'!$B$22-1)</f>
        <v/>
      </c>
      <c r="AL1375">
        <f>IF(OR(37&lt;='01_Вводные'!$B$15,37-'01_Вводные'!$B$15&gt;60),0,INDEX('19_Расчет_аналитики'!$B$1350:$BI$1350,1,37-'01_Вводные'!$B$15))*'01_Вводные'!$B$298*MIN(1,'01_Вводные'!$B$22)+IF(OR(37&lt;=('01_Вводные'!$B$15+'01_Вводные'!$B$311),37-('01_Вводные'!$B$15+'01_Вводные'!$B$311)&gt;60),0,INDEX('19_Расчет_аналитики'!$B$1350:$BI$1350,1,37-('01_Вводные'!$B$15+'01_Вводные'!$B$311)))*'01_Вводные'!$B$298*MAX(0,'01_Вводные'!$B$22-1)</f>
        <v/>
      </c>
      <c r="AM1375">
        <f>IF(OR(38&lt;='01_Вводные'!$B$15,38-'01_Вводные'!$B$15&gt;60),0,INDEX('19_Расчет_аналитики'!$B$1350:$BI$1350,1,38-'01_Вводные'!$B$15))*'01_Вводные'!$B$298*MIN(1,'01_Вводные'!$B$22)+IF(OR(38&lt;=('01_Вводные'!$B$15+'01_Вводные'!$B$311),38-('01_Вводные'!$B$15+'01_Вводные'!$B$311)&gt;60),0,INDEX('19_Расчет_аналитики'!$B$1350:$BI$1350,1,38-('01_Вводные'!$B$15+'01_Вводные'!$B$311)))*'01_Вводные'!$B$298*MAX(0,'01_Вводные'!$B$22-1)</f>
        <v/>
      </c>
      <c r="AN1375">
        <f>IF(OR(39&lt;='01_Вводные'!$B$15,39-'01_Вводные'!$B$15&gt;60),0,INDEX('19_Расчет_аналитики'!$B$1350:$BI$1350,1,39-'01_Вводные'!$B$15))*'01_Вводные'!$B$298*MIN(1,'01_Вводные'!$B$22)+IF(OR(39&lt;=('01_Вводные'!$B$15+'01_Вводные'!$B$311),39-('01_Вводные'!$B$15+'01_Вводные'!$B$311)&gt;60),0,INDEX('19_Расчет_аналитики'!$B$1350:$BI$1350,1,39-('01_Вводные'!$B$15+'01_Вводные'!$B$311)))*'01_Вводные'!$B$298*MAX(0,'01_Вводные'!$B$22-1)</f>
        <v/>
      </c>
      <c r="AO1375">
        <f>IF(OR(40&lt;='01_Вводные'!$B$15,40-'01_Вводные'!$B$15&gt;60),0,INDEX('19_Расчет_аналитики'!$B$1350:$BI$1350,1,40-'01_Вводные'!$B$15))*'01_Вводные'!$B$298*MIN(1,'01_Вводные'!$B$22)+IF(OR(40&lt;=('01_Вводные'!$B$15+'01_Вводные'!$B$311),40-('01_Вводные'!$B$15+'01_Вводные'!$B$311)&gt;60),0,INDEX('19_Расчет_аналитики'!$B$1350:$BI$1350,1,40-('01_Вводные'!$B$15+'01_Вводные'!$B$311)))*'01_Вводные'!$B$298*MAX(0,'01_Вводные'!$B$22-1)</f>
        <v/>
      </c>
      <c r="AP1375">
        <f>IF(OR(41&lt;='01_Вводные'!$B$15,41-'01_Вводные'!$B$15&gt;60),0,INDEX('19_Расчет_аналитики'!$B$1350:$BI$1350,1,41-'01_Вводные'!$B$15))*'01_Вводные'!$B$298*MIN(1,'01_Вводные'!$B$22)+IF(OR(41&lt;=('01_Вводные'!$B$15+'01_Вводные'!$B$311),41-('01_Вводные'!$B$15+'01_Вводные'!$B$311)&gt;60),0,INDEX('19_Расчет_аналитики'!$B$1350:$BI$1350,1,41-('01_Вводные'!$B$15+'01_Вводные'!$B$311)))*'01_Вводные'!$B$298*MAX(0,'01_Вводные'!$B$22-1)</f>
        <v/>
      </c>
      <c r="AQ1375">
        <f>IF(OR(42&lt;='01_Вводные'!$B$15,42-'01_Вводные'!$B$15&gt;60),0,INDEX('19_Расчет_аналитики'!$B$1350:$BI$1350,1,42-'01_Вводные'!$B$15))*'01_Вводные'!$B$298*MIN(1,'01_Вводные'!$B$22)+IF(OR(42&lt;=('01_Вводные'!$B$15+'01_Вводные'!$B$311),42-('01_Вводные'!$B$15+'01_Вводные'!$B$311)&gt;60),0,INDEX('19_Расчет_аналитики'!$B$1350:$BI$1350,1,42-('01_Вводные'!$B$15+'01_Вводные'!$B$311)))*'01_Вводные'!$B$298*MAX(0,'01_Вводные'!$B$22-1)</f>
        <v/>
      </c>
      <c r="AR1375">
        <f>IF(OR(43&lt;='01_Вводные'!$B$15,43-'01_Вводные'!$B$15&gt;60),0,INDEX('19_Расчет_аналитики'!$B$1350:$BI$1350,1,43-'01_Вводные'!$B$15))*'01_Вводные'!$B$298*MIN(1,'01_Вводные'!$B$22)+IF(OR(43&lt;=('01_Вводные'!$B$15+'01_Вводные'!$B$311),43-('01_Вводные'!$B$15+'01_Вводные'!$B$311)&gt;60),0,INDEX('19_Расчет_аналитики'!$B$1350:$BI$1350,1,43-('01_Вводные'!$B$15+'01_Вводные'!$B$311)))*'01_Вводные'!$B$298*MAX(0,'01_Вводные'!$B$22-1)</f>
        <v/>
      </c>
      <c r="AS1375">
        <f>IF(OR(44&lt;='01_Вводные'!$B$15,44-'01_Вводные'!$B$15&gt;60),0,INDEX('19_Расчет_аналитики'!$B$1350:$BI$1350,1,44-'01_Вводные'!$B$15))*'01_Вводные'!$B$298*MIN(1,'01_Вводные'!$B$22)+IF(OR(44&lt;=('01_Вводные'!$B$15+'01_Вводные'!$B$311),44-('01_Вводные'!$B$15+'01_Вводные'!$B$311)&gt;60),0,INDEX('19_Расчет_аналитики'!$B$1350:$BI$1350,1,44-('01_Вводные'!$B$15+'01_Вводные'!$B$311)))*'01_Вводные'!$B$298*MAX(0,'01_Вводные'!$B$22-1)</f>
        <v/>
      </c>
      <c r="AT1375">
        <f>IF(OR(45&lt;='01_Вводные'!$B$15,45-'01_Вводные'!$B$15&gt;60),0,INDEX('19_Расчет_аналитики'!$B$1350:$BI$1350,1,45-'01_Вводные'!$B$15))*'01_Вводные'!$B$298*MIN(1,'01_Вводные'!$B$22)+IF(OR(45&lt;=('01_Вводные'!$B$15+'01_Вводные'!$B$311),45-('01_Вводные'!$B$15+'01_Вводные'!$B$311)&gt;60),0,INDEX('19_Расчет_аналитики'!$B$1350:$BI$1350,1,45-('01_Вводные'!$B$15+'01_Вводные'!$B$311)))*'01_Вводные'!$B$298*MAX(0,'01_Вводные'!$B$22-1)</f>
        <v/>
      </c>
      <c r="AU1375">
        <f>IF(OR(46&lt;='01_Вводные'!$B$15,46-'01_Вводные'!$B$15&gt;60),0,INDEX('19_Расчет_аналитики'!$B$1350:$BI$1350,1,46-'01_Вводные'!$B$15))*'01_Вводные'!$B$298*MIN(1,'01_Вводные'!$B$22)+IF(OR(46&lt;=('01_Вводные'!$B$15+'01_Вводные'!$B$311),46-('01_Вводные'!$B$15+'01_Вводные'!$B$311)&gt;60),0,INDEX('19_Расчет_аналитики'!$B$1350:$BI$1350,1,46-('01_Вводные'!$B$15+'01_Вводные'!$B$311)))*'01_Вводные'!$B$298*MAX(0,'01_Вводные'!$B$22-1)</f>
        <v/>
      </c>
      <c r="AV1375">
        <f>IF(OR(47&lt;='01_Вводные'!$B$15,47-'01_Вводные'!$B$15&gt;60),0,INDEX('19_Расчет_аналитики'!$B$1350:$BI$1350,1,47-'01_Вводные'!$B$15))*'01_Вводные'!$B$298*MIN(1,'01_Вводные'!$B$22)+IF(OR(47&lt;=('01_Вводные'!$B$15+'01_Вводные'!$B$311),47-('01_Вводные'!$B$15+'01_Вводные'!$B$311)&gt;60),0,INDEX('19_Расчет_аналитики'!$B$1350:$BI$1350,1,47-('01_Вводные'!$B$15+'01_Вводные'!$B$311)))*'01_Вводные'!$B$298*MAX(0,'01_Вводные'!$B$22-1)</f>
        <v/>
      </c>
      <c r="AW1375">
        <f>IF(OR(48&lt;='01_Вводные'!$B$15,48-'01_Вводные'!$B$15&gt;60),0,INDEX('19_Расчет_аналитики'!$B$1350:$BI$1350,1,48-'01_Вводные'!$B$15))*'01_Вводные'!$B$298*MIN(1,'01_Вводные'!$B$22)+IF(OR(48&lt;=('01_Вводные'!$B$15+'01_Вводные'!$B$311),48-('01_Вводные'!$B$15+'01_Вводные'!$B$311)&gt;60),0,INDEX('19_Расчет_аналитики'!$B$1350:$BI$1350,1,48-('01_Вводные'!$B$15+'01_Вводные'!$B$311)))*'01_Вводные'!$B$298*MAX(0,'01_Вводные'!$B$22-1)</f>
        <v/>
      </c>
      <c r="AX1375">
        <f>IF(OR(49&lt;='01_Вводные'!$B$15,49-'01_Вводные'!$B$15&gt;60),0,INDEX('19_Расчет_аналитики'!$B$1350:$BI$1350,1,49-'01_Вводные'!$B$15))*'01_Вводные'!$B$298*MIN(1,'01_Вводные'!$B$22)+IF(OR(49&lt;=('01_Вводные'!$B$15+'01_Вводные'!$B$311),49-('01_Вводные'!$B$15+'01_Вводные'!$B$311)&gt;60),0,INDEX('19_Расчет_аналитики'!$B$1350:$BI$1350,1,49-('01_Вводные'!$B$15+'01_Вводные'!$B$311)))*'01_Вводные'!$B$298*MAX(0,'01_Вводные'!$B$22-1)</f>
        <v/>
      </c>
      <c r="AY1375">
        <f>IF(OR(50&lt;='01_Вводные'!$B$15,50-'01_Вводные'!$B$15&gt;60),0,INDEX('19_Расчет_аналитики'!$B$1350:$BI$1350,1,50-'01_Вводные'!$B$15))*'01_Вводные'!$B$298*MIN(1,'01_Вводные'!$B$22)+IF(OR(50&lt;=('01_Вводные'!$B$15+'01_Вводные'!$B$311),50-('01_Вводные'!$B$15+'01_Вводные'!$B$311)&gt;60),0,INDEX('19_Расчет_аналитики'!$B$1350:$BI$1350,1,50-('01_Вводные'!$B$15+'01_Вводные'!$B$311)))*'01_Вводные'!$B$298*MAX(0,'01_Вводные'!$B$22-1)</f>
        <v/>
      </c>
      <c r="AZ1375">
        <f>IF(OR(51&lt;='01_Вводные'!$B$15,51-'01_Вводные'!$B$15&gt;60),0,INDEX('19_Расчет_аналитики'!$B$1350:$BI$1350,1,51-'01_Вводные'!$B$15))*'01_Вводные'!$B$298*MIN(1,'01_Вводные'!$B$22)+IF(OR(51&lt;=('01_Вводные'!$B$15+'01_Вводные'!$B$311),51-('01_Вводные'!$B$15+'01_Вводные'!$B$311)&gt;60),0,INDEX('19_Расчет_аналитики'!$B$1350:$BI$1350,1,51-('01_Вводные'!$B$15+'01_Вводные'!$B$311)))*'01_Вводные'!$B$298*MAX(0,'01_Вводные'!$B$22-1)</f>
        <v/>
      </c>
      <c r="BA1375">
        <f>IF(OR(52&lt;='01_Вводные'!$B$15,52-'01_Вводные'!$B$15&gt;60),0,INDEX('19_Расчет_аналитики'!$B$1350:$BI$1350,1,52-'01_Вводные'!$B$15))*'01_Вводные'!$B$298*MIN(1,'01_Вводные'!$B$22)+IF(OR(52&lt;=('01_Вводные'!$B$15+'01_Вводные'!$B$311),52-('01_Вводные'!$B$15+'01_Вводные'!$B$311)&gt;60),0,INDEX('19_Расчет_аналитики'!$B$1350:$BI$1350,1,52-('01_Вводные'!$B$15+'01_Вводные'!$B$311)))*'01_Вводные'!$B$298*MAX(0,'01_Вводные'!$B$22-1)</f>
        <v/>
      </c>
      <c r="BB1375">
        <f>IF(OR(53&lt;='01_Вводные'!$B$15,53-'01_Вводные'!$B$15&gt;60),0,INDEX('19_Расчет_аналитики'!$B$1350:$BI$1350,1,53-'01_Вводные'!$B$15))*'01_Вводные'!$B$298*MIN(1,'01_Вводные'!$B$22)+IF(OR(53&lt;=('01_Вводные'!$B$15+'01_Вводные'!$B$311),53-('01_Вводные'!$B$15+'01_Вводные'!$B$311)&gt;60),0,INDEX('19_Расчет_аналитики'!$B$1350:$BI$1350,1,53-('01_Вводные'!$B$15+'01_Вводные'!$B$311)))*'01_Вводные'!$B$298*MAX(0,'01_Вводные'!$B$22-1)</f>
        <v/>
      </c>
      <c r="BC1375">
        <f>IF(OR(54&lt;='01_Вводные'!$B$15,54-'01_Вводные'!$B$15&gt;60),0,INDEX('19_Расчет_аналитики'!$B$1350:$BI$1350,1,54-'01_Вводные'!$B$15))*'01_Вводные'!$B$298*MIN(1,'01_Вводные'!$B$22)+IF(OR(54&lt;=('01_Вводные'!$B$15+'01_Вводные'!$B$311),54-('01_Вводные'!$B$15+'01_Вводные'!$B$311)&gt;60),0,INDEX('19_Расчет_аналитики'!$B$1350:$BI$1350,1,54-('01_Вводные'!$B$15+'01_Вводные'!$B$311)))*'01_Вводные'!$B$298*MAX(0,'01_Вводные'!$B$22-1)</f>
        <v/>
      </c>
      <c r="BD1375">
        <f>IF(OR(55&lt;='01_Вводные'!$B$15,55-'01_Вводные'!$B$15&gt;60),0,INDEX('19_Расчет_аналитики'!$B$1350:$BI$1350,1,55-'01_Вводные'!$B$15))*'01_Вводные'!$B$298*MIN(1,'01_Вводные'!$B$22)+IF(OR(55&lt;=('01_Вводные'!$B$15+'01_Вводные'!$B$311),55-('01_Вводные'!$B$15+'01_Вводные'!$B$311)&gt;60),0,INDEX('19_Расчет_аналитики'!$B$1350:$BI$1350,1,55-('01_Вводные'!$B$15+'01_Вводные'!$B$311)))*'01_Вводные'!$B$298*MAX(0,'01_Вводные'!$B$22-1)</f>
        <v/>
      </c>
      <c r="BE1375">
        <f>IF(OR(56&lt;='01_Вводные'!$B$15,56-'01_Вводные'!$B$15&gt;60),0,INDEX('19_Расчет_аналитики'!$B$1350:$BI$1350,1,56-'01_Вводные'!$B$15))*'01_Вводные'!$B$298*MIN(1,'01_Вводные'!$B$22)+IF(OR(56&lt;=('01_Вводные'!$B$15+'01_Вводные'!$B$311),56-('01_Вводные'!$B$15+'01_Вводные'!$B$311)&gt;60),0,INDEX('19_Расчет_аналитики'!$B$1350:$BI$1350,1,56-('01_Вводные'!$B$15+'01_Вводные'!$B$311)))*'01_Вводные'!$B$298*MAX(0,'01_Вводные'!$B$22-1)</f>
        <v/>
      </c>
      <c r="BF1375">
        <f>IF(OR(57&lt;='01_Вводные'!$B$15,57-'01_Вводные'!$B$15&gt;60),0,INDEX('19_Расчет_аналитики'!$B$1350:$BI$1350,1,57-'01_Вводные'!$B$15))*'01_Вводные'!$B$298*MIN(1,'01_Вводные'!$B$22)+IF(OR(57&lt;=('01_Вводные'!$B$15+'01_Вводные'!$B$311),57-('01_Вводные'!$B$15+'01_Вводные'!$B$311)&gt;60),0,INDEX('19_Расчет_аналитики'!$B$1350:$BI$1350,1,57-('01_Вводные'!$B$15+'01_Вводные'!$B$311)))*'01_Вводные'!$B$298*MAX(0,'01_Вводные'!$B$22-1)</f>
        <v/>
      </c>
      <c r="BG1375">
        <f>IF(OR(58&lt;='01_Вводные'!$B$15,58-'01_Вводные'!$B$15&gt;60),0,INDEX('19_Расчет_аналитики'!$B$1350:$BI$1350,1,58-'01_Вводные'!$B$15))*'01_Вводные'!$B$298*MIN(1,'01_Вводные'!$B$22)+IF(OR(58&lt;=('01_Вводные'!$B$15+'01_Вводные'!$B$311),58-('01_Вводные'!$B$15+'01_Вводные'!$B$311)&gt;60),0,INDEX('19_Расчет_аналитики'!$B$1350:$BI$1350,1,58-('01_Вводные'!$B$15+'01_Вводные'!$B$311)))*'01_Вводные'!$B$298*MAX(0,'01_Вводные'!$B$22-1)</f>
        <v/>
      </c>
      <c r="BH1375">
        <f>IF(OR(59&lt;='01_Вводные'!$B$15,59-'01_Вводные'!$B$15&gt;60),0,INDEX('19_Расчет_аналитики'!$B$1350:$BI$1350,1,59-'01_Вводные'!$B$15))*'01_Вводные'!$B$298*MIN(1,'01_Вводные'!$B$22)+IF(OR(59&lt;=('01_Вводные'!$B$15+'01_Вводные'!$B$311),59-('01_Вводные'!$B$15+'01_Вводные'!$B$311)&gt;60),0,INDEX('19_Расчет_аналитики'!$B$1350:$BI$1350,1,59-('01_Вводные'!$B$15+'01_Вводные'!$B$311)))*'01_Вводные'!$B$298*MAX(0,'01_Вводные'!$B$22-1)</f>
        <v/>
      </c>
      <c r="BI1375">
        <f>IF(OR(60&lt;='01_Вводные'!$B$15,60-'01_Вводные'!$B$15&gt;60),0,INDEX('19_Расчет_аналитики'!$B$1350:$BI$1350,1,60-'01_Вводные'!$B$15))*'01_Вводные'!$B$298*MIN(1,'01_Вводные'!$B$22)+IF(OR(60&lt;=('01_Вводные'!$B$15+'01_Вводные'!$B$311),60-('01_Вводные'!$B$15+'01_Вводные'!$B$311)&gt;60),0,INDEX('19_Расчет_аналитики'!$B$1350:$BI$1350,1,60-('01_Вводные'!$B$15+'01_Вводные'!$B$311)))*'01_Вводные'!$B$298*MAX(0,'01_Вводные'!$B$22-1)</f>
        <v/>
      </c>
      <c r="BJ1375">
        <f>IF(OR(61&lt;='01_Вводные'!$B$15,61-'01_Вводные'!$B$15&gt;60),0,INDEX('19_Расчет_аналитики'!$B$1350:$BI$1350,1,61-'01_Вводные'!$B$15))*'01_Вводные'!$B$298*MIN(1,'01_Вводные'!$B$22)+IF(OR(61&lt;=('01_Вводные'!$B$15+'01_Вводные'!$B$311),61-('01_Вводные'!$B$15+'01_Вводные'!$B$311)&gt;60),0,INDEX('19_Расчет_аналитики'!$B$1350:$BI$1350,1,61-('01_Вводные'!$B$15+'01_Вводные'!$B$311)))*'01_Вводные'!$B$298*MAX(0,'01_Вводные'!$B$22-1)</f>
        <v/>
      </c>
      <c r="BK1375">
        <f>IF(OR(62&lt;='01_Вводные'!$B$15,62-'01_Вводные'!$B$15&gt;60),0,INDEX('19_Расчет_аналитики'!$B$1350:$BI$1350,1,62-'01_Вводные'!$B$15))*'01_Вводные'!$B$298*MIN(1,'01_Вводные'!$B$22)+IF(OR(62&lt;=('01_Вводные'!$B$15+'01_Вводные'!$B$311),62-('01_Вводные'!$B$15+'01_Вводные'!$B$311)&gt;60),0,INDEX('19_Расчет_аналитики'!$B$1350:$BI$1350,1,62-('01_Вводные'!$B$15+'01_Вводные'!$B$311)))*'01_Вводные'!$B$298*MAX(0,'01_Вводные'!$B$22-1)</f>
        <v/>
      </c>
      <c r="BL1375">
        <f>IF(OR(63&lt;='01_Вводные'!$B$15,63-'01_Вводные'!$B$15&gt;60),0,INDEX('19_Расчет_аналитики'!$B$1350:$BI$1350,1,63-'01_Вводные'!$B$15))*'01_Вводные'!$B$298*MIN(1,'01_Вводные'!$B$22)+IF(OR(63&lt;=('01_Вводные'!$B$15+'01_Вводные'!$B$311),63-('01_Вводные'!$B$15+'01_Вводные'!$B$311)&gt;60),0,INDEX('19_Расчет_аналитики'!$B$1350:$BI$1350,1,63-('01_Вводные'!$B$15+'01_Вводные'!$B$311)))*'01_Вводные'!$B$298*MAX(0,'01_Вводные'!$B$22-1)</f>
        <v/>
      </c>
      <c r="BM1375">
        <f>IF(OR(64&lt;='01_Вводные'!$B$15,64-'01_Вводные'!$B$15&gt;60),0,INDEX('19_Расчет_аналитики'!$B$1350:$BI$1350,1,64-'01_Вводные'!$B$15))*'01_Вводные'!$B$298*MIN(1,'01_Вводные'!$B$22)+IF(OR(64&lt;=('01_Вводные'!$B$15+'01_Вводные'!$B$311),64-('01_Вводные'!$B$15+'01_Вводные'!$B$311)&gt;60),0,INDEX('19_Расчет_аналитики'!$B$1350:$BI$1350,1,64-('01_Вводные'!$B$15+'01_Вводные'!$B$311)))*'01_Вводные'!$B$298*MAX(0,'01_Вводные'!$B$22-1)</f>
        <v/>
      </c>
      <c r="BN1375">
        <f>IF(OR(65&lt;='01_Вводные'!$B$15,65-'01_Вводные'!$B$15&gt;60),0,INDEX('19_Расчет_аналитики'!$B$1350:$BI$1350,1,65-'01_Вводные'!$B$15))*'01_Вводные'!$B$298*MIN(1,'01_Вводные'!$B$22)+IF(OR(65&lt;=('01_Вводные'!$B$15+'01_Вводные'!$B$311),65-('01_Вводные'!$B$15+'01_Вводные'!$B$311)&gt;60),0,INDEX('19_Расчет_аналитики'!$B$1350:$BI$1350,1,65-('01_Вводные'!$B$15+'01_Вводные'!$B$311)))*'01_Вводные'!$B$298*MAX(0,'01_Вводные'!$B$22-1)</f>
        <v/>
      </c>
      <c r="BO1375">
        <f>IF(OR(66&lt;='01_Вводные'!$B$15,66-'01_Вводные'!$B$15&gt;60),0,INDEX('19_Расчет_аналитики'!$B$1350:$BI$1350,1,66-'01_Вводные'!$B$15))*'01_Вводные'!$B$298*MIN(1,'01_Вводные'!$B$22)+IF(OR(66&lt;=('01_Вводные'!$B$15+'01_Вводные'!$B$311),66-('01_Вводные'!$B$15+'01_Вводные'!$B$311)&gt;60),0,INDEX('19_Расчет_аналитики'!$B$1350:$BI$1350,1,66-('01_Вводные'!$B$15+'01_Вводные'!$B$311)))*'01_Вводные'!$B$298*MAX(0,'01_Вводные'!$B$22-1)</f>
        <v/>
      </c>
    </row>
    <row r="1376">
      <c r="C1376">
        <f>'19_Расчет_аналитики'!C1374*'01_Вводные'!$B$16</f>
        <v/>
      </c>
      <c r="D1376">
        <f>'19_Расчет_аналитики'!D1374*'01_Вводные'!$B$16</f>
        <v/>
      </c>
      <c r="E1376">
        <f>'19_Расчет_аналитики'!E1374*'01_Вводные'!$B$16</f>
        <v/>
      </c>
      <c r="F1376">
        <f>'19_Расчет_аналитики'!F1374*'01_Вводные'!$B$16</f>
        <v/>
      </c>
      <c r="G1376">
        <f>'19_Расчет_аналитики'!G1374*'01_Вводные'!$B$16</f>
        <v/>
      </c>
      <c r="H1376">
        <f>'19_Расчет_аналитики'!H1374*'01_Вводные'!$B$16</f>
        <v/>
      </c>
      <c r="I1376">
        <f>'19_Расчет_аналитики'!I1374*'01_Вводные'!$B$16</f>
        <v/>
      </c>
      <c r="J1376">
        <f>'19_Расчет_аналитики'!J1374*'01_Вводные'!$B$16</f>
        <v/>
      </c>
      <c r="K1376">
        <f>'19_Расчет_аналитики'!K1374*'01_Вводные'!$B$16</f>
        <v/>
      </c>
      <c r="L1376">
        <f>'19_Расчет_аналитики'!L1374*'01_Вводные'!$B$16</f>
        <v/>
      </c>
      <c r="M1376">
        <f>'19_Расчет_аналитики'!M1374*'01_Вводные'!$B$16</f>
        <v/>
      </c>
      <c r="N1376">
        <f>'19_Расчет_аналитики'!N1374*'01_Вводные'!$B$16</f>
        <v/>
      </c>
      <c r="O1376">
        <f>'19_Расчет_аналитики'!O1374*'01_Вводные'!$B$16</f>
        <v/>
      </c>
      <c r="P1376">
        <f>'19_Расчет_аналитики'!P1374*'01_Вводные'!$B$16</f>
        <v/>
      </c>
      <c r="Q1376">
        <f>'19_Расчет_аналитики'!Q1374*'01_Вводные'!$B$16</f>
        <v/>
      </c>
      <c r="R1376">
        <f>'19_Расчет_аналитики'!R1374*'01_Вводные'!$B$16</f>
        <v/>
      </c>
      <c r="S1376">
        <f>'19_Расчет_аналитики'!S1374*'01_Вводные'!$B$16</f>
        <v/>
      </c>
      <c r="T1376">
        <f>'19_Расчет_аналитики'!T1374*'01_Вводные'!$B$16</f>
        <v/>
      </c>
      <c r="U1376">
        <f>'19_Расчет_аналитики'!U1374*'01_Вводные'!$B$16</f>
        <v/>
      </c>
      <c r="V1376">
        <f>'19_Расчет_аналитики'!V1374*'01_Вводные'!$B$16</f>
        <v/>
      </c>
      <c r="W1376">
        <f>'19_Расчет_аналитики'!W1374*'01_Вводные'!$B$16</f>
        <v/>
      </c>
      <c r="X1376">
        <f>'19_Расчет_аналитики'!X1374*'01_Вводные'!$B$16</f>
        <v/>
      </c>
      <c r="Y1376">
        <f>'19_Расчет_аналитики'!Y1374*'01_Вводные'!$B$16</f>
        <v/>
      </c>
      <c r="Z1376">
        <f>'19_Расчет_аналитики'!Z1374*'01_Вводные'!$B$16</f>
        <v/>
      </c>
      <c r="AA1376">
        <f>'19_Расчет_аналитики'!AA1374*'01_Вводные'!$B$16</f>
        <v/>
      </c>
      <c r="AB1376">
        <f>'19_Расчет_аналитики'!AB1374*'01_Вводные'!$B$16</f>
        <v/>
      </c>
      <c r="AC1376">
        <f>'19_Расчет_аналитики'!AC1374*'01_Вводные'!$B$16</f>
        <v/>
      </c>
      <c r="AD1376">
        <f>'19_Расчет_аналитики'!AD1374*'01_Вводные'!$B$16</f>
        <v/>
      </c>
      <c r="AE1376">
        <f>'19_Расчет_аналитики'!AE1374*'01_Вводные'!$B$16</f>
        <v/>
      </c>
      <c r="AF1376">
        <f>'19_Расчет_аналитики'!AF1374*'01_Вводные'!$B$16</f>
        <v/>
      </c>
      <c r="AG1376">
        <f>'19_Расчет_аналитики'!AG1374*'01_Вводные'!$B$16</f>
        <v/>
      </c>
      <c r="AH1376">
        <f>'19_Расчет_аналитики'!AH1374*'01_Вводные'!$B$16</f>
        <v/>
      </c>
      <c r="AI1376">
        <f>'19_Расчет_аналитики'!AI1374*'01_Вводные'!$B$16</f>
        <v/>
      </c>
      <c r="AJ1376">
        <f>'19_Расчет_аналитики'!AJ1374*'01_Вводные'!$B$16</f>
        <v/>
      </c>
      <c r="AK1376">
        <f>'19_Расчет_аналитики'!AK1374*'01_Вводные'!$B$16</f>
        <v/>
      </c>
      <c r="AL1376">
        <f>'19_Расчет_аналитики'!AL1374*'01_Вводные'!$B$16</f>
        <v/>
      </c>
      <c r="AM1376">
        <f>'19_Расчет_аналитики'!AM1374*'01_Вводные'!$B$16</f>
        <v/>
      </c>
      <c r="AN1376">
        <f>'19_Расчет_аналитики'!AN1374*'01_Вводные'!$B$16</f>
        <v/>
      </c>
      <c r="AO1376">
        <f>'19_Расчет_аналитики'!AO1374*'01_Вводные'!$B$16</f>
        <v/>
      </c>
      <c r="AP1376">
        <f>'19_Расчет_аналитики'!AP1374*'01_Вводные'!$B$16</f>
        <v/>
      </c>
      <c r="AQ1376">
        <f>'19_Расчет_аналитики'!AQ1374*'01_Вводные'!$B$16</f>
        <v/>
      </c>
      <c r="AR1376">
        <f>'19_Расчет_аналитики'!AR1374*'01_Вводные'!$B$16</f>
        <v/>
      </c>
      <c r="AS1376">
        <f>'19_Расчет_аналитики'!AS1374*'01_Вводные'!$B$16</f>
        <v/>
      </c>
      <c r="AT1376">
        <f>'19_Расчет_аналитики'!AT1374*'01_Вводные'!$B$16</f>
        <v/>
      </c>
      <c r="AU1376">
        <f>'19_Расчет_аналитики'!AU1374*'01_Вводные'!$B$16</f>
        <v/>
      </c>
      <c r="AV1376">
        <f>'19_Расчет_аналитики'!AV1374*'01_Вводные'!$B$16</f>
        <v/>
      </c>
      <c r="AW1376">
        <f>'19_Расчет_аналитики'!AW1374*'01_Вводные'!$B$16</f>
        <v/>
      </c>
      <c r="AX1376">
        <f>'19_Расчет_аналитики'!AX1374*'01_Вводные'!$B$16</f>
        <v/>
      </c>
      <c r="AY1376">
        <f>'19_Расчет_аналитики'!AY1374*'01_Вводные'!$B$16</f>
        <v/>
      </c>
      <c r="AZ1376">
        <f>'19_Расчет_аналитики'!AZ1374*'01_Вводные'!$B$16</f>
        <v/>
      </c>
      <c r="BA1376">
        <f>'19_Расчет_аналитики'!BA1374*'01_Вводные'!$B$16</f>
        <v/>
      </c>
      <c r="BB1376">
        <f>'19_Расчет_аналитики'!BB1374*'01_Вводные'!$B$16</f>
        <v/>
      </c>
      <c r="BC1376">
        <f>'19_Расчет_аналитики'!BC1374*'01_Вводные'!$B$16</f>
        <v/>
      </c>
      <c r="BD1376">
        <f>'19_Расчет_аналитики'!BD1374*'01_Вводные'!$B$16</f>
        <v/>
      </c>
      <c r="BE1376">
        <f>'19_Расчет_аналитики'!BE1374*'01_Вводные'!$B$16</f>
        <v/>
      </c>
      <c r="BF1376">
        <f>'19_Расчет_аналитики'!BF1374*'01_Вводные'!$B$16</f>
        <v/>
      </c>
      <c r="BG1376">
        <f>'19_Расчет_аналитики'!BG1374*'01_Вводные'!$B$16</f>
        <v/>
      </c>
      <c r="BH1376">
        <f>'19_Расчет_аналитики'!BH1374*'01_Вводные'!$B$16</f>
        <v/>
      </c>
      <c r="BI1376">
        <f>'19_Расчет_аналитики'!BI1374*'01_Вводные'!$B$16</f>
        <v/>
      </c>
    </row>
    <row r="1377">
      <c r="C1377">
        <f>'06_Сеть_и_дети'!B10*'01_Вводные'!$B$14+'19_Расчет_аналитики'!C1376</f>
        <v/>
      </c>
      <c r="D1377">
        <f>'19_Расчет_аналитики'!C1377*'01_Вводные'!$B$14+'19_Расчет_аналитики'!D1376</f>
        <v/>
      </c>
      <c r="E1377">
        <f>'19_Расчет_аналитики'!D1377*'01_Вводные'!$B$14+'19_Расчет_аналитики'!E1376</f>
        <v/>
      </c>
      <c r="F1377">
        <f>'19_Расчет_аналитики'!E1377*'01_Вводные'!$B$14+'19_Расчет_аналитики'!F1376</f>
        <v/>
      </c>
      <c r="G1377">
        <f>'19_Расчет_аналитики'!F1377*'01_Вводные'!$B$14+'19_Расчет_аналитики'!G1376</f>
        <v/>
      </c>
      <c r="H1377">
        <f>'19_Расчет_аналитики'!G1377*'01_Вводные'!$B$14+'19_Расчет_аналитики'!H1376</f>
        <v/>
      </c>
      <c r="I1377">
        <f>'19_Расчет_аналитики'!H1377*'01_Вводные'!$B$14+'19_Расчет_аналитики'!I1376</f>
        <v/>
      </c>
      <c r="J1377">
        <f>'19_Расчет_аналитики'!I1377*'01_Вводные'!$B$14+'19_Расчет_аналитики'!J1376</f>
        <v/>
      </c>
      <c r="K1377">
        <f>'19_Расчет_аналитики'!J1377*'01_Вводные'!$B$14+'19_Расчет_аналитики'!K1376</f>
        <v/>
      </c>
      <c r="L1377">
        <f>'19_Расчет_аналитики'!K1377*'01_Вводные'!$B$14+'19_Расчет_аналитики'!L1376</f>
        <v/>
      </c>
      <c r="M1377">
        <f>'19_Расчет_аналитики'!L1377*'01_Вводные'!$B$14+'19_Расчет_аналитики'!M1376</f>
        <v/>
      </c>
      <c r="N1377">
        <f>'19_Расчет_аналитики'!M1377*'01_Вводные'!$B$14+'19_Расчет_аналитики'!N1376</f>
        <v/>
      </c>
      <c r="O1377">
        <f>'19_Расчет_аналитики'!N1377*'01_Вводные'!$B$14+'19_Расчет_аналитики'!O1376</f>
        <v/>
      </c>
      <c r="P1377">
        <f>'19_Расчет_аналитики'!O1377*'01_Вводные'!$B$14+'19_Расчет_аналитики'!P1376</f>
        <v/>
      </c>
      <c r="Q1377">
        <f>'19_Расчет_аналитики'!P1377*'01_Вводные'!$B$14+'19_Расчет_аналитики'!Q1376</f>
        <v/>
      </c>
      <c r="R1377">
        <f>'19_Расчет_аналитики'!Q1377*'01_Вводные'!$B$14+'19_Расчет_аналитики'!R1376</f>
        <v/>
      </c>
      <c r="S1377">
        <f>'19_Расчет_аналитики'!R1377*'01_Вводные'!$B$14+'19_Расчет_аналитики'!S1376</f>
        <v/>
      </c>
      <c r="T1377">
        <f>'19_Расчет_аналитики'!S1377*'01_Вводные'!$B$14+'19_Расчет_аналитики'!T1376</f>
        <v/>
      </c>
      <c r="U1377">
        <f>'19_Расчет_аналитики'!T1377*'01_Вводные'!$B$14+'19_Расчет_аналитики'!U1376</f>
        <v/>
      </c>
      <c r="V1377">
        <f>'19_Расчет_аналитики'!U1377*'01_Вводные'!$B$14+'19_Расчет_аналитики'!V1376</f>
        <v/>
      </c>
      <c r="W1377">
        <f>'19_Расчет_аналитики'!V1377*'01_Вводные'!$B$14+'19_Расчет_аналитики'!W1376</f>
        <v/>
      </c>
      <c r="X1377">
        <f>'19_Расчет_аналитики'!W1377*'01_Вводные'!$B$14+'19_Расчет_аналитики'!X1376</f>
        <v/>
      </c>
      <c r="Y1377">
        <f>'19_Расчет_аналитики'!X1377*'01_Вводные'!$B$14+'19_Расчет_аналитики'!Y1376</f>
        <v/>
      </c>
      <c r="Z1377">
        <f>'19_Расчет_аналитики'!Y1377*'01_Вводные'!$B$14+'19_Расчет_аналитики'!Z1376</f>
        <v/>
      </c>
      <c r="AA1377">
        <f>'19_Расчет_аналитики'!Z1377*'01_Вводные'!$B$14+'19_Расчет_аналитики'!AA1376</f>
        <v/>
      </c>
      <c r="AB1377">
        <f>'19_Расчет_аналитики'!AA1377*'01_Вводные'!$B$14+'19_Расчет_аналитики'!AB1376</f>
        <v/>
      </c>
      <c r="AC1377">
        <f>'19_Расчет_аналитики'!AB1377*'01_Вводные'!$B$14+'19_Расчет_аналитики'!AC1376</f>
        <v/>
      </c>
      <c r="AD1377">
        <f>'19_Расчет_аналитики'!AC1377*'01_Вводные'!$B$14+'19_Расчет_аналитики'!AD1376</f>
        <v/>
      </c>
      <c r="AE1377">
        <f>'19_Расчет_аналитики'!AD1377*'01_Вводные'!$B$14+'19_Расчет_аналитики'!AE1376</f>
        <v/>
      </c>
      <c r="AF1377">
        <f>'19_Расчет_аналитики'!AE1377*'01_Вводные'!$B$14+'19_Расчет_аналитики'!AF1376</f>
        <v/>
      </c>
      <c r="AG1377">
        <f>'19_Расчет_аналитики'!AF1377*'01_Вводные'!$B$14+'19_Расчет_аналитики'!AG1376</f>
        <v/>
      </c>
      <c r="AH1377">
        <f>'19_Расчет_аналитики'!AG1377*'01_Вводные'!$B$14+'19_Расчет_аналитики'!AH1376</f>
        <v/>
      </c>
      <c r="AI1377">
        <f>'19_Расчет_аналитики'!AH1377*'01_Вводные'!$B$14+'19_Расчет_аналитики'!AI1376</f>
        <v/>
      </c>
      <c r="AJ1377">
        <f>'19_Расчет_аналитики'!AI1377*'01_Вводные'!$B$14+'19_Расчет_аналитики'!AJ1376</f>
        <v/>
      </c>
      <c r="AK1377">
        <f>'19_Расчет_аналитики'!AJ1377*'01_Вводные'!$B$14+'19_Расчет_аналитики'!AK1376</f>
        <v/>
      </c>
      <c r="AL1377">
        <f>'19_Расчет_аналитики'!AK1377*'01_Вводные'!$B$14+'19_Расчет_аналитики'!AL1376</f>
        <v/>
      </c>
      <c r="AM1377">
        <f>'19_Расчет_аналитики'!AL1377*'01_Вводные'!$B$14+'19_Расчет_аналитики'!AM1376</f>
        <v/>
      </c>
      <c r="AN1377">
        <f>'19_Расчет_аналитики'!AM1377*'01_Вводные'!$B$14+'19_Расчет_аналитики'!AN1376</f>
        <v/>
      </c>
      <c r="AO1377">
        <f>'19_Расчет_аналитики'!AN1377*'01_Вводные'!$B$14+'19_Расчет_аналитики'!AO1376</f>
        <v/>
      </c>
      <c r="AP1377">
        <f>'19_Расчет_аналитики'!AO1377*'01_Вводные'!$B$14+'19_Расчет_аналитики'!AP1376</f>
        <v/>
      </c>
      <c r="AQ1377">
        <f>'19_Расчет_аналитики'!AP1377*'01_Вводные'!$B$14+'19_Расчет_аналитики'!AQ1376</f>
        <v/>
      </c>
      <c r="AR1377">
        <f>'19_Расчет_аналитики'!AQ1377*'01_Вводные'!$B$14+'19_Расчет_аналитики'!AR1376</f>
        <v/>
      </c>
      <c r="AS1377">
        <f>'19_Расчет_аналитики'!AR1377*'01_Вводные'!$B$14+'19_Расчет_аналитики'!AS1376</f>
        <v/>
      </c>
      <c r="AT1377">
        <f>'19_Расчет_аналитики'!AS1377*'01_Вводные'!$B$14+'19_Расчет_аналитики'!AT1376</f>
        <v/>
      </c>
      <c r="AU1377">
        <f>'19_Расчет_аналитики'!AT1377*'01_Вводные'!$B$14+'19_Расчет_аналитики'!AU1376</f>
        <v/>
      </c>
      <c r="AV1377">
        <f>'19_Расчет_аналитики'!AU1377*'01_Вводные'!$B$14+'19_Расчет_аналитики'!AV1376</f>
        <v/>
      </c>
      <c r="AW1377">
        <f>'19_Расчет_аналитики'!AV1377*'01_Вводные'!$B$14+'19_Расчет_аналитики'!AW1376</f>
        <v/>
      </c>
      <c r="AX1377">
        <f>'19_Расчет_аналитики'!AW1377*'01_Вводные'!$B$14+'19_Расчет_аналитики'!AX1376</f>
        <v/>
      </c>
      <c r="AY1377">
        <f>'19_Расчет_аналитики'!AX1377*'01_Вводные'!$B$14+'19_Расчет_аналитики'!AY1376</f>
        <v/>
      </c>
      <c r="AZ1377">
        <f>'19_Расчет_аналитики'!AY1377*'01_Вводные'!$B$14+'19_Расчет_аналитики'!AZ1376</f>
        <v/>
      </c>
      <c r="BA1377">
        <f>'19_Расчет_аналитики'!AZ1377*'01_Вводные'!$B$14+'19_Расчет_аналитики'!BA1376</f>
        <v/>
      </c>
      <c r="BB1377">
        <f>'19_Расчет_аналитики'!BA1377*'01_Вводные'!$B$14+'19_Расчет_аналитики'!BB1376</f>
        <v/>
      </c>
      <c r="BC1377">
        <f>'19_Расчет_аналитики'!BB1377*'01_Вводные'!$B$14+'19_Расчет_аналитики'!BC1376</f>
        <v/>
      </c>
      <c r="BD1377">
        <f>'19_Расчет_аналитики'!BC1377*'01_Вводные'!$B$14+'19_Расчет_аналитики'!BD1376</f>
        <v/>
      </c>
      <c r="BE1377">
        <f>'19_Расчет_аналитики'!BD1377*'01_Вводные'!$B$14+'19_Расчет_аналитики'!BE1376</f>
        <v/>
      </c>
      <c r="BF1377">
        <f>'19_Расчет_аналитики'!BE1377*'01_Вводные'!$B$14+'19_Расчет_аналитики'!BF1376</f>
        <v/>
      </c>
      <c r="BG1377">
        <f>'19_Расчет_аналитики'!BF1377*'01_Вводные'!$B$14+'19_Расчет_аналитики'!BG1376</f>
        <v/>
      </c>
      <c r="BH1377">
        <f>'19_Расчет_аналитики'!BG1377*'01_Вводные'!$B$14+'19_Расчет_аналитики'!BH1376</f>
        <v/>
      </c>
      <c r="BI1377">
        <f>'19_Расчет_аналитики'!BH1377*'01_Вводные'!$B$14+'19_Расчет_аналитики'!BI1376</f>
        <v/>
      </c>
      <c r="BJ1377">
        <f>'19_Расчет_аналитики'!BI1377*'01_Вводные'!$B$14+'06_Сеть_и_дети'!BJ9</f>
        <v/>
      </c>
      <c r="BK1377">
        <f>'19_Расчет_аналитики'!BJ1377*'01_Вводные'!$B$14+'06_Сеть_и_дети'!BK9</f>
        <v/>
      </c>
      <c r="BL1377">
        <f>'19_Расчет_аналитики'!BK1377*'01_Вводные'!$B$14+'06_Сеть_и_дети'!BL9</f>
        <v/>
      </c>
      <c r="BM1377">
        <f>'19_Расчет_аналитики'!BL1377*'01_Вводные'!$B$14+'06_Сеть_и_дети'!BM9</f>
        <v/>
      </c>
      <c r="BN1377">
        <f>'19_Расчет_аналитики'!BM1377*'01_Вводные'!$B$14+'06_Сеть_и_дети'!BN9</f>
        <v/>
      </c>
      <c r="BO1377">
        <f>'19_Расчет_аналитики'!BN1377*'01_Вводные'!$B$14+'06_Сеть_и_дети'!BO9</f>
        <v/>
      </c>
    </row>
    <row r="1378"/>
    <row r="1379"/>
    <row r="1380">
      <c r="B1380">
        <f>SUM('19_Расчет_аналитики'!B1420:B1431)</f>
        <v/>
      </c>
      <c r="C1380">
        <f>SUM('19_Расчет_аналитики'!C1420:C1431)</f>
        <v/>
      </c>
      <c r="D1380">
        <f>SUM('19_Расчет_аналитики'!D1420:D1431)</f>
        <v/>
      </c>
      <c r="E1380">
        <f>SUM('19_Расчет_аналитики'!E1420:E1431)</f>
        <v/>
      </c>
      <c r="F1380">
        <f>SUM('19_Расчет_аналитики'!F1420:F1431)</f>
        <v/>
      </c>
      <c r="G1380">
        <f>SUM('19_Расчет_аналитики'!G1420:G1431)</f>
        <v/>
      </c>
      <c r="H1380">
        <f>SUM('19_Расчет_аналитики'!H1420:H1431)</f>
        <v/>
      </c>
      <c r="I1380">
        <f>SUM('19_Расчет_аналитики'!I1420:I1431)</f>
        <v/>
      </c>
      <c r="J1380">
        <f>SUM('19_Расчет_аналитики'!J1420:J1431)</f>
        <v/>
      </c>
      <c r="K1380">
        <f>SUM('19_Расчет_аналитики'!K1420:K1431)</f>
        <v/>
      </c>
      <c r="L1380">
        <f>SUM('19_Расчет_аналитики'!L1420:L1431)</f>
        <v/>
      </c>
      <c r="M1380">
        <f>SUM('19_Расчет_аналитики'!M1420:M1431)</f>
        <v/>
      </c>
      <c r="N1380">
        <f>SUM('19_Расчет_аналитики'!N1420:N1431)</f>
        <v/>
      </c>
      <c r="O1380">
        <f>SUM('19_Расчет_аналитики'!O1420:O1431)</f>
        <v/>
      </c>
      <c r="P1380">
        <f>SUM('19_Расчет_аналитики'!P1420:P1431)</f>
        <v/>
      </c>
      <c r="Q1380">
        <f>SUM('19_Расчет_аналитики'!Q1420:Q1431)</f>
        <v/>
      </c>
      <c r="R1380">
        <f>SUM('19_Расчет_аналитики'!R1420:R1431)</f>
        <v/>
      </c>
      <c r="S1380">
        <f>SUM('19_Расчет_аналитики'!S1420:S1431)</f>
        <v/>
      </c>
      <c r="T1380">
        <f>SUM('19_Расчет_аналитики'!T1420:T1431)</f>
        <v/>
      </c>
      <c r="U1380">
        <f>SUM('19_Расчет_аналитики'!U1420:U1431)</f>
        <v/>
      </c>
      <c r="V1380">
        <f>SUM('19_Расчет_аналитики'!V1420:V1431)</f>
        <v/>
      </c>
      <c r="W1380">
        <f>SUM('19_Расчет_аналитики'!W1420:W1431)</f>
        <v/>
      </c>
      <c r="X1380">
        <f>SUM('19_Расчет_аналитики'!X1420:X1431)</f>
        <v/>
      </c>
      <c r="Y1380">
        <f>SUM('19_Расчет_аналитики'!Y1420:Y1431)</f>
        <v/>
      </c>
      <c r="Z1380">
        <f>SUM('19_Расчет_аналитики'!Z1420:Z1431)</f>
        <v/>
      </c>
      <c r="AA1380">
        <f>SUM('19_Расчет_аналитики'!AA1420:AA1431)</f>
        <v/>
      </c>
      <c r="AB1380">
        <f>SUM('19_Расчет_аналитики'!AB1420:AB1431)</f>
        <v/>
      </c>
      <c r="AC1380">
        <f>SUM('19_Расчет_аналитики'!AC1420:AC1431)</f>
        <v/>
      </c>
      <c r="AD1380">
        <f>SUM('19_Расчет_аналитики'!AD1420:AD1431)</f>
        <v/>
      </c>
      <c r="AE1380">
        <f>SUM('19_Расчет_аналитики'!AE1420:AE1431)</f>
        <v/>
      </c>
      <c r="AF1380">
        <f>SUM('19_Расчет_аналитики'!AF1420:AF1431)</f>
        <v/>
      </c>
      <c r="AG1380">
        <f>SUM('19_Расчет_аналитики'!AG1420:AG1431)</f>
        <v/>
      </c>
      <c r="AH1380">
        <f>SUM('19_Расчет_аналитики'!AH1420:AH1431)</f>
        <v/>
      </c>
      <c r="AI1380">
        <f>SUM('19_Расчет_аналитики'!AI1420:AI1431)</f>
        <v/>
      </c>
      <c r="AJ1380">
        <f>SUM('19_Расчет_аналитики'!AJ1420:AJ1431)</f>
        <v/>
      </c>
      <c r="AK1380">
        <f>SUM('19_Расчет_аналитики'!AK1420:AK1431)</f>
        <v/>
      </c>
      <c r="AL1380">
        <f>SUM('19_Расчет_аналитики'!AL1420:AL1431)</f>
        <v/>
      </c>
      <c r="AM1380">
        <f>SUM('19_Расчет_аналитики'!AM1420:AM1431)</f>
        <v/>
      </c>
      <c r="AN1380">
        <f>SUM('19_Расчет_аналитики'!AN1420:AN1431)</f>
        <v/>
      </c>
      <c r="AO1380">
        <f>SUM('19_Расчет_аналитики'!AO1420:AO1431)</f>
        <v/>
      </c>
      <c r="AP1380">
        <f>SUM('19_Расчет_аналитики'!AP1420:AP1431)</f>
        <v/>
      </c>
      <c r="AQ1380">
        <f>SUM('19_Расчет_аналитики'!AQ1420:AQ1431)</f>
        <v/>
      </c>
      <c r="AR1380">
        <f>SUM('19_Расчет_аналитики'!AR1420:AR1431)</f>
        <v/>
      </c>
      <c r="AS1380">
        <f>SUM('19_Расчет_аналитики'!AS1420:AS1431)</f>
        <v/>
      </c>
      <c r="AT1380">
        <f>SUM('19_Расчет_аналитики'!AT1420:AT1431)</f>
        <v/>
      </c>
      <c r="AU1380">
        <f>SUM('19_Расчет_аналитики'!AU1420:AU1431)</f>
        <v/>
      </c>
      <c r="AV1380">
        <f>SUM('19_Расчет_аналитики'!AV1420:AV1431)</f>
        <v/>
      </c>
      <c r="AW1380">
        <f>SUM('19_Расчет_аналитики'!AW1420:AW1431)</f>
        <v/>
      </c>
      <c r="AX1380">
        <f>SUM('19_Расчет_аналитики'!AX1420:AX1431)</f>
        <v/>
      </c>
      <c r="AY1380">
        <f>SUM('19_Расчет_аналитики'!AY1420:AY1431)</f>
        <v/>
      </c>
      <c r="AZ1380">
        <f>SUM('19_Расчет_аналитики'!AZ1420:AZ1431)</f>
        <v/>
      </c>
      <c r="BA1380">
        <f>SUM('19_Расчет_аналитики'!BA1420:BA1431)</f>
        <v/>
      </c>
      <c r="BB1380">
        <f>SUM('19_Расчет_аналитики'!BB1420:BB1431)</f>
        <v/>
      </c>
      <c r="BC1380">
        <f>SUM('19_Расчет_аналитики'!BC1420:BC1431)</f>
        <v/>
      </c>
      <c r="BD1380">
        <f>SUM('19_Расчет_аналитики'!BD1420:BD1431)</f>
        <v/>
      </c>
      <c r="BE1380">
        <f>SUM('19_Расчет_аналитики'!BE1420:BE1431)</f>
        <v/>
      </c>
      <c r="BF1380">
        <f>SUM('19_Расчет_аналитики'!BF1420:BF1431)</f>
        <v/>
      </c>
      <c r="BG1380">
        <f>SUM('19_Расчет_аналитики'!BG1420:BG1431)</f>
        <v/>
      </c>
      <c r="BH1380">
        <f>SUM('19_Расчет_аналитики'!BH1420:BH1431)</f>
        <v/>
      </c>
      <c r="BI1380">
        <f>SUM('19_Расчет_аналитики'!BI1420:BI1431)</f>
        <v/>
      </c>
      <c r="BJ1380">
        <f>SUM('19_Расчет_аналитики'!BJ1420:BJ1431)</f>
        <v/>
      </c>
      <c r="BK1380">
        <f>SUM('19_Расчет_аналитики'!BK1420:BK1431)</f>
        <v/>
      </c>
      <c r="BL1380">
        <f>SUM('19_Расчет_аналитики'!BL1420:BL1431)</f>
        <v/>
      </c>
      <c r="BM1380">
        <f>SUM('19_Расчет_аналитики'!BM1420:BM1431)</f>
        <v/>
      </c>
      <c r="BN1380">
        <f>SUM('19_Расчет_аналитики'!BN1420:BN1431)</f>
        <v/>
      </c>
      <c r="BO1380">
        <f>SUM('19_Расчет_аналитики'!BO1420:BO1431)</f>
        <v/>
      </c>
    </row>
    <row r="1381">
      <c r="B1381">
        <f>'06_Сеть_и_дети'!B14</f>
        <v/>
      </c>
      <c r="C1381">
        <f>'06_Сеть_и_дети'!C14</f>
        <v/>
      </c>
      <c r="D1381">
        <f>'06_Сеть_и_дети'!D14</f>
        <v/>
      </c>
      <c r="E1381">
        <f>'06_Сеть_и_дети'!E14</f>
        <v/>
      </c>
      <c r="F1381">
        <f>'06_Сеть_и_дети'!F14</f>
        <v/>
      </c>
      <c r="G1381">
        <f>'06_Сеть_и_дети'!G14</f>
        <v/>
      </c>
      <c r="H1381">
        <f>'06_Сеть_и_дети'!H14</f>
        <v/>
      </c>
      <c r="I1381">
        <f>'06_Сеть_и_дети'!I14</f>
        <v/>
      </c>
      <c r="J1381">
        <f>'06_Сеть_и_дети'!J14</f>
        <v/>
      </c>
      <c r="K1381">
        <f>'06_Сеть_и_дети'!K14</f>
        <v/>
      </c>
      <c r="L1381">
        <f>'06_Сеть_и_дети'!L14</f>
        <v/>
      </c>
      <c r="M1381">
        <f>'06_Сеть_и_дети'!M14</f>
        <v/>
      </c>
      <c r="N1381">
        <f>SUM('19_Расчет_аналитики'!N1432:N1443)</f>
        <v/>
      </c>
      <c r="O1381">
        <f>SUM('19_Расчет_аналитики'!O1432:O1443)</f>
        <v/>
      </c>
      <c r="P1381">
        <f>SUM('19_Расчет_аналитики'!P1432:P1443)</f>
        <v/>
      </c>
      <c r="Q1381">
        <f>SUM('19_Расчет_аналитики'!Q1432:Q1443)</f>
        <v/>
      </c>
      <c r="R1381">
        <f>SUM('19_Расчет_аналитики'!R1432:R1443)</f>
        <v/>
      </c>
      <c r="S1381">
        <f>SUM('19_Расчет_аналитики'!S1432:S1443)</f>
        <v/>
      </c>
      <c r="T1381">
        <f>SUM('19_Расчет_аналитики'!T1432:T1443)</f>
        <v/>
      </c>
      <c r="U1381">
        <f>SUM('19_Расчет_аналитики'!U1432:U1443)</f>
        <v/>
      </c>
      <c r="V1381">
        <f>SUM('19_Расчет_аналитики'!V1432:V1443)</f>
        <v/>
      </c>
      <c r="W1381">
        <f>SUM('19_Расчет_аналитики'!W1432:W1443)</f>
        <v/>
      </c>
      <c r="X1381">
        <f>SUM('19_Расчет_аналитики'!X1432:X1443)</f>
        <v/>
      </c>
      <c r="Y1381">
        <f>SUM('19_Расчет_аналитики'!Y1432:Y1443)</f>
        <v/>
      </c>
      <c r="Z1381">
        <f>SUM('19_Расчет_аналитики'!Z1432:Z1443)</f>
        <v/>
      </c>
      <c r="AA1381">
        <f>SUM('19_Расчет_аналитики'!AA1432:AA1443)</f>
        <v/>
      </c>
      <c r="AB1381">
        <f>SUM('19_Расчет_аналитики'!AB1432:AB1443)</f>
        <v/>
      </c>
      <c r="AC1381">
        <f>SUM('19_Расчет_аналитики'!AC1432:AC1443)</f>
        <v/>
      </c>
      <c r="AD1381">
        <f>SUM('19_Расчет_аналитики'!AD1432:AD1443)</f>
        <v/>
      </c>
      <c r="AE1381">
        <f>SUM('19_Расчет_аналитики'!AE1432:AE1443)</f>
        <v/>
      </c>
      <c r="AF1381">
        <f>SUM('19_Расчет_аналитики'!AF1432:AF1443)</f>
        <v/>
      </c>
      <c r="AG1381">
        <f>SUM('19_Расчет_аналитики'!AG1432:AG1443)</f>
        <v/>
      </c>
      <c r="AH1381">
        <f>SUM('19_Расчет_аналитики'!AH1432:AH1443)</f>
        <v/>
      </c>
      <c r="AI1381">
        <f>SUM('19_Расчет_аналитики'!AI1432:AI1443)</f>
        <v/>
      </c>
      <c r="AJ1381">
        <f>SUM('19_Расчет_аналитики'!AJ1432:AJ1443)</f>
        <v/>
      </c>
      <c r="AK1381">
        <f>SUM('19_Расчет_аналитики'!AK1432:AK1443)</f>
        <v/>
      </c>
      <c r="AL1381">
        <f>SUM('19_Расчет_аналитики'!AL1432:AL1443)</f>
        <v/>
      </c>
      <c r="AM1381">
        <f>SUM('19_Расчет_аналитики'!AM1432:AM1443)</f>
        <v/>
      </c>
      <c r="AN1381">
        <f>SUM('19_Расчет_аналитики'!AN1432:AN1443)</f>
        <v/>
      </c>
      <c r="AO1381">
        <f>SUM('19_Расчет_аналитики'!AO1432:AO1443)</f>
        <v/>
      </c>
      <c r="AP1381">
        <f>SUM('19_Расчет_аналитики'!AP1432:AP1443)</f>
        <v/>
      </c>
      <c r="AQ1381">
        <f>SUM('19_Расчет_аналитики'!AQ1432:AQ1443)</f>
        <v/>
      </c>
      <c r="AR1381">
        <f>SUM('19_Расчет_аналитики'!AR1432:AR1443)</f>
        <v/>
      </c>
      <c r="AS1381">
        <f>SUM('19_Расчет_аналитики'!AS1432:AS1443)</f>
        <v/>
      </c>
      <c r="AT1381">
        <f>SUM('19_Расчет_аналитики'!AT1432:AT1443)</f>
        <v/>
      </c>
      <c r="AU1381">
        <f>SUM('19_Расчет_аналитики'!AU1432:AU1443)</f>
        <v/>
      </c>
      <c r="AV1381">
        <f>SUM('19_Расчет_аналитики'!AV1432:AV1443)</f>
        <v/>
      </c>
      <c r="AW1381">
        <f>SUM('19_Расчет_аналитики'!AW1432:AW1443)</f>
        <v/>
      </c>
      <c r="AX1381">
        <f>SUM('19_Расчет_аналитики'!AX1432:AX1443)</f>
        <v/>
      </c>
      <c r="AY1381">
        <f>SUM('19_Расчет_аналитики'!AY1432:AY1443)</f>
        <v/>
      </c>
      <c r="AZ1381">
        <f>SUM('19_Расчет_аналитики'!AZ1432:AZ1443)</f>
        <v/>
      </c>
      <c r="BA1381">
        <f>SUM('19_Расчет_аналитики'!BA1432:BA1443)</f>
        <v/>
      </c>
      <c r="BB1381">
        <f>SUM('19_Расчет_аналитики'!BB1432:BB1443)</f>
        <v/>
      </c>
      <c r="BC1381">
        <f>SUM('19_Расчет_аналитики'!BC1432:BC1443)</f>
        <v/>
      </c>
      <c r="BD1381">
        <f>SUM('19_Расчет_аналитики'!BD1432:BD1443)</f>
        <v/>
      </c>
      <c r="BE1381">
        <f>SUM('19_Расчет_аналитики'!BE1432:BE1443)</f>
        <v/>
      </c>
      <c r="BF1381">
        <f>SUM('19_Расчет_аналитики'!BF1432:BF1443)</f>
        <v/>
      </c>
      <c r="BG1381">
        <f>SUM('19_Расчет_аналитики'!BG1432:BG1443)</f>
        <v/>
      </c>
      <c r="BH1381">
        <f>SUM('19_Расчет_аналитики'!BH1432:BH1443)</f>
        <v/>
      </c>
      <c r="BI1381">
        <f>SUM('19_Расчет_аналитики'!BI1432:BI1443)</f>
        <v/>
      </c>
      <c r="BJ1381">
        <f>SUM('19_Расчет_аналитики'!BJ1432:BJ1443)</f>
        <v/>
      </c>
      <c r="BK1381">
        <f>SUM('19_Расчет_аналитики'!BK1432:BK1443)</f>
        <v/>
      </c>
      <c r="BL1381">
        <f>SUM('19_Расчет_аналитики'!BL1432:BL1443)</f>
        <v/>
      </c>
      <c r="BM1381">
        <f>SUM('19_Расчет_аналитики'!BM1432:BM1443)</f>
        <v/>
      </c>
      <c r="BN1381">
        <f>SUM('19_Расчет_аналитики'!BN1432:BN1443)</f>
        <v/>
      </c>
      <c r="BO1381">
        <f>SUM('19_Расчет_аналитики'!BO1432:BO1443)</f>
        <v/>
      </c>
    </row>
    <row r="1382">
      <c r="B1382">
        <f>'06_Сеть_и_дети'!B15</f>
        <v/>
      </c>
      <c r="C1382">
        <f>'06_Сеть_и_дети'!C15</f>
        <v/>
      </c>
      <c r="D1382">
        <f>'06_Сеть_и_дети'!D15</f>
        <v/>
      </c>
      <c r="E1382">
        <f>'06_Сеть_и_дети'!E15</f>
        <v/>
      </c>
      <c r="F1382">
        <f>'06_Сеть_и_дети'!F15</f>
        <v/>
      </c>
      <c r="G1382">
        <f>'06_Сеть_и_дети'!G15</f>
        <v/>
      </c>
      <c r="H1382">
        <f>'06_Сеть_и_дети'!H15</f>
        <v/>
      </c>
      <c r="I1382">
        <f>'06_Сеть_и_дети'!I15</f>
        <v/>
      </c>
      <c r="J1382">
        <f>'06_Сеть_и_дети'!J15</f>
        <v/>
      </c>
      <c r="K1382">
        <f>'06_Сеть_и_дети'!K15</f>
        <v/>
      </c>
      <c r="L1382">
        <f>'06_Сеть_и_дети'!L15</f>
        <v/>
      </c>
      <c r="M1382">
        <f>'06_Сеть_и_дети'!M15</f>
        <v/>
      </c>
      <c r="N1382">
        <f>'06_Сеть_и_дети'!N15</f>
        <v/>
      </c>
      <c r="O1382">
        <f>'06_Сеть_и_дети'!O15</f>
        <v/>
      </c>
      <c r="P1382">
        <f>'06_Сеть_и_дети'!P15</f>
        <v/>
      </c>
      <c r="Q1382">
        <f>'06_Сеть_и_дети'!Q15</f>
        <v/>
      </c>
      <c r="R1382">
        <f>'06_Сеть_и_дети'!R15</f>
        <v/>
      </c>
      <c r="S1382">
        <f>'06_Сеть_и_дети'!S15</f>
        <v/>
      </c>
      <c r="T1382">
        <f>'06_Сеть_и_дети'!T15</f>
        <v/>
      </c>
      <c r="U1382">
        <f>'06_Сеть_и_дети'!U15</f>
        <v/>
      </c>
      <c r="V1382">
        <f>'06_Сеть_и_дети'!V15</f>
        <v/>
      </c>
      <c r="W1382">
        <f>'06_Сеть_и_дети'!W15</f>
        <v/>
      </c>
      <c r="X1382">
        <f>'06_Сеть_и_дети'!X15</f>
        <v/>
      </c>
      <c r="Y1382">
        <f>'06_Сеть_и_дети'!Y15</f>
        <v/>
      </c>
      <c r="Z1382">
        <f>'19_Расчет_аналитики'!Z1444</f>
        <v/>
      </c>
      <c r="AA1382">
        <f>'19_Расчет_аналитики'!AA1444</f>
        <v/>
      </c>
      <c r="AB1382">
        <f>'19_Расчет_аналитики'!AB1444</f>
        <v/>
      </c>
      <c r="AC1382">
        <f>'19_Расчет_аналитики'!AC1444</f>
        <v/>
      </c>
      <c r="AD1382">
        <f>'19_Расчет_аналитики'!AD1444</f>
        <v/>
      </c>
      <c r="AE1382">
        <f>'19_Расчет_аналитики'!AE1444</f>
        <v/>
      </c>
      <c r="AF1382">
        <f>'19_Расчет_аналитики'!AF1444</f>
        <v/>
      </c>
      <c r="AG1382">
        <f>'19_Расчет_аналитики'!AG1444</f>
        <v/>
      </c>
      <c r="AH1382">
        <f>'19_Расчет_аналитики'!AH1444</f>
        <v/>
      </c>
      <c r="AI1382">
        <f>'19_Расчет_аналитики'!AI1444</f>
        <v/>
      </c>
      <c r="AJ1382">
        <f>'19_Расчет_аналитики'!AJ1444</f>
        <v/>
      </c>
      <c r="AK1382">
        <f>'19_Расчет_аналитики'!AK1444</f>
        <v/>
      </c>
      <c r="AL1382">
        <f>'19_Расчет_аналитики'!AL1444</f>
        <v/>
      </c>
      <c r="AM1382">
        <f>'19_Расчет_аналитики'!AM1444</f>
        <v/>
      </c>
      <c r="AN1382">
        <f>'19_Расчет_аналитики'!AN1444</f>
        <v/>
      </c>
      <c r="AO1382">
        <f>'19_Расчет_аналитики'!AO1444</f>
        <v/>
      </c>
      <c r="AP1382">
        <f>'19_Расчет_аналитики'!AP1444</f>
        <v/>
      </c>
      <c r="AQ1382">
        <f>'19_Расчет_аналитики'!AQ1444</f>
        <v/>
      </c>
      <c r="AR1382">
        <f>'19_Расчет_аналитики'!AR1444</f>
        <v/>
      </c>
      <c r="AS1382">
        <f>'19_Расчет_аналитики'!AS1444</f>
        <v/>
      </c>
      <c r="AT1382">
        <f>'19_Расчет_аналитики'!AT1444</f>
        <v/>
      </c>
      <c r="AU1382">
        <f>'19_Расчет_аналитики'!AU1444</f>
        <v/>
      </c>
      <c r="AV1382">
        <f>'19_Расчет_аналитики'!AV1444</f>
        <v/>
      </c>
      <c r="AW1382">
        <f>'19_Расчет_аналитики'!AW1444</f>
        <v/>
      </c>
      <c r="AX1382">
        <f>'19_Расчет_аналитики'!AX1444</f>
        <v/>
      </c>
      <c r="AY1382">
        <f>'19_Расчет_аналитики'!AY1444</f>
        <v/>
      </c>
      <c r="AZ1382">
        <f>'19_Расчет_аналитики'!AZ1444</f>
        <v/>
      </c>
      <c r="BA1382">
        <f>'19_Расчет_аналитики'!BA1444</f>
        <v/>
      </c>
      <c r="BB1382">
        <f>'19_Расчет_аналитики'!BB1444</f>
        <v/>
      </c>
      <c r="BC1382">
        <f>'19_Расчет_аналитики'!BC1444</f>
        <v/>
      </c>
      <c r="BD1382">
        <f>'19_Расчет_аналитики'!BD1444</f>
        <v/>
      </c>
      <c r="BE1382">
        <f>'19_Расчет_аналитики'!BE1444</f>
        <v/>
      </c>
      <c r="BF1382">
        <f>'19_Расчет_аналитики'!BF1444</f>
        <v/>
      </c>
      <c r="BG1382">
        <f>'19_Расчет_аналитики'!BG1444</f>
        <v/>
      </c>
      <c r="BH1382">
        <f>'19_Расчет_аналитики'!BH1444</f>
        <v/>
      </c>
      <c r="BI1382">
        <f>'19_Расчет_аналитики'!BI1444</f>
        <v/>
      </c>
      <c r="BJ1382">
        <f>'19_Расчет_аналитики'!BJ1444</f>
        <v/>
      </c>
      <c r="BK1382">
        <f>'19_Расчет_аналитики'!BK1444</f>
        <v/>
      </c>
      <c r="BL1382">
        <f>'19_Расчет_аналитики'!BL1444</f>
        <v/>
      </c>
      <c r="BM1382">
        <f>'19_Расчет_аналитики'!BM1444</f>
        <v/>
      </c>
      <c r="BN1382">
        <f>'19_Расчет_аналитики'!BN1444</f>
        <v/>
      </c>
      <c r="BO1382">
        <f>'19_Расчет_аналитики'!BO1444</f>
        <v/>
      </c>
    </row>
    <row r="1383">
      <c r="B1383">
        <f>SUM('19_Расчет_аналитики'!B1380:B1382)</f>
        <v/>
      </c>
      <c r="C1383">
        <f>SUM('19_Расчет_аналитики'!C1380:C1382)</f>
        <v/>
      </c>
      <c r="D1383">
        <f>SUM('19_Расчет_аналитики'!D1380:D1382)</f>
        <v/>
      </c>
      <c r="E1383">
        <f>SUM('19_Расчет_аналитики'!E1380:E1382)</f>
        <v/>
      </c>
      <c r="F1383">
        <f>SUM('19_Расчет_аналитики'!F1380:F1382)</f>
        <v/>
      </c>
      <c r="G1383">
        <f>SUM('19_Расчет_аналитики'!G1380:G1382)</f>
        <v/>
      </c>
      <c r="H1383">
        <f>SUM('19_Расчет_аналитики'!H1380:H1382)</f>
        <v/>
      </c>
      <c r="I1383">
        <f>SUM('19_Расчет_аналитики'!I1380:I1382)</f>
        <v/>
      </c>
      <c r="J1383">
        <f>SUM('19_Расчет_аналитики'!J1380:J1382)</f>
        <v/>
      </c>
      <c r="K1383">
        <f>SUM('19_Расчет_аналитики'!K1380:K1382)</f>
        <v/>
      </c>
      <c r="L1383">
        <f>SUM('19_Расчет_аналитики'!L1380:L1382)</f>
        <v/>
      </c>
      <c r="M1383">
        <f>SUM('19_Расчет_аналитики'!M1380:M1382)</f>
        <v/>
      </c>
      <c r="N1383">
        <f>SUM('19_Расчет_аналитики'!N1380:N1382)</f>
        <v/>
      </c>
      <c r="O1383">
        <f>SUM('19_Расчет_аналитики'!O1380:O1382)</f>
        <v/>
      </c>
      <c r="P1383">
        <f>SUM('19_Расчет_аналитики'!P1380:P1382)</f>
        <v/>
      </c>
      <c r="Q1383">
        <f>SUM('19_Расчет_аналитики'!Q1380:Q1382)</f>
        <v/>
      </c>
      <c r="R1383">
        <f>SUM('19_Расчет_аналитики'!R1380:R1382)</f>
        <v/>
      </c>
      <c r="S1383">
        <f>SUM('19_Расчет_аналитики'!S1380:S1382)</f>
        <v/>
      </c>
      <c r="T1383">
        <f>SUM('19_Расчет_аналитики'!T1380:T1382)</f>
        <v/>
      </c>
      <c r="U1383">
        <f>SUM('19_Расчет_аналитики'!U1380:U1382)</f>
        <v/>
      </c>
      <c r="V1383">
        <f>SUM('19_Расчет_аналитики'!V1380:V1382)</f>
        <v/>
      </c>
      <c r="W1383">
        <f>SUM('19_Расчет_аналитики'!W1380:W1382)</f>
        <v/>
      </c>
      <c r="X1383">
        <f>SUM('19_Расчет_аналитики'!X1380:X1382)</f>
        <v/>
      </c>
      <c r="Y1383">
        <f>SUM('19_Расчет_аналитики'!Y1380:Y1382)</f>
        <v/>
      </c>
      <c r="Z1383">
        <f>SUM('19_Расчет_аналитики'!Z1380:Z1382)</f>
        <v/>
      </c>
      <c r="AA1383">
        <f>SUM('19_Расчет_аналитики'!AA1380:AA1382)</f>
        <v/>
      </c>
      <c r="AB1383">
        <f>SUM('19_Расчет_аналитики'!AB1380:AB1382)</f>
        <v/>
      </c>
      <c r="AC1383">
        <f>SUM('19_Расчет_аналитики'!AC1380:AC1382)</f>
        <v/>
      </c>
      <c r="AD1383">
        <f>SUM('19_Расчет_аналитики'!AD1380:AD1382)</f>
        <v/>
      </c>
      <c r="AE1383">
        <f>SUM('19_Расчет_аналитики'!AE1380:AE1382)</f>
        <v/>
      </c>
      <c r="AF1383">
        <f>SUM('19_Расчет_аналитики'!AF1380:AF1382)</f>
        <v/>
      </c>
      <c r="AG1383">
        <f>SUM('19_Расчет_аналитики'!AG1380:AG1382)</f>
        <v/>
      </c>
      <c r="AH1383">
        <f>SUM('19_Расчет_аналитики'!AH1380:AH1382)</f>
        <v/>
      </c>
      <c r="AI1383">
        <f>SUM('19_Расчет_аналитики'!AI1380:AI1382)</f>
        <v/>
      </c>
      <c r="AJ1383">
        <f>SUM('19_Расчет_аналитики'!AJ1380:AJ1382)</f>
        <v/>
      </c>
      <c r="AK1383">
        <f>SUM('19_Расчет_аналитики'!AK1380:AK1382)</f>
        <v/>
      </c>
      <c r="AL1383">
        <f>SUM('19_Расчет_аналитики'!AL1380:AL1382)</f>
        <v/>
      </c>
      <c r="AM1383">
        <f>SUM('19_Расчет_аналитики'!AM1380:AM1382)</f>
        <v/>
      </c>
      <c r="AN1383">
        <f>SUM('19_Расчет_аналитики'!AN1380:AN1382)</f>
        <v/>
      </c>
      <c r="AO1383">
        <f>SUM('19_Расчет_аналитики'!AO1380:AO1382)</f>
        <v/>
      </c>
      <c r="AP1383">
        <f>SUM('19_Расчет_аналитики'!AP1380:AP1382)</f>
        <v/>
      </c>
      <c r="AQ1383">
        <f>SUM('19_Расчет_аналитики'!AQ1380:AQ1382)</f>
        <v/>
      </c>
      <c r="AR1383">
        <f>SUM('19_Расчет_аналитики'!AR1380:AR1382)</f>
        <v/>
      </c>
      <c r="AS1383">
        <f>SUM('19_Расчет_аналитики'!AS1380:AS1382)</f>
        <v/>
      </c>
      <c r="AT1383">
        <f>SUM('19_Расчет_аналитики'!AT1380:AT1382)</f>
        <v/>
      </c>
      <c r="AU1383">
        <f>SUM('19_Расчет_аналитики'!AU1380:AU1382)</f>
        <v/>
      </c>
      <c r="AV1383">
        <f>SUM('19_Расчет_аналитики'!AV1380:AV1382)</f>
        <v/>
      </c>
      <c r="AW1383">
        <f>SUM('19_Расчет_аналитики'!AW1380:AW1382)</f>
        <v/>
      </c>
      <c r="AX1383">
        <f>SUM('19_Расчет_аналитики'!AX1380:AX1382)</f>
        <v/>
      </c>
      <c r="AY1383">
        <f>SUM('19_Расчет_аналитики'!AY1380:AY1382)</f>
        <v/>
      </c>
      <c r="AZ1383">
        <f>SUM('19_Расчет_аналитики'!AZ1380:AZ1382)</f>
        <v/>
      </c>
      <c r="BA1383">
        <f>SUM('19_Расчет_аналитики'!BA1380:BA1382)</f>
        <v/>
      </c>
      <c r="BB1383">
        <f>SUM('19_Расчет_аналитики'!BB1380:BB1382)</f>
        <v/>
      </c>
      <c r="BC1383">
        <f>SUM('19_Расчет_аналитики'!BC1380:BC1382)</f>
        <v/>
      </c>
      <c r="BD1383">
        <f>SUM('19_Расчет_аналитики'!BD1380:BD1382)</f>
        <v/>
      </c>
      <c r="BE1383">
        <f>SUM('19_Расчет_аналитики'!BE1380:BE1382)</f>
        <v/>
      </c>
      <c r="BF1383">
        <f>SUM('19_Расчет_аналитики'!BF1380:BF1382)</f>
        <v/>
      </c>
      <c r="BG1383">
        <f>SUM('19_Расчет_аналитики'!BG1380:BG1382)</f>
        <v/>
      </c>
      <c r="BH1383">
        <f>SUM('19_Расчет_аналитики'!BH1380:BH1382)</f>
        <v/>
      </c>
      <c r="BI1383">
        <f>SUM('19_Расчет_аналитики'!BI1380:BI1382)</f>
        <v/>
      </c>
      <c r="BJ1383">
        <f>SUM('19_Расчет_аналитики'!BJ1380:BJ1382)</f>
        <v/>
      </c>
      <c r="BK1383">
        <f>SUM('19_Расчет_аналитики'!BK1380:BK1382)</f>
        <v/>
      </c>
      <c r="BL1383">
        <f>SUM('19_Расчет_аналитики'!BL1380:BL1382)</f>
        <v/>
      </c>
      <c r="BM1383">
        <f>SUM('19_Расчет_аналитики'!BM1380:BM1382)</f>
        <v/>
      </c>
      <c r="BN1383">
        <f>SUM('19_Расчет_аналитики'!BN1380:BN1382)</f>
        <v/>
      </c>
      <c r="BO1383">
        <f>SUM('19_Расчет_аналитики'!BO1380:BO1382)</f>
        <v/>
      </c>
    </row>
    <row r="1384">
      <c r="B1384">
        <f>'06_Сеть_и_дети'!B11+'19_Расчет_аналитики'!B1383</f>
        <v/>
      </c>
      <c r="C1384">
        <f>'06_Сеть_и_дети'!C11+'19_Расчет_аналитики'!C1383</f>
        <v/>
      </c>
      <c r="D1384">
        <f>'06_Сеть_и_дети'!D11+'19_Расчет_аналитики'!D1383</f>
        <v/>
      </c>
      <c r="E1384">
        <f>'06_Сеть_и_дети'!E11+'19_Расчет_аналитики'!E1383</f>
        <v/>
      </c>
      <c r="F1384">
        <f>'06_Сеть_и_дети'!F11+'19_Расчет_аналитики'!F1383</f>
        <v/>
      </c>
      <c r="G1384">
        <f>'06_Сеть_и_дети'!G11+'19_Расчет_аналитики'!G1383</f>
        <v/>
      </c>
      <c r="H1384">
        <f>'06_Сеть_и_дети'!H11+'19_Расчет_аналитики'!H1383</f>
        <v/>
      </c>
      <c r="I1384">
        <f>'06_Сеть_и_дети'!I11+'19_Расчет_аналитики'!I1383</f>
        <v/>
      </c>
      <c r="J1384">
        <f>'06_Сеть_и_дети'!J11+'19_Расчет_аналитики'!J1383</f>
        <v/>
      </c>
      <c r="K1384">
        <f>'06_Сеть_и_дети'!K11+'19_Расчет_аналитики'!K1383</f>
        <v/>
      </c>
      <c r="L1384">
        <f>'06_Сеть_и_дети'!L11+'19_Расчет_аналитики'!L1383</f>
        <v/>
      </c>
      <c r="M1384">
        <f>'06_Сеть_и_дети'!M11+'19_Расчет_аналитики'!M1383</f>
        <v/>
      </c>
      <c r="N1384">
        <f>'06_Сеть_и_дети'!N11+'19_Расчет_аналитики'!N1383</f>
        <v/>
      </c>
      <c r="O1384">
        <f>'06_Сеть_и_дети'!O11+'19_Расчет_аналитики'!O1383</f>
        <v/>
      </c>
      <c r="P1384">
        <f>'06_Сеть_и_дети'!P11+'19_Расчет_аналитики'!P1383</f>
        <v/>
      </c>
      <c r="Q1384">
        <f>'06_Сеть_и_дети'!Q11+'19_Расчет_аналитики'!Q1383</f>
        <v/>
      </c>
      <c r="R1384">
        <f>'06_Сеть_и_дети'!R11+'19_Расчет_аналитики'!R1383</f>
        <v/>
      </c>
      <c r="S1384">
        <f>'06_Сеть_и_дети'!S11+'19_Расчет_аналитики'!S1383</f>
        <v/>
      </c>
      <c r="T1384">
        <f>'06_Сеть_и_дети'!T11+'19_Расчет_аналитики'!T1383</f>
        <v/>
      </c>
      <c r="U1384">
        <f>'06_Сеть_и_дети'!U11+'19_Расчет_аналитики'!U1383</f>
        <v/>
      </c>
      <c r="V1384">
        <f>'06_Сеть_и_дети'!V11+'19_Расчет_аналитики'!V1383</f>
        <v/>
      </c>
      <c r="W1384">
        <f>'06_Сеть_и_дети'!W11+'19_Расчет_аналитики'!W1383</f>
        <v/>
      </c>
      <c r="X1384">
        <f>'06_Сеть_и_дети'!X11+'19_Расчет_аналитики'!X1383</f>
        <v/>
      </c>
      <c r="Y1384">
        <f>'06_Сеть_и_дети'!Y11+'19_Расчет_аналитики'!Y1383</f>
        <v/>
      </c>
      <c r="Z1384">
        <f>'06_Сеть_и_дети'!Z11+'19_Расчет_аналитики'!Z1383</f>
        <v/>
      </c>
      <c r="AA1384">
        <f>'06_Сеть_и_дети'!AA11+'19_Расчет_аналитики'!AA1383</f>
        <v/>
      </c>
      <c r="AB1384">
        <f>'06_Сеть_и_дети'!AB11+'19_Расчет_аналитики'!AB1383</f>
        <v/>
      </c>
      <c r="AC1384">
        <f>'06_Сеть_и_дети'!AC11+'19_Расчет_аналитики'!AC1383</f>
        <v/>
      </c>
      <c r="AD1384">
        <f>'06_Сеть_и_дети'!AD11+'19_Расчет_аналитики'!AD1383</f>
        <v/>
      </c>
      <c r="AE1384">
        <f>'06_Сеть_и_дети'!AE11+'19_Расчет_аналитики'!AE1383</f>
        <v/>
      </c>
      <c r="AF1384">
        <f>'06_Сеть_и_дети'!AF11+'19_Расчет_аналитики'!AF1383</f>
        <v/>
      </c>
      <c r="AG1384">
        <f>'06_Сеть_и_дети'!AG11+'19_Расчет_аналитики'!AG1383</f>
        <v/>
      </c>
      <c r="AH1384">
        <f>'06_Сеть_и_дети'!AH11+'19_Расчет_аналитики'!AH1383</f>
        <v/>
      </c>
      <c r="AI1384">
        <f>'06_Сеть_и_дети'!AI11+'19_Расчет_аналитики'!AI1383</f>
        <v/>
      </c>
      <c r="AJ1384">
        <f>'06_Сеть_и_дети'!AJ11+'19_Расчет_аналитики'!AJ1383</f>
        <v/>
      </c>
      <c r="AK1384">
        <f>'06_Сеть_и_дети'!AK11+'19_Расчет_аналитики'!AK1383</f>
        <v/>
      </c>
      <c r="AL1384">
        <f>'06_Сеть_и_дети'!AL11+'19_Расчет_аналитики'!AL1383</f>
        <v/>
      </c>
      <c r="AM1384">
        <f>'06_Сеть_и_дети'!AM11+'19_Расчет_аналитики'!AM1383</f>
        <v/>
      </c>
      <c r="AN1384">
        <f>'06_Сеть_и_дети'!AN11+'19_Расчет_аналитики'!AN1383</f>
        <v/>
      </c>
      <c r="AO1384">
        <f>'06_Сеть_и_дети'!AO11+'19_Расчет_аналитики'!AO1383</f>
        <v/>
      </c>
      <c r="AP1384">
        <f>'06_Сеть_и_дети'!AP11+'19_Расчет_аналитики'!AP1383</f>
        <v/>
      </c>
      <c r="AQ1384">
        <f>'06_Сеть_и_дети'!AQ11+'19_Расчет_аналитики'!AQ1383</f>
        <v/>
      </c>
      <c r="AR1384">
        <f>'06_Сеть_и_дети'!AR11+'19_Расчет_аналитики'!AR1383</f>
        <v/>
      </c>
      <c r="AS1384">
        <f>'06_Сеть_и_дети'!AS11+'19_Расчет_аналитики'!AS1383</f>
        <v/>
      </c>
      <c r="AT1384">
        <f>'06_Сеть_и_дети'!AT11+'19_Расчет_аналитики'!AT1383</f>
        <v/>
      </c>
      <c r="AU1384">
        <f>'06_Сеть_и_дети'!AU11+'19_Расчет_аналитики'!AU1383</f>
        <v/>
      </c>
      <c r="AV1384">
        <f>'06_Сеть_и_дети'!AV11+'19_Расчет_аналитики'!AV1383</f>
        <v/>
      </c>
      <c r="AW1384">
        <f>'06_Сеть_и_дети'!AW11+'19_Расчет_аналитики'!AW1383</f>
        <v/>
      </c>
      <c r="AX1384">
        <f>'06_Сеть_и_дети'!AX11+'19_Расчет_аналитики'!AX1383</f>
        <v/>
      </c>
      <c r="AY1384">
        <f>'06_Сеть_и_дети'!AY11+'19_Расчет_аналитики'!AY1383</f>
        <v/>
      </c>
      <c r="AZ1384">
        <f>'06_Сеть_и_дети'!AZ11+'19_Расчет_аналитики'!AZ1383</f>
        <v/>
      </c>
      <c r="BA1384">
        <f>'06_Сеть_и_дети'!BA11+'19_Расчет_аналитики'!BA1383</f>
        <v/>
      </c>
      <c r="BB1384">
        <f>'06_Сеть_и_дети'!BB11+'19_Расчет_аналитики'!BB1383</f>
        <v/>
      </c>
      <c r="BC1384">
        <f>'06_Сеть_и_дети'!BC11+'19_Расчет_аналитики'!BC1383</f>
        <v/>
      </c>
      <c r="BD1384">
        <f>'06_Сеть_и_дети'!BD11+'19_Расчет_аналитики'!BD1383</f>
        <v/>
      </c>
      <c r="BE1384">
        <f>'06_Сеть_и_дети'!BE11+'19_Расчет_аналитики'!BE1383</f>
        <v/>
      </c>
      <c r="BF1384">
        <f>'06_Сеть_и_дети'!BF11+'19_Расчет_аналитики'!BF1383</f>
        <v/>
      </c>
      <c r="BG1384">
        <f>'06_Сеть_и_дети'!BG11+'19_Расчет_аналитики'!BG1383</f>
        <v/>
      </c>
      <c r="BH1384">
        <f>'06_Сеть_и_дети'!BH11+'19_Расчет_аналитики'!BH1383</f>
        <v/>
      </c>
      <c r="BI1384">
        <f>'06_Сеть_и_дети'!BI11+'19_Расчет_аналитики'!BI1383</f>
        <v/>
      </c>
      <c r="BJ1384">
        <f>'06_Сеть_и_дети'!BJ11+'19_Расчет_аналитики'!BJ1383</f>
        <v/>
      </c>
      <c r="BK1384">
        <f>'06_Сеть_и_дети'!BK11+'19_Расчет_аналитики'!BK1383</f>
        <v/>
      </c>
      <c r="BL1384">
        <f>'06_Сеть_и_дети'!BL11+'19_Расчет_аналитики'!BL1383</f>
        <v/>
      </c>
      <c r="BM1384">
        <f>'06_Сеть_и_дети'!BM11+'19_Расчет_аналитики'!BM1383</f>
        <v/>
      </c>
      <c r="BN1384">
        <f>'06_Сеть_и_дети'!BN11+'19_Расчет_аналитики'!BN1383</f>
        <v/>
      </c>
      <c r="BO1384">
        <f>'06_Сеть_и_дети'!BO11+'19_Расчет_аналитики'!BO1383</f>
        <v/>
      </c>
    </row>
    <row r="1385"/>
    <row r="1386"/>
    <row r="1387"/>
    <row r="1388">
      <c r="B1388">
        <f>SUMPRODUCT('19_Расчет_аналитики'!B1420:B1431,CapacityYear1)*'19_Расчет_аналитики'!$F$1223*'06_Сеть_и_дети'!B5</f>
        <v/>
      </c>
      <c r="C1388">
        <f>SUMPRODUCT('19_Расчет_аналитики'!C1420:C1431,CapacityYear1)*'19_Расчет_аналитики'!$F$1223*'06_Сеть_и_дети'!C5</f>
        <v/>
      </c>
      <c r="D1388">
        <f>SUMPRODUCT('19_Расчет_аналитики'!D1420:D1431,CapacityYear1)*'19_Расчет_аналитики'!$F$1223*'06_Сеть_и_дети'!D5</f>
        <v/>
      </c>
      <c r="E1388">
        <f>SUMPRODUCT('19_Расчет_аналитики'!E1420:E1431,CapacityYear1)*'19_Расчет_аналитики'!$F$1223*'06_Сеть_и_дети'!E5</f>
        <v/>
      </c>
      <c r="F1388">
        <f>SUMPRODUCT('19_Расчет_аналитики'!F1420:F1431,CapacityYear1)*'19_Расчет_аналитики'!$F$1223*'06_Сеть_и_дети'!F5</f>
        <v/>
      </c>
      <c r="G1388">
        <f>SUMPRODUCT('19_Расчет_аналитики'!G1420:G1431,CapacityYear1)*'19_Расчет_аналитики'!$F$1223*'06_Сеть_и_дети'!G5</f>
        <v/>
      </c>
      <c r="H1388">
        <f>SUMPRODUCT('19_Расчет_аналитики'!H1420:H1431,CapacityYear1)*'19_Расчет_аналитики'!$F$1223*'06_Сеть_и_дети'!H5</f>
        <v/>
      </c>
      <c r="I1388">
        <f>SUMPRODUCT('19_Расчет_аналитики'!I1420:I1431,CapacityYear1)*'19_Расчет_аналитики'!$F$1223*'06_Сеть_и_дети'!I5</f>
        <v/>
      </c>
      <c r="J1388">
        <f>SUMPRODUCT('19_Расчет_аналитики'!J1420:J1431,CapacityYear1)*'19_Расчет_аналитики'!$F$1223*'06_Сеть_и_дети'!J5</f>
        <v/>
      </c>
      <c r="K1388">
        <f>SUMPRODUCT('19_Расчет_аналитики'!K1420:K1431,CapacityYear1)*'19_Расчет_аналитики'!$F$1223*'06_Сеть_и_дети'!K5</f>
        <v/>
      </c>
      <c r="L1388">
        <f>SUMPRODUCT('19_Расчет_аналитики'!L1420:L1431,CapacityYear1)*'19_Расчет_аналитики'!$F$1223*'06_Сеть_и_дети'!L5</f>
        <v/>
      </c>
      <c r="M1388">
        <f>SUMPRODUCT('19_Расчет_аналитики'!M1420:M1431,CapacityYear1)*'19_Расчет_аналитики'!$F$1223*'06_Сеть_и_дети'!M5</f>
        <v/>
      </c>
      <c r="N1388">
        <f>SUMPRODUCT('19_Расчет_аналитики'!N1420:N1431,CapacityYear1)*'19_Расчет_аналитики'!$F$1223*'06_Сеть_и_дети'!N5</f>
        <v/>
      </c>
      <c r="O1388">
        <f>SUMPRODUCT('19_Расчет_аналитики'!O1420:O1431,CapacityYear1)*'19_Расчет_аналитики'!$F$1223*'06_Сеть_и_дети'!O5</f>
        <v/>
      </c>
      <c r="P1388">
        <f>SUMPRODUCT('19_Расчет_аналитики'!P1420:P1431,CapacityYear1)*'19_Расчет_аналитики'!$F$1223*'06_Сеть_и_дети'!P5</f>
        <v/>
      </c>
      <c r="Q1388">
        <f>SUMPRODUCT('19_Расчет_аналитики'!Q1420:Q1431,CapacityYear1)*'19_Расчет_аналитики'!$F$1223*'06_Сеть_и_дети'!Q5</f>
        <v/>
      </c>
      <c r="R1388">
        <f>SUMPRODUCT('19_Расчет_аналитики'!R1420:R1431,CapacityYear1)*'19_Расчет_аналитики'!$F$1223*'06_Сеть_и_дети'!R5</f>
        <v/>
      </c>
      <c r="S1388">
        <f>SUMPRODUCT('19_Расчет_аналитики'!S1420:S1431,CapacityYear1)*'19_Расчет_аналитики'!$F$1223*'06_Сеть_и_дети'!S5</f>
        <v/>
      </c>
      <c r="T1388">
        <f>SUMPRODUCT('19_Расчет_аналитики'!T1420:T1431,CapacityYear1)*'19_Расчет_аналитики'!$F$1223*'06_Сеть_и_дети'!T5</f>
        <v/>
      </c>
      <c r="U1388">
        <f>SUMPRODUCT('19_Расчет_аналитики'!U1420:U1431,CapacityYear1)*'19_Расчет_аналитики'!$F$1223*'06_Сеть_и_дети'!U5</f>
        <v/>
      </c>
      <c r="V1388">
        <f>SUMPRODUCT('19_Расчет_аналитики'!V1420:V1431,CapacityYear1)*'19_Расчет_аналитики'!$F$1223*'06_Сеть_и_дети'!V5</f>
        <v/>
      </c>
      <c r="W1388">
        <f>SUMPRODUCT('19_Расчет_аналитики'!W1420:W1431,CapacityYear1)*'19_Расчет_аналитики'!$F$1223*'06_Сеть_и_дети'!W5</f>
        <v/>
      </c>
      <c r="X1388">
        <f>SUMPRODUCT('19_Расчет_аналитики'!X1420:X1431,CapacityYear1)*'19_Расчет_аналитики'!$F$1223*'06_Сеть_и_дети'!X5</f>
        <v/>
      </c>
      <c r="Y1388">
        <f>SUMPRODUCT('19_Расчет_аналитики'!Y1420:Y1431,CapacityYear1)*'19_Расчет_аналитики'!$F$1223*'06_Сеть_и_дети'!Y5</f>
        <v/>
      </c>
      <c r="Z1388">
        <f>SUMPRODUCT('19_Расчет_аналитики'!Z1420:Z1431,CapacityYear1)*'19_Расчет_аналитики'!$F$1223*'06_Сеть_и_дети'!Z5</f>
        <v/>
      </c>
      <c r="AA1388">
        <f>SUMPRODUCT('19_Расчет_аналитики'!AA1420:AA1431,CapacityYear1)*'19_Расчет_аналитики'!$F$1223*'06_Сеть_и_дети'!AA5</f>
        <v/>
      </c>
      <c r="AB1388">
        <f>SUMPRODUCT('19_Расчет_аналитики'!AB1420:AB1431,CapacityYear1)*'19_Расчет_аналитики'!$F$1223*'06_Сеть_и_дети'!AB5</f>
        <v/>
      </c>
      <c r="AC1388">
        <f>SUMPRODUCT('19_Расчет_аналитики'!AC1420:AC1431,CapacityYear1)*'19_Расчет_аналитики'!$F$1223*'06_Сеть_и_дети'!AC5</f>
        <v/>
      </c>
      <c r="AD1388">
        <f>SUMPRODUCT('19_Расчет_аналитики'!AD1420:AD1431,CapacityYear1)*'19_Расчет_аналитики'!$F$1223*'06_Сеть_и_дети'!AD5</f>
        <v/>
      </c>
      <c r="AE1388">
        <f>SUMPRODUCT('19_Расчет_аналитики'!AE1420:AE1431,CapacityYear1)*'19_Расчет_аналитики'!$F$1223*'06_Сеть_и_дети'!AE5</f>
        <v/>
      </c>
      <c r="AF1388">
        <f>SUMPRODUCT('19_Расчет_аналитики'!AF1420:AF1431,CapacityYear1)*'19_Расчет_аналитики'!$F$1223*'06_Сеть_и_дети'!AF5</f>
        <v/>
      </c>
      <c r="AG1388">
        <f>SUMPRODUCT('19_Расчет_аналитики'!AG1420:AG1431,CapacityYear1)*'19_Расчет_аналитики'!$F$1223*'06_Сеть_и_дети'!AG5</f>
        <v/>
      </c>
      <c r="AH1388">
        <f>SUMPRODUCT('19_Расчет_аналитики'!AH1420:AH1431,CapacityYear1)*'19_Расчет_аналитики'!$F$1223*'06_Сеть_и_дети'!AH5</f>
        <v/>
      </c>
      <c r="AI1388">
        <f>SUMPRODUCT('19_Расчет_аналитики'!AI1420:AI1431,CapacityYear1)*'19_Расчет_аналитики'!$F$1223*'06_Сеть_и_дети'!AI5</f>
        <v/>
      </c>
      <c r="AJ1388">
        <f>SUMPRODUCT('19_Расчет_аналитики'!AJ1420:AJ1431,CapacityYear1)*'19_Расчет_аналитики'!$F$1223*'06_Сеть_и_дети'!AJ5</f>
        <v/>
      </c>
      <c r="AK1388">
        <f>SUMPRODUCT('19_Расчет_аналитики'!AK1420:AK1431,CapacityYear1)*'19_Расчет_аналитики'!$F$1223*'06_Сеть_и_дети'!AK5</f>
        <v/>
      </c>
      <c r="AL1388">
        <f>SUMPRODUCT('19_Расчет_аналитики'!AL1420:AL1431,CapacityYear1)*'19_Расчет_аналитики'!$F$1223*'06_Сеть_и_дети'!AL5</f>
        <v/>
      </c>
      <c r="AM1388">
        <f>SUMPRODUCT('19_Расчет_аналитики'!AM1420:AM1431,CapacityYear1)*'19_Расчет_аналитики'!$F$1223*'06_Сеть_и_дети'!AM5</f>
        <v/>
      </c>
      <c r="AN1388">
        <f>SUMPRODUCT('19_Расчет_аналитики'!AN1420:AN1431,CapacityYear1)*'19_Расчет_аналитики'!$F$1223*'06_Сеть_и_дети'!AN5</f>
        <v/>
      </c>
      <c r="AO1388">
        <f>SUMPRODUCT('19_Расчет_аналитики'!AO1420:AO1431,CapacityYear1)*'19_Расчет_аналитики'!$F$1223*'06_Сеть_и_дети'!AO5</f>
        <v/>
      </c>
      <c r="AP1388">
        <f>SUMPRODUCT('19_Расчет_аналитики'!AP1420:AP1431,CapacityYear1)*'19_Расчет_аналитики'!$F$1223*'06_Сеть_и_дети'!AP5</f>
        <v/>
      </c>
      <c r="AQ1388">
        <f>SUMPRODUCT('19_Расчет_аналитики'!AQ1420:AQ1431,CapacityYear1)*'19_Расчет_аналитики'!$F$1223*'06_Сеть_и_дети'!AQ5</f>
        <v/>
      </c>
      <c r="AR1388">
        <f>SUMPRODUCT('19_Расчет_аналитики'!AR1420:AR1431,CapacityYear1)*'19_Расчет_аналитики'!$F$1223*'06_Сеть_и_дети'!AR5</f>
        <v/>
      </c>
      <c r="AS1388">
        <f>SUMPRODUCT('19_Расчет_аналитики'!AS1420:AS1431,CapacityYear1)*'19_Расчет_аналитики'!$F$1223*'06_Сеть_и_дети'!AS5</f>
        <v/>
      </c>
      <c r="AT1388">
        <f>SUMPRODUCT('19_Расчет_аналитики'!AT1420:AT1431,CapacityYear1)*'19_Расчет_аналитики'!$F$1223*'06_Сеть_и_дети'!AT5</f>
        <v/>
      </c>
      <c r="AU1388">
        <f>SUMPRODUCT('19_Расчет_аналитики'!AU1420:AU1431,CapacityYear1)*'19_Расчет_аналитики'!$F$1223*'06_Сеть_и_дети'!AU5</f>
        <v/>
      </c>
      <c r="AV1388">
        <f>SUMPRODUCT('19_Расчет_аналитики'!AV1420:AV1431,CapacityYear1)*'19_Расчет_аналитики'!$F$1223*'06_Сеть_и_дети'!AV5</f>
        <v/>
      </c>
      <c r="AW1388">
        <f>SUMPRODUCT('19_Расчет_аналитики'!AW1420:AW1431,CapacityYear1)*'19_Расчет_аналитики'!$F$1223*'06_Сеть_и_дети'!AW5</f>
        <v/>
      </c>
      <c r="AX1388">
        <f>SUMPRODUCT('19_Расчет_аналитики'!AX1420:AX1431,CapacityYear1)*'19_Расчет_аналитики'!$F$1223*'06_Сеть_и_дети'!AX5</f>
        <v/>
      </c>
      <c r="AY1388">
        <f>SUMPRODUCT('19_Расчет_аналитики'!AY1420:AY1431,CapacityYear1)*'19_Расчет_аналитики'!$F$1223*'06_Сеть_и_дети'!AY5</f>
        <v/>
      </c>
      <c r="AZ1388">
        <f>SUMPRODUCT('19_Расчет_аналитики'!AZ1420:AZ1431,CapacityYear1)*'19_Расчет_аналитики'!$F$1223*'06_Сеть_и_дети'!AZ5</f>
        <v/>
      </c>
      <c r="BA1388">
        <f>SUMPRODUCT('19_Расчет_аналитики'!BA1420:BA1431,CapacityYear1)*'19_Расчет_аналитики'!$F$1223*'06_Сеть_и_дети'!BA5</f>
        <v/>
      </c>
      <c r="BB1388">
        <f>SUMPRODUCT('19_Расчет_аналитики'!BB1420:BB1431,CapacityYear1)*'19_Расчет_аналитики'!$F$1223*'06_Сеть_и_дети'!BB5</f>
        <v/>
      </c>
      <c r="BC1388">
        <f>SUMPRODUCT('19_Расчет_аналитики'!BC1420:BC1431,CapacityYear1)*'19_Расчет_аналитики'!$F$1223*'06_Сеть_и_дети'!BC5</f>
        <v/>
      </c>
      <c r="BD1388">
        <f>SUMPRODUCT('19_Расчет_аналитики'!BD1420:BD1431,CapacityYear1)*'19_Расчет_аналитики'!$F$1223*'06_Сеть_и_дети'!BD5</f>
        <v/>
      </c>
      <c r="BE1388">
        <f>SUMPRODUCT('19_Расчет_аналитики'!BE1420:BE1431,CapacityYear1)*'19_Расчет_аналитики'!$F$1223*'06_Сеть_и_дети'!BE5</f>
        <v/>
      </c>
      <c r="BF1388">
        <f>SUMPRODUCT('19_Расчет_аналитики'!BF1420:BF1431,CapacityYear1)*'19_Расчет_аналитики'!$F$1223*'06_Сеть_и_дети'!BF5</f>
        <v/>
      </c>
      <c r="BG1388">
        <f>SUMPRODUCT('19_Расчет_аналитики'!BG1420:BG1431,CapacityYear1)*'19_Расчет_аналитики'!$F$1223*'06_Сеть_и_дети'!BG5</f>
        <v/>
      </c>
      <c r="BH1388">
        <f>SUMPRODUCT('19_Расчет_аналитики'!BH1420:BH1431,CapacityYear1)*'19_Расчет_аналитики'!$F$1223*'06_Сеть_и_дети'!BH5</f>
        <v/>
      </c>
      <c r="BI1388">
        <f>SUMPRODUCT('19_Расчет_аналитики'!BI1420:BI1431,CapacityYear1)*'19_Расчет_аналитики'!$F$1223*'06_Сеть_и_дети'!BI5</f>
        <v/>
      </c>
      <c r="BJ1388">
        <f>SUMPRODUCT('19_Расчет_аналитики'!BJ1420:BJ1431,CapacityYear1)*'19_Расчет_аналитики'!$F$1223*'06_Сеть_и_дети'!BJ5</f>
        <v/>
      </c>
      <c r="BK1388">
        <f>SUMPRODUCT('19_Расчет_аналитики'!BK1420:BK1431,CapacityYear1)*'19_Расчет_аналитики'!$F$1223*'06_Сеть_и_дети'!BK5</f>
        <v/>
      </c>
      <c r="BL1388">
        <f>SUMPRODUCT('19_Расчет_аналитики'!BL1420:BL1431,CapacityYear1)*'19_Расчет_аналитики'!$F$1223*'06_Сеть_и_дети'!BL5</f>
        <v/>
      </c>
      <c r="BM1388">
        <f>SUMPRODUCT('19_Расчет_аналитики'!BM1420:BM1431,CapacityYear1)*'19_Расчет_аналитики'!$F$1223*'06_Сеть_и_дети'!BM5</f>
        <v/>
      </c>
      <c r="BN1388">
        <f>SUMPRODUCT('19_Расчет_аналитики'!BN1420:BN1431,CapacityYear1)*'19_Расчет_аналитики'!$F$1223*'06_Сеть_и_дети'!BN5</f>
        <v/>
      </c>
      <c r="BO1388">
        <f>SUMPRODUCT('19_Расчет_аналитики'!BO1420:BO1431,CapacityYear1)*'19_Расчет_аналитики'!$F$1223*'06_Сеть_и_дети'!BO5</f>
        <v/>
      </c>
    </row>
    <row r="1389">
      <c r="B1389">
        <f>SUMPRODUCT('06_Сеть_и_дети'!B65:B76,CapacityYear2)*'19_Расчет_аналитики'!$F$1223*'06_Сеть_и_дети'!B5</f>
        <v/>
      </c>
      <c r="C1389">
        <f>SUMPRODUCT('06_Сеть_и_дети'!C65:C76,CapacityYear2)*'19_Расчет_аналитики'!$F$1223*'06_Сеть_и_дети'!C5</f>
        <v/>
      </c>
      <c r="D1389">
        <f>SUMPRODUCT('06_Сеть_и_дети'!D65:D76,CapacityYear2)*'19_Расчет_аналитики'!$F$1223*'06_Сеть_и_дети'!D5</f>
        <v/>
      </c>
      <c r="E1389">
        <f>SUMPRODUCT('06_Сеть_и_дети'!E65:E76,CapacityYear2)*'19_Расчет_аналитики'!$F$1223*'06_Сеть_и_дети'!E5</f>
        <v/>
      </c>
      <c r="F1389">
        <f>SUMPRODUCT('06_Сеть_и_дети'!F65:F76,CapacityYear2)*'19_Расчет_аналитики'!$F$1223*'06_Сеть_и_дети'!F5</f>
        <v/>
      </c>
      <c r="G1389">
        <f>SUMPRODUCT('06_Сеть_и_дети'!G65:G76,CapacityYear2)*'19_Расчет_аналитики'!$F$1223*'06_Сеть_и_дети'!G5</f>
        <v/>
      </c>
      <c r="H1389">
        <f>SUMPRODUCT('06_Сеть_и_дети'!H65:H76,CapacityYear2)*'19_Расчет_аналитики'!$F$1223*'06_Сеть_и_дети'!H5</f>
        <v/>
      </c>
      <c r="I1389">
        <f>SUMPRODUCT('06_Сеть_и_дети'!I65:I76,CapacityYear2)*'19_Расчет_аналитики'!$F$1223*'06_Сеть_и_дети'!I5</f>
        <v/>
      </c>
      <c r="J1389">
        <f>SUMPRODUCT('06_Сеть_и_дети'!J65:J76,CapacityYear2)*'19_Расчет_аналитики'!$F$1223*'06_Сеть_и_дети'!J5</f>
        <v/>
      </c>
      <c r="K1389">
        <f>SUMPRODUCT('06_Сеть_и_дети'!K65:K76,CapacityYear2)*'19_Расчет_аналитики'!$F$1223*'06_Сеть_и_дети'!K5</f>
        <v/>
      </c>
      <c r="L1389">
        <f>SUMPRODUCT('06_Сеть_и_дети'!L65:L76,CapacityYear2)*'19_Расчет_аналитики'!$F$1223*'06_Сеть_и_дети'!L5</f>
        <v/>
      </c>
      <c r="M1389">
        <f>SUMPRODUCT('06_Сеть_и_дети'!M65:M76,CapacityYear2)*'19_Расчет_аналитики'!$F$1223*'06_Сеть_и_дети'!M5</f>
        <v/>
      </c>
      <c r="N1389">
        <f>SUMPRODUCT('19_Расчет_аналитики'!N1432:N1443,CapacityYear2)*'19_Расчет_аналитики'!$F$1223*'06_Сеть_и_дети'!N5</f>
        <v/>
      </c>
      <c r="O1389">
        <f>SUMPRODUCT('19_Расчет_аналитики'!O1432:O1443,CapacityYear2)*'19_Расчет_аналитики'!$F$1223*'06_Сеть_и_дети'!O5</f>
        <v/>
      </c>
      <c r="P1389">
        <f>SUMPRODUCT('19_Расчет_аналитики'!P1432:P1443,CapacityYear2)*'19_Расчет_аналитики'!$F$1223*'06_Сеть_и_дети'!P5</f>
        <v/>
      </c>
      <c r="Q1389">
        <f>SUMPRODUCT('19_Расчет_аналитики'!Q1432:Q1443,CapacityYear2)*'19_Расчет_аналитики'!$F$1223*'06_Сеть_и_дети'!Q5</f>
        <v/>
      </c>
      <c r="R1389">
        <f>SUMPRODUCT('19_Расчет_аналитики'!R1432:R1443,CapacityYear2)*'19_Расчет_аналитики'!$F$1223*'06_Сеть_и_дети'!R5</f>
        <v/>
      </c>
      <c r="S1389">
        <f>SUMPRODUCT('19_Расчет_аналитики'!S1432:S1443,CapacityYear2)*'19_Расчет_аналитики'!$F$1223*'06_Сеть_и_дети'!S5</f>
        <v/>
      </c>
      <c r="T1389">
        <f>SUMPRODUCT('19_Расчет_аналитики'!T1432:T1443,CapacityYear2)*'19_Расчет_аналитики'!$F$1223*'06_Сеть_и_дети'!T5</f>
        <v/>
      </c>
      <c r="U1389">
        <f>SUMPRODUCT('19_Расчет_аналитики'!U1432:U1443,CapacityYear2)*'19_Расчет_аналитики'!$F$1223*'06_Сеть_и_дети'!U5</f>
        <v/>
      </c>
      <c r="V1389">
        <f>SUMPRODUCT('19_Расчет_аналитики'!V1432:V1443,CapacityYear2)*'19_Расчет_аналитики'!$F$1223*'06_Сеть_и_дети'!V5</f>
        <v/>
      </c>
      <c r="W1389">
        <f>SUMPRODUCT('19_Расчет_аналитики'!W1432:W1443,CapacityYear2)*'19_Расчет_аналитики'!$F$1223*'06_Сеть_и_дети'!W5</f>
        <v/>
      </c>
      <c r="X1389">
        <f>SUMPRODUCT('19_Расчет_аналитики'!X1432:X1443,CapacityYear2)*'19_Расчет_аналитики'!$F$1223*'06_Сеть_и_дети'!X5</f>
        <v/>
      </c>
      <c r="Y1389">
        <f>SUMPRODUCT('19_Расчет_аналитики'!Y1432:Y1443,CapacityYear2)*'19_Расчет_аналитики'!$F$1223*'06_Сеть_и_дети'!Y5</f>
        <v/>
      </c>
      <c r="Z1389">
        <f>SUMPRODUCT('19_Расчет_аналитики'!Z1432:Z1443,CapacityYear2)*'19_Расчет_аналитики'!$F$1223*'06_Сеть_и_дети'!Z5</f>
        <v/>
      </c>
      <c r="AA1389">
        <f>SUMPRODUCT('19_Расчет_аналитики'!AA1432:AA1443,CapacityYear2)*'19_Расчет_аналитики'!$F$1223*'06_Сеть_и_дети'!AA5</f>
        <v/>
      </c>
      <c r="AB1389">
        <f>SUMPRODUCT('19_Расчет_аналитики'!AB1432:AB1443,CapacityYear2)*'19_Расчет_аналитики'!$F$1223*'06_Сеть_и_дети'!AB5</f>
        <v/>
      </c>
      <c r="AC1389">
        <f>SUMPRODUCT('19_Расчет_аналитики'!AC1432:AC1443,CapacityYear2)*'19_Расчет_аналитики'!$F$1223*'06_Сеть_и_дети'!AC5</f>
        <v/>
      </c>
      <c r="AD1389">
        <f>SUMPRODUCT('19_Расчет_аналитики'!AD1432:AD1443,CapacityYear2)*'19_Расчет_аналитики'!$F$1223*'06_Сеть_и_дети'!AD5</f>
        <v/>
      </c>
      <c r="AE1389">
        <f>SUMPRODUCT('19_Расчет_аналитики'!AE1432:AE1443,CapacityYear2)*'19_Расчет_аналитики'!$F$1223*'06_Сеть_и_дети'!AE5</f>
        <v/>
      </c>
      <c r="AF1389">
        <f>SUMPRODUCT('19_Расчет_аналитики'!AF1432:AF1443,CapacityYear2)*'19_Расчет_аналитики'!$F$1223*'06_Сеть_и_дети'!AF5</f>
        <v/>
      </c>
      <c r="AG1389">
        <f>SUMPRODUCT('19_Расчет_аналитики'!AG1432:AG1443,CapacityYear2)*'19_Расчет_аналитики'!$F$1223*'06_Сеть_и_дети'!AG5</f>
        <v/>
      </c>
      <c r="AH1389">
        <f>SUMPRODUCT('19_Расчет_аналитики'!AH1432:AH1443,CapacityYear2)*'19_Расчет_аналитики'!$F$1223*'06_Сеть_и_дети'!AH5</f>
        <v/>
      </c>
      <c r="AI1389">
        <f>SUMPRODUCT('19_Расчет_аналитики'!AI1432:AI1443,CapacityYear2)*'19_Расчет_аналитики'!$F$1223*'06_Сеть_и_дети'!AI5</f>
        <v/>
      </c>
      <c r="AJ1389">
        <f>SUMPRODUCT('19_Расчет_аналитики'!AJ1432:AJ1443,CapacityYear2)*'19_Расчет_аналитики'!$F$1223*'06_Сеть_и_дети'!AJ5</f>
        <v/>
      </c>
      <c r="AK1389">
        <f>SUMPRODUCT('19_Расчет_аналитики'!AK1432:AK1443,CapacityYear2)*'19_Расчет_аналитики'!$F$1223*'06_Сеть_и_дети'!AK5</f>
        <v/>
      </c>
      <c r="AL1389">
        <f>SUMPRODUCT('19_Расчет_аналитики'!AL1432:AL1443,CapacityYear2)*'19_Расчет_аналитики'!$F$1223*'06_Сеть_и_дети'!AL5</f>
        <v/>
      </c>
      <c r="AM1389">
        <f>SUMPRODUCT('19_Расчет_аналитики'!AM1432:AM1443,CapacityYear2)*'19_Расчет_аналитики'!$F$1223*'06_Сеть_и_дети'!AM5</f>
        <v/>
      </c>
      <c r="AN1389">
        <f>SUMPRODUCT('19_Расчет_аналитики'!AN1432:AN1443,CapacityYear2)*'19_Расчет_аналитики'!$F$1223*'06_Сеть_и_дети'!AN5</f>
        <v/>
      </c>
      <c r="AO1389">
        <f>SUMPRODUCT('19_Расчет_аналитики'!AO1432:AO1443,CapacityYear2)*'19_Расчет_аналитики'!$F$1223*'06_Сеть_и_дети'!AO5</f>
        <v/>
      </c>
      <c r="AP1389">
        <f>SUMPRODUCT('19_Расчет_аналитики'!AP1432:AP1443,CapacityYear2)*'19_Расчет_аналитики'!$F$1223*'06_Сеть_и_дети'!AP5</f>
        <v/>
      </c>
      <c r="AQ1389">
        <f>SUMPRODUCT('19_Расчет_аналитики'!AQ1432:AQ1443,CapacityYear2)*'19_Расчет_аналитики'!$F$1223*'06_Сеть_и_дети'!AQ5</f>
        <v/>
      </c>
      <c r="AR1389">
        <f>SUMPRODUCT('19_Расчет_аналитики'!AR1432:AR1443,CapacityYear2)*'19_Расчет_аналитики'!$F$1223*'06_Сеть_и_дети'!AR5</f>
        <v/>
      </c>
      <c r="AS1389">
        <f>SUMPRODUCT('19_Расчет_аналитики'!AS1432:AS1443,CapacityYear2)*'19_Расчет_аналитики'!$F$1223*'06_Сеть_и_дети'!AS5</f>
        <v/>
      </c>
      <c r="AT1389">
        <f>SUMPRODUCT('19_Расчет_аналитики'!AT1432:AT1443,CapacityYear2)*'19_Расчет_аналитики'!$F$1223*'06_Сеть_и_дети'!AT5</f>
        <v/>
      </c>
      <c r="AU1389">
        <f>SUMPRODUCT('19_Расчет_аналитики'!AU1432:AU1443,CapacityYear2)*'19_Расчет_аналитики'!$F$1223*'06_Сеть_и_дети'!AU5</f>
        <v/>
      </c>
      <c r="AV1389">
        <f>SUMPRODUCT('19_Расчет_аналитики'!AV1432:AV1443,CapacityYear2)*'19_Расчет_аналитики'!$F$1223*'06_Сеть_и_дети'!AV5</f>
        <v/>
      </c>
      <c r="AW1389">
        <f>SUMPRODUCT('19_Расчет_аналитики'!AW1432:AW1443,CapacityYear2)*'19_Расчет_аналитики'!$F$1223*'06_Сеть_и_дети'!AW5</f>
        <v/>
      </c>
      <c r="AX1389">
        <f>SUMPRODUCT('19_Расчет_аналитики'!AX1432:AX1443,CapacityYear2)*'19_Расчет_аналитики'!$F$1223*'06_Сеть_и_дети'!AX5</f>
        <v/>
      </c>
      <c r="AY1389">
        <f>SUMPRODUCT('19_Расчет_аналитики'!AY1432:AY1443,CapacityYear2)*'19_Расчет_аналитики'!$F$1223*'06_Сеть_и_дети'!AY5</f>
        <v/>
      </c>
      <c r="AZ1389">
        <f>SUMPRODUCT('19_Расчет_аналитики'!AZ1432:AZ1443,CapacityYear2)*'19_Расчет_аналитики'!$F$1223*'06_Сеть_и_дети'!AZ5</f>
        <v/>
      </c>
      <c r="BA1389">
        <f>SUMPRODUCT('19_Расчет_аналитики'!BA1432:BA1443,CapacityYear2)*'19_Расчет_аналитики'!$F$1223*'06_Сеть_и_дети'!BA5</f>
        <v/>
      </c>
      <c r="BB1389">
        <f>SUMPRODUCT('19_Расчет_аналитики'!BB1432:BB1443,CapacityYear2)*'19_Расчет_аналитики'!$F$1223*'06_Сеть_и_дети'!BB5</f>
        <v/>
      </c>
      <c r="BC1389">
        <f>SUMPRODUCT('19_Расчет_аналитики'!BC1432:BC1443,CapacityYear2)*'19_Расчет_аналитики'!$F$1223*'06_Сеть_и_дети'!BC5</f>
        <v/>
      </c>
      <c r="BD1389">
        <f>SUMPRODUCT('19_Расчет_аналитики'!BD1432:BD1443,CapacityYear2)*'19_Расчет_аналитики'!$F$1223*'06_Сеть_и_дети'!BD5</f>
        <v/>
      </c>
      <c r="BE1389">
        <f>SUMPRODUCT('19_Расчет_аналитики'!BE1432:BE1443,CapacityYear2)*'19_Расчет_аналитики'!$F$1223*'06_Сеть_и_дети'!BE5</f>
        <v/>
      </c>
      <c r="BF1389">
        <f>SUMPRODUCT('19_Расчет_аналитики'!BF1432:BF1443,CapacityYear2)*'19_Расчет_аналитики'!$F$1223*'06_Сеть_и_дети'!BF5</f>
        <v/>
      </c>
      <c r="BG1389">
        <f>SUMPRODUCT('19_Расчет_аналитики'!BG1432:BG1443,CapacityYear2)*'19_Расчет_аналитики'!$F$1223*'06_Сеть_и_дети'!BG5</f>
        <v/>
      </c>
      <c r="BH1389">
        <f>SUMPRODUCT('19_Расчет_аналитики'!BH1432:BH1443,CapacityYear2)*'19_Расчет_аналитики'!$F$1223*'06_Сеть_и_дети'!BH5</f>
        <v/>
      </c>
      <c r="BI1389">
        <f>SUMPRODUCT('19_Расчет_аналитики'!BI1432:BI1443,CapacityYear2)*'19_Расчет_аналитики'!$F$1223*'06_Сеть_и_дети'!BI5</f>
        <v/>
      </c>
      <c r="BJ1389">
        <f>SUMPRODUCT('19_Расчет_аналитики'!BJ1432:BJ1443,CapacityYear2)*'19_Расчет_аналитики'!$F$1223*'06_Сеть_и_дети'!BJ5</f>
        <v/>
      </c>
      <c r="BK1389">
        <f>SUMPRODUCT('19_Расчет_аналитики'!BK1432:BK1443,CapacityYear2)*'19_Расчет_аналитики'!$F$1223*'06_Сеть_и_дети'!BK5</f>
        <v/>
      </c>
      <c r="BL1389">
        <f>SUMPRODUCT('19_Расчет_аналитики'!BL1432:BL1443,CapacityYear2)*'19_Расчет_аналитики'!$F$1223*'06_Сеть_и_дети'!BL5</f>
        <v/>
      </c>
      <c r="BM1389">
        <f>SUMPRODUCT('19_Расчет_аналитики'!BM1432:BM1443,CapacityYear2)*'19_Расчет_аналитики'!$F$1223*'06_Сеть_и_дети'!BM5</f>
        <v/>
      </c>
      <c r="BN1389">
        <f>SUMPRODUCT('19_Расчет_аналитики'!BN1432:BN1443,CapacityYear2)*'19_Расчет_аналитики'!$F$1223*'06_Сеть_и_дети'!BN5</f>
        <v/>
      </c>
      <c r="BO1389">
        <f>SUMPRODUCT('19_Расчет_аналитики'!BO1432:BO1443,CapacityYear2)*'19_Расчет_аналитики'!$F$1223*'06_Сеть_и_дети'!BO5</f>
        <v/>
      </c>
    </row>
    <row r="1390">
      <c r="B1390">
        <f>'06_Сеть_и_дети'!B77*CapacityAge25*'19_Расчет_аналитики'!$F$1223*'06_Сеть_и_дети'!B5</f>
        <v/>
      </c>
      <c r="C1390">
        <f>'06_Сеть_и_дети'!C77*CapacityAge25*'19_Расчет_аналитики'!$F$1223*'06_Сеть_и_дети'!C5</f>
        <v/>
      </c>
      <c r="D1390">
        <f>'06_Сеть_и_дети'!D77*CapacityAge25*'19_Расчет_аналитики'!$F$1223*'06_Сеть_и_дети'!D5</f>
        <v/>
      </c>
      <c r="E1390">
        <f>'06_Сеть_и_дети'!E77*CapacityAge25*'19_Расчет_аналитики'!$F$1223*'06_Сеть_и_дети'!E5</f>
        <v/>
      </c>
      <c r="F1390">
        <f>'06_Сеть_и_дети'!F77*CapacityAge25*'19_Расчет_аналитики'!$F$1223*'06_Сеть_и_дети'!F5</f>
        <v/>
      </c>
      <c r="G1390">
        <f>'06_Сеть_и_дети'!G77*CapacityAge25*'19_Расчет_аналитики'!$F$1223*'06_Сеть_и_дети'!G5</f>
        <v/>
      </c>
      <c r="H1390">
        <f>'06_Сеть_и_дети'!H77*CapacityAge25*'19_Расчет_аналитики'!$F$1223*'06_Сеть_и_дети'!H5</f>
        <v/>
      </c>
      <c r="I1390">
        <f>'06_Сеть_и_дети'!I77*CapacityAge25*'19_Расчет_аналитики'!$F$1223*'06_Сеть_и_дети'!I5</f>
        <v/>
      </c>
      <c r="J1390">
        <f>'06_Сеть_и_дети'!J77*CapacityAge25*'19_Расчет_аналитики'!$F$1223*'06_Сеть_и_дети'!J5</f>
        <v/>
      </c>
      <c r="K1390">
        <f>'06_Сеть_и_дети'!K77*CapacityAge25*'19_Расчет_аналитики'!$F$1223*'06_Сеть_и_дети'!K5</f>
        <v/>
      </c>
      <c r="L1390">
        <f>'06_Сеть_и_дети'!L77*CapacityAge25*'19_Расчет_аналитики'!$F$1223*'06_Сеть_и_дети'!L5</f>
        <v/>
      </c>
      <c r="M1390">
        <f>'06_Сеть_и_дети'!M77*CapacityAge25*'19_Расчет_аналитики'!$F$1223*'06_Сеть_и_дети'!M5</f>
        <v/>
      </c>
      <c r="N1390">
        <f>'06_Сеть_и_дети'!N77*CapacityAge25*'19_Расчет_аналитики'!$F$1223*'06_Сеть_и_дети'!N5</f>
        <v/>
      </c>
      <c r="O1390">
        <f>'06_Сеть_и_дети'!O77*CapacityAge25*'19_Расчет_аналитики'!$F$1223*'06_Сеть_и_дети'!O5</f>
        <v/>
      </c>
      <c r="P1390">
        <f>'06_Сеть_и_дети'!P77*CapacityAge25*'19_Расчет_аналитики'!$F$1223*'06_Сеть_и_дети'!P5</f>
        <v/>
      </c>
      <c r="Q1390">
        <f>'06_Сеть_и_дети'!Q77*CapacityAge25*'19_Расчет_аналитики'!$F$1223*'06_Сеть_и_дети'!Q5</f>
        <v/>
      </c>
      <c r="R1390">
        <f>'06_Сеть_и_дети'!R77*CapacityAge25*'19_Расчет_аналитики'!$F$1223*'06_Сеть_и_дети'!R5</f>
        <v/>
      </c>
      <c r="S1390">
        <f>'06_Сеть_и_дети'!S77*CapacityAge25*'19_Расчет_аналитики'!$F$1223*'06_Сеть_и_дети'!S5</f>
        <v/>
      </c>
      <c r="T1390">
        <f>'06_Сеть_и_дети'!T77*CapacityAge25*'19_Расчет_аналитики'!$F$1223*'06_Сеть_и_дети'!T5</f>
        <v/>
      </c>
      <c r="U1390">
        <f>'06_Сеть_и_дети'!U77*CapacityAge25*'19_Расчет_аналитики'!$F$1223*'06_Сеть_и_дети'!U5</f>
        <v/>
      </c>
      <c r="V1390">
        <f>'06_Сеть_и_дети'!V77*CapacityAge25*'19_Расчет_аналитики'!$F$1223*'06_Сеть_и_дети'!V5</f>
        <v/>
      </c>
      <c r="W1390">
        <f>'06_Сеть_и_дети'!W77*CapacityAge25*'19_Расчет_аналитики'!$F$1223*'06_Сеть_и_дети'!W5</f>
        <v/>
      </c>
      <c r="X1390">
        <f>'06_Сеть_и_дети'!X77*CapacityAge25*'19_Расчет_аналитики'!$F$1223*'06_Сеть_и_дети'!X5</f>
        <v/>
      </c>
      <c r="Y1390">
        <f>'06_Сеть_и_дети'!Y77*CapacityAge25*'19_Расчет_аналитики'!$F$1223*'06_Сеть_и_дети'!Y5</f>
        <v/>
      </c>
      <c r="Z1390">
        <f>'19_Расчет_аналитики'!Z1444*CapacityAge25*'19_Расчет_аналитики'!$F$1223*'06_Сеть_и_дети'!Z5</f>
        <v/>
      </c>
      <c r="AA1390">
        <f>'19_Расчет_аналитики'!AA1444*CapacityAge25*'19_Расчет_аналитики'!$F$1223*'06_Сеть_и_дети'!AA5</f>
        <v/>
      </c>
      <c r="AB1390">
        <f>'19_Расчет_аналитики'!AB1444*CapacityAge25*'19_Расчет_аналитики'!$F$1223*'06_Сеть_и_дети'!AB5</f>
        <v/>
      </c>
      <c r="AC1390">
        <f>'19_Расчет_аналитики'!AC1444*CapacityAge25*'19_Расчет_аналитики'!$F$1223*'06_Сеть_и_дети'!AC5</f>
        <v/>
      </c>
      <c r="AD1390">
        <f>'19_Расчет_аналитики'!AD1444*CapacityAge25*'19_Расчет_аналитики'!$F$1223*'06_Сеть_и_дети'!AD5</f>
        <v/>
      </c>
      <c r="AE1390">
        <f>'19_Расчет_аналитики'!AE1444*CapacityAge25*'19_Расчет_аналитики'!$F$1223*'06_Сеть_и_дети'!AE5</f>
        <v/>
      </c>
      <c r="AF1390">
        <f>'19_Расчет_аналитики'!AF1444*CapacityAge25*'19_Расчет_аналитики'!$F$1223*'06_Сеть_и_дети'!AF5</f>
        <v/>
      </c>
      <c r="AG1390">
        <f>'19_Расчет_аналитики'!AG1444*CapacityAge25*'19_Расчет_аналитики'!$F$1223*'06_Сеть_и_дети'!AG5</f>
        <v/>
      </c>
      <c r="AH1390">
        <f>'19_Расчет_аналитики'!AH1444*CapacityAge25*'19_Расчет_аналитики'!$F$1223*'06_Сеть_и_дети'!AH5</f>
        <v/>
      </c>
      <c r="AI1390">
        <f>'19_Расчет_аналитики'!AI1444*CapacityAge25*'19_Расчет_аналитики'!$F$1223*'06_Сеть_и_дети'!AI5</f>
        <v/>
      </c>
      <c r="AJ1390">
        <f>'19_Расчет_аналитики'!AJ1444*CapacityAge25*'19_Расчет_аналитики'!$F$1223*'06_Сеть_и_дети'!AJ5</f>
        <v/>
      </c>
      <c r="AK1390">
        <f>'19_Расчет_аналитики'!AK1444*CapacityAge25*'19_Расчет_аналитики'!$F$1223*'06_Сеть_и_дети'!AK5</f>
        <v/>
      </c>
      <c r="AL1390">
        <f>'19_Расчет_аналитики'!AL1444*CapacityAge25*'19_Расчет_аналитики'!$F$1223*'06_Сеть_и_дети'!AL5</f>
        <v/>
      </c>
      <c r="AM1390">
        <f>'19_Расчет_аналитики'!AM1444*CapacityAge25*'19_Расчет_аналитики'!$F$1223*'06_Сеть_и_дети'!AM5</f>
        <v/>
      </c>
      <c r="AN1390">
        <f>'19_Расчет_аналитики'!AN1444*CapacityAge25*'19_Расчет_аналитики'!$F$1223*'06_Сеть_и_дети'!AN5</f>
        <v/>
      </c>
      <c r="AO1390">
        <f>'19_Расчет_аналитики'!AO1444*CapacityAge25*'19_Расчет_аналитики'!$F$1223*'06_Сеть_и_дети'!AO5</f>
        <v/>
      </c>
      <c r="AP1390">
        <f>'19_Расчет_аналитики'!AP1444*CapacityAge25*'19_Расчет_аналитики'!$F$1223*'06_Сеть_и_дети'!AP5</f>
        <v/>
      </c>
      <c r="AQ1390">
        <f>'19_Расчет_аналитики'!AQ1444*CapacityAge25*'19_Расчет_аналитики'!$F$1223*'06_Сеть_и_дети'!AQ5</f>
        <v/>
      </c>
      <c r="AR1390">
        <f>'19_Расчет_аналитики'!AR1444*CapacityAge25*'19_Расчет_аналитики'!$F$1223*'06_Сеть_и_дети'!AR5</f>
        <v/>
      </c>
      <c r="AS1390">
        <f>'19_Расчет_аналитики'!AS1444*CapacityAge25*'19_Расчет_аналитики'!$F$1223*'06_Сеть_и_дети'!AS5</f>
        <v/>
      </c>
      <c r="AT1390">
        <f>'19_Расчет_аналитики'!AT1444*CapacityAge25*'19_Расчет_аналитики'!$F$1223*'06_Сеть_и_дети'!AT5</f>
        <v/>
      </c>
      <c r="AU1390">
        <f>'19_Расчет_аналитики'!AU1444*CapacityAge25*'19_Расчет_аналитики'!$F$1223*'06_Сеть_и_дети'!AU5</f>
        <v/>
      </c>
      <c r="AV1390">
        <f>'19_Расчет_аналитики'!AV1444*CapacityAge25*'19_Расчет_аналитики'!$F$1223*'06_Сеть_и_дети'!AV5</f>
        <v/>
      </c>
      <c r="AW1390">
        <f>'19_Расчет_аналитики'!AW1444*CapacityAge25*'19_Расчет_аналитики'!$F$1223*'06_Сеть_и_дети'!AW5</f>
        <v/>
      </c>
      <c r="AX1390">
        <f>'19_Расчет_аналитики'!AX1444*CapacityAge25*'19_Расчет_аналитики'!$F$1223*'06_Сеть_и_дети'!AX5</f>
        <v/>
      </c>
      <c r="AY1390">
        <f>'19_Расчет_аналитики'!AY1444*CapacityAge25*'19_Расчет_аналитики'!$F$1223*'06_Сеть_и_дети'!AY5</f>
        <v/>
      </c>
      <c r="AZ1390">
        <f>'19_Расчет_аналитики'!AZ1444*CapacityAge25*'19_Расчет_аналитики'!$F$1223*'06_Сеть_и_дети'!AZ5</f>
        <v/>
      </c>
      <c r="BA1390">
        <f>'19_Расчет_аналитики'!BA1444*CapacityAge25*'19_Расчет_аналитики'!$F$1223*'06_Сеть_и_дети'!BA5</f>
        <v/>
      </c>
      <c r="BB1390">
        <f>'19_Расчет_аналитики'!BB1444*CapacityAge25*'19_Расчет_аналитики'!$F$1223*'06_Сеть_и_дети'!BB5</f>
        <v/>
      </c>
      <c r="BC1390">
        <f>'19_Расчет_аналитики'!BC1444*CapacityAge25*'19_Расчет_аналитики'!$F$1223*'06_Сеть_и_дети'!BC5</f>
        <v/>
      </c>
      <c r="BD1390">
        <f>'19_Расчет_аналитики'!BD1444*CapacityAge25*'19_Расчет_аналитики'!$F$1223*'06_Сеть_и_дети'!BD5</f>
        <v/>
      </c>
      <c r="BE1390">
        <f>'19_Расчет_аналитики'!BE1444*CapacityAge25*'19_Расчет_аналитики'!$F$1223*'06_Сеть_и_дети'!BE5</f>
        <v/>
      </c>
      <c r="BF1390">
        <f>'19_Расчет_аналитики'!BF1444*CapacityAge25*'19_Расчет_аналитики'!$F$1223*'06_Сеть_и_дети'!BF5</f>
        <v/>
      </c>
      <c r="BG1390">
        <f>'19_Расчет_аналитики'!BG1444*CapacityAge25*'19_Расчет_аналитики'!$F$1223*'06_Сеть_и_дети'!BG5</f>
        <v/>
      </c>
      <c r="BH1390">
        <f>'19_Расчет_аналитики'!BH1444*CapacityAge25*'19_Расчет_аналитики'!$F$1223*'06_Сеть_и_дети'!BH5</f>
        <v/>
      </c>
      <c r="BI1390">
        <f>'19_Расчет_аналитики'!BI1444*CapacityAge25*'19_Расчет_аналитики'!$F$1223*'06_Сеть_и_дети'!BI5</f>
        <v/>
      </c>
      <c r="BJ1390">
        <f>'19_Расчет_аналитики'!BJ1444*CapacityAge25*'19_Расчет_аналитики'!$F$1223*'06_Сеть_и_дети'!BJ5</f>
        <v/>
      </c>
      <c r="BK1390">
        <f>'19_Расчет_аналитики'!BK1444*CapacityAge25*'19_Расчет_аналитики'!$F$1223*'06_Сеть_и_дети'!BK5</f>
        <v/>
      </c>
      <c r="BL1390">
        <f>'19_Расчет_аналитики'!BL1444*CapacityAge25*'19_Расчет_аналитики'!$F$1223*'06_Сеть_и_дети'!BL5</f>
        <v/>
      </c>
      <c r="BM1390">
        <f>'19_Расчет_аналитики'!BM1444*CapacityAge25*'19_Расчет_аналитики'!$F$1223*'06_Сеть_и_дети'!BM5</f>
        <v/>
      </c>
      <c r="BN1390">
        <f>'19_Расчет_аналитики'!BN1444*CapacityAge25*'19_Расчет_аналитики'!$F$1223*'06_Сеть_и_дети'!BN5</f>
        <v/>
      </c>
      <c r="BO1390">
        <f>'19_Расчет_аналитики'!BO1444*CapacityAge25*'19_Расчет_аналитики'!$F$1223*'06_Сеть_и_дети'!BO5</f>
        <v/>
      </c>
    </row>
    <row r="1391">
      <c r="B1391">
        <f>SUM('19_Расчет_аналитики'!B1388:B1390)</f>
        <v/>
      </c>
      <c r="C1391">
        <f>SUM('19_Расчет_аналитики'!C1388:C1390)</f>
        <v/>
      </c>
      <c r="D1391">
        <f>SUM('19_Расчет_аналитики'!D1388:D1390)</f>
        <v/>
      </c>
      <c r="E1391">
        <f>SUM('19_Расчет_аналитики'!E1388:E1390)</f>
        <v/>
      </c>
      <c r="F1391">
        <f>SUM('19_Расчет_аналитики'!F1388:F1390)</f>
        <v/>
      </c>
      <c r="G1391">
        <f>SUM('19_Расчет_аналитики'!G1388:G1390)</f>
        <v/>
      </c>
      <c r="H1391">
        <f>SUM('19_Расчет_аналитики'!H1388:H1390)</f>
        <v/>
      </c>
      <c r="I1391">
        <f>SUM('19_Расчет_аналитики'!I1388:I1390)</f>
        <v/>
      </c>
      <c r="J1391">
        <f>SUM('19_Расчет_аналитики'!J1388:J1390)</f>
        <v/>
      </c>
      <c r="K1391">
        <f>SUM('19_Расчет_аналитики'!K1388:K1390)</f>
        <v/>
      </c>
      <c r="L1391">
        <f>SUM('19_Расчет_аналитики'!L1388:L1390)</f>
        <v/>
      </c>
      <c r="M1391">
        <f>SUM('19_Расчет_аналитики'!M1388:M1390)</f>
        <v/>
      </c>
      <c r="N1391">
        <f>SUM('19_Расчет_аналитики'!N1388:N1390)</f>
        <v/>
      </c>
      <c r="O1391">
        <f>SUM('19_Расчет_аналитики'!O1388:O1390)</f>
        <v/>
      </c>
      <c r="P1391">
        <f>SUM('19_Расчет_аналитики'!P1388:P1390)</f>
        <v/>
      </c>
      <c r="Q1391">
        <f>SUM('19_Расчет_аналитики'!Q1388:Q1390)</f>
        <v/>
      </c>
      <c r="R1391">
        <f>SUM('19_Расчет_аналитики'!R1388:R1390)</f>
        <v/>
      </c>
      <c r="S1391">
        <f>SUM('19_Расчет_аналитики'!S1388:S1390)</f>
        <v/>
      </c>
      <c r="T1391">
        <f>SUM('19_Расчет_аналитики'!T1388:T1390)</f>
        <v/>
      </c>
      <c r="U1391">
        <f>SUM('19_Расчет_аналитики'!U1388:U1390)</f>
        <v/>
      </c>
      <c r="V1391">
        <f>SUM('19_Расчет_аналитики'!V1388:V1390)</f>
        <v/>
      </c>
      <c r="W1391">
        <f>SUM('19_Расчет_аналитики'!W1388:W1390)</f>
        <v/>
      </c>
      <c r="X1391">
        <f>SUM('19_Расчет_аналитики'!X1388:X1390)</f>
        <v/>
      </c>
      <c r="Y1391">
        <f>SUM('19_Расчет_аналитики'!Y1388:Y1390)</f>
        <v/>
      </c>
      <c r="Z1391">
        <f>SUM('19_Расчет_аналитики'!Z1388:Z1390)</f>
        <v/>
      </c>
      <c r="AA1391">
        <f>SUM('19_Расчет_аналитики'!AA1388:AA1390)</f>
        <v/>
      </c>
      <c r="AB1391">
        <f>SUM('19_Расчет_аналитики'!AB1388:AB1390)</f>
        <v/>
      </c>
      <c r="AC1391">
        <f>SUM('19_Расчет_аналитики'!AC1388:AC1390)</f>
        <v/>
      </c>
      <c r="AD1391">
        <f>SUM('19_Расчет_аналитики'!AD1388:AD1390)</f>
        <v/>
      </c>
      <c r="AE1391">
        <f>SUM('19_Расчет_аналитики'!AE1388:AE1390)</f>
        <v/>
      </c>
      <c r="AF1391">
        <f>SUM('19_Расчет_аналитики'!AF1388:AF1390)</f>
        <v/>
      </c>
      <c r="AG1391">
        <f>SUM('19_Расчет_аналитики'!AG1388:AG1390)</f>
        <v/>
      </c>
      <c r="AH1391">
        <f>SUM('19_Расчет_аналитики'!AH1388:AH1390)</f>
        <v/>
      </c>
      <c r="AI1391">
        <f>SUM('19_Расчет_аналитики'!AI1388:AI1390)</f>
        <v/>
      </c>
      <c r="AJ1391">
        <f>SUM('19_Расчет_аналитики'!AJ1388:AJ1390)</f>
        <v/>
      </c>
      <c r="AK1391">
        <f>SUM('19_Расчет_аналитики'!AK1388:AK1390)</f>
        <v/>
      </c>
      <c r="AL1391">
        <f>SUM('19_Расчет_аналитики'!AL1388:AL1390)</f>
        <v/>
      </c>
      <c r="AM1391">
        <f>SUM('19_Расчет_аналитики'!AM1388:AM1390)</f>
        <v/>
      </c>
      <c r="AN1391">
        <f>SUM('19_Расчет_аналитики'!AN1388:AN1390)</f>
        <v/>
      </c>
      <c r="AO1391">
        <f>SUM('19_Расчет_аналитики'!AO1388:AO1390)</f>
        <v/>
      </c>
      <c r="AP1391">
        <f>SUM('19_Расчет_аналитики'!AP1388:AP1390)</f>
        <v/>
      </c>
      <c r="AQ1391">
        <f>SUM('19_Расчет_аналитики'!AQ1388:AQ1390)</f>
        <v/>
      </c>
      <c r="AR1391">
        <f>SUM('19_Расчет_аналитики'!AR1388:AR1390)</f>
        <v/>
      </c>
      <c r="AS1391">
        <f>SUM('19_Расчет_аналитики'!AS1388:AS1390)</f>
        <v/>
      </c>
      <c r="AT1391">
        <f>SUM('19_Расчет_аналитики'!AT1388:AT1390)</f>
        <v/>
      </c>
      <c r="AU1391">
        <f>SUM('19_Расчет_аналитики'!AU1388:AU1390)</f>
        <v/>
      </c>
      <c r="AV1391">
        <f>SUM('19_Расчет_аналитики'!AV1388:AV1390)</f>
        <v/>
      </c>
      <c r="AW1391">
        <f>SUM('19_Расчет_аналитики'!AW1388:AW1390)</f>
        <v/>
      </c>
      <c r="AX1391">
        <f>SUM('19_Расчет_аналитики'!AX1388:AX1390)</f>
        <v/>
      </c>
      <c r="AY1391">
        <f>SUM('19_Расчет_аналитики'!AY1388:AY1390)</f>
        <v/>
      </c>
      <c r="AZ1391">
        <f>SUM('19_Расчет_аналитики'!AZ1388:AZ1390)</f>
        <v/>
      </c>
      <c r="BA1391">
        <f>SUM('19_Расчет_аналитики'!BA1388:BA1390)</f>
        <v/>
      </c>
      <c r="BB1391">
        <f>SUM('19_Расчет_аналитики'!BB1388:BB1390)</f>
        <v/>
      </c>
      <c r="BC1391">
        <f>SUM('19_Расчет_аналитики'!BC1388:BC1390)</f>
        <v/>
      </c>
      <c r="BD1391">
        <f>SUM('19_Расчет_аналитики'!BD1388:BD1390)</f>
        <v/>
      </c>
      <c r="BE1391">
        <f>SUM('19_Расчет_аналитики'!BE1388:BE1390)</f>
        <v/>
      </c>
      <c r="BF1391">
        <f>SUM('19_Расчет_аналитики'!BF1388:BF1390)</f>
        <v/>
      </c>
      <c r="BG1391">
        <f>SUM('19_Расчет_аналитики'!BG1388:BG1390)</f>
        <v/>
      </c>
      <c r="BH1391">
        <f>SUM('19_Расчет_аналитики'!BH1388:BH1390)</f>
        <v/>
      </c>
      <c r="BI1391">
        <f>SUM('19_Расчет_аналитики'!BI1388:BI1390)</f>
        <v/>
      </c>
      <c r="BJ1391">
        <f>SUM('19_Расчет_аналитики'!BJ1388:BJ1390)</f>
        <v/>
      </c>
      <c r="BK1391">
        <f>SUM('19_Расчет_аналитики'!BK1388:BK1390)</f>
        <v/>
      </c>
      <c r="BL1391">
        <f>SUM('19_Расчет_аналитики'!BL1388:BL1390)</f>
        <v/>
      </c>
      <c r="BM1391">
        <f>SUM('19_Расчет_аналитики'!BM1388:BM1390)</f>
        <v/>
      </c>
      <c r="BN1391">
        <f>SUM('19_Расчет_аналитики'!BN1388:BN1390)</f>
        <v/>
      </c>
      <c r="BO1391">
        <f>SUM('19_Расчет_аналитики'!BO1388:BO1390)</f>
        <v/>
      </c>
    </row>
    <row r="1392">
      <c r="B1392">
        <f>'06_Сеть_и_дети'!B20+'19_Расчет_аналитики'!B1391</f>
        <v/>
      </c>
      <c r="C1392">
        <f>'06_Сеть_и_дети'!C20+'19_Расчет_аналитики'!C1391</f>
        <v/>
      </c>
      <c r="D1392">
        <f>'06_Сеть_и_дети'!D20+'19_Расчет_аналитики'!D1391</f>
        <v/>
      </c>
      <c r="E1392">
        <f>'06_Сеть_и_дети'!E20+'19_Расчет_аналитики'!E1391</f>
        <v/>
      </c>
      <c r="F1392">
        <f>'06_Сеть_и_дети'!F20+'19_Расчет_аналитики'!F1391</f>
        <v/>
      </c>
      <c r="G1392">
        <f>'06_Сеть_и_дети'!G20+'19_Расчет_аналитики'!G1391</f>
        <v/>
      </c>
      <c r="H1392">
        <f>'06_Сеть_и_дети'!H20+'19_Расчет_аналитики'!H1391</f>
        <v/>
      </c>
      <c r="I1392">
        <f>'06_Сеть_и_дети'!I20+'19_Расчет_аналитики'!I1391</f>
        <v/>
      </c>
      <c r="J1392">
        <f>'06_Сеть_и_дети'!J20+'19_Расчет_аналитики'!J1391</f>
        <v/>
      </c>
      <c r="K1392">
        <f>'06_Сеть_и_дети'!K20+'19_Расчет_аналитики'!K1391</f>
        <v/>
      </c>
      <c r="L1392">
        <f>'06_Сеть_и_дети'!L20+'19_Расчет_аналитики'!L1391</f>
        <v/>
      </c>
      <c r="M1392">
        <f>'06_Сеть_и_дети'!M20+'19_Расчет_аналитики'!M1391</f>
        <v/>
      </c>
      <c r="N1392">
        <f>'06_Сеть_и_дети'!N20+'19_Расчет_аналитики'!N1391</f>
        <v/>
      </c>
      <c r="O1392">
        <f>'06_Сеть_и_дети'!O20+'19_Расчет_аналитики'!O1391</f>
        <v/>
      </c>
      <c r="P1392">
        <f>'06_Сеть_и_дети'!P20+'19_Расчет_аналитики'!P1391</f>
        <v/>
      </c>
      <c r="Q1392">
        <f>'06_Сеть_и_дети'!Q20+'19_Расчет_аналитики'!Q1391</f>
        <v/>
      </c>
      <c r="R1392">
        <f>'06_Сеть_и_дети'!R20+'19_Расчет_аналитики'!R1391</f>
        <v/>
      </c>
      <c r="S1392">
        <f>'06_Сеть_и_дети'!S20+'19_Расчет_аналитики'!S1391</f>
        <v/>
      </c>
      <c r="T1392">
        <f>'06_Сеть_и_дети'!T20+'19_Расчет_аналитики'!T1391</f>
        <v/>
      </c>
      <c r="U1392">
        <f>'06_Сеть_и_дети'!U20+'19_Расчет_аналитики'!U1391</f>
        <v/>
      </c>
      <c r="V1392">
        <f>'06_Сеть_и_дети'!V20+'19_Расчет_аналитики'!V1391</f>
        <v/>
      </c>
      <c r="W1392">
        <f>'06_Сеть_и_дети'!W20+'19_Расчет_аналитики'!W1391</f>
        <v/>
      </c>
      <c r="X1392">
        <f>'06_Сеть_и_дети'!X20+'19_Расчет_аналитики'!X1391</f>
        <v/>
      </c>
      <c r="Y1392">
        <f>'06_Сеть_и_дети'!Y20+'19_Расчет_аналитики'!Y1391</f>
        <v/>
      </c>
      <c r="Z1392">
        <f>'06_Сеть_и_дети'!Z20+'19_Расчет_аналитики'!Z1391</f>
        <v/>
      </c>
      <c r="AA1392">
        <f>'06_Сеть_и_дети'!AA20+'19_Расчет_аналитики'!AA1391</f>
        <v/>
      </c>
      <c r="AB1392">
        <f>'06_Сеть_и_дети'!AB20+'19_Расчет_аналитики'!AB1391</f>
        <v/>
      </c>
      <c r="AC1392">
        <f>'06_Сеть_и_дети'!AC20+'19_Расчет_аналитики'!AC1391</f>
        <v/>
      </c>
      <c r="AD1392">
        <f>'06_Сеть_и_дети'!AD20+'19_Расчет_аналитики'!AD1391</f>
        <v/>
      </c>
      <c r="AE1392">
        <f>'06_Сеть_и_дети'!AE20+'19_Расчет_аналитики'!AE1391</f>
        <v/>
      </c>
      <c r="AF1392">
        <f>'06_Сеть_и_дети'!AF20+'19_Расчет_аналитики'!AF1391</f>
        <v/>
      </c>
      <c r="AG1392">
        <f>'06_Сеть_и_дети'!AG20+'19_Расчет_аналитики'!AG1391</f>
        <v/>
      </c>
      <c r="AH1392">
        <f>'06_Сеть_и_дети'!AH20+'19_Расчет_аналитики'!AH1391</f>
        <v/>
      </c>
      <c r="AI1392">
        <f>'06_Сеть_и_дети'!AI20+'19_Расчет_аналитики'!AI1391</f>
        <v/>
      </c>
      <c r="AJ1392">
        <f>'06_Сеть_и_дети'!AJ20+'19_Расчет_аналитики'!AJ1391</f>
        <v/>
      </c>
      <c r="AK1392">
        <f>'06_Сеть_и_дети'!AK20+'19_Расчет_аналитики'!AK1391</f>
        <v/>
      </c>
      <c r="AL1392">
        <f>'06_Сеть_и_дети'!AL20+'19_Расчет_аналитики'!AL1391</f>
        <v/>
      </c>
      <c r="AM1392">
        <f>'06_Сеть_и_дети'!AM20+'19_Расчет_аналитики'!AM1391</f>
        <v/>
      </c>
      <c r="AN1392">
        <f>'06_Сеть_и_дети'!AN20+'19_Расчет_аналитики'!AN1391</f>
        <v/>
      </c>
      <c r="AO1392">
        <f>'06_Сеть_и_дети'!AO20+'19_Расчет_аналитики'!AO1391</f>
        <v/>
      </c>
      <c r="AP1392">
        <f>'06_Сеть_и_дети'!AP20+'19_Расчет_аналитики'!AP1391</f>
        <v/>
      </c>
      <c r="AQ1392">
        <f>'06_Сеть_и_дети'!AQ20+'19_Расчет_аналитики'!AQ1391</f>
        <v/>
      </c>
      <c r="AR1392">
        <f>'06_Сеть_и_дети'!AR20+'19_Расчет_аналитики'!AR1391</f>
        <v/>
      </c>
      <c r="AS1392">
        <f>'06_Сеть_и_дети'!AS20+'19_Расчет_аналитики'!AS1391</f>
        <v/>
      </c>
      <c r="AT1392">
        <f>'06_Сеть_и_дети'!AT20+'19_Расчет_аналитики'!AT1391</f>
        <v/>
      </c>
      <c r="AU1392">
        <f>'06_Сеть_и_дети'!AU20+'19_Расчет_аналитики'!AU1391</f>
        <v/>
      </c>
      <c r="AV1392">
        <f>'06_Сеть_и_дети'!AV20+'19_Расчет_аналитики'!AV1391</f>
        <v/>
      </c>
      <c r="AW1392">
        <f>'06_Сеть_и_дети'!AW20+'19_Расчет_аналитики'!AW1391</f>
        <v/>
      </c>
      <c r="AX1392">
        <f>'06_Сеть_и_дети'!AX20+'19_Расчет_аналитики'!AX1391</f>
        <v/>
      </c>
      <c r="AY1392">
        <f>'06_Сеть_и_дети'!AY20+'19_Расчет_аналитики'!AY1391</f>
        <v/>
      </c>
      <c r="AZ1392">
        <f>'06_Сеть_и_дети'!AZ20+'19_Расчет_аналитики'!AZ1391</f>
        <v/>
      </c>
      <c r="BA1392">
        <f>'06_Сеть_и_дети'!BA20+'19_Расчет_аналитики'!BA1391</f>
        <v/>
      </c>
      <c r="BB1392">
        <f>'06_Сеть_и_дети'!BB20+'19_Расчет_аналитики'!BB1391</f>
        <v/>
      </c>
      <c r="BC1392">
        <f>'06_Сеть_и_дети'!BC20+'19_Расчет_аналитики'!BC1391</f>
        <v/>
      </c>
      <c r="BD1392">
        <f>'06_Сеть_и_дети'!BD20+'19_Расчет_аналитики'!BD1391</f>
        <v/>
      </c>
      <c r="BE1392">
        <f>'06_Сеть_и_дети'!BE20+'19_Расчет_аналитики'!BE1391</f>
        <v/>
      </c>
      <c r="BF1392">
        <f>'06_Сеть_и_дети'!BF20+'19_Расчет_аналитики'!BF1391</f>
        <v/>
      </c>
      <c r="BG1392">
        <f>'06_Сеть_и_дети'!BG20+'19_Расчет_аналитики'!BG1391</f>
        <v/>
      </c>
      <c r="BH1392">
        <f>'06_Сеть_и_дети'!BH20+'19_Расчет_аналитики'!BH1391</f>
        <v/>
      </c>
      <c r="BI1392">
        <f>'06_Сеть_и_дети'!BI20+'19_Расчет_аналитики'!BI1391</f>
        <v/>
      </c>
      <c r="BJ1392">
        <f>'06_Сеть_и_дети'!BJ20+'19_Расчет_аналитики'!BJ1391</f>
        <v/>
      </c>
      <c r="BK1392">
        <f>'06_Сеть_и_дети'!BK20+'19_Расчет_аналитики'!BK1391</f>
        <v/>
      </c>
      <c r="BL1392">
        <f>'06_Сеть_и_дети'!BL20+'19_Расчет_аналитики'!BL1391</f>
        <v/>
      </c>
      <c r="BM1392">
        <f>'06_Сеть_и_дети'!BM20+'19_Расчет_аналитики'!BM1391</f>
        <v/>
      </c>
      <c r="BN1392">
        <f>'06_Сеть_и_дети'!BN20+'19_Расчет_аналитики'!BN1391</f>
        <v/>
      </c>
      <c r="BO1392">
        <f>'06_Сеть_и_дети'!BO20+'19_Расчет_аналитики'!BO1391</f>
        <v/>
      </c>
    </row>
    <row r="1393"/>
    <row r="1394"/>
    <row r="1395">
      <c r="B1395">
        <f>SUMPRODUCT(('01_Вводные'!$D$314:$D$318*'01_Вводные'!$B$314:$B$318*IF('01_Вводные'!$B$9=0,0,'06_Сеть_и_дети'!B11/'01_Вводные'!$B$9)+'06_Сеть_и_дети'!B20*'19_Расчет_аналитики'!B1818*'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1818*'01_Вводные'!$C$314:$C$318*('01_Вводные'!$E$314:$E$318*('06_Сеть_и_дети'!B$3&lt;'01_Вводные'!$B$245)+'01_Вводные'!$B$57*('06_Сеть_и_дети'!B$3&gt;='01_Вводные'!$B$245))))/2)</f>
        <v/>
      </c>
      <c r="C1395">
        <f>SUMPRODUCT(('01_Вводные'!$D$314:$D$318*'01_Вводные'!$B$314:$B$318*IF('01_Вводные'!$B$9=0,0,'06_Сеть_и_дети'!C11/'01_Вводные'!$B$9)+'06_Сеть_и_дети'!C20*'19_Расчет_аналитики'!C1818*'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1818*'01_Вводные'!$C$314:$C$318*('01_Вводные'!$E$314:$E$318*('06_Сеть_и_дети'!C$3&lt;'01_Вводные'!$B$245)+'01_Вводные'!$B$57*('06_Сеть_и_дети'!C$3&gt;='01_Вводные'!$B$245))))/2)</f>
        <v/>
      </c>
      <c r="D1395">
        <f>SUMPRODUCT(('01_Вводные'!$D$314:$D$318*'01_Вводные'!$B$314:$B$318*IF('01_Вводные'!$B$9=0,0,'06_Сеть_и_дети'!D11/'01_Вводные'!$B$9)+'06_Сеть_и_дети'!D20*'19_Расчет_аналитики'!D1818*'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1818*'01_Вводные'!$C$314:$C$318*('01_Вводные'!$E$314:$E$318*('06_Сеть_и_дети'!D$3&lt;'01_Вводные'!$B$245)+'01_Вводные'!$B$57*('06_Сеть_и_дети'!D$3&gt;='01_Вводные'!$B$245))))/2)</f>
        <v/>
      </c>
      <c r="E1395">
        <f>SUMPRODUCT(('01_Вводные'!$D$314:$D$318*'01_Вводные'!$B$314:$B$318*IF('01_Вводные'!$B$9=0,0,'06_Сеть_и_дети'!E11/'01_Вводные'!$B$9)+'06_Сеть_и_дети'!E20*'19_Расчет_аналитики'!E1818*'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1818*'01_Вводные'!$C$314:$C$318*('01_Вводные'!$E$314:$E$318*('06_Сеть_и_дети'!E$3&lt;'01_Вводные'!$B$245)+'01_Вводные'!$B$57*('06_Сеть_и_дети'!E$3&gt;='01_Вводные'!$B$245))))/2)</f>
        <v/>
      </c>
      <c r="F1395">
        <f>SUMPRODUCT(('01_Вводные'!$D$314:$D$318*'01_Вводные'!$B$314:$B$318*IF('01_Вводные'!$B$9=0,0,'06_Сеть_и_дети'!F11/'01_Вводные'!$B$9)+'06_Сеть_и_дети'!F20*'19_Расчет_аналитики'!F1818*'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1818*'01_Вводные'!$C$314:$C$318*('01_Вводные'!$E$314:$E$318*('06_Сеть_и_дети'!F$3&lt;'01_Вводные'!$B$245)+'01_Вводные'!$B$57*('06_Сеть_и_дети'!F$3&gt;='01_Вводные'!$B$245))))/2)</f>
        <v/>
      </c>
      <c r="G1395">
        <f>SUMPRODUCT(('01_Вводные'!$D$314:$D$318*'01_Вводные'!$B$314:$B$318*IF('01_Вводные'!$B$9=0,0,'06_Сеть_и_дети'!G11/'01_Вводные'!$B$9)+'06_Сеть_и_дети'!G20*'19_Расчет_аналитики'!G1818*'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1818*'01_Вводные'!$C$314:$C$318*('01_Вводные'!$E$314:$E$318*('06_Сеть_и_дети'!G$3&lt;'01_Вводные'!$B$245)+'01_Вводные'!$B$57*('06_Сеть_и_дети'!G$3&gt;='01_Вводные'!$B$245))))/2)</f>
        <v/>
      </c>
      <c r="H1395">
        <f>SUMPRODUCT(('01_Вводные'!$D$314:$D$318*'01_Вводные'!$B$314:$B$318*IF('01_Вводные'!$B$9=0,0,'06_Сеть_и_дети'!H11/'01_Вводные'!$B$9)+'06_Сеть_и_дети'!H20*'19_Расчет_аналитики'!H1818*'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1818*'01_Вводные'!$C$314:$C$318*('01_Вводные'!$E$314:$E$318*('06_Сеть_и_дети'!H$3&lt;'01_Вводные'!$B$245)+'01_Вводные'!$B$57*('06_Сеть_и_дети'!H$3&gt;='01_Вводные'!$B$245))))/2)</f>
        <v/>
      </c>
      <c r="I1395">
        <f>SUMPRODUCT(('01_Вводные'!$D$314:$D$318*'01_Вводные'!$B$314:$B$318*IF('01_Вводные'!$B$9=0,0,'06_Сеть_и_дети'!I11/'01_Вводные'!$B$9)+'06_Сеть_и_дети'!I20*'19_Расчет_аналитики'!I1818*'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1818*'01_Вводные'!$C$314:$C$318*('01_Вводные'!$E$314:$E$318*('06_Сеть_и_дети'!I$3&lt;'01_Вводные'!$B$245)+'01_Вводные'!$B$57*('06_Сеть_и_дети'!I$3&gt;='01_Вводные'!$B$245))))/2)</f>
        <v/>
      </c>
      <c r="J1395">
        <f>SUMPRODUCT(('01_Вводные'!$D$314:$D$318*'01_Вводные'!$B$314:$B$318*IF('01_Вводные'!$B$9=0,0,'06_Сеть_и_дети'!J11/'01_Вводные'!$B$9)+'06_Сеть_и_дети'!J20*'19_Расчет_аналитики'!J1818*'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1818*'01_Вводные'!$C$314:$C$318*('01_Вводные'!$E$314:$E$318*('06_Сеть_и_дети'!J$3&lt;'01_Вводные'!$B$245)+'01_Вводные'!$B$57*('06_Сеть_и_дети'!J$3&gt;='01_Вводные'!$B$245))))/2)</f>
        <v/>
      </c>
      <c r="K1395">
        <f>SUMPRODUCT(('01_Вводные'!$D$314:$D$318*'01_Вводные'!$B$314:$B$318*IF('01_Вводные'!$B$9=0,0,'06_Сеть_и_дети'!K11/'01_Вводные'!$B$9)+'06_Сеть_и_дети'!K20*'19_Расчет_аналитики'!K1818*'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1818*'01_Вводные'!$C$314:$C$318*('01_Вводные'!$E$314:$E$318*('06_Сеть_и_дети'!K$3&lt;'01_Вводные'!$B$245)+'01_Вводные'!$B$57*('06_Сеть_и_дети'!K$3&gt;='01_Вводные'!$B$245))))/2)</f>
        <v/>
      </c>
      <c r="L1395">
        <f>SUMPRODUCT(('01_Вводные'!$D$314:$D$318*'01_Вводные'!$B$314:$B$318*IF('01_Вводные'!$B$9=0,0,'06_Сеть_и_дети'!L11/'01_Вводные'!$B$9)+'06_Сеть_и_дети'!L20*'19_Расчет_аналитики'!L1818*'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1818*'01_Вводные'!$C$314:$C$318*('01_Вводные'!$E$314:$E$318*('06_Сеть_и_дети'!L$3&lt;'01_Вводные'!$B$245)+'01_Вводные'!$B$57*('06_Сеть_и_дети'!L$3&gt;='01_Вводные'!$B$245))))/2)</f>
        <v/>
      </c>
      <c r="M1395">
        <f>SUMPRODUCT(('01_Вводные'!$D$314:$D$318*'01_Вводные'!$B$314:$B$318*IF('01_Вводные'!$B$9=0,0,'06_Сеть_и_дети'!M11/'01_Вводные'!$B$9)+'06_Сеть_и_дети'!M20*'19_Расчет_аналитики'!M1818*'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1818*'01_Вводные'!$C$314:$C$318*('01_Вводные'!$E$314:$E$318*('06_Сеть_и_дети'!M$3&lt;'01_Вводные'!$B$245)+'01_Вводные'!$B$57*('06_Сеть_и_дети'!M$3&gt;='01_Вводные'!$B$245))))/2)</f>
        <v/>
      </c>
      <c r="N1395">
        <f>SUMPRODUCT(('01_Вводные'!$D$314:$D$318*'01_Вводные'!$B$314:$B$318*IF('01_Вводные'!$B$9=0,0,'06_Сеть_и_дети'!N11/'01_Вводные'!$B$9)+'06_Сеть_и_дети'!N20*'19_Расчет_аналитики'!N1818*'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1818*'01_Вводные'!$C$314:$C$318*('01_Вводные'!$E$314:$E$318*('06_Сеть_и_дети'!N$3&lt;'01_Вводные'!$B$245)+'01_Вводные'!$B$57*('06_Сеть_и_дети'!N$3&gt;='01_Вводные'!$B$245))))/2)</f>
        <v/>
      </c>
      <c r="O1395">
        <f>SUMPRODUCT(('01_Вводные'!$D$314:$D$318*'01_Вводные'!$B$314:$B$318*IF('01_Вводные'!$B$9=0,0,'06_Сеть_и_дети'!O11/'01_Вводные'!$B$9)+'06_Сеть_и_дети'!O20*'19_Расчет_аналитики'!O1818*'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1818*'01_Вводные'!$C$314:$C$318*('01_Вводные'!$E$314:$E$318*('06_Сеть_и_дети'!O$3&lt;'01_Вводные'!$B$245)+'01_Вводные'!$B$57*('06_Сеть_и_дети'!O$3&gt;='01_Вводные'!$B$245))))/2)</f>
        <v/>
      </c>
      <c r="P1395">
        <f>SUMPRODUCT(('01_Вводные'!$D$314:$D$318*'01_Вводные'!$B$314:$B$318*IF('01_Вводные'!$B$9=0,0,'06_Сеть_и_дети'!P11/'01_Вводные'!$B$9)+'06_Сеть_и_дети'!P20*'19_Расчет_аналитики'!P1818*'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1818*'01_Вводные'!$C$314:$C$318*('01_Вводные'!$E$314:$E$318*('06_Сеть_и_дети'!P$3&lt;'01_Вводные'!$B$245)+'01_Вводные'!$B$57*('06_Сеть_и_дети'!P$3&gt;='01_Вводные'!$B$245))))/2)</f>
        <v/>
      </c>
      <c r="Q1395">
        <f>SUMPRODUCT(('01_Вводные'!$D$314:$D$318*'01_Вводные'!$B$314:$B$318*IF('01_Вводные'!$B$9=0,0,'06_Сеть_и_дети'!Q11/'01_Вводные'!$B$9)+'06_Сеть_и_дети'!Q20*'19_Расчет_аналитики'!Q1818*'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1818*'01_Вводные'!$C$314:$C$318*('01_Вводные'!$E$314:$E$318*('06_Сеть_и_дети'!Q$3&lt;'01_Вводные'!$B$245)+'01_Вводные'!$B$57*('06_Сеть_и_дети'!Q$3&gt;='01_Вводные'!$B$245))))/2)</f>
        <v/>
      </c>
      <c r="R1395">
        <f>SUMPRODUCT(('01_Вводные'!$D$314:$D$318*'01_Вводные'!$B$314:$B$318*IF('01_Вводные'!$B$9=0,0,'06_Сеть_и_дети'!R11/'01_Вводные'!$B$9)+'06_Сеть_и_дети'!R20*'19_Расчет_аналитики'!R1818*'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1818*'01_Вводные'!$C$314:$C$318*('01_Вводные'!$E$314:$E$318*('06_Сеть_и_дети'!R$3&lt;'01_Вводные'!$B$245)+'01_Вводные'!$B$57*('06_Сеть_и_дети'!R$3&gt;='01_Вводные'!$B$245))))/2)</f>
        <v/>
      </c>
      <c r="S1395">
        <f>SUMPRODUCT(('01_Вводные'!$D$314:$D$318*'01_Вводные'!$B$314:$B$318*IF('01_Вводные'!$B$9=0,0,'06_Сеть_и_дети'!S11/'01_Вводные'!$B$9)+'06_Сеть_и_дети'!S20*'19_Расчет_аналитики'!S1818*'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1818*'01_Вводные'!$C$314:$C$318*('01_Вводные'!$E$314:$E$318*('06_Сеть_и_дети'!S$3&lt;'01_Вводные'!$B$245)+'01_Вводные'!$B$57*('06_Сеть_и_дети'!S$3&gt;='01_Вводные'!$B$245))))/2)</f>
        <v/>
      </c>
      <c r="T1395">
        <f>SUMPRODUCT(('01_Вводные'!$D$314:$D$318*'01_Вводные'!$B$314:$B$318*IF('01_Вводные'!$B$9=0,0,'06_Сеть_и_дети'!T11/'01_Вводные'!$B$9)+'06_Сеть_и_дети'!T20*'19_Расчет_аналитики'!T1818*'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1818*'01_Вводные'!$C$314:$C$318*('01_Вводные'!$E$314:$E$318*('06_Сеть_и_дети'!T$3&lt;'01_Вводные'!$B$245)+'01_Вводные'!$B$57*('06_Сеть_и_дети'!T$3&gt;='01_Вводные'!$B$245))))/2)</f>
        <v/>
      </c>
      <c r="U1395">
        <f>SUMPRODUCT(('01_Вводные'!$D$314:$D$318*'01_Вводные'!$B$314:$B$318*IF('01_Вводные'!$B$9=0,0,'06_Сеть_и_дети'!U11/'01_Вводные'!$B$9)+'06_Сеть_и_дети'!U20*'19_Расчет_аналитики'!U1818*'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1818*'01_Вводные'!$C$314:$C$318*('01_Вводные'!$E$314:$E$318*('06_Сеть_и_дети'!U$3&lt;'01_Вводные'!$B$245)+'01_Вводные'!$B$57*('06_Сеть_и_дети'!U$3&gt;='01_Вводные'!$B$245))))/2)</f>
        <v/>
      </c>
      <c r="V1395">
        <f>SUMPRODUCT(('01_Вводные'!$D$314:$D$318*'01_Вводные'!$B$314:$B$318*IF('01_Вводные'!$B$9=0,0,'06_Сеть_и_дети'!V11/'01_Вводные'!$B$9)+'06_Сеть_и_дети'!V20*'19_Расчет_аналитики'!V1818*'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1818*'01_Вводные'!$C$314:$C$318*('01_Вводные'!$E$314:$E$318*('06_Сеть_и_дети'!V$3&lt;'01_Вводные'!$B$245)+'01_Вводные'!$B$57*('06_Сеть_и_дети'!V$3&gt;='01_Вводные'!$B$245))))/2)</f>
        <v/>
      </c>
      <c r="W1395">
        <f>SUMPRODUCT(('01_Вводные'!$D$314:$D$318*'01_Вводные'!$B$314:$B$318*IF('01_Вводные'!$B$9=0,0,'06_Сеть_и_дети'!W11/'01_Вводные'!$B$9)+'06_Сеть_и_дети'!W20*'19_Расчет_аналитики'!W1818*'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1818*'01_Вводные'!$C$314:$C$318*('01_Вводные'!$E$314:$E$318*('06_Сеть_и_дети'!W$3&lt;'01_Вводные'!$B$245)+'01_Вводные'!$B$57*('06_Сеть_и_дети'!W$3&gt;='01_Вводные'!$B$245))))/2)</f>
        <v/>
      </c>
      <c r="X1395">
        <f>SUMPRODUCT(('01_Вводные'!$D$314:$D$318*'01_Вводные'!$B$314:$B$318*IF('01_Вводные'!$B$9=0,0,'06_Сеть_и_дети'!X11/'01_Вводные'!$B$9)+'06_Сеть_и_дети'!X20*'19_Расчет_аналитики'!X1818*'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1818*'01_Вводные'!$C$314:$C$318*('01_Вводные'!$E$314:$E$318*('06_Сеть_и_дети'!X$3&lt;'01_Вводные'!$B$245)+'01_Вводные'!$B$57*('06_Сеть_и_дети'!X$3&gt;='01_Вводные'!$B$245))))/2)</f>
        <v/>
      </c>
      <c r="Y1395">
        <f>SUMPRODUCT(('01_Вводные'!$D$314:$D$318*'01_Вводные'!$B$314:$B$318*IF('01_Вводные'!$B$9=0,0,'06_Сеть_и_дети'!Y11/'01_Вводные'!$B$9)+'06_Сеть_и_дети'!Y20*'19_Расчет_аналитики'!Y1818*'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1818*'01_Вводные'!$C$314:$C$318*('01_Вводные'!$E$314:$E$318*('06_Сеть_и_дети'!Y$3&lt;'01_Вводные'!$B$245)+'01_Вводные'!$B$57*('06_Сеть_и_дети'!Y$3&gt;='01_Вводные'!$B$245))))/2)</f>
        <v/>
      </c>
      <c r="Z1395">
        <f>SUMPRODUCT(('01_Вводные'!$D$314:$D$318*'01_Вводные'!$B$314:$B$318*IF('01_Вводные'!$B$9=0,0,'06_Сеть_и_дети'!Z11/'01_Вводные'!$B$9)+'06_Сеть_и_дети'!Z20*'19_Расчет_аналитики'!Z1818*'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1818*'01_Вводные'!$C$314:$C$318*('01_Вводные'!$E$314:$E$318*('06_Сеть_и_дети'!Z$3&lt;'01_Вводные'!$B$245)+'01_Вводные'!$B$57*('06_Сеть_и_дети'!Z$3&gt;='01_Вводные'!$B$245))))/2)</f>
        <v/>
      </c>
      <c r="AA1395">
        <f>SUMPRODUCT(('01_Вводные'!$D$314:$D$318*'01_Вводные'!$B$314:$B$318*IF('01_Вводные'!$B$9=0,0,'06_Сеть_и_дети'!AA11/'01_Вводные'!$B$9)+'06_Сеть_и_дети'!AA20*'19_Расчет_аналитики'!AA1818*'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1818*'01_Вводные'!$C$314:$C$318*('01_Вводные'!$E$314:$E$318*('06_Сеть_и_дети'!AA$3&lt;'01_Вводные'!$B$245)+'01_Вводные'!$B$57*('06_Сеть_и_дети'!AA$3&gt;='01_Вводные'!$B$245))))/2)</f>
        <v/>
      </c>
      <c r="AB1395">
        <f>SUMPRODUCT(('01_Вводные'!$D$314:$D$318*'01_Вводные'!$B$314:$B$318*IF('01_Вводные'!$B$9=0,0,'06_Сеть_и_дети'!AB11/'01_Вводные'!$B$9)+'06_Сеть_и_дети'!AB20*'19_Расчет_аналитики'!AB1818*'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1818*'01_Вводные'!$C$314:$C$318*('01_Вводные'!$E$314:$E$318*('06_Сеть_и_дети'!AB$3&lt;'01_Вводные'!$B$245)+'01_Вводные'!$B$57*('06_Сеть_и_дети'!AB$3&gt;='01_Вводные'!$B$245))))/2)</f>
        <v/>
      </c>
      <c r="AC1395">
        <f>SUMPRODUCT(('01_Вводные'!$D$314:$D$318*'01_Вводные'!$B$314:$B$318*IF('01_Вводные'!$B$9=0,0,'06_Сеть_и_дети'!AC11/'01_Вводные'!$B$9)+'06_Сеть_и_дети'!AC20*'19_Расчет_аналитики'!AC1818*'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1818*'01_Вводные'!$C$314:$C$318*('01_Вводные'!$E$314:$E$318*('06_Сеть_и_дети'!AC$3&lt;'01_Вводные'!$B$245)+'01_Вводные'!$B$57*('06_Сеть_и_дети'!AC$3&gt;='01_Вводные'!$B$245))))/2)</f>
        <v/>
      </c>
      <c r="AD1395">
        <f>SUMPRODUCT(('01_Вводные'!$D$314:$D$318*'01_Вводные'!$B$314:$B$318*IF('01_Вводные'!$B$9=0,0,'06_Сеть_и_дети'!AD11/'01_Вводные'!$B$9)+'06_Сеть_и_дети'!AD20*'19_Расчет_аналитики'!AD1818*'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1818*'01_Вводные'!$C$314:$C$318*('01_Вводные'!$E$314:$E$318*('06_Сеть_и_дети'!AD$3&lt;'01_Вводные'!$B$245)+'01_Вводные'!$B$57*('06_Сеть_и_дети'!AD$3&gt;='01_Вводные'!$B$245))))/2)</f>
        <v/>
      </c>
      <c r="AE1395">
        <f>SUMPRODUCT(('01_Вводные'!$D$314:$D$318*'01_Вводные'!$B$314:$B$318*IF('01_Вводные'!$B$9=0,0,'06_Сеть_и_дети'!AE11/'01_Вводные'!$B$9)+'06_Сеть_и_дети'!AE20*'19_Расчет_аналитики'!AE1818*'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1818*'01_Вводные'!$C$314:$C$318*('01_Вводные'!$E$314:$E$318*('06_Сеть_и_дети'!AE$3&lt;'01_Вводные'!$B$245)+'01_Вводные'!$B$57*('06_Сеть_и_дети'!AE$3&gt;='01_Вводные'!$B$245))))/2)</f>
        <v/>
      </c>
      <c r="AF1395">
        <f>SUMPRODUCT(('01_Вводные'!$D$314:$D$318*'01_Вводные'!$B$314:$B$318*IF('01_Вводные'!$B$9=0,0,'06_Сеть_и_дети'!AF11/'01_Вводные'!$B$9)+'06_Сеть_и_дети'!AF20*'19_Расчет_аналитики'!AF1818*'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1818*'01_Вводные'!$C$314:$C$318*('01_Вводные'!$E$314:$E$318*('06_Сеть_и_дети'!AF$3&lt;'01_Вводные'!$B$245)+'01_Вводные'!$B$57*('06_Сеть_и_дети'!AF$3&gt;='01_Вводные'!$B$245))))/2)</f>
        <v/>
      </c>
      <c r="AG1395">
        <f>SUMPRODUCT(('01_Вводные'!$D$314:$D$318*'01_Вводные'!$B$314:$B$318*IF('01_Вводные'!$B$9=0,0,'06_Сеть_и_дети'!AG11/'01_Вводные'!$B$9)+'06_Сеть_и_дети'!AG20*'19_Расчет_аналитики'!AG1818*'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1818*'01_Вводные'!$C$314:$C$318*('01_Вводные'!$E$314:$E$318*('06_Сеть_и_дети'!AG$3&lt;'01_Вводные'!$B$245)+'01_Вводные'!$B$57*('06_Сеть_и_дети'!AG$3&gt;='01_Вводные'!$B$245))))/2)</f>
        <v/>
      </c>
      <c r="AH1395">
        <f>SUMPRODUCT(('01_Вводные'!$D$314:$D$318*'01_Вводные'!$B$314:$B$318*IF('01_Вводные'!$B$9=0,0,'06_Сеть_и_дети'!AH11/'01_Вводные'!$B$9)+'06_Сеть_и_дети'!AH20*'19_Расчет_аналитики'!AH1818*'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1818*'01_Вводные'!$C$314:$C$318*('01_Вводные'!$E$314:$E$318*('06_Сеть_и_дети'!AH$3&lt;'01_Вводные'!$B$245)+'01_Вводные'!$B$57*('06_Сеть_и_дети'!AH$3&gt;='01_Вводные'!$B$245))))/2)</f>
        <v/>
      </c>
      <c r="AI1395">
        <f>SUMPRODUCT(('01_Вводные'!$D$314:$D$318*'01_Вводные'!$B$314:$B$318*IF('01_Вводные'!$B$9=0,0,'06_Сеть_и_дети'!AI11/'01_Вводные'!$B$9)+'06_Сеть_и_дети'!AI20*'19_Расчет_аналитики'!AI1818*'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1818*'01_Вводные'!$C$314:$C$318*('01_Вводные'!$E$314:$E$318*('06_Сеть_и_дети'!AI$3&lt;'01_Вводные'!$B$245)+'01_Вводные'!$B$57*('06_Сеть_и_дети'!AI$3&gt;='01_Вводные'!$B$245))))/2)</f>
        <v/>
      </c>
      <c r="AJ1395">
        <f>SUMPRODUCT(('01_Вводные'!$D$314:$D$318*'01_Вводные'!$B$314:$B$318*IF('01_Вводные'!$B$9=0,0,'06_Сеть_и_дети'!AJ11/'01_Вводные'!$B$9)+'06_Сеть_и_дети'!AJ20*'19_Расчет_аналитики'!AJ1818*'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1818*'01_Вводные'!$C$314:$C$318*('01_Вводные'!$E$314:$E$318*('06_Сеть_и_дети'!AJ$3&lt;'01_Вводные'!$B$245)+'01_Вводные'!$B$57*('06_Сеть_и_дети'!AJ$3&gt;='01_Вводные'!$B$245))))/2)</f>
        <v/>
      </c>
      <c r="AK1395">
        <f>SUMPRODUCT(('01_Вводные'!$D$314:$D$318*'01_Вводные'!$B$314:$B$318*IF('01_Вводные'!$B$9=0,0,'06_Сеть_и_дети'!AK11/'01_Вводные'!$B$9)+'06_Сеть_и_дети'!AK20*'19_Расчет_аналитики'!AK1818*'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1818*'01_Вводные'!$C$314:$C$318*('01_Вводные'!$E$314:$E$318*('06_Сеть_и_дети'!AK$3&lt;'01_Вводные'!$B$245)+'01_Вводные'!$B$57*('06_Сеть_и_дети'!AK$3&gt;='01_Вводные'!$B$245))))/2)</f>
        <v/>
      </c>
      <c r="AL1395">
        <f>SUMPRODUCT(('01_Вводные'!$D$314:$D$318*'01_Вводные'!$B$314:$B$318*IF('01_Вводные'!$B$9=0,0,'06_Сеть_и_дети'!AL11/'01_Вводные'!$B$9)+'06_Сеть_и_дети'!AL20*'19_Расчет_аналитики'!AL1818*'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1818*'01_Вводные'!$C$314:$C$318*('01_Вводные'!$E$314:$E$318*('06_Сеть_и_дети'!AL$3&lt;'01_Вводные'!$B$245)+'01_Вводные'!$B$57*('06_Сеть_и_дети'!AL$3&gt;='01_Вводные'!$B$245))))/2)</f>
        <v/>
      </c>
      <c r="AM1395">
        <f>SUMPRODUCT(('01_Вводные'!$D$314:$D$318*'01_Вводные'!$B$314:$B$318*IF('01_Вводные'!$B$9=0,0,'06_Сеть_и_дети'!AM11/'01_Вводные'!$B$9)+'06_Сеть_и_дети'!AM20*'19_Расчет_аналитики'!AM1818*'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1818*'01_Вводные'!$C$314:$C$318*('01_Вводные'!$E$314:$E$318*('06_Сеть_и_дети'!AM$3&lt;'01_Вводные'!$B$245)+'01_Вводные'!$B$57*('06_Сеть_и_дети'!AM$3&gt;='01_Вводные'!$B$245))))/2)</f>
        <v/>
      </c>
      <c r="AN1395">
        <f>SUMPRODUCT(('01_Вводные'!$D$314:$D$318*'01_Вводные'!$B$314:$B$318*IF('01_Вводные'!$B$9=0,0,'06_Сеть_и_дети'!AN11/'01_Вводные'!$B$9)+'06_Сеть_и_дети'!AN20*'19_Расчет_аналитики'!AN1818*'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1818*'01_Вводные'!$C$314:$C$318*('01_Вводные'!$E$314:$E$318*('06_Сеть_и_дети'!AN$3&lt;'01_Вводные'!$B$245)+'01_Вводные'!$B$57*('06_Сеть_и_дети'!AN$3&gt;='01_Вводные'!$B$245))))/2)</f>
        <v/>
      </c>
      <c r="AO1395">
        <f>SUMPRODUCT(('01_Вводные'!$D$314:$D$318*'01_Вводные'!$B$314:$B$318*IF('01_Вводные'!$B$9=0,0,'06_Сеть_и_дети'!AO11/'01_Вводные'!$B$9)+'06_Сеть_и_дети'!AO20*'19_Расчет_аналитики'!AO1818*'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1818*'01_Вводные'!$C$314:$C$318*('01_Вводные'!$E$314:$E$318*('06_Сеть_и_дети'!AO$3&lt;'01_Вводные'!$B$245)+'01_Вводные'!$B$57*('06_Сеть_и_дети'!AO$3&gt;='01_Вводные'!$B$245))))/2)</f>
        <v/>
      </c>
      <c r="AP1395">
        <f>SUMPRODUCT(('01_Вводные'!$D$314:$D$318*'01_Вводные'!$B$314:$B$318*IF('01_Вводные'!$B$9=0,0,'06_Сеть_и_дети'!AP11/'01_Вводные'!$B$9)+'06_Сеть_и_дети'!AP20*'19_Расчет_аналитики'!AP1818*'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1818*'01_Вводные'!$C$314:$C$318*('01_Вводные'!$E$314:$E$318*('06_Сеть_и_дети'!AP$3&lt;'01_Вводные'!$B$245)+'01_Вводные'!$B$57*('06_Сеть_и_дети'!AP$3&gt;='01_Вводные'!$B$245))))/2)</f>
        <v/>
      </c>
      <c r="AQ1395">
        <f>SUMPRODUCT(('01_Вводные'!$D$314:$D$318*'01_Вводные'!$B$314:$B$318*IF('01_Вводные'!$B$9=0,0,'06_Сеть_и_дети'!AQ11/'01_Вводные'!$B$9)+'06_Сеть_и_дети'!AQ20*'19_Расчет_аналитики'!AQ1818*'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1818*'01_Вводные'!$C$314:$C$318*('01_Вводные'!$E$314:$E$318*('06_Сеть_и_дети'!AQ$3&lt;'01_Вводные'!$B$245)+'01_Вводные'!$B$57*('06_Сеть_и_дети'!AQ$3&gt;='01_Вводные'!$B$245))))/2)</f>
        <v/>
      </c>
      <c r="AR1395">
        <f>SUMPRODUCT(('01_Вводные'!$D$314:$D$318*'01_Вводные'!$B$314:$B$318*IF('01_Вводные'!$B$9=0,0,'06_Сеть_и_дети'!AR11/'01_Вводные'!$B$9)+'06_Сеть_и_дети'!AR20*'19_Расчет_аналитики'!AR1818*'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1818*'01_Вводные'!$C$314:$C$318*('01_Вводные'!$E$314:$E$318*('06_Сеть_и_дети'!AR$3&lt;'01_Вводные'!$B$245)+'01_Вводные'!$B$57*('06_Сеть_и_дети'!AR$3&gt;='01_Вводные'!$B$245))))/2)</f>
        <v/>
      </c>
      <c r="AS1395">
        <f>SUMPRODUCT(('01_Вводные'!$D$314:$D$318*'01_Вводные'!$B$314:$B$318*IF('01_Вводные'!$B$9=0,0,'06_Сеть_и_дети'!AS11/'01_Вводные'!$B$9)+'06_Сеть_и_дети'!AS20*'19_Расчет_аналитики'!AS1818*'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1818*'01_Вводные'!$C$314:$C$318*('01_Вводные'!$E$314:$E$318*('06_Сеть_и_дети'!AS$3&lt;'01_Вводные'!$B$245)+'01_Вводные'!$B$57*('06_Сеть_и_дети'!AS$3&gt;='01_Вводные'!$B$245))))/2)</f>
        <v/>
      </c>
      <c r="AT1395">
        <f>SUMPRODUCT(('01_Вводные'!$D$314:$D$318*'01_Вводные'!$B$314:$B$318*IF('01_Вводные'!$B$9=0,0,'06_Сеть_и_дети'!AT11/'01_Вводные'!$B$9)+'06_Сеть_и_дети'!AT20*'19_Расчет_аналитики'!AT1818*'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1818*'01_Вводные'!$C$314:$C$318*('01_Вводные'!$E$314:$E$318*('06_Сеть_и_дети'!AT$3&lt;'01_Вводные'!$B$245)+'01_Вводные'!$B$57*('06_Сеть_и_дети'!AT$3&gt;='01_Вводные'!$B$245))))/2)</f>
        <v/>
      </c>
      <c r="AU1395">
        <f>SUMPRODUCT(('01_Вводные'!$D$314:$D$318*'01_Вводные'!$B$314:$B$318*IF('01_Вводные'!$B$9=0,0,'06_Сеть_и_дети'!AU11/'01_Вводные'!$B$9)+'06_Сеть_и_дети'!AU20*'19_Расчет_аналитики'!AU1818*'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1818*'01_Вводные'!$C$314:$C$318*('01_Вводные'!$E$314:$E$318*('06_Сеть_и_дети'!AU$3&lt;'01_Вводные'!$B$245)+'01_Вводные'!$B$57*('06_Сеть_и_дети'!AU$3&gt;='01_Вводные'!$B$245))))/2)</f>
        <v/>
      </c>
      <c r="AV1395">
        <f>SUMPRODUCT(('01_Вводные'!$D$314:$D$318*'01_Вводные'!$B$314:$B$318*IF('01_Вводные'!$B$9=0,0,'06_Сеть_и_дети'!AV11/'01_Вводные'!$B$9)+'06_Сеть_и_дети'!AV20*'19_Расчет_аналитики'!AV1818*'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1818*'01_Вводные'!$C$314:$C$318*('01_Вводные'!$E$314:$E$318*('06_Сеть_и_дети'!AV$3&lt;'01_Вводные'!$B$245)+'01_Вводные'!$B$57*('06_Сеть_и_дети'!AV$3&gt;='01_Вводные'!$B$245))))/2)</f>
        <v/>
      </c>
      <c r="AW1395">
        <f>SUMPRODUCT(('01_Вводные'!$D$314:$D$318*'01_Вводные'!$B$314:$B$318*IF('01_Вводные'!$B$9=0,0,'06_Сеть_и_дети'!AW11/'01_Вводные'!$B$9)+'06_Сеть_и_дети'!AW20*'19_Расчет_аналитики'!AW1818*'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1818*'01_Вводные'!$C$314:$C$318*('01_Вводные'!$E$314:$E$318*('06_Сеть_и_дети'!AW$3&lt;'01_Вводные'!$B$245)+'01_Вводные'!$B$57*('06_Сеть_и_дети'!AW$3&gt;='01_Вводные'!$B$245))))/2)</f>
        <v/>
      </c>
      <c r="AX1395">
        <f>SUMPRODUCT(('01_Вводные'!$D$314:$D$318*'01_Вводные'!$B$314:$B$318*IF('01_Вводные'!$B$9=0,0,'06_Сеть_и_дети'!AX11/'01_Вводные'!$B$9)+'06_Сеть_и_дети'!AX20*'19_Расчет_аналитики'!AX1818*'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1818*'01_Вводные'!$C$314:$C$318*('01_Вводные'!$E$314:$E$318*('06_Сеть_и_дети'!AX$3&lt;'01_Вводные'!$B$245)+'01_Вводные'!$B$57*('06_Сеть_и_дети'!AX$3&gt;='01_Вводные'!$B$245))))/2)</f>
        <v/>
      </c>
      <c r="AY1395">
        <f>SUMPRODUCT(('01_Вводные'!$D$314:$D$318*'01_Вводные'!$B$314:$B$318*IF('01_Вводные'!$B$9=0,0,'06_Сеть_и_дети'!AY11/'01_Вводные'!$B$9)+'06_Сеть_и_дети'!AY20*'19_Расчет_аналитики'!AY1818*'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1818*'01_Вводные'!$C$314:$C$318*('01_Вводные'!$E$314:$E$318*('06_Сеть_и_дети'!AY$3&lt;'01_Вводные'!$B$245)+'01_Вводные'!$B$57*('06_Сеть_и_дети'!AY$3&gt;='01_Вводные'!$B$245))))/2)</f>
        <v/>
      </c>
      <c r="AZ1395">
        <f>SUMPRODUCT(('01_Вводные'!$D$314:$D$318*'01_Вводные'!$B$314:$B$318*IF('01_Вводные'!$B$9=0,0,'06_Сеть_и_дети'!AZ11/'01_Вводные'!$B$9)+'06_Сеть_и_дети'!AZ20*'19_Расчет_аналитики'!AZ1818*'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1818*'01_Вводные'!$C$314:$C$318*('01_Вводные'!$E$314:$E$318*('06_Сеть_и_дети'!AZ$3&lt;'01_Вводные'!$B$245)+'01_Вводные'!$B$57*('06_Сеть_и_дети'!AZ$3&gt;='01_Вводные'!$B$245))))/2)</f>
        <v/>
      </c>
      <c r="BA1395">
        <f>SUMPRODUCT(('01_Вводные'!$D$314:$D$318*'01_Вводные'!$B$314:$B$318*IF('01_Вводные'!$B$9=0,0,'06_Сеть_и_дети'!BA11/'01_Вводные'!$B$9)+'06_Сеть_и_дети'!BA20*'19_Расчет_аналитики'!BA1818*'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1818*'01_Вводные'!$C$314:$C$318*('01_Вводные'!$E$314:$E$318*('06_Сеть_и_дети'!BA$3&lt;'01_Вводные'!$B$245)+'01_Вводные'!$B$57*('06_Сеть_и_дети'!BA$3&gt;='01_Вводные'!$B$245))))/2)</f>
        <v/>
      </c>
      <c r="BB1395">
        <f>SUMPRODUCT(('01_Вводные'!$D$314:$D$318*'01_Вводные'!$B$314:$B$318*IF('01_Вводные'!$B$9=0,0,'06_Сеть_и_дети'!BB11/'01_Вводные'!$B$9)+'06_Сеть_и_дети'!BB20*'19_Расчет_аналитики'!BB1818*'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1818*'01_Вводные'!$C$314:$C$318*('01_Вводные'!$E$314:$E$318*('06_Сеть_и_дети'!BB$3&lt;'01_Вводные'!$B$245)+'01_Вводные'!$B$57*('06_Сеть_и_дети'!BB$3&gt;='01_Вводные'!$B$245))))/2)</f>
        <v/>
      </c>
      <c r="BC1395">
        <f>SUMPRODUCT(('01_Вводные'!$D$314:$D$318*'01_Вводные'!$B$314:$B$318*IF('01_Вводные'!$B$9=0,0,'06_Сеть_и_дети'!BC11/'01_Вводные'!$B$9)+'06_Сеть_и_дети'!BC20*'19_Расчет_аналитики'!BC1818*'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1818*'01_Вводные'!$C$314:$C$318*('01_Вводные'!$E$314:$E$318*('06_Сеть_и_дети'!BC$3&lt;'01_Вводные'!$B$245)+'01_Вводные'!$B$57*('06_Сеть_и_дети'!BC$3&gt;='01_Вводные'!$B$245))))/2)</f>
        <v/>
      </c>
      <c r="BD1395">
        <f>SUMPRODUCT(('01_Вводные'!$D$314:$D$318*'01_Вводные'!$B$314:$B$318*IF('01_Вводные'!$B$9=0,0,'06_Сеть_и_дети'!BD11/'01_Вводные'!$B$9)+'06_Сеть_и_дети'!BD20*'19_Расчет_аналитики'!BD1818*'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1818*'01_Вводные'!$C$314:$C$318*('01_Вводные'!$E$314:$E$318*('06_Сеть_и_дети'!BD$3&lt;'01_Вводные'!$B$245)+'01_Вводные'!$B$57*('06_Сеть_и_дети'!BD$3&gt;='01_Вводные'!$B$245))))/2)</f>
        <v/>
      </c>
      <c r="BE1395">
        <f>SUMPRODUCT(('01_Вводные'!$D$314:$D$318*'01_Вводные'!$B$314:$B$318*IF('01_Вводные'!$B$9=0,0,'06_Сеть_и_дети'!BE11/'01_Вводные'!$B$9)+'06_Сеть_и_дети'!BE20*'19_Расчет_аналитики'!BE1818*'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1818*'01_Вводные'!$C$314:$C$318*('01_Вводные'!$E$314:$E$318*('06_Сеть_и_дети'!BE$3&lt;'01_Вводные'!$B$245)+'01_Вводные'!$B$57*('06_Сеть_и_дети'!BE$3&gt;='01_Вводные'!$B$245))))/2)</f>
        <v/>
      </c>
      <c r="BF1395">
        <f>SUMPRODUCT(('01_Вводные'!$D$314:$D$318*'01_Вводные'!$B$314:$B$318*IF('01_Вводные'!$B$9=0,0,'06_Сеть_и_дети'!BF11/'01_Вводные'!$B$9)+'06_Сеть_и_дети'!BF20*'19_Расчет_аналитики'!BF1818*'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1818*'01_Вводные'!$C$314:$C$318*('01_Вводные'!$E$314:$E$318*('06_Сеть_и_дети'!BF$3&lt;'01_Вводные'!$B$245)+'01_Вводные'!$B$57*('06_Сеть_и_дети'!BF$3&gt;='01_Вводные'!$B$245))))/2)</f>
        <v/>
      </c>
      <c r="BG1395">
        <f>SUMPRODUCT(('01_Вводные'!$D$314:$D$318*'01_Вводные'!$B$314:$B$318*IF('01_Вводные'!$B$9=0,0,'06_Сеть_и_дети'!BG11/'01_Вводные'!$B$9)+'06_Сеть_и_дети'!BG20*'19_Расчет_аналитики'!BG1818*'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1818*'01_Вводные'!$C$314:$C$318*('01_Вводные'!$E$314:$E$318*('06_Сеть_и_дети'!BG$3&lt;'01_Вводные'!$B$245)+'01_Вводные'!$B$57*('06_Сеть_и_дети'!BG$3&gt;='01_Вводные'!$B$245))))/2)</f>
        <v/>
      </c>
      <c r="BH1395">
        <f>SUMPRODUCT(('01_Вводные'!$D$314:$D$318*'01_Вводные'!$B$314:$B$318*IF('01_Вводные'!$B$9=0,0,'06_Сеть_и_дети'!BH11/'01_Вводные'!$B$9)+'06_Сеть_и_дети'!BH20*'19_Расчет_аналитики'!BH1818*'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1818*'01_Вводные'!$C$314:$C$318*('01_Вводные'!$E$314:$E$318*('06_Сеть_и_дети'!BH$3&lt;'01_Вводные'!$B$245)+'01_Вводные'!$B$57*('06_Сеть_и_дети'!BH$3&gt;='01_Вводные'!$B$245))))/2)</f>
        <v/>
      </c>
      <c r="BI1395">
        <f>SUMPRODUCT(('01_Вводные'!$D$314:$D$318*'01_Вводные'!$B$314:$B$318*IF('01_Вводные'!$B$9=0,0,'06_Сеть_и_дети'!BI11/'01_Вводные'!$B$9)+'06_Сеть_и_дети'!BI20*'19_Расчет_аналитики'!BI1818*'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1818*'01_Вводные'!$C$314:$C$318*('01_Вводные'!$E$314:$E$318*('06_Сеть_и_дети'!BI$3&lt;'01_Вводные'!$B$245)+'01_Вводные'!$B$57*('06_Сеть_и_дети'!BI$3&gt;='01_Вводные'!$B$245))))/2)</f>
        <v/>
      </c>
      <c r="BJ1395">
        <f>SUMPRODUCT(('01_Вводные'!$D$314:$D$318*'01_Вводные'!$B$314:$B$318*IF('01_Вводные'!$B$9=0,0,'06_Сеть_и_дети'!BJ11/'01_Вводные'!$B$9)+'06_Сеть_и_дети'!BJ20*'19_Расчет_аналитики'!BJ1818*'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1818*'01_Вводные'!$C$314:$C$318*('01_Вводные'!$E$314:$E$318*('06_Сеть_и_дети'!BJ$3&lt;'01_Вводные'!$B$245)+'01_Вводные'!$B$57*('06_Сеть_и_дети'!BJ$3&gt;='01_Вводные'!$B$245))))/2)</f>
        <v/>
      </c>
      <c r="BK1395">
        <f>SUMPRODUCT(('01_Вводные'!$D$314:$D$318*'01_Вводные'!$B$314:$B$318*IF('01_Вводные'!$B$9=0,0,'06_Сеть_и_дети'!BK11/'01_Вводные'!$B$9)+'06_Сеть_и_дети'!BK20*'19_Расчет_аналитики'!BK1818*'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1818*'01_Вводные'!$C$314:$C$318*('01_Вводные'!$E$314:$E$318*('06_Сеть_и_дети'!BK$3&lt;'01_Вводные'!$B$245)+'01_Вводные'!$B$57*('06_Сеть_и_дети'!BK$3&gt;='01_Вводные'!$B$245))))/2)</f>
        <v/>
      </c>
      <c r="BL1395">
        <f>SUMPRODUCT(('01_Вводные'!$D$314:$D$318*'01_Вводные'!$B$314:$B$318*IF('01_Вводные'!$B$9=0,0,'06_Сеть_и_дети'!BL11/'01_Вводные'!$B$9)+'06_Сеть_и_дети'!BL20*'19_Расчет_аналитики'!BL1818*'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1818*'01_Вводные'!$C$314:$C$318*('01_Вводные'!$E$314:$E$318*('06_Сеть_и_дети'!BL$3&lt;'01_Вводные'!$B$245)+'01_Вводные'!$B$57*('06_Сеть_и_дети'!BL$3&gt;='01_Вводные'!$B$245))))/2)</f>
        <v/>
      </c>
      <c r="BM1395">
        <f>SUMPRODUCT(('01_Вводные'!$D$314:$D$318*'01_Вводные'!$B$314:$B$318*IF('01_Вводные'!$B$9=0,0,'06_Сеть_и_дети'!BM11/'01_Вводные'!$B$9)+'06_Сеть_и_дети'!BM20*'19_Расчет_аналитики'!BM1818*'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1818*'01_Вводные'!$C$314:$C$318*('01_Вводные'!$E$314:$E$318*('06_Сеть_и_дети'!BM$3&lt;'01_Вводные'!$B$245)+'01_Вводные'!$B$57*('06_Сеть_и_дети'!BM$3&gt;='01_Вводные'!$B$245))))/2)</f>
        <v/>
      </c>
      <c r="BN1395">
        <f>SUMPRODUCT(('01_Вводные'!$D$314:$D$318*'01_Вводные'!$B$314:$B$318*IF('01_Вводные'!$B$9=0,0,'06_Сеть_и_дети'!BN11/'01_Вводные'!$B$9)+'06_Сеть_и_дети'!BN20*'19_Расчет_аналитики'!BN1818*'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1818*'01_Вводные'!$C$314:$C$318*('01_Вводные'!$E$314:$E$318*('06_Сеть_и_дети'!BN$3&lt;'01_Вводные'!$B$245)+'01_Вводные'!$B$57*('06_Сеть_и_дети'!BN$3&gt;='01_Вводные'!$B$245))))/2)</f>
        <v/>
      </c>
      <c r="BO1395">
        <f>SUMPRODUCT(('01_Вводные'!$D$314:$D$318*'01_Вводные'!$B$314:$B$318*IF('01_Вводные'!$B$9=0,0,'06_Сеть_и_дети'!BO11/'01_Вводные'!$B$9)+'06_Сеть_и_дети'!BO20*'19_Расчет_аналитики'!BO1818*'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1818*'01_Вводные'!$C$314:$C$318*('01_Вводные'!$E$314:$E$318*('06_Сеть_и_дети'!BO$3&lt;'01_Вводные'!$B$245)+'01_Вводные'!$B$57*('06_Сеть_и_дети'!BO$3&gt;='01_Вводные'!$B$245))))/2)</f>
        <v/>
      </c>
    </row>
    <row r="1396">
      <c r="B1396">
        <f>SUM('19_Расчет_аналитики'!B1476:B1500,'19_Расчет_аналитики'!B1504:B1528)</f>
        <v/>
      </c>
      <c r="C1396">
        <f>SUM('19_Расчет_аналитики'!C1476:C1500,'19_Расчет_аналитики'!C1504:C1528)</f>
        <v/>
      </c>
      <c r="D1396">
        <f>SUM('19_Расчет_аналитики'!D1476:D1500,'19_Расчет_аналитики'!D1504:D1528)</f>
        <v/>
      </c>
      <c r="E1396">
        <f>SUM('19_Расчет_аналитики'!E1476:E1500,'19_Расчет_аналитики'!E1504:E1528)</f>
        <v/>
      </c>
      <c r="F1396">
        <f>SUM('19_Расчет_аналитики'!F1476:F1500,'19_Расчет_аналитики'!F1504:F1528)</f>
        <v/>
      </c>
      <c r="G1396">
        <f>SUM('19_Расчет_аналитики'!G1476:G1500,'19_Расчет_аналитики'!G1504:G1528)</f>
        <v/>
      </c>
      <c r="H1396">
        <f>SUM('19_Расчет_аналитики'!H1476:H1500,'19_Расчет_аналитики'!H1504:H1528)</f>
        <v/>
      </c>
      <c r="I1396">
        <f>SUM('19_Расчет_аналитики'!I1476:I1500,'19_Расчет_аналитики'!I1504:I1528)</f>
        <v/>
      </c>
      <c r="J1396">
        <f>SUM('19_Расчет_аналитики'!J1476:J1500,'19_Расчет_аналитики'!J1504:J1528)</f>
        <v/>
      </c>
      <c r="K1396">
        <f>SUM('19_Расчет_аналитики'!K1476:K1500,'19_Расчет_аналитики'!K1504:K1528)</f>
        <v/>
      </c>
      <c r="L1396">
        <f>SUM('19_Расчет_аналитики'!L1476:L1500,'19_Расчет_аналитики'!L1504:L1528)</f>
        <v/>
      </c>
      <c r="M1396">
        <f>SUM('19_Расчет_аналитики'!M1476:M1500,'19_Расчет_аналитики'!M1504:M1528)</f>
        <v/>
      </c>
      <c r="N1396">
        <f>SUM('19_Расчет_аналитики'!N1476:N1500,'19_Расчет_аналитики'!N1504:N1528)</f>
        <v/>
      </c>
      <c r="O1396">
        <f>SUM('19_Расчет_аналитики'!O1476:O1500,'19_Расчет_аналитики'!O1504:O1528)</f>
        <v/>
      </c>
      <c r="P1396">
        <f>SUM('19_Расчет_аналитики'!P1476:P1500,'19_Расчет_аналитики'!P1504:P1528)</f>
        <v/>
      </c>
      <c r="Q1396">
        <f>SUM('19_Расчет_аналитики'!Q1476:Q1500,'19_Расчет_аналитики'!Q1504:Q1528)</f>
        <v/>
      </c>
      <c r="R1396">
        <f>SUM('19_Расчет_аналитики'!R1476:R1500,'19_Расчет_аналитики'!R1504:R1528)</f>
        <v/>
      </c>
      <c r="S1396">
        <f>SUM('19_Расчет_аналитики'!S1476:S1500,'19_Расчет_аналитики'!S1504:S1528)</f>
        <v/>
      </c>
      <c r="T1396">
        <f>SUM('19_Расчет_аналитики'!T1476:T1500,'19_Расчет_аналитики'!T1504:T1528)</f>
        <v/>
      </c>
      <c r="U1396">
        <f>SUM('19_Расчет_аналитики'!U1476:U1500,'19_Расчет_аналитики'!U1504:U1528)</f>
        <v/>
      </c>
      <c r="V1396">
        <f>SUM('19_Расчет_аналитики'!V1476:V1500,'19_Расчет_аналитики'!V1504:V1528)</f>
        <v/>
      </c>
      <c r="W1396">
        <f>SUM('19_Расчет_аналитики'!W1476:W1500,'19_Расчет_аналитики'!W1504:W1528)</f>
        <v/>
      </c>
      <c r="X1396">
        <f>SUM('19_Расчет_аналитики'!X1476:X1500,'19_Расчет_аналитики'!X1504:X1528)</f>
        <v/>
      </c>
      <c r="Y1396">
        <f>SUM('19_Расчет_аналитики'!Y1476:Y1500,'19_Расчет_аналитики'!Y1504:Y1528)</f>
        <v/>
      </c>
      <c r="Z1396">
        <f>SUM('19_Расчет_аналитики'!Z1476:Z1500,'19_Расчет_аналитики'!Z1504:Z1528)</f>
        <v/>
      </c>
      <c r="AA1396">
        <f>SUM('19_Расчет_аналитики'!AA1476:AA1500,'19_Расчет_аналитики'!AA1504:AA1528)</f>
        <v/>
      </c>
      <c r="AB1396">
        <f>SUM('19_Расчет_аналитики'!AB1476:AB1500,'19_Расчет_аналитики'!AB1504:AB1528)</f>
        <v/>
      </c>
      <c r="AC1396">
        <f>SUM('19_Расчет_аналитики'!AC1476:AC1500,'19_Расчет_аналитики'!AC1504:AC1528)</f>
        <v/>
      </c>
      <c r="AD1396">
        <f>SUM('19_Расчет_аналитики'!AD1476:AD1500,'19_Расчет_аналитики'!AD1504:AD1528)</f>
        <v/>
      </c>
      <c r="AE1396">
        <f>SUM('19_Расчет_аналитики'!AE1476:AE1500,'19_Расчет_аналитики'!AE1504:AE1528)</f>
        <v/>
      </c>
      <c r="AF1396">
        <f>SUM('19_Расчет_аналитики'!AF1476:AF1500,'19_Расчет_аналитики'!AF1504:AF1528)</f>
        <v/>
      </c>
      <c r="AG1396">
        <f>SUM('19_Расчет_аналитики'!AG1476:AG1500,'19_Расчет_аналитики'!AG1504:AG1528)</f>
        <v/>
      </c>
      <c r="AH1396">
        <f>SUM('19_Расчет_аналитики'!AH1476:AH1500,'19_Расчет_аналитики'!AH1504:AH1528)</f>
        <v/>
      </c>
      <c r="AI1396">
        <f>SUM('19_Расчет_аналитики'!AI1476:AI1500,'19_Расчет_аналитики'!AI1504:AI1528)</f>
        <v/>
      </c>
      <c r="AJ1396">
        <f>SUM('19_Расчет_аналитики'!AJ1476:AJ1500,'19_Расчет_аналитики'!AJ1504:AJ1528)</f>
        <v/>
      </c>
      <c r="AK1396">
        <f>SUM('19_Расчет_аналитики'!AK1476:AK1500,'19_Расчет_аналитики'!AK1504:AK1528)</f>
        <v/>
      </c>
      <c r="AL1396">
        <f>SUM('19_Расчет_аналитики'!AL1476:AL1500,'19_Расчет_аналитики'!AL1504:AL1528)</f>
        <v/>
      </c>
      <c r="AM1396">
        <f>SUM('19_Расчет_аналитики'!AM1476:AM1500,'19_Расчет_аналитики'!AM1504:AM1528)</f>
        <v/>
      </c>
      <c r="AN1396">
        <f>SUM('19_Расчет_аналитики'!AN1476:AN1500,'19_Расчет_аналитики'!AN1504:AN1528)</f>
        <v/>
      </c>
      <c r="AO1396">
        <f>SUM('19_Расчет_аналитики'!AO1476:AO1500,'19_Расчет_аналитики'!AO1504:AO1528)</f>
        <v/>
      </c>
      <c r="AP1396">
        <f>SUM('19_Расчет_аналитики'!AP1476:AP1500,'19_Расчет_аналитики'!AP1504:AP1528)</f>
        <v/>
      </c>
      <c r="AQ1396">
        <f>SUM('19_Расчет_аналитики'!AQ1476:AQ1500,'19_Расчет_аналитики'!AQ1504:AQ1528)</f>
        <v/>
      </c>
      <c r="AR1396">
        <f>SUM('19_Расчет_аналитики'!AR1476:AR1500,'19_Расчет_аналитики'!AR1504:AR1528)</f>
        <v/>
      </c>
      <c r="AS1396">
        <f>SUM('19_Расчет_аналитики'!AS1476:AS1500,'19_Расчет_аналитики'!AS1504:AS1528)</f>
        <v/>
      </c>
      <c r="AT1396">
        <f>SUM('19_Расчет_аналитики'!AT1476:AT1500,'19_Расчет_аналитики'!AT1504:AT1528)</f>
        <v/>
      </c>
      <c r="AU1396">
        <f>SUM('19_Расчет_аналитики'!AU1476:AU1500,'19_Расчет_аналитики'!AU1504:AU1528)</f>
        <v/>
      </c>
      <c r="AV1396">
        <f>SUM('19_Расчет_аналитики'!AV1476:AV1500,'19_Расчет_аналитики'!AV1504:AV1528)</f>
        <v/>
      </c>
      <c r="AW1396">
        <f>SUM('19_Расчет_аналитики'!AW1476:AW1500,'19_Расчет_аналитики'!AW1504:AW1528)</f>
        <v/>
      </c>
      <c r="AX1396">
        <f>SUM('19_Расчет_аналитики'!AX1476:AX1500,'19_Расчет_аналитики'!AX1504:AX1528)</f>
        <v/>
      </c>
      <c r="AY1396">
        <f>SUM('19_Расчет_аналитики'!AY1476:AY1500,'19_Расчет_аналитики'!AY1504:AY1528)</f>
        <v/>
      </c>
      <c r="AZ1396">
        <f>SUM('19_Расчет_аналитики'!AZ1476:AZ1500,'19_Расчет_аналитики'!AZ1504:AZ1528)</f>
        <v/>
      </c>
      <c r="BA1396">
        <f>SUM('19_Расчет_аналитики'!BA1476:BA1500,'19_Расчет_аналитики'!BA1504:BA1528)</f>
        <v/>
      </c>
      <c r="BB1396">
        <f>SUM('19_Расчет_аналитики'!BB1476:BB1500,'19_Расчет_аналитики'!BB1504:BB1528)</f>
        <v/>
      </c>
      <c r="BC1396">
        <f>SUM('19_Расчет_аналитики'!BC1476:BC1500,'19_Расчет_аналитики'!BC1504:BC1528)</f>
        <v/>
      </c>
      <c r="BD1396">
        <f>SUM('19_Расчет_аналитики'!BD1476:BD1500,'19_Расчет_аналитики'!BD1504:BD1528)</f>
        <v/>
      </c>
      <c r="BE1396">
        <f>SUM('19_Расчет_аналитики'!BE1476:BE1500,'19_Расчет_аналитики'!BE1504:BE1528)</f>
        <v/>
      </c>
      <c r="BF1396">
        <f>SUM('19_Расчет_аналитики'!BF1476:BF1500,'19_Расчет_аналитики'!BF1504:BF1528)</f>
        <v/>
      </c>
      <c r="BG1396">
        <f>SUM('19_Расчет_аналитики'!BG1476:BG1500,'19_Расчет_аналитики'!BG1504:BG1528)</f>
        <v/>
      </c>
      <c r="BH1396">
        <f>SUM('19_Расчет_аналитики'!BH1476:BH1500,'19_Расчет_аналитики'!BH1504:BH1528)</f>
        <v/>
      </c>
      <c r="BI1396">
        <f>SUM('19_Расчет_аналитики'!BI1476:BI1500,'19_Расчет_аналитики'!BI1504:BI1528)</f>
        <v/>
      </c>
      <c r="BJ1396">
        <f>SUM('19_Расчет_аналитики'!BJ1476:BJ1500,'19_Расчет_аналитики'!BJ1504:BJ1528)</f>
        <v/>
      </c>
      <c r="BK1396">
        <f>SUM('19_Расчет_аналитики'!BK1476:BK1500,'19_Расчет_аналитики'!BK1504:BK1528)</f>
        <v/>
      </c>
      <c r="BL1396">
        <f>SUM('19_Расчет_аналитики'!BL1476:BL1500,'19_Расчет_аналитики'!BL1504:BL1528)</f>
        <v/>
      </c>
      <c r="BM1396">
        <f>SUM('19_Расчет_аналитики'!BM1476:BM1500,'19_Расчет_аналитики'!BM1504:BM1528)</f>
        <v/>
      </c>
      <c r="BN1396">
        <f>SUM('19_Расчет_аналитики'!BN1476:BN1500,'19_Расчет_аналитики'!BN1504:BN1528)</f>
        <v/>
      </c>
      <c r="BO1396">
        <f>SUM('19_Расчет_аналитики'!BO1476:BO1500,'19_Расчет_аналитики'!BO1504:BO1528)</f>
        <v/>
      </c>
    </row>
    <row r="1397">
      <c r="B1397">
        <f>'19_Расчет_аналитики'!B1395+'19_Расчет_аналитики'!B1396</f>
        <v/>
      </c>
      <c r="C1397">
        <f>'19_Расчет_аналитики'!C1395+'19_Расчет_аналитики'!C1396</f>
        <v/>
      </c>
      <c r="D1397">
        <f>'19_Расчет_аналитики'!D1395+'19_Расчет_аналитики'!D1396</f>
        <v/>
      </c>
      <c r="E1397">
        <f>'19_Расчет_аналитики'!E1395+'19_Расчет_аналитики'!E1396</f>
        <v/>
      </c>
      <c r="F1397">
        <f>'19_Расчет_аналитики'!F1395+'19_Расчет_аналитики'!F1396</f>
        <v/>
      </c>
      <c r="G1397">
        <f>'19_Расчет_аналитики'!G1395+'19_Расчет_аналитики'!G1396</f>
        <v/>
      </c>
      <c r="H1397">
        <f>'19_Расчет_аналитики'!H1395+'19_Расчет_аналитики'!H1396</f>
        <v/>
      </c>
      <c r="I1397">
        <f>'19_Расчет_аналитики'!I1395+'19_Расчет_аналитики'!I1396</f>
        <v/>
      </c>
      <c r="J1397">
        <f>'19_Расчет_аналитики'!J1395+'19_Расчет_аналитики'!J1396</f>
        <v/>
      </c>
      <c r="K1397">
        <f>'19_Расчет_аналитики'!K1395+'19_Расчет_аналитики'!K1396</f>
        <v/>
      </c>
      <c r="L1397">
        <f>'19_Расчет_аналитики'!L1395+'19_Расчет_аналитики'!L1396</f>
        <v/>
      </c>
      <c r="M1397">
        <f>'19_Расчет_аналитики'!M1395+'19_Расчет_аналитики'!M1396</f>
        <v/>
      </c>
      <c r="N1397">
        <f>'19_Расчет_аналитики'!N1395+'19_Расчет_аналитики'!N1396</f>
        <v/>
      </c>
      <c r="O1397">
        <f>'19_Расчет_аналитики'!O1395+'19_Расчет_аналитики'!O1396</f>
        <v/>
      </c>
      <c r="P1397">
        <f>'19_Расчет_аналитики'!P1395+'19_Расчет_аналитики'!P1396</f>
        <v/>
      </c>
      <c r="Q1397">
        <f>'19_Расчет_аналитики'!Q1395+'19_Расчет_аналитики'!Q1396</f>
        <v/>
      </c>
      <c r="R1397">
        <f>'19_Расчет_аналитики'!R1395+'19_Расчет_аналитики'!R1396</f>
        <v/>
      </c>
      <c r="S1397">
        <f>'19_Расчет_аналитики'!S1395+'19_Расчет_аналитики'!S1396</f>
        <v/>
      </c>
      <c r="T1397">
        <f>'19_Расчет_аналитики'!T1395+'19_Расчет_аналитики'!T1396</f>
        <v/>
      </c>
      <c r="U1397">
        <f>'19_Расчет_аналитики'!U1395+'19_Расчет_аналитики'!U1396</f>
        <v/>
      </c>
      <c r="V1397">
        <f>'19_Расчет_аналитики'!V1395+'19_Расчет_аналитики'!V1396</f>
        <v/>
      </c>
      <c r="W1397">
        <f>'19_Расчет_аналитики'!W1395+'19_Расчет_аналитики'!W1396</f>
        <v/>
      </c>
      <c r="X1397">
        <f>'19_Расчет_аналитики'!X1395+'19_Расчет_аналитики'!X1396</f>
        <v/>
      </c>
      <c r="Y1397">
        <f>'19_Расчет_аналитики'!Y1395+'19_Расчет_аналитики'!Y1396</f>
        <v/>
      </c>
      <c r="Z1397">
        <f>'19_Расчет_аналитики'!Z1395+'19_Расчет_аналитики'!Z1396</f>
        <v/>
      </c>
      <c r="AA1397">
        <f>'19_Расчет_аналитики'!AA1395+'19_Расчет_аналитики'!AA1396</f>
        <v/>
      </c>
      <c r="AB1397">
        <f>'19_Расчет_аналитики'!AB1395+'19_Расчет_аналитики'!AB1396</f>
        <v/>
      </c>
      <c r="AC1397">
        <f>'19_Расчет_аналитики'!AC1395+'19_Расчет_аналитики'!AC1396</f>
        <v/>
      </c>
      <c r="AD1397">
        <f>'19_Расчет_аналитики'!AD1395+'19_Расчет_аналитики'!AD1396</f>
        <v/>
      </c>
      <c r="AE1397">
        <f>'19_Расчет_аналитики'!AE1395+'19_Расчет_аналитики'!AE1396</f>
        <v/>
      </c>
      <c r="AF1397">
        <f>'19_Расчет_аналитики'!AF1395+'19_Расчет_аналитики'!AF1396</f>
        <v/>
      </c>
      <c r="AG1397">
        <f>'19_Расчет_аналитики'!AG1395+'19_Расчет_аналитики'!AG1396</f>
        <v/>
      </c>
      <c r="AH1397">
        <f>'19_Расчет_аналитики'!AH1395+'19_Расчет_аналитики'!AH1396</f>
        <v/>
      </c>
      <c r="AI1397">
        <f>'19_Расчет_аналитики'!AI1395+'19_Расчет_аналитики'!AI1396</f>
        <v/>
      </c>
      <c r="AJ1397">
        <f>'19_Расчет_аналитики'!AJ1395+'19_Расчет_аналитики'!AJ1396</f>
        <v/>
      </c>
      <c r="AK1397">
        <f>'19_Расчет_аналитики'!AK1395+'19_Расчет_аналитики'!AK1396</f>
        <v/>
      </c>
      <c r="AL1397">
        <f>'19_Расчет_аналитики'!AL1395+'19_Расчет_аналитики'!AL1396</f>
        <v/>
      </c>
      <c r="AM1397">
        <f>'19_Расчет_аналитики'!AM1395+'19_Расчет_аналитики'!AM1396</f>
        <v/>
      </c>
      <c r="AN1397">
        <f>'19_Расчет_аналитики'!AN1395+'19_Расчет_аналитики'!AN1396</f>
        <v/>
      </c>
      <c r="AO1397">
        <f>'19_Расчет_аналитики'!AO1395+'19_Расчет_аналитики'!AO1396</f>
        <v/>
      </c>
      <c r="AP1397">
        <f>'19_Расчет_аналитики'!AP1395+'19_Расчет_аналитики'!AP1396</f>
        <v/>
      </c>
      <c r="AQ1397">
        <f>'19_Расчет_аналитики'!AQ1395+'19_Расчет_аналитики'!AQ1396</f>
        <v/>
      </c>
      <c r="AR1397">
        <f>'19_Расчет_аналитики'!AR1395+'19_Расчет_аналитики'!AR1396</f>
        <v/>
      </c>
      <c r="AS1397">
        <f>'19_Расчет_аналитики'!AS1395+'19_Расчет_аналитики'!AS1396</f>
        <v/>
      </c>
      <c r="AT1397">
        <f>'19_Расчет_аналитики'!AT1395+'19_Расчет_аналитики'!AT1396</f>
        <v/>
      </c>
      <c r="AU1397">
        <f>'19_Расчет_аналитики'!AU1395+'19_Расчет_аналитики'!AU1396</f>
        <v/>
      </c>
      <c r="AV1397">
        <f>'19_Расчет_аналитики'!AV1395+'19_Расчет_аналитики'!AV1396</f>
        <v/>
      </c>
      <c r="AW1397">
        <f>'19_Расчет_аналитики'!AW1395+'19_Расчет_аналитики'!AW1396</f>
        <v/>
      </c>
      <c r="AX1397">
        <f>'19_Расчет_аналитики'!AX1395+'19_Расчет_аналитики'!AX1396</f>
        <v/>
      </c>
      <c r="AY1397">
        <f>'19_Расчет_аналитики'!AY1395+'19_Расчет_аналитики'!AY1396</f>
        <v/>
      </c>
      <c r="AZ1397">
        <f>'19_Расчет_аналитики'!AZ1395+'19_Расчет_аналитики'!AZ1396</f>
        <v/>
      </c>
      <c r="BA1397">
        <f>'19_Расчет_аналитики'!BA1395+'19_Расчет_аналитики'!BA1396</f>
        <v/>
      </c>
      <c r="BB1397">
        <f>'19_Расчет_аналитики'!BB1395+'19_Расчет_аналитики'!BB1396</f>
        <v/>
      </c>
      <c r="BC1397">
        <f>'19_Расчет_аналитики'!BC1395+'19_Расчет_аналитики'!BC1396</f>
        <v/>
      </c>
      <c r="BD1397">
        <f>'19_Расчет_аналитики'!BD1395+'19_Расчет_аналитики'!BD1396</f>
        <v/>
      </c>
      <c r="BE1397">
        <f>'19_Расчет_аналитики'!BE1395+'19_Расчет_аналитики'!BE1396</f>
        <v/>
      </c>
      <c r="BF1397">
        <f>'19_Расчет_аналитики'!BF1395+'19_Расчет_аналитики'!BF1396</f>
        <v/>
      </c>
      <c r="BG1397">
        <f>'19_Расчет_аналитики'!BG1395+'19_Расчет_аналитики'!BG1396</f>
        <v/>
      </c>
      <c r="BH1397">
        <f>'19_Расчет_аналитики'!BH1395+'19_Расчет_аналитики'!BH1396</f>
        <v/>
      </c>
      <c r="BI1397">
        <f>'19_Расчет_аналитики'!BI1395+'19_Расчет_аналитики'!BI1396</f>
        <v/>
      </c>
      <c r="BJ1397">
        <f>'19_Расчет_аналитики'!BJ1395+'19_Расчет_аналитики'!BJ1396</f>
        <v/>
      </c>
      <c r="BK1397">
        <f>'19_Расчет_аналитики'!BK1395+'19_Расчет_аналитики'!BK1396</f>
        <v/>
      </c>
      <c r="BL1397">
        <f>'19_Расчет_аналитики'!BL1395+'19_Расчет_аналитики'!BL1396</f>
        <v/>
      </c>
      <c r="BM1397">
        <f>'19_Расчет_аналитики'!BM1395+'19_Расчет_аналитики'!BM1396</f>
        <v/>
      </c>
      <c r="BN1397">
        <f>'19_Расчет_аналитики'!BN1395+'19_Расчет_аналитики'!BN1396</f>
        <v/>
      </c>
      <c r="BO1397">
        <f>'19_Расчет_аналитики'!BO1395+'19_Расчет_аналитики'!BO1396</f>
        <v/>
      </c>
    </row>
    <row r="1398"/>
    <row r="1399"/>
    <row r="1400">
      <c r="B1400">
        <f>IF(OR(1&lt;='01_Вводные'!$B$15,1-'01_Вводные'!$B$15&gt;60),0,IF(INDEX('04_Продажи'!$B$11:$BI$11,1,1-'01_Вводные'!$B$15)&lt;='01_Вводные'!$B$244,'19_Расчет_аналитики'!B1375,0))</f>
        <v/>
      </c>
      <c r="C1400">
        <f>IF(OR(2&lt;='01_Вводные'!$B$15,2-'01_Вводные'!$B$15&gt;60),0,IF(INDEX('04_Продажи'!$B$11:$BI$11,1,2-'01_Вводные'!$B$15)&lt;='01_Вводные'!$B$244,'19_Расчет_аналитики'!C1375,0))</f>
        <v/>
      </c>
      <c r="D1400">
        <f>IF(OR(3&lt;='01_Вводные'!$B$15,3-'01_Вводные'!$B$15&gt;60),0,IF(INDEX('04_Продажи'!$B$11:$BI$11,1,3-'01_Вводные'!$B$15)&lt;='01_Вводные'!$B$244,'19_Расчет_аналитики'!D1375,0))</f>
        <v/>
      </c>
      <c r="E1400">
        <f>IF(OR(4&lt;='01_Вводные'!$B$15,4-'01_Вводные'!$B$15&gt;60),0,IF(INDEX('04_Продажи'!$B$11:$BI$11,1,4-'01_Вводные'!$B$15)&lt;='01_Вводные'!$B$244,'19_Расчет_аналитики'!E1375,0))</f>
        <v/>
      </c>
      <c r="F1400">
        <f>IF(OR(5&lt;='01_Вводные'!$B$15,5-'01_Вводные'!$B$15&gt;60),0,IF(INDEX('04_Продажи'!$B$11:$BI$11,1,5-'01_Вводные'!$B$15)&lt;='01_Вводные'!$B$244,'19_Расчет_аналитики'!F1375,0))</f>
        <v/>
      </c>
      <c r="G1400">
        <f>IF(OR(6&lt;='01_Вводные'!$B$15,6-'01_Вводные'!$B$15&gt;60),0,IF(INDEX('04_Продажи'!$B$11:$BI$11,1,6-'01_Вводные'!$B$15)&lt;='01_Вводные'!$B$244,'19_Расчет_аналитики'!G1375,0))</f>
        <v/>
      </c>
      <c r="H1400">
        <f>IF(OR(7&lt;='01_Вводные'!$B$15,7-'01_Вводные'!$B$15&gt;60),0,IF(INDEX('04_Продажи'!$B$11:$BI$11,1,7-'01_Вводные'!$B$15)&lt;='01_Вводные'!$B$244,'19_Расчет_аналитики'!H1375,0))</f>
        <v/>
      </c>
      <c r="I1400">
        <f>IF(OR(8&lt;='01_Вводные'!$B$15,8-'01_Вводные'!$B$15&gt;60),0,IF(INDEX('04_Продажи'!$B$11:$BI$11,1,8-'01_Вводные'!$B$15)&lt;='01_Вводные'!$B$244,'19_Расчет_аналитики'!I1375,0))</f>
        <v/>
      </c>
      <c r="J1400">
        <f>IF(OR(9&lt;='01_Вводные'!$B$15,9-'01_Вводные'!$B$15&gt;60),0,IF(INDEX('04_Продажи'!$B$11:$BI$11,1,9-'01_Вводные'!$B$15)&lt;='01_Вводные'!$B$244,'19_Расчет_аналитики'!J1375,0))</f>
        <v/>
      </c>
      <c r="K1400">
        <f>IF(OR(10&lt;='01_Вводные'!$B$15,10-'01_Вводные'!$B$15&gt;60),0,IF(INDEX('04_Продажи'!$B$11:$BI$11,1,10-'01_Вводные'!$B$15)&lt;='01_Вводные'!$B$244,'19_Расчет_аналитики'!K1375,0))</f>
        <v/>
      </c>
      <c r="L1400">
        <f>IF(OR(11&lt;='01_Вводные'!$B$15,11-'01_Вводные'!$B$15&gt;60),0,IF(INDEX('04_Продажи'!$B$11:$BI$11,1,11-'01_Вводные'!$B$15)&lt;='01_Вводные'!$B$244,'19_Расчет_аналитики'!L1375,0))</f>
        <v/>
      </c>
      <c r="M1400">
        <f>IF(OR(12&lt;='01_Вводные'!$B$15,12-'01_Вводные'!$B$15&gt;60),0,IF(INDEX('04_Продажи'!$B$11:$BI$11,1,12-'01_Вводные'!$B$15)&lt;='01_Вводные'!$B$244,'19_Расчет_аналитики'!M1375,0))</f>
        <v/>
      </c>
      <c r="N1400">
        <f>IF(OR(13&lt;='01_Вводные'!$B$15,13-'01_Вводные'!$B$15&gt;60),0,IF(INDEX('04_Продажи'!$B$11:$BI$11,1,13-'01_Вводные'!$B$15)&lt;='01_Вводные'!$B$244,'19_Расчет_аналитики'!N1375,0))</f>
        <v/>
      </c>
      <c r="O1400">
        <f>IF(OR(14&lt;='01_Вводные'!$B$15,14-'01_Вводные'!$B$15&gt;60),0,IF(INDEX('04_Продажи'!$B$11:$BI$11,1,14-'01_Вводные'!$B$15)&lt;='01_Вводные'!$B$244,'19_Расчет_аналитики'!O1375,0))</f>
        <v/>
      </c>
      <c r="P1400">
        <f>IF(OR(15&lt;='01_Вводные'!$B$15,15-'01_Вводные'!$B$15&gt;60),0,IF(INDEX('04_Продажи'!$B$11:$BI$11,1,15-'01_Вводные'!$B$15)&lt;='01_Вводные'!$B$244,'19_Расчет_аналитики'!P1375,0))</f>
        <v/>
      </c>
      <c r="Q1400">
        <f>IF(OR(16&lt;='01_Вводные'!$B$15,16-'01_Вводные'!$B$15&gt;60),0,IF(INDEX('04_Продажи'!$B$11:$BI$11,1,16-'01_Вводные'!$B$15)&lt;='01_Вводные'!$B$244,'19_Расчет_аналитики'!Q1375,0))</f>
        <v/>
      </c>
      <c r="R1400">
        <f>IF(OR(17&lt;='01_Вводные'!$B$15,17-'01_Вводные'!$B$15&gt;60),0,IF(INDEX('04_Продажи'!$B$11:$BI$11,1,17-'01_Вводные'!$B$15)&lt;='01_Вводные'!$B$244,'19_Расчет_аналитики'!R1375,0))</f>
        <v/>
      </c>
      <c r="S1400">
        <f>IF(OR(18&lt;='01_Вводные'!$B$15,18-'01_Вводные'!$B$15&gt;60),0,IF(INDEX('04_Продажи'!$B$11:$BI$11,1,18-'01_Вводные'!$B$15)&lt;='01_Вводные'!$B$244,'19_Расчет_аналитики'!S1375,0))</f>
        <v/>
      </c>
      <c r="T1400">
        <f>IF(OR(19&lt;='01_Вводные'!$B$15,19-'01_Вводные'!$B$15&gt;60),0,IF(INDEX('04_Продажи'!$B$11:$BI$11,1,19-'01_Вводные'!$B$15)&lt;='01_Вводные'!$B$244,'19_Расчет_аналитики'!T1375,0))</f>
        <v/>
      </c>
      <c r="U1400">
        <f>IF(OR(20&lt;='01_Вводные'!$B$15,20-'01_Вводные'!$B$15&gt;60),0,IF(INDEX('04_Продажи'!$B$11:$BI$11,1,20-'01_Вводные'!$B$15)&lt;='01_Вводные'!$B$244,'19_Расчет_аналитики'!U1375,0))</f>
        <v/>
      </c>
      <c r="V1400">
        <f>IF(OR(21&lt;='01_Вводные'!$B$15,21-'01_Вводные'!$B$15&gt;60),0,IF(INDEX('04_Продажи'!$B$11:$BI$11,1,21-'01_Вводные'!$B$15)&lt;='01_Вводные'!$B$244,'19_Расчет_аналитики'!V1375,0))</f>
        <v/>
      </c>
      <c r="W1400">
        <f>IF(OR(22&lt;='01_Вводные'!$B$15,22-'01_Вводные'!$B$15&gt;60),0,IF(INDEX('04_Продажи'!$B$11:$BI$11,1,22-'01_Вводные'!$B$15)&lt;='01_Вводные'!$B$244,'19_Расчет_аналитики'!W1375,0))</f>
        <v/>
      </c>
      <c r="X1400">
        <f>IF(OR(23&lt;='01_Вводные'!$B$15,23-'01_Вводные'!$B$15&gt;60),0,IF(INDEX('04_Продажи'!$B$11:$BI$11,1,23-'01_Вводные'!$B$15)&lt;='01_Вводные'!$B$244,'19_Расчет_аналитики'!X1375,0))</f>
        <v/>
      </c>
      <c r="Y1400">
        <f>IF(OR(24&lt;='01_Вводные'!$B$15,24-'01_Вводные'!$B$15&gt;60),0,IF(INDEX('04_Продажи'!$B$11:$BI$11,1,24-'01_Вводные'!$B$15)&lt;='01_Вводные'!$B$244,'19_Расчет_аналитики'!Y1375,0))</f>
        <v/>
      </c>
      <c r="Z1400">
        <f>IF(OR(25&lt;='01_Вводные'!$B$15,25-'01_Вводные'!$B$15&gt;60),0,IF(INDEX('04_Продажи'!$B$11:$BI$11,1,25-'01_Вводные'!$B$15)&lt;='01_Вводные'!$B$244,'19_Расчет_аналитики'!Z1375,0))</f>
        <v/>
      </c>
      <c r="AA1400">
        <f>IF(OR(26&lt;='01_Вводные'!$B$15,26-'01_Вводные'!$B$15&gt;60),0,IF(INDEX('04_Продажи'!$B$11:$BI$11,1,26-'01_Вводные'!$B$15)&lt;='01_Вводные'!$B$244,'19_Расчет_аналитики'!AA1375,0))</f>
        <v/>
      </c>
      <c r="AB1400">
        <f>IF(OR(27&lt;='01_Вводные'!$B$15,27-'01_Вводные'!$B$15&gt;60),0,IF(INDEX('04_Продажи'!$B$11:$BI$11,1,27-'01_Вводные'!$B$15)&lt;='01_Вводные'!$B$244,'19_Расчет_аналитики'!AB1375,0))</f>
        <v/>
      </c>
      <c r="AC1400">
        <f>IF(OR(28&lt;='01_Вводные'!$B$15,28-'01_Вводные'!$B$15&gt;60),0,IF(INDEX('04_Продажи'!$B$11:$BI$11,1,28-'01_Вводные'!$B$15)&lt;='01_Вводные'!$B$244,'19_Расчет_аналитики'!AC1375,0))</f>
        <v/>
      </c>
      <c r="AD1400">
        <f>IF(OR(29&lt;='01_Вводные'!$B$15,29-'01_Вводные'!$B$15&gt;60),0,IF(INDEX('04_Продажи'!$B$11:$BI$11,1,29-'01_Вводные'!$B$15)&lt;='01_Вводные'!$B$244,'19_Расчет_аналитики'!AD1375,0))</f>
        <v/>
      </c>
      <c r="AE1400">
        <f>IF(OR(30&lt;='01_Вводные'!$B$15,30-'01_Вводные'!$B$15&gt;60),0,IF(INDEX('04_Продажи'!$B$11:$BI$11,1,30-'01_Вводные'!$B$15)&lt;='01_Вводные'!$B$244,'19_Расчет_аналитики'!AE1375,0))</f>
        <v/>
      </c>
      <c r="AF1400">
        <f>IF(OR(31&lt;='01_Вводные'!$B$15,31-'01_Вводные'!$B$15&gt;60),0,IF(INDEX('04_Продажи'!$B$11:$BI$11,1,31-'01_Вводные'!$B$15)&lt;='01_Вводные'!$B$244,'19_Расчет_аналитики'!AF1375,0))</f>
        <v/>
      </c>
      <c r="AG1400">
        <f>IF(OR(32&lt;='01_Вводные'!$B$15,32-'01_Вводные'!$B$15&gt;60),0,IF(INDEX('04_Продажи'!$B$11:$BI$11,1,32-'01_Вводные'!$B$15)&lt;='01_Вводные'!$B$244,'19_Расчет_аналитики'!AG1375,0))</f>
        <v/>
      </c>
      <c r="AH1400">
        <f>IF(OR(33&lt;='01_Вводные'!$B$15,33-'01_Вводные'!$B$15&gt;60),0,IF(INDEX('04_Продажи'!$B$11:$BI$11,1,33-'01_Вводные'!$B$15)&lt;='01_Вводные'!$B$244,'19_Расчет_аналитики'!AH1375,0))</f>
        <v/>
      </c>
      <c r="AI1400">
        <f>IF(OR(34&lt;='01_Вводные'!$B$15,34-'01_Вводные'!$B$15&gt;60),0,IF(INDEX('04_Продажи'!$B$11:$BI$11,1,34-'01_Вводные'!$B$15)&lt;='01_Вводные'!$B$244,'19_Расчет_аналитики'!AI1375,0))</f>
        <v/>
      </c>
      <c r="AJ1400">
        <f>IF(OR(35&lt;='01_Вводные'!$B$15,35-'01_Вводные'!$B$15&gt;60),0,IF(INDEX('04_Продажи'!$B$11:$BI$11,1,35-'01_Вводные'!$B$15)&lt;='01_Вводные'!$B$244,'19_Расчет_аналитики'!AJ1375,0))</f>
        <v/>
      </c>
      <c r="AK1400">
        <f>IF(OR(36&lt;='01_Вводные'!$B$15,36-'01_Вводные'!$B$15&gt;60),0,IF(INDEX('04_Продажи'!$B$11:$BI$11,1,36-'01_Вводные'!$B$15)&lt;='01_Вводные'!$B$244,'19_Расчет_аналитики'!AK1375,0))</f>
        <v/>
      </c>
      <c r="AL1400">
        <f>IF(OR(37&lt;='01_Вводные'!$B$15,37-'01_Вводные'!$B$15&gt;60),0,IF(INDEX('04_Продажи'!$B$11:$BI$11,1,37-'01_Вводные'!$B$15)&lt;='01_Вводные'!$B$244,'19_Расчет_аналитики'!AL1375,0))</f>
        <v/>
      </c>
      <c r="AM1400">
        <f>IF(OR(38&lt;='01_Вводные'!$B$15,38-'01_Вводные'!$B$15&gt;60),0,IF(INDEX('04_Продажи'!$B$11:$BI$11,1,38-'01_Вводные'!$B$15)&lt;='01_Вводные'!$B$244,'19_Расчет_аналитики'!AM1375,0))</f>
        <v/>
      </c>
      <c r="AN1400">
        <f>IF(OR(39&lt;='01_Вводные'!$B$15,39-'01_Вводные'!$B$15&gt;60),0,IF(INDEX('04_Продажи'!$B$11:$BI$11,1,39-'01_Вводные'!$B$15)&lt;='01_Вводные'!$B$244,'19_Расчет_аналитики'!AN1375,0))</f>
        <v/>
      </c>
      <c r="AO1400">
        <f>IF(OR(40&lt;='01_Вводные'!$B$15,40-'01_Вводные'!$B$15&gt;60),0,IF(INDEX('04_Продажи'!$B$11:$BI$11,1,40-'01_Вводные'!$B$15)&lt;='01_Вводные'!$B$244,'19_Расчет_аналитики'!AO1375,0))</f>
        <v/>
      </c>
      <c r="AP1400">
        <f>IF(OR(41&lt;='01_Вводные'!$B$15,41-'01_Вводные'!$B$15&gt;60),0,IF(INDEX('04_Продажи'!$B$11:$BI$11,1,41-'01_Вводные'!$B$15)&lt;='01_Вводные'!$B$244,'19_Расчет_аналитики'!AP1375,0))</f>
        <v/>
      </c>
      <c r="AQ1400">
        <f>IF(OR(42&lt;='01_Вводные'!$B$15,42-'01_Вводные'!$B$15&gt;60),0,IF(INDEX('04_Продажи'!$B$11:$BI$11,1,42-'01_Вводные'!$B$15)&lt;='01_Вводные'!$B$244,'19_Расчет_аналитики'!AQ1375,0))</f>
        <v/>
      </c>
      <c r="AR1400">
        <f>IF(OR(43&lt;='01_Вводные'!$B$15,43-'01_Вводные'!$B$15&gt;60),0,IF(INDEX('04_Продажи'!$B$11:$BI$11,1,43-'01_Вводные'!$B$15)&lt;='01_Вводные'!$B$244,'19_Расчет_аналитики'!AR1375,0))</f>
        <v/>
      </c>
      <c r="AS1400">
        <f>IF(OR(44&lt;='01_Вводные'!$B$15,44-'01_Вводные'!$B$15&gt;60),0,IF(INDEX('04_Продажи'!$B$11:$BI$11,1,44-'01_Вводные'!$B$15)&lt;='01_Вводные'!$B$244,'19_Расчет_аналитики'!AS1375,0))</f>
        <v/>
      </c>
      <c r="AT1400">
        <f>IF(OR(45&lt;='01_Вводные'!$B$15,45-'01_Вводные'!$B$15&gt;60),0,IF(INDEX('04_Продажи'!$B$11:$BI$11,1,45-'01_Вводные'!$B$15)&lt;='01_Вводные'!$B$244,'19_Расчет_аналитики'!AT1375,0))</f>
        <v/>
      </c>
      <c r="AU1400">
        <f>IF(OR(46&lt;='01_Вводные'!$B$15,46-'01_Вводные'!$B$15&gt;60),0,IF(INDEX('04_Продажи'!$B$11:$BI$11,1,46-'01_Вводные'!$B$15)&lt;='01_Вводные'!$B$244,'19_Расчет_аналитики'!AU1375,0))</f>
        <v/>
      </c>
      <c r="AV1400">
        <f>IF(OR(47&lt;='01_Вводные'!$B$15,47-'01_Вводные'!$B$15&gt;60),0,IF(INDEX('04_Продажи'!$B$11:$BI$11,1,47-'01_Вводные'!$B$15)&lt;='01_Вводные'!$B$244,'19_Расчет_аналитики'!AV1375,0))</f>
        <v/>
      </c>
      <c r="AW1400">
        <f>IF(OR(48&lt;='01_Вводные'!$B$15,48-'01_Вводные'!$B$15&gt;60),0,IF(INDEX('04_Продажи'!$B$11:$BI$11,1,48-'01_Вводные'!$B$15)&lt;='01_Вводные'!$B$244,'19_Расчет_аналитики'!AW1375,0))</f>
        <v/>
      </c>
      <c r="AX1400">
        <f>IF(OR(49&lt;='01_Вводные'!$B$15,49-'01_Вводные'!$B$15&gt;60),0,IF(INDEX('04_Продажи'!$B$11:$BI$11,1,49-'01_Вводные'!$B$15)&lt;='01_Вводные'!$B$244,'19_Расчет_аналитики'!AX1375,0))</f>
        <v/>
      </c>
      <c r="AY1400">
        <f>IF(OR(50&lt;='01_Вводные'!$B$15,50-'01_Вводные'!$B$15&gt;60),0,IF(INDEX('04_Продажи'!$B$11:$BI$11,1,50-'01_Вводные'!$B$15)&lt;='01_Вводные'!$B$244,'19_Расчет_аналитики'!AY1375,0))</f>
        <v/>
      </c>
      <c r="AZ1400">
        <f>IF(OR(51&lt;='01_Вводные'!$B$15,51-'01_Вводные'!$B$15&gt;60),0,IF(INDEX('04_Продажи'!$B$11:$BI$11,1,51-'01_Вводные'!$B$15)&lt;='01_Вводные'!$B$244,'19_Расчет_аналитики'!AZ1375,0))</f>
        <v/>
      </c>
      <c r="BA1400">
        <f>IF(OR(52&lt;='01_Вводные'!$B$15,52-'01_Вводные'!$B$15&gt;60),0,IF(INDEX('04_Продажи'!$B$11:$BI$11,1,52-'01_Вводные'!$B$15)&lt;='01_Вводные'!$B$244,'19_Расчет_аналитики'!BA1375,0))</f>
        <v/>
      </c>
      <c r="BB1400">
        <f>IF(OR(53&lt;='01_Вводные'!$B$15,53-'01_Вводные'!$B$15&gt;60),0,IF(INDEX('04_Продажи'!$B$11:$BI$11,1,53-'01_Вводные'!$B$15)&lt;='01_Вводные'!$B$244,'19_Расчет_аналитики'!BB1375,0))</f>
        <v/>
      </c>
      <c r="BC1400">
        <f>IF(OR(54&lt;='01_Вводные'!$B$15,54-'01_Вводные'!$B$15&gt;60),0,IF(INDEX('04_Продажи'!$B$11:$BI$11,1,54-'01_Вводные'!$B$15)&lt;='01_Вводные'!$B$244,'19_Расчет_аналитики'!BC1375,0))</f>
        <v/>
      </c>
      <c r="BD1400">
        <f>IF(OR(55&lt;='01_Вводные'!$B$15,55-'01_Вводные'!$B$15&gt;60),0,IF(INDEX('04_Продажи'!$B$11:$BI$11,1,55-'01_Вводные'!$B$15)&lt;='01_Вводные'!$B$244,'19_Расчет_аналитики'!BD1375,0))</f>
        <v/>
      </c>
      <c r="BE1400">
        <f>IF(OR(56&lt;='01_Вводные'!$B$15,56-'01_Вводные'!$B$15&gt;60),0,IF(INDEX('04_Продажи'!$B$11:$BI$11,1,56-'01_Вводные'!$B$15)&lt;='01_Вводные'!$B$244,'19_Расчет_аналитики'!BE1375,0))</f>
        <v/>
      </c>
      <c r="BF1400">
        <f>IF(OR(57&lt;='01_Вводные'!$B$15,57-'01_Вводные'!$B$15&gt;60),0,IF(INDEX('04_Продажи'!$B$11:$BI$11,1,57-'01_Вводные'!$B$15)&lt;='01_Вводные'!$B$244,'19_Расчет_аналитики'!BF1375,0))</f>
        <v/>
      </c>
      <c r="BG1400">
        <f>IF(OR(58&lt;='01_Вводные'!$B$15,58-'01_Вводные'!$B$15&gt;60),0,IF(INDEX('04_Продажи'!$B$11:$BI$11,1,58-'01_Вводные'!$B$15)&lt;='01_Вводные'!$B$244,'19_Расчет_аналитики'!BG1375,0))</f>
        <v/>
      </c>
      <c r="BH1400">
        <f>IF(OR(59&lt;='01_Вводные'!$B$15,59-'01_Вводные'!$B$15&gt;60),0,IF(INDEX('04_Продажи'!$B$11:$BI$11,1,59-'01_Вводные'!$B$15)&lt;='01_Вводные'!$B$244,'19_Расчет_аналитики'!BH1375,0))</f>
        <v/>
      </c>
      <c r="BI1400">
        <f>IF(OR(60&lt;='01_Вводные'!$B$15,60-'01_Вводные'!$B$15&gt;60),0,IF(INDEX('04_Продажи'!$B$11:$BI$11,1,60-'01_Вводные'!$B$15)&lt;='01_Вводные'!$B$244,'19_Расчет_аналитики'!BI1375,0))</f>
        <v/>
      </c>
      <c r="BJ1400">
        <f>IF(OR(61&lt;='01_Вводные'!$B$15,61-'01_Вводные'!$B$15&gt;60),0,IF(INDEX('04_Продажи'!$B$11:$BI$11,1,61-'01_Вводные'!$B$15)&lt;='01_Вводные'!$B$244,'19_Расчет_аналитики'!BJ1375,0))</f>
        <v/>
      </c>
      <c r="BK1400">
        <f>IF(OR(62&lt;='01_Вводные'!$B$15,62-'01_Вводные'!$B$15&gt;60),0,IF(INDEX('04_Продажи'!$B$11:$BI$11,1,62-'01_Вводные'!$B$15)&lt;='01_Вводные'!$B$244,'19_Расчет_аналитики'!BK1375,0))</f>
        <v/>
      </c>
      <c r="BL1400">
        <f>IF(OR(63&lt;='01_Вводные'!$B$15,63-'01_Вводные'!$B$15&gt;60),0,IF(INDEX('04_Продажи'!$B$11:$BI$11,1,63-'01_Вводные'!$B$15)&lt;='01_Вводные'!$B$244,'19_Расчет_аналитики'!BL1375,0))</f>
        <v/>
      </c>
      <c r="BM1400">
        <f>IF(OR(64&lt;='01_Вводные'!$B$15,64-'01_Вводные'!$B$15&gt;60),0,IF(INDEX('04_Продажи'!$B$11:$BI$11,1,64-'01_Вводные'!$B$15)&lt;='01_Вводные'!$B$244,'19_Расчет_аналитики'!BM1375,0))</f>
        <v/>
      </c>
      <c r="BN1400">
        <f>IF(OR(65&lt;='01_Вводные'!$B$15,65-'01_Вводные'!$B$15&gt;60),0,IF(INDEX('04_Продажи'!$B$11:$BI$11,1,65-'01_Вводные'!$B$15)&lt;='01_Вводные'!$B$244,'19_Расчет_аналитики'!BN1375,0))</f>
        <v/>
      </c>
      <c r="BO1400">
        <f>IF(OR(66&lt;='01_Вводные'!$B$15,66-'01_Вводные'!$B$15&gt;60),0,IF(INDEX('04_Продажи'!$B$11:$BI$11,1,66-'01_Вводные'!$B$15)&lt;='01_Вводные'!$B$244,'19_Расчет_аналитики'!BO1375,0))</f>
        <v/>
      </c>
    </row>
    <row r="1401">
      <c r="B1401">
        <f>SUM('19_Расчет_аналитики'!B1448:B1459)</f>
        <v/>
      </c>
      <c r="C1401">
        <f>SUM('19_Расчет_аналитики'!C1448:C1459)</f>
        <v/>
      </c>
      <c r="D1401">
        <f>SUM('19_Расчет_аналитики'!D1448:D1459)</f>
        <v/>
      </c>
      <c r="E1401">
        <f>SUM('19_Расчет_аналитики'!E1448:E1459)</f>
        <v/>
      </c>
      <c r="F1401">
        <f>SUM('19_Расчет_аналитики'!F1448:F1459)</f>
        <v/>
      </c>
      <c r="G1401">
        <f>SUM('19_Расчет_аналитики'!G1448:G1459)</f>
        <v/>
      </c>
      <c r="H1401">
        <f>SUM('19_Расчет_аналитики'!H1448:H1459)</f>
        <v/>
      </c>
      <c r="I1401">
        <f>SUM('19_Расчет_аналитики'!I1448:I1459)</f>
        <v/>
      </c>
      <c r="J1401">
        <f>SUM('19_Расчет_аналитики'!J1448:J1459)</f>
        <v/>
      </c>
      <c r="K1401">
        <f>SUM('19_Расчет_аналитики'!K1448:K1459)</f>
        <v/>
      </c>
      <c r="L1401">
        <f>SUM('19_Расчет_аналитики'!L1448:L1459)</f>
        <v/>
      </c>
      <c r="M1401">
        <f>SUM('19_Расчет_аналитики'!M1448:M1459)</f>
        <v/>
      </c>
      <c r="N1401">
        <f>SUM('19_Расчет_аналитики'!N1448:N1459)</f>
        <v/>
      </c>
      <c r="O1401">
        <f>SUM('19_Расчет_аналитики'!O1448:O1459)</f>
        <v/>
      </c>
      <c r="P1401">
        <f>SUM('19_Расчет_аналитики'!P1448:P1459)</f>
        <v/>
      </c>
      <c r="Q1401">
        <f>SUM('19_Расчет_аналитики'!Q1448:Q1459)</f>
        <v/>
      </c>
      <c r="R1401">
        <f>SUM('19_Расчет_аналитики'!R1448:R1459)</f>
        <v/>
      </c>
      <c r="S1401">
        <f>SUM('19_Расчет_аналитики'!S1448:S1459)</f>
        <v/>
      </c>
      <c r="T1401">
        <f>SUM('19_Расчет_аналитики'!T1448:T1459)</f>
        <v/>
      </c>
      <c r="U1401">
        <f>SUM('19_Расчет_аналитики'!U1448:U1459)</f>
        <v/>
      </c>
      <c r="V1401">
        <f>SUM('19_Расчет_аналитики'!V1448:V1459)</f>
        <v/>
      </c>
      <c r="W1401">
        <f>SUM('19_Расчет_аналитики'!W1448:W1459)</f>
        <v/>
      </c>
      <c r="X1401">
        <f>SUM('19_Расчет_аналитики'!X1448:X1459)</f>
        <v/>
      </c>
      <c r="Y1401">
        <f>SUM('19_Расчет_аналитики'!Y1448:Y1459)</f>
        <v/>
      </c>
      <c r="Z1401">
        <f>SUM('19_Расчет_аналитики'!Z1448:Z1459)</f>
        <v/>
      </c>
      <c r="AA1401">
        <f>SUM('19_Расчет_аналитики'!AA1448:AA1459)</f>
        <v/>
      </c>
      <c r="AB1401">
        <f>SUM('19_Расчет_аналитики'!AB1448:AB1459)</f>
        <v/>
      </c>
      <c r="AC1401">
        <f>SUM('19_Расчет_аналитики'!AC1448:AC1459)</f>
        <v/>
      </c>
      <c r="AD1401">
        <f>SUM('19_Расчет_аналитики'!AD1448:AD1459)</f>
        <v/>
      </c>
      <c r="AE1401">
        <f>SUM('19_Расчет_аналитики'!AE1448:AE1459)</f>
        <v/>
      </c>
      <c r="AF1401">
        <f>SUM('19_Расчет_аналитики'!AF1448:AF1459)</f>
        <v/>
      </c>
      <c r="AG1401">
        <f>SUM('19_Расчет_аналитики'!AG1448:AG1459)</f>
        <v/>
      </c>
      <c r="AH1401">
        <f>SUM('19_Расчет_аналитики'!AH1448:AH1459)</f>
        <v/>
      </c>
      <c r="AI1401">
        <f>SUM('19_Расчет_аналитики'!AI1448:AI1459)</f>
        <v/>
      </c>
      <c r="AJ1401">
        <f>SUM('19_Расчет_аналитики'!AJ1448:AJ1459)</f>
        <v/>
      </c>
      <c r="AK1401">
        <f>SUM('19_Расчет_аналитики'!AK1448:AK1459)</f>
        <v/>
      </c>
      <c r="AL1401">
        <f>SUM('19_Расчет_аналитики'!AL1448:AL1459)</f>
        <v/>
      </c>
      <c r="AM1401">
        <f>SUM('19_Расчет_аналитики'!AM1448:AM1459)</f>
        <v/>
      </c>
      <c r="AN1401">
        <f>SUM('19_Расчет_аналитики'!AN1448:AN1459)</f>
        <v/>
      </c>
      <c r="AO1401">
        <f>SUM('19_Расчет_аналитики'!AO1448:AO1459)</f>
        <v/>
      </c>
      <c r="AP1401">
        <f>SUM('19_Расчет_аналитики'!AP1448:AP1459)</f>
        <v/>
      </c>
      <c r="AQ1401">
        <f>SUM('19_Расчет_аналитики'!AQ1448:AQ1459)</f>
        <v/>
      </c>
      <c r="AR1401">
        <f>SUM('19_Расчет_аналитики'!AR1448:AR1459)</f>
        <v/>
      </c>
      <c r="AS1401">
        <f>SUM('19_Расчет_аналитики'!AS1448:AS1459)</f>
        <v/>
      </c>
      <c r="AT1401">
        <f>SUM('19_Расчет_аналитики'!AT1448:AT1459)</f>
        <v/>
      </c>
      <c r="AU1401">
        <f>SUM('19_Расчет_аналитики'!AU1448:AU1459)</f>
        <v/>
      </c>
      <c r="AV1401">
        <f>SUM('19_Расчет_аналитики'!AV1448:AV1459)</f>
        <v/>
      </c>
      <c r="AW1401">
        <f>SUM('19_Расчет_аналитики'!AW1448:AW1459)</f>
        <v/>
      </c>
      <c r="AX1401">
        <f>SUM('19_Расчет_аналитики'!AX1448:AX1459)</f>
        <v/>
      </c>
      <c r="AY1401">
        <f>SUM('19_Расчет_аналитики'!AY1448:AY1459)</f>
        <v/>
      </c>
      <c r="AZ1401">
        <f>SUM('19_Расчет_аналитики'!AZ1448:AZ1459)</f>
        <v/>
      </c>
      <c r="BA1401">
        <f>SUM('19_Расчет_аналитики'!BA1448:BA1459)</f>
        <v/>
      </c>
      <c r="BB1401">
        <f>SUM('19_Расчет_аналитики'!BB1448:BB1459)</f>
        <v/>
      </c>
      <c r="BC1401">
        <f>SUM('19_Расчет_аналитики'!BC1448:BC1459)</f>
        <v/>
      </c>
      <c r="BD1401">
        <f>SUM('19_Расчет_аналитики'!BD1448:BD1459)</f>
        <v/>
      </c>
      <c r="BE1401">
        <f>SUM('19_Расчет_аналитики'!BE1448:BE1459)</f>
        <v/>
      </c>
      <c r="BF1401">
        <f>SUM('19_Расчет_аналитики'!BF1448:BF1459)</f>
        <v/>
      </c>
      <c r="BG1401">
        <f>SUM('19_Расчет_аналитики'!BG1448:BG1459)</f>
        <v/>
      </c>
      <c r="BH1401">
        <f>SUM('19_Расчет_аналитики'!BH1448:BH1459)</f>
        <v/>
      </c>
      <c r="BI1401">
        <f>SUM('19_Расчет_аналитики'!BI1448:BI1459)</f>
        <v/>
      </c>
      <c r="BJ1401">
        <f>SUM('19_Расчет_аналитики'!BJ1448:BJ1459)</f>
        <v/>
      </c>
      <c r="BK1401">
        <f>SUM('19_Расчет_аналитики'!BK1448:BK1459)</f>
        <v/>
      </c>
      <c r="BL1401">
        <f>SUM('19_Расчет_аналитики'!BL1448:BL1459)</f>
        <v/>
      </c>
      <c r="BM1401">
        <f>SUM('19_Расчет_аналитики'!BM1448:BM1459)</f>
        <v/>
      </c>
      <c r="BN1401">
        <f>SUM('19_Расчет_аналитики'!BN1448:BN1459)</f>
        <v/>
      </c>
      <c r="BO1401">
        <f>SUM('19_Расчет_аналитики'!BO1448:BO1459)</f>
        <v/>
      </c>
    </row>
    <row r="1402"/>
    <row r="1403">
      <c r="B1403">
        <f>MAX(0,'19_Расчет_аналитики'!B1380-'19_Расчет_аналитики'!B1401)</f>
        <v/>
      </c>
      <c r="C1403">
        <f>MAX(0,'19_Расчет_аналитики'!C1380-'19_Расчет_аналитики'!C1401)</f>
        <v/>
      </c>
      <c r="D1403">
        <f>MAX(0,'19_Расчет_аналитики'!D1380-'19_Расчет_аналитики'!D1401)</f>
        <v/>
      </c>
      <c r="E1403">
        <f>MAX(0,'19_Расчет_аналитики'!E1380-'19_Расчет_аналитики'!E1401)</f>
        <v/>
      </c>
      <c r="F1403">
        <f>MAX(0,'19_Расчет_аналитики'!F1380-'19_Расчет_аналитики'!F1401)</f>
        <v/>
      </c>
      <c r="G1403">
        <f>MAX(0,'19_Расчет_аналитики'!G1380-'19_Расчет_аналитики'!G1401)</f>
        <v/>
      </c>
      <c r="H1403">
        <f>MAX(0,'19_Расчет_аналитики'!H1380-'19_Расчет_аналитики'!H1401)</f>
        <v/>
      </c>
      <c r="I1403">
        <f>MAX(0,'19_Расчет_аналитики'!I1380-'19_Расчет_аналитики'!I1401)</f>
        <v/>
      </c>
      <c r="J1403">
        <f>MAX(0,'19_Расчет_аналитики'!J1380-'19_Расчет_аналитики'!J1401)</f>
        <v/>
      </c>
      <c r="K1403">
        <f>MAX(0,'19_Расчет_аналитики'!K1380-'19_Расчет_аналитики'!K1401)</f>
        <v/>
      </c>
      <c r="L1403">
        <f>MAX(0,'19_Расчет_аналитики'!L1380-'19_Расчет_аналитики'!L1401)</f>
        <v/>
      </c>
      <c r="M1403">
        <f>MAX(0,'19_Расчет_аналитики'!M1380-'19_Расчет_аналитики'!M1401)</f>
        <v/>
      </c>
      <c r="N1403">
        <f>MAX(0,'19_Расчет_аналитики'!N1380-'19_Расчет_аналитики'!N1401)</f>
        <v/>
      </c>
      <c r="O1403">
        <f>MAX(0,'19_Расчет_аналитики'!O1380-'19_Расчет_аналитики'!O1401)</f>
        <v/>
      </c>
      <c r="P1403">
        <f>MAX(0,'19_Расчет_аналитики'!P1380-'19_Расчет_аналитики'!P1401)</f>
        <v/>
      </c>
      <c r="Q1403">
        <f>MAX(0,'19_Расчет_аналитики'!Q1380-'19_Расчет_аналитики'!Q1401)</f>
        <v/>
      </c>
      <c r="R1403">
        <f>MAX(0,'19_Расчет_аналитики'!R1380-'19_Расчет_аналитики'!R1401)</f>
        <v/>
      </c>
      <c r="S1403">
        <f>MAX(0,'19_Расчет_аналитики'!S1380-'19_Расчет_аналитики'!S1401)</f>
        <v/>
      </c>
      <c r="T1403">
        <f>MAX(0,'19_Расчет_аналитики'!T1380-'19_Расчет_аналитики'!T1401)</f>
        <v/>
      </c>
      <c r="U1403">
        <f>MAX(0,'19_Расчет_аналитики'!U1380-'19_Расчет_аналитики'!U1401)</f>
        <v/>
      </c>
      <c r="V1403">
        <f>MAX(0,'19_Расчет_аналитики'!V1380-'19_Расчет_аналитики'!V1401)</f>
        <v/>
      </c>
      <c r="W1403">
        <f>MAX(0,'19_Расчет_аналитики'!W1380-'19_Расчет_аналитики'!W1401)</f>
        <v/>
      </c>
      <c r="X1403">
        <f>MAX(0,'19_Расчет_аналитики'!X1380-'19_Расчет_аналитики'!X1401)</f>
        <v/>
      </c>
      <c r="Y1403">
        <f>MAX(0,'19_Расчет_аналитики'!Y1380-'19_Расчет_аналитики'!Y1401)</f>
        <v/>
      </c>
      <c r="Z1403">
        <f>MAX(0,'19_Расчет_аналитики'!Z1380-'19_Расчет_аналитики'!Z1401)</f>
        <v/>
      </c>
      <c r="AA1403">
        <f>MAX(0,'19_Расчет_аналитики'!AA1380-'19_Расчет_аналитики'!AA1401)</f>
        <v/>
      </c>
      <c r="AB1403">
        <f>MAX(0,'19_Расчет_аналитики'!AB1380-'19_Расчет_аналитики'!AB1401)</f>
        <v/>
      </c>
      <c r="AC1403">
        <f>MAX(0,'19_Расчет_аналитики'!AC1380-'19_Расчет_аналитики'!AC1401)</f>
        <v/>
      </c>
      <c r="AD1403">
        <f>MAX(0,'19_Расчет_аналитики'!AD1380-'19_Расчет_аналитики'!AD1401)</f>
        <v/>
      </c>
      <c r="AE1403">
        <f>MAX(0,'19_Расчет_аналитики'!AE1380-'19_Расчет_аналитики'!AE1401)</f>
        <v/>
      </c>
      <c r="AF1403">
        <f>MAX(0,'19_Расчет_аналитики'!AF1380-'19_Расчет_аналитики'!AF1401)</f>
        <v/>
      </c>
      <c r="AG1403">
        <f>MAX(0,'19_Расчет_аналитики'!AG1380-'19_Расчет_аналитики'!AG1401)</f>
        <v/>
      </c>
      <c r="AH1403">
        <f>MAX(0,'19_Расчет_аналитики'!AH1380-'19_Расчет_аналитики'!AH1401)</f>
        <v/>
      </c>
      <c r="AI1403">
        <f>MAX(0,'19_Расчет_аналитики'!AI1380-'19_Расчет_аналитики'!AI1401)</f>
        <v/>
      </c>
      <c r="AJ1403">
        <f>MAX(0,'19_Расчет_аналитики'!AJ1380-'19_Расчет_аналитики'!AJ1401)</f>
        <v/>
      </c>
      <c r="AK1403">
        <f>MAX(0,'19_Расчет_аналитики'!AK1380-'19_Расчет_аналитики'!AK1401)</f>
        <v/>
      </c>
      <c r="AL1403">
        <f>MAX(0,'19_Расчет_аналитики'!AL1380-'19_Расчет_аналитики'!AL1401)</f>
        <v/>
      </c>
      <c r="AM1403">
        <f>MAX(0,'19_Расчет_аналитики'!AM1380-'19_Расчет_аналитики'!AM1401)</f>
        <v/>
      </c>
      <c r="AN1403">
        <f>MAX(0,'19_Расчет_аналитики'!AN1380-'19_Расчет_аналитики'!AN1401)</f>
        <v/>
      </c>
      <c r="AO1403">
        <f>MAX(0,'19_Расчет_аналитики'!AO1380-'19_Расчет_аналитики'!AO1401)</f>
        <v/>
      </c>
      <c r="AP1403">
        <f>MAX(0,'19_Расчет_аналитики'!AP1380-'19_Расчет_аналитики'!AP1401)</f>
        <v/>
      </c>
      <c r="AQ1403">
        <f>MAX(0,'19_Расчет_аналитики'!AQ1380-'19_Расчет_аналитики'!AQ1401)</f>
        <v/>
      </c>
      <c r="AR1403">
        <f>MAX(0,'19_Расчет_аналитики'!AR1380-'19_Расчет_аналитики'!AR1401)</f>
        <v/>
      </c>
      <c r="AS1403">
        <f>MAX(0,'19_Расчет_аналитики'!AS1380-'19_Расчет_аналитики'!AS1401)</f>
        <v/>
      </c>
      <c r="AT1403">
        <f>MAX(0,'19_Расчет_аналитики'!AT1380-'19_Расчет_аналитики'!AT1401)</f>
        <v/>
      </c>
      <c r="AU1403">
        <f>MAX(0,'19_Расчет_аналитики'!AU1380-'19_Расчет_аналитики'!AU1401)</f>
        <v/>
      </c>
      <c r="AV1403">
        <f>MAX(0,'19_Расчет_аналитики'!AV1380-'19_Расчет_аналитики'!AV1401)</f>
        <v/>
      </c>
      <c r="AW1403">
        <f>MAX(0,'19_Расчет_аналитики'!AW1380-'19_Расчет_аналитики'!AW1401)</f>
        <v/>
      </c>
      <c r="AX1403">
        <f>MAX(0,'19_Расчет_аналитики'!AX1380-'19_Расчет_аналитики'!AX1401)</f>
        <v/>
      </c>
      <c r="AY1403">
        <f>MAX(0,'19_Расчет_аналитики'!AY1380-'19_Расчет_аналитики'!AY1401)</f>
        <v/>
      </c>
      <c r="AZ1403">
        <f>MAX(0,'19_Расчет_аналитики'!AZ1380-'19_Расчет_аналитики'!AZ1401)</f>
        <v/>
      </c>
      <c r="BA1403">
        <f>MAX(0,'19_Расчет_аналитики'!BA1380-'19_Расчет_аналитики'!BA1401)</f>
        <v/>
      </c>
      <c r="BB1403">
        <f>MAX(0,'19_Расчет_аналитики'!BB1380-'19_Расчет_аналитики'!BB1401)</f>
        <v/>
      </c>
      <c r="BC1403">
        <f>MAX(0,'19_Расчет_аналитики'!BC1380-'19_Расчет_аналитики'!BC1401)</f>
        <v/>
      </c>
      <c r="BD1403">
        <f>MAX(0,'19_Расчет_аналитики'!BD1380-'19_Расчет_аналитики'!BD1401)</f>
        <v/>
      </c>
      <c r="BE1403">
        <f>MAX(0,'19_Расчет_аналитики'!BE1380-'19_Расчет_аналитики'!BE1401)</f>
        <v/>
      </c>
      <c r="BF1403">
        <f>MAX(0,'19_Расчет_аналитики'!BF1380-'19_Расчет_аналитики'!BF1401)</f>
        <v/>
      </c>
      <c r="BG1403">
        <f>MAX(0,'19_Расчет_аналитики'!BG1380-'19_Расчет_аналитики'!BG1401)</f>
        <v/>
      </c>
      <c r="BH1403">
        <f>MAX(0,'19_Расчет_аналитики'!BH1380-'19_Расчет_аналитики'!BH1401)</f>
        <v/>
      </c>
      <c r="BI1403">
        <f>MAX(0,'19_Расчет_аналитики'!BI1380-'19_Расчет_аналитики'!BI1401)</f>
        <v/>
      </c>
      <c r="BJ1403">
        <f>MAX(0,'19_Расчет_аналитики'!BJ1380-'19_Расчет_аналитики'!BJ1401)</f>
        <v/>
      </c>
      <c r="BK1403">
        <f>MAX(0,'19_Расчет_аналитики'!BK1380-'19_Расчет_аналитики'!BK1401)</f>
        <v/>
      </c>
      <c r="BL1403">
        <f>MAX(0,'19_Расчет_аналитики'!BL1380-'19_Расчет_аналитики'!BL1401)</f>
        <v/>
      </c>
      <c r="BM1403">
        <f>MAX(0,'19_Расчет_аналитики'!BM1380-'19_Расчет_аналитики'!BM1401)</f>
        <v/>
      </c>
      <c r="BN1403">
        <f>MAX(0,'19_Расчет_аналитики'!BN1380-'19_Расчет_аналитики'!BN1401)</f>
        <v/>
      </c>
      <c r="BO1403">
        <f>MAX(0,'19_Расчет_аналитики'!BO1380-'19_Расчет_аналитики'!BO1401)</f>
        <v/>
      </c>
    </row>
    <row r="1404"/>
    <row r="1405"/>
    <row r="1406"/>
    <row r="1407"/>
    <row r="1408"/>
    <row r="1409"/>
    <row r="1410">
      <c r="B1410">
        <f>IF(1&lt;='01_Вводные'!$B$235,0,INDEX('19_Расчет_аналитики'!$B$1375:$BO$1375,1,1-'01_Вводные'!$B$235)*'01_Вводные'!$B$14^'01_Вводные'!$B$235)</f>
        <v/>
      </c>
      <c r="C1410">
        <f>IF(2&lt;='01_Вводные'!$B$235,0,INDEX('19_Расчет_аналитики'!$B$1375:$BO$1375,1,2-'01_Вводные'!$B$235)*'01_Вводные'!$B$14^'01_Вводные'!$B$235)</f>
        <v/>
      </c>
      <c r="D1410">
        <f>IF(3&lt;='01_Вводные'!$B$235,0,INDEX('19_Расчет_аналитики'!$B$1375:$BO$1375,1,3-'01_Вводные'!$B$235)*'01_Вводные'!$B$14^'01_Вводные'!$B$235)</f>
        <v/>
      </c>
      <c r="E1410">
        <f>IF(4&lt;='01_Вводные'!$B$235,0,INDEX('19_Расчет_аналитики'!$B$1375:$BO$1375,1,4-'01_Вводные'!$B$235)*'01_Вводные'!$B$14^'01_Вводные'!$B$235)</f>
        <v/>
      </c>
      <c r="F1410">
        <f>IF(5&lt;='01_Вводные'!$B$235,0,INDEX('19_Расчет_аналитики'!$B$1375:$BO$1375,1,5-'01_Вводные'!$B$235)*'01_Вводные'!$B$14^'01_Вводные'!$B$235)</f>
        <v/>
      </c>
      <c r="G1410">
        <f>IF(6&lt;='01_Вводные'!$B$235,0,INDEX('19_Расчет_аналитики'!$B$1375:$BO$1375,1,6-'01_Вводные'!$B$235)*'01_Вводные'!$B$14^'01_Вводные'!$B$235)</f>
        <v/>
      </c>
      <c r="H1410">
        <f>IF(7&lt;='01_Вводные'!$B$235,0,INDEX('19_Расчет_аналитики'!$B$1375:$BO$1375,1,7-'01_Вводные'!$B$235)*'01_Вводные'!$B$14^'01_Вводные'!$B$235)</f>
        <v/>
      </c>
      <c r="I1410">
        <f>IF(8&lt;='01_Вводные'!$B$235,0,INDEX('19_Расчет_аналитики'!$B$1375:$BO$1375,1,8-'01_Вводные'!$B$235)*'01_Вводные'!$B$14^'01_Вводные'!$B$235)</f>
        <v/>
      </c>
      <c r="J1410">
        <f>IF(9&lt;='01_Вводные'!$B$235,0,INDEX('19_Расчет_аналитики'!$B$1375:$BO$1375,1,9-'01_Вводные'!$B$235)*'01_Вводные'!$B$14^'01_Вводные'!$B$235)</f>
        <v/>
      </c>
      <c r="K1410">
        <f>IF(10&lt;='01_Вводные'!$B$235,0,INDEX('19_Расчет_аналитики'!$B$1375:$BO$1375,1,10-'01_Вводные'!$B$235)*'01_Вводные'!$B$14^'01_Вводные'!$B$235)</f>
        <v/>
      </c>
      <c r="L1410">
        <f>IF(11&lt;='01_Вводные'!$B$235,0,INDEX('19_Расчет_аналитики'!$B$1375:$BO$1375,1,11-'01_Вводные'!$B$235)*'01_Вводные'!$B$14^'01_Вводные'!$B$235)</f>
        <v/>
      </c>
      <c r="M1410">
        <f>IF(12&lt;='01_Вводные'!$B$235,0,INDEX('19_Расчет_аналитики'!$B$1375:$BO$1375,1,12-'01_Вводные'!$B$235)*'01_Вводные'!$B$14^'01_Вводные'!$B$235)</f>
        <v/>
      </c>
      <c r="N1410">
        <f>IF(13&lt;='01_Вводные'!$B$235,0,INDEX('19_Расчет_аналитики'!$B$1375:$BO$1375,1,13-'01_Вводные'!$B$235)*'01_Вводные'!$B$14^'01_Вводные'!$B$235)</f>
        <v/>
      </c>
      <c r="O1410">
        <f>IF(14&lt;='01_Вводные'!$B$235,0,INDEX('19_Расчет_аналитики'!$B$1375:$BO$1375,1,14-'01_Вводные'!$B$235)*'01_Вводные'!$B$14^'01_Вводные'!$B$235)</f>
        <v/>
      </c>
      <c r="P1410">
        <f>IF(15&lt;='01_Вводные'!$B$235,0,INDEX('19_Расчет_аналитики'!$B$1375:$BO$1375,1,15-'01_Вводные'!$B$235)*'01_Вводные'!$B$14^'01_Вводные'!$B$235)</f>
        <v/>
      </c>
      <c r="Q1410">
        <f>IF(16&lt;='01_Вводные'!$B$235,0,INDEX('19_Расчет_аналитики'!$B$1375:$BO$1375,1,16-'01_Вводные'!$B$235)*'01_Вводные'!$B$14^'01_Вводные'!$B$235)</f>
        <v/>
      </c>
      <c r="R1410">
        <f>IF(17&lt;='01_Вводные'!$B$235,0,INDEX('19_Расчет_аналитики'!$B$1375:$BO$1375,1,17-'01_Вводные'!$B$235)*'01_Вводные'!$B$14^'01_Вводные'!$B$235)</f>
        <v/>
      </c>
      <c r="S1410">
        <f>IF(18&lt;='01_Вводные'!$B$235,0,INDEX('19_Расчет_аналитики'!$B$1375:$BO$1375,1,18-'01_Вводные'!$B$235)*'01_Вводные'!$B$14^'01_Вводные'!$B$235)</f>
        <v/>
      </c>
      <c r="T1410">
        <f>IF(19&lt;='01_Вводные'!$B$235,0,INDEX('19_Расчет_аналитики'!$B$1375:$BO$1375,1,19-'01_Вводные'!$B$235)*'01_Вводные'!$B$14^'01_Вводные'!$B$235)</f>
        <v/>
      </c>
      <c r="U1410">
        <f>IF(20&lt;='01_Вводные'!$B$235,0,INDEX('19_Расчет_аналитики'!$B$1375:$BO$1375,1,20-'01_Вводные'!$B$235)*'01_Вводные'!$B$14^'01_Вводные'!$B$235)</f>
        <v/>
      </c>
      <c r="V1410">
        <f>IF(21&lt;='01_Вводные'!$B$235,0,INDEX('19_Расчет_аналитики'!$B$1375:$BO$1375,1,21-'01_Вводные'!$B$235)*'01_Вводные'!$B$14^'01_Вводные'!$B$235)</f>
        <v/>
      </c>
      <c r="W1410">
        <f>IF(22&lt;='01_Вводные'!$B$235,0,INDEX('19_Расчет_аналитики'!$B$1375:$BO$1375,1,22-'01_Вводные'!$B$235)*'01_Вводные'!$B$14^'01_Вводные'!$B$235)</f>
        <v/>
      </c>
      <c r="X1410">
        <f>IF(23&lt;='01_Вводные'!$B$235,0,INDEX('19_Расчет_аналитики'!$B$1375:$BO$1375,1,23-'01_Вводные'!$B$235)*'01_Вводные'!$B$14^'01_Вводные'!$B$235)</f>
        <v/>
      </c>
      <c r="Y1410">
        <f>IF(24&lt;='01_Вводные'!$B$235,0,INDEX('19_Расчет_аналитики'!$B$1375:$BO$1375,1,24-'01_Вводные'!$B$235)*'01_Вводные'!$B$14^'01_Вводные'!$B$235)</f>
        <v/>
      </c>
      <c r="Z1410">
        <f>IF(25&lt;='01_Вводные'!$B$235,0,INDEX('19_Расчет_аналитики'!$B$1375:$BO$1375,1,25-'01_Вводные'!$B$235)*'01_Вводные'!$B$14^'01_Вводные'!$B$235)</f>
        <v/>
      </c>
      <c r="AA1410">
        <f>IF(26&lt;='01_Вводные'!$B$235,0,INDEX('19_Расчет_аналитики'!$B$1375:$BO$1375,1,26-'01_Вводные'!$B$235)*'01_Вводные'!$B$14^'01_Вводные'!$B$235)</f>
        <v/>
      </c>
      <c r="AB1410">
        <f>IF(27&lt;='01_Вводные'!$B$235,0,INDEX('19_Расчет_аналитики'!$B$1375:$BO$1375,1,27-'01_Вводные'!$B$235)*'01_Вводные'!$B$14^'01_Вводные'!$B$235)</f>
        <v/>
      </c>
      <c r="AC1410">
        <f>IF(28&lt;='01_Вводные'!$B$235,0,INDEX('19_Расчет_аналитики'!$B$1375:$BO$1375,1,28-'01_Вводные'!$B$235)*'01_Вводные'!$B$14^'01_Вводные'!$B$235)</f>
        <v/>
      </c>
      <c r="AD1410">
        <f>IF(29&lt;='01_Вводные'!$B$235,0,INDEX('19_Расчет_аналитики'!$B$1375:$BO$1375,1,29-'01_Вводные'!$B$235)*'01_Вводные'!$B$14^'01_Вводные'!$B$235)</f>
        <v/>
      </c>
      <c r="AE1410">
        <f>IF(30&lt;='01_Вводные'!$B$235,0,INDEX('19_Расчет_аналитики'!$B$1375:$BO$1375,1,30-'01_Вводные'!$B$235)*'01_Вводные'!$B$14^'01_Вводные'!$B$235)</f>
        <v/>
      </c>
      <c r="AF1410">
        <f>IF(31&lt;='01_Вводные'!$B$235,0,INDEX('19_Расчет_аналитики'!$B$1375:$BO$1375,1,31-'01_Вводные'!$B$235)*'01_Вводные'!$B$14^'01_Вводные'!$B$235)</f>
        <v/>
      </c>
      <c r="AG1410">
        <f>IF(32&lt;='01_Вводные'!$B$235,0,INDEX('19_Расчет_аналитики'!$B$1375:$BO$1375,1,32-'01_Вводные'!$B$235)*'01_Вводные'!$B$14^'01_Вводные'!$B$235)</f>
        <v/>
      </c>
      <c r="AH1410">
        <f>IF(33&lt;='01_Вводные'!$B$235,0,INDEX('19_Расчет_аналитики'!$B$1375:$BO$1375,1,33-'01_Вводные'!$B$235)*'01_Вводные'!$B$14^'01_Вводные'!$B$235)</f>
        <v/>
      </c>
      <c r="AI1410">
        <f>IF(34&lt;='01_Вводные'!$B$235,0,INDEX('19_Расчет_аналитики'!$B$1375:$BO$1375,1,34-'01_Вводные'!$B$235)*'01_Вводные'!$B$14^'01_Вводные'!$B$235)</f>
        <v/>
      </c>
      <c r="AJ1410">
        <f>IF(35&lt;='01_Вводные'!$B$235,0,INDEX('19_Расчет_аналитики'!$B$1375:$BO$1375,1,35-'01_Вводные'!$B$235)*'01_Вводные'!$B$14^'01_Вводные'!$B$235)</f>
        <v/>
      </c>
      <c r="AK1410">
        <f>IF(36&lt;='01_Вводные'!$B$235,0,INDEX('19_Расчет_аналитики'!$B$1375:$BO$1375,1,36-'01_Вводные'!$B$235)*'01_Вводные'!$B$14^'01_Вводные'!$B$235)</f>
        <v/>
      </c>
      <c r="AL1410">
        <f>IF(37&lt;='01_Вводные'!$B$235,0,INDEX('19_Расчет_аналитики'!$B$1375:$BO$1375,1,37-'01_Вводные'!$B$235)*'01_Вводные'!$B$14^'01_Вводные'!$B$235)</f>
        <v/>
      </c>
      <c r="AM1410">
        <f>IF(38&lt;='01_Вводные'!$B$235,0,INDEX('19_Расчет_аналитики'!$B$1375:$BO$1375,1,38-'01_Вводные'!$B$235)*'01_Вводные'!$B$14^'01_Вводные'!$B$235)</f>
        <v/>
      </c>
      <c r="AN1410">
        <f>IF(39&lt;='01_Вводные'!$B$235,0,INDEX('19_Расчет_аналитики'!$B$1375:$BO$1375,1,39-'01_Вводные'!$B$235)*'01_Вводные'!$B$14^'01_Вводные'!$B$235)</f>
        <v/>
      </c>
      <c r="AO1410">
        <f>IF(40&lt;='01_Вводные'!$B$235,0,INDEX('19_Расчет_аналитики'!$B$1375:$BO$1375,1,40-'01_Вводные'!$B$235)*'01_Вводные'!$B$14^'01_Вводные'!$B$235)</f>
        <v/>
      </c>
      <c r="AP1410">
        <f>IF(41&lt;='01_Вводные'!$B$235,0,INDEX('19_Расчет_аналитики'!$B$1375:$BO$1375,1,41-'01_Вводные'!$B$235)*'01_Вводные'!$B$14^'01_Вводные'!$B$235)</f>
        <v/>
      </c>
      <c r="AQ1410">
        <f>IF(42&lt;='01_Вводные'!$B$235,0,INDEX('19_Расчет_аналитики'!$B$1375:$BO$1375,1,42-'01_Вводные'!$B$235)*'01_Вводные'!$B$14^'01_Вводные'!$B$235)</f>
        <v/>
      </c>
      <c r="AR1410">
        <f>IF(43&lt;='01_Вводные'!$B$235,0,INDEX('19_Расчет_аналитики'!$B$1375:$BO$1375,1,43-'01_Вводные'!$B$235)*'01_Вводные'!$B$14^'01_Вводные'!$B$235)</f>
        <v/>
      </c>
      <c r="AS1410">
        <f>IF(44&lt;='01_Вводные'!$B$235,0,INDEX('19_Расчет_аналитики'!$B$1375:$BO$1375,1,44-'01_Вводные'!$B$235)*'01_Вводные'!$B$14^'01_Вводные'!$B$235)</f>
        <v/>
      </c>
      <c r="AT1410">
        <f>IF(45&lt;='01_Вводные'!$B$235,0,INDEX('19_Расчет_аналитики'!$B$1375:$BO$1375,1,45-'01_Вводные'!$B$235)*'01_Вводные'!$B$14^'01_Вводные'!$B$235)</f>
        <v/>
      </c>
      <c r="AU1410">
        <f>IF(46&lt;='01_Вводные'!$B$235,0,INDEX('19_Расчет_аналитики'!$B$1375:$BO$1375,1,46-'01_Вводные'!$B$235)*'01_Вводные'!$B$14^'01_Вводные'!$B$235)</f>
        <v/>
      </c>
      <c r="AV1410">
        <f>IF(47&lt;='01_Вводные'!$B$235,0,INDEX('19_Расчет_аналитики'!$B$1375:$BO$1375,1,47-'01_Вводные'!$B$235)*'01_Вводные'!$B$14^'01_Вводные'!$B$235)</f>
        <v/>
      </c>
      <c r="AW1410">
        <f>IF(48&lt;='01_Вводные'!$B$235,0,INDEX('19_Расчет_аналитики'!$B$1375:$BO$1375,1,48-'01_Вводные'!$B$235)*'01_Вводные'!$B$14^'01_Вводные'!$B$235)</f>
        <v/>
      </c>
      <c r="AX1410">
        <f>IF(49&lt;='01_Вводные'!$B$235,0,INDEX('19_Расчет_аналитики'!$B$1375:$BO$1375,1,49-'01_Вводные'!$B$235)*'01_Вводные'!$B$14^'01_Вводные'!$B$235)</f>
        <v/>
      </c>
      <c r="AY1410">
        <f>IF(50&lt;='01_Вводные'!$B$235,0,INDEX('19_Расчет_аналитики'!$B$1375:$BO$1375,1,50-'01_Вводные'!$B$235)*'01_Вводные'!$B$14^'01_Вводные'!$B$235)</f>
        <v/>
      </c>
      <c r="AZ1410">
        <f>IF(51&lt;='01_Вводные'!$B$235,0,INDEX('19_Расчет_аналитики'!$B$1375:$BO$1375,1,51-'01_Вводные'!$B$235)*'01_Вводные'!$B$14^'01_Вводные'!$B$235)</f>
        <v/>
      </c>
      <c r="BA1410">
        <f>IF(52&lt;='01_Вводные'!$B$235,0,INDEX('19_Расчет_аналитики'!$B$1375:$BO$1375,1,52-'01_Вводные'!$B$235)*'01_Вводные'!$B$14^'01_Вводные'!$B$235)</f>
        <v/>
      </c>
      <c r="BB1410">
        <f>IF(53&lt;='01_Вводные'!$B$235,0,INDEX('19_Расчет_аналитики'!$B$1375:$BO$1375,1,53-'01_Вводные'!$B$235)*'01_Вводные'!$B$14^'01_Вводные'!$B$235)</f>
        <v/>
      </c>
      <c r="BC1410">
        <f>IF(54&lt;='01_Вводные'!$B$235,0,INDEX('19_Расчет_аналитики'!$B$1375:$BO$1375,1,54-'01_Вводные'!$B$235)*'01_Вводные'!$B$14^'01_Вводные'!$B$235)</f>
        <v/>
      </c>
      <c r="BD1410">
        <f>IF(55&lt;='01_Вводные'!$B$235,0,INDEX('19_Расчет_аналитики'!$B$1375:$BO$1375,1,55-'01_Вводные'!$B$235)*'01_Вводные'!$B$14^'01_Вводные'!$B$235)</f>
        <v/>
      </c>
      <c r="BE1410">
        <f>IF(56&lt;='01_Вводные'!$B$235,0,INDEX('19_Расчет_аналитики'!$B$1375:$BO$1375,1,56-'01_Вводные'!$B$235)*'01_Вводные'!$B$14^'01_Вводные'!$B$235)</f>
        <v/>
      </c>
      <c r="BF1410">
        <f>IF(57&lt;='01_Вводные'!$B$235,0,INDEX('19_Расчет_аналитики'!$B$1375:$BO$1375,1,57-'01_Вводные'!$B$235)*'01_Вводные'!$B$14^'01_Вводные'!$B$235)</f>
        <v/>
      </c>
      <c r="BG1410">
        <f>IF(58&lt;='01_Вводные'!$B$235,0,INDEX('19_Расчет_аналитики'!$B$1375:$BO$1375,1,58-'01_Вводные'!$B$235)*'01_Вводные'!$B$14^'01_Вводные'!$B$235)</f>
        <v/>
      </c>
      <c r="BH1410">
        <f>IF(59&lt;='01_Вводные'!$B$235,0,INDEX('19_Расчет_аналитики'!$B$1375:$BO$1375,1,59-'01_Вводные'!$B$235)*'01_Вводные'!$B$14^'01_Вводные'!$B$235)</f>
        <v/>
      </c>
      <c r="BI1410">
        <f>IF(60&lt;='01_Вводные'!$B$235,0,INDEX('19_Расчет_аналитики'!$B$1375:$BO$1375,1,60-'01_Вводные'!$B$235)*'01_Вводные'!$B$14^'01_Вводные'!$B$235)</f>
        <v/>
      </c>
      <c r="BJ1410">
        <f>IF(61&lt;='01_Вводные'!$B$235,0,INDEX('19_Расчет_аналитики'!$B$1375:$BO$1375,1,61-'01_Вводные'!$B$235)*'01_Вводные'!$B$14^'01_Вводные'!$B$235)</f>
        <v/>
      </c>
      <c r="BK1410">
        <f>IF(62&lt;='01_Вводные'!$B$235,0,INDEX('19_Расчет_аналитики'!$B$1375:$BO$1375,1,62-'01_Вводные'!$B$235)*'01_Вводные'!$B$14^'01_Вводные'!$B$235)</f>
        <v/>
      </c>
      <c r="BL1410">
        <f>IF(63&lt;='01_Вводные'!$B$235,0,INDEX('19_Расчет_аналитики'!$B$1375:$BO$1375,1,63-'01_Вводные'!$B$235)*'01_Вводные'!$B$14^'01_Вводные'!$B$235)</f>
        <v/>
      </c>
      <c r="BM1410">
        <f>IF(64&lt;='01_Вводные'!$B$235,0,INDEX('19_Расчет_аналитики'!$B$1375:$BO$1375,1,64-'01_Вводные'!$B$235)*'01_Вводные'!$B$14^'01_Вводные'!$B$235)</f>
        <v/>
      </c>
      <c r="BN1410">
        <f>IF(65&lt;='01_Вводные'!$B$235,0,INDEX('19_Расчет_аналитики'!$B$1375:$BO$1375,1,65-'01_Вводные'!$B$235)*'01_Вводные'!$B$14^'01_Вводные'!$B$235)</f>
        <v/>
      </c>
      <c r="BO1410">
        <f>IF(66&lt;='01_Вводные'!$B$235,0,INDEX('19_Расчет_аналитики'!$B$1375:$BO$1375,1,66-'01_Вводные'!$B$235)*'01_Вводные'!$B$14^'01_Вводные'!$B$235)</f>
        <v/>
      </c>
    </row>
    <row r="1411">
      <c r="B1411">
        <f>'19_Расчет_аналитики'!B1410</f>
        <v/>
      </c>
      <c r="C1411">
        <f>'19_Расчет_аналитики'!B1411*'01_Вводные'!$B$14+'19_Расчет_аналитики'!C1410</f>
        <v/>
      </c>
      <c r="D1411">
        <f>'19_Расчет_аналитики'!C1411*'01_Вводные'!$B$14+'19_Расчет_аналитики'!D1410</f>
        <v/>
      </c>
      <c r="E1411">
        <f>'19_Расчет_аналитики'!D1411*'01_Вводные'!$B$14+'19_Расчет_аналитики'!E1410</f>
        <v/>
      </c>
      <c r="F1411">
        <f>'19_Расчет_аналитики'!E1411*'01_Вводные'!$B$14+'19_Расчет_аналитики'!F1410</f>
        <v/>
      </c>
      <c r="G1411">
        <f>'19_Расчет_аналитики'!F1411*'01_Вводные'!$B$14+'19_Расчет_аналитики'!G1410</f>
        <v/>
      </c>
      <c r="H1411">
        <f>'19_Расчет_аналитики'!G1411*'01_Вводные'!$B$14+'19_Расчет_аналитики'!H1410</f>
        <v/>
      </c>
      <c r="I1411">
        <f>'19_Расчет_аналитики'!H1411*'01_Вводные'!$B$14+'19_Расчет_аналитики'!I1410</f>
        <v/>
      </c>
      <c r="J1411">
        <f>'19_Расчет_аналитики'!I1411*'01_Вводные'!$B$14+'19_Расчет_аналитики'!J1410</f>
        <v/>
      </c>
      <c r="K1411">
        <f>'19_Расчет_аналитики'!J1411*'01_Вводные'!$B$14+'19_Расчет_аналитики'!K1410</f>
        <v/>
      </c>
      <c r="L1411">
        <f>'19_Расчет_аналитики'!K1411*'01_Вводные'!$B$14+'19_Расчет_аналитики'!L1410</f>
        <v/>
      </c>
      <c r="M1411">
        <f>'19_Расчет_аналитики'!L1411*'01_Вводные'!$B$14+'19_Расчет_аналитики'!M1410</f>
        <v/>
      </c>
      <c r="N1411">
        <f>'19_Расчет_аналитики'!M1411*'01_Вводные'!$B$14+'19_Расчет_аналитики'!N1410</f>
        <v/>
      </c>
      <c r="O1411">
        <f>'19_Расчет_аналитики'!N1411*'01_Вводные'!$B$14+'19_Расчет_аналитики'!O1410</f>
        <v/>
      </c>
      <c r="P1411">
        <f>'19_Расчет_аналитики'!O1411*'01_Вводные'!$B$14+'19_Расчет_аналитики'!P1410</f>
        <v/>
      </c>
      <c r="Q1411">
        <f>'19_Расчет_аналитики'!P1411*'01_Вводные'!$B$14+'19_Расчет_аналитики'!Q1410</f>
        <v/>
      </c>
      <c r="R1411">
        <f>'19_Расчет_аналитики'!Q1411*'01_Вводные'!$B$14+'19_Расчет_аналитики'!R1410</f>
        <v/>
      </c>
      <c r="S1411">
        <f>'19_Расчет_аналитики'!R1411*'01_Вводные'!$B$14+'19_Расчет_аналитики'!S1410</f>
        <v/>
      </c>
      <c r="T1411">
        <f>'19_Расчет_аналитики'!S1411*'01_Вводные'!$B$14+'19_Расчет_аналитики'!T1410</f>
        <v/>
      </c>
      <c r="U1411">
        <f>'19_Расчет_аналитики'!T1411*'01_Вводные'!$B$14+'19_Расчет_аналитики'!U1410</f>
        <v/>
      </c>
      <c r="V1411">
        <f>'19_Расчет_аналитики'!U1411*'01_Вводные'!$B$14+'19_Расчет_аналитики'!V1410</f>
        <v/>
      </c>
      <c r="W1411">
        <f>'19_Расчет_аналитики'!V1411*'01_Вводные'!$B$14+'19_Расчет_аналитики'!W1410</f>
        <v/>
      </c>
      <c r="X1411">
        <f>'19_Расчет_аналитики'!W1411*'01_Вводные'!$B$14+'19_Расчет_аналитики'!X1410</f>
        <v/>
      </c>
      <c r="Y1411">
        <f>'19_Расчет_аналитики'!X1411*'01_Вводные'!$B$14+'19_Расчет_аналитики'!Y1410</f>
        <v/>
      </c>
      <c r="Z1411">
        <f>'19_Расчет_аналитики'!Y1411*'01_Вводные'!$B$14+'19_Расчет_аналитики'!Z1410</f>
        <v/>
      </c>
      <c r="AA1411">
        <f>'19_Расчет_аналитики'!Z1411*'01_Вводные'!$B$14+'19_Расчет_аналитики'!AA1410</f>
        <v/>
      </c>
      <c r="AB1411">
        <f>'19_Расчет_аналитики'!AA1411*'01_Вводные'!$B$14+'19_Расчет_аналитики'!AB1410</f>
        <v/>
      </c>
      <c r="AC1411">
        <f>'19_Расчет_аналитики'!AB1411*'01_Вводные'!$B$14+'19_Расчет_аналитики'!AC1410</f>
        <v/>
      </c>
      <c r="AD1411">
        <f>'19_Расчет_аналитики'!AC1411*'01_Вводные'!$B$14+'19_Расчет_аналитики'!AD1410</f>
        <v/>
      </c>
      <c r="AE1411">
        <f>'19_Расчет_аналитики'!AD1411*'01_Вводные'!$B$14+'19_Расчет_аналитики'!AE1410</f>
        <v/>
      </c>
      <c r="AF1411">
        <f>'19_Расчет_аналитики'!AE1411*'01_Вводные'!$B$14+'19_Расчет_аналитики'!AF1410</f>
        <v/>
      </c>
      <c r="AG1411">
        <f>'19_Расчет_аналитики'!AF1411*'01_Вводные'!$B$14+'19_Расчет_аналитики'!AG1410</f>
        <v/>
      </c>
      <c r="AH1411">
        <f>'19_Расчет_аналитики'!AG1411*'01_Вводные'!$B$14+'19_Расчет_аналитики'!AH1410</f>
        <v/>
      </c>
      <c r="AI1411">
        <f>'19_Расчет_аналитики'!AH1411*'01_Вводные'!$B$14+'19_Расчет_аналитики'!AI1410</f>
        <v/>
      </c>
      <c r="AJ1411">
        <f>'19_Расчет_аналитики'!AI1411*'01_Вводные'!$B$14+'19_Расчет_аналитики'!AJ1410</f>
        <v/>
      </c>
      <c r="AK1411">
        <f>'19_Расчет_аналитики'!AJ1411*'01_Вводные'!$B$14+'19_Расчет_аналитики'!AK1410</f>
        <v/>
      </c>
      <c r="AL1411">
        <f>'19_Расчет_аналитики'!AK1411*'01_Вводные'!$B$14+'19_Расчет_аналитики'!AL1410</f>
        <v/>
      </c>
      <c r="AM1411">
        <f>'19_Расчет_аналитики'!AL1411*'01_Вводные'!$B$14+'19_Расчет_аналитики'!AM1410</f>
        <v/>
      </c>
      <c r="AN1411">
        <f>'19_Расчет_аналитики'!AM1411*'01_Вводные'!$B$14+'19_Расчет_аналитики'!AN1410</f>
        <v/>
      </c>
      <c r="AO1411">
        <f>'19_Расчет_аналитики'!AN1411*'01_Вводные'!$B$14+'19_Расчет_аналитики'!AO1410</f>
        <v/>
      </c>
      <c r="AP1411">
        <f>'19_Расчет_аналитики'!AO1411*'01_Вводные'!$B$14+'19_Расчет_аналитики'!AP1410</f>
        <v/>
      </c>
      <c r="AQ1411">
        <f>'19_Расчет_аналитики'!AP1411*'01_Вводные'!$B$14+'19_Расчет_аналитики'!AQ1410</f>
        <v/>
      </c>
      <c r="AR1411">
        <f>'19_Расчет_аналитики'!AQ1411*'01_Вводные'!$B$14+'19_Расчет_аналитики'!AR1410</f>
        <v/>
      </c>
      <c r="AS1411">
        <f>'19_Расчет_аналитики'!AR1411*'01_Вводные'!$B$14+'19_Расчет_аналитики'!AS1410</f>
        <v/>
      </c>
      <c r="AT1411">
        <f>'19_Расчет_аналитики'!AS1411*'01_Вводные'!$B$14+'19_Расчет_аналитики'!AT1410</f>
        <v/>
      </c>
      <c r="AU1411">
        <f>'19_Расчет_аналитики'!AT1411*'01_Вводные'!$B$14+'19_Расчет_аналитики'!AU1410</f>
        <v/>
      </c>
      <c r="AV1411">
        <f>'19_Расчет_аналитики'!AU1411*'01_Вводные'!$B$14+'19_Расчет_аналитики'!AV1410</f>
        <v/>
      </c>
      <c r="AW1411">
        <f>'19_Расчет_аналитики'!AV1411*'01_Вводные'!$B$14+'19_Расчет_аналитики'!AW1410</f>
        <v/>
      </c>
      <c r="AX1411">
        <f>'19_Расчет_аналитики'!AW1411*'01_Вводные'!$B$14+'19_Расчет_аналитики'!AX1410</f>
        <v/>
      </c>
      <c r="AY1411">
        <f>'19_Расчет_аналитики'!AX1411*'01_Вводные'!$B$14+'19_Расчет_аналитики'!AY1410</f>
        <v/>
      </c>
      <c r="AZ1411">
        <f>'19_Расчет_аналитики'!AY1411*'01_Вводные'!$B$14+'19_Расчет_аналитики'!AZ1410</f>
        <v/>
      </c>
      <c r="BA1411">
        <f>'19_Расчет_аналитики'!AZ1411*'01_Вводные'!$B$14+'19_Расчет_аналитики'!BA1410</f>
        <v/>
      </c>
      <c r="BB1411">
        <f>'19_Расчет_аналитики'!BA1411*'01_Вводные'!$B$14+'19_Расчет_аналитики'!BB1410</f>
        <v/>
      </c>
      <c r="BC1411">
        <f>'19_Расчет_аналитики'!BB1411*'01_Вводные'!$B$14+'19_Расчет_аналитики'!BC1410</f>
        <v/>
      </c>
      <c r="BD1411">
        <f>'19_Расчет_аналитики'!BC1411*'01_Вводные'!$B$14+'19_Расчет_аналитики'!BD1410</f>
        <v/>
      </c>
      <c r="BE1411">
        <f>'19_Расчет_аналитики'!BD1411*'01_Вводные'!$B$14+'19_Расчет_аналитики'!BE1410</f>
        <v/>
      </c>
      <c r="BF1411">
        <f>'19_Расчет_аналитики'!BE1411*'01_Вводные'!$B$14+'19_Расчет_аналитики'!BF1410</f>
        <v/>
      </c>
      <c r="BG1411">
        <f>'19_Расчет_аналитики'!BF1411*'01_Вводные'!$B$14+'19_Расчет_аналитики'!BG1410</f>
        <v/>
      </c>
      <c r="BH1411">
        <f>'19_Расчет_аналитики'!BG1411*'01_Вводные'!$B$14+'19_Расчет_аналитики'!BH1410</f>
        <v/>
      </c>
      <c r="BI1411">
        <f>'19_Расчет_аналитики'!BH1411*'01_Вводные'!$B$14+'19_Расчет_аналитики'!BI1410</f>
        <v/>
      </c>
      <c r="BJ1411">
        <f>'19_Расчет_аналитики'!BI1411*'01_Вводные'!$B$14+'19_Расчет_аналитики'!BJ1410</f>
        <v/>
      </c>
      <c r="BK1411">
        <f>'19_Расчет_аналитики'!BJ1411*'01_Вводные'!$B$14+'19_Расчет_аналитики'!BK1410</f>
        <v/>
      </c>
      <c r="BL1411">
        <f>'19_Расчет_аналитики'!BK1411*'01_Вводные'!$B$14+'19_Расчет_аналитики'!BL1410</f>
        <v/>
      </c>
      <c r="BM1411">
        <f>'19_Расчет_аналитики'!BL1411*'01_Вводные'!$B$14+'19_Расчет_аналитики'!BM1410</f>
        <v/>
      </c>
      <c r="BN1411">
        <f>'19_Расчет_аналитики'!BM1411*'01_Вводные'!$B$14+'19_Расчет_аналитики'!BN1410</f>
        <v/>
      </c>
      <c r="BO1411">
        <f>'19_Расчет_аналитики'!BN1411*'01_Вводные'!$B$14+'19_Расчет_аналитики'!BO1410</f>
        <v/>
      </c>
    </row>
    <row r="1412"/>
    <row r="1413"/>
    <row r="1414"/>
    <row r="1415"/>
    <row r="1416"/>
    <row r="1417"/>
    <row r="1418"/>
    <row r="1419"/>
    <row r="1420">
      <c r="B1420">
        <f>'19_Расчет_аналитики'!B1375</f>
        <v/>
      </c>
      <c r="C1420">
        <f>'19_Расчет_аналитики'!C1375</f>
        <v/>
      </c>
      <c r="D1420">
        <f>'19_Расчет_аналитики'!D1375</f>
        <v/>
      </c>
      <c r="E1420">
        <f>'19_Расчет_аналитики'!E1375</f>
        <v/>
      </c>
      <c r="F1420">
        <f>'19_Расчет_аналитики'!F1375</f>
        <v/>
      </c>
      <c r="G1420">
        <f>'19_Расчет_аналитики'!G1375</f>
        <v/>
      </c>
      <c r="H1420">
        <f>'19_Расчет_аналитики'!H1375</f>
        <v/>
      </c>
      <c r="I1420">
        <f>'19_Расчет_аналитики'!I1375</f>
        <v/>
      </c>
      <c r="J1420">
        <f>'19_Расчет_аналитики'!J1375</f>
        <v/>
      </c>
      <c r="K1420">
        <f>'19_Расчет_аналитики'!K1375</f>
        <v/>
      </c>
      <c r="L1420">
        <f>'19_Расчет_аналитики'!L1375</f>
        <v/>
      </c>
      <c r="M1420">
        <f>'19_Расчет_аналитики'!M1375</f>
        <v/>
      </c>
      <c r="N1420">
        <f>'19_Расчет_аналитики'!N1375</f>
        <v/>
      </c>
      <c r="O1420">
        <f>'19_Расчет_аналитики'!O1375</f>
        <v/>
      </c>
      <c r="P1420">
        <f>'19_Расчет_аналитики'!P1375</f>
        <v/>
      </c>
      <c r="Q1420">
        <f>'19_Расчет_аналитики'!Q1375</f>
        <v/>
      </c>
      <c r="R1420">
        <f>'19_Расчет_аналитики'!R1375</f>
        <v/>
      </c>
      <c r="S1420">
        <f>'19_Расчет_аналитики'!S1375</f>
        <v/>
      </c>
      <c r="T1420">
        <f>'19_Расчет_аналитики'!T1375</f>
        <v/>
      </c>
      <c r="U1420">
        <f>'19_Расчет_аналитики'!U1375</f>
        <v/>
      </c>
      <c r="V1420">
        <f>'19_Расчет_аналитики'!V1375</f>
        <v/>
      </c>
      <c r="W1420">
        <f>'19_Расчет_аналитики'!W1375</f>
        <v/>
      </c>
      <c r="X1420">
        <f>'19_Расчет_аналитики'!X1375</f>
        <v/>
      </c>
      <c r="Y1420">
        <f>'19_Расчет_аналитики'!Y1375</f>
        <v/>
      </c>
      <c r="Z1420">
        <f>'19_Расчет_аналитики'!Z1375</f>
        <v/>
      </c>
      <c r="AA1420">
        <f>'19_Расчет_аналитики'!AA1375</f>
        <v/>
      </c>
      <c r="AB1420">
        <f>'19_Расчет_аналитики'!AB1375</f>
        <v/>
      </c>
      <c r="AC1420">
        <f>'19_Расчет_аналитики'!AC1375</f>
        <v/>
      </c>
      <c r="AD1420">
        <f>'19_Расчет_аналитики'!AD1375</f>
        <v/>
      </c>
      <c r="AE1420">
        <f>'19_Расчет_аналитики'!AE1375</f>
        <v/>
      </c>
      <c r="AF1420">
        <f>'19_Расчет_аналитики'!AF1375</f>
        <v/>
      </c>
      <c r="AG1420">
        <f>'19_Расчет_аналитики'!AG1375</f>
        <v/>
      </c>
      <c r="AH1420">
        <f>'19_Расчет_аналитики'!AH1375</f>
        <v/>
      </c>
      <c r="AI1420">
        <f>'19_Расчет_аналитики'!AI1375</f>
        <v/>
      </c>
      <c r="AJ1420">
        <f>'19_Расчет_аналитики'!AJ1375</f>
        <v/>
      </c>
      <c r="AK1420">
        <f>'19_Расчет_аналитики'!AK1375</f>
        <v/>
      </c>
      <c r="AL1420">
        <f>'19_Расчет_аналитики'!AL1375</f>
        <v/>
      </c>
      <c r="AM1420">
        <f>'19_Расчет_аналитики'!AM1375</f>
        <v/>
      </c>
      <c r="AN1420">
        <f>'19_Расчет_аналитики'!AN1375</f>
        <v/>
      </c>
      <c r="AO1420">
        <f>'19_Расчет_аналитики'!AO1375</f>
        <v/>
      </c>
      <c r="AP1420">
        <f>'19_Расчет_аналитики'!AP1375</f>
        <v/>
      </c>
      <c r="AQ1420">
        <f>'19_Расчет_аналитики'!AQ1375</f>
        <v/>
      </c>
      <c r="AR1420">
        <f>'19_Расчет_аналитики'!AR1375</f>
        <v/>
      </c>
      <c r="AS1420">
        <f>'19_Расчет_аналитики'!AS1375</f>
        <v/>
      </c>
      <c r="AT1420">
        <f>'19_Расчет_аналитики'!AT1375</f>
        <v/>
      </c>
      <c r="AU1420">
        <f>'19_Расчет_аналитики'!AU1375</f>
        <v/>
      </c>
      <c r="AV1420">
        <f>'19_Расчет_аналитики'!AV1375</f>
        <v/>
      </c>
      <c r="AW1420">
        <f>'19_Расчет_аналитики'!AW1375</f>
        <v/>
      </c>
      <c r="AX1420">
        <f>'19_Расчет_аналитики'!AX1375</f>
        <v/>
      </c>
      <c r="AY1420">
        <f>'19_Расчет_аналитики'!AY1375</f>
        <v/>
      </c>
      <c r="AZ1420">
        <f>'19_Расчет_аналитики'!AZ1375</f>
        <v/>
      </c>
      <c r="BA1420">
        <f>'19_Расчет_аналитики'!BA1375</f>
        <v/>
      </c>
      <c r="BB1420">
        <f>'19_Расчет_аналитики'!BB1375</f>
        <v/>
      </c>
      <c r="BC1420">
        <f>'19_Расчет_аналитики'!BC1375</f>
        <v/>
      </c>
      <c r="BD1420">
        <f>'19_Расчет_аналитики'!BD1375</f>
        <v/>
      </c>
      <c r="BE1420">
        <f>'19_Расчет_аналитики'!BE1375</f>
        <v/>
      </c>
      <c r="BF1420">
        <f>'19_Расчет_аналитики'!BF1375</f>
        <v/>
      </c>
      <c r="BG1420">
        <f>'19_Расчет_аналитики'!BG1375</f>
        <v/>
      </c>
      <c r="BH1420">
        <f>'19_Расчет_аналитики'!BH1375</f>
        <v/>
      </c>
      <c r="BI1420">
        <f>'19_Расчет_аналитики'!BI1375</f>
        <v/>
      </c>
      <c r="BJ1420">
        <f>'19_Расчет_аналитики'!BJ1375</f>
        <v/>
      </c>
      <c r="BK1420">
        <f>'19_Расчет_аналитики'!BK1375</f>
        <v/>
      </c>
      <c r="BL1420">
        <f>'19_Расчет_аналитики'!BL1375</f>
        <v/>
      </c>
      <c r="BM1420">
        <f>'19_Расчет_аналитики'!BM1375</f>
        <v/>
      </c>
      <c r="BN1420">
        <f>'19_Расчет_аналитики'!BN1375</f>
        <v/>
      </c>
      <c r="BO1420">
        <f>'19_Расчет_аналитики'!BO1375</f>
        <v/>
      </c>
    </row>
    <row r="1421">
      <c r="B1421">
        <f>'06_Сеть_и_дети'!B54</f>
        <v/>
      </c>
      <c r="C1421">
        <f>'19_Расчет_аналитики'!B1420*'01_Вводные'!$B$14</f>
        <v/>
      </c>
      <c r="D1421">
        <f>'19_Расчет_аналитики'!C1420*'01_Вводные'!$B$14</f>
        <v/>
      </c>
      <c r="E1421">
        <f>'19_Расчет_аналитики'!D1420*'01_Вводные'!$B$14</f>
        <v/>
      </c>
      <c r="F1421">
        <f>'19_Расчет_аналитики'!E1420*'01_Вводные'!$B$14</f>
        <v/>
      </c>
      <c r="G1421">
        <f>'19_Расчет_аналитики'!F1420*'01_Вводные'!$B$14</f>
        <v/>
      </c>
      <c r="H1421">
        <f>'19_Расчет_аналитики'!G1420*'01_Вводные'!$B$14</f>
        <v/>
      </c>
      <c r="I1421">
        <f>'19_Расчет_аналитики'!H1420*'01_Вводные'!$B$14</f>
        <v/>
      </c>
      <c r="J1421">
        <f>'19_Расчет_аналитики'!I1420*'01_Вводные'!$B$14</f>
        <v/>
      </c>
      <c r="K1421">
        <f>'19_Расчет_аналитики'!J1420*'01_Вводные'!$B$14</f>
        <v/>
      </c>
      <c r="L1421">
        <f>'19_Расчет_аналитики'!K1420*'01_Вводные'!$B$14</f>
        <v/>
      </c>
      <c r="M1421">
        <f>'19_Расчет_аналитики'!L1420*'01_Вводные'!$B$14</f>
        <v/>
      </c>
      <c r="N1421">
        <f>'19_Расчет_аналитики'!M1420*'01_Вводные'!$B$14</f>
        <v/>
      </c>
      <c r="O1421">
        <f>'19_Расчет_аналитики'!N1420*'01_Вводные'!$B$14</f>
        <v/>
      </c>
      <c r="P1421">
        <f>'19_Расчет_аналитики'!O1420*'01_Вводные'!$B$14</f>
        <v/>
      </c>
      <c r="Q1421">
        <f>'19_Расчет_аналитики'!P1420*'01_Вводные'!$B$14</f>
        <v/>
      </c>
      <c r="R1421">
        <f>'19_Расчет_аналитики'!Q1420*'01_Вводные'!$B$14</f>
        <v/>
      </c>
      <c r="S1421">
        <f>'19_Расчет_аналитики'!R1420*'01_Вводные'!$B$14</f>
        <v/>
      </c>
      <c r="T1421">
        <f>'19_Расчет_аналитики'!S1420*'01_Вводные'!$B$14</f>
        <v/>
      </c>
      <c r="U1421">
        <f>'19_Расчет_аналитики'!T1420*'01_Вводные'!$B$14</f>
        <v/>
      </c>
      <c r="V1421">
        <f>'19_Расчет_аналитики'!U1420*'01_Вводные'!$B$14</f>
        <v/>
      </c>
      <c r="W1421">
        <f>'19_Расчет_аналитики'!V1420*'01_Вводные'!$B$14</f>
        <v/>
      </c>
      <c r="X1421">
        <f>'19_Расчет_аналитики'!W1420*'01_Вводные'!$B$14</f>
        <v/>
      </c>
      <c r="Y1421">
        <f>'19_Расчет_аналитики'!X1420*'01_Вводные'!$B$14</f>
        <v/>
      </c>
      <c r="Z1421">
        <f>'19_Расчет_аналитики'!Y1420*'01_Вводные'!$B$14</f>
        <v/>
      </c>
      <c r="AA1421">
        <f>'19_Расчет_аналитики'!Z1420*'01_Вводные'!$B$14</f>
        <v/>
      </c>
      <c r="AB1421">
        <f>'19_Расчет_аналитики'!AA1420*'01_Вводные'!$B$14</f>
        <v/>
      </c>
      <c r="AC1421">
        <f>'19_Расчет_аналитики'!AB1420*'01_Вводные'!$B$14</f>
        <v/>
      </c>
      <c r="AD1421">
        <f>'19_Расчет_аналитики'!AC1420*'01_Вводные'!$B$14</f>
        <v/>
      </c>
      <c r="AE1421">
        <f>'19_Расчет_аналитики'!AD1420*'01_Вводные'!$B$14</f>
        <v/>
      </c>
      <c r="AF1421">
        <f>'19_Расчет_аналитики'!AE1420*'01_Вводные'!$B$14</f>
        <v/>
      </c>
      <c r="AG1421">
        <f>'19_Расчет_аналитики'!AF1420*'01_Вводные'!$B$14</f>
        <v/>
      </c>
      <c r="AH1421">
        <f>'19_Расчет_аналитики'!AG1420*'01_Вводные'!$B$14</f>
        <v/>
      </c>
      <c r="AI1421">
        <f>'19_Расчет_аналитики'!AH1420*'01_Вводные'!$B$14</f>
        <v/>
      </c>
      <c r="AJ1421">
        <f>'19_Расчет_аналитики'!AI1420*'01_Вводные'!$B$14</f>
        <v/>
      </c>
      <c r="AK1421">
        <f>'19_Расчет_аналитики'!AJ1420*'01_Вводные'!$B$14</f>
        <v/>
      </c>
      <c r="AL1421">
        <f>'19_Расчет_аналитики'!AK1420*'01_Вводные'!$B$14</f>
        <v/>
      </c>
      <c r="AM1421">
        <f>'19_Расчет_аналитики'!AL1420*'01_Вводные'!$B$14</f>
        <v/>
      </c>
      <c r="AN1421">
        <f>'19_Расчет_аналитики'!AM1420*'01_Вводные'!$B$14</f>
        <v/>
      </c>
      <c r="AO1421">
        <f>'19_Расчет_аналитики'!AN1420*'01_Вводные'!$B$14</f>
        <v/>
      </c>
      <c r="AP1421">
        <f>'19_Расчет_аналитики'!AO1420*'01_Вводные'!$B$14</f>
        <v/>
      </c>
      <c r="AQ1421">
        <f>'19_Расчет_аналитики'!AP1420*'01_Вводные'!$B$14</f>
        <v/>
      </c>
      <c r="AR1421">
        <f>'19_Расчет_аналитики'!AQ1420*'01_Вводные'!$B$14</f>
        <v/>
      </c>
      <c r="AS1421">
        <f>'19_Расчет_аналитики'!AR1420*'01_Вводные'!$B$14</f>
        <v/>
      </c>
      <c r="AT1421">
        <f>'19_Расчет_аналитики'!AS1420*'01_Вводные'!$B$14</f>
        <v/>
      </c>
      <c r="AU1421">
        <f>'19_Расчет_аналитики'!AT1420*'01_Вводные'!$B$14</f>
        <v/>
      </c>
      <c r="AV1421">
        <f>'19_Расчет_аналитики'!AU1420*'01_Вводные'!$B$14</f>
        <v/>
      </c>
      <c r="AW1421">
        <f>'19_Расчет_аналитики'!AV1420*'01_Вводные'!$B$14</f>
        <v/>
      </c>
      <c r="AX1421">
        <f>'19_Расчет_аналитики'!AW1420*'01_Вводные'!$B$14</f>
        <v/>
      </c>
      <c r="AY1421">
        <f>'19_Расчет_аналитики'!AX1420*'01_Вводные'!$B$14</f>
        <v/>
      </c>
      <c r="AZ1421">
        <f>'19_Расчет_аналитики'!AY1420*'01_Вводные'!$B$14</f>
        <v/>
      </c>
      <c r="BA1421">
        <f>'19_Расчет_аналитики'!AZ1420*'01_Вводные'!$B$14</f>
        <v/>
      </c>
      <c r="BB1421">
        <f>'19_Расчет_аналитики'!BA1420*'01_Вводные'!$B$14</f>
        <v/>
      </c>
      <c r="BC1421">
        <f>'19_Расчет_аналитики'!BB1420*'01_Вводные'!$B$14</f>
        <v/>
      </c>
      <c r="BD1421">
        <f>'19_Расчет_аналитики'!BC1420*'01_Вводные'!$B$14</f>
        <v/>
      </c>
      <c r="BE1421">
        <f>'19_Расчет_аналитики'!BD1420*'01_Вводные'!$B$14</f>
        <v/>
      </c>
      <c r="BF1421">
        <f>'19_Расчет_аналитики'!BE1420*'01_Вводные'!$B$14</f>
        <v/>
      </c>
      <c r="BG1421">
        <f>'19_Расчет_аналитики'!BF1420*'01_Вводные'!$B$14</f>
        <v/>
      </c>
      <c r="BH1421">
        <f>'19_Расчет_аналитики'!BG1420*'01_Вводные'!$B$14</f>
        <v/>
      </c>
      <c r="BI1421">
        <f>'19_Расчет_аналитики'!BH1420*'01_Вводные'!$B$14</f>
        <v/>
      </c>
      <c r="BJ1421">
        <f>'19_Расчет_аналитики'!BI1420*'01_Вводные'!$B$14</f>
        <v/>
      </c>
      <c r="BK1421">
        <f>'19_Расчет_аналитики'!BJ1420*'01_Вводные'!$B$14</f>
        <v/>
      </c>
      <c r="BL1421">
        <f>'19_Расчет_аналитики'!BK1420*'01_Вводные'!$B$14</f>
        <v/>
      </c>
      <c r="BM1421">
        <f>'19_Расчет_аналитики'!BL1420*'01_Вводные'!$B$14</f>
        <v/>
      </c>
      <c r="BN1421">
        <f>'19_Расчет_аналитики'!BM1420*'01_Вводные'!$B$14</f>
        <v/>
      </c>
      <c r="BO1421">
        <f>'19_Расчет_аналитики'!BN1420*'01_Вводные'!$B$14</f>
        <v/>
      </c>
    </row>
    <row r="1422">
      <c r="B1422">
        <f>'06_Сеть_и_дети'!B55</f>
        <v/>
      </c>
      <c r="C1422">
        <f>'06_Сеть_и_дети'!C55</f>
        <v/>
      </c>
      <c r="D1422">
        <f>'19_Расчет_аналитики'!C1421*'01_Вводные'!$B$14</f>
        <v/>
      </c>
      <c r="E1422">
        <f>'19_Расчет_аналитики'!D1421*'01_Вводные'!$B$14</f>
        <v/>
      </c>
      <c r="F1422">
        <f>'19_Расчет_аналитики'!E1421*'01_Вводные'!$B$14</f>
        <v/>
      </c>
      <c r="G1422">
        <f>'19_Расчет_аналитики'!F1421*'01_Вводные'!$B$14</f>
        <v/>
      </c>
      <c r="H1422">
        <f>'19_Расчет_аналитики'!G1421*'01_Вводные'!$B$14</f>
        <v/>
      </c>
      <c r="I1422">
        <f>'19_Расчет_аналитики'!H1421*'01_Вводные'!$B$14</f>
        <v/>
      </c>
      <c r="J1422">
        <f>'19_Расчет_аналитики'!I1421*'01_Вводные'!$B$14</f>
        <v/>
      </c>
      <c r="K1422">
        <f>'19_Расчет_аналитики'!J1421*'01_Вводные'!$B$14</f>
        <v/>
      </c>
      <c r="L1422">
        <f>'19_Расчет_аналитики'!K1421*'01_Вводные'!$B$14</f>
        <v/>
      </c>
      <c r="M1422">
        <f>'19_Расчет_аналитики'!L1421*'01_Вводные'!$B$14</f>
        <v/>
      </c>
      <c r="N1422">
        <f>'19_Расчет_аналитики'!M1421*'01_Вводные'!$B$14</f>
        <v/>
      </c>
      <c r="O1422">
        <f>'19_Расчет_аналитики'!N1421*'01_Вводные'!$B$14</f>
        <v/>
      </c>
      <c r="P1422">
        <f>'19_Расчет_аналитики'!O1421*'01_Вводные'!$B$14</f>
        <v/>
      </c>
      <c r="Q1422">
        <f>'19_Расчет_аналитики'!P1421*'01_Вводные'!$B$14</f>
        <v/>
      </c>
      <c r="R1422">
        <f>'19_Расчет_аналитики'!Q1421*'01_Вводные'!$B$14</f>
        <v/>
      </c>
      <c r="S1422">
        <f>'19_Расчет_аналитики'!R1421*'01_Вводные'!$B$14</f>
        <v/>
      </c>
      <c r="T1422">
        <f>'19_Расчет_аналитики'!S1421*'01_Вводные'!$B$14</f>
        <v/>
      </c>
      <c r="U1422">
        <f>'19_Расчет_аналитики'!T1421*'01_Вводные'!$B$14</f>
        <v/>
      </c>
      <c r="V1422">
        <f>'19_Расчет_аналитики'!U1421*'01_Вводные'!$B$14</f>
        <v/>
      </c>
      <c r="W1422">
        <f>'19_Расчет_аналитики'!V1421*'01_Вводные'!$B$14</f>
        <v/>
      </c>
      <c r="X1422">
        <f>'19_Расчет_аналитики'!W1421*'01_Вводные'!$B$14</f>
        <v/>
      </c>
      <c r="Y1422">
        <f>'19_Расчет_аналитики'!X1421*'01_Вводные'!$B$14</f>
        <v/>
      </c>
      <c r="Z1422">
        <f>'19_Расчет_аналитики'!Y1421*'01_Вводные'!$B$14</f>
        <v/>
      </c>
      <c r="AA1422">
        <f>'19_Расчет_аналитики'!Z1421*'01_Вводные'!$B$14</f>
        <v/>
      </c>
      <c r="AB1422">
        <f>'19_Расчет_аналитики'!AA1421*'01_Вводные'!$B$14</f>
        <v/>
      </c>
      <c r="AC1422">
        <f>'19_Расчет_аналитики'!AB1421*'01_Вводные'!$B$14</f>
        <v/>
      </c>
      <c r="AD1422">
        <f>'19_Расчет_аналитики'!AC1421*'01_Вводные'!$B$14</f>
        <v/>
      </c>
      <c r="AE1422">
        <f>'19_Расчет_аналитики'!AD1421*'01_Вводные'!$B$14</f>
        <v/>
      </c>
      <c r="AF1422">
        <f>'19_Расчет_аналитики'!AE1421*'01_Вводные'!$B$14</f>
        <v/>
      </c>
      <c r="AG1422">
        <f>'19_Расчет_аналитики'!AF1421*'01_Вводные'!$B$14</f>
        <v/>
      </c>
      <c r="AH1422">
        <f>'19_Расчет_аналитики'!AG1421*'01_Вводные'!$B$14</f>
        <v/>
      </c>
      <c r="AI1422">
        <f>'19_Расчет_аналитики'!AH1421*'01_Вводные'!$B$14</f>
        <v/>
      </c>
      <c r="AJ1422">
        <f>'19_Расчет_аналитики'!AI1421*'01_Вводные'!$B$14</f>
        <v/>
      </c>
      <c r="AK1422">
        <f>'19_Расчет_аналитики'!AJ1421*'01_Вводные'!$B$14</f>
        <v/>
      </c>
      <c r="AL1422">
        <f>'19_Расчет_аналитики'!AK1421*'01_Вводные'!$B$14</f>
        <v/>
      </c>
      <c r="AM1422">
        <f>'19_Расчет_аналитики'!AL1421*'01_Вводные'!$B$14</f>
        <v/>
      </c>
      <c r="AN1422">
        <f>'19_Расчет_аналитики'!AM1421*'01_Вводные'!$B$14</f>
        <v/>
      </c>
      <c r="AO1422">
        <f>'19_Расчет_аналитики'!AN1421*'01_Вводные'!$B$14</f>
        <v/>
      </c>
      <c r="AP1422">
        <f>'19_Расчет_аналитики'!AO1421*'01_Вводные'!$B$14</f>
        <v/>
      </c>
      <c r="AQ1422">
        <f>'19_Расчет_аналитики'!AP1421*'01_Вводные'!$B$14</f>
        <v/>
      </c>
      <c r="AR1422">
        <f>'19_Расчет_аналитики'!AQ1421*'01_Вводные'!$B$14</f>
        <v/>
      </c>
      <c r="AS1422">
        <f>'19_Расчет_аналитики'!AR1421*'01_Вводные'!$B$14</f>
        <v/>
      </c>
      <c r="AT1422">
        <f>'19_Расчет_аналитики'!AS1421*'01_Вводные'!$B$14</f>
        <v/>
      </c>
      <c r="AU1422">
        <f>'19_Расчет_аналитики'!AT1421*'01_Вводные'!$B$14</f>
        <v/>
      </c>
      <c r="AV1422">
        <f>'19_Расчет_аналитики'!AU1421*'01_Вводные'!$B$14</f>
        <v/>
      </c>
      <c r="AW1422">
        <f>'19_Расчет_аналитики'!AV1421*'01_Вводные'!$B$14</f>
        <v/>
      </c>
      <c r="AX1422">
        <f>'19_Расчет_аналитики'!AW1421*'01_Вводные'!$B$14</f>
        <v/>
      </c>
      <c r="AY1422">
        <f>'19_Расчет_аналитики'!AX1421*'01_Вводные'!$B$14</f>
        <v/>
      </c>
      <c r="AZ1422">
        <f>'19_Расчет_аналитики'!AY1421*'01_Вводные'!$B$14</f>
        <v/>
      </c>
      <c r="BA1422">
        <f>'19_Расчет_аналитики'!AZ1421*'01_Вводные'!$B$14</f>
        <v/>
      </c>
      <c r="BB1422">
        <f>'19_Расчет_аналитики'!BA1421*'01_Вводные'!$B$14</f>
        <v/>
      </c>
      <c r="BC1422">
        <f>'19_Расчет_аналитики'!BB1421*'01_Вводные'!$B$14</f>
        <v/>
      </c>
      <c r="BD1422">
        <f>'19_Расчет_аналитики'!BC1421*'01_Вводные'!$B$14</f>
        <v/>
      </c>
      <c r="BE1422">
        <f>'19_Расчет_аналитики'!BD1421*'01_Вводные'!$B$14</f>
        <v/>
      </c>
      <c r="BF1422">
        <f>'19_Расчет_аналитики'!BE1421*'01_Вводные'!$B$14</f>
        <v/>
      </c>
      <c r="BG1422">
        <f>'19_Расчет_аналитики'!BF1421*'01_Вводные'!$B$14</f>
        <v/>
      </c>
      <c r="BH1422">
        <f>'19_Расчет_аналитики'!BG1421*'01_Вводные'!$B$14</f>
        <v/>
      </c>
      <c r="BI1422">
        <f>'19_Расчет_аналитики'!BH1421*'01_Вводные'!$B$14</f>
        <v/>
      </c>
      <c r="BJ1422">
        <f>'19_Расчет_аналитики'!BI1421*'01_Вводные'!$B$14</f>
        <v/>
      </c>
      <c r="BK1422">
        <f>'19_Расчет_аналитики'!BJ1421*'01_Вводные'!$B$14</f>
        <v/>
      </c>
      <c r="BL1422">
        <f>'19_Расчет_аналитики'!BK1421*'01_Вводные'!$B$14</f>
        <v/>
      </c>
      <c r="BM1422">
        <f>'19_Расчет_аналитики'!BL1421*'01_Вводные'!$B$14</f>
        <v/>
      </c>
      <c r="BN1422">
        <f>'19_Расчет_аналитики'!BM1421*'01_Вводные'!$B$14</f>
        <v/>
      </c>
      <c r="BO1422">
        <f>'19_Расчет_аналитики'!BN1421*'01_Вводные'!$B$14</f>
        <v/>
      </c>
    </row>
    <row r="1423">
      <c r="B1423">
        <f>'06_Сеть_и_дети'!B56</f>
        <v/>
      </c>
      <c r="C1423">
        <f>'06_Сеть_и_дети'!C56</f>
        <v/>
      </c>
      <c r="D1423">
        <f>'06_Сеть_и_дети'!D56</f>
        <v/>
      </c>
      <c r="E1423">
        <f>'19_Расчет_аналитики'!D1422*'01_Вводные'!$B$14</f>
        <v/>
      </c>
      <c r="F1423">
        <f>'19_Расчет_аналитики'!E1422*'01_Вводные'!$B$14</f>
        <v/>
      </c>
      <c r="G1423">
        <f>'19_Расчет_аналитики'!F1422*'01_Вводные'!$B$14</f>
        <v/>
      </c>
      <c r="H1423">
        <f>'19_Расчет_аналитики'!G1422*'01_Вводные'!$B$14</f>
        <v/>
      </c>
      <c r="I1423">
        <f>'19_Расчет_аналитики'!H1422*'01_Вводные'!$B$14</f>
        <v/>
      </c>
      <c r="J1423">
        <f>'19_Расчет_аналитики'!I1422*'01_Вводные'!$B$14</f>
        <v/>
      </c>
      <c r="K1423">
        <f>'19_Расчет_аналитики'!J1422*'01_Вводные'!$B$14</f>
        <v/>
      </c>
      <c r="L1423">
        <f>'19_Расчет_аналитики'!K1422*'01_Вводные'!$B$14</f>
        <v/>
      </c>
      <c r="M1423">
        <f>'19_Расчет_аналитики'!L1422*'01_Вводные'!$B$14</f>
        <v/>
      </c>
      <c r="N1423">
        <f>'19_Расчет_аналитики'!M1422*'01_Вводные'!$B$14</f>
        <v/>
      </c>
      <c r="O1423">
        <f>'19_Расчет_аналитики'!N1422*'01_Вводные'!$B$14</f>
        <v/>
      </c>
      <c r="P1423">
        <f>'19_Расчет_аналитики'!O1422*'01_Вводные'!$B$14</f>
        <v/>
      </c>
      <c r="Q1423">
        <f>'19_Расчет_аналитики'!P1422*'01_Вводные'!$B$14</f>
        <v/>
      </c>
      <c r="R1423">
        <f>'19_Расчет_аналитики'!Q1422*'01_Вводные'!$B$14</f>
        <v/>
      </c>
      <c r="S1423">
        <f>'19_Расчет_аналитики'!R1422*'01_Вводные'!$B$14</f>
        <v/>
      </c>
      <c r="T1423">
        <f>'19_Расчет_аналитики'!S1422*'01_Вводные'!$B$14</f>
        <v/>
      </c>
      <c r="U1423">
        <f>'19_Расчет_аналитики'!T1422*'01_Вводные'!$B$14</f>
        <v/>
      </c>
      <c r="V1423">
        <f>'19_Расчет_аналитики'!U1422*'01_Вводные'!$B$14</f>
        <v/>
      </c>
      <c r="W1423">
        <f>'19_Расчет_аналитики'!V1422*'01_Вводные'!$B$14</f>
        <v/>
      </c>
      <c r="X1423">
        <f>'19_Расчет_аналитики'!W1422*'01_Вводные'!$B$14</f>
        <v/>
      </c>
      <c r="Y1423">
        <f>'19_Расчет_аналитики'!X1422*'01_Вводные'!$B$14</f>
        <v/>
      </c>
      <c r="Z1423">
        <f>'19_Расчет_аналитики'!Y1422*'01_Вводные'!$B$14</f>
        <v/>
      </c>
      <c r="AA1423">
        <f>'19_Расчет_аналитики'!Z1422*'01_Вводные'!$B$14</f>
        <v/>
      </c>
      <c r="AB1423">
        <f>'19_Расчет_аналитики'!AA1422*'01_Вводные'!$B$14</f>
        <v/>
      </c>
      <c r="AC1423">
        <f>'19_Расчет_аналитики'!AB1422*'01_Вводные'!$B$14</f>
        <v/>
      </c>
      <c r="AD1423">
        <f>'19_Расчет_аналитики'!AC1422*'01_Вводные'!$B$14</f>
        <v/>
      </c>
      <c r="AE1423">
        <f>'19_Расчет_аналитики'!AD1422*'01_Вводные'!$B$14</f>
        <v/>
      </c>
      <c r="AF1423">
        <f>'19_Расчет_аналитики'!AE1422*'01_Вводные'!$B$14</f>
        <v/>
      </c>
      <c r="AG1423">
        <f>'19_Расчет_аналитики'!AF1422*'01_Вводные'!$B$14</f>
        <v/>
      </c>
      <c r="AH1423">
        <f>'19_Расчет_аналитики'!AG1422*'01_Вводные'!$B$14</f>
        <v/>
      </c>
      <c r="AI1423">
        <f>'19_Расчет_аналитики'!AH1422*'01_Вводные'!$B$14</f>
        <v/>
      </c>
      <c r="AJ1423">
        <f>'19_Расчет_аналитики'!AI1422*'01_Вводные'!$B$14</f>
        <v/>
      </c>
      <c r="AK1423">
        <f>'19_Расчет_аналитики'!AJ1422*'01_Вводные'!$B$14</f>
        <v/>
      </c>
      <c r="AL1423">
        <f>'19_Расчет_аналитики'!AK1422*'01_Вводные'!$B$14</f>
        <v/>
      </c>
      <c r="AM1423">
        <f>'19_Расчет_аналитики'!AL1422*'01_Вводные'!$B$14</f>
        <v/>
      </c>
      <c r="AN1423">
        <f>'19_Расчет_аналитики'!AM1422*'01_Вводные'!$B$14</f>
        <v/>
      </c>
      <c r="AO1423">
        <f>'19_Расчет_аналитики'!AN1422*'01_Вводные'!$B$14</f>
        <v/>
      </c>
      <c r="AP1423">
        <f>'19_Расчет_аналитики'!AO1422*'01_Вводные'!$B$14</f>
        <v/>
      </c>
      <c r="AQ1423">
        <f>'19_Расчет_аналитики'!AP1422*'01_Вводные'!$B$14</f>
        <v/>
      </c>
      <c r="AR1423">
        <f>'19_Расчет_аналитики'!AQ1422*'01_Вводные'!$B$14</f>
        <v/>
      </c>
      <c r="AS1423">
        <f>'19_Расчет_аналитики'!AR1422*'01_Вводные'!$B$14</f>
        <v/>
      </c>
      <c r="AT1423">
        <f>'19_Расчет_аналитики'!AS1422*'01_Вводные'!$B$14</f>
        <v/>
      </c>
      <c r="AU1423">
        <f>'19_Расчет_аналитики'!AT1422*'01_Вводные'!$B$14</f>
        <v/>
      </c>
      <c r="AV1423">
        <f>'19_Расчет_аналитики'!AU1422*'01_Вводные'!$B$14</f>
        <v/>
      </c>
      <c r="AW1423">
        <f>'19_Расчет_аналитики'!AV1422*'01_Вводные'!$B$14</f>
        <v/>
      </c>
      <c r="AX1423">
        <f>'19_Расчет_аналитики'!AW1422*'01_Вводные'!$B$14</f>
        <v/>
      </c>
      <c r="AY1423">
        <f>'19_Расчет_аналитики'!AX1422*'01_Вводные'!$B$14</f>
        <v/>
      </c>
      <c r="AZ1423">
        <f>'19_Расчет_аналитики'!AY1422*'01_Вводные'!$B$14</f>
        <v/>
      </c>
      <c r="BA1423">
        <f>'19_Расчет_аналитики'!AZ1422*'01_Вводные'!$B$14</f>
        <v/>
      </c>
      <c r="BB1423">
        <f>'19_Расчет_аналитики'!BA1422*'01_Вводные'!$B$14</f>
        <v/>
      </c>
      <c r="BC1423">
        <f>'19_Расчет_аналитики'!BB1422*'01_Вводные'!$B$14</f>
        <v/>
      </c>
      <c r="BD1423">
        <f>'19_Расчет_аналитики'!BC1422*'01_Вводные'!$B$14</f>
        <v/>
      </c>
      <c r="BE1423">
        <f>'19_Расчет_аналитики'!BD1422*'01_Вводные'!$B$14</f>
        <v/>
      </c>
      <c r="BF1423">
        <f>'19_Расчет_аналитики'!BE1422*'01_Вводные'!$B$14</f>
        <v/>
      </c>
      <c r="BG1423">
        <f>'19_Расчет_аналитики'!BF1422*'01_Вводные'!$B$14</f>
        <v/>
      </c>
      <c r="BH1423">
        <f>'19_Расчет_аналитики'!BG1422*'01_Вводные'!$B$14</f>
        <v/>
      </c>
      <c r="BI1423">
        <f>'19_Расчет_аналитики'!BH1422*'01_Вводные'!$B$14</f>
        <v/>
      </c>
      <c r="BJ1423">
        <f>'19_Расчет_аналитики'!BI1422*'01_Вводные'!$B$14</f>
        <v/>
      </c>
      <c r="BK1423">
        <f>'19_Расчет_аналитики'!BJ1422*'01_Вводные'!$B$14</f>
        <v/>
      </c>
      <c r="BL1423">
        <f>'19_Расчет_аналитики'!BK1422*'01_Вводные'!$B$14</f>
        <v/>
      </c>
      <c r="BM1423">
        <f>'19_Расчет_аналитики'!BL1422*'01_Вводные'!$B$14</f>
        <v/>
      </c>
      <c r="BN1423">
        <f>'19_Расчет_аналитики'!BM1422*'01_Вводные'!$B$14</f>
        <v/>
      </c>
      <c r="BO1423">
        <f>'19_Расчет_аналитики'!BN1422*'01_Вводные'!$B$14</f>
        <v/>
      </c>
    </row>
    <row r="1424">
      <c r="B1424">
        <f>'06_Сеть_и_дети'!B57</f>
        <v/>
      </c>
      <c r="C1424">
        <f>'06_Сеть_и_дети'!C57</f>
        <v/>
      </c>
      <c r="D1424">
        <f>'06_Сеть_и_дети'!D57</f>
        <v/>
      </c>
      <c r="E1424">
        <f>'06_Сеть_и_дети'!E57</f>
        <v/>
      </c>
      <c r="F1424">
        <f>'19_Расчет_аналитики'!E1423*'01_Вводные'!$B$14</f>
        <v/>
      </c>
      <c r="G1424">
        <f>'19_Расчет_аналитики'!F1423*'01_Вводные'!$B$14</f>
        <v/>
      </c>
      <c r="H1424">
        <f>'19_Расчет_аналитики'!G1423*'01_Вводные'!$B$14</f>
        <v/>
      </c>
      <c r="I1424">
        <f>'19_Расчет_аналитики'!H1423*'01_Вводные'!$B$14</f>
        <v/>
      </c>
      <c r="J1424">
        <f>'19_Расчет_аналитики'!I1423*'01_Вводные'!$B$14</f>
        <v/>
      </c>
      <c r="K1424">
        <f>'19_Расчет_аналитики'!J1423*'01_Вводные'!$B$14</f>
        <v/>
      </c>
      <c r="L1424">
        <f>'19_Расчет_аналитики'!K1423*'01_Вводные'!$B$14</f>
        <v/>
      </c>
      <c r="M1424">
        <f>'19_Расчет_аналитики'!L1423*'01_Вводные'!$B$14</f>
        <v/>
      </c>
      <c r="N1424">
        <f>'19_Расчет_аналитики'!M1423*'01_Вводные'!$B$14</f>
        <v/>
      </c>
      <c r="O1424">
        <f>'19_Расчет_аналитики'!N1423*'01_Вводные'!$B$14</f>
        <v/>
      </c>
      <c r="P1424">
        <f>'19_Расчет_аналитики'!O1423*'01_Вводные'!$B$14</f>
        <v/>
      </c>
      <c r="Q1424">
        <f>'19_Расчет_аналитики'!P1423*'01_Вводные'!$B$14</f>
        <v/>
      </c>
      <c r="R1424">
        <f>'19_Расчет_аналитики'!Q1423*'01_Вводные'!$B$14</f>
        <v/>
      </c>
      <c r="S1424">
        <f>'19_Расчет_аналитики'!R1423*'01_Вводные'!$B$14</f>
        <v/>
      </c>
      <c r="T1424">
        <f>'19_Расчет_аналитики'!S1423*'01_Вводные'!$B$14</f>
        <v/>
      </c>
      <c r="U1424">
        <f>'19_Расчет_аналитики'!T1423*'01_Вводные'!$B$14</f>
        <v/>
      </c>
      <c r="V1424">
        <f>'19_Расчет_аналитики'!U1423*'01_Вводные'!$B$14</f>
        <v/>
      </c>
      <c r="W1424">
        <f>'19_Расчет_аналитики'!V1423*'01_Вводные'!$B$14</f>
        <v/>
      </c>
      <c r="X1424">
        <f>'19_Расчет_аналитики'!W1423*'01_Вводные'!$B$14</f>
        <v/>
      </c>
      <c r="Y1424">
        <f>'19_Расчет_аналитики'!X1423*'01_Вводные'!$B$14</f>
        <v/>
      </c>
      <c r="Z1424">
        <f>'19_Расчет_аналитики'!Y1423*'01_Вводные'!$B$14</f>
        <v/>
      </c>
      <c r="AA1424">
        <f>'19_Расчет_аналитики'!Z1423*'01_Вводные'!$B$14</f>
        <v/>
      </c>
      <c r="AB1424">
        <f>'19_Расчет_аналитики'!AA1423*'01_Вводные'!$B$14</f>
        <v/>
      </c>
      <c r="AC1424">
        <f>'19_Расчет_аналитики'!AB1423*'01_Вводные'!$B$14</f>
        <v/>
      </c>
      <c r="AD1424">
        <f>'19_Расчет_аналитики'!AC1423*'01_Вводные'!$B$14</f>
        <v/>
      </c>
      <c r="AE1424">
        <f>'19_Расчет_аналитики'!AD1423*'01_Вводные'!$B$14</f>
        <v/>
      </c>
      <c r="AF1424">
        <f>'19_Расчет_аналитики'!AE1423*'01_Вводные'!$B$14</f>
        <v/>
      </c>
      <c r="AG1424">
        <f>'19_Расчет_аналитики'!AF1423*'01_Вводные'!$B$14</f>
        <v/>
      </c>
      <c r="AH1424">
        <f>'19_Расчет_аналитики'!AG1423*'01_Вводные'!$B$14</f>
        <v/>
      </c>
      <c r="AI1424">
        <f>'19_Расчет_аналитики'!AH1423*'01_Вводные'!$B$14</f>
        <v/>
      </c>
      <c r="AJ1424">
        <f>'19_Расчет_аналитики'!AI1423*'01_Вводные'!$B$14</f>
        <v/>
      </c>
      <c r="AK1424">
        <f>'19_Расчет_аналитики'!AJ1423*'01_Вводные'!$B$14</f>
        <v/>
      </c>
      <c r="AL1424">
        <f>'19_Расчет_аналитики'!AK1423*'01_Вводные'!$B$14</f>
        <v/>
      </c>
      <c r="AM1424">
        <f>'19_Расчет_аналитики'!AL1423*'01_Вводные'!$B$14</f>
        <v/>
      </c>
      <c r="AN1424">
        <f>'19_Расчет_аналитики'!AM1423*'01_Вводные'!$B$14</f>
        <v/>
      </c>
      <c r="AO1424">
        <f>'19_Расчет_аналитики'!AN1423*'01_Вводные'!$B$14</f>
        <v/>
      </c>
      <c r="AP1424">
        <f>'19_Расчет_аналитики'!AO1423*'01_Вводные'!$B$14</f>
        <v/>
      </c>
      <c r="AQ1424">
        <f>'19_Расчет_аналитики'!AP1423*'01_Вводные'!$B$14</f>
        <v/>
      </c>
      <c r="AR1424">
        <f>'19_Расчет_аналитики'!AQ1423*'01_Вводные'!$B$14</f>
        <v/>
      </c>
      <c r="AS1424">
        <f>'19_Расчет_аналитики'!AR1423*'01_Вводные'!$B$14</f>
        <v/>
      </c>
      <c r="AT1424">
        <f>'19_Расчет_аналитики'!AS1423*'01_Вводные'!$B$14</f>
        <v/>
      </c>
      <c r="AU1424">
        <f>'19_Расчет_аналитики'!AT1423*'01_Вводные'!$B$14</f>
        <v/>
      </c>
      <c r="AV1424">
        <f>'19_Расчет_аналитики'!AU1423*'01_Вводные'!$B$14</f>
        <v/>
      </c>
      <c r="AW1424">
        <f>'19_Расчет_аналитики'!AV1423*'01_Вводные'!$B$14</f>
        <v/>
      </c>
      <c r="AX1424">
        <f>'19_Расчет_аналитики'!AW1423*'01_Вводные'!$B$14</f>
        <v/>
      </c>
      <c r="AY1424">
        <f>'19_Расчет_аналитики'!AX1423*'01_Вводные'!$B$14</f>
        <v/>
      </c>
      <c r="AZ1424">
        <f>'19_Расчет_аналитики'!AY1423*'01_Вводные'!$B$14</f>
        <v/>
      </c>
      <c r="BA1424">
        <f>'19_Расчет_аналитики'!AZ1423*'01_Вводные'!$B$14</f>
        <v/>
      </c>
      <c r="BB1424">
        <f>'19_Расчет_аналитики'!BA1423*'01_Вводные'!$B$14</f>
        <v/>
      </c>
      <c r="BC1424">
        <f>'19_Расчет_аналитики'!BB1423*'01_Вводные'!$B$14</f>
        <v/>
      </c>
      <c r="BD1424">
        <f>'19_Расчет_аналитики'!BC1423*'01_Вводные'!$B$14</f>
        <v/>
      </c>
      <c r="BE1424">
        <f>'19_Расчет_аналитики'!BD1423*'01_Вводные'!$B$14</f>
        <v/>
      </c>
      <c r="BF1424">
        <f>'19_Расчет_аналитики'!BE1423*'01_Вводные'!$B$14</f>
        <v/>
      </c>
      <c r="BG1424">
        <f>'19_Расчет_аналитики'!BF1423*'01_Вводные'!$B$14</f>
        <v/>
      </c>
      <c r="BH1424">
        <f>'19_Расчет_аналитики'!BG1423*'01_Вводные'!$B$14</f>
        <v/>
      </c>
      <c r="BI1424">
        <f>'19_Расчет_аналитики'!BH1423*'01_Вводные'!$B$14</f>
        <v/>
      </c>
      <c r="BJ1424">
        <f>'19_Расчет_аналитики'!BI1423*'01_Вводные'!$B$14</f>
        <v/>
      </c>
      <c r="BK1424">
        <f>'19_Расчет_аналитики'!BJ1423*'01_Вводные'!$B$14</f>
        <v/>
      </c>
      <c r="BL1424">
        <f>'19_Расчет_аналитики'!BK1423*'01_Вводные'!$B$14</f>
        <v/>
      </c>
      <c r="BM1424">
        <f>'19_Расчет_аналитики'!BL1423*'01_Вводные'!$B$14</f>
        <v/>
      </c>
      <c r="BN1424">
        <f>'19_Расчет_аналитики'!BM1423*'01_Вводные'!$B$14</f>
        <v/>
      </c>
      <c r="BO1424">
        <f>'19_Расчет_аналитики'!BN1423*'01_Вводные'!$B$14</f>
        <v/>
      </c>
    </row>
    <row r="1425">
      <c r="B1425">
        <f>'06_Сеть_и_дети'!B58</f>
        <v/>
      </c>
      <c r="C1425">
        <f>'06_Сеть_и_дети'!C58</f>
        <v/>
      </c>
      <c r="D1425">
        <f>'06_Сеть_и_дети'!D58</f>
        <v/>
      </c>
      <c r="E1425">
        <f>'06_Сеть_и_дети'!E58</f>
        <v/>
      </c>
      <c r="F1425">
        <f>'06_Сеть_и_дети'!F58</f>
        <v/>
      </c>
      <c r="G1425">
        <f>'19_Расчет_аналитики'!F1424*'01_Вводные'!$B$14</f>
        <v/>
      </c>
      <c r="H1425">
        <f>'19_Расчет_аналитики'!G1424*'01_Вводные'!$B$14</f>
        <v/>
      </c>
      <c r="I1425">
        <f>'19_Расчет_аналитики'!H1424*'01_Вводные'!$B$14</f>
        <v/>
      </c>
      <c r="J1425">
        <f>'19_Расчет_аналитики'!I1424*'01_Вводные'!$B$14</f>
        <v/>
      </c>
      <c r="K1425">
        <f>'19_Расчет_аналитики'!J1424*'01_Вводные'!$B$14</f>
        <v/>
      </c>
      <c r="L1425">
        <f>'19_Расчет_аналитики'!K1424*'01_Вводные'!$B$14</f>
        <v/>
      </c>
      <c r="M1425">
        <f>'19_Расчет_аналитики'!L1424*'01_Вводные'!$B$14</f>
        <v/>
      </c>
      <c r="N1425">
        <f>'19_Расчет_аналитики'!M1424*'01_Вводные'!$B$14</f>
        <v/>
      </c>
      <c r="O1425">
        <f>'19_Расчет_аналитики'!N1424*'01_Вводные'!$B$14</f>
        <v/>
      </c>
      <c r="P1425">
        <f>'19_Расчет_аналитики'!O1424*'01_Вводные'!$B$14</f>
        <v/>
      </c>
      <c r="Q1425">
        <f>'19_Расчет_аналитики'!P1424*'01_Вводные'!$B$14</f>
        <v/>
      </c>
      <c r="R1425">
        <f>'19_Расчет_аналитики'!Q1424*'01_Вводные'!$B$14</f>
        <v/>
      </c>
      <c r="S1425">
        <f>'19_Расчет_аналитики'!R1424*'01_Вводные'!$B$14</f>
        <v/>
      </c>
      <c r="T1425">
        <f>'19_Расчет_аналитики'!S1424*'01_Вводные'!$B$14</f>
        <v/>
      </c>
      <c r="U1425">
        <f>'19_Расчет_аналитики'!T1424*'01_Вводные'!$B$14</f>
        <v/>
      </c>
      <c r="V1425">
        <f>'19_Расчет_аналитики'!U1424*'01_Вводные'!$B$14</f>
        <v/>
      </c>
      <c r="W1425">
        <f>'19_Расчет_аналитики'!V1424*'01_Вводные'!$B$14</f>
        <v/>
      </c>
      <c r="X1425">
        <f>'19_Расчет_аналитики'!W1424*'01_Вводные'!$B$14</f>
        <v/>
      </c>
      <c r="Y1425">
        <f>'19_Расчет_аналитики'!X1424*'01_Вводные'!$B$14</f>
        <v/>
      </c>
      <c r="Z1425">
        <f>'19_Расчет_аналитики'!Y1424*'01_Вводные'!$B$14</f>
        <v/>
      </c>
      <c r="AA1425">
        <f>'19_Расчет_аналитики'!Z1424*'01_Вводные'!$B$14</f>
        <v/>
      </c>
      <c r="AB1425">
        <f>'19_Расчет_аналитики'!AA1424*'01_Вводные'!$B$14</f>
        <v/>
      </c>
      <c r="AC1425">
        <f>'19_Расчет_аналитики'!AB1424*'01_Вводные'!$B$14</f>
        <v/>
      </c>
      <c r="AD1425">
        <f>'19_Расчет_аналитики'!AC1424*'01_Вводные'!$B$14</f>
        <v/>
      </c>
      <c r="AE1425">
        <f>'19_Расчет_аналитики'!AD1424*'01_Вводные'!$B$14</f>
        <v/>
      </c>
      <c r="AF1425">
        <f>'19_Расчет_аналитики'!AE1424*'01_Вводные'!$B$14</f>
        <v/>
      </c>
      <c r="AG1425">
        <f>'19_Расчет_аналитики'!AF1424*'01_Вводные'!$B$14</f>
        <v/>
      </c>
      <c r="AH1425">
        <f>'19_Расчет_аналитики'!AG1424*'01_Вводные'!$B$14</f>
        <v/>
      </c>
      <c r="AI1425">
        <f>'19_Расчет_аналитики'!AH1424*'01_Вводные'!$B$14</f>
        <v/>
      </c>
      <c r="AJ1425">
        <f>'19_Расчет_аналитики'!AI1424*'01_Вводные'!$B$14</f>
        <v/>
      </c>
      <c r="AK1425">
        <f>'19_Расчет_аналитики'!AJ1424*'01_Вводные'!$B$14</f>
        <v/>
      </c>
      <c r="AL1425">
        <f>'19_Расчет_аналитики'!AK1424*'01_Вводные'!$B$14</f>
        <v/>
      </c>
      <c r="AM1425">
        <f>'19_Расчет_аналитики'!AL1424*'01_Вводные'!$B$14</f>
        <v/>
      </c>
      <c r="AN1425">
        <f>'19_Расчет_аналитики'!AM1424*'01_Вводные'!$B$14</f>
        <v/>
      </c>
      <c r="AO1425">
        <f>'19_Расчет_аналитики'!AN1424*'01_Вводные'!$B$14</f>
        <v/>
      </c>
      <c r="AP1425">
        <f>'19_Расчет_аналитики'!AO1424*'01_Вводные'!$B$14</f>
        <v/>
      </c>
      <c r="AQ1425">
        <f>'19_Расчет_аналитики'!AP1424*'01_Вводные'!$B$14</f>
        <v/>
      </c>
      <c r="AR1425">
        <f>'19_Расчет_аналитики'!AQ1424*'01_Вводные'!$B$14</f>
        <v/>
      </c>
      <c r="AS1425">
        <f>'19_Расчет_аналитики'!AR1424*'01_Вводные'!$B$14</f>
        <v/>
      </c>
      <c r="AT1425">
        <f>'19_Расчет_аналитики'!AS1424*'01_Вводные'!$B$14</f>
        <v/>
      </c>
      <c r="AU1425">
        <f>'19_Расчет_аналитики'!AT1424*'01_Вводные'!$B$14</f>
        <v/>
      </c>
      <c r="AV1425">
        <f>'19_Расчет_аналитики'!AU1424*'01_Вводные'!$B$14</f>
        <v/>
      </c>
      <c r="AW1425">
        <f>'19_Расчет_аналитики'!AV1424*'01_Вводные'!$B$14</f>
        <v/>
      </c>
      <c r="AX1425">
        <f>'19_Расчет_аналитики'!AW1424*'01_Вводные'!$B$14</f>
        <v/>
      </c>
      <c r="AY1425">
        <f>'19_Расчет_аналитики'!AX1424*'01_Вводные'!$B$14</f>
        <v/>
      </c>
      <c r="AZ1425">
        <f>'19_Расчет_аналитики'!AY1424*'01_Вводные'!$B$14</f>
        <v/>
      </c>
      <c r="BA1425">
        <f>'19_Расчет_аналитики'!AZ1424*'01_Вводные'!$B$14</f>
        <v/>
      </c>
      <c r="BB1425">
        <f>'19_Расчет_аналитики'!BA1424*'01_Вводные'!$B$14</f>
        <v/>
      </c>
      <c r="BC1425">
        <f>'19_Расчет_аналитики'!BB1424*'01_Вводные'!$B$14</f>
        <v/>
      </c>
      <c r="BD1425">
        <f>'19_Расчет_аналитики'!BC1424*'01_Вводные'!$B$14</f>
        <v/>
      </c>
      <c r="BE1425">
        <f>'19_Расчет_аналитики'!BD1424*'01_Вводные'!$B$14</f>
        <v/>
      </c>
      <c r="BF1425">
        <f>'19_Расчет_аналитики'!BE1424*'01_Вводные'!$B$14</f>
        <v/>
      </c>
      <c r="BG1425">
        <f>'19_Расчет_аналитики'!BF1424*'01_Вводные'!$B$14</f>
        <v/>
      </c>
      <c r="BH1425">
        <f>'19_Расчет_аналитики'!BG1424*'01_Вводные'!$B$14</f>
        <v/>
      </c>
      <c r="BI1425">
        <f>'19_Расчет_аналитики'!BH1424*'01_Вводные'!$B$14</f>
        <v/>
      </c>
      <c r="BJ1425">
        <f>'19_Расчет_аналитики'!BI1424*'01_Вводные'!$B$14</f>
        <v/>
      </c>
      <c r="BK1425">
        <f>'19_Расчет_аналитики'!BJ1424*'01_Вводные'!$B$14</f>
        <v/>
      </c>
      <c r="BL1425">
        <f>'19_Расчет_аналитики'!BK1424*'01_Вводные'!$B$14</f>
        <v/>
      </c>
      <c r="BM1425">
        <f>'19_Расчет_аналитики'!BL1424*'01_Вводные'!$B$14</f>
        <v/>
      </c>
      <c r="BN1425">
        <f>'19_Расчет_аналитики'!BM1424*'01_Вводные'!$B$14</f>
        <v/>
      </c>
      <c r="BO1425">
        <f>'19_Расчет_аналитики'!BN1424*'01_Вводные'!$B$14</f>
        <v/>
      </c>
    </row>
    <row r="1426">
      <c r="B1426">
        <f>'06_Сеть_и_дети'!B59</f>
        <v/>
      </c>
      <c r="C1426">
        <f>'06_Сеть_и_дети'!C59</f>
        <v/>
      </c>
      <c r="D1426">
        <f>'06_Сеть_и_дети'!D59</f>
        <v/>
      </c>
      <c r="E1426">
        <f>'06_Сеть_и_дети'!E59</f>
        <v/>
      </c>
      <c r="F1426">
        <f>'06_Сеть_и_дети'!F59</f>
        <v/>
      </c>
      <c r="G1426">
        <f>'06_Сеть_и_дети'!G59</f>
        <v/>
      </c>
      <c r="H1426">
        <f>'19_Расчет_аналитики'!G1425*'01_Вводные'!$B$14</f>
        <v/>
      </c>
      <c r="I1426">
        <f>'19_Расчет_аналитики'!H1425*'01_Вводные'!$B$14</f>
        <v/>
      </c>
      <c r="J1426">
        <f>'19_Расчет_аналитики'!I1425*'01_Вводные'!$B$14</f>
        <v/>
      </c>
      <c r="K1426">
        <f>'19_Расчет_аналитики'!J1425*'01_Вводные'!$B$14</f>
        <v/>
      </c>
      <c r="L1426">
        <f>'19_Расчет_аналитики'!K1425*'01_Вводные'!$B$14</f>
        <v/>
      </c>
      <c r="M1426">
        <f>'19_Расчет_аналитики'!L1425*'01_Вводные'!$B$14</f>
        <v/>
      </c>
      <c r="N1426">
        <f>'19_Расчет_аналитики'!M1425*'01_Вводные'!$B$14</f>
        <v/>
      </c>
      <c r="O1426">
        <f>'19_Расчет_аналитики'!N1425*'01_Вводные'!$B$14</f>
        <v/>
      </c>
      <c r="P1426">
        <f>'19_Расчет_аналитики'!O1425*'01_Вводные'!$B$14</f>
        <v/>
      </c>
      <c r="Q1426">
        <f>'19_Расчет_аналитики'!P1425*'01_Вводные'!$B$14</f>
        <v/>
      </c>
      <c r="R1426">
        <f>'19_Расчет_аналитики'!Q1425*'01_Вводные'!$B$14</f>
        <v/>
      </c>
      <c r="S1426">
        <f>'19_Расчет_аналитики'!R1425*'01_Вводные'!$B$14</f>
        <v/>
      </c>
      <c r="T1426">
        <f>'19_Расчет_аналитики'!S1425*'01_Вводные'!$B$14</f>
        <v/>
      </c>
      <c r="U1426">
        <f>'19_Расчет_аналитики'!T1425*'01_Вводные'!$B$14</f>
        <v/>
      </c>
      <c r="V1426">
        <f>'19_Расчет_аналитики'!U1425*'01_Вводные'!$B$14</f>
        <v/>
      </c>
      <c r="W1426">
        <f>'19_Расчет_аналитики'!V1425*'01_Вводные'!$B$14</f>
        <v/>
      </c>
      <c r="X1426">
        <f>'19_Расчет_аналитики'!W1425*'01_Вводные'!$B$14</f>
        <v/>
      </c>
      <c r="Y1426">
        <f>'19_Расчет_аналитики'!X1425*'01_Вводные'!$B$14</f>
        <v/>
      </c>
      <c r="Z1426">
        <f>'19_Расчет_аналитики'!Y1425*'01_Вводные'!$B$14</f>
        <v/>
      </c>
      <c r="AA1426">
        <f>'19_Расчет_аналитики'!Z1425*'01_Вводные'!$B$14</f>
        <v/>
      </c>
      <c r="AB1426">
        <f>'19_Расчет_аналитики'!AA1425*'01_Вводные'!$B$14</f>
        <v/>
      </c>
      <c r="AC1426">
        <f>'19_Расчет_аналитики'!AB1425*'01_Вводные'!$B$14</f>
        <v/>
      </c>
      <c r="AD1426">
        <f>'19_Расчет_аналитики'!AC1425*'01_Вводные'!$B$14</f>
        <v/>
      </c>
      <c r="AE1426">
        <f>'19_Расчет_аналитики'!AD1425*'01_Вводные'!$B$14</f>
        <v/>
      </c>
      <c r="AF1426">
        <f>'19_Расчет_аналитики'!AE1425*'01_Вводные'!$B$14</f>
        <v/>
      </c>
      <c r="AG1426">
        <f>'19_Расчет_аналитики'!AF1425*'01_Вводные'!$B$14</f>
        <v/>
      </c>
      <c r="AH1426">
        <f>'19_Расчет_аналитики'!AG1425*'01_Вводные'!$B$14</f>
        <v/>
      </c>
      <c r="AI1426">
        <f>'19_Расчет_аналитики'!AH1425*'01_Вводные'!$B$14</f>
        <v/>
      </c>
      <c r="AJ1426">
        <f>'19_Расчет_аналитики'!AI1425*'01_Вводные'!$B$14</f>
        <v/>
      </c>
      <c r="AK1426">
        <f>'19_Расчет_аналитики'!AJ1425*'01_Вводные'!$B$14</f>
        <v/>
      </c>
      <c r="AL1426">
        <f>'19_Расчет_аналитики'!AK1425*'01_Вводные'!$B$14</f>
        <v/>
      </c>
      <c r="AM1426">
        <f>'19_Расчет_аналитики'!AL1425*'01_Вводные'!$B$14</f>
        <v/>
      </c>
      <c r="AN1426">
        <f>'19_Расчет_аналитики'!AM1425*'01_Вводные'!$B$14</f>
        <v/>
      </c>
      <c r="AO1426">
        <f>'19_Расчет_аналитики'!AN1425*'01_Вводные'!$B$14</f>
        <v/>
      </c>
      <c r="AP1426">
        <f>'19_Расчет_аналитики'!AO1425*'01_Вводные'!$B$14</f>
        <v/>
      </c>
      <c r="AQ1426">
        <f>'19_Расчет_аналитики'!AP1425*'01_Вводные'!$B$14</f>
        <v/>
      </c>
      <c r="AR1426">
        <f>'19_Расчет_аналитики'!AQ1425*'01_Вводные'!$B$14</f>
        <v/>
      </c>
      <c r="AS1426">
        <f>'19_Расчет_аналитики'!AR1425*'01_Вводные'!$B$14</f>
        <v/>
      </c>
      <c r="AT1426">
        <f>'19_Расчет_аналитики'!AS1425*'01_Вводные'!$B$14</f>
        <v/>
      </c>
      <c r="AU1426">
        <f>'19_Расчет_аналитики'!AT1425*'01_Вводные'!$B$14</f>
        <v/>
      </c>
      <c r="AV1426">
        <f>'19_Расчет_аналитики'!AU1425*'01_Вводные'!$B$14</f>
        <v/>
      </c>
      <c r="AW1426">
        <f>'19_Расчет_аналитики'!AV1425*'01_Вводные'!$B$14</f>
        <v/>
      </c>
      <c r="AX1426">
        <f>'19_Расчет_аналитики'!AW1425*'01_Вводные'!$B$14</f>
        <v/>
      </c>
      <c r="AY1426">
        <f>'19_Расчет_аналитики'!AX1425*'01_Вводные'!$B$14</f>
        <v/>
      </c>
      <c r="AZ1426">
        <f>'19_Расчет_аналитики'!AY1425*'01_Вводные'!$B$14</f>
        <v/>
      </c>
      <c r="BA1426">
        <f>'19_Расчет_аналитики'!AZ1425*'01_Вводные'!$B$14</f>
        <v/>
      </c>
      <c r="BB1426">
        <f>'19_Расчет_аналитики'!BA1425*'01_Вводные'!$B$14</f>
        <v/>
      </c>
      <c r="BC1426">
        <f>'19_Расчет_аналитики'!BB1425*'01_Вводные'!$B$14</f>
        <v/>
      </c>
      <c r="BD1426">
        <f>'19_Расчет_аналитики'!BC1425*'01_Вводные'!$B$14</f>
        <v/>
      </c>
      <c r="BE1426">
        <f>'19_Расчет_аналитики'!BD1425*'01_Вводные'!$B$14</f>
        <v/>
      </c>
      <c r="BF1426">
        <f>'19_Расчет_аналитики'!BE1425*'01_Вводные'!$B$14</f>
        <v/>
      </c>
      <c r="BG1426">
        <f>'19_Расчет_аналитики'!BF1425*'01_Вводные'!$B$14</f>
        <v/>
      </c>
      <c r="BH1426">
        <f>'19_Расчет_аналитики'!BG1425*'01_Вводные'!$B$14</f>
        <v/>
      </c>
      <c r="BI1426">
        <f>'19_Расчет_аналитики'!BH1425*'01_Вводные'!$B$14</f>
        <v/>
      </c>
      <c r="BJ1426">
        <f>'19_Расчет_аналитики'!BI1425*'01_Вводные'!$B$14</f>
        <v/>
      </c>
      <c r="BK1426">
        <f>'19_Расчет_аналитики'!BJ1425*'01_Вводные'!$B$14</f>
        <v/>
      </c>
      <c r="BL1426">
        <f>'19_Расчет_аналитики'!BK1425*'01_Вводные'!$B$14</f>
        <v/>
      </c>
      <c r="BM1426">
        <f>'19_Расчет_аналитики'!BL1425*'01_Вводные'!$B$14</f>
        <v/>
      </c>
      <c r="BN1426">
        <f>'19_Расчет_аналитики'!BM1425*'01_Вводные'!$B$14</f>
        <v/>
      </c>
      <c r="BO1426">
        <f>'19_Расчет_аналитики'!BN1425*'01_Вводные'!$B$14</f>
        <v/>
      </c>
    </row>
    <row r="1427">
      <c r="B1427">
        <f>'06_Сеть_и_дети'!B60</f>
        <v/>
      </c>
      <c r="C1427">
        <f>'06_Сеть_и_дети'!C60</f>
        <v/>
      </c>
      <c r="D1427">
        <f>'06_Сеть_и_дети'!D60</f>
        <v/>
      </c>
      <c r="E1427">
        <f>'06_Сеть_и_дети'!E60</f>
        <v/>
      </c>
      <c r="F1427">
        <f>'06_Сеть_и_дети'!F60</f>
        <v/>
      </c>
      <c r="G1427">
        <f>'06_Сеть_и_дети'!G60</f>
        <v/>
      </c>
      <c r="H1427">
        <f>'06_Сеть_и_дети'!H60</f>
        <v/>
      </c>
      <c r="I1427">
        <f>'19_Расчет_аналитики'!H1426*'01_Вводные'!$B$14</f>
        <v/>
      </c>
      <c r="J1427">
        <f>'19_Расчет_аналитики'!I1426*'01_Вводные'!$B$14</f>
        <v/>
      </c>
      <c r="K1427">
        <f>'19_Расчет_аналитики'!J1426*'01_Вводные'!$B$14</f>
        <v/>
      </c>
      <c r="L1427">
        <f>'19_Расчет_аналитики'!K1426*'01_Вводные'!$B$14</f>
        <v/>
      </c>
      <c r="M1427">
        <f>'19_Расчет_аналитики'!L1426*'01_Вводные'!$B$14</f>
        <v/>
      </c>
      <c r="N1427">
        <f>'19_Расчет_аналитики'!M1426*'01_Вводные'!$B$14</f>
        <v/>
      </c>
      <c r="O1427">
        <f>'19_Расчет_аналитики'!N1426*'01_Вводные'!$B$14</f>
        <v/>
      </c>
      <c r="P1427">
        <f>'19_Расчет_аналитики'!O1426*'01_Вводные'!$B$14</f>
        <v/>
      </c>
      <c r="Q1427">
        <f>'19_Расчет_аналитики'!P1426*'01_Вводные'!$B$14</f>
        <v/>
      </c>
      <c r="R1427">
        <f>'19_Расчет_аналитики'!Q1426*'01_Вводные'!$B$14</f>
        <v/>
      </c>
      <c r="S1427">
        <f>'19_Расчет_аналитики'!R1426*'01_Вводные'!$B$14</f>
        <v/>
      </c>
      <c r="T1427">
        <f>'19_Расчет_аналитики'!S1426*'01_Вводные'!$B$14</f>
        <v/>
      </c>
      <c r="U1427">
        <f>'19_Расчет_аналитики'!T1426*'01_Вводные'!$B$14</f>
        <v/>
      </c>
      <c r="V1427">
        <f>'19_Расчет_аналитики'!U1426*'01_Вводные'!$B$14</f>
        <v/>
      </c>
      <c r="W1427">
        <f>'19_Расчет_аналитики'!V1426*'01_Вводные'!$B$14</f>
        <v/>
      </c>
      <c r="X1427">
        <f>'19_Расчет_аналитики'!W1426*'01_Вводные'!$B$14</f>
        <v/>
      </c>
      <c r="Y1427">
        <f>'19_Расчет_аналитики'!X1426*'01_Вводные'!$B$14</f>
        <v/>
      </c>
      <c r="Z1427">
        <f>'19_Расчет_аналитики'!Y1426*'01_Вводные'!$B$14</f>
        <v/>
      </c>
      <c r="AA1427">
        <f>'19_Расчет_аналитики'!Z1426*'01_Вводные'!$B$14</f>
        <v/>
      </c>
      <c r="AB1427">
        <f>'19_Расчет_аналитики'!AA1426*'01_Вводные'!$B$14</f>
        <v/>
      </c>
      <c r="AC1427">
        <f>'19_Расчет_аналитики'!AB1426*'01_Вводные'!$B$14</f>
        <v/>
      </c>
      <c r="AD1427">
        <f>'19_Расчет_аналитики'!AC1426*'01_Вводные'!$B$14</f>
        <v/>
      </c>
      <c r="AE1427">
        <f>'19_Расчет_аналитики'!AD1426*'01_Вводные'!$B$14</f>
        <v/>
      </c>
      <c r="AF1427">
        <f>'19_Расчет_аналитики'!AE1426*'01_Вводные'!$B$14</f>
        <v/>
      </c>
      <c r="AG1427">
        <f>'19_Расчет_аналитики'!AF1426*'01_Вводные'!$B$14</f>
        <v/>
      </c>
      <c r="AH1427">
        <f>'19_Расчет_аналитики'!AG1426*'01_Вводные'!$B$14</f>
        <v/>
      </c>
      <c r="AI1427">
        <f>'19_Расчет_аналитики'!AH1426*'01_Вводные'!$B$14</f>
        <v/>
      </c>
      <c r="AJ1427">
        <f>'19_Расчет_аналитики'!AI1426*'01_Вводные'!$B$14</f>
        <v/>
      </c>
      <c r="AK1427">
        <f>'19_Расчет_аналитики'!AJ1426*'01_Вводные'!$B$14</f>
        <v/>
      </c>
      <c r="AL1427">
        <f>'19_Расчет_аналитики'!AK1426*'01_Вводные'!$B$14</f>
        <v/>
      </c>
      <c r="AM1427">
        <f>'19_Расчет_аналитики'!AL1426*'01_Вводные'!$B$14</f>
        <v/>
      </c>
      <c r="AN1427">
        <f>'19_Расчет_аналитики'!AM1426*'01_Вводные'!$B$14</f>
        <v/>
      </c>
      <c r="AO1427">
        <f>'19_Расчет_аналитики'!AN1426*'01_Вводные'!$B$14</f>
        <v/>
      </c>
      <c r="AP1427">
        <f>'19_Расчет_аналитики'!AO1426*'01_Вводные'!$B$14</f>
        <v/>
      </c>
      <c r="AQ1427">
        <f>'19_Расчет_аналитики'!AP1426*'01_Вводные'!$B$14</f>
        <v/>
      </c>
      <c r="AR1427">
        <f>'19_Расчет_аналитики'!AQ1426*'01_Вводные'!$B$14</f>
        <v/>
      </c>
      <c r="AS1427">
        <f>'19_Расчет_аналитики'!AR1426*'01_Вводные'!$B$14</f>
        <v/>
      </c>
      <c r="AT1427">
        <f>'19_Расчет_аналитики'!AS1426*'01_Вводные'!$B$14</f>
        <v/>
      </c>
      <c r="AU1427">
        <f>'19_Расчет_аналитики'!AT1426*'01_Вводные'!$B$14</f>
        <v/>
      </c>
      <c r="AV1427">
        <f>'19_Расчет_аналитики'!AU1426*'01_Вводные'!$B$14</f>
        <v/>
      </c>
      <c r="AW1427">
        <f>'19_Расчет_аналитики'!AV1426*'01_Вводные'!$B$14</f>
        <v/>
      </c>
      <c r="AX1427">
        <f>'19_Расчет_аналитики'!AW1426*'01_Вводные'!$B$14</f>
        <v/>
      </c>
      <c r="AY1427">
        <f>'19_Расчет_аналитики'!AX1426*'01_Вводные'!$B$14</f>
        <v/>
      </c>
      <c r="AZ1427">
        <f>'19_Расчет_аналитики'!AY1426*'01_Вводные'!$B$14</f>
        <v/>
      </c>
      <c r="BA1427">
        <f>'19_Расчет_аналитики'!AZ1426*'01_Вводные'!$B$14</f>
        <v/>
      </c>
      <c r="BB1427">
        <f>'19_Расчет_аналитики'!BA1426*'01_Вводные'!$B$14</f>
        <v/>
      </c>
      <c r="BC1427">
        <f>'19_Расчет_аналитики'!BB1426*'01_Вводные'!$B$14</f>
        <v/>
      </c>
      <c r="BD1427">
        <f>'19_Расчет_аналитики'!BC1426*'01_Вводные'!$B$14</f>
        <v/>
      </c>
      <c r="BE1427">
        <f>'19_Расчет_аналитики'!BD1426*'01_Вводные'!$B$14</f>
        <v/>
      </c>
      <c r="BF1427">
        <f>'19_Расчет_аналитики'!BE1426*'01_Вводные'!$B$14</f>
        <v/>
      </c>
      <c r="BG1427">
        <f>'19_Расчет_аналитики'!BF1426*'01_Вводные'!$B$14</f>
        <v/>
      </c>
      <c r="BH1427">
        <f>'19_Расчет_аналитики'!BG1426*'01_Вводные'!$B$14</f>
        <v/>
      </c>
      <c r="BI1427">
        <f>'19_Расчет_аналитики'!BH1426*'01_Вводные'!$B$14</f>
        <v/>
      </c>
      <c r="BJ1427">
        <f>'19_Расчет_аналитики'!BI1426*'01_Вводные'!$B$14</f>
        <v/>
      </c>
      <c r="BK1427">
        <f>'19_Расчет_аналитики'!BJ1426*'01_Вводные'!$B$14</f>
        <v/>
      </c>
      <c r="BL1427">
        <f>'19_Расчет_аналитики'!BK1426*'01_Вводные'!$B$14</f>
        <v/>
      </c>
      <c r="BM1427">
        <f>'19_Расчет_аналитики'!BL1426*'01_Вводные'!$B$14</f>
        <v/>
      </c>
      <c r="BN1427">
        <f>'19_Расчет_аналитики'!BM1426*'01_Вводные'!$B$14</f>
        <v/>
      </c>
      <c r="BO1427">
        <f>'19_Расчет_аналитики'!BN1426*'01_Вводные'!$B$14</f>
        <v/>
      </c>
    </row>
    <row r="1428">
      <c r="B1428">
        <f>'06_Сеть_и_дети'!B61</f>
        <v/>
      </c>
      <c r="C1428">
        <f>'06_Сеть_и_дети'!C61</f>
        <v/>
      </c>
      <c r="D1428">
        <f>'06_Сеть_и_дети'!D61</f>
        <v/>
      </c>
      <c r="E1428">
        <f>'06_Сеть_и_дети'!E61</f>
        <v/>
      </c>
      <c r="F1428">
        <f>'06_Сеть_и_дети'!F61</f>
        <v/>
      </c>
      <c r="G1428">
        <f>'06_Сеть_и_дети'!G61</f>
        <v/>
      </c>
      <c r="H1428">
        <f>'06_Сеть_и_дети'!H61</f>
        <v/>
      </c>
      <c r="I1428">
        <f>'06_Сеть_и_дети'!I61</f>
        <v/>
      </c>
      <c r="J1428">
        <f>'19_Расчет_аналитики'!I1427*'01_Вводные'!$B$14</f>
        <v/>
      </c>
      <c r="K1428">
        <f>'19_Расчет_аналитики'!J1427*'01_Вводные'!$B$14</f>
        <v/>
      </c>
      <c r="L1428">
        <f>'19_Расчет_аналитики'!K1427*'01_Вводные'!$B$14</f>
        <v/>
      </c>
      <c r="M1428">
        <f>'19_Расчет_аналитики'!L1427*'01_Вводные'!$B$14</f>
        <v/>
      </c>
      <c r="N1428">
        <f>'19_Расчет_аналитики'!M1427*'01_Вводные'!$B$14</f>
        <v/>
      </c>
      <c r="O1428">
        <f>'19_Расчет_аналитики'!N1427*'01_Вводные'!$B$14</f>
        <v/>
      </c>
      <c r="P1428">
        <f>'19_Расчет_аналитики'!O1427*'01_Вводные'!$B$14</f>
        <v/>
      </c>
      <c r="Q1428">
        <f>'19_Расчет_аналитики'!P1427*'01_Вводные'!$B$14</f>
        <v/>
      </c>
      <c r="R1428">
        <f>'19_Расчет_аналитики'!Q1427*'01_Вводные'!$B$14</f>
        <v/>
      </c>
      <c r="S1428">
        <f>'19_Расчет_аналитики'!R1427*'01_Вводные'!$B$14</f>
        <v/>
      </c>
      <c r="T1428">
        <f>'19_Расчет_аналитики'!S1427*'01_Вводные'!$B$14</f>
        <v/>
      </c>
      <c r="U1428">
        <f>'19_Расчет_аналитики'!T1427*'01_Вводные'!$B$14</f>
        <v/>
      </c>
      <c r="V1428">
        <f>'19_Расчет_аналитики'!U1427*'01_Вводные'!$B$14</f>
        <v/>
      </c>
      <c r="W1428">
        <f>'19_Расчет_аналитики'!V1427*'01_Вводные'!$B$14</f>
        <v/>
      </c>
      <c r="X1428">
        <f>'19_Расчет_аналитики'!W1427*'01_Вводные'!$B$14</f>
        <v/>
      </c>
      <c r="Y1428">
        <f>'19_Расчет_аналитики'!X1427*'01_Вводные'!$B$14</f>
        <v/>
      </c>
      <c r="Z1428">
        <f>'19_Расчет_аналитики'!Y1427*'01_Вводные'!$B$14</f>
        <v/>
      </c>
      <c r="AA1428">
        <f>'19_Расчет_аналитики'!Z1427*'01_Вводные'!$B$14</f>
        <v/>
      </c>
      <c r="AB1428">
        <f>'19_Расчет_аналитики'!AA1427*'01_Вводные'!$B$14</f>
        <v/>
      </c>
      <c r="AC1428">
        <f>'19_Расчет_аналитики'!AB1427*'01_Вводные'!$B$14</f>
        <v/>
      </c>
      <c r="AD1428">
        <f>'19_Расчет_аналитики'!AC1427*'01_Вводные'!$B$14</f>
        <v/>
      </c>
      <c r="AE1428">
        <f>'19_Расчет_аналитики'!AD1427*'01_Вводные'!$B$14</f>
        <v/>
      </c>
      <c r="AF1428">
        <f>'19_Расчет_аналитики'!AE1427*'01_Вводные'!$B$14</f>
        <v/>
      </c>
      <c r="AG1428">
        <f>'19_Расчет_аналитики'!AF1427*'01_Вводные'!$B$14</f>
        <v/>
      </c>
      <c r="AH1428">
        <f>'19_Расчет_аналитики'!AG1427*'01_Вводные'!$B$14</f>
        <v/>
      </c>
      <c r="AI1428">
        <f>'19_Расчет_аналитики'!AH1427*'01_Вводные'!$B$14</f>
        <v/>
      </c>
      <c r="AJ1428">
        <f>'19_Расчет_аналитики'!AI1427*'01_Вводные'!$B$14</f>
        <v/>
      </c>
      <c r="AK1428">
        <f>'19_Расчет_аналитики'!AJ1427*'01_Вводные'!$B$14</f>
        <v/>
      </c>
      <c r="AL1428">
        <f>'19_Расчет_аналитики'!AK1427*'01_Вводные'!$B$14</f>
        <v/>
      </c>
      <c r="AM1428">
        <f>'19_Расчет_аналитики'!AL1427*'01_Вводные'!$B$14</f>
        <v/>
      </c>
      <c r="AN1428">
        <f>'19_Расчет_аналитики'!AM1427*'01_Вводные'!$B$14</f>
        <v/>
      </c>
      <c r="AO1428">
        <f>'19_Расчет_аналитики'!AN1427*'01_Вводные'!$B$14</f>
        <v/>
      </c>
      <c r="AP1428">
        <f>'19_Расчет_аналитики'!AO1427*'01_Вводные'!$B$14</f>
        <v/>
      </c>
      <c r="AQ1428">
        <f>'19_Расчет_аналитики'!AP1427*'01_Вводные'!$B$14</f>
        <v/>
      </c>
      <c r="AR1428">
        <f>'19_Расчет_аналитики'!AQ1427*'01_Вводные'!$B$14</f>
        <v/>
      </c>
      <c r="AS1428">
        <f>'19_Расчет_аналитики'!AR1427*'01_Вводные'!$B$14</f>
        <v/>
      </c>
      <c r="AT1428">
        <f>'19_Расчет_аналитики'!AS1427*'01_Вводные'!$B$14</f>
        <v/>
      </c>
      <c r="AU1428">
        <f>'19_Расчет_аналитики'!AT1427*'01_Вводные'!$B$14</f>
        <v/>
      </c>
      <c r="AV1428">
        <f>'19_Расчет_аналитики'!AU1427*'01_Вводные'!$B$14</f>
        <v/>
      </c>
      <c r="AW1428">
        <f>'19_Расчет_аналитики'!AV1427*'01_Вводные'!$B$14</f>
        <v/>
      </c>
      <c r="AX1428">
        <f>'19_Расчет_аналитики'!AW1427*'01_Вводные'!$B$14</f>
        <v/>
      </c>
      <c r="AY1428">
        <f>'19_Расчет_аналитики'!AX1427*'01_Вводные'!$B$14</f>
        <v/>
      </c>
      <c r="AZ1428">
        <f>'19_Расчет_аналитики'!AY1427*'01_Вводные'!$B$14</f>
        <v/>
      </c>
      <c r="BA1428">
        <f>'19_Расчет_аналитики'!AZ1427*'01_Вводные'!$B$14</f>
        <v/>
      </c>
      <c r="BB1428">
        <f>'19_Расчет_аналитики'!BA1427*'01_Вводные'!$B$14</f>
        <v/>
      </c>
      <c r="BC1428">
        <f>'19_Расчет_аналитики'!BB1427*'01_Вводные'!$B$14</f>
        <v/>
      </c>
      <c r="BD1428">
        <f>'19_Расчет_аналитики'!BC1427*'01_Вводные'!$B$14</f>
        <v/>
      </c>
      <c r="BE1428">
        <f>'19_Расчет_аналитики'!BD1427*'01_Вводные'!$B$14</f>
        <v/>
      </c>
      <c r="BF1428">
        <f>'19_Расчет_аналитики'!BE1427*'01_Вводные'!$B$14</f>
        <v/>
      </c>
      <c r="BG1428">
        <f>'19_Расчет_аналитики'!BF1427*'01_Вводные'!$B$14</f>
        <v/>
      </c>
      <c r="BH1428">
        <f>'19_Расчет_аналитики'!BG1427*'01_Вводные'!$B$14</f>
        <v/>
      </c>
      <c r="BI1428">
        <f>'19_Расчет_аналитики'!BH1427*'01_Вводные'!$B$14</f>
        <v/>
      </c>
      <c r="BJ1428">
        <f>'19_Расчет_аналитики'!BI1427*'01_Вводные'!$B$14</f>
        <v/>
      </c>
      <c r="BK1428">
        <f>'19_Расчет_аналитики'!BJ1427*'01_Вводные'!$B$14</f>
        <v/>
      </c>
      <c r="BL1428">
        <f>'19_Расчет_аналитики'!BK1427*'01_Вводные'!$B$14</f>
        <v/>
      </c>
      <c r="BM1428">
        <f>'19_Расчет_аналитики'!BL1427*'01_Вводные'!$B$14</f>
        <v/>
      </c>
      <c r="BN1428">
        <f>'19_Расчет_аналитики'!BM1427*'01_Вводные'!$B$14</f>
        <v/>
      </c>
      <c r="BO1428">
        <f>'19_Расчет_аналитики'!BN1427*'01_Вводные'!$B$14</f>
        <v/>
      </c>
    </row>
    <row r="1429">
      <c r="B1429">
        <f>'06_Сеть_и_дети'!B62</f>
        <v/>
      </c>
      <c r="C1429">
        <f>'06_Сеть_и_дети'!C62</f>
        <v/>
      </c>
      <c r="D1429">
        <f>'06_Сеть_и_дети'!D62</f>
        <v/>
      </c>
      <c r="E1429">
        <f>'06_Сеть_и_дети'!E62</f>
        <v/>
      </c>
      <c r="F1429">
        <f>'06_Сеть_и_дети'!F62</f>
        <v/>
      </c>
      <c r="G1429">
        <f>'06_Сеть_и_дети'!G62</f>
        <v/>
      </c>
      <c r="H1429">
        <f>'06_Сеть_и_дети'!H62</f>
        <v/>
      </c>
      <c r="I1429">
        <f>'06_Сеть_и_дети'!I62</f>
        <v/>
      </c>
      <c r="J1429">
        <f>'06_Сеть_и_дети'!J62</f>
        <v/>
      </c>
      <c r="K1429">
        <f>'19_Расчет_аналитики'!J1428*'01_Вводные'!$B$14</f>
        <v/>
      </c>
      <c r="L1429">
        <f>'19_Расчет_аналитики'!K1428*'01_Вводные'!$B$14</f>
        <v/>
      </c>
      <c r="M1429">
        <f>'19_Расчет_аналитики'!L1428*'01_Вводные'!$B$14</f>
        <v/>
      </c>
      <c r="N1429">
        <f>'19_Расчет_аналитики'!M1428*'01_Вводные'!$B$14</f>
        <v/>
      </c>
      <c r="O1429">
        <f>'19_Расчет_аналитики'!N1428*'01_Вводные'!$B$14</f>
        <v/>
      </c>
      <c r="P1429">
        <f>'19_Расчет_аналитики'!O1428*'01_Вводные'!$B$14</f>
        <v/>
      </c>
      <c r="Q1429">
        <f>'19_Расчет_аналитики'!P1428*'01_Вводные'!$B$14</f>
        <v/>
      </c>
      <c r="R1429">
        <f>'19_Расчет_аналитики'!Q1428*'01_Вводные'!$B$14</f>
        <v/>
      </c>
      <c r="S1429">
        <f>'19_Расчет_аналитики'!R1428*'01_Вводные'!$B$14</f>
        <v/>
      </c>
      <c r="T1429">
        <f>'19_Расчет_аналитики'!S1428*'01_Вводные'!$B$14</f>
        <v/>
      </c>
      <c r="U1429">
        <f>'19_Расчет_аналитики'!T1428*'01_Вводные'!$B$14</f>
        <v/>
      </c>
      <c r="V1429">
        <f>'19_Расчет_аналитики'!U1428*'01_Вводные'!$B$14</f>
        <v/>
      </c>
      <c r="W1429">
        <f>'19_Расчет_аналитики'!V1428*'01_Вводные'!$B$14</f>
        <v/>
      </c>
      <c r="X1429">
        <f>'19_Расчет_аналитики'!W1428*'01_Вводные'!$B$14</f>
        <v/>
      </c>
      <c r="Y1429">
        <f>'19_Расчет_аналитики'!X1428*'01_Вводные'!$B$14</f>
        <v/>
      </c>
      <c r="Z1429">
        <f>'19_Расчет_аналитики'!Y1428*'01_Вводные'!$B$14</f>
        <v/>
      </c>
      <c r="AA1429">
        <f>'19_Расчет_аналитики'!Z1428*'01_Вводные'!$B$14</f>
        <v/>
      </c>
      <c r="AB1429">
        <f>'19_Расчет_аналитики'!AA1428*'01_Вводные'!$B$14</f>
        <v/>
      </c>
      <c r="AC1429">
        <f>'19_Расчет_аналитики'!AB1428*'01_Вводные'!$B$14</f>
        <v/>
      </c>
      <c r="AD1429">
        <f>'19_Расчет_аналитики'!AC1428*'01_Вводные'!$B$14</f>
        <v/>
      </c>
      <c r="AE1429">
        <f>'19_Расчет_аналитики'!AD1428*'01_Вводные'!$B$14</f>
        <v/>
      </c>
      <c r="AF1429">
        <f>'19_Расчет_аналитики'!AE1428*'01_Вводные'!$B$14</f>
        <v/>
      </c>
      <c r="AG1429">
        <f>'19_Расчет_аналитики'!AF1428*'01_Вводные'!$B$14</f>
        <v/>
      </c>
      <c r="AH1429">
        <f>'19_Расчет_аналитики'!AG1428*'01_Вводные'!$B$14</f>
        <v/>
      </c>
      <c r="AI1429">
        <f>'19_Расчет_аналитики'!AH1428*'01_Вводные'!$B$14</f>
        <v/>
      </c>
      <c r="AJ1429">
        <f>'19_Расчет_аналитики'!AI1428*'01_Вводные'!$B$14</f>
        <v/>
      </c>
      <c r="AK1429">
        <f>'19_Расчет_аналитики'!AJ1428*'01_Вводные'!$B$14</f>
        <v/>
      </c>
      <c r="AL1429">
        <f>'19_Расчет_аналитики'!AK1428*'01_Вводные'!$B$14</f>
        <v/>
      </c>
      <c r="AM1429">
        <f>'19_Расчет_аналитики'!AL1428*'01_Вводные'!$B$14</f>
        <v/>
      </c>
      <c r="AN1429">
        <f>'19_Расчет_аналитики'!AM1428*'01_Вводные'!$B$14</f>
        <v/>
      </c>
      <c r="AO1429">
        <f>'19_Расчет_аналитики'!AN1428*'01_Вводные'!$B$14</f>
        <v/>
      </c>
      <c r="AP1429">
        <f>'19_Расчет_аналитики'!AO1428*'01_Вводные'!$B$14</f>
        <v/>
      </c>
      <c r="AQ1429">
        <f>'19_Расчет_аналитики'!AP1428*'01_Вводные'!$B$14</f>
        <v/>
      </c>
      <c r="AR1429">
        <f>'19_Расчет_аналитики'!AQ1428*'01_Вводные'!$B$14</f>
        <v/>
      </c>
      <c r="AS1429">
        <f>'19_Расчет_аналитики'!AR1428*'01_Вводные'!$B$14</f>
        <v/>
      </c>
      <c r="AT1429">
        <f>'19_Расчет_аналитики'!AS1428*'01_Вводные'!$B$14</f>
        <v/>
      </c>
      <c r="AU1429">
        <f>'19_Расчет_аналитики'!AT1428*'01_Вводные'!$B$14</f>
        <v/>
      </c>
      <c r="AV1429">
        <f>'19_Расчет_аналитики'!AU1428*'01_Вводные'!$B$14</f>
        <v/>
      </c>
      <c r="AW1429">
        <f>'19_Расчет_аналитики'!AV1428*'01_Вводные'!$B$14</f>
        <v/>
      </c>
      <c r="AX1429">
        <f>'19_Расчет_аналитики'!AW1428*'01_Вводные'!$B$14</f>
        <v/>
      </c>
      <c r="AY1429">
        <f>'19_Расчет_аналитики'!AX1428*'01_Вводные'!$B$14</f>
        <v/>
      </c>
      <c r="AZ1429">
        <f>'19_Расчет_аналитики'!AY1428*'01_Вводные'!$B$14</f>
        <v/>
      </c>
      <c r="BA1429">
        <f>'19_Расчет_аналитики'!AZ1428*'01_Вводные'!$B$14</f>
        <v/>
      </c>
      <c r="BB1429">
        <f>'19_Расчет_аналитики'!BA1428*'01_Вводные'!$B$14</f>
        <v/>
      </c>
      <c r="BC1429">
        <f>'19_Расчет_аналитики'!BB1428*'01_Вводные'!$B$14</f>
        <v/>
      </c>
      <c r="BD1429">
        <f>'19_Расчет_аналитики'!BC1428*'01_Вводные'!$B$14</f>
        <v/>
      </c>
      <c r="BE1429">
        <f>'19_Расчет_аналитики'!BD1428*'01_Вводные'!$B$14</f>
        <v/>
      </c>
      <c r="BF1429">
        <f>'19_Расчет_аналитики'!BE1428*'01_Вводные'!$B$14</f>
        <v/>
      </c>
      <c r="BG1429">
        <f>'19_Расчет_аналитики'!BF1428*'01_Вводные'!$B$14</f>
        <v/>
      </c>
      <c r="BH1429">
        <f>'19_Расчет_аналитики'!BG1428*'01_Вводные'!$B$14</f>
        <v/>
      </c>
      <c r="BI1429">
        <f>'19_Расчет_аналитики'!BH1428*'01_Вводные'!$B$14</f>
        <v/>
      </c>
      <c r="BJ1429">
        <f>'19_Расчет_аналитики'!BI1428*'01_Вводные'!$B$14</f>
        <v/>
      </c>
      <c r="BK1429">
        <f>'19_Расчет_аналитики'!BJ1428*'01_Вводные'!$B$14</f>
        <v/>
      </c>
      <c r="BL1429">
        <f>'19_Расчет_аналитики'!BK1428*'01_Вводные'!$B$14</f>
        <v/>
      </c>
      <c r="BM1429">
        <f>'19_Расчет_аналитики'!BL1428*'01_Вводные'!$B$14</f>
        <v/>
      </c>
      <c r="BN1429">
        <f>'19_Расчет_аналитики'!BM1428*'01_Вводные'!$B$14</f>
        <v/>
      </c>
      <c r="BO1429">
        <f>'19_Расчет_аналитики'!BN1428*'01_Вводные'!$B$14</f>
        <v/>
      </c>
    </row>
    <row r="1430">
      <c r="B1430">
        <f>'06_Сеть_и_дети'!B63</f>
        <v/>
      </c>
      <c r="C1430">
        <f>'06_Сеть_и_дети'!C63</f>
        <v/>
      </c>
      <c r="D1430">
        <f>'06_Сеть_и_дети'!D63</f>
        <v/>
      </c>
      <c r="E1430">
        <f>'06_Сеть_и_дети'!E63</f>
        <v/>
      </c>
      <c r="F1430">
        <f>'06_Сеть_и_дети'!F63</f>
        <v/>
      </c>
      <c r="G1430">
        <f>'06_Сеть_и_дети'!G63</f>
        <v/>
      </c>
      <c r="H1430">
        <f>'06_Сеть_и_дети'!H63</f>
        <v/>
      </c>
      <c r="I1430">
        <f>'06_Сеть_и_дети'!I63</f>
        <v/>
      </c>
      <c r="J1430">
        <f>'06_Сеть_и_дети'!J63</f>
        <v/>
      </c>
      <c r="K1430">
        <f>'06_Сеть_и_дети'!K63</f>
        <v/>
      </c>
      <c r="L1430">
        <f>'19_Расчет_аналитики'!K1429*'01_Вводные'!$B$14</f>
        <v/>
      </c>
      <c r="M1430">
        <f>'19_Расчет_аналитики'!L1429*'01_Вводные'!$B$14</f>
        <v/>
      </c>
      <c r="N1430">
        <f>'19_Расчет_аналитики'!M1429*'01_Вводные'!$B$14</f>
        <v/>
      </c>
      <c r="O1430">
        <f>'19_Расчет_аналитики'!N1429*'01_Вводные'!$B$14</f>
        <v/>
      </c>
      <c r="P1430">
        <f>'19_Расчет_аналитики'!O1429*'01_Вводные'!$B$14</f>
        <v/>
      </c>
      <c r="Q1430">
        <f>'19_Расчет_аналитики'!P1429*'01_Вводные'!$B$14</f>
        <v/>
      </c>
      <c r="R1430">
        <f>'19_Расчет_аналитики'!Q1429*'01_Вводные'!$B$14</f>
        <v/>
      </c>
      <c r="S1430">
        <f>'19_Расчет_аналитики'!R1429*'01_Вводные'!$B$14</f>
        <v/>
      </c>
      <c r="T1430">
        <f>'19_Расчет_аналитики'!S1429*'01_Вводные'!$B$14</f>
        <v/>
      </c>
      <c r="U1430">
        <f>'19_Расчет_аналитики'!T1429*'01_Вводные'!$B$14</f>
        <v/>
      </c>
      <c r="V1430">
        <f>'19_Расчет_аналитики'!U1429*'01_Вводные'!$B$14</f>
        <v/>
      </c>
      <c r="W1430">
        <f>'19_Расчет_аналитики'!V1429*'01_Вводные'!$B$14</f>
        <v/>
      </c>
      <c r="X1430">
        <f>'19_Расчет_аналитики'!W1429*'01_Вводные'!$B$14</f>
        <v/>
      </c>
      <c r="Y1430">
        <f>'19_Расчет_аналитики'!X1429*'01_Вводные'!$B$14</f>
        <v/>
      </c>
      <c r="Z1430">
        <f>'19_Расчет_аналитики'!Y1429*'01_Вводные'!$B$14</f>
        <v/>
      </c>
      <c r="AA1430">
        <f>'19_Расчет_аналитики'!Z1429*'01_Вводные'!$B$14</f>
        <v/>
      </c>
      <c r="AB1430">
        <f>'19_Расчет_аналитики'!AA1429*'01_Вводные'!$B$14</f>
        <v/>
      </c>
      <c r="AC1430">
        <f>'19_Расчет_аналитики'!AB1429*'01_Вводные'!$B$14</f>
        <v/>
      </c>
      <c r="AD1430">
        <f>'19_Расчет_аналитики'!AC1429*'01_Вводные'!$B$14</f>
        <v/>
      </c>
      <c r="AE1430">
        <f>'19_Расчет_аналитики'!AD1429*'01_Вводные'!$B$14</f>
        <v/>
      </c>
      <c r="AF1430">
        <f>'19_Расчет_аналитики'!AE1429*'01_Вводные'!$B$14</f>
        <v/>
      </c>
      <c r="AG1430">
        <f>'19_Расчет_аналитики'!AF1429*'01_Вводные'!$B$14</f>
        <v/>
      </c>
      <c r="AH1430">
        <f>'19_Расчет_аналитики'!AG1429*'01_Вводные'!$B$14</f>
        <v/>
      </c>
      <c r="AI1430">
        <f>'19_Расчет_аналитики'!AH1429*'01_Вводные'!$B$14</f>
        <v/>
      </c>
      <c r="AJ1430">
        <f>'19_Расчет_аналитики'!AI1429*'01_Вводные'!$B$14</f>
        <v/>
      </c>
      <c r="AK1430">
        <f>'19_Расчет_аналитики'!AJ1429*'01_Вводные'!$B$14</f>
        <v/>
      </c>
      <c r="AL1430">
        <f>'19_Расчет_аналитики'!AK1429*'01_Вводные'!$B$14</f>
        <v/>
      </c>
      <c r="AM1430">
        <f>'19_Расчет_аналитики'!AL1429*'01_Вводные'!$B$14</f>
        <v/>
      </c>
      <c r="AN1430">
        <f>'19_Расчет_аналитики'!AM1429*'01_Вводные'!$B$14</f>
        <v/>
      </c>
      <c r="AO1430">
        <f>'19_Расчет_аналитики'!AN1429*'01_Вводные'!$B$14</f>
        <v/>
      </c>
      <c r="AP1430">
        <f>'19_Расчет_аналитики'!AO1429*'01_Вводные'!$B$14</f>
        <v/>
      </c>
      <c r="AQ1430">
        <f>'19_Расчет_аналитики'!AP1429*'01_Вводные'!$B$14</f>
        <v/>
      </c>
      <c r="AR1430">
        <f>'19_Расчет_аналитики'!AQ1429*'01_Вводные'!$B$14</f>
        <v/>
      </c>
      <c r="AS1430">
        <f>'19_Расчет_аналитики'!AR1429*'01_Вводные'!$B$14</f>
        <v/>
      </c>
      <c r="AT1430">
        <f>'19_Расчет_аналитики'!AS1429*'01_Вводные'!$B$14</f>
        <v/>
      </c>
      <c r="AU1430">
        <f>'19_Расчет_аналитики'!AT1429*'01_Вводные'!$B$14</f>
        <v/>
      </c>
      <c r="AV1430">
        <f>'19_Расчет_аналитики'!AU1429*'01_Вводные'!$B$14</f>
        <v/>
      </c>
      <c r="AW1430">
        <f>'19_Расчет_аналитики'!AV1429*'01_Вводные'!$B$14</f>
        <v/>
      </c>
      <c r="AX1430">
        <f>'19_Расчет_аналитики'!AW1429*'01_Вводные'!$B$14</f>
        <v/>
      </c>
      <c r="AY1430">
        <f>'19_Расчет_аналитики'!AX1429*'01_Вводные'!$B$14</f>
        <v/>
      </c>
      <c r="AZ1430">
        <f>'19_Расчет_аналитики'!AY1429*'01_Вводные'!$B$14</f>
        <v/>
      </c>
      <c r="BA1430">
        <f>'19_Расчет_аналитики'!AZ1429*'01_Вводные'!$B$14</f>
        <v/>
      </c>
      <c r="BB1430">
        <f>'19_Расчет_аналитики'!BA1429*'01_Вводные'!$B$14</f>
        <v/>
      </c>
      <c r="BC1430">
        <f>'19_Расчет_аналитики'!BB1429*'01_Вводные'!$B$14</f>
        <v/>
      </c>
      <c r="BD1430">
        <f>'19_Расчет_аналитики'!BC1429*'01_Вводные'!$B$14</f>
        <v/>
      </c>
      <c r="BE1430">
        <f>'19_Расчет_аналитики'!BD1429*'01_Вводные'!$B$14</f>
        <v/>
      </c>
      <c r="BF1430">
        <f>'19_Расчет_аналитики'!BE1429*'01_Вводные'!$B$14</f>
        <v/>
      </c>
      <c r="BG1430">
        <f>'19_Расчет_аналитики'!BF1429*'01_Вводные'!$B$14</f>
        <v/>
      </c>
      <c r="BH1430">
        <f>'19_Расчет_аналитики'!BG1429*'01_Вводные'!$B$14</f>
        <v/>
      </c>
      <c r="BI1430">
        <f>'19_Расчет_аналитики'!BH1429*'01_Вводные'!$B$14</f>
        <v/>
      </c>
      <c r="BJ1430">
        <f>'19_Расчет_аналитики'!BI1429*'01_Вводные'!$B$14</f>
        <v/>
      </c>
      <c r="BK1430">
        <f>'19_Расчет_аналитики'!BJ1429*'01_Вводные'!$B$14</f>
        <v/>
      </c>
      <c r="BL1430">
        <f>'19_Расчет_аналитики'!BK1429*'01_Вводные'!$B$14</f>
        <v/>
      </c>
      <c r="BM1430">
        <f>'19_Расчет_аналитики'!BL1429*'01_Вводные'!$B$14</f>
        <v/>
      </c>
      <c r="BN1430">
        <f>'19_Расчет_аналитики'!BM1429*'01_Вводные'!$B$14</f>
        <v/>
      </c>
      <c r="BO1430">
        <f>'19_Расчет_аналитики'!BN1429*'01_Вводные'!$B$14</f>
        <v/>
      </c>
    </row>
    <row r="1431">
      <c r="B1431">
        <f>'06_Сеть_и_дети'!B64</f>
        <v/>
      </c>
      <c r="C1431">
        <f>'06_Сеть_и_дети'!C64</f>
        <v/>
      </c>
      <c r="D1431">
        <f>'06_Сеть_и_дети'!D64</f>
        <v/>
      </c>
      <c r="E1431">
        <f>'06_Сеть_и_дети'!E64</f>
        <v/>
      </c>
      <c r="F1431">
        <f>'06_Сеть_и_дети'!F64</f>
        <v/>
      </c>
      <c r="G1431">
        <f>'06_Сеть_и_дети'!G64</f>
        <v/>
      </c>
      <c r="H1431">
        <f>'06_Сеть_и_дети'!H64</f>
        <v/>
      </c>
      <c r="I1431">
        <f>'06_Сеть_и_дети'!I64</f>
        <v/>
      </c>
      <c r="J1431">
        <f>'06_Сеть_и_дети'!J64</f>
        <v/>
      </c>
      <c r="K1431">
        <f>'06_Сеть_и_дети'!K64</f>
        <v/>
      </c>
      <c r="L1431">
        <f>'06_Сеть_и_дети'!L64</f>
        <v/>
      </c>
      <c r="M1431">
        <f>'19_Расчет_аналитики'!L1430*'01_Вводные'!$B$14</f>
        <v/>
      </c>
      <c r="N1431">
        <f>'19_Расчет_аналитики'!M1430*'01_Вводные'!$B$14</f>
        <v/>
      </c>
      <c r="O1431">
        <f>'19_Расчет_аналитики'!N1430*'01_Вводные'!$B$14</f>
        <v/>
      </c>
      <c r="P1431">
        <f>'19_Расчет_аналитики'!O1430*'01_Вводные'!$B$14</f>
        <v/>
      </c>
      <c r="Q1431">
        <f>'19_Расчет_аналитики'!P1430*'01_Вводные'!$B$14</f>
        <v/>
      </c>
      <c r="R1431">
        <f>'19_Расчет_аналитики'!Q1430*'01_Вводные'!$B$14</f>
        <v/>
      </c>
      <c r="S1431">
        <f>'19_Расчет_аналитики'!R1430*'01_Вводные'!$B$14</f>
        <v/>
      </c>
      <c r="T1431">
        <f>'19_Расчет_аналитики'!S1430*'01_Вводные'!$B$14</f>
        <v/>
      </c>
      <c r="U1431">
        <f>'19_Расчет_аналитики'!T1430*'01_Вводные'!$B$14</f>
        <v/>
      </c>
      <c r="V1431">
        <f>'19_Расчет_аналитики'!U1430*'01_Вводные'!$B$14</f>
        <v/>
      </c>
      <c r="W1431">
        <f>'19_Расчет_аналитики'!V1430*'01_Вводные'!$B$14</f>
        <v/>
      </c>
      <c r="X1431">
        <f>'19_Расчет_аналитики'!W1430*'01_Вводные'!$B$14</f>
        <v/>
      </c>
      <c r="Y1431">
        <f>'19_Расчет_аналитики'!X1430*'01_Вводные'!$B$14</f>
        <v/>
      </c>
      <c r="Z1431">
        <f>'19_Расчет_аналитики'!Y1430*'01_Вводные'!$B$14</f>
        <v/>
      </c>
      <c r="AA1431">
        <f>'19_Расчет_аналитики'!Z1430*'01_Вводные'!$B$14</f>
        <v/>
      </c>
      <c r="AB1431">
        <f>'19_Расчет_аналитики'!AA1430*'01_Вводные'!$B$14</f>
        <v/>
      </c>
      <c r="AC1431">
        <f>'19_Расчет_аналитики'!AB1430*'01_Вводные'!$B$14</f>
        <v/>
      </c>
      <c r="AD1431">
        <f>'19_Расчет_аналитики'!AC1430*'01_Вводные'!$B$14</f>
        <v/>
      </c>
      <c r="AE1431">
        <f>'19_Расчет_аналитики'!AD1430*'01_Вводные'!$B$14</f>
        <v/>
      </c>
      <c r="AF1431">
        <f>'19_Расчет_аналитики'!AE1430*'01_Вводные'!$B$14</f>
        <v/>
      </c>
      <c r="AG1431">
        <f>'19_Расчет_аналитики'!AF1430*'01_Вводные'!$B$14</f>
        <v/>
      </c>
      <c r="AH1431">
        <f>'19_Расчет_аналитики'!AG1430*'01_Вводные'!$B$14</f>
        <v/>
      </c>
      <c r="AI1431">
        <f>'19_Расчет_аналитики'!AH1430*'01_Вводные'!$B$14</f>
        <v/>
      </c>
      <c r="AJ1431">
        <f>'19_Расчет_аналитики'!AI1430*'01_Вводные'!$B$14</f>
        <v/>
      </c>
      <c r="AK1431">
        <f>'19_Расчет_аналитики'!AJ1430*'01_Вводные'!$B$14</f>
        <v/>
      </c>
      <c r="AL1431">
        <f>'19_Расчет_аналитики'!AK1430*'01_Вводные'!$B$14</f>
        <v/>
      </c>
      <c r="AM1431">
        <f>'19_Расчет_аналитики'!AL1430*'01_Вводные'!$B$14</f>
        <v/>
      </c>
      <c r="AN1431">
        <f>'19_Расчет_аналитики'!AM1430*'01_Вводные'!$B$14</f>
        <v/>
      </c>
      <c r="AO1431">
        <f>'19_Расчет_аналитики'!AN1430*'01_Вводные'!$B$14</f>
        <v/>
      </c>
      <c r="AP1431">
        <f>'19_Расчет_аналитики'!AO1430*'01_Вводные'!$B$14</f>
        <v/>
      </c>
      <c r="AQ1431">
        <f>'19_Расчет_аналитики'!AP1430*'01_Вводные'!$B$14</f>
        <v/>
      </c>
      <c r="AR1431">
        <f>'19_Расчет_аналитики'!AQ1430*'01_Вводные'!$B$14</f>
        <v/>
      </c>
      <c r="AS1431">
        <f>'19_Расчет_аналитики'!AR1430*'01_Вводные'!$B$14</f>
        <v/>
      </c>
      <c r="AT1431">
        <f>'19_Расчет_аналитики'!AS1430*'01_Вводные'!$B$14</f>
        <v/>
      </c>
      <c r="AU1431">
        <f>'19_Расчет_аналитики'!AT1430*'01_Вводные'!$B$14</f>
        <v/>
      </c>
      <c r="AV1431">
        <f>'19_Расчет_аналитики'!AU1430*'01_Вводные'!$B$14</f>
        <v/>
      </c>
      <c r="AW1431">
        <f>'19_Расчет_аналитики'!AV1430*'01_Вводные'!$B$14</f>
        <v/>
      </c>
      <c r="AX1431">
        <f>'19_Расчет_аналитики'!AW1430*'01_Вводные'!$B$14</f>
        <v/>
      </c>
      <c r="AY1431">
        <f>'19_Расчет_аналитики'!AX1430*'01_Вводные'!$B$14</f>
        <v/>
      </c>
      <c r="AZ1431">
        <f>'19_Расчет_аналитики'!AY1430*'01_Вводные'!$B$14</f>
        <v/>
      </c>
      <c r="BA1431">
        <f>'19_Расчет_аналитики'!AZ1430*'01_Вводные'!$B$14</f>
        <v/>
      </c>
      <c r="BB1431">
        <f>'19_Расчет_аналитики'!BA1430*'01_Вводные'!$B$14</f>
        <v/>
      </c>
      <c r="BC1431">
        <f>'19_Расчет_аналитики'!BB1430*'01_Вводные'!$B$14</f>
        <v/>
      </c>
      <c r="BD1431">
        <f>'19_Расчет_аналитики'!BC1430*'01_Вводные'!$B$14</f>
        <v/>
      </c>
      <c r="BE1431">
        <f>'19_Расчет_аналитики'!BD1430*'01_Вводные'!$B$14</f>
        <v/>
      </c>
      <c r="BF1431">
        <f>'19_Расчет_аналитики'!BE1430*'01_Вводные'!$B$14</f>
        <v/>
      </c>
      <c r="BG1431">
        <f>'19_Расчет_аналитики'!BF1430*'01_Вводные'!$B$14</f>
        <v/>
      </c>
      <c r="BH1431">
        <f>'19_Расчет_аналитики'!BG1430*'01_Вводные'!$B$14</f>
        <v/>
      </c>
      <c r="BI1431">
        <f>'19_Расчет_аналитики'!BH1430*'01_Вводные'!$B$14</f>
        <v/>
      </c>
      <c r="BJ1431">
        <f>'19_Расчет_аналитики'!BI1430*'01_Вводные'!$B$14</f>
        <v/>
      </c>
      <c r="BK1431">
        <f>'19_Расчет_аналитики'!BJ1430*'01_Вводные'!$B$14</f>
        <v/>
      </c>
      <c r="BL1431">
        <f>'19_Расчет_аналитики'!BK1430*'01_Вводные'!$B$14</f>
        <v/>
      </c>
      <c r="BM1431">
        <f>'19_Расчет_аналитики'!BL1430*'01_Вводные'!$B$14</f>
        <v/>
      </c>
      <c r="BN1431">
        <f>'19_Расчет_аналитики'!BM1430*'01_Вводные'!$B$14</f>
        <v/>
      </c>
      <c r="BO1431">
        <f>'19_Расчет_аналитики'!BN1430*'01_Вводные'!$B$14</f>
        <v/>
      </c>
    </row>
    <row r="1432">
      <c r="B1432">
        <f>'06_Сеть_и_дети'!B65</f>
        <v/>
      </c>
      <c r="C1432">
        <f>'06_Сеть_и_дети'!C65</f>
        <v/>
      </c>
      <c r="D1432">
        <f>'06_Сеть_и_дети'!D65</f>
        <v/>
      </c>
      <c r="E1432">
        <f>'06_Сеть_и_дети'!E65</f>
        <v/>
      </c>
      <c r="F1432">
        <f>'06_Сеть_и_дети'!F65</f>
        <v/>
      </c>
      <c r="G1432">
        <f>'06_Сеть_и_дети'!G65</f>
        <v/>
      </c>
      <c r="H1432">
        <f>'06_Сеть_и_дети'!H65</f>
        <v/>
      </c>
      <c r="I1432">
        <f>'06_Сеть_и_дети'!I65</f>
        <v/>
      </c>
      <c r="J1432">
        <f>'06_Сеть_и_дети'!J65</f>
        <v/>
      </c>
      <c r="K1432">
        <f>'06_Сеть_и_дети'!K65</f>
        <v/>
      </c>
      <c r="L1432">
        <f>'06_Сеть_и_дети'!L65</f>
        <v/>
      </c>
      <c r="M1432">
        <f>'06_Сеть_и_дети'!M65</f>
        <v/>
      </c>
      <c r="N1432">
        <f>'19_Расчет_аналитики'!M1431*'01_Вводные'!$B$14</f>
        <v/>
      </c>
      <c r="O1432">
        <f>'19_Расчет_аналитики'!N1431*'01_Вводные'!$B$14</f>
        <v/>
      </c>
      <c r="P1432">
        <f>'19_Расчет_аналитики'!O1431*'01_Вводные'!$B$14</f>
        <v/>
      </c>
      <c r="Q1432">
        <f>'19_Расчет_аналитики'!P1431*'01_Вводные'!$B$14</f>
        <v/>
      </c>
      <c r="R1432">
        <f>'19_Расчет_аналитики'!Q1431*'01_Вводные'!$B$14</f>
        <v/>
      </c>
      <c r="S1432">
        <f>'19_Расчет_аналитики'!R1431*'01_Вводные'!$B$14</f>
        <v/>
      </c>
      <c r="T1432">
        <f>'19_Расчет_аналитики'!S1431*'01_Вводные'!$B$14</f>
        <v/>
      </c>
      <c r="U1432">
        <f>'19_Расчет_аналитики'!T1431*'01_Вводные'!$B$14</f>
        <v/>
      </c>
      <c r="V1432">
        <f>'19_Расчет_аналитики'!U1431*'01_Вводные'!$B$14</f>
        <v/>
      </c>
      <c r="W1432">
        <f>'19_Расчет_аналитики'!V1431*'01_Вводные'!$B$14</f>
        <v/>
      </c>
      <c r="X1432">
        <f>'19_Расчет_аналитики'!W1431*'01_Вводные'!$B$14</f>
        <v/>
      </c>
      <c r="Y1432">
        <f>'19_Расчет_аналитики'!X1431*'01_Вводные'!$B$14</f>
        <v/>
      </c>
      <c r="Z1432">
        <f>'19_Расчет_аналитики'!Y1431*'01_Вводные'!$B$14</f>
        <v/>
      </c>
      <c r="AA1432">
        <f>'19_Расчет_аналитики'!Z1431*'01_Вводные'!$B$14</f>
        <v/>
      </c>
      <c r="AB1432">
        <f>'19_Расчет_аналитики'!AA1431*'01_Вводные'!$B$14</f>
        <v/>
      </c>
      <c r="AC1432">
        <f>'19_Расчет_аналитики'!AB1431*'01_Вводные'!$B$14</f>
        <v/>
      </c>
      <c r="AD1432">
        <f>'19_Расчет_аналитики'!AC1431*'01_Вводные'!$B$14</f>
        <v/>
      </c>
      <c r="AE1432">
        <f>'19_Расчет_аналитики'!AD1431*'01_Вводные'!$B$14</f>
        <v/>
      </c>
      <c r="AF1432">
        <f>'19_Расчет_аналитики'!AE1431*'01_Вводные'!$B$14</f>
        <v/>
      </c>
      <c r="AG1432">
        <f>'19_Расчет_аналитики'!AF1431*'01_Вводные'!$B$14</f>
        <v/>
      </c>
      <c r="AH1432">
        <f>'19_Расчет_аналитики'!AG1431*'01_Вводные'!$B$14</f>
        <v/>
      </c>
      <c r="AI1432">
        <f>'19_Расчет_аналитики'!AH1431*'01_Вводные'!$B$14</f>
        <v/>
      </c>
      <c r="AJ1432">
        <f>'19_Расчет_аналитики'!AI1431*'01_Вводные'!$B$14</f>
        <v/>
      </c>
      <c r="AK1432">
        <f>'19_Расчет_аналитики'!AJ1431*'01_Вводные'!$B$14</f>
        <v/>
      </c>
      <c r="AL1432">
        <f>'19_Расчет_аналитики'!AK1431*'01_Вводные'!$B$14</f>
        <v/>
      </c>
      <c r="AM1432">
        <f>'19_Расчет_аналитики'!AL1431*'01_Вводные'!$B$14</f>
        <v/>
      </c>
      <c r="AN1432">
        <f>'19_Расчет_аналитики'!AM1431*'01_Вводные'!$B$14</f>
        <v/>
      </c>
      <c r="AO1432">
        <f>'19_Расчет_аналитики'!AN1431*'01_Вводные'!$B$14</f>
        <v/>
      </c>
      <c r="AP1432">
        <f>'19_Расчет_аналитики'!AO1431*'01_Вводные'!$B$14</f>
        <v/>
      </c>
      <c r="AQ1432">
        <f>'19_Расчет_аналитики'!AP1431*'01_Вводные'!$B$14</f>
        <v/>
      </c>
      <c r="AR1432">
        <f>'19_Расчет_аналитики'!AQ1431*'01_Вводные'!$B$14</f>
        <v/>
      </c>
      <c r="AS1432">
        <f>'19_Расчет_аналитики'!AR1431*'01_Вводные'!$B$14</f>
        <v/>
      </c>
      <c r="AT1432">
        <f>'19_Расчет_аналитики'!AS1431*'01_Вводные'!$B$14</f>
        <v/>
      </c>
      <c r="AU1432">
        <f>'19_Расчет_аналитики'!AT1431*'01_Вводные'!$B$14</f>
        <v/>
      </c>
      <c r="AV1432">
        <f>'19_Расчет_аналитики'!AU1431*'01_Вводные'!$B$14</f>
        <v/>
      </c>
      <c r="AW1432">
        <f>'19_Расчет_аналитики'!AV1431*'01_Вводные'!$B$14</f>
        <v/>
      </c>
      <c r="AX1432">
        <f>'19_Расчет_аналитики'!AW1431*'01_Вводные'!$B$14</f>
        <v/>
      </c>
      <c r="AY1432">
        <f>'19_Расчет_аналитики'!AX1431*'01_Вводные'!$B$14</f>
        <v/>
      </c>
      <c r="AZ1432">
        <f>'19_Расчет_аналитики'!AY1431*'01_Вводные'!$B$14</f>
        <v/>
      </c>
      <c r="BA1432">
        <f>'19_Расчет_аналитики'!AZ1431*'01_Вводные'!$B$14</f>
        <v/>
      </c>
      <c r="BB1432">
        <f>'19_Расчет_аналитики'!BA1431*'01_Вводные'!$B$14</f>
        <v/>
      </c>
      <c r="BC1432">
        <f>'19_Расчет_аналитики'!BB1431*'01_Вводные'!$B$14</f>
        <v/>
      </c>
      <c r="BD1432">
        <f>'19_Расчет_аналитики'!BC1431*'01_Вводные'!$B$14</f>
        <v/>
      </c>
      <c r="BE1432">
        <f>'19_Расчет_аналитики'!BD1431*'01_Вводные'!$B$14</f>
        <v/>
      </c>
      <c r="BF1432">
        <f>'19_Расчет_аналитики'!BE1431*'01_Вводные'!$B$14</f>
        <v/>
      </c>
      <c r="BG1432">
        <f>'19_Расчет_аналитики'!BF1431*'01_Вводные'!$B$14</f>
        <v/>
      </c>
      <c r="BH1432">
        <f>'19_Расчет_аналитики'!BG1431*'01_Вводные'!$B$14</f>
        <v/>
      </c>
      <c r="BI1432">
        <f>'19_Расчет_аналитики'!BH1431*'01_Вводные'!$B$14</f>
        <v/>
      </c>
      <c r="BJ1432">
        <f>'19_Расчет_аналитики'!BI1431*'01_Вводные'!$B$14</f>
        <v/>
      </c>
      <c r="BK1432">
        <f>'19_Расчет_аналитики'!BJ1431*'01_Вводные'!$B$14</f>
        <v/>
      </c>
      <c r="BL1432">
        <f>'19_Расчет_аналитики'!BK1431*'01_Вводные'!$B$14</f>
        <v/>
      </c>
      <c r="BM1432">
        <f>'19_Расчет_аналитики'!BL1431*'01_Вводные'!$B$14</f>
        <v/>
      </c>
      <c r="BN1432">
        <f>'19_Расчет_аналитики'!BM1431*'01_Вводные'!$B$14</f>
        <v/>
      </c>
      <c r="BO1432">
        <f>'19_Расчет_аналитики'!BN1431*'01_Вводные'!$B$14</f>
        <v/>
      </c>
    </row>
    <row r="1433">
      <c r="B1433">
        <f>'06_Сеть_и_дети'!B66</f>
        <v/>
      </c>
      <c r="C1433">
        <f>'06_Сеть_и_дети'!C66</f>
        <v/>
      </c>
      <c r="D1433">
        <f>'06_Сеть_и_дети'!D66</f>
        <v/>
      </c>
      <c r="E1433">
        <f>'06_Сеть_и_дети'!E66</f>
        <v/>
      </c>
      <c r="F1433">
        <f>'06_Сеть_и_дети'!F66</f>
        <v/>
      </c>
      <c r="G1433">
        <f>'06_Сеть_и_дети'!G66</f>
        <v/>
      </c>
      <c r="H1433">
        <f>'06_Сеть_и_дети'!H66</f>
        <v/>
      </c>
      <c r="I1433">
        <f>'06_Сеть_и_дети'!I66</f>
        <v/>
      </c>
      <c r="J1433">
        <f>'06_Сеть_и_дети'!J66</f>
        <v/>
      </c>
      <c r="K1433">
        <f>'06_Сеть_и_дети'!K66</f>
        <v/>
      </c>
      <c r="L1433">
        <f>'06_Сеть_и_дети'!L66</f>
        <v/>
      </c>
      <c r="M1433">
        <f>'06_Сеть_и_дети'!M66</f>
        <v/>
      </c>
      <c r="N1433">
        <f>'06_Сеть_и_дети'!N66</f>
        <v/>
      </c>
      <c r="O1433">
        <f>'19_Расчет_аналитики'!N1432*'01_Вводные'!$B$14</f>
        <v/>
      </c>
      <c r="P1433">
        <f>'19_Расчет_аналитики'!O1432*'01_Вводные'!$B$14</f>
        <v/>
      </c>
      <c r="Q1433">
        <f>'19_Расчет_аналитики'!P1432*'01_Вводные'!$B$14</f>
        <v/>
      </c>
      <c r="R1433">
        <f>'19_Расчет_аналитики'!Q1432*'01_Вводные'!$B$14</f>
        <v/>
      </c>
      <c r="S1433">
        <f>'19_Расчет_аналитики'!R1432*'01_Вводные'!$B$14</f>
        <v/>
      </c>
      <c r="T1433">
        <f>'19_Расчет_аналитики'!S1432*'01_Вводные'!$B$14</f>
        <v/>
      </c>
      <c r="U1433">
        <f>'19_Расчет_аналитики'!T1432*'01_Вводные'!$B$14</f>
        <v/>
      </c>
      <c r="V1433">
        <f>'19_Расчет_аналитики'!U1432*'01_Вводные'!$B$14</f>
        <v/>
      </c>
      <c r="W1433">
        <f>'19_Расчет_аналитики'!V1432*'01_Вводные'!$B$14</f>
        <v/>
      </c>
      <c r="X1433">
        <f>'19_Расчет_аналитики'!W1432*'01_Вводные'!$B$14</f>
        <v/>
      </c>
      <c r="Y1433">
        <f>'19_Расчет_аналитики'!X1432*'01_Вводные'!$B$14</f>
        <v/>
      </c>
      <c r="Z1433">
        <f>'19_Расчет_аналитики'!Y1432*'01_Вводные'!$B$14</f>
        <v/>
      </c>
      <c r="AA1433">
        <f>'19_Расчет_аналитики'!Z1432*'01_Вводные'!$B$14</f>
        <v/>
      </c>
      <c r="AB1433">
        <f>'19_Расчет_аналитики'!AA1432*'01_Вводные'!$B$14</f>
        <v/>
      </c>
      <c r="AC1433">
        <f>'19_Расчет_аналитики'!AB1432*'01_Вводные'!$B$14</f>
        <v/>
      </c>
      <c r="AD1433">
        <f>'19_Расчет_аналитики'!AC1432*'01_Вводные'!$B$14</f>
        <v/>
      </c>
      <c r="AE1433">
        <f>'19_Расчет_аналитики'!AD1432*'01_Вводные'!$B$14</f>
        <v/>
      </c>
      <c r="AF1433">
        <f>'19_Расчет_аналитики'!AE1432*'01_Вводные'!$B$14</f>
        <v/>
      </c>
      <c r="AG1433">
        <f>'19_Расчет_аналитики'!AF1432*'01_Вводные'!$B$14</f>
        <v/>
      </c>
      <c r="AH1433">
        <f>'19_Расчет_аналитики'!AG1432*'01_Вводные'!$B$14</f>
        <v/>
      </c>
      <c r="AI1433">
        <f>'19_Расчет_аналитики'!AH1432*'01_Вводные'!$B$14</f>
        <v/>
      </c>
      <c r="AJ1433">
        <f>'19_Расчет_аналитики'!AI1432*'01_Вводные'!$B$14</f>
        <v/>
      </c>
      <c r="AK1433">
        <f>'19_Расчет_аналитики'!AJ1432*'01_Вводные'!$B$14</f>
        <v/>
      </c>
      <c r="AL1433">
        <f>'19_Расчет_аналитики'!AK1432*'01_Вводные'!$B$14</f>
        <v/>
      </c>
      <c r="AM1433">
        <f>'19_Расчет_аналитики'!AL1432*'01_Вводные'!$B$14</f>
        <v/>
      </c>
      <c r="AN1433">
        <f>'19_Расчет_аналитики'!AM1432*'01_Вводные'!$B$14</f>
        <v/>
      </c>
      <c r="AO1433">
        <f>'19_Расчет_аналитики'!AN1432*'01_Вводные'!$B$14</f>
        <v/>
      </c>
      <c r="AP1433">
        <f>'19_Расчет_аналитики'!AO1432*'01_Вводные'!$B$14</f>
        <v/>
      </c>
      <c r="AQ1433">
        <f>'19_Расчет_аналитики'!AP1432*'01_Вводные'!$B$14</f>
        <v/>
      </c>
      <c r="AR1433">
        <f>'19_Расчет_аналитики'!AQ1432*'01_Вводные'!$B$14</f>
        <v/>
      </c>
      <c r="AS1433">
        <f>'19_Расчет_аналитики'!AR1432*'01_Вводные'!$B$14</f>
        <v/>
      </c>
      <c r="AT1433">
        <f>'19_Расчет_аналитики'!AS1432*'01_Вводные'!$B$14</f>
        <v/>
      </c>
      <c r="AU1433">
        <f>'19_Расчет_аналитики'!AT1432*'01_Вводные'!$B$14</f>
        <v/>
      </c>
      <c r="AV1433">
        <f>'19_Расчет_аналитики'!AU1432*'01_Вводные'!$B$14</f>
        <v/>
      </c>
      <c r="AW1433">
        <f>'19_Расчет_аналитики'!AV1432*'01_Вводные'!$B$14</f>
        <v/>
      </c>
      <c r="AX1433">
        <f>'19_Расчет_аналитики'!AW1432*'01_Вводные'!$B$14</f>
        <v/>
      </c>
      <c r="AY1433">
        <f>'19_Расчет_аналитики'!AX1432*'01_Вводные'!$B$14</f>
        <v/>
      </c>
      <c r="AZ1433">
        <f>'19_Расчет_аналитики'!AY1432*'01_Вводные'!$B$14</f>
        <v/>
      </c>
      <c r="BA1433">
        <f>'19_Расчет_аналитики'!AZ1432*'01_Вводные'!$B$14</f>
        <v/>
      </c>
      <c r="BB1433">
        <f>'19_Расчет_аналитики'!BA1432*'01_Вводные'!$B$14</f>
        <v/>
      </c>
      <c r="BC1433">
        <f>'19_Расчет_аналитики'!BB1432*'01_Вводные'!$B$14</f>
        <v/>
      </c>
      <c r="BD1433">
        <f>'19_Расчет_аналитики'!BC1432*'01_Вводные'!$B$14</f>
        <v/>
      </c>
      <c r="BE1433">
        <f>'19_Расчет_аналитики'!BD1432*'01_Вводные'!$B$14</f>
        <v/>
      </c>
      <c r="BF1433">
        <f>'19_Расчет_аналитики'!BE1432*'01_Вводные'!$B$14</f>
        <v/>
      </c>
      <c r="BG1433">
        <f>'19_Расчет_аналитики'!BF1432*'01_Вводные'!$B$14</f>
        <v/>
      </c>
      <c r="BH1433">
        <f>'19_Расчет_аналитики'!BG1432*'01_Вводные'!$B$14</f>
        <v/>
      </c>
      <c r="BI1433">
        <f>'19_Расчет_аналитики'!BH1432*'01_Вводные'!$B$14</f>
        <v/>
      </c>
      <c r="BJ1433">
        <f>'19_Расчет_аналитики'!BI1432*'01_Вводные'!$B$14</f>
        <v/>
      </c>
      <c r="BK1433">
        <f>'19_Расчет_аналитики'!BJ1432*'01_Вводные'!$B$14</f>
        <v/>
      </c>
      <c r="BL1433">
        <f>'19_Расчет_аналитики'!BK1432*'01_Вводные'!$B$14</f>
        <v/>
      </c>
      <c r="BM1433">
        <f>'19_Расчет_аналитики'!BL1432*'01_Вводные'!$B$14</f>
        <v/>
      </c>
      <c r="BN1433">
        <f>'19_Расчет_аналитики'!BM1432*'01_Вводные'!$B$14</f>
        <v/>
      </c>
      <c r="BO1433">
        <f>'19_Расчет_аналитики'!BN1432*'01_Вводные'!$B$14</f>
        <v/>
      </c>
    </row>
    <row r="1434">
      <c r="B1434">
        <f>'06_Сеть_и_дети'!B67</f>
        <v/>
      </c>
      <c r="C1434">
        <f>'06_Сеть_и_дети'!C67</f>
        <v/>
      </c>
      <c r="D1434">
        <f>'06_Сеть_и_дети'!D67</f>
        <v/>
      </c>
      <c r="E1434">
        <f>'06_Сеть_и_дети'!E67</f>
        <v/>
      </c>
      <c r="F1434">
        <f>'06_Сеть_и_дети'!F67</f>
        <v/>
      </c>
      <c r="G1434">
        <f>'06_Сеть_и_дети'!G67</f>
        <v/>
      </c>
      <c r="H1434">
        <f>'06_Сеть_и_дети'!H67</f>
        <v/>
      </c>
      <c r="I1434">
        <f>'06_Сеть_и_дети'!I67</f>
        <v/>
      </c>
      <c r="J1434">
        <f>'06_Сеть_и_дети'!J67</f>
        <v/>
      </c>
      <c r="K1434">
        <f>'06_Сеть_и_дети'!K67</f>
        <v/>
      </c>
      <c r="L1434">
        <f>'06_Сеть_и_дети'!L67</f>
        <v/>
      </c>
      <c r="M1434">
        <f>'06_Сеть_и_дети'!M67</f>
        <v/>
      </c>
      <c r="N1434">
        <f>'06_Сеть_и_дети'!N67</f>
        <v/>
      </c>
      <c r="O1434">
        <f>'06_Сеть_и_дети'!O67</f>
        <v/>
      </c>
      <c r="P1434">
        <f>'19_Расчет_аналитики'!O1433*'01_Вводные'!$B$14</f>
        <v/>
      </c>
      <c r="Q1434">
        <f>'19_Расчет_аналитики'!P1433*'01_Вводные'!$B$14</f>
        <v/>
      </c>
      <c r="R1434">
        <f>'19_Расчет_аналитики'!Q1433*'01_Вводные'!$B$14</f>
        <v/>
      </c>
      <c r="S1434">
        <f>'19_Расчет_аналитики'!R1433*'01_Вводные'!$B$14</f>
        <v/>
      </c>
      <c r="T1434">
        <f>'19_Расчет_аналитики'!S1433*'01_Вводные'!$B$14</f>
        <v/>
      </c>
      <c r="U1434">
        <f>'19_Расчет_аналитики'!T1433*'01_Вводные'!$B$14</f>
        <v/>
      </c>
      <c r="V1434">
        <f>'19_Расчет_аналитики'!U1433*'01_Вводные'!$B$14</f>
        <v/>
      </c>
      <c r="W1434">
        <f>'19_Расчет_аналитики'!V1433*'01_Вводные'!$B$14</f>
        <v/>
      </c>
      <c r="X1434">
        <f>'19_Расчет_аналитики'!W1433*'01_Вводные'!$B$14</f>
        <v/>
      </c>
      <c r="Y1434">
        <f>'19_Расчет_аналитики'!X1433*'01_Вводные'!$B$14</f>
        <v/>
      </c>
      <c r="Z1434">
        <f>'19_Расчет_аналитики'!Y1433*'01_Вводные'!$B$14</f>
        <v/>
      </c>
      <c r="AA1434">
        <f>'19_Расчет_аналитики'!Z1433*'01_Вводные'!$B$14</f>
        <v/>
      </c>
      <c r="AB1434">
        <f>'19_Расчет_аналитики'!AA1433*'01_Вводные'!$B$14</f>
        <v/>
      </c>
      <c r="AC1434">
        <f>'19_Расчет_аналитики'!AB1433*'01_Вводные'!$B$14</f>
        <v/>
      </c>
      <c r="AD1434">
        <f>'19_Расчет_аналитики'!AC1433*'01_Вводные'!$B$14</f>
        <v/>
      </c>
      <c r="AE1434">
        <f>'19_Расчет_аналитики'!AD1433*'01_Вводные'!$B$14</f>
        <v/>
      </c>
      <c r="AF1434">
        <f>'19_Расчет_аналитики'!AE1433*'01_Вводные'!$B$14</f>
        <v/>
      </c>
      <c r="AG1434">
        <f>'19_Расчет_аналитики'!AF1433*'01_Вводные'!$B$14</f>
        <v/>
      </c>
      <c r="AH1434">
        <f>'19_Расчет_аналитики'!AG1433*'01_Вводные'!$B$14</f>
        <v/>
      </c>
      <c r="AI1434">
        <f>'19_Расчет_аналитики'!AH1433*'01_Вводные'!$B$14</f>
        <v/>
      </c>
      <c r="AJ1434">
        <f>'19_Расчет_аналитики'!AI1433*'01_Вводные'!$B$14</f>
        <v/>
      </c>
      <c r="AK1434">
        <f>'19_Расчет_аналитики'!AJ1433*'01_Вводные'!$B$14</f>
        <v/>
      </c>
      <c r="AL1434">
        <f>'19_Расчет_аналитики'!AK1433*'01_Вводные'!$B$14</f>
        <v/>
      </c>
      <c r="AM1434">
        <f>'19_Расчет_аналитики'!AL1433*'01_Вводные'!$B$14</f>
        <v/>
      </c>
      <c r="AN1434">
        <f>'19_Расчет_аналитики'!AM1433*'01_Вводные'!$B$14</f>
        <v/>
      </c>
      <c r="AO1434">
        <f>'19_Расчет_аналитики'!AN1433*'01_Вводные'!$B$14</f>
        <v/>
      </c>
      <c r="AP1434">
        <f>'19_Расчет_аналитики'!AO1433*'01_Вводные'!$B$14</f>
        <v/>
      </c>
      <c r="AQ1434">
        <f>'19_Расчет_аналитики'!AP1433*'01_Вводные'!$B$14</f>
        <v/>
      </c>
      <c r="AR1434">
        <f>'19_Расчет_аналитики'!AQ1433*'01_Вводные'!$B$14</f>
        <v/>
      </c>
      <c r="AS1434">
        <f>'19_Расчет_аналитики'!AR1433*'01_Вводные'!$B$14</f>
        <v/>
      </c>
      <c r="AT1434">
        <f>'19_Расчет_аналитики'!AS1433*'01_Вводные'!$B$14</f>
        <v/>
      </c>
      <c r="AU1434">
        <f>'19_Расчет_аналитики'!AT1433*'01_Вводные'!$B$14</f>
        <v/>
      </c>
      <c r="AV1434">
        <f>'19_Расчет_аналитики'!AU1433*'01_Вводные'!$B$14</f>
        <v/>
      </c>
      <c r="AW1434">
        <f>'19_Расчет_аналитики'!AV1433*'01_Вводные'!$B$14</f>
        <v/>
      </c>
      <c r="AX1434">
        <f>'19_Расчет_аналитики'!AW1433*'01_Вводные'!$B$14</f>
        <v/>
      </c>
      <c r="AY1434">
        <f>'19_Расчет_аналитики'!AX1433*'01_Вводные'!$B$14</f>
        <v/>
      </c>
      <c r="AZ1434">
        <f>'19_Расчет_аналитики'!AY1433*'01_Вводные'!$B$14</f>
        <v/>
      </c>
      <c r="BA1434">
        <f>'19_Расчет_аналитики'!AZ1433*'01_Вводные'!$B$14</f>
        <v/>
      </c>
      <c r="BB1434">
        <f>'19_Расчет_аналитики'!BA1433*'01_Вводные'!$B$14</f>
        <v/>
      </c>
      <c r="BC1434">
        <f>'19_Расчет_аналитики'!BB1433*'01_Вводные'!$B$14</f>
        <v/>
      </c>
      <c r="BD1434">
        <f>'19_Расчет_аналитики'!BC1433*'01_Вводные'!$B$14</f>
        <v/>
      </c>
      <c r="BE1434">
        <f>'19_Расчет_аналитики'!BD1433*'01_Вводные'!$B$14</f>
        <v/>
      </c>
      <c r="BF1434">
        <f>'19_Расчет_аналитики'!BE1433*'01_Вводные'!$B$14</f>
        <v/>
      </c>
      <c r="BG1434">
        <f>'19_Расчет_аналитики'!BF1433*'01_Вводные'!$B$14</f>
        <v/>
      </c>
      <c r="BH1434">
        <f>'19_Расчет_аналитики'!BG1433*'01_Вводные'!$B$14</f>
        <v/>
      </c>
      <c r="BI1434">
        <f>'19_Расчет_аналитики'!BH1433*'01_Вводные'!$B$14</f>
        <v/>
      </c>
      <c r="BJ1434">
        <f>'19_Расчет_аналитики'!BI1433*'01_Вводные'!$B$14</f>
        <v/>
      </c>
      <c r="BK1434">
        <f>'19_Расчет_аналитики'!BJ1433*'01_Вводные'!$B$14</f>
        <v/>
      </c>
      <c r="BL1434">
        <f>'19_Расчет_аналитики'!BK1433*'01_Вводные'!$B$14</f>
        <v/>
      </c>
      <c r="BM1434">
        <f>'19_Расчет_аналитики'!BL1433*'01_Вводные'!$B$14</f>
        <v/>
      </c>
      <c r="BN1434">
        <f>'19_Расчет_аналитики'!BM1433*'01_Вводные'!$B$14</f>
        <v/>
      </c>
      <c r="BO1434">
        <f>'19_Расчет_аналитики'!BN1433*'01_Вводные'!$B$14</f>
        <v/>
      </c>
    </row>
    <row r="1435">
      <c r="B1435">
        <f>'06_Сеть_и_дети'!B68</f>
        <v/>
      </c>
      <c r="C1435">
        <f>'06_Сеть_и_дети'!C68</f>
        <v/>
      </c>
      <c r="D1435">
        <f>'06_Сеть_и_дети'!D68</f>
        <v/>
      </c>
      <c r="E1435">
        <f>'06_Сеть_и_дети'!E68</f>
        <v/>
      </c>
      <c r="F1435">
        <f>'06_Сеть_и_дети'!F68</f>
        <v/>
      </c>
      <c r="G1435">
        <f>'06_Сеть_и_дети'!G68</f>
        <v/>
      </c>
      <c r="H1435">
        <f>'06_Сеть_и_дети'!H68</f>
        <v/>
      </c>
      <c r="I1435">
        <f>'06_Сеть_и_дети'!I68</f>
        <v/>
      </c>
      <c r="J1435">
        <f>'06_Сеть_и_дети'!J68</f>
        <v/>
      </c>
      <c r="K1435">
        <f>'06_Сеть_и_дети'!K68</f>
        <v/>
      </c>
      <c r="L1435">
        <f>'06_Сеть_и_дети'!L68</f>
        <v/>
      </c>
      <c r="M1435">
        <f>'06_Сеть_и_дети'!M68</f>
        <v/>
      </c>
      <c r="N1435">
        <f>'06_Сеть_и_дети'!N68</f>
        <v/>
      </c>
      <c r="O1435">
        <f>'06_Сеть_и_дети'!O68</f>
        <v/>
      </c>
      <c r="P1435">
        <f>'06_Сеть_и_дети'!P68</f>
        <v/>
      </c>
      <c r="Q1435">
        <f>'19_Расчет_аналитики'!P1434*'01_Вводные'!$B$14</f>
        <v/>
      </c>
      <c r="R1435">
        <f>'19_Расчет_аналитики'!Q1434*'01_Вводные'!$B$14</f>
        <v/>
      </c>
      <c r="S1435">
        <f>'19_Расчет_аналитики'!R1434*'01_Вводные'!$B$14</f>
        <v/>
      </c>
      <c r="T1435">
        <f>'19_Расчет_аналитики'!S1434*'01_Вводные'!$B$14</f>
        <v/>
      </c>
      <c r="U1435">
        <f>'19_Расчет_аналитики'!T1434*'01_Вводные'!$B$14</f>
        <v/>
      </c>
      <c r="V1435">
        <f>'19_Расчет_аналитики'!U1434*'01_Вводные'!$B$14</f>
        <v/>
      </c>
      <c r="W1435">
        <f>'19_Расчет_аналитики'!V1434*'01_Вводные'!$B$14</f>
        <v/>
      </c>
      <c r="X1435">
        <f>'19_Расчет_аналитики'!W1434*'01_Вводные'!$B$14</f>
        <v/>
      </c>
      <c r="Y1435">
        <f>'19_Расчет_аналитики'!X1434*'01_Вводные'!$B$14</f>
        <v/>
      </c>
      <c r="Z1435">
        <f>'19_Расчет_аналитики'!Y1434*'01_Вводные'!$B$14</f>
        <v/>
      </c>
      <c r="AA1435">
        <f>'19_Расчет_аналитики'!Z1434*'01_Вводные'!$B$14</f>
        <v/>
      </c>
      <c r="AB1435">
        <f>'19_Расчет_аналитики'!AA1434*'01_Вводные'!$B$14</f>
        <v/>
      </c>
      <c r="AC1435">
        <f>'19_Расчет_аналитики'!AB1434*'01_Вводные'!$B$14</f>
        <v/>
      </c>
      <c r="AD1435">
        <f>'19_Расчет_аналитики'!AC1434*'01_Вводные'!$B$14</f>
        <v/>
      </c>
      <c r="AE1435">
        <f>'19_Расчет_аналитики'!AD1434*'01_Вводные'!$B$14</f>
        <v/>
      </c>
      <c r="AF1435">
        <f>'19_Расчет_аналитики'!AE1434*'01_Вводные'!$B$14</f>
        <v/>
      </c>
      <c r="AG1435">
        <f>'19_Расчет_аналитики'!AF1434*'01_Вводные'!$B$14</f>
        <v/>
      </c>
      <c r="AH1435">
        <f>'19_Расчет_аналитики'!AG1434*'01_Вводные'!$B$14</f>
        <v/>
      </c>
      <c r="AI1435">
        <f>'19_Расчет_аналитики'!AH1434*'01_Вводные'!$B$14</f>
        <v/>
      </c>
      <c r="AJ1435">
        <f>'19_Расчет_аналитики'!AI1434*'01_Вводные'!$B$14</f>
        <v/>
      </c>
      <c r="AK1435">
        <f>'19_Расчет_аналитики'!AJ1434*'01_Вводные'!$B$14</f>
        <v/>
      </c>
      <c r="AL1435">
        <f>'19_Расчет_аналитики'!AK1434*'01_Вводные'!$B$14</f>
        <v/>
      </c>
      <c r="AM1435">
        <f>'19_Расчет_аналитики'!AL1434*'01_Вводные'!$B$14</f>
        <v/>
      </c>
      <c r="AN1435">
        <f>'19_Расчет_аналитики'!AM1434*'01_Вводные'!$B$14</f>
        <v/>
      </c>
      <c r="AO1435">
        <f>'19_Расчет_аналитики'!AN1434*'01_Вводные'!$B$14</f>
        <v/>
      </c>
      <c r="AP1435">
        <f>'19_Расчет_аналитики'!AO1434*'01_Вводные'!$B$14</f>
        <v/>
      </c>
      <c r="AQ1435">
        <f>'19_Расчет_аналитики'!AP1434*'01_Вводные'!$B$14</f>
        <v/>
      </c>
      <c r="AR1435">
        <f>'19_Расчет_аналитики'!AQ1434*'01_Вводные'!$B$14</f>
        <v/>
      </c>
      <c r="AS1435">
        <f>'19_Расчет_аналитики'!AR1434*'01_Вводные'!$B$14</f>
        <v/>
      </c>
      <c r="AT1435">
        <f>'19_Расчет_аналитики'!AS1434*'01_Вводные'!$B$14</f>
        <v/>
      </c>
      <c r="AU1435">
        <f>'19_Расчет_аналитики'!AT1434*'01_Вводные'!$B$14</f>
        <v/>
      </c>
      <c r="AV1435">
        <f>'19_Расчет_аналитики'!AU1434*'01_Вводные'!$B$14</f>
        <v/>
      </c>
      <c r="AW1435">
        <f>'19_Расчет_аналитики'!AV1434*'01_Вводные'!$B$14</f>
        <v/>
      </c>
      <c r="AX1435">
        <f>'19_Расчет_аналитики'!AW1434*'01_Вводные'!$B$14</f>
        <v/>
      </c>
      <c r="AY1435">
        <f>'19_Расчет_аналитики'!AX1434*'01_Вводные'!$B$14</f>
        <v/>
      </c>
      <c r="AZ1435">
        <f>'19_Расчет_аналитики'!AY1434*'01_Вводные'!$B$14</f>
        <v/>
      </c>
      <c r="BA1435">
        <f>'19_Расчет_аналитики'!AZ1434*'01_Вводные'!$B$14</f>
        <v/>
      </c>
      <c r="BB1435">
        <f>'19_Расчет_аналитики'!BA1434*'01_Вводные'!$B$14</f>
        <v/>
      </c>
      <c r="BC1435">
        <f>'19_Расчет_аналитики'!BB1434*'01_Вводные'!$B$14</f>
        <v/>
      </c>
      <c r="BD1435">
        <f>'19_Расчет_аналитики'!BC1434*'01_Вводные'!$B$14</f>
        <v/>
      </c>
      <c r="BE1435">
        <f>'19_Расчет_аналитики'!BD1434*'01_Вводные'!$B$14</f>
        <v/>
      </c>
      <c r="BF1435">
        <f>'19_Расчет_аналитики'!BE1434*'01_Вводные'!$B$14</f>
        <v/>
      </c>
      <c r="BG1435">
        <f>'19_Расчет_аналитики'!BF1434*'01_Вводные'!$B$14</f>
        <v/>
      </c>
      <c r="BH1435">
        <f>'19_Расчет_аналитики'!BG1434*'01_Вводные'!$B$14</f>
        <v/>
      </c>
      <c r="BI1435">
        <f>'19_Расчет_аналитики'!BH1434*'01_Вводные'!$B$14</f>
        <v/>
      </c>
      <c r="BJ1435">
        <f>'19_Расчет_аналитики'!BI1434*'01_Вводные'!$B$14</f>
        <v/>
      </c>
      <c r="BK1435">
        <f>'19_Расчет_аналитики'!BJ1434*'01_Вводные'!$B$14</f>
        <v/>
      </c>
      <c r="BL1435">
        <f>'19_Расчет_аналитики'!BK1434*'01_Вводные'!$B$14</f>
        <v/>
      </c>
      <c r="BM1435">
        <f>'19_Расчет_аналитики'!BL1434*'01_Вводные'!$B$14</f>
        <v/>
      </c>
      <c r="BN1435">
        <f>'19_Расчет_аналитики'!BM1434*'01_Вводные'!$B$14</f>
        <v/>
      </c>
      <c r="BO1435">
        <f>'19_Расчет_аналитики'!BN1434*'01_Вводные'!$B$14</f>
        <v/>
      </c>
    </row>
    <row r="1436">
      <c r="B1436">
        <f>'06_Сеть_и_дети'!B69</f>
        <v/>
      </c>
      <c r="C1436">
        <f>'06_Сеть_и_дети'!C69</f>
        <v/>
      </c>
      <c r="D1436">
        <f>'06_Сеть_и_дети'!D69</f>
        <v/>
      </c>
      <c r="E1436">
        <f>'06_Сеть_и_дети'!E69</f>
        <v/>
      </c>
      <c r="F1436">
        <f>'06_Сеть_и_дети'!F69</f>
        <v/>
      </c>
      <c r="G1436">
        <f>'06_Сеть_и_дети'!G69</f>
        <v/>
      </c>
      <c r="H1436">
        <f>'06_Сеть_и_дети'!H69</f>
        <v/>
      </c>
      <c r="I1436">
        <f>'06_Сеть_и_дети'!I69</f>
        <v/>
      </c>
      <c r="J1436">
        <f>'06_Сеть_и_дети'!J69</f>
        <v/>
      </c>
      <c r="K1436">
        <f>'06_Сеть_и_дети'!K69</f>
        <v/>
      </c>
      <c r="L1436">
        <f>'06_Сеть_и_дети'!L69</f>
        <v/>
      </c>
      <c r="M1436">
        <f>'06_Сеть_и_дети'!M69</f>
        <v/>
      </c>
      <c r="N1436">
        <f>'06_Сеть_и_дети'!N69</f>
        <v/>
      </c>
      <c r="O1436">
        <f>'06_Сеть_и_дети'!O69</f>
        <v/>
      </c>
      <c r="P1436">
        <f>'06_Сеть_и_дети'!P69</f>
        <v/>
      </c>
      <c r="Q1436">
        <f>'06_Сеть_и_дети'!Q69</f>
        <v/>
      </c>
      <c r="R1436">
        <f>'19_Расчет_аналитики'!Q1435*'01_Вводные'!$B$14</f>
        <v/>
      </c>
      <c r="S1436">
        <f>'19_Расчет_аналитики'!R1435*'01_Вводные'!$B$14</f>
        <v/>
      </c>
      <c r="T1436">
        <f>'19_Расчет_аналитики'!S1435*'01_Вводные'!$B$14</f>
        <v/>
      </c>
      <c r="U1436">
        <f>'19_Расчет_аналитики'!T1435*'01_Вводные'!$B$14</f>
        <v/>
      </c>
      <c r="V1436">
        <f>'19_Расчет_аналитики'!U1435*'01_Вводные'!$B$14</f>
        <v/>
      </c>
      <c r="W1436">
        <f>'19_Расчет_аналитики'!V1435*'01_Вводные'!$B$14</f>
        <v/>
      </c>
      <c r="X1436">
        <f>'19_Расчет_аналитики'!W1435*'01_Вводные'!$B$14</f>
        <v/>
      </c>
      <c r="Y1436">
        <f>'19_Расчет_аналитики'!X1435*'01_Вводные'!$B$14</f>
        <v/>
      </c>
      <c r="Z1436">
        <f>'19_Расчет_аналитики'!Y1435*'01_Вводные'!$B$14</f>
        <v/>
      </c>
      <c r="AA1436">
        <f>'19_Расчет_аналитики'!Z1435*'01_Вводные'!$B$14</f>
        <v/>
      </c>
      <c r="AB1436">
        <f>'19_Расчет_аналитики'!AA1435*'01_Вводные'!$B$14</f>
        <v/>
      </c>
      <c r="AC1436">
        <f>'19_Расчет_аналитики'!AB1435*'01_Вводные'!$B$14</f>
        <v/>
      </c>
      <c r="AD1436">
        <f>'19_Расчет_аналитики'!AC1435*'01_Вводные'!$B$14</f>
        <v/>
      </c>
      <c r="AE1436">
        <f>'19_Расчет_аналитики'!AD1435*'01_Вводные'!$B$14</f>
        <v/>
      </c>
      <c r="AF1436">
        <f>'19_Расчет_аналитики'!AE1435*'01_Вводные'!$B$14</f>
        <v/>
      </c>
      <c r="AG1436">
        <f>'19_Расчет_аналитики'!AF1435*'01_Вводные'!$B$14</f>
        <v/>
      </c>
      <c r="AH1436">
        <f>'19_Расчет_аналитики'!AG1435*'01_Вводные'!$B$14</f>
        <v/>
      </c>
      <c r="AI1436">
        <f>'19_Расчет_аналитики'!AH1435*'01_Вводные'!$B$14</f>
        <v/>
      </c>
      <c r="AJ1436">
        <f>'19_Расчет_аналитики'!AI1435*'01_Вводные'!$B$14</f>
        <v/>
      </c>
      <c r="AK1436">
        <f>'19_Расчет_аналитики'!AJ1435*'01_Вводные'!$B$14</f>
        <v/>
      </c>
      <c r="AL1436">
        <f>'19_Расчет_аналитики'!AK1435*'01_Вводные'!$B$14</f>
        <v/>
      </c>
      <c r="AM1436">
        <f>'19_Расчет_аналитики'!AL1435*'01_Вводные'!$B$14</f>
        <v/>
      </c>
      <c r="AN1436">
        <f>'19_Расчет_аналитики'!AM1435*'01_Вводные'!$B$14</f>
        <v/>
      </c>
      <c r="AO1436">
        <f>'19_Расчет_аналитики'!AN1435*'01_Вводные'!$B$14</f>
        <v/>
      </c>
      <c r="AP1436">
        <f>'19_Расчет_аналитики'!AO1435*'01_Вводные'!$B$14</f>
        <v/>
      </c>
      <c r="AQ1436">
        <f>'19_Расчет_аналитики'!AP1435*'01_Вводные'!$B$14</f>
        <v/>
      </c>
      <c r="AR1436">
        <f>'19_Расчет_аналитики'!AQ1435*'01_Вводные'!$B$14</f>
        <v/>
      </c>
      <c r="AS1436">
        <f>'19_Расчет_аналитики'!AR1435*'01_Вводные'!$B$14</f>
        <v/>
      </c>
      <c r="AT1436">
        <f>'19_Расчет_аналитики'!AS1435*'01_Вводные'!$B$14</f>
        <v/>
      </c>
      <c r="AU1436">
        <f>'19_Расчет_аналитики'!AT1435*'01_Вводные'!$B$14</f>
        <v/>
      </c>
      <c r="AV1436">
        <f>'19_Расчет_аналитики'!AU1435*'01_Вводные'!$B$14</f>
        <v/>
      </c>
      <c r="AW1436">
        <f>'19_Расчет_аналитики'!AV1435*'01_Вводные'!$B$14</f>
        <v/>
      </c>
      <c r="AX1436">
        <f>'19_Расчет_аналитики'!AW1435*'01_Вводные'!$B$14</f>
        <v/>
      </c>
      <c r="AY1436">
        <f>'19_Расчет_аналитики'!AX1435*'01_Вводные'!$B$14</f>
        <v/>
      </c>
      <c r="AZ1436">
        <f>'19_Расчет_аналитики'!AY1435*'01_Вводные'!$B$14</f>
        <v/>
      </c>
      <c r="BA1436">
        <f>'19_Расчет_аналитики'!AZ1435*'01_Вводные'!$B$14</f>
        <v/>
      </c>
      <c r="BB1436">
        <f>'19_Расчет_аналитики'!BA1435*'01_Вводные'!$B$14</f>
        <v/>
      </c>
      <c r="BC1436">
        <f>'19_Расчет_аналитики'!BB1435*'01_Вводные'!$B$14</f>
        <v/>
      </c>
      <c r="BD1436">
        <f>'19_Расчет_аналитики'!BC1435*'01_Вводные'!$B$14</f>
        <v/>
      </c>
      <c r="BE1436">
        <f>'19_Расчет_аналитики'!BD1435*'01_Вводные'!$B$14</f>
        <v/>
      </c>
      <c r="BF1436">
        <f>'19_Расчет_аналитики'!BE1435*'01_Вводные'!$B$14</f>
        <v/>
      </c>
      <c r="BG1436">
        <f>'19_Расчет_аналитики'!BF1435*'01_Вводные'!$B$14</f>
        <v/>
      </c>
      <c r="BH1436">
        <f>'19_Расчет_аналитики'!BG1435*'01_Вводные'!$B$14</f>
        <v/>
      </c>
      <c r="BI1436">
        <f>'19_Расчет_аналитики'!BH1435*'01_Вводные'!$B$14</f>
        <v/>
      </c>
      <c r="BJ1436">
        <f>'19_Расчет_аналитики'!BI1435*'01_Вводные'!$B$14</f>
        <v/>
      </c>
      <c r="BK1436">
        <f>'19_Расчет_аналитики'!BJ1435*'01_Вводные'!$B$14</f>
        <v/>
      </c>
      <c r="BL1436">
        <f>'19_Расчет_аналитики'!BK1435*'01_Вводные'!$B$14</f>
        <v/>
      </c>
      <c r="BM1436">
        <f>'19_Расчет_аналитики'!BL1435*'01_Вводные'!$B$14</f>
        <v/>
      </c>
      <c r="BN1436">
        <f>'19_Расчет_аналитики'!BM1435*'01_Вводные'!$B$14</f>
        <v/>
      </c>
      <c r="BO1436">
        <f>'19_Расчет_аналитики'!BN1435*'01_Вводные'!$B$14</f>
        <v/>
      </c>
    </row>
    <row r="1437">
      <c r="B1437">
        <f>'06_Сеть_и_дети'!B70</f>
        <v/>
      </c>
      <c r="C1437">
        <f>'06_Сеть_и_дети'!C70</f>
        <v/>
      </c>
      <c r="D1437">
        <f>'06_Сеть_и_дети'!D70</f>
        <v/>
      </c>
      <c r="E1437">
        <f>'06_Сеть_и_дети'!E70</f>
        <v/>
      </c>
      <c r="F1437">
        <f>'06_Сеть_и_дети'!F70</f>
        <v/>
      </c>
      <c r="G1437">
        <f>'06_Сеть_и_дети'!G70</f>
        <v/>
      </c>
      <c r="H1437">
        <f>'06_Сеть_и_дети'!H70</f>
        <v/>
      </c>
      <c r="I1437">
        <f>'06_Сеть_и_дети'!I70</f>
        <v/>
      </c>
      <c r="J1437">
        <f>'06_Сеть_и_дети'!J70</f>
        <v/>
      </c>
      <c r="K1437">
        <f>'06_Сеть_и_дети'!K70</f>
        <v/>
      </c>
      <c r="L1437">
        <f>'06_Сеть_и_дети'!L70</f>
        <v/>
      </c>
      <c r="M1437">
        <f>'06_Сеть_и_дети'!M70</f>
        <v/>
      </c>
      <c r="N1437">
        <f>'06_Сеть_и_дети'!N70</f>
        <v/>
      </c>
      <c r="O1437">
        <f>'06_Сеть_и_дети'!O70</f>
        <v/>
      </c>
      <c r="P1437">
        <f>'06_Сеть_и_дети'!P70</f>
        <v/>
      </c>
      <c r="Q1437">
        <f>'06_Сеть_и_дети'!Q70</f>
        <v/>
      </c>
      <c r="R1437">
        <f>'06_Сеть_и_дети'!R70</f>
        <v/>
      </c>
      <c r="S1437">
        <f>'19_Расчет_аналитики'!R1436*'01_Вводные'!$B$14</f>
        <v/>
      </c>
      <c r="T1437">
        <f>'19_Расчет_аналитики'!S1436*'01_Вводные'!$B$14</f>
        <v/>
      </c>
      <c r="U1437">
        <f>'19_Расчет_аналитики'!T1436*'01_Вводные'!$B$14</f>
        <v/>
      </c>
      <c r="V1437">
        <f>'19_Расчет_аналитики'!U1436*'01_Вводные'!$B$14</f>
        <v/>
      </c>
      <c r="W1437">
        <f>'19_Расчет_аналитики'!V1436*'01_Вводные'!$B$14</f>
        <v/>
      </c>
      <c r="X1437">
        <f>'19_Расчет_аналитики'!W1436*'01_Вводные'!$B$14</f>
        <v/>
      </c>
      <c r="Y1437">
        <f>'19_Расчет_аналитики'!X1436*'01_Вводные'!$B$14</f>
        <v/>
      </c>
      <c r="Z1437">
        <f>'19_Расчет_аналитики'!Y1436*'01_Вводные'!$B$14</f>
        <v/>
      </c>
      <c r="AA1437">
        <f>'19_Расчет_аналитики'!Z1436*'01_Вводные'!$B$14</f>
        <v/>
      </c>
      <c r="AB1437">
        <f>'19_Расчет_аналитики'!AA1436*'01_Вводные'!$B$14</f>
        <v/>
      </c>
      <c r="AC1437">
        <f>'19_Расчет_аналитики'!AB1436*'01_Вводные'!$B$14</f>
        <v/>
      </c>
      <c r="AD1437">
        <f>'19_Расчет_аналитики'!AC1436*'01_Вводные'!$B$14</f>
        <v/>
      </c>
      <c r="AE1437">
        <f>'19_Расчет_аналитики'!AD1436*'01_Вводные'!$B$14</f>
        <v/>
      </c>
      <c r="AF1437">
        <f>'19_Расчет_аналитики'!AE1436*'01_Вводные'!$B$14</f>
        <v/>
      </c>
      <c r="AG1437">
        <f>'19_Расчет_аналитики'!AF1436*'01_Вводные'!$B$14</f>
        <v/>
      </c>
      <c r="AH1437">
        <f>'19_Расчет_аналитики'!AG1436*'01_Вводные'!$B$14</f>
        <v/>
      </c>
      <c r="AI1437">
        <f>'19_Расчет_аналитики'!AH1436*'01_Вводные'!$B$14</f>
        <v/>
      </c>
      <c r="AJ1437">
        <f>'19_Расчет_аналитики'!AI1436*'01_Вводные'!$B$14</f>
        <v/>
      </c>
      <c r="AK1437">
        <f>'19_Расчет_аналитики'!AJ1436*'01_Вводные'!$B$14</f>
        <v/>
      </c>
      <c r="AL1437">
        <f>'19_Расчет_аналитики'!AK1436*'01_Вводные'!$B$14</f>
        <v/>
      </c>
      <c r="AM1437">
        <f>'19_Расчет_аналитики'!AL1436*'01_Вводные'!$B$14</f>
        <v/>
      </c>
      <c r="AN1437">
        <f>'19_Расчет_аналитики'!AM1436*'01_Вводные'!$B$14</f>
        <v/>
      </c>
      <c r="AO1437">
        <f>'19_Расчет_аналитики'!AN1436*'01_Вводные'!$B$14</f>
        <v/>
      </c>
      <c r="AP1437">
        <f>'19_Расчет_аналитики'!AO1436*'01_Вводные'!$B$14</f>
        <v/>
      </c>
      <c r="AQ1437">
        <f>'19_Расчет_аналитики'!AP1436*'01_Вводные'!$B$14</f>
        <v/>
      </c>
      <c r="AR1437">
        <f>'19_Расчет_аналитики'!AQ1436*'01_Вводные'!$B$14</f>
        <v/>
      </c>
      <c r="AS1437">
        <f>'19_Расчет_аналитики'!AR1436*'01_Вводные'!$B$14</f>
        <v/>
      </c>
      <c r="AT1437">
        <f>'19_Расчет_аналитики'!AS1436*'01_Вводные'!$B$14</f>
        <v/>
      </c>
      <c r="AU1437">
        <f>'19_Расчет_аналитики'!AT1436*'01_Вводные'!$B$14</f>
        <v/>
      </c>
      <c r="AV1437">
        <f>'19_Расчет_аналитики'!AU1436*'01_Вводные'!$B$14</f>
        <v/>
      </c>
      <c r="AW1437">
        <f>'19_Расчет_аналитики'!AV1436*'01_Вводные'!$B$14</f>
        <v/>
      </c>
      <c r="AX1437">
        <f>'19_Расчет_аналитики'!AW1436*'01_Вводные'!$B$14</f>
        <v/>
      </c>
      <c r="AY1437">
        <f>'19_Расчет_аналитики'!AX1436*'01_Вводные'!$B$14</f>
        <v/>
      </c>
      <c r="AZ1437">
        <f>'19_Расчет_аналитики'!AY1436*'01_Вводные'!$B$14</f>
        <v/>
      </c>
      <c r="BA1437">
        <f>'19_Расчет_аналитики'!AZ1436*'01_Вводные'!$B$14</f>
        <v/>
      </c>
      <c r="BB1437">
        <f>'19_Расчет_аналитики'!BA1436*'01_Вводные'!$B$14</f>
        <v/>
      </c>
      <c r="BC1437">
        <f>'19_Расчет_аналитики'!BB1436*'01_Вводные'!$B$14</f>
        <v/>
      </c>
      <c r="BD1437">
        <f>'19_Расчет_аналитики'!BC1436*'01_Вводные'!$B$14</f>
        <v/>
      </c>
      <c r="BE1437">
        <f>'19_Расчет_аналитики'!BD1436*'01_Вводные'!$B$14</f>
        <v/>
      </c>
      <c r="BF1437">
        <f>'19_Расчет_аналитики'!BE1436*'01_Вводные'!$B$14</f>
        <v/>
      </c>
      <c r="BG1437">
        <f>'19_Расчет_аналитики'!BF1436*'01_Вводные'!$B$14</f>
        <v/>
      </c>
      <c r="BH1437">
        <f>'19_Расчет_аналитики'!BG1436*'01_Вводные'!$B$14</f>
        <v/>
      </c>
      <c r="BI1437">
        <f>'19_Расчет_аналитики'!BH1436*'01_Вводные'!$B$14</f>
        <v/>
      </c>
      <c r="BJ1437">
        <f>'19_Расчет_аналитики'!BI1436*'01_Вводные'!$B$14</f>
        <v/>
      </c>
      <c r="BK1437">
        <f>'19_Расчет_аналитики'!BJ1436*'01_Вводные'!$B$14</f>
        <v/>
      </c>
      <c r="BL1437">
        <f>'19_Расчет_аналитики'!BK1436*'01_Вводные'!$B$14</f>
        <v/>
      </c>
      <c r="BM1437">
        <f>'19_Расчет_аналитики'!BL1436*'01_Вводные'!$B$14</f>
        <v/>
      </c>
      <c r="BN1437">
        <f>'19_Расчет_аналитики'!BM1436*'01_Вводные'!$B$14</f>
        <v/>
      </c>
      <c r="BO1437">
        <f>'19_Расчет_аналитики'!BN1436*'01_Вводные'!$B$14</f>
        <v/>
      </c>
    </row>
    <row r="1438">
      <c r="B1438">
        <f>'06_Сеть_и_дети'!B71</f>
        <v/>
      </c>
      <c r="C1438">
        <f>'06_Сеть_и_дети'!C71</f>
        <v/>
      </c>
      <c r="D1438">
        <f>'06_Сеть_и_дети'!D71</f>
        <v/>
      </c>
      <c r="E1438">
        <f>'06_Сеть_и_дети'!E71</f>
        <v/>
      </c>
      <c r="F1438">
        <f>'06_Сеть_и_дети'!F71</f>
        <v/>
      </c>
      <c r="G1438">
        <f>'06_Сеть_и_дети'!G71</f>
        <v/>
      </c>
      <c r="H1438">
        <f>'06_Сеть_и_дети'!H71</f>
        <v/>
      </c>
      <c r="I1438">
        <f>'06_Сеть_и_дети'!I71</f>
        <v/>
      </c>
      <c r="J1438">
        <f>'06_Сеть_и_дети'!J71</f>
        <v/>
      </c>
      <c r="K1438">
        <f>'06_Сеть_и_дети'!K71</f>
        <v/>
      </c>
      <c r="L1438">
        <f>'06_Сеть_и_дети'!L71</f>
        <v/>
      </c>
      <c r="M1438">
        <f>'06_Сеть_и_дети'!M71</f>
        <v/>
      </c>
      <c r="N1438">
        <f>'06_Сеть_и_дети'!N71</f>
        <v/>
      </c>
      <c r="O1438">
        <f>'06_Сеть_и_дети'!O71</f>
        <v/>
      </c>
      <c r="P1438">
        <f>'06_Сеть_и_дети'!P71</f>
        <v/>
      </c>
      <c r="Q1438">
        <f>'06_Сеть_и_дети'!Q71</f>
        <v/>
      </c>
      <c r="R1438">
        <f>'06_Сеть_и_дети'!R71</f>
        <v/>
      </c>
      <c r="S1438">
        <f>'06_Сеть_и_дети'!S71</f>
        <v/>
      </c>
      <c r="T1438">
        <f>'19_Расчет_аналитики'!S1437*'01_Вводные'!$B$14</f>
        <v/>
      </c>
      <c r="U1438">
        <f>'19_Расчет_аналитики'!T1437*'01_Вводные'!$B$14</f>
        <v/>
      </c>
      <c r="V1438">
        <f>'19_Расчет_аналитики'!U1437*'01_Вводные'!$B$14</f>
        <v/>
      </c>
      <c r="W1438">
        <f>'19_Расчет_аналитики'!V1437*'01_Вводные'!$B$14</f>
        <v/>
      </c>
      <c r="X1438">
        <f>'19_Расчет_аналитики'!W1437*'01_Вводные'!$B$14</f>
        <v/>
      </c>
      <c r="Y1438">
        <f>'19_Расчет_аналитики'!X1437*'01_Вводные'!$B$14</f>
        <v/>
      </c>
      <c r="Z1438">
        <f>'19_Расчет_аналитики'!Y1437*'01_Вводные'!$B$14</f>
        <v/>
      </c>
      <c r="AA1438">
        <f>'19_Расчет_аналитики'!Z1437*'01_Вводные'!$B$14</f>
        <v/>
      </c>
      <c r="AB1438">
        <f>'19_Расчет_аналитики'!AA1437*'01_Вводные'!$B$14</f>
        <v/>
      </c>
      <c r="AC1438">
        <f>'19_Расчет_аналитики'!AB1437*'01_Вводные'!$B$14</f>
        <v/>
      </c>
      <c r="AD1438">
        <f>'19_Расчет_аналитики'!AC1437*'01_Вводные'!$B$14</f>
        <v/>
      </c>
      <c r="AE1438">
        <f>'19_Расчет_аналитики'!AD1437*'01_Вводные'!$B$14</f>
        <v/>
      </c>
      <c r="AF1438">
        <f>'19_Расчет_аналитики'!AE1437*'01_Вводные'!$B$14</f>
        <v/>
      </c>
      <c r="AG1438">
        <f>'19_Расчет_аналитики'!AF1437*'01_Вводные'!$B$14</f>
        <v/>
      </c>
      <c r="AH1438">
        <f>'19_Расчет_аналитики'!AG1437*'01_Вводные'!$B$14</f>
        <v/>
      </c>
      <c r="AI1438">
        <f>'19_Расчет_аналитики'!AH1437*'01_Вводные'!$B$14</f>
        <v/>
      </c>
      <c r="AJ1438">
        <f>'19_Расчет_аналитики'!AI1437*'01_Вводные'!$B$14</f>
        <v/>
      </c>
      <c r="AK1438">
        <f>'19_Расчет_аналитики'!AJ1437*'01_Вводные'!$B$14</f>
        <v/>
      </c>
      <c r="AL1438">
        <f>'19_Расчет_аналитики'!AK1437*'01_Вводные'!$B$14</f>
        <v/>
      </c>
      <c r="AM1438">
        <f>'19_Расчет_аналитики'!AL1437*'01_Вводные'!$B$14</f>
        <v/>
      </c>
      <c r="AN1438">
        <f>'19_Расчет_аналитики'!AM1437*'01_Вводные'!$B$14</f>
        <v/>
      </c>
      <c r="AO1438">
        <f>'19_Расчет_аналитики'!AN1437*'01_Вводные'!$B$14</f>
        <v/>
      </c>
      <c r="AP1438">
        <f>'19_Расчет_аналитики'!AO1437*'01_Вводные'!$B$14</f>
        <v/>
      </c>
      <c r="AQ1438">
        <f>'19_Расчет_аналитики'!AP1437*'01_Вводные'!$B$14</f>
        <v/>
      </c>
      <c r="AR1438">
        <f>'19_Расчет_аналитики'!AQ1437*'01_Вводные'!$B$14</f>
        <v/>
      </c>
      <c r="AS1438">
        <f>'19_Расчет_аналитики'!AR1437*'01_Вводные'!$B$14</f>
        <v/>
      </c>
      <c r="AT1438">
        <f>'19_Расчет_аналитики'!AS1437*'01_Вводные'!$B$14</f>
        <v/>
      </c>
      <c r="AU1438">
        <f>'19_Расчет_аналитики'!AT1437*'01_Вводные'!$B$14</f>
        <v/>
      </c>
      <c r="AV1438">
        <f>'19_Расчет_аналитики'!AU1437*'01_Вводные'!$B$14</f>
        <v/>
      </c>
      <c r="AW1438">
        <f>'19_Расчет_аналитики'!AV1437*'01_Вводные'!$B$14</f>
        <v/>
      </c>
      <c r="AX1438">
        <f>'19_Расчет_аналитики'!AW1437*'01_Вводные'!$B$14</f>
        <v/>
      </c>
      <c r="AY1438">
        <f>'19_Расчет_аналитики'!AX1437*'01_Вводные'!$B$14</f>
        <v/>
      </c>
      <c r="AZ1438">
        <f>'19_Расчет_аналитики'!AY1437*'01_Вводные'!$B$14</f>
        <v/>
      </c>
      <c r="BA1438">
        <f>'19_Расчет_аналитики'!AZ1437*'01_Вводные'!$B$14</f>
        <v/>
      </c>
      <c r="BB1438">
        <f>'19_Расчет_аналитики'!BA1437*'01_Вводные'!$B$14</f>
        <v/>
      </c>
      <c r="BC1438">
        <f>'19_Расчет_аналитики'!BB1437*'01_Вводные'!$B$14</f>
        <v/>
      </c>
      <c r="BD1438">
        <f>'19_Расчет_аналитики'!BC1437*'01_Вводные'!$B$14</f>
        <v/>
      </c>
      <c r="BE1438">
        <f>'19_Расчет_аналитики'!BD1437*'01_Вводные'!$B$14</f>
        <v/>
      </c>
      <c r="BF1438">
        <f>'19_Расчет_аналитики'!BE1437*'01_Вводные'!$B$14</f>
        <v/>
      </c>
      <c r="BG1438">
        <f>'19_Расчет_аналитики'!BF1437*'01_Вводные'!$B$14</f>
        <v/>
      </c>
      <c r="BH1438">
        <f>'19_Расчет_аналитики'!BG1437*'01_Вводные'!$B$14</f>
        <v/>
      </c>
      <c r="BI1438">
        <f>'19_Расчет_аналитики'!BH1437*'01_Вводные'!$B$14</f>
        <v/>
      </c>
      <c r="BJ1438">
        <f>'19_Расчет_аналитики'!BI1437*'01_Вводные'!$B$14</f>
        <v/>
      </c>
      <c r="BK1438">
        <f>'19_Расчет_аналитики'!BJ1437*'01_Вводные'!$B$14</f>
        <v/>
      </c>
      <c r="BL1438">
        <f>'19_Расчет_аналитики'!BK1437*'01_Вводные'!$B$14</f>
        <v/>
      </c>
      <c r="BM1438">
        <f>'19_Расчет_аналитики'!BL1437*'01_Вводные'!$B$14</f>
        <v/>
      </c>
      <c r="BN1438">
        <f>'19_Расчет_аналитики'!BM1437*'01_Вводные'!$B$14</f>
        <v/>
      </c>
      <c r="BO1438">
        <f>'19_Расчет_аналитики'!BN1437*'01_Вводные'!$B$14</f>
        <v/>
      </c>
    </row>
    <row r="1439">
      <c r="B1439">
        <f>'06_Сеть_и_дети'!B72</f>
        <v/>
      </c>
      <c r="C1439">
        <f>'06_Сеть_и_дети'!C72</f>
        <v/>
      </c>
      <c r="D1439">
        <f>'06_Сеть_и_дети'!D72</f>
        <v/>
      </c>
      <c r="E1439">
        <f>'06_Сеть_и_дети'!E72</f>
        <v/>
      </c>
      <c r="F1439">
        <f>'06_Сеть_и_дети'!F72</f>
        <v/>
      </c>
      <c r="G1439">
        <f>'06_Сеть_и_дети'!G72</f>
        <v/>
      </c>
      <c r="H1439">
        <f>'06_Сеть_и_дети'!H72</f>
        <v/>
      </c>
      <c r="I1439">
        <f>'06_Сеть_и_дети'!I72</f>
        <v/>
      </c>
      <c r="J1439">
        <f>'06_Сеть_и_дети'!J72</f>
        <v/>
      </c>
      <c r="K1439">
        <f>'06_Сеть_и_дети'!K72</f>
        <v/>
      </c>
      <c r="L1439">
        <f>'06_Сеть_и_дети'!L72</f>
        <v/>
      </c>
      <c r="M1439">
        <f>'06_Сеть_и_дети'!M72</f>
        <v/>
      </c>
      <c r="N1439">
        <f>'06_Сеть_и_дети'!N72</f>
        <v/>
      </c>
      <c r="O1439">
        <f>'06_Сеть_и_дети'!O72</f>
        <v/>
      </c>
      <c r="P1439">
        <f>'06_Сеть_и_дети'!P72</f>
        <v/>
      </c>
      <c r="Q1439">
        <f>'06_Сеть_и_дети'!Q72</f>
        <v/>
      </c>
      <c r="R1439">
        <f>'06_Сеть_и_дети'!R72</f>
        <v/>
      </c>
      <c r="S1439">
        <f>'06_Сеть_и_дети'!S72</f>
        <v/>
      </c>
      <c r="T1439">
        <f>'06_Сеть_и_дети'!T72</f>
        <v/>
      </c>
      <c r="U1439">
        <f>'19_Расчет_аналитики'!T1438*'01_Вводные'!$B$14</f>
        <v/>
      </c>
      <c r="V1439">
        <f>'19_Расчет_аналитики'!U1438*'01_Вводные'!$B$14</f>
        <v/>
      </c>
      <c r="W1439">
        <f>'19_Расчет_аналитики'!V1438*'01_Вводные'!$B$14</f>
        <v/>
      </c>
      <c r="X1439">
        <f>'19_Расчет_аналитики'!W1438*'01_Вводные'!$B$14</f>
        <v/>
      </c>
      <c r="Y1439">
        <f>'19_Расчет_аналитики'!X1438*'01_Вводные'!$B$14</f>
        <v/>
      </c>
      <c r="Z1439">
        <f>'19_Расчет_аналитики'!Y1438*'01_Вводные'!$B$14</f>
        <v/>
      </c>
      <c r="AA1439">
        <f>'19_Расчет_аналитики'!Z1438*'01_Вводные'!$B$14</f>
        <v/>
      </c>
      <c r="AB1439">
        <f>'19_Расчет_аналитики'!AA1438*'01_Вводные'!$B$14</f>
        <v/>
      </c>
      <c r="AC1439">
        <f>'19_Расчет_аналитики'!AB1438*'01_Вводные'!$B$14</f>
        <v/>
      </c>
      <c r="AD1439">
        <f>'19_Расчет_аналитики'!AC1438*'01_Вводные'!$B$14</f>
        <v/>
      </c>
      <c r="AE1439">
        <f>'19_Расчет_аналитики'!AD1438*'01_Вводные'!$B$14</f>
        <v/>
      </c>
      <c r="AF1439">
        <f>'19_Расчет_аналитики'!AE1438*'01_Вводные'!$B$14</f>
        <v/>
      </c>
      <c r="AG1439">
        <f>'19_Расчет_аналитики'!AF1438*'01_Вводные'!$B$14</f>
        <v/>
      </c>
      <c r="AH1439">
        <f>'19_Расчет_аналитики'!AG1438*'01_Вводные'!$B$14</f>
        <v/>
      </c>
      <c r="AI1439">
        <f>'19_Расчет_аналитики'!AH1438*'01_Вводные'!$B$14</f>
        <v/>
      </c>
      <c r="AJ1439">
        <f>'19_Расчет_аналитики'!AI1438*'01_Вводные'!$B$14</f>
        <v/>
      </c>
      <c r="AK1439">
        <f>'19_Расчет_аналитики'!AJ1438*'01_Вводные'!$B$14</f>
        <v/>
      </c>
      <c r="AL1439">
        <f>'19_Расчет_аналитики'!AK1438*'01_Вводные'!$B$14</f>
        <v/>
      </c>
      <c r="AM1439">
        <f>'19_Расчет_аналитики'!AL1438*'01_Вводные'!$B$14</f>
        <v/>
      </c>
      <c r="AN1439">
        <f>'19_Расчет_аналитики'!AM1438*'01_Вводные'!$B$14</f>
        <v/>
      </c>
      <c r="AO1439">
        <f>'19_Расчет_аналитики'!AN1438*'01_Вводные'!$B$14</f>
        <v/>
      </c>
      <c r="AP1439">
        <f>'19_Расчет_аналитики'!AO1438*'01_Вводные'!$B$14</f>
        <v/>
      </c>
      <c r="AQ1439">
        <f>'19_Расчет_аналитики'!AP1438*'01_Вводные'!$B$14</f>
        <v/>
      </c>
      <c r="AR1439">
        <f>'19_Расчет_аналитики'!AQ1438*'01_Вводные'!$B$14</f>
        <v/>
      </c>
      <c r="AS1439">
        <f>'19_Расчет_аналитики'!AR1438*'01_Вводные'!$B$14</f>
        <v/>
      </c>
      <c r="AT1439">
        <f>'19_Расчет_аналитики'!AS1438*'01_Вводные'!$B$14</f>
        <v/>
      </c>
      <c r="AU1439">
        <f>'19_Расчет_аналитики'!AT1438*'01_Вводные'!$B$14</f>
        <v/>
      </c>
      <c r="AV1439">
        <f>'19_Расчет_аналитики'!AU1438*'01_Вводные'!$B$14</f>
        <v/>
      </c>
      <c r="AW1439">
        <f>'19_Расчет_аналитики'!AV1438*'01_Вводные'!$B$14</f>
        <v/>
      </c>
      <c r="AX1439">
        <f>'19_Расчет_аналитики'!AW1438*'01_Вводные'!$B$14</f>
        <v/>
      </c>
      <c r="AY1439">
        <f>'19_Расчет_аналитики'!AX1438*'01_Вводные'!$B$14</f>
        <v/>
      </c>
      <c r="AZ1439">
        <f>'19_Расчет_аналитики'!AY1438*'01_Вводные'!$B$14</f>
        <v/>
      </c>
      <c r="BA1439">
        <f>'19_Расчет_аналитики'!AZ1438*'01_Вводные'!$B$14</f>
        <v/>
      </c>
      <c r="BB1439">
        <f>'19_Расчет_аналитики'!BA1438*'01_Вводные'!$B$14</f>
        <v/>
      </c>
      <c r="BC1439">
        <f>'19_Расчет_аналитики'!BB1438*'01_Вводные'!$B$14</f>
        <v/>
      </c>
      <c r="BD1439">
        <f>'19_Расчет_аналитики'!BC1438*'01_Вводные'!$B$14</f>
        <v/>
      </c>
      <c r="BE1439">
        <f>'19_Расчет_аналитики'!BD1438*'01_Вводные'!$B$14</f>
        <v/>
      </c>
      <c r="BF1439">
        <f>'19_Расчет_аналитики'!BE1438*'01_Вводные'!$B$14</f>
        <v/>
      </c>
      <c r="BG1439">
        <f>'19_Расчет_аналитики'!BF1438*'01_Вводные'!$B$14</f>
        <v/>
      </c>
      <c r="BH1439">
        <f>'19_Расчет_аналитики'!BG1438*'01_Вводные'!$B$14</f>
        <v/>
      </c>
      <c r="BI1439">
        <f>'19_Расчет_аналитики'!BH1438*'01_Вводные'!$B$14</f>
        <v/>
      </c>
      <c r="BJ1439">
        <f>'19_Расчет_аналитики'!BI1438*'01_Вводные'!$B$14</f>
        <v/>
      </c>
      <c r="BK1439">
        <f>'19_Расчет_аналитики'!BJ1438*'01_Вводные'!$B$14</f>
        <v/>
      </c>
      <c r="BL1439">
        <f>'19_Расчет_аналитики'!BK1438*'01_Вводные'!$B$14</f>
        <v/>
      </c>
      <c r="BM1439">
        <f>'19_Расчет_аналитики'!BL1438*'01_Вводные'!$B$14</f>
        <v/>
      </c>
      <c r="BN1439">
        <f>'19_Расчет_аналитики'!BM1438*'01_Вводные'!$B$14</f>
        <v/>
      </c>
      <c r="BO1439">
        <f>'19_Расчет_аналитики'!BN1438*'01_Вводные'!$B$14</f>
        <v/>
      </c>
    </row>
    <row r="1440">
      <c r="B1440">
        <f>'06_Сеть_и_дети'!B73</f>
        <v/>
      </c>
      <c r="C1440">
        <f>'06_Сеть_и_дети'!C73</f>
        <v/>
      </c>
      <c r="D1440">
        <f>'06_Сеть_и_дети'!D73</f>
        <v/>
      </c>
      <c r="E1440">
        <f>'06_Сеть_и_дети'!E73</f>
        <v/>
      </c>
      <c r="F1440">
        <f>'06_Сеть_и_дети'!F73</f>
        <v/>
      </c>
      <c r="G1440">
        <f>'06_Сеть_и_дети'!G73</f>
        <v/>
      </c>
      <c r="H1440">
        <f>'06_Сеть_и_дети'!H73</f>
        <v/>
      </c>
      <c r="I1440">
        <f>'06_Сеть_и_дети'!I73</f>
        <v/>
      </c>
      <c r="J1440">
        <f>'06_Сеть_и_дети'!J73</f>
        <v/>
      </c>
      <c r="K1440">
        <f>'06_Сеть_и_дети'!K73</f>
        <v/>
      </c>
      <c r="L1440">
        <f>'06_Сеть_и_дети'!L73</f>
        <v/>
      </c>
      <c r="M1440">
        <f>'06_Сеть_и_дети'!M73</f>
        <v/>
      </c>
      <c r="N1440">
        <f>'06_Сеть_и_дети'!N73</f>
        <v/>
      </c>
      <c r="O1440">
        <f>'06_Сеть_и_дети'!O73</f>
        <v/>
      </c>
      <c r="P1440">
        <f>'06_Сеть_и_дети'!P73</f>
        <v/>
      </c>
      <c r="Q1440">
        <f>'06_Сеть_и_дети'!Q73</f>
        <v/>
      </c>
      <c r="R1440">
        <f>'06_Сеть_и_дети'!R73</f>
        <v/>
      </c>
      <c r="S1440">
        <f>'06_Сеть_и_дети'!S73</f>
        <v/>
      </c>
      <c r="T1440">
        <f>'06_Сеть_и_дети'!T73</f>
        <v/>
      </c>
      <c r="U1440">
        <f>'06_Сеть_и_дети'!U73</f>
        <v/>
      </c>
      <c r="V1440">
        <f>'19_Расчет_аналитики'!U1439*'01_Вводные'!$B$14</f>
        <v/>
      </c>
      <c r="W1440">
        <f>'19_Расчет_аналитики'!V1439*'01_Вводные'!$B$14</f>
        <v/>
      </c>
      <c r="X1440">
        <f>'19_Расчет_аналитики'!W1439*'01_Вводные'!$B$14</f>
        <v/>
      </c>
      <c r="Y1440">
        <f>'19_Расчет_аналитики'!X1439*'01_Вводные'!$B$14</f>
        <v/>
      </c>
      <c r="Z1440">
        <f>'19_Расчет_аналитики'!Y1439*'01_Вводные'!$B$14</f>
        <v/>
      </c>
      <c r="AA1440">
        <f>'19_Расчет_аналитики'!Z1439*'01_Вводные'!$B$14</f>
        <v/>
      </c>
      <c r="AB1440">
        <f>'19_Расчет_аналитики'!AA1439*'01_Вводные'!$B$14</f>
        <v/>
      </c>
      <c r="AC1440">
        <f>'19_Расчет_аналитики'!AB1439*'01_Вводные'!$B$14</f>
        <v/>
      </c>
      <c r="AD1440">
        <f>'19_Расчет_аналитики'!AC1439*'01_Вводные'!$B$14</f>
        <v/>
      </c>
      <c r="AE1440">
        <f>'19_Расчет_аналитики'!AD1439*'01_Вводные'!$B$14</f>
        <v/>
      </c>
      <c r="AF1440">
        <f>'19_Расчет_аналитики'!AE1439*'01_Вводные'!$B$14</f>
        <v/>
      </c>
      <c r="AG1440">
        <f>'19_Расчет_аналитики'!AF1439*'01_Вводные'!$B$14</f>
        <v/>
      </c>
      <c r="AH1440">
        <f>'19_Расчет_аналитики'!AG1439*'01_Вводные'!$B$14</f>
        <v/>
      </c>
      <c r="AI1440">
        <f>'19_Расчет_аналитики'!AH1439*'01_Вводные'!$B$14</f>
        <v/>
      </c>
      <c r="AJ1440">
        <f>'19_Расчет_аналитики'!AI1439*'01_Вводные'!$B$14</f>
        <v/>
      </c>
      <c r="AK1440">
        <f>'19_Расчет_аналитики'!AJ1439*'01_Вводные'!$B$14</f>
        <v/>
      </c>
      <c r="AL1440">
        <f>'19_Расчет_аналитики'!AK1439*'01_Вводные'!$B$14</f>
        <v/>
      </c>
      <c r="AM1440">
        <f>'19_Расчет_аналитики'!AL1439*'01_Вводные'!$B$14</f>
        <v/>
      </c>
      <c r="AN1440">
        <f>'19_Расчет_аналитики'!AM1439*'01_Вводные'!$B$14</f>
        <v/>
      </c>
      <c r="AO1440">
        <f>'19_Расчет_аналитики'!AN1439*'01_Вводные'!$B$14</f>
        <v/>
      </c>
      <c r="AP1440">
        <f>'19_Расчет_аналитики'!AO1439*'01_Вводные'!$B$14</f>
        <v/>
      </c>
      <c r="AQ1440">
        <f>'19_Расчет_аналитики'!AP1439*'01_Вводные'!$B$14</f>
        <v/>
      </c>
      <c r="AR1440">
        <f>'19_Расчет_аналитики'!AQ1439*'01_Вводные'!$B$14</f>
        <v/>
      </c>
      <c r="AS1440">
        <f>'19_Расчет_аналитики'!AR1439*'01_Вводные'!$B$14</f>
        <v/>
      </c>
      <c r="AT1440">
        <f>'19_Расчет_аналитики'!AS1439*'01_Вводные'!$B$14</f>
        <v/>
      </c>
      <c r="AU1440">
        <f>'19_Расчет_аналитики'!AT1439*'01_Вводные'!$B$14</f>
        <v/>
      </c>
      <c r="AV1440">
        <f>'19_Расчет_аналитики'!AU1439*'01_Вводные'!$B$14</f>
        <v/>
      </c>
      <c r="AW1440">
        <f>'19_Расчет_аналитики'!AV1439*'01_Вводные'!$B$14</f>
        <v/>
      </c>
      <c r="AX1440">
        <f>'19_Расчет_аналитики'!AW1439*'01_Вводные'!$B$14</f>
        <v/>
      </c>
      <c r="AY1440">
        <f>'19_Расчет_аналитики'!AX1439*'01_Вводные'!$B$14</f>
        <v/>
      </c>
      <c r="AZ1440">
        <f>'19_Расчет_аналитики'!AY1439*'01_Вводные'!$B$14</f>
        <v/>
      </c>
      <c r="BA1440">
        <f>'19_Расчет_аналитики'!AZ1439*'01_Вводные'!$B$14</f>
        <v/>
      </c>
      <c r="BB1440">
        <f>'19_Расчет_аналитики'!BA1439*'01_Вводные'!$B$14</f>
        <v/>
      </c>
      <c r="BC1440">
        <f>'19_Расчет_аналитики'!BB1439*'01_Вводные'!$B$14</f>
        <v/>
      </c>
      <c r="BD1440">
        <f>'19_Расчет_аналитики'!BC1439*'01_Вводные'!$B$14</f>
        <v/>
      </c>
      <c r="BE1440">
        <f>'19_Расчет_аналитики'!BD1439*'01_Вводные'!$B$14</f>
        <v/>
      </c>
      <c r="BF1440">
        <f>'19_Расчет_аналитики'!BE1439*'01_Вводные'!$B$14</f>
        <v/>
      </c>
      <c r="BG1440">
        <f>'19_Расчет_аналитики'!BF1439*'01_Вводные'!$B$14</f>
        <v/>
      </c>
      <c r="BH1440">
        <f>'19_Расчет_аналитики'!BG1439*'01_Вводные'!$B$14</f>
        <v/>
      </c>
      <c r="BI1440">
        <f>'19_Расчет_аналитики'!BH1439*'01_Вводные'!$B$14</f>
        <v/>
      </c>
      <c r="BJ1440">
        <f>'19_Расчет_аналитики'!BI1439*'01_Вводные'!$B$14</f>
        <v/>
      </c>
      <c r="BK1440">
        <f>'19_Расчет_аналитики'!BJ1439*'01_Вводные'!$B$14</f>
        <v/>
      </c>
      <c r="BL1440">
        <f>'19_Расчет_аналитики'!BK1439*'01_Вводные'!$B$14</f>
        <v/>
      </c>
      <c r="BM1440">
        <f>'19_Расчет_аналитики'!BL1439*'01_Вводные'!$B$14</f>
        <v/>
      </c>
      <c r="BN1440">
        <f>'19_Расчет_аналитики'!BM1439*'01_Вводные'!$B$14</f>
        <v/>
      </c>
      <c r="BO1440">
        <f>'19_Расчет_аналитики'!BN1439*'01_Вводные'!$B$14</f>
        <v/>
      </c>
    </row>
    <row r="1441">
      <c r="B1441">
        <f>'06_Сеть_и_дети'!B74</f>
        <v/>
      </c>
      <c r="C1441">
        <f>'06_Сеть_и_дети'!C74</f>
        <v/>
      </c>
      <c r="D1441">
        <f>'06_Сеть_и_дети'!D74</f>
        <v/>
      </c>
      <c r="E1441">
        <f>'06_Сеть_и_дети'!E74</f>
        <v/>
      </c>
      <c r="F1441">
        <f>'06_Сеть_и_дети'!F74</f>
        <v/>
      </c>
      <c r="G1441">
        <f>'06_Сеть_и_дети'!G74</f>
        <v/>
      </c>
      <c r="H1441">
        <f>'06_Сеть_и_дети'!H74</f>
        <v/>
      </c>
      <c r="I1441">
        <f>'06_Сеть_и_дети'!I74</f>
        <v/>
      </c>
      <c r="J1441">
        <f>'06_Сеть_и_дети'!J74</f>
        <v/>
      </c>
      <c r="K1441">
        <f>'06_Сеть_и_дети'!K74</f>
        <v/>
      </c>
      <c r="L1441">
        <f>'06_Сеть_и_дети'!L74</f>
        <v/>
      </c>
      <c r="M1441">
        <f>'06_Сеть_и_дети'!M74</f>
        <v/>
      </c>
      <c r="N1441">
        <f>'06_Сеть_и_дети'!N74</f>
        <v/>
      </c>
      <c r="O1441">
        <f>'06_Сеть_и_дети'!O74</f>
        <v/>
      </c>
      <c r="P1441">
        <f>'06_Сеть_и_дети'!P74</f>
        <v/>
      </c>
      <c r="Q1441">
        <f>'06_Сеть_и_дети'!Q74</f>
        <v/>
      </c>
      <c r="R1441">
        <f>'06_Сеть_и_дети'!R74</f>
        <v/>
      </c>
      <c r="S1441">
        <f>'06_Сеть_и_дети'!S74</f>
        <v/>
      </c>
      <c r="T1441">
        <f>'06_Сеть_и_дети'!T74</f>
        <v/>
      </c>
      <c r="U1441">
        <f>'06_Сеть_и_дети'!U74</f>
        <v/>
      </c>
      <c r="V1441">
        <f>'06_Сеть_и_дети'!V74</f>
        <v/>
      </c>
      <c r="W1441">
        <f>'19_Расчет_аналитики'!V1440*'01_Вводные'!$B$14</f>
        <v/>
      </c>
      <c r="X1441">
        <f>'19_Расчет_аналитики'!W1440*'01_Вводные'!$B$14</f>
        <v/>
      </c>
      <c r="Y1441">
        <f>'19_Расчет_аналитики'!X1440*'01_Вводные'!$B$14</f>
        <v/>
      </c>
      <c r="Z1441">
        <f>'19_Расчет_аналитики'!Y1440*'01_Вводные'!$B$14</f>
        <v/>
      </c>
      <c r="AA1441">
        <f>'19_Расчет_аналитики'!Z1440*'01_Вводные'!$B$14</f>
        <v/>
      </c>
      <c r="AB1441">
        <f>'19_Расчет_аналитики'!AA1440*'01_Вводные'!$B$14</f>
        <v/>
      </c>
      <c r="AC1441">
        <f>'19_Расчет_аналитики'!AB1440*'01_Вводные'!$B$14</f>
        <v/>
      </c>
      <c r="AD1441">
        <f>'19_Расчет_аналитики'!AC1440*'01_Вводные'!$B$14</f>
        <v/>
      </c>
      <c r="AE1441">
        <f>'19_Расчет_аналитики'!AD1440*'01_Вводные'!$B$14</f>
        <v/>
      </c>
      <c r="AF1441">
        <f>'19_Расчет_аналитики'!AE1440*'01_Вводные'!$B$14</f>
        <v/>
      </c>
      <c r="AG1441">
        <f>'19_Расчет_аналитики'!AF1440*'01_Вводные'!$B$14</f>
        <v/>
      </c>
      <c r="AH1441">
        <f>'19_Расчет_аналитики'!AG1440*'01_Вводные'!$B$14</f>
        <v/>
      </c>
      <c r="AI1441">
        <f>'19_Расчет_аналитики'!AH1440*'01_Вводные'!$B$14</f>
        <v/>
      </c>
      <c r="AJ1441">
        <f>'19_Расчет_аналитики'!AI1440*'01_Вводные'!$B$14</f>
        <v/>
      </c>
      <c r="AK1441">
        <f>'19_Расчет_аналитики'!AJ1440*'01_Вводные'!$B$14</f>
        <v/>
      </c>
      <c r="AL1441">
        <f>'19_Расчет_аналитики'!AK1440*'01_Вводные'!$B$14</f>
        <v/>
      </c>
      <c r="AM1441">
        <f>'19_Расчет_аналитики'!AL1440*'01_Вводные'!$B$14</f>
        <v/>
      </c>
      <c r="AN1441">
        <f>'19_Расчет_аналитики'!AM1440*'01_Вводные'!$B$14</f>
        <v/>
      </c>
      <c r="AO1441">
        <f>'19_Расчет_аналитики'!AN1440*'01_Вводные'!$B$14</f>
        <v/>
      </c>
      <c r="AP1441">
        <f>'19_Расчет_аналитики'!AO1440*'01_Вводные'!$B$14</f>
        <v/>
      </c>
      <c r="AQ1441">
        <f>'19_Расчет_аналитики'!AP1440*'01_Вводные'!$B$14</f>
        <v/>
      </c>
      <c r="AR1441">
        <f>'19_Расчет_аналитики'!AQ1440*'01_Вводные'!$B$14</f>
        <v/>
      </c>
      <c r="AS1441">
        <f>'19_Расчет_аналитики'!AR1440*'01_Вводные'!$B$14</f>
        <v/>
      </c>
      <c r="AT1441">
        <f>'19_Расчет_аналитики'!AS1440*'01_Вводные'!$B$14</f>
        <v/>
      </c>
      <c r="AU1441">
        <f>'19_Расчет_аналитики'!AT1440*'01_Вводные'!$B$14</f>
        <v/>
      </c>
      <c r="AV1441">
        <f>'19_Расчет_аналитики'!AU1440*'01_Вводные'!$B$14</f>
        <v/>
      </c>
      <c r="AW1441">
        <f>'19_Расчет_аналитики'!AV1440*'01_Вводные'!$B$14</f>
        <v/>
      </c>
      <c r="AX1441">
        <f>'19_Расчет_аналитики'!AW1440*'01_Вводные'!$B$14</f>
        <v/>
      </c>
      <c r="AY1441">
        <f>'19_Расчет_аналитики'!AX1440*'01_Вводные'!$B$14</f>
        <v/>
      </c>
      <c r="AZ1441">
        <f>'19_Расчет_аналитики'!AY1440*'01_Вводные'!$B$14</f>
        <v/>
      </c>
      <c r="BA1441">
        <f>'19_Расчет_аналитики'!AZ1440*'01_Вводные'!$B$14</f>
        <v/>
      </c>
      <c r="BB1441">
        <f>'19_Расчет_аналитики'!BA1440*'01_Вводные'!$B$14</f>
        <v/>
      </c>
      <c r="BC1441">
        <f>'19_Расчет_аналитики'!BB1440*'01_Вводные'!$B$14</f>
        <v/>
      </c>
      <c r="BD1441">
        <f>'19_Расчет_аналитики'!BC1440*'01_Вводные'!$B$14</f>
        <v/>
      </c>
      <c r="BE1441">
        <f>'19_Расчет_аналитики'!BD1440*'01_Вводные'!$B$14</f>
        <v/>
      </c>
      <c r="BF1441">
        <f>'19_Расчет_аналитики'!BE1440*'01_Вводные'!$B$14</f>
        <v/>
      </c>
      <c r="BG1441">
        <f>'19_Расчет_аналитики'!BF1440*'01_Вводные'!$B$14</f>
        <v/>
      </c>
      <c r="BH1441">
        <f>'19_Расчет_аналитики'!BG1440*'01_Вводные'!$B$14</f>
        <v/>
      </c>
      <c r="BI1441">
        <f>'19_Расчет_аналитики'!BH1440*'01_Вводные'!$B$14</f>
        <v/>
      </c>
      <c r="BJ1441">
        <f>'19_Расчет_аналитики'!BI1440*'01_Вводные'!$B$14</f>
        <v/>
      </c>
      <c r="BK1441">
        <f>'19_Расчет_аналитики'!BJ1440*'01_Вводные'!$B$14</f>
        <v/>
      </c>
      <c r="BL1441">
        <f>'19_Расчет_аналитики'!BK1440*'01_Вводные'!$B$14</f>
        <v/>
      </c>
      <c r="BM1441">
        <f>'19_Расчет_аналитики'!BL1440*'01_Вводные'!$B$14</f>
        <v/>
      </c>
      <c r="BN1441">
        <f>'19_Расчет_аналитики'!BM1440*'01_Вводные'!$B$14</f>
        <v/>
      </c>
      <c r="BO1441">
        <f>'19_Расчет_аналитики'!BN1440*'01_Вводные'!$B$14</f>
        <v/>
      </c>
    </row>
    <row r="1442">
      <c r="B1442">
        <f>'06_Сеть_и_дети'!B75</f>
        <v/>
      </c>
      <c r="C1442">
        <f>'06_Сеть_и_дети'!C75</f>
        <v/>
      </c>
      <c r="D1442">
        <f>'06_Сеть_и_дети'!D75</f>
        <v/>
      </c>
      <c r="E1442">
        <f>'06_Сеть_и_дети'!E75</f>
        <v/>
      </c>
      <c r="F1442">
        <f>'06_Сеть_и_дети'!F75</f>
        <v/>
      </c>
      <c r="G1442">
        <f>'06_Сеть_и_дети'!G75</f>
        <v/>
      </c>
      <c r="H1442">
        <f>'06_Сеть_и_дети'!H75</f>
        <v/>
      </c>
      <c r="I1442">
        <f>'06_Сеть_и_дети'!I75</f>
        <v/>
      </c>
      <c r="J1442">
        <f>'06_Сеть_и_дети'!J75</f>
        <v/>
      </c>
      <c r="K1442">
        <f>'06_Сеть_и_дети'!K75</f>
        <v/>
      </c>
      <c r="L1442">
        <f>'06_Сеть_и_дети'!L75</f>
        <v/>
      </c>
      <c r="M1442">
        <f>'06_Сеть_и_дети'!M75</f>
        <v/>
      </c>
      <c r="N1442">
        <f>'06_Сеть_и_дети'!N75</f>
        <v/>
      </c>
      <c r="O1442">
        <f>'06_Сеть_и_дети'!O75</f>
        <v/>
      </c>
      <c r="P1442">
        <f>'06_Сеть_и_дети'!P75</f>
        <v/>
      </c>
      <c r="Q1442">
        <f>'06_Сеть_и_дети'!Q75</f>
        <v/>
      </c>
      <c r="R1442">
        <f>'06_Сеть_и_дети'!R75</f>
        <v/>
      </c>
      <c r="S1442">
        <f>'06_Сеть_и_дети'!S75</f>
        <v/>
      </c>
      <c r="T1442">
        <f>'06_Сеть_и_дети'!T75</f>
        <v/>
      </c>
      <c r="U1442">
        <f>'06_Сеть_и_дети'!U75</f>
        <v/>
      </c>
      <c r="V1442">
        <f>'06_Сеть_и_дети'!V75</f>
        <v/>
      </c>
      <c r="W1442">
        <f>'06_Сеть_и_дети'!W75</f>
        <v/>
      </c>
      <c r="X1442">
        <f>'19_Расчет_аналитики'!W1441*'01_Вводные'!$B$14</f>
        <v/>
      </c>
      <c r="Y1442">
        <f>'19_Расчет_аналитики'!X1441*'01_Вводные'!$B$14</f>
        <v/>
      </c>
      <c r="Z1442">
        <f>'19_Расчет_аналитики'!Y1441*'01_Вводные'!$B$14</f>
        <v/>
      </c>
      <c r="AA1442">
        <f>'19_Расчет_аналитики'!Z1441*'01_Вводные'!$B$14</f>
        <v/>
      </c>
      <c r="AB1442">
        <f>'19_Расчет_аналитики'!AA1441*'01_Вводные'!$B$14</f>
        <v/>
      </c>
      <c r="AC1442">
        <f>'19_Расчет_аналитики'!AB1441*'01_Вводные'!$B$14</f>
        <v/>
      </c>
      <c r="AD1442">
        <f>'19_Расчет_аналитики'!AC1441*'01_Вводные'!$B$14</f>
        <v/>
      </c>
      <c r="AE1442">
        <f>'19_Расчет_аналитики'!AD1441*'01_Вводные'!$B$14</f>
        <v/>
      </c>
      <c r="AF1442">
        <f>'19_Расчет_аналитики'!AE1441*'01_Вводные'!$B$14</f>
        <v/>
      </c>
      <c r="AG1442">
        <f>'19_Расчет_аналитики'!AF1441*'01_Вводные'!$B$14</f>
        <v/>
      </c>
      <c r="AH1442">
        <f>'19_Расчет_аналитики'!AG1441*'01_Вводные'!$B$14</f>
        <v/>
      </c>
      <c r="AI1442">
        <f>'19_Расчет_аналитики'!AH1441*'01_Вводные'!$B$14</f>
        <v/>
      </c>
      <c r="AJ1442">
        <f>'19_Расчет_аналитики'!AI1441*'01_Вводные'!$B$14</f>
        <v/>
      </c>
      <c r="AK1442">
        <f>'19_Расчет_аналитики'!AJ1441*'01_Вводные'!$B$14</f>
        <v/>
      </c>
      <c r="AL1442">
        <f>'19_Расчет_аналитики'!AK1441*'01_Вводные'!$B$14</f>
        <v/>
      </c>
      <c r="AM1442">
        <f>'19_Расчет_аналитики'!AL1441*'01_Вводные'!$B$14</f>
        <v/>
      </c>
      <c r="AN1442">
        <f>'19_Расчет_аналитики'!AM1441*'01_Вводные'!$B$14</f>
        <v/>
      </c>
      <c r="AO1442">
        <f>'19_Расчет_аналитики'!AN1441*'01_Вводные'!$B$14</f>
        <v/>
      </c>
      <c r="AP1442">
        <f>'19_Расчет_аналитики'!AO1441*'01_Вводные'!$B$14</f>
        <v/>
      </c>
      <c r="AQ1442">
        <f>'19_Расчет_аналитики'!AP1441*'01_Вводные'!$B$14</f>
        <v/>
      </c>
      <c r="AR1442">
        <f>'19_Расчет_аналитики'!AQ1441*'01_Вводные'!$B$14</f>
        <v/>
      </c>
      <c r="AS1442">
        <f>'19_Расчет_аналитики'!AR1441*'01_Вводные'!$B$14</f>
        <v/>
      </c>
      <c r="AT1442">
        <f>'19_Расчет_аналитики'!AS1441*'01_Вводные'!$B$14</f>
        <v/>
      </c>
      <c r="AU1442">
        <f>'19_Расчет_аналитики'!AT1441*'01_Вводные'!$B$14</f>
        <v/>
      </c>
      <c r="AV1442">
        <f>'19_Расчет_аналитики'!AU1441*'01_Вводные'!$B$14</f>
        <v/>
      </c>
      <c r="AW1442">
        <f>'19_Расчет_аналитики'!AV1441*'01_Вводные'!$B$14</f>
        <v/>
      </c>
      <c r="AX1442">
        <f>'19_Расчет_аналитики'!AW1441*'01_Вводные'!$B$14</f>
        <v/>
      </c>
      <c r="AY1442">
        <f>'19_Расчет_аналитики'!AX1441*'01_Вводные'!$B$14</f>
        <v/>
      </c>
      <c r="AZ1442">
        <f>'19_Расчет_аналитики'!AY1441*'01_Вводные'!$B$14</f>
        <v/>
      </c>
      <c r="BA1442">
        <f>'19_Расчет_аналитики'!AZ1441*'01_Вводные'!$B$14</f>
        <v/>
      </c>
      <c r="BB1442">
        <f>'19_Расчет_аналитики'!BA1441*'01_Вводные'!$B$14</f>
        <v/>
      </c>
      <c r="BC1442">
        <f>'19_Расчет_аналитики'!BB1441*'01_Вводные'!$B$14</f>
        <v/>
      </c>
      <c r="BD1442">
        <f>'19_Расчет_аналитики'!BC1441*'01_Вводные'!$B$14</f>
        <v/>
      </c>
      <c r="BE1442">
        <f>'19_Расчет_аналитики'!BD1441*'01_Вводные'!$B$14</f>
        <v/>
      </c>
      <c r="BF1442">
        <f>'19_Расчет_аналитики'!BE1441*'01_Вводные'!$B$14</f>
        <v/>
      </c>
      <c r="BG1442">
        <f>'19_Расчет_аналитики'!BF1441*'01_Вводные'!$B$14</f>
        <v/>
      </c>
      <c r="BH1442">
        <f>'19_Расчет_аналитики'!BG1441*'01_Вводные'!$B$14</f>
        <v/>
      </c>
      <c r="BI1442">
        <f>'19_Расчет_аналитики'!BH1441*'01_Вводные'!$B$14</f>
        <v/>
      </c>
      <c r="BJ1442">
        <f>'19_Расчет_аналитики'!BI1441*'01_Вводные'!$B$14</f>
        <v/>
      </c>
      <c r="BK1442">
        <f>'19_Расчет_аналитики'!BJ1441*'01_Вводные'!$B$14</f>
        <v/>
      </c>
      <c r="BL1442">
        <f>'19_Расчет_аналитики'!BK1441*'01_Вводные'!$B$14</f>
        <v/>
      </c>
      <c r="BM1442">
        <f>'19_Расчет_аналитики'!BL1441*'01_Вводные'!$B$14</f>
        <v/>
      </c>
      <c r="BN1442">
        <f>'19_Расчет_аналитики'!BM1441*'01_Вводные'!$B$14</f>
        <v/>
      </c>
      <c r="BO1442">
        <f>'19_Расчет_аналитики'!BN1441*'01_Вводные'!$B$14</f>
        <v/>
      </c>
    </row>
    <row r="1443">
      <c r="B1443">
        <f>'06_Сеть_и_дети'!B76</f>
        <v/>
      </c>
      <c r="C1443">
        <f>'06_Сеть_и_дети'!C76</f>
        <v/>
      </c>
      <c r="D1443">
        <f>'06_Сеть_и_дети'!D76</f>
        <v/>
      </c>
      <c r="E1443">
        <f>'06_Сеть_и_дети'!E76</f>
        <v/>
      </c>
      <c r="F1443">
        <f>'06_Сеть_и_дети'!F76</f>
        <v/>
      </c>
      <c r="G1443">
        <f>'06_Сеть_и_дети'!G76</f>
        <v/>
      </c>
      <c r="H1443">
        <f>'06_Сеть_и_дети'!H76</f>
        <v/>
      </c>
      <c r="I1443">
        <f>'06_Сеть_и_дети'!I76</f>
        <v/>
      </c>
      <c r="J1443">
        <f>'06_Сеть_и_дети'!J76</f>
        <v/>
      </c>
      <c r="K1443">
        <f>'06_Сеть_и_дети'!K76</f>
        <v/>
      </c>
      <c r="L1443">
        <f>'06_Сеть_и_дети'!L76</f>
        <v/>
      </c>
      <c r="M1443">
        <f>'06_Сеть_и_дети'!M76</f>
        <v/>
      </c>
      <c r="N1443">
        <f>'06_Сеть_и_дети'!N76</f>
        <v/>
      </c>
      <c r="O1443">
        <f>'06_Сеть_и_дети'!O76</f>
        <v/>
      </c>
      <c r="P1443">
        <f>'06_Сеть_и_дети'!P76</f>
        <v/>
      </c>
      <c r="Q1443">
        <f>'06_Сеть_и_дети'!Q76</f>
        <v/>
      </c>
      <c r="R1443">
        <f>'06_Сеть_и_дети'!R76</f>
        <v/>
      </c>
      <c r="S1443">
        <f>'06_Сеть_и_дети'!S76</f>
        <v/>
      </c>
      <c r="T1443">
        <f>'06_Сеть_и_дети'!T76</f>
        <v/>
      </c>
      <c r="U1443">
        <f>'06_Сеть_и_дети'!U76</f>
        <v/>
      </c>
      <c r="V1443">
        <f>'06_Сеть_и_дети'!V76</f>
        <v/>
      </c>
      <c r="W1443">
        <f>'06_Сеть_и_дети'!W76</f>
        <v/>
      </c>
      <c r="X1443">
        <f>'06_Сеть_и_дети'!X76</f>
        <v/>
      </c>
      <c r="Y1443">
        <f>'19_Расчет_аналитики'!X1442*'01_Вводные'!$B$14</f>
        <v/>
      </c>
      <c r="Z1443">
        <f>'19_Расчет_аналитики'!Y1442*'01_Вводные'!$B$14</f>
        <v/>
      </c>
      <c r="AA1443">
        <f>'19_Расчет_аналитики'!Z1442*'01_Вводные'!$B$14</f>
        <v/>
      </c>
      <c r="AB1443">
        <f>'19_Расчет_аналитики'!AA1442*'01_Вводные'!$B$14</f>
        <v/>
      </c>
      <c r="AC1443">
        <f>'19_Расчет_аналитики'!AB1442*'01_Вводные'!$B$14</f>
        <v/>
      </c>
      <c r="AD1443">
        <f>'19_Расчет_аналитики'!AC1442*'01_Вводные'!$B$14</f>
        <v/>
      </c>
      <c r="AE1443">
        <f>'19_Расчет_аналитики'!AD1442*'01_Вводные'!$B$14</f>
        <v/>
      </c>
      <c r="AF1443">
        <f>'19_Расчет_аналитики'!AE1442*'01_Вводные'!$B$14</f>
        <v/>
      </c>
      <c r="AG1443">
        <f>'19_Расчет_аналитики'!AF1442*'01_Вводные'!$B$14</f>
        <v/>
      </c>
      <c r="AH1443">
        <f>'19_Расчет_аналитики'!AG1442*'01_Вводные'!$B$14</f>
        <v/>
      </c>
      <c r="AI1443">
        <f>'19_Расчет_аналитики'!AH1442*'01_Вводные'!$B$14</f>
        <v/>
      </c>
      <c r="AJ1443">
        <f>'19_Расчет_аналитики'!AI1442*'01_Вводные'!$B$14</f>
        <v/>
      </c>
      <c r="AK1443">
        <f>'19_Расчет_аналитики'!AJ1442*'01_Вводные'!$B$14</f>
        <v/>
      </c>
      <c r="AL1443">
        <f>'19_Расчет_аналитики'!AK1442*'01_Вводные'!$B$14</f>
        <v/>
      </c>
      <c r="AM1443">
        <f>'19_Расчет_аналитики'!AL1442*'01_Вводные'!$B$14</f>
        <v/>
      </c>
      <c r="AN1443">
        <f>'19_Расчет_аналитики'!AM1442*'01_Вводные'!$B$14</f>
        <v/>
      </c>
      <c r="AO1443">
        <f>'19_Расчет_аналитики'!AN1442*'01_Вводные'!$B$14</f>
        <v/>
      </c>
      <c r="AP1443">
        <f>'19_Расчет_аналитики'!AO1442*'01_Вводные'!$B$14</f>
        <v/>
      </c>
      <c r="AQ1443">
        <f>'19_Расчет_аналитики'!AP1442*'01_Вводные'!$B$14</f>
        <v/>
      </c>
      <c r="AR1443">
        <f>'19_Расчет_аналитики'!AQ1442*'01_Вводные'!$B$14</f>
        <v/>
      </c>
      <c r="AS1443">
        <f>'19_Расчет_аналитики'!AR1442*'01_Вводные'!$B$14</f>
        <v/>
      </c>
      <c r="AT1443">
        <f>'19_Расчет_аналитики'!AS1442*'01_Вводные'!$B$14</f>
        <v/>
      </c>
      <c r="AU1443">
        <f>'19_Расчет_аналитики'!AT1442*'01_Вводные'!$B$14</f>
        <v/>
      </c>
      <c r="AV1443">
        <f>'19_Расчет_аналитики'!AU1442*'01_Вводные'!$B$14</f>
        <v/>
      </c>
      <c r="AW1443">
        <f>'19_Расчет_аналитики'!AV1442*'01_Вводные'!$B$14</f>
        <v/>
      </c>
      <c r="AX1443">
        <f>'19_Расчет_аналитики'!AW1442*'01_Вводные'!$B$14</f>
        <v/>
      </c>
      <c r="AY1443">
        <f>'19_Расчет_аналитики'!AX1442*'01_Вводные'!$B$14</f>
        <v/>
      </c>
      <c r="AZ1443">
        <f>'19_Расчет_аналитики'!AY1442*'01_Вводные'!$B$14</f>
        <v/>
      </c>
      <c r="BA1443">
        <f>'19_Расчет_аналитики'!AZ1442*'01_Вводные'!$B$14</f>
        <v/>
      </c>
      <c r="BB1443">
        <f>'19_Расчет_аналитики'!BA1442*'01_Вводные'!$B$14</f>
        <v/>
      </c>
      <c r="BC1443">
        <f>'19_Расчет_аналитики'!BB1442*'01_Вводные'!$B$14</f>
        <v/>
      </c>
      <c r="BD1443">
        <f>'19_Расчет_аналитики'!BC1442*'01_Вводные'!$B$14</f>
        <v/>
      </c>
      <c r="BE1443">
        <f>'19_Расчет_аналитики'!BD1442*'01_Вводные'!$B$14</f>
        <v/>
      </c>
      <c r="BF1443">
        <f>'19_Расчет_аналитики'!BE1442*'01_Вводные'!$B$14</f>
        <v/>
      </c>
      <c r="BG1443">
        <f>'19_Расчет_аналитики'!BF1442*'01_Вводные'!$B$14</f>
        <v/>
      </c>
      <c r="BH1443">
        <f>'19_Расчет_аналитики'!BG1442*'01_Вводные'!$B$14</f>
        <v/>
      </c>
      <c r="BI1443">
        <f>'19_Расчет_аналитики'!BH1442*'01_Вводные'!$B$14</f>
        <v/>
      </c>
      <c r="BJ1443">
        <f>'19_Расчет_аналитики'!BI1442*'01_Вводные'!$B$14</f>
        <v/>
      </c>
      <c r="BK1443">
        <f>'19_Расчет_аналитики'!BJ1442*'01_Вводные'!$B$14</f>
        <v/>
      </c>
      <c r="BL1443">
        <f>'19_Расчет_аналитики'!BK1442*'01_Вводные'!$B$14</f>
        <v/>
      </c>
      <c r="BM1443">
        <f>'19_Расчет_аналитики'!BL1442*'01_Вводные'!$B$14</f>
        <v/>
      </c>
      <c r="BN1443">
        <f>'19_Расчет_аналитики'!BM1442*'01_Вводные'!$B$14</f>
        <v/>
      </c>
      <c r="BO1443">
        <f>'19_Расчет_аналитики'!BN1442*'01_Вводные'!$B$14</f>
        <v/>
      </c>
    </row>
    <row r="1444">
      <c r="B1444">
        <f>'06_Сеть_и_дети'!B77</f>
        <v/>
      </c>
      <c r="C1444">
        <f>'06_Сеть_и_дети'!C77</f>
        <v/>
      </c>
      <c r="D1444">
        <f>'06_Сеть_и_дети'!D77</f>
        <v/>
      </c>
      <c r="E1444">
        <f>'06_Сеть_и_дети'!E77</f>
        <v/>
      </c>
      <c r="F1444">
        <f>'06_Сеть_и_дети'!F77</f>
        <v/>
      </c>
      <c r="G1444">
        <f>'06_Сеть_и_дети'!G77</f>
        <v/>
      </c>
      <c r="H1444">
        <f>'06_Сеть_и_дети'!H77</f>
        <v/>
      </c>
      <c r="I1444">
        <f>'06_Сеть_и_дети'!I77</f>
        <v/>
      </c>
      <c r="J1444">
        <f>'06_Сеть_и_дети'!J77</f>
        <v/>
      </c>
      <c r="K1444">
        <f>'06_Сеть_и_дети'!K77</f>
        <v/>
      </c>
      <c r="L1444">
        <f>'06_Сеть_и_дети'!L77</f>
        <v/>
      </c>
      <c r="M1444">
        <f>'06_Сеть_и_дети'!M77</f>
        <v/>
      </c>
      <c r="N1444">
        <f>'06_Сеть_и_дети'!N77</f>
        <v/>
      </c>
      <c r="O1444">
        <f>'06_Сеть_и_дети'!O77</f>
        <v/>
      </c>
      <c r="P1444">
        <f>'06_Сеть_и_дети'!P77</f>
        <v/>
      </c>
      <c r="Q1444">
        <f>'06_Сеть_и_дети'!Q77</f>
        <v/>
      </c>
      <c r="R1444">
        <f>'06_Сеть_и_дети'!R77</f>
        <v/>
      </c>
      <c r="S1444">
        <f>'06_Сеть_и_дети'!S77</f>
        <v/>
      </c>
      <c r="T1444">
        <f>'06_Сеть_и_дети'!T77</f>
        <v/>
      </c>
      <c r="U1444">
        <f>'06_Сеть_и_дети'!U77</f>
        <v/>
      </c>
      <c r="V1444">
        <f>'06_Сеть_и_дети'!V77</f>
        <v/>
      </c>
      <c r="W1444">
        <f>'06_Сеть_и_дети'!W77</f>
        <v/>
      </c>
      <c r="X1444">
        <f>'06_Сеть_и_дети'!X77</f>
        <v/>
      </c>
      <c r="Y1444">
        <f>'06_Сеть_и_дети'!Y77</f>
        <v/>
      </c>
      <c r="Z1444">
        <f>SUM('19_Расчет_аналитики'!Y1443:Y1444)*'01_Вводные'!$B$14</f>
        <v/>
      </c>
      <c r="AA1444">
        <f>SUM('19_Расчет_аналитики'!Z1443:Z1444)*'01_Вводные'!$B$14</f>
        <v/>
      </c>
      <c r="AB1444">
        <f>SUM('19_Расчет_аналитики'!AA1443:AA1444)*'01_Вводные'!$B$14</f>
        <v/>
      </c>
      <c r="AC1444">
        <f>SUM('19_Расчет_аналитики'!AB1443:AB1444)*'01_Вводные'!$B$14</f>
        <v/>
      </c>
      <c r="AD1444">
        <f>SUM('19_Расчет_аналитики'!AC1443:AC1444)*'01_Вводные'!$B$14</f>
        <v/>
      </c>
      <c r="AE1444">
        <f>SUM('19_Расчет_аналитики'!AD1443:AD1444)*'01_Вводные'!$B$14</f>
        <v/>
      </c>
      <c r="AF1444">
        <f>SUM('19_Расчет_аналитики'!AE1443:AE1444)*'01_Вводные'!$B$14</f>
        <v/>
      </c>
      <c r="AG1444">
        <f>SUM('19_Расчет_аналитики'!AF1443:AF1444)*'01_Вводные'!$B$14</f>
        <v/>
      </c>
      <c r="AH1444">
        <f>SUM('19_Расчет_аналитики'!AG1443:AG1444)*'01_Вводные'!$B$14</f>
        <v/>
      </c>
      <c r="AI1444">
        <f>SUM('19_Расчет_аналитики'!AH1443:AH1444)*'01_Вводные'!$B$14</f>
        <v/>
      </c>
      <c r="AJ1444">
        <f>SUM('19_Расчет_аналитики'!AI1443:AI1444)*'01_Вводные'!$B$14</f>
        <v/>
      </c>
      <c r="AK1444">
        <f>SUM('19_Расчет_аналитики'!AJ1443:AJ1444)*'01_Вводные'!$B$14</f>
        <v/>
      </c>
      <c r="AL1444">
        <f>SUM('19_Расчет_аналитики'!AK1443:AK1444)*'01_Вводные'!$B$14</f>
        <v/>
      </c>
      <c r="AM1444">
        <f>SUM('19_Расчет_аналитики'!AL1443:AL1444)*'01_Вводные'!$B$14</f>
        <v/>
      </c>
      <c r="AN1444">
        <f>SUM('19_Расчет_аналитики'!AM1443:AM1444)*'01_Вводные'!$B$14</f>
        <v/>
      </c>
      <c r="AO1444">
        <f>SUM('19_Расчет_аналитики'!AN1443:AN1444)*'01_Вводные'!$B$14</f>
        <v/>
      </c>
      <c r="AP1444">
        <f>SUM('19_Расчет_аналитики'!AO1443:AO1444)*'01_Вводные'!$B$14</f>
        <v/>
      </c>
      <c r="AQ1444">
        <f>SUM('19_Расчет_аналитики'!AP1443:AP1444)*'01_Вводные'!$B$14</f>
        <v/>
      </c>
      <c r="AR1444">
        <f>SUM('19_Расчет_аналитики'!AQ1443:AQ1444)*'01_Вводные'!$B$14</f>
        <v/>
      </c>
      <c r="AS1444">
        <f>SUM('19_Расчет_аналитики'!AR1443:AR1444)*'01_Вводные'!$B$14</f>
        <v/>
      </c>
      <c r="AT1444">
        <f>SUM('19_Расчет_аналитики'!AS1443:AS1444)*'01_Вводные'!$B$14</f>
        <v/>
      </c>
      <c r="AU1444">
        <f>SUM('19_Расчет_аналитики'!AT1443:AT1444)*'01_Вводные'!$B$14</f>
        <v/>
      </c>
      <c r="AV1444">
        <f>SUM('19_Расчет_аналитики'!AU1443:AU1444)*'01_Вводные'!$B$14</f>
        <v/>
      </c>
      <c r="AW1444">
        <f>SUM('19_Расчет_аналитики'!AV1443:AV1444)*'01_Вводные'!$B$14</f>
        <v/>
      </c>
      <c r="AX1444">
        <f>SUM('19_Расчет_аналитики'!AW1443:AW1444)*'01_Вводные'!$B$14</f>
        <v/>
      </c>
      <c r="AY1444">
        <f>SUM('19_Расчет_аналитики'!AX1443:AX1444)*'01_Вводные'!$B$14</f>
        <v/>
      </c>
      <c r="AZ1444">
        <f>SUM('19_Расчет_аналитики'!AY1443:AY1444)*'01_Вводные'!$B$14</f>
        <v/>
      </c>
      <c r="BA1444">
        <f>SUM('19_Расчет_аналитики'!AZ1443:AZ1444)*'01_Вводные'!$B$14</f>
        <v/>
      </c>
      <c r="BB1444">
        <f>SUM('19_Расчет_аналитики'!BA1443:BA1444)*'01_Вводные'!$B$14</f>
        <v/>
      </c>
      <c r="BC1444">
        <f>SUM('19_Расчет_аналитики'!BB1443:BB1444)*'01_Вводные'!$B$14</f>
        <v/>
      </c>
      <c r="BD1444">
        <f>SUM('19_Расчет_аналитики'!BC1443:BC1444)*'01_Вводные'!$B$14</f>
        <v/>
      </c>
      <c r="BE1444">
        <f>SUM('19_Расчет_аналитики'!BD1443:BD1444)*'01_Вводные'!$B$14</f>
        <v/>
      </c>
      <c r="BF1444">
        <f>SUM('19_Расчет_аналитики'!BE1443:BE1444)*'01_Вводные'!$B$14</f>
        <v/>
      </c>
      <c r="BG1444">
        <f>SUM('19_Расчет_аналитики'!BF1443:BF1444)*'01_Вводные'!$B$14</f>
        <v/>
      </c>
      <c r="BH1444">
        <f>SUM('19_Расчет_аналитики'!BG1443:BG1444)*'01_Вводные'!$B$14</f>
        <v/>
      </c>
      <c r="BI1444">
        <f>SUM('19_Расчет_аналитики'!BH1443:BH1444)*'01_Вводные'!$B$14</f>
        <v/>
      </c>
      <c r="BJ1444">
        <f>SUM('19_Расчет_аналитики'!BI1443:BI1444)*'01_Вводные'!$B$14</f>
        <v/>
      </c>
      <c r="BK1444">
        <f>SUM('19_Расчет_аналитики'!BJ1443:BJ1444)*'01_Вводные'!$B$14</f>
        <v/>
      </c>
      <c r="BL1444">
        <f>SUM('19_Расчет_аналитики'!BK1443:BK1444)*'01_Вводные'!$B$14</f>
        <v/>
      </c>
      <c r="BM1444">
        <f>SUM('19_Расчет_аналитики'!BL1443:BL1444)*'01_Вводные'!$B$14</f>
        <v/>
      </c>
      <c r="BN1444">
        <f>SUM('19_Расчет_аналитики'!BM1443:BM1444)*'01_Вводные'!$B$14</f>
        <v/>
      </c>
      <c r="BO1444">
        <f>SUM('19_Расчет_аналитики'!BN1443:BN1444)*'01_Вводные'!$B$14</f>
        <v/>
      </c>
    </row>
    <row r="1445"/>
    <row r="1446"/>
    <row r="1447"/>
    <row r="1448">
      <c r="B1448">
        <f>'19_Расчет_аналитики'!B1400</f>
        <v/>
      </c>
      <c r="C1448">
        <f>'19_Расчет_аналитики'!C1400</f>
        <v/>
      </c>
      <c r="D1448">
        <f>'19_Расчет_аналитики'!D1400</f>
        <v/>
      </c>
      <c r="E1448">
        <f>'19_Расчет_аналитики'!E1400</f>
        <v/>
      </c>
      <c r="F1448">
        <f>'19_Расчет_аналитики'!F1400</f>
        <v/>
      </c>
      <c r="G1448">
        <f>'19_Расчет_аналитики'!G1400</f>
        <v/>
      </c>
      <c r="H1448">
        <f>'19_Расчет_аналитики'!H1400</f>
        <v/>
      </c>
      <c r="I1448">
        <f>'19_Расчет_аналитики'!I1400</f>
        <v/>
      </c>
      <c r="J1448">
        <f>'19_Расчет_аналитики'!J1400</f>
        <v/>
      </c>
      <c r="K1448">
        <f>'19_Расчет_аналитики'!K1400</f>
        <v/>
      </c>
      <c r="L1448">
        <f>'19_Расчет_аналитики'!L1400</f>
        <v/>
      </c>
      <c r="M1448">
        <f>'19_Расчет_аналитики'!M1400</f>
        <v/>
      </c>
      <c r="N1448">
        <f>'19_Расчет_аналитики'!N1400</f>
        <v/>
      </c>
      <c r="O1448">
        <f>'19_Расчет_аналитики'!O1400</f>
        <v/>
      </c>
      <c r="P1448">
        <f>'19_Расчет_аналитики'!P1400</f>
        <v/>
      </c>
      <c r="Q1448">
        <f>'19_Расчет_аналитики'!Q1400</f>
        <v/>
      </c>
      <c r="R1448">
        <f>'19_Расчет_аналитики'!R1400</f>
        <v/>
      </c>
      <c r="S1448">
        <f>'19_Расчет_аналитики'!S1400</f>
        <v/>
      </c>
      <c r="T1448">
        <f>'19_Расчет_аналитики'!T1400</f>
        <v/>
      </c>
      <c r="U1448">
        <f>'19_Расчет_аналитики'!U1400</f>
        <v/>
      </c>
      <c r="V1448">
        <f>'19_Расчет_аналитики'!V1400</f>
        <v/>
      </c>
      <c r="W1448">
        <f>'19_Расчет_аналитики'!W1400</f>
        <v/>
      </c>
      <c r="X1448">
        <f>'19_Расчет_аналитики'!X1400</f>
        <v/>
      </c>
      <c r="Y1448">
        <f>'19_Расчет_аналитики'!Y1400</f>
        <v/>
      </c>
      <c r="Z1448">
        <f>'19_Расчет_аналитики'!Z1400</f>
        <v/>
      </c>
      <c r="AA1448">
        <f>'19_Расчет_аналитики'!AA1400</f>
        <v/>
      </c>
      <c r="AB1448">
        <f>'19_Расчет_аналитики'!AB1400</f>
        <v/>
      </c>
      <c r="AC1448">
        <f>'19_Расчет_аналитики'!AC1400</f>
        <v/>
      </c>
      <c r="AD1448">
        <f>'19_Расчет_аналитики'!AD1400</f>
        <v/>
      </c>
      <c r="AE1448">
        <f>'19_Расчет_аналитики'!AE1400</f>
        <v/>
      </c>
      <c r="AF1448">
        <f>'19_Расчет_аналитики'!AF1400</f>
        <v/>
      </c>
      <c r="AG1448">
        <f>'19_Расчет_аналитики'!AG1400</f>
        <v/>
      </c>
      <c r="AH1448">
        <f>'19_Расчет_аналитики'!AH1400</f>
        <v/>
      </c>
      <c r="AI1448">
        <f>'19_Расчет_аналитики'!AI1400</f>
        <v/>
      </c>
      <c r="AJ1448">
        <f>'19_Расчет_аналитики'!AJ1400</f>
        <v/>
      </c>
      <c r="AK1448">
        <f>'19_Расчет_аналитики'!AK1400</f>
        <v/>
      </c>
      <c r="AL1448">
        <f>'19_Расчет_аналитики'!AL1400</f>
        <v/>
      </c>
      <c r="AM1448">
        <f>'19_Расчет_аналитики'!AM1400</f>
        <v/>
      </c>
      <c r="AN1448">
        <f>'19_Расчет_аналитики'!AN1400</f>
        <v/>
      </c>
      <c r="AO1448">
        <f>'19_Расчет_аналитики'!AO1400</f>
        <v/>
      </c>
      <c r="AP1448">
        <f>'19_Расчет_аналитики'!AP1400</f>
        <v/>
      </c>
      <c r="AQ1448">
        <f>'19_Расчет_аналитики'!AQ1400</f>
        <v/>
      </c>
      <c r="AR1448">
        <f>'19_Расчет_аналитики'!AR1400</f>
        <v/>
      </c>
      <c r="AS1448">
        <f>'19_Расчет_аналитики'!AS1400</f>
        <v/>
      </c>
      <c r="AT1448">
        <f>'19_Расчет_аналитики'!AT1400</f>
        <v/>
      </c>
      <c r="AU1448">
        <f>'19_Расчет_аналитики'!AU1400</f>
        <v/>
      </c>
      <c r="AV1448">
        <f>'19_Расчет_аналитики'!AV1400</f>
        <v/>
      </c>
      <c r="AW1448">
        <f>'19_Расчет_аналитики'!AW1400</f>
        <v/>
      </c>
      <c r="AX1448">
        <f>'19_Расчет_аналитики'!AX1400</f>
        <v/>
      </c>
      <c r="AY1448">
        <f>'19_Расчет_аналитики'!AY1400</f>
        <v/>
      </c>
      <c r="AZ1448">
        <f>'19_Расчет_аналитики'!AZ1400</f>
        <v/>
      </c>
      <c r="BA1448">
        <f>'19_Расчет_аналитики'!BA1400</f>
        <v/>
      </c>
      <c r="BB1448">
        <f>'19_Расчет_аналитики'!BB1400</f>
        <v/>
      </c>
      <c r="BC1448">
        <f>'19_Расчет_аналитики'!BC1400</f>
        <v/>
      </c>
      <c r="BD1448">
        <f>'19_Расчет_аналитики'!BD1400</f>
        <v/>
      </c>
      <c r="BE1448">
        <f>'19_Расчет_аналитики'!BE1400</f>
        <v/>
      </c>
      <c r="BF1448">
        <f>'19_Расчет_аналитики'!BF1400</f>
        <v/>
      </c>
      <c r="BG1448">
        <f>'19_Расчет_аналитики'!BG1400</f>
        <v/>
      </c>
      <c r="BH1448">
        <f>'19_Расчет_аналитики'!BH1400</f>
        <v/>
      </c>
      <c r="BI1448">
        <f>'19_Расчет_аналитики'!BI1400</f>
        <v/>
      </c>
      <c r="BJ1448">
        <f>'19_Расчет_аналитики'!BJ1400</f>
        <v/>
      </c>
      <c r="BK1448">
        <f>'19_Расчет_аналитики'!BK1400</f>
        <v/>
      </c>
      <c r="BL1448">
        <f>'19_Расчет_аналитики'!BL1400</f>
        <v/>
      </c>
      <c r="BM1448">
        <f>'19_Расчет_аналитики'!BM1400</f>
        <v/>
      </c>
      <c r="BN1448">
        <f>'19_Расчет_аналитики'!BN1400</f>
        <v/>
      </c>
      <c r="BO1448">
        <f>'19_Расчет_аналитики'!BO1400</f>
        <v/>
      </c>
    </row>
    <row r="1449">
      <c r="B1449">
        <f>'06_Сеть_и_дети'!B82</f>
        <v/>
      </c>
      <c r="C1449">
        <f>'19_Расчет_аналитики'!B1448*'01_Вводные'!$B$14</f>
        <v/>
      </c>
      <c r="D1449">
        <f>'19_Расчет_аналитики'!C1448*'01_Вводные'!$B$14</f>
        <v/>
      </c>
      <c r="E1449">
        <f>'19_Расчет_аналитики'!D1448*'01_Вводные'!$B$14</f>
        <v/>
      </c>
      <c r="F1449">
        <f>'19_Расчет_аналитики'!E1448*'01_Вводные'!$B$14</f>
        <v/>
      </c>
      <c r="G1449">
        <f>'19_Расчет_аналитики'!F1448*'01_Вводные'!$B$14</f>
        <v/>
      </c>
      <c r="H1449">
        <f>'19_Расчет_аналитики'!G1448*'01_Вводные'!$B$14</f>
        <v/>
      </c>
      <c r="I1449">
        <f>'19_Расчет_аналитики'!H1448*'01_Вводные'!$B$14</f>
        <v/>
      </c>
      <c r="J1449">
        <f>'19_Расчет_аналитики'!I1448*'01_Вводные'!$B$14</f>
        <v/>
      </c>
      <c r="K1449">
        <f>'19_Расчет_аналитики'!J1448*'01_Вводные'!$B$14</f>
        <v/>
      </c>
      <c r="L1449">
        <f>'19_Расчет_аналитики'!K1448*'01_Вводные'!$B$14</f>
        <v/>
      </c>
      <c r="M1449">
        <f>'19_Расчет_аналитики'!L1448*'01_Вводные'!$B$14</f>
        <v/>
      </c>
      <c r="N1449">
        <f>'19_Расчет_аналитики'!M1448*'01_Вводные'!$B$14</f>
        <v/>
      </c>
      <c r="O1449">
        <f>'19_Расчет_аналитики'!N1448*'01_Вводные'!$B$14</f>
        <v/>
      </c>
      <c r="P1449">
        <f>'19_Расчет_аналитики'!O1448*'01_Вводные'!$B$14</f>
        <v/>
      </c>
      <c r="Q1449">
        <f>'19_Расчет_аналитики'!P1448*'01_Вводные'!$B$14</f>
        <v/>
      </c>
      <c r="R1449">
        <f>'19_Расчет_аналитики'!Q1448*'01_Вводные'!$B$14</f>
        <v/>
      </c>
      <c r="S1449">
        <f>'19_Расчет_аналитики'!R1448*'01_Вводные'!$B$14</f>
        <v/>
      </c>
      <c r="T1449">
        <f>'19_Расчет_аналитики'!S1448*'01_Вводные'!$B$14</f>
        <v/>
      </c>
      <c r="U1449">
        <f>'19_Расчет_аналитики'!T1448*'01_Вводные'!$B$14</f>
        <v/>
      </c>
      <c r="V1449">
        <f>'19_Расчет_аналитики'!U1448*'01_Вводные'!$B$14</f>
        <v/>
      </c>
      <c r="W1449">
        <f>'19_Расчет_аналитики'!V1448*'01_Вводные'!$B$14</f>
        <v/>
      </c>
      <c r="X1449">
        <f>'19_Расчет_аналитики'!W1448*'01_Вводные'!$B$14</f>
        <v/>
      </c>
      <c r="Y1449">
        <f>'19_Расчет_аналитики'!X1448*'01_Вводные'!$B$14</f>
        <v/>
      </c>
      <c r="Z1449">
        <f>'19_Расчет_аналитики'!Y1448*'01_Вводные'!$B$14</f>
        <v/>
      </c>
      <c r="AA1449">
        <f>'19_Расчет_аналитики'!Z1448*'01_Вводные'!$B$14</f>
        <v/>
      </c>
      <c r="AB1449">
        <f>'19_Расчет_аналитики'!AA1448*'01_Вводные'!$B$14</f>
        <v/>
      </c>
      <c r="AC1449">
        <f>'19_Расчет_аналитики'!AB1448*'01_Вводные'!$B$14</f>
        <v/>
      </c>
      <c r="AD1449">
        <f>'19_Расчет_аналитики'!AC1448*'01_Вводные'!$B$14</f>
        <v/>
      </c>
      <c r="AE1449">
        <f>'19_Расчет_аналитики'!AD1448*'01_Вводные'!$B$14</f>
        <v/>
      </c>
      <c r="AF1449">
        <f>'19_Расчет_аналитики'!AE1448*'01_Вводные'!$B$14</f>
        <v/>
      </c>
      <c r="AG1449">
        <f>'19_Расчет_аналитики'!AF1448*'01_Вводные'!$B$14</f>
        <v/>
      </c>
      <c r="AH1449">
        <f>'19_Расчет_аналитики'!AG1448*'01_Вводные'!$B$14</f>
        <v/>
      </c>
      <c r="AI1449">
        <f>'19_Расчет_аналитики'!AH1448*'01_Вводные'!$B$14</f>
        <v/>
      </c>
      <c r="AJ1449">
        <f>'19_Расчет_аналитики'!AI1448*'01_Вводные'!$B$14</f>
        <v/>
      </c>
      <c r="AK1449">
        <f>'19_Расчет_аналитики'!AJ1448*'01_Вводные'!$B$14</f>
        <v/>
      </c>
      <c r="AL1449">
        <f>'19_Расчет_аналитики'!AK1448*'01_Вводные'!$B$14</f>
        <v/>
      </c>
      <c r="AM1449">
        <f>'19_Расчет_аналитики'!AL1448*'01_Вводные'!$B$14</f>
        <v/>
      </c>
      <c r="AN1449">
        <f>'19_Расчет_аналитики'!AM1448*'01_Вводные'!$B$14</f>
        <v/>
      </c>
      <c r="AO1449">
        <f>'19_Расчет_аналитики'!AN1448*'01_Вводные'!$B$14</f>
        <v/>
      </c>
      <c r="AP1449">
        <f>'19_Расчет_аналитики'!AO1448*'01_Вводные'!$B$14</f>
        <v/>
      </c>
      <c r="AQ1449">
        <f>'19_Расчет_аналитики'!AP1448*'01_Вводные'!$B$14</f>
        <v/>
      </c>
      <c r="AR1449">
        <f>'19_Расчет_аналитики'!AQ1448*'01_Вводные'!$B$14</f>
        <v/>
      </c>
      <c r="AS1449">
        <f>'19_Расчет_аналитики'!AR1448*'01_Вводные'!$B$14</f>
        <v/>
      </c>
      <c r="AT1449">
        <f>'19_Расчет_аналитики'!AS1448*'01_Вводные'!$B$14</f>
        <v/>
      </c>
      <c r="AU1449">
        <f>'19_Расчет_аналитики'!AT1448*'01_Вводные'!$B$14</f>
        <v/>
      </c>
      <c r="AV1449">
        <f>'19_Расчет_аналитики'!AU1448*'01_Вводные'!$B$14</f>
        <v/>
      </c>
      <c r="AW1449">
        <f>'19_Расчет_аналитики'!AV1448*'01_Вводные'!$B$14</f>
        <v/>
      </c>
      <c r="AX1449">
        <f>'19_Расчет_аналитики'!AW1448*'01_Вводные'!$B$14</f>
        <v/>
      </c>
      <c r="AY1449">
        <f>'19_Расчет_аналитики'!AX1448*'01_Вводные'!$B$14</f>
        <v/>
      </c>
      <c r="AZ1449">
        <f>'19_Расчет_аналитики'!AY1448*'01_Вводные'!$B$14</f>
        <v/>
      </c>
      <c r="BA1449">
        <f>'19_Расчет_аналитики'!AZ1448*'01_Вводные'!$B$14</f>
        <v/>
      </c>
      <c r="BB1449">
        <f>'19_Расчет_аналитики'!BA1448*'01_Вводные'!$B$14</f>
        <v/>
      </c>
      <c r="BC1449">
        <f>'19_Расчет_аналитики'!BB1448*'01_Вводные'!$B$14</f>
        <v/>
      </c>
      <c r="BD1449">
        <f>'19_Расчет_аналитики'!BC1448*'01_Вводные'!$B$14</f>
        <v/>
      </c>
      <c r="BE1449">
        <f>'19_Расчет_аналитики'!BD1448*'01_Вводные'!$B$14</f>
        <v/>
      </c>
      <c r="BF1449">
        <f>'19_Расчет_аналитики'!BE1448*'01_Вводные'!$B$14</f>
        <v/>
      </c>
      <c r="BG1449">
        <f>'19_Расчет_аналитики'!BF1448*'01_Вводные'!$B$14</f>
        <v/>
      </c>
      <c r="BH1449">
        <f>'19_Расчет_аналитики'!BG1448*'01_Вводные'!$B$14</f>
        <v/>
      </c>
      <c r="BI1449">
        <f>'19_Расчет_аналитики'!BH1448*'01_Вводные'!$B$14</f>
        <v/>
      </c>
      <c r="BJ1449">
        <f>'19_Расчет_аналитики'!BI1448*'01_Вводные'!$B$14</f>
        <v/>
      </c>
      <c r="BK1449">
        <f>'19_Расчет_аналитики'!BJ1448*'01_Вводные'!$B$14</f>
        <v/>
      </c>
      <c r="BL1449">
        <f>'19_Расчет_аналитики'!BK1448*'01_Вводные'!$B$14</f>
        <v/>
      </c>
      <c r="BM1449">
        <f>'19_Расчет_аналитики'!BL1448*'01_Вводные'!$B$14</f>
        <v/>
      </c>
      <c r="BN1449">
        <f>'19_Расчет_аналитики'!BM1448*'01_Вводные'!$B$14</f>
        <v/>
      </c>
      <c r="BO1449">
        <f>'19_Расчет_аналитики'!BN1448*'01_Вводные'!$B$14</f>
        <v/>
      </c>
    </row>
    <row r="1450">
      <c r="B1450">
        <f>'06_Сеть_и_дети'!B83</f>
        <v/>
      </c>
      <c r="C1450">
        <f>'06_Сеть_и_дети'!C83</f>
        <v/>
      </c>
      <c r="D1450">
        <f>'19_Расчет_аналитики'!C1449*'01_Вводные'!$B$14</f>
        <v/>
      </c>
      <c r="E1450">
        <f>'19_Расчет_аналитики'!D1449*'01_Вводные'!$B$14</f>
        <v/>
      </c>
      <c r="F1450">
        <f>'19_Расчет_аналитики'!E1449*'01_Вводные'!$B$14</f>
        <v/>
      </c>
      <c r="G1450">
        <f>'19_Расчет_аналитики'!F1449*'01_Вводные'!$B$14</f>
        <v/>
      </c>
      <c r="H1450">
        <f>'19_Расчет_аналитики'!G1449*'01_Вводные'!$B$14</f>
        <v/>
      </c>
      <c r="I1450">
        <f>'19_Расчет_аналитики'!H1449*'01_Вводные'!$B$14</f>
        <v/>
      </c>
      <c r="J1450">
        <f>'19_Расчет_аналитики'!I1449*'01_Вводные'!$B$14</f>
        <v/>
      </c>
      <c r="K1450">
        <f>'19_Расчет_аналитики'!J1449*'01_Вводные'!$B$14</f>
        <v/>
      </c>
      <c r="L1450">
        <f>'19_Расчет_аналитики'!K1449*'01_Вводные'!$B$14</f>
        <v/>
      </c>
      <c r="M1450">
        <f>'19_Расчет_аналитики'!L1449*'01_Вводные'!$B$14</f>
        <v/>
      </c>
      <c r="N1450">
        <f>'19_Расчет_аналитики'!M1449*'01_Вводные'!$B$14</f>
        <v/>
      </c>
      <c r="O1450">
        <f>'19_Расчет_аналитики'!N1449*'01_Вводные'!$B$14</f>
        <v/>
      </c>
      <c r="P1450">
        <f>'19_Расчет_аналитики'!O1449*'01_Вводные'!$B$14</f>
        <v/>
      </c>
      <c r="Q1450">
        <f>'19_Расчет_аналитики'!P1449*'01_Вводные'!$B$14</f>
        <v/>
      </c>
      <c r="R1450">
        <f>'19_Расчет_аналитики'!Q1449*'01_Вводные'!$B$14</f>
        <v/>
      </c>
      <c r="S1450">
        <f>'19_Расчет_аналитики'!R1449*'01_Вводные'!$B$14</f>
        <v/>
      </c>
      <c r="T1450">
        <f>'19_Расчет_аналитики'!S1449*'01_Вводные'!$B$14</f>
        <v/>
      </c>
      <c r="U1450">
        <f>'19_Расчет_аналитики'!T1449*'01_Вводные'!$B$14</f>
        <v/>
      </c>
      <c r="V1450">
        <f>'19_Расчет_аналитики'!U1449*'01_Вводные'!$B$14</f>
        <v/>
      </c>
      <c r="W1450">
        <f>'19_Расчет_аналитики'!V1449*'01_Вводные'!$B$14</f>
        <v/>
      </c>
      <c r="X1450">
        <f>'19_Расчет_аналитики'!W1449*'01_Вводные'!$B$14</f>
        <v/>
      </c>
      <c r="Y1450">
        <f>'19_Расчет_аналитики'!X1449*'01_Вводные'!$B$14</f>
        <v/>
      </c>
      <c r="Z1450">
        <f>'19_Расчет_аналитики'!Y1449*'01_Вводные'!$B$14</f>
        <v/>
      </c>
      <c r="AA1450">
        <f>'19_Расчет_аналитики'!Z1449*'01_Вводные'!$B$14</f>
        <v/>
      </c>
      <c r="AB1450">
        <f>'19_Расчет_аналитики'!AA1449*'01_Вводные'!$B$14</f>
        <v/>
      </c>
      <c r="AC1450">
        <f>'19_Расчет_аналитики'!AB1449*'01_Вводные'!$B$14</f>
        <v/>
      </c>
      <c r="AD1450">
        <f>'19_Расчет_аналитики'!AC1449*'01_Вводные'!$B$14</f>
        <v/>
      </c>
      <c r="AE1450">
        <f>'19_Расчет_аналитики'!AD1449*'01_Вводные'!$B$14</f>
        <v/>
      </c>
      <c r="AF1450">
        <f>'19_Расчет_аналитики'!AE1449*'01_Вводные'!$B$14</f>
        <v/>
      </c>
      <c r="AG1450">
        <f>'19_Расчет_аналитики'!AF1449*'01_Вводные'!$B$14</f>
        <v/>
      </c>
      <c r="AH1450">
        <f>'19_Расчет_аналитики'!AG1449*'01_Вводные'!$B$14</f>
        <v/>
      </c>
      <c r="AI1450">
        <f>'19_Расчет_аналитики'!AH1449*'01_Вводные'!$B$14</f>
        <v/>
      </c>
      <c r="AJ1450">
        <f>'19_Расчет_аналитики'!AI1449*'01_Вводные'!$B$14</f>
        <v/>
      </c>
      <c r="AK1450">
        <f>'19_Расчет_аналитики'!AJ1449*'01_Вводные'!$B$14</f>
        <v/>
      </c>
      <c r="AL1450">
        <f>'19_Расчет_аналитики'!AK1449*'01_Вводные'!$B$14</f>
        <v/>
      </c>
      <c r="AM1450">
        <f>'19_Расчет_аналитики'!AL1449*'01_Вводные'!$B$14</f>
        <v/>
      </c>
      <c r="AN1450">
        <f>'19_Расчет_аналитики'!AM1449*'01_Вводные'!$B$14</f>
        <v/>
      </c>
      <c r="AO1450">
        <f>'19_Расчет_аналитики'!AN1449*'01_Вводные'!$B$14</f>
        <v/>
      </c>
      <c r="AP1450">
        <f>'19_Расчет_аналитики'!AO1449*'01_Вводные'!$B$14</f>
        <v/>
      </c>
      <c r="AQ1450">
        <f>'19_Расчет_аналитики'!AP1449*'01_Вводные'!$B$14</f>
        <v/>
      </c>
      <c r="AR1450">
        <f>'19_Расчет_аналитики'!AQ1449*'01_Вводные'!$B$14</f>
        <v/>
      </c>
      <c r="AS1450">
        <f>'19_Расчет_аналитики'!AR1449*'01_Вводные'!$B$14</f>
        <v/>
      </c>
      <c r="AT1450">
        <f>'19_Расчет_аналитики'!AS1449*'01_Вводные'!$B$14</f>
        <v/>
      </c>
      <c r="AU1450">
        <f>'19_Расчет_аналитики'!AT1449*'01_Вводные'!$B$14</f>
        <v/>
      </c>
      <c r="AV1450">
        <f>'19_Расчет_аналитики'!AU1449*'01_Вводные'!$B$14</f>
        <v/>
      </c>
      <c r="AW1450">
        <f>'19_Расчет_аналитики'!AV1449*'01_Вводные'!$B$14</f>
        <v/>
      </c>
      <c r="AX1450">
        <f>'19_Расчет_аналитики'!AW1449*'01_Вводные'!$B$14</f>
        <v/>
      </c>
      <c r="AY1450">
        <f>'19_Расчет_аналитики'!AX1449*'01_Вводные'!$B$14</f>
        <v/>
      </c>
      <c r="AZ1450">
        <f>'19_Расчет_аналитики'!AY1449*'01_Вводные'!$B$14</f>
        <v/>
      </c>
      <c r="BA1450">
        <f>'19_Расчет_аналитики'!AZ1449*'01_Вводные'!$B$14</f>
        <v/>
      </c>
      <c r="BB1450">
        <f>'19_Расчет_аналитики'!BA1449*'01_Вводные'!$B$14</f>
        <v/>
      </c>
      <c r="BC1450">
        <f>'19_Расчет_аналитики'!BB1449*'01_Вводные'!$B$14</f>
        <v/>
      </c>
      <c r="BD1450">
        <f>'19_Расчет_аналитики'!BC1449*'01_Вводные'!$B$14</f>
        <v/>
      </c>
      <c r="BE1450">
        <f>'19_Расчет_аналитики'!BD1449*'01_Вводные'!$B$14</f>
        <v/>
      </c>
      <c r="BF1450">
        <f>'19_Расчет_аналитики'!BE1449*'01_Вводные'!$B$14</f>
        <v/>
      </c>
      <c r="BG1450">
        <f>'19_Расчет_аналитики'!BF1449*'01_Вводные'!$B$14</f>
        <v/>
      </c>
      <c r="BH1450">
        <f>'19_Расчет_аналитики'!BG1449*'01_Вводные'!$B$14</f>
        <v/>
      </c>
      <c r="BI1450">
        <f>'19_Расчет_аналитики'!BH1449*'01_Вводные'!$B$14</f>
        <v/>
      </c>
      <c r="BJ1450">
        <f>'19_Расчет_аналитики'!BI1449*'01_Вводные'!$B$14</f>
        <v/>
      </c>
      <c r="BK1450">
        <f>'19_Расчет_аналитики'!BJ1449*'01_Вводные'!$B$14</f>
        <v/>
      </c>
      <c r="BL1450">
        <f>'19_Расчет_аналитики'!BK1449*'01_Вводные'!$B$14</f>
        <v/>
      </c>
      <c r="BM1450">
        <f>'19_Расчет_аналитики'!BL1449*'01_Вводные'!$B$14</f>
        <v/>
      </c>
      <c r="BN1450">
        <f>'19_Расчет_аналитики'!BM1449*'01_Вводные'!$B$14</f>
        <v/>
      </c>
      <c r="BO1450">
        <f>'19_Расчет_аналитики'!BN1449*'01_Вводные'!$B$14</f>
        <v/>
      </c>
    </row>
    <row r="1451">
      <c r="B1451">
        <f>'06_Сеть_и_дети'!B84</f>
        <v/>
      </c>
      <c r="C1451">
        <f>'06_Сеть_и_дети'!C84</f>
        <v/>
      </c>
      <c r="D1451">
        <f>'06_Сеть_и_дети'!D84</f>
        <v/>
      </c>
      <c r="E1451">
        <f>'19_Расчет_аналитики'!D1450*'01_Вводные'!$B$14</f>
        <v/>
      </c>
      <c r="F1451">
        <f>'19_Расчет_аналитики'!E1450*'01_Вводные'!$B$14</f>
        <v/>
      </c>
      <c r="G1451">
        <f>'19_Расчет_аналитики'!F1450*'01_Вводные'!$B$14</f>
        <v/>
      </c>
      <c r="H1451">
        <f>'19_Расчет_аналитики'!G1450*'01_Вводные'!$B$14</f>
        <v/>
      </c>
      <c r="I1451">
        <f>'19_Расчет_аналитики'!H1450*'01_Вводные'!$B$14</f>
        <v/>
      </c>
      <c r="J1451">
        <f>'19_Расчет_аналитики'!I1450*'01_Вводные'!$B$14</f>
        <v/>
      </c>
      <c r="K1451">
        <f>'19_Расчет_аналитики'!J1450*'01_Вводные'!$B$14</f>
        <v/>
      </c>
      <c r="L1451">
        <f>'19_Расчет_аналитики'!K1450*'01_Вводные'!$B$14</f>
        <v/>
      </c>
      <c r="M1451">
        <f>'19_Расчет_аналитики'!L1450*'01_Вводные'!$B$14</f>
        <v/>
      </c>
      <c r="N1451">
        <f>'19_Расчет_аналитики'!M1450*'01_Вводные'!$B$14</f>
        <v/>
      </c>
      <c r="O1451">
        <f>'19_Расчет_аналитики'!N1450*'01_Вводные'!$B$14</f>
        <v/>
      </c>
      <c r="P1451">
        <f>'19_Расчет_аналитики'!O1450*'01_Вводные'!$B$14</f>
        <v/>
      </c>
      <c r="Q1451">
        <f>'19_Расчет_аналитики'!P1450*'01_Вводные'!$B$14</f>
        <v/>
      </c>
      <c r="R1451">
        <f>'19_Расчет_аналитики'!Q1450*'01_Вводные'!$B$14</f>
        <v/>
      </c>
      <c r="S1451">
        <f>'19_Расчет_аналитики'!R1450*'01_Вводные'!$B$14</f>
        <v/>
      </c>
      <c r="T1451">
        <f>'19_Расчет_аналитики'!S1450*'01_Вводные'!$B$14</f>
        <v/>
      </c>
      <c r="U1451">
        <f>'19_Расчет_аналитики'!T1450*'01_Вводные'!$B$14</f>
        <v/>
      </c>
      <c r="V1451">
        <f>'19_Расчет_аналитики'!U1450*'01_Вводные'!$B$14</f>
        <v/>
      </c>
      <c r="W1451">
        <f>'19_Расчет_аналитики'!V1450*'01_Вводные'!$B$14</f>
        <v/>
      </c>
      <c r="X1451">
        <f>'19_Расчет_аналитики'!W1450*'01_Вводные'!$B$14</f>
        <v/>
      </c>
      <c r="Y1451">
        <f>'19_Расчет_аналитики'!X1450*'01_Вводные'!$B$14</f>
        <v/>
      </c>
      <c r="Z1451">
        <f>'19_Расчет_аналитики'!Y1450*'01_Вводные'!$B$14</f>
        <v/>
      </c>
      <c r="AA1451">
        <f>'19_Расчет_аналитики'!Z1450*'01_Вводные'!$B$14</f>
        <v/>
      </c>
      <c r="AB1451">
        <f>'19_Расчет_аналитики'!AA1450*'01_Вводные'!$B$14</f>
        <v/>
      </c>
      <c r="AC1451">
        <f>'19_Расчет_аналитики'!AB1450*'01_Вводные'!$B$14</f>
        <v/>
      </c>
      <c r="AD1451">
        <f>'19_Расчет_аналитики'!AC1450*'01_Вводные'!$B$14</f>
        <v/>
      </c>
      <c r="AE1451">
        <f>'19_Расчет_аналитики'!AD1450*'01_Вводные'!$B$14</f>
        <v/>
      </c>
      <c r="AF1451">
        <f>'19_Расчет_аналитики'!AE1450*'01_Вводные'!$B$14</f>
        <v/>
      </c>
      <c r="AG1451">
        <f>'19_Расчет_аналитики'!AF1450*'01_Вводные'!$B$14</f>
        <v/>
      </c>
      <c r="AH1451">
        <f>'19_Расчет_аналитики'!AG1450*'01_Вводные'!$B$14</f>
        <v/>
      </c>
      <c r="AI1451">
        <f>'19_Расчет_аналитики'!AH1450*'01_Вводные'!$B$14</f>
        <v/>
      </c>
      <c r="AJ1451">
        <f>'19_Расчет_аналитики'!AI1450*'01_Вводные'!$B$14</f>
        <v/>
      </c>
      <c r="AK1451">
        <f>'19_Расчет_аналитики'!AJ1450*'01_Вводные'!$B$14</f>
        <v/>
      </c>
      <c r="AL1451">
        <f>'19_Расчет_аналитики'!AK1450*'01_Вводные'!$B$14</f>
        <v/>
      </c>
      <c r="AM1451">
        <f>'19_Расчет_аналитики'!AL1450*'01_Вводные'!$B$14</f>
        <v/>
      </c>
      <c r="AN1451">
        <f>'19_Расчет_аналитики'!AM1450*'01_Вводные'!$B$14</f>
        <v/>
      </c>
      <c r="AO1451">
        <f>'19_Расчет_аналитики'!AN1450*'01_Вводные'!$B$14</f>
        <v/>
      </c>
      <c r="AP1451">
        <f>'19_Расчет_аналитики'!AO1450*'01_Вводные'!$B$14</f>
        <v/>
      </c>
      <c r="AQ1451">
        <f>'19_Расчет_аналитики'!AP1450*'01_Вводные'!$B$14</f>
        <v/>
      </c>
      <c r="AR1451">
        <f>'19_Расчет_аналитики'!AQ1450*'01_Вводные'!$B$14</f>
        <v/>
      </c>
      <c r="AS1451">
        <f>'19_Расчет_аналитики'!AR1450*'01_Вводные'!$B$14</f>
        <v/>
      </c>
      <c r="AT1451">
        <f>'19_Расчет_аналитики'!AS1450*'01_Вводные'!$B$14</f>
        <v/>
      </c>
      <c r="AU1451">
        <f>'19_Расчет_аналитики'!AT1450*'01_Вводные'!$B$14</f>
        <v/>
      </c>
      <c r="AV1451">
        <f>'19_Расчет_аналитики'!AU1450*'01_Вводные'!$B$14</f>
        <v/>
      </c>
      <c r="AW1451">
        <f>'19_Расчет_аналитики'!AV1450*'01_Вводные'!$B$14</f>
        <v/>
      </c>
      <c r="AX1451">
        <f>'19_Расчет_аналитики'!AW1450*'01_Вводные'!$B$14</f>
        <v/>
      </c>
      <c r="AY1451">
        <f>'19_Расчет_аналитики'!AX1450*'01_Вводные'!$B$14</f>
        <v/>
      </c>
      <c r="AZ1451">
        <f>'19_Расчет_аналитики'!AY1450*'01_Вводные'!$B$14</f>
        <v/>
      </c>
      <c r="BA1451">
        <f>'19_Расчет_аналитики'!AZ1450*'01_Вводные'!$B$14</f>
        <v/>
      </c>
      <c r="BB1451">
        <f>'19_Расчет_аналитики'!BA1450*'01_Вводные'!$B$14</f>
        <v/>
      </c>
      <c r="BC1451">
        <f>'19_Расчет_аналитики'!BB1450*'01_Вводные'!$B$14</f>
        <v/>
      </c>
      <c r="BD1451">
        <f>'19_Расчет_аналитики'!BC1450*'01_Вводные'!$B$14</f>
        <v/>
      </c>
      <c r="BE1451">
        <f>'19_Расчет_аналитики'!BD1450*'01_Вводные'!$B$14</f>
        <v/>
      </c>
      <c r="BF1451">
        <f>'19_Расчет_аналитики'!BE1450*'01_Вводные'!$B$14</f>
        <v/>
      </c>
      <c r="BG1451">
        <f>'19_Расчет_аналитики'!BF1450*'01_Вводные'!$B$14</f>
        <v/>
      </c>
      <c r="BH1451">
        <f>'19_Расчет_аналитики'!BG1450*'01_Вводные'!$B$14</f>
        <v/>
      </c>
      <c r="BI1451">
        <f>'19_Расчет_аналитики'!BH1450*'01_Вводные'!$B$14</f>
        <v/>
      </c>
      <c r="BJ1451">
        <f>'19_Расчет_аналитики'!BI1450*'01_Вводные'!$B$14</f>
        <v/>
      </c>
      <c r="BK1451">
        <f>'19_Расчет_аналитики'!BJ1450*'01_Вводные'!$B$14</f>
        <v/>
      </c>
      <c r="BL1451">
        <f>'19_Расчет_аналитики'!BK1450*'01_Вводные'!$B$14</f>
        <v/>
      </c>
      <c r="BM1451">
        <f>'19_Расчет_аналитики'!BL1450*'01_Вводные'!$B$14</f>
        <v/>
      </c>
      <c r="BN1451">
        <f>'19_Расчет_аналитики'!BM1450*'01_Вводные'!$B$14</f>
        <v/>
      </c>
      <c r="BO1451">
        <f>'19_Расчет_аналитики'!BN1450*'01_Вводные'!$B$14</f>
        <v/>
      </c>
    </row>
    <row r="1452">
      <c r="B1452">
        <f>'06_Сеть_и_дети'!B85</f>
        <v/>
      </c>
      <c r="C1452">
        <f>'06_Сеть_и_дети'!C85</f>
        <v/>
      </c>
      <c r="D1452">
        <f>'06_Сеть_и_дети'!D85</f>
        <v/>
      </c>
      <c r="E1452">
        <f>'06_Сеть_и_дети'!E85</f>
        <v/>
      </c>
      <c r="F1452">
        <f>'19_Расчет_аналитики'!E1451*'01_Вводные'!$B$14</f>
        <v/>
      </c>
      <c r="G1452">
        <f>'19_Расчет_аналитики'!F1451*'01_Вводные'!$B$14</f>
        <v/>
      </c>
      <c r="H1452">
        <f>'19_Расчет_аналитики'!G1451*'01_Вводные'!$B$14</f>
        <v/>
      </c>
      <c r="I1452">
        <f>'19_Расчет_аналитики'!H1451*'01_Вводные'!$B$14</f>
        <v/>
      </c>
      <c r="J1452">
        <f>'19_Расчет_аналитики'!I1451*'01_Вводные'!$B$14</f>
        <v/>
      </c>
      <c r="K1452">
        <f>'19_Расчет_аналитики'!J1451*'01_Вводные'!$B$14</f>
        <v/>
      </c>
      <c r="L1452">
        <f>'19_Расчет_аналитики'!K1451*'01_Вводные'!$B$14</f>
        <v/>
      </c>
      <c r="M1452">
        <f>'19_Расчет_аналитики'!L1451*'01_Вводные'!$B$14</f>
        <v/>
      </c>
      <c r="N1452">
        <f>'19_Расчет_аналитики'!M1451*'01_Вводные'!$B$14</f>
        <v/>
      </c>
      <c r="O1452">
        <f>'19_Расчет_аналитики'!N1451*'01_Вводные'!$B$14</f>
        <v/>
      </c>
      <c r="P1452">
        <f>'19_Расчет_аналитики'!O1451*'01_Вводные'!$B$14</f>
        <v/>
      </c>
      <c r="Q1452">
        <f>'19_Расчет_аналитики'!P1451*'01_Вводные'!$B$14</f>
        <v/>
      </c>
      <c r="R1452">
        <f>'19_Расчет_аналитики'!Q1451*'01_Вводные'!$B$14</f>
        <v/>
      </c>
      <c r="S1452">
        <f>'19_Расчет_аналитики'!R1451*'01_Вводные'!$B$14</f>
        <v/>
      </c>
      <c r="T1452">
        <f>'19_Расчет_аналитики'!S1451*'01_Вводные'!$B$14</f>
        <v/>
      </c>
      <c r="U1452">
        <f>'19_Расчет_аналитики'!T1451*'01_Вводные'!$B$14</f>
        <v/>
      </c>
      <c r="V1452">
        <f>'19_Расчет_аналитики'!U1451*'01_Вводные'!$B$14</f>
        <v/>
      </c>
      <c r="W1452">
        <f>'19_Расчет_аналитики'!V1451*'01_Вводные'!$B$14</f>
        <v/>
      </c>
      <c r="X1452">
        <f>'19_Расчет_аналитики'!W1451*'01_Вводные'!$B$14</f>
        <v/>
      </c>
      <c r="Y1452">
        <f>'19_Расчет_аналитики'!X1451*'01_Вводные'!$B$14</f>
        <v/>
      </c>
      <c r="Z1452">
        <f>'19_Расчет_аналитики'!Y1451*'01_Вводные'!$B$14</f>
        <v/>
      </c>
      <c r="AA1452">
        <f>'19_Расчет_аналитики'!Z1451*'01_Вводные'!$B$14</f>
        <v/>
      </c>
      <c r="AB1452">
        <f>'19_Расчет_аналитики'!AA1451*'01_Вводные'!$B$14</f>
        <v/>
      </c>
      <c r="AC1452">
        <f>'19_Расчет_аналитики'!AB1451*'01_Вводные'!$B$14</f>
        <v/>
      </c>
      <c r="AD1452">
        <f>'19_Расчет_аналитики'!AC1451*'01_Вводные'!$B$14</f>
        <v/>
      </c>
      <c r="AE1452">
        <f>'19_Расчет_аналитики'!AD1451*'01_Вводные'!$B$14</f>
        <v/>
      </c>
      <c r="AF1452">
        <f>'19_Расчет_аналитики'!AE1451*'01_Вводные'!$B$14</f>
        <v/>
      </c>
      <c r="AG1452">
        <f>'19_Расчет_аналитики'!AF1451*'01_Вводные'!$B$14</f>
        <v/>
      </c>
      <c r="AH1452">
        <f>'19_Расчет_аналитики'!AG1451*'01_Вводные'!$B$14</f>
        <v/>
      </c>
      <c r="AI1452">
        <f>'19_Расчет_аналитики'!AH1451*'01_Вводные'!$B$14</f>
        <v/>
      </c>
      <c r="AJ1452">
        <f>'19_Расчет_аналитики'!AI1451*'01_Вводные'!$B$14</f>
        <v/>
      </c>
      <c r="AK1452">
        <f>'19_Расчет_аналитики'!AJ1451*'01_Вводные'!$B$14</f>
        <v/>
      </c>
      <c r="AL1452">
        <f>'19_Расчет_аналитики'!AK1451*'01_Вводные'!$B$14</f>
        <v/>
      </c>
      <c r="AM1452">
        <f>'19_Расчет_аналитики'!AL1451*'01_Вводные'!$B$14</f>
        <v/>
      </c>
      <c r="AN1452">
        <f>'19_Расчет_аналитики'!AM1451*'01_Вводные'!$B$14</f>
        <v/>
      </c>
      <c r="AO1452">
        <f>'19_Расчет_аналитики'!AN1451*'01_Вводные'!$B$14</f>
        <v/>
      </c>
      <c r="AP1452">
        <f>'19_Расчет_аналитики'!AO1451*'01_Вводные'!$B$14</f>
        <v/>
      </c>
      <c r="AQ1452">
        <f>'19_Расчет_аналитики'!AP1451*'01_Вводные'!$B$14</f>
        <v/>
      </c>
      <c r="AR1452">
        <f>'19_Расчет_аналитики'!AQ1451*'01_Вводные'!$B$14</f>
        <v/>
      </c>
      <c r="AS1452">
        <f>'19_Расчет_аналитики'!AR1451*'01_Вводные'!$B$14</f>
        <v/>
      </c>
      <c r="AT1452">
        <f>'19_Расчет_аналитики'!AS1451*'01_Вводные'!$B$14</f>
        <v/>
      </c>
      <c r="AU1452">
        <f>'19_Расчет_аналитики'!AT1451*'01_Вводные'!$B$14</f>
        <v/>
      </c>
      <c r="AV1452">
        <f>'19_Расчет_аналитики'!AU1451*'01_Вводные'!$B$14</f>
        <v/>
      </c>
      <c r="AW1452">
        <f>'19_Расчет_аналитики'!AV1451*'01_Вводные'!$B$14</f>
        <v/>
      </c>
      <c r="AX1452">
        <f>'19_Расчет_аналитики'!AW1451*'01_Вводные'!$B$14</f>
        <v/>
      </c>
      <c r="AY1452">
        <f>'19_Расчет_аналитики'!AX1451*'01_Вводные'!$B$14</f>
        <v/>
      </c>
      <c r="AZ1452">
        <f>'19_Расчет_аналитики'!AY1451*'01_Вводные'!$B$14</f>
        <v/>
      </c>
      <c r="BA1452">
        <f>'19_Расчет_аналитики'!AZ1451*'01_Вводные'!$B$14</f>
        <v/>
      </c>
      <c r="BB1452">
        <f>'19_Расчет_аналитики'!BA1451*'01_Вводные'!$B$14</f>
        <v/>
      </c>
      <c r="BC1452">
        <f>'19_Расчет_аналитики'!BB1451*'01_Вводные'!$B$14</f>
        <v/>
      </c>
      <c r="BD1452">
        <f>'19_Расчет_аналитики'!BC1451*'01_Вводные'!$B$14</f>
        <v/>
      </c>
      <c r="BE1452">
        <f>'19_Расчет_аналитики'!BD1451*'01_Вводные'!$B$14</f>
        <v/>
      </c>
      <c r="BF1452">
        <f>'19_Расчет_аналитики'!BE1451*'01_Вводные'!$B$14</f>
        <v/>
      </c>
      <c r="BG1452">
        <f>'19_Расчет_аналитики'!BF1451*'01_Вводные'!$B$14</f>
        <v/>
      </c>
      <c r="BH1452">
        <f>'19_Расчет_аналитики'!BG1451*'01_Вводные'!$B$14</f>
        <v/>
      </c>
      <c r="BI1452">
        <f>'19_Расчет_аналитики'!BH1451*'01_Вводные'!$B$14</f>
        <v/>
      </c>
      <c r="BJ1452">
        <f>'19_Расчет_аналитики'!BI1451*'01_Вводные'!$B$14</f>
        <v/>
      </c>
      <c r="BK1452">
        <f>'19_Расчет_аналитики'!BJ1451*'01_Вводные'!$B$14</f>
        <v/>
      </c>
      <c r="BL1452">
        <f>'19_Расчет_аналитики'!BK1451*'01_Вводные'!$B$14</f>
        <v/>
      </c>
      <c r="BM1452">
        <f>'19_Расчет_аналитики'!BL1451*'01_Вводные'!$B$14</f>
        <v/>
      </c>
      <c r="BN1452">
        <f>'19_Расчет_аналитики'!BM1451*'01_Вводные'!$B$14</f>
        <v/>
      </c>
      <c r="BO1452">
        <f>'19_Расчет_аналитики'!BN1451*'01_Вводные'!$B$14</f>
        <v/>
      </c>
    </row>
    <row r="1453">
      <c r="B1453">
        <f>'06_Сеть_и_дети'!B86</f>
        <v/>
      </c>
      <c r="C1453">
        <f>'06_Сеть_и_дети'!C86</f>
        <v/>
      </c>
      <c r="D1453">
        <f>'06_Сеть_и_дети'!D86</f>
        <v/>
      </c>
      <c r="E1453">
        <f>'06_Сеть_и_дети'!E86</f>
        <v/>
      </c>
      <c r="F1453">
        <f>'06_Сеть_и_дети'!F86</f>
        <v/>
      </c>
      <c r="G1453">
        <f>'19_Расчет_аналитики'!F1452*'01_Вводные'!$B$14</f>
        <v/>
      </c>
      <c r="H1453">
        <f>'19_Расчет_аналитики'!G1452*'01_Вводные'!$B$14</f>
        <v/>
      </c>
      <c r="I1453">
        <f>'19_Расчет_аналитики'!H1452*'01_Вводные'!$B$14</f>
        <v/>
      </c>
      <c r="J1453">
        <f>'19_Расчет_аналитики'!I1452*'01_Вводные'!$B$14</f>
        <v/>
      </c>
      <c r="K1453">
        <f>'19_Расчет_аналитики'!J1452*'01_Вводные'!$B$14</f>
        <v/>
      </c>
      <c r="L1453">
        <f>'19_Расчет_аналитики'!K1452*'01_Вводные'!$B$14</f>
        <v/>
      </c>
      <c r="M1453">
        <f>'19_Расчет_аналитики'!L1452*'01_Вводные'!$B$14</f>
        <v/>
      </c>
      <c r="N1453">
        <f>'19_Расчет_аналитики'!M1452*'01_Вводные'!$B$14</f>
        <v/>
      </c>
      <c r="O1453">
        <f>'19_Расчет_аналитики'!N1452*'01_Вводные'!$B$14</f>
        <v/>
      </c>
      <c r="P1453">
        <f>'19_Расчет_аналитики'!O1452*'01_Вводные'!$B$14</f>
        <v/>
      </c>
      <c r="Q1453">
        <f>'19_Расчет_аналитики'!P1452*'01_Вводные'!$B$14</f>
        <v/>
      </c>
      <c r="R1453">
        <f>'19_Расчет_аналитики'!Q1452*'01_Вводные'!$B$14</f>
        <v/>
      </c>
      <c r="S1453">
        <f>'19_Расчет_аналитики'!R1452*'01_Вводные'!$B$14</f>
        <v/>
      </c>
      <c r="T1453">
        <f>'19_Расчет_аналитики'!S1452*'01_Вводные'!$B$14</f>
        <v/>
      </c>
      <c r="U1453">
        <f>'19_Расчет_аналитики'!T1452*'01_Вводные'!$B$14</f>
        <v/>
      </c>
      <c r="V1453">
        <f>'19_Расчет_аналитики'!U1452*'01_Вводные'!$B$14</f>
        <v/>
      </c>
      <c r="W1453">
        <f>'19_Расчет_аналитики'!V1452*'01_Вводные'!$B$14</f>
        <v/>
      </c>
      <c r="X1453">
        <f>'19_Расчет_аналитики'!W1452*'01_Вводные'!$B$14</f>
        <v/>
      </c>
      <c r="Y1453">
        <f>'19_Расчет_аналитики'!X1452*'01_Вводные'!$B$14</f>
        <v/>
      </c>
      <c r="Z1453">
        <f>'19_Расчет_аналитики'!Y1452*'01_Вводные'!$B$14</f>
        <v/>
      </c>
      <c r="AA1453">
        <f>'19_Расчет_аналитики'!Z1452*'01_Вводные'!$B$14</f>
        <v/>
      </c>
      <c r="AB1453">
        <f>'19_Расчет_аналитики'!AA1452*'01_Вводные'!$B$14</f>
        <v/>
      </c>
      <c r="AC1453">
        <f>'19_Расчет_аналитики'!AB1452*'01_Вводные'!$B$14</f>
        <v/>
      </c>
      <c r="AD1453">
        <f>'19_Расчет_аналитики'!AC1452*'01_Вводные'!$B$14</f>
        <v/>
      </c>
      <c r="AE1453">
        <f>'19_Расчет_аналитики'!AD1452*'01_Вводные'!$B$14</f>
        <v/>
      </c>
      <c r="AF1453">
        <f>'19_Расчет_аналитики'!AE1452*'01_Вводные'!$B$14</f>
        <v/>
      </c>
      <c r="AG1453">
        <f>'19_Расчет_аналитики'!AF1452*'01_Вводные'!$B$14</f>
        <v/>
      </c>
      <c r="AH1453">
        <f>'19_Расчет_аналитики'!AG1452*'01_Вводные'!$B$14</f>
        <v/>
      </c>
      <c r="AI1453">
        <f>'19_Расчет_аналитики'!AH1452*'01_Вводные'!$B$14</f>
        <v/>
      </c>
      <c r="AJ1453">
        <f>'19_Расчет_аналитики'!AI1452*'01_Вводные'!$B$14</f>
        <v/>
      </c>
      <c r="AK1453">
        <f>'19_Расчет_аналитики'!AJ1452*'01_Вводные'!$B$14</f>
        <v/>
      </c>
      <c r="AL1453">
        <f>'19_Расчет_аналитики'!AK1452*'01_Вводные'!$B$14</f>
        <v/>
      </c>
      <c r="AM1453">
        <f>'19_Расчет_аналитики'!AL1452*'01_Вводные'!$B$14</f>
        <v/>
      </c>
      <c r="AN1453">
        <f>'19_Расчет_аналитики'!AM1452*'01_Вводные'!$B$14</f>
        <v/>
      </c>
      <c r="AO1453">
        <f>'19_Расчет_аналитики'!AN1452*'01_Вводные'!$B$14</f>
        <v/>
      </c>
      <c r="AP1453">
        <f>'19_Расчет_аналитики'!AO1452*'01_Вводные'!$B$14</f>
        <v/>
      </c>
      <c r="AQ1453">
        <f>'19_Расчет_аналитики'!AP1452*'01_Вводные'!$B$14</f>
        <v/>
      </c>
      <c r="AR1453">
        <f>'19_Расчет_аналитики'!AQ1452*'01_Вводные'!$B$14</f>
        <v/>
      </c>
      <c r="AS1453">
        <f>'19_Расчет_аналитики'!AR1452*'01_Вводные'!$B$14</f>
        <v/>
      </c>
      <c r="AT1453">
        <f>'19_Расчет_аналитики'!AS1452*'01_Вводные'!$B$14</f>
        <v/>
      </c>
      <c r="AU1453">
        <f>'19_Расчет_аналитики'!AT1452*'01_Вводные'!$B$14</f>
        <v/>
      </c>
      <c r="AV1453">
        <f>'19_Расчет_аналитики'!AU1452*'01_Вводные'!$B$14</f>
        <v/>
      </c>
      <c r="AW1453">
        <f>'19_Расчет_аналитики'!AV1452*'01_Вводные'!$B$14</f>
        <v/>
      </c>
      <c r="AX1453">
        <f>'19_Расчет_аналитики'!AW1452*'01_Вводные'!$B$14</f>
        <v/>
      </c>
      <c r="AY1453">
        <f>'19_Расчет_аналитики'!AX1452*'01_Вводные'!$B$14</f>
        <v/>
      </c>
      <c r="AZ1453">
        <f>'19_Расчет_аналитики'!AY1452*'01_Вводные'!$B$14</f>
        <v/>
      </c>
      <c r="BA1453">
        <f>'19_Расчет_аналитики'!AZ1452*'01_Вводные'!$B$14</f>
        <v/>
      </c>
      <c r="BB1453">
        <f>'19_Расчет_аналитики'!BA1452*'01_Вводные'!$B$14</f>
        <v/>
      </c>
      <c r="BC1453">
        <f>'19_Расчет_аналитики'!BB1452*'01_Вводные'!$B$14</f>
        <v/>
      </c>
      <c r="BD1453">
        <f>'19_Расчет_аналитики'!BC1452*'01_Вводные'!$B$14</f>
        <v/>
      </c>
      <c r="BE1453">
        <f>'19_Расчет_аналитики'!BD1452*'01_Вводные'!$B$14</f>
        <v/>
      </c>
      <c r="BF1453">
        <f>'19_Расчет_аналитики'!BE1452*'01_Вводные'!$B$14</f>
        <v/>
      </c>
      <c r="BG1453">
        <f>'19_Расчет_аналитики'!BF1452*'01_Вводные'!$B$14</f>
        <v/>
      </c>
      <c r="BH1453">
        <f>'19_Расчет_аналитики'!BG1452*'01_Вводные'!$B$14</f>
        <v/>
      </c>
      <c r="BI1453">
        <f>'19_Расчет_аналитики'!BH1452*'01_Вводные'!$B$14</f>
        <v/>
      </c>
      <c r="BJ1453">
        <f>'19_Расчет_аналитики'!BI1452*'01_Вводные'!$B$14</f>
        <v/>
      </c>
      <c r="BK1453">
        <f>'19_Расчет_аналитики'!BJ1452*'01_Вводные'!$B$14</f>
        <v/>
      </c>
      <c r="BL1453">
        <f>'19_Расчет_аналитики'!BK1452*'01_Вводные'!$B$14</f>
        <v/>
      </c>
      <c r="BM1453">
        <f>'19_Расчет_аналитики'!BL1452*'01_Вводные'!$B$14</f>
        <v/>
      </c>
      <c r="BN1453">
        <f>'19_Расчет_аналитики'!BM1452*'01_Вводные'!$B$14</f>
        <v/>
      </c>
      <c r="BO1453">
        <f>'19_Расчет_аналитики'!BN1452*'01_Вводные'!$B$14</f>
        <v/>
      </c>
    </row>
    <row r="1454">
      <c r="B1454">
        <f>'06_Сеть_и_дети'!B87</f>
        <v/>
      </c>
      <c r="C1454">
        <f>'06_Сеть_и_дети'!C87</f>
        <v/>
      </c>
      <c r="D1454">
        <f>'06_Сеть_и_дети'!D87</f>
        <v/>
      </c>
      <c r="E1454">
        <f>'06_Сеть_и_дети'!E87</f>
        <v/>
      </c>
      <c r="F1454">
        <f>'06_Сеть_и_дети'!F87</f>
        <v/>
      </c>
      <c r="G1454">
        <f>'06_Сеть_и_дети'!G87</f>
        <v/>
      </c>
      <c r="H1454">
        <f>'19_Расчет_аналитики'!G1453*'01_Вводные'!$B$14</f>
        <v/>
      </c>
      <c r="I1454">
        <f>'19_Расчет_аналитики'!H1453*'01_Вводные'!$B$14</f>
        <v/>
      </c>
      <c r="J1454">
        <f>'19_Расчет_аналитики'!I1453*'01_Вводные'!$B$14</f>
        <v/>
      </c>
      <c r="K1454">
        <f>'19_Расчет_аналитики'!J1453*'01_Вводные'!$B$14</f>
        <v/>
      </c>
      <c r="L1454">
        <f>'19_Расчет_аналитики'!K1453*'01_Вводные'!$B$14</f>
        <v/>
      </c>
      <c r="M1454">
        <f>'19_Расчет_аналитики'!L1453*'01_Вводные'!$B$14</f>
        <v/>
      </c>
      <c r="N1454">
        <f>'19_Расчет_аналитики'!M1453*'01_Вводные'!$B$14</f>
        <v/>
      </c>
      <c r="O1454">
        <f>'19_Расчет_аналитики'!N1453*'01_Вводные'!$B$14</f>
        <v/>
      </c>
      <c r="P1454">
        <f>'19_Расчет_аналитики'!O1453*'01_Вводные'!$B$14</f>
        <v/>
      </c>
      <c r="Q1454">
        <f>'19_Расчет_аналитики'!P1453*'01_Вводные'!$B$14</f>
        <v/>
      </c>
      <c r="R1454">
        <f>'19_Расчет_аналитики'!Q1453*'01_Вводные'!$B$14</f>
        <v/>
      </c>
      <c r="S1454">
        <f>'19_Расчет_аналитики'!R1453*'01_Вводные'!$B$14</f>
        <v/>
      </c>
      <c r="T1454">
        <f>'19_Расчет_аналитики'!S1453*'01_Вводные'!$B$14</f>
        <v/>
      </c>
      <c r="U1454">
        <f>'19_Расчет_аналитики'!T1453*'01_Вводные'!$B$14</f>
        <v/>
      </c>
      <c r="V1454">
        <f>'19_Расчет_аналитики'!U1453*'01_Вводные'!$B$14</f>
        <v/>
      </c>
      <c r="W1454">
        <f>'19_Расчет_аналитики'!V1453*'01_Вводные'!$B$14</f>
        <v/>
      </c>
      <c r="X1454">
        <f>'19_Расчет_аналитики'!W1453*'01_Вводные'!$B$14</f>
        <v/>
      </c>
      <c r="Y1454">
        <f>'19_Расчет_аналитики'!X1453*'01_Вводные'!$B$14</f>
        <v/>
      </c>
      <c r="Z1454">
        <f>'19_Расчет_аналитики'!Y1453*'01_Вводные'!$B$14</f>
        <v/>
      </c>
      <c r="AA1454">
        <f>'19_Расчет_аналитики'!Z1453*'01_Вводные'!$B$14</f>
        <v/>
      </c>
      <c r="AB1454">
        <f>'19_Расчет_аналитики'!AA1453*'01_Вводные'!$B$14</f>
        <v/>
      </c>
      <c r="AC1454">
        <f>'19_Расчет_аналитики'!AB1453*'01_Вводные'!$B$14</f>
        <v/>
      </c>
      <c r="AD1454">
        <f>'19_Расчет_аналитики'!AC1453*'01_Вводные'!$B$14</f>
        <v/>
      </c>
      <c r="AE1454">
        <f>'19_Расчет_аналитики'!AD1453*'01_Вводные'!$B$14</f>
        <v/>
      </c>
      <c r="AF1454">
        <f>'19_Расчет_аналитики'!AE1453*'01_Вводные'!$B$14</f>
        <v/>
      </c>
      <c r="AG1454">
        <f>'19_Расчет_аналитики'!AF1453*'01_Вводные'!$B$14</f>
        <v/>
      </c>
      <c r="AH1454">
        <f>'19_Расчет_аналитики'!AG1453*'01_Вводные'!$B$14</f>
        <v/>
      </c>
      <c r="AI1454">
        <f>'19_Расчет_аналитики'!AH1453*'01_Вводные'!$B$14</f>
        <v/>
      </c>
      <c r="AJ1454">
        <f>'19_Расчет_аналитики'!AI1453*'01_Вводные'!$B$14</f>
        <v/>
      </c>
      <c r="AK1454">
        <f>'19_Расчет_аналитики'!AJ1453*'01_Вводные'!$B$14</f>
        <v/>
      </c>
      <c r="AL1454">
        <f>'19_Расчет_аналитики'!AK1453*'01_Вводные'!$B$14</f>
        <v/>
      </c>
      <c r="AM1454">
        <f>'19_Расчет_аналитики'!AL1453*'01_Вводные'!$B$14</f>
        <v/>
      </c>
      <c r="AN1454">
        <f>'19_Расчет_аналитики'!AM1453*'01_Вводные'!$B$14</f>
        <v/>
      </c>
      <c r="AO1454">
        <f>'19_Расчет_аналитики'!AN1453*'01_Вводные'!$B$14</f>
        <v/>
      </c>
      <c r="AP1454">
        <f>'19_Расчет_аналитики'!AO1453*'01_Вводные'!$B$14</f>
        <v/>
      </c>
      <c r="AQ1454">
        <f>'19_Расчет_аналитики'!AP1453*'01_Вводные'!$B$14</f>
        <v/>
      </c>
      <c r="AR1454">
        <f>'19_Расчет_аналитики'!AQ1453*'01_Вводные'!$B$14</f>
        <v/>
      </c>
      <c r="AS1454">
        <f>'19_Расчет_аналитики'!AR1453*'01_Вводные'!$B$14</f>
        <v/>
      </c>
      <c r="AT1454">
        <f>'19_Расчет_аналитики'!AS1453*'01_Вводные'!$B$14</f>
        <v/>
      </c>
      <c r="AU1454">
        <f>'19_Расчет_аналитики'!AT1453*'01_Вводные'!$B$14</f>
        <v/>
      </c>
      <c r="AV1454">
        <f>'19_Расчет_аналитики'!AU1453*'01_Вводные'!$B$14</f>
        <v/>
      </c>
      <c r="AW1454">
        <f>'19_Расчет_аналитики'!AV1453*'01_Вводные'!$B$14</f>
        <v/>
      </c>
      <c r="AX1454">
        <f>'19_Расчет_аналитики'!AW1453*'01_Вводные'!$B$14</f>
        <v/>
      </c>
      <c r="AY1454">
        <f>'19_Расчет_аналитики'!AX1453*'01_Вводные'!$B$14</f>
        <v/>
      </c>
      <c r="AZ1454">
        <f>'19_Расчет_аналитики'!AY1453*'01_Вводные'!$B$14</f>
        <v/>
      </c>
      <c r="BA1454">
        <f>'19_Расчет_аналитики'!AZ1453*'01_Вводные'!$B$14</f>
        <v/>
      </c>
      <c r="BB1454">
        <f>'19_Расчет_аналитики'!BA1453*'01_Вводные'!$B$14</f>
        <v/>
      </c>
      <c r="BC1454">
        <f>'19_Расчет_аналитики'!BB1453*'01_Вводные'!$B$14</f>
        <v/>
      </c>
      <c r="BD1454">
        <f>'19_Расчет_аналитики'!BC1453*'01_Вводные'!$B$14</f>
        <v/>
      </c>
      <c r="BE1454">
        <f>'19_Расчет_аналитики'!BD1453*'01_Вводные'!$B$14</f>
        <v/>
      </c>
      <c r="BF1454">
        <f>'19_Расчет_аналитики'!BE1453*'01_Вводные'!$B$14</f>
        <v/>
      </c>
      <c r="BG1454">
        <f>'19_Расчет_аналитики'!BF1453*'01_Вводные'!$B$14</f>
        <v/>
      </c>
      <c r="BH1454">
        <f>'19_Расчет_аналитики'!BG1453*'01_Вводные'!$B$14</f>
        <v/>
      </c>
      <c r="BI1454">
        <f>'19_Расчет_аналитики'!BH1453*'01_Вводные'!$B$14</f>
        <v/>
      </c>
      <c r="BJ1454">
        <f>'19_Расчет_аналитики'!BI1453*'01_Вводные'!$B$14</f>
        <v/>
      </c>
      <c r="BK1454">
        <f>'19_Расчет_аналитики'!BJ1453*'01_Вводные'!$B$14</f>
        <v/>
      </c>
      <c r="BL1454">
        <f>'19_Расчет_аналитики'!BK1453*'01_Вводные'!$B$14</f>
        <v/>
      </c>
      <c r="BM1454">
        <f>'19_Расчет_аналитики'!BL1453*'01_Вводные'!$B$14</f>
        <v/>
      </c>
      <c r="BN1454">
        <f>'19_Расчет_аналитики'!BM1453*'01_Вводные'!$B$14</f>
        <v/>
      </c>
      <c r="BO1454">
        <f>'19_Расчет_аналитики'!BN1453*'01_Вводные'!$B$14</f>
        <v/>
      </c>
    </row>
    <row r="1455">
      <c r="B1455">
        <f>'06_Сеть_и_дети'!B88</f>
        <v/>
      </c>
      <c r="C1455">
        <f>'06_Сеть_и_дети'!C88</f>
        <v/>
      </c>
      <c r="D1455">
        <f>'06_Сеть_и_дети'!D88</f>
        <v/>
      </c>
      <c r="E1455">
        <f>'06_Сеть_и_дети'!E88</f>
        <v/>
      </c>
      <c r="F1455">
        <f>'06_Сеть_и_дети'!F88</f>
        <v/>
      </c>
      <c r="G1455">
        <f>'06_Сеть_и_дети'!G88</f>
        <v/>
      </c>
      <c r="H1455">
        <f>'06_Сеть_и_дети'!H88</f>
        <v/>
      </c>
      <c r="I1455">
        <f>'19_Расчет_аналитики'!H1454*'01_Вводные'!$B$14</f>
        <v/>
      </c>
      <c r="J1455">
        <f>'19_Расчет_аналитики'!I1454*'01_Вводные'!$B$14</f>
        <v/>
      </c>
      <c r="K1455">
        <f>'19_Расчет_аналитики'!J1454*'01_Вводные'!$B$14</f>
        <v/>
      </c>
      <c r="L1455">
        <f>'19_Расчет_аналитики'!K1454*'01_Вводные'!$B$14</f>
        <v/>
      </c>
      <c r="M1455">
        <f>'19_Расчет_аналитики'!L1454*'01_Вводные'!$B$14</f>
        <v/>
      </c>
      <c r="N1455">
        <f>'19_Расчет_аналитики'!M1454*'01_Вводные'!$B$14</f>
        <v/>
      </c>
      <c r="O1455">
        <f>'19_Расчет_аналитики'!N1454*'01_Вводные'!$B$14</f>
        <v/>
      </c>
      <c r="P1455">
        <f>'19_Расчет_аналитики'!O1454*'01_Вводные'!$B$14</f>
        <v/>
      </c>
      <c r="Q1455">
        <f>'19_Расчет_аналитики'!P1454*'01_Вводные'!$B$14</f>
        <v/>
      </c>
      <c r="R1455">
        <f>'19_Расчет_аналитики'!Q1454*'01_Вводные'!$B$14</f>
        <v/>
      </c>
      <c r="S1455">
        <f>'19_Расчет_аналитики'!R1454*'01_Вводные'!$B$14</f>
        <v/>
      </c>
      <c r="T1455">
        <f>'19_Расчет_аналитики'!S1454*'01_Вводные'!$B$14</f>
        <v/>
      </c>
      <c r="U1455">
        <f>'19_Расчет_аналитики'!T1454*'01_Вводные'!$B$14</f>
        <v/>
      </c>
      <c r="V1455">
        <f>'19_Расчет_аналитики'!U1454*'01_Вводные'!$B$14</f>
        <v/>
      </c>
      <c r="W1455">
        <f>'19_Расчет_аналитики'!V1454*'01_Вводные'!$B$14</f>
        <v/>
      </c>
      <c r="X1455">
        <f>'19_Расчет_аналитики'!W1454*'01_Вводные'!$B$14</f>
        <v/>
      </c>
      <c r="Y1455">
        <f>'19_Расчет_аналитики'!X1454*'01_Вводные'!$B$14</f>
        <v/>
      </c>
      <c r="Z1455">
        <f>'19_Расчет_аналитики'!Y1454*'01_Вводные'!$B$14</f>
        <v/>
      </c>
      <c r="AA1455">
        <f>'19_Расчет_аналитики'!Z1454*'01_Вводные'!$B$14</f>
        <v/>
      </c>
      <c r="AB1455">
        <f>'19_Расчет_аналитики'!AA1454*'01_Вводные'!$B$14</f>
        <v/>
      </c>
      <c r="AC1455">
        <f>'19_Расчет_аналитики'!AB1454*'01_Вводные'!$B$14</f>
        <v/>
      </c>
      <c r="AD1455">
        <f>'19_Расчет_аналитики'!AC1454*'01_Вводные'!$B$14</f>
        <v/>
      </c>
      <c r="AE1455">
        <f>'19_Расчет_аналитики'!AD1454*'01_Вводные'!$B$14</f>
        <v/>
      </c>
      <c r="AF1455">
        <f>'19_Расчет_аналитики'!AE1454*'01_Вводные'!$B$14</f>
        <v/>
      </c>
      <c r="AG1455">
        <f>'19_Расчет_аналитики'!AF1454*'01_Вводные'!$B$14</f>
        <v/>
      </c>
      <c r="AH1455">
        <f>'19_Расчет_аналитики'!AG1454*'01_Вводные'!$B$14</f>
        <v/>
      </c>
      <c r="AI1455">
        <f>'19_Расчет_аналитики'!AH1454*'01_Вводные'!$B$14</f>
        <v/>
      </c>
      <c r="AJ1455">
        <f>'19_Расчет_аналитики'!AI1454*'01_Вводные'!$B$14</f>
        <v/>
      </c>
      <c r="AK1455">
        <f>'19_Расчет_аналитики'!AJ1454*'01_Вводные'!$B$14</f>
        <v/>
      </c>
      <c r="AL1455">
        <f>'19_Расчет_аналитики'!AK1454*'01_Вводные'!$B$14</f>
        <v/>
      </c>
      <c r="AM1455">
        <f>'19_Расчет_аналитики'!AL1454*'01_Вводные'!$B$14</f>
        <v/>
      </c>
      <c r="AN1455">
        <f>'19_Расчет_аналитики'!AM1454*'01_Вводные'!$B$14</f>
        <v/>
      </c>
      <c r="AO1455">
        <f>'19_Расчет_аналитики'!AN1454*'01_Вводные'!$B$14</f>
        <v/>
      </c>
      <c r="AP1455">
        <f>'19_Расчет_аналитики'!AO1454*'01_Вводные'!$B$14</f>
        <v/>
      </c>
      <c r="AQ1455">
        <f>'19_Расчет_аналитики'!AP1454*'01_Вводные'!$B$14</f>
        <v/>
      </c>
      <c r="AR1455">
        <f>'19_Расчет_аналитики'!AQ1454*'01_Вводные'!$B$14</f>
        <v/>
      </c>
      <c r="AS1455">
        <f>'19_Расчет_аналитики'!AR1454*'01_Вводные'!$B$14</f>
        <v/>
      </c>
      <c r="AT1455">
        <f>'19_Расчет_аналитики'!AS1454*'01_Вводные'!$B$14</f>
        <v/>
      </c>
      <c r="AU1455">
        <f>'19_Расчет_аналитики'!AT1454*'01_Вводные'!$B$14</f>
        <v/>
      </c>
      <c r="AV1455">
        <f>'19_Расчет_аналитики'!AU1454*'01_Вводные'!$B$14</f>
        <v/>
      </c>
      <c r="AW1455">
        <f>'19_Расчет_аналитики'!AV1454*'01_Вводные'!$B$14</f>
        <v/>
      </c>
      <c r="AX1455">
        <f>'19_Расчет_аналитики'!AW1454*'01_Вводные'!$B$14</f>
        <v/>
      </c>
      <c r="AY1455">
        <f>'19_Расчет_аналитики'!AX1454*'01_Вводные'!$B$14</f>
        <v/>
      </c>
      <c r="AZ1455">
        <f>'19_Расчет_аналитики'!AY1454*'01_Вводные'!$B$14</f>
        <v/>
      </c>
      <c r="BA1455">
        <f>'19_Расчет_аналитики'!AZ1454*'01_Вводные'!$B$14</f>
        <v/>
      </c>
      <c r="BB1455">
        <f>'19_Расчет_аналитики'!BA1454*'01_Вводные'!$B$14</f>
        <v/>
      </c>
      <c r="BC1455">
        <f>'19_Расчет_аналитики'!BB1454*'01_Вводные'!$B$14</f>
        <v/>
      </c>
      <c r="BD1455">
        <f>'19_Расчет_аналитики'!BC1454*'01_Вводные'!$B$14</f>
        <v/>
      </c>
      <c r="BE1455">
        <f>'19_Расчет_аналитики'!BD1454*'01_Вводные'!$B$14</f>
        <v/>
      </c>
      <c r="BF1455">
        <f>'19_Расчет_аналитики'!BE1454*'01_Вводные'!$B$14</f>
        <v/>
      </c>
      <c r="BG1455">
        <f>'19_Расчет_аналитики'!BF1454*'01_Вводные'!$B$14</f>
        <v/>
      </c>
      <c r="BH1455">
        <f>'19_Расчет_аналитики'!BG1454*'01_Вводные'!$B$14</f>
        <v/>
      </c>
      <c r="BI1455">
        <f>'19_Расчет_аналитики'!BH1454*'01_Вводные'!$B$14</f>
        <v/>
      </c>
      <c r="BJ1455">
        <f>'19_Расчет_аналитики'!BI1454*'01_Вводные'!$B$14</f>
        <v/>
      </c>
      <c r="BK1455">
        <f>'19_Расчет_аналитики'!BJ1454*'01_Вводные'!$B$14</f>
        <v/>
      </c>
      <c r="BL1455">
        <f>'19_Расчет_аналитики'!BK1454*'01_Вводные'!$B$14</f>
        <v/>
      </c>
      <c r="BM1455">
        <f>'19_Расчет_аналитики'!BL1454*'01_Вводные'!$B$14</f>
        <v/>
      </c>
      <c r="BN1455">
        <f>'19_Расчет_аналитики'!BM1454*'01_Вводные'!$B$14</f>
        <v/>
      </c>
      <c r="BO1455">
        <f>'19_Расчет_аналитики'!BN1454*'01_Вводные'!$B$14</f>
        <v/>
      </c>
    </row>
    <row r="1456">
      <c r="B1456">
        <f>'06_Сеть_и_дети'!B89</f>
        <v/>
      </c>
      <c r="C1456">
        <f>'06_Сеть_и_дети'!C89</f>
        <v/>
      </c>
      <c r="D1456">
        <f>'06_Сеть_и_дети'!D89</f>
        <v/>
      </c>
      <c r="E1456">
        <f>'06_Сеть_и_дети'!E89</f>
        <v/>
      </c>
      <c r="F1456">
        <f>'06_Сеть_и_дети'!F89</f>
        <v/>
      </c>
      <c r="G1456">
        <f>'06_Сеть_и_дети'!G89</f>
        <v/>
      </c>
      <c r="H1456">
        <f>'06_Сеть_и_дети'!H89</f>
        <v/>
      </c>
      <c r="I1456">
        <f>'06_Сеть_и_дети'!I89</f>
        <v/>
      </c>
      <c r="J1456">
        <f>'19_Расчет_аналитики'!I1455*'01_Вводные'!$B$14</f>
        <v/>
      </c>
      <c r="K1456">
        <f>'19_Расчет_аналитики'!J1455*'01_Вводные'!$B$14</f>
        <v/>
      </c>
      <c r="L1456">
        <f>'19_Расчет_аналитики'!K1455*'01_Вводные'!$B$14</f>
        <v/>
      </c>
      <c r="M1456">
        <f>'19_Расчет_аналитики'!L1455*'01_Вводные'!$B$14</f>
        <v/>
      </c>
      <c r="N1456">
        <f>'19_Расчет_аналитики'!M1455*'01_Вводные'!$B$14</f>
        <v/>
      </c>
      <c r="O1456">
        <f>'19_Расчет_аналитики'!N1455*'01_Вводные'!$B$14</f>
        <v/>
      </c>
      <c r="P1456">
        <f>'19_Расчет_аналитики'!O1455*'01_Вводные'!$B$14</f>
        <v/>
      </c>
      <c r="Q1456">
        <f>'19_Расчет_аналитики'!P1455*'01_Вводные'!$B$14</f>
        <v/>
      </c>
      <c r="R1456">
        <f>'19_Расчет_аналитики'!Q1455*'01_Вводные'!$B$14</f>
        <v/>
      </c>
      <c r="S1456">
        <f>'19_Расчет_аналитики'!R1455*'01_Вводные'!$B$14</f>
        <v/>
      </c>
      <c r="T1456">
        <f>'19_Расчет_аналитики'!S1455*'01_Вводные'!$B$14</f>
        <v/>
      </c>
      <c r="U1456">
        <f>'19_Расчет_аналитики'!T1455*'01_Вводные'!$B$14</f>
        <v/>
      </c>
      <c r="V1456">
        <f>'19_Расчет_аналитики'!U1455*'01_Вводные'!$B$14</f>
        <v/>
      </c>
      <c r="W1456">
        <f>'19_Расчет_аналитики'!V1455*'01_Вводные'!$B$14</f>
        <v/>
      </c>
      <c r="X1456">
        <f>'19_Расчет_аналитики'!W1455*'01_Вводные'!$B$14</f>
        <v/>
      </c>
      <c r="Y1456">
        <f>'19_Расчет_аналитики'!X1455*'01_Вводные'!$B$14</f>
        <v/>
      </c>
      <c r="Z1456">
        <f>'19_Расчет_аналитики'!Y1455*'01_Вводные'!$B$14</f>
        <v/>
      </c>
      <c r="AA1456">
        <f>'19_Расчет_аналитики'!Z1455*'01_Вводные'!$B$14</f>
        <v/>
      </c>
      <c r="AB1456">
        <f>'19_Расчет_аналитики'!AA1455*'01_Вводные'!$B$14</f>
        <v/>
      </c>
      <c r="AC1456">
        <f>'19_Расчет_аналитики'!AB1455*'01_Вводные'!$B$14</f>
        <v/>
      </c>
      <c r="AD1456">
        <f>'19_Расчет_аналитики'!AC1455*'01_Вводные'!$B$14</f>
        <v/>
      </c>
      <c r="AE1456">
        <f>'19_Расчет_аналитики'!AD1455*'01_Вводные'!$B$14</f>
        <v/>
      </c>
      <c r="AF1456">
        <f>'19_Расчет_аналитики'!AE1455*'01_Вводные'!$B$14</f>
        <v/>
      </c>
      <c r="AG1456">
        <f>'19_Расчет_аналитики'!AF1455*'01_Вводные'!$B$14</f>
        <v/>
      </c>
      <c r="AH1456">
        <f>'19_Расчет_аналитики'!AG1455*'01_Вводные'!$B$14</f>
        <v/>
      </c>
      <c r="AI1456">
        <f>'19_Расчет_аналитики'!AH1455*'01_Вводные'!$B$14</f>
        <v/>
      </c>
      <c r="AJ1456">
        <f>'19_Расчет_аналитики'!AI1455*'01_Вводные'!$B$14</f>
        <v/>
      </c>
      <c r="AK1456">
        <f>'19_Расчет_аналитики'!AJ1455*'01_Вводные'!$B$14</f>
        <v/>
      </c>
      <c r="AL1456">
        <f>'19_Расчет_аналитики'!AK1455*'01_Вводные'!$B$14</f>
        <v/>
      </c>
      <c r="AM1456">
        <f>'19_Расчет_аналитики'!AL1455*'01_Вводные'!$B$14</f>
        <v/>
      </c>
      <c r="AN1456">
        <f>'19_Расчет_аналитики'!AM1455*'01_Вводные'!$B$14</f>
        <v/>
      </c>
      <c r="AO1456">
        <f>'19_Расчет_аналитики'!AN1455*'01_Вводные'!$B$14</f>
        <v/>
      </c>
      <c r="AP1456">
        <f>'19_Расчет_аналитики'!AO1455*'01_Вводные'!$B$14</f>
        <v/>
      </c>
      <c r="AQ1456">
        <f>'19_Расчет_аналитики'!AP1455*'01_Вводные'!$B$14</f>
        <v/>
      </c>
      <c r="AR1456">
        <f>'19_Расчет_аналитики'!AQ1455*'01_Вводные'!$B$14</f>
        <v/>
      </c>
      <c r="AS1456">
        <f>'19_Расчет_аналитики'!AR1455*'01_Вводные'!$B$14</f>
        <v/>
      </c>
      <c r="AT1456">
        <f>'19_Расчет_аналитики'!AS1455*'01_Вводные'!$B$14</f>
        <v/>
      </c>
      <c r="AU1456">
        <f>'19_Расчет_аналитики'!AT1455*'01_Вводные'!$B$14</f>
        <v/>
      </c>
      <c r="AV1456">
        <f>'19_Расчет_аналитики'!AU1455*'01_Вводные'!$B$14</f>
        <v/>
      </c>
      <c r="AW1456">
        <f>'19_Расчет_аналитики'!AV1455*'01_Вводные'!$B$14</f>
        <v/>
      </c>
      <c r="AX1456">
        <f>'19_Расчет_аналитики'!AW1455*'01_Вводные'!$B$14</f>
        <v/>
      </c>
      <c r="AY1456">
        <f>'19_Расчет_аналитики'!AX1455*'01_Вводные'!$B$14</f>
        <v/>
      </c>
      <c r="AZ1456">
        <f>'19_Расчет_аналитики'!AY1455*'01_Вводные'!$B$14</f>
        <v/>
      </c>
      <c r="BA1456">
        <f>'19_Расчет_аналитики'!AZ1455*'01_Вводные'!$B$14</f>
        <v/>
      </c>
      <c r="BB1456">
        <f>'19_Расчет_аналитики'!BA1455*'01_Вводные'!$B$14</f>
        <v/>
      </c>
      <c r="BC1456">
        <f>'19_Расчет_аналитики'!BB1455*'01_Вводные'!$B$14</f>
        <v/>
      </c>
      <c r="BD1456">
        <f>'19_Расчет_аналитики'!BC1455*'01_Вводные'!$B$14</f>
        <v/>
      </c>
      <c r="BE1456">
        <f>'19_Расчет_аналитики'!BD1455*'01_Вводные'!$B$14</f>
        <v/>
      </c>
      <c r="BF1456">
        <f>'19_Расчет_аналитики'!BE1455*'01_Вводные'!$B$14</f>
        <v/>
      </c>
      <c r="BG1456">
        <f>'19_Расчет_аналитики'!BF1455*'01_Вводные'!$B$14</f>
        <v/>
      </c>
      <c r="BH1456">
        <f>'19_Расчет_аналитики'!BG1455*'01_Вводные'!$B$14</f>
        <v/>
      </c>
      <c r="BI1456">
        <f>'19_Расчет_аналитики'!BH1455*'01_Вводные'!$B$14</f>
        <v/>
      </c>
      <c r="BJ1456">
        <f>'19_Расчет_аналитики'!BI1455*'01_Вводные'!$B$14</f>
        <v/>
      </c>
      <c r="BK1456">
        <f>'19_Расчет_аналитики'!BJ1455*'01_Вводные'!$B$14</f>
        <v/>
      </c>
      <c r="BL1456">
        <f>'19_Расчет_аналитики'!BK1455*'01_Вводные'!$B$14</f>
        <v/>
      </c>
      <c r="BM1456">
        <f>'19_Расчет_аналитики'!BL1455*'01_Вводные'!$B$14</f>
        <v/>
      </c>
      <c r="BN1456">
        <f>'19_Расчет_аналитики'!BM1455*'01_Вводные'!$B$14</f>
        <v/>
      </c>
      <c r="BO1456">
        <f>'19_Расчет_аналитики'!BN1455*'01_Вводные'!$B$14</f>
        <v/>
      </c>
    </row>
    <row r="1457">
      <c r="B1457">
        <f>'06_Сеть_и_дети'!B90</f>
        <v/>
      </c>
      <c r="C1457">
        <f>'06_Сеть_и_дети'!C90</f>
        <v/>
      </c>
      <c r="D1457">
        <f>'06_Сеть_и_дети'!D90</f>
        <v/>
      </c>
      <c r="E1457">
        <f>'06_Сеть_и_дети'!E90</f>
        <v/>
      </c>
      <c r="F1457">
        <f>'06_Сеть_и_дети'!F90</f>
        <v/>
      </c>
      <c r="G1457">
        <f>'06_Сеть_и_дети'!G90</f>
        <v/>
      </c>
      <c r="H1457">
        <f>'06_Сеть_и_дети'!H90</f>
        <v/>
      </c>
      <c r="I1457">
        <f>'06_Сеть_и_дети'!I90</f>
        <v/>
      </c>
      <c r="J1457">
        <f>'06_Сеть_и_дети'!J90</f>
        <v/>
      </c>
      <c r="K1457">
        <f>'19_Расчет_аналитики'!J1456*'01_Вводные'!$B$14</f>
        <v/>
      </c>
      <c r="L1457">
        <f>'19_Расчет_аналитики'!K1456*'01_Вводные'!$B$14</f>
        <v/>
      </c>
      <c r="M1457">
        <f>'19_Расчет_аналитики'!L1456*'01_Вводные'!$B$14</f>
        <v/>
      </c>
      <c r="N1457">
        <f>'19_Расчет_аналитики'!M1456*'01_Вводные'!$B$14</f>
        <v/>
      </c>
      <c r="O1457">
        <f>'19_Расчет_аналитики'!N1456*'01_Вводные'!$B$14</f>
        <v/>
      </c>
      <c r="P1457">
        <f>'19_Расчет_аналитики'!O1456*'01_Вводные'!$B$14</f>
        <v/>
      </c>
      <c r="Q1457">
        <f>'19_Расчет_аналитики'!P1456*'01_Вводные'!$B$14</f>
        <v/>
      </c>
      <c r="R1457">
        <f>'19_Расчет_аналитики'!Q1456*'01_Вводные'!$B$14</f>
        <v/>
      </c>
      <c r="S1457">
        <f>'19_Расчет_аналитики'!R1456*'01_Вводные'!$B$14</f>
        <v/>
      </c>
      <c r="T1457">
        <f>'19_Расчет_аналитики'!S1456*'01_Вводные'!$B$14</f>
        <v/>
      </c>
      <c r="U1457">
        <f>'19_Расчет_аналитики'!T1456*'01_Вводные'!$B$14</f>
        <v/>
      </c>
      <c r="V1457">
        <f>'19_Расчет_аналитики'!U1456*'01_Вводные'!$B$14</f>
        <v/>
      </c>
      <c r="W1457">
        <f>'19_Расчет_аналитики'!V1456*'01_Вводные'!$B$14</f>
        <v/>
      </c>
      <c r="X1457">
        <f>'19_Расчет_аналитики'!W1456*'01_Вводные'!$B$14</f>
        <v/>
      </c>
      <c r="Y1457">
        <f>'19_Расчет_аналитики'!X1456*'01_Вводные'!$B$14</f>
        <v/>
      </c>
      <c r="Z1457">
        <f>'19_Расчет_аналитики'!Y1456*'01_Вводные'!$B$14</f>
        <v/>
      </c>
      <c r="AA1457">
        <f>'19_Расчет_аналитики'!Z1456*'01_Вводные'!$B$14</f>
        <v/>
      </c>
      <c r="AB1457">
        <f>'19_Расчет_аналитики'!AA1456*'01_Вводные'!$B$14</f>
        <v/>
      </c>
      <c r="AC1457">
        <f>'19_Расчет_аналитики'!AB1456*'01_Вводные'!$B$14</f>
        <v/>
      </c>
      <c r="AD1457">
        <f>'19_Расчет_аналитики'!AC1456*'01_Вводные'!$B$14</f>
        <v/>
      </c>
      <c r="AE1457">
        <f>'19_Расчет_аналитики'!AD1456*'01_Вводные'!$B$14</f>
        <v/>
      </c>
      <c r="AF1457">
        <f>'19_Расчет_аналитики'!AE1456*'01_Вводные'!$B$14</f>
        <v/>
      </c>
      <c r="AG1457">
        <f>'19_Расчет_аналитики'!AF1456*'01_Вводные'!$B$14</f>
        <v/>
      </c>
      <c r="AH1457">
        <f>'19_Расчет_аналитики'!AG1456*'01_Вводные'!$B$14</f>
        <v/>
      </c>
      <c r="AI1457">
        <f>'19_Расчет_аналитики'!AH1456*'01_Вводные'!$B$14</f>
        <v/>
      </c>
      <c r="AJ1457">
        <f>'19_Расчет_аналитики'!AI1456*'01_Вводные'!$B$14</f>
        <v/>
      </c>
      <c r="AK1457">
        <f>'19_Расчет_аналитики'!AJ1456*'01_Вводные'!$B$14</f>
        <v/>
      </c>
      <c r="AL1457">
        <f>'19_Расчет_аналитики'!AK1456*'01_Вводные'!$B$14</f>
        <v/>
      </c>
      <c r="AM1457">
        <f>'19_Расчет_аналитики'!AL1456*'01_Вводные'!$B$14</f>
        <v/>
      </c>
      <c r="AN1457">
        <f>'19_Расчет_аналитики'!AM1456*'01_Вводные'!$B$14</f>
        <v/>
      </c>
      <c r="AO1457">
        <f>'19_Расчет_аналитики'!AN1456*'01_Вводные'!$B$14</f>
        <v/>
      </c>
      <c r="AP1457">
        <f>'19_Расчет_аналитики'!AO1456*'01_Вводные'!$B$14</f>
        <v/>
      </c>
      <c r="AQ1457">
        <f>'19_Расчет_аналитики'!AP1456*'01_Вводные'!$B$14</f>
        <v/>
      </c>
      <c r="AR1457">
        <f>'19_Расчет_аналитики'!AQ1456*'01_Вводные'!$B$14</f>
        <v/>
      </c>
      <c r="AS1457">
        <f>'19_Расчет_аналитики'!AR1456*'01_Вводные'!$B$14</f>
        <v/>
      </c>
      <c r="AT1457">
        <f>'19_Расчет_аналитики'!AS1456*'01_Вводные'!$B$14</f>
        <v/>
      </c>
      <c r="AU1457">
        <f>'19_Расчет_аналитики'!AT1456*'01_Вводные'!$B$14</f>
        <v/>
      </c>
      <c r="AV1457">
        <f>'19_Расчет_аналитики'!AU1456*'01_Вводные'!$B$14</f>
        <v/>
      </c>
      <c r="AW1457">
        <f>'19_Расчет_аналитики'!AV1456*'01_Вводные'!$B$14</f>
        <v/>
      </c>
      <c r="AX1457">
        <f>'19_Расчет_аналитики'!AW1456*'01_Вводные'!$B$14</f>
        <v/>
      </c>
      <c r="AY1457">
        <f>'19_Расчет_аналитики'!AX1456*'01_Вводные'!$B$14</f>
        <v/>
      </c>
      <c r="AZ1457">
        <f>'19_Расчет_аналитики'!AY1456*'01_Вводные'!$B$14</f>
        <v/>
      </c>
      <c r="BA1457">
        <f>'19_Расчет_аналитики'!AZ1456*'01_Вводные'!$B$14</f>
        <v/>
      </c>
      <c r="BB1457">
        <f>'19_Расчет_аналитики'!BA1456*'01_Вводные'!$B$14</f>
        <v/>
      </c>
      <c r="BC1457">
        <f>'19_Расчет_аналитики'!BB1456*'01_Вводные'!$B$14</f>
        <v/>
      </c>
      <c r="BD1457">
        <f>'19_Расчет_аналитики'!BC1456*'01_Вводные'!$B$14</f>
        <v/>
      </c>
      <c r="BE1457">
        <f>'19_Расчет_аналитики'!BD1456*'01_Вводные'!$B$14</f>
        <v/>
      </c>
      <c r="BF1457">
        <f>'19_Расчет_аналитики'!BE1456*'01_Вводные'!$B$14</f>
        <v/>
      </c>
      <c r="BG1457">
        <f>'19_Расчет_аналитики'!BF1456*'01_Вводные'!$B$14</f>
        <v/>
      </c>
      <c r="BH1457">
        <f>'19_Расчет_аналитики'!BG1456*'01_Вводные'!$B$14</f>
        <v/>
      </c>
      <c r="BI1457">
        <f>'19_Расчет_аналитики'!BH1456*'01_Вводные'!$B$14</f>
        <v/>
      </c>
      <c r="BJ1457">
        <f>'19_Расчет_аналитики'!BI1456*'01_Вводные'!$B$14</f>
        <v/>
      </c>
      <c r="BK1457">
        <f>'19_Расчет_аналитики'!BJ1456*'01_Вводные'!$B$14</f>
        <v/>
      </c>
      <c r="BL1457">
        <f>'19_Расчет_аналитики'!BK1456*'01_Вводные'!$B$14</f>
        <v/>
      </c>
      <c r="BM1457">
        <f>'19_Расчет_аналитики'!BL1456*'01_Вводные'!$B$14</f>
        <v/>
      </c>
      <c r="BN1457">
        <f>'19_Расчет_аналитики'!BM1456*'01_Вводные'!$B$14</f>
        <v/>
      </c>
      <c r="BO1457">
        <f>'19_Расчет_аналитики'!BN1456*'01_Вводные'!$B$14</f>
        <v/>
      </c>
    </row>
    <row r="1458">
      <c r="B1458">
        <f>'06_Сеть_и_дети'!B91</f>
        <v/>
      </c>
      <c r="C1458">
        <f>'06_Сеть_и_дети'!C91</f>
        <v/>
      </c>
      <c r="D1458">
        <f>'06_Сеть_и_дети'!D91</f>
        <v/>
      </c>
      <c r="E1458">
        <f>'06_Сеть_и_дети'!E91</f>
        <v/>
      </c>
      <c r="F1458">
        <f>'06_Сеть_и_дети'!F91</f>
        <v/>
      </c>
      <c r="G1458">
        <f>'06_Сеть_и_дети'!G91</f>
        <v/>
      </c>
      <c r="H1458">
        <f>'06_Сеть_и_дети'!H91</f>
        <v/>
      </c>
      <c r="I1458">
        <f>'06_Сеть_и_дети'!I91</f>
        <v/>
      </c>
      <c r="J1458">
        <f>'06_Сеть_и_дети'!J91</f>
        <v/>
      </c>
      <c r="K1458">
        <f>'06_Сеть_и_дети'!K91</f>
        <v/>
      </c>
      <c r="L1458">
        <f>'19_Расчет_аналитики'!K1457*'01_Вводные'!$B$14</f>
        <v/>
      </c>
      <c r="M1458">
        <f>'19_Расчет_аналитики'!L1457*'01_Вводные'!$B$14</f>
        <v/>
      </c>
      <c r="N1458">
        <f>'19_Расчет_аналитики'!M1457*'01_Вводные'!$B$14</f>
        <v/>
      </c>
      <c r="O1458">
        <f>'19_Расчет_аналитики'!N1457*'01_Вводные'!$B$14</f>
        <v/>
      </c>
      <c r="P1458">
        <f>'19_Расчет_аналитики'!O1457*'01_Вводные'!$B$14</f>
        <v/>
      </c>
      <c r="Q1458">
        <f>'19_Расчет_аналитики'!P1457*'01_Вводные'!$B$14</f>
        <v/>
      </c>
      <c r="R1458">
        <f>'19_Расчет_аналитики'!Q1457*'01_Вводные'!$B$14</f>
        <v/>
      </c>
      <c r="S1458">
        <f>'19_Расчет_аналитики'!R1457*'01_Вводные'!$B$14</f>
        <v/>
      </c>
      <c r="T1458">
        <f>'19_Расчет_аналитики'!S1457*'01_Вводные'!$B$14</f>
        <v/>
      </c>
      <c r="U1458">
        <f>'19_Расчет_аналитики'!T1457*'01_Вводные'!$B$14</f>
        <v/>
      </c>
      <c r="V1458">
        <f>'19_Расчет_аналитики'!U1457*'01_Вводные'!$B$14</f>
        <v/>
      </c>
      <c r="W1458">
        <f>'19_Расчет_аналитики'!V1457*'01_Вводные'!$B$14</f>
        <v/>
      </c>
      <c r="X1458">
        <f>'19_Расчет_аналитики'!W1457*'01_Вводные'!$B$14</f>
        <v/>
      </c>
      <c r="Y1458">
        <f>'19_Расчет_аналитики'!X1457*'01_Вводные'!$B$14</f>
        <v/>
      </c>
      <c r="Z1458">
        <f>'19_Расчет_аналитики'!Y1457*'01_Вводные'!$B$14</f>
        <v/>
      </c>
      <c r="AA1458">
        <f>'19_Расчет_аналитики'!Z1457*'01_Вводные'!$B$14</f>
        <v/>
      </c>
      <c r="AB1458">
        <f>'19_Расчет_аналитики'!AA1457*'01_Вводные'!$B$14</f>
        <v/>
      </c>
      <c r="AC1458">
        <f>'19_Расчет_аналитики'!AB1457*'01_Вводные'!$B$14</f>
        <v/>
      </c>
      <c r="AD1458">
        <f>'19_Расчет_аналитики'!AC1457*'01_Вводные'!$B$14</f>
        <v/>
      </c>
      <c r="AE1458">
        <f>'19_Расчет_аналитики'!AD1457*'01_Вводные'!$B$14</f>
        <v/>
      </c>
      <c r="AF1458">
        <f>'19_Расчет_аналитики'!AE1457*'01_Вводные'!$B$14</f>
        <v/>
      </c>
      <c r="AG1458">
        <f>'19_Расчет_аналитики'!AF1457*'01_Вводные'!$B$14</f>
        <v/>
      </c>
      <c r="AH1458">
        <f>'19_Расчет_аналитики'!AG1457*'01_Вводные'!$B$14</f>
        <v/>
      </c>
      <c r="AI1458">
        <f>'19_Расчет_аналитики'!AH1457*'01_Вводные'!$B$14</f>
        <v/>
      </c>
      <c r="AJ1458">
        <f>'19_Расчет_аналитики'!AI1457*'01_Вводные'!$B$14</f>
        <v/>
      </c>
      <c r="AK1458">
        <f>'19_Расчет_аналитики'!AJ1457*'01_Вводные'!$B$14</f>
        <v/>
      </c>
      <c r="AL1458">
        <f>'19_Расчет_аналитики'!AK1457*'01_Вводные'!$B$14</f>
        <v/>
      </c>
      <c r="AM1458">
        <f>'19_Расчет_аналитики'!AL1457*'01_Вводные'!$B$14</f>
        <v/>
      </c>
      <c r="AN1458">
        <f>'19_Расчет_аналитики'!AM1457*'01_Вводные'!$B$14</f>
        <v/>
      </c>
      <c r="AO1458">
        <f>'19_Расчет_аналитики'!AN1457*'01_Вводные'!$B$14</f>
        <v/>
      </c>
      <c r="AP1458">
        <f>'19_Расчет_аналитики'!AO1457*'01_Вводные'!$B$14</f>
        <v/>
      </c>
      <c r="AQ1458">
        <f>'19_Расчет_аналитики'!AP1457*'01_Вводные'!$B$14</f>
        <v/>
      </c>
      <c r="AR1458">
        <f>'19_Расчет_аналитики'!AQ1457*'01_Вводные'!$B$14</f>
        <v/>
      </c>
      <c r="AS1458">
        <f>'19_Расчет_аналитики'!AR1457*'01_Вводные'!$B$14</f>
        <v/>
      </c>
      <c r="AT1458">
        <f>'19_Расчет_аналитики'!AS1457*'01_Вводные'!$B$14</f>
        <v/>
      </c>
      <c r="AU1458">
        <f>'19_Расчет_аналитики'!AT1457*'01_Вводные'!$B$14</f>
        <v/>
      </c>
      <c r="AV1458">
        <f>'19_Расчет_аналитики'!AU1457*'01_Вводные'!$B$14</f>
        <v/>
      </c>
      <c r="AW1458">
        <f>'19_Расчет_аналитики'!AV1457*'01_Вводные'!$B$14</f>
        <v/>
      </c>
      <c r="AX1458">
        <f>'19_Расчет_аналитики'!AW1457*'01_Вводные'!$B$14</f>
        <v/>
      </c>
      <c r="AY1458">
        <f>'19_Расчет_аналитики'!AX1457*'01_Вводные'!$B$14</f>
        <v/>
      </c>
      <c r="AZ1458">
        <f>'19_Расчет_аналитики'!AY1457*'01_Вводные'!$B$14</f>
        <v/>
      </c>
      <c r="BA1458">
        <f>'19_Расчет_аналитики'!AZ1457*'01_Вводные'!$B$14</f>
        <v/>
      </c>
      <c r="BB1458">
        <f>'19_Расчет_аналитики'!BA1457*'01_Вводные'!$B$14</f>
        <v/>
      </c>
      <c r="BC1458">
        <f>'19_Расчет_аналитики'!BB1457*'01_Вводные'!$B$14</f>
        <v/>
      </c>
      <c r="BD1458">
        <f>'19_Расчет_аналитики'!BC1457*'01_Вводные'!$B$14</f>
        <v/>
      </c>
      <c r="BE1458">
        <f>'19_Расчет_аналитики'!BD1457*'01_Вводные'!$B$14</f>
        <v/>
      </c>
      <c r="BF1458">
        <f>'19_Расчет_аналитики'!BE1457*'01_Вводные'!$B$14</f>
        <v/>
      </c>
      <c r="BG1458">
        <f>'19_Расчет_аналитики'!BF1457*'01_Вводные'!$B$14</f>
        <v/>
      </c>
      <c r="BH1458">
        <f>'19_Расчет_аналитики'!BG1457*'01_Вводные'!$B$14</f>
        <v/>
      </c>
      <c r="BI1458">
        <f>'19_Расчет_аналитики'!BH1457*'01_Вводные'!$B$14</f>
        <v/>
      </c>
      <c r="BJ1458">
        <f>'19_Расчет_аналитики'!BI1457*'01_Вводные'!$B$14</f>
        <v/>
      </c>
      <c r="BK1458">
        <f>'19_Расчет_аналитики'!BJ1457*'01_Вводные'!$B$14</f>
        <v/>
      </c>
      <c r="BL1458">
        <f>'19_Расчет_аналитики'!BK1457*'01_Вводные'!$B$14</f>
        <v/>
      </c>
      <c r="BM1458">
        <f>'19_Расчет_аналитики'!BL1457*'01_Вводные'!$B$14</f>
        <v/>
      </c>
      <c r="BN1458">
        <f>'19_Расчет_аналитики'!BM1457*'01_Вводные'!$B$14</f>
        <v/>
      </c>
      <c r="BO1458">
        <f>'19_Расчет_аналитики'!BN1457*'01_Вводные'!$B$14</f>
        <v/>
      </c>
    </row>
    <row r="1459">
      <c r="B1459">
        <f>'06_Сеть_и_дети'!B92</f>
        <v/>
      </c>
      <c r="C1459">
        <f>'06_Сеть_и_дети'!C92</f>
        <v/>
      </c>
      <c r="D1459">
        <f>'06_Сеть_и_дети'!D92</f>
        <v/>
      </c>
      <c r="E1459">
        <f>'06_Сеть_и_дети'!E92</f>
        <v/>
      </c>
      <c r="F1459">
        <f>'06_Сеть_и_дети'!F92</f>
        <v/>
      </c>
      <c r="G1459">
        <f>'06_Сеть_и_дети'!G92</f>
        <v/>
      </c>
      <c r="H1459">
        <f>'06_Сеть_и_дети'!H92</f>
        <v/>
      </c>
      <c r="I1459">
        <f>'06_Сеть_и_дети'!I92</f>
        <v/>
      </c>
      <c r="J1459">
        <f>'06_Сеть_и_дети'!J92</f>
        <v/>
      </c>
      <c r="K1459">
        <f>'06_Сеть_и_дети'!K92</f>
        <v/>
      </c>
      <c r="L1459">
        <f>'06_Сеть_и_дети'!L92</f>
        <v/>
      </c>
      <c r="M1459">
        <f>'19_Расчет_аналитики'!L1458*'01_Вводные'!$B$14</f>
        <v/>
      </c>
      <c r="N1459">
        <f>'19_Расчет_аналитики'!M1458*'01_Вводные'!$B$14</f>
        <v/>
      </c>
      <c r="O1459">
        <f>'19_Расчет_аналитики'!N1458*'01_Вводные'!$B$14</f>
        <v/>
      </c>
      <c r="P1459">
        <f>'19_Расчет_аналитики'!O1458*'01_Вводные'!$B$14</f>
        <v/>
      </c>
      <c r="Q1459">
        <f>'19_Расчет_аналитики'!P1458*'01_Вводные'!$B$14</f>
        <v/>
      </c>
      <c r="R1459">
        <f>'19_Расчет_аналитики'!Q1458*'01_Вводные'!$B$14</f>
        <v/>
      </c>
      <c r="S1459">
        <f>'19_Расчет_аналитики'!R1458*'01_Вводные'!$B$14</f>
        <v/>
      </c>
      <c r="T1459">
        <f>'19_Расчет_аналитики'!S1458*'01_Вводные'!$B$14</f>
        <v/>
      </c>
      <c r="U1459">
        <f>'19_Расчет_аналитики'!T1458*'01_Вводные'!$B$14</f>
        <v/>
      </c>
      <c r="V1459">
        <f>'19_Расчет_аналитики'!U1458*'01_Вводные'!$B$14</f>
        <v/>
      </c>
      <c r="W1459">
        <f>'19_Расчет_аналитики'!V1458*'01_Вводные'!$B$14</f>
        <v/>
      </c>
      <c r="X1459">
        <f>'19_Расчет_аналитики'!W1458*'01_Вводные'!$B$14</f>
        <v/>
      </c>
      <c r="Y1459">
        <f>'19_Расчет_аналитики'!X1458*'01_Вводные'!$B$14</f>
        <v/>
      </c>
      <c r="Z1459">
        <f>'19_Расчет_аналитики'!Y1458*'01_Вводные'!$B$14</f>
        <v/>
      </c>
      <c r="AA1459">
        <f>'19_Расчет_аналитики'!Z1458*'01_Вводные'!$B$14</f>
        <v/>
      </c>
      <c r="AB1459">
        <f>'19_Расчет_аналитики'!AA1458*'01_Вводные'!$B$14</f>
        <v/>
      </c>
      <c r="AC1459">
        <f>'19_Расчет_аналитики'!AB1458*'01_Вводные'!$B$14</f>
        <v/>
      </c>
      <c r="AD1459">
        <f>'19_Расчет_аналитики'!AC1458*'01_Вводные'!$B$14</f>
        <v/>
      </c>
      <c r="AE1459">
        <f>'19_Расчет_аналитики'!AD1458*'01_Вводные'!$B$14</f>
        <v/>
      </c>
      <c r="AF1459">
        <f>'19_Расчет_аналитики'!AE1458*'01_Вводные'!$B$14</f>
        <v/>
      </c>
      <c r="AG1459">
        <f>'19_Расчет_аналитики'!AF1458*'01_Вводные'!$B$14</f>
        <v/>
      </c>
      <c r="AH1459">
        <f>'19_Расчет_аналитики'!AG1458*'01_Вводные'!$B$14</f>
        <v/>
      </c>
      <c r="AI1459">
        <f>'19_Расчет_аналитики'!AH1458*'01_Вводные'!$B$14</f>
        <v/>
      </c>
      <c r="AJ1459">
        <f>'19_Расчет_аналитики'!AI1458*'01_Вводные'!$B$14</f>
        <v/>
      </c>
      <c r="AK1459">
        <f>'19_Расчет_аналитики'!AJ1458*'01_Вводные'!$B$14</f>
        <v/>
      </c>
      <c r="AL1459">
        <f>'19_Расчет_аналитики'!AK1458*'01_Вводные'!$B$14</f>
        <v/>
      </c>
      <c r="AM1459">
        <f>'19_Расчет_аналитики'!AL1458*'01_Вводные'!$B$14</f>
        <v/>
      </c>
      <c r="AN1459">
        <f>'19_Расчет_аналитики'!AM1458*'01_Вводные'!$B$14</f>
        <v/>
      </c>
      <c r="AO1459">
        <f>'19_Расчет_аналитики'!AN1458*'01_Вводные'!$B$14</f>
        <v/>
      </c>
      <c r="AP1459">
        <f>'19_Расчет_аналитики'!AO1458*'01_Вводные'!$B$14</f>
        <v/>
      </c>
      <c r="AQ1459">
        <f>'19_Расчет_аналитики'!AP1458*'01_Вводные'!$B$14</f>
        <v/>
      </c>
      <c r="AR1459">
        <f>'19_Расчет_аналитики'!AQ1458*'01_Вводные'!$B$14</f>
        <v/>
      </c>
      <c r="AS1459">
        <f>'19_Расчет_аналитики'!AR1458*'01_Вводные'!$B$14</f>
        <v/>
      </c>
      <c r="AT1459">
        <f>'19_Расчет_аналитики'!AS1458*'01_Вводные'!$B$14</f>
        <v/>
      </c>
      <c r="AU1459">
        <f>'19_Расчет_аналитики'!AT1458*'01_Вводные'!$B$14</f>
        <v/>
      </c>
      <c r="AV1459">
        <f>'19_Расчет_аналитики'!AU1458*'01_Вводные'!$B$14</f>
        <v/>
      </c>
      <c r="AW1459">
        <f>'19_Расчет_аналитики'!AV1458*'01_Вводные'!$B$14</f>
        <v/>
      </c>
      <c r="AX1459">
        <f>'19_Расчет_аналитики'!AW1458*'01_Вводные'!$B$14</f>
        <v/>
      </c>
      <c r="AY1459">
        <f>'19_Расчет_аналитики'!AX1458*'01_Вводные'!$B$14</f>
        <v/>
      </c>
      <c r="AZ1459">
        <f>'19_Расчет_аналитики'!AY1458*'01_Вводные'!$B$14</f>
        <v/>
      </c>
      <c r="BA1459">
        <f>'19_Расчет_аналитики'!AZ1458*'01_Вводные'!$B$14</f>
        <v/>
      </c>
      <c r="BB1459">
        <f>'19_Расчет_аналитики'!BA1458*'01_Вводные'!$B$14</f>
        <v/>
      </c>
      <c r="BC1459">
        <f>'19_Расчет_аналитики'!BB1458*'01_Вводные'!$B$14</f>
        <v/>
      </c>
      <c r="BD1459">
        <f>'19_Расчет_аналитики'!BC1458*'01_Вводные'!$B$14</f>
        <v/>
      </c>
      <c r="BE1459">
        <f>'19_Расчет_аналитики'!BD1458*'01_Вводные'!$B$14</f>
        <v/>
      </c>
      <c r="BF1459">
        <f>'19_Расчет_аналитики'!BE1458*'01_Вводные'!$B$14</f>
        <v/>
      </c>
      <c r="BG1459">
        <f>'19_Расчет_аналитики'!BF1458*'01_Вводные'!$B$14</f>
        <v/>
      </c>
      <c r="BH1459">
        <f>'19_Расчет_аналитики'!BG1458*'01_Вводные'!$B$14</f>
        <v/>
      </c>
      <c r="BI1459">
        <f>'19_Расчет_аналитики'!BH1458*'01_Вводные'!$B$14</f>
        <v/>
      </c>
      <c r="BJ1459">
        <f>'19_Расчет_аналитики'!BI1458*'01_Вводные'!$B$14</f>
        <v/>
      </c>
      <c r="BK1459">
        <f>'19_Расчет_аналитики'!BJ1458*'01_Вводные'!$B$14</f>
        <v/>
      </c>
      <c r="BL1459">
        <f>'19_Расчет_аналитики'!BK1458*'01_Вводные'!$B$14</f>
        <v/>
      </c>
      <c r="BM1459">
        <f>'19_Расчет_аналитики'!BL1458*'01_Вводные'!$B$14</f>
        <v/>
      </c>
      <c r="BN1459">
        <f>'19_Расчет_аналитики'!BM1458*'01_Вводные'!$B$14</f>
        <v/>
      </c>
      <c r="BO1459">
        <f>'19_Расчет_аналитики'!BN1458*'01_Вводные'!$B$14</f>
        <v/>
      </c>
    </row>
    <row r="1460">
      <c r="N1460">
        <f>'19_Расчет_аналитики'!M1459*'01_Вводные'!$B$14</f>
        <v/>
      </c>
      <c r="O1460">
        <f>'19_Расчет_аналитики'!N1459*'01_Вводные'!$B$14</f>
        <v/>
      </c>
      <c r="P1460">
        <f>'19_Расчет_аналитики'!O1459*'01_Вводные'!$B$14</f>
        <v/>
      </c>
      <c r="Q1460">
        <f>'19_Расчет_аналитики'!P1459*'01_Вводные'!$B$14</f>
        <v/>
      </c>
      <c r="R1460">
        <f>'19_Расчет_аналитики'!Q1459*'01_Вводные'!$B$14</f>
        <v/>
      </c>
      <c r="S1460">
        <f>'19_Расчет_аналитики'!R1459*'01_Вводные'!$B$14</f>
        <v/>
      </c>
      <c r="T1460">
        <f>'19_Расчет_аналитики'!S1459*'01_Вводные'!$B$14</f>
        <v/>
      </c>
      <c r="U1460">
        <f>'19_Расчет_аналитики'!T1459*'01_Вводные'!$B$14</f>
        <v/>
      </c>
      <c r="V1460">
        <f>'19_Расчет_аналитики'!U1459*'01_Вводные'!$B$14</f>
        <v/>
      </c>
      <c r="W1460">
        <f>'19_Расчет_аналитики'!V1459*'01_Вводные'!$B$14</f>
        <v/>
      </c>
      <c r="X1460">
        <f>'19_Расчет_аналитики'!W1459*'01_Вводные'!$B$14</f>
        <v/>
      </c>
      <c r="Y1460">
        <f>'19_Расчет_аналитики'!X1459*'01_Вводные'!$B$14</f>
        <v/>
      </c>
      <c r="Z1460">
        <f>'19_Расчет_аналитики'!Y1459*'01_Вводные'!$B$14</f>
        <v/>
      </c>
      <c r="AA1460">
        <f>'19_Расчет_аналитики'!Z1459*'01_Вводные'!$B$14</f>
        <v/>
      </c>
      <c r="AB1460">
        <f>'19_Расчет_аналитики'!AA1459*'01_Вводные'!$B$14</f>
        <v/>
      </c>
      <c r="AC1460">
        <f>'19_Расчет_аналитики'!AB1459*'01_Вводные'!$B$14</f>
        <v/>
      </c>
      <c r="AD1460">
        <f>'19_Расчет_аналитики'!AC1459*'01_Вводные'!$B$14</f>
        <v/>
      </c>
      <c r="AE1460">
        <f>'19_Расчет_аналитики'!AD1459*'01_Вводные'!$B$14</f>
        <v/>
      </c>
      <c r="AF1460">
        <f>'19_Расчет_аналитики'!AE1459*'01_Вводные'!$B$14</f>
        <v/>
      </c>
      <c r="AG1460">
        <f>'19_Расчет_аналитики'!AF1459*'01_Вводные'!$B$14</f>
        <v/>
      </c>
      <c r="AH1460">
        <f>'19_Расчет_аналитики'!AG1459*'01_Вводные'!$B$14</f>
        <v/>
      </c>
      <c r="AI1460">
        <f>'19_Расчет_аналитики'!AH1459*'01_Вводные'!$B$14</f>
        <v/>
      </c>
      <c r="AJ1460">
        <f>'19_Расчет_аналитики'!AI1459*'01_Вводные'!$B$14</f>
        <v/>
      </c>
      <c r="AK1460">
        <f>'19_Расчет_аналитики'!AJ1459*'01_Вводные'!$B$14</f>
        <v/>
      </c>
      <c r="AL1460">
        <f>'19_Расчет_аналитики'!AK1459*'01_Вводные'!$B$14</f>
        <v/>
      </c>
      <c r="AM1460">
        <f>'19_Расчет_аналитики'!AL1459*'01_Вводные'!$B$14</f>
        <v/>
      </c>
      <c r="AN1460">
        <f>'19_Расчет_аналитики'!AM1459*'01_Вводные'!$B$14</f>
        <v/>
      </c>
      <c r="AO1460">
        <f>'19_Расчет_аналитики'!AN1459*'01_Вводные'!$B$14</f>
        <v/>
      </c>
      <c r="AP1460">
        <f>'19_Расчет_аналитики'!AO1459*'01_Вводные'!$B$14</f>
        <v/>
      </c>
      <c r="AQ1460">
        <f>'19_Расчет_аналитики'!AP1459*'01_Вводные'!$B$14</f>
        <v/>
      </c>
      <c r="AR1460">
        <f>'19_Расчет_аналитики'!AQ1459*'01_Вводные'!$B$14</f>
        <v/>
      </c>
      <c r="AS1460">
        <f>'19_Расчет_аналитики'!AR1459*'01_Вводные'!$B$14</f>
        <v/>
      </c>
      <c r="AT1460">
        <f>'19_Расчет_аналитики'!AS1459*'01_Вводные'!$B$14</f>
        <v/>
      </c>
      <c r="AU1460">
        <f>'19_Расчет_аналитики'!AT1459*'01_Вводные'!$B$14</f>
        <v/>
      </c>
      <c r="AV1460">
        <f>'19_Расчет_аналитики'!AU1459*'01_Вводные'!$B$14</f>
        <v/>
      </c>
      <c r="AW1460">
        <f>'19_Расчет_аналитики'!AV1459*'01_Вводные'!$B$14</f>
        <v/>
      </c>
      <c r="AX1460">
        <f>'19_Расчет_аналитики'!AW1459*'01_Вводные'!$B$14</f>
        <v/>
      </c>
      <c r="AY1460">
        <f>'19_Расчет_аналитики'!AX1459*'01_Вводные'!$B$14</f>
        <v/>
      </c>
      <c r="AZ1460">
        <f>'19_Расчет_аналитики'!AY1459*'01_Вводные'!$B$14</f>
        <v/>
      </c>
      <c r="BA1460">
        <f>'19_Расчет_аналитики'!AZ1459*'01_Вводные'!$B$14</f>
        <v/>
      </c>
      <c r="BB1460">
        <f>'19_Расчет_аналитики'!BA1459*'01_Вводные'!$B$14</f>
        <v/>
      </c>
      <c r="BC1460">
        <f>'19_Расчет_аналитики'!BB1459*'01_Вводные'!$B$14</f>
        <v/>
      </c>
      <c r="BD1460">
        <f>'19_Расчет_аналитики'!BC1459*'01_Вводные'!$B$14</f>
        <v/>
      </c>
      <c r="BE1460">
        <f>'19_Расчет_аналитики'!BD1459*'01_Вводные'!$B$14</f>
        <v/>
      </c>
      <c r="BF1460">
        <f>'19_Расчет_аналитики'!BE1459*'01_Вводные'!$B$14</f>
        <v/>
      </c>
      <c r="BG1460">
        <f>'19_Расчет_аналитики'!BF1459*'01_Вводные'!$B$14</f>
        <v/>
      </c>
      <c r="BH1460">
        <f>'19_Расчет_аналитики'!BG1459*'01_Вводные'!$B$14</f>
        <v/>
      </c>
      <c r="BI1460">
        <f>'19_Расчет_аналитики'!BH1459*'01_Вводные'!$B$14</f>
        <v/>
      </c>
      <c r="BJ1460">
        <f>'19_Расчет_аналитики'!BI1459*'01_Вводные'!$B$14</f>
        <v/>
      </c>
      <c r="BK1460">
        <f>'19_Расчет_аналитики'!BJ1459*'01_Вводные'!$B$14</f>
        <v/>
      </c>
      <c r="BL1460">
        <f>'19_Расчет_аналитики'!BK1459*'01_Вводные'!$B$14</f>
        <v/>
      </c>
      <c r="BM1460">
        <f>'19_Расчет_аналитики'!BL1459*'01_Вводные'!$B$14</f>
        <v/>
      </c>
      <c r="BN1460">
        <f>'19_Расчет_аналитики'!BM1459*'01_Вводные'!$B$14</f>
        <v/>
      </c>
      <c r="BO1460">
        <f>'19_Расчет_аналитики'!BN1459*'01_Вводные'!$B$14</f>
        <v/>
      </c>
    </row>
    <row r="1461">
      <c r="N1461">
        <f>'06_Сеть_и_дети'!N94</f>
        <v/>
      </c>
      <c r="O1461">
        <f>'19_Расчет_аналитики'!N1460*'01_Вводные'!$B$14</f>
        <v/>
      </c>
      <c r="P1461">
        <f>'19_Расчет_аналитики'!O1460*'01_Вводные'!$B$14</f>
        <v/>
      </c>
      <c r="Q1461">
        <f>'19_Расчет_аналитики'!P1460*'01_Вводные'!$B$14</f>
        <v/>
      </c>
      <c r="R1461">
        <f>'19_Расчет_аналитики'!Q1460*'01_Вводные'!$B$14</f>
        <v/>
      </c>
      <c r="S1461">
        <f>'19_Расчет_аналитики'!R1460*'01_Вводные'!$B$14</f>
        <v/>
      </c>
      <c r="T1461">
        <f>'19_Расчет_аналитики'!S1460*'01_Вводные'!$B$14</f>
        <v/>
      </c>
      <c r="U1461">
        <f>'19_Расчет_аналитики'!T1460*'01_Вводные'!$B$14</f>
        <v/>
      </c>
      <c r="V1461">
        <f>'19_Расчет_аналитики'!U1460*'01_Вводные'!$B$14</f>
        <v/>
      </c>
      <c r="W1461">
        <f>'19_Расчет_аналитики'!V1460*'01_Вводные'!$B$14</f>
        <v/>
      </c>
      <c r="X1461">
        <f>'19_Расчет_аналитики'!W1460*'01_Вводные'!$B$14</f>
        <v/>
      </c>
      <c r="Y1461">
        <f>'19_Расчет_аналитики'!X1460*'01_Вводные'!$B$14</f>
        <v/>
      </c>
      <c r="Z1461">
        <f>'19_Расчет_аналитики'!Y1460*'01_Вводные'!$B$14</f>
        <v/>
      </c>
      <c r="AA1461">
        <f>'19_Расчет_аналитики'!Z1460*'01_Вводные'!$B$14</f>
        <v/>
      </c>
      <c r="AB1461">
        <f>'19_Расчет_аналитики'!AA1460*'01_Вводные'!$B$14</f>
        <v/>
      </c>
      <c r="AC1461">
        <f>'19_Расчет_аналитики'!AB1460*'01_Вводные'!$B$14</f>
        <v/>
      </c>
      <c r="AD1461">
        <f>'19_Расчет_аналитики'!AC1460*'01_Вводные'!$B$14</f>
        <v/>
      </c>
      <c r="AE1461">
        <f>'19_Расчет_аналитики'!AD1460*'01_Вводные'!$B$14</f>
        <v/>
      </c>
      <c r="AF1461">
        <f>'19_Расчет_аналитики'!AE1460*'01_Вводные'!$B$14</f>
        <v/>
      </c>
      <c r="AG1461">
        <f>'19_Расчет_аналитики'!AF1460*'01_Вводные'!$B$14</f>
        <v/>
      </c>
      <c r="AH1461">
        <f>'19_Расчет_аналитики'!AG1460*'01_Вводные'!$B$14</f>
        <v/>
      </c>
      <c r="AI1461">
        <f>'19_Расчет_аналитики'!AH1460*'01_Вводные'!$B$14</f>
        <v/>
      </c>
      <c r="AJ1461">
        <f>'19_Расчет_аналитики'!AI1460*'01_Вводные'!$B$14</f>
        <v/>
      </c>
      <c r="AK1461">
        <f>'19_Расчет_аналитики'!AJ1460*'01_Вводные'!$B$14</f>
        <v/>
      </c>
      <c r="AL1461">
        <f>'19_Расчет_аналитики'!AK1460*'01_Вводные'!$B$14</f>
        <v/>
      </c>
      <c r="AM1461">
        <f>'19_Расчет_аналитики'!AL1460*'01_Вводные'!$B$14</f>
        <v/>
      </c>
      <c r="AN1461">
        <f>'19_Расчет_аналитики'!AM1460*'01_Вводные'!$B$14</f>
        <v/>
      </c>
      <c r="AO1461">
        <f>'19_Расчет_аналитики'!AN1460*'01_Вводные'!$B$14</f>
        <v/>
      </c>
      <c r="AP1461">
        <f>'19_Расчет_аналитики'!AO1460*'01_Вводные'!$B$14</f>
        <v/>
      </c>
      <c r="AQ1461">
        <f>'19_Расчет_аналитики'!AP1460*'01_Вводные'!$B$14</f>
        <v/>
      </c>
      <c r="AR1461">
        <f>'19_Расчет_аналитики'!AQ1460*'01_Вводные'!$B$14</f>
        <v/>
      </c>
      <c r="AS1461">
        <f>'19_Расчет_аналитики'!AR1460*'01_Вводные'!$B$14</f>
        <v/>
      </c>
      <c r="AT1461">
        <f>'19_Расчет_аналитики'!AS1460*'01_Вводные'!$B$14</f>
        <v/>
      </c>
      <c r="AU1461">
        <f>'19_Расчет_аналитики'!AT1460*'01_Вводные'!$B$14</f>
        <v/>
      </c>
      <c r="AV1461">
        <f>'19_Расчет_аналитики'!AU1460*'01_Вводные'!$B$14</f>
        <v/>
      </c>
      <c r="AW1461">
        <f>'19_Расчет_аналитики'!AV1460*'01_Вводные'!$B$14</f>
        <v/>
      </c>
      <c r="AX1461">
        <f>'19_Расчет_аналитики'!AW1460*'01_Вводные'!$B$14</f>
        <v/>
      </c>
      <c r="AY1461">
        <f>'19_Расчет_аналитики'!AX1460*'01_Вводные'!$B$14</f>
        <v/>
      </c>
      <c r="AZ1461">
        <f>'19_Расчет_аналитики'!AY1460*'01_Вводные'!$B$14</f>
        <v/>
      </c>
      <c r="BA1461">
        <f>'19_Расчет_аналитики'!AZ1460*'01_Вводные'!$B$14</f>
        <v/>
      </c>
      <c r="BB1461">
        <f>'19_Расчет_аналитики'!BA1460*'01_Вводные'!$B$14</f>
        <v/>
      </c>
      <c r="BC1461">
        <f>'19_Расчет_аналитики'!BB1460*'01_Вводные'!$B$14</f>
        <v/>
      </c>
      <c r="BD1461">
        <f>'19_Расчет_аналитики'!BC1460*'01_Вводные'!$B$14</f>
        <v/>
      </c>
      <c r="BE1461">
        <f>'19_Расчет_аналитики'!BD1460*'01_Вводные'!$B$14</f>
        <v/>
      </c>
      <c r="BF1461">
        <f>'19_Расчет_аналитики'!BE1460*'01_Вводные'!$B$14</f>
        <v/>
      </c>
      <c r="BG1461">
        <f>'19_Расчет_аналитики'!BF1460*'01_Вводные'!$B$14</f>
        <v/>
      </c>
      <c r="BH1461">
        <f>'19_Расчет_аналитики'!BG1460*'01_Вводные'!$B$14</f>
        <v/>
      </c>
      <c r="BI1461">
        <f>'19_Расчет_аналитики'!BH1460*'01_Вводные'!$B$14</f>
        <v/>
      </c>
      <c r="BJ1461">
        <f>'19_Расчет_аналитики'!BI1460*'01_Вводные'!$B$14</f>
        <v/>
      </c>
      <c r="BK1461">
        <f>'19_Расчет_аналитики'!BJ1460*'01_Вводные'!$B$14</f>
        <v/>
      </c>
      <c r="BL1461">
        <f>'19_Расчет_аналитики'!BK1460*'01_Вводные'!$B$14</f>
        <v/>
      </c>
      <c r="BM1461">
        <f>'19_Расчет_аналитики'!BL1460*'01_Вводные'!$B$14</f>
        <v/>
      </c>
      <c r="BN1461">
        <f>'19_Расчет_аналитики'!BM1460*'01_Вводные'!$B$14</f>
        <v/>
      </c>
      <c r="BO1461">
        <f>'19_Расчет_аналитики'!BN1460*'01_Вводные'!$B$14</f>
        <v/>
      </c>
    </row>
    <row r="1462">
      <c r="N1462">
        <f>'06_Сеть_и_дети'!N95</f>
        <v/>
      </c>
      <c r="O1462">
        <f>'06_Сеть_и_дети'!O95</f>
        <v/>
      </c>
      <c r="P1462">
        <f>'19_Расчет_аналитики'!O1461*'01_Вводные'!$B$14</f>
        <v/>
      </c>
      <c r="Q1462">
        <f>'19_Расчет_аналитики'!P1461*'01_Вводные'!$B$14</f>
        <v/>
      </c>
      <c r="R1462">
        <f>'19_Расчет_аналитики'!Q1461*'01_Вводные'!$B$14</f>
        <v/>
      </c>
      <c r="S1462">
        <f>'19_Расчет_аналитики'!R1461*'01_Вводные'!$B$14</f>
        <v/>
      </c>
      <c r="T1462">
        <f>'19_Расчет_аналитики'!S1461*'01_Вводные'!$B$14</f>
        <v/>
      </c>
      <c r="U1462">
        <f>'19_Расчет_аналитики'!T1461*'01_Вводные'!$B$14</f>
        <v/>
      </c>
      <c r="V1462">
        <f>'19_Расчет_аналитики'!U1461*'01_Вводные'!$B$14</f>
        <v/>
      </c>
      <c r="W1462">
        <f>'19_Расчет_аналитики'!V1461*'01_Вводные'!$B$14</f>
        <v/>
      </c>
      <c r="X1462">
        <f>'19_Расчет_аналитики'!W1461*'01_Вводные'!$B$14</f>
        <v/>
      </c>
      <c r="Y1462">
        <f>'19_Расчет_аналитики'!X1461*'01_Вводные'!$B$14</f>
        <v/>
      </c>
      <c r="Z1462">
        <f>'19_Расчет_аналитики'!Y1461*'01_Вводные'!$B$14</f>
        <v/>
      </c>
      <c r="AA1462">
        <f>'19_Расчет_аналитики'!Z1461*'01_Вводные'!$B$14</f>
        <v/>
      </c>
      <c r="AB1462">
        <f>'19_Расчет_аналитики'!AA1461*'01_Вводные'!$B$14</f>
        <v/>
      </c>
      <c r="AC1462">
        <f>'19_Расчет_аналитики'!AB1461*'01_Вводные'!$B$14</f>
        <v/>
      </c>
      <c r="AD1462">
        <f>'19_Расчет_аналитики'!AC1461*'01_Вводные'!$B$14</f>
        <v/>
      </c>
      <c r="AE1462">
        <f>'19_Расчет_аналитики'!AD1461*'01_Вводные'!$B$14</f>
        <v/>
      </c>
      <c r="AF1462">
        <f>'19_Расчет_аналитики'!AE1461*'01_Вводные'!$B$14</f>
        <v/>
      </c>
      <c r="AG1462">
        <f>'19_Расчет_аналитики'!AF1461*'01_Вводные'!$B$14</f>
        <v/>
      </c>
      <c r="AH1462">
        <f>'19_Расчет_аналитики'!AG1461*'01_Вводные'!$B$14</f>
        <v/>
      </c>
      <c r="AI1462">
        <f>'19_Расчет_аналитики'!AH1461*'01_Вводные'!$B$14</f>
        <v/>
      </c>
      <c r="AJ1462">
        <f>'19_Расчет_аналитики'!AI1461*'01_Вводные'!$B$14</f>
        <v/>
      </c>
      <c r="AK1462">
        <f>'19_Расчет_аналитики'!AJ1461*'01_Вводные'!$B$14</f>
        <v/>
      </c>
      <c r="AL1462">
        <f>'19_Расчет_аналитики'!AK1461*'01_Вводные'!$B$14</f>
        <v/>
      </c>
      <c r="AM1462">
        <f>'19_Расчет_аналитики'!AL1461*'01_Вводные'!$B$14</f>
        <v/>
      </c>
      <c r="AN1462">
        <f>'19_Расчет_аналитики'!AM1461*'01_Вводные'!$B$14</f>
        <v/>
      </c>
      <c r="AO1462">
        <f>'19_Расчет_аналитики'!AN1461*'01_Вводные'!$B$14</f>
        <v/>
      </c>
      <c r="AP1462">
        <f>'19_Расчет_аналитики'!AO1461*'01_Вводные'!$B$14</f>
        <v/>
      </c>
      <c r="AQ1462">
        <f>'19_Расчет_аналитики'!AP1461*'01_Вводные'!$B$14</f>
        <v/>
      </c>
      <c r="AR1462">
        <f>'19_Расчет_аналитики'!AQ1461*'01_Вводные'!$B$14</f>
        <v/>
      </c>
      <c r="AS1462">
        <f>'19_Расчет_аналитики'!AR1461*'01_Вводные'!$B$14</f>
        <v/>
      </c>
      <c r="AT1462">
        <f>'19_Расчет_аналитики'!AS1461*'01_Вводные'!$B$14</f>
        <v/>
      </c>
      <c r="AU1462">
        <f>'19_Расчет_аналитики'!AT1461*'01_Вводные'!$B$14</f>
        <v/>
      </c>
      <c r="AV1462">
        <f>'19_Расчет_аналитики'!AU1461*'01_Вводные'!$B$14</f>
        <v/>
      </c>
      <c r="AW1462">
        <f>'19_Расчет_аналитики'!AV1461*'01_Вводные'!$B$14</f>
        <v/>
      </c>
      <c r="AX1462">
        <f>'19_Расчет_аналитики'!AW1461*'01_Вводные'!$B$14</f>
        <v/>
      </c>
      <c r="AY1462">
        <f>'19_Расчет_аналитики'!AX1461*'01_Вводные'!$B$14</f>
        <v/>
      </c>
      <c r="AZ1462">
        <f>'19_Расчет_аналитики'!AY1461*'01_Вводные'!$B$14</f>
        <v/>
      </c>
      <c r="BA1462">
        <f>'19_Расчет_аналитики'!AZ1461*'01_Вводные'!$B$14</f>
        <v/>
      </c>
      <c r="BB1462">
        <f>'19_Расчет_аналитики'!BA1461*'01_Вводные'!$B$14</f>
        <v/>
      </c>
      <c r="BC1462">
        <f>'19_Расчет_аналитики'!BB1461*'01_Вводные'!$B$14</f>
        <v/>
      </c>
      <c r="BD1462">
        <f>'19_Расчет_аналитики'!BC1461*'01_Вводные'!$B$14</f>
        <v/>
      </c>
      <c r="BE1462">
        <f>'19_Расчет_аналитики'!BD1461*'01_Вводные'!$B$14</f>
        <v/>
      </c>
      <c r="BF1462">
        <f>'19_Расчет_аналитики'!BE1461*'01_Вводные'!$B$14</f>
        <v/>
      </c>
      <c r="BG1462">
        <f>'19_Расчет_аналитики'!BF1461*'01_Вводные'!$B$14</f>
        <v/>
      </c>
      <c r="BH1462">
        <f>'19_Расчет_аналитики'!BG1461*'01_Вводные'!$B$14</f>
        <v/>
      </c>
      <c r="BI1462">
        <f>'19_Расчет_аналитики'!BH1461*'01_Вводные'!$B$14</f>
        <v/>
      </c>
      <c r="BJ1462">
        <f>'19_Расчет_аналитики'!BI1461*'01_Вводные'!$B$14</f>
        <v/>
      </c>
      <c r="BK1462">
        <f>'19_Расчет_аналитики'!BJ1461*'01_Вводные'!$B$14</f>
        <v/>
      </c>
      <c r="BL1462">
        <f>'19_Расчет_аналитики'!BK1461*'01_Вводные'!$B$14</f>
        <v/>
      </c>
      <c r="BM1462">
        <f>'19_Расчет_аналитики'!BL1461*'01_Вводные'!$B$14</f>
        <v/>
      </c>
      <c r="BN1462">
        <f>'19_Расчет_аналитики'!BM1461*'01_Вводные'!$B$14</f>
        <v/>
      </c>
      <c r="BO1462">
        <f>'19_Расчет_аналитики'!BN1461*'01_Вводные'!$B$14</f>
        <v/>
      </c>
    </row>
    <row r="1463">
      <c r="N1463">
        <f>'06_Сеть_и_дети'!N96</f>
        <v/>
      </c>
      <c r="O1463">
        <f>'06_Сеть_и_дети'!O96</f>
        <v/>
      </c>
      <c r="P1463">
        <f>'06_Сеть_и_дети'!P96</f>
        <v/>
      </c>
      <c r="Q1463">
        <f>'19_Расчет_аналитики'!P1462*'01_Вводные'!$B$14</f>
        <v/>
      </c>
      <c r="R1463">
        <f>'19_Расчет_аналитики'!Q1462*'01_Вводные'!$B$14</f>
        <v/>
      </c>
      <c r="S1463">
        <f>'19_Расчет_аналитики'!R1462*'01_Вводные'!$B$14</f>
        <v/>
      </c>
      <c r="T1463">
        <f>'19_Расчет_аналитики'!S1462*'01_Вводные'!$B$14</f>
        <v/>
      </c>
      <c r="U1463">
        <f>'19_Расчет_аналитики'!T1462*'01_Вводные'!$B$14</f>
        <v/>
      </c>
      <c r="V1463">
        <f>'19_Расчет_аналитики'!U1462*'01_Вводные'!$B$14</f>
        <v/>
      </c>
      <c r="W1463">
        <f>'19_Расчет_аналитики'!V1462*'01_Вводные'!$B$14</f>
        <v/>
      </c>
      <c r="X1463">
        <f>'19_Расчет_аналитики'!W1462*'01_Вводные'!$B$14</f>
        <v/>
      </c>
      <c r="Y1463">
        <f>'19_Расчет_аналитики'!X1462*'01_Вводные'!$B$14</f>
        <v/>
      </c>
      <c r="Z1463">
        <f>'19_Расчет_аналитики'!Y1462*'01_Вводные'!$B$14</f>
        <v/>
      </c>
      <c r="AA1463">
        <f>'19_Расчет_аналитики'!Z1462*'01_Вводные'!$B$14</f>
        <v/>
      </c>
      <c r="AB1463">
        <f>'19_Расчет_аналитики'!AA1462*'01_Вводные'!$B$14</f>
        <v/>
      </c>
      <c r="AC1463">
        <f>'19_Расчет_аналитики'!AB1462*'01_Вводные'!$B$14</f>
        <v/>
      </c>
      <c r="AD1463">
        <f>'19_Расчет_аналитики'!AC1462*'01_Вводные'!$B$14</f>
        <v/>
      </c>
      <c r="AE1463">
        <f>'19_Расчет_аналитики'!AD1462*'01_Вводные'!$B$14</f>
        <v/>
      </c>
      <c r="AF1463">
        <f>'19_Расчет_аналитики'!AE1462*'01_Вводные'!$B$14</f>
        <v/>
      </c>
      <c r="AG1463">
        <f>'19_Расчет_аналитики'!AF1462*'01_Вводные'!$B$14</f>
        <v/>
      </c>
      <c r="AH1463">
        <f>'19_Расчет_аналитики'!AG1462*'01_Вводные'!$B$14</f>
        <v/>
      </c>
      <c r="AI1463">
        <f>'19_Расчет_аналитики'!AH1462*'01_Вводные'!$B$14</f>
        <v/>
      </c>
      <c r="AJ1463">
        <f>'19_Расчет_аналитики'!AI1462*'01_Вводные'!$B$14</f>
        <v/>
      </c>
      <c r="AK1463">
        <f>'19_Расчет_аналитики'!AJ1462*'01_Вводные'!$B$14</f>
        <v/>
      </c>
      <c r="AL1463">
        <f>'19_Расчет_аналитики'!AK1462*'01_Вводные'!$B$14</f>
        <v/>
      </c>
      <c r="AM1463">
        <f>'19_Расчет_аналитики'!AL1462*'01_Вводные'!$B$14</f>
        <v/>
      </c>
      <c r="AN1463">
        <f>'19_Расчет_аналитики'!AM1462*'01_Вводные'!$B$14</f>
        <v/>
      </c>
      <c r="AO1463">
        <f>'19_Расчет_аналитики'!AN1462*'01_Вводные'!$B$14</f>
        <v/>
      </c>
      <c r="AP1463">
        <f>'19_Расчет_аналитики'!AO1462*'01_Вводные'!$B$14</f>
        <v/>
      </c>
      <c r="AQ1463">
        <f>'19_Расчет_аналитики'!AP1462*'01_Вводные'!$B$14</f>
        <v/>
      </c>
      <c r="AR1463">
        <f>'19_Расчет_аналитики'!AQ1462*'01_Вводные'!$B$14</f>
        <v/>
      </c>
      <c r="AS1463">
        <f>'19_Расчет_аналитики'!AR1462*'01_Вводные'!$B$14</f>
        <v/>
      </c>
      <c r="AT1463">
        <f>'19_Расчет_аналитики'!AS1462*'01_Вводные'!$B$14</f>
        <v/>
      </c>
      <c r="AU1463">
        <f>'19_Расчет_аналитики'!AT1462*'01_Вводные'!$B$14</f>
        <v/>
      </c>
      <c r="AV1463">
        <f>'19_Расчет_аналитики'!AU1462*'01_Вводные'!$B$14</f>
        <v/>
      </c>
      <c r="AW1463">
        <f>'19_Расчет_аналитики'!AV1462*'01_Вводные'!$B$14</f>
        <v/>
      </c>
      <c r="AX1463">
        <f>'19_Расчет_аналитики'!AW1462*'01_Вводные'!$B$14</f>
        <v/>
      </c>
      <c r="AY1463">
        <f>'19_Расчет_аналитики'!AX1462*'01_Вводные'!$B$14</f>
        <v/>
      </c>
      <c r="AZ1463">
        <f>'19_Расчет_аналитики'!AY1462*'01_Вводные'!$B$14</f>
        <v/>
      </c>
      <c r="BA1463">
        <f>'19_Расчет_аналитики'!AZ1462*'01_Вводные'!$B$14</f>
        <v/>
      </c>
      <c r="BB1463">
        <f>'19_Расчет_аналитики'!BA1462*'01_Вводные'!$B$14</f>
        <v/>
      </c>
      <c r="BC1463">
        <f>'19_Расчет_аналитики'!BB1462*'01_Вводные'!$B$14</f>
        <v/>
      </c>
      <c r="BD1463">
        <f>'19_Расчет_аналитики'!BC1462*'01_Вводные'!$B$14</f>
        <v/>
      </c>
      <c r="BE1463">
        <f>'19_Расчет_аналитики'!BD1462*'01_Вводные'!$B$14</f>
        <v/>
      </c>
      <c r="BF1463">
        <f>'19_Расчет_аналитики'!BE1462*'01_Вводные'!$B$14</f>
        <v/>
      </c>
      <c r="BG1463">
        <f>'19_Расчет_аналитики'!BF1462*'01_Вводные'!$B$14</f>
        <v/>
      </c>
      <c r="BH1463">
        <f>'19_Расчет_аналитики'!BG1462*'01_Вводные'!$B$14</f>
        <v/>
      </c>
      <c r="BI1463">
        <f>'19_Расчет_аналитики'!BH1462*'01_Вводные'!$B$14</f>
        <v/>
      </c>
      <c r="BJ1463">
        <f>'19_Расчет_аналитики'!BI1462*'01_Вводные'!$B$14</f>
        <v/>
      </c>
      <c r="BK1463">
        <f>'19_Расчет_аналитики'!BJ1462*'01_Вводные'!$B$14</f>
        <v/>
      </c>
      <c r="BL1463">
        <f>'19_Расчет_аналитики'!BK1462*'01_Вводные'!$B$14</f>
        <v/>
      </c>
      <c r="BM1463">
        <f>'19_Расчет_аналитики'!BL1462*'01_Вводные'!$B$14</f>
        <v/>
      </c>
      <c r="BN1463">
        <f>'19_Расчет_аналитики'!BM1462*'01_Вводные'!$B$14</f>
        <v/>
      </c>
      <c r="BO1463">
        <f>'19_Расчет_аналитики'!BN1462*'01_Вводные'!$B$14</f>
        <v/>
      </c>
    </row>
    <row r="1464">
      <c r="N1464">
        <f>'06_Сеть_и_дети'!N97</f>
        <v/>
      </c>
      <c r="O1464">
        <f>'06_Сеть_и_дети'!O97</f>
        <v/>
      </c>
      <c r="P1464">
        <f>'06_Сеть_и_дети'!P97</f>
        <v/>
      </c>
      <c r="Q1464">
        <f>'06_Сеть_и_дети'!Q97</f>
        <v/>
      </c>
      <c r="R1464">
        <f>'19_Расчет_аналитики'!Q1463*'01_Вводные'!$B$14</f>
        <v/>
      </c>
      <c r="S1464">
        <f>'19_Расчет_аналитики'!R1463*'01_Вводные'!$B$14</f>
        <v/>
      </c>
      <c r="T1464">
        <f>'19_Расчет_аналитики'!S1463*'01_Вводные'!$B$14</f>
        <v/>
      </c>
      <c r="U1464">
        <f>'19_Расчет_аналитики'!T1463*'01_Вводные'!$B$14</f>
        <v/>
      </c>
      <c r="V1464">
        <f>'19_Расчет_аналитики'!U1463*'01_Вводные'!$B$14</f>
        <v/>
      </c>
      <c r="W1464">
        <f>'19_Расчет_аналитики'!V1463*'01_Вводные'!$B$14</f>
        <v/>
      </c>
      <c r="X1464">
        <f>'19_Расчет_аналитики'!W1463*'01_Вводные'!$B$14</f>
        <v/>
      </c>
      <c r="Y1464">
        <f>'19_Расчет_аналитики'!X1463*'01_Вводные'!$B$14</f>
        <v/>
      </c>
      <c r="Z1464">
        <f>'19_Расчет_аналитики'!Y1463*'01_Вводные'!$B$14</f>
        <v/>
      </c>
      <c r="AA1464">
        <f>'19_Расчет_аналитики'!Z1463*'01_Вводные'!$B$14</f>
        <v/>
      </c>
      <c r="AB1464">
        <f>'19_Расчет_аналитики'!AA1463*'01_Вводные'!$B$14</f>
        <v/>
      </c>
      <c r="AC1464">
        <f>'19_Расчет_аналитики'!AB1463*'01_Вводные'!$B$14</f>
        <v/>
      </c>
      <c r="AD1464">
        <f>'19_Расчет_аналитики'!AC1463*'01_Вводные'!$B$14</f>
        <v/>
      </c>
      <c r="AE1464">
        <f>'19_Расчет_аналитики'!AD1463*'01_Вводные'!$B$14</f>
        <v/>
      </c>
      <c r="AF1464">
        <f>'19_Расчет_аналитики'!AE1463*'01_Вводные'!$B$14</f>
        <v/>
      </c>
      <c r="AG1464">
        <f>'19_Расчет_аналитики'!AF1463*'01_Вводные'!$B$14</f>
        <v/>
      </c>
      <c r="AH1464">
        <f>'19_Расчет_аналитики'!AG1463*'01_Вводные'!$B$14</f>
        <v/>
      </c>
      <c r="AI1464">
        <f>'19_Расчет_аналитики'!AH1463*'01_Вводные'!$B$14</f>
        <v/>
      </c>
      <c r="AJ1464">
        <f>'19_Расчет_аналитики'!AI1463*'01_Вводные'!$B$14</f>
        <v/>
      </c>
      <c r="AK1464">
        <f>'19_Расчет_аналитики'!AJ1463*'01_Вводные'!$B$14</f>
        <v/>
      </c>
      <c r="AL1464">
        <f>'19_Расчет_аналитики'!AK1463*'01_Вводные'!$B$14</f>
        <v/>
      </c>
      <c r="AM1464">
        <f>'19_Расчет_аналитики'!AL1463*'01_Вводные'!$B$14</f>
        <v/>
      </c>
      <c r="AN1464">
        <f>'19_Расчет_аналитики'!AM1463*'01_Вводные'!$B$14</f>
        <v/>
      </c>
      <c r="AO1464">
        <f>'19_Расчет_аналитики'!AN1463*'01_Вводные'!$B$14</f>
        <v/>
      </c>
      <c r="AP1464">
        <f>'19_Расчет_аналитики'!AO1463*'01_Вводные'!$B$14</f>
        <v/>
      </c>
      <c r="AQ1464">
        <f>'19_Расчет_аналитики'!AP1463*'01_Вводные'!$B$14</f>
        <v/>
      </c>
      <c r="AR1464">
        <f>'19_Расчет_аналитики'!AQ1463*'01_Вводные'!$B$14</f>
        <v/>
      </c>
      <c r="AS1464">
        <f>'19_Расчет_аналитики'!AR1463*'01_Вводные'!$B$14</f>
        <v/>
      </c>
      <c r="AT1464">
        <f>'19_Расчет_аналитики'!AS1463*'01_Вводные'!$B$14</f>
        <v/>
      </c>
      <c r="AU1464">
        <f>'19_Расчет_аналитики'!AT1463*'01_Вводные'!$B$14</f>
        <v/>
      </c>
      <c r="AV1464">
        <f>'19_Расчет_аналитики'!AU1463*'01_Вводные'!$B$14</f>
        <v/>
      </c>
      <c r="AW1464">
        <f>'19_Расчет_аналитики'!AV1463*'01_Вводные'!$B$14</f>
        <v/>
      </c>
      <c r="AX1464">
        <f>'19_Расчет_аналитики'!AW1463*'01_Вводные'!$B$14</f>
        <v/>
      </c>
      <c r="AY1464">
        <f>'19_Расчет_аналитики'!AX1463*'01_Вводные'!$B$14</f>
        <v/>
      </c>
      <c r="AZ1464">
        <f>'19_Расчет_аналитики'!AY1463*'01_Вводные'!$B$14</f>
        <v/>
      </c>
      <c r="BA1464">
        <f>'19_Расчет_аналитики'!AZ1463*'01_Вводные'!$B$14</f>
        <v/>
      </c>
      <c r="BB1464">
        <f>'19_Расчет_аналитики'!BA1463*'01_Вводные'!$B$14</f>
        <v/>
      </c>
      <c r="BC1464">
        <f>'19_Расчет_аналитики'!BB1463*'01_Вводные'!$B$14</f>
        <v/>
      </c>
      <c r="BD1464">
        <f>'19_Расчет_аналитики'!BC1463*'01_Вводные'!$B$14</f>
        <v/>
      </c>
      <c r="BE1464">
        <f>'19_Расчет_аналитики'!BD1463*'01_Вводные'!$B$14</f>
        <v/>
      </c>
      <c r="BF1464">
        <f>'19_Расчет_аналитики'!BE1463*'01_Вводные'!$B$14</f>
        <v/>
      </c>
      <c r="BG1464">
        <f>'19_Расчет_аналитики'!BF1463*'01_Вводные'!$B$14</f>
        <v/>
      </c>
      <c r="BH1464">
        <f>'19_Расчет_аналитики'!BG1463*'01_Вводные'!$B$14</f>
        <v/>
      </c>
      <c r="BI1464">
        <f>'19_Расчет_аналитики'!BH1463*'01_Вводные'!$B$14</f>
        <v/>
      </c>
      <c r="BJ1464">
        <f>'19_Расчет_аналитики'!BI1463*'01_Вводные'!$B$14</f>
        <v/>
      </c>
      <c r="BK1464">
        <f>'19_Расчет_аналитики'!BJ1463*'01_Вводные'!$B$14</f>
        <v/>
      </c>
      <c r="BL1464">
        <f>'19_Расчет_аналитики'!BK1463*'01_Вводные'!$B$14</f>
        <v/>
      </c>
      <c r="BM1464">
        <f>'19_Расчет_аналитики'!BL1463*'01_Вводные'!$B$14</f>
        <v/>
      </c>
      <c r="BN1464">
        <f>'19_Расчет_аналитики'!BM1463*'01_Вводные'!$B$14</f>
        <v/>
      </c>
      <c r="BO1464">
        <f>'19_Расчет_аналитики'!BN1463*'01_Вводные'!$B$14</f>
        <v/>
      </c>
    </row>
    <row r="1465">
      <c r="N1465">
        <f>'06_Сеть_и_дети'!N98</f>
        <v/>
      </c>
      <c r="O1465">
        <f>'06_Сеть_и_дети'!O98</f>
        <v/>
      </c>
      <c r="P1465">
        <f>'06_Сеть_и_дети'!P98</f>
        <v/>
      </c>
      <c r="Q1465">
        <f>'06_Сеть_и_дети'!Q98</f>
        <v/>
      </c>
      <c r="R1465">
        <f>'06_Сеть_и_дети'!R98</f>
        <v/>
      </c>
      <c r="S1465">
        <f>'19_Расчет_аналитики'!R1464*'01_Вводные'!$B$14</f>
        <v/>
      </c>
      <c r="T1465">
        <f>'19_Расчет_аналитики'!S1464*'01_Вводные'!$B$14</f>
        <v/>
      </c>
      <c r="U1465">
        <f>'19_Расчет_аналитики'!T1464*'01_Вводные'!$B$14</f>
        <v/>
      </c>
      <c r="V1465">
        <f>'19_Расчет_аналитики'!U1464*'01_Вводные'!$B$14</f>
        <v/>
      </c>
      <c r="W1465">
        <f>'19_Расчет_аналитики'!V1464*'01_Вводные'!$B$14</f>
        <v/>
      </c>
      <c r="X1465">
        <f>'19_Расчет_аналитики'!W1464*'01_Вводные'!$B$14</f>
        <v/>
      </c>
      <c r="Y1465">
        <f>'19_Расчет_аналитики'!X1464*'01_Вводные'!$B$14</f>
        <v/>
      </c>
      <c r="Z1465">
        <f>'19_Расчет_аналитики'!Y1464*'01_Вводные'!$B$14</f>
        <v/>
      </c>
      <c r="AA1465">
        <f>'19_Расчет_аналитики'!Z1464*'01_Вводные'!$B$14</f>
        <v/>
      </c>
      <c r="AB1465">
        <f>'19_Расчет_аналитики'!AA1464*'01_Вводные'!$B$14</f>
        <v/>
      </c>
      <c r="AC1465">
        <f>'19_Расчет_аналитики'!AB1464*'01_Вводные'!$B$14</f>
        <v/>
      </c>
      <c r="AD1465">
        <f>'19_Расчет_аналитики'!AC1464*'01_Вводные'!$B$14</f>
        <v/>
      </c>
      <c r="AE1465">
        <f>'19_Расчет_аналитики'!AD1464*'01_Вводные'!$B$14</f>
        <v/>
      </c>
      <c r="AF1465">
        <f>'19_Расчет_аналитики'!AE1464*'01_Вводные'!$B$14</f>
        <v/>
      </c>
      <c r="AG1465">
        <f>'19_Расчет_аналитики'!AF1464*'01_Вводные'!$B$14</f>
        <v/>
      </c>
      <c r="AH1465">
        <f>'19_Расчет_аналитики'!AG1464*'01_Вводные'!$B$14</f>
        <v/>
      </c>
      <c r="AI1465">
        <f>'19_Расчет_аналитики'!AH1464*'01_Вводные'!$B$14</f>
        <v/>
      </c>
      <c r="AJ1465">
        <f>'19_Расчет_аналитики'!AI1464*'01_Вводные'!$B$14</f>
        <v/>
      </c>
      <c r="AK1465">
        <f>'19_Расчет_аналитики'!AJ1464*'01_Вводные'!$B$14</f>
        <v/>
      </c>
      <c r="AL1465">
        <f>'19_Расчет_аналитики'!AK1464*'01_Вводные'!$B$14</f>
        <v/>
      </c>
      <c r="AM1465">
        <f>'19_Расчет_аналитики'!AL1464*'01_Вводные'!$B$14</f>
        <v/>
      </c>
      <c r="AN1465">
        <f>'19_Расчет_аналитики'!AM1464*'01_Вводные'!$B$14</f>
        <v/>
      </c>
      <c r="AO1465">
        <f>'19_Расчет_аналитики'!AN1464*'01_Вводные'!$B$14</f>
        <v/>
      </c>
      <c r="AP1465">
        <f>'19_Расчет_аналитики'!AO1464*'01_Вводные'!$B$14</f>
        <v/>
      </c>
      <c r="AQ1465">
        <f>'19_Расчет_аналитики'!AP1464*'01_Вводные'!$B$14</f>
        <v/>
      </c>
      <c r="AR1465">
        <f>'19_Расчет_аналитики'!AQ1464*'01_Вводные'!$B$14</f>
        <v/>
      </c>
      <c r="AS1465">
        <f>'19_Расчет_аналитики'!AR1464*'01_Вводные'!$B$14</f>
        <v/>
      </c>
      <c r="AT1465">
        <f>'19_Расчет_аналитики'!AS1464*'01_Вводные'!$B$14</f>
        <v/>
      </c>
      <c r="AU1465">
        <f>'19_Расчет_аналитики'!AT1464*'01_Вводные'!$B$14</f>
        <v/>
      </c>
      <c r="AV1465">
        <f>'19_Расчет_аналитики'!AU1464*'01_Вводные'!$B$14</f>
        <v/>
      </c>
      <c r="AW1465">
        <f>'19_Расчет_аналитики'!AV1464*'01_Вводные'!$B$14</f>
        <v/>
      </c>
      <c r="AX1465">
        <f>'19_Расчет_аналитики'!AW1464*'01_Вводные'!$B$14</f>
        <v/>
      </c>
      <c r="AY1465">
        <f>'19_Расчет_аналитики'!AX1464*'01_Вводные'!$B$14</f>
        <v/>
      </c>
      <c r="AZ1465">
        <f>'19_Расчет_аналитики'!AY1464*'01_Вводные'!$B$14</f>
        <v/>
      </c>
      <c r="BA1465">
        <f>'19_Расчет_аналитики'!AZ1464*'01_Вводные'!$B$14</f>
        <v/>
      </c>
      <c r="BB1465">
        <f>'19_Расчет_аналитики'!BA1464*'01_Вводные'!$B$14</f>
        <v/>
      </c>
      <c r="BC1465">
        <f>'19_Расчет_аналитики'!BB1464*'01_Вводные'!$B$14</f>
        <v/>
      </c>
      <c r="BD1465">
        <f>'19_Расчет_аналитики'!BC1464*'01_Вводные'!$B$14</f>
        <v/>
      </c>
      <c r="BE1465">
        <f>'19_Расчет_аналитики'!BD1464*'01_Вводные'!$B$14</f>
        <v/>
      </c>
      <c r="BF1465">
        <f>'19_Расчет_аналитики'!BE1464*'01_Вводные'!$B$14</f>
        <v/>
      </c>
      <c r="BG1465">
        <f>'19_Расчет_аналитики'!BF1464*'01_Вводные'!$B$14</f>
        <v/>
      </c>
      <c r="BH1465">
        <f>'19_Расчет_аналитики'!BG1464*'01_Вводные'!$B$14</f>
        <v/>
      </c>
      <c r="BI1465">
        <f>'19_Расчет_аналитики'!BH1464*'01_Вводные'!$B$14</f>
        <v/>
      </c>
      <c r="BJ1465">
        <f>'19_Расчет_аналитики'!BI1464*'01_Вводные'!$B$14</f>
        <v/>
      </c>
      <c r="BK1465">
        <f>'19_Расчет_аналитики'!BJ1464*'01_Вводные'!$B$14</f>
        <v/>
      </c>
      <c r="BL1465">
        <f>'19_Расчет_аналитики'!BK1464*'01_Вводные'!$B$14</f>
        <v/>
      </c>
      <c r="BM1465">
        <f>'19_Расчет_аналитики'!BL1464*'01_Вводные'!$B$14</f>
        <v/>
      </c>
      <c r="BN1465">
        <f>'19_Расчет_аналитики'!BM1464*'01_Вводные'!$B$14</f>
        <v/>
      </c>
      <c r="BO1465">
        <f>'19_Расчет_аналитики'!BN1464*'01_Вводные'!$B$14</f>
        <v/>
      </c>
    </row>
    <row r="1466">
      <c r="N1466">
        <f>'06_Сеть_и_дети'!N99</f>
        <v/>
      </c>
      <c r="O1466">
        <f>'06_Сеть_и_дети'!O99</f>
        <v/>
      </c>
      <c r="P1466">
        <f>'06_Сеть_и_дети'!P99</f>
        <v/>
      </c>
      <c r="Q1466">
        <f>'06_Сеть_и_дети'!Q99</f>
        <v/>
      </c>
      <c r="R1466">
        <f>'06_Сеть_и_дети'!R99</f>
        <v/>
      </c>
      <c r="S1466">
        <f>'06_Сеть_и_дети'!S99</f>
        <v/>
      </c>
      <c r="T1466">
        <f>'19_Расчет_аналитики'!S1465*'01_Вводные'!$B$14</f>
        <v/>
      </c>
      <c r="U1466">
        <f>'19_Расчет_аналитики'!T1465*'01_Вводные'!$B$14</f>
        <v/>
      </c>
      <c r="V1466">
        <f>'19_Расчет_аналитики'!U1465*'01_Вводные'!$B$14</f>
        <v/>
      </c>
      <c r="W1466">
        <f>'19_Расчет_аналитики'!V1465*'01_Вводные'!$B$14</f>
        <v/>
      </c>
      <c r="X1466">
        <f>'19_Расчет_аналитики'!W1465*'01_Вводные'!$B$14</f>
        <v/>
      </c>
      <c r="Y1466">
        <f>'19_Расчет_аналитики'!X1465*'01_Вводные'!$B$14</f>
        <v/>
      </c>
      <c r="Z1466">
        <f>'19_Расчет_аналитики'!Y1465*'01_Вводные'!$B$14</f>
        <v/>
      </c>
      <c r="AA1466">
        <f>'19_Расчет_аналитики'!Z1465*'01_Вводные'!$B$14</f>
        <v/>
      </c>
      <c r="AB1466">
        <f>'19_Расчет_аналитики'!AA1465*'01_Вводные'!$B$14</f>
        <v/>
      </c>
      <c r="AC1466">
        <f>'19_Расчет_аналитики'!AB1465*'01_Вводные'!$B$14</f>
        <v/>
      </c>
      <c r="AD1466">
        <f>'19_Расчет_аналитики'!AC1465*'01_Вводные'!$B$14</f>
        <v/>
      </c>
      <c r="AE1466">
        <f>'19_Расчет_аналитики'!AD1465*'01_Вводные'!$B$14</f>
        <v/>
      </c>
      <c r="AF1466">
        <f>'19_Расчет_аналитики'!AE1465*'01_Вводные'!$B$14</f>
        <v/>
      </c>
      <c r="AG1466">
        <f>'19_Расчет_аналитики'!AF1465*'01_Вводные'!$B$14</f>
        <v/>
      </c>
      <c r="AH1466">
        <f>'19_Расчет_аналитики'!AG1465*'01_Вводные'!$B$14</f>
        <v/>
      </c>
      <c r="AI1466">
        <f>'19_Расчет_аналитики'!AH1465*'01_Вводные'!$B$14</f>
        <v/>
      </c>
      <c r="AJ1466">
        <f>'19_Расчет_аналитики'!AI1465*'01_Вводные'!$B$14</f>
        <v/>
      </c>
      <c r="AK1466">
        <f>'19_Расчет_аналитики'!AJ1465*'01_Вводные'!$B$14</f>
        <v/>
      </c>
      <c r="AL1466">
        <f>'19_Расчет_аналитики'!AK1465*'01_Вводные'!$B$14</f>
        <v/>
      </c>
      <c r="AM1466">
        <f>'19_Расчет_аналитики'!AL1465*'01_Вводные'!$B$14</f>
        <v/>
      </c>
      <c r="AN1466">
        <f>'19_Расчет_аналитики'!AM1465*'01_Вводные'!$B$14</f>
        <v/>
      </c>
      <c r="AO1466">
        <f>'19_Расчет_аналитики'!AN1465*'01_Вводные'!$B$14</f>
        <v/>
      </c>
      <c r="AP1466">
        <f>'19_Расчет_аналитики'!AO1465*'01_Вводные'!$B$14</f>
        <v/>
      </c>
      <c r="AQ1466">
        <f>'19_Расчет_аналитики'!AP1465*'01_Вводные'!$B$14</f>
        <v/>
      </c>
      <c r="AR1466">
        <f>'19_Расчет_аналитики'!AQ1465*'01_Вводные'!$B$14</f>
        <v/>
      </c>
      <c r="AS1466">
        <f>'19_Расчет_аналитики'!AR1465*'01_Вводные'!$B$14</f>
        <v/>
      </c>
      <c r="AT1466">
        <f>'19_Расчет_аналитики'!AS1465*'01_Вводные'!$B$14</f>
        <v/>
      </c>
      <c r="AU1466">
        <f>'19_Расчет_аналитики'!AT1465*'01_Вводные'!$B$14</f>
        <v/>
      </c>
      <c r="AV1466">
        <f>'19_Расчет_аналитики'!AU1465*'01_Вводные'!$B$14</f>
        <v/>
      </c>
      <c r="AW1466">
        <f>'19_Расчет_аналитики'!AV1465*'01_Вводные'!$B$14</f>
        <v/>
      </c>
      <c r="AX1466">
        <f>'19_Расчет_аналитики'!AW1465*'01_Вводные'!$B$14</f>
        <v/>
      </c>
      <c r="AY1466">
        <f>'19_Расчет_аналитики'!AX1465*'01_Вводные'!$B$14</f>
        <v/>
      </c>
      <c r="AZ1466">
        <f>'19_Расчет_аналитики'!AY1465*'01_Вводные'!$B$14</f>
        <v/>
      </c>
      <c r="BA1466">
        <f>'19_Расчет_аналитики'!AZ1465*'01_Вводные'!$B$14</f>
        <v/>
      </c>
      <c r="BB1466">
        <f>'19_Расчет_аналитики'!BA1465*'01_Вводные'!$B$14</f>
        <v/>
      </c>
      <c r="BC1466">
        <f>'19_Расчет_аналитики'!BB1465*'01_Вводные'!$B$14</f>
        <v/>
      </c>
      <c r="BD1466">
        <f>'19_Расчет_аналитики'!BC1465*'01_Вводные'!$B$14</f>
        <v/>
      </c>
      <c r="BE1466">
        <f>'19_Расчет_аналитики'!BD1465*'01_Вводные'!$B$14</f>
        <v/>
      </c>
      <c r="BF1466">
        <f>'19_Расчет_аналитики'!BE1465*'01_Вводные'!$B$14</f>
        <v/>
      </c>
      <c r="BG1466">
        <f>'19_Расчет_аналитики'!BF1465*'01_Вводные'!$B$14</f>
        <v/>
      </c>
      <c r="BH1466">
        <f>'19_Расчет_аналитики'!BG1465*'01_Вводные'!$B$14</f>
        <v/>
      </c>
      <c r="BI1466">
        <f>'19_Расчет_аналитики'!BH1465*'01_Вводные'!$B$14</f>
        <v/>
      </c>
      <c r="BJ1466">
        <f>'19_Расчет_аналитики'!BI1465*'01_Вводные'!$B$14</f>
        <v/>
      </c>
      <c r="BK1466">
        <f>'19_Расчет_аналитики'!BJ1465*'01_Вводные'!$B$14</f>
        <v/>
      </c>
      <c r="BL1466">
        <f>'19_Расчет_аналитики'!BK1465*'01_Вводные'!$B$14</f>
        <v/>
      </c>
      <c r="BM1466">
        <f>'19_Расчет_аналитики'!BL1465*'01_Вводные'!$B$14</f>
        <v/>
      </c>
      <c r="BN1466">
        <f>'19_Расчет_аналитики'!BM1465*'01_Вводные'!$B$14</f>
        <v/>
      </c>
      <c r="BO1466">
        <f>'19_Расчет_аналитики'!BN1465*'01_Вводные'!$B$14</f>
        <v/>
      </c>
    </row>
    <row r="1467">
      <c r="N1467">
        <f>'06_Сеть_и_дети'!N100</f>
        <v/>
      </c>
      <c r="O1467">
        <f>'06_Сеть_и_дети'!O100</f>
        <v/>
      </c>
      <c r="P1467">
        <f>'06_Сеть_и_дети'!P100</f>
        <v/>
      </c>
      <c r="Q1467">
        <f>'06_Сеть_и_дети'!Q100</f>
        <v/>
      </c>
      <c r="R1467">
        <f>'06_Сеть_и_дети'!R100</f>
        <v/>
      </c>
      <c r="S1467">
        <f>'06_Сеть_и_дети'!S100</f>
        <v/>
      </c>
      <c r="T1467">
        <f>'06_Сеть_и_дети'!T100</f>
        <v/>
      </c>
      <c r="U1467">
        <f>'19_Расчет_аналитики'!T1466*'01_Вводные'!$B$14</f>
        <v/>
      </c>
      <c r="V1467">
        <f>'19_Расчет_аналитики'!U1466*'01_Вводные'!$B$14</f>
        <v/>
      </c>
      <c r="W1467">
        <f>'19_Расчет_аналитики'!V1466*'01_Вводные'!$B$14</f>
        <v/>
      </c>
      <c r="X1467">
        <f>'19_Расчет_аналитики'!W1466*'01_Вводные'!$B$14</f>
        <v/>
      </c>
      <c r="Y1467">
        <f>'19_Расчет_аналитики'!X1466*'01_Вводные'!$B$14</f>
        <v/>
      </c>
      <c r="Z1467">
        <f>'19_Расчет_аналитики'!Y1466*'01_Вводные'!$B$14</f>
        <v/>
      </c>
      <c r="AA1467">
        <f>'19_Расчет_аналитики'!Z1466*'01_Вводные'!$B$14</f>
        <v/>
      </c>
      <c r="AB1467">
        <f>'19_Расчет_аналитики'!AA1466*'01_Вводные'!$B$14</f>
        <v/>
      </c>
      <c r="AC1467">
        <f>'19_Расчет_аналитики'!AB1466*'01_Вводные'!$B$14</f>
        <v/>
      </c>
      <c r="AD1467">
        <f>'19_Расчет_аналитики'!AC1466*'01_Вводные'!$B$14</f>
        <v/>
      </c>
      <c r="AE1467">
        <f>'19_Расчет_аналитики'!AD1466*'01_Вводные'!$B$14</f>
        <v/>
      </c>
      <c r="AF1467">
        <f>'19_Расчет_аналитики'!AE1466*'01_Вводные'!$B$14</f>
        <v/>
      </c>
      <c r="AG1467">
        <f>'19_Расчет_аналитики'!AF1466*'01_Вводные'!$B$14</f>
        <v/>
      </c>
      <c r="AH1467">
        <f>'19_Расчет_аналитики'!AG1466*'01_Вводные'!$B$14</f>
        <v/>
      </c>
      <c r="AI1467">
        <f>'19_Расчет_аналитики'!AH1466*'01_Вводные'!$B$14</f>
        <v/>
      </c>
      <c r="AJ1467">
        <f>'19_Расчет_аналитики'!AI1466*'01_Вводные'!$B$14</f>
        <v/>
      </c>
      <c r="AK1467">
        <f>'19_Расчет_аналитики'!AJ1466*'01_Вводные'!$B$14</f>
        <v/>
      </c>
      <c r="AL1467">
        <f>'19_Расчет_аналитики'!AK1466*'01_Вводные'!$B$14</f>
        <v/>
      </c>
      <c r="AM1467">
        <f>'19_Расчет_аналитики'!AL1466*'01_Вводные'!$B$14</f>
        <v/>
      </c>
      <c r="AN1467">
        <f>'19_Расчет_аналитики'!AM1466*'01_Вводные'!$B$14</f>
        <v/>
      </c>
      <c r="AO1467">
        <f>'19_Расчет_аналитики'!AN1466*'01_Вводные'!$B$14</f>
        <v/>
      </c>
      <c r="AP1467">
        <f>'19_Расчет_аналитики'!AO1466*'01_Вводные'!$B$14</f>
        <v/>
      </c>
      <c r="AQ1467">
        <f>'19_Расчет_аналитики'!AP1466*'01_Вводные'!$B$14</f>
        <v/>
      </c>
      <c r="AR1467">
        <f>'19_Расчет_аналитики'!AQ1466*'01_Вводные'!$B$14</f>
        <v/>
      </c>
      <c r="AS1467">
        <f>'19_Расчет_аналитики'!AR1466*'01_Вводные'!$B$14</f>
        <v/>
      </c>
      <c r="AT1467">
        <f>'19_Расчет_аналитики'!AS1466*'01_Вводные'!$B$14</f>
        <v/>
      </c>
      <c r="AU1467">
        <f>'19_Расчет_аналитики'!AT1466*'01_Вводные'!$B$14</f>
        <v/>
      </c>
      <c r="AV1467">
        <f>'19_Расчет_аналитики'!AU1466*'01_Вводные'!$B$14</f>
        <v/>
      </c>
      <c r="AW1467">
        <f>'19_Расчет_аналитики'!AV1466*'01_Вводные'!$B$14</f>
        <v/>
      </c>
      <c r="AX1467">
        <f>'19_Расчет_аналитики'!AW1466*'01_Вводные'!$B$14</f>
        <v/>
      </c>
      <c r="AY1467">
        <f>'19_Расчет_аналитики'!AX1466*'01_Вводные'!$B$14</f>
        <v/>
      </c>
      <c r="AZ1467">
        <f>'19_Расчет_аналитики'!AY1466*'01_Вводные'!$B$14</f>
        <v/>
      </c>
      <c r="BA1467">
        <f>'19_Расчет_аналитики'!AZ1466*'01_Вводные'!$B$14</f>
        <v/>
      </c>
      <c r="BB1467">
        <f>'19_Расчет_аналитики'!BA1466*'01_Вводные'!$B$14</f>
        <v/>
      </c>
      <c r="BC1467">
        <f>'19_Расчет_аналитики'!BB1466*'01_Вводные'!$B$14</f>
        <v/>
      </c>
      <c r="BD1467">
        <f>'19_Расчет_аналитики'!BC1466*'01_Вводные'!$B$14</f>
        <v/>
      </c>
      <c r="BE1467">
        <f>'19_Расчет_аналитики'!BD1466*'01_Вводные'!$B$14</f>
        <v/>
      </c>
      <c r="BF1467">
        <f>'19_Расчет_аналитики'!BE1466*'01_Вводные'!$B$14</f>
        <v/>
      </c>
      <c r="BG1467">
        <f>'19_Расчет_аналитики'!BF1466*'01_Вводные'!$B$14</f>
        <v/>
      </c>
      <c r="BH1467">
        <f>'19_Расчет_аналитики'!BG1466*'01_Вводные'!$B$14</f>
        <v/>
      </c>
      <c r="BI1467">
        <f>'19_Расчет_аналитики'!BH1466*'01_Вводные'!$B$14</f>
        <v/>
      </c>
      <c r="BJ1467">
        <f>'19_Расчет_аналитики'!BI1466*'01_Вводные'!$B$14</f>
        <v/>
      </c>
      <c r="BK1467">
        <f>'19_Расчет_аналитики'!BJ1466*'01_Вводные'!$B$14</f>
        <v/>
      </c>
      <c r="BL1467">
        <f>'19_Расчет_аналитики'!BK1466*'01_Вводные'!$B$14</f>
        <v/>
      </c>
      <c r="BM1467">
        <f>'19_Расчет_аналитики'!BL1466*'01_Вводные'!$B$14</f>
        <v/>
      </c>
      <c r="BN1467">
        <f>'19_Расчет_аналитики'!BM1466*'01_Вводные'!$B$14</f>
        <v/>
      </c>
      <c r="BO1467">
        <f>'19_Расчет_аналитики'!BN1466*'01_Вводные'!$B$14</f>
        <v/>
      </c>
    </row>
    <row r="1468">
      <c r="N1468">
        <f>'06_Сеть_и_дети'!N101</f>
        <v/>
      </c>
      <c r="O1468">
        <f>'06_Сеть_и_дети'!O101</f>
        <v/>
      </c>
      <c r="P1468">
        <f>'06_Сеть_и_дети'!P101</f>
        <v/>
      </c>
      <c r="Q1468">
        <f>'06_Сеть_и_дети'!Q101</f>
        <v/>
      </c>
      <c r="R1468">
        <f>'06_Сеть_и_дети'!R101</f>
        <v/>
      </c>
      <c r="S1468">
        <f>'06_Сеть_и_дети'!S101</f>
        <v/>
      </c>
      <c r="T1468">
        <f>'06_Сеть_и_дети'!T101</f>
        <v/>
      </c>
      <c r="U1468">
        <f>'06_Сеть_и_дети'!U101</f>
        <v/>
      </c>
      <c r="V1468">
        <f>'19_Расчет_аналитики'!U1467*'01_Вводные'!$B$14</f>
        <v/>
      </c>
      <c r="W1468">
        <f>'19_Расчет_аналитики'!V1467*'01_Вводные'!$B$14</f>
        <v/>
      </c>
      <c r="X1468">
        <f>'19_Расчет_аналитики'!W1467*'01_Вводные'!$B$14</f>
        <v/>
      </c>
      <c r="Y1468">
        <f>'19_Расчет_аналитики'!X1467*'01_Вводные'!$B$14</f>
        <v/>
      </c>
      <c r="Z1468">
        <f>'19_Расчет_аналитики'!Y1467*'01_Вводные'!$B$14</f>
        <v/>
      </c>
      <c r="AA1468">
        <f>'19_Расчет_аналитики'!Z1467*'01_Вводные'!$B$14</f>
        <v/>
      </c>
      <c r="AB1468">
        <f>'19_Расчет_аналитики'!AA1467*'01_Вводные'!$B$14</f>
        <v/>
      </c>
      <c r="AC1468">
        <f>'19_Расчет_аналитики'!AB1467*'01_Вводные'!$B$14</f>
        <v/>
      </c>
      <c r="AD1468">
        <f>'19_Расчет_аналитики'!AC1467*'01_Вводные'!$B$14</f>
        <v/>
      </c>
      <c r="AE1468">
        <f>'19_Расчет_аналитики'!AD1467*'01_Вводные'!$B$14</f>
        <v/>
      </c>
      <c r="AF1468">
        <f>'19_Расчет_аналитики'!AE1467*'01_Вводные'!$B$14</f>
        <v/>
      </c>
      <c r="AG1468">
        <f>'19_Расчет_аналитики'!AF1467*'01_Вводные'!$B$14</f>
        <v/>
      </c>
      <c r="AH1468">
        <f>'19_Расчет_аналитики'!AG1467*'01_Вводные'!$B$14</f>
        <v/>
      </c>
      <c r="AI1468">
        <f>'19_Расчет_аналитики'!AH1467*'01_Вводные'!$B$14</f>
        <v/>
      </c>
      <c r="AJ1468">
        <f>'19_Расчет_аналитики'!AI1467*'01_Вводные'!$B$14</f>
        <v/>
      </c>
      <c r="AK1468">
        <f>'19_Расчет_аналитики'!AJ1467*'01_Вводные'!$B$14</f>
        <v/>
      </c>
      <c r="AL1468">
        <f>'19_Расчет_аналитики'!AK1467*'01_Вводные'!$B$14</f>
        <v/>
      </c>
      <c r="AM1468">
        <f>'19_Расчет_аналитики'!AL1467*'01_Вводные'!$B$14</f>
        <v/>
      </c>
      <c r="AN1468">
        <f>'19_Расчет_аналитики'!AM1467*'01_Вводные'!$B$14</f>
        <v/>
      </c>
      <c r="AO1468">
        <f>'19_Расчет_аналитики'!AN1467*'01_Вводные'!$B$14</f>
        <v/>
      </c>
      <c r="AP1468">
        <f>'19_Расчет_аналитики'!AO1467*'01_Вводные'!$B$14</f>
        <v/>
      </c>
      <c r="AQ1468">
        <f>'19_Расчет_аналитики'!AP1467*'01_Вводные'!$B$14</f>
        <v/>
      </c>
      <c r="AR1468">
        <f>'19_Расчет_аналитики'!AQ1467*'01_Вводные'!$B$14</f>
        <v/>
      </c>
      <c r="AS1468">
        <f>'19_Расчет_аналитики'!AR1467*'01_Вводные'!$B$14</f>
        <v/>
      </c>
      <c r="AT1468">
        <f>'19_Расчет_аналитики'!AS1467*'01_Вводные'!$B$14</f>
        <v/>
      </c>
      <c r="AU1468">
        <f>'19_Расчет_аналитики'!AT1467*'01_Вводные'!$B$14</f>
        <v/>
      </c>
      <c r="AV1468">
        <f>'19_Расчет_аналитики'!AU1467*'01_Вводные'!$B$14</f>
        <v/>
      </c>
      <c r="AW1468">
        <f>'19_Расчет_аналитики'!AV1467*'01_Вводные'!$B$14</f>
        <v/>
      </c>
      <c r="AX1468">
        <f>'19_Расчет_аналитики'!AW1467*'01_Вводные'!$B$14</f>
        <v/>
      </c>
      <c r="AY1468">
        <f>'19_Расчет_аналитики'!AX1467*'01_Вводные'!$B$14</f>
        <v/>
      </c>
      <c r="AZ1468">
        <f>'19_Расчет_аналитики'!AY1467*'01_Вводные'!$B$14</f>
        <v/>
      </c>
      <c r="BA1468">
        <f>'19_Расчет_аналитики'!AZ1467*'01_Вводные'!$B$14</f>
        <v/>
      </c>
      <c r="BB1468">
        <f>'19_Расчет_аналитики'!BA1467*'01_Вводные'!$B$14</f>
        <v/>
      </c>
      <c r="BC1468">
        <f>'19_Расчет_аналитики'!BB1467*'01_Вводные'!$B$14</f>
        <v/>
      </c>
      <c r="BD1468">
        <f>'19_Расчет_аналитики'!BC1467*'01_Вводные'!$B$14</f>
        <v/>
      </c>
      <c r="BE1468">
        <f>'19_Расчет_аналитики'!BD1467*'01_Вводные'!$B$14</f>
        <v/>
      </c>
      <c r="BF1468">
        <f>'19_Расчет_аналитики'!BE1467*'01_Вводные'!$B$14</f>
        <v/>
      </c>
      <c r="BG1468">
        <f>'19_Расчет_аналитики'!BF1467*'01_Вводные'!$B$14</f>
        <v/>
      </c>
      <c r="BH1468">
        <f>'19_Расчет_аналитики'!BG1467*'01_Вводные'!$B$14</f>
        <v/>
      </c>
      <c r="BI1468">
        <f>'19_Расчет_аналитики'!BH1467*'01_Вводные'!$B$14</f>
        <v/>
      </c>
      <c r="BJ1468">
        <f>'19_Расчет_аналитики'!BI1467*'01_Вводные'!$B$14</f>
        <v/>
      </c>
      <c r="BK1468">
        <f>'19_Расчет_аналитики'!BJ1467*'01_Вводные'!$B$14</f>
        <v/>
      </c>
      <c r="BL1468">
        <f>'19_Расчет_аналитики'!BK1467*'01_Вводные'!$B$14</f>
        <v/>
      </c>
      <c r="BM1468">
        <f>'19_Расчет_аналитики'!BL1467*'01_Вводные'!$B$14</f>
        <v/>
      </c>
      <c r="BN1468">
        <f>'19_Расчет_аналитики'!BM1467*'01_Вводные'!$B$14</f>
        <v/>
      </c>
      <c r="BO1468">
        <f>'19_Расчет_аналитики'!BN1467*'01_Вводные'!$B$14</f>
        <v/>
      </c>
    </row>
    <row r="1469">
      <c r="N1469">
        <f>'06_Сеть_и_дети'!N102</f>
        <v/>
      </c>
      <c r="O1469">
        <f>'06_Сеть_и_дети'!O102</f>
        <v/>
      </c>
      <c r="P1469">
        <f>'06_Сеть_и_дети'!P102</f>
        <v/>
      </c>
      <c r="Q1469">
        <f>'06_Сеть_и_дети'!Q102</f>
        <v/>
      </c>
      <c r="R1469">
        <f>'06_Сеть_и_дети'!R102</f>
        <v/>
      </c>
      <c r="S1469">
        <f>'06_Сеть_и_дети'!S102</f>
        <v/>
      </c>
      <c r="T1469">
        <f>'06_Сеть_и_дети'!T102</f>
        <v/>
      </c>
      <c r="U1469">
        <f>'06_Сеть_и_дети'!U102</f>
        <v/>
      </c>
      <c r="V1469">
        <f>'06_Сеть_и_дети'!V102</f>
        <v/>
      </c>
      <c r="W1469">
        <f>'19_Расчет_аналитики'!V1468*'01_Вводные'!$B$14</f>
        <v/>
      </c>
      <c r="X1469">
        <f>'19_Расчет_аналитики'!W1468*'01_Вводные'!$B$14</f>
        <v/>
      </c>
      <c r="Y1469">
        <f>'19_Расчет_аналитики'!X1468*'01_Вводные'!$B$14</f>
        <v/>
      </c>
      <c r="Z1469">
        <f>'19_Расчет_аналитики'!Y1468*'01_Вводные'!$B$14</f>
        <v/>
      </c>
      <c r="AA1469">
        <f>'19_Расчет_аналитики'!Z1468*'01_Вводные'!$B$14</f>
        <v/>
      </c>
      <c r="AB1469">
        <f>'19_Расчет_аналитики'!AA1468*'01_Вводные'!$B$14</f>
        <v/>
      </c>
      <c r="AC1469">
        <f>'19_Расчет_аналитики'!AB1468*'01_Вводные'!$B$14</f>
        <v/>
      </c>
      <c r="AD1469">
        <f>'19_Расчет_аналитики'!AC1468*'01_Вводные'!$B$14</f>
        <v/>
      </c>
      <c r="AE1469">
        <f>'19_Расчет_аналитики'!AD1468*'01_Вводные'!$B$14</f>
        <v/>
      </c>
      <c r="AF1469">
        <f>'19_Расчет_аналитики'!AE1468*'01_Вводные'!$B$14</f>
        <v/>
      </c>
      <c r="AG1469">
        <f>'19_Расчет_аналитики'!AF1468*'01_Вводные'!$B$14</f>
        <v/>
      </c>
      <c r="AH1469">
        <f>'19_Расчет_аналитики'!AG1468*'01_Вводные'!$B$14</f>
        <v/>
      </c>
      <c r="AI1469">
        <f>'19_Расчет_аналитики'!AH1468*'01_Вводные'!$B$14</f>
        <v/>
      </c>
      <c r="AJ1469">
        <f>'19_Расчет_аналитики'!AI1468*'01_Вводные'!$B$14</f>
        <v/>
      </c>
      <c r="AK1469">
        <f>'19_Расчет_аналитики'!AJ1468*'01_Вводные'!$B$14</f>
        <v/>
      </c>
      <c r="AL1469">
        <f>'19_Расчет_аналитики'!AK1468*'01_Вводные'!$B$14</f>
        <v/>
      </c>
      <c r="AM1469">
        <f>'19_Расчет_аналитики'!AL1468*'01_Вводные'!$B$14</f>
        <v/>
      </c>
      <c r="AN1469">
        <f>'19_Расчет_аналитики'!AM1468*'01_Вводные'!$B$14</f>
        <v/>
      </c>
      <c r="AO1469">
        <f>'19_Расчет_аналитики'!AN1468*'01_Вводные'!$B$14</f>
        <v/>
      </c>
      <c r="AP1469">
        <f>'19_Расчет_аналитики'!AO1468*'01_Вводные'!$B$14</f>
        <v/>
      </c>
      <c r="AQ1469">
        <f>'19_Расчет_аналитики'!AP1468*'01_Вводные'!$B$14</f>
        <v/>
      </c>
      <c r="AR1469">
        <f>'19_Расчет_аналитики'!AQ1468*'01_Вводные'!$B$14</f>
        <v/>
      </c>
      <c r="AS1469">
        <f>'19_Расчет_аналитики'!AR1468*'01_Вводные'!$B$14</f>
        <v/>
      </c>
      <c r="AT1469">
        <f>'19_Расчет_аналитики'!AS1468*'01_Вводные'!$B$14</f>
        <v/>
      </c>
      <c r="AU1469">
        <f>'19_Расчет_аналитики'!AT1468*'01_Вводные'!$B$14</f>
        <v/>
      </c>
      <c r="AV1469">
        <f>'19_Расчет_аналитики'!AU1468*'01_Вводные'!$B$14</f>
        <v/>
      </c>
      <c r="AW1469">
        <f>'19_Расчет_аналитики'!AV1468*'01_Вводные'!$B$14</f>
        <v/>
      </c>
      <c r="AX1469">
        <f>'19_Расчет_аналитики'!AW1468*'01_Вводные'!$B$14</f>
        <v/>
      </c>
      <c r="AY1469">
        <f>'19_Расчет_аналитики'!AX1468*'01_Вводные'!$B$14</f>
        <v/>
      </c>
      <c r="AZ1469">
        <f>'19_Расчет_аналитики'!AY1468*'01_Вводные'!$B$14</f>
        <v/>
      </c>
      <c r="BA1469">
        <f>'19_Расчет_аналитики'!AZ1468*'01_Вводные'!$B$14</f>
        <v/>
      </c>
      <c r="BB1469">
        <f>'19_Расчет_аналитики'!BA1468*'01_Вводные'!$B$14</f>
        <v/>
      </c>
      <c r="BC1469">
        <f>'19_Расчет_аналитики'!BB1468*'01_Вводные'!$B$14</f>
        <v/>
      </c>
      <c r="BD1469">
        <f>'19_Расчет_аналитики'!BC1468*'01_Вводные'!$B$14</f>
        <v/>
      </c>
      <c r="BE1469">
        <f>'19_Расчет_аналитики'!BD1468*'01_Вводные'!$B$14</f>
        <v/>
      </c>
      <c r="BF1469">
        <f>'19_Расчет_аналитики'!BE1468*'01_Вводные'!$B$14</f>
        <v/>
      </c>
      <c r="BG1469">
        <f>'19_Расчет_аналитики'!BF1468*'01_Вводные'!$B$14</f>
        <v/>
      </c>
      <c r="BH1469">
        <f>'19_Расчет_аналитики'!BG1468*'01_Вводные'!$B$14</f>
        <v/>
      </c>
      <c r="BI1469">
        <f>'19_Расчет_аналитики'!BH1468*'01_Вводные'!$B$14</f>
        <v/>
      </c>
      <c r="BJ1469">
        <f>'19_Расчет_аналитики'!BI1468*'01_Вводные'!$B$14</f>
        <v/>
      </c>
      <c r="BK1469">
        <f>'19_Расчет_аналитики'!BJ1468*'01_Вводные'!$B$14</f>
        <v/>
      </c>
      <c r="BL1469">
        <f>'19_Расчет_аналитики'!BK1468*'01_Вводные'!$B$14</f>
        <v/>
      </c>
      <c r="BM1469">
        <f>'19_Расчет_аналитики'!BL1468*'01_Вводные'!$B$14</f>
        <v/>
      </c>
      <c r="BN1469">
        <f>'19_Расчет_аналитики'!BM1468*'01_Вводные'!$B$14</f>
        <v/>
      </c>
      <c r="BO1469">
        <f>'19_Расчет_аналитики'!BN1468*'01_Вводные'!$B$14</f>
        <v/>
      </c>
    </row>
    <row r="1470">
      <c r="N1470">
        <f>'06_Сеть_и_дети'!N103</f>
        <v/>
      </c>
      <c r="O1470">
        <f>'06_Сеть_и_дети'!O103</f>
        <v/>
      </c>
      <c r="P1470">
        <f>'06_Сеть_и_дети'!P103</f>
        <v/>
      </c>
      <c r="Q1470">
        <f>'06_Сеть_и_дети'!Q103</f>
        <v/>
      </c>
      <c r="R1470">
        <f>'06_Сеть_и_дети'!R103</f>
        <v/>
      </c>
      <c r="S1470">
        <f>'06_Сеть_и_дети'!S103</f>
        <v/>
      </c>
      <c r="T1470">
        <f>'06_Сеть_и_дети'!T103</f>
        <v/>
      </c>
      <c r="U1470">
        <f>'06_Сеть_и_дети'!U103</f>
        <v/>
      </c>
      <c r="V1470">
        <f>'06_Сеть_и_дети'!V103</f>
        <v/>
      </c>
      <c r="W1470">
        <f>'06_Сеть_и_дети'!W103</f>
        <v/>
      </c>
      <c r="X1470">
        <f>'19_Расчет_аналитики'!W1469*'01_Вводные'!$B$14</f>
        <v/>
      </c>
      <c r="Y1470">
        <f>'19_Расчет_аналитики'!X1469*'01_Вводные'!$B$14</f>
        <v/>
      </c>
      <c r="Z1470">
        <f>'19_Расчет_аналитики'!Y1469*'01_Вводные'!$B$14</f>
        <v/>
      </c>
      <c r="AA1470">
        <f>'19_Расчет_аналитики'!Z1469*'01_Вводные'!$B$14</f>
        <v/>
      </c>
      <c r="AB1470">
        <f>'19_Расчет_аналитики'!AA1469*'01_Вводные'!$B$14</f>
        <v/>
      </c>
      <c r="AC1470">
        <f>'19_Расчет_аналитики'!AB1469*'01_Вводные'!$B$14</f>
        <v/>
      </c>
      <c r="AD1470">
        <f>'19_Расчет_аналитики'!AC1469*'01_Вводные'!$B$14</f>
        <v/>
      </c>
      <c r="AE1470">
        <f>'19_Расчет_аналитики'!AD1469*'01_Вводные'!$B$14</f>
        <v/>
      </c>
      <c r="AF1470">
        <f>'19_Расчет_аналитики'!AE1469*'01_Вводные'!$B$14</f>
        <v/>
      </c>
      <c r="AG1470">
        <f>'19_Расчет_аналитики'!AF1469*'01_Вводные'!$B$14</f>
        <v/>
      </c>
      <c r="AH1470">
        <f>'19_Расчет_аналитики'!AG1469*'01_Вводные'!$B$14</f>
        <v/>
      </c>
      <c r="AI1470">
        <f>'19_Расчет_аналитики'!AH1469*'01_Вводные'!$B$14</f>
        <v/>
      </c>
      <c r="AJ1470">
        <f>'19_Расчет_аналитики'!AI1469*'01_Вводные'!$B$14</f>
        <v/>
      </c>
      <c r="AK1470">
        <f>'19_Расчет_аналитики'!AJ1469*'01_Вводные'!$B$14</f>
        <v/>
      </c>
      <c r="AL1470">
        <f>'19_Расчет_аналитики'!AK1469*'01_Вводные'!$B$14</f>
        <v/>
      </c>
      <c r="AM1470">
        <f>'19_Расчет_аналитики'!AL1469*'01_Вводные'!$B$14</f>
        <v/>
      </c>
      <c r="AN1470">
        <f>'19_Расчет_аналитики'!AM1469*'01_Вводные'!$B$14</f>
        <v/>
      </c>
      <c r="AO1470">
        <f>'19_Расчет_аналитики'!AN1469*'01_Вводные'!$B$14</f>
        <v/>
      </c>
      <c r="AP1470">
        <f>'19_Расчет_аналитики'!AO1469*'01_Вводные'!$B$14</f>
        <v/>
      </c>
      <c r="AQ1470">
        <f>'19_Расчет_аналитики'!AP1469*'01_Вводные'!$B$14</f>
        <v/>
      </c>
      <c r="AR1470">
        <f>'19_Расчет_аналитики'!AQ1469*'01_Вводные'!$B$14</f>
        <v/>
      </c>
      <c r="AS1470">
        <f>'19_Расчет_аналитики'!AR1469*'01_Вводные'!$B$14</f>
        <v/>
      </c>
      <c r="AT1470">
        <f>'19_Расчет_аналитики'!AS1469*'01_Вводные'!$B$14</f>
        <v/>
      </c>
      <c r="AU1470">
        <f>'19_Расчет_аналитики'!AT1469*'01_Вводные'!$B$14</f>
        <v/>
      </c>
      <c r="AV1470">
        <f>'19_Расчет_аналитики'!AU1469*'01_Вводные'!$B$14</f>
        <v/>
      </c>
      <c r="AW1470">
        <f>'19_Расчет_аналитики'!AV1469*'01_Вводные'!$B$14</f>
        <v/>
      </c>
      <c r="AX1470">
        <f>'19_Расчет_аналитики'!AW1469*'01_Вводные'!$B$14</f>
        <v/>
      </c>
      <c r="AY1470">
        <f>'19_Расчет_аналитики'!AX1469*'01_Вводные'!$B$14</f>
        <v/>
      </c>
      <c r="AZ1470">
        <f>'19_Расчет_аналитики'!AY1469*'01_Вводные'!$B$14</f>
        <v/>
      </c>
      <c r="BA1470">
        <f>'19_Расчет_аналитики'!AZ1469*'01_Вводные'!$B$14</f>
        <v/>
      </c>
      <c r="BB1470">
        <f>'19_Расчет_аналитики'!BA1469*'01_Вводные'!$B$14</f>
        <v/>
      </c>
      <c r="BC1470">
        <f>'19_Расчет_аналитики'!BB1469*'01_Вводные'!$B$14</f>
        <v/>
      </c>
      <c r="BD1470">
        <f>'19_Расчет_аналитики'!BC1469*'01_Вводные'!$B$14</f>
        <v/>
      </c>
      <c r="BE1470">
        <f>'19_Расчет_аналитики'!BD1469*'01_Вводные'!$B$14</f>
        <v/>
      </c>
      <c r="BF1470">
        <f>'19_Расчет_аналитики'!BE1469*'01_Вводные'!$B$14</f>
        <v/>
      </c>
      <c r="BG1470">
        <f>'19_Расчет_аналитики'!BF1469*'01_Вводные'!$B$14</f>
        <v/>
      </c>
      <c r="BH1470">
        <f>'19_Расчет_аналитики'!BG1469*'01_Вводные'!$B$14</f>
        <v/>
      </c>
      <c r="BI1470">
        <f>'19_Расчет_аналитики'!BH1469*'01_Вводные'!$B$14</f>
        <v/>
      </c>
      <c r="BJ1470">
        <f>'19_Расчет_аналитики'!BI1469*'01_Вводные'!$B$14</f>
        <v/>
      </c>
      <c r="BK1470">
        <f>'19_Расчет_аналитики'!BJ1469*'01_Вводные'!$B$14</f>
        <v/>
      </c>
      <c r="BL1470">
        <f>'19_Расчет_аналитики'!BK1469*'01_Вводные'!$B$14</f>
        <v/>
      </c>
      <c r="BM1470">
        <f>'19_Расчет_аналитики'!BL1469*'01_Вводные'!$B$14</f>
        <v/>
      </c>
      <c r="BN1470">
        <f>'19_Расчет_аналитики'!BM1469*'01_Вводные'!$B$14</f>
        <v/>
      </c>
      <c r="BO1470">
        <f>'19_Расчет_аналитики'!BN1469*'01_Вводные'!$B$14</f>
        <v/>
      </c>
    </row>
    <row r="1471">
      <c r="N1471">
        <f>'06_Сеть_и_дети'!N104</f>
        <v/>
      </c>
      <c r="O1471">
        <f>'06_Сеть_и_дети'!O104</f>
        <v/>
      </c>
      <c r="P1471">
        <f>'06_Сеть_и_дети'!P104</f>
        <v/>
      </c>
      <c r="Q1471">
        <f>'06_Сеть_и_дети'!Q104</f>
        <v/>
      </c>
      <c r="R1471">
        <f>'06_Сеть_и_дети'!R104</f>
        <v/>
      </c>
      <c r="S1471">
        <f>'06_Сеть_и_дети'!S104</f>
        <v/>
      </c>
      <c r="T1471">
        <f>'06_Сеть_и_дети'!T104</f>
        <v/>
      </c>
      <c r="U1471">
        <f>'06_Сеть_и_дети'!U104</f>
        <v/>
      </c>
      <c r="V1471">
        <f>'06_Сеть_и_дети'!V104</f>
        <v/>
      </c>
      <c r="W1471">
        <f>'06_Сеть_и_дети'!W104</f>
        <v/>
      </c>
      <c r="X1471">
        <f>'06_Сеть_и_дети'!X104</f>
        <v/>
      </c>
      <c r="Y1471">
        <f>'19_Расчет_аналитики'!X1470*'01_Вводные'!$B$14</f>
        <v/>
      </c>
      <c r="Z1471">
        <f>'19_Расчет_аналитики'!Y1470*'01_Вводные'!$B$14</f>
        <v/>
      </c>
      <c r="AA1471">
        <f>'19_Расчет_аналитики'!Z1470*'01_Вводные'!$B$14</f>
        <v/>
      </c>
      <c r="AB1471">
        <f>'19_Расчет_аналитики'!AA1470*'01_Вводные'!$B$14</f>
        <v/>
      </c>
      <c r="AC1471">
        <f>'19_Расчет_аналитики'!AB1470*'01_Вводные'!$B$14</f>
        <v/>
      </c>
      <c r="AD1471">
        <f>'19_Расчет_аналитики'!AC1470*'01_Вводные'!$B$14</f>
        <v/>
      </c>
      <c r="AE1471">
        <f>'19_Расчет_аналитики'!AD1470*'01_Вводные'!$B$14</f>
        <v/>
      </c>
      <c r="AF1471">
        <f>'19_Расчет_аналитики'!AE1470*'01_Вводные'!$B$14</f>
        <v/>
      </c>
      <c r="AG1471">
        <f>'19_Расчет_аналитики'!AF1470*'01_Вводные'!$B$14</f>
        <v/>
      </c>
      <c r="AH1471">
        <f>'19_Расчет_аналитики'!AG1470*'01_Вводные'!$B$14</f>
        <v/>
      </c>
      <c r="AI1471">
        <f>'19_Расчет_аналитики'!AH1470*'01_Вводные'!$B$14</f>
        <v/>
      </c>
      <c r="AJ1471">
        <f>'19_Расчет_аналитики'!AI1470*'01_Вводные'!$B$14</f>
        <v/>
      </c>
      <c r="AK1471">
        <f>'19_Расчет_аналитики'!AJ1470*'01_Вводные'!$B$14</f>
        <v/>
      </c>
      <c r="AL1471">
        <f>'19_Расчет_аналитики'!AK1470*'01_Вводные'!$B$14</f>
        <v/>
      </c>
      <c r="AM1471">
        <f>'19_Расчет_аналитики'!AL1470*'01_Вводные'!$B$14</f>
        <v/>
      </c>
      <c r="AN1471">
        <f>'19_Расчет_аналитики'!AM1470*'01_Вводные'!$B$14</f>
        <v/>
      </c>
      <c r="AO1471">
        <f>'19_Расчет_аналитики'!AN1470*'01_Вводные'!$B$14</f>
        <v/>
      </c>
      <c r="AP1471">
        <f>'19_Расчет_аналитики'!AO1470*'01_Вводные'!$B$14</f>
        <v/>
      </c>
      <c r="AQ1471">
        <f>'19_Расчет_аналитики'!AP1470*'01_Вводные'!$B$14</f>
        <v/>
      </c>
      <c r="AR1471">
        <f>'19_Расчет_аналитики'!AQ1470*'01_Вводные'!$B$14</f>
        <v/>
      </c>
      <c r="AS1471">
        <f>'19_Расчет_аналитики'!AR1470*'01_Вводные'!$B$14</f>
        <v/>
      </c>
      <c r="AT1471">
        <f>'19_Расчет_аналитики'!AS1470*'01_Вводные'!$B$14</f>
        <v/>
      </c>
      <c r="AU1471">
        <f>'19_Расчет_аналитики'!AT1470*'01_Вводные'!$B$14</f>
        <v/>
      </c>
      <c r="AV1471">
        <f>'19_Расчет_аналитики'!AU1470*'01_Вводные'!$B$14</f>
        <v/>
      </c>
      <c r="AW1471">
        <f>'19_Расчет_аналитики'!AV1470*'01_Вводные'!$B$14</f>
        <v/>
      </c>
      <c r="AX1471">
        <f>'19_Расчет_аналитики'!AW1470*'01_Вводные'!$B$14</f>
        <v/>
      </c>
      <c r="AY1471">
        <f>'19_Расчет_аналитики'!AX1470*'01_Вводные'!$B$14</f>
        <v/>
      </c>
      <c r="AZ1471">
        <f>'19_Расчет_аналитики'!AY1470*'01_Вводные'!$B$14</f>
        <v/>
      </c>
      <c r="BA1471">
        <f>'19_Расчет_аналитики'!AZ1470*'01_Вводные'!$B$14</f>
        <v/>
      </c>
      <c r="BB1471">
        <f>'19_Расчет_аналитики'!BA1470*'01_Вводные'!$B$14</f>
        <v/>
      </c>
      <c r="BC1471">
        <f>'19_Расчет_аналитики'!BB1470*'01_Вводные'!$B$14</f>
        <v/>
      </c>
      <c r="BD1471">
        <f>'19_Расчет_аналитики'!BC1470*'01_Вводные'!$B$14</f>
        <v/>
      </c>
      <c r="BE1471">
        <f>'19_Расчет_аналитики'!BD1470*'01_Вводные'!$B$14</f>
        <v/>
      </c>
      <c r="BF1471">
        <f>'19_Расчет_аналитики'!BE1470*'01_Вводные'!$B$14</f>
        <v/>
      </c>
      <c r="BG1471">
        <f>'19_Расчет_аналитики'!BF1470*'01_Вводные'!$B$14</f>
        <v/>
      </c>
      <c r="BH1471">
        <f>'19_Расчет_аналитики'!BG1470*'01_Вводные'!$B$14</f>
        <v/>
      </c>
      <c r="BI1471">
        <f>'19_Расчет_аналитики'!BH1470*'01_Вводные'!$B$14</f>
        <v/>
      </c>
      <c r="BJ1471">
        <f>'19_Расчет_аналитики'!BI1470*'01_Вводные'!$B$14</f>
        <v/>
      </c>
      <c r="BK1471">
        <f>'19_Расчет_аналитики'!BJ1470*'01_Вводные'!$B$14</f>
        <v/>
      </c>
      <c r="BL1471">
        <f>'19_Расчет_аналитики'!BK1470*'01_Вводные'!$B$14</f>
        <v/>
      </c>
      <c r="BM1471">
        <f>'19_Расчет_аналитики'!BL1470*'01_Вводные'!$B$14</f>
        <v/>
      </c>
      <c r="BN1471">
        <f>'19_Расчет_аналитики'!BM1470*'01_Вводные'!$B$14</f>
        <v/>
      </c>
      <c r="BO1471">
        <f>'19_Расчет_аналитики'!BN1470*'01_Вводные'!$B$14</f>
        <v/>
      </c>
    </row>
    <row r="1472">
      <c r="N1472">
        <f>'06_Сеть_и_дети'!N105</f>
        <v/>
      </c>
      <c r="O1472">
        <f>'06_Сеть_и_дети'!O105</f>
        <v/>
      </c>
      <c r="P1472">
        <f>'06_Сеть_и_дети'!P105</f>
        <v/>
      </c>
      <c r="Q1472">
        <f>'06_Сеть_и_дети'!Q105</f>
        <v/>
      </c>
      <c r="R1472">
        <f>'06_Сеть_и_дети'!R105</f>
        <v/>
      </c>
      <c r="S1472">
        <f>'06_Сеть_и_дети'!S105</f>
        <v/>
      </c>
      <c r="T1472">
        <f>'06_Сеть_и_дети'!T105</f>
        <v/>
      </c>
      <c r="U1472">
        <f>'06_Сеть_и_дети'!U105</f>
        <v/>
      </c>
      <c r="V1472">
        <f>'06_Сеть_и_дети'!V105</f>
        <v/>
      </c>
      <c r="W1472">
        <f>'06_Сеть_и_дети'!W105</f>
        <v/>
      </c>
      <c r="X1472">
        <f>'06_Сеть_и_дети'!X105</f>
        <v/>
      </c>
      <c r="Y1472">
        <f>'06_Сеть_и_дети'!Y105</f>
        <v/>
      </c>
      <c r="Z1472">
        <f>SUM('19_Расчет_аналитики'!Y1471:Y1472)*'01_Вводные'!$B$14</f>
        <v/>
      </c>
      <c r="AA1472">
        <f>SUM('19_Расчет_аналитики'!Z1471:Z1472)*'01_Вводные'!$B$14</f>
        <v/>
      </c>
      <c r="AB1472">
        <f>SUM('19_Расчет_аналитики'!AA1471:AA1472)*'01_Вводные'!$B$14</f>
        <v/>
      </c>
      <c r="AC1472">
        <f>SUM('19_Расчет_аналитики'!AB1471:AB1472)*'01_Вводные'!$B$14</f>
        <v/>
      </c>
      <c r="AD1472">
        <f>SUM('19_Расчет_аналитики'!AC1471:AC1472)*'01_Вводные'!$B$14</f>
        <v/>
      </c>
      <c r="AE1472">
        <f>SUM('19_Расчет_аналитики'!AD1471:AD1472)*'01_Вводные'!$B$14</f>
        <v/>
      </c>
      <c r="AF1472">
        <f>SUM('19_Расчет_аналитики'!AE1471:AE1472)*'01_Вводные'!$B$14</f>
        <v/>
      </c>
      <c r="AG1472">
        <f>SUM('19_Расчет_аналитики'!AF1471:AF1472)*'01_Вводные'!$B$14</f>
        <v/>
      </c>
      <c r="AH1472">
        <f>SUM('19_Расчет_аналитики'!AG1471:AG1472)*'01_Вводные'!$B$14</f>
        <v/>
      </c>
      <c r="AI1472">
        <f>SUM('19_Расчет_аналитики'!AH1471:AH1472)*'01_Вводные'!$B$14</f>
        <v/>
      </c>
      <c r="AJ1472">
        <f>SUM('19_Расчет_аналитики'!AI1471:AI1472)*'01_Вводные'!$B$14</f>
        <v/>
      </c>
      <c r="AK1472">
        <f>SUM('19_Расчет_аналитики'!AJ1471:AJ1472)*'01_Вводные'!$B$14</f>
        <v/>
      </c>
      <c r="AL1472">
        <f>SUM('19_Расчет_аналитики'!AK1471:AK1472)*'01_Вводные'!$B$14</f>
        <v/>
      </c>
      <c r="AM1472">
        <f>SUM('19_Расчет_аналитики'!AL1471:AL1472)*'01_Вводные'!$B$14</f>
        <v/>
      </c>
      <c r="AN1472">
        <f>SUM('19_Расчет_аналитики'!AM1471:AM1472)*'01_Вводные'!$B$14</f>
        <v/>
      </c>
      <c r="AO1472">
        <f>SUM('19_Расчет_аналитики'!AN1471:AN1472)*'01_Вводные'!$B$14</f>
        <v/>
      </c>
      <c r="AP1472">
        <f>SUM('19_Расчет_аналитики'!AO1471:AO1472)*'01_Вводные'!$B$14</f>
        <v/>
      </c>
      <c r="AQ1472">
        <f>SUM('19_Расчет_аналитики'!AP1471:AP1472)*'01_Вводные'!$B$14</f>
        <v/>
      </c>
      <c r="AR1472">
        <f>SUM('19_Расчет_аналитики'!AQ1471:AQ1472)*'01_Вводные'!$B$14</f>
        <v/>
      </c>
      <c r="AS1472">
        <f>SUM('19_Расчет_аналитики'!AR1471:AR1472)*'01_Вводные'!$B$14</f>
        <v/>
      </c>
      <c r="AT1472">
        <f>SUM('19_Расчет_аналитики'!AS1471:AS1472)*'01_Вводные'!$B$14</f>
        <v/>
      </c>
      <c r="AU1472">
        <f>SUM('19_Расчет_аналитики'!AT1471:AT1472)*'01_Вводные'!$B$14</f>
        <v/>
      </c>
      <c r="AV1472">
        <f>SUM('19_Расчет_аналитики'!AU1471:AU1472)*'01_Вводные'!$B$14</f>
        <v/>
      </c>
      <c r="AW1472">
        <f>SUM('19_Расчет_аналитики'!AV1471:AV1472)*'01_Вводные'!$B$14</f>
        <v/>
      </c>
      <c r="AX1472">
        <f>SUM('19_Расчет_аналитики'!AW1471:AW1472)*'01_Вводные'!$B$14</f>
        <v/>
      </c>
      <c r="AY1472">
        <f>SUM('19_Расчет_аналитики'!AX1471:AX1472)*'01_Вводные'!$B$14</f>
        <v/>
      </c>
      <c r="AZ1472">
        <f>SUM('19_Расчет_аналитики'!AY1471:AY1472)*'01_Вводные'!$B$14</f>
        <v/>
      </c>
      <c r="BA1472">
        <f>SUM('19_Расчет_аналитики'!AZ1471:AZ1472)*'01_Вводные'!$B$14</f>
        <v/>
      </c>
      <c r="BB1472">
        <f>SUM('19_Расчет_аналитики'!BA1471:BA1472)*'01_Вводные'!$B$14</f>
        <v/>
      </c>
      <c r="BC1472">
        <f>SUM('19_Расчет_аналитики'!BB1471:BB1472)*'01_Вводные'!$B$14</f>
        <v/>
      </c>
      <c r="BD1472">
        <f>SUM('19_Расчет_аналитики'!BC1471:BC1472)*'01_Вводные'!$B$14</f>
        <v/>
      </c>
      <c r="BE1472">
        <f>SUM('19_Расчет_аналитики'!BD1471:BD1472)*'01_Вводные'!$B$14</f>
        <v/>
      </c>
      <c r="BF1472">
        <f>SUM('19_Расчет_аналитики'!BE1471:BE1472)*'01_Вводные'!$B$14</f>
        <v/>
      </c>
      <c r="BG1472">
        <f>SUM('19_Расчет_аналитики'!BF1471:BF1472)*'01_Вводные'!$B$14</f>
        <v/>
      </c>
      <c r="BH1472">
        <f>SUM('19_Расчет_аналитики'!BG1471:BG1472)*'01_Вводные'!$B$14</f>
        <v/>
      </c>
      <c r="BI1472">
        <f>SUM('19_Расчет_аналитики'!BH1471:BH1472)*'01_Вводные'!$B$14</f>
        <v/>
      </c>
      <c r="BJ1472">
        <f>SUM('19_Расчет_аналитики'!BI1471:BI1472)*'01_Вводные'!$B$14</f>
        <v/>
      </c>
      <c r="BK1472">
        <f>SUM('19_Расчет_аналитики'!BJ1471:BJ1472)*'01_Вводные'!$B$14</f>
        <v/>
      </c>
      <c r="BL1472">
        <f>SUM('19_Расчет_аналитики'!BK1471:BK1472)*'01_Вводные'!$B$14</f>
        <v/>
      </c>
      <c r="BM1472">
        <f>SUM('19_Расчет_аналитики'!BL1471:BL1472)*'01_Вводные'!$B$14</f>
        <v/>
      </c>
      <c r="BN1472">
        <f>SUM('19_Расчет_аналитики'!BM1471:BM1472)*'01_Вводные'!$B$14</f>
        <v/>
      </c>
      <c r="BO1472">
        <f>SUM('19_Расчет_аналитики'!BN1471:BN1472)*'01_Вводные'!$B$14</f>
        <v/>
      </c>
    </row>
    <row r="1473"/>
    <row r="1474"/>
    <row r="1475"/>
    <row r="1476">
      <c r="B1476">
        <f>IF(OR('19_Расчет_аналитики'!B1448=0,1&lt;='01_Вводные'!$B$297),0,'19_Расчет_аналитики'!B1448*IF('01_Вводные'!$B$239="Да",MeanMinAge01+'19_Расчет_аналитики'!B1571*SUMIF(ThresholdAge01,"&lt;"&amp;'19_Расчет_аналитики'!B1571,WeightedRevAge01)-SUMIF(ThresholdAge01,"&lt;"&amp;'19_Расчет_аналитики'!B1571,WeightedMinAge01),MAX(CapacityAge01*'01_Вводные'!$B$218*'19_Расчет_аналитики'!B1571,MeanMinAge01)))</f>
        <v/>
      </c>
      <c r="C1476">
        <f>IF(OR('19_Расчет_аналитики'!C1448=0,1&lt;='01_Вводные'!$B$297),0,'19_Расчет_аналитики'!C1448*IF('01_Вводные'!$B$239="Да",MeanMinAge01+'19_Расчет_аналитики'!C1571*SUMIF(ThresholdAge01,"&lt;"&amp;'19_Расчет_аналитики'!C1571,WeightedRevAge01)-SUMIF(ThresholdAge01,"&lt;"&amp;'19_Расчет_аналитики'!C1571,WeightedMinAge01),MAX(CapacityAge01*'01_Вводные'!$B$218*'19_Расчет_аналитики'!C1571,MeanMinAge01)))</f>
        <v/>
      </c>
      <c r="D1476">
        <f>IF(OR('19_Расчет_аналитики'!D1448=0,1&lt;='01_Вводные'!$B$297),0,'19_Расчет_аналитики'!D1448*IF('01_Вводные'!$B$239="Да",MeanMinAge01+'19_Расчет_аналитики'!D1571*SUMIF(ThresholdAge01,"&lt;"&amp;'19_Расчет_аналитики'!D1571,WeightedRevAge01)-SUMIF(ThresholdAge01,"&lt;"&amp;'19_Расчет_аналитики'!D1571,WeightedMinAge01),MAX(CapacityAge01*'01_Вводные'!$B$218*'19_Расчет_аналитики'!D1571,MeanMinAge01)))</f>
        <v/>
      </c>
      <c r="E1476">
        <f>IF(OR('19_Расчет_аналитики'!E1448=0,1&lt;='01_Вводные'!$B$297),0,'19_Расчет_аналитики'!E1448*IF('01_Вводные'!$B$239="Да",MeanMinAge01+'19_Расчет_аналитики'!E1571*SUMIF(ThresholdAge01,"&lt;"&amp;'19_Расчет_аналитики'!E1571,WeightedRevAge01)-SUMIF(ThresholdAge01,"&lt;"&amp;'19_Расчет_аналитики'!E1571,WeightedMinAge01),MAX(CapacityAge01*'01_Вводные'!$B$218*'19_Расчет_аналитики'!E1571,MeanMinAge01)))</f>
        <v/>
      </c>
      <c r="F1476">
        <f>IF(OR('19_Расчет_аналитики'!F1448=0,1&lt;='01_Вводные'!$B$297),0,'19_Расчет_аналитики'!F1448*IF('01_Вводные'!$B$239="Да",MeanMinAge01+'19_Расчет_аналитики'!F1571*SUMIF(ThresholdAge01,"&lt;"&amp;'19_Расчет_аналитики'!F1571,WeightedRevAge01)-SUMIF(ThresholdAge01,"&lt;"&amp;'19_Расчет_аналитики'!F1571,WeightedMinAge01),MAX(CapacityAge01*'01_Вводные'!$B$218*'19_Расчет_аналитики'!F1571,MeanMinAge01)))</f>
        <v/>
      </c>
      <c r="G1476">
        <f>IF(OR('19_Расчет_аналитики'!G1448=0,1&lt;='01_Вводные'!$B$297),0,'19_Расчет_аналитики'!G1448*IF('01_Вводные'!$B$239="Да",MeanMinAge01+'19_Расчет_аналитики'!G1571*SUMIF(ThresholdAge01,"&lt;"&amp;'19_Расчет_аналитики'!G1571,WeightedRevAge01)-SUMIF(ThresholdAge01,"&lt;"&amp;'19_Расчет_аналитики'!G1571,WeightedMinAge01),MAX(CapacityAge01*'01_Вводные'!$B$218*'19_Расчет_аналитики'!G1571,MeanMinAge01)))</f>
        <v/>
      </c>
      <c r="H1476">
        <f>IF(OR('19_Расчет_аналитики'!H1448=0,1&lt;='01_Вводные'!$B$297),0,'19_Расчет_аналитики'!H1448*IF('01_Вводные'!$B$239="Да",MeanMinAge01+'19_Расчет_аналитики'!H1571*SUMIF(ThresholdAge01,"&lt;"&amp;'19_Расчет_аналитики'!H1571,WeightedRevAge01)-SUMIF(ThresholdAge01,"&lt;"&amp;'19_Расчет_аналитики'!H1571,WeightedMinAge01),MAX(CapacityAge01*'01_Вводные'!$B$218*'19_Расчет_аналитики'!H1571,MeanMinAge01)))</f>
        <v/>
      </c>
      <c r="I1476">
        <f>IF(OR('19_Расчет_аналитики'!I1448=0,1&lt;='01_Вводные'!$B$297),0,'19_Расчет_аналитики'!I1448*IF('01_Вводные'!$B$239="Да",MeanMinAge01+'19_Расчет_аналитики'!I1571*SUMIF(ThresholdAge01,"&lt;"&amp;'19_Расчет_аналитики'!I1571,WeightedRevAge01)-SUMIF(ThresholdAge01,"&lt;"&amp;'19_Расчет_аналитики'!I1571,WeightedMinAge01),MAX(CapacityAge01*'01_Вводные'!$B$218*'19_Расчет_аналитики'!I1571,MeanMinAge01)))</f>
        <v/>
      </c>
      <c r="J1476">
        <f>IF(OR('19_Расчет_аналитики'!J1448=0,1&lt;='01_Вводные'!$B$297),0,'19_Расчет_аналитики'!J1448*IF('01_Вводные'!$B$239="Да",MeanMinAge01+'19_Расчет_аналитики'!J1571*SUMIF(ThresholdAge01,"&lt;"&amp;'19_Расчет_аналитики'!J1571,WeightedRevAge01)-SUMIF(ThresholdAge01,"&lt;"&amp;'19_Расчет_аналитики'!J1571,WeightedMinAge01),MAX(CapacityAge01*'01_Вводные'!$B$218*'19_Расчет_аналитики'!J1571,MeanMinAge01)))</f>
        <v/>
      </c>
      <c r="K1476">
        <f>IF(OR('19_Расчет_аналитики'!K1448=0,1&lt;='01_Вводные'!$B$297),0,'19_Расчет_аналитики'!K1448*IF('01_Вводные'!$B$239="Да",MeanMinAge01+'19_Расчет_аналитики'!K1571*SUMIF(ThresholdAge01,"&lt;"&amp;'19_Расчет_аналитики'!K1571,WeightedRevAge01)-SUMIF(ThresholdAge01,"&lt;"&amp;'19_Расчет_аналитики'!K1571,WeightedMinAge01),MAX(CapacityAge01*'01_Вводные'!$B$218*'19_Расчет_аналитики'!K1571,MeanMinAge01)))</f>
        <v/>
      </c>
      <c r="L1476">
        <f>IF(OR('19_Расчет_аналитики'!L1448=0,1&lt;='01_Вводные'!$B$297),0,'19_Расчет_аналитики'!L1448*IF('01_Вводные'!$B$239="Да",MeanMinAge01+'19_Расчет_аналитики'!L1571*SUMIF(ThresholdAge01,"&lt;"&amp;'19_Расчет_аналитики'!L1571,WeightedRevAge01)-SUMIF(ThresholdAge01,"&lt;"&amp;'19_Расчет_аналитики'!L1571,WeightedMinAge01),MAX(CapacityAge01*'01_Вводные'!$B$218*'19_Расчет_аналитики'!L1571,MeanMinAge01)))</f>
        <v/>
      </c>
      <c r="M1476">
        <f>IF(OR('19_Расчет_аналитики'!M1448=0,1&lt;='01_Вводные'!$B$297),0,'19_Расчет_аналитики'!M1448*IF('01_Вводные'!$B$239="Да",MeanMinAge01+'19_Расчет_аналитики'!M1571*SUMIF(ThresholdAge01,"&lt;"&amp;'19_Расчет_аналитики'!M1571,WeightedRevAge01)-SUMIF(ThresholdAge01,"&lt;"&amp;'19_Расчет_аналитики'!M1571,WeightedMinAge01),MAX(CapacityAge01*'01_Вводные'!$B$218*'19_Расчет_аналитики'!M1571,MeanMinAge01)))</f>
        <v/>
      </c>
      <c r="N1476">
        <f>IF(OR('19_Расчет_аналитики'!N1448=0,1&lt;='01_Вводные'!$B$297),0,'19_Расчет_аналитики'!N1448*IF('01_Вводные'!$B$239="Да",MeanMinAge01+'19_Расчет_аналитики'!N1571*SUMIF(ThresholdAge01,"&lt;"&amp;'19_Расчет_аналитики'!N1571,WeightedRevAge01)-SUMIF(ThresholdAge01,"&lt;"&amp;'19_Расчет_аналитики'!N1571,WeightedMinAge01),MAX(CapacityAge01*'01_Вводные'!$B$218*'19_Расчет_аналитики'!N1571,MeanMinAge01)))</f>
        <v/>
      </c>
      <c r="O1476">
        <f>IF(OR('19_Расчет_аналитики'!O1448=0,1&lt;='01_Вводные'!$B$297),0,'19_Расчет_аналитики'!O1448*IF('01_Вводные'!$B$239="Да",MeanMinAge01+'19_Расчет_аналитики'!O1571*SUMIF(ThresholdAge01,"&lt;"&amp;'19_Расчет_аналитики'!O1571,WeightedRevAge01)-SUMIF(ThresholdAge01,"&lt;"&amp;'19_Расчет_аналитики'!O1571,WeightedMinAge01),MAX(CapacityAge01*'01_Вводные'!$B$218*'19_Расчет_аналитики'!O1571,MeanMinAge01)))</f>
        <v/>
      </c>
      <c r="P1476">
        <f>IF(OR('19_Расчет_аналитики'!P1448=0,1&lt;='01_Вводные'!$B$297),0,'19_Расчет_аналитики'!P1448*IF('01_Вводные'!$B$239="Да",MeanMinAge01+'19_Расчет_аналитики'!P1571*SUMIF(ThresholdAge01,"&lt;"&amp;'19_Расчет_аналитики'!P1571,WeightedRevAge01)-SUMIF(ThresholdAge01,"&lt;"&amp;'19_Расчет_аналитики'!P1571,WeightedMinAge01),MAX(CapacityAge01*'01_Вводные'!$B$218*'19_Расчет_аналитики'!P1571,MeanMinAge01)))</f>
        <v/>
      </c>
      <c r="Q1476">
        <f>IF(OR('19_Расчет_аналитики'!Q1448=0,1&lt;='01_Вводные'!$B$297),0,'19_Расчет_аналитики'!Q1448*IF('01_Вводные'!$B$239="Да",MeanMinAge01+'19_Расчет_аналитики'!Q1571*SUMIF(ThresholdAge01,"&lt;"&amp;'19_Расчет_аналитики'!Q1571,WeightedRevAge01)-SUMIF(ThresholdAge01,"&lt;"&amp;'19_Расчет_аналитики'!Q1571,WeightedMinAge01),MAX(CapacityAge01*'01_Вводные'!$B$218*'19_Расчет_аналитики'!Q1571,MeanMinAge01)))</f>
        <v/>
      </c>
      <c r="R1476">
        <f>IF(OR('19_Расчет_аналитики'!R1448=0,1&lt;='01_Вводные'!$B$297),0,'19_Расчет_аналитики'!R1448*IF('01_Вводные'!$B$239="Да",MeanMinAge01+'19_Расчет_аналитики'!R1571*SUMIF(ThresholdAge01,"&lt;"&amp;'19_Расчет_аналитики'!R1571,WeightedRevAge01)-SUMIF(ThresholdAge01,"&lt;"&amp;'19_Расчет_аналитики'!R1571,WeightedMinAge01),MAX(CapacityAge01*'01_Вводные'!$B$218*'19_Расчет_аналитики'!R1571,MeanMinAge01)))</f>
        <v/>
      </c>
      <c r="S1476">
        <f>IF(OR('19_Расчет_аналитики'!S1448=0,1&lt;='01_Вводные'!$B$297),0,'19_Расчет_аналитики'!S1448*IF('01_Вводные'!$B$239="Да",MeanMinAge01+'19_Расчет_аналитики'!S1571*SUMIF(ThresholdAge01,"&lt;"&amp;'19_Расчет_аналитики'!S1571,WeightedRevAge01)-SUMIF(ThresholdAge01,"&lt;"&amp;'19_Расчет_аналитики'!S1571,WeightedMinAge01),MAX(CapacityAge01*'01_Вводные'!$B$218*'19_Расчет_аналитики'!S1571,MeanMinAge01)))</f>
        <v/>
      </c>
      <c r="T1476">
        <f>IF(OR('19_Расчет_аналитики'!T1448=0,1&lt;='01_Вводные'!$B$297),0,'19_Расчет_аналитики'!T1448*IF('01_Вводные'!$B$239="Да",MeanMinAge01+'19_Расчет_аналитики'!T1571*SUMIF(ThresholdAge01,"&lt;"&amp;'19_Расчет_аналитики'!T1571,WeightedRevAge01)-SUMIF(ThresholdAge01,"&lt;"&amp;'19_Расчет_аналитики'!T1571,WeightedMinAge01),MAX(CapacityAge01*'01_Вводные'!$B$218*'19_Расчет_аналитики'!T1571,MeanMinAge01)))</f>
        <v/>
      </c>
      <c r="U1476">
        <f>IF(OR('19_Расчет_аналитики'!U1448=0,1&lt;='01_Вводные'!$B$297),0,'19_Расчет_аналитики'!U1448*IF('01_Вводные'!$B$239="Да",MeanMinAge01+'19_Расчет_аналитики'!U1571*SUMIF(ThresholdAge01,"&lt;"&amp;'19_Расчет_аналитики'!U1571,WeightedRevAge01)-SUMIF(ThresholdAge01,"&lt;"&amp;'19_Расчет_аналитики'!U1571,WeightedMinAge01),MAX(CapacityAge01*'01_Вводные'!$B$218*'19_Расчет_аналитики'!U1571,MeanMinAge01)))</f>
        <v/>
      </c>
      <c r="V1476">
        <f>IF(OR('19_Расчет_аналитики'!V1448=0,1&lt;='01_Вводные'!$B$297),0,'19_Расчет_аналитики'!V1448*IF('01_Вводные'!$B$239="Да",MeanMinAge01+'19_Расчет_аналитики'!V1571*SUMIF(ThresholdAge01,"&lt;"&amp;'19_Расчет_аналитики'!V1571,WeightedRevAge01)-SUMIF(ThresholdAge01,"&lt;"&amp;'19_Расчет_аналитики'!V1571,WeightedMinAge01),MAX(CapacityAge01*'01_Вводные'!$B$218*'19_Расчет_аналитики'!V1571,MeanMinAge01)))</f>
        <v/>
      </c>
      <c r="W1476">
        <f>IF(OR('19_Расчет_аналитики'!W1448=0,1&lt;='01_Вводные'!$B$297),0,'19_Расчет_аналитики'!W1448*IF('01_Вводные'!$B$239="Да",MeanMinAge01+'19_Расчет_аналитики'!W1571*SUMIF(ThresholdAge01,"&lt;"&amp;'19_Расчет_аналитики'!W1571,WeightedRevAge01)-SUMIF(ThresholdAge01,"&lt;"&amp;'19_Расчет_аналитики'!W1571,WeightedMinAge01),MAX(CapacityAge01*'01_Вводные'!$B$218*'19_Расчет_аналитики'!W1571,MeanMinAge01)))</f>
        <v/>
      </c>
      <c r="X1476">
        <f>IF(OR('19_Расчет_аналитики'!X1448=0,1&lt;='01_Вводные'!$B$297),0,'19_Расчет_аналитики'!X1448*IF('01_Вводные'!$B$239="Да",MeanMinAge01+'19_Расчет_аналитики'!X1571*SUMIF(ThresholdAge01,"&lt;"&amp;'19_Расчет_аналитики'!X1571,WeightedRevAge01)-SUMIF(ThresholdAge01,"&lt;"&amp;'19_Расчет_аналитики'!X1571,WeightedMinAge01),MAX(CapacityAge01*'01_Вводные'!$B$218*'19_Расчет_аналитики'!X1571,MeanMinAge01)))</f>
        <v/>
      </c>
      <c r="Y1476">
        <f>IF(OR('19_Расчет_аналитики'!Y1448=0,1&lt;='01_Вводные'!$B$297),0,'19_Расчет_аналитики'!Y1448*IF('01_Вводные'!$B$239="Да",MeanMinAge01+'19_Расчет_аналитики'!Y1571*SUMIF(ThresholdAge01,"&lt;"&amp;'19_Расчет_аналитики'!Y1571,WeightedRevAge01)-SUMIF(ThresholdAge01,"&lt;"&amp;'19_Расчет_аналитики'!Y1571,WeightedMinAge01),MAX(CapacityAge01*'01_Вводные'!$B$218*'19_Расчет_аналитики'!Y1571,MeanMinAge01)))</f>
        <v/>
      </c>
      <c r="Z1476">
        <f>IF(OR('19_Расчет_аналитики'!Z1448=0,1&lt;='01_Вводные'!$B$297),0,'19_Расчет_аналитики'!Z1448*IF('01_Вводные'!$B$239="Да",MeanMinAge01+'19_Расчет_аналитики'!Z1571*SUMIF(ThresholdAge01,"&lt;"&amp;'19_Расчет_аналитики'!Z1571,WeightedRevAge01)-SUMIF(ThresholdAge01,"&lt;"&amp;'19_Расчет_аналитики'!Z1571,WeightedMinAge01),MAX(CapacityAge01*'01_Вводные'!$B$218*'19_Расчет_аналитики'!Z1571,MeanMinAge01)))</f>
        <v/>
      </c>
      <c r="AA1476">
        <f>IF(OR('19_Расчет_аналитики'!AA1448=0,1&lt;='01_Вводные'!$B$297),0,'19_Расчет_аналитики'!AA1448*IF('01_Вводные'!$B$239="Да",MeanMinAge01+'19_Расчет_аналитики'!AA1571*SUMIF(ThresholdAge01,"&lt;"&amp;'19_Расчет_аналитики'!AA1571,WeightedRevAge01)-SUMIF(ThresholdAge01,"&lt;"&amp;'19_Расчет_аналитики'!AA1571,WeightedMinAge01),MAX(CapacityAge01*'01_Вводные'!$B$218*'19_Расчет_аналитики'!AA1571,MeanMinAge01)))</f>
        <v/>
      </c>
      <c r="AB1476">
        <f>IF(OR('19_Расчет_аналитики'!AB1448=0,1&lt;='01_Вводные'!$B$297),0,'19_Расчет_аналитики'!AB1448*IF('01_Вводные'!$B$239="Да",MeanMinAge01+'19_Расчет_аналитики'!AB1571*SUMIF(ThresholdAge01,"&lt;"&amp;'19_Расчет_аналитики'!AB1571,WeightedRevAge01)-SUMIF(ThresholdAge01,"&lt;"&amp;'19_Расчет_аналитики'!AB1571,WeightedMinAge01),MAX(CapacityAge01*'01_Вводные'!$B$218*'19_Расчет_аналитики'!AB1571,MeanMinAge01)))</f>
        <v/>
      </c>
      <c r="AC1476">
        <f>IF(OR('19_Расчет_аналитики'!AC1448=0,1&lt;='01_Вводные'!$B$297),0,'19_Расчет_аналитики'!AC1448*IF('01_Вводные'!$B$239="Да",MeanMinAge01+'19_Расчет_аналитики'!AC1571*SUMIF(ThresholdAge01,"&lt;"&amp;'19_Расчет_аналитики'!AC1571,WeightedRevAge01)-SUMIF(ThresholdAge01,"&lt;"&amp;'19_Расчет_аналитики'!AC1571,WeightedMinAge01),MAX(CapacityAge01*'01_Вводные'!$B$218*'19_Расчет_аналитики'!AC1571,MeanMinAge01)))</f>
        <v/>
      </c>
      <c r="AD1476">
        <f>IF(OR('19_Расчет_аналитики'!AD1448=0,1&lt;='01_Вводные'!$B$297),0,'19_Расчет_аналитики'!AD1448*IF('01_Вводные'!$B$239="Да",MeanMinAge01+'19_Расчет_аналитики'!AD1571*SUMIF(ThresholdAge01,"&lt;"&amp;'19_Расчет_аналитики'!AD1571,WeightedRevAge01)-SUMIF(ThresholdAge01,"&lt;"&amp;'19_Расчет_аналитики'!AD1571,WeightedMinAge01),MAX(CapacityAge01*'01_Вводные'!$B$218*'19_Расчет_аналитики'!AD1571,MeanMinAge01)))</f>
        <v/>
      </c>
      <c r="AE1476">
        <f>IF(OR('19_Расчет_аналитики'!AE1448=0,1&lt;='01_Вводные'!$B$297),0,'19_Расчет_аналитики'!AE1448*IF('01_Вводные'!$B$239="Да",MeanMinAge01+'19_Расчет_аналитики'!AE1571*SUMIF(ThresholdAge01,"&lt;"&amp;'19_Расчет_аналитики'!AE1571,WeightedRevAge01)-SUMIF(ThresholdAge01,"&lt;"&amp;'19_Расчет_аналитики'!AE1571,WeightedMinAge01),MAX(CapacityAge01*'01_Вводные'!$B$218*'19_Расчет_аналитики'!AE1571,MeanMinAge01)))</f>
        <v/>
      </c>
      <c r="AF1476">
        <f>IF(OR('19_Расчет_аналитики'!AF1448=0,1&lt;='01_Вводные'!$B$297),0,'19_Расчет_аналитики'!AF1448*IF('01_Вводные'!$B$239="Да",MeanMinAge01+'19_Расчет_аналитики'!AF1571*SUMIF(ThresholdAge01,"&lt;"&amp;'19_Расчет_аналитики'!AF1571,WeightedRevAge01)-SUMIF(ThresholdAge01,"&lt;"&amp;'19_Расчет_аналитики'!AF1571,WeightedMinAge01),MAX(CapacityAge01*'01_Вводные'!$B$218*'19_Расчет_аналитики'!AF1571,MeanMinAge01)))</f>
        <v/>
      </c>
      <c r="AG1476">
        <f>IF(OR('19_Расчет_аналитики'!AG1448=0,1&lt;='01_Вводные'!$B$297),0,'19_Расчет_аналитики'!AG1448*IF('01_Вводные'!$B$239="Да",MeanMinAge01+'19_Расчет_аналитики'!AG1571*SUMIF(ThresholdAge01,"&lt;"&amp;'19_Расчет_аналитики'!AG1571,WeightedRevAge01)-SUMIF(ThresholdAge01,"&lt;"&amp;'19_Расчет_аналитики'!AG1571,WeightedMinAge01),MAX(CapacityAge01*'01_Вводные'!$B$218*'19_Расчет_аналитики'!AG1571,MeanMinAge01)))</f>
        <v/>
      </c>
      <c r="AH1476">
        <f>IF(OR('19_Расчет_аналитики'!AH1448=0,1&lt;='01_Вводные'!$B$297),0,'19_Расчет_аналитики'!AH1448*IF('01_Вводные'!$B$239="Да",MeanMinAge01+'19_Расчет_аналитики'!AH1571*SUMIF(ThresholdAge01,"&lt;"&amp;'19_Расчет_аналитики'!AH1571,WeightedRevAge01)-SUMIF(ThresholdAge01,"&lt;"&amp;'19_Расчет_аналитики'!AH1571,WeightedMinAge01),MAX(CapacityAge01*'01_Вводные'!$B$218*'19_Расчет_аналитики'!AH1571,MeanMinAge01)))</f>
        <v/>
      </c>
      <c r="AI1476">
        <f>IF(OR('19_Расчет_аналитики'!AI1448=0,1&lt;='01_Вводные'!$B$297),0,'19_Расчет_аналитики'!AI1448*IF('01_Вводные'!$B$239="Да",MeanMinAge01+'19_Расчет_аналитики'!AI1571*SUMIF(ThresholdAge01,"&lt;"&amp;'19_Расчет_аналитики'!AI1571,WeightedRevAge01)-SUMIF(ThresholdAge01,"&lt;"&amp;'19_Расчет_аналитики'!AI1571,WeightedMinAge01),MAX(CapacityAge01*'01_Вводные'!$B$218*'19_Расчет_аналитики'!AI1571,MeanMinAge01)))</f>
        <v/>
      </c>
      <c r="AJ1476">
        <f>IF(OR('19_Расчет_аналитики'!AJ1448=0,1&lt;='01_Вводные'!$B$297),0,'19_Расчет_аналитики'!AJ1448*IF('01_Вводные'!$B$239="Да",MeanMinAge01+'19_Расчет_аналитики'!AJ1571*SUMIF(ThresholdAge01,"&lt;"&amp;'19_Расчет_аналитики'!AJ1571,WeightedRevAge01)-SUMIF(ThresholdAge01,"&lt;"&amp;'19_Расчет_аналитики'!AJ1571,WeightedMinAge01),MAX(CapacityAge01*'01_Вводные'!$B$218*'19_Расчет_аналитики'!AJ1571,MeanMinAge01)))</f>
        <v/>
      </c>
      <c r="AK1476">
        <f>IF(OR('19_Расчет_аналитики'!AK1448=0,1&lt;='01_Вводные'!$B$297),0,'19_Расчет_аналитики'!AK1448*IF('01_Вводные'!$B$239="Да",MeanMinAge01+'19_Расчет_аналитики'!AK1571*SUMIF(ThresholdAge01,"&lt;"&amp;'19_Расчет_аналитики'!AK1571,WeightedRevAge01)-SUMIF(ThresholdAge01,"&lt;"&amp;'19_Расчет_аналитики'!AK1571,WeightedMinAge01),MAX(CapacityAge01*'01_Вводные'!$B$218*'19_Расчет_аналитики'!AK1571,MeanMinAge01)))</f>
        <v/>
      </c>
      <c r="AL1476">
        <f>IF(OR('19_Расчет_аналитики'!AL1448=0,1&lt;='01_Вводные'!$B$297),0,'19_Расчет_аналитики'!AL1448*IF('01_Вводные'!$B$239="Да",MeanMinAge01+'19_Расчет_аналитики'!AL1571*SUMIF(ThresholdAge01,"&lt;"&amp;'19_Расчет_аналитики'!AL1571,WeightedRevAge01)-SUMIF(ThresholdAge01,"&lt;"&amp;'19_Расчет_аналитики'!AL1571,WeightedMinAge01),MAX(CapacityAge01*'01_Вводные'!$B$218*'19_Расчет_аналитики'!AL1571,MeanMinAge01)))</f>
        <v/>
      </c>
      <c r="AM1476">
        <f>IF(OR('19_Расчет_аналитики'!AM1448=0,1&lt;='01_Вводные'!$B$297),0,'19_Расчет_аналитики'!AM1448*IF('01_Вводные'!$B$239="Да",MeanMinAge01+'19_Расчет_аналитики'!AM1571*SUMIF(ThresholdAge01,"&lt;"&amp;'19_Расчет_аналитики'!AM1571,WeightedRevAge01)-SUMIF(ThresholdAge01,"&lt;"&amp;'19_Расчет_аналитики'!AM1571,WeightedMinAge01),MAX(CapacityAge01*'01_Вводные'!$B$218*'19_Расчет_аналитики'!AM1571,MeanMinAge01)))</f>
        <v/>
      </c>
      <c r="AN1476">
        <f>IF(OR('19_Расчет_аналитики'!AN1448=0,1&lt;='01_Вводные'!$B$297),0,'19_Расчет_аналитики'!AN1448*IF('01_Вводные'!$B$239="Да",MeanMinAge01+'19_Расчет_аналитики'!AN1571*SUMIF(ThresholdAge01,"&lt;"&amp;'19_Расчет_аналитики'!AN1571,WeightedRevAge01)-SUMIF(ThresholdAge01,"&lt;"&amp;'19_Расчет_аналитики'!AN1571,WeightedMinAge01),MAX(CapacityAge01*'01_Вводные'!$B$218*'19_Расчет_аналитики'!AN1571,MeanMinAge01)))</f>
        <v/>
      </c>
      <c r="AO1476">
        <f>IF(OR('19_Расчет_аналитики'!AO1448=0,1&lt;='01_Вводные'!$B$297),0,'19_Расчет_аналитики'!AO1448*IF('01_Вводные'!$B$239="Да",MeanMinAge01+'19_Расчет_аналитики'!AO1571*SUMIF(ThresholdAge01,"&lt;"&amp;'19_Расчет_аналитики'!AO1571,WeightedRevAge01)-SUMIF(ThresholdAge01,"&lt;"&amp;'19_Расчет_аналитики'!AO1571,WeightedMinAge01),MAX(CapacityAge01*'01_Вводные'!$B$218*'19_Расчет_аналитики'!AO1571,MeanMinAge01)))</f>
        <v/>
      </c>
      <c r="AP1476">
        <f>IF(OR('19_Расчет_аналитики'!AP1448=0,1&lt;='01_Вводные'!$B$297),0,'19_Расчет_аналитики'!AP1448*IF('01_Вводные'!$B$239="Да",MeanMinAge01+'19_Расчет_аналитики'!AP1571*SUMIF(ThresholdAge01,"&lt;"&amp;'19_Расчет_аналитики'!AP1571,WeightedRevAge01)-SUMIF(ThresholdAge01,"&lt;"&amp;'19_Расчет_аналитики'!AP1571,WeightedMinAge01),MAX(CapacityAge01*'01_Вводные'!$B$218*'19_Расчет_аналитики'!AP1571,MeanMinAge01)))</f>
        <v/>
      </c>
      <c r="AQ1476">
        <f>IF(OR('19_Расчет_аналитики'!AQ1448=0,1&lt;='01_Вводные'!$B$297),0,'19_Расчет_аналитики'!AQ1448*IF('01_Вводные'!$B$239="Да",MeanMinAge01+'19_Расчет_аналитики'!AQ1571*SUMIF(ThresholdAge01,"&lt;"&amp;'19_Расчет_аналитики'!AQ1571,WeightedRevAge01)-SUMIF(ThresholdAge01,"&lt;"&amp;'19_Расчет_аналитики'!AQ1571,WeightedMinAge01),MAX(CapacityAge01*'01_Вводные'!$B$218*'19_Расчет_аналитики'!AQ1571,MeanMinAge01)))</f>
        <v/>
      </c>
      <c r="AR1476">
        <f>IF(OR('19_Расчет_аналитики'!AR1448=0,1&lt;='01_Вводные'!$B$297),0,'19_Расчет_аналитики'!AR1448*IF('01_Вводные'!$B$239="Да",MeanMinAge01+'19_Расчет_аналитики'!AR1571*SUMIF(ThresholdAge01,"&lt;"&amp;'19_Расчет_аналитики'!AR1571,WeightedRevAge01)-SUMIF(ThresholdAge01,"&lt;"&amp;'19_Расчет_аналитики'!AR1571,WeightedMinAge01),MAX(CapacityAge01*'01_Вводные'!$B$218*'19_Расчет_аналитики'!AR1571,MeanMinAge01)))</f>
        <v/>
      </c>
      <c r="AS1476">
        <f>IF(OR('19_Расчет_аналитики'!AS1448=0,1&lt;='01_Вводные'!$B$297),0,'19_Расчет_аналитики'!AS1448*IF('01_Вводные'!$B$239="Да",MeanMinAge01+'19_Расчет_аналитики'!AS1571*SUMIF(ThresholdAge01,"&lt;"&amp;'19_Расчет_аналитики'!AS1571,WeightedRevAge01)-SUMIF(ThresholdAge01,"&lt;"&amp;'19_Расчет_аналитики'!AS1571,WeightedMinAge01),MAX(CapacityAge01*'01_Вводные'!$B$218*'19_Расчет_аналитики'!AS1571,MeanMinAge01)))</f>
        <v/>
      </c>
      <c r="AT1476">
        <f>IF(OR('19_Расчет_аналитики'!AT1448=0,1&lt;='01_Вводные'!$B$297),0,'19_Расчет_аналитики'!AT1448*IF('01_Вводные'!$B$239="Да",MeanMinAge01+'19_Расчет_аналитики'!AT1571*SUMIF(ThresholdAge01,"&lt;"&amp;'19_Расчет_аналитики'!AT1571,WeightedRevAge01)-SUMIF(ThresholdAge01,"&lt;"&amp;'19_Расчет_аналитики'!AT1571,WeightedMinAge01),MAX(CapacityAge01*'01_Вводные'!$B$218*'19_Расчет_аналитики'!AT1571,MeanMinAge01)))</f>
        <v/>
      </c>
      <c r="AU1476">
        <f>IF(OR('19_Расчет_аналитики'!AU1448=0,1&lt;='01_Вводные'!$B$297),0,'19_Расчет_аналитики'!AU1448*IF('01_Вводные'!$B$239="Да",MeanMinAge01+'19_Расчет_аналитики'!AU1571*SUMIF(ThresholdAge01,"&lt;"&amp;'19_Расчет_аналитики'!AU1571,WeightedRevAge01)-SUMIF(ThresholdAge01,"&lt;"&amp;'19_Расчет_аналитики'!AU1571,WeightedMinAge01),MAX(CapacityAge01*'01_Вводные'!$B$218*'19_Расчет_аналитики'!AU1571,MeanMinAge01)))</f>
        <v/>
      </c>
      <c r="AV1476">
        <f>IF(OR('19_Расчет_аналитики'!AV1448=0,1&lt;='01_Вводные'!$B$297),0,'19_Расчет_аналитики'!AV1448*IF('01_Вводные'!$B$239="Да",MeanMinAge01+'19_Расчет_аналитики'!AV1571*SUMIF(ThresholdAge01,"&lt;"&amp;'19_Расчет_аналитики'!AV1571,WeightedRevAge01)-SUMIF(ThresholdAge01,"&lt;"&amp;'19_Расчет_аналитики'!AV1571,WeightedMinAge01),MAX(CapacityAge01*'01_Вводные'!$B$218*'19_Расчет_аналитики'!AV1571,MeanMinAge01)))</f>
        <v/>
      </c>
      <c r="AW1476">
        <f>IF(OR('19_Расчет_аналитики'!AW1448=0,1&lt;='01_Вводные'!$B$297),0,'19_Расчет_аналитики'!AW1448*IF('01_Вводные'!$B$239="Да",MeanMinAge01+'19_Расчет_аналитики'!AW1571*SUMIF(ThresholdAge01,"&lt;"&amp;'19_Расчет_аналитики'!AW1571,WeightedRevAge01)-SUMIF(ThresholdAge01,"&lt;"&amp;'19_Расчет_аналитики'!AW1571,WeightedMinAge01),MAX(CapacityAge01*'01_Вводные'!$B$218*'19_Расчет_аналитики'!AW1571,MeanMinAge01)))</f>
        <v/>
      </c>
      <c r="AX1476">
        <f>IF(OR('19_Расчет_аналитики'!AX1448=0,1&lt;='01_Вводные'!$B$297),0,'19_Расчет_аналитики'!AX1448*IF('01_Вводные'!$B$239="Да",MeanMinAge01+'19_Расчет_аналитики'!AX1571*SUMIF(ThresholdAge01,"&lt;"&amp;'19_Расчет_аналитики'!AX1571,WeightedRevAge01)-SUMIF(ThresholdAge01,"&lt;"&amp;'19_Расчет_аналитики'!AX1571,WeightedMinAge01),MAX(CapacityAge01*'01_Вводные'!$B$218*'19_Расчет_аналитики'!AX1571,MeanMinAge01)))</f>
        <v/>
      </c>
      <c r="AY1476">
        <f>IF(OR('19_Расчет_аналитики'!AY1448=0,1&lt;='01_Вводные'!$B$297),0,'19_Расчет_аналитики'!AY1448*IF('01_Вводные'!$B$239="Да",MeanMinAge01+'19_Расчет_аналитики'!AY1571*SUMIF(ThresholdAge01,"&lt;"&amp;'19_Расчет_аналитики'!AY1571,WeightedRevAge01)-SUMIF(ThresholdAge01,"&lt;"&amp;'19_Расчет_аналитики'!AY1571,WeightedMinAge01),MAX(CapacityAge01*'01_Вводные'!$B$218*'19_Расчет_аналитики'!AY1571,MeanMinAge01)))</f>
        <v/>
      </c>
      <c r="AZ1476">
        <f>IF(OR('19_Расчет_аналитики'!AZ1448=0,1&lt;='01_Вводные'!$B$297),0,'19_Расчет_аналитики'!AZ1448*IF('01_Вводные'!$B$239="Да",MeanMinAge01+'19_Расчет_аналитики'!AZ1571*SUMIF(ThresholdAge01,"&lt;"&amp;'19_Расчет_аналитики'!AZ1571,WeightedRevAge01)-SUMIF(ThresholdAge01,"&lt;"&amp;'19_Расчет_аналитики'!AZ1571,WeightedMinAge01),MAX(CapacityAge01*'01_Вводные'!$B$218*'19_Расчет_аналитики'!AZ1571,MeanMinAge01)))</f>
        <v/>
      </c>
      <c r="BA1476">
        <f>IF(OR('19_Расчет_аналитики'!BA1448=0,1&lt;='01_Вводные'!$B$297),0,'19_Расчет_аналитики'!BA1448*IF('01_Вводные'!$B$239="Да",MeanMinAge01+'19_Расчет_аналитики'!BA1571*SUMIF(ThresholdAge01,"&lt;"&amp;'19_Расчет_аналитики'!BA1571,WeightedRevAge01)-SUMIF(ThresholdAge01,"&lt;"&amp;'19_Расчет_аналитики'!BA1571,WeightedMinAge01),MAX(CapacityAge01*'01_Вводные'!$B$218*'19_Расчет_аналитики'!BA1571,MeanMinAge01)))</f>
        <v/>
      </c>
      <c r="BB1476">
        <f>IF(OR('19_Расчет_аналитики'!BB1448=0,1&lt;='01_Вводные'!$B$297),0,'19_Расчет_аналитики'!BB1448*IF('01_Вводные'!$B$239="Да",MeanMinAge01+'19_Расчет_аналитики'!BB1571*SUMIF(ThresholdAge01,"&lt;"&amp;'19_Расчет_аналитики'!BB1571,WeightedRevAge01)-SUMIF(ThresholdAge01,"&lt;"&amp;'19_Расчет_аналитики'!BB1571,WeightedMinAge01),MAX(CapacityAge01*'01_Вводные'!$B$218*'19_Расчет_аналитики'!BB1571,MeanMinAge01)))</f>
        <v/>
      </c>
      <c r="BC1476">
        <f>IF(OR('19_Расчет_аналитики'!BC1448=0,1&lt;='01_Вводные'!$B$297),0,'19_Расчет_аналитики'!BC1448*IF('01_Вводные'!$B$239="Да",MeanMinAge01+'19_Расчет_аналитики'!BC1571*SUMIF(ThresholdAge01,"&lt;"&amp;'19_Расчет_аналитики'!BC1571,WeightedRevAge01)-SUMIF(ThresholdAge01,"&lt;"&amp;'19_Расчет_аналитики'!BC1571,WeightedMinAge01),MAX(CapacityAge01*'01_Вводные'!$B$218*'19_Расчет_аналитики'!BC1571,MeanMinAge01)))</f>
        <v/>
      </c>
      <c r="BD1476">
        <f>IF(OR('19_Расчет_аналитики'!BD1448=0,1&lt;='01_Вводные'!$B$297),0,'19_Расчет_аналитики'!BD1448*IF('01_Вводные'!$B$239="Да",MeanMinAge01+'19_Расчет_аналитики'!BD1571*SUMIF(ThresholdAge01,"&lt;"&amp;'19_Расчет_аналитики'!BD1571,WeightedRevAge01)-SUMIF(ThresholdAge01,"&lt;"&amp;'19_Расчет_аналитики'!BD1571,WeightedMinAge01),MAX(CapacityAge01*'01_Вводные'!$B$218*'19_Расчет_аналитики'!BD1571,MeanMinAge01)))</f>
        <v/>
      </c>
      <c r="BE1476">
        <f>IF(OR('19_Расчет_аналитики'!BE1448=0,1&lt;='01_Вводные'!$B$297),0,'19_Расчет_аналитики'!BE1448*IF('01_Вводные'!$B$239="Да",MeanMinAge01+'19_Расчет_аналитики'!BE1571*SUMIF(ThresholdAge01,"&lt;"&amp;'19_Расчет_аналитики'!BE1571,WeightedRevAge01)-SUMIF(ThresholdAge01,"&lt;"&amp;'19_Расчет_аналитики'!BE1571,WeightedMinAge01),MAX(CapacityAge01*'01_Вводные'!$B$218*'19_Расчет_аналитики'!BE1571,MeanMinAge01)))</f>
        <v/>
      </c>
      <c r="BF1476">
        <f>IF(OR('19_Расчет_аналитики'!BF1448=0,1&lt;='01_Вводные'!$B$297),0,'19_Расчет_аналитики'!BF1448*IF('01_Вводные'!$B$239="Да",MeanMinAge01+'19_Расчет_аналитики'!BF1571*SUMIF(ThresholdAge01,"&lt;"&amp;'19_Расчет_аналитики'!BF1571,WeightedRevAge01)-SUMIF(ThresholdAge01,"&lt;"&amp;'19_Расчет_аналитики'!BF1571,WeightedMinAge01),MAX(CapacityAge01*'01_Вводные'!$B$218*'19_Расчет_аналитики'!BF1571,MeanMinAge01)))</f>
        <v/>
      </c>
      <c r="BG1476">
        <f>IF(OR('19_Расчет_аналитики'!BG1448=0,1&lt;='01_Вводные'!$B$297),0,'19_Расчет_аналитики'!BG1448*IF('01_Вводные'!$B$239="Да",MeanMinAge01+'19_Расчет_аналитики'!BG1571*SUMIF(ThresholdAge01,"&lt;"&amp;'19_Расчет_аналитики'!BG1571,WeightedRevAge01)-SUMIF(ThresholdAge01,"&lt;"&amp;'19_Расчет_аналитики'!BG1571,WeightedMinAge01),MAX(CapacityAge01*'01_Вводные'!$B$218*'19_Расчет_аналитики'!BG1571,MeanMinAge01)))</f>
        <v/>
      </c>
      <c r="BH1476">
        <f>IF(OR('19_Расчет_аналитики'!BH1448=0,1&lt;='01_Вводные'!$B$297),0,'19_Расчет_аналитики'!BH1448*IF('01_Вводные'!$B$239="Да",MeanMinAge01+'19_Расчет_аналитики'!BH1571*SUMIF(ThresholdAge01,"&lt;"&amp;'19_Расчет_аналитики'!BH1571,WeightedRevAge01)-SUMIF(ThresholdAge01,"&lt;"&amp;'19_Расчет_аналитики'!BH1571,WeightedMinAge01),MAX(CapacityAge01*'01_Вводные'!$B$218*'19_Расчет_аналитики'!BH1571,MeanMinAge01)))</f>
        <v/>
      </c>
      <c r="BI1476">
        <f>IF(OR('19_Расчет_аналитики'!BI1448=0,1&lt;='01_Вводные'!$B$297),0,'19_Расчет_аналитики'!BI1448*IF('01_Вводные'!$B$239="Да",MeanMinAge01+'19_Расчет_аналитики'!BI1571*SUMIF(ThresholdAge01,"&lt;"&amp;'19_Расчет_аналитики'!BI1571,WeightedRevAge01)-SUMIF(ThresholdAge01,"&lt;"&amp;'19_Расчет_аналитики'!BI1571,WeightedMinAge01),MAX(CapacityAge01*'01_Вводные'!$B$218*'19_Расчет_аналитики'!BI1571,MeanMinAge01)))</f>
        <v/>
      </c>
      <c r="BJ1476">
        <f>IF(OR('19_Расчет_аналитики'!BJ1448=0,1&lt;='01_Вводные'!$B$297),0,'19_Расчет_аналитики'!BJ1448*IF('01_Вводные'!$B$239="Да",MeanMinAge01+'19_Расчет_аналитики'!BJ1571*SUMIF(ThresholdAge01,"&lt;"&amp;'19_Расчет_аналитики'!BJ1571,WeightedRevAge01)-SUMIF(ThresholdAge01,"&lt;"&amp;'19_Расчет_аналитики'!BJ1571,WeightedMinAge01),MAX(CapacityAge01*'01_Вводные'!$B$218*'19_Расчет_аналитики'!BJ1571,MeanMinAge01)))</f>
        <v/>
      </c>
      <c r="BK1476">
        <f>IF(OR('19_Расчет_аналитики'!BK1448=0,1&lt;='01_Вводные'!$B$297),0,'19_Расчет_аналитики'!BK1448*IF('01_Вводные'!$B$239="Да",MeanMinAge01+'19_Расчет_аналитики'!BK1571*SUMIF(ThresholdAge01,"&lt;"&amp;'19_Расчет_аналитики'!BK1571,WeightedRevAge01)-SUMIF(ThresholdAge01,"&lt;"&amp;'19_Расчет_аналитики'!BK1571,WeightedMinAge01),MAX(CapacityAge01*'01_Вводные'!$B$218*'19_Расчет_аналитики'!BK1571,MeanMinAge01)))</f>
        <v/>
      </c>
      <c r="BL1476">
        <f>IF(OR('19_Расчет_аналитики'!BL1448=0,1&lt;='01_Вводные'!$B$297),0,'19_Расчет_аналитики'!BL1448*IF('01_Вводные'!$B$239="Да",MeanMinAge01+'19_Расчет_аналитики'!BL1571*SUMIF(ThresholdAge01,"&lt;"&amp;'19_Расчет_аналитики'!BL1571,WeightedRevAge01)-SUMIF(ThresholdAge01,"&lt;"&amp;'19_Расчет_аналитики'!BL1571,WeightedMinAge01),MAX(CapacityAge01*'01_Вводные'!$B$218*'19_Расчет_аналитики'!BL1571,MeanMinAge01)))</f>
        <v/>
      </c>
      <c r="BM1476">
        <f>IF(OR('19_Расчет_аналитики'!BM1448=0,1&lt;='01_Вводные'!$B$297),0,'19_Расчет_аналитики'!BM1448*IF('01_Вводные'!$B$239="Да",MeanMinAge01+'19_Расчет_аналитики'!BM1571*SUMIF(ThresholdAge01,"&lt;"&amp;'19_Расчет_аналитики'!BM1571,WeightedRevAge01)-SUMIF(ThresholdAge01,"&lt;"&amp;'19_Расчет_аналитики'!BM1571,WeightedMinAge01),MAX(CapacityAge01*'01_Вводные'!$B$218*'19_Расчет_аналитики'!BM1571,MeanMinAge01)))</f>
        <v/>
      </c>
      <c r="BN1476">
        <f>IF(OR('19_Расчет_аналитики'!BN1448=0,1&lt;='01_Вводные'!$B$297),0,'19_Расчет_аналитики'!BN1448*IF('01_Вводные'!$B$239="Да",MeanMinAge01+'19_Расчет_аналитики'!BN1571*SUMIF(ThresholdAge01,"&lt;"&amp;'19_Расчет_аналитики'!BN1571,WeightedRevAge01)-SUMIF(ThresholdAge01,"&lt;"&amp;'19_Расчет_аналитики'!BN1571,WeightedMinAge01),MAX(CapacityAge01*'01_Вводные'!$B$218*'19_Расчет_аналитики'!BN1571,MeanMinAge01)))</f>
        <v/>
      </c>
      <c r="BO1476">
        <f>IF(OR('19_Расчет_аналитики'!BO1448=0,1&lt;='01_Вводные'!$B$297),0,'19_Расчет_аналитики'!BO1448*IF('01_Вводные'!$B$239="Да",MeanMinAge01+'19_Расчет_аналитики'!BO1571*SUMIF(ThresholdAge01,"&lt;"&amp;'19_Расчет_аналитики'!BO1571,WeightedRevAge01)-SUMIF(ThresholdAge01,"&lt;"&amp;'19_Расчет_аналитики'!BO1571,WeightedMinAge01),MAX(CapacityAge01*'01_Вводные'!$B$218*'19_Расчет_аналитики'!BO1571,MeanMinAge01)))</f>
        <v/>
      </c>
    </row>
    <row r="1477">
      <c r="B1477">
        <f>IF(OR('06_Сеть_и_дети'!B82=0,2&lt;='01_Вводные'!$B$297),0,'06_Сеть_и_дети'!B82*IF('01_Вводные'!$B$239="Да",MeanMinAge02+'19_Расчет_аналитики'!B1571*SUMIF(ThresholdAge02,"&lt;"&amp;'19_Расчет_аналитики'!B1571,WeightedRevAge02)-SUMIF(ThresholdAge02,"&lt;"&amp;'19_Расчет_аналитики'!B1571,WeightedMinAge02),MAX(CapacityAge02*'01_Вводные'!$B$218*'19_Расчет_аналитики'!B1571,MeanMinAge02)))</f>
        <v/>
      </c>
      <c r="C1477">
        <f>IF(OR('19_Расчет_аналитики'!C1449=0,2&lt;='01_Вводные'!$B$297),0,'19_Расчет_аналитики'!C1449*IF('01_Вводные'!$B$239="Да",MeanMinAge02+'19_Расчет_аналитики'!C1571*SUMIF(ThresholdAge02,"&lt;"&amp;'19_Расчет_аналитики'!C1571,WeightedRevAge02)-SUMIF(ThresholdAge02,"&lt;"&amp;'19_Расчет_аналитики'!C1571,WeightedMinAge02),MAX(CapacityAge02*'01_Вводные'!$B$218*'19_Расчет_аналитики'!C1571,MeanMinAge02)))</f>
        <v/>
      </c>
      <c r="D1477">
        <f>IF(OR('19_Расчет_аналитики'!D1449=0,2&lt;='01_Вводные'!$B$297),0,'19_Расчет_аналитики'!D1449*IF('01_Вводные'!$B$239="Да",MeanMinAge02+'19_Расчет_аналитики'!D1571*SUMIF(ThresholdAge02,"&lt;"&amp;'19_Расчет_аналитики'!D1571,WeightedRevAge02)-SUMIF(ThresholdAge02,"&lt;"&amp;'19_Расчет_аналитики'!D1571,WeightedMinAge02),MAX(CapacityAge02*'01_Вводные'!$B$218*'19_Расчет_аналитики'!D1571,MeanMinAge02)))</f>
        <v/>
      </c>
      <c r="E1477">
        <f>IF(OR('19_Расчет_аналитики'!E1449=0,2&lt;='01_Вводные'!$B$297),0,'19_Расчет_аналитики'!E1449*IF('01_Вводные'!$B$239="Да",MeanMinAge02+'19_Расчет_аналитики'!E1571*SUMIF(ThresholdAge02,"&lt;"&amp;'19_Расчет_аналитики'!E1571,WeightedRevAge02)-SUMIF(ThresholdAge02,"&lt;"&amp;'19_Расчет_аналитики'!E1571,WeightedMinAge02),MAX(CapacityAge02*'01_Вводные'!$B$218*'19_Расчет_аналитики'!E1571,MeanMinAge02)))</f>
        <v/>
      </c>
      <c r="F1477">
        <f>IF(OR('19_Расчет_аналитики'!F1449=0,2&lt;='01_Вводные'!$B$297),0,'19_Расчет_аналитики'!F1449*IF('01_Вводные'!$B$239="Да",MeanMinAge02+'19_Расчет_аналитики'!F1571*SUMIF(ThresholdAge02,"&lt;"&amp;'19_Расчет_аналитики'!F1571,WeightedRevAge02)-SUMIF(ThresholdAge02,"&lt;"&amp;'19_Расчет_аналитики'!F1571,WeightedMinAge02),MAX(CapacityAge02*'01_Вводные'!$B$218*'19_Расчет_аналитики'!F1571,MeanMinAge02)))</f>
        <v/>
      </c>
      <c r="G1477">
        <f>IF(OR('19_Расчет_аналитики'!G1449=0,2&lt;='01_Вводные'!$B$297),0,'19_Расчет_аналитики'!G1449*IF('01_Вводные'!$B$239="Да",MeanMinAge02+'19_Расчет_аналитики'!G1571*SUMIF(ThresholdAge02,"&lt;"&amp;'19_Расчет_аналитики'!G1571,WeightedRevAge02)-SUMIF(ThresholdAge02,"&lt;"&amp;'19_Расчет_аналитики'!G1571,WeightedMinAge02),MAX(CapacityAge02*'01_Вводные'!$B$218*'19_Расчет_аналитики'!G1571,MeanMinAge02)))</f>
        <v/>
      </c>
      <c r="H1477">
        <f>IF(OR('19_Расчет_аналитики'!H1449=0,2&lt;='01_Вводные'!$B$297),0,'19_Расчет_аналитики'!H1449*IF('01_Вводные'!$B$239="Да",MeanMinAge02+'19_Расчет_аналитики'!H1571*SUMIF(ThresholdAge02,"&lt;"&amp;'19_Расчет_аналитики'!H1571,WeightedRevAge02)-SUMIF(ThresholdAge02,"&lt;"&amp;'19_Расчет_аналитики'!H1571,WeightedMinAge02),MAX(CapacityAge02*'01_Вводные'!$B$218*'19_Расчет_аналитики'!H1571,MeanMinAge02)))</f>
        <v/>
      </c>
      <c r="I1477">
        <f>IF(OR('19_Расчет_аналитики'!I1449=0,2&lt;='01_Вводные'!$B$297),0,'19_Расчет_аналитики'!I1449*IF('01_Вводные'!$B$239="Да",MeanMinAge02+'19_Расчет_аналитики'!I1571*SUMIF(ThresholdAge02,"&lt;"&amp;'19_Расчет_аналитики'!I1571,WeightedRevAge02)-SUMIF(ThresholdAge02,"&lt;"&amp;'19_Расчет_аналитики'!I1571,WeightedMinAge02),MAX(CapacityAge02*'01_Вводные'!$B$218*'19_Расчет_аналитики'!I1571,MeanMinAge02)))</f>
        <v/>
      </c>
      <c r="J1477">
        <f>IF(OR('19_Расчет_аналитики'!J1449=0,2&lt;='01_Вводные'!$B$297),0,'19_Расчет_аналитики'!J1449*IF('01_Вводные'!$B$239="Да",MeanMinAge02+'19_Расчет_аналитики'!J1571*SUMIF(ThresholdAge02,"&lt;"&amp;'19_Расчет_аналитики'!J1571,WeightedRevAge02)-SUMIF(ThresholdAge02,"&lt;"&amp;'19_Расчет_аналитики'!J1571,WeightedMinAge02),MAX(CapacityAge02*'01_Вводные'!$B$218*'19_Расчет_аналитики'!J1571,MeanMinAge02)))</f>
        <v/>
      </c>
      <c r="K1477">
        <f>IF(OR('19_Расчет_аналитики'!K1449=0,2&lt;='01_Вводные'!$B$297),0,'19_Расчет_аналитики'!K1449*IF('01_Вводные'!$B$239="Да",MeanMinAge02+'19_Расчет_аналитики'!K1571*SUMIF(ThresholdAge02,"&lt;"&amp;'19_Расчет_аналитики'!K1571,WeightedRevAge02)-SUMIF(ThresholdAge02,"&lt;"&amp;'19_Расчет_аналитики'!K1571,WeightedMinAge02),MAX(CapacityAge02*'01_Вводные'!$B$218*'19_Расчет_аналитики'!K1571,MeanMinAge02)))</f>
        <v/>
      </c>
      <c r="L1477">
        <f>IF(OR('19_Расчет_аналитики'!L1449=0,2&lt;='01_Вводные'!$B$297),0,'19_Расчет_аналитики'!L1449*IF('01_Вводные'!$B$239="Да",MeanMinAge02+'19_Расчет_аналитики'!L1571*SUMIF(ThresholdAge02,"&lt;"&amp;'19_Расчет_аналитики'!L1571,WeightedRevAge02)-SUMIF(ThresholdAge02,"&lt;"&amp;'19_Расчет_аналитики'!L1571,WeightedMinAge02),MAX(CapacityAge02*'01_Вводные'!$B$218*'19_Расчет_аналитики'!L1571,MeanMinAge02)))</f>
        <v/>
      </c>
      <c r="M1477">
        <f>IF(OR('19_Расчет_аналитики'!M1449=0,2&lt;='01_Вводные'!$B$297),0,'19_Расчет_аналитики'!M1449*IF('01_Вводные'!$B$239="Да",MeanMinAge02+'19_Расчет_аналитики'!M1571*SUMIF(ThresholdAge02,"&lt;"&amp;'19_Расчет_аналитики'!M1571,WeightedRevAge02)-SUMIF(ThresholdAge02,"&lt;"&amp;'19_Расчет_аналитики'!M1571,WeightedMinAge02),MAX(CapacityAge02*'01_Вводные'!$B$218*'19_Расчет_аналитики'!M1571,MeanMinAge02)))</f>
        <v/>
      </c>
      <c r="N1477">
        <f>IF(OR('19_Расчет_аналитики'!N1449=0,2&lt;='01_Вводные'!$B$297),0,'19_Расчет_аналитики'!N1449*IF('01_Вводные'!$B$239="Да",MeanMinAge02+'19_Расчет_аналитики'!N1571*SUMIF(ThresholdAge02,"&lt;"&amp;'19_Расчет_аналитики'!N1571,WeightedRevAge02)-SUMIF(ThresholdAge02,"&lt;"&amp;'19_Расчет_аналитики'!N1571,WeightedMinAge02),MAX(CapacityAge02*'01_Вводные'!$B$218*'19_Расчет_аналитики'!N1571,MeanMinAge02)))</f>
        <v/>
      </c>
      <c r="O1477">
        <f>IF(OR('19_Расчет_аналитики'!O1449=0,2&lt;='01_Вводные'!$B$297),0,'19_Расчет_аналитики'!O1449*IF('01_Вводные'!$B$239="Да",MeanMinAge02+'19_Расчет_аналитики'!O1571*SUMIF(ThresholdAge02,"&lt;"&amp;'19_Расчет_аналитики'!O1571,WeightedRevAge02)-SUMIF(ThresholdAge02,"&lt;"&amp;'19_Расчет_аналитики'!O1571,WeightedMinAge02),MAX(CapacityAge02*'01_Вводные'!$B$218*'19_Расчет_аналитики'!O1571,MeanMinAge02)))</f>
        <v/>
      </c>
      <c r="P1477">
        <f>IF(OR('19_Расчет_аналитики'!P1449=0,2&lt;='01_Вводные'!$B$297),0,'19_Расчет_аналитики'!P1449*IF('01_Вводные'!$B$239="Да",MeanMinAge02+'19_Расчет_аналитики'!P1571*SUMIF(ThresholdAge02,"&lt;"&amp;'19_Расчет_аналитики'!P1571,WeightedRevAge02)-SUMIF(ThresholdAge02,"&lt;"&amp;'19_Расчет_аналитики'!P1571,WeightedMinAge02),MAX(CapacityAge02*'01_Вводные'!$B$218*'19_Расчет_аналитики'!P1571,MeanMinAge02)))</f>
        <v/>
      </c>
      <c r="Q1477">
        <f>IF(OR('19_Расчет_аналитики'!Q1449=0,2&lt;='01_Вводные'!$B$297),0,'19_Расчет_аналитики'!Q1449*IF('01_Вводные'!$B$239="Да",MeanMinAge02+'19_Расчет_аналитики'!Q1571*SUMIF(ThresholdAge02,"&lt;"&amp;'19_Расчет_аналитики'!Q1571,WeightedRevAge02)-SUMIF(ThresholdAge02,"&lt;"&amp;'19_Расчет_аналитики'!Q1571,WeightedMinAge02),MAX(CapacityAge02*'01_Вводные'!$B$218*'19_Расчет_аналитики'!Q1571,MeanMinAge02)))</f>
        <v/>
      </c>
      <c r="R1477">
        <f>IF(OR('19_Расчет_аналитики'!R1449=0,2&lt;='01_Вводные'!$B$297),0,'19_Расчет_аналитики'!R1449*IF('01_Вводные'!$B$239="Да",MeanMinAge02+'19_Расчет_аналитики'!R1571*SUMIF(ThresholdAge02,"&lt;"&amp;'19_Расчет_аналитики'!R1571,WeightedRevAge02)-SUMIF(ThresholdAge02,"&lt;"&amp;'19_Расчет_аналитики'!R1571,WeightedMinAge02),MAX(CapacityAge02*'01_Вводные'!$B$218*'19_Расчет_аналитики'!R1571,MeanMinAge02)))</f>
        <v/>
      </c>
      <c r="S1477">
        <f>IF(OR('19_Расчет_аналитики'!S1449=0,2&lt;='01_Вводные'!$B$297),0,'19_Расчет_аналитики'!S1449*IF('01_Вводные'!$B$239="Да",MeanMinAge02+'19_Расчет_аналитики'!S1571*SUMIF(ThresholdAge02,"&lt;"&amp;'19_Расчет_аналитики'!S1571,WeightedRevAge02)-SUMIF(ThresholdAge02,"&lt;"&amp;'19_Расчет_аналитики'!S1571,WeightedMinAge02),MAX(CapacityAge02*'01_Вводные'!$B$218*'19_Расчет_аналитики'!S1571,MeanMinAge02)))</f>
        <v/>
      </c>
      <c r="T1477">
        <f>IF(OR('19_Расчет_аналитики'!T1449=0,2&lt;='01_Вводные'!$B$297),0,'19_Расчет_аналитики'!T1449*IF('01_Вводные'!$B$239="Да",MeanMinAge02+'19_Расчет_аналитики'!T1571*SUMIF(ThresholdAge02,"&lt;"&amp;'19_Расчет_аналитики'!T1571,WeightedRevAge02)-SUMIF(ThresholdAge02,"&lt;"&amp;'19_Расчет_аналитики'!T1571,WeightedMinAge02),MAX(CapacityAge02*'01_Вводные'!$B$218*'19_Расчет_аналитики'!T1571,MeanMinAge02)))</f>
        <v/>
      </c>
      <c r="U1477">
        <f>IF(OR('19_Расчет_аналитики'!U1449=0,2&lt;='01_Вводные'!$B$297),0,'19_Расчет_аналитики'!U1449*IF('01_Вводные'!$B$239="Да",MeanMinAge02+'19_Расчет_аналитики'!U1571*SUMIF(ThresholdAge02,"&lt;"&amp;'19_Расчет_аналитики'!U1571,WeightedRevAge02)-SUMIF(ThresholdAge02,"&lt;"&amp;'19_Расчет_аналитики'!U1571,WeightedMinAge02),MAX(CapacityAge02*'01_Вводные'!$B$218*'19_Расчет_аналитики'!U1571,MeanMinAge02)))</f>
        <v/>
      </c>
      <c r="V1477">
        <f>IF(OR('19_Расчет_аналитики'!V1449=0,2&lt;='01_Вводные'!$B$297),0,'19_Расчет_аналитики'!V1449*IF('01_Вводные'!$B$239="Да",MeanMinAge02+'19_Расчет_аналитики'!V1571*SUMIF(ThresholdAge02,"&lt;"&amp;'19_Расчет_аналитики'!V1571,WeightedRevAge02)-SUMIF(ThresholdAge02,"&lt;"&amp;'19_Расчет_аналитики'!V1571,WeightedMinAge02),MAX(CapacityAge02*'01_Вводные'!$B$218*'19_Расчет_аналитики'!V1571,MeanMinAge02)))</f>
        <v/>
      </c>
      <c r="W1477">
        <f>IF(OR('19_Расчет_аналитики'!W1449=0,2&lt;='01_Вводные'!$B$297),0,'19_Расчет_аналитики'!W1449*IF('01_Вводные'!$B$239="Да",MeanMinAge02+'19_Расчет_аналитики'!W1571*SUMIF(ThresholdAge02,"&lt;"&amp;'19_Расчет_аналитики'!W1571,WeightedRevAge02)-SUMIF(ThresholdAge02,"&lt;"&amp;'19_Расчет_аналитики'!W1571,WeightedMinAge02),MAX(CapacityAge02*'01_Вводные'!$B$218*'19_Расчет_аналитики'!W1571,MeanMinAge02)))</f>
        <v/>
      </c>
      <c r="X1477">
        <f>IF(OR('19_Расчет_аналитики'!X1449=0,2&lt;='01_Вводные'!$B$297),0,'19_Расчет_аналитики'!X1449*IF('01_Вводные'!$B$239="Да",MeanMinAge02+'19_Расчет_аналитики'!X1571*SUMIF(ThresholdAge02,"&lt;"&amp;'19_Расчет_аналитики'!X1571,WeightedRevAge02)-SUMIF(ThresholdAge02,"&lt;"&amp;'19_Расчет_аналитики'!X1571,WeightedMinAge02),MAX(CapacityAge02*'01_Вводные'!$B$218*'19_Расчет_аналитики'!X1571,MeanMinAge02)))</f>
        <v/>
      </c>
      <c r="Y1477">
        <f>IF(OR('19_Расчет_аналитики'!Y1449=0,2&lt;='01_Вводные'!$B$297),0,'19_Расчет_аналитики'!Y1449*IF('01_Вводные'!$B$239="Да",MeanMinAge02+'19_Расчет_аналитики'!Y1571*SUMIF(ThresholdAge02,"&lt;"&amp;'19_Расчет_аналитики'!Y1571,WeightedRevAge02)-SUMIF(ThresholdAge02,"&lt;"&amp;'19_Расчет_аналитики'!Y1571,WeightedMinAge02),MAX(CapacityAge02*'01_Вводные'!$B$218*'19_Расчет_аналитики'!Y1571,MeanMinAge02)))</f>
        <v/>
      </c>
      <c r="Z1477">
        <f>IF(OR('19_Расчет_аналитики'!Z1449=0,2&lt;='01_Вводные'!$B$297),0,'19_Расчет_аналитики'!Z1449*IF('01_Вводные'!$B$239="Да",MeanMinAge02+'19_Расчет_аналитики'!Z1571*SUMIF(ThresholdAge02,"&lt;"&amp;'19_Расчет_аналитики'!Z1571,WeightedRevAge02)-SUMIF(ThresholdAge02,"&lt;"&amp;'19_Расчет_аналитики'!Z1571,WeightedMinAge02),MAX(CapacityAge02*'01_Вводные'!$B$218*'19_Расчет_аналитики'!Z1571,MeanMinAge02)))</f>
        <v/>
      </c>
      <c r="AA1477">
        <f>IF(OR('19_Расчет_аналитики'!AA1449=0,2&lt;='01_Вводные'!$B$297),0,'19_Расчет_аналитики'!AA1449*IF('01_Вводные'!$B$239="Да",MeanMinAge02+'19_Расчет_аналитики'!AA1571*SUMIF(ThresholdAge02,"&lt;"&amp;'19_Расчет_аналитики'!AA1571,WeightedRevAge02)-SUMIF(ThresholdAge02,"&lt;"&amp;'19_Расчет_аналитики'!AA1571,WeightedMinAge02),MAX(CapacityAge02*'01_Вводные'!$B$218*'19_Расчет_аналитики'!AA1571,MeanMinAge02)))</f>
        <v/>
      </c>
      <c r="AB1477">
        <f>IF(OR('19_Расчет_аналитики'!AB1449=0,2&lt;='01_Вводные'!$B$297),0,'19_Расчет_аналитики'!AB1449*IF('01_Вводные'!$B$239="Да",MeanMinAge02+'19_Расчет_аналитики'!AB1571*SUMIF(ThresholdAge02,"&lt;"&amp;'19_Расчет_аналитики'!AB1571,WeightedRevAge02)-SUMIF(ThresholdAge02,"&lt;"&amp;'19_Расчет_аналитики'!AB1571,WeightedMinAge02),MAX(CapacityAge02*'01_Вводные'!$B$218*'19_Расчет_аналитики'!AB1571,MeanMinAge02)))</f>
        <v/>
      </c>
      <c r="AC1477">
        <f>IF(OR('19_Расчет_аналитики'!AC1449=0,2&lt;='01_Вводные'!$B$297),0,'19_Расчет_аналитики'!AC1449*IF('01_Вводные'!$B$239="Да",MeanMinAge02+'19_Расчет_аналитики'!AC1571*SUMIF(ThresholdAge02,"&lt;"&amp;'19_Расчет_аналитики'!AC1571,WeightedRevAge02)-SUMIF(ThresholdAge02,"&lt;"&amp;'19_Расчет_аналитики'!AC1571,WeightedMinAge02),MAX(CapacityAge02*'01_Вводные'!$B$218*'19_Расчет_аналитики'!AC1571,MeanMinAge02)))</f>
        <v/>
      </c>
      <c r="AD1477">
        <f>IF(OR('19_Расчет_аналитики'!AD1449=0,2&lt;='01_Вводные'!$B$297),0,'19_Расчет_аналитики'!AD1449*IF('01_Вводные'!$B$239="Да",MeanMinAge02+'19_Расчет_аналитики'!AD1571*SUMIF(ThresholdAge02,"&lt;"&amp;'19_Расчет_аналитики'!AD1571,WeightedRevAge02)-SUMIF(ThresholdAge02,"&lt;"&amp;'19_Расчет_аналитики'!AD1571,WeightedMinAge02),MAX(CapacityAge02*'01_Вводные'!$B$218*'19_Расчет_аналитики'!AD1571,MeanMinAge02)))</f>
        <v/>
      </c>
      <c r="AE1477">
        <f>IF(OR('19_Расчет_аналитики'!AE1449=0,2&lt;='01_Вводные'!$B$297),0,'19_Расчет_аналитики'!AE1449*IF('01_Вводные'!$B$239="Да",MeanMinAge02+'19_Расчет_аналитики'!AE1571*SUMIF(ThresholdAge02,"&lt;"&amp;'19_Расчет_аналитики'!AE1571,WeightedRevAge02)-SUMIF(ThresholdAge02,"&lt;"&amp;'19_Расчет_аналитики'!AE1571,WeightedMinAge02),MAX(CapacityAge02*'01_Вводные'!$B$218*'19_Расчет_аналитики'!AE1571,MeanMinAge02)))</f>
        <v/>
      </c>
      <c r="AF1477">
        <f>IF(OR('19_Расчет_аналитики'!AF1449=0,2&lt;='01_Вводные'!$B$297),0,'19_Расчет_аналитики'!AF1449*IF('01_Вводные'!$B$239="Да",MeanMinAge02+'19_Расчет_аналитики'!AF1571*SUMIF(ThresholdAge02,"&lt;"&amp;'19_Расчет_аналитики'!AF1571,WeightedRevAge02)-SUMIF(ThresholdAge02,"&lt;"&amp;'19_Расчет_аналитики'!AF1571,WeightedMinAge02),MAX(CapacityAge02*'01_Вводные'!$B$218*'19_Расчет_аналитики'!AF1571,MeanMinAge02)))</f>
        <v/>
      </c>
      <c r="AG1477">
        <f>IF(OR('19_Расчет_аналитики'!AG1449=0,2&lt;='01_Вводные'!$B$297),0,'19_Расчет_аналитики'!AG1449*IF('01_Вводные'!$B$239="Да",MeanMinAge02+'19_Расчет_аналитики'!AG1571*SUMIF(ThresholdAge02,"&lt;"&amp;'19_Расчет_аналитики'!AG1571,WeightedRevAge02)-SUMIF(ThresholdAge02,"&lt;"&amp;'19_Расчет_аналитики'!AG1571,WeightedMinAge02),MAX(CapacityAge02*'01_Вводные'!$B$218*'19_Расчет_аналитики'!AG1571,MeanMinAge02)))</f>
        <v/>
      </c>
      <c r="AH1477">
        <f>IF(OR('19_Расчет_аналитики'!AH1449=0,2&lt;='01_Вводные'!$B$297),0,'19_Расчет_аналитики'!AH1449*IF('01_Вводные'!$B$239="Да",MeanMinAge02+'19_Расчет_аналитики'!AH1571*SUMIF(ThresholdAge02,"&lt;"&amp;'19_Расчет_аналитики'!AH1571,WeightedRevAge02)-SUMIF(ThresholdAge02,"&lt;"&amp;'19_Расчет_аналитики'!AH1571,WeightedMinAge02),MAX(CapacityAge02*'01_Вводные'!$B$218*'19_Расчет_аналитики'!AH1571,MeanMinAge02)))</f>
        <v/>
      </c>
      <c r="AI1477">
        <f>IF(OR('19_Расчет_аналитики'!AI1449=0,2&lt;='01_Вводные'!$B$297),0,'19_Расчет_аналитики'!AI1449*IF('01_Вводные'!$B$239="Да",MeanMinAge02+'19_Расчет_аналитики'!AI1571*SUMIF(ThresholdAge02,"&lt;"&amp;'19_Расчет_аналитики'!AI1571,WeightedRevAge02)-SUMIF(ThresholdAge02,"&lt;"&amp;'19_Расчет_аналитики'!AI1571,WeightedMinAge02),MAX(CapacityAge02*'01_Вводные'!$B$218*'19_Расчет_аналитики'!AI1571,MeanMinAge02)))</f>
        <v/>
      </c>
      <c r="AJ1477">
        <f>IF(OR('19_Расчет_аналитики'!AJ1449=0,2&lt;='01_Вводные'!$B$297),0,'19_Расчет_аналитики'!AJ1449*IF('01_Вводные'!$B$239="Да",MeanMinAge02+'19_Расчет_аналитики'!AJ1571*SUMIF(ThresholdAge02,"&lt;"&amp;'19_Расчет_аналитики'!AJ1571,WeightedRevAge02)-SUMIF(ThresholdAge02,"&lt;"&amp;'19_Расчет_аналитики'!AJ1571,WeightedMinAge02),MAX(CapacityAge02*'01_Вводные'!$B$218*'19_Расчет_аналитики'!AJ1571,MeanMinAge02)))</f>
        <v/>
      </c>
      <c r="AK1477">
        <f>IF(OR('19_Расчет_аналитики'!AK1449=0,2&lt;='01_Вводные'!$B$297),0,'19_Расчет_аналитики'!AK1449*IF('01_Вводные'!$B$239="Да",MeanMinAge02+'19_Расчет_аналитики'!AK1571*SUMIF(ThresholdAge02,"&lt;"&amp;'19_Расчет_аналитики'!AK1571,WeightedRevAge02)-SUMIF(ThresholdAge02,"&lt;"&amp;'19_Расчет_аналитики'!AK1571,WeightedMinAge02),MAX(CapacityAge02*'01_Вводные'!$B$218*'19_Расчет_аналитики'!AK1571,MeanMinAge02)))</f>
        <v/>
      </c>
      <c r="AL1477">
        <f>IF(OR('19_Расчет_аналитики'!AL1449=0,2&lt;='01_Вводные'!$B$297),0,'19_Расчет_аналитики'!AL1449*IF('01_Вводные'!$B$239="Да",MeanMinAge02+'19_Расчет_аналитики'!AL1571*SUMIF(ThresholdAge02,"&lt;"&amp;'19_Расчет_аналитики'!AL1571,WeightedRevAge02)-SUMIF(ThresholdAge02,"&lt;"&amp;'19_Расчет_аналитики'!AL1571,WeightedMinAge02),MAX(CapacityAge02*'01_Вводные'!$B$218*'19_Расчет_аналитики'!AL1571,MeanMinAge02)))</f>
        <v/>
      </c>
      <c r="AM1477">
        <f>IF(OR('19_Расчет_аналитики'!AM1449=0,2&lt;='01_Вводные'!$B$297),0,'19_Расчет_аналитики'!AM1449*IF('01_Вводные'!$B$239="Да",MeanMinAge02+'19_Расчет_аналитики'!AM1571*SUMIF(ThresholdAge02,"&lt;"&amp;'19_Расчет_аналитики'!AM1571,WeightedRevAge02)-SUMIF(ThresholdAge02,"&lt;"&amp;'19_Расчет_аналитики'!AM1571,WeightedMinAge02),MAX(CapacityAge02*'01_Вводные'!$B$218*'19_Расчет_аналитики'!AM1571,MeanMinAge02)))</f>
        <v/>
      </c>
      <c r="AN1477">
        <f>IF(OR('19_Расчет_аналитики'!AN1449=0,2&lt;='01_Вводные'!$B$297),0,'19_Расчет_аналитики'!AN1449*IF('01_Вводные'!$B$239="Да",MeanMinAge02+'19_Расчет_аналитики'!AN1571*SUMIF(ThresholdAge02,"&lt;"&amp;'19_Расчет_аналитики'!AN1571,WeightedRevAge02)-SUMIF(ThresholdAge02,"&lt;"&amp;'19_Расчет_аналитики'!AN1571,WeightedMinAge02),MAX(CapacityAge02*'01_Вводные'!$B$218*'19_Расчет_аналитики'!AN1571,MeanMinAge02)))</f>
        <v/>
      </c>
      <c r="AO1477">
        <f>IF(OR('19_Расчет_аналитики'!AO1449=0,2&lt;='01_Вводные'!$B$297),0,'19_Расчет_аналитики'!AO1449*IF('01_Вводные'!$B$239="Да",MeanMinAge02+'19_Расчет_аналитики'!AO1571*SUMIF(ThresholdAge02,"&lt;"&amp;'19_Расчет_аналитики'!AO1571,WeightedRevAge02)-SUMIF(ThresholdAge02,"&lt;"&amp;'19_Расчет_аналитики'!AO1571,WeightedMinAge02),MAX(CapacityAge02*'01_Вводные'!$B$218*'19_Расчет_аналитики'!AO1571,MeanMinAge02)))</f>
        <v/>
      </c>
      <c r="AP1477">
        <f>IF(OR('19_Расчет_аналитики'!AP1449=0,2&lt;='01_Вводные'!$B$297),0,'19_Расчет_аналитики'!AP1449*IF('01_Вводные'!$B$239="Да",MeanMinAge02+'19_Расчет_аналитики'!AP1571*SUMIF(ThresholdAge02,"&lt;"&amp;'19_Расчет_аналитики'!AP1571,WeightedRevAge02)-SUMIF(ThresholdAge02,"&lt;"&amp;'19_Расчет_аналитики'!AP1571,WeightedMinAge02),MAX(CapacityAge02*'01_Вводные'!$B$218*'19_Расчет_аналитики'!AP1571,MeanMinAge02)))</f>
        <v/>
      </c>
      <c r="AQ1477">
        <f>IF(OR('19_Расчет_аналитики'!AQ1449=0,2&lt;='01_Вводные'!$B$297),0,'19_Расчет_аналитики'!AQ1449*IF('01_Вводные'!$B$239="Да",MeanMinAge02+'19_Расчет_аналитики'!AQ1571*SUMIF(ThresholdAge02,"&lt;"&amp;'19_Расчет_аналитики'!AQ1571,WeightedRevAge02)-SUMIF(ThresholdAge02,"&lt;"&amp;'19_Расчет_аналитики'!AQ1571,WeightedMinAge02),MAX(CapacityAge02*'01_Вводные'!$B$218*'19_Расчет_аналитики'!AQ1571,MeanMinAge02)))</f>
        <v/>
      </c>
      <c r="AR1477">
        <f>IF(OR('19_Расчет_аналитики'!AR1449=0,2&lt;='01_Вводные'!$B$297),0,'19_Расчет_аналитики'!AR1449*IF('01_Вводные'!$B$239="Да",MeanMinAge02+'19_Расчет_аналитики'!AR1571*SUMIF(ThresholdAge02,"&lt;"&amp;'19_Расчет_аналитики'!AR1571,WeightedRevAge02)-SUMIF(ThresholdAge02,"&lt;"&amp;'19_Расчет_аналитики'!AR1571,WeightedMinAge02),MAX(CapacityAge02*'01_Вводные'!$B$218*'19_Расчет_аналитики'!AR1571,MeanMinAge02)))</f>
        <v/>
      </c>
      <c r="AS1477">
        <f>IF(OR('19_Расчет_аналитики'!AS1449=0,2&lt;='01_Вводные'!$B$297),0,'19_Расчет_аналитики'!AS1449*IF('01_Вводные'!$B$239="Да",MeanMinAge02+'19_Расчет_аналитики'!AS1571*SUMIF(ThresholdAge02,"&lt;"&amp;'19_Расчет_аналитики'!AS1571,WeightedRevAge02)-SUMIF(ThresholdAge02,"&lt;"&amp;'19_Расчет_аналитики'!AS1571,WeightedMinAge02),MAX(CapacityAge02*'01_Вводные'!$B$218*'19_Расчет_аналитики'!AS1571,MeanMinAge02)))</f>
        <v/>
      </c>
      <c r="AT1477">
        <f>IF(OR('19_Расчет_аналитики'!AT1449=0,2&lt;='01_Вводные'!$B$297),0,'19_Расчет_аналитики'!AT1449*IF('01_Вводные'!$B$239="Да",MeanMinAge02+'19_Расчет_аналитики'!AT1571*SUMIF(ThresholdAge02,"&lt;"&amp;'19_Расчет_аналитики'!AT1571,WeightedRevAge02)-SUMIF(ThresholdAge02,"&lt;"&amp;'19_Расчет_аналитики'!AT1571,WeightedMinAge02),MAX(CapacityAge02*'01_Вводные'!$B$218*'19_Расчет_аналитики'!AT1571,MeanMinAge02)))</f>
        <v/>
      </c>
      <c r="AU1477">
        <f>IF(OR('19_Расчет_аналитики'!AU1449=0,2&lt;='01_Вводные'!$B$297),0,'19_Расчет_аналитики'!AU1449*IF('01_Вводные'!$B$239="Да",MeanMinAge02+'19_Расчет_аналитики'!AU1571*SUMIF(ThresholdAge02,"&lt;"&amp;'19_Расчет_аналитики'!AU1571,WeightedRevAge02)-SUMIF(ThresholdAge02,"&lt;"&amp;'19_Расчет_аналитики'!AU1571,WeightedMinAge02),MAX(CapacityAge02*'01_Вводные'!$B$218*'19_Расчет_аналитики'!AU1571,MeanMinAge02)))</f>
        <v/>
      </c>
      <c r="AV1477">
        <f>IF(OR('19_Расчет_аналитики'!AV1449=0,2&lt;='01_Вводные'!$B$297),0,'19_Расчет_аналитики'!AV1449*IF('01_Вводные'!$B$239="Да",MeanMinAge02+'19_Расчет_аналитики'!AV1571*SUMIF(ThresholdAge02,"&lt;"&amp;'19_Расчет_аналитики'!AV1571,WeightedRevAge02)-SUMIF(ThresholdAge02,"&lt;"&amp;'19_Расчет_аналитики'!AV1571,WeightedMinAge02),MAX(CapacityAge02*'01_Вводные'!$B$218*'19_Расчет_аналитики'!AV1571,MeanMinAge02)))</f>
        <v/>
      </c>
      <c r="AW1477">
        <f>IF(OR('19_Расчет_аналитики'!AW1449=0,2&lt;='01_Вводные'!$B$297),0,'19_Расчет_аналитики'!AW1449*IF('01_Вводные'!$B$239="Да",MeanMinAge02+'19_Расчет_аналитики'!AW1571*SUMIF(ThresholdAge02,"&lt;"&amp;'19_Расчет_аналитики'!AW1571,WeightedRevAge02)-SUMIF(ThresholdAge02,"&lt;"&amp;'19_Расчет_аналитики'!AW1571,WeightedMinAge02),MAX(CapacityAge02*'01_Вводные'!$B$218*'19_Расчет_аналитики'!AW1571,MeanMinAge02)))</f>
        <v/>
      </c>
      <c r="AX1477">
        <f>IF(OR('19_Расчет_аналитики'!AX1449=0,2&lt;='01_Вводные'!$B$297),0,'19_Расчет_аналитики'!AX1449*IF('01_Вводные'!$B$239="Да",MeanMinAge02+'19_Расчет_аналитики'!AX1571*SUMIF(ThresholdAge02,"&lt;"&amp;'19_Расчет_аналитики'!AX1571,WeightedRevAge02)-SUMIF(ThresholdAge02,"&lt;"&amp;'19_Расчет_аналитики'!AX1571,WeightedMinAge02),MAX(CapacityAge02*'01_Вводные'!$B$218*'19_Расчет_аналитики'!AX1571,MeanMinAge02)))</f>
        <v/>
      </c>
      <c r="AY1477">
        <f>IF(OR('19_Расчет_аналитики'!AY1449=0,2&lt;='01_Вводные'!$B$297),0,'19_Расчет_аналитики'!AY1449*IF('01_Вводные'!$B$239="Да",MeanMinAge02+'19_Расчет_аналитики'!AY1571*SUMIF(ThresholdAge02,"&lt;"&amp;'19_Расчет_аналитики'!AY1571,WeightedRevAge02)-SUMIF(ThresholdAge02,"&lt;"&amp;'19_Расчет_аналитики'!AY1571,WeightedMinAge02),MAX(CapacityAge02*'01_Вводные'!$B$218*'19_Расчет_аналитики'!AY1571,MeanMinAge02)))</f>
        <v/>
      </c>
      <c r="AZ1477">
        <f>IF(OR('19_Расчет_аналитики'!AZ1449=0,2&lt;='01_Вводные'!$B$297),0,'19_Расчет_аналитики'!AZ1449*IF('01_Вводные'!$B$239="Да",MeanMinAge02+'19_Расчет_аналитики'!AZ1571*SUMIF(ThresholdAge02,"&lt;"&amp;'19_Расчет_аналитики'!AZ1571,WeightedRevAge02)-SUMIF(ThresholdAge02,"&lt;"&amp;'19_Расчет_аналитики'!AZ1571,WeightedMinAge02),MAX(CapacityAge02*'01_Вводные'!$B$218*'19_Расчет_аналитики'!AZ1571,MeanMinAge02)))</f>
        <v/>
      </c>
      <c r="BA1477">
        <f>IF(OR('19_Расчет_аналитики'!BA1449=0,2&lt;='01_Вводные'!$B$297),0,'19_Расчет_аналитики'!BA1449*IF('01_Вводные'!$B$239="Да",MeanMinAge02+'19_Расчет_аналитики'!BA1571*SUMIF(ThresholdAge02,"&lt;"&amp;'19_Расчет_аналитики'!BA1571,WeightedRevAge02)-SUMIF(ThresholdAge02,"&lt;"&amp;'19_Расчет_аналитики'!BA1571,WeightedMinAge02),MAX(CapacityAge02*'01_Вводные'!$B$218*'19_Расчет_аналитики'!BA1571,MeanMinAge02)))</f>
        <v/>
      </c>
      <c r="BB1477">
        <f>IF(OR('19_Расчет_аналитики'!BB1449=0,2&lt;='01_Вводные'!$B$297),0,'19_Расчет_аналитики'!BB1449*IF('01_Вводные'!$B$239="Да",MeanMinAge02+'19_Расчет_аналитики'!BB1571*SUMIF(ThresholdAge02,"&lt;"&amp;'19_Расчет_аналитики'!BB1571,WeightedRevAge02)-SUMIF(ThresholdAge02,"&lt;"&amp;'19_Расчет_аналитики'!BB1571,WeightedMinAge02),MAX(CapacityAge02*'01_Вводные'!$B$218*'19_Расчет_аналитики'!BB1571,MeanMinAge02)))</f>
        <v/>
      </c>
      <c r="BC1477">
        <f>IF(OR('19_Расчет_аналитики'!BC1449=0,2&lt;='01_Вводные'!$B$297),0,'19_Расчет_аналитики'!BC1449*IF('01_Вводные'!$B$239="Да",MeanMinAge02+'19_Расчет_аналитики'!BC1571*SUMIF(ThresholdAge02,"&lt;"&amp;'19_Расчет_аналитики'!BC1571,WeightedRevAge02)-SUMIF(ThresholdAge02,"&lt;"&amp;'19_Расчет_аналитики'!BC1571,WeightedMinAge02),MAX(CapacityAge02*'01_Вводные'!$B$218*'19_Расчет_аналитики'!BC1571,MeanMinAge02)))</f>
        <v/>
      </c>
      <c r="BD1477">
        <f>IF(OR('19_Расчет_аналитики'!BD1449=0,2&lt;='01_Вводные'!$B$297),0,'19_Расчет_аналитики'!BD1449*IF('01_Вводные'!$B$239="Да",MeanMinAge02+'19_Расчет_аналитики'!BD1571*SUMIF(ThresholdAge02,"&lt;"&amp;'19_Расчет_аналитики'!BD1571,WeightedRevAge02)-SUMIF(ThresholdAge02,"&lt;"&amp;'19_Расчет_аналитики'!BD1571,WeightedMinAge02),MAX(CapacityAge02*'01_Вводные'!$B$218*'19_Расчет_аналитики'!BD1571,MeanMinAge02)))</f>
        <v/>
      </c>
      <c r="BE1477">
        <f>IF(OR('19_Расчет_аналитики'!BE1449=0,2&lt;='01_Вводные'!$B$297),0,'19_Расчет_аналитики'!BE1449*IF('01_Вводные'!$B$239="Да",MeanMinAge02+'19_Расчет_аналитики'!BE1571*SUMIF(ThresholdAge02,"&lt;"&amp;'19_Расчет_аналитики'!BE1571,WeightedRevAge02)-SUMIF(ThresholdAge02,"&lt;"&amp;'19_Расчет_аналитики'!BE1571,WeightedMinAge02),MAX(CapacityAge02*'01_Вводные'!$B$218*'19_Расчет_аналитики'!BE1571,MeanMinAge02)))</f>
        <v/>
      </c>
      <c r="BF1477">
        <f>IF(OR('19_Расчет_аналитики'!BF1449=0,2&lt;='01_Вводные'!$B$297),0,'19_Расчет_аналитики'!BF1449*IF('01_Вводные'!$B$239="Да",MeanMinAge02+'19_Расчет_аналитики'!BF1571*SUMIF(ThresholdAge02,"&lt;"&amp;'19_Расчет_аналитики'!BF1571,WeightedRevAge02)-SUMIF(ThresholdAge02,"&lt;"&amp;'19_Расчет_аналитики'!BF1571,WeightedMinAge02),MAX(CapacityAge02*'01_Вводные'!$B$218*'19_Расчет_аналитики'!BF1571,MeanMinAge02)))</f>
        <v/>
      </c>
      <c r="BG1477">
        <f>IF(OR('19_Расчет_аналитики'!BG1449=0,2&lt;='01_Вводные'!$B$297),0,'19_Расчет_аналитики'!BG1449*IF('01_Вводные'!$B$239="Да",MeanMinAge02+'19_Расчет_аналитики'!BG1571*SUMIF(ThresholdAge02,"&lt;"&amp;'19_Расчет_аналитики'!BG1571,WeightedRevAge02)-SUMIF(ThresholdAge02,"&lt;"&amp;'19_Расчет_аналитики'!BG1571,WeightedMinAge02),MAX(CapacityAge02*'01_Вводные'!$B$218*'19_Расчет_аналитики'!BG1571,MeanMinAge02)))</f>
        <v/>
      </c>
      <c r="BH1477">
        <f>IF(OR('19_Расчет_аналитики'!BH1449=0,2&lt;='01_Вводные'!$B$297),0,'19_Расчет_аналитики'!BH1449*IF('01_Вводные'!$B$239="Да",MeanMinAge02+'19_Расчет_аналитики'!BH1571*SUMIF(ThresholdAge02,"&lt;"&amp;'19_Расчет_аналитики'!BH1571,WeightedRevAge02)-SUMIF(ThresholdAge02,"&lt;"&amp;'19_Расчет_аналитики'!BH1571,WeightedMinAge02),MAX(CapacityAge02*'01_Вводные'!$B$218*'19_Расчет_аналитики'!BH1571,MeanMinAge02)))</f>
        <v/>
      </c>
      <c r="BI1477">
        <f>IF(OR('19_Расчет_аналитики'!BI1449=0,2&lt;='01_Вводные'!$B$297),0,'19_Расчет_аналитики'!BI1449*IF('01_Вводные'!$B$239="Да",MeanMinAge02+'19_Расчет_аналитики'!BI1571*SUMIF(ThresholdAge02,"&lt;"&amp;'19_Расчет_аналитики'!BI1571,WeightedRevAge02)-SUMIF(ThresholdAge02,"&lt;"&amp;'19_Расчет_аналитики'!BI1571,WeightedMinAge02),MAX(CapacityAge02*'01_Вводные'!$B$218*'19_Расчет_аналитики'!BI1571,MeanMinAge02)))</f>
        <v/>
      </c>
      <c r="BJ1477">
        <f>IF(OR('19_Расчет_аналитики'!BJ1449=0,2&lt;='01_Вводные'!$B$297),0,'19_Расчет_аналитики'!BJ1449*IF('01_Вводные'!$B$239="Да",MeanMinAge02+'19_Расчет_аналитики'!BJ1571*SUMIF(ThresholdAge02,"&lt;"&amp;'19_Расчет_аналитики'!BJ1571,WeightedRevAge02)-SUMIF(ThresholdAge02,"&lt;"&amp;'19_Расчет_аналитики'!BJ1571,WeightedMinAge02),MAX(CapacityAge02*'01_Вводные'!$B$218*'19_Расчет_аналитики'!BJ1571,MeanMinAge02)))</f>
        <v/>
      </c>
      <c r="BK1477">
        <f>IF(OR('19_Расчет_аналитики'!BK1449=0,2&lt;='01_Вводные'!$B$297),0,'19_Расчет_аналитики'!BK1449*IF('01_Вводные'!$B$239="Да",MeanMinAge02+'19_Расчет_аналитики'!BK1571*SUMIF(ThresholdAge02,"&lt;"&amp;'19_Расчет_аналитики'!BK1571,WeightedRevAge02)-SUMIF(ThresholdAge02,"&lt;"&amp;'19_Расчет_аналитики'!BK1571,WeightedMinAge02),MAX(CapacityAge02*'01_Вводные'!$B$218*'19_Расчет_аналитики'!BK1571,MeanMinAge02)))</f>
        <v/>
      </c>
      <c r="BL1477">
        <f>IF(OR('19_Расчет_аналитики'!BL1449=0,2&lt;='01_Вводные'!$B$297),0,'19_Расчет_аналитики'!BL1449*IF('01_Вводные'!$B$239="Да",MeanMinAge02+'19_Расчет_аналитики'!BL1571*SUMIF(ThresholdAge02,"&lt;"&amp;'19_Расчет_аналитики'!BL1571,WeightedRevAge02)-SUMIF(ThresholdAge02,"&lt;"&amp;'19_Расчет_аналитики'!BL1571,WeightedMinAge02),MAX(CapacityAge02*'01_Вводные'!$B$218*'19_Расчет_аналитики'!BL1571,MeanMinAge02)))</f>
        <v/>
      </c>
      <c r="BM1477">
        <f>IF(OR('19_Расчет_аналитики'!BM1449=0,2&lt;='01_Вводные'!$B$297),0,'19_Расчет_аналитики'!BM1449*IF('01_Вводные'!$B$239="Да",MeanMinAge02+'19_Расчет_аналитики'!BM1571*SUMIF(ThresholdAge02,"&lt;"&amp;'19_Расчет_аналитики'!BM1571,WeightedRevAge02)-SUMIF(ThresholdAge02,"&lt;"&amp;'19_Расчет_аналитики'!BM1571,WeightedMinAge02),MAX(CapacityAge02*'01_Вводные'!$B$218*'19_Расчет_аналитики'!BM1571,MeanMinAge02)))</f>
        <v/>
      </c>
      <c r="BN1477">
        <f>IF(OR('19_Расчет_аналитики'!BN1449=0,2&lt;='01_Вводные'!$B$297),0,'19_Расчет_аналитики'!BN1449*IF('01_Вводные'!$B$239="Да",MeanMinAge02+'19_Расчет_аналитики'!BN1571*SUMIF(ThresholdAge02,"&lt;"&amp;'19_Расчет_аналитики'!BN1571,WeightedRevAge02)-SUMIF(ThresholdAge02,"&lt;"&amp;'19_Расчет_аналитики'!BN1571,WeightedMinAge02),MAX(CapacityAge02*'01_Вводные'!$B$218*'19_Расчет_аналитики'!BN1571,MeanMinAge02)))</f>
        <v/>
      </c>
      <c r="BO1477">
        <f>IF(OR('19_Расчет_аналитики'!BO1449=0,2&lt;='01_Вводные'!$B$297),0,'19_Расчет_аналитики'!BO1449*IF('01_Вводные'!$B$239="Да",MeanMinAge02+'19_Расчет_аналитики'!BO1571*SUMIF(ThresholdAge02,"&lt;"&amp;'19_Расчет_аналитики'!BO1571,WeightedRevAge02)-SUMIF(ThresholdAge02,"&lt;"&amp;'19_Расчет_аналитики'!BO1571,WeightedMinAge02),MAX(CapacityAge02*'01_Вводные'!$B$218*'19_Расчет_аналитики'!BO1571,MeanMinAge02)))</f>
        <v/>
      </c>
    </row>
    <row r="1478">
      <c r="B1478">
        <f>IF(OR('06_Сеть_и_дети'!B83=0,3&lt;='01_Вводные'!$B$297),0,'06_Сеть_и_дети'!B83*IF('01_Вводные'!$B$239="Да",MeanMinAge03+'19_Расчет_аналитики'!B1571*SUMIF(ThresholdAge03,"&lt;"&amp;'19_Расчет_аналитики'!B1571,WeightedRevAge03)-SUMIF(ThresholdAge03,"&lt;"&amp;'19_Расчет_аналитики'!B1571,WeightedMinAge03),MAX(CapacityAge03*'01_Вводные'!$B$218*'19_Расчет_аналитики'!B1571,MeanMinAge03)))</f>
        <v/>
      </c>
      <c r="C1478">
        <f>IF(OR('06_Сеть_и_дети'!C83=0,3&lt;='01_Вводные'!$B$297),0,'06_Сеть_и_дети'!C83*IF('01_Вводные'!$B$239="Да",MeanMinAge03+'19_Расчет_аналитики'!C1571*SUMIF(ThresholdAge03,"&lt;"&amp;'19_Расчет_аналитики'!C1571,WeightedRevAge03)-SUMIF(ThresholdAge03,"&lt;"&amp;'19_Расчет_аналитики'!C1571,WeightedMinAge03),MAX(CapacityAge03*'01_Вводные'!$B$218*'19_Расчет_аналитики'!C1571,MeanMinAge03)))</f>
        <v/>
      </c>
      <c r="D1478">
        <f>IF(OR('19_Расчет_аналитики'!D1450=0,3&lt;='01_Вводные'!$B$297),0,'19_Расчет_аналитики'!D1450*IF('01_Вводные'!$B$239="Да",MeanMinAge03+'19_Расчет_аналитики'!D1571*SUMIF(ThresholdAge03,"&lt;"&amp;'19_Расчет_аналитики'!D1571,WeightedRevAge03)-SUMIF(ThresholdAge03,"&lt;"&amp;'19_Расчет_аналитики'!D1571,WeightedMinAge03),MAX(CapacityAge03*'01_Вводные'!$B$218*'19_Расчет_аналитики'!D1571,MeanMinAge03)))</f>
        <v/>
      </c>
      <c r="E1478">
        <f>IF(OR('19_Расчет_аналитики'!E1450=0,3&lt;='01_Вводные'!$B$297),0,'19_Расчет_аналитики'!E1450*IF('01_Вводные'!$B$239="Да",MeanMinAge03+'19_Расчет_аналитики'!E1571*SUMIF(ThresholdAge03,"&lt;"&amp;'19_Расчет_аналитики'!E1571,WeightedRevAge03)-SUMIF(ThresholdAge03,"&lt;"&amp;'19_Расчет_аналитики'!E1571,WeightedMinAge03),MAX(CapacityAge03*'01_Вводные'!$B$218*'19_Расчет_аналитики'!E1571,MeanMinAge03)))</f>
        <v/>
      </c>
      <c r="F1478">
        <f>IF(OR('19_Расчет_аналитики'!F1450=0,3&lt;='01_Вводные'!$B$297),0,'19_Расчет_аналитики'!F1450*IF('01_Вводные'!$B$239="Да",MeanMinAge03+'19_Расчет_аналитики'!F1571*SUMIF(ThresholdAge03,"&lt;"&amp;'19_Расчет_аналитики'!F1571,WeightedRevAge03)-SUMIF(ThresholdAge03,"&lt;"&amp;'19_Расчет_аналитики'!F1571,WeightedMinAge03),MAX(CapacityAge03*'01_Вводные'!$B$218*'19_Расчет_аналитики'!F1571,MeanMinAge03)))</f>
        <v/>
      </c>
      <c r="G1478">
        <f>IF(OR('19_Расчет_аналитики'!G1450=0,3&lt;='01_Вводные'!$B$297),0,'19_Расчет_аналитики'!G1450*IF('01_Вводные'!$B$239="Да",MeanMinAge03+'19_Расчет_аналитики'!G1571*SUMIF(ThresholdAge03,"&lt;"&amp;'19_Расчет_аналитики'!G1571,WeightedRevAge03)-SUMIF(ThresholdAge03,"&lt;"&amp;'19_Расчет_аналитики'!G1571,WeightedMinAge03),MAX(CapacityAge03*'01_Вводные'!$B$218*'19_Расчет_аналитики'!G1571,MeanMinAge03)))</f>
        <v/>
      </c>
      <c r="H1478">
        <f>IF(OR('19_Расчет_аналитики'!H1450=0,3&lt;='01_Вводные'!$B$297),0,'19_Расчет_аналитики'!H1450*IF('01_Вводные'!$B$239="Да",MeanMinAge03+'19_Расчет_аналитики'!H1571*SUMIF(ThresholdAge03,"&lt;"&amp;'19_Расчет_аналитики'!H1571,WeightedRevAge03)-SUMIF(ThresholdAge03,"&lt;"&amp;'19_Расчет_аналитики'!H1571,WeightedMinAge03),MAX(CapacityAge03*'01_Вводные'!$B$218*'19_Расчет_аналитики'!H1571,MeanMinAge03)))</f>
        <v/>
      </c>
      <c r="I1478">
        <f>IF(OR('19_Расчет_аналитики'!I1450=0,3&lt;='01_Вводные'!$B$297),0,'19_Расчет_аналитики'!I1450*IF('01_Вводные'!$B$239="Да",MeanMinAge03+'19_Расчет_аналитики'!I1571*SUMIF(ThresholdAge03,"&lt;"&amp;'19_Расчет_аналитики'!I1571,WeightedRevAge03)-SUMIF(ThresholdAge03,"&lt;"&amp;'19_Расчет_аналитики'!I1571,WeightedMinAge03),MAX(CapacityAge03*'01_Вводные'!$B$218*'19_Расчет_аналитики'!I1571,MeanMinAge03)))</f>
        <v/>
      </c>
      <c r="J1478">
        <f>IF(OR('19_Расчет_аналитики'!J1450=0,3&lt;='01_Вводные'!$B$297),0,'19_Расчет_аналитики'!J1450*IF('01_Вводные'!$B$239="Да",MeanMinAge03+'19_Расчет_аналитики'!J1571*SUMIF(ThresholdAge03,"&lt;"&amp;'19_Расчет_аналитики'!J1571,WeightedRevAge03)-SUMIF(ThresholdAge03,"&lt;"&amp;'19_Расчет_аналитики'!J1571,WeightedMinAge03),MAX(CapacityAge03*'01_Вводные'!$B$218*'19_Расчет_аналитики'!J1571,MeanMinAge03)))</f>
        <v/>
      </c>
      <c r="K1478">
        <f>IF(OR('19_Расчет_аналитики'!K1450=0,3&lt;='01_Вводные'!$B$297),0,'19_Расчет_аналитики'!K1450*IF('01_Вводные'!$B$239="Да",MeanMinAge03+'19_Расчет_аналитики'!K1571*SUMIF(ThresholdAge03,"&lt;"&amp;'19_Расчет_аналитики'!K1571,WeightedRevAge03)-SUMIF(ThresholdAge03,"&lt;"&amp;'19_Расчет_аналитики'!K1571,WeightedMinAge03),MAX(CapacityAge03*'01_Вводные'!$B$218*'19_Расчет_аналитики'!K1571,MeanMinAge03)))</f>
        <v/>
      </c>
      <c r="L1478">
        <f>IF(OR('19_Расчет_аналитики'!L1450=0,3&lt;='01_Вводные'!$B$297),0,'19_Расчет_аналитики'!L1450*IF('01_Вводные'!$B$239="Да",MeanMinAge03+'19_Расчет_аналитики'!L1571*SUMIF(ThresholdAge03,"&lt;"&amp;'19_Расчет_аналитики'!L1571,WeightedRevAge03)-SUMIF(ThresholdAge03,"&lt;"&amp;'19_Расчет_аналитики'!L1571,WeightedMinAge03),MAX(CapacityAge03*'01_Вводные'!$B$218*'19_Расчет_аналитики'!L1571,MeanMinAge03)))</f>
        <v/>
      </c>
      <c r="M1478">
        <f>IF(OR('19_Расчет_аналитики'!M1450=0,3&lt;='01_Вводные'!$B$297),0,'19_Расчет_аналитики'!M1450*IF('01_Вводные'!$B$239="Да",MeanMinAge03+'19_Расчет_аналитики'!M1571*SUMIF(ThresholdAge03,"&lt;"&amp;'19_Расчет_аналитики'!M1571,WeightedRevAge03)-SUMIF(ThresholdAge03,"&lt;"&amp;'19_Расчет_аналитики'!M1571,WeightedMinAge03),MAX(CapacityAge03*'01_Вводные'!$B$218*'19_Расчет_аналитики'!M1571,MeanMinAge03)))</f>
        <v/>
      </c>
      <c r="N1478">
        <f>IF(OR('19_Расчет_аналитики'!N1450=0,3&lt;='01_Вводные'!$B$297),0,'19_Расчет_аналитики'!N1450*IF('01_Вводные'!$B$239="Да",MeanMinAge03+'19_Расчет_аналитики'!N1571*SUMIF(ThresholdAge03,"&lt;"&amp;'19_Расчет_аналитики'!N1571,WeightedRevAge03)-SUMIF(ThresholdAge03,"&lt;"&amp;'19_Расчет_аналитики'!N1571,WeightedMinAge03),MAX(CapacityAge03*'01_Вводные'!$B$218*'19_Расчет_аналитики'!N1571,MeanMinAge03)))</f>
        <v/>
      </c>
      <c r="O1478">
        <f>IF(OR('19_Расчет_аналитики'!O1450=0,3&lt;='01_Вводные'!$B$297),0,'19_Расчет_аналитики'!O1450*IF('01_Вводные'!$B$239="Да",MeanMinAge03+'19_Расчет_аналитики'!O1571*SUMIF(ThresholdAge03,"&lt;"&amp;'19_Расчет_аналитики'!O1571,WeightedRevAge03)-SUMIF(ThresholdAge03,"&lt;"&amp;'19_Расчет_аналитики'!O1571,WeightedMinAge03),MAX(CapacityAge03*'01_Вводные'!$B$218*'19_Расчет_аналитики'!O1571,MeanMinAge03)))</f>
        <v/>
      </c>
      <c r="P1478">
        <f>IF(OR('19_Расчет_аналитики'!P1450=0,3&lt;='01_Вводные'!$B$297),0,'19_Расчет_аналитики'!P1450*IF('01_Вводные'!$B$239="Да",MeanMinAge03+'19_Расчет_аналитики'!P1571*SUMIF(ThresholdAge03,"&lt;"&amp;'19_Расчет_аналитики'!P1571,WeightedRevAge03)-SUMIF(ThresholdAge03,"&lt;"&amp;'19_Расчет_аналитики'!P1571,WeightedMinAge03),MAX(CapacityAge03*'01_Вводные'!$B$218*'19_Расчет_аналитики'!P1571,MeanMinAge03)))</f>
        <v/>
      </c>
      <c r="Q1478">
        <f>IF(OR('19_Расчет_аналитики'!Q1450=0,3&lt;='01_Вводные'!$B$297),0,'19_Расчет_аналитики'!Q1450*IF('01_Вводные'!$B$239="Да",MeanMinAge03+'19_Расчет_аналитики'!Q1571*SUMIF(ThresholdAge03,"&lt;"&amp;'19_Расчет_аналитики'!Q1571,WeightedRevAge03)-SUMIF(ThresholdAge03,"&lt;"&amp;'19_Расчет_аналитики'!Q1571,WeightedMinAge03),MAX(CapacityAge03*'01_Вводные'!$B$218*'19_Расчет_аналитики'!Q1571,MeanMinAge03)))</f>
        <v/>
      </c>
      <c r="R1478">
        <f>IF(OR('19_Расчет_аналитики'!R1450=0,3&lt;='01_Вводные'!$B$297),0,'19_Расчет_аналитики'!R1450*IF('01_Вводные'!$B$239="Да",MeanMinAge03+'19_Расчет_аналитики'!R1571*SUMIF(ThresholdAge03,"&lt;"&amp;'19_Расчет_аналитики'!R1571,WeightedRevAge03)-SUMIF(ThresholdAge03,"&lt;"&amp;'19_Расчет_аналитики'!R1571,WeightedMinAge03),MAX(CapacityAge03*'01_Вводные'!$B$218*'19_Расчет_аналитики'!R1571,MeanMinAge03)))</f>
        <v/>
      </c>
      <c r="S1478">
        <f>IF(OR('19_Расчет_аналитики'!S1450=0,3&lt;='01_Вводные'!$B$297),0,'19_Расчет_аналитики'!S1450*IF('01_Вводные'!$B$239="Да",MeanMinAge03+'19_Расчет_аналитики'!S1571*SUMIF(ThresholdAge03,"&lt;"&amp;'19_Расчет_аналитики'!S1571,WeightedRevAge03)-SUMIF(ThresholdAge03,"&lt;"&amp;'19_Расчет_аналитики'!S1571,WeightedMinAge03),MAX(CapacityAge03*'01_Вводные'!$B$218*'19_Расчет_аналитики'!S1571,MeanMinAge03)))</f>
        <v/>
      </c>
      <c r="T1478">
        <f>IF(OR('19_Расчет_аналитики'!T1450=0,3&lt;='01_Вводные'!$B$297),0,'19_Расчет_аналитики'!T1450*IF('01_Вводные'!$B$239="Да",MeanMinAge03+'19_Расчет_аналитики'!T1571*SUMIF(ThresholdAge03,"&lt;"&amp;'19_Расчет_аналитики'!T1571,WeightedRevAge03)-SUMIF(ThresholdAge03,"&lt;"&amp;'19_Расчет_аналитики'!T1571,WeightedMinAge03),MAX(CapacityAge03*'01_Вводные'!$B$218*'19_Расчет_аналитики'!T1571,MeanMinAge03)))</f>
        <v/>
      </c>
      <c r="U1478">
        <f>IF(OR('19_Расчет_аналитики'!U1450=0,3&lt;='01_Вводные'!$B$297),0,'19_Расчет_аналитики'!U1450*IF('01_Вводные'!$B$239="Да",MeanMinAge03+'19_Расчет_аналитики'!U1571*SUMIF(ThresholdAge03,"&lt;"&amp;'19_Расчет_аналитики'!U1571,WeightedRevAge03)-SUMIF(ThresholdAge03,"&lt;"&amp;'19_Расчет_аналитики'!U1571,WeightedMinAge03),MAX(CapacityAge03*'01_Вводные'!$B$218*'19_Расчет_аналитики'!U1571,MeanMinAge03)))</f>
        <v/>
      </c>
      <c r="V1478">
        <f>IF(OR('19_Расчет_аналитики'!V1450=0,3&lt;='01_Вводные'!$B$297),0,'19_Расчет_аналитики'!V1450*IF('01_Вводные'!$B$239="Да",MeanMinAge03+'19_Расчет_аналитики'!V1571*SUMIF(ThresholdAge03,"&lt;"&amp;'19_Расчет_аналитики'!V1571,WeightedRevAge03)-SUMIF(ThresholdAge03,"&lt;"&amp;'19_Расчет_аналитики'!V1571,WeightedMinAge03),MAX(CapacityAge03*'01_Вводные'!$B$218*'19_Расчет_аналитики'!V1571,MeanMinAge03)))</f>
        <v/>
      </c>
      <c r="W1478">
        <f>IF(OR('19_Расчет_аналитики'!W1450=0,3&lt;='01_Вводные'!$B$297),0,'19_Расчет_аналитики'!W1450*IF('01_Вводные'!$B$239="Да",MeanMinAge03+'19_Расчет_аналитики'!W1571*SUMIF(ThresholdAge03,"&lt;"&amp;'19_Расчет_аналитики'!W1571,WeightedRevAge03)-SUMIF(ThresholdAge03,"&lt;"&amp;'19_Расчет_аналитики'!W1571,WeightedMinAge03),MAX(CapacityAge03*'01_Вводные'!$B$218*'19_Расчет_аналитики'!W1571,MeanMinAge03)))</f>
        <v/>
      </c>
      <c r="X1478">
        <f>IF(OR('19_Расчет_аналитики'!X1450=0,3&lt;='01_Вводные'!$B$297),0,'19_Расчет_аналитики'!X1450*IF('01_Вводные'!$B$239="Да",MeanMinAge03+'19_Расчет_аналитики'!X1571*SUMIF(ThresholdAge03,"&lt;"&amp;'19_Расчет_аналитики'!X1571,WeightedRevAge03)-SUMIF(ThresholdAge03,"&lt;"&amp;'19_Расчет_аналитики'!X1571,WeightedMinAge03),MAX(CapacityAge03*'01_Вводные'!$B$218*'19_Расчет_аналитики'!X1571,MeanMinAge03)))</f>
        <v/>
      </c>
      <c r="Y1478">
        <f>IF(OR('19_Расчет_аналитики'!Y1450=0,3&lt;='01_Вводные'!$B$297),0,'19_Расчет_аналитики'!Y1450*IF('01_Вводные'!$B$239="Да",MeanMinAge03+'19_Расчет_аналитики'!Y1571*SUMIF(ThresholdAge03,"&lt;"&amp;'19_Расчет_аналитики'!Y1571,WeightedRevAge03)-SUMIF(ThresholdAge03,"&lt;"&amp;'19_Расчет_аналитики'!Y1571,WeightedMinAge03),MAX(CapacityAge03*'01_Вводные'!$B$218*'19_Расчет_аналитики'!Y1571,MeanMinAge03)))</f>
        <v/>
      </c>
      <c r="Z1478">
        <f>IF(OR('19_Расчет_аналитики'!Z1450=0,3&lt;='01_Вводные'!$B$297),0,'19_Расчет_аналитики'!Z1450*IF('01_Вводные'!$B$239="Да",MeanMinAge03+'19_Расчет_аналитики'!Z1571*SUMIF(ThresholdAge03,"&lt;"&amp;'19_Расчет_аналитики'!Z1571,WeightedRevAge03)-SUMIF(ThresholdAge03,"&lt;"&amp;'19_Расчет_аналитики'!Z1571,WeightedMinAge03),MAX(CapacityAge03*'01_Вводные'!$B$218*'19_Расчет_аналитики'!Z1571,MeanMinAge03)))</f>
        <v/>
      </c>
      <c r="AA1478">
        <f>IF(OR('19_Расчет_аналитики'!AA1450=0,3&lt;='01_Вводные'!$B$297),0,'19_Расчет_аналитики'!AA1450*IF('01_Вводные'!$B$239="Да",MeanMinAge03+'19_Расчет_аналитики'!AA1571*SUMIF(ThresholdAge03,"&lt;"&amp;'19_Расчет_аналитики'!AA1571,WeightedRevAge03)-SUMIF(ThresholdAge03,"&lt;"&amp;'19_Расчет_аналитики'!AA1571,WeightedMinAge03),MAX(CapacityAge03*'01_Вводные'!$B$218*'19_Расчет_аналитики'!AA1571,MeanMinAge03)))</f>
        <v/>
      </c>
      <c r="AB1478">
        <f>IF(OR('19_Расчет_аналитики'!AB1450=0,3&lt;='01_Вводные'!$B$297),0,'19_Расчет_аналитики'!AB1450*IF('01_Вводные'!$B$239="Да",MeanMinAge03+'19_Расчет_аналитики'!AB1571*SUMIF(ThresholdAge03,"&lt;"&amp;'19_Расчет_аналитики'!AB1571,WeightedRevAge03)-SUMIF(ThresholdAge03,"&lt;"&amp;'19_Расчет_аналитики'!AB1571,WeightedMinAge03),MAX(CapacityAge03*'01_Вводные'!$B$218*'19_Расчет_аналитики'!AB1571,MeanMinAge03)))</f>
        <v/>
      </c>
      <c r="AC1478">
        <f>IF(OR('19_Расчет_аналитики'!AC1450=0,3&lt;='01_Вводные'!$B$297),0,'19_Расчет_аналитики'!AC1450*IF('01_Вводные'!$B$239="Да",MeanMinAge03+'19_Расчет_аналитики'!AC1571*SUMIF(ThresholdAge03,"&lt;"&amp;'19_Расчет_аналитики'!AC1571,WeightedRevAge03)-SUMIF(ThresholdAge03,"&lt;"&amp;'19_Расчет_аналитики'!AC1571,WeightedMinAge03),MAX(CapacityAge03*'01_Вводные'!$B$218*'19_Расчет_аналитики'!AC1571,MeanMinAge03)))</f>
        <v/>
      </c>
      <c r="AD1478">
        <f>IF(OR('19_Расчет_аналитики'!AD1450=0,3&lt;='01_Вводные'!$B$297),0,'19_Расчет_аналитики'!AD1450*IF('01_Вводные'!$B$239="Да",MeanMinAge03+'19_Расчет_аналитики'!AD1571*SUMIF(ThresholdAge03,"&lt;"&amp;'19_Расчет_аналитики'!AD1571,WeightedRevAge03)-SUMIF(ThresholdAge03,"&lt;"&amp;'19_Расчет_аналитики'!AD1571,WeightedMinAge03),MAX(CapacityAge03*'01_Вводные'!$B$218*'19_Расчет_аналитики'!AD1571,MeanMinAge03)))</f>
        <v/>
      </c>
      <c r="AE1478">
        <f>IF(OR('19_Расчет_аналитики'!AE1450=0,3&lt;='01_Вводные'!$B$297),0,'19_Расчет_аналитики'!AE1450*IF('01_Вводные'!$B$239="Да",MeanMinAge03+'19_Расчет_аналитики'!AE1571*SUMIF(ThresholdAge03,"&lt;"&amp;'19_Расчет_аналитики'!AE1571,WeightedRevAge03)-SUMIF(ThresholdAge03,"&lt;"&amp;'19_Расчет_аналитики'!AE1571,WeightedMinAge03),MAX(CapacityAge03*'01_Вводные'!$B$218*'19_Расчет_аналитики'!AE1571,MeanMinAge03)))</f>
        <v/>
      </c>
      <c r="AF1478">
        <f>IF(OR('19_Расчет_аналитики'!AF1450=0,3&lt;='01_Вводные'!$B$297),0,'19_Расчет_аналитики'!AF1450*IF('01_Вводные'!$B$239="Да",MeanMinAge03+'19_Расчет_аналитики'!AF1571*SUMIF(ThresholdAge03,"&lt;"&amp;'19_Расчет_аналитики'!AF1571,WeightedRevAge03)-SUMIF(ThresholdAge03,"&lt;"&amp;'19_Расчет_аналитики'!AF1571,WeightedMinAge03),MAX(CapacityAge03*'01_Вводные'!$B$218*'19_Расчет_аналитики'!AF1571,MeanMinAge03)))</f>
        <v/>
      </c>
      <c r="AG1478">
        <f>IF(OR('19_Расчет_аналитики'!AG1450=0,3&lt;='01_Вводные'!$B$297),0,'19_Расчет_аналитики'!AG1450*IF('01_Вводные'!$B$239="Да",MeanMinAge03+'19_Расчет_аналитики'!AG1571*SUMIF(ThresholdAge03,"&lt;"&amp;'19_Расчет_аналитики'!AG1571,WeightedRevAge03)-SUMIF(ThresholdAge03,"&lt;"&amp;'19_Расчет_аналитики'!AG1571,WeightedMinAge03),MAX(CapacityAge03*'01_Вводные'!$B$218*'19_Расчет_аналитики'!AG1571,MeanMinAge03)))</f>
        <v/>
      </c>
      <c r="AH1478">
        <f>IF(OR('19_Расчет_аналитики'!AH1450=0,3&lt;='01_Вводные'!$B$297),0,'19_Расчет_аналитики'!AH1450*IF('01_Вводные'!$B$239="Да",MeanMinAge03+'19_Расчет_аналитики'!AH1571*SUMIF(ThresholdAge03,"&lt;"&amp;'19_Расчет_аналитики'!AH1571,WeightedRevAge03)-SUMIF(ThresholdAge03,"&lt;"&amp;'19_Расчет_аналитики'!AH1571,WeightedMinAge03),MAX(CapacityAge03*'01_Вводные'!$B$218*'19_Расчет_аналитики'!AH1571,MeanMinAge03)))</f>
        <v/>
      </c>
      <c r="AI1478">
        <f>IF(OR('19_Расчет_аналитики'!AI1450=0,3&lt;='01_Вводные'!$B$297),0,'19_Расчет_аналитики'!AI1450*IF('01_Вводные'!$B$239="Да",MeanMinAge03+'19_Расчет_аналитики'!AI1571*SUMIF(ThresholdAge03,"&lt;"&amp;'19_Расчет_аналитики'!AI1571,WeightedRevAge03)-SUMIF(ThresholdAge03,"&lt;"&amp;'19_Расчет_аналитики'!AI1571,WeightedMinAge03),MAX(CapacityAge03*'01_Вводные'!$B$218*'19_Расчет_аналитики'!AI1571,MeanMinAge03)))</f>
        <v/>
      </c>
      <c r="AJ1478">
        <f>IF(OR('19_Расчет_аналитики'!AJ1450=0,3&lt;='01_Вводные'!$B$297),0,'19_Расчет_аналитики'!AJ1450*IF('01_Вводные'!$B$239="Да",MeanMinAge03+'19_Расчет_аналитики'!AJ1571*SUMIF(ThresholdAge03,"&lt;"&amp;'19_Расчет_аналитики'!AJ1571,WeightedRevAge03)-SUMIF(ThresholdAge03,"&lt;"&amp;'19_Расчет_аналитики'!AJ1571,WeightedMinAge03),MAX(CapacityAge03*'01_Вводные'!$B$218*'19_Расчет_аналитики'!AJ1571,MeanMinAge03)))</f>
        <v/>
      </c>
      <c r="AK1478">
        <f>IF(OR('19_Расчет_аналитики'!AK1450=0,3&lt;='01_Вводные'!$B$297),0,'19_Расчет_аналитики'!AK1450*IF('01_Вводные'!$B$239="Да",MeanMinAge03+'19_Расчет_аналитики'!AK1571*SUMIF(ThresholdAge03,"&lt;"&amp;'19_Расчет_аналитики'!AK1571,WeightedRevAge03)-SUMIF(ThresholdAge03,"&lt;"&amp;'19_Расчет_аналитики'!AK1571,WeightedMinAge03),MAX(CapacityAge03*'01_Вводные'!$B$218*'19_Расчет_аналитики'!AK1571,MeanMinAge03)))</f>
        <v/>
      </c>
      <c r="AL1478">
        <f>IF(OR('19_Расчет_аналитики'!AL1450=0,3&lt;='01_Вводные'!$B$297),0,'19_Расчет_аналитики'!AL1450*IF('01_Вводные'!$B$239="Да",MeanMinAge03+'19_Расчет_аналитики'!AL1571*SUMIF(ThresholdAge03,"&lt;"&amp;'19_Расчет_аналитики'!AL1571,WeightedRevAge03)-SUMIF(ThresholdAge03,"&lt;"&amp;'19_Расчет_аналитики'!AL1571,WeightedMinAge03),MAX(CapacityAge03*'01_Вводные'!$B$218*'19_Расчет_аналитики'!AL1571,MeanMinAge03)))</f>
        <v/>
      </c>
      <c r="AM1478">
        <f>IF(OR('19_Расчет_аналитики'!AM1450=0,3&lt;='01_Вводные'!$B$297),0,'19_Расчет_аналитики'!AM1450*IF('01_Вводные'!$B$239="Да",MeanMinAge03+'19_Расчет_аналитики'!AM1571*SUMIF(ThresholdAge03,"&lt;"&amp;'19_Расчет_аналитики'!AM1571,WeightedRevAge03)-SUMIF(ThresholdAge03,"&lt;"&amp;'19_Расчет_аналитики'!AM1571,WeightedMinAge03),MAX(CapacityAge03*'01_Вводные'!$B$218*'19_Расчет_аналитики'!AM1571,MeanMinAge03)))</f>
        <v/>
      </c>
      <c r="AN1478">
        <f>IF(OR('19_Расчет_аналитики'!AN1450=0,3&lt;='01_Вводные'!$B$297),0,'19_Расчет_аналитики'!AN1450*IF('01_Вводные'!$B$239="Да",MeanMinAge03+'19_Расчет_аналитики'!AN1571*SUMIF(ThresholdAge03,"&lt;"&amp;'19_Расчет_аналитики'!AN1571,WeightedRevAge03)-SUMIF(ThresholdAge03,"&lt;"&amp;'19_Расчет_аналитики'!AN1571,WeightedMinAge03),MAX(CapacityAge03*'01_Вводные'!$B$218*'19_Расчет_аналитики'!AN1571,MeanMinAge03)))</f>
        <v/>
      </c>
      <c r="AO1478">
        <f>IF(OR('19_Расчет_аналитики'!AO1450=0,3&lt;='01_Вводные'!$B$297),0,'19_Расчет_аналитики'!AO1450*IF('01_Вводные'!$B$239="Да",MeanMinAge03+'19_Расчет_аналитики'!AO1571*SUMIF(ThresholdAge03,"&lt;"&amp;'19_Расчет_аналитики'!AO1571,WeightedRevAge03)-SUMIF(ThresholdAge03,"&lt;"&amp;'19_Расчет_аналитики'!AO1571,WeightedMinAge03),MAX(CapacityAge03*'01_Вводные'!$B$218*'19_Расчет_аналитики'!AO1571,MeanMinAge03)))</f>
        <v/>
      </c>
      <c r="AP1478">
        <f>IF(OR('19_Расчет_аналитики'!AP1450=0,3&lt;='01_Вводные'!$B$297),0,'19_Расчет_аналитики'!AP1450*IF('01_Вводные'!$B$239="Да",MeanMinAge03+'19_Расчет_аналитики'!AP1571*SUMIF(ThresholdAge03,"&lt;"&amp;'19_Расчет_аналитики'!AP1571,WeightedRevAge03)-SUMIF(ThresholdAge03,"&lt;"&amp;'19_Расчет_аналитики'!AP1571,WeightedMinAge03),MAX(CapacityAge03*'01_Вводные'!$B$218*'19_Расчет_аналитики'!AP1571,MeanMinAge03)))</f>
        <v/>
      </c>
      <c r="AQ1478">
        <f>IF(OR('19_Расчет_аналитики'!AQ1450=0,3&lt;='01_Вводные'!$B$297),0,'19_Расчет_аналитики'!AQ1450*IF('01_Вводные'!$B$239="Да",MeanMinAge03+'19_Расчет_аналитики'!AQ1571*SUMIF(ThresholdAge03,"&lt;"&amp;'19_Расчет_аналитики'!AQ1571,WeightedRevAge03)-SUMIF(ThresholdAge03,"&lt;"&amp;'19_Расчет_аналитики'!AQ1571,WeightedMinAge03),MAX(CapacityAge03*'01_Вводные'!$B$218*'19_Расчет_аналитики'!AQ1571,MeanMinAge03)))</f>
        <v/>
      </c>
      <c r="AR1478">
        <f>IF(OR('19_Расчет_аналитики'!AR1450=0,3&lt;='01_Вводные'!$B$297),0,'19_Расчет_аналитики'!AR1450*IF('01_Вводные'!$B$239="Да",MeanMinAge03+'19_Расчет_аналитики'!AR1571*SUMIF(ThresholdAge03,"&lt;"&amp;'19_Расчет_аналитики'!AR1571,WeightedRevAge03)-SUMIF(ThresholdAge03,"&lt;"&amp;'19_Расчет_аналитики'!AR1571,WeightedMinAge03),MAX(CapacityAge03*'01_Вводные'!$B$218*'19_Расчет_аналитики'!AR1571,MeanMinAge03)))</f>
        <v/>
      </c>
      <c r="AS1478">
        <f>IF(OR('19_Расчет_аналитики'!AS1450=0,3&lt;='01_Вводные'!$B$297),0,'19_Расчет_аналитики'!AS1450*IF('01_Вводные'!$B$239="Да",MeanMinAge03+'19_Расчет_аналитики'!AS1571*SUMIF(ThresholdAge03,"&lt;"&amp;'19_Расчет_аналитики'!AS1571,WeightedRevAge03)-SUMIF(ThresholdAge03,"&lt;"&amp;'19_Расчет_аналитики'!AS1571,WeightedMinAge03),MAX(CapacityAge03*'01_Вводные'!$B$218*'19_Расчет_аналитики'!AS1571,MeanMinAge03)))</f>
        <v/>
      </c>
      <c r="AT1478">
        <f>IF(OR('19_Расчет_аналитики'!AT1450=0,3&lt;='01_Вводные'!$B$297),0,'19_Расчет_аналитики'!AT1450*IF('01_Вводные'!$B$239="Да",MeanMinAge03+'19_Расчет_аналитики'!AT1571*SUMIF(ThresholdAge03,"&lt;"&amp;'19_Расчет_аналитики'!AT1571,WeightedRevAge03)-SUMIF(ThresholdAge03,"&lt;"&amp;'19_Расчет_аналитики'!AT1571,WeightedMinAge03),MAX(CapacityAge03*'01_Вводные'!$B$218*'19_Расчет_аналитики'!AT1571,MeanMinAge03)))</f>
        <v/>
      </c>
      <c r="AU1478">
        <f>IF(OR('19_Расчет_аналитики'!AU1450=0,3&lt;='01_Вводные'!$B$297),0,'19_Расчет_аналитики'!AU1450*IF('01_Вводные'!$B$239="Да",MeanMinAge03+'19_Расчет_аналитики'!AU1571*SUMIF(ThresholdAge03,"&lt;"&amp;'19_Расчет_аналитики'!AU1571,WeightedRevAge03)-SUMIF(ThresholdAge03,"&lt;"&amp;'19_Расчет_аналитики'!AU1571,WeightedMinAge03),MAX(CapacityAge03*'01_Вводные'!$B$218*'19_Расчет_аналитики'!AU1571,MeanMinAge03)))</f>
        <v/>
      </c>
      <c r="AV1478">
        <f>IF(OR('19_Расчет_аналитики'!AV1450=0,3&lt;='01_Вводные'!$B$297),0,'19_Расчет_аналитики'!AV1450*IF('01_Вводные'!$B$239="Да",MeanMinAge03+'19_Расчет_аналитики'!AV1571*SUMIF(ThresholdAge03,"&lt;"&amp;'19_Расчет_аналитики'!AV1571,WeightedRevAge03)-SUMIF(ThresholdAge03,"&lt;"&amp;'19_Расчет_аналитики'!AV1571,WeightedMinAge03),MAX(CapacityAge03*'01_Вводные'!$B$218*'19_Расчет_аналитики'!AV1571,MeanMinAge03)))</f>
        <v/>
      </c>
      <c r="AW1478">
        <f>IF(OR('19_Расчет_аналитики'!AW1450=0,3&lt;='01_Вводные'!$B$297),0,'19_Расчет_аналитики'!AW1450*IF('01_Вводные'!$B$239="Да",MeanMinAge03+'19_Расчет_аналитики'!AW1571*SUMIF(ThresholdAge03,"&lt;"&amp;'19_Расчет_аналитики'!AW1571,WeightedRevAge03)-SUMIF(ThresholdAge03,"&lt;"&amp;'19_Расчет_аналитики'!AW1571,WeightedMinAge03),MAX(CapacityAge03*'01_Вводные'!$B$218*'19_Расчет_аналитики'!AW1571,MeanMinAge03)))</f>
        <v/>
      </c>
      <c r="AX1478">
        <f>IF(OR('19_Расчет_аналитики'!AX1450=0,3&lt;='01_Вводные'!$B$297),0,'19_Расчет_аналитики'!AX1450*IF('01_Вводные'!$B$239="Да",MeanMinAge03+'19_Расчет_аналитики'!AX1571*SUMIF(ThresholdAge03,"&lt;"&amp;'19_Расчет_аналитики'!AX1571,WeightedRevAge03)-SUMIF(ThresholdAge03,"&lt;"&amp;'19_Расчет_аналитики'!AX1571,WeightedMinAge03),MAX(CapacityAge03*'01_Вводные'!$B$218*'19_Расчет_аналитики'!AX1571,MeanMinAge03)))</f>
        <v/>
      </c>
      <c r="AY1478">
        <f>IF(OR('19_Расчет_аналитики'!AY1450=0,3&lt;='01_Вводные'!$B$297),0,'19_Расчет_аналитики'!AY1450*IF('01_Вводные'!$B$239="Да",MeanMinAge03+'19_Расчет_аналитики'!AY1571*SUMIF(ThresholdAge03,"&lt;"&amp;'19_Расчет_аналитики'!AY1571,WeightedRevAge03)-SUMIF(ThresholdAge03,"&lt;"&amp;'19_Расчет_аналитики'!AY1571,WeightedMinAge03),MAX(CapacityAge03*'01_Вводные'!$B$218*'19_Расчет_аналитики'!AY1571,MeanMinAge03)))</f>
        <v/>
      </c>
      <c r="AZ1478">
        <f>IF(OR('19_Расчет_аналитики'!AZ1450=0,3&lt;='01_Вводные'!$B$297),0,'19_Расчет_аналитики'!AZ1450*IF('01_Вводные'!$B$239="Да",MeanMinAge03+'19_Расчет_аналитики'!AZ1571*SUMIF(ThresholdAge03,"&lt;"&amp;'19_Расчет_аналитики'!AZ1571,WeightedRevAge03)-SUMIF(ThresholdAge03,"&lt;"&amp;'19_Расчет_аналитики'!AZ1571,WeightedMinAge03),MAX(CapacityAge03*'01_Вводные'!$B$218*'19_Расчет_аналитики'!AZ1571,MeanMinAge03)))</f>
        <v/>
      </c>
      <c r="BA1478">
        <f>IF(OR('19_Расчет_аналитики'!BA1450=0,3&lt;='01_Вводные'!$B$297),0,'19_Расчет_аналитики'!BA1450*IF('01_Вводные'!$B$239="Да",MeanMinAge03+'19_Расчет_аналитики'!BA1571*SUMIF(ThresholdAge03,"&lt;"&amp;'19_Расчет_аналитики'!BA1571,WeightedRevAge03)-SUMIF(ThresholdAge03,"&lt;"&amp;'19_Расчет_аналитики'!BA1571,WeightedMinAge03),MAX(CapacityAge03*'01_Вводные'!$B$218*'19_Расчет_аналитики'!BA1571,MeanMinAge03)))</f>
        <v/>
      </c>
      <c r="BB1478">
        <f>IF(OR('19_Расчет_аналитики'!BB1450=0,3&lt;='01_Вводные'!$B$297),0,'19_Расчет_аналитики'!BB1450*IF('01_Вводные'!$B$239="Да",MeanMinAge03+'19_Расчет_аналитики'!BB1571*SUMIF(ThresholdAge03,"&lt;"&amp;'19_Расчет_аналитики'!BB1571,WeightedRevAge03)-SUMIF(ThresholdAge03,"&lt;"&amp;'19_Расчет_аналитики'!BB1571,WeightedMinAge03),MAX(CapacityAge03*'01_Вводные'!$B$218*'19_Расчет_аналитики'!BB1571,MeanMinAge03)))</f>
        <v/>
      </c>
      <c r="BC1478">
        <f>IF(OR('19_Расчет_аналитики'!BC1450=0,3&lt;='01_Вводные'!$B$297),0,'19_Расчет_аналитики'!BC1450*IF('01_Вводные'!$B$239="Да",MeanMinAge03+'19_Расчет_аналитики'!BC1571*SUMIF(ThresholdAge03,"&lt;"&amp;'19_Расчет_аналитики'!BC1571,WeightedRevAge03)-SUMIF(ThresholdAge03,"&lt;"&amp;'19_Расчет_аналитики'!BC1571,WeightedMinAge03),MAX(CapacityAge03*'01_Вводные'!$B$218*'19_Расчет_аналитики'!BC1571,MeanMinAge03)))</f>
        <v/>
      </c>
      <c r="BD1478">
        <f>IF(OR('19_Расчет_аналитики'!BD1450=0,3&lt;='01_Вводные'!$B$297),0,'19_Расчет_аналитики'!BD1450*IF('01_Вводные'!$B$239="Да",MeanMinAge03+'19_Расчет_аналитики'!BD1571*SUMIF(ThresholdAge03,"&lt;"&amp;'19_Расчет_аналитики'!BD1571,WeightedRevAge03)-SUMIF(ThresholdAge03,"&lt;"&amp;'19_Расчет_аналитики'!BD1571,WeightedMinAge03),MAX(CapacityAge03*'01_Вводные'!$B$218*'19_Расчет_аналитики'!BD1571,MeanMinAge03)))</f>
        <v/>
      </c>
      <c r="BE1478">
        <f>IF(OR('19_Расчет_аналитики'!BE1450=0,3&lt;='01_Вводные'!$B$297),0,'19_Расчет_аналитики'!BE1450*IF('01_Вводные'!$B$239="Да",MeanMinAge03+'19_Расчет_аналитики'!BE1571*SUMIF(ThresholdAge03,"&lt;"&amp;'19_Расчет_аналитики'!BE1571,WeightedRevAge03)-SUMIF(ThresholdAge03,"&lt;"&amp;'19_Расчет_аналитики'!BE1571,WeightedMinAge03),MAX(CapacityAge03*'01_Вводные'!$B$218*'19_Расчет_аналитики'!BE1571,MeanMinAge03)))</f>
        <v/>
      </c>
      <c r="BF1478">
        <f>IF(OR('19_Расчет_аналитики'!BF1450=0,3&lt;='01_Вводные'!$B$297),0,'19_Расчет_аналитики'!BF1450*IF('01_Вводные'!$B$239="Да",MeanMinAge03+'19_Расчет_аналитики'!BF1571*SUMIF(ThresholdAge03,"&lt;"&amp;'19_Расчет_аналитики'!BF1571,WeightedRevAge03)-SUMIF(ThresholdAge03,"&lt;"&amp;'19_Расчет_аналитики'!BF1571,WeightedMinAge03),MAX(CapacityAge03*'01_Вводные'!$B$218*'19_Расчет_аналитики'!BF1571,MeanMinAge03)))</f>
        <v/>
      </c>
      <c r="BG1478">
        <f>IF(OR('19_Расчет_аналитики'!BG1450=0,3&lt;='01_Вводные'!$B$297),0,'19_Расчет_аналитики'!BG1450*IF('01_Вводные'!$B$239="Да",MeanMinAge03+'19_Расчет_аналитики'!BG1571*SUMIF(ThresholdAge03,"&lt;"&amp;'19_Расчет_аналитики'!BG1571,WeightedRevAge03)-SUMIF(ThresholdAge03,"&lt;"&amp;'19_Расчет_аналитики'!BG1571,WeightedMinAge03),MAX(CapacityAge03*'01_Вводные'!$B$218*'19_Расчет_аналитики'!BG1571,MeanMinAge03)))</f>
        <v/>
      </c>
      <c r="BH1478">
        <f>IF(OR('19_Расчет_аналитики'!BH1450=0,3&lt;='01_Вводные'!$B$297),0,'19_Расчет_аналитики'!BH1450*IF('01_Вводные'!$B$239="Да",MeanMinAge03+'19_Расчет_аналитики'!BH1571*SUMIF(ThresholdAge03,"&lt;"&amp;'19_Расчет_аналитики'!BH1571,WeightedRevAge03)-SUMIF(ThresholdAge03,"&lt;"&amp;'19_Расчет_аналитики'!BH1571,WeightedMinAge03),MAX(CapacityAge03*'01_Вводные'!$B$218*'19_Расчет_аналитики'!BH1571,MeanMinAge03)))</f>
        <v/>
      </c>
      <c r="BI1478">
        <f>IF(OR('19_Расчет_аналитики'!BI1450=0,3&lt;='01_Вводные'!$B$297),0,'19_Расчет_аналитики'!BI1450*IF('01_Вводные'!$B$239="Да",MeanMinAge03+'19_Расчет_аналитики'!BI1571*SUMIF(ThresholdAge03,"&lt;"&amp;'19_Расчет_аналитики'!BI1571,WeightedRevAge03)-SUMIF(ThresholdAge03,"&lt;"&amp;'19_Расчет_аналитики'!BI1571,WeightedMinAge03),MAX(CapacityAge03*'01_Вводные'!$B$218*'19_Расчет_аналитики'!BI1571,MeanMinAge03)))</f>
        <v/>
      </c>
      <c r="BJ1478">
        <f>IF(OR('19_Расчет_аналитики'!BJ1450=0,3&lt;='01_Вводные'!$B$297),0,'19_Расчет_аналитики'!BJ1450*IF('01_Вводные'!$B$239="Да",MeanMinAge03+'19_Расчет_аналитики'!BJ1571*SUMIF(ThresholdAge03,"&lt;"&amp;'19_Расчет_аналитики'!BJ1571,WeightedRevAge03)-SUMIF(ThresholdAge03,"&lt;"&amp;'19_Расчет_аналитики'!BJ1571,WeightedMinAge03),MAX(CapacityAge03*'01_Вводные'!$B$218*'19_Расчет_аналитики'!BJ1571,MeanMinAge03)))</f>
        <v/>
      </c>
      <c r="BK1478">
        <f>IF(OR('19_Расчет_аналитики'!BK1450=0,3&lt;='01_Вводные'!$B$297),0,'19_Расчет_аналитики'!BK1450*IF('01_Вводные'!$B$239="Да",MeanMinAge03+'19_Расчет_аналитики'!BK1571*SUMIF(ThresholdAge03,"&lt;"&amp;'19_Расчет_аналитики'!BK1571,WeightedRevAge03)-SUMIF(ThresholdAge03,"&lt;"&amp;'19_Расчет_аналитики'!BK1571,WeightedMinAge03),MAX(CapacityAge03*'01_Вводные'!$B$218*'19_Расчет_аналитики'!BK1571,MeanMinAge03)))</f>
        <v/>
      </c>
      <c r="BL1478">
        <f>IF(OR('19_Расчет_аналитики'!BL1450=0,3&lt;='01_Вводные'!$B$297),0,'19_Расчет_аналитики'!BL1450*IF('01_Вводные'!$B$239="Да",MeanMinAge03+'19_Расчет_аналитики'!BL1571*SUMIF(ThresholdAge03,"&lt;"&amp;'19_Расчет_аналитики'!BL1571,WeightedRevAge03)-SUMIF(ThresholdAge03,"&lt;"&amp;'19_Расчет_аналитики'!BL1571,WeightedMinAge03),MAX(CapacityAge03*'01_Вводные'!$B$218*'19_Расчет_аналитики'!BL1571,MeanMinAge03)))</f>
        <v/>
      </c>
      <c r="BM1478">
        <f>IF(OR('19_Расчет_аналитики'!BM1450=0,3&lt;='01_Вводные'!$B$297),0,'19_Расчет_аналитики'!BM1450*IF('01_Вводные'!$B$239="Да",MeanMinAge03+'19_Расчет_аналитики'!BM1571*SUMIF(ThresholdAge03,"&lt;"&amp;'19_Расчет_аналитики'!BM1571,WeightedRevAge03)-SUMIF(ThresholdAge03,"&lt;"&amp;'19_Расчет_аналитики'!BM1571,WeightedMinAge03),MAX(CapacityAge03*'01_Вводные'!$B$218*'19_Расчет_аналитики'!BM1571,MeanMinAge03)))</f>
        <v/>
      </c>
      <c r="BN1478">
        <f>IF(OR('19_Расчет_аналитики'!BN1450=0,3&lt;='01_Вводные'!$B$297),0,'19_Расчет_аналитики'!BN1450*IF('01_Вводные'!$B$239="Да",MeanMinAge03+'19_Расчет_аналитики'!BN1571*SUMIF(ThresholdAge03,"&lt;"&amp;'19_Расчет_аналитики'!BN1571,WeightedRevAge03)-SUMIF(ThresholdAge03,"&lt;"&amp;'19_Расчет_аналитики'!BN1571,WeightedMinAge03),MAX(CapacityAge03*'01_Вводные'!$B$218*'19_Расчет_аналитики'!BN1571,MeanMinAge03)))</f>
        <v/>
      </c>
      <c r="BO1478">
        <f>IF(OR('19_Расчет_аналитики'!BO1450=0,3&lt;='01_Вводные'!$B$297),0,'19_Расчет_аналитики'!BO1450*IF('01_Вводные'!$B$239="Да",MeanMinAge03+'19_Расчет_аналитики'!BO1571*SUMIF(ThresholdAge03,"&lt;"&amp;'19_Расчет_аналитики'!BO1571,WeightedRevAge03)-SUMIF(ThresholdAge03,"&lt;"&amp;'19_Расчет_аналитики'!BO1571,WeightedMinAge03),MAX(CapacityAge03*'01_Вводные'!$B$218*'19_Расчет_аналитики'!BO1571,MeanMinAge03)))</f>
        <v/>
      </c>
    </row>
    <row r="1479">
      <c r="B1479">
        <f>IF(OR('06_Сеть_и_дети'!B84=0,4&lt;='01_Вводные'!$B$297),0,'06_Сеть_и_дети'!B84*IF('01_Вводные'!$B$239="Да",MeanMinAge04+'19_Расчет_аналитики'!B1571*SUMIF(ThresholdAge04,"&lt;"&amp;'19_Расчет_аналитики'!B1571,WeightedRevAge04)-SUMIF(ThresholdAge04,"&lt;"&amp;'19_Расчет_аналитики'!B1571,WeightedMinAge04),MAX(CapacityAge04*'01_Вводные'!$B$218*'19_Расчет_аналитики'!B1571,MeanMinAge04)))</f>
        <v/>
      </c>
      <c r="C1479">
        <f>IF(OR('06_Сеть_и_дети'!C84=0,4&lt;='01_Вводные'!$B$297),0,'06_Сеть_и_дети'!C84*IF('01_Вводные'!$B$239="Да",MeanMinAge04+'19_Расчет_аналитики'!C1571*SUMIF(ThresholdAge04,"&lt;"&amp;'19_Расчет_аналитики'!C1571,WeightedRevAge04)-SUMIF(ThresholdAge04,"&lt;"&amp;'19_Расчет_аналитики'!C1571,WeightedMinAge04),MAX(CapacityAge04*'01_Вводные'!$B$218*'19_Расчет_аналитики'!C1571,MeanMinAge04)))</f>
        <v/>
      </c>
      <c r="D1479">
        <f>IF(OR('06_Сеть_и_дети'!D84=0,4&lt;='01_Вводные'!$B$297),0,'06_Сеть_и_дети'!D84*IF('01_Вводные'!$B$239="Да",MeanMinAge04+'19_Расчет_аналитики'!D1571*SUMIF(ThresholdAge04,"&lt;"&amp;'19_Расчет_аналитики'!D1571,WeightedRevAge04)-SUMIF(ThresholdAge04,"&lt;"&amp;'19_Расчет_аналитики'!D1571,WeightedMinAge04),MAX(CapacityAge04*'01_Вводные'!$B$218*'19_Расчет_аналитики'!D1571,MeanMinAge04)))</f>
        <v/>
      </c>
      <c r="E1479">
        <f>IF(OR('19_Расчет_аналитики'!E1451=0,4&lt;='01_Вводные'!$B$297),0,'19_Расчет_аналитики'!E1451*IF('01_Вводные'!$B$239="Да",MeanMinAge04+'19_Расчет_аналитики'!E1571*SUMIF(ThresholdAge04,"&lt;"&amp;'19_Расчет_аналитики'!E1571,WeightedRevAge04)-SUMIF(ThresholdAge04,"&lt;"&amp;'19_Расчет_аналитики'!E1571,WeightedMinAge04),MAX(CapacityAge04*'01_Вводные'!$B$218*'19_Расчет_аналитики'!E1571,MeanMinAge04)))</f>
        <v/>
      </c>
      <c r="F1479">
        <f>IF(OR('19_Расчет_аналитики'!F1451=0,4&lt;='01_Вводные'!$B$297),0,'19_Расчет_аналитики'!F1451*IF('01_Вводные'!$B$239="Да",MeanMinAge04+'19_Расчет_аналитики'!F1571*SUMIF(ThresholdAge04,"&lt;"&amp;'19_Расчет_аналитики'!F1571,WeightedRevAge04)-SUMIF(ThresholdAge04,"&lt;"&amp;'19_Расчет_аналитики'!F1571,WeightedMinAge04),MAX(CapacityAge04*'01_Вводные'!$B$218*'19_Расчет_аналитики'!F1571,MeanMinAge04)))</f>
        <v/>
      </c>
      <c r="G1479">
        <f>IF(OR('19_Расчет_аналитики'!G1451=0,4&lt;='01_Вводные'!$B$297),0,'19_Расчет_аналитики'!G1451*IF('01_Вводные'!$B$239="Да",MeanMinAge04+'19_Расчет_аналитики'!G1571*SUMIF(ThresholdAge04,"&lt;"&amp;'19_Расчет_аналитики'!G1571,WeightedRevAge04)-SUMIF(ThresholdAge04,"&lt;"&amp;'19_Расчет_аналитики'!G1571,WeightedMinAge04),MAX(CapacityAge04*'01_Вводные'!$B$218*'19_Расчет_аналитики'!G1571,MeanMinAge04)))</f>
        <v/>
      </c>
      <c r="H1479">
        <f>IF(OR('19_Расчет_аналитики'!H1451=0,4&lt;='01_Вводные'!$B$297),0,'19_Расчет_аналитики'!H1451*IF('01_Вводные'!$B$239="Да",MeanMinAge04+'19_Расчет_аналитики'!H1571*SUMIF(ThresholdAge04,"&lt;"&amp;'19_Расчет_аналитики'!H1571,WeightedRevAge04)-SUMIF(ThresholdAge04,"&lt;"&amp;'19_Расчет_аналитики'!H1571,WeightedMinAge04),MAX(CapacityAge04*'01_Вводные'!$B$218*'19_Расчет_аналитики'!H1571,MeanMinAge04)))</f>
        <v/>
      </c>
      <c r="I1479">
        <f>IF(OR('19_Расчет_аналитики'!I1451=0,4&lt;='01_Вводные'!$B$297),0,'19_Расчет_аналитики'!I1451*IF('01_Вводные'!$B$239="Да",MeanMinAge04+'19_Расчет_аналитики'!I1571*SUMIF(ThresholdAge04,"&lt;"&amp;'19_Расчет_аналитики'!I1571,WeightedRevAge04)-SUMIF(ThresholdAge04,"&lt;"&amp;'19_Расчет_аналитики'!I1571,WeightedMinAge04),MAX(CapacityAge04*'01_Вводные'!$B$218*'19_Расчет_аналитики'!I1571,MeanMinAge04)))</f>
        <v/>
      </c>
      <c r="J1479">
        <f>IF(OR('19_Расчет_аналитики'!J1451=0,4&lt;='01_Вводные'!$B$297),0,'19_Расчет_аналитики'!J1451*IF('01_Вводные'!$B$239="Да",MeanMinAge04+'19_Расчет_аналитики'!J1571*SUMIF(ThresholdAge04,"&lt;"&amp;'19_Расчет_аналитики'!J1571,WeightedRevAge04)-SUMIF(ThresholdAge04,"&lt;"&amp;'19_Расчет_аналитики'!J1571,WeightedMinAge04),MAX(CapacityAge04*'01_Вводные'!$B$218*'19_Расчет_аналитики'!J1571,MeanMinAge04)))</f>
        <v/>
      </c>
      <c r="K1479">
        <f>IF(OR('19_Расчет_аналитики'!K1451=0,4&lt;='01_Вводные'!$B$297),0,'19_Расчет_аналитики'!K1451*IF('01_Вводные'!$B$239="Да",MeanMinAge04+'19_Расчет_аналитики'!K1571*SUMIF(ThresholdAge04,"&lt;"&amp;'19_Расчет_аналитики'!K1571,WeightedRevAge04)-SUMIF(ThresholdAge04,"&lt;"&amp;'19_Расчет_аналитики'!K1571,WeightedMinAge04),MAX(CapacityAge04*'01_Вводные'!$B$218*'19_Расчет_аналитики'!K1571,MeanMinAge04)))</f>
        <v/>
      </c>
      <c r="L1479">
        <f>IF(OR('19_Расчет_аналитики'!L1451=0,4&lt;='01_Вводные'!$B$297),0,'19_Расчет_аналитики'!L1451*IF('01_Вводные'!$B$239="Да",MeanMinAge04+'19_Расчет_аналитики'!L1571*SUMIF(ThresholdAge04,"&lt;"&amp;'19_Расчет_аналитики'!L1571,WeightedRevAge04)-SUMIF(ThresholdAge04,"&lt;"&amp;'19_Расчет_аналитики'!L1571,WeightedMinAge04),MAX(CapacityAge04*'01_Вводные'!$B$218*'19_Расчет_аналитики'!L1571,MeanMinAge04)))</f>
        <v/>
      </c>
      <c r="M1479">
        <f>IF(OR('19_Расчет_аналитики'!M1451=0,4&lt;='01_Вводные'!$B$297),0,'19_Расчет_аналитики'!M1451*IF('01_Вводные'!$B$239="Да",MeanMinAge04+'19_Расчет_аналитики'!M1571*SUMIF(ThresholdAge04,"&lt;"&amp;'19_Расчет_аналитики'!M1571,WeightedRevAge04)-SUMIF(ThresholdAge04,"&lt;"&amp;'19_Расчет_аналитики'!M1571,WeightedMinAge04),MAX(CapacityAge04*'01_Вводные'!$B$218*'19_Расчет_аналитики'!M1571,MeanMinAge04)))</f>
        <v/>
      </c>
      <c r="N1479">
        <f>IF(OR('19_Расчет_аналитики'!N1451=0,4&lt;='01_Вводные'!$B$297),0,'19_Расчет_аналитики'!N1451*IF('01_Вводные'!$B$239="Да",MeanMinAge04+'19_Расчет_аналитики'!N1571*SUMIF(ThresholdAge04,"&lt;"&amp;'19_Расчет_аналитики'!N1571,WeightedRevAge04)-SUMIF(ThresholdAge04,"&lt;"&amp;'19_Расчет_аналитики'!N1571,WeightedMinAge04),MAX(CapacityAge04*'01_Вводные'!$B$218*'19_Расчет_аналитики'!N1571,MeanMinAge04)))</f>
        <v/>
      </c>
      <c r="O1479">
        <f>IF(OR('19_Расчет_аналитики'!O1451=0,4&lt;='01_Вводные'!$B$297),0,'19_Расчет_аналитики'!O1451*IF('01_Вводные'!$B$239="Да",MeanMinAge04+'19_Расчет_аналитики'!O1571*SUMIF(ThresholdAge04,"&lt;"&amp;'19_Расчет_аналитики'!O1571,WeightedRevAge04)-SUMIF(ThresholdAge04,"&lt;"&amp;'19_Расчет_аналитики'!O1571,WeightedMinAge04),MAX(CapacityAge04*'01_Вводные'!$B$218*'19_Расчет_аналитики'!O1571,MeanMinAge04)))</f>
        <v/>
      </c>
      <c r="P1479">
        <f>IF(OR('19_Расчет_аналитики'!P1451=0,4&lt;='01_Вводные'!$B$297),0,'19_Расчет_аналитики'!P1451*IF('01_Вводные'!$B$239="Да",MeanMinAge04+'19_Расчет_аналитики'!P1571*SUMIF(ThresholdAge04,"&lt;"&amp;'19_Расчет_аналитики'!P1571,WeightedRevAge04)-SUMIF(ThresholdAge04,"&lt;"&amp;'19_Расчет_аналитики'!P1571,WeightedMinAge04),MAX(CapacityAge04*'01_Вводные'!$B$218*'19_Расчет_аналитики'!P1571,MeanMinAge04)))</f>
        <v/>
      </c>
      <c r="Q1479">
        <f>IF(OR('19_Расчет_аналитики'!Q1451=0,4&lt;='01_Вводные'!$B$297),0,'19_Расчет_аналитики'!Q1451*IF('01_Вводные'!$B$239="Да",MeanMinAge04+'19_Расчет_аналитики'!Q1571*SUMIF(ThresholdAge04,"&lt;"&amp;'19_Расчет_аналитики'!Q1571,WeightedRevAge04)-SUMIF(ThresholdAge04,"&lt;"&amp;'19_Расчет_аналитики'!Q1571,WeightedMinAge04),MAX(CapacityAge04*'01_Вводные'!$B$218*'19_Расчет_аналитики'!Q1571,MeanMinAge04)))</f>
        <v/>
      </c>
      <c r="R1479">
        <f>IF(OR('19_Расчет_аналитики'!R1451=0,4&lt;='01_Вводные'!$B$297),0,'19_Расчет_аналитики'!R1451*IF('01_Вводные'!$B$239="Да",MeanMinAge04+'19_Расчет_аналитики'!R1571*SUMIF(ThresholdAge04,"&lt;"&amp;'19_Расчет_аналитики'!R1571,WeightedRevAge04)-SUMIF(ThresholdAge04,"&lt;"&amp;'19_Расчет_аналитики'!R1571,WeightedMinAge04),MAX(CapacityAge04*'01_Вводные'!$B$218*'19_Расчет_аналитики'!R1571,MeanMinAge04)))</f>
        <v/>
      </c>
      <c r="S1479">
        <f>IF(OR('19_Расчет_аналитики'!S1451=0,4&lt;='01_Вводные'!$B$297),0,'19_Расчет_аналитики'!S1451*IF('01_Вводные'!$B$239="Да",MeanMinAge04+'19_Расчет_аналитики'!S1571*SUMIF(ThresholdAge04,"&lt;"&amp;'19_Расчет_аналитики'!S1571,WeightedRevAge04)-SUMIF(ThresholdAge04,"&lt;"&amp;'19_Расчет_аналитики'!S1571,WeightedMinAge04),MAX(CapacityAge04*'01_Вводные'!$B$218*'19_Расчет_аналитики'!S1571,MeanMinAge04)))</f>
        <v/>
      </c>
      <c r="T1479">
        <f>IF(OR('19_Расчет_аналитики'!T1451=0,4&lt;='01_Вводные'!$B$297),0,'19_Расчет_аналитики'!T1451*IF('01_Вводные'!$B$239="Да",MeanMinAge04+'19_Расчет_аналитики'!T1571*SUMIF(ThresholdAge04,"&lt;"&amp;'19_Расчет_аналитики'!T1571,WeightedRevAge04)-SUMIF(ThresholdAge04,"&lt;"&amp;'19_Расчет_аналитики'!T1571,WeightedMinAge04),MAX(CapacityAge04*'01_Вводные'!$B$218*'19_Расчет_аналитики'!T1571,MeanMinAge04)))</f>
        <v/>
      </c>
      <c r="U1479">
        <f>IF(OR('19_Расчет_аналитики'!U1451=0,4&lt;='01_Вводные'!$B$297),0,'19_Расчет_аналитики'!U1451*IF('01_Вводные'!$B$239="Да",MeanMinAge04+'19_Расчет_аналитики'!U1571*SUMIF(ThresholdAge04,"&lt;"&amp;'19_Расчет_аналитики'!U1571,WeightedRevAge04)-SUMIF(ThresholdAge04,"&lt;"&amp;'19_Расчет_аналитики'!U1571,WeightedMinAge04),MAX(CapacityAge04*'01_Вводные'!$B$218*'19_Расчет_аналитики'!U1571,MeanMinAge04)))</f>
        <v/>
      </c>
      <c r="V1479">
        <f>IF(OR('19_Расчет_аналитики'!V1451=0,4&lt;='01_Вводные'!$B$297),0,'19_Расчет_аналитики'!V1451*IF('01_Вводные'!$B$239="Да",MeanMinAge04+'19_Расчет_аналитики'!V1571*SUMIF(ThresholdAge04,"&lt;"&amp;'19_Расчет_аналитики'!V1571,WeightedRevAge04)-SUMIF(ThresholdAge04,"&lt;"&amp;'19_Расчет_аналитики'!V1571,WeightedMinAge04),MAX(CapacityAge04*'01_Вводные'!$B$218*'19_Расчет_аналитики'!V1571,MeanMinAge04)))</f>
        <v/>
      </c>
      <c r="W1479">
        <f>IF(OR('19_Расчет_аналитики'!W1451=0,4&lt;='01_Вводные'!$B$297),0,'19_Расчет_аналитики'!W1451*IF('01_Вводные'!$B$239="Да",MeanMinAge04+'19_Расчет_аналитики'!W1571*SUMIF(ThresholdAge04,"&lt;"&amp;'19_Расчет_аналитики'!W1571,WeightedRevAge04)-SUMIF(ThresholdAge04,"&lt;"&amp;'19_Расчет_аналитики'!W1571,WeightedMinAge04),MAX(CapacityAge04*'01_Вводные'!$B$218*'19_Расчет_аналитики'!W1571,MeanMinAge04)))</f>
        <v/>
      </c>
      <c r="X1479">
        <f>IF(OR('19_Расчет_аналитики'!X1451=0,4&lt;='01_Вводные'!$B$297),0,'19_Расчет_аналитики'!X1451*IF('01_Вводные'!$B$239="Да",MeanMinAge04+'19_Расчет_аналитики'!X1571*SUMIF(ThresholdAge04,"&lt;"&amp;'19_Расчет_аналитики'!X1571,WeightedRevAge04)-SUMIF(ThresholdAge04,"&lt;"&amp;'19_Расчет_аналитики'!X1571,WeightedMinAge04),MAX(CapacityAge04*'01_Вводные'!$B$218*'19_Расчет_аналитики'!X1571,MeanMinAge04)))</f>
        <v/>
      </c>
      <c r="Y1479">
        <f>IF(OR('19_Расчет_аналитики'!Y1451=0,4&lt;='01_Вводные'!$B$297),0,'19_Расчет_аналитики'!Y1451*IF('01_Вводные'!$B$239="Да",MeanMinAge04+'19_Расчет_аналитики'!Y1571*SUMIF(ThresholdAge04,"&lt;"&amp;'19_Расчет_аналитики'!Y1571,WeightedRevAge04)-SUMIF(ThresholdAge04,"&lt;"&amp;'19_Расчет_аналитики'!Y1571,WeightedMinAge04),MAX(CapacityAge04*'01_Вводные'!$B$218*'19_Расчет_аналитики'!Y1571,MeanMinAge04)))</f>
        <v/>
      </c>
      <c r="Z1479">
        <f>IF(OR('19_Расчет_аналитики'!Z1451=0,4&lt;='01_Вводные'!$B$297),0,'19_Расчет_аналитики'!Z1451*IF('01_Вводные'!$B$239="Да",MeanMinAge04+'19_Расчет_аналитики'!Z1571*SUMIF(ThresholdAge04,"&lt;"&amp;'19_Расчет_аналитики'!Z1571,WeightedRevAge04)-SUMIF(ThresholdAge04,"&lt;"&amp;'19_Расчет_аналитики'!Z1571,WeightedMinAge04),MAX(CapacityAge04*'01_Вводные'!$B$218*'19_Расчет_аналитики'!Z1571,MeanMinAge04)))</f>
        <v/>
      </c>
      <c r="AA1479">
        <f>IF(OR('19_Расчет_аналитики'!AA1451=0,4&lt;='01_Вводные'!$B$297),0,'19_Расчет_аналитики'!AA1451*IF('01_Вводные'!$B$239="Да",MeanMinAge04+'19_Расчет_аналитики'!AA1571*SUMIF(ThresholdAge04,"&lt;"&amp;'19_Расчет_аналитики'!AA1571,WeightedRevAge04)-SUMIF(ThresholdAge04,"&lt;"&amp;'19_Расчет_аналитики'!AA1571,WeightedMinAge04),MAX(CapacityAge04*'01_Вводные'!$B$218*'19_Расчет_аналитики'!AA1571,MeanMinAge04)))</f>
        <v/>
      </c>
      <c r="AB1479">
        <f>IF(OR('19_Расчет_аналитики'!AB1451=0,4&lt;='01_Вводные'!$B$297),0,'19_Расчет_аналитики'!AB1451*IF('01_Вводные'!$B$239="Да",MeanMinAge04+'19_Расчет_аналитики'!AB1571*SUMIF(ThresholdAge04,"&lt;"&amp;'19_Расчет_аналитики'!AB1571,WeightedRevAge04)-SUMIF(ThresholdAge04,"&lt;"&amp;'19_Расчет_аналитики'!AB1571,WeightedMinAge04),MAX(CapacityAge04*'01_Вводные'!$B$218*'19_Расчет_аналитики'!AB1571,MeanMinAge04)))</f>
        <v/>
      </c>
      <c r="AC1479">
        <f>IF(OR('19_Расчет_аналитики'!AC1451=0,4&lt;='01_Вводные'!$B$297),0,'19_Расчет_аналитики'!AC1451*IF('01_Вводные'!$B$239="Да",MeanMinAge04+'19_Расчет_аналитики'!AC1571*SUMIF(ThresholdAge04,"&lt;"&amp;'19_Расчет_аналитики'!AC1571,WeightedRevAge04)-SUMIF(ThresholdAge04,"&lt;"&amp;'19_Расчет_аналитики'!AC1571,WeightedMinAge04),MAX(CapacityAge04*'01_Вводные'!$B$218*'19_Расчет_аналитики'!AC1571,MeanMinAge04)))</f>
        <v/>
      </c>
      <c r="AD1479">
        <f>IF(OR('19_Расчет_аналитики'!AD1451=0,4&lt;='01_Вводные'!$B$297),0,'19_Расчет_аналитики'!AD1451*IF('01_Вводные'!$B$239="Да",MeanMinAge04+'19_Расчет_аналитики'!AD1571*SUMIF(ThresholdAge04,"&lt;"&amp;'19_Расчет_аналитики'!AD1571,WeightedRevAge04)-SUMIF(ThresholdAge04,"&lt;"&amp;'19_Расчет_аналитики'!AD1571,WeightedMinAge04),MAX(CapacityAge04*'01_Вводные'!$B$218*'19_Расчет_аналитики'!AD1571,MeanMinAge04)))</f>
        <v/>
      </c>
      <c r="AE1479">
        <f>IF(OR('19_Расчет_аналитики'!AE1451=0,4&lt;='01_Вводные'!$B$297),0,'19_Расчет_аналитики'!AE1451*IF('01_Вводные'!$B$239="Да",MeanMinAge04+'19_Расчет_аналитики'!AE1571*SUMIF(ThresholdAge04,"&lt;"&amp;'19_Расчет_аналитики'!AE1571,WeightedRevAge04)-SUMIF(ThresholdAge04,"&lt;"&amp;'19_Расчет_аналитики'!AE1571,WeightedMinAge04),MAX(CapacityAge04*'01_Вводные'!$B$218*'19_Расчет_аналитики'!AE1571,MeanMinAge04)))</f>
        <v/>
      </c>
      <c r="AF1479">
        <f>IF(OR('19_Расчет_аналитики'!AF1451=0,4&lt;='01_Вводные'!$B$297),0,'19_Расчет_аналитики'!AF1451*IF('01_Вводные'!$B$239="Да",MeanMinAge04+'19_Расчет_аналитики'!AF1571*SUMIF(ThresholdAge04,"&lt;"&amp;'19_Расчет_аналитики'!AF1571,WeightedRevAge04)-SUMIF(ThresholdAge04,"&lt;"&amp;'19_Расчет_аналитики'!AF1571,WeightedMinAge04),MAX(CapacityAge04*'01_Вводные'!$B$218*'19_Расчет_аналитики'!AF1571,MeanMinAge04)))</f>
        <v/>
      </c>
      <c r="AG1479">
        <f>IF(OR('19_Расчет_аналитики'!AG1451=0,4&lt;='01_Вводные'!$B$297),0,'19_Расчет_аналитики'!AG1451*IF('01_Вводные'!$B$239="Да",MeanMinAge04+'19_Расчет_аналитики'!AG1571*SUMIF(ThresholdAge04,"&lt;"&amp;'19_Расчет_аналитики'!AG1571,WeightedRevAge04)-SUMIF(ThresholdAge04,"&lt;"&amp;'19_Расчет_аналитики'!AG1571,WeightedMinAge04),MAX(CapacityAge04*'01_Вводные'!$B$218*'19_Расчет_аналитики'!AG1571,MeanMinAge04)))</f>
        <v/>
      </c>
      <c r="AH1479">
        <f>IF(OR('19_Расчет_аналитики'!AH1451=0,4&lt;='01_Вводные'!$B$297),0,'19_Расчет_аналитики'!AH1451*IF('01_Вводные'!$B$239="Да",MeanMinAge04+'19_Расчет_аналитики'!AH1571*SUMIF(ThresholdAge04,"&lt;"&amp;'19_Расчет_аналитики'!AH1571,WeightedRevAge04)-SUMIF(ThresholdAge04,"&lt;"&amp;'19_Расчет_аналитики'!AH1571,WeightedMinAge04),MAX(CapacityAge04*'01_Вводные'!$B$218*'19_Расчет_аналитики'!AH1571,MeanMinAge04)))</f>
        <v/>
      </c>
      <c r="AI1479">
        <f>IF(OR('19_Расчет_аналитики'!AI1451=0,4&lt;='01_Вводные'!$B$297),0,'19_Расчет_аналитики'!AI1451*IF('01_Вводные'!$B$239="Да",MeanMinAge04+'19_Расчет_аналитики'!AI1571*SUMIF(ThresholdAge04,"&lt;"&amp;'19_Расчет_аналитики'!AI1571,WeightedRevAge04)-SUMIF(ThresholdAge04,"&lt;"&amp;'19_Расчет_аналитики'!AI1571,WeightedMinAge04),MAX(CapacityAge04*'01_Вводные'!$B$218*'19_Расчет_аналитики'!AI1571,MeanMinAge04)))</f>
        <v/>
      </c>
      <c r="AJ1479">
        <f>IF(OR('19_Расчет_аналитики'!AJ1451=0,4&lt;='01_Вводные'!$B$297),0,'19_Расчет_аналитики'!AJ1451*IF('01_Вводные'!$B$239="Да",MeanMinAge04+'19_Расчет_аналитики'!AJ1571*SUMIF(ThresholdAge04,"&lt;"&amp;'19_Расчет_аналитики'!AJ1571,WeightedRevAge04)-SUMIF(ThresholdAge04,"&lt;"&amp;'19_Расчет_аналитики'!AJ1571,WeightedMinAge04),MAX(CapacityAge04*'01_Вводные'!$B$218*'19_Расчет_аналитики'!AJ1571,MeanMinAge04)))</f>
        <v/>
      </c>
      <c r="AK1479">
        <f>IF(OR('19_Расчет_аналитики'!AK1451=0,4&lt;='01_Вводные'!$B$297),0,'19_Расчет_аналитики'!AK1451*IF('01_Вводные'!$B$239="Да",MeanMinAge04+'19_Расчет_аналитики'!AK1571*SUMIF(ThresholdAge04,"&lt;"&amp;'19_Расчет_аналитики'!AK1571,WeightedRevAge04)-SUMIF(ThresholdAge04,"&lt;"&amp;'19_Расчет_аналитики'!AK1571,WeightedMinAge04),MAX(CapacityAge04*'01_Вводные'!$B$218*'19_Расчет_аналитики'!AK1571,MeanMinAge04)))</f>
        <v/>
      </c>
      <c r="AL1479">
        <f>IF(OR('19_Расчет_аналитики'!AL1451=0,4&lt;='01_Вводные'!$B$297),0,'19_Расчет_аналитики'!AL1451*IF('01_Вводные'!$B$239="Да",MeanMinAge04+'19_Расчет_аналитики'!AL1571*SUMIF(ThresholdAge04,"&lt;"&amp;'19_Расчет_аналитики'!AL1571,WeightedRevAge04)-SUMIF(ThresholdAge04,"&lt;"&amp;'19_Расчет_аналитики'!AL1571,WeightedMinAge04),MAX(CapacityAge04*'01_Вводные'!$B$218*'19_Расчет_аналитики'!AL1571,MeanMinAge04)))</f>
        <v/>
      </c>
      <c r="AM1479">
        <f>IF(OR('19_Расчет_аналитики'!AM1451=0,4&lt;='01_Вводные'!$B$297),0,'19_Расчет_аналитики'!AM1451*IF('01_Вводные'!$B$239="Да",MeanMinAge04+'19_Расчет_аналитики'!AM1571*SUMIF(ThresholdAge04,"&lt;"&amp;'19_Расчет_аналитики'!AM1571,WeightedRevAge04)-SUMIF(ThresholdAge04,"&lt;"&amp;'19_Расчет_аналитики'!AM1571,WeightedMinAge04),MAX(CapacityAge04*'01_Вводные'!$B$218*'19_Расчет_аналитики'!AM1571,MeanMinAge04)))</f>
        <v/>
      </c>
      <c r="AN1479">
        <f>IF(OR('19_Расчет_аналитики'!AN1451=0,4&lt;='01_Вводные'!$B$297),0,'19_Расчет_аналитики'!AN1451*IF('01_Вводные'!$B$239="Да",MeanMinAge04+'19_Расчет_аналитики'!AN1571*SUMIF(ThresholdAge04,"&lt;"&amp;'19_Расчет_аналитики'!AN1571,WeightedRevAge04)-SUMIF(ThresholdAge04,"&lt;"&amp;'19_Расчет_аналитики'!AN1571,WeightedMinAge04),MAX(CapacityAge04*'01_Вводные'!$B$218*'19_Расчет_аналитики'!AN1571,MeanMinAge04)))</f>
        <v/>
      </c>
      <c r="AO1479">
        <f>IF(OR('19_Расчет_аналитики'!AO1451=0,4&lt;='01_Вводные'!$B$297),0,'19_Расчет_аналитики'!AO1451*IF('01_Вводные'!$B$239="Да",MeanMinAge04+'19_Расчет_аналитики'!AO1571*SUMIF(ThresholdAge04,"&lt;"&amp;'19_Расчет_аналитики'!AO1571,WeightedRevAge04)-SUMIF(ThresholdAge04,"&lt;"&amp;'19_Расчет_аналитики'!AO1571,WeightedMinAge04),MAX(CapacityAge04*'01_Вводные'!$B$218*'19_Расчет_аналитики'!AO1571,MeanMinAge04)))</f>
        <v/>
      </c>
      <c r="AP1479">
        <f>IF(OR('19_Расчет_аналитики'!AP1451=0,4&lt;='01_Вводные'!$B$297),0,'19_Расчет_аналитики'!AP1451*IF('01_Вводные'!$B$239="Да",MeanMinAge04+'19_Расчет_аналитики'!AP1571*SUMIF(ThresholdAge04,"&lt;"&amp;'19_Расчет_аналитики'!AP1571,WeightedRevAge04)-SUMIF(ThresholdAge04,"&lt;"&amp;'19_Расчет_аналитики'!AP1571,WeightedMinAge04),MAX(CapacityAge04*'01_Вводные'!$B$218*'19_Расчет_аналитики'!AP1571,MeanMinAge04)))</f>
        <v/>
      </c>
      <c r="AQ1479">
        <f>IF(OR('19_Расчет_аналитики'!AQ1451=0,4&lt;='01_Вводные'!$B$297),0,'19_Расчет_аналитики'!AQ1451*IF('01_Вводные'!$B$239="Да",MeanMinAge04+'19_Расчет_аналитики'!AQ1571*SUMIF(ThresholdAge04,"&lt;"&amp;'19_Расчет_аналитики'!AQ1571,WeightedRevAge04)-SUMIF(ThresholdAge04,"&lt;"&amp;'19_Расчет_аналитики'!AQ1571,WeightedMinAge04),MAX(CapacityAge04*'01_Вводные'!$B$218*'19_Расчет_аналитики'!AQ1571,MeanMinAge04)))</f>
        <v/>
      </c>
      <c r="AR1479">
        <f>IF(OR('19_Расчет_аналитики'!AR1451=0,4&lt;='01_Вводные'!$B$297),0,'19_Расчет_аналитики'!AR1451*IF('01_Вводные'!$B$239="Да",MeanMinAge04+'19_Расчет_аналитики'!AR1571*SUMIF(ThresholdAge04,"&lt;"&amp;'19_Расчет_аналитики'!AR1571,WeightedRevAge04)-SUMIF(ThresholdAge04,"&lt;"&amp;'19_Расчет_аналитики'!AR1571,WeightedMinAge04),MAX(CapacityAge04*'01_Вводные'!$B$218*'19_Расчет_аналитики'!AR1571,MeanMinAge04)))</f>
        <v/>
      </c>
      <c r="AS1479">
        <f>IF(OR('19_Расчет_аналитики'!AS1451=0,4&lt;='01_Вводные'!$B$297),0,'19_Расчет_аналитики'!AS1451*IF('01_Вводные'!$B$239="Да",MeanMinAge04+'19_Расчет_аналитики'!AS1571*SUMIF(ThresholdAge04,"&lt;"&amp;'19_Расчет_аналитики'!AS1571,WeightedRevAge04)-SUMIF(ThresholdAge04,"&lt;"&amp;'19_Расчет_аналитики'!AS1571,WeightedMinAge04),MAX(CapacityAge04*'01_Вводные'!$B$218*'19_Расчет_аналитики'!AS1571,MeanMinAge04)))</f>
        <v/>
      </c>
      <c r="AT1479">
        <f>IF(OR('19_Расчет_аналитики'!AT1451=0,4&lt;='01_Вводные'!$B$297),0,'19_Расчет_аналитики'!AT1451*IF('01_Вводные'!$B$239="Да",MeanMinAge04+'19_Расчет_аналитики'!AT1571*SUMIF(ThresholdAge04,"&lt;"&amp;'19_Расчет_аналитики'!AT1571,WeightedRevAge04)-SUMIF(ThresholdAge04,"&lt;"&amp;'19_Расчет_аналитики'!AT1571,WeightedMinAge04),MAX(CapacityAge04*'01_Вводные'!$B$218*'19_Расчет_аналитики'!AT1571,MeanMinAge04)))</f>
        <v/>
      </c>
      <c r="AU1479">
        <f>IF(OR('19_Расчет_аналитики'!AU1451=0,4&lt;='01_Вводные'!$B$297),0,'19_Расчет_аналитики'!AU1451*IF('01_Вводные'!$B$239="Да",MeanMinAge04+'19_Расчет_аналитики'!AU1571*SUMIF(ThresholdAge04,"&lt;"&amp;'19_Расчет_аналитики'!AU1571,WeightedRevAge04)-SUMIF(ThresholdAge04,"&lt;"&amp;'19_Расчет_аналитики'!AU1571,WeightedMinAge04),MAX(CapacityAge04*'01_Вводные'!$B$218*'19_Расчет_аналитики'!AU1571,MeanMinAge04)))</f>
        <v/>
      </c>
      <c r="AV1479">
        <f>IF(OR('19_Расчет_аналитики'!AV1451=0,4&lt;='01_Вводные'!$B$297),0,'19_Расчет_аналитики'!AV1451*IF('01_Вводные'!$B$239="Да",MeanMinAge04+'19_Расчет_аналитики'!AV1571*SUMIF(ThresholdAge04,"&lt;"&amp;'19_Расчет_аналитики'!AV1571,WeightedRevAge04)-SUMIF(ThresholdAge04,"&lt;"&amp;'19_Расчет_аналитики'!AV1571,WeightedMinAge04),MAX(CapacityAge04*'01_Вводные'!$B$218*'19_Расчет_аналитики'!AV1571,MeanMinAge04)))</f>
        <v/>
      </c>
      <c r="AW1479">
        <f>IF(OR('19_Расчет_аналитики'!AW1451=0,4&lt;='01_Вводные'!$B$297),0,'19_Расчет_аналитики'!AW1451*IF('01_Вводные'!$B$239="Да",MeanMinAge04+'19_Расчет_аналитики'!AW1571*SUMIF(ThresholdAge04,"&lt;"&amp;'19_Расчет_аналитики'!AW1571,WeightedRevAge04)-SUMIF(ThresholdAge04,"&lt;"&amp;'19_Расчет_аналитики'!AW1571,WeightedMinAge04),MAX(CapacityAge04*'01_Вводные'!$B$218*'19_Расчет_аналитики'!AW1571,MeanMinAge04)))</f>
        <v/>
      </c>
      <c r="AX1479">
        <f>IF(OR('19_Расчет_аналитики'!AX1451=0,4&lt;='01_Вводные'!$B$297),0,'19_Расчет_аналитики'!AX1451*IF('01_Вводные'!$B$239="Да",MeanMinAge04+'19_Расчет_аналитики'!AX1571*SUMIF(ThresholdAge04,"&lt;"&amp;'19_Расчет_аналитики'!AX1571,WeightedRevAge04)-SUMIF(ThresholdAge04,"&lt;"&amp;'19_Расчет_аналитики'!AX1571,WeightedMinAge04),MAX(CapacityAge04*'01_Вводные'!$B$218*'19_Расчет_аналитики'!AX1571,MeanMinAge04)))</f>
        <v/>
      </c>
      <c r="AY1479">
        <f>IF(OR('19_Расчет_аналитики'!AY1451=0,4&lt;='01_Вводные'!$B$297),0,'19_Расчет_аналитики'!AY1451*IF('01_Вводные'!$B$239="Да",MeanMinAge04+'19_Расчет_аналитики'!AY1571*SUMIF(ThresholdAge04,"&lt;"&amp;'19_Расчет_аналитики'!AY1571,WeightedRevAge04)-SUMIF(ThresholdAge04,"&lt;"&amp;'19_Расчет_аналитики'!AY1571,WeightedMinAge04),MAX(CapacityAge04*'01_Вводные'!$B$218*'19_Расчет_аналитики'!AY1571,MeanMinAge04)))</f>
        <v/>
      </c>
      <c r="AZ1479">
        <f>IF(OR('19_Расчет_аналитики'!AZ1451=0,4&lt;='01_Вводные'!$B$297),0,'19_Расчет_аналитики'!AZ1451*IF('01_Вводные'!$B$239="Да",MeanMinAge04+'19_Расчет_аналитики'!AZ1571*SUMIF(ThresholdAge04,"&lt;"&amp;'19_Расчет_аналитики'!AZ1571,WeightedRevAge04)-SUMIF(ThresholdAge04,"&lt;"&amp;'19_Расчет_аналитики'!AZ1571,WeightedMinAge04),MAX(CapacityAge04*'01_Вводные'!$B$218*'19_Расчет_аналитики'!AZ1571,MeanMinAge04)))</f>
        <v/>
      </c>
      <c r="BA1479">
        <f>IF(OR('19_Расчет_аналитики'!BA1451=0,4&lt;='01_Вводные'!$B$297),0,'19_Расчет_аналитики'!BA1451*IF('01_Вводные'!$B$239="Да",MeanMinAge04+'19_Расчет_аналитики'!BA1571*SUMIF(ThresholdAge04,"&lt;"&amp;'19_Расчет_аналитики'!BA1571,WeightedRevAge04)-SUMIF(ThresholdAge04,"&lt;"&amp;'19_Расчет_аналитики'!BA1571,WeightedMinAge04),MAX(CapacityAge04*'01_Вводные'!$B$218*'19_Расчет_аналитики'!BA1571,MeanMinAge04)))</f>
        <v/>
      </c>
      <c r="BB1479">
        <f>IF(OR('19_Расчет_аналитики'!BB1451=0,4&lt;='01_Вводные'!$B$297),0,'19_Расчет_аналитики'!BB1451*IF('01_Вводные'!$B$239="Да",MeanMinAge04+'19_Расчет_аналитики'!BB1571*SUMIF(ThresholdAge04,"&lt;"&amp;'19_Расчет_аналитики'!BB1571,WeightedRevAge04)-SUMIF(ThresholdAge04,"&lt;"&amp;'19_Расчет_аналитики'!BB1571,WeightedMinAge04),MAX(CapacityAge04*'01_Вводные'!$B$218*'19_Расчет_аналитики'!BB1571,MeanMinAge04)))</f>
        <v/>
      </c>
      <c r="BC1479">
        <f>IF(OR('19_Расчет_аналитики'!BC1451=0,4&lt;='01_Вводные'!$B$297),0,'19_Расчет_аналитики'!BC1451*IF('01_Вводные'!$B$239="Да",MeanMinAge04+'19_Расчет_аналитики'!BC1571*SUMIF(ThresholdAge04,"&lt;"&amp;'19_Расчет_аналитики'!BC1571,WeightedRevAge04)-SUMIF(ThresholdAge04,"&lt;"&amp;'19_Расчет_аналитики'!BC1571,WeightedMinAge04),MAX(CapacityAge04*'01_Вводные'!$B$218*'19_Расчет_аналитики'!BC1571,MeanMinAge04)))</f>
        <v/>
      </c>
      <c r="BD1479">
        <f>IF(OR('19_Расчет_аналитики'!BD1451=0,4&lt;='01_Вводные'!$B$297),0,'19_Расчет_аналитики'!BD1451*IF('01_Вводные'!$B$239="Да",MeanMinAge04+'19_Расчет_аналитики'!BD1571*SUMIF(ThresholdAge04,"&lt;"&amp;'19_Расчет_аналитики'!BD1571,WeightedRevAge04)-SUMIF(ThresholdAge04,"&lt;"&amp;'19_Расчет_аналитики'!BD1571,WeightedMinAge04),MAX(CapacityAge04*'01_Вводные'!$B$218*'19_Расчет_аналитики'!BD1571,MeanMinAge04)))</f>
        <v/>
      </c>
      <c r="BE1479">
        <f>IF(OR('19_Расчет_аналитики'!BE1451=0,4&lt;='01_Вводные'!$B$297),0,'19_Расчет_аналитики'!BE1451*IF('01_Вводные'!$B$239="Да",MeanMinAge04+'19_Расчет_аналитики'!BE1571*SUMIF(ThresholdAge04,"&lt;"&amp;'19_Расчет_аналитики'!BE1571,WeightedRevAge04)-SUMIF(ThresholdAge04,"&lt;"&amp;'19_Расчет_аналитики'!BE1571,WeightedMinAge04),MAX(CapacityAge04*'01_Вводные'!$B$218*'19_Расчет_аналитики'!BE1571,MeanMinAge04)))</f>
        <v/>
      </c>
      <c r="BF1479">
        <f>IF(OR('19_Расчет_аналитики'!BF1451=0,4&lt;='01_Вводные'!$B$297),0,'19_Расчет_аналитики'!BF1451*IF('01_Вводные'!$B$239="Да",MeanMinAge04+'19_Расчет_аналитики'!BF1571*SUMIF(ThresholdAge04,"&lt;"&amp;'19_Расчет_аналитики'!BF1571,WeightedRevAge04)-SUMIF(ThresholdAge04,"&lt;"&amp;'19_Расчет_аналитики'!BF1571,WeightedMinAge04),MAX(CapacityAge04*'01_Вводные'!$B$218*'19_Расчет_аналитики'!BF1571,MeanMinAge04)))</f>
        <v/>
      </c>
      <c r="BG1479">
        <f>IF(OR('19_Расчет_аналитики'!BG1451=0,4&lt;='01_Вводные'!$B$297),0,'19_Расчет_аналитики'!BG1451*IF('01_Вводные'!$B$239="Да",MeanMinAge04+'19_Расчет_аналитики'!BG1571*SUMIF(ThresholdAge04,"&lt;"&amp;'19_Расчет_аналитики'!BG1571,WeightedRevAge04)-SUMIF(ThresholdAge04,"&lt;"&amp;'19_Расчет_аналитики'!BG1571,WeightedMinAge04),MAX(CapacityAge04*'01_Вводные'!$B$218*'19_Расчет_аналитики'!BG1571,MeanMinAge04)))</f>
        <v/>
      </c>
      <c r="BH1479">
        <f>IF(OR('19_Расчет_аналитики'!BH1451=0,4&lt;='01_Вводные'!$B$297),0,'19_Расчет_аналитики'!BH1451*IF('01_Вводные'!$B$239="Да",MeanMinAge04+'19_Расчет_аналитики'!BH1571*SUMIF(ThresholdAge04,"&lt;"&amp;'19_Расчет_аналитики'!BH1571,WeightedRevAge04)-SUMIF(ThresholdAge04,"&lt;"&amp;'19_Расчет_аналитики'!BH1571,WeightedMinAge04),MAX(CapacityAge04*'01_Вводные'!$B$218*'19_Расчет_аналитики'!BH1571,MeanMinAge04)))</f>
        <v/>
      </c>
      <c r="BI1479">
        <f>IF(OR('19_Расчет_аналитики'!BI1451=0,4&lt;='01_Вводные'!$B$297),0,'19_Расчет_аналитики'!BI1451*IF('01_Вводные'!$B$239="Да",MeanMinAge04+'19_Расчет_аналитики'!BI1571*SUMIF(ThresholdAge04,"&lt;"&amp;'19_Расчет_аналитики'!BI1571,WeightedRevAge04)-SUMIF(ThresholdAge04,"&lt;"&amp;'19_Расчет_аналитики'!BI1571,WeightedMinAge04),MAX(CapacityAge04*'01_Вводные'!$B$218*'19_Расчет_аналитики'!BI1571,MeanMinAge04)))</f>
        <v/>
      </c>
      <c r="BJ1479">
        <f>IF(OR('19_Расчет_аналитики'!BJ1451=0,4&lt;='01_Вводные'!$B$297),0,'19_Расчет_аналитики'!BJ1451*IF('01_Вводные'!$B$239="Да",MeanMinAge04+'19_Расчет_аналитики'!BJ1571*SUMIF(ThresholdAge04,"&lt;"&amp;'19_Расчет_аналитики'!BJ1571,WeightedRevAge04)-SUMIF(ThresholdAge04,"&lt;"&amp;'19_Расчет_аналитики'!BJ1571,WeightedMinAge04),MAX(CapacityAge04*'01_Вводные'!$B$218*'19_Расчет_аналитики'!BJ1571,MeanMinAge04)))</f>
        <v/>
      </c>
      <c r="BK1479">
        <f>IF(OR('19_Расчет_аналитики'!BK1451=0,4&lt;='01_Вводные'!$B$297),0,'19_Расчет_аналитики'!BK1451*IF('01_Вводные'!$B$239="Да",MeanMinAge04+'19_Расчет_аналитики'!BK1571*SUMIF(ThresholdAge04,"&lt;"&amp;'19_Расчет_аналитики'!BK1571,WeightedRevAge04)-SUMIF(ThresholdAge04,"&lt;"&amp;'19_Расчет_аналитики'!BK1571,WeightedMinAge04),MAX(CapacityAge04*'01_Вводные'!$B$218*'19_Расчет_аналитики'!BK1571,MeanMinAge04)))</f>
        <v/>
      </c>
      <c r="BL1479">
        <f>IF(OR('19_Расчет_аналитики'!BL1451=0,4&lt;='01_Вводные'!$B$297),0,'19_Расчет_аналитики'!BL1451*IF('01_Вводные'!$B$239="Да",MeanMinAge04+'19_Расчет_аналитики'!BL1571*SUMIF(ThresholdAge04,"&lt;"&amp;'19_Расчет_аналитики'!BL1571,WeightedRevAge04)-SUMIF(ThresholdAge04,"&lt;"&amp;'19_Расчет_аналитики'!BL1571,WeightedMinAge04),MAX(CapacityAge04*'01_Вводные'!$B$218*'19_Расчет_аналитики'!BL1571,MeanMinAge04)))</f>
        <v/>
      </c>
      <c r="BM1479">
        <f>IF(OR('19_Расчет_аналитики'!BM1451=0,4&lt;='01_Вводные'!$B$297),0,'19_Расчет_аналитики'!BM1451*IF('01_Вводные'!$B$239="Да",MeanMinAge04+'19_Расчет_аналитики'!BM1571*SUMIF(ThresholdAge04,"&lt;"&amp;'19_Расчет_аналитики'!BM1571,WeightedRevAge04)-SUMIF(ThresholdAge04,"&lt;"&amp;'19_Расчет_аналитики'!BM1571,WeightedMinAge04),MAX(CapacityAge04*'01_Вводные'!$B$218*'19_Расчет_аналитики'!BM1571,MeanMinAge04)))</f>
        <v/>
      </c>
      <c r="BN1479">
        <f>IF(OR('19_Расчет_аналитики'!BN1451=0,4&lt;='01_Вводные'!$B$297),0,'19_Расчет_аналитики'!BN1451*IF('01_Вводные'!$B$239="Да",MeanMinAge04+'19_Расчет_аналитики'!BN1571*SUMIF(ThresholdAge04,"&lt;"&amp;'19_Расчет_аналитики'!BN1571,WeightedRevAge04)-SUMIF(ThresholdAge04,"&lt;"&amp;'19_Расчет_аналитики'!BN1571,WeightedMinAge04),MAX(CapacityAge04*'01_Вводные'!$B$218*'19_Расчет_аналитики'!BN1571,MeanMinAge04)))</f>
        <v/>
      </c>
      <c r="BO1479">
        <f>IF(OR('19_Расчет_аналитики'!BO1451=0,4&lt;='01_Вводные'!$B$297),0,'19_Расчет_аналитики'!BO1451*IF('01_Вводные'!$B$239="Да",MeanMinAge04+'19_Расчет_аналитики'!BO1571*SUMIF(ThresholdAge04,"&lt;"&amp;'19_Расчет_аналитики'!BO1571,WeightedRevAge04)-SUMIF(ThresholdAge04,"&lt;"&amp;'19_Расчет_аналитики'!BO1571,WeightedMinAge04),MAX(CapacityAge04*'01_Вводные'!$B$218*'19_Расчет_аналитики'!BO1571,MeanMinAge04)))</f>
        <v/>
      </c>
    </row>
    <row r="1480">
      <c r="B1480">
        <f>IF(OR('06_Сеть_и_дети'!B85=0,5&lt;='01_Вводные'!$B$297),0,'06_Сеть_и_дети'!B85*IF('01_Вводные'!$B$239="Да",MeanMinAge05+'19_Расчет_аналитики'!B1571*SUMIF(ThresholdAge05,"&lt;"&amp;'19_Расчет_аналитики'!B1571,WeightedRevAge05)-SUMIF(ThresholdAge05,"&lt;"&amp;'19_Расчет_аналитики'!B1571,WeightedMinAge05),MAX(CapacityAge05*'01_Вводные'!$B$218*'19_Расчет_аналитики'!B1571,MeanMinAge05)))</f>
        <v/>
      </c>
      <c r="C1480">
        <f>IF(OR('06_Сеть_и_дети'!C85=0,5&lt;='01_Вводные'!$B$297),0,'06_Сеть_и_дети'!C85*IF('01_Вводные'!$B$239="Да",MeanMinAge05+'19_Расчет_аналитики'!C1571*SUMIF(ThresholdAge05,"&lt;"&amp;'19_Расчет_аналитики'!C1571,WeightedRevAge05)-SUMIF(ThresholdAge05,"&lt;"&amp;'19_Расчет_аналитики'!C1571,WeightedMinAge05),MAX(CapacityAge05*'01_Вводные'!$B$218*'19_Расчет_аналитики'!C1571,MeanMinAge05)))</f>
        <v/>
      </c>
      <c r="D1480">
        <f>IF(OR('06_Сеть_и_дети'!D85=0,5&lt;='01_Вводные'!$B$297),0,'06_Сеть_и_дети'!D85*IF('01_Вводные'!$B$239="Да",MeanMinAge05+'19_Расчет_аналитики'!D1571*SUMIF(ThresholdAge05,"&lt;"&amp;'19_Расчет_аналитики'!D1571,WeightedRevAge05)-SUMIF(ThresholdAge05,"&lt;"&amp;'19_Расчет_аналитики'!D1571,WeightedMinAge05),MAX(CapacityAge05*'01_Вводные'!$B$218*'19_Расчет_аналитики'!D1571,MeanMinAge05)))</f>
        <v/>
      </c>
      <c r="E1480">
        <f>IF(OR('06_Сеть_и_дети'!E85=0,5&lt;='01_Вводные'!$B$297),0,'06_Сеть_и_дети'!E85*IF('01_Вводные'!$B$239="Да",MeanMinAge05+'19_Расчет_аналитики'!E1571*SUMIF(ThresholdAge05,"&lt;"&amp;'19_Расчет_аналитики'!E1571,WeightedRevAge05)-SUMIF(ThresholdAge05,"&lt;"&amp;'19_Расчет_аналитики'!E1571,WeightedMinAge05),MAX(CapacityAge05*'01_Вводные'!$B$218*'19_Расчет_аналитики'!E1571,MeanMinAge05)))</f>
        <v/>
      </c>
      <c r="F1480">
        <f>IF(OR('19_Расчет_аналитики'!F1452=0,5&lt;='01_Вводные'!$B$297),0,'19_Расчет_аналитики'!F1452*IF('01_Вводные'!$B$239="Да",MeanMinAge05+'19_Расчет_аналитики'!F1571*SUMIF(ThresholdAge05,"&lt;"&amp;'19_Расчет_аналитики'!F1571,WeightedRevAge05)-SUMIF(ThresholdAge05,"&lt;"&amp;'19_Расчет_аналитики'!F1571,WeightedMinAge05),MAX(CapacityAge05*'01_Вводные'!$B$218*'19_Расчет_аналитики'!F1571,MeanMinAge05)))</f>
        <v/>
      </c>
      <c r="G1480">
        <f>IF(OR('19_Расчет_аналитики'!G1452=0,5&lt;='01_Вводные'!$B$297),0,'19_Расчет_аналитики'!G1452*IF('01_Вводные'!$B$239="Да",MeanMinAge05+'19_Расчет_аналитики'!G1571*SUMIF(ThresholdAge05,"&lt;"&amp;'19_Расчет_аналитики'!G1571,WeightedRevAge05)-SUMIF(ThresholdAge05,"&lt;"&amp;'19_Расчет_аналитики'!G1571,WeightedMinAge05),MAX(CapacityAge05*'01_Вводные'!$B$218*'19_Расчет_аналитики'!G1571,MeanMinAge05)))</f>
        <v/>
      </c>
      <c r="H1480">
        <f>IF(OR('19_Расчет_аналитики'!H1452=0,5&lt;='01_Вводные'!$B$297),0,'19_Расчет_аналитики'!H1452*IF('01_Вводные'!$B$239="Да",MeanMinAge05+'19_Расчет_аналитики'!H1571*SUMIF(ThresholdAge05,"&lt;"&amp;'19_Расчет_аналитики'!H1571,WeightedRevAge05)-SUMIF(ThresholdAge05,"&lt;"&amp;'19_Расчет_аналитики'!H1571,WeightedMinAge05),MAX(CapacityAge05*'01_Вводные'!$B$218*'19_Расчет_аналитики'!H1571,MeanMinAge05)))</f>
        <v/>
      </c>
      <c r="I1480">
        <f>IF(OR('19_Расчет_аналитики'!I1452=0,5&lt;='01_Вводные'!$B$297),0,'19_Расчет_аналитики'!I1452*IF('01_Вводные'!$B$239="Да",MeanMinAge05+'19_Расчет_аналитики'!I1571*SUMIF(ThresholdAge05,"&lt;"&amp;'19_Расчет_аналитики'!I1571,WeightedRevAge05)-SUMIF(ThresholdAge05,"&lt;"&amp;'19_Расчет_аналитики'!I1571,WeightedMinAge05),MAX(CapacityAge05*'01_Вводные'!$B$218*'19_Расчет_аналитики'!I1571,MeanMinAge05)))</f>
        <v/>
      </c>
      <c r="J1480">
        <f>IF(OR('19_Расчет_аналитики'!J1452=0,5&lt;='01_Вводные'!$B$297),0,'19_Расчет_аналитики'!J1452*IF('01_Вводные'!$B$239="Да",MeanMinAge05+'19_Расчет_аналитики'!J1571*SUMIF(ThresholdAge05,"&lt;"&amp;'19_Расчет_аналитики'!J1571,WeightedRevAge05)-SUMIF(ThresholdAge05,"&lt;"&amp;'19_Расчет_аналитики'!J1571,WeightedMinAge05),MAX(CapacityAge05*'01_Вводные'!$B$218*'19_Расчет_аналитики'!J1571,MeanMinAge05)))</f>
        <v/>
      </c>
      <c r="K1480">
        <f>IF(OR('19_Расчет_аналитики'!K1452=0,5&lt;='01_Вводные'!$B$297),0,'19_Расчет_аналитики'!K1452*IF('01_Вводные'!$B$239="Да",MeanMinAge05+'19_Расчет_аналитики'!K1571*SUMIF(ThresholdAge05,"&lt;"&amp;'19_Расчет_аналитики'!K1571,WeightedRevAge05)-SUMIF(ThresholdAge05,"&lt;"&amp;'19_Расчет_аналитики'!K1571,WeightedMinAge05),MAX(CapacityAge05*'01_Вводные'!$B$218*'19_Расчет_аналитики'!K1571,MeanMinAge05)))</f>
        <v/>
      </c>
      <c r="L1480">
        <f>IF(OR('19_Расчет_аналитики'!L1452=0,5&lt;='01_Вводные'!$B$297),0,'19_Расчет_аналитики'!L1452*IF('01_Вводные'!$B$239="Да",MeanMinAge05+'19_Расчет_аналитики'!L1571*SUMIF(ThresholdAge05,"&lt;"&amp;'19_Расчет_аналитики'!L1571,WeightedRevAge05)-SUMIF(ThresholdAge05,"&lt;"&amp;'19_Расчет_аналитики'!L1571,WeightedMinAge05),MAX(CapacityAge05*'01_Вводные'!$B$218*'19_Расчет_аналитики'!L1571,MeanMinAge05)))</f>
        <v/>
      </c>
      <c r="M1480">
        <f>IF(OR('19_Расчет_аналитики'!M1452=0,5&lt;='01_Вводные'!$B$297),0,'19_Расчет_аналитики'!M1452*IF('01_Вводные'!$B$239="Да",MeanMinAge05+'19_Расчет_аналитики'!M1571*SUMIF(ThresholdAge05,"&lt;"&amp;'19_Расчет_аналитики'!M1571,WeightedRevAge05)-SUMIF(ThresholdAge05,"&lt;"&amp;'19_Расчет_аналитики'!M1571,WeightedMinAge05),MAX(CapacityAge05*'01_Вводные'!$B$218*'19_Расчет_аналитики'!M1571,MeanMinAge05)))</f>
        <v/>
      </c>
      <c r="N1480">
        <f>IF(OR('19_Расчет_аналитики'!N1452=0,5&lt;='01_Вводные'!$B$297),0,'19_Расчет_аналитики'!N1452*IF('01_Вводные'!$B$239="Да",MeanMinAge05+'19_Расчет_аналитики'!N1571*SUMIF(ThresholdAge05,"&lt;"&amp;'19_Расчет_аналитики'!N1571,WeightedRevAge05)-SUMIF(ThresholdAge05,"&lt;"&amp;'19_Расчет_аналитики'!N1571,WeightedMinAge05),MAX(CapacityAge05*'01_Вводные'!$B$218*'19_Расчет_аналитики'!N1571,MeanMinAge05)))</f>
        <v/>
      </c>
      <c r="O1480">
        <f>IF(OR('19_Расчет_аналитики'!O1452=0,5&lt;='01_Вводные'!$B$297),0,'19_Расчет_аналитики'!O1452*IF('01_Вводные'!$B$239="Да",MeanMinAge05+'19_Расчет_аналитики'!O1571*SUMIF(ThresholdAge05,"&lt;"&amp;'19_Расчет_аналитики'!O1571,WeightedRevAge05)-SUMIF(ThresholdAge05,"&lt;"&amp;'19_Расчет_аналитики'!O1571,WeightedMinAge05),MAX(CapacityAge05*'01_Вводные'!$B$218*'19_Расчет_аналитики'!O1571,MeanMinAge05)))</f>
        <v/>
      </c>
      <c r="P1480">
        <f>IF(OR('19_Расчет_аналитики'!P1452=0,5&lt;='01_Вводные'!$B$297),0,'19_Расчет_аналитики'!P1452*IF('01_Вводные'!$B$239="Да",MeanMinAge05+'19_Расчет_аналитики'!P1571*SUMIF(ThresholdAge05,"&lt;"&amp;'19_Расчет_аналитики'!P1571,WeightedRevAge05)-SUMIF(ThresholdAge05,"&lt;"&amp;'19_Расчет_аналитики'!P1571,WeightedMinAge05),MAX(CapacityAge05*'01_Вводные'!$B$218*'19_Расчет_аналитики'!P1571,MeanMinAge05)))</f>
        <v/>
      </c>
      <c r="Q1480">
        <f>IF(OR('19_Расчет_аналитики'!Q1452=0,5&lt;='01_Вводные'!$B$297),0,'19_Расчет_аналитики'!Q1452*IF('01_Вводные'!$B$239="Да",MeanMinAge05+'19_Расчет_аналитики'!Q1571*SUMIF(ThresholdAge05,"&lt;"&amp;'19_Расчет_аналитики'!Q1571,WeightedRevAge05)-SUMIF(ThresholdAge05,"&lt;"&amp;'19_Расчет_аналитики'!Q1571,WeightedMinAge05),MAX(CapacityAge05*'01_Вводные'!$B$218*'19_Расчет_аналитики'!Q1571,MeanMinAge05)))</f>
        <v/>
      </c>
      <c r="R1480">
        <f>IF(OR('19_Расчет_аналитики'!R1452=0,5&lt;='01_Вводные'!$B$297),0,'19_Расчет_аналитики'!R1452*IF('01_Вводные'!$B$239="Да",MeanMinAge05+'19_Расчет_аналитики'!R1571*SUMIF(ThresholdAge05,"&lt;"&amp;'19_Расчет_аналитики'!R1571,WeightedRevAge05)-SUMIF(ThresholdAge05,"&lt;"&amp;'19_Расчет_аналитики'!R1571,WeightedMinAge05),MAX(CapacityAge05*'01_Вводные'!$B$218*'19_Расчет_аналитики'!R1571,MeanMinAge05)))</f>
        <v/>
      </c>
      <c r="S1480">
        <f>IF(OR('19_Расчет_аналитики'!S1452=0,5&lt;='01_Вводные'!$B$297),0,'19_Расчет_аналитики'!S1452*IF('01_Вводные'!$B$239="Да",MeanMinAge05+'19_Расчет_аналитики'!S1571*SUMIF(ThresholdAge05,"&lt;"&amp;'19_Расчет_аналитики'!S1571,WeightedRevAge05)-SUMIF(ThresholdAge05,"&lt;"&amp;'19_Расчет_аналитики'!S1571,WeightedMinAge05),MAX(CapacityAge05*'01_Вводные'!$B$218*'19_Расчет_аналитики'!S1571,MeanMinAge05)))</f>
        <v/>
      </c>
      <c r="T1480">
        <f>IF(OR('19_Расчет_аналитики'!T1452=0,5&lt;='01_Вводные'!$B$297),0,'19_Расчет_аналитики'!T1452*IF('01_Вводные'!$B$239="Да",MeanMinAge05+'19_Расчет_аналитики'!T1571*SUMIF(ThresholdAge05,"&lt;"&amp;'19_Расчет_аналитики'!T1571,WeightedRevAge05)-SUMIF(ThresholdAge05,"&lt;"&amp;'19_Расчет_аналитики'!T1571,WeightedMinAge05),MAX(CapacityAge05*'01_Вводные'!$B$218*'19_Расчет_аналитики'!T1571,MeanMinAge05)))</f>
        <v/>
      </c>
      <c r="U1480">
        <f>IF(OR('19_Расчет_аналитики'!U1452=0,5&lt;='01_Вводные'!$B$297),0,'19_Расчет_аналитики'!U1452*IF('01_Вводные'!$B$239="Да",MeanMinAge05+'19_Расчет_аналитики'!U1571*SUMIF(ThresholdAge05,"&lt;"&amp;'19_Расчет_аналитики'!U1571,WeightedRevAge05)-SUMIF(ThresholdAge05,"&lt;"&amp;'19_Расчет_аналитики'!U1571,WeightedMinAge05),MAX(CapacityAge05*'01_Вводные'!$B$218*'19_Расчет_аналитики'!U1571,MeanMinAge05)))</f>
        <v/>
      </c>
      <c r="V1480">
        <f>IF(OR('19_Расчет_аналитики'!V1452=0,5&lt;='01_Вводные'!$B$297),0,'19_Расчет_аналитики'!V1452*IF('01_Вводные'!$B$239="Да",MeanMinAge05+'19_Расчет_аналитики'!V1571*SUMIF(ThresholdAge05,"&lt;"&amp;'19_Расчет_аналитики'!V1571,WeightedRevAge05)-SUMIF(ThresholdAge05,"&lt;"&amp;'19_Расчет_аналитики'!V1571,WeightedMinAge05),MAX(CapacityAge05*'01_Вводные'!$B$218*'19_Расчет_аналитики'!V1571,MeanMinAge05)))</f>
        <v/>
      </c>
      <c r="W1480">
        <f>IF(OR('19_Расчет_аналитики'!W1452=0,5&lt;='01_Вводные'!$B$297),0,'19_Расчет_аналитики'!W1452*IF('01_Вводные'!$B$239="Да",MeanMinAge05+'19_Расчет_аналитики'!W1571*SUMIF(ThresholdAge05,"&lt;"&amp;'19_Расчет_аналитики'!W1571,WeightedRevAge05)-SUMIF(ThresholdAge05,"&lt;"&amp;'19_Расчет_аналитики'!W1571,WeightedMinAge05),MAX(CapacityAge05*'01_Вводные'!$B$218*'19_Расчет_аналитики'!W1571,MeanMinAge05)))</f>
        <v/>
      </c>
      <c r="X1480">
        <f>IF(OR('19_Расчет_аналитики'!X1452=0,5&lt;='01_Вводные'!$B$297),0,'19_Расчет_аналитики'!X1452*IF('01_Вводные'!$B$239="Да",MeanMinAge05+'19_Расчет_аналитики'!X1571*SUMIF(ThresholdAge05,"&lt;"&amp;'19_Расчет_аналитики'!X1571,WeightedRevAge05)-SUMIF(ThresholdAge05,"&lt;"&amp;'19_Расчет_аналитики'!X1571,WeightedMinAge05),MAX(CapacityAge05*'01_Вводные'!$B$218*'19_Расчет_аналитики'!X1571,MeanMinAge05)))</f>
        <v/>
      </c>
      <c r="Y1480">
        <f>IF(OR('19_Расчет_аналитики'!Y1452=0,5&lt;='01_Вводные'!$B$297),0,'19_Расчет_аналитики'!Y1452*IF('01_Вводные'!$B$239="Да",MeanMinAge05+'19_Расчет_аналитики'!Y1571*SUMIF(ThresholdAge05,"&lt;"&amp;'19_Расчет_аналитики'!Y1571,WeightedRevAge05)-SUMIF(ThresholdAge05,"&lt;"&amp;'19_Расчет_аналитики'!Y1571,WeightedMinAge05),MAX(CapacityAge05*'01_Вводные'!$B$218*'19_Расчет_аналитики'!Y1571,MeanMinAge05)))</f>
        <v/>
      </c>
      <c r="Z1480">
        <f>IF(OR('19_Расчет_аналитики'!Z1452=0,5&lt;='01_Вводные'!$B$297),0,'19_Расчет_аналитики'!Z1452*IF('01_Вводные'!$B$239="Да",MeanMinAge05+'19_Расчет_аналитики'!Z1571*SUMIF(ThresholdAge05,"&lt;"&amp;'19_Расчет_аналитики'!Z1571,WeightedRevAge05)-SUMIF(ThresholdAge05,"&lt;"&amp;'19_Расчет_аналитики'!Z1571,WeightedMinAge05),MAX(CapacityAge05*'01_Вводные'!$B$218*'19_Расчет_аналитики'!Z1571,MeanMinAge05)))</f>
        <v/>
      </c>
      <c r="AA1480">
        <f>IF(OR('19_Расчет_аналитики'!AA1452=0,5&lt;='01_Вводные'!$B$297),0,'19_Расчет_аналитики'!AA1452*IF('01_Вводные'!$B$239="Да",MeanMinAge05+'19_Расчет_аналитики'!AA1571*SUMIF(ThresholdAge05,"&lt;"&amp;'19_Расчет_аналитики'!AA1571,WeightedRevAge05)-SUMIF(ThresholdAge05,"&lt;"&amp;'19_Расчет_аналитики'!AA1571,WeightedMinAge05),MAX(CapacityAge05*'01_Вводные'!$B$218*'19_Расчет_аналитики'!AA1571,MeanMinAge05)))</f>
        <v/>
      </c>
      <c r="AB1480">
        <f>IF(OR('19_Расчет_аналитики'!AB1452=0,5&lt;='01_Вводные'!$B$297),0,'19_Расчет_аналитики'!AB1452*IF('01_Вводные'!$B$239="Да",MeanMinAge05+'19_Расчет_аналитики'!AB1571*SUMIF(ThresholdAge05,"&lt;"&amp;'19_Расчет_аналитики'!AB1571,WeightedRevAge05)-SUMIF(ThresholdAge05,"&lt;"&amp;'19_Расчет_аналитики'!AB1571,WeightedMinAge05),MAX(CapacityAge05*'01_Вводные'!$B$218*'19_Расчет_аналитики'!AB1571,MeanMinAge05)))</f>
        <v/>
      </c>
      <c r="AC1480">
        <f>IF(OR('19_Расчет_аналитики'!AC1452=0,5&lt;='01_Вводные'!$B$297),0,'19_Расчет_аналитики'!AC1452*IF('01_Вводные'!$B$239="Да",MeanMinAge05+'19_Расчет_аналитики'!AC1571*SUMIF(ThresholdAge05,"&lt;"&amp;'19_Расчет_аналитики'!AC1571,WeightedRevAge05)-SUMIF(ThresholdAge05,"&lt;"&amp;'19_Расчет_аналитики'!AC1571,WeightedMinAge05),MAX(CapacityAge05*'01_Вводные'!$B$218*'19_Расчет_аналитики'!AC1571,MeanMinAge05)))</f>
        <v/>
      </c>
      <c r="AD1480">
        <f>IF(OR('19_Расчет_аналитики'!AD1452=0,5&lt;='01_Вводные'!$B$297),0,'19_Расчет_аналитики'!AD1452*IF('01_Вводные'!$B$239="Да",MeanMinAge05+'19_Расчет_аналитики'!AD1571*SUMIF(ThresholdAge05,"&lt;"&amp;'19_Расчет_аналитики'!AD1571,WeightedRevAge05)-SUMIF(ThresholdAge05,"&lt;"&amp;'19_Расчет_аналитики'!AD1571,WeightedMinAge05),MAX(CapacityAge05*'01_Вводные'!$B$218*'19_Расчет_аналитики'!AD1571,MeanMinAge05)))</f>
        <v/>
      </c>
      <c r="AE1480">
        <f>IF(OR('19_Расчет_аналитики'!AE1452=0,5&lt;='01_Вводные'!$B$297),0,'19_Расчет_аналитики'!AE1452*IF('01_Вводные'!$B$239="Да",MeanMinAge05+'19_Расчет_аналитики'!AE1571*SUMIF(ThresholdAge05,"&lt;"&amp;'19_Расчет_аналитики'!AE1571,WeightedRevAge05)-SUMIF(ThresholdAge05,"&lt;"&amp;'19_Расчет_аналитики'!AE1571,WeightedMinAge05),MAX(CapacityAge05*'01_Вводные'!$B$218*'19_Расчет_аналитики'!AE1571,MeanMinAge05)))</f>
        <v/>
      </c>
      <c r="AF1480">
        <f>IF(OR('19_Расчет_аналитики'!AF1452=0,5&lt;='01_Вводные'!$B$297),0,'19_Расчет_аналитики'!AF1452*IF('01_Вводные'!$B$239="Да",MeanMinAge05+'19_Расчет_аналитики'!AF1571*SUMIF(ThresholdAge05,"&lt;"&amp;'19_Расчет_аналитики'!AF1571,WeightedRevAge05)-SUMIF(ThresholdAge05,"&lt;"&amp;'19_Расчет_аналитики'!AF1571,WeightedMinAge05),MAX(CapacityAge05*'01_Вводные'!$B$218*'19_Расчет_аналитики'!AF1571,MeanMinAge05)))</f>
        <v/>
      </c>
      <c r="AG1480">
        <f>IF(OR('19_Расчет_аналитики'!AG1452=0,5&lt;='01_Вводные'!$B$297),0,'19_Расчет_аналитики'!AG1452*IF('01_Вводные'!$B$239="Да",MeanMinAge05+'19_Расчет_аналитики'!AG1571*SUMIF(ThresholdAge05,"&lt;"&amp;'19_Расчет_аналитики'!AG1571,WeightedRevAge05)-SUMIF(ThresholdAge05,"&lt;"&amp;'19_Расчет_аналитики'!AG1571,WeightedMinAge05),MAX(CapacityAge05*'01_Вводные'!$B$218*'19_Расчет_аналитики'!AG1571,MeanMinAge05)))</f>
        <v/>
      </c>
      <c r="AH1480">
        <f>IF(OR('19_Расчет_аналитики'!AH1452=0,5&lt;='01_Вводные'!$B$297),0,'19_Расчет_аналитики'!AH1452*IF('01_Вводные'!$B$239="Да",MeanMinAge05+'19_Расчет_аналитики'!AH1571*SUMIF(ThresholdAge05,"&lt;"&amp;'19_Расчет_аналитики'!AH1571,WeightedRevAge05)-SUMIF(ThresholdAge05,"&lt;"&amp;'19_Расчет_аналитики'!AH1571,WeightedMinAge05),MAX(CapacityAge05*'01_Вводные'!$B$218*'19_Расчет_аналитики'!AH1571,MeanMinAge05)))</f>
        <v/>
      </c>
      <c r="AI1480">
        <f>IF(OR('19_Расчет_аналитики'!AI1452=0,5&lt;='01_Вводные'!$B$297),0,'19_Расчет_аналитики'!AI1452*IF('01_Вводные'!$B$239="Да",MeanMinAge05+'19_Расчет_аналитики'!AI1571*SUMIF(ThresholdAge05,"&lt;"&amp;'19_Расчет_аналитики'!AI1571,WeightedRevAge05)-SUMIF(ThresholdAge05,"&lt;"&amp;'19_Расчет_аналитики'!AI1571,WeightedMinAge05),MAX(CapacityAge05*'01_Вводные'!$B$218*'19_Расчет_аналитики'!AI1571,MeanMinAge05)))</f>
        <v/>
      </c>
      <c r="AJ1480">
        <f>IF(OR('19_Расчет_аналитики'!AJ1452=0,5&lt;='01_Вводные'!$B$297),0,'19_Расчет_аналитики'!AJ1452*IF('01_Вводные'!$B$239="Да",MeanMinAge05+'19_Расчет_аналитики'!AJ1571*SUMIF(ThresholdAge05,"&lt;"&amp;'19_Расчет_аналитики'!AJ1571,WeightedRevAge05)-SUMIF(ThresholdAge05,"&lt;"&amp;'19_Расчет_аналитики'!AJ1571,WeightedMinAge05),MAX(CapacityAge05*'01_Вводные'!$B$218*'19_Расчет_аналитики'!AJ1571,MeanMinAge05)))</f>
        <v/>
      </c>
      <c r="AK1480">
        <f>IF(OR('19_Расчет_аналитики'!AK1452=0,5&lt;='01_Вводные'!$B$297),0,'19_Расчет_аналитики'!AK1452*IF('01_Вводные'!$B$239="Да",MeanMinAge05+'19_Расчет_аналитики'!AK1571*SUMIF(ThresholdAge05,"&lt;"&amp;'19_Расчет_аналитики'!AK1571,WeightedRevAge05)-SUMIF(ThresholdAge05,"&lt;"&amp;'19_Расчет_аналитики'!AK1571,WeightedMinAge05),MAX(CapacityAge05*'01_Вводные'!$B$218*'19_Расчет_аналитики'!AK1571,MeanMinAge05)))</f>
        <v/>
      </c>
      <c r="AL1480">
        <f>IF(OR('19_Расчет_аналитики'!AL1452=0,5&lt;='01_Вводные'!$B$297),0,'19_Расчет_аналитики'!AL1452*IF('01_Вводные'!$B$239="Да",MeanMinAge05+'19_Расчет_аналитики'!AL1571*SUMIF(ThresholdAge05,"&lt;"&amp;'19_Расчет_аналитики'!AL1571,WeightedRevAge05)-SUMIF(ThresholdAge05,"&lt;"&amp;'19_Расчет_аналитики'!AL1571,WeightedMinAge05),MAX(CapacityAge05*'01_Вводные'!$B$218*'19_Расчет_аналитики'!AL1571,MeanMinAge05)))</f>
        <v/>
      </c>
      <c r="AM1480">
        <f>IF(OR('19_Расчет_аналитики'!AM1452=0,5&lt;='01_Вводные'!$B$297),0,'19_Расчет_аналитики'!AM1452*IF('01_Вводные'!$B$239="Да",MeanMinAge05+'19_Расчет_аналитики'!AM1571*SUMIF(ThresholdAge05,"&lt;"&amp;'19_Расчет_аналитики'!AM1571,WeightedRevAge05)-SUMIF(ThresholdAge05,"&lt;"&amp;'19_Расчет_аналитики'!AM1571,WeightedMinAge05),MAX(CapacityAge05*'01_Вводные'!$B$218*'19_Расчет_аналитики'!AM1571,MeanMinAge05)))</f>
        <v/>
      </c>
      <c r="AN1480">
        <f>IF(OR('19_Расчет_аналитики'!AN1452=0,5&lt;='01_Вводные'!$B$297),0,'19_Расчет_аналитики'!AN1452*IF('01_Вводные'!$B$239="Да",MeanMinAge05+'19_Расчет_аналитики'!AN1571*SUMIF(ThresholdAge05,"&lt;"&amp;'19_Расчет_аналитики'!AN1571,WeightedRevAge05)-SUMIF(ThresholdAge05,"&lt;"&amp;'19_Расчет_аналитики'!AN1571,WeightedMinAge05),MAX(CapacityAge05*'01_Вводные'!$B$218*'19_Расчет_аналитики'!AN1571,MeanMinAge05)))</f>
        <v/>
      </c>
      <c r="AO1480">
        <f>IF(OR('19_Расчет_аналитики'!AO1452=0,5&lt;='01_Вводные'!$B$297),0,'19_Расчет_аналитики'!AO1452*IF('01_Вводные'!$B$239="Да",MeanMinAge05+'19_Расчет_аналитики'!AO1571*SUMIF(ThresholdAge05,"&lt;"&amp;'19_Расчет_аналитики'!AO1571,WeightedRevAge05)-SUMIF(ThresholdAge05,"&lt;"&amp;'19_Расчет_аналитики'!AO1571,WeightedMinAge05),MAX(CapacityAge05*'01_Вводные'!$B$218*'19_Расчет_аналитики'!AO1571,MeanMinAge05)))</f>
        <v/>
      </c>
      <c r="AP1480">
        <f>IF(OR('19_Расчет_аналитики'!AP1452=0,5&lt;='01_Вводные'!$B$297),0,'19_Расчет_аналитики'!AP1452*IF('01_Вводные'!$B$239="Да",MeanMinAge05+'19_Расчет_аналитики'!AP1571*SUMIF(ThresholdAge05,"&lt;"&amp;'19_Расчет_аналитики'!AP1571,WeightedRevAge05)-SUMIF(ThresholdAge05,"&lt;"&amp;'19_Расчет_аналитики'!AP1571,WeightedMinAge05),MAX(CapacityAge05*'01_Вводные'!$B$218*'19_Расчет_аналитики'!AP1571,MeanMinAge05)))</f>
        <v/>
      </c>
      <c r="AQ1480">
        <f>IF(OR('19_Расчет_аналитики'!AQ1452=0,5&lt;='01_Вводные'!$B$297),0,'19_Расчет_аналитики'!AQ1452*IF('01_Вводные'!$B$239="Да",MeanMinAge05+'19_Расчет_аналитики'!AQ1571*SUMIF(ThresholdAge05,"&lt;"&amp;'19_Расчет_аналитики'!AQ1571,WeightedRevAge05)-SUMIF(ThresholdAge05,"&lt;"&amp;'19_Расчет_аналитики'!AQ1571,WeightedMinAge05),MAX(CapacityAge05*'01_Вводные'!$B$218*'19_Расчет_аналитики'!AQ1571,MeanMinAge05)))</f>
        <v/>
      </c>
      <c r="AR1480">
        <f>IF(OR('19_Расчет_аналитики'!AR1452=0,5&lt;='01_Вводные'!$B$297),0,'19_Расчет_аналитики'!AR1452*IF('01_Вводные'!$B$239="Да",MeanMinAge05+'19_Расчет_аналитики'!AR1571*SUMIF(ThresholdAge05,"&lt;"&amp;'19_Расчет_аналитики'!AR1571,WeightedRevAge05)-SUMIF(ThresholdAge05,"&lt;"&amp;'19_Расчет_аналитики'!AR1571,WeightedMinAge05),MAX(CapacityAge05*'01_Вводные'!$B$218*'19_Расчет_аналитики'!AR1571,MeanMinAge05)))</f>
        <v/>
      </c>
      <c r="AS1480">
        <f>IF(OR('19_Расчет_аналитики'!AS1452=0,5&lt;='01_Вводные'!$B$297),0,'19_Расчет_аналитики'!AS1452*IF('01_Вводные'!$B$239="Да",MeanMinAge05+'19_Расчет_аналитики'!AS1571*SUMIF(ThresholdAge05,"&lt;"&amp;'19_Расчет_аналитики'!AS1571,WeightedRevAge05)-SUMIF(ThresholdAge05,"&lt;"&amp;'19_Расчет_аналитики'!AS1571,WeightedMinAge05),MAX(CapacityAge05*'01_Вводные'!$B$218*'19_Расчет_аналитики'!AS1571,MeanMinAge05)))</f>
        <v/>
      </c>
      <c r="AT1480">
        <f>IF(OR('19_Расчет_аналитики'!AT1452=0,5&lt;='01_Вводные'!$B$297),0,'19_Расчет_аналитики'!AT1452*IF('01_Вводные'!$B$239="Да",MeanMinAge05+'19_Расчет_аналитики'!AT1571*SUMIF(ThresholdAge05,"&lt;"&amp;'19_Расчет_аналитики'!AT1571,WeightedRevAge05)-SUMIF(ThresholdAge05,"&lt;"&amp;'19_Расчет_аналитики'!AT1571,WeightedMinAge05),MAX(CapacityAge05*'01_Вводные'!$B$218*'19_Расчет_аналитики'!AT1571,MeanMinAge05)))</f>
        <v/>
      </c>
      <c r="AU1480">
        <f>IF(OR('19_Расчет_аналитики'!AU1452=0,5&lt;='01_Вводные'!$B$297),0,'19_Расчет_аналитики'!AU1452*IF('01_Вводные'!$B$239="Да",MeanMinAge05+'19_Расчет_аналитики'!AU1571*SUMIF(ThresholdAge05,"&lt;"&amp;'19_Расчет_аналитики'!AU1571,WeightedRevAge05)-SUMIF(ThresholdAge05,"&lt;"&amp;'19_Расчет_аналитики'!AU1571,WeightedMinAge05),MAX(CapacityAge05*'01_Вводные'!$B$218*'19_Расчет_аналитики'!AU1571,MeanMinAge05)))</f>
        <v/>
      </c>
      <c r="AV1480">
        <f>IF(OR('19_Расчет_аналитики'!AV1452=0,5&lt;='01_Вводные'!$B$297),0,'19_Расчет_аналитики'!AV1452*IF('01_Вводные'!$B$239="Да",MeanMinAge05+'19_Расчет_аналитики'!AV1571*SUMIF(ThresholdAge05,"&lt;"&amp;'19_Расчет_аналитики'!AV1571,WeightedRevAge05)-SUMIF(ThresholdAge05,"&lt;"&amp;'19_Расчет_аналитики'!AV1571,WeightedMinAge05),MAX(CapacityAge05*'01_Вводные'!$B$218*'19_Расчет_аналитики'!AV1571,MeanMinAge05)))</f>
        <v/>
      </c>
      <c r="AW1480">
        <f>IF(OR('19_Расчет_аналитики'!AW1452=0,5&lt;='01_Вводные'!$B$297),0,'19_Расчет_аналитики'!AW1452*IF('01_Вводные'!$B$239="Да",MeanMinAge05+'19_Расчет_аналитики'!AW1571*SUMIF(ThresholdAge05,"&lt;"&amp;'19_Расчет_аналитики'!AW1571,WeightedRevAge05)-SUMIF(ThresholdAge05,"&lt;"&amp;'19_Расчет_аналитики'!AW1571,WeightedMinAge05),MAX(CapacityAge05*'01_Вводные'!$B$218*'19_Расчет_аналитики'!AW1571,MeanMinAge05)))</f>
        <v/>
      </c>
      <c r="AX1480">
        <f>IF(OR('19_Расчет_аналитики'!AX1452=0,5&lt;='01_Вводные'!$B$297),0,'19_Расчет_аналитики'!AX1452*IF('01_Вводные'!$B$239="Да",MeanMinAge05+'19_Расчет_аналитики'!AX1571*SUMIF(ThresholdAge05,"&lt;"&amp;'19_Расчет_аналитики'!AX1571,WeightedRevAge05)-SUMIF(ThresholdAge05,"&lt;"&amp;'19_Расчет_аналитики'!AX1571,WeightedMinAge05),MAX(CapacityAge05*'01_Вводные'!$B$218*'19_Расчет_аналитики'!AX1571,MeanMinAge05)))</f>
        <v/>
      </c>
      <c r="AY1480">
        <f>IF(OR('19_Расчет_аналитики'!AY1452=0,5&lt;='01_Вводные'!$B$297),0,'19_Расчет_аналитики'!AY1452*IF('01_Вводные'!$B$239="Да",MeanMinAge05+'19_Расчет_аналитики'!AY1571*SUMIF(ThresholdAge05,"&lt;"&amp;'19_Расчет_аналитики'!AY1571,WeightedRevAge05)-SUMIF(ThresholdAge05,"&lt;"&amp;'19_Расчет_аналитики'!AY1571,WeightedMinAge05),MAX(CapacityAge05*'01_Вводные'!$B$218*'19_Расчет_аналитики'!AY1571,MeanMinAge05)))</f>
        <v/>
      </c>
      <c r="AZ1480">
        <f>IF(OR('19_Расчет_аналитики'!AZ1452=0,5&lt;='01_Вводные'!$B$297),0,'19_Расчет_аналитики'!AZ1452*IF('01_Вводные'!$B$239="Да",MeanMinAge05+'19_Расчет_аналитики'!AZ1571*SUMIF(ThresholdAge05,"&lt;"&amp;'19_Расчет_аналитики'!AZ1571,WeightedRevAge05)-SUMIF(ThresholdAge05,"&lt;"&amp;'19_Расчет_аналитики'!AZ1571,WeightedMinAge05),MAX(CapacityAge05*'01_Вводные'!$B$218*'19_Расчет_аналитики'!AZ1571,MeanMinAge05)))</f>
        <v/>
      </c>
      <c r="BA1480">
        <f>IF(OR('19_Расчет_аналитики'!BA1452=0,5&lt;='01_Вводные'!$B$297),0,'19_Расчет_аналитики'!BA1452*IF('01_Вводные'!$B$239="Да",MeanMinAge05+'19_Расчет_аналитики'!BA1571*SUMIF(ThresholdAge05,"&lt;"&amp;'19_Расчет_аналитики'!BA1571,WeightedRevAge05)-SUMIF(ThresholdAge05,"&lt;"&amp;'19_Расчет_аналитики'!BA1571,WeightedMinAge05),MAX(CapacityAge05*'01_Вводные'!$B$218*'19_Расчет_аналитики'!BA1571,MeanMinAge05)))</f>
        <v/>
      </c>
      <c r="BB1480">
        <f>IF(OR('19_Расчет_аналитики'!BB1452=0,5&lt;='01_Вводные'!$B$297),0,'19_Расчет_аналитики'!BB1452*IF('01_Вводные'!$B$239="Да",MeanMinAge05+'19_Расчет_аналитики'!BB1571*SUMIF(ThresholdAge05,"&lt;"&amp;'19_Расчет_аналитики'!BB1571,WeightedRevAge05)-SUMIF(ThresholdAge05,"&lt;"&amp;'19_Расчет_аналитики'!BB1571,WeightedMinAge05),MAX(CapacityAge05*'01_Вводные'!$B$218*'19_Расчет_аналитики'!BB1571,MeanMinAge05)))</f>
        <v/>
      </c>
      <c r="BC1480">
        <f>IF(OR('19_Расчет_аналитики'!BC1452=0,5&lt;='01_Вводные'!$B$297),0,'19_Расчет_аналитики'!BC1452*IF('01_Вводные'!$B$239="Да",MeanMinAge05+'19_Расчет_аналитики'!BC1571*SUMIF(ThresholdAge05,"&lt;"&amp;'19_Расчет_аналитики'!BC1571,WeightedRevAge05)-SUMIF(ThresholdAge05,"&lt;"&amp;'19_Расчет_аналитики'!BC1571,WeightedMinAge05),MAX(CapacityAge05*'01_Вводные'!$B$218*'19_Расчет_аналитики'!BC1571,MeanMinAge05)))</f>
        <v/>
      </c>
      <c r="BD1480">
        <f>IF(OR('19_Расчет_аналитики'!BD1452=0,5&lt;='01_Вводные'!$B$297),0,'19_Расчет_аналитики'!BD1452*IF('01_Вводные'!$B$239="Да",MeanMinAge05+'19_Расчет_аналитики'!BD1571*SUMIF(ThresholdAge05,"&lt;"&amp;'19_Расчет_аналитики'!BD1571,WeightedRevAge05)-SUMIF(ThresholdAge05,"&lt;"&amp;'19_Расчет_аналитики'!BD1571,WeightedMinAge05),MAX(CapacityAge05*'01_Вводные'!$B$218*'19_Расчет_аналитики'!BD1571,MeanMinAge05)))</f>
        <v/>
      </c>
      <c r="BE1480">
        <f>IF(OR('19_Расчет_аналитики'!BE1452=0,5&lt;='01_Вводные'!$B$297),0,'19_Расчет_аналитики'!BE1452*IF('01_Вводные'!$B$239="Да",MeanMinAge05+'19_Расчет_аналитики'!BE1571*SUMIF(ThresholdAge05,"&lt;"&amp;'19_Расчет_аналитики'!BE1571,WeightedRevAge05)-SUMIF(ThresholdAge05,"&lt;"&amp;'19_Расчет_аналитики'!BE1571,WeightedMinAge05),MAX(CapacityAge05*'01_Вводные'!$B$218*'19_Расчет_аналитики'!BE1571,MeanMinAge05)))</f>
        <v/>
      </c>
      <c r="BF1480">
        <f>IF(OR('19_Расчет_аналитики'!BF1452=0,5&lt;='01_Вводные'!$B$297),0,'19_Расчет_аналитики'!BF1452*IF('01_Вводные'!$B$239="Да",MeanMinAge05+'19_Расчет_аналитики'!BF1571*SUMIF(ThresholdAge05,"&lt;"&amp;'19_Расчет_аналитики'!BF1571,WeightedRevAge05)-SUMIF(ThresholdAge05,"&lt;"&amp;'19_Расчет_аналитики'!BF1571,WeightedMinAge05),MAX(CapacityAge05*'01_Вводные'!$B$218*'19_Расчет_аналитики'!BF1571,MeanMinAge05)))</f>
        <v/>
      </c>
      <c r="BG1480">
        <f>IF(OR('19_Расчет_аналитики'!BG1452=0,5&lt;='01_Вводные'!$B$297),0,'19_Расчет_аналитики'!BG1452*IF('01_Вводные'!$B$239="Да",MeanMinAge05+'19_Расчет_аналитики'!BG1571*SUMIF(ThresholdAge05,"&lt;"&amp;'19_Расчет_аналитики'!BG1571,WeightedRevAge05)-SUMIF(ThresholdAge05,"&lt;"&amp;'19_Расчет_аналитики'!BG1571,WeightedMinAge05),MAX(CapacityAge05*'01_Вводные'!$B$218*'19_Расчет_аналитики'!BG1571,MeanMinAge05)))</f>
        <v/>
      </c>
      <c r="BH1480">
        <f>IF(OR('19_Расчет_аналитики'!BH1452=0,5&lt;='01_Вводные'!$B$297),0,'19_Расчет_аналитики'!BH1452*IF('01_Вводные'!$B$239="Да",MeanMinAge05+'19_Расчет_аналитики'!BH1571*SUMIF(ThresholdAge05,"&lt;"&amp;'19_Расчет_аналитики'!BH1571,WeightedRevAge05)-SUMIF(ThresholdAge05,"&lt;"&amp;'19_Расчет_аналитики'!BH1571,WeightedMinAge05),MAX(CapacityAge05*'01_Вводные'!$B$218*'19_Расчет_аналитики'!BH1571,MeanMinAge05)))</f>
        <v/>
      </c>
      <c r="BI1480">
        <f>IF(OR('19_Расчет_аналитики'!BI1452=0,5&lt;='01_Вводные'!$B$297),0,'19_Расчет_аналитики'!BI1452*IF('01_Вводные'!$B$239="Да",MeanMinAge05+'19_Расчет_аналитики'!BI1571*SUMIF(ThresholdAge05,"&lt;"&amp;'19_Расчет_аналитики'!BI1571,WeightedRevAge05)-SUMIF(ThresholdAge05,"&lt;"&amp;'19_Расчет_аналитики'!BI1571,WeightedMinAge05),MAX(CapacityAge05*'01_Вводные'!$B$218*'19_Расчет_аналитики'!BI1571,MeanMinAge05)))</f>
        <v/>
      </c>
      <c r="BJ1480">
        <f>IF(OR('19_Расчет_аналитики'!BJ1452=0,5&lt;='01_Вводные'!$B$297),0,'19_Расчет_аналитики'!BJ1452*IF('01_Вводные'!$B$239="Да",MeanMinAge05+'19_Расчет_аналитики'!BJ1571*SUMIF(ThresholdAge05,"&lt;"&amp;'19_Расчет_аналитики'!BJ1571,WeightedRevAge05)-SUMIF(ThresholdAge05,"&lt;"&amp;'19_Расчет_аналитики'!BJ1571,WeightedMinAge05),MAX(CapacityAge05*'01_Вводные'!$B$218*'19_Расчет_аналитики'!BJ1571,MeanMinAge05)))</f>
        <v/>
      </c>
      <c r="BK1480">
        <f>IF(OR('19_Расчет_аналитики'!BK1452=0,5&lt;='01_Вводные'!$B$297),0,'19_Расчет_аналитики'!BK1452*IF('01_Вводные'!$B$239="Да",MeanMinAge05+'19_Расчет_аналитики'!BK1571*SUMIF(ThresholdAge05,"&lt;"&amp;'19_Расчет_аналитики'!BK1571,WeightedRevAge05)-SUMIF(ThresholdAge05,"&lt;"&amp;'19_Расчет_аналитики'!BK1571,WeightedMinAge05),MAX(CapacityAge05*'01_Вводные'!$B$218*'19_Расчет_аналитики'!BK1571,MeanMinAge05)))</f>
        <v/>
      </c>
      <c r="BL1480">
        <f>IF(OR('19_Расчет_аналитики'!BL1452=0,5&lt;='01_Вводные'!$B$297),0,'19_Расчет_аналитики'!BL1452*IF('01_Вводные'!$B$239="Да",MeanMinAge05+'19_Расчет_аналитики'!BL1571*SUMIF(ThresholdAge05,"&lt;"&amp;'19_Расчет_аналитики'!BL1571,WeightedRevAge05)-SUMIF(ThresholdAge05,"&lt;"&amp;'19_Расчет_аналитики'!BL1571,WeightedMinAge05),MAX(CapacityAge05*'01_Вводные'!$B$218*'19_Расчет_аналитики'!BL1571,MeanMinAge05)))</f>
        <v/>
      </c>
      <c r="BM1480">
        <f>IF(OR('19_Расчет_аналитики'!BM1452=0,5&lt;='01_Вводные'!$B$297),0,'19_Расчет_аналитики'!BM1452*IF('01_Вводные'!$B$239="Да",MeanMinAge05+'19_Расчет_аналитики'!BM1571*SUMIF(ThresholdAge05,"&lt;"&amp;'19_Расчет_аналитики'!BM1571,WeightedRevAge05)-SUMIF(ThresholdAge05,"&lt;"&amp;'19_Расчет_аналитики'!BM1571,WeightedMinAge05),MAX(CapacityAge05*'01_Вводные'!$B$218*'19_Расчет_аналитики'!BM1571,MeanMinAge05)))</f>
        <v/>
      </c>
      <c r="BN1480">
        <f>IF(OR('19_Расчет_аналитики'!BN1452=0,5&lt;='01_Вводные'!$B$297),0,'19_Расчет_аналитики'!BN1452*IF('01_Вводные'!$B$239="Да",MeanMinAge05+'19_Расчет_аналитики'!BN1571*SUMIF(ThresholdAge05,"&lt;"&amp;'19_Расчет_аналитики'!BN1571,WeightedRevAge05)-SUMIF(ThresholdAge05,"&lt;"&amp;'19_Расчет_аналитики'!BN1571,WeightedMinAge05),MAX(CapacityAge05*'01_Вводные'!$B$218*'19_Расчет_аналитики'!BN1571,MeanMinAge05)))</f>
        <v/>
      </c>
      <c r="BO1480">
        <f>IF(OR('19_Расчет_аналитики'!BO1452=0,5&lt;='01_Вводные'!$B$297),0,'19_Расчет_аналитики'!BO1452*IF('01_Вводные'!$B$239="Да",MeanMinAge05+'19_Расчет_аналитики'!BO1571*SUMIF(ThresholdAge05,"&lt;"&amp;'19_Расчет_аналитики'!BO1571,WeightedRevAge05)-SUMIF(ThresholdAge05,"&lt;"&amp;'19_Расчет_аналитики'!BO1571,WeightedMinAge05),MAX(CapacityAge05*'01_Вводные'!$B$218*'19_Расчет_аналитики'!BO1571,MeanMinAge05)))</f>
        <v/>
      </c>
    </row>
    <row r="1481">
      <c r="B1481">
        <f>IF(OR('06_Сеть_и_дети'!B86=0,6&lt;='01_Вводные'!$B$297),0,'06_Сеть_и_дети'!B86*IF('01_Вводные'!$B$239="Да",MeanMinAge06+'19_Расчет_аналитики'!B1571*SUMIF(ThresholdAge06,"&lt;"&amp;'19_Расчет_аналитики'!B1571,WeightedRevAge06)-SUMIF(ThresholdAge06,"&lt;"&amp;'19_Расчет_аналитики'!B1571,WeightedMinAge06),MAX(CapacityAge06*'01_Вводные'!$B$218*'19_Расчет_аналитики'!B1571,MeanMinAge06)))</f>
        <v/>
      </c>
      <c r="C1481">
        <f>IF(OR('06_Сеть_и_дети'!C86=0,6&lt;='01_Вводные'!$B$297),0,'06_Сеть_и_дети'!C86*IF('01_Вводные'!$B$239="Да",MeanMinAge06+'19_Расчет_аналитики'!C1571*SUMIF(ThresholdAge06,"&lt;"&amp;'19_Расчет_аналитики'!C1571,WeightedRevAge06)-SUMIF(ThresholdAge06,"&lt;"&amp;'19_Расчет_аналитики'!C1571,WeightedMinAge06),MAX(CapacityAge06*'01_Вводные'!$B$218*'19_Расчет_аналитики'!C1571,MeanMinAge06)))</f>
        <v/>
      </c>
      <c r="D1481">
        <f>IF(OR('06_Сеть_и_дети'!D86=0,6&lt;='01_Вводные'!$B$297),0,'06_Сеть_и_дети'!D86*IF('01_Вводные'!$B$239="Да",MeanMinAge06+'19_Расчет_аналитики'!D1571*SUMIF(ThresholdAge06,"&lt;"&amp;'19_Расчет_аналитики'!D1571,WeightedRevAge06)-SUMIF(ThresholdAge06,"&lt;"&amp;'19_Расчет_аналитики'!D1571,WeightedMinAge06),MAX(CapacityAge06*'01_Вводные'!$B$218*'19_Расчет_аналитики'!D1571,MeanMinAge06)))</f>
        <v/>
      </c>
      <c r="E1481">
        <f>IF(OR('06_Сеть_и_дети'!E86=0,6&lt;='01_Вводные'!$B$297),0,'06_Сеть_и_дети'!E86*IF('01_Вводные'!$B$239="Да",MeanMinAge06+'19_Расчет_аналитики'!E1571*SUMIF(ThresholdAge06,"&lt;"&amp;'19_Расчет_аналитики'!E1571,WeightedRevAge06)-SUMIF(ThresholdAge06,"&lt;"&amp;'19_Расчет_аналитики'!E1571,WeightedMinAge06),MAX(CapacityAge06*'01_Вводные'!$B$218*'19_Расчет_аналитики'!E1571,MeanMinAge06)))</f>
        <v/>
      </c>
      <c r="F1481">
        <f>IF(OR('06_Сеть_и_дети'!F86=0,6&lt;='01_Вводные'!$B$297),0,'06_Сеть_и_дети'!F86*IF('01_Вводные'!$B$239="Да",MeanMinAge06+'19_Расчет_аналитики'!F1571*SUMIF(ThresholdAge06,"&lt;"&amp;'19_Расчет_аналитики'!F1571,WeightedRevAge06)-SUMIF(ThresholdAge06,"&lt;"&amp;'19_Расчет_аналитики'!F1571,WeightedMinAge06),MAX(CapacityAge06*'01_Вводные'!$B$218*'19_Расчет_аналитики'!F1571,MeanMinAge06)))</f>
        <v/>
      </c>
      <c r="G1481">
        <f>IF(OR('19_Расчет_аналитики'!G1453=0,6&lt;='01_Вводные'!$B$297),0,'19_Расчет_аналитики'!G1453*IF('01_Вводные'!$B$239="Да",MeanMinAge06+'19_Расчет_аналитики'!G1571*SUMIF(ThresholdAge06,"&lt;"&amp;'19_Расчет_аналитики'!G1571,WeightedRevAge06)-SUMIF(ThresholdAge06,"&lt;"&amp;'19_Расчет_аналитики'!G1571,WeightedMinAge06),MAX(CapacityAge06*'01_Вводные'!$B$218*'19_Расчет_аналитики'!G1571,MeanMinAge06)))</f>
        <v/>
      </c>
      <c r="H1481">
        <f>IF(OR('19_Расчет_аналитики'!H1453=0,6&lt;='01_Вводные'!$B$297),0,'19_Расчет_аналитики'!H1453*IF('01_Вводные'!$B$239="Да",MeanMinAge06+'19_Расчет_аналитики'!H1571*SUMIF(ThresholdAge06,"&lt;"&amp;'19_Расчет_аналитики'!H1571,WeightedRevAge06)-SUMIF(ThresholdAge06,"&lt;"&amp;'19_Расчет_аналитики'!H1571,WeightedMinAge06),MAX(CapacityAge06*'01_Вводные'!$B$218*'19_Расчет_аналитики'!H1571,MeanMinAge06)))</f>
        <v/>
      </c>
      <c r="I1481">
        <f>IF(OR('19_Расчет_аналитики'!I1453=0,6&lt;='01_Вводные'!$B$297),0,'19_Расчет_аналитики'!I1453*IF('01_Вводные'!$B$239="Да",MeanMinAge06+'19_Расчет_аналитики'!I1571*SUMIF(ThresholdAge06,"&lt;"&amp;'19_Расчет_аналитики'!I1571,WeightedRevAge06)-SUMIF(ThresholdAge06,"&lt;"&amp;'19_Расчет_аналитики'!I1571,WeightedMinAge06),MAX(CapacityAge06*'01_Вводные'!$B$218*'19_Расчет_аналитики'!I1571,MeanMinAge06)))</f>
        <v/>
      </c>
      <c r="J1481">
        <f>IF(OR('19_Расчет_аналитики'!J1453=0,6&lt;='01_Вводные'!$B$297),0,'19_Расчет_аналитики'!J1453*IF('01_Вводные'!$B$239="Да",MeanMinAge06+'19_Расчет_аналитики'!J1571*SUMIF(ThresholdAge06,"&lt;"&amp;'19_Расчет_аналитики'!J1571,WeightedRevAge06)-SUMIF(ThresholdAge06,"&lt;"&amp;'19_Расчет_аналитики'!J1571,WeightedMinAge06),MAX(CapacityAge06*'01_Вводные'!$B$218*'19_Расчет_аналитики'!J1571,MeanMinAge06)))</f>
        <v/>
      </c>
      <c r="K1481">
        <f>IF(OR('19_Расчет_аналитики'!K1453=0,6&lt;='01_Вводные'!$B$297),0,'19_Расчет_аналитики'!K1453*IF('01_Вводные'!$B$239="Да",MeanMinAge06+'19_Расчет_аналитики'!K1571*SUMIF(ThresholdAge06,"&lt;"&amp;'19_Расчет_аналитики'!K1571,WeightedRevAge06)-SUMIF(ThresholdAge06,"&lt;"&amp;'19_Расчет_аналитики'!K1571,WeightedMinAge06),MAX(CapacityAge06*'01_Вводные'!$B$218*'19_Расчет_аналитики'!K1571,MeanMinAge06)))</f>
        <v/>
      </c>
      <c r="L1481">
        <f>IF(OR('19_Расчет_аналитики'!L1453=0,6&lt;='01_Вводные'!$B$297),0,'19_Расчет_аналитики'!L1453*IF('01_Вводные'!$B$239="Да",MeanMinAge06+'19_Расчет_аналитики'!L1571*SUMIF(ThresholdAge06,"&lt;"&amp;'19_Расчет_аналитики'!L1571,WeightedRevAge06)-SUMIF(ThresholdAge06,"&lt;"&amp;'19_Расчет_аналитики'!L1571,WeightedMinAge06),MAX(CapacityAge06*'01_Вводные'!$B$218*'19_Расчет_аналитики'!L1571,MeanMinAge06)))</f>
        <v/>
      </c>
      <c r="M1481">
        <f>IF(OR('19_Расчет_аналитики'!M1453=0,6&lt;='01_Вводные'!$B$297),0,'19_Расчет_аналитики'!M1453*IF('01_Вводные'!$B$239="Да",MeanMinAge06+'19_Расчет_аналитики'!M1571*SUMIF(ThresholdAge06,"&lt;"&amp;'19_Расчет_аналитики'!M1571,WeightedRevAge06)-SUMIF(ThresholdAge06,"&lt;"&amp;'19_Расчет_аналитики'!M1571,WeightedMinAge06),MAX(CapacityAge06*'01_Вводные'!$B$218*'19_Расчет_аналитики'!M1571,MeanMinAge06)))</f>
        <v/>
      </c>
      <c r="N1481">
        <f>IF(OR('19_Расчет_аналитики'!N1453=0,6&lt;='01_Вводные'!$B$297),0,'19_Расчет_аналитики'!N1453*IF('01_Вводные'!$B$239="Да",MeanMinAge06+'19_Расчет_аналитики'!N1571*SUMIF(ThresholdAge06,"&lt;"&amp;'19_Расчет_аналитики'!N1571,WeightedRevAge06)-SUMIF(ThresholdAge06,"&lt;"&amp;'19_Расчет_аналитики'!N1571,WeightedMinAge06),MAX(CapacityAge06*'01_Вводные'!$B$218*'19_Расчет_аналитики'!N1571,MeanMinAge06)))</f>
        <v/>
      </c>
      <c r="O1481">
        <f>IF(OR('19_Расчет_аналитики'!O1453=0,6&lt;='01_Вводные'!$B$297),0,'19_Расчет_аналитики'!O1453*IF('01_Вводные'!$B$239="Да",MeanMinAge06+'19_Расчет_аналитики'!O1571*SUMIF(ThresholdAge06,"&lt;"&amp;'19_Расчет_аналитики'!O1571,WeightedRevAge06)-SUMIF(ThresholdAge06,"&lt;"&amp;'19_Расчет_аналитики'!O1571,WeightedMinAge06),MAX(CapacityAge06*'01_Вводные'!$B$218*'19_Расчет_аналитики'!O1571,MeanMinAge06)))</f>
        <v/>
      </c>
      <c r="P1481">
        <f>IF(OR('19_Расчет_аналитики'!P1453=0,6&lt;='01_Вводные'!$B$297),0,'19_Расчет_аналитики'!P1453*IF('01_Вводные'!$B$239="Да",MeanMinAge06+'19_Расчет_аналитики'!P1571*SUMIF(ThresholdAge06,"&lt;"&amp;'19_Расчет_аналитики'!P1571,WeightedRevAge06)-SUMIF(ThresholdAge06,"&lt;"&amp;'19_Расчет_аналитики'!P1571,WeightedMinAge06),MAX(CapacityAge06*'01_Вводные'!$B$218*'19_Расчет_аналитики'!P1571,MeanMinAge06)))</f>
        <v/>
      </c>
      <c r="Q1481">
        <f>IF(OR('19_Расчет_аналитики'!Q1453=0,6&lt;='01_Вводные'!$B$297),0,'19_Расчет_аналитики'!Q1453*IF('01_Вводные'!$B$239="Да",MeanMinAge06+'19_Расчет_аналитики'!Q1571*SUMIF(ThresholdAge06,"&lt;"&amp;'19_Расчет_аналитики'!Q1571,WeightedRevAge06)-SUMIF(ThresholdAge06,"&lt;"&amp;'19_Расчет_аналитики'!Q1571,WeightedMinAge06),MAX(CapacityAge06*'01_Вводные'!$B$218*'19_Расчет_аналитики'!Q1571,MeanMinAge06)))</f>
        <v/>
      </c>
      <c r="R1481">
        <f>IF(OR('19_Расчет_аналитики'!R1453=0,6&lt;='01_Вводные'!$B$297),0,'19_Расчет_аналитики'!R1453*IF('01_Вводные'!$B$239="Да",MeanMinAge06+'19_Расчет_аналитики'!R1571*SUMIF(ThresholdAge06,"&lt;"&amp;'19_Расчет_аналитики'!R1571,WeightedRevAge06)-SUMIF(ThresholdAge06,"&lt;"&amp;'19_Расчет_аналитики'!R1571,WeightedMinAge06),MAX(CapacityAge06*'01_Вводные'!$B$218*'19_Расчет_аналитики'!R1571,MeanMinAge06)))</f>
        <v/>
      </c>
      <c r="S1481">
        <f>IF(OR('19_Расчет_аналитики'!S1453=0,6&lt;='01_Вводные'!$B$297),0,'19_Расчет_аналитики'!S1453*IF('01_Вводные'!$B$239="Да",MeanMinAge06+'19_Расчет_аналитики'!S1571*SUMIF(ThresholdAge06,"&lt;"&amp;'19_Расчет_аналитики'!S1571,WeightedRevAge06)-SUMIF(ThresholdAge06,"&lt;"&amp;'19_Расчет_аналитики'!S1571,WeightedMinAge06),MAX(CapacityAge06*'01_Вводные'!$B$218*'19_Расчет_аналитики'!S1571,MeanMinAge06)))</f>
        <v/>
      </c>
      <c r="T1481">
        <f>IF(OR('19_Расчет_аналитики'!T1453=0,6&lt;='01_Вводные'!$B$297),0,'19_Расчет_аналитики'!T1453*IF('01_Вводные'!$B$239="Да",MeanMinAge06+'19_Расчет_аналитики'!T1571*SUMIF(ThresholdAge06,"&lt;"&amp;'19_Расчет_аналитики'!T1571,WeightedRevAge06)-SUMIF(ThresholdAge06,"&lt;"&amp;'19_Расчет_аналитики'!T1571,WeightedMinAge06),MAX(CapacityAge06*'01_Вводные'!$B$218*'19_Расчет_аналитики'!T1571,MeanMinAge06)))</f>
        <v/>
      </c>
      <c r="U1481">
        <f>IF(OR('19_Расчет_аналитики'!U1453=0,6&lt;='01_Вводные'!$B$297),0,'19_Расчет_аналитики'!U1453*IF('01_Вводные'!$B$239="Да",MeanMinAge06+'19_Расчет_аналитики'!U1571*SUMIF(ThresholdAge06,"&lt;"&amp;'19_Расчет_аналитики'!U1571,WeightedRevAge06)-SUMIF(ThresholdAge06,"&lt;"&amp;'19_Расчет_аналитики'!U1571,WeightedMinAge06),MAX(CapacityAge06*'01_Вводные'!$B$218*'19_Расчет_аналитики'!U1571,MeanMinAge06)))</f>
        <v/>
      </c>
      <c r="V1481">
        <f>IF(OR('19_Расчет_аналитики'!V1453=0,6&lt;='01_Вводные'!$B$297),0,'19_Расчет_аналитики'!V1453*IF('01_Вводные'!$B$239="Да",MeanMinAge06+'19_Расчет_аналитики'!V1571*SUMIF(ThresholdAge06,"&lt;"&amp;'19_Расчет_аналитики'!V1571,WeightedRevAge06)-SUMIF(ThresholdAge06,"&lt;"&amp;'19_Расчет_аналитики'!V1571,WeightedMinAge06),MAX(CapacityAge06*'01_Вводные'!$B$218*'19_Расчет_аналитики'!V1571,MeanMinAge06)))</f>
        <v/>
      </c>
      <c r="W1481">
        <f>IF(OR('19_Расчет_аналитики'!W1453=0,6&lt;='01_Вводные'!$B$297),0,'19_Расчет_аналитики'!W1453*IF('01_Вводные'!$B$239="Да",MeanMinAge06+'19_Расчет_аналитики'!W1571*SUMIF(ThresholdAge06,"&lt;"&amp;'19_Расчет_аналитики'!W1571,WeightedRevAge06)-SUMIF(ThresholdAge06,"&lt;"&amp;'19_Расчет_аналитики'!W1571,WeightedMinAge06),MAX(CapacityAge06*'01_Вводные'!$B$218*'19_Расчет_аналитики'!W1571,MeanMinAge06)))</f>
        <v/>
      </c>
      <c r="X1481">
        <f>IF(OR('19_Расчет_аналитики'!X1453=0,6&lt;='01_Вводные'!$B$297),0,'19_Расчет_аналитики'!X1453*IF('01_Вводные'!$B$239="Да",MeanMinAge06+'19_Расчет_аналитики'!X1571*SUMIF(ThresholdAge06,"&lt;"&amp;'19_Расчет_аналитики'!X1571,WeightedRevAge06)-SUMIF(ThresholdAge06,"&lt;"&amp;'19_Расчет_аналитики'!X1571,WeightedMinAge06),MAX(CapacityAge06*'01_Вводные'!$B$218*'19_Расчет_аналитики'!X1571,MeanMinAge06)))</f>
        <v/>
      </c>
      <c r="Y1481">
        <f>IF(OR('19_Расчет_аналитики'!Y1453=0,6&lt;='01_Вводные'!$B$297),0,'19_Расчет_аналитики'!Y1453*IF('01_Вводные'!$B$239="Да",MeanMinAge06+'19_Расчет_аналитики'!Y1571*SUMIF(ThresholdAge06,"&lt;"&amp;'19_Расчет_аналитики'!Y1571,WeightedRevAge06)-SUMIF(ThresholdAge06,"&lt;"&amp;'19_Расчет_аналитики'!Y1571,WeightedMinAge06),MAX(CapacityAge06*'01_Вводные'!$B$218*'19_Расчет_аналитики'!Y1571,MeanMinAge06)))</f>
        <v/>
      </c>
      <c r="Z1481">
        <f>IF(OR('19_Расчет_аналитики'!Z1453=0,6&lt;='01_Вводные'!$B$297),0,'19_Расчет_аналитики'!Z1453*IF('01_Вводные'!$B$239="Да",MeanMinAge06+'19_Расчет_аналитики'!Z1571*SUMIF(ThresholdAge06,"&lt;"&amp;'19_Расчет_аналитики'!Z1571,WeightedRevAge06)-SUMIF(ThresholdAge06,"&lt;"&amp;'19_Расчет_аналитики'!Z1571,WeightedMinAge06),MAX(CapacityAge06*'01_Вводные'!$B$218*'19_Расчет_аналитики'!Z1571,MeanMinAge06)))</f>
        <v/>
      </c>
      <c r="AA1481">
        <f>IF(OR('19_Расчет_аналитики'!AA1453=0,6&lt;='01_Вводные'!$B$297),0,'19_Расчет_аналитики'!AA1453*IF('01_Вводные'!$B$239="Да",MeanMinAge06+'19_Расчет_аналитики'!AA1571*SUMIF(ThresholdAge06,"&lt;"&amp;'19_Расчет_аналитики'!AA1571,WeightedRevAge06)-SUMIF(ThresholdAge06,"&lt;"&amp;'19_Расчет_аналитики'!AA1571,WeightedMinAge06),MAX(CapacityAge06*'01_Вводные'!$B$218*'19_Расчет_аналитики'!AA1571,MeanMinAge06)))</f>
        <v/>
      </c>
      <c r="AB1481">
        <f>IF(OR('19_Расчет_аналитики'!AB1453=0,6&lt;='01_Вводные'!$B$297),0,'19_Расчет_аналитики'!AB1453*IF('01_Вводные'!$B$239="Да",MeanMinAge06+'19_Расчет_аналитики'!AB1571*SUMIF(ThresholdAge06,"&lt;"&amp;'19_Расчет_аналитики'!AB1571,WeightedRevAge06)-SUMIF(ThresholdAge06,"&lt;"&amp;'19_Расчет_аналитики'!AB1571,WeightedMinAge06),MAX(CapacityAge06*'01_Вводные'!$B$218*'19_Расчет_аналитики'!AB1571,MeanMinAge06)))</f>
        <v/>
      </c>
      <c r="AC1481">
        <f>IF(OR('19_Расчет_аналитики'!AC1453=0,6&lt;='01_Вводные'!$B$297),0,'19_Расчет_аналитики'!AC1453*IF('01_Вводные'!$B$239="Да",MeanMinAge06+'19_Расчет_аналитики'!AC1571*SUMIF(ThresholdAge06,"&lt;"&amp;'19_Расчет_аналитики'!AC1571,WeightedRevAge06)-SUMIF(ThresholdAge06,"&lt;"&amp;'19_Расчет_аналитики'!AC1571,WeightedMinAge06),MAX(CapacityAge06*'01_Вводные'!$B$218*'19_Расчет_аналитики'!AC1571,MeanMinAge06)))</f>
        <v/>
      </c>
      <c r="AD1481">
        <f>IF(OR('19_Расчет_аналитики'!AD1453=0,6&lt;='01_Вводные'!$B$297),0,'19_Расчет_аналитики'!AD1453*IF('01_Вводные'!$B$239="Да",MeanMinAge06+'19_Расчет_аналитики'!AD1571*SUMIF(ThresholdAge06,"&lt;"&amp;'19_Расчет_аналитики'!AD1571,WeightedRevAge06)-SUMIF(ThresholdAge06,"&lt;"&amp;'19_Расчет_аналитики'!AD1571,WeightedMinAge06),MAX(CapacityAge06*'01_Вводные'!$B$218*'19_Расчет_аналитики'!AD1571,MeanMinAge06)))</f>
        <v/>
      </c>
      <c r="AE1481">
        <f>IF(OR('19_Расчет_аналитики'!AE1453=0,6&lt;='01_Вводные'!$B$297),0,'19_Расчет_аналитики'!AE1453*IF('01_Вводные'!$B$239="Да",MeanMinAge06+'19_Расчет_аналитики'!AE1571*SUMIF(ThresholdAge06,"&lt;"&amp;'19_Расчет_аналитики'!AE1571,WeightedRevAge06)-SUMIF(ThresholdAge06,"&lt;"&amp;'19_Расчет_аналитики'!AE1571,WeightedMinAge06),MAX(CapacityAge06*'01_Вводные'!$B$218*'19_Расчет_аналитики'!AE1571,MeanMinAge06)))</f>
        <v/>
      </c>
      <c r="AF1481">
        <f>IF(OR('19_Расчет_аналитики'!AF1453=0,6&lt;='01_Вводные'!$B$297),0,'19_Расчет_аналитики'!AF1453*IF('01_Вводные'!$B$239="Да",MeanMinAge06+'19_Расчет_аналитики'!AF1571*SUMIF(ThresholdAge06,"&lt;"&amp;'19_Расчет_аналитики'!AF1571,WeightedRevAge06)-SUMIF(ThresholdAge06,"&lt;"&amp;'19_Расчет_аналитики'!AF1571,WeightedMinAge06),MAX(CapacityAge06*'01_Вводные'!$B$218*'19_Расчет_аналитики'!AF1571,MeanMinAge06)))</f>
        <v/>
      </c>
      <c r="AG1481">
        <f>IF(OR('19_Расчет_аналитики'!AG1453=0,6&lt;='01_Вводные'!$B$297),0,'19_Расчет_аналитики'!AG1453*IF('01_Вводные'!$B$239="Да",MeanMinAge06+'19_Расчет_аналитики'!AG1571*SUMIF(ThresholdAge06,"&lt;"&amp;'19_Расчет_аналитики'!AG1571,WeightedRevAge06)-SUMIF(ThresholdAge06,"&lt;"&amp;'19_Расчет_аналитики'!AG1571,WeightedMinAge06),MAX(CapacityAge06*'01_Вводные'!$B$218*'19_Расчет_аналитики'!AG1571,MeanMinAge06)))</f>
        <v/>
      </c>
      <c r="AH1481">
        <f>IF(OR('19_Расчет_аналитики'!AH1453=0,6&lt;='01_Вводные'!$B$297),0,'19_Расчет_аналитики'!AH1453*IF('01_Вводные'!$B$239="Да",MeanMinAge06+'19_Расчет_аналитики'!AH1571*SUMIF(ThresholdAge06,"&lt;"&amp;'19_Расчет_аналитики'!AH1571,WeightedRevAge06)-SUMIF(ThresholdAge06,"&lt;"&amp;'19_Расчет_аналитики'!AH1571,WeightedMinAge06),MAX(CapacityAge06*'01_Вводные'!$B$218*'19_Расчет_аналитики'!AH1571,MeanMinAge06)))</f>
        <v/>
      </c>
      <c r="AI1481">
        <f>IF(OR('19_Расчет_аналитики'!AI1453=0,6&lt;='01_Вводные'!$B$297),0,'19_Расчет_аналитики'!AI1453*IF('01_Вводные'!$B$239="Да",MeanMinAge06+'19_Расчет_аналитики'!AI1571*SUMIF(ThresholdAge06,"&lt;"&amp;'19_Расчет_аналитики'!AI1571,WeightedRevAge06)-SUMIF(ThresholdAge06,"&lt;"&amp;'19_Расчет_аналитики'!AI1571,WeightedMinAge06),MAX(CapacityAge06*'01_Вводные'!$B$218*'19_Расчет_аналитики'!AI1571,MeanMinAge06)))</f>
        <v/>
      </c>
      <c r="AJ1481">
        <f>IF(OR('19_Расчет_аналитики'!AJ1453=0,6&lt;='01_Вводные'!$B$297),0,'19_Расчет_аналитики'!AJ1453*IF('01_Вводные'!$B$239="Да",MeanMinAge06+'19_Расчет_аналитики'!AJ1571*SUMIF(ThresholdAge06,"&lt;"&amp;'19_Расчет_аналитики'!AJ1571,WeightedRevAge06)-SUMIF(ThresholdAge06,"&lt;"&amp;'19_Расчет_аналитики'!AJ1571,WeightedMinAge06),MAX(CapacityAge06*'01_Вводные'!$B$218*'19_Расчет_аналитики'!AJ1571,MeanMinAge06)))</f>
        <v/>
      </c>
      <c r="AK1481">
        <f>IF(OR('19_Расчет_аналитики'!AK1453=0,6&lt;='01_Вводные'!$B$297),0,'19_Расчет_аналитики'!AK1453*IF('01_Вводные'!$B$239="Да",MeanMinAge06+'19_Расчет_аналитики'!AK1571*SUMIF(ThresholdAge06,"&lt;"&amp;'19_Расчет_аналитики'!AK1571,WeightedRevAge06)-SUMIF(ThresholdAge06,"&lt;"&amp;'19_Расчет_аналитики'!AK1571,WeightedMinAge06),MAX(CapacityAge06*'01_Вводные'!$B$218*'19_Расчет_аналитики'!AK1571,MeanMinAge06)))</f>
        <v/>
      </c>
      <c r="AL1481">
        <f>IF(OR('19_Расчет_аналитики'!AL1453=0,6&lt;='01_Вводные'!$B$297),0,'19_Расчет_аналитики'!AL1453*IF('01_Вводные'!$B$239="Да",MeanMinAge06+'19_Расчет_аналитики'!AL1571*SUMIF(ThresholdAge06,"&lt;"&amp;'19_Расчет_аналитики'!AL1571,WeightedRevAge06)-SUMIF(ThresholdAge06,"&lt;"&amp;'19_Расчет_аналитики'!AL1571,WeightedMinAge06),MAX(CapacityAge06*'01_Вводные'!$B$218*'19_Расчет_аналитики'!AL1571,MeanMinAge06)))</f>
        <v/>
      </c>
      <c r="AM1481">
        <f>IF(OR('19_Расчет_аналитики'!AM1453=0,6&lt;='01_Вводные'!$B$297),0,'19_Расчет_аналитики'!AM1453*IF('01_Вводные'!$B$239="Да",MeanMinAge06+'19_Расчет_аналитики'!AM1571*SUMIF(ThresholdAge06,"&lt;"&amp;'19_Расчет_аналитики'!AM1571,WeightedRevAge06)-SUMIF(ThresholdAge06,"&lt;"&amp;'19_Расчет_аналитики'!AM1571,WeightedMinAge06),MAX(CapacityAge06*'01_Вводные'!$B$218*'19_Расчет_аналитики'!AM1571,MeanMinAge06)))</f>
        <v/>
      </c>
      <c r="AN1481">
        <f>IF(OR('19_Расчет_аналитики'!AN1453=0,6&lt;='01_Вводные'!$B$297),0,'19_Расчет_аналитики'!AN1453*IF('01_Вводные'!$B$239="Да",MeanMinAge06+'19_Расчет_аналитики'!AN1571*SUMIF(ThresholdAge06,"&lt;"&amp;'19_Расчет_аналитики'!AN1571,WeightedRevAge06)-SUMIF(ThresholdAge06,"&lt;"&amp;'19_Расчет_аналитики'!AN1571,WeightedMinAge06),MAX(CapacityAge06*'01_Вводные'!$B$218*'19_Расчет_аналитики'!AN1571,MeanMinAge06)))</f>
        <v/>
      </c>
      <c r="AO1481">
        <f>IF(OR('19_Расчет_аналитики'!AO1453=0,6&lt;='01_Вводные'!$B$297),0,'19_Расчет_аналитики'!AO1453*IF('01_Вводные'!$B$239="Да",MeanMinAge06+'19_Расчет_аналитики'!AO1571*SUMIF(ThresholdAge06,"&lt;"&amp;'19_Расчет_аналитики'!AO1571,WeightedRevAge06)-SUMIF(ThresholdAge06,"&lt;"&amp;'19_Расчет_аналитики'!AO1571,WeightedMinAge06),MAX(CapacityAge06*'01_Вводные'!$B$218*'19_Расчет_аналитики'!AO1571,MeanMinAge06)))</f>
        <v/>
      </c>
      <c r="AP1481">
        <f>IF(OR('19_Расчет_аналитики'!AP1453=0,6&lt;='01_Вводные'!$B$297),0,'19_Расчет_аналитики'!AP1453*IF('01_Вводные'!$B$239="Да",MeanMinAge06+'19_Расчет_аналитики'!AP1571*SUMIF(ThresholdAge06,"&lt;"&amp;'19_Расчет_аналитики'!AP1571,WeightedRevAge06)-SUMIF(ThresholdAge06,"&lt;"&amp;'19_Расчет_аналитики'!AP1571,WeightedMinAge06),MAX(CapacityAge06*'01_Вводные'!$B$218*'19_Расчет_аналитики'!AP1571,MeanMinAge06)))</f>
        <v/>
      </c>
      <c r="AQ1481">
        <f>IF(OR('19_Расчет_аналитики'!AQ1453=0,6&lt;='01_Вводные'!$B$297),0,'19_Расчет_аналитики'!AQ1453*IF('01_Вводные'!$B$239="Да",MeanMinAge06+'19_Расчет_аналитики'!AQ1571*SUMIF(ThresholdAge06,"&lt;"&amp;'19_Расчет_аналитики'!AQ1571,WeightedRevAge06)-SUMIF(ThresholdAge06,"&lt;"&amp;'19_Расчет_аналитики'!AQ1571,WeightedMinAge06),MAX(CapacityAge06*'01_Вводные'!$B$218*'19_Расчет_аналитики'!AQ1571,MeanMinAge06)))</f>
        <v/>
      </c>
      <c r="AR1481">
        <f>IF(OR('19_Расчет_аналитики'!AR1453=0,6&lt;='01_Вводные'!$B$297),0,'19_Расчет_аналитики'!AR1453*IF('01_Вводные'!$B$239="Да",MeanMinAge06+'19_Расчет_аналитики'!AR1571*SUMIF(ThresholdAge06,"&lt;"&amp;'19_Расчет_аналитики'!AR1571,WeightedRevAge06)-SUMIF(ThresholdAge06,"&lt;"&amp;'19_Расчет_аналитики'!AR1571,WeightedMinAge06),MAX(CapacityAge06*'01_Вводные'!$B$218*'19_Расчет_аналитики'!AR1571,MeanMinAge06)))</f>
        <v/>
      </c>
      <c r="AS1481">
        <f>IF(OR('19_Расчет_аналитики'!AS1453=0,6&lt;='01_Вводные'!$B$297),0,'19_Расчет_аналитики'!AS1453*IF('01_Вводные'!$B$239="Да",MeanMinAge06+'19_Расчет_аналитики'!AS1571*SUMIF(ThresholdAge06,"&lt;"&amp;'19_Расчет_аналитики'!AS1571,WeightedRevAge06)-SUMIF(ThresholdAge06,"&lt;"&amp;'19_Расчет_аналитики'!AS1571,WeightedMinAge06),MAX(CapacityAge06*'01_Вводные'!$B$218*'19_Расчет_аналитики'!AS1571,MeanMinAge06)))</f>
        <v/>
      </c>
      <c r="AT1481">
        <f>IF(OR('19_Расчет_аналитики'!AT1453=0,6&lt;='01_Вводные'!$B$297),0,'19_Расчет_аналитики'!AT1453*IF('01_Вводные'!$B$239="Да",MeanMinAge06+'19_Расчет_аналитики'!AT1571*SUMIF(ThresholdAge06,"&lt;"&amp;'19_Расчет_аналитики'!AT1571,WeightedRevAge06)-SUMIF(ThresholdAge06,"&lt;"&amp;'19_Расчет_аналитики'!AT1571,WeightedMinAge06),MAX(CapacityAge06*'01_Вводные'!$B$218*'19_Расчет_аналитики'!AT1571,MeanMinAge06)))</f>
        <v/>
      </c>
      <c r="AU1481">
        <f>IF(OR('19_Расчет_аналитики'!AU1453=0,6&lt;='01_Вводные'!$B$297),0,'19_Расчет_аналитики'!AU1453*IF('01_Вводные'!$B$239="Да",MeanMinAge06+'19_Расчет_аналитики'!AU1571*SUMIF(ThresholdAge06,"&lt;"&amp;'19_Расчет_аналитики'!AU1571,WeightedRevAge06)-SUMIF(ThresholdAge06,"&lt;"&amp;'19_Расчет_аналитики'!AU1571,WeightedMinAge06),MAX(CapacityAge06*'01_Вводные'!$B$218*'19_Расчет_аналитики'!AU1571,MeanMinAge06)))</f>
        <v/>
      </c>
      <c r="AV1481">
        <f>IF(OR('19_Расчет_аналитики'!AV1453=0,6&lt;='01_Вводные'!$B$297),0,'19_Расчет_аналитики'!AV1453*IF('01_Вводные'!$B$239="Да",MeanMinAge06+'19_Расчет_аналитики'!AV1571*SUMIF(ThresholdAge06,"&lt;"&amp;'19_Расчет_аналитики'!AV1571,WeightedRevAge06)-SUMIF(ThresholdAge06,"&lt;"&amp;'19_Расчет_аналитики'!AV1571,WeightedMinAge06),MAX(CapacityAge06*'01_Вводные'!$B$218*'19_Расчет_аналитики'!AV1571,MeanMinAge06)))</f>
        <v/>
      </c>
      <c r="AW1481">
        <f>IF(OR('19_Расчет_аналитики'!AW1453=0,6&lt;='01_Вводные'!$B$297),0,'19_Расчет_аналитики'!AW1453*IF('01_Вводные'!$B$239="Да",MeanMinAge06+'19_Расчет_аналитики'!AW1571*SUMIF(ThresholdAge06,"&lt;"&amp;'19_Расчет_аналитики'!AW1571,WeightedRevAge06)-SUMIF(ThresholdAge06,"&lt;"&amp;'19_Расчет_аналитики'!AW1571,WeightedMinAge06),MAX(CapacityAge06*'01_Вводные'!$B$218*'19_Расчет_аналитики'!AW1571,MeanMinAge06)))</f>
        <v/>
      </c>
      <c r="AX1481">
        <f>IF(OR('19_Расчет_аналитики'!AX1453=0,6&lt;='01_Вводные'!$B$297),0,'19_Расчет_аналитики'!AX1453*IF('01_Вводные'!$B$239="Да",MeanMinAge06+'19_Расчет_аналитики'!AX1571*SUMIF(ThresholdAge06,"&lt;"&amp;'19_Расчет_аналитики'!AX1571,WeightedRevAge06)-SUMIF(ThresholdAge06,"&lt;"&amp;'19_Расчет_аналитики'!AX1571,WeightedMinAge06),MAX(CapacityAge06*'01_Вводные'!$B$218*'19_Расчет_аналитики'!AX1571,MeanMinAge06)))</f>
        <v/>
      </c>
      <c r="AY1481">
        <f>IF(OR('19_Расчет_аналитики'!AY1453=0,6&lt;='01_Вводные'!$B$297),0,'19_Расчет_аналитики'!AY1453*IF('01_Вводные'!$B$239="Да",MeanMinAge06+'19_Расчет_аналитики'!AY1571*SUMIF(ThresholdAge06,"&lt;"&amp;'19_Расчет_аналитики'!AY1571,WeightedRevAge06)-SUMIF(ThresholdAge06,"&lt;"&amp;'19_Расчет_аналитики'!AY1571,WeightedMinAge06),MAX(CapacityAge06*'01_Вводные'!$B$218*'19_Расчет_аналитики'!AY1571,MeanMinAge06)))</f>
        <v/>
      </c>
      <c r="AZ1481">
        <f>IF(OR('19_Расчет_аналитики'!AZ1453=0,6&lt;='01_Вводные'!$B$297),0,'19_Расчет_аналитики'!AZ1453*IF('01_Вводные'!$B$239="Да",MeanMinAge06+'19_Расчет_аналитики'!AZ1571*SUMIF(ThresholdAge06,"&lt;"&amp;'19_Расчет_аналитики'!AZ1571,WeightedRevAge06)-SUMIF(ThresholdAge06,"&lt;"&amp;'19_Расчет_аналитики'!AZ1571,WeightedMinAge06),MAX(CapacityAge06*'01_Вводные'!$B$218*'19_Расчет_аналитики'!AZ1571,MeanMinAge06)))</f>
        <v/>
      </c>
      <c r="BA1481">
        <f>IF(OR('19_Расчет_аналитики'!BA1453=0,6&lt;='01_Вводные'!$B$297),0,'19_Расчет_аналитики'!BA1453*IF('01_Вводные'!$B$239="Да",MeanMinAge06+'19_Расчет_аналитики'!BA1571*SUMIF(ThresholdAge06,"&lt;"&amp;'19_Расчет_аналитики'!BA1571,WeightedRevAge06)-SUMIF(ThresholdAge06,"&lt;"&amp;'19_Расчет_аналитики'!BA1571,WeightedMinAge06),MAX(CapacityAge06*'01_Вводные'!$B$218*'19_Расчет_аналитики'!BA1571,MeanMinAge06)))</f>
        <v/>
      </c>
      <c r="BB1481">
        <f>IF(OR('19_Расчет_аналитики'!BB1453=0,6&lt;='01_Вводные'!$B$297),0,'19_Расчет_аналитики'!BB1453*IF('01_Вводные'!$B$239="Да",MeanMinAge06+'19_Расчет_аналитики'!BB1571*SUMIF(ThresholdAge06,"&lt;"&amp;'19_Расчет_аналитики'!BB1571,WeightedRevAge06)-SUMIF(ThresholdAge06,"&lt;"&amp;'19_Расчет_аналитики'!BB1571,WeightedMinAge06),MAX(CapacityAge06*'01_Вводные'!$B$218*'19_Расчет_аналитики'!BB1571,MeanMinAge06)))</f>
        <v/>
      </c>
      <c r="BC1481">
        <f>IF(OR('19_Расчет_аналитики'!BC1453=0,6&lt;='01_Вводные'!$B$297),0,'19_Расчет_аналитики'!BC1453*IF('01_Вводные'!$B$239="Да",MeanMinAge06+'19_Расчет_аналитики'!BC1571*SUMIF(ThresholdAge06,"&lt;"&amp;'19_Расчет_аналитики'!BC1571,WeightedRevAge06)-SUMIF(ThresholdAge06,"&lt;"&amp;'19_Расчет_аналитики'!BC1571,WeightedMinAge06),MAX(CapacityAge06*'01_Вводные'!$B$218*'19_Расчет_аналитики'!BC1571,MeanMinAge06)))</f>
        <v/>
      </c>
      <c r="BD1481">
        <f>IF(OR('19_Расчет_аналитики'!BD1453=0,6&lt;='01_Вводные'!$B$297),0,'19_Расчет_аналитики'!BD1453*IF('01_Вводные'!$B$239="Да",MeanMinAge06+'19_Расчет_аналитики'!BD1571*SUMIF(ThresholdAge06,"&lt;"&amp;'19_Расчет_аналитики'!BD1571,WeightedRevAge06)-SUMIF(ThresholdAge06,"&lt;"&amp;'19_Расчет_аналитики'!BD1571,WeightedMinAge06),MAX(CapacityAge06*'01_Вводные'!$B$218*'19_Расчет_аналитики'!BD1571,MeanMinAge06)))</f>
        <v/>
      </c>
      <c r="BE1481">
        <f>IF(OR('19_Расчет_аналитики'!BE1453=0,6&lt;='01_Вводные'!$B$297),0,'19_Расчет_аналитики'!BE1453*IF('01_Вводные'!$B$239="Да",MeanMinAge06+'19_Расчет_аналитики'!BE1571*SUMIF(ThresholdAge06,"&lt;"&amp;'19_Расчет_аналитики'!BE1571,WeightedRevAge06)-SUMIF(ThresholdAge06,"&lt;"&amp;'19_Расчет_аналитики'!BE1571,WeightedMinAge06),MAX(CapacityAge06*'01_Вводные'!$B$218*'19_Расчет_аналитики'!BE1571,MeanMinAge06)))</f>
        <v/>
      </c>
      <c r="BF1481">
        <f>IF(OR('19_Расчет_аналитики'!BF1453=0,6&lt;='01_Вводные'!$B$297),0,'19_Расчет_аналитики'!BF1453*IF('01_Вводные'!$B$239="Да",MeanMinAge06+'19_Расчет_аналитики'!BF1571*SUMIF(ThresholdAge06,"&lt;"&amp;'19_Расчет_аналитики'!BF1571,WeightedRevAge06)-SUMIF(ThresholdAge06,"&lt;"&amp;'19_Расчет_аналитики'!BF1571,WeightedMinAge06),MAX(CapacityAge06*'01_Вводные'!$B$218*'19_Расчет_аналитики'!BF1571,MeanMinAge06)))</f>
        <v/>
      </c>
      <c r="BG1481">
        <f>IF(OR('19_Расчет_аналитики'!BG1453=0,6&lt;='01_Вводные'!$B$297),0,'19_Расчет_аналитики'!BG1453*IF('01_Вводные'!$B$239="Да",MeanMinAge06+'19_Расчет_аналитики'!BG1571*SUMIF(ThresholdAge06,"&lt;"&amp;'19_Расчет_аналитики'!BG1571,WeightedRevAge06)-SUMIF(ThresholdAge06,"&lt;"&amp;'19_Расчет_аналитики'!BG1571,WeightedMinAge06),MAX(CapacityAge06*'01_Вводные'!$B$218*'19_Расчет_аналитики'!BG1571,MeanMinAge06)))</f>
        <v/>
      </c>
      <c r="BH1481">
        <f>IF(OR('19_Расчет_аналитики'!BH1453=0,6&lt;='01_Вводные'!$B$297),0,'19_Расчет_аналитики'!BH1453*IF('01_Вводные'!$B$239="Да",MeanMinAge06+'19_Расчет_аналитики'!BH1571*SUMIF(ThresholdAge06,"&lt;"&amp;'19_Расчет_аналитики'!BH1571,WeightedRevAge06)-SUMIF(ThresholdAge06,"&lt;"&amp;'19_Расчет_аналитики'!BH1571,WeightedMinAge06),MAX(CapacityAge06*'01_Вводные'!$B$218*'19_Расчет_аналитики'!BH1571,MeanMinAge06)))</f>
        <v/>
      </c>
      <c r="BI1481">
        <f>IF(OR('19_Расчет_аналитики'!BI1453=0,6&lt;='01_Вводные'!$B$297),0,'19_Расчет_аналитики'!BI1453*IF('01_Вводные'!$B$239="Да",MeanMinAge06+'19_Расчет_аналитики'!BI1571*SUMIF(ThresholdAge06,"&lt;"&amp;'19_Расчет_аналитики'!BI1571,WeightedRevAge06)-SUMIF(ThresholdAge06,"&lt;"&amp;'19_Расчет_аналитики'!BI1571,WeightedMinAge06),MAX(CapacityAge06*'01_Вводные'!$B$218*'19_Расчет_аналитики'!BI1571,MeanMinAge06)))</f>
        <v/>
      </c>
      <c r="BJ1481">
        <f>IF(OR('19_Расчет_аналитики'!BJ1453=0,6&lt;='01_Вводные'!$B$297),0,'19_Расчет_аналитики'!BJ1453*IF('01_Вводные'!$B$239="Да",MeanMinAge06+'19_Расчет_аналитики'!BJ1571*SUMIF(ThresholdAge06,"&lt;"&amp;'19_Расчет_аналитики'!BJ1571,WeightedRevAge06)-SUMIF(ThresholdAge06,"&lt;"&amp;'19_Расчет_аналитики'!BJ1571,WeightedMinAge06),MAX(CapacityAge06*'01_Вводные'!$B$218*'19_Расчет_аналитики'!BJ1571,MeanMinAge06)))</f>
        <v/>
      </c>
      <c r="BK1481">
        <f>IF(OR('19_Расчет_аналитики'!BK1453=0,6&lt;='01_Вводные'!$B$297),0,'19_Расчет_аналитики'!BK1453*IF('01_Вводные'!$B$239="Да",MeanMinAge06+'19_Расчет_аналитики'!BK1571*SUMIF(ThresholdAge06,"&lt;"&amp;'19_Расчет_аналитики'!BK1571,WeightedRevAge06)-SUMIF(ThresholdAge06,"&lt;"&amp;'19_Расчет_аналитики'!BK1571,WeightedMinAge06),MAX(CapacityAge06*'01_Вводные'!$B$218*'19_Расчет_аналитики'!BK1571,MeanMinAge06)))</f>
        <v/>
      </c>
      <c r="BL1481">
        <f>IF(OR('19_Расчет_аналитики'!BL1453=0,6&lt;='01_Вводные'!$B$297),0,'19_Расчет_аналитики'!BL1453*IF('01_Вводные'!$B$239="Да",MeanMinAge06+'19_Расчет_аналитики'!BL1571*SUMIF(ThresholdAge06,"&lt;"&amp;'19_Расчет_аналитики'!BL1571,WeightedRevAge06)-SUMIF(ThresholdAge06,"&lt;"&amp;'19_Расчет_аналитики'!BL1571,WeightedMinAge06),MAX(CapacityAge06*'01_Вводные'!$B$218*'19_Расчет_аналитики'!BL1571,MeanMinAge06)))</f>
        <v/>
      </c>
      <c r="BM1481">
        <f>IF(OR('19_Расчет_аналитики'!BM1453=0,6&lt;='01_Вводные'!$B$297),0,'19_Расчет_аналитики'!BM1453*IF('01_Вводные'!$B$239="Да",MeanMinAge06+'19_Расчет_аналитики'!BM1571*SUMIF(ThresholdAge06,"&lt;"&amp;'19_Расчет_аналитики'!BM1571,WeightedRevAge06)-SUMIF(ThresholdAge06,"&lt;"&amp;'19_Расчет_аналитики'!BM1571,WeightedMinAge06),MAX(CapacityAge06*'01_Вводные'!$B$218*'19_Расчет_аналитики'!BM1571,MeanMinAge06)))</f>
        <v/>
      </c>
      <c r="BN1481">
        <f>IF(OR('19_Расчет_аналитики'!BN1453=0,6&lt;='01_Вводные'!$B$297),0,'19_Расчет_аналитики'!BN1453*IF('01_Вводные'!$B$239="Да",MeanMinAge06+'19_Расчет_аналитики'!BN1571*SUMIF(ThresholdAge06,"&lt;"&amp;'19_Расчет_аналитики'!BN1571,WeightedRevAge06)-SUMIF(ThresholdAge06,"&lt;"&amp;'19_Расчет_аналитики'!BN1571,WeightedMinAge06),MAX(CapacityAge06*'01_Вводные'!$B$218*'19_Расчет_аналитики'!BN1571,MeanMinAge06)))</f>
        <v/>
      </c>
      <c r="BO1481">
        <f>IF(OR('19_Расчет_аналитики'!BO1453=0,6&lt;='01_Вводные'!$B$297),0,'19_Расчет_аналитики'!BO1453*IF('01_Вводные'!$B$239="Да",MeanMinAge06+'19_Расчет_аналитики'!BO1571*SUMIF(ThresholdAge06,"&lt;"&amp;'19_Расчет_аналитики'!BO1571,WeightedRevAge06)-SUMIF(ThresholdAge06,"&lt;"&amp;'19_Расчет_аналитики'!BO1571,WeightedMinAge06),MAX(CapacityAge06*'01_Вводные'!$B$218*'19_Расчет_аналитики'!BO1571,MeanMinAge06)))</f>
        <v/>
      </c>
    </row>
    <row r="1482">
      <c r="B1482">
        <f>IF(OR('06_Сеть_и_дети'!B87=0,7&lt;='01_Вводные'!$B$297),0,'06_Сеть_и_дети'!B87*IF('01_Вводные'!$B$239="Да",MeanMinAge07+'19_Расчет_аналитики'!B1571*SUMIF(ThresholdAge07,"&lt;"&amp;'19_Расчет_аналитики'!B1571,WeightedRevAge07)-SUMIF(ThresholdAge07,"&lt;"&amp;'19_Расчет_аналитики'!B1571,WeightedMinAge07),MAX(CapacityAge07*'01_Вводные'!$B$218*'19_Расчет_аналитики'!B1571,MeanMinAge07)))</f>
        <v/>
      </c>
      <c r="C1482">
        <f>IF(OR('06_Сеть_и_дети'!C87=0,7&lt;='01_Вводные'!$B$297),0,'06_Сеть_и_дети'!C87*IF('01_Вводные'!$B$239="Да",MeanMinAge07+'19_Расчет_аналитики'!C1571*SUMIF(ThresholdAge07,"&lt;"&amp;'19_Расчет_аналитики'!C1571,WeightedRevAge07)-SUMIF(ThresholdAge07,"&lt;"&amp;'19_Расчет_аналитики'!C1571,WeightedMinAge07),MAX(CapacityAge07*'01_Вводные'!$B$218*'19_Расчет_аналитики'!C1571,MeanMinAge07)))</f>
        <v/>
      </c>
      <c r="D1482">
        <f>IF(OR('06_Сеть_и_дети'!D87=0,7&lt;='01_Вводные'!$B$297),0,'06_Сеть_и_дети'!D87*IF('01_Вводные'!$B$239="Да",MeanMinAge07+'19_Расчет_аналитики'!D1571*SUMIF(ThresholdAge07,"&lt;"&amp;'19_Расчет_аналитики'!D1571,WeightedRevAge07)-SUMIF(ThresholdAge07,"&lt;"&amp;'19_Расчет_аналитики'!D1571,WeightedMinAge07),MAX(CapacityAge07*'01_Вводные'!$B$218*'19_Расчет_аналитики'!D1571,MeanMinAge07)))</f>
        <v/>
      </c>
      <c r="E1482">
        <f>IF(OR('06_Сеть_и_дети'!E87=0,7&lt;='01_Вводные'!$B$297),0,'06_Сеть_и_дети'!E87*IF('01_Вводные'!$B$239="Да",MeanMinAge07+'19_Расчет_аналитики'!E1571*SUMIF(ThresholdAge07,"&lt;"&amp;'19_Расчет_аналитики'!E1571,WeightedRevAge07)-SUMIF(ThresholdAge07,"&lt;"&amp;'19_Расчет_аналитики'!E1571,WeightedMinAge07),MAX(CapacityAge07*'01_Вводные'!$B$218*'19_Расчет_аналитики'!E1571,MeanMinAge07)))</f>
        <v/>
      </c>
      <c r="F1482">
        <f>IF(OR('06_Сеть_и_дети'!F87=0,7&lt;='01_Вводные'!$B$297),0,'06_Сеть_и_дети'!F87*IF('01_Вводные'!$B$239="Да",MeanMinAge07+'19_Расчет_аналитики'!F1571*SUMIF(ThresholdAge07,"&lt;"&amp;'19_Расчет_аналитики'!F1571,WeightedRevAge07)-SUMIF(ThresholdAge07,"&lt;"&amp;'19_Расчет_аналитики'!F1571,WeightedMinAge07),MAX(CapacityAge07*'01_Вводные'!$B$218*'19_Расчет_аналитики'!F1571,MeanMinAge07)))</f>
        <v/>
      </c>
      <c r="G1482">
        <f>IF(OR('06_Сеть_и_дети'!G87=0,7&lt;='01_Вводные'!$B$297),0,'06_Сеть_и_дети'!G87*IF('01_Вводные'!$B$239="Да",MeanMinAge07+'19_Расчет_аналитики'!G1571*SUMIF(ThresholdAge07,"&lt;"&amp;'19_Расчет_аналитики'!G1571,WeightedRevAge07)-SUMIF(ThresholdAge07,"&lt;"&amp;'19_Расчет_аналитики'!G1571,WeightedMinAge07),MAX(CapacityAge07*'01_Вводные'!$B$218*'19_Расчет_аналитики'!G1571,MeanMinAge07)))</f>
        <v/>
      </c>
      <c r="H1482">
        <f>IF(OR('19_Расчет_аналитики'!H1454=0,7&lt;='01_Вводные'!$B$297),0,'19_Расчет_аналитики'!H1454*IF('01_Вводные'!$B$239="Да",MeanMinAge07+'19_Расчет_аналитики'!H1571*SUMIF(ThresholdAge07,"&lt;"&amp;'19_Расчет_аналитики'!H1571,WeightedRevAge07)-SUMIF(ThresholdAge07,"&lt;"&amp;'19_Расчет_аналитики'!H1571,WeightedMinAge07),MAX(CapacityAge07*'01_Вводные'!$B$218*'19_Расчет_аналитики'!H1571,MeanMinAge07)))</f>
        <v/>
      </c>
      <c r="I1482">
        <f>IF(OR('19_Расчет_аналитики'!I1454=0,7&lt;='01_Вводные'!$B$297),0,'19_Расчет_аналитики'!I1454*IF('01_Вводные'!$B$239="Да",MeanMinAge07+'19_Расчет_аналитики'!I1571*SUMIF(ThresholdAge07,"&lt;"&amp;'19_Расчет_аналитики'!I1571,WeightedRevAge07)-SUMIF(ThresholdAge07,"&lt;"&amp;'19_Расчет_аналитики'!I1571,WeightedMinAge07),MAX(CapacityAge07*'01_Вводные'!$B$218*'19_Расчет_аналитики'!I1571,MeanMinAge07)))</f>
        <v/>
      </c>
      <c r="J1482">
        <f>IF(OR('19_Расчет_аналитики'!J1454=0,7&lt;='01_Вводные'!$B$297),0,'19_Расчет_аналитики'!J1454*IF('01_Вводные'!$B$239="Да",MeanMinAge07+'19_Расчет_аналитики'!J1571*SUMIF(ThresholdAge07,"&lt;"&amp;'19_Расчет_аналитики'!J1571,WeightedRevAge07)-SUMIF(ThresholdAge07,"&lt;"&amp;'19_Расчет_аналитики'!J1571,WeightedMinAge07),MAX(CapacityAge07*'01_Вводные'!$B$218*'19_Расчет_аналитики'!J1571,MeanMinAge07)))</f>
        <v/>
      </c>
      <c r="K1482">
        <f>IF(OR('19_Расчет_аналитики'!K1454=0,7&lt;='01_Вводные'!$B$297),0,'19_Расчет_аналитики'!K1454*IF('01_Вводные'!$B$239="Да",MeanMinAge07+'19_Расчет_аналитики'!K1571*SUMIF(ThresholdAge07,"&lt;"&amp;'19_Расчет_аналитики'!K1571,WeightedRevAge07)-SUMIF(ThresholdAge07,"&lt;"&amp;'19_Расчет_аналитики'!K1571,WeightedMinAge07),MAX(CapacityAge07*'01_Вводные'!$B$218*'19_Расчет_аналитики'!K1571,MeanMinAge07)))</f>
        <v/>
      </c>
      <c r="L1482">
        <f>IF(OR('19_Расчет_аналитики'!L1454=0,7&lt;='01_Вводные'!$B$297),0,'19_Расчет_аналитики'!L1454*IF('01_Вводные'!$B$239="Да",MeanMinAge07+'19_Расчет_аналитики'!L1571*SUMIF(ThresholdAge07,"&lt;"&amp;'19_Расчет_аналитики'!L1571,WeightedRevAge07)-SUMIF(ThresholdAge07,"&lt;"&amp;'19_Расчет_аналитики'!L1571,WeightedMinAge07),MAX(CapacityAge07*'01_Вводные'!$B$218*'19_Расчет_аналитики'!L1571,MeanMinAge07)))</f>
        <v/>
      </c>
      <c r="M1482">
        <f>IF(OR('19_Расчет_аналитики'!M1454=0,7&lt;='01_Вводные'!$B$297),0,'19_Расчет_аналитики'!M1454*IF('01_Вводные'!$B$239="Да",MeanMinAge07+'19_Расчет_аналитики'!M1571*SUMIF(ThresholdAge07,"&lt;"&amp;'19_Расчет_аналитики'!M1571,WeightedRevAge07)-SUMIF(ThresholdAge07,"&lt;"&amp;'19_Расчет_аналитики'!M1571,WeightedMinAge07),MAX(CapacityAge07*'01_Вводные'!$B$218*'19_Расчет_аналитики'!M1571,MeanMinAge07)))</f>
        <v/>
      </c>
      <c r="N1482">
        <f>IF(OR('19_Расчет_аналитики'!N1454=0,7&lt;='01_Вводные'!$B$297),0,'19_Расчет_аналитики'!N1454*IF('01_Вводные'!$B$239="Да",MeanMinAge07+'19_Расчет_аналитики'!N1571*SUMIF(ThresholdAge07,"&lt;"&amp;'19_Расчет_аналитики'!N1571,WeightedRevAge07)-SUMIF(ThresholdAge07,"&lt;"&amp;'19_Расчет_аналитики'!N1571,WeightedMinAge07),MAX(CapacityAge07*'01_Вводные'!$B$218*'19_Расчет_аналитики'!N1571,MeanMinAge07)))</f>
        <v/>
      </c>
      <c r="O1482">
        <f>IF(OR('19_Расчет_аналитики'!O1454=0,7&lt;='01_Вводные'!$B$297),0,'19_Расчет_аналитики'!O1454*IF('01_Вводные'!$B$239="Да",MeanMinAge07+'19_Расчет_аналитики'!O1571*SUMIF(ThresholdAge07,"&lt;"&amp;'19_Расчет_аналитики'!O1571,WeightedRevAge07)-SUMIF(ThresholdAge07,"&lt;"&amp;'19_Расчет_аналитики'!O1571,WeightedMinAge07),MAX(CapacityAge07*'01_Вводные'!$B$218*'19_Расчет_аналитики'!O1571,MeanMinAge07)))</f>
        <v/>
      </c>
      <c r="P1482">
        <f>IF(OR('19_Расчет_аналитики'!P1454=0,7&lt;='01_Вводные'!$B$297),0,'19_Расчет_аналитики'!P1454*IF('01_Вводные'!$B$239="Да",MeanMinAge07+'19_Расчет_аналитики'!P1571*SUMIF(ThresholdAge07,"&lt;"&amp;'19_Расчет_аналитики'!P1571,WeightedRevAge07)-SUMIF(ThresholdAge07,"&lt;"&amp;'19_Расчет_аналитики'!P1571,WeightedMinAge07),MAX(CapacityAge07*'01_Вводные'!$B$218*'19_Расчет_аналитики'!P1571,MeanMinAge07)))</f>
        <v/>
      </c>
      <c r="Q1482">
        <f>IF(OR('19_Расчет_аналитики'!Q1454=0,7&lt;='01_Вводные'!$B$297),0,'19_Расчет_аналитики'!Q1454*IF('01_Вводные'!$B$239="Да",MeanMinAge07+'19_Расчет_аналитики'!Q1571*SUMIF(ThresholdAge07,"&lt;"&amp;'19_Расчет_аналитики'!Q1571,WeightedRevAge07)-SUMIF(ThresholdAge07,"&lt;"&amp;'19_Расчет_аналитики'!Q1571,WeightedMinAge07),MAX(CapacityAge07*'01_Вводные'!$B$218*'19_Расчет_аналитики'!Q1571,MeanMinAge07)))</f>
        <v/>
      </c>
      <c r="R1482">
        <f>IF(OR('19_Расчет_аналитики'!R1454=0,7&lt;='01_Вводные'!$B$297),0,'19_Расчет_аналитики'!R1454*IF('01_Вводные'!$B$239="Да",MeanMinAge07+'19_Расчет_аналитики'!R1571*SUMIF(ThresholdAge07,"&lt;"&amp;'19_Расчет_аналитики'!R1571,WeightedRevAge07)-SUMIF(ThresholdAge07,"&lt;"&amp;'19_Расчет_аналитики'!R1571,WeightedMinAge07),MAX(CapacityAge07*'01_Вводные'!$B$218*'19_Расчет_аналитики'!R1571,MeanMinAge07)))</f>
        <v/>
      </c>
      <c r="S1482">
        <f>IF(OR('19_Расчет_аналитики'!S1454=0,7&lt;='01_Вводные'!$B$297),0,'19_Расчет_аналитики'!S1454*IF('01_Вводные'!$B$239="Да",MeanMinAge07+'19_Расчет_аналитики'!S1571*SUMIF(ThresholdAge07,"&lt;"&amp;'19_Расчет_аналитики'!S1571,WeightedRevAge07)-SUMIF(ThresholdAge07,"&lt;"&amp;'19_Расчет_аналитики'!S1571,WeightedMinAge07),MAX(CapacityAge07*'01_Вводные'!$B$218*'19_Расчет_аналитики'!S1571,MeanMinAge07)))</f>
        <v/>
      </c>
      <c r="T1482">
        <f>IF(OR('19_Расчет_аналитики'!T1454=0,7&lt;='01_Вводные'!$B$297),0,'19_Расчет_аналитики'!T1454*IF('01_Вводные'!$B$239="Да",MeanMinAge07+'19_Расчет_аналитики'!T1571*SUMIF(ThresholdAge07,"&lt;"&amp;'19_Расчет_аналитики'!T1571,WeightedRevAge07)-SUMIF(ThresholdAge07,"&lt;"&amp;'19_Расчет_аналитики'!T1571,WeightedMinAge07),MAX(CapacityAge07*'01_Вводные'!$B$218*'19_Расчет_аналитики'!T1571,MeanMinAge07)))</f>
        <v/>
      </c>
      <c r="U1482">
        <f>IF(OR('19_Расчет_аналитики'!U1454=0,7&lt;='01_Вводные'!$B$297),0,'19_Расчет_аналитики'!U1454*IF('01_Вводные'!$B$239="Да",MeanMinAge07+'19_Расчет_аналитики'!U1571*SUMIF(ThresholdAge07,"&lt;"&amp;'19_Расчет_аналитики'!U1571,WeightedRevAge07)-SUMIF(ThresholdAge07,"&lt;"&amp;'19_Расчет_аналитики'!U1571,WeightedMinAge07),MAX(CapacityAge07*'01_Вводные'!$B$218*'19_Расчет_аналитики'!U1571,MeanMinAge07)))</f>
        <v/>
      </c>
      <c r="V1482">
        <f>IF(OR('19_Расчет_аналитики'!V1454=0,7&lt;='01_Вводные'!$B$297),0,'19_Расчет_аналитики'!V1454*IF('01_Вводные'!$B$239="Да",MeanMinAge07+'19_Расчет_аналитики'!V1571*SUMIF(ThresholdAge07,"&lt;"&amp;'19_Расчет_аналитики'!V1571,WeightedRevAge07)-SUMIF(ThresholdAge07,"&lt;"&amp;'19_Расчет_аналитики'!V1571,WeightedMinAge07),MAX(CapacityAge07*'01_Вводные'!$B$218*'19_Расчет_аналитики'!V1571,MeanMinAge07)))</f>
        <v/>
      </c>
      <c r="W1482">
        <f>IF(OR('19_Расчет_аналитики'!W1454=0,7&lt;='01_Вводные'!$B$297),0,'19_Расчет_аналитики'!W1454*IF('01_Вводные'!$B$239="Да",MeanMinAge07+'19_Расчет_аналитики'!W1571*SUMIF(ThresholdAge07,"&lt;"&amp;'19_Расчет_аналитики'!W1571,WeightedRevAge07)-SUMIF(ThresholdAge07,"&lt;"&amp;'19_Расчет_аналитики'!W1571,WeightedMinAge07),MAX(CapacityAge07*'01_Вводные'!$B$218*'19_Расчет_аналитики'!W1571,MeanMinAge07)))</f>
        <v/>
      </c>
      <c r="X1482">
        <f>IF(OR('19_Расчет_аналитики'!X1454=0,7&lt;='01_Вводные'!$B$297),0,'19_Расчет_аналитики'!X1454*IF('01_Вводные'!$B$239="Да",MeanMinAge07+'19_Расчет_аналитики'!X1571*SUMIF(ThresholdAge07,"&lt;"&amp;'19_Расчет_аналитики'!X1571,WeightedRevAge07)-SUMIF(ThresholdAge07,"&lt;"&amp;'19_Расчет_аналитики'!X1571,WeightedMinAge07),MAX(CapacityAge07*'01_Вводные'!$B$218*'19_Расчет_аналитики'!X1571,MeanMinAge07)))</f>
        <v/>
      </c>
      <c r="Y1482">
        <f>IF(OR('19_Расчет_аналитики'!Y1454=0,7&lt;='01_Вводные'!$B$297),0,'19_Расчет_аналитики'!Y1454*IF('01_Вводные'!$B$239="Да",MeanMinAge07+'19_Расчет_аналитики'!Y1571*SUMIF(ThresholdAge07,"&lt;"&amp;'19_Расчет_аналитики'!Y1571,WeightedRevAge07)-SUMIF(ThresholdAge07,"&lt;"&amp;'19_Расчет_аналитики'!Y1571,WeightedMinAge07),MAX(CapacityAge07*'01_Вводные'!$B$218*'19_Расчет_аналитики'!Y1571,MeanMinAge07)))</f>
        <v/>
      </c>
      <c r="Z1482">
        <f>IF(OR('19_Расчет_аналитики'!Z1454=0,7&lt;='01_Вводные'!$B$297),0,'19_Расчет_аналитики'!Z1454*IF('01_Вводные'!$B$239="Да",MeanMinAge07+'19_Расчет_аналитики'!Z1571*SUMIF(ThresholdAge07,"&lt;"&amp;'19_Расчет_аналитики'!Z1571,WeightedRevAge07)-SUMIF(ThresholdAge07,"&lt;"&amp;'19_Расчет_аналитики'!Z1571,WeightedMinAge07),MAX(CapacityAge07*'01_Вводные'!$B$218*'19_Расчет_аналитики'!Z1571,MeanMinAge07)))</f>
        <v/>
      </c>
      <c r="AA1482">
        <f>IF(OR('19_Расчет_аналитики'!AA1454=0,7&lt;='01_Вводные'!$B$297),0,'19_Расчет_аналитики'!AA1454*IF('01_Вводные'!$B$239="Да",MeanMinAge07+'19_Расчет_аналитики'!AA1571*SUMIF(ThresholdAge07,"&lt;"&amp;'19_Расчет_аналитики'!AA1571,WeightedRevAge07)-SUMIF(ThresholdAge07,"&lt;"&amp;'19_Расчет_аналитики'!AA1571,WeightedMinAge07),MAX(CapacityAge07*'01_Вводные'!$B$218*'19_Расчет_аналитики'!AA1571,MeanMinAge07)))</f>
        <v/>
      </c>
      <c r="AB1482">
        <f>IF(OR('19_Расчет_аналитики'!AB1454=0,7&lt;='01_Вводные'!$B$297),0,'19_Расчет_аналитики'!AB1454*IF('01_Вводные'!$B$239="Да",MeanMinAge07+'19_Расчет_аналитики'!AB1571*SUMIF(ThresholdAge07,"&lt;"&amp;'19_Расчет_аналитики'!AB1571,WeightedRevAge07)-SUMIF(ThresholdAge07,"&lt;"&amp;'19_Расчет_аналитики'!AB1571,WeightedMinAge07),MAX(CapacityAge07*'01_Вводные'!$B$218*'19_Расчет_аналитики'!AB1571,MeanMinAge07)))</f>
        <v/>
      </c>
      <c r="AC1482">
        <f>IF(OR('19_Расчет_аналитики'!AC1454=0,7&lt;='01_Вводные'!$B$297),0,'19_Расчет_аналитики'!AC1454*IF('01_Вводные'!$B$239="Да",MeanMinAge07+'19_Расчет_аналитики'!AC1571*SUMIF(ThresholdAge07,"&lt;"&amp;'19_Расчет_аналитики'!AC1571,WeightedRevAge07)-SUMIF(ThresholdAge07,"&lt;"&amp;'19_Расчет_аналитики'!AC1571,WeightedMinAge07),MAX(CapacityAge07*'01_Вводные'!$B$218*'19_Расчет_аналитики'!AC1571,MeanMinAge07)))</f>
        <v/>
      </c>
      <c r="AD1482">
        <f>IF(OR('19_Расчет_аналитики'!AD1454=0,7&lt;='01_Вводные'!$B$297),0,'19_Расчет_аналитики'!AD1454*IF('01_Вводные'!$B$239="Да",MeanMinAge07+'19_Расчет_аналитики'!AD1571*SUMIF(ThresholdAge07,"&lt;"&amp;'19_Расчет_аналитики'!AD1571,WeightedRevAge07)-SUMIF(ThresholdAge07,"&lt;"&amp;'19_Расчет_аналитики'!AD1571,WeightedMinAge07),MAX(CapacityAge07*'01_Вводные'!$B$218*'19_Расчет_аналитики'!AD1571,MeanMinAge07)))</f>
        <v/>
      </c>
      <c r="AE1482">
        <f>IF(OR('19_Расчет_аналитики'!AE1454=0,7&lt;='01_Вводные'!$B$297),0,'19_Расчет_аналитики'!AE1454*IF('01_Вводные'!$B$239="Да",MeanMinAge07+'19_Расчет_аналитики'!AE1571*SUMIF(ThresholdAge07,"&lt;"&amp;'19_Расчет_аналитики'!AE1571,WeightedRevAge07)-SUMIF(ThresholdAge07,"&lt;"&amp;'19_Расчет_аналитики'!AE1571,WeightedMinAge07),MAX(CapacityAge07*'01_Вводные'!$B$218*'19_Расчет_аналитики'!AE1571,MeanMinAge07)))</f>
        <v/>
      </c>
      <c r="AF1482">
        <f>IF(OR('19_Расчет_аналитики'!AF1454=0,7&lt;='01_Вводные'!$B$297),0,'19_Расчет_аналитики'!AF1454*IF('01_Вводные'!$B$239="Да",MeanMinAge07+'19_Расчет_аналитики'!AF1571*SUMIF(ThresholdAge07,"&lt;"&amp;'19_Расчет_аналитики'!AF1571,WeightedRevAge07)-SUMIF(ThresholdAge07,"&lt;"&amp;'19_Расчет_аналитики'!AF1571,WeightedMinAge07),MAX(CapacityAge07*'01_Вводные'!$B$218*'19_Расчет_аналитики'!AF1571,MeanMinAge07)))</f>
        <v/>
      </c>
      <c r="AG1482">
        <f>IF(OR('19_Расчет_аналитики'!AG1454=0,7&lt;='01_Вводные'!$B$297),0,'19_Расчет_аналитики'!AG1454*IF('01_Вводные'!$B$239="Да",MeanMinAge07+'19_Расчет_аналитики'!AG1571*SUMIF(ThresholdAge07,"&lt;"&amp;'19_Расчет_аналитики'!AG1571,WeightedRevAge07)-SUMIF(ThresholdAge07,"&lt;"&amp;'19_Расчет_аналитики'!AG1571,WeightedMinAge07),MAX(CapacityAge07*'01_Вводные'!$B$218*'19_Расчет_аналитики'!AG1571,MeanMinAge07)))</f>
        <v/>
      </c>
      <c r="AH1482">
        <f>IF(OR('19_Расчет_аналитики'!AH1454=0,7&lt;='01_Вводные'!$B$297),0,'19_Расчет_аналитики'!AH1454*IF('01_Вводные'!$B$239="Да",MeanMinAge07+'19_Расчет_аналитики'!AH1571*SUMIF(ThresholdAge07,"&lt;"&amp;'19_Расчет_аналитики'!AH1571,WeightedRevAge07)-SUMIF(ThresholdAge07,"&lt;"&amp;'19_Расчет_аналитики'!AH1571,WeightedMinAge07),MAX(CapacityAge07*'01_Вводные'!$B$218*'19_Расчет_аналитики'!AH1571,MeanMinAge07)))</f>
        <v/>
      </c>
      <c r="AI1482">
        <f>IF(OR('19_Расчет_аналитики'!AI1454=0,7&lt;='01_Вводные'!$B$297),0,'19_Расчет_аналитики'!AI1454*IF('01_Вводные'!$B$239="Да",MeanMinAge07+'19_Расчет_аналитики'!AI1571*SUMIF(ThresholdAge07,"&lt;"&amp;'19_Расчет_аналитики'!AI1571,WeightedRevAge07)-SUMIF(ThresholdAge07,"&lt;"&amp;'19_Расчет_аналитики'!AI1571,WeightedMinAge07),MAX(CapacityAge07*'01_Вводные'!$B$218*'19_Расчет_аналитики'!AI1571,MeanMinAge07)))</f>
        <v/>
      </c>
      <c r="AJ1482">
        <f>IF(OR('19_Расчет_аналитики'!AJ1454=0,7&lt;='01_Вводные'!$B$297),0,'19_Расчет_аналитики'!AJ1454*IF('01_Вводные'!$B$239="Да",MeanMinAge07+'19_Расчет_аналитики'!AJ1571*SUMIF(ThresholdAge07,"&lt;"&amp;'19_Расчет_аналитики'!AJ1571,WeightedRevAge07)-SUMIF(ThresholdAge07,"&lt;"&amp;'19_Расчет_аналитики'!AJ1571,WeightedMinAge07),MAX(CapacityAge07*'01_Вводные'!$B$218*'19_Расчет_аналитики'!AJ1571,MeanMinAge07)))</f>
        <v/>
      </c>
      <c r="AK1482">
        <f>IF(OR('19_Расчет_аналитики'!AK1454=0,7&lt;='01_Вводные'!$B$297),0,'19_Расчет_аналитики'!AK1454*IF('01_Вводные'!$B$239="Да",MeanMinAge07+'19_Расчет_аналитики'!AK1571*SUMIF(ThresholdAge07,"&lt;"&amp;'19_Расчет_аналитики'!AK1571,WeightedRevAge07)-SUMIF(ThresholdAge07,"&lt;"&amp;'19_Расчет_аналитики'!AK1571,WeightedMinAge07),MAX(CapacityAge07*'01_Вводные'!$B$218*'19_Расчет_аналитики'!AK1571,MeanMinAge07)))</f>
        <v/>
      </c>
      <c r="AL1482">
        <f>IF(OR('19_Расчет_аналитики'!AL1454=0,7&lt;='01_Вводные'!$B$297),0,'19_Расчет_аналитики'!AL1454*IF('01_Вводные'!$B$239="Да",MeanMinAge07+'19_Расчет_аналитики'!AL1571*SUMIF(ThresholdAge07,"&lt;"&amp;'19_Расчет_аналитики'!AL1571,WeightedRevAge07)-SUMIF(ThresholdAge07,"&lt;"&amp;'19_Расчет_аналитики'!AL1571,WeightedMinAge07),MAX(CapacityAge07*'01_Вводные'!$B$218*'19_Расчет_аналитики'!AL1571,MeanMinAge07)))</f>
        <v/>
      </c>
      <c r="AM1482">
        <f>IF(OR('19_Расчет_аналитики'!AM1454=0,7&lt;='01_Вводные'!$B$297),0,'19_Расчет_аналитики'!AM1454*IF('01_Вводные'!$B$239="Да",MeanMinAge07+'19_Расчет_аналитики'!AM1571*SUMIF(ThresholdAge07,"&lt;"&amp;'19_Расчет_аналитики'!AM1571,WeightedRevAge07)-SUMIF(ThresholdAge07,"&lt;"&amp;'19_Расчет_аналитики'!AM1571,WeightedMinAge07),MAX(CapacityAge07*'01_Вводные'!$B$218*'19_Расчет_аналитики'!AM1571,MeanMinAge07)))</f>
        <v/>
      </c>
      <c r="AN1482">
        <f>IF(OR('19_Расчет_аналитики'!AN1454=0,7&lt;='01_Вводные'!$B$297),0,'19_Расчет_аналитики'!AN1454*IF('01_Вводные'!$B$239="Да",MeanMinAge07+'19_Расчет_аналитики'!AN1571*SUMIF(ThresholdAge07,"&lt;"&amp;'19_Расчет_аналитики'!AN1571,WeightedRevAge07)-SUMIF(ThresholdAge07,"&lt;"&amp;'19_Расчет_аналитики'!AN1571,WeightedMinAge07),MAX(CapacityAge07*'01_Вводные'!$B$218*'19_Расчет_аналитики'!AN1571,MeanMinAge07)))</f>
        <v/>
      </c>
      <c r="AO1482">
        <f>IF(OR('19_Расчет_аналитики'!AO1454=0,7&lt;='01_Вводные'!$B$297),0,'19_Расчет_аналитики'!AO1454*IF('01_Вводные'!$B$239="Да",MeanMinAge07+'19_Расчет_аналитики'!AO1571*SUMIF(ThresholdAge07,"&lt;"&amp;'19_Расчет_аналитики'!AO1571,WeightedRevAge07)-SUMIF(ThresholdAge07,"&lt;"&amp;'19_Расчет_аналитики'!AO1571,WeightedMinAge07),MAX(CapacityAge07*'01_Вводные'!$B$218*'19_Расчет_аналитики'!AO1571,MeanMinAge07)))</f>
        <v/>
      </c>
      <c r="AP1482">
        <f>IF(OR('19_Расчет_аналитики'!AP1454=0,7&lt;='01_Вводные'!$B$297),0,'19_Расчет_аналитики'!AP1454*IF('01_Вводные'!$B$239="Да",MeanMinAge07+'19_Расчет_аналитики'!AP1571*SUMIF(ThresholdAge07,"&lt;"&amp;'19_Расчет_аналитики'!AP1571,WeightedRevAge07)-SUMIF(ThresholdAge07,"&lt;"&amp;'19_Расчет_аналитики'!AP1571,WeightedMinAge07),MAX(CapacityAge07*'01_Вводные'!$B$218*'19_Расчет_аналитики'!AP1571,MeanMinAge07)))</f>
        <v/>
      </c>
      <c r="AQ1482">
        <f>IF(OR('19_Расчет_аналитики'!AQ1454=0,7&lt;='01_Вводные'!$B$297),0,'19_Расчет_аналитики'!AQ1454*IF('01_Вводные'!$B$239="Да",MeanMinAge07+'19_Расчет_аналитики'!AQ1571*SUMIF(ThresholdAge07,"&lt;"&amp;'19_Расчет_аналитики'!AQ1571,WeightedRevAge07)-SUMIF(ThresholdAge07,"&lt;"&amp;'19_Расчет_аналитики'!AQ1571,WeightedMinAge07),MAX(CapacityAge07*'01_Вводные'!$B$218*'19_Расчет_аналитики'!AQ1571,MeanMinAge07)))</f>
        <v/>
      </c>
      <c r="AR1482">
        <f>IF(OR('19_Расчет_аналитики'!AR1454=0,7&lt;='01_Вводные'!$B$297),0,'19_Расчет_аналитики'!AR1454*IF('01_Вводные'!$B$239="Да",MeanMinAge07+'19_Расчет_аналитики'!AR1571*SUMIF(ThresholdAge07,"&lt;"&amp;'19_Расчет_аналитики'!AR1571,WeightedRevAge07)-SUMIF(ThresholdAge07,"&lt;"&amp;'19_Расчет_аналитики'!AR1571,WeightedMinAge07),MAX(CapacityAge07*'01_Вводные'!$B$218*'19_Расчет_аналитики'!AR1571,MeanMinAge07)))</f>
        <v/>
      </c>
      <c r="AS1482">
        <f>IF(OR('19_Расчет_аналитики'!AS1454=0,7&lt;='01_Вводные'!$B$297),0,'19_Расчет_аналитики'!AS1454*IF('01_Вводные'!$B$239="Да",MeanMinAge07+'19_Расчет_аналитики'!AS1571*SUMIF(ThresholdAge07,"&lt;"&amp;'19_Расчет_аналитики'!AS1571,WeightedRevAge07)-SUMIF(ThresholdAge07,"&lt;"&amp;'19_Расчет_аналитики'!AS1571,WeightedMinAge07),MAX(CapacityAge07*'01_Вводные'!$B$218*'19_Расчет_аналитики'!AS1571,MeanMinAge07)))</f>
        <v/>
      </c>
      <c r="AT1482">
        <f>IF(OR('19_Расчет_аналитики'!AT1454=0,7&lt;='01_Вводные'!$B$297),0,'19_Расчет_аналитики'!AT1454*IF('01_Вводные'!$B$239="Да",MeanMinAge07+'19_Расчет_аналитики'!AT1571*SUMIF(ThresholdAge07,"&lt;"&amp;'19_Расчет_аналитики'!AT1571,WeightedRevAge07)-SUMIF(ThresholdAge07,"&lt;"&amp;'19_Расчет_аналитики'!AT1571,WeightedMinAge07),MAX(CapacityAge07*'01_Вводные'!$B$218*'19_Расчет_аналитики'!AT1571,MeanMinAge07)))</f>
        <v/>
      </c>
      <c r="AU1482">
        <f>IF(OR('19_Расчет_аналитики'!AU1454=0,7&lt;='01_Вводные'!$B$297),0,'19_Расчет_аналитики'!AU1454*IF('01_Вводные'!$B$239="Да",MeanMinAge07+'19_Расчет_аналитики'!AU1571*SUMIF(ThresholdAge07,"&lt;"&amp;'19_Расчет_аналитики'!AU1571,WeightedRevAge07)-SUMIF(ThresholdAge07,"&lt;"&amp;'19_Расчет_аналитики'!AU1571,WeightedMinAge07),MAX(CapacityAge07*'01_Вводные'!$B$218*'19_Расчет_аналитики'!AU1571,MeanMinAge07)))</f>
        <v/>
      </c>
      <c r="AV1482">
        <f>IF(OR('19_Расчет_аналитики'!AV1454=0,7&lt;='01_Вводные'!$B$297),0,'19_Расчет_аналитики'!AV1454*IF('01_Вводные'!$B$239="Да",MeanMinAge07+'19_Расчет_аналитики'!AV1571*SUMIF(ThresholdAge07,"&lt;"&amp;'19_Расчет_аналитики'!AV1571,WeightedRevAge07)-SUMIF(ThresholdAge07,"&lt;"&amp;'19_Расчет_аналитики'!AV1571,WeightedMinAge07),MAX(CapacityAge07*'01_Вводные'!$B$218*'19_Расчет_аналитики'!AV1571,MeanMinAge07)))</f>
        <v/>
      </c>
      <c r="AW1482">
        <f>IF(OR('19_Расчет_аналитики'!AW1454=0,7&lt;='01_Вводные'!$B$297),0,'19_Расчет_аналитики'!AW1454*IF('01_Вводные'!$B$239="Да",MeanMinAge07+'19_Расчет_аналитики'!AW1571*SUMIF(ThresholdAge07,"&lt;"&amp;'19_Расчет_аналитики'!AW1571,WeightedRevAge07)-SUMIF(ThresholdAge07,"&lt;"&amp;'19_Расчет_аналитики'!AW1571,WeightedMinAge07),MAX(CapacityAge07*'01_Вводные'!$B$218*'19_Расчет_аналитики'!AW1571,MeanMinAge07)))</f>
        <v/>
      </c>
      <c r="AX1482">
        <f>IF(OR('19_Расчет_аналитики'!AX1454=0,7&lt;='01_Вводные'!$B$297),0,'19_Расчет_аналитики'!AX1454*IF('01_Вводные'!$B$239="Да",MeanMinAge07+'19_Расчет_аналитики'!AX1571*SUMIF(ThresholdAge07,"&lt;"&amp;'19_Расчет_аналитики'!AX1571,WeightedRevAge07)-SUMIF(ThresholdAge07,"&lt;"&amp;'19_Расчет_аналитики'!AX1571,WeightedMinAge07),MAX(CapacityAge07*'01_Вводные'!$B$218*'19_Расчет_аналитики'!AX1571,MeanMinAge07)))</f>
        <v/>
      </c>
      <c r="AY1482">
        <f>IF(OR('19_Расчет_аналитики'!AY1454=0,7&lt;='01_Вводные'!$B$297),0,'19_Расчет_аналитики'!AY1454*IF('01_Вводные'!$B$239="Да",MeanMinAge07+'19_Расчет_аналитики'!AY1571*SUMIF(ThresholdAge07,"&lt;"&amp;'19_Расчет_аналитики'!AY1571,WeightedRevAge07)-SUMIF(ThresholdAge07,"&lt;"&amp;'19_Расчет_аналитики'!AY1571,WeightedMinAge07),MAX(CapacityAge07*'01_Вводные'!$B$218*'19_Расчет_аналитики'!AY1571,MeanMinAge07)))</f>
        <v/>
      </c>
      <c r="AZ1482">
        <f>IF(OR('19_Расчет_аналитики'!AZ1454=0,7&lt;='01_Вводные'!$B$297),0,'19_Расчет_аналитики'!AZ1454*IF('01_Вводные'!$B$239="Да",MeanMinAge07+'19_Расчет_аналитики'!AZ1571*SUMIF(ThresholdAge07,"&lt;"&amp;'19_Расчет_аналитики'!AZ1571,WeightedRevAge07)-SUMIF(ThresholdAge07,"&lt;"&amp;'19_Расчет_аналитики'!AZ1571,WeightedMinAge07),MAX(CapacityAge07*'01_Вводные'!$B$218*'19_Расчет_аналитики'!AZ1571,MeanMinAge07)))</f>
        <v/>
      </c>
      <c r="BA1482">
        <f>IF(OR('19_Расчет_аналитики'!BA1454=0,7&lt;='01_Вводные'!$B$297),0,'19_Расчет_аналитики'!BA1454*IF('01_Вводные'!$B$239="Да",MeanMinAge07+'19_Расчет_аналитики'!BA1571*SUMIF(ThresholdAge07,"&lt;"&amp;'19_Расчет_аналитики'!BA1571,WeightedRevAge07)-SUMIF(ThresholdAge07,"&lt;"&amp;'19_Расчет_аналитики'!BA1571,WeightedMinAge07),MAX(CapacityAge07*'01_Вводные'!$B$218*'19_Расчет_аналитики'!BA1571,MeanMinAge07)))</f>
        <v/>
      </c>
      <c r="BB1482">
        <f>IF(OR('19_Расчет_аналитики'!BB1454=0,7&lt;='01_Вводные'!$B$297),0,'19_Расчет_аналитики'!BB1454*IF('01_Вводные'!$B$239="Да",MeanMinAge07+'19_Расчет_аналитики'!BB1571*SUMIF(ThresholdAge07,"&lt;"&amp;'19_Расчет_аналитики'!BB1571,WeightedRevAge07)-SUMIF(ThresholdAge07,"&lt;"&amp;'19_Расчет_аналитики'!BB1571,WeightedMinAge07),MAX(CapacityAge07*'01_Вводные'!$B$218*'19_Расчет_аналитики'!BB1571,MeanMinAge07)))</f>
        <v/>
      </c>
      <c r="BC1482">
        <f>IF(OR('19_Расчет_аналитики'!BC1454=0,7&lt;='01_Вводные'!$B$297),0,'19_Расчет_аналитики'!BC1454*IF('01_Вводные'!$B$239="Да",MeanMinAge07+'19_Расчет_аналитики'!BC1571*SUMIF(ThresholdAge07,"&lt;"&amp;'19_Расчет_аналитики'!BC1571,WeightedRevAge07)-SUMIF(ThresholdAge07,"&lt;"&amp;'19_Расчет_аналитики'!BC1571,WeightedMinAge07),MAX(CapacityAge07*'01_Вводные'!$B$218*'19_Расчет_аналитики'!BC1571,MeanMinAge07)))</f>
        <v/>
      </c>
      <c r="BD1482">
        <f>IF(OR('19_Расчет_аналитики'!BD1454=0,7&lt;='01_Вводные'!$B$297),0,'19_Расчет_аналитики'!BD1454*IF('01_Вводные'!$B$239="Да",MeanMinAge07+'19_Расчет_аналитики'!BD1571*SUMIF(ThresholdAge07,"&lt;"&amp;'19_Расчет_аналитики'!BD1571,WeightedRevAge07)-SUMIF(ThresholdAge07,"&lt;"&amp;'19_Расчет_аналитики'!BD1571,WeightedMinAge07),MAX(CapacityAge07*'01_Вводные'!$B$218*'19_Расчет_аналитики'!BD1571,MeanMinAge07)))</f>
        <v/>
      </c>
      <c r="BE1482">
        <f>IF(OR('19_Расчет_аналитики'!BE1454=0,7&lt;='01_Вводные'!$B$297),0,'19_Расчет_аналитики'!BE1454*IF('01_Вводные'!$B$239="Да",MeanMinAge07+'19_Расчет_аналитики'!BE1571*SUMIF(ThresholdAge07,"&lt;"&amp;'19_Расчет_аналитики'!BE1571,WeightedRevAge07)-SUMIF(ThresholdAge07,"&lt;"&amp;'19_Расчет_аналитики'!BE1571,WeightedMinAge07),MAX(CapacityAge07*'01_Вводные'!$B$218*'19_Расчет_аналитики'!BE1571,MeanMinAge07)))</f>
        <v/>
      </c>
      <c r="BF1482">
        <f>IF(OR('19_Расчет_аналитики'!BF1454=0,7&lt;='01_Вводные'!$B$297),0,'19_Расчет_аналитики'!BF1454*IF('01_Вводные'!$B$239="Да",MeanMinAge07+'19_Расчет_аналитики'!BF1571*SUMIF(ThresholdAge07,"&lt;"&amp;'19_Расчет_аналитики'!BF1571,WeightedRevAge07)-SUMIF(ThresholdAge07,"&lt;"&amp;'19_Расчет_аналитики'!BF1571,WeightedMinAge07),MAX(CapacityAge07*'01_Вводные'!$B$218*'19_Расчет_аналитики'!BF1571,MeanMinAge07)))</f>
        <v/>
      </c>
      <c r="BG1482">
        <f>IF(OR('19_Расчет_аналитики'!BG1454=0,7&lt;='01_Вводные'!$B$297),0,'19_Расчет_аналитики'!BG1454*IF('01_Вводные'!$B$239="Да",MeanMinAge07+'19_Расчет_аналитики'!BG1571*SUMIF(ThresholdAge07,"&lt;"&amp;'19_Расчет_аналитики'!BG1571,WeightedRevAge07)-SUMIF(ThresholdAge07,"&lt;"&amp;'19_Расчет_аналитики'!BG1571,WeightedMinAge07),MAX(CapacityAge07*'01_Вводные'!$B$218*'19_Расчет_аналитики'!BG1571,MeanMinAge07)))</f>
        <v/>
      </c>
      <c r="BH1482">
        <f>IF(OR('19_Расчет_аналитики'!BH1454=0,7&lt;='01_Вводные'!$B$297),0,'19_Расчет_аналитики'!BH1454*IF('01_Вводные'!$B$239="Да",MeanMinAge07+'19_Расчет_аналитики'!BH1571*SUMIF(ThresholdAge07,"&lt;"&amp;'19_Расчет_аналитики'!BH1571,WeightedRevAge07)-SUMIF(ThresholdAge07,"&lt;"&amp;'19_Расчет_аналитики'!BH1571,WeightedMinAge07),MAX(CapacityAge07*'01_Вводные'!$B$218*'19_Расчет_аналитики'!BH1571,MeanMinAge07)))</f>
        <v/>
      </c>
      <c r="BI1482">
        <f>IF(OR('19_Расчет_аналитики'!BI1454=0,7&lt;='01_Вводные'!$B$297),0,'19_Расчет_аналитики'!BI1454*IF('01_Вводные'!$B$239="Да",MeanMinAge07+'19_Расчет_аналитики'!BI1571*SUMIF(ThresholdAge07,"&lt;"&amp;'19_Расчет_аналитики'!BI1571,WeightedRevAge07)-SUMIF(ThresholdAge07,"&lt;"&amp;'19_Расчет_аналитики'!BI1571,WeightedMinAge07),MAX(CapacityAge07*'01_Вводные'!$B$218*'19_Расчет_аналитики'!BI1571,MeanMinAge07)))</f>
        <v/>
      </c>
      <c r="BJ1482">
        <f>IF(OR('19_Расчет_аналитики'!BJ1454=0,7&lt;='01_Вводные'!$B$297),0,'19_Расчет_аналитики'!BJ1454*IF('01_Вводные'!$B$239="Да",MeanMinAge07+'19_Расчет_аналитики'!BJ1571*SUMIF(ThresholdAge07,"&lt;"&amp;'19_Расчет_аналитики'!BJ1571,WeightedRevAge07)-SUMIF(ThresholdAge07,"&lt;"&amp;'19_Расчет_аналитики'!BJ1571,WeightedMinAge07),MAX(CapacityAge07*'01_Вводные'!$B$218*'19_Расчет_аналитики'!BJ1571,MeanMinAge07)))</f>
        <v/>
      </c>
      <c r="BK1482">
        <f>IF(OR('19_Расчет_аналитики'!BK1454=0,7&lt;='01_Вводные'!$B$297),0,'19_Расчет_аналитики'!BK1454*IF('01_Вводные'!$B$239="Да",MeanMinAge07+'19_Расчет_аналитики'!BK1571*SUMIF(ThresholdAge07,"&lt;"&amp;'19_Расчет_аналитики'!BK1571,WeightedRevAge07)-SUMIF(ThresholdAge07,"&lt;"&amp;'19_Расчет_аналитики'!BK1571,WeightedMinAge07),MAX(CapacityAge07*'01_Вводные'!$B$218*'19_Расчет_аналитики'!BK1571,MeanMinAge07)))</f>
        <v/>
      </c>
      <c r="BL1482">
        <f>IF(OR('19_Расчет_аналитики'!BL1454=0,7&lt;='01_Вводные'!$B$297),0,'19_Расчет_аналитики'!BL1454*IF('01_Вводные'!$B$239="Да",MeanMinAge07+'19_Расчет_аналитики'!BL1571*SUMIF(ThresholdAge07,"&lt;"&amp;'19_Расчет_аналитики'!BL1571,WeightedRevAge07)-SUMIF(ThresholdAge07,"&lt;"&amp;'19_Расчет_аналитики'!BL1571,WeightedMinAge07),MAX(CapacityAge07*'01_Вводные'!$B$218*'19_Расчет_аналитики'!BL1571,MeanMinAge07)))</f>
        <v/>
      </c>
      <c r="BM1482">
        <f>IF(OR('19_Расчет_аналитики'!BM1454=0,7&lt;='01_Вводные'!$B$297),0,'19_Расчет_аналитики'!BM1454*IF('01_Вводные'!$B$239="Да",MeanMinAge07+'19_Расчет_аналитики'!BM1571*SUMIF(ThresholdAge07,"&lt;"&amp;'19_Расчет_аналитики'!BM1571,WeightedRevAge07)-SUMIF(ThresholdAge07,"&lt;"&amp;'19_Расчет_аналитики'!BM1571,WeightedMinAge07),MAX(CapacityAge07*'01_Вводные'!$B$218*'19_Расчет_аналитики'!BM1571,MeanMinAge07)))</f>
        <v/>
      </c>
      <c r="BN1482">
        <f>IF(OR('19_Расчет_аналитики'!BN1454=0,7&lt;='01_Вводные'!$B$297),0,'19_Расчет_аналитики'!BN1454*IF('01_Вводные'!$B$239="Да",MeanMinAge07+'19_Расчет_аналитики'!BN1571*SUMIF(ThresholdAge07,"&lt;"&amp;'19_Расчет_аналитики'!BN1571,WeightedRevAge07)-SUMIF(ThresholdAge07,"&lt;"&amp;'19_Расчет_аналитики'!BN1571,WeightedMinAge07),MAX(CapacityAge07*'01_Вводные'!$B$218*'19_Расчет_аналитики'!BN1571,MeanMinAge07)))</f>
        <v/>
      </c>
      <c r="BO1482">
        <f>IF(OR('19_Расчет_аналитики'!BO1454=0,7&lt;='01_Вводные'!$B$297),0,'19_Расчет_аналитики'!BO1454*IF('01_Вводные'!$B$239="Да",MeanMinAge07+'19_Расчет_аналитики'!BO1571*SUMIF(ThresholdAge07,"&lt;"&amp;'19_Расчет_аналитики'!BO1571,WeightedRevAge07)-SUMIF(ThresholdAge07,"&lt;"&amp;'19_Расчет_аналитики'!BO1571,WeightedMinAge07),MAX(CapacityAge07*'01_Вводные'!$B$218*'19_Расчет_аналитики'!BO1571,MeanMinAge07)))</f>
        <v/>
      </c>
    </row>
    <row r="1483">
      <c r="B1483">
        <f>IF(OR('06_Сеть_и_дети'!B88=0,8&lt;='01_Вводные'!$B$297),0,'06_Сеть_и_дети'!B88*IF('01_Вводные'!$B$239="Да",MeanMinAge08+'19_Расчет_аналитики'!B1571*SUMIF(ThresholdAge08,"&lt;"&amp;'19_Расчет_аналитики'!B1571,WeightedRevAge08)-SUMIF(ThresholdAge08,"&lt;"&amp;'19_Расчет_аналитики'!B1571,WeightedMinAge08),MAX(CapacityAge08*'01_Вводные'!$B$218*'19_Расчет_аналитики'!B1571,MeanMinAge08)))</f>
        <v/>
      </c>
      <c r="C1483">
        <f>IF(OR('06_Сеть_и_дети'!C88=0,8&lt;='01_Вводные'!$B$297),0,'06_Сеть_и_дети'!C88*IF('01_Вводные'!$B$239="Да",MeanMinAge08+'19_Расчет_аналитики'!C1571*SUMIF(ThresholdAge08,"&lt;"&amp;'19_Расчет_аналитики'!C1571,WeightedRevAge08)-SUMIF(ThresholdAge08,"&lt;"&amp;'19_Расчет_аналитики'!C1571,WeightedMinAge08),MAX(CapacityAge08*'01_Вводные'!$B$218*'19_Расчет_аналитики'!C1571,MeanMinAge08)))</f>
        <v/>
      </c>
      <c r="D1483">
        <f>IF(OR('06_Сеть_и_дети'!D88=0,8&lt;='01_Вводные'!$B$297),0,'06_Сеть_и_дети'!D88*IF('01_Вводные'!$B$239="Да",MeanMinAge08+'19_Расчет_аналитики'!D1571*SUMIF(ThresholdAge08,"&lt;"&amp;'19_Расчет_аналитики'!D1571,WeightedRevAge08)-SUMIF(ThresholdAge08,"&lt;"&amp;'19_Расчет_аналитики'!D1571,WeightedMinAge08),MAX(CapacityAge08*'01_Вводные'!$B$218*'19_Расчет_аналитики'!D1571,MeanMinAge08)))</f>
        <v/>
      </c>
      <c r="E1483">
        <f>IF(OR('06_Сеть_и_дети'!E88=0,8&lt;='01_Вводные'!$B$297),0,'06_Сеть_и_дети'!E88*IF('01_Вводные'!$B$239="Да",MeanMinAge08+'19_Расчет_аналитики'!E1571*SUMIF(ThresholdAge08,"&lt;"&amp;'19_Расчет_аналитики'!E1571,WeightedRevAge08)-SUMIF(ThresholdAge08,"&lt;"&amp;'19_Расчет_аналитики'!E1571,WeightedMinAge08),MAX(CapacityAge08*'01_Вводные'!$B$218*'19_Расчет_аналитики'!E1571,MeanMinAge08)))</f>
        <v/>
      </c>
      <c r="F1483">
        <f>IF(OR('06_Сеть_и_дети'!F88=0,8&lt;='01_Вводные'!$B$297),0,'06_Сеть_и_дети'!F88*IF('01_Вводные'!$B$239="Да",MeanMinAge08+'19_Расчет_аналитики'!F1571*SUMIF(ThresholdAge08,"&lt;"&amp;'19_Расчет_аналитики'!F1571,WeightedRevAge08)-SUMIF(ThresholdAge08,"&lt;"&amp;'19_Расчет_аналитики'!F1571,WeightedMinAge08),MAX(CapacityAge08*'01_Вводные'!$B$218*'19_Расчет_аналитики'!F1571,MeanMinAge08)))</f>
        <v/>
      </c>
      <c r="G1483">
        <f>IF(OR('06_Сеть_и_дети'!G88=0,8&lt;='01_Вводные'!$B$297),0,'06_Сеть_и_дети'!G88*IF('01_Вводные'!$B$239="Да",MeanMinAge08+'19_Расчет_аналитики'!G1571*SUMIF(ThresholdAge08,"&lt;"&amp;'19_Расчет_аналитики'!G1571,WeightedRevAge08)-SUMIF(ThresholdAge08,"&lt;"&amp;'19_Расчет_аналитики'!G1571,WeightedMinAge08),MAX(CapacityAge08*'01_Вводные'!$B$218*'19_Расчет_аналитики'!G1571,MeanMinAge08)))</f>
        <v/>
      </c>
      <c r="H1483">
        <f>IF(OR('06_Сеть_и_дети'!H88=0,8&lt;='01_Вводные'!$B$297),0,'06_Сеть_и_дети'!H88*IF('01_Вводные'!$B$239="Да",MeanMinAge08+'19_Расчет_аналитики'!H1571*SUMIF(ThresholdAge08,"&lt;"&amp;'19_Расчет_аналитики'!H1571,WeightedRevAge08)-SUMIF(ThresholdAge08,"&lt;"&amp;'19_Расчет_аналитики'!H1571,WeightedMinAge08),MAX(CapacityAge08*'01_Вводные'!$B$218*'19_Расчет_аналитики'!H1571,MeanMinAge08)))</f>
        <v/>
      </c>
      <c r="I1483">
        <f>IF(OR('19_Расчет_аналитики'!I1455=0,8&lt;='01_Вводные'!$B$297),0,'19_Расчет_аналитики'!I1455*IF('01_Вводные'!$B$239="Да",MeanMinAge08+'19_Расчет_аналитики'!I1571*SUMIF(ThresholdAge08,"&lt;"&amp;'19_Расчет_аналитики'!I1571,WeightedRevAge08)-SUMIF(ThresholdAge08,"&lt;"&amp;'19_Расчет_аналитики'!I1571,WeightedMinAge08),MAX(CapacityAge08*'01_Вводные'!$B$218*'19_Расчет_аналитики'!I1571,MeanMinAge08)))</f>
        <v/>
      </c>
      <c r="J1483">
        <f>IF(OR('19_Расчет_аналитики'!J1455=0,8&lt;='01_Вводные'!$B$297),0,'19_Расчет_аналитики'!J1455*IF('01_Вводные'!$B$239="Да",MeanMinAge08+'19_Расчет_аналитики'!J1571*SUMIF(ThresholdAge08,"&lt;"&amp;'19_Расчет_аналитики'!J1571,WeightedRevAge08)-SUMIF(ThresholdAge08,"&lt;"&amp;'19_Расчет_аналитики'!J1571,WeightedMinAge08),MAX(CapacityAge08*'01_Вводные'!$B$218*'19_Расчет_аналитики'!J1571,MeanMinAge08)))</f>
        <v/>
      </c>
      <c r="K1483">
        <f>IF(OR('19_Расчет_аналитики'!K1455=0,8&lt;='01_Вводные'!$B$297),0,'19_Расчет_аналитики'!K1455*IF('01_Вводные'!$B$239="Да",MeanMinAge08+'19_Расчет_аналитики'!K1571*SUMIF(ThresholdAge08,"&lt;"&amp;'19_Расчет_аналитики'!K1571,WeightedRevAge08)-SUMIF(ThresholdAge08,"&lt;"&amp;'19_Расчет_аналитики'!K1571,WeightedMinAge08),MAX(CapacityAge08*'01_Вводные'!$B$218*'19_Расчет_аналитики'!K1571,MeanMinAge08)))</f>
        <v/>
      </c>
      <c r="L1483">
        <f>IF(OR('19_Расчет_аналитики'!L1455=0,8&lt;='01_Вводные'!$B$297),0,'19_Расчет_аналитики'!L1455*IF('01_Вводные'!$B$239="Да",MeanMinAge08+'19_Расчет_аналитики'!L1571*SUMIF(ThresholdAge08,"&lt;"&amp;'19_Расчет_аналитики'!L1571,WeightedRevAge08)-SUMIF(ThresholdAge08,"&lt;"&amp;'19_Расчет_аналитики'!L1571,WeightedMinAge08),MAX(CapacityAge08*'01_Вводные'!$B$218*'19_Расчет_аналитики'!L1571,MeanMinAge08)))</f>
        <v/>
      </c>
      <c r="M1483">
        <f>IF(OR('19_Расчет_аналитики'!M1455=0,8&lt;='01_Вводные'!$B$297),0,'19_Расчет_аналитики'!M1455*IF('01_Вводные'!$B$239="Да",MeanMinAge08+'19_Расчет_аналитики'!M1571*SUMIF(ThresholdAge08,"&lt;"&amp;'19_Расчет_аналитики'!M1571,WeightedRevAge08)-SUMIF(ThresholdAge08,"&lt;"&amp;'19_Расчет_аналитики'!M1571,WeightedMinAge08),MAX(CapacityAge08*'01_Вводные'!$B$218*'19_Расчет_аналитики'!M1571,MeanMinAge08)))</f>
        <v/>
      </c>
      <c r="N1483">
        <f>IF(OR('19_Расчет_аналитики'!N1455=0,8&lt;='01_Вводные'!$B$297),0,'19_Расчет_аналитики'!N1455*IF('01_Вводные'!$B$239="Да",MeanMinAge08+'19_Расчет_аналитики'!N1571*SUMIF(ThresholdAge08,"&lt;"&amp;'19_Расчет_аналитики'!N1571,WeightedRevAge08)-SUMIF(ThresholdAge08,"&lt;"&amp;'19_Расчет_аналитики'!N1571,WeightedMinAge08),MAX(CapacityAge08*'01_Вводные'!$B$218*'19_Расчет_аналитики'!N1571,MeanMinAge08)))</f>
        <v/>
      </c>
      <c r="O1483">
        <f>IF(OR('19_Расчет_аналитики'!O1455=0,8&lt;='01_Вводные'!$B$297),0,'19_Расчет_аналитики'!O1455*IF('01_Вводные'!$B$239="Да",MeanMinAge08+'19_Расчет_аналитики'!O1571*SUMIF(ThresholdAge08,"&lt;"&amp;'19_Расчет_аналитики'!O1571,WeightedRevAge08)-SUMIF(ThresholdAge08,"&lt;"&amp;'19_Расчет_аналитики'!O1571,WeightedMinAge08),MAX(CapacityAge08*'01_Вводные'!$B$218*'19_Расчет_аналитики'!O1571,MeanMinAge08)))</f>
        <v/>
      </c>
      <c r="P1483">
        <f>IF(OR('19_Расчет_аналитики'!P1455=0,8&lt;='01_Вводные'!$B$297),0,'19_Расчет_аналитики'!P1455*IF('01_Вводные'!$B$239="Да",MeanMinAge08+'19_Расчет_аналитики'!P1571*SUMIF(ThresholdAge08,"&lt;"&amp;'19_Расчет_аналитики'!P1571,WeightedRevAge08)-SUMIF(ThresholdAge08,"&lt;"&amp;'19_Расчет_аналитики'!P1571,WeightedMinAge08),MAX(CapacityAge08*'01_Вводные'!$B$218*'19_Расчет_аналитики'!P1571,MeanMinAge08)))</f>
        <v/>
      </c>
      <c r="Q1483">
        <f>IF(OR('19_Расчет_аналитики'!Q1455=0,8&lt;='01_Вводные'!$B$297),0,'19_Расчет_аналитики'!Q1455*IF('01_Вводные'!$B$239="Да",MeanMinAge08+'19_Расчет_аналитики'!Q1571*SUMIF(ThresholdAge08,"&lt;"&amp;'19_Расчет_аналитики'!Q1571,WeightedRevAge08)-SUMIF(ThresholdAge08,"&lt;"&amp;'19_Расчет_аналитики'!Q1571,WeightedMinAge08),MAX(CapacityAge08*'01_Вводные'!$B$218*'19_Расчет_аналитики'!Q1571,MeanMinAge08)))</f>
        <v/>
      </c>
      <c r="R1483">
        <f>IF(OR('19_Расчет_аналитики'!R1455=0,8&lt;='01_Вводные'!$B$297),0,'19_Расчет_аналитики'!R1455*IF('01_Вводные'!$B$239="Да",MeanMinAge08+'19_Расчет_аналитики'!R1571*SUMIF(ThresholdAge08,"&lt;"&amp;'19_Расчет_аналитики'!R1571,WeightedRevAge08)-SUMIF(ThresholdAge08,"&lt;"&amp;'19_Расчет_аналитики'!R1571,WeightedMinAge08),MAX(CapacityAge08*'01_Вводные'!$B$218*'19_Расчет_аналитики'!R1571,MeanMinAge08)))</f>
        <v/>
      </c>
      <c r="S1483">
        <f>IF(OR('19_Расчет_аналитики'!S1455=0,8&lt;='01_Вводные'!$B$297),0,'19_Расчет_аналитики'!S1455*IF('01_Вводные'!$B$239="Да",MeanMinAge08+'19_Расчет_аналитики'!S1571*SUMIF(ThresholdAge08,"&lt;"&amp;'19_Расчет_аналитики'!S1571,WeightedRevAge08)-SUMIF(ThresholdAge08,"&lt;"&amp;'19_Расчет_аналитики'!S1571,WeightedMinAge08),MAX(CapacityAge08*'01_Вводные'!$B$218*'19_Расчет_аналитики'!S1571,MeanMinAge08)))</f>
        <v/>
      </c>
      <c r="T1483">
        <f>IF(OR('19_Расчет_аналитики'!T1455=0,8&lt;='01_Вводные'!$B$297),0,'19_Расчет_аналитики'!T1455*IF('01_Вводные'!$B$239="Да",MeanMinAge08+'19_Расчет_аналитики'!T1571*SUMIF(ThresholdAge08,"&lt;"&amp;'19_Расчет_аналитики'!T1571,WeightedRevAge08)-SUMIF(ThresholdAge08,"&lt;"&amp;'19_Расчет_аналитики'!T1571,WeightedMinAge08),MAX(CapacityAge08*'01_Вводные'!$B$218*'19_Расчет_аналитики'!T1571,MeanMinAge08)))</f>
        <v/>
      </c>
      <c r="U1483">
        <f>IF(OR('19_Расчет_аналитики'!U1455=0,8&lt;='01_Вводные'!$B$297),0,'19_Расчет_аналитики'!U1455*IF('01_Вводные'!$B$239="Да",MeanMinAge08+'19_Расчет_аналитики'!U1571*SUMIF(ThresholdAge08,"&lt;"&amp;'19_Расчет_аналитики'!U1571,WeightedRevAge08)-SUMIF(ThresholdAge08,"&lt;"&amp;'19_Расчет_аналитики'!U1571,WeightedMinAge08),MAX(CapacityAge08*'01_Вводные'!$B$218*'19_Расчет_аналитики'!U1571,MeanMinAge08)))</f>
        <v/>
      </c>
      <c r="V1483">
        <f>IF(OR('19_Расчет_аналитики'!V1455=0,8&lt;='01_Вводные'!$B$297),0,'19_Расчет_аналитики'!V1455*IF('01_Вводные'!$B$239="Да",MeanMinAge08+'19_Расчет_аналитики'!V1571*SUMIF(ThresholdAge08,"&lt;"&amp;'19_Расчет_аналитики'!V1571,WeightedRevAge08)-SUMIF(ThresholdAge08,"&lt;"&amp;'19_Расчет_аналитики'!V1571,WeightedMinAge08),MAX(CapacityAge08*'01_Вводные'!$B$218*'19_Расчет_аналитики'!V1571,MeanMinAge08)))</f>
        <v/>
      </c>
      <c r="W1483">
        <f>IF(OR('19_Расчет_аналитики'!W1455=0,8&lt;='01_Вводные'!$B$297),0,'19_Расчет_аналитики'!W1455*IF('01_Вводные'!$B$239="Да",MeanMinAge08+'19_Расчет_аналитики'!W1571*SUMIF(ThresholdAge08,"&lt;"&amp;'19_Расчет_аналитики'!W1571,WeightedRevAge08)-SUMIF(ThresholdAge08,"&lt;"&amp;'19_Расчет_аналитики'!W1571,WeightedMinAge08),MAX(CapacityAge08*'01_Вводные'!$B$218*'19_Расчет_аналитики'!W1571,MeanMinAge08)))</f>
        <v/>
      </c>
      <c r="X1483">
        <f>IF(OR('19_Расчет_аналитики'!X1455=0,8&lt;='01_Вводные'!$B$297),0,'19_Расчет_аналитики'!X1455*IF('01_Вводные'!$B$239="Да",MeanMinAge08+'19_Расчет_аналитики'!X1571*SUMIF(ThresholdAge08,"&lt;"&amp;'19_Расчет_аналитики'!X1571,WeightedRevAge08)-SUMIF(ThresholdAge08,"&lt;"&amp;'19_Расчет_аналитики'!X1571,WeightedMinAge08),MAX(CapacityAge08*'01_Вводные'!$B$218*'19_Расчет_аналитики'!X1571,MeanMinAge08)))</f>
        <v/>
      </c>
      <c r="Y1483">
        <f>IF(OR('19_Расчет_аналитики'!Y1455=0,8&lt;='01_Вводные'!$B$297),0,'19_Расчет_аналитики'!Y1455*IF('01_Вводные'!$B$239="Да",MeanMinAge08+'19_Расчет_аналитики'!Y1571*SUMIF(ThresholdAge08,"&lt;"&amp;'19_Расчет_аналитики'!Y1571,WeightedRevAge08)-SUMIF(ThresholdAge08,"&lt;"&amp;'19_Расчет_аналитики'!Y1571,WeightedMinAge08),MAX(CapacityAge08*'01_Вводные'!$B$218*'19_Расчет_аналитики'!Y1571,MeanMinAge08)))</f>
        <v/>
      </c>
      <c r="Z1483">
        <f>IF(OR('19_Расчет_аналитики'!Z1455=0,8&lt;='01_Вводные'!$B$297),0,'19_Расчет_аналитики'!Z1455*IF('01_Вводные'!$B$239="Да",MeanMinAge08+'19_Расчет_аналитики'!Z1571*SUMIF(ThresholdAge08,"&lt;"&amp;'19_Расчет_аналитики'!Z1571,WeightedRevAge08)-SUMIF(ThresholdAge08,"&lt;"&amp;'19_Расчет_аналитики'!Z1571,WeightedMinAge08),MAX(CapacityAge08*'01_Вводные'!$B$218*'19_Расчет_аналитики'!Z1571,MeanMinAge08)))</f>
        <v/>
      </c>
      <c r="AA1483">
        <f>IF(OR('19_Расчет_аналитики'!AA1455=0,8&lt;='01_Вводные'!$B$297),0,'19_Расчет_аналитики'!AA1455*IF('01_Вводные'!$B$239="Да",MeanMinAge08+'19_Расчет_аналитики'!AA1571*SUMIF(ThresholdAge08,"&lt;"&amp;'19_Расчет_аналитики'!AA1571,WeightedRevAge08)-SUMIF(ThresholdAge08,"&lt;"&amp;'19_Расчет_аналитики'!AA1571,WeightedMinAge08),MAX(CapacityAge08*'01_Вводные'!$B$218*'19_Расчет_аналитики'!AA1571,MeanMinAge08)))</f>
        <v/>
      </c>
      <c r="AB1483">
        <f>IF(OR('19_Расчет_аналитики'!AB1455=0,8&lt;='01_Вводные'!$B$297),0,'19_Расчет_аналитики'!AB1455*IF('01_Вводные'!$B$239="Да",MeanMinAge08+'19_Расчет_аналитики'!AB1571*SUMIF(ThresholdAge08,"&lt;"&amp;'19_Расчет_аналитики'!AB1571,WeightedRevAge08)-SUMIF(ThresholdAge08,"&lt;"&amp;'19_Расчет_аналитики'!AB1571,WeightedMinAge08),MAX(CapacityAge08*'01_Вводные'!$B$218*'19_Расчет_аналитики'!AB1571,MeanMinAge08)))</f>
        <v/>
      </c>
      <c r="AC1483">
        <f>IF(OR('19_Расчет_аналитики'!AC1455=0,8&lt;='01_Вводные'!$B$297),0,'19_Расчет_аналитики'!AC1455*IF('01_Вводные'!$B$239="Да",MeanMinAge08+'19_Расчет_аналитики'!AC1571*SUMIF(ThresholdAge08,"&lt;"&amp;'19_Расчет_аналитики'!AC1571,WeightedRevAge08)-SUMIF(ThresholdAge08,"&lt;"&amp;'19_Расчет_аналитики'!AC1571,WeightedMinAge08),MAX(CapacityAge08*'01_Вводные'!$B$218*'19_Расчет_аналитики'!AC1571,MeanMinAge08)))</f>
        <v/>
      </c>
      <c r="AD1483">
        <f>IF(OR('19_Расчет_аналитики'!AD1455=0,8&lt;='01_Вводные'!$B$297),0,'19_Расчет_аналитики'!AD1455*IF('01_Вводные'!$B$239="Да",MeanMinAge08+'19_Расчет_аналитики'!AD1571*SUMIF(ThresholdAge08,"&lt;"&amp;'19_Расчет_аналитики'!AD1571,WeightedRevAge08)-SUMIF(ThresholdAge08,"&lt;"&amp;'19_Расчет_аналитики'!AD1571,WeightedMinAge08),MAX(CapacityAge08*'01_Вводные'!$B$218*'19_Расчет_аналитики'!AD1571,MeanMinAge08)))</f>
        <v/>
      </c>
      <c r="AE1483">
        <f>IF(OR('19_Расчет_аналитики'!AE1455=0,8&lt;='01_Вводные'!$B$297),0,'19_Расчет_аналитики'!AE1455*IF('01_Вводные'!$B$239="Да",MeanMinAge08+'19_Расчет_аналитики'!AE1571*SUMIF(ThresholdAge08,"&lt;"&amp;'19_Расчет_аналитики'!AE1571,WeightedRevAge08)-SUMIF(ThresholdAge08,"&lt;"&amp;'19_Расчет_аналитики'!AE1571,WeightedMinAge08),MAX(CapacityAge08*'01_Вводные'!$B$218*'19_Расчет_аналитики'!AE1571,MeanMinAge08)))</f>
        <v/>
      </c>
      <c r="AF1483">
        <f>IF(OR('19_Расчет_аналитики'!AF1455=0,8&lt;='01_Вводные'!$B$297),0,'19_Расчет_аналитики'!AF1455*IF('01_Вводные'!$B$239="Да",MeanMinAge08+'19_Расчет_аналитики'!AF1571*SUMIF(ThresholdAge08,"&lt;"&amp;'19_Расчет_аналитики'!AF1571,WeightedRevAge08)-SUMIF(ThresholdAge08,"&lt;"&amp;'19_Расчет_аналитики'!AF1571,WeightedMinAge08),MAX(CapacityAge08*'01_Вводные'!$B$218*'19_Расчет_аналитики'!AF1571,MeanMinAge08)))</f>
        <v/>
      </c>
      <c r="AG1483">
        <f>IF(OR('19_Расчет_аналитики'!AG1455=0,8&lt;='01_Вводные'!$B$297),0,'19_Расчет_аналитики'!AG1455*IF('01_Вводные'!$B$239="Да",MeanMinAge08+'19_Расчет_аналитики'!AG1571*SUMIF(ThresholdAge08,"&lt;"&amp;'19_Расчет_аналитики'!AG1571,WeightedRevAge08)-SUMIF(ThresholdAge08,"&lt;"&amp;'19_Расчет_аналитики'!AG1571,WeightedMinAge08),MAX(CapacityAge08*'01_Вводные'!$B$218*'19_Расчет_аналитики'!AG1571,MeanMinAge08)))</f>
        <v/>
      </c>
      <c r="AH1483">
        <f>IF(OR('19_Расчет_аналитики'!AH1455=0,8&lt;='01_Вводные'!$B$297),0,'19_Расчет_аналитики'!AH1455*IF('01_Вводные'!$B$239="Да",MeanMinAge08+'19_Расчет_аналитики'!AH1571*SUMIF(ThresholdAge08,"&lt;"&amp;'19_Расчет_аналитики'!AH1571,WeightedRevAge08)-SUMIF(ThresholdAge08,"&lt;"&amp;'19_Расчет_аналитики'!AH1571,WeightedMinAge08),MAX(CapacityAge08*'01_Вводные'!$B$218*'19_Расчет_аналитики'!AH1571,MeanMinAge08)))</f>
        <v/>
      </c>
      <c r="AI1483">
        <f>IF(OR('19_Расчет_аналитики'!AI1455=0,8&lt;='01_Вводные'!$B$297),0,'19_Расчет_аналитики'!AI1455*IF('01_Вводные'!$B$239="Да",MeanMinAge08+'19_Расчет_аналитики'!AI1571*SUMIF(ThresholdAge08,"&lt;"&amp;'19_Расчет_аналитики'!AI1571,WeightedRevAge08)-SUMIF(ThresholdAge08,"&lt;"&amp;'19_Расчет_аналитики'!AI1571,WeightedMinAge08),MAX(CapacityAge08*'01_Вводные'!$B$218*'19_Расчет_аналитики'!AI1571,MeanMinAge08)))</f>
        <v/>
      </c>
      <c r="AJ1483">
        <f>IF(OR('19_Расчет_аналитики'!AJ1455=0,8&lt;='01_Вводные'!$B$297),0,'19_Расчет_аналитики'!AJ1455*IF('01_Вводные'!$B$239="Да",MeanMinAge08+'19_Расчет_аналитики'!AJ1571*SUMIF(ThresholdAge08,"&lt;"&amp;'19_Расчет_аналитики'!AJ1571,WeightedRevAge08)-SUMIF(ThresholdAge08,"&lt;"&amp;'19_Расчет_аналитики'!AJ1571,WeightedMinAge08),MAX(CapacityAge08*'01_Вводные'!$B$218*'19_Расчет_аналитики'!AJ1571,MeanMinAge08)))</f>
        <v/>
      </c>
      <c r="AK1483">
        <f>IF(OR('19_Расчет_аналитики'!AK1455=0,8&lt;='01_Вводные'!$B$297),0,'19_Расчет_аналитики'!AK1455*IF('01_Вводные'!$B$239="Да",MeanMinAge08+'19_Расчет_аналитики'!AK1571*SUMIF(ThresholdAge08,"&lt;"&amp;'19_Расчет_аналитики'!AK1571,WeightedRevAge08)-SUMIF(ThresholdAge08,"&lt;"&amp;'19_Расчет_аналитики'!AK1571,WeightedMinAge08),MAX(CapacityAge08*'01_Вводные'!$B$218*'19_Расчет_аналитики'!AK1571,MeanMinAge08)))</f>
        <v/>
      </c>
      <c r="AL1483">
        <f>IF(OR('19_Расчет_аналитики'!AL1455=0,8&lt;='01_Вводные'!$B$297),0,'19_Расчет_аналитики'!AL1455*IF('01_Вводные'!$B$239="Да",MeanMinAge08+'19_Расчет_аналитики'!AL1571*SUMIF(ThresholdAge08,"&lt;"&amp;'19_Расчет_аналитики'!AL1571,WeightedRevAge08)-SUMIF(ThresholdAge08,"&lt;"&amp;'19_Расчет_аналитики'!AL1571,WeightedMinAge08),MAX(CapacityAge08*'01_Вводные'!$B$218*'19_Расчет_аналитики'!AL1571,MeanMinAge08)))</f>
        <v/>
      </c>
      <c r="AM1483">
        <f>IF(OR('19_Расчет_аналитики'!AM1455=0,8&lt;='01_Вводные'!$B$297),0,'19_Расчет_аналитики'!AM1455*IF('01_Вводные'!$B$239="Да",MeanMinAge08+'19_Расчет_аналитики'!AM1571*SUMIF(ThresholdAge08,"&lt;"&amp;'19_Расчет_аналитики'!AM1571,WeightedRevAge08)-SUMIF(ThresholdAge08,"&lt;"&amp;'19_Расчет_аналитики'!AM1571,WeightedMinAge08),MAX(CapacityAge08*'01_Вводные'!$B$218*'19_Расчет_аналитики'!AM1571,MeanMinAge08)))</f>
        <v/>
      </c>
      <c r="AN1483">
        <f>IF(OR('19_Расчет_аналитики'!AN1455=0,8&lt;='01_Вводные'!$B$297),0,'19_Расчет_аналитики'!AN1455*IF('01_Вводные'!$B$239="Да",MeanMinAge08+'19_Расчет_аналитики'!AN1571*SUMIF(ThresholdAge08,"&lt;"&amp;'19_Расчет_аналитики'!AN1571,WeightedRevAge08)-SUMIF(ThresholdAge08,"&lt;"&amp;'19_Расчет_аналитики'!AN1571,WeightedMinAge08),MAX(CapacityAge08*'01_Вводные'!$B$218*'19_Расчет_аналитики'!AN1571,MeanMinAge08)))</f>
        <v/>
      </c>
      <c r="AO1483">
        <f>IF(OR('19_Расчет_аналитики'!AO1455=0,8&lt;='01_Вводные'!$B$297),0,'19_Расчет_аналитики'!AO1455*IF('01_Вводные'!$B$239="Да",MeanMinAge08+'19_Расчет_аналитики'!AO1571*SUMIF(ThresholdAge08,"&lt;"&amp;'19_Расчет_аналитики'!AO1571,WeightedRevAge08)-SUMIF(ThresholdAge08,"&lt;"&amp;'19_Расчет_аналитики'!AO1571,WeightedMinAge08),MAX(CapacityAge08*'01_Вводные'!$B$218*'19_Расчет_аналитики'!AO1571,MeanMinAge08)))</f>
        <v/>
      </c>
      <c r="AP1483">
        <f>IF(OR('19_Расчет_аналитики'!AP1455=0,8&lt;='01_Вводные'!$B$297),0,'19_Расчет_аналитики'!AP1455*IF('01_Вводные'!$B$239="Да",MeanMinAge08+'19_Расчет_аналитики'!AP1571*SUMIF(ThresholdAge08,"&lt;"&amp;'19_Расчет_аналитики'!AP1571,WeightedRevAge08)-SUMIF(ThresholdAge08,"&lt;"&amp;'19_Расчет_аналитики'!AP1571,WeightedMinAge08),MAX(CapacityAge08*'01_Вводные'!$B$218*'19_Расчет_аналитики'!AP1571,MeanMinAge08)))</f>
        <v/>
      </c>
      <c r="AQ1483">
        <f>IF(OR('19_Расчет_аналитики'!AQ1455=0,8&lt;='01_Вводные'!$B$297),0,'19_Расчет_аналитики'!AQ1455*IF('01_Вводные'!$B$239="Да",MeanMinAge08+'19_Расчет_аналитики'!AQ1571*SUMIF(ThresholdAge08,"&lt;"&amp;'19_Расчет_аналитики'!AQ1571,WeightedRevAge08)-SUMIF(ThresholdAge08,"&lt;"&amp;'19_Расчет_аналитики'!AQ1571,WeightedMinAge08),MAX(CapacityAge08*'01_Вводные'!$B$218*'19_Расчет_аналитики'!AQ1571,MeanMinAge08)))</f>
        <v/>
      </c>
      <c r="AR1483">
        <f>IF(OR('19_Расчет_аналитики'!AR1455=0,8&lt;='01_Вводные'!$B$297),0,'19_Расчет_аналитики'!AR1455*IF('01_Вводные'!$B$239="Да",MeanMinAge08+'19_Расчет_аналитики'!AR1571*SUMIF(ThresholdAge08,"&lt;"&amp;'19_Расчет_аналитики'!AR1571,WeightedRevAge08)-SUMIF(ThresholdAge08,"&lt;"&amp;'19_Расчет_аналитики'!AR1571,WeightedMinAge08),MAX(CapacityAge08*'01_Вводные'!$B$218*'19_Расчет_аналитики'!AR1571,MeanMinAge08)))</f>
        <v/>
      </c>
      <c r="AS1483">
        <f>IF(OR('19_Расчет_аналитики'!AS1455=0,8&lt;='01_Вводные'!$B$297),0,'19_Расчет_аналитики'!AS1455*IF('01_Вводные'!$B$239="Да",MeanMinAge08+'19_Расчет_аналитики'!AS1571*SUMIF(ThresholdAge08,"&lt;"&amp;'19_Расчет_аналитики'!AS1571,WeightedRevAge08)-SUMIF(ThresholdAge08,"&lt;"&amp;'19_Расчет_аналитики'!AS1571,WeightedMinAge08),MAX(CapacityAge08*'01_Вводные'!$B$218*'19_Расчет_аналитики'!AS1571,MeanMinAge08)))</f>
        <v/>
      </c>
      <c r="AT1483">
        <f>IF(OR('19_Расчет_аналитики'!AT1455=0,8&lt;='01_Вводные'!$B$297),0,'19_Расчет_аналитики'!AT1455*IF('01_Вводные'!$B$239="Да",MeanMinAge08+'19_Расчет_аналитики'!AT1571*SUMIF(ThresholdAge08,"&lt;"&amp;'19_Расчет_аналитики'!AT1571,WeightedRevAge08)-SUMIF(ThresholdAge08,"&lt;"&amp;'19_Расчет_аналитики'!AT1571,WeightedMinAge08),MAX(CapacityAge08*'01_Вводные'!$B$218*'19_Расчет_аналитики'!AT1571,MeanMinAge08)))</f>
        <v/>
      </c>
      <c r="AU1483">
        <f>IF(OR('19_Расчет_аналитики'!AU1455=0,8&lt;='01_Вводные'!$B$297),0,'19_Расчет_аналитики'!AU1455*IF('01_Вводные'!$B$239="Да",MeanMinAge08+'19_Расчет_аналитики'!AU1571*SUMIF(ThresholdAge08,"&lt;"&amp;'19_Расчет_аналитики'!AU1571,WeightedRevAge08)-SUMIF(ThresholdAge08,"&lt;"&amp;'19_Расчет_аналитики'!AU1571,WeightedMinAge08),MAX(CapacityAge08*'01_Вводные'!$B$218*'19_Расчет_аналитики'!AU1571,MeanMinAge08)))</f>
        <v/>
      </c>
      <c r="AV1483">
        <f>IF(OR('19_Расчет_аналитики'!AV1455=0,8&lt;='01_Вводные'!$B$297),0,'19_Расчет_аналитики'!AV1455*IF('01_Вводные'!$B$239="Да",MeanMinAge08+'19_Расчет_аналитики'!AV1571*SUMIF(ThresholdAge08,"&lt;"&amp;'19_Расчет_аналитики'!AV1571,WeightedRevAge08)-SUMIF(ThresholdAge08,"&lt;"&amp;'19_Расчет_аналитики'!AV1571,WeightedMinAge08),MAX(CapacityAge08*'01_Вводные'!$B$218*'19_Расчет_аналитики'!AV1571,MeanMinAge08)))</f>
        <v/>
      </c>
      <c r="AW1483">
        <f>IF(OR('19_Расчет_аналитики'!AW1455=0,8&lt;='01_Вводные'!$B$297),0,'19_Расчет_аналитики'!AW1455*IF('01_Вводные'!$B$239="Да",MeanMinAge08+'19_Расчет_аналитики'!AW1571*SUMIF(ThresholdAge08,"&lt;"&amp;'19_Расчет_аналитики'!AW1571,WeightedRevAge08)-SUMIF(ThresholdAge08,"&lt;"&amp;'19_Расчет_аналитики'!AW1571,WeightedMinAge08),MAX(CapacityAge08*'01_Вводные'!$B$218*'19_Расчет_аналитики'!AW1571,MeanMinAge08)))</f>
        <v/>
      </c>
      <c r="AX1483">
        <f>IF(OR('19_Расчет_аналитики'!AX1455=0,8&lt;='01_Вводные'!$B$297),0,'19_Расчет_аналитики'!AX1455*IF('01_Вводные'!$B$239="Да",MeanMinAge08+'19_Расчет_аналитики'!AX1571*SUMIF(ThresholdAge08,"&lt;"&amp;'19_Расчет_аналитики'!AX1571,WeightedRevAge08)-SUMIF(ThresholdAge08,"&lt;"&amp;'19_Расчет_аналитики'!AX1571,WeightedMinAge08),MAX(CapacityAge08*'01_Вводные'!$B$218*'19_Расчет_аналитики'!AX1571,MeanMinAge08)))</f>
        <v/>
      </c>
      <c r="AY1483">
        <f>IF(OR('19_Расчет_аналитики'!AY1455=0,8&lt;='01_Вводные'!$B$297),0,'19_Расчет_аналитики'!AY1455*IF('01_Вводные'!$B$239="Да",MeanMinAge08+'19_Расчет_аналитики'!AY1571*SUMIF(ThresholdAge08,"&lt;"&amp;'19_Расчет_аналитики'!AY1571,WeightedRevAge08)-SUMIF(ThresholdAge08,"&lt;"&amp;'19_Расчет_аналитики'!AY1571,WeightedMinAge08),MAX(CapacityAge08*'01_Вводные'!$B$218*'19_Расчет_аналитики'!AY1571,MeanMinAge08)))</f>
        <v/>
      </c>
      <c r="AZ1483">
        <f>IF(OR('19_Расчет_аналитики'!AZ1455=0,8&lt;='01_Вводные'!$B$297),0,'19_Расчет_аналитики'!AZ1455*IF('01_Вводные'!$B$239="Да",MeanMinAge08+'19_Расчет_аналитики'!AZ1571*SUMIF(ThresholdAge08,"&lt;"&amp;'19_Расчет_аналитики'!AZ1571,WeightedRevAge08)-SUMIF(ThresholdAge08,"&lt;"&amp;'19_Расчет_аналитики'!AZ1571,WeightedMinAge08),MAX(CapacityAge08*'01_Вводные'!$B$218*'19_Расчет_аналитики'!AZ1571,MeanMinAge08)))</f>
        <v/>
      </c>
      <c r="BA1483">
        <f>IF(OR('19_Расчет_аналитики'!BA1455=0,8&lt;='01_Вводные'!$B$297),0,'19_Расчет_аналитики'!BA1455*IF('01_Вводные'!$B$239="Да",MeanMinAge08+'19_Расчет_аналитики'!BA1571*SUMIF(ThresholdAge08,"&lt;"&amp;'19_Расчет_аналитики'!BA1571,WeightedRevAge08)-SUMIF(ThresholdAge08,"&lt;"&amp;'19_Расчет_аналитики'!BA1571,WeightedMinAge08),MAX(CapacityAge08*'01_Вводные'!$B$218*'19_Расчет_аналитики'!BA1571,MeanMinAge08)))</f>
        <v/>
      </c>
      <c r="BB1483">
        <f>IF(OR('19_Расчет_аналитики'!BB1455=0,8&lt;='01_Вводные'!$B$297),0,'19_Расчет_аналитики'!BB1455*IF('01_Вводные'!$B$239="Да",MeanMinAge08+'19_Расчет_аналитики'!BB1571*SUMIF(ThresholdAge08,"&lt;"&amp;'19_Расчет_аналитики'!BB1571,WeightedRevAge08)-SUMIF(ThresholdAge08,"&lt;"&amp;'19_Расчет_аналитики'!BB1571,WeightedMinAge08),MAX(CapacityAge08*'01_Вводные'!$B$218*'19_Расчет_аналитики'!BB1571,MeanMinAge08)))</f>
        <v/>
      </c>
      <c r="BC1483">
        <f>IF(OR('19_Расчет_аналитики'!BC1455=0,8&lt;='01_Вводные'!$B$297),0,'19_Расчет_аналитики'!BC1455*IF('01_Вводные'!$B$239="Да",MeanMinAge08+'19_Расчет_аналитики'!BC1571*SUMIF(ThresholdAge08,"&lt;"&amp;'19_Расчет_аналитики'!BC1571,WeightedRevAge08)-SUMIF(ThresholdAge08,"&lt;"&amp;'19_Расчет_аналитики'!BC1571,WeightedMinAge08),MAX(CapacityAge08*'01_Вводные'!$B$218*'19_Расчет_аналитики'!BC1571,MeanMinAge08)))</f>
        <v/>
      </c>
      <c r="BD1483">
        <f>IF(OR('19_Расчет_аналитики'!BD1455=0,8&lt;='01_Вводные'!$B$297),0,'19_Расчет_аналитики'!BD1455*IF('01_Вводные'!$B$239="Да",MeanMinAge08+'19_Расчет_аналитики'!BD1571*SUMIF(ThresholdAge08,"&lt;"&amp;'19_Расчет_аналитики'!BD1571,WeightedRevAge08)-SUMIF(ThresholdAge08,"&lt;"&amp;'19_Расчет_аналитики'!BD1571,WeightedMinAge08),MAX(CapacityAge08*'01_Вводные'!$B$218*'19_Расчет_аналитики'!BD1571,MeanMinAge08)))</f>
        <v/>
      </c>
      <c r="BE1483">
        <f>IF(OR('19_Расчет_аналитики'!BE1455=0,8&lt;='01_Вводные'!$B$297),0,'19_Расчет_аналитики'!BE1455*IF('01_Вводные'!$B$239="Да",MeanMinAge08+'19_Расчет_аналитики'!BE1571*SUMIF(ThresholdAge08,"&lt;"&amp;'19_Расчет_аналитики'!BE1571,WeightedRevAge08)-SUMIF(ThresholdAge08,"&lt;"&amp;'19_Расчет_аналитики'!BE1571,WeightedMinAge08),MAX(CapacityAge08*'01_Вводные'!$B$218*'19_Расчет_аналитики'!BE1571,MeanMinAge08)))</f>
        <v/>
      </c>
      <c r="BF1483">
        <f>IF(OR('19_Расчет_аналитики'!BF1455=0,8&lt;='01_Вводные'!$B$297),0,'19_Расчет_аналитики'!BF1455*IF('01_Вводные'!$B$239="Да",MeanMinAge08+'19_Расчет_аналитики'!BF1571*SUMIF(ThresholdAge08,"&lt;"&amp;'19_Расчет_аналитики'!BF1571,WeightedRevAge08)-SUMIF(ThresholdAge08,"&lt;"&amp;'19_Расчет_аналитики'!BF1571,WeightedMinAge08),MAX(CapacityAge08*'01_Вводные'!$B$218*'19_Расчет_аналитики'!BF1571,MeanMinAge08)))</f>
        <v/>
      </c>
      <c r="BG1483">
        <f>IF(OR('19_Расчет_аналитики'!BG1455=0,8&lt;='01_Вводные'!$B$297),0,'19_Расчет_аналитики'!BG1455*IF('01_Вводные'!$B$239="Да",MeanMinAge08+'19_Расчет_аналитики'!BG1571*SUMIF(ThresholdAge08,"&lt;"&amp;'19_Расчет_аналитики'!BG1571,WeightedRevAge08)-SUMIF(ThresholdAge08,"&lt;"&amp;'19_Расчет_аналитики'!BG1571,WeightedMinAge08),MAX(CapacityAge08*'01_Вводные'!$B$218*'19_Расчет_аналитики'!BG1571,MeanMinAge08)))</f>
        <v/>
      </c>
      <c r="BH1483">
        <f>IF(OR('19_Расчет_аналитики'!BH1455=0,8&lt;='01_Вводные'!$B$297),0,'19_Расчет_аналитики'!BH1455*IF('01_Вводные'!$B$239="Да",MeanMinAge08+'19_Расчет_аналитики'!BH1571*SUMIF(ThresholdAge08,"&lt;"&amp;'19_Расчет_аналитики'!BH1571,WeightedRevAge08)-SUMIF(ThresholdAge08,"&lt;"&amp;'19_Расчет_аналитики'!BH1571,WeightedMinAge08),MAX(CapacityAge08*'01_Вводные'!$B$218*'19_Расчет_аналитики'!BH1571,MeanMinAge08)))</f>
        <v/>
      </c>
      <c r="BI1483">
        <f>IF(OR('19_Расчет_аналитики'!BI1455=0,8&lt;='01_Вводные'!$B$297),0,'19_Расчет_аналитики'!BI1455*IF('01_Вводные'!$B$239="Да",MeanMinAge08+'19_Расчет_аналитики'!BI1571*SUMIF(ThresholdAge08,"&lt;"&amp;'19_Расчет_аналитики'!BI1571,WeightedRevAge08)-SUMIF(ThresholdAge08,"&lt;"&amp;'19_Расчет_аналитики'!BI1571,WeightedMinAge08),MAX(CapacityAge08*'01_Вводные'!$B$218*'19_Расчет_аналитики'!BI1571,MeanMinAge08)))</f>
        <v/>
      </c>
      <c r="BJ1483">
        <f>IF(OR('19_Расчет_аналитики'!BJ1455=0,8&lt;='01_Вводные'!$B$297),0,'19_Расчет_аналитики'!BJ1455*IF('01_Вводные'!$B$239="Да",MeanMinAge08+'19_Расчет_аналитики'!BJ1571*SUMIF(ThresholdAge08,"&lt;"&amp;'19_Расчет_аналитики'!BJ1571,WeightedRevAge08)-SUMIF(ThresholdAge08,"&lt;"&amp;'19_Расчет_аналитики'!BJ1571,WeightedMinAge08),MAX(CapacityAge08*'01_Вводные'!$B$218*'19_Расчет_аналитики'!BJ1571,MeanMinAge08)))</f>
        <v/>
      </c>
      <c r="BK1483">
        <f>IF(OR('19_Расчет_аналитики'!BK1455=0,8&lt;='01_Вводные'!$B$297),0,'19_Расчет_аналитики'!BK1455*IF('01_Вводные'!$B$239="Да",MeanMinAge08+'19_Расчет_аналитики'!BK1571*SUMIF(ThresholdAge08,"&lt;"&amp;'19_Расчет_аналитики'!BK1571,WeightedRevAge08)-SUMIF(ThresholdAge08,"&lt;"&amp;'19_Расчет_аналитики'!BK1571,WeightedMinAge08),MAX(CapacityAge08*'01_Вводные'!$B$218*'19_Расчет_аналитики'!BK1571,MeanMinAge08)))</f>
        <v/>
      </c>
      <c r="BL1483">
        <f>IF(OR('19_Расчет_аналитики'!BL1455=0,8&lt;='01_Вводные'!$B$297),0,'19_Расчет_аналитики'!BL1455*IF('01_Вводные'!$B$239="Да",MeanMinAge08+'19_Расчет_аналитики'!BL1571*SUMIF(ThresholdAge08,"&lt;"&amp;'19_Расчет_аналитики'!BL1571,WeightedRevAge08)-SUMIF(ThresholdAge08,"&lt;"&amp;'19_Расчет_аналитики'!BL1571,WeightedMinAge08),MAX(CapacityAge08*'01_Вводные'!$B$218*'19_Расчет_аналитики'!BL1571,MeanMinAge08)))</f>
        <v/>
      </c>
      <c r="BM1483">
        <f>IF(OR('19_Расчет_аналитики'!BM1455=0,8&lt;='01_Вводные'!$B$297),0,'19_Расчет_аналитики'!BM1455*IF('01_Вводные'!$B$239="Да",MeanMinAge08+'19_Расчет_аналитики'!BM1571*SUMIF(ThresholdAge08,"&lt;"&amp;'19_Расчет_аналитики'!BM1571,WeightedRevAge08)-SUMIF(ThresholdAge08,"&lt;"&amp;'19_Расчет_аналитики'!BM1571,WeightedMinAge08),MAX(CapacityAge08*'01_Вводные'!$B$218*'19_Расчет_аналитики'!BM1571,MeanMinAge08)))</f>
        <v/>
      </c>
      <c r="BN1483">
        <f>IF(OR('19_Расчет_аналитики'!BN1455=0,8&lt;='01_Вводные'!$B$297),0,'19_Расчет_аналитики'!BN1455*IF('01_Вводные'!$B$239="Да",MeanMinAge08+'19_Расчет_аналитики'!BN1571*SUMIF(ThresholdAge08,"&lt;"&amp;'19_Расчет_аналитики'!BN1571,WeightedRevAge08)-SUMIF(ThresholdAge08,"&lt;"&amp;'19_Расчет_аналитики'!BN1571,WeightedMinAge08),MAX(CapacityAge08*'01_Вводные'!$B$218*'19_Расчет_аналитики'!BN1571,MeanMinAge08)))</f>
        <v/>
      </c>
      <c r="BO1483">
        <f>IF(OR('19_Расчет_аналитики'!BO1455=0,8&lt;='01_Вводные'!$B$297),0,'19_Расчет_аналитики'!BO1455*IF('01_Вводные'!$B$239="Да",MeanMinAge08+'19_Расчет_аналитики'!BO1571*SUMIF(ThresholdAge08,"&lt;"&amp;'19_Расчет_аналитики'!BO1571,WeightedRevAge08)-SUMIF(ThresholdAge08,"&lt;"&amp;'19_Расчет_аналитики'!BO1571,WeightedMinAge08),MAX(CapacityAge08*'01_Вводные'!$B$218*'19_Расчет_аналитики'!BO1571,MeanMinAge08)))</f>
        <v/>
      </c>
    </row>
    <row r="1484">
      <c r="B1484">
        <f>IF(OR('06_Сеть_и_дети'!B89=0,9&lt;='01_Вводные'!$B$297),0,'06_Сеть_и_дети'!B89*IF('01_Вводные'!$B$239="Да",MeanMinAge09+'19_Расчет_аналитики'!B1571*SUMIF(ThresholdAge09,"&lt;"&amp;'19_Расчет_аналитики'!B1571,WeightedRevAge09)-SUMIF(ThresholdAge09,"&lt;"&amp;'19_Расчет_аналитики'!B1571,WeightedMinAge09),MAX(CapacityAge09*'01_Вводные'!$B$218*'19_Расчет_аналитики'!B1571,MeanMinAge09)))</f>
        <v/>
      </c>
      <c r="C1484">
        <f>IF(OR('06_Сеть_и_дети'!C89=0,9&lt;='01_Вводные'!$B$297),0,'06_Сеть_и_дети'!C89*IF('01_Вводные'!$B$239="Да",MeanMinAge09+'19_Расчет_аналитики'!C1571*SUMIF(ThresholdAge09,"&lt;"&amp;'19_Расчет_аналитики'!C1571,WeightedRevAge09)-SUMIF(ThresholdAge09,"&lt;"&amp;'19_Расчет_аналитики'!C1571,WeightedMinAge09),MAX(CapacityAge09*'01_Вводные'!$B$218*'19_Расчет_аналитики'!C1571,MeanMinAge09)))</f>
        <v/>
      </c>
      <c r="D1484">
        <f>IF(OR('06_Сеть_и_дети'!D89=0,9&lt;='01_Вводные'!$B$297),0,'06_Сеть_и_дети'!D89*IF('01_Вводные'!$B$239="Да",MeanMinAge09+'19_Расчет_аналитики'!D1571*SUMIF(ThresholdAge09,"&lt;"&amp;'19_Расчет_аналитики'!D1571,WeightedRevAge09)-SUMIF(ThresholdAge09,"&lt;"&amp;'19_Расчет_аналитики'!D1571,WeightedMinAge09),MAX(CapacityAge09*'01_Вводные'!$B$218*'19_Расчет_аналитики'!D1571,MeanMinAge09)))</f>
        <v/>
      </c>
      <c r="E1484">
        <f>IF(OR('06_Сеть_и_дети'!E89=0,9&lt;='01_Вводные'!$B$297),0,'06_Сеть_и_дети'!E89*IF('01_Вводные'!$B$239="Да",MeanMinAge09+'19_Расчет_аналитики'!E1571*SUMIF(ThresholdAge09,"&lt;"&amp;'19_Расчет_аналитики'!E1571,WeightedRevAge09)-SUMIF(ThresholdAge09,"&lt;"&amp;'19_Расчет_аналитики'!E1571,WeightedMinAge09),MAX(CapacityAge09*'01_Вводные'!$B$218*'19_Расчет_аналитики'!E1571,MeanMinAge09)))</f>
        <v/>
      </c>
      <c r="F1484">
        <f>IF(OR('06_Сеть_и_дети'!F89=0,9&lt;='01_Вводные'!$B$297),0,'06_Сеть_и_дети'!F89*IF('01_Вводные'!$B$239="Да",MeanMinAge09+'19_Расчет_аналитики'!F1571*SUMIF(ThresholdAge09,"&lt;"&amp;'19_Расчет_аналитики'!F1571,WeightedRevAge09)-SUMIF(ThresholdAge09,"&lt;"&amp;'19_Расчет_аналитики'!F1571,WeightedMinAge09),MAX(CapacityAge09*'01_Вводные'!$B$218*'19_Расчет_аналитики'!F1571,MeanMinAge09)))</f>
        <v/>
      </c>
      <c r="G1484">
        <f>IF(OR('06_Сеть_и_дети'!G89=0,9&lt;='01_Вводные'!$B$297),0,'06_Сеть_и_дети'!G89*IF('01_Вводные'!$B$239="Да",MeanMinAge09+'19_Расчет_аналитики'!G1571*SUMIF(ThresholdAge09,"&lt;"&amp;'19_Расчет_аналитики'!G1571,WeightedRevAge09)-SUMIF(ThresholdAge09,"&lt;"&amp;'19_Расчет_аналитики'!G1571,WeightedMinAge09),MAX(CapacityAge09*'01_Вводные'!$B$218*'19_Расчет_аналитики'!G1571,MeanMinAge09)))</f>
        <v/>
      </c>
      <c r="H1484">
        <f>IF(OR('06_Сеть_и_дети'!H89=0,9&lt;='01_Вводные'!$B$297),0,'06_Сеть_и_дети'!H89*IF('01_Вводные'!$B$239="Да",MeanMinAge09+'19_Расчет_аналитики'!H1571*SUMIF(ThresholdAge09,"&lt;"&amp;'19_Расчет_аналитики'!H1571,WeightedRevAge09)-SUMIF(ThresholdAge09,"&lt;"&amp;'19_Расчет_аналитики'!H1571,WeightedMinAge09),MAX(CapacityAge09*'01_Вводные'!$B$218*'19_Расчет_аналитики'!H1571,MeanMinAge09)))</f>
        <v/>
      </c>
      <c r="I1484">
        <f>IF(OR('06_Сеть_и_дети'!I89=0,9&lt;='01_Вводные'!$B$297),0,'06_Сеть_и_дети'!I89*IF('01_Вводные'!$B$239="Да",MeanMinAge09+'19_Расчет_аналитики'!I1571*SUMIF(ThresholdAge09,"&lt;"&amp;'19_Расчет_аналитики'!I1571,WeightedRevAge09)-SUMIF(ThresholdAge09,"&lt;"&amp;'19_Расчет_аналитики'!I1571,WeightedMinAge09),MAX(CapacityAge09*'01_Вводные'!$B$218*'19_Расчет_аналитики'!I1571,MeanMinAge09)))</f>
        <v/>
      </c>
      <c r="J1484">
        <f>IF(OR('19_Расчет_аналитики'!J1456=0,9&lt;='01_Вводные'!$B$297),0,'19_Расчет_аналитики'!J1456*IF('01_Вводные'!$B$239="Да",MeanMinAge09+'19_Расчет_аналитики'!J1571*SUMIF(ThresholdAge09,"&lt;"&amp;'19_Расчет_аналитики'!J1571,WeightedRevAge09)-SUMIF(ThresholdAge09,"&lt;"&amp;'19_Расчет_аналитики'!J1571,WeightedMinAge09),MAX(CapacityAge09*'01_Вводные'!$B$218*'19_Расчет_аналитики'!J1571,MeanMinAge09)))</f>
        <v/>
      </c>
      <c r="K1484">
        <f>IF(OR('19_Расчет_аналитики'!K1456=0,9&lt;='01_Вводные'!$B$297),0,'19_Расчет_аналитики'!K1456*IF('01_Вводные'!$B$239="Да",MeanMinAge09+'19_Расчет_аналитики'!K1571*SUMIF(ThresholdAge09,"&lt;"&amp;'19_Расчет_аналитики'!K1571,WeightedRevAge09)-SUMIF(ThresholdAge09,"&lt;"&amp;'19_Расчет_аналитики'!K1571,WeightedMinAge09),MAX(CapacityAge09*'01_Вводные'!$B$218*'19_Расчет_аналитики'!K1571,MeanMinAge09)))</f>
        <v/>
      </c>
      <c r="L1484">
        <f>IF(OR('19_Расчет_аналитики'!L1456=0,9&lt;='01_Вводные'!$B$297),0,'19_Расчет_аналитики'!L1456*IF('01_Вводные'!$B$239="Да",MeanMinAge09+'19_Расчет_аналитики'!L1571*SUMIF(ThresholdAge09,"&lt;"&amp;'19_Расчет_аналитики'!L1571,WeightedRevAge09)-SUMIF(ThresholdAge09,"&lt;"&amp;'19_Расчет_аналитики'!L1571,WeightedMinAge09),MAX(CapacityAge09*'01_Вводные'!$B$218*'19_Расчет_аналитики'!L1571,MeanMinAge09)))</f>
        <v/>
      </c>
      <c r="M1484">
        <f>IF(OR('19_Расчет_аналитики'!M1456=0,9&lt;='01_Вводные'!$B$297),0,'19_Расчет_аналитики'!M1456*IF('01_Вводные'!$B$239="Да",MeanMinAge09+'19_Расчет_аналитики'!M1571*SUMIF(ThresholdAge09,"&lt;"&amp;'19_Расчет_аналитики'!M1571,WeightedRevAge09)-SUMIF(ThresholdAge09,"&lt;"&amp;'19_Расчет_аналитики'!M1571,WeightedMinAge09),MAX(CapacityAge09*'01_Вводные'!$B$218*'19_Расчет_аналитики'!M1571,MeanMinAge09)))</f>
        <v/>
      </c>
      <c r="N1484">
        <f>IF(OR('19_Расчет_аналитики'!N1456=0,9&lt;='01_Вводные'!$B$297),0,'19_Расчет_аналитики'!N1456*IF('01_Вводные'!$B$239="Да",MeanMinAge09+'19_Расчет_аналитики'!N1571*SUMIF(ThresholdAge09,"&lt;"&amp;'19_Расчет_аналитики'!N1571,WeightedRevAge09)-SUMIF(ThresholdAge09,"&lt;"&amp;'19_Расчет_аналитики'!N1571,WeightedMinAge09),MAX(CapacityAge09*'01_Вводные'!$B$218*'19_Расчет_аналитики'!N1571,MeanMinAge09)))</f>
        <v/>
      </c>
      <c r="O1484">
        <f>IF(OR('19_Расчет_аналитики'!O1456=0,9&lt;='01_Вводные'!$B$297),0,'19_Расчет_аналитики'!O1456*IF('01_Вводные'!$B$239="Да",MeanMinAge09+'19_Расчет_аналитики'!O1571*SUMIF(ThresholdAge09,"&lt;"&amp;'19_Расчет_аналитики'!O1571,WeightedRevAge09)-SUMIF(ThresholdAge09,"&lt;"&amp;'19_Расчет_аналитики'!O1571,WeightedMinAge09),MAX(CapacityAge09*'01_Вводные'!$B$218*'19_Расчет_аналитики'!O1571,MeanMinAge09)))</f>
        <v/>
      </c>
      <c r="P1484">
        <f>IF(OR('19_Расчет_аналитики'!P1456=0,9&lt;='01_Вводные'!$B$297),0,'19_Расчет_аналитики'!P1456*IF('01_Вводные'!$B$239="Да",MeanMinAge09+'19_Расчет_аналитики'!P1571*SUMIF(ThresholdAge09,"&lt;"&amp;'19_Расчет_аналитики'!P1571,WeightedRevAge09)-SUMIF(ThresholdAge09,"&lt;"&amp;'19_Расчет_аналитики'!P1571,WeightedMinAge09),MAX(CapacityAge09*'01_Вводные'!$B$218*'19_Расчет_аналитики'!P1571,MeanMinAge09)))</f>
        <v/>
      </c>
      <c r="Q1484">
        <f>IF(OR('19_Расчет_аналитики'!Q1456=0,9&lt;='01_Вводные'!$B$297),0,'19_Расчет_аналитики'!Q1456*IF('01_Вводные'!$B$239="Да",MeanMinAge09+'19_Расчет_аналитики'!Q1571*SUMIF(ThresholdAge09,"&lt;"&amp;'19_Расчет_аналитики'!Q1571,WeightedRevAge09)-SUMIF(ThresholdAge09,"&lt;"&amp;'19_Расчет_аналитики'!Q1571,WeightedMinAge09),MAX(CapacityAge09*'01_Вводные'!$B$218*'19_Расчет_аналитики'!Q1571,MeanMinAge09)))</f>
        <v/>
      </c>
      <c r="R1484">
        <f>IF(OR('19_Расчет_аналитики'!R1456=0,9&lt;='01_Вводные'!$B$297),0,'19_Расчет_аналитики'!R1456*IF('01_Вводные'!$B$239="Да",MeanMinAge09+'19_Расчет_аналитики'!R1571*SUMIF(ThresholdAge09,"&lt;"&amp;'19_Расчет_аналитики'!R1571,WeightedRevAge09)-SUMIF(ThresholdAge09,"&lt;"&amp;'19_Расчет_аналитики'!R1571,WeightedMinAge09),MAX(CapacityAge09*'01_Вводные'!$B$218*'19_Расчет_аналитики'!R1571,MeanMinAge09)))</f>
        <v/>
      </c>
      <c r="S1484">
        <f>IF(OR('19_Расчет_аналитики'!S1456=0,9&lt;='01_Вводные'!$B$297),0,'19_Расчет_аналитики'!S1456*IF('01_Вводные'!$B$239="Да",MeanMinAge09+'19_Расчет_аналитики'!S1571*SUMIF(ThresholdAge09,"&lt;"&amp;'19_Расчет_аналитики'!S1571,WeightedRevAge09)-SUMIF(ThresholdAge09,"&lt;"&amp;'19_Расчет_аналитики'!S1571,WeightedMinAge09),MAX(CapacityAge09*'01_Вводные'!$B$218*'19_Расчет_аналитики'!S1571,MeanMinAge09)))</f>
        <v/>
      </c>
      <c r="T1484">
        <f>IF(OR('19_Расчет_аналитики'!T1456=0,9&lt;='01_Вводные'!$B$297),0,'19_Расчет_аналитики'!T1456*IF('01_Вводные'!$B$239="Да",MeanMinAge09+'19_Расчет_аналитики'!T1571*SUMIF(ThresholdAge09,"&lt;"&amp;'19_Расчет_аналитики'!T1571,WeightedRevAge09)-SUMIF(ThresholdAge09,"&lt;"&amp;'19_Расчет_аналитики'!T1571,WeightedMinAge09),MAX(CapacityAge09*'01_Вводные'!$B$218*'19_Расчет_аналитики'!T1571,MeanMinAge09)))</f>
        <v/>
      </c>
      <c r="U1484">
        <f>IF(OR('19_Расчет_аналитики'!U1456=0,9&lt;='01_Вводные'!$B$297),0,'19_Расчет_аналитики'!U1456*IF('01_Вводные'!$B$239="Да",MeanMinAge09+'19_Расчет_аналитики'!U1571*SUMIF(ThresholdAge09,"&lt;"&amp;'19_Расчет_аналитики'!U1571,WeightedRevAge09)-SUMIF(ThresholdAge09,"&lt;"&amp;'19_Расчет_аналитики'!U1571,WeightedMinAge09),MAX(CapacityAge09*'01_Вводные'!$B$218*'19_Расчет_аналитики'!U1571,MeanMinAge09)))</f>
        <v/>
      </c>
      <c r="V1484">
        <f>IF(OR('19_Расчет_аналитики'!V1456=0,9&lt;='01_Вводные'!$B$297),0,'19_Расчет_аналитики'!V1456*IF('01_Вводные'!$B$239="Да",MeanMinAge09+'19_Расчет_аналитики'!V1571*SUMIF(ThresholdAge09,"&lt;"&amp;'19_Расчет_аналитики'!V1571,WeightedRevAge09)-SUMIF(ThresholdAge09,"&lt;"&amp;'19_Расчет_аналитики'!V1571,WeightedMinAge09),MAX(CapacityAge09*'01_Вводные'!$B$218*'19_Расчет_аналитики'!V1571,MeanMinAge09)))</f>
        <v/>
      </c>
      <c r="W1484">
        <f>IF(OR('19_Расчет_аналитики'!W1456=0,9&lt;='01_Вводные'!$B$297),0,'19_Расчет_аналитики'!W1456*IF('01_Вводные'!$B$239="Да",MeanMinAge09+'19_Расчет_аналитики'!W1571*SUMIF(ThresholdAge09,"&lt;"&amp;'19_Расчет_аналитики'!W1571,WeightedRevAge09)-SUMIF(ThresholdAge09,"&lt;"&amp;'19_Расчет_аналитики'!W1571,WeightedMinAge09),MAX(CapacityAge09*'01_Вводные'!$B$218*'19_Расчет_аналитики'!W1571,MeanMinAge09)))</f>
        <v/>
      </c>
      <c r="X1484">
        <f>IF(OR('19_Расчет_аналитики'!X1456=0,9&lt;='01_Вводные'!$B$297),0,'19_Расчет_аналитики'!X1456*IF('01_Вводные'!$B$239="Да",MeanMinAge09+'19_Расчет_аналитики'!X1571*SUMIF(ThresholdAge09,"&lt;"&amp;'19_Расчет_аналитики'!X1571,WeightedRevAge09)-SUMIF(ThresholdAge09,"&lt;"&amp;'19_Расчет_аналитики'!X1571,WeightedMinAge09),MAX(CapacityAge09*'01_Вводные'!$B$218*'19_Расчет_аналитики'!X1571,MeanMinAge09)))</f>
        <v/>
      </c>
      <c r="Y1484">
        <f>IF(OR('19_Расчет_аналитики'!Y1456=0,9&lt;='01_Вводные'!$B$297),0,'19_Расчет_аналитики'!Y1456*IF('01_Вводные'!$B$239="Да",MeanMinAge09+'19_Расчет_аналитики'!Y1571*SUMIF(ThresholdAge09,"&lt;"&amp;'19_Расчет_аналитики'!Y1571,WeightedRevAge09)-SUMIF(ThresholdAge09,"&lt;"&amp;'19_Расчет_аналитики'!Y1571,WeightedMinAge09),MAX(CapacityAge09*'01_Вводные'!$B$218*'19_Расчет_аналитики'!Y1571,MeanMinAge09)))</f>
        <v/>
      </c>
      <c r="Z1484">
        <f>IF(OR('19_Расчет_аналитики'!Z1456=0,9&lt;='01_Вводные'!$B$297),0,'19_Расчет_аналитики'!Z1456*IF('01_Вводные'!$B$239="Да",MeanMinAge09+'19_Расчет_аналитики'!Z1571*SUMIF(ThresholdAge09,"&lt;"&amp;'19_Расчет_аналитики'!Z1571,WeightedRevAge09)-SUMIF(ThresholdAge09,"&lt;"&amp;'19_Расчет_аналитики'!Z1571,WeightedMinAge09),MAX(CapacityAge09*'01_Вводные'!$B$218*'19_Расчет_аналитики'!Z1571,MeanMinAge09)))</f>
        <v/>
      </c>
      <c r="AA1484">
        <f>IF(OR('19_Расчет_аналитики'!AA1456=0,9&lt;='01_Вводные'!$B$297),0,'19_Расчет_аналитики'!AA1456*IF('01_Вводные'!$B$239="Да",MeanMinAge09+'19_Расчет_аналитики'!AA1571*SUMIF(ThresholdAge09,"&lt;"&amp;'19_Расчет_аналитики'!AA1571,WeightedRevAge09)-SUMIF(ThresholdAge09,"&lt;"&amp;'19_Расчет_аналитики'!AA1571,WeightedMinAge09),MAX(CapacityAge09*'01_Вводные'!$B$218*'19_Расчет_аналитики'!AA1571,MeanMinAge09)))</f>
        <v/>
      </c>
      <c r="AB1484">
        <f>IF(OR('19_Расчет_аналитики'!AB1456=0,9&lt;='01_Вводные'!$B$297),0,'19_Расчет_аналитики'!AB1456*IF('01_Вводные'!$B$239="Да",MeanMinAge09+'19_Расчет_аналитики'!AB1571*SUMIF(ThresholdAge09,"&lt;"&amp;'19_Расчет_аналитики'!AB1571,WeightedRevAge09)-SUMIF(ThresholdAge09,"&lt;"&amp;'19_Расчет_аналитики'!AB1571,WeightedMinAge09),MAX(CapacityAge09*'01_Вводные'!$B$218*'19_Расчет_аналитики'!AB1571,MeanMinAge09)))</f>
        <v/>
      </c>
      <c r="AC1484">
        <f>IF(OR('19_Расчет_аналитики'!AC1456=0,9&lt;='01_Вводные'!$B$297),0,'19_Расчет_аналитики'!AC1456*IF('01_Вводные'!$B$239="Да",MeanMinAge09+'19_Расчет_аналитики'!AC1571*SUMIF(ThresholdAge09,"&lt;"&amp;'19_Расчет_аналитики'!AC1571,WeightedRevAge09)-SUMIF(ThresholdAge09,"&lt;"&amp;'19_Расчет_аналитики'!AC1571,WeightedMinAge09),MAX(CapacityAge09*'01_Вводные'!$B$218*'19_Расчет_аналитики'!AC1571,MeanMinAge09)))</f>
        <v/>
      </c>
      <c r="AD1484">
        <f>IF(OR('19_Расчет_аналитики'!AD1456=0,9&lt;='01_Вводные'!$B$297),0,'19_Расчет_аналитики'!AD1456*IF('01_Вводные'!$B$239="Да",MeanMinAge09+'19_Расчет_аналитики'!AD1571*SUMIF(ThresholdAge09,"&lt;"&amp;'19_Расчет_аналитики'!AD1571,WeightedRevAge09)-SUMIF(ThresholdAge09,"&lt;"&amp;'19_Расчет_аналитики'!AD1571,WeightedMinAge09),MAX(CapacityAge09*'01_Вводные'!$B$218*'19_Расчет_аналитики'!AD1571,MeanMinAge09)))</f>
        <v/>
      </c>
      <c r="AE1484">
        <f>IF(OR('19_Расчет_аналитики'!AE1456=0,9&lt;='01_Вводные'!$B$297),0,'19_Расчет_аналитики'!AE1456*IF('01_Вводные'!$B$239="Да",MeanMinAge09+'19_Расчет_аналитики'!AE1571*SUMIF(ThresholdAge09,"&lt;"&amp;'19_Расчет_аналитики'!AE1571,WeightedRevAge09)-SUMIF(ThresholdAge09,"&lt;"&amp;'19_Расчет_аналитики'!AE1571,WeightedMinAge09),MAX(CapacityAge09*'01_Вводные'!$B$218*'19_Расчет_аналитики'!AE1571,MeanMinAge09)))</f>
        <v/>
      </c>
      <c r="AF1484">
        <f>IF(OR('19_Расчет_аналитики'!AF1456=0,9&lt;='01_Вводные'!$B$297),0,'19_Расчет_аналитики'!AF1456*IF('01_Вводные'!$B$239="Да",MeanMinAge09+'19_Расчет_аналитики'!AF1571*SUMIF(ThresholdAge09,"&lt;"&amp;'19_Расчет_аналитики'!AF1571,WeightedRevAge09)-SUMIF(ThresholdAge09,"&lt;"&amp;'19_Расчет_аналитики'!AF1571,WeightedMinAge09),MAX(CapacityAge09*'01_Вводные'!$B$218*'19_Расчет_аналитики'!AF1571,MeanMinAge09)))</f>
        <v/>
      </c>
      <c r="AG1484">
        <f>IF(OR('19_Расчет_аналитики'!AG1456=0,9&lt;='01_Вводные'!$B$297),0,'19_Расчет_аналитики'!AG1456*IF('01_Вводные'!$B$239="Да",MeanMinAge09+'19_Расчет_аналитики'!AG1571*SUMIF(ThresholdAge09,"&lt;"&amp;'19_Расчет_аналитики'!AG1571,WeightedRevAge09)-SUMIF(ThresholdAge09,"&lt;"&amp;'19_Расчет_аналитики'!AG1571,WeightedMinAge09),MAX(CapacityAge09*'01_Вводные'!$B$218*'19_Расчет_аналитики'!AG1571,MeanMinAge09)))</f>
        <v/>
      </c>
      <c r="AH1484">
        <f>IF(OR('19_Расчет_аналитики'!AH1456=0,9&lt;='01_Вводные'!$B$297),0,'19_Расчет_аналитики'!AH1456*IF('01_Вводные'!$B$239="Да",MeanMinAge09+'19_Расчет_аналитики'!AH1571*SUMIF(ThresholdAge09,"&lt;"&amp;'19_Расчет_аналитики'!AH1571,WeightedRevAge09)-SUMIF(ThresholdAge09,"&lt;"&amp;'19_Расчет_аналитики'!AH1571,WeightedMinAge09),MAX(CapacityAge09*'01_Вводные'!$B$218*'19_Расчет_аналитики'!AH1571,MeanMinAge09)))</f>
        <v/>
      </c>
      <c r="AI1484">
        <f>IF(OR('19_Расчет_аналитики'!AI1456=0,9&lt;='01_Вводные'!$B$297),0,'19_Расчет_аналитики'!AI1456*IF('01_Вводные'!$B$239="Да",MeanMinAge09+'19_Расчет_аналитики'!AI1571*SUMIF(ThresholdAge09,"&lt;"&amp;'19_Расчет_аналитики'!AI1571,WeightedRevAge09)-SUMIF(ThresholdAge09,"&lt;"&amp;'19_Расчет_аналитики'!AI1571,WeightedMinAge09),MAX(CapacityAge09*'01_Вводные'!$B$218*'19_Расчет_аналитики'!AI1571,MeanMinAge09)))</f>
        <v/>
      </c>
      <c r="AJ1484">
        <f>IF(OR('19_Расчет_аналитики'!AJ1456=0,9&lt;='01_Вводные'!$B$297),0,'19_Расчет_аналитики'!AJ1456*IF('01_Вводные'!$B$239="Да",MeanMinAge09+'19_Расчет_аналитики'!AJ1571*SUMIF(ThresholdAge09,"&lt;"&amp;'19_Расчет_аналитики'!AJ1571,WeightedRevAge09)-SUMIF(ThresholdAge09,"&lt;"&amp;'19_Расчет_аналитики'!AJ1571,WeightedMinAge09),MAX(CapacityAge09*'01_Вводные'!$B$218*'19_Расчет_аналитики'!AJ1571,MeanMinAge09)))</f>
        <v/>
      </c>
      <c r="AK1484">
        <f>IF(OR('19_Расчет_аналитики'!AK1456=0,9&lt;='01_Вводные'!$B$297),0,'19_Расчет_аналитики'!AK1456*IF('01_Вводные'!$B$239="Да",MeanMinAge09+'19_Расчет_аналитики'!AK1571*SUMIF(ThresholdAge09,"&lt;"&amp;'19_Расчет_аналитики'!AK1571,WeightedRevAge09)-SUMIF(ThresholdAge09,"&lt;"&amp;'19_Расчет_аналитики'!AK1571,WeightedMinAge09),MAX(CapacityAge09*'01_Вводные'!$B$218*'19_Расчет_аналитики'!AK1571,MeanMinAge09)))</f>
        <v/>
      </c>
      <c r="AL1484">
        <f>IF(OR('19_Расчет_аналитики'!AL1456=0,9&lt;='01_Вводные'!$B$297),0,'19_Расчет_аналитики'!AL1456*IF('01_Вводные'!$B$239="Да",MeanMinAge09+'19_Расчет_аналитики'!AL1571*SUMIF(ThresholdAge09,"&lt;"&amp;'19_Расчет_аналитики'!AL1571,WeightedRevAge09)-SUMIF(ThresholdAge09,"&lt;"&amp;'19_Расчет_аналитики'!AL1571,WeightedMinAge09),MAX(CapacityAge09*'01_Вводные'!$B$218*'19_Расчет_аналитики'!AL1571,MeanMinAge09)))</f>
        <v/>
      </c>
      <c r="AM1484">
        <f>IF(OR('19_Расчет_аналитики'!AM1456=0,9&lt;='01_Вводные'!$B$297),0,'19_Расчет_аналитики'!AM1456*IF('01_Вводные'!$B$239="Да",MeanMinAge09+'19_Расчет_аналитики'!AM1571*SUMIF(ThresholdAge09,"&lt;"&amp;'19_Расчет_аналитики'!AM1571,WeightedRevAge09)-SUMIF(ThresholdAge09,"&lt;"&amp;'19_Расчет_аналитики'!AM1571,WeightedMinAge09),MAX(CapacityAge09*'01_Вводные'!$B$218*'19_Расчет_аналитики'!AM1571,MeanMinAge09)))</f>
        <v/>
      </c>
      <c r="AN1484">
        <f>IF(OR('19_Расчет_аналитики'!AN1456=0,9&lt;='01_Вводные'!$B$297),0,'19_Расчет_аналитики'!AN1456*IF('01_Вводные'!$B$239="Да",MeanMinAge09+'19_Расчет_аналитики'!AN1571*SUMIF(ThresholdAge09,"&lt;"&amp;'19_Расчет_аналитики'!AN1571,WeightedRevAge09)-SUMIF(ThresholdAge09,"&lt;"&amp;'19_Расчет_аналитики'!AN1571,WeightedMinAge09),MAX(CapacityAge09*'01_Вводные'!$B$218*'19_Расчет_аналитики'!AN1571,MeanMinAge09)))</f>
        <v/>
      </c>
      <c r="AO1484">
        <f>IF(OR('19_Расчет_аналитики'!AO1456=0,9&lt;='01_Вводные'!$B$297),0,'19_Расчет_аналитики'!AO1456*IF('01_Вводные'!$B$239="Да",MeanMinAge09+'19_Расчет_аналитики'!AO1571*SUMIF(ThresholdAge09,"&lt;"&amp;'19_Расчет_аналитики'!AO1571,WeightedRevAge09)-SUMIF(ThresholdAge09,"&lt;"&amp;'19_Расчет_аналитики'!AO1571,WeightedMinAge09),MAX(CapacityAge09*'01_Вводные'!$B$218*'19_Расчет_аналитики'!AO1571,MeanMinAge09)))</f>
        <v/>
      </c>
      <c r="AP1484">
        <f>IF(OR('19_Расчет_аналитики'!AP1456=0,9&lt;='01_Вводные'!$B$297),0,'19_Расчет_аналитики'!AP1456*IF('01_Вводные'!$B$239="Да",MeanMinAge09+'19_Расчет_аналитики'!AP1571*SUMIF(ThresholdAge09,"&lt;"&amp;'19_Расчет_аналитики'!AP1571,WeightedRevAge09)-SUMIF(ThresholdAge09,"&lt;"&amp;'19_Расчет_аналитики'!AP1571,WeightedMinAge09),MAX(CapacityAge09*'01_Вводные'!$B$218*'19_Расчет_аналитики'!AP1571,MeanMinAge09)))</f>
        <v/>
      </c>
      <c r="AQ1484">
        <f>IF(OR('19_Расчет_аналитики'!AQ1456=0,9&lt;='01_Вводные'!$B$297),0,'19_Расчет_аналитики'!AQ1456*IF('01_Вводные'!$B$239="Да",MeanMinAge09+'19_Расчет_аналитики'!AQ1571*SUMIF(ThresholdAge09,"&lt;"&amp;'19_Расчет_аналитики'!AQ1571,WeightedRevAge09)-SUMIF(ThresholdAge09,"&lt;"&amp;'19_Расчет_аналитики'!AQ1571,WeightedMinAge09),MAX(CapacityAge09*'01_Вводные'!$B$218*'19_Расчет_аналитики'!AQ1571,MeanMinAge09)))</f>
        <v/>
      </c>
      <c r="AR1484">
        <f>IF(OR('19_Расчет_аналитики'!AR1456=0,9&lt;='01_Вводные'!$B$297),0,'19_Расчет_аналитики'!AR1456*IF('01_Вводные'!$B$239="Да",MeanMinAge09+'19_Расчет_аналитики'!AR1571*SUMIF(ThresholdAge09,"&lt;"&amp;'19_Расчет_аналитики'!AR1571,WeightedRevAge09)-SUMIF(ThresholdAge09,"&lt;"&amp;'19_Расчет_аналитики'!AR1571,WeightedMinAge09),MAX(CapacityAge09*'01_Вводные'!$B$218*'19_Расчет_аналитики'!AR1571,MeanMinAge09)))</f>
        <v/>
      </c>
      <c r="AS1484">
        <f>IF(OR('19_Расчет_аналитики'!AS1456=0,9&lt;='01_Вводные'!$B$297),0,'19_Расчет_аналитики'!AS1456*IF('01_Вводные'!$B$239="Да",MeanMinAge09+'19_Расчет_аналитики'!AS1571*SUMIF(ThresholdAge09,"&lt;"&amp;'19_Расчет_аналитики'!AS1571,WeightedRevAge09)-SUMIF(ThresholdAge09,"&lt;"&amp;'19_Расчет_аналитики'!AS1571,WeightedMinAge09),MAX(CapacityAge09*'01_Вводные'!$B$218*'19_Расчет_аналитики'!AS1571,MeanMinAge09)))</f>
        <v/>
      </c>
      <c r="AT1484">
        <f>IF(OR('19_Расчет_аналитики'!AT1456=0,9&lt;='01_Вводные'!$B$297),0,'19_Расчет_аналитики'!AT1456*IF('01_Вводные'!$B$239="Да",MeanMinAge09+'19_Расчет_аналитики'!AT1571*SUMIF(ThresholdAge09,"&lt;"&amp;'19_Расчет_аналитики'!AT1571,WeightedRevAge09)-SUMIF(ThresholdAge09,"&lt;"&amp;'19_Расчет_аналитики'!AT1571,WeightedMinAge09),MAX(CapacityAge09*'01_Вводные'!$B$218*'19_Расчет_аналитики'!AT1571,MeanMinAge09)))</f>
        <v/>
      </c>
      <c r="AU1484">
        <f>IF(OR('19_Расчет_аналитики'!AU1456=0,9&lt;='01_Вводные'!$B$297),0,'19_Расчет_аналитики'!AU1456*IF('01_Вводные'!$B$239="Да",MeanMinAge09+'19_Расчет_аналитики'!AU1571*SUMIF(ThresholdAge09,"&lt;"&amp;'19_Расчет_аналитики'!AU1571,WeightedRevAge09)-SUMIF(ThresholdAge09,"&lt;"&amp;'19_Расчет_аналитики'!AU1571,WeightedMinAge09),MAX(CapacityAge09*'01_Вводные'!$B$218*'19_Расчет_аналитики'!AU1571,MeanMinAge09)))</f>
        <v/>
      </c>
      <c r="AV1484">
        <f>IF(OR('19_Расчет_аналитики'!AV1456=0,9&lt;='01_Вводные'!$B$297),0,'19_Расчет_аналитики'!AV1456*IF('01_Вводные'!$B$239="Да",MeanMinAge09+'19_Расчет_аналитики'!AV1571*SUMIF(ThresholdAge09,"&lt;"&amp;'19_Расчет_аналитики'!AV1571,WeightedRevAge09)-SUMIF(ThresholdAge09,"&lt;"&amp;'19_Расчет_аналитики'!AV1571,WeightedMinAge09),MAX(CapacityAge09*'01_Вводные'!$B$218*'19_Расчет_аналитики'!AV1571,MeanMinAge09)))</f>
        <v/>
      </c>
      <c r="AW1484">
        <f>IF(OR('19_Расчет_аналитики'!AW1456=0,9&lt;='01_Вводные'!$B$297),0,'19_Расчет_аналитики'!AW1456*IF('01_Вводные'!$B$239="Да",MeanMinAge09+'19_Расчет_аналитики'!AW1571*SUMIF(ThresholdAge09,"&lt;"&amp;'19_Расчет_аналитики'!AW1571,WeightedRevAge09)-SUMIF(ThresholdAge09,"&lt;"&amp;'19_Расчет_аналитики'!AW1571,WeightedMinAge09),MAX(CapacityAge09*'01_Вводные'!$B$218*'19_Расчет_аналитики'!AW1571,MeanMinAge09)))</f>
        <v/>
      </c>
      <c r="AX1484">
        <f>IF(OR('19_Расчет_аналитики'!AX1456=0,9&lt;='01_Вводные'!$B$297),0,'19_Расчет_аналитики'!AX1456*IF('01_Вводные'!$B$239="Да",MeanMinAge09+'19_Расчет_аналитики'!AX1571*SUMIF(ThresholdAge09,"&lt;"&amp;'19_Расчет_аналитики'!AX1571,WeightedRevAge09)-SUMIF(ThresholdAge09,"&lt;"&amp;'19_Расчет_аналитики'!AX1571,WeightedMinAge09),MAX(CapacityAge09*'01_Вводные'!$B$218*'19_Расчет_аналитики'!AX1571,MeanMinAge09)))</f>
        <v/>
      </c>
      <c r="AY1484">
        <f>IF(OR('19_Расчет_аналитики'!AY1456=0,9&lt;='01_Вводные'!$B$297),0,'19_Расчет_аналитики'!AY1456*IF('01_Вводные'!$B$239="Да",MeanMinAge09+'19_Расчет_аналитики'!AY1571*SUMIF(ThresholdAge09,"&lt;"&amp;'19_Расчет_аналитики'!AY1571,WeightedRevAge09)-SUMIF(ThresholdAge09,"&lt;"&amp;'19_Расчет_аналитики'!AY1571,WeightedMinAge09),MAX(CapacityAge09*'01_Вводные'!$B$218*'19_Расчет_аналитики'!AY1571,MeanMinAge09)))</f>
        <v/>
      </c>
      <c r="AZ1484">
        <f>IF(OR('19_Расчет_аналитики'!AZ1456=0,9&lt;='01_Вводные'!$B$297),0,'19_Расчет_аналитики'!AZ1456*IF('01_Вводные'!$B$239="Да",MeanMinAge09+'19_Расчет_аналитики'!AZ1571*SUMIF(ThresholdAge09,"&lt;"&amp;'19_Расчет_аналитики'!AZ1571,WeightedRevAge09)-SUMIF(ThresholdAge09,"&lt;"&amp;'19_Расчет_аналитики'!AZ1571,WeightedMinAge09),MAX(CapacityAge09*'01_Вводные'!$B$218*'19_Расчет_аналитики'!AZ1571,MeanMinAge09)))</f>
        <v/>
      </c>
      <c r="BA1484">
        <f>IF(OR('19_Расчет_аналитики'!BA1456=0,9&lt;='01_Вводные'!$B$297),0,'19_Расчет_аналитики'!BA1456*IF('01_Вводные'!$B$239="Да",MeanMinAge09+'19_Расчет_аналитики'!BA1571*SUMIF(ThresholdAge09,"&lt;"&amp;'19_Расчет_аналитики'!BA1571,WeightedRevAge09)-SUMIF(ThresholdAge09,"&lt;"&amp;'19_Расчет_аналитики'!BA1571,WeightedMinAge09),MAX(CapacityAge09*'01_Вводные'!$B$218*'19_Расчет_аналитики'!BA1571,MeanMinAge09)))</f>
        <v/>
      </c>
      <c r="BB1484">
        <f>IF(OR('19_Расчет_аналитики'!BB1456=0,9&lt;='01_Вводные'!$B$297),0,'19_Расчет_аналитики'!BB1456*IF('01_Вводные'!$B$239="Да",MeanMinAge09+'19_Расчет_аналитики'!BB1571*SUMIF(ThresholdAge09,"&lt;"&amp;'19_Расчет_аналитики'!BB1571,WeightedRevAge09)-SUMIF(ThresholdAge09,"&lt;"&amp;'19_Расчет_аналитики'!BB1571,WeightedMinAge09),MAX(CapacityAge09*'01_Вводные'!$B$218*'19_Расчет_аналитики'!BB1571,MeanMinAge09)))</f>
        <v/>
      </c>
      <c r="BC1484">
        <f>IF(OR('19_Расчет_аналитики'!BC1456=0,9&lt;='01_Вводные'!$B$297),0,'19_Расчет_аналитики'!BC1456*IF('01_Вводные'!$B$239="Да",MeanMinAge09+'19_Расчет_аналитики'!BC1571*SUMIF(ThresholdAge09,"&lt;"&amp;'19_Расчет_аналитики'!BC1571,WeightedRevAge09)-SUMIF(ThresholdAge09,"&lt;"&amp;'19_Расчет_аналитики'!BC1571,WeightedMinAge09),MAX(CapacityAge09*'01_Вводные'!$B$218*'19_Расчет_аналитики'!BC1571,MeanMinAge09)))</f>
        <v/>
      </c>
      <c r="BD1484">
        <f>IF(OR('19_Расчет_аналитики'!BD1456=0,9&lt;='01_Вводные'!$B$297),0,'19_Расчет_аналитики'!BD1456*IF('01_Вводные'!$B$239="Да",MeanMinAge09+'19_Расчет_аналитики'!BD1571*SUMIF(ThresholdAge09,"&lt;"&amp;'19_Расчет_аналитики'!BD1571,WeightedRevAge09)-SUMIF(ThresholdAge09,"&lt;"&amp;'19_Расчет_аналитики'!BD1571,WeightedMinAge09),MAX(CapacityAge09*'01_Вводные'!$B$218*'19_Расчет_аналитики'!BD1571,MeanMinAge09)))</f>
        <v/>
      </c>
      <c r="BE1484">
        <f>IF(OR('19_Расчет_аналитики'!BE1456=0,9&lt;='01_Вводные'!$B$297),0,'19_Расчет_аналитики'!BE1456*IF('01_Вводные'!$B$239="Да",MeanMinAge09+'19_Расчет_аналитики'!BE1571*SUMIF(ThresholdAge09,"&lt;"&amp;'19_Расчет_аналитики'!BE1571,WeightedRevAge09)-SUMIF(ThresholdAge09,"&lt;"&amp;'19_Расчет_аналитики'!BE1571,WeightedMinAge09),MAX(CapacityAge09*'01_Вводные'!$B$218*'19_Расчет_аналитики'!BE1571,MeanMinAge09)))</f>
        <v/>
      </c>
      <c r="BF1484">
        <f>IF(OR('19_Расчет_аналитики'!BF1456=0,9&lt;='01_Вводные'!$B$297),0,'19_Расчет_аналитики'!BF1456*IF('01_Вводные'!$B$239="Да",MeanMinAge09+'19_Расчет_аналитики'!BF1571*SUMIF(ThresholdAge09,"&lt;"&amp;'19_Расчет_аналитики'!BF1571,WeightedRevAge09)-SUMIF(ThresholdAge09,"&lt;"&amp;'19_Расчет_аналитики'!BF1571,WeightedMinAge09),MAX(CapacityAge09*'01_Вводные'!$B$218*'19_Расчет_аналитики'!BF1571,MeanMinAge09)))</f>
        <v/>
      </c>
      <c r="BG1484">
        <f>IF(OR('19_Расчет_аналитики'!BG1456=0,9&lt;='01_Вводные'!$B$297),0,'19_Расчет_аналитики'!BG1456*IF('01_Вводные'!$B$239="Да",MeanMinAge09+'19_Расчет_аналитики'!BG1571*SUMIF(ThresholdAge09,"&lt;"&amp;'19_Расчет_аналитики'!BG1571,WeightedRevAge09)-SUMIF(ThresholdAge09,"&lt;"&amp;'19_Расчет_аналитики'!BG1571,WeightedMinAge09),MAX(CapacityAge09*'01_Вводные'!$B$218*'19_Расчет_аналитики'!BG1571,MeanMinAge09)))</f>
        <v/>
      </c>
      <c r="BH1484">
        <f>IF(OR('19_Расчет_аналитики'!BH1456=0,9&lt;='01_Вводные'!$B$297),0,'19_Расчет_аналитики'!BH1456*IF('01_Вводные'!$B$239="Да",MeanMinAge09+'19_Расчет_аналитики'!BH1571*SUMIF(ThresholdAge09,"&lt;"&amp;'19_Расчет_аналитики'!BH1571,WeightedRevAge09)-SUMIF(ThresholdAge09,"&lt;"&amp;'19_Расчет_аналитики'!BH1571,WeightedMinAge09),MAX(CapacityAge09*'01_Вводные'!$B$218*'19_Расчет_аналитики'!BH1571,MeanMinAge09)))</f>
        <v/>
      </c>
      <c r="BI1484">
        <f>IF(OR('19_Расчет_аналитики'!BI1456=0,9&lt;='01_Вводные'!$B$297),0,'19_Расчет_аналитики'!BI1456*IF('01_Вводные'!$B$239="Да",MeanMinAge09+'19_Расчет_аналитики'!BI1571*SUMIF(ThresholdAge09,"&lt;"&amp;'19_Расчет_аналитики'!BI1571,WeightedRevAge09)-SUMIF(ThresholdAge09,"&lt;"&amp;'19_Расчет_аналитики'!BI1571,WeightedMinAge09),MAX(CapacityAge09*'01_Вводные'!$B$218*'19_Расчет_аналитики'!BI1571,MeanMinAge09)))</f>
        <v/>
      </c>
      <c r="BJ1484">
        <f>IF(OR('19_Расчет_аналитики'!BJ1456=0,9&lt;='01_Вводные'!$B$297),0,'19_Расчет_аналитики'!BJ1456*IF('01_Вводные'!$B$239="Да",MeanMinAge09+'19_Расчет_аналитики'!BJ1571*SUMIF(ThresholdAge09,"&lt;"&amp;'19_Расчет_аналитики'!BJ1571,WeightedRevAge09)-SUMIF(ThresholdAge09,"&lt;"&amp;'19_Расчет_аналитики'!BJ1571,WeightedMinAge09),MAX(CapacityAge09*'01_Вводные'!$B$218*'19_Расчет_аналитики'!BJ1571,MeanMinAge09)))</f>
        <v/>
      </c>
      <c r="BK1484">
        <f>IF(OR('19_Расчет_аналитики'!BK1456=0,9&lt;='01_Вводные'!$B$297),0,'19_Расчет_аналитики'!BK1456*IF('01_Вводные'!$B$239="Да",MeanMinAge09+'19_Расчет_аналитики'!BK1571*SUMIF(ThresholdAge09,"&lt;"&amp;'19_Расчет_аналитики'!BK1571,WeightedRevAge09)-SUMIF(ThresholdAge09,"&lt;"&amp;'19_Расчет_аналитики'!BK1571,WeightedMinAge09),MAX(CapacityAge09*'01_Вводные'!$B$218*'19_Расчет_аналитики'!BK1571,MeanMinAge09)))</f>
        <v/>
      </c>
      <c r="BL1484">
        <f>IF(OR('19_Расчет_аналитики'!BL1456=0,9&lt;='01_Вводные'!$B$297),0,'19_Расчет_аналитики'!BL1456*IF('01_Вводные'!$B$239="Да",MeanMinAge09+'19_Расчет_аналитики'!BL1571*SUMIF(ThresholdAge09,"&lt;"&amp;'19_Расчет_аналитики'!BL1571,WeightedRevAge09)-SUMIF(ThresholdAge09,"&lt;"&amp;'19_Расчет_аналитики'!BL1571,WeightedMinAge09),MAX(CapacityAge09*'01_Вводные'!$B$218*'19_Расчет_аналитики'!BL1571,MeanMinAge09)))</f>
        <v/>
      </c>
      <c r="BM1484">
        <f>IF(OR('19_Расчет_аналитики'!BM1456=0,9&lt;='01_Вводные'!$B$297),0,'19_Расчет_аналитики'!BM1456*IF('01_Вводные'!$B$239="Да",MeanMinAge09+'19_Расчет_аналитики'!BM1571*SUMIF(ThresholdAge09,"&lt;"&amp;'19_Расчет_аналитики'!BM1571,WeightedRevAge09)-SUMIF(ThresholdAge09,"&lt;"&amp;'19_Расчет_аналитики'!BM1571,WeightedMinAge09),MAX(CapacityAge09*'01_Вводные'!$B$218*'19_Расчет_аналитики'!BM1571,MeanMinAge09)))</f>
        <v/>
      </c>
      <c r="BN1484">
        <f>IF(OR('19_Расчет_аналитики'!BN1456=0,9&lt;='01_Вводные'!$B$297),0,'19_Расчет_аналитики'!BN1456*IF('01_Вводные'!$B$239="Да",MeanMinAge09+'19_Расчет_аналитики'!BN1571*SUMIF(ThresholdAge09,"&lt;"&amp;'19_Расчет_аналитики'!BN1571,WeightedRevAge09)-SUMIF(ThresholdAge09,"&lt;"&amp;'19_Расчет_аналитики'!BN1571,WeightedMinAge09),MAX(CapacityAge09*'01_Вводные'!$B$218*'19_Расчет_аналитики'!BN1571,MeanMinAge09)))</f>
        <v/>
      </c>
      <c r="BO1484">
        <f>IF(OR('19_Расчет_аналитики'!BO1456=0,9&lt;='01_Вводные'!$B$297),0,'19_Расчет_аналитики'!BO1456*IF('01_Вводные'!$B$239="Да",MeanMinAge09+'19_Расчет_аналитики'!BO1571*SUMIF(ThresholdAge09,"&lt;"&amp;'19_Расчет_аналитики'!BO1571,WeightedRevAge09)-SUMIF(ThresholdAge09,"&lt;"&amp;'19_Расчет_аналитики'!BO1571,WeightedMinAge09),MAX(CapacityAge09*'01_Вводные'!$B$218*'19_Расчет_аналитики'!BO1571,MeanMinAge09)))</f>
        <v/>
      </c>
    </row>
    <row r="1485">
      <c r="B1485">
        <f>IF(OR('06_Сеть_и_дети'!B90=0,10&lt;='01_Вводные'!$B$297),0,'06_Сеть_и_дети'!B90*IF('01_Вводные'!$B$239="Да",MeanMinAge10+'19_Расчет_аналитики'!B1571*SUMIF(ThresholdAge10,"&lt;"&amp;'19_Расчет_аналитики'!B1571,WeightedRevAge10)-SUMIF(ThresholdAge10,"&lt;"&amp;'19_Расчет_аналитики'!B1571,WeightedMinAge10),MAX(CapacityAge10*'01_Вводные'!$B$218*'19_Расчет_аналитики'!B1571,MeanMinAge10)))</f>
        <v/>
      </c>
      <c r="C1485">
        <f>IF(OR('06_Сеть_и_дети'!C90=0,10&lt;='01_Вводные'!$B$297),0,'06_Сеть_и_дети'!C90*IF('01_Вводные'!$B$239="Да",MeanMinAge10+'19_Расчет_аналитики'!C1571*SUMIF(ThresholdAge10,"&lt;"&amp;'19_Расчет_аналитики'!C1571,WeightedRevAge10)-SUMIF(ThresholdAge10,"&lt;"&amp;'19_Расчет_аналитики'!C1571,WeightedMinAge10),MAX(CapacityAge10*'01_Вводные'!$B$218*'19_Расчет_аналитики'!C1571,MeanMinAge10)))</f>
        <v/>
      </c>
      <c r="D1485">
        <f>IF(OR('06_Сеть_и_дети'!D90=0,10&lt;='01_Вводные'!$B$297),0,'06_Сеть_и_дети'!D90*IF('01_Вводные'!$B$239="Да",MeanMinAge10+'19_Расчет_аналитики'!D1571*SUMIF(ThresholdAge10,"&lt;"&amp;'19_Расчет_аналитики'!D1571,WeightedRevAge10)-SUMIF(ThresholdAge10,"&lt;"&amp;'19_Расчет_аналитики'!D1571,WeightedMinAge10),MAX(CapacityAge10*'01_Вводные'!$B$218*'19_Расчет_аналитики'!D1571,MeanMinAge10)))</f>
        <v/>
      </c>
      <c r="E1485">
        <f>IF(OR('06_Сеть_и_дети'!E90=0,10&lt;='01_Вводные'!$B$297),0,'06_Сеть_и_дети'!E90*IF('01_Вводные'!$B$239="Да",MeanMinAge10+'19_Расчет_аналитики'!E1571*SUMIF(ThresholdAge10,"&lt;"&amp;'19_Расчет_аналитики'!E1571,WeightedRevAge10)-SUMIF(ThresholdAge10,"&lt;"&amp;'19_Расчет_аналитики'!E1571,WeightedMinAge10),MAX(CapacityAge10*'01_Вводные'!$B$218*'19_Расчет_аналитики'!E1571,MeanMinAge10)))</f>
        <v/>
      </c>
      <c r="F1485">
        <f>IF(OR('06_Сеть_и_дети'!F90=0,10&lt;='01_Вводные'!$B$297),0,'06_Сеть_и_дети'!F90*IF('01_Вводные'!$B$239="Да",MeanMinAge10+'19_Расчет_аналитики'!F1571*SUMIF(ThresholdAge10,"&lt;"&amp;'19_Расчет_аналитики'!F1571,WeightedRevAge10)-SUMIF(ThresholdAge10,"&lt;"&amp;'19_Расчет_аналитики'!F1571,WeightedMinAge10),MAX(CapacityAge10*'01_Вводные'!$B$218*'19_Расчет_аналитики'!F1571,MeanMinAge10)))</f>
        <v/>
      </c>
      <c r="G1485">
        <f>IF(OR('06_Сеть_и_дети'!G90=0,10&lt;='01_Вводные'!$B$297),0,'06_Сеть_и_дети'!G90*IF('01_Вводные'!$B$239="Да",MeanMinAge10+'19_Расчет_аналитики'!G1571*SUMIF(ThresholdAge10,"&lt;"&amp;'19_Расчет_аналитики'!G1571,WeightedRevAge10)-SUMIF(ThresholdAge10,"&lt;"&amp;'19_Расчет_аналитики'!G1571,WeightedMinAge10),MAX(CapacityAge10*'01_Вводные'!$B$218*'19_Расчет_аналитики'!G1571,MeanMinAge10)))</f>
        <v/>
      </c>
      <c r="H1485">
        <f>IF(OR('06_Сеть_и_дети'!H90=0,10&lt;='01_Вводные'!$B$297),0,'06_Сеть_и_дети'!H90*IF('01_Вводные'!$B$239="Да",MeanMinAge10+'19_Расчет_аналитики'!H1571*SUMIF(ThresholdAge10,"&lt;"&amp;'19_Расчет_аналитики'!H1571,WeightedRevAge10)-SUMIF(ThresholdAge10,"&lt;"&amp;'19_Расчет_аналитики'!H1571,WeightedMinAge10),MAX(CapacityAge10*'01_Вводные'!$B$218*'19_Расчет_аналитики'!H1571,MeanMinAge10)))</f>
        <v/>
      </c>
      <c r="I1485">
        <f>IF(OR('06_Сеть_и_дети'!I90=0,10&lt;='01_Вводные'!$B$297),0,'06_Сеть_и_дети'!I90*IF('01_Вводные'!$B$239="Да",MeanMinAge10+'19_Расчет_аналитики'!I1571*SUMIF(ThresholdAge10,"&lt;"&amp;'19_Расчет_аналитики'!I1571,WeightedRevAge10)-SUMIF(ThresholdAge10,"&lt;"&amp;'19_Расчет_аналитики'!I1571,WeightedMinAge10),MAX(CapacityAge10*'01_Вводные'!$B$218*'19_Расчет_аналитики'!I1571,MeanMinAge10)))</f>
        <v/>
      </c>
      <c r="J1485">
        <f>IF(OR('06_Сеть_и_дети'!J90=0,10&lt;='01_Вводные'!$B$297),0,'06_Сеть_и_дети'!J90*IF('01_Вводные'!$B$239="Да",MeanMinAge10+'19_Расчет_аналитики'!J1571*SUMIF(ThresholdAge10,"&lt;"&amp;'19_Расчет_аналитики'!J1571,WeightedRevAge10)-SUMIF(ThresholdAge10,"&lt;"&amp;'19_Расчет_аналитики'!J1571,WeightedMinAge10),MAX(CapacityAge10*'01_Вводные'!$B$218*'19_Расчет_аналитики'!J1571,MeanMinAge10)))</f>
        <v/>
      </c>
      <c r="K1485">
        <f>IF(OR('19_Расчет_аналитики'!K1457=0,10&lt;='01_Вводные'!$B$297),0,'19_Расчет_аналитики'!K1457*IF('01_Вводные'!$B$239="Да",MeanMinAge10+'19_Расчет_аналитики'!K1571*SUMIF(ThresholdAge10,"&lt;"&amp;'19_Расчет_аналитики'!K1571,WeightedRevAge10)-SUMIF(ThresholdAge10,"&lt;"&amp;'19_Расчет_аналитики'!K1571,WeightedMinAge10),MAX(CapacityAge10*'01_Вводные'!$B$218*'19_Расчет_аналитики'!K1571,MeanMinAge10)))</f>
        <v/>
      </c>
      <c r="L1485">
        <f>IF(OR('19_Расчет_аналитики'!L1457=0,10&lt;='01_Вводные'!$B$297),0,'19_Расчет_аналитики'!L1457*IF('01_Вводные'!$B$239="Да",MeanMinAge10+'19_Расчет_аналитики'!L1571*SUMIF(ThresholdAge10,"&lt;"&amp;'19_Расчет_аналитики'!L1571,WeightedRevAge10)-SUMIF(ThresholdAge10,"&lt;"&amp;'19_Расчет_аналитики'!L1571,WeightedMinAge10),MAX(CapacityAge10*'01_Вводные'!$B$218*'19_Расчет_аналитики'!L1571,MeanMinAge10)))</f>
        <v/>
      </c>
      <c r="M1485">
        <f>IF(OR('19_Расчет_аналитики'!M1457=0,10&lt;='01_Вводные'!$B$297),0,'19_Расчет_аналитики'!M1457*IF('01_Вводные'!$B$239="Да",MeanMinAge10+'19_Расчет_аналитики'!M1571*SUMIF(ThresholdAge10,"&lt;"&amp;'19_Расчет_аналитики'!M1571,WeightedRevAge10)-SUMIF(ThresholdAge10,"&lt;"&amp;'19_Расчет_аналитики'!M1571,WeightedMinAge10),MAX(CapacityAge10*'01_Вводные'!$B$218*'19_Расчет_аналитики'!M1571,MeanMinAge10)))</f>
        <v/>
      </c>
      <c r="N1485">
        <f>IF(OR('19_Расчет_аналитики'!N1457=0,10&lt;='01_Вводные'!$B$297),0,'19_Расчет_аналитики'!N1457*IF('01_Вводные'!$B$239="Да",MeanMinAge10+'19_Расчет_аналитики'!N1571*SUMIF(ThresholdAge10,"&lt;"&amp;'19_Расчет_аналитики'!N1571,WeightedRevAge10)-SUMIF(ThresholdAge10,"&lt;"&amp;'19_Расчет_аналитики'!N1571,WeightedMinAge10),MAX(CapacityAge10*'01_Вводные'!$B$218*'19_Расчет_аналитики'!N1571,MeanMinAge10)))</f>
        <v/>
      </c>
      <c r="O1485">
        <f>IF(OR('19_Расчет_аналитики'!O1457=0,10&lt;='01_Вводные'!$B$297),0,'19_Расчет_аналитики'!O1457*IF('01_Вводные'!$B$239="Да",MeanMinAge10+'19_Расчет_аналитики'!O1571*SUMIF(ThresholdAge10,"&lt;"&amp;'19_Расчет_аналитики'!O1571,WeightedRevAge10)-SUMIF(ThresholdAge10,"&lt;"&amp;'19_Расчет_аналитики'!O1571,WeightedMinAge10),MAX(CapacityAge10*'01_Вводные'!$B$218*'19_Расчет_аналитики'!O1571,MeanMinAge10)))</f>
        <v/>
      </c>
      <c r="P1485">
        <f>IF(OR('19_Расчет_аналитики'!P1457=0,10&lt;='01_Вводные'!$B$297),0,'19_Расчет_аналитики'!P1457*IF('01_Вводные'!$B$239="Да",MeanMinAge10+'19_Расчет_аналитики'!P1571*SUMIF(ThresholdAge10,"&lt;"&amp;'19_Расчет_аналитики'!P1571,WeightedRevAge10)-SUMIF(ThresholdAge10,"&lt;"&amp;'19_Расчет_аналитики'!P1571,WeightedMinAge10),MAX(CapacityAge10*'01_Вводные'!$B$218*'19_Расчет_аналитики'!P1571,MeanMinAge10)))</f>
        <v/>
      </c>
      <c r="Q1485">
        <f>IF(OR('19_Расчет_аналитики'!Q1457=0,10&lt;='01_Вводные'!$B$297),0,'19_Расчет_аналитики'!Q1457*IF('01_Вводные'!$B$239="Да",MeanMinAge10+'19_Расчет_аналитики'!Q1571*SUMIF(ThresholdAge10,"&lt;"&amp;'19_Расчет_аналитики'!Q1571,WeightedRevAge10)-SUMIF(ThresholdAge10,"&lt;"&amp;'19_Расчет_аналитики'!Q1571,WeightedMinAge10),MAX(CapacityAge10*'01_Вводные'!$B$218*'19_Расчет_аналитики'!Q1571,MeanMinAge10)))</f>
        <v/>
      </c>
      <c r="R1485">
        <f>IF(OR('19_Расчет_аналитики'!R1457=0,10&lt;='01_Вводные'!$B$297),0,'19_Расчет_аналитики'!R1457*IF('01_Вводные'!$B$239="Да",MeanMinAge10+'19_Расчет_аналитики'!R1571*SUMIF(ThresholdAge10,"&lt;"&amp;'19_Расчет_аналитики'!R1571,WeightedRevAge10)-SUMIF(ThresholdAge10,"&lt;"&amp;'19_Расчет_аналитики'!R1571,WeightedMinAge10),MAX(CapacityAge10*'01_Вводные'!$B$218*'19_Расчет_аналитики'!R1571,MeanMinAge10)))</f>
        <v/>
      </c>
      <c r="S1485">
        <f>IF(OR('19_Расчет_аналитики'!S1457=0,10&lt;='01_Вводные'!$B$297),0,'19_Расчет_аналитики'!S1457*IF('01_Вводные'!$B$239="Да",MeanMinAge10+'19_Расчет_аналитики'!S1571*SUMIF(ThresholdAge10,"&lt;"&amp;'19_Расчет_аналитики'!S1571,WeightedRevAge10)-SUMIF(ThresholdAge10,"&lt;"&amp;'19_Расчет_аналитики'!S1571,WeightedMinAge10),MAX(CapacityAge10*'01_Вводные'!$B$218*'19_Расчет_аналитики'!S1571,MeanMinAge10)))</f>
        <v/>
      </c>
      <c r="T1485">
        <f>IF(OR('19_Расчет_аналитики'!T1457=0,10&lt;='01_Вводные'!$B$297),0,'19_Расчет_аналитики'!T1457*IF('01_Вводные'!$B$239="Да",MeanMinAge10+'19_Расчет_аналитики'!T1571*SUMIF(ThresholdAge10,"&lt;"&amp;'19_Расчет_аналитики'!T1571,WeightedRevAge10)-SUMIF(ThresholdAge10,"&lt;"&amp;'19_Расчет_аналитики'!T1571,WeightedMinAge10),MAX(CapacityAge10*'01_Вводные'!$B$218*'19_Расчет_аналитики'!T1571,MeanMinAge10)))</f>
        <v/>
      </c>
      <c r="U1485">
        <f>IF(OR('19_Расчет_аналитики'!U1457=0,10&lt;='01_Вводные'!$B$297),0,'19_Расчет_аналитики'!U1457*IF('01_Вводные'!$B$239="Да",MeanMinAge10+'19_Расчет_аналитики'!U1571*SUMIF(ThresholdAge10,"&lt;"&amp;'19_Расчет_аналитики'!U1571,WeightedRevAge10)-SUMIF(ThresholdAge10,"&lt;"&amp;'19_Расчет_аналитики'!U1571,WeightedMinAge10),MAX(CapacityAge10*'01_Вводные'!$B$218*'19_Расчет_аналитики'!U1571,MeanMinAge10)))</f>
        <v/>
      </c>
      <c r="V1485">
        <f>IF(OR('19_Расчет_аналитики'!V1457=0,10&lt;='01_Вводные'!$B$297),0,'19_Расчет_аналитики'!V1457*IF('01_Вводные'!$B$239="Да",MeanMinAge10+'19_Расчет_аналитики'!V1571*SUMIF(ThresholdAge10,"&lt;"&amp;'19_Расчет_аналитики'!V1571,WeightedRevAge10)-SUMIF(ThresholdAge10,"&lt;"&amp;'19_Расчет_аналитики'!V1571,WeightedMinAge10),MAX(CapacityAge10*'01_Вводные'!$B$218*'19_Расчет_аналитики'!V1571,MeanMinAge10)))</f>
        <v/>
      </c>
      <c r="W1485">
        <f>IF(OR('19_Расчет_аналитики'!W1457=0,10&lt;='01_Вводные'!$B$297),0,'19_Расчет_аналитики'!W1457*IF('01_Вводные'!$B$239="Да",MeanMinAge10+'19_Расчет_аналитики'!W1571*SUMIF(ThresholdAge10,"&lt;"&amp;'19_Расчет_аналитики'!W1571,WeightedRevAge10)-SUMIF(ThresholdAge10,"&lt;"&amp;'19_Расчет_аналитики'!W1571,WeightedMinAge10),MAX(CapacityAge10*'01_Вводные'!$B$218*'19_Расчет_аналитики'!W1571,MeanMinAge10)))</f>
        <v/>
      </c>
      <c r="X1485">
        <f>IF(OR('19_Расчет_аналитики'!X1457=0,10&lt;='01_Вводные'!$B$297),0,'19_Расчет_аналитики'!X1457*IF('01_Вводные'!$B$239="Да",MeanMinAge10+'19_Расчет_аналитики'!X1571*SUMIF(ThresholdAge10,"&lt;"&amp;'19_Расчет_аналитики'!X1571,WeightedRevAge10)-SUMIF(ThresholdAge10,"&lt;"&amp;'19_Расчет_аналитики'!X1571,WeightedMinAge10),MAX(CapacityAge10*'01_Вводные'!$B$218*'19_Расчет_аналитики'!X1571,MeanMinAge10)))</f>
        <v/>
      </c>
      <c r="Y1485">
        <f>IF(OR('19_Расчет_аналитики'!Y1457=0,10&lt;='01_Вводные'!$B$297),0,'19_Расчет_аналитики'!Y1457*IF('01_Вводные'!$B$239="Да",MeanMinAge10+'19_Расчет_аналитики'!Y1571*SUMIF(ThresholdAge10,"&lt;"&amp;'19_Расчет_аналитики'!Y1571,WeightedRevAge10)-SUMIF(ThresholdAge10,"&lt;"&amp;'19_Расчет_аналитики'!Y1571,WeightedMinAge10),MAX(CapacityAge10*'01_Вводные'!$B$218*'19_Расчет_аналитики'!Y1571,MeanMinAge10)))</f>
        <v/>
      </c>
      <c r="Z1485">
        <f>IF(OR('19_Расчет_аналитики'!Z1457=0,10&lt;='01_Вводные'!$B$297),0,'19_Расчет_аналитики'!Z1457*IF('01_Вводные'!$B$239="Да",MeanMinAge10+'19_Расчет_аналитики'!Z1571*SUMIF(ThresholdAge10,"&lt;"&amp;'19_Расчет_аналитики'!Z1571,WeightedRevAge10)-SUMIF(ThresholdAge10,"&lt;"&amp;'19_Расчет_аналитики'!Z1571,WeightedMinAge10),MAX(CapacityAge10*'01_Вводные'!$B$218*'19_Расчет_аналитики'!Z1571,MeanMinAge10)))</f>
        <v/>
      </c>
      <c r="AA1485">
        <f>IF(OR('19_Расчет_аналитики'!AA1457=0,10&lt;='01_Вводные'!$B$297),0,'19_Расчет_аналитики'!AA1457*IF('01_Вводные'!$B$239="Да",MeanMinAge10+'19_Расчет_аналитики'!AA1571*SUMIF(ThresholdAge10,"&lt;"&amp;'19_Расчет_аналитики'!AA1571,WeightedRevAge10)-SUMIF(ThresholdAge10,"&lt;"&amp;'19_Расчет_аналитики'!AA1571,WeightedMinAge10),MAX(CapacityAge10*'01_Вводные'!$B$218*'19_Расчет_аналитики'!AA1571,MeanMinAge10)))</f>
        <v/>
      </c>
      <c r="AB1485">
        <f>IF(OR('19_Расчет_аналитики'!AB1457=0,10&lt;='01_Вводные'!$B$297),0,'19_Расчет_аналитики'!AB1457*IF('01_Вводные'!$B$239="Да",MeanMinAge10+'19_Расчет_аналитики'!AB1571*SUMIF(ThresholdAge10,"&lt;"&amp;'19_Расчет_аналитики'!AB1571,WeightedRevAge10)-SUMIF(ThresholdAge10,"&lt;"&amp;'19_Расчет_аналитики'!AB1571,WeightedMinAge10),MAX(CapacityAge10*'01_Вводные'!$B$218*'19_Расчет_аналитики'!AB1571,MeanMinAge10)))</f>
        <v/>
      </c>
      <c r="AC1485">
        <f>IF(OR('19_Расчет_аналитики'!AC1457=0,10&lt;='01_Вводные'!$B$297),0,'19_Расчет_аналитики'!AC1457*IF('01_Вводные'!$B$239="Да",MeanMinAge10+'19_Расчет_аналитики'!AC1571*SUMIF(ThresholdAge10,"&lt;"&amp;'19_Расчет_аналитики'!AC1571,WeightedRevAge10)-SUMIF(ThresholdAge10,"&lt;"&amp;'19_Расчет_аналитики'!AC1571,WeightedMinAge10),MAX(CapacityAge10*'01_Вводные'!$B$218*'19_Расчет_аналитики'!AC1571,MeanMinAge10)))</f>
        <v/>
      </c>
      <c r="AD1485">
        <f>IF(OR('19_Расчет_аналитики'!AD1457=0,10&lt;='01_Вводные'!$B$297),0,'19_Расчет_аналитики'!AD1457*IF('01_Вводные'!$B$239="Да",MeanMinAge10+'19_Расчет_аналитики'!AD1571*SUMIF(ThresholdAge10,"&lt;"&amp;'19_Расчет_аналитики'!AD1571,WeightedRevAge10)-SUMIF(ThresholdAge10,"&lt;"&amp;'19_Расчет_аналитики'!AD1571,WeightedMinAge10),MAX(CapacityAge10*'01_Вводные'!$B$218*'19_Расчет_аналитики'!AD1571,MeanMinAge10)))</f>
        <v/>
      </c>
      <c r="AE1485">
        <f>IF(OR('19_Расчет_аналитики'!AE1457=0,10&lt;='01_Вводные'!$B$297),0,'19_Расчет_аналитики'!AE1457*IF('01_Вводные'!$B$239="Да",MeanMinAge10+'19_Расчет_аналитики'!AE1571*SUMIF(ThresholdAge10,"&lt;"&amp;'19_Расчет_аналитики'!AE1571,WeightedRevAge10)-SUMIF(ThresholdAge10,"&lt;"&amp;'19_Расчет_аналитики'!AE1571,WeightedMinAge10),MAX(CapacityAge10*'01_Вводные'!$B$218*'19_Расчет_аналитики'!AE1571,MeanMinAge10)))</f>
        <v/>
      </c>
      <c r="AF1485">
        <f>IF(OR('19_Расчет_аналитики'!AF1457=0,10&lt;='01_Вводные'!$B$297),0,'19_Расчет_аналитики'!AF1457*IF('01_Вводные'!$B$239="Да",MeanMinAge10+'19_Расчет_аналитики'!AF1571*SUMIF(ThresholdAge10,"&lt;"&amp;'19_Расчет_аналитики'!AF1571,WeightedRevAge10)-SUMIF(ThresholdAge10,"&lt;"&amp;'19_Расчет_аналитики'!AF1571,WeightedMinAge10),MAX(CapacityAge10*'01_Вводные'!$B$218*'19_Расчет_аналитики'!AF1571,MeanMinAge10)))</f>
        <v/>
      </c>
      <c r="AG1485">
        <f>IF(OR('19_Расчет_аналитики'!AG1457=0,10&lt;='01_Вводные'!$B$297),0,'19_Расчет_аналитики'!AG1457*IF('01_Вводные'!$B$239="Да",MeanMinAge10+'19_Расчет_аналитики'!AG1571*SUMIF(ThresholdAge10,"&lt;"&amp;'19_Расчет_аналитики'!AG1571,WeightedRevAge10)-SUMIF(ThresholdAge10,"&lt;"&amp;'19_Расчет_аналитики'!AG1571,WeightedMinAge10),MAX(CapacityAge10*'01_Вводные'!$B$218*'19_Расчет_аналитики'!AG1571,MeanMinAge10)))</f>
        <v/>
      </c>
      <c r="AH1485">
        <f>IF(OR('19_Расчет_аналитики'!AH1457=0,10&lt;='01_Вводные'!$B$297),0,'19_Расчет_аналитики'!AH1457*IF('01_Вводные'!$B$239="Да",MeanMinAge10+'19_Расчет_аналитики'!AH1571*SUMIF(ThresholdAge10,"&lt;"&amp;'19_Расчет_аналитики'!AH1571,WeightedRevAge10)-SUMIF(ThresholdAge10,"&lt;"&amp;'19_Расчет_аналитики'!AH1571,WeightedMinAge10),MAX(CapacityAge10*'01_Вводные'!$B$218*'19_Расчет_аналитики'!AH1571,MeanMinAge10)))</f>
        <v/>
      </c>
      <c r="AI1485">
        <f>IF(OR('19_Расчет_аналитики'!AI1457=0,10&lt;='01_Вводные'!$B$297),0,'19_Расчет_аналитики'!AI1457*IF('01_Вводные'!$B$239="Да",MeanMinAge10+'19_Расчет_аналитики'!AI1571*SUMIF(ThresholdAge10,"&lt;"&amp;'19_Расчет_аналитики'!AI1571,WeightedRevAge10)-SUMIF(ThresholdAge10,"&lt;"&amp;'19_Расчет_аналитики'!AI1571,WeightedMinAge10),MAX(CapacityAge10*'01_Вводные'!$B$218*'19_Расчет_аналитики'!AI1571,MeanMinAge10)))</f>
        <v/>
      </c>
      <c r="AJ1485">
        <f>IF(OR('19_Расчет_аналитики'!AJ1457=0,10&lt;='01_Вводные'!$B$297),0,'19_Расчет_аналитики'!AJ1457*IF('01_Вводные'!$B$239="Да",MeanMinAge10+'19_Расчет_аналитики'!AJ1571*SUMIF(ThresholdAge10,"&lt;"&amp;'19_Расчет_аналитики'!AJ1571,WeightedRevAge10)-SUMIF(ThresholdAge10,"&lt;"&amp;'19_Расчет_аналитики'!AJ1571,WeightedMinAge10),MAX(CapacityAge10*'01_Вводные'!$B$218*'19_Расчет_аналитики'!AJ1571,MeanMinAge10)))</f>
        <v/>
      </c>
      <c r="AK1485">
        <f>IF(OR('19_Расчет_аналитики'!AK1457=0,10&lt;='01_Вводные'!$B$297),0,'19_Расчет_аналитики'!AK1457*IF('01_Вводные'!$B$239="Да",MeanMinAge10+'19_Расчет_аналитики'!AK1571*SUMIF(ThresholdAge10,"&lt;"&amp;'19_Расчет_аналитики'!AK1571,WeightedRevAge10)-SUMIF(ThresholdAge10,"&lt;"&amp;'19_Расчет_аналитики'!AK1571,WeightedMinAge10),MAX(CapacityAge10*'01_Вводные'!$B$218*'19_Расчет_аналитики'!AK1571,MeanMinAge10)))</f>
        <v/>
      </c>
      <c r="AL1485">
        <f>IF(OR('19_Расчет_аналитики'!AL1457=0,10&lt;='01_Вводные'!$B$297),0,'19_Расчет_аналитики'!AL1457*IF('01_Вводные'!$B$239="Да",MeanMinAge10+'19_Расчет_аналитики'!AL1571*SUMIF(ThresholdAge10,"&lt;"&amp;'19_Расчет_аналитики'!AL1571,WeightedRevAge10)-SUMIF(ThresholdAge10,"&lt;"&amp;'19_Расчет_аналитики'!AL1571,WeightedMinAge10),MAX(CapacityAge10*'01_Вводные'!$B$218*'19_Расчет_аналитики'!AL1571,MeanMinAge10)))</f>
        <v/>
      </c>
      <c r="AM1485">
        <f>IF(OR('19_Расчет_аналитики'!AM1457=0,10&lt;='01_Вводные'!$B$297),0,'19_Расчет_аналитики'!AM1457*IF('01_Вводные'!$B$239="Да",MeanMinAge10+'19_Расчет_аналитики'!AM1571*SUMIF(ThresholdAge10,"&lt;"&amp;'19_Расчет_аналитики'!AM1571,WeightedRevAge10)-SUMIF(ThresholdAge10,"&lt;"&amp;'19_Расчет_аналитики'!AM1571,WeightedMinAge10),MAX(CapacityAge10*'01_Вводные'!$B$218*'19_Расчет_аналитики'!AM1571,MeanMinAge10)))</f>
        <v/>
      </c>
      <c r="AN1485">
        <f>IF(OR('19_Расчет_аналитики'!AN1457=0,10&lt;='01_Вводные'!$B$297),0,'19_Расчет_аналитики'!AN1457*IF('01_Вводные'!$B$239="Да",MeanMinAge10+'19_Расчет_аналитики'!AN1571*SUMIF(ThresholdAge10,"&lt;"&amp;'19_Расчет_аналитики'!AN1571,WeightedRevAge10)-SUMIF(ThresholdAge10,"&lt;"&amp;'19_Расчет_аналитики'!AN1571,WeightedMinAge10),MAX(CapacityAge10*'01_Вводные'!$B$218*'19_Расчет_аналитики'!AN1571,MeanMinAge10)))</f>
        <v/>
      </c>
      <c r="AO1485">
        <f>IF(OR('19_Расчет_аналитики'!AO1457=0,10&lt;='01_Вводные'!$B$297),0,'19_Расчет_аналитики'!AO1457*IF('01_Вводные'!$B$239="Да",MeanMinAge10+'19_Расчет_аналитики'!AO1571*SUMIF(ThresholdAge10,"&lt;"&amp;'19_Расчет_аналитики'!AO1571,WeightedRevAge10)-SUMIF(ThresholdAge10,"&lt;"&amp;'19_Расчет_аналитики'!AO1571,WeightedMinAge10),MAX(CapacityAge10*'01_Вводные'!$B$218*'19_Расчет_аналитики'!AO1571,MeanMinAge10)))</f>
        <v/>
      </c>
      <c r="AP1485">
        <f>IF(OR('19_Расчет_аналитики'!AP1457=0,10&lt;='01_Вводные'!$B$297),0,'19_Расчет_аналитики'!AP1457*IF('01_Вводные'!$B$239="Да",MeanMinAge10+'19_Расчет_аналитики'!AP1571*SUMIF(ThresholdAge10,"&lt;"&amp;'19_Расчет_аналитики'!AP1571,WeightedRevAge10)-SUMIF(ThresholdAge10,"&lt;"&amp;'19_Расчет_аналитики'!AP1571,WeightedMinAge10),MAX(CapacityAge10*'01_Вводные'!$B$218*'19_Расчет_аналитики'!AP1571,MeanMinAge10)))</f>
        <v/>
      </c>
      <c r="AQ1485">
        <f>IF(OR('19_Расчет_аналитики'!AQ1457=0,10&lt;='01_Вводные'!$B$297),0,'19_Расчет_аналитики'!AQ1457*IF('01_Вводные'!$B$239="Да",MeanMinAge10+'19_Расчет_аналитики'!AQ1571*SUMIF(ThresholdAge10,"&lt;"&amp;'19_Расчет_аналитики'!AQ1571,WeightedRevAge10)-SUMIF(ThresholdAge10,"&lt;"&amp;'19_Расчет_аналитики'!AQ1571,WeightedMinAge10),MAX(CapacityAge10*'01_Вводные'!$B$218*'19_Расчет_аналитики'!AQ1571,MeanMinAge10)))</f>
        <v/>
      </c>
      <c r="AR1485">
        <f>IF(OR('19_Расчет_аналитики'!AR1457=0,10&lt;='01_Вводные'!$B$297),0,'19_Расчет_аналитики'!AR1457*IF('01_Вводные'!$B$239="Да",MeanMinAge10+'19_Расчет_аналитики'!AR1571*SUMIF(ThresholdAge10,"&lt;"&amp;'19_Расчет_аналитики'!AR1571,WeightedRevAge10)-SUMIF(ThresholdAge10,"&lt;"&amp;'19_Расчет_аналитики'!AR1571,WeightedMinAge10),MAX(CapacityAge10*'01_Вводные'!$B$218*'19_Расчет_аналитики'!AR1571,MeanMinAge10)))</f>
        <v/>
      </c>
      <c r="AS1485">
        <f>IF(OR('19_Расчет_аналитики'!AS1457=0,10&lt;='01_Вводные'!$B$297),0,'19_Расчет_аналитики'!AS1457*IF('01_Вводные'!$B$239="Да",MeanMinAge10+'19_Расчет_аналитики'!AS1571*SUMIF(ThresholdAge10,"&lt;"&amp;'19_Расчет_аналитики'!AS1571,WeightedRevAge10)-SUMIF(ThresholdAge10,"&lt;"&amp;'19_Расчет_аналитики'!AS1571,WeightedMinAge10),MAX(CapacityAge10*'01_Вводные'!$B$218*'19_Расчет_аналитики'!AS1571,MeanMinAge10)))</f>
        <v/>
      </c>
      <c r="AT1485">
        <f>IF(OR('19_Расчет_аналитики'!AT1457=0,10&lt;='01_Вводные'!$B$297),0,'19_Расчет_аналитики'!AT1457*IF('01_Вводные'!$B$239="Да",MeanMinAge10+'19_Расчет_аналитики'!AT1571*SUMIF(ThresholdAge10,"&lt;"&amp;'19_Расчет_аналитики'!AT1571,WeightedRevAge10)-SUMIF(ThresholdAge10,"&lt;"&amp;'19_Расчет_аналитики'!AT1571,WeightedMinAge10),MAX(CapacityAge10*'01_Вводные'!$B$218*'19_Расчет_аналитики'!AT1571,MeanMinAge10)))</f>
        <v/>
      </c>
      <c r="AU1485">
        <f>IF(OR('19_Расчет_аналитики'!AU1457=0,10&lt;='01_Вводные'!$B$297),0,'19_Расчет_аналитики'!AU1457*IF('01_Вводные'!$B$239="Да",MeanMinAge10+'19_Расчет_аналитики'!AU1571*SUMIF(ThresholdAge10,"&lt;"&amp;'19_Расчет_аналитики'!AU1571,WeightedRevAge10)-SUMIF(ThresholdAge10,"&lt;"&amp;'19_Расчет_аналитики'!AU1571,WeightedMinAge10),MAX(CapacityAge10*'01_Вводные'!$B$218*'19_Расчет_аналитики'!AU1571,MeanMinAge10)))</f>
        <v/>
      </c>
      <c r="AV1485">
        <f>IF(OR('19_Расчет_аналитики'!AV1457=0,10&lt;='01_Вводные'!$B$297),0,'19_Расчет_аналитики'!AV1457*IF('01_Вводные'!$B$239="Да",MeanMinAge10+'19_Расчет_аналитики'!AV1571*SUMIF(ThresholdAge10,"&lt;"&amp;'19_Расчет_аналитики'!AV1571,WeightedRevAge10)-SUMIF(ThresholdAge10,"&lt;"&amp;'19_Расчет_аналитики'!AV1571,WeightedMinAge10),MAX(CapacityAge10*'01_Вводные'!$B$218*'19_Расчет_аналитики'!AV1571,MeanMinAge10)))</f>
        <v/>
      </c>
      <c r="AW1485">
        <f>IF(OR('19_Расчет_аналитики'!AW1457=0,10&lt;='01_Вводные'!$B$297),0,'19_Расчет_аналитики'!AW1457*IF('01_Вводные'!$B$239="Да",MeanMinAge10+'19_Расчет_аналитики'!AW1571*SUMIF(ThresholdAge10,"&lt;"&amp;'19_Расчет_аналитики'!AW1571,WeightedRevAge10)-SUMIF(ThresholdAge10,"&lt;"&amp;'19_Расчет_аналитики'!AW1571,WeightedMinAge10),MAX(CapacityAge10*'01_Вводные'!$B$218*'19_Расчет_аналитики'!AW1571,MeanMinAge10)))</f>
        <v/>
      </c>
      <c r="AX1485">
        <f>IF(OR('19_Расчет_аналитики'!AX1457=0,10&lt;='01_Вводные'!$B$297),0,'19_Расчет_аналитики'!AX1457*IF('01_Вводные'!$B$239="Да",MeanMinAge10+'19_Расчет_аналитики'!AX1571*SUMIF(ThresholdAge10,"&lt;"&amp;'19_Расчет_аналитики'!AX1571,WeightedRevAge10)-SUMIF(ThresholdAge10,"&lt;"&amp;'19_Расчет_аналитики'!AX1571,WeightedMinAge10),MAX(CapacityAge10*'01_Вводные'!$B$218*'19_Расчет_аналитики'!AX1571,MeanMinAge10)))</f>
        <v/>
      </c>
      <c r="AY1485">
        <f>IF(OR('19_Расчет_аналитики'!AY1457=0,10&lt;='01_Вводные'!$B$297),0,'19_Расчет_аналитики'!AY1457*IF('01_Вводные'!$B$239="Да",MeanMinAge10+'19_Расчет_аналитики'!AY1571*SUMIF(ThresholdAge10,"&lt;"&amp;'19_Расчет_аналитики'!AY1571,WeightedRevAge10)-SUMIF(ThresholdAge10,"&lt;"&amp;'19_Расчет_аналитики'!AY1571,WeightedMinAge10),MAX(CapacityAge10*'01_Вводные'!$B$218*'19_Расчет_аналитики'!AY1571,MeanMinAge10)))</f>
        <v/>
      </c>
      <c r="AZ1485">
        <f>IF(OR('19_Расчет_аналитики'!AZ1457=0,10&lt;='01_Вводные'!$B$297),0,'19_Расчет_аналитики'!AZ1457*IF('01_Вводные'!$B$239="Да",MeanMinAge10+'19_Расчет_аналитики'!AZ1571*SUMIF(ThresholdAge10,"&lt;"&amp;'19_Расчет_аналитики'!AZ1571,WeightedRevAge10)-SUMIF(ThresholdAge10,"&lt;"&amp;'19_Расчет_аналитики'!AZ1571,WeightedMinAge10),MAX(CapacityAge10*'01_Вводные'!$B$218*'19_Расчет_аналитики'!AZ1571,MeanMinAge10)))</f>
        <v/>
      </c>
      <c r="BA1485">
        <f>IF(OR('19_Расчет_аналитики'!BA1457=0,10&lt;='01_Вводные'!$B$297),0,'19_Расчет_аналитики'!BA1457*IF('01_Вводные'!$B$239="Да",MeanMinAge10+'19_Расчет_аналитики'!BA1571*SUMIF(ThresholdAge10,"&lt;"&amp;'19_Расчет_аналитики'!BA1571,WeightedRevAge10)-SUMIF(ThresholdAge10,"&lt;"&amp;'19_Расчет_аналитики'!BA1571,WeightedMinAge10),MAX(CapacityAge10*'01_Вводные'!$B$218*'19_Расчет_аналитики'!BA1571,MeanMinAge10)))</f>
        <v/>
      </c>
      <c r="BB1485">
        <f>IF(OR('19_Расчет_аналитики'!BB1457=0,10&lt;='01_Вводные'!$B$297),0,'19_Расчет_аналитики'!BB1457*IF('01_Вводные'!$B$239="Да",MeanMinAge10+'19_Расчет_аналитики'!BB1571*SUMIF(ThresholdAge10,"&lt;"&amp;'19_Расчет_аналитики'!BB1571,WeightedRevAge10)-SUMIF(ThresholdAge10,"&lt;"&amp;'19_Расчет_аналитики'!BB1571,WeightedMinAge10),MAX(CapacityAge10*'01_Вводные'!$B$218*'19_Расчет_аналитики'!BB1571,MeanMinAge10)))</f>
        <v/>
      </c>
      <c r="BC1485">
        <f>IF(OR('19_Расчет_аналитики'!BC1457=0,10&lt;='01_Вводные'!$B$297),0,'19_Расчет_аналитики'!BC1457*IF('01_Вводные'!$B$239="Да",MeanMinAge10+'19_Расчет_аналитики'!BC1571*SUMIF(ThresholdAge10,"&lt;"&amp;'19_Расчет_аналитики'!BC1571,WeightedRevAge10)-SUMIF(ThresholdAge10,"&lt;"&amp;'19_Расчет_аналитики'!BC1571,WeightedMinAge10),MAX(CapacityAge10*'01_Вводные'!$B$218*'19_Расчет_аналитики'!BC1571,MeanMinAge10)))</f>
        <v/>
      </c>
      <c r="BD1485">
        <f>IF(OR('19_Расчет_аналитики'!BD1457=0,10&lt;='01_Вводные'!$B$297),0,'19_Расчет_аналитики'!BD1457*IF('01_Вводные'!$B$239="Да",MeanMinAge10+'19_Расчет_аналитики'!BD1571*SUMIF(ThresholdAge10,"&lt;"&amp;'19_Расчет_аналитики'!BD1571,WeightedRevAge10)-SUMIF(ThresholdAge10,"&lt;"&amp;'19_Расчет_аналитики'!BD1571,WeightedMinAge10),MAX(CapacityAge10*'01_Вводные'!$B$218*'19_Расчет_аналитики'!BD1571,MeanMinAge10)))</f>
        <v/>
      </c>
      <c r="BE1485">
        <f>IF(OR('19_Расчет_аналитики'!BE1457=0,10&lt;='01_Вводные'!$B$297),0,'19_Расчет_аналитики'!BE1457*IF('01_Вводные'!$B$239="Да",MeanMinAge10+'19_Расчет_аналитики'!BE1571*SUMIF(ThresholdAge10,"&lt;"&amp;'19_Расчет_аналитики'!BE1571,WeightedRevAge10)-SUMIF(ThresholdAge10,"&lt;"&amp;'19_Расчет_аналитики'!BE1571,WeightedMinAge10),MAX(CapacityAge10*'01_Вводные'!$B$218*'19_Расчет_аналитики'!BE1571,MeanMinAge10)))</f>
        <v/>
      </c>
      <c r="BF1485">
        <f>IF(OR('19_Расчет_аналитики'!BF1457=0,10&lt;='01_Вводные'!$B$297),0,'19_Расчет_аналитики'!BF1457*IF('01_Вводные'!$B$239="Да",MeanMinAge10+'19_Расчет_аналитики'!BF1571*SUMIF(ThresholdAge10,"&lt;"&amp;'19_Расчет_аналитики'!BF1571,WeightedRevAge10)-SUMIF(ThresholdAge10,"&lt;"&amp;'19_Расчет_аналитики'!BF1571,WeightedMinAge10),MAX(CapacityAge10*'01_Вводные'!$B$218*'19_Расчет_аналитики'!BF1571,MeanMinAge10)))</f>
        <v/>
      </c>
      <c r="BG1485">
        <f>IF(OR('19_Расчет_аналитики'!BG1457=0,10&lt;='01_Вводные'!$B$297),0,'19_Расчет_аналитики'!BG1457*IF('01_Вводные'!$B$239="Да",MeanMinAge10+'19_Расчет_аналитики'!BG1571*SUMIF(ThresholdAge10,"&lt;"&amp;'19_Расчет_аналитики'!BG1571,WeightedRevAge10)-SUMIF(ThresholdAge10,"&lt;"&amp;'19_Расчет_аналитики'!BG1571,WeightedMinAge10),MAX(CapacityAge10*'01_Вводные'!$B$218*'19_Расчет_аналитики'!BG1571,MeanMinAge10)))</f>
        <v/>
      </c>
      <c r="BH1485">
        <f>IF(OR('19_Расчет_аналитики'!BH1457=0,10&lt;='01_Вводные'!$B$297),0,'19_Расчет_аналитики'!BH1457*IF('01_Вводные'!$B$239="Да",MeanMinAge10+'19_Расчет_аналитики'!BH1571*SUMIF(ThresholdAge10,"&lt;"&amp;'19_Расчет_аналитики'!BH1571,WeightedRevAge10)-SUMIF(ThresholdAge10,"&lt;"&amp;'19_Расчет_аналитики'!BH1571,WeightedMinAge10),MAX(CapacityAge10*'01_Вводные'!$B$218*'19_Расчет_аналитики'!BH1571,MeanMinAge10)))</f>
        <v/>
      </c>
      <c r="BI1485">
        <f>IF(OR('19_Расчет_аналитики'!BI1457=0,10&lt;='01_Вводные'!$B$297),0,'19_Расчет_аналитики'!BI1457*IF('01_Вводные'!$B$239="Да",MeanMinAge10+'19_Расчет_аналитики'!BI1571*SUMIF(ThresholdAge10,"&lt;"&amp;'19_Расчет_аналитики'!BI1571,WeightedRevAge10)-SUMIF(ThresholdAge10,"&lt;"&amp;'19_Расчет_аналитики'!BI1571,WeightedMinAge10),MAX(CapacityAge10*'01_Вводные'!$B$218*'19_Расчет_аналитики'!BI1571,MeanMinAge10)))</f>
        <v/>
      </c>
      <c r="BJ1485">
        <f>IF(OR('19_Расчет_аналитики'!BJ1457=0,10&lt;='01_Вводные'!$B$297),0,'19_Расчет_аналитики'!BJ1457*IF('01_Вводные'!$B$239="Да",MeanMinAge10+'19_Расчет_аналитики'!BJ1571*SUMIF(ThresholdAge10,"&lt;"&amp;'19_Расчет_аналитики'!BJ1571,WeightedRevAge10)-SUMIF(ThresholdAge10,"&lt;"&amp;'19_Расчет_аналитики'!BJ1571,WeightedMinAge10),MAX(CapacityAge10*'01_Вводные'!$B$218*'19_Расчет_аналитики'!BJ1571,MeanMinAge10)))</f>
        <v/>
      </c>
      <c r="BK1485">
        <f>IF(OR('19_Расчет_аналитики'!BK1457=0,10&lt;='01_Вводные'!$B$297),0,'19_Расчет_аналитики'!BK1457*IF('01_Вводные'!$B$239="Да",MeanMinAge10+'19_Расчет_аналитики'!BK1571*SUMIF(ThresholdAge10,"&lt;"&amp;'19_Расчет_аналитики'!BK1571,WeightedRevAge10)-SUMIF(ThresholdAge10,"&lt;"&amp;'19_Расчет_аналитики'!BK1571,WeightedMinAge10),MAX(CapacityAge10*'01_Вводные'!$B$218*'19_Расчет_аналитики'!BK1571,MeanMinAge10)))</f>
        <v/>
      </c>
      <c r="BL1485">
        <f>IF(OR('19_Расчет_аналитики'!BL1457=0,10&lt;='01_Вводные'!$B$297),0,'19_Расчет_аналитики'!BL1457*IF('01_Вводные'!$B$239="Да",MeanMinAge10+'19_Расчет_аналитики'!BL1571*SUMIF(ThresholdAge10,"&lt;"&amp;'19_Расчет_аналитики'!BL1571,WeightedRevAge10)-SUMIF(ThresholdAge10,"&lt;"&amp;'19_Расчет_аналитики'!BL1571,WeightedMinAge10),MAX(CapacityAge10*'01_Вводные'!$B$218*'19_Расчет_аналитики'!BL1571,MeanMinAge10)))</f>
        <v/>
      </c>
      <c r="BM1485">
        <f>IF(OR('19_Расчет_аналитики'!BM1457=0,10&lt;='01_Вводные'!$B$297),0,'19_Расчет_аналитики'!BM1457*IF('01_Вводные'!$B$239="Да",MeanMinAge10+'19_Расчет_аналитики'!BM1571*SUMIF(ThresholdAge10,"&lt;"&amp;'19_Расчет_аналитики'!BM1571,WeightedRevAge10)-SUMIF(ThresholdAge10,"&lt;"&amp;'19_Расчет_аналитики'!BM1571,WeightedMinAge10),MAX(CapacityAge10*'01_Вводные'!$B$218*'19_Расчет_аналитики'!BM1571,MeanMinAge10)))</f>
        <v/>
      </c>
      <c r="BN1485">
        <f>IF(OR('19_Расчет_аналитики'!BN1457=0,10&lt;='01_Вводные'!$B$297),0,'19_Расчет_аналитики'!BN1457*IF('01_Вводные'!$B$239="Да",MeanMinAge10+'19_Расчет_аналитики'!BN1571*SUMIF(ThresholdAge10,"&lt;"&amp;'19_Расчет_аналитики'!BN1571,WeightedRevAge10)-SUMIF(ThresholdAge10,"&lt;"&amp;'19_Расчет_аналитики'!BN1571,WeightedMinAge10),MAX(CapacityAge10*'01_Вводные'!$B$218*'19_Расчет_аналитики'!BN1571,MeanMinAge10)))</f>
        <v/>
      </c>
      <c r="BO1485">
        <f>IF(OR('19_Расчет_аналитики'!BO1457=0,10&lt;='01_Вводные'!$B$297),0,'19_Расчет_аналитики'!BO1457*IF('01_Вводные'!$B$239="Да",MeanMinAge10+'19_Расчет_аналитики'!BO1571*SUMIF(ThresholdAge10,"&lt;"&amp;'19_Расчет_аналитики'!BO1571,WeightedRevAge10)-SUMIF(ThresholdAge10,"&lt;"&amp;'19_Расчет_аналитики'!BO1571,WeightedMinAge10),MAX(CapacityAge10*'01_Вводные'!$B$218*'19_Расчет_аналитики'!BO1571,MeanMinAge10)))</f>
        <v/>
      </c>
    </row>
    <row r="1486">
      <c r="B1486">
        <f>IF(OR('06_Сеть_и_дети'!B91=0,11&lt;='01_Вводные'!$B$297),0,'06_Сеть_и_дети'!B91*IF('01_Вводные'!$B$239="Да",MeanMinAge11+'19_Расчет_аналитики'!B1571*SUMIF(ThresholdAge11,"&lt;"&amp;'19_Расчет_аналитики'!B1571,WeightedRevAge11)-SUMIF(ThresholdAge11,"&lt;"&amp;'19_Расчет_аналитики'!B1571,WeightedMinAge11),MAX(CapacityAge11*'01_Вводные'!$B$218*'19_Расчет_аналитики'!B1571,MeanMinAge11)))</f>
        <v/>
      </c>
      <c r="C1486">
        <f>IF(OR('06_Сеть_и_дети'!C91=0,11&lt;='01_Вводные'!$B$297),0,'06_Сеть_и_дети'!C91*IF('01_Вводные'!$B$239="Да",MeanMinAge11+'19_Расчет_аналитики'!C1571*SUMIF(ThresholdAge11,"&lt;"&amp;'19_Расчет_аналитики'!C1571,WeightedRevAge11)-SUMIF(ThresholdAge11,"&lt;"&amp;'19_Расчет_аналитики'!C1571,WeightedMinAge11),MAX(CapacityAge11*'01_Вводные'!$B$218*'19_Расчет_аналитики'!C1571,MeanMinAge11)))</f>
        <v/>
      </c>
      <c r="D1486">
        <f>IF(OR('06_Сеть_и_дети'!D91=0,11&lt;='01_Вводные'!$B$297),0,'06_Сеть_и_дети'!D91*IF('01_Вводные'!$B$239="Да",MeanMinAge11+'19_Расчет_аналитики'!D1571*SUMIF(ThresholdAge11,"&lt;"&amp;'19_Расчет_аналитики'!D1571,WeightedRevAge11)-SUMIF(ThresholdAge11,"&lt;"&amp;'19_Расчет_аналитики'!D1571,WeightedMinAge11),MAX(CapacityAge11*'01_Вводные'!$B$218*'19_Расчет_аналитики'!D1571,MeanMinAge11)))</f>
        <v/>
      </c>
      <c r="E1486">
        <f>IF(OR('06_Сеть_и_дети'!E91=0,11&lt;='01_Вводные'!$B$297),0,'06_Сеть_и_дети'!E91*IF('01_Вводные'!$B$239="Да",MeanMinAge11+'19_Расчет_аналитики'!E1571*SUMIF(ThresholdAge11,"&lt;"&amp;'19_Расчет_аналитики'!E1571,WeightedRevAge11)-SUMIF(ThresholdAge11,"&lt;"&amp;'19_Расчет_аналитики'!E1571,WeightedMinAge11),MAX(CapacityAge11*'01_Вводные'!$B$218*'19_Расчет_аналитики'!E1571,MeanMinAge11)))</f>
        <v/>
      </c>
      <c r="F1486">
        <f>IF(OR('06_Сеть_и_дети'!F91=0,11&lt;='01_Вводные'!$B$297),0,'06_Сеть_и_дети'!F91*IF('01_Вводные'!$B$239="Да",MeanMinAge11+'19_Расчет_аналитики'!F1571*SUMIF(ThresholdAge11,"&lt;"&amp;'19_Расчет_аналитики'!F1571,WeightedRevAge11)-SUMIF(ThresholdAge11,"&lt;"&amp;'19_Расчет_аналитики'!F1571,WeightedMinAge11),MAX(CapacityAge11*'01_Вводные'!$B$218*'19_Расчет_аналитики'!F1571,MeanMinAge11)))</f>
        <v/>
      </c>
      <c r="G1486">
        <f>IF(OR('06_Сеть_и_дети'!G91=0,11&lt;='01_Вводные'!$B$297),0,'06_Сеть_и_дети'!G91*IF('01_Вводные'!$B$239="Да",MeanMinAge11+'19_Расчет_аналитики'!G1571*SUMIF(ThresholdAge11,"&lt;"&amp;'19_Расчет_аналитики'!G1571,WeightedRevAge11)-SUMIF(ThresholdAge11,"&lt;"&amp;'19_Расчет_аналитики'!G1571,WeightedMinAge11),MAX(CapacityAge11*'01_Вводные'!$B$218*'19_Расчет_аналитики'!G1571,MeanMinAge11)))</f>
        <v/>
      </c>
      <c r="H1486">
        <f>IF(OR('06_Сеть_и_дети'!H91=0,11&lt;='01_Вводные'!$B$297),0,'06_Сеть_и_дети'!H91*IF('01_Вводные'!$B$239="Да",MeanMinAge11+'19_Расчет_аналитики'!H1571*SUMIF(ThresholdAge11,"&lt;"&amp;'19_Расчет_аналитики'!H1571,WeightedRevAge11)-SUMIF(ThresholdAge11,"&lt;"&amp;'19_Расчет_аналитики'!H1571,WeightedMinAge11),MAX(CapacityAge11*'01_Вводные'!$B$218*'19_Расчет_аналитики'!H1571,MeanMinAge11)))</f>
        <v/>
      </c>
      <c r="I1486">
        <f>IF(OR('06_Сеть_и_дети'!I91=0,11&lt;='01_Вводные'!$B$297),0,'06_Сеть_и_дети'!I91*IF('01_Вводные'!$B$239="Да",MeanMinAge11+'19_Расчет_аналитики'!I1571*SUMIF(ThresholdAge11,"&lt;"&amp;'19_Расчет_аналитики'!I1571,WeightedRevAge11)-SUMIF(ThresholdAge11,"&lt;"&amp;'19_Расчет_аналитики'!I1571,WeightedMinAge11),MAX(CapacityAge11*'01_Вводные'!$B$218*'19_Расчет_аналитики'!I1571,MeanMinAge11)))</f>
        <v/>
      </c>
      <c r="J1486">
        <f>IF(OR('06_Сеть_и_дети'!J91=0,11&lt;='01_Вводные'!$B$297),0,'06_Сеть_и_дети'!J91*IF('01_Вводные'!$B$239="Да",MeanMinAge11+'19_Расчет_аналитики'!J1571*SUMIF(ThresholdAge11,"&lt;"&amp;'19_Расчет_аналитики'!J1571,WeightedRevAge11)-SUMIF(ThresholdAge11,"&lt;"&amp;'19_Расчет_аналитики'!J1571,WeightedMinAge11),MAX(CapacityAge11*'01_Вводные'!$B$218*'19_Расчет_аналитики'!J1571,MeanMinAge11)))</f>
        <v/>
      </c>
      <c r="K1486">
        <f>IF(OR('06_Сеть_и_дети'!K91=0,11&lt;='01_Вводные'!$B$297),0,'06_Сеть_и_дети'!K91*IF('01_Вводные'!$B$239="Да",MeanMinAge11+'19_Расчет_аналитики'!K1571*SUMIF(ThresholdAge11,"&lt;"&amp;'19_Расчет_аналитики'!K1571,WeightedRevAge11)-SUMIF(ThresholdAge11,"&lt;"&amp;'19_Расчет_аналитики'!K1571,WeightedMinAge11),MAX(CapacityAge11*'01_Вводные'!$B$218*'19_Расчет_аналитики'!K1571,MeanMinAge11)))</f>
        <v/>
      </c>
      <c r="L1486">
        <f>IF(OR('19_Расчет_аналитики'!L1458=0,11&lt;='01_Вводные'!$B$297),0,'19_Расчет_аналитики'!L1458*IF('01_Вводные'!$B$239="Да",MeanMinAge11+'19_Расчет_аналитики'!L1571*SUMIF(ThresholdAge11,"&lt;"&amp;'19_Расчет_аналитики'!L1571,WeightedRevAge11)-SUMIF(ThresholdAge11,"&lt;"&amp;'19_Расчет_аналитики'!L1571,WeightedMinAge11),MAX(CapacityAge11*'01_Вводные'!$B$218*'19_Расчет_аналитики'!L1571,MeanMinAge11)))</f>
        <v/>
      </c>
      <c r="M1486">
        <f>IF(OR('19_Расчет_аналитики'!M1458=0,11&lt;='01_Вводные'!$B$297),0,'19_Расчет_аналитики'!M1458*IF('01_Вводные'!$B$239="Да",MeanMinAge11+'19_Расчет_аналитики'!M1571*SUMIF(ThresholdAge11,"&lt;"&amp;'19_Расчет_аналитики'!M1571,WeightedRevAge11)-SUMIF(ThresholdAge11,"&lt;"&amp;'19_Расчет_аналитики'!M1571,WeightedMinAge11),MAX(CapacityAge11*'01_Вводные'!$B$218*'19_Расчет_аналитики'!M1571,MeanMinAge11)))</f>
        <v/>
      </c>
      <c r="N1486">
        <f>IF(OR('19_Расчет_аналитики'!N1458=0,11&lt;='01_Вводные'!$B$297),0,'19_Расчет_аналитики'!N1458*IF('01_Вводные'!$B$239="Да",MeanMinAge11+'19_Расчет_аналитики'!N1571*SUMIF(ThresholdAge11,"&lt;"&amp;'19_Расчет_аналитики'!N1571,WeightedRevAge11)-SUMIF(ThresholdAge11,"&lt;"&amp;'19_Расчет_аналитики'!N1571,WeightedMinAge11),MAX(CapacityAge11*'01_Вводные'!$B$218*'19_Расчет_аналитики'!N1571,MeanMinAge11)))</f>
        <v/>
      </c>
      <c r="O1486">
        <f>IF(OR('19_Расчет_аналитики'!O1458=0,11&lt;='01_Вводные'!$B$297),0,'19_Расчет_аналитики'!O1458*IF('01_Вводные'!$B$239="Да",MeanMinAge11+'19_Расчет_аналитики'!O1571*SUMIF(ThresholdAge11,"&lt;"&amp;'19_Расчет_аналитики'!O1571,WeightedRevAge11)-SUMIF(ThresholdAge11,"&lt;"&amp;'19_Расчет_аналитики'!O1571,WeightedMinAge11),MAX(CapacityAge11*'01_Вводные'!$B$218*'19_Расчет_аналитики'!O1571,MeanMinAge11)))</f>
        <v/>
      </c>
      <c r="P1486">
        <f>IF(OR('19_Расчет_аналитики'!P1458=0,11&lt;='01_Вводные'!$B$297),0,'19_Расчет_аналитики'!P1458*IF('01_Вводные'!$B$239="Да",MeanMinAge11+'19_Расчет_аналитики'!P1571*SUMIF(ThresholdAge11,"&lt;"&amp;'19_Расчет_аналитики'!P1571,WeightedRevAge11)-SUMIF(ThresholdAge11,"&lt;"&amp;'19_Расчет_аналитики'!P1571,WeightedMinAge11),MAX(CapacityAge11*'01_Вводные'!$B$218*'19_Расчет_аналитики'!P1571,MeanMinAge11)))</f>
        <v/>
      </c>
      <c r="Q1486">
        <f>IF(OR('19_Расчет_аналитики'!Q1458=0,11&lt;='01_Вводные'!$B$297),0,'19_Расчет_аналитики'!Q1458*IF('01_Вводные'!$B$239="Да",MeanMinAge11+'19_Расчет_аналитики'!Q1571*SUMIF(ThresholdAge11,"&lt;"&amp;'19_Расчет_аналитики'!Q1571,WeightedRevAge11)-SUMIF(ThresholdAge11,"&lt;"&amp;'19_Расчет_аналитики'!Q1571,WeightedMinAge11),MAX(CapacityAge11*'01_Вводные'!$B$218*'19_Расчет_аналитики'!Q1571,MeanMinAge11)))</f>
        <v/>
      </c>
      <c r="R1486">
        <f>IF(OR('19_Расчет_аналитики'!R1458=0,11&lt;='01_Вводные'!$B$297),0,'19_Расчет_аналитики'!R1458*IF('01_Вводные'!$B$239="Да",MeanMinAge11+'19_Расчет_аналитики'!R1571*SUMIF(ThresholdAge11,"&lt;"&amp;'19_Расчет_аналитики'!R1571,WeightedRevAge11)-SUMIF(ThresholdAge11,"&lt;"&amp;'19_Расчет_аналитики'!R1571,WeightedMinAge11),MAX(CapacityAge11*'01_Вводные'!$B$218*'19_Расчет_аналитики'!R1571,MeanMinAge11)))</f>
        <v/>
      </c>
      <c r="S1486">
        <f>IF(OR('19_Расчет_аналитики'!S1458=0,11&lt;='01_Вводные'!$B$297),0,'19_Расчет_аналитики'!S1458*IF('01_Вводные'!$B$239="Да",MeanMinAge11+'19_Расчет_аналитики'!S1571*SUMIF(ThresholdAge11,"&lt;"&amp;'19_Расчет_аналитики'!S1571,WeightedRevAge11)-SUMIF(ThresholdAge11,"&lt;"&amp;'19_Расчет_аналитики'!S1571,WeightedMinAge11),MAX(CapacityAge11*'01_Вводные'!$B$218*'19_Расчет_аналитики'!S1571,MeanMinAge11)))</f>
        <v/>
      </c>
      <c r="T1486">
        <f>IF(OR('19_Расчет_аналитики'!T1458=0,11&lt;='01_Вводные'!$B$297),0,'19_Расчет_аналитики'!T1458*IF('01_Вводные'!$B$239="Да",MeanMinAge11+'19_Расчет_аналитики'!T1571*SUMIF(ThresholdAge11,"&lt;"&amp;'19_Расчет_аналитики'!T1571,WeightedRevAge11)-SUMIF(ThresholdAge11,"&lt;"&amp;'19_Расчет_аналитики'!T1571,WeightedMinAge11),MAX(CapacityAge11*'01_Вводные'!$B$218*'19_Расчет_аналитики'!T1571,MeanMinAge11)))</f>
        <v/>
      </c>
      <c r="U1486">
        <f>IF(OR('19_Расчет_аналитики'!U1458=0,11&lt;='01_Вводные'!$B$297),0,'19_Расчет_аналитики'!U1458*IF('01_Вводные'!$B$239="Да",MeanMinAge11+'19_Расчет_аналитики'!U1571*SUMIF(ThresholdAge11,"&lt;"&amp;'19_Расчет_аналитики'!U1571,WeightedRevAge11)-SUMIF(ThresholdAge11,"&lt;"&amp;'19_Расчет_аналитики'!U1571,WeightedMinAge11),MAX(CapacityAge11*'01_Вводные'!$B$218*'19_Расчет_аналитики'!U1571,MeanMinAge11)))</f>
        <v/>
      </c>
      <c r="V1486">
        <f>IF(OR('19_Расчет_аналитики'!V1458=0,11&lt;='01_Вводные'!$B$297),0,'19_Расчет_аналитики'!V1458*IF('01_Вводные'!$B$239="Да",MeanMinAge11+'19_Расчет_аналитики'!V1571*SUMIF(ThresholdAge11,"&lt;"&amp;'19_Расчет_аналитики'!V1571,WeightedRevAge11)-SUMIF(ThresholdAge11,"&lt;"&amp;'19_Расчет_аналитики'!V1571,WeightedMinAge11),MAX(CapacityAge11*'01_Вводные'!$B$218*'19_Расчет_аналитики'!V1571,MeanMinAge11)))</f>
        <v/>
      </c>
      <c r="W1486">
        <f>IF(OR('19_Расчет_аналитики'!W1458=0,11&lt;='01_Вводные'!$B$297),0,'19_Расчет_аналитики'!W1458*IF('01_Вводные'!$B$239="Да",MeanMinAge11+'19_Расчет_аналитики'!W1571*SUMIF(ThresholdAge11,"&lt;"&amp;'19_Расчет_аналитики'!W1571,WeightedRevAge11)-SUMIF(ThresholdAge11,"&lt;"&amp;'19_Расчет_аналитики'!W1571,WeightedMinAge11),MAX(CapacityAge11*'01_Вводные'!$B$218*'19_Расчет_аналитики'!W1571,MeanMinAge11)))</f>
        <v/>
      </c>
      <c r="X1486">
        <f>IF(OR('19_Расчет_аналитики'!X1458=0,11&lt;='01_Вводные'!$B$297),0,'19_Расчет_аналитики'!X1458*IF('01_Вводные'!$B$239="Да",MeanMinAge11+'19_Расчет_аналитики'!X1571*SUMIF(ThresholdAge11,"&lt;"&amp;'19_Расчет_аналитики'!X1571,WeightedRevAge11)-SUMIF(ThresholdAge11,"&lt;"&amp;'19_Расчет_аналитики'!X1571,WeightedMinAge11),MAX(CapacityAge11*'01_Вводные'!$B$218*'19_Расчет_аналитики'!X1571,MeanMinAge11)))</f>
        <v/>
      </c>
      <c r="Y1486">
        <f>IF(OR('19_Расчет_аналитики'!Y1458=0,11&lt;='01_Вводные'!$B$297),0,'19_Расчет_аналитики'!Y1458*IF('01_Вводные'!$B$239="Да",MeanMinAge11+'19_Расчет_аналитики'!Y1571*SUMIF(ThresholdAge11,"&lt;"&amp;'19_Расчет_аналитики'!Y1571,WeightedRevAge11)-SUMIF(ThresholdAge11,"&lt;"&amp;'19_Расчет_аналитики'!Y1571,WeightedMinAge11),MAX(CapacityAge11*'01_Вводные'!$B$218*'19_Расчет_аналитики'!Y1571,MeanMinAge11)))</f>
        <v/>
      </c>
      <c r="Z1486">
        <f>IF(OR('19_Расчет_аналитики'!Z1458=0,11&lt;='01_Вводные'!$B$297),0,'19_Расчет_аналитики'!Z1458*IF('01_Вводные'!$B$239="Да",MeanMinAge11+'19_Расчет_аналитики'!Z1571*SUMIF(ThresholdAge11,"&lt;"&amp;'19_Расчет_аналитики'!Z1571,WeightedRevAge11)-SUMIF(ThresholdAge11,"&lt;"&amp;'19_Расчет_аналитики'!Z1571,WeightedMinAge11),MAX(CapacityAge11*'01_Вводные'!$B$218*'19_Расчет_аналитики'!Z1571,MeanMinAge11)))</f>
        <v/>
      </c>
      <c r="AA1486">
        <f>IF(OR('19_Расчет_аналитики'!AA1458=0,11&lt;='01_Вводные'!$B$297),0,'19_Расчет_аналитики'!AA1458*IF('01_Вводные'!$B$239="Да",MeanMinAge11+'19_Расчет_аналитики'!AA1571*SUMIF(ThresholdAge11,"&lt;"&amp;'19_Расчет_аналитики'!AA1571,WeightedRevAge11)-SUMIF(ThresholdAge11,"&lt;"&amp;'19_Расчет_аналитики'!AA1571,WeightedMinAge11),MAX(CapacityAge11*'01_Вводные'!$B$218*'19_Расчет_аналитики'!AA1571,MeanMinAge11)))</f>
        <v/>
      </c>
      <c r="AB1486">
        <f>IF(OR('19_Расчет_аналитики'!AB1458=0,11&lt;='01_Вводные'!$B$297),0,'19_Расчет_аналитики'!AB1458*IF('01_Вводные'!$B$239="Да",MeanMinAge11+'19_Расчет_аналитики'!AB1571*SUMIF(ThresholdAge11,"&lt;"&amp;'19_Расчет_аналитики'!AB1571,WeightedRevAge11)-SUMIF(ThresholdAge11,"&lt;"&amp;'19_Расчет_аналитики'!AB1571,WeightedMinAge11),MAX(CapacityAge11*'01_Вводные'!$B$218*'19_Расчет_аналитики'!AB1571,MeanMinAge11)))</f>
        <v/>
      </c>
      <c r="AC1486">
        <f>IF(OR('19_Расчет_аналитики'!AC1458=0,11&lt;='01_Вводные'!$B$297),0,'19_Расчет_аналитики'!AC1458*IF('01_Вводные'!$B$239="Да",MeanMinAge11+'19_Расчет_аналитики'!AC1571*SUMIF(ThresholdAge11,"&lt;"&amp;'19_Расчет_аналитики'!AC1571,WeightedRevAge11)-SUMIF(ThresholdAge11,"&lt;"&amp;'19_Расчет_аналитики'!AC1571,WeightedMinAge11),MAX(CapacityAge11*'01_Вводные'!$B$218*'19_Расчет_аналитики'!AC1571,MeanMinAge11)))</f>
        <v/>
      </c>
      <c r="AD1486">
        <f>IF(OR('19_Расчет_аналитики'!AD1458=0,11&lt;='01_Вводные'!$B$297),0,'19_Расчет_аналитики'!AD1458*IF('01_Вводные'!$B$239="Да",MeanMinAge11+'19_Расчет_аналитики'!AD1571*SUMIF(ThresholdAge11,"&lt;"&amp;'19_Расчет_аналитики'!AD1571,WeightedRevAge11)-SUMIF(ThresholdAge11,"&lt;"&amp;'19_Расчет_аналитики'!AD1571,WeightedMinAge11),MAX(CapacityAge11*'01_Вводные'!$B$218*'19_Расчет_аналитики'!AD1571,MeanMinAge11)))</f>
        <v/>
      </c>
      <c r="AE1486">
        <f>IF(OR('19_Расчет_аналитики'!AE1458=0,11&lt;='01_Вводные'!$B$297),0,'19_Расчет_аналитики'!AE1458*IF('01_Вводные'!$B$239="Да",MeanMinAge11+'19_Расчет_аналитики'!AE1571*SUMIF(ThresholdAge11,"&lt;"&amp;'19_Расчет_аналитики'!AE1571,WeightedRevAge11)-SUMIF(ThresholdAge11,"&lt;"&amp;'19_Расчет_аналитики'!AE1571,WeightedMinAge11),MAX(CapacityAge11*'01_Вводные'!$B$218*'19_Расчет_аналитики'!AE1571,MeanMinAge11)))</f>
        <v/>
      </c>
      <c r="AF1486">
        <f>IF(OR('19_Расчет_аналитики'!AF1458=0,11&lt;='01_Вводные'!$B$297),0,'19_Расчет_аналитики'!AF1458*IF('01_Вводные'!$B$239="Да",MeanMinAge11+'19_Расчет_аналитики'!AF1571*SUMIF(ThresholdAge11,"&lt;"&amp;'19_Расчет_аналитики'!AF1571,WeightedRevAge11)-SUMIF(ThresholdAge11,"&lt;"&amp;'19_Расчет_аналитики'!AF1571,WeightedMinAge11),MAX(CapacityAge11*'01_Вводные'!$B$218*'19_Расчет_аналитики'!AF1571,MeanMinAge11)))</f>
        <v/>
      </c>
      <c r="AG1486">
        <f>IF(OR('19_Расчет_аналитики'!AG1458=0,11&lt;='01_Вводные'!$B$297),0,'19_Расчет_аналитики'!AG1458*IF('01_Вводные'!$B$239="Да",MeanMinAge11+'19_Расчет_аналитики'!AG1571*SUMIF(ThresholdAge11,"&lt;"&amp;'19_Расчет_аналитики'!AG1571,WeightedRevAge11)-SUMIF(ThresholdAge11,"&lt;"&amp;'19_Расчет_аналитики'!AG1571,WeightedMinAge11),MAX(CapacityAge11*'01_Вводные'!$B$218*'19_Расчет_аналитики'!AG1571,MeanMinAge11)))</f>
        <v/>
      </c>
      <c r="AH1486">
        <f>IF(OR('19_Расчет_аналитики'!AH1458=0,11&lt;='01_Вводные'!$B$297),0,'19_Расчет_аналитики'!AH1458*IF('01_Вводные'!$B$239="Да",MeanMinAge11+'19_Расчет_аналитики'!AH1571*SUMIF(ThresholdAge11,"&lt;"&amp;'19_Расчет_аналитики'!AH1571,WeightedRevAge11)-SUMIF(ThresholdAge11,"&lt;"&amp;'19_Расчет_аналитики'!AH1571,WeightedMinAge11),MAX(CapacityAge11*'01_Вводные'!$B$218*'19_Расчет_аналитики'!AH1571,MeanMinAge11)))</f>
        <v/>
      </c>
      <c r="AI1486">
        <f>IF(OR('19_Расчет_аналитики'!AI1458=0,11&lt;='01_Вводные'!$B$297),0,'19_Расчет_аналитики'!AI1458*IF('01_Вводные'!$B$239="Да",MeanMinAge11+'19_Расчет_аналитики'!AI1571*SUMIF(ThresholdAge11,"&lt;"&amp;'19_Расчет_аналитики'!AI1571,WeightedRevAge11)-SUMIF(ThresholdAge11,"&lt;"&amp;'19_Расчет_аналитики'!AI1571,WeightedMinAge11),MAX(CapacityAge11*'01_Вводные'!$B$218*'19_Расчет_аналитики'!AI1571,MeanMinAge11)))</f>
        <v/>
      </c>
      <c r="AJ1486">
        <f>IF(OR('19_Расчет_аналитики'!AJ1458=0,11&lt;='01_Вводные'!$B$297),0,'19_Расчет_аналитики'!AJ1458*IF('01_Вводные'!$B$239="Да",MeanMinAge11+'19_Расчет_аналитики'!AJ1571*SUMIF(ThresholdAge11,"&lt;"&amp;'19_Расчет_аналитики'!AJ1571,WeightedRevAge11)-SUMIF(ThresholdAge11,"&lt;"&amp;'19_Расчет_аналитики'!AJ1571,WeightedMinAge11),MAX(CapacityAge11*'01_Вводные'!$B$218*'19_Расчет_аналитики'!AJ1571,MeanMinAge11)))</f>
        <v/>
      </c>
      <c r="AK1486">
        <f>IF(OR('19_Расчет_аналитики'!AK1458=0,11&lt;='01_Вводные'!$B$297),0,'19_Расчет_аналитики'!AK1458*IF('01_Вводные'!$B$239="Да",MeanMinAge11+'19_Расчет_аналитики'!AK1571*SUMIF(ThresholdAge11,"&lt;"&amp;'19_Расчет_аналитики'!AK1571,WeightedRevAge11)-SUMIF(ThresholdAge11,"&lt;"&amp;'19_Расчет_аналитики'!AK1571,WeightedMinAge11),MAX(CapacityAge11*'01_Вводные'!$B$218*'19_Расчет_аналитики'!AK1571,MeanMinAge11)))</f>
        <v/>
      </c>
      <c r="AL1486">
        <f>IF(OR('19_Расчет_аналитики'!AL1458=0,11&lt;='01_Вводные'!$B$297),0,'19_Расчет_аналитики'!AL1458*IF('01_Вводные'!$B$239="Да",MeanMinAge11+'19_Расчет_аналитики'!AL1571*SUMIF(ThresholdAge11,"&lt;"&amp;'19_Расчет_аналитики'!AL1571,WeightedRevAge11)-SUMIF(ThresholdAge11,"&lt;"&amp;'19_Расчет_аналитики'!AL1571,WeightedMinAge11),MAX(CapacityAge11*'01_Вводные'!$B$218*'19_Расчет_аналитики'!AL1571,MeanMinAge11)))</f>
        <v/>
      </c>
      <c r="AM1486">
        <f>IF(OR('19_Расчет_аналитики'!AM1458=0,11&lt;='01_Вводные'!$B$297),0,'19_Расчет_аналитики'!AM1458*IF('01_Вводные'!$B$239="Да",MeanMinAge11+'19_Расчет_аналитики'!AM1571*SUMIF(ThresholdAge11,"&lt;"&amp;'19_Расчет_аналитики'!AM1571,WeightedRevAge11)-SUMIF(ThresholdAge11,"&lt;"&amp;'19_Расчет_аналитики'!AM1571,WeightedMinAge11),MAX(CapacityAge11*'01_Вводные'!$B$218*'19_Расчет_аналитики'!AM1571,MeanMinAge11)))</f>
        <v/>
      </c>
      <c r="AN1486">
        <f>IF(OR('19_Расчет_аналитики'!AN1458=0,11&lt;='01_Вводные'!$B$297),0,'19_Расчет_аналитики'!AN1458*IF('01_Вводные'!$B$239="Да",MeanMinAge11+'19_Расчет_аналитики'!AN1571*SUMIF(ThresholdAge11,"&lt;"&amp;'19_Расчет_аналитики'!AN1571,WeightedRevAge11)-SUMIF(ThresholdAge11,"&lt;"&amp;'19_Расчет_аналитики'!AN1571,WeightedMinAge11),MAX(CapacityAge11*'01_Вводные'!$B$218*'19_Расчет_аналитики'!AN1571,MeanMinAge11)))</f>
        <v/>
      </c>
      <c r="AO1486">
        <f>IF(OR('19_Расчет_аналитики'!AO1458=0,11&lt;='01_Вводные'!$B$297),0,'19_Расчет_аналитики'!AO1458*IF('01_Вводные'!$B$239="Да",MeanMinAge11+'19_Расчет_аналитики'!AO1571*SUMIF(ThresholdAge11,"&lt;"&amp;'19_Расчет_аналитики'!AO1571,WeightedRevAge11)-SUMIF(ThresholdAge11,"&lt;"&amp;'19_Расчет_аналитики'!AO1571,WeightedMinAge11),MAX(CapacityAge11*'01_Вводные'!$B$218*'19_Расчет_аналитики'!AO1571,MeanMinAge11)))</f>
        <v/>
      </c>
      <c r="AP1486">
        <f>IF(OR('19_Расчет_аналитики'!AP1458=0,11&lt;='01_Вводные'!$B$297),0,'19_Расчет_аналитики'!AP1458*IF('01_Вводные'!$B$239="Да",MeanMinAge11+'19_Расчет_аналитики'!AP1571*SUMIF(ThresholdAge11,"&lt;"&amp;'19_Расчет_аналитики'!AP1571,WeightedRevAge11)-SUMIF(ThresholdAge11,"&lt;"&amp;'19_Расчет_аналитики'!AP1571,WeightedMinAge11),MAX(CapacityAge11*'01_Вводные'!$B$218*'19_Расчет_аналитики'!AP1571,MeanMinAge11)))</f>
        <v/>
      </c>
      <c r="AQ1486">
        <f>IF(OR('19_Расчет_аналитики'!AQ1458=0,11&lt;='01_Вводные'!$B$297),0,'19_Расчет_аналитики'!AQ1458*IF('01_Вводные'!$B$239="Да",MeanMinAge11+'19_Расчет_аналитики'!AQ1571*SUMIF(ThresholdAge11,"&lt;"&amp;'19_Расчет_аналитики'!AQ1571,WeightedRevAge11)-SUMIF(ThresholdAge11,"&lt;"&amp;'19_Расчет_аналитики'!AQ1571,WeightedMinAge11),MAX(CapacityAge11*'01_Вводные'!$B$218*'19_Расчет_аналитики'!AQ1571,MeanMinAge11)))</f>
        <v/>
      </c>
      <c r="AR1486">
        <f>IF(OR('19_Расчет_аналитики'!AR1458=0,11&lt;='01_Вводные'!$B$297),0,'19_Расчет_аналитики'!AR1458*IF('01_Вводные'!$B$239="Да",MeanMinAge11+'19_Расчет_аналитики'!AR1571*SUMIF(ThresholdAge11,"&lt;"&amp;'19_Расчет_аналитики'!AR1571,WeightedRevAge11)-SUMIF(ThresholdAge11,"&lt;"&amp;'19_Расчет_аналитики'!AR1571,WeightedMinAge11),MAX(CapacityAge11*'01_Вводные'!$B$218*'19_Расчет_аналитики'!AR1571,MeanMinAge11)))</f>
        <v/>
      </c>
      <c r="AS1486">
        <f>IF(OR('19_Расчет_аналитики'!AS1458=0,11&lt;='01_Вводные'!$B$297),0,'19_Расчет_аналитики'!AS1458*IF('01_Вводные'!$B$239="Да",MeanMinAge11+'19_Расчет_аналитики'!AS1571*SUMIF(ThresholdAge11,"&lt;"&amp;'19_Расчет_аналитики'!AS1571,WeightedRevAge11)-SUMIF(ThresholdAge11,"&lt;"&amp;'19_Расчет_аналитики'!AS1571,WeightedMinAge11),MAX(CapacityAge11*'01_Вводные'!$B$218*'19_Расчет_аналитики'!AS1571,MeanMinAge11)))</f>
        <v/>
      </c>
      <c r="AT1486">
        <f>IF(OR('19_Расчет_аналитики'!AT1458=0,11&lt;='01_Вводные'!$B$297),0,'19_Расчет_аналитики'!AT1458*IF('01_Вводные'!$B$239="Да",MeanMinAge11+'19_Расчет_аналитики'!AT1571*SUMIF(ThresholdAge11,"&lt;"&amp;'19_Расчет_аналитики'!AT1571,WeightedRevAge11)-SUMIF(ThresholdAge11,"&lt;"&amp;'19_Расчет_аналитики'!AT1571,WeightedMinAge11),MAX(CapacityAge11*'01_Вводные'!$B$218*'19_Расчет_аналитики'!AT1571,MeanMinAge11)))</f>
        <v/>
      </c>
      <c r="AU1486">
        <f>IF(OR('19_Расчет_аналитики'!AU1458=0,11&lt;='01_Вводные'!$B$297),0,'19_Расчет_аналитики'!AU1458*IF('01_Вводные'!$B$239="Да",MeanMinAge11+'19_Расчет_аналитики'!AU1571*SUMIF(ThresholdAge11,"&lt;"&amp;'19_Расчет_аналитики'!AU1571,WeightedRevAge11)-SUMIF(ThresholdAge11,"&lt;"&amp;'19_Расчет_аналитики'!AU1571,WeightedMinAge11),MAX(CapacityAge11*'01_Вводные'!$B$218*'19_Расчет_аналитики'!AU1571,MeanMinAge11)))</f>
        <v/>
      </c>
      <c r="AV1486">
        <f>IF(OR('19_Расчет_аналитики'!AV1458=0,11&lt;='01_Вводные'!$B$297),0,'19_Расчет_аналитики'!AV1458*IF('01_Вводные'!$B$239="Да",MeanMinAge11+'19_Расчет_аналитики'!AV1571*SUMIF(ThresholdAge11,"&lt;"&amp;'19_Расчет_аналитики'!AV1571,WeightedRevAge11)-SUMIF(ThresholdAge11,"&lt;"&amp;'19_Расчет_аналитики'!AV1571,WeightedMinAge11),MAX(CapacityAge11*'01_Вводные'!$B$218*'19_Расчет_аналитики'!AV1571,MeanMinAge11)))</f>
        <v/>
      </c>
      <c r="AW1486">
        <f>IF(OR('19_Расчет_аналитики'!AW1458=0,11&lt;='01_Вводные'!$B$297),0,'19_Расчет_аналитики'!AW1458*IF('01_Вводные'!$B$239="Да",MeanMinAge11+'19_Расчет_аналитики'!AW1571*SUMIF(ThresholdAge11,"&lt;"&amp;'19_Расчет_аналитики'!AW1571,WeightedRevAge11)-SUMIF(ThresholdAge11,"&lt;"&amp;'19_Расчет_аналитики'!AW1571,WeightedMinAge11),MAX(CapacityAge11*'01_Вводные'!$B$218*'19_Расчет_аналитики'!AW1571,MeanMinAge11)))</f>
        <v/>
      </c>
      <c r="AX1486">
        <f>IF(OR('19_Расчет_аналитики'!AX1458=0,11&lt;='01_Вводные'!$B$297),0,'19_Расчет_аналитики'!AX1458*IF('01_Вводные'!$B$239="Да",MeanMinAge11+'19_Расчет_аналитики'!AX1571*SUMIF(ThresholdAge11,"&lt;"&amp;'19_Расчет_аналитики'!AX1571,WeightedRevAge11)-SUMIF(ThresholdAge11,"&lt;"&amp;'19_Расчет_аналитики'!AX1571,WeightedMinAge11),MAX(CapacityAge11*'01_Вводные'!$B$218*'19_Расчет_аналитики'!AX1571,MeanMinAge11)))</f>
        <v/>
      </c>
      <c r="AY1486">
        <f>IF(OR('19_Расчет_аналитики'!AY1458=0,11&lt;='01_Вводные'!$B$297),0,'19_Расчет_аналитики'!AY1458*IF('01_Вводные'!$B$239="Да",MeanMinAge11+'19_Расчет_аналитики'!AY1571*SUMIF(ThresholdAge11,"&lt;"&amp;'19_Расчет_аналитики'!AY1571,WeightedRevAge11)-SUMIF(ThresholdAge11,"&lt;"&amp;'19_Расчет_аналитики'!AY1571,WeightedMinAge11),MAX(CapacityAge11*'01_Вводные'!$B$218*'19_Расчет_аналитики'!AY1571,MeanMinAge11)))</f>
        <v/>
      </c>
      <c r="AZ1486">
        <f>IF(OR('19_Расчет_аналитики'!AZ1458=0,11&lt;='01_Вводные'!$B$297),0,'19_Расчет_аналитики'!AZ1458*IF('01_Вводные'!$B$239="Да",MeanMinAge11+'19_Расчет_аналитики'!AZ1571*SUMIF(ThresholdAge11,"&lt;"&amp;'19_Расчет_аналитики'!AZ1571,WeightedRevAge11)-SUMIF(ThresholdAge11,"&lt;"&amp;'19_Расчет_аналитики'!AZ1571,WeightedMinAge11),MAX(CapacityAge11*'01_Вводные'!$B$218*'19_Расчет_аналитики'!AZ1571,MeanMinAge11)))</f>
        <v/>
      </c>
      <c r="BA1486">
        <f>IF(OR('19_Расчет_аналитики'!BA1458=0,11&lt;='01_Вводные'!$B$297),0,'19_Расчет_аналитики'!BA1458*IF('01_Вводные'!$B$239="Да",MeanMinAge11+'19_Расчет_аналитики'!BA1571*SUMIF(ThresholdAge11,"&lt;"&amp;'19_Расчет_аналитики'!BA1571,WeightedRevAge11)-SUMIF(ThresholdAge11,"&lt;"&amp;'19_Расчет_аналитики'!BA1571,WeightedMinAge11),MAX(CapacityAge11*'01_Вводные'!$B$218*'19_Расчет_аналитики'!BA1571,MeanMinAge11)))</f>
        <v/>
      </c>
      <c r="BB1486">
        <f>IF(OR('19_Расчет_аналитики'!BB1458=0,11&lt;='01_Вводные'!$B$297),0,'19_Расчет_аналитики'!BB1458*IF('01_Вводные'!$B$239="Да",MeanMinAge11+'19_Расчет_аналитики'!BB1571*SUMIF(ThresholdAge11,"&lt;"&amp;'19_Расчет_аналитики'!BB1571,WeightedRevAge11)-SUMIF(ThresholdAge11,"&lt;"&amp;'19_Расчет_аналитики'!BB1571,WeightedMinAge11),MAX(CapacityAge11*'01_Вводные'!$B$218*'19_Расчет_аналитики'!BB1571,MeanMinAge11)))</f>
        <v/>
      </c>
      <c r="BC1486">
        <f>IF(OR('19_Расчет_аналитики'!BC1458=0,11&lt;='01_Вводные'!$B$297),0,'19_Расчет_аналитики'!BC1458*IF('01_Вводные'!$B$239="Да",MeanMinAge11+'19_Расчет_аналитики'!BC1571*SUMIF(ThresholdAge11,"&lt;"&amp;'19_Расчет_аналитики'!BC1571,WeightedRevAge11)-SUMIF(ThresholdAge11,"&lt;"&amp;'19_Расчет_аналитики'!BC1571,WeightedMinAge11),MAX(CapacityAge11*'01_Вводные'!$B$218*'19_Расчет_аналитики'!BC1571,MeanMinAge11)))</f>
        <v/>
      </c>
      <c r="BD1486">
        <f>IF(OR('19_Расчет_аналитики'!BD1458=0,11&lt;='01_Вводные'!$B$297),0,'19_Расчет_аналитики'!BD1458*IF('01_Вводные'!$B$239="Да",MeanMinAge11+'19_Расчет_аналитики'!BD1571*SUMIF(ThresholdAge11,"&lt;"&amp;'19_Расчет_аналитики'!BD1571,WeightedRevAge11)-SUMIF(ThresholdAge11,"&lt;"&amp;'19_Расчет_аналитики'!BD1571,WeightedMinAge11),MAX(CapacityAge11*'01_Вводные'!$B$218*'19_Расчет_аналитики'!BD1571,MeanMinAge11)))</f>
        <v/>
      </c>
      <c r="BE1486">
        <f>IF(OR('19_Расчет_аналитики'!BE1458=0,11&lt;='01_Вводные'!$B$297),0,'19_Расчет_аналитики'!BE1458*IF('01_Вводные'!$B$239="Да",MeanMinAge11+'19_Расчет_аналитики'!BE1571*SUMIF(ThresholdAge11,"&lt;"&amp;'19_Расчет_аналитики'!BE1571,WeightedRevAge11)-SUMIF(ThresholdAge11,"&lt;"&amp;'19_Расчет_аналитики'!BE1571,WeightedMinAge11),MAX(CapacityAge11*'01_Вводные'!$B$218*'19_Расчет_аналитики'!BE1571,MeanMinAge11)))</f>
        <v/>
      </c>
      <c r="BF1486">
        <f>IF(OR('19_Расчет_аналитики'!BF1458=0,11&lt;='01_Вводные'!$B$297),0,'19_Расчет_аналитики'!BF1458*IF('01_Вводные'!$B$239="Да",MeanMinAge11+'19_Расчет_аналитики'!BF1571*SUMIF(ThresholdAge11,"&lt;"&amp;'19_Расчет_аналитики'!BF1571,WeightedRevAge11)-SUMIF(ThresholdAge11,"&lt;"&amp;'19_Расчет_аналитики'!BF1571,WeightedMinAge11),MAX(CapacityAge11*'01_Вводные'!$B$218*'19_Расчет_аналитики'!BF1571,MeanMinAge11)))</f>
        <v/>
      </c>
      <c r="BG1486">
        <f>IF(OR('19_Расчет_аналитики'!BG1458=0,11&lt;='01_Вводные'!$B$297),0,'19_Расчет_аналитики'!BG1458*IF('01_Вводные'!$B$239="Да",MeanMinAge11+'19_Расчет_аналитики'!BG1571*SUMIF(ThresholdAge11,"&lt;"&amp;'19_Расчет_аналитики'!BG1571,WeightedRevAge11)-SUMIF(ThresholdAge11,"&lt;"&amp;'19_Расчет_аналитики'!BG1571,WeightedMinAge11),MAX(CapacityAge11*'01_Вводные'!$B$218*'19_Расчет_аналитики'!BG1571,MeanMinAge11)))</f>
        <v/>
      </c>
      <c r="BH1486">
        <f>IF(OR('19_Расчет_аналитики'!BH1458=0,11&lt;='01_Вводные'!$B$297),0,'19_Расчет_аналитики'!BH1458*IF('01_Вводные'!$B$239="Да",MeanMinAge11+'19_Расчет_аналитики'!BH1571*SUMIF(ThresholdAge11,"&lt;"&amp;'19_Расчет_аналитики'!BH1571,WeightedRevAge11)-SUMIF(ThresholdAge11,"&lt;"&amp;'19_Расчет_аналитики'!BH1571,WeightedMinAge11),MAX(CapacityAge11*'01_Вводные'!$B$218*'19_Расчет_аналитики'!BH1571,MeanMinAge11)))</f>
        <v/>
      </c>
      <c r="BI1486">
        <f>IF(OR('19_Расчет_аналитики'!BI1458=0,11&lt;='01_Вводные'!$B$297),0,'19_Расчет_аналитики'!BI1458*IF('01_Вводные'!$B$239="Да",MeanMinAge11+'19_Расчет_аналитики'!BI1571*SUMIF(ThresholdAge11,"&lt;"&amp;'19_Расчет_аналитики'!BI1571,WeightedRevAge11)-SUMIF(ThresholdAge11,"&lt;"&amp;'19_Расчет_аналитики'!BI1571,WeightedMinAge11),MAX(CapacityAge11*'01_Вводные'!$B$218*'19_Расчет_аналитики'!BI1571,MeanMinAge11)))</f>
        <v/>
      </c>
      <c r="BJ1486">
        <f>IF(OR('19_Расчет_аналитики'!BJ1458=0,11&lt;='01_Вводные'!$B$297),0,'19_Расчет_аналитики'!BJ1458*IF('01_Вводные'!$B$239="Да",MeanMinAge11+'19_Расчет_аналитики'!BJ1571*SUMIF(ThresholdAge11,"&lt;"&amp;'19_Расчет_аналитики'!BJ1571,WeightedRevAge11)-SUMIF(ThresholdAge11,"&lt;"&amp;'19_Расчет_аналитики'!BJ1571,WeightedMinAge11),MAX(CapacityAge11*'01_Вводные'!$B$218*'19_Расчет_аналитики'!BJ1571,MeanMinAge11)))</f>
        <v/>
      </c>
      <c r="BK1486">
        <f>IF(OR('19_Расчет_аналитики'!BK1458=0,11&lt;='01_Вводные'!$B$297),0,'19_Расчет_аналитики'!BK1458*IF('01_Вводные'!$B$239="Да",MeanMinAge11+'19_Расчет_аналитики'!BK1571*SUMIF(ThresholdAge11,"&lt;"&amp;'19_Расчет_аналитики'!BK1571,WeightedRevAge11)-SUMIF(ThresholdAge11,"&lt;"&amp;'19_Расчет_аналитики'!BK1571,WeightedMinAge11),MAX(CapacityAge11*'01_Вводные'!$B$218*'19_Расчет_аналитики'!BK1571,MeanMinAge11)))</f>
        <v/>
      </c>
      <c r="BL1486">
        <f>IF(OR('19_Расчет_аналитики'!BL1458=0,11&lt;='01_Вводные'!$B$297),0,'19_Расчет_аналитики'!BL1458*IF('01_Вводные'!$B$239="Да",MeanMinAge11+'19_Расчет_аналитики'!BL1571*SUMIF(ThresholdAge11,"&lt;"&amp;'19_Расчет_аналитики'!BL1571,WeightedRevAge11)-SUMIF(ThresholdAge11,"&lt;"&amp;'19_Расчет_аналитики'!BL1571,WeightedMinAge11),MAX(CapacityAge11*'01_Вводные'!$B$218*'19_Расчет_аналитики'!BL1571,MeanMinAge11)))</f>
        <v/>
      </c>
      <c r="BM1486">
        <f>IF(OR('19_Расчет_аналитики'!BM1458=0,11&lt;='01_Вводные'!$B$297),0,'19_Расчет_аналитики'!BM1458*IF('01_Вводные'!$B$239="Да",MeanMinAge11+'19_Расчет_аналитики'!BM1571*SUMIF(ThresholdAge11,"&lt;"&amp;'19_Расчет_аналитики'!BM1571,WeightedRevAge11)-SUMIF(ThresholdAge11,"&lt;"&amp;'19_Расчет_аналитики'!BM1571,WeightedMinAge11),MAX(CapacityAge11*'01_Вводные'!$B$218*'19_Расчет_аналитики'!BM1571,MeanMinAge11)))</f>
        <v/>
      </c>
      <c r="BN1486">
        <f>IF(OR('19_Расчет_аналитики'!BN1458=0,11&lt;='01_Вводные'!$B$297),0,'19_Расчет_аналитики'!BN1458*IF('01_Вводные'!$B$239="Да",MeanMinAge11+'19_Расчет_аналитики'!BN1571*SUMIF(ThresholdAge11,"&lt;"&amp;'19_Расчет_аналитики'!BN1571,WeightedRevAge11)-SUMIF(ThresholdAge11,"&lt;"&amp;'19_Расчет_аналитики'!BN1571,WeightedMinAge11),MAX(CapacityAge11*'01_Вводные'!$B$218*'19_Расчет_аналитики'!BN1571,MeanMinAge11)))</f>
        <v/>
      </c>
      <c r="BO1486">
        <f>IF(OR('19_Расчет_аналитики'!BO1458=0,11&lt;='01_Вводные'!$B$297),0,'19_Расчет_аналитики'!BO1458*IF('01_Вводные'!$B$239="Да",MeanMinAge11+'19_Расчет_аналитики'!BO1571*SUMIF(ThresholdAge11,"&lt;"&amp;'19_Расчет_аналитики'!BO1571,WeightedRevAge11)-SUMIF(ThresholdAge11,"&lt;"&amp;'19_Расчет_аналитики'!BO1571,WeightedMinAge11),MAX(CapacityAge11*'01_Вводные'!$B$218*'19_Расчет_аналитики'!BO1571,MeanMinAge11)))</f>
        <v/>
      </c>
    </row>
    <row r="1487">
      <c r="B1487">
        <f>IF(OR('06_Сеть_и_дети'!B92=0,12&lt;='01_Вводные'!$B$297),0,'06_Сеть_и_дети'!B92*IF('01_Вводные'!$B$239="Да",MeanMinAge12+'19_Расчет_аналитики'!B1571*SUMIF(ThresholdAge12,"&lt;"&amp;'19_Расчет_аналитики'!B1571,WeightedRevAge12)-SUMIF(ThresholdAge12,"&lt;"&amp;'19_Расчет_аналитики'!B1571,WeightedMinAge12),MAX(CapacityAge12*'01_Вводные'!$B$218*'19_Расчет_аналитики'!B1571,MeanMinAge12)))</f>
        <v/>
      </c>
      <c r="C1487">
        <f>IF(OR('06_Сеть_и_дети'!C92=0,12&lt;='01_Вводные'!$B$297),0,'06_Сеть_и_дети'!C92*IF('01_Вводные'!$B$239="Да",MeanMinAge12+'19_Расчет_аналитики'!C1571*SUMIF(ThresholdAge12,"&lt;"&amp;'19_Расчет_аналитики'!C1571,WeightedRevAge12)-SUMIF(ThresholdAge12,"&lt;"&amp;'19_Расчет_аналитики'!C1571,WeightedMinAge12),MAX(CapacityAge12*'01_Вводные'!$B$218*'19_Расчет_аналитики'!C1571,MeanMinAge12)))</f>
        <v/>
      </c>
      <c r="D1487">
        <f>IF(OR('06_Сеть_и_дети'!D92=0,12&lt;='01_Вводные'!$B$297),0,'06_Сеть_и_дети'!D92*IF('01_Вводные'!$B$239="Да",MeanMinAge12+'19_Расчет_аналитики'!D1571*SUMIF(ThresholdAge12,"&lt;"&amp;'19_Расчет_аналитики'!D1571,WeightedRevAge12)-SUMIF(ThresholdAge12,"&lt;"&amp;'19_Расчет_аналитики'!D1571,WeightedMinAge12),MAX(CapacityAge12*'01_Вводные'!$B$218*'19_Расчет_аналитики'!D1571,MeanMinAge12)))</f>
        <v/>
      </c>
      <c r="E1487">
        <f>IF(OR('06_Сеть_и_дети'!E92=0,12&lt;='01_Вводные'!$B$297),0,'06_Сеть_и_дети'!E92*IF('01_Вводные'!$B$239="Да",MeanMinAge12+'19_Расчет_аналитики'!E1571*SUMIF(ThresholdAge12,"&lt;"&amp;'19_Расчет_аналитики'!E1571,WeightedRevAge12)-SUMIF(ThresholdAge12,"&lt;"&amp;'19_Расчет_аналитики'!E1571,WeightedMinAge12),MAX(CapacityAge12*'01_Вводные'!$B$218*'19_Расчет_аналитики'!E1571,MeanMinAge12)))</f>
        <v/>
      </c>
      <c r="F1487">
        <f>IF(OR('06_Сеть_и_дети'!F92=0,12&lt;='01_Вводные'!$B$297),0,'06_Сеть_и_дети'!F92*IF('01_Вводные'!$B$239="Да",MeanMinAge12+'19_Расчет_аналитики'!F1571*SUMIF(ThresholdAge12,"&lt;"&amp;'19_Расчет_аналитики'!F1571,WeightedRevAge12)-SUMIF(ThresholdAge12,"&lt;"&amp;'19_Расчет_аналитики'!F1571,WeightedMinAge12),MAX(CapacityAge12*'01_Вводные'!$B$218*'19_Расчет_аналитики'!F1571,MeanMinAge12)))</f>
        <v/>
      </c>
      <c r="G1487">
        <f>IF(OR('06_Сеть_и_дети'!G92=0,12&lt;='01_Вводные'!$B$297),0,'06_Сеть_и_дети'!G92*IF('01_Вводные'!$B$239="Да",MeanMinAge12+'19_Расчет_аналитики'!G1571*SUMIF(ThresholdAge12,"&lt;"&amp;'19_Расчет_аналитики'!G1571,WeightedRevAge12)-SUMIF(ThresholdAge12,"&lt;"&amp;'19_Расчет_аналитики'!G1571,WeightedMinAge12),MAX(CapacityAge12*'01_Вводные'!$B$218*'19_Расчет_аналитики'!G1571,MeanMinAge12)))</f>
        <v/>
      </c>
      <c r="H1487">
        <f>IF(OR('06_Сеть_и_дети'!H92=0,12&lt;='01_Вводные'!$B$297),0,'06_Сеть_и_дети'!H92*IF('01_Вводные'!$B$239="Да",MeanMinAge12+'19_Расчет_аналитики'!H1571*SUMIF(ThresholdAge12,"&lt;"&amp;'19_Расчет_аналитики'!H1571,WeightedRevAge12)-SUMIF(ThresholdAge12,"&lt;"&amp;'19_Расчет_аналитики'!H1571,WeightedMinAge12),MAX(CapacityAge12*'01_Вводные'!$B$218*'19_Расчет_аналитики'!H1571,MeanMinAge12)))</f>
        <v/>
      </c>
      <c r="I1487">
        <f>IF(OR('06_Сеть_и_дети'!I92=0,12&lt;='01_Вводные'!$B$297),0,'06_Сеть_и_дети'!I92*IF('01_Вводные'!$B$239="Да",MeanMinAge12+'19_Расчет_аналитики'!I1571*SUMIF(ThresholdAge12,"&lt;"&amp;'19_Расчет_аналитики'!I1571,WeightedRevAge12)-SUMIF(ThresholdAge12,"&lt;"&amp;'19_Расчет_аналитики'!I1571,WeightedMinAge12),MAX(CapacityAge12*'01_Вводные'!$B$218*'19_Расчет_аналитики'!I1571,MeanMinAge12)))</f>
        <v/>
      </c>
      <c r="J1487">
        <f>IF(OR('06_Сеть_и_дети'!J92=0,12&lt;='01_Вводные'!$B$297),0,'06_Сеть_и_дети'!J92*IF('01_Вводные'!$B$239="Да",MeanMinAge12+'19_Расчет_аналитики'!J1571*SUMIF(ThresholdAge12,"&lt;"&amp;'19_Расчет_аналитики'!J1571,WeightedRevAge12)-SUMIF(ThresholdAge12,"&lt;"&amp;'19_Расчет_аналитики'!J1571,WeightedMinAge12),MAX(CapacityAge12*'01_Вводные'!$B$218*'19_Расчет_аналитики'!J1571,MeanMinAge12)))</f>
        <v/>
      </c>
      <c r="K1487">
        <f>IF(OR('06_Сеть_и_дети'!K92=0,12&lt;='01_Вводные'!$B$297),0,'06_Сеть_и_дети'!K92*IF('01_Вводные'!$B$239="Да",MeanMinAge12+'19_Расчет_аналитики'!K1571*SUMIF(ThresholdAge12,"&lt;"&amp;'19_Расчет_аналитики'!K1571,WeightedRevAge12)-SUMIF(ThresholdAge12,"&lt;"&amp;'19_Расчет_аналитики'!K1571,WeightedMinAge12),MAX(CapacityAge12*'01_Вводные'!$B$218*'19_Расчет_аналитики'!K1571,MeanMinAge12)))</f>
        <v/>
      </c>
      <c r="L1487">
        <f>IF(OR('06_Сеть_и_дети'!L92=0,12&lt;='01_Вводные'!$B$297),0,'06_Сеть_и_дети'!L92*IF('01_Вводные'!$B$239="Да",MeanMinAge12+'19_Расчет_аналитики'!L1571*SUMIF(ThresholdAge12,"&lt;"&amp;'19_Расчет_аналитики'!L1571,WeightedRevAge12)-SUMIF(ThresholdAge12,"&lt;"&amp;'19_Расчет_аналитики'!L1571,WeightedMinAge12),MAX(CapacityAge12*'01_Вводные'!$B$218*'19_Расчет_аналитики'!L1571,MeanMinAge12)))</f>
        <v/>
      </c>
      <c r="M1487">
        <f>IF(OR('19_Расчет_аналитики'!M1459=0,12&lt;='01_Вводные'!$B$297),0,'19_Расчет_аналитики'!M1459*IF('01_Вводные'!$B$239="Да",MeanMinAge12+'19_Расчет_аналитики'!M1571*SUMIF(ThresholdAge12,"&lt;"&amp;'19_Расчет_аналитики'!M1571,WeightedRevAge12)-SUMIF(ThresholdAge12,"&lt;"&amp;'19_Расчет_аналитики'!M1571,WeightedMinAge12),MAX(CapacityAge12*'01_Вводные'!$B$218*'19_Расчет_аналитики'!M1571,MeanMinAge12)))</f>
        <v/>
      </c>
      <c r="N1487">
        <f>IF(OR('19_Расчет_аналитики'!N1459=0,12&lt;='01_Вводные'!$B$297),0,'19_Расчет_аналитики'!N1459*IF('01_Вводные'!$B$239="Да",MeanMinAge12+'19_Расчет_аналитики'!N1571*SUMIF(ThresholdAge12,"&lt;"&amp;'19_Расчет_аналитики'!N1571,WeightedRevAge12)-SUMIF(ThresholdAge12,"&lt;"&amp;'19_Расчет_аналитики'!N1571,WeightedMinAge12),MAX(CapacityAge12*'01_Вводные'!$B$218*'19_Расчет_аналитики'!N1571,MeanMinAge12)))</f>
        <v/>
      </c>
      <c r="O1487">
        <f>IF(OR('19_Расчет_аналитики'!O1459=0,12&lt;='01_Вводные'!$B$297),0,'19_Расчет_аналитики'!O1459*IF('01_Вводные'!$B$239="Да",MeanMinAge12+'19_Расчет_аналитики'!O1571*SUMIF(ThresholdAge12,"&lt;"&amp;'19_Расчет_аналитики'!O1571,WeightedRevAge12)-SUMIF(ThresholdAge12,"&lt;"&amp;'19_Расчет_аналитики'!O1571,WeightedMinAge12),MAX(CapacityAge12*'01_Вводные'!$B$218*'19_Расчет_аналитики'!O1571,MeanMinAge12)))</f>
        <v/>
      </c>
      <c r="P1487">
        <f>IF(OR('19_Расчет_аналитики'!P1459=0,12&lt;='01_Вводные'!$B$297),0,'19_Расчет_аналитики'!P1459*IF('01_Вводные'!$B$239="Да",MeanMinAge12+'19_Расчет_аналитики'!P1571*SUMIF(ThresholdAge12,"&lt;"&amp;'19_Расчет_аналитики'!P1571,WeightedRevAge12)-SUMIF(ThresholdAge12,"&lt;"&amp;'19_Расчет_аналитики'!P1571,WeightedMinAge12),MAX(CapacityAge12*'01_Вводные'!$B$218*'19_Расчет_аналитики'!P1571,MeanMinAge12)))</f>
        <v/>
      </c>
      <c r="Q1487">
        <f>IF(OR('19_Расчет_аналитики'!Q1459=0,12&lt;='01_Вводные'!$B$297),0,'19_Расчет_аналитики'!Q1459*IF('01_Вводные'!$B$239="Да",MeanMinAge12+'19_Расчет_аналитики'!Q1571*SUMIF(ThresholdAge12,"&lt;"&amp;'19_Расчет_аналитики'!Q1571,WeightedRevAge12)-SUMIF(ThresholdAge12,"&lt;"&amp;'19_Расчет_аналитики'!Q1571,WeightedMinAge12),MAX(CapacityAge12*'01_Вводные'!$B$218*'19_Расчет_аналитики'!Q1571,MeanMinAge12)))</f>
        <v/>
      </c>
      <c r="R1487">
        <f>IF(OR('19_Расчет_аналитики'!R1459=0,12&lt;='01_Вводные'!$B$297),0,'19_Расчет_аналитики'!R1459*IF('01_Вводные'!$B$239="Да",MeanMinAge12+'19_Расчет_аналитики'!R1571*SUMIF(ThresholdAge12,"&lt;"&amp;'19_Расчет_аналитики'!R1571,WeightedRevAge12)-SUMIF(ThresholdAge12,"&lt;"&amp;'19_Расчет_аналитики'!R1571,WeightedMinAge12),MAX(CapacityAge12*'01_Вводные'!$B$218*'19_Расчет_аналитики'!R1571,MeanMinAge12)))</f>
        <v/>
      </c>
      <c r="S1487">
        <f>IF(OR('19_Расчет_аналитики'!S1459=0,12&lt;='01_Вводные'!$B$297),0,'19_Расчет_аналитики'!S1459*IF('01_Вводные'!$B$239="Да",MeanMinAge12+'19_Расчет_аналитики'!S1571*SUMIF(ThresholdAge12,"&lt;"&amp;'19_Расчет_аналитики'!S1571,WeightedRevAge12)-SUMIF(ThresholdAge12,"&lt;"&amp;'19_Расчет_аналитики'!S1571,WeightedMinAge12),MAX(CapacityAge12*'01_Вводные'!$B$218*'19_Расчет_аналитики'!S1571,MeanMinAge12)))</f>
        <v/>
      </c>
      <c r="T1487">
        <f>IF(OR('19_Расчет_аналитики'!T1459=0,12&lt;='01_Вводные'!$B$297),0,'19_Расчет_аналитики'!T1459*IF('01_Вводные'!$B$239="Да",MeanMinAge12+'19_Расчет_аналитики'!T1571*SUMIF(ThresholdAge12,"&lt;"&amp;'19_Расчет_аналитики'!T1571,WeightedRevAge12)-SUMIF(ThresholdAge12,"&lt;"&amp;'19_Расчет_аналитики'!T1571,WeightedMinAge12),MAX(CapacityAge12*'01_Вводные'!$B$218*'19_Расчет_аналитики'!T1571,MeanMinAge12)))</f>
        <v/>
      </c>
      <c r="U1487">
        <f>IF(OR('19_Расчет_аналитики'!U1459=0,12&lt;='01_Вводные'!$B$297),0,'19_Расчет_аналитики'!U1459*IF('01_Вводные'!$B$239="Да",MeanMinAge12+'19_Расчет_аналитики'!U1571*SUMIF(ThresholdAge12,"&lt;"&amp;'19_Расчет_аналитики'!U1571,WeightedRevAge12)-SUMIF(ThresholdAge12,"&lt;"&amp;'19_Расчет_аналитики'!U1571,WeightedMinAge12),MAX(CapacityAge12*'01_Вводные'!$B$218*'19_Расчет_аналитики'!U1571,MeanMinAge12)))</f>
        <v/>
      </c>
      <c r="V1487">
        <f>IF(OR('19_Расчет_аналитики'!V1459=0,12&lt;='01_Вводные'!$B$297),0,'19_Расчет_аналитики'!V1459*IF('01_Вводные'!$B$239="Да",MeanMinAge12+'19_Расчет_аналитики'!V1571*SUMIF(ThresholdAge12,"&lt;"&amp;'19_Расчет_аналитики'!V1571,WeightedRevAge12)-SUMIF(ThresholdAge12,"&lt;"&amp;'19_Расчет_аналитики'!V1571,WeightedMinAge12),MAX(CapacityAge12*'01_Вводные'!$B$218*'19_Расчет_аналитики'!V1571,MeanMinAge12)))</f>
        <v/>
      </c>
      <c r="W1487">
        <f>IF(OR('19_Расчет_аналитики'!W1459=0,12&lt;='01_Вводные'!$B$297),0,'19_Расчет_аналитики'!W1459*IF('01_Вводные'!$B$239="Да",MeanMinAge12+'19_Расчет_аналитики'!W1571*SUMIF(ThresholdAge12,"&lt;"&amp;'19_Расчет_аналитики'!W1571,WeightedRevAge12)-SUMIF(ThresholdAge12,"&lt;"&amp;'19_Расчет_аналитики'!W1571,WeightedMinAge12),MAX(CapacityAge12*'01_Вводные'!$B$218*'19_Расчет_аналитики'!W1571,MeanMinAge12)))</f>
        <v/>
      </c>
      <c r="X1487">
        <f>IF(OR('19_Расчет_аналитики'!X1459=0,12&lt;='01_Вводные'!$B$297),0,'19_Расчет_аналитики'!X1459*IF('01_Вводные'!$B$239="Да",MeanMinAge12+'19_Расчет_аналитики'!X1571*SUMIF(ThresholdAge12,"&lt;"&amp;'19_Расчет_аналитики'!X1571,WeightedRevAge12)-SUMIF(ThresholdAge12,"&lt;"&amp;'19_Расчет_аналитики'!X1571,WeightedMinAge12),MAX(CapacityAge12*'01_Вводные'!$B$218*'19_Расчет_аналитики'!X1571,MeanMinAge12)))</f>
        <v/>
      </c>
      <c r="Y1487">
        <f>IF(OR('19_Расчет_аналитики'!Y1459=0,12&lt;='01_Вводные'!$B$297),0,'19_Расчет_аналитики'!Y1459*IF('01_Вводные'!$B$239="Да",MeanMinAge12+'19_Расчет_аналитики'!Y1571*SUMIF(ThresholdAge12,"&lt;"&amp;'19_Расчет_аналитики'!Y1571,WeightedRevAge12)-SUMIF(ThresholdAge12,"&lt;"&amp;'19_Расчет_аналитики'!Y1571,WeightedMinAge12),MAX(CapacityAge12*'01_Вводные'!$B$218*'19_Расчет_аналитики'!Y1571,MeanMinAge12)))</f>
        <v/>
      </c>
      <c r="Z1487">
        <f>IF(OR('19_Расчет_аналитики'!Z1459=0,12&lt;='01_Вводные'!$B$297),0,'19_Расчет_аналитики'!Z1459*IF('01_Вводные'!$B$239="Да",MeanMinAge12+'19_Расчет_аналитики'!Z1571*SUMIF(ThresholdAge12,"&lt;"&amp;'19_Расчет_аналитики'!Z1571,WeightedRevAge12)-SUMIF(ThresholdAge12,"&lt;"&amp;'19_Расчет_аналитики'!Z1571,WeightedMinAge12),MAX(CapacityAge12*'01_Вводные'!$B$218*'19_Расчет_аналитики'!Z1571,MeanMinAge12)))</f>
        <v/>
      </c>
      <c r="AA1487">
        <f>IF(OR('19_Расчет_аналитики'!AA1459=0,12&lt;='01_Вводные'!$B$297),0,'19_Расчет_аналитики'!AA1459*IF('01_Вводные'!$B$239="Да",MeanMinAge12+'19_Расчет_аналитики'!AA1571*SUMIF(ThresholdAge12,"&lt;"&amp;'19_Расчет_аналитики'!AA1571,WeightedRevAge12)-SUMIF(ThresholdAge12,"&lt;"&amp;'19_Расчет_аналитики'!AA1571,WeightedMinAge12),MAX(CapacityAge12*'01_Вводные'!$B$218*'19_Расчет_аналитики'!AA1571,MeanMinAge12)))</f>
        <v/>
      </c>
      <c r="AB1487">
        <f>IF(OR('19_Расчет_аналитики'!AB1459=0,12&lt;='01_Вводные'!$B$297),0,'19_Расчет_аналитики'!AB1459*IF('01_Вводные'!$B$239="Да",MeanMinAge12+'19_Расчет_аналитики'!AB1571*SUMIF(ThresholdAge12,"&lt;"&amp;'19_Расчет_аналитики'!AB1571,WeightedRevAge12)-SUMIF(ThresholdAge12,"&lt;"&amp;'19_Расчет_аналитики'!AB1571,WeightedMinAge12),MAX(CapacityAge12*'01_Вводные'!$B$218*'19_Расчет_аналитики'!AB1571,MeanMinAge12)))</f>
        <v/>
      </c>
      <c r="AC1487">
        <f>IF(OR('19_Расчет_аналитики'!AC1459=0,12&lt;='01_Вводные'!$B$297),0,'19_Расчет_аналитики'!AC1459*IF('01_Вводные'!$B$239="Да",MeanMinAge12+'19_Расчет_аналитики'!AC1571*SUMIF(ThresholdAge12,"&lt;"&amp;'19_Расчет_аналитики'!AC1571,WeightedRevAge12)-SUMIF(ThresholdAge12,"&lt;"&amp;'19_Расчет_аналитики'!AC1571,WeightedMinAge12),MAX(CapacityAge12*'01_Вводные'!$B$218*'19_Расчет_аналитики'!AC1571,MeanMinAge12)))</f>
        <v/>
      </c>
      <c r="AD1487">
        <f>IF(OR('19_Расчет_аналитики'!AD1459=0,12&lt;='01_Вводные'!$B$297),0,'19_Расчет_аналитики'!AD1459*IF('01_Вводные'!$B$239="Да",MeanMinAge12+'19_Расчет_аналитики'!AD1571*SUMIF(ThresholdAge12,"&lt;"&amp;'19_Расчет_аналитики'!AD1571,WeightedRevAge12)-SUMIF(ThresholdAge12,"&lt;"&amp;'19_Расчет_аналитики'!AD1571,WeightedMinAge12),MAX(CapacityAge12*'01_Вводные'!$B$218*'19_Расчет_аналитики'!AD1571,MeanMinAge12)))</f>
        <v/>
      </c>
      <c r="AE1487">
        <f>IF(OR('19_Расчет_аналитики'!AE1459=0,12&lt;='01_Вводные'!$B$297),0,'19_Расчет_аналитики'!AE1459*IF('01_Вводные'!$B$239="Да",MeanMinAge12+'19_Расчет_аналитики'!AE1571*SUMIF(ThresholdAge12,"&lt;"&amp;'19_Расчет_аналитики'!AE1571,WeightedRevAge12)-SUMIF(ThresholdAge12,"&lt;"&amp;'19_Расчет_аналитики'!AE1571,WeightedMinAge12),MAX(CapacityAge12*'01_Вводные'!$B$218*'19_Расчет_аналитики'!AE1571,MeanMinAge12)))</f>
        <v/>
      </c>
      <c r="AF1487">
        <f>IF(OR('19_Расчет_аналитики'!AF1459=0,12&lt;='01_Вводные'!$B$297),0,'19_Расчет_аналитики'!AF1459*IF('01_Вводные'!$B$239="Да",MeanMinAge12+'19_Расчет_аналитики'!AF1571*SUMIF(ThresholdAge12,"&lt;"&amp;'19_Расчет_аналитики'!AF1571,WeightedRevAge12)-SUMIF(ThresholdAge12,"&lt;"&amp;'19_Расчет_аналитики'!AF1571,WeightedMinAge12),MAX(CapacityAge12*'01_Вводные'!$B$218*'19_Расчет_аналитики'!AF1571,MeanMinAge12)))</f>
        <v/>
      </c>
      <c r="AG1487">
        <f>IF(OR('19_Расчет_аналитики'!AG1459=0,12&lt;='01_Вводные'!$B$297),0,'19_Расчет_аналитики'!AG1459*IF('01_Вводные'!$B$239="Да",MeanMinAge12+'19_Расчет_аналитики'!AG1571*SUMIF(ThresholdAge12,"&lt;"&amp;'19_Расчет_аналитики'!AG1571,WeightedRevAge12)-SUMIF(ThresholdAge12,"&lt;"&amp;'19_Расчет_аналитики'!AG1571,WeightedMinAge12),MAX(CapacityAge12*'01_Вводные'!$B$218*'19_Расчет_аналитики'!AG1571,MeanMinAge12)))</f>
        <v/>
      </c>
      <c r="AH1487">
        <f>IF(OR('19_Расчет_аналитики'!AH1459=0,12&lt;='01_Вводные'!$B$297),0,'19_Расчет_аналитики'!AH1459*IF('01_Вводные'!$B$239="Да",MeanMinAge12+'19_Расчет_аналитики'!AH1571*SUMIF(ThresholdAge12,"&lt;"&amp;'19_Расчет_аналитики'!AH1571,WeightedRevAge12)-SUMIF(ThresholdAge12,"&lt;"&amp;'19_Расчет_аналитики'!AH1571,WeightedMinAge12),MAX(CapacityAge12*'01_Вводные'!$B$218*'19_Расчет_аналитики'!AH1571,MeanMinAge12)))</f>
        <v/>
      </c>
      <c r="AI1487">
        <f>IF(OR('19_Расчет_аналитики'!AI1459=0,12&lt;='01_Вводные'!$B$297),0,'19_Расчет_аналитики'!AI1459*IF('01_Вводные'!$B$239="Да",MeanMinAge12+'19_Расчет_аналитики'!AI1571*SUMIF(ThresholdAge12,"&lt;"&amp;'19_Расчет_аналитики'!AI1571,WeightedRevAge12)-SUMIF(ThresholdAge12,"&lt;"&amp;'19_Расчет_аналитики'!AI1571,WeightedMinAge12),MAX(CapacityAge12*'01_Вводные'!$B$218*'19_Расчет_аналитики'!AI1571,MeanMinAge12)))</f>
        <v/>
      </c>
      <c r="AJ1487">
        <f>IF(OR('19_Расчет_аналитики'!AJ1459=0,12&lt;='01_Вводные'!$B$297),0,'19_Расчет_аналитики'!AJ1459*IF('01_Вводные'!$B$239="Да",MeanMinAge12+'19_Расчет_аналитики'!AJ1571*SUMIF(ThresholdAge12,"&lt;"&amp;'19_Расчет_аналитики'!AJ1571,WeightedRevAge12)-SUMIF(ThresholdAge12,"&lt;"&amp;'19_Расчет_аналитики'!AJ1571,WeightedMinAge12),MAX(CapacityAge12*'01_Вводные'!$B$218*'19_Расчет_аналитики'!AJ1571,MeanMinAge12)))</f>
        <v/>
      </c>
      <c r="AK1487">
        <f>IF(OR('19_Расчет_аналитики'!AK1459=0,12&lt;='01_Вводные'!$B$297),0,'19_Расчет_аналитики'!AK1459*IF('01_Вводные'!$B$239="Да",MeanMinAge12+'19_Расчет_аналитики'!AK1571*SUMIF(ThresholdAge12,"&lt;"&amp;'19_Расчет_аналитики'!AK1571,WeightedRevAge12)-SUMIF(ThresholdAge12,"&lt;"&amp;'19_Расчет_аналитики'!AK1571,WeightedMinAge12),MAX(CapacityAge12*'01_Вводные'!$B$218*'19_Расчет_аналитики'!AK1571,MeanMinAge12)))</f>
        <v/>
      </c>
      <c r="AL1487">
        <f>IF(OR('19_Расчет_аналитики'!AL1459=0,12&lt;='01_Вводные'!$B$297),0,'19_Расчет_аналитики'!AL1459*IF('01_Вводные'!$B$239="Да",MeanMinAge12+'19_Расчет_аналитики'!AL1571*SUMIF(ThresholdAge12,"&lt;"&amp;'19_Расчет_аналитики'!AL1571,WeightedRevAge12)-SUMIF(ThresholdAge12,"&lt;"&amp;'19_Расчет_аналитики'!AL1571,WeightedMinAge12),MAX(CapacityAge12*'01_Вводные'!$B$218*'19_Расчет_аналитики'!AL1571,MeanMinAge12)))</f>
        <v/>
      </c>
      <c r="AM1487">
        <f>IF(OR('19_Расчет_аналитики'!AM1459=0,12&lt;='01_Вводные'!$B$297),0,'19_Расчет_аналитики'!AM1459*IF('01_Вводные'!$B$239="Да",MeanMinAge12+'19_Расчет_аналитики'!AM1571*SUMIF(ThresholdAge12,"&lt;"&amp;'19_Расчет_аналитики'!AM1571,WeightedRevAge12)-SUMIF(ThresholdAge12,"&lt;"&amp;'19_Расчет_аналитики'!AM1571,WeightedMinAge12),MAX(CapacityAge12*'01_Вводные'!$B$218*'19_Расчет_аналитики'!AM1571,MeanMinAge12)))</f>
        <v/>
      </c>
      <c r="AN1487">
        <f>IF(OR('19_Расчет_аналитики'!AN1459=0,12&lt;='01_Вводные'!$B$297),0,'19_Расчет_аналитики'!AN1459*IF('01_Вводные'!$B$239="Да",MeanMinAge12+'19_Расчет_аналитики'!AN1571*SUMIF(ThresholdAge12,"&lt;"&amp;'19_Расчет_аналитики'!AN1571,WeightedRevAge12)-SUMIF(ThresholdAge12,"&lt;"&amp;'19_Расчет_аналитики'!AN1571,WeightedMinAge12),MAX(CapacityAge12*'01_Вводные'!$B$218*'19_Расчет_аналитики'!AN1571,MeanMinAge12)))</f>
        <v/>
      </c>
      <c r="AO1487">
        <f>IF(OR('19_Расчет_аналитики'!AO1459=0,12&lt;='01_Вводные'!$B$297),0,'19_Расчет_аналитики'!AO1459*IF('01_Вводные'!$B$239="Да",MeanMinAge12+'19_Расчет_аналитики'!AO1571*SUMIF(ThresholdAge12,"&lt;"&amp;'19_Расчет_аналитики'!AO1571,WeightedRevAge12)-SUMIF(ThresholdAge12,"&lt;"&amp;'19_Расчет_аналитики'!AO1571,WeightedMinAge12),MAX(CapacityAge12*'01_Вводные'!$B$218*'19_Расчет_аналитики'!AO1571,MeanMinAge12)))</f>
        <v/>
      </c>
      <c r="AP1487">
        <f>IF(OR('19_Расчет_аналитики'!AP1459=0,12&lt;='01_Вводные'!$B$297),0,'19_Расчет_аналитики'!AP1459*IF('01_Вводные'!$B$239="Да",MeanMinAge12+'19_Расчет_аналитики'!AP1571*SUMIF(ThresholdAge12,"&lt;"&amp;'19_Расчет_аналитики'!AP1571,WeightedRevAge12)-SUMIF(ThresholdAge12,"&lt;"&amp;'19_Расчет_аналитики'!AP1571,WeightedMinAge12),MAX(CapacityAge12*'01_Вводные'!$B$218*'19_Расчет_аналитики'!AP1571,MeanMinAge12)))</f>
        <v/>
      </c>
      <c r="AQ1487">
        <f>IF(OR('19_Расчет_аналитики'!AQ1459=0,12&lt;='01_Вводные'!$B$297),0,'19_Расчет_аналитики'!AQ1459*IF('01_Вводные'!$B$239="Да",MeanMinAge12+'19_Расчет_аналитики'!AQ1571*SUMIF(ThresholdAge12,"&lt;"&amp;'19_Расчет_аналитики'!AQ1571,WeightedRevAge12)-SUMIF(ThresholdAge12,"&lt;"&amp;'19_Расчет_аналитики'!AQ1571,WeightedMinAge12),MAX(CapacityAge12*'01_Вводные'!$B$218*'19_Расчет_аналитики'!AQ1571,MeanMinAge12)))</f>
        <v/>
      </c>
      <c r="AR1487">
        <f>IF(OR('19_Расчет_аналитики'!AR1459=0,12&lt;='01_Вводные'!$B$297),0,'19_Расчет_аналитики'!AR1459*IF('01_Вводные'!$B$239="Да",MeanMinAge12+'19_Расчет_аналитики'!AR1571*SUMIF(ThresholdAge12,"&lt;"&amp;'19_Расчет_аналитики'!AR1571,WeightedRevAge12)-SUMIF(ThresholdAge12,"&lt;"&amp;'19_Расчет_аналитики'!AR1571,WeightedMinAge12),MAX(CapacityAge12*'01_Вводные'!$B$218*'19_Расчет_аналитики'!AR1571,MeanMinAge12)))</f>
        <v/>
      </c>
      <c r="AS1487">
        <f>IF(OR('19_Расчет_аналитики'!AS1459=0,12&lt;='01_Вводные'!$B$297),0,'19_Расчет_аналитики'!AS1459*IF('01_Вводные'!$B$239="Да",MeanMinAge12+'19_Расчет_аналитики'!AS1571*SUMIF(ThresholdAge12,"&lt;"&amp;'19_Расчет_аналитики'!AS1571,WeightedRevAge12)-SUMIF(ThresholdAge12,"&lt;"&amp;'19_Расчет_аналитики'!AS1571,WeightedMinAge12),MAX(CapacityAge12*'01_Вводные'!$B$218*'19_Расчет_аналитики'!AS1571,MeanMinAge12)))</f>
        <v/>
      </c>
      <c r="AT1487">
        <f>IF(OR('19_Расчет_аналитики'!AT1459=0,12&lt;='01_Вводные'!$B$297),0,'19_Расчет_аналитики'!AT1459*IF('01_Вводные'!$B$239="Да",MeanMinAge12+'19_Расчет_аналитики'!AT1571*SUMIF(ThresholdAge12,"&lt;"&amp;'19_Расчет_аналитики'!AT1571,WeightedRevAge12)-SUMIF(ThresholdAge12,"&lt;"&amp;'19_Расчет_аналитики'!AT1571,WeightedMinAge12),MAX(CapacityAge12*'01_Вводные'!$B$218*'19_Расчет_аналитики'!AT1571,MeanMinAge12)))</f>
        <v/>
      </c>
      <c r="AU1487">
        <f>IF(OR('19_Расчет_аналитики'!AU1459=0,12&lt;='01_Вводные'!$B$297),0,'19_Расчет_аналитики'!AU1459*IF('01_Вводные'!$B$239="Да",MeanMinAge12+'19_Расчет_аналитики'!AU1571*SUMIF(ThresholdAge12,"&lt;"&amp;'19_Расчет_аналитики'!AU1571,WeightedRevAge12)-SUMIF(ThresholdAge12,"&lt;"&amp;'19_Расчет_аналитики'!AU1571,WeightedMinAge12),MAX(CapacityAge12*'01_Вводные'!$B$218*'19_Расчет_аналитики'!AU1571,MeanMinAge12)))</f>
        <v/>
      </c>
      <c r="AV1487">
        <f>IF(OR('19_Расчет_аналитики'!AV1459=0,12&lt;='01_Вводные'!$B$297),0,'19_Расчет_аналитики'!AV1459*IF('01_Вводные'!$B$239="Да",MeanMinAge12+'19_Расчет_аналитики'!AV1571*SUMIF(ThresholdAge12,"&lt;"&amp;'19_Расчет_аналитики'!AV1571,WeightedRevAge12)-SUMIF(ThresholdAge12,"&lt;"&amp;'19_Расчет_аналитики'!AV1571,WeightedMinAge12),MAX(CapacityAge12*'01_Вводные'!$B$218*'19_Расчет_аналитики'!AV1571,MeanMinAge12)))</f>
        <v/>
      </c>
      <c r="AW1487">
        <f>IF(OR('19_Расчет_аналитики'!AW1459=0,12&lt;='01_Вводные'!$B$297),0,'19_Расчет_аналитики'!AW1459*IF('01_Вводные'!$B$239="Да",MeanMinAge12+'19_Расчет_аналитики'!AW1571*SUMIF(ThresholdAge12,"&lt;"&amp;'19_Расчет_аналитики'!AW1571,WeightedRevAge12)-SUMIF(ThresholdAge12,"&lt;"&amp;'19_Расчет_аналитики'!AW1571,WeightedMinAge12),MAX(CapacityAge12*'01_Вводные'!$B$218*'19_Расчет_аналитики'!AW1571,MeanMinAge12)))</f>
        <v/>
      </c>
      <c r="AX1487">
        <f>IF(OR('19_Расчет_аналитики'!AX1459=0,12&lt;='01_Вводные'!$B$297),0,'19_Расчет_аналитики'!AX1459*IF('01_Вводные'!$B$239="Да",MeanMinAge12+'19_Расчет_аналитики'!AX1571*SUMIF(ThresholdAge12,"&lt;"&amp;'19_Расчет_аналитики'!AX1571,WeightedRevAge12)-SUMIF(ThresholdAge12,"&lt;"&amp;'19_Расчет_аналитики'!AX1571,WeightedMinAge12),MAX(CapacityAge12*'01_Вводные'!$B$218*'19_Расчет_аналитики'!AX1571,MeanMinAge12)))</f>
        <v/>
      </c>
      <c r="AY1487">
        <f>IF(OR('19_Расчет_аналитики'!AY1459=0,12&lt;='01_Вводные'!$B$297),0,'19_Расчет_аналитики'!AY1459*IF('01_Вводные'!$B$239="Да",MeanMinAge12+'19_Расчет_аналитики'!AY1571*SUMIF(ThresholdAge12,"&lt;"&amp;'19_Расчет_аналитики'!AY1571,WeightedRevAge12)-SUMIF(ThresholdAge12,"&lt;"&amp;'19_Расчет_аналитики'!AY1571,WeightedMinAge12),MAX(CapacityAge12*'01_Вводные'!$B$218*'19_Расчет_аналитики'!AY1571,MeanMinAge12)))</f>
        <v/>
      </c>
      <c r="AZ1487">
        <f>IF(OR('19_Расчет_аналитики'!AZ1459=0,12&lt;='01_Вводные'!$B$297),0,'19_Расчет_аналитики'!AZ1459*IF('01_Вводные'!$B$239="Да",MeanMinAge12+'19_Расчет_аналитики'!AZ1571*SUMIF(ThresholdAge12,"&lt;"&amp;'19_Расчет_аналитики'!AZ1571,WeightedRevAge12)-SUMIF(ThresholdAge12,"&lt;"&amp;'19_Расчет_аналитики'!AZ1571,WeightedMinAge12),MAX(CapacityAge12*'01_Вводные'!$B$218*'19_Расчет_аналитики'!AZ1571,MeanMinAge12)))</f>
        <v/>
      </c>
      <c r="BA1487">
        <f>IF(OR('19_Расчет_аналитики'!BA1459=0,12&lt;='01_Вводные'!$B$297),0,'19_Расчет_аналитики'!BA1459*IF('01_Вводные'!$B$239="Да",MeanMinAge12+'19_Расчет_аналитики'!BA1571*SUMIF(ThresholdAge12,"&lt;"&amp;'19_Расчет_аналитики'!BA1571,WeightedRevAge12)-SUMIF(ThresholdAge12,"&lt;"&amp;'19_Расчет_аналитики'!BA1571,WeightedMinAge12),MAX(CapacityAge12*'01_Вводные'!$B$218*'19_Расчет_аналитики'!BA1571,MeanMinAge12)))</f>
        <v/>
      </c>
      <c r="BB1487">
        <f>IF(OR('19_Расчет_аналитики'!BB1459=0,12&lt;='01_Вводные'!$B$297),0,'19_Расчет_аналитики'!BB1459*IF('01_Вводные'!$B$239="Да",MeanMinAge12+'19_Расчет_аналитики'!BB1571*SUMIF(ThresholdAge12,"&lt;"&amp;'19_Расчет_аналитики'!BB1571,WeightedRevAge12)-SUMIF(ThresholdAge12,"&lt;"&amp;'19_Расчет_аналитики'!BB1571,WeightedMinAge12),MAX(CapacityAge12*'01_Вводные'!$B$218*'19_Расчет_аналитики'!BB1571,MeanMinAge12)))</f>
        <v/>
      </c>
      <c r="BC1487">
        <f>IF(OR('19_Расчет_аналитики'!BC1459=0,12&lt;='01_Вводные'!$B$297),0,'19_Расчет_аналитики'!BC1459*IF('01_Вводные'!$B$239="Да",MeanMinAge12+'19_Расчет_аналитики'!BC1571*SUMIF(ThresholdAge12,"&lt;"&amp;'19_Расчет_аналитики'!BC1571,WeightedRevAge12)-SUMIF(ThresholdAge12,"&lt;"&amp;'19_Расчет_аналитики'!BC1571,WeightedMinAge12),MAX(CapacityAge12*'01_Вводные'!$B$218*'19_Расчет_аналитики'!BC1571,MeanMinAge12)))</f>
        <v/>
      </c>
      <c r="BD1487">
        <f>IF(OR('19_Расчет_аналитики'!BD1459=0,12&lt;='01_Вводные'!$B$297),0,'19_Расчет_аналитики'!BD1459*IF('01_Вводные'!$B$239="Да",MeanMinAge12+'19_Расчет_аналитики'!BD1571*SUMIF(ThresholdAge12,"&lt;"&amp;'19_Расчет_аналитики'!BD1571,WeightedRevAge12)-SUMIF(ThresholdAge12,"&lt;"&amp;'19_Расчет_аналитики'!BD1571,WeightedMinAge12),MAX(CapacityAge12*'01_Вводные'!$B$218*'19_Расчет_аналитики'!BD1571,MeanMinAge12)))</f>
        <v/>
      </c>
      <c r="BE1487">
        <f>IF(OR('19_Расчет_аналитики'!BE1459=0,12&lt;='01_Вводные'!$B$297),0,'19_Расчет_аналитики'!BE1459*IF('01_Вводные'!$B$239="Да",MeanMinAge12+'19_Расчет_аналитики'!BE1571*SUMIF(ThresholdAge12,"&lt;"&amp;'19_Расчет_аналитики'!BE1571,WeightedRevAge12)-SUMIF(ThresholdAge12,"&lt;"&amp;'19_Расчет_аналитики'!BE1571,WeightedMinAge12),MAX(CapacityAge12*'01_Вводные'!$B$218*'19_Расчет_аналитики'!BE1571,MeanMinAge12)))</f>
        <v/>
      </c>
      <c r="BF1487">
        <f>IF(OR('19_Расчет_аналитики'!BF1459=0,12&lt;='01_Вводные'!$B$297),0,'19_Расчет_аналитики'!BF1459*IF('01_Вводные'!$B$239="Да",MeanMinAge12+'19_Расчет_аналитики'!BF1571*SUMIF(ThresholdAge12,"&lt;"&amp;'19_Расчет_аналитики'!BF1571,WeightedRevAge12)-SUMIF(ThresholdAge12,"&lt;"&amp;'19_Расчет_аналитики'!BF1571,WeightedMinAge12),MAX(CapacityAge12*'01_Вводные'!$B$218*'19_Расчет_аналитики'!BF1571,MeanMinAge12)))</f>
        <v/>
      </c>
      <c r="BG1487">
        <f>IF(OR('19_Расчет_аналитики'!BG1459=0,12&lt;='01_Вводные'!$B$297),0,'19_Расчет_аналитики'!BG1459*IF('01_Вводные'!$B$239="Да",MeanMinAge12+'19_Расчет_аналитики'!BG1571*SUMIF(ThresholdAge12,"&lt;"&amp;'19_Расчет_аналитики'!BG1571,WeightedRevAge12)-SUMIF(ThresholdAge12,"&lt;"&amp;'19_Расчет_аналитики'!BG1571,WeightedMinAge12),MAX(CapacityAge12*'01_Вводные'!$B$218*'19_Расчет_аналитики'!BG1571,MeanMinAge12)))</f>
        <v/>
      </c>
      <c r="BH1487">
        <f>IF(OR('19_Расчет_аналитики'!BH1459=0,12&lt;='01_Вводные'!$B$297),0,'19_Расчет_аналитики'!BH1459*IF('01_Вводные'!$B$239="Да",MeanMinAge12+'19_Расчет_аналитики'!BH1571*SUMIF(ThresholdAge12,"&lt;"&amp;'19_Расчет_аналитики'!BH1571,WeightedRevAge12)-SUMIF(ThresholdAge12,"&lt;"&amp;'19_Расчет_аналитики'!BH1571,WeightedMinAge12),MAX(CapacityAge12*'01_Вводные'!$B$218*'19_Расчет_аналитики'!BH1571,MeanMinAge12)))</f>
        <v/>
      </c>
      <c r="BI1487">
        <f>IF(OR('19_Расчет_аналитики'!BI1459=0,12&lt;='01_Вводные'!$B$297),0,'19_Расчет_аналитики'!BI1459*IF('01_Вводные'!$B$239="Да",MeanMinAge12+'19_Расчет_аналитики'!BI1571*SUMIF(ThresholdAge12,"&lt;"&amp;'19_Расчет_аналитики'!BI1571,WeightedRevAge12)-SUMIF(ThresholdAge12,"&lt;"&amp;'19_Расчет_аналитики'!BI1571,WeightedMinAge12),MAX(CapacityAge12*'01_Вводные'!$B$218*'19_Расчет_аналитики'!BI1571,MeanMinAge12)))</f>
        <v/>
      </c>
      <c r="BJ1487">
        <f>IF(OR('19_Расчет_аналитики'!BJ1459=0,12&lt;='01_Вводные'!$B$297),0,'19_Расчет_аналитики'!BJ1459*IF('01_Вводные'!$B$239="Да",MeanMinAge12+'19_Расчет_аналитики'!BJ1571*SUMIF(ThresholdAge12,"&lt;"&amp;'19_Расчет_аналитики'!BJ1571,WeightedRevAge12)-SUMIF(ThresholdAge12,"&lt;"&amp;'19_Расчет_аналитики'!BJ1571,WeightedMinAge12),MAX(CapacityAge12*'01_Вводные'!$B$218*'19_Расчет_аналитики'!BJ1571,MeanMinAge12)))</f>
        <v/>
      </c>
      <c r="BK1487">
        <f>IF(OR('19_Расчет_аналитики'!BK1459=0,12&lt;='01_Вводные'!$B$297),0,'19_Расчет_аналитики'!BK1459*IF('01_Вводные'!$B$239="Да",MeanMinAge12+'19_Расчет_аналитики'!BK1571*SUMIF(ThresholdAge12,"&lt;"&amp;'19_Расчет_аналитики'!BK1571,WeightedRevAge12)-SUMIF(ThresholdAge12,"&lt;"&amp;'19_Расчет_аналитики'!BK1571,WeightedMinAge12),MAX(CapacityAge12*'01_Вводные'!$B$218*'19_Расчет_аналитики'!BK1571,MeanMinAge12)))</f>
        <v/>
      </c>
      <c r="BL1487">
        <f>IF(OR('19_Расчет_аналитики'!BL1459=0,12&lt;='01_Вводные'!$B$297),0,'19_Расчет_аналитики'!BL1459*IF('01_Вводные'!$B$239="Да",MeanMinAge12+'19_Расчет_аналитики'!BL1571*SUMIF(ThresholdAge12,"&lt;"&amp;'19_Расчет_аналитики'!BL1571,WeightedRevAge12)-SUMIF(ThresholdAge12,"&lt;"&amp;'19_Расчет_аналитики'!BL1571,WeightedMinAge12),MAX(CapacityAge12*'01_Вводные'!$B$218*'19_Расчет_аналитики'!BL1571,MeanMinAge12)))</f>
        <v/>
      </c>
      <c r="BM1487">
        <f>IF(OR('19_Расчет_аналитики'!BM1459=0,12&lt;='01_Вводные'!$B$297),0,'19_Расчет_аналитики'!BM1459*IF('01_Вводные'!$B$239="Да",MeanMinAge12+'19_Расчет_аналитики'!BM1571*SUMIF(ThresholdAge12,"&lt;"&amp;'19_Расчет_аналитики'!BM1571,WeightedRevAge12)-SUMIF(ThresholdAge12,"&lt;"&amp;'19_Расчет_аналитики'!BM1571,WeightedMinAge12),MAX(CapacityAge12*'01_Вводные'!$B$218*'19_Расчет_аналитики'!BM1571,MeanMinAge12)))</f>
        <v/>
      </c>
      <c r="BN1487">
        <f>IF(OR('19_Расчет_аналитики'!BN1459=0,12&lt;='01_Вводные'!$B$297),0,'19_Расчет_аналитики'!BN1459*IF('01_Вводные'!$B$239="Да",MeanMinAge12+'19_Расчет_аналитики'!BN1571*SUMIF(ThresholdAge12,"&lt;"&amp;'19_Расчет_аналитики'!BN1571,WeightedRevAge12)-SUMIF(ThresholdAge12,"&lt;"&amp;'19_Расчет_аналитики'!BN1571,WeightedMinAge12),MAX(CapacityAge12*'01_Вводные'!$B$218*'19_Расчет_аналитики'!BN1571,MeanMinAge12)))</f>
        <v/>
      </c>
      <c r="BO1487">
        <f>IF(OR('19_Расчет_аналитики'!BO1459=0,12&lt;='01_Вводные'!$B$297),0,'19_Расчет_аналитики'!BO1459*IF('01_Вводные'!$B$239="Да",MeanMinAge12+'19_Расчет_аналитики'!BO1571*SUMIF(ThresholdAge12,"&lt;"&amp;'19_Расчет_аналитики'!BO1571,WeightedRevAge12)-SUMIF(ThresholdAge12,"&lt;"&amp;'19_Расчет_аналитики'!BO1571,WeightedMinAge12),MAX(CapacityAge12*'01_Вводные'!$B$218*'19_Расчет_аналитики'!BO1571,MeanMinAge12)))</f>
        <v/>
      </c>
    </row>
    <row r="1488">
      <c r="B1488">
        <f>IF(OR('06_Сеть_и_дети'!B93=0,13&lt;='01_Вводные'!$B$297),0,'06_Сеть_и_дети'!B93*IF('01_Вводные'!$B$239="Да",MeanMinAge13+'19_Расчет_аналитики'!B1571*SUMIF(ThresholdAge13,"&lt;"&amp;'19_Расчет_аналитики'!B1571,WeightedRevAge13)-SUMIF(ThresholdAge13,"&lt;"&amp;'19_Расчет_аналитики'!B1571,WeightedMinAge13),MAX(CapacityAge13*'01_Вводные'!$B$218*'19_Расчет_аналитики'!B1571,MeanMinAge13)))</f>
        <v/>
      </c>
      <c r="C1488">
        <f>IF(OR('06_Сеть_и_дети'!C93=0,13&lt;='01_Вводные'!$B$297),0,'06_Сеть_и_дети'!C93*IF('01_Вводные'!$B$239="Да",MeanMinAge13+'19_Расчет_аналитики'!C1571*SUMIF(ThresholdAge13,"&lt;"&amp;'19_Расчет_аналитики'!C1571,WeightedRevAge13)-SUMIF(ThresholdAge13,"&lt;"&amp;'19_Расчет_аналитики'!C1571,WeightedMinAge13),MAX(CapacityAge13*'01_Вводные'!$B$218*'19_Расчет_аналитики'!C1571,MeanMinAge13)))</f>
        <v/>
      </c>
      <c r="D1488">
        <f>IF(OR('06_Сеть_и_дети'!D93=0,13&lt;='01_Вводные'!$B$297),0,'06_Сеть_и_дети'!D93*IF('01_Вводные'!$B$239="Да",MeanMinAge13+'19_Расчет_аналитики'!D1571*SUMIF(ThresholdAge13,"&lt;"&amp;'19_Расчет_аналитики'!D1571,WeightedRevAge13)-SUMIF(ThresholdAge13,"&lt;"&amp;'19_Расчет_аналитики'!D1571,WeightedMinAge13),MAX(CapacityAge13*'01_Вводные'!$B$218*'19_Расчет_аналитики'!D1571,MeanMinAge13)))</f>
        <v/>
      </c>
      <c r="E1488">
        <f>IF(OR('06_Сеть_и_дети'!E93=0,13&lt;='01_Вводные'!$B$297),0,'06_Сеть_и_дети'!E93*IF('01_Вводные'!$B$239="Да",MeanMinAge13+'19_Расчет_аналитики'!E1571*SUMIF(ThresholdAge13,"&lt;"&amp;'19_Расчет_аналитики'!E1571,WeightedRevAge13)-SUMIF(ThresholdAge13,"&lt;"&amp;'19_Расчет_аналитики'!E1571,WeightedMinAge13),MAX(CapacityAge13*'01_Вводные'!$B$218*'19_Расчет_аналитики'!E1571,MeanMinAge13)))</f>
        <v/>
      </c>
      <c r="F1488">
        <f>IF(OR('06_Сеть_и_дети'!F93=0,13&lt;='01_Вводные'!$B$297),0,'06_Сеть_и_дети'!F93*IF('01_Вводные'!$B$239="Да",MeanMinAge13+'19_Расчет_аналитики'!F1571*SUMIF(ThresholdAge13,"&lt;"&amp;'19_Расчет_аналитики'!F1571,WeightedRevAge13)-SUMIF(ThresholdAge13,"&lt;"&amp;'19_Расчет_аналитики'!F1571,WeightedMinAge13),MAX(CapacityAge13*'01_Вводные'!$B$218*'19_Расчет_аналитики'!F1571,MeanMinAge13)))</f>
        <v/>
      </c>
      <c r="G1488">
        <f>IF(OR('06_Сеть_и_дети'!G93=0,13&lt;='01_Вводные'!$B$297),0,'06_Сеть_и_дети'!G93*IF('01_Вводные'!$B$239="Да",MeanMinAge13+'19_Расчет_аналитики'!G1571*SUMIF(ThresholdAge13,"&lt;"&amp;'19_Расчет_аналитики'!G1571,WeightedRevAge13)-SUMIF(ThresholdAge13,"&lt;"&amp;'19_Расчет_аналитики'!G1571,WeightedMinAge13),MAX(CapacityAge13*'01_Вводные'!$B$218*'19_Расчет_аналитики'!G1571,MeanMinAge13)))</f>
        <v/>
      </c>
      <c r="H1488">
        <f>IF(OR('06_Сеть_и_дети'!H93=0,13&lt;='01_Вводные'!$B$297),0,'06_Сеть_и_дети'!H93*IF('01_Вводные'!$B$239="Да",MeanMinAge13+'19_Расчет_аналитики'!H1571*SUMIF(ThresholdAge13,"&lt;"&amp;'19_Расчет_аналитики'!H1571,WeightedRevAge13)-SUMIF(ThresholdAge13,"&lt;"&amp;'19_Расчет_аналитики'!H1571,WeightedMinAge13),MAX(CapacityAge13*'01_Вводные'!$B$218*'19_Расчет_аналитики'!H1571,MeanMinAge13)))</f>
        <v/>
      </c>
      <c r="I1488">
        <f>IF(OR('06_Сеть_и_дети'!I93=0,13&lt;='01_Вводные'!$B$297),0,'06_Сеть_и_дети'!I93*IF('01_Вводные'!$B$239="Да",MeanMinAge13+'19_Расчет_аналитики'!I1571*SUMIF(ThresholdAge13,"&lt;"&amp;'19_Расчет_аналитики'!I1571,WeightedRevAge13)-SUMIF(ThresholdAge13,"&lt;"&amp;'19_Расчет_аналитики'!I1571,WeightedMinAge13),MAX(CapacityAge13*'01_Вводные'!$B$218*'19_Расчет_аналитики'!I1571,MeanMinAge13)))</f>
        <v/>
      </c>
      <c r="J1488">
        <f>IF(OR('06_Сеть_и_дети'!J93=0,13&lt;='01_Вводные'!$B$297),0,'06_Сеть_и_дети'!J93*IF('01_Вводные'!$B$239="Да",MeanMinAge13+'19_Расчет_аналитики'!J1571*SUMIF(ThresholdAge13,"&lt;"&amp;'19_Расчет_аналитики'!J1571,WeightedRevAge13)-SUMIF(ThresholdAge13,"&lt;"&amp;'19_Расчет_аналитики'!J1571,WeightedMinAge13),MAX(CapacityAge13*'01_Вводные'!$B$218*'19_Расчет_аналитики'!J1571,MeanMinAge13)))</f>
        <v/>
      </c>
      <c r="K1488">
        <f>IF(OR('06_Сеть_и_дети'!K93=0,13&lt;='01_Вводные'!$B$297),0,'06_Сеть_и_дети'!K93*IF('01_Вводные'!$B$239="Да",MeanMinAge13+'19_Расчет_аналитики'!K1571*SUMIF(ThresholdAge13,"&lt;"&amp;'19_Расчет_аналитики'!K1571,WeightedRevAge13)-SUMIF(ThresholdAge13,"&lt;"&amp;'19_Расчет_аналитики'!K1571,WeightedMinAge13),MAX(CapacityAge13*'01_Вводные'!$B$218*'19_Расчет_аналитики'!K1571,MeanMinAge13)))</f>
        <v/>
      </c>
      <c r="L1488">
        <f>IF(OR('06_Сеть_и_дети'!L93=0,13&lt;='01_Вводные'!$B$297),0,'06_Сеть_и_дети'!L93*IF('01_Вводные'!$B$239="Да",MeanMinAge13+'19_Расчет_аналитики'!L1571*SUMIF(ThresholdAge13,"&lt;"&amp;'19_Расчет_аналитики'!L1571,WeightedRevAge13)-SUMIF(ThresholdAge13,"&lt;"&amp;'19_Расчет_аналитики'!L1571,WeightedMinAge13),MAX(CapacityAge13*'01_Вводные'!$B$218*'19_Расчет_аналитики'!L1571,MeanMinAge13)))</f>
        <v/>
      </c>
      <c r="M1488">
        <f>IF(OR('06_Сеть_и_дети'!M93=0,13&lt;='01_Вводные'!$B$297),0,'06_Сеть_и_дети'!M93*IF('01_Вводные'!$B$239="Да",MeanMinAge13+'19_Расчет_аналитики'!M1571*SUMIF(ThresholdAge13,"&lt;"&amp;'19_Расчет_аналитики'!M1571,WeightedRevAge13)-SUMIF(ThresholdAge13,"&lt;"&amp;'19_Расчет_аналитики'!M1571,WeightedMinAge13),MAX(CapacityAge13*'01_Вводные'!$B$218*'19_Расчет_аналитики'!M1571,MeanMinAge13)))</f>
        <v/>
      </c>
      <c r="N1488">
        <f>IF(OR('19_Расчет_аналитики'!N1460=0,13&lt;='01_Вводные'!$B$297),0,'19_Расчет_аналитики'!N1460*IF('01_Вводные'!$B$239="Да",MeanMinAge13+'19_Расчет_аналитики'!N1571*SUMIF(ThresholdAge13,"&lt;"&amp;'19_Расчет_аналитики'!N1571,WeightedRevAge13)-SUMIF(ThresholdAge13,"&lt;"&amp;'19_Расчет_аналитики'!N1571,WeightedMinAge13),MAX(CapacityAge13*'01_Вводные'!$B$218*'19_Расчет_аналитики'!N1571,MeanMinAge13)))</f>
        <v/>
      </c>
      <c r="O1488">
        <f>IF(OR('19_Расчет_аналитики'!O1460=0,13&lt;='01_Вводные'!$B$297),0,'19_Расчет_аналитики'!O1460*IF('01_Вводные'!$B$239="Да",MeanMinAge13+'19_Расчет_аналитики'!O1571*SUMIF(ThresholdAge13,"&lt;"&amp;'19_Расчет_аналитики'!O1571,WeightedRevAge13)-SUMIF(ThresholdAge13,"&lt;"&amp;'19_Расчет_аналитики'!O1571,WeightedMinAge13),MAX(CapacityAge13*'01_Вводные'!$B$218*'19_Расчет_аналитики'!O1571,MeanMinAge13)))</f>
        <v/>
      </c>
      <c r="P1488">
        <f>IF(OR('19_Расчет_аналитики'!P1460=0,13&lt;='01_Вводные'!$B$297),0,'19_Расчет_аналитики'!P1460*IF('01_Вводные'!$B$239="Да",MeanMinAge13+'19_Расчет_аналитики'!P1571*SUMIF(ThresholdAge13,"&lt;"&amp;'19_Расчет_аналитики'!P1571,WeightedRevAge13)-SUMIF(ThresholdAge13,"&lt;"&amp;'19_Расчет_аналитики'!P1571,WeightedMinAge13),MAX(CapacityAge13*'01_Вводные'!$B$218*'19_Расчет_аналитики'!P1571,MeanMinAge13)))</f>
        <v/>
      </c>
      <c r="Q1488">
        <f>IF(OR('19_Расчет_аналитики'!Q1460=0,13&lt;='01_Вводные'!$B$297),0,'19_Расчет_аналитики'!Q1460*IF('01_Вводные'!$B$239="Да",MeanMinAge13+'19_Расчет_аналитики'!Q1571*SUMIF(ThresholdAge13,"&lt;"&amp;'19_Расчет_аналитики'!Q1571,WeightedRevAge13)-SUMIF(ThresholdAge13,"&lt;"&amp;'19_Расчет_аналитики'!Q1571,WeightedMinAge13),MAX(CapacityAge13*'01_Вводные'!$B$218*'19_Расчет_аналитики'!Q1571,MeanMinAge13)))</f>
        <v/>
      </c>
      <c r="R1488">
        <f>IF(OR('19_Расчет_аналитики'!R1460=0,13&lt;='01_Вводные'!$B$297),0,'19_Расчет_аналитики'!R1460*IF('01_Вводные'!$B$239="Да",MeanMinAge13+'19_Расчет_аналитики'!R1571*SUMIF(ThresholdAge13,"&lt;"&amp;'19_Расчет_аналитики'!R1571,WeightedRevAge13)-SUMIF(ThresholdAge13,"&lt;"&amp;'19_Расчет_аналитики'!R1571,WeightedMinAge13),MAX(CapacityAge13*'01_Вводные'!$B$218*'19_Расчет_аналитики'!R1571,MeanMinAge13)))</f>
        <v/>
      </c>
      <c r="S1488">
        <f>IF(OR('19_Расчет_аналитики'!S1460=0,13&lt;='01_Вводные'!$B$297),0,'19_Расчет_аналитики'!S1460*IF('01_Вводные'!$B$239="Да",MeanMinAge13+'19_Расчет_аналитики'!S1571*SUMIF(ThresholdAge13,"&lt;"&amp;'19_Расчет_аналитики'!S1571,WeightedRevAge13)-SUMIF(ThresholdAge13,"&lt;"&amp;'19_Расчет_аналитики'!S1571,WeightedMinAge13),MAX(CapacityAge13*'01_Вводные'!$B$218*'19_Расчет_аналитики'!S1571,MeanMinAge13)))</f>
        <v/>
      </c>
      <c r="T1488">
        <f>IF(OR('19_Расчет_аналитики'!T1460=0,13&lt;='01_Вводные'!$B$297),0,'19_Расчет_аналитики'!T1460*IF('01_Вводные'!$B$239="Да",MeanMinAge13+'19_Расчет_аналитики'!T1571*SUMIF(ThresholdAge13,"&lt;"&amp;'19_Расчет_аналитики'!T1571,WeightedRevAge13)-SUMIF(ThresholdAge13,"&lt;"&amp;'19_Расчет_аналитики'!T1571,WeightedMinAge13),MAX(CapacityAge13*'01_Вводные'!$B$218*'19_Расчет_аналитики'!T1571,MeanMinAge13)))</f>
        <v/>
      </c>
      <c r="U1488">
        <f>IF(OR('19_Расчет_аналитики'!U1460=0,13&lt;='01_Вводные'!$B$297),0,'19_Расчет_аналитики'!U1460*IF('01_Вводные'!$B$239="Да",MeanMinAge13+'19_Расчет_аналитики'!U1571*SUMIF(ThresholdAge13,"&lt;"&amp;'19_Расчет_аналитики'!U1571,WeightedRevAge13)-SUMIF(ThresholdAge13,"&lt;"&amp;'19_Расчет_аналитики'!U1571,WeightedMinAge13),MAX(CapacityAge13*'01_Вводные'!$B$218*'19_Расчет_аналитики'!U1571,MeanMinAge13)))</f>
        <v/>
      </c>
      <c r="V1488">
        <f>IF(OR('19_Расчет_аналитики'!V1460=0,13&lt;='01_Вводные'!$B$297),0,'19_Расчет_аналитики'!V1460*IF('01_Вводные'!$B$239="Да",MeanMinAge13+'19_Расчет_аналитики'!V1571*SUMIF(ThresholdAge13,"&lt;"&amp;'19_Расчет_аналитики'!V1571,WeightedRevAge13)-SUMIF(ThresholdAge13,"&lt;"&amp;'19_Расчет_аналитики'!V1571,WeightedMinAge13),MAX(CapacityAge13*'01_Вводные'!$B$218*'19_Расчет_аналитики'!V1571,MeanMinAge13)))</f>
        <v/>
      </c>
      <c r="W1488">
        <f>IF(OR('19_Расчет_аналитики'!W1460=0,13&lt;='01_Вводные'!$B$297),0,'19_Расчет_аналитики'!W1460*IF('01_Вводные'!$B$239="Да",MeanMinAge13+'19_Расчет_аналитики'!W1571*SUMIF(ThresholdAge13,"&lt;"&amp;'19_Расчет_аналитики'!W1571,WeightedRevAge13)-SUMIF(ThresholdAge13,"&lt;"&amp;'19_Расчет_аналитики'!W1571,WeightedMinAge13),MAX(CapacityAge13*'01_Вводные'!$B$218*'19_Расчет_аналитики'!W1571,MeanMinAge13)))</f>
        <v/>
      </c>
      <c r="X1488">
        <f>IF(OR('19_Расчет_аналитики'!X1460=0,13&lt;='01_Вводные'!$B$297),0,'19_Расчет_аналитики'!X1460*IF('01_Вводные'!$B$239="Да",MeanMinAge13+'19_Расчет_аналитики'!X1571*SUMIF(ThresholdAge13,"&lt;"&amp;'19_Расчет_аналитики'!X1571,WeightedRevAge13)-SUMIF(ThresholdAge13,"&lt;"&amp;'19_Расчет_аналитики'!X1571,WeightedMinAge13),MAX(CapacityAge13*'01_Вводные'!$B$218*'19_Расчет_аналитики'!X1571,MeanMinAge13)))</f>
        <v/>
      </c>
      <c r="Y1488">
        <f>IF(OR('19_Расчет_аналитики'!Y1460=0,13&lt;='01_Вводные'!$B$297),0,'19_Расчет_аналитики'!Y1460*IF('01_Вводные'!$B$239="Да",MeanMinAge13+'19_Расчет_аналитики'!Y1571*SUMIF(ThresholdAge13,"&lt;"&amp;'19_Расчет_аналитики'!Y1571,WeightedRevAge13)-SUMIF(ThresholdAge13,"&lt;"&amp;'19_Расчет_аналитики'!Y1571,WeightedMinAge13),MAX(CapacityAge13*'01_Вводные'!$B$218*'19_Расчет_аналитики'!Y1571,MeanMinAge13)))</f>
        <v/>
      </c>
      <c r="Z1488">
        <f>IF(OR('19_Расчет_аналитики'!Z1460=0,13&lt;='01_Вводные'!$B$297),0,'19_Расчет_аналитики'!Z1460*IF('01_Вводные'!$B$239="Да",MeanMinAge13+'19_Расчет_аналитики'!Z1571*SUMIF(ThresholdAge13,"&lt;"&amp;'19_Расчет_аналитики'!Z1571,WeightedRevAge13)-SUMIF(ThresholdAge13,"&lt;"&amp;'19_Расчет_аналитики'!Z1571,WeightedMinAge13),MAX(CapacityAge13*'01_Вводные'!$B$218*'19_Расчет_аналитики'!Z1571,MeanMinAge13)))</f>
        <v/>
      </c>
      <c r="AA1488">
        <f>IF(OR('19_Расчет_аналитики'!AA1460=0,13&lt;='01_Вводные'!$B$297),0,'19_Расчет_аналитики'!AA1460*IF('01_Вводные'!$B$239="Да",MeanMinAge13+'19_Расчет_аналитики'!AA1571*SUMIF(ThresholdAge13,"&lt;"&amp;'19_Расчет_аналитики'!AA1571,WeightedRevAge13)-SUMIF(ThresholdAge13,"&lt;"&amp;'19_Расчет_аналитики'!AA1571,WeightedMinAge13),MAX(CapacityAge13*'01_Вводные'!$B$218*'19_Расчет_аналитики'!AA1571,MeanMinAge13)))</f>
        <v/>
      </c>
      <c r="AB1488">
        <f>IF(OR('19_Расчет_аналитики'!AB1460=0,13&lt;='01_Вводные'!$B$297),0,'19_Расчет_аналитики'!AB1460*IF('01_Вводные'!$B$239="Да",MeanMinAge13+'19_Расчет_аналитики'!AB1571*SUMIF(ThresholdAge13,"&lt;"&amp;'19_Расчет_аналитики'!AB1571,WeightedRevAge13)-SUMIF(ThresholdAge13,"&lt;"&amp;'19_Расчет_аналитики'!AB1571,WeightedMinAge13),MAX(CapacityAge13*'01_Вводные'!$B$218*'19_Расчет_аналитики'!AB1571,MeanMinAge13)))</f>
        <v/>
      </c>
      <c r="AC1488">
        <f>IF(OR('19_Расчет_аналитики'!AC1460=0,13&lt;='01_Вводные'!$B$297),0,'19_Расчет_аналитики'!AC1460*IF('01_Вводные'!$B$239="Да",MeanMinAge13+'19_Расчет_аналитики'!AC1571*SUMIF(ThresholdAge13,"&lt;"&amp;'19_Расчет_аналитики'!AC1571,WeightedRevAge13)-SUMIF(ThresholdAge13,"&lt;"&amp;'19_Расчет_аналитики'!AC1571,WeightedMinAge13),MAX(CapacityAge13*'01_Вводные'!$B$218*'19_Расчет_аналитики'!AC1571,MeanMinAge13)))</f>
        <v/>
      </c>
      <c r="AD1488">
        <f>IF(OR('19_Расчет_аналитики'!AD1460=0,13&lt;='01_Вводные'!$B$297),0,'19_Расчет_аналитики'!AD1460*IF('01_Вводные'!$B$239="Да",MeanMinAge13+'19_Расчет_аналитики'!AD1571*SUMIF(ThresholdAge13,"&lt;"&amp;'19_Расчет_аналитики'!AD1571,WeightedRevAge13)-SUMIF(ThresholdAge13,"&lt;"&amp;'19_Расчет_аналитики'!AD1571,WeightedMinAge13),MAX(CapacityAge13*'01_Вводные'!$B$218*'19_Расчет_аналитики'!AD1571,MeanMinAge13)))</f>
        <v/>
      </c>
      <c r="AE1488">
        <f>IF(OR('19_Расчет_аналитики'!AE1460=0,13&lt;='01_Вводные'!$B$297),0,'19_Расчет_аналитики'!AE1460*IF('01_Вводные'!$B$239="Да",MeanMinAge13+'19_Расчет_аналитики'!AE1571*SUMIF(ThresholdAge13,"&lt;"&amp;'19_Расчет_аналитики'!AE1571,WeightedRevAge13)-SUMIF(ThresholdAge13,"&lt;"&amp;'19_Расчет_аналитики'!AE1571,WeightedMinAge13),MAX(CapacityAge13*'01_Вводные'!$B$218*'19_Расчет_аналитики'!AE1571,MeanMinAge13)))</f>
        <v/>
      </c>
      <c r="AF1488">
        <f>IF(OR('19_Расчет_аналитики'!AF1460=0,13&lt;='01_Вводные'!$B$297),0,'19_Расчет_аналитики'!AF1460*IF('01_Вводные'!$B$239="Да",MeanMinAge13+'19_Расчет_аналитики'!AF1571*SUMIF(ThresholdAge13,"&lt;"&amp;'19_Расчет_аналитики'!AF1571,WeightedRevAge13)-SUMIF(ThresholdAge13,"&lt;"&amp;'19_Расчет_аналитики'!AF1571,WeightedMinAge13),MAX(CapacityAge13*'01_Вводные'!$B$218*'19_Расчет_аналитики'!AF1571,MeanMinAge13)))</f>
        <v/>
      </c>
      <c r="AG1488">
        <f>IF(OR('19_Расчет_аналитики'!AG1460=0,13&lt;='01_Вводные'!$B$297),0,'19_Расчет_аналитики'!AG1460*IF('01_Вводные'!$B$239="Да",MeanMinAge13+'19_Расчет_аналитики'!AG1571*SUMIF(ThresholdAge13,"&lt;"&amp;'19_Расчет_аналитики'!AG1571,WeightedRevAge13)-SUMIF(ThresholdAge13,"&lt;"&amp;'19_Расчет_аналитики'!AG1571,WeightedMinAge13),MAX(CapacityAge13*'01_Вводные'!$B$218*'19_Расчет_аналитики'!AG1571,MeanMinAge13)))</f>
        <v/>
      </c>
      <c r="AH1488">
        <f>IF(OR('19_Расчет_аналитики'!AH1460=0,13&lt;='01_Вводные'!$B$297),0,'19_Расчет_аналитики'!AH1460*IF('01_Вводные'!$B$239="Да",MeanMinAge13+'19_Расчет_аналитики'!AH1571*SUMIF(ThresholdAge13,"&lt;"&amp;'19_Расчет_аналитики'!AH1571,WeightedRevAge13)-SUMIF(ThresholdAge13,"&lt;"&amp;'19_Расчет_аналитики'!AH1571,WeightedMinAge13),MAX(CapacityAge13*'01_Вводные'!$B$218*'19_Расчет_аналитики'!AH1571,MeanMinAge13)))</f>
        <v/>
      </c>
      <c r="AI1488">
        <f>IF(OR('19_Расчет_аналитики'!AI1460=0,13&lt;='01_Вводные'!$B$297),0,'19_Расчет_аналитики'!AI1460*IF('01_Вводные'!$B$239="Да",MeanMinAge13+'19_Расчет_аналитики'!AI1571*SUMIF(ThresholdAge13,"&lt;"&amp;'19_Расчет_аналитики'!AI1571,WeightedRevAge13)-SUMIF(ThresholdAge13,"&lt;"&amp;'19_Расчет_аналитики'!AI1571,WeightedMinAge13),MAX(CapacityAge13*'01_Вводные'!$B$218*'19_Расчет_аналитики'!AI1571,MeanMinAge13)))</f>
        <v/>
      </c>
      <c r="AJ1488">
        <f>IF(OR('19_Расчет_аналитики'!AJ1460=0,13&lt;='01_Вводные'!$B$297),0,'19_Расчет_аналитики'!AJ1460*IF('01_Вводные'!$B$239="Да",MeanMinAge13+'19_Расчет_аналитики'!AJ1571*SUMIF(ThresholdAge13,"&lt;"&amp;'19_Расчет_аналитики'!AJ1571,WeightedRevAge13)-SUMIF(ThresholdAge13,"&lt;"&amp;'19_Расчет_аналитики'!AJ1571,WeightedMinAge13),MAX(CapacityAge13*'01_Вводные'!$B$218*'19_Расчет_аналитики'!AJ1571,MeanMinAge13)))</f>
        <v/>
      </c>
      <c r="AK1488">
        <f>IF(OR('19_Расчет_аналитики'!AK1460=0,13&lt;='01_Вводные'!$B$297),0,'19_Расчет_аналитики'!AK1460*IF('01_Вводные'!$B$239="Да",MeanMinAge13+'19_Расчет_аналитики'!AK1571*SUMIF(ThresholdAge13,"&lt;"&amp;'19_Расчет_аналитики'!AK1571,WeightedRevAge13)-SUMIF(ThresholdAge13,"&lt;"&amp;'19_Расчет_аналитики'!AK1571,WeightedMinAge13),MAX(CapacityAge13*'01_Вводные'!$B$218*'19_Расчет_аналитики'!AK1571,MeanMinAge13)))</f>
        <v/>
      </c>
      <c r="AL1488">
        <f>IF(OR('19_Расчет_аналитики'!AL1460=0,13&lt;='01_Вводные'!$B$297),0,'19_Расчет_аналитики'!AL1460*IF('01_Вводные'!$B$239="Да",MeanMinAge13+'19_Расчет_аналитики'!AL1571*SUMIF(ThresholdAge13,"&lt;"&amp;'19_Расчет_аналитики'!AL1571,WeightedRevAge13)-SUMIF(ThresholdAge13,"&lt;"&amp;'19_Расчет_аналитики'!AL1571,WeightedMinAge13),MAX(CapacityAge13*'01_Вводные'!$B$218*'19_Расчет_аналитики'!AL1571,MeanMinAge13)))</f>
        <v/>
      </c>
      <c r="AM1488">
        <f>IF(OR('19_Расчет_аналитики'!AM1460=0,13&lt;='01_Вводные'!$B$297),0,'19_Расчет_аналитики'!AM1460*IF('01_Вводные'!$B$239="Да",MeanMinAge13+'19_Расчет_аналитики'!AM1571*SUMIF(ThresholdAge13,"&lt;"&amp;'19_Расчет_аналитики'!AM1571,WeightedRevAge13)-SUMIF(ThresholdAge13,"&lt;"&amp;'19_Расчет_аналитики'!AM1571,WeightedMinAge13),MAX(CapacityAge13*'01_Вводные'!$B$218*'19_Расчет_аналитики'!AM1571,MeanMinAge13)))</f>
        <v/>
      </c>
      <c r="AN1488">
        <f>IF(OR('19_Расчет_аналитики'!AN1460=0,13&lt;='01_Вводные'!$B$297),0,'19_Расчет_аналитики'!AN1460*IF('01_Вводные'!$B$239="Да",MeanMinAge13+'19_Расчет_аналитики'!AN1571*SUMIF(ThresholdAge13,"&lt;"&amp;'19_Расчет_аналитики'!AN1571,WeightedRevAge13)-SUMIF(ThresholdAge13,"&lt;"&amp;'19_Расчет_аналитики'!AN1571,WeightedMinAge13),MAX(CapacityAge13*'01_Вводные'!$B$218*'19_Расчет_аналитики'!AN1571,MeanMinAge13)))</f>
        <v/>
      </c>
      <c r="AO1488">
        <f>IF(OR('19_Расчет_аналитики'!AO1460=0,13&lt;='01_Вводные'!$B$297),0,'19_Расчет_аналитики'!AO1460*IF('01_Вводные'!$B$239="Да",MeanMinAge13+'19_Расчет_аналитики'!AO1571*SUMIF(ThresholdAge13,"&lt;"&amp;'19_Расчет_аналитики'!AO1571,WeightedRevAge13)-SUMIF(ThresholdAge13,"&lt;"&amp;'19_Расчет_аналитики'!AO1571,WeightedMinAge13),MAX(CapacityAge13*'01_Вводные'!$B$218*'19_Расчет_аналитики'!AO1571,MeanMinAge13)))</f>
        <v/>
      </c>
      <c r="AP1488">
        <f>IF(OR('19_Расчет_аналитики'!AP1460=0,13&lt;='01_Вводные'!$B$297),0,'19_Расчет_аналитики'!AP1460*IF('01_Вводные'!$B$239="Да",MeanMinAge13+'19_Расчет_аналитики'!AP1571*SUMIF(ThresholdAge13,"&lt;"&amp;'19_Расчет_аналитики'!AP1571,WeightedRevAge13)-SUMIF(ThresholdAge13,"&lt;"&amp;'19_Расчет_аналитики'!AP1571,WeightedMinAge13),MAX(CapacityAge13*'01_Вводные'!$B$218*'19_Расчет_аналитики'!AP1571,MeanMinAge13)))</f>
        <v/>
      </c>
      <c r="AQ1488">
        <f>IF(OR('19_Расчет_аналитики'!AQ1460=0,13&lt;='01_Вводные'!$B$297),0,'19_Расчет_аналитики'!AQ1460*IF('01_Вводные'!$B$239="Да",MeanMinAge13+'19_Расчет_аналитики'!AQ1571*SUMIF(ThresholdAge13,"&lt;"&amp;'19_Расчет_аналитики'!AQ1571,WeightedRevAge13)-SUMIF(ThresholdAge13,"&lt;"&amp;'19_Расчет_аналитики'!AQ1571,WeightedMinAge13),MAX(CapacityAge13*'01_Вводные'!$B$218*'19_Расчет_аналитики'!AQ1571,MeanMinAge13)))</f>
        <v/>
      </c>
      <c r="AR1488">
        <f>IF(OR('19_Расчет_аналитики'!AR1460=0,13&lt;='01_Вводные'!$B$297),0,'19_Расчет_аналитики'!AR1460*IF('01_Вводные'!$B$239="Да",MeanMinAge13+'19_Расчет_аналитики'!AR1571*SUMIF(ThresholdAge13,"&lt;"&amp;'19_Расчет_аналитики'!AR1571,WeightedRevAge13)-SUMIF(ThresholdAge13,"&lt;"&amp;'19_Расчет_аналитики'!AR1571,WeightedMinAge13),MAX(CapacityAge13*'01_Вводные'!$B$218*'19_Расчет_аналитики'!AR1571,MeanMinAge13)))</f>
        <v/>
      </c>
      <c r="AS1488">
        <f>IF(OR('19_Расчет_аналитики'!AS1460=0,13&lt;='01_Вводные'!$B$297),0,'19_Расчет_аналитики'!AS1460*IF('01_Вводные'!$B$239="Да",MeanMinAge13+'19_Расчет_аналитики'!AS1571*SUMIF(ThresholdAge13,"&lt;"&amp;'19_Расчет_аналитики'!AS1571,WeightedRevAge13)-SUMIF(ThresholdAge13,"&lt;"&amp;'19_Расчет_аналитики'!AS1571,WeightedMinAge13),MAX(CapacityAge13*'01_Вводные'!$B$218*'19_Расчет_аналитики'!AS1571,MeanMinAge13)))</f>
        <v/>
      </c>
      <c r="AT1488">
        <f>IF(OR('19_Расчет_аналитики'!AT1460=0,13&lt;='01_Вводные'!$B$297),0,'19_Расчет_аналитики'!AT1460*IF('01_Вводные'!$B$239="Да",MeanMinAge13+'19_Расчет_аналитики'!AT1571*SUMIF(ThresholdAge13,"&lt;"&amp;'19_Расчет_аналитики'!AT1571,WeightedRevAge13)-SUMIF(ThresholdAge13,"&lt;"&amp;'19_Расчет_аналитики'!AT1571,WeightedMinAge13),MAX(CapacityAge13*'01_Вводные'!$B$218*'19_Расчет_аналитики'!AT1571,MeanMinAge13)))</f>
        <v/>
      </c>
      <c r="AU1488">
        <f>IF(OR('19_Расчет_аналитики'!AU1460=0,13&lt;='01_Вводные'!$B$297),0,'19_Расчет_аналитики'!AU1460*IF('01_Вводные'!$B$239="Да",MeanMinAge13+'19_Расчет_аналитики'!AU1571*SUMIF(ThresholdAge13,"&lt;"&amp;'19_Расчет_аналитики'!AU1571,WeightedRevAge13)-SUMIF(ThresholdAge13,"&lt;"&amp;'19_Расчет_аналитики'!AU1571,WeightedMinAge13),MAX(CapacityAge13*'01_Вводные'!$B$218*'19_Расчет_аналитики'!AU1571,MeanMinAge13)))</f>
        <v/>
      </c>
      <c r="AV1488">
        <f>IF(OR('19_Расчет_аналитики'!AV1460=0,13&lt;='01_Вводные'!$B$297),0,'19_Расчет_аналитики'!AV1460*IF('01_Вводные'!$B$239="Да",MeanMinAge13+'19_Расчет_аналитики'!AV1571*SUMIF(ThresholdAge13,"&lt;"&amp;'19_Расчет_аналитики'!AV1571,WeightedRevAge13)-SUMIF(ThresholdAge13,"&lt;"&amp;'19_Расчет_аналитики'!AV1571,WeightedMinAge13),MAX(CapacityAge13*'01_Вводные'!$B$218*'19_Расчет_аналитики'!AV1571,MeanMinAge13)))</f>
        <v/>
      </c>
      <c r="AW1488">
        <f>IF(OR('19_Расчет_аналитики'!AW1460=0,13&lt;='01_Вводные'!$B$297),0,'19_Расчет_аналитики'!AW1460*IF('01_Вводные'!$B$239="Да",MeanMinAge13+'19_Расчет_аналитики'!AW1571*SUMIF(ThresholdAge13,"&lt;"&amp;'19_Расчет_аналитики'!AW1571,WeightedRevAge13)-SUMIF(ThresholdAge13,"&lt;"&amp;'19_Расчет_аналитики'!AW1571,WeightedMinAge13),MAX(CapacityAge13*'01_Вводные'!$B$218*'19_Расчет_аналитики'!AW1571,MeanMinAge13)))</f>
        <v/>
      </c>
      <c r="AX1488">
        <f>IF(OR('19_Расчет_аналитики'!AX1460=0,13&lt;='01_Вводные'!$B$297),0,'19_Расчет_аналитики'!AX1460*IF('01_Вводные'!$B$239="Да",MeanMinAge13+'19_Расчет_аналитики'!AX1571*SUMIF(ThresholdAge13,"&lt;"&amp;'19_Расчет_аналитики'!AX1571,WeightedRevAge13)-SUMIF(ThresholdAge13,"&lt;"&amp;'19_Расчет_аналитики'!AX1571,WeightedMinAge13),MAX(CapacityAge13*'01_Вводные'!$B$218*'19_Расчет_аналитики'!AX1571,MeanMinAge13)))</f>
        <v/>
      </c>
      <c r="AY1488">
        <f>IF(OR('19_Расчет_аналитики'!AY1460=0,13&lt;='01_Вводные'!$B$297),0,'19_Расчет_аналитики'!AY1460*IF('01_Вводные'!$B$239="Да",MeanMinAge13+'19_Расчет_аналитики'!AY1571*SUMIF(ThresholdAge13,"&lt;"&amp;'19_Расчет_аналитики'!AY1571,WeightedRevAge13)-SUMIF(ThresholdAge13,"&lt;"&amp;'19_Расчет_аналитики'!AY1571,WeightedMinAge13),MAX(CapacityAge13*'01_Вводные'!$B$218*'19_Расчет_аналитики'!AY1571,MeanMinAge13)))</f>
        <v/>
      </c>
      <c r="AZ1488">
        <f>IF(OR('19_Расчет_аналитики'!AZ1460=0,13&lt;='01_Вводные'!$B$297),0,'19_Расчет_аналитики'!AZ1460*IF('01_Вводные'!$B$239="Да",MeanMinAge13+'19_Расчет_аналитики'!AZ1571*SUMIF(ThresholdAge13,"&lt;"&amp;'19_Расчет_аналитики'!AZ1571,WeightedRevAge13)-SUMIF(ThresholdAge13,"&lt;"&amp;'19_Расчет_аналитики'!AZ1571,WeightedMinAge13),MAX(CapacityAge13*'01_Вводные'!$B$218*'19_Расчет_аналитики'!AZ1571,MeanMinAge13)))</f>
        <v/>
      </c>
      <c r="BA1488">
        <f>IF(OR('19_Расчет_аналитики'!BA1460=0,13&lt;='01_Вводные'!$B$297),0,'19_Расчет_аналитики'!BA1460*IF('01_Вводные'!$B$239="Да",MeanMinAge13+'19_Расчет_аналитики'!BA1571*SUMIF(ThresholdAge13,"&lt;"&amp;'19_Расчет_аналитики'!BA1571,WeightedRevAge13)-SUMIF(ThresholdAge13,"&lt;"&amp;'19_Расчет_аналитики'!BA1571,WeightedMinAge13),MAX(CapacityAge13*'01_Вводные'!$B$218*'19_Расчет_аналитики'!BA1571,MeanMinAge13)))</f>
        <v/>
      </c>
      <c r="BB1488">
        <f>IF(OR('19_Расчет_аналитики'!BB1460=0,13&lt;='01_Вводные'!$B$297),0,'19_Расчет_аналитики'!BB1460*IF('01_Вводные'!$B$239="Да",MeanMinAge13+'19_Расчет_аналитики'!BB1571*SUMIF(ThresholdAge13,"&lt;"&amp;'19_Расчет_аналитики'!BB1571,WeightedRevAge13)-SUMIF(ThresholdAge13,"&lt;"&amp;'19_Расчет_аналитики'!BB1571,WeightedMinAge13),MAX(CapacityAge13*'01_Вводные'!$B$218*'19_Расчет_аналитики'!BB1571,MeanMinAge13)))</f>
        <v/>
      </c>
      <c r="BC1488">
        <f>IF(OR('19_Расчет_аналитики'!BC1460=0,13&lt;='01_Вводные'!$B$297),0,'19_Расчет_аналитики'!BC1460*IF('01_Вводные'!$B$239="Да",MeanMinAge13+'19_Расчет_аналитики'!BC1571*SUMIF(ThresholdAge13,"&lt;"&amp;'19_Расчет_аналитики'!BC1571,WeightedRevAge13)-SUMIF(ThresholdAge13,"&lt;"&amp;'19_Расчет_аналитики'!BC1571,WeightedMinAge13),MAX(CapacityAge13*'01_Вводные'!$B$218*'19_Расчет_аналитики'!BC1571,MeanMinAge13)))</f>
        <v/>
      </c>
      <c r="BD1488">
        <f>IF(OR('19_Расчет_аналитики'!BD1460=0,13&lt;='01_Вводные'!$B$297),0,'19_Расчет_аналитики'!BD1460*IF('01_Вводные'!$B$239="Да",MeanMinAge13+'19_Расчет_аналитики'!BD1571*SUMIF(ThresholdAge13,"&lt;"&amp;'19_Расчет_аналитики'!BD1571,WeightedRevAge13)-SUMIF(ThresholdAge13,"&lt;"&amp;'19_Расчет_аналитики'!BD1571,WeightedMinAge13),MAX(CapacityAge13*'01_Вводные'!$B$218*'19_Расчет_аналитики'!BD1571,MeanMinAge13)))</f>
        <v/>
      </c>
      <c r="BE1488">
        <f>IF(OR('19_Расчет_аналитики'!BE1460=0,13&lt;='01_Вводные'!$B$297),0,'19_Расчет_аналитики'!BE1460*IF('01_Вводные'!$B$239="Да",MeanMinAge13+'19_Расчет_аналитики'!BE1571*SUMIF(ThresholdAge13,"&lt;"&amp;'19_Расчет_аналитики'!BE1571,WeightedRevAge13)-SUMIF(ThresholdAge13,"&lt;"&amp;'19_Расчет_аналитики'!BE1571,WeightedMinAge13),MAX(CapacityAge13*'01_Вводные'!$B$218*'19_Расчет_аналитики'!BE1571,MeanMinAge13)))</f>
        <v/>
      </c>
      <c r="BF1488">
        <f>IF(OR('19_Расчет_аналитики'!BF1460=0,13&lt;='01_Вводные'!$B$297),0,'19_Расчет_аналитики'!BF1460*IF('01_Вводные'!$B$239="Да",MeanMinAge13+'19_Расчет_аналитики'!BF1571*SUMIF(ThresholdAge13,"&lt;"&amp;'19_Расчет_аналитики'!BF1571,WeightedRevAge13)-SUMIF(ThresholdAge13,"&lt;"&amp;'19_Расчет_аналитики'!BF1571,WeightedMinAge13),MAX(CapacityAge13*'01_Вводные'!$B$218*'19_Расчет_аналитики'!BF1571,MeanMinAge13)))</f>
        <v/>
      </c>
      <c r="BG1488">
        <f>IF(OR('19_Расчет_аналитики'!BG1460=0,13&lt;='01_Вводные'!$B$297),0,'19_Расчет_аналитики'!BG1460*IF('01_Вводные'!$B$239="Да",MeanMinAge13+'19_Расчет_аналитики'!BG1571*SUMIF(ThresholdAge13,"&lt;"&amp;'19_Расчет_аналитики'!BG1571,WeightedRevAge13)-SUMIF(ThresholdAge13,"&lt;"&amp;'19_Расчет_аналитики'!BG1571,WeightedMinAge13),MAX(CapacityAge13*'01_Вводные'!$B$218*'19_Расчет_аналитики'!BG1571,MeanMinAge13)))</f>
        <v/>
      </c>
      <c r="BH1488">
        <f>IF(OR('19_Расчет_аналитики'!BH1460=0,13&lt;='01_Вводные'!$B$297),0,'19_Расчет_аналитики'!BH1460*IF('01_Вводные'!$B$239="Да",MeanMinAge13+'19_Расчет_аналитики'!BH1571*SUMIF(ThresholdAge13,"&lt;"&amp;'19_Расчет_аналитики'!BH1571,WeightedRevAge13)-SUMIF(ThresholdAge13,"&lt;"&amp;'19_Расчет_аналитики'!BH1571,WeightedMinAge13),MAX(CapacityAge13*'01_Вводные'!$B$218*'19_Расчет_аналитики'!BH1571,MeanMinAge13)))</f>
        <v/>
      </c>
      <c r="BI1488">
        <f>IF(OR('19_Расчет_аналитики'!BI1460=0,13&lt;='01_Вводные'!$B$297),0,'19_Расчет_аналитики'!BI1460*IF('01_Вводные'!$B$239="Да",MeanMinAge13+'19_Расчет_аналитики'!BI1571*SUMIF(ThresholdAge13,"&lt;"&amp;'19_Расчет_аналитики'!BI1571,WeightedRevAge13)-SUMIF(ThresholdAge13,"&lt;"&amp;'19_Расчет_аналитики'!BI1571,WeightedMinAge13),MAX(CapacityAge13*'01_Вводные'!$B$218*'19_Расчет_аналитики'!BI1571,MeanMinAge13)))</f>
        <v/>
      </c>
      <c r="BJ1488">
        <f>IF(OR('19_Расчет_аналитики'!BJ1460=0,13&lt;='01_Вводные'!$B$297),0,'19_Расчет_аналитики'!BJ1460*IF('01_Вводные'!$B$239="Да",MeanMinAge13+'19_Расчет_аналитики'!BJ1571*SUMIF(ThresholdAge13,"&lt;"&amp;'19_Расчет_аналитики'!BJ1571,WeightedRevAge13)-SUMIF(ThresholdAge13,"&lt;"&amp;'19_Расчет_аналитики'!BJ1571,WeightedMinAge13),MAX(CapacityAge13*'01_Вводные'!$B$218*'19_Расчет_аналитики'!BJ1571,MeanMinAge13)))</f>
        <v/>
      </c>
      <c r="BK1488">
        <f>IF(OR('19_Расчет_аналитики'!BK1460=0,13&lt;='01_Вводные'!$B$297),0,'19_Расчет_аналитики'!BK1460*IF('01_Вводные'!$B$239="Да",MeanMinAge13+'19_Расчет_аналитики'!BK1571*SUMIF(ThresholdAge13,"&lt;"&amp;'19_Расчет_аналитики'!BK1571,WeightedRevAge13)-SUMIF(ThresholdAge13,"&lt;"&amp;'19_Расчет_аналитики'!BK1571,WeightedMinAge13),MAX(CapacityAge13*'01_Вводные'!$B$218*'19_Расчет_аналитики'!BK1571,MeanMinAge13)))</f>
        <v/>
      </c>
      <c r="BL1488">
        <f>IF(OR('19_Расчет_аналитики'!BL1460=0,13&lt;='01_Вводные'!$B$297),0,'19_Расчет_аналитики'!BL1460*IF('01_Вводные'!$B$239="Да",MeanMinAge13+'19_Расчет_аналитики'!BL1571*SUMIF(ThresholdAge13,"&lt;"&amp;'19_Расчет_аналитики'!BL1571,WeightedRevAge13)-SUMIF(ThresholdAge13,"&lt;"&amp;'19_Расчет_аналитики'!BL1571,WeightedMinAge13),MAX(CapacityAge13*'01_Вводные'!$B$218*'19_Расчет_аналитики'!BL1571,MeanMinAge13)))</f>
        <v/>
      </c>
      <c r="BM1488">
        <f>IF(OR('19_Расчет_аналитики'!BM1460=0,13&lt;='01_Вводные'!$B$297),0,'19_Расчет_аналитики'!BM1460*IF('01_Вводные'!$B$239="Да",MeanMinAge13+'19_Расчет_аналитики'!BM1571*SUMIF(ThresholdAge13,"&lt;"&amp;'19_Расчет_аналитики'!BM1571,WeightedRevAge13)-SUMIF(ThresholdAge13,"&lt;"&amp;'19_Расчет_аналитики'!BM1571,WeightedMinAge13),MAX(CapacityAge13*'01_Вводные'!$B$218*'19_Расчет_аналитики'!BM1571,MeanMinAge13)))</f>
        <v/>
      </c>
      <c r="BN1488">
        <f>IF(OR('19_Расчет_аналитики'!BN1460=0,13&lt;='01_Вводные'!$B$297),0,'19_Расчет_аналитики'!BN1460*IF('01_Вводные'!$B$239="Да",MeanMinAge13+'19_Расчет_аналитики'!BN1571*SUMIF(ThresholdAge13,"&lt;"&amp;'19_Расчет_аналитики'!BN1571,WeightedRevAge13)-SUMIF(ThresholdAge13,"&lt;"&amp;'19_Расчет_аналитики'!BN1571,WeightedMinAge13),MAX(CapacityAge13*'01_Вводные'!$B$218*'19_Расчет_аналитики'!BN1571,MeanMinAge13)))</f>
        <v/>
      </c>
      <c r="BO1488">
        <f>IF(OR('19_Расчет_аналитики'!BO1460=0,13&lt;='01_Вводные'!$B$297),0,'19_Расчет_аналитики'!BO1460*IF('01_Вводные'!$B$239="Да",MeanMinAge13+'19_Расчет_аналитики'!BO1571*SUMIF(ThresholdAge13,"&lt;"&amp;'19_Расчет_аналитики'!BO1571,WeightedRevAge13)-SUMIF(ThresholdAge13,"&lt;"&amp;'19_Расчет_аналитики'!BO1571,WeightedMinAge13),MAX(CapacityAge13*'01_Вводные'!$B$218*'19_Расчет_аналитики'!BO1571,MeanMinAge13)))</f>
        <v/>
      </c>
    </row>
    <row r="1489">
      <c r="B1489">
        <f>IF(OR('06_Сеть_и_дети'!B94=0,14&lt;='01_Вводные'!$B$297),0,'06_Сеть_и_дети'!B94*IF('01_Вводные'!$B$239="Да",MeanMinAge14+'19_Расчет_аналитики'!B1571*SUMIF(ThresholdAge14,"&lt;"&amp;'19_Расчет_аналитики'!B1571,WeightedRevAge14)-SUMIF(ThresholdAge14,"&lt;"&amp;'19_Расчет_аналитики'!B1571,WeightedMinAge14),MAX(CapacityAge14*'01_Вводные'!$B$218*'19_Расчет_аналитики'!B1571,MeanMinAge14)))</f>
        <v/>
      </c>
      <c r="C1489">
        <f>IF(OR('06_Сеть_и_дети'!C94=0,14&lt;='01_Вводные'!$B$297),0,'06_Сеть_и_дети'!C94*IF('01_Вводные'!$B$239="Да",MeanMinAge14+'19_Расчет_аналитики'!C1571*SUMIF(ThresholdAge14,"&lt;"&amp;'19_Расчет_аналитики'!C1571,WeightedRevAge14)-SUMIF(ThresholdAge14,"&lt;"&amp;'19_Расчет_аналитики'!C1571,WeightedMinAge14),MAX(CapacityAge14*'01_Вводные'!$B$218*'19_Расчет_аналитики'!C1571,MeanMinAge14)))</f>
        <v/>
      </c>
      <c r="D1489">
        <f>IF(OR('06_Сеть_и_дети'!D94=0,14&lt;='01_Вводные'!$B$297),0,'06_Сеть_и_дети'!D94*IF('01_Вводные'!$B$239="Да",MeanMinAge14+'19_Расчет_аналитики'!D1571*SUMIF(ThresholdAge14,"&lt;"&amp;'19_Расчет_аналитики'!D1571,WeightedRevAge14)-SUMIF(ThresholdAge14,"&lt;"&amp;'19_Расчет_аналитики'!D1571,WeightedMinAge14),MAX(CapacityAge14*'01_Вводные'!$B$218*'19_Расчет_аналитики'!D1571,MeanMinAge14)))</f>
        <v/>
      </c>
      <c r="E1489">
        <f>IF(OR('06_Сеть_и_дети'!E94=0,14&lt;='01_Вводные'!$B$297),0,'06_Сеть_и_дети'!E94*IF('01_Вводные'!$B$239="Да",MeanMinAge14+'19_Расчет_аналитики'!E1571*SUMIF(ThresholdAge14,"&lt;"&amp;'19_Расчет_аналитики'!E1571,WeightedRevAge14)-SUMIF(ThresholdAge14,"&lt;"&amp;'19_Расчет_аналитики'!E1571,WeightedMinAge14),MAX(CapacityAge14*'01_Вводные'!$B$218*'19_Расчет_аналитики'!E1571,MeanMinAge14)))</f>
        <v/>
      </c>
      <c r="F1489">
        <f>IF(OR('06_Сеть_и_дети'!F94=0,14&lt;='01_Вводные'!$B$297),0,'06_Сеть_и_дети'!F94*IF('01_Вводные'!$B$239="Да",MeanMinAge14+'19_Расчет_аналитики'!F1571*SUMIF(ThresholdAge14,"&lt;"&amp;'19_Расчет_аналитики'!F1571,WeightedRevAge14)-SUMIF(ThresholdAge14,"&lt;"&amp;'19_Расчет_аналитики'!F1571,WeightedMinAge14),MAX(CapacityAge14*'01_Вводные'!$B$218*'19_Расчет_аналитики'!F1571,MeanMinAge14)))</f>
        <v/>
      </c>
      <c r="G1489">
        <f>IF(OR('06_Сеть_и_дети'!G94=0,14&lt;='01_Вводные'!$B$297),0,'06_Сеть_и_дети'!G94*IF('01_Вводные'!$B$239="Да",MeanMinAge14+'19_Расчет_аналитики'!G1571*SUMIF(ThresholdAge14,"&lt;"&amp;'19_Расчет_аналитики'!G1571,WeightedRevAge14)-SUMIF(ThresholdAge14,"&lt;"&amp;'19_Расчет_аналитики'!G1571,WeightedMinAge14),MAX(CapacityAge14*'01_Вводные'!$B$218*'19_Расчет_аналитики'!G1571,MeanMinAge14)))</f>
        <v/>
      </c>
      <c r="H1489">
        <f>IF(OR('06_Сеть_и_дети'!H94=0,14&lt;='01_Вводные'!$B$297),0,'06_Сеть_и_дети'!H94*IF('01_Вводные'!$B$239="Да",MeanMinAge14+'19_Расчет_аналитики'!H1571*SUMIF(ThresholdAge14,"&lt;"&amp;'19_Расчет_аналитики'!H1571,WeightedRevAge14)-SUMIF(ThresholdAge14,"&lt;"&amp;'19_Расчет_аналитики'!H1571,WeightedMinAge14),MAX(CapacityAge14*'01_Вводные'!$B$218*'19_Расчет_аналитики'!H1571,MeanMinAge14)))</f>
        <v/>
      </c>
      <c r="I1489">
        <f>IF(OR('06_Сеть_и_дети'!I94=0,14&lt;='01_Вводные'!$B$297),0,'06_Сеть_и_дети'!I94*IF('01_Вводные'!$B$239="Да",MeanMinAge14+'19_Расчет_аналитики'!I1571*SUMIF(ThresholdAge14,"&lt;"&amp;'19_Расчет_аналитики'!I1571,WeightedRevAge14)-SUMIF(ThresholdAge14,"&lt;"&amp;'19_Расчет_аналитики'!I1571,WeightedMinAge14),MAX(CapacityAge14*'01_Вводные'!$B$218*'19_Расчет_аналитики'!I1571,MeanMinAge14)))</f>
        <v/>
      </c>
      <c r="J1489">
        <f>IF(OR('06_Сеть_и_дети'!J94=0,14&lt;='01_Вводные'!$B$297),0,'06_Сеть_и_дети'!J94*IF('01_Вводные'!$B$239="Да",MeanMinAge14+'19_Расчет_аналитики'!J1571*SUMIF(ThresholdAge14,"&lt;"&amp;'19_Расчет_аналитики'!J1571,WeightedRevAge14)-SUMIF(ThresholdAge14,"&lt;"&amp;'19_Расчет_аналитики'!J1571,WeightedMinAge14),MAX(CapacityAge14*'01_Вводные'!$B$218*'19_Расчет_аналитики'!J1571,MeanMinAge14)))</f>
        <v/>
      </c>
      <c r="K1489">
        <f>IF(OR('06_Сеть_и_дети'!K94=0,14&lt;='01_Вводные'!$B$297),0,'06_Сеть_и_дети'!K94*IF('01_Вводные'!$B$239="Да",MeanMinAge14+'19_Расчет_аналитики'!K1571*SUMIF(ThresholdAge14,"&lt;"&amp;'19_Расчет_аналитики'!K1571,WeightedRevAge14)-SUMIF(ThresholdAge14,"&lt;"&amp;'19_Расчет_аналитики'!K1571,WeightedMinAge14),MAX(CapacityAge14*'01_Вводные'!$B$218*'19_Расчет_аналитики'!K1571,MeanMinAge14)))</f>
        <v/>
      </c>
      <c r="L1489">
        <f>IF(OR('06_Сеть_и_дети'!L94=0,14&lt;='01_Вводные'!$B$297),0,'06_Сеть_и_дети'!L94*IF('01_Вводные'!$B$239="Да",MeanMinAge14+'19_Расчет_аналитики'!L1571*SUMIF(ThresholdAge14,"&lt;"&amp;'19_Расчет_аналитики'!L1571,WeightedRevAge14)-SUMIF(ThresholdAge14,"&lt;"&amp;'19_Расчет_аналитики'!L1571,WeightedMinAge14),MAX(CapacityAge14*'01_Вводные'!$B$218*'19_Расчет_аналитики'!L1571,MeanMinAge14)))</f>
        <v/>
      </c>
      <c r="M1489">
        <f>IF(OR('06_Сеть_и_дети'!M94=0,14&lt;='01_Вводные'!$B$297),0,'06_Сеть_и_дети'!M94*IF('01_Вводные'!$B$239="Да",MeanMinAge14+'19_Расчет_аналитики'!M1571*SUMIF(ThresholdAge14,"&lt;"&amp;'19_Расчет_аналитики'!M1571,WeightedRevAge14)-SUMIF(ThresholdAge14,"&lt;"&amp;'19_Расчет_аналитики'!M1571,WeightedMinAge14),MAX(CapacityAge14*'01_Вводные'!$B$218*'19_Расчет_аналитики'!M1571,MeanMinAge14)))</f>
        <v/>
      </c>
      <c r="N1489">
        <f>IF(OR('06_Сеть_и_дети'!N94=0,14&lt;='01_Вводные'!$B$297),0,'06_Сеть_и_дети'!N94*IF('01_Вводные'!$B$239="Да",MeanMinAge14+'19_Расчет_аналитики'!N1571*SUMIF(ThresholdAge14,"&lt;"&amp;'19_Расчет_аналитики'!N1571,WeightedRevAge14)-SUMIF(ThresholdAge14,"&lt;"&amp;'19_Расчет_аналитики'!N1571,WeightedMinAge14),MAX(CapacityAge14*'01_Вводные'!$B$218*'19_Расчет_аналитики'!N1571,MeanMinAge14)))</f>
        <v/>
      </c>
      <c r="O1489">
        <f>IF(OR('19_Расчет_аналитики'!O1461=0,14&lt;='01_Вводные'!$B$297),0,'19_Расчет_аналитики'!O1461*IF('01_Вводные'!$B$239="Да",MeanMinAge14+'19_Расчет_аналитики'!O1571*SUMIF(ThresholdAge14,"&lt;"&amp;'19_Расчет_аналитики'!O1571,WeightedRevAge14)-SUMIF(ThresholdAge14,"&lt;"&amp;'19_Расчет_аналитики'!O1571,WeightedMinAge14),MAX(CapacityAge14*'01_Вводные'!$B$218*'19_Расчет_аналитики'!O1571,MeanMinAge14)))</f>
        <v/>
      </c>
      <c r="P1489">
        <f>IF(OR('19_Расчет_аналитики'!P1461=0,14&lt;='01_Вводные'!$B$297),0,'19_Расчет_аналитики'!P1461*IF('01_Вводные'!$B$239="Да",MeanMinAge14+'19_Расчет_аналитики'!P1571*SUMIF(ThresholdAge14,"&lt;"&amp;'19_Расчет_аналитики'!P1571,WeightedRevAge14)-SUMIF(ThresholdAge14,"&lt;"&amp;'19_Расчет_аналитики'!P1571,WeightedMinAge14),MAX(CapacityAge14*'01_Вводные'!$B$218*'19_Расчет_аналитики'!P1571,MeanMinAge14)))</f>
        <v/>
      </c>
      <c r="Q1489">
        <f>IF(OR('19_Расчет_аналитики'!Q1461=0,14&lt;='01_Вводные'!$B$297),0,'19_Расчет_аналитики'!Q1461*IF('01_Вводные'!$B$239="Да",MeanMinAge14+'19_Расчет_аналитики'!Q1571*SUMIF(ThresholdAge14,"&lt;"&amp;'19_Расчет_аналитики'!Q1571,WeightedRevAge14)-SUMIF(ThresholdAge14,"&lt;"&amp;'19_Расчет_аналитики'!Q1571,WeightedMinAge14),MAX(CapacityAge14*'01_Вводные'!$B$218*'19_Расчет_аналитики'!Q1571,MeanMinAge14)))</f>
        <v/>
      </c>
      <c r="R1489">
        <f>IF(OR('19_Расчет_аналитики'!R1461=0,14&lt;='01_Вводные'!$B$297),0,'19_Расчет_аналитики'!R1461*IF('01_Вводные'!$B$239="Да",MeanMinAge14+'19_Расчет_аналитики'!R1571*SUMIF(ThresholdAge14,"&lt;"&amp;'19_Расчет_аналитики'!R1571,WeightedRevAge14)-SUMIF(ThresholdAge14,"&lt;"&amp;'19_Расчет_аналитики'!R1571,WeightedMinAge14),MAX(CapacityAge14*'01_Вводные'!$B$218*'19_Расчет_аналитики'!R1571,MeanMinAge14)))</f>
        <v/>
      </c>
      <c r="S1489">
        <f>IF(OR('19_Расчет_аналитики'!S1461=0,14&lt;='01_Вводные'!$B$297),0,'19_Расчет_аналитики'!S1461*IF('01_Вводные'!$B$239="Да",MeanMinAge14+'19_Расчет_аналитики'!S1571*SUMIF(ThresholdAge14,"&lt;"&amp;'19_Расчет_аналитики'!S1571,WeightedRevAge14)-SUMIF(ThresholdAge14,"&lt;"&amp;'19_Расчет_аналитики'!S1571,WeightedMinAge14),MAX(CapacityAge14*'01_Вводные'!$B$218*'19_Расчет_аналитики'!S1571,MeanMinAge14)))</f>
        <v/>
      </c>
      <c r="T1489">
        <f>IF(OR('19_Расчет_аналитики'!T1461=0,14&lt;='01_Вводные'!$B$297),0,'19_Расчет_аналитики'!T1461*IF('01_Вводные'!$B$239="Да",MeanMinAge14+'19_Расчет_аналитики'!T1571*SUMIF(ThresholdAge14,"&lt;"&amp;'19_Расчет_аналитики'!T1571,WeightedRevAge14)-SUMIF(ThresholdAge14,"&lt;"&amp;'19_Расчет_аналитики'!T1571,WeightedMinAge14),MAX(CapacityAge14*'01_Вводные'!$B$218*'19_Расчет_аналитики'!T1571,MeanMinAge14)))</f>
        <v/>
      </c>
      <c r="U1489">
        <f>IF(OR('19_Расчет_аналитики'!U1461=0,14&lt;='01_Вводные'!$B$297),0,'19_Расчет_аналитики'!U1461*IF('01_Вводные'!$B$239="Да",MeanMinAge14+'19_Расчет_аналитики'!U1571*SUMIF(ThresholdAge14,"&lt;"&amp;'19_Расчет_аналитики'!U1571,WeightedRevAge14)-SUMIF(ThresholdAge14,"&lt;"&amp;'19_Расчет_аналитики'!U1571,WeightedMinAge14),MAX(CapacityAge14*'01_Вводные'!$B$218*'19_Расчет_аналитики'!U1571,MeanMinAge14)))</f>
        <v/>
      </c>
      <c r="V1489">
        <f>IF(OR('19_Расчет_аналитики'!V1461=0,14&lt;='01_Вводные'!$B$297),0,'19_Расчет_аналитики'!V1461*IF('01_Вводные'!$B$239="Да",MeanMinAge14+'19_Расчет_аналитики'!V1571*SUMIF(ThresholdAge14,"&lt;"&amp;'19_Расчет_аналитики'!V1571,WeightedRevAge14)-SUMIF(ThresholdAge14,"&lt;"&amp;'19_Расчет_аналитики'!V1571,WeightedMinAge14),MAX(CapacityAge14*'01_Вводные'!$B$218*'19_Расчет_аналитики'!V1571,MeanMinAge14)))</f>
        <v/>
      </c>
      <c r="W1489">
        <f>IF(OR('19_Расчет_аналитики'!W1461=0,14&lt;='01_Вводные'!$B$297),0,'19_Расчет_аналитики'!W1461*IF('01_Вводные'!$B$239="Да",MeanMinAge14+'19_Расчет_аналитики'!W1571*SUMIF(ThresholdAge14,"&lt;"&amp;'19_Расчет_аналитики'!W1571,WeightedRevAge14)-SUMIF(ThresholdAge14,"&lt;"&amp;'19_Расчет_аналитики'!W1571,WeightedMinAge14),MAX(CapacityAge14*'01_Вводные'!$B$218*'19_Расчет_аналитики'!W1571,MeanMinAge14)))</f>
        <v/>
      </c>
      <c r="X1489">
        <f>IF(OR('19_Расчет_аналитики'!X1461=0,14&lt;='01_Вводные'!$B$297),0,'19_Расчет_аналитики'!X1461*IF('01_Вводные'!$B$239="Да",MeanMinAge14+'19_Расчет_аналитики'!X1571*SUMIF(ThresholdAge14,"&lt;"&amp;'19_Расчет_аналитики'!X1571,WeightedRevAge14)-SUMIF(ThresholdAge14,"&lt;"&amp;'19_Расчет_аналитики'!X1571,WeightedMinAge14),MAX(CapacityAge14*'01_Вводные'!$B$218*'19_Расчет_аналитики'!X1571,MeanMinAge14)))</f>
        <v/>
      </c>
      <c r="Y1489">
        <f>IF(OR('19_Расчет_аналитики'!Y1461=0,14&lt;='01_Вводные'!$B$297),0,'19_Расчет_аналитики'!Y1461*IF('01_Вводные'!$B$239="Да",MeanMinAge14+'19_Расчет_аналитики'!Y1571*SUMIF(ThresholdAge14,"&lt;"&amp;'19_Расчет_аналитики'!Y1571,WeightedRevAge14)-SUMIF(ThresholdAge14,"&lt;"&amp;'19_Расчет_аналитики'!Y1571,WeightedMinAge14),MAX(CapacityAge14*'01_Вводные'!$B$218*'19_Расчет_аналитики'!Y1571,MeanMinAge14)))</f>
        <v/>
      </c>
      <c r="Z1489">
        <f>IF(OR('19_Расчет_аналитики'!Z1461=0,14&lt;='01_Вводные'!$B$297),0,'19_Расчет_аналитики'!Z1461*IF('01_Вводные'!$B$239="Да",MeanMinAge14+'19_Расчет_аналитики'!Z1571*SUMIF(ThresholdAge14,"&lt;"&amp;'19_Расчет_аналитики'!Z1571,WeightedRevAge14)-SUMIF(ThresholdAge14,"&lt;"&amp;'19_Расчет_аналитики'!Z1571,WeightedMinAge14),MAX(CapacityAge14*'01_Вводные'!$B$218*'19_Расчет_аналитики'!Z1571,MeanMinAge14)))</f>
        <v/>
      </c>
      <c r="AA1489">
        <f>IF(OR('19_Расчет_аналитики'!AA1461=0,14&lt;='01_Вводные'!$B$297),0,'19_Расчет_аналитики'!AA1461*IF('01_Вводные'!$B$239="Да",MeanMinAge14+'19_Расчет_аналитики'!AA1571*SUMIF(ThresholdAge14,"&lt;"&amp;'19_Расчет_аналитики'!AA1571,WeightedRevAge14)-SUMIF(ThresholdAge14,"&lt;"&amp;'19_Расчет_аналитики'!AA1571,WeightedMinAge14),MAX(CapacityAge14*'01_Вводные'!$B$218*'19_Расчет_аналитики'!AA1571,MeanMinAge14)))</f>
        <v/>
      </c>
      <c r="AB1489">
        <f>IF(OR('19_Расчет_аналитики'!AB1461=0,14&lt;='01_Вводные'!$B$297),0,'19_Расчет_аналитики'!AB1461*IF('01_Вводные'!$B$239="Да",MeanMinAge14+'19_Расчет_аналитики'!AB1571*SUMIF(ThresholdAge14,"&lt;"&amp;'19_Расчет_аналитики'!AB1571,WeightedRevAge14)-SUMIF(ThresholdAge14,"&lt;"&amp;'19_Расчет_аналитики'!AB1571,WeightedMinAge14),MAX(CapacityAge14*'01_Вводные'!$B$218*'19_Расчет_аналитики'!AB1571,MeanMinAge14)))</f>
        <v/>
      </c>
      <c r="AC1489">
        <f>IF(OR('19_Расчет_аналитики'!AC1461=0,14&lt;='01_Вводные'!$B$297),0,'19_Расчет_аналитики'!AC1461*IF('01_Вводные'!$B$239="Да",MeanMinAge14+'19_Расчет_аналитики'!AC1571*SUMIF(ThresholdAge14,"&lt;"&amp;'19_Расчет_аналитики'!AC1571,WeightedRevAge14)-SUMIF(ThresholdAge14,"&lt;"&amp;'19_Расчет_аналитики'!AC1571,WeightedMinAge14),MAX(CapacityAge14*'01_Вводные'!$B$218*'19_Расчет_аналитики'!AC1571,MeanMinAge14)))</f>
        <v/>
      </c>
      <c r="AD1489">
        <f>IF(OR('19_Расчет_аналитики'!AD1461=0,14&lt;='01_Вводные'!$B$297),0,'19_Расчет_аналитики'!AD1461*IF('01_Вводные'!$B$239="Да",MeanMinAge14+'19_Расчет_аналитики'!AD1571*SUMIF(ThresholdAge14,"&lt;"&amp;'19_Расчет_аналитики'!AD1571,WeightedRevAge14)-SUMIF(ThresholdAge14,"&lt;"&amp;'19_Расчет_аналитики'!AD1571,WeightedMinAge14),MAX(CapacityAge14*'01_Вводные'!$B$218*'19_Расчет_аналитики'!AD1571,MeanMinAge14)))</f>
        <v/>
      </c>
      <c r="AE1489">
        <f>IF(OR('19_Расчет_аналитики'!AE1461=0,14&lt;='01_Вводные'!$B$297),0,'19_Расчет_аналитики'!AE1461*IF('01_Вводные'!$B$239="Да",MeanMinAge14+'19_Расчет_аналитики'!AE1571*SUMIF(ThresholdAge14,"&lt;"&amp;'19_Расчет_аналитики'!AE1571,WeightedRevAge14)-SUMIF(ThresholdAge14,"&lt;"&amp;'19_Расчет_аналитики'!AE1571,WeightedMinAge14),MAX(CapacityAge14*'01_Вводные'!$B$218*'19_Расчет_аналитики'!AE1571,MeanMinAge14)))</f>
        <v/>
      </c>
      <c r="AF1489">
        <f>IF(OR('19_Расчет_аналитики'!AF1461=0,14&lt;='01_Вводные'!$B$297),0,'19_Расчет_аналитики'!AF1461*IF('01_Вводные'!$B$239="Да",MeanMinAge14+'19_Расчет_аналитики'!AF1571*SUMIF(ThresholdAge14,"&lt;"&amp;'19_Расчет_аналитики'!AF1571,WeightedRevAge14)-SUMIF(ThresholdAge14,"&lt;"&amp;'19_Расчет_аналитики'!AF1571,WeightedMinAge14),MAX(CapacityAge14*'01_Вводные'!$B$218*'19_Расчет_аналитики'!AF1571,MeanMinAge14)))</f>
        <v/>
      </c>
      <c r="AG1489">
        <f>IF(OR('19_Расчет_аналитики'!AG1461=0,14&lt;='01_Вводные'!$B$297),0,'19_Расчет_аналитики'!AG1461*IF('01_Вводные'!$B$239="Да",MeanMinAge14+'19_Расчет_аналитики'!AG1571*SUMIF(ThresholdAge14,"&lt;"&amp;'19_Расчет_аналитики'!AG1571,WeightedRevAge14)-SUMIF(ThresholdAge14,"&lt;"&amp;'19_Расчет_аналитики'!AG1571,WeightedMinAge14),MAX(CapacityAge14*'01_Вводные'!$B$218*'19_Расчет_аналитики'!AG1571,MeanMinAge14)))</f>
        <v/>
      </c>
      <c r="AH1489">
        <f>IF(OR('19_Расчет_аналитики'!AH1461=0,14&lt;='01_Вводные'!$B$297),0,'19_Расчет_аналитики'!AH1461*IF('01_Вводные'!$B$239="Да",MeanMinAge14+'19_Расчет_аналитики'!AH1571*SUMIF(ThresholdAge14,"&lt;"&amp;'19_Расчет_аналитики'!AH1571,WeightedRevAge14)-SUMIF(ThresholdAge14,"&lt;"&amp;'19_Расчет_аналитики'!AH1571,WeightedMinAge14),MAX(CapacityAge14*'01_Вводные'!$B$218*'19_Расчет_аналитики'!AH1571,MeanMinAge14)))</f>
        <v/>
      </c>
      <c r="AI1489">
        <f>IF(OR('19_Расчет_аналитики'!AI1461=0,14&lt;='01_Вводные'!$B$297),0,'19_Расчет_аналитики'!AI1461*IF('01_Вводные'!$B$239="Да",MeanMinAge14+'19_Расчет_аналитики'!AI1571*SUMIF(ThresholdAge14,"&lt;"&amp;'19_Расчет_аналитики'!AI1571,WeightedRevAge14)-SUMIF(ThresholdAge14,"&lt;"&amp;'19_Расчет_аналитики'!AI1571,WeightedMinAge14),MAX(CapacityAge14*'01_Вводные'!$B$218*'19_Расчет_аналитики'!AI1571,MeanMinAge14)))</f>
        <v/>
      </c>
      <c r="AJ1489">
        <f>IF(OR('19_Расчет_аналитики'!AJ1461=0,14&lt;='01_Вводные'!$B$297),0,'19_Расчет_аналитики'!AJ1461*IF('01_Вводные'!$B$239="Да",MeanMinAge14+'19_Расчет_аналитики'!AJ1571*SUMIF(ThresholdAge14,"&lt;"&amp;'19_Расчет_аналитики'!AJ1571,WeightedRevAge14)-SUMIF(ThresholdAge14,"&lt;"&amp;'19_Расчет_аналитики'!AJ1571,WeightedMinAge14),MAX(CapacityAge14*'01_Вводные'!$B$218*'19_Расчет_аналитики'!AJ1571,MeanMinAge14)))</f>
        <v/>
      </c>
      <c r="AK1489">
        <f>IF(OR('19_Расчет_аналитики'!AK1461=0,14&lt;='01_Вводные'!$B$297),0,'19_Расчет_аналитики'!AK1461*IF('01_Вводные'!$B$239="Да",MeanMinAge14+'19_Расчет_аналитики'!AK1571*SUMIF(ThresholdAge14,"&lt;"&amp;'19_Расчет_аналитики'!AK1571,WeightedRevAge14)-SUMIF(ThresholdAge14,"&lt;"&amp;'19_Расчет_аналитики'!AK1571,WeightedMinAge14),MAX(CapacityAge14*'01_Вводные'!$B$218*'19_Расчет_аналитики'!AK1571,MeanMinAge14)))</f>
        <v/>
      </c>
      <c r="AL1489">
        <f>IF(OR('19_Расчет_аналитики'!AL1461=0,14&lt;='01_Вводные'!$B$297),0,'19_Расчет_аналитики'!AL1461*IF('01_Вводные'!$B$239="Да",MeanMinAge14+'19_Расчет_аналитики'!AL1571*SUMIF(ThresholdAge14,"&lt;"&amp;'19_Расчет_аналитики'!AL1571,WeightedRevAge14)-SUMIF(ThresholdAge14,"&lt;"&amp;'19_Расчет_аналитики'!AL1571,WeightedMinAge14),MAX(CapacityAge14*'01_Вводные'!$B$218*'19_Расчет_аналитики'!AL1571,MeanMinAge14)))</f>
        <v/>
      </c>
      <c r="AM1489">
        <f>IF(OR('19_Расчет_аналитики'!AM1461=0,14&lt;='01_Вводные'!$B$297),0,'19_Расчет_аналитики'!AM1461*IF('01_Вводные'!$B$239="Да",MeanMinAge14+'19_Расчет_аналитики'!AM1571*SUMIF(ThresholdAge14,"&lt;"&amp;'19_Расчет_аналитики'!AM1571,WeightedRevAge14)-SUMIF(ThresholdAge14,"&lt;"&amp;'19_Расчет_аналитики'!AM1571,WeightedMinAge14),MAX(CapacityAge14*'01_Вводные'!$B$218*'19_Расчет_аналитики'!AM1571,MeanMinAge14)))</f>
        <v/>
      </c>
      <c r="AN1489">
        <f>IF(OR('19_Расчет_аналитики'!AN1461=0,14&lt;='01_Вводные'!$B$297),0,'19_Расчет_аналитики'!AN1461*IF('01_Вводные'!$B$239="Да",MeanMinAge14+'19_Расчет_аналитики'!AN1571*SUMIF(ThresholdAge14,"&lt;"&amp;'19_Расчет_аналитики'!AN1571,WeightedRevAge14)-SUMIF(ThresholdAge14,"&lt;"&amp;'19_Расчет_аналитики'!AN1571,WeightedMinAge14),MAX(CapacityAge14*'01_Вводные'!$B$218*'19_Расчет_аналитики'!AN1571,MeanMinAge14)))</f>
        <v/>
      </c>
      <c r="AO1489">
        <f>IF(OR('19_Расчет_аналитики'!AO1461=0,14&lt;='01_Вводные'!$B$297),0,'19_Расчет_аналитики'!AO1461*IF('01_Вводные'!$B$239="Да",MeanMinAge14+'19_Расчет_аналитики'!AO1571*SUMIF(ThresholdAge14,"&lt;"&amp;'19_Расчет_аналитики'!AO1571,WeightedRevAge14)-SUMIF(ThresholdAge14,"&lt;"&amp;'19_Расчет_аналитики'!AO1571,WeightedMinAge14),MAX(CapacityAge14*'01_Вводные'!$B$218*'19_Расчет_аналитики'!AO1571,MeanMinAge14)))</f>
        <v/>
      </c>
      <c r="AP1489">
        <f>IF(OR('19_Расчет_аналитики'!AP1461=0,14&lt;='01_Вводные'!$B$297),0,'19_Расчет_аналитики'!AP1461*IF('01_Вводные'!$B$239="Да",MeanMinAge14+'19_Расчет_аналитики'!AP1571*SUMIF(ThresholdAge14,"&lt;"&amp;'19_Расчет_аналитики'!AP1571,WeightedRevAge14)-SUMIF(ThresholdAge14,"&lt;"&amp;'19_Расчет_аналитики'!AP1571,WeightedMinAge14),MAX(CapacityAge14*'01_Вводные'!$B$218*'19_Расчет_аналитики'!AP1571,MeanMinAge14)))</f>
        <v/>
      </c>
      <c r="AQ1489">
        <f>IF(OR('19_Расчет_аналитики'!AQ1461=0,14&lt;='01_Вводные'!$B$297),0,'19_Расчет_аналитики'!AQ1461*IF('01_Вводные'!$B$239="Да",MeanMinAge14+'19_Расчет_аналитики'!AQ1571*SUMIF(ThresholdAge14,"&lt;"&amp;'19_Расчет_аналитики'!AQ1571,WeightedRevAge14)-SUMIF(ThresholdAge14,"&lt;"&amp;'19_Расчет_аналитики'!AQ1571,WeightedMinAge14),MAX(CapacityAge14*'01_Вводные'!$B$218*'19_Расчет_аналитики'!AQ1571,MeanMinAge14)))</f>
        <v/>
      </c>
      <c r="AR1489">
        <f>IF(OR('19_Расчет_аналитики'!AR1461=0,14&lt;='01_Вводные'!$B$297),0,'19_Расчет_аналитики'!AR1461*IF('01_Вводные'!$B$239="Да",MeanMinAge14+'19_Расчет_аналитики'!AR1571*SUMIF(ThresholdAge14,"&lt;"&amp;'19_Расчет_аналитики'!AR1571,WeightedRevAge14)-SUMIF(ThresholdAge14,"&lt;"&amp;'19_Расчет_аналитики'!AR1571,WeightedMinAge14),MAX(CapacityAge14*'01_Вводные'!$B$218*'19_Расчет_аналитики'!AR1571,MeanMinAge14)))</f>
        <v/>
      </c>
      <c r="AS1489">
        <f>IF(OR('19_Расчет_аналитики'!AS1461=0,14&lt;='01_Вводные'!$B$297),0,'19_Расчет_аналитики'!AS1461*IF('01_Вводные'!$B$239="Да",MeanMinAge14+'19_Расчет_аналитики'!AS1571*SUMIF(ThresholdAge14,"&lt;"&amp;'19_Расчет_аналитики'!AS1571,WeightedRevAge14)-SUMIF(ThresholdAge14,"&lt;"&amp;'19_Расчет_аналитики'!AS1571,WeightedMinAge14),MAX(CapacityAge14*'01_Вводные'!$B$218*'19_Расчет_аналитики'!AS1571,MeanMinAge14)))</f>
        <v/>
      </c>
      <c r="AT1489">
        <f>IF(OR('19_Расчет_аналитики'!AT1461=0,14&lt;='01_Вводные'!$B$297),0,'19_Расчет_аналитики'!AT1461*IF('01_Вводные'!$B$239="Да",MeanMinAge14+'19_Расчет_аналитики'!AT1571*SUMIF(ThresholdAge14,"&lt;"&amp;'19_Расчет_аналитики'!AT1571,WeightedRevAge14)-SUMIF(ThresholdAge14,"&lt;"&amp;'19_Расчет_аналитики'!AT1571,WeightedMinAge14),MAX(CapacityAge14*'01_Вводные'!$B$218*'19_Расчет_аналитики'!AT1571,MeanMinAge14)))</f>
        <v/>
      </c>
      <c r="AU1489">
        <f>IF(OR('19_Расчет_аналитики'!AU1461=0,14&lt;='01_Вводные'!$B$297),0,'19_Расчет_аналитики'!AU1461*IF('01_Вводные'!$B$239="Да",MeanMinAge14+'19_Расчет_аналитики'!AU1571*SUMIF(ThresholdAge14,"&lt;"&amp;'19_Расчет_аналитики'!AU1571,WeightedRevAge14)-SUMIF(ThresholdAge14,"&lt;"&amp;'19_Расчет_аналитики'!AU1571,WeightedMinAge14),MAX(CapacityAge14*'01_Вводные'!$B$218*'19_Расчет_аналитики'!AU1571,MeanMinAge14)))</f>
        <v/>
      </c>
      <c r="AV1489">
        <f>IF(OR('19_Расчет_аналитики'!AV1461=0,14&lt;='01_Вводные'!$B$297),0,'19_Расчет_аналитики'!AV1461*IF('01_Вводные'!$B$239="Да",MeanMinAge14+'19_Расчет_аналитики'!AV1571*SUMIF(ThresholdAge14,"&lt;"&amp;'19_Расчет_аналитики'!AV1571,WeightedRevAge14)-SUMIF(ThresholdAge14,"&lt;"&amp;'19_Расчет_аналитики'!AV1571,WeightedMinAge14),MAX(CapacityAge14*'01_Вводные'!$B$218*'19_Расчет_аналитики'!AV1571,MeanMinAge14)))</f>
        <v/>
      </c>
      <c r="AW1489">
        <f>IF(OR('19_Расчет_аналитики'!AW1461=0,14&lt;='01_Вводные'!$B$297),0,'19_Расчет_аналитики'!AW1461*IF('01_Вводные'!$B$239="Да",MeanMinAge14+'19_Расчет_аналитики'!AW1571*SUMIF(ThresholdAge14,"&lt;"&amp;'19_Расчет_аналитики'!AW1571,WeightedRevAge14)-SUMIF(ThresholdAge14,"&lt;"&amp;'19_Расчет_аналитики'!AW1571,WeightedMinAge14),MAX(CapacityAge14*'01_Вводные'!$B$218*'19_Расчет_аналитики'!AW1571,MeanMinAge14)))</f>
        <v/>
      </c>
      <c r="AX1489">
        <f>IF(OR('19_Расчет_аналитики'!AX1461=0,14&lt;='01_Вводные'!$B$297),0,'19_Расчет_аналитики'!AX1461*IF('01_Вводные'!$B$239="Да",MeanMinAge14+'19_Расчет_аналитики'!AX1571*SUMIF(ThresholdAge14,"&lt;"&amp;'19_Расчет_аналитики'!AX1571,WeightedRevAge14)-SUMIF(ThresholdAge14,"&lt;"&amp;'19_Расчет_аналитики'!AX1571,WeightedMinAge14),MAX(CapacityAge14*'01_Вводные'!$B$218*'19_Расчет_аналитики'!AX1571,MeanMinAge14)))</f>
        <v/>
      </c>
      <c r="AY1489">
        <f>IF(OR('19_Расчет_аналитики'!AY1461=0,14&lt;='01_Вводные'!$B$297),0,'19_Расчет_аналитики'!AY1461*IF('01_Вводные'!$B$239="Да",MeanMinAge14+'19_Расчет_аналитики'!AY1571*SUMIF(ThresholdAge14,"&lt;"&amp;'19_Расчет_аналитики'!AY1571,WeightedRevAge14)-SUMIF(ThresholdAge14,"&lt;"&amp;'19_Расчет_аналитики'!AY1571,WeightedMinAge14),MAX(CapacityAge14*'01_Вводные'!$B$218*'19_Расчет_аналитики'!AY1571,MeanMinAge14)))</f>
        <v/>
      </c>
      <c r="AZ1489">
        <f>IF(OR('19_Расчет_аналитики'!AZ1461=0,14&lt;='01_Вводные'!$B$297),0,'19_Расчет_аналитики'!AZ1461*IF('01_Вводные'!$B$239="Да",MeanMinAge14+'19_Расчет_аналитики'!AZ1571*SUMIF(ThresholdAge14,"&lt;"&amp;'19_Расчет_аналитики'!AZ1571,WeightedRevAge14)-SUMIF(ThresholdAge14,"&lt;"&amp;'19_Расчет_аналитики'!AZ1571,WeightedMinAge14),MAX(CapacityAge14*'01_Вводные'!$B$218*'19_Расчет_аналитики'!AZ1571,MeanMinAge14)))</f>
        <v/>
      </c>
      <c r="BA1489">
        <f>IF(OR('19_Расчет_аналитики'!BA1461=0,14&lt;='01_Вводные'!$B$297),0,'19_Расчет_аналитики'!BA1461*IF('01_Вводные'!$B$239="Да",MeanMinAge14+'19_Расчет_аналитики'!BA1571*SUMIF(ThresholdAge14,"&lt;"&amp;'19_Расчет_аналитики'!BA1571,WeightedRevAge14)-SUMIF(ThresholdAge14,"&lt;"&amp;'19_Расчет_аналитики'!BA1571,WeightedMinAge14),MAX(CapacityAge14*'01_Вводные'!$B$218*'19_Расчет_аналитики'!BA1571,MeanMinAge14)))</f>
        <v/>
      </c>
      <c r="BB1489">
        <f>IF(OR('19_Расчет_аналитики'!BB1461=0,14&lt;='01_Вводные'!$B$297),0,'19_Расчет_аналитики'!BB1461*IF('01_Вводные'!$B$239="Да",MeanMinAge14+'19_Расчет_аналитики'!BB1571*SUMIF(ThresholdAge14,"&lt;"&amp;'19_Расчет_аналитики'!BB1571,WeightedRevAge14)-SUMIF(ThresholdAge14,"&lt;"&amp;'19_Расчет_аналитики'!BB1571,WeightedMinAge14),MAX(CapacityAge14*'01_Вводные'!$B$218*'19_Расчет_аналитики'!BB1571,MeanMinAge14)))</f>
        <v/>
      </c>
      <c r="BC1489">
        <f>IF(OR('19_Расчет_аналитики'!BC1461=0,14&lt;='01_Вводные'!$B$297),0,'19_Расчет_аналитики'!BC1461*IF('01_Вводные'!$B$239="Да",MeanMinAge14+'19_Расчет_аналитики'!BC1571*SUMIF(ThresholdAge14,"&lt;"&amp;'19_Расчет_аналитики'!BC1571,WeightedRevAge14)-SUMIF(ThresholdAge14,"&lt;"&amp;'19_Расчет_аналитики'!BC1571,WeightedMinAge14),MAX(CapacityAge14*'01_Вводные'!$B$218*'19_Расчет_аналитики'!BC1571,MeanMinAge14)))</f>
        <v/>
      </c>
      <c r="BD1489">
        <f>IF(OR('19_Расчет_аналитики'!BD1461=0,14&lt;='01_Вводные'!$B$297),0,'19_Расчет_аналитики'!BD1461*IF('01_Вводные'!$B$239="Да",MeanMinAge14+'19_Расчет_аналитики'!BD1571*SUMIF(ThresholdAge14,"&lt;"&amp;'19_Расчет_аналитики'!BD1571,WeightedRevAge14)-SUMIF(ThresholdAge14,"&lt;"&amp;'19_Расчет_аналитики'!BD1571,WeightedMinAge14),MAX(CapacityAge14*'01_Вводные'!$B$218*'19_Расчет_аналитики'!BD1571,MeanMinAge14)))</f>
        <v/>
      </c>
      <c r="BE1489">
        <f>IF(OR('19_Расчет_аналитики'!BE1461=0,14&lt;='01_Вводные'!$B$297),0,'19_Расчет_аналитики'!BE1461*IF('01_Вводные'!$B$239="Да",MeanMinAge14+'19_Расчет_аналитики'!BE1571*SUMIF(ThresholdAge14,"&lt;"&amp;'19_Расчет_аналитики'!BE1571,WeightedRevAge14)-SUMIF(ThresholdAge14,"&lt;"&amp;'19_Расчет_аналитики'!BE1571,WeightedMinAge14),MAX(CapacityAge14*'01_Вводные'!$B$218*'19_Расчет_аналитики'!BE1571,MeanMinAge14)))</f>
        <v/>
      </c>
      <c r="BF1489">
        <f>IF(OR('19_Расчет_аналитики'!BF1461=0,14&lt;='01_Вводные'!$B$297),0,'19_Расчет_аналитики'!BF1461*IF('01_Вводные'!$B$239="Да",MeanMinAge14+'19_Расчет_аналитики'!BF1571*SUMIF(ThresholdAge14,"&lt;"&amp;'19_Расчет_аналитики'!BF1571,WeightedRevAge14)-SUMIF(ThresholdAge14,"&lt;"&amp;'19_Расчет_аналитики'!BF1571,WeightedMinAge14),MAX(CapacityAge14*'01_Вводные'!$B$218*'19_Расчет_аналитики'!BF1571,MeanMinAge14)))</f>
        <v/>
      </c>
      <c r="BG1489">
        <f>IF(OR('19_Расчет_аналитики'!BG1461=0,14&lt;='01_Вводные'!$B$297),0,'19_Расчет_аналитики'!BG1461*IF('01_Вводные'!$B$239="Да",MeanMinAge14+'19_Расчет_аналитики'!BG1571*SUMIF(ThresholdAge14,"&lt;"&amp;'19_Расчет_аналитики'!BG1571,WeightedRevAge14)-SUMIF(ThresholdAge14,"&lt;"&amp;'19_Расчет_аналитики'!BG1571,WeightedMinAge14),MAX(CapacityAge14*'01_Вводные'!$B$218*'19_Расчет_аналитики'!BG1571,MeanMinAge14)))</f>
        <v/>
      </c>
      <c r="BH1489">
        <f>IF(OR('19_Расчет_аналитики'!BH1461=0,14&lt;='01_Вводные'!$B$297),0,'19_Расчет_аналитики'!BH1461*IF('01_Вводные'!$B$239="Да",MeanMinAge14+'19_Расчет_аналитики'!BH1571*SUMIF(ThresholdAge14,"&lt;"&amp;'19_Расчет_аналитики'!BH1571,WeightedRevAge14)-SUMIF(ThresholdAge14,"&lt;"&amp;'19_Расчет_аналитики'!BH1571,WeightedMinAge14),MAX(CapacityAge14*'01_Вводные'!$B$218*'19_Расчет_аналитики'!BH1571,MeanMinAge14)))</f>
        <v/>
      </c>
      <c r="BI1489">
        <f>IF(OR('19_Расчет_аналитики'!BI1461=0,14&lt;='01_Вводные'!$B$297),0,'19_Расчет_аналитики'!BI1461*IF('01_Вводные'!$B$239="Да",MeanMinAge14+'19_Расчет_аналитики'!BI1571*SUMIF(ThresholdAge14,"&lt;"&amp;'19_Расчет_аналитики'!BI1571,WeightedRevAge14)-SUMIF(ThresholdAge14,"&lt;"&amp;'19_Расчет_аналитики'!BI1571,WeightedMinAge14),MAX(CapacityAge14*'01_Вводные'!$B$218*'19_Расчет_аналитики'!BI1571,MeanMinAge14)))</f>
        <v/>
      </c>
      <c r="BJ1489">
        <f>IF(OR('19_Расчет_аналитики'!BJ1461=0,14&lt;='01_Вводные'!$B$297),0,'19_Расчет_аналитики'!BJ1461*IF('01_Вводные'!$B$239="Да",MeanMinAge14+'19_Расчет_аналитики'!BJ1571*SUMIF(ThresholdAge14,"&lt;"&amp;'19_Расчет_аналитики'!BJ1571,WeightedRevAge14)-SUMIF(ThresholdAge14,"&lt;"&amp;'19_Расчет_аналитики'!BJ1571,WeightedMinAge14),MAX(CapacityAge14*'01_Вводные'!$B$218*'19_Расчет_аналитики'!BJ1571,MeanMinAge14)))</f>
        <v/>
      </c>
      <c r="BK1489">
        <f>IF(OR('19_Расчет_аналитики'!BK1461=0,14&lt;='01_Вводные'!$B$297),0,'19_Расчет_аналитики'!BK1461*IF('01_Вводные'!$B$239="Да",MeanMinAge14+'19_Расчет_аналитики'!BK1571*SUMIF(ThresholdAge14,"&lt;"&amp;'19_Расчет_аналитики'!BK1571,WeightedRevAge14)-SUMIF(ThresholdAge14,"&lt;"&amp;'19_Расчет_аналитики'!BK1571,WeightedMinAge14),MAX(CapacityAge14*'01_Вводные'!$B$218*'19_Расчет_аналитики'!BK1571,MeanMinAge14)))</f>
        <v/>
      </c>
      <c r="BL1489">
        <f>IF(OR('19_Расчет_аналитики'!BL1461=0,14&lt;='01_Вводные'!$B$297),0,'19_Расчет_аналитики'!BL1461*IF('01_Вводные'!$B$239="Да",MeanMinAge14+'19_Расчет_аналитики'!BL1571*SUMIF(ThresholdAge14,"&lt;"&amp;'19_Расчет_аналитики'!BL1571,WeightedRevAge14)-SUMIF(ThresholdAge14,"&lt;"&amp;'19_Расчет_аналитики'!BL1571,WeightedMinAge14),MAX(CapacityAge14*'01_Вводные'!$B$218*'19_Расчет_аналитики'!BL1571,MeanMinAge14)))</f>
        <v/>
      </c>
      <c r="BM1489">
        <f>IF(OR('19_Расчет_аналитики'!BM1461=0,14&lt;='01_Вводные'!$B$297),0,'19_Расчет_аналитики'!BM1461*IF('01_Вводные'!$B$239="Да",MeanMinAge14+'19_Расчет_аналитики'!BM1571*SUMIF(ThresholdAge14,"&lt;"&amp;'19_Расчет_аналитики'!BM1571,WeightedRevAge14)-SUMIF(ThresholdAge14,"&lt;"&amp;'19_Расчет_аналитики'!BM1571,WeightedMinAge14),MAX(CapacityAge14*'01_Вводные'!$B$218*'19_Расчет_аналитики'!BM1571,MeanMinAge14)))</f>
        <v/>
      </c>
      <c r="BN1489">
        <f>IF(OR('19_Расчет_аналитики'!BN1461=0,14&lt;='01_Вводные'!$B$297),0,'19_Расчет_аналитики'!BN1461*IF('01_Вводные'!$B$239="Да",MeanMinAge14+'19_Расчет_аналитики'!BN1571*SUMIF(ThresholdAge14,"&lt;"&amp;'19_Расчет_аналитики'!BN1571,WeightedRevAge14)-SUMIF(ThresholdAge14,"&lt;"&amp;'19_Расчет_аналитики'!BN1571,WeightedMinAge14),MAX(CapacityAge14*'01_Вводные'!$B$218*'19_Расчет_аналитики'!BN1571,MeanMinAge14)))</f>
        <v/>
      </c>
      <c r="BO1489">
        <f>IF(OR('19_Расчет_аналитики'!BO1461=0,14&lt;='01_Вводные'!$B$297),0,'19_Расчет_аналитики'!BO1461*IF('01_Вводные'!$B$239="Да",MeanMinAge14+'19_Расчет_аналитики'!BO1571*SUMIF(ThresholdAge14,"&lt;"&amp;'19_Расчет_аналитики'!BO1571,WeightedRevAge14)-SUMIF(ThresholdAge14,"&lt;"&amp;'19_Расчет_аналитики'!BO1571,WeightedMinAge14),MAX(CapacityAge14*'01_Вводные'!$B$218*'19_Расчет_аналитики'!BO1571,MeanMinAge14)))</f>
        <v/>
      </c>
    </row>
    <row r="1490">
      <c r="B1490">
        <f>IF(OR('06_Сеть_и_дети'!B95=0,15&lt;='01_Вводные'!$B$297),0,'06_Сеть_и_дети'!B95*IF('01_Вводные'!$B$239="Да",MeanMinAge15+'19_Расчет_аналитики'!B1571*SUMIF(ThresholdAge15,"&lt;"&amp;'19_Расчет_аналитики'!B1571,WeightedRevAge15)-SUMIF(ThresholdAge15,"&lt;"&amp;'19_Расчет_аналитики'!B1571,WeightedMinAge15),MAX(CapacityAge15*'01_Вводные'!$B$218*'19_Расчет_аналитики'!B1571,MeanMinAge15)))</f>
        <v/>
      </c>
      <c r="C1490">
        <f>IF(OR('06_Сеть_и_дети'!C95=0,15&lt;='01_Вводные'!$B$297),0,'06_Сеть_и_дети'!C95*IF('01_Вводные'!$B$239="Да",MeanMinAge15+'19_Расчет_аналитики'!C1571*SUMIF(ThresholdAge15,"&lt;"&amp;'19_Расчет_аналитики'!C1571,WeightedRevAge15)-SUMIF(ThresholdAge15,"&lt;"&amp;'19_Расчет_аналитики'!C1571,WeightedMinAge15),MAX(CapacityAge15*'01_Вводные'!$B$218*'19_Расчет_аналитики'!C1571,MeanMinAge15)))</f>
        <v/>
      </c>
      <c r="D1490">
        <f>IF(OR('06_Сеть_и_дети'!D95=0,15&lt;='01_Вводные'!$B$297),0,'06_Сеть_и_дети'!D95*IF('01_Вводные'!$B$239="Да",MeanMinAge15+'19_Расчет_аналитики'!D1571*SUMIF(ThresholdAge15,"&lt;"&amp;'19_Расчет_аналитики'!D1571,WeightedRevAge15)-SUMIF(ThresholdAge15,"&lt;"&amp;'19_Расчет_аналитики'!D1571,WeightedMinAge15),MAX(CapacityAge15*'01_Вводные'!$B$218*'19_Расчет_аналитики'!D1571,MeanMinAge15)))</f>
        <v/>
      </c>
      <c r="E1490">
        <f>IF(OR('06_Сеть_и_дети'!E95=0,15&lt;='01_Вводные'!$B$297),0,'06_Сеть_и_дети'!E95*IF('01_Вводные'!$B$239="Да",MeanMinAge15+'19_Расчет_аналитики'!E1571*SUMIF(ThresholdAge15,"&lt;"&amp;'19_Расчет_аналитики'!E1571,WeightedRevAge15)-SUMIF(ThresholdAge15,"&lt;"&amp;'19_Расчет_аналитики'!E1571,WeightedMinAge15),MAX(CapacityAge15*'01_Вводные'!$B$218*'19_Расчет_аналитики'!E1571,MeanMinAge15)))</f>
        <v/>
      </c>
      <c r="F1490">
        <f>IF(OR('06_Сеть_и_дети'!F95=0,15&lt;='01_Вводные'!$B$297),0,'06_Сеть_и_дети'!F95*IF('01_Вводные'!$B$239="Да",MeanMinAge15+'19_Расчет_аналитики'!F1571*SUMIF(ThresholdAge15,"&lt;"&amp;'19_Расчет_аналитики'!F1571,WeightedRevAge15)-SUMIF(ThresholdAge15,"&lt;"&amp;'19_Расчет_аналитики'!F1571,WeightedMinAge15),MAX(CapacityAge15*'01_Вводные'!$B$218*'19_Расчет_аналитики'!F1571,MeanMinAge15)))</f>
        <v/>
      </c>
      <c r="G1490">
        <f>IF(OR('06_Сеть_и_дети'!G95=0,15&lt;='01_Вводные'!$B$297),0,'06_Сеть_и_дети'!G95*IF('01_Вводные'!$B$239="Да",MeanMinAge15+'19_Расчет_аналитики'!G1571*SUMIF(ThresholdAge15,"&lt;"&amp;'19_Расчет_аналитики'!G1571,WeightedRevAge15)-SUMIF(ThresholdAge15,"&lt;"&amp;'19_Расчет_аналитики'!G1571,WeightedMinAge15),MAX(CapacityAge15*'01_Вводные'!$B$218*'19_Расчет_аналитики'!G1571,MeanMinAge15)))</f>
        <v/>
      </c>
      <c r="H1490">
        <f>IF(OR('06_Сеть_и_дети'!H95=0,15&lt;='01_Вводные'!$B$297),0,'06_Сеть_и_дети'!H95*IF('01_Вводные'!$B$239="Да",MeanMinAge15+'19_Расчет_аналитики'!H1571*SUMIF(ThresholdAge15,"&lt;"&amp;'19_Расчет_аналитики'!H1571,WeightedRevAge15)-SUMIF(ThresholdAge15,"&lt;"&amp;'19_Расчет_аналитики'!H1571,WeightedMinAge15),MAX(CapacityAge15*'01_Вводные'!$B$218*'19_Расчет_аналитики'!H1571,MeanMinAge15)))</f>
        <v/>
      </c>
      <c r="I1490">
        <f>IF(OR('06_Сеть_и_дети'!I95=0,15&lt;='01_Вводные'!$B$297),0,'06_Сеть_и_дети'!I95*IF('01_Вводные'!$B$239="Да",MeanMinAge15+'19_Расчет_аналитики'!I1571*SUMIF(ThresholdAge15,"&lt;"&amp;'19_Расчет_аналитики'!I1571,WeightedRevAge15)-SUMIF(ThresholdAge15,"&lt;"&amp;'19_Расчет_аналитики'!I1571,WeightedMinAge15),MAX(CapacityAge15*'01_Вводные'!$B$218*'19_Расчет_аналитики'!I1571,MeanMinAge15)))</f>
        <v/>
      </c>
      <c r="J1490">
        <f>IF(OR('06_Сеть_и_дети'!J95=0,15&lt;='01_Вводные'!$B$297),0,'06_Сеть_и_дети'!J95*IF('01_Вводные'!$B$239="Да",MeanMinAge15+'19_Расчет_аналитики'!J1571*SUMIF(ThresholdAge15,"&lt;"&amp;'19_Расчет_аналитики'!J1571,WeightedRevAge15)-SUMIF(ThresholdAge15,"&lt;"&amp;'19_Расчет_аналитики'!J1571,WeightedMinAge15),MAX(CapacityAge15*'01_Вводные'!$B$218*'19_Расчет_аналитики'!J1571,MeanMinAge15)))</f>
        <v/>
      </c>
      <c r="K1490">
        <f>IF(OR('06_Сеть_и_дети'!K95=0,15&lt;='01_Вводные'!$B$297),0,'06_Сеть_и_дети'!K95*IF('01_Вводные'!$B$239="Да",MeanMinAge15+'19_Расчет_аналитики'!K1571*SUMIF(ThresholdAge15,"&lt;"&amp;'19_Расчет_аналитики'!K1571,WeightedRevAge15)-SUMIF(ThresholdAge15,"&lt;"&amp;'19_Расчет_аналитики'!K1571,WeightedMinAge15),MAX(CapacityAge15*'01_Вводные'!$B$218*'19_Расчет_аналитики'!K1571,MeanMinAge15)))</f>
        <v/>
      </c>
      <c r="L1490">
        <f>IF(OR('06_Сеть_и_дети'!L95=0,15&lt;='01_Вводные'!$B$297),0,'06_Сеть_и_дети'!L95*IF('01_Вводные'!$B$239="Да",MeanMinAge15+'19_Расчет_аналитики'!L1571*SUMIF(ThresholdAge15,"&lt;"&amp;'19_Расчет_аналитики'!L1571,WeightedRevAge15)-SUMIF(ThresholdAge15,"&lt;"&amp;'19_Расчет_аналитики'!L1571,WeightedMinAge15),MAX(CapacityAge15*'01_Вводные'!$B$218*'19_Расчет_аналитики'!L1571,MeanMinAge15)))</f>
        <v/>
      </c>
      <c r="M1490">
        <f>IF(OR('06_Сеть_и_дети'!M95=0,15&lt;='01_Вводные'!$B$297),0,'06_Сеть_и_дети'!M95*IF('01_Вводные'!$B$239="Да",MeanMinAge15+'19_Расчет_аналитики'!M1571*SUMIF(ThresholdAge15,"&lt;"&amp;'19_Расчет_аналитики'!M1571,WeightedRevAge15)-SUMIF(ThresholdAge15,"&lt;"&amp;'19_Расчет_аналитики'!M1571,WeightedMinAge15),MAX(CapacityAge15*'01_Вводные'!$B$218*'19_Расчет_аналитики'!M1571,MeanMinAge15)))</f>
        <v/>
      </c>
      <c r="N1490">
        <f>IF(OR('06_Сеть_и_дети'!N95=0,15&lt;='01_Вводные'!$B$297),0,'06_Сеть_и_дети'!N95*IF('01_Вводные'!$B$239="Да",MeanMinAge15+'19_Расчет_аналитики'!N1571*SUMIF(ThresholdAge15,"&lt;"&amp;'19_Расчет_аналитики'!N1571,WeightedRevAge15)-SUMIF(ThresholdAge15,"&lt;"&amp;'19_Расчет_аналитики'!N1571,WeightedMinAge15),MAX(CapacityAge15*'01_Вводные'!$B$218*'19_Расчет_аналитики'!N1571,MeanMinAge15)))</f>
        <v/>
      </c>
      <c r="O1490">
        <f>IF(OR('06_Сеть_и_дети'!O95=0,15&lt;='01_Вводные'!$B$297),0,'06_Сеть_и_дети'!O95*IF('01_Вводные'!$B$239="Да",MeanMinAge15+'19_Расчет_аналитики'!O1571*SUMIF(ThresholdAge15,"&lt;"&amp;'19_Расчет_аналитики'!O1571,WeightedRevAge15)-SUMIF(ThresholdAge15,"&lt;"&amp;'19_Расчет_аналитики'!O1571,WeightedMinAge15),MAX(CapacityAge15*'01_Вводные'!$B$218*'19_Расчет_аналитики'!O1571,MeanMinAge15)))</f>
        <v/>
      </c>
      <c r="P1490">
        <f>IF(OR('19_Расчет_аналитики'!P1462=0,15&lt;='01_Вводные'!$B$297),0,'19_Расчет_аналитики'!P1462*IF('01_Вводные'!$B$239="Да",MeanMinAge15+'19_Расчет_аналитики'!P1571*SUMIF(ThresholdAge15,"&lt;"&amp;'19_Расчет_аналитики'!P1571,WeightedRevAge15)-SUMIF(ThresholdAge15,"&lt;"&amp;'19_Расчет_аналитики'!P1571,WeightedMinAge15),MAX(CapacityAge15*'01_Вводные'!$B$218*'19_Расчет_аналитики'!P1571,MeanMinAge15)))</f>
        <v/>
      </c>
      <c r="Q1490">
        <f>IF(OR('19_Расчет_аналитики'!Q1462=0,15&lt;='01_Вводные'!$B$297),0,'19_Расчет_аналитики'!Q1462*IF('01_Вводные'!$B$239="Да",MeanMinAge15+'19_Расчет_аналитики'!Q1571*SUMIF(ThresholdAge15,"&lt;"&amp;'19_Расчет_аналитики'!Q1571,WeightedRevAge15)-SUMIF(ThresholdAge15,"&lt;"&amp;'19_Расчет_аналитики'!Q1571,WeightedMinAge15),MAX(CapacityAge15*'01_Вводные'!$B$218*'19_Расчет_аналитики'!Q1571,MeanMinAge15)))</f>
        <v/>
      </c>
      <c r="R1490">
        <f>IF(OR('19_Расчет_аналитики'!R1462=0,15&lt;='01_Вводные'!$B$297),0,'19_Расчет_аналитики'!R1462*IF('01_Вводные'!$B$239="Да",MeanMinAge15+'19_Расчет_аналитики'!R1571*SUMIF(ThresholdAge15,"&lt;"&amp;'19_Расчет_аналитики'!R1571,WeightedRevAge15)-SUMIF(ThresholdAge15,"&lt;"&amp;'19_Расчет_аналитики'!R1571,WeightedMinAge15),MAX(CapacityAge15*'01_Вводные'!$B$218*'19_Расчет_аналитики'!R1571,MeanMinAge15)))</f>
        <v/>
      </c>
      <c r="S1490">
        <f>IF(OR('19_Расчет_аналитики'!S1462=0,15&lt;='01_Вводные'!$B$297),0,'19_Расчет_аналитики'!S1462*IF('01_Вводные'!$B$239="Да",MeanMinAge15+'19_Расчет_аналитики'!S1571*SUMIF(ThresholdAge15,"&lt;"&amp;'19_Расчет_аналитики'!S1571,WeightedRevAge15)-SUMIF(ThresholdAge15,"&lt;"&amp;'19_Расчет_аналитики'!S1571,WeightedMinAge15),MAX(CapacityAge15*'01_Вводные'!$B$218*'19_Расчет_аналитики'!S1571,MeanMinAge15)))</f>
        <v/>
      </c>
      <c r="T1490">
        <f>IF(OR('19_Расчет_аналитики'!T1462=0,15&lt;='01_Вводные'!$B$297),0,'19_Расчет_аналитики'!T1462*IF('01_Вводные'!$B$239="Да",MeanMinAge15+'19_Расчет_аналитики'!T1571*SUMIF(ThresholdAge15,"&lt;"&amp;'19_Расчет_аналитики'!T1571,WeightedRevAge15)-SUMIF(ThresholdAge15,"&lt;"&amp;'19_Расчет_аналитики'!T1571,WeightedMinAge15),MAX(CapacityAge15*'01_Вводные'!$B$218*'19_Расчет_аналитики'!T1571,MeanMinAge15)))</f>
        <v/>
      </c>
      <c r="U1490">
        <f>IF(OR('19_Расчет_аналитики'!U1462=0,15&lt;='01_Вводные'!$B$297),0,'19_Расчет_аналитики'!U1462*IF('01_Вводные'!$B$239="Да",MeanMinAge15+'19_Расчет_аналитики'!U1571*SUMIF(ThresholdAge15,"&lt;"&amp;'19_Расчет_аналитики'!U1571,WeightedRevAge15)-SUMIF(ThresholdAge15,"&lt;"&amp;'19_Расчет_аналитики'!U1571,WeightedMinAge15),MAX(CapacityAge15*'01_Вводные'!$B$218*'19_Расчет_аналитики'!U1571,MeanMinAge15)))</f>
        <v/>
      </c>
      <c r="V1490">
        <f>IF(OR('19_Расчет_аналитики'!V1462=0,15&lt;='01_Вводные'!$B$297),0,'19_Расчет_аналитики'!V1462*IF('01_Вводные'!$B$239="Да",MeanMinAge15+'19_Расчет_аналитики'!V1571*SUMIF(ThresholdAge15,"&lt;"&amp;'19_Расчет_аналитики'!V1571,WeightedRevAge15)-SUMIF(ThresholdAge15,"&lt;"&amp;'19_Расчет_аналитики'!V1571,WeightedMinAge15),MAX(CapacityAge15*'01_Вводные'!$B$218*'19_Расчет_аналитики'!V1571,MeanMinAge15)))</f>
        <v/>
      </c>
      <c r="W1490">
        <f>IF(OR('19_Расчет_аналитики'!W1462=0,15&lt;='01_Вводные'!$B$297),0,'19_Расчет_аналитики'!W1462*IF('01_Вводные'!$B$239="Да",MeanMinAge15+'19_Расчет_аналитики'!W1571*SUMIF(ThresholdAge15,"&lt;"&amp;'19_Расчет_аналитики'!W1571,WeightedRevAge15)-SUMIF(ThresholdAge15,"&lt;"&amp;'19_Расчет_аналитики'!W1571,WeightedMinAge15),MAX(CapacityAge15*'01_Вводные'!$B$218*'19_Расчет_аналитики'!W1571,MeanMinAge15)))</f>
        <v/>
      </c>
      <c r="X1490">
        <f>IF(OR('19_Расчет_аналитики'!X1462=0,15&lt;='01_Вводные'!$B$297),0,'19_Расчет_аналитики'!X1462*IF('01_Вводные'!$B$239="Да",MeanMinAge15+'19_Расчет_аналитики'!X1571*SUMIF(ThresholdAge15,"&lt;"&amp;'19_Расчет_аналитики'!X1571,WeightedRevAge15)-SUMIF(ThresholdAge15,"&lt;"&amp;'19_Расчет_аналитики'!X1571,WeightedMinAge15),MAX(CapacityAge15*'01_Вводные'!$B$218*'19_Расчет_аналитики'!X1571,MeanMinAge15)))</f>
        <v/>
      </c>
      <c r="Y1490">
        <f>IF(OR('19_Расчет_аналитики'!Y1462=0,15&lt;='01_Вводные'!$B$297),0,'19_Расчет_аналитики'!Y1462*IF('01_Вводные'!$B$239="Да",MeanMinAge15+'19_Расчет_аналитики'!Y1571*SUMIF(ThresholdAge15,"&lt;"&amp;'19_Расчет_аналитики'!Y1571,WeightedRevAge15)-SUMIF(ThresholdAge15,"&lt;"&amp;'19_Расчет_аналитики'!Y1571,WeightedMinAge15),MAX(CapacityAge15*'01_Вводные'!$B$218*'19_Расчет_аналитики'!Y1571,MeanMinAge15)))</f>
        <v/>
      </c>
      <c r="Z1490">
        <f>IF(OR('19_Расчет_аналитики'!Z1462=0,15&lt;='01_Вводные'!$B$297),0,'19_Расчет_аналитики'!Z1462*IF('01_Вводные'!$B$239="Да",MeanMinAge15+'19_Расчет_аналитики'!Z1571*SUMIF(ThresholdAge15,"&lt;"&amp;'19_Расчет_аналитики'!Z1571,WeightedRevAge15)-SUMIF(ThresholdAge15,"&lt;"&amp;'19_Расчет_аналитики'!Z1571,WeightedMinAge15),MAX(CapacityAge15*'01_Вводные'!$B$218*'19_Расчет_аналитики'!Z1571,MeanMinAge15)))</f>
        <v/>
      </c>
      <c r="AA1490">
        <f>IF(OR('19_Расчет_аналитики'!AA1462=0,15&lt;='01_Вводные'!$B$297),0,'19_Расчет_аналитики'!AA1462*IF('01_Вводные'!$B$239="Да",MeanMinAge15+'19_Расчет_аналитики'!AA1571*SUMIF(ThresholdAge15,"&lt;"&amp;'19_Расчет_аналитики'!AA1571,WeightedRevAge15)-SUMIF(ThresholdAge15,"&lt;"&amp;'19_Расчет_аналитики'!AA1571,WeightedMinAge15),MAX(CapacityAge15*'01_Вводные'!$B$218*'19_Расчет_аналитики'!AA1571,MeanMinAge15)))</f>
        <v/>
      </c>
      <c r="AB1490">
        <f>IF(OR('19_Расчет_аналитики'!AB1462=0,15&lt;='01_Вводные'!$B$297),0,'19_Расчет_аналитики'!AB1462*IF('01_Вводные'!$B$239="Да",MeanMinAge15+'19_Расчет_аналитики'!AB1571*SUMIF(ThresholdAge15,"&lt;"&amp;'19_Расчет_аналитики'!AB1571,WeightedRevAge15)-SUMIF(ThresholdAge15,"&lt;"&amp;'19_Расчет_аналитики'!AB1571,WeightedMinAge15),MAX(CapacityAge15*'01_Вводные'!$B$218*'19_Расчет_аналитики'!AB1571,MeanMinAge15)))</f>
        <v/>
      </c>
      <c r="AC1490">
        <f>IF(OR('19_Расчет_аналитики'!AC1462=0,15&lt;='01_Вводные'!$B$297),0,'19_Расчет_аналитики'!AC1462*IF('01_Вводные'!$B$239="Да",MeanMinAge15+'19_Расчет_аналитики'!AC1571*SUMIF(ThresholdAge15,"&lt;"&amp;'19_Расчет_аналитики'!AC1571,WeightedRevAge15)-SUMIF(ThresholdAge15,"&lt;"&amp;'19_Расчет_аналитики'!AC1571,WeightedMinAge15),MAX(CapacityAge15*'01_Вводные'!$B$218*'19_Расчет_аналитики'!AC1571,MeanMinAge15)))</f>
        <v/>
      </c>
      <c r="AD1490">
        <f>IF(OR('19_Расчет_аналитики'!AD1462=0,15&lt;='01_Вводные'!$B$297),0,'19_Расчет_аналитики'!AD1462*IF('01_Вводные'!$B$239="Да",MeanMinAge15+'19_Расчет_аналитики'!AD1571*SUMIF(ThresholdAge15,"&lt;"&amp;'19_Расчет_аналитики'!AD1571,WeightedRevAge15)-SUMIF(ThresholdAge15,"&lt;"&amp;'19_Расчет_аналитики'!AD1571,WeightedMinAge15),MAX(CapacityAge15*'01_Вводные'!$B$218*'19_Расчет_аналитики'!AD1571,MeanMinAge15)))</f>
        <v/>
      </c>
      <c r="AE1490">
        <f>IF(OR('19_Расчет_аналитики'!AE1462=0,15&lt;='01_Вводные'!$B$297),0,'19_Расчет_аналитики'!AE1462*IF('01_Вводные'!$B$239="Да",MeanMinAge15+'19_Расчет_аналитики'!AE1571*SUMIF(ThresholdAge15,"&lt;"&amp;'19_Расчет_аналитики'!AE1571,WeightedRevAge15)-SUMIF(ThresholdAge15,"&lt;"&amp;'19_Расчет_аналитики'!AE1571,WeightedMinAge15),MAX(CapacityAge15*'01_Вводные'!$B$218*'19_Расчет_аналитики'!AE1571,MeanMinAge15)))</f>
        <v/>
      </c>
      <c r="AF1490">
        <f>IF(OR('19_Расчет_аналитики'!AF1462=0,15&lt;='01_Вводные'!$B$297),0,'19_Расчет_аналитики'!AF1462*IF('01_Вводные'!$B$239="Да",MeanMinAge15+'19_Расчет_аналитики'!AF1571*SUMIF(ThresholdAge15,"&lt;"&amp;'19_Расчет_аналитики'!AF1571,WeightedRevAge15)-SUMIF(ThresholdAge15,"&lt;"&amp;'19_Расчет_аналитики'!AF1571,WeightedMinAge15),MAX(CapacityAge15*'01_Вводные'!$B$218*'19_Расчет_аналитики'!AF1571,MeanMinAge15)))</f>
        <v/>
      </c>
      <c r="AG1490">
        <f>IF(OR('19_Расчет_аналитики'!AG1462=0,15&lt;='01_Вводные'!$B$297),0,'19_Расчет_аналитики'!AG1462*IF('01_Вводные'!$B$239="Да",MeanMinAge15+'19_Расчет_аналитики'!AG1571*SUMIF(ThresholdAge15,"&lt;"&amp;'19_Расчет_аналитики'!AG1571,WeightedRevAge15)-SUMIF(ThresholdAge15,"&lt;"&amp;'19_Расчет_аналитики'!AG1571,WeightedMinAge15),MAX(CapacityAge15*'01_Вводные'!$B$218*'19_Расчет_аналитики'!AG1571,MeanMinAge15)))</f>
        <v/>
      </c>
      <c r="AH1490">
        <f>IF(OR('19_Расчет_аналитики'!AH1462=0,15&lt;='01_Вводные'!$B$297),0,'19_Расчет_аналитики'!AH1462*IF('01_Вводные'!$B$239="Да",MeanMinAge15+'19_Расчет_аналитики'!AH1571*SUMIF(ThresholdAge15,"&lt;"&amp;'19_Расчет_аналитики'!AH1571,WeightedRevAge15)-SUMIF(ThresholdAge15,"&lt;"&amp;'19_Расчет_аналитики'!AH1571,WeightedMinAge15),MAX(CapacityAge15*'01_Вводные'!$B$218*'19_Расчет_аналитики'!AH1571,MeanMinAge15)))</f>
        <v/>
      </c>
      <c r="AI1490">
        <f>IF(OR('19_Расчет_аналитики'!AI1462=0,15&lt;='01_Вводные'!$B$297),0,'19_Расчет_аналитики'!AI1462*IF('01_Вводные'!$B$239="Да",MeanMinAge15+'19_Расчет_аналитики'!AI1571*SUMIF(ThresholdAge15,"&lt;"&amp;'19_Расчет_аналитики'!AI1571,WeightedRevAge15)-SUMIF(ThresholdAge15,"&lt;"&amp;'19_Расчет_аналитики'!AI1571,WeightedMinAge15),MAX(CapacityAge15*'01_Вводные'!$B$218*'19_Расчет_аналитики'!AI1571,MeanMinAge15)))</f>
        <v/>
      </c>
      <c r="AJ1490">
        <f>IF(OR('19_Расчет_аналитики'!AJ1462=0,15&lt;='01_Вводные'!$B$297),0,'19_Расчет_аналитики'!AJ1462*IF('01_Вводные'!$B$239="Да",MeanMinAge15+'19_Расчет_аналитики'!AJ1571*SUMIF(ThresholdAge15,"&lt;"&amp;'19_Расчет_аналитики'!AJ1571,WeightedRevAge15)-SUMIF(ThresholdAge15,"&lt;"&amp;'19_Расчет_аналитики'!AJ1571,WeightedMinAge15),MAX(CapacityAge15*'01_Вводные'!$B$218*'19_Расчет_аналитики'!AJ1571,MeanMinAge15)))</f>
        <v/>
      </c>
      <c r="AK1490">
        <f>IF(OR('19_Расчет_аналитики'!AK1462=0,15&lt;='01_Вводные'!$B$297),0,'19_Расчет_аналитики'!AK1462*IF('01_Вводные'!$B$239="Да",MeanMinAge15+'19_Расчет_аналитики'!AK1571*SUMIF(ThresholdAge15,"&lt;"&amp;'19_Расчет_аналитики'!AK1571,WeightedRevAge15)-SUMIF(ThresholdAge15,"&lt;"&amp;'19_Расчет_аналитики'!AK1571,WeightedMinAge15),MAX(CapacityAge15*'01_Вводные'!$B$218*'19_Расчет_аналитики'!AK1571,MeanMinAge15)))</f>
        <v/>
      </c>
      <c r="AL1490">
        <f>IF(OR('19_Расчет_аналитики'!AL1462=0,15&lt;='01_Вводные'!$B$297),0,'19_Расчет_аналитики'!AL1462*IF('01_Вводные'!$B$239="Да",MeanMinAge15+'19_Расчет_аналитики'!AL1571*SUMIF(ThresholdAge15,"&lt;"&amp;'19_Расчет_аналитики'!AL1571,WeightedRevAge15)-SUMIF(ThresholdAge15,"&lt;"&amp;'19_Расчет_аналитики'!AL1571,WeightedMinAge15),MAX(CapacityAge15*'01_Вводные'!$B$218*'19_Расчет_аналитики'!AL1571,MeanMinAge15)))</f>
        <v/>
      </c>
      <c r="AM1490">
        <f>IF(OR('19_Расчет_аналитики'!AM1462=0,15&lt;='01_Вводные'!$B$297),0,'19_Расчет_аналитики'!AM1462*IF('01_Вводные'!$B$239="Да",MeanMinAge15+'19_Расчет_аналитики'!AM1571*SUMIF(ThresholdAge15,"&lt;"&amp;'19_Расчет_аналитики'!AM1571,WeightedRevAge15)-SUMIF(ThresholdAge15,"&lt;"&amp;'19_Расчет_аналитики'!AM1571,WeightedMinAge15),MAX(CapacityAge15*'01_Вводные'!$B$218*'19_Расчет_аналитики'!AM1571,MeanMinAge15)))</f>
        <v/>
      </c>
      <c r="AN1490">
        <f>IF(OR('19_Расчет_аналитики'!AN1462=0,15&lt;='01_Вводные'!$B$297),0,'19_Расчет_аналитики'!AN1462*IF('01_Вводные'!$B$239="Да",MeanMinAge15+'19_Расчет_аналитики'!AN1571*SUMIF(ThresholdAge15,"&lt;"&amp;'19_Расчет_аналитики'!AN1571,WeightedRevAge15)-SUMIF(ThresholdAge15,"&lt;"&amp;'19_Расчет_аналитики'!AN1571,WeightedMinAge15),MAX(CapacityAge15*'01_Вводные'!$B$218*'19_Расчет_аналитики'!AN1571,MeanMinAge15)))</f>
        <v/>
      </c>
      <c r="AO1490">
        <f>IF(OR('19_Расчет_аналитики'!AO1462=0,15&lt;='01_Вводные'!$B$297),0,'19_Расчет_аналитики'!AO1462*IF('01_Вводные'!$B$239="Да",MeanMinAge15+'19_Расчет_аналитики'!AO1571*SUMIF(ThresholdAge15,"&lt;"&amp;'19_Расчет_аналитики'!AO1571,WeightedRevAge15)-SUMIF(ThresholdAge15,"&lt;"&amp;'19_Расчет_аналитики'!AO1571,WeightedMinAge15),MAX(CapacityAge15*'01_Вводные'!$B$218*'19_Расчет_аналитики'!AO1571,MeanMinAge15)))</f>
        <v/>
      </c>
      <c r="AP1490">
        <f>IF(OR('19_Расчет_аналитики'!AP1462=0,15&lt;='01_Вводные'!$B$297),0,'19_Расчет_аналитики'!AP1462*IF('01_Вводные'!$B$239="Да",MeanMinAge15+'19_Расчет_аналитики'!AP1571*SUMIF(ThresholdAge15,"&lt;"&amp;'19_Расчет_аналитики'!AP1571,WeightedRevAge15)-SUMIF(ThresholdAge15,"&lt;"&amp;'19_Расчет_аналитики'!AP1571,WeightedMinAge15),MAX(CapacityAge15*'01_Вводные'!$B$218*'19_Расчет_аналитики'!AP1571,MeanMinAge15)))</f>
        <v/>
      </c>
      <c r="AQ1490">
        <f>IF(OR('19_Расчет_аналитики'!AQ1462=0,15&lt;='01_Вводные'!$B$297),0,'19_Расчет_аналитики'!AQ1462*IF('01_Вводные'!$B$239="Да",MeanMinAge15+'19_Расчет_аналитики'!AQ1571*SUMIF(ThresholdAge15,"&lt;"&amp;'19_Расчет_аналитики'!AQ1571,WeightedRevAge15)-SUMIF(ThresholdAge15,"&lt;"&amp;'19_Расчет_аналитики'!AQ1571,WeightedMinAge15),MAX(CapacityAge15*'01_Вводные'!$B$218*'19_Расчет_аналитики'!AQ1571,MeanMinAge15)))</f>
        <v/>
      </c>
      <c r="AR1490">
        <f>IF(OR('19_Расчет_аналитики'!AR1462=0,15&lt;='01_Вводные'!$B$297),0,'19_Расчет_аналитики'!AR1462*IF('01_Вводные'!$B$239="Да",MeanMinAge15+'19_Расчет_аналитики'!AR1571*SUMIF(ThresholdAge15,"&lt;"&amp;'19_Расчет_аналитики'!AR1571,WeightedRevAge15)-SUMIF(ThresholdAge15,"&lt;"&amp;'19_Расчет_аналитики'!AR1571,WeightedMinAge15),MAX(CapacityAge15*'01_Вводные'!$B$218*'19_Расчет_аналитики'!AR1571,MeanMinAge15)))</f>
        <v/>
      </c>
      <c r="AS1490">
        <f>IF(OR('19_Расчет_аналитики'!AS1462=0,15&lt;='01_Вводные'!$B$297),0,'19_Расчет_аналитики'!AS1462*IF('01_Вводные'!$B$239="Да",MeanMinAge15+'19_Расчет_аналитики'!AS1571*SUMIF(ThresholdAge15,"&lt;"&amp;'19_Расчет_аналитики'!AS1571,WeightedRevAge15)-SUMIF(ThresholdAge15,"&lt;"&amp;'19_Расчет_аналитики'!AS1571,WeightedMinAge15),MAX(CapacityAge15*'01_Вводные'!$B$218*'19_Расчет_аналитики'!AS1571,MeanMinAge15)))</f>
        <v/>
      </c>
      <c r="AT1490">
        <f>IF(OR('19_Расчет_аналитики'!AT1462=0,15&lt;='01_Вводные'!$B$297),0,'19_Расчет_аналитики'!AT1462*IF('01_Вводные'!$B$239="Да",MeanMinAge15+'19_Расчет_аналитики'!AT1571*SUMIF(ThresholdAge15,"&lt;"&amp;'19_Расчет_аналитики'!AT1571,WeightedRevAge15)-SUMIF(ThresholdAge15,"&lt;"&amp;'19_Расчет_аналитики'!AT1571,WeightedMinAge15),MAX(CapacityAge15*'01_Вводные'!$B$218*'19_Расчет_аналитики'!AT1571,MeanMinAge15)))</f>
        <v/>
      </c>
      <c r="AU1490">
        <f>IF(OR('19_Расчет_аналитики'!AU1462=0,15&lt;='01_Вводные'!$B$297),0,'19_Расчет_аналитики'!AU1462*IF('01_Вводные'!$B$239="Да",MeanMinAge15+'19_Расчет_аналитики'!AU1571*SUMIF(ThresholdAge15,"&lt;"&amp;'19_Расчет_аналитики'!AU1571,WeightedRevAge15)-SUMIF(ThresholdAge15,"&lt;"&amp;'19_Расчет_аналитики'!AU1571,WeightedMinAge15),MAX(CapacityAge15*'01_Вводные'!$B$218*'19_Расчет_аналитики'!AU1571,MeanMinAge15)))</f>
        <v/>
      </c>
      <c r="AV1490">
        <f>IF(OR('19_Расчет_аналитики'!AV1462=0,15&lt;='01_Вводные'!$B$297),0,'19_Расчет_аналитики'!AV1462*IF('01_Вводные'!$B$239="Да",MeanMinAge15+'19_Расчет_аналитики'!AV1571*SUMIF(ThresholdAge15,"&lt;"&amp;'19_Расчет_аналитики'!AV1571,WeightedRevAge15)-SUMIF(ThresholdAge15,"&lt;"&amp;'19_Расчет_аналитики'!AV1571,WeightedMinAge15),MAX(CapacityAge15*'01_Вводные'!$B$218*'19_Расчет_аналитики'!AV1571,MeanMinAge15)))</f>
        <v/>
      </c>
      <c r="AW1490">
        <f>IF(OR('19_Расчет_аналитики'!AW1462=0,15&lt;='01_Вводные'!$B$297),0,'19_Расчет_аналитики'!AW1462*IF('01_Вводные'!$B$239="Да",MeanMinAge15+'19_Расчет_аналитики'!AW1571*SUMIF(ThresholdAge15,"&lt;"&amp;'19_Расчет_аналитики'!AW1571,WeightedRevAge15)-SUMIF(ThresholdAge15,"&lt;"&amp;'19_Расчет_аналитики'!AW1571,WeightedMinAge15),MAX(CapacityAge15*'01_Вводные'!$B$218*'19_Расчет_аналитики'!AW1571,MeanMinAge15)))</f>
        <v/>
      </c>
      <c r="AX1490">
        <f>IF(OR('19_Расчет_аналитики'!AX1462=0,15&lt;='01_Вводные'!$B$297),0,'19_Расчет_аналитики'!AX1462*IF('01_Вводные'!$B$239="Да",MeanMinAge15+'19_Расчет_аналитики'!AX1571*SUMIF(ThresholdAge15,"&lt;"&amp;'19_Расчет_аналитики'!AX1571,WeightedRevAge15)-SUMIF(ThresholdAge15,"&lt;"&amp;'19_Расчет_аналитики'!AX1571,WeightedMinAge15),MAX(CapacityAge15*'01_Вводные'!$B$218*'19_Расчет_аналитики'!AX1571,MeanMinAge15)))</f>
        <v/>
      </c>
      <c r="AY1490">
        <f>IF(OR('19_Расчет_аналитики'!AY1462=0,15&lt;='01_Вводные'!$B$297),0,'19_Расчет_аналитики'!AY1462*IF('01_Вводные'!$B$239="Да",MeanMinAge15+'19_Расчет_аналитики'!AY1571*SUMIF(ThresholdAge15,"&lt;"&amp;'19_Расчет_аналитики'!AY1571,WeightedRevAge15)-SUMIF(ThresholdAge15,"&lt;"&amp;'19_Расчет_аналитики'!AY1571,WeightedMinAge15),MAX(CapacityAge15*'01_Вводные'!$B$218*'19_Расчет_аналитики'!AY1571,MeanMinAge15)))</f>
        <v/>
      </c>
      <c r="AZ1490">
        <f>IF(OR('19_Расчет_аналитики'!AZ1462=0,15&lt;='01_Вводные'!$B$297),0,'19_Расчет_аналитики'!AZ1462*IF('01_Вводные'!$B$239="Да",MeanMinAge15+'19_Расчет_аналитики'!AZ1571*SUMIF(ThresholdAge15,"&lt;"&amp;'19_Расчет_аналитики'!AZ1571,WeightedRevAge15)-SUMIF(ThresholdAge15,"&lt;"&amp;'19_Расчет_аналитики'!AZ1571,WeightedMinAge15),MAX(CapacityAge15*'01_Вводные'!$B$218*'19_Расчет_аналитики'!AZ1571,MeanMinAge15)))</f>
        <v/>
      </c>
      <c r="BA1490">
        <f>IF(OR('19_Расчет_аналитики'!BA1462=0,15&lt;='01_Вводные'!$B$297),0,'19_Расчет_аналитики'!BA1462*IF('01_Вводные'!$B$239="Да",MeanMinAge15+'19_Расчет_аналитики'!BA1571*SUMIF(ThresholdAge15,"&lt;"&amp;'19_Расчет_аналитики'!BA1571,WeightedRevAge15)-SUMIF(ThresholdAge15,"&lt;"&amp;'19_Расчет_аналитики'!BA1571,WeightedMinAge15),MAX(CapacityAge15*'01_Вводные'!$B$218*'19_Расчет_аналитики'!BA1571,MeanMinAge15)))</f>
        <v/>
      </c>
      <c r="BB1490">
        <f>IF(OR('19_Расчет_аналитики'!BB1462=0,15&lt;='01_Вводные'!$B$297),0,'19_Расчет_аналитики'!BB1462*IF('01_Вводные'!$B$239="Да",MeanMinAge15+'19_Расчет_аналитики'!BB1571*SUMIF(ThresholdAge15,"&lt;"&amp;'19_Расчет_аналитики'!BB1571,WeightedRevAge15)-SUMIF(ThresholdAge15,"&lt;"&amp;'19_Расчет_аналитики'!BB1571,WeightedMinAge15),MAX(CapacityAge15*'01_Вводные'!$B$218*'19_Расчет_аналитики'!BB1571,MeanMinAge15)))</f>
        <v/>
      </c>
      <c r="BC1490">
        <f>IF(OR('19_Расчет_аналитики'!BC1462=0,15&lt;='01_Вводные'!$B$297),0,'19_Расчет_аналитики'!BC1462*IF('01_Вводные'!$B$239="Да",MeanMinAge15+'19_Расчет_аналитики'!BC1571*SUMIF(ThresholdAge15,"&lt;"&amp;'19_Расчет_аналитики'!BC1571,WeightedRevAge15)-SUMIF(ThresholdAge15,"&lt;"&amp;'19_Расчет_аналитики'!BC1571,WeightedMinAge15),MAX(CapacityAge15*'01_Вводные'!$B$218*'19_Расчет_аналитики'!BC1571,MeanMinAge15)))</f>
        <v/>
      </c>
      <c r="BD1490">
        <f>IF(OR('19_Расчет_аналитики'!BD1462=0,15&lt;='01_Вводные'!$B$297),0,'19_Расчет_аналитики'!BD1462*IF('01_Вводные'!$B$239="Да",MeanMinAge15+'19_Расчет_аналитики'!BD1571*SUMIF(ThresholdAge15,"&lt;"&amp;'19_Расчет_аналитики'!BD1571,WeightedRevAge15)-SUMIF(ThresholdAge15,"&lt;"&amp;'19_Расчет_аналитики'!BD1571,WeightedMinAge15),MAX(CapacityAge15*'01_Вводные'!$B$218*'19_Расчет_аналитики'!BD1571,MeanMinAge15)))</f>
        <v/>
      </c>
      <c r="BE1490">
        <f>IF(OR('19_Расчет_аналитики'!BE1462=0,15&lt;='01_Вводные'!$B$297),0,'19_Расчет_аналитики'!BE1462*IF('01_Вводные'!$B$239="Да",MeanMinAge15+'19_Расчет_аналитики'!BE1571*SUMIF(ThresholdAge15,"&lt;"&amp;'19_Расчет_аналитики'!BE1571,WeightedRevAge15)-SUMIF(ThresholdAge15,"&lt;"&amp;'19_Расчет_аналитики'!BE1571,WeightedMinAge15),MAX(CapacityAge15*'01_Вводные'!$B$218*'19_Расчет_аналитики'!BE1571,MeanMinAge15)))</f>
        <v/>
      </c>
      <c r="BF1490">
        <f>IF(OR('19_Расчет_аналитики'!BF1462=0,15&lt;='01_Вводные'!$B$297),0,'19_Расчет_аналитики'!BF1462*IF('01_Вводные'!$B$239="Да",MeanMinAge15+'19_Расчет_аналитики'!BF1571*SUMIF(ThresholdAge15,"&lt;"&amp;'19_Расчет_аналитики'!BF1571,WeightedRevAge15)-SUMIF(ThresholdAge15,"&lt;"&amp;'19_Расчет_аналитики'!BF1571,WeightedMinAge15),MAX(CapacityAge15*'01_Вводные'!$B$218*'19_Расчет_аналитики'!BF1571,MeanMinAge15)))</f>
        <v/>
      </c>
      <c r="BG1490">
        <f>IF(OR('19_Расчет_аналитики'!BG1462=0,15&lt;='01_Вводные'!$B$297),0,'19_Расчет_аналитики'!BG1462*IF('01_Вводные'!$B$239="Да",MeanMinAge15+'19_Расчет_аналитики'!BG1571*SUMIF(ThresholdAge15,"&lt;"&amp;'19_Расчет_аналитики'!BG1571,WeightedRevAge15)-SUMIF(ThresholdAge15,"&lt;"&amp;'19_Расчет_аналитики'!BG1571,WeightedMinAge15),MAX(CapacityAge15*'01_Вводные'!$B$218*'19_Расчет_аналитики'!BG1571,MeanMinAge15)))</f>
        <v/>
      </c>
      <c r="BH1490">
        <f>IF(OR('19_Расчет_аналитики'!BH1462=0,15&lt;='01_Вводные'!$B$297),0,'19_Расчет_аналитики'!BH1462*IF('01_Вводные'!$B$239="Да",MeanMinAge15+'19_Расчет_аналитики'!BH1571*SUMIF(ThresholdAge15,"&lt;"&amp;'19_Расчет_аналитики'!BH1571,WeightedRevAge15)-SUMIF(ThresholdAge15,"&lt;"&amp;'19_Расчет_аналитики'!BH1571,WeightedMinAge15),MAX(CapacityAge15*'01_Вводные'!$B$218*'19_Расчет_аналитики'!BH1571,MeanMinAge15)))</f>
        <v/>
      </c>
      <c r="BI1490">
        <f>IF(OR('19_Расчет_аналитики'!BI1462=0,15&lt;='01_Вводные'!$B$297),0,'19_Расчет_аналитики'!BI1462*IF('01_Вводные'!$B$239="Да",MeanMinAge15+'19_Расчет_аналитики'!BI1571*SUMIF(ThresholdAge15,"&lt;"&amp;'19_Расчет_аналитики'!BI1571,WeightedRevAge15)-SUMIF(ThresholdAge15,"&lt;"&amp;'19_Расчет_аналитики'!BI1571,WeightedMinAge15),MAX(CapacityAge15*'01_Вводные'!$B$218*'19_Расчет_аналитики'!BI1571,MeanMinAge15)))</f>
        <v/>
      </c>
      <c r="BJ1490">
        <f>IF(OR('19_Расчет_аналитики'!BJ1462=0,15&lt;='01_Вводные'!$B$297),0,'19_Расчет_аналитики'!BJ1462*IF('01_Вводные'!$B$239="Да",MeanMinAge15+'19_Расчет_аналитики'!BJ1571*SUMIF(ThresholdAge15,"&lt;"&amp;'19_Расчет_аналитики'!BJ1571,WeightedRevAge15)-SUMIF(ThresholdAge15,"&lt;"&amp;'19_Расчет_аналитики'!BJ1571,WeightedMinAge15),MAX(CapacityAge15*'01_Вводные'!$B$218*'19_Расчет_аналитики'!BJ1571,MeanMinAge15)))</f>
        <v/>
      </c>
      <c r="BK1490">
        <f>IF(OR('19_Расчет_аналитики'!BK1462=0,15&lt;='01_Вводные'!$B$297),0,'19_Расчет_аналитики'!BK1462*IF('01_Вводные'!$B$239="Да",MeanMinAge15+'19_Расчет_аналитики'!BK1571*SUMIF(ThresholdAge15,"&lt;"&amp;'19_Расчет_аналитики'!BK1571,WeightedRevAge15)-SUMIF(ThresholdAge15,"&lt;"&amp;'19_Расчет_аналитики'!BK1571,WeightedMinAge15),MAX(CapacityAge15*'01_Вводные'!$B$218*'19_Расчет_аналитики'!BK1571,MeanMinAge15)))</f>
        <v/>
      </c>
      <c r="BL1490">
        <f>IF(OR('19_Расчет_аналитики'!BL1462=0,15&lt;='01_Вводные'!$B$297),0,'19_Расчет_аналитики'!BL1462*IF('01_Вводные'!$B$239="Да",MeanMinAge15+'19_Расчет_аналитики'!BL1571*SUMIF(ThresholdAge15,"&lt;"&amp;'19_Расчет_аналитики'!BL1571,WeightedRevAge15)-SUMIF(ThresholdAge15,"&lt;"&amp;'19_Расчет_аналитики'!BL1571,WeightedMinAge15),MAX(CapacityAge15*'01_Вводные'!$B$218*'19_Расчет_аналитики'!BL1571,MeanMinAge15)))</f>
        <v/>
      </c>
      <c r="BM1490">
        <f>IF(OR('19_Расчет_аналитики'!BM1462=0,15&lt;='01_Вводные'!$B$297),0,'19_Расчет_аналитики'!BM1462*IF('01_Вводные'!$B$239="Да",MeanMinAge15+'19_Расчет_аналитики'!BM1571*SUMIF(ThresholdAge15,"&lt;"&amp;'19_Расчет_аналитики'!BM1571,WeightedRevAge15)-SUMIF(ThresholdAge15,"&lt;"&amp;'19_Расчет_аналитики'!BM1571,WeightedMinAge15),MAX(CapacityAge15*'01_Вводные'!$B$218*'19_Расчет_аналитики'!BM1571,MeanMinAge15)))</f>
        <v/>
      </c>
      <c r="BN1490">
        <f>IF(OR('19_Расчет_аналитики'!BN1462=0,15&lt;='01_Вводные'!$B$297),0,'19_Расчет_аналитики'!BN1462*IF('01_Вводные'!$B$239="Да",MeanMinAge15+'19_Расчет_аналитики'!BN1571*SUMIF(ThresholdAge15,"&lt;"&amp;'19_Расчет_аналитики'!BN1571,WeightedRevAge15)-SUMIF(ThresholdAge15,"&lt;"&amp;'19_Расчет_аналитики'!BN1571,WeightedMinAge15),MAX(CapacityAge15*'01_Вводные'!$B$218*'19_Расчет_аналитики'!BN1571,MeanMinAge15)))</f>
        <v/>
      </c>
      <c r="BO1490">
        <f>IF(OR('19_Расчет_аналитики'!BO1462=0,15&lt;='01_Вводные'!$B$297),0,'19_Расчет_аналитики'!BO1462*IF('01_Вводные'!$B$239="Да",MeanMinAge15+'19_Расчет_аналитики'!BO1571*SUMIF(ThresholdAge15,"&lt;"&amp;'19_Расчет_аналитики'!BO1571,WeightedRevAge15)-SUMIF(ThresholdAge15,"&lt;"&amp;'19_Расчет_аналитики'!BO1571,WeightedMinAge15),MAX(CapacityAge15*'01_Вводные'!$B$218*'19_Расчет_аналитики'!BO1571,MeanMinAge15)))</f>
        <v/>
      </c>
    </row>
    <row r="1491">
      <c r="B1491">
        <f>IF(OR('06_Сеть_и_дети'!B96=0,16&lt;='01_Вводные'!$B$297),0,'06_Сеть_и_дети'!B96*IF('01_Вводные'!$B$239="Да",MeanMinAge16+'19_Расчет_аналитики'!B1571*SUMIF(ThresholdAge16,"&lt;"&amp;'19_Расчет_аналитики'!B1571,WeightedRevAge16)-SUMIF(ThresholdAge16,"&lt;"&amp;'19_Расчет_аналитики'!B1571,WeightedMinAge16),MAX(CapacityAge16*'01_Вводные'!$B$218*'19_Расчет_аналитики'!B1571,MeanMinAge16)))</f>
        <v/>
      </c>
      <c r="C1491">
        <f>IF(OR('06_Сеть_и_дети'!C96=0,16&lt;='01_Вводные'!$B$297),0,'06_Сеть_и_дети'!C96*IF('01_Вводные'!$B$239="Да",MeanMinAge16+'19_Расчет_аналитики'!C1571*SUMIF(ThresholdAge16,"&lt;"&amp;'19_Расчет_аналитики'!C1571,WeightedRevAge16)-SUMIF(ThresholdAge16,"&lt;"&amp;'19_Расчет_аналитики'!C1571,WeightedMinAge16),MAX(CapacityAge16*'01_Вводные'!$B$218*'19_Расчет_аналитики'!C1571,MeanMinAge16)))</f>
        <v/>
      </c>
      <c r="D1491">
        <f>IF(OR('06_Сеть_и_дети'!D96=0,16&lt;='01_Вводные'!$B$297),0,'06_Сеть_и_дети'!D96*IF('01_Вводные'!$B$239="Да",MeanMinAge16+'19_Расчет_аналитики'!D1571*SUMIF(ThresholdAge16,"&lt;"&amp;'19_Расчет_аналитики'!D1571,WeightedRevAge16)-SUMIF(ThresholdAge16,"&lt;"&amp;'19_Расчет_аналитики'!D1571,WeightedMinAge16),MAX(CapacityAge16*'01_Вводные'!$B$218*'19_Расчет_аналитики'!D1571,MeanMinAge16)))</f>
        <v/>
      </c>
      <c r="E1491">
        <f>IF(OR('06_Сеть_и_дети'!E96=0,16&lt;='01_Вводные'!$B$297),0,'06_Сеть_и_дети'!E96*IF('01_Вводные'!$B$239="Да",MeanMinAge16+'19_Расчет_аналитики'!E1571*SUMIF(ThresholdAge16,"&lt;"&amp;'19_Расчет_аналитики'!E1571,WeightedRevAge16)-SUMIF(ThresholdAge16,"&lt;"&amp;'19_Расчет_аналитики'!E1571,WeightedMinAge16),MAX(CapacityAge16*'01_Вводные'!$B$218*'19_Расчет_аналитики'!E1571,MeanMinAge16)))</f>
        <v/>
      </c>
      <c r="F1491">
        <f>IF(OR('06_Сеть_и_дети'!F96=0,16&lt;='01_Вводные'!$B$297),0,'06_Сеть_и_дети'!F96*IF('01_Вводные'!$B$239="Да",MeanMinAge16+'19_Расчет_аналитики'!F1571*SUMIF(ThresholdAge16,"&lt;"&amp;'19_Расчет_аналитики'!F1571,WeightedRevAge16)-SUMIF(ThresholdAge16,"&lt;"&amp;'19_Расчет_аналитики'!F1571,WeightedMinAge16),MAX(CapacityAge16*'01_Вводные'!$B$218*'19_Расчет_аналитики'!F1571,MeanMinAge16)))</f>
        <v/>
      </c>
      <c r="G1491">
        <f>IF(OR('06_Сеть_и_дети'!G96=0,16&lt;='01_Вводные'!$B$297),0,'06_Сеть_и_дети'!G96*IF('01_Вводные'!$B$239="Да",MeanMinAge16+'19_Расчет_аналитики'!G1571*SUMIF(ThresholdAge16,"&lt;"&amp;'19_Расчет_аналитики'!G1571,WeightedRevAge16)-SUMIF(ThresholdAge16,"&lt;"&amp;'19_Расчет_аналитики'!G1571,WeightedMinAge16),MAX(CapacityAge16*'01_Вводные'!$B$218*'19_Расчет_аналитики'!G1571,MeanMinAge16)))</f>
        <v/>
      </c>
      <c r="H1491">
        <f>IF(OR('06_Сеть_и_дети'!H96=0,16&lt;='01_Вводные'!$B$297),0,'06_Сеть_и_дети'!H96*IF('01_Вводные'!$B$239="Да",MeanMinAge16+'19_Расчет_аналитики'!H1571*SUMIF(ThresholdAge16,"&lt;"&amp;'19_Расчет_аналитики'!H1571,WeightedRevAge16)-SUMIF(ThresholdAge16,"&lt;"&amp;'19_Расчет_аналитики'!H1571,WeightedMinAge16),MAX(CapacityAge16*'01_Вводные'!$B$218*'19_Расчет_аналитики'!H1571,MeanMinAge16)))</f>
        <v/>
      </c>
      <c r="I1491">
        <f>IF(OR('06_Сеть_и_дети'!I96=0,16&lt;='01_Вводные'!$B$297),0,'06_Сеть_и_дети'!I96*IF('01_Вводные'!$B$239="Да",MeanMinAge16+'19_Расчет_аналитики'!I1571*SUMIF(ThresholdAge16,"&lt;"&amp;'19_Расчет_аналитики'!I1571,WeightedRevAge16)-SUMIF(ThresholdAge16,"&lt;"&amp;'19_Расчет_аналитики'!I1571,WeightedMinAge16),MAX(CapacityAge16*'01_Вводные'!$B$218*'19_Расчет_аналитики'!I1571,MeanMinAge16)))</f>
        <v/>
      </c>
      <c r="J1491">
        <f>IF(OR('06_Сеть_и_дети'!J96=0,16&lt;='01_Вводные'!$B$297),0,'06_Сеть_и_дети'!J96*IF('01_Вводные'!$B$239="Да",MeanMinAge16+'19_Расчет_аналитики'!J1571*SUMIF(ThresholdAge16,"&lt;"&amp;'19_Расчет_аналитики'!J1571,WeightedRevAge16)-SUMIF(ThresholdAge16,"&lt;"&amp;'19_Расчет_аналитики'!J1571,WeightedMinAge16),MAX(CapacityAge16*'01_Вводные'!$B$218*'19_Расчет_аналитики'!J1571,MeanMinAge16)))</f>
        <v/>
      </c>
      <c r="K1491">
        <f>IF(OR('06_Сеть_и_дети'!K96=0,16&lt;='01_Вводные'!$B$297),0,'06_Сеть_и_дети'!K96*IF('01_Вводные'!$B$239="Да",MeanMinAge16+'19_Расчет_аналитики'!K1571*SUMIF(ThresholdAge16,"&lt;"&amp;'19_Расчет_аналитики'!K1571,WeightedRevAge16)-SUMIF(ThresholdAge16,"&lt;"&amp;'19_Расчет_аналитики'!K1571,WeightedMinAge16),MAX(CapacityAge16*'01_Вводные'!$B$218*'19_Расчет_аналитики'!K1571,MeanMinAge16)))</f>
        <v/>
      </c>
      <c r="L1491">
        <f>IF(OR('06_Сеть_и_дети'!L96=0,16&lt;='01_Вводные'!$B$297),0,'06_Сеть_и_дети'!L96*IF('01_Вводные'!$B$239="Да",MeanMinAge16+'19_Расчет_аналитики'!L1571*SUMIF(ThresholdAge16,"&lt;"&amp;'19_Расчет_аналитики'!L1571,WeightedRevAge16)-SUMIF(ThresholdAge16,"&lt;"&amp;'19_Расчет_аналитики'!L1571,WeightedMinAge16),MAX(CapacityAge16*'01_Вводные'!$B$218*'19_Расчет_аналитики'!L1571,MeanMinAge16)))</f>
        <v/>
      </c>
      <c r="M1491">
        <f>IF(OR('06_Сеть_и_дети'!M96=0,16&lt;='01_Вводные'!$B$297),0,'06_Сеть_и_дети'!M96*IF('01_Вводные'!$B$239="Да",MeanMinAge16+'19_Расчет_аналитики'!M1571*SUMIF(ThresholdAge16,"&lt;"&amp;'19_Расчет_аналитики'!M1571,WeightedRevAge16)-SUMIF(ThresholdAge16,"&lt;"&amp;'19_Расчет_аналитики'!M1571,WeightedMinAge16),MAX(CapacityAge16*'01_Вводные'!$B$218*'19_Расчет_аналитики'!M1571,MeanMinAge16)))</f>
        <v/>
      </c>
      <c r="N1491">
        <f>IF(OR('06_Сеть_и_дети'!N96=0,16&lt;='01_Вводные'!$B$297),0,'06_Сеть_и_дети'!N96*IF('01_Вводные'!$B$239="Да",MeanMinAge16+'19_Расчет_аналитики'!N1571*SUMIF(ThresholdAge16,"&lt;"&amp;'19_Расчет_аналитики'!N1571,WeightedRevAge16)-SUMIF(ThresholdAge16,"&lt;"&amp;'19_Расчет_аналитики'!N1571,WeightedMinAge16),MAX(CapacityAge16*'01_Вводные'!$B$218*'19_Расчет_аналитики'!N1571,MeanMinAge16)))</f>
        <v/>
      </c>
      <c r="O1491">
        <f>IF(OR('06_Сеть_и_дети'!O96=0,16&lt;='01_Вводные'!$B$297),0,'06_Сеть_и_дети'!O96*IF('01_Вводные'!$B$239="Да",MeanMinAge16+'19_Расчет_аналитики'!O1571*SUMIF(ThresholdAge16,"&lt;"&amp;'19_Расчет_аналитики'!O1571,WeightedRevAge16)-SUMIF(ThresholdAge16,"&lt;"&amp;'19_Расчет_аналитики'!O1571,WeightedMinAge16),MAX(CapacityAge16*'01_Вводные'!$B$218*'19_Расчет_аналитики'!O1571,MeanMinAge16)))</f>
        <v/>
      </c>
      <c r="P1491">
        <f>IF(OR('06_Сеть_и_дети'!P96=0,16&lt;='01_Вводные'!$B$297),0,'06_Сеть_и_дети'!P96*IF('01_Вводные'!$B$239="Да",MeanMinAge16+'19_Расчет_аналитики'!P1571*SUMIF(ThresholdAge16,"&lt;"&amp;'19_Расчет_аналитики'!P1571,WeightedRevAge16)-SUMIF(ThresholdAge16,"&lt;"&amp;'19_Расчет_аналитики'!P1571,WeightedMinAge16),MAX(CapacityAge16*'01_Вводные'!$B$218*'19_Расчет_аналитики'!P1571,MeanMinAge16)))</f>
        <v/>
      </c>
      <c r="Q1491">
        <f>IF(OR('19_Расчет_аналитики'!Q1463=0,16&lt;='01_Вводные'!$B$297),0,'19_Расчет_аналитики'!Q1463*IF('01_Вводные'!$B$239="Да",MeanMinAge16+'19_Расчет_аналитики'!Q1571*SUMIF(ThresholdAge16,"&lt;"&amp;'19_Расчет_аналитики'!Q1571,WeightedRevAge16)-SUMIF(ThresholdAge16,"&lt;"&amp;'19_Расчет_аналитики'!Q1571,WeightedMinAge16),MAX(CapacityAge16*'01_Вводные'!$B$218*'19_Расчет_аналитики'!Q1571,MeanMinAge16)))</f>
        <v/>
      </c>
      <c r="R1491">
        <f>IF(OR('19_Расчет_аналитики'!R1463=0,16&lt;='01_Вводные'!$B$297),0,'19_Расчет_аналитики'!R1463*IF('01_Вводные'!$B$239="Да",MeanMinAge16+'19_Расчет_аналитики'!R1571*SUMIF(ThresholdAge16,"&lt;"&amp;'19_Расчет_аналитики'!R1571,WeightedRevAge16)-SUMIF(ThresholdAge16,"&lt;"&amp;'19_Расчет_аналитики'!R1571,WeightedMinAge16),MAX(CapacityAge16*'01_Вводные'!$B$218*'19_Расчет_аналитики'!R1571,MeanMinAge16)))</f>
        <v/>
      </c>
      <c r="S1491">
        <f>IF(OR('19_Расчет_аналитики'!S1463=0,16&lt;='01_Вводные'!$B$297),0,'19_Расчет_аналитики'!S1463*IF('01_Вводные'!$B$239="Да",MeanMinAge16+'19_Расчет_аналитики'!S1571*SUMIF(ThresholdAge16,"&lt;"&amp;'19_Расчет_аналитики'!S1571,WeightedRevAge16)-SUMIF(ThresholdAge16,"&lt;"&amp;'19_Расчет_аналитики'!S1571,WeightedMinAge16),MAX(CapacityAge16*'01_Вводные'!$B$218*'19_Расчет_аналитики'!S1571,MeanMinAge16)))</f>
        <v/>
      </c>
      <c r="T1491">
        <f>IF(OR('19_Расчет_аналитики'!T1463=0,16&lt;='01_Вводные'!$B$297),0,'19_Расчет_аналитики'!T1463*IF('01_Вводные'!$B$239="Да",MeanMinAge16+'19_Расчет_аналитики'!T1571*SUMIF(ThresholdAge16,"&lt;"&amp;'19_Расчет_аналитики'!T1571,WeightedRevAge16)-SUMIF(ThresholdAge16,"&lt;"&amp;'19_Расчет_аналитики'!T1571,WeightedMinAge16),MAX(CapacityAge16*'01_Вводные'!$B$218*'19_Расчет_аналитики'!T1571,MeanMinAge16)))</f>
        <v/>
      </c>
      <c r="U1491">
        <f>IF(OR('19_Расчет_аналитики'!U1463=0,16&lt;='01_Вводные'!$B$297),0,'19_Расчет_аналитики'!U1463*IF('01_Вводные'!$B$239="Да",MeanMinAge16+'19_Расчет_аналитики'!U1571*SUMIF(ThresholdAge16,"&lt;"&amp;'19_Расчет_аналитики'!U1571,WeightedRevAge16)-SUMIF(ThresholdAge16,"&lt;"&amp;'19_Расчет_аналитики'!U1571,WeightedMinAge16),MAX(CapacityAge16*'01_Вводные'!$B$218*'19_Расчет_аналитики'!U1571,MeanMinAge16)))</f>
        <v/>
      </c>
      <c r="V1491">
        <f>IF(OR('19_Расчет_аналитики'!V1463=0,16&lt;='01_Вводные'!$B$297),0,'19_Расчет_аналитики'!V1463*IF('01_Вводные'!$B$239="Да",MeanMinAge16+'19_Расчет_аналитики'!V1571*SUMIF(ThresholdAge16,"&lt;"&amp;'19_Расчет_аналитики'!V1571,WeightedRevAge16)-SUMIF(ThresholdAge16,"&lt;"&amp;'19_Расчет_аналитики'!V1571,WeightedMinAge16),MAX(CapacityAge16*'01_Вводные'!$B$218*'19_Расчет_аналитики'!V1571,MeanMinAge16)))</f>
        <v/>
      </c>
      <c r="W1491">
        <f>IF(OR('19_Расчет_аналитики'!W1463=0,16&lt;='01_Вводные'!$B$297),0,'19_Расчет_аналитики'!W1463*IF('01_Вводные'!$B$239="Да",MeanMinAge16+'19_Расчет_аналитики'!W1571*SUMIF(ThresholdAge16,"&lt;"&amp;'19_Расчет_аналитики'!W1571,WeightedRevAge16)-SUMIF(ThresholdAge16,"&lt;"&amp;'19_Расчет_аналитики'!W1571,WeightedMinAge16),MAX(CapacityAge16*'01_Вводные'!$B$218*'19_Расчет_аналитики'!W1571,MeanMinAge16)))</f>
        <v/>
      </c>
      <c r="X1491">
        <f>IF(OR('19_Расчет_аналитики'!X1463=0,16&lt;='01_Вводные'!$B$297),0,'19_Расчет_аналитики'!X1463*IF('01_Вводные'!$B$239="Да",MeanMinAge16+'19_Расчет_аналитики'!X1571*SUMIF(ThresholdAge16,"&lt;"&amp;'19_Расчет_аналитики'!X1571,WeightedRevAge16)-SUMIF(ThresholdAge16,"&lt;"&amp;'19_Расчет_аналитики'!X1571,WeightedMinAge16),MAX(CapacityAge16*'01_Вводные'!$B$218*'19_Расчет_аналитики'!X1571,MeanMinAge16)))</f>
        <v/>
      </c>
      <c r="Y1491">
        <f>IF(OR('19_Расчет_аналитики'!Y1463=0,16&lt;='01_Вводные'!$B$297),0,'19_Расчет_аналитики'!Y1463*IF('01_Вводные'!$B$239="Да",MeanMinAge16+'19_Расчет_аналитики'!Y1571*SUMIF(ThresholdAge16,"&lt;"&amp;'19_Расчет_аналитики'!Y1571,WeightedRevAge16)-SUMIF(ThresholdAge16,"&lt;"&amp;'19_Расчет_аналитики'!Y1571,WeightedMinAge16),MAX(CapacityAge16*'01_Вводные'!$B$218*'19_Расчет_аналитики'!Y1571,MeanMinAge16)))</f>
        <v/>
      </c>
      <c r="Z1491">
        <f>IF(OR('19_Расчет_аналитики'!Z1463=0,16&lt;='01_Вводные'!$B$297),0,'19_Расчет_аналитики'!Z1463*IF('01_Вводные'!$B$239="Да",MeanMinAge16+'19_Расчет_аналитики'!Z1571*SUMIF(ThresholdAge16,"&lt;"&amp;'19_Расчет_аналитики'!Z1571,WeightedRevAge16)-SUMIF(ThresholdAge16,"&lt;"&amp;'19_Расчет_аналитики'!Z1571,WeightedMinAge16),MAX(CapacityAge16*'01_Вводные'!$B$218*'19_Расчет_аналитики'!Z1571,MeanMinAge16)))</f>
        <v/>
      </c>
      <c r="AA1491">
        <f>IF(OR('19_Расчет_аналитики'!AA1463=0,16&lt;='01_Вводные'!$B$297),0,'19_Расчет_аналитики'!AA1463*IF('01_Вводные'!$B$239="Да",MeanMinAge16+'19_Расчет_аналитики'!AA1571*SUMIF(ThresholdAge16,"&lt;"&amp;'19_Расчет_аналитики'!AA1571,WeightedRevAge16)-SUMIF(ThresholdAge16,"&lt;"&amp;'19_Расчет_аналитики'!AA1571,WeightedMinAge16),MAX(CapacityAge16*'01_Вводные'!$B$218*'19_Расчет_аналитики'!AA1571,MeanMinAge16)))</f>
        <v/>
      </c>
      <c r="AB1491">
        <f>IF(OR('19_Расчет_аналитики'!AB1463=0,16&lt;='01_Вводные'!$B$297),0,'19_Расчет_аналитики'!AB1463*IF('01_Вводные'!$B$239="Да",MeanMinAge16+'19_Расчет_аналитики'!AB1571*SUMIF(ThresholdAge16,"&lt;"&amp;'19_Расчет_аналитики'!AB1571,WeightedRevAge16)-SUMIF(ThresholdAge16,"&lt;"&amp;'19_Расчет_аналитики'!AB1571,WeightedMinAge16),MAX(CapacityAge16*'01_Вводные'!$B$218*'19_Расчет_аналитики'!AB1571,MeanMinAge16)))</f>
        <v/>
      </c>
      <c r="AC1491">
        <f>IF(OR('19_Расчет_аналитики'!AC1463=0,16&lt;='01_Вводные'!$B$297),0,'19_Расчет_аналитики'!AC1463*IF('01_Вводные'!$B$239="Да",MeanMinAge16+'19_Расчет_аналитики'!AC1571*SUMIF(ThresholdAge16,"&lt;"&amp;'19_Расчет_аналитики'!AC1571,WeightedRevAge16)-SUMIF(ThresholdAge16,"&lt;"&amp;'19_Расчет_аналитики'!AC1571,WeightedMinAge16),MAX(CapacityAge16*'01_Вводные'!$B$218*'19_Расчет_аналитики'!AC1571,MeanMinAge16)))</f>
        <v/>
      </c>
      <c r="AD1491">
        <f>IF(OR('19_Расчет_аналитики'!AD1463=0,16&lt;='01_Вводные'!$B$297),0,'19_Расчет_аналитики'!AD1463*IF('01_Вводные'!$B$239="Да",MeanMinAge16+'19_Расчет_аналитики'!AD1571*SUMIF(ThresholdAge16,"&lt;"&amp;'19_Расчет_аналитики'!AD1571,WeightedRevAge16)-SUMIF(ThresholdAge16,"&lt;"&amp;'19_Расчет_аналитики'!AD1571,WeightedMinAge16),MAX(CapacityAge16*'01_Вводные'!$B$218*'19_Расчет_аналитики'!AD1571,MeanMinAge16)))</f>
        <v/>
      </c>
      <c r="AE1491">
        <f>IF(OR('19_Расчет_аналитики'!AE1463=0,16&lt;='01_Вводные'!$B$297),0,'19_Расчет_аналитики'!AE1463*IF('01_Вводные'!$B$239="Да",MeanMinAge16+'19_Расчет_аналитики'!AE1571*SUMIF(ThresholdAge16,"&lt;"&amp;'19_Расчет_аналитики'!AE1571,WeightedRevAge16)-SUMIF(ThresholdAge16,"&lt;"&amp;'19_Расчет_аналитики'!AE1571,WeightedMinAge16),MAX(CapacityAge16*'01_Вводные'!$B$218*'19_Расчет_аналитики'!AE1571,MeanMinAge16)))</f>
        <v/>
      </c>
      <c r="AF1491">
        <f>IF(OR('19_Расчет_аналитики'!AF1463=0,16&lt;='01_Вводные'!$B$297),0,'19_Расчет_аналитики'!AF1463*IF('01_Вводные'!$B$239="Да",MeanMinAge16+'19_Расчет_аналитики'!AF1571*SUMIF(ThresholdAge16,"&lt;"&amp;'19_Расчет_аналитики'!AF1571,WeightedRevAge16)-SUMIF(ThresholdAge16,"&lt;"&amp;'19_Расчет_аналитики'!AF1571,WeightedMinAge16),MAX(CapacityAge16*'01_Вводные'!$B$218*'19_Расчет_аналитики'!AF1571,MeanMinAge16)))</f>
        <v/>
      </c>
      <c r="AG1491">
        <f>IF(OR('19_Расчет_аналитики'!AG1463=0,16&lt;='01_Вводные'!$B$297),0,'19_Расчет_аналитики'!AG1463*IF('01_Вводные'!$B$239="Да",MeanMinAge16+'19_Расчет_аналитики'!AG1571*SUMIF(ThresholdAge16,"&lt;"&amp;'19_Расчет_аналитики'!AG1571,WeightedRevAge16)-SUMIF(ThresholdAge16,"&lt;"&amp;'19_Расчет_аналитики'!AG1571,WeightedMinAge16),MAX(CapacityAge16*'01_Вводные'!$B$218*'19_Расчет_аналитики'!AG1571,MeanMinAge16)))</f>
        <v/>
      </c>
      <c r="AH1491">
        <f>IF(OR('19_Расчет_аналитики'!AH1463=0,16&lt;='01_Вводные'!$B$297),0,'19_Расчет_аналитики'!AH1463*IF('01_Вводные'!$B$239="Да",MeanMinAge16+'19_Расчет_аналитики'!AH1571*SUMIF(ThresholdAge16,"&lt;"&amp;'19_Расчет_аналитики'!AH1571,WeightedRevAge16)-SUMIF(ThresholdAge16,"&lt;"&amp;'19_Расчет_аналитики'!AH1571,WeightedMinAge16),MAX(CapacityAge16*'01_Вводные'!$B$218*'19_Расчет_аналитики'!AH1571,MeanMinAge16)))</f>
        <v/>
      </c>
      <c r="AI1491">
        <f>IF(OR('19_Расчет_аналитики'!AI1463=0,16&lt;='01_Вводные'!$B$297),0,'19_Расчет_аналитики'!AI1463*IF('01_Вводные'!$B$239="Да",MeanMinAge16+'19_Расчет_аналитики'!AI1571*SUMIF(ThresholdAge16,"&lt;"&amp;'19_Расчет_аналитики'!AI1571,WeightedRevAge16)-SUMIF(ThresholdAge16,"&lt;"&amp;'19_Расчет_аналитики'!AI1571,WeightedMinAge16),MAX(CapacityAge16*'01_Вводные'!$B$218*'19_Расчет_аналитики'!AI1571,MeanMinAge16)))</f>
        <v/>
      </c>
      <c r="AJ1491">
        <f>IF(OR('19_Расчет_аналитики'!AJ1463=0,16&lt;='01_Вводные'!$B$297),0,'19_Расчет_аналитики'!AJ1463*IF('01_Вводные'!$B$239="Да",MeanMinAge16+'19_Расчет_аналитики'!AJ1571*SUMIF(ThresholdAge16,"&lt;"&amp;'19_Расчет_аналитики'!AJ1571,WeightedRevAge16)-SUMIF(ThresholdAge16,"&lt;"&amp;'19_Расчет_аналитики'!AJ1571,WeightedMinAge16),MAX(CapacityAge16*'01_Вводные'!$B$218*'19_Расчет_аналитики'!AJ1571,MeanMinAge16)))</f>
        <v/>
      </c>
      <c r="AK1491">
        <f>IF(OR('19_Расчет_аналитики'!AK1463=0,16&lt;='01_Вводные'!$B$297),0,'19_Расчет_аналитики'!AK1463*IF('01_Вводные'!$B$239="Да",MeanMinAge16+'19_Расчет_аналитики'!AK1571*SUMIF(ThresholdAge16,"&lt;"&amp;'19_Расчет_аналитики'!AK1571,WeightedRevAge16)-SUMIF(ThresholdAge16,"&lt;"&amp;'19_Расчет_аналитики'!AK1571,WeightedMinAge16),MAX(CapacityAge16*'01_Вводные'!$B$218*'19_Расчет_аналитики'!AK1571,MeanMinAge16)))</f>
        <v/>
      </c>
      <c r="AL1491">
        <f>IF(OR('19_Расчет_аналитики'!AL1463=0,16&lt;='01_Вводные'!$B$297),0,'19_Расчет_аналитики'!AL1463*IF('01_Вводные'!$B$239="Да",MeanMinAge16+'19_Расчет_аналитики'!AL1571*SUMIF(ThresholdAge16,"&lt;"&amp;'19_Расчет_аналитики'!AL1571,WeightedRevAge16)-SUMIF(ThresholdAge16,"&lt;"&amp;'19_Расчет_аналитики'!AL1571,WeightedMinAge16),MAX(CapacityAge16*'01_Вводные'!$B$218*'19_Расчет_аналитики'!AL1571,MeanMinAge16)))</f>
        <v/>
      </c>
      <c r="AM1491">
        <f>IF(OR('19_Расчет_аналитики'!AM1463=0,16&lt;='01_Вводные'!$B$297),0,'19_Расчет_аналитики'!AM1463*IF('01_Вводные'!$B$239="Да",MeanMinAge16+'19_Расчет_аналитики'!AM1571*SUMIF(ThresholdAge16,"&lt;"&amp;'19_Расчет_аналитики'!AM1571,WeightedRevAge16)-SUMIF(ThresholdAge16,"&lt;"&amp;'19_Расчет_аналитики'!AM1571,WeightedMinAge16),MAX(CapacityAge16*'01_Вводные'!$B$218*'19_Расчет_аналитики'!AM1571,MeanMinAge16)))</f>
        <v/>
      </c>
      <c r="AN1491">
        <f>IF(OR('19_Расчет_аналитики'!AN1463=0,16&lt;='01_Вводные'!$B$297),0,'19_Расчет_аналитики'!AN1463*IF('01_Вводные'!$B$239="Да",MeanMinAge16+'19_Расчет_аналитики'!AN1571*SUMIF(ThresholdAge16,"&lt;"&amp;'19_Расчет_аналитики'!AN1571,WeightedRevAge16)-SUMIF(ThresholdAge16,"&lt;"&amp;'19_Расчет_аналитики'!AN1571,WeightedMinAge16),MAX(CapacityAge16*'01_Вводные'!$B$218*'19_Расчет_аналитики'!AN1571,MeanMinAge16)))</f>
        <v/>
      </c>
      <c r="AO1491">
        <f>IF(OR('19_Расчет_аналитики'!AO1463=0,16&lt;='01_Вводные'!$B$297),0,'19_Расчет_аналитики'!AO1463*IF('01_Вводные'!$B$239="Да",MeanMinAge16+'19_Расчет_аналитики'!AO1571*SUMIF(ThresholdAge16,"&lt;"&amp;'19_Расчет_аналитики'!AO1571,WeightedRevAge16)-SUMIF(ThresholdAge16,"&lt;"&amp;'19_Расчет_аналитики'!AO1571,WeightedMinAge16),MAX(CapacityAge16*'01_Вводные'!$B$218*'19_Расчет_аналитики'!AO1571,MeanMinAge16)))</f>
        <v/>
      </c>
      <c r="AP1491">
        <f>IF(OR('19_Расчет_аналитики'!AP1463=0,16&lt;='01_Вводные'!$B$297),0,'19_Расчет_аналитики'!AP1463*IF('01_Вводные'!$B$239="Да",MeanMinAge16+'19_Расчет_аналитики'!AP1571*SUMIF(ThresholdAge16,"&lt;"&amp;'19_Расчет_аналитики'!AP1571,WeightedRevAge16)-SUMIF(ThresholdAge16,"&lt;"&amp;'19_Расчет_аналитики'!AP1571,WeightedMinAge16),MAX(CapacityAge16*'01_Вводные'!$B$218*'19_Расчет_аналитики'!AP1571,MeanMinAge16)))</f>
        <v/>
      </c>
      <c r="AQ1491">
        <f>IF(OR('19_Расчет_аналитики'!AQ1463=0,16&lt;='01_Вводные'!$B$297),0,'19_Расчет_аналитики'!AQ1463*IF('01_Вводные'!$B$239="Да",MeanMinAge16+'19_Расчет_аналитики'!AQ1571*SUMIF(ThresholdAge16,"&lt;"&amp;'19_Расчет_аналитики'!AQ1571,WeightedRevAge16)-SUMIF(ThresholdAge16,"&lt;"&amp;'19_Расчет_аналитики'!AQ1571,WeightedMinAge16),MAX(CapacityAge16*'01_Вводные'!$B$218*'19_Расчет_аналитики'!AQ1571,MeanMinAge16)))</f>
        <v/>
      </c>
      <c r="AR1491">
        <f>IF(OR('19_Расчет_аналитики'!AR1463=0,16&lt;='01_Вводные'!$B$297),0,'19_Расчет_аналитики'!AR1463*IF('01_Вводные'!$B$239="Да",MeanMinAge16+'19_Расчет_аналитики'!AR1571*SUMIF(ThresholdAge16,"&lt;"&amp;'19_Расчет_аналитики'!AR1571,WeightedRevAge16)-SUMIF(ThresholdAge16,"&lt;"&amp;'19_Расчет_аналитики'!AR1571,WeightedMinAge16),MAX(CapacityAge16*'01_Вводные'!$B$218*'19_Расчет_аналитики'!AR1571,MeanMinAge16)))</f>
        <v/>
      </c>
      <c r="AS1491">
        <f>IF(OR('19_Расчет_аналитики'!AS1463=0,16&lt;='01_Вводные'!$B$297),0,'19_Расчет_аналитики'!AS1463*IF('01_Вводные'!$B$239="Да",MeanMinAge16+'19_Расчет_аналитики'!AS1571*SUMIF(ThresholdAge16,"&lt;"&amp;'19_Расчет_аналитики'!AS1571,WeightedRevAge16)-SUMIF(ThresholdAge16,"&lt;"&amp;'19_Расчет_аналитики'!AS1571,WeightedMinAge16),MAX(CapacityAge16*'01_Вводные'!$B$218*'19_Расчет_аналитики'!AS1571,MeanMinAge16)))</f>
        <v/>
      </c>
      <c r="AT1491">
        <f>IF(OR('19_Расчет_аналитики'!AT1463=0,16&lt;='01_Вводные'!$B$297),0,'19_Расчет_аналитики'!AT1463*IF('01_Вводные'!$B$239="Да",MeanMinAge16+'19_Расчет_аналитики'!AT1571*SUMIF(ThresholdAge16,"&lt;"&amp;'19_Расчет_аналитики'!AT1571,WeightedRevAge16)-SUMIF(ThresholdAge16,"&lt;"&amp;'19_Расчет_аналитики'!AT1571,WeightedMinAge16),MAX(CapacityAge16*'01_Вводные'!$B$218*'19_Расчет_аналитики'!AT1571,MeanMinAge16)))</f>
        <v/>
      </c>
      <c r="AU1491">
        <f>IF(OR('19_Расчет_аналитики'!AU1463=0,16&lt;='01_Вводные'!$B$297),0,'19_Расчет_аналитики'!AU1463*IF('01_Вводные'!$B$239="Да",MeanMinAge16+'19_Расчет_аналитики'!AU1571*SUMIF(ThresholdAge16,"&lt;"&amp;'19_Расчет_аналитики'!AU1571,WeightedRevAge16)-SUMIF(ThresholdAge16,"&lt;"&amp;'19_Расчет_аналитики'!AU1571,WeightedMinAge16),MAX(CapacityAge16*'01_Вводные'!$B$218*'19_Расчет_аналитики'!AU1571,MeanMinAge16)))</f>
        <v/>
      </c>
      <c r="AV1491">
        <f>IF(OR('19_Расчет_аналитики'!AV1463=0,16&lt;='01_Вводные'!$B$297),0,'19_Расчет_аналитики'!AV1463*IF('01_Вводные'!$B$239="Да",MeanMinAge16+'19_Расчет_аналитики'!AV1571*SUMIF(ThresholdAge16,"&lt;"&amp;'19_Расчет_аналитики'!AV1571,WeightedRevAge16)-SUMIF(ThresholdAge16,"&lt;"&amp;'19_Расчет_аналитики'!AV1571,WeightedMinAge16),MAX(CapacityAge16*'01_Вводные'!$B$218*'19_Расчет_аналитики'!AV1571,MeanMinAge16)))</f>
        <v/>
      </c>
      <c r="AW1491">
        <f>IF(OR('19_Расчет_аналитики'!AW1463=0,16&lt;='01_Вводные'!$B$297),0,'19_Расчет_аналитики'!AW1463*IF('01_Вводные'!$B$239="Да",MeanMinAge16+'19_Расчет_аналитики'!AW1571*SUMIF(ThresholdAge16,"&lt;"&amp;'19_Расчет_аналитики'!AW1571,WeightedRevAge16)-SUMIF(ThresholdAge16,"&lt;"&amp;'19_Расчет_аналитики'!AW1571,WeightedMinAge16),MAX(CapacityAge16*'01_Вводные'!$B$218*'19_Расчет_аналитики'!AW1571,MeanMinAge16)))</f>
        <v/>
      </c>
      <c r="AX1491">
        <f>IF(OR('19_Расчет_аналитики'!AX1463=0,16&lt;='01_Вводные'!$B$297),0,'19_Расчет_аналитики'!AX1463*IF('01_Вводные'!$B$239="Да",MeanMinAge16+'19_Расчет_аналитики'!AX1571*SUMIF(ThresholdAge16,"&lt;"&amp;'19_Расчет_аналитики'!AX1571,WeightedRevAge16)-SUMIF(ThresholdAge16,"&lt;"&amp;'19_Расчет_аналитики'!AX1571,WeightedMinAge16),MAX(CapacityAge16*'01_Вводные'!$B$218*'19_Расчет_аналитики'!AX1571,MeanMinAge16)))</f>
        <v/>
      </c>
      <c r="AY1491">
        <f>IF(OR('19_Расчет_аналитики'!AY1463=0,16&lt;='01_Вводные'!$B$297),0,'19_Расчет_аналитики'!AY1463*IF('01_Вводные'!$B$239="Да",MeanMinAge16+'19_Расчет_аналитики'!AY1571*SUMIF(ThresholdAge16,"&lt;"&amp;'19_Расчет_аналитики'!AY1571,WeightedRevAge16)-SUMIF(ThresholdAge16,"&lt;"&amp;'19_Расчет_аналитики'!AY1571,WeightedMinAge16),MAX(CapacityAge16*'01_Вводные'!$B$218*'19_Расчет_аналитики'!AY1571,MeanMinAge16)))</f>
        <v/>
      </c>
      <c r="AZ1491">
        <f>IF(OR('19_Расчет_аналитики'!AZ1463=0,16&lt;='01_Вводные'!$B$297),0,'19_Расчет_аналитики'!AZ1463*IF('01_Вводные'!$B$239="Да",MeanMinAge16+'19_Расчет_аналитики'!AZ1571*SUMIF(ThresholdAge16,"&lt;"&amp;'19_Расчет_аналитики'!AZ1571,WeightedRevAge16)-SUMIF(ThresholdAge16,"&lt;"&amp;'19_Расчет_аналитики'!AZ1571,WeightedMinAge16),MAX(CapacityAge16*'01_Вводные'!$B$218*'19_Расчет_аналитики'!AZ1571,MeanMinAge16)))</f>
        <v/>
      </c>
      <c r="BA1491">
        <f>IF(OR('19_Расчет_аналитики'!BA1463=0,16&lt;='01_Вводные'!$B$297),0,'19_Расчет_аналитики'!BA1463*IF('01_Вводные'!$B$239="Да",MeanMinAge16+'19_Расчет_аналитики'!BA1571*SUMIF(ThresholdAge16,"&lt;"&amp;'19_Расчет_аналитики'!BA1571,WeightedRevAge16)-SUMIF(ThresholdAge16,"&lt;"&amp;'19_Расчет_аналитики'!BA1571,WeightedMinAge16),MAX(CapacityAge16*'01_Вводные'!$B$218*'19_Расчет_аналитики'!BA1571,MeanMinAge16)))</f>
        <v/>
      </c>
      <c r="BB1491">
        <f>IF(OR('19_Расчет_аналитики'!BB1463=0,16&lt;='01_Вводные'!$B$297),0,'19_Расчет_аналитики'!BB1463*IF('01_Вводные'!$B$239="Да",MeanMinAge16+'19_Расчет_аналитики'!BB1571*SUMIF(ThresholdAge16,"&lt;"&amp;'19_Расчет_аналитики'!BB1571,WeightedRevAge16)-SUMIF(ThresholdAge16,"&lt;"&amp;'19_Расчет_аналитики'!BB1571,WeightedMinAge16),MAX(CapacityAge16*'01_Вводные'!$B$218*'19_Расчет_аналитики'!BB1571,MeanMinAge16)))</f>
        <v/>
      </c>
      <c r="BC1491">
        <f>IF(OR('19_Расчет_аналитики'!BC1463=0,16&lt;='01_Вводные'!$B$297),0,'19_Расчет_аналитики'!BC1463*IF('01_Вводные'!$B$239="Да",MeanMinAge16+'19_Расчет_аналитики'!BC1571*SUMIF(ThresholdAge16,"&lt;"&amp;'19_Расчет_аналитики'!BC1571,WeightedRevAge16)-SUMIF(ThresholdAge16,"&lt;"&amp;'19_Расчет_аналитики'!BC1571,WeightedMinAge16),MAX(CapacityAge16*'01_Вводные'!$B$218*'19_Расчет_аналитики'!BC1571,MeanMinAge16)))</f>
        <v/>
      </c>
      <c r="BD1491">
        <f>IF(OR('19_Расчет_аналитики'!BD1463=0,16&lt;='01_Вводные'!$B$297),0,'19_Расчет_аналитики'!BD1463*IF('01_Вводные'!$B$239="Да",MeanMinAge16+'19_Расчет_аналитики'!BD1571*SUMIF(ThresholdAge16,"&lt;"&amp;'19_Расчет_аналитики'!BD1571,WeightedRevAge16)-SUMIF(ThresholdAge16,"&lt;"&amp;'19_Расчет_аналитики'!BD1571,WeightedMinAge16),MAX(CapacityAge16*'01_Вводные'!$B$218*'19_Расчет_аналитики'!BD1571,MeanMinAge16)))</f>
        <v/>
      </c>
      <c r="BE1491">
        <f>IF(OR('19_Расчет_аналитики'!BE1463=0,16&lt;='01_Вводные'!$B$297),0,'19_Расчет_аналитики'!BE1463*IF('01_Вводные'!$B$239="Да",MeanMinAge16+'19_Расчет_аналитики'!BE1571*SUMIF(ThresholdAge16,"&lt;"&amp;'19_Расчет_аналитики'!BE1571,WeightedRevAge16)-SUMIF(ThresholdAge16,"&lt;"&amp;'19_Расчет_аналитики'!BE1571,WeightedMinAge16),MAX(CapacityAge16*'01_Вводные'!$B$218*'19_Расчет_аналитики'!BE1571,MeanMinAge16)))</f>
        <v/>
      </c>
      <c r="BF1491">
        <f>IF(OR('19_Расчет_аналитики'!BF1463=0,16&lt;='01_Вводные'!$B$297),0,'19_Расчет_аналитики'!BF1463*IF('01_Вводные'!$B$239="Да",MeanMinAge16+'19_Расчет_аналитики'!BF1571*SUMIF(ThresholdAge16,"&lt;"&amp;'19_Расчет_аналитики'!BF1571,WeightedRevAge16)-SUMIF(ThresholdAge16,"&lt;"&amp;'19_Расчет_аналитики'!BF1571,WeightedMinAge16),MAX(CapacityAge16*'01_Вводные'!$B$218*'19_Расчет_аналитики'!BF1571,MeanMinAge16)))</f>
        <v/>
      </c>
      <c r="BG1491">
        <f>IF(OR('19_Расчет_аналитики'!BG1463=0,16&lt;='01_Вводные'!$B$297),0,'19_Расчет_аналитики'!BG1463*IF('01_Вводные'!$B$239="Да",MeanMinAge16+'19_Расчет_аналитики'!BG1571*SUMIF(ThresholdAge16,"&lt;"&amp;'19_Расчет_аналитики'!BG1571,WeightedRevAge16)-SUMIF(ThresholdAge16,"&lt;"&amp;'19_Расчет_аналитики'!BG1571,WeightedMinAge16),MAX(CapacityAge16*'01_Вводные'!$B$218*'19_Расчет_аналитики'!BG1571,MeanMinAge16)))</f>
        <v/>
      </c>
      <c r="BH1491">
        <f>IF(OR('19_Расчет_аналитики'!BH1463=0,16&lt;='01_Вводные'!$B$297),0,'19_Расчет_аналитики'!BH1463*IF('01_Вводные'!$B$239="Да",MeanMinAge16+'19_Расчет_аналитики'!BH1571*SUMIF(ThresholdAge16,"&lt;"&amp;'19_Расчет_аналитики'!BH1571,WeightedRevAge16)-SUMIF(ThresholdAge16,"&lt;"&amp;'19_Расчет_аналитики'!BH1571,WeightedMinAge16),MAX(CapacityAge16*'01_Вводные'!$B$218*'19_Расчет_аналитики'!BH1571,MeanMinAge16)))</f>
        <v/>
      </c>
      <c r="BI1491">
        <f>IF(OR('19_Расчет_аналитики'!BI1463=0,16&lt;='01_Вводные'!$B$297),0,'19_Расчет_аналитики'!BI1463*IF('01_Вводные'!$B$239="Да",MeanMinAge16+'19_Расчет_аналитики'!BI1571*SUMIF(ThresholdAge16,"&lt;"&amp;'19_Расчет_аналитики'!BI1571,WeightedRevAge16)-SUMIF(ThresholdAge16,"&lt;"&amp;'19_Расчет_аналитики'!BI1571,WeightedMinAge16),MAX(CapacityAge16*'01_Вводные'!$B$218*'19_Расчет_аналитики'!BI1571,MeanMinAge16)))</f>
        <v/>
      </c>
      <c r="BJ1491">
        <f>IF(OR('19_Расчет_аналитики'!BJ1463=0,16&lt;='01_Вводные'!$B$297),0,'19_Расчет_аналитики'!BJ1463*IF('01_Вводные'!$B$239="Да",MeanMinAge16+'19_Расчет_аналитики'!BJ1571*SUMIF(ThresholdAge16,"&lt;"&amp;'19_Расчет_аналитики'!BJ1571,WeightedRevAge16)-SUMIF(ThresholdAge16,"&lt;"&amp;'19_Расчет_аналитики'!BJ1571,WeightedMinAge16),MAX(CapacityAge16*'01_Вводные'!$B$218*'19_Расчет_аналитики'!BJ1571,MeanMinAge16)))</f>
        <v/>
      </c>
      <c r="BK1491">
        <f>IF(OR('19_Расчет_аналитики'!BK1463=0,16&lt;='01_Вводные'!$B$297),0,'19_Расчет_аналитики'!BK1463*IF('01_Вводные'!$B$239="Да",MeanMinAge16+'19_Расчет_аналитики'!BK1571*SUMIF(ThresholdAge16,"&lt;"&amp;'19_Расчет_аналитики'!BK1571,WeightedRevAge16)-SUMIF(ThresholdAge16,"&lt;"&amp;'19_Расчет_аналитики'!BK1571,WeightedMinAge16),MAX(CapacityAge16*'01_Вводные'!$B$218*'19_Расчет_аналитики'!BK1571,MeanMinAge16)))</f>
        <v/>
      </c>
      <c r="BL1491">
        <f>IF(OR('19_Расчет_аналитики'!BL1463=0,16&lt;='01_Вводные'!$B$297),0,'19_Расчет_аналитики'!BL1463*IF('01_Вводные'!$B$239="Да",MeanMinAge16+'19_Расчет_аналитики'!BL1571*SUMIF(ThresholdAge16,"&lt;"&amp;'19_Расчет_аналитики'!BL1571,WeightedRevAge16)-SUMIF(ThresholdAge16,"&lt;"&amp;'19_Расчет_аналитики'!BL1571,WeightedMinAge16),MAX(CapacityAge16*'01_Вводные'!$B$218*'19_Расчет_аналитики'!BL1571,MeanMinAge16)))</f>
        <v/>
      </c>
      <c r="BM1491">
        <f>IF(OR('19_Расчет_аналитики'!BM1463=0,16&lt;='01_Вводные'!$B$297),0,'19_Расчет_аналитики'!BM1463*IF('01_Вводные'!$B$239="Да",MeanMinAge16+'19_Расчет_аналитики'!BM1571*SUMIF(ThresholdAge16,"&lt;"&amp;'19_Расчет_аналитики'!BM1571,WeightedRevAge16)-SUMIF(ThresholdAge16,"&lt;"&amp;'19_Расчет_аналитики'!BM1571,WeightedMinAge16),MAX(CapacityAge16*'01_Вводные'!$B$218*'19_Расчет_аналитики'!BM1571,MeanMinAge16)))</f>
        <v/>
      </c>
      <c r="BN1491">
        <f>IF(OR('19_Расчет_аналитики'!BN1463=0,16&lt;='01_Вводные'!$B$297),0,'19_Расчет_аналитики'!BN1463*IF('01_Вводные'!$B$239="Да",MeanMinAge16+'19_Расчет_аналитики'!BN1571*SUMIF(ThresholdAge16,"&lt;"&amp;'19_Расчет_аналитики'!BN1571,WeightedRevAge16)-SUMIF(ThresholdAge16,"&lt;"&amp;'19_Расчет_аналитики'!BN1571,WeightedMinAge16),MAX(CapacityAge16*'01_Вводные'!$B$218*'19_Расчет_аналитики'!BN1571,MeanMinAge16)))</f>
        <v/>
      </c>
      <c r="BO1491">
        <f>IF(OR('19_Расчет_аналитики'!BO1463=0,16&lt;='01_Вводные'!$B$297),0,'19_Расчет_аналитики'!BO1463*IF('01_Вводные'!$B$239="Да",MeanMinAge16+'19_Расчет_аналитики'!BO1571*SUMIF(ThresholdAge16,"&lt;"&amp;'19_Расчет_аналитики'!BO1571,WeightedRevAge16)-SUMIF(ThresholdAge16,"&lt;"&amp;'19_Расчет_аналитики'!BO1571,WeightedMinAge16),MAX(CapacityAge16*'01_Вводные'!$B$218*'19_Расчет_аналитики'!BO1571,MeanMinAge16)))</f>
        <v/>
      </c>
    </row>
    <row r="1492">
      <c r="B1492">
        <f>IF(OR('06_Сеть_и_дети'!B97=0,17&lt;='01_Вводные'!$B$297),0,'06_Сеть_и_дети'!B97*IF('01_Вводные'!$B$239="Да",MeanMinAge17+'19_Расчет_аналитики'!B1571*SUMIF(ThresholdAge17,"&lt;"&amp;'19_Расчет_аналитики'!B1571,WeightedRevAge17)-SUMIF(ThresholdAge17,"&lt;"&amp;'19_Расчет_аналитики'!B1571,WeightedMinAge17),MAX(CapacityAge17*'01_Вводные'!$B$218*'19_Расчет_аналитики'!B1571,MeanMinAge17)))</f>
        <v/>
      </c>
      <c r="C1492">
        <f>IF(OR('06_Сеть_и_дети'!C97=0,17&lt;='01_Вводные'!$B$297),0,'06_Сеть_и_дети'!C97*IF('01_Вводные'!$B$239="Да",MeanMinAge17+'19_Расчет_аналитики'!C1571*SUMIF(ThresholdAge17,"&lt;"&amp;'19_Расчет_аналитики'!C1571,WeightedRevAge17)-SUMIF(ThresholdAge17,"&lt;"&amp;'19_Расчет_аналитики'!C1571,WeightedMinAge17),MAX(CapacityAge17*'01_Вводные'!$B$218*'19_Расчет_аналитики'!C1571,MeanMinAge17)))</f>
        <v/>
      </c>
      <c r="D1492">
        <f>IF(OR('06_Сеть_и_дети'!D97=0,17&lt;='01_Вводные'!$B$297),0,'06_Сеть_и_дети'!D97*IF('01_Вводные'!$B$239="Да",MeanMinAge17+'19_Расчет_аналитики'!D1571*SUMIF(ThresholdAge17,"&lt;"&amp;'19_Расчет_аналитики'!D1571,WeightedRevAge17)-SUMIF(ThresholdAge17,"&lt;"&amp;'19_Расчет_аналитики'!D1571,WeightedMinAge17),MAX(CapacityAge17*'01_Вводные'!$B$218*'19_Расчет_аналитики'!D1571,MeanMinAge17)))</f>
        <v/>
      </c>
      <c r="E1492">
        <f>IF(OR('06_Сеть_и_дети'!E97=0,17&lt;='01_Вводные'!$B$297),0,'06_Сеть_и_дети'!E97*IF('01_Вводные'!$B$239="Да",MeanMinAge17+'19_Расчет_аналитики'!E1571*SUMIF(ThresholdAge17,"&lt;"&amp;'19_Расчет_аналитики'!E1571,WeightedRevAge17)-SUMIF(ThresholdAge17,"&lt;"&amp;'19_Расчет_аналитики'!E1571,WeightedMinAge17),MAX(CapacityAge17*'01_Вводные'!$B$218*'19_Расчет_аналитики'!E1571,MeanMinAge17)))</f>
        <v/>
      </c>
      <c r="F1492">
        <f>IF(OR('06_Сеть_и_дети'!F97=0,17&lt;='01_Вводные'!$B$297),0,'06_Сеть_и_дети'!F97*IF('01_Вводные'!$B$239="Да",MeanMinAge17+'19_Расчет_аналитики'!F1571*SUMIF(ThresholdAge17,"&lt;"&amp;'19_Расчет_аналитики'!F1571,WeightedRevAge17)-SUMIF(ThresholdAge17,"&lt;"&amp;'19_Расчет_аналитики'!F1571,WeightedMinAge17),MAX(CapacityAge17*'01_Вводные'!$B$218*'19_Расчет_аналитики'!F1571,MeanMinAge17)))</f>
        <v/>
      </c>
      <c r="G1492">
        <f>IF(OR('06_Сеть_и_дети'!G97=0,17&lt;='01_Вводные'!$B$297),0,'06_Сеть_и_дети'!G97*IF('01_Вводные'!$B$239="Да",MeanMinAge17+'19_Расчет_аналитики'!G1571*SUMIF(ThresholdAge17,"&lt;"&amp;'19_Расчет_аналитики'!G1571,WeightedRevAge17)-SUMIF(ThresholdAge17,"&lt;"&amp;'19_Расчет_аналитики'!G1571,WeightedMinAge17),MAX(CapacityAge17*'01_Вводные'!$B$218*'19_Расчет_аналитики'!G1571,MeanMinAge17)))</f>
        <v/>
      </c>
      <c r="H1492">
        <f>IF(OR('06_Сеть_и_дети'!H97=0,17&lt;='01_Вводные'!$B$297),0,'06_Сеть_и_дети'!H97*IF('01_Вводные'!$B$239="Да",MeanMinAge17+'19_Расчет_аналитики'!H1571*SUMIF(ThresholdAge17,"&lt;"&amp;'19_Расчет_аналитики'!H1571,WeightedRevAge17)-SUMIF(ThresholdAge17,"&lt;"&amp;'19_Расчет_аналитики'!H1571,WeightedMinAge17),MAX(CapacityAge17*'01_Вводные'!$B$218*'19_Расчет_аналитики'!H1571,MeanMinAge17)))</f>
        <v/>
      </c>
      <c r="I1492">
        <f>IF(OR('06_Сеть_и_дети'!I97=0,17&lt;='01_Вводные'!$B$297),0,'06_Сеть_и_дети'!I97*IF('01_Вводные'!$B$239="Да",MeanMinAge17+'19_Расчет_аналитики'!I1571*SUMIF(ThresholdAge17,"&lt;"&amp;'19_Расчет_аналитики'!I1571,WeightedRevAge17)-SUMIF(ThresholdAge17,"&lt;"&amp;'19_Расчет_аналитики'!I1571,WeightedMinAge17),MAX(CapacityAge17*'01_Вводные'!$B$218*'19_Расчет_аналитики'!I1571,MeanMinAge17)))</f>
        <v/>
      </c>
      <c r="J1492">
        <f>IF(OR('06_Сеть_и_дети'!J97=0,17&lt;='01_Вводные'!$B$297),0,'06_Сеть_и_дети'!J97*IF('01_Вводные'!$B$239="Да",MeanMinAge17+'19_Расчет_аналитики'!J1571*SUMIF(ThresholdAge17,"&lt;"&amp;'19_Расчет_аналитики'!J1571,WeightedRevAge17)-SUMIF(ThresholdAge17,"&lt;"&amp;'19_Расчет_аналитики'!J1571,WeightedMinAge17),MAX(CapacityAge17*'01_Вводные'!$B$218*'19_Расчет_аналитики'!J1571,MeanMinAge17)))</f>
        <v/>
      </c>
      <c r="K1492">
        <f>IF(OR('06_Сеть_и_дети'!K97=0,17&lt;='01_Вводные'!$B$297),0,'06_Сеть_и_дети'!K97*IF('01_Вводные'!$B$239="Да",MeanMinAge17+'19_Расчет_аналитики'!K1571*SUMIF(ThresholdAge17,"&lt;"&amp;'19_Расчет_аналитики'!K1571,WeightedRevAge17)-SUMIF(ThresholdAge17,"&lt;"&amp;'19_Расчет_аналитики'!K1571,WeightedMinAge17),MAX(CapacityAge17*'01_Вводные'!$B$218*'19_Расчет_аналитики'!K1571,MeanMinAge17)))</f>
        <v/>
      </c>
      <c r="L1492">
        <f>IF(OR('06_Сеть_и_дети'!L97=0,17&lt;='01_Вводные'!$B$297),0,'06_Сеть_и_дети'!L97*IF('01_Вводные'!$B$239="Да",MeanMinAge17+'19_Расчет_аналитики'!L1571*SUMIF(ThresholdAge17,"&lt;"&amp;'19_Расчет_аналитики'!L1571,WeightedRevAge17)-SUMIF(ThresholdAge17,"&lt;"&amp;'19_Расчет_аналитики'!L1571,WeightedMinAge17),MAX(CapacityAge17*'01_Вводные'!$B$218*'19_Расчет_аналитики'!L1571,MeanMinAge17)))</f>
        <v/>
      </c>
      <c r="M1492">
        <f>IF(OR('06_Сеть_и_дети'!M97=0,17&lt;='01_Вводные'!$B$297),0,'06_Сеть_и_дети'!M97*IF('01_Вводные'!$B$239="Да",MeanMinAge17+'19_Расчет_аналитики'!M1571*SUMIF(ThresholdAge17,"&lt;"&amp;'19_Расчет_аналитики'!M1571,WeightedRevAge17)-SUMIF(ThresholdAge17,"&lt;"&amp;'19_Расчет_аналитики'!M1571,WeightedMinAge17),MAX(CapacityAge17*'01_Вводные'!$B$218*'19_Расчет_аналитики'!M1571,MeanMinAge17)))</f>
        <v/>
      </c>
      <c r="N1492">
        <f>IF(OR('06_Сеть_и_дети'!N97=0,17&lt;='01_Вводные'!$B$297),0,'06_Сеть_и_дети'!N97*IF('01_Вводные'!$B$239="Да",MeanMinAge17+'19_Расчет_аналитики'!N1571*SUMIF(ThresholdAge17,"&lt;"&amp;'19_Расчет_аналитики'!N1571,WeightedRevAge17)-SUMIF(ThresholdAge17,"&lt;"&amp;'19_Расчет_аналитики'!N1571,WeightedMinAge17),MAX(CapacityAge17*'01_Вводные'!$B$218*'19_Расчет_аналитики'!N1571,MeanMinAge17)))</f>
        <v/>
      </c>
      <c r="O1492">
        <f>IF(OR('06_Сеть_и_дети'!O97=0,17&lt;='01_Вводные'!$B$297),0,'06_Сеть_и_дети'!O97*IF('01_Вводные'!$B$239="Да",MeanMinAge17+'19_Расчет_аналитики'!O1571*SUMIF(ThresholdAge17,"&lt;"&amp;'19_Расчет_аналитики'!O1571,WeightedRevAge17)-SUMIF(ThresholdAge17,"&lt;"&amp;'19_Расчет_аналитики'!O1571,WeightedMinAge17),MAX(CapacityAge17*'01_Вводные'!$B$218*'19_Расчет_аналитики'!O1571,MeanMinAge17)))</f>
        <v/>
      </c>
      <c r="P1492">
        <f>IF(OR('06_Сеть_и_дети'!P97=0,17&lt;='01_Вводные'!$B$297),0,'06_Сеть_и_дети'!P97*IF('01_Вводные'!$B$239="Да",MeanMinAge17+'19_Расчет_аналитики'!P1571*SUMIF(ThresholdAge17,"&lt;"&amp;'19_Расчет_аналитики'!P1571,WeightedRevAge17)-SUMIF(ThresholdAge17,"&lt;"&amp;'19_Расчет_аналитики'!P1571,WeightedMinAge17),MAX(CapacityAge17*'01_Вводные'!$B$218*'19_Расчет_аналитики'!P1571,MeanMinAge17)))</f>
        <v/>
      </c>
      <c r="Q1492">
        <f>IF(OR('06_Сеть_и_дети'!Q97=0,17&lt;='01_Вводные'!$B$297),0,'06_Сеть_и_дети'!Q97*IF('01_Вводные'!$B$239="Да",MeanMinAge17+'19_Расчет_аналитики'!Q1571*SUMIF(ThresholdAge17,"&lt;"&amp;'19_Расчет_аналитики'!Q1571,WeightedRevAge17)-SUMIF(ThresholdAge17,"&lt;"&amp;'19_Расчет_аналитики'!Q1571,WeightedMinAge17),MAX(CapacityAge17*'01_Вводные'!$B$218*'19_Расчет_аналитики'!Q1571,MeanMinAge17)))</f>
        <v/>
      </c>
      <c r="R1492">
        <f>IF(OR('19_Расчет_аналитики'!R1464=0,17&lt;='01_Вводные'!$B$297),0,'19_Расчет_аналитики'!R1464*IF('01_Вводные'!$B$239="Да",MeanMinAge17+'19_Расчет_аналитики'!R1571*SUMIF(ThresholdAge17,"&lt;"&amp;'19_Расчет_аналитики'!R1571,WeightedRevAge17)-SUMIF(ThresholdAge17,"&lt;"&amp;'19_Расчет_аналитики'!R1571,WeightedMinAge17),MAX(CapacityAge17*'01_Вводные'!$B$218*'19_Расчет_аналитики'!R1571,MeanMinAge17)))</f>
        <v/>
      </c>
      <c r="S1492">
        <f>IF(OR('19_Расчет_аналитики'!S1464=0,17&lt;='01_Вводные'!$B$297),0,'19_Расчет_аналитики'!S1464*IF('01_Вводные'!$B$239="Да",MeanMinAge17+'19_Расчет_аналитики'!S1571*SUMIF(ThresholdAge17,"&lt;"&amp;'19_Расчет_аналитики'!S1571,WeightedRevAge17)-SUMIF(ThresholdAge17,"&lt;"&amp;'19_Расчет_аналитики'!S1571,WeightedMinAge17),MAX(CapacityAge17*'01_Вводные'!$B$218*'19_Расчет_аналитики'!S1571,MeanMinAge17)))</f>
        <v/>
      </c>
      <c r="T1492">
        <f>IF(OR('19_Расчет_аналитики'!T1464=0,17&lt;='01_Вводные'!$B$297),0,'19_Расчет_аналитики'!T1464*IF('01_Вводные'!$B$239="Да",MeanMinAge17+'19_Расчет_аналитики'!T1571*SUMIF(ThresholdAge17,"&lt;"&amp;'19_Расчет_аналитики'!T1571,WeightedRevAge17)-SUMIF(ThresholdAge17,"&lt;"&amp;'19_Расчет_аналитики'!T1571,WeightedMinAge17),MAX(CapacityAge17*'01_Вводные'!$B$218*'19_Расчет_аналитики'!T1571,MeanMinAge17)))</f>
        <v/>
      </c>
      <c r="U1492">
        <f>IF(OR('19_Расчет_аналитики'!U1464=0,17&lt;='01_Вводные'!$B$297),0,'19_Расчет_аналитики'!U1464*IF('01_Вводные'!$B$239="Да",MeanMinAge17+'19_Расчет_аналитики'!U1571*SUMIF(ThresholdAge17,"&lt;"&amp;'19_Расчет_аналитики'!U1571,WeightedRevAge17)-SUMIF(ThresholdAge17,"&lt;"&amp;'19_Расчет_аналитики'!U1571,WeightedMinAge17),MAX(CapacityAge17*'01_Вводные'!$B$218*'19_Расчет_аналитики'!U1571,MeanMinAge17)))</f>
        <v/>
      </c>
      <c r="V1492">
        <f>IF(OR('19_Расчет_аналитики'!V1464=0,17&lt;='01_Вводные'!$B$297),0,'19_Расчет_аналитики'!V1464*IF('01_Вводные'!$B$239="Да",MeanMinAge17+'19_Расчет_аналитики'!V1571*SUMIF(ThresholdAge17,"&lt;"&amp;'19_Расчет_аналитики'!V1571,WeightedRevAge17)-SUMIF(ThresholdAge17,"&lt;"&amp;'19_Расчет_аналитики'!V1571,WeightedMinAge17),MAX(CapacityAge17*'01_Вводные'!$B$218*'19_Расчет_аналитики'!V1571,MeanMinAge17)))</f>
        <v/>
      </c>
      <c r="W1492">
        <f>IF(OR('19_Расчет_аналитики'!W1464=0,17&lt;='01_Вводные'!$B$297),0,'19_Расчет_аналитики'!W1464*IF('01_Вводные'!$B$239="Да",MeanMinAge17+'19_Расчет_аналитики'!W1571*SUMIF(ThresholdAge17,"&lt;"&amp;'19_Расчет_аналитики'!W1571,WeightedRevAge17)-SUMIF(ThresholdAge17,"&lt;"&amp;'19_Расчет_аналитики'!W1571,WeightedMinAge17),MAX(CapacityAge17*'01_Вводные'!$B$218*'19_Расчет_аналитики'!W1571,MeanMinAge17)))</f>
        <v/>
      </c>
      <c r="X1492">
        <f>IF(OR('19_Расчет_аналитики'!X1464=0,17&lt;='01_Вводные'!$B$297),0,'19_Расчет_аналитики'!X1464*IF('01_Вводные'!$B$239="Да",MeanMinAge17+'19_Расчет_аналитики'!X1571*SUMIF(ThresholdAge17,"&lt;"&amp;'19_Расчет_аналитики'!X1571,WeightedRevAge17)-SUMIF(ThresholdAge17,"&lt;"&amp;'19_Расчет_аналитики'!X1571,WeightedMinAge17),MAX(CapacityAge17*'01_Вводные'!$B$218*'19_Расчет_аналитики'!X1571,MeanMinAge17)))</f>
        <v/>
      </c>
      <c r="Y1492">
        <f>IF(OR('19_Расчет_аналитики'!Y1464=0,17&lt;='01_Вводные'!$B$297),0,'19_Расчет_аналитики'!Y1464*IF('01_Вводные'!$B$239="Да",MeanMinAge17+'19_Расчет_аналитики'!Y1571*SUMIF(ThresholdAge17,"&lt;"&amp;'19_Расчет_аналитики'!Y1571,WeightedRevAge17)-SUMIF(ThresholdAge17,"&lt;"&amp;'19_Расчет_аналитики'!Y1571,WeightedMinAge17),MAX(CapacityAge17*'01_Вводные'!$B$218*'19_Расчет_аналитики'!Y1571,MeanMinAge17)))</f>
        <v/>
      </c>
      <c r="Z1492">
        <f>IF(OR('19_Расчет_аналитики'!Z1464=0,17&lt;='01_Вводные'!$B$297),0,'19_Расчет_аналитики'!Z1464*IF('01_Вводные'!$B$239="Да",MeanMinAge17+'19_Расчет_аналитики'!Z1571*SUMIF(ThresholdAge17,"&lt;"&amp;'19_Расчет_аналитики'!Z1571,WeightedRevAge17)-SUMIF(ThresholdAge17,"&lt;"&amp;'19_Расчет_аналитики'!Z1571,WeightedMinAge17),MAX(CapacityAge17*'01_Вводные'!$B$218*'19_Расчет_аналитики'!Z1571,MeanMinAge17)))</f>
        <v/>
      </c>
      <c r="AA1492">
        <f>IF(OR('19_Расчет_аналитики'!AA1464=0,17&lt;='01_Вводные'!$B$297),0,'19_Расчет_аналитики'!AA1464*IF('01_Вводные'!$B$239="Да",MeanMinAge17+'19_Расчет_аналитики'!AA1571*SUMIF(ThresholdAge17,"&lt;"&amp;'19_Расчет_аналитики'!AA1571,WeightedRevAge17)-SUMIF(ThresholdAge17,"&lt;"&amp;'19_Расчет_аналитики'!AA1571,WeightedMinAge17),MAX(CapacityAge17*'01_Вводные'!$B$218*'19_Расчет_аналитики'!AA1571,MeanMinAge17)))</f>
        <v/>
      </c>
      <c r="AB1492">
        <f>IF(OR('19_Расчет_аналитики'!AB1464=0,17&lt;='01_Вводные'!$B$297),0,'19_Расчет_аналитики'!AB1464*IF('01_Вводные'!$B$239="Да",MeanMinAge17+'19_Расчет_аналитики'!AB1571*SUMIF(ThresholdAge17,"&lt;"&amp;'19_Расчет_аналитики'!AB1571,WeightedRevAge17)-SUMIF(ThresholdAge17,"&lt;"&amp;'19_Расчет_аналитики'!AB1571,WeightedMinAge17),MAX(CapacityAge17*'01_Вводные'!$B$218*'19_Расчет_аналитики'!AB1571,MeanMinAge17)))</f>
        <v/>
      </c>
      <c r="AC1492">
        <f>IF(OR('19_Расчет_аналитики'!AC1464=0,17&lt;='01_Вводные'!$B$297),0,'19_Расчет_аналитики'!AC1464*IF('01_Вводные'!$B$239="Да",MeanMinAge17+'19_Расчет_аналитики'!AC1571*SUMIF(ThresholdAge17,"&lt;"&amp;'19_Расчет_аналитики'!AC1571,WeightedRevAge17)-SUMIF(ThresholdAge17,"&lt;"&amp;'19_Расчет_аналитики'!AC1571,WeightedMinAge17),MAX(CapacityAge17*'01_Вводные'!$B$218*'19_Расчет_аналитики'!AC1571,MeanMinAge17)))</f>
        <v/>
      </c>
      <c r="AD1492">
        <f>IF(OR('19_Расчет_аналитики'!AD1464=0,17&lt;='01_Вводные'!$B$297),0,'19_Расчет_аналитики'!AD1464*IF('01_Вводные'!$B$239="Да",MeanMinAge17+'19_Расчет_аналитики'!AD1571*SUMIF(ThresholdAge17,"&lt;"&amp;'19_Расчет_аналитики'!AD1571,WeightedRevAge17)-SUMIF(ThresholdAge17,"&lt;"&amp;'19_Расчет_аналитики'!AD1571,WeightedMinAge17),MAX(CapacityAge17*'01_Вводные'!$B$218*'19_Расчет_аналитики'!AD1571,MeanMinAge17)))</f>
        <v/>
      </c>
      <c r="AE1492">
        <f>IF(OR('19_Расчет_аналитики'!AE1464=0,17&lt;='01_Вводные'!$B$297),0,'19_Расчет_аналитики'!AE1464*IF('01_Вводные'!$B$239="Да",MeanMinAge17+'19_Расчет_аналитики'!AE1571*SUMIF(ThresholdAge17,"&lt;"&amp;'19_Расчет_аналитики'!AE1571,WeightedRevAge17)-SUMIF(ThresholdAge17,"&lt;"&amp;'19_Расчет_аналитики'!AE1571,WeightedMinAge17),MAX(CapacityAge17*'01_Вводные'!$B$218*'19_Расчет_аналитики'!AE1571,MeanMinAge17)))</f>
        <v/>
      </c>
      <c r="AF1492">
        <f>IF(OR('19_Расчет_аналитики'!AF1464=0,17&lt;='01_Вводные'!$B$297),0,'19_Расчет_аналитики'!AF1464*IF('01_Вводные'!$B$239="Да",MeanMinAge17+'19_Расчет_аналитики'!AF1571*SUMIF(ThresholdAge17,"&lt;"&amp;'19_Расчет_аналитики'!AF1571,WeightedRevAge17)-SUMIF(ThresholdAge17,"&lt;"&amp;'19_Расчет_аналитики'!AF1571,WeightedMinAge17),MAX(CapacityAge17*'01_Вводные'!$B$218*'19_Расчет_аналитики'!AF1571,MeanMinAge17)))</f>
        <v/>
      </c>
      <c r="AG1492">
        <f>IF(OR('19_Расчет_аналитики'!AG1464=0,17&lt;='01_Вводные'!$B$297),0,'19_Расчет_аналитики'!AG1464*IF('01_Вводные'!$B$239="Да",MeanMinAge17+'19_Расчет_аналитики'!AG1571*SUMIF(ThresholdAge17,"&lt;"&amp;'19_Расчет_аналитики'!AG1571,WeightedRevAge17)-SUMIF(ThresholdAge17,"&lt;"&amp;'19_Расчет_аналитики'!AG1571,WeightedMinAge17),MAX(CapacityAge17*'01_Вводные'!$B$218*'19_Расчет_аналитики'!AG1571,MeanMinAge17)))</f>
        <v/>
      </c>
      <c r="AH1492">
        <f>IF(OR('19_Расчет_аналитики'!AH1464=0,17&lt;='01_Вводные'!$B$297),0,'19_Расчет_аналитики'!AH1464*IF('01_Вводные'!$B$239="Да",MeanMinAge17+'19_Расчет_аналитики'!AH1571*SUMIF(ThresholdAge17,"&lt;"&amp;'19_Расчет_аналитики'!AH1571,WeightedRevAge17)-SUMIF(ThresholdAge17,"&lt;"&amp;'19_Расчет_аналитики'!AH1571,WeightedMinAge17),MAX(CapacityAge17*'01_Вводные'!$B$218*'19_Расчет_аналитики'!AH1571,MeanMinAge17)))</f>
        <v/>
      </c>
      <c r="AI1492">
        <f>IF(OR('19_Расчет_аналитики'!AI1464=0,17&lt;='01_Вводные'!$B$297),0,'19_Расчет_аналитики'!AI1464*IF('01_Вводные'!$B$239="Да",MeanMinAge17+'19_Расчет_аналитики'!AI1571*SUMIF(ThresholdAge17,"&lt;"&amp;'19_Расчет_аналитики'!AI1571,WeightedRevAge17)-SUMIF(ThresholdAge17,"&lt;"&amp;'19_Расчет_аналитики'!AI1571,WeightedMinAge17),MAX(CapacityAge17*'01_Вводные'!$B$218*'19_Расчет_аналитики'!AI1571,MeanMinAge17)))</f>
        <v/>
      </c>
      <c r="AJ1492">
        <f>IF(OR('19_Расчет_аналитики'!AJ1464=0,17&lt;='01_Вводные'!$B$297),0,'19_Расчет_аналитики'!AJ1464*IF('01_Вводные'!$B$239="Да",MeanMinAge17+'19_Расчет_аналитики'!AJ1571*SUMIF(ThresholdAge17,"&lt;"&amp;'19_Расчет_аналитики'!AJ1571,WeightedRevAge17)-SUMIF(ThresholdAge17,"&lt;"&amp;'19_Расчет_аналитики'!AJ1571,WeightedMinAge17),MAX(CapacityAge17*'01_Вводные'!$B$218*'19_Расчет_аналитики'!AJ1571,MeanMinAge17)))</f>
        <v/>
      </c>
      <c r="AK1492">
        <f>IF(OR('19_Расчет_аналитики'!AK1464=0,17&lt;='01_Вводные'!$B$297),0,'19_Расчет_аналитики'!AK1464*IF('01_Вводные'!$B$239="Да",MeanMinAge17+'19_Расчет_аналитики'!AK1571*SUMIF(ThresholdAge17,"&lt;"&amp;'19_Расчет_аналитики'!AK1571,WeightedRevAge17)-SUMIF(ThresholdAge17,"&lt;"&amp;'19_Расчет_аналитики'!AK1571,WeightedMinAge17),MAX(CapacityAge17*'01_Вводные'!$B$218*'19_Расчет_аналитики'!AK1571,MeanMinAge17)))</f>
        <v/>
      </c>
      <c r="AL1492">
        <f>IF(OR('19_Расчет_аналитики'!AL1464=0,17&lt;='01_Вводные'!$B$297),0,'19_Расчет_аналитики'!AL1464*IF('01_Вводные'!$B$239="Да",MeanMinAge17+'19_Расчет_аналитики'!AL1571*SUMIF(ThresholdAge17,"&lt;"&amp;'19_Расчет_аналитики'!AL1571,WeightedRevAge17)-SUMIF(ThresholdAge17,"&lt;"&amp;'19_Расчет_аналитики'!AL1571,WeightedMinAge17),MAX(CapacityAge17*'01_Вводные'!$B$218*'19_Расчет_аналитики'!AL1571,MeanMinAge17)))</f>
        <v/>
      </c>
      <c r="AM1492">
        <f>IF(OR('19_Расчет_аналитики'!AM1464=0,17&lt;='01_Вводные'!$B$297),0,'19_Расчет_аналитики'!AM1464*IF('01_Вводные'!$B$239="Да",MeanMinAge17+'19_Расчет_аналитики'!AM1571*SUMIF(ThresholdAge17,"&lt;"&amp;'19_Расчет_аналитики'!AM1571,WeightedRevAge17)-SUMIF(ThresholdAge17,"&lt;"&amp;'19_Расчет_аналитики'!AM1571,WeightedMinAge17),MAX(CapacityAge17*'01_Вводные'!$B$218*'19_Расчет_аналитики'!AM1571,MeanMinAge17)))</f>
        <v/>
      </c>
      <c r="AN1492">
        <f>IF(OR('19_Расчет_аналитики'!AN1464=0,17&lt;='01_Вводные'!$B$297),0,'19_Расчет_аналитики'!AN1464*IF('01_Вводные'!$B$239="Да",MeanMinAge17+'19_Расчет_аналитики'!AN1571*SUMIF(ThresholdAge17,"&lt;"&amp;'19_Расчет_аналитики'!AN1571,WeightedRevAge17)-SUMIF(ThresholdAge17,"&lt;"&amp;'19_Расчет_аналитики'!AN1571,WeightedMinAge17),MAX(CapacityAge17*'01_Вводные'!$B$218*'19_Расчет_аналитики'!AN1571,MeanMinAge17)))</f>
        <v/>
      </c>
      <c r="AO1492">
        <f>IF(OR('19_Расчет_аналитики'!AO1464=0,17&lt;='01_Вводные'!$B$297),0,'19_Расчет_аналитики'!AO1464*IF('01_Вводные'!$B$239="Да",MeanMinAge17+'19_Расчет_аналитики'!AO1571*SUMIF(ThresholdAge17,"&lt;"&amp;'19_Расчет_аналитики'!AO1571,WeightedRevAge17)-SUMIF(ThresholdAge17,"&lt;"&amp;'19_Расчет_аналитики'!AO1571,WeightedMinAge17),MAX(CapacityAge17*'01_Вводные'!$B$218*'19_Расчет_аналитики'!AO1571,MeanMinAge17)))</f>
        <v/>
      </c>
      <c r="AP1492">
        <f>IF(OR('19_Расчет_аналитики'!AP1464=0,17&lt;='01_Вводные'!$B$297),0,'19_Расчет_аналитики'!AP1464*IF('01_Вводные'!$B$239="Да",MeanMinAge17+'19_Расчет_аналитики'!AP1571*SUMIF(ThresholdAge17,"&lt;"&amp;'19_Расчет_аналитики'!AP1571,WeightedRevAge17)-SUMIF(ThresholdAge17,"&lt;"&amp;'19_Расчет_аналитики'!AP1571,WeightedMinAge17),MAX(CapacityAge17*'01_Вводные'!$B$218*'19_Расчет_аналитики'!AP1571,MeanMinAge17)))</f>
        <v/>
      </c>
      <c r="AQ1492">
        <f>IF(OR('19_Расчет_аналитики'!AQ1464=0,17&lt;='01_Вводные'!$B$297),0,'19_Расчет_аналитики'!AQ1464*IF('01_Вводные'!$B$239="Да",MeanMinAge17+'19_Расчет_аналитики'!AQ1571*SUMIF(ThresholdAge17,"&lt;"&amp;'19_Расчет_аналитики'!AQ1571,WeightedRevAge17)-SUMIF(ThresholdAge17,"&lt;"&amp;'19_Расчет_аналитики'!AQ1571,WeightedMinAge17),MAX(CapacityAge17*'01_Вводные'!$B$218*'19_Расчет_аналитики'!AQ1571,MeanMinAge17)))</f>
        <v/>
      </c>
      <c r="AR1492">
        <f>IF(OR('19_Расчет_аналитики'!AR1464=0,17&lt;='01_Вводные'!$B$297),0,'19_Расчет_аналитики'!AR1464*IF('01_Вводные'!$B$239="Да",MeanMinAge17+'19_Расчет_аналитики'!AR1571*SUMIF(ThresholdAge17,"&lt;"&amp;'19_Расчет_аналитики'!AR1571,WeightedRevAge17)-SUMIF(ThresholdAge17,"&lt;"&amp;'19_Расчет_аналитики'!AR1571,WeightedMinAge17),MAX(CapacityAge17*'01_Вводные'!$B$218*'19_Расчет_аналитики'!AR1571,MeanMinAge17)))</f>
        <v/>
      </c>
      <c r="AS1492">
        <f>IF(OR('19_Расчет_аналитики'!AS1464=0,17&lt;='01_Вводные'!$B$297),0,'19_Расчет_аналитики'!AS1464*IF('01_Вводные'!$B$239="Да",MeanMinAge17+'19_Расчет_аналитики'!AS1571*SUMIF(ThresholdAge17,"&lt;"&amp;'19_Расчет_аналитики'!AS1571,WeightedRevAge17)-SUMIF(ThresholdAge17,"&lt;"&amp;'19_Расчет_аналитики'!AS1571,WeightedMinAge17),MAX(CapacityAge17*'01_Вводные'!$B$218*'19_Расчет_аналитики'!AS1571,MeanMinAge17)))</f>
        <v/>
      </c>
      <c r="AT1492">
        <f>IF(OR('19_Расчет_аналитики'!AT1464=0,17&lt;='01_Вводные'!$B$297),0,'19_Расчет_аналитики'!AT1464*IF('01_Вводные'!$B$239="Да",MeanMinAge17+'19_Расчет_аналитики'!AT1571*SUMIF(ThresholdAge17,"&lt;"&amp;'19_Расчет_аналитики'!AT1571,WeightedRevAge17)-SUMIF(ThresholdAge17,"&lt;"&amp;'19_Расчет_аналитики'!AT1571,WeightedMinAge17),MAX(CapacityAge17*'01_Вводные'!$B$218*'19_Расчет_аналитики'!AT1571,MeanMinAge17)))</f>
        <v/>
      </c>
      <c r="AU1492">
        <f>IF(OR('19_Расчет_аналитики'!AU1464=0,17&lt;='01_Вводные'!$B$297),0,'19_Расчет_аналитики'!AU1464*IF('01_Вводные'!$B$239="Да",MeanMinAge17+'19_Расчет_аналитики'!AU1571*SUMIF(ThresholdAge17,"&lt;"&amp;'19_Расчет_аналитики'!AU1571,WeightedRevAge17)-SUMIF(ThresholdAge17,"&lt;"&amp;'19_Расчет_аналитики'!AU1571,WeightedMinAge17),MAX(CapacityAge17*'01_Вводные'!$B$218*'19_Расчет_аналитики'!AU1571,MeanMinAge17)))</f>
        <v/>
      </c>
      <c r="AV1492">
        <f>IF(OR('19_Расчет_аналитики'!AV1464=0,17&lt;='01_Вводные'!$B$297),0,'19_Расчет_аналитики'!AV1464*IF('01_Вводные'!$B$239="Да",MeanMinAge17+'19_Расчет_аналитики'!AV1571*SUMIF(ThresholdAge17,"&lt;"&amp;'19_Расчет_аналитики'!AV1571,WeightedRevAge17)-SUMIF(ThresholdAge17,"&lt;"&amp;'19_Расчет_аналитики'!AV1571,WeightedMinAge17),MAX(CapacityAge17*'01_Вводные'!$B$218*'19_Расчет_аналитики'!AV1571,MeanMinAge17)))</f>
        <v/>
      </c>
      <c r="AW1492">
        <f>IF(OR('19_Расчет_аналитики'!AW1464=0,17&lt;='01_Вводные'!$B$297),0,'19_Расчет_аналитики'!AW1464*IF('01_Вводные'!$B$239="Да",MeanMinAge17+'19_Расчет_аналитики'!AW1571*SUMIF(ThresholdAge17,"&lt;"&amp;'19_Расчет_аналитики'!AW1571,WeightedRevAge17)-SUMIF(ThresholdAge17,"&lt;"&amp;'19_Расчет_аналитики'!AW1571,WeightedMinAge17),MAX(CapacityAge17*'01_Вводные'!$B$218*'19_Расчет_аналитики'!AW1571,MeanMinAge17)))</f>
        <v/>
      </c>
      <c r="AX1492">
        <f>IF(OR('19_Расчет_аналитики'!AX1464=0,17&lt;='01_Вводные'!$B$297),0,'19_Расчет_аналитики'!AX1464*IF('01_Вводные'!$B$239="Да",MeanMinAge17+'19_Расчет_аналитики'!AX1571*SUMIF(ThresholdAge17,"&lt;"&amp;'19_Расчет_аналитики'!AX1571,WeightedRevAge17)-SUMIF(ThresholdAge17,"&lt;"&amp;'19_Расчет_аналитики'!AX1571,WeightedMinAge17),MAX(CapacityAge17*'01_Вводные'!$B$218*'19_Расчет_аналитики'!AX1571,MeanMinAge17)))</f>
        <v/>
      </c>
      <c r="AY1492">
        <f>IF(OR('19_Расчет_аналитики'!AY1464=0,17&lt;='01_Вводные'!$B$297),0,'19_Расчет_аналитики'!AY1464*IF('01_Вводные'!$B$239="Да",MeanMinAge17+'19_Расчет_аналитики'!AY1571*SUMIF(ThresholdAge17,"&lt;"&amp;'19_Расчет_аналитики'!AY1571,WeightedRevAge17)-SUMIF(ThresholdAge17,"&lt;"&amp;'19_Расчет_аналитики'!AY1571,WeightedMinAge17),MAX(CapacityAge17*'01_Вводные'!$B$218*'19_Расчет_аналитики'!AY1571,MeanMinAge17)))</f>
        <v/>
      </c>
      <c r="AZ1492">
        <f>IF(OR('19_Расчет_аналитики'!AZ1464=0,17&lt;='01_Вводные'!$B$297),0,'19_Расчет_аналитики'!AZ1464*IF('01_Вводные'!$B$239="Да",MeanMinAge17+'19_Расчет_аналитики'!AZ1571*SUMIF(ThresholdAge17,"&lt;"&amp;'19_Расчет_аналитики'!AZ1571,WeightedRevAge17)-SUMIF(ThresholdAge17,"&lt;"&amp;'19_Расчет_аналитики'!AZ1571,WeightedMinAge17),MAX(CapacityAge17*'01_Вводные'!$B$218*'19_Расчет_аналитики'!AZ1571,MeanMinAge17)))</f>
        <v/>
      </c>
      <c r="BA1492">
        <f>IF(OR('19_Расчет_аналитики'!BA1464=0,17&lt;='01_Вводные'!$B$297),0,'19_Расчет_аналитики'!BA1464*IF('01_Вводные'!$B$239="Да",MeanMinAge17+'19_Расчет_аналитики'!BA1571*SUMIF(ThresholdAge17,"&lt;"&amp;'19_Расчет_аналитики'!BA1571,WeightedRevAge17)-SUMIF(ThresholdAge17,"&lt;"&amp;'19_Расчет_аналитики'!BA1571,WeightedMinAge17),MAX(CapacityAge17*'01_Вводные'!$B$218*'19_Расчет_аналитики'!BA1571,MeanMinAge17)))</f>
        <v/>
      </c>
      <c r="BB1492">
        <f>IF(OR('19_Расчет_аналитики'!BB1464=0,17&lt;='01_Вводные'!$B$297),0,'19_Расчет_аналитики'!BB1464*IF('01_Вводные'!$B$239="Да",MeanMinAge17+'19_Расчет_аналитики'!BB1571*SUMIF(ThresholdAge17,"&lt;"&amp;'19_Расчет_аналитики'!BB1571,WeightedRevAge17)-SUMIF(ThresholdAge17,"&lt;"&amp;'19_Расчет_аналитики'!BB1571,WeightedMinAge17),MAX(CapacityAge17*'01_Вводные'!$B$218*'19_Расчет_аналитики'!BB1571,MeanMinAge17)))</f>
        <v/>
      </c>
      <c r="BC1492">
        <f>IF(OR('19_Расчет_аналитики'!BC1464=0,17&lt;='01_Вводные'!$B$297),0,'19_Расчет_аналитики'!BC1464*IF('01_Вводные'!$B$239="Да",MeanMinAge17+'19_Расчет_аналитики'!BC1571*SUMIF(ThresholdAge17,"&lt;"&amp;'19_Расчет_аналитики'!BC1571,WeightedRevAge17)-SUMIF(ThresholdAge17,"&lt;"&amp;'19_Расчет_аналитики'!BC1571,WeightedMinAge17),MAX(CapacityAge17*'01_Вводные'!$B$218*'19_Расчет_аналитики'!BC1571,MeanMinAge17)))</f>
        <v/>
      </c>
      <c r="BD1492">
        <f>IF(OR('19_Расчет_аналитики'!BD1464=0,17&lt;='01_Вводные'!$B$297),0,'19_Расчет_аналитики'!BD1464*IF('01_Вводные'!$B$239="Да",MeanMinAge17+'19_Расчет_аналитики'!BD1571*SUMIF(ThresholdAge17,"&lt;"&amp;'19_Расчет_аналитики'!BD1571,WeightedRevAge17)-SUMIF(ThresholdAge17,"&lt;"&amp;'19_Расчет_аналитики'!BD1571,WeightedMinAge17),MAX(CapacityAge17*'01_Вводные'!$B$218*'19_Расчет_аналитики'!BD1571,MeanMinAge17)))</f>
        <v/>
      </c>
      <c r="BE1492">
        <f>IF(OR('19_Расчет_аналитики'!BE1464=0,17&lt;='01_Вводные'!$B$297),0,'19_Расчет_аналитики'!BE1464*IF('01_Вводные'!$B$239="Да",MeanMinAge17+'19_Расчет_аналитики'!BE1571*SUMIF(ThresholdAge17,"&lt;"&amp;'19_Расчет_аналитики'!BE1571,WeightedRevAge17)-SUMIF(ThresholdAge17,"&lt;"&amp;'19_Расчет_аналитики'!BE1571,WeightedMinAge17),MAX(CapacityAge17*'01_Вводные'!$B$218*'19_Расчет_аналитики'!BE1571,MeanMinAge17)))</f>
        <v/>
      </c>
      <c r="BF1492">
        <f>IF(OR('19_Расчет_аналитики'!BF1464=0,17&lt;='01_Вводные'!$B$297),0,'19_Расчет_аналитики'!BF1464*IF('01_Вводные'!$B$239="Да",MeanMinAge17+'19_Расчет_аналитики'!BF1571*SUMIF(ThresholdAge17,"&lt;"&amp;'19_Расчет_аналитики'!BF1571,WeightedRevAge17)-SUMIF(ThresholdAge17,"&lt;"&amp;'19_Расчет_аналитики'!BF1571,WeightedMinAge17),MAX(CapacityAge17*'01_Вводные'!$B$218*'19_Расчет_аналитики'!BF1571,MeanMinAge17)))</f>
        <v/>
      </c>
      <c r="BG1492">
        <f>IF(OR('19_Расчет_аналитики'!BG1464=0,17&lt;='01_Вводные'!$B$297),0,'19_Расчет_аналитики'!BG1464*IF('01_Вводные'!$B$239="Да",MeanMinAge17+'19_Расчет_аналитики'!BG1571*SUMIF(ThresholdAge17,"&lt;"&amp;'19_Расчет_аналитики'!BG1571,WeightedRevAge17)-SUMIF(ThresholdAge17,"&lt;"&amp;'19_Расчет_аналитики'!BG1571,WeightedMinAge17),MAX(CapacityAge17*'01_Вводные'!$B$218*'19_Расчет_аналитики'!BG1571,MeanMinAge17)))</f>
        <v/>
      </c>
      <c r="BH1492">
        <f>IF(OR('19_Расчет_аналитики'!BH1464=0,17&lt;='01_Вводные'!$B$297),0,'19_Расчет_аналитики'!BH1464*IF('01_Вводные'!$B$239="Да",MeanMinAge17+'19_Расчет_аналитики'!BH1571*SUMIF(ThresholdAge17,"&lt;"&amp;'19_Расчет_аналитики'!BH1571,WeightedRevAge17)-SUMIF(ThresholdAge17,"&lt;"&amp;'19_Расчет_аналитики'!BH1571,WeightedMinAge17),MAX(CapacityAge17*'01_Вводные'!$B$218*'19_Расчет_аналитики'!BH1571,MeanMinAge17)))</f>
        <v/>
      </c>
      <c r="BI1492">
        <f>IF(OR('19_Расчет_аналитики'!BI1464=0,17&lt;='01_Вводные'!$B$297),0,'19_Расчет_аналитики'!BI1464*IF('01_Вводные'!$B$239="Да",MeanMinAge17+'19_Расчет_аналитики'!BI1571*SUMIF(ThresholdAge17,"&lt;"&amp;'19_Расчет_аналитики'!BI1571,WeightedRevAge17)-SUMIF(ThresholdAge17,"&lt;"&amp;'19_Расчет_аналитики'!BI1571,WeightedMinAge17),MAX(CapacityAge17*'01_Вводные'!$B$218*'19_Расчет_аналитики'!BI1571,MeanMinAge17)))</f>
        <v/>
      </c>
      <c r="BJ1492">
        <f>IF(OR('19_Расчет_аналитики'!BJ1464=0,17&lt;='01_Вводные'!$B$297),0,'19_Расчет_аналитики'!BJ1464*IF('01_Вводные'!$B$239="Да",MeanMinAge17+'19_Расчет_аналитики'!BJ1571*SUMIF(ThresholdAge17,"&lt;"&amp;'19_Расчет_аналитики'!BJ1571,WeightedRevAge17)-SUMIF(ThresholdAge17,"&lt;"&amp;'19_Расчет_аналитики'!BJ1571,WeightedMinAge17),MAX(CapacityAge17*'01_Вводные'!$B$218*'19_Расчет_аналитики'!BJ1571,MeanMinAge17)))</f>
        <v/>
      </c>
      <c r="BK1492">
        <f>IF(OR('19_Расчет_аналитики'!BK1464=0,17&lt;='01_Вводные'!$B$297),0,'19_Расчет_аналитики'!BK1464*IF('01_Вводные'!$B$239="Да",MeanMinAge17+'19_Расчет_аналитики'!BK1571*SUMIF(ThresholdAge17,"&lt;"&amp;'19_Расчет_аналитики'!BK1571,WeightedRevAge17)-SUMIF(ThresholdAge17,"&lt;"&amp;'19_Расчет_аналитики'!BK1571,WeightedMinAge17),MAX(CapacityAge17*'01_Вводные'!$B$218*'19_Расчет_аналитики'!BK1571,MeanMinAge17)))</f>
        <v/>
      </c>
      <c r="BL1492">
        <f>IF(OR('19_Расчет_аналитики'!BL1464=0,17&lt;='01_Вводные'!$B$297),0,'19_Расчет_аналитики'!BL1464*IF('01_Вводные'!$B$239="Да",MeanMinAge17+'19_Расчет_аналитики'!BL1571*SUMIF(ThresholdAge17,"&lt;"&amp;'19_Расчет_аналитики'!BL1571,WeightedRevAge17)-SUMIF(ThresholdAge17,"&lt;"&amp;'19_Расчет_аналитики'!BL1571,WeightedMinAge17),MAX(CapacityAge17*'01_Вводные'!$B$218*'19_Расчет_аналитики'!BL1571,MeanMinAge17)))</f>
        <v/>
      </c>
      <c r="BM1492">
        <f>IF(OR('19_Расчет_аналитики'!BM1464=0,17&lt;='01_Вводные'!$B$297),0,'19_Расчет_аналитики'!BM1464*IF('01_Вводные'!$B$239="Да",MeanMinAge17+'19_Расчет_аналитики'!BM1571*SUMIF(ThresholdAge17,"&lt;"&amp;'19_Расчет_аналитики'!BM1571,WeightedRevAge17)-SUMIF(ThresholdAge17,"&lt;"&amp;'19_Расчет_аналитики'!BM1571,WeightedMinAge17),MAX(CapacityAge17*'01_Вводные'!$B$218*'19_Расчет_аналитики'!BM1571,MeanMinAge17)))</f>
        <v/>
      </c>
      <c r="BN1492">
        <f>IF(OR('19_Расчет_аналитики'!BN1464=0,17&lt;='01_Вводные'!$B$297),0,'19_Расчет_аналитики'!BN1464*IF('01_Вводные'!$B$239="Да",MeanMinAge17+'19_Расчет_аналитики'!BN1571*SUMIF(ThresholdAge17,"&lt;"&amp;'19_Расчет_аналитики'!BN1571,WeightedRevAge17)-SUMIF(ThresholdAge17,"&lt;"&amp;'19_Расчет_аналитики'!BN1571,WeightedMinAge17),MAX(CapacityAge17*'01_Вводные'!$B$218*'19_Расчет_аналитики'!BN1571,MeanMinAge17)))</f>
        <v/>
      </c>
      <c r="BO1492">
        <f>IF(OR('19_Расчет_аналитики'!BO1464=0,17&lt;='01_Вводные'!$B$297),0,'19_Расчет_аналитики'!BO1464*IF('01_Вводные'!$B$239="Да",MeanMinAge17+'19_Расчет_аналитики'!BO1571*SUMIF(ThresholdAge17,"&lt;"&amp;'19_Расчет_аналитики'!BO1571,WeightedRevAge17)-SUMIF(ThresholdAge17,"&lt;"&amp;'19_Расчет_аналитики'!BO1571,WeightedMinAge17),MAX(CapacityAge17*'01_Вводные'!$B$218*'19_Расчет_аналитики'!BO1571,MeanMinAge17)))</f>
        <v/>
      </c>
    </row>
    <row r="1493">
      <c r="B1493">
        <f>IF(OR('06_Сеть_и_дети'!B98=0,18&lt;='01_Вводные'!$B$297),0,'06_Сеть_и_дети'!B98*IF('01_Вводные'!$B$239="Да",MeanMinAge18+'19_Расчет_аналитики'!B1571*SUMIF(ThresholdAge18,"&lt;"&amp;'19_Расчет_аналитики'!B1571,WeightedRevAge18)-SUMIF(ThresholdAge18,"&lt;"&amp;'19_Расчет_аналитики'!B1571,WeightedMinAge18),MAX(CapacityAge18*'01_Вводные'!$B$218*'19_Расчет_аналитики'!B1571,MeanMinAge18)))</f>
        <v/>
      </c>
      <c r="C1493">
        <f>IF(OR('06_Сеть_и_дети'!C98=0,18&lt;='01_Вводные'!$B$297),0,'06_Сеть_и_дети'!C98*IF('01_Вводные'!$B$239="Да",MeanMinAge18+'19_Расчет_аналитики'!C1571*SUMIF(ThresholdAge18,"&lt;"&amp;'19_Расчет_аналитики'!C1571,WeightedRevAge18)-SUMIF(ThresholdAge18,"&lt;"&amp;'19_Расчет_аналитики'!C1571,WeightedMinAge18),MAX(CapacityAge18*'01_Вводные'!$B$218*'19_Расчет_аналитики'!C1571,MeanMinAge18)))</f>
        <v/>
      </c>
      <c r="D1493">
        <f>IF(OR('06_Сеть_и_дети'!D98=0,18&lt;='01_Вводные'!$B$297),0,'06_Сеть_и_дети'!D98*IF('01_Вводные'!$B$239="Да",MeanMinAge18+'19_Расчет_аналитики'!D1571*SUMIF(ThresholdAge18,"&lt;"&amp;'19_Расчет_аналитики'!D1571,WeightedRevAge18)-SUMIF(ThresholdAge18,"&lt;"&amp;'19_Расчет_аналитики'!D1571,WeightedMinAge18),MAX(CapacityAge18*'01_Вводные'!$B$218*'19_Расчет_аналитики'!D1571,MeanMinAge18)))</f>
        <v/>
      </c>
      <c r="E1493">
        <f>IF(OR('06_Сеть_и_дети'!E98=0,18&lt;='01_Вводные'!$B$297),0,'06_Сеть_и_дети'!E98*IF('01_Вводные'!$B$239="Да",MeanMinAge18+'19_Расчет_аналитики'!E1571*SUMIF(ThresholdAge18,"&lt;"&amp;'19_Расчет_аналитики'!E1571,WeightedRevAge18)-SUMIF(ThresholdAge18,"&lt;"&amp;'19_Расчет_аналитики'!E1571,WeightedMinAge18),MAX(CapacityAge18*'01_Вводные'!$B$218*'19_Расчет_аналитики'!E1571,MeanMinAge18)))</f>
        <v/>
      </c>
      <c r="F1493">
        <f>IF(OR('06_Сеть_и_дети'!F98=0,18&lt;='01_Вводные'!$B$297),0,'06_Сеть_и_дети'!F98*IF('01_Вводные'!$B$239="Да",MeanMinAge18+'19_Расчет_аналитики'!F1571*SUMIF(ThresholdAge18,"&lt;"&amp;'19_Расчет_аналитики'!F1571,WeightedRevAge18)-SUMIF(ThresholdAge18,"&lt;"&amp;'19_Расчет_аналитики'!F1571,WeightedMinAge18),MAX(CapacityAge18*'01_Вводные'!$B$218*'19_Расчет_аналитики'!F1571,MeanMinAge18)))</f>
        <v/>
      </c>
      <c r="G1493">
        <f>IF(OR('06_Сеть_и_дети'!G98=0,18&lt;='01_Вводные'!$B$297),0,'06_Сеть_и_дети'!G98*IF('01_Вводные'!$B$239="Да",MeanMinAge18+'19_Расчет_аналитики'!G1571*SUMIF(ThresholdAge18,"&lt;"&amp;'19_Расчет_аналитики'!G1571,WeightedRevAge18)-SUMIF(ThresholdAge18,"&lt;"&amp;'19_Расчет_аналитики'!G1571,WeightedMinAge18),MAX(CapacityAge18*'01_Вводные'!$B$218*'19_Расчет_аналитики'!G1571,MeanMinAge18)))</f>
        <v/>
      </c>
      <c r="H1493">
        <f>IF(OR('06_Сеть_и_дети'!H98=0,18&lt;='01_Вводные'!$B$297),0,'06_Сеть_и_дети'!H98*IF('01_Вводные'!$B$239="Да",MeanMinAge18+'19_Расчет_аналитики'!H1571*SUMIF(ThresholdAge18,"&lt;"&amp;'19_Расчет_аналитики'!H1571,WeightedRevAge18)-SUMIF(ThresholdAge18,"&lt;"&amp;'19_Расчет_аналитики'!H1571,WeightedMinAge18),MAX(CapacityAge18*'01_Вводные'!$B$218*'19_Расчет_аналитики'!H1571,MeanMinAge18)))</f>
        <v/>
      </c>
      <c r="I1493">
        <f>IF(OR('06_Сеть_и_дети'!I98=0,18&lt;='01_Вводные'!$B$297),0,'06_Сеть_и_дети'!I98*IF('01_Вводные'!$B$239="Да",MeanMinAge18+'19_Расчет_аналитики'!I1571*SUMIF(ThresholdAge18,"&lt;"&amp;'19_Расчет_аналитики'!I1571,WeightedRevAge18)-SUMIF(ThresholdAge18,"&lt;"&amp;'19_Расчет_аналитики'!I1571,WeightedMinAge18),MAX(CapacityAge18*'01_Вводные'!$B$218*'19_Расчет_аналитики'!I1571,MeanMinAge18)))</f>
        <v/>
      </c>
      <c r="J1493">
        <f>IF(OR('06_Сеть_и_дети'!J98=0,18&lt;='01_Вводные'!$B$297),0,'06_Сеть_и_дети'!J98*IF('01_Вводные'!$B$239="Да",MeanMinAge18+'19_Расчет_аналитики'!J1571*SUMIF(ThresholdAge18,"&lt;"&amp;'19_Расчет_аналитики'!J1571,WeightedRevAge18)-SUMIF(ThresholdAge18,"&lt;"&amp;'19_Расчет_аналитики'!J1571,WeightedMinAge18),MAX(CapacityAge18*'01_Вводные'!$B$218*'19_Расчет_аналитики'!J1571,MeanMinAge18)))</f>
        <v/>
      </c>
      <c r="K1493">
        <f>IF(OR('06_Сеть_и_дети'!K98=0,18&lt;='01_Вводные'!$B$297),0,'06_Сеть_и_дети'!K98*IF('01_Вводные'!$B$239="Да",MeanMinAge18+'19_Расчет_аналитики'!K1571*SUMIF(ThresholdAge18,"&lt;"&amp;'19_Расчет_аналитики'!K1571,WeightedRevAge18)-SUMIF(ThresholdAge18,"&lt;"&amp;'19_Расчет_аналитики'!K1571,WeightedMinAge18),MAX(CapacityAge18*'01_Вводные'!$B$218*'19_Расчет_аналитики'!K1571,MeanMinAge18)))</f>
        <v/>
      </c>
      <c r="L1493">
        <f>IF(OR('06_Сеть_и_дети'!L98=0,18&lt;='01_Вводные'!$B$297),0,'06_Сеть_и_дети'!L98*IF('01_Вводные'!$B$239="Да",MeanMinAge18+'19_Расчет_аналитики'!L1571*SUMIF(ThresholdAge18,"&lt;"&amp;'19_Расчет_аналитики'!L1571,WeightedRevAge18)-SUMIF(ThresholdAge18,"&lt;"&amp;'19_Расчет_аналитики'!L1571,WeightedMinAge18),MAX(CapacityAge18*'01_Вводные'!$B$218*'19_Расчет_аналитики'!L1571,MeanMinAge18)))</f>
        <v/>
      </c>
      <c r="M1493">
        <f>IF(OR('06_Сеть_и_дети'!M98=0,18&lt;='01_Вводные'!$B$297),0,'06_Сеть_и_дети'!M98*IF('01_Вводные'!$B$239="Да",MeanMinAge18+'19_Расчет_аналитики'!M1571*SUMIF(ThresholdAge18,"&lt;"&amp;'19_Расчет_аналитики'!M1571,WeightedRevAge18)-SUMIF(ThresholdAge18,"&lt;"&amp;'19_Расчет_аналитики'!M1571,WeightedMinAge18),MAX(CapacityAge18*'01_Вводные'!$B$218*'19_Расчет_аналитики'!M1571,MeanMinAge18)))</f>
        <v/>
      </c>
      <c r="N1493">
        <f>IF(OR('06_Сеть_и_дети'!N98=0,18&lt;='01_Вводные'!$B$297),0,'06_Сеть_и_дети'!N98*IF('01_Вводные'!$B$239="Да",MeanMinAge18+'19_Расчет_аналитики'!N1571*SUMIF(ThresholdAge18,"&lt;"&amp;'19_Расчет_аналитики'!N1571,WeightedRevAge18)-SUMIF(ThresholdAge18,"&lt;"&amp;'19_Расчет_аналитики'!N1571,WeightedMinAge18),MAX(CapacityAge18*'01_Вводные'!$B$218*'19_Расчет_аналитики'!N1571,MeanMinAge18)))</f>
        <v/>
      </c>
      <c r="O1493">
        <f>IF(OR('06_Сеть_и_дети'!O98=0,18&lt;='01_Вводные'!$B$297),0,'06_Сеть_и_дети'!O98*IF('01_Вводные'!$B$239="Да",MeanMinAge18+'19_Расчет_аналитики'!O1571*SUMIF(ThresholdAge18,"&lt;"&amp;'19_Расчет_аналитики'!O1571,WeightedRevAge18)-SUMIF(ThresholdAge18,"&lt;"&amp;'19_Расчет_аналитики'!O1571,WeightedMinAge18),MAX(CapacityAge18*'01_Вводные'!$B$218*'19_Расчет_аналитики'!O1571,MeanMinAge18)))</f>
        <v/>
      </c>
      <c r="P1493">
        <f>IF(OR('06_Сеть_и_дети'!P98=0,18&lt;='01_Вводные'!$B$297),0,'06_Сеть_и_дети'!P98*IF('01_Вводные'!$B$239="Да",MeanMinAge18+'19_Расчет_аналитики'!P1571*SUMIF(ThresholdAge18,"&lt;"&amp;'19_Расчет_аналитики'!P1571,WeightedRevAge18)-SUMIF(ThresholdAge18,"&lt;"&amp;'19_Расчет_аналитики'!P1571,WeightedMinAge18),MAX(CapacityAge18*'01_Вводные'!$B$218*'19_Расчет_аналитики'!P1571,MeanMinAge18)))</f>
        <v/>
      </c>
      <c r="Q1493">
        <f>IF(OR('06_Сеть_и_дети'!Q98=0,18&lt;='01_Вводные'!$B$297),0,'06_Сеть_и_дети'!Q98*IF('01_Вводные'!$B$239="Да",MeanMinAge18+'19_Расчет_аналитики'!Q1571*SUMIF(ThresholdAge18,"&lt;"&amp;'19_Расчет_аналитики'!Q1571,WeightedRevAge18)-SUMIF(ThresholdAge18,"&lt;"&amp;'19_Расчет_аналитики'!Q1571,WeightedMinAge18),MAX(CapacityAge18*'01_Вводные'!$B$218*'19_Расчет_аналитики'!Q1571,MeanMinAge18)))</f>
        <v/>
      </c>
      <c r="R1493">
        <f>IF(OR('06_Сеть_и_дети'!R98=0,18&lt;='01_Вводные'!$B$297),0,'06_Сеть_и_дети'!R98*IF('01_Вводные'!$B$239="Да",MeanMinAge18+'19_Расчет_аналитики'!R1571*SUMIF(ThresholdAge18,"&lt;"&amp;'19_Расчет_аналитики'!R1571,WeightedRevAge18)-SUMIF(ThresholdAge18,"&lt;"&amp;'19_Расчет_аналитики'!R1571,WeightedMinAge18),MAX(CapacityAge18*'01_Вводные'!$B$218*'19_Расчет_аналитики'!R1571,MeanMinAge18)))</f>
        <v/>
      </c>
      <c r="S1493">
        <f>IF(OR('19_Расчет_аналитики'!S1465=0,18&lt;='01_Вводные'!$B$297),0,'19_Расчет_аналитики'!S1465*IF('01_Вводные'!$B$239="Да",MeanMinAge18+'19_Расчет_аналитики'!S1571*SUMIF(ThresholdAge18,"&lt;"&amp;'19_Расчет_аналитики'!S1571,WeightedRevAge18)-SUMIF(ThresholdAge18,"&lt;"&amp;'19_Расчет_аналитики'!S1571,WeightedMinAge18),MAX(CapacityAge18*'01_Вводные'!$B$218*'19_Расчет_аналитики'!S1571,MeanMinAge18)))</f>
        <v/>
      </c>
      <c r="T1493">
        <f>IF(OR('19_Расчет_аналитики'!T1465=0,18&lt;='01_Вводные'!$B$297),0,'19_Расчет_аналитики'!T1465*IF('01_Вводные'!$B$239="Да",MeanMinAge18+'19_Расчет_аналитики'!T1571*SUMIF(ThresholdAge18,"&lt;"&amp;'19_Расчет_аналитики'!T1571,WeightedRevAge18)-SUMIF(ThresholdAge18,"&lt;"&amp;'19_Расчет_аналитики'!T1571,WeightedMinAge18),MAX(CapacityAge18*'01_Вводные'!$B$218*'19_Расчет_аналитики'!T1571,MeanMinAge18)))</f>
        <v/>
      </c>
      <c r="U1493">
        <f>IF(OR('19_Расчет_аналитики'!U1465=0,18&lt;='01_Вводные'!$B$297),0,'19_Расчет_аналитики'!U1465*IF('01_Вводные'!$B$239="Да",MeanMinAge18+'19_Расчет_аналитики'!U1571*SUMIF(ThresholdAge18,"&lt;"&amp;'19_Расчет_аналитики'!U1571,WeightedRevAge18)-SUMIF(ThresholdAge18,"&lt;"&amp;'19_Расчет_аналитики'!U1571,WeightedMinAge18),MAX(CapacityAge18*'01_Вводные'!$B$218*'19_Расчет_аналитики'!U1571,MeanMinAge18)))</f>
        <v/>
      </c>
      <c r="V1493">
        <f>IF(OR('19_Расчет_аналитики'!V1465=0,18&lt;='01_Вводные'!$B$297),0,'19_Расчет_аналитики'!V1465*IF('01_Вводные'!$B$239="Да",MeanMinAge18+'19_Расчет_аналитики'!V1571*SUMIF(ThresholdAge18,"&lt;"&amp;'19_Расчет_аналитики'!V1571,WeightedRevAge18)-SUMIF(ThresholdAge18,"&lt;"&amp;'19_Расчет_аналитики'!V1571,WeightedMinAge18),MAX(CapacityAge18*'01_Вводные'!$B$218*'19_Расчет_аналитики'!V1571,MeanMinAge18)))</f>
        <v/>
      </c>
      <c r="W1493">
        <f>IF(OR('19_Расчет_аналитики'!W1465=0,18&lt;='01_Вводные'!$B$297),0,'19_Расчет_аналитики'!W1465*IF('01_Вводные'!$B$239="Да",MeanMinAge18+'19_Расчет_аналитики'!W1571*SUMIF(ThresholdAge18,"&lt;"&amp;'19_Расчет_аналитики'!W1571,WeightedRevAge18)-SUMIF(ThresholdAge18,"&lt;"&amp;'19_Расчет_аналитики'!W1571,WeightedMinAge18),MAX(CapacityAge18*'01_Вводные'!$B$218*'19_Расчет_аналитики'!W1571,MeanMinAge18)))</f>
        <v/>
      </c>
      <c r="X1493">
        <f>IF(OR('19_Расчет_аналитики'!X1465=0,18&lt;='01_Вводные'!$B$297),0,'19_Расчет_аналитики'!X1465*IF('01_Вводные'!$B$239="Да",MeanMinAge18+'19_Расчет_аналитики'!X1571*SUMIF(ThresholdAge18,"&lt;"&amp;'19_Расчет_аналитики'!X1571,WeightedRevAge18)-SUMIF(ThresholdAge18,"&lt;"&amp;'19_Расчет_аналитики'!X1571,WeightedMinAge18),MAX(CapacityAge18*'01_Вводные'!$B$218*'19_Расчет_аналитики'!X1571,MeanMinAge18)))</f>
        <v/>
      </c>
      <c r="Y1493">
        <f>IF(OR('19_Расчет_аналитики'!Y1465=0,18&lt;='01_Вводные'!$B$297),0,'19_Расчет_аналитики'!Y1465*IF('01_Вводные'!$B$239="Да",MeanMinAge18+'19_Расчет_аналитики'!Y1571*SUMIF(ThresholdAge18,"&lt;"&amp;'19_Расчет_аналитики'!Y1571,WeightedRevAge18)-SUMIF(ThresholdAge18,"&lt;"&amp;'19_Расчет_аналитики'!Y1571,WeightedMinAge18),MAX(CapacityAge18*'01_Вводные'!$B$218*'19_Расчет_аналитики'!Y1571,MeanMinAge18)))</f>
        <v/>
      </c>
      <c r="Z1493">
        <f>IF(OR('19_Расчет_аналитики'!Z1465=0,18&lt;='01_Вводные'!$B$297),0,'19_Расчет_аналитики'!Z1465*IF('01_Вводные'!$B$239="Да",MeanMinAge18+'19_Расчет_аналитики'!Z1571*SUMIF(ThresholdAge18,"&lt;"&amp;'19_Расчет_аналитики'!Z1571,WeightedRevAge18)-SUMIF(ThresholdAge18,"&lt;"&amp;'19_Расчет_аналитики'!Z1571,WeightedMinAge18),MAX(CapacityAge18*'01_Вводные'!$B$218*'19_Расчет_аналитики'!Z1571,MeanMinAge18)))</f>
        <v/>
      </c>
      <c r="AA1493">
        <f>IF(OR('19_Расчет_аналитики'!AA1465=0,18&lt;='01_Вводные'!$B$297),0,'19_Расчет_аналитики'!AA1465*IF('01_Вводные'!$B$239="Да",MeanMinAge18+'19_Расчет_аналитики'!AA1571*SUMIF(ThresholdAge18,"&lt;"&amp;'19_Расчет_аналитики'!AA1571,WeightedRevAge18)-SUMIF(ThresholdAge18,"&lt;"&amp;'19_Расчет_аналитики'!AA1571,WeightedMinAge18),MAX(CapacityAge18*'01_Вводные'!$B$218*'19_Расчет_аналитики'!AA1571,MeanMinAge18)))</f>
        <v/>
      </c>
      <c r="AB1493">
        <f>IF(OR('19_Расчет_аналитики'!AB1465=0,18&lt;='01_Вводные'!$B$297),0,'19_Расчет_аналитики'!AB1465*IF('01_Вводные'!$B$239="Да",MeanMinAge18+'19_Расчет_аналитики'!AB1571*SUMIF(ThresholdAge18,"&lt;"&amp;'19_Расчет_аналитики'!AB1571,WeightedRevAge18)-SUMIF(ThresholdAge18,"&lt;"&amp;'19_Расчет_аналитики'!AB1571,WeightedMinAge18),MAX(CapacityAge18*'01_Вводные'!$B$218*'19_Расчет_аналитики'!AB1571,MeanMinAge18)))</f>
        <v/>
      </c>
      <c r="AC1493">
        <f>IF(OR('19_Расчет_аналитики'!AC1465=0,18&lt;='01_Вводные'!$B$297),0,'19_Расчет_аналитики'!AC1465*IF('01_Вводные'!$B$239="Да",MeanMinAge18+'19_Расчет_аналитики'!AC1571*SUMIF(ThresholdAge18,"&lt;"&amp;'19_Расчет_аналитики'!AC1571,WeightedRevAge18)-SUMIF(ThresholdAge18,"&lt;"&amp;'19_Расчет_аналитики'!AC1571,WeightedMinAge18),MAX(CapacityAge18*'01_Вводные'!$B$218*'19_Расчет_аналитики'!AC1571,MeanMinAge18)))</f>
        <v/>
      </c>
      <c r="AD1493">
        <f>IF(OR('19_Расчет_аналитики'!AD1465=0,18&lt;='01_Вводные'!$B$297),0,'19_Расчет_аналитики'!AD1465*IF('01_Вводные'!$B$239="Да",MeanMinAge18+'19_Расчет_аналитики'!AD1571*SUMIF(ThresholdAge18,"&lt;"&amp;'19_Расчет_аналитики'!AD1571,WeightedRevAge18)-SUMIF(ThresholdAge18,"&lt;"&amp;'19_Расчет_аналитики'!AD1571,WeightedMinAge18),MAX(CapacityAge18*'01_Вводные'!$B$218*'19_Расчет_аналитики'!AD1571,MeanMinAge18)))</f>
        <v/>
      </c>
      <c r="AE1493">
        <f>IF(OR('19_Расчет_аналитики'!AE1465=0,18&lt;='01_Вводные'!$B$297),0,'19_Расчет_аналитики'!AE1465*IF('01_Вводные'!$B$239="Да",MeanMinAge18+'19_Расчет_аналитики'!AE1571*SUMIF(ThresholdAge18,"&lt;"&amp;'19_Расчет_аналитики'!AE1571,WeightedRevAge18)-SUMIF(ThresholdAge18,"&lt;"&amp;'19_Расчет_аналитики'!AE1571,WeightedMinAge18),MAX(CapacityAge18*'01_Вводные'!$B$218*'19_Расчет_аналитики'!AE1571,MeanMinAge18)))</f>
        <v/>
      </c>
      <c r="AF1493">
        <f>IF(OR('19_Расчет_аналитики'!AF1465=0,18&lt;='01_Вводные'!$B$297),0,'19_Расчет_аналитики'!AF1465*IF('01_Вводные'!$B$239="Да",MeanMinAge18+'19_Расчет_аналитики'!AF1571*SUMIF(ThresholdAge18,"&lt;"&amp;'19_Расчет_аналитики'!AF1571,WeightedRevAge18)-SUMIF(ThresholdAge18,"&lt;"&amp;'19_Расчет_аналитики'!AF1571,WeightedMinAge18),MAX(CapacityAge18*'01_Вводные'!$B$218*'19_Расчет_аналитики'!AF1571,MeanMinAge18)))</f>
        <v/>
      </c>
      <c r="AG1493">
        <f>IF(OR('19_Расчет_аналитики'!AG1465=0,18&lt;='01_Вводные'!$B$297),0,'19_Расчет_аналитики'!AG1465*IF('01_Вводные'!$B$239="Да",MeanMinAge18+'19_Расчет_аналитики'!AG1571*SUMIF(ThresholdAge18,"&lt;"&amp;'19_Расчет_аналитики'!AG1571,WeightedRevAge18)-SUMIF(ThresholdAge18,"&lt;"&amp;'19_Расчет_аналитики'!AG1571,WeightedMinAge18),MAX(CapacityAge18*'01_Вводные'!$B$218*'19_Расчет_аналитики'!AG1571,MeanMinAge18)))</f>
        <v/>
      </c>
      <c r="AH1493">
        <f>IF(OR('19_Расчет_аналитики'!AH1465=0,18&lt;='01_Вводные'!$B$297),0,'19_Расчет_аналитики'!AH1465*IF('01_Вводные'!$B$239="Да",MeanMinAge18+'19_Расчет_аналитики'!AH1571*SUMIF(ThresholdAge18,"&lt;"&amp;'19_Расчет_аналитики'!AH1571,WeightedRevAge18)-SUMIF(ThresholdAge18,"&lt;"&amp;'19_Расчет_аналитики'!AH1571,WeightedMinAge18),MAX(CapacityAge18*'01_Вводные'!$B$218*'19_Расчет_аналитики'!AH1571,MeanMinAge18)))</f>
        <v/>
      </c>
      <c r="AI1493">
        <f>IF(OR('19_Расчет_аналитики'!AI1465=0,18&lt;='01_Вводные'!$B$297),0,'19_Расчет_аналитики'!AI1465*IF('01_Вводные'!$B$239="Да",MeanMinAge18+'19_Расчет_аналитики'!AI1571*SUMIF(ThresholdAge18,"&lt;"&amp;'19_Расчет_аналитики'!AI1571,WeightedRevAge18)-SUMIF(ThresholdAge18,"&lt;"&amp;'19_Расчет_аналитики'!AI1571,WeightedMinAge18),MAX(CapacityAge18*'01_Вводные'!$B$218*'19_Расчет_аналитики'!AI1571,MeanMinAge18)))</f>
        <v/>
      </c>
      <c r="AJ1493">
        <f>IF(OR('19_Расчет_аналитики'!AJ1465=0,18&lt;='01_Вводные'!$B$297),0,'19_Расчет_аналитики'!AJ1465*IF('01_Вводные'!$B$239="Да",MeanMinAge18+'19_Расчет_аналитики'!AJ1571*SUMIF(ThresholdAge18,"&lt;"&amp;'19_Расчет_аналитики'!AJ1571,WeightedRevAge18)-SUMIF(ThresholdAge18,"&lt;"&amp;'19_Расчет_аналитики'!AJ1571,WeightedMinAge18),MAX(CapacityAge18*'01_Вводные'!$B$218*'19_Расчет_аналитики'!AJ1571,MeanMinAge18)))</f>
        <v/>
      </c>
      <c r="AK1493">
        <f>IF(OR('19_Расчет_аналитики'!AK1465=0,18&lt;='01_Вводные'!$B$297),0,'19_Расчет_аналитики'!AK1465*IF('01_Вводные'!$B$239="Да",MeanMinAge18+'19_Расчет_аналитики'!AK1571*SUMIF(ThresholdAge18,"&lt;"&amp;'19_Расчет_аналитики'!AK1571,WeightedRevAge18)-SUMIF(ThresholdAge18,"&lt;"&amp;'19_Расчет_аналитики'!AK1571,WeightedMinAge18),MAX(CapacityAge18*'01_Вводные'!$B$218*'19_Расчет_аналитики'!AK1571,MeanMinAge18)))</f>
        <v/>
      </c>
      <c r="AL1493">
        <f>IF(OR('19_Расчет_аналитики'!AL1465=0,18&lt;='01_Вводные'!$B$297),0,'19_Расчет_аналитики'!AL1465*IF('01_Вводные'!$B$239="Да",MeanMinAge18+'19_Расчет_аналитики'!AL1571*SUMIF(ThresholdAge18,"&lt;"&amp;'19_Расчет_аналитики'!AL1571,WeightedRevAge18)-SUMIF(ThresholdAge18,"&lt;"&amp;'19_Расчет_аналитики'!AL1571,WeightedMinAge18),MAX(CapacityAge18*'01_Вводные'!$B$218*'19_Расчет_аналитики'!AL1571,MeanMinAge18)))</f>
        <v/>
      </c>
      <c r="AM1493">
        <f>IF(OR('19_Расчет_аналитики'!AM1465=0,18&lt;='01_Вводные'!$B$297),0,'19_Расчет_аналитики'!AM1465*IF('01_Вводные'!$B$239="Да",MeanMinAge18+'19_Расчет_аналитики'!AM1571*SUMIF(ThresholdAge18,"&lt;"&amp;'19_Расчет_аналитики'!AM1571,WeightedRevAge18)-SUMIF(ThresholdAge18,"&lt;"&amp;'19_Расчет_аналитики'!AM1571,WeightedMinAge18),MAX(CapacityAge18*'01_Вводные'!$B$218*'19_Расчет_аналитики'!AM1571,MeanMinAge18)))</f>
        <v/>
      </c>
      <c r="AN1493">
        <f>IF(OR('19_Расчет_аналитики'!AN1465=0,18&lt;='01_Вводные'!$B$297),0,'19_Расчет_аналитики'!AN1465*IF('01_Вводные'!$B$239="Да",MeanMinAge18+'19_Расчет_аналитики'!AN1571*SUMIF(ThresholdAge18,"&lt;"&amp;'19_Расчет_аналитики'!AN1571,WeightedRevAge18)-SUMIF(ThresholdAge18,"&lt;"&amp;'19_Расчет_аналитики'!AN1571,WeightedMinAge18),MAX(CapacityAge18*'01_Вводные'!$B$218*'19_Расчет_аналитики'!AN1571,MeanMinAge18)))</f>
        <v/>
      </c>
      <c r="AO1493">
        <f>IF(OR('19_Расчет_аналитики'!AO1465=0,18&lt;='01_Вводные'!$B$297),0,'19_Расчет_аналитики'!AO1465*IF('01_Вводные'!$B$239="Да",MeanMinAge18+'19_Расчет_аналитики'!AO1571*SUMIF(ThresholdAge18,"&lt;"&amp;'19_Расчет_аналитики'!AO1571,WeightedRevAge18)-SUMIF(ThresholdAge18,"&lt;"&amp;'19_Расчет_аналитики'!AO1571,WeightedMinAge18),MAX(CapacityAge18*'01_Вводные'!$B$218*'19_Расчет_аналитики'!AO1571,MeanMinAge18)))</f>
        <v/>
      </c>
      <c r="AP1493">
        <f>IF(OR('19_Расчет_аналитики'!AP1465=0,18&lt;='01_Вводные'!$B$297),0,'19_Расчет_аналитики'!AP1465*IF('01_Вводные'!$B$239="Да",MeanMinAge18+'19_Расчет_аналитики'!AP1571*SUMIF(ThresholdAge18,"&lt;"&amp;'19_Расчет_аналитики'!AP1571,WeightedRevAge18)-SUMIF(ThresholdAge18,"&lt;"&amp;'19_Расчет_аналитики'!AP1571,WeightedMinAge18),MAX(CapacityAge18*'01_Вводные'!$B$218*'19_Расчет_аналитики'!AP1571,MeanMinAge18)))</f>
        <v/>
      </c>
      <c r="AQ1493">
        <f>IF(OR('19_Расчет_аналитики'!AQ1465=0,18&lt;='01_Вводные'!$B$297),0,'19_Расчет_аналитики'!AQ1465*IF('01_Вводные'!$B$239="Да",MeanMinAge18+'19_Расчет_аналитики'!AQ1571*SUMIF(ThresholdAge18,"&lt;"&amp;'19_Расчет_аналитики'!AQ1571,WeightedRevAge18)-SUMIF(ThresholdAge18,"&lt;"&amp;'19_Расчет_аналитики'!AQ1571,WeightedMinAge18),MAX(CapacityAge18*'01_Вводные'!$B$218*'19_Расчет_аналитики'!AQ1571,MeanMinAge18)))</f>
        <v/>
      </c>
      <c r="AR1493">
        <f>IF(OR('19_Расчет_аналитики'!AR1465=0,18&lt;='01_Вводные'!$B$297),0,'19_Расчет_аналитики'!AR1465*IF('01_Вводные'!$B$239="Да",MeanMinAge18+'19_Расчет_аналитики'!AR1571*SUMIF(ThresholdAge18,"&lt;"&amp;'19_Расчет_аналитики'!AR1571,WeightedRevAge18)-SUMIF(ThresholdAge18,"&lt;"&amp;'19_Расчет_аналитики'!AR1571,WeightedMinAge18),MAX(CapacityAge18*'01_Вводные'!$B$218*'19_Расчет_аналитики'!AR1571,MeanMinAge18)))</f>
        <v/>
      </c>
      <c r="AS1493">
        <f>IF(OR('19_Расчет_аналитики'!AS1465=0,18&lt;='01_Вводные'!$B$297),0,'19_Расчет_аналитики'!AS1465*IF('01_Вводные'!$B$239="Да",MeanMinAge18+'19_Расчет_аналитики'!AS1571*SUMIF(ThresholdAge18,"&lt;"&amp;'19_Расчет_аналитики'!AS1571,WeightedRevAge18)-SUMIF(ThresholdAge18,"&lt;"&amp;'19_Расчет_аналитики'!AS1571,WeightedMinAge18),MAX(CapacityAge18*'01_Вводные'!$B$218*'19_Расчет_аналитики'!AS1571,MeanMinAge18)))</f>
        <v/>
      </c>
      <c r="AT1493">
        <f>IF(OR('19_Расчет_аналитики'!AT1465=0,18&lt;='01_Вводные'!$B$297),0,'19_Расчет_аналитики'!AT1465*IF('01_Вводные'!$B$239="Да",MeanMinAge18+'19_Расчет_аналитики'!AT1571*SUMIF(ThresholdAge18,"&lt;"&amp;'19_Расчет_аналитики'!AT1571,WeightedRevAge18)-SUMIF(ThresholdAge18,"&lt;"&amp;'19_Расчет_аналитики'!AT1571,WeightedMinAge18),MAX(CapacityAge18*'01_Вводные'!$B$218*'19_Расчет_аналитики'!AT1571,MeanMinAge18)))</f>
        <v/>
      </c>
      <c r="AU1493">
        <f>IF(OR('19_Расчет_аналитики'!AU1465=0,18&lt;='01_Вводные'!$B$297),0,'19_Расчет_аналитики'!AU1465*IF('01_Вводные'!$B$239="Да",MeanMinAge18+'19_Расчет_аналитики'!AU1571*SUMIF(ThresholdAge18,"&lt;"&amp;'19_Расчет_аналитики'!AU1571,WeightedRevAge18)-SUMIF(ThresholdAge18,"&lt;"&amp;'19_Расчет_аналитики'!AU1571,WeightedMinAge18),MAX(CapacityAge18*'01_Вводные'!$B$218*'19_Расчет_аналитики'!AU1571,MeanMinAge18)))</f>
        <v/>
      </c>
      <c r="AV1493">
        <f>IF(OR('19_Расчет_аналитики'!AV1465=0,18&lt;='01_Вводные'!$B$297),0,'19_Расчет_аналитики'!AV1465*IF('01_Вводные'!$B$239="Да",MeanMinAge18+'19_Расчет_аналитики'!AV1571*SUMIF(ThresholdAge18,"&lt;"&amp;'19_Расчет_аналитики'!AV1571,WeightedRevAge18)-SUMIF(ThresholdAge18,"&lt;"&amp;'19_Расчет_аналитики'!AV1571,WeightedMinAge18),MAX(CapacityAge18*'01_Вводные'!$B$218*'19_Расчет_аналитики'!AV1571,MeanMinAge18)))</f>
        <v/>
      </c>
      <c r="AW1493">
        <f>IF(OR('19_Расчет_аналитики'!AW1465=0,18&lt;='01_Вводные'!$B$297),0,'19_Расчет_аналитики'!AW1465*IF('01_Вводные'!$B$239="Да",MeanMinAge18+'19_Расчет_аналитики'!AW1571*SUMIF(ThresholdAge18,"&lt;"&amp;'19_Расчет_аналитики'!AW1571,WeightedRevAge18)-SUMIF(ThresholdAge18,"&lt;"&amp;'19_Расчет_аналитики'!AW1571,WeightedMinAge18),MAX(CapacityAge18*'01_Вводные'!$B$218*'19_Расчет_аналитики'!AW1571,MeanMinAge18)))</f>
        <v/>
      </c>
      <c r="AX1493">
        <f>IF(OR('19_Расчет_аналитики'!AX1465=0,18&lt;='01_Вводные'!$B$297),0,'19_Расчет_аналитики'!AX1465*IF('01_Вводные'!$B$239="Да",MeanMinAge18+'19_Расчет_аналитики'!AX1571*SUMIF(ThresholdAge18,"&lt;"&amp;'19_Расчет_аналитики'!AX1571,WeightedRevAge18)-SUMIF(ThresholdAge18,"&lt;"&amp;'19_Расчет_аналитики'!AX1571,WeightedMinAge18),MAX(CapacityAge18*'01_Вводные'!$B$218*'19_Расчет_аналитики'!AX1571,MeanMinAge18)))</f>
        <v/>
      </c>
      <c r="AY1493">
        <f>IF(OR('19_Расчет_аналитики'!AY1465=0,18&lt;='01_Вводные'!$B$297),0,'19_Расчет_аналитики'!AY1465*IF('01_Вводные'!$B$239="Да",MeanMinAge18+'19_Расчет_аналитики'!AY1571*SUMIF(ThresholdAge18,"&lt;"&amp;'19_Расчет_аналитики'!AY1571,WeightedRevAge18)-SUMIF(ThresholdAge18,"&lt;"&amp;'19_Расчет_аналитики'!AY1571,WeightedMinAge18),MAX(CapacityAge18*'01_Вводные'!$B$218*'19_Расчет_аналитики'!AY1571,MeanMinAge18)))</f>
        <v/>
      </c>
      <c r="AZ1493">
        <f>IF(OR('19_Расчет_аналитики'!AZ1465=0,18&lt;='01_Вводные'!$B$297),0,'19_Расчет_аналитики'!AZ1465*IF('01_Вводные'!$B$239="Да",MeanMinAge18+'19_Расчет_аналитики'!AZ1571*SUMIF(ThresholdAge18,"&lt;"&amp;'19_Расчет_аналитики'!AZ1571,WeightedRevAge18)-SUMIF(ThresholdAge18,"&lt;"&amp;'19_Расчет_аналитики'!AZ1571,WeightedMinAge18),MAX(CapacityAge18*'01_Вводные'!$B$218*'19_Расчет_аналитики'!AZ1571,MeanMinAge18)))</f>
        <v/>
      </c>
      <c r="BA1493">
        <f>IF(OR('19_Расчет_аналитики'!BA1465=0,18&lt;='01_Вводные'!$B$297),0,'19_Расчет_аналитики'!BA1465*IF('01_Вводные'!$B$239="Да",MeanMinAge18+'19_Расчет_аналитики'!BA1571*SUMIF(ThresholdAge18,"&lt;"&amp;'19_Расчет_аналитики'!BA1571,WeightedRevAge18)-SUMIF(ThresholdAge18,"&lt;"&amp;'19_Расчет_аналитики'!BA1571,WeightedMinAge18),MAX(CapacityAge18*'01_Вводные'!$B$218*'19_Расчет_аналитики'!BA1571,MeanMinAge18)))</f>
        <v/>
      </c>
      <c r="BB1493">
        <f>IF(OR('19_Расчет_аналитики'!BB1465=0,18&lt;='01_Вводные'!$B$297),0,'19_Расчет_аналитики'!BB1465*IF('01_Вводные'!$B$239="Да",MeanMinAge18+'19_Расчет_аналитики'!BB1571*SUMIF(ThresholdAge18,"&lt;"&amp;'19_Расчет_аналитики'!BB1571,WeightedRevAge18)-SUMIF(ThresholdAge18,"&lt;"&amp;'19_Расчет_аналитики'!BB1571,WeightedMinAge18),MAX(CapacityAge18*'01_Вводные'!$B$218*'19_Расчет_аналитики'!BB1571,MeanMinAge18)))</f>
        <v/>
      </c>
      <c r="BC1493">
        <f>IF(OR('19_Расчет_аналитики'!BC1465=0,18&lt;='01_Вводные'!$B$297),0,'19_Расчет_аналитики'!BC1465*IF('01_Вводные'!$B$239="Да",MeanMinAge18+'19_Расчет_аналитики'!BC1571*SUMIF(ThresholdAge18,"&lt;"&amp;'19_Расчет_аналитики'!BC1571,WeightedRevAge18)-SUMIF(ThresholdAge18,"&lt;"&amp;'19_Расчет_аналитики'!BC1571,WeightedMinAge18),MAX(CapacityAge18*'01_Вводные'!$B$218*'19_Расчет_аналитики'!BC1571,MeanMinAge18)))</f>
        <v/>
      </c>
      <c r="BD1493">
        <f>IF(OR('19_Расчет_аналитики'!BD1465=0,18&lt;='01_Вводные'!$B$297),0,'19_Расчет_аналитики'!BD1465*IF('01_Вводные'!$B$239="Да",MeanMinAge18+'19_Расчет_аналитики'!BD1571*SUMIF(ThresholdAge18,"&lt;"&amp;'19_Расчет_аналитики'!BD1571,WeightedRevAge18)-SUMIF(ThresholdAge18,"&lt;"&amp;'19_Расчет_аналитики'!BD1571,WeightedMinAge18),MAX(CapacityAge18*'01_Вводные'!$B$218*'19_Расчет_аналитики'!BD1571,MeanMinAge18)))</f>
        <v/>
      </c>
      <c r="BE1493">
        <f>IF(OR('19_Расчет_аналитики'!BE1465=0,18&lt;='01_Вводные'!$B$297),0,'19_Расчет_аналитики'!BE1465*IF('01_Вводные'!$B$239="Да",MeanMinAge18+'19_Расчет_аналитики'!BE1571*SUMIF(ThresholdAge18,"&lt;"&amp;'19_Расчет_аналитики'!BE1571,WeightedRevAge18)-SUMIF(ThresholdAge18,"&lt;"&amp;'19_Расчет_аналитики'!BE1571,WeightedMinAge18),MAX(CapacityAge18*'01_Вводные'!$B$218*'19_Расчет_аналитики'!BE1571,MeanMinAge18)))</f>
        <v/>
      </c>
      <c r="BF1493">
        <f>IF(OR('19_Расчет_аналитики'!BF1465=0,18&lt;='01_Вводные'!$B$297),0,'19_Расчет_аналитики'!BF1465*IF('01_Вводные'!$B$239="Да",MeanMinAge18+'19_Расчет_аналитики'!BF1571*SUMIF(ThresholdAge18,"&lt;"&amp;'19_Расчет_аналитики'!BF1571,WeightedRevAge18)-SUMIF(ThresholdAge18,"&lt;"&amp;'19_Расчет_аналитики'!BF1571,WeightedMinAge18),MAX(CapacityAge18*'01_Вводные'!$B$218*'19_Расчет_аналитики'!BF1571,MeanMinAge18)))</f>
        <v/>
      </c>
      <c r="BG1493">
        <f>IF(OR('19_Расчет_аналитики'!BG1465=0,18&lt;='01_Вводные'!$B$297),0,'19_Расчет_аналитики'!BG1465*IF('01_Вводные'!$B$239="Да",MeanMinAge18+'19_Расчет_аналитики'!BG1571*SUMIF(ThresholdAge18,"&lt;"&amp;'19_Расчет_аналитики'!BG1571,WeightedRevAge18)-SUMIF(ThresholdAge18,"&lt;"&amp;'19_Расчет_аналитики'!BG1571,WeightedMinAge18),MAX(CapacityAge18*'01_Вводные'!$B$218*'19_Расчет_аналитики'!BG1571,MeanMinAge18)))</f>
        <v/>
      </c>
      <c r="BH1493">
        <f>IF(OR('19_Расчет_аналитики'!BH1465=0,18&lt;='01_Вводные'!$B$297),0,'19_Расчет_аналитики'!BH1465*IF('01_Вводные'!$B$239="Да",MeanMinAge18+'19_Расчет_аналитики'!BH1571*SUMIF(ThresholdAge18,"&lt;"&amp;'19_Расчет_аналитики'!BH1571,WeightedRevAge18)-SUMIF(ThresholdAge18,"&lt;"&amp;'19_Расчет_аналитики'!BH1571,WeightedMinAge18),MAX(CapacityAge18*'01_Вводные'!$B$218*'19_Расчет_аналитики'!BH1571,MeanMinAge18)))</f>
        <v/>
      </c>
      <c r="BI1493">
        <f>IF(OR('19_Расчет_аналитики'!BI1465=0,18&lt;='01_Вводные'!$B$297),0,'19_Расчет_аналитики'!BI1465*IF('01_Вводные'!$B$239="Да",MeanMinAge18+'19_Расчет_аналитики'!BI1571*SUMIF(ThresholdAge18,"&lt;"&amp;'19_Расчет_аналитики'!BI1571,WeightedRevAge18)-SUMIF(ThresholdAge18,"&lt;"&amp;'19_Расчет_аналитики'!BI1571,WeightedMinAge18),MAX(CapacityAge18*'01_Вводные'!$B$218*'19_Расчет_аналитики'!BI1571,MeanMinAge18)))</f>
        <v/>
      </c>
      <c r="BJ1493">
        <f>IF(OR('19_Расчет_аналитики'!BJ1465=0,18&lt;='01_Вводные'!$B$297),0,'19_Расчет_аналитики'!BJ1465*IF('01_Вводные'!$B$239="Да",MeanMinAge18+'19_Расчет_аналитики'!BJ1571*SUMIF(ThresholdAge18,"&lt;"&amp;'19_Расчет_аналитики'!BJ1571,WeightedRevAge18)-SUMIF(ThresholdAge18,"&lt;"&amp;'19_Расчет_аналитики'!BJ1571,WeightedMinAge18),MAX(CapacityAge18*'01_Вводные'!$B$218*'19_Расчет_аналитики'!BJ1571,MeanMinAge18)))</f>
        <v/>
      </c>
      <c r="BK1493">
        <f>IF(OR('19_Расчет_аналитики'!BK1465=0,18&lt;='01_Вводные'!$B$297),0,'19_Расчет_аналитики'!BK1465*IF('01_Вводные'!$B$239="Да",MeanMinAge18+'19_Расчет_аналитики'!BK1571*SUMIF(ThresholdAge18,"&lt;"&amp;'19_Расчет_аналитики'!BK1571,WeightedRevAge18)-SUMIF(ThresholdAge18,"&lt;"&amp;'19_Расчет_аналитики'!BK1571,WeightedMinAge18),MAX(CapacityAge18*'01_Вводные'!$B$218*'19_Расчет_аналитики'!BK1571,MeanMinAge18)))</f>
        <v/>
      </c>
      <c r="BL1493">
        <f>IF(OR('19_Расчет_аналитики'!BL1465=0,18&lt;='01_Вводные'!$B$297),0,'19_Расчет_аналитики'!BL1465*IF('01_Вводные'!$B$239="Да",MeanMinAge18+'19_Расчет_аналитики'!BL1571*SUMIF(ThresholdAge18,"&lt;"&amp;'19_Расчет_аналитики'!BL1571,WeightedRevAge18)-SUMIF(ThresholdAge18,"&lt;"&amp;'19_Расчет_аналитики'!BL1571,WeightedMinAge18),MAX(CapacityAge18*'01_Вводные'!$B$218*'19_Расчет_аналитики'!BL1571,MeanMinAge18)))</f>
        <v/>
      </c>
      <c r="BM1493">
        <f>IF(OR('19_Расчет_аналитики'!BM1465=0,18&lt;='01_Вводные'!$B$297),0,'19_Расчет_аналитики'!BM1465*IF('01_Вводные'!$B$239="Да",MeanMinAge18+'19_Расчет_аналитики'!BM1571*SUMIF(ThresholdAge18,"&lt;"&amp;'19_Расчет_аналитики'!BM1571,WeightedRevAge18)-SUMIF(ThresholdAge18,"&lt;"&amp;'19_Расчет_аналитики'!BM1571,WeightedMinAge18),MAX(CapacityAge18*'01_Вводные'!$B$218*'19_Расчет_аналитики'!BM1571,MeanMinAge18)))</f>
        <v/>
      </c>
      <c r="BN1493">
        <f>IF(OR('19_Расчет_аналитики'!BN1465=0,18&lt;='01_Вводные'!$B$297),0,'19_Расчет_аналитики'!BN1465*IF('01_Вводные'!$B$239="Да",MeanMinAge18+'19_Расчет_аналитики'!BN1571*SUMIF(ThresholdAge18,"&lt;"&amp;'19_Расчет_аналитики'!BN1571,WeightedRevAge18)-SUMIF(ThresholdAge18,"&lt;"&amp;'19_Расчет_аналитики'!BN1571,WeightedMinAge18),MAX(CapacityAge18*'01_Вводные'!$B$218*'19_Расчет_аналитики'!BN1571,MeanMinAge18)))</f>
        <v/>
      </c>
      <c r="BO1493">
        <f>IF(OR('19_Расчет_аналитики'!BO1465=0,18&lt;='01_Вводные'!$B$297),0,'19_Расчет_аналитики'!BO1465*IF('01_Вводные'!$B$239="Да",MeanMinAge18+'19_Расчет_аналитики'!BO1571*SUMIF(ThresholdAge18,"&lt;"&amp;'19_Расчет_аналитики'!BO1571,WeightedRevAge18)-SUMIF(ThresholdAge18,"&lt;"&amp;'19_Расчет_аналитики'!BO1571,WeightedMinAge18),MAX(CapacityAge18*'01_Вводные'!$B$218*'19_Расчет_аналитики'!BO1571,MeanMinAge18)))</f>
        <v/>
      </c>
    </row>
    <row r="1494">
      <c r="B1494">
        <f>IF(OR('06_Сеть_и_дети'!B99=0,19&lt;='01_Вводные'!$B$297),0,'06_Сеть_и_дети'!B99*IF('01_Вводные'!$B$239="Да",MeanMinAge19+'19_Расчет_аналитики'!B1571*SUMIF(ThresholdAge19,"&lt;"&amp;'19_Расчет_аналитики'!B1571,WeightedRevAge19)-SUMIF(ThresholdAge19,"&lt;"&amp;'19_Расчет_аналитики'!B1571,WeightedMinAge19),MAX(CapacityAge19*'01_Вводные'!$B$218*'19_Расчет_аналитики'!B1571,MeanMinAge19)))</f>
        <v/>
      </c>
      <c r="C1494">
        <f>IF(OR('06_Сеть_и_дети'!C99=0,19&lt;='01_Вводные'!$B$297),0,'06_Сеть_и_дети'!C99*IF('01_Вводные'!$B$239="Да",MeanMinAge19+'19_Расчет_аналитики'!C1571*SUMIF(ThresholdAge19,"&lt;"&amp;'19_Расчет_аналитики'!C1571,WeightedRevAge19)-SUMIF(ThresholdAge19,"&lt;"&amp;'19_Расчет_аналитики'!C1571,WeightedMinAge19),MAX(CapacityAge19*'01_Вводные'!$B$218*'19_Расчет_аналитики'!C1571,MeanMinAge19)))</f>
        <v/>
      </c>
      <c r="D1494">
        <f>IF(OR('06_Сеть_и_дети'!D99=0,19&lt;='01_Вводные'!$B$297),0,'06_Сеть_и_дети'!D99*IF('01_Вводные'!$B$239="Да",MeanMinAge19+'19_Расчет_аналитики'!D1571*SUMIF(ThresholdAge19,"&lt;"&amp;'19_Расчет_аналитики'!D1571,WeightedRevAge19)-SUMIF(ThresholdAge19,"&lt;"&amp;'19_Расчет_аналитики'!D1571,WeightedMinAge19),MAX(CapacityAge19*'01_Вводные'!$B$218*'19_Расчет_аналитики'!D1571,MeanMinAge19)))</f>
        <v/>
      </c>
      <c r="E1494">
        <f>IF(OR('06_Сеть_и_дети'!E99=0,19&lt;='01_Вводные'!$B$297),0,'06_Сеть_и_дети'!E99*IF('01_Вводные'!$B$239="Да",MeanMinAge19+'19_Расчет_аналитики'!E1571*SUMIF(ThresholdAge19,"&lt;"&amp;'19_Расчет_аналитики'!E1571,WeightedRevAge19)-SUMIF(ThresholdAge19,"&lt;"&amp;'19_Расчет_аналитики'!E1571,WeightedMinAge19),MAX(CapacityAge19*'01_Вводные'!$B$218*'19_Расчет_аналитики'!E1571,MeanMinAge19)))</f>
        <v/>
      </c>
      <c r="F1494">
        <f>IF(OR('06_Сеть_и_дети'!F99=0,19&lt;='01_Вводные'!$B$297),0,'06_Сеть_и_дети'!F99*IF('01_Вводные'!$B$239="Да",MeanMinAge19+'19_Расчет_аналитики'!F1571*SUMIF(ThresholdAge19,"&lt;"&amp;'19_Расчет_аналитики'!F1571,WeightedRevAge19)-SUMIF(ThresholdAge19,"&lt;"&amp;'19_Расчет_аналитики'!F1571,WeightedMinAge19),MAX(CapacityAge19*'01_Вводные'!$B$218*'19_Расчет_аналитики'!F1571,MeanMinAge19)))</f>
        <v/>
      </c>
      <c r="G1494">
        <f>IF(OR('06_Сеть_и_дети'!G99=0,19&lt;='01_Вводные'!$B$297),0,'06_Сеть_и_дети'!G99*IF('01_Вводные'!$B$239="Да",MeanMinAge19+'19_Расчет_аналитики'!G1571*SUMIF(ThresholdAge19,"&lt;"&amp;'19_Расчет_аналитики'!G1571,WeightedRevAge19)-SUMIF(ThresholdAge19,"&lt;"&amp;'19_Расчет_аналитики'!G1571,WeightedMinAge19),MAX(CapacityAge19*'01_Вводные'!$B$218*'19_Расчет_аналитики'!G1571,MeanMinAge19)))</f>
        <v/>
      </c>
      <c r="H1494">
        <f>IF(OR('06_Сеть_и_дети'!H99=0,19&lt;='01_Вводные'!$B$297),0,'06_Сеть_и_дети'!H99*IF('01_Вводные'!$B$239="Да",MeanMinAge19+'19_Расчет_аналитики'!H1571*SUMIF(ThresholdAge19,"&lt;"&amp;'19_Расчет_аналитики'!H1571,WeightedRevAge19)-SUMIF(ThresholdAge19,"&lt;"&amp;'19_Расчет_аналитики'!H1571,WeightedMinAge19),MAX(CapacityAge19*'01_Вводные'!$B$218*'19_Расчет_аналитики'!H1571,MeanMinAge19)))</f>
        <v/>
      </c>
      <c r="I1494">
        <f>IF(OR('06_Сеть_и_дети'!I99=0,19&lt;='01_Вводные'!$B$297),0,'06_Сеть_и_дети'!I99*IF('01_Вводные'!$B$239="Да",MeanMinAge19+'19_Расчет_аналитики'!I1571*SUMIF(ThresholdAge19,"&lt;"&amp;'19_Расчет_аналитики'!I1571,WeightedRevAge19)-SUMIF(ThresholdAge19,"&lt;"&amp;'19_Расчет_аналитики'!I1571,WeightedMinAge19),MAX(CapacityAge19*'01_Вводные'!$B$218*'19_Расчет_аналитики'!I1571,MeanMinAge19)))</f>
        <v/>
      </c>
      <c r="J1494">
        <f>IF(OR('06_Сеть_и_дети'!J99=0,19&lt;='01_Вводные'!$B$297),0,'06_Сеть_и_дети'!J99*IF('01_Вводные'!$B$239="Да",MeanMinAge19+'19_Расчет_аналитики'!J1571*SUMIF(ThresholdAge19,"&lt;"&amp;'19_Расчет_аналитики'!J1571,WeightedRevAge19)-SUMIF(ThresholdAge19,"&lt;"&amp;'19_Расчет_аналитики'!J1571,WeightedMinAge19),MAX(CapacityAge19*'01_Вводные'!$B$218*'19_Расчет_аналитики'!J1571,MeanMinAge19)))</f>
        <v/>
      </c>
      <c r="K1494">
        <f>IF(OR('06_Сеть_и_дети'!K99=0,19&lt;='01_Вводные'!$B$297),0,'06_Сеть_и_дети'!K99*IF('01_Вводные'!$B$239="Да",MeanMinAge19+'19_Расчет_аналитики'!K1571*SUMIF(ThresholdAge19,"&lt;"&amp;'19_Расчет_аналитики'!K1571,WeightedRevAge19)-SUMIF(ThresholdAge19,"&lt;"&amp;'19_Расчет_аналитики'!K1571,WeightedMinAge19),MAX(CapacityAge19*'01_Вводные'!$B$218*'19_Расчет_аналитики'!K1571,MeanMinAge19)))</f>
        <v/>
      </c>
      <c r="L1494">
        <f>IF(OR('06_Сеть_и_дети'!L99=0,19&lt;='01_Вводные'!$B$297),0,'06_Сеть_и_дети'!L99*IF('01_Вводные'!$B$239="Да",MeanMinAge19+'19_Расчет_аналитики'!L1571*SUMIF(ThresholdAge19,"&lt;"&amp;'19_Расчет_аналитики'!L1571,WeightedRevAge19)-SUMIF(ThresholdAge19,"&lt;"&amp;'19_Расчет_аналитики'!L1571,WeightedMinAge19),MAX(CapacityAge19*'01_Вводные'!$B$218*'19_Расчет_аналитики'!L1571,MeanMinAge19)))</f>
        <v/>
      </c>
      <c r="M1494">
        <f>IF(OR('06_Сеть_и_дети'!M99=0,19&lt;='01_Вводные'!$B$297),0,'06_Сеть_и_дети'!M99*IF('01_Вводные'!$B$239="Да",MeanMinAge19+'19_Расчет_аналитики'!M1571*SUMIF(ThresholdAge19,"&lt;"&amp;'19_Расчет_аналитики'!M1571,WeightedRevAge19)-SUMIF(ThresholdAge19,"&lt;"&amp;'19_Расчет_аналитики'!M1571,WeightedMinAge19),MAX(CapacityAge19*'01_Вводные'!$B$218*'19_Расчет_аналитики'!M1571,MeanMinAge19)))</f>
        <v/>
      </c>
      <c r="N1494">
        <f>IF(OR('06_Сеть_и_дети'!N99=0,19&lt;='01_Вводные'!$B$297),0,'06_Сеть_и_дети'!N99*IF('01_Вводные'!$B$239="Да",MeanMinAge19+'19_Расчет_аналитики'!N1571*SUMIF(ThresholdAge19,"&lt;"&amp;'19_Расчет_аналитики'!N1571,WeightedRevAge19)-SUMIF(ThresholdAge19,"&lt;"&amp;'19_Расчет_аналитики'!N1571,WeightedMinAge19),MAX(CapacityAge19*'01_Вводные'!$B$218*'19_Расчет_аналитики'!N1571,MeanMinAge19)))</f>
        <v/>
      </c>
      <c r="O1494">
        <f>IF(OR('06_Сеть_и_дети'!O99=0,19&lt;='01_Вводные'!$B$297),0,'06_Сеть_и_дети'!O99*IF('01_Вводные'!$B$239="Да",MeanMinAge19+'19_Расчет_аналитики'!O1571*SUMIF(ThresholdAge19,"&lt;"&amp;'19_Расчет_аналитики'!O1571,WeightedRevAge19)-SUMIF(ThresholdAge19,"&lt;"&amp;'19_Расчет_аналитики'!O1571,WeightedMinAge19),MAX(CapacityAge19*'01_Вводные'!$B$218*'19_Расчет_аналитики'!O1571,MeanMinAge19)))</f>
        <v/>
      </c>
      <c r="P1494">
        <f>IF(OR('06_Сеть_и_дети'!P99=0,19&lt;='01_Вводные'!$B$297),0,'06_Сеть_и_дети'!P99*IF('01_Вводные'!$B$239="Да",MeanMinAge19+'19_Расчет_аналитики'!P1571*SUMIF(ThresholdAge19,"&lt;"&amp;'19_Расчет_аналитики'!P1571,WeightedRevAge19)-SUMIF(ThresholdAge19,"&lt;"&amp;'19_Расчет_аналитики'!P1571,WeightedMinAge19),MAX(CapacityAge19*'01_Вводные'!$B$218*'19_Расчет_аналитики'!P1571,MeanMinAge19)))</f>
        <v/>
      </c>
      <c r="Q1494">
        <f>IF(OR('06_Сеть_и_дети'!Q99=0,19&lt;='01_Вводные'!$B$297),0,'06_Сеть_и_дети'!Q99*IF('01_Вводные'!$B$239="Да",MeanMinAge19+'19_Расчет_аналитики'!Q1571*SUMIF(ThresholdAge19,"&lt;"&amp;'19_Расчет_аналитики'!Q1571,WeightedRevAge19)-SUMIF(ThresholdAge19,"&lt;"&amp;'19_Расчет_аналитики'!Q1571,WeightedMinAge19),MAX(CapacityAge19*'01_Вводные'!$B$218*'19_Расчет_аналитики'!Q1571,MeanMinAge19)))</f>
        <v/>
      </c>
      <c r="R1494">
        <f>IF(OR('06_Сеть_и_дети'!R99=0,19&lt;='01_Вводные'!$B$297),0,'06_Сеть_и_дети'!R99*IF('01_Вводные'!$B$239="Да",MeanMinAge19+'19_Расчет_аналитики'!R1571*SUMIF(ThresholdAge19,"&lt;"&amp;'19_Расчет_аналитики'!R1571,WeightedRevAge19)-SUMIF(ThresholdAge19,"&lt;"&amp;'19_Расчет_аналитики'!R1571,WeightedMinAge19),MAX(CapacityAge19*'01_Вводные'!$B$218*'19_Расчет_аналитики'!R1571,MeanMinAge19)))</f>
        <v/>
      </c>
      <c r="S1494">
        <f>IF(OR('06_Сеть_и_дети'!S99=0,19&lt;='01_Вводные'!$B$297),0,'06_Сеть_и_дети'!S99*IF('01_Вводные'!$B$239="Да",MeanMinAge19+'19_Расчет_аналитики'!S1571*SUMIF(ThresholdAge19,"&lt;"&amp;'19_Расчет_аналитики'!S1571,WeightedRevAge19)-SUMIF(ThresholdAge19,"&lt;"&amp;'19_Расчет_аналитики'!S1571,WeightedMinAge19),MAX(CapacityAge19*'01_Вводные'!$B$218*'19_Расчет_аналитики'!S1571,MeanMinAge19)))</f>
        <v/>
      </c>
      <c r="T1494">
        <f>IF(OR('19_Расчет_аналитики'!T1466=0,19&lt;='01_Вводные'!$B$297),0,'19_Расчет_аналитики'!T1466*IF('01_Вводные'!$B$239="Да",MeanMinAge19+'19_Расчет_аналитики'!T1571*SUMIF(ThresholdAge19,"&lt;"&amp;'19_Расчет_аналитики'!T1571,WeightedRevAge19)-SUMIF(ThresholdAge19,"&lt;"&amp;'19_Расчет_аналитики'!T1571,WeightedMinAge19),MAX(CapacityAge19*'01_Вводные'!$B$218*'19_Расчет_аналитики'!T1571,MeanMinAge19)))</f>
        <v/>
      </c>
      <c r="U1494">
        <f>IF(OR('19_Расчет_аналитики'!U1466=0,19&lt;='01_Вводные'!$B$297),0,'19_Расчет_аналитики'!U1466*IF('01_Вводные'!$B$239="Да",MeanMinAge19+'19_Расчет_аналитики'!U1571*SUMIF(ThresholdAge19,"&lt;"&amp;'19_Расчет_аналитики'!U1571,WeightedRevAge19)-SUMIF(ThresholdAge19,"&lt;"&amp;'19_Расчет_аналитики'!U1571,WeightedMinAge19),MAX(CapacityAge19*'01_Вводные'!$B$218*'19_Расчет_аналитики'!U1571,MeanMinAge19)))</f>
        <v/>
      </c>
      <c r="V1494">
        <f>IF(OR('19_Расчет_аналитики'!V1466=0,19&lt;='01_Вводные'!$B$297),0,'19_Расчет_аналитики'!V1466*IF('01_Вводные'!$B$239="Да",MeanMinAge19+'19_Расчет_аналитики'!V1571*SUMIF(ThresholdAge19,"&lt;"&amp;'19_Расчет_аналитики'!V1571,WeightedRevAge19)-SUMIF(ThresholdAge19,"&lt;"&amp;'19_Расчет_аналитики'!V1571,WeightedMinAge19),MAX(CapacityAge19*'01_Вводные'!$B$218*'19_Расчет_аналитики'!V1571,MeanMinAge19)))</f>
        <v/>
      </c>
      <c r="W1494">
        <f>IF(OR('19_Расчет_аналитики'!W1466=0,19&lt;='01_Вводные'!$B$297),0,'19_Расчет_аналитики'!W1466*IF('01_Вводные'!$B$239="Да",MeanMinAge19+'19_Расчет_аналитики'!W1571*SUMIF(ThresholdAge19,"&lt;"&amp;'19_Расчет_аналитики'!W1571,WeightedRevAge19)-SUMIF(ThresholdAge19,"&lt;"&amp;'19_Расчет_аналитики'!W1571,WeightedMinAge19),MAX(CapacityAge19*'01_Вводные'!$B$218*'19_Расчет_аналитики'!W1571,MeanMinAge19)))</f>
        <v/>
      </c>
      <c r="X1494">
        <f>IF(OR('19_Расчет_аналитики'!X1466=0,19&lt;='01_Вводные'!$B$297),0,'19_Расчет_аналитики'!X1466*IF('01_Вводные'!$B$239="Да",MeanMinAge19+'19_Расчет_аналитики'!X1571*SUMIF(ThresholdAge19,"&lt;"&amp;'19_Расчет_аналитики'!X1571,WeightedRevAge19)-SUMIF(ThresholdAge19,"&lt;"&amp;'19_Расчет_аналитики'!X1571,WeightedMinAge19),MAX(CapacityAge19*'01_Вводные'!$B$218*'19_Расчет_аналитики'!X1571,MeanMinAge19)))</f>
        <v/>
      </c>
      <c r="Y1494">
        <f>IF(OR('19_Расчет_аналитики'!Y1466=0,19&lt;='01_Вводные'!$B$297),0,'19_Расчет_аналитики'!Y1466*IF('01_Вводные'!$B$239="Да",MeanMinAge19+'19_Расчет_аналитики'!Y1571*SUMIF(ThresholdAge19,"&lt;"&amp;'19_Расчет_аналитики'!Y1571,WeightedRevAge19)-SUMIF(ThresholdAge19,"&lt;"&amp;'19_Расчет_аналитики'!Y1571,WeightedMinAge19),MAX(CapacityAge19*'01_Вводные'!$B$218*'19_Расчет_аналитики'!Y1571,MeanMinAge19)))</f>
        <v/>
      </c>
      <c r="Z1494">
        <f>IF(OR('19_Расчет_аналитики'!Z1466=0,19&lt;='01_Вводные'!$B$297),0,'19_Расчет_аналитики'!Z1466*IF('01_Вводные'!$B$239="Да",MeanMinAge19+'19_Расчет_аналитики'!Z1571*SUMIF(ThresholdAge19,"&lt;"&amp;'19_Расчет_аналитики'!Z1571,WeightedRevAge19)-SUMIF(ThresholdAge19,"&lt;"&amp;'19_Расчет_аналитики'!Z1571,WeightedMinAge19),MAX(CapacityAge19*'01_Вводные'!$B$218*'19_Расчет_аналитики'!Z1571,MeanMinAge19)))</f>
        <v/>
      </c>
      <c r="AA1494">
        <f>IF(OR('19_Расчет_аналитики'!AA1466=0,19&lt;='01_Вводные'!$B$297),0,'19_Расчет_аналитики'!AA1466*IF('01_Вводные'!$B$239="Да",MeanMinAge19+'19_Расчет_аналитики'!AA1571*SUMIF(ThresholdAge19,"&lt;"&amp;'19_Расчет_аналитики'!AA1571,WeightedRevAge19)-SUMIF(ThresholdAge19,"&lt;"&amp;'19_Расчет_аналитики'!AA1571,WeightedMinAge19),MAX(CapacityAge19*'01_Вводные'!$B$218*'19_Расчет_аналитики'!AA1571,MeanMinAge19)))</f>
        <v/>
      </c>
      <c r="AB1494">
        <f>IF(OR('19_Расчет_аналитики'!AB1466=0,19&lt;='01_Вводные'!$B$297),0,'19_Расчет_аналитики'!AB1466*IF('01_Вводные'!$B$239="Да",MeanMinAge19+'19_Расчет_аналитики'!AB1571*SUMIF(ThresholdAge19,"&lt;"&amp;'19_Расчет_аналитики'!AB1571,WeightedRevAge19)-SUMIF(ThresholdAge19,"&lt;"&amp;'19_Расчет_аналитики'!AB1571,WeightedMinAge19),MAX(CapacityAge19*'01_Вводные'!$B$218*'19_Расчет_аналитики'!AB1571,MeanMinAge19)))</f>
        <v/>
      </c>
      <c r="AC1494">
        <f>IF(OR('19_Расчет_аналитики'!AC1466=0,19&lt;='01_Вводные'!$B$297),0,'19_Расчет_аналитики'!AC1466*IF('01_Вводные'!$B$239="Да",MeanMinAge19+'19_Расчет_аналитики'!AC1571*SUMIF(ThresholdAge19,"&lt;"&amp;'19_Расчет_аналитики'!AC1571,WeightedRevAge19)-SUMIF(ThresholdAge19,"&lt;"&amp;'19_Расчет_аналитики'!AC1571,WeightedMinAge19),MAX(CapacityAge19*'01_Вводные'!$B$218*'19_Расчет_аналитики'!AC1571,MeanMinAge19)))</f>
        <v/>
      </c>
      <c r="AD1494">
        <f>IF(OR('19_Расчет_аналитики'!AD1466=0,19&lt;='01_Вводные'!$B$297),0,'19_Расчет_аналитики'!AD1466*IF('01_Вводные'!$B$239="Да",MeanMinAge19+'19_Расчет_аналитики'!AD1571*SUMIF(ThresholdAge19,"&lt;"&amp;'19_Расчет_аналитики'!AD1571,WeightedRevAge19)-SUMIF(ThresholdAge19,"&lt;"&amp;'19_Расчет_аналитики'!AD1571,WeightedMinAge19),MAX(CapacityAge19*'01_Вводные'!$B$218*'19_Расчет_аналитики'!AD1571,MeanMinAge19)))</f>
        <v/>
      </c>
      <c r="AE1494">
        <f>IF(OR('19_Расчет_аналитики'!AE1466=0,19&lt;='01_Вводные'!$B$297),0,'19_Расчет_аналитики'!AE1466*IF('01_Вводные'!$B$239="Да",MeanMinAge19+'19_Расчет_аналитики'!AE1571*SUMIF(ThresholdAge19,"&lt;"&amp;'19_Расчет_аналитики'!AE1571,WeightedRevAge19)-SUMIF(ThresholdAge19,"&lt;"&amp;'19_Расчет_аналитики'!AE1571,WeightedMinAge19),MAX(CapacityAge19*'01_Вводные'!$B$218*'19_Расчет_аналитики'!AE1571,MeanMinAge19)))</f>
        <v/>
      </c>
      <c r="AF1494">
        <f>IF(OR('19_Расчет_аналитики'!AF1466=0,19&lt;='01_Вводные'!$B$297),0,'19_Расчет_аналитики'!AF1466*IF('01_Вводные'!$B$239="Да",MeanMinAge19+'19_Расчет_аналитики'!AF1571*SUMIF(ThresholdAge19,"&lt;"&amp;'19_Расчет_аналитики'!AF1571,WeightedRevAge19)-SUMIF(ThresholdAge19,"&lt;"&amp;'19_Расчет_аналитики'!AF1571,WeightedMinAge19),MAX(CapacityAge19*'01_Вводные'!$B$218*'19_Расчет_аналитики'!AF1571,MeanMinAge19)))</f>
        <v/>
      </c>
      <c r="AG1494">
        <f>IF(OR('19_Расчет_аналитики'!AG1466=0,19&lt;='01_Вводные'!$B$297),0,'19_Расчет_аналитики'!AG1466*IF('01_Вводные'!$B$239="Да",MeanMinAge19+'19_Расчет_аналитики'!AG1571*SUMIF(ThresholdAge19,"&lt;"&amp;'19_Расчет_аналитики'!AG1571,WeightedRevAge19)-SUMIF(ThresholdAge19,"&lt;"&amp;'19_Расчет_аналитики'!AG1571,WeightedMinAge19),MAX(CapacityAge19*'01_Вводные'!$B$218*'19_Расчет_аналитики'!AG1571,MeanMinAge19)))</f>
        <v/>
      </c>
      <c r="AH1494">
        <f>IF(OR('19_Расчет_аналитики'!AH1466=0,19&lt;='01_Вводные'!$B$297),0,'19_Расчет_аналитики'!AH1466*IF('01_Вводные'!$B$239="Да",MeanMinAge19+'19_Расчет_аналитики'!AH1571*SUMIF(ThresholdAge19,"&lt;"&amp;'19_Расчет_аналитики'!AH1571,WeightedRevAge19)-SUMIF(ThresholdAge19,"&lt;"&amp;'19_Расчет_аналитики'!AH1571,WeightedMinAge19),MAX(CapacityAge19*'01_Вводные'!$B$218*'19_Расчет_аналитики'!AH1571,MeanMinAge19)))</f>
        <v/>
      </c>
      <c r="AI1494">
        <f>IF(OR('19_Расчет_аналитики'!AI1466=0,19&lt;='01_Вводные'!$B$297),0,'19_Расчет_аналитики'!AI1466*IF('01_Вводные'!$B$239="Да",MeanMinAge19+'19_Расчет_аналитики'!AI1571*SUMIF(ThresholdAge19,"&lt;"&amp;'19_Расчет_аналитики'!AI1571,WeightedRevAge19)-SUMIF(ThresholdAge19,"&lt;"&amp;'19_Расчет_аналитики'!AI1571,WeightedMinAge19),MAX(CapacityAge19*'01_Вводные'!$B$218*'19_Расчет_аналитики'!AI1571,MeanMinAge19)))</f>
        <v/>
      </c>
      <c r="AJ1494">
        <f>IF(OR('19_Расчет_аналитики'!AJ1466=0,19&lt;='01_Вводные'!$B$297),0,'19_Расчет_аналитики'!AJ1466*IF('01_Вводные'!$B$239="Да",MeanMinAge19+'19_Расчет_аналитики'!AJ1571*SUMIF(ThresholdAge19,"&lt;"&amp;'19_Расчет_аналитики'!AJ1571,WeightedRevAge19)-SUMIF(ThresholdAge19,"&lt;"&amp;'19_Расчет_аналитики'!AJ1571,WeightedMinAge19),MAX(CapacityAge19*'01_Вводные'!$B$218*'19_Расчет_аналитики'!AJ1571,MeanMinAge19)))</f>
        <v/>
      </c>
      <c r="AK1494">
        <f>IF(OR('19_Расчет_аналитики'!AK1466=0,19&lt;='01_Вводные'!$B$297),0,'19_Расчет_аналитики'!AK1466*IF('01_Вводные'!$B$239="Да",MeanMinAge19+'19_Расчет_аналитики'!AK1571*SUMIF(ThresholdAge19,"&lt;"&amp;'19_Расчет_аналитики'!AK1571,WeightedRevAge19)-SUMIF(ThresholdAge19,"&lt;"&amp;'19_Расчет_аналитики'!AK1571,WeightedMinAge19),MAX(CapacityAge19*'01_Вводные'!$B$218*'19_Расчет_аналитики'!AK1571,MeanMinAge19)))</f>
        <v/>
      </c>
      <c r="AL1494">
        <f>IF(OR('19_Расчет_аналитики'!AL1466=0,19&lt;='01_Вводные'!$B$297),0,'19_Расчет_аналитики'!AL1466*IF('01_Вводные'!$B$239="Да",MeanMinAge19+'19_Расчет_аналитики'!AL1571*SUMIF(ThresholdAge19,"&lt;"&amp;'19_Расчет_аналитики'!AL1571,WeightedRevAge19)-SUMIF(ThresholdAge19,"&lt;"&amp;'19_Расчет_аналитики'!AL1571,WeightedMinAge19),MAX(CapacityAge19*'01_Вводные'!$B$218*'19_Расчет_аналитики'!AL1571,MeanMinAge19)))</f>
        <v/>
      </c>
      <c r="AM1494">
        <f>IF(OR('19_Расчет_аналитики'!AM1466=0,19&lt;='01_Вводные'!$B$297),0,'19_Расчет_аналитики'!AM1466*IF('01_Вводные'!$B$239="Да",MeanMinAge19+'19_Расчет_аналитики'!AM1571*SUMIF(ThresholdAge19,"&lt;"&amp;'19_Расчет_аналитики'!AM1571,WeightedRevAge19)-SUMIF(ThresholdAge19,"&lt;"&amp;'19_Расчет_аналитики'!AM1571,WeightedMinAge19),MAX(CapacityAge19*'01_Вводные'!$B$218*'19_Расчет_аналитики'!AM1571,MeanMinAge19)))</f>
        <v/>
      </c>
      <c r="AN1494">
        <f>IF(OR('19_Расчет_аналитики'!AN1466=0,19&lt;='01_Вводные'!$B$297),0,'19_Расчет_аналитики'!AN1466*IF('01_Вводные'!$B$239="Да",MeanMinAge19+'19_Расчет_аналитики'!AN1571*SUMIF(ThresholdAge19,"&lt;"&amp;'19_Расчет_аналитики'!AN1571,WeightedRevAge19)-SUMIF(ThresholdAge19,"&lt;"&amp;'19_Расчет_аналитики'!AN1571,WeightedMinAge19),MAX(CapacityAge19*'01_Вводные'!$B$218*'19_Расчет_аналитики'!AN1571,MeanMinAge19)))</f>
        <v/>
      </c>
      <c r="AO1494">
        <f>IF(OR('19_Расчет_аналитики'!AO1466=0,19&lt;='01_Вводные'!$B$297),0,'19_Расчет_аналитики'!AO1466*IF('01_Вводные'!$B$239="Да",MeanMinAge19+'19_Расчет_аналитики'!AO1571*SUMIF(ThresholdAge19,"&lt;"&amp;'19_Расчет_аналитики'!AO1571,WeightedRevAge19)-SUMIF(ThresholdAge19,"&lt;"&amp;'19_Расчет_аналитики'!AO1571,WeightedMinAge19),MAX(CapacityAge19*'01_Вводные'!$B$218*'19_Расчет_аналитики'!AO1571,MeanMinAge19)))</f>
        <v/>
      </c>
      <c r="AP1494">
        <f>IF(OR('19_Расчет_аналитики'!AP1466=0,19&lt;='01_Вводные'!$B$297),0,'19_Расчет_аналитики'!AP1466*IF('01_Вводные'!$B$239="Да",MeanMinAge19+'19_Расчет_аналитики'!AP1571*SUMIF(ThresholdAge19,"&lt;"&amp;'19_Расчет_аналитики'!AP1571,WeightedRevAge19)-SUMIF(ThresholdAge19,"&lt;"&amp;'19_Расчет_аналитики'!AP1571,WeightedMinAge19),MAX(CapacityAge19*'01_Вводные'!$B$218*'19_Расчет_аналитики'!AP1571,MeanMinAge19)))</f>
        <v/>
      </c>
      <c r="AQ1494">
        <f>IF(OR('19_Расчет_аналитики'!AQ1466=0,19&lt;='01_Вводные'!$B$297),0,'19_Расчет_аналитики'!AQ1466*IF('01_Вводные'!$B$239="Да",MeanMinAge19+'19_Расчет_аналитики'!AQ1571*SUMIF(ThresholdAge19,"&lt;"&amp;'19_Расчет_аналитики'!AQ1571,WeightedRevAge19)-SUMIF(ThresholdAge19,"&lt;"&amp;'19_Расчет_аналитики'!AQ1571,WeightedMinAge19),MAX(CapacityAge19*'01_Вводные'!$B$218*'19_Расчет_аналитики'!AQ1571,MeanMinAge19)))</f>
        <v/>
      </c>
      <c r="AR1494">
        <f>IF(OR('19_Расчет_аналитики'!AR1466=0,19&lt;='01_Вводные'!$B$297),0,'19_Расчет_аналитики'!AR1466*IF('01_Вводные'!$B$239="Да",MeanMinAge19+'19_Расчет_аналитики'!AR1571*SUMIF(ThresholdAge19,"&lt;"&amp;'19_Расчет_аналитики'!AR1571,WeightedRevAge19)-SUMIF(ThresholdAge19,"&lt;"&amp;'19_Расчет_аналитики'!AR1571,WeightedMinAge19),MAX(CapacityAge19*'01_Вводные'!$B$218*'19_Расчет_аналитики'!AR1571,MeanMinAge19)))</f>
        <v/>
      </c>
      <c r="AS1494">
        <f>IF(OR('19_Расчет_аналитики'!AS1466=0,19&lt;='01_Вводные'!$B$297),0,'19_Расчет_аналитики'!AS1466*IF('01_Вводные'!$B$239="Да",MeanMinAge19+'19_Расчет_аналитики'!AS1571*SUMIF(ThresholdAge19,"&lt;"&amp;'19_Расчет_аналитики'!AS1571,WeightedRevAge19)-SUMIF(ThresholdAge19,"&lt;"&amp;'19_Расчет_аналитики'!AS1571,WeightedMinAge19),MAX(CapacityAge19*'01_Вводные'!$B$218*'19_Расчет_аналитики'!AS1571,MeanMinAge19)))</f>
        <v/>
      </c>
      <c r="AT1494">
        <f>IF(OR('19_Расчет_аналитики'!AT1466=0,19&lt;='01_Вводные'!$B$297),0,'19_Расчет_аналитики'!AT1466*IF('01_Вводные'!$B$239="Да",MeanMinAge19+'19_Расчет_аналитики'!AT1571*SUMIF(ThresholdAge19,"&lt;"&amp;'19_Расчет_аналитики'!AT1571,WeightedRevAge19)-SUMIF(ThresholdAge19,"&lt;"&amp;'19_Расчет_аналитики'!AT1571,WeightedMinAge19),MAX(CapacityAge19*'01_Вводные'!$B$218*'19_Расчет_аналитики'!AT1571,MeanMinAge19)))</f>
        <v/>
      </c>
      <c r="AU1494">
        <f>IF(OR('19_Расчет_аналитики'!AU1466=0,19&lt;='01_Вводные'!$B$297),0,'19_Расчет_аналитики'!AU1466*IF('01_Вводные'!$B$239="Да",MeanMinAge19+'19_Расчет_аналитики'!AU1571*SUMIF(ThresholdAge19,"&lt;"&amp;'19_Расчет_аналитики'!AU1571,WeightedRevAge19)-SUMIF(ThresholdAge19,"&lt;"&amp;'19_Расчет_аналитики'!AU1571,WeightedMinAge19),MAX(CapacityAge19*'01_Вводные'!$B$218*'19_Расчет_аналитики'!AU1571,MeanMinAge19)))</f>
        <v/>
      </c>
      <c r="AV1494">
        <f>IF(OR('19_Расчет_аналитики'!AV1466=0,19&lt;='01_Вводные'!$B$297),0,'19_Расчет_аналитики'!AV1466*IF('01_Вводные'!$B$239="Да",MeanMinAge19+'19_Расчет_аналитики'!AV1571*SUMIF(ThresholdAge19,"&lt;"&amp;'19_Расчет_аналитики'!AV1571,WeightedRevAge19)-SUMIF(ThresholdAge19,"&lt;"&amp;'19_Расчет_аналитики'!AV1571,WeightedMinAge19),MAX(CapacityAge19*'01_Вводные'!$B$218*'19_Расчет_аналитики'!AV1571,MeanMinAge19)))</f>
        <v/>
      </c>
      <c r="AW1494">
        <f>IF(OR('19_Расчет_аналитики'!AW1466=0,19&lt;='01_Вводные'!$B$297),0,'19_Расчет_аналитики'!AW1466*IF('01_Вводные'!$B$239="Да",MeanMinAge19+'19_Расчет_аналитики'!AW1571*SUMIF(ThresholdAge19,"&lt;"&amp;'19_Расчет_аналитики'!AW1571,WeightedRevAge19)-SUMIF(ThresholdAge19,"&lt;"&amp;'19_Расчет_аналитики'!AW1571,WeightedMinAge19),MAX(CapacityAge19*'01_Вводные'!$B$218*'19_Расчет_аналитики'!AW1571,MeanMinAge19)))</f>
        <v/>
      </c>
      <c r="AX1494">
        <f>IF(OR('19_Расчет_аналитики'!AX1466=0,19&lt;='01_Вводные'!$B$297),0,'19_Расчет_аналитики'!AX1466*IF('01_Вводные'!$B$239="Да",MeanMinAge19+'19_Расчет_аналитики'!AX1571*SUMIF(ThresholdAge19,"&lt;"&amp;'19_Расчет_аналитики'!AX1571,WeightedRevAge19)-SUMIF(ThresholdAge19,"&lt;"&amp;'19_Расчет_аналитики'!AX1571,WeightedMinAge19),MAX(CapacityAge19*'01_Вводные'!$B$218*'19_Расчет_аналитики'!AX1571,MeanMinAge19)))</f>
        <v/>
      </c>
      <c r="AY1494">
        <f>IF(OR('19_Расчет_аналитики'!AY1466=0,19&lt;='01_Вводные'!$B$297),0,'19_Расчет_аналитики'!AY1466*IF('01_Вводные'!$B$239="Да",MeanMinAge19+'19_Расчет_аналитики'!AY1571*SUMIF(ThresholdAge19,"&lt;"&amp;'19_Расчет_аналитики'!AY1571,WeightedRevAge19)-SUMIF(ThresholdAge19,"&lt;"&amp;'19_Расчет_аналитики'!AY1571,WeightedMinAge19),MAX(CapacityAge19*'01_Вводные'!$B$218*'19_Расчет_аналитики'!AY1571,MeanMinAge19)))</f>
        <v/>
      </c>
      <c r="AZ1494">
        <f>IF(OR('19_Расчет_аналитики'!AZ1466=0,19&lt;='01_Вводные'!$B$297),0,'19_Расчет_аналитики'!AZ1466*IF('01_Вводные'!$B$239="Да",MeanMinAge19+'19_Расчет_аналитики'!AZ1571*SUMIF(ThresholdAge19,"&lt;"&amp;'19_Расчет_аналитики'!AZ1571,WeightedRevAge19)-SUMIF(ThresholdAge19,"&lt;"&amp;'19_Расчет_аналитики'!AZ1571,WeightedMinAge19),MAX(CapacityAge19*'01_Вводные'!$B$218*'19_Расчет_аналитики'!AZ1571,MeanMinAge19)))</f>
        <v/>
      </c>
      <c r="BA1494">
        <f>IF(OR('19_Расчет_аналитики'!BA1466=0,19&lt;='01_Вводные'!$B$297),0,'19_Расчет_аналитики'!BA1466*IF('01_Вводные'!$B$239="Да",MeanMinAge19+'19_Расчет_аналитики'!BA1571*SUMIF(ThresholdAge19,"&lt;"&amp;'19_Расчет_аналитики'!BA1571,WeightedRevAge19)-SUMIF(ThresholdAge19,"&lt;"&amp;'19_Расчет_аналитики'!BA1571,WeightedMinAge19),MAX(CapacityAge19*'01_Вводные'!$B$218*'19_Расчет_аналитики'!BA1571,MeanMinAge19)))</f>
        <v/>
      </c>
      <c r="BB1494">
        <f>IF(OR('19_Расчет_аналитики'!BB1466=0,19&lt;='01_Вводные'!$B$297),0,'19_Расчет_аналитики'!BB1466*IF('01_Вводные'!$B$239="Да",MeanMinAge19+'19_Расчет_аналитики'!BB1571*SUMIF(ThresholdAge19,"&lt;"&amp;'19_Расчет_аналитики'!BB1571,WeightedRevAge19)-SUMIF(ThresholdAge19,"&lt;"&amp;'19_Расчет_аналитики'!BB1571,WeightedMinAge19),MAX(CapacityAge19*'01_Вводные'!$B$218*'19_Расчет_аналитики'!BB1571,MeanMinAge19)))</f>
        <v/>
      </c>
      <c r="BC1494">
        <f>IF(OR('19_Расчет_аналитики'!BC1466=0,19&lt;='01_Вводные'!$B$297),0,'19_Расчет_аналитики'!BC1466*IF('01_Вводные'!$B$239="Да",MeanMinAge19+'19_Расчет_аналитики'!BC1571*SUMIF(ThresholdAge19,"&lt;"&amp;'19_Расчет_аналитики'!BC1571,WeightedRevAge19)-SUMIF(ThresholdAge19,"&lt;"&amp;'19_Расчет_аналитики'!BC1571,WeightedMinAge19),MAX(CapacityAge19*'01_Вводные'!$B$218*'19_Расчет_аналитики'!BC1571,MeanMinAge19)))</f>
        <v/>
      </c>
      <c r="BD1494">
        <f>IF(OR('19_Расчет_аналитики'!BD1466=0,19&lt;='01_Вводные'!$B$297),0,'19_Расчет_аналитики'!BD1466*IF('01_Вводные'!$B$239="Да",MeanMinAge19+'19_Расчет_аналитики'!BD1571*SUMIF(ThresholdAge19,"&lt;"&amp;'19_Расчет_аналитики'!BD1571,WeightedRevAge19)-SUMIF(ThresholdAge19,"&lt;"&amp;'19_Расчет_аналитики'!BD1571,WeightedMinAge19),MAX(CapacityAge19*'01_Вводные'!$B$218*'19_Расчет_аналитики'!BD1571,MeanMinAge19)))</f>
        <v/>
      </c>
      <c r="BE1494">
        <f>IF(OR('19_Расчет_аналитики'!BE1466=0,19&lt;='01_Вводные'!$B$297),0,'19_Расчет_аналитики'!BE1466*IF('01_Вводные'!$B$239="Да",MeanMinAge19+'19_Расчет_аналитики'!BE1571*SUMIF(ThresholdAge19,"&lt;"&amp;'19_Расчет_аналитики'!BE1571,WeightedRevAge19)-SUMIF(ThresholdAge19,"&lt;"&amp;'19_Расчет_аналитики'!BE1571,WeightedMinAge19),MAX(CapacityAge19*'01_Вводные'!$B$218*'19_Расчет_аналитики'!BE1571,MeanMinAge19)))</f>
        <v/>
      </c>
      <c r="BF1494">
        <f>IF(OR('19_Расчет_аналитики'!BF1466=0,19&lt;='01_Вводные'!$B$297),0,'19_Расчет_аналитики'!BF1466*IF('01_Вводные'!$B$239="Да",MeanMinAge19+'19_Расчет_аналитики'!BF1571*SUMIF(ThresholdAge19,"&lt;"&amp;'19_Расчет_аналитики'!BF1571,WeightedRevAge19)-SUMIF(ThresholdAge19,"&lt;"&amp;'19_Расчет_аналитики'!BF1571,WeightedMinAge19),MAX(CapacityAge19*'01_Вводные'!$B$218*'19_Расчет_аналитики'!BF1571,MeanMinAge19)))</f>
        <v/>
      </c>
      <c r="BG1494">
        <f>IF(OR('19_Расчет_аналитики'!BG1466=0,19&lt;='01_Вводные'!$B$297),0,'19_Расчет_аналитики'!BG1466*IF('01_Вводные'!$B$239="Да",MeanMinAge19+'19_Расчет_аналитики'!BG1571*SUMIF(ThresholdAge19,"&lt;"&amp;'19_Расчет_аналитики'!BG1571,WeightedRevAge19)-SUMIF(ThresholdAge19,"&lt;"&amp;'19_Расчет_аналитики'!BG1571,WeightedMinAge19),MAX(CapacityAge19*'01_Вводные'!$B$218*'19_Расчет_аналитики'!BG1571,MeanMinAge19)))</f>
        <v/>
      </c>
      <c r="BH1494">
        <f>IF(OR('19_Расчет_аналитики'!BH1466=0,19&lt;='01_Вводные'!$B$297),0,'19_Расчет_аналитики'!BH1466*IF('01_Вводные'!$B$239="Да",MeanMinAge19+'19_Расчет_аналитики'!BH1571*SUMIF(ThresholdAge19,"&lt;"&amp;'19_Расчет_аналитики'!BH1571,WeightedRevAge19)-SUMIF(ThresholdAge19,"&lt;"&amp;'19_Расчет_аналитики'!BH1571,WeightedMinAge19),MAX(CapacityAge19*'01_Вводные'!$B$218*'19_Расчет_аналитики'!BH1571,MeanMinAge19)))</f>
        <v/>
      </c>
      <c r="BI1494">
        <f>IF(OR('19_Расчет_аналитики'!BI1466=0,19&lt;='01_Вводные'!$B$297),0,'19_Расчет_аналитики'!BI1466*IF('01_Вводные'!$B$239="Да",MeanMinAge19+'19_Расчет_аналитики'!BI1571*SUMIF(ThresholdAge19,"&lt;"&amp;'19_Расчет_аналитики'!BI1571,WeightedRevAge19)-SUMIF(ThresholdAge19,"&lt;"&amp;'19_Расчет_аналитики'!BI1571,WeightedMinAge19),MAX(CapacityAge19*'01_Вводные'!$B$218*'19_Расчет_аналитики'!BI1571,MeanMinAge19)))</f>
        <v/>
      </c>
      <c r="BJ1494">
        <f>IF(OR('19_Расчет_аналитики'!BJ1466=0,19&lt;='01_Вводные'!$B$297),0,'19_Расчет_аналитики'!BJ1466*IF('01_Вводные'!$B$239="Да",MeanMinAge19+'19_Расчет_аналитики'!BJ1571*SUMIF(ThresholdAge19,"&lt;"&amp;'19_Расчет_аналитики'!BJ1571,WeightedRevAge19)-SUMIF(ThresholdAge19,"&lt;"&amp;'19_Расчет_аналитики'!BJ1571,WeightedMinAge19),MAX(CapacityAge19*'01_Вводные'!$B$218*'19_Расчет_аналитики'!BJ1571,MeanMinAge19)))</f>
        <v/>
      </c>
      <c r="BK1494">
        <f>IF(OR('19_Расчет_аналитики'!BK1466=0,19&lt;='01_Вводные'!$B$297),0,'19_Расчет_аналитики'!BK1466*IF('01_Вводные'!$B$239="Да",MeanMinAge19+'19_Расчет_аналитики'!BK1571*SUMIF(ThresholdAge19,"&lt;"&amp;'19_Расчет_аналитики'!BK1571,WeightedRevAge19)-SUMIF(ThresholdAge19,"&lt;"&amp;'19_Расчет_аналитики'!BK1571,WeightedMinAge19),MAX(CapacityAge19*'01_Вводные'!$B$218*'19_Расчет_аналитики'!BK1571,MeanMinAge19)))</f>
        <v/>
      </c>
      <c r="BL1494">
        <f>IF(OR('19_Расчет_аналитики'!BL1466=0,19&lt;='01_Вводные'!$B$297),0,'19_Расчет_аналитики'!BL1466*IF('01_Вводные'!$B$239="Да",MeanMinAge19+'19_Расчет_аналитики'!BL1571*SUMIF(ThresholdAge19,"&lt;"&amp;'19_Расчет_аналитики'!BL1571,WeightedRevAge19)-SUMIF(ThresholdAge19,"&lt;"&amp;'19_Расчет_аналитики'!BL1571,WeightedMinAge19),MAX(CapacityAge19*'01_Вводные'!$B$218*'19_Расчет_аналитики'!BL1571,MeanMinAge19)))</f>
        <v/>
      </c>
      <c r="BM1494">
        <f>IF(OR('19_Расчет_аналитики'!BM1466=0,19&lt;='01_Вводные'!$B$297),0,'19_Расчет_аналитики'!BM1466*IF('01_Вводные'!$B$239="Да",MeanMinAge19+'19_Расчет_аналитики'!BM1571*SUMIF(ThresholdAge19,"&lt;"&amp;'19_Расчет_аналитики'!BM1571,WeightedRevAge19)-SUMIF(ThresholdAge19,"&lt;"&amp;'19_Расчет_аналитики'!BM1571,WeightedMinAge19),MAX(CapacityAge19*'01_Вводные'!$B$218*'19_Расчет_аналитики'!BM1571,MeanMinAge19)))</f>
        <v/>
      </c>
      <c r="BN1494">
        <f>IF(OR('19_Расчет_аналитики'!BN1466=0,19&lt;='01_Вводные'!$B$297),0,'19_Расчет_аналитики'!BN1466*IF('01_Вводные'!$B$239="Да",MeanMinAge19+'19_Расчет_аналитики'!BN1571*SUMIF(ThresholdAge19,"&lt;"&amp;'19_Расчет_аналитики'!BN1571,WeightedRevAge19)-SUMIF(ThresholdAge19,"&lt;"&amp;'19_Расчет_аналитики'!BN1571,WeightedMinAge19),MAX(CapacityAge19*'01_Вводные'!$B$218*'19_Расчет_аналитики'!BN1571,MeanMinAge19)))</f>
        <v/>
      </c>
      <c r="BO1494">
        <f>IF(OR('19_Расчет_аналитики'!BO1466=0,19&lt;='01_Вводные'!$B$297),0,'19_Расчет_аналитики'!BO1466*IF('01_Вводные'!$B$239="Да",MeanMinAge19+'19_Расчет_аналитики'!BO1571*SUMIF(ThresholdAge19,"&lt;"&amp;'19_Расчет_аналитики'!BO1571,WeightedRevAge19)-SUMIF(ThresholdAge19,"&lt;"&amp;'19_Расчет_аналитики'!BO1571,WeightedMinAge19),MAX(CapacityAge19*'01_Вводные'!$B$218*'19_Расчет_аналитики'!BO1571,MeanMinAge19)))</f>
        <v/>
      </c>
    </row>
    <row r="1495">
      <c r="B1495">
        <f>IF(OR('06_Сеть_и_дети'!B100=0,20&lt;='01_Вводные'!$B$297),0,'06_Сеть_и_дети'!B100*IF('01_Вводные'!$B$239="Да",MeanMinAge20+'19_Расчет_аналитики'!B1571*SUMIF(ThresholdAge20,"&lt;"&amp;'19_Расчет_аналитики'!B1571,WeightedRevAge20)-SUMIF(ThresholdAge20,"&lt;"&amp;'19_Расчет_аналитики'!B1571,WeightedMinAge20),MAX(CapacityAge20*'01_Вводные'!$B$218*'19_Расчет_аналитики'!B1571,MeanMinAge20)))</f>
        <v/>
      </c>
      <c r="C1495">
        <f>IF(OR('06_Сеть_и_дети'!C100=0,20&lt;='01_Вводные'!$B$297),0,'06_Сеть_и_дети'!C100*IF('01_Вводные'!$B$239="Да",MeanMinAge20+'19_Расчет_аналитики'!C1571*SUMIF(ThresholdAge20,"&lt;"&amp;'19_Расчет_аналитики'!C1571,WeightedRevAge20)-SUMIF(ThresholdAge20,"&lt;"&amp;'19_Расчет_аналитики'!C1571,WeightedMinAge20),MAX(CapacityAge20*'01_Вводные'!$B$218*'19_Расчет_аналитики'!C1571,MeanMinAge20)))</f>
        <v/>
      </c>
      <c r="D1495">
        <f>IF(OR('06_Сеть_и_дети'!D100=0,20&lt;='01_Вводные'!$B$297),0,'06_Сеть_и_дети'!D100*IF('01_Вводные'!$B$239="Да",MeanMinAge20+'19_Расчет_аналитики'!D1571*SUMIF(ThresholdAge20,"&lt;"&amp;'19_Расчет_аналитики'!D1571,WeightedRevAge20)-SUMIF(ThresholdAge20,"&lt;"&amp;'19_Расчет_аналитики'!D1571,WeightedMinAge20),MAX(CapacityAge20*'01_Вводные'!$B$218*'19_Расчет_аналитики'!D1571,MeanMinAge20)))</f>
        <v/>
      </c>
      <c r="E1495">
        <f>IF(OR('06_Сеть_и_дети'!E100=0,20&lt;='01_Вводные'!$B$297),0,'06_Сеть_и_дети'!E100*IF('01_Вводные'!$B$239="Да",MeanMinAge20+'19_Расчет_аналитики'!E1571*SUMIF(ThresholdAge20,"&lt;"&amp;'19_Расчет_аналитики'!E1571,WeightedRevAge20)-SUMIF(ThresholdAge20,"&lt;"&amp;'19_Расчет_аналитики'!E1571,WeightedMinAge20),MAX(CapacityAge20*'01_Вводные'!$B$218*'19_Расчет_аналитики'!E1571,MeanMinAge20)))</f>
        <v/>
      </c>
      <c r="F1495">
        <f>IF(OR('06_Сеть_и_дети'!F100=0,20&lt;='01_Вводные'!$B$297),0,'06_Сеть_и_дети'!F100*IF('01_Вводные'!$B$239="Да",MeanMinAge20+'19_Расчет_аналитики'!F1571*SUMIF(ThresholdAge20,"&lt;"&amp;'19_Расчет_аналитики'!F1571,WeightedRevAge20)-SUMIF(ThresholdAge20,"&lt;"&amp;'19_Расчет_аналитики'!F1571,WeightedMinAge20),MAX(CapacityAge20*'01_Вводные'!$B$218*'19_Расчет_аналитики'!F1571,MeanMinAge20)))</f>
        <v/>
      </c>
      <c r="G1495">
        <f>IF(OR('06_Сеть_и_дети'!G100=0,20&lt;='01_Вводные'!$B$297),0,'06_Сеть_и_дети'!G100*IF('01_Вводные'!$B$239="Да",MeanMinAge20+'19_Расчет_аналитики'!G1571*SUMIF(ThresholdAge20,"&lt;"&amp;'19_Расчет_аналитики'!G1571,WeightedRevAge20)-SUMIF(ThresholdAge20,"&lt;"&amp;'19_Расчет_аналитики'!G1571,WeightedMinAge20),MAX(CapacityAge20*'01_Вводные'!$B$218*'19_Расчет_аналитики'!G1571,MeanMinAge20)))</f>
        <v/>
      </c>
      <c r="H1495">
        <f>IF(OR('06_Сеть_и_дети'!H100=0,20&lt;='01_Вводные'!$B$297),0,'06_Сеть_и_дети'!H100*IF('01_Вводные'!$B$239="Да",MeanMinAge20+'19_Расчет_аналитики'!H1571*SUMIF(ThresholdAge20,"&lt;"&amp;'19_Расчет_аналитики'!H1571,WeightedRevAge20)-SUMIF(ThresholdAge20,"&lt;"&amp;'19_Расчет_аналитики'!H1571,WeightedMinAge20),MAX(CapacityAge20*'01_Вводные'!$B$218*'19_Расчет_аналитики'!H1571,MeanMinAge20)))</f>
        <v/>
      </c>
      <c r="I1495">
        <f>IF(OR('06_Сеть_и_дети'!I100=0,20&lt;='01_Вводные'!$B$297),0,'06_Сеть_и_дети'!I100*IF('01_Вводные'!$B$239="Да",MeanMinAge20+'19_Расчет_аналитики'!I1571*SUMIF(ThresholdAge20,"&lt;"&amp;'19_Расчет_аналитики'!I1571,WeightedRevAge20)-SUMIF(ThresholdAge20,"&lt;"&amp;'19_Расчет_аналитики'!I1571,WeightedMinAge20),MAX(CapacityAge20*'01_Вводные'!$B$218*'19_Расчет_аналитики'!I1571,MeanMinAge20)))</f>
        <v/>
      </c>
      <c r="J1495">
        <f>IF(OR('06_Сеть_и_дети'!J100=0,20&lt;='01_Вводные'!$B$297),0,'06_Сеть_и_дети'!J100*IF('01_Вводные'!$B$239="Да",MeanMinAge20+'19_Расчет_аналитики'!J1571*SUMIF(ThresholdAge20,"&lt;"&amp;'19_Расчет_аналитики'!J1571,WeightedRevAge20)-SUMIF(ThresholdAge20,"&lt;"&amp;'19_Расчет_аналитики'!J1571,WeightedMinAge20),MAX(CapacityAge20*'01_Вводные'!$B$218*'19_Расчет_аналитики'!J1571,MeanMinAge20)))</f>
        <v/>
      </c>
      <c r="K1495">
        <f>IF(OR('06_Сеть_и_дети'!K100=0,20&lt;='01_Вводные'!$B$297),0,'06_Сеть_и_дети'!K100*IF('01_Вводные'!$B$239="Да",MeanMinAge20+'19_Расчет_аналитики'!K1571*SUMIF(ThresholdAge20,"&lt;"&amp;'19_Расчет_аналитики'!K1571,WeightedRevAge20)-SUMIF(ThresholdAge20,"&lt;"&amp;'19_Расчет_аналитики'!K1571,WeightedMinAge20),MAX(CapacityAge20*'01_Вводные'!$B$218*'19_Расчет_аналитики'!K1571,MeanMinAge20)))</f>
        <v/>
      </c>
      <c r="L1495">
        <f>IF(OR('06_Сеть_и_дети'!L100=0,20&lt;='01_Вводные'!$B$297),0,'06_Сеть_и_дети'!L100*IF('01_Вводные'!$B$239="Да",MeanMinAge20+'19_Расчет_аналитики'!L1571*SUMIF(ThresholdAge20,"&lt;"&amp;'19_Расчет_аналитики'!L1571,WeightedRevAge20)-SUMIF(ThresholdAge20,"&lt;"&amp;'19_Расчет_аналитики'!L1571,WeightedMinAge20),MAX(CapacityAge20*'01_Вводные'!$B$218*'19_Расчет_аналитики'!L1571,MeanMinAge20)))</f>
        <v/>
      </c>
      <c r="M1495">
        <f>IF(OR('06_Сеть_и_дети'!M100=0,20&lt;='01_Вводные'!$B$297),0,'06_Сеть_и_дети'!M100*IF('01_Вводные'!$B$239="Да",MeanMinAge20+'19_Расчет_аналитики'!M1571*SUMIF(ThresholdAge20,"&lt;"&amp;'19_Расчет_аналитики'!M1571,WeightedRevAge20)-SUMIF(ThresholdAge20,"&lt;"&amp;'19_Расчет_аналитики'!M1571,WeightedMinAge20),MAX(CapacityAge20*'01_Вводные'!$B$218*'19_Расчет_аналитики'!M1571,MeanMinAge20)))</f>
        <v/>
      </c>
      <c r="N1495">
        <f>IF(OR('06_Сеть_и_дети'!N100=0,20&lt;='01_Вводные'!$B$297),0,'06_Сеть_и_дети'!N100*IF('01_Вводные'!$B$239="Да",MeanMinAge20+'19_Расчет_аналитики'!N1571*SUMIF(ThresholdAge20,"&lt;"&amp;'19_Расчет_аналитики'!N1571,WeightedRevAge20)-SUMIF(ThresholdAge20,"&lt;"&amp;'19_Расчет_аналитики'!N1571,WeightedMinAge20),MAX(CapacityAge20*'01_Вводные'!$B$218*'19_Расчет_аналитики'!N1571,MeanMinAge20)))</f>
        <v/>
      </c>
      <c r="O1495">
        <f>IF(OR('06_Сеть_и_дети'!O100=0,20&lt;='01_Вводные'!$B$297),0,'06_Сеть_и_дети'!O100*IF('01_Вводные'!$B$239="Да",MeanMinAge20+'19_Расчет_аналитики'!O1571*SUMIF(ThresholdAge20,"&lt;"&amp;'19_Расчет_аналитики'!O1571,WeightedRevAge20)-SUMIF(ThresholdAge20,"&lt;"&amp;'19_Расчет_аналитики'!O1571,WeightedMinAge20),MAX(CapacityAge20*'01_Вводные'!$B$218*'19_Расчет_аналитики'!O1571,MeanMinAge20)))</f>
        <v/>
      </c>
      <c r="P1495">
        <f>IF(OR('06_Сеть_и_дети'!P100=0,20&lt;='01_Вводные'!$B$297),0,'06_Сеть_и_дети'!P100*IF('01_Вводные'!$B$239="Да",MeanMinAge20+'19_Расчет_аналитики'!P1571*SUMIF(ThresholdAge20,"&lt;"&amp;'19_Расчет_аналитики'!P1571,WeightedRevAge20)-SUMIF(ThresholdAge20,"&lt;"&amp;'19_Расчет_аналитики'!P1571,WeightedMinAge20),MAX(CapacityAge20*'01_Вводные'!$B$218*'19_Расчет_аналитики'!P1571,MeanMinAge20)))</f>
        <v/>
      </c>
      <c r="Q1495">
        <f>IF(OR('06_Сеть_и_дети'!Q100=0,20&lt;='01_Вводные'!$B$297),0,'06_Сеть_и_дети'!Q100*IF('01_Вводные'!$B$239="Да",MeanMinAge20+'19_Расчет_аналитики'!Q1571*SUMIF(ThresholdAge20,"&lt;"&amp;'19_Расчет_аналитики'!Q1571,WeightedRevAge20)-SUMIF(ThresholdAge20,"&lt;"&amp;'19_Расчет_аналитики'!Q1571,WeightedMinAge20),MAX(CapacityAge20*'01_Вводные'!$B$218*'19_Расчет_аналитики'!Q1571,MeanMinAge20)))</f>
        <v/>
      </c>
      <c r="R1495">
        <f>IF(OR('06_Сеть_и_дети'!R100=0,20&lt;='01_Вводные'!$B$297),0,'06_Сеть_и_дети'!R100*IF('01_Вводные'!$B$239="Да",MeanMinAge20+'19_Расчет_аналитики'!R1571*SUMIF(ThresholdAge20,"&lt;"&amp;'19_Расчет_аналитики'!R1571,WeightedRevAge20)-SUMIF(ThresholdAge20,"&lt;"&amp;'19_Расчет_аналитики'!R1571,WeightedMinAge20),MAX(CapacityAge20*'01_Вводные'!$B$218*'19_Расчет_аналитики'!R1571,MeanMinAge20)))</f>
        <v/>
      </c>
      <c r="S1495">
        <f>IF(OR('06_Сеть_и_дети'!S100=0,20&lt;='01_Вводные'!$B$297),0,'06_Сеть_и_дети'!S100*IF('01_Вводные'!$B$239="Да",MeanMinAge20+'19_Расчет_аналитики'!S1571*SUMIF(ThresholdAge20,"&lt;"&amp;'19_Расчет_аналитики'!S1571,WeightedRevAge20)-SUMIF(ThresholdAge20,"&lt;"&amp;'19_Расчет_аналитики'!S1571,WeightedMinAge20),MAX(CapacityAge20*'01_Вводные'!$B$218*'19_Расчет_аналитики'!S1571,MeanMinAge20)))</f>
        <v/>
      </c>
      <c r="T1495">
        <f>IF(OR('06_Сеть_и_дети'!T100=0,20&lt;='01_Вводные'!$B$297),0,'06_Сеть_и_дети'!T100*IF('01_Вводные'!$B$239="Да",MeanMinAge20+'19_Расчет_аналитики'!T1571*SUMIF(ThresholdAge20,"&lt;"&amp;'19_Расчет_аналитики'!T1571,WeightedRevAge20)-SUMIF(ThresholdAge20,"&lt;"&amp;'19_Расчет_аналитики'!T1571,WeightedMinAge20),MAX(CapacityAge20*'01_Вводные'!$B$218*'19_Расчет_аналитики'!T1571,MeanMinAge20)))</f>
        <v/>
      </c>
      <c r="U1495">
        <f>IF(OR('19_Расчет_аналитики'!U1467=0,20&lt;='01_Вводные'!$B$297),0,'19_Расчет_аналитики'!U1467*IF('01_Вводные'!$B$239="Да",MeanMinAge20+'19_Расчет_аналитики'!U1571*SUMIF(ThresholdAge20,"&lt;"&amp;'19_Расчет_аналитики'!U1571,WeightedRevAge20)-SUMIF(ThresholdAge20,"&lt;"&amp;'19_Расчет_аналитики'!U1571,WeightedMinAge20),MAX(CapacityAge20*'01_Вводные'!$B$218*'19_Расчет_аналитики'!U1571,MeanMinAge20)))</f>
        <v/>
      </c>
      <c r="V1495">
        <f>IF(OR('19_Расчет_аналитики'!V1467=0,20&lt;='01_Вводные'!$B$297),0,'19_Расчет_аналитики'!V1467*IF('01_Вводные'!$B$239="Да",MeanMinAge20+'19_Расчет_аналитики'!V1571*SUMIF(ThresholdAge20,"&lt;"&amp;'19_Расчет_аналитики'!V1571,WeightedRevAge20)-SUMIF(ThresholdAge20,"&lt;"&amp;'19_Расчет_аналитики'!V1571,WeightedMinAge20),MAX(CapacityAge20*'01_Вводные'!$B$218*'19_Расчет_аналитики'!V1571,MeanMinAge20)))</f>
        <v/>
      </c>
      <c r="W1495">
        <f>IF(OR('19_Расчет_аналитики'!W1467=0,20&lt;='01_Вводные'!$B$297),0,'19_Расчет_аналитики'!W1467*IF('01_Вводные'!$B$239="Да",MeanMinAge20+'19_Расчет_аналитики'!W1571*SUMIF(ThresholdAge20,"&lt;"&amp;'19_Расчет_аналитики'!W1571,WeightedRevAge20)-SUMIF(ThresholdAge20,"&lt;"&amp;'19_Расчет_аналитики'!W1571,WeightedMinAge20),MAX(CapacityAge20*'01_Вводные'!$B$218*'19_Расчет_аналитики'!W1571,MeanMinAge20)))</f>
        <v/>
      </c>
      <c r="X1495">
        <f>IF(OR('19_Расчет_аналитики'!X1467=0,20&lt;='01_Вводные'!$B$297),0,'19_Расчет_аналитики'!X1467*IF('01_Вводные'!$B$239="Да",MeanMinAge20+'19_Расчет_аналитики'!X1571*SUMIF(ThresholdAge20,"&lt;"&amp;'19_Расчет_аналитики'!X1571,WeightedRevAge20)-SUMIF(ThresholdAge20,"&lt;"&amp;'19_Расчет_аналитики'!X1571,WeightedMinAge20),MAX(CapacityAge20*'01_Вводные'!$B$218*'19_Расчет_аналитики'!X1571,MeanMinAge20)))</f>
        <v/>
      </c>
      <c r="Y1495">
        <f>IF(OR('19_Расчет_аналитики'!Y1467=0,20&lt;='01_Вводные'!$B$297),0,'19_Расчет_аналитики'!Y1467*IF('01_Вводные'!$B$239="Да",MeanMinAge20+'19_Расчет_аналитики'!Y1571*SUMIF(ThresholdAge20,"&lt;"&amp;'19_Расчет_аналитики'!Y1571,WeightedRevAge20)-SUMIF(ThresholdAge20,"&lt;"&amp;'19_Расчет_аналитики'!Y1571,WeightedMinAge20),MAX(CapacityAge20*'01_Вводные'!$B$218*'19_Расчет_аналитики'!Y1571,MeanMinAge20)))</f>
        <v/>
      </c>
      <c r="Z1495">
        <f>IF(OR('19_Расчет_аналитики'!Z1467=0,20&lt;='01_Вводные'!$B$297),0,'19_Расчет_аналитики'!Z1467*IF('01_Вводные'!$B$239="Да",MeanMinAge20+'19_Расчет_аналитики'!Z1571*SUMIF(ThresholdAge20,"&lt;"&amp;'19_Расчет_аналитики'!Z1571,WeightedRevAge20)-SUMIF(ThresholdAge20,"&lt;"&amp;'19_Расчет_аналитики'!Z1571,WeightedMinAge20),MAX(CapacityAge20*'01_Вводные'!$B$218*'19_Расчет_аналитики'!Z1571,MeanMinAge20)))</f>
        <v/>
      </c>
      <c r="AA1495">
        <f>IF(OR('19_Расчет_аналитики'!AA1467=0,20&lt;='01_Вводные'!$B$297),0,'19_Расчет_аналитики'!AA1467*IF('01_Вводные'!$B$239="Да",MeanMinAge20+'19_Расчет_аналитики'!AA1571*SUMIF(ThresholdAge20,"&lt;"&amp;'19_Расчет_аналитики'!AA1571,WeightedRevAge20)-SUMIF(ThresholdAge20,"&lt;"&amp;'19_Расчет_аналитики'!AA1571,WeightedMinAge20),MAX(CapacityAge20*'01_Вводные'!$B$218*'19_Расчет_аналитики'!AA1571,MeanMinAge20)))</f>
        <v/>
      </c>
      <c r="AB1495">
        <f>IF(OR('19_Расчет_аналитики'!AB1467=0,20&lt;='01_Вводные'!$B$297),0,'19_Расчет_аналитики'!AB1467*IF('01_Вводные'!$B$239="Да",MeanMinAge20+'19_Расчет_аналитики'!AB1571*SUMIF(ThresholdAge20,"&lt;"&amp;'19_Расчет_аналитики'!AB1571,WeightedRevAge20)-SUMIF(ThresholdAge20,"&lt;"&amp;'19_Расчет_аналитики'!AB1571,WeightedMinAge20),MAX(CapacityAge20*'01_Вводные'!$B$218*'19_Расчет_аналитики'!AB1571,MeanMinAge20)))</f>
        <v/>
      </c>
      <c r="AC1495">
        <f>IF(OR('19_Расчет_аналитики'!AC1467=0,20&lt;='01_Вводные'!$B$297),0,'19_Расчет_аналитики'!AC1467*IF('01_Вводные'!$B$239="Да",MeanMinAge20+'19_Расчет_аналитики'!AC1571*SUMIF(ThresholdAge20,"&lt;"&amp;'19_Расчет_аналитики'!AC1571,WeightedRevAge20)-SUMIF(ThresholdAge20,"&lt;"&amp;'19_Расчет_аналитики'!AC1571,WeightedMinAge20),MAX(CapacityAge20*'01_Вводные'!$B$218*'19_Расчет_аналитики'!AC1571,MeanMinAge20)))</f>
        <v/>
      </c>
      <c r="AD1495">
        <f>IF(OR('19_Расчет_аналитики'!AD1467=0,20&lt;='01_Вводные'!$B$297),0,'19_Расчет_аналитики'!AD1467*IF('01_Вводные'!$B$239="Да",MeanMinAge20+'19_Расчет_аналитики'!AD1571*SUMIF(ThresholdAge20,"&lt;"&amp;'19_Расчет_аналитики'!AD1571,WeightedRevAge20)-SUMIF(ThresholdAge20,"&lt;"&amp;'19_Расчет_аналитики'!AD1571,WeightedMinAge20),MAX(CapacityAge20*'01_Вводные'!$B$218*'19_Расчет_аналитики'!AD1571,MeanMinAge20)))</f>
        <v/>
      </c>
      <c r="AE1495">
        <f>IF(OR('19_Расчет_аналитики'!AE1467=0,20&lt;='01_Вводные'!$B$297),0,'19_Расчет_аналитики'!AE1467*IF('01_Вводные'!$B$239="Да",MeanMinAge20+'19_Расчет_аналитики'!AE1571*SUMIF(ThresholdAge20,"&lt;"&amp;'19_Расчет_аналитики'!AE1571,WeightedRevAge20)-SUMIF(ThresholdAge20,"&lt;"&amp;'19_Расчет_аналитики'!AE1571,WeightedMinAge20),MAX(CapacityAge20*'01_Вводные'!$B$218*'19_Расчет_аналитики'!AE1571,MeanMinAge20)))</f>
        <v/>
      </c>
      <c r="AF1495">
        <f>IF(OR('19_Расчет_аналитики'!AF1467=0,20&lt;='01_Вводные'!$B$297),0,'19_Расчет_аналитики'!AF1467*IF('01_Вводные'!$B$239="Да",MeanMinAge20+'19_Расчет_аналитики'!AF1571*SUMIF(ThresholdAge20,"&lt;"&amp;'19_Расчет_аналитики'!AF1571,WeightedRevAge20)-SUMIF(ThresholdAge20,"&lt;"&amp;'19_Расчет_аналитики'!AF1571,WeightedMinAge20),MAX(CapacityAge20*'01_Вводные'!$B$218*'19_Расчет_аналитики'!AF1571,MeanMinAge20)))</f>
        <v/>
      </c>
      <c r="AG1495">
        <f>IF(OR('19_Расчет_аналитики'!AG1467=0,20&lt;='01_Вводные'!$B$297),0,'19_Расчет_аналитики'!AG1467*IF('01_Вводные'!$B$239="Да",MeanMinAge20+'19_Расчет_аналитики'!AG1571*SUMIF(ThresholdAge20,"&lt;"&amp;'19_Расчет_аналитики'!AG1571,WeightedRevAge20)-SUMIF(ThresholdAge20,"&lt;"&amp;'19_Расчет_аналитики'!AG1571,WeightedMinAge20),MAX(CapacityAge20*'01_Вводные'!$B$218*'19_Расчет_аналитики'!AG1571,MeanMinAge20)))</f>
        <v/>
      </c>
      <c r="AH1495">
        <f>IF(OR('19_Расчет_аналитики'!AH1467=0,20&lt;='01_Вводные'!$B$297),0,'19_Расчет_аналитики'!AH1467*IF('01_Вводные'!$B$239="Да",MeanMinAge20+'19_Расчет_аналитики'!AH1571*SUMIF(ThresholdAge20,"&lt;"&amp;'19_Расчет_аналитики'!AH1571,WeightedRevAge20)-SUMIF(ThresholdAge20,"&lt;"&amp;'19_Расчет_аналитики'!AH1571,WeightedMinAge20),MAX(CapacityAge20*'01_Вводные'!$B$218*'19_Расчет_аналитики'!AH1571,MeanMinAge20)))</f>
        <v/>
      </c>
      <c r="AI1495">
        <f>IF(OR('19_Расчет_аналитики'!AI1467=0,20&lt;='01_Вводные'!$B$297),0,'19_Расчет_аналитики'!AI1467*IF('01_Вводные'!$B$239="Да",MeanMinAge20+'19_Расчет_аналитики'!AI1571*SUMIF(ThresholdAge20,"&lt;"&amp;'19_Расчет_аналитики'!AI1571,WeightedRevAge20)-SUMIF(ThresholdAge20,"&lt;"&amp;'19_Расчет_аналитики'!AI1571,WeightedMinAge20),MAX(CapacityAge20*'01_Вводные'!$B$218*'19_Расчет_аналитики'!AI1571,MeanMinAge20)))</f>
        <v/>
      </c>
      <c r="AJ1495">
        <f>IF(OR('19_Расчет_аналитики'!AJ1467=0,20&lt;='01_Вводные'!$B$297),0,'19_Расчет_аналитики'!AJ1467*IF('01_Вводные'!$B$239="Да",MeanMinAge20+'19_Расчет_аналитики'!AJ1571*SUMIF(ThresholdAge20,"&lt;"&amp;'19_Расчет_аналитики'!AJ1571,WeightedRevAge20)-SUMIF(ThresholdAge20,"&lt;"&amp;'19_Расчет_аналитики'!AJ1571,WeightedMinAge20),MAX(CapacityAge20*'01_Вводные'!$B$218*'19_Расчет_аналитики'!AJ1571,MeanMinAge20)))</f>
        <v/>
      </c>
      <c r="AK1495">
        <f>IF(OR('19_Расчет_аналитики'!AK1467=0,20&lt;='01_Вводные'!$B$297),0,'19_Расчет_аналитики'!AK1467*IF('01_Вводные'!$B$239="Да",MeanMinAge20+'19_Расчет_аналитики'!AK1571*SUMIF(ThresholdAge20,"&lt;"&amp;'19_Расчет_аналитики'!AK1571,WeightedRevAge20)-SUMIF(ThresholdAge20,"&lt;"&amp;'19_Расчет_аналитики'!AK1571,WeightedMinAge20),MAX(CapacityAge20*'01_Вводные'!$B$218*'19_Расчет_аналитики'!AK1571,MeanMinAge20)))</f>
        <v/>
      </c>
      <c r="AL1495">
        <f>IF(OR('19_Расчет_аналитики'!AL1467=0,20&lt;='01_Вводные'!$B$297),0,'19_Расчет_аналитики'!AL1467*IF('01_Вводные'!$B$239="Да",MeanMinAge20+'19_Расчет_аналитики'!AL1571*SUMIF(ThresholdAge20,"&lt;"&amp;'19_Расчет_аналитики'!AL1571,WeightedRevAge20)-SUMIF(ThresholdAge20,"&lt;"&amp;'19_Расчет_аналитики'!AL1571,WeightedMinAge20),MAX(CapacityAge20*'01_Вводные'!$B$218*'19_Расчет_аналитики'!AL1571,MeanMinAge20)))</f>
        <v/>
      </c>
      <c r="AM1495">
        <f>IF(OR('19_Расчет_аналитики'!AM1467=0,20&lt;='01_Вводные'!$B$297),0,'19_Расчет_аналитики'!AM1467*IF('01_Вводные'!$B$239="Да",MeanMinAge20+'19_Расчет_аналитики'!AM1571*SUMIF(ThresholdAge20,"&lt;"&amp;'19_Расчет_аналитики'!AM1571,WeightedRevAge20)-SUMIF(ThresholdAge20,"&lt;"&amp;'19_Расчет_аналитики'!AM1571,WeightedMinAge20),MAX(CapacityAge20*'01_Вводные'!$B$218*'19_Расчет_аналитики'!AM1571,MeanMinAge20)))</f>
        <v/>
      </c>
      <c r="AN1495">
        <f>IF(OR('19_Расчет_аналитики'!AN1467=0,20&lt;='01_Вводные'!$B$297),0,'19_Расчет_аналитики'!AN1467*IF('01_Вводные'!$B$239="Да",MeanMinAge20+'19_Расчет_аналитики'!AN1571*SUMIF(ThresholdAge20,"&lt;"&amp;'19_Расчет_аналитики'!AN1571,WeightedRevAge20)-SUMIF(ThresholdAge20,"&lt;"&amp;'19_Расчет_аналитики'!AN1571,WeightedMinAge20),MAX(CapacityAge20*'01_Вводные'!$B$218*'19_Расчет_аналитики'!AN1571,MeanMinAge20)))</f>
        <v/>
      </c>
      <c r="AO1495">
        <f>IF(OR('19_Расчет_аналитики'!AO1467=0,20&lt;='01_Вводные'!$B$297),0,'19_Расчет_аналитики'!AO1467*IF('01_Вводные'!$B$239="Да",MeanMinAge20+'19_Расчет_аналитики'!AO1571*SUMIF(ThresholdAge20,"&lt;"&amp;'19_Расчет_аналитики'!AO1571,WeightedRevAge20)-SUMIF(ThresholdAge20,"&lt;"&amp;'19_Расчет_аналитики'!AO1571,WeightedMinAge20),MAX(CapacityAge20*'01_Вводные'!$B$218*'19_Расчет_аналитики'!AO1571,MeanMinAge20)))</f>
        <v/>
      </c>
      <c r="AP1495">
        <f>IF(OR('19_Расчет_аналитики'!AP1467=0,20&lt;='01_Вводные'!$B$297),0,'19_Расчет_аналитики'!AP1467*IF('01_Вводные'!$B$239="Да",MeanMinAge20+'19_Расчет_аналитики'!AP1571*SUMIF(ThresholdAge20,"&lt;"&amp;'19_Расчет_аналитики'!AP1571,WeightedRevAge20)-SUMIF(ThresholdAge20,"&lt;"&amp;'19_Расчет_аналитики'!AP1571,WeightedMinAge20),MAX(CapacityAge20*'01_Вводные'!$B$218*'19_Расчет_аналитики'!AP1571,MeanMinAge20)))</f>
        <v/>
      </c>
      <c r="AQ1495">
        <f>IF(OR('19_Расчет_аналитики'!AQ1467=0,20&lt;='01_Вводные'!$B$297),0,'19_Расчет_аналитики'!AQ1467*IF('01_Вводные'!$B$239="Да",MeanMinAge20+'19_Расчет_аналитики'!AQ1571*SUMIF(ThresholdAge20,"&lt;"&amp;'19_Расчет_аналитики'!AQ1571,WeightedRevAge20)-SUMIF(ThresholdAge20,"&lt;"&amp;'19_Расчет_аналитики'!AQ1571,WeightedMinAge20),MAX(CapacityAge20*'01_Вводные'!$B$218*'19_Расчет_аналитики'!AQ1571,MeanMinAge20)))</f>
        <v/>
      </c>
      <c r="AR1495">
        <f>IF(OR('19_Расчет_аналитики'!AR1467=0,20&lt;='01_Вводные'!$B$297),0,'19_Расчет_аналитики'!AR1467*IF('01_Вводные'!$B$239="Да",MeanMinAge20+'19_Расчет_аналитики'!AR1571*SUMIF(ThresholdAge20,"&lt;"&amp;'19_Расчет_аналитики'!AR1571,WeightedRevAge20)-SUMIF(ThresholdAge20,"&lt;"&amp;'19_Расчет_аналитики'!AR1571,WeightedMinAge20),MAX(CapacityAge20*'01_Вводные'!$B$218*'19_Расчет_аналитики'!AR1571,MeanMinAge20)))</f>
        <v/>
      </c>
      <c r="AS1495">
        <f>IF(OR('19_Расчет_аналитики'!AS1467=0,20&lt;='01_Вводные'!$B$297),0,'19_Расчет_аналитики'!AS1467*IF('01_Вводные'!$B$239="Да",MeanMinAge20+'19_Расчет_аналитики'!AS1571*SUMIF(ThresholdAge20,"&lt;"&amp;'19_Расчет_аналитики'!AS1571,WeightedRevAge20)-SUMIF(ThresholdAge20,"&lt;"&amp;'19_Расчет_аналитики'!AS1571,WeightedMinAge20),MAX(CapacityAge20*'01_Вводные'!$B$218*'19_Расчет_аналитики'!AS1571,MeanMinAge20)))</f>
        <v/>
      </c>
      <c r="AT1495">
        <f>IF(OR('19_Расчет_аналитики'!AT1467=0,20&lt;='01_Вводные'!$B$297),0,'19_Расчет_аналитики'!AT1467*IF('01_Вводные'!$B$239="Да",MeanMinAge20+'19_Расчет_аналитики'!AT1571*SUMIF(ThresholdAge20,"&lt;"&amp;'19_Расчет_аналитики'!AT1571,WeightedRevAge20)-SUMIF(ThresholdAge20,"&lt;"&amp;'19_Расчет_аналитики'!AT1571,WeightedMinAge20),MAX(CapacityAge20*'01_Вводные'!$B$218*'19_Расчет_аналитики'!AT1571,MeanMinAge20)))</f>
        <v/>
      </c>
      <c r="AU1495">
        <f>IF(OR('19_Расчет_аналитики'!AU1467=0,20&lt;='01_Вводные'!$B$297),0,'19_Расчет_аналитики'!AU1467*IF('01_Вводные'!$B$239="Да",MeanMinAge20+'19_Расчет_аналитики'!AU1571*SUMIF(ThresholdAge20,"&lt;"&amp;'19_Расчет_аналитики'!AU1571,WeightedRevAge20)-SUMIF(ThresholdAge20,"&lt;"&amp;'19_Расчет_аналитики'!AU1571,WeightedMinAge20),MAX(CapacityAge20*'01_Вводные'!$B$218*'19_Расчет_аналитики'!AU1571,MeanMinAge20)))</f>
        <v/>
      </c>
      <c r="AV1495">
        <f>IF(OR('19_Расчет_аналитики'!AV1467=0,20&lt;='01_Вводные'!$B$297),0,'19_Расчет_аналитики'!AV1467*IF('01_Вводные'!$B$239="Да",MeanMinAge20+'19_Расчет_аналитики'!AV1571*SUMIF(ThresholdAge20,"&lt;"&amp;'19_Расчет_аналитики'!AV1571,WeightedRevAge20)-SUMIF(ThresholdAge20,"&lt;"&amp;'19_Расчет_аналитики'!AV1571,WeightedMinAge20),MAX(CapacityAge20*'01_Вводные'!$B$218*'19_Расчет_аналитики'!AV1571,MeanMinAge20)))</f>
        <v/>
      </c>
      <c r="AW1495">
        <f>IF(OR('19_Расчет_аналитики'!AW1467=0,20&lt;='01_Вводные'!$B$297),0,'19_Расчет_аналитики'!AW1467*IF('01_Вводные'!$B$239="Да",MeanMinAge20+'19_Расчет_аналитики'!AW1571*SUMIF(ThresholdAge20,"&lt;"&amp;'19_Расчет_аналитики'!AW1571,WeightedRevAge20)-SUMIF(ThresholdAge20,"&lt;"&amp;'19_Расчет_аналитики'!AW1571,WeightedMinAge20),MAX(CapacityAge20*'01_Вводные'!$B$218*'19_Расчет_аналитики'!AW1571,MeanMinAge20)))</f>
        <v/>
      </c>
      <c r="AX1495">
        <f>IF(OR('19_Расчет_аналитики'!AX1467=0,20&lt;='01_Вводные'!$B$297),0,'19_Расчет_аналитики'!AX1467*IF('01_Вводные'!$B$239="Да",MeanMinAge20+'19_Расчет_аналитики'!AX1571*SUMIF(ThresholdAge20,"&lt;"&amp;'19_Расчет_аналитики'!AX1571,WeightedRevAge20)-SUMIF(ThresholdAge20,"&lt;"&amp;'19_Расчет_аналитики'!AX1571,WeightedMinAge20),MAX(CapacityAge20*'01_Вводные'!$B$218*'19_Расчет_аналитики'!AX1571,MeanMinAge20)))</f>
        <v/>
      </c>
      <c r="AY1495">
        <f>IF(OR('19_Расчет_аналитики'!AY1467=0,20&lt;='01_Вводные'!$B$297),0,'19_Расчет_аналитики'!AY1467*IF('01_Вводные'!$B$239="Да",MeanMinAge20+'19_Расчет_аналитики'!AY1571*SUMIF(ThresholdAge20,"&lt;"&amp;'19_Расчет_аналитики'!AY1571,WeightedRevAge20)-SUMIF(ThresholdAge20,"&lt;"&amp;'19_Расчет_аналитики'!AY1571,WeightedMinAge20),MAX(CapacityAge20*'01_Вводные'!$B$218*'19_Расчет_аналитики'!AY1571,MeanMinAge20)))</f>
        <v/>
      </c>
      <c r="AZ1495">
        <f>IF(OR('19_Расчет_аналитики'!AZ1467=0,20&lt;='01_Вводные'!$B$297),0,'19_Расчет_аналитики'!AZ1467*IF('01_Вводные'!$B$239="Да",MeanMinAge20+'19_Расчет_аналитики'!AZ1571*SUMIF(ThresholdAge20,"&lt;"&amp;'19_Расчет_аналитики'!AZ1571,WeightedRevAge20)-SUMIF(ThresholdAge20,"&lt;"&amp;'19_Расчет_аналитики'!AZ1571,WeightedMinAge20),MAX(CapacityAge20*'01_Вводные'!$B$218*'19_Расчет_аналитики'!AZ1571,MeanMinAge20)))</f>
        <v/>
      </c>
      <c r="BA1495">
        <f>IF(OR('19_Расчет_аналитики'!BA1467=0,20&lt;='01_Вводные'!$B$297),0,'19_Расчет_аналитики'!BA1467*IF('01_Вводные'!$B$239="Да",MeanMinAge20+'19_Расчет_аналитики'!BA1571*SUMIF(ThresholdAge20,"&lt;"&amp;'19_Расчет_аналитики'!BA1571,WeightedRevAge20)-SUMIF(ThresholdAge20,"&lt;"&amp;'19_Расчет_аналитики'!BA1571,WeightedMinAge20),MAX(CapacityAge20*'01_Вводные'!$B$218*'19_Расчет_аналитики'!BA1571,MeanMinAge20)))</f>
        <v/>
      </c>
      <c r="BB1495">
        <f>IF(OR('19_Расчет_аналитики'!BB1467=0,20&lt;='01_Вводные'!$B$297),0,'19_Расчет_аналитики'!BB1467*IF('01_Вводные'!$B$239="Да",MeanMinAge20+'19_Расчет_аналитики'!BB1571*SUMIF(ThresholdAge20,"&lt;"&amp;'19_Расчет_аналитики'!BB1571,WeightedRevAge20)-SUMIF(ThresholdAge20,"&lt;"&amp;'19_Расчет_аналитики'!BB1571,WeightedMinAge20),MAX(CapacityAge20*'01_Вводные'!$B$218*'19_Расчет_аналитики'!BB1571,MeanMinAge20)))</f>
        <v/>
      </c>
      <c r="BC1495">
        <f>IF(OR('19_Расчет_аналитики'!BC1467=0,20&lt;='01_Вводные'!$B$297),0,'19_Расчет_аналитики'!BC1467*IF('01_Вводные'!$B$239="Да",MeanMinAge20+'19_Расчет_аналитики'!BC1571*SUMIF(ThresholdAge20,"&lt;"&amp;'19_Расчет_аналитики'!BC1571,WeightedRevAge20)-SUMIF(ThresholdAge20,"&lt;"&amp;'19_Расчет_аналитики'!BC1571,WeightedMinAge20),MAX(CapacityAge20*'01_Вводные'!$B$218*'19_Расчет_аналитики'!BC1571,MeanMinAge20)))</f>
        <v/>
      </c>
      <c r="BD1495">
        <f>IF(OR('19_Расчет_аналитики'!BD1467=0,20&lt;='01_Вводные'!$B$297),0,'19_Расчет_аналитики'!BD1467*IF('01_Вводные'!$B$239="Да",MeanMinAge20+'19_Расчет_аналитики'!BD1571*SUMIF(ThresholdAge20,"&lt;"&amp;'19_Расчет_аналитики'!BD1571,WeightedRevAge20)-SUMIF(ThresholdAge20,"&lt;"&amp;'19_Расчет_аналитики'!BD1571,WeightedMinAge20),MAX(CapacityAge20*'01_Вводные'!$B$218*'19_Расчет_аналитики'!BD1571,MeanMinAge20)))</f>
        <v/>
      </c>
      <c r="BE1495">
        <f>IF(OR('19_Расчет_аналитики'!BE1467=0,20&lt;='01_Вводные'!$B$297),0,'19_Расчет_аналитики'!BE1467*IF('01_Вводные'!$B$239="Да",MeanMinAge20+'19_Расчет_аналитики'!BE1571*SUMIF(ThresholdAge20,"&lt;"&amp;'19_Расчет_аналитики'!BE1571,WeightedRevAge20)-SUMIF(ThresholdAge20,"&lt;"&amp;'19_Расчет_аналитики'!BE1571,WeightedMinAge20),MAX(CapacityAge20*'01_Вводные'!$B$218*'19_Расчет_аналитики'!BE1571,MeanMinAge20)))</f>
        <v/>
      </c>
      <c r="BF1495">
        <f>IF(OR('19_Расчет_аналитики'!BF1467=0,20&lt;='01_Вводные'!$B$297),0,'19_Расчет_аналитики'!BF1467*IF('01_Вводные'!$B$239="Да",MeanMinAge20+'19_Расчет_аналитики'!BF1571*SUMIF(ThresholdAge20,"&lt;"&amp;'19_Расчет_аналитики'!BF1571,WeightedRevAge20)-SUMIF(ThresholdAge20,"&lt;"&amp;'19_Расчет_аналитики'!BF1571,WeightedMinAge20),MAX(CapacityAge20*'01_Вводные'!$B$218*'19_Расчет_аналитики'!BF1571,MeanMinAge20)))</f>
        <v/>
      </c>
      <c r="BG1495">
        <f>IF(OR('19_Расчет_аналитики'!BG1467=0,20&lt;='01_Вводные'!$B$297),0,'19_Расчет_аналитики'!BG1467*IF('01_Вводные'!$B$239="Да",MeanMinAge20+'19_Расчет_аналитики'!BG1571*SUMIF(ThresholdAge20,"&lt;"&amp;'19_Расчет_аналитики'!BG1571,WeightedRevAge20)-SUMIF(ThresholdAge20,"&lt;"&amp;'19_Расчет_аналитики'!BG1571,WeightedMinAge20),MAX(CapacityAge20*'01_Вводные'!$B$218*'19_Расчет_аналитики'!BG1571,MeanMinAge20)))</f>
        <v/>
      </c>
      <c r="BH1495">
        <f>IF(OR('19_Расчет_аналитики'!BH1467=0,20&lt;='01_Вводные'!$B$297),0,'19_Расчет_аналитики'!BH1467*IF('01_Вводные'!$B$239="Да",MeanMinAge20+'19_Расчет_аналитики'!BH1571*SUMIF(ThresholdAge20,"&lt;"&amp;'19_Расчет_аналитики'!BH1571,WeightedRevAge20)-SUMIF(ThresholdAge20,"&lt;"&amp;'19_Расчет_аналитики'!BH1571,WeightedMinAge20),MAX(CapacityAge20*'01_Вводные'!$B$218*'19_Расчет_аналитики'!BH1571,MeanMinAge20)))</f>
        <v/>
      </c>
      <c r="BI1495">
        <f>IF(OR('19_Расчет_аналитики'!BI1467=0,20&lt;='01_Вводные'!$B$297),0,'19_Расчет_аналитики'!BI1467*IF('01_Вводные'!$B$239="Да",MeanMinAge20+'19_Расчет_аналитики'!BI1571*SUMIF(ThresholdAge20,"&lt;"&amp;'19_Расчет_аналитики'!BI1571,WeightedRevAge20)-SUMIF(ThresholdAge20,"&lt;"&amp;'19_Расчет_аналитики'!BI1571,WeightedMinAge20),MAX(CapacityAge20*'01_Вводные'!$B$218*'19_Расчет_аналитики'!BI1571,MeanMinAge20)))</f>
        <v/>
      </c>
      <c r="BJ1495">
        <f>IF(OR('19_Расчет_аналитики'!BJ1467=0,20&lt;='01_Вводные'!$B$297),0,'19_Расчет_аналитики'!BJ1467*IF('01_Вводные'!$B$239="Да",MeanMinAge20+'19_Расчет_аналитики'!BJ1571*SUMIF(ThresholdAge20,"&lt;"&amp;'19_Расчет_аналитики'!BJ1571,WeightedRevAge20)-SUMIF(ThresholdAge20,"&lt;"&amp;'19_Расчет_аналитики'!BJ1571,WeightedMinAge20),MAX(CapacityAge20*'01_Вводные'!$B$218*'19_Расчет_аналитики'!BJ1571,MeanMinAge20)))</f>
        <v/>
      </c>
      <c r="BK1495">
        <f>IF(OR('19_Расчет_аналитики'!BK1467=0,20&lt;='01_Вводные'!$B$297),0,'19_Расчет_аналитики'!BK1467*IF('01_Вводные'!$B$239="Да",MeanMinAge20+'19_Расчет_аналитики'!BK1571*SUMIF(ThresholdAge20,"&lt;"&amp;'19_Расчет_аналитики'!BK1571,WeightedRevAge20)-SUMIF(ThresholdAge20,"&lt;"&amp;'19_Расчет_аналитики'!BK1571,WeightedMinAge20),MAX(CapacityAge20*'01_Вводные'!$B$218*'19_Расчет_аналитики'!BK1571,MeanMinAge20)))</f>
        <v/>
      </c>
      <c r="BL1495">
        <f>IF(OR('19_Расчет_аналитики'!BL1467=0,20&lt;='01_Вводные'!$B$297),0,'19_Расчет_аналитики'!BL1467*IF('01_Вводные'!$B$239="Да",MeanMinAge20+'19_Расчет_аналитики'!BL1571*SUMIF(ThresholdAge20,"&lt;"&amp;'19_Расчет_аналитики'!BL1571,WeightedRevAge20)-SUMIF(ThresholdAge20,"&lt;"&amp;'19_Расчет_аналитики'!BL1571,WeightedMinAge20),MAX(CapacityAge20*'01_Вводные'!$B$218*'19_Расчет_аналитики'!BL1571,MeanMinAge20)))</f>
        <v/>
      </c>
      <c r="BM1495">
        <f>IF(OR('19_Расчет_аналитики'!BM1467=0,20&lt;='01_Вводные'!$B$297),0,'19_Расчет_аналитики'!BM1467*IF('01_Вводные'!$B$239="Да",MeanMinAge20+'19_Расчет_аналитики'!BM1571*SUMIF(ThresholdAge20,"&lt;"&amp;'19_Расчет_аналитики'!BM1571,WeightedRevAge20)-SUMIF(ThresholdAge20,"&lt;"&amp;'19_Расчет_аналитики'!BM1571,WeightedMinAge20),MAX(CapacityAge20*'01_Вводные'!$B$218*'19_Расчет_аналитики'!BM1571,MeanMinAge20)))</f>
        <v/>
      </c>
      <c r="BN1495">
        <f>IF(OR('19_Расчет_аналитики'!BN1467=0,20&lt;='01_Вводные'!$B$297),0,'19_Расчет_аналитики'!BN1467*IF('01_Вводные'!$B$239="Да",MeanMinAge20+'19_Расчет_аналитики'!BN1571*SUMIF(ThresholdAge20,"&lt;"&amp;'19_Расчет_аналитики'!BN1571,WeightedRevAge20)-SUMIF(ThresholdAge20,"&lt;"&amp;'19_Расчет_аналитики'!BN1571,WeightedMinAge20),MAX(CapacityAge20*'01_Вводные'!$B$218*'19_Расчет_аналитики'!BN1571,MeanMinAge20)))</f>
        <v/>
      </c>
      <c r="BO1495">
        <f>IF(OR('19_Расчет_аналитики'!BO1467=0,20&lt;='01_Вводные'!$B$297),0,'19_Расчет_аналитики'!BO1467*IF('01_Вводные'!$B$239="Да",MeanMinAge20+'19_Расчет_аналитики'!BO1571*SUMIF(ThresholdAge20,"&lt;"&amp;'19_Расчет_аналитики'!BO1571,WeightedRevAge20)-SUMIF(ThresholdAge20,"&lt;"&amp;'19_Расчет_аналитики'!BO1571,WeightedMinAge20),MAX(CapacityAge20*'01_Вводные'!$B$218*'19_Расчет_аналитики'!BO1571,MeanMinAge20)))</f>
        <v/>
      </c>
    </row>
    <row r="1496">
      <c r="B1496">
        <f>IF(OR('06_Сеть_и_дети'!B101=0,21&lt;='01_Вводные'!$B$297),0,'06_Сеть_и_дети'!B101*IF('01_Вводные'!$B$239="Да",MeanMinAge21+'19_Расчет_аналитики'!B1571*SUMIF(ThresholdAge21,"&lt;"&amp;'19_Расчет_аналитики'!B1571,WeightedRevAge21)-SUMIF(ThresholdAge21,"&lt;"&amp;'19_Расчет_аналитики'!B1571,WeightedMinAge21),MAX(CapacityAge21*'01_Вводные'!$B$218*'19_Расчет_аналитики'!B1571,MeanMinAge21)))</f>
        <v/>
      </c>
      <c r="C1496">
        <f>IF(OR('06_Сеть_и_дети'!C101=0,21&lt;='01_Вводные'!$B$297),0,'06_Сеть_и_дети'!C101*IF('01_Вводные'!$B$239="Да",MeanMinAge21+'19_Расчет_аналитики'!C1571*SUMIF(ThresholdAge21,"&lt;"&amp;'19_Расчет_аналитики'!C1571,WeightedRevAge21)-SUMIF(ThresholdAge21,"&lt;"&amp;'19_Расчет_аналитики'!C1571,WeightedMinAge21),MAX(CapacityAge21*'01_Вводные'!$B$218*'19_Расчет_аналитики'!C1571,MeanMinAge21)))</f>
        <v/>
      </c>
      <c r="D1496">
        <f>IF(OR('06_Сеть_и_дети'!D101=0,21&lt;='01_Вводные'!$B$297),0,'06_Сеть_и_дети'!D101*IF('01_Вводные'!$B$239="Да",MeanMinAge21+'19_Расчет_аналитики'!D1571*SUMIF(ThresholdAge21,"&lt;"&amp;'19_Расчет_аналитики'!D1571,WeightedRevAge21)-SUMIF(ThresholdAge21,"&lt;"&amp;'19_Расчет_аналитики'!D1571,WeightedMinAge21),MAX(CapacityAge21*'01_Вводные'!$B$218*'19_Расчет_аналитики'!D1571,MeanMinAge21)))</f>
        <v/>
      </c>
      <c r="E1496">
        <f>IF(OR('06_Сеть_и_дети'!E101=0,21&lt;='01_Вводные'!$B$297),0,'06_Сеть_и_дети'!E101*IF('01_Вводные'!$B$239="Да",MeanMinAge21+'19_Расчет_аналитики'!E1571*SUMIF(ThresholdAge21,"&lt;"&amp;'19_Расчет_аналитики'!E1571,WeightedRevAge21)-SUMIF(ThresholdAge21,"&lt;"&amp;'19_Расчет_аналитики'!E1571,WeightedMinAge21),MAX(CapacityAge21*'01_Вводные'!$B$218*'19_Расчет_аналитики'!E1571,MeanMinAge21)))</f>
        <v/>
      </c>
      <c r="F1496">
        <f>IF(OR('06_Сеть_и_дети'!F101=0,21&lt;='01_Вводные'!$B$297),0,'06_Сеть_и_дети'!F101*IF('01_Вводные'!$B$239="Да",MeanMinAge21+'19_Расчет_аналитики'!F1571*SUMIF(ThresholdAge21,"&lt;"&amp;'19_Расчет_аналитики'!F1571,WeightedRevAge21)-SUMIF(ThresholdAge21,"&lt;"&amp;'19_Расчет_аналитики'!F1571,WeightedMinAge21),MAX(CapacityAge21*'01_Вводные'!$B$218*'19_Расчет_аналитики'!F1571,MeanMinAge21)))</f>
        <v/>
      </c>
      <c r="G1496">
        <f>IF(OR('06_Сеть_и_дети'!G101=0,21&lt;='01_Вводные'!$B$297),0,'06_Сеть_и_дети'!G101*IF('01_Вводные'!$B$239="Да",MeanMinAge21+'19_Расчет_аналитики'!G1571*SUMIF(ThresholdAge21,"&lt;"&amp;'19_Расчет_аналитики'!G1571,WeightedRevAge21)-SUMIF(ThresholdAge21,"&lt;"&amp;'19_Расчет_аналитики'!G1571,WeightedMinAge21),MAX(CapacityAge21*'01_Вводные'!$B$218*'19_Расчет_аналитики'!G1571,MeanMinAge21)))</f>
        <v/>
      </c>
      <c r="H1496">
        <f>IF(OR('06_Сеть_и_дети'!H101=0,21&lt;='01_Вводные'!$B$297),0,'06_Сеть_и_дети'!H101*IF('01_Вводные'!$B$239="Да",MeanMinAge21+'19_Расчет_аналитики'!H1571*SUMIF(ThresholdAge21,"&lt;"&amp;'19_Расчет_аналитики'!H1571,WeightedRevAge21)-SUMIF(ThresholdAge21,"&lt;"&amp;'19_Расчет_аналитики'!H1571,WeightedMinAge21),MAX(CapacityAge21*'01_Вводные'!$B$218*'19_Расчет_аналитики'!H1571,MeanMinAge21)))</f>
        <v/>
      </c>
      <c r="I1496">
        <f>IF(OR('06_Сеть_и_дети'!I101=0,21&lt;='01_Вводные'!$B$297),0,'06_Сеть_и_дети'!I101*IF('01_Вводные'!$B$239="Да",MeanMinAge21+'19_Расчет_аналитики'!I1571*SUMIF(ThresholdAge21,"&lt;"&amp;'19_Расчет_аналитики'!I1571,WeightedRevAge21)-SUMIF(ThresholdAge21,"&lt;"&amp;'19_Расчет_аналитики'!I1571,WeightedMinAge21),MAX(CapacityAge21*'01_Вводные'!$B$218*'19_Расчет_аналитики'!I1571,MeanMinAge21)))</f>
        <v/>
      </c>
      <c r="J1496">
        <f>IF(OR('06_Сеть_и_дети'!J101=0,21&lt;='01_Вводные'!$B$297),0,'06_Сеть_и_дети'!J101*IF('01_Вводные'!$B$239="Да",MeanMinAge21+'19_Расчет_аналитики'!J1571*SUMIF(ThresholdAge21,"&lt;"&amp;'19_Расчет_аналитики'!J1571,WeightedRevAge21)-SUMIF(ThresholdAge21,"&lt;"&amp;'19_Расчет_аналитики'!J1571,WeightedMinAge21),MAX(CapacityAge21*'01_Вводные'!$B$218*'19_Расчет_аналитики'!J1571,MeanMinAge21)))</f>
        <v/>
      </c>
      <c r="K1496">
        <f>IF(OR('06_Сеть_и_дети'!K101=0,21&lt;='01_Вводные'!$B$297),0,'06_Сеть_и_дети'!K101*IF('01_Вводные'!$B$239="Да",MeanMinAge21+'19_Расчет_аналитики'!K1571*SUMIF(ThresholdAge21,"&lt;"&amp;'19_Расчет_аналитики'!K1571,WeightedRevAge21)-SUMIF(ThresholdAge21,"&lt;"&amp;'19_Расчет_аналитики'!K1571,WeightedMinAge21),MAX(CapacityAge21*'01_Вводные'!$B$218*'19_Расчет_аналитики'!K1571,MeanMinAge21)))</f>
        <v/>
      </c>
      <c r="L1496">
        <f>IF(OR('06_Сеть_и_дети'!L101=0,21&lt;='01_Вводные'!$B$297),0,'06_Сеть_и_дети'!L101*IF('01_Вводные'!$B$239="Да",MeanMinAge21+'19_Расчет_аналитики'!L1571*SUMIF(ThresholdAge21,"&lt;"&amp;'19_Расчет_аналитики'!L1571,WeightedRevAge21)-SUMIF(ThresholdAge21,"&lt;"&amp;'19_Расчет_аналитики'!L1571,WeightedMinAge21),MAX(CapacityAge21*'01_Вводные'!$B$218*'19_Расчет_аналитики'!L1571,MeanMinAge21)))</f>
        <v/>
      </c>
      <c r="M1496">
        <f>IF(OR('06_Сеть_и_дети'!M101=0,21&lt;='01_Вводные'!$B$297),0,'06_Сеть_и_дети'!M101*IF('01_Вводные'!$B$239="Да",MeanMinAge21+'19_Расчет_аналитики'!M1571*SUMIF(ThresholdAge21,"&lt;"&amp;'19_Расчет_аналитики'!M1571,WeightedRevAge21)-SUMIF(ThresholdAge21,"&lt;"&amp;'19_Расчет_аналитики'!M1571,WeightedMinAge21),MAX(CapacityAge21*'01_Вводные'!$B$218*'19_Расчет_аналитики'!M1571,MeanMinAge21)))</f>
        <v/>
      </c>
      <c r="N1496">
        <f>IF(OR('06_Сеть_и_дети'!N101=0,21&lt;='01_Вводные'!$B$297),0,'06_Сеть_и_дети'!N101*IF('01_Вводные'!$B$239="Да",MeanMinAge21+'19_Расчет_аналитики'!N1571*SUMIF(ThresholdAge21,"&lt;"&amp;'19_Расчет_аналитики'!N1571,WeightedRevAge21)-SUMIF(ThresholdAge21,"&lt;"&amp;'19_Расчет_аналитики'!N1571,WeightedMinAge21),MAX(CapacityAge21*'01_Вводные'!$B$218*'19_Расчет_аналитики'!N1571,MeanMinAge21)))</f>
        <v/>
      </c>
      <c r="O1496">
        <f>IF(OR('06_Сеть_и_дети'!O101=0,21&lt;='01_Вводные'!$B$297),0,'06_Сеть_и_дети'!O101*IF('01_Вводные'!$B$239="Да",MeanMinAge21+'19_Расчет_аналитики'!O1571*SUMIF(ThresholdAge21,"&lt;"&amp;'19_Расчет_аналитики'!O1571,WeightedRevAge21)-SUMIF(ThresholdAge21,"&lt;"&amp;'19_Расчет_аналитики'!O1571,WeightedMinAge21),MAX(CapacityAge21*'01_Вводные'!$B$218*'19_Расчет_аналитики'!O1571,MeanMinAge21)))</f>
        <v/>
      </c>
      <c r="P1496">
        <f>IF(OR('06_Сеть_и_дети'!P101=0,21&lt;='01_Вводные'!$B$297),0,'06_Сеть_и_дети'!P101*IF('01_Вводные'!$B$239="Да",MeanMinAge21+'19_Расчет_аналитики'!P1571*SUMIF(ThresholdAge21,"&lt;"&amp;'19_Расчет_аналитики'!P1571,WeightedRevAge21)-SUMIF(ThresholdAge21,"&lt;"&amp;'19_Расчет_аналитики'!P1571,WeightedMinAge21),MAX(CapacityAge21*'01_Вводные'!$B$218*'19_Расчет_аналитики'!P1571,MeanMinAge21)))</f>
        <v/>
      </c>
      <c r="Q1496">
        <f>IF(OR('06_Сеть_и_дети'!Q101=0,21&lt;='01_Вводные'!$B$297),0,'06_Сеть_и_дети'!Q101*IF('01_Вводные'!$B$239="Да",MeanMinAge21+'19_Расчет_аналитики'!Q1571*SUMIF(ThresholdAge21,"&lt;"&amp;'19_Расчет_аналитики'!Q1571,WeightedRevAge21)-SUMIF(ThresholdAge21,"&lt;"&amp;'19_Расчет_аналитики'!Q1571,WeightedMinAge21),MAX(CapacityAge21*'01_Вводные'!$B$218*'19_Расчет_аналитики'!Q1571,MeanMinAge21)))</f>
        <v/>
      </c>
      <c r="R1496">
        <f>IF(OR('06_Сеть_и_дети'!R101=0,21&lt;='01_Вводные'!$B$297),0,'06_Сеть_и_дети'!R101*IF('01_Вводные'!$B$239="Да",MeanMinAge21+'19_Расчет_аналитики'!R1571*SUMIF(ThresholdAge21,"&lt;"&amp;'19_Расчет_аналитики'!R1571,WeightedRevAge21)-SUMIF(ThresholdAge21,"&lt;"&amp;'19_Расчет_аналитики'!R1571,WeightedMinAge21),MAX(CapacityAge21*'01_Вводные'!$B$218*'19_Расчет_аналитики'!R1571,MeanMinAge21)))</f>
        <v/>
      </c>
      <c r="S1496">
        <f>IF(OR('06_Сеть_и_дети'!S101=0,21&lt;='01_Вводные'!$B$297),0,'06_Сеть_и_дети'!S101*IF('01_Вводные'!$B$239="Да",MeanMinAge21+'19_Расчет_аналитики'!S1571*SUMIF(ThresholdAge21,"&lt;"&amp;'19_Расчет_аналитики'!S1571,WeightedRevAge21)-SUMIF(ThresholdAge21,"&lt;"&amp;'19_Расчет_аналитики'!S1571,WeightedMinAge21),MAX(CapacityAge21*'01_Вводные'!$B$218*'19_Расчет_аналитики'!S1571,MeanMinAge21)))</f>
        <v/>
      </c>
      <c r="T1496">
        <f>IF(OR('06_Сеть_и_дети'!T101=0,21&lt;='01_Вводные'!$B$297),0,'06_Сеть_и_дети'!T101*IF('01_Вводные'!$B$239="Да",MeanMinAge21+'19_Расчет_аналитики'!T1571*SUMIF(ThresholdAge21,"&lt;"&amp;'19_Расчет_аналитики'!T1571,WeightedRevAge21)-SUMIF(ThresholdAge21,"&lt;"&amp;'19_Расчет_аналитики'!T1571,WeightedMinAge21),MAX(CapacityAge21*'01_Вводные'!$B$218*'19_Расчет_аналитики'!T1571,MeanMinAge21)))</f>
        <v/>
      </c>
      <c r="U1496">
        <f>IF(OR('06_Сеть_и_дети'!U101=0,21&lt;='01_Вводные'!$B$297),0,'06_Сеть_и_дети'!U101*IF('01_Вводные'!$B$239="Да",MeanMinAge21+'19_Расчет_аналитики'!U1571*SUMIF(ThresholdAge21,"&lt;"&amp;'19_Расчет_аналитики'!U1571,WeightedRevAge21)-SUMIF(ThresholdAge21,"&lt;"&amp;'19_Расчет_аналитики'!U1571,WeightedMinAge21),MAX(CapacityAge21*'01_Вводные'!$B$218*'19_Расчет_аналитики'!U1571,MeanMinAge21)))</f>
        <v/>
      </c>
      <c r="V1496">
        <f>IF(OR('19_Расчет_аналитики'!V1468=0,21&lt;='01_Вводные'!$B$297),0,'19_Расчет_аналитики'!V1468*IF('01_Вводные'!$B$239="Да",MeanMinAge21+'19_Расчет_аналитики'!V1571*SUMIF(ThresholdAge21,"&lt;"&amp;'19_Расчет_аналитики'!V1571,WeightedRevAge21)-SUMIF(ThresholdAge21,"&lt;"&amp;'19_Расчет_аналитики'!V1571,WeightedMinAge21),MAX(CapacityAge21*'01_Вводные'!$B$218*'19_Расчет_аналитики'!V1571,MeanMinAge21)))</f>
        <v/>
      </c>
      <c r="W1496">
        <f>IF(OR('19_Расчет_аналитики'!W1468=0,21&lt;='01_Вводные'!$B$297),0,'19_Расчет_аналитики'!W1468*IF('01_Вводные'!$B$239="Да",MeanMinAge21+'19_Расчет_аналитики'!W1571*SUMIF(ThresholdAge21,"&lt;"&amp;'19_Расчет_аналитики'!W1571,WeightedRevAge21)-SUMIF(ThresholdAge21,"&lt;"&amp;'19_Расчет_аналитики'!W1571,WeightedMinAge21),MAX(CapacityAge21*'01_Вводные'!$B$218*'19_Расчет_аналитики'!W1571,MeanMinAge21)))</f>
        <v/>
      </c>
      <c r="X1496">
        <f>IF(OR('19_Расчет_аналитики'!X1468=0,21&lt;='01_Вводные'!$B$297),0,'19_Расчет_аналитики'!X1468*IF('01_Вводные'!$B$239="Да",MeanMinAge21+'19_Расчет_аналитики'!X1571*SUMIF(ThresholdAge21,"&lt;"&amp;'19_Расчет_аналитики'!X1571,WeightedRevAge21)-SUMIF(ThresholdAge21,"&lt;"&amp;'19_Расчет_аналитики'!X1571,WeightedMinAge21),MAX(CapacityAge21*'01_Вводные'!$B$218*'19_Расчет_аналитики'!X1571,MeanMinAge21)))</f>
        <v/>
      </c>
      <c r="Y1496">
        <f>IF(OR('19_Расчет_аналитики'!Y1468=0,21&lt;='01_Вводные'!$B$297),0,'19_Расчет_аналитики'!Y1468*IF('01_Вводные'!$B$239="Да",MeanMinAge21+'19_Расчет_аналитики'!Y1571*SUMIF(ThresholdAge21,"&lt;"&amp;'19_Расчет_аналитики'!Y1571,WeightedRevAge21)-SUMIF(ThresholdAge21,"&lt;"&amp;'19_Расчет_аналитики'!Y1571,WeightedMinAge21),MAX(CapacityAge21*'01_Вводные'!$B$218*'19_Расчет_аналитики'!Y1571,MeanMinAge21)))</f>
        <v/>
      </c>
      <c r="Z1496">
        <f>IF(OR('19_Расчет_аналитики'!Z1468=0,21&lt;='01_Вводные'!$B$297),0,'19_Расчет_аналитики'!Z1468*IF('01_Вводные'!$B$239="Да",MeanMinAge21+'19_Расчет_аналитики'!Z1571*SUMIF(ThresholdAge21,"&lt;"&amp;'19_Расчет_аналитики'!Z1571,WeightedRevAge21)-SUMIF(ThresholdAge21,"&lt;"&amp;'19_Расчет_аналитики'!Z1571,WeightedMinAge21),MAX(CapacityAge21*'01_Вводные'!$B$218*'19_Расчет_аналитики'!Z1571,MeanMinAge21)))</f>
        <v/>
      </c>
      <c r="AA1496">
        <f>IF(OR('19_Расчет_аналитики'!AA1468=0,21&lt;='01_Вводные'!$B$297),0,'19_Расчет_аналитики'!AA1468*IF('01_Вводные'!$B$239="Да",MeanMinAge21+'19_Расчет_аналитики'!AA1571*SUMIF(ThresholdAge21,"&lt;"&amp;'19_Расчет_аналитики'!AA1571,WeightedRevAge21)-SUMIF(ThresholdAge21,"&lt;"&amp;'19_Расчет_аналитики'!AA1571,WeightedMinAge21),MAX(CapacityAge21*'01_Вводные'!$B$218*'19_Расчет_аналитики'!AA1571,MeanMinAge21)))</f>
        <v/>
      </c>
      <c r="AB1496">
        <f>IF(OR('19_Расчет_аналитики'!AB1468=0,21&lt;='01_Вводные'!$B$297),0,'19_Расчет_аналитики'!AB1468*IF('01_Вводные'!$B$239="Да",MeanMinAge21+'19_Расчет_аналитики'!AB1571*SUMIF(ThresholdAge21,"&lt;"&amp;'19_Расчет_аналитики'!AB1571,WeightedRevAge21)-SUMIF(ThresholdAge21,"&lt;"&amp;'19_Расчет_аналитики'!AB1571,WeightedMinAge21),MAX(CapacityAge21*'01_Вводные'!$B$218*'19_Расчет_аналитики'!AB1571,MeanMinAge21)))</f>
        <v/>
      </c>
      <c r="AC1496">
        <f>IF(OR('19_Расчет_аналитики'!AC1468=0,21&lt;='01_Вводные'!$B$297),0,'19_Расчет_аналитики'!AC1468*IF('01_Вводные'!$B$239="Да",MeanMinAge21+'19_Расчет_аналитики'!AC1571*SUMIF(ThresholdAge21,"&lt;"&amp;'19_Расчет_аналитики'!AC1571,WeightedRevAge21)-SUMIF(ThresholdAge21,"&lt;"&amp;'19_Расчет_аналитики'!AC1571,WeightedMinAge21),MAX(CapacityAge21*'01_Вводные'!$B$218*'19_Расчет_аналитики'!AC1571,MeanMinAge21)))</f>
        <v/>
      </c>
      <c r="AD1496">
        <f>IF(OR('19_Расчет_аналитики'!AD1468=0,21&lt;='01_Вводные'!$B$297),0,'19_Расчет_аналитики'!AD1468*IF('01_Вводные'!$B$239="Да",MeanMinAge21+'19_Расчет_аналитики'!AD1571*SUMIF(ThresholdAge21,"&lt;"&amp;'19_Расчет_аналитики'!AD1571,WeightedRevAge21)-SUMIF(ThresholdAge21,"&lt;"&amp;'19_Расчет_аналитики'!AD1571,WeightedMinAge21),MAX(CapacityAge21*'01_Вводные'!$B$218*'19_Расчет_аналитики'!AD1571,MeanMinAge21)))</f>
        <v/>
      </c>
      <c r="AE1496">
        <f>IF(OR('19_Расчет_аналитики'!AE1468=0,21&lt;='01_Вводные'!$B$297),0,'19_Расчет_аналитики'!AE1468*IF('01_Вводные'!$B$239="Да",MeanMinAge21+'19_Расчет_аналитики'!AE1571*SUMIF(ThresholdAge21,"&lt;"&amp;'19_Расчет_аналитики'!AE1571,WeightedRevAge21)-SUMIF(ThresholdAge21,"&lt;"&amp;'19_Расчет_аналитики'!AE1571,WeightedMinAge21),MAX(CapacityAge21*'01_Вводные'!$B$218*'19_Расчет_аналитики'!AE1571,MeanMinAge21)))</f>
        <v/>
      </c>
      <c r="AF1496">
        <f>IF(OR('19_Расчет_аналитики'!AF1468=0,21&lt;='01_Вводные'!$B$297),0,'19_Расчет_аналитики'!AF1468*IF('01_Вводные'!$B$239="Да",MeanMinAge21+'19_Расчет_аналитики'!AF1571*SUMIF(ThresholdAge21,"&lt;"&amp;'19_Расчет_аналитики'!AF1571,WeightedRevAge21)-SUMIF(ThresholdAge21,"&lt;"&amp;'19_Расчет_аналитики'!AF1571,WeightedMinAge21),MAX(CapacityAge21*'01_Вводные'!$B$218*'19_Расчет_аналитики'!AF1571,MeanMinAge21)))</f>
        <v/>
      </c>
      <c r="AG1496">
        <f>IF(OR('19_Расчет_аналитики'!AG1468=0,21&lt;='01_Вводные'!$B$297),0,'19_Расчет_аналитики'!AG1468*IF('01_Вводные'!$B$239="Да",MeanMinAge21+'19_Расчет_аналитики'!AG1571*SUMIF(ThresholdAge21,"&lt;"&amp;'19_Расчет_аналитики'!AG1571,WeightedRevAge21)-SUMIF(ThresholdAge21,"&lt;"&amp;'19_Расчет_аналитики'!AG1571,WeightedMinAge21),MAX(CapacityAge21*'01_Вводные'!$B$218*'19_Расчет_аналитики'!AG1571,MeanMinAge21)))</f>
        <v/>
      </c>
      <c r="AH1496">
        <f>IF(OR('19_Расчет_аналитики'!AH1468=0,21&lt;='01_Вводные'!$B$297),0,'19_Расчет_аналитики'!AH1468*IF('01_Вводные'!$B$239="Да",MeanMinAge21+'19_Расчет_аналитики'!AH1571*SUMIF(ThresholdAge21,"&lt;"&amp;'19_Расчет_аналитики'!AH1571,WeightedRevAge21)-SUMIF(ThresholdAge21,"&lt;"&amp;'19_Расчет_аналитики'!AH1571,WeightedMinAge21),MAX(CapacityAge21*'01_Вводные'!$B$218*'19_Расчет_аналитики'!AH1571,MeanMinAge21)))</f>
        <v/>
      </c>
      <c r="AI1496">
        <f>IF(OR('19_Расчет_аналитики'!AI1468=0,21&lt;='01_Вводные'!$B$297),0,'19_Расчет_аналитики'!AI1468*IF('01_Вводные'!$B$239="Да",MeanMinAge21+'19_Расчет_аналитики'!AI1571*SUMIF(ThresholdAge21,"&lt;"&amp;'19_Расчет_аналитики'!AI1571,WeightedRevAge21)-SUMIF(ThresholdAge21,"&lt;"&amp;'19_Расчет_аналитики'!AI1571,WeightedMinAge21),MAX(CapacityAge21*'01_Вводные'!$B$218*'19_Расчет_аналитики'!AI1571,MeanMinAge21)))</f>
        <v/>
      </c>
      <c r="AJ1496">
        <f>IF(OR('19_Расчет_аналитики'!AJ1468=0,21&lt;='01_Вводные'!$B$297),0,'19_Расчет_аналитики'!AJ1468*IF('01_Вводные'!$B$239="Да",MeanMinAge21+'19_Расчет_аналитики'!AJ1571*SUMIF(ThresholdAge21,"&lt;"&amp;'19_Расчет_аналитики'!AJ1571,WeightedRevAge21)-SUMIF(ThresholdAge21,"&lt;"&amp;'19_Расчет_аналитики'!AJ1571,WeightedMinAge21),MAX(CapacityAge21*'01_Вводные'!$B$218*'19_Расчет_аналитики'!AJ1571,MeanMinAge21)))</f>
        <v/>
      </c>
      <c r="AK1496">
        <f>IF(OR('19_Расчет_аналитики'!AK1468=0,21&lt;='01_Вводные'!$B$297),0,'19_Расчет_аналитики'!AK1468*IF('01_Вводные'!$B$239="Да",MeanMinAge21+'19_Расчет_аналитики'!AK1571*SUMIF(ThresholdAge21,"&lt;"&amp;'19_Расчет_аналитики'!AK1571,WeightedRevAge21)-SUMIF(ThresholdAge21,"&lt;"&amp;'19_Расчет_аналитики'!AK1571,WeightedMinAge21),MAX(CapacityAge21*'01_Вводные'!$B$218*'19_Расчет_аналитики'!AK1571,MeanMinAge21)))</f>
        <v/>
      </c>
      <c r="AL1496">
        <f>IF(OR('19_Расчет_аналитики'!AL1468=0,21&lt;='01_Вводные'!$B$297),0,'19_Расчет_аналитики'!AL1468*IF('01_Вводные'!$B$239="Да",MeanMinAge21+'19_Расчет_аналитики'!AL1571*SUMIF(ThresholdAge21,"&lt;"&amp;'19_Расчет_аналитики'!AL1571,WeightedRevAge21)-SUMIF(ThresholdAge21,"&lt;"&amp;'19_Расчет_аналитики'!AL1571,WeightedMinAge21),MAX(CapacityAge21*'01_Вводные'!$B$218*'19_Расчет_аналитики'!AL1571,MeanMinAge21)))</f>
        <v/>
      </c>
      <c r="AM1496">
        <f>IF(OR('19_Расчет_аналитики'!AM1468=0,21&lt;='01_Вводные'!$B$297),0,'19_Расчет_аналитики'!AM1468*IF('01_Вводные'!$B$239="Да",MeanMinAge21+'19_Расчет_аналитики'!AM1571*SUMIF(ThresholdAge21,"&lt;"&amp;'19_Расчет_аналитики'!AM1571,WeightedRevAge21)-SUMIF(ThresholdAge21,"&lt;"&amp;'19_Расчет_аналитики'!AM1571,WeightedMinAge21),MAX(CapacityAge21*'01_Вводные'!$B$218*'19_Расчет_аналитики'!AM1571,MeanMinAge21)))</f>
        <v/>
      </c>
      <c r="AN1496">
        <f>IF(OR('19_Расчет_аналитики'!AN1468=0,21&lt;='01_Вводные'!$B$297),0,'19_Расчет_аналитики'!AN1468*IF('01_Вводные'!$B$239="Да",MeanMinAge21+'19_Расчет_аналитики'!AN1571*SUMIF(ThresholdAge21,"&lt;"&amp;'19_Расчет_аналитики'!AN1571,WeightedRevAge21)-SUMIF(ThresholdAge21,"&lt;"&amp;'19_Расчет_аналитики'!AN1571,WeightedMinAge21),MAX(CapacityAge21*'01_Вводные'!$B$218*'19_Расчет_аналитики'!AN1571,MeanMinAge21)))</f>
        <v/>
      </c>
      <c r="AO1496">
        <f>IF(OR('19_Расчет_аналитики'!AO1468=0,21&lt;='01_Вводные'!$B$297),0,'19_Расчет_аналитики'!AO1468*IF('01_Вводные'!$B$239="Да",MeanMinAge21+'19_Расчет_аналитики'!AO1571*SUMIF(ThresholdAge21,"&lt;"&amp;'19_Расчет_аналитики'!AO1571,WeightedRevAge21)-SUMIF(ThresholdAge21,"&lt;"&amp;'19_Расчет_аналитики'!AO1571,WeightedMinAge21),MAX(CapacityAge21*'01_Вводные'!$B$218*'19_Расчет_аналитики'!AO1571,MeanMinAge21)))</f>
        <v/>
      </c>
      <c r="AP1496">
        <f>IF(OR('19_Расчет_аналитики'!AP1468=0,21&lt;='01_Вводные'!$B$297),0,'19_Расчет_аналитики'!AP1468*IF('01_Вводные'!$B$239="Да",MeanMinAge21+'19_Расчет_аналитики'!AP1571*SUMIF(ThresholdAge21,"&lt;"&amp;'19_Расчет_аналитики'!AP1571,WeightedRevAge21)-SUMIF(ThresholdAge21,"&lt;"&amp;'19_Расчет_аналитики'!AP1571,WeightedMinAge21),MAX(CapacityAge21*'01_Вводные'!$B$218*'19_Расчет_аналитики'!AP1571,MeanMinAge21)))</f>
        <v/>
      </c>
      <c r="AQ1496">
        <f>IF(OR('19_Расчет_аналитики'!AQ1468=0,21&lt;='01_Вводные'!$B$297),0,'19_Расчет_аналитики'!AQ1468*IF('01_Вводные'!$B$239="Да",MeanMinAge21+'19_Расчет_аналитики'!AQ1571*SUMIF(ThresholdAge21,"&lt;"&amp;'19_Расчет_аналитики'!AQ1571,WeightedRevAge21)-SUMIF(ThresholdAge21,"&lt;"&amp;'19_Расчет_аналитики'!AQ1571,WeightedMinAge21),MAX(CapacityAge21*'01_Вводные'!$B$218*'19_Расчет_аналитики'!AQ1571,MeanMinAge21)))</f>
        <v/>
      </c>
      <c r="AR1496">
        <f>IF(OR('19_Расчет_аналитики'!AR1468=0,21&lt;='01_Вводные'!$B$297),0,'19_Расчет_аналитики'!AR1468*IF('01_Вводные'!$B$239="Да",MeanMinAge21+'19_Расчет_аналитики'!AR1571*SUMIF(ThresholdAge21,"&lt;"&amp;'19_Расчет_аналитики'!AR1571,WeightedRevAge21)-SUMIF(ThresholdAge21,"&lt;"&amp;'19_Расчет_аналитики'!AR1571,WeightedMinAge21),MAX(CapacityAge21*'01_Вводные'!$B$218*'19_Расчет_аналитики'!AR1571,MeanMinAge21)))</f>
        <v/>
      </c>
      <c r="AS1496">
        <f>IF(OR('19_Расчет_аналитики'!AS1468=0,21&lt;='01_Вводные'!$B$297),0,'19_Расчет_аналитики'!AS1468*IF('01_Вводные'!$B$239="Да",MeanMinAge21+'19_Расчет_аналитики'!AS1571*SUMIF(ThresholdAge21,"&lt;"&amp;'19_Расчет_аналитики'!AS1571,WeightedRevAge21)-SUMIF(ThresholdAge21,"&lt;"&amp;'19_Расчет_аналитики'!AS1571,WeightedMinAge21),MAX(CapacityAge21*'01_Вводные'!$B$218*'19_Расчет_аналитики'!AS1571,MeanMinAge21)))</f>
        <v/>
      </c>
      <c r="AT1496">
        <f>IF(OR('19_Расчет_аналитики'!AT1468=0,21&lt;='01_Вводные'!$B$297),0,'19_Расчет_аналитики'!AT1468*IF('01_Вводные'!$B$239="Да",MeanMinAge21+'19_Расчет_аналитики'!AT1571*SUMIF(ThresholdAge21,"&lt;"&amp;'19_Расчет_аналитики'!AT1571,WeightedRevAge21)-SUMIF(ThresholdAge21,"&lt;"&amp;'19_Расчет_аналитики'!AT1571,WeightedMinAge21),MAX(CapacityAge21*'01_Вводные'!$B$218*'19_Расчет_аналитики'!AT1571,MeanMinAge21)))</f>
        <v/>
      </c>
      <c r="AU1496">
        <f>IF(OR('19_Расчет_аналитики'!AU1468=0,21&lt;='01_Вводные'!$B$297),0,'19_Расчет_аналитики'!AU1468*IF('01_Вводные'!$B$239="Да",MeanMinAge21+'19_Расчет_аналитики'!AU1571*SUMIF(ThresholdAge21,"&lt;"&amp;'19_Расчет_аналитики'!AU1571,WeightedRevAge21)-SUMIF(ThresholdAge21,"&lt;"&amp;'19_Расчет_аналитики'!AU1571,WeightedMinAge21),MAX(CapacityAge21*'01_Вводные'!$B$218*'19_Расчет_аналитики'!AU1571,MeanMinAge21)))</f>
        <v/>
      </c>
      <c r="AV1496">
        <f>IF(OR('19_Расчет_аналитики'!AV1468=0,21&lt;='01_Вводные'!$B$297),0,'19_Расчет_аналитики'!AV1468*IF('01_Вводные'!$B$239="Да",MeanMinAge21+'19_Расчет_аналитики'!AV1571*SUMIF(ThresholdAge21,"&lt;"&amp;'19_Расчет_аналитики'!AV1571,WeightedRevAge21)-SUMIF(ThresholdAge21,"&lt;"&amp;'19_Расчет_аналитики'!AV1571,WeightedMinAge21),MAX(CapacityAge21*'01_Вводные'!$B$218*'19_Расчет_аналитики'!AV1571,MeanMinAge21)))</f>
        <v/>
      </c>
      <c r="AW1496">
        <f>IF(OR('19_Расчет_аналитики'!AW1468=0,21&lt;='01_Вводные'!$B$297),0,'19_Расчет_аналитики'!AW1468*IF('01_Вводные'!$B$239="Да",MeanMinAge21+'19_Расчет_аналитики'!AW1571*SUMIF(ThresholdAge21,"&lt;"&amp;'19_Расчет_аналитики'!AW1571,WeightedRevAge21)-SUMIF(ThresholdAge21,"&lt;"&amp;'19_Расчет_аналитики'!AW1571,WeightedMinAge21),MAX(CapacityAge21*'01_Вводные'!$B$218*'19_Расчет_аналитики'!AW1571,MeanMinAge21)))</f>
        <v/>
      </c>
      <c r="AX1496">
        <f>IF(OR('19_Расчет_аналитики'!AX1468=0,21&lt;='01_Вводные'!$B$297),0,'19_Расчет_аналитики'!AX1468*IF('01_Вводные'!$B$239="Да",MeanMinAge21+'19_Расчет_аналитики'!AX1571*SUMIF(ThresholdAge21,"&lt;"&amp;'19_Расчет_аналитики'!AX1571,WeightedRevAge21)-SUMIF(ThresholdAge21,"&lt;"&amp;'19_Расчет_аналитики'!AX1571,WeightedMinAge21),MAX(CapacityAge21*'01_Вводные'!$B$218*'19_Расчет_аналитики'!AX1571,MeanMinAge21)))</f>
        <v/>
      </c>
      <c r="AY1496">
        <f>IF(OR('19_Расчет_аналитики'!AY1468=0,21&lt;='01_Вводные'!$B$297),0,'19_Расчет_аналитики'!AY1468*IF('01_Вводные'!$B$239="Да",MeanMinAge21+'19_Расчет_аналитики'!AY1571*SUMIF(ThresholdAge21,"&lt;"&amp;'19_Расчет_аналитики'!AY1571,WeightedRevAge21)-SUMIF(ThresholdAge21,"&lt;"&amp;'19_Расчет_аналитики'!AY1571,WeightedMinAge21),MAX(CapacityAge21*'01_Вводные'!$B$218*'19_Расчет_аналитики'!AY1571,MeanMinAge21)))</f>
        <v/>
      </c>
      <c r="AZ1496">
        <f>IF(OR('19_Расчет_аналитики'!AZ1468=0,21&lt;='01_Вводные'!$B$297),0,'19_Расчет_аналитики'!AZ1468*IF('01_Вводные'!$B$239="Да",MeanMinAge21+'19_Расчет_аналитики'!AZ1571*SUMIF(ThresholdAge21,"&lt;"&amp;'19_Расчет_аналитики'!AZ1571,WeightedRevAge21)-SUMIF(ThresholdAge21,"&lt;"&amp;'19_Расчет_аналитики'!AZ1571,WeightedMinAge21),MAX(CapacityAge21*'01_Вводные'!$B$218*'19_Расчет_аналитики'!AZ1571,MeanMinAge21)))</f>
        <v/>
      </c>
      <c r="BA1496">
        <f>IF(OR('19_Расчет_аналитики'!BA1468=0,21&lt;='01_Вводные'!$B$297),0,'19_Расчет_аналитики'!BA1468*IF('01_Вводные'!$B$239="Да",MeanMinAge21+'19_Расчет_аналитики'!BA1571*SUMIF(ThresholdAge21,"&lt;"&amp;'19_Расчет_аналитики'!BA1571,WeightedRevAge21)-SUMIF(ThresholdAge21,"&lt;"&amp;'19_Расчет_аналитики'!BA1571,WeightedMinAge21),MAX(CapacityAge21*'01_Вводные'!$B$218*'19_Расчет_аналитики'!BA1571,MeanMinAge21)))</f>
        <v/>
      </c>
      <c r="BB1496">
        <f>IF(OR('19_Расчет_аналитики'!BB1468=0,21&lt;='01_Вводные'!$B$297),0,'19_Расчет_аналитики'!BB1468*IF('01_Вводные'!$B$239="Да",MeanMinAge21+'19_Расчет_аналитики'!BB1571*SUMIF(ThresholdAge21,"&lt;"&amp;'19_Расчет_аналитики'!BB1571,WeightedRevAge21)-SUMIF(ThresholdAge21,"&lt;"&amp;'19_Расчет_аналитики'!BB1571,WeightedMinAge21),MAX(CapacityAge21*'01_Вводные'!$B$218*'19_Расчет_аналитики'!BB1571,MeanMinAge21)))</f>
        <v/>
      </c>
      <c r="BC1496">
        <f>IF(OR('19_Расчет_аналитики'!BC1468=0,21&lt;='01_Вводные'!$B$297),0,'19_Расчет_аналитики'!BC1468*IF('01_Вводные'!$B$239="Да",MeanMinAge21+'19_Расчет_аналитики'!BC1571*SUMIF(ThresholdAge21,"&lt;"&amp;'19_Расчет_аналитики'!BC1571,WeightedRevAge21)-SUMIF(ThresholdAge21,"&lt;"&amp;'19_Расчет_аналитики'!BC1571,WeightedMinAge21),MAX(CapacityAge21*'01_Вводные'!$B$218*'19_Расчет_аналитики'!BC1571,MeanMinAge21)))</f>
        <v/>
      </c>
      <c r="BD1496">
        <f>IF(OR('19_Расчет_аналитики'!BD1468=0,21&lt;='01_Вводные'!$B$297),0,'19_Расчет_аналитики'!BD1468*IF('01_Вводные'!$B$239="Да",MeanMinAge21+'19_Расчет_аналитики'!BD1571*SUMIF(ThresholdAge21,"&lt;"&amp;'19_Расчет_аналитики'!BD1571,WeightedRevAge21)-SUMIF(ThresholdAge21,"&lt;"&amp;'19_Расчет_аналитики'!BD1571,WeightedMinAge21),MAX(CapacityAge21*'01_Вводные'!$B$218*'19_Расчет_аналитики'!BD1571,MeanMinAge21)))</f>
        <v/>
      </c>
      <c r="BE1496">
        <f>IF(OR('19_Расчет_аналитики'!BE1468=0,21&lt;='01_Вводные'!$B$297),0,'19_Расчет_аналитики'!BE1468*IF('01_Вводные'!$B$239="Да",MeanMinAge21+'19_Расчет_аналитики'!BE1571*SUMIF(ThresholdAge21,"&lt;"&amp;'19_Расчет_аналитики'!BE1571,WeightedRevAge21)-SUMIF(ThresholdAge21,"&lt;"&amp;'19_Расчет_аналитики'!BE1571,WeightedMinAge21),MAX(CapacityAge21*'01_Вводные'!$B$218*'19_Расчет_аналитики'!BE1571,MeanMinAge21)))</f>
        <v/>
      </c>
      <c r="BF1496">
        <f>IF(OR('19_Расчет_аналитики'!BF1468=0,21&lt;='01_Вводные'!$B$297),0,'19_Расчет_аналитики'!BF1468*IF('01_Вводные'!$B$239="Да",MeanMinAge21+'19_Расчет_аналитики'!BF1571*SUMIF(ThresholdAge21,"&lt;"&amp;'19_Расчет_аналитики'!BF1571,WeightedRevAge21)-SUMIF(ThresholdAge21,"&lt;"&amp;'19_Расчет_аналитики'!BF1571,WeightedMinAge21),MAX(CapacityAge21*'01_Вводные'!$B$218*'19_Расчет_аналитики'!BF1571,MeanMinAge21)))</f>
        <v/>
      </c>
      <c r="BG1496">
        <f>IF(OR('19_Расчет_аналитики'!BG1468=0,21&lt;='01_Вводные'!$B$297),0,'19_Расчет_аналитики'!BG1468*IF('01_Вводные'!$B$239="Да",MeanMinAge21+'19_Расчет_аналитики'!BG1571*SUMIF(ThresholdAge21,"&lt;"&amp;'19_Расчет_аналитики'!BG1571,WeightedRevAge21)-SUMIF(ThresholdAge21,"&lt;"&amp;'19_Расчет_аналитики'!BG1571,WeightedMinAge21),MAX(CapacityAge21*'01_Вводные'!$B$218*'19_Расчет_аналитики'!BG1571,MeanMinAge21)))</f>
        <v/>
      </c>
      <c r="BH1496">
        <f>IF(OR('19_Расчет_аналитики'!BH1468=0,21&lt;='01_Вводные'!$B$297),0,'19_Расчет_аналитики'!BH1468*IF('01_Вводные'!$B$239="Да",MeanMinAge21+'19_Расчет_аналитики'!BH1571*SUMIF(ThresholdAge21,"&lt;"&amp;'19_Расчет_аналитики'!BH1571,WeightedRevAge21)-SUMIF(ThresholdAge21,"&lt;"&amp;'19_Расчет_аналитики'!BH1571,WeightedMinAge21),MAX(CapacityAge21*'01_Вводные'!$B$218*'19_Расчет_аналитики'!BH1571,MeanMinAge21)))</f>
        <v/>
      </c>
      <c r="BI1496">
        <f>IF(OR('19_Расчет_аналитики'!BI1468=0,21&lt;='01_Вводные'!$B$297),0,'19_Расчет_аналитики'!BI1468*IF('01_Вводные'!$B$239="Да",MeanMinAge21+'19_Расчет_аналитики'!BI1571*SUMIF(ThresholdAge21,"&lt;"&amp;'19_Расчет_аналитики'!BI1571,WeightedRevAge21)-SUMIF(ThresholdAge21,"&lt;"&amp;'19_Расчет_аналитики'!BI1571,WeightedMinAge21),MAX(CapacityAge21*'01_Вводные'!$B$218*'19_Расчет_аналитики'!BI1571,MeanMinAge21)))</f>
        <v/>
      </c>
      <c r="BJ1496">
        <f>IF(OR('19_Расчет_аналитики'!BJ1468=0,21&lt;='01_Вводные'!$B$297),0,'19_Расчет_аналитики'!BJ1468*IF('01_Вводные'!$B$239="Да",MeanMinAge21+'19_Расчет_аналитики'!BJ1571*SUMIF(ThresholdAge21,"&lt;"&amp;'19_Расчет_аналитики'!BJ1571,WeightedRevAge21)-SUMIF(ThresholdAge21,"&lt;"&amp;'19_Расчет_аналитики'!BJ1571,WeightedMinAge21),MAX(CapacityAge21*'01_Вводные'!$B$218*'19_Расчет_аналитики'!BJ1571,MeanMinAge21)))</f>
        <v/>
      </c>
      <c r="BK1496">
        <f>IF(OR('19_Расчет_аналитики'!BK1468=0,21&lt;='01_Вводные'!$B$297),0,'19_Расчет_аналитики'!BK1468*IF('01_Вводные'!$B$239="Да",MeanMinAge21+'19_Расчет_аналитики'!BK1571*SUMIF(ThresholdAge21,"&lt;"&amp;'19_Расчет_аналитики'!BK1571,WeightedRevAge21)-SUMIF(ThresholdAge21,"&lt;"&amp;'19_Расчет_аналитики'!BK1571,WeightedMinAge21),MAX(CapacityAge21*'01_Вводные'!$B$218*'19_Расчет_аналитики'!BK1571,MeanMinAge21)))</f>
        <v/>
      </c>
      <c r="BL1496">
        <f>IF(OR('19_Расчет_аналитики'!BL1468=0,21&lt;='01_Вводные'!$B$297),0,'19_Расчет_аналитики'!BL1468*IF('01_Вводные'!$B$239="Да",MeanMinAge21+'19_Расчет_аналитики'!BL1571*SUMIF(ThresholdAge21,"&lt;"&amp;'19_Расчет_аналитики'!BL1571,WeightedRevAge21)-SUMIF(ThresholdAge21,"&lt;"&amp;'19_Расчет_аналитики'!BL1571,WeightedMinAge21),MAX(CapacityAge21*'01_Вводные'!$B$218*'19_Расчет_аналитики'!BL1571,MeanMinAge21)))</f>
        <v/>
      </c>
      <c r="BM1496">
        <f>IF(OR('19_Расчет_аналитики'!BM1468=0,21&lt;='01_Вводные'!$B$297),0,'19_Расчет_аналитики'!BM1468*IF('01_Вводные'!$B$239="Да",MeanMinAge21+'19_Расчет_аналитики'!BM1571*SUMIF(ThresholdAge21,"&lt;"&amp;'19_Расчет_аналитики'!BM1571,WeightedRevAge21)-SUMIF(ThresholdAge21,"&lt;"&amp;'19_Расчет_аналитики'!BM1571,WeightedMinAge21),MAX(CapacityAge21*'01_Вводные'!$B$218*'19_Расчет_аналитики'!BM1571,MeanMinAge21)))</f>
        <v/>
      </c>
      <c r="BN1496">
        <f>IF(OR('19_Расчет_аналитики'!BN1468=0,21&lt;='01_Вводные'!$B$297),0,'19_Расчет_аналитики'!BN1468*IF('01_Вводные'!$B$239="Да",MeanMinAge21+'19_Расчет_аналитики'!BN1571*SUMIF(ThresholdAge21,"&lt;"&amp;'19_Расчет_аналитики'!BN1571,WeightedRevAge21)-SUMIF(ThresholdAge21,"&lt;"&amp;'19_Расчет_аналитики'!BN1571,WeightedMinAge21),MAX(CapacityAge21*'01_Вводные'!$B$218*'19_Расчет_аналитики'!BN1571,MeanMinAge21)))</f>
        <v/>
      </c>
      <c r="BO1496">
        <f>IF(OR('19_Расчет_аналитики'!BO1468=0,21&lt;='01_Вводные'!$B$297),0,'19_Расчет_аналитики'!BO1468*IF('01_Вводные'!$B$239="Да",MeanMinAge21+'19_Расчет_аналитики'!BO1571*SUMIF(ThresholdAge21,"&lt;"&amp;'19_Расчет_аналитики'!BO1571,WeightedRevAge21)-SUMIF(ThresholdAge21,"&lt;"&amp;'19_Расчет_аналитики'!BO1571,WeightedMinAge21),MAX(CapacityAge21*'01_Вводные'!$B$218*'19_Расчет_аналитики'!BO1571,MeanMinAge21)))</f>
        <v/>
      </c>
    </row>
    <row r="1497">
      <c r="B1497">
        <f>IF(OR('06_Сеть_и_дети'!B102=0,22&lt;='01_Вводные'!$B$297),0,'06_Сеть_и_дети'!B102*IF('01_Вводные'!$B$239="Да",MeanMinAge22+'19_Расчет_аналитики'!B1571*SUMIF(ThresholdAge22,"&lt;"&amp;'19_Расчет_аналитики'!B1571,WeightedRevAge22)-SUMIF(ThresholdAge22,"&lt;"&amp;'19_Расчет_аналитики'!B1571,WeightedMinAge22),MAX(CapacityAge22*'01_Вводные'!$B$218*'19_Расчет_аналитики'!B1571,MeanMinAge22)))</f>
        <v/>
      </c>
      <c r="C1497">
        <f>IF(OR('06_Сеть_и_дети'!C102=0,22&lt;='01_Вводные'!$B$297),0,'06_Сеть_и_дети'!C102*IF('01_Вводные'!$B$239="Да",MeanMinAge22+'19_Расчет_аналитики'!C1571*SUMIF(ThresholdAge22,"&lt;"&amp;'19_Расчет_аналитики'!C1571,WeightedRevAge22)-SUMIF(ThresholdAge22,"&lt;"&amp;'19_Расчет_аналитики'!C1571,WeightedMinAge22),MAX(CapacityAge22*'01_Вводные'!$B$218*'19_Расчет_аналитики'!C1571,MeanMinAge22)))</f>
        <v/>
      </c>
      <c r="D1497">
        <f>IF(OR('06_Сеть_и_дети'!D102=0,22&lt;='01_Вводные'!$B$297),0,'06_Сеть_и_дети'!D102*IF('01_Вводные'!$B$239="Да",MeanMinAge22+'19_Расчет_аналитики'!D1571*SUMIF(ThresholdAge22,"&lt;"&amp;'19_Расчет_аналитики'!D1571,WeightedRevAge22)-SUMIF(ThresholdAge22,"&lt;"&amp;'19_Расчет_аналитики'!D1571,WeightedMinAge22),MAX(CapacityAge22*'01_Вводные'!$B$218*'19_Расчет_аналитики'!D1571,MeanMinAge22)))</f>
        <v/>
      </c>
      <c r="E1497">
        <f>IF(OR('06_Сеть_и_дети'!E102=0,22&lt;='01_Вводные'!$B$297),0,'06_Сеть_и_дети'!E102*IF('01_Вводные'!$B$239="Да",MeanMinAge22+'19_Расчет_аналитики'!E1571*SUMIF(ThresholdAge22,"&lt;"&amp;'19_Расчет_аналитики'!E1571,WeightedRevAge22)-SUMIF(ThresholdAge22,"&lt;"&amp;'19_Расчет_аналитики'!E1571,WeightedMinAge22),MAX(CapacityAge22*'01_Вводные'!$B$218*'19_Расчет_аналитики'!E1571,MeanMinAge22)))</f>
        <v/>
      </c>
      <c r="F1497">
        <f>IF(OR('06_Сеть_и_дети'!F102=0,22&lt;='01_Вводные'!$B$297),0,'06_Сеть_и_дети'!F102*IF('01_Вводные'!$B$239="Да",MeanMinAge22+'19_Расчет_аналитики'!F1571*SUMIF(ThresholdAge22,"&lt;"&amp;'19_Расчет_аналитики'!F1571,WeightedRevAge22)-SUMIF(ThresholdAge22,"&lt;"&amp;'19_Расчет_аналитики'!F1571,WeightedMinAge22),MAX(CapacityAge22*'01_Вводные'!$B$218*'19_Расчет_аналитики'!F1571,MeanMinAge22)))</f>
        <v/>
      </c>
      <c r="G1497">
        <f>IF(OR('06_Сеть_и_дети'!G102=0,22&lt;='01_Вводные'!$B$297),0,'06_Сеть_и_дети'!G102*IF('01_Вводные'!$B$239="Да",MeanMinAge22+'19_Расчет_аналитики'!G1571*SUMIF(ThresholdAge22,"&lt;"&amp;'19_Расчет_аналитики'!G1571,WeightedRevAge22)-SUMIF(ThresholdAge22,"&lt;"&amp;'19_Расчет_аналитики'!G1571,WeightedMinAge22),MAX(CapacityAge22*'01_Вводные'!$B$218*'19_Расчет_аналитики'!G1571,MeanMinAge22)))</f>
        <v/>
      </c>
      <c r="H1497">
        <f>IF(OR('06_Сеть_и_дети'!H102=0,22&lt;='01_Вводные'!$B$297),0,'06_Сеть_и_дети'!H102*IF('01_Вводные'!$B$239="Да",MeanMinAge22+'19_Расчет_аналитики'!H1571*SUMIF(ThresholdAge22,"&lt;"&amp;'19_Расчет_аналитики'!H1571,WeightedRevAge22)-SUMIF(ThresholdAge22,"&lt;"&amp;'19_Расчет_аналитики'!H1571,WeightedMinAge22),MAX(CapacityAge22*'01_Вводные'!$B$218*'19_Расчет_аналитики'!H1571,MeanMinAge22)))</f>
        <v/>
      </c>
      <c r="I1497">
        <f>IF(OR('06_Сеть_и_дети'!I102=0,22&lt;='01_Вводные'!$B$297),0,'06_Сеть_и_дети'!I102*IF('01_Вводные'!$B$239="Да",MeanMinAge22+'19_Расчет_аналитики'!I1571*SUMIF(ThresholdAge22,"&lt;"&amp;'19_Расчет_аналитики'!I1571,WeightedRevAge22)-SUMIF(ThresholdAge22,"&lt;"&amp;'19_Расчет_аналитики'!I1571,WeightedMinAge22),MAX(CapacityAge22*'01_Вводные'!$B$218*'19_Расчет_аналитики'!I1571,MeanMinAge22)))</f>
        <v/>
      </c>
      <c r="J1497">
        <f>IF(OR('06_Сеть_и_дети'!J102=0,22&lt;='01_Вводные'!$B$297),0,'06_Сеть_и_дети'!J102*IF('01_Вводные'!$B$239="Да",MeanMinAge22+'19_Расчет_аналитики'!J1571*SUMIF(ThresholdAge22,"&lt;"&amp;'19_Расчет_аналитики'!J1571,WeightedRevAge22)-SUMIF(ThresholdAge22,"&lt;"&amp;'19_Расчет_аналитики'!J1571,WeightedMinAge22),MAX(CapacityAge22*'01_Вводные'!$B$218*'19_Расчет_аналитики'!J1571,MeanMinAge22)))</f>
        <v/>
      </c>
      <c r="K1497">
        <f>IF(OR('06_Сеть_и_дети'!K102=0,22&lt;='01_Вводные'!$B$297),0,'06_Сеть_и_дети'!K102*IF('01_Вводные'!$B$239="Да",MeanMinAge22+'19_Расчет_аналитики'!K1571*SUMIF(ThresholdAge22,"&lt;"&amp;'19_Расчет_аналитики'!K1571,WeightedRevAge22)-SUMIF(ThresholdAge22,"&lt;"&amp;'19_Расчет_аналитики'!K1571,WeightedMinAge22),MAX(CapacityAge22*'01_Вводные'!$B$218*'19_Расчет_аналитики'!K1571,MeanMinAge22)))</f>
        <v/>
      </c>
      <c r="L1497">
        <f>IF(OR('06_Сеть_и_дети'!L102=0,22&lt;='01_Вводные'!$B$297),0,'06_Сеть_и_дети'!L102*IF('01_Вводные'!$B$239="Да",MeanMinAge22+'19_Расчет_аналитики'!L1571*SUMIF(ThresholdAge22,"&lt;"&amp;'19_Расчет_аналитики'!L1571,WeightedRevAge22)-SUMIF(ThresholdAge22,"&lt;"&amp;'19_Расчет_аналитики'!L1571,WeightedMinAge22),MAX(CapacityAge22*'01_Вводные'!$B$218*'19_Расчет_аналитики'!L1571,MeanMinAge22)))</f>
        <v/>
      </c>
      <c r="M1497">
        <f>IF(OR('06_Сеть_и_дети'!M102=0,22&lt;='01_Вводные'!$B$297),0,'06_Сеть_и_дети'!M102*IF('01_Вводные'!$B$239="Да",MeanMinAge22+'19_Расчет_аналитики'!M1571*SUMIF(ThresholdAge22,"&lt;"&amp;'19_Расчет_аналитики'!M1571,WeightedRevAge22)-SUMIF(ThresholdAge22,"&lt;"&amp;'19_Расчет_аналитики'!M1571,WeightedMinAge22),MAX(CapacityAge22*'01_Вводные'!$B$218*'19_Расчет_аналитики'!M1571,MeanMinAge22)))</f>
        <v/>
      </c>
      <c r="N1497">
        <f>IF(OR('06_Сеть_и_дети'!N102=0,22&lt;='01_Вводные'!$B$297),0,'06_Сеть_и_дети'!N102*IF('01_Вводные'!$B$239="Да",MeanMinAge22+'19_Расчет_аналитики'!N1571*SUMIF(ThresholdAge22,"&lt;"&amp;'19_Расчет_аналитики'!N1571,WeightedRevAge22)-SUMIF(ThresholdAge22,"&lt;"&amp;'19_Расчет_аналитики'!N1571,WeightedMinAge22),MAX(CapacityAge22*'01_Вводные'!$B$218*'19_Расчет_аналитики'!N1571,MeanMinAge22)))</f>
        <v/>
      </c>
      <c r="O1497">
        <f>IF(OR('06_Сеть_и_дети'!O102=0,22&lt;='01_Вводные'!$B$297),0,'06_Сеть_и_дети'!O102*IF('01_Вводные'!$B$239="Да",MeanMinAge22+'19_Расчет_аналитики'!O1571*SUMIF(ThresholdAge22,"&lt;"&amp;'19_Расчет_аналитики'!O1571,WeightedRevAge22)-SUMIF(ThresholdAge22,"&lt;"&amp;'19_Расчет_аналитики'!O1571,WeightedMinAge22),MAX(CapacityAge22*'01_Вводные'!$B$218*'19_Расчет_аналитики'!O1571,MeanMinAge22)))</f>
        <v/>
      </c>
      <c r="P1497">
        <f>IF(OR('06_Сеть_и_дети'!P102=0,22&lt;='01_Вводные'!$B$297),0,'06_Сеть_и_дети'!P102*IF('01_Вводные'!$B$239="Да",MeanMinAge22+'19_Расчет_аналитики'!P1571*SUMIF(ThresholdAge22,"&lt;"&amp;'19_Расчет_аналитики'!P1571,WeightedRevAge22)-SUMIF(ThresholdAge22,"&lt;"&amp;'19_Расчет_аналитики'!P1571,WeightedMinAge22),MAX(CapacityAge22*'01_Вводные'!$B$218*'19_Расчет_аналитики'!P1571,MeanMinAge22)))</f>
        <v/>
      </c>
      <c r="Q1497">
        <f>IF(OR('06_Сеть_и_дети'!Q102=0,22&lt;='01_Вводные'!$B$297),0,'06_Сеть_и_дети'!Q102*IF('01_Вводные'!$B$239="Да",MeanMinAge22+'19_Расчет_аналитики'!Q1571*SUMIF(ThresholdAge22,"&lt;"&amp;'19_Расчет_аналитики'!Q1571,WeightedRevAge22)-SUMIF(ThresholdAge22,"&lt;"&amp;'19_Расчет_аналитики'!Q1571,WeightedMinAge22),MAX(CapacityAge22*'01_Вводные'!$B$218*'19_Расчет_аналитики'!Q1571,MeanMinAge22)))</f>
        <v/>
      </c>
      <c r="R1497">
        <f>IF(OR('06_Сеть_и_дети'!R102=0,22&lt;='01_Вводные'!$B$297),0,'06_Сеть_и_дети'!R102*IF('01_Вводные'!$B$239="Да",MeanMinAge22+'19_Расчет_аналитики'!R1571*SUMIF(ThresholdAge22,"&lt;"&amp;'19_Расчет_аналитики'!R1571,WeightedRevAge22)-SUMIF(ThresholdAge22,"&lt;"&amp;'19_Расчет_аналитики'!R1571,WeightedMinAge22),MAX(CapacityAge22*'01_Вводные'!$B$218*'19_Расчет_аналитики'!R1571,MeanMinAge22)))</f>
        <v/>
      </c>
      <c r="S1497">
        <f>IF(OR('06_Сеть_и_дети'!S102=0,22&lt;='01_Вводные'!$B$297),0,'06_Сеть_и_дети'!S102*IF('01_Вводные'!$B$239="Да",MeanMinAge22+'19_Расчет_аналитики'!S1571*SUMIF(ThresholdAge22,"&lt;"&amp;'19_Расчет_аналитики'!S1571,WeightedRevAge22)-SUMIF(ThresholdAge22,"&lt;"&amp;'19_Расчет_аналитики'!S1571,WeightedMinAge22),MAX(CapacityAge22*'01_Вводные'!$B$218*'19_Расчет_аналитики'!S1571,MeanMinAge22)))</f>
        <v/>
      </c>
      <c r="T1497">
        <f>IF(OR('06_Сеть_и_дети'!T102=0,22&lt;='01_Вводные'!$B$297),0,'06_Сеть_и_дети'!T102*IF('01_Вводные'!$B$239="Да",MeanMinAge22+'19_Расчет_аналитики'!T1571*SUMIF(ThresholdAge22,"&lt;"&amp;'19_Расчет_аналитики'!T1571,WeightedRevAge22)-SUMIF(ThresholdAge22,"&lt;"&amp;'19_Расчет_аналитики'!T1571,WeightedMinAge22),MAX(CapacityAge22*'01_Вводные'!$B$218*'19_Расчет_аналитики'!T1571,MeanMinAge22)))</f>
        <v/>
      </c>
      <c r="U1497">
        <f>IF(OR('06_Сеть_и_дети'!U102=0,22&lt;='01_Вводные'!$B$297),0,'06_Сеть_и_дети'!U102*IF('01_Вводные'!$B$239="Да",MeanMinAge22+'19_Расчет_аналитики'!U1571*SUMIF(ThresholdAge22,"&lt;"&amp;'19_Расчет_аналитики'!U1571,WeightedRevAge22)-SUMIF(ThresholdAge22,"&lt;"&amp;'19_Расчет_аналитики'!U1571,WeightedMinAge22),MAX(CapacityAge22*'01_Вводные'!$B$218*'19_Расчет_аналитики'!U1571,MeanMinAge22)))</f>
        <v/>
      </c>
      <c r="V1497">
        <f>IF(OR('06_Сеть_и_дети'!V102=0,22&lt;='01_Вводные'!$B$297),0,'06_Сеть_и_дети'!V102*IF('01_Вводные'!$B$239="Да",MeanMinAge22+'19_Расчет_аналитики'!V1571*SUMIF(ThresholdAge22,"&lt;"&amp;'19_Расчет_аналитики'!V1571,WeightedRevAge22)-SUMIF(ThresholdAge22,"&lt;"&amp;'19_Расчет_аналитики'!V1571,WeightedMinAge22),MAX(CapacityAge22*'01_Вводные'!$B$218*'19_Расчет_аналитики'!V1571,MeanMinAge22)))</f>
        <v/>
      </c>
      <c r="W1497">
        <f>IF(OR('19_Расчет_аналитики'!W1469=0,22&lt;='01_Вводные'!$B$297),0,'19_Расчет_аналитики'!W1469*IF('01_Вводные'!$B$239="Да",MeanMinAge22+'19_Расчет_аналитики'!W1571*SUMIF(ThresholdAge22,"&lt;"&amp;'19_Расчет_аналитики'!W1571,WeightedRevAge22)-SUMIF(ThresholdAge22,"&lt;"&amp;'19_Расчет_аналитики'!W1571,WeightedMinAge22),MAX(CapacityAge22*'01_Вводные'!$B$218*'19_Расчет_аналитики'!W1571,MeanMinAge22)))</f>
        <v/>
      </c>
      <c r="X1497">
        <f>IF(OR('19_Расчет_аналитики'!X1469=0,22&lt;='01_Вводные'!$B$297),0,'19_Расчет_аналитики'!X1469*IF('01_Вводные'!$B$239="Да",MeanMinAge22+'19_Расчет_аналитики'!X1571*SUMIF(ThresholdAge22,"&lt;"&amp;'19_Расчет_аналитики'!X1571,WeightedRevAge22)-SUMIF(ThresholdAge22,"&lt;"&amp;'19_Расчет_аналитики'!X1571,WeightedMinAge22),MAX(CapacityAge22*'01_Вводные'!$B$218*'19_Расчет_аналитики'!X1571,MeanMinAge22)))</f>
        <v/>
      </c>
      <c r="Y1497">
        <f>IF(OR('19_Расчет_аналитики'!Y1469=0,22&lt;='01_Вводные'!$B$297),0,'19_Расчет_аналитики'!Y1469*IF('01_Вводные'!$B$239="Да",MeanMinAge22+'19_Расчет_аналитики'!Y1571*SUMIF(ThresholdAge22,"&lt;"&amp;'19_Расчет_аналитики'!Y1571,WeightedRevAge22)-SUMIF(ThresholdAge22,"&lt;"&amp;'19_Расчет_аналитики'!Y1571,WeightedMinAge22),MAX(CapacityAge22*'01_Вводные'!$B$218*'19_Расчет_аналитики'!Y1571,MeanMinAge22)))</f>
        <v/>
      </c>
      <c r="Z1497">
        <f>IF(OR('19_Расчет_аналитики'!Z1469=0,22&lt;='01_Вводные'!$B$297),0,'19_Расчет_аналитики'!Z1469*IF('01_Вводные'!$B$239="Да",MeanMinAge22+'19_Расчет_аналитики'!Z1571*SUMIF(ThresholdAge22,"&lt;"&amp;'19_Расчет_аналитики'!Z1571,WeightedRevAge22)-SUMIF(ThresholdAge22,"&lt;"&amp;'19_Расчет_аналитики'!Z1571,WeightedMinAge22),MAX(CapacityAge22*'01_Вводные'!$B$218*'19_Расчет_аналитики'!Z1571,MeanMinAge22)))</f>
        <v/>
      </c>
      <c r="AA1497">
        <f>IF(OR('19_Расчет_аналитики'!AA1469=0,22&lt;='01_Вводные'!$B$297),0,'19_Расчет_аналитики'!AA1469*IF('01_Вводные'!$B$239="Да",MeanMinAge22+'19_Расчет_аналитики'!AA1571*SUMIF(ThresholdAge22,"&lt;"&amp;'19_Расчет_аналитики'!AA1571,WeightedRevAge22)-SUMIF(ThresholdAge22,"&lt;"&amp;'19_Расчет_аналитики'!AA1571,WeightedMinAge22),MAX(CapacityAge22*'01_Вводные'!$B$218*'19_Расчет_аналитики'!AA1571,MeanMinAge22)))</f>
        <v/>
      </c>
      <c r="AB1497">
        <f>IF(OR('19_Расчет_аналитики'!AB1469=0,22&lt;='01_Вводные'!$B$297),0,'19_Расчет_аналитики'!AB1469*IF('01_Вводные'!$B$239="Да",MeanMinAge22+'19_Расчет_аналитики'!AB1571*SUMIF(ThresholdAge22,"&lt;"&amp;'19_Расчет_аналитики'!AB1571,WeightedRevAge22)-SUMIF(ThresholdAge22,"&lt;"&amp;'19_Расчет_аналитики'!AB1571,WeightedMinAge22),MAX(CapacityAge22*'01_Вводные'!$B$218*'19_Расчет_аналитики'!AB1571,MeanMinAge22)))</f>
        <v/>
      </c>
      <c r="AC1497">
        <f>IF(OR('19_Расчет_аналитики'!AC1469=0,22&lt;='01_Вводные'!$B$297),0,'19_Расчет_аналитики'!AC1469*IF('01_Вводные'!$B$239="Да",MeanMinAge22+'19_Расчет_аналитики'!AC1571*SUMIF(ThresholdAge22,"&lt;"&amp;'19_Расчет_аналитики'!AC1571,WeightedRevAge22)-SUMIF(ThresholdAge22,"&lt;"&amp;'19_Расчет_аналитики'!AC1571,WeightedMinAge22),MAX(CapacityAge22*'01_Вводные'!$B$218*'19_Расчет_аналитики'!AC1571,MeanMinAge22)))</f>
        <v/>
      </c>
      <c r="AD1497">
        <f>IF(OR('19_Расчет_аналитики'!AD1469=0,22&lt;='01_Вводные'!$B$297),0,'19_Расчет_аналитики'!AD1469*IF('01_Вводные'!$B$239="Да",MeanMinAge22+'19_Расчет_аналитики'!AD1571*SUMIF(ThresholdAge22,"&lt;"&amp;'19_Расчет_аналитики'!AD1571,WeightedRevAge22)-SUMIF(ThresholdAge22,"&lt;"&amp;'19_Расчет_аналитики'!AD1571,WeightedMinAge22),MAX(CapacityAge22*'01_Вводные'!$B$218*'19_Расчет_аналитики'!AD1571,MeanMinAge22)))</f>
        <v/>
      </c>
      <c r="AE1497">
        <f>IF(OR('19_Расчет_аналитики'!AE1469=0,22&lt;='01_Вводные'!$B$297),0,'19_Расчет_аналитики'!AE1469*IF('01_Вводные'!$B$239="Да",MeanMinAge22+'19_Расчет_аналитики'!AE1571*SUMIF(ThresholdAge22,"&lt;"&amp;'19_Расчет_аналитики'!AE1571,WeightedRevAge22)-SUMIF(ThresholdAge22,"&lt;"&amp;'19_Расчет_аналитики'!AE1571,WeightedMinAge22),MAX(CapacityAge22*'01_Вводные'!$B$218*'19_Расчет_аналитики'!AE1571,MeanMinAge22)))</f>
        <v/>
      </c>
      <c r="AF1497">
        <f>IF(OR('19_Расчет_аналитики'!AF1469=0,22&lt;='01_Вводные'!$B$297),0,'19_Расчет_аналитики'!AF1469*IF('01_Вводные'!$B$239="Да",MeanMinAge22+'19_Расчет_аналитики'!AF1571*SUMIF(ThresholdAge22,"&lt;"&amp;'19_Расчет_аналитики'!AF1571,WeightedRevAge22)-SUMIF(ThresholdAge22,"&lt;"&amp;'19_Расчет_аналитики'!AF1571,WeightedMinAge22),MAX(CapacityAge22*'01_Вводные'!$B$218*'19_Расчет_аналитики'!AF1571,MeanMinAge22)))</f>
        <v/>
      </c>
      <c r="AG1497">
        <f>IF(OR('19_Расчет_аналитики'!AG1469=0,22&lt;='01_Вводные'!$B$297),0,'19_Расчет_аналитики'!AG1469*IF('01_Вводные'!$B$239="Да",MeanMinAge22+'19_Расчет_аналитики'!AG1571*SUMIF(ThresholdAge22,"&lt;"&amp;'19_Расчет_аналитики'!AG1571,WeightedRevAge22)-SUMIF(ThresholdAge22,"&lt;"&amp;'19_Расчет_аналитики'!AG1571,WeightedMinAge22),MAX(CapacityAge22*'01_Вводные'!$B$218*'19_Расчет_аналитики'!AG1571,MeanMinAge22)))</f>
        <v/>
      </c>
      <c r="AH1497">
        <f>IF(OR('19_Расчет_аналитики'!AH1469=0,22&lt;='01_Вводные'!$B$297),0,'19_Расчет_аналитики'!AH1469*IF('01_Вводные'!$B$239="Да",MeanMinAge22+'19_Расчет_аналитики'!AH1571*SUMIF(ThresholdAge22,"&lt;"&amp;'19_Расчет_аналитики'!AH1571,WeightedRevAge22)-SUMIF(ThresholdAge22,"&lt;"&amp;'19_Расчет_аналитики'!AH1571,WeightedMinAge22),MAX(CapacityAge22*'01_Вводные'!$B$218*'19_Расчет_аналитики'!AH1571,MeanMinAge22)))</f>
        <v/>
      </c>
      <c r="AI1497">
        <f>IF(OR('19_Расчет_аналитики'!AI1469=0,22&lt;='01_Вводные'!$B$297),0,'19_Расчет_аналитики'!AI1469*IF('01_Вводные'!$B$239="Да",MeanMinAge22+'19_Расчет_аналитики'!AI1571*SUMIF(ThresholdAge22,"&lt;"&amp;'19_Расчет_аналитики'!AI1571,WeightedRevAge22)-SUMIF(ThresholdAge22,"&lt;"&amp;'19_Расчет_аналитики'!AI1571,WeightedMinAge22),MAX(CapacityAge22*'01_Вводные'!$B$218*'19_Расчет_аналитики'!AI1571,MeanMinAge22)))</f>
        <v/>
      </c>
      <c r="AJ1497">
        <f>IF(OR('19_Расчет_аналитики'!AJ1469=0,22&lt;='01_Вводные'!$B$297),0,'19_Расчет_аналитики'!AJ1469*IF('01_Вводные'!$B$239="Да",MeanMinAge22+'19_Расчет_аналитики'!AJ1571*SUMIF(ThresholdAge22,"&lt;"&amp;'19_Расчет_аналитики'!AJ1571,WeightedRevAge22)-SUMIF(ThresholdAge22,"&lt;"&amp;'19_Расчет_аналитики'!AJ1571,WeightedMinAge22),MAX(CapacityAge22*'01_Вводные'!$B$218*'19_Расчет_аналитики'!AJ1571,MeanMinAge22)))</f>
        <v/>
      </c>
      <c r="AK1497">
        <f>IF(OR('19_Расчет_аналитики'!AK1469=0,22&lt;='01_Вводные'!$B$297),0,'19_Расчет_аналитики'!AK1469*IF('01_Вводные'!$B$239="Да",MeanMinAge22+'19_Расчет_аналитики'!AK1571*SUMIF(ThresholdAge22,"&lt;"&amp;'19_Расчет_аналитики'!AK1571,WeightedRevAge22)-SUMIF(ThresholdAge22,"&lt;"&amp;'19_Расчет_аналитики'!AK1571,WeightedMinAge22),MAX(CapacityAge22*'01_Вводные'!$B$218*'19_Расчет_аналитики'!AK1571,MeanMinAge22)))</f>
        <v/>
      </c>
      <c r="AL1497">
        <f>IF(OR('19_Расчет_аналитики'!AL1469=0,22&lt;='01_Вводные'!$B$297),0,'19_Расчет_аналитики'!AL1469*IF('01_Вводные'!$B$239="Да",MeanMinAge22+'19_Расчет_аналитики'!AL1571*SUMIF(ThresholdAge22,"&lt;"&amp;'19_Расчет_аналитики'!AL1571,WeightedRevAge22)-SUMIF(ThresholdAge22,"&lt;"&amp;'19_Расчет_аналитики'!AL1571,WeightedMinAge22),MAX(CapacityAge22*'01_Вводные'!$B$218*'19_Расчет_аналитики'!AL1571,MeanMinAge22)))</f>
        <v/>
      </c>
      <c r="AM1497">
        <f>IF(OR('19_Расчет_аналитики'!AM1469=0,22&lt;='01_Вводные'!$B$297),0,'19_Расчет_аналитики'!AM1469*IF('01_Вводные'!$B$239="Да",MeanMinAge22+'19_Расчет_аналитики'!AM1571*SUMIF(ThresholdAge22,"&lt;"&amp;'19_Расчет_аналитики'!AM1571,WeightedRevAge22)-SUMIF(ThresholdAge22,"&lt;"&amp;'19_Расчет_аналитики'!AM1571,WeightedMinAge22),MAX(CapacityAge22*'01_Вводные'!$B$218*'19_Расчет_аналитики'!AM1571,MeanMinAge22)))</f>
        <v/>
      </c>
      <c r="AN1497">
        <f>IF(OR('19_Расчет_аналитики'!AN1469=0,22&lt;='01_Вводные'!$B$297),0,'19_Расчет_аналитики'!AN1469*IF('01_Вводные'!$B$239="Да",MeanMinAge22+'19_Расчет_аналитики'!AN1571*SUMIF(ThresholdAge22,"&lt;"&amp;'19_Расчет_аналитики'!AN1571,WeightedRevAge22)-SUMIF(ThresholdAge22,"&lt;"&amp;'19_Расчет_аналитики'!AN1571,WeightedMinAge22),MAX(CapacityAge22*'01_Вводные'!$B$218*'19_Расчет_аналитики'!AN1571,MeanMinAge22)))</f>
        <v/>
      </c>
      <c r="AO1497">
        <f>IF(OR('19_Расчет_аналитики'!AO1469=0,22&lt;='01_Вводные'!$B$297),0,'19_Расчет_аналитики'!AO1469*IF('01_Вводные'!$B$239="Да",MeanMinAge22+'19_Расчет_аналитики'!AO1571*SUMIF(ThresholdAge22,"&lt;"&amp;'19_Расчет_аналитики'!AO1571,WeightedRevAge22)-SUMIF(ThresholdAge22,"&lt;"&amp;'19_Расчет_аналитики'!AO1571,WeightedMinAge22),MAX(CapacityAge22*'01_Вводные'!$B$218*'19_Расчет_аналитики'!AO1571,MeanMinAge22)))</f>
        <v/>
      </c>
      <c r="AP1497">
        <f>IF(OR('19_Расчет_аналитики'!AP1469=0,22&lt;='01_Вводные'!$B$297),0,'19_Расчет_аналитики'!AP1469*IF('01_Вводные'!$B$239="Да",MeanMinAge22+'19_Расчет_аналитики'!AP1571*SUMIF(ThresholdAge22,"&lt;"&amp;'19_Расчет_аналитики'!AP1571,WeightedRevAge22)-SUMIF(ThresholdAge22,"&lt;"&amp;'19_Расчет_аналитики'!AP1571,WeightedMinAge22),MAX(CapacityAge22*'01_Вводные'!$B$218*'19_Расчет_аналитики'!AP1571,MeanMinAge22)))</f>
        <v/>
      </c>
      <c r="AQ1497">
        <f>IF(OR('19_Расчет_аналитики'!AQ1469=0,22&lt;='01_Вводные'!$B$297),0,'19_Расчет_аналитики'!AQ1469*IF('01_Вводные'!$B$239="Да",MeanMinAge22+'19_Расчет_аналитики'!AQ1571*SUMIF(ThresholdAge22,"&lt;"&amp;'19_Расчет_аналитики'!AQ1571,WeightedRevAge22)-SUMIF(ThresholdAge22,"&lt;"&amp;'19_Расчет_аналитики'!AQ1571,WeightedMinAge22),MAX(CapacityAge22*'01_Вводные'!$B$218*'19_Расчет_аналитики'!AQ1571,MeanMinAge22)))</f>
        <v/>
      </c>
      <c r="AR1497">
        <f>IF(OR('19_Расчет_аналитики'!AR1469=0,22&lt;='01_Вводные'!$B$297),0,'19_Расчет_аналитики'!AR1469*IF('01_Вводные'!$B$239="Да",MeanMinAge22+'19_Расчет_аналитики'!AR1571*SUMIF(ThresholdAge22,"&lt;"&amp;'19_Расчет_аналитики'!AR1571,WeightedRevAge22)-SUMIF(ThresholdAge22,"&lt;"&amp;'19_Расчет_аналитики'!AR1571,WeightedMinAge22),MAX(CapacityAge22*'01_Вводные'!$B$218*'19_Расчет_аналитики'!AR1571,MeanMinAge22)))</f>
        <v/>
      </c>
      <c r="AS1497">
        <f>IF(OR('19_Расчет_аналитики'!AS1469=0,22&lt;='01_Вводные'!$B$297),0,'19_Расчет_аналитики'!AS1469*IF('01_Вводные'!$B$239="Да",MeanMinAge22+'19_Расчет_аналитики'!AS1571*SUMIF(ThresholdAge22,"&lt;"&amp;'19_Расчет_аналитики'!AS1571,WeightedRevAge22)-SUMIF(ThresholdAge22,"&lt;"&amp;'19_Расчет_аналитики'!AS1571,WeightedMinAge22),MAX(CapacityAge22*'01_Вводные'!$B$218*'19_Расчет_аналитики'!AS1571,MeanMinAge22)))</f>
        <v/>
      </c>
      <c r="AT1497">
        <f>IF(OR('19_Расчет_аналитики'!AT1469=0,22&lt;='01_Вводные'!$B$297),0,'19_Расчет_аналитики'!AT1469*IF('01_Вводные'!$B$239="Да",MeanMinAge22+'19_Расчет_аналитики'!AT1571*SUMIF(ThresholdAge22,"&lt;"&amp;'19_Расчет_аналитики'!AT1571,WeightedRevAge22)-SUMIF(ThresholdAge22,"&lt;"&amp;'19_Расчет_аналитики'!AT1571,WeightedMinAge22),MAX(CapacityAge22*'01_Вводные'!$B$218*'19_Расчет_аналитики'!AT1571,MeanMinAge22)))</f>
        <v/>
      </c>
      <c r="AU1497">
        <f>IF(OR('19_Расчет_аналитики'!AU1469=0,22&lt;='01_Вводные'!$B$297),0,'19_Расчет_аналитики'!AU1469*IF('01_Вводные'!$B$239="Да",MeanMinAge22+'19_Расчет_аналитики'!AU1571*SUMIF(ThresholdAge22,"&lt;"&amp;'19_Расчет_аналитики'!AU1571,WeightedRevAge22)-SUMIF(ThresholdAge22,"&lt;"&amp;'19_Расчет_аналитики'!AU1571,WeightedMinAge22),MAX(CapacityAge22*'01_Вводные'!$B$218*'19_Расчет_аналитики'!AU1571,MeanMinAge22)))</f>
        <v/>
      </c>
      <c r="AV1497">
        <f>IF(OR('19_Расчет_аналитики'!AV1469=0,22&lt;='01_Вводные'!$B$297),0,'19_Расчет_аналитики'!AV1469*IF('01_Вводные'!$B$239="Да",MeanMinAge22+'19_Расчет_аналитики'!AV1571*SUMIF(ThresholdAge22,"&lt;"&amp;'19_Расчет_аналитики'!AV1571,WeightedRevAge22)-SUMIF(ThresholdAge22,"&lt;"&amp;'19_Расчет_аналитики'!AV1571,WeightedMinAge22),MAX(CapacityAge22*'01_Вводные'!$B$218*'19_Расчет_аналитики'!AV1571,MeanMinAge22)))</f>
        <v/>
      </c>
      <c r="AW1497">
        <f>IF(OR('19_Расчет_аналитики'!AW1469=0,22&lt;='01_Вводные'!$B$297),0,'19_Расчет_аналитики'!AW1469*IF('01_Вводные'!$B$239="Да",MeanMinAge22+'19_Расчет_аналитики'!AW1571*SUMIF(ThresholdAge22,"&lt;"&amp;'19_Расчет_аналитики'!AW1571,WeightedRevAge22)-SUMIF(ThresholdAge22,"&lt;"&amp;'19_Расчет_аналитики'!AW1571,WeightedMinAge22),MAX(CapacityAge22*'01_Вводные'!$B$218*'19_Расчет_аналитики'!AW1571,MeanMinAge22)))</f>
        <v/>
      </c>
      <c r="AX1497">
        <f>IF(OR('19_Расчет_аналитики'!AX1469=0,22&lt;='01_Вводные'!$B$297),0,'19_Расчет_аналитики'!AX1469*IF('01_Вводные'!$B$239="Да",MeanMinAge22+'19_Расчет_аналитики'!AX1571*SUMIF(ThresholdAge22,"&lt;"&amp;'19_Расчет_аналитики'!AX1571,WeightedRevAge22)-SUMIF(ThresholdAge22,"&lt;"&amp;'19_Расчет_аналитики'!AX1571,WeightedMinAge22),MAX(CapacityAge22*'01_Вводные'!$B$218*'19_Расчет_аналитики'!AX1571,MeanMinAge22)))</f>
        <v/>
      </c>
      <c r="AY1497">
        <f>IF(OR('19_Расчет_аналитики'!AY1469=0,22&lt;='01_Вводные'!$B$297),0,'19_Расчет_аналитики'!AY1469*IF('01_Вводные'!$B$239="Да",MeanMinAge22+'19_Расчет_аналитики'!AY1571*SUMIF(ThresholdAge22,"&lt;"&amp;'19_Расчет_аналитики'!AY1571,WeightedRevAge22)-SUMIF(ThresholdAge22,"&lt;"&amp;'19_Расчет_аналитики'!AY1571,WeightedMinAge22),MAX(CapacityAge22*'01_Вводные'!$B$218*'19_Расчет_аналитики'!AY1571,MeanMinAge22)))</f>
        <v/>
      </c>
      <c r="AZ1497">
        <f>IF(OR('19_Расчет_аналитики'!AZ1469=0,22&lt;='01_Вводные'!$B$297),0,'19_Расчет_аналитики'!AZ1469*IF('01_Вводные'!$B$239="Да",MeanMinAge22+'19_Расчет_аналитики'!AZ1571*SUMIF(ThresholdAge22,"&lt;"&amp;'19_Расчет_аналитики'!AZ1571,WeightedRevAge22)-SUMIF(ThresholdAge22,"&lt;"&amp;'19_Расчет_аналитики'!AZ1571,WeightedMinAge22),MAX(CapacityAge22*'01_Вводные'!$B$218*'19_Расчет_аналитики'!AZ1571,MeanMinAge22)))</f>
        <v/>
      </c>
      <c r="BA1497">
        <f>IF(OR('19_Расчет_аналитики'!BA1469=0,22&lt;='01_Вводные'!$B$297),0,'19_Расчет_аналитики'!BA1469*IF('01_Вводные'!$B$239="Да",MeanMinAge22+'19_Расчет_аналитики'!BA1571*SUMIF(ThresholdAge22,"&lt;"&amp;'19_Расчет_аналитики'!BA1571,WeightedRevAge22)-SUMIF(ThresholdAge22,"&lt;"&amp;'19_Расчет_аналитики'!BA1571,WeightedMinAge22),MAX(CapacityAge22*'01_Вводные'!$B$218*'19_Расчет_аналитики'!BA1571,MeanMinAge22)))</f>
        <v/>
      </c>
      <c r="BB1497">
        <f>IF(OR('19_Расчет_аналитики'!BB1469=0,22&lt;='01_Вводные'!$B$297),0,'19_Расчет_аналитики'!BB1469*IF('01_Вводные'!$B$239="Да",MeanMinAge22+'19_Расчет_аналитики'!BB1571*SUMIF(ThresholdAge22,"&lt;"&amp;'19_Расчет_аналитики'!BB1571,WeightedRevAge22)-SUMIF(ThresholdAge22,"&lt;"&amp;'19_Расчет_аналитики'!BB1571,WeightedMinAge22),MAX(CapacityAge22*'01_Вводные'!$B$218*'19_Расчет_аналитики'!BB1571,MeanMinAge22)))</f>
        <v/>
      </c>
      <c r="BC1497">
        <f>IF(OR('19_Расчет_аналитики'!BC1469=0,22&lt;='01_Вводные'!$B$297),0,'19_Расчет_аналитики'!BC1469*IF('01_Вводные'!$B$239="Да",MeanMinAge22+'19_Расчет_аналитики'!BC1571*SUMIF(ThresholdAge22,"&lt;"&amp;'19_Расчет_аналитики'!BC1571,WeightedRevAge22)-SUMIF(ThresholdAge22,"&lt;"&amp;'19_Расчет_аналитики'!BC1571,WeightedMinAge22),MAX(CapacityAge22*'01_Вводные'!$B$218*'19_Расчет_аналитики'!BC1571,MeanMinAge22)))</f>
        <v/>
      </c>
      <c r="BD1497">
        <f>IF(OR('19_Расчет_аналитики'!BD1469=0,22&lt;='01_Вводные'!$B$297),0,'19_Расчет_аналитики'!BD1469*IF('01_Вводные'!$B$239="Да",MeanMinAge22+'19_Расчет_аналитики'!BD1571*SUMIF(ThresholdAge22,"&lt;"&amp;'19_Расчет_аналитики'!BD1571,WeightedRevAge22)-SUMIF(ThresholdAge22,"&lt;"&amp;'19_Расчет_аналитики'!BD1571,WeightedMinAge22),MAX(CapacityAge22*'01_Вводные'!$B$218*'19_Расчет_аналитики'!BD1571,MeanMinAge22)))</f>
        <v/>
      </c>
      <c r="BE1497">
        <f>IF(OR('19_Расчет_аналитики'!BE1469=0,22&lt;='01_Вводные'!$B$297),0,'19_Расчет_аналитики'!BE1469*IF('01_Вводные'!$B$239="Да",MeanMinAge22+'19_Расчет_аналитики'!BE1571*SUMIF(ThresholdAge22,"&lt;"&amp;'19_Расчет_аналитики'!BE1571,WeightedRevAge22)-SUMIF(ThresholdAge22,"&lt;"&amp;'19_Расчет_аналитики'!BE1571,WeightedMinAge22),MAX(CapacityAge22*'01_Вводные'!$B$218*'19_Расчет_аналитики'!BE1571,MeanMinAge22)))</f>
        <v/>
      </c>
      <c r="BF1497">
        <f>IF(OR('19_Расчет_аналитики'!BF1469=0,22&lt;='01_Вводные'!$B$297),0,'19_Расчет_аналитики'!BF1469*IF('01_Вводные'!$B$239="Да",MeanMinAge22+'19_Расчет_аналитики'!BF1571*SUMIF(ThresholdAge22,"&lt;"&amp;'19_Расчет_аналитики'!BF1571,WeightedRevAge22)-SUMIF(ThresholdAge22,"&lt;"&amp;'19_Расчет_аналитики'!BF1571,WeightedMinAge22),MAX(CapacityAge22*'01_Вводные'!$B$218*'19_Расчет_аналитики'!BF1571,MeanMinAge22)))</f>
        <v/>
      </c>
      <c r="BG1497">
        <f>IF(OR('19_Расчет_аналитики'!BG1469=0,22&lt;='01_Вводные'!$B$297),0,'19_Расчет_аналитики'!BG1469*IF('01_Вводные'!$B$239="Да",MeanMinAge22+'19_Расчет_аналитики'!BG1571*SUMIF(ThresholdAge22,"&lt;"&amp;'19_Расчет_аналитики'!BG1571,WeightedRevAge22)-SUMIF(ThresholdAge22,"&lt;"&amp;'19_Расчет_аналитики'!BG1571,WeightedMinAge22),MAX(CapacityAge22*'01_Вводные'!$B$218*'19_Расчет_аналитики'!BG1571,MeanMinAge22)))</f>
        <v/>
      </c>
      <c r="BH1497">
        <f>IF(OR('19_Расчет_аналитики'!BH1469=0,22&lt;='01_Вводные'!$B$297),0,'19_Расчет_аналитики'!BH1469*IF('01_Вводные'!$B$239="Да",MeanMinAge22+'19_Расчет_аналитики'!BH1571*SUMIF(ThresholdAge22,"&lt;"&amp;'19_Расчет_аналитики'!BH1571,WeightedRevAge22)-SUMIF(ThresholdAge22,"&lt;"&amp;'19_Расчет_аналитики'!BH1571,WeightedMinAge22),MAX(CapacityAge22*'01_Вводные'!$B$218*'19_Расчет_аналитики'!BH1571,MeanMinAge22)))</f>
        <v/>
      </c>
      <c r="BI1497">
        <f>IF(OR('19_Расчет_аналитики'!BI1469=0,22&lt;='01_Вводные'!$B$297),0,'19_Расчет_аналитики'!BI1469*IF('01_Вводные'!$B$239="Да",MeanMinAge22+'19_Расчет_аналитики'!BI1571*SUMIF(ThresholdAge22,"&lt;"&amp;'19_Расчет_аналитики'!BI1571,WeightedRevAge22)-SUMIF(ThresholdAge22,"&lt;"&amp;'19_Расчет_аналитики'!BI1571,WeightedMinAge22),MAX(CapacityAge22*'01_Вводные'!$B$218*'19_Расчет_аналитики'!BI1571,MeanMinAge22)))</f>
        <v/>
      </c>
      <c r="BJ1497">
        <f>IF(OR('19_Расчет_аналитики'!BJ1469=0,22&lt;='01_Вводные'!$B$297),0,'19_Расчет_аналитики'!BJ1469*IF('01_Вводные'!$B$239="Да",MeanMinAge22+'19_Расчет_аналитики'!BJ1571*SUMIF(ThresholdAge22,"&lt;"&amp;'19_Расчет_аналитики'!BJ1571,WeightedRevAge22)-SUMIF(ThresholdAge22,"&lt;"&amp;'19_Расчет_аналитики'!BJ1571,WeightedMinAge22),MAX(CapacityAge22*'01_Вводные'!$B$218*'19_Расчет_аналитики'!BJ1571,MeanMinAge22)))</f>
        <v/>
      </c>
      <c r="BK1497">
        <f>IF(OR('19_Расчет_аналитики'!BK1469=0,22&lt;='01_Вводные'!$B$297),0,'19_Расчет_аналитики'!BK1469*IF('01_Вводные'!$B$239="Да",MeanMinAge22+'19_Расчет_аналитики'!BK1571*SUMIF(ThresholdAge22,"&lt;"&amp;'19_Расчет_аналитики'!BK1571,WeightedRevAge22)-SUMIF(ThresholdAge22,"&lt;"&amp;'19_Расчет_аналитики'!BK1571,WeightedMinAge22),MAX(CapacityAge22*'01_Вводные'!$B$218*'19_Расчет_аналитики'!BK1571,MeanMinAge22)))</f>
        <v/>
      </c>
      <c r="BL1497">
        <f>IF(OR('19_Расчет_аналитики'!BL1469=0,22&lt;='01_Вводные'!$B$297),0,'19_Расчет_аналитики'!BL1469*IF('01_Вводные'!$B$239="Да",MeanMinAge22+'19_Расчет_аналитики'!BL1571*SUMIF(ThresholdAge22,"&lt;"&amp;'19_Расчет_аналитики'!BL1571,WeightedRevAge22)-SUMIF(ThresholdAge22,"&lt;"&amp;'19_Расчет_аналитики'!BL1571,WeightedMinAge22),MAX(CapacityAge22*'01_Вводные'!$B$218*'19_Расчет_аналитики'!BL1571,MeanMinAge22)))</f>
        <v/>
      </c>
      <c r="BM1497">
        <f>IF(OR('19_Расчет_аналитики'!BM1469=0,22&lt;='01_Вводные'!$B$297),0,'19_Расчет_аналитики'!BM1469*IF('01_Вводные'!$B$239="Да",MeanMinAge22+'19_Расчет_аналитики'!BM1571*SUMIF(ThresholdAge22,"&lt;"&amp;'19_Расчет_аналитики'!BM1571,WeightedRevAge22)-SUMIF(ThresholdAge22,"&lt;"&amp;'19_Расчет_аналитики'!BM1571,WeightedMinAge22),MAX(CapacityAge22*'01_Вводные'!$B$218*'19_Расчет_аналитики'!BM1571,MeanMinAge22)))</f>
        <v/>
      </c>
      <c r="BN1497">
        <f>IF(OR('19_Расчет_аналитики'!BN1469=0,22&lt;='01_Вводные'!$B$297),0,'19_Расчет_аналитики'!BN1469*IF('01_Вводные'!$B$239="Да",MeanMinAge22+'19_Расчет_аналитики'!BN1571*SUMIF(ThresholdAge22,"&lt;"&amp;'19_Расчет_аналитики'!BN1571,WeightedRevAge22)-SUMIF(ThresholdAge22,"&lt;"&amp;'19_Расчет_аналитики'!BN1571,WeightedMinAge22),MAX(CapacityAge22*'01_Вводные'!$B$218*'19_Расчет_аналитики'!BN1571,MeanMinAge22)))</f>
        <v/>
      </c>
      <c r="BO1497">
        <f>IF(OR('19_Расчет_аналитики'!BO1469=0,22&lt;='01_Вводные'!$B$297),0,'19_Расчет_аналитики'!BO1469*IF('01_Вводные'!$B$239="Да",MeanMinAge22+'19_Расчет_аналитики'!BO1571*SUMIF(ThresholdAge22,"&lt;"&amp;'19_Расчет_аналитики'!BO1571,WeightedRevAge22)-SUMIF(ThresholdAge22,"&lt;"&amp;'19_Расчет_аналитики'!BO1571,WeightedMinAge22),MAX(CapacityAge22*'01_Вводные'!$B$218*'19_Расчет_аналитики'!BO1571,MeanMinAge22)))</f>
        <v/>
      </c>
    </row>
    <row r="1498">
      <c r="B1498">
        <f>IF(OR('06_Сеть_и_дети'!B103=0,23&lt;='01_Вводные'!$B$297),0,'06_Сеть_и_дети'!B103*IF('01_Вводные'!$B$239="Да",MeanMinAge23+'19_Расчет_аналитики'!B1571*SUMIF(ThresholdAge23,"&lt;"&amp;'19_Расчет_аналитики'!B1571,WeightedRevAge23)-SUMIF(ThresholdAge23,"&lt;"&amp;'19_Расчет_аналитики'!B1571,WeightedMinAge23),MAX(CapacityAge23*'01_Вводные'!$B$218*'19_Расчет_аналитики'!B1571,MeanMinAge23)))</f>
        <v/>
      </c>
      <c r="C1498">
        <f>IF(OR('06_Сеть_и_дети'!C103=0,23&lt;='01_Вводные'!$B$297),0,'06_Сеть_и_дети'!C103*IF('01_Вводные'!$B$239="Да",MeanMinAge23+'19_Расчет_аналитики'!C1571*SUMIF(ThresholdAge23,"&lt;"&amp;'19_Расчет_аналитики'!C1571,WeightedRevAge23)-SUMIF(ThresholdAge23,"&lt;"&amp;'19_Расчет_аналитики'!C1571,WeightedMinAge23),MAX(CapacityAge23*'01_Вводные'!$B$218*'19_Расчет_аналитики'!C1571,MeanMinAge23)))</f>
        <v/>
      </c>
      <c r="D1498">
        <f>IF(OR('06_Сеть_и_дети'!D103=0,23&lt;='01_Вводные'!$B$297),0,'06_Сеть_и_дети'!D103*IF('01_Вводные'!$B$239="Да",MeanMinAge23+'19_Расчет_аналитики'!D1571*SUMIF(ThresholdAge23,"&lt;"&amp;'19_Расчет_аналитики'!D1571,WeightedRevAge23)-SUMIF(ThresholdAge23,"&lt;"&amp;'19_Расчет_аналитики'!D1571,WeightedMinAge23),MAX(CapacityAge23*'01_Вводные'!$B$218*'19_Расчет_аналитики'!D1571,MeanMinAge23)))</f>
        <v/>
      </c>
      <c r="E1498">
        <f>IF(OR('06_Сеть_и_дети'!E103=0,23&lt;='01_Вводные'!$B$297),0,'06_Сеть_и_дети'!E103*IF('01_Вводные'!$B$239="Да",MeanMinAge23+'19_Расчет_аналитики'!E1571*SUMIF(ThresholdAge23,"&lt;"&amp;'19_Расчет_аналитики'!E1571,WeightedRevAge23)-SUMIF(ThresholdAge23,"&lt;"&amp;'19_Расчет_аналитики'!E1571,WeightedMinAge23),MAX(CapacityAge23*'01_Вводные'!$B$218*'19_Расчет_аналитики'!E1571,MeanMinAge23)))</f>
        <v/>
      </c>
      <c r="F1498">
        <f>IF(OR('06_Сеть_и_дети'!F103=0,23&lt;='01_Вводные'!$B$297),0,'06_Сеть_и_дети'!F103*IF('01_Вводные'!$B$239="Да",MeanMinAge23+'19_Расчет_аналитики'!F1571*SUMIF(ThresholdAge23,"&lt;"&amp;'19_Расчет_аналитики'!F1571,WeightedRevAge23)-SUMIF(ThresholdAge23,"&lt;"&amp;'19_Расчет_аналитики'!F1571,WeightedMinAge23),MAX(CapacityAge23*'01_Вводные'!$B$218*'19_Расчет_аналитики'!F1571,MeanMinAge23)))</f>
        <v/>
      </c>
      <c r="G1498">
        <f>IF(OR('06_Сеть_и_дети'!G103=0,23&lt;='01_Вводные'!$B$297),0,'06_Сеть_и_дети'!G103*IF('01_Вводные'!$B$239="Да",MeanMinAge23+'19_Расчет_аналитики'!G1571*SUMIF(ThresholdAge23,"&lt;"&amp;'19_Расчет_аналитики'!G1571,WeightedRevAge23)-SUMIF(ThresholdAge23,"&lt;"&amp;'19_Расчет_аналитики'!G1571,WeightedMinAge23),MAX(CapacityAge23*'01_Вводные'!$B$218*'19_Расчет_аналитики'!G1571,MeanMinAge23)))</f>
        <v/>
      </c>
      <c r="H1498">
        <f>IF(OR('06_Сеть_и_дети'!H103=0,23&lt;='01_Вводные'!$B$297),0,'06_Сеть_и_дети'!H103*IF('01_Вводные'!$B$239="Да",MeanMinAge23+'19_Расчет_аналитики'!H1571*SUMIF(ThresholdAge23,"&lt;"&amp;'19_Расчет_аналитики'!H1571,WeightedRevAge23)-SUMIF(ThresholdAge23,"&lt;"&amp;'19_Расчет_аналитики'!H1571,WeightedMinAge23),MAX(CapacityAge23*'01_Вводные'!$B$218*'19_Расчет_аналитики'!H1571,MeanMinAge23)))</f>
        <v/>
      </c>
      <c r="I1498">
        <f>IF(OR('06_Сеть_и_дети'!I103=0,23&lt;='01_Вводные'!$B$297),0,'06_Сеть_и_дети'!I103*IF('01_Вводные'!$B$239="Да",MeanMinAge23+'19_Расчет_аналитики'!I1571*SUMIF(ThresholdAge23,"&lt;"&amp;'19_Расчет_аналитики'!I1571,WeightedRevAge23)-SUMIF(ThresholdAge23,"&lt;"&amp;'19_Расчет_аналитики'!I1571,WeightedMinAge23),MAX(CapacityAge23*'01_Вводные'!$B$218*'19_Расчет_аналитики'!I1571,MeanMinAge23)))</f>
        <v/>
      </c>
      <c r="J1498">
        <f>IF(OR('06_Сеть_и_дети'!J103=0,23&lt;='01_Вводные'!$B$297),0,'06_Сеть_и_дети'!J103*IF('01_Вводные'!$B$239="Да",MeanMinAge23+'19_Расчет_аналитики'!J1571*SUMIF(ThresholdAge23,"&lt;"&amp;'19_Расчет_аналитики'!J1571,WeightedRevAge23)-SUMIF(ThresholdAge23,"&lt;"&amp;'19_Расчет_аналитики'!J1571,WeightedMinAge23),MAX(CapacityAge23*'01_Вводные'!$B$218*'19_Расчет_аналитики'!J1571,MeanMinAge23)))</f>
        <v/>
      </c>
      <c r="K1498">
        <f>IF(OR('06_Сеть_и_дети'!K103=0,23&lt;='01_Вводные'!$B$297),0,'06_Сеть_и_дети'!K103*IF('01_Вводные'!$B$239="Да",MeanMinAge23+'19_Расчет_аналитики'!K1571*SUMIF(ThresholdAge23,"&lt;"&amp;'19_Расчет_аналитики'!K1571,WeightedRevAge23)-SUMIF(ThresholdAge23,"&lt;"&amp;'19_Расчет_аналитики'!K1571,WeightedMinAge23),MAX(CapacityAge23*'01_Вводные'!$B$218*'19_Расчет_аналитики'!K1571,MeanMinAge23)))</f>
        <v/>
      </c>
      <c r="L1498">
        <f>IF(OR('06_Сеть_и_дети'!L103=0,23&lt;='01_Вводные'!$B$297),0,'06_Сеть_и_дети'!L103*IF('01_Вводные'!$B$239="Да",MeanMinAge23+'19_Расчет_аналитики'!L1571*SUMIF(ThresholdAge23,"&lt;"&amp;'19_Расчет_аналитики'!L1571,WeightedRevAge23)-SUMIF(ThresholdAge23,"&lt;"&amp;'19_Расчет_аналитики'!L1571,WeightedMinAge23),MAX(CapacityAge23*'01_Вводные'!$B$218*'19_Расчет_аналитики'!L1571,MeanMinAge23)))</f>
        <v/>
      </c>
      <c r="M1498">
        <f>IF(OR('06_Сеть_и_дети'!M103=0,23&lt;='01_Вводные'!$B$297),0,'06_Сеть_и_дети'!M103*IF('01_Вводные'!$B$239="Да",MeanMinAge23+'19_Расчет_аналитики'!M1571*SUMIF(ThresholdAge23,"&lt;"&amp;'19_Расчет_аналитики'!M1571,WeightedRevAge23)-SUMIF(ThresholdAge23,"&lt;"&amp;'19_Расчет_аналитики'!M1571,WeightedMinAge23),MAX(CapacityAge23*'01_Вводные'!$B$218*'19_Расчет_аналитики'!M1571,MeanMinAge23)))</f>
        <v/>
      </c>
      <c r="N1498">
        <f>IF(OR('06_Сеть_и_дети'!N103=0,23&lt;='01_Вводные'!$B$297),0,'06_Сеть_и_дети'!N103*IF('01_Вводные'!$B$239="Да",MeanMinAge23+'19_Расчет_аналитики'!N1571*SUMIF(ThresholdAge23,"&lt;"&amp;'19_Расчет_аналитики'!N1571,WeightedRevAge23)-SUMIF(ThresholdAge23,"&lt;"&amp;'19_Расчет_аналитики'!N1571,WeightedMinAge23),MAX(CapacityAge23*'01_Вводные'!$B$218*'19_Расчет_аналитики'!N1571,MeanMinAge23)))</f>
        <v/>
      </c>
      <c r="O1498">
        <f>IF(OR('06_Сеть_и_дети'!O103=0,23&lt;='01_Вводные'!$B$297),0,'06_Сеть_и_дети'!O103*IF('01_Вводные'!$B$239="Да",MeanMinAge23+'19_Расчет_аналитики'!O1571*SUMIF(ThresholdAge23,"&lt;"&amp;'19_Расчет_аналитики'!O1571,WeightedRevAge23)-SUMIF(ThresholdAge23,"&lt;"&amp;'19_Расчет_аналитики'!O1571,WeightedMinAge23),MAX(CapacityAge23*'01_Вводные'!$B$218*'19_Расчет_аналитики'!O1571,MeanMinAge23)))</f>
        <v/>
      </c>
      <c r="P1498">
        <f>IF(OR('06_Сеть_и_дети'!P103=0,23&lt;='01_Вводные'!$B$297),0,'06_Сеть_и_дети'!P103*IF('01_Вводные'!$B$239="Да",MeanMinAge23+'19_Расчет_аналитики'!P1571*SUMIF(ThresholdAge23,"&lt;"&amp;'19_Расчет_аналитики'!P1571,WeightedRevAge23)-SUMIF(ThresholdAge23,"&lt;"&amp;'19_Расчет_аналитики'!P1571,WeightedMinAge23),MAX(CapacityAge23*'01_Вводные'!$B$218*'19_Расчет_аналитики'!P1571,MeanMinAge23)))</f>
        <v/>
      </c>
      <c r="Q1498">
        <f>IF(OR('06_Сеть_и_дети'!Q103=0,23&lt;='01_Вводные'!$B$297),0,'06_Сеть_и_дети'!Q103*IF('01_Вводные'!$B$239="Да",MeanMinAge23+'19_Расчет_аналитики'!Q1571*SUMIF(ThresholdAge23,"&lt;"&amp;'19_Расчет_аналитики'!Q1571,WeightedRevAge23)-SUMIF(ThresholdAge23,"&lt;"&amp;'19_Расчет_аналитики'!Q1571,WeightedMinAge23),MAX(CapacityAge23*'01_Вводные'!$B$218*'19_Расчет_аналитики'!Q1571,MeanMinAge23)))</f>
        <v/>
      </c>
      <c r="R1498">
        <f>IF(OR('06_Сеть_и_дети'!R103=0,23&lt;='01_Вводные'!$B$297),0,'06_Сеть_и_дети'!R103*IF('01_Вводные'!$B$239="Да",MeanMinAge23+'19_Расчет_аналитики'!R1571*SUMIF(ThresholdAge23,"&lt;"&amp;'19_Расчет_аналитики'!R1571,WeightedRevAge23)-SUMIF(ThresholdAge23,"&lt;"&amp;'19_Расчет_аналитики'!R1571,WeightedMinAge23),MAX(CapacityAge23*'01_Вводные'!$B$218*'19_Расчет_аналитики'!R1571,MeanMinAge23)))</f>
        <v/>
      </c>
      <c r="S1498">
        <f>IF(OR('06_Сеть_и_дети'!S103=0,23&lt;='01_Вводные'!$B$297),0,'06_Сеть_и_дети'!S103*IF('01_Вводные'!$B$239="Да",MeanMinAge23+'19_Расчет_аналитики'!S1571*SUMIF(ThresholdAge23,"&lt;"&amp;'19_Расчет_аналитики'!S1571,WeightedRevAge23)-SUMIF(ThresholdAge23,"&lt;"&amp;'19_Расчет_аналитики'!S1571,WeightedMinAge23),MAX(CapacityAge23*'01_Вводные'!$B$218*'19_Расчет_аналитики'!S1571,MeanMinAge23)))</f>
        <v/>
      </c>
      <c r="T1498">
        <f>IF(OR('06_Сеть_и_дети'!T103=0,23&lt;='01_Вводные'!$B$297),0,'06_Сеть_и_дети'!T103*IF('01_Вводные'!$B$239="Да",MeanMinAge23+'19_Расчет_аналитики'!T1571*SUMIF(ThresholdAge23,"&lt;"&amp;'19_Расчет_аналитики'!T1571,WeightedRevAge23)-SUMIF(ThresholdAge23,"&lt;"&amp;'19_Расчет_аналитики'!T1571,WeightedMinAge23),MAX(CapacityAge23*'01_Вводные'!$B$218*'19_Расчет_аналитики'!T1571,MeanMinAge23)))</f>
        <v/>
      </c>
      <c r="U1498">
        <f>IF(OR('06_Сеть_и_дети'!U103=0,23&lt;='01_Вводные'!$B$297),0,'06_Сеть_и_дети'!U103*IF('01_Вводные'!$B$239="Да",MeanMinAge23+'19_Расчет_аналитики'!U1571*SUMIF(ThresholdAge23,"&lt;"&amp;'19_Расчет_аналитики'!U1571,WeightedRevAge23)-SUMIF(ThresholdAge23,"&lt;"&amp;'19_Расчет_аналитики'!U1571,WeightedMinAge23),MAX(CapacityAge23*'01_Вводные'!$B$218*'19_Расчет_аналитики'!U1571,MeanMinAge23)))</f>
        <v/>
      </c>
      <c r="V1498">
        <f>IF(OR('06_Сеть_и_дети'!V103=0,23&lt;='01_Вводные'!$B$297),0,'06_Сеть_и_дети'!V103*IF('01_Вводные'!$B$239="Да",MeanMinAge23+'19_Расчет_аналитики'!V1571*SUMIF(ThresholdAge23,"&lt;"&amp;'19_Расчет_аналитики'!V1571,WeightedRevAge23)-SUMIF(ThresholdAge23,"&lt;"&amp;'19_Расчет_аналитики'!V1571,WeightedMinAge23),MAX(CapacityAge23*'01_Вводные'!$B$218*'19_Расчет_аналитики'!V1571,MeanMinAge23)))</f>
        <v/>
      </c>
      <c r="W1498">
        <f>IF(OR('06_Сеть_и_дети'!W103=0,23&lt;='01_Вводные'!$B$297),0,'06_Сеть_и_дети'!W103*IF('01_Вводные'!$B$239="Да",MeanMinAge23+'19_Расчет_аналитики'!W1571*SUMIF(ThresholdAge23,"&lt;"&amp;'19_Расчет_аналитики'!W1571,WeightedRevAge23)-SUMIF(ThresholdAge23,"&lt;"&amp;'19_Расчет_аналитики'!W1571,WeightedMinAge23),MAX(CapacityAge23*'01_Вводные'!$B$218*'19_Расчет_аналитики'!W1571,MeanMinAge23)))</f>
        <v/>
      </c>
      <c r="X1498">
        <f>IF(OR('19_Расчет_аналитики'!X1470=0,23&lt;='01_Вводные'!$B$297),0,'19_Расчет_аналитики'!X1470*IF('01_Вводные'!$B$239="Да",MeanMinAge23+'19_Расчет_аналитики'!X1571*SUMIF(ThresholdAge23,"&lt;"&amp;'19_Расчет_аналитики'!X1571,WeightedRevAge23)-SUMIF(ThresholdAge23,"&lt;"&amp;'19_Расчет_аналитики'!X1571,WeightedMinAge23),MAX(CapacityAge23*'01_Вводные'!$B$218*'19_Расчет_аналитики'!X1571,MeanMinAge23)))</f>
        <v/>
      </c>
      <c r="Y1498">
        <f>IF(OR('19_Расчет_аналитики'!Y1470=0,23&lt;='01_Вводные'!$B$297),0,'19_Расчет_аналитики'!Y1470*IF('01_Вводные'!$B$239="Да",MeanMinAge23+'19_Расчет_аналитики'!Y1571*SUMIF(ThresholdAge23,"&lt;"&amp;'19_Расчет_аналитики'!Y1571,WeightedRevAge23)-SUMIF(ThresholdAge23,"&lt;"&amp;'19_Расчет_аналитики'!Y1571,WeightedMinAge23),MAX(CapacityAge23*'01_Вводные'!$B$218*'19_Расчет_аналитики'!Y1571,MeanMinAge23)))</f>
        <v/>
      </c>
      <c r="Z1498">
        <f>IF(OR('19_Расчет_аналитики'!Z1470=0,23&lt;='01_Вводные'!$B$297),0,'19_Расчет_аналитики'!Z1470*IF('01_Вводные'!$B$239="Да",MeanMinAge23+'19_Расчет_аналитики'!Z1571*SUMIF(ThresholdAge23,"&lt;"&amp;'19_Расчет_аналитики'!Z1571,WeightedRevAge23)-SUMIF(ThresholdAge23,"&lt;"&amp;'19_Расчет_аналитики'!Z1571,WeightedMinAge23),MAX(CapacityAge23*'01_Вводные'!$B$218*'19_Расчет_аналитики'!Z1571,MeanMinAge23)))</f>
        <v/>
      </c>
      <c r="AA1498">
        <f>IF(OR('19_Расчет_аналитики'!AA1470=0,23&lt;='01_Вводные'!$B$297),0,'19_Расчет_аналитики'!AA1470*IF('01_Вводные'!$B$239="Да",MeanMinAge23+'19_Расчет_аналитики'!AA1571*SUMIF(ThresholdAge23,"&lt;"&amp;'19_Расчет_аналитики'!AA1571,WeightedRevAge23)-SUMIF(ThresholdAge23,"&lt;"&amp;'19_Расчет_аналитики'!AA1571,WeightedMinAge23),MAX(CapacityAge23*'01_Вводные'!$B$218*'19_Расчет_аналитики'!AA1571,MeanMinAge23)))</f>
        <v/>
      </c>
      <c r="AB1498">
        <f>IF(OR('19_Расчет_аналитики'!AB1470=0,23&lt;='01_Вводные'!$B$297),0,'19_Расчет_аналитики'!AB1470*IF('01_Вводные'!$B$239="Да",MeanMinAge23+'19_Расчет_аналитики'!AB1571*SUMIF(ThresholdAge23,"&lt;"&amp;'19_Расчет_аналитики'!AB1571,WeightedRevAge23)-SUMIF(ThresholdAge23,"&lt;"&amp;'19_Расчет_аналитики'!AB1571,WeightedMinAge23),MAX(CapacityAge23*'01_Вводные'!$B$218*'19_Расчет_аналитики'!AB1571,MeanMinAge23)))</f>
        <v/>
      </c>
      <c r="AC1498">
        <f>IF(OR('19_Расчет_аналитики'!AC1470=0,23&lt;='01_Вводные'!$B$297),0,'19_Расчет_аналитики'!AC1470*IF('01_Вводные'!$B$239="Да",MeanMinAge23+'19_Расчет_аналитики'!AC1571*SUMIF(ThresholdAge23,"&lt;"&amp;'19_Расчет_аналитики'!AC1571,WeightedRevAge23)-SUMIF(ThresholdAge23,"&lt;"&amp;'19_Расчет_аналитики'!AC1571,WeightedMinAge23),MAX(CapacityAge23*'01_Вводные'!$B$218*'19_Расчет_аналитики'!AC1571,MeanMinAge23)))</f>
        <v/>
      </c>
      <c r="AD1498">
        <f>IF(OR('19_Расчет_аналитики'!AD1470=0,23&lt;='01_Вводные'!$B$297),0,'19_Расчет_аналитики'!AD1470*IF('01_Вводные'!$B$239="Да",MeanMinAge23+'19_Расчет_аналитики'!AD1571*SUMIF(ThresholdAge23,"&lt;"&amp;'19_Расчет_аналитики'!AD1571,WeightedRevAge23)-SUMIF(ThresholdAge23,"&lt;"&amp;'19_Расчет_аналитики'!AD1571,WeightedMinAge23),MAX(CapacityAge23*'01_Вводные'!$B$218*'19_Расчет_аналитики'!AD1571,MeanMinAge23)))</f>
        <v/>
      </c>
      <c r="AE1498">
        <f>IF(OR('19_Расчет_аналитики'!AE1470=0,23&lt;='01_Вводные'!$B$297),0,'19_Расчет_аналитики'!AE1470*IF('01_Вводные'!$B$239="Да",MeanMinAge23+'19_Расчет_аналитики'!AE1571*SUMIF(ThresholdAge23,"&lt;"&amp;'19_Расчет_аналитики'!AE1571,WeightedRevAge23)-SUMIF(ThresholdAge23,"&lt;"&amp;'19_Расчет_аналитики'!AE1571,WeightedMinAge23),MAX(CapacityAge23*'01_Вводные'!$B$218*'19_Расчет_аналитики'!AE1571,MeanMinAge23)))</f>
        <v/>
      </c>
      <c r="AF1498">
        <f>IF(OR('19_Расчет_аналитики'!AF1470=0,23&lt;='01_Вводные'!$B$297),0,'19_Расчет_аналитики'!AF1470*IF('01_Вводные'!$B$239="Да",MeanMinAge23+'19_Расчет_аналитики'!AF1571*SUMIF(ThresholdAge23,"&lt;"&amp;'19_Расчет_аналитики'!AF1571,WeightedRevAge23)-SUMIF(ThresholdAge23,"&lt;"&amp;'19_Расчет_аналитики'!AF1571,WeightedMinAge23),MAX(CapacityAge23*'01_Вводные'!$B$218*'19_Расчет_аналитики'!AF1571,MeanMinAge23)))</f>
        <v/>
      </c>
      <c r="AG1498">
        <f>IF(OR('19_Расчет_аналитики'!AG1470=0,23&lt;='01_Вводные'!$B$297),0,'19_Расчет_аналитики'!AG1470*IF('01_Вводные'!$B$239="Да",MeanMinAge23+'19_Расчет_аналитики'!AG1571*SUMIF(ThresholdAge23,"&lt;"&amp;'19_Расчет_аналитики'!AG1571,WeightedRevAge23)-SUMIF(ThresholdAge23,"&lt;"&amp;'19_Расчет_аналитики'!AG1571,WeightedMinAge23),MAX(CapacityAge23*'01_Вводные'!$B$218*'19_Расчет_аналитики'!AG1571,MeanMinAge23)))</f>
        <v/>
      </c>
      <c r="AH1498">
        <f>IF(OR('19_Расчет_аналитики'!AH1470=0,23&lt;='01_Вводные'!$B$297),0,'19_Расчет_аналитики'!AH1470*IF('01_Вводные'!$B$239="Да",MeanMinAge23+'19_Расчет_аналитики'!AH1571*SUMIF(ThresholdAge23,"&lt;"&amp;'19_Расчет_аналитики'!AH1571,WeightedRevAge23)-SUMIF(ThresholdAge23,"&lt;"&amp;'19_Расчет_аналитики'!AH1571,WeightedMinAge23),MAX(CapacityAge23*'01_Вводные'!$B$218*'19_Расчет_аналитики'!AH1571,MeanMinAge23)))</f>
        <v/>
      </c>
      <c r="AI1498">
        <f>IF(OR('19_Расчет_аналитики'!AI1470=0,23&lt;='01_Вводные'!$B$297),0,'19_Расчет_аналитики'!AI1470*IF('01_Вводные'!$B$239="Да",MeanMinAge23+'19_Расчет_аналитики'!AI1571*SUMIF(ThresholdAge23,"&lt;"&amp;'19_Расчет_аналитики'!AI1571,WeightedRevAge23)-SUMIF(ThresholdAge23,"&lt;"&amp;'19_Расчет_аналитики'!AI1571,WeightedMinAge23),MAX(CapacityAge23*'01_Вводные'!$B$218*'19_Расчет_аналитики'!AI1571,MeanMinAge23)))</f>
        <v/>
      </c>
      <c r="AJ1498">
        <f>IF(OR('19_Расчет_аналитики'!AJ1470=0,23&lt;='01_Вводные'!$B$297),0,'19_Расчет_аналитики'!AJ1470*IF('01_Вводные'!$B$239="Да",MeanMinAge23+'19_Расчет_аналитики'!AJ1571*SUMIF(ThresholdAge23,"&lt;"&amp;'19_Расчет_аналитики'!AJ1571,WeightedRevAge23)-SUMIF(ThresholdAge23,"&lt;"&amp;'19_Расчет_аналитики'!AJ1571,WeightedMinAge23),MAX(CapacityAge23*'01_Вводные'!$B$218*'19_Расчет_аналитики'!AJ1571,MeanMinAge23)))</f>
        <v/>
      </c>
      <c r="AK1498">
        <f>IF(OR('19_Расчет_аналитики'!AK1470=0,23&lt;='01_Вводные'!$B$297),0,'19_Расчет_аналитики'!AK1470*IF('01_Вводные'!$B$239="Да",MeanMinAge23+'19_Расчет_аналитики'!AK1571*SUMIF(ThresholdAge23,"&lt;"&amp;'19_Расчет_аналитики'!AK1571,WeightedRevAge23)-SUMIF(ThresholdAge23,"&lt;"&amp;'19_Расчет_аналитики'!AK1571,WeightedMinAge23),MAX(CapacityAge23*'01_Вводные'!$B$218*'19_Расчет_аналитики'!AK1571,MeanMinAge23)))</f>
        <v/>
      </c>
      <c r="AL1498">
        <f>IF(OR('19_Расчет_аналитики'!AL1470=0,23&lt;='01_Вводные'!$B$297),0,'19_Расчет_аналитики'!AL1470*IF('01_Вводные'!$B$239="Да",MeanMinAge23+'19_Расчет_аналитики'!AL1571*SUMIF(ThresholdAge23,"&lt;"&amp;'19_Расчет_аналитики'!AL1571,WeightedRevAge23)-SUMIF(ThresholdAge23,"&lt;"&amp;'19_Расчет_аналитики'!AL1571,WeightedMinAge23),MAX(CapacityAge23*'01_Вводные'!$B$218*'19_Расчет_аналитики'!AL1571,MeanMinAge23)))</f>
        <v/>
      </c>
      <c r="AM1498">
        <f>IF(OR('19_Расчет_аналитики'!AM1470=0,23&lt;='01_Вводные'!$B$297),0,'19_Расчет_аналитики'!AM1470*IF('01_Вводные'!$B$239="Да",MeanMinAge23+'19_Расчет_аналитики'!AM1571*SUMIF(ThresholdAge23,"&lt;"&amp;'19_Расчет_аналитики'!AM1571,WeightedRevAge23)-SUMIF(ThresholdAge23,"&lt;"&amp;'19_Расчет_аналитики'!AM1571,WeightedMinAge23),MAX(CapacityAge23*'01_Вводные'!$B$218*'19_Расчет_аналитики'!AM1571,MeanMinAge23)))</f>
        <v/>
      </c>
      <c r="AN1498">
        <f>IF(OR('19_Расчет_аналитики'!AN1470=0,23&lt;='01_Вводные'!$B$297),0,'19_Расчет_аналитики'!AN1470*IF('01_Вводные'!$B$239="Да",MeanMinAge23+'19_Расчет_аналитики'!AN1571*SUMIF(ThresholdAge23,"&lt;"&amp;'19_Расчет_аналитики'!AN1571,WeightedRevAge23)-SUMIF(ThresholdAge23,"&lt;"&amp;'19_Расчет_аналитики'!AN1571,WeightedMinAge23),MAX(CapacityAge23*'01_Вводные'!$B$218*'19_Расчет_аналитики'!AN1571,MeanMinAge23)))</f>
        <v/>
      </c>
      <c r="AO1498">
        <f>IF(OR('19_Расчет_аналитики'!AO1470=0,23&lt;='01_Вводные'!$B$297),0,'19_Расчет_аналитики'!AO1470*IF('01_Вводные'!$B$239="Да",MeanMinAge23+'19_Расчет_аналитики'!AO1571*SUMIF(ThresholdAge23,"&lt;"&amp;'19_Расчет_аналитики'!AO1571,WeightedRevAge23)-SUMIF(ThresholdAge23,"&lt;"&amp;'19_Расчет_аналитики'!AO1571,WeightedMinAge23),MAX(CapacityAge23*'01_Вводные'!$B$218*'19_Расчет_аналитики'!AO1571,MeanMinAge23)))</f>
        <v/>
      </c>
      <c r="AP1498">
        <f>IF(OR('19_Расчет_аналитики'!AP1470=0,23&lt;='01_Вводные'!$B$297),0,'19_Расчет_аналитики'!AP1470*IF('01_Вводные'!$B$239="Да",MeanMinAge23+'19_Расчет_аналитики'!AP1571*SUMIF(ThresholdAge23,"&lt;"&amp;'19_Расчет_аналитики'!AP1571,WeightedRevAge23)-SUMIF(ThresholdAge23,"&lt;"&amp;'19_Расчет_аналитики'!AP1571,WeightedMinAge23),MAX(CapacityAge23*'01_Вводные'!$B$218*'19_Расчет_аналитики'!AP1571,MeanMinAge23)))</f>
        <v/>
      </c>
      <c r="AQ1498">
        <f>IF(OR('19_Расчет_аналитики'!AQ1470=0,23&lt;='01_Вводные'!$B$297),0,'19_Расчет_аналитики'!AQ1470*IF('01_Вводные'!$B$239="Да",MeanMinAge23+'19_Расчет_аналитики'!AQ1571*SUMIF(ThresholdAge23,"&lt;"&amp;'19_Расчет_аналитики'!AQ1571,WeightedRevAge23)-SUMIF(ThresholdAge23,"&lt;"&amp;'19_Расчет_аналитики'!AQ1571,WeightedMinAge23),MAX(CapacityAge23*'01_Вводные'!$B$218*'19_Расчет_аналитики'!AQ1571,MeanMinAge23)))</f>
        <v/>
      </c>
      <c r="AR1498">
        <f>IF(OR('19_Расчет_аналитики'!AR1470=0,23&lt;='01_Вводные'!$B$297),0,'19_Расчет_аналитики'!AR1470*IF('01_Вводные'!$B$239="Да",MeanMinAge23+'19_Расчет_аналитики'!AR1571*SUMIF(ThresholdAge23,"&lt;"&amp;'19_Расчет_аналитики'!AR1571,WeightedRevAge23)-SUMIF(ThresholdAge23,"&lt;"&amp;'19_Расчет_аналитики'!AR1571,WeightedMinAge23),MAX(CapacityAge23*'01_Вводные'!$B$218*'19_Расчет_аналитики'!AR1571,MeanMinAge23)))</f>
        <v/>
      </c>
      <c r="AS1498">
        <f>IF(OR('19_Расчет_аналитики'!AS1470=0,23&lt;='01_Вводные'!$B$297),0,'19_Расчет_аналитики'!AS1470*IF('01_Вводные'!$B$239="Да",MeanMinAge23+'19_Расчет_аналитики'!AS1571*SUMIF(ThresholdAge23,"&lt;"&amp;'19_Расчет_аналитики'!AS1571,WeightedRevAge23)-SUMIF(ThresholdAge23,"&lt;"&amp;'19_Расчет_аналитики'!AS1571,WeightedMinAge23),MAX(CapacityAge23*'01_Вводные'!$B$218*'19_Расчет_аналитики'!AS1571,MeanMinAge23)))</f>
        <v/>
      </c>
      <c r="AT1498">
        <f>IF(OR('19_Расчет_аналитики'!AT1470=0,23&lt;='01_Вводные'!$B$297),0,'19_Расчет_аналитики'!AT1470*IF('01_Вводные'!$B$239="Да",MeanMinAge23+'19_Расчет_аналитики'!AT1571*SUMIF(ThresholdAge23,"&lt;"&amp;'19_Расчет_аналитики'!AT1571,WeightedRevAge23)-SUMIF(ThresholdAge23,"&lt;"&amp;'19_Расчет_аналитики'!AT1571,WeightedMinAge23),MAX(CapacityAge23*'01_Вводные'!$B$218*'19_Расчет_аналитики'!AT1571,MeanMinAge23)))</f>
        <v/>
      </c>
      <c r="AU1498">
        <f>IF(OR('19_Расчет_аналитики'!AU1470=0,23&lt;='01_Вводные'!$B$297),0,'19_Расчет_аналитики'!AU1470*IF('01_Вводные'!$B$239="Да",MeanMinAge23+'19_Расчет_аналитики'!AU1571*SUMIF(ThresholdAge23,"&lt;"&amp;'19_Расчет_аналитики'!AU1571,WeightedRevAge23)-SUMIF(ThresholdAge23,"&lt;"&amp;'19_Расчет_аналитики'!AU1571,WeightedMinAge23),MAX(CapacityAge23*'01_Вводные'!$B$218*'19_Расчет_аналитики'!AU1571,MeanMinAge23)))</f>
        <v/>
      </c>
      <c r="AV1498">
        <f>IF(OR('19_Расчет_аналитики'!AV1470=0,23&lt;='01_Вводные'!$B$297),0,'19_Расчет_аналитики'!AV1470*IF('01_Вводные'!$B$239="Да",MeanMinAge23+'19_Расчет_аналитики'!AV1571*SUMIF(ThresholdAge23,"&lt;"&amp;'19_Расчет_аналитики'!AV1571,WeightedRevAge23)-SUMIF(ThresholdAge23,"&lt;"&amp;'19_Расчет_аналитики'!AV1571,WeightedMinAge23),MAX(CapacityAge23*'01_Вводные'!$B$218*'19_Расчет_аналитики'!AV1571,MeanMinAge23)))</f>
        <v/>
      </c>
      <c r="AW1498">
        <f>IF(OR('19_Расчет_аналитики'!AW1470=0,23&lt;='01_Вводные'!$B$297),0,'19_Расчет_аналитики'!AW1470*IF('01_Вводные'!$B$239="Да",MeanMinAge23+'19_Расчет_аналитики'!AW1571*SUMIF(ThresholdAge23,"&lt;"&amp;'19_Расчет_аналитики'!AW1571,WeightedRevAge23)-SUMIF(ThresholdAge23,"&lt;"&amp;'19_Расчет_аналитики'!AW1571,WeightedMinAge23),MAX(CapacityAge23*'01_Вводные'!$B$218*'19_Расчет_аналитики'!AW1571,MeanMinAge23)))</f>
        <v/>
      </c>
      <c r="AX1498">
        <f>IF(OR('19_Расчет_аналитики'!AX1470=0,23&lt;='01_Вводные'!$B$297),0,'19_Расчет_аналитики'!AX1470*IF('01_Вводные'!$B$239="Да",MeanMinAge23+'19_Расчет_аналитики'!AX1571*SUMIF(ThresholdAge23,"&lt;"&amp;'19_Расчет_аналитики'!AX1571,WeightedRevAge23)-SUMIF(ThresholdAge23,"&lt;"&amp;'19_Расчет_аналитики'!AX1571,WeightedMinAge23),MAX(CapacityAge23*'01_Вводные'!$B$218*'19_Расчет_аналитики'!AX1571,MeanMinAge23)))</f>
        <v/>
      </c>
      <c r="AY1498">
        <f>IF(OR('19_Расчет_аналитики'!AY1470=0,23&lt;='01_Вводные'!$B$297),0,'19_Расчет_аналитики'!AY1470*IF('01_Вводные'!$B$239="Да",MeanMinAge23+'19_Расчет_аналитики'!AY1571*SUMIF(ThresholdAge23,"&lt;"&amp;'19_Расчет_аналитики'!AY1571,WeightedRevAge23)-SUMIF(ThresholdAge23,"&lt;"&amp;'19_Расчет_аналитики'!AY1571,WeightedMinAge23),MAX(CapacityAge23*'01_Вводные'!$B$218*'19_Расчет_аналитики'!AY1571,MeanMinAge23)))</f>
        <v/>
      </c>
      <c r="AZ1498">
        <f>IF(OR('19_Расчет_аналитики'!AZ1470=0,23&lt;='01_Вводные'!$B$297),0,'19_Расчет_аналитики'!AZ1470*IF('01_Вводные'!$B$239="Да",MeanMinAge23+'19_Расчет_аналитики'!AZ1571*SUMIF(ThresholdAge23,"&lt;"&amp;'19_Расчет_аналитики'!AZ1571,WeightedRevAge23)-SUMIF(ThresholdAge23,"&lt;"&amp;'19_Расчет_аналитики'!AZ1571,WeightedMinAge23),MAX(CapacityAge23*'01_Вводные'!$B$218*'19_Расчет_аналитики'!AZ1571,MeanMinAge23)))</f>
        <v/>
      </c>
      <c r="BA1498">
        <f>IF(OR('19_Расчет_аналитики'!BA1470=0,23&lt;='01_Вводные'!$B$297),0,'19_Расчет_аналитики'!BA1470*IF('01_Вводные'!$B$239="Да",MeanMinAge23+'19_Расчет_аналитики'!BA1571*SUMIF(ThresholdAge23,"&lt;"&amp;'19_Расчет_аналитики'!BA1571,WeightedRevAge23)-SUMIF(ThresholdAge23,"&lt;"&amp;'19_Расчет_аналитики'!BA1571,WeightedMinAge23),MAX(CapacityAge23*'01_Вводные'!$B$218*'19_Расчет_аналитики'!BA1571,MeanMinAge23)))</f>
        <v/>
      </c>
      <c r="BB1498">
        <f>IF(OR('19_Расчет_аналитики'!BB1470=0,23&lt;='01_Вводные'!$B$297),0,'19_Расчет_аналитики'!BB1470*IF('01_Вводные'!$B$239="Да",MeanMinAge23+'19_Расчет_аналитики'!BB1571*SUMIF(ThresholdAge23,"&lt;"&amp;'19_Расчет_аналитики'!BB1571,WeightedRevAge23)-SUMIF(ThresholdAge23,"&lt;"&amp;'19_Расчет_аналитики'!BB1571,WeightedMinAge23),MAX(CapacityAge23*'01_Вводные'!$B$218*'19_Расчет_аналитики'!BB1571,MeanMinAge23)))</f>
        <v/>
      </c>
      <c r="BC1498">
        <f>IF(OR('19_Расчет_аналитики'!BC1470=0,23&lt;='01_Вводные'!$B$297),0,'19_Расчет_аналитики'!BC1470*IF('01_Вводные'!$B$239="Да",MeanMinAge23+'19_Расчет_аналитики'!BC1571*SUMIF(ThresholdAge23,"&lt;"&amp;'19_Расчет_аналитики'!BC1571,WeightedRevAge23)-SUMIF(ThresholdAge23,"&lt;"&amp;'19_Расчет_аналитики'!BC1571,WeightedMinAge23),MAX(CapacityAge23*'01_Вводные'!$B$218*'19_Расчет_аналитики'!BC1571,MeanMinAge23)))</f>
        <v/>
      </c>
      <c r="BD1498">
        <f>IF(OR('19_Расчет_аналитики'!BD1470=0,23&lt;='01_Вводные'!$B$297),0,'19_Расчет_аналитики'!BD1470*IF('01_Вводные'!$B$239="Да",MeanMinAge23+'19_Расчет_аналитики'!BD1571*SUMIF(ThresholdAge23,"&lt;"&amp;'19_Расчет_аналитики'!BD1571,WeightedRevAge23)-SUMIF(ThresholdAge23,"&lt;"&amp;'19_Расчет_аналитики'!BD1571,WeightedMinAge23),MAX(CapacityAge23*'01_Вводные'!$B$218*'19_Расчет_аналитики'!BD1571,MeanMinAge23)))</f>
        <v/>
      </c>
      <c r="BE1498">
        <f>IF(OR('19_Расчет_аналитики'!BE1470=0,23&lt;='01_Вводные'!$B$297),0,'19_Расчет_аналитики'!BE1470*IF('01_Вводные'!$B$239="Да",MeanMinAge23+'19_Расчет_аналитики'!BE1571*SUMIF(ThresholdAge23,"&lt;"&amp;'19_Расчет_аналитики'!BE1571,WeightedRevAge23)-SUMIF(ThresholdAge23,"&lt;"&amp;'19_Расчет_аналитики'!BE1571,WeightedMinAge23),MAX(CapacityAge23*'01_Вводные'!$B$218*'19_Расчет_аналитики'!BE1571,MeanMinAge23)))</f>
        <v/>
      </c>
      <c r="BF1498">
        <f>IF(OR('19_Расчет_аналитики'!BF1470=0,23&lt;='01_Вводные'!$B$297),0,'19_Расчет_аналитики'!BF1470*IF('01_Вводные'!$B$239="Да",MeanMinAge23+'19_Расчет_аналитики'!BF1571*SUMIF(ThresholdAge23,"&lt;"&amp;'19_Расчет_аналитики'!BF1571,WeightedRevAge23)-SUMIF(ThresholdAge23,"&lt;"&amp;'19_Расчет_аналитики'!BF1571,WeightedMinAge23),MAX(CapacityAge23*'01_Вводные'!$B$218*'19_Расчет_аналитики'!BF1571,MeanMinAge23)))</f>
        <v/>
      </c>
      <c r="BG1498">
        <f>IF(OR('19_Расчет_аналитики'!BG1470=0,23&lt;='01_Вводные'!$B$297),0,'19_Расчет_аналитики'!BG1470*IF('01_Вводные'!$B$239="Да",MeanMinAge23+'19_Расчет_аналитики'!BG1571*SUMIF(ThresholdAge23,"&lt;"&amp;'19_Расчет_аналитики'!BG1571,WeightedRevAge23)-SUMIF(ThresholdAge23,"&lt;"&amp;'19_Расчет_аналитики'!BG1571,WeightedMinAge23),MAX(CapacityAge23*'01_Вводные'!$B$218*'19_Расчет_аналитики'!BG1571,MeanMinAge23)))</f>
        <v/>
      </c>
      <c r="BH1498">
        <f>IF(OR('19_Расчет_аналитики'!BH1470=0,23&lt;='01_Вводные'!$B$297),0,'19_Расчет_аналитики'!BH1470*IF('01_Вводные'!$B$239="Да",MeanMinAge23+'19_Расчет_аналитики'!BH1571*SUMIF(ThresholdAge23,"&lt;"&amp;'19_Расчет_аналитики'!BH1571,WeightedRevAge23)-SUMIF(ThresholdAge23,"&lt;"&amp;'19_Расчет_аналитики'!BH1571,WeightedMinAge23),MAX(CapacityAge23*'01_Вводные'!$B$218*'19_Расчет_аналитики'!BH1571,MeanMinAge23)))</f>
        <v/>
      </c>
      <c r="BI1498">
        <f>IF(OR('19_Расчет_аналитики'!BI1470=0,23&lt;='01_Вводные'!$B$297),0,'19_Расчет_аналитики'!BI1470*IF('01_Вводные'!$B$239="Да",MeanMinAge23+'19_Расчет_аналитики'!BI1571*SUMIF(ThresholdAge23,"&lt;"&amp;'19_Расчет_аналитики'!BI1571,WeightedRevAge23)-SUMIF(ThresholdAge23,"&lt;"&amp;'19_Расчет_аналитики'!BI1571,WeightedMinAge23),MAX(CapacityAge23*'01_Вводные'!$B$218*'19_Расчет_аналитики'!BI1571,MeanMinAge23)))</f>
        <v/>
      </c>
      <c r="BJ1498">
        <f>IF(OR('19_Расчет_аналитики'!BJ1470=0,23&lt;='01_Вводные'!$B$297),0,'19_Расчет_аналитики'!BJ1470*IF('01_Вводные'!$B$239="Да",MeanMinAge23+'19_Расчет_аналитики'!BJ1571*SUMIF(ThresholdAge23,"&lt;"&amp;'19_Расчет_аналитики'!BJ1571,WeightedRevAge23)-SUMIF(ThresholdAge23,"&lt;"&amp;'19_Расчет_аналитики'!BJ1571,WeightedMinAge23),MAX(CapacityAge23*'01_Вводные'!$B$218*'19_Расчет_аналитики'!BJ1571,MeanMinAge23)))</f>
        <v/>
      </c>
      <c r="BK1498">
        <f>IF(OR('19_Расчет_аналитики'!BK1470=0,23&lt;='01_Вводные'!$B$297),0,'19_Расчет_аналитики'!BK1470*IF('01_Вводные'!$B$239="Да",MeanMinAge23+'19_Расчет_аналитики'!BK1571*SUMIF(ThresholdAge23,"&lt;"&amp;'19_Расчет_аналитики'!BK1571,WeightedRevAge23)-SUMIF(ThresholdAge23,"&lt;"&amp;'19_Расчет_аналитики'!BK1571,WeightedMinAge23),MAX(CapacityAge23*'01_Вводные'!$B$218*'19_Расчет_аналитики'!BK1571,MeanMinAge23)))</f>
        <v/>
      </c>
      <c r="BL1498">
        <f>IF(OR('19_Расчет_аналитики'!BL1470=0,23&lt;='01_Вводные'!$B$297),0,'19_Расчет_аналитики'!BL1470*IF('01_Вводные'!$B$239="Да",MeanMinAge23+'19_Расчет_аналитики'!BL1571*SUMIF(ThresholdAge23,"&lt;"&amp;'19_Расчет_аналитики'!BL1571,WeightedRevAge23)-SUMIF(ThresholdAge23,"&lt;"&amp;'19_Расчет_аналитики'!BL1571,WeightedMinAge23),MAX(CapacityAge23*'01_Вводные'!$B$218*'19_Расчет_аналитики'!BL1571,MeanMinAge23)))</f>
        <v/>
      </c>
      <c r="BM1498">
        <f>IF(OR('19_Расчет_аналитики'!BM1470=0,23&lt;='01_Вводные'!$B$297),0,'19_Расчет_аналитики'!BM1470*IF('01_Вводные'!$B$239="Да",MeanMinAge23+'19_Расчет_аналитики'!BM1571*SUMIF(ThresholdAge23,"&lt;"&amp;'19_Расчет_аналитики'!BM1571,WeightedRevAge23)-SUMIF(ThresholdAge23,"&lt;"&amp;'19_Расчет_аналитики'!BM1571,WeightedMinAge23),MAX(CapacityAge23*'01_Вводные'!$B$218*'19_Расчет_аналитики'!BM1571,MeanMinAge23)))</f>
        <v/>
      </c>
      <c r="BN1498">
        <f>IF(OR('19_Расчет_аналитики'!BN1470=0,23&lt;='01_Вводные'!$B$297),0,'19_Расчет_аналитики'!BN1470*IF('01_Вводные'!$B$239="Да",MeanMinAge23+'19_Расчет_аналитики'!BN1571*SUMIF(ThresholdAge23,"&lt;"&amp;'19_Расчет_аналитики'!BN1571,WeightedRevAge23)-SUMIF(ThresholdAge23,"&lt;"&amp;'19_Расчет_аналитики'!BN1571,WeightedMinAge23),MAX(CapacityAge23*'01_Вводные'!$B$218*'19_Расчет_аналитики'!BN1571,MeanMinAge23)))</f>
        <v/>
      </c>
      <c r="BO1498">
        <f>IF(OR('19_Расчет_аналитики'!BO1470=0,23&lt;='01_Вводные'!$B$297),0,'19_Расчет_аналитики'!BO1470*IF('01_Вводные'!$B$239="Да",MeanMinAge23+'19_Расчет_аналитики'!BO1571*SUMIF(ThresholdAge23,"&lt;"&amp;'19_Расчет_аналитики'!BO1571,WeightedRevAge23)-SUMIF(ThresholdAge23,"&lt;"&amp;'19_Расчет_аналитики'!BO1571,WeightedMinAge23),MAX(CapacityAge23*'01_Вводные'!$B$218*'19_Расчет_аналитики'!BO1571,MeanMinAge23)))</f>
        <v/>
      </c>
    </row>
    <row r="1499">
      <c r="B1499">
        <f>IF(OR('06_Сеть_и_дети'!B104=0,24&lt;='01_Вводные'!$B$297),0,'06_Сеть_и_дети'!B104*IF('01_Вводные'!$B$239="Да",MeanMinAge24+'19_Расчет_аналитики'!B1571*SUMIF(ThresholdAge24,"&lt;"&amp;'19_Расчет_аналитики'!B1571,WeightedRevAge24)-SUMIF(ThresholdAge24,"&lt;"&amp;'19_Расчет_аналитики'!B1571,WeightedMinAge24),MAX(CapacityAge24*'01_Вводные'!$B$218*'19_Расчет_аналитики'!B1571,MeanMinAge24)))</f>
        <v/>
      </c>
      <c r="C1499">
        <f>IF(OR('06_Сеть_и_дети'!C104=0,24&lt;='01_Вводные'!$B$297),0,'06_Сеть_и_дети'!C104*IF('01_Вводные'!$B$239="Да",MeanMinAge24+'19_Расчет_аналитики'!C1571*SUMIF(ThresholdAge24,"&lt;"&amp;'19_Расчет_аналитики'!C1571,WeightedRevAge24)-SUMIF(ThresholdAge24,"&lt;"&amp;'19_Расчет_аналитики'!C1571,WeightedMinAge24),MAX(CapacityAge24*'01_Вводные'!$B$218*'19_Расчет_аналитики'!C1571,MeanMinAge24)))</f>
        <v/>
      </c>
      <c r="D1499">
        <f>IF(OR('06_Сеть_и_дети'!D104=0,24&lt;='01_Вводные'!$B$297),0,'06_Сеть_и_дети'!D104*IF('01_Вводные'!$B$239="Да",MeanMinAge24+'19_Расчет_аналитики'!D1571*SUMIF(ThresholdAge24,"&lt;"&amp;'19_Расчет_аналитики'!D1571,WeightedRevAge24)-SUMIF(ThresholdAge24,"&lt;"&amp;'19_Расчет_аналитики'!D1571,WeightedMinAge24),MAX(CapacityAge24*'01_Вводные'!$B$218*'19_Расчет_аналитики'!D1571,MeanMinAge24)))</f>
        <v/>
      </c>
      <c r="E1499">
        <f>IF(OR('06_Сеть_и_дети'!E104=0,24&lt;='01_Вводные'!$B$297),0,'06_Сеть_и_дети'!E104*IF('01_Вводные'!$B$239="Да",MeanMinAge24+'19_Расчет_аналитики'!E1571*SUMIF(ThresholdAge24,"&lt;"&amp;'19_Расчет_аналитики'!E1571,WeightedRevAge24)-SUMIF(ThresholdAge24,"&lt;"&amp;'19_Расчет_аналитики'!E1571,WeightedMinAge24),MAX(CapacityAge24*'01_Вводные'!$B$218*'19_Расчет_аналитики'!E1571,MeanMinAge24)))</f>
        <v/>
      </c>
      <c r="F1499">
        <f>IF(OR('06_Сеть_и_дети'!F104=0,24&lt;='01_Вводные'!$B$297),0,'06_Сеть_и_дети'!F104*IF('01_Вводные'!$B$239="Да",MeanMinAge24+'19_Расчет_аналитики'!F1571*SUMIF(ThresholdAge24,"&lt;"&amp;'19_Расчет_аналитики'!F1571,WeightedRevAge24)-SUMIF(ThresholdAge24,"&lt;"&amp;'19_Расчет_аналитики'!F1571,WeightedMinAge24),MAX(CapacityAge24*'01_Вводные'!$B$218*'19_Расчет_аналитики'!F1571,MeanMinAge24)))</f>
        <v/>
      </c>
      <c r="G1499">
        <f>IF(OR('06_Сеть_и_дети'!G104=0,24&lt;='01_Вводные'!$B$297),0,'06_Сеть_и_дети'!G104*IF('01_Вводные'!$B$239="Да",MeanMinAge24+'19_Расчет_аналитики'!G1571*SUMIF(ThresholdAge24,"&lt;"&amp;'19_Расчет_аналитики'!G1571,WeightedRevAge24)-SUMIF(ThresholdAge24,"&lt;"&amp;'19_Расчет_аналитики'!G1571,WeightedMinAge24),MAX(CapacityAge24*'01_Вводные'!$B$218*'19_Расчет_аналитики'!G1571,MeanMinAge24)))</f>
        <v/>
      </c>
      <c r="H1499">
        <f>IF(OR('06_Сеть_и_дети'!H104=0,24&lt;='01_Вводные'!$B$297),0,'06_Сеть_и_дети'!H104*IF('01_Вводные'!$B$239="Да",MeanMinAge24+'19_Расчет_аналитики'!H1571*SUMIF(ThresholdAge24,"&lt;"&amp;'19_Расчет_аналитики'!H1571,WeightedRevAge24)-SUMIF(ThresholdAge24,"&lt;"&amp;'19_Расчет_аналитики'!H1571,WeightedMinAge24),MAX(CapacityAge24*'01_Вводные'!$B$218*'19_Расчет_аналитики'!H1571,MeanMinAge24)))</f>
        <v/>
      </c>
      <c r="I1499">
        <f>IF(OR('06_Сеть_и_дети'!I104=0,24&lt;='01_Вводные'!$B$297),0,'06_Сеть_и_дети'!I104*IF('01_Вводные'!$B$239="Да",MeanMinAge24+'19_Расчет_аналитики'!I1571*SUMIF(ThresholdAge24,"&lt;"&amp;'19_Расчет_аналитики'!I1571,WeightedRevAge24)-SUMIF(ThresholdAge24,"&lt;"&amp;'19_Расчет_аналитики'!I1571,WeightedMinAge24),MAX(CapacityAge24*'01_Вводные'!$B$218*'19_Расчет_аналитики'!I1571,MeanMinAge24)))</f>
        <v/>
      </c>
      <c r="J1499">
        <f>IF(OR('06_Сеть_и_дети'!J104=0,24&lt;='01_Вводные'!$B$297),0,'06_Сеть_и_дети'!J104*IF('01_Вводные'!$B$239="Да",MeanMinAge24+'19_Расчет_аналитики'!J1571*SUMIF(ThresholdAge24,"&lt;"&amp;'19_Расчет_аналитики'!J1571,WeightedRevAge24)-SUMIF(ThresholdAge24,"&lt;"&amp;'19_Расчет_аналитики'!J1571,WeightedMinAge24),MAX(CapacityAge24*'01_Вводные'!$B$218*'19_Расчет_аналитики'!J1571,MeanMinAge24)))</f>
        <v/>
      </c>
      <c r="K1499">
        <f>IF(OR('06_Сеть_и_дети'!K104=0,24&lt;='01_Вводные'!$B$297),0,'06_Сеть_и_дети'!K104*IF('01_Вводные'!$B$239="Да",MeanMinAge24+'19_Расчет_аналитики'!K1571*SUMIF(ThresholdAge24,"&lt;"&amp;'19_Расчет_аналитики'!K1571,WeightedRevAge24)-SUMIF(ThresholdAge24,"&lt;"&amp;'19_Расчет_аналитики'!K1571,WeightedMinAge24),MAX(CapacityAge24*'01_Вводные'!$B$218*'19_Расчет_аналитики'!K1571,MeanMinAge24)))</f>
        <v/>
      </c>
      <c r="L1499">
        <f>IF(OR('06_Сеть_и_дети'!L104=0,24&lt;='01_Вводные'!$B$297),0,'06_Сеть_и_дети'!L104*IF('01_Вводные'!$B$239="Да",MeanMinAge24+'19_Расчет_аналитики'!L1571*SUMIF(ThresholdAge24,"&lt;"&amp;'19_Расчет_аналитики'!L1571,WeightedRevAge24)-SUMIF(ThresholdAge24,"&lt;"&amp;'19_Расчет_аналитики'!L1571,WeightedMinAge24),MAX(CapacityAge24*'01_Вводные'!$B$218*'19_Расчет_аналитики'!L1571,MeanMinAge24)))</f>
        <v/>
      </c>
      <c r="M1499">
        <f>IF(OR('06_Сеть_и_дети'!M104=0,24&lt;='01_Вводные'!$B$297),0,'06_Сеть_и_дети'!M104*IF('01_Вводные'!$B$239="Да",MeanMinAge24+'19_Расчет_аналитики'!M1571*SUMIF(ThresholdAge24,"&lt;"&amp;'19_Расчет_аналитики'!M1571,WeightedRevAge24)-SUMIF(ThresholdAge24,"&lt;"&amp;'19_Расчет_аналитики'!M1571,WeightedMinAge24),MAX(CapacityAge24*'01_Вводные'!$B$218*'19_Расчет_аналитики'!M1571,MeanMinAge24)))</f>
        <v/>
      </c>
      <c r="N1499">
        <f>IF(OR('06_Сеть_и_дети'!N104=0,24&lt;='01_Вводные'!$B$297),0,'06_Сеть_и_дети'!N104*IF('01_Вводные'!$B$239="Да",MeanMinAge24+'19_Расчет_аналитики'!N1571*SUMIF(ThresholdAge24,"&lt;"&amp;'19_Расчет_аналитики'!N1571,WeightedRevAge24)-SUMIF(ThresholdAge24,"&lt;"&amp;'19_Расчет_аналитики'!N1571,WeightedMinAge24),MAX(CapacityAge24*'01_Вводные'!$B$218*'19_Расчет_аналитики'!N1571,MeanMinAge24)))</f>
        <v/>
      </c>
      <c r="O1499">
        <f>IF(OR('06_Сеть_и_дети'!O104=0,24&lt;='01_Вводные'!$B$297),0,'06_Сеть_и_дети'!O104*IF('01_Вводные'!$B$239="Да",MeanMinAge24+'19_Расчет_аналитики'!O1571*SUMIF(ThresholdAge24,"&lt;"&amp;'19_Расчет_аналитики'!O1571,WeightedRevAge24)-SUMIF(ThresholdAge24,"&lt;"&amp;'19_Расчет_аналитики'!O1571,WeightedMinAge24),MAX(CapacityAge24*'01_Вводные'!$B$218*'19_Расчет_аналитики'!O1571,MeanMinAge24)))</f>
        <v/>
      </c>
      <c r="P1499">
        <f>IF(OR('06_Сеть_и_дети'!P104=0,24&lt;='01_Вводные'!$B$297),0,'06_Сеть_и_дети'!P104*IF('01_Вводные'!$B$239="Да",MeanMinAge24+'19_Расчет_аналитики'!P1571*SUMIF(ThresholdAge24,"&lt;"&amp;'19_Расчет_аналитики'!P1571,WeightedRevAge24)-SUMIF(ThresholdAge24,"&lt;"&amp;'19_Расчет_аналитики'!P1571,WeightedMinAge24),MAX(CapacityAge24*'01_Вводные'!$B$218*'19_Расчет_аналитики'!P1571,MeanMinAge24)))</f>
        <v/>
      </c>
      <c r="Q1499">
        <f>IF(OR('06_Сеть_и_дети'!Q104=0,24&lt;='01_Вводные'!$B$297),0,'06_Сеть_и_дети'!Q104*IF('01_Вводные'!$B$239="Да",MeanMinAge24+'19_Расчет_аналитики'!Q1571*SUMIF(ThresholdAge24,"&lt;"&amp;'19_Расчет_аналитики'!Q1571,WeightedRevAge24)-SUMIF(ThresholdAge24,"&lt;"&amp;'19_Расчет_аналитики'!Q1571,WeightedMinAge24),MAX(CapacityAge24*'01_Вводные'!$B$218*'19_Расчет_аналитики'!Q1571,MeanMinAge24)))</f>
        <v/>
      </c>
      <c r="R1499">
        <f>IF(OR('06_Сеть_и_дети'!R104=0,24&lt;='01_Вводные'!$B$297),0,'06_Сеть_и_дети'!R104*IF('01_Вводные'!$B$239="Да",MeanMinAge24+'19_Расчет_аналитики'!R1571*SUMIF(ThresholdAge24,"&lt;"&amp;'19_Расчет_аналитики'!R1571,WeightedRevAge24)-SUMIF(ThresholdAge24,"&lt;"&amp;'19_Расчет_аналитики'!R1571,WeightedMinAge24),MAX(CapacityAge24*'01_Вводные'!$B$218*'19_Расчет_аналитики'!R1571,MeanMinAge24)))</f>
        <v/>
      </c>
      <c r="S1499">
        <f>IF(OR('06_Сеть_и_дети'!S104=0,24&lt;='01_Вводные'!$B$297),0,'06_Сеть_и_дети'!S104*IF('01_Вводные'!$B$239="Да",MeanMinAge24+'19_Расчет_аналитики'!S1571*SUMIF(ThresholdAge24,"&lt;"&amp;'19_Расчет_аналитики'!S1571,WeightedRevAge24)-SUMIF(ThresholdAge24,"&lt;"&amp;'19_Расчет_аналитики'!S1571,WeightedMinAge24),MAX(CapacityAge24*'01_Вводные'!$B$218*'19_Расчет_аналитики'!S1571,MeanMinAge24)))</f>
        <v/>
      </c>
      <c r="T1499">
        <f>IF(OR('06_Сеть_и_дети'!T104=0,24&lt;='01_Вводные'!$B$297),0,'06_Сеть_и_дети'!T104*IF('01_Вводные'!$B$239="Да",MeanMinAge24+'19_Расчет_аналитики'!T1571*SUMIF(ThresholdAge24,"&lt;"&amp;'19_Расчет_аналитики'!T1571,WeightedRevAge24)-SUMIF(ThresholdAge24,"&lt;"&amp;'19_Расчет_аналитики'!T1571,WeightedMinAge24),MAX(CapacityAge24*'01_Вводные'!$B$218*'19_Расчет_аналитики'!T1571,MeanMinAge24)))</f>
        <v/>
      </c>
      <c r="U1499">
        <f>IF(OR('06_Сеть_и_дети'!U104=0,24&lt;='01_Вводные'!$B$297),0,'06_Сеть_и_дети'!U104*IF('01_Вводные'!$B$239="Да",MeanMinAge24+'19_Расчет_аналитики'!U1571*SUMIF(ThresholdAge24,"&lt;"&amp;'19_Расчет_аналитики'!U1571,WeightedRevAge24)-SUMIF(ThresholdAge24,"&lt;"&amp;'19_Расчет_аналитики'!U1571,WeightedMinAge24),MAX(CapacityAge24*'01_Вводные'!$B$218*'19_Расчет_аналитики'!U1571,MeanMinAge24)))</f>
        <v/>
      </c>
      <c r="V1499">
        <f>IF(OR('06_Сеть_и_дети'!V104=0,24&lt;='01_Вводные'!$B$297),0,'06_Сеть_и_дети'!V104*IF('01_Вводные'!$B$239="Да",MeanMinAge24+'19_Расчет_аналитики'!V1571*SUMIF(ThresholdAge24,"&lt;"&amp;'19_Расчет_аналитики'!V1571,WeightedRevAge24)-SUMIF(ThresholdAge24,"&lt;"&amp;'19_Расчет_аналитики'!V1571,WeightedMinAge24),MAX(CapacityAge24*'01_Вводные'!$B$218*'19_Расчет_аналитики'!V1571,MeanMinAge24)))</f>
        <v/>
      </c>
      <c r="W1499">
        <f>IF(OR('06_Сеть_и_дети'!W104=0,24&lt;='01_Вводные'!$B$297),0,'06_Сеть_и_дети'!W104*IF('01_Вводные'!$B$239="Да",MeanMinAge24+'19_Расчет_аналитики'!W1571*SUMIF(ThresholdAge24,"&lt;"&amp;'19_Расчет_аналитики'!W1571,WeightedRevAge24)-SUMIF(ThresholdAge24,"&lt;"&amp;'19_Расчет_аналитики'!W1571,WeightedMinAge24),MAX(CapacityAge24*'01_Вводные'!$B$218*'19_Расчет_аналитики'!W1571,MeanMinAge24)))</f>
        <v/>
      </c>
      <c r="X1499">
        <f>IF(OR('06_Сеть_и_дети'!X104=0,24&lt;='01_Вводные'!$B$297),0,'06_Сеть_и_дети'!X104*IF('01_Вводные'!$B$239="Да",MeanMinAge24+'19_Расчет_аналитики'!X1571*SUMIF(ThresholdAge24,"&lt;"&amp;'19_Расчет_аналитики'!X1571,WeightedRevAge24)-SUMIF(ThresholdAge24,"&lt;"&amp;'19_Расчет_аналитики'!X1571,WeightedMinAge24),MAX(CapacityAge24*'01_Вводные'!$B$218*'19_Расчет_аналитики'!X1571,MeanMinAge24)))</f>
        <v/>
      </c>
      <c r="Y1499">
        <f>IF(OR('19_Расчет_аналитики'!Y1471=0,24&lt;='01_Вводные'!$B$297),0,'19_Расчет_аналитики'!Y1471*IF('01_Вводные'!$B$239="Да",MeanMinAge24+'19_Расчет_аналитики'!Y1571*SUMIF(ThresholdAge24,"&lt;"&amp;'19_Расчет_аналитики'!Y1571,WeightedRevAge24)-SUMIF(ThresholdAge24,"&lt;"&amp;'19_Расчет_аналитики'!Y1571,WeightedMinAge24),MAX(CapacityAge24*'01_Вводные'!$B$218*'19_Расчет_аналитики'!Y1571,MeanMinAge24)))</f>
        <v/>
      </c>
      <c r="Z1499">
        <f>IF(OR('19_Расчет_аналитики'!Z1471=0,24&lt;='01_Вводные'!$B$297),0,'19_Расчет_аналитики'!Z1471*IF('01_Вводные'!$B$239="Да",MeanMinAge24+'19_Расчет_аналитики'!Z1571*SUMIF(ThresholdAge24,"&lt;"&amp;'19_Расчет_аналитики'!Z1571,WeightedRevAge24)-SUMIF(ThresholdAge24,"&lt;"&amp;'19_Расчет_аналитики'!Z1571,WeightedMinAge24),MAX(CapacityAge24*'01_Вводные'!$B$218*'19_Расчет_аналитики'!Z1571,MeanMinAge24)))</f>
        <v/>
      </c>
      <c r="AA1499">
        <f>IF(OR('19_Расчет_аналитики'!AA1471=0,24&lt;='01_Вводные'!$B$297),0,'19_Расчет_аналитики'!AA1471*IF('01_Вводные'!$B$239="Да",MeanMinAge24+'19_Расчет_аналитики'!AA1571*SUMIF(ThresholdAge24,"&lt;"&amp;'19_Расчет_аналитики'!AA1571,WeightedRevAge24)-SUMIF(ThresholdAge24,"&lt;"&amp;'19_Расчет_аналитики'!AA1571,WeightedMinAge24),MAX(CapacityAge24*'01_Вводные'!$B$218*'19_Расчет_аналитики'!AA1571,MeanMinAge24)))</f>
        <v/>
      </c>
      <c r="AB1499">
        <f>IF(OR('19_Расчет_аналитики'!AB1471=0,24&lt;='01_Вводные'!$B$297),0,'19_Расчет_аналитики'!AB1471*IF('01_Вводные'!$B$239="Да",MeanMinAge24+'19_Расчет_аналитики'!AB1571*SUMIF(ThresholdAge24,"&lt;"&amp;'19_Расчет_аналитики'!AB1571,WeightedRevAge24)-SUMIF(ThresholdAge24,"&lt;"&amp;'19_Расчет_аналитики'!AB1571,WeightedMinAge24),MAX(CapacityAge24*'01_Вводные'!$B$218*'19_Расчет_аналитики'!AB1571,MeanMinAge24)))</f>
        <v/>
      </c>
      <c r="AC1499">
        <f>IF(OR('19_Расчет_аналитики'!AC1471=0,24&lt;='01_Вводные'!$B$297),0,'19_Расчет_аналитики'!AC1471*IF('01_Вводные'!$B$239="Да",MeanMinAge24+'19_Расчет_аналитики'!AC1571*SUMIF(ThresholdAge24,"&lt;"&amp;'19_Расчет_аналитики'!AC1571,WeightedRevAge24)-SUMIF(ThresholdAge24,"&lt;"&amp;'19_Расчет_аналитики'!AC1571,WeightedMinAge24),MAX(CapacityAge24*'01_Вводные'!$B$218*'19_Расчет_аналитики'!AC1571,MeanMinAge24)))</f>
        <v/>
      </c>
      <c r="AD1499">
        <f>IF(OR('19_Расчет_аналитики'!AD1471=0,24&lt;='01_Вводные'!$B$297),0,'19_Расчет_аналитики'!AD1471*IF('01_Вводные'!$B$239="Да",MeanMinAge24+'19_Расчет_аналитики'!AD1571*SUMIF(ThresholdAge24,"&lt;"&amp;'19_Расчет_аналитики'!AD1571,WeightedRevAge24)-SUMIF(ThresholdAge24,"&lt;"&amp;'19_Расчет_аналитики'!AD1571,WeightedMinAge24),MAX(CapacityAge24*'01_Вводные'!$B$218*'19_Расчет_аналитики'!AD1571,MeanMinAge24)))</f>
        <v/>
      </c>
      <c r="AE1499">
        <f>IF(OR('19_Расчет_аналитики'!AE1471=0,24&lt;='01_Вводные'!$B$297),0,'19_Расчет_аналитики'!AE1471*IF('01_Вводные'!$B$239="Да",MeanMinAge24+'19_Расчет_аналитики'!AE1571*SUMIF(ThresholdAge24,"&lt;"&amp;'19_Расчет_аналитики'!AE1571,WeightedRevAge24)-SUMIF(ThresholdAge24,"&lt;"&amp;'19_Расчет_аналитики'!AE1571,WeightedMinAge24),MAX(CapacityAge24*'01_Вводные'!$B$218*'19_Расчет_аналитики'!AE1571,MeanMinAge24)))</f>
        <v/>
      </c>
      <c r="AF1499">
        <f>IF(OR('19_Расчет_аналитики'!AF1471=0,24&lt;='01_Вводные'!$B$297),0,'19_Расчет_аналитики'!AF1471*IF('01_Вводные'!$B$239="Да",MeanMinAge24+'19_Расчет_аналитики'!AF1571*SUMIF(ThresholdAge24,"&lt;"&amp;'19_Расчет_аналитики'!AF1571,WeightedRevAge24)-SUMIF(ThresholdAge24,"&lt;"&amp;'19_Расчет_аналитики'!AF1571,WeightedMinAge24),MAX(CapacityAge24*'01_Вводные'!$B$218*'19_Расчет_аналитики'!AF1571,MeanMinAge24)))</f>
        <v/>
      </c>
      <c r="AG1499">
        <f>IF(OR('19_Расчет_аналитики'!AG1471=0,24&lt;='01_Вводные'!$B$297),0,'19_Расчет_аналитики'!AG1471*IF('01_Вводные'!$B$239="Да",MeanMinAge24+'19_Расчет_аналитики'!AG1571*SUMIF(ThresholdAge24,"&lt;"&amp;'19_Расчет_аналитики'!AG1571,WeightedRevAge24)-SUMIF(ThresholdAge24,"&lt;"&amp;'19_Расчет_аналитики'!AG1571,WeightedMinAge24),MAX(CapacityAge24*'01_Вводные'!$B$218*'19_Расчет_аналитики'!AG1571,MeanMinAge24)))</f>
        <v/>
      </c>
      <c r="AH1499">
        <f>IF(OR('19_Расчет_аналитики'!AH1471=0,24&lt;='01_Вводные'!$B$297),0,'19_Расчет_аналитики'!AH1471*IF('01_Вводные'!$B$239="Да",MeanMinAge24+'19_Расчет_аналитики'!AH1571*SUMIF(ThresholdAge24,"&lt;"&amp;'19_Расчет_аналитики'!AH1571,WeightedRevAge24)-SUMIF(ThresholdAge24,"&lt;"&amp;'19_Расчет_аналитики'!AH1571,WeightedMinAge24),MAX(CapacityAge24*'01_Вводные'!$B$218*'19_Расчет_аналитики'!AH1571,MeanMinAge24)))</f>
        <v/>
      </c>
      <c r="AI1499">
        <f>IF(OR('19_Расчет_аналитики'!AI1471=0,24&lt;='01_Вводные'!$B$297),0,'19_Расчет_аналитики'!AI1471*IF('01_Вводные'!$B$239="Да",MeanMinAge24+'19_Расчет_аналитики'!AI1571*SUMIF(ThresholdAge24,"&lt;"&amp;'19_Расчет_аналитики'!AI1571,WeightedRevAge24)-SUMIF(ThresholdAge24,"&lt;"&amp;'19_Расчет_аналитики'!AI1571,WeightedMinAge24),MAX(CapacityAge24*'01_Вводные'!$B$218*'19_Расчет_аналитики'!AI1571,MeanMinAge24)))</f>
        <v/>
      </c>
      <c r="AJ1499">
        <f>IF(OR('19_Расчет_аналитики'!AJ1471=0,24&lt;='01_Вводные'!$B$297),0,'19_Расчет_аналитики'!AJ1471*IF('01_Вводные'!$B$239="Да",MeanMinAge24+'19_Расчет_аналитики'!AJ1571*SUMIF(ThresholdAge24,"&lt;"&amp;'19_Расчет_аналитики'!AJ1571,WeightedRevAge24)-SUMIF(ThresholdAge24,"&lt;"&amp;'19_Расчет_аналитики'!AJ1571,WeightedMinAge24),MAX(CapacityAge24*'01_Вводные'!$B$218*'19_Расчет_аналитики'!AJ1571,MeanMinAge24)))</f>
        <v/>
      </c>
      <c r="AK1499">
        <f>IF(OR('19_Расчет_аналитики'!AK1471=0,24&lt;='01_Вводные'!$B$297),0,'19_Расчет_аналитики'!AK1471*IF('01_Вводные'!$B$239="Да",MeanMinAge24+'19_Расчет_аналитики'!AK1571*SUMIF(ThresholdAge24,"&lt;"&amp;'19_Расчет_аналитики'!AK1571,WeightedRevAge24)-SUMIF(ThresholdAge24,"&lt;"&amp;'19_Расчет_аналитики'!AK1571,WeightedMinAge24),MAX(CapacityAge24*'01_Вводные'!$B$218*'19_Расчет_аналитики'!AK1571,MeanMinAge24)))</f>
        <v/>
      </c>
      <c r="AL1499">
        <f>IF(OR('19_Расчет_аналитики'!AL1471=0,24&lt;='01_Вводные'!$B$297),0,'19_Расчет_аналитики'!AL1471*IF('01_Вводные'!$B$239="Да",MeanMinAge24+'19_Расчет_аналитики'!AL1571*SUMIF(ThresholdAge24,"&lt;"&amp;'19_Расчет_аналитики'!AL1571,WeightedRevAge24)-SUMIF(ThresholdAge24,"&lt;"&amp;'19_Расчет_аналитики'!AL1571,WeightedMinAge24),MAX(CapacityAge24*'01_Вводные'!$B$218*'19_Расчет_аналитики'!AL1571,MeanMinAge24)))</f>
        <v/>
      </c>
      <c r="AM1499">
        <f>IF(OR('19_Расчет_аналитики'!AM1471=0,24&lt;='01_Вводные'!$B$297),0,'19_Расчет_аналитики'!AM1471*IF('01_Вводные'!$B$239="Да",MeanMinAge24+'19_Расчет_аналитики'!AM1571*SUMIF(ThresholdAge24,"&lt;"&amp;'19_Расчет_аналитики'!AM1571,WeightedRevAge24)-SUMIF(ThresholdAge24,"&lt;"&amp;'19_Расчет_аналитики'!AM1571,WeightedMinAge24),MAX(CapacityAge24*'01_Вводные'!$B$218*'19_Расчет_аналитики'!AM1571,MeanMinAge24)))</f>
        <v/>
      </c>
      <c r="AN1499">
        <f>IF(OR('19_Расчет_аналитики'!AN1471=0,24&lt;='01_Вводные'!$B$297),0,'19_Расчет_аналитики'!AN1471*IF('01_Вводные'!$B$239="Да",MeanMinAge24+'19_Расчет_аналитики'!AN1571*SUMIF(ThresholdAge24,"&lt;"&amp;'19_Расчет_аналитики'!AN1571,WeightedRevAge24)-SUMIF(ThresholdAge24,"&lt;"&amp;'19_Расчет_аналитики'!AN1571,WeightedMinAge24),MAX(CapacityAge24*'01_Вводные'!$B$218*'19_Расчет_аналитики'!AN1571,MeanMinAge24)))</f>
        <v/>
      </c>
      <c r="AO1499">
        <f>IF(OR('19_Расчет_аналитики'!AO1471=0,24&lt;='01_Вводные'!$B$297),0,'19_Расчет_аналитики'!AO1471*IF('01_Вводные'!$B$239="Да",MeanMinAge24+'19_Расчет_аналитики'!AO1571*SUMIF(ThresholdAge24,"&lt;"&amp;'19_Расчет_аналитики'!AO1571,WeightedRevAge24)-SUMIF(ThresholdAge24,"&lt;"&amp;'19_Расчет_аналитики'!AO1571,WeightedMinAge24),MAX(CapacityAge24*'01_Вводные'!$B$218*'19_Расчет_аналитики'!AO1571,MeanMinAge24)))</f>
        <v/>
      </c>
      <c r="AP1499">
        <f>IF(OR('19_Расчет_аналитики'!AP1471=0,24&lt;='01_Вводные'!$B$297),0,'19_Расчет_аналитики'!AP1471*IF('01_Вводные'!$B$239="Да",MeanMinAge24+'19_Расчет_аналитики'!AP1571*SUMIF(ThresholdAge24,"&lt;"&amp;'19_Расчет_аналитики'!AP1571,WeightedRevAge24)-SUMIF(ThresholdAge24,"&lt;"&amp;'19_Расчет_аналитики'!AP1571,WeightedMinAge24),MAX(CapacityAge24*'01_Вводные'!$B$218*'19_Расчет_аналитики'!AP1571,MeanMinAge24)))</f>
        <v/>
      </c>
      <c r="AQ1499">
        <f>IF(OR('19_Расчет_аналитики'!AQ1471=0,24&lt;='01_Вводные'!$B$297),0,'19_Расчет_аналитики'!AQ1471*IF('01_Вводные'!$B$239="Да",MeanMinAge24+'19_Расчет_аналитики'!AQ1571*SUMIF(ThresholdAge24,"&lt;"&amp;'19_Расчет_аналитики'!AQ1571,WeightedRevAge24)-SUMIF(ThresholdAge24,"&lt;"&amp;'19_Расчет_аналитики'!AQ1571,WeightedMinAge24),MAX(CapacityAge24*'01_Вводные'!$B$218*'19_Расчет_аналитики'!AQ1571,MeanMinAge24)))</f>
        <v/>
      </c>
      <c r="AR1499">
        <f>IF(OR('19_Расчет_аналитики'!AR1471=0,24&lt;='01_Вводные'!$B$297),0,'19_Расчет_аналитики'!AR1471*IF('01_Вводные'!$B$239="Да",MeanMinAge24+'19_Расчет_аналитики'!AR1571*SUMIF(ThresholdAge24,"&lt;"&amp;'19_Расчет_аналитики'!AR1571,WeightedRevAge24)-SUMIF(ThresholdAge24,"&lt;"&amp;'19_Расчет_аналитики'!AR1571,WeightedMinAge24),MAX(CapacityAge24*'01_Вводные'!$B$218*'19_Расчет_аналитики'!AR1571,MeanMinAge24)))</f>
        <v/>
      </c>
      <c r="AS1499">
        <f>IF(OR('19_Расчет_аналитики'!AS1471=0,24&lt;='01_Вводные'!$B$297),0,'19_Расчет_аналитики'!AS1471*IF('01_Вводные'!$B$239="Да",MeanMinAge24+'19_Расчет_аналитики'!AS1571*SUMIF(ThresholdAge24,"&lt;"&amp;'19_Расчет_аналитики'!AS1571,WeightedRevAge24)-SUMIF(ThresholdAge24,"&lt;"&amp;'19_Расчет_аналитики'!AS1571,WeightedMinAge24),MAX(CapacityAge24*'01_Вводные'!$B$218*'19_Расчет_аналитики'!AS1571,MeanMinAge24)))</f>
        <v/>
      </c>
      <c r="AT1499">
        <f>IF(OR('19_Расчет_аналитики'!AT1471=0,24&lt;='01_Вводные'!$B$297),0,'19_Расчет_аналитики'!AT1471*IF('01_Вводные'!$B$239="Да",MeanMinAge24+'19_Расчет_аналитики'!AT1571*SUMIF(ThresholdAge24,"&lt;"&amp;'19_Расчет_аналитики'!AT1571,WeightedRevAge24)-SUMIF(ThresholdAge24,"&lt;"&amp;'19_Расчет_аналитики'!AT1571,WeightedMinAge24),MAX(CapacityAge24*'01_Вводные'!$B$218*'19_Расчет_аналитики'!AT1571,MeanMinAge24)))</f>
        <v/>
      </c>
      <c r="AU1499">
        <f>IF(OR('19_Расчет_аналитики'!AU1471=0,24&lt;='01_Вводные'!$B$297),0,'19_Расчет_аналитики'!AU1471*IF('01_Вводные'!$B$239="Да",MeanMinAge24+'19_Расчет_аналитики'!AU1571*SUMIF(ThresholdAge24,"&lt;"&amp;'19_Расчет_аналитики'!AU1571,WeightedRevAge24)-SUMIF(ThresholdAge24,"&lt;"&amp;'19_Расчет_аналитики'!AU1571,WeightedMinAge24),MAX(CapacityAge24*'01_Вводные'!$B$218*'19_Расчет_аналитики'!AU1571,MeanMinAge24)))</f>
        <v/>
      </c>
      <c r="AV1499">
        <f>IF(OR('19_Расчет_аналитики'!AV1471=0,24&lt;='01_Вводные'!$B$297),0,'19_Расчет_аналитики'!AV1471*IF('01_Вводные'!$B$239="Да",MeanMinAge24+'19_Расчет_аналитики'!AV1571*SUMIF(ThresholdAge24,"&lt;"&amp;'19_Расчет_аналитики'!AV1571,WeightedRevAge24)-SUMIF(ThresholdAge24,"&lt;"&amp;'19_Расчет_аналитики'!AV1571,WeightedMinAge24),MAX(CapacityAge24*'01_Вводные'!$B$218*'19_Расчет_аналитики'!AV1571,MeanMinAge24)))</f>
        <v/>
      </c>
      <c r="AW1499">
        <f>IF(OR('19_Расчет_аналитики'!AW1471=0,24&lt;='01_Вводные'!$B$297),0,'19_Расчет_аналитики'!AW1471*IF('01_Вводные'!$B$239="Да",MeanMinAge24+'19_Расчет_аналитики'!AW1571*SUMIF(ThresholdAge24,"&lt;"&amp;'19_Расчет_аналитики'!AW1571,WeightedRevAge24)-SUMIF(ThresholdAge24,"&lt;"&amp;'19_Расчет_аналитики'!AW1571,WeightedMinAge24),MAX(CapacityAge24*'01_Вводные'!$B$218*'19_Расчет_аналитики'!AW1571,MeanMinAge24)))</f>
        <v/>
      </c>
      <c r="AX1499">
        <f>IF(OR('19_Расчет_аналитики'!AX1471=0,24&lt;='01_Вводные'!$B$297),0,'19_Расчет_аналитики'!AX1471*IF('01_Вводные'!$B$239="Да",MeanMinAge24+'19_Расчет_аналитики'!AX1571*SUMIF(ThresholdAge24,"&lt;"&amp;'19_Расчет_аналитики'!AX1571,WeightedRevAge24)-SUMIF(ThresholdAge24,"&lt;"&amp;'19_Расчет_аналитики'!AX1571,WeightedMinAge24),MAX(CapacityAge24*'01_Вводные'!$B$218*'19_Расчет_аналитики'!AX1571,MeanMinAge24)))</f>
        <v/>
      </c>
      <c r="AY1499">
        <f>IF(OR('19_Расчет_аналитики'!AY1471=0,24&lt;='01_Вводные'!$B$297),0,'19_Расчет_аналитики'!AY1471*IF('01_Вводные'!$B$239="Да",MeanMinAge24+'19_Расчет_аналитики'!AY1571*SUMIF(ThresholdAge24,"&lt;"&amp;'19_Расчет_аналитики'!AY1571,WeightedRevAge24)-SUMIF(ThresholdAge24,"&lt;"&amp;'19_Расчет_аналитики'!AY1571,WeightedMinAge24),MAX(CapacityAge24*'01_Вводные'!$B$218*'19_Расчет_аналитики'!AY1571,MeanMinAge24)))</f>
        <v/>
      </c>
      <c r="AZ1499">
        <f>IF(OR('19_Расчет_аналитики'!AZ1471=0,24&lt;='01_Вводные'!$B$297),0,'19_Расчет_аналитики'!AZ1471*IF('01_Вводные'!$B$239="Да",MeanMinAge24+'19_Расчет_аналитики'!AZ1571*SUMIF(ThresholdAge24,"&lt;"&amp;'19_Расчет_аналитики'!AZ1571,WeightedRevAge24)-SUMIF(ThresholdAge24,"&lt;"&amp;'19_Расчет_аналитики'!AZ1571,WeightedMinAge24),MAX(CapacityAge24*'01_Вводные'!$B$218*'19_Расчет_аналитики'!AZ1571,MeanMinAge24)))</f>
        <v/>
      </c>
      <c r="BA1499">
        <f>IF(OR('19_Расчет_аналитики'!BA1471=0,24&lt;='01_Вводные'!$B$297),0,'19_Расчет_аналитики'!BA1471*IF('01_Вводные'!$B$239="Да",MeanMinAge24+'19_Расчет_аналитики'!BA1571*SUMIF(ThresholdAge24,"&lt;"&amp;'19_Расчет_аналитики'!BA1571,WeightedRevAge24)-SUMIF(ThresholdAge24,"&lt;"&amp;'19_Расчет_аналитики'!BA1571,WeightedMinAge24),MAX(CapacityAge24*'01_Вводные'!$B$218*'19_Расчет_аналитики'!BA1571,MeanMinAge24)))</f>
        <v/>
      </c>
      <c r="BB1499">
        <f>IF(OR('19_Расчет_аналитики'!BB1471=0,24&lt;='01_Вводные'!$B$297),0,'19_Расчет_аналитики'!BB1471*IF('01_Вводные'!$B$239="Да",MeanMinAge24+'19_Расчет_аналитики'!BB1571*SUMIF(ThresholdAge24,"&lt;"&amp;'19_Расчет_аналитики'!BB1571,WeightedRevAge24)-SUMIF(ThresholdAge24,"&lt;"&amp;'19_Расчет_аналитики'!BB1571,WeightedMinAge24),MAX(CapacityAge24*'01_Вводные'!$B$218*'19_Расчет_аналитики'!BB1571,MeanMinAge24)))</f>
        <v/>
      </c>
      <c r="BC1499">
        <f>IF(OR('19_Расчет_аналитики'!BC1471=0,24&lt;='01_Вводные'!$B$297),0,'19_Расчет_аналитики'!BC1471*IF('01_Вводные'!$B$239="Да",MeanMinAge24+'19_Расчет_аналитики'!BC1571*SUMIF(ThresholdAge24,"&lt;"&amp;'19_Расчет_аналитики'!BC1571,WeightedRevAge24)-SUMIF(ThresholdAge24,"&lt;"&amp;'19_Расчет_аналитики'!BC1571,WeightedMinAge24),MAX(CapacityAge24*'01_Вводные'!$B$218*'19_Расчет_аналитики'!BC1571,MeanMinAge24)))</f>
        <v/>
      </c>
      <c r="BD1499">
        <f>IF(OR('19_Расчет_аналитики'!BD1471=0,24&lt;='01_Вводные'!$B$297),0,'19_Расчет_аналитики'!BD1471*IF('01_Вводные'!$B$239="Да",MeanMinAge24+'19_Расчет_аналитики'!BD1571*SUMIF(ThresholdAge24,"&lt;"&amp;'19_Расчет_аналитики'!BD1571,WeightedRevAge24)-SUMIF(ThresholdAge24,"&lt;"&amp;'19_Расчет_аналитики'!BD1571,WeightedMinAge24),MAX(CapacityAge24*'01_Вводные'!$B$218*'19_Расчет_аналитики'!BD1571,MeanMinAge24)))</f>
        <v/>
      </c>
      <c r="BE1499">
        <f>IF(OR('19_Расчет_аналитики'!BE1471=0,24&lt;='01_Вводные'!$B$297),0,'19_Расчет_аналитики'!BE1471*IF('01_Вводные'!$B$239="Да",MeanMinAge24+'19_Расчет_аналитики'!BE1571*SUMIF(ThresholdAge24,"&lt;"&amp;'19_Расчет_аналитики'!BE1571,WeightedRevAge24)-SUMIF(ThresholdAge24,"&lt;"&amp;'19_Расчет_аналитики'!BE1571,WeightedMinAge24),MAX(CapacityAge24*'01_Вводные'!$B$218*'19_Расчет_аналитики'!BE1571,MeanMinAge24)))</f>
        <v/>
      </c>
      <c r="BF1499">
        <f>IF(OR('19_Расчет_аналитики'!BF1471=0,24&lt;='01_Вводные'!$B$297),0,'19_Расчет_аналитики'!BF1471*IF('01_Вводные'!$B$239="Да",MeanMinAge24+'19_Расчет_аналитики'!BF1571*SUMIF(ThresholdAge24,"&lt;"&amp;'19_Расчет_аналитики'!BF1571,WeightedRevAge24)-SUMIF(ThresholdAge24,"&lt;"&amp;'19_Расчет_аналитики'!BF1571,WeightedMinAge24),MAX(CapacityAge24*'01_Вводные'!$B$218*'19_Расчет_аналитики'!BF1571,MeanMinAge24)))</f>
        <v/>
      </c>
      <c r="BG1499">
        <f>IF(OR('19_Расчет_аналитики'!BG1471=0,24&lt;='01_Вводные'!$B$297),0,'19_Расчет_аналитики'!BG1471*IF('01_Вводные'!$B$239="Да",MeanMinAge24+'19_Расчет_аналитики'!BG1571*SUMIF(ThresholdAge24,"&lt;"&amp;'19_Расчет_аналитики'!BG1571,WeightedRevAge24)-SUMIF(ThresholdAge24,"&lt;"&amp;'19_Расчет_аналитики'!BG1571,WeightedMinAge24),MAX(CapacityAge24*'01_Вводные'!$B$218*'19_Расчет_аналитики'!BG1571,MeanMinAge24)))</f>
        <v/>
      </c>
      <c r="BH1499">
        <f>IF(OR('19_Расчет_аналитики'!BH1471=0,24&lt;='01_Вводные'!$B$297),0,'19_Расчет_аналитики'!BH1471*IF('01_Вводные'!$B$239="Да",MeanMinAge24+'19_Расчет_аналитики'!BH1571*SUMIF(ThresholdAge24,"&lt;"&amp;'19_Расчет_аналитики'!BH1571,WeightedRevAge24)-SUMIF(ThresholdAge24,"&lt;"&amp;'19_Расчет_аналитики'!BH1571,WeightedMinAge24),MAX(CapacityAge24*'01_Вводные'!$B$218*'19_Расчет_аналитики'!BH1571,MeanMinAge24)))</f>
        <v/>
      </c>
      <c r="BI1499">
        <f>IF(OR('19_Расчет_аналитики'!BI1471=0,24&lt;='01_Вводные'!$B$297),0,'19_Расчет_аналитики'!BI1471*IF('01_Вводные'!$B$239="Да",MeanMinAge24+'19_Расчет_аналитики'!BI1571*SUMIF(ThresholdAge24,"&lt;"&amp;'19_Расчет_аналитики'!BI1571,WeightedRevAge24)-SUMIF(ThresholdAge24,"&lt;"&amp;'19_Расчет_аналитики'!BI1571,WeightedMinAge24),MAX(CapacityAge24*'01_Вводные'!$B$218*'19_Расчет_аналитики'!BI1571,MeanMinAge24)))</f>
        <v/>
      </c>
      <c r="BJ1499">
        <f>IF(OR('19_Расчет_аналитики'!BJ1471=0,24&lt;='01_Вводные'!$B$297),0,'19_Расчет_аналитики'!BJ1471*IF('01_Вводные'!$B$239="Да",MeanMinAge24+'19_Расчет_аналитики'!BJ1571*SUMIF(ThresholdAge24,"&lt;"&amp;'19_Расчет_аналитики'!BJ1571,WeightedRevAge24)-SUMIF(ThresholdAge24,"&lt;"&amp;'19_Расчет_аналитики'!BJ1571,WeightedMinAge24),MAX(CapacityAge24*'01_Вводные'!$B$218*'19_Расчет_аналитики'!BJ1571,MeanMinAge24)))</f>
        <v/>
      </c>
      <c r="BK1499">
        <f>IF(OR('19_Расчет_аналитики'!BK1471=0,24&lt;='01_Вводные'!$B$297),0,'19_Расчет_аналитики'!BK1471*IF('01_Вводные'!$B$239="Да",MeanMinAge24+'19_Расчет_аналитики'!BK1571*SUMIF(ThresholdAge24,"&lt;"&amp;'19_Расчет_аналитики'!BK1571,WeightedRevAge24)-SUMIF(ThresholdAge24,"&lt;"&amp;'19_Расчет_аналитики'!BK1571,WeightedMinAge24),MAX(CapacityAge24*'01_Вводные'!$B$218*'19_Расчет_аналитики'!BK1571,MeanMinAge24)))</f>
        <v/>
      </c>
      <c r="BL1499">
        <f>IF(OR('19_Расчет_аналитики'!BL1471=0,24&lt;='01_Вводные'!$B$297),0,'19_Расчет_аналитики'!BL1471*IF('01_Вводные'!$B$239="Да",MeanMinAge24+'19_Расчет_аналитики'!BL1571*SUMIF(ThresholdAge24,"&lt;"&amp;'19_Расчет_аналитики'!BL1571,WeightedRevAge24)-SUMIF(ThresholdAge24,"&lt;"&amp;'19_Расчет_аналитики'!BL1571,WeightedMinAge24),MAX(CapacityAge24*'01_Вводные'!$B$218*'19_Расчет_аналитики'!BL1571,MeanMinAge24)))</f>
        <v/>
      </c>
      <c r="BM1499">
        <f>IF(OR('19_Расчет_аналитики'!BM1471=0,24&lt;='01_Вводные'!$B$297),0,'19_Расчет_аналитики'!BM1471*IF('01_Вводные'!$B$239="Да",MeanMinAge24+'19_Расчет_аналитики'!BM1571*SUMIF(ThresholdAge24,"&lt;"&amp;'19_Расчет_аналитики'!BM1571,WeightedRevAge24)-SUMIF(ThresholdAge24,"&lt;"&amp;'19_Расчет_аналитики'!BM1571,WeightedMinAge24),MAX(CapacityAge24*'01_Вводные'!$B$218*'19_Расчет_аналитики'!BM1571,MeanMinAge24)))</f>
        <v/>
      </c>
      <c r="BN1499">
        <f>IF(OR('19_Расчет_аналитики'!BN1471=0,24&lt;='01_Вводные'!$B$297),0,'19_Расчет_аналитики'!BN1471*IF('01_Вводные'!$B$239="Да",MeanMinAge24+'19_Расчет_аналитики'!BN1571*SUMIF(ThresholdAge24,"&lt;"&amp;'19_Расчет_аналитики'!BN1571,WeightedRevAge24)-SUMIF(ThresholdAge24,"&lt;"&amp;'19_Расчет_аналитики'!BN1571,WeightedMinAge24),MAX(CapacityAge24*'01_Вводные'!$B$218*'19_Расчет_аналитики'!BN1571,MeanMinAge24)))</f>
        <v/>
      </c>
      <c r="BO1499">
        <f>IF(OR('19_Расчет_аналитики'!BO1471=0,24&lt;='01_Вводные'!$B$297),0,'19_Расчет_аналитики'!BO1471*IF('01_Вводные'!$B$239="Да",MeanMinAge24+'19_Расчет_аналитики'!BO1571*SUMIF(ThresholdAge24,"&lt;"&amp;'19_Расчет_аналитики'!BO1571,WeightedRevAge24)-SUMIF(ThresholdAge24,"&lt;"&amp;'19_Расчет_аналитики'!BO1571,WeightedMinAge24),MAX(CapacityAge24*'01_Вводные'!$B$218*'19_Расчет_аналитики'!BO1571,MeanMinAge24)))</f>
        <v/>
      </c>
    </row>
    <row r="1500">
      <c r="B1500">
        <f>IF(OR('06_Сеть_и_дети'!B105=0,25&lt;='01_Вводные'!$B$297),0,'06_Сеть_и_дети'!B105*IF('01_Вводные'!$B$239="Да",MeanMinAge25+'19_Расчет_аналитики'!B1571*SUMIF(ThresholdAge25,"&lt;"&amp;'19_Расчет_аналитики'!B1571,WeightedRevAge25)-SUMIF(ThresholdAge25,"&lt;"&amp;'19_Расчет_аналитики'!B1571,WeightedMinAge25),MAX(CapacityAge25*'01_Вводные'!$B$218*'19_Расчет_аналитики'!B1571,MeanMinAge25)))</f>
        <v/>
      </c>
      <c r="C1500">
        <f>IF(OR('06_Сеть_и_дети'!C105=0,25&lt;='01_Вводные'!$B$297),0,'06_Сеть_и_дети'!C105*IF('01_Вводные'!$B$239="Да",MeanMinAge25+'19_Расчет_аналитики'!C1571*SUMIF(ThresholdAge25,"&lt;"&amp;'19_Расчет_аналитики'!C1571,WeightedRevAge25)-SUMIF(ThresholdAge25,"&lt;"&amp;'19_Расчет_аналитики'!C1571,WeightedMinAge25),MAX(CapacityAge25*'01_Вводные'!$B$218*'19_Расчет_аналитики'!C1571,MeanMinAge25)))</f>
        <v/>
      </c>
      <c r="D1500">
        <f>IF(OR('06_Сеть_и_дети'!D105=0,25&lt;='01_Вводные'!$B$297),0,'06_Сеть_и_дети'!D105*IF('01_Вводные'!$B$239="Да",MeanMinAge25+'19_Расчет_аналитики'!D1571*SUMIF(ThresholdAge25,"&lt;"&amp;'19_Расчет_аналитики'!D1571,WeightedRevAge25)-SUMIF(ThresholdAge25,"&lt;"&amp;'19_Расчет_аналитики'!D1571,WeightedMinAge25),MAX(CapacityAge25*'01_Вводные'!$B$218*'19_Расчет_аналитики'!D1571,MeanMinAge25)))</f>
        <v/>
      </c>
      <c r="E1500">
        <f>IF(OR('06_Сеть_и_дети'!E105=0,25&lt;='01_Вводные'!$B$297),0,'06_Сеть_и_дети'!E105*IF('01_Вводные'!$B$239="Да",MeanMinAge25+'19_Расчет_аналитики'!E1571*SUMIF(ThresholdAge25,"&lt;"&amp;'19_Расчет_аналитики'!E1571,WeightedRevAge25)-SUMIF(ThresholdAge25,"&lt;"&amp;'19_Расчет_аналитики'!E1571,WeightedMinAge25),MAX(CapacityAge25*'01_Вводные'!$B$218*'19_Расчет_аналитики'!E1571,MeanMinAge25)))</f>
        <v/>
      </c>
      <c r="F1500">
        <f>IF(OR('06_Сеть_и_дети'!F105=0,25&lt;='01_Вводные'!$B$297),0,'06_Сеть_и_дети'!F105*IF('01_Вводные'!$B$239="Да",MeanMinAge25+'19_Расчет_аналитики'!F1571*SUMIF(ThresholdAge25,"&lt;"&amp;'19_Расчет_аналитики'!F1571,WeightedRevAge25)-SUMIF(ThresholdAge25,"&lt;"&amp;'19_Расчет_аналитики'!F1571,WeightedMinAge25),MAX(CapacityAge25*'01_Вводные'!$B$218*'19_Расчет_аналитики'!F1571,MeanMinAge25)))</f>
        <v/>
      </c>
      <c r="G1500">
        <f>IF(OR('06_Сеть_и_дети'!G105=0,25&lt;='01_Вводные'!$B$297),0,'06_Сеть_и_дети'!G105*IF('01_Вводные'!$B$239="Да",MeanMinAge25+'19_Расчет_аналитики'!G1571*SUMIF(ThresholdAge25,"&lt;"&amp;'19_Расчет_аналитики'!G1571,WeightedRevAge25)-SUMIF(ThresholdAge25,"&lt;"&amp;'19_Расчет_аналитики'!G1571,WeightedMinAge25),MAX(CapacityAge25*'01_Вводные'!$B$218*'19_Расчет_аналитики'!G1571,MeanMinAge25)))</f>
        <v/>
      </c>
      <c r="H1500">
        <f>IF(OR('06_Сеть_и_дети'!H105=0,25&lt;='01_Вводные'!$B$297),0,'06_Сеть_и_дети'!H105*IF('01_Вводные'!$B$239="Да",MeanMinAge25+'19_Расчет_аналитики'!H1571*SUMIF(ThresholdAge25,"&lt;"&amp;'19_Расчет_аналитики'!H1571,WeightedRevAge25)-SUMIF(ThresholdAge25,"&lt;"&amp;'19_Расчет_аналитики'!H1571,WeightedMinAge25),MAX(CapacityAge25*'01_Вводные'!$B$218*'19_Расчет_аналитики'!H1571,MeanMinAge25)))</f>
        <v/>
      </c>
      <c r="I1500">
        <f>IF(OR('06_Сеть_и_дети'!I105=0,25&lt;='01_Вводные'!$B$297),0,'06_Сеть_и_дети'!I105*IF('01_Вводные'!$B$239="Да",MeanMinAge25+'19_Расчет_аналитики'!I1571*SUMIF(ThresholdAge25,"&lt;"&amp;'19_Расчет_аналитики'!I1571,WeightedRevAge25)-SUMIF(ThresholdAge25,"&lt;"&amp;'19_Расчет_аналитики'!I1571,WeightedMinAge25),MAX(CapacityAge25*'01_Вводные'!$B$218*'19_Расчет_аналитики'!I1571,MeanMinAge25)))</f>
        <v/>
      </c>
      <c r="J1500">
        <f>IF(OR('06_Сеть_и_дети'!J105=0,25&lt;='01_Вводные'!$B$297),0,'06_Сеть_и_дети'!J105*IF('01_Вводные'!$B$239="Да",MeanMinAge25+'19_Расчет_аналитики'!J1571*SUMIF(ThresholdAge25,"&lt;"&amp;'19_Расчет_аналитики'!J1571,WeightedRevAge25)-SUMIF(ThresholdAge25,"&lt;"&amp;'19_Расчет_аналитики'!J1571,WeightedMinAge25),MAX(CapacityAge25*'01_Вводные'!$B$218*'19_Расчет_аналитики'!J1571,MeanMinAge25)))</f>
        <v/>
      </c>
      <c r="K1500">
        <f>IF(OR('06_Сеть_и_дети'!K105=0,25&lt;='01_Вводные'!$B$297),0,'06_Сеть_и_дети'!K105*IF('01_Вводные'!$B$239="Да",MeanMinAge25+'19_Расчет_аналитики'!K1571*SUMIF(ThresholdAge25,"&lt;"&amp;'19_Расчет_аналитики'!K1571,WeightedRevAge25)-SUMIF(ThresholdAge25,"&lt;"&amp;'19_Расчет_аналитики'!K1571,WeightedMinAge25),MAX(CapacityAge25*'01_Вводные'!$B$218*'19_Расчет_аналитики'!K1571,MeanMinAge25)))</f>
        <v/>
      </c>
      <c r="L1500">
        <f>IF(OR('06_Сеть_и_дети'!L105=0,25&lt;='01_Вводные'!$B$297),0,'06_Сеть_и_дети'!L105*IF('01_Вводные'!$B$239="Да",MeanMinAge25+'19_Расчет_аналитики'!L1571*SUMIF(ThresholdAge25,"&lt;"&amp;'19_Расчет_аналитики'!L1571,WeightedRevAge25)-SUMIF(ThresholdAge25,"&lt;"&amp;'19_Расчет_аналитики'!L1571,WeightedMinAge25),MAX(CapacityAge25*'01_Вводные'!$B$218*'19_Расчет_аналитики'!L1571,MeanMinAge25)))</f>
        <v/>
      </c>
      <c r="M1500">
        <f>IF(OR('06_Сеть_и_дети'!M105=0,25&lt;='01_Вводные'!$B$297),0,'06_Сеть_и_дети'!M105*IF('01_Вводные'!$B$239="Да",MeanMinAge25+'19_Расчет_аналитики'!M1571*SUMIF(ThresholdAge25,"&lt;"&amp;'19_Расчет_аналитики'!M1571,WeightedRevAge25)-SUMIF(ThresholdAge25,"&lt;"&amp;'19_Расчет_аналитики'!M1571,WeightedMinAge25),MAX(CapacityAge25*'01_Вводные'!$B$218*'19_Расчет_аналитики'!M1571,MeanMinAge25)))</f>
        <v/>
      </c>
      <c r="N1500">
        <f>IF(OR('06_Сеть_и_дети'!N105=0,25&lt;='01_Вводные'!$B$297),0,'06_Сеть_и_дети'!N105*IF('01_Вводные'!$B$239="Да",MeanMinAge25+'19_Расчет_аналитики'!N1571*SUMIF(ThresholdAge25,"&lt;"&amp;'19_Расчет_аналитики'!N1571,WeightedRevAge25)-SUMIF(ThresholdAge25,"&lt;"&amp;'19_Расчет_аналитики'!N1571,WeightedMinAge25),MAX(CapacityAge25*'01_Вводные'!$B$218*'19_Расчет_аналитики'!N1571,MeanMinAge25)))</f>
        <v/>
      </c>
      <c r="O1500">
        <f>IF(OR('06_Сеть_и_дети'!O105=0,25&lt;='01_Вводные'!$B$297),0,'06_Сеть_и_дети'!O105*IF('01_Вводные'!$B$239="Да",MeanMinAge25+'19_Расчет_аналитики'!O1571*SUMIF(ThresholdAge25,"&lt;"&amp;'19_Расчет_аналитики'!O1571,WeightedRevAge25)-SUMIF(ThresholdAge25,"&lt;"&amp;'19_Расчет_аналитики'!O1571,WeightedMinAge25),MAX(CapacityAge25*'01_Вводные'!$B$218*'19_Расчет_аналитики'!O1571,MeanMinAge25)))</f>
        <v/>
      </c>
      <c r="P1500">
        <f>IF(OR('06_Сеть_и_дети'!P105=0,25&lt;='01_Вводные'!$B$297),0,'06_Сеть_и_дети'!P105*IF('01_Вводные'!$B$239="Да",MeanMinAge25+'19_Расчет_аналитики'!P1571*SUMIF(ThresholdAge25,"&lt;"&amp;'19_Расчет_аналитики'!P1571,WeightedRevAge25)-SUMIF(ThresholdAge25,"&lt;"&amp;'19_Расчет_аналитики'!P1571,WeightedMinAge25),MAX(CapacityAge25*'01_Вводные'!$B$218*'19_Расчет_аналитики'!P1571,MeanMinAge25)))</f>
        <v/>
      </c>
      <c r="Q1500">
        <f>IF(OR('06_Сеть_и_дети'!Q105=0,25&lt;='01_Вводные'!$B$297),0,'06_Сеть_и_дети'!Q105*IF('01_Вводные'!$B$239="Да",MeanMinAge25+'19_Расчет_аналитики'!Q1571*SUMIF(ThresholdAge25,"&lt;"&amp;'19_Расчет_аналитики'!Q1571,WeightedRevAge25)-SUMIF(ThresholdAge25,"&lt;"&amp;'19_Расчет_аналитики'!Q1571,WeightedMinAge25),MAX(CapacityAge25*'01_Вводные'!$B$218*'19_Расчет_аналитики'!Q1571,MeanMinAge25)))</f>
        <v/>
      </c>
      <c r="R1500">
        <f>IF(OR('06_Сеть_и_дети'!R105=0,25&lt;='01_Вводные'!$B$297),0,'06_Сеть_и_дети'!R105*IF('01_Вводные'!$B$239="Да",MeanMinAge25+'19_Расчет_аналитики'!R1571*SUMIF(ThresholdAge25,"&lt;"&amp;'19_Расчет_аналитики'!R1571,WeightedRevAge25)-SUMIF(ThresholdAge25,"&lt;"&amp;'19_Расчет_аналитики'!R1571,WeightedMinAge25),MAX(CapacityAge25*'01_Вводные'!$B$218*'19_Расчет_аналитики'!R1571,MeanMinAge25)))</f>
        <v/>
      </c>
      <c r="S1500">
        <f>IF(OR('06_Сеть_и_дети'!S105=0,25&lt;='01_Вводные'!$B$297),0,'06_Сеть_и_дети'!S105*IF('01_Вводные'!$B$239="Да",MeanMinAge25+'19_Расчет_аналитики'!S1571*SUMIF(ThresholdAge25,"&lt;"&amp;'19_Расчет_аналитики'!S1571,WeightedRevAge25)-SUMIF(ThresholdAge25,"&lt;"&amp;'19_Расчет_аналитики'!S1571,WeightedMinAge25),MAX(CapacityAge25*'01_Вводные'!$B$218*'19_Расчет_аналитики'!S1571,MeanMinAge25)))</f>
        <v/>
      </c>
      <c r="T1500">
        <f>IF(OR('06_Сеть_и_дети'!T105=0,25&lt;='01_Вводные'!$B$297),0,'06_Сеть_и_дети'!T105*IF('01_Вводные'!$B$239="Да",MeanMinAge25+'19_Расчет_аналитики'!T1571*SUMIF(ThresholdAge25,"&lt;"&amp;'19_Расчет_аналитики'!T1571,WeightedRevAge25)-SUMIF(ThresholdAge25,"&lt;"&amp;'19_Расчет_аналитики'!T1571,WeightedMinAge25),MAX(CapacityAge25*'01_Вводные'!$B$218*'19_Расчет_аналитики'!T1571,MeanMinAge25)))</f>
        <v/>
      </c>
      <c r="U1500">
        <f>IF(OR('06_Сеть_и_дети'!U105=0,25&lt;='01_Вводные'!$B$297),0,'06_Сеть_и_дети'!U105*IF('01_Вводные'!$B$239="Да",MeanMinAge25+'19_Расчет_аналитики'!U1571*SUMIF(ThresholdAge25,"&lt;"&amp;'19_Расчет_аналитики'!U1571,WeightedRevAge25)-SUMIF(ThresholdAge25,"&lt;"&amp;'19_Расчет_аналитики'!U1571,WeightedMinAge25),MAX(CapacityAge25*'01_Вводные'!$B$218*'19_Расчет_аналитики'!U1571,MeanMinAge25)))</f>
        <v/>
      </c>
      <c r="V1500">
        <f>IF(OR('06_Сеть_и_дети'!V105=0,25&lt;='01_Вводные'!$B$297),0,'06_Сеть_и_дети'!V105*IF('01_Вводные'!$B$239="Да",MeanMinAge25+'19_Расчет_аналитики'!V1571*SUMIF(ThresholdAge25,"&lt;"&amp;'19_Расчет_аналитики'!V1571,WeightedRevAge25)-SUMIF(ThresholdAge25,"&lt;"&amp;'19_Расчет_аналитики'!V1571,WeightedMinAge25),MAX(CapacityAge25*'01_Вводные'!$B$218*'19_Расчет_аналитики'!V1571,MeanMinAge25)))</f>
        <v/>
      </c>
      <c r="W1500">
        <f>IF(OR('06_Сеть_и_дети'!W105=0,25&lt;='01_Вводные'!$B$297),0,'06_Сеть_и_дети'!W105*IF('01_Вводные'!$B$239="Да",MeanMinAge25+'19_Расчет_аналитики'!W1571*SUMIF(ThresholdAge25,"&lt;"&amp;'19_Расчет_аналитики'!W1571,WeightedRevAge25)-SUMIF(ThresholdAge25,"&lt;"&amp;'19_Расчет_аналитики'!W1571,WeightedMinAge25),MAX(CapacityAge25*'01_Вводные'!$B$218*'19_Расчет_аналитики'!W1571,MeanMinAge25)))</f>
        <v/>
      </c>
      <c r="X1500">
        <f>IF(OR('06_Сеть_и_дети'!X105=0,25&lt;='01_Вводные'!$B$297),0,'06_Сеть_и_дети'!X105*IF('01_Вводные'!$B$239="Да",MeanMinAge25+'19_Расчет_аналитики'!X1571*SUMIF(ThresholdAge25,"&lt;"&amp;'19_Расчет_аналитики'!X1571,WeightedRevAge25)-SUMIF(ThresholdAge25,"&lt;"&amp;'19_Расчет_аналитики'!X1571,WeightedMinAge25),MAX(CapacityAge25*'01_Вводные'!$B$218*'19_Расчет_аналитики'!X1571,MeanMinAge25)))</f>
        <v/>
      </c>
      <c r="Y1500">
        <f>IF(OR('06_Сеть_и_дети'!Y105=0,25&lt;='01_Вводные'!$B$297),0,'06_Сеть_и_дети'!Y105*IF('01_Вводные'!$B$239="Да",MeanMinAge25+'19_Расчет_аналитики'!Y1571*SUMIF(ThresholdAge25,"&lt;"&amp;'19_Расчет_аналитики'!Y1571,WeightedRevAge25)-SUMIF(ThresholdAge25,"&lt;"&amp;'19_Расчет_аналитики'!Y1571,WeightedMinAge25),MAX(CapacityAge25*'01_Вводные'!$B$218*'19_Расчет_аналитики'!Y1571,MeanMinAge25)))</f>
        <v/>
      </c>
      <c r="Z1500">
        <f>IF(OR('19_Расчет_аналитики'!Z1472=0,25&lt;='01_Вводные'!$B$297),0,'19_Расчет_аналитики'!Z1472*IF('01_Вводные'!$B$239="Да",MeanMinAge25+'19_Расчет_аналитики'!Z1571*SUMIF(ThresholdAge25,"&lt;"&amp;'19_Расчет_аналитики'!Z1571,WeightedRevAge25)-SUMIF(ThresholdAge25,"&lt;"&amp;'19_Расчет_аналитики'!Z1571,WeightedMinAge25),MAX(CapacityAge25*'01_Вводные'!$B$218*'19_Расчет_аналитики'!Z1571,MeanMinAge25)))</f>
        <v/>
      </c>
      <c r="AA1500">
        <f>IF(OR('19_Расчет_аналитики'!AA1472=0,25&lt;='01_Вводные'!$B$297),0,'19_Расчет_аналитики'!AA1472*IF('01_Вводные'!$B$239="Да",MeanMinAge25+'19_Расчет_аналитики'!AA1571*SUMIF(ThresholdAge25,"&lt;"&amp;'19_Расчет_аналитики'!AA1571,WeightedRevAge25)-SUMIF(ThresholdAge25,"&lt;"&amp;'19_Расчет_аналитики'!AA1571,WeightedMinAge25),MAX(CapacityAge25*'01_Вводные'!$B$218*'19_Расчет_аналитики'!AA1571,MeanMinAge25)))</f>
        <v/>
      </c>
      <c r="AB1500">
        <f>IF(OR('19_Расчет_аналитики'!AB1472=0,25&lt;='01_Вводные'!$B$297),0,'19_Расчет_аналитики'!AB1472*IF('01_Вводные'!$B$239="Да",MeanMinAge25+'19_Расчет_аналитики'!AB1571*SUMIF(ThresholdAge25,"&lt;"&amp;'19_Расчет_аналитики'!AB1571,WeightedRevAge25)-SUMIF(ThresholdAge25,"&lt;"&amp;'19_Расчет_аналитики'!AB1571,WeightedMinAge25),MAX(CapacityAge25*'01_Вводные'!$B$218*'19_Расчет_аналитики'!AB1571,MeanMinAge25)))</f>
        <v/>
      </c>
      <c r="AC1500">
        <f>IF(OR('19_Расчет_аналитики'!AC1472=0,25&lt;='01_Вводные'!$B$297),0,'19_Расчет_аналитики'!AC1472*IF('01_Вводные'!$B$239="Да",MeanMinAge25+'19_Расчет_аналитики'!AC1571*SUMIF(ThresholdAge25,"&lt;"&amp;'19_Расчет_аналитики'!AC1571,WeightedRevAge25)-SUMIF(ThresholdAge25,"&lt;"&amp;'19_Расчет_аналитики'!AC1571,WeightedMinAge25),MAX(CapacityAge25*'01_Вводные'!$B$218*'19_Расчет_аналитики'!AC1571,MeanMinAge25)))</f>
        <v/>
      </c>
      <c r="AD1500">
        <f>IF(OR('19_Расчет_аналитики'!AD1472=0,25&lt;='01_Вводные'!$B$297),0,'19_Расчет_аналитики'!AD1472*IF('01_Вводные'!$B$239="Да",MeanMinAge25+'19_Расчет_аналитики'!AD1571*SUMIF(ThresholdAge25,"&lt;"&amp;'19_Расчет_аналитики'!AD1571,WeightedRevAge25)-SUMIF(ThresholdAge25,"&lt;"&amp;'19_Расчет_аналитики'!AD1571,WeightedMinAge25),MAX(CapacityAge25*'01_Вводные'!$B$218*'19_Расчет_аналитики'!AD1571,MeanMinAge25)))</f>
        <v/>
      </c>
      <c r="AE1500">
        <f>IF(OR('19_Расчет_аналитики'!AE1472=0,25&lt;='01_Вводные'!$B$297),0,'19_Расчет_аналитики'!AE1472*IF('01_Вводные'!$B$239="Да",MeanMinAge25+'19_Расчет_аналитики'!AE1571*SUMIF(ThresholdAge25,"&lt;"&amp;'19_Расчет_аналитики'!AE1571,WeightedRevAge25)-SUMIF(ThresholdAge25,"&lt;"&amp;'19_Расчет_аналитики'!AE1571,WeightedMinAge25),MAX(CapacityAge25*'01_Вводные'!$B$218*'19_Расчет_аналитики'!AE1571,MeanMinAge25)))</f>
        <v/>
      </c>
      <c r="AF1500">
        <f>IF(OR('19_Расчет_аналитики'!AF1472=0,25&lt;='01_Вводные'!$B$297),0,'19_Расчет_аналитики'!AF1472*IF('01_Вводные'!$B$239="Да",MeanMinAge25+'19_Расчет_аналитики'!AF1571*SUMIF(ThresholdAge25,"&lt;"&amp;'19_Расчет_аналитики'!AF1571,WeightedRevAge25)-SUMIF(ThresholdAge25,"&lt;"&amp;'19_Расчет_аналитики'!AF1571,WeightedMinAge25),MAX(CapacityAge25*'01_Вводные'!$B$218*'19_Расчет_аналитики'!AF1571,MeanMinAge25)))</f>
        <v/>
      </c>
      <c r="AG1500">
        <f>IF(OR('19_Расчет_аналитики'!AG1472=0,25&lt;='01_Вводные'!$B$297),0,'19_Расчет_аналитики'!AG1472*IF('01_Вводные'!$B$239="Да",MeanMinAge25+'19_Расчет_аналитики'!AG1571*SUMIF(ThresholdAge25,"&lt;"&amp;'19_Расчет_аналитики'!AG1571,WeightedRevAge25)-SUMIF(ThresholdAge25,"&lt;"&amp;'19_Расчет_аналитики'!AG1571,WeightedMinAge25),MAX(CapacityAge25*'01_Вводные'!$B$218*'19_Расчет_аналитики'!AG1571,MeanMinAge25)))</f>
        <v/>
      </c>
      <c r="AH1500">
        <f>IF(OR('19_Расчет_аналитики'!AH1472=0,25&lt;='01_Вводные'!$B$297),0,'19_Расчет_аналитики'!AH1472*IF('01_Вводные'!$B$239="Да",MeanMinAge25+'19_Расчет_аналитики'!AH1571*SUMIF(ThresholdAge25,"&lt;"&amp;'19_Расчет_аналитики'!AH1571,WeightedRevAge25)-SUMIF(ThresholdAge25,"&lt;"&amp;'19_Расчет_аналитики'!AH1571,WeightedMinAge25),MAX(CapacityAge25*'01_Вводные'!$B$218*'19_Расчет_аналитики'!AH1571,MeanMinAge25)))</f>
        <v/>
      </c>
      <c r="AI1500">
        <f>IF(OR('19_Расчет_аналитики'!AI1472=0,25&lt;='01_Вводные'!$B$297),0,'19_Расчет_аналитики'!AI1472*IF('01_Вводные'!$B$239="Да",MeanMinAge25+'19_Расчет_аналитики'!AI1571*SUMIF(ThresholdAge25,"&lt;"&amp;'19_Расчет_аналитики'!AI1571,WeightedRevAge25)-SUMIF(ThresholdAge25,"&lt;"&amp;'19_Расчет_аналитики'!AI1571,WeightedMinAge25),MAX(CapacityAge25*'01_Вводные'!$B$218*'19_Расчет_аналитики'!AI1571,MeanMinAge25)))</f>
        <v/>
      </c>
      <c r="AJ1500">
        <f>IF(OR('19_Расчет_аналитики'!AJ1472=0,25&lt;='01_Вводные'!$B$297),0,'19_Расчет_аналитики'!AJ1472*IF('01_Вводные'!$B$239="Да",MeanMinAge25+'19_Расчет_аналитики'!AJ1571*SUMIF(ThresholdAge25,"&lt;"&amp;'19_Расчет_аналитики'!AJ1571,WeightedRevAge25)-SUMIF(ThresholdAge25,"&lt;"&amp;'19_Расчет_аналитики'!AJ1571,WeightedMinAge25),MAX(CapacityAge25*'01_Вводные'!$B$218*'19_Расчет_аналитики'!AJ1571,MeanMinAge25)))</f>
        <v/>
      </c>
      <c r="AK1500">
        <f>IF(OR('19_Расчет_аналитики'!AK1472=0,25&lt;='01_Вводные'!$B$297),0,'19_Расчет_аналитики'!AK1472*IF('01_Вводные'!$B$239="Да",MeanMinAge25+'19_Расчет_аналитики'!AK1571*SUMIF(ThresholdAge25,"&lt;"&amp;'19_Расчет_аналитики'!AK1571,WeightedRevAge25)-SUMIF(ThresholdAge25,"&lt;"&amp;'19_Расчет_аналитики'!AK1571,WeightedMinAge25),MAX(CapacityAge25*'01_Вводные'!$B$218*'19_Расчет_аналитики'!AK1571,MeanMinAge25)))</f>
        <v/>
      </c>
      <c r="AL1500">
        <f>IF(OR('19_Расчет_аналитики'!AL1472=0,25&lt;='01_Вводные'!$B$297),0,'19_Расчет_аналитики'!AL1472*IF('01_Вводные'!$B$239="Да",MeanMinAge25+'19_Расчет_аналитики'!AL1571*SUMIF(ThresholdAge25,"&lt;"&amp;'19_Расчет_аналитики'!AL1571,WeightedRevAge25)-SUMIF(ThresholdAge25,"&lt;"&amp;'19_Расчет_аналитики'!AL1571,WeightedMinAge25),MAX(CapacityAge25*'01_Вводные'!$B$218*'19_Расчет_аналитики'!AL1571,MeanMinAge25)))</f>
        <v/>
      </c>
      <c r="AM1500">
        <f>IF(OR('19_Расчет_аналитики'!AM1472=0,25&lt;='01_Вводные'!$B$297),0,'19_Расчет_аналитики'!AM1472*IF('01_Вводные'!$B$239="Да",MeanMinAge25+'19_Расчет_аналитики'!AM1571*SUMIF(ThresholdAge25,"&lt;"&amp;'19_Расчет_аналитики'!AM1571,WeightedRevAge25)-SUMIF(ThresholdAge25,"&lt;"&amp;'19_Расчет_аналитики'!AM1571,WeightedMinAge25),MAX(CapacityAge25*'01_Вводные'!$B$218*'19_Расчет_аналитики'!AM1571,MeanMinAge25)))</f>
        <v/>
      </c>
      <c r="AN1500">
        <f>IF(OR('19_Расчет_аналитики'!AN1472=0,25&lt;='01_Вводные'!$B$297),0,'19_Расчет_аналитики'!AN1472*IF('01_Вводные'!$B$239="Да",MeanMinAge25+'19_Расчет_аналитики'!AN1571*SUMIF(ThresholdAge25,"&lt;"&amp;'19_Расчет_аналитики'!AN1571,WeightedRevAge25)-SUMIF(ThresholdAge25,"&lt;"&amp;'19_Расчет_аналитики'!AN1571,WeightedMinAge25),MAX(CapacityAge25*'01_Вводные'!$B$218*'19_Расчет_аналитики'!AN1571,MeanMinAge25)))</f>
        <v/>
      </c>
      <c r="AO1500">
        <f>IF(OR('19_Расчет_аналитики'!AO1472=0,25&lt;='01_Вводные'!$B$297),0,'19_Расчет_аналитики'!AO1472*IF('01_Вводные'!$B$239="Да",MeanMinAge25+'19_Расчет_аналитики'!AO1571*SUMIF(ThresholdAge25,"&lt;"&amp;'19_Расчет_аналитики'!AO1571,WeightedRevAge25)-SUMIF(ThresholdAge25,"&lt;"&amp;'19_Расчет_аналитики'!AO1571,WeightedMinAge25),MAX(CapacityAge25*'01_Вводные'!$B$218*'19_Расчет_аналитики'!AO1571,MeanMinAge25)))</f>
        <v/>
      </c>
      <c r="AP1500">
        <f>IF(OR('19_Расчет_аналитики'!AP1472=0,25&lt;='01_Вводные'!$B$297),0,'19_Расчет_аналитики'!AP1472*IF('01_Вводные'!$B$239="Да",MeanMinAge25+'19_Расчет_аналитики'!AP1571*SUMIF(ThresholdAge25,"&lt;"&amp;'19_Расчет_аналитики'!AP1571,WeightedRevAge25)-SUMIF(ThresholdAge25,"&lt;"&amp;'19_Расчет_аналитики'!AP1571,WeightedMinAge25),MAX(CapacityAge25*'01_Вводные'!$B$218*'19_Расчет_аналитики'!AP1571,MeanMinAge25)))</f>
        <v/>
      </c>
      <c r="AQ1500">
        <f>IF(OR('19_Расчет_аналитики'!AQ1472=0,25&lt;='01_Вводные'!$B$297),0,'19_Расчет_аналитики'!AQ1472*IF('01_Вводные'!$B$239="Да",MeanMinAge25+'19_Расчет_аналитики'!AQ1571*SUMIF(ThresholdAge25,"&lt;"&amp;'19_Расчет_аналитики'!AQ1571,WeightedRevAge25)-SUMIF(ThresholdAge25,"&lt;"&amp;'19_Расчет_аналитики'!AQ1571,WeightedMinAge25),MAX(CapacityAge25*'01_Вводные'!$B$218*'19_Расчет_аналитики'!AQ1571,MeanMinAge25)))</f>
        <v/>
      </c>
      <c r="AR1500">
        <f>IF(OR('19_Расчет_аналитики'!AR1472=0,25&lt;='01_Вводные'!$B$297),0,'19_Расчет_аналитики'!AR1472*IF('01_Вводные'!$B$239="Да",MeanMinAge25+'19_Расчет_аналитики'!AR1571*SUMIF(ThresholdAge25,"&lt;"&amp;'19_Расчет_аналитики'!AR1571,WeightedRevAge25)-SUMIF(ThresholdAge25,"&lt;"&amp;'19_Расчет_аналитики'!AR1571,WeightedMinAge25),MAX(CapacityAge25*'01_Вводные'!$B$218*'19_Расчет_аналитики'!AR1571,MeanMinAge25)))</f>
        <v/>
      </c>
      <c r="AS1500">
        <f>IF(OR('19_Расчет_аналитики'!AS1472=0,25&lt;='01_Вводные'!$B$297),0,'19_Расчет_аналитики'!AS1472*IF('01_Вводные'!$B$239="Да",MeanMinAge25+'19_Расчет_аналитики'!AS1571*SUMIF(ThresholdAge25,"&lt;"&amp;'19_Расчет_аналитики'!AS1571,WeightedRevAge25)-SUMIF(ThresholdAge25,"&lt;"&amp;'19_Расчет_аналитики'!AS1571,WeightedMinAge25),MAX(CapacityAge25*'01_Вводные'!$B$218*'19_Расчет_аналитики'!AS1571,MeanMinAge25)))</f>
        <v/>
      </c>
      <c r="AT1500">
        <f>IF(OR('19_Расчет_аналитики'!AT1472=0,25&lt;='01_Вводные'!$B$297),0,'19_Расчет_аналитики'!AT1472*IF('01_Вводные'!$B$239="Да",MeanMinAge25+'19_Расчет_аналитики'!AT1571*SUMIF(ThresholdAge25,"&lt;"&amp;'19_Расчет_аналитики'!AT1571,WeightedRevAge25)-SUMIF(ThresholdAge25,"&lt;"&amp;'19_Расчет_аналитики'!AT1571,WeightedMinAge25),MAX(CapacityAge25*'01_Вводные'!$B$218*'19_Расчет_аналитики'!AT1571,MeanMinAge25)))</f>
        <v/>
      </c>
      <c r="AU1500">
        <f>IF(OR('19_Расчет_аналитики'!AU1472=0,25&lt;='01_Вводные'!$B$297),0,'19_Расчет_аналитики'!AU1472*IF('01_Вводные'!$B$239="Да",MeanMinAge25+'19_Расчет_аналитики'!AU1571*SUMIF(ThresholdAge25,"&lt;"&amp;'19_Расчет_аналитики'!AU1571,WeightedRevAge25)-SUMIF(ThresholdAge25,"&lt;"&amp;'19_Расчет_аналитики'!AU1571,WeightedMinAge25),MAX(CapacityAge25*'01_Вводные'!$B$218*'19_Расчет_аналитики'!AU1571,MeanMinAge25)))</f>
        <v/>
      </c>
      <c r="AV1500">
        <f>IF(OR('19_Расчет_аналитики'!AV1472=0,25&lt;='01_Вводные'!$B$297),0,'19_Расчет_аналитики'!AV1472*IF('01_Вводные'!$B$239="Да",MeanMinAge25+'19_Расчет_аналитики'!AV1571*SUMIF(ThresholdAge25,"&lt;"&amp;'19_Расчет_аналитики'!AV1571,WeightedRevAge25)-SUMIF(ThresholdAge25,"&lt;"&amp;'19_Расчет_аналитики'!AV1571,WeightedMinAge25),MAX(CapacityAge25*'01_Вводные'!$B$218*'19_Расчет_аналитики'!AV1571,MeanMinAge25)))</f>
        <v/>
      </c>
      <c r="AW1500">
        <f>IF(OR('19_Расчет_аналитики'!AW1472=0,25&lt;='01_Вводные'!$B$297),0,'19_Расчет_аналитики'!AW1472*IF('01_Вводные'!$B$239="Да",MeanMinAge25+'19_Расчет_аналитики'!AW1571*SUMIF(ThresholdAge25,"&lt;"&amp;'19_Расчет_аналитики'!AW1571,WeightedRevAge25)-SUMIF(ThresholdAge25,"&lt;"&amp;'19_Расчет_аналитики'!AW1571,WeightedMinAge25),MAX(CapacityAge25*'01_Вводные'!$B$218*'19_Расчет_аналитики'!AW1571,MeanMinAge25)))</f>
        <v/>
      </c>
      <c r="AX1500">
        <f>IF(OR('19_Расчет_аналитики'!AX1472=0,25&lt;='01_Вводные'!$B$297),0,'19_Расчет_аналитики'!AX1472*IF('01_Вводные'!$B$239="Да",MeanMinAge25+'19_Расчет_аналитики'!AX1571*SUMIF(ThresholdAge25,"&lt;"&amp;'19_Расчет_аналитики'!AX1571,WeightedRevAge25)-SUMIF(ThresholdAge25,"&lt;"&amp;'19_Расчет_аналитики'!AX1571,WeightedMinAge25),MAX(CapacityAge25*'01_Вводные'!$B$218*'19_Расчет_аналитики'!AX1571,MeanMinAge25)))</f>
        <v/>
      </c>
      <c r="AY1500">
        <f>IF(OR('19_Расчет_аналитики'!AY1472=0,25&lt;='01_Вводные'!$B$297),0,'19_Расчет_аналитики'!AY1472*IF('01_Вводные'!$B$239="Да",MeanMinAge25+'19_Расчет_аналитики'!AY1571*SUMIF(ThresholdAge25,"&lt;"&amp;'19_Расчет_аналитики'!AY1571,WeightedRevAge25)-SUMIF(ThresholdAge25,"&lt;"&amp;'19_Расчет_аналитики'!AY1571,WeightedMinAge25),MAX(CapacityAge25*'01_Вводные'!$B$218*'19_Расчет_аналитики'!AY1571,MeanMinAge25)))</f>
        <v/>
      </c>
      <c r="AZ1500">
        <f>IF(OR('19_Расчет_аналитики'!AZ1472=0,25&lt;='01_Вводные'!$B$297),0,'19_Расчет_аналитики'!AZ1472*IF('01_Вводные'!$B$239="Да",MeanMinAge25+'19_Расчет_аналитики'!AZ1571*SUMIF(ThresholdAge25,"&lt;"&amp;'19_Расчет_аналитики'!AZ1571,WeightedRevAge25)-SUMIF(ThresholdAge25,"&lt;"&amp;'19_Расчет_аналитики'!AZ1571,WeightedMinAge25),MAX(CapacityAge25*'01_Вводные'!$B$218*'19_Расчет_аналитики'!AZ1571,MeanMinAge25)))</f>
        <v/>
      </c>
      <c r="BA1500">
        <f>IF(OR('19_Расчет_аналитики'!BA1472=0,25&lt;='01_Вводные'!$B$297),0,'19_Расчет_аналитики'!BA1472*IF('01_Вводные'!$B$239="Да",MeanMinAge25+'19_Расчет_аналитики'!BA1571*SUMIF(ThresholdAge25,"&lt;"&amp;'19_Расчет_аналитики'!BA1571,WeightedRevAge25)-SUMIF(ThresholdAge25,"&lt;"&amp;'19_Расчет_аналитики'!BA1571,WeightedMinAge25),MAX(CapacityAge25*'01_Вводные'!$B$218*'19_Расчет_аналитики'!BA1571,MeanMinAge25)))</f>
        <v/>
      </c>
      <c r="BB1500">
        <f>IF(OR('19_Расчет_аналитики'!BB1472=0,25&lt;='01_Вводные'!$B$297),0,'19_Расчет_аналитики'!BB1472*IF('01_Вводные'!$B$239="Да",MeanMinAge25+'19_Расчет_аналитики'!BB1571*SUMIF(ThresholdAge25,"&lt;"&amp;'19_Расчет_аналитики'!BB1571,WeightedRevAge25)-SUMIF(ThresholdAge25,"&lt;"&amp;'19_Расчет_аналитики'!BB1571,WeightedMinAge25),MAX(CapacityAge25*'01_Вводные'!$B$218*'19_Расчет_аналитики'!BB1571,MeanMinAge25)))</f>
        <v/>
      </c>
      <c r="BC1500">
        <f>IF(OR('19_Расчет_аналитики'!BC1472=0,25&lt;='01_Вводные'!$B$297),0,'19_Расчет_аналитики'!BC1472*IF('01_Вводные'!$B$239="Да",MeanMinAge25+'19_Расчет_аналитики'!BC1571*SUMIF(ThresholdAge25,"&lt;"&amp;'19_Расчет_аналитики'!BC1571,WeightedRevAge25)-SUMIF(ThresholdAge25,"&lt;"&amp;'19_Расчет_аналитики'!BC1571,WeightedMinAge25),MAX(CapacityAge25*'01_Вводные'!$B$218*'19_Расчет_аналитики'!BC1571,MeanMinAge25)))</f>
        <v/>
      </c>
      <c r="BD1500">
        <f>IF(OR('19_Расчет_аналитики'!BD1472=0,25&lt;='01_Вводные'!$B$297),0,'19_Расчет_аналитики'!BD1472*IF('01_Вводные'!$B$239="Да",MeanMinAge25+'19_Расчет_аналитики'!BD1571*SUMIF(ThresholdAge25,"&lt;"&amp;'19_Расчет_аналитики'!BD1571,WeightedRevAge25)-SUMIF(ThresholdAge25,"&lt;"&amp;'19_Расчет_аналитики'!BD1571,WeightedMinAge25),MAX(CapacityAge25*'01_Вводные'!$B$218*'19_Расчет_аналитики'!BD1571,MeanMinAge25)))</f>
        <v/>
      </c>
      <c r="BE1500">
        <f>IF(OR('19_Расчет_аналитики'!BE1472=0,25&lt;='01_Вводные'!$B$297),0,'19_Расчет_аналитики'!BE1472*IF('01_Вводные'!$B$239="Да",MeanMinAge25+'19_Расчет_аналитики'!BE1571*SUMIF(ThresholdAge25,"&lt;"&amp;'19_Расчет_аналитики'!BE1571,WeightedRevAge25)-SUMIF(ThresholdAge25,"&lt;"&amp;'19_Расчет_аналитики'!BE1571,WeightedMinAge25),MAX(CapacityAge25*'01_Вводные'!$B$218*'19_Расчет_аналитики'!BE1571,MeanMinAge25)))</f>
        <v/>
      </c>
      <c r="BF1500">
        <f>IF(OR('19_Расчет_аналитики'!BF1472=0,25&lt;='01_Вводные'!$B$297),0,'19_Расчет_аналитики'!BF1472*IF('01_Вводные'!$B$239="Да",MeanMinAge25+'19_Расчет_аналитики'!BF1571*SUMIF(ThresholdAge25,"&lt;"&amp;'19_Расчет_аналитики'!BF1571,WeightedRevAge25)-SUMIF(ThresholdAge25,"&lt;"&amp;'19_Расчет_аналитики'!BF1571,WeightedMinAge25),MAX(CapacityAge25*'01_Вводные'!$B$218*'19_Расчет_аналитики'!BF1571,MeanMinAge25)))</f>
        <v/>
      </c>
      <c r="BG1500">
        <f>IF(OR('19_Расчет_аналитики'!BG1472=0,25&lt;='01_Вводные'!$B$297),0,'19_Расчет_аналитики'!BG1472*IF('01_Вводные'!$B$239="Да",MeanMinAge25+'19_Расчет_аналитики'!BG1571*SUMIF(ThresholdAge25,"&lt;"&amp;'19_Расчет_аналитики'!BG1571,WeightedRevAge25)-SUMIF(ThresholdAge25,"&lt;"&amp;'19_Расчет_аналитики'!BG1571,WeightedMinAge25),MAX(CapacityAge25*'01_Вводные'!$B$218*'19_Расчет_аналитики'!BG1571,MeanMinAge25)))</f>
        <v/>
      </c>
      <c r="BH1500">
        <f>IF(OR('19_Расчет_аналитики'!BH1472=0,25&lt;='01_Вводные'!$B$297),0,'19_Расчет_аналитики'!BH1472*IF('01_Вводные'!$B$239="Да",MeanMinAge25+'19_Расчет_аналитики'!BH1571*SUMIF(ThresholdAge25,"&lt;"&amp;'19_Расчет_аналитики'!BH1571,WeightedRevAge25)-SUMIF(ThresholdAge25,"&lt;"&amp;'19_Расчет_аналитики'!BH1571,WeightedMinAge25),MAX(CapacityAge25*'01_Вводные'!$B$218*'19_Расчет_аналитики'!BH1571,MeanMinAge25)))</f>
        <v/>
      </c>
      <c r="BI1500">
        <f>IF(OR('19_Расчет_аналитики'!BI1472=0,25&lt;='01_Вводные'!$B$297),0,'19_Расчет_аналитики'!BI1472*IF('01_Вводные'!$B$239="Да",MeanMinAge25+'19_Расчет_аналитики'!BI1571*SUMIF(ThresholdAge25,"&lt;"&amp;'19_Расчет_аналитики'!BI1571,WeightedRevAge25)-SUMIF(ThresholdAge25,"&lt;"&amp;'19_Расчет_аналитики'!BI1571,WeightedMinAge25),MAX(CapacityAge25*'01_Вводные'!$B$218*'19_Расчет_аналитики'!BI1571,MeanMinAge25)))</f>
        <v/>
      </c>
      <c r="BJ1500">
        <f>IF(OR('19_Расчет_аналитики'!BJ1472=0,25&lt;='01_Вводные'!$B$297),0,'19_Расчет_аналитики'!BJ1472*IF('01_Вводные'!$B$239="Да",MeanMinAge25+'19_Расчет_аналитики'!BJ1571*SUMIF(ThresholdAge25,"&lt;"&amp;'19_Расчет_аналитики'!BJ1571,WeightedRevAge25)-SUMIF(ThresholdAge25,"&lt;"&amp;'19_Расчет_аналитики'!BJ1571,WeightedMinAge25),MAX(CapacityAge25*'01_Вводные'!$B$218*'19_Расчет_аналитики'!BJ1571,MeanMinAge25)))</f>
        <v/>
      </c>
      <c r="BK1500">
        <f>IF(OR('19_Расчет_аналитики'!BK1472=0,25&lt;='01_Вводные'!$B$297),0,'19_Расчет_аналитики'!BK1472*IF('01_Вводные'!$B$239="Да",MeanMinAge25+'19_Расчет_аналитики'!BK1571*SUMIF(ThresholdAge25,"&lt;"&amp;'19_Расчет_аналитики'!BK1571,WeightedRevAge25)-SUMIF(ThresholdAge25,"&lt;"&amp;'19_Расчет_аналитики'!BK1571,WeightedMinAge25),MAX(CapacityAge25*'01_Вводные'!$B$218*'19_Расчет_аналитики'!BK1571,MeanMinAge25)))</f>
        <v/>
      </c>
      <c r="BL1500">
        <f>IF(OR('19_Расчет_аналитики'!BL1472=0,25&lt;='01_Вводные'!$B$297),0,'19_Расчет_аналитики'!BL1472*IF('01_Вводные'!$B$239="Да",MeanMinAge25+'19_Расчет_аналитики'!BL1571*SUMIF(ThresholdAge25,"&lt;"&amp;'19_Расчет_аналитики'!BL1571,WeightedRevAge25)-SUMIF(ThresholdAge25,"&lt;"&amp;'19_Расчет_аналитики'!BL1571,WeightedMinAge25),MAX(CapacityAge25*'01_Вводные'!$B$218*'19_Расчет_аналитики'!BL1571,MeanMinAge25)))</f>
        <v/>
      </c>
      <c r="BM1500">
        <f>IF(OR('19_Расчет_аналитики'!BM1472=0,25&lt;='01_Вводные'!$B$297),0,'19_Расчет_аналитики'!BM1472*IF('01_Вводные'!$B$239="Да",MeanMinAge25+'19_Расчет_аналитики'!BM1571*SUMIF(ThresholdAge25,"&lt;"&amp;'19_Расчет_аналитики'!BM1571,WeightedRevAge25)-SUMIF(ThresholdAge25,"&lt;"&amp;'19_Расчет_аналитики'!BM1571,WeightedMinAge25),MAX(CapacityAge25*'01_Вводные'!$B$218*'19_Расчет_аналитики'!BM1571,MeanMinAge25)))</f>
        <v/>
      </c>
      <c r="BN1500">
        <f>IF(OR('19_Расчет_аналитики'!BN1472=0,25&lt;='01_Вводные'!$B$297),0,'19_Расчет_аналитики'!BN1472*IF('01_Вводные'!$B$239="Да",MeanMinAge25+'19_Расчет_аналитики'!BN1571*SUMIF(ThresholdAge25,"&lt;"&amp;'19_Расчет_аналитики'!BN1571,WeightedRevAge25)-SUMIF(ThresholdAge25,"&lt;"&amp;'19_Расчет_аналитики'!BN1571,WeightedMinAge25),MAX(CapacityAge25*'01_Вводные'!$B$218*'19_Расчет_аналитики'!BN1571,MeanMinAge25)))</f>
        <v/>
      </c>
      <c r="BO1500">
        <f>IF(OR('19_Расчет_аналитики'!BO1472=0,25&lt;='01_Вводные'!$B$297),0,'19_Расчет_аналитики'!BO1472*IF('01_Вводные'!$B$239="Да",MeanMinAge25+'19_Расчет_аналитики'!BO1571*SUMIF(ThresholdAge25,"&lt;"&amp;'19_Расчет_аналитики'!BO1571,WeightedRevAge25)-SUMIF(ThresholdAge25,"&lt;"&amp;'19_Расчет_аналитики'!BO1571,WeightedMinAge25),MAX(CapacityAge25*'01_Вводные'!$B$218*'19_Расчет_аналитики'!BO1571,MeanMinAge25)))</f>
        <v/>
      </c>
    </row>
    <row r="1501"/>
    <row r="1502"/>
    <row r="1503"/>
    <row r="1504">
      <c r="B1504">
        <f>IF(OR(('19_Расчет_аналитики'!B1420-'19_Расчет_аналитики'!B1448)=0,1&lt;='01_Вводные'!$B$297),0,('19_Расчет_аналитики'!B1420-'19_Расчет_аналитики'!B1448)*IF('01_Вводные'!$B$239="Да",MeanMinAge01+'19_Расчет_аналитики'!B1572*SUMIF(ThresholdAge01,"&lt;"&amp;'19_Расчет_аналитики'!B1572,WeightedRevAge01)-SUMIF(ThresholdAge01,"&lt;"&amp;'19_Расчет_аналитики'!B1572,WeightedMinAge01),MAX(CapacityAge01*'01_Вводные'!$B$218*'19_Расчет_аналитики'!B1572,MeanMinAge01)))</f>
        <v/>
      </c>
      <c r="C1504">
        <f>IF(OR(('19_Расчет_аналитики'!C1420-'19_Расчет_аналитики'!C1448)=0,1&lt;='01_Вводные'!$B$297),0,('19_Расчет_аналитики'!C1420-'19_Расчет_аналитики'!C1448)*IF('01_Вводные'!$B$239="Да",MeanMinAge01+'19_Расчет_аналитики'!C1572*SUMIF(ThresholdAge01,"&lt;"&amp;'19_Расчет_аналитики'!C1572,WeightedRevAge01)-SUMIF(ThresholdAge01,"&lt;"&amp;'19_Расчет_аналитики'!C1572,WeightedMinAge01),MAX(CapacityAge01*'01_Вводные'!$B$218*'19_Расчет_аналитики'!C1572,MeanMinAge01)))</f>
        <v/>
      </c>
      <c r="D1504">
        <f>IF(OR(('19_Расчет_аналитики'!D1420-'19_Расчет_аналитики'!D1448)=0,1&lt;='01_Вводные'!$B$297),0,('19_Расчет_аналитики'!D1420-'19_Расчет_аналитики'!D1448)*IF('01_Вводные'!$B$239="Да",MeanMinAge01+'19_Расчет_аналитики'!D1572*SUMIF(ThresholdAge01,"&lt;"&amp;'19_Расчет_аналитики'!D1572,WeightedRevAge01)-SUMIF(ThresholdAge01,"&lt;"&amp;'19_Расчет_аналитики'!D1572,WeightedMinAge01),MAX(CapacityAge01*'01_Вводные'!$B$218*'19_Расчет_аналитики'!D1572,MeanMinAge01)))</f>
        <v/>
      </c>
      <c r="E1504">
        <f>IF(OR(('19_Расчет_аналитики'!E1420-'19_Расчет_аналитики'!E1448)=0,1&lt;='01_Вводные'!$B$297),0,('19_Расчет_аналитики'!E1420-'19_Расчет_аналитики'!E1448)*IF('01_Вводные'!$B$239="Да",MeanMinAge01+'19_Расчет_аналитики'!E1572*SUMIF(ThresholdAge01,"&lt;"&amp;'19_Расчет_аналитики'!E1572,WeightedRevAge01)-SUMIF(ThresholdAge01,"&lt;"&amp;'19_Расчет_аналитики'!E1572,WeightedMinAge01),MAX(CapacityAge01*'01_Вводные'!$B$218*'19_Расчет_аналитики'!E1572,MeanMinAge01)))</f>
        <v/>
      </c>
      <c r="F1504">
        <f>IF(OR(('19_Расчет_аналитики'!F1420-'19_Расчет_аналитики'!F1448)=0,1&lt;='01_Вводные'!$B$297),0,('19_Расчет_аналитики'!F1420-'19_Расчет_аналитики'!F1448)*IF('01_Вводные'!$B$239="Да",MeanMinAge01+'19_Расчет_аналитики'!F1572*SUMIF(ThresholdAge01,"&lt;"&amp;'19_Расчет_аналитики'!F1572,WeightedRevAge01)-SUMIF(ThresholdAge01,"&lt;"&amp;'19_Расчет_аналитики'!F1572,WeightedMinAge01),MAX(CapacityAge01*'01_Вводные'!$B$218*'19_Расчет_аналитики'!F1572,MeanMinAge01)))</f>
        <v/>
      </c>
      <c r="G1504">
        <f>IF(OR(('19_Расчет_аналитики'!G1420-'19_Расчет_аналитики'!G1448)=0,1&lt;='01_Вводные'!$B$297),0,('19_Расчет_аналитики'!G1420-'19_Расчет_аналитики'!G1448)*IF('01_Вводные'!$B$239="Да",MeanMinAge01+'19_Расчет_аналитики'!G1572*SUMIF(ThresholdAge01,"&lt;"&amp;'19_Расчет_аналитики'!G1572,WeightedRevAge01)-SUMIF(ThresholdAge01,"&lt;"&amp;'19_Расчет_аналитики'!G1572,WeightedMinAge01),MAX(CapacityAge01*'01_Вводные'!$B$218*'19_Расчет_аналитики'!G1572,MeanMinAge01)))</f>
        <v/>
      </c>
      <c r="H1504">
        <f>IF(OR(('19_Расчет_аналитики'!H1420-'19_Расчет_аналитики'!H1448)=0,1&lt;='01_Вводные'!$B$297),0,('19_Расчет_аналитики'!H1420-'19_Расчет_аналитики'!H1448)*IF('01_Вводные'!$B$239="Да",MeanMinAge01+'19_Расчет_аналитики'!H1572*SUMIF(ThresholdAge01,"&lt;"&amp;'19_Расчет_аналитики'!H1572,WeightedRevAge01)-SUMIF(ThresholdAge01,"&lt;"&amp;'19_Расчет_аналитики'!H1572,WeightedMinAge01),MAX(CapacityAge01*'01_Вводные'!$B$218*'19_Расчет_аналитики'!H1572,MeanMinAge01)))</f>
        <v/>
      </c>
      <c r="I1504">
        <f>IF(OR(('19_Расчет_аналитики'!I1420-'19_Расчет_аналитики'!I1448)=0,1&lt;='01_Вводные'!$B$297),0,('19_Расчет_аналитики'!I1420-'19_Расчет_аналитики'!I1448)*IF('01_Вводные'!$B$239="Да",MeanMinAge01+'19_Расчет_аналитики'!I1572*SUMIF(ThresholdAge01,"&lt;"&amp;'19_Расчет_аналитики'!I1572,WeightedRevAge01)-SUMIF(ThresholdAge01,"&lt;"&amp;'19_Расчет_аналитики'!I1572,WeightedMinAge01),MAX(CapacityAge01*'01_Вводные'!$B$218*'19_Расчет_аналитики'!I1572,MeanMinAge01)))</f>
        <v/>
      </c>
      <c r="J1504">
        <f>IF(OR(('19_Расчет_аналитики'!J1420-'19_Расчет_аналитики'!J1448)=0,1&lt;='01_Вводные'!$B$297),0,('19_Расчет_аналитики'!J1420-'19_Расчет_аналитики'!J1448)*IF('01_Вводные'!$B$239="Да",MeanMinAge01+'19_Расчет_аналитики'!J1572*SUMIF(ThresholdAge01,"&lt;"&amp;'19_Расчет_аналитики'!J1572,WeightedRevAge01)-SUMIF(ThresholdAge01,"&lt;"&amp;'19_Расчет_аналитики'!J1572,WeightedMinAge01),MAX(CapacityAge01*'01_Вводные'!$B$218*'19_Расчет_аналитики'!J1572,MeanMinAge01)))</f>
        <v/>
      </c>
      <c r="K1504">
        <f>IF(OR(('19_Расчет_аналитики'!K1420-'19_Расчет_аналитики'!K1448)=0,1&lt;='01_Вводные'!$B$297),0,('19_Расчет_аналитики'!K1420-'19_Расчет_аналитики'!K1448)*IF('01_Вводные'!$B$239="Да",MeanMinAge01+'19_Расчет_аналитики'!K1572*SUMIF(ThresholdAge01,"&lt;"&amp;'19_Расчет_аналитики'!K1572,WeightedRevAge01)-SUMIF(ThresholdAge01,"&lt;"&amp;'19_Расчет_аналитики'!K1572,WeightedMinAge01),MAX(CapacityAge01*'01_Вводные'!$B$218*'19_Расчет_аналитики'!K1572,MeanMinAge01)))</f>
        <v/>
      </c>
      <c r="L1504">
        <f>IF(OR(('19_Расчет_аналитики'!L1420-'19_Расчет_аналитики'!L1448)=0,1&lt;='01_Вводные'!$B$297),0,('19_Расчет_аналитики'!L1420-'19_Расчет_аналитики'!L1448)*IF('01_Вводные'!$B$239="Да",MeanMinAge01+'19_Расчет_аналитики'!L1572*SUMIF(ThresholdAge01,"&lt;"&amp;'19_Расчет_аналитики'!L1572,WeightedRevAge01)-SUMIF(ThresholdAge01,"&lt;"&amp;'19_Расчет_аналитики'!L1572,WeightedMinAge01),MAX(CapacityAge01*'01_Вводные'!$B$218*'19_Расчет_аналитики'!L1572,MeanMinAge01)))</f>
        <v/>
      </c>
      <c r="M1504">
        <f>IF(OR(('19_Расчет_аналитики'!M1420-'19_Расчет_аналитики'!M1448)=0,1&lt;='01_Вводные'!$B$297),0,('19_Расчет_аналитики'!M1420-'19_Расчет_аналитики'!M1448)*IF('01_Вводные'!$B$239="Да",MeanMinAge01+'19_Расчет_аналитики'!M1572*SUMIF(ThresholdAge01,"&lt;"&amp;'19_Расчет_аналитики'!M1572,WeightedRevAge01)-SUMIF(ThresholdAge01,"&lt;"&amp;'19_Расчет_аналитики'!M1572,WeightedMinAge01),MAX(CapacityAge01*'01_Вводные'!$B$218*'19_Расчет_аналитики'!M1572,MeanMinAge01)))</f>
        <v/>
      </c>
      <c r="N1504">
        <f>IF(OR(('19_Расчет_аналитики'!N1420-'19_Расчет_аналитики'!N1448)=0,1&lt;='01_Вводные'!$B$297),0,('19_Расчет_аналитики'!N1420-'19_Расчет_аналитики'!N1448)*IF('01_Вводные'!$B$239="Да",MeanMinAge01+'19_Расчет_аналитики'!N1572*SUMIF(ThresholdAge01,"&lt;"&amp;'19_Расчет_аналитики'!N1572,WeightedRevAge01)-SUMIF(ThresholdAge01,"&lt;"&amp;'19_Расчет_аналитики'!N1572,WeightedMinAge01),MAX(CapacityAge01*'01_Вводные'!$B$218*'19_Расчет_аналитики'!N1572,MeanMinAge01)))</f>
        <v/>
      </c>
      <c r="O1504">
        <f>IF(OR(('19_Расчет_аналитики'!O1420-'19_Расчет_аналитики'!O1448)=0,1&lt;='01_Вводные'!$B$297),0,('19_Расчет_аналитики'!O1420-'19_Расчет_аналитики'!O1448)*IF('01_Вводные'!$B$239="Да",MeanMinAge01+'19_Расчет_аналитики'!O1572*SUMIF(ThresholdAge01,"&lt;"&amp;'19_Расчет_аналитики'!O1572,WeightedRevAge01)-SUMIF(ThresholdAge01,"&lt;"&amp;'19_Расчет_аналитики'!O1572,WeightedMinAge01),MAX(CapacityAge01*'01_Вводные'!$B$218*'19_Расчет_аналитики'!O1572,MeanMinAge01)))</f>
        <v/>
      </c>
      <c r="P1504">
        <f>IF(OR(('19_Расчет_аналитики'!P1420-'19_Расчет_аналитики'!P1448)=0,1&lt;='01_Вводные'!$B$297),0,('19_Расчет_аналитики'!P1420-'19_Расчет_аналитики'!P1448)*IF('01_Вводные'!$B$239="Да",MeanMinAge01+'19_Расчет_аналитики'!P1572*SUMIF(ThresholdAge01,"&lt;"&amp;'19_Расчет_аналитики'!P1572,WeightedRevAge01)-SUMIF(ThresholdAge01,"&lt;"&amp;'19_Расчет_аналитики'!P1572,WeightedMinAge01),MAX(CapacityAge01*'01_Вводные'!$B$218*'19_Расчет_аналитики'!P1572,MeanMinAge01)))</f>
        <v/>
      </c>
      <c r="Q1504">
        <f>IF(OR(('19_Расчет_аналитики'!Q1420-'19_Расчет_аналитики'!Q1448)=0,1&lt;='01_Вводные'!$B$297),0,('19_Расчет_аналитики'!Q1420-'19_Расчет_аналитики'!Q1448)*IF('01_Вводные'!$B$239="Да",MeanMinAge01+'19_Расчет_аналитики'!Q1572*SUMIF(ThresholdAge01,"&lt;"&amp;'19_Расчет_аналитики'!Q1572,WeightedRevAge01)-SUMIF(ThresholdAge01,"&lt;"&amp;'19_Расчет_аналитики'!Q1572,WeightedMinAge01),MAX(CapacityAge01*'01_Вводные'!$B$218*'19_Расчет_аналитики'!Q1572,MeanMinAge01)))</f>
        <v/>
      </c>
      <c r="R1504">
        <f>IF(OR(('19_Расчет_аналитики'!R1420-'19_Расчет_аналитики'!R1448)=0,1&lt;='01_Вводные'!$B$297),0,('19_Расчет_аналитики'!R1420-'19_Расчет_аналитики'!R1448)*IF('01_Вводные'!$B$239="Да",MeanMinAge01+'19_Расчет_аналитики'!R1572*SUMIF(ThresholdAge01,"&lt;"&amp;'19_Расчет_аналитики'!R1572,WeightedRevAge01)-SUMIF(ThresholdAge01,"&lt;"&amp;'19_Расчет_аналитики'!R1572,WeightedMinAge01),MAX(CapacityAge01*'01_Вводные'!$B$218*'19_Расчет_аналитики'!R1572,MeanMinAge01)))</f>
        <v/>
      </c>
      <c r="S1504">
        <f>IF(OR(('19_Расчет_аналитики'!S1420-'19_Расчет_аналитики'!S1448)=0,1&lt;='01_Вводные'!$B$297),0,('19_Расчет_аналитики'!S1420-'19_Расчет_аналитики'!S1448)*IF('01_Вводные'!$B$239="Да",MeanMinAge01+'19_Расчет_аналитики'!S1572*SUMIF(ThresholdAge01,"&lt;"&amp;'19_Расчет_аналитики'!S1572,WeightedRevAge01)-SUMIF(ThresholdAge01,"&lt;"&amp;'19_Расчет_аналитики'!S1572,WeightedMinAge01),MAX(CapacityAge01*'01_Вводные'!$B$218*'19_Расчет_аналитики'!S1572,MeanMinAge01)))</f>
        <v/>
      </c>
      <c r="T1504">
        <f>IF(OR(('19_Расчет_аналитики'!T1420-'19_Расчет_аналитики'!T1448)=0,1&lt;='01_Вводные'!$B$297),0,('19_Расчет_аналитики'!T1420-'19_Расчет_аналитики'!T1448)*IF('01_Вводные'!$B$239="Да",MeanMinAge01+'19_Расчет_аналитики'!T1572*SUMIF(ThresholdAge01,"&lt;"&amp;'19_Расчет_аналитики'!T1572,WeightedRevAge01)-SUMIF(ThresholdAge01,"&lt;"&amp;'19_Расчет_аналитики'!T1572,WeightedMinAge01),MAX(CapacityAge01*'01_Вводные'!$B$218*'19_Расчет_аналитики'!T1572,MeanMinAge01)))</f>
        <v/>
      </c>
      <c r="U1504">
        <f>IF(OR(('19_Расчет_аналитики'!U1420-'19_Расчет_аналитики'!U1448)=0,1&lt;='01_Вводные'!$B$297),0,('19_Расчет_аналитики'!U1420-'19_Расчет_аналитики'!U1448)*IF('01_Вводные'!$B$239="Да",MeanMinAge01+'19_Расчет_аналитики'!U1572*SUMIF(ThresholdAge01,"&lt;"&amp;'19_Расчет_аналитики'!U1572,WeightedRevAge01)-SUMIF(ThresholdAge01,"&lt;"&amp;'19_Расчет_аналитики'!U1572,WeightedMinAge01),MAX(CapacityAge01*'01_Вводные'!$B$218*'19_Расчет_аналитики'!U1572,MeanMinAge01)))</f>
        <v/>
      </c>
      <c r="V1504">
        <f>IF(OR(('19_Расчет_аналитики'!V1420-'19_Расчет_аналитики'!V1448)=0,1&lt;='01_Вводные'!$B$297),0,('19_Расчет_аналитики'!V1420-'19_Расчет_аналитики'!V1448)*IF('01_Вводные'!$B$239="Да",MeanMinAge01+'19_Расчет_аналитики'!V1572*SUMIF(ThresholdAge01,"&lt;"&amp;'19_Расчет_аналитики'!V1572,WeightedRevAge01)-SUMIF(ThresholdAge01,"&lt;"&amp;'19_Расчет_аналитики'!V1572,WeightedMinAge01),MAX(CapacityAge01*'01_Вводные'!$B$218*'19_Расчет_аналитики'!V1572,MeanMinAge01)))</f>
        <v/>
      </c>
      <c r="W1504">
        <f>IF(OR(('19_Расчет_аналитики'!W1420-'19_Расчет_аналитики'!W1448)=0,1&lt;='01_Вводные'!$B$297),0,('19_Расчет_аналитики'!W1420-'19_Расчет_аналитики'!W1448)*IF('01_Вводные'!$B$239="Да",MeanMinAge01+'19_Расчет_аналитики'!W1572*SUMIF(ThresholdAge01,"&lt;"&amp;'19_Расчет_аналитики'!W1572,WeightedRevAge01)-SUMIF(ThresholdAge01,"&lt;"&amp;'19_Расчет_аналитики'!W1572,WeightedMinAge01),MAX(CapacityAge01*'01_Вводные'!$B$218*'19_Расчет_аналитики'!W1572,MeanMinAge01)))</f>
        <v/>
      </c>
      <c r="X1504">
        <f>IF(OR(('19_Расчет_аналитики'!X1420-'19_Расчет_аналитики'!X1448)=0,1&lt;='01_Вводные'!$B$297),0,('19_Расчет_аналитики'!X1420-'19_Расчет_аналитики'!X1448)*IF('01_Вводные'!$B$239="Да",MeanMinAge01+'19_Расчет_аналитики'!X1572*SUMIF(ThresholdAge01,"&lt;"&amp;'19_Расчет_аналитики'!X1572,WeightedRevAge01)-SUMIF(ThresholdAge01,"&lt;"&amp;'19_Расчет_аналитики'!X1572,WeightedMinAge01),MAX(CapacityAge01*'01_Вводные'!$B$218*'19_Расчет_аналитики'!X1572,MeanMinAge01)))</f>
        <v/>
      </c>
      <c r="Y1504">
        <f>IF(OR(('19_Расчет_аналитики'!Y1420-'19_Расчет_аналитики'!Y1448)=0,1&lt;='01_Вводные'!$B$297),0,('19_Расчет_аналитики'!Y1420-'19_Расчет_аналитики'!Y1448)*IF('01_Вводные'!$B$239="Да",MeanMinAge01+'19_Расчет_аналитики'!Y1572*SUMIF(ThresholdAge01,"&lt;"&amp;'19_Расчет_аналитики'!Y1572,WeightedRevAge01)-SUMIF(ThresholdAge01,"&lt;"&amp;'19_Расчет_аналитики'!Y1572,WeightedMinAge01),MAX(CapacityAge01*'01_Вводные'!$B$218*'19_Расчет_аналитики'!Y1572,MeanMinAge01)))</f>
        <v/>
      </c>
      <c r="Z1504">
        <f>IF(OR(('19_Расчет_аналитики'!Z1420-'19_Расчет_аналитики'!Z1448)=0,1&lt;='01_Вводные'!$B$297),0,('19_Расчет_аналитики'!Z1420-'19_Расчет_аналитики'!Z1448)*IF('01_Вводные'!$B$239="Да",MeanMinAge01+'19_Расчет_аналитики'!Z1572*SUMIF(ThresholdAge01,"&lt;"&amp;'19_Расчет_аналитики'!Z1572,WeightedRevAge01)-SUMIF(ThresholdAge01,"&lt;"&amp;'19_Расчет_аналитики'!Z1572,WeightedMinAge01),MAX(CapacityAge01*'01_Вводные'!$B$218*'19_Расчет_аналитики'!Z1572,MeanMinAge01)))</f>
        <v/>
      </c>
      <c r="AA1504">
        <f>IF(OR(('19_Расчет_аналитики'!AA1420-'19_Расчет_аналитики'!AA1448)=0,1&lt;='01_Вводные'!$B$297),0,('19_Расчет_аналитики'!AA1420-'19_Расчет_аналитики'!AA1448)*IF('01_Вводные'!$B$239="Да",MeanMinAge01+'19_Расчет_аналитики'!AA1572*SUMIF(ThresholdAge01,"&lt;"&amp;'19_Расчет_аналитики'!AA1572,WeightedRevAge01)-SUMIF(ThresholdAge01,"&lt;"&amp;'19_Расчет_аналитики'!AA1572,WeightedMinAge01),MAX(CapacityAge01*'01_Вводные'!$B$218*'19_Расчет_аналитики'!AA1572,MeanMinAge01)))</f>
        <v/>
      </c>
      <c r="AB1504">
        <f>IF(OR(('19_Расчет_аналитики'!AB1420-'19_Расчет_аналитики'!AB1448)=0,1&lt;='01_Вводные'!$B$297),0,('19_Расчет_аналитики'!AB1420-'19_Расчет_аналитики'!AB1448)*IF('01_Вводные'!$B$239="Да",MeanMinAge01+'19_Расчет_аналитики'!AB1572*SUMIF(ThresholdAge01,"&lt;"&amp;'19_Расчет_аналитики'!AB1572,WeightedRevAge01)-SUMIF(ThresholdAge01,"&lt;"&amp;'19_Расчет_аналитики'!AB1572,WeightedMinAge01),MAX(CapacityAge01*'01_Вводные'!$B$218*'19_Расчет_аналитики'!AB1572,MeanMinAge01)))</f>
        <v/>
      </c>
      <c r="AC1504">
        <f>IF(OR(('19_Расчет_аналитики'!AC1420-'19_Расчет_аналитики'!AC1448)=0,1&lt;='01_Вводные'!$B$297),0,('19_Расчет_аналитики'!AC1420-'19_Расчет_аналитики'!AC1448)*IF('01_Вводные'!$B$239="Да",MeanMinAge01+'19_Расчет_аналитики'!AC1572*SUMIF(ThresholdAge01,"&lt;"&amp;'19_Расчет_аналитики'!AC1572,WeightedRevAge01)-SUMIF(ThresholdAge01,"&lt;"&amp;'19_Расчет_аналитики'!AC1572,WeightedMinAge01),MAX(CapacityAge01*'01_Вводные'!$B$218*'19_Расчет_аналитики'!AC1572,MeanMinAge01)))</f>
        <v/>
      </c>
      <c r="AD1504">
        <f>IF(OR(('19_Расчет_аналитики'!AD1420-'19_Расчет_аналитики'!AD1448)=0,1&lt;='01_Вводные'!$B$297),0,('19_Расчет_аналитики'!AD1420-'19_Расчет_аналитики'!AD1448)*IF('01_Вводные'!$B$239="Да",MeanMinAge01+'19_Расчет_аналитики'!AD1572*SUMIF(ThresholdAge01,"&lt;"&amp;'19_Расчет_аналитики'!AD1572,WeightedRevAge01)-SUMIF(ThresholdAge01,"&lt;"&amp;'19_Расчет_аналитики'!AD1572,WeightedMinAge01),MAX(CapacityAge01*'01_Вводные'!$B$218*'19_Расчет_аналитики'!AD1572,MeanMinAge01)))</f>
        <v/>
      </c>
      <c r="AE1504">
        <f>IF(OR(('19_Расчет_аналитики'!AE1420-'19_Расчет_аналитики'!AE1448)=0,1&lt;='01_Вводные'!$B$297),0,('19_Расчет_аналитики'!AE1420-'19_Расчет_аналитики'!AE1448)*IF('01_Вводные'!$B$239="Да",MeanMinAge01+'19_Расчет_аналитики'!AE1572*SUMIF(ThresholdAge01,"&lt;"&amp;'19_Расчет_аналитики'!AE1572,WeightedRevAge01)-SUMIF(ThresholdAge01,"&lt;"&amp;'19_Расчет_аналитики'!AE1572,WeightedMinAge01),MAX(CapacityAge01*'01_Вводные'!$B$218*'19_Расчет_аналитики'!AE1572,MeanMinAge01)))</f>
        <v/>
      </c>
      <c r="AF1504">
        <f>IF(OR(('19_Расчет_аналитики'!AF1420-'19_Расчет_аналитики'!AF1448)=0,1&lt;='01_Вводные'!$B$297),0,('19_Расчет_аналитики'!AF1420-'19_Расчет_аналитики'!AF1448)*IF('01_Вводные'!$B$239="Да",MeanMinAge01+'19_Расчет_аналитики'!AF1572*SUMIF(ThresholdAge01,"&lt;"&amp;'19_Расчет_аналитики'!AF1572,WeightedRevAge01)-SUMIF(ThresholdAge01,"&lt;"&amp;'19_Расчет_аналитики'!AF1572,WeightedMinAge01),MAX(CapacityAge01*'01_Вводные'!$B$218*'19_Расчет_аналитики'!AF1572,MeanMinAge01)))</f>
        <v/>
      </c>
      <c r="AG1504">
        <f>IF(OR(('19_Расчет_аналитики'!AG1420-'19_Расчет_аналитики'!AG1448)=0,1&lt;='01_Вводные'!$B$297),0,('19_Расчет_аналитики'!AG1420-'19_Расчет_аналитики'!AG1448)*IF('01_Вводные'!$B$239="Да",MeanMinAge01+'19_Расчет_аналитики'!AG1572*SUMIF(ThresholdAge01,"&lt;"&amp;'19_Расчет_аналитики'!AG1572,WeightedRevAge01)-SUMIF(ThresholdAge01,"&lt;"&amp;'19_Расчет_аналитики'!AG1572,WeightedMinAge01),MAX(CapacityAge01*'01_Вводные'!$B$218*'19_Расчет_аналитики'!AG1572,MeanMinAge01)))</f>
        <v/>
      </c>
      <c r="AH1504">
        <f>IF(OR(('19_Расчет_аналитики'!AH1420-'19_Расчет_аналитики'!AH1448)=0,1&lt;='01_Вводные'!$B$297),0,('19_Расчет_аналитики'!AH1420-'19_Расчет_аналитики'!AH1448)*IF('01_Вводные'!$B$239="Да",MeanMinAge01+'19_Расчет_аналитики'!AH1572*SUMIF(ThresholdAge01,"&lt;"&amp;'19_Расчет_аналитики'!AH1572,WeightedRevAge01)-SUMIF(ThresholdAge01,"&lt;"&amp;'19_Расчет_аналитики'!AH1572,WeightedMinAge01),MAX(CapacityAge01*'01_Вводные'!$B$218*'19_Расчет_аналитики'!AH1572,MeanMinAge01)))</f>
        <v/>
      </c>
      <c r="AI1504">
        <f>IF(OR(('19_Расчет_аналитики'!AI1420-'19_Расчет_аналитики'!AI1448)=0,1&lt;='01_Вводные'!$B$297),0,('19_Расчет_аналитики'!AI1420-'19_Расчет_аналитики'!AI1448)*IF('01_Вводные'!$B$239="Да",MeanMinAge01+'19_Расчет_аналитики'!AI1572*SUMIF(ThresholdAge01,"&lt;"&amp;'19_Расчет_аналитики'!AI1572,WeightedRevAge01)-SUMIF(ThresholdAge01,"&lt;"&amp;'19_Расчет_аналитики'!AI1572,WeightedMinAge01),MAX(CapacityAge01*'01_Вводные'!$B$218*'19_Расчет_аналитики'!AI1572,MeanMinAge01)))</f>
        <v/>
      </c>
      <c r="AJ1504">
        <f>IF(OR(('19_Расчет_аналитики'!AJ1420-'19_Расчет_аналитики'!AJ1448)=0,1&lt;='01_Вводные'!$B$297),0,('19_Расчет_аналитики'!AJ1420-'19_Расчет_аналитики'!AJ1448)*IF('01_Вводные'!$B$239="Да",MeanMinAge01+'19_Расчет_аналитики'!AJ1572*SUMIF(ThresholdAge01,"&lt;"&amp;'19_Расчет_аналитики'!AJ1572,WeightedRevAge01)-SUMIF(ThresholdAge01,"&lt;"&amp;'19_Расчет_аналитики'!AJ1572,WeightedMinAge01),MAX(CapacityAge01*'01_Вводные'!$B$218*'19_Расчет_аналитики'!AJ1572,MeanMinAge01)))</f>
        <v/>
      </c>
      <c r="AK1504">
        <f>IF(OR(('19_Расчет_аналитики'!AK1420-'19_Расчет_аналитики'!AK1448)=0,1&lt;='01_Вводные'!$B$297),0,('19_Расчет_аналитики'!AK1420-'19_Расчет_аналитики'!AK1448)*IF('01_Вводные'!$B$239="Да",MeanMinAge01+'19_Расчет_аналитики'!AK1572*SUMIF(ThresholdAge01,"&lt;"&amp;'19_Расчет_аналитики'!AK1572,WeightedRevAge01)-SUMIF(ThresholdAge01,"&lt;"&amp;'19_Расчет_аналитики'!AK1572,WeightedMinAge01),MAX(CapacityAge01*'01_Вводные'!$B$218*'19_Расчет_аналитики'!AK1572,MeanMinAge01)))</f>
        <v/>
      </c>
      <c r="AL1504">
        <f>IF(OR(('19_Расчет_аналитики'!AL1420-'19_Расчет_аналитики'!AL1448)=0,1&lt;='01_Вводные'!$B$297),0,('19_Расчет_аналитики'!AL1420-'19_Расчет_аналитики'!AL1448)*IF('01_Вводные'!$B$239="Да",MeanMinAge01+'19_Расчет_аналитики'!AL1572*SUMIF(ThresholdAge01,"&lt;"&amp;'19_Расчет_аналитики'!AL1572,WeightedRevAge01)-SUMIF(ThresholdAge01,"&lt;"&amp;'19_Расчет_аналитики'!AL1572,WeightedMinAge01),MAX(CapacityAge01*'01_Вводные'!$B$218*'19_Расчет_аналитики'!AL1572,MeanMinAge01)))</f>
        <v/>
      </c>
      <c r="AM1504">
        <f>IF(OR(('19_Расчет_аналитики'!AM1420-'19_Расчет_аналитики'!AM1448)=0,1&lt;='01_Вводные'!$B$297),0,('19_Расчет_аналитики'!AM1420-'19_Расчет_аналитики'!AM1448)*IF('01_Вводные'!$B$239="Да",MeanMinAge01+'19_Расчет_аналитики'!AM1572*SUMIF(ThresholdAge01,"&lt;"&amp;'19_Расчет_аналитики'!AM1572,WeightedRevAge01)-SUMIF(ThresholdAge01,"&lt;"&amp;'19_Расчет_аналитики'!AM1572,WeightedMinAge01),MAX(CapacityAge01*'01_Вводные'!$B$218*'19_Расчет_аналитики'!AM1572,MeanMinAge01)))</f>
        <v/>
      </c>
      <c r="AN1504">
        <f>IF(OR(('19_Расчет_аналитики'!AN1420-'19_Расчет_аналитики'!AN1448)=0,1&lt;='01_Вводные'!$B$297),0,('19_Расчет_аналитики'!AN1420-'19_Расчет_аналитики'!AN1448)*IF('01_Вводные'!$B$239="Да",MeanMinAge01+'19_Расчет_аналитики'!AN1572*SUMIF(ThresholdAge01,"&lt;"&amp;'19_Расчет_аналитики'!AN1572,WeightedRevAge01)-SUMIF(ThresholdAge01,"&lt;"&amp;'19_Расчет_аналитики'!AN1572,WeightedMinAge01),MAX(CapacityAge01*'01_Вводные'!$B$218*'19_Расчет_аналитики'!AN1572,MeanMinAge01)))</f>
        <v/>
      </c>
      <c r="AO1504">
        <f>IF(OR(('19_Расчет_аналитики'!AO1420-'19_Расчет_аналитики'!AO1448)=0,1&lt;='01_Вводные'!$B$297),0,('19_Расчет_аналитики'!AO1420-'19_Расчет_аналитики'!AO1448)*IF('01_Вводные'!$B$239="Да",MeanMinAge01+'19_Расчет_аналитики'!AO1572*SUMIF(ThresholdAge01,"&lt;"&amp;'19_Расчет_аналитики'!AO1572,WeightedRevAge01)-SUMIF(ThresholdAge01,"&lt;"&amp;'19_Расчет_аналитики'!AO1572,WeightedMinAge01),MAX(CapacityAge01*'01_Вводные'!$B$218*'19_Расчет_аналитики'!AO1572,MeanMinAge01)))</f>
        <v/>
      </c>
      <c r="AP1504">
        <f>IF(OR(('19_Расчет_аналитики'!AP1420-'19_Расчет_аналитики'!AP1448)=0,1&lt;='01_Вводные'!$B$297),0,('19_Расчет_аналитики'!AP1420-'19_Расчет_аналитики'!AP1448)*IF('01_Вводные'!$B$239="Да",MeanMinAge01+'19_Расчет_аналитики'!AP1572*SUMIF(ThresholdAge01,"&lt;"&amp;'19_Расчет_аналитики'!AP1572,WeightedRevAge01)-SUMIF(ThresholdAge01,"&lt;"&amp;'19_Расчет_аналитики'!AP1572,WeightedMinAge01),MAX(CapacityAge01*'01_Вводные'!$B$218*'19_Расчет_аналитики'!AP1572,MeanMinAge01)))</f>
        <v/>
      </c>
      <c r="AQ1504">
        <f>IF(OR(('19_Расчет_аналитики'!AQ1420-'19_Расчет_аналитики'!AQ1448)=0,1&lt;='01_Вводные'!$B$297),0,('19_Расчет_аналитики'!AQ1420-'19_Расчет_аналитики'!AQ1448)*IF('01_Вводные'!$B$239="Да",MeanMinAge01+'19_Расчет_аналитики'!AQ1572*SUMIF(ThresholdAge01,"&lt;"&amp;'19_Расчет_аналитики'!AQ1572,WeightedRevAge01)-SUMIF(ThresholdAge01,"&lt;"&amp;'19_Расчет_аналитики'!AQ1572,WeightedMinAge01),MAX(CapacityAge01*'01_Вводные'!$B$218*'19_Расчет_аналитики'!AQ1572,MeanMinAge01)))</f>
        <v/>
      </c>
      <c r="AR1504">
        <f>IF(OR(('19_Расчет_аналитики'!AR1420-'19_Расчет_аналитики'!AR1448)=0,1&lt;='01_Вводные'!$B$297),0,('19_Расчет_аналитики'!AR1420-'19_Расчет_аналитики'!AR1448)*IF('01_Вводные'!$B$239="Да",MeanMinAge01+'19_Расчет_аналитики'!AR1572*SUMIF(ThresholdAge01,"&lt;"&amp;'19_Расчет_аналитики'!AR1572,WeightedRevAge01)-SUMIF(ThresholdAge01,"&lt;"&amp;'19_Расчет_аналитики'!AR1572,WeightedMinAge01),MAX(CapacityAge01*'01_Вводные'!$B$218*'19_Расчет_аналитики'!AR1572,MeanMinAge01)))</f>
        <v/>
      </c>
      <c r="AS1504">
        <f>IF(OR(('19_Расчет_аналитики'!AS1420-'19_Расчет_аналитики'!AS1448)=0,1&lt;='01_Вводные'!$B$297),0,('19_Расчет_аналитики'!AS1420-'19_Расчет_аналитики'!AS1448)*IF('01_Вводные'!$B$239="Да",MeanMinAge01+'19_Расчет_аналитики'!AS1572*SUMIF(ThresholdAge01,"&lt;"&amp;'19_Расчет_аналитики'!AS1572,WeightedRevAge01)-SUMIF(ThresholdAge01,"&lt;"&amp;'19_Расчет_аналитики'!AS1572,WeightedMinAge01),MAX(CapacityAge01*'01_Вводные'!$B$218*'19_Расчет_аналитики'!AS1572,MeanMinAge01)))</f>
        <v/>
      </c>
      <c r="AT1504">
        <f>IF(OR(('19_Расчет_аналитики'!AT1420-'19_Расчет_аналитики'!AT1448)=0,1&lt;='01_Вводные'!$B$297),0,('19_Расчет_аналитики'!AT1420-'19_Расчет_аналитики'!AT1448)*IF('01_Вводные'!$B$239="Да",MeanMinAge01+'19_Расчет_аналитики'!AT1572*SUMIF(ThresholdAge01,"&lt;"&amp;'19_Расчет_аналитики'!AT1572,WeightedRevAge01)-SUMIF(ThresholdAge01,"&lt;"&amp;'19_Расчет_аналитики'!AT1572,WeightedMinAge01),MAX(CapacityAge01*'01_Вводные'!$B$218*'19_Расчет_аналитики'!AT1572,MeanMinAge01)))</f>
        <v/>
      </c>
      <c r="AU1504">
        <f>IF(OR(('19_Расчет_аналитики'!AU1420-'19_Расчет_аналитики'!AU1448)=0,1&lt;='01_Вводные'!$B$297),0,('19_Расчет_аналитики'!AU1420-'19_Расчет_аналитики'!AU1448)*IF('01_Вводные'!$B$239="Да",MeanMinAge01+'19_Расчет_аналитики'!AU1572*SUMIF(ThresholdAge01,"&lt;"&amp;'19_Расчет_аналитики'!AU1572,WeightedRevAge01)-SUMIF(ThresholdAge01,"&lt;"&amp;'19_Расчет_аналитики'!AU1572,WeightedMinAge01),MAX(CapacityAge01*'01_Вводные'!$B$218*'19_Расчет_аналитики'!AU1572,MeanMinAge01)))</f>
        <v/>
      </c>
      <c r="AV1504">
        <f>IF(OR(('19_Расчет_аналитики'!AV1420-'19_Расчет_аналитики'!AV1448)=0,1&lt;='01_Вводные'!$B$297),0,('19_Расчет_аналитики'!AV1420-'19_Расчет_аналитики'!AV1448)*IF('01_Вводные'!$B$239="Да",MeanMinAge01+'19_Расчет_аналитики'!AV1572*SUMIF(ThresholdAge01,"&lt;"&amp;'19_Расчет_аналитики'!AV1572,WeightedRevAge01)-SUMIF(ThresholdAge01,"&lt;"&amp;'19_Расчет_аналитики'!AV1572,WeightedMinAge01),MAX(CapacityAge01*'01_Вводные'!$B$218*'19_Расчет_аналитики'!AV1572,MeanMinAge01)))</f>
        <v/>
      </c>
      <c r="AW1504">
        <f>IF(OR(('19_Расчет_аналитики'!AW1420-'19_Расчет_аналитики'!AW1448)=0,1&lt;='01_Вводные'!$B$297),0,('19_Расчет_аналитики'!AW1420-'19_Расчет_аналитики'!AW1448)*IF('01_Вводные'!$B$239="Да",MeanMinAge01+'19_Расчет_аналитики'!AW1572*SUMIF(ThresholdAge01,"&lt;"&amp;'19_Расчет_аналитики'!AW1572,WeightedRevAge01)-SUMIF(ThresholdAge01,"&lt;"&amp;'19_Расчет_аналитики'!AW1572,WeightedMinAge01),MAX(CapacityAge01*'01_Вводные'!$B$218*'19_Расчет_аналитики'!AW1572,MeanMinAge01)))</f>
        <v/>
      </c>
      <c r="AX1504">
        <f>IF(OR(('19_Расчет_аналитики'!AX1420-'19_Расчет_аналитики'!AX1448)=0,1&lt;='01_Вводные'!$B$297),0,('19_Расчет_аналитики'!AX1420-'19_Расчет_аналитики'!AX1448)*IF('01_Вводные'!$B$239="Да",MeanMinAge01+'19_Расчет_аналитики'!AX1572*SUMIF(ThresholdAge01,"&lt;"&amp;'19_Расчет_аналитики'!AX1572,WeightedRevAge01)-SUMIF(ThresholdAge01,"&lt;"&amp;'19_Расчет_аналитики'!AX1572,WeightedMinAge01),MAX(CapacityAge01*'01_Вводные'!$B$218*'19_Расчет_аналитики'!AX1572,MeanMinAge01)))</f>
        <v/>
      </c>
      <c r="AY1504">
        <f>IF(OR(('19_Расчет_аналитики'!AY1420-'19_Расчет_аналитики'!AY1448)=0,1&lt;='01_Вводные'!$B$297),0,('19_Расчет_аналитики'!AY1420-'19_Расчет_аналитики'!AY1448)*IF('01_Вводные'!$B$239="Да",MeanMinAge01+'19_Расчет_аналитики'!AY1572*SUMIF(ThresholdAge01,"&lt;"&amp;'19_Расчет_аналитики'!AY1572,WeightedRevAge01)-SUMIF(ThresholdAge01,"&lt;"&amp;'19_Расчет_аналитики'!AY1572,WeightedMinAge01),MAX(CapacityAge01*'01_Вводные'!$B$218*'19_Расчет_аналитики'!AY1572,MeanMinAge01)))</f>
        <v/>
      </c>
      <c r="AZ1504">
        <f>IF(OR(('19_Расчет_аналитики'!AZ1420-'19_Расчет_аналитики'!AZ1448)=0,1&lt;='01_Вводные'!$B$297),0,('19_Расчет_аналитики'!AZ1420-'19_Расчет_аналитики'!AZ1448)*IF('01_Вводные'!$B$239="Да",MeanMinAge01+'19_Расчет_аналитики'!AZ1572*SUMIF(ThresholdAge01,"&lt;"&amp;'19_Расчет_аналитики'!AZ1572,WeightedRevAge01)-SUMIF(ThresholdAge01,"&lt;"&amp;'19_Расчет_аналитики'!AZ1572,WeightedMinAge01),MAX(CapacityAge01*'01_Вводные'!$B$218*'19_Расчет_аналитики'!AZ1572,MeanMinAge01)))</f>
        <v/>
      </c>
      <c r="BA1504">
        <f>IF(OR(('19_Расчет_аналитики'!BA1420-'19_Расчет_аналитики'!BA1448)=0,1&lt;='01_Вводные'!$B$297),0,('19_Расчет_аналитики'!BA1420-'19_Расчет_аналитики'!BA1448)*IF('01_Вводные'!$B$239="Да",MeanMinAge01+'19_Расчет_аналитики'!BA1572*SUMIF(ThresholdAge01,"&lt;"&amp;'19_Расчет_аналитики'!BA1572,WeightedRevAge01)-SUMIF(ThresholdAge01,"&lt;"&amp;'19_Расчет_аналитики'!BA1572,WeightedMinAge01),MAX(CapacityAge01*'01_Вводные'!$B$218*'19_Расчет_аналитики'!BA1572,MeanMinAge01)))</f>
        <v/>
      </c>
      <c r="BB1504">
        <f>IF(OR(('19_Расчет_аналитики'!BB1420-'19_Расчет_аналитики'!BB1448)=0,1&lt;='01_Вводные'!$B$297),0,('19_Расчет_аналитики'!BB1420-'19_Расчет_аналитики'!BB1448)*IF('01_Вводные'!$B$239="Да",MeanMinAge01+'19_Расчет_аналитики'!BB1572*SUMIF(ThresholdAge01,"&lt;"&amp;'19_Расчет_аналитики'!BB1572,WeightedRevAge01)-SUMIF(ThresholdAge01,"&lt;"&amp;'19_Расчет_аналитики'!BB1572,WeightedMinAge01),MAX(CapacityAge01*'01_Вводные'!$B$218*'19_Расчет_аналитики'!BB1572,MeanMinAge01)))</f>
        <v/>
      </c>
      <c r="BC1504">
        <f>IF(OR(('19_Расчет_аналитики'!BC1420-'19_Расчет_аналитики'!BC1448)=0,1&lt;='01_Вводные'!$B$297),0,('19_Расчет_аналитики'!BC1420-'19_Расчет_аналитики'!BC1448)*IF('01_Вводные'!$B$239="Да",MeanMinAge01+'19_Расчет_аналитики'!BC1572*SUMIF(ThresholdAge01,"&lt;"&amp;'19_Расчет_аналитики'!BC1572,WeightedRevAge01)-SUMIF(ThresholdAge01,"&lt;"&amp;'19_Расчет_аналитики'!BC1572,WeightedMinAge01),MAX(CapacityAge01*'01_Вводные'!$B$218*'19_Расчет_аналитики'!BC1572,MeanMinAge01)))</f>
        <v/>
      </c>
      <c r="BD1504">
        <f>IF(OR(('19_Расчет_аналитики'!BD1420-'19_Расчет_аналитики'!BD1448)=0,1&lt;='01_Вводные'!$B$297),0,('19_Расчет_аналитики'!BD1420-'19_Расчет_аналитики'!BD1448)*IF('01_Вводные'!$B$239="Да",MeanMinAge01+'19_Расчет_аналитики'!BD1572*SUMIF(ThresholdAge01,"&lt;"&amp;'19_Расчет_аналитики'!BD1572,WeightedRevAge01)-SUMIF(ThresholdAge01,"&lt;"&amp;'19_Расчет_аналитики'!BD1572,WeightedMinAge01),MAX(CapacityAge01*'01_Вводные'!$B$218*'19_Расчет_аналитики'!BD1572,MeanMinAge01)))</f>
        <v/>
      </c>
      <c r="BE1504">
        <f>IF(OR(('19_Расчет_аналитики'!BE1420-'19_Расчет_аналитики'!BE1448)=0,1&lt;='01_Вводные'!$B$297),0,('19_Расчет_аналитики'!BE1420-'19_Расчет_аналитики'!BE1448)*IF('01_Вводные'!$B$239="Да",MeanMinAge01+'19_Расчет_аналитики'!BE1572*SUMIF(ThresholdAge01,"&lt;"&amp;'19_Расчет_аналитики'!BE1572,WeightedRevAge01)-SUMIF(ThresholdAge01,"&lt;"&amp;'19_Расчет_аналитики'!BE1572,WeightedMinAge01),MAX(CapacityAge01*'01_Вводные'!$B$218*'19_Расчет_аналитики'!BE1572,MeanMinAge01)))</f>
        <v/>
      </c>
      <c r="BF1504">
        <f>IF(OR(('19_Расчет_аналитики'!BF1420-'19_Расчет_аналитики'!BF1448)=0,1&lt;='01_Вводные'!$B$297),0,('19_Расчет_аналитики'!BF1420-'19_Расчет_аналитики'!BF1448)*IF('01_Вводные'!$B$239="Да",MeanMinAge01+'19_Расчет_аналитики'!BF1572*SUMIF(ThresholdAge01,"&lt;"&amp;'19_Расчет_аналитики'!BF1572,WeightedRevAge01)-SUMIF(ThresholdAge01,"&lt;"&amp;'19_Расчет_аналитики'!BF1572,WeightedMinAge01),MAX(CapacityAge01*'01_Вводные'!$B$218*'19_Расчет_аналитики'!BF1572,MeanMinAge01)))</f>
        <v/>
      </c>
      <c r="BG1504">
        <f>IF(OR(('19_Расчет_аналитики'!BG1420-'19_Расчет_аналитики'!BG1448)=0,1&lt;='01_Вводные'!$B$297),0,('19_Расчет_аналитики'!BG1420-'19_Расчет_аналитики'!BG1448)*IF('01_Вводные'!$B$239="Да",MeanMinAge01+'19_Расчет_аналитики'!BG1572*SUMIF(ThresholdAge01,"&lt;"&amp;'19_Расчет_аналитики'!BG1572,WeightedRevAge01)-SUMIF(ThresholdAge01,"&lt;"&amp;'19_Расчет_аналитики'!BG1572,WeightedMinAge01),MAX(CapacityAge01*'01_Вводные'!$B$218*'19_Расчет_аналитики'!BG1572,MeanMinAge01)))</f>
        <v/>
      </c>
      <c r="BH1504">
        <f>IF(OR(('19_Расчет_аналитики'!BH1420-'19_Расчет_аналитики'!BH1448)=0,1&lt;='01_Вводные'!$B$297),0,('19_Расчет_аналитики'!BH1420-'19_Расчет_аналитики'!BH1448)*IF('01_Вводные'!$B$239="Да",MeanMinAge01+'19_Расчет_аналитики'!BH1572*SUMIF(ThresholdAge01,"&lt;"&amp;'19_Расчет_аналитики'!BH1572,WeightedRevAge01)-SUMIF(ThresholdAge01,"&lt;"&amp;'19_Расчет_аналитики'!BH1572,WeightedMinAge01),MAX(CapacityAge01*'01_Вводные'!$B$218*'19_Расчет_аналитики'!BH1572,MeanMinAge01)))</f>
        <v/>
      </c>
      <c r="BI1504">
        <f>IF(OR(('19_Расчет_аналитики'!BI1420-'19_Расчет_аналитики'!BI1448)=0,1&lt;='01_Вводные'!$B$297),0,('19_Расчет_аналитики'!BI1420-'19_Расчет_аналитики'!BI1448)*IF('01_Вводные'!$B$239="Да",MeanMinAge01+'19_Расчет_аналитики'!BI1572*SUMIF(ThresholdAge01,"&lt;"&amp;'19_Расчет_аналитики'!BI1572,WeightedRevAge01)-SUMIF(ThresholdAge01,"&lt;"&amp;'19_Расчет_аналитики'!BI1572,WeightedMinAge01),MAX(CapacityAge01*'01_Вводные'!$B$218*'19_Расчет_аналитики'!BI1572,MeanMinAge01)))</f>
        <v/>
      </c>
      <c r="BJ1504">
        <f>IF(OR(('19_Расчет_аналитики'!BJ1420-'19_Расчет_аналитики'!BJ1448)=0,1&lt;='01_Вводные'!$B$297),0,('19_Расчет_аналитики'!BJ1420-'19_Расчет_аналитики'!BJ1448)*IF('01_Вводные'!$B$239="Да",MeanMinAge01+'19_Расчет_аналитики'!BJ1572*SUMIF(ThresholdAge01,"&lt;"&amp;'19_Расчет_аналитики'!BJ1572,WeightedRevAge01)-SUMIF(ThresholdAge01,"&lt;"&amp;'19_Расчет_аналитики'!BJ1572,WeightedMinAge01),MAX(CapacityAge01*'01_Вводные'!$B$218*'19_Расчет_аналитики'!BJ1572,MeanMinAge01)))</f>
        <v/>
      </c>
      <c r="BK1504">
        <f>IF(OR(('19_Расчет_аналитики'!BK1420-'19_Расчет_аналитики'!BK1448)=0,1&lt;='01_Вводные'!$B$297),0,('19_Расчет_аналитики'!BK1420-'19_Расчет_аналитики'!BK1448)*IF('01_Вводные'!$B$239="Да",MeanMinAge01+'19_Расчет_аналитики'!BK1572*SUMIF(ThresholdAge01,"&lt;"&amp;'19_Расчет_аналитики'!BK1572,WeightedRevAge01)-SUMIF(ThresholdAge01,"&lt;"&amp;'19_Расчет_аналитики'!BK1572,WeightedMinAge01),MAX(CapacityAge01*'01_Вводные'!$B$218*'19_Расчет_аналитики'!BK1572,MeanMinAge01)))</f>
        <v/>
      </c>
      <c r="BL1504">
        <f>IF(OR(('19_Расчет_аналитики'!BL1420-'19_Расчет_аналитики'!BL1448)=0,1&lt;='01_Вводные'!$B$297),0,('19_Расчет_аналитики'!BL1420-'19_Расчет_аналитики'!BL1448)*IF('01_Вводные'!$B$239="Да",MeanMinAge01+'19_Расчет_аналитики'!BL1572*SUMIF(ThresholdAge01,"&lt;"&amp;'19_Расчет_аналитики'!BL1572,WeightedRevAge01)-SUMIF(ThresholdAge01,"&lt;"&amp;'19_Расчет_аналитики'!BL1572,WeightedMinAge01),MAX(CapacityAge01*'01_Вводные'!$B$218*'19_Расчет_аналитики'!BL1572,MeanMinAge01)))</f>
        <v/>
      </c>
      <c r="BM1504">
        <f>IF(OR(('19_Расчет_аналитики'!BM1420-'19_Расчет_аналитики'!BM1448)=0,1&lt;='01_Вводные'!$B$297),0,('19_Расчет_аналитики'!BM1420-'19_Расчет_аналитики'!BM1448)*IF('01_Вводные'!$B$239="Да",MeanMinAge01+'19_Расчет_аналитики'!BM1572*SUMIF(ThresholdAge01,"&lt;"&amp;'19_Расчет_аналитики'!BM1572,WeightedRevAge01)-SUMIF(ThresholdAge01,"&lt;"&amp;'19_Расчет_аналитики'!BM1572,WeightedMinAge01),MAX(CapacityAge01*'01_Вводные'!$B$218*'19_Расчет_аналитики'!BM1572,MeanMinAge01)))</f>
        <v/>
      </c>
      <c r="BN1504">
        <f>IF(OR(('19_Расчет_аналитики'!BN1420-'19_Расчет_аналитики'!BN1448)=0,1&lt;='01_Вводные'!$B$297),0,('19_Расчет_аналитики'!BN1420-'19_Расчет_аналитики'!BN1448)*IF('01_Вводные'!$B$239="Да",MeanMinAge01+'19_Расчет_аналитики'!BN1572*SUMIF(ThresholdAge01,"&lt;"&amp;'19_Расчет_аналитики'!BN1572,WeightedRevAge01)-SUMIF(ThresholdAge01,"&lt;"&amp;'19_Расчет_аналитики'!BN1572,WeightedMinAge01),MAX(CapacityAge01*'01_Вводные'!$B$218*'19_Расчет_аналитики'!BN1572,MeanMinAge01)))</f>
        <v/>
      </c>
      <c r="BO1504">
        <f>IF(OR(('19_Расчет_аналитики'!BO1420-'19_Расчет_аналитики'!BO1448)=0,1&lt;='01_Вводные'!$B$297),0,('19_Расчет_аналитики'!BO1420-'19_Расчет_аналитики'!BO1448)*IF('01_Вводные'!$B$239="Да",MeanMinAge01+'19_Расчет_аналитики'!BO1572*SUMIF(ThresholdAge01,"&lt;"&amp;'19_Расчет_аналитики'!BO1572,WeightedRevAge01)-SUMIF(ThresholdAge01,"&lt;"&amp;'19_Расчет_аналитики'!BO1572,WeightedMinAge01),MAX(CapacityAge01*'01_Вводные'!$B$218*'19_Расчет_аналитики'!BO1572,MeanMinAge01)))</f>
        <v/>
      </c>
    </row>
    <row r="1505">
      <c r="B1505">
        <f>IF(OR(('06_Сеть_и_дети'!B54-'06_Сеть_и_дети'!B82)=0,2&lt;='01_Вводные'!$B$297),0,('06_Сеть_и_дети'!B54-'06_Сеть_и_дети'!B82)*IF('01_Вводные'!$B$239="Да",MeanMinAge02+'19_Расчет_аналитики'!B1572*SUMIF(ThresholdAge02,"&lt;"&amp;'19_Расчет_аналитики'!B1572,WeightedRevAge02)-SUMIF(ThresholdAge02,"&lt;"&amp;'19_Расчет_аналитики'!B1572,WeightedMinAge02),MAX(CapacityAge02*'01_Вводные'!$B$218*'19_Расчет_аналитики'!B1572,MeanMinAge02)))</f>
        <v/>
      </c>
      <c r="C1505">
        <f>IF(OR(('19_Расчет_аналитики'!C1421-'19_Расчет_аналитики'!C1449)=0,2&lt;='01_Вводные'!$B$297),0,('19_Расчет_аналитики'!C1421-'19_Расчет_аналитики'!C1449)*IF('01_Вводные'!$B$239="Да",MeanMinAge02+'19_Расчет_аналитики'!C1572*SUMIF(ThresholdAge02,"&lt;"&amp;'19_Расчет_аналитики'!C1572,WeightedRevAge02)-SUMIF(ThresholdAge02,"&lt;"&amp;'19_Расчет_аналитики'!C1572,WeightedMinAge02),MAX(CapacityAge02*'01_Вводные'!$B$218*'19_Расчет_аналитики'!C1572,MeanMinAge02)))</f>
        <v/>
      </c>
      <c r="D1505">
        <f>IF(OR(('19_Расчет_аналитики'!D1421-'19_Расчет_аналитики'!D1449)=0,2&lt;='01_Вводные'!$B$297),0,('19_Расчет_аналитики'!D1421-'19_Расчет_аналитики'!D1449)*IF('01_Вводные'!$B$239="Да",MeanMinAge02+'19_Расчет_аналитики'!D1572*SUMIF(ThresholdAge02,"&lt;"&amp;'19_Расчет_аналитики'!D1572,WeightedRevAge02)-SUMIF(ThresholdAge02,"&lt;"&amp;'19_Расчет_аналитики'!D1572,WeightedMinAge02),MAX(CapacityAge02*'01_Вводные'!$B$218*'19_Расчет_аналитики'!D1572,MeanMinAge02)))</f>
        <v/>
      </c>
      <c r="E1505">
        <f>IF(OR(('19_Расчет_аналитики'!E1421-'19_Расчет_аналитики'!E1449)=0,2&lt;='01_Вводные'!$B$297),0,('19_Расчет_аналитики'!E1421-'19_Расчет_аналитики'!E1449)*IF('01_Вводные'!$B$239="Да",MeanMinAge02+'19_Расчет_аналитики'!E1572*SUMIF(ThresholdAge02,"&lt;"&amp;'19_Расчет_аналитики'!E1572,WeightedRevAge02)-SUMIF(ThresholdAge02,"&lt;"&amp;'19_Расчет_аналитики'!E1572,WeightedMinAge02),MAX(CapacityAge02*'01_Вводные'!$B$218*'19_Расчет_аналитики'!E1572,MeanMinAge02)))</f>
        <v/>
      </c>
      <c r="F1505">
        <f>IF(OR(('19_Расчет_аналитики'!F1421-'19_Расчет_аналитики'!F1449)=0,2&lt;='01_Вводные'!$B$297),0,('19_Расчет_аналитики'!F1421-'19_Расчет_аналитики'!F1449)*IF('01_Вводные'!$B$239="Да",MeanMinAge02+'19_Расчет_аналитики'!F1572*SUMIF(ThresholdAge02,"&lt;"&amp;'19_Расчет_аналитики'!F1572,WeightedRevAge02)-SUMIF(ThresholdAge02,"&lt;"&amp;'19_Расчет_аналитики'!F1572,WeightedMinAge02),MAX(CapacityAge02*'01_Вводные'!$B$218*'19_Расчет_аналитики'!F1572,MeanMinAge02)))</f>
        <v/>
      </c>
      <c r="G1505">
        <f>IF(OR(('19_Расчет_аналитики'!G1421-'19_Расчет_аналитики'!G1449)=0,2&lt;='01_Вводные'!$B$297),0,('19_Расчет_аналитики'!G1421-'19_Расчет_аналитики'!G1449)*IF('01_Вводные'!$B$239="Да",MeanMinAge02+'19_Расчет_аналитики'!G1572*SUMIF(ThresholdAge02,"&lt;"&amp;'19_Расчет_аналитики'!G1572,WeightedRevAge02)-SUMIF(ThresholdAge02,"&lt;"&amp;'19_Расчет_аналитики'!G1572,WeightedMinAge02),MAX(CapacityAge02*'01_Вводные'!$B$218*'19_Расчет_аналитики'!G1572,MeanMinAge02)))</f>
        <v/>
      </c>
      <c r="H1505">
        <f>IF(OR(('19_Расчет_аналитики'!H1421-'19_Расчет_аналитики'!H1449)=0,2&lt;='01_Вводные'!$B$297),0,('19_Расчет_аналитики'!H1421-'19_Расчет_аналитики'!H1449)*IF('01_Вводные'!$B$239="Да",MeanMinAge02+'19_Расчет_аналитики'!H1572*SUMIF(ThresholdAge02,"&lt;"&amp;'19_Расчет_аналитики'!H1572,WeightedRevAge02)-SUMIF(ThresholdAge02,"&lt;"&amp;'19_Расчет_аналитики'!H1572,WeightedMinAge02),MAX(CapacityAge02*'01_Вводные'!$B$218*'19_Расчет_аналитики'!H1572,MeanMinAge02)))</f>
        <v/>
      </c>
      <c r="I1505">
        <f>IF(OR(('19_Расчет_аналитики'!I1421-'19_Расчет_аналитики'!I1449)=0,2&lt;='01_Вводные'!$B$297),0,('19_Расчет_аналитики'!I1421-'19_Расчет_аналитики'!I1449)*IF('01_Вводные'!$B$239="Да",MeanMinAge02+'19_Расчет_аналитики'!I1572*SUMIF(ThresholdAge02,"&lt;"&amp;'19_Расчет_аналитики'!I1572,WeightedRevAge02)-SUMIF(ThresholdAge02,"&lt;"&amp;'19_Расчет_аналитики'!I1572,WeightedMinAge02),MAX(CapacityAge02*'01_Вводные'!$B$218*'19_Расчет_аналитики'!I1572,MeanMinAge02)))</f>
        <v/>
      </c>
      <c r="J1505">
        <f>IF(OR(('19_Расчет_аналитики'!J1421-'19_Расчет_аналитики'!J1449)=0,2&lt;='01_Вводные'!$B$297),0,('19_Расчет_аналитики'!J1421-'19_Расчет_аналитики'!J1449)*IF('01_Вводные'!$B$239="Да",MeanMinAge02+'19_Расчет_аналитики'!J1572*SUMIF(ThresholdAge02,"&lt;"&amp;'19_Расчет_аналитики'!J1572,WeightedRevAge02)-SUMIF(ThresholdAge02,"&lt;"&amp;'19_Расчет_аналитики'!J1572,WeightedMinAge02),MAX(CapacityAge02*'01_Вводные'!$B$218*'19_Расчет_аналитики'!J1572,MeanMinAge02)))</f>
        <v/>
      </c>
      <c r="K1505">
        <f>IF(OR(('19_Расчет_аналитики'!K1421-'19_Расчет_аналитики'!K1449)=0,2&lt;='01_Вводные'!$B$297),0,('19_Расчет_аналитики'!K1421-'19_Расчет_аналитики'!K1449)*IF('01_Вводные'!$B$239="Да",MeanMinAge02+'19_Расчет_аналитики'!K1572*SUMIF(ThresholdAge02,"&lt;"&amp;'19_Расчет_аналитики'!K1572,WeightedRevAge02)-SUMIF(ThresholdAge02,"&lt;"&amp;'19_Расчет_аналитики'!K1572,WeightedMinAge02),MAX(CapacityAge02*'01_Вводные'!$B$218*'19_Расчет_аналитики'!K1572,MeanMinAge02)))</f>
        <v/>
      </c>
      <c r="L1505">
        <f>IF(OR(('19_Расчет_аналитики'!L1421-'19_Расчет_аналитики'!L1449)=0,2&lt;='01_Вводные'!$B$297),0,('19_Расчет_аналитики'!L1421-'19_Расчет_аналитики'!L1449)*IF('01_Вводные'!$B$239="Да",MeanMinAge02+'19_Расчет_аналитики'!L1572*SUMIF(ThresholdAge02,"&lt;"&amp;'19_Расчет_аналитики'!L1572,WeightedRevAge02)-SUMIF(ThresholdAge02,"&lt;"&amp;'19_Расчет_аналитики'!L1572,WeightedMinAge02),MAX(CapacityAge02*'01_Вводные'!$B$218*'19_Расчет_аналитики'!L1572,MeanMinAge02)))</f>
        <v/>
      </c>
      <c r="M1505">
        <f>IF(OR(('19_Расчет_аналитики'!M1421-'19_Расчет_аналитики'!M1449)=0,2&lt;='01_Вводные'!$B$297),0,('19_Расчет_аналитики'!M1421-'19_Расчет_аналитики'!M1449)*IF('01_Вводные'!$B$239="Да",MeanMinAge02+'19_Расчет_аналитики'!M1572*SUMIF(ThresholdAge02,"&lt;"&amp;'19_Расчет_аналитики'!M1572,WeightedRevAge02)-SUMIF(ThresholdAge02,"&lt;"&amp;'19_Расчет_аналитики'!M1572,WeightedMinAge02),MAX(CapacityAge02*'01_Вводные'!$B$218*'19_Расчет_аналитики'!M1572,MeanMinAge02)))</f>
        <v/>
      </c>
      <c r="N1505">
        <f>IF(OR(('19_Расчет_аналитики'!N1421-'19_Расчет_аналитики'!N1449)=0,2&lt;='01_Вводные'!$B$297),0,('19_Расчет_аналитики'!N1421-'19_Расчет_аналитики'!N1449)*IF('01_Вводные'!$B$239="Да",MeanMinAge02+'19_Расчет_аналитики'!N1572*SUMIF(ThresholdAge02,"&lt;"&amp;'19_Расчет_аналитики'!N1572,WeightedRevAge02)-SUMIF(ThresholdAge02,"&lt;"&amp;'19_Расчет_аналитики'!N1572,WeightedMinAge02),MAX(CapacityAge02*'01_Вводные'!$B$218*'19_Расчет_аналитики'!N1572,MeanMinAge02)))</f>
        <v/>
      </c>
      <c r="O1505">
        <f>IF(OR(('19_Расчет_аналитики'!O1421-'19_Расчет_аналитики'!O1449)=0,2&lt;='01_Вводные'!$B$297),0,('19_Расчет_аналитики'!O1421-'19_Расчет_аналитики'!O1449)*IF('01_Вводные'!$B$239="Да",MeanMinAge02+'19_Расчет_аналитики'!O1572*SUMIF(ThresholdAge02,"&lt;"&amp;'19_Расчет_аналитики'!O1572,WeightedRevAge02)-SUMIF(ThresholdAge02,"&lt;"&amp;'19_Расчет_аналитики'!O1572,WeightedMinAge02),MAX(CapacityAge02*'01_Вводные'!$B$218*'19_Расчет_аналитики'!O1572,MeanMinAge02)))</f>
        <v/>
      </c>
      <c r="P1505">
        <f>IF(OR(('19_Расчет_аналитики'!P1421-'19_Расчет_аналитики'!P1449)=0,2&lt;='01_Вводные'!$B$297),0,('19_Расчет_аналитики'!P1421-'19_Расчет_аналитики'!P1449)*IF('01_Вводные'!$B$239="Да",MeanMinAge02+'19_Расчет_аналитики'!P1572*SUMIF(ThresholdAge02,"&lt;"&amp;'19_Расчет_аналитики'!P1572,WeightedRevAge02)-SUMIF(ThresholdAge02,"&lt;"&amp;'19_Расчет_аналитики'!P1572,WeightedMinAge02),MAX(CapacityAge02*'01_Вводные'!$B$218*'19_Расчет_аналитики'!P1572,MeanMinAge02)))</f>
        <v/>
      </c>
      <c r="Q1505">
        <f>IF(OR(('19_Расчет_аналитики'!Q1421-'19_Расчет_аналитики'!Q1449)=0,2&lt;='01_Вводные'!$B$297),0,('19_Расчет_аналитики'!Q1421-'19_Расчет_аналитики'!Q1449)*IF('01_Вводные'!$B$239="Да",MeanMinAge02+'19_Расчет_аналитики'!Q1572*SUMIF(ThresholdAge02,"&lt;"&amp;'19_Расчет_аналитики'!Q1572,WeightedRevAge02)-SUMIF(ThresholdAge02,"&lt;"&amp;'19_Расчет_аналитики'!Q1572,WeightedMinAge02),MAX(CapacityAge02*'01_Вводные'!$B$218*'19_Расчет_аналитики'!Q1572,MeanMinAge02)))</f>
        <v/>
      </c>
      <c r="R1505">
        <f>IF(OR(('19_Расчет_аналитики'!R1421-'19_Расчет_аналитики'!R1449)=0,2&lt;='01_Вводные'!$B$297),0,('19_Расчет_аналитики'!R1421-'19_Расчет_аналитики'!R1449)*IF('01_Вводные'!$B$239="Да",MeanMinAge02+'19_Расчет_аналитики'!R1572*SUMIF(ThresholdAge02,"&lt;"&amp;'19_Расчет_аналитики'!R1572,WeightedRevAge02)-SUMIF(ThresholdAge02,"&lt;"&amp;'19_Расчет_аналитики'!R1572,WeightedMinAge02),MAX(CapacityAge02*'01_Вводные'!$B$218*'19_Расчет_аналитики'!R1572,MeanMinAge02)))</f>
        <v/>
      </c>
      <c r="S1505">
        <f>IF(OR(('19_Расчет_аналитики'!S1421-'19_Расчет_аналитики'!S1449)=0,2&lt;='01_Вводные'!$B$297),0,('19_Расчет_аналитики'!S1421-'19_Расчет_аналитики'!S1449)*IF('01_Вводные'!$B$239="Да",MeanMinAge02+'19_Расчет_аналитики'!S1572*SUMIF(ThresholdAge02,"&lt;"&amp;'19_Расчет_аналитики'!S1572,WeightedRevAge02)-SUMIF(ThresholdAge02,"&lt;"&amp;'19_Расчет_аналитики'!S1572,WeightedMinAge02),MAX(CapacityAge02*'01_Вводные'!$B$218*'19_Расчет_аналитики'!S1572,MeanMinAge02)))</f>
        <v/>
      </c>
      <c r="T1505">
        <f>IF(OR(('19_Расчет_аналитики'!T1421-'19_Расчет_аналитики'!T1449)=0,2&lt;='01_Вводные'!$B$297),0,('19_Расчет_аналитики'!T1421-'19_Расчет_аналитики'!T1449)*IF('01_Вводные'!$B$239="Да",MeanMinAge02+'19_Расчет_аналитики'!T1572*SUMIF(ThresholdAge02,"&lt;"&amp;'19_Расчет_аналитики'!T1572,WeightedRevAge02)-SUMIF(ThresholdAge02,"&lt;"&amp;'19_Расчет_аналитики'!T1572,WeightedMinAge02),MAX(CapacityAge02*'01_Вводные'!$B$218*'19_Расчет_аналитики'!T1572,MeanMinAge02)))</f>
        <v/>
      </c>
      <c r="U1505">
        <f>IF(OR(('19_Расчет_аналитики'!U1421-'19_Расчет_аналитики'!U1449)=0,2&lt;='01_Вводные'!$B$297),0,('19_Расчет_аналитики'!U1421-'19_Расчет_аналитики'!U1449)*IF('01_Вводные'!$B$239="Да",MeanMinAge02+'19_Расчет_аналитики'!U1572*SUMIF(ThresholdAge02,"&lt;"&amp;'19_Расчет_аналитики'!U1572,WeightedRevAge02)-SUMIF(ThresholdAge02,"&lt;"&amp;'19_Расчет_аналитики'!U1572,WeightedMinAge02),MAX(CapacityAge02*'01_Вводные'!$B$218*'19_Расчет_аналитики'!U1572,MeanMinAge02)))</f>
        <v/>
      </c>
      <c r="V1505">
        <f>IF(OR(('19_Расчет_аналитики'!V1421-'19_Расчет_аналитики'!V1449)=0,2&lt;='01_Вводные'!$B$297),0,('19_Расчет_аналитики'!V1421-'19_Расчет_аналитики'!V1449)*IF('01_Вводные'!$B$239="Да",MeanMinAge02+'19_Расчет_аналитики'!V1572*SUMIF(ThresholdAge02,"&lt;"&amp;'19_Расчет_аналитики'!V1572,WeightedRevAge02)-SUMIF(ThresholdAge02,"&lt;"&amp;'19_Расчет_аналитики'!V1572,WeightedMinAge02),MAX(CapacityAge02*'01_Вводные'!$B$218*'19_Расчет_аналитики'!V1572,MeanMinAge02)))</f>
        <v/>
      </c>
      <c r="W1505">
        <f>IF(OR(('19_Расчет_аналитики'!W1421-'19_Расчет_аналитики'!W1449)=0,2&lt;='01_Вводные'!$B$297),0,('19_Расчет_аналитики'!W1421-'19_Расчет_аналитики'!W1449)*IF('01_Вводные'!$B$239="Да",MeanMinAge02+'19_Расчет_аналитики'!W1572*SUMIF(ThresholdAge02,"&lt;"&amp;'19_Расчет_аналитики'!W1572,WeightedRevAge02)-SUMIF(ThresholdAge02,"&lt;"&amp;'19_Расчет_аналитики'!W1572,WeightedMinAge02),MAX(CapacityAge02*'01_Вводные'!$B$218*'19_Расчет_аналитики'!W1572,MeanMinAge02)))</f>
        <v/>
      </c>
      <c r="X1505">
        <f>IF(OR(('19_Расчет_аналитики'!X1421-'19_Расчет_аналитики'!X1449)=0,2&lt;='01_Вводные'!$B$297),0,('19_Расчет_аналитики'!X1421-'19_Расчет_аналитики'!X1449)*IF('01_Вводные'!$B$239="Да",MeanMinAge02+'19_Расчет_аналитики'!X1572*SUMIF(ThresholdAge02,"&lt;"&amp;'19_Расчет_аналитики'!X1572,WeightedRevAge02)-SUMIF(ThresholdAge02,"&lt;"&amp;'19_Расчет_аналитики'!X1572,WeightedMinAge02),MAX(CapacityAge02*'01_Вводные'!$B$218*'19_Расчет_аналитики'!X1572,MeanMinAge02)))</f>
        <v/>
      </c>
      <c r="Y1505">
        <f>IF(OR(('19_Расчет_аналитики'!Y1421-'19_Расчет_аналитики'!Y1449)=0,2&lt;='01_Вводные'!$B$297),0,('19_Расчет_аналитики'!Y1421-'19_Расчет_аналитики'!Y1449)*IF('01_Вводные'!$B$239="Да",MeanMinAge02+'19_Расчет_аналитики'!Y1572*SUMIF(ThresholdAge02,"&lt;"&amp;'19_Расчет_аналитики'!Y1572,WeightedRevAge02)-SUMIF(ThresholdAge02,"&lt;"&amp;'19_Расчет_аналитики'!Y1572,WeightedMinAge02),MAX(CapacityAge02*'01_Вводные'!$B$218*'19_Расчет_аналитики'!Y1572,MeanMinAge02)))</f>
        <v/>
      </c>
      <c r="Z1505">
        <f>IF(OR(('19_Расчет_аналитики'!Z1421-'19_Расчет_аналитики'!Z1449)=0,2&lt;='01_Вводные'!$B$297),0,('19_Расчет_аналитики'!Z1421-'19_Расчет_аналитики'!Z1449)*IF('01_Вводные'!$B$239="Да",MeanMinAge02+'19_Расчет_аналитики'!Z1572*SUMIF(ThresholdAge02,"&lt;"&amp;'19_Расчет_аналитики'!Z1572,WeightedRevAge02)-SUMIF(ThresholdAge02,"&lt;"&amp;'19_Расчет_аналитики'!Z1572,WeightedMinAge02),MAX(CapacityAge02*'01_Вводные'!$B$218*'19_Расчет_аналитики'!Z1572,MeanMinAge02)))</f>
        <v/>
      </c>
      <c r="AA1505">
        <f>IF(OR(('19_Расчет_аналитики'!AA1421-'19_Расчет_аналитики'!AA1449)=0,2&lt;='01_Вводные'!$B$297),0,('19_Расчет_аналитики'!AA1421-'19_Расчет_аналитики'!AA1449)*IF('01_Вводные'!$B$239="Да",MeanMinAge02+'19_Расчет_аналитики'!AA1572*SUMIF(ThresholdAge02,"&lt;"&amp;'19_Расчет_аналитики'!AA1572,WeightedRevAge02)-SUMIF(ThresholdAge02,"&lt;"&amp;'19_Расчет_аналитики'!AA1572,WeightedMinAge02),MAX(CapacityAge02*'01_Вводные'!$B$218*'19_Расчет_аналитики'!AA1572,MeanMinAge02)))</f>
        <v/>
      </c>
      <c r="AB1505">
        <f>IF(OR(('19_Расчет_аналитики'!AB1421-'19_Расчет_аналитики'!AB1449)=0,2&lt;='01_Вводные'!$B$297),0,('19_Расчет_аналитики'!AB1421-'19_Расчет_аналитики'!AB1449)*IF('01_Вводные'!$B$239="Да",MeanMinAge02+'19_Расчет_аналитики'!AB1572*SUMIF(ThresholdAge02,"&lt;"&amp;'19_Расчет_аналитики'!AB1572,WeightedRevAge02)-SUMIF(ThresholdAge02,"&lt;"&amp;'19_Расчет_аналитики'!AB1572,WeightedMinAge02),MAX(CapacityAge02*'01_Вводные'!$B$218*'19_Расчет_аналитики'!AB1572,MeanMinAge02)))</f>
        <v/>
      </c>
      <c r="AC1505">
        <f>IF(OR(('19_Расчет_аналитики'!AC1421-'19_Расчет_аналитики'!AC1449)=0,2&lt;='01_Вводные'!$B$297),0,('19_Расчет_аналитики'!AC1421-'19_Расчет_аналитики'!AC1449)*IF('01_Вводные'!$B$239="Да",MeanMinAge02+'19_Расчет_аналитики'!AC1572*SUMIF(ThresholdAge02,"&lt;"&amp;'19_Расчет_аналитики'!AC1572,WeightedRevAge02)-SUMIF(ThresholdAge02,"&lt;"&amp;'19_Расчет_аналитики'!AC1572,WeightedMinAge02),MAX(CapacityAge02*'01_Вводные'!$B$218*'19_Расчет_аналитики'!AC1572,MeanMinAge02)))</f>
        <v/>
      </c>
      <c r="AD1505">
        <f>IF(OR(('19_Расчет_аналитики'!AD1421-'19_Расчет_аналитики'!AD1449)=0,2&lt;='01_Вводные'!$B$297),0,('19_Расчет_аналитики'!AD1421-'19_Расчет_аналитики'!AD1449)*IF('01_Вводные'!$B$239="Да",MeanMinAge02+'19_Расчет_аналитики'!AD1572*SUMIF(ThresholdAge02,"&lt;"&amp;'19_Расчет_аналитики'!AD1572,WeightedRevAge02)-SUMIF(ThresholdAge02,"&lt;"&amp;'19_Расчет_аналитики'!AD1572,WeightedMinAge02),MAX(CapacityAge02*'01_Вводные'!$B$218*'19_Расчет_аналитики'!AD1572,MeanMinAge02)))</f>
        <v/>
      </c>
      <c r="AE1505">
        <f>IF(OR(('19_Расчет_аналитики'!AE1421-'19_Расчет_аналитики'!AE1449)=0,2&lt;='01_Вводные'!$B$297),0,('19_Расчет_аналитики'!AE1421-'19_Расчет_аналитики'!AE1449)*IF('01_Вводные'!$B$239="Да",MeanMinAge02+'19_Расчет_аналитики'!AE1572*SUMIF(ThresholdAge02,"&lt;"&amp;'19_Расчет_аналитики'!AE1572,WeightedRevAge02)-SUMIF(ThresholdAge02,"&lt;"&amp;'19_Расчет_аналитики'!AE1572,WeightedMinAge02),MAX(CapacityAge02*'01_Вводные'!$B$218*'19_Расчет_аналитики'!AE1572,MeanMinAge02)))</f>
        <v/>
      </c>
      <c r="AF1505">
        <f>IF(OR(('19_Расчет_аналитики'!AF1421-'19_Расчет_аналитики'!AF1449)=0,2&lt;='01_Вводные'!$B$297),0,('19_Расчет_аналитики'!AF1421-'19_Расчет_аналитики'!AF1449)*IF('01_Вводные'!$B$239="Да",MeanMinAge02+'19_Расчет_аналитики'!AF1572*SUMIF(ThresholdAge02,"&lt;"&amp;'19_Расчет_аналитики'!AF1572,WeightedRevAge02)-SUMIF(ThresholdAge02,"&lt;"&amp;'19_Расчет_аналитики'!AF1572,WeightedMinAge02),MAX(CapacityAge02*'01_Вводные'!$B$218*'19_Расчет_аналитики'!AF1572,MeanMinAge02)))</f>
        <v/>
      </c>
      <c r="AG1505">
        <f>IF(OR(('19_Расчет_аналитики'!AG1421-'19_Расчет_аналитики'!AG1449)=0,2&lt;='01_Вводные'!$B$297),0,('19_Расчет_аналитики'!AG1421-'19_Расчет_аналитики'!AG1449)*IF('01_Вводные'!$B$239="Да",MeanMinAge02+'19_Расчет_аналитики'!AG1572*SUMIF(ThresholdAge02,"&lt;"&amp;'19_Расчет_аналитики'!AG1572,WeightedRevAge02)-SUMIF(ThresholdAge02,"&lt;"&amp;'19_Расчет_аналитики'!AG1572,WeightedMinAge02),MAX(CapacityAge02*'01_Вводные'!$B$218*'19_Расчет_аналитики'!AG1572,MeanMinAge02)))</f>
        <v/>
      </c>
      <c r="AH1505">
        <f>IF(OR(('19_Расчет_аналитики'!AH1421-'19_Расчет_аналитики'!AH1449)=0,2&lt;='01_Вводные'!$B$297),0,('19_Расчет_аналитики'!AH1421-'19_Расчет_аналитики'!AH1449)*IF('01_Вводные'!$B$239="Да",MeanMinAge02+'19_Расчет_аналитики'!AH1572*SUMIF(ThresholdAge02,"&lt;"&amp;'19_Расчет_аналитики'!AH1572,WeightedRevAge02)-SUMIF(ThresholdAge02,"&lt;"&amp;'19_Расчет_аналитики'!AH1572,WeightedMinAge02),MAX(CapacityAge02*'01_Вводные'!$B$218*'19_Расчет_аналитики'!AH1572,MeanMinAge02)))</f>
        <v/>
      </c>
      <c r="AI1505">
        <f>IF(OR(('19_Расчет_аналитики'!AI1421-'19_Расчет_аналитики'!AI1449)=0,2&lt;='01_Вводные'!$B$297),0,('19_Расчет_аналитики'!AI1421-'19_Расчет_аналитики'!AI1449)*IF('01_Вводные'!$B$239="Да",MeanMinAge02+'19_Расчет_аналитики'!AI1572*SUMIF(ThresholdAge02,"&lt;"&amp;'19_Расчет_аналитики'!AI1572,WeightedRevAge02)-SUMIF(ThresholdAge02,"&lt;"&amp;'19_Расчет_аналитики'!AI1572,WeightedMinAge02),MAX(CapacityAge02*'01_Вводные'!$B$218*'19_Расчет_аналитики'!AI1572,MeanMinAge02)))</f>
        <v/>
      </c>
      <c r="AJ1505">
        <f>IF(OR(('19_Расчет_аналитики'!AJ1421-'19_Расчет_аналитики'!AJ1449)=0,2&lt;='01_Вводные'!$B$297),0,('19_Расчет_аналитики'!AJ1421-'19_Расчет_аналитики'!AJ1449)*IF('01_Вводные'!$B$239="Да",MeanMinAge02+'19_Расчет_аналитики'!AJ1572*SUMIF(ThresholdAge02,"&lt;"&amp;'19_Расчет_аналитики'!AJ1572,WeightedRevAge02)-SUMIF(ThresholdAge02,"&lt;"&amp;'19_Расчет_аналитики'!AJ1572,WeightedMinAge02),MAX(CapacityAge02*'01_Вводные'!$B$218*'19_Расчет_аналитики'!AJ1572,MeanMinAge02)))</f>
        <v/>
      </c>
      <c r="AK1505">
        <f>IF(OR(('19_Расчет_аналитики'!AK1421-'19_Расчет_аналитики'!AK1449)=0,2&lt;='01_Вводные'!$B$297),0,('19_Расчет_аналитики'!AK1421-'19_Расчет_аналитики'!AK1449)*IF('01_Вводные'!$B$239="Да",MeanMinAge02+'19_Расчет_аналитики'!AK1572*SUMIF(ThresholdAge02,"&lt;"&amp;'19_Расчет_аналитики'!AK1572,WeightedRevAge02)-SUMIF(ThresholdAge02,"&lt;"&amp;'19_Расчет_аналитики'!AK1572,WeightedMinAge02),MAX(CapacityAge02*'01_Вводные'!$B$218*'19_Расчет_аналитики'!AK1572,MeanMinAge02)))</f>
        <v/>
      </c>
      <c r="AL1505">
        <f>IF(OR(('19_Расчет_аналитики'!AL1421-'19_Расчет_аналитики'!AL1449)=0,2&lt;='01_Вводные'!$B$297),0,('19_Расчет_аналитики'!AL1421-'19_Расчет_аналитики'!AL1449)*IF('01_Вводные'!$B$239="Да",MeanMinAge02+'19_Расчет_аналитики'!AL1572*SUMIF(ThresholdAge02,"&lt;"&amp;'19_Расчет_аналитики'!AL1572,WeightedRevAge02)-SUMIF(ThresholdAge02,"&lt;"&amp;'19_Расчет_аналитики'!AL1572,WeightedMinAge02),MAX(CapacityAge02*'01_Вводные'!$B$218*'19_Расчет_аналитики'!AL1572,MeanMinAge02)))</f>
        <v/>
      </c>
      <c r="AM1505">
        <f>IF(OR(('19_Расчет_аналитики'!AM1421-'19_Расчет_аналитики'!AM1449)=0,2&lt;='01_Вводные'!$B$297),0,('19_Расчет_аналитики'!AM1421-'19_Расчет_аналитики'!AM1449)*IF('01_Вводные'!$B$239="Да",MeanMinAge02+'19_Расчет_аналитики'!AM1572*SUMIF(ThresholdAge02,"&lt;"&amp;'19_Расчет_аналитики'!AM1572,WeightedRevAge02)-SUMIF(ThresholdAge02,"&lt;"&amp;'19_Расчет_аналитики'!AM1572,WeightedMinAge02),MAX(CapacityAge02*'01_Вводные'!$B$218*'19_Расчет_аналитики'!AM1572,MeanMinAge02)))</f>
        <v/>
      </c>
      <c r="AN1505">
        <f>IF(OR(('19_Расчет_аналитики'!AN1421-'19_Расчет_аналитики'!AN1449)=0,2&lt;='01_Вводные'!$B$297),0,('19_Расчет_аналитики'!AN1421-'19_Расчет_аналитики'!AN1449)*IF('01_Вводные'!$B$239="Да",MeanMinAge02+'19_Расчет_аналитики'!AN1572*SUMIF(ThresholdAge02,"&lt;"&amp;'19_Расчет_аналитики'!AN1572,WeightedRevAge02)-SUMIF(ThresholdAge02,"&lt;"&amp;'19_Расчет_аналитики'!AN1572,WeightedMinAge02),MAX(CapacityAge02*'01_Вводные'!$B$218*'19_Расчет_аналитики'!AN1572,MeanMinAge02)))</f>
        <v/>
      </c>
      <c r="AO1505">
        <f>IF(OR(('19_Расчет_аналитики'!AO1421-'19_Расчет_аналитики'!AO1449)=0,2&lt;='01_Вводные'!$B$297),0,('19_Расчет_аналитики'!AO1421-'19_Расчет_аналитики'!AO1449)*IF('01_Вводные'!$B$239="Да",MeanMinAge02+'19_Расчет_аналитики'!AO1572*SUMIF(ThresholdAge02,"&lt;"&amp;'19_Расчет_аналитики'!AO1572,WeightedRevAge02)-SUMIF(ThresholdAge02,"&lt;"&amp;'19_Расчет_аналитики'!AO1572,WeightedMinAge02),MAX(CapacityAge02*'01_Вводные'!$B$218*'19_Расчет_аналитики'!AO1572,MeanMinAge02)))</f>
        <v/>
      </c>
      <c r="AP1505">
        <f>IF(OR(('19_Расчет_аналитики'!AP1421-'19_Расчет_аналитики'!AP1449)=0,2&lt;='01_Вводные'!$B$297),0,('19_Расчет_аналитики'!AP1421-'19_Расчет_аналитики'!AP1449)*IF('01_Вводные'!$B$239="Да",MeanMinAge02+'19_Расчет_аналитики'!AP1572*SUMIF(ThresholdAge02,"&lt;"&amp;'19_Расчет_аналитики'!AP1572,WeightedRevAge02)-SUMIF(ThresholdAge02,"&lt;"&amp;'19_Расчет_аналитики'!AP1572,WeightedMinAge02),MAX(CapacityAge02*'01_Вводные'!$B$218*'19_Расчет_аналитики'!AP1572,MeanMinAge02)))</f>
        <v/>
      </c>
      <c r="AQ1505">
        <f>IF(OR(('19_Расчет_аналитики'!AQ1421-'19_Расчет_аналитики'!AQ1449)=0,2&lt;='01_Вводные'!$B$297),0,('19_Расчет_аналитики'!AQ1421-'19_Расчет_аналитики'!AQ1449)*IF('01_Вводные'!$B$239="Да",MeanMinAge02+'19_Расчет_аналитики'!AQ1572*SUMIF(ThresholdAge02,"&lt;"&amp;'19_Расчет_аналитики'!AQ1572,WeightedRevAge02)-SUMIF(ThresholdAge02,"&lt;"&amp;'19_Расчет_аналитики'!AQ1572,WeightedMinAge02),MAX(CapacityAge02*'01_Вводные'!$B$218*'19_Расчет_аналитики'!AQ1572,MeanMinAge02)))</f>
        <v/>
      </c>
      <c r="AR1505">
        <f>IF(OR(('19_Расчет_аналитики'!AR1421-'19_Расчет_аналитики'!AR1449)=0,2&lt;='01_Вводные'!$B$297),0,('19_Расчет_аналитики'!AR1421-'19_Расчет_аналитики'!AR1449)*IF('01_Вводные'!$B$239="Да",MeanMinAge02+'19_Расчет_аналитики'!AR1572*SUMIF(ThresholdAge02,"&lt;"&amp;'19_Расчет_аналитики'!AR1572,WeightedRevAge02)-SUMIF(ThresholdAge02,"&lt;"&amp;'19_Расчет_аналитики'!AR1572,WeightedMinAge02),MAX(CapacityAge02*'01_Вводные'!$B$218*'19_Расчет_аналитики'!AR1572,MeanMinAge02)))</f>
        <v/>
      </c>
      <c r="AS1505">
        <f>IF(OR(('19_Расчет_аналитики'!AS1421-'19_Расчет_аналитики'!AS1449)=0,2&lt;='01_Вводные'!$B$297),0,('19_Расчет_аналитики'!AS1421-'19_Расчет_аналитики'!AS1449)*IF('01_Вводные'!$B$239="Да",MeanMinAge02+'19_Расчет_аналитики'!AS1572*SUMIF(ThresholdAge02,"&lt;"&amp;'19_Расчет_аналитики'!AS1572,WeightedRevAge02)-SUMIF(ThresholdAge02,"&lt;"&amp;'19_Расчет_аналитики'!AS1572,WeightedMinAge02),MAX(CapacityAge02*'01_Вводные'!$B$218*'19_Расчет_аналитики'!AS1572,MeanMinAge02)))</f>
        <v/>
      </c>
      <c r="AT1505">
        <f>IF(OR(('19_Расчет_аналитики'!AT1421-'19_Расчет_аналитики'!AT1449)=0,2&lt;='01_Вводные'!$B$297),0,('19_Расчет_аналитики'!AT1421-'19_Расчет_аналитики'!AT1449)*IF('01_Вводные'!$B$239="Да",MeanMinAge02+'19_Расчет_аналитики'!AT1572*SUMIF(ThresholdAge02,"&lt;"&amp;'19_Расчет_аналитики'!AT1572,WeightedRevAge02)-SUMIF(ThresholdAge02,"&lt;"&amp;'19_Расчет_аналитики'!AT1572,WeightedMinAge02),MAX(CapacityAge02*'01_Вводные'!$B$218*'19_Расчет_аналитики'!AT1572,MeanMinAge02)))</f>
        <v/>
      </c>
      <c r="AU1505">
        <f>IF(OR(('19_Расчет_аналитики'!AU1421-'19_Расчет_аналитики'!AU1449)=0,2&lt;='01_Вводные'!$B$297),0,('19_Расчет_аналитики'!AU1421-'19_Расчет_аналитики'!AU1449)*IF('01_Вводные'!$B$239="Да",MeanMinAge02+'19_Расчет_аналитики'!AU1572*SUMIF(ThresholdAge02,"&lt;"&amp;'19_Расчет_аналитики'!AU1572,WeightedRevAge02)-SUMIF(ThresholdAge02,"&lt;"&amp;'19_Расчет_аналитики'!AU1572,WeightedMinAge02),MAX(CapacityAge02*'01_Вводные'!$B$218*'19_Расчет_аналитики'!AU1572,MeanMinAge02)))</f>
        <v/>
      </c>
      <c r="AV1505">
        <f>IF(OR(('19_Расчет_аналитики'!AV1421-'19_Расчет_аналитики'!AV1449)=0,2&lt;='01_Вводные'!$B$297),0,('19_Расчет_аналитики'!AV1421-'19_Расчет_аналитики'!AV1449)*IF('01_Вводные'!$B$239="Да",MeanMinAge02+'19_Расчет_аналитики'!AV1572*SUMIF(ThresholdAge02,"&lt;"&amp;'19_Расчет_аналитики'!AV1572,WeightedRevAge02)-SUMIF(ThresholdAge02,"&lt;"&amp;'19_Расчет_аналитики'!AV1572,WeightedMinAge02),MAX(CapacityAge02*'01_Вводные'!$B$218*'19_Расчет_аналитики'!AV1572,MeanMinAge02)))</f>
        <v/>
      </c>
      <c r="AW1505">
        <f>IF(OR(('19_Расчет_аналитики'!AW1421-'19_Расчет_аналитики'!AW1449)=0,2&lt;='01_Вводные'!$B$297),0,('19_Расчет_аналитики'!AW1421-'19_Расчет_аналитики'!AW1449)*IF('01_Вводные'!$B$239="Да",MeanMinAge02+'19_Расчет_аналитики'!AW1572*SUMIF(ThresholdAge02,"&lt;"&amp;'19_Расчет_аналитики'!AW1572,WeightedRevAge02)-SUMIF(ThresholdAge02,"&lt;"&amp;'19_Расчет_аналитики'!AW1572,WeightedMinAge02),MAX(CapacityAge02*'01_Вводные'!$B$218*'19_Расчет_аналитики'!AW1572,MeanMinAge02)))</f>
        <v/>
      </c>
      <c r="AX1505">
        <f>IF(OR(('19_Расчет_аналитики'!AX1421-'19_Расчет_аналитики'!AX1449)=0,2&lt;='01_Вводные'!$B$297),0,('19_Расчет_аналитики'!AX1421-'19_Расчет_аналитики'!AX1449)*IF('01_Вводные'!$B$239="Да",MeanMinAge02+'19_Расчет_аналитики'!AX1572*SUMIF(ThresholdAge02,"&lt;"&amp;'19_Расчет_аналитики'!AX1572,WeightedRevAge02)-SUMIF(ThresholdAge02,"&lt;"&amp;'19_Расчет_аналитики'!AX1572,WeightedMinAge02),MAX(CapacityAge02*'01_Вводные'!$B$218*'19_Расчет_аналитики'!AX1572,MeanMinAge02)))</f>
        <v/>
      </c>
      <c r="AY1505">
        <f>IF(OR(('19_Расчет_аналитики'!AY1421-'19_Расчет_аналитики'!AY1449)=0,2&lt;='01_Вводные'!$B$297),0,('19_Расчет_аналитики'!AY1421-'19_Расчет_аналитики'!AY1449)*IF('01_Вводные'!$B$239="Да",MeanMinAge02+'19_Расчет_аналитики'!AY1572*SUMIF(ThresholdAge02,"&lt;"&amp;'19_Расчет_аналитики'!AY1572,WeightedRevAge02)-SUMIF(ThresholdAge02,"&lt;"&amp;'19_Расчет_аналитики'!AY1572,WeightedMinAge02),MAX(CapacityAge02*'01_Вводные'!$B$218*'19_Расчет_аналитики'!AY1572,MeanMinAge02)))</f>
        <v/>
      </c>
      <c r="AZ1505">
        <f>IF(OR(('19_Расчет_аналитики'!AZ1421-'19_Расчет_аналитики'!AZ1449)=0,2&lt;='01_Вводные'!$B$297),0,('19_Расчет_аналитики'!AZ1421-'19_Расчет_аналитики'!AZ1449)*IF('01_Вводные'!$B$239="Да",MeanMinAge02+'19_Расчет_аналитики'!AZ1572*SUMIF(ThresholdAge02,"&lt;"&amp;'19_Расчет_аналитики'!AZ1572,WeightedRevAge02)-SUMIF(ThresholdAge02,"&lt;"&amp;'19_Расчет_аналитики'!AZ1572,WeightedMinAge02),MAX(CapacityAge02*'01_Вводные'!$B$218*'19_Расчет_аналитики'!AZ1572,MeanMinAge02)))</f>
        <v/>
      </c>
      <c r="BA1505">
        <f>IF(OR(('19_Расчет_аналитики'!BA1421-'19_Расчет_аналитики'!BA1449)=0,2&lt;='01_Вводные'!$B$297),0,('19_Расчет_аналитики'!BA1421-'19_Расчет_аналитики'!BA1449)*IF('01_Вводные'!$B$239="Да",MeanMinAge02+'19_Расчет_аналитики'!BA1572*SUMIF(ThresholdAge02,"&lt;"&amp;'19_Расчет_аналитики'!BA1572,WeightedRevAge02)-SUMIF(ThresholdAge02,"&lt;"&amp;'19_Расчет_аналитики'!BA1572,WeightedMinAge02),MAX(CapacityAge02*'01_Вводные'!$B$218*'19_Расчет_аналитики'!BA1572,MeanMinAge02)))</f>
        <v/>
      </c>
      <c r="BB1505">
        <f>IF(OR(('19_Расчет_аналитики'!BB1421-'19_Расчет_аналитики'!BB1449)=0,2&lt;='01_Вводные'!$B$297),0,('19_Расчет_аналитики'!BB1421-'19_Расчет_аналитики'!BB1449)*IF('01_Вводные'!$B$239="Да",MeanMinAge02+'19_Расчет_аналитики'!BB1572*SUMIF(ThresholdAge02,"&lt;"&amp;'19_Расчет_аналитики'!BB1572,WeightedRevAge02)-SUMIF(ThresholdAge02,"&lt;"&amp;'19_Расчет_аналитики'!BB1572,WeightedMinAge02),MAX(CapacityAge02*'01_Вводные'!$B$218*'19_Расчет_аналитики'!BB1572,MeanMinAge02)))</f>
        <v/>
      </c>
      <c r="BC1505">
        <f>IF(OR(('19_Расчет_аналитики'!BC1421-'19_Расчет_аналитики'!BC1449)=0,2&lt;='01_Вводные'!$B$297),0,('19_Расчет_аналитики'!BC1421-'19_Расчет_аналитики'!BC1449)*IF('01_Вводные'!$B$239="Да",MeanMinAge02+'19_Расчет_аналитики'!BC1572*SUMIF(ThresholdAge02,"&lt;"&amp;'19_Расчет_аналитики'!BC1572,WeightedRevAge02)-SUMIF(ThresholdAge02,"&lt;"&amp;'19_Расчет_аналитики'!BC1572,WeightedMinAge02),MAX(CapacityAge02*'01_Вводные'!$B$218*'19_Расчет_аналитики'!BC1572,MeanMinAge02)))</f>
        <v/>
      </c>
      <c r="BD1505">
        <f>IF(OR(('19_Расчет_аналитики'!BD1421-'19_Расчет_аналитики'!BD1449)=0,2&lt;='01_Вводные'!$B$297),0,('19_Расчет_аналитики'!BD1421-'19_Расчет_аналитики'!BD1449)*IF('01_Вводные'!$B$239="Да",MeanMinAge02+'19_Расчет_аналитики'!BD1572*SUMIF(ThresholdAge02,"&lt;"&amp;'19_Расчет_аналитики'!BD1572,WeightedRevAge02)-SUMIF(ThresholdAge02,"&lt;"&amp;'19_Расчет_аналитики'!BD1572,WeightedMinAge02),MAX(CapacityAge02*'01_Вводные'!$B$218*'19_Расчет_аналитики'!BD1572,MeanMinAge02)))</f>
        <v/>
      </c>
      <c r="BE1505">
        <f>IF(OR(('19_Расчет_аналитики'!BE1421-'19_Расчет_аналитики'!BE1449)=0,2&lt;='01_Вводные'!$B$297),0,('19_Расчет_аналитики'!BE1421-'19_Расчет_аналитики'!BE1449)*IF('01_Вводные'!$B$239="Да",MeanMinAge02+'19_Расчет_аналитики'!BE1572*SUMIF(ThresholdAge02,"&lt;"&amp;'19_Расчет_аналитики'!BE1572,WeightedRevAge02)-SUMIF(ThresholdAge02,"&lt;"&amp;'19_Расчет_аналитики'!BE1572,WeightedMinAge02),MAX(CapacityAge02*'01_Вводные'!$B$218*'19_Расчет_аналитики'!BE1572,MeanMinAge02)))</f>
        <v/>
      </c>
      <c r="BF1505">
        <f>IF(OR(('19_Расчет_аналитики'!BF1421-'19_Расчет_аналитики'!BF1449)=0,2&lt;='01_Вводные'!$B$297),0,('19_Расчет_аналитики'!BF1421-'19_Расчет_аналитики'!BF1449)*IF('01_Вводные'!$B$239="Да",MeanMinAge02+'19_Расчет_аналитики'!BF1572*SUMIF(ThresholdAge02,"&lt;"&amp;'19_Расчет_аналитики'!BF1572,WeightedRevAge02)-SUMIF(ThresholdAge02,"&lt;"&amp;'19_Расчет_аналитики'!BF1572,WeightedMinAge02),MAX(CapacityAge02*'01_Вводные'!$B$218*'19_Расчет_аналитики'!BF1572,MeanMinAge02)))</f>
        <v/>
      </c>
      <c r="BG1505">
        <f>IF(OR(('19_Расчет_аналитики'!BG1421-'19_Расчет_аналитики'!BG1449)=0,2&lt;='01_Вводные'!$B$297),0,('19_Расчет_аналитики'!BG1421-'19_Расчет_аналитики'!BG1449)*IF('01_Вводные'!$B$239="Да",MeanMinAge02+'19_Расчет_аналитики'!BG1572*SUMIF(ThresholdAge02,"&lt;"&amp;'19_Расчет_аналитики'!BG1572,WeightedRevAge02)-SUMIF(ThresholdAge02,"&lt;"&amp;'19_Расчет_аналитики'!BG1572,WeightedMinAge02),MAX(CapacityAge02*'01_Вводные'!$B$218*'19_Расчет_аналитики'!BG1572,MeanMinAge02)))</f>
        <v/>
      </c>
      <c r="BH1505">
        <f>IF(OR(('19_Расчет_аналитики'!BH1421-'19_Расчет_аналитики'!BH1449)=0,2&lt;='01_Вводные'!$B$297),0,('19_Расчет_аналитики'!BH1421-'19_Расчет_аналитики'!BH1449)*IF('01_Вводные'!$B$239="Да",MeanMinAge02+'19_Расчет_аналитики'!BH1572*SUMIF(ThresholdAge02,"&lt;"&amp;'19_Расчет_аналитики'!BH1572,WeightedRevAge02)-SUMIF(ThresholdAge02,"&lt;"&amp;'19_Расчет_аналитики'!BH1572,WeightedMinAge02),MAX(CapacityAge02*'01_Вводные'!$B$218*'19_Расчет_аналитики'!BH1572,MeanMinAge02)))</f>
        <v/>
      </c>
      <c r="BI1505">
        <f>IF(OR(('19_Расчет_аналитики'!BI1421-'19_Расчет_аналитики'!BI1449)=0,2&lt;='01_Вводные'!$B$297),0,('19_Расчет_аналитики'!BI1421-'19_Расчет_аналитики'!BI1449)*IF('01_Вводные'!$B$239="Да",MeanMinAge02+'19_Расчет_аналитики'!BI1572*SUMIF(ThresholdAge02,"&lt;"&amp;'19_Расчет_аналитики'!BI1572,WeightedRevAge02)-SUMIF(ThresholdAge02,"&lt;"&amp;'19_Расчет_аналитики'!BI1572,WeightedMinAge02),MAX(CapacityAge02*'01_Вводные'!$B$218*'19_Расчет_аналитики'!BI1572,MeanMinAge02)))</f>
        <v/>
      </c>
      <c r="BJ1505">
        <f>IF(OR(('19_Расчет_аналитики'!BJ1421-'19_Расчет_аналитики'!BJ1449)=0,2&lt;='01_Вводные'!$B$297),0,('19_Расчет_аналитики'!BJ1421-'19_Расчет_аналитики'!BJ1449)*IF('01_Вводные'!$B$239="Да",MeanMinAge02+'19_Расчет_аналитики'!BJ1572*SUMIF(ThresholdAge02,"&lt;"&amp;'19_Расчет_аналитики'!BJ1572,WeightedRevAge02)-SUMIF(ThresholdAge02,"&lt;"&amp;'19_Расчет_аналитики'!BJ1572,WeightedMinAge02),MAX(CapacityAge02*'01_Вводные'!$B$218*'19_Расчет_аналитики'!BJ1572,MeanMinAge02)))</f>
        <v/>
      </c>
      <c r="BK1505">
        <f>IF(OR(('19_Расчет_аналитики'!BK1421-'19_Расчет_аналитики'!BK1449)=0,2&lt;='01_Вводные'!$B$297),0,('19_Расчет_аналитики'!BK1421-'19_Расчет_аналитики'!BK1449)*IF('01_Вводные'!$B$239="Да",MeanMinAge02+'19_Расчет_аналитики'!BK1572*SUMIF(ThresholdAge02,"&lt;"&amp;'19_Расчет_аналитики'!BK1572,WeightedRevAge02)-SUMIF(ThresholdAge02,"&lt;"&amp;'19_Расчет_аналитики'!BK1572,WeightedMinAge02),MAX(CapacityAge02*'01_Вводные'!$B$218*'19_Расчет_аналитики'!BK1572,MeanMinAge02)))</f>
        <v/>
      </c>
      <c r="BL1505">
        <f>IF(OR(('19_Расчет_аналитики'!BL1421-'19_Расчет_аналитики'!BL1449)=0,2&lt;='01_Вводные'!$B$297),0,('19_Расчет_аналитики'!BL1421-'19_Расчет_аналитики'!BL1449)*IF('01_Вводные'!$B$239="Да",MeanMinAge02+'19_Расчет_аналитики'!BL1572*SUMIF(ThresholdAge02,"&lt;"&amp;'19_Расчет_аналитики'!BL1572,WeightedRevAge02)-SUMIF(ThresholdAge02,"&lt;"&amp;'19_Расчет_аналитики'!BL1572,WeightedMinAge02),MAX(CapacityAge02*'01_Вводные'!$B$218*'19_Расчет_аналитики'!BL1572,MeanMinAge02)))</f>
        <v/>
      </c>
      <c r="BM1505">
        <f>IF(OR(('19_Расчет_аналитики'!BM1421-'19_Расчет_аналитики'!BM1449)=0,2&lt;='01_Вводные'!$B$297),0,('19_Расчет_аналитики'!BM1421-'19_Расчет_аналитики'!BM1449)*IF('01_Вводные'!$B$239="Да",MeanMinAge02+'19_Расчет_аналитики'!BM1572*SUMIF(ThresholdAge02,"&lt;"&amp;'19_Расчет_аналитики'!BM1572,WeightedRevAge02)-SUMIF(ThresholdAge02,"&lt;"&amp;'19_Расчет_аналитики'!BM1572,WeightedMinAge02),MAX(CapacityAge02*'01_Вводные'!$B$218*'19_Расчет_аналитики'!BM1572,MeanMinAge02)))</f>
        <v/>
      </c>
      <c r="BN1505">
        <f>IF(OR(('19_Расчет_аналитики'!BN1421-'19_Расчет_аналитики'!BN1449)=0,2&lt;='01_Вводные'!$B$297),0,('19_Расчет_аналитики'!BN1421-'19_Расчет_аналитики'!BN1449)*IF('01_Вводные'!$B$239="Да",MeanMinAge02+'19_Расчет_аналитики'!BN1572*SUMIF(ThresholdAge02,"&lt;"&amp;'19_Расчет_аналитики'!BN1572,WeightedRevAge02)-SUMIF(ThresholdAge02,"&lt;"&amp;'19_Расчет_аналитики'!BN1572,WeightedMinAge02),MAX(CapacityAge02*'01_Вводные'!$B$218*'19_Расчет_аналитики'!BN1572,MeanMinAge02)))</f>
        <v/>
      </c>
      <c r="BO1505">
        <f>IF(OR(('19_Расчет_аналитики'!BO1421-'19_Расчет_аналитики'!BO1449)=0,2&lt;='01_Вводные'!$B$297),0,('19_Расчет_аналитики'!BO1421-'19_Расчет_аналитики'!BO1449)*IF('01_Вводные'!$B$239="Да",MeanMinAge02+'19_Расчет_аналитики'!BO1572*SUMIF(ThresholdAge02,"&lt;"&amp;'19_Расчет_аналитики'!BO1572,WeightedRevAge02)-SUMIF(ThresholdAge02,"&lt;"&amp;'19_Расчет_аналитики'!BO1572,WeightedMinAge02),MAX(CapacityAge02*'01_Вводные'!$B$218*'19_Расчет_аналитики'!BO1572,MeanMinAge02)))</f>
        <v/>
      </c>
    </row>
    <row r="1506">
      <c r="B1506">
        <f>IF(OR(('06_Сеть_и_дети'!B55-'06_Сеть_и_дети'!B83)=0,3&lt;='01_Вводные'!$B$297),0,('06_Сеть_и_дети'!B55-'06_Сеть_и_дети'!B83)*IF('01_Вводные'!$B$239="Да",MeanMinAge03+'19_Расчет_аналитики'!B1572*SUMIF(ThresholdAge03,"&lt;"&amp;'19_Расчет_аналитики'!B1572,WeightedRevAge03)-SUMIF(ThresholdAge03,"&lt;"&amp;'19_Расчет_аналитики'!B1572,WeightedMinAge03),MAX(CapacityAge03*'01_Вводные'!$B$218*'19_Расчет_аналитики'!B1572,MeanMinAge03)))</f>
        <v/>
      </c>
      <c r="C1506">
        <f>IF(OR(('06_Сеть_и_дети'!C55-'06_Сеть_и_дети'!C83)=0,3&lt;='01_Вводные'!$B$297),0,('06_Сеть_и_дети'!C55-'06_Сеть_и_дети'!C83)*IF('01_Вводные'!$B$239="Да",MeanMinAge03+'19_Расчет_аналитики'!C1572*SUMIF(ThresholdAge03,"&lt;"&amp;'19_Расчет_аналитики'!C1572,WeightedRevAge03)-SUMIF(ThresholdAge03,"&lt;"&amp;'19_Расчет_аналитики'!C1572,WeightedMinAge03),MAX(CapacityAge03*'01_Вводные'!$B$218*'19_Расчет_аналитики'!C1572,MeanMinAge03)))</f>
        <v/>
      </c>
      <c r="D1506">
        <f>IF(OR(('19_Расчет_аналитики'!D1422-'19_Расчет_аналитики'!D1450)=0,3&lt;='01_Вводные'!$B$297),0,('19_Расчет_аналитики'!D1422-'19_Расчет_аналитики'!D1450)*IF('01_Вводные'!$B$239="Да",MeanMinAge03+'19_Расчет_аналитики'!D1572*SUMIF(ThresholdAge03,"&lt;"&amp;'19_Расчет_аналитики'!D1572,WeightedRevAge03)-SUMIF(ThresholdAge03,"&lt;"&amp;'19_Расчет_аналитики'!D1572,WeightedMinAge03),MAX(CapacityAge03*'01_Вводные'!$B$218*'19_Расчет_аналитики'!D1572,MeanMinAge03)))</f>
        <v/>
      </c>
      <c r="E1506">
        <f>IF(OR(('19_Расчет_аналитики'!E1422-'19_Расчет_аналитики'!E1450)=0,3&lt;='01_Вводные'!$B$297),0,('19_Расчет_аналитики'!E1422-'19_Расчет_аналитики'!E1450)*IF('01_Вводные'!$B$239="Да",MeanMinAge03+'19_Расчет_аналитики'!E1572*SUMIF(ThresholdAge03,"&lt;"&amp;'19_Расчет_аналитики'!E1572,WeightedRevAge03)-SUMIF(ThresholdAge03,"&lt;"&amp;'19_Расчет_аналитики'!E1572,WeightedMinAge03),MAX(CapacityAge03*'01_Вводные'!$B$218*'19_Расчет_аналитики'!E1572,MeanMinAge03)))</f>
        <v/>
      </c>
      <c r="F1506">
        <f>IF(OR(('19_Расчет_аналитики'!F1422-'19_Расчет_аналитики'!F1450)=0,3&lt;='01_Вводные'!$B$297),0,('19_Расчет_аналитики'!F1422-'19_Расчет_аналитики'!F1450)*IF('01_Вводные'!$B$239="Да",MeanMinAge03+'19_Расчет_аналитики'!F1572*SUMIF(ThresholdAge03,"&lt;"&amp;'19_Расчет_аналитики'!F1572,WeightedRevAge03)-SUMIF(ThresholdAge03,"&lt;"&amp;'19_Расчет_аналитики'!F1572,WeightedMinAge03),MAX(CapacityAge03*'01_Вводные'!$B$218*'19_Расчет_аналитики'!F1572,MeanMinAge03)))</f>
        <v/>
      </c>
      <c r="G1506">
        <f>IF(OR(('19_Расчет_аналитики'!G1422-'19_Расчет_аналитики'!G1450)=0,3&lt;='01_Вводные'!$B$297),0,('19_Расчет_аналитики'!G1422-'19_Расчет_аналитики'!G1450)*IF('01_Вводные'!$B$239="Да",MeanMinAge03+'19_Расчет_аналитики'!G1572*SUMIF(ThresholdAge03,"&lt;"&amp;'19_Расчет_аналитики'!G1572,WeightedRevAge03)-SUMIF(ThresholdAge03,"&lt;"&amp;'19_Расчет_аналитики'!G1572,WeightedMinAge03),MAX(CapacityAge03*'01_Вводные'!$B$218*'19_Расчет_аналитики'!G1572,MeanMinAge03)))</f>
        <v/>
      </c>
      <c r="H1506">
        <f>IF(OR(('19_Расчет_аналитики'!H1422-'19_Расчет_аналитики'!H1450)=0,3&lt;='01_Вводные'!$B$297),0,('19_Расчет_аналитики'!H1422-'19_Расчет_аналитики'!H1450)*IF('01_Вводные'!$B$239="Да",MeanMinAge03+'19_Расчет_аналитики'!H1572*SUMIF(ThresholdAge03,"&lt;"&amp;'19_Расчет_аналитики'!H1572,WeightedRevAge03)-SUMIF(ThresholdAge03,"&lt;"&amp;'19_Расчет_аналитики'!H1572,WeightedMinAge03),MAX(CapacityAge03*'01_Вводные'!$B$218*'19_Расчет_аналитики'!H1572,MeanMinAge03)))</f>
        <v/>
      </c>
      <c r="I1506">
        <f>IF(OR(('19_Расчет_аналитики'!I1422-'19_Расчет_аналитики'!I1450)=0,3&lt;='01_Вводные'!$B$297),0,('19_Расчет_аналитики'!I1422-'19_Расчет_аналитики'!I1450)*IF('01_Вводные'!$B$239="Да",MeanMinAge03+'19_Расчет_аналитики'!I1572*SUMIF(ThresholdAge03,"&lt;"&amp;'19_Расчет_аналитики'!I1572,WeightedRevAge03)-SUMIF(ThresholdAge03,"&lt;"&amp;'19_Расчет_аналитики'!I1572,WeightedMinAge03),MAX(CapacityAge03*'01_Вводные'!$B$218*'19_Расчет_аналитики'!I1572,MeanMinAge03)))</f>
        <v/>
      </c>
      <c r="J1506">
        <f>IF(OR(('19_Расчет_аналитики'!J1422-'19_Расчет_аналитики'!J1450)=0,3&lt;='01_Вводные'!$B$297),0,('19_Расчет_аналитики'!J1422-'19_Расчет_аналитики'!J1450)*IF('01_Вводные'!$B$239="Да",MeanMinAge03+'19_Расчет_аналитики'!J1572*SUMIF(ThresholdAge03,"&lt;"&amp;'19_Расчет_аналитики'!J1572,WeightedRevAge03)-SUMIF(ThresholdAge03,"&lt;"&amp;'19_Расчет_аналитики'!J1572,WeightedMinAge03),MAX(CapacityAge03*'01_Вводные'!$B$218*'19_Расчет_аналитики'!J1572,MeanMinAge03)))</f>
        <v/>
      </c>
      <c r="K1506">
        <f>IF(OR(('19_Расчет_аналитики'!K1422-'19_Расчет_аналитики'!K1450)=0,3&lt;='01_Вводные'!$B$297),0,('19_Расчет_аналитики'!K1422-'19_Расчет_аналитики'!K1450)*IF('01_Вводные'!$B$239="Да",MeanMinAge03+'19_Расчет_аналитики'!K1572*SUMIF(ThresholdAge03,"&lt;"&amp;'19_Расчет_аналитики'!K1572,WeightedRevAge03)-SUMIF(ThresholdAge03,"&lt;"&amp;'19_Расчет_аналитики'!K1572,WeightedMinAge03),MAX(CapacityAge03*'01_Вводные'!$B$218*'19_Расчет_аналитики'!K1572,MeanMinAge03)))</f>
        <v/>
      </c>
      <c r="L1506">
        <f>IF(OR(('19_Расчет_аналитики'!L1422-'19_Расчет_аналитики'!L1450)=0,3&lt;='01_Вводные'!$B$297),0,('19_Расчет_аналитики'!L1422-'19_Расчет_аналитики'!L1450)*IF('01_Вводные'!$B$239="Да",MeanMinAge03+'19_Расчет_аналитики'!L1572*SUMIF(ThresholdAge03,"&lt;"&amp;'19_Расчет_аналитики'!L1572,WeightedRevAge03)-SUMIF(ThresholdAge03,"&lt;"&amp;'19_Расчет_аналитики'!L1572,WeightedMinAge03),MAX(CapacityAge03*'01_Вводные'!$B$218*'19_Расчет_аналитики'!L1572,MeanMinAge03)))</f>
        <v/>
      </c>
      <c r="M1506">
        <f>IF(OR(('19_Расчет_аналитики'!M1422-'19_Расчет_аналитики'!M1450)=0,3&lt;='01_Вводные'!$B$297),0,('19_Расчет_аналитики'!M1422-'19_Расчет_аналитики'!M1450)*IF('01_Вводные'!$B$239="Да",MeanMinAge03+'19_Расчет_аналитики'!M1572*SUMIF(ThresholdAge03,"&lt;"&amp;'19_Расчет_аналитики'!M1572,WeightedRevAge03)-SUMIF(ThresholdAge03,"&lt;"&amp;'19_Расчет_аналитики'!M1572,WeightedMinAge03),MAX(CapacityAge03*'01_Вводные'!$B$218*'19_Расчет_аналитики'!M1572,MeanMinAge03)))</f>
        <v/>
      </c>
      <c r="N1506">
        <f>IF(OR(('19_Расчет_аналитики'!N1422-'19_Расчет_аналитики'!N1450)=0,3&lt;='01_Вводные'!$B$297),0,('19_Расчет_аналитики'!N1422-'19_Расчет_аналитики'!N1450)*IF('01_Вводные'!$B$239="Да",MeanMinAge03+'19_Расчет_аналитики'!N1572*SUMIF(ThresholdAge03,"&lt;"&amp;'19_Расчет_аналитики'!N1572,WeightedRevAge03)-SUMIF(ThresholdAge03,"&lt;"&amp;'19_Расчет_аналитики'!N1572,WeightedMinAge03),MAX(CapacityAge03*'01_Вводные'!$B$218*'19_Расчет_аналитики'!N1572,MeanMinAge03)))</f>
        <v/>
      </c>
      <c r="O1506">
        <f>IF(OR(('19_Расчет_аналитики'!O1422-'19_Расчет_аналитики'!O1450)=0,3&lt;='01_Вводные'!$B$297),0,('19_Расчет_аналитики'!O1422-'19_Расчет_аналитики'!O1450)*IF('01_Вводные'!$B$239="Да",MeanMinAge03+'19_Расчет_аналитики'!O1572*SUMIF(ThresholdAge03,"&lt;"&amp;'19_Расчет_аналитики'!O1572,WeightedRevAge03)-SUMIF(ThresholdAge03,"&lt;"&amp;'19_Расчет_аналитики'!O1572,WeightedMinAge03),MAX(CapacityAge03*'01_Вводные'!$B$218*'19_Расчет_аналитики'!O1572,MeanMinAge03)))</f>
        <v/>
      </c>
      <c r="P1506">
        <f>IF(OR(('19_Расчет_аналитики'!P1422-'19_Расчет_аналитики'!P1450)=0,3&lt;='01_Вводные'!$B$297),0,('19_Расчет_аналитики'!P1422-'19_Расчет_аналитики'!P1450)*IF('01_Вводные'!$B$239="Да",MeanMinAge03+'19_Расчет_аналитики'!P1572*SUMIF(ThresholdAge03,"&lt;"&amp;'19_Расчет_аналитики'!P1572,WeightedRevAge03)-SUMIF(ThresholdAge03,"&lt;"&amp;'19_Расчет_аналитики'!P1572,WeightedMinAge03),MAX(CapacityAge03*'01_Вводные'!$B$218*'19_Расчет_аналитики'!P1572,MeanMinAge03)))</f>
        <v/>
      </c>
      <c r="Q1506">
        <f>IF(OR(('19_Расчет_аналитики'!Q1422-'19_Расчет_аналитики'!Q1450)=0,3&lt;='01_Вводные'!$B$297),0,('19_Расчет_аналитики'!Q1422-'19_Расчет_аналитики'!Q1450)*IF('01_Вводные'!$B$239="Да",MeanMinAge03+'19_Расчет_аналитики'!Q1572*SUMIF(ThresholdAge03,"&lt;"&amp;'19_Расчет_аналитики'!Q1572,WeightedRevAge03)-SUMIF(ThresholdAge03,"&lt;"&amp;'19_Расчет_аналитики'!Q1572,WeightedMinAge03),MAX(CapacityAge03*'01_Вводные'!$B$218*'19_Расчет_аналитики'!Q1572,MeanMinAge03)))</f>
        <v/>
      </c>
      <c r="R1506">
        <f>IF(OR(('19_Расчет_аналитики'!R1422-'19_Расчет_аналитики'!R1450)=0,3&lt;='01_Вводные'!$B$297),0,('19_Расчет_аналитики'!R1422-'19_Расчет_аналитики'!R1450)*IF('01_Вводные'!$B$239="Да",MeanMinAge03+'19_Расчет_аналитики'!R1572*SUMIF(ThresholdAge03,"&lt;"&amp;'19_Расчет_аналитики'!R1572,WeightedRevAge03)-SUMIF(ThresholdAge03,"&lt;"&amp;'19_Расчет_аналитики'!R1572,WeightedMinAge03),MAX(CapacityAge03*'01_Вводные'!$B$218*'19_Расчет_аналитики'!R1572,MeanMinAge03)))</f>
        <v/>
      </c>
      <c r="S1506">
        <f>IF(OR(('19_Расчет_аналитики'!S1422-'19_Расчет_аналитики'!S1450)=0,3&lt;='01_Вводные'!$B$297),0,('19_Расчет_аналитики'!S1422-'19_Расчет_аналитики'!S1450)*IF('01_Вводные'!$B$239="Да",MeanMinAge03+'19_Расчет_аналитики'!S1572*SUMIF(ThresholdAge03,"&lt;"&amp;'19_Расчет_аналитики'!S1572,WeightedRevAge03)-SUMIF(ThresholdAge03,"&lt;"&amp;'19_Расчет_аналитики'!S1572,WeightedMinAge03),MAX(CapacityAge03*'01_Вводные'!$B$218*'19_Расчет_аналитики'!S1572,MeanMinAge03)))</f>
        <v/>
      </c>
      <c r="T1506">
        <f>IF(OR(('19_Расчет_аналитики'!T1422-'19_Расчет_аналитики'!T1450)=0,3&lt;='01_Вводные'!$B$297),0,('19_Расчет_аналитики'!T1422-'19_Расчет_аналитики'!T1450)*IF('01_Вводные'!$B$239="Да",MeanMinAge03+'19_Расчет_аналитики'!T1572*SUMIF(ThresholdAge03,"&lt;"&amp;'19_Расчет_аналитики'!T1572,WeightedRevAge03)-SUMIF(ThresholdAge03,"&lt;"&amp;'19_Расчет_аналитики'!T1572,WeightedMinAge03),MAX(CapacityAge03*'01_Вводные'!$B$218*'19_Расчет_аналитики'!T1572,MeanMinAge03)))</f>
        <v/>
      </c>
      <c r="U1506">
        <f>IF(OR(('19_Расчет_аналитики'!U1422-'19_Расчет_аналитики'!U1450)=0,3&lt;='01_Вводные'!$B$297),0,('19_Расчет_аналитики'!U1422-'19_Расчет_аналитики'!U1450)*IF('01_Вводные'!$B$239="Да",MeanMinAge03+'19_Расчет_аналитики'!U1572*SUMIF(ThresholdAge03,"&lt;"&amp;'19_Расчет_аналитики'!U1572,WeightedRevAge03)-SUMIF(ThresholdAge03,"&lt;"&amp;'19_Расчет_аналитики'!U1572,WeightedMinAge03),MAX(CapacityAge03*'01_Вводные'!$B$218*'19_Расчет_аналитики'!U1572,MeanMinAge03)))</f>
        <v/>
      </c>
      <c r="V1506">
        <f>IF(OR(('19_Расчет_аналитики'!V1422-'19_Расчет_аналитики'!V1450)=0,3&lt;='01_Вводные'!$B$297),0,('19_Расчет_аналитики'!V1422-'19_Расчет_аналитики'!V1450)*IF('01_Вводные'!$B$239="Да",MeanMinAge03+'19_Расчет_аналитики'!V1572*SUMIF(ThresholdAge03,"&lt;"&amp;'19_Расчет_аналитики'!V1572,WeightedRevAge03)-SUMIF(ThresholdAge03,"&lt;"&amp;'19_Расчет_аналитики'!V1572,WeightedMinAge03),MAX(CapacityAge03*'01_Вводные'!$B$218*'19_Расчет_аналитики'!V1572,MeanMinAge03)))</f>
        <v/>
      </c>
      <c r="W1506">
        <f>IF(OR(('19_Расчет_аналитики'!W1422-'19_Расчет_аналитики'!W1450)=0,3&lt;='01_Вводные'!$B$297),0,('19_Расчет_аналитики'!W1422-'19_Расчет_аналитики'!W1450)*IF('01_Вводные'!$B$239="Да",MeanMinAge03+'19_Расчет_аналитики'!W1572*SUMIF(ThresholdAge03,"&lt;"&amp;'19_Расчет_аналитики'!W1572,WeightedRevAge03)-SUMIF(ThresholdAge03,"&lt;"&amp;'19_Расчет_аналитики'!W1572,WeightedMinAge03),MAX(CapacityAge03*'01_Вводные'!$B$218*'19_Расчет_аналитики'!W1572,MeanMinAge03)))</f>
        <v/>
      </c>
      <c r="X1506">
        <f>IF(OR(('19_Расчет_аналитики'!X1422-'19_Расчет_аналитики'!X1450)=0,3&lt;='01_Вводные'!$B$297),0,('19_Расчет_аналитики'!X1422-'19_Расчет_аналитики'!X1450)*IF('01_Вводные'!$B$239="Да",MeanMinAge03+'19_Расчет_аналитики'!X1572*SUMIF(ThresholdAge03,"&lt;"&amp;'19_Расчет_аналитики'!X1572,WeightedRevAge03)-SUMIF(ThresholdAge03,"&lt;"&amp;'19_Расчет_аналитики'!X1572,WeightedMinAge03),MAX(CapacityAge03*'01_Вводные'!$B$218*'19_Расчет_аналитики'!X1572,MeanMinAge03)))</f>
        <v/>
      </c>
      <c r="Y1506">
        <f>IF(OR(('19_Расчет_аналитики'!Y1422-'19_Расчет_аналитики'!Y1450)=0,3&lt;='01_Вводные'!$B$297),0,('19_Расчет_аналитики'!Y1422-'19_Расчет_аналитики'!Y1450)*IF('01_Вводные'!$B$239="Да",MeanMinAge03+'19_Расчет_аналитики'!Y1572*SUMIF(ThresholdAge03,"&lt;"&amp;'19_Расчет_аналитики'!Y1572,WeightedRevAge03)-SUMIF(ThresholdAge03,"&lt;"&amp;'19_Расчет_аналитики'!Y1572,WeightedMinAge03),MAX(CapacityAge03*'01_Вводные'!$B$218*'19_Расчет_аналитики'!Y1572,MeanMinAge03)))</f>
        <v/>
      </c>
      <c r="Z1506">
        <f>IF(OR(('19_Расчет_аналитики'!Z1422-'19_Расчет_аналитики'!Z1450)=0,3&lt;='01_Вводные'!$B$297),0,('19_Расчет_аналитики'!Z1422-'19_Расчет_аналитики'!Z1450)*IF('01_Вводные'!$B$239="Да",MeanMinAge03+'19_Расчет_аналитики'!Z1572*SUMIF(ThresholdAge03,"&lt;"&amp;'19_Расчет_аналитики'!Z1572,WeightedRevAge03)-SUMIF(ThresholdAge03,"&lt;"&amp;'19_Расчет_аналитики'!Z1572,WeightedMinAge03),MAX(CapacityAge03*'01_Вводные'!$B$218*'19_Расчет_аналитики'!Z1572,MeanMinAge03)))</f>
        <v/>
      </c>
      <c r="AA1506">
        <f>IF(OR(('19_Расчет_аналитики'!AA1422-'19_Расчет_аналитики'!AA1450)=0,3&lt;='01_Вводные'!$B$297),0,('19_Расчет_аналитики'!AA1422-'19_Расчет_аналитики'!AA1450)*IF('01_Вводные'!$B$239="Да",MeanMinAge03+'19_Расчет_аналитики'!AA1572*SUMIF(ThresholdAge03,"&lt;"&amp;'19_Расчет_аналитики'!AA1572,WeightedRevAge03)-SUMIF(ThresholdAge03,"&lt;"&amp;'19_Расчет_аналитики'!AA1572,WeightedMinAge03),MAX(CapacityAge03*'01_Вводные'!$B$218*'19_Расчет_аналитики'!AA1572,MeanMinAge03)))</f>
        <v/>
      </c>
      <c r="AB1506">
        <f>IF(OR(('19_Расчет_аналитики'!AB1422-'19_Расчет_аналитики'!AB1450)=0,3&lt;='01_Вводные'!$B$297),0,('19_Расчет_аналитики'!AB1422-'19_Расчет_аналитики'!AB1450)*IF('01_Вводные'!$B$239="Да",MeanMinAge03+'19_Расчет_аналитики'!AB1572*SUMIF(ThresholdAge03,"&lt;"&amp;'19_Расчет_аналитики'!AB1572,WeightedRevAge03)-SUMIF(ThresholdAge03,"&lt;"&amp;'19_Расчет_аналитики'!AB1572,WeightedMinAge03),MAX(CapacityAge03*'01_Вводные'!$B$218*'19_Расчет_аналитики'!AB1572,MeanMinAge03)))</f>
        <v/>
      </c>
      <c r="AC1506">
        <f>IF(OR(('19_Расчет_аналитики'!AC1422-'19_Расчет_аналитики'!AC1450)=0,3&lt;='01_Вводные'!$B$297),0,('19_Расчет_аналитики'!AC1422-'19_Расчет_аналитики'!AC1450)*IF('01_Вводные'!$B$239="Да",MeanMinAge03+'19_Расчет_аналитики'!AC1572*SUMIF(ThresholdAge03,"&lt;"&amp;'19_Расчет_аналитики'!AC1572,WeightedRevAge03)-SUMIF(ThresholdAge03,"&lt;"&amp;'19_Расчет_аналитики'!AC1572,WeightedMinAge03),MAX(CapacityAge03*'01_Вводные'!$B$218*'19_Расчет_аналитики'!AC1572,MeanMinAge03)))</f>
        <v/>
      </c>
      <c r="AD1506">
        <f>IF(OR(('19_Расчет_аналитики'!AD1422-'19_Расчет_аналитики'!AD1450)=0,3&lt;='01_Вводные'!$B$297),0,('19_Расчет_аналитики'!AD1422-'19_Расчет_аналитики'!AD1450)*IF('01_Вводные'!$B$239="Да",MeanMinAge03+'19_Расчет_аналитики'!AD1572*SUMIF(ThresholdAge03,"&lt;"&amp;'19_Расчет_аналитики'!AD1572,WeightedRevAge03)-SUMIF(ThresholdAge03,"&lt;"&amp;'19_Расчет_аналитики'!AD1572,WeightedMinAge03),MAX(CapacityAge03*'01_Вводные'!$B$218*'19_Расчет_аналитики'!AD1572,MeanMinAge03)))</f>
        <v/>
      </c>
      <c r="AE1506">
        <f>IF(OR(('19_Расчет_аналитики'!AE1422-'19_Расчет_аналитики'!AE1450)=0,3&lt;='01_Вводные'!$B$297),0,('19_Расчет_аналитики'!AE1422-'19_Расчет_аналитики'!AE1450)*IF('01_Вводные'!$B$239="Да",MeanMinAge03+'19_Расчет_аналитики'!AE1572*SUMIF(ThresholdAge03,"&lt;"&amp;'19_Расчет_аналитики'!AE1572,WeightedRevAge03)-SUMIF(ThresholdAge03,"&lt;"&amp;'19_Расчет_аналитики'!AE1572,WeightedMinAge03),MAX(CapacityAge03*'01_Вводные'!$B$218*'19_Расчет_аналитики'!AE1572,MeanMinAge03)))</f>
        <v/>
      </c>
      <c r="AF1506">
        <f>IF(OR(('19_Расчет_аналитики'!AF1422-'19_Расчет_аналитики'!AF1450)=0,3&lt;='01_Вводные'!$B$297),0,('19_Расчет_аналитики'!AF1422-'19_Расчет_аналитики'!AF1450)*IF('01_Вводные'!$B$239="Да",MeanMinAge03+'19_Расчет_аналитики'!AF1572*SUMIF(ThresholdAge03,"&lt;"&amp;'19_Расчет_аналитики'!AF1572,WeightedRevAge03)-SUMIF(ThresholdAge03,"&lt;"&amp;'19_Расчет_аналитики'!AF1572,WeightedMinAge03),MAX(CapacityAge03*'01_Вводные'!$B$218*'19_Расчет_аналитики'!AF1572,MeanMinAge03)))</f>
        <v/>
      </c>
      <c r="AG1506">
        <f>IF(OR(('19_Расчет_аналитики'!AG1422-'19_Расчет_аналитики'!AG1450)=0,3&lt;='01_Вводные'!$B$297),0,('19_Расчет_аналитики'!AG1422-'19_Расчет_аналитики'!AG1450)*IF('01_Вводные'!$B$239="Да",MeanMinAge03+'19_Расчет_аналитики'!AG1572*SUMIF(ThresholdAge03,"&lt;"&amp;'19_Расчет_аналитики'!AG1572,WeightedRevAge03)-SUMIF(ThresholdAge03,"&lt;"&amp;'19_Расчет_аналитики'!AG1572,WeightedMinAge03),MAX(CapacityAge03*'01_Вводные'!$B$218*'19_Расчет_аналитики'!AG1572,MeanMinAge03)))</f>
        <v/>
      </c>
      <c r="AH1506">
        <f>IF(OR(('19_Расчет_аналитики'!AH1422-'19_Расчет_аналитики'!AH1450)=0,3&lt;='01_Вводные'!$B$297),0,('19_Расчет_аналитики'!AH1422-'19_Расчет_аналитики'!AH1450)*IF('01_Вводные'!$B$239="Да",MeanMinAge03+'19_Расчет_аналитики'!AH1572*SUMIF(ThresholdAge03,"&lt;"&amp;'19_Расчет_аналитики'!AH1572,WeightedRevAge03)-SUMIF(ThresholdAge03,"&lt;"&amp;'19_Расчет_аналитики'!AH1572,WeightedMinAge03),MAX(CapacityAge03*'01_Вводные'!$B$218*'19_Расчет_аналитики'!AH1572,MeanMinAge03)))</f>
        <v/>
      </c>
      <c r="AI1506">
        <f>IF(OR(('19_Расчет_аналитики'!AI1422-'19_Расчет_аналитики'!AI1450)=0,3&lt;='01_Вводные'!$B$297),0,('19_Расчет_аналитики'!AI1422-'19_Расчет_аналитики'!AI1450)*IF('01_Вводные'!$B$239="Да",MeanMinAge03+'19_Расчет_аналитики'!AI1572*SUMIF(ThresholdAge03,"&lt;"&amp;'19_Расчет_аналитики'!AI1572,WeightedRevAge03)-SUMIF(ThresholdAge03,"&lt;"&amp;'19_Расчет_аналитики'!AI1572,WeightedMinAge03),MAX(CapacityAge03*'01_Вводные'!$B$218*'19_Расчет_аналитики'!AI1572,MeanMinAge03)))</f>
        <v/>
      </c>
      <c r="AJ1506">
        <f>IF(OR(('19_Расчет_аналитики'!AJ1422-'19_Расчет_аналитики'!AJ1450)=0,3&lt;='01_Вводные'!$B$297),0,('19_Расчет_аналитики'!AJ1422-'19_Расчет_аналитики'!AJ1450)*IF('01_Вводные'!$B$239="Да",MeanMinAge03+'19_Расчет_аналитики'!AJ1572*SUMIF(ThresholdAge03,"&lt;"&amp;'19_Расчет_аналитики'!AJ1572,WeightedRevAge03)-SUMIF(ThresholdAge03,"&lt;"&amp;'19_Расчет_аналитики'!AJ1572,WeightedMinAge03),MAX(CapacityAge03*'01_Вводные'!$B$218*'19_Расчет_аналитики'!AJ1572,MeanMinAge03)))</f>
        <v/>
      </c>
      <c r="AK1506">
        <f>IF(OR(('19_Расчет_аналитики'!AK1422-'19_Расчет_аналитики'!AK1450)=0,3&lt;='01_Вводные'!$B$297),0,('19_Расчет_аналитики'!AK1422-'19_Расчет_аналитики'!AK1450)*IF('01_Вводные'!$B$239="Да",MeanMinAge03+'19_Расчет_аналитики'!AK1572*SUMIF(ThresholdAge03,"&lt;"&amp;'19_Расчет_аналитики'!AK1572,WeightedRevAge03)-SUMIF(ThresholdAge03,"&lt;"&amp;'19_Расчет_аналитики'!AK1572,WeightedMinAge03),MAX(CapacityAge03*'01_Вводные'!$B$218*'19_Расчет_аналитики'!AK1572,MeanMinAge03)))</f>
        <v/>
      </c>
      <c r="AL1506">
        <f>IF(OR(('19_Расчет_аналитики'!AL1422-'19_Расчет_аналитики'!AL1450)=0,3&lt;='01_Вводные'!$B$297),0,('19_Расчет_аналитики'!AL1422-'19_Расчет_аналитики'!AL1450)*IF('01_Вводные'!$B$239="Да",MeanMinAge03+'19_Расчет_аналитики'!AL1572*SUMIF(ThresholdAge03,"&lt;"&amp;'19_Расчет_аналитики'!AL1572,WeightedRevAge03)-SUMIF(ThresholdAge03,"&lt;"&amp;'19_Расчет_аналитики'!AL1572,WeightedMinAge03),MAX(CapacityAge03*'01_Вводные'!$B$218*'19_Расчет_аналитики'!AL1572,MeanMinAge03)))</f>
        <v/>
      </c>
      <c r="AM1506">
        <f>IF(OR(('19_Расчет_аналитики'!AM1422-'19_Расчет_аналитики'!AM1450)=0,3&lt;='01_Вводные'!$B$297),0,('19_Расчет_аналитики'!AM1422-'19_Расчет_аналитики'!AM1450)*IF('01_Вводные'!$B$239="Да",MeanMinAge03+'19_Расчет_аналитики'!AM1572*SUMIF(ThresholdAge03,"&lt;"&amp;'19_Расчет_аналитики'!AM1572,WeightedRevAge03)-SUMIF(ThresholdAge03,"&lt;"&amp;'19_Расчет_аналитики'!AM1572,WeightedMinAge03),MAX(CapacityAge03*'01_Вводные'!$B$218*'19_Расчет_аналитики'!AM1572,MeanMinAge03)))</f>
        <v/>
      </c>
      <c r="AN1506">
        <f>IF(OR(('19_Расчет_аналитики'!AN1422-'19_Расчет_аналитики'!AN1450)=0,3&lt;='01_Вводные'!$B$297),0,('19_Расчет_аналитики'!AN1422-'19_Расчет_аналитики'!AN1450)*IF('01_Вводные'!$B$239="Да",MeanMinAge03+'19_Расчет_аналитики'!AN1572*SUMIF(ThresholdAge03,"&lt;"&amp;'19_Расчет_аналитики'!AN1572,WeightedRevAge03)-SUMIF(ThresholdAge03,"&lt;"&amp;'19_Расчет_аналитики'!AN1572,WeightedMinAge03),MAX(CapacityAge03*'01_Вводные'!$B$218*'19_Расчет_аналитики'!AN1572,MeanMinAge03)))</f>
        <v/>
      </c>
      <c r="AO1506">
        <f>IF(OR(('19_Расчет_аналитики'!AO1422-'19_Расчет_аналитики'!AO1450)=0,3&lt;='01_Вводные'!$B$297),0,('19_Расчет_аналитики'!AO1422-'19_Расчет_аналитики'!AO1450)*IF('01_Вводные'!$B$239="Да",MeanMinAge03+'19_Расчет_аналитики'!AO1572*SUMIF(ThresholdAge03,"&lt;"&amp;'19_Расчет_аналитики'!AO1572,WeightedRevAge03)-SUMIF(ThresholdAge03,"&lt;"&amp;'19_Расчет_аналитики'!AO1572,WeightedMinAge03),MAX(CapacityAge03*'01_Вводные'!$B$218*'19_Расчет_аналитики'!AO1572,MeanMinAge03)))</f>
        <v/>
      </c>
      <c r="AP1506">
        <f>IF(OR(('19_Расчет_аналитики'!AP1422-'19_Расчет_аналитики'!AP1450)=0,3&lt;='01_Вводные'!$B$297),0,('19_Расчет_аналитики'!AP1422-'19_Расчет_аналитики'!AP1450)*IF('01_Вводные'!$B$239="Да",MeanMinAge03+'19_Расчет_аналитики'!AP1572*SUMIF(ThresholdAge03,"&lt;"&amp;'19_Расчет_аналитики'!AP1572,WeightedRevAge03)-SUMIF(ThresholdAge03,"&lt;"&amp;'19_Расчет_аналитики'!AP1572,WeightedMinAge03),MAX(CapacityAge03*'01_Вводные'!$B$218*'19_Расчет_аналитики'!AP1572,MeanMinAge03)))</f>
        <v/>
      </c>
      <c r="AQ1506">
        <f>IF(OR(('19_Расчет_аналитики'!AQ1422-'19_Расчет_аналитики'!AQ1450)=0,3&lt;='01_Вводные'!$B$297),0,('19_Расчет_аналитики'!AQ1422-'19_Расчет_аналитики'!AQ1450)*IF('01_Вводные'!$B$239="Да",MeanMinAge03+'19_Расчет_аналитики'!AQ1572*SUMIF(ThresholdAge03,"&lt;"&amp;'19_Расчет_аналитики'!AQ1572,WeightedRevAge03)-SUMIF(ThresholdAge03,"&lt;"&amp;'19_Расчет_аналитики'!AQ1572,WeightedMinAge03),MAX(CapacityAge03*'01_Вводные'!$B$218*'19_Расчет_аналитики'!AQ1572,MeanMinAge03)))</f>
        <v/>
      </c>
      <c r="AR1506">
        <f>IF(OR(('19_Расчет_аналитики'!AR1422-'19_Расчет_аналитики'!AR1450)=0,3&lt;='01_Вводные'!$B$297),0,('19_Расчет_аналитики'!AR1422-'19_Расчет_аналитики'!AR1450)*IF('01_Вводные'!$B$239="Да",MeanMinAge03+'19_Расчет_аналитики'!AR1572*SUMIF(ThresholdAge03,"&lt;"&amp;'19_Расчет_аналитики'!AR1572,WeightedRevAge03)-SUMIF(ThresholdAge03,"&lt;"&amp;'19_Расчет_аналитики'!AR1572,WeightedMinAge03),MAX(CapacityAge03*'01_Вводные'!$B$218*'19_Расчет_аналитики'!AR1572,MeanMinAge03)))</f>
        <v/>
      </c>
      <c r="AS1506">
        <f>IF(OR(('19_Расчет_аналитики'!AS1422-'19_Расчет_аналитики'!AS1450)=0,3&lt;='01_Вводные'!$B$297),0,('19_Расчет_аналитики'!AS1422-'19_Расчет_аналитики'!AS1450)*IF('01_Вводные'!$B$239="Да",MeanMinAge03+'19_Расчет_аналитики'!AS1572*SUMIF(ThresholdAge03,"&lt;"&amp;'19_Расчет_аналитики'!AS1572,WeightedRevAge03)-SUMIF(ThresholdAge03,"&lt;"&amp;'19_Расчет_аналитики'!AS1572,WeightedMinAge03),MAX(CapacityAge03*'01_Вводные'!$B$218*'19_Расчет_аналитики'!AS1572,MeanMinAge03)))</f>
        <v/>
      </c>
      <c r="AT1506">
        <f>IF(OR(('19_Расчет_аналитики'!AT1422-'19_Расчет_аналитики'!AT1450)=0,3&lt;='01_Вводные'!$B$297),0,('19_Расчет_аналитики'!AT1422-'19_Расчет_аналитики'!AT1450)*IF('01_Вводные'!$B$239="Да",MeanMinAge03+'19_Расчет_аналитики'!AT1572*SUMIF(ThresholdAge03,"&lt;"&amp;'19_Расчет_аналитики'!AT1572,WeightedRevAge03)-SUMIF(ThresholdAge03,"&lt;"&amp;'19_Расчет_аналитики'!AT1572,WeightedMinAge03),MAX(CapacityAge03*'01_Вводные'!$B$218*'19_Расчет_аналитики'!AT1572,MeanMinAge03)))</f>
        <v/>
      </c>
      <c r="AU1506">
        <f>IF(OR(('19_Расчет_аналитики'!AU1422-'19_Расчет_аналитики'!AU1450)=0,3&lt;='01_Вводные'!$B$297),0,('19_Расчет_аналитики'!AU1422-'19_Расчет_аналитики'!AU1450)*IF('01_Вводные'!$B$239="Да",MeanMinAge03+'19_Расчет_аналитики'!AU1572*SUMIF(ThresholdAge03,"&lt;"&amp;'19_Расчет_аналитики'!AU1572,WeightedRevAge03)-SUMIF(ThresholdAge03,"&lt;"&amp;'19_Расчет_аналитики'!AU1572,WeightedMinAge03),MAX(CapacityAge03*'01_Вводные'!$B$218*'19_Расчет_аналитики'!AU1572,MeanMinAge03)))</f>
        <v/>
      </c>
      <c r="AV1506">
        <f>IF(OR(('19_Расчет_аналитики'!AV1422-'19_Расчет_аналитики'!AV1450)=0,3&lt;='01_Вводные'!$B$297),0,('19_Расчет_аналитики'!AV1422-'19_Расчет_аналитики'!AV1450)*IF('01_Вводные'!$B$239="Да",MeanMinAge03+'19_Расчет_аналитики'!AV1572*SUMIF(ThresholdAge03,"&lt;"&amp;'19_Расчет_аналитики'!AV1572,WeightedRevAge03)-SUMIF(ThresholdAge03,"&lt;"&amp;'19_Расчет_аналитики'!AV1572,WeightedMinAge03),MAX(CapacityAge03*'01_Вводные'!$B$218*'19_Расчет_аналитики'!AV1572,MeanMinAge03)))</f>
        <v/>
      </c>
      <c r="AW1506">
        <f>IF(OR(('19_Расчет_аналитики'!AW1422-'19_Расчет_аналитики'!AW1450)=0,3&lt;='01_Вводные'!$B$297),0,('19_Расчет_аналитики'!AW1422-'19_Расчет_аналитики'!AW1450)*IF('01_Вводные'!$B$239="Да",MeanMinAge03+'19_Расчет_аналитики'!AW1572*SUMIF(ThresholdAge03,"&lt;"&amp;'19_Расчет_аналитики'!AW1572,WeightedRevAge03)-SUMIF(ThresholdAge03,"&lt;"&amp;'19_Расчет_аналитики'!AW1572,WeightedMinAge03),MAX(CapacityAge03*'01_Вводные'!$B$218*'19_Расчет_аналитики'!AW1572,MeanMinAge03)))</f>
        <v/>
      </c>
      <c r="AX1506">
        <f>IF(OR(('19_Расчет_аналитики'!AX1422-'19_Расчет_аналитики'!AX1450)=0,3&lt;='01_Вводные'!$B$297),0,('19_Расчет_аналитики'!AX1422-'19_Расчет_аналитики'!AX1450)*IF('01_Вводные'!$B$239="Да",MeanMinAge03+'19_Расчет_аналитики'!AX1572*SUMIF(ThresholdAge03,"&lt;"&amp;'19_Расчет_аналитики'!AX1572,WeightedRevAge03)-SUMIF(ThresholdAge03,"&lt;"&amp;'19_Расчет_аналитики'!AX1572,WeightedMinAge03),MAX(CapacityAge03*'01_Вводные'!$B$218*'19_Расчет_аналитики'!AX1572,MeanMinAge03)))</f>
        <v/>
      </c>
      <c r="AY1506">
        <f>IF(OR(('19_Расчет_аналитики'!AY1422-'19_Расчет_аналитики'!AY1450)=0,3&lt;='01_Вводные'!$B$297),0,('19_Расчет_аналитики'!AY1422-'19_Расчет_аналитики'!AY1450)*IF('01_Вводные'!$B$239="Да",MeanMinAge03+'19_Расчет_аналитики'!AY1572*SUMIF(ThresholdAge03,"&lt;"&amp;'19_Расчет_аналитики'!AY1572,WeightedRevAge03)-SUMIF(ThresholdAge03,"&lt;"&amp;'19_Расчет_аналитики'!AY1572,WeightedMinAge03),MAX(CapacityAge03*'01_Вводные'!$B$218*'19_Расчет_аналитики'!AY1572,MeanMinAge03)))</f>
        <v/>
      </c>
      <c r="AZ1506">
        <f>IF(OR(('19_Расчет_аналитики'!AZ1422-'19_Расчет_аналитики'!AZ1450)=0,3&lt;='01_Вводные'!$B$297),0,('19_Расчет_аналитики'!AZ1422-'19_Расчет_аналитики'!AZ1450)*IF('01_Вводные'!$B$239="Да",MeanMinAge03+'19_Расчет_аналитики'!AZ1572*SUMIF(ThresholdAge03,"&lt;"&amp;'19_Расчет_аналитики'!AZ1572,WeightedRevAge03)-SUMIF(ThresholdAge03,"&lt;"&amp;'19_Расчет_аналитики'!AZ1572,WeightedMinAge03),MAX(CapacityAge03*'01_Вводные'!$B$218*'19_Расчет_аналитики'!AZ1572,MeanMinAge03)))</f>
        <v/>
      </c>
      <c r="BA1506">
        <f>IF(OR(('19_Расчет_аналитики'!BA1422-'19_Расчет_аналитики'!BA1450)=0,3&lt;='01_Вводные'!$B$297),0,('19_Расчет_аналитики'!BA1422-'19_Расчет_аналитики'!BA1450)*IF('01_Вводные'!$B$239="Да",MeanMinAge03+'19_Расчет_аналитики'!BA1572*SUMIF(ThresholdAge03,"&lt;"&amp;'19_Расчет_аналитики'!BA1572,WeightedRevAge03)-SUMIF(ThresholdAge03,"&lt;"&amp;'19_Расчет_аналитики'!BA1572,WeightedMinAge03),MAX(CapacityAge03*'01_Вводные'!$B$218*'19_Расчет_аналитики'!BA1572,MeanMinAge03)))</f>
        <v/>
      </c>
      <c r="BB1506">
        <f>IF(OR(('19_Расчет_аналитики'!BB1422-'19_Расчет_аналитики'!BB1450)=0,3&lt;='01_Вводные'!$B$297),0,('19_Расчет_аналитики'!BB1422-'19_Расчет_аналитики'!BB1450)*IF('01_Вводные'!$B$239="Да",MeanMinAge03+'19_Расчет_аналитики'!BB1572*SUMIF(ThresholdAge03,"&lt;"&amp;'19_Расчет_аналитики'!BB1572,WeightedRevAge03)-SUMIF(ThresholdAge03,"&lt;"&amp;'19_Расчет_аналитики'!BB1572,WeightedMinAge03),MAX(CapacityAge03*'01_Вводные'!$B$218*'19_Расчет_аналитики'!BB1572,MeanMinAge03)))</f>
        <v/>
      </c>
      <c r="BC1506">
        <f>IF(OR(('19_Расчет_аналитики'!BC1422-'19_Расчет_аналитики'!BC1450)=0,3&lt;='01_Вводные'!$B$297),0,('19_Расчет_аналитики'!BC1422-'19_Расчет_аналитики'!BC1450)*IF('01_Вводные'!$B$239="Да",MeanMinAge03+'19_Расчет_аналитики'!BC1572*SUMIF(ThresholdAge03,"&lt;"&amp;'19_Расчет_аналитики'!BC1572,WeightedRevAge03)-SUMIF(ThresholdAge03,"&lt;"&amp;'19_Расчет_аналитики'!BC1572,WeightedMinAge03),MAX(CapacityAge03*'01_Вводные'!$B$218*'19_Расчет_аналитики'!BC1572,MeanMinAge03)))</f>
        <v/>
      </c>
      <c r="BD1506">
        <f>IF(OR(('19_Расчет_аналитики'!BD1422-'19_Расчет_аналитики'!BD1450)=0,3&lt;='01_Вводные'!$B$297),0,('19_Расчет_аналитики'!BD1422-'19_Расчет_аналитики'!BD1450)*IF('01_Вводные'!$B$239="Да",MeanMinAge03+'19_Расчет_аналитики'!BD1572*SUMIF(ThresholdAge03,"&lt;"&amp;'19_Расчет_аналитики'!BD1572,WeightedRevAge03)-SUMIF(ThresholdAge03,"&lt;"&amp;'19_Расчет_аналитики'!BD1572,WeightedMinAge03),MAX(CapacityAge03*'01_Вводные'!$B$218*'19_Расчет_аналитики'!BD1572,MeanMinAge03)))</f>
        <v/>
      </c>
      <c r="BE1506">
        <f>IF(OR(('19_Расчет_аналитики'!BE1422-'19_Расчет_аналитики'!BE1450)=0,3&lt;='01_Вводные'!$B$297),0,('19_Расчет_аналитики'!BE1422-'19_Расчет_аналитики'!BE1450)*IF('01_Вводные'!$B$239="Да",MeanMinAge03+'19_Расчет_аналитики'!BE1572*SUMIF(ThresholdAge03,"&lt;"&amp;'19_Расчет_аналитики'!BE1572,WeightedRevAge03)-SUMIF(ThresholdAge03,"&lt;"&amp;'19_Расчет_аналитики'!BE1572,WeightedMinAge03),MAX(CapacityAge03*'01_Вводные'!$B$218*'19_Расчет_аналитики'!BE1572,MeanMinAge03)))</f>
        <v/>
      </c>
      <c r="BF1506">
        <f>IF(OR(('19_Расчет_аналитики'!BF1422-'19_Расчет_аналитики'!BF1450)=0,3&lt;='01_Вводные'!$B$297),0,('19_Расчет_аналитики'!BF1422-'19_Расчет_аналитики'!BF1450)*IF('01_Вводные'!$B$239="Да",MeanMinAge03+'19_Расчет_аналитики'!BF1572*SUMIF(ThresholdAge03,"&lt;"&amp;'19_Расчет_аналитики'!BF1572,WeightedRevAge03)-SUMIF(ThresholdAge03,"&lt;"&amp;'19_Расчет_аналитики'!BF1572,WeightedMinAge03),MAX(CapacityAge03*'01_Вводные'!$B$218*'19_Расчет_аналитики'!BF1572,MeanMinAge03)))</f>
        <v/>
      </c>
      <c r="BG1506">
        <f>IF(OR(('19_Расчет_аналитики'!BG1422-'19_Расчет_аналитики'!BG1450)=0,3&lt;='01_Вводные'!$B$297),0,('19_Расчет_аналитики'!BG1422-'19_Расчет_аналитики'!BG1450)*IF('01_Вводные'!$B$239="Да",MeanMinAge03+'19_Расчет_аналитики'!BG1572*SUMIF(ThresholdAge03,"&lt;"&amp;'19_Расчет_аналитики'!BG1572,WeightedRevAge03)-SUMIF(ThresholdAge03,"&lt;"&amp;'19_Расчет_аналитики'!BG1572,WeightedMinAge03),MAX(CapacityAge03*'01_Вводные'!$B$218*'19_Расчет_аналитики'!BG1572,MeanMinAge03)))</f>
        <v/>
      </c>
      <c r="BH1506">
        <f>IF(OR(('19_Расчет_аналитики'!BH1422-'19_Расчет_аналитики'!BH1450)=0,3&lt;='01_Вводные'!$B$297),0,('19_Расчет_аналитики'!BH1422-'19_Расчет_аналитики'!BH1450)*IF('01_Вводные'!$B$239="Да",MeanMinAge03+'19_Расчет_аналитики'!BH1572*SUMIF(ThresholdAge03,"&lt;"&amp;'19_Расчет_аналитики'!BH1572,WeightedRevAge03)-SUMIF(ThresholdAge03,"&lt;"&amp;'19_Расчет_аналитики'!BH1572,WeightedMinAge03),MAX(CapacityAge03*'01_Вводные'!$B$218*'19_Расчет_аналитики'!BH1572,MeanMinAge03)))</f>
        <v/>
      </c>
      <c r="BI1506">
        <f>IF(OR(('19_Расчет_аналитики'!BI1422-'19_Расчет_аналитики'!BI1450)=0,3&lt;='01_Вводные'!$B$297),0,('19_Расчет_аналитики'!BI1422-'19_Расчет_аналитики'!BI1450)*IF('01_Вводные'!$B$239="Да",MeanMinAge03+'19_Расчет_аналитики'!BI1572*SUMIF(ThresholdAge03,"&lt;"&amp;'19_Расчет_аналитики'!BI1572,WeightedRevAge03)-SUMIF(ThresholdAge03,"&lt;"&amp;'19_Расчет_аналитики'!BI1572,WeightedMinAge03),MAX(CapacityAge03*'01_Вводные'!$B$218*'19_Расчет_аналитики'!BI1572,MeanMinAge03)))</f>
        <v/>
      </c>
      <c r="BJ1506">
        <f>IF(OR(('19_Расчет_аналитики'!BJ1422-'19_Расчет_аналитики'!BJ1450)=0,3&lt;='01_Вводные'!$B$297),0,('19_Расчет_аналитики'!BJ1422-'19_Расчет_аналитики'!BJ1450)*IF('01_Вводные'!$B$239="Да",MeanMinAge03+'19_Расчет_аналитики'!BJ1572*SUMIF(ThresholdAge03,"&lt;"&amp;'19_Расчет_аналитики'!BJ1572,WeightedRevAge03)-SUMIF(ThresholdAge03,"&lt;"&amp;'19_Расчет_аналитики'!BJ1572,WeightedMinAge03),MAX(CapacityAge03*'01_Вводные'!$B$218*'19_Расчет_аналитики'!BJ1572,MeanMinAge03)))</f>
        <v/>
      </c>
      <c r="BK1506">
        <f>IF(OR(('19_Расчет_аналитики'!BK1422-'19_Расчет_аналитики'!BK1450)=0,3&lt;='01_Вводные'!$B$297),0,('19_Расчет_аналитики'!BK1422-'19_Расчет_аналитики'!BK1450)*IF('01_Вводные'!$B$239="Да",MeanMinAge03+'19_Расчет_аналитики'!BK1572*SUMIF(ThresholdAge03,"&lt;"&amp;'19_Расчет_аналитики'!BK1572,WeightedRevAge03)-SUMIF(ThresholdAge03,"&lt;"&amp;'19_Расчет_аналитики'!BK1572,WeightedMinAge03),MAX(CapacityAge03*'01_Вводные'!$B$218*'19_Расчет_аналитики'!BK1572,MeanMinAge03)))</f>
        <v/>
      </c>
      <c r="BL1506">
        <f>IF(OR(('19_Расчет_аналитики'!BL1422-'19_Расчет_аналитики'!BL1450)=0,3&lt;='01_Вводные'!$B$297),0,('19_Расчет_аналитики'!BL1422-'19_Расчет_аналитики'!BL1450)*IF('01_Вводные'!$B$239="Да",MeanMinAge03+'19_Расчет_аналитики'!BL1572*SUMIF(ThresholdAge03,"&lt;"&amp;'19_Расчет_аналитики'!BL1572,WeightedRevAge03)-SUMIF(ThresholdAge03,"&lt;"&amp;'19_Расчет_аналитики'!BL1572,WeightedMinAge03),MAX(CapacityAge03*'01_Вводные'!$B$218*'19_Расчет_аналитики'!BL1572,MeanMinAge03)))</f>
        <v/>
      </c>
      <c r="BM1506">
        <f>IF(OR(('19_Расчет_аналитики'!BM1422-'19_Расчет_аналитики'!BM1450)=0,3&lt;='01_Вводные'!$B$297),0,('19_Расчет_аналитики'!BM1422-'19_Расчет_аналитики'!BM1450)*IF('01_Вводные'!$B$239="Да",MeanMinAge03+'19_Расчет_аналитики'!BM1572*SUMIF(ThresholdAge03,"&lt;"&amp;'19_Расчет_аналитики'!BM1572,WeightedRevAge03)-SUMIF(ThresholdAge03,"&lt;"&amp;'19_Расчет_аналитики'!BM1572,WeightedMinAge03),MAX(CapacityAge03*'01_Вводные'!$B$218*'19_Расчет_аналитики'!BM1572,MeanMinAge03)))</f>
        <v/>
      </c>
      <c r="BN1506">
        <f>IF(OR(('19_Расчет_аналитики'!BN1422-'19_Расчет_аналитики'!BN1450)=0,3&lt;='01_Вводные'!$B$297),0,('19_Расчет_аналитики'!BN1422-'19_Расчет_аналитики'!BN1450)*IF('01_Вводные'!$B$239="Да",MeanMinAge03+'19_Расчет_аналитики'!BN1572*SUMIF(ThresholdAge03,"&lt;"&amp;'19_Расчет_аналитики'!BN1572,WeightedRevAge03)-SUMIF(ThresholdAge03,"&lt;"&amp;'19_Расчет_аналитики'!BN1572,WeightedMinAge03),MAX(CapacityAge03*'01_Вводные'!$B$218*'19_Расчет_аналитики'!BN1572,MeanMinAge03)))</f>
        <v/>
      </c>
      <c r="BO1506">
        <f>IF(OR(('19_Расчет_аналитики'!BO1422-'19_Расчет_аналитики'!BO1450)=0,3&lt;='01_Вводные'!$B$297),0,('19_Расчет_аналитики'!BO1422-'19_Расчет_аналитики'!BO1450)*IF('01_Вводные'!$B$239="Да",MeanMinAge03+'19_Расчет_аналитики'!BO1572*SUMIF(ThresholdAge03,"&lt;"&amp;'19_Расчет_аналитики'!BO1572,WeightedRevAge03)-SUMIF(ThresholdAge03,"&lt;"&amp;'19_Расчет_аналитики'!BO1572,WeightedMinAge03),MAX(CapacityAge03*'01_Вводные'!$B$218*'19_Расчет_аналитики'!BO1572,MeanMinAge03)))</f>
        <v/>
      </c>
    </row>
    <row r="1507">
      <c r="B1507">
        <f>IF(OR(('06_Сеть_и_дети'!B56-'06_Сеть_и_дети'!B84)=0,4&lt;='01_Вводные'!$B$297),0,('06_Сеть_и_дети'!B56-'06_Сеть_и_дети'!B84)*IF('01_Вводные'!$B$239="Да",MeanMinAge04+'19_Расчет_аналитики'!B1572*SUMIF(ThresholdAge04,"&lt;"&amp;'19_Расчет_аналитики'!B1572,WeightedRevAge04)-SUMIF(ThresholdAge04,"&lt;"&amp;'19_Расчет_аналитики'!B1572,WeightedMinAge04),MAX(CapacityAge04*'01_Вводные'!$B$218*'19_Расчет_аналитики'!B1572,MeanMinAge04)))</f>
        <v/>
      </c>
      <c r="C1507">
        <f>IF(OR(('06_Сеть_и_дети'!C56-'06_Сеть_и_дети'!C84)=0,4&lt;='01_Вводные'!$B$297),0,('06_Сеть_и_дети'!C56-'06_Сеть_и_дети'!C84)*IF('01_Вводные'!$B$239="Да",MeanMinAge04+'19_Расчет_аналитики'!C1572*SUMIF(ThresholdAge04,"&lt;"&amp;'19_Расчет_аналитики'!C1572,WeightedRevAge04)-SUMIF(ThresholdAge04,"&lt;"&amp;'19_Расчет_аналитики'!C1572,WeightedMinAge04),MAX(CapacityAge04*'01_Вводные'!$B$218*'19_Расчет_аналитики'!C1572,MeanMinAge04)))</f>
        <v/>
      </c>
      <c r="D1507">
        <f>IF(OR(('06_Сеть_и_дети'!D56-'06_Сеть_и_дети'!D84)=0,4&lt;='01_Вводные'!$B$297),0,('06_Сеть_и_дети'!D56-'06_Сеть_и_дети'!D84)*IF('01_Вводные'!$B$239="Да",MeanMinAge04+'19_Расчет_аналитики'!D1572*SUMIF(ThresholdAge04,"&lt;"&amp;'19_Расчет_аналитики'!D1572,WeightedRevAge04)-SUMIF(ThresholdAge04,"&lt;"&amp;'19_Расчет_аналитики'!D1572,WeightedMinAge04),MAX(CapacityAge04*'01_Вводные'!$B$218*'19_Расчет_аналитики'!D1572,MeanMinAge04)))</f>
        <v/>
      </c>
      <c r="E1507">
        <f>IF(OR(('19_Расчет_аналитики'!E1423-'19_Расчет_аналитики'!E1451)=0,4&lt;='01_Вводные'!$B$297),0,('19_Расчет_аналитики'!E1423-'19_Расчет_аналитики'!E1451)*IF('01_Вводные'!$B$239="Да",MeanMinAge04+'19_Расчет_аналитики'!E1572*SUMIF(ThresholdAge04,"&lt;"&amp;'19_Расчет_аналитики'!E1572,WeightedRevAge04)-SUMIF(ThresholdAge04,"&lt;"&amp;'19_Расчет_аналитики'!E1572,WeightedMinAge04),MAX(CapacityAge04*'01_Вводные'!$B$218*'19_Расчет_аналитики'!E1572,MeanMinAge04)))</f>
        <v/>
      </c>
      <c r="F1507">
        <f>IF(OR(('19_Расчет_аналитики'!F1423-'19_Расчет_аналитики'!F1451)=0,4&lt;='01_Вводные'!$B$297),0,('19_Расчет_аналитики'!F1423-'19_Расчет_аналитики'!F1451)*IF('01_Вводные'!$B$239="Да",MeanMinAge04+'19_Расчет_аналитики'!F1572*SUMIF(ThresholdAge04,"&lt;"&amp;'19_Расчет_аналитики'!F1572,WeightedRevAge04)-SUMIF(ThresholdAge04,"&lt;"&amp;'19_Расчет_аналитики'!F1572,WeightedMinAge04),MAX(CapacityAge04*'01_Вводные'!$B$218*'19_Расчет_аналитики'!F1572,MeanMinAge04)))</f>
        <v/>
      </c>
      <c r="G1507">
        <f>IF(OR(('19_Расчет_аналитики'!G1423-'19_Расчет_аналитики'!G1451)=0,4&lt;='01_Вводные'!$B$297),0,('19_Расчет_аналитики'!G1423-'19_Расчет_аналитики'!G1451)*IF('01_Вводные'!$B$239="Да",MeanMinAge04+'19_Расчет_аналитики'!G1572*SUMIF(ThresholdAge04,"&lt;"&amp;'19_Расчет_аналитики'!G1572,WeightedRevAge04)-SUMIF(ThresholdAge04,"&lt;"&amp;'19_Расчет_аналитики'!G1572,WeightedMinAge04),MAX(CapacityAge04*'01_Вводные'!$B$218*'19_Расчет_аналитики'!G1572,MeanMinAge04)))</f>
        <v/>
      </c>
      <c r="H1507">
        <f>IF(OR(('19_Расчет_аналитики'!H1423-'19_Расчет_аналитики'!H1451)=0,4&lt;='01_Вводные'!$B$297),0,('19_Расчет_аналитики'!H1423-'19_Расчет_аналитики'!H1451)*IF('01_Вводные'!$B$239="Да",MeanMinAge04+'19_Расчет_аналитики'!H1572*SUMIF(ThresholdAge04,"&lt;"&amp;'19_Расчет_аналитики'!H1572,WeightedRevAge04)-SUMIF(ThresholdAge04,"&lt;"&amp;'19_Расчет_аналитики'!H1572,WeightedMinAge04),MAX(CapacityAge04*'01_Вводные'!$B$218*'19_Расчет_аналитики'!H1572,MeanMinAge04)))</f>
        <v/>
      </c>
      <c r="I1507">
        <f>IF(OR(('19_Расчет_аналитики'!I1423-'19_Расчет_аналитики'!I1451)=0,4&lt;='01_Вводные'!$B$297),0,('19_Расчет_аналитики'!I1423-'19_Расчет_аналитики'!I1451)*IF('01_Вводные'!$B$239="Да",MeanMinAge04+'19_Расчет_аналитики'!I1572*SUMIF(ThresholdAge04,"&lt;"&amp;'19_Расчет_аналитики'!I1572,WeightedRevAge04)-SUMIF(ThresholdAge04,"&lt;"&amp;'19_Расчет_аналитики'!I1572,WeightedMinAge04),MAX(CapacityAge04*'01_Вводные'!$B$218*'19_Расчет_аналитики'!I1572,MeanMinAge04)))</f>
        <v/>
      </c>
      <c r="J1507">
        <f>IF(OR(('19_Расчет_аналитики'!J1423-'19_Расчет_аналитики'!J1451)=0,4&lt;='01_Вводные'!$B$297),0,('19_Расчет_аналитики'!J1423-'19_Расчет_аналитики'!J1451)*IF('01_Вводные'!$B$239="Да",MeanMinAge04+'19_Расчет_аналитики'!J1572*SUMIF(ThresholdAge04,"&lt;"&amp;'19_Расчет_аналитики'!J1572,WeightedRevAge04)-SUMIF(ThresholdAge04,"&lt;"&amp;'19_Расчет_аналитики'!J1572,WeightedMinAge04),MAX(CapacityAge04*'01_Вводные'!$B$218*'19_Расчет_аналитики'!J1572,MeanMinAge04)))</f>
        <v/>
      </c>
      <c r="K1507">
        <f>IF(OR(('19_Расчет_аналитики'!K1423-'19_Расчет_аналитики'!K1451)=0,4&lt;='01_Вводные'!$B$297),0,('19_Расчет_аналитики'!K1423-'19_Расчет_аналитики'!K1451)*IF('01_Вводные'!$B$239="Да",MeanMinAge04+'19_Расчет_аналитики'!K1572*SUMIF(ThresholdAge04,"&lt;"&amp;'19_Расчет_аналитики'!K1572,WeightedRevAge04)-SUMIF(ThresholdAge04,"&lt;"&amp;'19_Расчет_аналитики'!K1572,WeightedMinAge04),MAX(CapacityAge04*'01_Вводные'!$B$218*'19_Расчет_аналитики'!K1572,MeanMinAge04)))</f>
        <v/>
      </c>
      <c r="L1507">
        <f>IF(OR(('19_Расчет_аналитики'!L1423-'19_Расчет_аналитики'!L1451)=0,4&lt;='01_Вводные'!$B$297),0,('19_Расчет_аналитики'!L1423-'19_Расчет_аналитики'!L1451)*IF('01_Вводные'!$B$239="Да",MeanMinAge04+'19_Расчет_аналитики'!L1572*SUMIF(ThresholdAge04,"&lt;"&amp;'19_Расчет_аналитики'!L1572,WeightedRevAge04)-SUMIF(ThresholdAge04,"&lt;"&amp;'19_Расчет_аналитики'!L1572,WeightedMinAge04),MAX(CapacityAge04*'01_Вводные'!$B$218*'19_Расчет_аналитики'!L1572,MeanMinAge04)))</f>
        <v/>
      </c>
      <c r="M1507">
        <f>IF(OR(('19_Расчет_аналитики'!M1423-'19_Расчет_аналитики'!M1451)=0,4&lt;='01_Вводные'!$B$297),0,('19_Расчет_аналитики'!M1423-'19_Расчет_аналитики'!M1451)*IF('01_Вводные'!$B$239="Да",MeanMinAge04+'19_Расчет_аналитики'!M1572*SUMIF(ThresholdAge04,"&lt;"&amp;'19_Расчет_аналитики'!M1572,WeightedRevAge04)-SUMIF(ThresholdAge04,"&lt;"&amp;'19_Расчет_аналитики'!M1572,WeightedMinAge04),MAX(CapacityAge04*'01_Вводные'!$B$218*'19_Расчет_аналитики'!M1572,MeanMinAge04)))</f>
        <v/>
      </c>
      <c r="N1507">
        <f>IF(OR(('19_Расчет_аналитики'!N1423-'19_Расчет_аналитики'!N1451)=0,4&lt;='01_Вводные'!$B$297),0,('19_Расчет_аналитики'!N1423-'19_Расчет_аналитики'!N1451)*IF('01_Вводные'!$B$239="Да",MeanMinAge04+'19_Расчет_аналитики'!N1572*SUMIF(ThresholdAge04,"&lt;"&amp;'19_Расчет_аналитики'!N1572,WeightedRevAge04)-SUMIF(ThresholdAge04,"&lt;"&amp;'19_Расчет_аналитики'!N1572,WeightedMinAge04),MAX(CapacityAge04*'01_Вводные'!$B$218*'19_Расчет_аналитики'!N1572,MeanMinAge04)))</f>
        <v/>
      </c>
      <c r="O1507">
        <f>IF(OR(('19_Расчет_аналитики'!O1423-'19_Расчет_аналитики'!O1451)=0,4&lt;='01_Вводные'!$B$297),0,('19_Расчет_аналитики'!O1423-'19_Расчет_аналитики'!O1451)*IF('01_Вводные'!$B$239="Да",MeanMinAge04+'19_Расчет_аналитики'!O1572*SUMIF(ThresholdAge04,"&lt;"&amp;'19_Расчет_аналитики'!O1572,WeightedRevAge04)-SUMIF(ThresholdAge04,"&lt;"&amp;'19_Расчет_аналитики'!O1572,WeightedMinAge04),MAX(CapacityAge04*'01_Вводные'!$B$218*'19_Расчет_аналитики'!O1572,MeanMinAge04)))</f>
        <v/>
      </c>
      <c r="P1507">
        <f>IF(OR(('19_Расчет_аналитики'!P1423-'19_Расчет_аналитики'!P1451)=0,4&lt;='01_Вводные'!$B$297),0,('19_Расчет_аналитики'!P1423-'19_Расчет_аналитики'!P1451)*IF('01_Вводные'!$B$239="Да",MeanMinAge04+'19_Расчет_аналитики'!P1572*SUMIF(ThresholdAge04,"&lt;"&amp;'19_Расчет_аналитики'!P1572,WeightedRevAge04)-SUMIF(ThresholdAge04,"&lt;"&amp;'19_Расчет_аналитики'!P1572,WeightedMinAge04),MAX(CapacityAge04*'01_Вводные'!$B$218*'19_Расчет_аналитики'!P1572,MeanMinAge04)))</f>
        <v/>
      </c>
      <c r="Q1507">
        <f>IF(OR(('19_Расчет_аналитики'!Q1423-'19_Расчет_аналитики'!Q1451)=0,4&lt;='01_Вводные'!$B$297),0,('19_Расчет_аналитики'!Q1423-'19_Расчет_аналитики'!Q1451)*IF('01_Вводные'!$B$239="Да",MeanMinAge04+'19_Расчет_аналитики'!Q1572*SUMIF(ThresholdAge04,"&lt;"&amp;'19_Расчет_аналитики'!Q1572,WeightedRevAge04)-SUMIF(ThresholdAge04,"&lt;"&amp;'19_Расчет_аналитики'!Q1572,WeightedMinAge04),MAX(CapacityAge04*'01_Вводные'!$B$218*'19_Расчет_аналитики'!Q1572,MeanMinAge04)))</f>
        <v/>
      </c>
      <c r="R1507">
        <f>IF(OR(('19_Расчет_аналитики'!R1423-'19_Расчет_аналитики'!R1451)=0,4&lt;='01_Вводные'!$B$297),0,('19_Расчет_аналитики'!R1423-'19_Расчет_аналитики'!R1451)*IF('01_Вводные'!$B$239="Да",MeanMinAge04+'19_Расчет_аналитики'!R1572*SUMIF(ThresholdAge04,"&lt;"&amp;'19_Расчет_аналитики'!R1572,WeightedRevAge04)-SUMIF(ThresholdAge04,"&lt;"&amp;'19_Расчет_аналитики'!R1572,WeightedMinAge04),MAX(CapacityAge04*'01_Вводные'!$B$218*'19_Расчет_аналитики'!R1572,MeanMinAge04)))</f>
        <v/>
      </c>
      <c r="S1507">
        <f>IF(OR(('19_Расчет_аналитики'!S1423-'19_Расчет_аналитики'!S1451)=0,4&lt;='01_Вводные'!$B$297),0,('19_Расчет_аналитики'!S1423-'19_Расчет_аналитики'!S1451)*IF('01_Вводные'!$B$239="Да",MeanMinAge04+'19_Расчет_аналитики'!S1572*SUMIF(ThresholdAge04,"&lt;"&amp;'19_Расчет_аналитики'!S1572,WeightedRevAge04)-SUMIF(ThresholdAge04,"&lt;"&amp;'19_Расчет_аналитики'!S1572,WeightedMinAge04),MAX(CapacityAge04*'01_Вводные'!$B$218*'19_Расчет_аналитики'!S1572,MeanMinAge04)))</f>
        <v/>
      </c>
      <c r="T1507">
        <f>IF(OR(('19_Расчет_аналитики'!T1423-'19_Расчет_аналитики'!T1451)=0,4&lt;='01_Вводные'!$B$297),0,('19_Расчет_аналитики'!T1423-'19_Расчет_аналитики'!T1451)*IF('01_Вводные'!$B$239="Да",MeanMinAge04+'19_Расчет_аналитики'!T1572*SUMIF(ThresholdAge04,"&lt;"&amp;'19_Расчет_аналитики'!T1572,WeightedRevAge04)-SUMIF(ThresholdAge04,"&lt;"&amp;'19_Расчет_аналитики'!T1572,WeightedMinAge04),MAX(CapacityAge04*'01_Вводные'!$B$218*'19_Расчет_аналитики'!T1572,MeanMinAge04)))</f>
        <v/>
      </c>
      <c r="U1507">
        <f>IF(OR(('19_Расчет_аналитики'!U1423-'19_Расчет_аналитики'!U1451)=0,4&lt;='01_Вводные'!$B$297),0,('19_Расчет_аналитики'!U1423-'19_Расчет_аналитики'!U1451)*IF('01_Вводные'!$B$239="Да",MeanMinAge04+'19_Расчет_аналитики'!U1572*SUMIF(ThresholdAge04,"&lt;"&amp;'19_Расчет_аналитики'!U1572,WeightedRevAge04)-SUMIF(ThresholdAge04,"&lt;"&amp;'19_Расчет_аналитики'!U1572,WeightedMinAge04),MAX(CapacityAge04*'01_Вводные'!$B$218*'19_Расчет_аналитики'!U1572,MeanMinAge04)))</f>
        <v/>
      </c>
      <c r="V1507">
        <f>IF(OR(('19_Расчет_аналитики'!V1423-'19_Расчет_аналитики'!V1451)=0,4&lt;='01_Вводные'!$B$297),0,('19_Расчет_аналитики'!V1423-'19_Расчет_аналитики'!V1451)*IF('01_Вводные'!$B$239="Да",MeanMinAge04+'19_Расчет_аналитики'!V1572*SUMIF(ThresholdAge04,"&lt;"&amp;'19_Расчет_аналитики'!V1572,WeightedRevAge04)-SUMIF(ThresholdAge04,"&lt;"&amp;'19_Расчет_аналитики'!V1572,WeightedMinAge04),MAX(CapacityAge04*'01_Вводные'!$B$218*'19_Расчет_аналитики'!V1572,MeanMinAge04)))</f>
        <v/>
      </c>
      <c r="W1507">
        <f>IF(OR(('19_Расчет_аналитики'!W1423-'19_Расчет_аналитики'!W1451)=0,4&lt;='01_Вводные'!$B$297),0,('19_Расчет_аналитики'!W1423-'19_Расчет_аналитики'!W1451)*IF('01_Вводные'!$B$239="Да",MeanMinAge04+'19_Расчет_аналитики'!W1572*SUMIF(ThresholdAge04,"&lt;"&amp;'19_Расчет_аналитики'!W1572,WeightedRevAge04)-SUMIF(ThresholdAge04,"&lt;"&amp;'19_Расчет_аналитики'!W1572,WeightedMinAge04),MAX(CapacityAge04*'01_Вводные'!$B$218*'19_Расчет_аналитики'!W1572,MeanMinAge04)))</f>
        <v/>
      </c>
      <c r="X1507">
        <f>IF(OR(('19_Расчет_аналитики'!X1423-'19_Расчет_аналитики'!X1451)=0,4&lt;='01_Вводные'!$B$297),0,('19_Расчет_аналитики'!X1423-'19_Расчет_аналитики'!X1451)*IF('01_Вводные'!$B$239="Да",MeanMinAge04+'19_Расчет_аналитики'!X1572*SUMIF(ThresholdAge04,"&lt;"&amp;'19_Расчет_аналитики'!X1572,WeightedRevAge04)-SUMIF(ThresholdAge04,"&lt;"&amp;'19_Расчет_аналитики'!X1572,WeightedMinAge04),MAX(CapacityAge04*'01_Вводные'!$B$218*'19_Расчет_аналитики'!X1572,MeanMinAge04)))</f>
        <v/>
      </c>
      <c r="Y1507">
        <f>IF(OR(('19_Расчет_аналитики'!Y1423-'19_Расчет_аналитики'!Y1451)=0,4&lt;='01_Вводные'!$B$297),0,('19_Расчет_аналитики'!Y1423-'19_Расчет_аналитики'!Y1451)*IF('01_Вводные'!$B$239="Да",MeanMinAge04+'19_Расчет_аналитики'!Y1572*SUMIF(ThresholdAge04,"&lt;"&amp;'19_Расчет_аналитики'!Y1572,WeightedRevAge04)-SUMIF(ThresholdAge04,"&lt;"&amp;'19_Расчет_аналитики'!Y1572,WeightedMinAge04),MAX(CapacityAge04*'01_Вводные'!$B$218*'19_Расчет_аналитики'!Y1572,MeanMinAge04)))</f>
        <v/>
      </c>
      <c r="Z1507">
        <f>IF(OR(('19_Расчет_аналитики'!Z1423-'19_Расчет_аналитики'!Z1451)=0,4&lt;='01_Вводные'!$B$297),0,('19_Расчет_аналитики'!Z1423-'19_Расчет_аналитики'!Z1451)*IF('01_Вводные'!$B$239="Да",MeanMinAge04+'19_Расчет_аналитики'!Z1572*SUMIF(ThresholdAge04,"&lt;"&amp;'19_Расчет_аналитики'!Z1572,WeightedRevAge04)-SUMIF(ThresholdAge04,"&lt;"&amp;'19_Расчет_аналитики'!Z1572,WeightedMinAge04),MAX(CapacityAge04*'01_Вводные'!$B$218*'19_Расчет_аналитики'!Z1572,MeanMinAge04)))</f>
        <v/>
      </c>
      <c r="AA1507">
        <f>IF(OR(('19_Расчет_аналитики'!AA1423-'19_Расчет_аналитики'!AA1451)=0,4&lt;='01_Вводные'!$B$297),0,('19_Расчет_аналитики'!AA1423-'19_Расчет_аналитики'!AA1451)*IF('01_Вводные'!$B$239="Да",MeanMinAge04+'19_Расчет_аналитики'!AA1572*SUMIF(ThresholdAge04,"&lt;"&amp;'19_Расчет_аналитики'!AA1572,WeightedRevAge04)-SUMIF(ThresholdAge04,"&lt;"&amp;'19_Расчет_аналитики'!AA1572,WeightedMinAge04),MAX(CapacityAge04*'01_Вводные'!$B$218*'19_Расчет_аналитики'!AA1572,MeanMinAge04)))</f>
        <v/>
      </c>
      <c r="AB1507">
        <f>IF(OR(('19_Расчет_аналитики'!AB1423-'19_Расчет_аналитики'!AB1451)=0,4&lt;='01_Вводные'!$B$297),0,('19_Расчет_аналитики'!AB1423-'19_Расчет_аналитики'!AB1451)*IF('01_Вводные'!$B$239="Да",MeanMinAge04+'19_Расчет_аналитики'!AB1572*SUMIF(ThresholdAge04,"&lt;"&amp;'19_Расчет_аналитики'!AB1572,WeightedRevAge04)-SUMIF(ThresholdAge04,"&lt;"&amp;'19_Расчет_аналитики'!AB1572,WeightedMinAge04),MAX(CapacityAge04*'01_Вводные'!$B$218*'19_Расчет_аналитики'!AB1572,MeanMinAge04)))</f>
        <v/>
      </c>
      <c r="AC1507">
        <f>IF(OR(('19_Расчет_аналитики'!AC1423-'19_Расчет_аналитики'!AC1451)=0,4&lt;='01_Вводные'!$B$297),0,('19_Расчет_аналитики'!AC1423-'19_Расчет_аналитики'!AC1451)*IF('01_Вводные'!$B$239="Да",MeanMinAge04+'19_Расчет_аналитики'!AC1572*SUMIF(ThresholdAge04,"&lt;"&amp;'19_Расчет_аналитики'!AC1572,WeightedRevAge04)-SUMIF(ThresholdAge04,"&lt;"&amp;'19_Расчет_аналитики'!AC1572,WeightedMinAge04),MAX(CapacityAge04*'01_Вводные'!$B$218*'19_Расчет_аналитики'!AC1572,MeanMinAge04)))</f>
        <v/>
      </c>
      <c r="AD1507">
        <f>IF(OR(('19_Расчет_аналитики'!AD1423-'19_Расчет_аналитики'!AD1451)=0,4&lt;='01_Вводные'!$B$297),0,('19_Расчет_аналитики'!AD1423-'19_Расчет_аналитики'!AD1451)*IF('01_Вводные'!$B$239="Да",MeanMinAge04+'19_Расчет_аналитики'!AD1572*SUMIF(ThresholdAge04,"&lt;"&amp;'19_Расчет_аналитики'!AD1572,WeightedRevAge04)-SUMIF(ThresholdAge04,"&lt;"&amp;'19_Расчет_аналитики'!AD1572,WeightedMinAge04),MAX(CapacityAge04*'01_Вводные'!$B$218*'19_Расчет_аналитики'!AD1572,MeanMinAge04)))</f>
        <v/>
      </c>
      <c r="AE1507">
        <f>IF(OR(('19_Расчет_аналитики'!AE1423-'19_Расчет_аналитики'!AE1451)=0,4&lt;='01_Вводные'!$B$297),0,('19_Расчет_аналитики'!AE1423-'19_Расчет_аналитики'!AE1451)*IF('01_Вводные'!$B$239="Да",MeanMinAge04+'19_Расчет_аналитики'!AE1572*SUMIF(ThresholdAge04,"&lt;"&amp;'19_Расчет_аналитики'!AE1572,WeightedRevAge04)-SUMIF(ThresholdAge04,"&lt;"&amp;'19_Расчет_аналитики'!AE1572,WeightedMinAge04),MAX(CapacityAge04*'01_Вводные'!$B$218*'19_Расчет_аналитики'!AE1572,MeanMinAge04)))</f>
        <v/>
      </c>
      <c r="AF1507">
        <f>IF(OR(('19_Расчет_аналитики'!AF1423-'19_Расчет_аналитики'!AF1451)=0,4&lt;='01_Вводные'!$B$297),0,('19_Расчет_аналитики'!AF1423-'19_Расчет_аналитики'!AF1451)*IF('01_Вводные'!$B$239="Да",MeanMinAge04+'19_Расчет_аналитики'!AF1572*SUMIF(ThresholdAge04,"&lt;"&amp;'19_Расчет_аналитики'!AF1572,WeightedRevAge04)-SUMIF(ThresholdAge04,"&lt;"&amp;'19_Расчет_аналитики'!AF1572,WeightedMinAge04),MAX(CapacityAge04*'01_Вводные'!$B$218*'19_Расчет_аналитики'!AF1572,MeanMinAge04)))</f>
        <v/>
      </c>
      <c r="AG1507">
        <f>IF(OR(('19_Расчет_аналитики'!AG1423-'19_Расчет_аналитики'!AG1451)=0,4&lt;='01_Вводные'!$B$297),0,('19_Расчет_аналитики'!AG1423-'19_Расчет_аналитики'!AG1451)*IF('01_Вводные'!$B$239="Да",MeanMinAge04+'19_Расчет_аналитики'!AG1572*SUMIF(ThresholdAge04,"&lt;"&amp;'19_Расчет_аналитики'!AG1572,WeightedRevAge04)-SUMIF(ThresholdAge04,"&lt;"&amp;'19_Расчет_аналитики'!AG1572,WeightedMinAge04),MAX(CapacityAge04*'01_Вводные'!$B$218*'19_Расчет_аналитики'!AG1572,MeanMinAge04)))</f>
        <v/>
      </c>
      <c r="AH1507">
        <f>IF(OR(('19_Расчет_аналитики'!AH1423-'19_Расчет_аналитики'!AH1451)=0,4&lt;='01_Вводные'!$B$297),0,('19_Расчет_аналитики'!AH1423-'19_Расчет_аналитики'!AH1451)*IF('01_Вводные'!$B$239="Да",MeanMinAge04+'19_Расчет_аналитики'!AH1572*SUMIF(ThresholdAge04,"&lt;"&amp;'19_Расчет_аналитики'!AH1572,WeightedRevAge04)-SUMIF(ThresholdAge04,"&lt;"&amp;'19_Расчет_аналитики'!AH1572,WeightedMinAge04),MAX(CapacityAge04*'01_Вводные'!$B$218*'19_Расчет_аналитики'!AH1572,MeanMinAge04)))</f>
        <v/>
      </c>
      <c r="AI1507">
        <f>IF(OR(('19_Расчет_аналитики'!AI1423-'19_Расчет_аналитики'!AI1451)=0,4&lt;='01_Вводные'!$B$297),0,('19_Расчет_аналитики'!AI1423-'19_Расчет_аналитики'!AI1451)*IF('01_Вводные'!$B$239="Да",MeanMinAge04+'19_Расчет_аналитики'!AI1572*SUMIF(ThresholdAge04,"&lt;"&amp;'19_Расчет_аналитики'!AI1572,WeightedRevAge04)-SUMIF(ThresholdAge04,"&lt;"&amp;'19_Расчет_аналитики'!AI1572,WeightedMinAge04),MAX(CapacityAge04*'01_Вводные'!$B$218*'19_Расчет_аналитики'!AI1572,MeanMinAge04)))</f>
        <v/>
      </c>
      <c r="AJ1507">
        <f>IF(OR(('19_Расчет_аналитики'!AJ1423-'19_Расчет_аналитики'!AJ1451)=0,4&lt;='01_Вводные'!$B$297),0,('19_Расчет_аналитики'!AJ1423-'19_Расчет_аналитики'!AJ1451)*IF('01_Вводные'!$B$239="Да",MeanMinAge04+'19_Расчет_аналитики'!AJ1572*SUMIF(ThresholdAge04,"&lt;"&amp;'19_Расчет_аналитики'!AJ1572,WeightedRevAge04)-SUMIF(ThresholdAge04,"&lt;"&amp;'19_Расчет_аналитики'!AJ1572,WeightedMinAge04),MAX(CapacityAge04*'01_Вводные'!$B$218*'19_Расчет_аналитики'!AJ1572,MeanMinAge04)))</f>
        <v/>
      </c>
      <c r="AK1507">
        <f>IF(OR(('19_Расчет_аналитики'!AK1423-'19_Расчет_аналитики'!AK1451)=0,4&lt;='01_Вводные'!$B$297),0,('19_Расчет_аналитики'!AK1423-'19_Расчет_аналитики'!AK1451)*IF('01_Вводные'!$B$239="Да",MeanMinAge04+'19_Расчет_аналитики'!AK1572*SUMIF(ThresholdAge04,"&lt;"&amp;'19_Расчет_аналитики'!AK1572,WeightedRevAge04)-SUMIF(ThresholdAge04,"&lt;"&amp;'19_Расчет_аналитики'!AK1572,WeightedMinAge04),MAX(CapacityAge04*'01_Вводные'!$B$218*'19_Расчет_аналитики'!AK1572,MeanMinAge04)))</f>
        <v/>
      </c>
      <c r="AL1507">
        <f>IF(OR(('19_Расчет_аналитики'!AL1423-'19_Расчет_аналитики'!AL1451)=0,4&lt;='01_Вводные'!$B$297),0,('19_Расчет_аналитики'!AL1423-'19_Расчет_аналитики'!AL1451)*IF('01_Вводные'!$B$239="Да",MeanMinAge04+'19_Расчет_аналитики'!AL1572*SUMIF(ThresholdAge04,"&lt;"&amp;'19_Расчет_аналитики'!AL1572,WeightedRevAge04)-SUMIF(ThresholdAge04,"&lt;"&amp;'19_Расчет_аналитики'!AL1572,WeightedMinAge04),MAX(CapacityAge04*'01_Вводные'!$B$218*'19_Расчет_аналитики'!AL1572,MeanMinAge04)))</f>
        <v/>
      </c>
      <c r="AM1507">
        <f>IF(OR(('19_Расчет_аналитики'!AM1423-'19_Расчет_аналитики'!AM1451)=0,4&lt;='01_Вводные'!$B$297),0,('19_Расчет_аналитики'!AM1423-'19_Расчет_аналитики'!AM1451)*IF('01_Вводные'!$B$239="Да",MeanMinAge04+'19_Расчет_аналитики'!AM1572*SUMIF(ThresholdAge04,"&lt;"&amp;'19_Расчет_аналитики'!AM1572,WeightedRevAge04)-SUMIF(ThresholdAge04,"&lt;"&amp;'19_Расчет_аналитики'!AM1572,WeightedMinAge04),MAX(CapacityAge04*'01_Вводные'!$B$218*'19_Расчет_аналитики'!AM1572,MeanMinAge04)))</f>
        <v/>
      </c>
      <c r="AN1507">
        <f>IF(OR(('19_Расчет_аналитики'!AN1423-'19_Расчет_аналитики'!AN1451)=0,4&lt;='01_Вводные'!$B$297),0,('19_Расчет_аналитики'!AN1423-'19_Расчет_аналитики'!AN1451)*IF('01_Вводные'!$B$239="Да",MeanMinAge04+'19_Расчет_аналитики'!AN1572*SUMIF(ThresholdAge04,"&lt;"&amp;'19_Расчет_аналитики'!AN1572,WeightedRevAge04)-SUMIF(ThresholdAge04,"&lt;"&amp;'19_Расчет_аналитики'!AN1572,WeightedMinAge04),MAX(CapacityAge04*'01_Вводные'!$B$218*'19_Расчет_аналитики'!AN1572,MeanMinAge04)))</f>
        <v/>
      </c>
      <c r="AO1507">
        <f>IF(OR(('19_Расчет_аналитики'!AO1423-'19_Расчет_аналитики'!AO1451)=0,4&lt;='01_Вводные'!$B$297),0,('19_Расчет_аналитики'!AO1423-'19_Расчет_аналитики'!AO1451)*IF('01_Вводные'!$B$239="Да",MeanMinAge04+'19_Расчет_аналитики'!AO1572*SUMIF(ThresholdAge04,"&lt;"&amp;'19_Расчет_аналитики'!AO1572,WeightedRevAge04)-SUMIF(ThresholdAge04,"&lt;"&amp;'19_Расчет_аналитики'!AO1572,WeightedMinAge04),MAX(CapacityAge04*'01_Вводные'!$B$218*'19_Расчет_аналитики'!AO1572,MeanMinAge04)))</f>
        <v/>
      </c>
      <c r="AP1507">
        <f>IF(OR(('19_Расчет_аналитики'!AP1423-'19_Расчет_аналитики'!AP1451)=0,4&lt;='01_Вводные'!$B$297),0,('19_Расчет_аналитики'!AP1423-'19_Расчет_аналитики'!AP1451)*IF('01_Вводные'!$B$239="Да",MeanMinAge04+'19_Расчет_аналитики'!AP1572*SUMIF(ThresholdAge04,"&lt;"&amp;'19_Расчет_аналитики'!AP1572,WeightedRevAge04)-SUMIF(ThresholdAge04,"&lt;"&amp;'19_Расчет_аналитики'!AP1572,WeightedMinAge04),MAX(CapacityAge04*'01_Вводные'!$B$218*'19_Расчет_аналитики'!AP1572,MeanMinAge04)))</f>
        <v/>
      </c>
      <c r="AQ1507">
        <f>IF(OR(('19_Расчет_аналитики'!AQ1423-'19_Расчет_аналитики'!AQ1451)=0,4&lt;='01_Вводные'!$B$297),0,('19_Расчет_аналитики'!AQ1423-'19_Расчет_аналитики'!AQ1451)*IF('01_Вводные'!$B$239="Да",MeanMinAge04+'19_Расчет_аналитики'!AQ1572*SUMIF(ThresholdAge04,"&lt;"&amp;'19_Расчет_аналитики'!AQ1572,WeightedRevAge04)-SUMIF(ThresholdAge04,"&lt;"&amp;'19_Расчет_аналитики'!AQ1572,WeightedMinAge04),MAX(CapacityAge04*'01_Вводные'!$B$218*'19_Расчет_аналитики'!AQ1572,MeanMinAge04)))</f>
        <v/>
      </c>
      <c r="AR1507">
        <f>IF(OR(('19_Расчет_аналитики'!AR1423-'19_Расчет_аналитики'!AR1451)=0,4&lt;='01_Вводные'!$B$297),0,('19_Расчет_аналитики'!AR1423-'19_Расчет_аналитики'!AR1451)*IF('01_Вводные'!$B$239="Да",MeanMinAge04+'19_Расчет_аналитики'!AR1572*SUMIF(ThresholdAge04,"&lt;"&amp;'19_Расчет_аналитики'!AR1572,WeightedRevAge04)-SUMIF(ThresholdAge04,"&lt;"&amp;'19_Расчет_аналитики'!AR1572,WeightedMinAge04),MAX(CapacityAge04*'01_Вводные'!$B$218*'19_Расчет_аналитики'!AR1572,MeanMinAge04)))</f>
        <v/>
      </c>
      <c r="AS1507">
        <f>IF(OR(('19_Расчет_аналитики'!AS1423-'19_Расчет_аналитики'!AS1451)=0,4&lt;='01_Вводные'!$B$297),0,('19_Расчет_аналитики'!AS1423-'19_Расчет_аналитики'!AS1451)*IF('01_Вводные'!$B$239="Да",MeanMinAge04+'19_Расчет_аналитики'!AS1572*SUMIF(ThresholdAge04,"&lt;"&amp;'19_Расчет_аналитики'!AS1572,WeightedRevAge04)-SUMIF(ThresholdAge04,"&lt;"&amp;'19_Расчет_аналитики'!AS1572,WeightedMinAge04),MAX(CapacityAge04*'01_Вводные'!$B$218*'19_Расчет_аналитики'!AS1572,MeanMinAge04)))</f>
        <v/>
      </c>
      <c r="AT1507">
        <f>IF(OR(('19_Расчет_аналитики'!AT1423-'19_Расчет_аналитики'!AT1451)=0,4&lt;='01_Вводные'!$B$297),0,('19_Расчет_аналитики'!AT1423-'19_Расчет_аналитики'!AT1451)*IF('01_Вводные'!$B$239="Да",MeanMinAge04+'19_Расчет_аналитики'!AT1572*SUMIF(ThresholdAge04,"&lt;"&amp;'19_Расчет_аналитики'!AT1572,WeightedRevAge04)-SUMIF(ThresholdAge04,"&lt;"&amp;'19_Расчет_аналитики'!AT1572,WeightedMinAge04),MAX(CapacityAge04*'01_Вводные'!$B$218*'19_Расчет_аналитики'!AT1572,MeanMinAge04)))</f>
        <v/>
      </c>
      <c r="AU1507">
        <f>IF(OR(('19_Расчет_аналитики'!AU1423-'19_Расчет_аналитики'!AU1451)=0,4&lt;='01_Вводные'!$B$297),0,('19_Расчет_аналитики'!AU1423-'19_Расчет_аналитики'!AU1451)*IF('01_Вводные'!$B$239="Да",MeanMinAge04+'19_Расчет_аналитики'!AU1572*SUMIF(ThresholdAge04,"&lt;"&amp;'19_Расчет_аналитики'!AU1572,WeightedRevAge04)-SUMIF(ThresholdAge04,"&lt;"&amp;'19_Расчет_аналитики'!AU1572,WeightedMinAge04),MAX(CapacityAge04*'01_Вводные'!$B$218*'19_Расчет_аналитики'!AU1572,MeanMinAge04)))</f>
        <v/>
      </c>
      <c r="AV1507">
        <f>IF(OR(('19_Расчет_аналитики'!AV1423-'19_Расчет_аналитики'!AV1451)=0,4&lt;='01_Вводные'!$B$297),0,('19_Расчет_аналитики'!AV1423-'19_Расчет_аналитики'!AV1451)*IF('01_Вводные'!$B$239="Да",MeanMinAge04+'19_Расчет_аналитики'!AV1572*SUMIF(ThresholdAge04,"&lt;"&amp;'19_Расчет_аналитики'!AV1572,WeightedRevAge04)-SUMIF(ThresholdAge04,"&lt;"&amp;'19_Расчет_аналитики'!AV1572,WeightedMinAge04),MAX(CapacityAge04*'01_Вводные'!$B$218*'19_Расчет_аналитики'!AV1572,MeanMinAge04)))</f>
        <v/>
      </c>
      <c r="AW1507">
        <f>IF(OR(('19_Расчет_аналитики'!AW1423-'19_Расчет_аналитики'!AW1451)=0,4&lt;='01_Вводные'!$B$297),0,('19_Расчет_аналитики'!AW1423-'19_Расчет_аналитики'!AW1451)*IF('01_Вводные'!$B$239="Да",MeanMinAge04+'19_Расчет_аналитики'!AW1572*SUMIF(ThresholdAge04,"&lt;"&amp;'19_Расчет_аналитики'!AW1572,WeightedRevAge04)-SUMIF(ThresholdAge04,"&lt;"&amp;'19_Расчет_аналитики'!AW1572,WeightedMinAge04),MAX(CapacityAge04*'01_Вводные'!$B$218*'19_Расчет_аналитики'!AW1572,MeanMinAge04)))</f>
        <v/>
      </c>
      <c r="AX1507">
        <f>IF(OR(('19_Расчет_аналитики'!AX1423-'19_Расчет_аналитики'!AX1451)=0,4&lt;='01_Вводные'!$B$297),0,('19_Расчет_аналитики'!AX1423-'19_Расчет_аналитики'!AX1451)*IF('01_Вводные'!$B$239="Да",MeanMinAge04+'19_Расчет_аналитики'!AX1572*SUMIF(ThresholdAge04,"&lt;"&amp;'19_Расчет_аналитики'!AX1572,WeightedRevAge04)-SUMIF(ThresholdAge04,"&lt;"&amp;'19_Расчет_аналитики'!AX1572,WeightedMinAge04),MAX(CapacityAge04*'01_Вводные'!$B$218*'19_Расчет_аналитики'!AX1572,MeanMinAge04)))</f>
        <v/>
      </c>
      <c r="AY1507">
        <f>IF(OR(('19_Расчет_аналитики'!AY1423-'19_Расчет_аналитики'!AY1451)=0,4&lt;='01_Вводные'!$B$297),0,('19_Расчет_аналитики'!AY1423-'19_Расчет_аналитики'!AY1451)*IF('01_Вводные'!$B$239="Да",MeanMinAge04+'19_Расчет_аналитики'!AY1572*SUMIF(ThresholdAge04,"&lt;"&amp;'19_Расчет_аналитики'!AY1572,WeightedRevAge04)-SUMIF(ThresholdAge04,"&lt;"&amp;'19_Расчет_аналитики'!AY1572,WeightedMinAge04),MAX(CapacityAge04*'01_Вводные'!$B$218*'19_Расчет_аналитики'!AY1572,MeanMinAge04)))</f>
        <v/>
      </c>
      <c r="AZ1507">
        <f>IF(OR(('19_Расчет_аналитики'!AZ1423-'19_Расчет_аналитики'!AZ1451)=0,4&lt;='01_Вводные'!$B$297),0,('19_Расчет_аналитики'!AZ1423-'19_Расчет_аналитики'!AZ1451)*IF('01_Вводные'!$B$239="Да",MeanMinAge04+'19_Расчет_аналитики'!AZ1572*SUMIF(ThresholdAge04,"&lt;"&amp;'19_Расчет_аналитики'!AZ1572,WeightedRevAge04)-SUMIF(ThresholdAge04,"&lt;"&amp;'19_Расчет_аналитики'!AZ1572,WeightedMinAge04),MAX(CapacityAge04*'01_Вводные'!$B$218*'19_Расчет_аналитики'!AZ1572,MeanMinAge04)))</f>
        <v/>
      </c>
      <c r="BA1507">
        <f>IF(OR(('19_Расчет_аналитики'!BA1423-'19_Расчет_аналитики'!BA1451)=0,4&lt;='01_Вводные'!$B$297),0,('19_Расчет_аналитики'!BA1423-'19_Расчет_аналитики'!BA1451)*IF('01_Вводные'!$B$239="Да",MeanMinAge04+'19_Расчет_аналитики'!BA1572*SUMIF(ThresholdAge04,"&lt;"&amp;'19_Расчет_аналитики'!BA1572,WeightedRevAge04)-SUMIF(ThresholdAge04,"&lt;"&amp;'19_Расчет_аналитики'!BA1572,WeightedMinAge04),MAX(CapacityAge04*'01_Вводные'!$B$218*'19_Расчет_аналитики'!BA1572,MeanMinAge04)))</f>
        <v/>
      </c>
      <c r="BB1507">
        <f>IF(OR(('19_Расчет_аналитики'!BB1423-'19_Расчет_аналитики'!BB1451)=0,4&lt;='01_Вводные'!$B$297),0,('19_Расчет_аналитики'!BB1423-'19_Расчет_аналитики'!BB1451)*IF('01_Вводные'!$B$239="Да",MeanMinAge04+'19_Расчет_аналитики'!BB1572*SUMIF(ThresholdAge04,"&lt;"&amp;'19_Расчет_аналитики'!BB1572,WeightedRevAge04)-SUMIF(ThresholdAge04,"&lt;"&amp;'19_Расчет_аналитики'!BB1572,WeightedMinAge04),MAX(CapacityAge04*'01_Вводные'!$B$218*'19_Расчет_аналитики'!BB1572,MeanMinAge04)))</f>
        <v/>
      </c>
      <c r="BC1507">
        <f>IF(OR(('19_Расчет_аналитики'!BC1423-'19_Расчет_аналитики'!BC1451)=0,4&lt;='01_Вводные'!$B$297),0,('19_Расчет_аналитики'!BC1423-'19_Расчет_аналитики'!BC1451)*IF('01_Вводные'!$B$239="Да",MeanMinAge04+'19_Расчет_аналитики'!BC1572*SUMIF(ThresholdAge04,"&lt;"&amp;'19_Расчет_аналитики'!BC1572,WeightedRevAge04)-SUMIF(ThresholdAge04,"&lt;"&amp;'19_Расчет_аналитики'!BC1572,WeightedMinAge04),MAX(CapacityAge04*'01_Вводные'!$B$218*'19_Расчет_аналитики'!BC1572,MeanMinAge04)))</f>
        <v/>
      </c>
      <c r="BD1507">
        <f>IF(OR(('19_Расчет_аналитики'!BD1423-'19_Расчет_аналитики'!BD1451)=0,4&lt;='01_Вводные'!$B$297),0,('19_Расчет_аналитики'!BD1423-'19_Расчет_аналитики'!BD1451)*IF('01_Вводные'!$B$239="Да",MeanMinAge04+'19_Расчет_аналитики'!BD1572*SUMIF(ThresholdAge04,"&lt;"&amp;'19_Расчет_аналитики'!BD1572,WeightedRevAge04)-SUMIF(ThresholdAge04,"&lt;"&amp;'19_Расчет_аналитики'!BD1572,WeightedMinAge04),MAX(CapacityAge04*'01_Вводные'!$B$218*'19_Расчет_аналитики'!BD1572,MeanMinAge04)))</f>
        <v/>
      </c>
      <c r="BE1507">
        <f>IF(OR(('19_Расчет_аналитики'!BE1423-'19_Расчет_аналитики'!BE1451)=0,4&lt;='01_Вводные'!$B$297),0,('19_Расчет_аналитики'!BE1423-'19_Расчет_аналитики'!BE1451)*IF('01_Вводные'!$B$239="Да",MeanMinAge04+'19_Расчет_аналитики'!BE1572*SUMIF(ThresholdAge04,"&lt;"&amp;'19_Расчет_аналитики'!BE1572,WeightedRevAge04)-SUMIF(ThresholdAge04,"&lt;"&amp;'19_Расчет_аналитики'!BE1572,WeightedMinAge04),MAX(CapacityAge04*'01_Вводные'!$B$218*'19_Расчет_аналитики'!BE1572,MeanMinAge04)))</f>
        <v/>
      </c>
      <c r="BF1507">
        <f>IF(OR(('19_Расчет_аналитики'!BF1423-'19_Расчет_аналитики'!BF1451)=0,4&lt;='01_Вводные'!$B$297),0,('19_Расчет_аналитики'!BF1423-'19_Расчет_аналитики'!BF1451)*IF('01_Вводные'!$B$239="Да",MeanMinAge04+'19_Расчет_аналитики'!BF1572*SUMIF(ThresholdAge04,"&lt;"&amp;'19_Расчет_аналитики'!BF1572,WeightedRevAge04)-SUMIF(ThresholdAge04,"&lt;"&amp;'19_Расчет_аналитики'!BF1572,WeightedMinAge04),MAX(CapacityAge04*'01_Вводные'!$B$218*'19_Расчет_аналитики'!BF1572,MeanMinAge04)))</f>
        <v/>
      </c>
      <c r="BG1507">
        <f>IF(OR(('19_Расчет_аналитики'!BG1423-'19_Расчет_аналитики'!BG1451)=0,4&lt;='01_Вводные'!$B$297),0,('19_Расчет_аналитики'!BG1423-'19_Расчет_аналитики'!BG1451)*IF('01_Вводные'!$B$239="Да",MeanMinAge04+'19_Расчет_аналитики'!BG1572*SUMIF(ThresholdAge04,"&lt;"&amp;'19_Расчет_аналитики'!BG1572,WeightedRevAge04)-SUMIF(ThresholdAge04,"&lt;"&amp;'19_Расчет_аналитики'!BG1572,WeightedMinAge04),MAX(CapacityAge04*'01_Вводные'!$B$218*'19_Расчет_аналитики'!BG1572,MeanMinAge04)))</f>
        <v/>
      </c>
      <c r="BH1507">
        <f>IF(OR(('19_Расчет_аналитики'!BH1423-'19_Расчет_аналитики'!BH1451)=0,4&lt;='01_Вводные'!$B$297),0,('19_Расчет_аналитики'!BH1423-'19_Расчет_аналитики'!BH1451)*IF('01_Вводные'!$B$239="Да",MeanMinAge04+'19_Расчет_аналитики'!BH1572*SUMIF(ThresholdAge04,"&lt;"&amp;'19_Расчет_аналитики'!BH1572,WeightedRevAge04)-SUMIF(ThresholdAge04,"&lt;"&amp;'19_Расчет_аналитики'!BH1572,WeightedMinAge04),MAX(CapacityAge04*'01_Вводные'!$B$218*'19_Расчет_аналитики'!BH1572,MeanMinAge04)))</f>
        <v/>
      </c>
      <c r="BI1507">
        <f>IF(OR(('19_Расчет_аналитики'!BI1423-'19_Расчет_аналитики'!BI1451)=0,4&lt;='01_Вводные'!$B$297),0,('19_Расчет_аналитики'!BI1423-'19_Расчет_аналитики'!BI1451)*IF('01_Вводные'!$B$239="Да",MeanMinAge04+'19_Расчет_аналитики'!BI1572*SUMIF(ThresholdAge04,"&lt;"&amp;'19_Расчет_аналитики'!BI1572,WeightedRevAge04)-SUMIF(ThresholdAge04,"&lt;"&amp;'19_Расчет_аналитики'!BI1572,WeightedMinAge04),MAX(CapacityAge04*'01_Вводные'!$B$218*'19_Расчет_аналитики'!BI1572,MeanMinAge04)))</f>
        <v/>
      </c>
      <c r="BJ1507">
        <f>IF(OR(('19_Расчет_аналитики'!BJ1423-'19_Расчет_аналитики'!BJ1451)=0,4&lt;='01_Вводные'!$B$297),0,('19_Расчет_аналитики'!BJ1423-'19_Расчет_аналитики'!BJ1451)*IF('01_Вводные'!$B$239="Да",MeanMinAge04+'19_Расчет_аналитики'!BJ1572*SUMIF(ThresholdAge04,"&lt;"&amp;'19_Расчет_аналитики'!BJ1572,WeightedRevAge04)-SUMIF(ThresholdAge04,"&lt;"&amp;'19_Расчет_аналитики'!BJ1572,WeightedMinAge04),MAX(CapacityAge04*'01_Вводные'!$B$218*'19_Расчет_аналитики'!BJ1572,MeanMinAge04)))</f>
        <v/>
      </c>
      <c r="BK1507">
        <f>IF(OR(('19_Расчет_аналитики'!BK1423-'19_Расчет_аналитики'!BK1451)=0,4&lt;='01_Вводные'!$B$297),0,('19_Расчет_аналитики'!BK1423-'19_Расчет_аналитики'!BK1451)*IF('01_Вводные'!$B$239="Да",MeanMinAge04+'19_Расчет_аналитики'!BK1572*SUMIF(ThresholdAge04,"&lt;"&amp;'19_Расчет_аналитики'!BK1572,WeightedRevAge04)-SUMIF(ThresholdAge04,"&lt;"&amp;'19_Расчет_аналитики'!BK1572,WeightedMinAge04),MAX(CapacityAge04*'01_Вводные'!$B$218*'19_Расчет_аналитики'!BK1572,MeanMinAge04)))</f>
        <v/>
      </c>
      <c r="BL1507">
        <f>IF(OR(('19_Расчет_аналитики'!BL1423-'19_Расчет_аналитики'!BL1451)=0,4&lt;='01_Вводные'!$B$297),0,('19_Расчет_аналитики'!BL1423-'19_Расчет_аналитики'!BL1451)*IF('01_Вводные'!$B$239="Да",MeanMinAge04+'19_Расчет_аналитики'!BL1572*SUMIF(ThresholdAge04,"&lt;"&amp;'19_Расчет_аналитики'!BL1572,WeightedRevAge04)-SUMIF(ThresholdAge04,"&lt;"&amp;'19_Расчет_аналитики'!BL1572,WeightedMinAge04),MAX(CapacityAge04*'01_Вводные'!$B$218*'19_Расчет_аналитики'!BL1572,MeanMinAge04)))</f>
        <v/>
      </c>
      <c r="BM1507">
        <f>IF(OR(('19_Расчет_аналитики'!BM1423-'19_Расчет_аналитики'!BM1451)=0,4&lt;='01_Вводные'!$B$297),0,('19_Расчет_аналитики'!BM1423-'19_Расчет_аналитики'!BM1451)*IF('01_Вводные'!$B$239="Да",MeanMinAge04+'19_Расчет_аналитики'!BM1572*SUMIF(ThresholdAge04,"&lt;"&amp;'19_Расчет_аналитики'!BM1572,WeightedRevAge04)-SUMIF(ThresholdAge04,"&lt;"&amp;'19_Расчет_аналитики'!BM1572,WeightedMinAge04),MAX(CapacityAge04*'01_Вводные'!$B$218*'19_Расчет_аналитики'!BM1572,MeanMinAge04)))</f>
        <v/>
      </c>
      <c r="BN1507">
        <f>IF(OR(('19_Расчет_аналитики'!BN1423-'19_Расчет_аналитики'!BN1451)=0,4&lt;='01_Вводные'!$B$297),0,('19_Расчет_аналитики'!BN1423-'19_Расчет_аналитики'!BN1451)*IF('01_Вводные'!$B$239="Да",MeanMinAge04+'19_Расчет_аналитики'!BN1572*SUMIF(ThresholdAge04,"&lt;"&amp;'19_Расчет_аналитики'!BN1572,WeightedRevAge04)-SUMIF(ThresholdAge04,"&lt;"&amp;'19_Расчет_аналитики'!BN1572,WeightedMinAge04),MAX(CapacityAge04*'01_Вводные'!$B$218*'19_Расчет_аналитики'!BN1572,MeanMinAge04)))</f>
        <v/>
      </c>
      <c r="BO1507">
        <f>IF(OR(('19_Расчет_аналитики'!BO1423-'19_Расчет_аналитики'!BO1451)=0,4&lt;='01_Вводные'!$B$297),0,('19_Расчет_аналитики'!BO1423-'19_Расчет_аналитики'!BO1451)*IF('01_Вводные'!$B$239="Да",MeanMinAge04+'19_Расчет_аналитики'!BO1572*SUMIF(ThresholdAge04,"&lt;"&amp;'19_Расчет_аналитики'!BO1572,WeightedRevAge04)-SUMIF(ThresholdAge04,"&lt;"&amp;'19_Расчет_аналитики'!BO1572,WeightedMinAge04),MAX(CapacityAge04*'01_Вводные'!$B$218*'19_Расчет_аналитики'!BO1572,MeanMinAge04)))</f>
        <v/>
      </c>
    </row>
    <row r="1508">
      <c r="B1508">
        <f>IF(OR(('06_Сеть_и_дети'!B57-'06_Сеть_и_дети'!B85)=0,5&lt;='01_Вводные'!$B$297),0,('06_Сеть_и_дети'!B57-'06_Сеть_и_дети'!B85)*IF('01_Вводные'!$B$239="Да",MeanMinAge05+'19_Расчет_аналитики'!B1572*SUMIF(ThresholdAge05,"&lt;"&amp;'19_Расчет_аналитики'!B1572,WeightedRevAge05)-SUMIF(ThresholdAge05,"&lt;"&amp;'19_Расчет_аналитики'!B1572,WeightedMinAge05),MAX(CapacityAge05*'01_Вводные'!$B$218*'19_Расчет_аналитики'!B1572,MeanMinAge05)))</f>
        <v/>
      </c>
      <c r="C1508">
        <f>IF(OR(('06_Сеть_и_дети'!C57-'06_Сеть_и_дети'!C85)=0,5&lt;='01_Вводные'!$B$297),0,('06_Сеть_и_дети'!C57-'06_Сеть_и_дети'!C85)*IF('01_Вводные'!$B$239="Да",MeanMinAge05+'19_Расчет_аналитики'!C1572*SUMIF(ThresholdAge05,"&lt;"&amp;'19_Расчет_аналитики'!C1572,WeightedRevAge05)-SUMIF(ThresholdAge05,"&lt;"&amp;'19_Расчет_аналитики'!C1572,WeightedMinAge05),MAX(CapacityAge05*'01_Вводные'!$B$218*'19_Расчет_аналитики'!C1572,MeanMinAge05)))</f>
        <v/>
      </c>
      <c r="D1508">
        <f>IF(OR(('06_Сеть_и_дети'!D57-'06_Сеть_и_дети'!D85)=0,5&lt;='01_Вводные'!$B$297),0,('06_Сеть_и_дети'!D57-'06_Сеть_и_дети'!D85)*IF('01_Вводные'!$B$239="Да",MeanMinAge05+'19_Расчет_аналитики'!D1572*SUMIF(ThresholdAge05,"&lt;"&amp;'19_Расчет_аналитики'!D1572,WeightedRevAge05)-SUMIF(ThresholdAge05,"&lt;"&amp;'19_Расчет_аналитики'!D1572,WeightedMinAge05),MAX(CapacityAge05*'01_Вводные'!$B$218*'19_Расчет_аналитики'!D1572,MeanMinAge05)))</f>
        <v/>
      </c>
      <c r="E1508">
        <f>IF(OR(('06_Сеть_и_дети'!E57-'06_Сеть_и_дети'!E85)=0,5&lt;='01_Вводные'!$B$297),0,('06_Сеть_и_дети'!E57-'06_Сеть_и_дети'!E85)*IF('01_Вводные'!$B$239="Да",MeanMinAge05+'19_Расчет_аналитики'!E1572*SUMIF(ThresholdAge05,"&lt;"&amp;'19_Расчет_аналитики'!E1572,WeightedRevAge05)-SUMIF(ThresholdAge05,"&lt;"&amp;'19_Расчет_аналитики'!E1572,WeightedMinAge05),MAX(CapacityAge05*'01_Вводные'!$B$218*'19_Расчет_аналитики'!E1572,MeanMinAge05)))</f>
        <v/>
      </c>
      <c r="F1508">
        <f>IF(OR(('19_Расчет_аналитики'!F1424-'19_Расчет_аналитики'!F1452)=0,5&lt;='01_Вводные'!$B$297),0,('19_Расчет_аналитики'!F1424-'19_Расчет_аналитики'!F1452)*IF('01_Вводные'!$B$239="Да",MeanMinAge05+'19_Расчет_аналитики'!F1572*SUMIF(ThresholdAge05,"&lt;"&amp;'19_Расчет_аналитики'!F1572,WeightedRevAge05)-SUMIF(ThresholdAge05,"&lt;"&amp;'19_Расчет_аналитики'!F1572,WeightedMinAge05),MAX(CapacityAge05*'01_Вводные'!$B$218*'19_Расчет_аналитики'!F1572,MeanMinAge05)))</f>
        <v/>
      </c>
      <c r="G1508">
        <f>IF(OR(('19_Расчет_аналитики'!G1424-'19_Расчет_аналитики'!G1452)=0,5&lt;='01_Вводные'!$B$297),0,('19_Расчет_аналитики'!G1424-'19_Расчет_аналитики'!G1452)*IF('01_Вводные'!$B$239="Да",MeanMinAge05+'19_Расчет_аналитики'!G1572*SUMIF(ThresholdAge05,"&lt;"&amp;'19_Расчет_аналитики'!G1572,WeightedRevAge05)-SUMIF(ThresholdAge05,"&lt;"&amp;'19_Расчет_аналитики'!G1572,WeightedMinAge05),MAX(CapacityAge05*'01_Вводные'!$B$218*'19_Расчет_аналитики'!G1572,MeanMinAge05)))</f>
        <v/>
      </c>
      <c r="H1508">
        <f>IF(OR(('19_Расчет_аналитики'!H1424-'19_Расчет_аналитики'!H1452)=0,5&lt;='01_Вводные'!$B$297),0,('19_Расчет_аналитики'!H1424-'19_Расчет_аналитики'!H1452)*IF('01_Вводные'!$B$239="Да",MeanMinAge05+'19_Расчет_аналитики'!H1572*SUMIF(ThresholdAge05,"&lt;"&amp;'19_Расчет_аналитики'!H1572,WeightedRevAge05)-SUMIF(ThresholdAge05,"&lt;"&amp;'19_Расчет_аналитики'!H1572,WeightedMinAge05),MAX(CapacityAge05*'01_Вводные'!$B$218*'19_Расчет_аналитики'!H1572,MeanMinAge05)))</f>
        <v/>
      </c>
      <c r="I1508">
        <f>IF(OR(('19_Расчет_аналитики'!I1424-'19_Расчет_аналитики'!I1452)=0,5&lt;='01_Вводные'!$B$297),0,('19_Расчет_аналитики'!I1424-'19_Расчет_аналитики'!I1452)*IF('01_Вводные'!$B$239="Да",MeanMinAge05+'19_Расчет_аналитики'!I1572*SUMIF(ThresholdAge05,"&lt;"&amp;'19_Расчет_аналитики'!I1572,WeightedRevAge05)-SUMIF(ThresholdAge05,"&lt;"&amp;'19_Расчет_аналитики'!I1572,WeightedMinAge05),MAX(CapacityAge05*'01_Вводные'!$B$218*'19_Расчет_аналитики'!I1572,MeanMinAge05)))</f>
        <v/>
      </c>
      <c r="J1508">
        <f>IF(OR(('19_Расчет_аналитики'!J1424-'19_Расчет_аналитики'!J1452)=0,5&lt;='01_Вводные'!$B$297),0,('19_Расчет_аналитики'!J1424-'19_Расчет_аналитики'!J1452)*IF('01_Вводные'!$B$239="Да",MeanMinAge05+'19_Расчет_аналитики'!J1572*SUMIF(ThresholdAge05,"&lt;"&amp;'19_Расчет_аналитики'!J1572,WeightedRevAge05)-SUMIF(ThresholdAge05,"&lt;"&amp;'19_Расчет_аналитики'!J1572,WeightedMinAge05),MAX(CapacityAge05*'01_Вводные'!$B$218*'19_Расчет_аналитики'!J1572,MeanMinAge05)))</f>
        <v/>
      </c>
      <c r="K1508">
        <f>IF(OR(('19_Расчет_аналитики'!K1424-'19_Расчет_аналитики'!K1452)=0,5&lt;='01_Вводные'!$B$297),0,('19_Расчет_аналитики'!K1424-'19_Расчет_аналитики'!K1452)*IF('01_Вводные'!$B$239="Да",MeanMinAge05+'19_Расчет_аналитики'!K1572*SUMIF(ThresholdAge05,"&lt;"&amp;'19_Расчет_аналитики'!K1572,WeightedRevAge05)-SUMIF(ThresholdAge05,"&lt;"&amp;'19_Расчет_аналитики'!K1572,WeightedMinAge05),MAX(CapacityAge05*'01_Вводные'!$B$218*'19_Расчет_аналитики'!K1572,MeanMinAge05)))</f>
        <v/>
      </c>
      <c r="L1508">
        <f>IF(OR(('19_Расчет_аналитики'!L1424-'19_Расчет_аналитики'!L1452)=0,5&lt;='01_Вводные'!$B$297),0,('19_Расчет_аналитики'!L1424-'19_Расчет_аналитики'!L1452)*IF('01_Вводные'!$B$239="Да",MeanMinAge05+'19_Расчет_аналитики'!L1572*SUMIF(ThresholdAge05,"&lt;"&amp;'19_Расчет_аналитики'!L1572,WeightedRevAge05)-SUMIF(ThresholdAge05,"&lt;"&amp;'19_Расчет_аналитики'!L1572,WeightedMinAge05),MAX(CapacityAge05*'01_Вводные'!$B$218*'19_Расчет_аналитики'!L1572,MeanMinAge05)))</f>
        <v/>
      </c>
      <c r="M1508">
        <f>IF(OR(('19_Расчет_аналитики'!M1424-'19_Расчет_аналитики'!M1452)=0,5&lt;='01_Вводные'!$B$297),0,('19_Расчет_аналитики'!M1424-'19_Расчет_аналитики'!M1452)*IF('01_Вводные'!$B$239="Да",MeanMinAge05+'19_Расчет_аналитики'!M1572*SUMIF(ThresholdAge05,"&lt;"&amp;'19_Расчет_аналитики'!M1572,WeightedRevAge05)-SUMIF(ThresholdAge05,"&lt;"&amp;'19_Расчет_аналитики'!M1572,WeightedMinAge05),MAX(CapacityAge05*'01_Вводные'!$B$218*'19_Расчет_аналитики'!M1572,MeanMinAge05)))</f>
        <v/>
      </c>
      <c r="N1508">
        <f>IF(OR(('19_Расчет_аналитики'!N1424-'19_Расчет_аналитики'!N1452)=0,5&lt;='01_Вводные'!$B$297),0,('19_Расчет_аналитики'!N1424-'19_Расчет_аналитики'!N1452)*IF('01_Вводные'!$B$239="Да",MeanMinAge05+'19_Расчет_аналитики'!N1572*SUMIF(ThresholdAge05,"&lt;"&amp;'19_Расчет_аналитики'!N1572,WeightedRevAge05)-SUMIF(ThresholdAge05,"&lt;"&amp;'19_Расчет_аналитики'!N1572,WeightedMinAge05),MAX(CapacityAge05*'01_Вводные'!$B$218*'19_Расчет_аналитики'!N1572,MeanMinAge05)))</f>
        <v/>
      </c>
      <c r="O1508">
        <f>IF(OR(('19_Расчет_аналитики'!O1424-'19_Расчет_аналитики'!O1452)=0,5&lt;='01_Вводные'!$B$297),0,('19_Расчет_аналитики'!O1424-'19_Расчет_аналитики'!O1452)*IF('01_Вводные'!$B$239="Да",MeanMinAge05+'19_Расчет_аналитики'!O1572*SUMIF(ThresholdAge05,"&lt;"&amp;'19_Расчет_аналитики'!O1572,WeightedRevAge05)-SUMIF(ThresholdAge05,"&lt;"&amp;'19_Расчет_аналитики'!O1572,WeightedMinAge05),MAX(CapacityAge05*'01_Вводные'!$B$218*'19_Расчет_аналитики'!O1572,MeanMinAge05)))</f>
        <v/>
      </c>
      <c r="P1508">
        <f>IF(OR(('19_Расчет_аналитики'!P1424-'19_Расчет_аналитики'!P1452)=0,5&lt;='01_Вводные'!$B$297),0,('19_Расчет_аналитики'!P1424-'19_Расчет_аналитики'!P1452)*IF('01_Вводные'!$B$239="Да",MeanMinAge05+'19_Расчет_аналитики'!P1572*SUMIF(ThresholdAge05,"&lt;"&amp;'19_Расчет_аналитики'!P1572,WeightedRevAge05)-SUMIF(ThresholdAge05,"&lt;"&amp;'19_Расчет_аналитики'!P1572,WeightedMinAge05),MAX(CapacityAge05*'01_Вводные'!$B$218*'19_Расчет_аналитики'!P1572,MeanMinAge05)))</f>
        <v/>
      </c>
      <c r="Q1508">
        <f>IF(OR(('19_Расчет_аналитики'!Q1424-'19_Расчет_аналитики'!Q1452)=0,5&lt;='01_Вводные'!$B$297),0,('19_Расчет_аналитики'!Q1424-'19_Расчет_аналитики'!Q1452)*IF('01_Вводные'!$B$239="Да",MeanMinAge05+'19_Расчет_аналитики'!Q1572*SUMIF(ThresholdAge05,"&lt;"&amp;'19_Расчет_аналитики'!Q1572,WeightedRevAge05)-SUMIF(ThresholdAge05,"&lt;"&amp;'19_Расчет_аналитики'!Q1572,WeightedMinAge05),MAX(CapacityAge05*'01_Вводные'!$B$218*'19_Расчет_аналитики'!Q1572,MeanMinAge05)))</f>
        <v/>
      </c>
      <c r="R1508">
        <f>IF(OR(('19_Расчет_аналитики'!R1424-'19_Расчет_аналитики'!R1452)=0,5&lt;='01_Вводные'!$B$297),0,('19_Расчет_аналитики'!R1424-'19_Расчет_аналитики'!R1452)*IF('01_Вводные'!$B$239="Да",MeanMinAge05+'19_Расчет_аналитики'!R1572*SUMIF(ThresholdAge05,"&lt;"&amp;'19_Расчет_аналитики'!R1572,WeightedRevAge05)-SUMIF(ThresholdAge05,"&lt;"&amp;'19_Расчет_аналитики'!R1572,WeightedMinAge05),MAX(CapacityAge05*'01_Вводные'!$B$218*'19_Расчет_аналитики'!R1572,MeanMinAge05)))</f>
        <v/>
      </c>
      <c r="S1508">
        <f>IF(OR(('19_Расчет_аналитики'!S1424-'19_Расчет_аналитики'!S1452)=0,5&lt;='01_Вводные'!$B$297),0,('19_Расчет_аналитики'!S1424-'19_Расчет_аналитики'!S1452)*IF('01_Вводные'!$B$239="Да",MeanMinAge05+'19_Расчет_аналитики'!S1572*SUMIF(ThresholdAge05,"&lt;"&amp;'19_Расчет_аналитики'!S1572,WeightedRevAge05)-SUMIF(ThresholdAge05,"&lt;"&amp;'19_Расчет_аналитики'!S1572,WeightedMinAge05),MAX(CapacityAge05*'01_Вводные'!$B$218*'19_Расчет_аналитики'!S1572,MeanMinAge05)))</f>
        <v/>
      </c>
      <c r="T1508">
        <f>IF(OR(('19_Расчет_аналитики'!T1424-'19_Расчет_аналитики'!T1452)=0,5&lt;='01_Вводные'!$B$297),0,('19_Расчет_аналитики'!T1424-'19_Расчет_аналитики'!T1452)*IF('01_Вводные'!$B$239="Да",MeanMinAge05+'19_Расчет_аналитики'!T1572*SUMIF(ThresholdAge05,"&lt;"&amp;'19_Расчет_аналитики'!T1572,WeightedRevAge05)-SUMIF(ThresholdAge05,"&lt;"&amp;'19_Расчет_аналитики'!T1572,WeightedMinAge05),MAX(CapacityAge05*'01_Вводные'!$B$218*'19_Расчет_аналитики'!T1572,MeanMinAge05)))</f>
        <v/>
      </c>
      <c r="U1508">
        <f>IF(OR(('19_Расчет_аналитики'!U1424-'19_Расчет_аналитики'!U1452)=0,5&lt;='01_Вводные'!$B$297),0,('19_Расчет_аналитики'!U1424-'19_Расчет_аналитики'!U1452)*IF('01_Вводные'!$B$239="Да",MeanMinAge05+'19_Расчет_аналитики'!U1572*SUMIF(ThresholdAge05,"&lt;"&amp;'19_Расчет_аналитики'!U1572,WeightedRevAge05)-SUMIF(ThresholdAge05,"&lt;"&amp;'19_Расчет_аналитики'!U1572,WeightedMinAge05),MAX(CapacityAge05*'01_Вводные'!$B$218*'19_Расчет_аналитики'!U1572,MeanMinAge05)))</f>
        <v/>
      </c>
      <c r="V1508">
        <f>IF(OR(('19_Расчет_аналитики'!V1424-'19_Расчет_аналитики'!V1452)=0,5&lt;='01_Вводные'!$B$297),0,('19_Расчет_аналитики'!V1424-'19_Расчет_аналитики'!V1452)*IF('01_Вводные'!$B$239="Да",MeanMinAge05+'19_Расчет_аналитики'!V1572*SUMIF(ThresholdAge05,"&lt;"&amp;'19_Расчет_аналитики'!V1572,WeightedRevAge05)-SUMIF(ThresholdAge05,"&lt;"&amp;'19_Расчет_аналитики'!V1572,WeightedMinAge05),MAX(CapacityAge05*'01_Вводные'!$B$218*'19_Расчет_аналитики'!V1572,MeanMinAge05)))</f>
        <v/>
      </c>
      <c r="W1508">
        <f>IF(OR(('19_Расчет_аналитики'!W1424-'19_Расчет_аналитики'!W1452)=0,5&lt;='01_Вводные'!$B$297),0,('19_Расчет_аналитики'!W1424-'19_Расчет_аналитики'!W1452)*IF('01_Вводные'!$B$239="Да",MeanMinAge05+'19_Расчет_аналитики'!W1572*SUMIF(ThresholdAge05,"&lt;"&amp;'19_Расчет_аналитики'!W1572,WeightedRevAge05)-SUMIF(ThresholdAge05,"&lt;"&amp;'19_Расчет_аналитики'!W1572,WeightedMinAge05),MAX(CapacityAge05*'01_Вводные'!$B$218*'19_Расчет_аналитики'!W1572,MeanMinAge05)))</f>
        <v/>
      </c>
      <c r="X1508">
        <f>IF(OR(('19_Расчет_аналитики'!X1424-'19_Расчет_аналитики'!X1452)=0,5&lt;='01_Вводные'!$B$297),0,('19_Расчет_аналитики'!X1424-'19_Расчет_аналитики'!X1452)*IF('01_Вводные'!$B$239="Да",MeanMinAge05+'19_Расчет_аналитики'!X1572*SUMIF(ThresholdAge05,"&lt;"&amp;'19_Расчет_аналитики'!X1572,WeightedRevAge05)-SUMIF(ThresholdAge05,"&lt;"&amp;'19_Расчет_аналитики'!X1572,WeightedMinAge05),MAX(CapacityAge05*'01_Вводные'!$B$218*'19_Расчет_аналитики'!X1572,MeanMinAge05)))</f>
        <v/>
      </c>
      <c r="Y1508">
        <f>IF(OR(('19_Расчет_аналитики'!Y1424-'19_Расчет_аналитики'!Y1452)=0,5&lt;='01_Вводные'!$B$297),0,('19_Расчет_аналитики'!Y1424-'19_Расчет_аналитики'!Y1452)*IF('01_Вводные'!$B$239="Да",MeanMinAge05+'19_Расчет_аналитики'!Y1572*SUMIF(ThresholdAge05,"&lt;"&amp;'19_Расчет_аналитики'!Y1572,WeightedRevAge05)-SUMIF(ThresholdAge05,"&lt;"&amp;'19_Расчет_аналитики'!Y1572,WeightedMinAge05),MAX(CapacityAge05*'01_Вводные'!$B$218*'19_Расчет_аналитики'!Y1572,MeanMinAge05)))</f>
        <v/>
      </c>
      <c r="Z1508">
        <f>IF(OR(('19_Расчет_аналитики'!Z1424-'19_Расчет_аналитики'!Z1452)=0,5&lt;='01_Вводные'!$B$297),0,('19_Расчет_аналитики'!Z1424-'19_Расчет_аналитики'!Z1452)*IF('01_Вводные'!$B$239="Да",MeanMinAge05+'19_Расчет_аналитики'!Z1572*SUMIF(ThresholdAge05,"&lt;"&amp;'19_Расчет_аналитики'!Z1572,WeightedRevAge05)-SUMIF(ThresholdAge05,"&lt;"&amp;'19_Расчет_аналитики'!Z1572,WeightedMinAge05),MAX(CapacityAge05*'01_Вводные'!$B$218*'19_Расчет_аналитики'!Z1572,MeanMinAge05)))</f>
        <v/>
      </c>
      <c r="AA1508">
        <f>IF(OR(('19_Расчет_аналитики'!AA1424-'19_Расчет_аналитики'!AA1452)=0,5&lt;='01_Вводные'!$B$297),0,('19_Расчет_аналитики'!AA1424-'19_Расчет_аналитики'!AA1452)*IF('01_Вводные'!$B$239="Да",MeanMinAge05+'19_Расчет_аналитики'!AA1572*SUMIF(ThresholdAge05,"&lt;"&amp;'19_Расчет_аналитики'!AA1572,WeightedRevAge05)-SUMIF(ThresholdAge05,"&lt;"&amp;'19_Расчет_аналитики'!AA1572,WeightedMinAge05),MAX(CapacityAge05*'01_Вводные'!$B$218*'19_Расчет_аналитики'!AA1572,MeanMinAge05)))</f>
        <v/>
      </c>
      <c r="AB1508">
        <f>IF(OR(('19_Расчет_аналитики'!AB1424-'19_Расчет_аналитики'!AB1452)=0,5&lt;='01_Вводные'!$B$297),0,('19_Расчет_аналитики'!AB1424-'19_Расчет_аналитики'!AB1452)*IF('01_Вводные'!$B$239="Да",MeanMinAge05+'19_Расчет_аналитики'!AB1572*SUMIF(ThresholdAge05,"&lt;"&amp;'19_Расчет_аналитики'!AB1572,WeightedRevAge05)-SUMIF(ThresholdAge05,"&lt;"&amp;'19_Расчет_аналитики'!AB1572,WeightedMinAge05),MAX(CapacityAge05*'01_Вводные'!$B$218*'19_Расчет_аналитики'!AB1572,MeanMinAge05)))</f>
        <v/>
      </c>
      <c r="AC1508">
        <f>IF(OR(('19_Расчет_аналитики'!AC1424-'19_Расчет_аналитики'!AC1452)=0,5&lt;='01_Вводные'!$B$297),0,('19_Расчет_аналитики'!AC1424-'19_Расчет_аналитики'!AC1452)*IF('01_Вводные'!$B$239="Да",MeanMinAge05+'19_Расчет_аналитики'!AC1572*SUMIF(ThresholdAge05,"&lt;"&amp;'19_Расчет_аналитики'!AC1572,WeightedRevAge05)-SUMIF(ThresholdAge05,"&lt;"&amp;'19_Расчет_аналитики'!AC1572,WeightedMinAge05),MAX(CapacityAge05*'01_Вводные'!$B$218*'19_Расчет_аналитики'!AC1572,MeanMinAge05)))</f>
        <v/>
      </c>
      <c r="AD1508">
        <f>IF(OR(('19_Расчет_аналитики'!AD1424-'19_Расчет_аналитики'!AD1452)=0,5&lt;='01_Вводные'!$B$297),0,('19_Расчет_аналитики'!AD1424-'19_Расчет_аналитики'!AD1452)*IF('01_Вводные'!$B$239="Да",MeanMinAge05+'19_Расчет_аналитики'!AD1572*SUMIF(ThresholdAge05,"&lt;"&amp;'19_Расчет_аналитики'!AD1572,WeightedRevAge05)-SUMIF(ThresholdAge05,"&lt;"&amp;'19_Расчет_аналитики'!AD1572,WeightedMinAge05),MAX(CapacityAge05*'01_Вводные'!$B$218*'19_Расчет_аналитики'!AD1572,MeanMinAge05)))</f>
        <v/>
      </c>
      <c r="AE1508">
        <f>IF(OR(('19_Расчет_аналитики'!AE1424-'19_Расчет_аналитики'!AE1452)=0,5&lt;='01_Вводные'!$B$297),0,('19_Расчет_аналитики'!AE1424-'19_Расчет_аналитики'!AE1452)*IF('01_Вводные'!$B$239="Да",MeanMinAge05+'19_Расчет_аналитики'!AE1572*SUMIF(ThresholdAge05,"&lt;"&amp;'19_Расчет_аналитики'!AE1572,WeightedRevAge05)-SUMIF(ThresholdAge05,"&lt;"&amp;'19_Расчет_аналитики'!AE1572,WeightedMinAge05),MAX(CapacityAge05*'01_Вводные'!$B$218*'19_Расчет_аналитики'!AE1572,MeanMinAge05)))</f>
        <v/>
      </c>
      <c r="AF1508">
        <f>IF(OR(('19_Расчет_аналитики'!AF1424-'19_Расчет_аналитики'!AF1452)=0,5&lt;='01_Вводные'!$B$297),0,('19_Расчет_аналитики'!AF1424-'19_Расчет_аналитики'!AF1452)*IF('01_Вводные'!$B$239="Да",MeanMinAge05+'19_Расчет_аналитики'!AF1572*SUMIF(ThresholdAge05,"&lt;"&amp;'19_Расчет_аналитики'!AF1572,WeightedRevAge05)-SUMIF(ThresholdAge05,"&lt;"&amp;'19_Расчет_аналитики'!AF1572,WeightedMinAge05),MAX(CapacityAge05*'01_Вводные'!$B$218*'19_Расчет_аналитики'!AF1572,MeanMinAge05)))</f>
        <v/>
      </c>
      <c r="AG1508">
        <f>IF(OR(('19_Расчет_аналитики'!AG1424-'19_Расчет_аналитики'!AG1452)=0,5&lt;='01_Вводные'!$B$297),0,('19_Расчет_аналитики'!AG1424-'19_Расчет_аналитики'!AG1452)*IF('01_Вводные'!$B$239="Да",MeanMinAge05+'19_Расчет_аналитики'!AG1572*SUMIF(ThresholdAge05,"&lt;"&amp;'19_Расчет_аналитики'!AG1572,WeightedRevAge05)-SUMIF(ThresholdAge05,"&lt;"&amp;'19_Расчет_аналитики'!AG1572,WeightedMinAge05),MAX(CapacityAge05*'01_Вводные'!$B$218*'19_Расчет_аналитики'!AG1572,MeanMinAge05)))</f>
        <v/>
      </c>
      <c r="AH1508">
        <f>IF(OR(('19_Расчет_аналитики'!AH1424-'19_Расчет_аналитики'!AH1452)=0,5&lt;='01_Вводные'!$B$297),0,('19_Расчет_аналитики'!AH1424-'19_Расчет_аналитики'!AH1452)*IF('01_Вводные'!$B$239="Да",MeanMinAge05+'19_Расчет_аналитики'!AH1572*SUMIF(ThresholdAge05,"&lt;"&amp;'19_Расчет_аналитики'!AH1572,WeightedRevAge05)-SUMIF(ThresholdAge05,"&lt;"&amp;'19_Расчет_аналитики'!AH1572,WeightedMinAge05),MAX(CapacityAge05*'01_Вводные'!$B$218*'19_Расчет_аналитики'!AH1572,MeanMinAge05)))</f>
        <v/>
      </c>
      <c r="AI1508">
        <f>IF(OR(('19_Расчет_аналитики'!AI1424-'19_Расчет_аналитики'!AI1452)=0,5&lt;='01_Вводные'!$B$297),0,('19_Расчет_аналитики'!AI1424-'19_Расчет_аналитики'!AI1452)*IF('01_Вводные'!$B$239="Да",MeanMinAge05+'19_Расчет_аналитики'!AI1572*SUMIF(ThresholdAge05,"&lt;"&amp;'19_Расчет_аналитики'!AI1572,WeightedRevAge05)-SUMIF(ThresholdAge05,"&lt;"&amp;'19_Расчет_аналитики'!AI1572,WeightedMinAge05),MAX(CapacityAge05*'01_Вводные'!$B$218*'19_Расчет_аналитики'!AI1572,MeanMinAge05)))</f>
        <v/>
      </c>
      <c r="AJ1508">
        <f>IF(OR(('19_Расчет_аналитики'!AJ1424-'19_Расчет_аналитики'!AJ1452)=0,5&lt;='01_Вводные'!$B$297),0,('19_Расчет_аналитики'!AJ1424-'19_Расчет_аналитики'!AJ1452)*IF('01_Вводные'!$B$239="Да",MeanMinAge05+'19_Расчет_аналитики'!AJ1572*SUMIF(ThresholdAge05,"&lt;"&amp;'19_Расчет_аналитики'!AJ1572,WeightedRevAge05)-SUMIF(ThresholdAge05,"&lt;"&amp;'19_Расчет_аналитики'!AJ1572,WeightedMinAge05),MAX(CapacityAge05*'01_Вводные'!$B$218*'19_Расчет_аналитики'!AJ1572,MeanMinAge05)))</f>
        <v/>
      </c>
      <c r="AK1508">
        <f>IF(OR(('19_Расчет_аналитики'!AK1424-'19_Расчет_аналитики'!AK1452)=0,5&lt;='01_Вводные'!$B$297),0,('19_Расчет_аналитики'!AK1424-'19_Расчет_аналитики'!AK1452)*IF('01_Вводные'!$B$239="Да",MeanMinAge05+'19_Расчет_аналитики'!AK1572*SUMIF(ThresholdAge05,"&lt;"&amp;'19_Расчет_аналитики'!AK1572,WeightedRevAge05)-SUMIF(ThresholdAge05,"&lt;"&amp;'19_Расчет_аналитики'!AK1572,WeightedMinAge05),MAX(CapacityAge05*'01_Вводные'!$B$218*'19_Расчет_аналитики'!AK1572,MeanMinAge05)))</f>
        <v/>
      </c>
      <c r="AL1508">
        <f>IF(OR(('19_Расчет_аналитики'!AL1424-'19_Расчет_аналитики'!AL1452)=0,5&lt;='01_Вводные'!$B$297),0,('19_Расчет_аналитики'!AL1424-'19_Расчет_аналитики'!AL1452)*IF('01_Вводные'!$B$239="Да",MeanMinAge05+'19_Расчет_аналитики'!AL1572*SUMIF(ThresholdAge05,"&lt;"&amp;'19_Расчет_аналитики'!AL1572,WeightedRevAge05)-SUMIF(ThresholdAge05,"&lt;"&amp;'19_Расчет_аналитики'!AL1572,WeightedMinAge05),MAX(CapacityAge05*'01_Вводные'!$B$218*'19_Расчет_аналитики'!AL1572,MeanMinAge05)))</f>
        <v/>
      </c>
      <c r="AM1508">
        <f>IF(OR(('19_Расчет_аналитики'!AM1424-'19_Расчет_аналитики'!AM1452)=0,5&lt;='01_Вводные'!$B$297),0,('19_Расчет_аналитики'!AM1424-'19_Расчет_аналитики'!AM1452)*IF('01_Вводные'!$B$239="Да",MeanMinAge05+'19_Расчет_аналитики'!AM1572*SUMIF(ThresholdAge05,"&lt;"&amp;'19_Расчет_аналитики'!AM1572,WeightedRevAge05)-SUMIF(ThresholdAge05,"&lt;"&amp;'19_Расчет_аналитики'!AM1572,WeightedMinAge05),MAX(CapacityAge05*'01_Вводные'!$B$218*'19_Расчет_аналитики'!AM1572,MeanMinAge05)))</f>
        <v/>
      </c>
      <c r="AN1508">
        <f>IF(OR(('19_Расчет_аналитики'!AN1424-'19_Расчет_аналитики'!AN1452)=0,5&lt;='01_Вводные'!$B$297),0,('19_Расчет_аналитики'!AN1424-'19_Расчет_аналитики'!AN1452)*IF('01_Вводные'!$B$239="Да",MeanMinAge05+'19_Расчет_аналитики'!AN1572*SUMIF(ThresholdAge05,"&lt;"&amp;'19_Расчет_аналитики'!AN1572,WeightedRevAge05)-SUMIF(ThresholdAge05,"&lt;"&amp;'19_Расчет_аналитики'!AN1572,WeightedMinAge05),MAX(CapacityAge05*'01_Вводные'!$B$218*'19_Расчет_аналитики'!AN1572,MeanMinAge05)))</f>
        <v/>
      </c>
      <c r="AO1508">
        <f>IF(OR(('19_Расчет_аналитики'!AO1424-'19_Расчет_аналитики'!AO1452)=0,5&lt;='01_Вводные'!$B$297),0,('19_Расчет_аналитики'!AO1424-'19_Расчет_аналитики'!AO1452)*IF('01_Вводные'!$B$239="Да",MeanMinAge05+'19_Расчет_аналитики'!AO1572*SUMIF(ThresholdAge05,"&lt;"&amp;'19_Расчет_аналитики'!AO1572,WeightedRevAge05)-SUMIF(ThresholdAge05,"&lt;"&amp;'19_Расчет_аналитики'!AO1572,WeightedMinAge05),MAX(CapacityAge05*'01_Вводные'!$B$218*'19_Расчет_аналитики'!AO1572,MeanMinAge05)))</f>
        <v/>
      </c>
      <c r="AP1508">
        <f>IF(OR(('19_Расчет_аналитики'!AP1424-'19_Расчет_аналитики'!AP1452)=0,5&lt;='01_Вводные'!$B$297),0,('19_Расчет_аналитики'!AP1424-'19_Расчет_аналитики'!AP1452)*IF('01_Вводные'!$B$239="Да",MeanMinAge05+'19_Расчет_аналитики'!AP1572*SUMIF(ThresholdAge05,"&lt;"&amp;'19_Расчет_аналитики'!AP1572,WeightedRevAge05)-SUMIF(ThresholdAge05,"&lt;"&amp;'19_Расчет_аналитики'!AP1572,WeightedMinAge05),MAX(CapacityAge05*'01_Вводные'!$B$218*'19_Расчет_аналитики'!AP1572,MeanMinAge05)))</f>
        <v/>
      </c>
      <c r="AQ1508">
        <f>IF(OR(('19_Расчет_аналитики'!AQ1424-'19_Расчет_аналитики'!AQ1452)=0,5&lt;='01_Вводные'!$B$297),0,('19_Расчет_аналитики'!AQ1424-'19_Расчет_аналитики'!AQ1452)*IF('01_Вводные'!$B$239="Да",MeanMinAge05+'19_Расчет_аналитики'!AQ1572*SUMIF(ThresholdAge05,"&lt;"&amp;'19_Расчет_аналитики'!AQ1572,WeightedRevAge05)-SUMIF(ThresholdAge05,"&lt;"&amp;'19_Расчет_аналитики'!AQ1572,WeightedMinAge05),MAX(CapacityAge05*'01_Вводные'!$B$218*'19_Расчет_аналитики'!AQ1572,MeanMinAge05)))</f>
        <v/>
      </c>
      <c r="AR1508">
        <f>IF(OR(('19_Расчет_аналитики'!AR1424-'19_Расчет_аналитики'!AR1452)=0,5&lt;='01_Вводные'!$B$297),0,('19_Расчет_аналитики'!AR1424-'19_Расчет_аналитики'!AR1452)*IF('01_Вводные'!$B$239="Да",MeanMinAge05+'19_Расчет_аналитики'!AR1572*SUMIF(ThresholdAge05,"&lt;"&amp;'19_Расчет_аналитики'!AR1572,WeightedRevAge05)-SUMIF(ThresholdAge05,"&lt;"&amp;'19_Расчет_аналитики'!AR1572,WeightedMinAge05),MAX(CapacityAge05*'01_Вводные'!$B$218*'19_Расчет_аналитики'!AR1572,MeanMinAge05)))</f>
        <v/>
      </c>
      <c r="AS1508">
        <f>IF(OR(('19_Расчет_аналитики'!AS1424-'19_Расчет_аналитики'!AS1452)=0,5&lt;='01_Вводные'!$B$297),0,('19_Расчет_аналитики'!AS1424-'19_Расчет_аналитики'!AS1452)*IF('01_Вводные'!$B$239="Да",MeanMinAge05+'19_Расчет_аналитики'!AS1572*SUMIF(ThresholdAge05,"&lt;"&amp;'19_Расчет_аналитики'!AS1572,WeightedRevAge05)-SUMIF(ThresholdAge05,"&lt;"&amp;'19_Расчет_аналитики'!AS1572,WeightedMinAge05),MAX(CapacityAge05*'01_Вводные'!$B$218*'19_Расчет_аналитики'!AS1572,MeanMinAge05)))</f>
        <v/>
      </c>
      <c r="AT1508">
        <f>IF(OR(('19_Расчет_аналитики'!AT1424-'19_Расчет_аналитики'!AT1452)=0,5&lt;='01_Вводные'!$B$297),0,('19_Расчет_аналитики'!AT1424-'19_Расчет_аналитики'!AT1452)*IF('01_Вводные'!$B$239="Да",MeanMinAge05+'19_Расчет_аналитики'!AT1572*SUMIF(ThresholdAge05,"&lt;"&amp;'19_Расчет_аналитики'!AT1572,WeightedRevAge05)-SUMIF(ThresholdAge05,"&lt;"&amp;'19_Расчет_аналитики'!AT1572,WeightedMinAge05),MAX(CapacityAge05*'01_Вводные'!$B$218*'19_Расчет_аналитики'!AT1572,MeanMinAge05)))</f>
        <v/>
      </c>
      <c r="AU1508">
        <f>IF(OR(('19_Расчет_аналитики'!AU1424-'19_Расчет_аналитики'!AU1452)=0,5&lt;='01_Вводные'!$B$297),0,('19_Расчет_аналитики'!AU1424-'19_Расчет_аналитики'!AU1452)*IF('01_Вводные'!$B$239="Да",MeanMinAge05+'19_Расчет_аналитики'!AU1572*SUMIF(ThresholdAge05,"&lt;"&amp;'19_Расчет_аналитики'!AU1572,WeightedRevAge05)-SUMIF(ThresholdAge05,"&lt;"&amp;'19_Расчет_аналитики'!AU1572,WeightedMinAge05),MAX(CapacityAge05*'01_Вводные'!$B$218*'19_Расчет_аналитики'!AU1572,MeanMinAge05)))</f>
        <v/>
      </c>
      <c r="AV1508">
        <f>IF(OR(('19_Расчет_аналитики'!AV1424-'19_Расчет_аналитики'!AV1452)=0,5&lt;='01_Вводные'!$B$297),0,('19_Расчет_аналитики'!AV1424-'19_Расчет_аналитики'!AV1452)*IF('01_Вводные'!$B$239="Да",MeanMinAge05+'19_Расчет_аналитики'!AV1572*SUMIF(ThresholdAge05,"&lt;"&amp;'19_Расчет_аналитики'!AV1572,WeightedRevAge05)-SUMIF(ThresholdAge05,"&lt;"&amp;'19_Расчет_аналитики'!AV1572,WeightedMinAge05),MAX(CapacityAge05*'01_Вводные'!$B$218*'19_Расчет_аналитики'!AV1572,MeanMinAge05)))</f>
        <v/>
      </c>
      <c r="AW1508">
        <f>IF(OR(('19_Расчет_аналитики'!AW1424-'19_Расчет_аналитики'!AW1452)=0,5&lt;='01_Вводные'!$B$297),0,('19_Расчет_аналитики'!AW1424-'19_Расчет_аналитики'!AW1452)*IF('01_Вводные'!$B$239="Да",MeanMinAge05+'19_Расчет_аналитики'!AW1572*SUMIF(ThresholdAge05,"&lt;"&amp;'19_Расчет_аналитики'!AW1572,WeightedRevAge05)-SUMIF(ThresholdAge05,"&lt;"&amp;'19_Расчет_аналитики'!AW1572,WeightedMinAge05),MAX(CapacityAge05*'01_Вводные'!$B$218*'19_Расчет_аналитики'!AW1572,MeanMinAge05)))</f>
        <v/>
      </c>
      <c r="AX1508">
        <f>IF(OR(('19_Расчет_аналитики'!AX1424-'19_Расчет_аналитики'!AX1452)=0,5&lt;='01_Вводные'!$B$297),0,('19_Расчет_аналитики'!AX1424-'19_Расчет_аналитики'!AX1452)*IF('01_Вводные'!$B$239="Да",MeanMinAge05+'19_Расчет_аналитики'!AX1572*SUMIF(ThresholdAge05,"&lt;"&amp;'19_Расчет_аналитики'!AX1572,WeightedRevAge05)-SUMIF(ThresholdAge05,"&lt;"&amp;'19_Расчет_аналитики'!AX1572,WeightedMinAge05),MAX(CapacityAge05*'01_Вводные'!$B$218*'19_Расчет_аналитики'!AX1572,MeanMinAge05)))</f>
        <v/>
      </c>
      <c r="AY1508">
        <f>IF(OR(('19_Расчет_аналитики'!AY1424-'19_Расчет_аналитики'!AY1452)=0,5&lt;='01_Вводные'!$B$297),0,('19_Расчет_аналитики'!AY1424-'19_Расчет_аналитики'!AY1452)*IF('01_Вводные'!$B$239="Да",MeanMinAge05+'19_Расчет_аналитики'!AY1572*SUMIF(ThresholdAge05,"&lt;"&amp;'19_Расчет_аналитики'!AY1572,WeightedRevAge05)-SUMIF(ThresholdAge05,"&lt;"&amp;'19_Расчет_аналитики'!AY1572,WeightedMinAge05),MAX(CapacityAge05*'01_Вводные'!$B$218*'19_Расчет_аналитики'!AY1572,MeanMinAge05)))</f>
        <v/>
      </c>
      <c r="AZ1508">
        <f>IF(OR(('19_Расчет_аналитики'!AZ1424-'19_Расчет_аналитики'!AZ1452)=0,5&lt;='01_Вводные'!$B$297),0,('19_Расчет_аналитики'!AZ1424-'19_Расчет_аналитики'!AZ1452)*IF('01_Вводные'!$B$239="Да",MeanMinAge05+'19_Расчет_аналитики'!AZ1572*SUMIF(ThresholdAge05,"&lt;"&amp;'19_Расчет_аналитики'!AZ1572,WeightedRevAge05)-SUMIF(ThresholdAge05,"&lt;"&amp;'19_Расчет_аналитики'!AZ1572,WeightedMinAge05),MAX(CapacityAge05*'01_Вводные'!$B$218*'19_Расчет_аналитики'!AZ1572,MeanMinAge05)))</f>
        <v/>
      </c>
      <c r="BA1508">
        <f>IF(OR(('19_Расчет_аналитики'!BA1424-'19_Расчет_аналитики'!BA1452)=0,5&lt;='01_Вводные'!$B$297),0,('19_Расчет_аналитики'!BA1424-'19_Расчет_аналитики'!BA1452)*IF('01_Вводные'!$B$239="Да",MeanMinAge05+'19_Расчет_аналитики'!BA1572*SUMIF(ThresholdAge05,"&lt;"&amp;'19_Расчет_аналитики'!BA1572,WeightedRevAge05)-SUMIF(ThresholdAge05,"&lt;"&amp;'19_Расчет_аналитики'!BA1572,WeightedMinAge05),MAX(CapacityAge05*'01_Вводные'!$B$218*'19_Расчет_аналитики'!BA1572,MeanMinAge05)))</f>
        <v/>
      </c>
      <c r="BB1508">
        <f>IF(OR(('19_Расчет_аналитики'!BB1424-'19_Расчет_аналитики'!BB1452)=0,5&lt;='01_Вводные'!$B$297),0,('19_Расчет_аналитики'!BB1424-'19_Расчет_аналитики'!BB1452)*IF('01_Вводные'!$B$239="Да",MeanMinAge05+'19_Расчет_аналитики'!BB1572*SUMIF(ThresholdAge05,"&lt;"&amp;'19_Расчет_аналитики'!BB1572,WeightedRevAge05)-SUMIF(ThresholdAge05,"&lt;"&amp;'19_Расчет_аналитики'!BB1572,WeightedMinAge05),MAX(CapacityAge05*'01_Вводные'!$B$218*'19_Расчет_аналитики'!BB1572,MeanMinAge05)))</f>
        <v/>
      </c>
      <c r="BC1508">
        <f>IF(OR(('19_Расчет_аналитики'!BC1424-'19_Расчет_аналитики'!BC1452)=0,5&lt;='01_Вводные'!$B$297),0,('19_Расчет_аналитики'!BC1424-'19_Расчет_аналитики'!BC1452)*IF('01_Вводные'!$B$239="Да",MeanMinAge05+'19_Расчет_аналитики'!BC1572*SUMIF(ThresholdAge05,"&lt;"&amp;'19_Расчет_аналитики'!BC1572,WeightedRevAge05)-SUMIF(ThresholdAge05,"&lt;"&amp;'19_Расчет_аналитики'!BC1572,WeightedMinAge05),MAX(CapacityAge05*'01_Вводные'!$B$218*'19_Расчет_аналитики'!BC1572,MeanMinAge05)))</f>
        <v/>
      </c>
      <c r="BD1508">
        <f>IF(OR(('19_Расчет_аналитики'!BD1424-'19_Расчет_аналитики'!BD1452)=0,5&lt;='01_Вводные'!$B$297),0,('19_Расчет_аналитики'!BD1424-'19_Расчет_аналитики'!BD1452)*IF('01_Вводные'!$B$239="Да",MeanMinAge05+'19_Расчет_аналитики'!BD1572*SUMIF(ThresholdAge05,"&lt;"&amp;'19_Расчет_аналитики'!BD1572,WeightedRevAge05)-SUMIF(ThresholdAge05,"&lt;"&amp;'19_Расчет_аналитики'!BD1572,WeightedMinAge05),MAX(CapacityAge05*'01_Вводные'!$B$218*'19_Расчет_аналитики'!BD1572,MeanMinAge05)))</f>
        <v/>
      </c>
      <c r="BE1508">
        <f>IF(OR(('19_Расчет_аналитики'!BE1424-'19_Расчет_аналитики'!BE1452)=0,5&lt;='01_Вводные'!$B$297),0,('19_Расчет_аналитики'!BE1424-'19_Расчет_аналитики'!BE1452)*IF('01_Вводные'!$B$239="Да",MeanMinAge05+'19_Расчет_аналитики'!BE1572*SUMIF(ThresholdAge05,"&lt;"&amp;'19_Расчет_аналитики'!BE1572,WeightedRevAge05)-SUMIF(ThresholdAge05,"&lt;"&amp;'19_Расчет_аналитики'!BE1572,WeightedMinAge05),MAX(CapacityAge05*'01_Вводные'!$B$218*'19_Расчет_аналитики'!BE1572,MeanMinAge05)))</f>
        <v/>
      </c>
      <c r="BF1508">
        <f>IF(OR(('19_Расчет_аналитики'!BF1424-'19_Расчет_аналитики'!BF1452)=0,5&lt;='01_Вводные'!$B$297),0,('19_Расчет_аналитики'!BF1424-'19_Расчет_аналитики'!BF1452)*IF('01_Вводные'!$B$239="Да",MeanMinAge05+'19_Расчет_аналитики'!BF1572*SUMIF(ThresholdAge05,"&lt;"&amp;'19_Расчет_аналитики'!BF1572,WeightedRevAge05)-SUMIF(ThresholdAge05,"&lt;"&amp;'19_Расчет_аналитики'!BF1572,WeightedMinAge05),MAX(CapacityAge05*'01_Вводные'!$B$218*'19_Расчет_аналитики'!BF1572,MeanMinAge05)))</f>
        <v/>
      </c>
      <c r="BG1508">
        <f>IF(OR(('19_Расчет_аналитики'!BG1424-'19_Расчет_аналитики'!BG1452)=0,5&lt;='01_Вводные'!$B$297),0,('19_Расчет_аналитики'!BG1424-'19_Расчет_аналитики'!BG1452)*IF('01_Вводные'!$B$239="Да",MeanMinAge05+'19_Расчет_аналитики'!BG1572*SUMIF(ThresholdAge05,"&lt;"&amp;'19_Расчет_аналитики'!BG1572,WeightedRevAge05)-SUMIF(ThresholdAge05,"&lt;"&amp;'19_Расчет_аналитики'!BG1572,WeightedMinAge05),MAX(CapacityAge05*'01_Вводные'!$B$218*'19_Расчет_аналитики'!BG1572,MeanMinAge05)))</f>
        <v/>
      </c>
      <c r="BH1508">
        <f>IF(OR(('19_Расчет_аналитики'!BH1424-'19_Расчет_аналитики'!BH1452)=0,5&lt;='01_Вводные'!$B$297),0,('19_Расчет_аналитики'!BH1424-'19_Расчет_аналитики'!BH1452)*IF('01_Вводные'!$B$239="Да",MeanMinAge05+'19_Расчет_аналитики'!BH1572*SUMIF(ThresholdAge05,"&lt;"&amp;'19_Расчет_аналитики'!BH1572,WeightedRevAge05)-SUMIF(ThresholdAge05,"&lt;"&amp;'19_Расчет_аналитики'!BH1572,WeightedMinAge05),MAX(CapacityAge05*'01_Вводные'!$B$218*'19_Расчет_аналитики'!BH1572,MeanMinAge05)))</f>
        <v/>
      </c>
      <c r="BI1508">
        <f>IF(OR(('19_Расчет_аналитики'!BI1424-'19_Расчет_аналитики'!BI1452)=0,5&lt;='01_Вводные'!$B$297),0,('19_Расчет_аналитики'!BI1424-'19_Расчет_аналитики'!BI1452)*IF('01_Вводные'!$B$239="Да",MeanMinAge05+'19_Расчет_аналитики'!BI1572*SUMIF(ThresholdAge05,"&lt;"&amp;'19_Расчет_аналитики'!BI1572,WeightedRevAge05)-SUMIF(ThresholdAge05,"&lt;"&amp;'19_Расчет_аналитики'!BI1572,WeightedMinAge05),MAX(CapacityAge05*'01_Вводные'!$B$218*'19_Расчет_аналитики'!BI1572,MeanMinAge05)))</f>
        <v/>
      </c>
      <c r="BJ1508">
        <f>IF(OR(('19_Расчет_аналитики'!BJ1424-'19_Расчет_аналитики'!BJ1452)=0,5&lt;='01_Вводные'!$B$297),0,('19_Расчет_аналитики'!BJ1424-'19_Расчет_аналитики'!BJ1452)*IF('01_Вводные'!$B$239="Да",MeanMinAge05+'19_Расчет_аналитики'!BJ1572*SUMIF(ThresholdAge05,"&lt;"&amp;'19_Расчет_аналитики'!BJ1572,WeightedRevAge05)-SUMIF(ThresholdAge05,"&lt;"&amp;'19_Расчет_аналитики'!BJ1572,WeightedMinAge05),MAX(CapacityAge05*'01_Вводные'!$B$218*'19_Расчет_аналитики'!BJ1572,MeanMinAge05)))</f>
        <v/>
      </c>
      <c r="BK1508">
        <f>IF(OR(('19_Расчет_аналитики'!BK1424-'19_Расчет_аналитики'!BK1452)=0,5&lt;='01_Вводные'!$B$297),0,('19_Расчет_аналитики'!BK1424-'19_Расчет_аналитики'!BK1452)*IF('01_Вводные'!$B$239="Да",MeanMinAge05+'19_Расчет_аналитики'!BK1572*SUMIF(ThresholdAge05,"&lt;"&amp;'19_Расчет_аналитики'!BK1572,WeightedRevAge05)-SUMIF(ThresholdAge05,"&lt;"&amp;'19_Расчет_аналитики'!BK1572,WeightedMinAge05),MAX(CapacityAge05*'01_Вводные'!$B$218*'19_Расчет_аналитики'!BK1572,MeanMinAge05)))</f>
        <v/>
      </c>
      <c r="BL1508">
        <f>IF(OR(('19_Расчет_аналитики'!BL1424-'19_Расчет_аналитики'!BL1452)=0,5&lt;='01_Вводные'!$B$297),0,('19_Расчет_аналитики'!BL1424-'19_Расчет_аналитики'!BL1452)*IF('01_Вводные'!$B$239="Да",MeanMinAge05+'19_Расчет_аналитики'!BL1572*SUMIF(ThresholdAge05,"&lt;"&amp;'19_Расчет_аналитики'!BL1572,WeightedRevAge05)-SUMIF(ThresholdAge05,"&lt;"&amp;'19_Расчет_аналитики'!BL1572,WeightedMinAge05),MAX(CapacityAge05*'01_Вводные'!$B$218*'19_Расчет_аналитики'!BL1572,MeanMinAge05)))</f>
        <v/>
      </c>
      <c r="BM1508">
        <f>IF(OR(('19_Расчет_аналитики'!BM1424-'19_Расчет_аналитики'!BM1452)=0,5&lt;='01_Вводные'!$B$297),0,('19_Расчет_аналитики'!BM1424-'19_Расчет_аналитики'!BM1452)*IF('01_Вводные'!$B$239="Да",MeanMinAge05+'19_Расчет_аналитики'!BM1572*SUMIF(ThresholdAge05,"&lt;"&amp;'19_Расчет_аналитики'!BM1572,WeightedRevAge05)-SUMIF(ThresholdAge05,"&lt;"&amp;'19_Расчет_аналитики'!BM1572,WeightedMinAge05),MAX(CapacityAge05*'01_Вводные'!$B$218*'19_Расчет_аналитики'!BM1572,MeanMinAge05)))</f>
        <v/>
      </c>
      <c r="BN1508">
        <f>IF(OR(('19_Расчет_аналитики'!BN1424-'19_Расчет_аналитики'!BN1452)=0,5&lt;='01_Вводные'!$B$297),0,('19_Расчет_аналитики'!BN1424-'19_Расчет_аналитики'!BN1452)*IF('01_Вводные'!$B$239="Да",MeanMinAge05+'19_Расчет_аналитики'!BN1572*SUMIF(ThresholdAge05,"&lt;"&amp;'19_Расчет_аналитики'!BN1572,WeightedRevAge05)-SUMIF(ThresholdAge05,"&lt;"&amp;'19_Расчет_аналитики'!BN1572,WeightedMinAge05),MAX(CapacityAge05*'01_Вводные'!$B$218*'19_Расчет_аналитики'!BN1572,MeanMinAge05)))</f>
        <v/>
      </c>
      <c r="BO1508">
        <f>IF(OR(('19_Расчет_аналитики'!BO1424-'19_Расчет_аналитики'!BO1452)=0,5&lt;='01_Вводные'!$B$297),0,('19_Расчет_аналитики'!BO1424-'19_Расчет_аналитики'!BO1452)*IF('01_Вводные'!$B$239="Да",MeanMinAge05+'19_Расчет_аналитики'!BO1572*SUMIF(ThresholdAge05,"&lt;"&amp;'19_Расчет_аналитики'!BO1572,WeightedRevAge05)-SUMIF(ThresholdAge05,"&lt;"&amp;'19_Расчет_аналитики'!BO1572,WeightedMinAge05),MAX(CapacityAge05*'01_Вводные'!$B$218*'19_Расчет_аналитики'!BO1572,MeanMinAge05)))</f>
        <v/>
      </c>
    </row>
    <row r="1509">
      <c r="B1509">
        <f>IF(OR(('06_Сеть_и_дети'!B58-'06_Сеть_и_дети'!B86)=0,6&lt;='01_Вводные'!$B$297),0,('06_Сеть_и_дети'!B58-'06_Сеть_и_дети'!B86)*IF('01_Вводные'!$B$239="Да",MeanMinAge06+'19_Расчет_аналитики'!B1572*SUMIF(ThresholdAge06,"&lt;"&amp;'19_Расчет_аналитики'!B1572,WeightedRevAge06)-SUMIF(ThresholdAge06,"&lt;"&amp;'19_Расчет_аналитики'!B1572,WeightedMinAge06),MAX(CapacityAge06*'01_Вводные'!$B$218*'19_Расчет_аналитики'!B1572,MeanMinAge06)))</f>
        <v/>
      </c>
      <c r="C1509">
        <f>IF(OR(('06_Сеть_и_дети'!C58-'06_Сеть_и_дети'!C86)=0,6&lt;='01_Вводные'!$B$297),0,('06_Сеть_и_дети'!C58-'06_Сеть_и_дети'!C86)*IF('01_Вводные'!$B$239="Да",MeanMinAge06+'19_Расчет_аналитики'!C1572*SUMIF(ThresholdAge06,"&lt;"&amp;'19_Расчет_аналитики'!C1572,WeightedRevAge06)-SUMIF(ThresholdAge06,"&lt;"&amp;'19_Расчет_аналитики'!C1572,WeightedMinAge06),MAX(CapacityAge06*'01_Вводные'!$B$218*'19_Расчет_аналитики'!C1572,MeanMinAge06)))</f>
        <v/>
      </c>
      <c r="D1509">
        <f>IF(OR(('06_Сеть_и_дети'!D58-'06_Сеть_и_дети'!D86)=0,6&lt;='01_Вводные'!$B$297),0,('06_Сеть_и_дети'!D58-'06_Сеть_и_дети'!D86)*IF('01_Вводные'!$B$239="Да",MeanMinAge06+'19_Расчет_аналитики'!D1572*SUMIF(ThresholdAge06,"&lt;"&amp;'19_Расчет_аналитики'!D1572,WeightedRevAge06)-SUMIF(ThresholdAge06,"&lt;"&amp;'19_Расчет_аналитики'!D1572,WeightedMinAge06),MAX(CapacityAge06*'01_Вводные'!$B$218*'19_Расчет_аналитики'!D1572,MeanMinAge06)))</f>
        <v/>
      </c>
      <c r="E1509">
        <f>IF(OR(('06_Сеть_и_дети'!E58-'06_Сеть_и_дети'!E86)=0,6&lt;='01_Вводные'!$B$297),0,('06_Сеть_и_дети'!E58-'06_Сеть_и_дети'!E86)*IF('01_Вводные'!$B$239="Да",MeanMinAge06+'19_Расчет_аналитики'!E1572*SUMIF(ThresholdAge06,"&lt;"&amp;'19_Расчет_аналитики'!E1572,WeightedRevAge06)-SUMIF(ThresholdAge06,"&lt;"&amp;'19_Расчет_аналитики'!E1572,WeightedMinAge06),MAX(CapacityAge06*'01_Вводные'!$B$218*'19_Расчет_аналитики'!E1572,MeanMinAge06)))</f>
        <v/>
      </c>
      <c r="F1509">
        <f>IF(OR(('06_Сеть_и_дети'!F58-'06_Сеть_и_дети'!F86)=0,6&lt;='01_Вводные'!$B$297),0,('06_Сеть_и_дети'!F58-'06_Сеть_и_дети'!F86)*IF('01_Вводные'!$B$239="Да",MeanMinAge06+'19_Расчет_аналитики'!F1572*SUMIF(ThresholdAge06,"&lt;"&amp;'19_Расчет_аналитики'!F1572,WeightedRevAge06)-SUMIF(ThresholdAge06,"&lt;"&amp;'19_Расчет_аналитики'!F1572,WeightedMinAge06),MAX(CapacityAge06*'01_Вводные'!$B$218*'19_Расчет_аналитики'!F1572,MeanMinAge06)))</f>
        <v/>
      </c>
      <c r="G1509">
        <f>IF(OR(('19_Расчет_аналитики'!G1425-'19_Расчет_аналитики'!G1453)=0,6&lt;='01_Вводные'!$B$297),0,('19_Расчет_аналитики'!G1425-'19_Расчет_аналитики'!G1453)*IF('01_Вводные'!$B$239="Да",MeanMinAge06+'19_Расчет_аналитики'!G1572*SUMIF(ThresholdAge06,"&lt;"&amp;'19_Расчет_аналитики'!G1572,WeightedRevAge06)-SUMIF(ThresholdAge06,"&lt;"&amp;'19_Расчет_аналитики'!G1572,WeightedMinAge06),MAX(CapacityAge06*'01_Вводные'!$B$218*'19_Расчет_аналитики'!G1572,MeanMinAge06)))</f>
        <v/>
      </c>
      <c r="H1509">
        <f>IF(OR(('19_Расчет_аналитики'!H1425-'19_Расчет_аналитики'!H1453)=0,6&lt;='01_Вводные'!$B$297),0,('19_Расчет_аналитики'!H1425-'19_Расчет_аналитики'!H1453)*IF('01_Вводные'!$B$239="Да",MeanMinAge06+'19_Расчет_аналитики'!H1572*SUMIF(ThresholdAge06,"&lt;"&amp;'19_Расчет_аналитики'!H1572,WeightedRevAge06)-SUMIF(ThresholdAge06,"&lt;"&amp;'19_Расчет_аналитики'!H1572,WeightedMinAge06),MAX(CapacityAge06*'01_Вводные'!$B$218*'19_Расчет_аналитики'!H1572,MeanMinAge06)))</f>
        <v/>
      </c>
      <c r="I1509">
        <f>IF(OR(('19_Расчет_аналитики'!I1425-'19_Расчет_аналитики'!I1453)=0,6&lt;='01_Вводные'!$B$297),0,('19_Расчет_аналитики'!I1425-'19_Расчет_аналитики'!I1453)*IF('01_Вводные'!$B$239="Да",MeanMinAge06+'19_Расчет_аналитики'!I1572*SUMIF(ThresholdAge06,"&lt;"&amp;'19_Расчет_аналитики'!I1572,WeightedRevAge06)-SUMIF(ThresholdAge06,"&lt;"&amp;'19_Расчет_аналитики'!I1572,WeightedMinAge06),MAX(CapacityAge06*'01_Вводные'!$B$218*'19_Расчет_аналитики'!I1572,MeanMinAge06)))</f>
        <v/>
      </c>
      <c r="J1509">
        <f>IF(OR(('19_Расчет_аналитики'!J1425-'19_Расчет_аналитики'!J1453)=0,6&lt;='01_Вводные'!$B$297),0,('19_Расчет_аналитики'!J1425-'19_Расчет_аналитики'!J1453)*IF('01_Вводные'!$B$239="Да",MeanMinAge06+'19_Расчет_аналитики'!J1572*SUMIF(ThresholdAge06,"&lt;"&amp;'19_Расчет_аналитики'!J1572,WeightedRevAge06)-SUMIF(ThresholdAge06,"&lt;"&amp;'19_Расчет_аналитики'!J1572,WeightedMinAge06),MAX(CapacityAge06*'01_Вводные'!$B$218*'19_Расчет_аналитики'!J1572,MeanMinAge06)))</f>
        <v/>
      </c>
      <c r="K1509">
        <f>IF(OR(('19_Расчет_аналитики'!K1425-'19_Расчет_аналитики'!K1453)=0,6&lt;='01_Вводные'!$B$297),0,('19_Расчет_аналитики'!K1425-'19_Расчет_аналитики'!K1453)*IF('01_Вводные'!$B$239="Да",MeanMinAge06+'19_Расчет_аналитики'!K1572*SUMIF(ThresholdAge06,"&lt;"&amp;'19_Расчет_аналитики'!K1572,WeightedRevAge06)-SUMIF(ThresholdAge06,"&lt;"&amp;'19_Расчет_аналитики'!K1572,WeightedMinAge06),MAX(CapacityAge06*'01_Вводные'!$B$218*'19_Расчет_аналитики'!K1572,MeanMinAge06)))</f>
        <v/>
      </c>
      <c r="L1509">
        <f>IF(OR(('19_Расчет_аналитики'!L1425-'19_Расчет_аналитики'!L1453)=0,6&lt;='01_Вводные'!$B$297),0,('19_Расчет_аналитики'!L1425-'19_Расчет_аналитики'!L1453)*IF('01_Вводные'!$B$239="Да",MeanMinAge06+'19_Расчет_аналитики'!L1572*SUMIF(ThresholdAge06,"&lt;"&amp;'19_Расчет_аналитики'!L1572,WeightedRevAge06)-SUMIF(ThresholdAge06,"&lt;"&amp;'19_Расчет_аналитики'!L1572,WeightedMinAge06),MAX(CapacityAge06*'01_Вводные'!$B$218*'19_Расчет_аналитики'!L1572,MeanMinAge06)))</f>
        <v/>
      </c>
      <c r="M1509">
        <f>IF(OR(('19_Расчет_аналитики'!M1425-'19_Расчет_аналитики'!M1453)=0,6&lt;='01_Вводные'!$B$297),0,('19_Расчет_аналитики'!M1425-'19_Расчет_аналитики'!M1453)*IF('01_Вводные'!$B$239="Да",MeanMinAge06+'19_Расчет_аналитики'!M1572*SUMIF(ThresholdAge06,"&lt;"&amp;'19_Расчет_аналитики'!M1572,WeightedRevAge06)-SUMIF(ThresholdAge06,"&lt;"&amp;'19_Расчет_аналитики'!M1572,WeightedMinAge06),MAX(CapacityAge06*'01_Вводные'!$B$218*'19_Расчет_аналитики'!M1572,MeanMinAge06)))</f>
        <v/>
      </c>
      <c r="N1509">
        <f>IF(OR(('19_Расчет_аналитики'!N1425-'19_Расчет_аналитики'!N1453)=0,6&lt;='01_Вводные'!$B$297),0,('19_Расчет_аналитики'!N1425-'19_Расчет_аналитики'!N1453)*IF('01_Вводные'!$B$239="Да",MeanMinAge06+'19_Расчет_аналитики'!N1572*SUMIF(ThresholdAge06,"&lt;"&amp;'19_Расчет_аналитики'!N1572,WeightedRevAge06)-SUMIF(ThresholdAge06,"&lt;"&amp;'19_Расчет_аналитики'!N1572,WeightedMinAge06),MAX(CapacityAge06*'01_Вводные'!$B$218*'19_Расчет_аналитики'!N1572,MeanMinAge06)))</f>
        <v/>
      </c>
      <c r="O1509">
        <f>IF(OR(('19_Расчет_аналитики'!O1425-'19_Расчет_аналитики'!O1453)=0,6&lt;='01_Вводные'!$B$297),0,('19_Расчет_аналитики'!O1425-'19_Расчет_аналитики'!O1453)*IF('01_Вводные'!$B$239="Да",MeanMinAge06+'19_Расчет_аналитики'!O1572*SUMIF(ThresholdAge06,"&lt;"&amp;'19_Расчет_аналитики'!O1572,WeightedRevAge06)-SUMIF(ThresholdAge06,"&lt;"&amp;'19_Расчет_аналитики'!O1572,WeightedMinAge06),MAX(CapacityAge06*'01_Вводные'!$B$218*'19_Расчет_аналитики'!O1572,MeanMinAge06)))</f>
        <v/>
      </c>
      <c r="P1509">
        <f>IF(OR(('19_Расчет_аналитики'!P1425-'19_Расчет_аналитики'!P1453)=0,6&lt;='01_Вводные'!$B$297),0,('19_Расчет_аналитики'!P1425-'19_Расчет_аналитики'!P1453)*IF('01_Вводные'!$B$239="Да",MeanMinAge06+'19_Расчет_аналитики'!P1572*SUMIF(ThresholdAge06,"&lt;"&amp;'19_Расчет_аналитики'!P1572,WeightedRevAge06)-SUMIF(ThresholdAge06,"&lt;"&amp;'19_Расчет_аналитики'!P1572,WeightedMinAge06),MAX(CapacityAge06*'01_Вводные'!$B$218*'19_Расчет_аналитики'!P1572,MeanMinAge06)))</f>
        <v/>
      </c>
      <c r="Q1509">
        <f>IF(OR(('19_Расчет_аналитики'!Q1425-'19_Расчет_аналитики'!Q1453)=0,6&lt;='01_Вводные'!$B$297),0,('19_Расчет_аналитики'!Q1425-'19_Расчет_аналитики'!Q1453)*IF('01_Вводные'!$B$239="Да",MeanMinAge06+'19_Расчет_аналитики'!Q1572*SUMIF(ThresholdAge06,"&lt;"&amp;'19_Расчет_аналитики'!Q1572,WeightedRevAge06)-SUMIF(ThresholdAge06,"&lt;"&amp;'19_Расчет_аналитики'!Q1572,WeightedMinAge06),MAX(CapacityAge06*'01_Вводные'!$B$218*'19_Расчет_аналитики'!Q1572,MeanMinAge06)))</f>
        <v/>
      </c>
      <c r="R1509">
        <f>IF(OR(('19_Расчет_аналитики'!R1425-'19_Расчет_аналитики'!R1453)=0,6&lt;='01_Вводные'!$B$297),0,('19_Расчет_аналитики'!R1425-'19_Расчет_аналитики'!R1453)*IF('01_Вводные'!$B$239="Да",MeanMinAge06+'19_Расчет_аналитики'!R1572*SUMIF(ThresholdAge06,"&lt;"&amp;'19_Расчет_аналитики'!R1572,WeightedRevAge06)-SUMIF(ThresholdAge06,"&lt;"&amp;'19_Расчет_аналитики'!R1572,WeightedMinAge06),MAX(CapacityAge06*'01_Вводные'!$B$218*'19_Расчет_аналитики'!R1572,MeanMinAge06)))</f>
        <v/>
      </c>
      <c r="S1509">
        <f>IF(OR(('19_Расчет_аналитики'!S1425-'19_Расчет_аналитики'!S1453)=0,6&lt;='01_Вводные'!$B$297),0,('19_Расчет_аналитики'!S1425-'19_Расчет_аналитики'!S1453)*IF('01_Вводные'!$B$239="Да",MeanMinAge06+'19_Расчет_аналитики'!S1572*SUMIF(ThresholdAge06,"&lt;"&amp;'19_Расчет_аналитики'!S1572,WeightedRevAge06)-SUMIF(ThresholdAge06,"&lt;"&amp;'19_Расчет_аналитики'!S1572,WeightedMinAge06),MAX(CapacityAge06*'01_Вводные'!$B$218*'19_Расчет_аналитики'!S1572,MeanMinAge06)))</f>
        <v/>
      </c>
      <c r="T1509">
        <f>IF(OR(('19_Расчет_аналитики'!T1425-'19_Расчет_аналитики'!T1453)=0,6&lt;='01_Вводные'!$B$297),0,('19_Расчет_аналитики'!T1425-'19_Расчет_аналитики'!T1453)*IF('01_Вводные'!$B$239="Да",MeanMinAge06+'19_Расчет_аналитики'!T1572*SUMIF(ThresholdAge06,"&lt;"&amp;'19_Расчет_аналитики'!T1572,WeightedRevAge06)-SUMIF(ThresholdAge06,"&lt;"&amp;'19_Расчет_аналитики'!T1572,WeightedMinAge06),MAX(CapacityAge06*'01_Вводные'!$B$218*'19_Расчет_аналитики'!T1572,MeanMinAge06)))</f>
        <v/>
      </c>
      <c r="U1509">
        <f>IF(OR(('19_Расчет_аналитики'!U1425-'19_Расчет_аналитики'!U1453)=0,6&lt;='01_Вводные'!$B$297),0,('19_Расчет_аналитики'!U1425-'19_Расчет_аналитики'!U1453)*IF('01_Вводные'!$B$239="Да",MeanMinAge06+'19_Расчет_аналитики'!U1572*SUMIF(ThresholdAge06,"&lt;"&amp;'19_Расчет_аналитики'!U1572,WeightedRevAge06)-SUMIF(ThresholdAge06,"&lt;"&amp;'19_Расчет_аналитики'!U1572,WeightedMinAge06),MAX(CapacityAge06*'01_Вводные'!$B$218*'19_Расчет_аналитики'!U1572,MeanMinAge06)))</f>
        <v/>
      </c>
      <c r="V1509">
        <f>IF(OR(('19_Расчет_аналитики'!V1425-'19_Расчет_аналитики'!V1453)=0,6&lt;='01_Вводные'!$B$297),0,('19_Расчет_аналитики'!V1425-'19_Расчет_аналитики'!V1453)*IF('01_Вводные'!$B$239="Да",MeanMinAge06+'19_Расчет_аналитики'!V1572*SUMIF(ThresholdAge06,"&lt;"&amp;'19_Расчет_аналитики'!V1572,WeightedRevAge06)-SUMIF(ThresholdAge06,"&lt;"&amp;'19_Расчет_аналитики'!V1572,WeightedMinAge06),MAX(CapacityAge06*'01_Вводные'!$B$218*'19_Расчет_аналитики'!V1572,MeanMinAge06)))</f>
        <v/>
      </c>
      <c r="W1509">
        <f>IF(OR(('19_Расчет_аналитики'!W1425-'19_Расчет_аналитики'!W1453)=0,6&lt;='01_Вводные'!$B$297),0,('19_Расчет_аналитики'!W1425-'19_Расчет_аналитики'!W1453)*IF('01_Вводные'!$B$239="Да",MeanMinAge06+'19_Расчет_аналитики'!W1572*SUMIF(ThresholdAge06,"&lt;"&amp;'19_Расчет_аналитики'!W1572,WeightedRevAge06)-SUMIF(ThresholdAge06,"&lt;"&amp;'19_Расчет_аналитики'!W1572,WeightedMinAge06),MAX(CapacityAge06*'01_Вводные'!$B$218*'19_Расчет_аналитики'!W1572,MeanMinAge06)))</f>
        <v/>
      </c>
      <c r="X1509">
        <f>IF(OR(('19_Расчет_аналитики'!X1425-'19_Расчет_аналитики'!X1453)=0,6&lt;='01_Вводные'!$B$297),0,('19_Расчет_аналитики'!X1425-'19_Расчет_аналитики'!X1453)*IF('01_Вводные'!$B$239="Да",MeanMinAge06+'19_Расчет_аналитики'!X1572*SUMIF(ThresholdAge06,"&lt;"&amp;'19_Расчет_аналитики'!X1572,WeightedRevAge06)-SUMIF(ThresholdAge06,"&lt;"&amp;'19_Расчет_аналитики'!X1572,WeightedMinAge06),MAX(CapacityAge06*'01_Вводные'!$B$218*'19_Расчет_аналитики'!X1572,MeanMinAge06)))</f>
        <v/>
      </c>
      <c r="Y1509">
        <f>IF(OR(('19_Расчет_аналитики'!Y1425-'19_Расчет_аналитики'!Y1453)=0,6&lt;='01_Вводные'!$B$297),0,('19_Расчет_аналитики'!Y1425-'19_Расчет_аналитики'!Y1453)*IF('01_Вводные'!$B$239="Да",MeanMinAge06+'19_Расчет_аналитики'!Y1572*SUMIF(ThresholdAge06,"&lt;"&amp;'19_Расчет_аналитики'!Y1572,WeightedRevAge06)-SUMIF(ThresholdAge06,"&lt;"&amp;'19_Расчет_аналитики'!Y1572,WeightedMinAge06),MAX(CapacityAge06*'01_Вводные'!$B$218*'19_Расчет_аналитики'!Y1572,MeanMinAge06)))</f>
        <v/>
      </c>
      <c r="Z1509">
        <f>IF(OR(('19_Расчет_аналитики'!Z1425-'19_Расчет_аналитики'!Z1453)=0,6&lt;='01_Вводные'!$B$297),0,('19_Расчет_аналитики'!Z1425-'19_Расчет_аналитики'!Z1453)*IF('01_Вводные'!$B$239="Да",MeanMinAge06+'19_Расчет_аналитики'!Z1572*SUMIF(ThresholdAge06,"&lt;"&amp;'19_Расчет_аналитики'!Z1572,WeightedRevAge06)-SUMIF(ThresholdAge06,"&lt;"&amp;'19_Расчет_аналитики'!Z1572,WeightedMinAge06),MAX(CapacityAge06*'01_Вводные'!$B$218*'19_Расчет_аналитики'!Z1572,MeanMinAge06)))</f>
        <v/>
      </c>
      <c r="AA1509">
        <f>IF(OR(('19_Расчет_аналитики'!AA1425-'19_Расчет_аналитики'!AA1453)=0,6&lt;='01_Вводные'!$B$297),0,('19_Расчет_аналитики'!AA1425-'19_Расчет_аналитики'!AA1453)*IF('01_Вводные'!$B$239="Да",MeanMinAge06+'19_Расчет_аналитики'!AA1572*SUMIF(ThresholdAge06,"&lt;"&amp;'19_Расчет_аналитики'!AA1572,WeightedRevAge06)-SUMIF(ThresholdAge06,"&lt;"&amp;'19_Расчет_аналитики'!AA1572,WeightedMinAge06),MAX(CapacityAge06*'01_Вводные'!$B$218*'19_Расчет_аналитики'!AA1572,MeanMinAge06)))</f>
        <v/>
      </c>
      <c r="AB1509">
        <f>IF(OR(('19_Расчет_аналитики'!AB1425-'19_Расчет_аналитики'!AB1453)=0,6&lt;='01_Вводные'!$B$297),0,('19_Расчет_аналитики'!AB1425-'19_Расчет_аналитики'!AB1453)*IF('01_Вводные'!$B$239="Да",MeanMinAge06+'19_Расчет_аналитики'!AB1572*SUMIF(ThresholdAge06,"&lt;"&amp;'19_Расчет_аналитики'!AB1572,WeightedRevAge06)-SUMIF(ThresholdAge06,"&lt;"&amp;'19_Расчет_аналитики'!AB1572,WeightedMinAge06),MAX(CapacityAge06*'01_Вводные'!$B$218*'19_Расчет_аналитики'!AB1572,MeanMinAge06)))</f>
        <v/>
      </c>
      <c r="AC1509">
        <f>IF(OR(('19_Расчет_аналитики'!AC1425-'19_Расчет_аналитики'!AC1453)=0,6&lt;='01_Вводные'!$B$297),0,('19_Расчет_аналитики'!AC1425-'19_Расчет_аналитики'!AC1453)*IF('01_Вводные'!$B$239="Да",MeanMinAge06+'19_Расчет_аналитики'!AC1572*SUMIF(ThresholdAge06,"&lt;"&amp;'19_Расчет_аналитики'!AC1572,WeightedRevAge06)-SUMIF(ThresholdAge06,"&lt;"&amp;'19_Расчет_аналитики'!AC1572,WeightedMinAge06),MAX(CapacityAge06*'01_Вводные'!$B$218*'19_Расчет_аналитики'!AC1572,MeanMinAge06)))</f>
        <v/>
      </c>
      <c r="AD1509">
        <f>IF(OR(('19_Расчет_аналитики'!AD1425-'19_Расчет_аналитики'!AD1453)=0,6&lt;='01_Вводные'!$B$297),0,('19_Расчет_аналитики'!AD1425-'19_Расчет_аналитики'!AD1453)*IF('01_Вводные'!$B$239="Да",MeanMinAge06+'19_Расчет_аналитики'!AD1572*SUMIF(ThresholdAge06,"&lt;"&amp;'19_Расчет_аналитики'!AD1572,WeightedRevAge06)-SUMIF(ThresholdAge06,"&lt;"&amp;'19_Расчет_аналитики'!AD1572,WeightedMinAge06),MAX(CapacityAge06*'01_Вводные'!$B$218*'19_Расчет_аналитики'!AD1572,MeanMinAge06)))</f>
        <v/>
      </c>
      <c r="AE1509">
        <f>IF(OR(('19_Расчет_аналитики'!AE1425-'19_Расчет_аналитики'!AE1453)=0,6&lt;='01_Вводные'!$B$297),0,('19_Расчет_аналитики'!AE1425-'19_Расчет_аналитики'!AE1453)*IF('01_Вводные'!$B$239="Да",MeanMinAge06+'19_Расчет_аналитики'!AE1572*SUMIF(ThresholdAge06,"&lt;"&amp;'19_Расчет_аналитики'!AE1572,WeightedRevAge06)-SUMIF(ThresholdAge06,"&lt;"&amp;'19_Расчет_аналитики'!AE1572,WeightedMinAge06),MAX(CapacityAge06*'01_Вводные'!$B$218*'19_Расчет_аналитики'!AE1572,MeanMinAge06)))</f>
        <v/>
      </c>
      <c r="AF1509">
        <f>IF(OR(('19_Расчет_аналитики'!AF1425-'19_Расчет_аналитики'!AF1453)=0,6&lt;='01_Вводные'!$B$297),0,('19_Расчет_аналитики'!AF1425-'19_Расчет_аналитики'!AF1453)*IF('01_Вводные'!$B$239="Да",MeanMinAge06+'19_Расчет_аналитики'!AF1572*SUMIF(ThresholdAge06,"&lt;"&amp;'19_Расчет_аналитики'!AF1572,WeightedRevAge06)-SUMIF(ThresholdAge06,"&lt;"&amp;'19_Расчет_аналитики'!AF1572,WeightedMinAge06),MAX(CapacityAge06*'01_Вводные'!$B$218*'19_Расчет_аналитики'!AF1572,MeanMinAge06)))</f>
        <v/>
      </c>
      <c r="AG1509">
        <f>IF(OR(('19_Расчет_аналитики'!AG1425-'19_Расчет_аналитики'!AG1453)=0,6&lt;='01_Вводные'!$B$297),0,('19_Расчет_аналитики'!AG1425-'19_Расчет_аналитики'!AG1453)*IF('01_Вводные'!$B$239="Да",MeanMinAge06+'19_Расчет_аналитики'!AG1572*SUMIF(ThresholdAge06,"&lt;"&amp;'19_Расчет_аналитики'!AG1572,WeightedRevAge06)-SUMIF(ThresholdAge06,"&lt;"&amp;'19_Расчет_аналитики'!AG1572,WeightedMinAge06),MAX(CapacityAge06*'01_Вводные'!$B$218*'19_Расчет_аналитики'!AG1572,MeanMinAge06)))</f>
        <v/>
      </c>
      <c r="AH1509">
        <f>IF(OR(('19_Расчет_аналитики'!AH1425-'19_Расчет_аналитики'!AH1453)=0,6&lt;='01_Вводные'!$B$297),0,('19_Расчет_аналитики'!AH1425-'19_Расчет_аналитики'!AH1453)*IF('01_Вводные'!$B$239="Да",MeanMinAge06+'19_Расчет_аналитики'!AH1572*SUMIF(ThresholdAge06,"&lt;"&amp;'19_Расчет_аналитики'!AH1572,WeightedRevAge06)-SUMIF(ThresholdAge06,"&lt;"&amp;'19_Расчет_аналитики'!AH1572,WeightedMinAge06),MAX(CapacityAge06*'01_Вводные'!$B$218*'19_Расчет_аналитики'!AH1572,MeanMinAge06)))</f>
        <v/>
      </c>
      <c r="AI1509">
        <f>IF(OR(('19_Расчет_аналитики'!AI1425-'19_Расчет_аналитики'!AI1453)=0,6&lt;='01_Вводные'!$B$297),0,('19_Расчет_аналитики'!AI1425-'19_Расчет_аналитики'!AI1453)*IF('01_Вводные'!$B$239="Да",MeanMinAge06+'19_Расчет_аналитики'!AI1572*SUMIF(ThresholdAge06,"&lt;"&amp;'19_Расчет_аналитики'!AI1572,WeightedRevAge06)-SUMIF(ThresholdAge06,"&lt;"&amp;'19_Расчет_аналитики'!AI1572,WeightedMinAge06),MAX(CapacityAge06*'01_Вводные'!$B$218*'19_Расчет_аналитики'!AI1572,MeanMinAge06)))</f>
        <v/>
      </c>
      <c r="AJ1509">
        <f>IF(OR(('19_Расчет_аналитики'!AJ1425-'19_Расчет_аналитики'!AJ1453)=0,6&lt;='01_Вводные'!$B$297),0,('19_Расчет_аналитики'!AJ1425-'19_Расчет_аналитики'!AJ1453)*IF('01_Вводные'!$B$239="Да",MeanMinAge06+'19_Расчет_аналитики'!AJ1572*SUMIF(ThresholdAge06,"&lt;"&amp;'19_Расчет_аналитики'!AJ1572,WeightedRevAge06)-SUMIF(ThresholdAge06,"&lt;"&amp;'19_Расчет_аналитики'!AJ1572,WeightedMinAge06),MAX(CapacityAge06*'01_Вводные'!$B$218*'19_Расчет_аналитики'!AJ1572,MeanMinAge06)))</f>
        <v/>
      </c>
      <c r="AK1509">
        <f>IF(OR(('19_Расчет_аналитики'!AK1425-'19_Расчет_аналитики'!AK1453)=0,6&lt;='01_Вводные'!$B$297),0,('19_Расчет_аналитики'!AK1425-'19_Расчет_аналитики'!AK1453)*IF('01_Вводные'!$B$239="Да",MeanMinAge06+'19_Расчет_аналитики'!AK1572*SUMIF(ThresholdAge06,"&lt;"&amp;'19_Расчет_аналитики'!AK1572,WeightedRevAge06)-SUMIF(ThresholdAge06,"&lt;"&amp;'19_Расчет_аналитики'!AK1572,WeightedMinAge06),MAX(CapacityAge06*'01_Вводные'!$B$218*'19_Расчет_аналитики'!AK1572,MeanMinAge06)))</f>
        <v/>
      </c>
      <c r="AL1509">
        <f>IF(OR(('19_Расчет_аналитики'!AL1425-'19_Расчет_аналитики'!AL1453)=0,6&lt;='01_Вводные'!$B$297),0,('19_Расчет_аналитики'!AL1425-'19_Расчет_аналитики'!AL1453)*IF('01_Вводные'!$B$239="Да",MeanMinAge06+'19_Расчет_аналитики'!AL1572*SUMIF(ThresholdAge06,"&lt;"&amp;'19_Расчет_аналитики'!AL1572,WeightedRevAge06)-SUMIF(ThresholdAge06,"&lt;"&amp;'19_Расчет_аналитики'!AL1572,WeightedMinAge06),MAX(CapacityAge06*'01_Вводные'!$B$218*'19_Расчет_аналитики'!AL1572,MeanMinAge06)))</f>
        <v/>
      </c>
      <c r="AM1509">
        <f>IF(OR(('19_Расчет_аналитики'!AM1425-'19_Расчет_аналитики'!AM1453)=0,6&lt;='01_Вводные'!$B$297),0,('19_Расчет_аналитики'!AM1425-'19_Расчет_аналитики'!AM1453)*IF('01_Вводные'!$B$239="Да",MeanMinAge06+'19_Расчет_аналитики'!AM1572*SUMIF(ThresholdAge06,"&lt;"&amp;'19_Расчет_аналитики'!AM1572,WeightedRevAge06)-SUMIF(ThresholdAge06,"&lt;"&amp;'19_Расчет_аналитики'!AM1572,WeightedMinAge06),MAX(CapacityAge06*'01_Вводные'!$B$218*'19_Расчет_аналитики'!AM1572,MeanMinAge06)))</f>
        <v/>
      </c>
      <c r="AN1509">
        <f>IF(OR(('19_Расчет_аналитики'!AN1425-'19_Расчет_аналитики'!AN1453)=0,6&lt;='01_Вводные'!$B$297),0,('19_Расчет_аналитики'!AN1425-'19_Расчет_аналитики'!AN1453)*IF('01_Вводные'!$B$239="Да",MeanMinAge06+'19_Расчет_аналитики'!AN1572*SUMIF(ThresholdAge06,"&lt;"&amp;'19_Расчет_аналитики'!AN1572,WeightedRevAge06)-SUMIF(ThresholdAge06,"&lt;"&amp;'19_Расчет_аналитики'!AN1572,WeightedMinAge06),MAX(CapacityAge06*'01_Вводные'!$B$218*'19_Расчет_аналитики'!AN1572,MeanMinAge06)))</f>
        <v/>
      </c>
      <c r="AO1509">
        <f>IF(OR(('19_Расчет_аналитики'!AO1425-'19_Расчет_аналитики'!AO1453)=0,6&lt;='01_Вводные'!$B$297),0,('19_Расчет_аналитики'!AO1425-'19_Расчет_аналитики'!AO1453)*IF('01_Вводные'!$B$239="Да",MeanMinAge06+'19_Расчет_аналитики'!AO1572*SUMIF(ThresholdAge06,"&lt;"&amp;'19_Расчет_аналитики'!AO1572,WeightedRevAge06)-SUMIF(ThresholdAge06,"&lt;"&amp;'19_Расчет_аналитики'!AO1572,WeightedMinAge06),MAX(CapacityAge06*'01_Вводные'!$B$218*'19_Расчет_аналитики'!AO1572,MeanMinAge06)))</f>
        <v/>
      </c>
      <c r="AP1509">
        <f>IF(OR(('19_Расчет_аналитики'!AP1425-'19_Расчет_аналитики'!AP1453)=0,6&lt;='01_Вводные'!$B$297),0,('19_Расчет_аналитики'!AP1425-'19_Расчет_аналитики'!AP1453)*IF('01_Вводные'!$B$239="Да",MeanMinAge06+'19_Расчет_аналитики'!AP1572*SUMIF(ThresholdAge06,"&lt;"&amp;'19_Расчет_аналитики'!AP1572,WeightedRevAge06)-SUMIF(ThresholdAge06,"&lt;"&amp;'19_Расчет_аналитики'!AP1572,WeightedMinAge06),MAX(CapacityAge06*'01_Вводные'!$B$218*'19_Расчет_аналитики'!AP1572,MeanMinAge06)))</f>
        <v/>
      </c>
      <c r="AQ1509">
        <f>IF(OR(('19_Расчет_аналитики'!AQ1425-'19_Расчет_аналитики'!AQ1453)=0,6&lt;='01_Вводные'!$B$297),0,('19_Расчет_аналитики'!AQ1425-'19_Расчет_аналитики'!AQ1453)*IF('01_Вводные'!$B$239="Да",MeanMinAge06+'19_Расчет_аналитики'!AQ1572*SUMIF(ThresholdAge06,"&lt;"&amp;'19_Расчет_аналитики'!AQ1572,WeightedRevAge06)-SUMIF(ThresholdAge06,"&lt;"&amp;'19_Расчет_аналитики'!AQ1572,WeightedMinAge06),MAX(CapacityAge06*'01_Вводные'!$B$218*'19_Расчет_аналитики'!AQ1572,MeanMinAge06)))</f>
        <v/>
      </c>
      <c r="AR1509">
        <f>IF(OR(('19_Расчет_аналитики'!AR1425-'19_Расчет_аналитики'!AR1453)=0,6&lt;='01_Вводные'!$B$297),0,('19_Расчет_аналитики'!AR1425-'19_Расчет_аналитики'!AR1453)*IF('01_Вводные'!$B$239="Да",MeanMinAge06+'19_Расчет_аналитики'!AR1572*SUMIF(ThresholdAge06,"&lt;"&amp;'19_Расчет_аналитики'!AR1572,WeightedRevAge06)-SUMIF(ThresholdAge06,"&lt;"&amp;'19_Расчет_аналитики'!AR1572,WeightedMinAge06),MAX(CapacityAge06*'01_Вводные'!$B$218*'19_Расчет_аналитики'!AR1572,MeanMinAge06)))</f>
        <v/>
      </c>
      <c r="AS1509">
        <f>IF(OR(('19_Расчет_аналитики'!AS1425-'19_Расчет_аналитики'!AS1453)=0,6&lt;='01_Вводные'!$B$297),0,('19_Расчет_аналитики'!AS1425-'19_Расчет_аналитики'!AS1453)*IF('01_Вводные'!$B$239="Да",MeanMinAge06+'19_Расчет_аналитики'!AS1572*SUMIF(ThresholdAge06,"&lt;"&amp;'19_Расчет_аналитики'!AS1572,WeightedRevAge06)-SUMIF(ThresholdAge06,"&lt;"&amp;'19_Расчет_аналитики'!AS1572,WeightedMinAge06),MAX(CapacityAge06*'01_Вводные'!$B$218*'19_Расчет_аналитики'!AS1572,MeanMinAge06)))</f>
        <v/>
      </c>
      <c r="AT1509">
        <f>IF(OR(('19_Расчет_аналитики'!AT1425-'19_Расчет_аналитики'!AT1453)=0,6&lt;='01_Вводные'!$B$297),0,('19_Расчет_аналитики'!AT1425-'19_Расчет_аналитики'!AT1453)*IF('01_Вводные'!$B$239="Да",MeanMinAge06+'19_Расчет_аналитики'!AT1572*SUMIF(ThresholdAge06,"&lt;"&amp;'19_Расчет_аналитики'!AT1572,WeightedRevAge06)-SUMIF(ThresholdAge06,"&lt;"&amp;'19_Расчет_аналитики'!AT1572,WeightedMinAge06),MAX(CapacityAge06*'01_Вводные'!$B$218*'19_Расчет_аналитики'!AT1572,MeanMinAge06)))</f>
        <v/>
      </c>
      <c r="AU1509">
        <f>IF(OR(('19_Расчет_аналитики'!AU1425-'19_Расчет_аналитики'!AU1453)=0,6&lt;='01_Вводные'!$B$297),0,('19_Расчет_аналитики'!AU1425-'19_Расчет_аналитики'!AU1453)*IF('01_Вводные'!$B$239="Да",MeanMinAge06+'19_Расчет_аналитики'!AU1572*SUMIF(ThresholdAge06,"&lt;"&amp;'19_Расчет_аналитики'!AU1572,WeightedRevAge06)-SUMIF(ThresholdAge06,"&lt;"&amp;'19_Расчет_аналитики'!AU1572,WeightedMinAge06),MAX(CapacityAge06*'01_Вводные'!$B$218*'19_Расчет_аналитики'!AU1572,MeanMinAge06)))</f>
        <v/>
      </c>
      <c r="AV1509">
        <f>IF(OR(('19_Расчет_аналитики'!AV1425-'19_Расчет_аналитики'!AV1453)=0,6&lt;='01_Вводные'!$B$297),0,('19_Расчет_аналитики'!AV1425-'19_Расчет_аналитики'!AV1453)*IF('01_Вводные'!$B$239="Да",MeanMinAge06+'19_Расчет_аналитики'!AV1572*SUMIF(ThresholdAge06,"&lt;"&amp;'19_Расчет_аналитики'!AV1572,WeightedRevAge06)-SUMIF(ThresholdAge06,"&lt;"&amp;'19_Расчет_аналитики'!AV1572,WeightedMinAge06),MAX(CapacityAge06*'01_Вводные'!$B$218*'19_Расчет_аналитики'!AV1572,MeanMinAge06)))</f>
        <v/>
      </c>
      <c r="AW1509">
        <f>IF(OR(('19_Расчет_аналитики'!AW1425-'19_Расчет_аналитики'!AW1453)=0,6&lt;='01_Вводные'!$B$297),0,('19_Расчет_аналитики'!AW1425-'19_Расчет_аналитики'!AW1453)*IF('01_Вводные'!$B$239="Да",MeanMinAge06+'19_Расчет_аналитики'!AW1572*SUMIF(ThresholdAge06,"&lt;"&amp;'19_Расчет_аналитики'!AW1572,WeightedRevAge06)-SUMIF(ThresholdAge06,"&lt;"&amp;'19_Расчет_аналитики'!AW1572,WeightedMinAge06),MAX(CapacityAge06*'01_Вводные'!$B$218*'19_Расчет_аналитики'!AW1572,MeanMinAge06)))</f>
        <v/>
      </c>
      <c r="AX1509">
        <f>IF(OR(('19_Расчет_аналитики'!AX1425-'19_Расчет_аналитики'!AX1453)=0,6&lt;='01_Вводные'!$B$297),0,('19_Расчет_аналитики'!AX1425-'19_Расчет_аналитики'!AX1453)*IF('01_Вводные'!$B$239="Да",MeanMinAge06+'19_Расчет_аналитики'!AX1572*SUMIF(ThresholdAge06,"&lt;"&amp;'19_Расчет_аналитики'!AX1572,WeightedRevAge06)-SUMIF(ThresholdAge06,"&lt;"&amp;'19_Расчет_аналитики'!AX1572,WeightedMinAge06),MAX(CapacityAge06*'01_Вводные'!$B$218*'19_Расчет_аналитики'!AX1572,MeanMinAge06)))</f>
        <v/>
      </c>
      <c r="AY1509">
        <f>IF(OR(('19_Расчет_аналитики'!AY1425-'19_Расчет_аналитики'!AY1453)=0,6&lt;='01_Вводные'!$B$297),0,('19_Расчет_аналитики'!AY1425-'19_Расчет_аналитики'!AY1453)*IF('01_Вводные'!$B$239="Да",MeanMinAge06+'19_Расчет_аналитики'!AY1572*SUMIF(ThresholdAge06,"&lt;"&amp;'19_Расчет_аналитики'!AY1572,WeightedRevAge06)-SUMIF(ThresholdAge06,"&lt;"&amp;'19_Расчет_аналитики'!AY1572,WeightedMinAge06),MAX(CapacityAge06*'01_Вводные'!$B$218*'19_Расчет_аналитики'!AY1572,MeanMinAge06)))</f>
        <v/>
      </c>
      <c r="AZ1509">
        <f>IF(OR(('19_Расчет_аналитики'!AZ1425-'19_Расчет_аналитики'!AZ1453)=0,6&lt;='01_Вводные'!$B$297),0,('19_Расчет_аналитики'!AZ1425-'19_Расчет_аналитики'!AZ1453)*IF('01_Вводные'!$B$239="Да",MeanMinAge06+'19_Расчет_аналитики'!AZ1572*SUMIF(ThresholdAge06,"&lt;"&amp;'19_Расчет_аналитики'!AZ1572,WeightedRevAge06)-SUMIF(ThresholdAge06,"&lt;"&amp;'19_Расчет_аналитики'!AZ1572,WeightedMinAge06),MAX(CapacityAge06*'01_Вводные'!$B$218*'19_Расчет_аналитики'!AZ1572,MeanMinAge06)))</f>
        <v/>
      </c>
      <c r="BA1509">
        <f>IF(OR(('19_Расчет_аналитики'!BA1425-'19_Расчет_аналитики'!BA1453)=0,6&lt;='01_Вводные'!$B$297),0,('19_Расчет_аналитики'!BA1425-'19_Расчет_аналитики'!BA1453)*IF('01_Вводные'!$B$239="Да",MeanMinAge06+'19_Расчет_аналитики'!BA1572*SUMIF(ThresholdAge06,"&lt;"&amp;'19_Расчет_аналитики'!BA1572,WeightedRevAge06)-SUMIF(ThresholdAge06,"&lt;"&amp;'19_Расчет_аналитики'!BA1572,WeightedMinAge06),MAX(CapacityAge06*'01_Вводные'!$B$218*'19_Расчет_аналитики'!BA1572,MeanMinAge06)))</f>
        <v/>
      </c>
      <c r="BB1509">
        <f>IF(OR(('19_Расчет_аналитики'!BB1425-'19_Расчет_аналитики'!BB1453)=0,6&lt;='01_Вводные'!$B$297),0,('19_Расчет_аналитики'!BB1425-'19_Расчет_аналитики'!BB1453)*IF('01_Вводные'!$B$239="Да",MeanMinAge06+'19_Расчет_аналитики'!BB1572*SUMIF(ThresholdAge06,"&lt;"&amp;'19_Расчет_аналитики'!BB1572,WeightedRevAge06)-SUMIF(ThresholdAge06,"&lt;"&amp;'19_Расчет_аналитики'!BB1572,WeightedMinAge06),MAX(CapacityAge06*'01_Вводные'!$B$218*'19_Расчет_аналитики'!BB1572,MeanMinAge06)))</f>
        <v/>
      </c>
      <c r="BC1509">
        <f>IF(OR(('19_Расчет_аналитики'!BC1425-'19_Расчет_аналитики'!BC1453)=0,6&lt;='01_Вводные'!$B$297),0,('19_Расчет_аналитики'!BC1425-'19_Расчет_аналитики'!BC1453)*IF('01_Вводные'!$B$239="Да",MeanMinAge06+'19_Расчет_аналитики'!BC1572*SUMIF(ThresholdAge06,"&lt;"&amp;'19_Расчет_аналитики'!BC1572,WeightedRevAge06)-SUMIF(ThresholdAge06,"&lt;"&amp;'19_Расчет_аналитики'!BC1572,WeightedMinAge06),MAX(CapacityAge06*'01_Вводные'!$B$218*'19_Расчет_аналитики'!BC1572,MeanMinAge06)))</f>
        <v/>
      </c>
      <c r="BD1509">
        <f>IF(OR(('19_Расчет_аналитики'!BD1425-'19_Расчет_аналитики'!BD1453)=0,6&lt;='01_Вводные'!$B$297),0,('19_Расчет_аналитики'!BD1425-'19_Расчет_аналитики'!BD1453)*IF('01_Вводные'!$B$239="Да",MeanMinAge06+'19_Расчет_аналитики'!BD1572*SUMIF(ThresholdAge06,"&lt;"&amp;'19_Расчет_аналитики'!BD1572,WeightedRevAge06)-SUMIF(ThresholdAge06,"&lt;"&amp;'19_Расчет_аналитики'!BD1572,WeightedMinAge06),MAX(CapacityAge06*'01_Вводные'!$B$218*'19_Расчет_аналитики'!BD1572,MeanMinAge06)))</f>
        <v/>
      </c>
      <c r="BE1509">
        <f>IF(OR(('19_Расчет_аналитики'!BE1425-'19_Расчет_аналитики'!BE1453)=0,6&lt;='01_Вводные'!$B$297),0,('19_Расчет_аналитики'!BE1425-'19_Расчет_аналитики'!BE1453)*IF('01_Вводные'!$B$239="Да",MeanMinAge06+'19_Расчет_аналитики'!BE1572*SUMIF(ThresholdAge06,"&lt;"&amp;'19_Расчет_аналитики'!BE1572,WeightedRevAge06)-SUMIF(ThresholdAge06,"&lt;"&amp;'19_Расчет_аналитики'!BE1572,WeightedMinAge06),MAX(CapacityAge06*'01_Вводные'!$B$218*'19_Расчет_аналитики'!BE1572,MeanMinAge06)))</f>
        <v/>
      </c>
      <c r="BF1509">
        <f>IF(OR(('19_Расчет_аналитики'!BF1425-'19_Расчет_аналитики'!BF1453)=0,6&lt;='01_Вводные'!$B$297),0,('19_Расчет_аналитики'!BF1425-'19_Расчет_аналитики'!BF1453)*IF('01_Вводные'!$B$239="Да",MeanMinAge06+'19_Расчет_аналитики'!BF1572*SUMIF(ThresholdAge06,"&lt;"&amp;'19_Расчет_аналитики'!BF1572,WeightedRevAge06)-SUMIF(ThresholdAge06,"&lt;"&amp;'19_Расчет_аналитики'!BF1572,WeightedMinAge06),MAX(CapacityAge06*'01_Вводные'!$B$218*'19_Расчет_аналитики'!BF1572,MeanMinAge06)))</f>
        <v/>
      </c>
      <c r="BG1509">
        <f>IF(OR(('19_Расчет_аналитики'!BG1425-'19_Расчет_аналитики'!BG1453)=0,6&lt;='01_Вводные'!$B$297),0,('19_Расчет_аналитики'!BG1425-'19_Расчет_аналитики'!BG1453)*IF('01_Вводные'!$B$239="Да",MeanMinAge06+'19_Расчет_аналитики'!BG1572*SUMIF(ThresholdAge06,"&lt;"&amp;'19_Расчет_аналитики'!BG1572,WeightedRevAge06)-SUMIF(ThresholdAge06,"&lt;"&amp;'19_Расчет_аналитики'!BG1572,WeightedMinAge06),MAX(CapacityAge06*'01_Вводные'!$B$218*'19_Расчет_аналитики'!BG1572,MeanMinAge06)))</f>
        <v/>
      </c>
      <c r="BH1509">
        <f>IF(OR(('19_Расчет_аналитики'!BH1425-'19_Расчет_аналитики'!BH1453)=0,6&lt;='01_Вводные'!$B$297),0,('19_Расчет_аналитики'!BH1425-'19_Расчет_аналитики'!BH1453)*IF('01_Вводные'!$B$239="Да",MeanMinAge06+'19_Расчет_аналитики'!BH1572*SUMIF(ThresholdAge06,"&lt;"&amp;'19_Расчет_аналитики'!BH1572,WeightedRevAge06)-SUMIF(ThresholdAge06,"&lt;"&amp;'19_Расчет_аналитики'!BH1572,WeightedMinAge06),MAX(CapacityAge06*'01_Вводные'!$B$218*'19_Расчет_аналитики'!BH1572,MeanMinAge06)))</f>
        <v/>
      </c>
      <c r="BI1509">
        <f>IF(OR(('19_Расчет_аналитики'!BI1425-'19_Расчет_аналитики'!BI1453)=0,6&lt;='01_Вводные'!$B$297),0,('19_Расчет_аналитики'!BI1425-'19_Расчет_аналитики'!BI1453)*IF('01_Вводные'!$B$239="Да",MeanMinAge06+'19_Расчет_аналитики'!BI1572*SUMIF(ThresholdAge06,"&lt;"&amp;'19_Расчет_аналитики'!BI1572,WeightedRevAge06)-SUMIF(ThresholdAge06,"&lt;"&amp;'19_Расчет_аналитики'!BI1572,WeightedMinAge06),MAX(CapacityAge06*'01_Вводные'!$B$218*'19_Расчет_аналитики'!BI1572,MeanMinAge06)))</f>
        <v/>
      </c>
      <c r="BJ1509">
        <f>IF(OR(('19_Расчет_аналитики'!BJ1425-'19_Расчет_аналитики'!BJ1453)=0,6&lt;='01_Вводные'!$B$297),0,('19_Расчет_аналитики'!BJ1425-'19_Расчет_аналитики'!BJ1453)*IF('01_Вводные'!$B$239="Да",MeanMinAge06+'19_Расчет_аналитики'!BJ1572*SUMIF(ThresholdAge06,"&lt;"&amp;'19_Расчет_аналитики'!BJ1572,WeightedRevAge06)-SUMIF(ThresholdAge06,"&lt;"&amp;'19_Расчет_аналитики'!BJ1572,WeightedMinAge06),MAX(CapacityAge06*'01_Вводные'!$B$218*'19_Расчет_аналитики'!BJ1572,MeanMinAge06)))</f>
        <v/>
      </c>
      <c r="BK1509">
        <f>IF(OR(('19_Расчет_аналитики'!BK1425-'19_Расчет_аналитики'!BK1453)=0,6&lt;='01_Вводные'!$B$297),0,('19_Расчет_аналитики'!BK1425-'19_Расчет_аналитики'!BK1453)*IF('01_Вводные'!$B$239="Да",MeanMinAge06+'19_Расчет_аналитики'!BK1572*SUMIF(ThresholdAge06,"&lt;"&amp;'19_Расчет_аналитики'!BK1572,WeightedRevAge06)-SUMIF(ThresholdAge06,"&lt;"&amp;'19_Расчет_аналитики'!BK1572,WeightedMinAge06),MAX(CapacityAge06*'01_Вводные'!$B$218*'19_Расчет_аналитики'!BK1572,MeanMinAge06)))</f>
        <v/>
      </c>
      <c r="BL1509">
        <f>IF(OR(('19_Расчет_аналитики'!BL1425-'19_Расчет_аналитики'!BL1453)=0,6&lt;='01_Вводные'!$B$297),0,('19_Расчет_аналитики'!BL1425-'19_Расчет_аналитики'!BL1453)*IF('01_Вводные'!$B$239="Да",MeanMinAge06+'19_Расчет_аналитики'!BL1572*SUMIF(ThresholdAge06,"&lt;"&amp;'19_Расчет_аналитики'!BL1572,WeightedRevAge06)-SUMIF(ThresholdAge06,"&lt;"&amp;'19_Расчет_аналитики'!BL1572,WeightedMinAge06),MAX(CapacityAge06*'01_Вводные'!$B$218*'19_Расчет_аналитики'!BL1572,MeanMinAge06)))</f>
        <v/>
      </c>
      <c r="BM1509">
        <f>IF(OR(('19_Расчет_аналитики'!BM1425-'19_Расчет_аналитики'!BM1453)=0,6&lt;='01_Вводные'!$B$297),0,('19_Расчет_аналитики'!BM1425-'19_Расчет_аналитики'!BM1453)*IF('01_Вводные'!$B$239="Да",MeanMinAge06+'19_Расчет_аналитики'!BM1572*SUMIF(ThresholdAge06,"&lt;"&amp;'19_Расчет_аналитики'!BM1572,WeightedRevAge06)-SUMIF(ThresholdAge06,"&lt;"&amp;'19_Расчет_аналитики'!BM1572,WeightedMinAge06),MAX(CapacityAge06*'01_Вводные'!$B$218*'19_Расчет_аналитики'!BM1572,MeanMinAge06)))</f>
        <v/>
      </c>
      <c r="BN1509">
        <f>IF(OR(('19_Расчет_аналитики'!BN1425-'19_Расчет_аналитики'!BN1453)=0,6&lt;='01_Вводные'!$B$297),0,('19_Расчет_аналитики'!BN1425-'19_Расчет_аналитики'!BN1453)*IF('01_Вводные'!$B$239="Да",MeanMinAge06+'19_Расчет_аналитики'!BN1572*SUMIF(ThresholdAge06,"&lt;"&amp;'19_Расчет_аналитики'!BN1572,WeightedRevAge06)-SUMIF(ThresholdAge06,"&lt;"&amp;'19_Расчет_аналитики'!BN1572,WeightedMinAge06),MAX(CapacityAge06*'01_Вводные'!$B$218*'19_Расчет_аналитики'!BN1572,MeanMinAge06)))</f>
        <v/>
      </c>
      <c r="BO1509">
        <f>IF(OR(('19_Расчет_аналитики'!BO1425-'19_Расчет_аналитики'!BO1453)=0,6&lt;='01_Вводные'!$B$297),0,('19_Расчет_аналитики'!BO1425-'19_Расчет_аналитики'!BO1453)*IF('01_Вводные'!$B$239="Да",MeanMinAge06+'19_Расчет_аналитики'!BO1572*SUMIF(ThresholdAge06,"&lt;"&amp;'19_Расчет_аналитики'!BO1572,WeightedRevAge06)-SUMIF(ThresholdAge06,"&lt;"&amp;'19_Расчет_аналитики'!BO1572,WeightedMinAge06),MAX(CapacityAge06*'01_Вводные'!$B$218*'19_Расчет_аналитики'!BO1572,MeanMinAge06)))</f>
        <v/>
      </c>
    </row>
    <row r="1510">
      <c r="B1510">
        <f>IF(OR(('06_Сеть_и_дети'!B59-'06_Сеть_и_дети'!B87)=0,7&lt;='01_Вводные'!$B$297),0,('06_Сеть_и_дети'!B59-'06_Сеть_и_дети'!B87)*IF('01_Вводные'!$B$239="Да",MeanMinAge07+'19_Расчет_аналитики'!B1572*SUMIF(ThresholdAge07,"&lt;"&amp;'19_Расчет_аналитики'!B1572,WeightedRevAge07)-SUMIF(ThresholdAge07,"&lt;"&amp;'19_Расчет_аналитики'!B1572,WeightedMinAge07),MAX(CapacityAge07*'01_Вводные'!$B$218*'19_Расчет_аналитики'!B1572,MeanMinAge07)))</f>
        <v/>
      </c>
      <c r="C1510">
        <f>IF(OR(('06_Сеть_и_дети'!C59-'06_Сеть_и_дети'!C87)=0,7&lt;='01_Вводные'!$B$297),0,('06_Сеть_и_дети'!C59-'06_Сеть_и_дети'!C87)*IF('01_Вводные'!$B$239="Да",MeanMinAge07+'19_Расчет_аналитики'!C1572*SUMIF(ThresholdAge07,"&lt;"&amp;'19_Расчет_аналитики'!C1572,WeightedRevAge07)-SUMIF(ThresholdAge07,"&lt;"&amp;'19_Расчет_аналитики'!C1572,WeightedMinAge07),MAX(CapacityAge07*'01_Вводные'!$B$218*'19_Расчет_аналитики'!C1572,MeanMinAge07)))</f>
        <v/>
      </c>
      <c r="D1510">
        <f>IF(OR(('06_Сеть_и_дети'!D59-'06_Сеть_и_дети'!D87)=0,7&lt;='01_Вводные'!$B$297),0,('06_Сеть_и_дети'!D59-'06_Сеть_и_дети'!D87)*IF('01_Вводные'!$B$239="Да",MeanMinAge07+'19_Расчет_аналитики'!D1572*SUMIF(ThresholdAge07,"&lt;"&amp;'19_Расчет_аналитики'!D1572,WeightedRevAge07)-SUMIF(ThresholdAge07,"&lt;"&amp;'19_Расчет_аналитики'!D1572,WeightedMinAge07),MAX(CapacityAge07*'01_Вводные'!$B$218*'19_Расчет_аналитики'!D1572,MeanMinAge07)))</f>
        <v/>
      </c>
      <c r="E1510">
        <f>IF(OR(('06_Сеть_и_дети'!E59-'06_Сеть_и_дети'!E87)=0,7&lt;='01_Вводные'!$B$297),0,('06_Сеть_и_дети'!E59-'06_Сеть_и_дети'!E87)*IF('01_Вводные'!$B$239="Да",MeanMinAge07+'19_Расчет_аналитики'!E1572*SUMIF(ThresholdAge07,"&lt;"&amp;'19_Расчет_аналитики'!E1572,WeightedRevAge07)-SUMIF(ThresholdAge07,"&lt;"&amp;'19_Расчет_аналитики'!E1572,WeightedMinAge07),MAX(CapacityAge07*'01_Вводные'!$B$218*'19_Расчет_аналитики'!E1572,MeanMinAge07)))</f>
        <v/>
      </c>
      <c r="F1510">
        <f>IF(OR(('06_Сеть_и_дети'!F59-'06_Сеть_и_дети'!F87)=0,7&lt;='01_Вводные'!$B$297),0,('06_Сеть_и_дети'!F59-'06_Сеть_и_дети'!F87)*IF('01_Вводные'!$B$239="Да",MeanMinAge07+'19_Расчет_аналитики'!F1572*SUMIF(ThresholdAge07,"&lt;"&amp;'19_Расчет_аналитики'!F1572,WeightedRevAge07)-SUMIF(ThresholdAge07,"&lt;"&amp;'19_Расчет_аналитики'!F1572,WeightedMinAge07),MAX(CapacityAge07*'01_Вводные'!$B$218*'19_Расчет_аналитики'!F1572,MeanMinAge07)))</f>
        <v/>
      </c>
      <c r="G1510">
        <f>IF(OR(('06_Сеть_и_дети'!G59-'06_Сеть_и_дети'!G87)=0,7&lt;='01_Вводные'!$B$297),0,('06_Сеть_и_дети'!G59-'06_Сеть_и_дети'!G87)*IF('01_Вводные'!$B$239="Да",MeanMinAge07+'19_Расчет_аналитики'!G1572*SUMIF(ThresholdAge07,"&lt;"&amp;'19_Расчет_аналитики'!G1572,WeightedRevAge07)-SUMIF(ThresholdAge07,"&lt;"&amp;'19_Расчет_аналитики'!G1572,WeightedMinAge07),MAX(CapacityAge07*'01_Вводные'!$B$218*'19_Расчет_аналитики'!G1572,MeanMinAge07)))</f>
        <v/>
      </c>
      <c r="H1510">
        <f>IF(OR(('19_Расчет_аналитики'!H1426-'19_Расчет_аналитики'!H1454)=0,7&lt;='01_Вводные'!$B$297),0,('19_Расчет_аналитики'!H1426-'19_Расчет_аналитики'!H1454)*IF('01_Вводные'!$B$239="Да",MeanMinAge07+'19_Расчет_аналитики'!H1572*SUMIF(ThresholdAge07,"&lt;"&amp;'19_Расчет_аналитики'!H1572,WeightedRevAge07)-SUMIF(ThresholdAge07,"&lt;"&amp;'19_Расчет_аналитики'!H1572,WeightedMinAge07),MAX(CapacityAge07*'01_Вводные'!$B$218*'19_Расчет_аналитики'!H1572,MeanMinAge07)))</f>
        <v/>
      </c>
      <c r="I1510">
        <f>IF(OR(('19_Расчет_аналитики'!I1426-'19_Расчет_аналитики'!I1454)=0,7&lt;='01_Вводные'!$B$297),0,('19_Расчет_аналитики'!I1426-'19_Расчет_аналитики'!I1454)*IF('01_Вводные'!$B$239="Да",MeanMinAge07+'19_Расчет_аналитики'!I1572*SUMIF(ThresholdAge07,"&lt;"&amp;'19_Расчет_аналитики'!I1572,WeightedRevAge07)-SUMIF(ThresholdAge07,"&lt;"&amp;'19_Расчет_аналитики'!I1572,WeightedMinAge07),MAX(CapacityAge07*'01_Вводные'!$B$218*'19_Расчет_аналитики'!I1572,MeanMinAge07)))</f>
        <v/>
      </c>
      <c r="J1510">
        <f>IF(OR(('19_Расчет_аналитики'!J1426-'19_Расчет_аналитики'!J1454)=0,7&lt;='01_Вводные'!$B$297),0,('19_Расчет_аналитики'!J1426-'19_Расчет_аналитики'!J1454)*IF('01_Вводные'!$B$239="Да",MeanMinAge07+'19_Расчет_аналитики'!J1572*SUMIF(ThresholdAge07,"&lt;"&amp;'19_Расчет_аналитики'!J1572,WeightedRevAge07)-SUMIF(ThresholdAge07,"&lt;"&amp;'19_Расчет_аналитики'!J1572,WeightedMinAge07),MAX(CapacityAge07*'01_Вводные'!$B$218*'19_Расчет_аналитики'!J1572,MeanMinAge07)))</f>
        <v/>
      </c>
      <c r="K1510">
        <f>IF(OR(('19_Расчет_аналитики'!K1426-'19_Расчет_аналитики'!K1454)=0,7&lt;='01_Вводные'!$B$297),0,('19_Расчет_аналитики'!K1426-'19_Расчет_аналитики'!K1454)*IF('01_Вводные'!$B$239="Да",MeanMinAge07+'19_Расчет_аналитики'!K1572*SUMIF(ThresholdAge07,"&lt;"&amp;'19_Расчет_аналитики'!K1572,WeightedRevAge07)-SUMIF(ThresholdAge07,"&lt;"&amp;'19_Расчет_аналитики'!K1572,WeightedMinAge07),MAX(CapacityAge07*'01_Вводные'!$B$218*'19_Расчет_аналитики'!K1572,MeanMinAge07)))</f>
        <v/>
      </c>
      <c r="L1510">
        <f>IF(OR(('19_Расчет_аналитики'!L1426-'19_Расчет_аналитики'!L1454)=0,7&lt;='01_Вводные'!$B$297),0,('19_Расчет_аналитики'!L1426-'19_Расчет_аналитики'!L1454)*IF('01_Вводные'!$B$239="Да",MeanMinAge07+'19_Расчет_аналитики'!L1572*SUMIF(ThresholdAge07,"&lt;"&amp;'19_Расчет_аналитики'!L1572,WeightedRevAge07)-SUMIF(ThresholdAge07,"&lt;"&amp;'19_Расчет_аналитики'!L1572,WeightedMinAge07),MAX(CapacityAge07*'01_Вводные'!$B$218*'19_Расчет_аналитики'!L1572,MeanMinAge07)))</f>
        <v/>
      </c>
      <c r="M1510">
        <f>IF(OR(('19_Расчет_аналитики'!M1426-'19_Расчет_аналитики'!M1454)=0,7&lt;='01_Вводные'!$B$297),0,('19_Расчет_аналитики'!M1426-'19_Расчет_аналитики'!M1454)*IF('01_Вводные'!$B$239="Да",MeanMinAge07+'19_Расчет_аналитики'!M1572*SUMIF(ThresholdAge07,"&lt;"&amp;'19_Расчет_аналитики'!M1572,WeightedRevAge07)-SUMIF(ThresholdAge07,"&lt;"&amp;'19_Расчет_аналитики'!M1572,WeightedMinAge07),MAX(CapacityAge07*'01_Вводные'!$B$218*'19_Расчет_аналитики'!M1572,MeanMinAge07)))</f>
        <v/>
      </c>
      <c r="N1510">
        <f>IF(OR(('19_Расчет_аналитики'!N1426-'19_Расчет_аналитики'!N1454)=0,7&lt;='01_Вводные'!$B$297),0,('19_Расчет_аналитики'!N1426-'19_Расчет_аналитики'!N1454)*IF('01_Вводные'!$B$239="Да",MeanMinAge07+'19_Расчет_аналитики'!N1572*SUMIF(ThresholdAge07,"&lt;"&amp;'19_Расчет_аналитики'!N1572,WeightedRevAge07)-SUMIF(ThresholdAge07,"&lt;"&amp;'19_Расчет_аналитики'!N1572,WeightedMinAge07),MAX(CapacityAge07*'01_Вводные'!$B$218*'19_Расчет_аналитики'!N1572,MeanMinAge07)))</f>
        <v/>
      </c>
      <c r="O1510">
        <f>IF(OR(('19_Расчет_аналитики'!O1426-'19_Расчет_аналитики'!O1454)=0,7&lt;='01_Вводные'!$B$297),0,('19_Расчет_аналитики'!O1426-'19_Расчет_аналитики'!O1454)*IF('01_Вводные'!$B$239="Да",MeanMinAge07+'19_Расчет_аналитики'!O1572*SUMIF(ThresholdAge07,"&lt;"&amp;'19_Расчет_аналитики'!O1572,WeightedRevAge07)-SUMIF(ThresholdAge07,"&lt;"&amp;'19_Расчет_аналитики'!O1572,WeightedMinAge07),MAX(CapacityAge07*'01_Вводные'!$B$218*'19_Расчет_аналитики'!O1572,MeanMinAge07)))</f>
        <v/>
      </c>
      <c r="P1510">
        <f>IF(OR(('19_Расчет_аналитики'!P1426-'19_Расчет_аналитики'!P1454)=0,7&lt;='01_Вводные'!$B$297),0,('19_Расчет_аналитики'!P1426-'19_Расчет_аналитики'!P1454)*IF('01_Вводные'!$B$239="Да",MeanMinAge07+'19_Расчет_аналитики'!P1572*SUMIF(ThresholdAge07,"&lt;"&amp;'19_Расчет_аналитики'!P1572,WeightedRevAge07)-SUMIF(ThresholdAge07,"&lt;"&amp;'19_Расчет_аналитики'!P1572,WeightedMinAge07),MAX(CapacityAge07*'01_Вводные'!$B$218*'19_Расчет_аналитики'!P1572,MeanMinAge07)))</f>
        <v/>
      </c>
      <c r="Q1510">
        <f>IF(OR(('19_Расчет_аналитики'!Q1426-'19_Расчет_аналитики'!Q1454)=0,7&lt;='01_Вводные'!$B$297),0,('19_Расчет_аналитики'!Q1426-'19_Расчет_аналитики'!Q1454)*IF('01_Вводные'!$B$239="Да",MeanMinAge07+'19_Расчет_аналитики'!Q1572*SUMIF(ThresholdAge07,"&lt;"&amp;'19_Расчет_аналитики'!Q1572,WeightedRevAge07)-SUMIF(ThresholdAge07,"&lt;"&amp;'19_Расчет_аналитики'!Q1572,WeightedMinAge07),MAX(CapacityAge07*'01_Вводные'!$B$218*'19_Расчет_аналитики'!Q1572,MeanMinAge07)))</f>
        <v/>
      </c>
      <c r="R1510">
        <f>IF(OR(('19_Расчет_аналитики'!R1426-'19_Расчет_аналитики'!R1454)=0,7&lt;='01_Вводные'!$B$297),0,('19_Расчет_аналитики'!R1426-'19_Расчет_аналитики'!R1454)*IF('01_Вводные'!$B$239="Да",MeanMinAge07+'19_Расчет_аналитики'!R1572*SUMIF(ThresholdAge07,"&lt;"&amp;'19_Расчет_аналитики'!R1572,WeightedRevAge07)-SUMIF(ThresholdAge07,"&lt;"&amp;'19_Расчет_аналитики'!R1572,WeightedMinAge07),MAX(CapacityAge07*'01_Вводные'!$B$218*'19_Расчет_аналитики'!R1572,MeanMinAge07)))</f>
        <v/>
      </c>
      <c r="S1510">
        <f>IF(OR(('19_Расчет_аналитики'!S1426-'19_Расчет_аналитики'!S1454)=0,7&lt;='01_Вводные'!$B$297),0,('19_Расчет_аналитики'!S1426-'19_Расчет_аналитики'!S1454)*IF('01_Вводные'!$B$239="Да",MeanMinAge07+'19_Расчет_аналитики'!S1572*SUMIF(ThresholdAge07,"&lt;"&amp;'19_Расчет_аналитики'!S1572,WeightedRevAge07)-SUMIF(ThresholdAge07,"&lt;"&amp;'19_Расчет_аналитики'!S1572,WeightedMinAge07),MAX(CapacityAge07*'01_Вводные'!$B$218*'19_Расчет_аналитики'!S1572,MeanMinAge07)))</f>
        <v/>
      </c>
      <c r="T1510">
        <f>IF(OR(('19_Расчет_аналитики'!T1426-'19_Расчет_аналитики'!T1454)=0,7&lt;='01_Вводные'!$B$297),0,('19_Расчет_аналитики'!T1426-'19_Расчет_аналитики'!T1454)*IF('01_Вводные'!$B$239="Да",MeanMinAge07+'19_Расчет_аналитики'!T1572*SUMIF(ThresholdAge07,"&lt;"&amp;'19_Расчет_аналитики'!T1572,WeightedRevAge07)-SUMIF(ThresholdAge07,"&lt;"&amp;'19_Расчет_аналитики'!T1572,WeightedMinAge07),MAX(CapacityAge07*'01_Вводные'!$B$218*'19_Расчет_аналитики'!T1572,MeanMinAge07)))</f>
        <v/>
      </c>
      <c r="U1510">
        <f>IF(OR(('19_Расчет_аналитики'!U1426-'19_Расчет_аналитики'!U1454)=0,7&lt;='01_Вводные'!$B$297),0,('19_Расчет_аналитики'!U1426-'19_Расчет_аналитики'!U1454)*IF('01_Вводные'!$B$239="Да",MeanMinAge07+'19_Расчет_аналитики'!U1572*SUMIF(ThresholdAge07,"&lt;"&amp;'19_Расчет_аналитики'!U1572,WeightedRevAge07)-SUMIF(ThresholdAge07,"&lt;"&amp;'19_Расчет_аналитики'!U1572,WeightedMinAge07),MAX(CapacityAge07*'01_Вводные'!$B$218*'19_Расчет_аналитики'!U1572,MeanMinAge07)))</f>
        <v/>
      </c>
      <c r="V1510">
        <f>IF(OR(('19_Расчет_аналитики'!V1426-'19_Расчет_аналитики'!V1454)=0,7&lt;='01_Вводные'!$B$297),0,('19_Расчет_аналитики'!V1426-'19_Расчет_аналитики'!V1454)*IF('01_Вводные'!$B$239="Да",MeanMinAge07+'19_Расчет_аналитики'!V1572*SUMIF(ThresholdAge07,"&lt;"&amp;'19_Расчет_аналитики'!V1572,WeightedRevAge07)-SUMIF(ThresholdAge07,"&lt;"&amp;'19_Расчет_аналитики'!V1572,WeightedMinAge07),MAX(CapacityAge07*'01_Вводные'!$B$218*'19_Расчет_аналитики'!V1572,MeanMinAge07)))</f>
        <v/>
      </c>
      <c r="W1510">
        <f>IF(OR(('19_Расчет_аналитики'!W1426-'19_Расчет_аналитики'!W1454)=0,7&lt;='01_Вводные'!$B$297),0,('19_Расчет_аналитики'!W1426-'19_Расчет_аналитики'!W1454)*IF('01_Вводные'!$B$239="Да",MeanMinAge07+'19_Расчет_аналитики'!W1572*SUMIF(ThresholdAge07,"&lt;"&amp;'19_Расчет_аналитики'!W1572,WeightedRevAge07)-SUMIF(ThresholdAge07,"&lt;"&amp;'19_Расчет_аналитики'!W1572,WeightedMinAge07),MAX(CapacityAge07*'01_Вводные'!$B$218*'19_Расчет_аналитики'!W1572,MeanMinAge07)))</f>
        <v/>
      </c>
      <c r="X1510">
        <f>IF(OR(('19_Расчет_аналитики'!X1426-'19_Расчет_аналитики'!X1454)=0,7&lt;='01_Вводные'!$B$297),0,('19_Расчет_аналитики'!X1426-'19_Расчет_аналитики'!X1454)*IF('01_Вводные'!$B$239="Да",MeanMinAge07+'19_Расчет_аналитики'!X1572*SUMIF(ThresholdAge07,"&lt;"&amp;'19_Расчет_аналитики'!X1572,WeightedRevAge07)-SUMIF(ThresholdAge07,"&lt;"&amp;'19_Расчет_аналитики'!X1572,WeightedMinAge07),MAX(CapacityAge07*'01_Вводные'!$B$218*'19_Расчет_аналитики'!X1572,MeanMinAge07)))</f>
        <v/>
      </c>
      <c r="Y1510">
        <f>IF(OR(('19_Расчет_аналитики'!Y1426-'19_Расчет_аналитики'!Y1454)=0,7&lt;='01_Вводные'!$B$297),0,('19_Расчет_аналитики'!Y1426-'19_Расчет_аналитики'!Y1454)*IF('01_Вводные'!$B$239="Да",MeanMinAge07+'19_Расчет_аналитики'!Y1572*SUMIF(ThresholdAge07,"&lt;"&amp;'19_Расчет_аналитики'!Y1572,WeightedRevAge07)-SUMIF(ThresholdAge07,"&lt;"&amp;'19_Расчет_аналитики'!Y1572,WeightedMinAge07),MAX(CapacityAge07*'01_Вводные'!$B$218*'19_Расчет_аналитики'!Y1572,MeanMinAge07)))</f>
        <v/>
      </c>
      <c r="Z1510">
        <f>IF(OR(('19_Расчет_аналитики'!Z1426-'19_Расчет_аналитики'!Z1454)=0,7&lt;='01_Вводные'!$B$297),0,('19_Расчет_аналитики'!Z1426-'19_Расчет_аналитики'!Z1454)*IF('01_Вводные'!$B$239="Да",MeanMinAge07+'19_Расчет_аналитики'!Z1572*SUMIF(ThresholdAge07,"&lt;"&amp;'19_Расчет_аналитики'!Z1572,WeightedRevAge07)-SUMIF(ThresholdAge07,"&lt;"&amp;'19_Расчет_аналитики'!Z1572,WeightedMinAge07),MAX(CapacityAge07*'01_Вводные'!$B$218*'19_Расчет_аналитики'!Z1572,MeanMinAge07)))</f>
        <v/>
      </c>
      <c r="AA1510">
        <f>IF(OR(('19_Расчет_аналитики'!AA1426-'19_Расчет_аналитики'!AA1454)=0,7&lt;='01_Вводные'!$B$297),0,('19_Расчет_аналитики'!AA1426-'19_Расчет_аналитики'!AA1454)*IF('01_Вводные'!$B$239="Да",MeanMinAge07+'19_Расчет_аналитики'!AA1572*SUMIF(ThresholdAge07,"&lt;"&amp;'19_Расчет_аналитики'!AA1572,WeightedRevAge07)-SUMIF(ThresholdAge07,"&lt;"&amp;'19_Расчет_аналитики'!AA1572,WeightedMinAge07),MAX(CapacityAge07*'01_Вводные'!$B$218*'19_Расчет_аналитики'!AA1572,MeanMinAge07)))</f>
        <v/>
      </c>
      <c r="AB1510">
        <f>IF(OR(('19_Расчет_аналитики'!AB1426-'19_Расчет_аналитики'!AB1454)=0,7&lt;='01_Вводные'!$B$297),0,('19_Расчет_аналитики'!AB1426-'19_Расчет_аналитики'!AB1454)*IF('01_Вводные'!$B$239="Да",MeanMinAge07+'19_Расчет_аналитики'!AB1572*SUMIF(ThresholdAge07,"&lt;"&amp;'19_Расчет_аналитики'!AB1572,WeightedRevAge07)-SUMIF(ThresholdAge07,"&lt;"&amp;'19_Расчет_аналитики'!AB1572,WeightedMinAge07),MAX(CapacityAge07*'01_Вводные'!$B$218*'19_Расчет_аналитики'!AB1572,MeanMinAge07)))</f>
        <v/>
      </c>
      <c r="AC1510">
        <f>IF(OR(('19_Расчет_аналитики'!AC1426-'19_Расчет_аналитики'!AC1454)=0,7&lt;='01_Вводные'!$B$297),0,('19_Расчет_аналитики'!AC1426-'19_Расчет_аналитики'!AC1454)*IF('01_Вводные'!$B$239="Да",MeanMinAge07+'19_Расчет_аналитики'!AC1572*SUMIF(ThresholdAge07,"&lt;"&amp;'19_Расчет_аналитики'!AC1572,WeightedRevAge07)-SUMIF(ThresholdAge07,"&lt;"&amp;'19_Расчет_аналитики'!AC1572,WeightedMinAge07),MAX(CapacityAge07*'01_Вводные'!$B$218*'19_Расчет_аналитики'!AC1572,MeanMinAge07)))</f>
        <v/>
      </c>
      <c r="AD1510">
        <f>IF(OR(('19_Расчет_аналитики'!AD1426-'19_Расчет_аналитики'!AD1454)=0,7&lt;='01_Вводные'!$B$297),0,('19_Расчет_аналитики'!AD1426-'19_Расчет_аналитики'!AD1454)*IF('01_Вводные'!$B$239="Да",MeanMinAge07+'19_Расчет_аналитики'!AD1572*SUMIF(ThresholdAge07,"&lt;"&amp;'19_Расчет_аналитики'!AD1572,WeightedRevAge07)-SUMIF(ThresholdAge07,"&lt;"&amp;'19_Расчет_аналитики'!AD1572,WeightedMinAge07),MAX(CapacityAge07*'01_Вводные'!$B$218*'19_Расчет_аналитики'!AD1572,MeanMinAge07)))</f>
        <v/>
      </c>
      <c r="AE1510">
        <f>IF(OR(('19_Расчет_аналитики'!AE1426-'19_Расчет_аналитики'!AE1454)=0,7&lt;='01_Вводные'!$B$297),0,('19_Расчет_аналитики'!AE1426-'19_Расчет_аналитики'!AE1454)*IF('01_Вводные'!$B$239="Да",MeanMinAge07+'19_Расчет_аналитики'!AE1572*SUMIF(ThresholdAge07,"&lt;"&amp;'19_Расчет_аналитики'!AE1572,WeightedRevAge07)-SUMIF(ThresholdAge07,"&lt;"&amp;'19_Расчет_аналитики'!AE1572,WeightedMinAge07),MAX(CapacityAge07*'01_Вводные'!$B$218*'19_Расчет_аналитики'!AE1572,MeanMinAge07)))</f>
        <v/>
      </c>
      <c r="AF1510">
        <f>IF(OR(('19_Расчет_аналитики'!AF1426-'19_Расчет_аналитики'!AF1454)=0,7&lt;='01_Вводные'!$B$297),0,('19_Расчет_аналитики'!AF1426-'19_Расчет_аналитики'!AF1454)*IF('01_Вводные'!$B$239="Да",MeanMinAge07+'19_Расчет_аналитики'!AF1572*SUMIF(ThresholdAge07,"&lt;"&amp;'19_Расчет_аналитики'!AF1572,WeightedRevAge07)-SUMIF(ThresholdAge07,"&lt;"&amp;'19_Расчет_аналитики'!AF1572,WeightedMinAge07),MAX(CapacityAge07*'01_Вводные'!$B$218*'19_Расчет_аналитики'!AF1572,MeanMinAge07)))</f>
        <v/>
      </c>
      <c r="AG1510">
        <f>IF(OR(('19_Расчет_аналитики'!AG1426-'19_Расчет_аналитики'!AG1454)=0,7&lt;='01_Вводные'!$B$297),0,('19_Расчет_аналитики'!AG1426-'19_Расчет_аналитики'!AG1454)*IF('01_Вводные'!$B$239="Да",MeanMinAge07+'19_Расчет_аналитики'!AG1572*SUMIF(ThresholdAge07,"&lt;"&amp;'19_Расчет_аналитики'!AG1572,WeightedRevAge07)-SUMIF(ThresholdAge07,"&lt;"&amp;'19_Расчет_аналитики'!AG1572,WeightedMinAge07),MAX(CapacityAge07*'01_Вводные'!$B$218*'19_Расчет_аналитики'!AG1572,MeanMinAge07)))</f>
        <v/>
      </c>
      <c r="AH1510">
        <f>IF(OR(('19_Расчет_аналитики'!AH1426-'19_Расчет_аналитики'!AH1454)=0,7&lt;='01_Вводные'!$B$297),0,('19_Расчет_аналитики'!AH1426-'19_Расчет_аналитики'!AH1454)*IF('01_Вводные'!$B$239="Да",MeanMinAge07+'19_Расчет_аналитики'!AH1572*SUMIF(ThresholdAge07,"&lt;"&amp;'19_Расчет_аналитики'!AH1572,WeightedRevAge07)-SUMIF(ThresholdAge07,"&lt;"&amp;'19_Расчет_аналитики'!AH1572,WeightedMinAge07),MAX(CapacityAge07*'01_Вводные'!$B$218*'19_Расчет_аналитики'!AH1572,MeanMinAge07)))</f>
        <v/>
      </c>
      <c r="AI1510">
        <f>IF(OR(('19_Расчет_аналитики'!AI1426-'19_Расчет_аналитики'!AI1454)=0,7&lt;='01_Вводные'!$B$297),0,('19_Расчет_аналитики'!AI1426-'19_Расчет_аналитики'!AI1454)*IF('01_Вводные'!$B$239="Да",MeanMinAge07+'19_Расчет_аналитики'!AI1572*SUMIF(ThresholdAge07,"&lt;"&amp;'19_Расчет_аналитики'!AI1572,WeightedRevAge07)-SUMIF(ThresholdAge07,"&lt;"&amp;'19_Расчет_аналитики'!AI1572,WeightedMinAge07),MAX(CapacityAge07*'01_Вводные'!$B$218*'19_Расчет_аналитики'!AI1572,MeanMinAge07)))</f>
        <v/>
      </c>
      <c r="AJ1510">
        <f>IF(OR(('19_Расчет_аналитики'!AJ1426-'19_Расчет_аналитики'!AJ1454)=0,7&lt;='01_Вводные'!$B$297),0,('19_Расчет_аналитики'!AJ1426-'19_Расчет_аналитики'!AJ1454)*IF('01_Вводные'!$B$239="Да",MeanMinAge07+'19_Расчет_аналитики'!AJ1572*SUMIF(ThresholdAge07,"&lt;"&amp;'19_Расчет_аналитики'!AJ1572,WeightedRevAge07)-SUMIF(ThresholdAge07,"&lt;"&amp;'19_Расчет_аналитики'!AJ1572,WeightedMinAge07),MAX(CapacityAge07*'01_Вводные'!$B$218*'19_Расчет_аналитики'!AJ1572,MeanMinAge07)))</f>
        <v/>
      </c>
      <c r="AK1510">
        <f>IF(OR(('19_Расчет_аналитики'!AK1426-'19_Расчет_аналитики'!AK1454)=0,7&lt;='01_Вводные'!$B$297),0,('19_Расчет_аналитики'!AK1426-'19_Расчет_аналитики'!AK1454)*IF('01_Вводные'!$B$239="Да",MeanMinAge07+'19_Расчет_аналитики'!AK1572*SUMIF(ThresholdAge07,"&lt;"&amp;'19_Расчет_аналитики'!AK1572,WeightedRevAge07)-SUMIF(ThresholdAge07,"&lt;"&amp;'19_Расчет_аналитики'!AK1572,WeightedMinAge07),MAX(CapacityAge07*'01_Вводные'!$B$218*'19_Расчет_аналитики'!AK1572,MeanMinAge07)))</f>
        <v/>
      </c>
      <c r="AL1510">
        <f>IF(OR(('19_Расчет_аналитики'!AL1426-'19_Расчет_аналитики'!AL1454)=0,7&lt;='01_Вводные'!$B$297),0,('19_Расчет_аналитики'!AL1426-'19_Расчет_аналитики'!AL1454)*IF('01_Вводные'!$B$239="Да",MeanMinAge07+'19_Расчет_аналитики'!AL1572*SUMIF(ThresholdAge07,"&lt;"&amp;'19_Расчет_аналитики'!AL1572,WeightedRevAge07)-SUMIF(ThresholdAge07,"&lt;"&amp;'19_Расчет_аналитики'!AL1572,WeightedMinAge07),MAX(CapacityAge07*'01_Вводные'!$B$218*'19_Расчет_аналитики'!AL1572,MeanMinAge07)))</f>
        <v/>
      </c>
      <c r="AM1510">
        <f>IF(OR(('19_Расчет_аналитики'!AM1426-'19_Расчет_аналитики'!AM1454)=0,7&lt;='01_Вводные'!$B$297),0,('19_Расчет_аналитики'!AM1426-'19_Расчет_аналитики'!AM1454)*IF('01_Вводные'!$B$239="Да",MeanMinAge07+'19_Расчет_аналитики'!AM1572*SUMIF(ThresholdAge07,"&lt;"&amp;'19_Расчет_аналитики'!AM1572,WeightedRevAge07)-SUMIF(ThresholdAge07,"&lt;"&amp;'19_Расчет_аналитики'!AM1572,WeightedMinAge07),MAX(CapacityAge07*'01_Вводные'!$B$218*'19_Расчет_аналитики'!AM1572,MeanMinAge07)))</f>
        <v/>
      </c>
      <c r="AN1510">
        <f>IF(OR(('19_Расчет_аналитики'!AN1426-'19_Расчет_аналитики'!AN1454)=0,7&lt;='01_Вводные'!$B$297),0,('19_Расчет_аналитики'!AN1426-'19_Расчет_аналитики'!AN1454)*IF('01_Вводные'!$B$239="Да",MeanMinAge07+'19_Расчет_аналитики'!AN1572*SUMIF(ThresholdAge07,"&lt;"&amp;'19_Расчет_аналитики'!AN1572,WeightedRevAge07)-SUMIF(ThresholdAge07,"&lt;"&amp;'19_Расчет_аналитики'!AN1572,WeightedMinAge07),MAX(CapacityAge07*'01_Вводные'!$B$218*'19_Расчет_аналитики'!AN1572,MeanMinAge07)))</f>
        <v/>
      </c>
      <c r="AO1510">
        <f>IF(OR(('19_Расчет_аналитики'!AO1426-'19_Расчет_аналитики'!AO1454)=0,7&lt;='01_Вводные'!$B$297),0,('19_Расчет_аналитики'!AO1426-'19_Расчет_аналитики'!AO1454)*IF('01_Вводные'!$B$239="Да",MeanMinAge07+'19_Расчет_аналитики'!AO1572*SUMIF(ThresholdAge07,"&lt;"&amp;'19_Расчет_аналитики'!AO1572,WeightedRevAge07)-SUMIF(ThresholdAge07,"&lt;"&amp;'19_Расчет_аналитики'!AO1572,WeightedMinAge07),MAX(CapacityAge07*'01_Вводные'!$B$218*'19_Расчет_аналитики'!AO1572,MeanMinAge07)))</f>
        <v/>
      </c>
      <c r="AP1510">
        <f>IF(OR(('19_Расчет_аналитики'!AP1426-'19_Расчет_аналитики'!AP1454)=0,7&lt;='01_Вводные'!$B$297),0,('19_Расчет_аналитики'!AP1426-'19_Расчет_аналитики'!AP1454)*IF('01_Вводные'!$B$239="Да",MeanMinAge07+'19_Расчет_аналитики'!AP1572*SUMIF(ThresholdAge07,"&lt;"&amp;'19_Расчет_аналитики'!AP1572,WeightedRevAge07)-SUMIF(ThresholdAge07,"&lt;"&amp;'19_Расчет_аналитики'!AP1572,WeightedMinAge07),MAX(CapacityAge07*'01_Вводные'!$B$218*'19_Расчет_аналитики'!AP1572,MeanMinAge07)))</f>
        <v/>
      </c>
      <c r="AQ1510">
        <f>IF(OR(('19_Расчет_аналитики'!AQ1426-'19_Расчет_аналитики'!AQ1454)=0,7&lt;='01_Вводные'!$B$297),0,('19_Расчет_аналитики'!AQ1426-'19_Расчет_аналитики'!AQ1454)*IF('01_Вводные'!$B$239="Да",MeanMinAge07+'19_Расчет_аналитики'!AQ1572*SUMIF(ThresholdAge07,"&lt;"&amp;'19_Расчет_аналитики'!AQ1572,WeightedRevAge07)-SUMIF(ThresholdAge07,"&lt;"&amp;'19_Расчет_аналитики'!AQ1572,WeightedMinAge07),MAX(CapacityAge07*'01_Вводные'!$B$218*'19_Расчет_аналитики'!AQ1572,MeanMinAge07)))</f>
        <v/>
      </c>
      <c r="AR1510">
        <f>IF(OR(('19_Расчет_аналитики'!AR1426-'19_Расчет_аналитики'!AR1454)=0,7&lt;='01_Вводные'!$B$297),0,('19_Расчет_аналитики'!AR1426-'19_Расчет_аналитики'!AR1454)*IF('01_Вводные'!$B$239="Да",MeanMinAge07+'19_Расчет_аналитики'!AR1572*SUMIF(ThresholdAge07,"&lt;"&amp;'19_Расчет_аналитики'!AR1572,WeightedRevAge07)-SUMIF(ThresholdAge07,"&lt;"&amp;'19_Расчет_аналитики'!AR1572,WeightedMinAge07),MAX(CapacityAge07*'01_Вводные'!$B$218*'19_Расчет_аналитики'!AR1572,MeanMinAge07)))</f>
        <v/>
      </c>
      <c r="AS1510">
        <f>IF(OR(('19_Расчет_аналитики'!AS1426-'19_Расчет_аналитики'!AS1454)=0,7&lt;='01_Вводные'!$B$297),0,('19_Расчет_аналитики'!AS1426-'19_Расчет_аналитики'!AS1454)*IF('01_Вводные'!$B$239="Да",MeanMinAge07+'19_Расчет_аналитики'!AS1572*SUMIF(ThresholdAge07,"&lt;"&amp;'19_Расчет_аналитики'!AS1572,WeightedRevAge07)-SUMIF(ThresholdAge07,"&lt;"&amp;'19_Расчет_аналитики'!AS1572,WeightedMinAge07),MAX(CapacityAge07*'01_Вводные'!$B$218*'19_Расчет_аналитики'!AS1572,MeanMinAge07)))</f>
        <v/>
      </c>
      <c r="AT1510">
        <f>IF(OR(('19_Расчет_аналитики'!AT1426-'19_Расчет_аналитики'!AT1454)=0,7&lt;='01_Вводные'!$B$297),0,('19_Расчет_аналитики'!AT1426-'19_Расчет_аналитики'!AT1454)*IF('01_Вводные'!$B$239="Да",MeanMinAge07+'19_Расчет_аналитики'!AT1572*SUMIF(ThresholdAge07,"&lt;"&amp;'19_Расчет_аналитики'!AT1572,WeightedRevAge07)-SUMIF(ThresholdAge07,"&lt;"&amp;'19_Расчет_аналитики'!AT1572,WeightedMinAge07),MAX(CapacityAge07*'01_Вводные'!$B$218*'19_Расчет_аналитики'!AT1572,MeanMinAge07)))</f>
        <v/>
      </c>
      <c r="AU1510">
        <f>IF(OR(('19_Расчет_аналитики'!AU1426-'19_Расчет_аналитики'!AU1454)=0,7&lt;='01_Вводные'!$B$297),0,('19_Расчет_аналитики'!AU1426-'19_Расчет_аналитики'!AU1454)*IF('01_Вводные'!$B$239="Да",MeanMinAge07+'19_Расчет_аналитики'!AU1572*SUMIF(ThresholdAge07,"&lt;"&amp;'19_Расчет_аналитики'!AU1572,WeightedRevAge07)-SUMIF(ThresholdAge07,"&lt;"&amp;'19_Расчет_аналитики'!AU1572,WeightedMinAge07),MAX(CapacityAge07*'01_Вводные'!$B$218*'19_Расчет_аналитики'!AU1572,MeanMinAge07)))</f>
        <v/>
      </c>
      <c r="AV1510">
        <f>IF(OR(('19_Расчет_аналитики'!AV1426-'19_Расчет_аналитики'!AV1454)=0,7&lt;='01_Вводные'!$B$297),0,('19_Расчет_аналитики'!AV1426-'19_Расчет_аналитики'!AV1454)*IF('01_Вводные'!$B$239="Да",MeanMinAge07+'19_Расчет_аналитики'!AV1572*SUMIF(ThresholdAge07,"&lt;"&amp;'19_Расчет_аналитики'!AV1572,WeightedRevAge07)-SUMIF(ThresholdAge07,"&lt;"&amp;'19_Расчет_аналитики'!AV1572,WeightedMinAge07),MAX(CapacityAge07*'01_Вводные'!$B$218*'19_Расчет_аналитики'!AV1572,MeanMinAge07)))</f>
        <v/>
      </c>
      <c r="AW1510">
        <f>IF(OR(('19_Расчет_аналитики'!AW1426-'19_Расчет_аналитики'!AW1454)=0,7&lt;='01_Вводные'!$B$297),0,('19_Расчет_аналитики'!AW1426-'19_Расчет_аналитики'!AW1454)*IF('01_Вводные'!$B$239="Да",MeanMinAge07+'19_Расчет_аналитики'!AW1572*SUMIF(ThresholdAge07,"&lt;"&amp;'19_Расчет_аналитики'!AW1572,WeightedRevAge07)-SUMIF(ThresholdAge07,"&lt;"&amp;'19_Расчет_аналитики'!AW1572,WeightedMinAge07),MAX(CapacityAge07*'01_Вводные'!$B$218*'19_Расчет_аналитики'!AW1572,MeanMinAge07)))</f>
        <v/>
      </c>
      <c r="AX1510">
        <f>IF(OR(('19_Расчет_аналитики'!AX1426-'19_Расчет_аналитики'!AX1454)=0,7&lt;='01_Вводные'!$B$297),0,('19_Расчет_аналитики'!AX1426-'19_Расчет_аналитики'!AX1454)*IF('01_Вводные'!$B$239="Да",MeanMinAge07+'19_Расчет_аналитики'!AX1572*SUMIF(ThresholdAge07,"&lt;"&amp;'19_Расчет_аналитики'!AX1572,WeightedRevAge07)-SUMIF(ThresholdAge07,"&lt;"&amp;'19_Расчет_аналитики'!AX1572,WeightedMinAge07),MAX(CapacityAge07*'01_Вводные'!$B$218*'19_Расчет_аналитики'!AX1572,MeanMinAge07)))</f>
        <v/>
      </c>
      <c r="AY1510">
        <f>IF(OR(('19_Расчет_аналитики'!AY1426-'19_Расчет_аналитики'!AY1454)=0,7&lt;='01_Вводные'!$B$297),0,('19_Расчет_аналитики'!AY1426-'19_Расчет_аналитики'!AY1454)*IF('01_Вводные'!$B$239="Да",MeanMinAge07+'19_Расчет_аналитики'!AY1572*SUMIF(ThresholdAge07,"&lt;"&amp;'19_Расчет_аналитики'!AY1572,WeightedRevAge07)-SUMIF(ThresholdAge07,"&lt;"&amp;'19_Расчет_аналитики'!AY1572,WeightedMinAge07),MAX(CapacityAge07*'01_Вводные'!$B$218*'19_Расчет_аналитики'!AY1572,MeanMinAge07)))</f>
        <v/>
      </c>
      <c r="AZ1510">
        <f>IF(OR(('19_Расчет_аналитики'!AZ1426-'19_Расчет_аналитики'!AZ1454)=0,7&lt;='01_Вводные'!$B$297),0,('19_Расчет_аналитики'!AZ1426-'19_Расчет_аналитики'!AZ1454)*IF('01_Вводные'!$B$239="Да",MeanMinAge07+'19_Расчет_аналитики'!AZ1572*SUMIF(ThresholdAge07,"&lt;"&amp;'19_Расчет_аналитики'!AZ1572,WeightedRevAge07)-SUMIF(ThresholdAge07,"&lt;"&amp;'19_Расчет_аналитики'!AZ1572,WeightedMinAge07),MAX(CapacityAge07*'01_Вводные'!$B$218*'19_Расчет_аналитики'!AZ1572,MeanMinAge07)))</f>
        <v/>
      </c>
      <c r="BA1510">
        <f>IF(OR(('19_Расчет_аналитики'!BA1426-'19_Расчет_аналитики'!BA1454)=0,7&lt;='01_Вводные'!$B$297),0,('19_Расчет_аналитики'!BA1426-'19_Расчет_аналитики'!BA1454)*IF('01_Вводные'!$B$239="Да",MeanMinAge07+'19_Расчет_аналитики'!BA1572*SUMIF(ThresholdAge07,"&lt;"&amp;'19_Расчет_аналитики'!BA1572,WeightedRevAge07)-SUMIF(ThresholdAge07,"&lt;"&amp;'19_Расчет_аналитики'!BA1572,WeightedMinAge07),MAX(CapacityAge07*'01_Вводные'!$B$218*'19_Расчет_аналитики'!BA1572,MeanMinAge07)))</f>
        <v/>
      </c>
      <c r="BB1510">
        <f>IF(OR(('19_Расчет_аналитики'!BB1426-'19_Расчет_аналитики'!BB1454)=0,7&lt;='01_Вводные'!$B$297),0,('19_Расчет_аналитики'!BB1426-'19_Расчет_аналитики'!BB1454)*IF('01_Вводные'!$B$239="Да",MeanMinAge07+'19_Расчет_аналитики'!BB1572*SUMIF(ThresholdAge07,"&lt;"&amp;'19_Расчет_аналитики'!BB1572,WeightedRevAge07)-SUMIF(ThresholdAge07,"&lt;"&amp;'19_Расчет_аналитики'!BB1572,WeightedMinAge07),MAX(CapacityAge07*'01_Вводные'!$B$218*'19_Расчет_аналитики'!BB1572,MeanMinAge07)))</f>
        <v/>
      </c>
      <c r="BC1510">
        <f>IF(OR(('19_Расчет_аналитики'!BC1426-'19_Расчет_аналитики'!BC1454)=0,7&lt;='01_Вводные'!$B$297),0,('19_Расчет_аналитики'!BC1426-'19_Расчет_аналитики'!BC1454)*IF('01_Вводные'!$B$239="Да",MeanMinAge07+'19_Расчет_аналитики'!BC1572*SUMIF(ThresholdAge07,"&lt;"&amp;'19_Расчет_аналитики'!BC1572,WeightedRevAge07)-SUMIF(ThresholdAge07,"&lt;"&amp;'19_Расчет_аналитики'!BC1572,WeightedMinAge07),MAX(CapacityAge07*'01_Вводные'!$B$218*'19_Расчет_аналитики'!BC1572,MeanMinAge07)))</f>
        <v/>
      </c>
      <c r="BD1510">
        <f>IF(OR(('19_Расчет_аналитики'!BD1426-'19_Расчет_аналитики'!BD1454)=0,7&lt;='01_Вводные'!$B$297),0,('19_Расчет_аналитики'!BD1426-'19_Расчет_аналитики'!BD1454)*IF('01_Вводные'!$B$239="Да",MeanMinAge07+'19_Расчет_аналитики'!BD1572*SUMIF(ThresholdAge07,"&lt;"&amp;'19_Расчет_аналитики'!BD1572,WeightedRevAge07)-SUMIF(ThresholdAge07,"&lt;"&amp;'19_Расчет_аналитики'!BD1572,WeightedMinAge07),MAX(CapacityAge07*'01_Вводные'!$B$218*'19_Расчет_аналитики'!BD1572,MeanMinAge07)))</f>
        <v/>
      </c>
      <c r="BE1510">
        <f>IF(OR(('19_Расчет_аналитики'!BE1426-'19_Расчет_аналитики'!BE1454)=0,7&lt;='01_Вводные'!$B$297),0,('19_Расчет_аналитики'!BE1426-'19_Расчет_аналитики'!BE1454)*IF('01_Вводные'!$B$239="Да",MeanMinAge07+'19_Расчет_аналитики'!BE1572*SUMIF(ThresholdAge07,"&lt;"&amp;'19_Расчет_аналитики'!BE1572,WeightedRevAge07)-SUMIF(ThresholdAge07,"&lt;"&amp;'19_Расчет_аналитики'!BE1572,WeightedMinAge07),MAX(CapacityAge07*'01_Вводные'!$B$218*'19_Расчет_аналитики'!BE1572,MeanMinAge07)))</f>
        <v/>
      </c>
      <c r="BF1510">
        <f>IF(OR(('19_Расчет_аналитики'!BF1426-'19_Расчет_аналитики'!BF1454)=0,7&lt;='01_Вводные'!$B$297),0,('19_Расчет_аналитики'!BF1426-'19_Расчет_аналитики'!BF1454)*IF('01_Вводные'!$B$239="Да",MeanMinAge07+'19_Расчет_аналитики'!BF1572*SUMIF(ThresholdAge07,"&lt;"&amp;'19_Расчет_аналитики'!BF1572,WeightedRevAge07)-SUMIF(ThresholdAge07,"&lt;"&amp;'19_Расчет_аналитики'!BF1572,WeightedMinAge07),MAX(CapacityAge07*'01_Вводные'!$B$218*'19_Расчет_аналитики'!BF1572,MeanMinAge07)))</f>
        <v/>
      </c>
      <c r="BG1510">
        <f>IF(OR(('19_Расчет_аналитики'!BG1426-'19_Расчет_аналитики'!BG1454)=0,7&lt;='01_Вводные'!$B$297),0,('19_Расчет_аналитики'!BG1426-'19_Расчет_аналитики'!BG1454)*IF('01_Вводные'!$B$239="Да",MeanMinAge07+'19_Расчет_аналитики'!BG1572*SUMIF(ThresholdAge07,"&lt;"&amp;'19_Расчет_аналитики'!BG1572,WeightedRevAge07)-SUMIF(ThresholdAge07,"&lt;"&amp;'19_Расчет_аналитики'!BG1572,WeightedMinAge07),MAX(CapacityAge07*'01_Вводные'!$B$218*'19_Расчет_аналитики'!BG1572,MeanMinAge07)))</f>
        <v/>
      </c>
      <c r="BH1510">
        <f>IF(OR(('19_Расчет_аналитики'!BH1426-'19_Расчет_аналитики'!BH1454)=0,7&lt;='01_Вводные'!$B$297),0,('19_Расчет_аналитики'!BH1426-'19_Расчет_аналитики'!BH1454)*IF('01_Вводные'!$B$239="Да",MeanMinAge07+'19_Расчет_аналитики'!BH1572*SUMIF(ThresholdAge07,"&lt;"&amp;'19_Расчет_аналитики'!BH1572,WeightedRevAge07)-SUMIF(ThresholdAge07,"&lt;"&amp;'19_Расчет_аналитики'!BH1572,WeightedMinAge07),MAX(CapacityAge07*'01_Вводные'!$B$218*'19_Расчет_аналитики'!BH1572,MeanMinAge07)))</f>
        <v/>
      </c>
      <c r="BI1510">
        <f>IF(OR(('19_Расчет_аналитики'!BI1426-'19_Расчет_аналитики'!BI1454)=0,7&lt;='01_Вводные'!$B$297),0,('19_Расчет_аналитики'!BI1426-'19_Расчет_аналитики'!BI1454)*IF('01_Вводные'!$B$239="Да",MeanMinAge07+'19_Расчет_аналитики'!BI1572*SUMIF(ThresholdAge07,"&lt;"&amp;'19_Расчет_аналитики'!BI1572,WeightedRevAge07)-SUMIF(ThresholdAge07,"&lt;"&amp;'19_Расчет_аналитики'!BI1572,WeightedMinAge07),MAX(CapacityAge07*'01_Вводные'!$B$218*'19_Расчет_аналитики'!BI1572,MeanMinAge07)))</f>
        <v/>
      </c>
      <c r="BJ1510">
        <f>IF(OR(('19_Расчет_аналитики'!BJ1426-'19_Расчет_аналитики'!BJ1454)=0,7&lt;='01_Вводные'!$B$297),0,('19_Расчет_аналитики'!BJ1426-'19_Расчет_аналитики'!BJ1454)*IF('01_Вводные'!$B$239="Да",MeanMinAge07+'19_Расчет_аналитики'!BJ1572*SUMIF(ThresholdAge07,"&lt;"&amp;'19_Расчет_аналитики'!BJ1572,WeightedRevAge07)-SUMIF(ThresholdAge07,"&lt;"&amp;'19_Расчет_аналитики'!BJ1572,WeightedMinAge07),MAX(CapacityAge07*'01_Вводные'!$B$218*'19_Расчет_аналитики'!BJ1572,MeanMinAge07)))</f>
        <v/>
      </c>
      <c r="BK1510">
        <f>IF(OR(('19_Расчет_аналитики'!BK1426-'19_Расчет_аналитики'!BK1454)=0,7&lt;='01_Вводные'!$B$297),0,('19_Расчет_аналитики'!BK1426-'19_Расчет_аналитики'!BK1454)*IF('01_Вводные'!$B$239="Да",MeanMinAge07+'19_Расчет_аналитики'!BK1572*SUMIF(ThresholdAge07,"&lt;"&amp;'19_Расчет_аналитики'!BK1572,WeightedRevAge07)-SUMIF(ThresholdAge07,"&lt;"&amp;'19_Расчет_аналитики'!BK1572,WeightedMinAge07),MAX(CapacityAge07*'01_Вводные'!$B$218*'19_Расчет_аналитики'!BK1572,MeanMinAge07)))</f>
        <v/>
      </c>
      <c r="BL1510">
        <f>IF(OR(('19_Расчет_аналитики'!BL1426-'19_Расчет_аналитики'!BL1454)=0,7&lt;='01_Вводные'!$B$297),0,('19_Расчет_аналитики'!BL1426-'19_Расчет_аналитики'!BL1454)*IF('01_Вводные'!$B$239="Да",MeanMinAge07+'19_Расчет_аналитики'!BL1572*SUMIF(ThresholdAge07,"&lt;"&amp;'19_Расчет_аналитики'!BL1572,WeightedRevAge07)-SUMIF(ThresholdAge07,"&lt;"&amp;'19_Расчет_аналитики'!BL1572,WeightedMinAge07),MAX(CapacityAge07*'01_Вводные'!$B$218*'19_Расчет_аналитики'!BL1572,MeanMinAge07)))</f>
        <v/>
      </c>
      <c r="BM1510">
        <f>IF(OR(('19_Расчет_аналитики'!BM1426-'19_Расчет_аналитики'!BM1454)=0,7&lt;='01_Вводные'!$B$297),0,('19_Расчет_аналитики'!BM1426-'19_Расчет_аналитики'!BM1454)*IF('01_Вводные'!$B$239="Да",MeanMinAge07+'19_Расчет_аналитики'!BM1572*SUMIF(ThresholdAge07,"&lt;"&amp;'19_Расчет_аналитики'!BM1572,WeightedRevAge07)-SUMIF(ThresholdAge07,"&lt;"&amp;'19_Расчет_аналитики'!BM1572,WeightedMinAge07),MAX(CapacityAge07*'01_Вводные'!$B$218*'19_Расчет_аналитики'!BM1572,MeanMinAge07)))</f>
        <v/>
      </c>
      <c r="BN1510">
        <f>IF(OR(('19_Расчет_аналитики'!BN1426-'19_Расчет_аналитики'!BN1454)=0,7&lt;='01_Вводные'!$B$297),0,('19_Расчет_аналитики'!BN1426-'19_Расчет_аналитики'!BN1454)*IF('01_Вводные'!$B$239="Да",MeanMinAge07+'19_Расчет_аналитики'!BN1572*SUMIF(ThresholdAge07,"&lt;"&amp;'19_Расчет_аналитики'!BN1572,WeightedRevAge07)-SUMIF(ThresholdAge07,"&lt;"&amp;'19_Расчет_аналитики'!BN1572,WeightedMinAge07),MAX(CapacityAge07*'01_Вводные'!$B$218*'19_Расчет_аналитики'!BN1572,MeanMinAge07)))</f>
        <v/>
      </c>
      <c r="BO1510">
        <f>IF(OR(('19_Расчет_аналитики'!BO1426-'19_Расчет_аналитики'!BO1454)=0,7&lt;='01_Вводные'!$B$297),0,('19_Расчет_аналитики'!BO1426-'19_Расчет_аналитики'!BO1454)*IF('01_Вводные'!$B$239="Да",MeanMinAge07+'19_Расчет_аналитики'!BO1572*SUMIF(ThresholdAge07,"&lt;"&amp;'19_Расчет_аналитики'!BO1572,WeightedRevAge07)-SUMIF(ThresholdAge07,"&lt;"&amp;'19_Расчет_аналитики'!BO1572,WeightedMinAge07),MAX(CapacityAge07*'01_Вводные'!$B$218*'19_Расчет_аналитики'!BO1572,MeanMinAge07)))</f>
        <v/>
      </c>
    </row>
    <row r="1511">
      <c r="B1511">
        <f>IF(OR(('06_Сеть_и_дети'!B60-'06_Сеть_и_дети'!B88)=0,8&lt;='01_Вводные'!$B$297),0,('06_Сеть_и_дети'!B60-'06_Сеть_и_дети'!B88)*IF('01_Вводные'!$B$239="Да",MeanMinAge08+'19_Расчет_аналитики'!B1572*SUMIF(ThresholdAge08,"&lt;"&amp;'19_Расчет_аналитики'!B1572,WeightedRevAge08)-SUMIF(ThresholdAge08,"&lt;"&amp;'19_Расчет_аналитики'!B1572,WeightedMinAge08),MAX(CapacityAge08*'01_Вводные'!$B$218*'19_Расчет_аналитики'!B1572,MeanMinAge08)))</f>
        <v/>
      </c>
      <c r="C1511">
        <f>IF(OR(('06_Сеть_и_дети'!C60-'06_Сеть_и_дети'!C88)=0,8&lt;='01_Вводные'!$B$297),0,('06_Сеть_и_дети'!C60-'06_Сеть_и_дети'!C88)*IF('01_Вводные'!$B$239="Да",MeanMinAge08+'19_Расчет_аналитики'!C1572*SUMIF(ThresholdAge08,"&lt;"&amp;'19_Расчет_аналитики'!C1572,WeightedRevAge08)-SUMIF(ThresholdAge08,"&lt;"&amp;'19_Расчет_аналитики'!C1572,WeightedMinAge08),MAX(CapacityAge08*'01_Вводные'!$B$218*'19_Расчет_аналитики'!C1572,MeanMinAge08)))</f>
        <v/>
      </c>
      <c r="D1511">
        <f>IF(OR(('06_Сеть_и_дети'!D60-'06_Сеть_и_дети'!D88)=0,8&lt;='01_Вводные'!$B$297),0,('06_Сеть_и_дети'!D60-'06_Сеть_и_дети'!D88)*IF('01_Вводные'!$B$239="Да",MeanMinAge08+'19_Расчет_аналитики'!D1572*SUMIF(ThresholdAge08,"&lt;"&amp;'19_Расчет_аналитики'!D1572,WeightedRevAge08)-SUMIF(ThresholdAge08,"&lt;"&amp;'19_Расчет_аналитики'!D1572,WeightedMinAge08),MAX(CapacityAge08*'01_Вводные'!$B$218*'19_Расчет_аналитики'!D1572,MeanMinAge08)))</f>
        <v/>
      </c>
      <c r="E1511">
        <f>IF(OR(('06_Сеть_и_дети'!E60-'06_Сеть_и_дети'!E88)=0,8&lt;='01_Вводные'!$B$297),0,('06_Сеть_и_дети'!E60-'06_Сеть_и_дети'!E88)*IF('01_Вводные'!$B$239="Да",MeanMinAge08+'19_Расчет_аналитики'!E1572*SUMIF(ThresholdAge08,"&lt;"&amp;'19_Расчет_аналитики'!E1572,WeightedRevAge08)-SUMIF(ThresholdAge08,"&lt;"&amp;'19_Расчет_аналитики'!E1572,WeightedMinAge08),MAX(CapacityAge08*'01_Вводные'!$B$218*'19_Расчет_аналитики'!E1572,MeanMinAge08)))</f>
        <v/>
      </c>
      <c r="F1511">
        <f>IF(OR(('06_Сеть_и_дети'!F60-'06_Сеть_и_дети'!F88)=0,8&lt;='01_Вводные'!$B$297),0,('06_Сеть_и_дети'!F60-'06_Сеть_и_дети'!F88)*IF('01_Вводные'!$B$239="Да",MeanMinAge08+'19_Расчет_аналитики'!F1572*SUMIF(ThresholdAge08,"&lt;"&amp;'19_Расчет_аналитики'!F1572,WeightedRevAge08)-SUMIF(ThresholdAge08,"&lt;"&amp;'19_Расчет_аналитики'!F1572,WeightedMinAge08),MAX(CapacityAge08*'01_Вводные'!$B$218*'19_Расчет_аналитики'!F1572,MeanMinAge08)))</f>
        <v/>
      </c>
      <c r="G1511">
        <f>IF(OR(('06_Сеть_и_дети'!G60-'06_Сеть_и_дети'!G88)=0,8&lt;='01_Вводные'!$B$297),0,('06_Сеть_и_дети'!G60-'06_Сеть_и_дети'!G88)*IF('01_Вводные'!$B$239="Да",MeanMinAge08+'19_Расчет_аналитики'!G1572*SUMIF(ThresholdAge08,"&lt;"&amp;'19_Расчет_аналитики'!G1572,WeightedRevAge08)-SUMIF(ThresholdAge08,"&lt;"&amp;'19_Расчет_аналитики'!G1572,WeightedMinAge08),MAX(CapacityAge08*'01_Вводные'!$B$218*'19_Расчет_аналитики'!G1572,MeanMinAge08)))</f>
        <v/>
      </c>
      <c r="H1511">
        <f>IF(OR(('06_Сеть_и_дети'!H60-'06_Сеть_и_дети'!H88)=0,8&lt;='01_Вводные'!$B$297),0,('06_Сеть_и_дети'!H60-'06_Сеть_и_дети'!H88)*IF('01_Вводные'!$B$239="Да",MeanMinAge08+'19_Расчет_аналитики'!H1572*SUMIF(ThresholdAge08,"&lt;"&amp;'19_Расчет_аналитики'!H1572,WeightedRevAge08)-SUMIF(ThresholdAge08,"&lt;"&amp;'19_Расчет_аналитики'!H1572,WeightedMinAge08),MAX(CapacityAge08*'01_Вводные'!$B$218*'19_Расчет_аналитики'!H1572,MeanMinAge08)))</f>
        <v/>
      </c>
      <c r="I1511">
        <f>IF(OR(('19_Расчет_аналитики'!I1427-'19_Расчет_аналитики'!I1455)=0,8&lt;='01_Вводные'!$B$297),0,('19_Расчет_аналитики'!I1427-'19_Расчет_аналитики'!I1455)*IF('01_Вводные'!$B$239="Да",MeanMinAge08+'19_Расчет_аналитики'!I1572*SUMIF(ThresholdAge08,"&lt;"&amp;'19_Расчет_аналитики'!I1572,WeightedRevAge08)-SUMIF(ThresholdAge08,"&lt;"&amp;'19_Расчет_аналитики'!I1572,WeightedMinAge08),MAX(CapacityAge08*'01_Вводные'!$B$218*'19_Расчет_аналитики'!I1572,MeanMinAge08)))</f>
        <v/>
      </c>
      <c r="J1511">
        <f>IF(OR(('19_Расчет_аналитики'!J1427-'19_Расчет_аналитики'!J1455)=0,8&lt;='01_Вводные'!$B$297),0,('19_Расчет_аналитики'!J1427-'19_Расчет_аналитики'!J1455)*IF('01_Вводные'!$B$239="Да",MeanMinAge08+'19_Расчет_аналитики'!J1572*SUMIF(ThresholdAge08,"&lt;"&amp;'19_Расчет_аналитики'!J1572,WeightedRevAge08)-SUMIF(ThresholdAge08,"&lt;"&amp;'19_Расчет_аналитики'!J1572,WeightedMinAge08),MAX(CapacityAge08*'01_Вводные'!$B$218*'19_Расчет_аналитики'!J1572,MeanMinAge08)))</f>
        <v/>
      </c>
      <c r="K1511">
        <f>IF(OR(('19_Расчет_аналитики'!K1427-'19_Расчет_аналитики'!K1455)=0,8&lt;='01_Вводные'!$B$297),0,('19_Расчет_аналитики'!K1427-'19_Расчет_аналитики'!K1455)*IF('01_Вводные'!$B$239="Да",MeanMinAge08+'19_Расчет_аналитики'!K1572*SUMIF(ThresholdAge08,"&lt;"&amp;'19_Расчет_аналитики'!K1572,WeightedRevAge08)-SUMIF(ThresholdAge08,"&lt;"&amp;'19_Расчет_аналитики'!K1572,WeightedMinAge08),MAX(CapacityAge08*'01_Вводные'!$B$218*'19_Расчет_аналитики'!K1572,MeanMinAge08)))</f>
        <v/>
      </c>
      <c r="L1511">
        <f>IF(OR(('19_Расчет_аналитики'!L1427-'19_Расчет_аналитики'!L1455)=0,8&lt;='01_Вводные'!$B$297),0,('19_Расчет_аналитики'!L1427-'19_Расчет_аналитики'!L1455)*IF('01_Вводные'!$B$239="Да",MeanMinAge08+'19_Расчет_аналитики'!L1572*SUMIF(ThresholdAge08,"&lt;"&amp;'19_Расчет_аналитики'!L1572,WeightedRevAge08)-SUMIF(ThresholdAge08,"&lt;"&amp;'19_Расчет_аналитики'!L1572,WeightedMinAge08),MAX(CapacityAge08*'01_Вводные'!$B$218*'19_Расчет_аналитики'!L1572,MeanMinAge08)))</f>
        <v/>
      </c>
      <c r="M1511">
        <f>IF(OR(('19_Расчет_аналитики'!M1427-'19_Расчет_аналитики'!M1455)=0,8&lt;='01_Вводные'!$B$297),0,('19_Расчет_аналитики'!M1427-'19_Расчет_аналитики'!M1455)*IF('01_Вводные'!$B$239="Да",MeanMinAge08+'19_Расчет_аналитики'!M1572*SUMIF(ThresholdAge08,"&lt;"&amp;'19_Расчет_аналитики'!M1572,WeightedRevAge08)-SUMIF(ThresholdAge08,"&lt;"&amp;'19_Расчет_аналитики'!M1572,WeightedMinAge08),MAX(CapacityAge08*'01_Вводные'!$B$218*'19_Расчет_аналитики'!M1572,MeanMinAge08)))</f>
        <v/>
      </c>
      <c r="N1511">
        <f>IF(OR(('19_Расчет_аналитики'!N1427-'19_Расчет_аналитики'!N1455)=0,8&lt;='01_Вводные'!$B$297),0,('19_Расчет_аналитики'!N1427-'19_Расчет_аналитики'!N1455)*IF('01_Вводные'!$B$239="Да",MeanMinAge08+'19_Расчет_аналитики'!N1572*SUMIF(ThresholdAge08,"&lt;"&amp;'19_Расчет_аналитики'!N1572,WeightedRevAge08)-SUMIF(ThresholdAge08,"&lt;"&amp;'19_Расчет_аналитики'!N1572,WeightedMinAge08),MAX(CapacityAge08*'01_Вводные'!$B$218*'19_Расчет_аналитики'!N1572,MeanMinAge08)))</f>
        <v/>
      </c>
      <c r="O1511">
        <f>IF(OR(('19_Расчет_аналитики'!O1427-'19_Расчет_аналитики'!O1455)=0,8&lt;='01_Вводные'!$B$297),0,('19_Расчет_аналитики'!O1427-'19_Расчет_аналитики'!O1455)*IF('01_Вводные'!$B$239="Да",MeanMinAge08+'19_Расчет_аналитики'!O1572*SUMIF(ThresholdAge08,"&lt;"&amp;'19_Расчет_аналитики'!O1572,WeightedRevAge08)-SUMIF(ThresholdAge08,"&lt;"&amp;'19_Расчет_аналитики'!O1572,WeightedMinAge08),MAX(CapacityAge08*'01_Вводные'!$B$218*'19_Расчет_аналитики'!O1572,MeanMinAge08)))</f>
        <v/>
      </c>
      <c r="P1511">
        <f>IF(OR(('19_Расчет_аналитики'!P1427-'19_Расчет_аналитики'!P1455)=0,8&lt;='01_Вводные'!$B$297),0,('19_Расчет_аналитики'!P1427-'19_Расчет_аналитики'!P1455)*IF('01_Вводные'!$B$239="Да",MeanMinAge08+'19_Расчет_аналитики'!P1572*SUMIF(ThresholdAge08,"&lt;"&amp;'19_Расчет_аналитики'!P1572,WeightedRevAge08)-SUMIF(ThresholdAge08,"&lt;"&amp;'19_Расчет_аналитики'!P1572,WeightedMinAge08),MAX(CapacityAge08*'01_Вводные'!$B$218*'19_Расчет_аналитики'!P1572,MeanMinAge08)))</f>
        <v/>
      </c>
      <c r="Q1511">
        <f>IF(OR(('19_Расчет_аналитики'!Q1427-'19_Расчет_аналитики'!Q1455)=0,8&lt;='01_Вводные'!$B$297),0,('19_Расчет_аналитики'!Q1427-'19_Расчет_аналитики'!Q1455)*IF('01_Вводные'!$B$239="Да",MeanMinAge08+'19_Расчет_аналитики'!Q1572*SUMIF(ThresholdAge08,"&lt;"&amp;'19_Расчет_аналитики'!Q1572,WeightedRevAge08)-SUMIF(ThresholdAge08,"&lt;"&amp;'19_Расчет_аналитики'!Q1572,WeightedMinAge08),MAX(CapacityAge08*'01_Вводные'!$B$218*'19_Расчет_аналитики'!Q1572,MeanMinAge08)))</f>
        <v/>
      </c>
      <c r="R1511">
        <f>IF(OR(('19_Расчет_аналитики'!R1427-'19_Расчет_аналитики'!R1455)=0,8&lt;='01_Вводные'!$B$297),0,('19_Расчет_аналитики'!R1427-'19_Расчет_аналитики'!R1455)*IF('01_Вводные'!$B$239="Да",MeanMinAge08+'19_Расчет_аналитики'!R1572*SUMIF(ThresholdAge08,"&lt;"&amp;'19_Расчет_аналитики'!R1572,WeightedRevAge08)-SUMIF(ThresholdAge08,"&lt;"&amp;'19_Расчет_аналитики'!R1572,WeightedMinAge08),MAX(CapacityAge08*'01_Вводные'!$B$218*'19_Расчет_аналитики'!R1572,MeanMinAge08)))</f>
        <v/>
      </c>
      <c r="S1511">
        <f>IF(OR(('19_Расчет_аналитики'!S1427-'19_Расчет_аналитики'!S1455)=0,8&lt;='01_Вводные'!$B$297),0,('19_Расчет_аналитики'!S1427-'19_Расчет_аналитики'!S1455)*IF('01_Вводные'!$B$239="Да",MeanMinAge08+'19_Расчет_аналитики'!S1572*SUMIF(ThresholdAge08,"&lt;"&amp;'19_Расчет_аналитики'!S1572,WeightedRevAge08)-SUMIF(ThresholdAge08,"&lt;"&amp;'19_Расчет_аналитики'!S1572,WeightedMinAge08),MAX(CapacityAge08*'01_Вводные'!$B$218*'19_Расчет_аналитики'!S1572,MeanMinAge08)))</f>
        <v/>
      </c>
      <c r="T1511">
        <f>IF(OR(('19_Расчет_аналитики'!T1427-'19_Расчет_аналитики'!T1455)=0,8&lt;='01_Вводные'!$B$297),0,('19_Расчет_аналитики'!T1427-'19_Расчет_аналитики'!T1455)*IF('01_Вводные'!$B$239="Да",MeanMinAge08+'19_Расчет_аналитики'!T1572*SUMIF(ThresholdAge08,"&lt;"&amp;'19_Расчет_аналитики'!T1572,WeightedRevAge08)-SUMIF(ThresholdAge08,"&lt;"&amp;'19_Расчет_аналитики'!T1572,WeightedMinAge08),MAX(CapacityAge08*'01_Вводные'!$B$218*'19_Расчет_аналитики'!T1572,MeanMinAge08)))</f>
        <v/>
      </c>
      <c r="U1511">
        <f>IF(OR(('19_Расчет_аналитики'!U1427-'19_Расчет_аналитики'!U1455)=0,8&lt;='01_Вводные'!$B$297),0,('19_Расчет_аналитики'!U1427-'19_Расчет_аналитики'!U1455)*IF('01_Вводные'!$B$239="Да",MeanMinAge08+'19_Расчет_аналитики'!U1572*SUMIF(ThresholdAge08,"&lt;"&amp;'19_Расчет_аналитики'!U1572,WeightedRevAge08)-SUMIF(ThresholdAge08,"&lt;"&amp;'19_Расчет_аналитики'!U1572,WeightedMinAge08),MAX(CapacityAge08*'01_Вводные'!$B$218*'19_Расчет_аналитики'!U1572,MeanMinAge08)))</f>
        <v/>
      </c>
      <c r="V1511">
        <f>IF(OR(('19_Расчет_аналитики'!V1427-'19_Расчет_аналитики'!V1455)=0,8&lt;='01_Вводные'!$B$297),0,('19_Расчет_аналитики'!V1427-'19_Расчет_аналитики'!V1455)*IF('01_Вводные'!$B$239="Да",MeanMinAge08+'19_Расчет_аналитики'!V1572*SUMIF(ThresholdAge08,"&lt;"&amp;'19_Расчет_аналитики'!V1572,WeightedRevAge08)-SUMIF(ThresholdAge08,"&lt;"&amp;'19_Расчет_аналитики'!V1572,WeightedMinAge08),MAX(CapacityAge08*'01_Вводные'!$B$218*'19_Расчет_аналитики'!V1572,MeanMinAge08)))</f>
        <v/>
      </c>
      <c r="W1511">
        <f>IF(OR(('19_Расчет_аналитики'!W1427-'19_Расчет_аналитики'!W1455)=0,8&lt;='01_Вводные'!$B$297),0,('19_Расчет_аналитики'!W1427-'19_Расчет_аналитики'!W1455)*IF('01_Вводные'!$B$239="Да",MeanMinAge08+'19_Расчет_аналитики'!W1572*SUMIF(ThresholdAge08,"&lt;"&amp;'19_Расчет_аналитики'!W1572,WeightedRevAge08)-SUMIF(ThresholdAge08,"&lt;"&amp;'19_Расчет_аналитики'!W1572,WeightedMinAge08),MAX(CapacityAge08*'01_Вводные'!$B$218*'19_Расчет_аналитики'!W1572,MeanMinAge08)))</f>
        <v/>
      </c>
      <c r="X1511">
        <f>IF(OR(('19_Расчет_аналитики'!X1427-'19_Расчет_аналитики'!X1455)=0,8&lt;='01_Вводные'!$B$297),0,('19_Расчет_аналитики'!X1427-'19_Расчет_аналитики'!X1455)*IF('01_Вводные'!$B$239="Да",MeanMinAge08+'19_Расчет_аналитики'!X1572*SUMIF(ThresholdAge08,"&lt;"&amp;'19_Расчет_аналитики'!X1572,WeightedRevAge08)-SUMIF(ThresholdAge08,"&lt;"&amp;'19_Расчет_аналитики'!X1572,WeightedMinAge08),MAX(CapacityAge08*'01_Вводные'!$B$218*'19_Расчет_аналитики'!X1572,MeanMinAge08)))</f>
        <v/>
      </c>
      <c r="Y1511">
        <f>IF(OR(('19_Расчет_аналитики'!Y1427-'19_Расчет_аналитики'!Y1455)=0,8&lt;='01_Вводные'!$B$297),0,('19_Расчет_аналитики'!Y1427-'19_Расчет_аналитики'!Y1455)*IF('01_Вводные'!$B$239="Да",MeanMinAge08+'19_Расчет_аналитики'!Y1572*SUMIF(ThresholdAge08,"&lt;"&amp;'19_Расчет_аналитики'!Y1572,WeightedRevAge08)-SUMIF(ThresholdAge08,"&lt;"&amp;'19_Расчет_аналитики'!Y1572,WeightedMinAge08),MAX(CapacityAge08*'01_Вводные'!$B$218*'19_Расчет_аналитики'!Y1572,MeanMinAge08)))</f>
        <v/>
      </c>
      <c r="Z1511">
        <f>IF(OR(('19_Расчет_аналитики'!Z1427-'19_Расчет_аналитики'!Z1455)=0,8&lt;='01_Вводные'!$B$297),0,('19_Расчет_аналитики'!Z1427-'19_Расчет_аналитики'!Z1455)*IF('01_Вводные'!$B$239="Да",MeanMinAge08+'19_Расчет_аналитики'!Z1572*SUMIF(ThresholdAge08,"&lt;"&amp;'19_Расчет_аналитики'!Z1572,WeightedRevAge08)-SUMIF(ThresholdAge08,"&lt;"&amp;'19_Расчет_аналитики'!Z1572,WeightedMinAge08),MAX(CapacityAge08*'01_Вводные'!$B$218*'19_Расчет_аналитики'!Z1572,MeanMinAge08)))</f>
        <v/>
      </c>
      <c r="AA1511">
        <f>IF(OR(('19_Расчет_аналитики'!AA1427-'19_Расчет_аналитики'!AA1455)=0,8&lt;='01_Вводные'!$B$297),0,('19_Расчет_аналитики'!AA1427-'19_Расчет_аналитики'!AA1455)*IF('01_Вводные'!$B$239="Да",MeanMinAge08+'19_Расчет_аналитики'!AA1572*SUMIF(ThresholdAge08,"&lt;"&amp;'19_Расчет_аналитики'!AA1572,WeightedRevAge08)-SUMIF(ThresholdAge08,"&lt;"&amp;'19_Расчет_аналитики'!AA1572,WeightedMinAge08),MAX(CapacityAge08*'01_Вводные'!$B$218*'19_Расчет_аналитики'!AA1572,MeanMinAge08)))</f>
        <v/>
      </c>
      <c r="AB1511">
        <f>IF(OR(('19_Расчет_аналитики'!AB1427-'19_Расчет_аналитики'!AB1455)=0,8&lt;='01_Вводные'!$B$297),0,('19_Расчет_аналитики'!AB1427-'19_Расчет_аналитики'!AB1455)*IF('01_Вводные'!$B$239="Да",MeanMinAge08+'19_Расчет_аналитики'!AB1572*SUMIF(ThresholdAge08,"&lt;"&amp;'19_Расчет_аналитики'!AB1572,WeightedRevAge08)-SUMIF(ThresholdAge08,"&lt;"&amp;'19_Расчет_аналитики'!AB1572,WeightedMinAge08),MAX(CapacityAge08*'01_Вводные'!$B$218*'19_Расчет_аналитики'!AB1572,MeanMinAge08)))</f>
        <v/>
      </c>
      <c r="AC1511">
        <f>IF(OR(('19_Расчет_аналитики'!AC1427-'19_Расчет_аналитики'!AC1455)=0,8&lt;='01_Вводные'!$B$297),0,('19_Расчет_аналитики'!AC1427-'19_Расчет_аналитики'!AC1455)*IF('01_Вводные'!$B$239="Да",MeanMinAge08+'19_Расчет_аналитики'!AC1572*SUMIF(ThresholdAge08,"&lt;"&amp;'19_Расчет_аналитики'!AC1572,WeightedRevAge08)-SUMIF(ThresholdAge08,"&lt;"&amp;'19_Расчет_аналитики'!AC1572,WeightedMinAge08),MAX(CapacityAge08*'01_Вводные'!$B$218*'19_Расчет_аналитики'!AC1572,MeanMinAge08)))</f>
        <v/>
      </c>
      <c r="AD1511">
        <f>IF(OR(('19_Расчет_аналитики'!AD1427-'19_Расчет_аналитики'!AD1455)=0,8&lt;='01_Вводные'!$B$297),0,('19_Расчет_аналитики'!AD1427-'19_Расчет_аналитики'!AD1455)*IF('01_Вводные'!$B$239="Да",MeanMinAge08+'19_Расчет_аналитики'!AD1572*SUMIF(ThresholdAge08,"&lt;"&amp;'19_Расчет_аналитики'!AD1572,WeightedRevAge08)-SUMIF(ThresholdAge08,"&lt;"&amp;'19_Расчет_аналитики'!AD1572,WeightedMinAge08),MAX(CapacityAge08*'01_Вводные'!$B$218*'19_Расчет_аналитики'!AD1572,MeanMinAge08)))</f>
        <v/>
      </c>
      <c r="AE1511">
        <f>IF(OR(('19_Расчет_аналитики'!AE1427-'19_Расчет_аналитики'!AE1455)=0,8&lt;='01_Вводные'!$B$297),0,('19_Расчет_аналитики'!AE1427-'19_Расчет_аналитики'!AE1455)*IF('01_Вводные'!$B$239="Да",MeanMinAge08+'19_Расчет_аналитики'!AE1572*SUMIF(ThresholdAge08,"&lt;"&amp;'19_Расчет_аналитики'!AE1572,WeightedRevAge08)-SUMIF(ThresholdAge08,"&lt;"&amp;'19_Расчет_аналитики'!AE1572,WeightedMinAge08),MAX(CapacityAge08*'01_Вводные'!$B$218*'19_Расчет_аналитики'!AE1572,MeanMinAge08)))</f>
        <v/>
      </c>
      <c r="AF1511">
        <f>IF(OR(('19_Расчет_аналитики'!AF1427-'19_Расчет_аналитики'!AF1455)=0,8&lt;='01_Вводные'!$B$297),0,('19_Расчет_аналитики'!AF1427-'19_Расчет_аналитики'!AF1455)*IF('01_Вводные'!$B$239="Да",MeanMinAge08+'19_Расчет_аналитики'!AF1572*SUMIF(ThresholdAge08,"&lt;"&amp;'19_Расчет_аналитики'!AF1572,WeightedRevAge08)-SUMIF(ThresholdAge08,"&lt;"&amp;'19_Расчет_аналитики'!AF1572,WeightedMinAge08),MAX(CapacityAge08*'01_Вводные'!$B$218*'19_Расчет_аналитики'!AF1572,MeanMinAge08)))</f>
        <v/>
      </c>
      <c r="AG1511">
        <f>IF(OR(('19_Расчет_аналитики'!AG1427-'19_Расчет_аналитики'!AG1455)=0,8&lt;='01_Вводные'!$B$297),0,('19_Расчет_аналитики'!AG1427-'19_Расчет_аналитики'!AG1455)*IF('01_Вводные'!$B$239="Да",MeanMinAge08+'19_Расчет_аналитики'!AG1572*SUMIF(ThresholdAge08,"&lt;"&amp;'19_Расчет_аналитики'!AG1572,WeightedRevAge08)-SUMIF(ThresholdAge08,"&lt;"&amp;'19_Расчет_аналитики'!AG1572,WeightedMinAge08),MAX(CapacityAge08*'01_Вводные'!$B$218*'19_Расчет_аналитики'!AG1572,MeanMinAge08)))</f>
        <v/>
      </c>
      <c r="AH1511">
        <f>IF(OR(('19_Расчет_аналитики'!AH1427-'19_Расчет_аналитики'!AH1455)=0,8&lt;='01_Вводные'!$B$297),0,('19_Расчет_аналитики'!AH1427-'19_Расчет_аналитики'!AH1455)*IF('01_Вводные'!$B$239="Да",MeanMinAge08+'19_Расчет_аналитики'!AH1572*SUMIF(ThresholdAge08,"&lt;"&amp;'19_Расчет_аналитики'!AH1572,WeightedRevAge08)-SUMIF(ThresholdAge08,"&lt;"&amp;'19_Расчет_аналитики'!AH1572,WeightedMinAge08),MAX(CapacityAge08*'01_Вводные'!$B$218*'19_Расчет_аналитики'!AH1572,MeanMinAge08)))</f>
        <v/>
      </c>
      <c r="AI1511">
        <f>IF(OR(('19_Расчет_аналитики'!AI1427-'19_Расчет_аналитики'!AI1455)=0,8&lt;='01_Вводные'!$B$297),0,('19_Расчет_аналитики'!AI1427-'19_Расчет_аналитики'!AI1455)*IF('01_Вводные'!$B$239="Да",MeanMinAge08+'19_Расчет_аналитики'!AI1572*SUMIF(ThresholdAge08,"&lt;"&amp;'19_Расчет_аналитики'!AI1572,WeightedRevAge08)-SUMIF(ThresholdAge08,"&lt;"&amp;'19_Расчет_аналитики'!AI1572,WeightedMinAge08),MAX(CapacityAge08*'01_Вводные'!$B$218*'19_Расчет_аналитики'!AI1572,MeanMinAge08)))</f>
        <v/>
      </c>
      <c r="AJ1511">
        <f>IF(OR(('19_Расчет_аналитики'!AJ1427-'19_Расчет_аналитики'!AJ1455)=0,8&lt;='01_Вводные'!$B$297),0,('19_Расчет_аналитики'!AJ1427-'19_Расчет_аналитики'!AJ1455)*IF('01_Вводные'!$B$239="Да",MeanMinAge08+'19_Расчет_аналитики'!AJ1572*SUMIF(ThresholdAge08,"&lt;"&amp;'19_Расчет_аналитики'!AJ1572,WeightedRevAge08)-SUMIF(ThresholdAge08,"&lt;"&amp;'19_Расчет_аналитики'!AJ1572,WeightedMinAge08),MAX(CapacityAge08*'01_Вводные'!$B$218*'19_Расчет_аналитики'!AJ1572,MeanMinAge08)))</f>
        <v/>
      </c>
      <c r="AK1511">
        <f>IF(OR(('19_Расчет_аналитики'!AK1427-'19_Расчет_аналитики'!AK1455)=0,8&lt;='01_Вводные'!$B$297),0,('19_Расчет_аналитики'!AK1427-'19_Расчет_аналитики'!AK1455)*IF('01_Вводные'!$B$239="Да",MeanMinAge08+'19_Расчет_аналитики'!AK1572*SUMIF(ThresholdAge08,"&lt;"&amp;'19_Расчет_аналитики'!AK1572,WeightedRevAge08)-SUMIF(ThresholdAge08,"&lt;"&amp;'19_Расчет_аналитики'!AK1572,WeightedMinAge08),MAX(CapacityAge08*'01_Вводные'!$B$218*'19_Расчет_аналитики'!AK1572,MeanMinAge08)))</f>
        <v/>
      </c>
      <c r="AL1511">
        <f>IF(OR(('19_Расчет_аналитики'!AL1427-'19_Расчет_аналитики'!AL1455)=0,8&lt;='01_Вводные'!$B$297),0,('19_Расчет_аналитики'!AL1427-'19_Расчет_аналитики'!AL1455)*IF('01_Вводные'!$B$239="Да",MeanMinAge08+'19_Расчет_аналитики'!AL1572*SUMIF(ThresholdAge08,"&lt;"&amp;'19_Расчет_аналитики'!AL1572,WeightedRevAge08)-SUMIF(ThresholdAge08,"&lt;"&amp;'19_Расчет_аналитики'!AL1572,WeightedMinAge08),MAX(CapacityAge08*'01_Вводные'!$B$218*'19_Расчет_аналитики'!AL1572,MeanMinAge08)))</f>
        <v/>
      </c>
      <c r="AM1511">
        <f>IF(OR(('19_Расчет_аналитики'!AM1427-'19_Расчет_аналитики'!AM1455)=0,8&lt;='01_Вводные'!$B$297),0,('19_Расчет_аналитики'!AM1427-'19_Расчет_аналитики'!AM1455)*IF('01_Вводные'!$B$239="Да",MeanMinAge08+'19_Расчет_аналитики'!AM1572*SUMIF(ThresholdAge08,"&lt;"&amp;'19_Расчет_аналитики'!AM1572,WeightedRevAge08)-SUMIF(ThresholdAge08,"&lt;"&amp;'19_Расчет_аналитики'!AM1572,WeightedMinAge08),MAX(CapacityAge08*'01_Вводные'!$B$218*'19_Расчет_аналитики'!AM1572,MeanMinAge08)))</f>
        <v/>
      </c>
      <c r="AN1511">
        <f>IF(OR(('19_Расчет_аналитики'!AN1427-'19_Расчет_аналитики'!AN1455)=0,8&lt;='01_Вводные'!$B$297),0,('19_Расчет_аналитики'!AN1427-'19_Расчет_аналитики'!AN1455)*IF('01_Вводные'!$B$239="Да",MeanMinAge08+'19_Расчет_аналитики'!AN1572*SUMIF(ThresholdAge08,"&lt;"&amp;'19_Расчет_аналитики'!AN1572,WeightedRevAge08)-SUMIF(ThresholdAge08,"&lt;"&amp;'19_Расчет_аналитики'!AN1572,WeightedMinAge08),MAX(CapacityAge08*'01_Вводные'!$B$218*'19_Расчет_аналитики'!AN1572,MeanMinAge08)))</f>
        <v/>
      </c>
      <c r="AO1511">
        <f>IF(OR(('19_Расчет_аналитики'!AO1427-'19_Расчет_аналитики'!AO1455)=0,8&lt;='01_Вводные'!$B$297),0,('19_Расчет_аналитики'!AO1427-'19_Расчет_аналитики'!AO1455)*IF('01_Вводные'!$B$239="Да",MeanMinAge08+'19_Расчет_аналитики'!AO1572*SUMIF(ThresholdAge08,"&lt;"&amp;'19_Расчет_аналитики'!AO1572,WeightedRevAge08)-SUMIF(ThresholdAge08,"&lt;"&amp;'19_Расчет_аналитики'!AO1572,WeightedMinAge08),MAX(CapacityAge08*'01_Вводные'!$B$218*'19_Расчет_аналитики'!AO1572,MeanMinAge08)))</f>
        <v/>
      </c>
      <c r="AP1511">
        <f>IF(OR(('19_Расчет_аналитики'!AP1427-'19_Расчет_аналитики'!AP1455)=0,8&lt;='01_Вводные'!$B$297),0,('19_Расчет_аналитики'!AP1427-'19_Расчет_аналитики'!AP1455)*IF('01_Вводные'!$B$239="Да",MeanMinAge08+'19_Расчет_аналитики'!AP1572*SUMIF(ThresholdAge08,"&lt;"&amp;'19_Расчет_аналитики'!AP1572,WeightedRevAge08)-SUMIF(ThresholdAge08,"&lt;"&amp;'19_Расчет_аналитики'!AP1572,WeightedMinAge08),MAX(CapacityAge08*'01_Вводные'!$B$218*'19_Расчет_аналитики'!AP1572,MeanMinAge08)))</f>
        <v/>
      </c>
      <c r="AQ1511">
        <f>IF(OR(('19_Расчет_аналитики'!AQ1427-'19_Расчет_аналитики'!AQ1455)=0,8&lt;='01_Вводные'!$B$297),0,('19_Расчет_аналитики'!AQ1427-'19_Расчет_аналитики'!AQ1455)*IF('01_Вводные'!$B$239="Да",MeanMinAge08+'19_Расчет_аналитики'!AQ1572*SUMIF(ThresholdAge08,"&lt;"&amp;'19_Расчет_аналитики'!AQ1572,WeightedRevAge08)-SUMIF(ThresholdAge08,"&lt;"&amp;'19_Расчет_аналитики'!AQ1572,WeightedMinAge08),MAX(CapacityAge08*'01_Вводные'!$B$218*'19_Расчет_аналитики'!AQ1572,MeanMinAge08)))</f>
        <v/>
      </c>
      <c r="AR1511">
        <f>IF(OR(('19_Расчет_аналитики'!AR1427-'19_Расчет_аналитики'!AR1455)=0,8&lt;='01_Вводные'!$B$297),0,('19_Расчет_аналитики'!AR1427-'19_Расчет_аналитики'!AR1455)*IF('01_Вводные'!$B$239="Да",MeanMinAge08+'19_Расчет_аналитики'!AR1572*SUMIF(ThresholdAge08,"&lt;"&amp;'19_Расчет_аналитики'!AR1572,WeightedRevAge08)-SUMIF(ThresholdAge08,"&lt;"&amp;'19_Расчет_аналитики'!AR1572,WeightedMinAge08),MAX(CapacityAge08*'01_Вводные'!$B$218*'19_Расчет_аналитики'!AR1572,MeanMinAge08)))</f>
        <v/>
      </c>
      <c r="AS1511">
        <f>IF(OR(('19_Расчет_аналитики'!AS1427-'19_Расчет_аналитики'!AS1455)=0,8&lt;='01_Вводные'!$B$297),0,('19_Расчет_аналитики'!AS1427-'19_Расчет_аналитики'!AS1455)*IF('01_Вводные'!$B$239="Да",MeanMinAge08+'19_Расчет_аналитики'!AS1572*SUMIF(ThresholdAge08,"&lt;"&amp;'19_Расчет_аналитики'!AS1572,WeightedRevAge08)-SUMIF(ThresholdAge08,"&lt;"&amp;'19_Расчет_аналитики'!AS1572,WeightedMinAge08),MAX(CapacityAge08*'01_Вводные'!$B$218*'19_Расчет_аналитики'!AS1572,MeanMinAge08)))</f>
        <v/>
      </c>
      <c r="AT1511">
        <f>IF(OR(('19_Расчет_аналитики'!AT1427-'19_Расчет_аналитики'!AT1455)=0,8&lt;='01_Вводные'!$B$297),0,('19_Расчет_аналитики'!AT1427-'19_Расчет_аналитики'!AT1455)*IF('01_Вводные'!$B$239="Да",MeanMinAge08+'19_Расчет_аналитики'!AT1572*SUMIF(ThresholdAge08,"&lt;"&amp;'19_Расчет_аналитики'!AT1572,WeightedRevAge08)-SUMIF(ThresholdAge08,"&lt;"&amp;'19_Расчет_аналитики'!AT1572,WeightedMinAge08),MAX(CapacityAge08*'01_Вводные'!$B$218*'19_Расчет_аналитики'!AT1572,MeanMinAge08)))</f>
        <v/>
      </c>
      <c r="AU1511">
        <f>IF(OR(('19_Расчет_аналитики'!AU1427-'19_Расчет_аналитики'!AU1455)=0,8&lt;='01_Вводные'!$B$297),0,('19_Расчет_аналитики'!AU1427-'19_Расчет_аналитики'!AU1455)*IF('01_Вводные'!$B$239="Да",MeanMinAge08+'19_Расчет_аналитики'!AU1572*SUMIF(ThresholdAge08,"&lt;"&amp;'19_Расчет_аналитики'!AU1572,WeightedRevAge08)-SUMIF(ThresholdAge08,"&lt;"&amp;'19_Расчет_аналитики'!AU1572,WeightedMinAge08),MAX(CapacityAge08*'01_Вводные'!$B$218*'19_Расчет_аналитики'!AU1572,MeanMinAge08)))</f>
        <v/>
      </c>
      <c r="AV1511">
        <f>IF(OR(('19_Расчет_аналитики'!AV1427-'19_Расчет_аналитики'!AV1455)=0,8&lt;='01_Вводные'!$B$297),0,('19_Расчет_аналитики'!AV1427-'19_Расчет_аналитики'!AV1455)*IF('01_Вводные'!$B$239="Да",MeanMinAge08+'19_Расчет_аналитики'!AV1572*SUMIF(ThresholdAge08,"&lt;"&amp;'19_Расчет_аналитики'!AV1572,WeightedRevAge08)-SUMIF(ThresholdAge08,"&lt;"&amp;'19_Расчет_аналитики'!AV1572,WeightedMinAge08),MAX(CapacityAge08*'01_Вводные'!$B$218*'19_Расчет_аналитики'!AV1572,MeanMinAge08)))</f>
        <v/>
      </c>
      <c r="AW1511">
        <f>IF(OR(('19_Расчет_аналитики'!AW1427-'19_Расчет_аналитики'!AW1455)=0,8&lt;='01_Вводные'!$B$297),0,('19_Расчет_аналитики'!AW1427-'19_Расчет_аналитики'!AW1455)*IF('01_Вводные'!$B$239="Да",MeanMinAge08+'19_Расчет_аналитики'!AW1572*SUMIF(ThresholdAge08,"&lt;"&amp;'19_Расчет_аналитики'!AW1572,WeightedRevAge08)-SUMIF(ThresholdAge08,"&lt;"&amp;'19_Расчет_аналитики'!AW1572,WeightedMinAge08),MAX(CapacityAge08*'01_Вводные'!$B$218*'19_Расчет_аналитики'!AW1572,MeanMinAge08)))</f>
        <v/>
      </c>
      <c r="AX1511">
        <f>IF(OR(('19_Расчет_аналитики'!AX1427-'19_Расчет_аналитики'!AX1455)=0,8&lt;='01_Вводные'!$B$297),0,('19_Расчет_аналитики'!AX1427-'19_Расчет_аналитики'!AX1455)*IF('01_Вводные'!$B$239="Да",MeanMinAge08+'19_Расчет_аналитики'!AX1572*SUMIF(ThresholdAge08,"&lt;"&amp;'19_Расчет_аналитики'!AX1572,WeightedRevAge08)-SUMIF(ThresholdAge08,"&lt;"&amp;'19_Расчет_аналитики'!AX1572,WeightedMinAge08),MAX(CapacityAge08*'01_Вводные'!$B$218*'19_Расчет_аналитики'!AX1572,MeanMinAge08)))</f>
        <v/>
      </c>
      <c r="AY1511">
        <f>IF(OR(('19_Расчет_аналитики'!AY1427-'19_Расчет_аналитики'!AY1455)=0,8&lt;='01_Вводные'!$B$297),0,('19_Расчет_аналитики'!AY1427-'19_Расчет_аналитики'!AY1455)*IF('01_Вводные'!$B$239="Да",MeanMinAge08+'19_Расчет_аналитики'!AY1572*SUMIF(ThresholdAge08,"&lt;"&amp;'19_Расчет_аналитики'!AY1572,WeightedRevAge08)-SUMIF(ThresholdAge08,"&lt;"&amp;'19_Расчет_аналитики'!AY1572,WeightedMinAge08),MAX(CapacityAge08*'01_Вводные'!$B$218*'19_Расчет_аналитики'!AY1572,MeanMinAge08)))</f>
        <v/>
      </c>
      <c r="AZ1511">
        <f>IF(OR(('19_Расчет_аналитики'!AZ1427-'19_Расчет_аналитики'!AZ1455)=0,8&lt;='01_Вводные'!$B$297),0,('19_Расчет_аналитики'!AZ1427-'19_Расчет_аналитики'!AZ1455)*IF('01_Вводные'!$B$239="Да",MeanMinAge08+'19_Расчет_аналитики'!AZ1572*SUMIF(ThresholdAge08,"&lt;"&amp;'19_Расчет_аналитики'!AZ1572,WeightedRevAge08)-SUMIF(ThresholdAge08,"&lt;"&amp;'19_Расчет_аналитики'!AZ1572,WeightedMinAge08),MAX(CapacityAge08*'01_Вводные'!$B$218*'19_Расчет_аналитики'!AZ1572,MeanMinAge08)))</f>
        <v/>
      </c>
      <c r="BA1511">
        <f>IF(OR(('19_Расчет_аналитики'!BA1427-'19_Расчет_аналитики'!BA1455)=0,8&lt;='01_Вводные'!$B$297),0,('19_Расчет_аналитики'!BA1427-'19_Расчет_аналитики'!BA1455)*IF('01_Вводные'!$B$239="Да",MeanMinAge08+'19_Расчет_аналитики'!BA1572*SUMIF(ThresholdAge08,"&lt;"&amp;'19_Расчет_аналитики'!BA1572,WeightedRevAge08)-SUMIF(ThresholdAge08,"&lt;"&amp;'19_Расчет_аналитики'!BA1572,WeightedMinAge08),MAX(CapacityAge08*'01_Вводные'!$B$218*'19_Расчет_аналитики'!BA1572,MeanMinAge08)))</f>
        <v/>
      </c>
      <c r="BB1511">
        <f>IF(OR(('19_Расчет_аналитики'!BB1427-'19_Расчет_аналитики'!BB1455)=0,8&lt;='01_Вводные'!$B$297),0,('19_Расчет_аналитики'!BB1427-'19_Расчет_аналитики'!BB1455)*IF('01_Вводные'!$B$239="Да",MeanMinAge08+'19_Расчет_аналитики'!BB1572*SUMIF(ThresholdAge08,"&lt;"&amp;'19_Расчет_аналитики'!BB1572,WeightedRevAge08)-SUMIF(ThresholdAge08,"&lt;"&amp;'19_Расчет_аналитики'!BB1572,WeightedMinAge08),MAX(CapacityAge08*'01_Вводные'!$B$218*'19_Расчет_аналитики'!BB1572,MeanMinAge08)))</f>
        <v/>
      </c>
      <c r="BC1511">
        <f>IF(OR(('19_Расчет_аналитики'!BC1427-'19_Расчет_аналитики'!BC1455)=0,8&lt;='01_Вводные'!$B$297),0,('19_Расчет_аналитики'!BC1427-'19_Расчет_аналитики'!BC1455)*IF('01_Вводные'!$B$239="Да",MeanMinAge08+'19_Расчет_аналитики'!BC1572*SUMIF(ThresholdAge08,"&lt;"&amp;'19_Расчет_аналитики'!BC1572,WeightedRevAge08)-SUMIF(ThresholdAge08,"&lt;"&amp;'19_Расчет_аналитики'!BC1572,WeightedMinAge08),MAX(CapacityAge08*'01_Вводные'!$B$218*'19_Расчет_аналитики'!BC1572,MeanMinAge08)))</f>
        <v/>
      </c>
      <c r="BD1511">
        <f>IF(OR(('19_Расчет_аналитики'!BD1427-'19_Расчет_аналитики'!BD1455)=0,8&lt;='01_Вводные'!$B$297),0,('19_Расчет_аналитики'!BD1427-'19_Расчет_аналитики'!BD1455)*IF('01_Вводные'!$B$239="Да",MeanMinAge08+'19_Расчет_аналитики'!BD1572*SUMIF(ThresholdAge08,"&lt;"&amp;'19_Расчет_аналитики'!BD1572,WeightedRevAge08)-SUMIF(ThresholdAge08,"&lt;"&amp;'19_Расчет_аналитики'!BD1572,WeightedMinAge08),MAX(CapacityAge08*'01_Вводные'!$B$218*'19_Расчет_аналитики'!BD1572,MeanMinAge08)))</f>
        <v/>
      </c>
      <c r="BE1511">
        <f>IF(OR(('19_Расчет_аналитики'!BE1427-'19_Расчет_аналитики'!BE1455)=0,8&lt;='01_Вводные'!$B$297),0,('19_Расчет_аналитики'!BE1427-'19_Расчет_аналитики'!BE1455)*IF('01_Вводные'!$B$239="Да",MeanMinAge08+'19_Расчет_аналитики'!BE1572*SUMIF(ThresholdAge08,"&lt;"&amp;'19_Расчет_аналитики'!BE1572,WeightedRevAge08)-SUMIF(ThresholdAge08,"&lt;"&amp;'19_Расчет_аналитики'!BE1572,WeightedMinAge08),MAX(CapacityAge08*'01_Вводные'!$B$218*'19_Расчет_аналитики'!BE1572,MeanMinAge08)))</f>
        <v/>
      </c>
      <c r="BF1511">
        <f>IF(OR(('19_Расчет_аналитики'!BF1427-'19_Расчет_аналитики'!BF1455)=0,8&lt;='01_Вводные'!$B$297),0,('19_Расчет_аналитики'!BF1427-'19_Расчет_аналитики'!BF1455)*IF('01_Вводные'!$B$239="Да",MeanMinAge08+'19_Расчет_аналитики'!BF1572*SUMIF(ThresholdAge08,"&lt;"&amp;'19_Расчет_аналитики'!BF1572,WeightedRevAge08)-SUMIF(ThresholdAge08,"&lt;"&amp;'19_Расчет_аналитики'!BF1572,WeightedMinAge08),MAX(CapacityAge08*'01_Вводные'!$B$218*'19_Расчет_аналитики'!BF1572,MeanMinAge08)))</f>
        <v/>
      </c>
      <c r="BG1511">
        <f>IF(OR(('19_Расчет_аналитики'!BG1427-'19_Расчет_аналитики'!BG1455)=0,8&lt;='01_Вводные'!$B$297),0,('19_Расчет_аналитики'!BG1427-'19_Расчет_аналитики'!BG1455)*IF('01_Вводные'!$B$239="Да",MeanMinAge08+'19_Расчет_аналитики'!BG1572*SUMIF(ThresholdAge08,"&lt;"&amp;'19_Расчет_аналитики'!BG1572,WeightedRevAge08)-SUMIF(ThresholdAge08,"&lt;"&amp;'19_Расчет_аналитики'!BG1572,WeightedMinAge08),MAX(CapacityAge08*'01_Вводные'!$B$218*'19_Расчет_аналитики'!BG1572,MeanMinAge08)))</f>
        <v/>
      </c>
      <c r="BH1511">
        <f>IF(OR(('19_Расчет_аналитики'!BH1427-'19_Расчет_аналитики'!BH1455)=0,8&lt;='01_Вводные'!$B$297),0,('19_Расчет_аналитики'!BH1427-'19_Расчет_аналитики'!BH1455)*IF('01_Вводные'!$B$239="Да",MeanMinAge08+'19_Расчет_аналитики'!BH1572*SUMIF(ThresholdAge08,"&lt;"&amp;'19_Расчет_аналитики'!BH1572,WeightedRevAge08)-SUMIF(ThresholdAge08,"&lt;"&amp;'19_Расчет_аналитики'!BH1572,WeightedMinAge08),MAX(CapacityAge08*'01_Вводные'!$B$218*'19_Расчет_аналитики'!BH1572,MeanMinAge08)))</f>
        <v/>
      </c>
      <c r="BI1511">
        <f>IF(OR(('19_Расчет_аналитики'!BI1427-'19_Расчет_аналитики'!BI1455)=0,8&lt;='01_Вводные'!$B$297),0,('19_Расчет_аналитики'!BI1427-'19_Расчет_аналитики'!BI1455)*IF('01_Вводные'!$B$239="Да",MeanMinAge08+'19_Расчет_аналитики'!BI1572*SUMIF(ThresholdAge08,"&lt;"&amp;'19_Расчет_аналитики'!BI1572,WeightedRevAge08)-SUMIF(ThresholdAge08,"&lt;"&amp;'19_Расчет_аналитики'!BI1572,WeightedMinAge08),MAX(CapacityAge08*'01_Вводные'!$B$218*'19_Расчет_аналитики'!BI1572,MeanMinAge08)))</f>
        <v/>
      </c>
      <c r="BJ1511">
        <f>IF(OR(('19_Расчет_аналитики'!BJ1427-'19_Расчет_аналитики'!BJ1455)=0,8&lt;='01_Вводные'!$B$297),0,('19_Расчет_аналитики'!BJ1427-'19_Расчет_аналитики'!BJ1455)*IF('01_Вводные'!$B$239="Да",MeanMinAge08+'19_Расчет_аналитики'!BJ1572*SUMIF(ThresholdAge08,"&lt;"&amp;'19_Расчет_аналитики'!BJ1572,WeightedRevAge08)-SUMIF(ThresholdAge08,"&lt;"&amp;'19_Расчет_аналитики'!BJ1572,WeightedMinAge08),MAX(CapacityAge08*'01_Вводные'!$B$218*'19_Расчет_аналитики'!BJ1572,MeanMinAge08)))</f>
        <v/>
      </c>
      <c r="BK1511">
        <f>IF(OR(('19_Расчет_аналитики'!BK1427-'19_Расчет_аналитики'!BK1455)=0,8&lt;='01_Вводные'!$B$297),0,('19_Расчет_аналитики'!BK1427-'19_Расчет_аналитики'!BK1455)*IF('01_Вводные'!$B$239="Да",MeanMinAge08+'19_Расчет_аналитики'!BK1572*SUMIF(ThresholdAge08,"&lt;"&amp;'19_Расчет_аналитики'!BK1572,WeightedRevAge08)-SUMIF(ThresholdAge08,"&lt;"&amp;'19_Расчет_аналитики'!BK1572,WeightedMinAge08),MAX(CapacityAge08*'01_Вводные'!$B$218*'19_Расчет_аналитики'!BK1572,MeanMinAge08)))</f>
        <v/>
      </c>
      <c r="BL1511">
        <f>IF(OR(('19_Расчет_аналитики'!BL1427-'19_Расчет_аналитики'!BL1455)=0,8&lt;='01_Вводные'!$B$297),0,('19_Расчет_аналитики'!BL1427-'19_Расчет_аналитики'!BL1455)*IF('01_Вводные'!$B$239="Да",MeanMinAge08+'19_Расчет_аналитики'!BL1572*SUMIF(ThresholdAge08,"&lt;"&amp;'19_Расчет_аналитики'!BL1572,WeightedRevAge08)-SUMIF(ThresholdAge08,"&lt;"&amp;'19_Расчет_аналитики'!BL1572,WeightedMinAge08),MAX(CapacityAge08*'01_Вводные'!$B$218*'19_Расчет_аналитики'!BL1572,MeanMinAge08)))</f>
        <v/>
      </c>
      <c r="BM1511">
        <f>IF(OR(('19_Расчет_аналитики'!BM1427-'19_Расчет_аналитики'!BM1455)=0,8&lt;='01_Вводные'!$B$297),0,('19_Расчет_аналитики'!BM1427-'19_Расчет_аналитики'!BM1455)*IF('01_Вводные'!$B$239="Да",MeanMinAge08+'19_Расчет_аналитики'!BM1572*SUMIF(ThresholdAge08,"&lt;"&amp;'19_Расчет_аналитики'!BM1572,WeightedRevAge08)-SUMIF(ThresholdAge08,"&lt;"&amp;'19_Расчет_аналитики'!BM1572,WeightedMinAge08),MAX(CapacityAge08*'01_Вводные'!$B$218*'19_Расчет_аналитики'!BM1572,MeanMinAge08)))</f>
        <v/>
      </c>
      <c r="BN1511">
        <f>IF(OR(('19_Расчет_аналитики'!BN1427-'19_Расчет_аналитики'!BN1455)=0,8&lt;='01_Вводные'!$B$297),0,('19_Расчет_аналитики'!BN1427-'19_Расчет_аналитики'!BN1455)*IF('01_Вводные'!$B$239="Да",MeanMinAge08+'19_Расчет_аналитики'!BN1572*SUMIF(ThresholdAge08,"&lt;"&amp;'19_Расчет_аналитики'!BN1572,WeightedRevAge08)-SUMIF(ThresholdAge08,"&lt;"&amp;'19_Расчет_аналитики'!BN1572,WeightedMinAge08),MAX(CapacityAge08*'01_Вводные'!$B$218*'19_Расчет_аналитики'!BN1572,MeanMinAge08)))</f>
        <v/>
      </c>
      <c r="BO1511">
        <f>IF(OR(('19_Расчет_аналитики'!BO1427-'19_Расчет_аналитики'!BO1455)=0,8&lt;='01_Вводные'!$B$297),0,('19_Расчет_аналитики'!BO1427-'19_Расчет_аналитики'!BO1455)*IF('01_Вводные'!$B$239="Да",MeanMinAge08+'19_Расчет_аналитики'!BO1572*SUMIF(ThresholdAge08,"&lt;"&amp;'19_Расчет_аналитики'!BO1572,WeightedRevAge08)-SUMIF(ThresholdAge08,"&lt;"&amp;'19_Расчет_аналитики'!BO1572,WeightedMinAge08),MAX(CapacityAge08*'01_Вводные'!$B$218*'19_Расчет_аналитики'!BO1572,MeanMinAge08)))</f>
        <v/>
      </c>
    </row>
    <row r="1512">
      <c r="B1512">
        <f>IF(OR(('06_Сеть_и_дети'!B61-'06_Сеть_и_дети'!B89)=0,9&lt;='01_Вводные'!$B$297),0,('06_Сеть_и_дети'!B61-'06_Сеть_и_дети'!B89)*IF('01_Вводные'!$B$239="Да",MeanMinAge09+'19_Расчет_аналитики'!B1572*SUMIF(ThresholdAge09,"&lt;"&amp;'19_Расчет_аналитики'!B1572,WeightedRevAge09)-SUMIF(ThresholdAge09,"&lt;"&amp;'19_Расчет_аналитики'!B1572,WeightedMinAge09),MAX(CapacityAge09*'01_Вводные'!$B$218*'19_Расчет_аналитики'!B1572,MeanMinAge09)))</f>
        <v/>
      </c>
      <c r="C1512">
        <f>IF(OR(('06_Сеть_и_дети'!C61-'06_Сеть_и_дети'!C89)=0,9&lt;='01_Вводные'!$B$297),0,('06_Сеть_и_дети'!C61-'06_Сеть_и_дети'!C89)*IF('01_Вводные'!$B$239="Да",MeanMinAge09+'19_Расчет_аналитики'!C1572*SUMIF(ThresholdAge09,"&lt;"&amp;'19_Расчет_аналитики'!C1572,WeightedRevAge09)-SUMIF(ThresholdAge09,"&lt;"&amp;'19_Расчет_аналитики'!C1572,WeightedMinAge09),MAX(CapacityAge09*'01_Вводные'!$B$218*'19_Расчет_аналитики'!C1572,MeanMinAge09)))</f>
        <v/>
      </c>
      <c r="D1512">
        <f>IF(OR(('06_Сеть_и_дети'!D61-'06_Сеть_и_дети'!D89)=0,9&lt;='01_Вводные'!$B$297),0,('06_Сеть_и_дети'!D61-'06_Сеть_и_дети'!D89)*IF('01_Вводные'!$B$239="Да",MeanMinAge09+'19_Расчет_аналитики'!D1572*SUMIF(ThresholdAge09,"&lt;"&amp;'19_Расчет_аналитики'!D1572,WeightedRevAge09)-SUMIF(ThresholdAge09,"&lt;"&amp;'19_Расчет_аналитики'!D1572,WeightedMinAge09),MAX(CapacityAge09*'01_Вводные'!$B$218*'19_Расчет_аналитики'!D1572,MeanMinAge09)))</f>
        <v/>
      </c>
      <c r="E1512">
        <f>IF(OR(('06_Сеть_и_дети'!E61-'06_Сеть_и_дети'!E89)=0,9&lt;='01_Вводные'!$B$297),0,('06_Сеть_и_дети'!E61-'06_Сеть_и_дети'!E89)*IF('01_Вводные'!$B$239="Да",MeanMinAge09+'19_Расчет_аналитики'!E1572*SUMIF(ThresholdAge09,"&lt;"&amp;'19_Расчет_аналитики'!E1572,WeightedRevAge09)-SUMIF(ThresholdAge09,"&lt;"&amp;'19_Расчет_аналитики'!E1572,WeightedMinAge09),MAX(CapacityAge09*'01_Вводные'!$B$218*'19_Расчет_аналитики'!E1572,MeanMinAge09)))</f>
        <v/>
      </c>
      <c r="F1512">
        <f>IF(OR(('06_Сеть_и_дети'!F61-'06_Сеть_и_дети'!F89)=0,9&lt;='01_Вводные'!$B$297),0,('06_Сеть_и_дети'!F61-'06_Сеть_и_дети'!F89)*IF('01_Вводные'!$B$239="Да",MeanMinAge09+'19_Расчет_аналитики'!F1572*SUMIF(ThresholdAge09,"&lt;"&amp;'19_Расчет_аналитики'!F1572,WeightedRevAge09)-SUMIF(ThresholdAge09,"&lt;"&amp;'19_Расчет_аналитики'!F1572,WeightedMinAge09),MAX(CapacityAge09*'01_Вводные'!$B$218*'19_Расчет_аналитики'!F1572,MeanMinAge09)))</f>
        <v/>
      </c>
      <c r="G1512">
        <f>IF(OR(('06_Сеть_и_дети'!G61-'06_Сеть_и_дети'!G89)=0,9&lt;='01_Вводные'!$B$297),0,('06_Сеть_и_дети'!G61-'06_Сеть_и_дети'!G89)*IF('01_Вводные'!$B$239="Да",MeanMinAge09+'19_Расчет_аналитики'!G1572*SUMIF(ThresholdAge09,"&lt;"&amp;'19_Расчет_аналитики'!G1572,WeightedRevAge09)-SUMIF(ThresholdAge09,"&lt;"&amp;'19_Расчет_аналитики'!G1572,WeightedMinAge09),MAX(CapacityAge09*'01_Вводные'!$B$218*'19_Расчет_аналитики'!G1572,MeanMinAge09)))</f>
        <v/>
      </c>
      <c r="H1512">
        <f>IF(OR(('06_Сеть_и_дети'!H61-'06_Сеть_и_дети'!H89)=0,9&lt;='01_Вводные'!$B$297),0,('06_Сеть_и_дети'!H61-'06_Сеть_и_дети'!H89)*IF('01_Вводные'!$B$239="Да",MeanMinAge09+'19_Расчет_аналитики'!H1572*SUMIF(ThresholdAge09,"&lt;"&amp;'19_Расчет_аналитики'!H1572,WeightedRevAge09)-SUMIF(ThresholdAge09,"&lt;"&amp;'19_Расчет_аналитики'!H1572,WeightedMinAge09),MAX(CapacityAge09*'01_Вводные'!$B$218*'19_Расчет_аналитики'!H1572,MeanMinAge09)))</f>
        <v/>
      </c>
      <c r="I1512">
        <f>IF(OR(('06_Сеть_и_дети'!I61-'06_Сеть_и_дети'!I89)=0,9&lt;='01_Вводные'!$B$297),0,('06_Сеть_и_дети'!I61-'06_Сеть_и_дети'!I89)*IF('01_Вводные'!$B$239="Да",MeanMinAge09+'19_Расчет_аналитики'!I1572*SUMIF(ThresholdAge09,"&lt;"&amp;'19_Расчет_аналитики'!I1572,WeightedRevAge09)-SUMIF(ThresholdAge09,"&lt;"&amp;'19_Расчет_аналитики'!I1572,WeightedMinAge09),MAX(CapacityAge09*'01_Вводные'!$B$218*'19_Расчет_аналитики'!I1572,MeanMinAge09)))</f>
        <v/>
      </c>
      <c r="J1512">
        <f>IF(OR(('19_Расчет_аналитики'!J1428-'19_Расчет_аналитики'!J1456)=0,9&lt;='01_Вводные'!$B$297),0,('19_Расчет_аналитики'!J1428-'19_Расчет_аналитики'!J1456)*IF('01_Вводные'!$B$239="Да",MeanMinAge09+'19_Расчет_аналитики'!J1572*SUMIF(ThresholdAge09,"&lt;"&amp;'19_Расчет_аналитики'!J1572,WeightedRevAge09)-SUMIF(ThresholdAge09,"&lt;"&amp;'19_Расчет_аналитики'!J1572,WeightedMinAge09),MAX(CapacityAge09*'01_Вводные'!$B$218*'19_Расчет_аналитики'!J1572,MeanMinAge09)))</f>
        <v/>
      </c>
      <c r="K1512">
        <f>IF(OR(('19_Расчет_аналитики'!K1428-'19_Расчет_аналитики'!K1456)=0,9&lt;='01_Вводные'!$B$297),0,('19_Расчет_аналитики'!K1428-'19_Расчет_аналитики'!K1456)*IF('01_Вводные'!$B$239="Да",MeanMinAge09+'19_Расчет_аналитики'!K1572*SUMIF(ThresholdAge09,"&lt;"&amp;'19_Расчет_аналитики'!K1572,WeightedRevAge09)-SUMIF(ThresholdAge09,"&lt;"&amp;'19_Расчет_аналитики'!K1572,WeightedMinAge09),MAX(CapacityAge09*'01_Вводные'!$B$218*'19_Расчет_аналитики'!K1572,MeanMinAge09)))</f>
        <v/>
      </c>
      <c r="L1512">
        <f>IF(OR(('19_Расчет_аналитики'!L1428-'19_Расчет_аналитики'!L1456)=0,9&lt;='01_Вводные'!$B$297),0,('19_Расчет_аналитики'!L1428-'19_Расчет_аналитики'!L1456)*IF('01_Вводные'!$B$239="Да",MeanMinAge09+'19_Расчет_аналитики'!L1572*SUMIF(ThresholdAge09,"&lt;"&amp;'19_Расчет_аналитики'!L1572,WeightedRevAge09)-SUMIF(ThresholdAge09,"&lt;"&amp;'19_Расчет_аналитики'!L1572,WeightedMinAge09),MAX(CapacityAge09*'01_Вводные'!$B$218*'19_Расчет_аналитики'!L1572,MeanMinAge09)))</f>
        <v/>
      </c>
      <c r="M1512">
        <f>IF(OR(('19_Расчет_аналитики'!M1428-'19_Расчет_аналитики'!M1456)=0,9&lt;='01_Вводные'!$B$297),0,('19_Расчет_аналитики'!M1428-'19_Расчет_аналитики'!M1456)*IF('01_Вводные'!$B$239="Да",MeanMinAge09+'19_Расчет_аналитики'!M1572*SUMIF(ThresholdAge09,"&lt;"&amp;'19_Расчет_аналитики'!M1572,WeightedRevAge09)-SUMIF(ThresholdAge09,"&lt;"&amp;'19_Расчет_аналитики'!M1572,WeightedMinAge09),MAX(CapacityAge09*'01_Вводные'!$B$218*'19_Расчет_аналитики'!M1572,MeanMinAge09)))</f>
        <v/>
      </c>
      <c r="N1512">
        <f>IF(OR(('19_Расчет_аналитики'!N1428-'19_Расчет_аналитики'!N1456)=0,9&lt;='01_Вводные'!$B$297),0,('19_Расчет_аналитики'!N1428-'19_Расчет_аналитики'!N1456)*IF('01_Вводные'!$B$239="Да",MeanMinAge09+'19_Расчет_аналитики'!N1572*SUMIF(ThresholdAge09,"&lt;"&amp;'19_Расчет_аналитики'!N1572,WeightedRevAge09)-SUMIF(ThresholdAge09,"&lt;"&amp;'19_Расчет_аналитики'!N1572,WeightedMinAge09),MAX(CapacityAge09*'01_Вводные'!$B$218*'19_Расчет_аналитики'!N1572,MeanMinAge09)))</f>
        <v/>
      </c>
      <c r="O1512">
        <f>IF(OR(('19_Расчет_аналитики'!O1428-'19_Расчет_аналитики'!O1456)=0,9&lt;='01_Вводные'!$B$297),0,('19_Расчет_аналитики'!O1428-'19_Расчет_аналитики'!O1456)*IF('01_Вводные'!$B$239="Да",MeanMinAge09+'19_Расчет_аналитики'!O1572*SUMIF(ThresholdAge09,"&lt;"&amp;'19_Расчет_аналитики'!O1572,WeightedRevAge09)-SUMIF(ThresholdAge09,"&lt;"&amp;'19_Расчет_аналитики'!O1572,WeightedMinAge09),MAX(CapacityAge09*'01_Вводные'!$B$218*'19_Расчет_аналитики'!O1572,MeanMinAge09)))</f>
        <v/>
      </c>
      <c r="P1512">
        <f>IF(OR(('19_Расчет_аналитики'!P1428-'19_Расчет_аналитики'!P1456)=0,9&lt;='01_Вводные'!$B$297),0,('19_Расчет_аналитики'!P1428-'19_Расчет_аналитики'!P1456)*IF('01_Вводные'!$B$239="Да",MeanMinAge09+'19_Расчет_аналитики'!P1572*SUMIF(ThresholdAge09,"&lt;"&amp;'19_Расчет_аналитики'!P1572,WeightedRevAge09)-SUMIF(ThresholdAge09,"&lt;"&amp;'19_Расчет_аналитики'!P1572,WeightedMinAge09),MAX(CapacityAge09*'01_Вводные'!$B$218*'19_Расчет_аналитики'!P1572,MeanMinAge09)))</f>
        <v/>
      </c>
      <c r="Q1512">
        <f>IF(OR(('19_Расчет_аналитики'!Q1428-'19_Расчет_аналитики'!Q1456)=0,9&lt;='01_Вводные'!$B$297),0,('19_Расчет_аналитики'!Q1428-'19_Расчет_аналитики'!Q1456)*IF('01_Вводные'!$B$239="Да",MeanMinAge09+'19_Расчет_аналитики'!Q1572*SUMIF(ThresholdAge09,"&lt;"&amp;'19_Расчет_аналитики'!Q1572,WeightedRevAge09)-SUMIF(ThresholdAge09,"&lt;"&amp;'19_Расчет_аналитики'!Q1572,WeightedMinAge09),MAX(CapacityAge09*'01_Вводные'!$B$218*'19_Расчет_аналитики'!Q1572,MeanMinAge09)))</f>
        <v/>
      </c>
      <c r="R1512">
        <f>IF(OR(('19_Расчет_аналитики'!R1428-'19_Расчет_аналитики'!R1456)=0,9&lt;='01_Вводные'!$B$297),0,('19_Расчет_аналитики'!R1428-'19_Расчет_аналитики'!R1456)*IF('01_Вводные'!$B$239="Да",MeanMinAge09+'19_Расчет_аналитики'!R1572*SUMIF(ThresholdAge09,"&lt;"&amp;'19_Расчет_аналитики'!R1572,WeightedRevAge09)-SUMIF(ThresholdAge09,"&lt;"&amp;'19_Расчет_аналитики'!R1572,WeightedMinAge09),MAX(CapacityAge09*'01_Вводные'!$B$218*'19_Расчет_аналитики'!R1572,MeanMinAge09)))</f>
        <v/>
      </c>
      <c r="S1512">
        <f>IF(OR(('19_Расчет_аналитики'!S1428-'19_Расчет_аналитики'!S1456)=0,9&lt;='01_Вводные'!$B$297),0,('19_Расчет_аналитики'!S1428-'19_Расчет_аналитики'!S1456)*IF('01_Вводные'!$B$239="Да",MeanMinAge09+'19_Расчет_аналитики'!S1572*SUMIF(ThresholdAge09,"&lt;"&amp;'19_Расчет_аналитики'!S1572,WeightedRevAge09)-SUMIF(ThresholdAge09,"&lt;"&amp;'19_Расчет_аналитики'!S1572,WeightedMinAge09),MAX(CapacityAge09*'01_Вводные'!$B$218*'19_Расчет_аналитики'!S1572,MeanMinAge09)))</f>
        <v/>
      </c>
      <c r="T1512">
        <f>IF(OR(('19_Расчет_аналитики'!T1428-'19_Расчет_аналитики'!T1456)=0,9&lt;='01_Вводные'!$B$297),0,('19_Расчет_аналитики'!T1428-'19_Расчет_аналитики'!T1456)*IF('01_Вводные'!$B$239="Да",MeanMinAge09+'19_Расчет_аналитики'!T1572*SUMIF(ThresholdAge09,"&lt;"&amp;'19_Расчет_аналитики'!T1572,WeightedRevAge09)-SUMIF(ThresholdAge09,"&lt;"&amp;'19_Расчет_аналитики'!T1572,WeightedMinAge09),MAX(CapacityAge09*'01_Вводные'!$B$218*'19_Расчет_аналитики'!T1572,MeanMinAge09)))</f>
        <v/>
      </c>
      <c r="U1512">
        <f>IF(OR(('19_Расчет_аналитики'!U1428-'19_Расчет_аналитики'!U1456)=0,9&lt;='01_Вводные'!$B$297),0,('19_Расчет_аналитики'!U1428-'19_Расчет_аналитики'!U1456)*IF('01_Вводные'!$B$239="Да",MeanMinAge09+'19_Расчет_аналитики'!U1572*SUMIF(ThresholdAge09,"&lt;"&amp;'19_Расчет_аналитики'!U1572,WeightedRevAge09)-SUMIF(ThresholdAge09,"&lt;"&amp;'19_Расчет_аналитики'!U1572,WeightedMinAge09),MAX(CapacityAge09*'01_Вводные'!$B$218*'19_Расчет_аналитики'!U1572,MeanMinAge09)))</f>
        <v/>
      </c>
      <c r="V1512">
        <f>IF(OR(('19_Расчет_аналитики'!V1428-'19_Расчет_аналитики'!V1456)=0,9&lt;='01_Вводные'!$B$297),0,('19_Расчет_аналитики'!V1428-'19_Расчет_аналитики'!V1456)*IF('01_Вводные'!$B$239="Да",MeanMinAge09+'19_Расчет_аналитики'!V1572*SUMIF(ThresholdAge09,"&lt;"&amp;'19_Расчет_аналитики'!V1572,WeightedRevAge09)-SUMIF(ThresholdAge09,"&lt;"&amp;'19_Расчет_аналитики'!V1572,WeightedMinAge09),MAX(CapacityAge09*'01_Вводные'!$B$218*'19_Расчет_аналитики'!V1572,MeanMinAge09)))</f>
        <v/>
      </c>
      <c r="W1512">
        <f>IF(OR(('19_Расчет_аналитики'!W1428-'19_Расчет_аналитики'!W1456)=0,9&lt;='01_Вводные'!$B$297),0,('19_Расчет_аналитики'!W1428-'19_Расчет_аналитики'!W1456)*IF('01_Вводные'!$B$239="Да",MeanMinAge09+'19_Расчет_аналитики'!W1572*SUMIF(ThresholdAge09,"&lt;"&amp;'19_Расчет_аналитики'!W1572,WeightedRevAge09)-SUMIF(ThresholdAge09,"&lt;"&amp;'19_Расчет_аналитики'!W1572,WeightedMinAge09),MAX(CapacityAge09*'01_Вводные'!$B$218*'19_Расчет_аналитики'!W1572,MeanMinAge09)))</f>
        <v/>
      </c>
      <c r="X1512">
        <f>IF(OR(('19_Расчет_аналитики'!X1428-'19_Расчет_аналитики'!X1456)=0,9&lt;='01_Вводные'!$B$297),0,('19_Расчет_аналитики'!X1428-'19_Расчет_аналитики'!X1456)*IF('01_Вводные'!$B$239="Да",MeanMinAge09+'19_Расчет_аналитики'!X1572*SUMIF(ThresholdAge09,"&lt;"&amp;'19_Расчет_аналитики'!X1572,WeightedRevAge09)-SUMIF(ThresholdAge09,"&lt;"&amp;'19_Расчет_аналитики'!X1572,WeightedMinAge09),MAX(CapacityAge09*'01_Вводные'!$B$218*'19_Расчет_аналитики'!X1572,MeanMinAge09)))</f>
        <v/>
      </c>
      <c r="Y1512">
        <f>IF(OR(('19_Расчет_аналитики'!Y1428-'19_Расчет_аналитики'!Y1456)=0,9&lt;='01_Вводные'!$B$297),0,('19_Расчет_аналитики'!Y1428-'19_Расчет_аналитики'!Y1456)*IF('01_Вводные'!$B$239="Да",MeanMinAge09+'19_Расчет_аналитики'!Y1572*SUMIF(ThresholdAge09,"&lt;"&amp;'19_Расчет_аналитики'!Y1572,WeightedRevAge09)-SUMIF(ThresholdAge09,"&lt;"&amp;'19_Расчет_аналитики'!Y1572,WeightedMinAge09),MAX(CapacityAge09*'01_Вводные'!$B$218*'19_Расчет_аналитики'!Y1572,MeanMinAge09)))</f>
        <v/>
      </c>
      <c r="Z1512">
        <f>IF(OR(('19_Расчет_аналитики'!Z1428-'19_Расчет_аналитики'!Z1456)=0,9&lt;='01_Вводные'!$B$297),0,('19_Расчет_аналитики'!Z1428-'19_Расчет_аналитики'!Z1456)*IF('01_Вводные'!$B$239="Да",MeanMinAge09+'19_Расчет_аналитики'!Z1572*SUMIF(ThresholdAge09,"&lt;"&amp;'19_Расчет_аналитики'!Z1572,WeightedRevAge09)-SUMIF(ThresholdAge09,"&lt;"&amp;'19_Расчет_аналитики'!Z1572,WeightedMinAge09),MAX(CapacityAge09*'01_Вводные'!$B$218*'19_Расчет_аналитики'!Z1572,MeanMinAge09)))</f>
        <v/>
      </c>
      <c r="AA1512">
        <f>IF(OR(('19_Расчет_аналитики'!AA1428-'19_Расчет_аналитики'!AA1456)=0,9&lt;='01_Вводные'!$B$297),0,('19_Расчет_аналитики'!AA1428-'19_Расчет_аналитики'!AA1456)*IF('01_Вводные'!$B$239="Да",MeanMinAge09+'19_Расчет_аналитики'!AA1572*SUMIF(ThresholdAge09,"&lt;"&amp;'19_Расчет_аналитики'!AA1572,WeightedRevAge09)-SUMIF(ThresholdAge09,"&lt;"&amp;'19_Расчет_аналитики'!AA1572,WeightedMinAge09),MAX(CapacityAge09*'01_Вводные'!$B$218*'19_Расчет_аналитики'!AA1572,MeanMinAge09)))</f>
        <v/>
      </c>
      <c r="AB1512">
        <f>IF(OR(('19_Расчет_аналитики'!AB1428-'19_Расчет_аналитики'!AB1456)=0,9&lt;='01_Вводные'!$B$297),0,('19_Расчет_аналитики'!AB1428-'19_Расчет_аналитики'!AB1456)*IF('01_Вводные'!$B$239="Да",MeanMinAge09+'19_Расчет_аналитики'!AB1572*SUMIF(ThresholdAge09,"&lt;"&amp;'19_Расчет_аналитики'!AB1572,WeightedRevAge09)-SUMIF(ThresholdAge09,"&lt;"&amp;'19_Расчет_аналитики'!AB1572,WeightedMinAge09),MAX(CapacityAge09*'01_Вводные'!$B$218*'19_Расчет_аналитики'!AB1572,MeanMinAge09)))</f>
        <v/>
      </c>
      <c r="AC1512">
        <f>IF(OR(('19_Расчет_аналитики'!AC1428-'19_Расчет_аналитики'!AC1456)=0,9&lt;='01_Вводные'!$B$297),0,('19_Расчет_аналитики'!AC1428-'19_Расчет_аналитики'!AC1456)*IF('01_Вводные'!$B$239="Да",MeanMinAge09+'19_Расчет_аналитики'!AC1572*SUMIF(ThresholdAge09,"&lt;"&amp;'19_Расчет_аналитики'!AC1572,WeightedRevAge09)-SUMIF(ThresholdAge09,"&lt;"&amp;'19_Расчет_аналитики'!AC1572,WeightedMinAge09),MAX(CapacityAge09*'01_Вводные'!$B$218*'19_Расчет_аналитики'!AC1572,MeanMinAge09)))</f>
        <v/>
      </c>
      <c r="AD1512">
        <f>IF(OR(('19_Расчет_аналитики'!AD1428-'19_Расчет_аналитики'!AD1456)=0,9&lt;='01_Вводные'!$B$297),0,('19_Расчет_аналитики'!AD1428-'19_Расчет_аналитики'!AD1456)*IF('01_Вводные'!$B$239="Да",MeanMinAge09+'19_Расчет_аналитики'!AD1572*SUMIF(ThresholdAge09,"&lt;"&amp;'19_Расчет_аналитики'!AD1572,WeightedRevAge09)-SUMIF(ThresholdAge09,"&lt;"&amp;'19_Расчет_аналитики'!AD1572,WeightedMinAge09),MAX(CapacityAge09*'01_Вводные'!$B$218*'19_Расчет_аналитики'!AD1572,MeanMinAge09)))</f>
        <v/>
      </c>
      <c r="AE1512">
        <f>IF(OR(('19_Расчет_аналитики'!AE1428-'19_Расчет_аналитики'!AE1456)=0,9&lt;='01_Вводные'!$B$297),0,('19_Расчет_аналитики'!AE1428-'19_Расчет_аналитики'!AE1456)*IF('01_Вводные'!$B$239="Да",MeanMinAge09+'19_Расчет_аналитики'!AE1572*SUMIF(ThresholdAge09,"&lt;"&amp;'19_Расчет_аналитики'!AE1572,WeightedRevAge09)-SUMIF(ThresholdAge09,"&lt;"&amp;'19_Расчет_аналитики'!AE1572,WeightedMinAge09),MAX(CapacityAge09*'01_Вводные'!$B$218*'19_Расчет_аналитики'!AE1572,MeanMinAge09)))</f>
        <v/>
      </c>
      <c r="AF1512">
        <f>IF(OR(('19_Расчет_аналитики'!AF1428-'19_Расчет_аналитики'!AF1456)=0,9&lt;='01_Вводные'!$B$297),0,('19_Расчет_аналитики'!AF1428-'19_Расчет_аналитики'!AF1456)*IF('01_Вводные'!$B$239="Да",MeanMinAge09+'19_Расчет_аналитики'!AF1572*SUMIF(ThresholdAge09,"&lt;"&amp;'19_Расчет_аналитики'!AF1572,WeightedRevAge09)-SUMIF(ThresholdAge09,"&lt;"&amp;'19_Расчет_аналитики'!AF1572,WeightedMinAge09),MAX(CapacityAge09*'01_Вводные'!$B$218*'19_Расчет_аналитики'!AF1572,MeanMinAge09)))</f>
        <v/>
      </c>
      <c r="AG1512">
        <f>IF(OR(('19_Расчет_аналитики'!AG1428-'19_Расчет_аналитики'!AG1456)=0,9&lt;='01_Вводные'!$B$297),0,('19_Расчет_аналитики'!AG1428-'19_Расчет_аналитики'!AG1456)*IF('01_Вводные'!$B$239="Да",MeanMinAge09+'19_Расчет_аналитики'!AG1572*SUMIF(ThresholdAge09,"&lt;"&amp;'19_Расчет_аналитики'!AG1572,WeightedRevAge09)-SUMIF(ThresholdAge09,"&lt;"&amp;'19_Расчет_аналитики'!AG1572,WeightedMinAge09),MAX(CapacityAge09*'01_Вводные'!$B$218*'19_Расчет_аналитики'!AG1572,MeanMinAge09)))</f>
        <v/>
      </c>
      <c r="AH1512">
        <f>IF(OR(('19_Расчет_аналитики'!AH1428-'19_Расчет_аналитики'!AH1456)=0,9&lt;='01_Вводные'!$B$297),0,('19_Расчет_аналитики'!AH1428-'19_Расчет_аналитики'!AH1456)*IF('01_Вводные'!$B$239="Да",MeanMinAge09+'19_Расчет_аналитики'!AH1572*SUMIF(ThresholdAge09,"&lt;"&amp;'19_Расчет_аналитики'!AH1572,WeightedRevAge09)-SUMIF(ThresholdAge09,"&lt;"&amp;'19_Расчет_аналитики'!AH1572,WeightedMinAge09),MAX(CapacityAge09*'01_Вводные'!$B$218*'19_Расчет_аналитики'!AH1572,MeanMinAge09)))</f>
        <v/>
      </c>
      <c r="AI1512">
        <f>IF(OR(('19_Расчет_аналитики'!AI1428-'19_Расчет_аналитики'!AI1456)=0,9&lt;='01_Вводные'!$B$297),0,('19_Расчет_аналитики'!AI1428-'19_Расчет_аналитики'!AI1456)*IF('01_Вводные'!$B$239="Да",MeanMinAge09+'19_Расчет_аналитики'!AI1572*SUMIF(ThresholdAge09,"&lt;"&amp;'19_Расчет_аналитики'!AI1572,WeightedRevAge09)-SUMIF(ThresholdAge09,"&lt;"&amp;'19_Расчет_аналитики'!AI1572,WeightedMinAge09),MAX(CapacityAge09*'01_Вводные'!$B$218*'19_Расчет_аналитики'!AI1572,MeanMinAge09)))</f>
        <v/>
      </c>
      <c r="AJ1512">
        <f>IF(OR(('19_Расчет_аналитики'!AJ1428-'19_Расчет_аналитики'!AJ1456)=0,9&lt;='01_Вводные'!$B$297),0,('19_Расчет_аналитики'!AJ1428-'19_Расчет_аналитики'!AJ1456)*IF('01_Вводные'!$B$239="Да",MeanMinAge09+'19_Расчет_аналитики'!AJ1572*SUMIF(ThresholdAge09,"&lt;"&amp;'19_Расчет_аналитики'!AJ1572,WeightedRevAge09)-SUMIF(ThresholdAge09,"&lt;"&amp;'19_Расчет_аналитики'!AJ1572,WeightedMinAge09),MAX(CapacityAge09*'01_Вводные'!$B$218*'19_Расчет_аналитики'!AJ1572,MeanMinAge09)))</f>
        <v/>
      </c>
      <c r="AK1512">
        <f>IF(OR(('19_Расчет_аналитики'!AK1428-'19_Расчет_аналитики'!AK1456)=0,9&lt;='01_Вводные'!$B$297),0,('19_Расчет_аналитики'!AK1428-'19_Расчет_аналитики'!AK1456)*IF('01_Вводные'!$B$239="Да",MeanMinAge09+'19_Расчет_аналитики'!AK1572*SUMIF(ThresholdAge09,"&lt;"&amp;'19_Расчет_аналитики'!AK1572,WeightedRevAge09)-SUMIF(ThresholdAge09,"&lt;"&amp;'19_Расчет_аналитики'!AK1572,WeightedMinAge09),MAX(CapacityAge09*'01_Вводные'!$B$218*'19_Расчет_аналитики'!AK1572,MeanMinAge09)))</f>
        <v/>
      </c>
      <c r="AL1512">
        <f>IF(OR(('19_Расчет_аналитики'!AL1428-'19_Расчет_аналитики'!AL1456)=0,9&lt;='01_Вводные'!$B$297),0,('19_Расчет_аналитики'!AL1428-'19_Расчет_аналитики'!AL1456)*IF('01_Вводные'!$B$239="Да",MeanMinAge09+'19_Расчет_аналитики'!AL1572*SUMIF(ThresholdAge09,"&lt;"&amp;'19_Расчет_аналитики'!AL1572,WeightedRevAge09)-SUMIF(ThresholdAge09,"&lt;"&amp;'19_Расчет_аналитики'!AL1572,WeightedMinAge09),MAX(CapacityAge09*'01_Вводные'!$B$218*'19_Расчет_аналитики'!AL1572,MeanMinAge09)))</f>
        <v/>
      </c>
      <c r="AM1512">
        <f>IF(OR(('19_Расчет_аналитики'!AM1428-'19_Расчет_аналитики'!AM1456)=0,9&lt;='01_Вводные'!$B$297),0,('19_Расчет_аналитики'!AM1428-'19_Расчет_аналитики'!AM1456)*IF('01_Вводные'!$B$239="Да",MeanMinAge09+'19_Расчет_аналитики'!AM1572*SUMIF(ThresholdAge09,"&lt;"&amp;'19_Расчет_аналитики'!AM1572,WeightedRevAge09)-SUMIF(ThresholdAge09,"&lt;"&amp;'19_Расчет_аналитики'!AM1572,WeightedMinAge09),MAX(CapacityAge09*'01_Вводные'!$B$218*'19_Расчет_аналитики'!AM1572,MeanMinAge09)))</f>
        <v/>
      </c>
      <c r="AN1512">
        <f>IF(OR(('19_Расчет_аналитики'!AN1428-'19_Расчет_аналитики'!AN1456)=0,9&lt;='01_Вводные'!$B$297),0,('19_Расчет_аналитики'!AN1428-'19_Расчет_аналитики'!AN1456)*IF('01_Вводные'!$B$239="Да",MeanMinAge09+'19_Расчет_аналитики'!AN1572*SUMIF(ThresholdAge09,"&lt;"&amp;'19_Расчет_аналитики'!AN1572,WeightedRevAge09)-SUMIF(ThresholdAge09,"&lt;"&amp;'19_Расчет_аналитики'!AN1572,WeightedMinAge09),MAX(CapacityAge09*'01_Вводные'!$B$218*'19_Расчет_аналитики'!AN1572,MeanMinAge09)))</f>
        <v/>
      </c>
      <c r="AO1512">
        <f>IF(OR(('19_Расчет_аналитики'!AO1428-'19_Расчет_аналитики'!AO1456)=0,9&lt;='01_Вводные'!$B$297),0,('19_Расчет_аналитики'!AO1428-'19_Расчет_аналитики'!AO1456)*IF('01_Вводные'!$B$239="Да",MeanMinAge09+'19_Расчет_аналитики'!AO1572*SUMIF(ThresholdAge09,"&lt;"&amp;'19_Расчет_аналитики'!AO1572,WeightedRevAge09)-SUMIF(ThresholdAge09,"&lt;"&amp;'19_Расчет_аналитики'!AO1572,WeightedMinAge09),MAX(CapacityAge09*'01_Вводные'!$B$218*'19_Расчет_аналитики'!AO1572,MeanMinAge09)))</f>
        <v/>
      </c>
      <c r="AP1512">
        <f>IF(OR(('19_Расчет_аналитики'!AP1428-'19_Расчет_аналитики'!AP1456)=0,9&lt;='01_Вводные'!$B$297),0,('19_Расчет_аналитики'!AP1428-'19_Расчет_аналитики'!AP1456)*IF('01_Вводные'!$B$239="Да",MeanMinAge09+'19_Расчет_аналитики'!AP1572*SUMIF(ThresholdAge09,"&lt;"&amp;'19_Расчет_аналитики'!AP1572,WeightedRevAge09)-SUMIF(ThresholdAge09,"&lt;"&amp;'19_Расчет_аналитики'!AP1572,WeightedMinAge09),MAX(CapacityAge09*'01_Вводные'!$B$218*'19_Расчет_аналитики'!AP1572,MeanMinAge09)))</f>
        <v/>
      </c>
      <c r="AQ1512">
        <f>IF(OR(('19_Расчет_аналитики'!AQ1428-'19_Расчет_аналитики'!AQ1456)=0,9&lt;='01_Вводные'!$B$297),0,('19_Расчет_аналитики'!AQ1428-'19_Расчет_аналитики'!AQ1456)*IF('01_Вводные'!$B$239="Да",MeanMinAge09+'19_Расчет_аналитики'!AQ1572*SUMIF(ThresholdAge09,"&lt;"&amp;'19_Расчет_аналитики'!AQ1572,WeightedRevAge09)-SUMIF(ThresholdAge09,"&lt;"&amp;'19_Расчет_аналитики'!AQ1572,WeightedMinAge09),MAX(CapacityAge09*'01_Вводные'!$B$218*'19_Расчет_аналитики'!AQ1572,MeanMinAge09)))</f>
        <v/>
      </c>
      <c r="AR1512">
        <f>IF(OR(('19_Расчет_аналитики'!AR1428-'19_Расчет_аналитики'!AR1456)=0,9&lt;='01_Вводные'!$B$297),0,('19_Расчет_аналитики'!AR1428-'19_Расчет_аналитики'!AR1456)*IF('01_Вводные'!$B$239="Да",MeanMinAge09+'19_Расчет_аналитики'!AR1572*SUMIF(ThresholdAge09,"&lt;"&amp;'19_Расчет_аналитики'!AR1572,WeightedRevAge09)-SUMIF(ThresholdAge09,"&lt;"&amp;'19_Расчет_аналитики'!AR1572,WeightedMinAge09),MAX(CapacityAge09*'01_Вводные'!$B$218*'19_Расчет_аналитики'!AR1572,MeanMinAge09)))</f>
        <v/>
      </c>
      <c r="AS1512">
        <f>IF(OR(('19_Расчет_аналитики'!AS1428-'19_Расчет_аналитики'!AS1456)=0,9&lt;='01_Вводные'!$B$297),0,('19_Расчет_аналитики'!AS1428-'19_Расчет_аналитики'!AS1456)*IF('01_Вводные'!$B$239="Да",MeanMinAge09+'19_Расчет_аналитики'!AS1572*SUMIF(ThresholdAge09,"&lt;"&amp;'19_Расчет_аналитики'!AS1572,WeightedRevAge09)-SUMIF(ThresholdAge09,"&lt;"&amp;'19_Расчет_аналитики'!AS1572,WeightedMinAge09),MAX(CapacityAge09*'01_Вводные'!$B$218*'19_Расчет_аналитики'!AS1572,MeanMinAge09)))</f>
        <v/>
      </c>
      <c r="AT1512">
        <f>IF(OR(('19_Расчет_аналитики'!AT1428-'19_Расчет_аналитики'!AT1456)=0,9&lt;='01_Вводные'!$B$297),0,('19_Расчет_аналитики'!AT1428-'19_Расчет_аналитики'!AT1456)*IF('01_Вводные'!$B$239="Да",MeanMinAge09+'19_Расчет_аналитики'!AT1572*SUMIF(ThresholdAge09,"&lt;"&amp;'19_Расчет_аналитики'!AT1572,WeightedRevAge09)-SUMIF(ThresholdAge09,"&lt;"&amp;'19_Расчет_аналитики'!AT1572,WeightedMinAge09),MAX(CapacityAge09*'01_Вводные'!$B$218*'19_Расчет_аналитики'!AT1572,MeanMinAge09)))</f>
        <v/>
      </c>
      <c r="AU1512">
        <f>IF(OR(('19_Расчет_аналитики'!AU1428-'19_Расчет_аналитики'!AU1456)=0,9&lt;='01_Вводные'!$B$297),0,('19_Расчет_аналитики'!AU1428-'19_Расчет_аналитики'!AU1456)*IF('01_Вводные'!$B$239="Да",MeanMinAge09+'19_Расчет_аналитики'!AU1572*SUMIF(ThresholdAge09,"&lt;"&amp;'19_Расчет_аналитики'!AU1572,WeightedRevAge09)-SUMIF(ThresholdAge09,"&lt;"&amp;'19_Расчет_аналитики'!AU1572,WeightedMinAge09),MAX(CapacityAge09*'01_Вводные'!$B$218*'19_Расчет_аналитики'!AU1572,MeanMinAge09)))</f>
        <v/>
      </c>
      <c r="AV1512">
        <f>IF(OR(('19_Расчет_аналитики'!AV1428-'19_Расчет_аналитики'!AV1456)=0,9&lt;='01_Вводные'!$B$297),0,('19_Расчет_аналитики'!AV1428-'19_Расчет_аналитики'!AV1456)*IF('01_Вводные'!$B$239="Да",MeanMinAge09+'19_Расчет_аналитики'!AV1572*SUMIF(ThresholdAge09,"&lt;"&amp;'19_Расчет_аналитики'!AV1572,WeightedRevAge09)-SUMIF(ThresholdAge09,"&lt;"&amp;'19_Расчет_аналитики'!AV1572,WeightedMinAge09),MAX(CapacityAge09*'01_Вводные'!$B$218*'19_Расчет_аналитики'!AV1572,MeanMinAge09)))</f>
        <v/>
      </c>
      <c r="AW1512">
        <f>IF(OR(('19_Расчет_аналитики'!AW1428-'19_Расчет_аналитики'!AW1456)=0,9&lt;='01_Вводные'!$B$297),0,('19_Расчет_аналитики'!AW1428-'19_Расчет_аналитики'!AW1456)*IF('01_Вводные'!$B$239="Да",MeanMinAge09+'19_Расчет_аналитики'!AW1572*SUMIF(ThresholdAge09,"&lt;"&amp;'19_Расчет_аналитики'!AW1572,WeightedRevAge09)-SUMIF(ThresholdAge09,"&lt;"&amp;'19_Расчет_аналитики'!AW1572,WeightedMinAge09),MAX(CapacityAge09*'01_Вводные'!$B$218*'19_Расчет_аналитики'!AW1572,MeanMinAge09)))</f>
        <v/>
      </c>
      <c r="AX1512">
        <f>IF(OR(('19_Расчет_аналитики'!AX1428-'19_Расчет_аналитики'!AX1456)=0,9&lt;='01_Вводные'!$B$297),0,('19_Расчет_аналитики'!AX1428-'19_Расчет_аналитики'!AX1456)*IF('01_Вводные'!$B$239="Да",MeanMinAge09+'19_Расчет_аналитики'!AX1572*SUMIF(ThresholdAge09,"&lt;"&amp;'19_Расчет_аналитики'!AX1572,WeightedRevAge09)-SUMIF(ThresholdAge09,"&lt;"&amp;'19_Расчет_аналитики'!AX1572,WeightedMinAge09),MAX(CapacityAge09*'01_Вводные'!$B$218*'19_Расчет_аналитики'!AX1572,MeanMinAge09)))</f>
        <v/>
      </c>
      <c r="AY1512">
        <f>IF(OR(('19_Расчет_аналитики'!AY1428-'19_Расчет_аналитики'!AY1456)=0,9&lt;='01_Вводные'!$B$297),0,('19_Расчет_аналитики'!AY1428-'19_Расчет_аналитики'!AY1456)*IF('01_Вводные'!$B$239="Да",MeanMinAge09+'19_Расчет_аналитики'!AY1572*SUMIF(ThresholdAge09,"&lt;"&amp;'19_Расчет_аналитики'!AY1572,WeightedRevAge09)-SUMIF(ThresholdAge09,"&lt;"&amp;'19_Расчет_аналитики'!AY1572,WeightedMinAge09),MAX(CapacityAge09*'01_Вводные'!$B$218*'19_Расчет_аналитики'!AY1572,MeanMinAge09)))</f>
        <v/>
      </c>
      <c r="AZ1512">
        <f>IF(OR(('19_Расчет_аналитики'!AZ1428-'19_Расчет_аналитики'!AZ1456)=0,9&lt;='01_Вводные'!$B$297),0,('19_Расчет_аналитики'!AZ1428-'19_Расчет_аналитики'!AZ1456)*IF('01_Вводные'!$B$239="Да",MeanMinAge09+'19_Расчет_аналитики'!AZ1572*SUMIF(ThresholdAge09,"&lt;"&amp;'19_Расчет_аналитики'!AZ1572,WeightedRevAge09)-SUMIF(ThresholdAge09,"&lt;"&amp;'19_Расчет_аналитики'!AZ1572,WeightedMinAge09),MAX(CapacityAge09*'01_Вводные'!$B$218*'19_Расчет_аналитики'!AZ1572,MeanMinAge09)))</f>
        <v/>
      </c>
      <c r="BA1512">
        <f>IF(OR(('19_Расчет_аналитики'!BA1428-'19_Расчет_аналитики'!BA1456)=0,9&lt;='01_Вводные'!$B$297),0,('19_Расчет_аналитики'!BA1428-'19_Расчет_аналитики'!BA1456)*IF('01_Вводные'!$B$239="Да",MeanMinAge09+'19_Расчет_аналитики'!BA1572*SUMIF(ThresholdAge09,"&lt;"&amp;'19_Расчет_аналитики'!BA1572,WeightedRevAge09)-SUMIF(ThresholdAge09,"&lt;"&amp;'19_Расчет_аналитики'!BA1572,WeightedMinAge09),MAX(CapacityAge09*'01_Вводные'!$B$218*'19_Расчет_аналитики'!BA1572,MeanMinAge09)))</f>
        <v/>
      </c>
      <c r="BB1512">
        <f>IF(OR(('19_Расчет_аналитики'!BB1428-'19_Расчет_аналитики'!BB1456)=0,9&lt;='01_Вводные'!$B$297),0,('19_Расчет_аналитики'!BB1428-'19_Расчет_аналитики'!BB1456)*IF('01_Вводные'!$B$239="Да",MeanMinAge09+'19_Расчет_аналитики'!BB1572*SUMIF(ThresholdAge09,"&lt;"&amp;'19_Расчет_аналитики'!BB1572,WeightedRevAge09)-SUMIF(ThresholdAge09,"&lt;"&amp;'19_Расчет_аналитики'!BB1572,WeightedMinAge09),MAX(CapacityAge09*'01_Вводные'!$B$218*'19_Расчет_аналитики'!BB1572,MeanMinAge09)))</f>
        <v/>
      </c>
      <c r="BC1512">
        <f>IF(OR(('19_Расчет_аналитики'!BC1428-'19_Расчет_аналитики'!BC1456)=0,9&lt;='01_Вводные'!$B$297),0,('19_Расчет_аналитики'!BC1428-'19_Расчет_аналитики'!BC1456)*IF('01_Вводные'!$B$239="Да",MeanMinAge09+'19_Расчет_аналитики'!BC1572*SUMIF(ThresholdAge09,"&lt;"&amp;'19_Расчет_аналитики'!BC1572,WeightedRevAge09)-SUMIF(ThresholdAge09,"&lt;"&amp;'19_Расчет_аналитики'!BC1572,WeightedMinAge09),MAX(CapacityAge09*'01_Вводные'!$B$218*'19_Расчет_аналитики'!BC1572,MeanMinAge09)))</f>
        <v/>
      </c>
      <c r="BD1512">
        <f>IF(OR(('19_Расчет_аналитики'!BD1428-'19_Расчет_аналитики'!BD1456)=0,9&lt;='01_Вводные'!$B$297),0,('19_Расчет_аналитики'!BD1428-'19_Расчет_аналитики'!BD1456)*IF('01_Вводные'!$B$239="Да",MeanMinAge09+'19_Расчет_аналитики'!BD1572*SUMIF(ThresholdAge09,"&lt;"&amp;'19_Расчет_аналитики'!BD1572,WeightedRevAge09)-SUMIF(ThresholdAge09,"&lt;"&amp;'19_Расчет_аналитики'!BD1572,WeightedMinAge09),MAX(CapacityAge09*'01_Вводные'!$B$218*'19_Расчет_аналитики'!BD1572,MeanMinAge09)))</f>
        <v/>
      </c>
      <c r="BE1512">
        <f>IF(OR(('19_Расчет_аналитики'!BE1428-'19_Расчет_аналитики'!BE1456)=0,9&lt;='01_Вводные'!$B$297),0,('19_Расчет_аналитики'!BE1428-'19_Расчет_аналитики'!BE1456)*IF('01_Вводные'!$B$239="Да",MeanMinAge09+'19_Расчет_аналитики'!BE1572*SUMIF(ThresholdAge09,"&lt;"&amp;'19_Расчет_аналитики'!BE1572,WeightedRevAge09)-SUMIF(ThresholdAge09,"&lt;"&amp;'19_Расчет_аналитики'!BE1572,WeightedMinAge09),MAX(CapacityAge09*'01_Вводные'!$B$218*'19_Расчет_аналитики'!BE1572,MeanMinAge09)))</f>
        <v/>
      </c>
      <c r="BF1512">
        <f>IF(OR(('19_Расчет_аналитики'!BF1428-'19_Расчет_аналитики'!BF1456)=0,9&lt;='01_Вводные'!$B$297),0,('19_Расчет_аналитики'!BF1428-'19_Расчет_аналитики'!BF1456)*IF('01_Вводные'!$B$239="Да",MeanMinAge09+'19_Расчет_аналитики'!BF1572*SUMIF(ThresholdAge09,"&lt;"&amp;'19_Расчет_аналитики'!BF1572,WeightedRevAge09)-SUMIF(ThresholdAge09,"&lt;"&amp;'19_Расчет_аналитики'!BF1572,WeightedMinAge09),MAX(CapacityAge09*'01_Вводные'!$B$218*'19_Расчет_аналитики'!BF1572,MeanMinAge09)))</f>
        <v/>
      </c>
      <c r="BG1512">
        <f>IF(OR(('19_Расчет_аналитики'!BG1428-'19_Расчет_аналитики'!BG1456)=0,9&lt;='01_Вводные'!$B$297),0,('19_Расчет_аналитики'!BG1428-'19_Расчет_аналитики'!BG1456)*IF('01_Вводные'!$B$239="Да",MeanMinAge09+'19_Расчет_аналитики'!BG1572*SUMIF(ThresholdAge09,"&lt;"&amp;'19_Расчет_аналитики'!BG1572,WeightedRevAge09)-SUMIF(ThresholdAge09,"&lt;"&amp;'19_Расчет_аналитики'!BG1572,WeightedMinAge09),MAX(CapacityAge09*'01_Вводные'!$B$218*'19_Расчет_аналитики'!BG1572,MeanMinAge09)))</f>
        <v/>
      </c>
      <c r="BH1512">
        <f>IF(OR(('19_Расчет_аналитики'!BH1428-'19_Расчет_аналитики'!BH1456)=0,9&lt;='01_Вводные'!$B$297),0,('19_Расчет_аналитики'!BH1428-'19_Расчет_аналитики'!BH1456)*IF('01_Вводные'!$B$239="Да",MeanMinAge09+'19_Расчет_аналитики'!BH1572*SUMIF(ThresholdAge09,"&lt;"&amp;'19_Расчет_аналитики'!BH1572,WeightedRevAge09)-SUMIF(ThresholdAge09,"&lt;"&amp;'19_Расчет_аналитики'!BH1572,WeightedMinAge09),MAX(CapacityAge09*'01_Вводные'!$B$218*'19_Расчет_аналитики'!BH1572,MeanMinAge09)))</f>
        <v/>
      </c>
      <c r="BI1512">
        <f>IF(OR(('19_Расчет_аналитики'!BI1428-'19_Расчет_аналитики'!BI1456)=0,9&lt;='01_Вводные'!$B$297),0,('19_Расчет_аналитики'!BI1428-'19_Расчет_аналитики'!BI1456)*IF('01_Вводные'!$B$239="Да",MeanMinAge09+'19_Расчет_аналитики'!BI1572*SUMIF(ThresholdAge09,"&lt;"&amp;'19_Расчет_аналитики'!BI1572,WeightedRevAge09)-SUMIF(ThresholdAge09,"&lt;"&amp;'19_Расчет_аналитики'!BI1572,WeightedMinAge09),MAX(CapacityAge09*'01_Вводные'!$B$218*'19_Расчет_аналитики'!BI1572,MeanMinAge09)))</f>
        <v/>
      </c>
      <c r="BJ1512">
        <f>IF(OR(('19_Расчет_аналитики'!BJ1428-'19_Расчет_аналитики'!BJ1456)=0,9&lt;='01_Вводные'!$B$297),0,('19_Расчет_аналитики'!BJ1428-'19_Расчет_аналитики'!BJ1456)*IF('01_Вводные'!$B$239="Да",MeanMinAge09+'19_Расчет_аналитики'!BJ1572*SUMIF(ThresholdAge09,"&lt;"&amp;'19_Расчет_аналитики'!BJ1572,WeightedRevAge09)-SUMIF(ThresholdAge09,"&lt;"&amp;'19_Расчет_аналитики'!BJ1572,WeightedMinAge09),MAX(CapacityAge09*'01_Вводные'!$B$218*'19_Расчет_аналитики'!BJ1572,MeanMinAge09)))</f>
        <v/>
      </c>
      <c r="BK1512">
        <f>IF(OR(('19_Расчет_аналитики'!BK1428-'19_Расчет_аналитики'!BK1456)=0,9&lt;='01_Вводные'!$B$297),0,('19_Расчет_аналитики'!BK1428-'19_Расчет_аналитики'!BK1456)*IF('01_Вводные'!$B$239="Да",MeanMinAge09+'19_Расчет_аналитики'!BK1572*SUMIF(ThresholdAge09,"&lt;"&amp;'19_Расчет_аналитики'!BK1572,WeightedRevAge09)-SUMIF(ThresholdAge09,"&lt;"&amp;'19_Расчет_аналитики'!BK1572,WeightedMinAge09),MAX(CapacityAge09*'01_Вводные'!$B$218*'19_Расчет_аналитики'!BK1572,MeanMinAge09)))</f>
        <v/>
      </c>
      <c r="BL1512">
        <f>IF(OR(('19_Расчет_аналитики'!BL1428-'19_Расчет_аналитики'!BL1456)=0,9&lt;='01_Вводные'!$B$297),0,('19_Расчет_аналитики'!BL1428-'19_Расчет_аналитики'!BL1456)*IF('01_Вводные'!$B$239="Да",MeanMinAge09+'19_Расчет_аналитики'!BL1572*SUMIF(ThresholdAge09,"&lt;"&amp;'19_Расчет_аналитики'!BL1572,WeightedRevAge09)-SUMIF(ThresholdAge09,"&lt;"&amp;'19_Расчет_аналитики'!BL1572,WeightedMinAge09),MAX(CapacityAge09*'01_Вводные'!$B$218*'19_Расчет_аналитики'!BL1572,MeanMinAge09)))</f>
        <v/>
      </c>
      <c r="BM1512">
        <f>IF(OR(('19_Расчет_аналитики'!BM1428-'19_Расчет_аналитики'!BM1456)=0,9&lt;='01_Вводные'!$B$297),0,('19_Расчет_аналитики'!BM1428-'19_Расчет_аналитики'!BM1456)*IF('01_Вводные'!$B$239="Да",MeanMinAge09+'19_Расчет_аналитики'!BM1572*SUMIF(ThresholdAge09,"&lt;"&amp;'19_Расчет_аналитики'!BM1572,WeightedRevAge09)-SUMIF(ThresholdAge09,"&lt;"&amp;'19_Расчет_аналитики'!BM1572,WeightedMinAge09),MAX(CapacityAge09*'01_Вводные'!$B$218*'19_Расчет_аналитики'!BM1572,MeanMinAge09)))</f>
        <v/>
      </c>
      <c r="BN1512">
        <f>IF(OR(('19_Расчет_аналитики'!BN1428-'19_Расчет_аналитики'!BN1456)=0,9&lt;='01_Вводные'!$B$297),0,('19_Расчет_аналитики'!BN1428-'19_Расчет_аналитики'!BN1456)*IF('01_Вводные'!$B$239="Да",MeanMinAge09+'19_Расчет_аналитики'!BN1572*SUMIF(ThresholdAge09,"&lt;"&amp;'19_Расчет_аналитики'!BN1572,WeightedRevAge09)-SUMIF(ThresholdAge09,"&lt;"&amp;'19_Расчет_аналитики'!BN1572,WeightedMinAge09),MAX(CapacityAge09*'01_Вводные'!$B$218*'19_Расчет_аналитики'!BN1572,MeanMinAge09)))</f>
        <v/>
      </c>
      <c r="BO1512">
        <f>IF(OR(('19_Расчет_аналитики'!BO1428-'19_Расчет_аналитики'!BO1456)=0,9&lt;='01_Вводные'!$B$297),0,('19_Расчет_аналитики'!BO1428-'19_Расчет_аналитики'!BO1456)*IF('01_Вводные'!$B$239="Да",MeanMinAge09+'19_Расчет_аналитики'!BO1572*SUMIF(ThresholdAge09,"&lt;"&amp;'19_Расчет_аналитики'!BO1572,WeightedRevAge09)-SUMIF(ThresholdAge09,"&lt;"&amp;'19_Расчет_аналитики'!BO1572,WeightedMinAge09),MAX(CapacityAge09*'01_Вводные'!$B$218*'19_Расчет_аналитики'!BO1572,MeanMinAge09)))</f>
        <v/>
      </c>
    </row>
    <row r="1513">
      <c r="B1513">
        <f>IF(OR(('06_Сеть_и_дети'!B62-'06_Сеть_и_дети'!B90)=0,10&lt;='01_Вводные'!$B$297),0,('06_Сеть_и_дети'!B62-'06_Сеть_и_дети'!B90)*IF('01_Вводные'!$B$239="Да",MeanMinAge10+'19_Расчет_аналитики'!B1572*SUMIF(ThresholdAge10,"&lt;"&amp;'19_Расчет_аналитики'!B1572,WeightedRevAge10)-SUMIF(ThresholdAge10,"&lt;"&amp;'19_Расчет_аналитики'!B1572,WeightedMinAge10),MAX(CapacityAge10*'01_Вводные'!$B$218*'19_Расчет_аналитики'!B1572,MeanMinAge10)))</f>
        <v/>
      </c>
      <c r="C1513">
        <f>IF(OR(('06_Сеть_и_дети'!C62-'06_Сеть_и_дети'!C90)=0,10&lt;='01_Вводные'!$B$297),0,('06_Сеть_и_дети'!C62-'06_Сеть_и_дети'!C90)*IF('01_Вводные'!$B$239="Да",MeanMinAge10+'19_Расчет_аналитики'!C1572*SUMIF(ThresholdAge10,"&lt;"&amp;'19_Расчет_аналитики'!C1572,WeightedRevAge10)-SUMIF(ThresholdAge10,"&lt;"&amp;'19_Расчет_аналитики'!C1572,WeightedMinAge10),MAX(CapacityAge10*'01_Вводные'!$B$218*'19_Расчет_аналитики'!C1572,MeanMinAge10)))</f>
        <v/>
      </c>
      <c r="D1513">
        <f>IF(OR(('06_Сеть_и_дети'!D62-'06_Сеть_и_дети'!D90)=0,10&lt;='01_Вводные'!$B$297),0,('06_Сеть_и_дети'!D62-'06_Сеть_и_дети'!D90)*IF('01_Вводные'!$B$239="Да",MeanMinAge10+'19_Расчет_аналитики'!D1572*SUMIF(ThresholdAge10,"&lt;"&amp;'19_Расчет_аналитики'!D1572,WeightedRevAge10)-SUMIF(ThresholdAge10,"&lt;"&amp;'19_Расчет_аналитики'!D1572,WeightedMinAge10),MAX(CapacityAge10*'01_Вводные'!$B$218*'19_Расчет_аналитики'!D1572,MeanMinAge10)))</f>
        <v/>
      </c>
      <c r="E1513">
        <f>IF(OR(('06_Сеть_и_дети'!E62-'06_Сеть_и_дети'!E90)=0,10&lt;='01_Вводные'!$B$297),0,('06_Сеть_и_дети'!E62-'06_Сеть_и_дети'!E90)*IF('01_Вводные'!$B$239="Да",MeanMinAge10+'19_Расчет_аналитики'!E1572*SUMIF(ThresholdAge10,"&lt;"&amp;'19_Расчет_аналитики'!E1572,WeightedRevAge10)-SUMIF(ThresholdAge10,"&lt;"&amp;'19_Расчет_аналитики'!E1572,WeightedMinAge10),MAX(CapacityAge10*'01_Вводные'!$B$218*'19_Расчет_аналитики'!E1572,MeanMinAge10)))</f>
        <v/>
      </c>
      <c r="F1513">
        <f>IF(OR(('06_Сеть_и_дети'!F62-'06_Сеть_и_дети'!F90)=0,10&lt;='01_Вводные'!$B$297),0,('06_Сеть_и_дети'!F62-'06_Сеть_и_дети'!F90)*IF('01_Вводные'!$B$239="Да",MeanMinAge10+'19_Расчет_аналитики'!F1572*SUMIF(ThresholdAge10,"&lt;"&amp;'19_Расчет_аналитики'!F1572,WeightedRevAge10)-SUMIF(ThresholdAge10,"&lt;"&amp;'19_Расчет_аналитики'!F1572,WeightedMinAge10),MAX(CapacityAge10*'01_Вводные'!$B$218*'19_Расчет_аналитики'!F1572,MeanMinAge10)))</f>
        <v/>
      </c>
      <c r="G1513">
        <f>IF(OR(('06_Сеть_и_дети'!G62-'06_Сеть_и_дети'!G90)=0,10&lt;='01_Вводные'!$B$297),0,('06_Сеть_и_дети'!G62-'06_Сеть_и_дети'!G90)*IF('01_Вводные'!$B$239="Да",MeanMinAge10+'19_Расчет_аналитики'!G1572*SUMIF(ThresholdAge10,"&lt;"&amp;'19_Расчет_аналитики'!G1572,WeightedRevAge10)-SUMIF(ThresholdAge10,"&lt;"&amp;'19_Расчет_аналитики'!G1572,WeightedMinAge10),MAX(CapacityAge10*'01_Вводные'!$B$218*'19_Расчет_аналитики'!G1572,MeanMinAge10)))</f>
        <v/>
      </c>
      <c r="H1513">
        <f>IF(OR(('06_Сеть_и_дети'!H62-'06_Сеть_и_дети'!H90)=0,10&lt;='01_Вводные'!$B$297),0,('06_Сеть_и_дети'!H62-'06_Сеть_и_дети'!H90)*IF('01_Вводные'!$B$239="Да",MeanMinAge10+'19_Расчет_аналитики'!H1572*SUMIF(ThresholdAge10,"&lt;"&amp;'19_Расчет_аналитики'!H1572,WeightedRevAge10)-SUMIF(ThresholdAge10,"&lt;"&amp;'19_Расчет_аналитики'!H1572,WeightedMinAge10),MAX(CapacityAge10*'01_Вводные'!$B$218*'19_Расчет_аналитики'!H1572,MeanMinAge10)))</f>
        <v/>
      </c>
      <c r="I1513">
        <f>IF(OR(('06_Сеть_и_дети'!I62-'06_Сеть_и_дети'!I90)=0,10&lt;='01_Вводные'!$B$297),0,('06_Сеть_и_дети'!I62-'06_Сеть_и_дети'!I90)*IF('01_Вводные'!$B$239="Да",MeanMinAge10+'19_Расчет_аналитики'!I1572*SUMIF(ThresholdAge10,"&lt;"&amp;'19_Расчет_аналитики'!I1572,WeightedRevAge10)-SUMIF(ThresholdAge10,"&lt;"&amp;'19_Расчет_аналитики'!I1572,WeightedMinAge10),MAX(CapacityAge10*'01_Вводные'!$B$218*'19_Расчет_аналитики'!I1572,MeanMinAge10)))</f>
        <v/>
      </c>
      <c r="J1513">
        <f>IF(OR(('06_Сеть_и_дети'!J62-'06_Сеть_и_дети'!J90)=0,10&lt;='01_Вводные'!$B$297),0,('06_Сеть_и_дети'!J62-'06_Сеть_и_дети'!J90)*IF('01_Вводные'!$B$239="Да",MeanMinAge10+'19_Расчет_аналитики'!J1572*SUMIF(ThresholdAge10,"&lt;"&amp;'19_Расчет_аналитики'!J1572,WeightedRevAge10)-SUMIF(ThresholdAge10,"&lt;"&amp;'19_Расчет_аналитики'!J1572,WeightedMinAge10),MAX(CapacityAge10*'01_Вводные'!$B$218*'19_Расчет_аналитики'!J1572,MeanMinAge10)))</f>
        <v/>
      </c>
      <c r="K1513">
        <f>IF(OR(('19_Расчет_аналитики'!K1429-'19_Расчет_аналитики'!K1457)=0,10&lt;='01_Вводные'!$B$297),0,('19_Расчет_аналитики'!K1429-'19_Расчет_аналитики'!K1457)*IF('01_Вводные'!$B$239="Да",MeanMinAge10+'19_Расчет_аналитики'!K1572*SUMIF(ThresholdAge10,"&lt;"&amp;'19_Расчет_аналитики'!K1572,WeightedRevAge10)-SUMIF(ThresholdAge10,"&lt;"&amp;'19_Расчет_аналитики'!K1572,WeightedMinAge10),MAX(CapacityAge10*'01_Вводные'!$B$218*'19_Расчет_аналитики'!K1572,MeanMinAge10)))</f>
        <v/>
      </c>
      <c r="L1513">
        <f>IF(OR(('19_Расчет_аналитики'!L1429-'19_Расчет_аналитики'!L1457)=0,10&lt;='01_Вводные'!$B$297),0,('19_Расчет_аналитики'!L1429-'19_Расчет_аналитики'!L1457)*IF('01_Вводные'!$B$239="Да",MeanMinAge10+'19_Расчет_аналитики'!L1572*SUMIF(ThresholdAge10,"&lt;"&amp;'19_Расчет_аналитики'!L1572,WeightedRevAge10)-SUMIF(ThresholdAge10,"&lt;"&amp;'19_Расчет_аналитики'!L1572,WeightedMinAge10),MAX(CapacityAge10*'01_Вводные'!$B$218*'19_Расчет_аналитики'!L1572,MeanMinAge10)))</f>
        <v/>
      </c>
      <c r="M1513">
        <f>IF(OR(('19_Расчет_аналитики'!M1429-'19_Расчет_аналитики'!M1457)=0,10&lt;='01_Вводные'!$B$297),0,('19_Расчет_аналитики'!M1429-'19_Расчет_аналитики'!M1457)*IF('01_Вводные'!$B$239="Да",MeanMinAge10+'19_Расчет_аналитики'!M1572*SUMIF(ThresholdAge10,"&lt;"&amp;'19_Расчет_аналитики'!M1572,WeightedRevAge10)-SUMIF(ThresholdAge10,"&lt;"&amp;'19_Расчет_аналитики'!M1572,WeightedMinAge10),MAX(CapacityAge10*'01_Вводные'!$B$218*'19_Расчет_аналитики'!M1572,MeanMinAge10)))</f>
        <v/>
      </c>
      <c r="N1513">
        <f>IF(OR(('19_Расчет_аналитики'!N1429-'19_Расчет_аналитики'!N1457)=0,10&lt;='01_Вводные'!$B$297),0,('19_Расчет_аналитики'!N1429-'19_Расчет_аналитики'!N1457)*IF('01_Вводные'!$B$239="Да",MeanMinAge10+'19_Расчет_аналитики'!N1572*SUMIF(ThresholdAge10,"&lt;"&amp;'19_Расчет_аналитики'!N1572,WeightedRevAge10)-SUMIF(ThresholdAge10,"&lt;"&amp;'19_Расчет_аналитики'!N1572,WeightedMinAge10),MAX(CapacityAge10*'01_Вводные'!$B$218*'19_Расчет_аналитики'!N1572,MeanMinAge10)))</f>
        <v/>
      </c>
      <c r="O1513">
        <f>IF(OR(('19_Расчет_аналитики'!O1429-'19_Расчет_аналитики'!O1457)=0,10&lt;='01_Вводные'!$B$297),0,('19_Расчет_аналитики'!O1429-'19_Расчет_аналитики'!O1457)*IF('01_Вводные'!$B$239="Да",MeanMinAge10+'19_Расчет_аналитики'!O1572*SUMIF(ThresholdAge10,"&lt;"&amp;'19_Расчет_аналитики'!O1572,WeightedRevAge10)-SUMIF(ThresholdAge10,"&lt;"&amp;'19_Расчет_аналитики'!O1572,WeightedMinAge10),MAX(CapacityAge10*'01_Вводные'!$B$218*'19_Расчет_аналитики'!O1572,MeanMinAge10)))</f>
        <v/>
      </c>
      <c r="P1513">
        <f>IF(OR(('19_Расчет_аналитики'!P1429-'19_Расчет_аналитики'!P1457)=0,10&lt;='01_Вводные'!$B$297),0,('19_Расчет_аналитики'!P1429-'19_Расчет_аналитики'!P1457)*IF('01_Вводные'!$B$239="Да",MeanMinAge10+'19_Расчет_аналитики'!P1572*SUMIF(ThresholdAge10,"&lt;"&amp;'19_Расчет_аналитики'!P1572,WeightedRevAge10)-SUMIF(ThresholdAge10,"&lt;"&amp;'19_Расчет_аналитики'!P1572,WeightedMinAge10),MAX(CapacityAge10*'01_Вводные'!$B$218*'19_Расчет_аналитики'!P1572,MeanMinAge10)))</f>
        <v/>
      </c>
      <c r="Q1513">
        <f>IF(OR(('19_Расчет_аналитики'!Q1429-'19_Расчет_аналитики'!Q1457)=0,10&lt;='01_Вводные'!$B$297),0,('19_Расчет_аналитики'!Q1429-'19_Расчет_аналитики'!Q1457)*IF('01_Вводные'!$B$239="Да",MeanMinAge10+'19_Расчет_аналитики'!Q1572*SUMIF(ThresholdAge10,"&lt;"&amp;'19_Расчет_аналитики'!Q1572,WeightedRevAge10)-SUMIF(ThresholdAge10,"&lt;"&amp;'19_Расчет_аналитики'!Q1572,WeightedMinAge10),MAX(CapacityAge10*'01_Вводные'!$B$218*'19_Расчет_аналитики'!Q1572,MeanMinAge10)))</f>
        <v/>
      </c>
      <c r="R1513">
        <f>IF(OR(('19_Расчет_аналитики'!R1429-'19_Расчет_аналитики'!R1457)=0,10&lt;='01_Вводные'!$B$297),0,('19_Расчет_аналитики'!R1429-'19_Расчет_аналитики'!R1457)*IF('01_Вводные'!$B$239="Да",MeanMinAge10+'19_Расчет_аналитики'!R1572*SUMIF(ThresholdAge10,"&lt;"&amp;'19_Расчет_аналитики'!R1572,WeightedRevAge10)-SUMIF(ThresholdAge10,"&lt;"&amp;'19_Расчет_аналитики'!R1572,WeightedMinAge10),MAX(CapacityAge10*'01_Вводные'!$B$218*'19_Расчет_аналитики'!R1572,MeanMinAge10)))</f>
        <v/>
      </c>
      <c r="S1513">
        <f>IF(OR(('19_Расчет_аналитики'!S1429-'19_Расчет_аналитики'!S1457)=0,10&lt;='01_Вводные'!$B$297),0,('19_Расчет_аналитики'!S1429-'19_Расчет_аналитики'!S1457)*IF('01_Вводные'!$B$239="Да",MeanMinAge10+'19_Расчет_аналитики'!S1572*SUMIF(ThresholdAge10,"&lt;"&amp;'19_Расчет_аналитики'!S1572,WeightedRevAge10)-SUMIF(ThresholdAge10,"&lt;"&amp;'19_Расчет_аналитики'!S1572,WeightedMinAge10),MAX(CapacityAge10*'01_Вводные'!$B$218*'19_Расчет_аналитики'!S1572,MeanMinAge10)))</f>
        <v/>
      </c>
      <c r="T1513">
        <f>IF(OR(('19_Расчет_аналитики'!T1429-'19_Расчет_аналитики'!T1457)=0,10&lt;='01_Вводные'!$B$297),0,('19_Расчет_аналитики'!T1429-'19_Расчет_аналитики'!T1457)*IF('01_Вводные'!$B$239="Да",MeanMinAge10+'19_Расчет_аналитики'!T1572*SUMIF(ThresholdAge10,"&lt;"&amp;'19_Расчет_аналитики'!T1572,WeightedRevAge10)-SUMIF(ThresholdAge10,"&lt;"&amp;'19_Расчет_аналитики'!T1572,WeightedMinAge10),MAX(CapacityAge10*'01_Вводные'!$B$218*'19_Расчет_аналитики'!T1572,MeanMinAge10)))</f>
        <v/>
      </c>
      <c r="U1513">
        <f>IF(OR(('19_Расчет_аналитики'!U1429-'19_Расчет_аналитики'!U1457)=0,10&lt;='01_Вводные'!$B$297),0,('19_Расчет_аналитики'!U1429-'19_Расчет_аналитики'!U1457)*IF('01_Вводные'!$B$239="Да",MeanMinAge10+'19_Расчет_аналитики'!U1572*SUMIF(ThresholdAge10,"&lt;"&amp;'19_Расчет_аналитики'!U1572,WeightedRevAge10)-SUMIF(ThresholdAge10,"&lt;"&amp;'19_Расчет_аналитики'!U1572,WeightedMinAge10),MAX(CapacityAge10*'01_Вводные'!$B$218*'19_Расчет_аналитики'!U1572,MeanMinAge10)))</f>
        <v/>
      </c>
      <c r="V1513">
        <f>IF(OR(('19_Расчет_аналитики'!V1429-'19_Расчет_аналитики'!V1457)=0,10&lt;='01_Вводные'!$B$297),0,('19_Расчет_аналитики'!V1429-'19_Расчет_аналитики'!V1457)*IF('01_Вводные'!$B$239="Да",MeanMinAge10+'19_Расчет_аналитики'!V1572*SUMIF(ThresholdAge10,"&lt;"&amp;'19_Расчет_аналитики'!V1572,WeightedRevAge10)-SUMIF(ThresholdAge10,"&lt;"&amp;'19_Расчет_аналитики'!V1572,WeightedMinAge10),MAX(CapacityAge10*'01_Вводные'!$B$218*'19_Расчет_аналитики'!V1572,MeanMinAge10)))</f>
        <v/>
      </c>
      <c r="W1513">
        <f>IF(OR(('19_Расчет_аналитики'!W1429-'19_Расчет_аналитики'!W1457)=0,10&lt;='01_Вводные'!$B$297),0,('19_Расчет_аналитики'!W1429-'19_Расчет_аналитики'!W1457)*IF('01_Вводные'!$B$239="Да",MeanMinAge10+'19_Расчет_аналитики'!W1572*SUMIF(ThresholdAge10,"&lt;"&amp;'19_Расчет_аналитики'!W1572,WeightedRevAge10)-SUMIF(ThresholdAge10,"&lt;"&amp;'19_Расчет_аналитики'!W1572,WeightedMinAge10),MAX(CapacityAge10*'01_Вводные'!$B$218*'19_Расчет_аналитики'!W1572,MeanMinAge10)))</f>
        <v/>
      </c>
      <c r="X1513">
        <f>IF(OR(('19_Расчет_аналитики'!X1429-'19_Расчет_аналитики'!X1457)=0,10&lt;='01_Вводные'!$B$297),0,('19_Расчет_аналитики'!X1429-'19_Расчет_аналитики'!X1457)*IF('01_Вводные'!$B$239="Да",MeanMinAge10+'19_Расчет_аналитики'!X1572*SUMIF(ThresholdAge10,"&lt;"&amp;'19_Расчет_аналитики'!X1572,WeightedRevAge10)-SUMIF(ThresholdAge10,"&lt;"&amp;'19_Расчет_аналитики'!X1572,WeightedMinAge10),MAX(CapacityAge10*'01_Вводные'!$B$218*'19_Расчет_аналитики'!X1572,MeanMinAge10)))</f>
        <v/>
      </c>
      <c r="Y1513">
        <f>IF(OR(('19_Расчет_аналитики'!Y1429-'19_Расчет_аналитики'!Y1457)=0,10&lt;='01_Вводные'!$B$297),0,('19_Расчет_аналитики'!Y1429-'19_Расчет_аналитики'!Y1457)*IF('01_Вводные'!$B$239="Да",MeanMinAge10+'19_Расчет_аналитики'!Y1572*SUMIF(ThresholdAge10,"&lt;"&amp;'19_Расчет_аналитики'!Y1572,WeightedRevAge10)-SUMIF(ThresholdAge10,"&lt;"&amp;'19_Расчет_аналитики'!Y1572,WeightedMinAge10),MAX(CapacityAge10*'01_Вводные'!$B$218*'19_Расчет_аналитики'!Y1572,MeanMinAge10)))</f>
        <v/>
      </c>
      <c r="Z1513">
        <f>IF(OR(('19_Расчет_аналитики'!Z1429-'19_Расчет_аналитики'!Z1457)=0,10&lt;='01_Вводные'!$B$297),0,('19_Расчет_аналитики'!Z1429-'19_Расчет_аналитики'!Z1457)*IF('01_Вводные'!$B$239="Да",MeanMinAge10+'19_Расчет_аналитики'!Z1572*SUMIF(ThresholdAge10,"&lt;"&amp;'19_Расчет_аналитики'!Z1572,WeightedRevAge10)-SUMIF(ThresholdAge10,"&lt;"&amp;'19_Расчет_аналитики'!Z1572,WeightedMinAge10),MAX(CapacityAge10*'01_Вводные'!$B$218*'19_Расчет_аналитики'!Z1572,MeanMinAge10)))</f>
        <v/>
      </c>
      <c r="AA1513">
        <f>IF(OR(('19_Расчет_аналитики'!AA1429-'19_Расчет_аналитики'!AA1457)=0,10&lt;='01_Вводные'!$B$297),0,('19_Расчет_аналитики'!AA1429-'19_Расчет_аналитики'!AA1457)*IF('01_Вводные'!$B$239="Да",MeanMinAge10+'19_Расчет_аналитики'!AA1572*SUMIF(ThresholdAge10,"&lt;"&amp;'19_Расчет_аналитики'!AA1572,WeightedRevAge10)-SUMIF(ThresholdAge10,"&lt;"&amp;'19_Расчет_аналитики'!AA1572,WeightedMinAge10),MAX(CapacityAge10*'01_Вводные'!$B$218*'19_Расчет_аналитики'!AA1572,MeanMinAge10)))</f>
        <v/>
      </c>
      <c r="AB1513">
        <f>IF(OR(('19_Расчет_аналитики'!AB1429-'19_Расчет_аналитики'!AB1457)=0,10&lt;='01_Вводные'!$B$297),0,('19_Расчет_аналитики'!AB1429-'19_Расчет_аналитики'!AB1457)*IF('01_Вводные'!$B$239="Да",MeanMinAge10+'19_Расчет_аналитики'!AB1572*SUMIF(ThresholdAge10,"&lt;"&amp;'19_Расчет_аналитики'!AB1572,WeightedRevAge10)-SUMIF(ThresholdAge10,"&lt;"&amp;'19_Расчет_аналитики'!AB1572,WeightedMinAge10),MAX(CapacityAge10*'01_Вводные'!$B$218*'19_Расчет_аналитики'!AB1572,MeanMinAge10)))</f>
        <v/>
      </c>
      <c r="AC1513">
        <f>IF(OR(('19_Расчет_аналитики'!AC1429-'19_Расчет_аналитики'!AC1457)=0,10&lt;='01_Вводные'!$B$297),0,('19_Расчет_аналитики'!AC1429-'19_Расчет_аналитики'!AC1457)*IF('01_Вводные'!$B$239="Да",MeanMinAge10+'19_Расчет_аналитики'!AC1572*SUMIF(ThresholdAge10,"&lt;"&amp;'19_Расчет_аналитики'!AC1572,WeightedRevAge10)-SUMIF(ThresholdAge10,"&lt;"&amp;'19_Расчет_аналитики'!AC1572,WeightedMinAge10),MAX(CapacityAge10*'01_Вводные'!$B$218*'19_Расчет_аналитики'!AC1572,MeanMinAge10)))</f>
        <v/>
      </c>
      <c r="AD1513">
        <f>IF(OR(('19_Расчет_аналитики'!AD1429-'19_Расчет_аналитики'!AD1457)=0,10&lt;='01_Вводные'!$B$297),0,('19_Расчет_аналитики'!AD1429-'19_Расчет_аналитики'!AD1457)*IF('01_Вводные'!$B$239="Да",MeanMinAge10+'19_Расчет_аналитики'!AD1572*SUMIF(ThresholdAge10,"&lt;"&amp;'19_Расчет_аналитики'!AD1572,WeightedRevAge10)-SUMIF(ThresholdAge10,"&lt;"&amp;'19_Расчет_аналитики'!AD1572,WeightedMinAge10),MAX(CapacityAge10*'01_Вводные'!$B$218*'19_Расчет_аналитики'!AD1572,MeanMinAge10)))</f>
        <v/>
      </c>
      <c r="AE1513">
        <f>IF(OR(('19_Расчет_аналитики'!AE1429-'19_Расчет_аналитики'!AE1457)=0,10&lt;='01_Вводные'!$B$297),0,('19_Расчет_аналитики'!AE1429-'19_Расчет_аналитики'!AE1457)*IF('01_Вводные'!$B$239="Да",MeanMinAge10+'19_Расчет_аналитики'!AE1572*SUMIF(ThresholdAge10,"&lt;"&amp;'19_Расчет_аналитики'!AE1572,WeightedRevAge10)-SUMIF(ThresholdAge10,"&lt;"&amp;'19_Расчет_аналитики'!AE1572,WeightedMinAge10),MAX(CapacityAge10*'01_Вводные'!$B$218*'19_Расчет_аналитики'!AE1572,MeanMinAge10)))</f>
        <v/>
      </c>
      <c r="AF1513">
        <f>IF(OR(('19_Расчет_аналитики'!AF1429-'19_Расчет_аналитики'!AF1457)=0,10&lt;='01_Вводные'!$B$297),0,('19_Расчет_аналитики'!AF1429-'19_Расчет_аналитики'!AF1457)*IF('01_Вводные'!$B$239="Да",MeanMinAge10+'19_Расчет_аналитики'!AF1572*SUMIF(ThresholdAge10,"&lt;"&amp;'19_Расчет_аналитики'!AF1572,WeightedRevAge10)-SUMIF(ThresholdAge10,"&lt;"&amp;'19_Расчет_аналитики'!AF1572,WeightedMinAge10),MAX(CapacityAge10*'01_Вводные'!$B$218*'19_Расчет_аналитики'!AF1572,MeanMinAge10)))</f>
        <v/>
      </c>
      <c r="AG1513">
        <f>IF(OR(('19_Расчет_аналитики'!AG1429-'19_Расчет_аналитики'!AG1457)=0,10&lt;='01_Вводные'!$B$297),0,('19_Расчет_аналитики'!AG1429-'19_Расчет_аналитики'!AG1457)*IF('01_Вводные'!$B$239="Да",MeanMinAge10+'19_Расчет_аналитики'!AG1572*SUMIF(ThresholdAge10,"&lt;"&amp;'19_Расчет_аналитики'!AG1572,WeightedRevAge10)-SUMIF(ThresholdAge10,"&lt;"&amp;'19_Расчет_аналитики'!AG1572,WeightedMinAge10),MAX(CapacityAge10*'01_Вводные'!$B$218*'19_Расчет_аналитики'!AG1572,MeanMinAge10)))</f>
        <v/>
      </c>
      <c r="AH1513">
        <f>IF(OR(('19_Расчет_аналитики'!AH1429-'19_Расчет_аналитики'!AH1457)=0,10&lt;='01_Вводные'!$B$297),0,('19_Расчет_аналитики'!AH1429-'19_Расчет_аналитики'!AH1457)*IF('01_Вводные'!$B$239="Да",MeanMinAge10+'19_Расчет_аналитики'!AH1572*SUMIF(ThresholdAge10,"&lt;"&amp;'19_Расчет_аналитики'!AH1572,WeightedRevAge10)-SUMIF(ThresholdAge10,"&lt;"&amp;'19_Расчет_аналитики'!AH1572,WeightedMinAge10),MAX(CapacityAge10*'01_Вводные'!$B$218*'19_Расчет_аналитики'!AH1572,MeanMinAge10)))</f>
        <v/>
      </c>
      <c r="AI1513">
        <f>IF(OR(('19_Расчет_аналитики'!AI1429-'19_Расчет_аналитики'!AI1457)=0,10&lt;='01_Вводные'!$B$297),0,('19_Расчет_аналитики'!AI1429-'19_Расчет_аналитики'!AI1457)*IF('01_Вводные'!$B$239="Да",MeanMinAge10+'19_Расчет_аналитики'!AI1572*SUMIF(ThresholdAge10,"&lt;"&amp;'19_Расчет_аналитики'!AI1572,WeightedRevAge10)-SUMIF(ThresholdAge10,"&lt;"&amp;'19_Расчет_аналитики'!AI1572,WeightedMinAge10),MAX(CapacityAge10*'01_Вводные'!$B$218*'19_Расчет_аналитики'!AI1572,MeanMinAge10)))</f>
        <v/>
      </c>
      <c r="AJ1513">
        <f>IF(OR(('19_Расчет_аналитики'!AJ1429-'19_Расчет_аналитики'!AJ1457)=0,10&lt;='01_Вводные'!$B$297),0,('19_Расчет_аналитики'!AJ1429-'19_Расчет_аналитики'!AJ1457)*IF('01_Вводные'!$B$239="Да",MeanMinAge10+'19_Расчет_аналитики'!AJ1572*SUMIF(ThresholdAge10,"&lt;"&amp;'19_Расчет_аналитики'!AJ1572,WeightedRevAge10)-SUMIF(ThresholdAge10,"&lt;"&amp;'19_Расчет_аналитики'!AJ1572,WeightedMinAge10),MAX(CapacityAge10*'01_Вводные'!$B$218*'19_Расчет_аналитики'!AJ1572,MeanMinAge10)))</f>
        <v/>
      </c>
      <c r="AK1513">
        <f>IF(OR(('19_Расчет_аналитики'!AK1429-'19_Расчет_аналитики'!AK1457)=0,10&lt;='01_Вводные'!$B$297),0,('19_Расчет_аналитики'!AK1429-'19_Расчет_аналитики'!AK1457)*IF('01_Вводные'!$B$239="Да",MeanMinAge10+'19_Расчет_аналитики'!AK1572*SUMIF(ThresholdAge10,"&lt;"&amp;'19_Расчет_аналитики'!AK1572,WeightedRevAge10)-SUMIF(ThresholdAge10,"&lt;"&amp;'19_Расчет_аналитики'!AK1572,WeightedMinAge10),MAX(CapacityAge10*'01_Вводные'!$B$218*'19_Расчет_аналитики'!AK1572,MeanMinAge10)))</f>
        <v/>
      </c>
      <c r="AL1513">
        <f>IF(OR(('19_Расчет_аналитики'!AL1429-'19_Расчет_аналитики'!AL1457)=0,10&lt;='01_Вводные'!$B$297),0,('19_Расчет_аналитики'!AL1429-'19_Расчет_аналитики'!AL1457)*IF('01_Вводные'!$B$239="Да",MeanMinAge10+'19_Расчет_аналитики'!AL1572*SUMIF(ThresholdAge10,"&lt;"&amp;'19_Расчет_аналитики'!AL1572,WeightedRevAge10)-SUMIF(ThresholdAge10,"&lt;"&amp;'19_Расчет_аналитики'!AL1572,WeightedMinAge10),MAX(CapacityAge10*'01_Вводные'!$B$218*'19_Расчет_аналитики'!AL1572,MeanMinAge10)))</f>
        <v/>
      </c>
      <c r="AM1513">
        <f>IF(OR(('19_Расчет_аналитики'!AM1429-'19_Расчет_аналитики'!AM1457)=0,10&lt;='01_Вводные'!$B$297),0,('19_Расчет_аналитики'!AM1429-'19_Расчет_аналитики'!AM1457)*IF('01_Вводные'!$B$239="Да",MeanMinAge10+'19_Расчет_аналитики'!AM1572*SUMIF(ThresholdAge10,"&lt;"&amp;'19_Расчет_аналитики'!AM1572,WeightedRevAge10)-SUMIF(ThresholdAge10,"&lt;"&amp;'19_Расчет_аналитики'!AM1572,WeightedMinAge10),MAX(CapacityAge10*'01_Вводные'!$B$218*'19_Расчет_аналитики'!AM1572,MeanMinAge10)))</f>
        <v/>
      </c>
      <c r="AN1513">
        <f>IF(OR(('19_Расчет_аналитики'!AN1429-'19_Расчет_аналитики'!AN1457)=0,10&lt;='01_Вводные'!$B$297),0,('19_Расчет_аналитики'!AN1429-'19_Расчет_аналитики'!AN1457)*IF('01_Вводные'!$B$239="Да",MeanMinAge10+'19_Расчет_аналитики'!AN1572*SUMIF(ThresholdAge10,"&lt;"&amp;'19_Расчет_аналитики'!AN1572,WeightedRevAge10)-SUMIF(ThresholdAge10,"&lt;"&amp;'19_Расчет_аналитики'!AN1572,WeightedMinAge10),MAX(CapacityAge10*'01_Вводные'!$B$218*'19_Расчет_аналитики'!AN1572,MeanMinAge10)))</f>
        <v/>
      </c>
      <c r="AO1513">
        <f>IF(OR(('19_Расчет_аналитики'!AO1429-'19_Расчет_аналитики'!AO1457)=0,10&lt;='01_Вводные'!$B$297),0,('19_Расчет_аналитики'!AO1429-'19_Расчет_аналитики'!AO1457)*IF('01_Вводные'!$B$239="Да",MeanMinAge10+'19_Расчет_аналитики'!AO1572*SUMIF(ThresholdAge10,"&lt;"&amp;'19_Расчет_аналитики'!AO1572,WeightedRevAge10)-SUMIF(ThresholdAge10,"&lt;"&amp;'19_Расчет_аналитики'!AO1572,WeightedMinAge10),MAX(CapacityAge10*'01_Вводные'!$B$218*'19_Расчет_аналитики'!AO1572,MeanMinAge10)))</f>
        <v/>
      </c>
      <c r="AP1513">
        <f>IF(OR(('19_Расчет_аналитики'!AP1429-'19_Расчет_аналитики'!AP1457)=0,10&lt;='01_Вводные'!$B$297),0,('19_Расчет_аналитики'!AP1429-'19_Расчет_аналитики'!AP1457)*IF('01_Вводные'!$B$239="Да",MeanMinAge10+'19_Расчет_аналитики'!AP1572*SUMIF(ThresholdAge10,"&lt;"&amp;'19_Расчет_аналитики'!AP1572,WeightedRevAge10)-SUMIF(ThresholdAge10,"&lt;"&amp;'19_Расчет_аналитики'!AP1572,WeightedMinAge10),MAX(CapacityAge10*'01_Вводные'!$B$218*'19_Расчет_аналитики'!AP1572,MeanMinAge10)))</f>
        <v/>
      </c>
      <c r="AQ1513">
        <f>IF(OR(('19_Расчет_аналитики'!AQ1429-'19_Расчет_аналитики'!AQ1457)=0,10&lt;='01_Вводные'!$B$297),0,('19_Расчет_аналитики'!AQ1429-'19_Расчет_аналитики'!AQ1457)*IF('01_Вводные'!$B$239="Да",MeanMinAge10+'19_Расчет_аналитики'!AQ1572*SUMIF(ThresholdAge10,"&lt;"&amp;'19_Расчет_аналитики'!AQ1572,WeightedRevAge10)-SUMIF(ThresholdAge10,"&lt;"&amp;'19_Расчет_аналитики'!AQ1572,WeightedMinAge10),MAX(CapacityAge10*'01_Вводные'!$B$218*'19_Расчет_аналитики'!AQ1572,MeanMinAge10)))</f>
        <v/>
      </c>
      <c r="AR1513">
        <f>IF(OR(('19_Расчет_аналитики'!AR1429-'19_Расчет_аналитики'!AR1457)=0,10&lt;='01_Вводные'!$B$297),0,('19_Расчет_аналитики'!AR1429-'19_Расчет_аналитики'!AR1457)*IF('01_Вводные'!$B$239="Да",MeanMinAge10+'19_Расчет_аналитики'!AR1572*SUMIF(ThresholdAge10,"&lt;"&amp;'19_Расчет_аналитики'!AR1572,WeightedRevAge10)-SUMIF(ThresholdAge10,"&lt;"&amp;'19_Расчет_аналитики'!AR1572,WeightedMinAge10),MAX(CapacityAge10*'01_Вводные'!$B$218*'19_Расчет_аналитики'!AR1572,MeanMinAge10)))</f>
        <v/>
      </c>
      <c r="AS1513">
        <f>IF(OR(('19_Расчет_аналитики'!AS1429-'19_Расчет_аналитики'!AS1457)=0,10&lt;='01_Вводные'!$B$297),0,('19_Расчет_аналитики'!AS1429-'19_Расчет_аналитики'!AS1457)*IF('01_Вводные'!$B$239="Да",MeanMinAge10+'19_Расчет_аналитики'!AS1572*SUMIF(ThresholdAge10,"&lt;"&amp;'19_Расчет_аналитики'!AS1572,WeightedRevAge10)-SUMIF(ThresholdAge10,"&lt;"&amp;'19_Расчет_аналитики'!AS1572,WeightedMinAge10),MAX(CapacityAge10*'01_Вводные'!$B$218*'19_Расчет_аналитики'!AS1572,MeanMinAge10)))</f>
        <v/>
      </c>
      <c r="AT1513">
        <f>IF(OR(('19_Расчет_аналитики'!AT1429-'19_Расчет_аналитики'!AT1457)=0,10&lt;='01_Вводные'!$B$297),0,('19_Расчет_аналитики'!AT1429-'19_Расчет_аналитики'!AT1457)*IF('01_Вводные'!$B$239="Да",MeanMinAge10+'19_Расчет_аналитики'!AT1572*SUMIF(ThresholdAge10,"&lt;"&amp;'19_Расчет_аналитики'!AT1572,WeightedRevAge10)-SUMIF(ThresholdAge10,"&lt;"&amp;'19_Расчет_аналитики'!AT1572,WeightedMinAge10),MAX(CapacityAge10*'01_Вводные'!$B$218*'19_Расчет_аналитики'!AT1572,MeanMinAge10)))</f>
        <v/>
      </c>
      <c r="AU1513">
        <f>IF(OR(('19_Расчет_аналитики'!AU1429-'19_Расчет_аналитики'!AU1457)=0,10&lt;='01_Вводные'!$B$297),0,('19_Расчет_аналитики'!AU1429-'19_Расчет_аналитики'!AU1457)*IF('01_Вводные'!$B$239="Да",MeanMinAge10+'19_Расчет_аналитики'!AU1572*SUMIF(ThresholdAge10,"&lt;"&amp;'19_Расчет_аналитики'!AU1572,WeightedRevAge10)-SUMIF(ThresholdAge10,"&lt;"&amp;'19_Расчет_аналитики'!AU1572,WeightedMinAge10),MAX(CapacityAge10*'01_Вводные'!$B$218*'19_Расчет_аналитики'!AU1572,MeanMinAge10)))</f>
        <v/>
      </c>
      <c r="AV1513">
        <f>IF(OR(('19_Расчет_аналитики'!AV1429-'19_Расчет_аналитики'!AV1457)=0,10&lt;='01_Вводные'!$B$297),0,('19_Расчет_аналитики'!AV1429-'19_Расчет_аналитики'!AV1457)*IF('01_Вводные'!$B$239="Да",MeanMinAge10+'19_Расчет_аналитики'!AV1572*SUMIF(ThresholdAge10,"&lt;"&amp;'19_Расчет_аналитики'!AV1572,WeightedRevAge10)-SUMIF(ThresholdAge10,"&lt;"&amp;'19_Расчет_аналитики'!AV1572,WeightedMinAge10),MAX(CapacityAge10*'01_Вводные'!$B$218*'19_Расчет_аналитики'!AV1572,MeanMinAge10)))</f>
        <v/>
      </c>
      <c r="AW1513">
        <f>IF(OR(('19_Расчет_аналитики'!AW1429-'19_Расчет_аналитики'!AW1457)=0,10&lt;='01_Вводные'!$B$297),0,('19_Расчет_аналитики'!AW1429-'19_Расчет_аналитики'!AW1457)*IF('01_Вводные'!$B$239="Да",MeanMinAge10+'19_Расчет_аналитики'!AW1572*SUMIF(ThresholdAge10,"&lt;"&amp;'19_Расчет_аналитики'!AW1572,WeightedRevAge10)-SUMIF(ThresholdAge10,"&lt;"&amp;'19_Расчет_аналитики'!AW1572,WeightedMinAge10),MAX(CapacityAge10*'01_Вводные'!$B$218*'19_Расчет_аналитики'!AW1572,MeanMinAge10)))</f>
        <v/>
      </c>
      <c r="AX1513">
        <f>IF(OR(('19_Расчет_аналитики'!AX1429-'19_Расчет_аналитики'!AX1457)=0,10&lt;='01_Вводные'!$B$297),0,('19_Расчет_аналитики'!AX1429-'19_Расчет_аналитики'!AX1457)*IF('01_Вводные'!$B$239="Да",MeanMinAge10+'19_Расчет_аналитики'!AX1572*SUMIF(ThresholdAge10,"&lt;"&amp;'19_Расчет_аналитики'!AX1572,WeightedRevAge10)-SUMIF(ThresholdAge10,"&lt;"&amp;'19_Расчет_аналитики'!AX1572,WeightedMinAge10),MAX(CapacityAge10*'01_Вводные'!$B$218*'19_Расчет_аналитики'!AX1572,MeanMinAge10)))</f>
        <v/>
      </c>
      <c r="AY1513">
        <f>IF(OR(('19_Расчет_аналитики'!AY1429-'19_Расчет_аналитики'!AY1457)=0,10&lt;='01_Вводные'!$B$297),0,('19_Расчет_аналитики'!AY1429-'19_Расчет_аналитики'!AY1457)*IF('01_Вводные'!$B$239="Да",MeanMinAge10+'19_Расчет_аналитики'!AY1572*SUMIF(ThresholdAge10,"&lt;"&amp;'19_Расчет_аналитики'!AY1572,WeightedRevAge10)-SUMIF(ThresholdAge10,"&lt;"&amp;'19_Расчет_аналитики'!AY1572,WeightedMinAge10),MAX(CapacityAge10*'01_Вводные'!$B$218*'19_Расчет_аналитики'!AY1572,MeanMinAge10)))</f>
        <v/>
      </c>
      <c r="AZ1513">
        <f>IF(OR(('19_Расчет_аналитики'!AZ1429-'19_Расчет_аналитики'!AZ1457)=0,10&lt;='01_Вводные'!$B$297),0,('19_Расчет_аналитики'!AZ1429-'19_Расчет_аналитики'!AZ1457)*IF('01_Вводные'!$B$239="Да",MeanMinAge10+'19_Расчет_аналитики'!AZ1572*SUMIF(ThresholdAge10,"&lt;"&amp;'19_Расчет_аналитики'!AZ1572,WeightedRevAge10)-SUMIF(ThresholdAge10,"&lt;"&amp;'19_Расчет_аналитики'!AZ1572,WeightedMinAge10),MAX(CapacityAge10*'01_Вводные'!$B$218*'19_Расчет_аналитики'!AZ1572,MeanMinAge10)))</f>
        <v/>
      </c>
      <c r="BA1513">
        <f>IF(OR(('19_Расчет_аналитики'!BA1429-'19_Расчет_аналитики'!BA1457)=0,10&lt;='01_Вводные'!$B$297),0,('19_Расчет_аналитики'!BA1429-'19_Расчет_аналитики'!BA1457)*IF('01_Вводные'!$B$239="Да",MeanMinAge10+'19_Расчет_аналитики'!BA1572*SUMIF(ThresholdAge10,"&lt;"&amp;'19_Расчет_аналитики'!BA1572,WeightedRevAge10)-SUMIF(ThresholdAge10,"&lt;"&amp;'19_Расчет_аналитики'!BA1572,WeightedMinAge10),MAX(CapacityAge10*'01_Вводные'!$B$218*'19_Расчет_аналитики'!BA1572,MeanMinAge10)))</f>
        <v/>
      </c>
      <c r="BB1513">
        <f>IF(OR(('19_Расчет_аналитики'!BB1429-'19_Расчет_аналитики'!BB1457)=0,10&lt;='01_Вводные'!$B$297),0,('19_Расчет_аналитики'!BB1429-'19_Расчет_аналитики'!BB1457)*IF('01_Вводные'!$B$239="Да",MeanMinAge10+'19_Расчет_аналитики'!BB1572*SUMIF(ThresholdAge10,"&lt;"&amp;'19_Расчет_аналитики'!BB1572,WeightedRevAge10)-SUMIF(ThresholdAge10,"&lt;"&amp;'19_Расчет_аналитики'!BB1572,WeightedMinAge10),MAX(CapacityAge10*'01_Вводные'!$B$218*'19_Расчет_аналитики'!BB1572,MeanMinAge10)))</f>
        <v/>
      </c>
      <c r="BC1513">
        <f>IF(OR(('19_Расчет_аналитики'!BC1429-'19_Расчет_аналитики'!BC1457)=0,10&lt;='01_Вводные'!$B$297),0,('19_Расчет_аналитики'!BC1429-'19_Расчет_аналитики'!BC1457)*IF('01_Вводные'!$B$239="Да",MeanMinAge10+'19_Расчет_аналитики'!BC1572*SUMIF(ThresholdAge10,"&lt;"&amp;'19_Расчет_аналитики'!BC1572,WeightedRevAge10)-SUMIF(ThresholdAge10,"&lt;"&amp;'19_Расчет_аналитики'!BC1572,WeightedMinAge10),MAX(CapacityAge10*'01_Вводные'!$B$218*'19_Расчет_аналитики'!BC1572,MeanMinAge10)))</f>
        <v/>
      </c>
      <c r="BD1513">
        <f>IF(OR(('19_Расчет_аналитики'!BD1429-'19_Расчет_аналитики'!BD1457)=0,10&lt;='01_Вводные'!$B$297),0,('19_Расчет_аналитики'!BD1429-'19_Расчет_аналитики'!BD1457)*IF('01_Вводные'!$B$239="Да",MeanMinAge10+'19_Расчет_аналитики'!BD1572*SUMIF(ThresholdAge10,"&lt;"&amp;'19_Расчет_аналитики'!BD1572,WeightedRevAge10)-SUMIF(ThresholdAge10,"&lt;"&amp;'19_Расчет_аналитики'!BD1572,WeightedMinAge10),MAX(CapacityAge10*'01_Вводные'!$B$218*'19_Расчет_аналитики'!BD1572,MeanMinAge10)))</f>
        <v/>
      </c>
      <c r="BE1513">
        <f>IF(OR(('19_Расчет_аналитики'!BE1429-'19_Расчет_аналитики'!BE1457)=0,10&lt;='01_Вводные'!$B$297),0,('19_Расчет_аналитики'!BE1429-'19_Расчет_аналитики'!BE1457)*IF('01_Вводные'!$B$239="Да",MeanMinAge10+'19_Расчет_аналитики'!BE1572*SUMIF(ThresholdAge10,"&lt;"&amp;'19_Расчет_аналитики'!BE1572,WeightedRevAge10)-SUMIF(ThresholdAge10,"&lt;"&amp;'19_Расчет_аналитики'!BE1572,WeightedMinAge10),MAX(CapacityAge10*'01_Вводные'!$B$218*'19_Расчет_аналитики'!BE1572,MeanMinAge10)))</f>
        <v/>
      </c>
      <c r="BF1513">
        <f>IF(OR(('19_Расчет_аналитики'!BF1429-'19_Расчет_аналитики'!BF1457)=0,10&lt;='01_Вводные'!$B$297),0,('19_Расчет_аналитики'!BF1429-'19_Расчет_аналитики'!BF1457)*IF('01_Вводные'!$B$239="Да",MeanMinAge10+'19_Расчет_аналитики'!BF1572*SUMIF(ThresholdAge10,"&lt;"&amp;'19_Расчет_аналитики'!BF1572,WeightedRevAge10)-SUMIF(ThresholdAge10,"&lt;"&amp;'19_Расчет_аналитики'!BF1572,WeightedMinAge10),MAX(CapacityAge10*'01_Вводные'!$B$218*'19_Расчет_аналитики'!BF1572,MeanMinAge10)))</f>
        <v/>
      </c>
      <c r="BG1513">
        <f>IF(OR(('19_Расчет_аналитики'!BG1429-'19_Расчет_аналитики'!BG1457)=0,10&lt;='01_Вводные'!$B$297),0,('19_Расчет_аналитики'!BG1429-'19_Расчет_аналитики'!BG1457)*IF('01_Вводные'!$B$239="Да",MeanMinAge10+'19_Расчет_аналитики'!BG1572*SUMIF(ThresholdAge10,"&lt;"&amp;'19_Расчет_аналитики'!BG1572,WeightedRevAge10)-SUMIF(ThresholdAge10,"&lt;"&amp;'19_Расчет_аналитики'!BG1572,WeightedMinAge10),MAX(CapacityAge10*'01_Вводные'!$B$218*'19_Расчет_аналитики'!BG1572,MeanMinAge10)))</f>
        <v/>
      </c>
      <c r="BH1513">
        <f>IF(OR(('19_Расчет_аналитики'!BH1429-'19_Расчет_аналитики'!BH1457)=0,10&lt;='01_Вводные'!$B$297),0,('19_Расчет_аналитики'!BH1429-'19_Расчет_аналитики'!BH1457)*IF('01_Вводные'!$B$239="Да",MeanMinAge10+'19_Расчет_аналитики'!BH1572*SUMIF(ThresholdAge10,"&lt;"&amp;'19_Расчет_аналитики'!BH1572,WeightedRevAge10)-SUMIF(ThresholdAge10,"&lt;"&amp;'19_Расчет_аналитики'!BH1572,WeightedMinAge10),MAX(CapacityAge10*'01_Вводные'!$B$218*'19_Расчет_аналитики'!BH1572,MeanMinAge10)))</f>
        <v/>
      </c>
      <c r="BI1513">
        <f>IF(OR(('19_Расчет_аналитики'!BI1429-'19_Расчет_аналитики'!BI1457)=0,10&lt;='01_Вводные'!$B$297),0,('19_Расчет_аналитики'!BI1429-'19_Расчет_аналитики'!BI1457)*IF('01_Вводные'!$B$239="Да",MeanMinAge10+'19_Расчет_аналитики'!BI1572*SUMIF(ThresholdAge10,"&lt;"&amp;'19_Расчет_аналитики'!BI1572,WeightedRevAge10)-SUMIF(ThresholdAge10,"&lt;"&amp;'19_Расчет_аналитики'!BI1572,WeightedMinAge10),MAX(CapacityAge10*'01_Вводные'!$B$218*'19_Расчет_аналитики'!BI1572,MeanMinAge10)))</f>
        <v/>
      </c>
      <c r="BJ1513">
        <f>IF(OR(('19_Расчет_аналитики'!BJ1429-'19_Расчет_аналитики'!BJ1457)=0,10&lt;='01_Вводные'!$B$297),0,('19_Расчет_аналитики'!BJ1429-'19_Расчет_аналитики'!BJ1457)*IF('01_Вводные'!$B$239="Да",MeanMinAge10+'19_Расчет_аналитики'!BJ1572*SUMIF(ThresholdAge10,"&lt;"&amp;'19_Расчет_аналитики'!BJ1572,WeightedRevAge10)-SUMIF(ThresholdAge10,"&lt;"&amp;'19_Расчет_аналитики'!BJ1572,WeightedMinAge10),MAX(CapacityAge10*'01_Вводные'!$B$218*'19_Расчет_аналитики'!BJ1572,MeanMinAge10)))</f>
        <v/>
      </c>
      <c r="BK1513">
        <f>IF(OR(('19_Расчет_аналитики'!BK1429-'19_Расчет_аналитики'!BK1457)=0,10&lt;='01_Вводные'!$B$297),0,('19_Расчет_аналитики'!BK1429-'19_Расчет_аналитики'!BK1457)*IF('01_Вводные'!$B$239="Да",MeanMinAge10+'19_Расчет_аналитики'!BK1572*SUMIF(ThresholdAge10,"&lt;"&amp;'19_Расчет_аналитики'!BK1572,WeightedRevAge10)-SUMIF(ThresholdAge10,"&lt;"&amp;'19_Расчет_аналитики'!BK1572,WeightedMinAge10),MAX(CapacityAge10*'01_Вводные'!$B$218*'19_Расчет_аналитики'!BK1572,MeanMinAge10)))</f>
        <v/>
      </c>
      <c r="BL1513">
        <f>IF(OR(('19_Расчет_аналитики'!BL1429-'19_Расчет_аналитики'!BL1457)=0,10&lt;='01_Вводные'!$B$297),0,('19_Расчет_аналитики'!BL1429-'19_Расчет_аналитики'!BL1457)*IF('01_Вводные'!$B$239="Да",MeanMinAge10+'19_Расчет_аналитики'!BL1572*SUMIF(ThresholdAge10,"&lt;"&amp;'19_Расчет_аналитики'!BL1572,WeightedRevAge10)-SUMIF(ThresholdAge10,"&lt;"&amp;'19_Расчет_аналитики'!BL1572,WeightedMinAge10),MAX(CapacityAge10*'01_Вводные'!$B$218*'19_Расчет_аналитики'!BL1572,MeanMinAge10)))</f>
        <v/>
      </c>
      <c r="BM1513">
        <f>IF(OR(('19_Расчет_аналитики'!BM1429-'19_Расчет_аналитики'!BM1457)=0,10&lt;='01_Вводные'!$B$297),0,('19_Расчет_аналитики'!BM1429-'19_Расчет_аналитики'!BM1457)*IF('01_Вводные'!$B$239="Да",MeanMinAge10+'19_Расчет_аналитики'!BM1572*SUMIF(ThresholdAge10,"&lt;"&amp;'19_Расчет_аналитики'!BM1572,WeightedRevAge10)-SUMIF(ThresholdAge10,"&lt;"&amp;'19_Расчет_аналитики'!BM1572,WeightedMinAge10),MAX(CapacityAge10*'01_Вводные'!$B$218*'19_Расчет_аналитики'!BM1572,MeanMinAge10)))</f>
        <v/>
      </c>
      <c r="BN1513">
        <f>IF(OR(('19_Расчет_аналитики'!BN1429-'19_Расчет_аналитики'!BN1457)=0,10&lt;='01_Вводные'!$B$297),0,('19_Расчет_аналитики'!BN1429-'19_Расчет_аналитики'!BN1457)*IF('01_Вводные'!$B$239="Да",MeanMinAge10+'19_Расчет_аналитики'!BN1572*SUMIF(ThresholdAge10,"&lt;"&amp;'19_Расчет_аналитики'!BN1572,WeightedRevAge10)-SUMIF(ThresholdAge10,"&lt;"&amp;'19_Расчет_аналитики'!BN1572,WeightedMinAge10),MAX(CapacityAge10*'01_Вводные'!$B$218*'19_Расчет_аналитики'!BN1572,MeanMinAge10)))</f>
        <v/>
      </c>
      <c r="BO1513">
        <f>IF(OR(('19_Расчет_аналитики'!BO1429-'19_Расчет_аналитики'!BO1457)=0,10&lt;='01_Вводные'!$B$297),0,('19_Расчет_аналитики'!BO1429-'19_Расчет_аналитики'!BO1457)*IF('01_Вводные'!$B$239="Да",MeanMinAge10+'19_Расчет_аналитики'!BO1572*SUMIF(ThresholdAge10,"&lt;"&amp;'19_Расчет_аналитики'!BO1572,WeightedRevAge10)-SUMIF(ThresholdAge10,"&lt;"&amp;'19_Расчет_аналитики'!BO1572,WeightedMinAge10),MAX(CapacityAge10*'01_Вводные'!$B$218*'19_Расчет_аналитики'!BO1572,MeanMinAge10)))</f>
        <v/>
      </c>
    </row>
    <row r="1514">
      <c r="B1514">
        <f>IF(OR(('06_Сеть_и_дети'!B63-'06_Сеть_и_дети'!B91)=0,11&lt;='01_Вводные'!$B$297),0,('06_Сеть_и_дети'!B63-'06_Сеть_и_дети'!B91)*IF('01_Вводные'!$B$239="Да",MeanMinAge11+'19_Расчет_аналитики'!B1572*SUMIF(ThresholdAge11,"&lt;"&amp;'19_Расчет_аналитики'!B1572,WeightedRevAge11)-SUMIF(ThresholdAge11,"&lt;"&amp;'19_Расчет_аналитики'!B1572,WeightedMinAge11),MAX(CapacityAge11*'01_Вводные'!$B$218*'19_Расчет_аналитики'!B1572,MeanMinAge11)))</f>
        <v/>
      </c>
      <c r="C1514">
        <f>IF(OR(('06_Сеть_и_дети'!C63-'06_Сеть_и_дети'!C91)=0,11&lt;='01_Вводные'!$B$297),0,('06_Сеть_и_дети'!C63-'06_Сеть_и_дети'!C91)*IF('01_Вводные'!$B$239="Да",MeanMinAge11+'19_Расчет_аналитики'!C1572*SUMIF(ThresholdAge11,"&lt;"&amp;'19_Расчет_аналитики'!C1572,WeightedRevAge11)-SUMIF(ThresholdAge11,"&lt;"&amp;'19_Расчет_аналитики'!C1572,WeightedMinAge11),MAX(CapacityAge11*'01_Вводные'!$B$218*'19_Расчет_аналитики'!C1572,MeanMinAge11)))</f>
        <v/>
      </c>
      <c r="D1514">
        <f>IF(OR(('06_Сеть_и_дети'!D63-'06_Сеть_и_дети'!D91)=0,11&lt;='01_Вводные'!$B$297),0,('06_Сеть_и_дети'!D63-'06_Сеть_и_дети'!D91)*IF('01_Вводные'!$B$239="Да",MeanMinAge11+'19_Расчет_аналитики'!D1572*SUMIF(ThresholdAge11,"&lt;"&amp;'19_Расчет_аналитики'!D1572,WeightedRevAge11)-SUMIF(ThresholdAge11,"&lt;"&amp;'19_Расчет_аналитики'!D1572,WeightedMinAge11),MAX(CapacityAge11*'01_Вводные'!$B$218*'19_Расчет_аналитики'!D1572,MeanMinAge11)))</f>
        <v/>
      </c>
      <c r="E1514">
        <f>IF(OR(('06_Сеть_и_дети'!E63-'06_Сеть_и_дети'!E91)=0,11&lt;='01_Вводные'!$B$297),0,('06_Сеть_и_дети'!E63-'06_Сеть_и_дети'!E91)*IF('01_Вводные'!$B$239="Да",MeanMinAge11+'19_Расчет_аналитики'!E1572*SUMIF(ThresholdAge11,"&lt;"&amp;'19_Расчет_аналитики'!E1572,WeightedRevAge11)-SUMIF(ThresholdAge11,"&lt;"&amp;'19_Расчет_аналитики'!E1572,WeightedMinAge11),MAX(CapacityAge11*'01_Вводные'!$B$218*'19_Расчет_аналитики'!E1572,MeanMinAge11)))</f>
        <v/>
      </c>
      <c r="F1514">
        <f>IF(OR(('06_Сеть_и_дети'!F63-'06_Сеть_и_дети'!F91)=0,11&lt;='01_Вводные'!$B$297),0,('06_Сеть_и_дети'!F63-'06_Сеть_и_дети'!F91)*IF('01_Вводные'!$B$239="Да",MeanMinAge11+'19_Расчет_аналитики'!F1572*SUMIF(ThresholdAge11,"&lt;"&amp;'19_Расчет_аналитики'!F1572,WeightedRevAge11)-SUMIF(ThresholdAge11,"&lt;"&amp;'19_Расчет_аналитики'!F1572,WeightedMinAge11),MAX(CapacityAge11*'01_Вводные'!$B$218*'19_Расчет_аналитики'!F1572,MeanMinAge11)))</f>
        <v/>
      </c>
      <c r="G1514">
        <f>IF(OR(('06_Сеть_и_дети'!G63-'06_Сеть_и_дети'!G91)=0,11&lt;='01_Вводные'!$B$297),0,('06_Сеть_и_дети'!G63-'06_Сеть_и_дети'!G91)*IF('01_Вводные'!$B$239="Да",MeanMinAge11+'19_Расчет_аналитики'!G1572*SUMIF(ThresholdAge11,"&lt;"&amp;'19_Расчет_аналитики'!G1572,WeightedRevAge11)-SUMIF(ThresholdAge11,"&lt;"&amp;'19_Расчет_аналитики'!G1572,WeightedMinAge11),MAX(CapacityAge11*'01_Вводные'!$B$218*'19_Расчет_аналитики'!G1572,MeanMinAge11)))</f>
        <v/>
      </c>
      <c r="H1514">
        <f>IF(OR(('06_Сеть_и_дети'!H63-'06_Сеть_и_дети'!H91)=0,11&lt;='01_Вводные'!$B$297),0,('06_Сеть_и_дети'!H63-'06_Сеть_и_дети'!H91)*IF('01_Вводные'!$B$239="Да",MeanMinAge11+'19_Расчет_аналитики'!H1572*SUMIF(ThresholdAge11,"&lt;"&amp;'19_Расчет_аналитики'!H1572,WeightedRevAge11)-SUMIF(ThresholdAge11,"&lt;"&amp;'19_Расчет_аналитики'!H1572,WeightedMinAge11),MAX(CapacityAge11*'01_Вводные'!$B$218*'19_Расчет_аналитики'!H1572,MeanMinAge11)))</f>
        <v/>
      </c>
      <c r="I1514">
        <f>IF(OR(('06_Сеть_и_дети'!I63-'06_Сеть_и_дети'!I91)=0,11&lt;='01_Вводные'!$B$297),0,('06_Сеть_и_дети'!I63-'06_Сеть_и_дети'!I91)*IF('01_Вводные'!$B$239="Да",MeanMinAge11+'19_Расчет_аналитики'!I1572*SUMIF(ThresholdAge11,"&lt;"&amp;'19_Расчет_аналитики'!I1572,WeightedRevAge11)-SUMIF(ThresholdAge11,"&lt;"&amp;'19_Расчет_аналитики'!I1572,WeightedMinAge11),MAX(CapacityAge11*'01_Вводные'!$B$218*'19_Расчет_аналитики'!I1572,MeanMinAge11)))</f>
        <v/>
      </c>
      <c r="J1514">
        <f>IF(OR(('06_Сеть_и_дети'!J63-'06_Сеть_и_дети'!J91)=0,11&lt;='01_Вводные'!$B$297),0,('06_Сеть_и_дети'!J63-'06_Сеть_и_дети'!J91)*IF('01_Вводные'!$B$239="Да",MeanMinAge11+'19_Расчет_аналитики'!J1572*SUMIF(ThresholdAge11,"&lt;"&amp;'19_Расчет_аналитики'!J1572,WeightedRevAge11)-SUMIF(ThresholdAge11,"&lt;"&amp;'19_Расчет_аналитики'!J1572,WeightedMinAge11),MAX(CapacityAge11*'01_Вводные'!$B$218*'19_Расчет_аналитики'!J1572,MeanMinAge11)))</f>
        <v/>
      </c>
      <c r="K1514">
        <f>IF(OR(('06_Сеть_и_дети'!K63-'06_Сеть_и_дети'!K91)=0,11&lt;='01_Вводные'!$B$297),0,('06_Сеть_и_дети'!K63-'06_Сеть_и_дети'!K91)*IF('01_Вводные'!$B$239="Да",MeanMinAge11+'19_Расчет_аналитики'!K1572*SUMIF(ThresholdAge11,"&lt;"&amp;'19_Расчет_аналитики'!K1572,WeightedRevAge11)-SUMIF(ThresholdAge11,"&lt;"&amp;'19_Расчет_аналитики'!K1572,WeightedMinAge11),MAX(CapacityAge11*'01_Вводные'!$B$218*'19_Расчет_аналитики'!K1572,MeanMinAge11)))</f>
        <v/>
      </c>
      <c r="L1514">
        <f>IF(OR(('19_Расчет_аналитики'!L1430-'19_Расчет_аналитики'!L1458)=0,11&lt;='01_Вводные'!$B$297),0,('19_Расчет_аналитики'!L1430-'19_Расчет_аналитики'!L1458)*IF('01_Вводные'!$B$239="Да",MeanMinAge11+'19_Расчет_аналитики'!L1572*SUMIF(ThresholdAge11,"&lt;"&amp;'19_Расчет_аналитики'!L1572,WeightedRevAge11)-SUMIF(ThresholdAge11,"&lt;"&amp;'19_Расчет_аналитики'!L1572,WeightedMinAge11),MAX(CapacityAge11*'01_Вводные'!$B$218*'19_Расчет_аналитики'!L1572,MeanMinAge11)))</f>
        <v/>
      </c>
      <c r="M1514">
        <f>IF(OR(('19_Расчет_аналитики'!M1430-'19_Расчет_аналитики'!M1458)=0,11&lt;='01_Вводные'!$B$297),0,('19_Расчет_аналитики'!M1430-'19_Расчет_аналитики'!M1458)*IF('01_Вводные'!$B$239="Да",MeanMinAge11+'19_Расчет_аналитики'!M1572*SUMIF(ThresholdAge11,"&lt;"&amp;'19_Расчет_аналитики'!M1572,WeightedRevAge11)-SUMIF(ThresholdAge11,"&lt;"&amp;'19_Расчет_аналитики'!M1572,WeightedMinAge11),MAX(CapacityAge11*'01_Вводные'!$B$218*'19_Расчет_аналитики'!M1572,MeanMinAge11)))</f>
        <v/>
      </c>
      <c r="N1514">
        <f>IF(OR(('19_Расчет_аналитики'!N1430-'19_Расчет_аналитики'!N1458)=0,11&lt;='01_Вводные'!$B$297),0,('19_Расчет_аналитики'!N1430-'19_Расчет_аналитики'!N1458)*IF('01_Вводные'!$B$239="Да",MeanMinAge11+'19_Расчет_аналитики'!N1572*SUMIF(ThresholdAge11,"&lt;"&amp;'19_Расчет_аналитики'!N1572,WeightedRevAge11)-SUMIF(ThresholdAge11,"&lt;"&amp;'19_Расчет_аналитики'!N1572,WeightedMinAge11),MAX(CapacityAge11*'01_Вводные'!$B$218*'19_Расчет_аналитики'!N1572,MeanMinAge11)))</f>
        <v/>
      </c>
      <c r="O1514">
        <f>IF(OR(('19_Расчет_аналитики'!O1430-'19_Расчет_аналитики'!O1458)=0,11&lt;='01_Вводные'!$B$297),0,('19_Расчет_аналитики'!O1430-'19_Расчет_аналитики'!O1458)*IF('01_Вводные'!$B$239="Да",MeanMinAge11+'19_Расчет_аналитики'!O1572*SUMIF(ThresholdAge11,"&lt;"&amp;'19_Расчет_аналитики'!O1572,WeightedRevAge11)-SUMIF(ThresholdAge11,"&lt;"&amp;'19_Расчет_аналитики'!O1572,WeightedMinAge11),MAX(CapacityAge11*'01_Вводные'!$B$218*'19_Расчет_аналитики'!O1572,MeanMinAge11)))</f>
        <v/>
      </c>
      <c r="P1514">
        <f>IF(OR(('19_Расчет_аналитики'!P1430-'19_Расчет_аналитики'!P1458)=0,11&lt;='01_Вводные'!$B$297),0,('19_Расчет_аналитики'!P1430-'19_Расчет_аналитики'!P1458)*IF('01_Вводные'!$B$239="Да",MeanMinAge11+'19_Расчет_аналитики'!P1572*SUMIF(ThresholdAge11,"&lt;"&amp;'19_Расчет_аналитики'!P1572,WeightedRevAge11)-SUMIF(ThresholdAge11,"&lt;"&amp;'19_Расчет_аналитики'!P1572,WeightedMinAge11),MAX(CapacityAge11*'01_Вводные'!$B$218*'19_Расчет_аналитики'!P1572,MeanMinAge11)))</f>
        <v/>
      </c>
      <c r="Q1514">
        <f>IF(OR(('19_Расчет_аналитики'!Q1430-'19_Расчет_аналитики'!Q1458)=0,11&lt;='01_Вводные'!$B$297),0,('19_Расчет_аналитики'!Q1430-'19_Расчет_аналитики'!Q1458)*IF('01_Вводные'!$B$239="Да",MeanMinAge11+'19_Расчет_аналитики'!Q1572*SUMIF(ThresholdAge11,"&lt;"&amp;'19_Расчет_аналитики'!Q1572,WeightedRevAge11)-SUMIF(ThresholdAge11,"&lt;"&amp;'19_Расчет_аналитики'!Q1572,WeightedMinAge11),MAX(CapacityAge11*'01_Вводные'!$B$218*'19_Расчет_аналитики'!Q1572,MeanMinAge11)))</f>
        <v/>
      </c>
      <c r="R1514">
        <f>IF(OR(('19_Расчет_аналитики'!R1430-'19_Расчет_аналитики'!R1458)=0,11&lt;='01_Вводные'!$B$297),0,('19_Расчет_аналитики'!R1430-'19_Расчет_аналитики'!R1458)*IF('01_Вводные'!$B$239="Да",MeanMinAge11+'19_Расчет_аналитики'!R1572*SUMIF(ThresholdAge11,"&lt;"&amp;'19_Расчет_аналитики'!R1572,WeightedRevAge11)-SUMIF(ThresholdAge11,"&lt;"&amp;'19_Расчет_аналитики'!R1572,WeightedMinAge11),MAX(CapacityAge11*'01_Вводные'!$B$218*'19_Расчет_аналитики'!R1572,MeanMinAge11)))</f>
        <v/>
      </c>
      <c r="S1514">
        <f>IF(OR(('19_Расчет_аналитики'!S1430-'19_Расчет_аналитики'!S1458)=0,11&lt;='01_Вводные'!$B$297),0,('19_Расчет_аналитики'!S1430-'19_Расчет_аналитики'!S1458)*IF('01_Вводные'!$B$239="Да",MeanMinAge11+'19_Расчет_аналитики'!S1572*SUMIF(ThresholdAge11,"&lt;"&amp;'19_Расчет_аналитики'!S1572,WeightedRevAge11)-SUMIF(ThresholdAge11,"&lt;"&amp;'19_Расчет_аналитики'!S1572,WeightedMinAge11),MAX(CapacityAge11*'01_Вводные'!$B$218*'19_Расчет_аналитики'!S1572,MeanMinAge11)))</f>
        <v/>
      </c>
      <c r="T1514">
        <f>IF(OR(('19_Расчет_аналитики'!T1430-'19_Расчет_аналитики'!T1458)=0,11&lt;='01_Вводные'!$B$297),0,('19_Расчет_аналитики'!T1430-'19_Расчет_аналитики'!T1458)*IF('01_Вводные'!$B$239="Да",MeanMinAge11+'19_Расчет_аналитики'!T1572*SUMIF(ThresholdAge11,"&lt;"&amp;'19_Расчет_аналитики'!T1572,WeightedRevAge11)-SUMIF(ThresholdAge11,"&lt;"&amp;'19_Расчет_аналитики'!T1572,WeightedMinAge11),MAX(CapacityAge11*'01_Вводные'!$B$218*'19_Расчет_аналитики'!T1572,MeanMinAge11)))</f>
        <v/>
      </c>
      <c r="U1514">
        <f>IF(OR(('19_Расчет_аналитики'!U1430-'19_Расчет_аналитики'!U1458)=0,11&lt;='01_Вводные'!$B$297),0,('19_Расчет_аналитики'!U1430-'19_Расчет_аналитики'!U1458)*IF('01_Вводные'!$B$239="Да",MeanMinAge11+'19_Расчет_аналитики'!U1572*SUMIF(ThresholdAge11,"&lt;"&amp;'19_Расчет_аналитики'!U1572,WeightedRevAge11)-SUMIF(ThresholdAge11,"&lt;"&amp;'19_Расчет_аналитики'!U1572,WeightedMinAge11),MAX(CapacityAge11*'01_Вводные'!$B$218*'19_Расчет_аналитики'!U1572,MeanMinAge11)))</f>
        <v/>
      </c>
      <c r="V1514">
        <f>IF(OR(('19_Расчет_аналитики'!V1430-'19_Расчет_аналитики'!V1458)=0,11&lt;='01_Вводные'!$B$297),0,('19_Расчет_аналитики'!V1430-'19_Расчет_аналитики'!V1458)*IF('01_Вводные'!$B$239="Да",MeanMinAge11+'19_Расчет_аналитики'!V1572*SUMIF(ThresholdAge11,"&lt;"&amp;'19_Расчет_аналитики'!V1572,WeightedRevAge11)-SUMIF(ThresholdAge11,"&lt;"&amp;'19_Расчет_аналитики'!V1572,WeightedMinAge11),MAX(CapacityAge11*'01_Вводные'!$B$218*'19_Расчет_аналитики'!V1572,MeanMinAge11)))</f>
        <v/>
      </c>
      <c r="W1514">
        <f>IF(OR(('19_Расчет_аналитики'!W1430-'19_Расчет_аналитики'!W1458)=0,11&lt;='01_Вводные'!$B$297),0,('19_Расчет_аналитики'!W1430-'19_Расчет_аналитики'!W1458)*IF('01_Вводные'!$B$239="Да",MeanMinAge11+'19_Расчет_аналитики'!W1572*SUMIF(ThresholdAge11,"&lt;"&amp;'19_Расчет_аналитики'!W1572,WeightedRevAge11)-SUMIF(ThresholdAge11,"&lt;"&amp;'19_Расчет_аналитики'!W1572,WeightedMinAge11),MAX(CapacityAge11*'01_Вводные'!$B$218*'19_Расчет_аналитики'!W1572,MeanMinAge11)))</f>
        <v/>
      </c>
      <c r="X1514">
        <f>IF(OR(('19_Расчет_аналитики'!X1430-'19_Расчет_аналитики'!X1458)=0,11&lt;='01_Вводные'!$B$297),0,('19_Расчет_аналитики'!X1430-'19_Расчет_аналитики'!X1458)*IF('01_Вводные'!$B$239="Да",MeanMinAge11+'19_Расчет_аналитики'!X1572*SUMIF(ThresholdAge11,"&lt;"&amp;'19_Расчет_аналитики'!X1572,WeightedRevAge11)-SUMIF(ThresholdAge11,"&lt;"&amp;'19_Расчет_аналитики'!X1572,WeightedMinAge11),MAX(CapacityAge11*'01_Вводные'!$B$218*'19_Расчет_аналитики'!X1572,MeanMinAge11)))</f>
        <v/>
      </c>
      <c r="Y1514">
        <f>IF(OR(('19_Расчет_аналитики'!Y1430-'19_Расчет_аналитики'!Y1458)=0,11&lt;='01_Вводные'!$B$297),0,('19_Расчет_аналитики'!Y1430-'19_Расчет_аналитики'!Y1458)*IF('01_Вводные'!$B$239="Да",MeanMinAge11+'19_Расчет_аналитики'!Y1572*SUMIF(ThresholdAge11,"&lt;"&amp;'19_Расчет_аналитики'!Y1572,WeightedRevAge11)-SUMIF(ThresholdAge11,"&lt;"&amp;'19_Расчет_аналитики'!Y1572,WeightedMinAge11),MAX(CapacityAge11*'01_Вводные'!$B$218*'19_Расчет_аналитики'!Y1572,MeanMinAge11)))</f>
        <v/>
      </c>
      <c r="Z1514">
        <f>IF(OR(('19_Расчет_аналитики'!Z1430-'19_Расчет_аналитики'!Z1458)=0,11&lt;='01_Вводные'!$B$297),0,('19_Расчет_аналитики'!Z1430-'19_Расчет_аналитики'!Z1458)*IF('01_Вводные'!$B$239="Да",MeanMinAge11+'19_Расчет_аналитики'!Z1572*SUMIF(ThresholdAge11,"&lt;"&amp;'19_Расчет_аналитики'!Z1572,WeightedRevAge11)-SUMIF(ThresholdAge11,"&lt;"&amp;'19_Расчет_аналитики'!Z1572,WeightedMinAge11),MAX(CapacityAge11*'01_Вводные'!$B$218*'19_Расчет_аналитики'!Z1572,MeanMinAge11)))</f>
        <v/>
      </c>
      <c r="AA1514">
        <f>IF(OR(('19_Расчет_аналитики'!AA1430-'19_Расчет_аналитики'!AA1458)=0,11&lt;='01_Вводные'!$B$297),0,('19_Расчет_аналитики'!AA1430-'19_Расчет_аналитики'!AA1458)*IF('01_Вводные'!$B$239="Да",MeanMinAge11+'19_Расчет_аналитики'!AA1572*SUMIF(ThresholdAge11,"&lt;"&amp;'19_Расчет_аналитики'!AA1572,WeightedRevAge11)-SUMIF(ThresholdAge11,"&lt;"&amp;'19_Расчет_аналитики'!AA1572,WeightedMinAge11),MAX(CapacityAge11*'01_Вводные'!$B$218*'19_Расчет_аналитики'!AA1572,MeanMinAge11)))</f>
        <v/>
      </c>
      <c r="AB1514">
        <f>IF(OR(('19_Расчет_аналитики'!AB1430-'19_Расчет_аналитики'!AB1458)=0,11&lt;='01_Вводные'!$B$297),0,('19_Расчет_аналитики'!AB1430-'19_Расчет_аналитики'!AB1458)*IF('01_Вводные'!$B$239="Да",MeanMinAge11+'19_Расчет_аналитики'!AB1572*SUMIF(ThresholdAge11,"&lt;"&amp;'19_Расчет_аналитики'!AB1572,WeightedRevAge11)-SUMIF(ThresholdAge11,"&lt;"&amp;'19_Расчет_аналитики'!AB1572,WeightedMinAge11),MAX(CapacityAge11*'01_Вводные'!$B$218*'19_Расчет_аналитики'!AB1572,MeanMinAge11)))</f>
        <v/>
      </c>
      <c r="AC1514">
        <f>IF(OR(('19_Расчет_аналитики'!AC1430-'19_Расчет_аналитики'!AC1458)=0,11&lt;='01_Вводные'!$B$297),0,('19_Расчет_аналитики'!AC1430-'19_Расчет_аналитики'!AC1458)*IF('01_Вводные'!$B$239="Да",MeanMinAge11+'19_Расчет_аналитики'!AC1572*SUMIF(ThresholdAge11,"&lt;"&amp;'19_Расчет_аналитики'!AC1572,WeightedRevAge11)-SUMIF(ThresholdAge11,"&lt;"&amp;'19_Расчет_аналитики'!AC1572,WeightedMinAge11),MAX(CapacityAge11*'01_Вводные'!$B$218*'19_Расчет_аналитики'!AC1572,MeanMinAge11)))</f>
        <v/>
      </c>
      <c r="AD1514">
        <f>IF(OR(('19_Расчет_аналитики'!AD1430-'19_Расчет_аналитики'!AD1458)=0,11&lt;='01_Вводные'!$B$297),0,('19_Расчет_аналитики'!AD1430-'19_Расчет_аналитики'!AD1458)*IF('01_Вводные'!$B$239="Да",MeanMinAge11+'19_Расчет_аналитики'!AD1572*SUMIF(ThresholdAge11,"&lt;"&amp;'19_Расчет_аналитики'!AD1572,WeightedRevAge11)-SUMIF(ThresholdAge11,"&lt;"&amp;'19_Расчет_аналитики'!AD1572,WeightedMinAge11),MAX(CapacityAge11*'01_Вводные'!$B$218*'19_Расчет_аналитики'!AD1572,MeanMinAge11)))</f>
        <v/>
      </c>
      <c r="AE1514">
        <f>IF(OR(('19_Расчет_аналитики'!AE1430-'19_Расчет_аналитики'!AE1458)=0,11&lt;='01_Вводные'!$B$297),0,('19_Расчет_аналитики'!AE1430-'19_Расчет_аналитики'!AE1458)*IF('01_Вводные'!$B$239="Да",MeanMinAge11+'19_Расчет_аналитики'!AE1572*SUMIF(ThresholdAge11,"&lt;"&amp;'19_Расчет_аналитики'!AE1572,WeightedRevAge11)-SUMIF(ThresholdAge11,"&lt;"&amp;'19_Расчет_аналитики'!AE1572,WeightedMinAge11),MAX(CapacityAge11*'01_Вводные'!$B$218*'19_Расчет_аналитики'!AE1572,MeanMinAge11)))</f>
        <v/>
      </c>
      <c r="AF1514">
        <f>IF(OR(('19_Расчет_аналитики'!AF1430-'19_Расчет_аналитики'!AF1458)=0,11&lt;='01_Вводные'!$B$297),0,('19_Расчет_аналитики'!AF1430-'19_Расчет_аналитики'!AF1458)*IF('01_Вводные'!$B$239="Да",MeanMinAge11+'19_Расчет_аналитики'!AF1572*SUMIF(ThresholdAge11,"&lt;"&amp;'19_Расчет_аналитики'!AF1572,WeightedRevAge11)-SUMIF(ThresholdAge11,"&lt;"&amp;'19_Расчет_аналитики'!AF1572,WeightedMinAge11),MAX(CapacityAge11*'01_Вводные'!$B$218*'19_Расчет_аналитики'!AF1572,MeanMinAge11)))</f>
        <v/>
      </c>
      <c r="AG1514">
        <f>IF(OR(('19_Расчет_аналитики'!AG1430-'19_Расчет_аналитики'!AG1458)=0,11&lt;='01_Вводные'!$B$297),0,('19_Расчет_аналитики'!AG1430-'19_Расчет_аналитики'!AG1458)*IF('01_Вводные'!$B$239="Да",MeanMinAge11+'19_Расчет_аналитики'!AG1572*SUMIF(ThresholdAge11,"&lt;"&amp;'19_Расчет_аналитики'!AG1572,WeightedRevAge11)-SUMIF(ThresholdAge11,"&lt;"&amp;'19_Расчет_аналитики'!AG1572,WeightedMinAge11),MAX(CapacityAge11*'01_Вводные'!$B$218*'19_Расчет_аналитики'!AG1572,MeanMinAge11)))</f>
        <v/>
      </c>
      <c r="AH1514">
        <f>IF(OR(('19_Расчет_аналитики'!AH1430-'19_Расчет_аналитики'!AH1458)=0,11&lt;='01_Вводные'!$B$297),0,('19_Расчет_аналитики'!AH1430-'19_Расчет_аналитики'!AH1458)*IF('01_Вводные'!$B$239="Да",MeanMinAge11+'19_Расчет_аналитики'!AH1572*SUMIF(ThresholdAge11,"&lt;"&amp;'19_Расчет_аналитики'!AH1572,WeightedRevAge11)-SUMIF(ThresholdAge11,"&lt;"&amp;'19_Расчет_аналитики'!AH1572,WeightedMinAge11),MAX(CapacityAge11*'01_Вводные'!$B$218*'19_Расчет_аналитики'!AH1572,MeanMinAge11)))</f>
        <v/>
      </c>
      <c r="AI1514">
        <f>IF(OR(('19_Расчет_аналитики'!AI1430-'19_Расчет_аналитики'!AI1458)=0,11&lt;='01_Вводные'!$B$297),0,('19_Расчет_аналитики'!AI1430-'19_Расчет_аналитики'!AI1458)*IF('01_Вводные'!$B$239="Да",MeanMinAge11+'19_Расчет_аналитики'!AI1572*SUMIF(ThresholdAge11,"&lt;"&amp;'19_Расчет_аналитики'!AI1572,WeightedRevAge11)-SUMIF(ThresholdAge11,"&lt;"&amp;'19_Расчет_аналитики'!AI1572,WeightedMinAge11),MAX(CapacityAge11*'01_Вводные'!$B$218*'19_Расчет_аналитики'!AI1572,MeanMinAge11)))</f>
        <v/>
      </c>
      <c r="AJ1514">
        <f>IF(OR(('19_Расчет_аналитики'!AJ1430-'19_Расчет_аналитики'!AJ1458)=0,11&lt;='01_Вводные'!$B$297),0,('19_Расчет_аналитики'!AJ1430-'19_Расчет_аналитики'!AJ1458)*IF('01_Вводные'!$B$239="Да",MeanMinAge11+'19_Расчет_аналитики'!AJ1572*SUMIF(ThresholdAge11,"&lt;"&amp;'19_Расчет_аналитики'!AJ1572,WeightedRevAge11)-SUMIF(ThresholdAge11,"&lt;"&amp;'19_Расчет_аналитики'!AJ1572,WeightedMinAge11),MAX(CapacityAge11*'01_Вводные'!$B$218*'19_Расчет_аналитики'!AJ1572,MeanMinAge11)))</f>
        <v/>
      </c>
      <c r="AK1514">
        <f>IF(OR(('19_Расчет_аналитики'!AK1430-'19_Расчет_аналитики'!AK1458)=0,11&lt;='01_Вводные'!$B$297),0,('19_Расчет_аналитики'!AK1430-'19_Расчет_аналитики'!AK1458)*IF('01_Вводные'!$B$239="Да",MeanMinAge11+'19_Расчет_аналитики'!AK1572*SUMIF(ThresholdAge11,"&lt;"&amp;'19_Расчет_аналитики'!AK1572,WeightedRevAge11)-SUMIF(ThresholdAge11,"&lt;"&amp;'19_Расчет_аналитики'!AK1572,WeightedMinAge11),MAX(CapacityAge11*'01_Вводные'!$B$218*'19_Расчет_аналитики'!AK1572,MeanMinAge11)))</f>
        <v/>
      </c>
      <c r="AL1514">
        <f>IF(OR(('19_Расчет_аналитики'!AL1430-'19_Расчет_аналитики'!AL1458)=0,11&lt;='01_Вводные'!$B$297),0,('19_Расчет_аналитики'!AL1430-'19_Расчет_аналитики'!AL1458)*IF('01_Вводные'!$B$239="Да",MeanMinAge11+'19_Расчет_аналитики'!AL1572*SUMIF(ThresholdAge11,"&lt;"&amp;'19_Расчет_аналитики'!AL1572,WeightedRevAge11)-SUMIF(ThresholdAge11,"&lt;"&amp;'19_Расчет_аналитики'!AL1572,WeightedMinAge11),MAX(CapacityAge11*'01_Вводные'!$B$218*'19_Расчет_аналитики'!AL1572,MeanMinAge11)))</f>
        <v/>
      </c>
      <c r="AM1514">
        <f>IF(OR(('19_Расчет_аналитики'!AM1430-'19_Расчет_аналитики'!AM1458)=0,11&lt;='01_Вводные'!$B$297),0,('19_Расчет_аналитики'!AM1430-'19_Расчет_аналитики'!AM1458)*IF('01_Вводные'!$B$239="Да",MeanMinAge11+'19_Расчет_аналитики'!AM1572*SUMIF(ThresholdAge11,"&lt;"&amp;'19_Расчет_аналитики'!AM1572,WeightedRevAge11)-SUMIF(ThresholdAge11,"&lt;"&amp;'19_Расчет_аналитики'!AM1572,WeightedMinAge11),MAX(CapacityAge11*'01_Вводные'!$B$218*'19_Расчет_аналитики'!AM1572,MeanMinAge11)))</f>
        <v/>
      </c>
      <c r="AN1514">
        <f>IF(OR(('19_Расчет_аналитики'!AN1430-'19_Расчет_аналитики'!AN1458)=0,11&lt;='01_Вводные'!$B$297),0,('19_Расчет_аналитики'!AN1430-'19_Расчет_аналитики'!AN1458)*IF('01_Вводные'!$B$239="Да",MeanMinAge11+'19_Расчет_аналитики'!AN1572*SUMIF(ThresholdAge11,"&lt;"&amp;'19_Расчет_аналитики'!AN1572,WeightedRevAge11)-SUMIF(ThresholdAge11,"&lt;"&amp;'19_Расчет_аналитики'!AN1572,WeightedMinAge11),MAX(CapacityAge11*'01_Вводные'!$B$218*'19_Расчет_аналитики'!AN1572,MeanMinAge11)))</f>
        <v/>
      </c>
      <c r="AO1514">
        <f>IF(OR(('19_Расчет_аналитики'!AO1430-'19_Расчет_аналитики'!AO1458)=0,11&lt;='01_Вводные'!$B$297),0,('19_Расчет_аналитики'!AO1430-'19_Расчет_аналитики'!AO1458)*IF('01_Вводные'!$B$239="Да",MeanMinAge11+'19_Расчет_аналитики'!AO1572*SUMIF(ThresholdAge11,"&lt;"&amp;'19_Расчет_аналитики'!AO1572,WeightedRevAge11)-SUMIF(ThresholdAge11,"&lt;"&amp;'19_Расчет_аналитики'!AO1572,WeightedMinAge11),MAX(CapacityAge11*'01_Вводные'!$B$218*'19_Расчет_аналитики'!AO1572,MeanMinAge11)))</f>
        <v/>
      </c>
      <c r="AP1514">
        <f>IF(OR(('19_Расчет_аналитики'!AP1430-'19_Расчет_аналитики'!AP1458)=0,11&lt;='01_Вводные'!$B$297),0,('19_Расчет_аналитики'!AP1430-'19_Расчет_аналитики'!AP1458)*IF('01_Вводные'!$B$239="Да",MeanMinAge11+'19_Расчет_аналитики'!AP1572*SUMIF(ThresholdAge11,"&lt;"&amp;'19_Расчет_аналитики'!AP1572,WeightedRevAge11)-SUMIF(ThresholdAge11,"&lt;"&amp;'19_Расчет_аналитики'!AP1572,WeightedMinAge11),MAX(CapacityAge11*'01_Вводные'!$B$218*'19_Расчет_аналитики'!AP1572,MeanMinAge11)))</f>
        <v/>
      </c>
      <c r="AQ1514">
        <f>IF(OR(('19_Расчет_аналитики'!AQ1430-'19_Расчет_аналитики'!AQ1458)=0,11&lt;='01_Вводные'!$B$297),0,('19_Расчет_аналитики'!AQ1430-'19_Расчет_аналитики'!AQ1458)*IF('01_Вводные'!$B$239="Да",MeanMinAge11+'19_Расчет_аналитики'!AQ1572*SUMIF(ThresholdAge11,"&lt;"&amp;'19_Расчет_аналитики'!AQ1572,WeightedRevAge11)-SUMIF(ThresholdAge11,"&lt;"&amp;'19_Расчет_аналитики'!AQ1572,WeightedMinAge11),MAX(CapacityAge11*'01_Вводные'!$B$218*'19_Расчет_аналитики'!AQ1572,MeanMinAge11)))</f>
        <v/>
      </c>
      <c r="AR1514">
        <f>IF(OR(('19_Расчет_аналитики'!AR1430-'19_Расчет_аналитики'!AR1458)=0,11&lt;='01_Вводные'!$B$297),0,('19_Расчет_аналитики'!AR1430-'19_Расчет_аналитики'!AR1458)*IF('01_Вводные'!$B$239="Да",MeanMinAge11+'19_Расчет_аналитики'!AR1572*SUMIF(ThresholdAge11,"&lt;"&amp;'19_Расчет_аналитики'!AR1572,WeightedRevAge11)-SUMIF(ThresholdAge11,"&lt;"&amp;'19_Расчет_аналитики'!AR1572,WeightedMinAge11),MAX(CapacityAge11*'01_Вводные'!$B$218*'19_Расчет_аналитики'!AR1572,MeanMinAge11)))</f>
        <v/>
      </c>
      <c r="AS1514">
        <f>IF(OR(('19_Расчет_аналитики'!AS1430-'19_Расчет_аналитики'!AS1458)=0,11&lt;='01_Вводные'!$B$297),0,('19_Расчет_аналитики'!AS1430-'19_Расчет_аналитики'!AS1458)*IF('01_Вводные'!$B$239="Да",MeanMinAge11+'19_Расчет_аналитики'!AS1572*SUMIF(ThresholdAge11,"&lt;"&amp;'19_Расчет_аналитики'!AS1572,WeightedRevAge11)-SUMIF(ThresholdAge11,"&lt;"&amp;'19_Расчет_аналитики'!AS1572,WeightedMinAge11),MAX(CapacityAge11*'01_Вводные'!$B$218*'19_Расчет_аналитики'!AS1572,MeanMinAge11)))</f>
        <v/>
      </c>
      <c r="AT1514">
        <f>IF(OR(('19_Расчет_аналитики'!AT1430-'19_Расчет_аналитики'!AT1458)=0,11&lt;='01_Вводные'!$B$297),0,('19_Расчет_аналитики'!AT1430-'19_Расчет_аналитики'!AT1458)*IF('01_Вводные'!$B$239="Да",MeanMinAge11+'19_Расчет_аналитики'!AT1572*SUMIF(ThresholdAge11,"&lt;"&amp;'19_Расчет_аналитики'!AT1572,WeightedRevAge11)-SUMIF(ThresholdAge11,"&lt;"&amp;'19_Расчет_аналитики'!AT1572,WeightedMinAge11),MAX(CapacityAge11*'01_Вводные'!$B$218*'19_Расчет_аналитики'!AT1572,MeanMinAge11)))</f>
        <v/>
      </c>
      <c r="AU1514">
        <f>IF(OR(('19_Расчет_аналитики'!AU1430-'19_Расчет_аналитики'!AU1458)=0,11&lt;='01_Вводные'!$B$297),0,('19_Расчет_аналитики'!AU1430-'19_Расчет_аналитики'!AU1458)*IF('01_Вводные'!$B$239="Да",MeanMinAge11+'19_Расчет_аналитики'!AU1572*SUMIF(ThresholdAge11,"&lt;"&amp;'19_Расчет_аналитики'!AU1572,WeightedRevAge11)-SUMIF(ThresholdAge11,"&lt;"&amp;'19_Расчет_аналитики'!AU1572,WeightedMinAge11),MAX(CapacityAge11*'01_Вводные'!$B$218*'19_Расчет_аналитики'!AU1572,MeanMinAge11)))</f>
        <v/>
      </c>
      <c r="AV1514">
        <f>IF(OR(('19_Расчет_аналитики'!AV1430-'19_Расчет_аналитики'!AV1458)=0,11&lt;='01_Вводные'!$B$297),0,('19_Расчет_аналитики'!AV1430-'19_Расчет_аналитики'!AV1458)*IF('01_Вводные'!$B$239="Да",MeanMinAge11+'19_Расчет_аналитики'!AV1572*SUMIF(ThresholdAge11,"&lt;"&amp;'19_Расчет_аналитики'!AV1572,WeightedRevAge11)-SUMIF(ThresholdAge11,"&lt;"&amp;'19_Расчет_аналитики'!AV1572,WeightedMinAge11),MAX(CapacityAge11*'01_Вводные'!$B$218*'19_Расчет_аналитики'!AV1572,MeanMinAge11)))</f>
        <v/>
      </c>
      <c r="AW1514">
        <f>IF(OR(('19_Расчет_аналитики'!AW1430-'19_Расчет_аналитики'!AW1458)=0,11&lt;='01_Вводные'!$B$297),0,('19_Расчет_аналитики'!AW1430-'19_Расчет_аналитики'!AW1458)*IF('01_Вводные'!$B$239="Да",MeanMinAge11+'19_Расчет_аналитики'!AW1572*SUMIF(ThresholdAge11,"&lt;"&amp;'19_Расчет_аналитики'!AW1572,WeightedRevAge11)-SUMIF(ThresholdAge11,"&lt;"&amp;'19_Расчет_аналитики'!AW1572,WeightedMinAge11),MAX(CapacityAge11*'01_Вводные'!$B$218*'19_Расчет_аналитики'!AW1572,MeanMinAge11)))</f>
        <v/>
      </c>
      <c r="AX1514">
        <f>IF(OR(('19_Расчет_аналитики'!AX1430-'19_Расчет_аналитики'!AX1458)=0,11&lt;='01_Вводные'!$B$297),0,('19_Расчет_аналитики'!AX1430-'19_Расчет_аналитики'!AX1458)*IF('01_Вводные'!$B$239="Да",MeanMinAge11+'19_Расчет_аналитики'!AX1572*SUMIF(ThresholdAge11,"&lt;"&amp;'19_Расчет_аналитики'!AX1572,WeightedRevAge11)-SUMIF(ThresholdAge11,"&lt;"&amp;'19_Расчет_аналитики'!AX1572,WeightedMinAge11),MAX(CapacityAge11*'01_Вводные'!$B$218*'19_Расчет_аналитики'!AX1572,MeanMinAge11)))</f>
        <v/>
      </c>
      <c r="AY1514">
        <f>IF(OR(('19_Расчет_аналитики'!AY1430-'19_Расчет_аналитики'!AY1458)=0,11&lt;='01_Вводные'!$B$297),0,('19_Расчет_аналитики'!AY1430-'19_Расчет_аналитики'!AY1458)*IF('01_Вводные'!$B$239="Да",MeanMinAge11+'19_Расчет_аналитики'!AY1572*SUMIF(ThresholdAge11,"&lt;"&amp;'19_Расчет_аналитики'!AY1572,WeightedRevAge11)-SUMIF(ThresholdAge11,"&lt;"&amp;'19_Расчет_аналитики'!AY1572,WeightedMinAge11),MAX(CapacityAge11*'01_Вводные'!$B$218*'19_Расчет_аналитики'!AY1572,MeanMinAge11)))</f>
        <v/>
      </c>
      <c r="AZ1514">
        <f>IF(OR(('19_Расчет_аналитики'!AZ1430-'19_Расчет_аналитики'!AZ1458)=0,11&lt;='01_Вводные'!$B$297),0,('19_Расчет_аналитики'!AZ1430-'19_Расчет_аналитики'!AZ1458)*IF('01_Вводные'!$B$239="Да",MeanMinAge11+'19_Расчет_аналитики'!AZ1572*SUMIF(ThresholdAge11,"&lt;"&amp;'19_Расчет_аналитики'!AZ1572,WeightedRevAge11)-SUMIF(ThresholdAge11,"&lt;"&amp;'19_Расчет_аналитики'!AZ1572,WeightedMinAge11),MAX(CapacityAge11*'01_Вводные'!$B$218*'19_Расчет_аналитики'!AZ1572,MeanMinAge11)))</f>
        <v/>
      </c>
      <c r="BA1514">
        <f>IF(OR(('19_Расчет_аналитики'!BA1430-'19_Расчет_аналитики'!BA1458)=0,11&lt;='01_Вводные'!$B$297),0,('19_Расчет_аналитики'!BA1430-'19_Расчет_аналитики'!BA1458)*IF('01_Вводные'!$B$239="Да",MeanMinAge11+'19_Расчет_аналитики'!BA1572*SUMIF(ThresholdAge11,"&lt;"&amp;'19_Расчет_аналитики'!BA1572,WeightedRevAge11)-SUMIF(ThresholdAge11,"&lt;"&amp;'19_Расчет_аналитики'!BA1572,WeightedMinAge11),MAX(CapacityAge11*'01_Вводные'!$B$218*'19_Расчет_аналитики'!BA1572,MeanMinAge11)))</f>
        <v/>
      </c>
      <c r="BB1514">
        <f>IF(OR(('19_Расчет_аналитики'!BB1430-'19_Расчет_аналитики'!BB1458)=0,11&lt;='01_Вводные'!$B$297),0,('19_Расчет_аналитики'!BB1430-'19_Расчет_аналитики'!BB1458)*IF('01_Вводные'!$B$239="Да",MeanMinAge11+'19_Расчет_аналитики'!BB1572*SUMIF(ThresholdAge11,"&lt;"&amp;'19_Расчет_аналитики'!BB1572,WeightedRevAge11)-SUMIF(ThresholdAge11,"&lt;"&amp;'19_Расчет_аналитики'!BB1572,WeightedMinAge11),MAX(CapacityAge11*'01_Вводные'!$B$218*'19_Расчет_аналитики'!BB1572,MeanMinAge11)))</f>
        <v/>
      </c>
      <c r="BC1514">
        <f>IF(OR(('19_Расчет_аналитики'!BC1430-'19_Расчет_аналитики'!BC1458)=0,11&lt;='01_Вводные'!$B$297),0,('19_Расчет_аналитики'!BC1430-'19_Расчет_аналитики'!BC1458)*IF('01_Вводные'!$B$239="Да",MeanMinAge11+'19_Расчет_аналитики'!BC1572*SUMIF(ThresholdAge11,"&lt;"&amp;'19_Расчет_аналитики'!BC1572,WeightedRevAge11)-SUMIF(ThresholdAge11,"&lt;"&amp;'19_Расчет_аналитики'!BC1572,WeightedMinAge11),MAX(CapacityAge11*'01_Вводные'!$B$218*'19_Расчет_аналитики'!BC1572,MeanMinAge11)))</f>
        <v/>
      </c>
      <c r="BD1514">
        <f>IF(OR(('19_Расчет_аналитики'!BD1430-'19_Расчет_аналитики'!BD1458)=0,11&lt;='01_Вводные'!$B$297),0,('19_Расчет_аналитики'!BD1430-'19_Расчет_аналитики'!BD1458)*IF('01_Вводные'!$B$239="Да",MeanMinAge11+'19_Расчет_аналитики'!BD1572*SUMIF(ThresholdAge11,"&lt;"&amp;'19_Расчет_аналитики'!BD1572,WeightedRevAge11)-SUMIF(ThresholdAge11,"&lt;"&amp;'19_Расчет_аналитики'!BD1572,WeightedMinAge11),MAX(CapacityAge11*'01_Вводные'!$B$218*'19_Расчет_аналитики'!BD1572,MeanMinAge11)))</f>
        <v/>
      </c>
      <c r="BE1514">
        <f>IF(OR(('19_Расчет_аналитики'!BE1430-'19_Расчет_аналитики'!BE1458)=0,11&lt;='01_Вводные'!$B$297),0,('19_Расчет_аналитики'!BE1430-'19_Расчет_аналитики'!BE1458)*IF('01_Вводные'!$B$239="Да",MeanMinAge11+'19_Расчет_аналитики'!BE1572*SUMIF(ThresholdAge11,"&lt;"&amp;'19_Расчет_аналитики'!BE1572,WeightedRevAge11)-SUMIF(ThresholdAge11,"&lt;"&amp;'19_Расчет_аналитики'!BE1572,WeightedMinAge11),MAX(CapacityAge11*'01_Вводные'!$B$218*'19_Расчет_аналитики'!BE1572,MeanMinAge11)))</f>
        <v/>
      </c>
      <c r="BF1514">
        <f>IF(OR(('19_Расчет_аналитики'!BF1430-'19_Расчет_аналитики'!BF1458)=0,11&lt;='01_Вводные'!$B$297),0,('19_Расчет_аналитики'!BF1430-'19_Расчет_аналитики'!BF1458)*IF('01_Вводные'!$B$239="Да",MeanMinAge11+'19_Расчет_аналитики'!BF1572*SUMIF(ThresholdAge11,"&lt;"&amp;'19_Расчет_аналитики'!BF1572,WeightedRevAge11)-SUMIF(ThresholdAge11,"&lt;"&amp;'19_Расчет_аналитики'!BF1572,WeightedMinAge11),MAX(CapacityAge11*'01_Вводные'!$B$218*'19_Расчет_аналитики'!BF1572,MeanMinAge11)))</f>
        <v/>
      </c>
      <c r="BG1514">
        <f>IF(OR(('19_Расчет_аналитики'!BG1430-'19_Расчет_аналитики'!BG1458)=0,11&lt;='01_Вводные'!$B$297),0,('19_Расчет_аналитики'!BG1430-'19_Расчет_аналитики'!BG1458)*IF('01_Вводные'!$B$239="Да",MeanMinAge11+'19_Расчет_аналитики'!BG1572*SUMIF(ThresholdAge11,"&lt;"&amp;'19_Расчет_аналитики'!BG1572,WeightedRevAge11)-SUMIF(ThresholdAge11,"&lt;"&amp;'19_Расчет_аналитики'!BG1572,WeightedMinAge11),MAX(CapacityAge11*'01_Вводные'!$B$218*'19_Расчет_аналитики'!BG1572,MeanMinAge11)))</f>
        <v/>
      </c>
      <c r="BH1514">
        <f>IF(OR(('19_Расчет_аналитики'!BH1430-'19_Расчет_аналитики'!BH1458)=0,11&lt;='01_Вводные'!$B$297),0,('19_Расчет_аналитики'!BH1430-'19_Расчет_аналитики'!BH1458)*IF('01_Вводные'!$B$239="Да",MeanMinAge11+'19_Расчет_аналитики'!BH1572*SUMIF(ThresholdAge11,"&lt;"&amp;'19_Расчет_аналитики'!BH1572,WeightedRevAge11)-SUMIF(ThresholdAge11,"&lt;"&amp;'19_Расчет_аналитики'!BH1572,WeightedMinAge11),MAX(CapacityAge11*'01_Вводные'!$B$218*'19_Расчет_аналитики'!BH1572,MeanMinAge11)))</f>
        <v/>
      </c>
      <c r="BI1514">
        <f>IF(OR(('19_Расчет_аналитики'!BI1430-'19_Расчет_аналитики'!BI1458)=0,11&lt;='01_Вводные'!$B$297),0,('19_Расчет_аналитики'!BI1430-'19_Расчет_аналитики'!BI1458)*IF('01_Вводные'!$B$239="Да",MeanMinAge11+'19_Расчет_аналитики'!BI1572*SUMIF(ThresholdAge11,"&lt;"&amp;'19_Расчет_аналитики'!BI1572,WeightedRevAge11)-SUMIF(ThresholdAge11,"&lt;"&amp;'19_Расчет_аналитики'!BI1572,WeightedMinAge11),MAX(CapacityAge11*'01_Вводные'!$B$218*'19_Расчет_аналитики'!BI1572,MeanMinAge11)))</f>
        <v/>
      </c>
      <c r="BJ1514">
        <f>IF(OR(('19_Расчет_аналитики'!BJ1430-'19_Расчет_аналитики'!BJ1458)=0,11&lt;='01_Вводные'!$B$297),0,('19_Расчет_аналитики'!BJ1430-'19_Расчет_аналитики'!BJ1458)*IF('01_Вводные'!$B$239="Да",MeanMinAge11+'19_Расчет_аналитики'!BJ1572*SUMIF(ThresholdAge11,"&lt;"&amp;'19_Расчет_аналитики'!BJ1572,WeightedRevAge11)-SUMIF(ThresholdAge11,"&lt;"&amp;'19_Расчет_аналитики'!BJ1572,WeightedMinAge11),MAX(CapacityAge11*'01_Вводные'!$B$218*'19_Расчет_аналитики'!BJ1572,MeanMinAge11)))</f>
        <v/>
      </c>
      <c r="BK1514">
        <f>IF(OR(('19_Расчет_аналитики'!BK1430-'19_Расчет_аналитики'!BK1458)=0,11&lt;='01_Вводные'!$B$297),0,('19_Расчет_аналитики'!BK1430-'19_Расчет_аналитики'!BK1458)*IF('01_Вводные'!$B$239="Да",MeanMinAge11+'19_Расчет_аналитики'!BK1572*SUMIF(ThresholdAge11,"&lt;"&amp;'19_Расчет_аналитики'!BK1572,WeightedRevAge11)-SUMIF(ThresholdAge11,"&lt;"&amp;'19_Расчет_аналитики'!BK1572,WeightedMinAge11),MAX(CapacityAge11*'01_Вводные'!$B$218*'19_Расчет_аналитики'!BK1572,MeanMinAge11)))</f>
        <v/>
      </c>
      <c r="BL1514">
        <f>IF(OR(('19_Расчет_аналитики'!BL1430-'19_Расчет_аналитики'!BL1458)=0,11&lt;='01_Вводные'!$B$297),0,('19_Расчет_аналитики'!BL1430-'19_Расчет_аналитики'!BL1458)*IF('01_Вводные'!$B$239="Да",MeanMinAge11+'19_Расчет_аналитики'!BL1572*SUMIF(ThresholdAge11,"&lt;"&amp;'19_Расчет_аналитики'!BL1572,WeightedRevAge11)-SUMIF(ThresholdAge11,"&lt;"&amp;'19_Расчет_аналитики'!BL1572,WeightedMinAge11),MAX(CapacityAge11*'01_Вводные'!$B$218*'19_Расчет_аналитики'!BL1572,MeanMinAge11)))</f>
        <v/>
      </c>
      <c r="BM1514">
        <f>IF(OR(('19_Расчет_аналитики'!BM1430-'19_Расчет_аналитики'!BM1458)=0,11&lt;='01_Вводные'!$B$297),0,('19_Расчет_аналитики'!BM1430-'19_Расчет_аналитики'!BM1458)*IF('01_Вводные'!$B$239="Да",MeanMinAge11+'19_Расчет_аналитики'!BM1572*SUMIF(ThresholdAge11,"&lt;"&amp;'19_Расчет_аналитики'!BM1572,WeightedRevAge11)-SUMIF(ThresholdAge11,"&lt;"&amp;'19_Расчет_аналитики'!BM1572,WeightedMinAge11),MAX(CapacityAge11*'01_Вводные'!$B$218*'19_Расчет_аналитики'!BM1572,MeanMinAge11)))</f>
        <v/>
      </c>
      <c r="BN1514">
        <f>IF(OR(('19_Расчет_аналитики'!BN1430-'19_Расчет_аналитики'!BN1458)=0,11&lt;='01_Вводные'!$B$297),0,('19_Расчет_аналитики'!BN1430-'19_Расчет_аналитики'!BN1458)*IF('01_Вводные'!$B$239="Да",MeanMinAge11+'19_Расчет_аналитики'!BN1572*SUMIF(ThresholdAge11,"&lt;"&amp;'19_Расчет_аналитики'!BN1572,WeightedRevAge11)-SUMIF(ThresholdAge11,"&lt;"&amp;'19_Расчет_аналитики'!BN1572,WeightedMinAge11),MAX(CapacityAge11*'01_Вводные'!$B$218*'19_Расчет_аналитики'!BN1572,MeanMinAge11)))</f>
        <v/>
      </c>
      <c r="BO1514">
        <f>IF(OR(('19_Расчет_аналитики'!BO1430-'19_Расчет_аналитики'!BO1458)=0,11&lt;='01_Вводные'!$B$297),0,('19_Расчет_аналитики'!BO1430-'19_Расчет_аналитики'!BO1458)*IF('01_Вводные'!$B$239="Да",MeanMinAge11+'19_Расчет_аналитики'!BO1572*SUMIF(ThresholdAge11,"&lt;"&amp;'19_Расчет_аналитики'!BO1572,WeightedRevAge11)-SUMIF(ThresholdAge11,"&lt;"&amp;'19_Расчет_аналитики'!BO1572,WeightedMinAge11),MAX(CapacityAge11*'01_Вводные'!$B$218*'19_Расчет_аналитики'!BO1572,MeanMinAge11)))</f>
        <v/>
      </c>
    </row>
    <row r="1515">
      <c r="B1515">
        <f>IF(OR(('06_Сеть_и_дети'!B64-'06_Сеть_и_дети'!B92)=0,12&lt;='01_Вводные'!$B$297),0,('06_Сеть_и_дети'!B64-'06_Сеть_и_дети'!B92)*IF('01_Вводные'!$B$239="Да",MeanMinAge12+'19_Расчет_аналитики'!B1572*SUMIF(ThresholdAge12,"&lt;"&amp;'19_Расчет_аналитики'!B1572,WeightedRevAge12)-SUMIF(ThresholdAge12,"&lt;"&amp;'19_Расчет_аналитики'!B1572,WeightedMinAge12),MAX(CapacityAge12*'01_Вводные'!$B$218*'19_Расчет_аналитики'!B1572,MeanMinAge12)))</f>
        <v/>
      </c>
      <c r="C1515">
        <f>IF(OR(('06_Сеть_и_дети'!C64-'06_Сеть_и_дети'!C92)=0,12&lt;='01_Вводные'!$B$297),0,('06_Сеть_и_дети'!C64-'06_Сеть_и_дети'!C92)*IF('01_Вводные'!$B$239="Да",MeanMinAge12+'19_Расчет_аналитики'!C1572*SUMIF(ThresholdAge12,"&lt;"&amp;'19_Расчет_аналитики'!C1572,WeightedRevAge12)-SUMIF(ThresholdAge12,"&lt;"&amp;'19_Расчет_аналитики'!C1572,WeightedMinAge12),MAX(CapacityAge12*'01_Вводные'!$B$218*'19_Расчет_аналитики'!C1572,MeanMinAge12)))</f>
        <v/>
      </c>
      <c r="D1515">
        <f>IF(OR(('06_Сеть_и_дети'!D64-'06_Сеть_и_дети'!D92)=0,12&lt;='01_Вводные'!$B$297),0,('06_Сеть_и_дети'!D64-'06_Сеть_и_дети'!D92)*IF('01_Вводные'!$B$239="Да",MeanMinAge12+'19_Расчет_аналитики'!D1572*SUMIF(ThresholdAge12,"&lt;"&amp;'19_Расчет_аналитики'!D1572,WeightedRevAge12)-SUMIF(ThresholdAge12,"&lt;"&amp;'19_Расчет_аналитики'!D1572,WeightedMinAge12),MAX(CapacityAge12*'01_Вводные'!$B$218*'19_Расчет_аналитики'!D1572,MeanMinAge12)))</f>
        <v/>
      </c>
      <c r="E1515">
        <f>IF(OR(('06_Сеть_и_дети'!E64-'06_Сеть_и_дети'!E92)=0,12&lt;='01_Вводные'!$B$297),0,('06_Сеть_и_дети'!E64-'06_Сеть_и_дети'!E92)*IF('01_Вводные'!$B$239="Да",MeanMinAge12+'19_Расчет_аналитики'!E1572*SUMIF(ThresholdAge12,"&lt;"&amp;'19_Расчет_аналитики'!E1572,WeightedRevAge12)-SUMIF(ThresholdAge12,"&lt;"&amp;'19_Расчет_аналитики'!E1572,WeightedMinAge12),MAX(CapacityAge12*'01_Вводные'!$B$218*'19_Расчет_аналитики'!E1572,MeanMinAge12)))</f>
        <v/>
      </c>
      <c r="F1515">
        <f>IF(OR(('06_Сеть_и_дети'!F64-'06_Сеть_и_дети'!F92)=0,12&lt;='01_Вводные'!$B$297),0,('06_Сеть_и_дети'!F64-'06_Сеть_и_дети'!F92)*IF('01_Вводные'!$B$239="Да",MeanMinAge12+'19_Расчет_аналитики'!F1572*SUMIF(ThresholdAge12,"&lt;"&amp;'19_Расчет_аналитики'!F1572,WeightedRevAge12)-SUMIF(ThresholdAge12,"&lt;"&amp;'19_Расчет_аналитики'!F1572,WeightedMinAge12),MAX(CapacityAge12*'01_Вводные'!$B$218*'19_Расчет_аналитики'!F1572,MeanMinAge12)))</f>
        <v/>
      </c>
      <c r="G1515">
        <f>IF(OR(('06_Сеть_и_дети'!G64-'06_Сеть_и_дети'!G92)=0,12&lt;='01_Вводные'!$B$297),0,('06_Сеть_и_дети'!G64-'06_Сеть_и_дети'!G92)*IF('01_Вводные'!$B$239="Да",MeanMinAge12+'19_Расчет_аналитики'!G1572*SUMIF(ThresholdAge12,"&lt;"&amp;'19_Расчет_аналитики'!G1572,WeightedRevAge12)-SUMIF(ThresholdAge12,"&lt;"&amp;'19_Расчет_аналитики'!G1572,WeightedMinAge12),MAX(CapacityAge12*'01_Вводные'!$B$218*'19_Расчет_аналитики'!G1572,MeanMinAge12)))</f>
        <v/>
      </c>
      <c r="H1515">
        <f>IF(OR(('06_Сеть_и_дети'!H64-'06_Сеть_и_дети'!H92)=0,12&lt;='01_Вводные'!$B$297),0,('06_Сеть_и_дети'!H64-'06_Сеть_и_дети'!H92)*IF('01_Вводные'!$B$239="Да",MeanMinAge12+'19_Расчет_аналитики'!H1572*SUMIF(ThresholdAge12,"&lt;"&amp;'19_Расчет_аналитики'!H1572,WeightedRevAge12)-SUMIF(ThresholdAge12,"&lt;"&amp;'19_Расчет_аналитики'!H1572,WeightedMinAge12),MAX(CapacityAge12*'01_Вводные'!$B$218*'19_Расчет_аналитики'!H1572,MeanMinAge12)))</f>
        <v/>
      </c>
      <c r="I1515">
        <f>IF(OR(('06_Сеть_и_дети'!I64-'06_Сеть_и_дети'!I92)=0,12&lt;='01_Вводные'!$B$297),0,('06_Сеть_и_дети'!I64-'06_Сеть_и_дети'!I92)*IF('01_Вводные'!$B$239="Да",MeanMinAge12+'19_Расчет_аналитики'!I1572*SUMIF(ThresholdAge12,"&lt;"&amp;'19_Расчет_аналитики'!I1572,WeightedRevAge12)-SUMIF(ThresholdAge12,"&lt;"&amp;'19_Расчет_аналитики'!I1572,WeightedMinAge12),MAX(CapacityAge12*'01_Вводные'!$B$218*'19_Расчет_аналитики'!I1572,MeanMinAge12)))</f>
        <v/>
      </c>
      <c r="J1515">
        <f>IF(OR(('06_Сеть_и_дети'!J64-'06_Сеть_и_дети'!J92)=0,12&lt;='01_Вводные'!$B$297),0,('06_Сеть_и_дети'!J64-'06_Сеть_и_дети'!J92)*IF('01_Вводные'!$B$239="Да",MeanMinAge12+'19_Расчет_аналитики'!J1572*SUMIF(ThresholdAge12,"&lt;"&amp;'19_Расчет_аналитики'!J1572,WeightedRevAge12)-SUMIF(ThresholdAge12,"&lt;"&amp;'19_Расчет_аналитики'!J1572,WeightedMinAge12),MAX(CapacityAge12*'01_Вводные'!$B$218*'19_Расчет_аналитики'!J1572,MeanMinAge12)))</f>
        <v/>
      </c>
      <c r="K1515">
        <f>IF(OR(('06_Сеть_и_дети'!K64-'06_Сеть_и_дети'!K92)=0,12&lt;='01_Вводные'!$B$297),0,('06_Сеть_и_дети'!K64-'06_Сеть_и_дети'!K92)*IF('01_Вводные'!$B$239="Да",MeanMinAge12+'19_Расчет_аналитики'!K1572*SUMIF(ThresholdAge12,"&lt;"&amp;'19_Расчет_аналитики'!K1572,WeightedRevAge12)-SUMIF(ThresholdAge12,"&lt;"&amp;'19_Расчет_аналитики'!K1572,WeightedMinAge12),MAX(CapacityAge12*'01_Вводные'!$B$218*'19_Расчет_аналитики'!K1572,MeanMinAge12)))</f>
        <v/>
      </c>
      <c r="L1515">
        <f>IF(OR(('06_Сеть_и_дети'!L64-'06_Сеть_и_дети'!L92)=0,12&lt;='01_Вводные'!$B$297),0,('06_Сеть_и_дети'!L64-'06_Сеть_и_дети'!L92)*IF('01_Вводные'!$B$239="Да",MeanMinAge12+'19_Расчет_аналитики'!L1572*SUMIF(ThresholdAge12,"&lt;"&amp;'19_Расчет_аналитики'!L1572,WeightedRevAge12)-SUMIF(ThresholdAge12,"&lt;"&amp;'19_Расчет_аналитики'!L1572,WeightedMinAge12),MAX(CapacityAge12*'01_Вводные'!$B$218*'19_Расчет_аналитики'!L1572,MeanMinAge12)))</f>
        <v/>
      </c>
      <c r="M1515">
        <f>IF(OR(('19_Расчет_аналитики'!M1431-'19_Расчет_аналитики'!M1459)=0,12&lt;='01_Вводные'!$B$297),0,('19_Расчет_аналитики'!M1431-'19_Расчет_аналитики'!M1459)*IF('01_Вводные'!$B$239="Да",MeanMinAge12+'19_Расчет_аналитики'!M1572*SUMIF(ThresholdAge12,"&lt;"&amp;'19_Расчет_аналитики'!M1572,WeightedRevAge12)-SUMIF(ThresholdAge12,"&lt;"&amp;'19_Расчет_аналитики'!M1572,WeightedMinAge12),MAX(CapacityAge12*'01_Вводные'!$B$218*'19_Расчет_аналитики'!M1572,MeanMinAge12)))</f>
        <v/>
      </c>
      <c r="N1515">
        <f>IF(OR(('19_Расчет_аналитики'!N1431-'19_Расчет_аналитики'!N1459)=0,12&lt;='01_Вводные'!$B$297),0,('19_Расчет_аналитики'!N1431-'19_Расчет_аналитики'!N1459)*IF('01_Вводные'!$B$239="Да",MeanMinAge12+'19_Расчет_аналитики'!N1572*SUMIF(ThresholdAge12,"&lt;"&amp;'19_Расчет_аналитики'!N1572,WeightedRevAge12)-SUMIF(ThresholdAge12,"&lt;"&amp;'19_Расчет_аналитики'!N1572,WeightedMinAge12),MAX(CapacityAge12*'01_Вводные'!$B$218*'19_Расчет_аналитики'!N1572,MeanMinAge12)))</f>
        <v/>
      </c>
      <c r="O1515">
        <f>IF(OR(('19_Расчет_аналитики'!O1431-'19_Расчет_аналитики'!O1459)=0,12&lt;='01_Вводные'!$B$297),0,('19_Расчет_аналитики'!O1431-'19_Расчет_аналитики'!O1459)*IF('01_Вводные'!$B$239="Да",MeanMinAge12+'19_Расчет_аналитики'!O1572*SUMIF(ThresholdAge12,"&lt;"&amp;'19_Расчет_аналитики'!O1572,WeightedRevAge12)-SUMIF(ThresholdAge12,"&lt;"&amp;'19_Расчет_аналитики'!O1572,WeightedMinAge12),MAX(CapacityAge12*'01_Вводные'!$B$218*'19_Расчет_аналитики'!O1572,MeanMinAge12)))</f>
        <v/>
      </c>
      <c r="P1515">
        <f>IF(OR(('19_Расчет_аналитики'!P1431-'19_Расчет_аналитики'!P1459)=0,12&lt;='01_Вводные'!$B$297),0,('19_Расчет_аналитики'!P1431-'19_Расчет_аналитики'!P1459)*IF('01_Вводные'!$B$239="Да",MeanMinAge12+'19_Расчет_аналитики'!P1572*SUMIF(ThresholdAge12,"&lt;"&amp;'19_Расчет_аналитики'!P1572,WeightedRevAge12)-SUMIF(ThresholdAge12,"&lt;"&amp;'19_Расчет_аналитики'!P1572,WeightedMinAge12),MAX(CapacityAge12*'01_Вводные'!$B$218*'19_Расчет_аналитики'!P1572,MeanMinAge12)))</f>
        <v/>
      </c>
      <c r="Q1515">
        <f>IF(OR(('19_Расчет_аналитики'!Q1431-'19_Расчет_аналитики'!Q1459)=0,12&lt;='01_Вводные'!$B$297),0,('19_Расчет_аналитики'!Q1431-'19_Расчет_аналитики'!Q1459)*IF('01_Вводные'!$B$239="Да",MeanMinAge12+'19_Расчет_аналитики'!Q1572*SUMIF(ThresholdAge12,"&lt;"&amp;'19_Расчет_аналитики'!Q1572,WeightedRevAge12)-SUMIF(ThresholdAge12,"&lt;"&amp;'19_Расчет_аналитики'!Q1572,WeightedMinAge12),MAX(CapacityAge12*'01_Вводные'!$B$218*'19_Расчет_аналитики'!Q1572,MeanMinAge12)))</f>
        <v/>
      </c>
      <c r="R1515">
        <f>IF(OR(('19_Расчет_аналитики'!R1431-'19_Расчет_аналитики'!R1459)=0,12&lt;='01_Вводные'!$B$297),0,('19_Расчет_аналитики'!R1431-'19_Расчет_аналитики'!R1459)*IF('01_Вводные'!$B$239="Да",MeanMinAge12+'19_Расчет_аналитики'!R1572*SUMIF(ThresholdAge12,"&lt;"&amp;'19_Расчет_аналитики'!R1572,WeightedRevAge12)-SUMIF(ThresholdAge12,"&lt;"&amp;'19_Расчет_аналитики'!R1572,WeightedMinAge12),MAX(CapacityAge12*'01_Вводные'!$B$218*'19_Расчет_аналитики'!R1572,MeanMinAge12)))</f>
        <v/>
      </c>
      <c r="S1515">
        <f>IF(OR(('19_Расчет_аналитики'!S1431-'19_Расчет_аналитики'!S1459)=0,12&lt;='01_Вводные'!$B$297),0,('19_Расчет_аналитики'!S1431-'19_Расчет_аналитики'!S1459)*IF('01_Вводные'!$B$239="Да",MeanMinAge12+'19_Расчет_аналитики'!S1572*SUMIF(ThresholdAge12,"&lt;"&amp;'19_Расчет_аналитики'!S1572,WeightedRevAge12)-SUMIF(ThresholdAge12,"&lt;"&amp;'19_Расчет_аналитики'!S1572,WeightedMinAge12),MAX(CapacityAge12*'01_Вводные'!$B$218*'19_Расчет_аналитики'!S1572,MeanMinAge12)))</f>
        <v/>
      </c>
      <c r="T1515">
        <f>IF(OR(('19_Расчет_аналитики'!T1431-'19_Расчет_аналитики'!T1459)=0,12&lt;='01_Вводные'!$B$297),0,('19_Расчет_аналитики'!T1431-'19_Расчет_аналитики'!T1459)*IF('01_Вводные'!$B$239="Да",MeanMinAge12+'19_Расчет_аналитики'!T1572*SUMIF(ThresholdAge12,"&lt;"&amp;'19_Расчет_аналитики'!T1572,WeightedRevAge12)-SUMIF(ThresholdAge12,"&lt;"&amp;'19_Расчет_аналитики'!T1572,WeightedMinAge12),MAX(CapacityAge12*'01_Вводные'!$B$218*'19_Расчет_аналитики'!T1572,MeanMinAge12)))</f>
        <v/>
      </c>
      <c r="U1515">
        <f>IF(OR(('19_Расчет_аналитики'!U1431-'19_Расчет_аналитики'!U1459)=0,12&lt;='01_Вводные'!$B$297),0,('19_Расчет_аналитики'!U1431-'19_Расчет_аналитики'!U1459)*IF('01_Вводные'!$B$239="Да",MeanMinAge12+'19_Расчет_аналитики'!U1572*SUMIF(ThresholdAge12,"&lt;"&amp;'19_Расчет_аналитики'!U1572,WeightedRevAge12)-SUMIF(ThresholdAge12,"&lt;"&amp;'19_Расчет_аналитики'!U1572,WeightedMinAge12),MAX(CapacityAge12*'01_Вводные'!$B$218*'19_Расчет_аналитики'!U1572,MeanMinAge12)))</f>
        <v/>
      </c>
      <c r="V1515">
        <f>IF(OR(('19_Расчет_аналитики'!V1431-'19_Расчет_аналитики'!V1459)=0,12&lt;='01_Вводные'!$B$297),0,('19_Расчет_аналитики'!V1431-'19_Расчет_аналитики'!V1459)*IF('01_Вводные'!$B$239="Да",MeanMinAge12+'19_Расчет_аналитики'!V1572*SUMIF(ThresholdAge12,"&lt;"&amp;'19_Расчет_аналитики'!V1572,WeightedRevAge12)-SUMIF(ThresholdAge12,"&lt;"&amp;'19_Расчет_аналитики'!V1572,WeightedMinAge12),MAX(CapacityAge12*'01_Вводные'!$B$218*'19_Расчет_аналитики'!V1572,MeanMinAge12)))</f>
        <v/>
      </c>
      <c r="W1515">
        <f>IF(OR(('19_Расчет_аналитики'!W1431-'19_Расчет_аналитики'!W1459)=0,12&lt;='01_Вводные'!$B$297),0,('19_Расчет_аналитики'!W1431-'19_Расчет_аналитики'!W1459)*IF('01_Вводные'!$B$239="Да",MeanMinAge12+'19_Расчет_аналитики'!W1572*SUMIF(ThresholdAge12,"&lt;"&amp;'19_Расчет_аналитики'!W1572,WeightedRevAge12)-SUMIF(ThresholdAge12,"&lt;"&amp;'19_Расчет_аналитики'!W1572,WeightedMinAge12),MAX(CapacityAge12*'01_Вводные'!$B$218*'19_Расчет_аналитики'!W1572,MeanMinAge12)))</f>
        <v/>
      </c>
      <c r="X1515">
        <f>IF(OR(('19_Расчет_аналитики'!X1431-'19_Расчет_аналитики'!X1459)=0,12&lt;='01_Вводные'!$B$297),0,('19_Расчет_аналитики'!X1431-'19_Расчет_аналитики'!X1459)*IF('01_Вводные'!$B$239="Да",MeanMinAge12+'19_Расчет_аналитики'!X1572*SUMIF(ThresholdAge12,"&lt;"&amp;'19_Расчет_аналитики'!X1572,WeightedRevAge12)-SUMIF(ThresholdAge12,"&lt;"&amp;'19_Расчет_аналитики'!X1572,WeightedMinAge12),MAX(CapacityAge12*'01_Вводные'!$B$218*'19_Расчет_аналитики'!X1572,MeanMinAge12)))</f>
        <v/>
      </c>
      <c r="Y1515">
        <f>IF(OR(('19_Расчет_аналитики'!Y1431-'19_Расчет_аналитики'!Y1459)=0,12&lt;='01_Вводные'!$B$297),0,('19_Расчет_аналитики'!Y1431-'19_Расчет_аналитики'!Y1459)*IF('01_Вводные'!$B$239="Да",MeanMinAge12+'19_Расчет_аналитики'!Y1572*SUMIF(ThresholdAge12,"&lt;"&amp;'19_Расчет_аналитики'!Y1572,WeightedRevAge12)-SUMIF(ThresholdAge12,"&lt;"&amp;'19_Расчет_аналитики'!Y1572,WeightedMinAge12),MAX(CapacityAge12*'01_Вводные'!$B$218*'19_Расчет_аналитики'!Y1572,MeanMinAge12)))</f>
        <v/>
      </c>
      <c r="Z1515">
        <f>IF(OR(('19_Расчет_аналитики'!Z1431-'19_Расчет_аналитики'!Z1459)=0,12&lt;='01_Вводные'!$B$297),0,('19_Расчет_аналитики'!Z1431-'19_Расчет_аналитики'!Z1459)*IF('01_Вводные'!$B$239="Да",MeanMinAge12+'19_Расчет_аналитики'!Z1572*SUMIF(ThresholdAge12,"&lt;"&amp;'19_Расчет_аналитики'!Z1572,WeightedRevAge12)-SUMIF(ThresholdAge12,"&lt;"&amp;'19_Расчет_аналитики'!Z1572,WeightedMinAge12),MAX(CapacityAge12*'01_Вводные'!$B$218*'19_Расчет_аналитики'!Z1572,MeanMinAge12)))</f>
        <v/>
      </c>
      <c r="AA1515">
        <f>IF(OR(('19_Расчет_аналитики'!AA1431-'19_Расчет_аналитики'!AA1459)=0,12&lt;='01_Вводные'!$B$297),0,('19_Расчет_аналитики'!AA1431-'19_Расчет_аналитики'!AA1459)*IF('01_Вводные'!$B$239="Да",MeanMinAge12+'19_Расчет_аналитики'!AA1572*SUMIF(ThresholdAge12,"&lt;"&amp;'19_Расчет_аналитики'!AA1572,WeightedRevAge12)-SUMIF(ThresholdAge12,"&lt;"&amp;'19_Расчет_аналитики'!AA1572,WeightedMinAge12),MAX(CapacityAge12*'01_Вводные'!$B$218*'19_Расчет_аналитики'!AA1572,MeanMinAge12)))</f>
        <v/>
      </c>
      <c r="AB1515">
        <f>IF(OR(('19_Расчет_аналитики'!AB1431-'19_Расчет_аналитики'!AB1459)=0,12&lt;='01_Вводные'!$B$297),0,('19_Расчет_аналитики'!AB1431-'19_Расчет_аналитики'!AB1459)*IF('01_Вводные'!$B$239="Да",MeanMinAge12+'19_Расчет_аналитики'!AB1572*SUMIF(ThresholdAge12,"&lt;"&amp;'19_Расчет_аналитики'!AB1572,WeightedRevAge12)-SUMIF(ThresholdAge12,"&lt;"&amp;'19_Расчет_аналитики'!AB1572,WeightedMinAge12),MAX(CapacityAge12*'01_Вводные'!$B$218*'19_Расчет_аналитики'!AB1572,MeanMinAge12)))</f>
        <v/>
      </c>
      <c r="AC1515">
        <f>IF(OR(('19_Расчет_аналитики'!AC1431-'19_Расчет_аналитики'!AC1459)=0,12&lt;='01_Вводные'!$B$297),0,('19_Расчет_аналитики'!AC1431-'19_Расчет_аналитики'!AC1459)*IF('01_Вводные'!$B$239="Да",MeanMinAge12+'19_Расчет_аналитики'!AC1572*SUMIF(ThresholdAge12,"&lt;"&amp;'19_Расчет_аналитики'!AC1572,WeightedRevAge12)-SUMIF(ThresholdAge12,"&lt;"&amp;'19_Расчет_аналитики'!AC1572,WeightedMinAge12),MAX(CapacityAge12*'01_Вводные'!$B$218*'19_Расчет_аналитики'!AC1572,MeanMinAge12)))</f>
        <v/>
      </c>
      <c r="AD1515">
        <f>IF(OR(('19_Расчет_аналитики'!AD1431-'19_Расчет_аналитики'!AD1459)=0,12&lt;='01_Вводные'!$B$297),0,('19_Расчет_аналитики'!AD1431-'19_Расчет_аналитики'!AD1459)*IF('01_Вводные'!$B$239="Да",MeanMinAge12+'19_Расчет_аналитики'!AD1572*SUMIF(ThresholdAge12,"&lt;"&amp;'19_Расчет_аналитики'!AD1572,WeightedRevAge12)-SUMIF(ThresholdAge12,"&lt;"&amp;'19_Расчет_аналитики'!AD1572,WeightedMinAge12),MAX(CapacityAge12*'01_Вводные'!$B$218*'19_Расчет_аналитики'!AD1572,MeanMinAge12)))</f>
        <v/>
      </c>
      <c r="AE1515">
        <f>IF(OR(('19_Расчет_аналитики'!AE1431-'19_Расчет_аналитики'!AE1459)=0,12&lt;='01_Вводные'!$B$297),0,('19_Расчет_аналитики'!AE1431-'19_Расчет_аналитики'!AE1459)*IF('01_Вводные'!$B$239="Да",MeanMinAge12+'19_Расчет_аналитики'!AE1572*SUMIF(ThresholdAge12,"&lt;"&amp;'19_Расчет_аналитики'!AE1572,WeightedRevAge12)-SUMIF(ThresholdAge12,"&lt;"&amp;'19_Расчет_аналитики'!AE1572,WeightedMinAge12),MAX(CapacityAge12*'01_Вводные'!$B$218*'19_Расчет_аналитики'!AE1572,MeanMinAge12)))</f>
        <v/>
      </c>
      <c r="AF1515">
        <f>IF(OR(('19_Расчет_аналитики'!AF1431-'19_Расчет_аналитики'!AF1459)=0,12&lt;='01_Вводные'!$B$297),0,('19_Расчет_аналитики'!AF1431-'19_Расчет_аналитики'!AF1459)*IF('01_Вводные'!$B$239="Да",MeanMinAge12+'19_Расчет_аналитики'!AF1572*SUMIF(ThresholdAge12,"&lt;"&amp;'19_Расчет_аналитики'!AF1572,WeightedRevAge12)-SUMIF(ThresholdAge12,"&lt;"&amp;'19_Расчет_аналитики'!AF1572,WeightedMinAge12),MAX(CapacityAge12*'01_Вводные'!$B$218*'19_Расчет_аналитики'!AF1572,MeanMinAge12)))</f>
        <v/>
      </c>
      <c r="AG1515">
        <f>IF(OR(('19_Расчет_аналитики'!AG1431-'19_Расчет_аналитики'!AG1459)=0,12&lt;='01_Вводные'!$B$297),0,('19_Расчет_аналитики'!AG1431-'19_Расчет_аналитики'!AG1459)*IF('01_Вводные'!$B$239="Да",MeanMinAge12+'19_Расчет_аналитики'!AG1572*SUMIF(ThresholdAge12,"&lt;"&amp;'19_Расчет_аналитики'!AG1572,WeightedRevAge12)-SUMIF(ThresholdAge12,"&lt;"&amp;'19_Расчет_аналитики'!AG1572,WeightedMinAge12),MAX(CapacityAge12*'01_Вводные'!$B$218*'19_Расчет_аналитики'!AG1572,MeanMinAge12)))</f>
        <v/>
      </c>
      <c r="AH1515">
        <f>IF(OR(('19_Расчет_аналитики'!AH1431-'19_Расчет_аналитики'!AH1459)=0,12&lt;='01_Вводные'!$B$297),0,('19_Расчет_аналитики'!AH1431-'19_Расчет_аналитики'!AH1459)*IF('01_Вводные'!$B$239="Да",MeanMinAge12+'19_Расчет_аналитики'!AH1572*SUMIF(ThresholdAge12,"&lt;"&amp;'19_Расчет_аналитики'!AH1572,WeightedRevAge12)-SUMIF(ThresholdAge12,"&lt;"&amp;'19_Расчет_аналитики'!AH1572,WeightedMinAge12),MAX(CapacityAge12*'01_Вводные'!$B$218*'19_Расчет_аналитики'!AH1572,MeanMinAge12)))</f>
        <v/>
      </c>
      <c r="AI1515">
        <f>IF(OR(('19_Расчет_аналитики'!AI1431-'19_Расчет_аналитики'!AI1459)=0,12&lt;='01_Вводные'!$B$297),0,('19_Расчет_аналитики'!AI1431-'19_Расчет_аналитики'!AI1459)*IF('01_Вводные'!$B$239="Да",MeanMinAge12+'19_Расчет_аналитики'!AI1572*SUMIF(ThresholdAge12,"&lt;"&amp;'19_Расчет_аналитики'!AI1572,WeightedRevAge12)-SUMIF(ThresholdAge12,"&lt;"&amp;'19_Расчет_аналитики'!AI1572,WeightedMinAge12),MAX(CapacityAge12*'01_Вводные'!$B$218*'19_Расчет_аналитики'!AI1572,MeanMinAge12)))</f>
        <v/>
      </c>
      <c r="AJ1515">
        <f>IF(OR(('19_Расчет_аналитики'!AJ1431-'19_Расчет_аналитики'!AJ1459)=0,12&lt;='01_Вводные'!$B$297),0,('19_Расчет_аналитики'!AJ1431-'19_Расчет_аналитики'!AJ1459)*IF('01_Вводные'!$B$239="Да",MeanMinAge12+'19_Расчет_аналитики'!AJ1572*SUMIF(ThresholdAge12,"&lt;"&amp;'19_Расчет_аналитики'!AJ1572,WeightedRevAge12)-SUMIF(ThresholdAge12,"&lt;"&amp;'19_Расчет_аналитики'!AJ1572,WeightedMinAge12),MAX(CapacityAge12*'01_Вводные'!$B$218*'19_Расчет_аналитики'!AJ1572,MeanMinAge12)))</f>
        <v/>
      </c>
      <c r="AK1515">
        <f>IF(OR(('19_Расчет_аналитики'!AK1431-'19_Расчет_аналитики'!AK1459)=0,12&lt;='01_Вводные'!$B$297),0,('19_Расчет_аналитики'!AK1431-'19_Расчет_аналитики'!AK1459)*IF('01_Вводные'!$B$239="Да",MeanMinAge12+'19_Расчет_аналитики'!AK1572*SUMIF(ThresholdAge12,"&lt;"&amp;'19_Расчет_аналитики'!AK1572,WeightedRevAge12)-SUMIF(ThresholdAge12,"&lt;"&amp;'19_Расчет_аналитики'!AK1572,WeightedMinAge12),MAX(CapacityAge12*'01_Вводные'!$B$218*'19_Расчет_аналитики'!AK1572,MeanMinAge12)))</f>
        <v/>
      </c>
      <c r="AL1515">
        <f>IF(OR(('19_Расчет_аналитики'!AL1431-'19_Расчет_аналитики'!AL1459)=0,12&lt;='01_Вводные'!$B$297),0,('19_Расчет_аналитики'!AL1431-'19_Расчет_аналитики'!AL1459)*IF('01_Вводные'!$B$239="Да",MeanMinAge12+'19_Расчет_аналитики'!AL1572*SUMIF(ThresholdAge12,"&lt;"&amp;'19_Расчет_аналитики'!AL1572,WeightedRevAge12)-SUMIF(ThresholdAge12,"&lt;"&amp;'19_Расчет_аналитики'!AL1572,WeightedMinAge12),MAX(CapacityAge12*'01_Вводные'!$B$218*'19_Расчет_аналитики'!AL1572,MeanMinAge12)))</f>
        <v/>
      </c>
      <c r="AM1515">
        <f>IF(OR(('19_Расчет_аналитики'!AM1431-'19_Расчет_аналитики'!AM1459)=0,12&lt;='01_Вводные'!$B$297),0,('19_Расчет_аналитики'!AM1431-'19_Расчет_аналитики'!AM1459)*IF('01_Вводные'!$B$239="Да",MeanMinAge12+'19_Расчет_аналитики'!AM1572*SUMIF(ThresholdAge12,"&lt;"&amp;'19_Расчет_аналитики'!AM1572,WeightedRevAge12)-SUMIF(ThresholdAge12,"&lt;"&amp;'19_Расчет_аналитики'!AM1572,WeightedMinAge12),MAX(CapacityAge12*'01_Вводные'!$B$218*'19_Расчет_аналитики'!AM1572,MeanMinAge12)))</f>
        <v/>
      </c>
      <c r="AN1515">
        <f>IF(OR(('19_Расчет_аналитики'!AN1431-'19_Расчет_аналитики'!AN1459)=0,12&lt;='01_Вводные'!$B$297),0,('19_Расчет_аналитики'!AN1431-'19_Расчет_аналитики'!AN1459)*IF('01_Вводные'!$B$239="Да",MeanMinAge12+'19_Расчет_аналитики'!AN1572*SUMIF(ThresholdAge12,"&lt;"&amp;'19_Расчет_аналитики'!AN1572,WeightedRevAge12)-SUMIF(ThresholdAge12,"&lt;"&amp;'19_Расчет_аналитики'!AN1572,WeightedMinAge12),MAX(CapacityAge12*'01_Вводные'!$B$218*'19_Расчет_аналитики'!AN1572,MeanMinAge12)))</f>
        <v/>
      </c>
      <c r="AO1515">
        <f>IF(OR(('19_Расчет_аналитики'!AO1431-'19_Расчет_аналитики'!AO1459)=0,12&lt;='01_Вводные'!$B$297),0,('19_Расчет_аналитики'!AO1431-'19_Расчет_аналитики'!AO1459)*IF('01_Вводные'!$B$239="Да",MeanMinAge12+'19_Расчет_аналитики'!AO1572*SUMIF(ThresholdAge12,"&lt;"&amp;'19_Расчет_аналитики'!AO1572,WeightedRevAge12)-SUMIF(ThresholdAge12,"&lt;"&amp;'19_Расчет_аналитики'!AO1572,WeightedMinAge12),MAX(CapacityAge12*'01_Вводные'!$B$218*'19_Расчет_аналитики'!AO1572,MeanMinAge12)))</f>
        <v/>
      </c>
      <c r="AP1515">
        <f>IF(OR(('19_Расчет_аналитики'!AP1431-'19_Расчет_аналитики'!AP1459)=0,12&lt;='01_Вводные'!$B$297),0,('19_Расчет_аналитики'!AP1431-'19_Расчет_аналитики'!AP1459)*IF('01_Вводные'!$B$239="Да",MeanMinAge12+'19_Расчет_аналитики'!AP1572*SUMIF(ThresholdAge12,"&lt;"&amp;'19_Расчет_аналитики'!AP1572,WeightedRevAge12)-SUMIF(ThresholdAge12,"&lt;"&amp;'19_Расчет_аналитики'!AP1572,WeightedMinAge12),MAX(CapacityAge12*'01_Вводные'!$B$218*'19_Расчет_аналитики'!AP1572,MeanMinAge12)))</f>
        <v/>
      </c>
      <c r="AQ1515">
        <f>IF(OR(('19_Расчет_аналитики'!AQ1431-'19_Расчет_аналитики'!AQ1459)=0,12&lt;='01_Вводные'!$B$297),0,('19_Расчет_аналитики'!AQ1431-'19_Расчет_аналитики'!AQ1459)*IF('01_Вводные'!$B$239="Да",MeanMinAge12+'19_Расчет_аналитики'!AQ1572*SUMIF(ThresholdAge12,"&lt;"&amp;'19_Расчет_аналитики'!AQ1572,WeightedRevAge12)-SUMIF(ThresholdAge12,"&lt;"&amp;'19_Расчет_аналитики'!AQ1572,WeightedMinAge12),MAX(CapacityAge12*'01_Вводные'!$B$218*'19_Расчет_аналитики'!AQ1572,MeanMinAge12)))</f>
        <v/>
      </c>
      <c r="AR1515">
        <f>IF(OR(('19_Расчет_аналитики'!AR1431-'19_Расчет_аналитики'!AR1459)=0,12&lt;='01_Вводные'!$B$297),0,('19_Расчет_аналитики'!AR1431-'19_Расчет_аналитики'!AR1459)*IF('01_Вводные'!$B$239="Да",MeanMinAge12+'19_Расчет_аналитики'!AR1572*SUMIF(ThresholdAge12,"&lt;"&amp;'19_Расчет_аналитики'!AR1572,WeightedRevAge12)-SUMIF(ThresholdAge12,"&lt;"&amp;'19_Расчет_аналитики'!AR1572,WeightedMinAge12),MAX(CapacityAge12*'01_Вводные'!$B$218*'19_Расчет_аналитики'!AR1572,MeanMinAge12)))</f>
        <v/>
      </c>
      <c r="AS1515">
        <f>IF(OR(('19_Расчет_аналитики'!AS1431-'19_Расчет_аналитики'!AS1459)=0,12&lt;='01_Вводные'!$B$297),0,('19_Расчет_аналитики'!AS1431-'19_Расчет_аналитики'!AS1459)*IF('01_Вводные'!$B$239="Да",MeanMinAge12+'19_Расчет_аналитики'!AS1572*SUMIF(ThresholdAge12,"&lt;"&amp;'19_Расчет_аналитики'!AS1572,WeightedRevAge12)-SUMIF(ThresholdAge12,"&lt;"&amp;'19_Расчет_аналитики'!AS1572,WeightedMinAge12),MAX(CapacityAge12*'01_Вводные'!$B$218*'19_Расчет_аналитики'!AS1572,MeanMinAge12)))</f>
        <v/>
      </c>
      <c r="AT1515">
        <f>IF(OR(('19_Расчет_аналитики'!AT1431-'19_Расчет_аналитики'!AT1459)=0,12&lt;='01_Вводные'!$B$297),0,('19_Расчет_аналитики'!AT1431-'19_Расчет_аналитики'!AT1459)*IF('01_Вводные'!$B$239="Да",MeanMinAge12+'19_Расчет_аналитики'!AT1572*SUMIF(ThresholdAge12,"&lt;"&amp;'19_Расчет_аналитики'!AT1572,WeightedRevAge12)-SUMIF(ThresholdAge12,"&lt;"&amp;'19_Расчет_аналитики'!AT1572,WeightedMinAge12),MAX(CapacityAge12*'01_Вводные'!$B$218*'19_Расчет_аналитики'!AT1572,MeanMinAge12)))</f>
        <v/>
      </c>
      <c r="AU1515">
        <f>IF(OR(('19_Расчет_аналитики'!AU1431-'19_Расчет_аналитики'!AU1459)=0,12&lt;='01_Вводные'!$B$297),0,('19_Расчет_аналитики'!AU1431-'19_Расчет_аналитики'!AU1459)*IF('01_Вводные'!$B$239="Да",MeanMinAge12+'19_Расчет_аналитики'!AU1572*SUMIF(ThresholdAge12,"&lt;"&amp;'19_Расчет_аналитики'!AU1572,WeightedRevAge12)-SUMIF(ThresholdAge12,"&lt;"&amp;'19_Расчет_аналитики'!AU1572,WeightedMinAge12),MAX(CapacityAge12*'01_Вводные'!$B$218*'19_Расчет_аналитики'!AU1572,MeanMinAge12)))</f>
        <v/>
      </c>
      <c r="AV1515">
        <f>IF(OR(('19_Расчет_аналитики'!AV1431-'19_Расчет_аналитики'!AV1459)=0,12&lt;='01_Вводные'!$B$297),0,('19_Расчет_аналитики'!AV1431-'19_Расчет_аналитики'!AV1459)*IF('01_Вводные'!$B$239="Да",MeanMinAge12+'19_Расчет_аналитики'!AV1572*SUMIF(ThresholdAge12,"&lt;"&amp;'19_Расчет_аналитики'!AV1572,WeightedRevAge12)-SUMIF(ThresholdAge12,"&lt;"&amp;'19_Расчет_аналитики'!AV1572,WeightedMinAge12),MAX(CapacityAge12*'01_Вводные'!$B$218*'19_Расчет_аналитики'!AV1572,MeanMinAge12)))</f>
        <v/>
      </c>
      <c r="AW1515">
        <f>IF(OR(('19_Расчет_аналитики'!AW1431-'19_Расчет_аналитики'!AW1459)=0,12&lt;='01_Вводные'!$B$297),0,('19_Расчет_аналитики'!AW1431-'19_Расчет_аналитики'!AW1459)*IF('01_Вводные'!$B$239="Да",MeanMinAge12+'19_Расчет_аналитики'!AW1572*SUMIF(ThresholdAge12,"&lt;"&amp;'19_Расчет_аналитики'!AW1572,WeightedRevAge12)-SUMIF(ThresholdAge12,"&lt;"&amp;'19_Расчет_аналитики'!AW1572,WeightedMinAge12),MAX(CapacityAge12*'01_Вводные'!$B$218*'19_Расчет_аналитики'!AW1572,MeanMinAge12)))</f>
        <v/>
      </c>
      <c r="AX1515">
        <f>IF(OR(('19_Расчет_аналитики'!AX1431-'19_Расчет_аналитики'!AX1459)=0,12&lt;='01_Вводные'!$B$297),0,('19_Расчет_аналитики'!AX1431-'19_Расчет_аналитики'!AX1459)*IF('01_Вводные'!$B$239="Да",MeanMinAge12+'19_Расчет_аналитики'!AX1572*SUMIF(ThresholdAge12,"&lt;"&amp;'19_Расчет_аналитики'!AX1572,WeightedRevAge12)-SUMIF(ThresholdAge12,"&lt;"&amp;'19_Расчет_аналитики'!AX1572,WeightedMinAge12),MAX(CapacityAge12*'01_Вводные'!$B$218*'19_Расчет_аналитики'!AX1572,MeanMinAge12)))</f>
        <v/>
      </c>
      <c r="AY1515">
        <f>IF(OR(('19_Расчет_аналитики'!AY1431-'19_Расчет_аналитики'!AY1459)=0,12&lt;='01_Вводные'!$B$297),0,('19_Расчет_аналитики'!AY1431-'19_Расчет_аналитики'!AY1459)*IF('01_Вводные'!$B$239="Да",MeanMinAge12+'19_Расчет_аналитики'!AY1572*SUMIF(ThresholdAge12,"&lt;"&amp;'19_Расчет_аналитики'!AY1572,WeightedRevAge12)-SUMIF(ThresholdAge12,"&lt;"&amp;'19_Расчет_аналитики'!AY1572,WeightedMinAge12),MAX(CapacityAge12*'01_Вводные'!$B$218*'19_Расчет_аналитики'!AY1572,MeanMinAge12)))</f>
        <v/>
      </c>
      <c r="AZ1515">
        <f>IF(OR(('19_Расчет_аналитики'!AZ1431-'19_Расчет_аналитики'!AZ1459)=0,12&lt;='01_Вводные'!$B$297),0,('19_Расчет_аналитики'!AZ1431-'19_Расчет_аналитики'!AZ1459)*IF('01_Вводные'!$B$239="Да",MeanMinAge12+'19_Расчет_аналитики'!AZ1572*SUMIF(ThresholdAge12,"&lt;"&amp;'19_Расчет_аналитики'!AZ1572,WeightedRevAge12)-SUMIF(ThresholdAge12,"&lt;"&amp;'19_Расчет_аналитики'!AZ1572,WeightedMinAge12),MAX(CapacityAge12*'01_Вводные'!$B$218*'19_Расчет_аналитики'!AZ1572,MeanMinAge12)))</f>
        <v/>
      </c>
      <c r="BA1515">
        <f>IF(OR(('19_Расчет_аналитики'!BA1431-'19_Расчет_аналитики'!BA1459)=0,12&lt;='01_Вводные'!$B$297),0,('19_Расчет_аналитики'!BA1431-'19_Расчет_аналитики'!BA1459)*IF('01_Вводные'!$B$239="Да",MeanMinAge12+'19_Расчет_аналитики'!BA1572*SUMIF(ThresholdAge12,"&lt;"&amp;'19_Расчет_аналитики'!BA1572,WeightedRevAge12)-SUMIF(ThresholdAge12,"&lt;"&amp;'19_Расчет_аналитики'!BA1572,WeightedMinAge12),MAX(CapacityAge12*'01_Вводные'!$B$218*'19_Расчет_аналитики'!BA1572,MeanMinAge12)))</f>
        <v/>
      </c>
      <c r="BB1515">
        <f>IF(OR(('19_Расчет_аналитики'!BB1431-'19_Расчет_аналитики'!BB1459)=0,12&lt;='01_Вводные'!$B$297),0,('19_Расчет_аналитики'!BB1431-'19_Расчет_аналитики'!BB1459)*IF('01_Вводные'!$B$239="Да",MeanMinAge12+'19_Расчет_аналитики'!BB1572*SUMIF(ThresholdAge12,"&lt;"&amp;'19_Расчет_аналитики'!BB1572,WeightedRevAge12)-SUMIF(ThresholdAge12,"&lt;"&amp;'19_Расчет_аналитики'!BB1572,WeightedMinAge12),MAX(CapacityAge12*'01_Вводные'!$B$218*'19_Расчет_аналитики'!BB1572,MeanMinAge12)))</f>
        <v/>
      </c>
      <c r="BC1515">
        <f>IF(OR(('19_Расчет_аналитики'!BC1431-'19_Расчет_аналитики'!BC1459)=0,12&lt;='01_Вводные'!$B$297),0,('19_Расчет_аналитики'!BC1431-'19_Расчет_аналитики'!BC1459)*IF('01_Вводные'!$B$239="Да",MeanMinAge12+'19_Расчет_аналитики'!BC1572*SUMIF(ThresholdAge12,"&lt;"&amp;'19_Расчет_аналитики'!BC1572,WeightedRevAge12)-SUMIF(ThresholdAge12,"&lt;"&amp;'19_Расчет_аналитики'!BC1572,WeightedMinAge12),MAX(CapacityAge12*'01_Вводные'!$B$218*'19_Расчет_аналитики'!BC1572,MeanMinAge12)))</f>
        <v/>
      </c>
      <c r="BD1515">
        <f>IF(OR(('19_Расчет_аналитики'!BD1431-'19_Расчет_аналитики'!BD1459)=0,12&lt;='01_Вводные'!$B$297),0,('19_Расчет_аналитики'!BD1431-'19_Расчет_аналитики'!BD1459)*IF('01_Вводные'!$B$239="Да",MeanMinAge12+'19_Расчет_аналитики'!BD1572*SUMIF(ThresholdAge12,"&lt;"&amp;'19_Расчет_аналитики'!BD1572,WeightedRevAge12)-SUMIF(ThresholdAge12,"&lt;"&amp;'19_Расчет_аналитики'!BD1572,WeightedMinAge12),MAX(CapacityAge12*'01_Вводные'!$B$218*'19_Расчет_аналитики'!BD1572,MeanMinAge12)))</f>
        <v/>
      </c>
      <c r="BE1515">
        <f>IF(OR(('19_Расчет_аналитики'!BE1431-'19_Расчет_аналитики'!BE1459)=0,12&lt;='01_Вводные'!$B$297),0,('19_Расчет_аналитики'!BE1431-'19_Расчет_аналитики'!BE1459)*IF('01_Вводные'!$B$239="Да",MeanMinAge12+'19_Расчет_аналитики'!BE1572*SUMIF(ThresholdAge12,"&lt;"&amp;'19_Расчет_аналитики'!BE1572,WeightedRevAge12)-SUMIF(ThresholdAge12,"&lt;"&amp;'19_Расчет_аналитики'!BE1572,WeightedMinAge12),MAX(CapacityAge12*'01_Вводные'!$B$218*'19_Расчет_аналитики'!BE1572,MeanMinAge12)))</f>
        <v/>
      </c>
      <c r="BF1515">
        <f>IF(OR(('19_Расчет_аналитики'!BF1431-'19_Расчет_аналитики'!BF1459)=0,12&lt;='01_Вводные'!$B$297),0,('19_Расчет_аналитики'!BF1431-'19_Расчет_аналитики'!BF1459)*IF('01_Вводные'!$B$239="Да",MeanMinAge12+'19_Расчет_аналитики'!BF1572*SUMIF(ThresholdAge12,"&lt;"&amp;'19_Расчет_аналитики'!BF1572,WeightedRevAge12)-SUMIF(ThresholdAge12,"&lt;"&amp;'19_Расчет_аналитики'!BF1572,WeightedMinAge12),MAX(CapacityAge12*'01_Вводные'!$B$218*'19_Расчет_аналитики'!BF1572,MeanMinAge12)))</f>
        <v/>
      </c>
      <c r="BG1515">
        <f>IF(OR(('19_Расчет_аналитики'!BG1431-'19_Расчет_аналитики'!BG1459)=0,12&lt;='01_Вводные'!$B$297),0,('19_Расчет_аналитики'!BG1431-'19_Расчет_аналитики'!BG1459)*IF('01_Вводные'!$B$239="Да",MeanMinAge12+'19_Расчет_аналитики'!BG1572*SUMIF(ThresholdAge12,"&lt;"&amp;'19_Расчет_аналитики'!BG1572,WeightedRevAge12)-SUMIF(ThresholdAge12,"&lt;"&amp;'19_Расчет_аналитики'!BG1572,WeightedMinAge12),MAX(CapacityAge12*'01_Вводные'!$B$218*'19_Расчет_аналитики'!BG1572,MeanMinAge12)))</f>
        <v/>
      </c>
      <c r="BH1515">
        <f>IF(OR(('19_Расчет_аналитики'!BH1431-'19_Расчет_аналитики'!BH1459)=0,12&lt;='01_Вводные'!$B$297),0,('19_Расчет_аналитики'!BH1431-'19_Расчет_аналитики'!BH1459)*IF('01_Вводные'!$B$239="Да",MeanMinAge12+'19_Расчет_аналитики'!BH1572*SUMIF(ThresholdAge12,"&lt;"&amp;'19_Расчет_аналитики'!BH1572,WeightedRevAge12)-SUMIF(ThresholdAge12,"&lt;"&amp;'19_Расчет_аналитики'!BH1572,WeightedMinAge12),MAX(CapacityAge12*'01_Вводные'!$B$218*'19_Расчет_аналитики'!BH1572,MeanMinAge12)))</f>
        <v/>
      </c>
      <c r="BI1515">
        <f>IF(OR(('19_Расчет_аналитики'!BI1431-'19_Расчет_аналитики'!BI1459)=0,12&lt;='01_Вводные'!$B$297),0,('19_Расчет_аналитики'!BI1431-'19_Расчет_аналитики'!BI1459)*IF('01_Вводные'!$B$239="Да",MeanMinAge12+'19_Расчет_аналитики'!BI1572*SUMIF(ThresholdAge12,"&lt;"&amp;'19_Расчет_аналитики'!BI1572,WeightedRevAge12)-SUMIF(ThresholdAge12,"&lt;"&amp;'19_Расчет_аналитики'!BI1572,WeightedMinAge12),MAX(CapacityAge12*'01_Вводные'!$B$218*'19_Расчет_аналитики'!BI1572,MeanMinAge12)))</f>
        <v/>
      </c>
      <c r="BJ1515">
        <f>IF(OR(('19_Расчет_аналитики'!BJ1431-'19_Расчет_аналитики'!BJ1459)=0,12&lt;='01_Вводные'!$B$297),0,('19_Расчет_аналитики'!BJ1431-'19_Расчет_аналитики'!BJ1459)*IF('01_Вводные'!$B$239="Да",MeanMinAge12+'19_Расчет_аналитики'!BJ1572*SUMIF(ThresholdAge12,"&lt;"&amp;'19_Расчет_аналитики'!BJ1572,WeightedRevAge12)-SUMIF(ThresholdAge12,"&lt;"&amp;'19_Расчет_аналитики'!BJ1572,WeightedMinAge12),MAX(CapacityAge12*'01_Вводные'!$B$218*'19_Расчет_аналитики'!BJ1572,MeanMinAge12)))</f>
        <v/>
      </c>
      <c r="BK1515">
        <f>IF(OR(('19_Расчет_аналитики'!BK1431-'19_Расчет_аналитики'!BK1459)=0,12&lt;='01_Вводные'!$B$297),0,('19_Расчет_аналитики'!BK1431-'19_Расчет_аналитики'!BK1459)*IF('01_Вводные'!$B$239="Да",MeanMinAge12+'19_Расчет_аналитики'!BK1572*SUMIF(ThresholdAge12,"&lt;"&amp;'19_Расчет_аналитики'!BK1572,WeightedRevAge12)-SUMIF(ThresholdAge12,"&lt;"&amp;'19_Расчет_аналитики'!BK1572,WeightedMinAge12),MAX(CapacityAge12*'01_Вводные'!$B$218*'19_Расчет_аналитики'!BK1572,MeanMinAge12)))</f>
        <v/>
      </c>
      <c r="BL1515">
        <f>IF(OR(('19_Расчет_аналитики'!BL1431-'19_Расчет_аналитики'!BL1459)=0,12&lt;='01_Вводные'!$B$297),0,('19_Расчет_аналитики'!BL1431-'19_Расчет_аналитики'!BL1459)*IF('01_Вводные'!$B$239="Да",MeanMinAge12+'19_Расчет_аналитики'!BL1572*SUMIF(ThresholdAge12,"&lt;"&amp;'19_Расчет_аналитики'!BL1572,WeightedRevAge12)-SUMIF(ThresholdAge12,"&lt;"&amp;'19_Расчет_аналитики'!BL1572,WeightedMinAge12),MAX(CapacityAge12*'01_Вводные'!$B$218*'19_Расчет_аналитики'!BL1572,MeanMinAge12)))</f>
        <v/>
      </c>
      <c r="BM1515">
        <f>IF(OR(('19_Расчет_аналитики'!BM1431-'19_Расчет_аналитики'!BM1459)=0,12&lt;='01_Вводные'!$B$297),0,('19_Расчет_аналитики'!BM1431-'19_Расчет_аналитики'!BM1459)*IF('01_Вводные'!$B$239="Да",MeanMinAge12+'19_Расчет_аналитики'!BM1572*SUMIF(ThresholdAge12,"&lt;"&amp;'19_Расчет_аналитики'!BM1572,WeightedRevAge12)-SUMIF(ThresholdAge12,"&lt;"&amp;'19_Расчет_аналитики'!BM1572,WeightedMinAge12),MAX(CapacityAge12*'01_Вводные'!$B$218*'19_Расчет_аналитики'!BM1572,MeanMinAge12)))</f>
        <v/>
      </c>
      <c r="BN1515">
        <f>IF(OR(('19_Расчет_аналитики'!BN1431-'19_Расчет_аналитики'!BN1459)=0,12&lt;='01_Вводные'!$B$297),0,('19_Расчет_аналитики'!BN1431-'19_Расчет_аналитики'!BN1459)*IF('01_Вводные'!$B$239="Да",MeanMinAge12+'19_Расчет_аналитики'!BN1572*SUMIF(ThresholdAge12,"&lt;"&amp;'19_Расчет_аналитики'!BN1572,WeightedRevAge12)-SUMIF(ThresholdAge12,"&lt;"&amp;'19_Расчет_аналитики'!BN1572,WeightedMinAge12),MAX(CapacityAge12*'01_Вводные'!$B$218*'19_Расчет_аналитики'!BN1572,MeanMinAge12)))</f>
        <v/>
      </c>
      <c r="BO1515">
        <f>IF(OR(('19_Расчет_аналитики'!BO1431-'19_Расчет_аналитики'!BO1459)=0,12&lt;='01_Вводные'!$B$297),0,('19_Расчет_аналитики'!BO1431-'19_Расчет_аналитики'!BO1459)*IF('01_Вводные'!$B$239="Да",MeanMinAge12+'19_Расчет_аналитики'!BO1572*SUMIF(ThresholdAge12,"&lt;"&amp;'19_Расчет_аналитики'!BO1572,WeightedRevAge12)-SUMIF(ThresholdAge12,"&lt;"&amp;'19_Расчет_аналитики'!BO1572,WeightedMinAge12),MAX(CapacityAge12*'01_Вводные'!$B$218*'19_Расчет_аналитики'!BO1572,MeanMinAge12)))</f>
        <v/>
      </c>
    </row>
    <row r="1516">
      <c r="B1516">
        <f>IF(OR(('06_Сеть_и_дети'!B65-'06_Сеть_и_дети'!B93)=0,13&lt;='01_Вводные'!$B$297),0,('06_Сеть_и_дети'!B65-'06_Сеть_и_дети'!B93)*IF('01_Вводные'!$B$239="Да",MeanMinAge13+'19_Расчет_аналитики'!B1572*SUMIF(ThresholdAge13,"&lt;"&amp;'19_Расчет_аналитики'!B1572,WeightedRevAge13)-SUMIF(ThresholdAge13,"&lt;"&amp;'19_Расчет_аналитики'!B1572,WeightedMinAge13),MAX(CapacityAge13*'01_Вводные'!$B$218*'19_Расчет_аналитики'!B1572,MeanMinAge13)))</f>
        <v/>
      </c>
      <c r="C1516">
        <f>IF(OR(('06_Сеть_и_дети'!C65-'06_Сеть_и_дети'!C93)=0,13&lt;='01_Вводные'!$B$297),0,('06_Сеть_и_дети'!C65-'06_Сеть_и_дети'!C93)*IF('01_Вводные'!$B$239="Да",MeanMinAge13+'19_Расчет_аналитики'!C1572*SUMIF(ThresholdAge13,"&lt;"&amp;'19_Расчет_аналитики'!C1572,WeightedRevAge13)-SUMIF(ThresholdAge13,"&lt;"&amp;'19_Расчет_аналитики'!C1572,WeightedMinAge13),MAX(CapacityAge13*'01_Вводные'!$B$218*'19_Расчет_аналитики'!C1572,MeanMinAge13)))</f>
        <v/>
      </c>
      <c r="D1516">
        <f>IF(OR(('06_Сеть_и_дети'!D65-'06_Сеть_и_дети'!D93)=0,13&lt;='01_Вводные'!$B$297),0,('06_Сеть_и_дети'!D65-'06_Сеть_и_дети'!D93)*IF('01_Вводные'!$B$239="Да",MeanMinAge13+'19_Расчет_аналитики'!D1572*SUMIF(ThresholdAge13,"&lt;"&amp;'19_Расчет_аналитики'!D1572,WeightedRevAge13)-SUMIF(ThresholdAge13,"&lt;"&amp;'19_Расчет_аналитики'!D1572,WeightedMinAge13),MAX(CapacityAge13*'01_Вводные'!$B$218*'19_Расчет_аналитики'!D1572,MeanMinAge13)))</f>
        <v/>
      </c>
      <c r="E1516">
        <f>IF(OR(('06_Сеть_и_дети'!E65-'06_Сеть_и_дети'!E93)=0,13&lt;='01_Вводные'!$B$297),0,('06_Сеть_и_дети'!E65-'06_Сеть_и_дети'!E93)*IF('01_Вводные'!$B$239="Да",MeanMinAge13+'19_Расчет_аналитики'!E1572*SUMIF(ThresholdAge13,"&lt;"&amp;'19_Расчет_аналитики'!E1572,WeightedRevAge13)-SUMIF(ThresholdAge13,"&lt;"&amp;'19_Расчет_аналитики'!E1572,WeightedMinAge13),MAX(CapacityAge13*'01_Вводные'!$B$218*'19_Расчет_аналитики'!E1572,MeanMinAge13)))</f>
        <v/>
      </c>
      <c r="F1516">
        <f>IF(OR(('06_Сеть_и_дети'!F65-'06_Сеть_и_дети'!F93)=0,13&lt;='01_Вводные'!$B$297),0,('06_Сеть_и_дети'!F65-'06_Сеть_и_дети'!F93)*IF('01_Вводные'!$B$239="Да",MeanMinAge13+'19_Расчет_аналитики'!F1572*SUMIF(ThresholdAge13,"&lt;"&amp;'19_Расчет_аналитики'!F1572,WeightedRevAge13)-SUMIF(ThresholdAge13,"&lt;"&amp;'19_Расчет_аналитики'!F1572,WeightedMinAge13),MAX(CapacityAge13*'01_Вводные'!$B$218*'19_Расчет_аналитики'!F1572,MeanMinAge13)))</f>
        <v/>
      </c>
      <c r="G1516">
        <f>IF(OR(('06_Сеть_и_дети'!G65-'06_Сеть_и_дети'!G93)=0,13&lt;='01_Вводные'!$B$297),0,('06_Сеть_и_дети'!G65-'06_Сеть_и_дети'!G93)*IF('01_Вводные'!$B$239="Да",MeanMinAge13+'19_Расчет_аналитики'!G1572*SUMIF(ThresholdAge13,"&lt;"&amp;'19_Расчет_аналитики'!G1572,WeightedRevAge13)-SUMIF(ThresholdAge13,"&lt;"&amp;'19_Расчет_аналитики'!G1572,WeightedMinAge13),MAX(CapacityAge13*'01_Вводные'!$B$218*'19_Расчет_аналитики'!G1572,MeanMinAge13)))</f>
        <v/>
      </c>
      <c r="H1516">
        <f>IF(OR(('06_Сеть_и_дети'!H65-'06_Сеть_и_дети'!H93)=0,13&lt;='01_Вводные'!$B$297),0,('06_Сеть_и_дети'!H65-'06_Сеть_и_дети'!H93)*IF('01_Вводные'!$B$239="Да",MeanMinAge13+'19_Расчет_аналитики'!H1572*SUMIF(ThresholdAge13,"&lt;"&amp;'19_Расчет_аналитики'!H1572,WeightedRevAge13)-SUMIF(ThresholdAge13,"&lt;"&amp;'19_Расчет_аналитики'!H1572,WeightedMinAge13),MAX(CapacityAge13*'01_Вводные'!$B$218*'19_Расчет_аналитики'!H1572,MeanMinAge13)))</f>
        <v/>
      </c>
      <c r="I1516">
        <f>IF(OR(('06_Сеть_и_дети'!I65-'06_Сеть_и_дети'!I93)=0,13&lt;='01_Вводные'!$B$297),0,('06_Сеть_и_дети'!I65-'06_Сеть_и_дети'!I93)*IF('01_Вводные'!$B$239="Да",MeanMinAge13+'19_Расчет_аналитики'!I1572*SUMIF(ThresholdAge13,"&lt;"&amp;'19_Расчет_аналитики'!I1572,WeightedRevAge13)-SUMIF(ThresholdAge13,"&lt;"&amp;'19_Расчет_аналитики'!I1572,WeightedMinAge13),MAX(CapacityAge13*'01_Вводные'!$B$218*'19_Расчет_аналитики'!I1572,MeanMinAge13)))</f>
        <v/>
      </c>
      <c r="J1516">
        <f>IF(OR(('06_Сеть_и_дети'!J65-'06_Сеть_и_дети'!J93)=0,13&lt;='01_Вводные'!$B$297),0,('06_Сеть_и_дети'!J65-'06_Сеть_и_дети'!J93)*IF('01_Вводные'!$B$239="Да",MeanMinAge13+'19_Расчет_аналитики'!J1572*SUMIF(ThresholdAge13,"&lt;"&amp;'19_Расчет_аналитики'!J1572,WeightedRevAge13)-SUMIF(ThresholdAge13,"&lt;"&amp;'19_Расчет_аналитики'!J1572,WeightedMinAge13),MAX(CapacityAge13*'01_Вводные'!$B$218*'19_Расчет_аналитики'!J1572,MeanMinAge13)))</f>
        <v/>
      </c>
      <c r="K1516">
        <f>IF(OR(('06_Сеть_и_дети'!K65-'06_Сеть_и_дети'!K93)=0,13&lt;='01_Вводные'!$B$297),0,('06_Сеть_и_дети'!K65-'06_Сеть_и_дети'!K93)*IF('01_Вводные'!$B$239="Да",MeanMinAge13+'19_Расчет_аналитики'!K1572*SUMIF(ThresholdAge13,"&lt;"&amp;'19_Расчет_аналитики'!K1572,WeightedRevAge13)-SUMIF(ThresholdAge13,"&lt;"&amp;'19_Расчет_аналитики'!K1572,WeightedMinAge13),MAX(CapacityAge13*'01_Вводные'!$B$218*'19_Расчет_аналитики'!K1572,MeanMinAge13)))</f>
        <v/>
      </c>
      <c r="L1516">
        <f>IF(OR(('06_Сеть_и_дети'!L65-'06_Сеть_и_дети'!L93)=0,13&lt;='01_Вводные'!$B$297),0,('06_Сеть_и_дети'!L65-'06_Сеть_и_дети'!L93)*IF('01_Вводные'!$B$239="Да",MeanMinAge13+'19_Расчет_аналитики'!L1572*SUMIF(ThresholdAge13,"&lt;"&amp;'19_Расчет_аналитики'!L1572,WeightedRevAge13)-SUMIF(ThresholdAge13,"&lt;"&amp;'19_Расчет_аналитики'!L1572,WeightedMinAge13),MAX(CapacityAge13*'01_Вводные'!$B$218*'19_Расчет_аналитики'!L1572,MeanMinAge13)))</f>
        <v/>
      </c>
      <c r="M1516">
        <f>IF(OR(('06_Сеть_и_дети'!M65-'06_Сеть_и_дети'!M93)=0,13&lt;='01_Вводные'!$B$297),0,('06_Сеть_и_дети'!M65-'06_Сеть_и_дети'!M93)*IF('01_Вводные'!$B$239="Да",MeanMinAge13+'19_Расчет_аналитики'!M1572*SUMIF(ThresholdAge13,"&lt;"&amp;'19_Расчет_аналитики'!M1572,WeightedRevAge13)-SUMIF(ThresholdAge13,"&lt;"&amp;'19_Расчет_аналитики'!M1572,WeightedMinAge13),MAX(CapacityAge13*'01_Вводные'!$B$218*'19_Расчет_аналитики'!M1572,MeanMinAge13)))</f>
        <v/>
      </c>
      <c r="N1516">
        <f>IF(OR(('19_Расчет_аналитики'!N1432-'19_Расчет_аналитики'!N1460)=0,13&lt;='01_Вводные'!$B$297),0,('19_Расчет_аналитики'!N1432-'19_Расчет_аналитики'!N1460)*IF('01_Вводные'!$B$239="Да",MeanMinAge13+'19_Расчет_аналитики'!N1572*SUMIF(ThresholdAge13,"&lt;"&amp;'19_Расчет_аналитики'!N1572,WeightedRevAge13)-SUMIF(ThresholdAge13,"&lt;"&amp;'19_Расчет_аналитики'!N1572,WeightedMinAge13),MAX(CapacityAge13*'01_Вводные'!$B$218*'19_Расчет_аналитики'!N1572,MeanMinAge13)))</f>
        <v/>
      </c>
      <c r="O1516">
        <f>IF(OR(('19_Расчет_аналитики'!O1432-'19_Расчет_аналитики'!O1460)=0,13&lt;='01_Вводные'!$B$297),0,('19_Расчет_аналитики'!O1432-'19_Расчет_аналитики'!O1460)*IF('01_Вводные'!$B$239="Да",MeanMinAge13+'19_Расчет_аналитики'!O1572*SUMIF(ThresholdAge13,"&lt;"&amp;'19_Расчет_аналитики'!O1572,WeightedRevAge13)-SUMIF(ThresholdAge13,"&lt;"&amp;'19_Расчет_аналитики'!O1572,WeightedMinAge13),MAX(CapacityAge13*'01_Вводные'!$B$218*'19_Расчет_аналитики'!O1572,MeanMinAge13)))</f>
        <v/>
      </c>
      <c r="P1516">
        <f>IF(OR(('19_Расчет_аналитики'!P1432-'19_Расчет_аналитики'!P1460)=0,13&lt;='01_Вводные'!$B$297),0,('19_Расчет_аналитики'!P1432-'19_Расчет_аналитики'!P1460)*IF('01_Вводные'!$B$239="Да",MeanMinAge13+'19_Расчет_аналитики'!P1572*SUMIF(ThresholdAge13,"&lt;"&amp;'19_Расчет_аналитики'!P1572,WeightedRevAge13)-SUMIF(ThresholdAge13,"&lt;"&amp;'19_Расчет_аналитики'!P1572,WeightedMinAge13),MAX(CapacityAge13*'01_Вводные'!$B$218*'19_Расчет_аналитики'!P1572,MeanMinAge13)))</f>
        <v/>
      </c>
      <c r="Q1516">
        <f>IF(OR(('19_Расчет_аналитики'!Q1432-'19_Расчет_аналитики'!Q1460)=0,13&lt;='01_Вводные'!$B$297),0,('19_Расчет_аналитики'!Q1432-'19_Расчет_аналитики'!Q1460)*IF('01_Вводные'!$B$239="Да",MeanMinAge13+'19_Расчет_аналитики'!Q1572*SUMIF(ThresholdAge13,"&lt;"&amp;'19_Расчет_аналитики'!Q1572,WeightedRevAge13)-SUMIF(ThresholdAge13,"&lt;"&amp;'19_Расчет_аналитики'!Q1572,WeightedMinAge13),MAX(CapacityAge13*'01_Вводные'!$B$218*'19_Расчет_аналитики'!Q1572,MeanMinAge13)))</f>
        <v/>
      </c>
      <c r="R1516">
        <f>IF(OR(('19_Расчет_аналитики'!R1432-'19_Расчет_аналитики'!R1460)=0,13&lt;='01_Вводные'!$B$297),0,('19_Расчет_аналитики'!R1432-'19_Расчет_аналитики'!R1460)*IF('01_Вводные'!$B$239="Да",MeanMinAge13+'19_Расчет_аналитики'!R1572*SUMIF(ThresholdAge13,"&lt;"&amp;'19_Расчет_аналитики'!R1572,WeightedRevAge13)-SUMIF(ThresholdAge13,"&lt;"&amp;'19_Расчет_аналитики'!R1572,WeightedMinAge13),MAX(CapacityAge13*'01_Вводные'!$B$218*'19_Расчет_аналитики'!R1572,MeanMinAge13)))</f>
        <v/>
      </c>
      <c r="S1516">
        <f>IF(OR(('19_Расчет_аналитики'!S1432-'19_Расчет_аналитики'!S1460)=0,13&lt;='01_Вводные'!$B$297),0,('19_Расчет_аналитики'!S1432-'19_Расчет_аналитики'!S1460)*IF('01_Вводные'!$B$239="Да",MeanMinAge13+'19_Расчет_аналитики'!S1572*SUMIF(ThresholdAge13,"&lt;"&amp;'19_Расчет_аналитики'!S1572,WeightedRevAge13)-SUMIF(ThresholdAge13,"&lt;"&amp;'19_Расчет_аналитики'!S1572,WeightedMinAge13),MAX(CapacityAge13*'01_Вводные'!$B$218*'19_Расчет_аналитики'!S1572,MeanMinAge13)))</f>
        <v/>
      </c>
      <c r="T1516">
        <f>IF(OR(('19_Расчет_аналитики'!T1432-'19_Расчет_аналитики'!T1460)=0,13&lt;='01_Вводные'!$B$297),0,('19_Расчет_аналитики'!T1432-'19_Расчет_аналитики'!T1460)*IF('01_Вводные'!$B$239="Да",MeanMinAge13+'19_Расчет_аналитики'!T1572*SUMIF(ThresholdAge13,"&lt;"&amp;'19_Расчет_аналитики'!T1572,WeightedRevAge13)-SUMIF(ThresholdAge13,"&lt;"&amp;'19_Расчет_аналитики'!T1572,WeightedMinAge13),MAX(CapacityAge13*'01_Вводные'!$B$218*'19_Расчет_аналитики'!T1572,MeanMinAge13)))</f>
        <v/>
      </c>
      <c r="U1516">
        <f>IF(OR(('19_Расчет_аналитики'!U1432-'19_Расчет_аналитики'!U1460)=0,13&lt;='01_Вводные'!$B$297),0,('19_Расчет_аналитики'!U1432-'19_Расчет_аналитики'!U1460)*IF('01_Вводные'!$B$239="Да",MeanMinAge13+'19_Расчет_аналитики'!U1572*SUMIF(ThresholdAge13,"&lt;"&amp;'19_Расчет_аналитики'!U1572,WeightedRevAge13)-SUMIF(ThresholdAge13,"&lt;"&amp;'19_Расчет_аналитики'!U1572,WeightedMinAge13),MAX(CapacityAge13*'01_Вводные'!$B$218*'19_Расчет_аналитики'!U1572,MeanMinAge13)))</f>
        <v/>
      </c>
      <c r="V1516">
        <f>IF(OR(('19_Расчет_аналитики'!V1432-'19_Расчет_аналитики'!V1460)=0,13&lt;='01_Вводные'!$B$297),0,('19_Расчет_аналитики'!V1432-'19_Расчет_аналитики'!V1460)*IF('01_Вводные'!$B$239="Да",MeanMinAge13+'19_Расчет_аналитики'!V1572*SUMIF(ThresholdAge13,"&lt;"&amp;'19_Расчет_аналитики'!V1572,WeightedRevAge13)-SUMIF(ThresholdAge13,"&lt;"&amp;'19_Расчет_аналитики'!V1572,WeightedMinAge13),MAX(CapacityAge13*'01_Вводные'!$B$218*'19_Расчет_аналитики'!V1572,MeanMinAge13)))</f>
        <v/>
      </c>
      <c r="W1516">
        <f>IF(OR(('19_Расчет_аналитики'!W1432-'19_Расчет_аналитики'!W1460)=0,13&lt;='01_Вводные'!$B$297),0,('19_Расчет_аналитики'!W1432-'19_Расчет_аналитики'!W1460)*IF('01_Вводные'!$B$239="Да",MeanMinAge13+'19_Расчет_аналитики'!W1572*SUMIF(ThresholdAge13,"&lt;"&amp;'19_Расчет_аналитики'!W1572,WeightedRevAge13)-SUMIF(ThresholdAge13,"&lt;"&amp;'19_Расчет_аналитики'!W1572,WeightedMinAge13),MAX(CapacityAge13*'01_Вводные'!$B$218*'19_Расчет_аналитики'!W1572,MeanMinAge13)))</f>
        <v/>
      </c>
      <c r="X1516">
        <f>IF(OR(('19_Расчет_аналитики'!X1432-'19_Расчет_аналитики'!X1460)=0,13&lt;='01_Вводные'!$B$297),0,('19_Расчет_аналитики'!X1432-'19_Расчет_аналитики'!X1460)*IF('01_Вводные'!$B$239="Да",MeanMinAge13+'19_Расчет_аналитики'!X1572*SUMIF(ThresholdAge13,"&lt;"&amp;'19_Расчет_аналитики'!X1572,WeightedRevAge13)-SUMIF(ThresholdAge13,"&lt;"&amp;'19_Расчет_аналитики'!X1572,WeightedMinAge13),MAX(CapacityAge13*'01_Вводные'!$B$218*'19_Расчет_аналитики'!X1572,MeanMinAge13)))</f>
        <v/>
      </c>
      <c r="Y1516">
        <f>IF(OR(('19_Расчет_аналитики'!Y1432-'19_Расчет_аналитики'!Y1460)=0,13&lt;='01_Вводные'!$B$297),0,('19_Расчет_аналитики'!Y1432-'19_Расчет_аналитики'!Y1460)*IF('01_Вводные'!$B$239="Да",MeanMinAge13+'19_Расчет_аналитики'!Y1572*SUMIF(ThresholdAge13,"&lt;"&amp;'19_Расчет_аналитики'!Y1572,WeightedRevAge13)-SUMIF(ThresholdAge13,"&lt;"&amp;'19_Расчет_аналитики'!Y1572,WeightedMinAge13),MAX(CapacityAge13*'01_Вводные'!$B$218*'19_Расчет_аналитики'!Y1572,MeanMinAge13)))</f>
        <v/>
      </c>
      <c r="Z1516">
        <f>IF(OR(('19_Расчет_аналитики'!Z1432-'19_Расчет_аналитики'!Z1460)=0,13&lt;='01_Вводные'!$B$297),0,('19_Расчет_аналитики'!Z1432-'19_Расчет_аналитики'!Z1460)*IF('01_Вводные'!$B$239="Да",MeanMinAge13+'19_Расчет_аналитики'!Z1572*SUMIF(ThresholdAge13,"&lt;"&amp;'19_Расчет_аналитики'!Z1572,WeightedRevAge13)-SUMIF(ThresholdAge13,"&lt;"&amp;'19_Расчет_аналитики'!Z1572,WeightedMinAge13),MAX(CapacityAge13*'01_Вводные'!$B$218*'19_Расчет_аналитики'!Z1572,MeanMinAge13)))</f>
        <v/>
      </c>
      <c r="AA1516">
        <f>IF(OR(('19_Расчет_аналитики'!AA1432-'19_Расчет_аналитики'!AA1460)=0,13&lt;='01_Вводные'!$B$297),0,('19_Расчет_аналитики'!AA1432-'19_Расчет_аналитики'!AA1460)*IF('01_Вводные'!$B$239="Да",MeanMinAge13+'19_Расчет_аналитики'!AA1572*SUMIF(ThresholdAge13,"&lt;"&amp;'19_Расчет_аналитики'!AA1572,WeightedRevAge13)-SUMIF(ThresholdAge13,"&lt;"&amp;'19_Расчет_аналитики'!AA1572,WeightedMinAge13),MAX(CapacityAge13*'01_Вводные'!$B$218*'19_Расчет_аналитики'!AA1572,MeanMinAge13)))</f>
        <v/>
      </c>
      <c r="AB1516">
        <f>IF(OR(('19_Расчет_аналитики'!AB1432-'19_Расчет_аналитики'!AB1460)=0,13&lt;='01_Вводные'!$B$297),0,('19_Расчет_аналитики'!AB1432-'19_Расчет_аналитики'!AB1460)*IF('01_Вводные'!$B$239="Да",MeanMinAge13+'19_Расчет_аналитики'!AB1572*SUMIF(ThresholdAge13,"&lt;"&amp;'19_Расчет_аналитики'!AB1572,WeightedRevAge13)-SUMIF(ThresholdAge13,"&lt;"&amp;'19_Расчет_аналитики'!AB1572,WeightedMinAge13),MAX(CapacityAge13*'01_Вводные'!$B$218*'19_Расчет_аналитики'!AB1572,MeanMinAge13)))</f>
        <v/>
      </c>
      <c r="AC1516">
        <f>IF(OR(('19_Расчет_аналитики'!AC1432-'19_Расчет_аналитики'!AC1460)=0,13&lt;='01_Вводные'!$B$297),0,('19_Расчет_аналитики'!AC1432-'19_Расчет_аналитики'!AC1460)*IF('01_Вводные'!$B$239="Да",MeanMinAge13+'19_Расчет_аналитики'!AC1572*SUMIF(ThresholdAge13,"&lt;"&amp;'19_Расчет_аналитики'!AC1572,WeightedRevAge13)-SUMIF(ThresholdAge13,"&lt;"&amp;'19_Расчет_аналитики'!AC1572,WeightedMinAge13),MAX(CapacityAge13*'01_Вводные'!$B$218*'19_Расчет_аналитики'!AC1572,MeanMinAge13)))</f>
        <v/>
      </c>
      <c r="AD1516">
        <f>IF(OR(('19_Расчет_аналитики'!AD1432-'19_Расчет_аналитики'!AD1460)=0,13&lt;='01_Вводные'!$B$297),0,('19_Расчет_аналитики'!AD1432-'19_Расчет_аналитики'!AD1460)*IF('01_Вводные'!$B$239="Да",MeanMinAge13+'19_Расчет_аналитики'!AD1572*SUMIF(ThresholdAge13,"&lt;"&amp;'19_Расчет_аналитики'!AD1572,WeightedRevAge13)-SUMIF(ThresholdAge13,"&lt;"&amp;'19_Расчет_аналитики'!AD1572,WeightedMinAge13),MAX(CapacityAge13*'01_Вводные'!$B$218*'19_Расчет_аналитики'!AD1572,MeanMinAge13)))</f>
        <v/>
      </c>
      <c r="AE1516">
        <f>IF(OR(('19_Расчет_аналитики'!AE1432-'19_Расчет_аналитики'!AE1460)=0,13&lt;='01_Вводные'!$B$297),0,('19_Расчет_аналитики'!AE1432-'19_Расчет_аналитики'!AE1460)*IF('01_Вводные'!$B$239="Да",MeanMinAge13+'19_Расчет_аналитики'!AE1572*SUMIF(ThresholdAge13,"&lt;"&amp;'19_Расчет_аналитики'!AE1572,WeightedRevAge13)-SUMIF(ThresholdAge13,"&lt;"&amp;'19_Расчет_аналитики'!AE1572,WeightedMinAge13),MAX(CapacityAge13*'01_Вводные'!$B$218*'19_Расчет_аналитики'!AE1572,MeanMinAge13)))</f>
        <v/>
      </c>
      <c r="AF1516">
        <f>IF(OR(('19_Расчет_аналитики'!AF1432-'19_Расчет_аналитики'!AF1460)=0,13&lt;='01_Вводные'!$B$297),0,('19_Расчет_аналитики'!AF1432-'19_Расчет_аналитики'!AF1460)*IF('01_Вводные'!$B$239="Да",MeanMinAge13+'19_Расчет_аналитики'!AF1572*SUMIF(ThresholdAge13,"&lt;"&amp;'19_Расчет_аналитики'!AF1572,WeightedRevAge13)-SUMIF(ThresholdAge13,"&lt;"&amp;'19_Расчет_аналитики'!AF1572,WeightedMinAge13),MAX(CapacityAge13*'01_Вводные'!$B$218*'19_Расчет_аналитики'!AF1572,MeanMinAge13)))</f>
        <v/>
      </c>
      <c r="AG1516">
        <f>IF(OR(('19_Расчет_аналитики'!AG1432-'19_Расчет_аналитики'!AG1460)=0,13&lt;='01_Вводные'!$B$297),0,('19_Расчет_аналитики'!AG1432-'19_Расчет_аналитики'!AG1460)*IF('01_Вводные'!$B$239="Да",MeanMinAge13+'19_Расчет_аналитики'!AG1572*SUMIF(ThresholdAge13,"&lt;"&amp;'19_Расчет_аналитики'!AG1572,WeightedRevAge13)-SUMIF(ThresholdAge13,"&lt;"&amp;'19_Расчет_аналитики'!AG1572,WeightedMinAge13),MAX(CapacityAge13*'01_Вводные'!$B$218*'19_Расчет_аналитики'!AG1572,MeanMinAge13)))</f>
        <v/>
      </c>
      <c r="AH1516">
        <f>IF(OR(('19_Расчет_аналитики'!AH1432-'19_Расчет_аналитики'!AH1460)=0,13&lt;='01_Вводные'!$B$297),0,('19_Расчет_аналитики'!AH1432-'19_Расчет_аналитики'!AH1460)*IF('01_Вводные'!$B$239="Да",MeanMinAge13+'19_Расчет_аналитики'!AH1572*SUMIF(ThresholdAge13,"&lt;"&amp;'19_Расчет_аналитики'!AH1572,WeightedRevAge13)-SUMIF(ThresholdAge13,"&lt;"&amp;'19_Расчет_аналитики'!AH1572,WeightedMinAge13),MAX(CapacityAge13*'01_Вводные'!$B$218*'19_Расчет_аналитики'!AH1572,MeanMinAge13)))</f>
        <v/>
      </c>
      <c r="AI1516">
        <f>IF(OR(('19_Расчет_аналитики'!AI1432-'19_Расчет_аналитики'!AI1460)=0,13&lt;='01_Вводные'!$B$297),0,('19_Расчет_аналитики'!AI1432-'19_Расчет_аналитики'!AI1460)*IF('01_Вводные'!$B$239="Да",MeanMinAge13+'19_Расчет_аналитики'!AI1572*SUMIF(ThresholdAge13,"&lt;"&amp;'19_Расчет_аналитики'!AI1572,WeightedRevAge13)-SUMIF(ThresholdAge13,"&lt;"&amp;'19_Расчет_аналитики'!AI1572,WeightedMinAge13),MAX(CapacityAge13*'01_Вводные'!$B$218*'19_Расчет_аналитики'!AI1572,MeanMinAge13)))</f>
        <v/>
      </c>
      <c r="AJ1516">
        <f>IF(OR(('19_Расчет_аналитики'!AJ1432-'19_Расчет_аналитики'!AJ1460)=0,13&lt;='01_Вводные'!$B$297),0,('19_Расчет_аналитики'!AJ1432-'19_Расчет_аналитики'!AJ1460)*IF('01_Вводные'!$B$239="Да",MeanMinAge13+'19_Расчет_аналитики'!AJ1572*SUMIF(ThresholdAge13,"&lt;"&amp;'19_Расчет_аналитики'!AJ1572,WeightedRevAge13)-SUMIF(ThresholdAge13,"&lt;"&amp;'19_Расчет_аналитики'!AJ1572,WeightedMinAge13),MAX(CapacityAge13*'01_Вводные'!$B$218*'19_Расчет_аналитики'!AJ1572,MeanMinAge13)))</f>
        <v/>
      </c>
      <c r="AK1516">
        <f>IF(OR(('19_Расчет_аналитики'!AK1432-'19_Расчет_аналитики'!AK1460)=0,13&lt;='01_Вводные'!$B$297),0,('19_Расчет_аналитики'!AK1432-'19_Расчет_аналитики'!AK1460)*IF('01_Вводные'!$B$239="Да",MeanMinAge13+'19_Расчет_аналитики'!AK1572*SUMIF(ThresholdAge13,"&lt;"&amp;'19_Расчет_аналитики'!AK1572,WeightedRevAge13)-SUMIF(ThresholdAge13,"&lt;"&amp;'19_Расчет_аналитики'!AK1572,WeightedMinAge13),MAX(CapacityAge13*'01_Вводные'!$B$218*'19_Расчет_аналитики'!AK1572,MeanMinAge13)))</f>
        <v/>
      </c>
      <c r="AL1516">
        <f>IF(OR(('19_Расчет_аналитики'!AL1432-'19_Расчет_аналитики'!AL1460)=0,13&lt;='01_Вводные'!$B$297),0,('19_Расчет_аналитики'!AL1432-'19_Расчет_аналитики'!AL1460)*IF('01_Вводные'!$B$239="Да",MeanMinAge13+'19_Расчет_аналитики'!AL1572*SUMIF(ThresholdAge13,"&lt;"&amp;'19_Расчет_аналитики'!AL1572,WeightedRevAge13)-SUMIF(ThresholdAge13,"&lt;"&amp;'19_Расчет_аналитики'!AL1572,WeightedMinAge13),MAX(CapacityAge13*'01_Вводные'!$B$218*'19_Расчет_аналитики'!AL1572,MeanMinAge13)))</f>
        <v/>
      </c>
      <c r="AM1516">
        <f>IF(OR(('19_Расчет_аналитики'!AM1432-'19_Расчет_аналитики'!AM1460)=0,13&lt;='01_Вводные'!$B$297),0,('19_Расчет_аналитики'!AM1432-'19_Расчет_аналитики'!AM1460)*IF('01_Вводные'!$B$239="Да",MeanMinAge13+'19_Расчет_аналитики'!AM1572*SUMIF(ThresholdAge13,"&lt;"&amp;'19_Расчет_аналитики'!AM1572,WeightedRevAge13)-SUMIF(ThresholdAge13,"&lt;"&amp;'19_Расчет_аналитики'!AM1572,WeightedMinAge13),MAX(CapacityAge13*'01_Вводные'!$B$218*'19_Расчет_аналитики'!AM1572,MeanMinAge13)))</f>
        <v/>
      </c>
      <c r="AN1516">
        <f>IF(OR(('19_Расчет_аналитики'!AN1432-'19_Расчет_аналитики'!AN1460)=0,13&lt;='01_Вводные'!$B$297),0,('19_Расчет_аналитики'!AN1432-'19_Расчет_аналитики'!AN1460)*IF('01_Вводные'!$B$239="Да",MeanMinAge13+'19_Расчет_аналитики'!AN1572*SUMIF(ThresholdAge13,"&lt;"&amp;'19_Расчет_аналитики'!AN1572,WeightedRevAge13)-SUMIF(ThresholdAge13,"&lt;"&amp;'19_Расчет_аналитики'!AN1572,WeightedMinAge13),MAX(CapacityAge13*'01_Вводные'!$B$218*'19_Расчет_аналитики'!AN1572,MeanMinAge13)))</f>
        <v/>
      </c>
      <c r="AO1516">
        <f>IF(OR(('19_Расчет_аналитики'!AO1432-'19_Расчет_аналитики'!AO1460)=0,13&lt;='01_Вводные'!$B$297),0,('19_Расчет_аналитики'!AO1432-'19_Расчет_аналитики'!AO1460)*IF('01_Вводные'!$B$239="Да",MeanMinAge13+'19_Расчет_аналитики'!AO1572*SUMIF(ThresholdAge13,"&lt;"&amp;'19_Расчет_аналитики'!AO1572,WeightedRevAge13)-SUMIF(ThresholdAge13,"&lt;"&amp;'19_Расчет_аналитики'!AO1572,WeightedMinAge13),MAX(CapacityAge13*'01_Вводные'!$B$218*'19_Расчет_аналитики'!AO1572,MeanMinAge13)))</f>
        <v/>
      </c>
      <c r="AP1516">
        <f>IF(OR(('19_Расчет_аналитики'!AP1432-'19_Расчет_аналитики'!AP1460)=0,13&lt;='01_Вводные'!$B$297),0,('19_Расчет_аналитики'!AP1432-'19_Расчет_аналитики'!AP1460)*IF('01_Вводные'!$B$239="Да",MeanMinAge13+'19_Расчет_аналитики'!AP1572*SUMIF(ThresholdAge13,"&lt;"&amp;'19_Расчет_аналитики'!AP1572,WeightedRevAge13)-SUMIF(ThresholdAge13,"&lt;"&amp;'19_Расчет_аналитики'!AP1572,WeightedMinAge13),MAX(CapacityAge13*'01_Вводные'!$B$218*'19_Расчет_аналитики'!AP1572,MeanMinAge13)))</f>
        <v/>
      </c>
      <c r="AQ1516">
        <f>IF(OR(('19_Расчет_аналитики'!AQ1432-'19_Расчет_аналитики'!AQ1460)=0,13&lt;='01_Вводные'!$B$297),0,('19_Расчет_аналитики'!AQ1432-'19_Расчет_аналитики'!AQ1460)*IF('01_Вводные'!$B$239="Да",MeanMinAge13+'19_Расчет_аналитики'!AQ1572*SUMIF(ThresholdAge13,"&lt;"&amp;'19_Расчет_аналитики'!AQ1572,WeightedRevAge13)-SUMIF(ThresholdAge13,"&lt;"&amp;'19_Расчет_аналитики'!AQ1572,WeightedMinAge13),MAX(CapacityAge13*'01_Вводные'!$B$218*'19_Расчет_аналитики'!AQ1572,MeanMinAge13)))</f>
        <v/>
      </c>
      <c r="AR1516">
        <f>IF(OR(('19_Расчет_аналитики'!AR1432-'19_Расчет_аналитики'!AR1460)=0,13&lt;='01_Вводные'!$B$297),0,('19_Расчет_аналитики'!AR1432-'19_Расчет_аналитики'!AR1460)*IF('01_Вводные'!$B$239="Да",MeanMinAge13+'19_Расчет_аналитики'!AR1572*SUMIF(ThresholdAge13,"&lt;"&amp;'19_Расчет_аналитики'!AR1572,WeightedRevAge13)-SUMIF(ThresholdAge13,"&lt;"&amp;'19_Расчет_аналитики'!AR1572,WeightedMinAge13),MAX(CapacityAge13*'01_Вводные'!$B$218*'19_Расчет_аналитики'!AR1572,MeanMinAge13)))</f>
        <v/>
      </c>
      <c r="AS1516">
        <f>IF(OR(('19_Расчет_аналитики'!AS1432-'19_Расчет_аналитики'!AS1460)=0,13&lt;='01_Вводные'!$B$297),0,('19_Расчет_аналитики'!AS1432-'19_Расчет_аналитики'!AS1460)*IF('01_Вводные'!$B$239="Да",MeanMinAge13+'19_Расчет_аналитики'!AS1572*SUMIF(ThresholdAge13,"&lt;"&amp;'19_Расчет_аналитики'!AS1572,WeightedRevAge13)-SUMIF(ThresholdAge13,"&lt;"&amp;'19_Расчет_аналитики'!AS1572,WeightedMinAge13),MAX(CapacityAge13*'01_Вводные'!$B$218*'19_Расчет_аналитики'!AS1572,MeanMinAge13)))</f>
        <v/>
      </c>
      <c r="AT1516">
        <f>IF(OR(('19_Расчет_аналитики'!AT1432-'19_Расчет_аналитики'!AT1460)=0,13&lt;='01_Вводные'!$B$297),0,('19_Расчет_аналитики'!AT1432-'19_Расчет_аналитики'!AT1460)*IF('01_Вводные'!$B$239="Да",MeanMinAge13+'19_Расчет_аналитики'!AT1572*SUMIF(ThresholdAge13,"&lt;"&amp;'19_Расчет_аналитики'!AT1572,WeightedRevAge13)-SUMIF(ThresholdAge13,"&lt;"&amp;'19_Расчет_аналитики'!AT1572,WeightedMinAge13),MAX(CapacityAge13*'01_Вводные'!$B$218*'19_Расчет_аналитики'!AT1572,MeanMinAge13)))</f>
        <v/>
      </c>
      <c r="AU1516">
        <f>IF(OR(('19_Расчет_аналитики'!AU1432-'19_Расчет_аналитики'!AU1460)=0,13&lt;='01_Вводные'!$B$297),0,('19_Расчет_аналитики'!AU1432-'19_Расчет_аналитики'!AU1460)*IF('01_Вводные'!$B$239="Да",MeanMinAge13+'19_Расчет_аналитики'!AU1572*SUMIF(ThresholdAge13,"&lt;"&amp;'19_Расчет_аналитики'!AU1572,WeightedRevAge13)-SUMIF(ThresholdAge13,"&lt;"&amp;'19_Расчет_аналитики'!AU1572,WeightedMinAge13),MAX(CapacityAge13*'01_Вводные'!$B$218*'19_Расчет_аналитики'!AU1572,MeanMinAge13)))</f>
        <v/>
      </c>
      <c r="AV1516">
        <f>IF(OR(('19_Расчет_аналитики'!AV1432-'19_Расчет_аналитики'!AV1460)=0,13&lt;='01_Вводные'!$B$297),0,('19_Расчет_аналитики'!AV1432-'19_Расчет_аналитики'!AV1460)*IF('01_Вводные'!$B$239="Да",MeanMinAge13+'19_Расчет_аналитики'!AV1572*SUMIF(ThresholdAge13,"&lt;"&amp;'19_Расчет_аналитики'!AV1572,WeightedRevAge13)-SUMIF(ThresholdAge13,"&lt;"&amp;'19_Расчет_аналитики'!AV1572,WeightedMinAge13),MAX(CapacityAge13*'01_Вводные'!$B$218*'19_Расчет_аналитики'!AV1572,MeanMinAge13)))</f>
        <v/>
      </c>
      <c r="AW1516">
        <f>IF(OR(('19_Расчет_аналитики'!AW1432-'19_Расчет_аналитики'!AW1460)=0,13&lt;='01_Вводные'!$B$297),0,('19_Расчет_аналитики'!AW1432-'19_Расчет_аналитики'!AW1460)*IF('01_Вводные'!$B$239="Да",MeanMinAge13+'19_Расчет_аналитики'!AW1572*SUMIF(ThresholdAge13,"&lt;"&amp;'19_Расчет_аналитики'!AW1572,WeightedRevAge13)-SUMIF(ThresholdAge13,"&lt;"&amp;'19_Расчет_аналитики'!AW1572,WeightedMinAge13),MAX(CapacityAge13*'01_Вводные'!$B$218*'19_Расчет_аналитики'!AW1572,MeanMinAge13)))</f>
        <v/>
      </c>
      <c r="AX1516">
        <f>IF(OR(('19_Расчет_аналитики'!AX1432-'19_Расчет_аналитики'!AX1460)=0,13&lt;='01_Вводные'!$B$297),0,('19_Расчет_аналитики'!AX1432-'19_Расчет_аналитики'!AX1460)*IF('01_Вводные'!$B$239="Да",MeanMinAge13+'19_Расчет_аналитики'!AX1572*SUMIF(ThresholdAge13,"&lt;"&amp;'19_Расчет_аналитики'!AX1572,WeightedRevAge13)-SUMIF(ThresholdAge13,"&lt;"&amp;'19_Расчет_аналитики'!AX1572,WeightedMinAge13),MAX(CapacityAge13*'01_Вводные'!$B$218*'19_Расчет_аналитики'!AX1572,MeanMinAge13)))</f>
        <v/>
      </c>
      <c r="AY1516">
        <f>IF(OR(('19_Расчет_аналитики'!AY1432-'19_Расчет_аналитики'!AY1460)=0,13&lt;='01_Вводные'!$B$297),0,('19_Расчет_аналитики'!AY1432-'19_Расчет_аналитики'!AY1460)*IF('01_Вводные'!$B$239="Да",MeanMinAge13+'19_Расчет_аналитики'!AY1572*SUMIF(ThresholdAge13,"&lt;"&amp;'19_Расчет_аналитики'!AY1572,WeightedRevAge13)-SUMIF(ThresholdAge13,"&lt;"&amp;'19_Расчет_аналитики'!AY1572,WeightedMinAge13),MAX(CapacityAge13*'01_Вводные'!$B$218*'19_Расчет_аналитики'!AY1572,MeanMinAge13)))</f>
        <v/>
      </c>
      <c r="AZ1516">
        <f>IF(OR(('19_Расчет_аналитики'!AZ1432-'19_Расчет_аналитики'!AZ1460)=0,13&lt;='01_Вводные'!$B$297),0,('19_Расчет_аналитики'!AZ1432-'19_Расчет_аналитики'!AZ1460)*IF('01_Вводные'!$B$239="Да",MeanMinAge13+'19_Расчет_аналитики'!AZ1572*SUMIF(ThresholdAge13,"&lt;"&amp;'19_Расчет_аналитики'!AZ1572,WeightedRevAge13)-SUMIF(ThresholdAge13,"&lt;"&amp;'19_Расчет_аналитики'!AZ1572,WeightedMinAge13),MAX(CapacityAge13*'01_Вводные'!$B$218*'19_Расчет_аналитики'!AZ1572,MeanMinAge13)))</f>
        <v/>
      </c>
      <c r="BA1516">
        <f>IF(OR(('19_Расчет_аналитики'!BA1432-'19_Расчет_аналитики'!BA1460)=0,13&lt;='01_Вводные'!$B$297),0,('19_Расчет_аналитики'!BA1432-'19_Расчет_аналитики'!BA1460)*IF('01_Вводные'!$B$239="Да",MeanMinAge13+'19_Расчет_аналитики'!BA1572*SUMIF(ThresholdAge13,"&lt;"&amp;'19_Расчет_аналитики'!BA1572,WeightedRevAge13)-SUMIF(ThresholdAge13,"&lt;"&amp;'19_Расчет_аналитики'!BA1572,WeightedMinAge13),MAX(CapacityAge13*'01_Вводные'!$B$218*'19_Расчет_аналитики'!BA1572,MeanMinAge13)))</f>
        <v/>
      </c>
      <c r="BB1516">
        <f>IF(OR(('19_Расчет_аналитики'!BB1432-'19_Расчет_аналитики'!BB1460)=0,13&lt;='01_Вводные'!$B$297),0,('19_Расчет_аналитики'!BB1432-'19_Расчет_аналитики'!BB1460)*IF('01_Вводные'!$B$239="Да",MeanMinAge13+'19_Расчет_аналитики'!BB1572*SUMIF(ThresholdAge13,"&lt;"&amp;'19_Расчет_аналитики'!BB1572,WeightedRevAge13)-SUMIF(ThresholdAge13,"&lt;"&amp;'19_Расчет_аналитики'!BB1572,WeightedMinAge13),MAX(CapacityAge13*'01_Вводные'!$B$218*'19_Расчет_аналитики'!BB1572,MeanMinAge13)))</f>
        <v/>
      </c>
      <c r="BC1516">
        <f>IF(OR(('19_Расчет_аналитики'!BC1432-'19_Расчет_аналитики'!BC1460)=0,13&lt;='01_Вводные'!$B$297),0,('19_Расчет_аналитики'!BC1432-'19_Расчет_аналитики'!BC1460)*IF('01_Вводные'!$B$239="Да",MeanMinAge13+'19_Расчет_аналитики'!BC1572*SUMIF(ThresholdAge13,"&lt;"&amp;'19_Расчет_аналитики'!BC1572,WeightedRevAge13)-SUMIF(ThresholdAge13,"&lt;"&amp;'19_Расчет_аналитики'!BC1572,WeightedMinAge13),MAX(CapacityAge13*'01_Вводные'!$B$218*'19_Расчет_аналитики'!BC1572,MeanMinAge13)))</f>
        <v/>
      </c>
      <c r="BD1516">
        <f>IF(OR(('19_Расчет_аналитики'!BD1432-'19_Расчет_аналитики'!BD1460)=0,13&lt;='01_Вводные'!$B$297),0,('19_Расчет_аналитики'!BD1432-'19_Расчет_аналитики'!BD1460)*IF('01_Вводные'!$B$239="Да",MeanMinAge13+'19_Расчет_аналитики'!BD1572*SUMIF(ThresholdAge13,"&lt;"&amp;'19_Расчет_аналитики'!BD1572,WeightedRevAge13)-SUMIF(ThresholdAge13,"&lt;"&amp;'19_Расчет_аналитики'!BD1572,WeightedMinAge13),MAX(CapacityAge13*'01_Вводные'!$B$218*'19_Расчет_аналитики'!BD1572,MeanMinAge13)))</f>
        <v/>
      </c>
      <c r="BE1516">
        <f>IF(OR(('19_Расчет_аналитики'!BE1432-'19_Расчет_аналитики'!BE1460)=0,13&lt;='01_Вводные'!$B$297),0,('19_Расчет_аналитики'!BE1432-'19_Расчет_аналитики'!BE1460)*IF('01_Вводные'!$B$239="Да",MeanMinAge13+'19_Расчет_аналитики'!BE1572*SUMIF(ThresholdAge13,"&lt;"&amp;'19_Расчет_аналитики'!BE1572,WeightedRevAge13)-SUMIF(ThresholdAge13,"&lt;"&amp;'19_Расчет_аналитики'!BE1572,WeightedMinAge13),MAX(CapacityAge13*'01_Вводные'!$B$218*'19_Расчет_аналитики'!BE1572,MeanMinAge13)))</f>
        <v/>
      </c>
      <c r="BF1516">
        <f>IF(OR(('19_Расчет_аналитики'!BF1432-'19_Расчет_аналитики'!BF1460)=0,13&lt;='01_Вводные'!$B$297),0,('19_Расчет_аналитики'!BF1432-'19_Расчет_аналитики'!BF1460)*IF('01_Вводные'!$B$239="Да",MeanMinAge13+'19_Расчет_аналитики'!BF1572*SUMIF(ThresholdAge13,"&lt;"&amp;'19_Расчет_аналитики'!BF1572,WeightedRevAge13)-SUMIF(ThresholdAge13,"&lt;"&amp;'19_Расчет_аналитики'!BF1572,WeightedMinAge13),MAX(CapacityAge13*'01_Вводные'!$B$218*'19_Расчет_аналитики'!BF1572,MeanMinAge13)))</f>
        <v/>
      </c>
      <c r="BG1516">
        <f>IF(OR(('19_Расчет_аналитики'!BG1432-'19_Расчет_аналитики'!BG1460)=0,13&lt;='01_Вводные'!$B$297),0,('19_Расчет_аналитики'!BG1432-'19_Расчет_аналитики'!BG1460)*IF('01_Вводные'!$B$239="Да",MeanMinAge13+'19_Расчет_аналитики'!BG1572*SUMIF(ThresholdAge13,"&lt;"&amp;'19_Расчет_аналитики'!BG1572,WeightedRevAge13)-SUMIF(ThresholdAge13,"&lt;"&amp;'19_Расчет_аналитики'!BG1572,WeightedMinAge13),MAX(CapacityAge13*'01_Вводные'!$B$218*'19_Расчет_аналитики'!BG1572,MeanMinAge13)))</f>
        <v/>
      </c>
      <c r="BH1516">
        <f>IF(OR(('19_Расчет_аналитики'!BH1432-'19_Расчет_аналитики'!BH1460)=0,13&lt;='01_Вводные'!$B$297),0,('19_Расчет_аналитики'!BH1432-'19_Расчет_аналитики'!BH1460)*IF('01_Вводные'!$B$239="Да",MeanMinAge13+'19_Расчет_аналитики'!BH1572*SUMIF(ThresholdAge13,"&lt;"&amp;'19_Расчет_аналитики'!BH1572,WeightedRevAge13)-SUMIF(ThresholdAge13,"&lt;"&amp;'19_Расчет_аналитики'!BH1572,WeightedMinAge13),MAX(CapacityAge13*'01_Вводные'!$B$218*'19_Расчет_аналитики'!BH1572,MeanMinAge13)))</f>
        <v/>
      </c>
      <c r="BI1516">
        <f>IF(OR(('19_Расчет_аналитики'!BI1432-'19_Расчет_аналитики'!BI1460)=0,13&lt;='01_Вводные'!$B$297),0,('19_Расчет_аналитики'!BI1432-'19_Расчет_аналитики'!BI1460)*IF('01_Вводные'!$B$239="Да",MeanMinAge13+'19_Расчет_аналитики'!BI1572*SUMIF(ThresholdAge13,"&lt;"&amp;'19_Расчет_аналитики'!BI1572,WeightedRevAge13)-SUMIF(ThresholdAge13,"&lt;"&amp;'19_Расчет_аналитики'!BI1572,WeightedMinAge13),MAX(CapacityAge13*'01_Вводные'!$B$218*'19_Расчет_аналитики'!BI1572,MeanMinAge13)))</f>
        <v/>
      </c>
      <c r="BJ1516">
        <f>IF(OR(('19_Расчет_аналитики'!BJ1432-'19_Расчет_аналитики'!BJ1460)=0,13&lt;='01_Вводные'!$B$297),0,('19_Расчет_аналитики'!BJ1432-'19_Расчет_аналитики'!BJ1460)*IF('01_Вводные'!$B$239="Да",MeanMinAge13+'19_Расчет_аналитики'!BJ1572*SUMIF(ThresholdAge13,"&lt;"&amp;'19_Расчет_аналитики'!BJ1572,WeightedRevAge13)-SUMIF(ThresholdAge13,"&lt;"&amp;'19_Расчет_аналитики'!BJ1572,WeightedMinAge13),MAX(CapacityAge13*'01_Вводные'!$B$218*'19_Расчет_аналитики'!BJ1572,MeanMinAge13)))</f>
        <v/>
      </c>
      <c r="BK1516">
        <f>IF(OR(('19_Расчет_аналитики'!BK1432-'19_Расчет_аналитики'!BK1460)=0,13&lt;='01_Вводные'!$B$297),0,('19_Расчет_аналитики'!BK1432-'19_Расчет_аналитики'!BK1460)*IF('01_Вводные'!$B$239="Да",MeanMinAge13+'19_Расчет_аналитики'!BK1572*SUMIF(ThresholdAge13,"&lt;"&amp;'19_Расчет_аналитики'!BK1572,WeightedRevAge13)-SUMIF(ThresholdAge13,"&lt;"&amp;'19_Расчет_аналитики'!BK1572,WeightedMinAge13),MAX(CapacityAge13*'01_Вводные'!$B$218*'19_Расчет_аналитики'!BK1572,MeanMinAge13)))</f>
        <v/>
      </c>
      <c r="BL1516">
        <f>IF(OR(('19_Расчет_аналитики'!BL1432-'19_Расчет_аналитики'!BL1460)=0,13&lt;='01_Вводные'!$B$297),0,('19_Расчет_аналитики'!BL1432-'19_Расчет_аналитики'!BL1460)*IF('01_Вводные'!$B$239="Да",MeanMinAge13+'19_Расчет_аналитики'!BL1572*SUMIF(ThresholdAge13,"&lt;"&amp;'19_Расчет_аналитики'!BL1572,WeightedRevAge13)-SUMIF(ThresholdAge13,"&lt;"&amp;'19_Расчет_аналитики'!BL1572,WeightedMinAge13),MAX(CapacityAge13*'01_Вводные'!$B$218*'19_Расчет_аналитики'!BL1572,MeanMinAge13)))</f>
        <v/>
      </c>
      <c r="BM1516">
        <f>IF(OR(('19_Расчет_аналитики'!BM1432-'19_Расчет_аналитики'!BM1460)=0,13&lt;='01_Вводные'!$B$297),0,('19_Расчет_аналитики'!BM1432-'19_Расчет_аналитики'!BM1460)*IF('01_Вводные'!$B$239="Да",MeanMinAge13+'19_Расчет_аналитики'!BM1572*SUMIF(ThresholdAge13,"&lt;"&amp;'19_Расчет_аналитики'!BM1572,WeightedRevAge13)-SUMIF(ThresholdAge13,"&lt;"&amp;'19_Расчет_аналитики'!BM1572,WeightedMinAge13),MAX(CapacityAge13*'01_Вводные'!$B$218*'19_Расчет_аналитики'!BM1572,MeanMinAge13)))</f>
        <v/>
      </c>
      <c r="BN1516">
        <f>IF(OR(('19_Расчет_аналитики'!BN1432-'19_Расчет_аналитики'!BN1460)=0,13&lt;='01_Вводные'!$B$297),0,('19_Расчет_аналитики'!BN1432-'19_Расчет_аналитики'!BN1460)*IF('01_Вводные'!$B$239="Да",MeanMinAge13+'19_Расчет_аналитики'!BN1572*SUMIF(ThresholdAge13,"&lt;"&amp;'19_Расчет_аналитики'!BN1572,WeightedRevAge13)-SUMIF(ThresholdAge13,"&lt;"&amp;'19_Расчет_аналитики'!BN1572,WeightedMinAge13),MAX(CapacityAge13*'01_Вводные'!$B$218*'19_Расчет_аналитики'!BN1572,MeanMinAge13)))</f>
        <v/>
      </c>
      <c r="BO1516">
        <f>IF(OR(('19_Расчет_аналитики'!BO1432-'19_Расчет_аналитики'!BO1460)=0,13&lt;='01_Вводные'!$B$297),0,('19_Расчет_аналитики'!BO1432-'19_Расчет_аналитики'!BO1460)*IF('01_Вводные'!$B$239="Да",MeanMinAge13+'19_Расчет_аналитики'!BO1572*SUMIF(ThresholdAge13,"&lt;"&amp;'19_Расчет_аналитики'!BO1572,WeightedRevAge13)-SUMIF(ThresholdAge13,"&lt;"&amp;'19_Расчет_аналитики'!BO1572,WeightedMinAge13),MAX(CapacityAge13*'01_Вводные'!$B$218*'19_Расчет_аналитики'!BO1572,MeanMinAge13)))</f>
        <v/>
      </c>
    </row>
    <row r="1517">
      <c r="B1517">
        <f>IF(OR(('06_Сеть_и_дети'!B66-'06_Сеть_и_дети'!B94)=0,14&lt;='01_Вводные'!$B$297),0,('06_Сеть_и_дети'!B66-'06_Сеть_и_дети'!B94)*IF('01_Вводные'!$B$239="Да",MeanMinAge14+'19_Расчет_аналитики'!B1572*SUMIF(ThresholdAge14,"&lt;"&amp;'19_Расчет_аналитики'!B1572,WeightedRevAge14)-SUMIF(ThresholdAge14,"&lt;"&amp;'19_Расчет_аналитики'!B1572,WeightedMinAge14),MAX(CapacityAge14*'01_Вводные'!$B$218*'19_Расчет_аналитики'!B1572,MeanMinAge14)))</f>
        <v/>
      </c>
      <c r="C1517">
        <f>IF(OR(('06_Сеть_и_дети'!C66-'06_Сеть_и_дети'!C94)=0,14&lt;='01_Вводные'!$B$297),0,('06_Сеть_и_дети'!C66-'06_Сеть_и_дети'!C94)*IF('01_Вводные'!$B$239="Да",MeanMinAge14+'19_Расчет_аналитики'!C1572*SUMIF(ThresholdAge14,"&lt;"&amp;'19_Расчет_аналитики'!C1572,WeightedRevAge14)-SUMIF(ThresholdAge14,"&lt;"&amp;'19_Расчет_аналитики'!C1572,WeightedMinAge14),MAX(CapacityAge14*'01_Вводные'!$B$218*'19_Расчет_аналитики'!C1572,MeanMinAge14)))</f>
        <v/>
      </c>
      <c r="D1517">
        <f>IF(OR(('06_Сеть_и_дети'!D66-'06_Сеть_и_дети'!D94)=0,14&lt;='01_Вводные'!$B$297),0,('06_Сеть_и_дети'!D66-'06_Сеть_и_дети'!D94)*IF('01_Вводные'!$B$239="Да",MeanMinAge14+'19_Расчет_аналитики'!D1572*SUMIF(ThresholdAge14,"&lt;"&amp;'19_Расчет_аналитики'!D1572,WeightedRevAge14)-SUMIF(ThresholdAge14,"&lt;"&amp;'19_Расчет_аналитики'!D1572,WeightedMinAge14),MAX(CapacityAge14*'01_Вводные'!$B$218*'19_Расчет_аналитики'!D1572,MeanMinAge14)))</f>
        <v/>
      </c>
      <c r="E1517">
        <f>IF(OR(('06_Сеть_и_дети'!E66-'06_Сеть_и_дети'!E94)=0,14&lt;='01_Вводные'!$B$297),0,('06_Сеть_и_дети'!E66-'06_Сеть_и_дети'!E94)*IF('01_Вводные'!$B$239="Да",MeanMinAge14+'19_Расчет_аналитики'!E1572*SUMIF(ThresholdAge14,"&lt;"&amp;'19_Расчет_аналитики'!E1572,WeightedRevAge14)-SUMIF(ThresholdAge14,"&lt;"&amp;'19_Расчет_аналитики'!E1572,WeightedMinAge14),MAX(CapacityAge14*'01_Вводные'!$B$218*'19_Расчет_аналитики'!E1572,MeanMinAge14)))</f>
        <v/>
      </c>
      <c r="F1517">
        <f>IF(OR(('06_Сеть_и_дети'!F66-'06_Сеть_и_дети'!F94)=0,14&lt;='01_Вводные'!$B$297),0,('06_Сеть_и_дети'!F66-'06_Сеть_и_дети'!F94)*IF('01_Вводные'!$B$239="Да",MeanMinAge14+'19_Расчет_аналитики'!F1572*SUMIF(ThresholdAge14,"&lt;"&amp;'19_Расчет_аналитики'!F1572,WeightedRevAge14)-SUMIF(ThresholdAge14,"&lt;"&amp;'19_Расчет_аналитики'!F1572,WeightedMinAge14),MAX(CapacityAge14*'01_Вводные'!$B$218*'19_Расчет_аналитики'!F1572,MeanMinAge14)))</f>
        <v/>
      </c>
      <c r="G1517">
        <f>IF(OR(('06_Сеть_и_дети'!G66-'06_Сеть_и_дети'!G94)=0,14&lt;='01_Вводные'!$B$297),0,('06_Сеть_и_дети'!G66-'06_Сеть_и_дети'!G94)*IF('01_Вводные'!$B$239="Да",MeanMinAge14+'19_Расчет_аналитики'!G1572*SUMIF(ThresholdAge14,"&lt;"&amp;'19_Расчет_аналитики'!G1572,WeightedRevAge14)-SUMIF(ThresholdAge14,"&lt;"&amp;'19_Расчет_аналитики'!G1572,WeightedMinAge14),MAX(CapacityAge14*'01_Вводные'!$B$218*'19_Расчет_аналитики'!G1572,MeanMinAge14)))</f>
        <v/>
      </c>
      <c r="H1517">
        <f>IF(OR(('06_Сеть_и_дети'!H66-'06_Сеть_и_дети'!H94)=0,14&lt;='01_Вводные'!$B$297),0,('06_Сеть_и_дети'!H66-'06_Сеть_и_дети'!H94)*IF('01_Вводные'!$B$239="Да",MeanMinAge14+'19_Расчет_аналитики'!H1572*SUMIF(ThresholdAge14,"&lt;"&amp;'19_Расчет_аналитики'!H1572,WeightedRevAge14)-SUMIF(ThresholdAge14,"&lt;"&amp;'19_Расчет_аналитики'!H1572,WeightedMinAge14),MAX(CapacityAge14*'01_Вводные'!$B$218*'19_Расчет_аналитики'!H1572,MeanMinAge14)))</f>
        <v/>
      </c>
      <c r="I1517">
        <f>IF(OR(('06_Сеть_и_дети'!I66-'06_Сеть_и_дети'!I94)=0,14&lt;='01_Вводные'!$B$297),0,('06_Сеть_и_дети'!I66-'06_Сеть_и_дети'!I94)*IF('01_Вводные'!$B$239="Да",MeanMinAge14+'19_Расчет_аналитики'!I1572*SUMIF(ThresholdAge14,"&lt;"&amp;'19_Расчет_аналитики'!I1572,WeightedRevAge14)-SUMIF(ThresholdAge14,"&lt;"&amp;'19_Расчет_аналитики'!I1572,WeightedMinAge14),MAX(CapacityAge14*'01_Вводные'!$B$218*'19_Расчет_аналитики'!I1572,MeanMinAge14)))</f>
        <v/>
      </c>
      <c r="J1517">
        <f>IF(OR(('06_Сеть_и_дети'!J66-'06_Сеть_и_дети'!J94)=0,14&lt;='01_Вводные'!$B$297),0,('06_Сеть_и_дети'!J66-'06_Сеть_и_дети'!J94)*IF('01_Вводные'!$B$239="Да",MeanMinAge14+'19_Расчет_аналитики'!J1572*SUMIF(ThresholdAge14,"&lt;"&amp;'19_Расчет_аналитики'!J1572,WeightedRevAge14)-SUMIF(ThresholdAge14,"&lt;"&amp;'19_Расчет_аналитики'!J1572,WeightedMinAge14),MAX(CapacityAge14*'01_Вводные'!$B$218*'19_Расчет_аналитики'!J1572,MeanMinAge14)))</f>
        <v/>
      </c>
      <c r="K1517">
        <f>IF(OR(('06_Сеть_и_дети'!K66-'06_Сеть_и_дети'!K94)=0,14&lt;='01_Вводные'!$B$297),0,('06_Сеть_и_дети'!K66-'06_Сеть_и_дети'!K94)*IF('01_Вводные'!$B$239="Да",MeanMinAge14+'19_Расчет_аналитики'!K1572*SUMIF(ThresholdAge14,"&lt;"&amp;'19_Расчет_аналитики'!K1572,WeightedRevAge14)-SUMIF(ThresholdAge14,"&lt;"&amp;'19_Расчет_аналитики'!K1572,WeightedMinAge14),MAX(CapacityAge14*'01_Вводные'!$B$218*'19_Расчет_аналитики'!K1572,MeanMinAge14)))</f>
        <v/>
      </c>
      <c r="L1517">
        <f>IF(OR(('06_Сеть_и_дети'!L66-'06_Сеть_и_дети'!L94)=0,14&lt;='01_Вводные'!$B$297),0,('06_Сеть_и_дети'!L66-'06_Сеть_и_дети'!L94)*IF('01_Вводные'!$B$239="Да",MeanMinAge14+'19_Расчет_аналитики'!L1572*SUMIF(ThresholdAge14,"&lt;"&amp;'19_Расчет_аналитики'!L1572,WeightedRevAge14)-SUMIF(ThresholdAge14,"&lt;"&amp;'19_Расчет_аналитики'!L1572,WeightedMinAge14),MAX(CapacityAge14*'01_Вводные'!$B$218*'19_Расчет_аналитики'!L1572,MeanMinAge14)))</f>
        <v/>
      </c>
      <c r="M1517">
        <f>IF(OR(('06_Сеть_и_дети'!M66-'06_Сеть_и_дети'!M94)=0,14&lt;='01_Вводные'!$B$297),0,('06_Сеть_и_дети'!M66-'06_Сеть_и_дети'!M94)*IF('01_Вводные'!$B$239="Да",MeanMinAge14+'19_Расчет_аналитики'!M1572*SUMIF(ThresholdAge14,"&lt;"&amp;'19_Расчет_аналитики'!M1572,WeightedRevAge14)-SUMIF(ThresholdAge14,"&lt;"&amp;'19_Расчет_аналитики'!M1572,WeightedMinAge14),MAX(CapacityAge14*'01_Вводные'!$B$218*'19_Расчет_аналитики'!M1572,MeanMinAge14)))</f>
        <v/>
      </c>
      <c r="N1517">
        <f>IF(OR(('06_Сеть_и_дети'!N66-'06_Сеть_и_дети'!N94)=0,14&lt;='01_Вводные'!$B$297),0,('06_Сеть_и_дети'!N66-'06_Сеть_и_дети'!N94)*IF('01_Вводные'!$B$239="Да",MeanMinAge14+'19_Расчет_аналитики'!N1572*SUMIF(ThresholdAge14,"&lt;"&amp;'19_Расчет_аналитики'!N1572,WeightedRevAge14)-SUMIF(ThresholdAge14,"&lt;"&amp;'19_Расчет_аналитики'!N1572,WeightedMinAge14),MAX(CapacityAge14*'01_Вводные'!$B$218*'19_Расчет_аналитики'!N1572,MeanMinAge14)))</f>
        <v/>
      </c>
      <c r="O1517">
        <f>IF(OR(('19_Расчет_аналитики'!O1433-'19_Расчет_аналитики'!O1461)=0,14&lt;='01_Вводные'!$B$297),0,('19_Расчет_аналитики'!O1433-'19_Расчет_аналитики'!O1461)*IF('01_Вводные'!$B$239="Да",MeanMinAge14+'19_Расчет_аналитики'!O1572*SUMIF(ThresholdAge14,"&lt;"&amp;'19_Расчет_аналитики'!O1572,WeightedRevAge14)-SUMIF(ThresholdAge14,"&lt;"&amp;'19_Расчет_аналитики'!O1572,WeightedMinAge14),MAX(CapacityAge14*'01_Вводные'!$B$218*'19_Расчет_аналитики'!O1572,MeanMinAge14)))</f>
        <v/>
      </c>
      <c r="P1517">
        <f>IF(OR(('19_Расчет_аналитики'!P1433-'19_Расчет_аналитики'!P1461)=0,14&lt;='01_Вводные'!$B$297),0,('19_Расчет_аналитики'!P1433-'19_Расчет_аналитики'!P1461)*IF('01_Вводные'!$B$239="Да",MeanMinAge14+'19_Расчет_аналитики'!P1572*SUMIF(ThresholdAge14,"&lt;"&amp;'19_Расчет_аналитики'!P1572,WeightedRevAge14)-SUMIF(ThresholdAge14,"&lt;"&amp;'19_Расчет_аналитики'!P1572,WeightedMinAge14),MAX(CapacityAge14*'01_Вводные'!$B$218*'19_Расчет_аналитики'!P1572,MeanMinAge14)))</f>
        <v/>
      </c>
      <c r="Q1517">
        <f>IF(OR(('19_Расчет_аналитики'!Q1433-'19_Расчет_аналитики'!Q1461)=0,14&lt;='01_Вводные'!$B$297),0,('19_Расчет_аналитики'!Q1433-'19_Расчет_аналитики'!Q1461)*IF('01_Вводные'!$B$239="Да",MeanMinAge14+'19_Расчет_аналитики'!Q1572*SUMIF(ThresholdAge14,"&lt;"&amp;'19_Расчет_аналитики'!Q1572,WeightedRevAge14)-SUMIF(ThresholdAge14,"&lt;"&amp;'19_Расчет_аналитики'!Q1572,WeightedMinAge14),MAX(CapacityAge14*'01_Вводные'!$B$218*'19_Расчет_аналитики'!Q1572,MeanMinAge14)))</f>
        <v/>
      </c>
      <c r="R1517">
        <f>IF(OR(('19_Расчет_аналитики'!R1433-'19_Расчет_аналитики'!R1461)=0,14&lt;='01_Вводные'!$B$297),0,('19_Расчет_аналитики'!R1433-'19_Расчет_аналитики'!R1461)*IF('01_Вводные'!$B$239="Да",MeanMinAge14+'19_Расчет_аналитики'!R1572*SUMIF(ThresholdAge14,"&lt;"&amp;'19_Расчет_аналитики'!R1572,WeightedRevAge14)-SUMIF(ThresholdAge14,"&lt;"&amp;'19_Расчет_аналитики'!R1572,WeightedMinAge14),MAX(CapacityAge14*'01_Вводные'!$B$218*'19_Расчет_аналитики'!R1572,MeanMinAge14)))</f>
        <v/>
      </c>
      <c r="S1517">
        <f>IF(OR(('19_Расчет_аналитики'!S1433-'19_Расчет_аналитики'!S1461)=0,14&lt;='01_Вводные'!$B$297),0,('19_Расчет_аналитики'!S1433-'19_Расчет_аналитики'!S1461)*IF('01_Вводные'!$B$239="Да",MeanMinAge14+'19_Расчет_аналитики'!S1572*SUMIF(ThresholdAge14,"&lt;"&amp;'19_Расчет_аналитики'!S1572,WeightedRevAge14)-SUMIF(ThresholdAge14,"&lt;"&amp;'19_Расчет_аналитики'!S1572,WeightedMinAge14),MAX(CapacityAge14*'01_Вводные'!$B$218*'19_Расчет_аналитики'!S1572,MeanMinAge14)))</f>
        <v/>
      </c>
      <c r="T1517">
        <f>IF(OR(('19_Расчет_аналитики'!T1433-'19_Расчет_аналитики'!T1461)=0,14&lt;='01_Вводные'!$B$297),0,('19_Расчет_аналитики'!T1433-'19_Расчет_аналитики'!T1461)*IF('01_Вводные'!$B$239="Да",MeanMinAge14+'19_Расчет_аналитики'!T1572*SUMIF(ThresholdAge14,"&lt;"&amp;'19_Расчет_аналитики'!T1572,WeightedRevAge14)-SUMIF(ThresholdAge14,"&lt;"&amp;'19_Расчет_аналитики'!T1572,WeightedMinAge14),MAX(CapacityAge14*'01_Вводные'!$B$218*'19_Расчет_аналитики'!T1572,MeanMinAge14)))</f>
        <v/>
      </c>
      <c r="U1517">
        <f>IF(OR(('19_Расчет_аналитики'!U1433-'19_Расчет_аналитики'!U1461)=0,14&lt;='01_Вводные'!$B$297),0,('19_Расчет_аналитики'!U1433-'19_Расчет_аналитики'!U1461)*IF('01_Вводные'!$B$239="Да",MeanMinAge14+'19_Расчет_аналитики'!U1572*SUMIF(ThresholdAge14,"&lt;"&amp;'19_Расчет_аналитики'!U1572,WeightedRevAge14)-SUMIF(ThresholdAge14,"&lt;"&amp;'19_Расчет_аналитики'!U1572,WeightedMinAge14),MAX(CapacityAge14*'01_Вводные'!$B$218*'19_Расчет_аналитики'!U1572,MeanMinAge14)))</f>
        <v/>
      </c>
      <c r="V1517">
        <f>IF(OR(('19_Расчет_аналитики'!V1433-'19_Расчет_аналитики'!V1461)=0,14&lt;='01_Вводные'!$B$297),0,('19_Расчет_аналитики'!V1433-'19_Расчет_аналитики'!V1461)*IF('01_Вводные'!$B$239="Да",MeanMinAge14+'19_Расчет_аналитики'!V1572*SUMIF(ThresholdAge14,"&lt;"&amp;'19_Расчет_аналитики'!V1572,WeightedRevAge14)-SUMIF(ThresholdAge14,"&lt;"&amp;'19_Расчет_аналитики'!V1572,WeightedMinAge14),MAX(CapacityAge14*'01_Вводные'!$B$218*'19_Расчет_аналитики'!V1572,MeanMinAge14)))</f>
        <v/>
      </c>
      <c r="W1517">
        <f>IF(OR(('19_Расчет_аналитики'!W1433-'19_Расчет_аналитики'!W1461)=0,14&lt;='01_Вводные'!$B$297),0,('19_Расчет_аналитики'!W1433-'19_Расчет_аналитики'!W1461)*IF('01_Вводные'!$B$239="Да",MeanMinAge14+'19_Расчет_аналитики'!W1572*SUMIF(ThresholdAge14,"&lt;"&amp;'19_Расчет_аналитики'!W1572,WeightedRevAge14)-SUMIF(ThresholdAge14,"&lt;"&amp;'19_Расчет_аналитики'!W1572,WeightedMinAge14),MAX(CapacityAge14*'01_Вводные'!$B$218*'19_Расчет_аналитики'!W1572,MeanMinAge14)))</f>
        <v/>
      </c>
      <c r="X1517">
        <f>IF(OR(('19_Расчет_аналитики'!X1433-'19_Расчет_аналитики'!X1461)=0,14&lt;='01_Вводные'!$B$297),0,('19_Расчет_аналитики'!X1433-'19_Расчет_аналитики'!X1461)*IF('01_Вводные'!$B$239="Да",MeanMinAge14+'19_Расчет_аналитики'!X1572*SUMIF(ThresholdAge14,"&lt;"&amp;'19_Расчет_аналитики'!X1572,WeightedRevAge14)-SUMIF(ThresholdAge14,"&lt;"&amp;'19_Расчет_аналитики'!X1572,WeightedMinAge14),MAX(CapacityAge14*'01_Вводные'!$B$218*'19_Расчет_аналитики'!X1572,MeanMinAge14)))</f>
        <v/>
      </c>
      <c r="Y1517">
        <f>IF(OR(('19_Расчет_аналитики'!Y1433-'19_Расчет_аналитики'!Y1461)=0,14&lt;='01_Вводные'!$B$297),0,('19_Расчет_аналитики'!Y1433-'19_Расчет_аналитики'!Y1461)*IF('01_Вводные'!$B$239="Да",MeanMinAge14+'19_Расчет_аналитики'!Y1572*SUMIF(ThresholdAge14,"&lt;"&amp;'19_Расчет_аналитики'!Y1572,WeightedRevAge14)-SUMIF(ThresholdAge14,"&lt;"&amp;'19_Расчет_аналитики'!Y1572,WeightedMinAge14),MAX(CapacityAge14*'01_Вводные'!$B$218*'19_Расчет_аналитики'!Y1572,MeanMinAge14)))</f>
        <v/>
      </c>
      <c r="Z1517">
        <f>IF(OR(('19_Расчет_аналитики'!Z1433-'19_Расчет_аналитики'!Z1461)=0,14&lt;='01_Вводные'!$B$297),0,('19_Расчет_аналитики'!Z1433-'19_Расчет_аналитики'!Z1461)*IF('01_Вводные'!$B$239="Да",MeanMinAge14+'19_Расчет_аналитики'!Z1572*SUMIF(ThresholdAge14,"&lt;"&amp;'19_Расчет_аналитики'!Z1572,WeightedRevAge14)-SUMIF(ThresholdAge14,"&lt;"&amp;'19_Расчет_аналитики'!Z1572,WeightedMinAge14),MAX(CapacityAge14*'01_Вводные'!$B$218*'19_Расчет_аналитики'!Z1572,MeanMinAge14)))</f>
        <v/>
      </c>
      <c r="AA1517">
        <f>IF(OR(('19_Расчет_аналитики'!AA1433-'19_Расчет_аналитики'!AA1461)=0,14&lt;='01_Вводные'!$B$297),0,('19_Расчет_аналитики'!AA1433-'19_Расчет_аналитики'!AA1461)*IF('01_Вводные'!$B$239="Да",MeanMinAge14+'19_Расчет_аналитики'!AA1572*SUMIF(ThresholdAge14,"&lt;"&amp;'19_Расчет_аналитики'!AA1572,WeightedRevAge14)-SUMIF(ThresholdAge14,"&lt;"&amp;'19_Расчет_аналитики'!AA1572,WeightedMinAge14),MAX(CapacityAge14*'01_Вводные'!$B$218*'19_Расчет_аналитики'!AA1572,MeanMinAge14)))</f>
        <v/>
      </c>
      <c r="AB1517">
        <f>IF(OR(('19_Расчет_аналитики'!AB1433-'19_Расчет_аналитики'!AB1461)=0,14&lt;='01_Вводные'!$B$297),0,('19_Расчет_аналитики'!AB1433-'19_Расчет_аналитики'!AB1461)*IF('01_Вводные'!$B$239="Да",MeanMinAge14+'19_Расчет_аналитики'!AB1572*SUMIF(ThresholdAge14,"&lt;"&amp;'19_Расчет_аналитики'!AB1572,WeightedRevAge14)-SUMIF(ThresholdAge14,"&lt;"&amp;'19_Расчет_аналитики'!AB1572,WeightedMinAge14),MAX(CapacityAge14*'01_Вводные'!$B$218*'19_Расчет_аналитики'!AB1572,MeanMinAge14)))</f>
        <v/>
      </c>
      <c r="AC1517">
        <f>IF(OR(('19_Расчет_аналитики'!AC1433-'19_Расчет_аналитики'!AC1461)=0,14&lt;='01_Вводные'!$B$297),0,('19_Расчет_аналитики'!AC1433-'19_Расчет_аналитики'!AC1461)*IF('01_Вводные'!$B$239="Да",MeanMinAge14+'19_Расчет_аналитики'!AC1572*SUMIF(ThresholdAge14,"&lt;"&amp;'19_Расчет_аналитики'!AC1572,WeightedRevAge14)-SUMIF(ThresholdAge14,"&lt;"&amp;'19_Расчет_аналитики'!AC1572,WeightedMinAge14),MAX(CapacityAge14*'01_Вводные'!$B$218*'19_Расчет_аналитики'!AC1572,MeanMinAge14)))</f>
        <v/>
      </c>
      <c r="AD1517">
        <f>IF(OR(('19_Расчет_аналитики'!AD1433-'19_Расчет_аналитики'!AD1461)=0,14&lt;='01_Вводные'!$B$297),0,('19_Расчет_аналитики'!AD1433-'19_Расчет_аналитики'!AD1461)*IF('01_Вводные'!$B$239="Да",MeanMinAge14+'19_Расчет_аналитики'!AD1572*SUMIF(ThresholdAge14,"&lt;"&amp;'19_Расчет_аналитики'!AD1572,WeightedRevAge14)-SUMIF(ThresholdAge14,"&lt;"&amp;'19_Расчет_аналитики'!AD1572,WeightedMinAge14),MAX(CapacityAge14*'01_Вводные'!$B$218*'19_Расчет_аналитики'!AD1572,MeanMinAge14)))</f>
        <v/>
      </c>
      <c r="AE1517">
        <f>IF(OR(('19_Расчет_аналитики'!AE1433-'19_Расчет_аналитики'!AE1461)=0,14&lt;='01_Вводные'!$B$297),0,('19_Расчет_аналитики'!AE1433-'19_Расчет_аналитики'!AE1461)*IF('01_Вводные'!$B$239="Да",MeanMinAge14+'19_Расчет_аналитики'!AE1572*SUMIF(ThresholdAge14,"&lt;"&amp;'19_Расчет_аналитики'!AE1572,WeightedRevAge14)-SUMIF(ThresholdAge14,"&lt;"&amp;'19_Расчет_аналитики'!AE1572,WeightedMinAge14),MAX(CapacityAge14*'01_Вводные'!$B$218*'19_Расчет_аналитики'!AE1572,MeanMinAge14)))</f>
        <v/>
      </c>
      <c r="AF1517">
        <f>IF(OR(('19_Расчет_аналитики'!AF1433-'19_Расчет_аналитики'!AF1461)=0,14&lt;='01_Вводные'!$B$297),0,('19_Расчет_аналитики'!AF1433-'19_Расчет_аналитики'!AF1461)*IF('01_Вводные'!$B$239="Да",MeanMinAge14+'19_Расчет_аналитики'!AF1572*SUMIF(ThresholdAge14,"&lt;"&amp;'19_Расчет_аналитики'!AF1572,WeightedRevAge14)-SUMIF(ThresholdAge14,"&lt;"&amp;'19_Расчет_аналитики'!AF1572,WeightedMinAge14),MAX(CapacityAge14*'01_Вводные'!$B$218*'19_Расчет_аналитики'!AF1572,MeanMinAge14)))</f>
        <v/>
      </c>
      <c r="AG1517">
        <f>IF(OR(('19_Расчет_аналитики'!AG1433-'19_Расчет_аналитики'!AG1461)=0,14&lt;='01_Вводные'!$B$297),0,('19_Расчет_аналитики'!AG1433-'19_Расчет_аналитики'!AG1461)*IF('01_Вводные'!$B$239="Да",MeanMinAge14+'19_Расчет_аналитики'!AG1572*SUMIF(ThresholdAge14,"&lt;"&amp;'19_Расчет_аналитики'!AG1572,WeightedRevAge14)-SUMIF(ThresholdAge14,"&lt;"&amp;'19_Расчет_аналитики'!AG1572,WeightedMinAge14),MAX(CapacityAge14*'01_Вводные'!$B$218*'19_Расчет_аналитики'!AG1572,MeanMinAge14)))</f>
        <v/>
      </c>
      <c r="AH1517">
        <f>IF(OR(('19_Расчет_аналитики'!AH1433-'19_Расчет_аналитики'!AH1461)=0,14&lt;='01_Вводные'!$B$297),0,('19_Расчет_аналитики'!AH1433-'19_Расчет_аналитики'!AH1461)*IF('01_Вводные'!$B$239="Да",MeanMinAge14+'19_Расчет_аналитики'!AH1572*SUMIF(ThresholdAge14,"&lt;"&amp;'19_Расчет_аналитики'!AH1572,WeightedRevAge14)-SUMIF(ThresholdAge14,"&lt;"&amp;'19_Расчет_аналитики'!AH1572,WeightedMinAge14),MAX(CapacityAge14*'01_Вводные'!$B$218*'19_Расчет_аналитики'!AH1572,MeanMinAge14)))</f>
        <v/>
      </c>
      <c r="AI1517">
        <f>IF(OR(('19_Расчет_аналитики'!AI1433-'19_Расчет_аналитики'!AI1461)=0,14&lt;='01_Вводные'!$B$297),0,('19_Расчет_аналитики'!AI1433-'19_Расчет_аналитики'!AI1461)*IF('01_Вводные'!$B$239="Да",MeanMinAge14+'19_Расчет_аналитики'!AI1572*SUMIF(ThresholdAge14,"&lt;"&amp;'19_Расчет_аналитики'!AI1572,WeightedRevAge14)-SUMIF(ThresholdAge14,"&lt;"&amp;'19_Расчет_аналитики'!AI1572,WeightedMinAge14),MAX(CapacityAge14*'01_Вводные'!$B$218*'19_Расчет_аналитики'!AI1572,MeanMinAge14)))</f>
        <v/>
      </c>
      <c r="AJ1517">
        <f>IF(OR(('19_Расчет_аналитики'!AJ1433-'19_Расчет_аналитики'!AJ1461)=0,14&lt;='01_Вводные'!$B$297),0,('19_Расчет_аналитики'!AJ1433-'19_Расчет_аналитики'!AJ1461)*IF('01_Вводные'!$B$239="Да",MeanMinAge14+'19_Расчет_аналитики'!AJ1572*SUMIF(ThresholdAge14,"&lt;"&amp;'19_Расчет_аналитики'!AJ1572,WeightedRevAge14)-SUMIF(ThresholdAge14,"&lt;"&amp;'19_Расчет_аналитики'!AJ1572,WeightedMinAge14),MAX(CapacityAge14*'01_Вводные'!$B$218*'19_Расчет_аналитики'!AJ1572,MeanMinAge14)))</f>
        <v/>
      </c>
      <c r="AK1517">
        <f>IF(OR(('19_Расчет_аналитики'!AK1433-'19_Расчет_аналитики'!AK1461)=0,14&lt;='01_Вводные'!$B$297),0,('19_Расчет_аналитики'!AK1433-'19_Расчет_аналитики'!AK1461)*IF('01_Вводные'!$B$239="Да",MeanMinAge14+'19_Расчет_аналитики'!AK1572*SUMIF(ThresholdAge14,"&lt;"&amp;'19_Расчет_аналитики'!AK1572,WeightedRevAge14)-SUMIF(ThresholdAge14,"&lt;"&amp;'19_Расчет_аналитики'!AK1572,WeightedMinAge14),MAX(CapacityAge14*'01_Вводные'!$B$218*'19_Расчет_аналитики'!AK1572,MeanMinAge14)))</f>
        <v/>
      </c>
      <c r="AL1517">
        <f>IF(OR(('19_Расчет_аналитики'!AL1433-'19_Расчет_аналитики'!AL1461)=0,14&lt;='01_Вводные'!$B$297),0,('19_Расчет_аналитики'!AL1433-'19_Расчет_аналитики'!AL1461)*IF('01_Вводные'!$B$239="Да",MeanMinAge14+'19_Расчет_аналитики'!AL1572*SUMIF(ThresholdAge14,"&lt;"&amp;'19_Расчет_аналитики'!AL1572,WeightedRevAge14)-SUMIF(ThresholdAge14,"&lt;"&amp;'19_Расчет_аналитики'!AL1572,WeightedMinAge14),MAX(CapacityAge14*'01_Вводные'!$B$218*'19_Расчет_аналитики'!AL1572,MeanMinAge14)))</f>
        <v/>
      </c>
      <c r="AM1517">
        <f>IF(OR(('19_Расчет_аналитики'!AM1433-'19_Расчет_аналитики'!AM1461)=0,14&lt;='01_Вводные'!$B$297),0,('19_Расчет_аналитики'!AM1433-'19_Расчет_аналитики'!AM1461)*IF('01_Вводные'!$B$239="Да",MeanMinAge14+'19_Расчет_аналитики'!AM1572*SUMIF(ThresholdAge14,"&lt;"&amp;'19_Расчет_аналитики'!AM1572,WeightedRevAge14)-SUMIF(ThresholdAge14,"&lt;"&amp;'19_Расчет_аналитики'!AM1572,WeightedMinAge14),MAX(CapacityAge14*'01_Вводные'!$B$218*'19_Расчет_аналитики'!AM1572,MeanMinAge14)))</f>
        <v/>
      </c>
      <c r="AN1517">
        <f>IF(OR(('19_Расчет_аналитики'!AN1433-'19_Расчет_аналитики'!AN1461)=0,14&lt;='01_Вводные'!$B$297),0,('19_Расчет_аналитики'!AN1433-'19_Расчет_аналитики'!AN1461)*IF('01_Вводные'!$B$239="Да",MeanMinAge14+'19_Расчет_аналитики'!AN1572*SUMIF(ThresholdAge14,"&lt;"&amp;'19_Расчет_аналитики'!AN1572,WeightedRevAge14)-SUMIF(ThresholdAge14,"&lt;"&amp;'19_Расчет_аналитики'!AN1572,WeightedMinAge14),MAX(CapacityAge14*'01_Вводные'!$B$218*'19_Расчет_аналитики'!AN1572,MeanMinAge14)))</f>
        <v/>
      </c>
      <c r="AO1517">
        <f>IF(OR(('19_Расчет_аналитики'!AO1433-'19_Расчет_аналитики'!AO1461)=0,14&lt;='01_Вводные'!$B$297),0,('19_Расчет_аналитики'!AO1433-'19_Расчет_аналитики'!AO1461)*IF('01_Вводные'!$B$239="Да",MeanMinAge14+'19_Расчет_аналитики'!AO1572*SUMIF(ThresholdAge14,"&lt;"&amp;'19_Расчет_аналитики'!AO1572,WeightedRevAge14)-SUMIF(ThresholdAge14,"&lt;"&amp;'19_Расчет_аналитики'!AO1572,WeightedMinAge14),MAX(CapacityAge14*'01_Вводные'!$B$218*'19_Расчет_аналитики'!AO1572,MeanMinAge14)))</f>
        <v/>
      </c>
      <c r="AP1517">
        <f>IF(OR(('19_Расчет_аналитики'!AP1433-'19_Расчет_аналитики'!AP1461)=0,14&lt;='01_Вводные'!$B$297),0,('19_Расчет_аналитики'!AP1433-'19_Расчет_аналитики'!AP1461)*IF('01_Вводные'!$B$239="Да",MeanMinAge14+'19_Расчет_аналитики'!AP1572*SUMIF(ThresholdAge14,"&lt;"&amp;'19_Расчет_аналитики'!AP1572,WeightedRevAge14)-SUMIF(ThresholdAge14,"&lt;"&amp;'19_Расчет_аналитики'!AP1572,WeightedMinAge14),MAX(CapacityAge14*'01_Вводные'!$B$218*'19_Расчет_аналитики'!AP1572,MeanMinAge14)))</f>
        <v/>
      </c>
      <c r="AQ1517">
        <f>IF(OR(('19_Расчет_аналитики'!AQ1433-'19_Расчет_аналитики'!AQ1461)=0,14&lt;='01_Вводные'!$B$297),0,('19_Расчет_аналитики'!AQ1433-'19_Расчет_аналитики'!AQ1461)*IF('01_Вводные'!$B$239="Да",MeanMinAge14+'19_Расчет_аналитики'!AQ1572*SUMIF(ThresholdAge14,"&lt;"&amp;'19_Расчет_аналитики'!AQ1572,WeightedRevAge14)-SUMIF(ThresholdAge14,"&lt;"&amp;'19_Расчет_аналитики'!AQ1572,WeightedMinAge14),MAX(CapacityAge14*'01_Вводные'!$B$218*'19_Расчет_аналитики'!AQ1572,MeanMinAge14)))</f>
        <v/>
      </c>
      <c r="AR1517">
        <f>IF(OR(('19_Расчет_аналитики'!AR1433-'19_Расчет_аналитики'!AR1461)=0,14&lt;='01_Вводные'!$B$297),0,('19_Расчет_аналитики'!AR1433-'19_Расчет_аналитики'!AR1461)*IF('01_Вводные'!$B$239="Да",MeanMinAge14+'19_Расчет_аналитики'!AR1572*SUMIF(ThresholdAge14,"&lt;"&amp;'19_Расчет_аналитики'!AR1572,WeightedRevAge14)-SUMIF(ThresholdAge14,"&lt;"&amp;'19_Расчет_аналитики'!AR1572,WeightedMinAge14),MAX(CapacityAge14*'01_Вводные'!$B$218*'19_Расчет_аналитики'!AR1572,MeanMinAge14)))</f>
        <v/>
      </c>
      <c r="AS1517">
        <f>IF(OR(('19_Расчет_аналитики'!AS1433-'19_Расчет_аналитики'!AS1461)=0,14&lt;='01_Вводные'!$B$297),0,('19_Расчет_аналитики'!AS1433-'19_Расчет_аналитики'!AS1461)*IF('01_Вводные'!$B$239="Да",MeanMinAge14+'19_Расчет_аналитики'!AS1572*SUMIF(ThresholdAge14,"&lt;"&amp;'19_Расчет_аналитики'!AS1572,WeightedRevAge14)-SUMIF(ThresholdAge14,"&lt;"&amp;'19_Расчет_аналитики'!AS1572,WeightedMinAge14),MAX(CapacityAge14*'01_Вводные'!$B$218*'19_Расчет_аналитики'!AS1572,MeanMinAge14)))</f>
        <v/>
      </c>
      <c r="AT1517">
        <f>IF(OR(('19_Расчет_аналитики'!AT1433-'19_Расчет_аналитики'!AT1461)=0,14&lt;='01_Вводные'!$B$297),0,('19_Расчет_аналитики'!AT1433-'19_Расчет_аналитики'!AT1461)*IF('01_Вводные'!$B$239="Да",MeanMinAge14+'19_Расчет_аналитики'!AT1572*SUMIF(ThresholdAge14,"&lt;"&amp;'19_Расчет_аналитики'!AT1572,WeightedRevAge14)-SUMIF(ThresholdAge14,"&lt;"&amp;'19_Расчет_аналитики'!AT1572,WeightedMinAge14),MAX(CapacityAge14*'01_Вводные'!$B$218*'19_Расчет_аналитики'!AT1572,MeanMinAge14)))</f>
        <v/>
      </c>
      <c r="AU1517">
        <f>IF(OR(('19_Расчет_аналитики'!AU1433-'19_Расчет_аналитики'!AU1461)=0,14&lt;='01_Вводные'!$B$297),0,('19_Расчет_аналитики'!AU1433-'19_Расчет_аналитики'!AU1461)*IF('01_Вводные'!$B$239="Да",MeanMinAge14+'19_Расчет_аналитики'!AU1572*SUMIF(ThresholdAge14,"&lt;"&amp;'19_Расчет_аналитики'!AU1572,WeightedRevAge14)-SUMIF(ThresholdAge14,"&lt;"&amp;'19_Расчет_аналитики'!AU1572,WeightedMinAge14),MAX(CapacityAge14*'01_Вводные'!$B$218*'19_Расчет_аналитики'!AU1572,MeanMinAge14)))</f>
        <v/>
      </c>
      <c r="AV1517">
        <f>IF(OR(('19_Расчет_аналитики'!AV1433-'19_Расчет_аналитики'!AV1461)=0,14&lt;='01_Вводные'!$B$297),0,('19_Расчет_аналитики'!AV1433-'19_Расчет_аналитики'!AV1461)*IF('01_Вводные'!$B$239="Да",MeanMinAge14+'19_Расчет_аналитики'!AV1572*SUMIF(ThresholdAge14,"&lt;"&amp;'19_Расчет_аналитики'!AV1572,WeightedRevAge14)-SUMIF(ThresholdAge14,"&lt;"&amp;'19_Расчет_аналитики'!AV1572,WeightedMinAge14),MAX(CapacityAge14*'01_Вводные'!$B$218*'19_Расчет_аналитики'!AV1572,MeanMinAge14)))</f>
        <v/>
      </c>
      <c r="AW1517">
        <f>IF(OR(('19_Расчет_аналитики'!AW1433-'19_Расчет_аналитики'!AW1461)=0,14&lt;='01_Вводные'!$B$297),0,('19_Расчет_аналитики'!AW1433-'19_Расчет_аналитики'!AW1461)*IF('01_Вводные'!$B$239="Да",MeanMinAge14+'19_Расчет_аналитики'!AW1572*SUMIF(ThresholdAge14,"&lt;"&amp;'19_Расчет_аналитики'!AW1572,WeightedRevAge14)-SUMIF(ThresholdAge14,"&lt;"&amp;'19_Расчет_аналитики'!AW1572,WeightedMinAge14),MAX(CapacityAge14*'01_Вводные'!$B$218*'19_Расчет_аналитики'!AW1572,MeanMinAge14)))</f>
        <v/>
      </c>
      <c r="AX1517">
        <f>IF(OR(('19_Расчет_аналитики'!AX1433-'19_Расчет_аналитики'!AX1461)=0,14&lt;='01_Вводные'!$B$297),0,('19_Расчет_аналитики'!AX1433-'19_Расчет_аналитики'!AX1461)*IF('01_Вводные'!$B$239="Да",MeanMinAge14+'19_Расчет_аналитики'!AX1572*SUMIF(ThresholdAge14,"&lt;"&amp;'19_Расчет_аналитики'!AX1572,WeightedRevAge14)-SUMIF(ThresholdAge14,"&lt;"&amp;'19_Расчет_аналитики'!AX1572,WeightedMinAge14),MAX(CapacityAge14*'01_Вводные'!$B$218*'19_Расчет_аналитики'!AX1572,MeanMinAge14)))</f>
        <v/>
      </c>
      <c r="AY1517">
        <f>IF(OR(('19_Расчет_аналитики'!AY1433-'19_Расчет_аналитики'!AY1461)=0,14&lt;='01_Вводные'!$B$297),0,('19_Расчет_аналитики'!AY1433-'19_Расчет_аналитики'!AY1461)*IF('01_Вводные'!$B$239="Да",MeanMinAge14+'19_Расчет_аналитики'!AY1572*SUMIF(ThresholdAge14,"&lt;"&amp;'19_Расчет_аналитики'!AY1572,WeightedRevAge14)-SUMIF(ThresholdAge14,"&lt;"&amp;'19_Расчет_аналитики'!AY1572,WeightedMinAge14),MAX(CapacityAge14*'01_Вводные'!$B$218*'19_Расчет_аналитики'!AY1572,MeanMinAge14)))</f>
        <v/>
      </c>
      <c r="AZ1517">
        <f>IF(OR(('19_Расчет_аналитики'!AZ1433-'19_Расчет_аналитики'!AZ1461)=0,14&lt;='01_Вводные'!$B$297),0,('19_Расчет_аналитики'!AZ1433-'19_Расчет_аналитики'!AZ1461)*IF('01_Вводные'!$B$239="Да",MeanMinAge14+'19_Расчет_аналитики'!AZ1572*SUMIF(ThresholdAge14,"&lt;"&amp;'19_Расчет_аналитики'!AZ1572,WeightedRevAge14)-SUMIF(ThresholdAge14,"&lt;"&amp;'19_Расчет_аналитики'!AZ1572,WeightedMinAge14),MAX(CapacityAge14*'01_Вводные'!$B$218*'19_Расчет_аналитики'!AZ1572,MeanMinAge14)))</f>
        <v/>
      </c>
      <c r="BA1517">
        <f>IF(OR(('19_Расчет_аналитики'!BA1433-'19_Расчет_аналитики'!BA1461)=0,14&lt;='01_Вводные'!$B$297),0,('19_Расчет_аналитики'!BA1433-'19_Расчет_аналитики'!BA1461)*IF('01_Вводные'!$B$239="Да",MeanMinAge14+'19_Расчет_аналитики'!BA1572*SUMIF(ThresholdAge14,"&lt;"&amp;'19_Расчет_аналитики'!BA1572,WeightedRevAge14)-SUMIF(ThresholdAge14,"&lt;"&amp;'19_Расчет_аналитики'!BA1572,WeightedMinAge14),MAX(CapacityAge14*'01_Вводные'!$B$218*'19_Расчет_аналитики'!BA1572,MeanMinAge14)))</f>
        <v/>
      </c>
      <c r="BB1517">
        <f>IF(OR(('19_Расчет_аналитики'!BB1433-'19_Расчет_аналитики'!BB1461)=0,14&lt;='01_Вводные'!$B$297),0,('19_Расчет_аналитики'!BB1433-'19_Расчет_аналитики'!BB1461)*IF('01_Вводные'!$B$239="Да",MeanMinAge14+'19_Расчет_аналитики'!BB1572*SUMIF(ThresholdAge14,"&lt;"&amp;'19_Расчет_аналитики'!BB1572,WeightedRevAge14)-SUMIF(ThresholdAge14,"&lt;"&amp;'19_Расчет_аналитики'!BB1572,WeightedMinAge14),MAX(CapacityAge14*'01_Вводные'!$B$218*'19_Расчет_аналитики'!BB1572,MeanMinAge14)))</f>
        <v/>
      </c>
      <c r="BC1517">
        <f>IF(OR(('19_Расчет_аналитики'!BC1433-'19_Расчет_аналитики'!BC1461)=0,14&lt;='01_Вводные'!$B$297),0,('19_Расчет_аналитики'!BC1433-'19_Расчет_аналитики'!BC1461)*IF('01_Вводные'!$B$239="Да",MeanMinAge14+'19_Расчет_аналитики'!BC1572*SUMIF(ThresholdAge14,"&lt;"&amp;'19_Расчет_аналитики'!BC1572,WeightedRevAge14)-SUMIF(ThresholdAge14,"&lt;"&amp;'19_Расчет_аналитики'!BC1572,WeightedMinAge14),MAX(CapacityAge14*'01_Вводные'!$B$218*'19_Расчет_аналитики'!BC1572,MeanMinAge14)))</f>
        <v/>
      </c>
      <c r="BD1517">
        <f>IF(OR(('19_Расчет_аналитики'!BD1433-'19_Расчет_аналитики'!BD1461)=0,14&lt;='01_Вводные'!$B$297),0,('19_Расчет_аналитики'!BD1433-'19_Расчет_аналитики'!BD1461)*IF('01_Вводные'!$B$239="Да",MeanMinAge14+'19_Расчет_аналитики'!BD1572*SUMIF(ThresholdAge14,"&lt;"&amp;'19_Расчет_аналитики'!BD1572,WeightedRevAge14)-SUMIF(ThresholdAge14,"&lt;"&amp;'19_Расчет_аналитики'!BD1572,WeightedMinAge14),MAX(CapacityAge14*'01_Вводные'!$B$218*'19_Расчет_аналитики'!BD1572,MeanMinAge14)))</f>
        <v/>
      </c>
      <c r="BE1517">
        <f>IF(OR(('19_Расчет_аналитики'!BE1433-'19_Расчет_аналитики'!BE1461)=0,14&lt;='01_Вводные'!$B$297),0,('19_Расчет_аналитики'!BE1433-'19_Расчет_аналитики'!BE1461)*IF('01_Вводные'!$B$239="Да",MeanMinAge14+'19_Расчет_аналитики'!BE1572*SUMIF(ThresholdAge14,"&lt;"&amp;'19_Расчет_аналитики'!BE1572,WeightedRevAge14)-SUMIF(ThresholdAge14,"&lt;"&amp;'19_Расчет_аналитики'!BE1572,WeightedMinAge14),MAX(CapacityAge14*'01_Вводные'!$B$218*'19_Расчет_аналитики'!BE1572,MeanMinAge14)))</f>
        <v/>
      </c>
      <c r="BF1517">
        <f>IF(OR(('19_Расчет_аналитики'!BF1433-'19_Расчет_аналитики'!BF1461)=0,14&lt;='01_Вводные'!$B$297),0,('19_Расчет_аналитики'!BF1433-'19_Расчет_аналитики'!BF1461)*IF('01_Вводные'!$B$239="Да",MeanMinAge14+'19_Расчет_аналитики'!BF1572*SUMIF(ThresholdAge14,"&lt;"&amp;'19_Расчет_аналитики'!BF1572,WeightedRevAge14)-SUMIF(ThresholdAge14,"&lt;"&amp;'19_Расчет_аналитики'!BF1572,WeightedMinAge14),MAX(CapacityAge14*'01_Вводные'!$B$218*'19_Расчет_аналитики'!BF1572,MeanMinAge14)))</f>
        <v/>
      </c>
      <c r="BG1517">
        <f>IF(OR(('19_Расчет_аналитики'!BG1433-'19_Расчет_аналитики'!BG1461)=0,14&lt;='01_Вводные'!$B$297),0,('19_Расчет_аналитики'!BG1433-'19_Расчет_аналитики'!BG1461)*IF('01_Вводные'!$B$239="Да",MeanMinAge14+'19_Расчет_аналитики'!BG1572*SUMIF(ThresholdAge14,"&lt;"&amp;'19_Расчет_аналитики'!BG1572,WeightedRevAge14)-SUMIF(ThresholdAge14,"&lt;"&amp;'19_Расчет_аналитики'!BG1572,WeightedMinAge14),MAX(CapacityAge14*'01_Вводные'!$B$218*'19_Расчет_аналитики'!BG1572,MeanMinAge14)))</f>
        <v/>
      </c>
      <c r="BH1517">
        <f>IF(OR(('19_Расчет_аналитики'!BH1433-'19_Расчет_аналитики'!BH1461)=0,14&lt;='01_Вводные'!$B$297),0,('19_Расчет_аналитики'!BH1433-'19_Расчет_аналитики'!BH1461)*IF('01_Вводные'!$B$239="Да",MeanMinAge14+'19_Расчет_аналитики'!BH1572*SUMIF(ThresholdAge14,"&lt;"&amp;'19_Расчет_аналитики'!BH1572,WeightedRevAge14)-SUMIF(ThresholdAge14,"&lt;"&amp;'19_Расчет_аналитики'!BH1572,WeightedMinAge14),MAX(CapacityAge14*'01_Вводные'!$B$218*'19_Расчет_аналитики'!BH1572,MeanMinAge14)))</f>
        <v/>
      </c>
      <c r="BI1517">
        <f>IF(OR(('19_Расчет_аналитики'!BI1433-'19_Расчет_аналитики'!BI1461)=0,14&lt;='01_Вводные'!$B$297),0,('19_Расчет_аналитики'!BI1433-'19_Расчет_аналитики'!BI1461)*IF('01_Вводные'!$B$239="Да",MeanMinAge14+'19_Расчет_аналитики'!BI1572*SUMIF(ThresholdAge14,"&lt;"&amp;'19_Расчет_аналитики'!BI1572,WeightedRevAge14)-SUMIF(ThresholdAge14,"&lt;"&amp;'19_Расчет_аналитики'!BI1572,WeightedMinAge14),MAX(CapacityAge14*'01_Вводные'!$B$218*'19_Расчет_аналитики'!BI1572,MeanMinAge14)))</f>
        <v/>
      </c>
      <c r="BJ1517">
        <f>IF(OR(('19_Расчет_аналитики'!BJ1433-'19_Расчет_аналитики'!BJ1461)=0,14&lt;='01_Вводные'!$B$297),0,('19_Расчет_аналитики'!BJ1433-'19_Расчет_аналитики'!BJ1461)*IF('01_Вводные'!$B$239="Да",MeanMinAge14+'19_Расчет_аналитики'!BJ1572*SUMIF(ThresholdAge14,"&lt;"&amp;'19_Расчет_аналитики'!BJ1572,WeightedRevAge14)-SUMIF(ThresholdAge14,"&lt;"&amp;'19_Расчет_аналитики'!BJ1572,WeightedMinAge14),MAX(CapacityAge14*'01_Вводные'!$B$218*'19_Расчет_аналитики'!BJ1572,MeanMinAge14)))</f>
        <v/>
      </c>
      <c r="BK1517">
        <f>IF(OR(('19_Расчет_аналитики'!BK1433-'19_Расчет_аналитики'!BK1461)=0,14&lt;='01_Вводные'!$B$297),0,('19_Расчет_аналитики'!BK1433-'19_Расчет_аналитики'!BK1461)*IF('01_Вводные'!$B$239="Да",MeanMinAge14+'19_Расчет_аналитики'!BK1572*SUMIF(ThresholdAge14,"&lt;"&amp;'19_Расчет_аналитики'!BK1572,WeightedRevAge14)-SUMIF(ThresholdAge14,"&lt;"&amp;'19_Расчет_аналитики'!BK1572,WeightedMinAge14),MAX(CapacityAge14*'01_Вводные'!$B$218*'19_Расчет_аналитики'!BK1572,MeanMinAge14)))</f>
        <v/>
      </c>
      <c r="BL1517">
        <f>IF(OR(('19_Расчет_аналитики'!BL1433-'19_Расчет_аналитики'!BL1461)=0,14&lt;='01_Вводные'!$B$297),0,('19_Расчет_аналитики'!BL1433-'19_Расчет_аналитики'!BL1461)*IF('01_Вводные'!$B$239="Да",MeanMinAge14+'19_Расчет_аналитики'!BL1572*SUMIF(ThresholdAge14,"&lt;"&amp;'19_Расчет_аналитики'!BL1572,WeightedRevAge14)-SUMIF(ThresholdAge14,"&lt;"&amp;'19_Расчет_аналитики'!BL1572,WeightedMinAge14),MAX(CapacityAge14*'01_Вводные'!$B$218*'19_Расчет_аналитики'!BL1572,MeanMinAge14)))</f>
        <v/>
      </c>
      <c r="BM1517">
        <f>IF(OR(('19_Расчет_аналитики'!BM1433-'19_Расчет_аналитики'!BM1461)=0,14&lt;='01_Вводные'!$B$297),0,('19_Расчет_аналитики'!BM1433-'19_Расчет_аналитики'!BM1461)*IF('01_Вводные'!$B$239="Да",MeanMinAge14+'19_Расчет_аналитики'!BM1572*SUMIF(ThresholdAge14,"&lt;"&amp;'19_Расчет_аналитики'!BM1572,WeightedRevAge14)-SUMIF(ThresholdAge14,"&lt;"&amp;'19_Расчет_аналитики'!BM1572,WeightedMinAge14),MAX(CapacityAge14*'01_Вводные'!$B$218*'19_Расчет_аналитики'!BM1572,MeanMinAge14)))</f>
        <v/>
      </c>
      <c r="BN1517">
        <f>IF(OR(('19_Расчет_аналитики'!BN1433-'19_Расчет_аналитики'!BN1461)=0,14&lt;='01_Вводные'!$B$297),0,('19_Расчет_аналитики'!BN1433-'19_Расчет_аналитики'!BN1461)*IF('01_Вводные'!$B$239="Да",MeanMinAge14+'19_Расчет_аналитики'!BN1572*SUMIF(ThresholdAge14,"&lt;"&amp;'19_Расчет_аналитики'!BN1572,WeightedRevAge14)-SUMIF(ThresholdAge14,"&lt;"&amp;'19_Расчет_аналитики'!BN1572,WeightedMinAge14),MAX(CapacityAge14*'01_Вводные'!$B$218*'19_Расчет_аналитики'!BN1572,MeanMinAge14)))</f>
        <v/>
      </c>
      <c r="BO1517">
        <f>IF(OR(('19_Расчет_аналитики'!BO1433-'19_Расчет_аналитики'!BO1461)=0,14&lt;='01_Вводные'!$B$297),0,('19_Расчет_аналитики'!BO1433-'19_Расчет_аналитики'!BO1461)*IF('01_Вводные'!$B$239="Да",MeanMinAge14+'19_Расчет_аналитики'!BO1572*SUMIF(ThresholdAge14,"&lt;"&amp;'19_Расчет_аналитики'!BO1572,WeightedRevAge14)-SUMIF(ThresholdAge14,"&lt;"&amp;'19_Расчет_аналитики'!BO1572,WeightedMinAge14),MAX(CapacityAge14*'01_Вводные'!$B$218*'19_Расчет_аналитики'!BO1572,MeanMinAge14)))</f>
        <v/>
      </c>
    </row>
    <row r="1518">
      <c r="B1518">
        <f>IF(OR(('06_Сеть_и_дети'!B67-'06_Сеть_и_дети'!B95)=0,15&lt;='01_Вводные'!$B$297),0,('06_Сеть_и_дети'!B67-'06_Сеть_и_дети'!B95)*IF('01_Вводные'!$B$239="Да",MeanMinAge15+'19_Расчет_аналитики'!B1572*SUMIF(ThresholdAge15,"&lt;"&amp;'19_Расчет_аналитики'!B1572,WeightedRevAge15)-SUMIF(ThresholdAge15,"&lt;"&amp;'19_Расчет_аналитики'!B1572,WeightedMinAge15),MAX(CapacityAge15*'01_Вводные'!$B$218*'19_Расчет_аналитики'!B1572,MeanMinAge15)))</f>
        <v/>
      </c>
      <c r="C1518">
        <f>IF(OR(('06_Сеть_и_дети'!C67-'06_Сеть_и_дети'!C95)=0,15&lt;='01_Вводные'!$B$297),0,('06_Сеть_и_дети'!C67-'06_Сеть_и_дети'!C95)*IF('01_Вводные'!$B$239="Да",MeanMinAge15+'19_Расчет_аналитики'!C1572*SUMIF(ThresholdAge15,"&lt;"&amp;'19_Расчет_аналитики'!C1572,WeightedRevAge15)-SUMIF(ThresholdAge15,"&lt;"&amp;'19_Расчет_аналитики'!C1572,WeightedMinAge15),MAX(CapacityAge15*'01_Вводные'!$B$218*'19_Расчет_аналитики'!C1572,MeanMinAge15)))</f>
        <v/>
      </c>
      <c r="D1518">
        <f>IF(OR(('06_Сеть_и_дети'!D67-'06_Сеть_и_дети'!D95)=0,15&lt;='01_Вводные'!$B$297),0,('06_Сеть_и_дети'!D67-'06_Сеть_и_дети'!D95)*IF('01_Вводные'!$B$239="Да",MeanMinAge15+'19_Расчет_аналитики'!D1572*SUMIF(ThresholdAge15,"&lt;"&amp;'19_Расчет_аналитики'!D1572,WeightedRevAge15)-SUMIF(ThresholdAge15,"&lt;"&amp;'19_Расчет_аналитики'!D1572,WeightedMinAge15),MAX(CapacityAge15*'01_Вводные'!$B$218*'19_Расчет_аналитики'!D1572,MeanMinAge15)))</f>
        <v/>
      </c>
      <c r="E1518">
        <f>IF(OR(('06_Сеть_и_дети'!E67-'06_Сеть_и_дети'!E95)=0,15&lt;='01_Вводные'!$B$297),0,('06_Сеть_и_дети'!E67-'06_Сеть_и_дети'!E95)*IF('01_Вводные'!$B$239="Да",MeanMinAge15+'19_Расчет_аналитики'!E1572*SUMIF(ThresholdAge15,"&lt;"&amp;'19_Расчет_аналитики'!E1572,WeightedRevAge15)-SUMIF(ThresholdAge15,"&lt;"&amp;'19_Расчет_аналитики'!E1572,WeightedMinAge15),MAX(CapacityAge15*'01_Вводные'!$B$218*'19_Расчет_аналитики'!E1572,MeanMinAge15)))</f>
        <v/>
      </c>
      <c r="F1518">
        <f>IF(OR(('06_Сеть_и_дети'!F67-'06_Сеть_и_дети'!F95)=0,15&lt;='01_Вводные'!$B$297),0,('06_Сеть_и_дети'!F67-'06_Сеть_и_дети'!F95)*IF('01_Вводные'!$B$239="Да",MeanMinAge15+'19_Расчет_аналитики'!F1572*SUMIF(ThresholdAge15,"&lt;"&amp;'19_Расчет_аналитики'!F1572,WeightedRevAge15)-SUMIF(ThresholdAge15,"&lt;"&amp;'19_Расчет_аналитики'!F1572,WeightedMinAge15),MAX(CapacityAge15*'01_Вводные'!$B$218*'19_Расчет_аналитики'!F1572,MeanMinAge15)))</f>
        <v/>
      </c>
      <c r="G1518">
        <f>IF(OR(('06_Сеть_и_дети'!G67-'06_Сеть_и_дети'!G95)=0,15&lt;='01_Вводные'!$B$297),0,('06_Сеть_и_дети'!G67-'06_Сеть_и_дети'!G95)*IF('01_Вводные'!$B$239="Да",MeanMinAge15+'19_Расчет_аналитики'!G1572*SUMIF(ThresholdAge15,"&lt;"&amp;'19_Расчет_аналитики'!G1572,WeightedRevAge15)-SUMIF(ThresholdAge15,"&lt;"&amp;'19_Расчет_аналитики'!G1572,WeightedMinAge15),MAX(CapacityAge15*'01_Вводные'!$B$218*'19_Расчет_аналитики'!G1572,MeanMinAge15)))</f>
        <v/>
      </c>
      <c r="H1518">
        <f>IF(OR(('06_Сеть_и_дети'!H67-'06_Сеть_и_дети'!H95)=0,15&lt;='01_Вводные'!$B$297),0,('06_Сеть_и_дети'!H67-'06_Сеть_и_дети'!H95)*IF('01_Вводные'!$B$239="Да",MeanMinAge15+'19_Расчет_аналитики'!H1572*SUMIF(ThresholdAge15,"&lt;"&amp;'19_Расчет_аналитики'!H1572,WeightedRevAge15)-SUMIF(ThresholdAge15,"&lt;"&amp;'19_Расчет_аналитики'!H1572,WeightedMinAge15),MAX(CapacityAge15*'01_Вводные'!$B$218*'19_Расчет_аналитики'!H1572,MeanMinAge15)))</f>
        <v/>
      </c>
      <c r="I1518">
        <f>IF(OR(('06_Сеть_и_дети'!I67-'06_Сеть_и_дети'!I95)=0,15&lt;='01_Вводные'!$B$297),0,('06_Сеть_и_дети'!I67-'06_Сеть_и_дети'!I95)*IF('01_Вводные'!$B$239="Да",MeanMinAge15+'19_Расчет_аналитики'!I1572*SUMIF(ThresholdAge15,"&lt;"&amp;'19_Расчет_аналитики'!I1572,WeightedRevAge15)-SUMIF(ThresholdAge15,"&lt;"&amp;'19_Расчет_аналитики'!I1572,WeightedMinAge15),MAX(CapacityAge15*'01_Вводные'!$B$218*'19_Расчет_аналитики'!I1572,MeanMinAge15)))</f>
        <v/>
      </c>
      <c r="J1518">
        <f>IF(OR(('06_Сеть_и_дети'!J67-'06_Сеть_и_дети'!J95)=0,15&lt;='01_Вводные'!$B$297),0,('06_Сеть_и_дети'!J67-'06_Сеть_и_дети'!J95)*IF('01_Вводные'!$B$239="Да",MeanMinAge15+'19_Расчет_аналитики'!J1572*SUMIF(ThresholdAge15,"&lt;"&amp;'19_Расчет_аналитики'!J1572,WeightedRevAge15)-SUMIF(ThresholdAge15,"&lt;"&amp;'19_Расчет_аналитики'!J1572,WeightedMinAge15),MAX(CapacityAge15*'01_Вводные'!$B$218*'19_Расчет_аналитики'!J1572,MeanMinAge15)))</f>
        <v/>
      </c>
      <c r="K1518">
        <f>IF(OR(('06_Сеть_и_дети'!K67-'06_Сеть_и_дети'!K95)=0,15&lt;='01_Вводные'!$B$297),0,('06_Сеть_и_дети'!K67-'06_Сеть_и_дети'!K95)*IF('01_Вводные'!$B$239="Да",MeanMinAge15+'19_Расчет_аналитики'!K1572*SUMIF(ThresholdAge15,"&lt;"&amp;'19_Расчет_аналитики'!K1572,WeightedRevAge15)-SUMIF(ThresholdAge15,"&lt;"&amp;'19_Расчет_аналитики'!K1572,WeightedMinAge15),MAX(CapacityAge15*'01_Вводные'!$B$218*'19_Расчет_аналитики'!K1572,MeanMinAge15)))</f>
        <v/>
      </c>
      <c r="L1518">
        <f>IF(OR(('06_Сеть_и_дети'!L67-'06_Сеть_и_дети'!L95)=0,15&lt;='01_Вводные'!$B$297),0,('06_Сеть_и_дети'!L67-'06_Сеть_и_дети'!L95)*IF('01_Вводные'!$B$239="Да",MeanMinAge15+'19_Расчет_аналитики'!L1572*SUMIF(ThresholdAge15,"&lt;"&amp;'19_Расчет_аналитики'!L1572,WeightedRevAge15)-SUMIF(ThresholdAge15,"&lt;"&amp;'19_Расчет_аналитики'!L1572,WeightedMinAge15),MAX(CapacityAge15*'01_Вводные'!$B$218*'19_Расчет_аналитики'!L1572,MeanMinAge15)))</f>
        <v/>
      </c>
      <c r="M1518">
        <f>IF(OR(('06_Сеть_и_дети'!M67-'06_Сеть_и_дети'!M95)=0,15&lt;='01_Вводные'!$B$297),0,('06_Сеть_и_дети'!M67-'06_Сеть_и_дети'!M95)*IF('01_Вводные'!$B$239="Да",MeanMinAge15+'19_Расчет_аналитики'!M1572*SUMIF(ThresholdAge15,"&lt;"&amp;'19_Расчет_аналитики'!M1572,WeightedRevAge15)-SUMIF(ThresholdAge15,"&lt;"&amp;'19_Расчет_аналитики'!M1572,WeightedMinAge15),MAX(CapacityAge15*'01_Вводные'!$B$218*'19_Расчет_аналитики'!M1572,MeanMinAge15)))</f>
        <v/>
      </c>
      <c r="N1518">
        <f>IF(OR(('06_Сеть_и_дети'!N67-'06_Сеть_и_дети'!N95)=0,15&lt;='01_Вводные'!$B$297),0,('06_Сеть_и_дети'!N67-'06_Сеть_и_дети'!N95)*IF('01_Вводные'!$B$239="Да",MeanMinAge15+'19_Расчет_аналитики'!N1572*SUMIF(ThresholdAge15,"&lt;"&amp;'19_Расчет_аналитики'!N1572,WeightedRevAge15)-SUMIF(ThresholdAge15,"&lt;"&amp;'19_Расчет_аналитики'!N1572,WeightedMinAge15),MAX(CapacityAge15*'01_Вводные'!$B$218*'19_Расчет_аналитики'!N1572,MeanMinAge15)))</f>
        <v/>
      </c>
      <c r="O1518">
        <f>IF(OR(('06_Сеть_и_дети'!O67-'06_Сеть_и_дети'!O95)=0,15&lt;='01_Вводные'!$B$297),0,('06_Сеть_и_дети'!O67-'06_Сеть_и_дети'!O95)*IF('01_Вводные'!$B$239="Да",MeanMinAge15+'19_Расчет_аналитики'!O1572*SUMIF(ThresholdAge15,"&lt;"&amp;'19_Расчет_аналитики'!O1572,WeightedRevAge15)-SUMIF(ThresholdAge15,"&lt;"&amp;'19_Расчет_аналитики'!O1572,WeightedMinAge15),MAX(CapacityAge15*'01_Вводные'!$B$218*'19_Расчет_аналитики'!O1572,MeanMinAge15)))</f>
        <v/>
      </c>
      <c r="P1518">
        <f>IF(OR(('19_Расчет_аналитики'!P1434-'19_Расчет_аналитики'!P1462)=0,15&lt;='01_Вводные'!$B$297),0,('19_Расчет_аналитики'!P1434-'19_Расчет_аналитики'!P1462)*IF('01_Вводные'!$B$239="Да",MeanMinAge15+'19_Расчет_аналитики'!P1572*SUMIF(ThresholdAge15,"&lt;"&amp;'19_Расчет_аналитики'!P1572,WeightedRevAge15)-SUMIF(ThresholdAge15,"&lt;"&amp;'19_Расчет_аналитики'!P1572,WeightedMinAge15),MAX(CapacityAge15*'01_Вводные'!$B$218*'19_Расчет_аналитики'!P1572,MeanMinAge15)))</f>
        <v/>
      </c>
      <c r="Q1518">
        <f>IF(OR(('19_Расчет_аналитики'!Q1434-'19_Расчет_аналитики'!Q1462)=0,15&lt;='01_Вводные'!$B$297),0,('19_Расчет_аналитики'!Q1434-'19_Расчет_аналитики'!Q1462)*IF('01_Вводные'!$B$239="Да",MeanMinAge15+'19_Расчет_аналитики'!Q1572*SUMIF(ThresholdAge15,"&lt;"&amp;'19_Расчет_аналитики'!Q1572,WeightedRevAge15)-SUMIF(ThresholdAge15,"&lt;"&amp;'19_Расчет_аналитики'!Q1572,WeightedMinAge15),MAX(CapacityAge15*'01_Вводные'!$B$218*'19_Расчет_аналитики'!Q1572,MeanMinAge15)))</f>
        <v/>
      </c>
      <c r="R1518">
        <f>IF(OR(('19_Расчет_аналитики'!R1434-'19_Расчет_аналитики'!R1462)=0,15&lt;='01_Вводные'!$B$297),0,('19_Расчет_аналитики'!R1434-'19_Расчет_аналитики'!R1462)*IF('01_Вводные'!$B$239="Да",MeanMinAge15+'19_Расчет_аналитики'!R1572*SUMIF(ThresholdAge15,"&lt;"&amp;'19_Расчет_аналитики'!R1572,WeightedRevAge15)-SUMIF(ThresholdAge15,"&lt;"&amp;'19_Расчет_аналитики'!R1572,WeightedMinAge15),MAX(CapacityAge15*'01_Вводные'!$B$218*'19_Расчет_аналитики'!R1572,MeanMinAge15)))</f>
        <v/>
      </c>
      <c r="S1518">
        <f>IF(OR(('19_Расчет_аналитики'!S1434-'19_Расчет_аналитики'!S1462)=0,15&lt;='01_Вводные'!$B$297),0,('19_Расчет_аналитики'!S1434-'19_Расчет_аналитики'!S1462)*IF('01_Вводные'!$B$239="Да",MeanMinAge15+'19_Расчет_аналитики'!S1572*SUMIF(ThresholdAge15,"&lt;"&amp;'19_Расчет_аналитики'!S1572,WeightedRevAge15)-SUMIF(ThresholdAge15,"&lt;"&amp;'19_Расчет_аналитики'!S1572,WeightedMinAge15),MAX(CapacityAge15*'01_Вводные'!$B$218*'19_Расчет_аналитики'!S1572,MeanMinAge15)))</f>
        <v/>
      </c>
      <c r="T1518">
        <f>IF(OR(('19_Расчет_аналитики'!T1434-'19_Расчет_аналитики'!T1462)=0,15&lt;='01_Вводные'!$B$297),0,('19_Расчет_аналитики'!T1434-'19_Расчет_аналитики'!T1462)*IF('01_Вводные'!$B$239="Да",MeanMinAge15+'19_Расчет_аналитики'!T1572*SUMIF(ThresholdAge15,"&lt;"&amp;'19_Расчет_аналитики'!T1572,WeightedRevAge15)-SUMIF(ThresholdAge15,"&lt;"&amp;'19_Расчет_аналитики'!T1572,WeightedMinAge15),MAX(CapacityAge15*'01_Вводные'!$B$218*'19_Расчет_аналитики'!T1572,MeanMinAge15)))</f>
        <v/>
      </c>
      <c r="U1518">
        <f>IF(OR(('19_Расчет_аналитики'!U1434-'19_Расчет_аналитики'!U1462)=0,15&lt;='01_Вводные'!$B$297),0,('19_Расчет_аналитики'!U1434-'19_Расчет_аналитики'!U1462)*IF('01_Вводные'!$B$239="Да",MeanMinAge15+'19_Расчет_аналитики'!U1572*SUMIF(ThresholdAge15,"&lt;"&amp;'19_Расчет_аналитики'!U1572,WeightedRevAge15)-SUMIF(ThresholdAge15,"&lt;"&amp;'19_Расчет_аналитики'!U1572,WeightedMinAge15),MAX(CapacityAge15*'01_Вводные'!$B$218*'19_Расчет_аналитики'!U1572,MeanMinAge15)))</f>
        <v/>
      </c>
      <c r="V1518">
        <f>IF(OR(('19_Расчет_аналитики'!V1434-'19_Расчет_аналитики'!V1462)=0,15&lt;='01_Вводные'!$B$297),0,('19_Расчет_аналитики'!V1434-'19_Расчет_аналитики'!V1462)*IF('01_Вводные'!$B$239="Да",MeanMinAge15+'19_Расчет_аналитики'!V1572*SUMIF(ThresholdAge15,"&lt;"&amp;'19_Расчет_аналитики'!V1572,WeightedRevAge15)-SUMIF(ThresholdAge15,"&lt;"&amp;'19_Расчет_аналитики'!V1572,WeightedMinAge15),MAX(CapacityAge15*'01_Вводные'!$B$218*'19_Расчет_аналитики'!V1572,MeanMinAge15)))</f>
        <v/>
      </c>
      <c r="W1518">
        <f>IF(OR(('19_Расчет_аналитики'!W1434-'19_Расчет_аналитики'!W1462)=0,15&lt;='01_Вводные'!$B$297),0,('19_Расчет_аналитики'!W1434-'19_Расчет_аналитики'!W1462)*IF('01_Вводные'!$B$239="Да",MeanMinAge15+'19_Расчет_аналитики'!W1572*SUMIF(ThresholdAge15,"&lt;"&amp;'19_Расчет_аналитики'!W1572,WeightedRevAge15)-SUMIF(ThresholdAge15,"&lt;"&amp;'19_Расчет_аналитики'!W1572,WeightedMinAge15),MAX(CapacityAge15*'01_Вводные'!$B$218*'19_Расчет_аналитики'!W1572,MeanMinAge15)))</f>
        <v/>
      </c>
      <c r="X1518">
        <f>IF(OR(('19_Расчет_аналитики'!X1434-'19_Расчет_аналитики'!X1462)=0,15&lt;='01_Вводные'!$B$297),0,('19_Расчет_аналитики'!X1434-'19_Расчет_аналитики'!X1462)*IF('01_Вводные'!$B$239="Да",MeanMinAge15+'19_Расчет_аналитики'!X1572*SUMIF(ThresholdAge15,"&lt;"&amp;'19_Расчет_аналитики'!X1572,WeightedRevAge15)-SUMIF(ThresholdAge15,"&lt;"&amp;'19_Расчет_аналитики'!X1572,WeightedMinAge15),MAX(CapacityAge15*'01_Вводные'!$B$218*'19_Расчет_аналитики'!X1572,MeanMinAge15)))</f>
        <v/>
      </c>
      <c r="Y1518">
        <f>IF(OR(('19_Расчет_аналитики'!Y1434-'19_Расчет_аналитики'!Y1462)=0,15&lt;='01_Вводные'!$B$297),0,('19_Расчет_аналитики'!Y1434-'19_Расчет_аналитики'!Y1462)*IF('01_Вводные'!$B$239="Да",MeanMinAge15+'19_Расчет_аналитики'!Y1572*SUMIF(ThresholdAge15,"&lt;"&amp;'19_Расчет_аналитики'!Y1572,WeightedRevAge15)-SUMIF(ThresholdAge15,"&lt;"&amp;'19_Расчет_аналитики'!Y1572,WeightedMinAge15),MAX(CapacityAge15*'01_Вводные'!$B$218*'19_Расчет_аналитики'!Y1572,MeanMinAge15)))</f>
        <v/>
      </c>
      <c r="Z1518">
        <f>IF(OR(('19_Расчет_аналитики'!Z1434-'19_Расчет_аналитики'!Z1462)=0,15&lt;='01_Вводные'!$B$297),0,('19_Расчет_аналитики'!Z1434-'19_Расчет_аналитики'!Z1462)*IF('01_Вводные'!$B$239="Да",MeanMinAge15+'19_Расчет_аналитики'!Z1572*SUMIF(ThresholdAge15,"&lt;"&amp;'19_Расчет_аналитики'!Z1572,WeightedRevAge15)-SUMIF(ThresholdAge15,"&lt;"&amp;'19_Расчет_аналитики'!Z1572,WeightedMinAge15),MAX(CapacityAge15*'01_Вводные'!$B$218*'19_Расчет_аналитики'!Z1572,MeanMinAge15)))</f>
        <v/>
      </c>
      <c r="AA1518">
        <f>IF(OR(('19_Расчет_аналитики'!AA1434-'19_Расчет_аналитики'!AA1462)=0,15&lt;='01_Вводные'!$B$297),0,('19_Расчет_аналитики'!AA1434-'19_Расчет_аналитики'!AA1462)*IF('01_Вводные'!$B$239="Да",MeanMinAge15+'19_Расчет_аналитики'!AA1572*SUMIF(ThresholdAge15,"&lt;"&amp;'19_Расчет_аналитики'!AA1572,WeightedRevAge15)-SUMIF(ThresholdAge15,"&lt;"&amp;'19_Расчет_аналитики'!AA1572,WeightedMinAge15),MAX(CapacityAge15*'01_Вводные'!$B$218*'19_Расчет_аналитики'!AA1572,MeanMinAge15)))</f>
        <v/>
      </c>
      <c r="AB1518">
        <f>IF(OR(('19_Расчет_аналитики'!AB1434-'19_Расчет_аналитики'!AB1462)=0,15&lt;='01_Вводные'!$B$297),0,('19_Расчет_аналитики'!AB1434-'19_Расчет_аналитики'!AB1462)*IF('01_Вводные'!$B$239="Да",MeanMinAge15+'19_Расчет_аналитики'!AB1572*SUMIF(ThresholdAge15,"&lt;"&amp;'19_Расчет_аналитики'!AB1572,WeightedRevAge15)-SUMIF(ThresholdAge15,"&lt;"&amp;'19_Расчет_аналитики'!AB1572,WeightedMinAge15),MAX(CapacityAge15*'01_Вводные'!$B$218*'19_Расчет_аналитики'!AB1572,MeanMinAge15)))</f>
        <v/>
      </c>
      <c r="AC1518">
        <f>IF(OR(('19_Расчет_аналитики'!AC1434-'19_Расчет_аналитики'!AC1462)=0,15&lt;='01_Вводные'!$B$297),0,('19_Расчет_аналитики'!AC1434-'19_Расчет_аналитики'!AC1462)*IF('01_Вводные'!$B$239="Да",MeanMinAge15+'19_Расчет_аналитики'!AC1572*SUMIF(ThresholdAge15,"&lt;"&amp;'19_Расчет_аналитики'!AC1572,WeightedRevAge15)-SUMIF(ThresholdAge15,"&lt;"&amp;'19_Расчет_аналитики'!AC1572,WeightedMinAge15),MAX(CapacityAge15*'01_Вводные'!$B$218*'19_Расчет_аналитики'!AC1572,MeanMinAge15)))</f>
        <v/>
      </c>
      <c r="AD1518">
        <f>IF(OR(('19_Расчет_аналитики'!AD1434-'19_Расчет_аналитики'!AD1462)=0,15&lt;='01_Вводные'!$B$297),0,('19_Расчет_аналитики'!AD1434-'19_Расчет_аналитики'!AD1462)*IF('01_Вводные'!$B$239="Да",MeanMinAge15+'19_Расчет_аналитики'!AD1572*SUMIF(ThresholdAge15,"&lt;"&amp;'19_Расчет_аналитики'!AD1572,WeightedRevAge15)-SUMIF(ThresholdAge15,"&lt;"&amp;'19_Расчет_аналитики'!AD1572,WeightedMinAge15),MAX(CapacityAge15*'01_Вводные'!$B$218*'19_Расчет_аналитики'!AD1572,MeanMinAge15)))</f>
        <v/>
      </c>
      <c r="AE1518">
        <f>IF(OR(('19_Расчет_аналитики'!AE1434-'19_Расчет_аналитики'!AE1462)=0,15&lt;='01_Вводные'!$B$297),0,('19_Расчет_аналитики'!AE1434-'19_Расчет_аналитики'!AE1462)*IF('01_Вводные'!$B$239="Да",MeanMinAge15+'19_Расчет_аналитики'!AE1572*SUMIF(ThresholdAge15,"&lt;"&amp;'19_Расчет_аналитики'!AE1572,WeightedRevAge15)-SUMIF(ThresholdAge15,"&lt;"&amp;'19_Расчет_аналитики'!AE1572,WeightedMinAge15),MAX(CapacityAge15*'01_Вводные'!$B$218*'19_Расчет_аналитики'!AE1572,MeanMinAge15)))</f>
        <v/>
      </c>
      <c r="AF1518">
        <f>IF(OR(('19_Расчет_аналитики'!AF1434-'19_Расчет_аналитики'!AF1462)=0,15&lt;='01_Вводные'!$B$297),0,('19_Расчет_аналитики'!AF1434-'19_Расчет_аналитики'!AF1462)*IF('01_Вводные'!$B$239="Да",MeanMinAge15+'19_Расчет_аналитики'!AF1572*SUMIF(ThresholdAge15,"&lt;"&amp;'19_Расчет_аналитики'!AF1572,WeightedRevAge15)-SUMIF(ThresholdAge15,"&lt;"&amp;'19_Расчет_аналитики'!AF1572,WeightedMinAge15),MAX(CapacityAge15*'01_Вводные'!$B$218*'19_Расчет_аналитики'!AF1572,MeanMinAge15)))</f>
        <v/>
      </c>
      <c r="AG1518">
        <f>IF(OR(('19_Расчет_аналитики'!AG1434-'19_Расчет_аналитики'!AG1462)=0,15&lt;='01_Вводные'!$B$297),0,('19_Расчет_аналитики'!AG1434-'19_Расчет_аналитики'!AG1462)*IF('01_Вводные'!$B$239="Да",MeanMinAge15+'19_Расчет_аналитики'!AG1572*SUMIF(ThresholdAge15,"&lt;"&amp;'19_Расчет_аналитики'!AG1572,WeightedRevAge15)-SUMIF(ThresholdAge15,"&lt;"&amp;'19_Расчет_аналитики'!AG1572,WeightedMinAge15),MAX(CapacityAge15*'01_Вводные'!$B$218*'19_Расчет_аналитики'!AG1572,MeanMinAge15)))</f>
        <v/>
      </c>
      <c r="AH1518">
        <f>IF(OR(('19_Расчет_аналитики'!AH1434-'19_Расчет_аналитики'!AH1462)=0,15&lt;='01_Вводные'!$B$297),0,('19_Расчет_аналитики'!AH1434-'19_Расчет_аналитики'!AH1462)*IF('01_Вводные'!$B$239="Да",MeanMinAge15+'19_Расчет_аналитики'!AH1572*SUMIF(ThresholdAge15,"&lt;"&amp;'19_Расчет_аналитики'!AH1572,WeightedRevAge15)-SUMIF(ThresholdAge15,"&lt;"&amp;'19_Расчет_аналитики'!AH1572,WeightedMinAge15),MAX(CapacityAge15*'01_Вводные'!$B$218*'19_Расчет_аналитики'!AH1572,MeanMinAge15)))</f>
        <v/>
      </c>
      <c r="AI1518">
        <f>IF(OR(('19_Расчет_аналитики'!AI1434-'19_Расчет_аналитики'!AI1462)=0,15&lt;='01_Вводные'!$B$297),0,('19_Расчет_аналитики'!AI1434-'19_Расчет_аналитики'!AI1462)*IF('01_Вводные'!$B$239="Да",MeanMinAge15+'19_Расчет_аналитики'!AI1572*SUMIF(ThresholdAge15,"&lt;"&amp;'19_Расчет_аналитики'!AI1572,WeightedRevAge15)-SUMIF(ThresholdAge15,"&lt;"&amp;'19_Расчет_аналитики'!AI1572,WeightedMinAge15),MAX(CapacityAge15*'01_Вводные'!$B$218*'19_Расчет_аналитики'!AI1572,MeanMinAge15)))</f>
        <v/>
      </c>
      <c r="AJ1518">
        <f>IF(OR(('19_Расчет_аналитики'!AJ1434-'19_Расчет_аналитики'!AJ1462)=0,15&lt;='01_Вводные'!$B$297),0,('19_Расчет_аналитики'!AJ1434-'19_Расчет_аналитики'!AJ1462)*IF('01_Вводные'!$B$239="Да",MeanMinAge15+'19_Расчет_аналитики'!AJ1572*SUMIF(ThresholdAge15,"&lt;"&amp;'19_Расчет_аналитики'!AJ1572,WeightedRevAge15)-SUMIF(ThresholdAge15,"&lt;"&amp;'19_Расчет_аналитики'!AJ1572,WeightedMinAge15),MAX(CapacityAge15*'01_Вводные'!$B$218*'19_Расчет_аналитики'!AJ1572,MeanMinAge15)))</f>
        <v/>
      </c>
      <c r="AK1518">
        <f>IF(OR(('19_Расчет_аналитики'!AK1434-'19_Расчет_аналитики'!AK1462)=0,15&lt;='01_Вводные'!$B$297),0,('19_Расчет_аналитики'!AK1434-'19_Расчет_аналитики'!AK1462)*IF('01_Вводные'!$B$239="Да",MeanMinAge15+'19_Расчет_аналитики'!AK1572*SUMIF(ThresholdAge15,"&lt;"&amp;'19_Расчет_аналитики'!AK1572,WeightedRevAge15)-SUMIF(ThresholdAge15,"&lt;"&amp;'19_Расчет_аналитики'!AK1572,WeightedMinAge15),MAX(CapacityAge15*'01_Вводные'!$B$218*'19_Расчет_аналитики'!AK1572,MeanMinAge15)))</f>
        <v/>
      </c>
      <c r="AL1518">
        <f>IF(OR(('19_Расчет_аналитики'!AL1434-'19_Расчет_аналитики'!AL1462)=0,15&lt;='01_Вводные'!$B$297),0,('19_Расчет_аналитики'!AL1434-'19_Расчет_аналитики'!AL1462)*IF('01_Вводные'!$B$239="Да",MeanMinAge15+'19_Расчет_аналитики'!AL1572*SUMIF(ThresholdAge15,"&lt;"&amp;'19_Расчет_аналитики'!AL1572,WeightedRevAge15)-SUMIF(ThresholdAge15,"&lt;"&amp;'19_Расчет_аналитики'!AL1572,WeightedMinAge15),MAX(CapacityAge15*'01_Вводные'!$B$218*'19_Расчет_аналитики'!AL1572,MeanMinAge15)))</f>
        <v/>
      </c>
      <c r="AM1518">
        <f>IF(OR(('19_Расчет_аналитики'!AM1434-'19_Расчет_аналитики'!AM1462)=0,15&lt;='01_Вводные'!$B$297),0,('19_Расчет_аналитики'!AM1434-'19_Расчет_аналитики'!AM1462)*IF('01_Вводные'!$B$239="Да",MeanMinAge15+'19_Расчет_аналитики'!AM1572*SUMIF(ThresholdAge15,"&lt;"&amp;'19_Расчет_аналитики'!AM1572,WeightedRevAge15)-SUMIF(ThresholdAge15,"&lt;"&amp;'19_Расчет_аналитики'!AM1572,WeightedMinAge15),MAX(CapacityAge15*'01_Вводные'!$B$218*'19_Расчет_аналитики'!AM1572,MeanMinAge15)))</f>
        <v/>
      </c>
      <c r="AN1518">
        <f>IF(OR(('19_Расчет_аналитики'!AN1434-'19_Расчет_аналитики'!AN1462)=0,15&lt;='01_Вводные'!$B$297),0,('19_Расчет_аналитики'!AN1434-'19_Расчет_аналитики'!AN1462)*IF('01_Вводные'!$B$239="Да",MeanMinAge15+'19_Расчет_аналитики'!AN1572*SUMIF(ThresholdAge15,"&lt;"&amp;'19_Расчет_аналитики'!AN1572,WeightedRevAge15)-SUMIF(ThresholdAge15,"&lt;"&amp;'19_Расчет_аналитики'!AN1572,WeightedMinAge15),MAX(CapacityAge15*'01_Вводные'!$B$218*'19_Расчет_аналитики'!AN1572,MeanMinAge15)))</f>
        <v/>
      </c>
      <c r="AO1518">
        <f>IF(OR(('19_Расчет_аналитики'!AO1434-'19_Расчет_аналитики'!AO1462)=0,15&lt;='01_Вводные'!$B$297),0,('19_Расчет_аналитики'!AO1434-'19_Расчет_аналитики'!AO1462)*IF('01_Вводные'!$B$239="Да",MeanMinAge15+'19_Расчет_аналитики'!AO1572*SUMIF(ThresholdAge15,"&lt;"&amp;'19_Расчет_аналитики'!AO1572,WeightedRevAge15)-SUMIF(ThresholdAge15,"&lt;"&amp;'19_Расчет_аналитики'!AO1572,WeightedMinAge15),MAX(CapacityAge15*'01_Вводные'!$B$218*'19_Расчет_аналитики'!AO1572,MeanMinAge15)))</f>
        <v/>
      </c>
      <c r="AP1518">
        <f>IF(OR(('19_Расчет_аналитики'!AP1434-'19_Расчет_аналитики'!AP1462)=0,15&lt;='01_Вводные'!$B$297),0,('19_Расчет_аналитики'!AP1434-'19_Расчет_аналитики'!AP1462)*IF('01_Вводные'!$B$239="Да",MeanMinAge15+'19_Расчет_аналитики'!AP1572*SUMIF(ThresholdAge15,"&lt;"&amp;'19_Расчет_аналитики'!AP1572,WeightedRevAge15)-SUMIF(ThresholdAge15,"&lt;"&amp;'19_Расчет_аналитики'!AP1572,WeightedMinAge15),MAX(CapacityAge15*'01_Вводные'!$B$218*'19_Расчет_аналитики'!AP1572,MeanMinAge15)))</f>
        <v/>
      </c>
      <c r="AQ1518">
        <f>IF(OR(('19_Расчет_аналитики'!AQ1434-'19_Расчет_аналитики'!AQ1462)=0,15&lt;='01_Вводные'!$B$297),0,('19_Расчет_аналитики'!AQ1434-'19_Расчет_аналитики'!AQ1462)*IF('01_Вводные'!$B$239="Да",MeanMinAge15+'19_Расчет_аналитики'!AQ1572*SUMIF(ThresholdAge15,"&lt;"&amp;'19_Расчет_аналитики'!AQ1572,WeightedRevAge15)-SUMIF(ThresholdAge15,"&lt;"&amp;'19_Расчет_аналитики'!AQ1572,WeightedMinAge15),MAX(CapacityAge15*'01_Вводные'!$B$218*'19_Расчет_аналитики'!AQ1572,MeanMinAge15)))</f>
        <v/>
      </c>
      <c r="AR1518">
        <f>IF(OR(('19_Расчет_аналитики'!AR1434-'19_Расчет_аналитики'!AR1462)=0,15&lt;='01_Вводные'!$B$297),0,('19_Расчет_аналитики'!AR1434-'19_Расчет_аналитики'!AR1462)*IF('01_Вводные'!$B$239="Да",MeanMinAge15+'19_Расчет_аналитики'!AR1572*SUMIF(ThresholdAge15,"&lt;"&amp;'19_Расчет_аналитики'!AR1572,WeightedRevAge15)-SUMIF(ThresholdAge15,"&lt;"&amp;'19_Расчет_аналитики'!AR1572,WeightedMinAge15),MAX(CapacityAge15*'01_Вводные'!$B$218*'19_Расчет_аналитики'!AR1572,MeanMinAge15)))</f>
        <v/>
      </c>
      <c r="AS1518">
        <f>IF(OR(('19_Расчет_аналитики'!AS1434-'19_Расчет_аналитики'!AS1462)=0,15&lt;='01_Вводные'!$B$297),0,('19_Расчет_аналитики'!AS1434-'19_Расчет_аналитики'!AS1462)*IF('01_Вводные'!$B$239="Да",MeanMinAge15+'19_Расчет_аналитики'!AS1572*SUMIF(ThresholdAge15,"&lt;"&amp;'19_Расчет_аналитики'!AS1572,WeightedRevAge15)-SUMIF(ThresholdAge15,"&lt;"&amp;'19_Расчет_аналитики'!AS1572,WeightedMinAge15),MAX(CapacityAge15*'01_Вводные'!$B$218*'19_Расчет_аналитики'!AS1572,MeanMinAge15)))</f>
        <v/>
      </c>
      <c r="AT1518">
        <f>IF(OR(('19_Расчет_аналитики'!AT1434-'19_Расчет_аналитики'!AT1462)=0,15&lt;='01_Вводные'!$B$297),0,('19_Расчет_аналитики'!AT1434-'19_Расчет_аналитики'!AT1462)*IF('01_Вводные'!$B$239="Да",MeanMinAge15+'19_Расчет_аналитики'!AT1572*SUMIF(ThresholdAge15,"&lt;"&amp;'19_Расчет_аналитики'!AT1572,WeightedRevAge15)-SUMIF(ThresholdAge15,"&lt;"&amp;'19_Расчет_аналитики'!AT1572,WeightedMinAge15),MAX(CapacityAge15*'01_Вводные'!$B$218*'19_Расчет_аналитики'!AT1572,MeanMinAge15)))</f>
        <v/>
      </c>
      <c r="AU1518">
        <f>IF(OR(('19_Расчет_аналитики'!AU1434-'19_Расчет_аналитики'!AU1462)=0,15&lt;='01_Вводные'!$B$297),0,('19_Расчет_аналитики'!AU1434-'19_Расчет_аналитики'!AU1462)*IF('01_Вводные'!$B$239="Да",MeanMinAge15+'19_Расчет_аналитики'!AU1572*SUMIF(ThresholdAge15,"&lt;"&amp;'19_Расчет_аналитики'!AU1572,WeightedRevAge15)-SUMIF(ThresholdAge15,"&lt;"&amp;'19_Расчет_аналитики'!AU1572,WeightedMinAge15),MAX(CapacityAge15*'01_Вводные'!$B$218*'19_Расчет_аналитики'!AU1572,MeanMinAge15)))</f>
        <v/>
      </c>
      <c r="AV1518">
        <f>IF(OR(('19_Расчет_аналитики'!AV1434-'19_Расчет_аналитики'!AV1462)=0,15&lt;='01_Вводные'!$B$297),0,('19_Расчет_аналитики'!AV1434-'19_Расчет_аналитики'!AV1462)*IF('01_Вводные'!$B$239="Да",MeanMinAge15+'19_Расчет_аналитики'!AV1572*SUMIF(ThresholdAge15,"&lt;"&amp;'19_Расчет_аналитики'!AV1572,WeightedRevAge15)-SUMIF(ThresholdAge15,"&lt;"&amp;'19_Расчет_аналитики'!AV1572,WeightedMinAge15),MAX(CapacityAge15*'01_Вводные'!$B$218*'19_Расчет_аналитики'!AV1572,MeanMinAge15)))</f>
        <v/>
      </c>
      <c r="AW1518">
        <f>IF(OR(('19_Расчет_аналитики'!AW1434-'19_Расчет_аналитики'!AW1462)=0,15&lt;='01_Вводные'!$B$297),0,('19_Расчет_аналитики'!AW1434-'19_Расчет_аналитики'!AW1462)*IF('01_Вводные'!$B$239="Да",MeanMinAge15+'19_Расчет_аналитики'!AW1572*SUMIF(ThresholdAge15,"&lt;"&amp;'19_Расчет_аналитики'!AW1572,WeightedRevAge15)-SUMIF(ThresholdAge15,"&lt;"&amp;'19_Расчет_аналитики'!AW1572,WeightedMinAge15),MAX(CapacityAge15*'01_Вводные'!$B$218*'19_Расчет_аналитики'!AW1572,MeanMinAge15)))</f>
        <v/>
      </c>
      <c r="AX1518">
        <f>IF(OR(('19_Расчет_аналитики'!AX1434-'19_Расчет_аналитики'!AX1462)=0,15&lt;='01_Вводные'!$B$297),0,('19_Расчет_аналитики'!AX1434-'19_Расчет_аналитики'!AX1462)*IF('01_Вводные'!$B$239="Да",MeanMinAge15+'19_Расчет_аналитики'!AX1572*SUMIF(ThresholdAge15,"&lt;"&amp;'19_Расчет_аналитики'!AX1572,WeightedRevAge15)-SUMIF(ThresholdAge15,"&lt;"&amp;'19_Расчет_аналитики'!AX1572,WeightedMinAge15),MAX(CapacityAge15*'01_Вводные'!$B$218*'19_Расчет_аналитики'!AX1572,MeanMinAge15)))</f>
        <v/>
      </c>
      <c r="AY1518">
        <f>IF(OR(('19_Расчет_аналитики'!AY1434-'19_Расчет_аналитики'!AY1462)=0,15&lt;='01_Вводные'!$B$297),0,('19_Расчет_аналитики'!AY1434-'19_Расчет_аналитики'!AY1462)*IF('01_Вводные'!$B$239="Да",MeanMinAge15+'19_Расчет_аналитики'!AY1572*SUMIF(ThresholdAge15,"&lt;"&amp;'19_Расчет_аналитики'!AY1572,WeightedRevAge15)-SUMIF(ThresholdAge15,"&lt;"&amp;'19_Расчет_аналитики'!AY1572,WeightedMinAge15),MAX(CapacityAge15*'01_Вводные'!$B$218*'19_Расчет_аналитики'!AY1572,MeanMinAge15)))</f>
        <v/>
      </c>
      <c r="AZ1518">
        <f>IF(OR(('19_Расчет_аналитики'!AZ1434-'19_Расчет_аналитики'!AZ1462)=0,15&lt;='01_Вводные'!$B$297),0,('19_Расчет_аналитики'!AZ1434-'19_Расчет_аналитики'!AZ1462)*IF('01_Вводные'!$B$239="Да",MeanMinAge15+'19_Расчет_аналитики'!AZ1572*SUMIF(ThresholdAge15,"&lt;"&amp;'19_Расчет_аналитики'!AZ1572,WeightedRevAge15)-SUMIF(ThresholdAge15,"&lt;"&amp;'19_Расчет_аналитики'!AZ1572,WeightedMinAge15),MAX(CapacityAge15*'01_Вводные'!$B$218*'19_Расчет_аналитики'!AZ1572,MeanMinAge15)))</f>
        <v/>
      </c>
      <c r="BA1518">
        <f>IF(OR(('19_Расчет_аналитики'!BA1434-'19_Расчет_аналитики'!BA1462)=0,15&lt;='01_Вводные'!$B$297),0,('19_Расчет_аналитики'!BA1434-'19_Расчет_аналитики'!BA1462)*IF('01_Вводные'!$B$239="Да",MeanMinAge15+'19_Расчет_аналитики'!BA1572*SUMIF(ThresholdAge15,"&lt;"&amp;'19_Расчет_аналитики'!BA1572,WeightedRevAge15)-SUMIF(ThresholdAge15,"&lt;"&amp;'19_Расчет_аналитики'!BA1572,WeightedMinAge15),MAX(CapacityAge15*'01_Вводные'!$B$218*'19_Расчет_аналитики'!BA1572,MeanMinAge15)))</f>
        <v/>
      </c>
      <c r="BB1518">
        <f>IF(OR(('19_Расчет_аналитики'!BB1434-'19_Расчет_аналитики'!BB1462)=0,15&lt;='01_Вводные'!$B$297),0,('19_Расчет_аналитики'!BB1434-'19_Расчет_аналитики'!BB1462)*IF('01_Вводные'!$B$239="Да",MeanMinAge15+'19_Расчет_аналитики'!BB1572*SUMIF(ThresholdAge15,"&lt;"&amp;'19_Расчет_аналитики'!BB1572,WeightedRevAge15)-SUMIF(ThresholdAge15,"&lt;"&amp;'19_Расчет_аналитики'!BB1572,WeightedMinAge15),MAX(CapacityAge15*'01_Вводные'!$B$218*'19_Расчет_аналитики'!BB1572,MeanMinAge15)))</f>
        <v/>
      </c>
      <c r="BC1518">
        <f>IF(OR(('19_Расчет_аналитики'!BC1434-'19_Расчет_аналитики'!BC1462)=0,15&lt;='01_Вводные'!$B$297),0,('19_Расчет_аналитики'!BC1434-'19_Расчет_аналитики'!BC1462)*IF('01_Вводные'!$B$239="Да",MeanMinAge15+'19_Расчет_аналитики'!BC1572*SUMIF(ThresholdAge15,"&lt;"&amp;'19_Расчет_аналитики'!BC1572,WeightedRevAge15)-SUMIF(ThresholdAge15,"&lt;"&amp;'19_Расчет_аналитики'!BC1572,WeightedMinAge15),MAX(CapacityAge15*'01_Вводные'!$B$218*'19_Расчет_аналитики'!BC1572,MeanMinAge15)))</f>
        <v/>
      </c>
      <c r="BD1518">
        <f>IF(OR(('19_Расчет_аналитики'!BD1434-'19_Расчет_аналитики'!BD1462)=0,15&lt;='01_Вводные'!$B$297),0,('19_Расчет_аналитики'!BD1434-'19_Расчет_аналитики'!BD1462)*IF('01_Вводные'!$B$239="Да",MeanMinAge15+'19_Расчет_аналитики'!BD1572*SUMIF(ThresholdAge15,"&lt;"&amp;'19_Расчет_аналитики'!BD1572,WeightedRevAge15)-SUMIF(ThresholdAge15,"&lt;"&amp;'19_Расчет_аналитики'!BD1572,WeightedMinAge15),MAX(CapacityAge15*'01_Вводные'!$B$218*'19_Расчет_аналитики'!BD1572,MeanMinAge15)))</f>
        <v/>
      </c>
      <c r="BE1518">
        <f>IF(OR(('19_Расчет_аналитики'!BE1434-'19_Расчет_аналитики'!BE1462)=0,15&lt;='01_Вводные'!$B$297),0,('19_Расчет_аналитики'!BE1434-'19_Расчет_аналитики'!BE1462)*IF('01_Вводные'!$B$239="Да",MeanMinAge15+'19_Расчет_аналитики'!BE1572*SUMIF(ThresholdAge15,"&lt;"&amp;'19_Расчет_аналитики'!BE1572,WeightedRevAge15)-SUMIF(ThresholdAge15,"&lt;"&amp;'19_Расчет_аналитики'!BE1572,WeightedMinAge15),MAX(CapacityAge15*'01_Вводные'!$B$218*'19_Расчет_аналитики'!BE1572,MeanMinAge15)))</f>
        <v/>
      </c>
      <c r="BF1518">
        <f>IF(OR(('19_Расчет_аналитики'!BF1434-'19_Расчет_аналитики'!BF1462)=0,15&lt;='01_Вводные'!$B$297),0,('19_Расчет_аналитики'!BF1434-'19_Расчет_аналитики'!BF1462)*IF('01_Вводные'!$B$239="Да",MeanMinAge15+'19_Расчет_аналитики'!BF1572*SUMIF(ThresholdAge15,"&lt;"&amp;'19_Расчет_аналитики'!BF1572,WeightedRevAge15)-SUMIF(ThresholdAge15,"&lt;"&amp;'19_Расчет_аналитики'!BF1572,WeightedMinAge15),MAX(CapacityAge15*'01_Вводные'!$B$218*'19_Расчет_аналитики'!BF1572,MeanMinAge15)))</f>
        <v/>
      </c>
      <c r="BG1518">
        <f>IF(OR(('19_Расчет_аналитики'!BG1434-'19_Расчет_аналитики'!BG1462)=0,15&lt;='01_Вводные'!$B$297),0,('19_Расчет_аналитики'!BG1434-'19_Расчет_аналитики'!BG1462)*IF('01_Вводные'!$B$239="Да",MeanMinAge15+'19_Расчет_аналитики'!BG1572*SUMIF(ThresholdAge15,"&lt;"&amp;'19_Расчет_аналитики'!BG1572,WeightedRevAge15)-SUMIF(ThresholdAge15,"&lt;"&amp;'19_Расчет_аналитики'!BG1572,WeightedMinAge15),MAX(CapacityAge15*'01_Вводные'!$B$218*'19_Расчет_аналитики'!BG1572,MeanMinAge15)))</f>
        <v/>
      </c>
      <c r="BH1518">
        <f>IF(OR(('19_Расчет_аналитики'!BH1434-'19_Расчет_аналитики'!BH1462)=0,15&lt;='01_Вводные'!$B$297),0,('19_Расчет_аналитики'!BH1434-'19_Расчет_аналитики'!BH1462)*IF('01_Вводные'!$B$239="Да",MeanMinAge15+'19_Расчет_аналитики'!BH1572*SUMIF(ThresholdAge15,"&lt;"&amp;'19_Расчет_аналитики'!BH1572,WeightedRevAge15)-SUMIF(ThresholdAge15,"&lt;"&amp;'19_Расчет_аналитики'!BH1572,WeightedMinAge15),MAX(CapacityAge15*'01_Вводные'!$B$218*'19_Расчет_аналитики'!BH1572,MeanMinAge15)))</f>
        <v/>
      </c>
      <c r="BI1518">
        <f>IF(OR(('19_Расчет_аналитики'!BI1434-'19_Расчет_аналитики'!BI1462)=0,15&lt;='01_Вводные'!$B$297),0,('19_Расчет_аналитики'!BI1434-'19_Расчет_аналитики'!BI1462)*IF('01_Вводные'!$B$239="Да",MeanMinAge15+'19_Расчет_аналитики'!BI1572*SUMIF(ThresholdAge15,"&lt;"&amp;'19_Расчет_аналитики'!BI1572,WeightedRevAge15)-SUMIF(ThresholdAge15,"&lt;"&amp;'19_Расчет_аналитики'!BI1572,WeightedMinAge15),MAX(CapacityAge15*'01_Вводные'!$B$218*'19_Расчет_аналитики'!BI1572,MeanMinAge15)))</f>
        <v/>
      </c>
      <c r="BJ1518">
        <f>IF(OR(('19_Расчет_аналитики'!BJ1434-'19_Расчет_аналитики'!BJ1462)=0,15&lt;='01_Вводные'!$B$297),0,('19_Расчет_аналитики'!BJ1434-'19_Расчет_аналитики'!BJ1462)*IF('01_Вводные'!$B$239="Да",MeanMinAge15+'19_Расчет_аналитики'!BJ1572*SUMIF(ThresholdAge15,"&lt;"&amp;'19_Расчет_аналитики'!BJ1572,WeightedRevAge15)-SUMIF(ThresholdAge15,"&lt;"&amp;'19_Расчет_аналитики'!BJ1572,WeightedMinAge15),MAX(CapacityAge15*'01_Вводные'!$B$218*'19_Расчет_аналитики'!BJ1572,MeanMinAge15)))</f>
        <v/>
      </c>
      <c r="BK1518">
        <f>IF(OR(('19_Расчет_аналитики'!BK1434-'19_Расчет_аналитики'!BK1462)=0,15&lt;='01_Вводные'!$B$297),0,('19_Расчет_аналитики'!BK1434-'19_Расчет_аналитики'!BK1462)*IF('01_Вводные'!$B$239="Да",MeanMinAge15+'19_Расчет_аналитики'!BK1572*SUMIF(ThresholdAge15,"&lt;"&amp;'19_Расчет_аналитики'!BK1572,WeightedRevAge15)-SUMIF(ThresholdAge15,"&lt;"&amp;'19_Расчет_аналитики'!BK1572,WeightedMinAge15),MAX(CapacityAge15*'01_Вводные'!$B$218*'19_Расчет_аналитики'!BK1572,MeanMinAge15)))</f>
        <v/>
      </c>
      <c r="BL1518">
        <f>IF(OR(('19_Расчет_аналитики'!BL1434-'19_Расчет_аналитики'!BL1462)=0,15&lt;='01_Вводные'!$B$297),0,('19_Расчет_аналитики'!BL1434-'19_Расчет_аналитики'!BL1462)*IF('01_Вводные'!$B$239="Да",MeanMinAge15+'19_Расчет_аналитики'!BL1572*SUMIF(ThresholdAge15,"&lt;"&amp;'19_Расчет_аналитики'!BL1572,WeightedRevAge15)-SUMIF(ThresholdAge15,"&lt;"&amp;'19_Расчет_аналитики'!BL1572,WeightedMinAge15),MAX(CapacityAge15*'01_Вводные'!$B$218*'19_Расчет_аналитики'!BL1572,MeanMinAge15)))</f>
        <v/>
      </c>
      <c r="BM1518">
        <f>IF(OR(('19_Расчет_аналитики'!BM1434-'19_Расчет_аналитики'!BM1462)=0,15&lt;='01_Вводные'!$B$297),0,('19_Расчет_аналитики'!BM1434-'19_Расчет_аналитики'!BM1462)*IF('01_Вводные'!$B$239="Да",MeanMinAge15+'19_Расчет_аналитики'!BM1572*SUMIF(ThresholdAge15,"&lt;"&amp;'19_Расчет_аналитики'!BM1572,WeightedRevAge15)-SUMIF(ThresholdAge15,"&lt;"&amp;'19_Расчет_аналитики'!BM1572,WeightedMinAge15),MAX(CapacityAge15*'01_Вводные'!$B$218*'19_Расчет_аналитики'!BM1572,MeanMinAge15)))</f>
        <v/>
      </c>
      <c r="BN1518">
        <f>IF(OR(('19_Расчет_аналитики'!BN1434-'19_Расчет_аналитики'!BN1462)=0,15&lt;='01_Вводные'!$B$297),0,('19_Расчет_аналитики'!BN1434-'19_Расчет_аналитики'!BN1462)*IF('01_Вводные'!$B$239="Да",MeanMinAge15+'19_Расчет_аналитики'!BN1572*SUMIF(ThresholdAge15,"&lt;"&amp;'19_Расчет_аналитики'!BN1572,WeightedRevAge15)-SUMIF(ThresholdAge15,"&lt;"&amp;'19_Расчет_аналитики'!BN1572,WeightedMinAge15),MAX(CapacityAge15*'01_Вводные'!$B$218*'19_Расчет_аналитики'!BN1572,MeanMinAge15)))</f>
        <v/>
      </c>
      <c r="BO1518">
        <f>IF(OR(('19_Расчет_аналитики'!BO1434-'19_Расчет_аналитики'!BO1462)=0,15&lt;='01_Вводные'!$B$297),0,('19_Расчет_аналитики'!BO1434-'19_Расчет_аналитики'!BO1462)*IF('01_Вводные'!$B$239="Да",MeanMinAge15+'19_Расчет_аналитики'!BO1572*SUMIF(ThresholdAge15,"&lt;"&amp;'19_Расчет_аналитики'!BO1572,WeightedRevAge15)-SUMIF(ThresholdAge15,"&lt;"&amp;'19_Расчет_аналитики'!BO1572,WeightedMinAge15),MAX(CapacityAge15*'01_Вводные'!$B$218*'19_Расчет_аналитики'!BO1572,MeanMinAge15)))</f>
        <v/>
      </c>
    </row>
    <row r="1519">
      <c r="B1519">
        <f>IF(OR(('06_Сеть_и_дети'!B68-'06_Сеть_и_дети'!B96)=0,16&lt;='01_Вводные'!$B$297),0,('06_Сеть_и_дети'!B68-'06_Сеть_и_дети'!B96)*IF('01_Вводные'!$B$239="Да",MeanMinAge16+'19_Расчет_аналитики'!B1572*SUMIF(ThresholdAge16,"&lt;"&amp;'19_Расчет_аналитики'!B1572,WeightedRevAge16)-SUMIF(ThresholdAge16,"&lt;"&amp;'19_Расчет_аналитики'!B1572,WeightedMinAge16),MAX(CapacityAge16*'01_Вводные'!$B$218*'19_Расчет_аналитики'!B1572,MeanMinAge16)))</f>
        <v/>
      </c>
      <c r="C1519">
        <f>IF(OR(('06_Сеть_и_дети'!C68-'06_Сеть_и_дети'!C96)=0,16&lt;='01_Вводные'!$B$297),0,('06_Сеть_и_дети'!C68-'06_Сеть_и_дети'!C96)*IF('01_Вводные'!$B$239="Да",MeanMinAge16+'19_Расчет_аналитики'!C1572*SUMIF(ThresholdAge16,"&lt;"&amp;'19_Расчет_аналитики'!C1572,WeightedRevAge16)-SUMIF(ThresholdAge16,"&lt;"&amp;'19_Расчет_аналитики'!C1572,WeightedMinAge16),MAX(CapacityAge16*'01_Вводные'!$B$218*'19_Расчет_аналитики'!C1572,MeanMinAge16)))</f>
        <v/>
      </c>
      <c r="D1519">
        <f>IF(OR(('06_Сеть_и_дети'!D68-'06_Сеть_и_дети'!D96)=0,16&lt;='01_Вводные'!$B$297),0,('06_Сеть_и_дети'!D68-'06_Сеть_и_дети'!D96)*IF('01_Вводные'!$B$239="Да",MeanMinAge16+'19_Расчет_аналитики'!D1572*SUMIF(ThresholdAge16,"&lt;"&amp;'19_Расчет_аналитики'!D1572,WeightedRevAge16)-SUMIF(ThresholdAge16,"&lt;"&amp;'19_Расчет_аналитики'!D1572,WeightedMinAge16),MAX(CapacityAge16*'01_Вводные'!$B$218*'19_Расчет_аналитики'!D1572,MeanMinAge16)))</f>
        <v/>
      </c>
      <c r="E1519">
        <f>IF(OR(('06_Сеть_и_дети'!E68-'06_Сеть_и_дети'!E96)=0,16&lt;='01_Вводные'!$B$297),0,('06_Сеть_и_дети'!E68-'06_Сеть_и_дети'!E96)*IF('01_Вводные'!$B$239="Да",MeanMinAge16+'19_Расчет_аналитики'!E1572*SUMIF(ThresholdAge16,"&lt;"&amp;'19_Расчет_аналитики'!E1572,WeightedRevAge16)-SUMIF(ThresholdAge16,"&lt;"&amp;'19_Расчет_аналитики'!E1572,WeightedMinAge16),MAX(CapacityAge16*'01_Вводные'!$B$218*'19_Расчет_аналитики'!E1572,MeanMinAge16)))</f>
        <v/>
      </c>
      <c r="F1519">
        <f>IF(OR(('06_Сеть_и_дети'!F68-'06_Сеть_и_дети'!F96)=0,16&lt;='01_Вводные'!$B$297),0,('06_Сеть_и_дети'!F68-'06_Сеть_и_дети'!F96)*IF('01_Вводные'!$B$239="Да",MeanMinAge16+'19_Расчет_аналитики'!F1572*SUMIF(ThresholdAge16,"&lt;"&amp;'19_Расчет_аналитики'!F1572,WeightedRevAge16)-SUMIF(ThresholdAge16,"&lt;"&amp;'19_Расчет_аналитики'!F1572,WeightedMinAge16),MAX(CapacityAge16*'01_Вводные'!$B$218*'19_Расчет_аналитики'!F1572,MeanMinAge16)))</f>
        <v/>
      </c>
      <c r="G1519">
        <f>IF(OR(('06_Сеть_и_дети'!G68-'06_Сеть_и_дети'!G96)=0,16&lt;='01_Вводные'!$B$297),0,('06_Сеть_и_дети'!G68-'06_Сеть_и_дети'!G96)*IF('01_Вводные'!$B$239="Да",MeanMinAge16+'19_Расчет_аналитики'!G1572*SUMIF(ThresholdAge16,"&lt;"&amp;'19_Расчет_аналитики'!G1572,WeightedRevAge16)-SUMIF(ThresholdAge16,"&lt;"&amp;'19_Расчет_аналитики'!G1572,WeightedMinAge16),MAX(CapacityAge16*'01_Вводные'!$B$218*'19_Расчет_аналитики'!G1572,MeanMinAge16)))</f>
        <v/>
      </c>
      <c r="H1519">
        <f>IF(OR(('06_Сеть_и_дети'!H68-'06_Сеть_и_дети'!H96)=0,16&lt;='01_Вводные'!$B$297),0,('06_Сеть_и_дети'!H68-'06_Сеть_и_дети'!H96)*IF('01_Вводные'!$B$239="Да",MeanMinAge16+'19_Расчет_аналитики'!H1572*SUMIF(ThresholdAge16,"&lt;"&amp;'19_Расчет_аналитики'!H1572,WeightedRevAge16)-SUMIF(ThresholdAge16,"&lt;"&amp;'19_Расчет_аналитики'!H1572,WeightedMinAge16),MAX(CapacityAge16*'01_Вводные'!$B$218*'19_Расчет_аналитики'!H1572,MeanMinAge16)))</f>
        <v/>
      </c>
      <c r="I1519">
        <f>IF(OR(('06_Сеть_и_дети'!I68-'06_Сеть_и_дети'!I96)=0,16&lt;='01_Вводные'!$B$297),0,('06_Сеть_и_дети'!I68-'06_Сеть_и_дети'!I96)*IF('01_Вводные'!$B$239="Да",MeanMinAge16+'19_Расчет_аналитики'!I1572*SUMIF(ThresholdAge16,"&lt;"&amp;'19_Расчет_аналитики'!I1572,WeightedRevAge16)-SUMIF(ThresholdAge16,"&lt;"&amp;'19_Расчет_аналитики'!I1572,WeightedMinAge16),MAX(CapacityAge16*'01_Вводные'!$B$218*'19_Расчет_аналитики'!I1572,MeanMinAge16)))</f>
        <v/>
      </c>
      <c r="J1519">
        <f>IF(OR(('06_Сеть_и_дети'!J68-'06_Сеть_и_дети'!J96)=0,16&lt;='01_Вводные'!$B$297),0,('06_Сеть_и_дети'!J68-'06_Сеть_и_дети'!J96)*IF('01_Вводные'!$B$239="Да",MeanMinAge16+'19_Расчет_аналитики'!J1572*SUMIF(ThresholdAge16,"&lt;"&amp;'19_Расчет_аналитики'!J1572,WeightedRevAge16)-SUMIF(ThresholdAge16,"&lt;"&amp;'19_Расчет_аналитики'!J1572,WeightedMinAge16),MAX(CapacityAge16*'01_Вводные'!$B$218*'19_Расчет_аналитики'!J1572,MeanMinAge16)))</f>
        <v/>
      </c>
      <c r="K1519">
        <f>IF(OR(('06_Сеть_и_дети'!K68-'06_Сеть_и_дети'!K96)=0,16&lt;='01_Вводные'!$B$297),0,('06_Сеть_и_дети'!K68-'06_Сеть_и_дети'!K96)*IF('01_Вводные'!$B$239="Да",MeanMinAge16+'19_Расчет_аналитики'!K1572*SUMIF(ThresholdAge16,"&lt;"&amp;'19_Расчет_аналитики'!K1572,WeightedRevAge16)-SUMIF(ThresholdAge16,"&lt;"&amp;'19_Расчет_аналитики'!K1572,WeightedMinAge16),MAX(CapacityAge16*'01_Вводные'!$B$218*'19_Расчет_аналитики'!K1572,MeanMinAge16)))</f>
        <v/>
      </c>
      <c r="L1519">
        <f>IF(OR(('06_Сеть_и_дети'!L68-'06_Сеть_и_дети'!L96)=0,16&lt;='01_Вводные'!$B$297),0,('06_Сеть_и_дети'!L68-'06_Сеть_и_дети'!L96)*IF('01_Вводные'!$B$239="Да",MeanMinAge16+'19_Расчет_аналитики'!L1572*SUMIF(ThresholdAge16,"&lt;"&amp;'19_Расчет_аналитики'!L1572,WeightedRevAge16)-SUMIF(ThresholdAge16,"&lt;"&amp;'19_Расчет_аналитики'!L1572,WeightedMinAge16),MAX(CapacityAge16*'01_Вводные'!$B$218*'19_Расчет_аналитики'!L1572,MeanMinAge16)))</f>
        <v/>
      </c>
      <c r="M1519">
        <f>IF(OR(('06_Сеть_и_дети'!M68-'06_Сеть_и_дети'!M96)=0,16&lt;='01_Вводные'!$B$297),0,('06_Сеть_и_дети'!M68-'06_Сеть_и_дети'!M96)*IF('01_Вводные'!$B$239="Да",MeanMinAge16+'19_Расчет_аналитики'!M1572*SUMIF(ThresholdAge16,"&lt;"&amp;'19_Расчет_аналитики'!M1572,WeightedRevAge16)-SUMIF(ThresholdAge16,"&lt;"&amp;'19_Расчет_аналитики'!M1572,WeightedMinAge16),MAX(CapacityAge16*'01_Вводные'!$B$218*'19_Расчет_аналитики'!M1572,MeanMinAge16)))</f>
        <v/>
      </c>
      <c r="N1519">
        <f>IF(OR(('06_Сеть_и_дети'!N68-'06_Сеть_и_дети'!N96)=0,16&lt;='01_Вводные'!$B$297),0,('06_Сеть_и_дети'!N68-'06_Сеть_и_дети'!N96)*IF('01_Вводные'!$B$239="Да",MeanMinAge16+'19_Расчет_аналитики'!N1572*SUMIF(ThresholdAge16,"&lt;"&amp;'19_Расчет_аналитики'!N1572,WeightedRevAge16)-SUMIF(ThresholdAge16,"&lt;"&amp;'19_Расчет_аналитики'!N1572,WeightedMinAge16),MAX(CapacityAge16*'01_Вводные'!$B$218*'19_Расчет_аналитики'!N1572,MeanMinAge16)))</f>
        <v/>
      </c>
      <c r="O1519">
        <f>IF(OR(('06_Сеть_и_дети'!O68-'06_Сеть_и_дети'!O96)=0,16&lt;='01_Вводные'!$B$297),0,('06_Сеть_и_дети'!O68-'06_Сеть_и_дети'!O96)*IF('01_Вводные'!$B$239="Да",MeanMinAge16+'19_Расчет_аналитики'!O1572*SUMIF(ThresholdAge16,"&lt;"&amp;'19_Расчет_аналитики'!O1572,WeightedRevAge16)-SUMIF(ThresholdAge16,"&lt;"&amp;'19_Расчет_аналитики'!O1572,WeightedMinAge16),MAX(CapacityAge16*'01_Вводные'!$B$218*'19_Расчет_аналитики'!O1572,MeanMinAge16)))</f>
        <v/>
      </c>
      <c r="P1519">
        <f>IF(OR(('06_Сеть_и_дети'!P68-'06_Сеть_и_дети'!P96)=0,16&lt;='01_Вводные'!$B$297),0,('06_Сеть_и_дети'!P68-'06_Сеть_и_дети'!P96)*IF('01_Вводные'!$B$239="Да",MeanMinAge16+'19_Расчет_аналитики'!P1572*SUMIF(ThresholdAge16,"&lt;"&amp;'19_Расчет_аналитики'!P1572,WeightedRevAge16)-SUMIF(ThresholdAge16,"&lt;"&amp;'19_Расчет_аналитики'!P1572,WeightedMinAge16),MAX(CapacityAge16*'01_Вводные'!$B$218*'19_Расчет_аналитики'!P1572,MeanMinAge16)))</f>
        <v/>
      </c>
      <c r="Q1519">
        <f>IF(OR(('19_Расчет_аналитики'!Q1435-'19_Расчет_аналитики'!Q1463)=0,16&lt;='01_Вводные'!$B$297),0,('19_Расчет_аналитики'!Q1435-'19_Расчет_аналитики'!Q1463)*IF('01_Вводные'!$B$239="Да",MeanMinAge16+'19_Расчет_аналитики'!Q1572*SUMIF(ThresholdAge16,"&lt;"&amp;'19_Расчет_аналитики'!Q1572,WeightedRevAge16)-SUMIF(ThresholdAge16,"&lt;"&amp;'19_Расчет_аналитики'!Q1572,WeightedMinAge16),MAX(CapacityAge16*'01_Вводные'!$B$218*'19_Расчет_аналитики'!Q1572,MeanMinAge16)))</f>
        <v/>
      </c>
      <c r="R1519">
        <f>IF(OR(('19_Расчет_аналитики'!R1435-'19_Расчет_аналитики'!R1463)=0,16&lt;='01_Вводные'!$B$297),0,('19_Расчет_аналитики'!R1435-'19_Расчет_аналитики'!R1463)*IF('01_Вводные'!$B$239="Да",MeanMinAge16+'19_Расчет_аналитики'!R1572*SUMIF(ThresholdAge16,"&lt;"&amp;'19_Расчет_аналитики'!R1572,WeightedRevAge16)-SUMIF(ThresholdAge16,"&lt;"&amp;'19_Расчет_аналитики'!R1572,WeightedMinAge16),MAX(CapacityAge16*'01_Вводные'!$B$218*'19_Расчет_аналитики'!R1572,MeanMinAge16)))</f>
        <v/>
      </c>
      <c r="S1519">
        <f>IF(OR(('19_Расчет_аналитики'!S1435-'19_Расчет_аналитики'!S1463)=0,16&lt;='01_Вводные'!$B$297),0,('19_Расчет_аналитики'!S1435-'19_Расчет_аналитики'!S1463)*IF('01_Вводные'!$B$239="Да",MeanMinAge16+'19_Расчет_аналитики'!S1572*SUMIF(ThresholdAge16,"&lt;"&amp;'19_Расчет_аналитики'!S1572,WeightedRevAge16)-SUMIF(ThresholdAge16,"&lt;"&amp;'19_Расчет_аналитики'!S1572,WeightedMinAge16),MAX(CapacityAge16*'01_Вводные'!$B$218*'19_Расчет_аналитики'!S1572,MeanMinAge16)))</f>
        <v/>
      </c>
      <c r="T1519">
        <f>IF(OR(('19_Расчет_аналитики'!T1435-'19_Расчет_аналитики'!T1463)=0,16&lt;='01_Вводные'!$B$297),0,('19_Расчет_аналитики'!T1435-'19_Расчет_аналитики'!T1463)*IF('01_Вводные'!$B$239="Да",MeanMinAge16+'19_Расчет_аналитики'!T1572*SUMIF(ThresholdAge16,"&lt;"&amp;'19_Расчет_аналитики'!T1572,WeightedRevAge16)-SUMIF(ThresholdAge16,"&lt;"&amp;'19_Расчет_аналитики'!T1572,WeightedMinAge16),MAX(CapacityAge16*'01_Вводные'!$B$218*'19_Расчет_аналитики'!T1572,MeanMinAge16)))</f>
        <v/>
      </c>
      <c r="U1519">
        <f>IF(OR(('19_Расчет_аналитики'!U1435-'19_Расчет_аналитики'!U1463)=0,16&lt;='01_Вводные'!$B$297),0,('19_Расчет_аналитики'!U1435-'19_Расчет_аналитики'!U1463)*IF('01_Вводные'!$B$239="Да",MeanMinAge16+'19_Расчет_аналитики'!U1572*SUMIF(ThresholdAge16,"&lt;"&amp;'19_Расчет_аналитики'!U1572,WeightedRevAge16)-SUMIF(ThresholdAge16,"&lt;"&amp;'19_Расчет_аналитики'!U1572,WeightedMinAge16),MAX(CapacityAge16*'01_Вводные'!$B$218*'19_Расчет_аналитики'!U1572,MeanMinAge16)))</f>
        <v/>
      </c>
      <c r="V1519">
        <f>IF(OR(('19_Расчет_аналитики'!V1435-'19_Расчет_аналитики'!V1463)=0,16&lt;='01_Вводные'!$B$297),0,('19_Расчет_аналитики'!V1435-'19_Расчет_аналитики'!V1463)*IF('01_Вводные'!$B$239="Да",MeanMinAge16+'19_Расчет_аналитики'!V1572*SUMIF(ThresholdAge16,"&lt;"&amp;'19_Расчет_аналитики'!V1572,WeightedRevAge16)-SUMIF(ThresholdAge16,"&lt;"&amp;'19_Расчет_аналитики'!V1572,WeightedMinAge16),MAX(CapacityAge16*'01_Вводные'!$B$218*'19_Расчет_аналитики'!V1572,MeanMinAge16)))</f>
        <v/>
      </c>
      <c r="W1519">
        <f>IF(OR(('19_Расчет_аналитики'!W1435-'19_Расчет_аналитики'!W1463)=0,16&lt;='01_Вводные'!$B$297),0,('19_Расчет_аналитики'!W1435-'19_Расчет_аналитики'!W1463)*IF('01_Вводные'!$B$239="Да",MeanMinAge16+'19_Расчет_аналитики'!W1572*SUMIF(ThresholdAge16,"&lt;"&amp;'19_Расчет_аналитики'!W1572,WeightedRevAge16)-SUMIF(ThresholdAge16,"&lt;"&amp;'19_Расчет_аналитики'!W1572,WeightedMinAge16),MAX(CapacityAge16*'01_Вводные'!$B$218*'19_Расчет_аналитики'!W1572,MeanMinAge16)))</f>
        <v/>
      </c>
      <c r="X1519">
        <f>IF(OR(('19_Расчет_аналитики'!X1435-'19_Расчет_аналитики'!X1463)=0,16&lt;='01_Вводные'!$B$297),0,('19_Расчет_аналитики'!X1435-'19_Расчет_аналитики'!X1463)*IF('01_Вводные'!$B$239="Да",MeanMinAge16+'19_Расчет_аналитики'!X1572*SUMIF(ThresholdAge16,"&lt;"&amp;'19_Расчет_аналитики'!X1572,WeightedRevAge16)-SUMIF(ThresholdAge16,"&lt;"&amp;'19_Расчет_аналитики'!X1572,WeightedMinAge16),MAX(CapacityAge16*'01_Вводные'!$B$218*'19_Расчет_аналитики'!X1572,MeanMinAge16)))</f>
        <v/>
      </c>
      <c r="Y1519">
        <f>IF(OR(('19_Расчет_аналитики'!Y1435-'19_Расчет_аналитики'!Y1463)=0,16&lt;='01_Вводные'!$B$297),0,('19_Расчет_аналитики'!Y1435-'19_Расчет_аналитики'!Y1463)*IF('01_Вводные'!$B$239="Да",MeanMinAge16+'19_Расчет_аналитики'!Y1572*SUMIF(ThresholdAge16,"&lt;"&amp;'19_Расчет_аналитики'!Y1572,WeightedRevAge16)-SUMIF(ThresholdAge16,"&lt;"&amp;'19_Расчет_аналитики'!Y1572,WeightedMinAge16),MAX(CapacityAge16*'01_Вводные'!$B$218*'19_Расчет_аналитики'!Y1572,MeanMinAge16)))</f>
        <v/>
      </c>
      <c r="Z1519">
        <f>IF(OR(('19_Расчет_аналитики'!Z1435-'19_Расчет_аналитики'!Z1463)=0,16&lt;='01_Вводные'!$B$297),0,('19_Расчет_аналитики'!Z1435-'19_Расчет_аналитики'!Z1463)*IF('01_Вводные'!$B$239="Да",MeanMinAge16+'19_Расчет_аналитики'!Z1572*SUMIF(ThresholdAge16,"&lt;"&amp;'19_Расчет_аналитики'!Z1572,WeightedRevAge16)-SUMIF(ThresholdAge16,"&lt;"&amp;'19_Расчет_аналитики'!Z1572,WeightedMinAge16),MAX(CapacityAge16*'01_Вводные'!$B$218*'19_Расчет_аналитики'!Z1572,MeanMinAge16)))</f>
        <v/>
      </c>
      <c r="AA1519">
        <f>IF(OR(('19_Расчет_аналитики'!AA1435-'19_Расчет_аналитики'!AA1463)=0,16&lt;='01_Вводные'!$B$297),0,('19_Расчет_аналитики'!AA1435-'19_Расчет_аналитики'!AA1463)*IF('01_Вводные'!$B$239="Да",MeanMinAge16+'19_Расчет_аналитики'!AA1572*SUMIF(ThresholdAge16,"&lt;"&amp;'19_Расчет_аналитики'!AA1572,WeightedRevAge16)-SUMIF(ThresholdAge16,"&lt;"&amp;'19_Расчет_аналитики'!AA1572,WeightedMinAge16),MAX(CapacityAge16*'01_Вводные'!$B$218*'19_Расчет_аналитики'!AA1572,MeanMinAge16)))</f>
        <v/>
      </c>
      <c r="AB1519">
        <f>IF(OR(('19_Расчет_аналитики'!AB1435-'19_Расчет_аналитики'!AB1463)=0,16&lt;='01_Вводные'!$B$297),0,('19_Расчет_аналитики'!AB1435-'19_Расчет_аналитики'!AB1463)*IF('01_Вводные'!$B$239="Да",MeanMinAge16+'19_Расчет_аналитики'!AB1572*SUMIF(ThresholdAge16,"&lt;"&amp;'19_Расчет_аналитики'!AB1572,WeightedRevAge16)-SUMIF(ThresholdAge16,"&lt;"&amp;'19_Расчет_аналитики'!AB1572,WeightedMinAge16),MAX(CapacityAge16*'01_Вводные'!$B$218*'19_Расчет_аналитики'!AB1572,MeanMinAge16)))</f>
        <v/>
      </c>
      <c r="AC1519">
        <f>IF(OR(('19_Расчет_аналитики'!AC1435-'19_Расчет_аналитики'!AC1463)=0,16&lt;='01_Вводные'!$B$297),0,('19_Расчет_аналитики'!AC1435-'19_Расчет_аналитики'!AC1463)*IF('01_Вводные'!$B$239="Да",MeanMinAge16+'19_Расчет_аналитики'!AC1572*SUMIF(ThresholdAge16,"&lt;"&amp;'19_Расчет_аналитики'!AC1572,WeightedRevAge16)-SUMIF(ThresholdAge16,"&lt;"&amp;'19_Расчет_аналитики'!AC1572,WeightedMinAge16),MAX(CapacityAge16*'01_Вводные'!$B$218*'19_Расчет_аналитики'!AC1572,MeanMinAge16)))</f>
        <v/>
      </c>
      <c r="AD1519">
        <f>IF(OR(('19_Расчет_аналитики'!AD1435-'19_Расчет_аналитики'!AD1463)=0,16&lt;='01_Вводные'!$B$297),0,('19_Расчет_аналитики'!AD1435-'19_Расчет_аналитики'!AD1463)*IF('01_Вводные'!$B$239="Да",MeanMinAge16+'19_Расчет_аналитики'!AD1572*SUMIF(ThresholdAge16,"&lt;"&amp;'19_Расчет_аналитики'!AD1572,WeightedRevAge16)-SUMIF(ThresholdAge16,"&lt;"&amp;'19_Расчет_аналитики'!AD1572,WeightedMinAge16),MAX(CapacityAge16*'01_Вводные'!$B$218*'19_Расчет_аналитики'!AD1572,MeanMinAge16)))</f>
        <v/>
      </c>
      <c r="AE1519">
        <f>IF(OR(('19_Расчет_аналитики'!AE1435-'19_Расчет_аналитики'!AE1463)=0,16&lt;='01_Вводные'!$B$297),0,('19_Расчет_аналитики'!AE1435-'19_Расчет_аналитики'!AE1463)*IF('01_Вводные'!$B$239="Да",MeanMinAge16+'19_Расчет_аналитики'!AE1572*SUMIF(ThresholdAge16,"&lt;"&amp;'19_Расчет_аналитики'!AE1572,WeightedRevAge16)-SUMIF(ThresholdAge16,"&lt;"&amp;'19_Расчет_аналитики'!AE1572,WeightedMinAge16),MAX(CapacityAge16*'01_Вводные'!$B$218*'19_Расчет_аналитики'!AE1572,MeanMinAge16)))</f>
        <v/>
      </c>
      <c r="AF1519">
        <f>IF(OR(('19_Расчет_аналитики'!AF1435-'19_Расчет_аналитики'!AF1463)=0,16&lt;='01_Вводные'!$B$297),0,('19_Расчет_аналитики'!AF1435-'19_Расчет_аналитики'!AF1463)*IF('01_Вводные'!$B$239="Да",MeanMinAge16+'19_Расчет_аналитики'!AF1572*SUMIF(ThresholdAge16,"&lt;"&amp;'19_Расчет_аналитики'!AF1572,WeightedRevAge16)-SUMIF(ThresholdAge16,"&lt;"&amp;'19_Расчет_аналитики'!AF1572,WeightedMinAge16),MAX(CapacityAge16*'01_Вводные'!$B$218*'19_Расчет_аналитики'!AF1572,MeanMinAge16)))</f>
        <v/>
      </c>
      <c r="AG1519">
        <f>IF(OR(('19_Расчет_аналитики'!AG1435-'19_Расчет_аналитики'!AG1463)=0,16&lt;='01_Вводные'!$B$297),0,('19_Расчет_аналитики'!AG1435-'19_Расчет_аналитики'!AG1463)*IF('01_Вводные'!$B$239="Да",MeanMinAge16+'19_Расчет_аналитики'!AG1572*SUMIF(ThresholdAge16,"&lt;"&amp;'19_Расчет_аналитики'!AG1572,WeightedRevAge16)-SUMIF(ThresholdAge16,"&lt;"&amp;'19_Расчет_аналитики'!AG1572,WeightedMinAge16),MAX(CapacityAge16*'01_Вводные'!$B$218*'19_Расчет_аналитики'!AG1572,MeanMinAge16)))</f>
        <v/>
      </c>
      <c r="AH1519">
        <f>IF(OR(('19_Расчет_аналитики'!AH1435-'19_Расчет_аналитики'!AH1463)=0,16&lt;='01_Вводные'!$B$297),0,('19_Расчет_аналитики'!AH1435-'19_Расчет_аналитики'!AH1463)*IF('01_Вводные'!$B$239="Да",MeanMinAge16+'19_Расчет_аналитики'!AH1572*SUMIF(ThresholdAge16,"&lt;"&amp;'19_Расчет_аналитики'!AH1572,WeightedRevAge16)-SUMIF(ThresholdAge16,"&lt;"&amp;'19_Расчет_аналитики'!AH1572,WeightedMinAge16),MAX(CapacityAge16*'01_Вводные'!$B$218*'19_Расчет_аналитики'!AH1572,MeanMinAge16)))</f>
        <v/>
      </c>
      <c r="AI1519">
        <f>IF(OR(('19_Расчет_аналитики'!AI1435-'19_Расчет_аналитики'!AI1463)=0,16&lt;='01_Вводные'!$B$297),0,('19_Расчет_аналитики'!AI1435-'19_Расчет_аналитики'!AI1463)*IF('01_Вводные'!$B$239="Да",MeanMinAge16+'19_Расчет_аналитики'!AI1572*SUMIF(ThresholdAge16,"&lt;"&amp;'19_Расчет_аналитики'!AI1572,WeightedRevAge16)-SUMIF(ThresholdAge16,"&lt;"&amp;'19_Расчет_аналитики'!AI1572,WeightedMinAge16),MAX(CapacityAge16*'01_Вводные'!$B$218*'19_Расчет_аналитики'!AI1572,MeanMinAge16)))</f>
        <v/>
      </c>
      <c r="AJ1519">
        <f>IF(OR(('19_Расчет_аналитики'!AJ1435-'19_Расчет_аналитики'!AJ1463)=0,16&lt;='01_Вводные'!$B$297),0,('19_Расчет_аналитики'!AJ1435-'19_Расчет_аналитики'!AJ1463)*IF('01_Вводные'!$B$239="Да",MeanMinAge16+'19_Расчет_аналитики'!AJ1572*SUMIF(ThresholdAge16,"&lt;"&amp;'19_Расчет_аналитики'!AJ1572,WeightedRevAge16)-SUMIF(ThresholdAge16,"&lt;"&amp;'19_Расчет_аналитики'!AJ1572,WeightedMinAge16),MAX(CapacityAge16*'01_Вводные'!$B$218*'19_Расчет_аналитики'!AJ1572,MeanMinAge16)))</f>
        <v/>
      </c>
      <c r="AK1519">
        <f>IF(OR(('19_Расчет_аналитики'!AK1435-'19_Расчет_аналитики'!AK1463)=0,16&lt;='01_Вводные'!$B$297),0,('19_Расчет_аналитики'!AK1435-'19_Расчет_аналитики'!AK1463)*IF('01_Вводные'!$B$239="Да",MeanMinAge16+'19_Расчет_аналитики'!AK1572*SUMIF(ThresholdAge16,"&lt;"&amp;'19_Расчет_аналитики'!AK1572,WeightedRevAge16)-SUMIF(ThresholdAge16,"&lt;"&amp;'19_Расчет_аналитики'!AK1572,WeightedMinAge16),MAX(CapacityAge16*'01_Вводные'!$B$218*'19_Расчет_аналитики'!AK1572,MeanMinAge16)))</f>
        <v/>
      </c>
      <c r="AL1519">
        <f>IF(OR(('19_Расчет_аналитики'!AL1435-'19_Расчет_аналитики'!AL1463)=0,16&lt;='01_Вводные'!$B$297),0,('19_Расчет_аналитики'!AL1435-'19_Расчет_аналитики'!AL1463)*IF('01_Вводные'!$B$239="Да",MeanMinAge16+'19_Расчет_аналитики'!AL1572*SUMIF(ThresholdAge16,"&lt;"&amp;'19_Расчет_аналитики'!AL1572,WeightedRevAge16)-SUMIF(ThresholdAge16,"&lt;"&amp;'19_Расчет_аналитики'!AL1572,WeightedMinAge16),MAX(CapacityAge16*'01_Вводные'!$B$218*'19_Расчет_аналитики'!AL1572,MeanMinAge16)))</f>
        <v/>
      </c>
      <c r="AM1519">
        <f>IF(OR(('19_Расчет_аналитики'!AM1435-'19_Расчет_аналитики'!AM1463)=0,16&lt;='01_Вводные'!$B$297),0,('19_Расчет_аналитики'!AM1435-'19_Расчет_аналитики'!AM1463)*IF('01_Вводные'!$B$239="Да",MeanMinAge16+'19_Расчет_аналитики'!AM1572*SUMIF(ThresholdAge16,"&lt;"&amp;'19_Расчет_аналитики'!AM1572,WeightedRevAge16)-SUMIF(ThresholdAge16,"&lt;"&amp;'19_Расчет_аналитики'!AM1572,WeightedMinAge16),MAX(CapacityAge16*'01_Вводные'!$B$218*'19_Расчет_аналитики'!AM1572,MeanMinAge16)))</f>
        <v/>
      </c>
      <c r="AN1519">
        <f>IF(OR(('19_Расчет_аналитики'!AN1435-'19_Расчет_аналитики'!AN1463)=0,16&lt;='01_Вводные'!$B$297),0,('19_Расчет_аналитики'!AN1435-'19_Расчет_аналитики'!AN1463)*IF('01_Вводные'!$B$239="Да",MeanMinAge16+'19_Расчет_аналитики'!AN1572*SUMIF(ThresholdAge16,"&lt;"&amp;'19_Расчет_аналитики'!AN1572,WeightedRevAge16)-SUMIF(ThresholdAge16,"&lt;"&amp;'19_Расчет_аналитики'!AN1572,WeightedMinAge16),MAX(CapacityAge16*'01_Вводные'!$B$218*'19_Расчет_аналитики'!AN1572,MeanMinAge16)))</f>
        <v/>
      </c>
      <c r="AO1519">
        <f>IF(OR(('19_Расчет_аналитики'!AO1435-'19_Расчет_аналитики'!AO1463)=0,16&lt;='01_Вводные'!$B$297),0,('19_Расчет_аналитики'!AO1435-'19_Расчет_аналитики'!AO1463)*IF('01_Вводные'!$B$239="Да",MeanMinAge16+'19_Расчет_аналитики'!AO1572*SUMIF(ThresholdAge16,"&lt;"&amp;'19_Расчет_аналитики'!AO1572,WeightedRevAge16)-SUMIF(ThresholdAge16,"&lt;"&amp;'19_Расчет_аналитики'!AO1572,WeightedMinAge16),MAX(CapacityAge16*'01_Вводные'!$B$218*'19_Расчет_аналитики'!AO1572,MeanMinAge16)))</f>
        <v/>
      </c>
      <c r="AP1519">
        <f>IF(OR(('19_Расчет_аналитики'!AP1435-'19_Расчет_аналитики'!AP1463)=0,16&lt;='01_Вводные'!$B$297),0,('19_Расчет_аналитики'!AP1435-'19_Расчет_аналитики'!AP1463)*IF('01_Вводные'!$B$239="Да",MeanMinAge16+'19_Расчет_аналитики'!AP1572*SUMIF(ThresholdAge16,"&lt;"&amp;'19_Расчет_аналитики'!AP1572,WeightedRevAge16)-SUMIF(ThresholdAge16,"&lt;"&amp;'19_Расчет_аналитики'!AP1572,WeightedMinAge16),MAX(CapacityAge16*'01_Вводные'!$B$218*'19_Расчет_аналитики'!AP1572,MeanMinAge16)))</f>
        <v/>
      </c>
      <c r="AQ1519">
        <f>IF(OR(('19_Расчет_аналитики'!AQ1435-'19_Расчет_аналитики'!AQ1463)=0,16&lt;='01_Вводные'!$B$297),0,('19_Расчет_аналитики'!AQ1435-'19_Расчет_аналитики'!AQ1463)*IF('01_Вводные'!$B$239="Да",MeanMinAge16+'19_Расчет_аналитики'!AQ1572*SUMIF(ThresholdAge16,"&lt;"&amp;'19_Расчет_аналитики'!AQ1572,WeightedRevAge16)-SUMIF(ThresholdAge16,"&lt;"&amp;'19_Расчет_аналитики'!AQ1572,WeightedMinAge16),MAX(CapacityAge16*'01_Вводные'!$B$218*'19_Расчет_аналитики'!AQ1572,MeanMinAge16)))</f>
        <v/>
      </c>
      <c r="AR1519">
        <f>IF(OR(('19_Расчет_аналитики'!AR1435-'19_Расчет_аналитики'!AR1463)=0,16&lt;='01_Вводные'!$B$297),0,('19_Расчет_аналитики'!AR1435-'19_Расчет_аналитики'!AR1463)*IF('01_Вводные'!$B$239="Да",MeanMinAge16+'19_Расчет_аналитики'!AR1572*SUMIF(ThresholdAge16,"&lt;"&amp;'19_Расчет_аналитики'!AR1572,WeightedRevAge16)-SUMIF(ThresholdAge16,"&lt;"&amp;'19_Расчет_аналитики'!AR1572,WeightedMinAge16),MAX(CapacityAge16*'01_Вводные'!$B$218*'19_Расчет_аналитики'!AR1572,MeanMinAge16)))</f>
        <v/>
      </c>
      <c r="AS1519">
        <f>IF(OR(('19_Расчет_аналитики'!AS1435-'19_Расчет_аналитики'!AS1463)=0,16&lt;='01_Вводные'!$B$297),0,('19_Расчет_аналитики'!AS1435-'19_Расчет_аналитики'!AS1463)*IF('01_Вводные'!$B$239="Да",MeanMinAge16+'19_Расчет_аналитики'!AS1572*SUMIF(ThresholdAge16,"&lt;"&amp;'19_Расчет_аналитики'!AS1572,WeightedRevAge16)-SUMIF(ThresholdAge16,"&lt;"&amp;'19_Расчет_аналитики'!AS1572,WeightedMinAge16),MAX(CapacityAge16*'01_Вводные'!$B$218*'19_Расчет_аналитики'!AS1572,MeanMinAge16)))</f>
        <v/>
      </c>
      <c r="AT1519">
        <f>IF(OR(('19_Расчет_аналитики'!AT1435-'19_Расчет_аналитики'!AT1463)=0,16&lt;='01_Вводные'!$B$297),0,('19_Расчет_аналитики'!AT1435-'19_Расчет_аналитики'!AT1463)*IF('01_Вводные'!$B$239="Да",MeanMinAge16+'19_Расчет_аналитики'!AT1572*SUMIF(ThresholdAge16,"&lt;"&amp;'19_Расчет_аналитики'!AT1572,WeightedRevAge16)-SUMIF(ThresholdAge16,"&lt;"&amp;'19_Расчет_аналитики'!AT1572,WeightedMinAge16),MAX(CapacityAge16*'01_Вводные'!$B$218*'19_Расчет_аналитики'!AT1572,MeanMinAge16)))</f>
        <v/>
      </c>
      <c r="AU1519">
        <f>IF(OR(('19_Расчет_аналитики'!AU1435-'19_Расчет_аналитики'!AU1463)=0,16&lt;='01_Вводные'!$B$297),0,('19_Расчет_аналитики'!AU1435-'19_Расчет_аналитики'!AU1463)*IF('01_Вводные'!$B$239="Да",MeanMinAge16+'19_Расчет_аналитики'!AU1572*SUMIF(ThresholdAge16,"&lt;"&amp;'19_Расчет_аналитики'!AU1572,WeightedRevAge16)-SUMIF(ThresholdAge16,"&lt;"&amp;'19_Расчет_аналитики'!AU1572,WeightedMinAge16),MAX(CapacityAge16*'01_Вводные'!$B$218*'19_Расчет_аналитики'!AU1572,MeanMinAge16)))</f>
        <v/>
      </c>
      <c r="AV1519">
        <f>IF(OR(('19_Расчет_аналитики'!AV1435-'19_Расчет_аналитики'!AV1463)=0,16&lt;='01_Вводные'!$B$297),0,('19_Расчет_аналитики'!AV1435-'19_Расчет_аналитики'!AV1463)*IF('01_Вводные'!$B$239="Да",MeanMinAge16+'19_Расчет_аналитики'!AV1572*SUMIF(ThresholdAge16,"&lt;"&amp;'19_Расчет_аналитики'!AV1572,WeightedRevAge16)-SUMIF(ThresholdAge16,"&lt;"&amp;'19_Расчет_аналитики'!AV1572,WeightedMinAge16),MAX(CapacityAge16*'01_Вводные'!$B$218*'19_Расчет_аналитики'!AV1572,MeanMinAge16)))</f>
        <v/>
      </c>
      <c r="AW1519">
        <f>IF(OR(('19_Расчет_аналитики'!AW1435-'19_Расчет_аналитики'!AW1463)=0,16&lt;='01_Вводные'!$B$297),0,('19_Расчет_аналитики'!AW1435-'19_Расчет_аналитики'!AW1463)*IF('01_Вводные'!$B$239="Да",MeanMinAge16+'19_Расчет_аналитики'!AW1572*SUMIF(ThresholdAge16,"&lt;"&amp;'19_Расчет_аналитики'!AW1572,WeightedRevAge16)-SUMIF(ThresholdAge16,"&lt;"&amp;'19_Расчет_аналитики'!AW1572,WeightedMinAge16),MAX(CapacityAge16*'01_Вводные'!$B$218*'19_Расчет_аналитики'!AW1572,MeanMinAge16)))</f>
        <v/>
      </c>
      <c r="AX1519">
        <f>IF(OR(('19_Расчет_аналитики'!AX1435-'19_Расчет_аналитики'!AX1463)=0,16&lt;='01_Вводные'!$B$297),0,('19_Расчет_аналитики'!AX1435-'19_Расчет_аналитики'!AX1463)*IF('01_Вводные'!$B$239="Да",MeanMinAge16+'19_Расчет_аналитики'!AX1572*SUMIF(ThresholdAge16,"&lt;"&amp;'19_Расчет_аналитики'!AX1572,WeightedRevAge16)-SUMIF(ThresholdAge16,"&lt;"&amp;'19_Расчет_аналитики'!AX1572,WeightedMinAge16),MAX(CapacityAge16*'01_Вводные'!$B$218*'19_Расчет_аналитики'!AX1572,MeanMinAge16)))</f>
        <v/>
      </c>
      <c r="AY1519">
        <f>IF(OR(('19_Расчет_аналитики'!AY1435-'19_Расчет_аналитики'!AY1463)=0,16&lt;='01_Вводные'!$B$297),0,('19_Расчет_аналитики'!AY1435-'19_Расчет_аналитики'!AY1463)*IF('01_Вводные'!$B$239="Да",MeanMinAge16+'19_Расчет_аналитики'!AY1572*SUMIF(ThresholdAge16,"&lt;"&amp;'19_Расчет_аналитики'!AY1572,WeightedRevAge16)-SUMIF(ThresholdAge16,"&lt;"&amp;'19_Расчет_аналитики'!AY1572,WeightedMinAge16),MAX(CapacityAge16*'01_Вводные'!$B$218*'19_Расчет_аналитики'!AY1572,MeanMinAge16)))</f>
        <v/>
      </c>
      <c r="AZ1519">
        <f>IF(OR(('19_Расчет_аналитики'!AZ1435-'19_Расчет_аналитики'!AZ1463)=0,16&lt;='01_Вводные'!$B$297),0,('19_Расчет_аналитики'!AZ1435-'19_Расчет_аналитики'!AZ1463)*IF('01_Вводные'!$B$239="Да",MeanMinAge16+'19_Расчет_аналитики'!AZ1572*SUMIF(ThresholdAge16,"&lt;"&amp;'19_Расчет_аналитики'!AZ1572,WeightedRevAge16)-SUMIF(ThresholdAge16,"&lt;"&amp;'19_Расчет_аналитики'!AZ1572,WeightedMinAge16),MAX(CapacityAge16*'01_Вводные'!$B$218*'19_Расчет_аналитики'!AZ1572,MeanMinAge16)))</f>
        <v/>
      </c>
      <c r="BA1519">
        <f>IF(OR(('19_Расчет_аналитики'!BA1435-'19_Расчет_аналитики'!BA1463)=0,16&lt;='01_Вводные'!$B$297),0,('19_Расчет_аналитики'!BA1435-'19_Расчет_аналитики'!BA1463)*IF('01_Вводные'!$B$239="Да",MeanMinAge16+'19_Расчет_аналитики'!BA1572*SUMIF(ThresholdAge16,"&lt;"&amp;'19_Расчет_аналитики'!BA1572,WeightedRevAge16)-SUMIF(ThresholdAge16,"&lt;"&amp;'19_Расчет_аналитики'!BA1572,WeightedMinAge16),MAX(CapacityAge16*'01_Вводные'!$B$218*'19_Расчет_аналитики'!BA1572,MeanMinAge16)))</f>
        <v/>
      </c>
      <c r="BB1519">
        <f>IF(OR(('19_Расчет_аналитики'!BB1435-'19_Расчет_аналитики'!BB1463)=0,16&lt;='01_Вводные'!$B$297),0,('19_Расчет_аналитики'!BB1435-'19_Расчет_аналитики'!BB1463)*IF('01_Вводные'!$B$239="Да",MeanMinAge16+'19_Расчет_аналитики'!BB1572*SUMIF(ThresholdAge16,"&lt;"&amp;'19_Расчет_аналитики'!BB1572,WeightedRevAge16)-SUMIF(ThresholdAge16,"&lt;"&amp;'19_Расчет_аналитики'!BB1572,WeightedMinAge16),MAX(CapacityAge16*'01_Вводные'!$B$218*'19_Расчет_аналитики'!BB1572,MeanMinAge16)))</f>
        <v/>
      </c>
      <c r="BC1519">
        <f>IF(OR(('19_Расчет_аналитики'!BC1435-'19_Расчет_аналитики'!BC1463)=0,16&lt;='01_Вводные'!$B$297),0,('19_Расчет_аналитики'!BC1435-'19_Расчет_аналитики'!BC1463)*IF('01_Вводные'!$B$239="Да",MeanMinAge16+'19_Расчет_аналитики'!BC1572*SUMIF(ThresholdAge16,"&lt;"&amp;'19_Расчет_аналитики'!BC1572,WeightedRevAge16)-SUMIF(ThresholdAge16,"&lt;"&amp;'19_Расчет_аналитики'!BC1572,WeightedMinAge16),MAX(CapacityAge16*'01_Вводные'!$B$218*'19_Расчет_аналитики'!BC1572,MeanMinAge16)))</f>
        <v/>
      </c>
      <c r="BD1519">
        <f>IF(OR(('19_Расчет_аналитики'!BD1435-'19_Расчет_аналитики'!BD1463)=0,16&lt;='01_Вводные'!$B$297),0,('19_Расчет_аналитики'!BD1435-'19_Расчет_аналитики'!BD1463)*IF('01_Вводные'!$B$239="Да",MeanMinAge16+'19_Расчет_аналитики'!BD1572*SUMIF(ThresholdAge16,"&lt;"&amp;'19_Расчет_аналитики'!BD1572,WeightedRevAge16)-SUMIF(ThresholdAge16,"&lt;"&amp;'19_Расчет_аналитики'!BD1572,WeightedMinAge16),MAX(CapacityAge16*'01_Вводные'!$B$218*'19_Расчет_аналитики'!BD1572,MeanMinAge16)))</f>
        <v/>
      </c>
      <c r="BE1519">
        <f>IF(OR(('19_Расчет_аналитики'!BE1435-'19_Расчет_аналитики'!BE1463)=0,16&lt;='01_Вводные'!$B$297),0,('19_Расчет_аналитики'!BE1435-'19_Расчет_аналитики'!BE1463)*IF('01_Вводные'!$B$239="Да",MeanMinAge16+'19_Расчет_аналитики'!BE1572*SUMIF(ThresholdAge16,"&lt;"&amp;'19_Расчет_аналитики'!BE1572,WeightedRevAge16)-SUMIF(ThresholdAge16,"&lt;"&amp;'19_Расчет_аналитики'!BE1572,WeightedMinAge16),MAX(CapacityAge16*'01_Вводные'!$B$218*'19_Расчет_аналитики'!BE1572,MeanMinAge16)))</f>
        <v/>
      </c>
      <c r="BF1519">
        <f>IF(OR(('19_Расчет_аналитики'!BF1435-'19_Расчет_аналитики'!BF1463)=0,16&lt;='01_Вводные'!$B$297),0,('19_Расчет_аналитики'!BF1435-'19_Расчет_аналитики'!BF1463)*IF('01_Вводные'!$B$239="Да",MeanMinAge16+'19_Расчет_аналитики'!BF1572*SUMIF(ThresholdAge16,"&lt;"&amp;'19_Расчет_аналитики'!BF1572,WeightedRevAge16)-SUMIF(ThresholdAge16,"&lt;"&amp;'19_Расчет_аналитики'!BF1572,WeightedMinAge16),MAX(CapacityAge16*'01_Вводные'!$B$218*'19_Расчет_аналитики'!BF1572,MeanMinAge16)))</f>
        <v/>
      </c>
      <c r="BG1519">
        <f>IF(OR(('19_Расчет_аналитики'!BG1435-'19_Расчет_аналитики'!BG1463)=0,16&lt;='01_Вводные'!$B$297),0,('19_Расчет_аналитики'!BG1435-'19_Расчет_аналитики'!BG1463)*IF('01_Вводные'!$B$239="Да",MeanMinAge16+'19_Расчет_аналитики'!BG1572*SUMIF(ThresholdAge16,"&lt;"&amp;'19_Расчет_аналитики'!BG1572,WeightedRevAge16)-SUMIF(ThresholdAge16,"&lt;"&amp;'19_Расчет_аналитики'!BG1572,WeightedMinAge16),MAX(CapacityAge16*'01_Вводные'!$B$218*'19_Расчет_аналитики'!BG1572,MeanMinAge16)))</f>
        <v/>
      </c>
      <c r="BH1519">
        <f>IF(OR(('19_Расчет_аналитики'!BH1435-'19_Расчет_аналитики'!BH1463)=0,16&lt;='01_Вводные'!$B$297),0,('19_Расчет_аналитики'!BH1435-'19_Расчет_аналитики'!BH1463)*IF('01_Вводные'!$B$239="Да",MeanMinAge16+'19_Расчет_аналитики'!BH1572*SUMIF(ThresholdAge16,"&lt;"&amp;'19_Расчет_аналитики'!BH1572,WeightedRevAge16)-SUMIF(ThresholdAge16,"&lt;"&amp;'19_Расчет_аналитики'!BH1572,WeightedMinAge16),MAX(CapacityAge16*'01_Вводные'!$B$218*'19_Расчет_аналитики'!BH1572,MeanMinAge16)))</f>
        <v/>
      </c>
      <c r="BI1519">
        <f>IF(OR(('19_Расчет_аналитики'!BI1435-'19_Расчет_аналитики'!BI1463)=0,16&lt;='01_Вводные'!$B$297),0,('19_Расчет_аналитики'!BI1435-'19_Расчет_аналитики'!BI1463)*IF('01_Вводные'!$B$239="Да",MeanMinAge16+'19_Расчет_аналитики'!BI1572*SUMIF(ThresholdAge16,"&lt;"&amp;'19_Расчет_аналитики'!BI1572,WeightedRevAge16)-SUMIF(ThresholdAge16,"&lt;"&amp;'19_Расчет_аналитики'!BI1572,WeightedMinAge16),MAX(CapacityAge16*'01_Вводные'!$B$218*'19_Расчет_аналитики'!BI1572,MeanMinAge16)))</f>
        <v/>
      </c>
      <c r="BJ1519">
        <f>IF(OR(('19_Расчет_аналитики'!BJ1435-'19_Расчет_аналитики'!BJ1463)=0,16&lt;='01_Вводные'!$B$297),0,('19_Расчет_аналитики'!BJ1435-'19_Расчет_аналитики'!BJ1463)*IF('01_Вводные'!$B$239="Да",MeanMinAge16+'19_Расчет_аналитики'!BJ1572*SUMIF(ThresholdAge16,"&lt;"&amp;'19_Расчет_аналитики'!BJ1572,WeightedRevAge16)-SUMIF(ThresholdAge16,"&lt;"&amp;'19_Расчет_аналитики'!BJ1572,WeightedMinAge16),MAX(CapacityAge16*'01_Вводные'!$B$218*'19_Расчет_аналитики'!BJ1572,MeanMinAge16)))</f>
        <v/>
      </c>
      <c r="BK1519">
        <f>IF(OR(('19_Расчет_аналитики'!BK1435-'19_Расчет_аналитики'!BK1463)=0,16&lt;='01_Вводные'!$B$297),0,('19_Расчет_аналитики'!BK1435-'19_Расчет_аналитики'!BK1463)*IF('01_Вводные'!$B$239="Да",MeanMinAge16+'19_Расчет_аналитики'!BK1572*SUMIF(ThresholdAge16,"&lt;"&amp;'19_Расчет_аналитики'!BK1572,WeightedRevAge16)-SUMIF(ThresholdAge16,"&lt;"&amp;'19_Расчет_аналитики'!BK1572,WeightedMinAge16),MAX(CapacityAge16*'01_Вводные'!$B$218*'19_Расчет_аналитики'!BK1572,MeanMinAge16)))</f>
        <v/>
      </c>
      <c r="BL1519">
        <f>IF(OR(('19_Расчет_аналитики'!BL1435-'19_Расчет_аналитики'!BL1463)=0,16&lt;='01_Вводные'!$B$297),0,('19_Расчет_аналитики'!BL1435-'19_Расчет_аналитики'!BL1463)*IF('01_Вводные'!$B$239="Да",MeanMinAge16+'19_Расчет_аналитики'!BL1572*SUMIF(ThresholdAge16,"&lt;"&amp;'19_Расчет_аналитики'!BL1572,WeightedRevAge16)-SUMIF(ThresholdAge16,"&lt;"&amp;'19_Расчет_аналитики'!BL1572,WeightedMinAge16),MAX(CapacityAge16*'01_Вводные'!$B$218*'19_Расчет_аналитики'!BL1572,MeanMinAge16)))</f>
        <v/>
      </c>
      <c r="BM1519">
        <f>IF(OR(('19_Расчет_аналитики'!BM1435-'19_Расчет_аналитики'!BM1463)=0,16&lt;='01_Вводные'!$B$297),0,('19_Расчет_аналитики'!BM1435-'19_Расчет_аналитики'!BM1463)*IF('01_Вводные'!$B$239="Да",MeanMinAge16+'19_Расчет_аналитики'!BM1572*SUMIF(ThresholdAge16,"&lt;"&amp;'19_Расчет_аналитики'!BM1572,WeightedRevAge16)-SUMIF(ThresholdAge16,"&lt;"&amp;'19_Расчет_аналитики'!BM1572,WeightedMinAge16),MAX(CapacityAge16*'01_Вводные'!$B$218*'19_Расчет_аналитики'!BM1572,MeanMinAge16)))</f>
        <v/>
      </c>
      <c r="BN1519">
        <f>IF(OR(('19_Расчет_аналитики'!BN1435-'19_Расчет_аналитики'!BN1463)=0,16&lt;='01_Вводные'!$B$297),0,('19_Расчет_аналитики'!BN1435-'19_Расчет_аналитики'!BN1463)*IF('01_Вводные'!$B$239="Да",MeanMinAge16+'19_Расчет_аналитики'!BN1572*SUMIF(ThresholdAge16,"&lt;"&amp;'19_Расчет_аналитики'!BN1572,WeightedRevAge16)-SUMIF(ThresholdAge16,"&lt;"&amp;'19_Расчет_аналитики'!BN1572,WeightedMinAge16),MAX(CapacityAge16*'01_Вводные'!$B$218*'19_Расчет_аналитики'!BN1572,MeanMinAge16)))</f>
        <v/>
      </c>
      <c r="BO1519">
        <f>IF(OR(('19_Расчет_аналитики'!BO1435-'19_Расчет_аналитики'!BO1463)=0,16&lt;='01_Вводные'!$B$297),0,('19_Расчет_аналитики'!BO1435-'19_Расчет_аналитики'!BO1463)*IF('01_Вводные'!$B$239="Да",MeanMinAge16+'19_Расчет_аналитики'!BO1572*SUMIF(ThresholdAge16,"&lt;"&amp;'19_Расчет_аналитики'!BO1572,WeightedRevAge16)-SUMIF(ThresholdAge16,"&lt;"&amp;'19_Расчет_аналитики'!BO1572,WeightedMinAge16),MAX(CapacityAge16*'01_Вводные'!$B$218*'19_Расчет_аналитики'!BO1572,MeanMinAge16)))</f>
        <v/>
      </c>
    </row>
    <row r="1520">
      <c r="B1520">
        <f>IF(OR(('06_Сеть_и_дети'!B69-'06_Сеть_и_дети'!B97)=0,17&lt;='01_Вводные'!$B$297),0,('06_Сеть_и_дети'!B69-'06_Сеть_и_дети'!B97)*IF('01_Вводные'!$B$239="Да",MeanMinAge17+'19_Расчет_аналитики'!B1572*SUMIF(ThresholdAge17,"&lt;"&amp;'19_Расчет_аналитики'!B1572,WeightedRevAge17)-SUMIF(ThresholdAge17,"&lt;"&amp;'19_Расчет_аналитики'!B1572,WeightedMinAge17),MAX(CapacityAge17*'01_Вводные'!$B$218*'19_Расчет_аналитики'!B1572,MeanMinAge17)))</f>
        <v/>
      </c>
      <c r="C1520">
        <f>IF(OR(('06_Сеть_и_дети'!C69-'06_Сеть_и_дети'!C97)=0,17&lt;='01_Вводные'!$B$297),0,('06_Сеть_и_дети'!C69-'06_Сеть_и_дети'!C97)*IF('01_Вводные'!$B$239="Да",MeanMinAge17+'19_Расчет_аналитики'!C1572*SUMIF(ThresholdAge17,"&lt;"&amp;'19_Расчет_аналитики'!C1572,WeightedRevAge17)-SUMIF(ThresholdAge17,"&lt;"&amp;'19_Расчет_аналитики'!C1572,WeightedMinAge17),MAX(CapacityAge17*'01_Вводные'!$B$218*'19_Расчет_аналитики'!C1572,MeanMinAge17)))</f>
        <v/>
      </c>
      <c r="D1520">
        <f>IF(OR(('06_Сеть_и_дети'!D69-'06_Сеть_и_дети'!D97)=0,17&lt;='01_Вводные'!$B$297),0,('06_Сеть_и_дети'!D69-'06_Сеть_и_дети'!D97)*IF('01_Вводные'!$B$239="Да",MeanMinAge17+'19_Расчет_аналитики'!D1572*SUMIF(ThresholdAge17,"&lt;"&amp;'19_Расчет_аналитики'!D1572,WeightedRevAge17)-SUMIF(ThresholdAge17,"&lt;"&amp;'19_Расчет_аналитики'!D1572,WeightedMinAge17),MAX(CapacityAge17*'01_Вводные'!$B$218*'19_Расчет_аналитики'!D1572,MeanMinAge17)))</f>
        <v/>
      </c>
      <c r="E1520">
        <f>IF(OR(('06_Сеть_и_дети'!E69-'06_Сеть_и_дети'!E97)=0,17&lt;='01_Вводные'!$B$297),0,('06_Сеть_и_дети'!E69-'06_Сеть_и_дети'!E97)*IF('01_Вводные'!$B$239="Да",MeanMinAge17+'19_Расчет_аналитики'!E1572*SUMIF(ThresholdAge17,"&lt;"&amp;'19_Расчет_аналитики'!E1572,WeightedRevAge17)-SUMIF(ThresholdAge17,"&lt;"&amp;'19_Расчет_аналитики'!E1572,WeightedMinAge17),MAX(CapacityAge17*'01_Вводные'!$B$218*'19_Расчет_аналитики'!E1572,MeanMinAge17)))</f>
        <v/>
      </c>
      <c r="F1520">
        <f>IF(OR(('06_Сеть_и_дети'!F69-'06_Сеть_и_дети'!F97)=0,17&lt;='01_Вводные'!$B$297),0,('06_Сеть_и_дети'!F69-'06_Сеть_и_дети'!F97)*IF('01_Вводные'!$B$239="Да",MeanMinAge17+'19_Расчет_аналитики'!F1572*SUMIF(ThresholdAge17,"&lt;"&amp;'19_Расчет_аналитики'!F1572,WeightedRevAge17)-SUMIF(ThresholdAge17,"&lt;"&amp;'19_Расчет_аналитики'!F1572,WeightedMinAge17),MAX(CapacityAge17*'01_Вводные'!$B$218*'19_Расчет_аналитики'!F1572,MeanMinAge17)))</f>
        <v/>
      </c>
      <c r="G1520">
        <f>IF(OR(('06_Сеть_и_дети'!G69-'06_Сеть_и_дети'!G97)=0,17&lt;='01_Вводные'!$B$297),0,('06_Сеть_и_дети'!G69-'06_Сеть_и_дети'!G97)*IF('01_Вводные'!$B$239="Да",MeanMinAge17+'19_Расчет_аналитики'!G1572*SUMIF(ThresholdAge17,"&lt;"&amp;'19_Расчет_аналитики'!G1572,WeightedRevAge17)-SUMIF(ThresholdAge17,"&lt;"&amp;'19_Расчет_аналитики'!G1572,WeightedMinAge17),MAX(CapacityAge17*'01_Вводные'!$B$218*'19_Расчет_аналитики'!G1572,MeanMinAge17)))</f>
        <v/>
      </c>
      <c r="H1520">
        <f>IF(OR(('06_Сеть_и_дети'!H69-'06_Сеть_и_дети'!H97)=0,17&lt;='01_Вводные'!$B$297),0,('06_Сеть_и_дети'!H69-'06_Сеть_и_дети'!H97)*IF('01_Вводные'!$B$239="Да",MeanMinAge17+'19_Расчет_аналитики'!H1572*SUMIF(ThresholdAge17,"&lt;"&amp;'19_Расчет_аналитики'!H1572,WeightedRevAge17)-SUMIF(ThresholdAge17,"&lt;"&amp;'19_Расчет_аналитики'!H1572,WeightedMinAge17),MAX(CapacityAge17*'01_Вводные'!$B$218*'19_Расчет_аналитики'!H1572,MeanMinAge17)))</f>
        <v/>
      </c>
      <c r="I1520">
        <f>IF(OR(('06_Сеть_и_дети'!I69-'06_Сеть_и_дети'!I97)=0,17&lt;='01_Вводные'!$B$297),0,('06_Сеть_и_дети'!I69-'06_Сеть_и_дети'!I97)*IF('01_Вводные'!$B$239="Да",MeanMinAge17+'19_Расчет_аналитики'!I1572*SUMIF(ThresholdAge17,"&lt;"&amp;'19_Расчет_аналитики'!I1572,WeightedRevAge17)-SUMIF(ThresholdAge17,"&lt;"&amp;'19_Расчет_аналитики'!I1572,WeightedMinAge17),MAX(CapacityAge17*'01_Вводные'!$B$218*'19_Расчет_аналитики'!I1572,MeanMinAge17)))</f>
        <v/>
      </c>
      <c r="J1520">
        <f>IF(OR(('06_Сеть_и_дети'!J69-'06_Сеть_и_дети'!J97)=0,17&lt;='01_Вводные'!$B$297),0,('06_Сеть_и_дети'!J69-'06_Сеть_и_дети'!J97)*IF('01_Вводные'!$B$239="Да",MeanMinAge17+'19_Расчет_аналитики'!J1572*SUMIF(ThresholdAge17,"&lt;"&amp;'19_Расчет_аналитики'!J1572,WeightedRevAge17)-SUMIF(ThresholdAge17,"&lt;"&amp;'19_Расчет_аналитики'!J1572,WeightedMinAge17),MAX(CapacityAge17*'01_Вводные'!$B$218*'19_Расчет_аналитики'!J1572,MeanMinAge17)))</f>
        <v/>
      </c>
      <c r="K1520">
        <f>IF(OR(('06_Сеть_и_дети'!K69-'06_Сеть_и_дети'!K97)=0,17&lt;='01_Вводные'!$B$297),0,('06_Сеть_и_дети'!K69-'06_Сеть_и_дети'!K97)*IF('01_Вводные'!$B$239="Да",MeanMinAge17+'19_Расчет_аналитики'!K1572*SUMIF(ThresholdAge17,"&lt;"&amp;'19_Расчет_аналитики'!K1572,WeightedRevAge17)-SUMIF(ThresholdAge17,"&lt;"&amp;'19_Расчет_аналитики'!K1572,WeightedMinAge17),MAX(CapacityAge17*'01_Вводные'!$B$218*'19_Расчет_аналитики'!K1572,MeanMinAge17)))</f>
        <v/>
      </c>
      <c r="L1520">
        <f>IF(OR(('06_Сеть_и_дети'!L69-'06_Сеть_и_дети'!L97)=0,17&lt;='01_Вводные'!$B$297),0,('06_Сеть_и_дети'!L69-'06_Сеть_и_дети'!L97)*IF('01_Вводные'!$B$239="Да",MeanMinAge17+'19_Расчет_аналитики'!L1572*SUMIF(ThresholdAge17,"&lt;"&amp;'19_Расчет_аналитики'!L1572,WeightedRevAge17)-SUMIF(ThresholdAge17,"&lt;"&amp;'19_Расчет_аналитики'!L1572,WeightedMinAge17),MAX(CapacityAge17*'01_Вводные'!$B$218*'19_Расчет_аналитики'!L1572,MeanMinAge17)))</f>
        <v/>
      </c>
      <c r="M1520">
        <f>IF(OR(('06_Сеть_и_дети'!M69-'06_Сеть_и_дети'!M97)=0,17&lt;='01_Вводные'!$B$297),0,('06_Сеть_и_дети'!M69-'06_Сеть_и_дети'!M97)*IF('01_Вводные'!$B$239="Да",MeanMinAge17+'19_Расчет_аналитики'!M1572*SUMIF(ThresholdAge17,"&lt;"&amp;'19_Расчет_аналитики'!M1572,WeightedRevAge17)-SUMIF(ThresholdAge17,"&lt;"&amp;'19_Расчет_аналитики'!M1572,WeightedMinAge17),MAX(CapacityAge17*'01_Вводные'!$B$218*'19_Расчет_аналитики'!M1572,MeanMinAge17)))</f>
        <v/>
      </c>
      <c r="N1520">
        <f>IF(OR(('06_Сеть_и_дети'!N69-'06_Сеть_и_дети'!N97)=0,17&lt;='01_Вводные'!$B$297),0,('06_Сеть_и_дети'!N69-'06_Сеть_и_дети'!N97)*IF('01_Вводные'!$B$239="Да",MeanMinAge17+'19_Расчет_аналитики'!N1572*SUMIF(ThresholdAge17,"&lt;"&amp;'19_Расчет_аналитики'!N1572,WeightedRevAge17)-SUMIF(ThresholdAge17,"&lt;"&amp;'19_Расчет_аналитики'!N1572,WeightedMinAge17),MAX(CapacityAge17*'01_Вводные'!$B$218*'19_Расчет_аналитики'!N1572,MeanMinAge17)))</f>
        <v/>
      </c>
      <c r="O1520">
        <f>IF(OR(('06_Сеть_и_дети'!O69-'06_Сеть_и_дети'!O97)=0,17&lt;='01_Вводные'!$B$297),0,('06_Сеть_и_дети'!O69-'06_Сеть_и_дети'!O97)*IF('01_Вводные'!$B$239="Да",MeanMinAge17+'19_Расчет_аналитики'!O1572*SUMIF(ThresholdAge17,"&lt;"&amp;'19_Расчет_аналитики'!O1572,WeightedRevAge17)-SUMIF(ThresholdAge17,"&lt;"&amp;'19_Расчет_аналитики'!O1572,WeightedMinAge17),MAX(CapacityAge17*'01_Вводные'!$B$218*'19_Расчет_аналитики'!O1572,MeanMinAge17)))</f>
        <v/>
      </c>
      <c r="P1520">
        <f>IF(OR(('06_Сеть_и_дети'!P69-'06_Сеть_и_дети'!P97)=0,17&lt;='01_Вводные'!$B$297),0,('06_Сеть_и_дети'!P69-'06_Сеть_и_дети'!P97)*IF('01_Вводные'!$B$239="Да",MeanMinAge17+'19_Расчет_аналитики'!P1572*SUMIF(ThresholdAge17,"&lt;"&amp;'19_Расчет_аналитики'!P1572,WeightedRevAge17)-SUMIF(ThresholdAge17,"&lt;"&amp;'19_Расчет_аналитики'!P1572,WeightedMinAge17),MAX(CapacityAge17*'01_Вводные'!$B$218*'19_Расчет_аналитики'!P1572,MeanMinAge17)))</f>
        <v/>
      </c>
      <c r="Q1520">
        <f>IF(OR(('06_Сеть_и_дети'!Q69-'06_Сеть_и_дети'!Q97)=0,17&lt;='01_Вводные'!$B$297),0,('06_Сеть_и_дети'!Q69-'06_Сеть_и_дети'!Q97)*IF('01_Вводные'!$B$239="Да",MeanMinAge17+'19_Расчет_аналитики'!Q1572*SUMIF(ThresholdAge17,"&lt;"&amp;'19_Расчет_аналитики'!Q1572,WeightedRevAge17)-SUMIF(ThresholdAge17,"&lt;"&amp;'19_Расчет_аналитики'!Q1572,WeightedMinAge17),MAX(CapacityAge17*'01_Вводные'!$B$218*'19_Расчет_аналитики'!Q1572,MeanMinAge17)))</f>
        <v/>
      </c>
      <c r="R1520">
        <f>IF(OR(('19_Расчет_аналитики'!R1436-'19_Расчет_аналитики'!R1464)=0,17&lt;='01_Вводные'!$B$297),0,('19_Расчет_аналитики'!R1436-'19_Расчет_аналитики'!R1464)*IF('01_Вводные'!$B$239="Да",MeanMinAge17+'19_Расчет_аналитики'!R1572*SUMIF(ThresholdAge17,"&lt;"&amp;'19_Расчет_аналитики'!R1572,WeightedRevAge17)-SUMIF(ThresholdAge17,"&lt;"&amp;'19_Расчет_аналитики'!R1572,WeightedMinAge17),MAX(CapacityAge17*'01_Вводные'!$B$218*'19_Расчет_аналитики'!R1572,MeanMinAge17)))</f>
        <v/>
      </c>
      <c r="S1520">
        <f>IF(OR(('19_Расчет_аналитики'!S1436-'19_Расчет_аналитики'!S1464)=0,17&lt;='01_Вводные'!$B$297),0,('19_Расчет_аналитики'!S1436-'19_Расчет_аналитики'!S1464)*IF('01_Вводные'!$B$239="Да",MeanMinAge17+'19_Расчет_аналитики'!S1572*SUMIF(ThresholdAge17,"&lt;"&amp;'19_Расчет_аналитики'!S1572,WeightedRevAge17)-SUMIF(ThresholdAge17,"&lt;"&amp;'19_Расчет_аналитики'!S1572,WeightedMinAge17),MAX(CapacityAge17*'01_Вводные'!$B$218*'19_Расчет_аналитики'!S1572,MeanMinAge17)))</f>
        <v/>
      </c>
      <c r="T1520">
        <f>IF(OR(('19_Расчет_аналитики'!T1436-'19_Расчет_аналитики'!T1464)=0,17&lt;='01_Вводные'!$B$297),0,('19_Расчет_аналитики'!T1436-'19_Расчет_аналитики'!T1464)*IF('01_Вводные'!$B$239="Да",MeanMinAge17+'19_Расчет_аналитики'!T1572*SUMIF(ThresholdAge17,"&lt;"&amp;'19_Расчет_аналитики'!T1572,WeightedRevAge17)-SUMIF(ThresholdAge17,"&lt;"&amp;'19_Расчет_аналитики'!T1572,WeightedMinAge17),MAX(CapacityAge17*'01_Вводные'!$B$218*'19_Расчет_аналитики'!T1572,MeanMinAge17)))</f>
        <v/>
      </c>
      <c r="U1520">
        <f>IF(OR(('19_Расчет_аналитики'!U1436-'19_Расчет_аналитики'!U1464)=0,17&lt;='01_Вводные'!$B$297),0,('19_Расчет_аналитики'!U1436-'19_Расчет_аналитики'!U1464)*IF('01_Вводные'!$B$239="Да",MeanMinAge17+'19_Расчет_аналитики'!U1572*SUMIF(ThresholdAge17,"&lt;"&amp;'19_Расчет_аналитики'!U1572,WeightedRevAge17)-SUMIF(ThresholdAge17,"&lt;"&amp;'19_Расчет_аналитики'!U1572,WeightedMinAge17),MAX(CapacityAge17*'01_Вводные'!$B$218*'19_Расчет_аналитики'!U1572,MeanMinAge17)))</f>
        <v/>
      </c>
      <c r="V1520">
        <f>IF(OR(('19_Расчет_аналитики'!V1436-'19_Расчет_аналитики'!V1464)=0,17&lt;='01_Вводные'!$B$297),0,('19_Расчет_аналитики'!V1436-'19_Расчет_аналитики'!V1464)*IF('01_Вводные'!$B$239="Да",MeanMinAge17+'19_Расчет_аналитики'!V1572*SUMIF(ThresholdAge17,"&lt;"&amp;'19_Расчет_аналитики'!V1572,WeightedRevAge17)-SUMIF(ThresholdAge17,"&lt;"&amp;'19_Расчет_аналитики'!V1572,WeightedMinAge17),MAX(CapacityAge17*'01_Вводные'!$B$218*'19_Расчет_аналитики'!V1572,MeanMinAge17)))</f>
        <v/>
      </c>
      <c r="W1520">
        <f>IF(OR(('19_Расчет_аналитики'!W1436-'19_Расчет_аналитики'!W1464)=0,17&lt;='01_Вводные'!$B$297),0,('19_Расчет_аналитики'!W1436-'19_Расчет_аналитики'!W1464)*IF('01_Вводные'!$B$239="Да",MeanMinAge17+'19_Расчет_аналитики'!W1572*SUMIF(ThresholdAge17,"&lt;"&amp;'19_Расчет_аналитики'!W1572,WeightedRevAge17)-SUMIF(ThresholdAge17,"&lt;"&amp;'19_Расчет_аналитики'!W1572,WeightedMinAge17),MAX(CapacityAge17*'01_Вводные'!$B$218*'19_Расчет_аналитики'!W1572,MeanMinAge17)))</f>
        <v/>
      </c>
      <c r="X1520">
        <f>IF(OR(('19_Расчет_аналитики'!X1436-'19_Расчет_аналитики'!X1464)=0,17&lt;='01_Вводные'!$B$297),0,('19_Расчет_аналитики'!X1436-'19_Расчет_аналитики'!X1464)*IF('01_Вводные'!$B$239="Да",MeanMinAge17+'19_Расчет_аналитики'!X1572*SUMIF(ThresholdAge17,"&lt;"&amp;'19_Расчет_аналитики'!X1572,WeightedRevAge17)-SUMIF(ThresholdAge17,"&lt;"&amp;'19_Расчет_аналитики'!X1572,WeightedMinAge17),MAX(CapacityAge17*'01_Вводные'!$B$218*'19_Расчет_аналитики'!X1572,MeanMinAge17)))</f>
        <v/>
      </c>
      <c r="Y1520">
        <f>IF(OR(('19_Расчет_аналитики'!Y1436-'19_Расчет_аналитики'!Y1464)=0,17&lt;='01_Вводные'!$B$297),0,('19_Расчет_аналитики'!Y1436-'19_Расчет_аналитики'!Y1464)*IF('01_Вводные'!$B$239="Да",MeanMinAge17+'19_Расчет_аналитики'!Y1572*SUMIF(ThresholdAge17,"&lt;"&amp;'19_Расчет_аналитики'!Y1572,WeightedRevAge17)-SUMIF(ThresholdAge17,"&lt;"&amp;'19_Расчет_аналитики'!Y1572,WeightedMinAge17),MAX(CapacityAge17*'01_Вводные'!$B$218*'19_Расчет_аналитики'!Y1572,MeanMinAge17)))</f>
        <v/>
      </c>
      <c r="Z1520">
        <f>IF(OR(('19_Расчет_аналитики'!Z1436-'19_Расчет_аналитики'!Z1464)=0,17&lt;='01_Вводные'!$B$297),0,('19_Расчет_аналитики'!Z1436-'19_Расчет_аналитики'!Z1464)*IF('01_Вводные'!$B$239="Да",MeanMinAge17+'19_Расчет_аналитики'!Z1572*SUMIF(ThresholdAge17,"&lt;"&amp;'19_Расчет_аналитики'!Z1572,WeightedRevAge17)-SUMIF(ThresholdAge17,"&lt;"&amp;'19_Расчет_аналитики'!Z1572,WeightedMinAge17),MAX(CapacityAge17*'01_Вводные'!$B$218*'19_Расчет_аналитики'!Z1572,MeanMinAge17)))</f>
        <v/>
      </c>
      <c r="AA1520">
        <f>IF(OR(('19_Расчет_аналитики'!AA1436-'19_Расчет_аналитики'!AA1464)=0,17&lt;='01_Вводные'!$B$297),0,('19_Расчет_аналитики'!AA1436-'19_Расчет_аналитики'!AA1464)*IF('01_Вводные'!$B$239="Да",MeanMinAge17+'19_Расчет_аналитики'!AA1572*SUMIF(ThresholdAge17,"&lt;"&amp;'19_Расчет_аналитики'!AA1572,WeightedRevAge17)-SUMIF(ThresholdAge17,"&lt;"&amp;'19_Расчет_аналитики'!AA1572,WeightedMinAge17),MAX(CapacityAge17*'01_Вводные'!$B$218*'19_Расчет_аналитики'!AA1572,MeanMinAge17)))</f>
        <v/>
      </c>
      <c r="AB1520">
        <f>IF(OR(('19_Расчет_аналитики'!AB1436-'19_Расчет_аналитики'!AB1464)=0,17&lt;='01_Вводные'!$B$297),0,('19_Расчет_аналитики'!AB1436-'19_Расчет_аналитики'!AB1464)*IF('01_Вводные'!$B$239="Да",MeanMinAge17+'19_Расчет_аналитики'!AB1572*SUMIF(ThresholdAge17,"&lt;"&amp;'19_Расчет_аналитики'!AB1572,WeightedRevAge17)-SUMIF(ThresholdAge17,"&lt;"&amp;'19_Расчет_аналитики'!AB1572,WeightedMinAge17),MAX(CapacityAge17*'01_Вводные'!$B$218*'19_Расчет_аналитики'!AB1572,MeanMinAge17)))</f>
        <v/>
      </c>
      <c r="AC1520">
        <f>IF(OR(('19_Расчет_аналитики'!AC1436-'19_Расчет_аналитики'!AC1464)=0,17&lt;='01_Вводные'!$B$297),0,('19_Расчет_аналитики'!AC1436-'19_Расчет_аналитики'!AC1464)*IF('01_Вводные'!$B$239="Да",MeanMinAge17+'19_Расчет_аналитики'!AC1572*SUMIF(ThresholdAge17,"&lt;"&amp;'19_Расчет_аналитики'!AC1572,WeightedRevAge17)-SUMIF(ThresholdAge17,"&lt;"&amp;'19_Расчет_аналитики'!AC1572,WeightedMinAge17),MAX(CapacityAge17*'01_Вводные'!$B$218*'19_Расчет_аналитики'!AC1572,MeanMinAge17)))</f>
        <v/>
      </c>
      <c r="AD1520">
        <f>IF(OR(('19_Расчет_аналитики'!AD1436-'19_Расчет_аналитики'!AD1464)=0,17&lt;='01_Вводные'!$B$297),0,('19_Расчет_аналитики'!AD1436-'19_Расчет_аналитики'!AD1464)*IF('01_Вводные'!$B$239="Да",MeanMinAge17+'19_Расчет_аналитики'!AD1572*SUMIF(ThresholdAge17,"&lt;"&amp;'19_Расчет_аналитики'!AD1572,WeightedRevAge17)-SUMIF(ThresholdAge17,"&lt;"&amp;'19_Расчет_аналитики'!AD1572,WeightedMinAge17),MAX(CapacityAge17*'01_Вводные'!$B$218*'19_Расчет_аналитики'!AD1572,MeanMinAge17)))</f>
        <v/>
      </c>
      <c r="AE1520">
        <f>IF(OR(('19_Расчет_аналитики'!AE1436-'19_Расчет_аналитики'!AE1464)=0,17&lt;='01_Вводные'!$B$297),0,('19_Расчет_аналитики'!AE1436-'19_Расчет_аналитики'!AE1464)*IF('01_Вводные'!$B$239="Да",MeanMinAge17+'19_Расчет_аналитики'!AE1572*SUMIF(ThresholdAge17,"&lt;"&amp;'19_Расчет_аналитики'!AE1572,WeightedRevAge17)-SUMIF(ThresholdAge17,"&lt;"&amp;'19_Расчет_аналитики'!AE1572,WeightedMinAge17),MAX(CapacityAge17*'01_Вводные'!$B$218*'19_Расчет_аналитики'!AE1572,MeanMinAge17)))</f>
        <v/>
      </c>
      <c r="AF1520">
        <f>IF(OR(('19_Расчет_аналитики'!AF1436-'19_Расчет_аналитики'!AF1464)=0,17&lt;='01_Вводные'!$B$297),0,('19_Расчет_аналитики'!AF1436-'19_Расчет_аналитики'!AF1464)*IF('01_Вводные'!$B$239="Да",MeanMinAge17+'19_Расчет_аналитики'!AF1572*SUMIF(ThresholdAge17,"&lt;"&amp;'19_Расчет_аналитики'!AF1572,WeightedRevAge17)-SUMIF(ThresholdAge17,"&lt;"&amp;'19_Расчет_аналитики'!AF1572,WeightedMinAge17),MAX(CapacityAge17*'01_Вводные'!$B$218*'19_Расчет_аналитики'!AF1572,MeanMinAge17)))</f>
        <v/>
      </c>
      <c r="AG1520">
        <f>IF(OR(('19_Расчет_аналитики'!AG1436-'19_Расчет_аналитики'!AG1464)=0,17&lt;='01_Вводные'!$B$297),0,('19_Расчет_аналитики'!AG1436-'19_Расчет_аналитики'!AG1464)*IF('01_Вводные'!$B$239="Да",MeanMinAge17+'19_Расчет_аналитики'!AG1572*SUMIF(ThresholdAge17,"&lt;"&amp;'19_Расчет_аналитики'!AG1572,WeightedRevAge17)-SUMIF(ThresholdAge17,"&lt;"&amp;'19_Расчет_аналитики'!AG1572,WeightedMinAge17),MAX(CapacityAge17*'01_Вводные'!$B$218*'19_Расчет_аналитики'!AG1572,MeanMinAge17)))</f>
        <v/>
      </c>
      <c r="AH1520">
        <f>IF(OR(('19_Расчет_аналитики'!AH1436-'19_Расчет_аналитики'!AH1464)=0,17&lt;='01_Вводные'!$B$297),0,('19_Расчет_аналитики'!AH1436-'19_Расчет_аналитики'!AH1464)*IF('01_Вводные'!$B$239="Да",MeanMinAge17+'19_Расчет_аналитики'!AH1572*SUMIF(ThresholdAge17,"&lt;"&amp;'19_Расчет_аналитики'!AH1572,WeightedRevAge17)-SUMIF(ThresholdAge17,"&lt;"&amp;'19_Расчет_аналитики'!AH1572,WeightedMinAge17),MAX(CapacityAge17*'01_Вводные'!$B$218*'19_Расчет_аналитики'!AH1572,MeanMinAge17)))</f>
        <v/>
      </c>
      <c r="AI1520">
        <f>IF(OR(('19_Расчет_аналитики'!AI1436-'19_Расчет_аналитики'!AI1464)=0,17&lt;='01_Вводные'!$B$297),0,('19_Расчет_аналитики'!AI1436-'19_Расчет_аналитики'!AI1464)*IF('01_Вводные'!$B$239="Да",MeanMinAge17+'19_Расчет_аналитики'!AI1572*SUMIF(ThresholdAge17,"&lt;"&amp;'19_Расчет_аналитики'!AI1572,WeightedRevAge17)-SUMIF(ThresholdAge17,"&lt;"&amp;'19_Расчет_аналитики'!AI1572,WeightedMinAge17),MAX(CapacityAge17*'01_Вводные'!$B$218*'19_Расчет_аналитики'!AI1572,MeanMinAge17)))</f>
        <v/>
      </c>
      <c r="AJ1520">
        <f>IF(OR(('19_Расчет_аналитики'!AJ1436-'19_Расчет_аналитики'!AJ1464)=0,17&lt;='01_Вводные'!$B$297),0,('19_Расчет_аналитики'!AJ1436-'19_Расчет_аналитики'!AJ1464)*IF('01_Вводные'!$B$239="Да",MeanMinAge17+'19_Расчет_аналитики'!AJ1572*SUMIF(ThresholdAge17,"&lt;"&amp;'19_Расчет_аналитики'!AJ1572,WeightedRevAge17)-SUMIF(ThresholdAge17,"&lt;"&amp;'19_Расчет_аналитики'!AJ1572,WeightedMinAge17),MAX(CapacityAge17*'01_Вводные'!$B$218*'19_Расчет_аналитики'!AJ1572,MeanMinAge17)))</f>
        <v/>
      </c>
      <c r="AK1520">
        <f>IF(OR(('19_Расчет_аналитики'!AK1436-'19_Расчет_аналитики'!AK1464)=0,17&lt;='01_Вводные'!$B$297),0,('19_Расчет_аналитики'!AK1436-'19_Расчет_аналитики'!AK1464)*IF('01_Вводные'!$B$239="Да",MeanMinAge17+'19_Расчет_аналитики'!AK1572*SUMIF(ThresholdAge17,"&lt;"&amp;'19_Расчет_аналитики'!AK1572,WeightedRevAge17)-SUMIF(ThresholdAge17,"&lt;"&amp;'19_Расчет_аналитики'!AK1572,WeightedMinAge17),MAX(CapacityAge17*'01_Вводные'!$B$218*'19_Расчет_аналитики'!AK1572,MeanMinAge17)))</f>
        <v/>
      </c>
      <c r="AL1520">
        <f>IF(OR(('19_Расчет_аналитики'!AL1436-'19_Расчет_аналитики'!AL1464)=0,17&lt;='01_Вводные'!$B$297),0,('19_Расчет_аналитики'!AL1436-'19_Расчет_аналитики'!AL1464)*IF('01_Вводные'!$B$239="Да",MeanMinAge17+'19_Расчет_аналитики'!AL1572*SUMIF(ThresholdAge17,"&lt;"&amp;'19_Расчет_аналитики'!AL1572,WeightedRevAge17)-SUMIF(ThresholdAge17,"&lt;"&amp;'19_Расчет_аналитики'!AL1572,WeightedMinAge17),MAX(CapacityAge17*'01_Вводные'!$B$218*'19_Расчет_аналитики'!AL1572,MeanMinAge17)))</f>
        <v/>
      </c>
      <c r="AM1520">
        <f>IF(OR(('19_Расчет_аналитики'!AM1436-'19_Расчет_аналитики'!AM1464)=0,17&lt;='01_Вводные'!$B$297),0,('19_Расчет_аналитики'!AM1436-'19_Расчет_аналитики'!AM1464)*IF('01_Вводные'!$B$239="Да",MeanMinAge17+'19_Расчет_аналитики'!AM1572*SUMIF(ThresholdAge17,"&lt;"&amp;'19_Расчет_аналитики'!AM1572,WeightedRevAge17)-SUMIF(ThresholdAge17,"&lt;"&amp;'19_Расчет_аналитики'!AM1572,WeightedMinAge17),MAX(CapacityAge17*'01_Вводные'!$B$218*'19_Расчет_аналитики'!AM1572,MeanMinAge17)))</f>
        <v/>
      </c>
      <c r="AN1520">
        <f>IF(OR(('19_Расчет_аналитики'!AN1436-'19_Расчет_аналитики'!AN1464)=0,17&lt;='01_Вводные'!$B$297),0,('19_Расчет_аналитики'!AN1436-'19_Расчет_аналитики'!AN1464)*IF('01_Вводные'!$B$239="Да",MeanMinAge17+'19_Расчет_аналитики'!AN1572*SUMIF(ThresholdAge17,"&lt;"&amp;'19_Расчет_аналитики'!AN1572,WeightedRevAge17)-SUMIF(ThresholdAge17,"&lt;"&amp;'19_Расчет_аналитики'!AN1572,WeightedMinAge17),MAX(CapacityAge17*'01_Вводные'!$B$218*'19_Расчет_аналитики'!AN1572,MeanMinAge17)))</f>
        <v/>
      </c>
      <c r="AO1520">
        <f>IF(OR(('19_Расчет_аналитики'!AO1436-'19_Расчет_аналитики'!AO1464)=0,17&lt;='01_Вводные'!$B$297),0,('19_Расчет_аналитики'!AO1436-'19_Расчет_аналитики'!AO1464)*IF('01_Вводные'!$B$239="Да",MeanMinAge17+'19_Расчет_аналитики'!AO1572*SUMIF(ThresholdAge17,"&lt;"&amp;'19_Расчет_аналитики'!AO1572,WeightedRevAge17)-SUMIF(ThresholdAge17,"&lt;"&amp;'19_Расчет_аналитики'!AO1572,WeightedMinAge17),MAX(CapacityAge17*'01_Вводные'!$B$218*'19_Расчет_аналитики'!AO1572,MeanMinAge17)))</f>
        <v/>
      </c>
      <c r="AP1520">
        <f>IF(OR(('19_Расчет_аналитики'!AP1436-'19_Расчет_аналитики'!AP1464)=0,17&lt;='01_Вводные'!$B$297),0,('19_Расчет_аналитики'!AP1436-'19_Расчет_аналитики'!AP1464)*IF('01_Вводные'!$B$239="Да",MeanMinAge17+'19_Расчет_аналитики'!AP1572*SUMIF(ThresholdAge17,"&lt;"&amp;'19_Расчет_аналитики'!AP1572,WeightedRevAge17)-SUMIF(ThresholdAge17,"&lt;"&amp;'19_Расчет_аналитики'!AP1572,WeightedMinAge17),MAX(CapacityAge17*'01_Вводные'!$B$218*'19_Расчет_аналитики'!AP1572,MeanMinAge17)))</f>
        <v/>
      </c>
      <c r="AQ1520">
        <f>IF(OR(('19_Расчет_аналитики'!AQ1436-'19_Расчет_аналитики'!AQ1464)=0,17&lt;='01_Вводные'!$B$297),0,('19_Расчет_аналитики'!AQ1436-'19_Расчет_аналитики'!AQ1464)*IF('01_Вводные'!$B$239="Да",MeanMinAge17+'19_Расчет_аналитики'!AQ1572*SUMIF(ThresholdAge17,"&lt;"&amp;'19_Расчет_аналитики'!AQ1572,WeightedRevAge17)-SUMIF(ThresholdAge17,"&lt;"&amp;'19_Расчет_аналитики'!AQ1572,WeightedMinAge17),MAX(CapacityAge17*'01_Вводные'!$B$218*'19_Расчет_аналитики'!AQ1572,MeanMinAge17)))</f>
        <v/>
      </c>
      <c r="AR1520">
        <f>IF(OR(('19_Расчет_аналитики'!AR1436-'19_Расчет_аналитики'!AR1464)=0,17&lt;='01_Вводные'!$B$297),0,('19_Расчет_аналитики'!AR1436-'19_Расчет_аналитики'!AR1464)*IF('01_Вводные'!$B$239="Да",MeanMinAge17+'19_Расчет_аналитики'!AR1572*SUMIF(ThresholdAge17,"&lt;"&amp;'19_Расчет_аналитики'!AR1572,WeightedRevAge17)-SUMIF(ThresholdAge17,"&lt;"&amp;'19_Расчет_аналитики'!AR1572,WeightedMinAge17),MAX(CapacityAge17*'01_Вводные'!$B$218*'19_Расчет_аналитики'!AR1572,MeanMinAge17)))</f>
        <v/>
      </c>
      <c r="AS1520">
        <f>IF(OR(('19_Расчет_аналитики'!AS1436-'19_Расчет_аналитики'!AS1464)=0,17&lt;='01_Вводные'!$B$297),0,('19_Расчет_аналитики'!AS1436-'19_Расчет_аналитики'!AS1464)*IF('01_Вводные'!$B$239="Да",MeanMinAge17+'19_Расчет_аналитики'!AS1572*SUMIF(ThresholdAge17,"&lt;"&amp;'19_Расчет_аналитики'!AS1572,WeightedRevAge17)-SUMIF(ThresholdAge17,"&lt;"&amp;'19_Расчет_аналитики'!AS1572,WeightedMinAge17),MAX(CapacityAge17*'01_Вводные'!$B$218*'19_Расчет_аналитики'!AS1572,MeanMinAge17)))</f>
        <v/>
      </c>
      <c r="AT1520">
        <f>IF(OR(('19_Расчет_аналитики'!AT1436-'19_Расчет_аналитики'!AT1464)=0,17&lt;='01_Вводные'!$B$297),0,('19_Расчет_аналитики'!AT1436-'19_Расчет_аналитики'!AT1464)*IF('01_Вводные'!$B$239="Да",MeanMinAge17+'19_Расчет_аналитики'!AT1572*SUMIF(ThresholdAge17,"&lt;"&amp;'19_Расчет_аналитики'!AT1572,WeightedRevAge17)-SUMIF(ThresholdAge17,"&lt;"&amp;'19_Расчет_аналитики'!AT1572,WeightedMinAge17),MAX(CapacityAge17*'01_Вводные'!$B$218*'19_Расчет_аналитики'!AT1572,MeanMinAge17)))</f>
        <v/>
      </c>
      <c r="AU1520">
        <f>IF(OR(('19_Расчет_аналитики'!AU1436-'19_Расчет_аналитики'!AU1464)=0,17&lt;='01_Вводные'!$B$297),0,('19_Расчет_аналитики'!AU1436-'19_Расчет_аналитики'!AU1464)*IF('01_Вводные'!$B$239="Да",MeanMinAge17+'19_Расчет_аналитики'!AU1572*SUMIF(ThresholdAge17,"&lt;"&amp;'19_Расчет_аналитики'!AU1572,WeightedRevAge17)-SUMIF(ThresholdAge17,"&lt;"&amp;'19_Расчет_аналитики'!AU1572,WeightedMinAge17),MAX(CapacityAge17*'01_Вводные'!$B$218*'19_Расчет_аналитики'!AU1572,MeanMinAge17)))</f>
        <v/>
      </c>
      <c r="AV1520">
        <f>IF(OR(('19_Расчет_аналитики'!AV1436-'19_Расчет_аналитики'!AV1464)=0,17&lt;='01_Вводные'!$B$297),0,('19_Расчет_аналитики'!AV1436-'19_Расчет_аналитики'!AV1464)*IF('01_Вводные'!$B$239="Да",MeanMinAge17+'19_Расчет_аналитики'!AV1572*SUMIF(ThresholdAge17,"&lt;"&amp;'19_Расчет_аналитики'!AV1572,WeightedRevAge17)-SUMIF(ThresholdAge17,"&lt;"&amp;'19_Расчет_аналитики'!AV1572,WeightedMinAge17),MAX(CapacityAge17*'01_Вводные'!$B$218*'19_Расчет_аналитики'!AV1572,MeanMinAge17)))</f>
        <v/>
      </c>
      <c r="AW1520">
        <f>IF(OR(('19_Расчет_аналитики'!AW1436-'19_Расчет_аналитики'!AW1464)=0,17&lt;='01_Вводные'!$B$297),0,('19_Расчет_аналитики'!AW1436-'19_Расчет_аналитики'!AW1464)*IF('01_Вводные'!$B$239="Да",MeanMinAge17+'19_Расчет_аналитики'!AW1572*SUMIF(ThresholdAge17,"&lt;"&amp;'19_Расчет_аналитики'!AW1572,WeightedRevAge17)-SUMIF(ThresholdAge17,"&lt;"&amp;'19_Расчет_аналитики'!AW1572,WeightedMinAge17),MAX(CapacityAge17*'01_Вводные'!$B$218*'19_Расчет_аналитики'!AW1572,MeanMinAge17)))</f>
        <v/>
      </c>
      <c r="AX1520">
        <f>IF(OR(('19_Расчет_аналитики'!AX1436-'19_Расчет_аналитики'!AX1464)=0,17&lt;='01_Вводные'!$B$297),0,('19_Расчет_аналитики'!AX1436-'19_Расчет_аналитики'!AX1464)*IF('01_Вводные'!$B$239="Да",MeanMinAge17+'19_Расчет_аналитики'!AX1572*SUMIF(ThresholdAge17,"&lt;"&amp;'19_Расчет_аналитики'!AX1572,WeightedRevAge17)-SUMIF(ThresholdAge17,"&lt;"&amp;'19_Расчет_аналитики'!AX1572,WeightedMinAge17),MAX(CapacityAge17*'01_Вводные'!$B$218*'19_Расчет_аналитики'!AX1572,MeanMinAge17)))</f>
        <v/>
      </c>
      <c r="AY1520">
        <f>IF(OR(('19_Расчет_аналитики'!AY1436-'19_Расчет_аналитики'!AY1464)=0,17&lt;='01_Вводные'!$B$297),0,('19_Расчет_аналитики'!AY1436-'19_Расчет_аналитики'!AY1464)*IF('01_Вводные'!$B$239="Да",MeanMinAge17+'19_Расчет_аналитики'!AY1572*SUMIF(ThresholdAge17,"&lt;"&amp;'19_Расчет_аналитики'!AY1572,WeightedRevAge17)-SUMIF(ThresholdAge17,"&lt;"&amp;'19_Расчет_аналитики'!AY1572,WeightedMinAge17),MAX(CapacityAge17*'01_Вводные'!$B$218*'19_Расчет_аналитики'!AY1572,MeanMinAge17)))</f>
        <v/>
      </c>
      <c r="AZ1520">
        <f>IF(OR(('19_Расчет_аналитики'!AZ1436-'19_Расчет_аналитики'!AZ1464)=0,17&lt;='01_Вводные'!$B$297),0,('19_Расчет_аналитики'!AZ1436-'19_Расчет_аналитики'!AZ1464)*IF('01_Вводные'!$B$239="Да",MeanMinAge17+'19_Расчет_аналитики'!AZ1572*SUMIF(ThresholdAge17,"&lt;"&amp;'19_Расчет_аналитики'!AZ1572,WeightedRevAge17)-SUMIF(ThresholdAge17,"&lt;"&amp;'19_Расчет_аналитики'!AZ1572,WeightedMinAge17),MAX(CapacityAge17*'01_Вводные'!$B$218*'19_Расчет_аналитики'!AZ1572,MeanMinAge17)))</f>
        <v/>
      </c>
      <c r="BA1520">
        <f>IF(OR(('19_Расчет_аналитики'!BA1436-'19_Расчет_аналитики'!BA1464)=0,17&lt;='01_Вводные'!$B$297),0,('19_Расчет_аналитики'!BA1436-'19_Расчет_аналитики'!BA1464)*IF('01_Вводные'!$B$239="Да",MeanMinAge17+'19_Расчет_аналитики'!BA1572*SUMIF(ThresholdAge17,"&lt;"&amp;'19_Расчет_аналитики'!BA1572,WeightedRevAge17)-SUMIF(ThresholdAge17,"&lt;"&amp;'19_Расчет_аналитики'!BA1572,WeightedMinAge17),MAX(CapacityAge17*'01_Вводные'!$B$218*'19_Расчет_аналитики'!BA1572,MeanMinAge17)))</f>
        <v/>
      </c>
      <c r="BB1520">
        <f>IF(OR(('19_Расчет_аналитики'!BB1436-'19_Расчет_аналитики'!BB1464)=0,17&lt;='01_Вводные'!$B$297),0,('19_Расчет_аналитики'!BB1436-'19_Расчет_аналитики'!BB1464)*IF('01_Вводные'!$B$239="Да",MeanMinAge17+'19_Расчет_аналитики'!BB1572*SUMIF(ThresholdAge17,"&lt;"&amp;'19_Расчет_аналитики'!BB1572,WeightedRevAge17)-SUMIF(ThresholdAge17,"&lt;"&amp;'19_Расчет_аналитики'!BB1572,WeightedMinAge17),MAX(CapacityAge17*'01_Вводные'!$B$218*'19_Расчет_аналитики'!BB1572,MeanMinAge17)))</f>
        <v/>
      </c>
      <c r="BC1520">
        <f>IF(OR(('19_Расчет_аналитики'!BC1436-'19_Расчет_аналитики'!BC1464)=0,17&lt;='01_Вводные'!$B$297),0,('19_Расчет_аналитики'!BC1436-'19_Расчет_аналитики'!BC1464)*IF('01_Вводные'!$B$239="Да",MeanMinAge17+'19_Расчет_аналитики'!BC1572*SUMIF(ThresholdAge17,"&lt;"&amp;'19_Расчет_аналитики'!BC1572,WeightedRevAge17)-SUMIF(ThresholdAge17,"&lt;"&amp;'19_Расчет_аналитики'!BC1572,WeightedMinAge17),MAX(CapacityAge17*'01_Вводные'!$B$218*'19_Расчет_аналитики'!BC1572,MeanMinAge17)))</f>
        <v/>
      </c>
      <c r="BD1520">
        <f>IF(OR(('19_Расчет_аналитики'!BD1436-'19_Расчет_аналитики'!BD1464)=0,17&lt;='01_Вводные'!$B$297),0,('19_Расчет_аналитики'!BD1436-'19_Расчет_аналитики'!BD1464)*IF('01_Вводные'!$B$239="Да",MeanMinAge17+'19_Расчет_аналитики'!BD1572*SUMIF(ThresholdAge17,"&lt;"&amp;'19_Расчет_аналитики'!BD1572,WeightedRevAge17)-SUMIF(ThresholdAge17,"&lt;"&amp;'19_Расчет_аналитики'!BD1572,WeightedMinAge17),MAX(CapacityAge17*'01_Вводные'!$B$218*'19_Расчет_аналитики'!BD1572,MeanMinAge17)))</f>
        <v/>
      </c>
      <c r="BE1520">
        <f>IF(OR(('19_Расчет_аналитики'!BE1436-'19_Расчет_аналитики'!BE1464)=0,17&lt;='01_Вводные'!$B$297),0,('19_Расчет_аналитики'!BE1436-'19_Расчет_аналитики'!BE1464)*IF('01_Вводные'!$B$239="Да",MeanMinAge17+'19_Расчет_аналитики'!BE1572*SUMIF(ThresholdAge17,"&lt;"&amp;'19_Расчет_аналитики'!BE1572,WeightedRevAge17)-SUMIF(ThresholdAge17,"&lt;"&amp;'19_Расчет_аналитики'!BE1572,WeightedMinAge17),MAX(CapacityAge17*'01_Вводные'!$B$218*'19_Расчет_аналитики'!BE1572,MeanMinAge17)))</f>
        <v/>
      </c>
      <c r="BF1520">
        <f>IF(OR(('19_Расчет_аналитики'!BF1436-'19_Расчет_аналитики'!BF1464)=0,17&lt;='01_Вводные'!$B$297),0,('19_Расчет_аналитики'!BF1436-'19_Расчет_аналитики'!BF1464)*IF('01_Вводные'!$B$239="Да",MeanMinAge17+'19_Расчет_аналитики'!BF1572*SUMIF(ThresholdAge17,"&lt;"&amp;'19_Расчет_аналитики'!BF1572,WeightedRevAge17)-SUMIF(ThresholdAge17,"&lt;"&amp;'19_Расчет_аналитики'!BF1572,WeightedMinAge17),MAX(CapacityAge17*'01_Вводные'!$B$218*'19_Расчет_аналитики'!BF1572,MeanMinAge17)))</f>
        <v/>
      </c>
      <c r="BG1520">
        <f>IF(OR(('19_Расчет_аналитики'!BG1436-'19_Расчет_аналитики'!BG1464)=0,17&lt;='01_Вводные'!$B$297),0,('19_Расчет_аналитики'!BG1436-'19_Расчет_аналитики'!BG1464)*IF('01_Вводные'!$B$239="Да",MeanMinAge17+'19_Расчет_аналитики'!BG1572*SUMIF(ThresholdAge17,"&lt;"&amp;'19_Расчет_аналитики'!BG1572,WeightedRevAge17)-SUMIF(ThresholdAge17,"&lt;"&amp;'19_Расчет_аналитики'!BG1572,WeightedMinAge17),MAX(CapacityAge17*'01_Вводные'!$B$218*'19_Расчет_аналитики'!BG1572,MeanMinAge17)))</f>
        <v/>
      </c>
      <c r="BH1520">
        <f>IF(OR(('19_Расчет_аналитики'!BH1436-'19_Расчет_аналитики'!BH1464)=0,17&lt;='01_Вводные'!$B$297),0,('19_Расчет_аналитики'!BH1436-'19_Расчет_аналитики'!BH1464)*IF('01_Вводные'!$B$239="Да",MeanMinAge17+'19_Расчет_аналитики'!BH1572*SUMIF(ThresholdAge17,"&lt;"&amp;'19_Расчет_аналитики'!BH1572,WeightedRevAge17)-SUMIF(ThresholdAge17,"&lt;"&amp;'19_Расчет_аналитики'!BH1572,WeightedMinAge17),MAX(CapacityAge17*'01_Вводные'!$B$218*'19_Расчет_аналитики'!BH1572,MeanMinAge17)))</f>
        <v/>
      </c>
      <c r="BI1520">
        <f>IF(OR(('19_Расчет_аналитики'!BI1436-'19_Расчет_аналитики'!BI1464)=0,17&lt;='01_Вводные'!$B$297),0,('19_Расчет_аналитики'!BI1436-'19_Расчет_аналитики'!BI1464)*IF('01_Вводные'!$B$239="Да",MeanMinAge17+'19_Расчет_аналитики'!BI1572*SUMIF(ThresholdAge17,"&lt;"&amp;'19_Расчет_аналитики'!BI1572,WeightedRevAge17)-SUMIF(ThresholdAge17,"&lt;"&amp;'19_Расчет_аналитики'!BI1572,WeightedMinAge17),MAX(CapacityAge17*'01_Вводные'!$B$218*'19_Расчет_аналитики'!BI1572,MeanMinAge17)))</f>
        <v/>
      </c>
      <c r="BJ1520">
        <f>IF(OR(('19_Расчет_аналитики'!BJ1436-'19_Расчет_аналитики'!BJ1464)=0,17&lt;='01_Вводные'!$B$297),0,('19_Расчет_аналитики'!BJ1436-'19_Расчет_аналитики'!BJ1464)*IF('01_Вводные'!$B$239="Да",MeanMinAge17+'19_Расчет_аналитики'!BJ1572*SUMIF(ThresholdAge17,"&lt;"&amp;'19_Расчет_аналитики'!BJ1572,WeightedRevAge17)-SUMIF(ThresholdAge17,"&lt;"&amp;'19_Расчет_аналитики'!BJ1572,WeightedMinAge17),MAX(CapacityAge17*'01_Вводные'!$B$218*'19_Расчет_аналитики'!BJ1572,MeanMinAge17)))</f>
        <v/>
      </c>
      <c r="BK1520">
        <f>IF(OR(('19_Расчет_аналитики'!BK1436-'19_Расчет_аналитики'!BK1464)=0,17&lt;='01_Вводные'!$B$297),0,('19_Расчет_аналитики'!BK1436-'19_Расчет_аналитики'!BK1464)*IF('01_Вводные'!$B$239="Да",MeanMinAge17+'19_Расчет_аналитики'!BK1572*SUMIF(ThresholdAge17,"&lt;"&amp;'19_Расчет_аналитики'!BK1572,WeightedRevAge17)-SUMIF(ThresholdAge17,"&lt;"&amp;'19_Расчет_аналитики'!BK1572,WeightedMinAge17),MAX(CapacityAge17*'01_Вводные'!$B$218*'19_Расчет_аналитики'!BK1572,MeanMinAge17)))</f>
        <v/>
      </c>
      <c r="BL1520">
        <f>IF(OR(('19_Расчет_аналитики'!BL1436-'19_Расчет_аналитики'!BL1464)=0,17&lt;='01_Вводные'!$B$297),0,('19_Расчет_аналитики'!BL1436-'19_Расчет_аналитики'!BL1464)*IF('01_Вводные'!$B$239="Да",MeanMinAge17+'19_Расчет_аналитики'!BL1572*SUMIF(ThresholdAge17,"&lt;"&amp;'19_Расчет_аналитики'!BL1572,WeightedRevAge17)-SUMIF(ThresholdAge17,"&lt;"&amp;'19_Расчет_аналитики'!BL1572,WeightedMinAge17),MAX(CapacityAge17*'01_Вводные'!$B$218*'19_Расчет_аналитики'!BL1572,MeanMinAge17)))</f>
        <v/>
      </c>
      <c r="BM1520">
        <f>IF(OR(('19_Расчет_аналитики'!BM1436-'19_Расчет_аналитики'!BM1464)=0,17&lt;='01_Вводные'!$B$297),0,('19_Расчет_аналитики'!BM1436-'19_Расчет_аналитики'!BM1464)*IF('01_Вводные'!$B$239="Да",MeanMinAge17+'19_Расчет_аналитики'!BM1572*SUMIF(ThresholdAge17,"&lt;"&amp;'19_Расчет_аналитики'!BM1572,WeightedRevAge17)-SUMIF(ThresholdAge17,"&lt;"&amp;'19_Расчет_аналитики'!BM1572,WeightedMinAge17),MAX(CapacityAge17*'01_Вводные'!$B$218*'19_Расчет_аналитики'!BM1572,MeanMinAge17)))</f>
        <v/>
      </c>
      <c r="BN1520">
        <f>IF(OR(('19_Расчет_аналитики'!BN1436-'19_Расчет_аналитики'!BN1464)=0,17&lt;='01_Вводные'!$B$297),0,('19_Расчет_аналитики'!BN1436-'19_Расчет_аналитики'!BN1464)*IF('01_Вводные'!$B$239="Да",MeanMinAge17+'19_Расчет_аналитики'!BN1572*SUMIF(ThresholdAge17,"&lt;"&amp;'19_Расчет_аналитики'!BN1572,WeightedRevAge17)-SUMIF(ThresholdAge17,"&lt;"&amp;'19_Расчет_аналитики'!BN1572,WeightedMinAge17),MAX(CapacityAge17*'01_Вводные'!$B$218*'19_Расчет_аналитики'!BN1572,MeanMinAge17)))</f>
        <v/>
      </c>
      <c r="BO1520">
        <f>IF(OR(('19_Расчет_аналитики'!BO1436-'19_Расчет_аналитики'!BO1464)=0,17&lt;='01_Вводные'!$B$297),0,('19_Расчет_аналитики'!BO1436-'19_Расчет_аналитики'!BO1464)*IF('01_Вводные'!$B$239="Да",MeanMinAge17+'19_Расчет_аналитики'!BO1572*SUMIF(ThresholdAge17,"&lt;"&amp;'19_Расчет_аналитики'!BO1572,WeightedRevAge17)-SUMIF(ThresholdAge17,"&lt;"&amp;'19_Расчет_аналитики'!BO1572,WeightedMinAge17),MAX(CapacityAge17*'01_Вводные'!$B$218*'19_Расчет_аналитики'!BO1572,MeanMinAge17)))</f>
        <v/>
      </c>
    </row>
    <row r="1521">
      <c r="B1521">
        <f>IF(OR(('06_Сеть_и_дети'!B70-'06_Сеть_и_дети'!B98)=0,18&lt;='01_Вводные'!$B$297),0,('06_Сеть_и_дети'!B70-'06_Сеть_и_дети'!B98)*IF('01_Вводные'!$B$239="Да",MeanMinAge18+'19_Расчет_аналитики'!B1572*SUMIF(ThresholdAge18,"&lt;"&amp;'19_Расчет_аналитики'!B1572,WeightedRevAge18)-SUMIF(ThresholdAge18,"&lt;"&amp;'19_Расчет_аналитики'!B1572,WeightedMinAge18),MAX(CapacityAge18*'01_Вводные'!$B$218*'19_Расчет_аналитики'!B1572,MeanMinAge18)))</f>
        <v/>
      </c>
      <c r="C1521">
        <f>IF(OR(('06_Сеть_и_дети'!C70-'06_Сеть_и_дети'!C98)=0,18&lt;='01_Вводные'!$B$297),0,('06_Сеть_и_дети'!C70-'06_Сеть_и_дети'!C98)*IF('01_Вводные'!$B$239="Да",MeanMinAge18+'19_Расчет_аналитики'!C1572*SUMIF(ThresholdAge18,"&lt;"&amp;'19_Расчет_аналитики'!C1572,WeightedRevAge18)-SUMIF(ThresholdAge18,"&lt;"&amp;'19_Расчет_аналитики'!C1572,WeightedMinAge18),MAX(CapacityAge18*'01_Вводные'!$B$218*'19_Расчет_аналитики'!C1572,MeanMinAge18)))</f>
        <v/>
      </c>
      <c r="D1521">
        <f>IF(OR(('06_Сеть_и_дети'!D70-'06_Сеть_и_дети'!D98)=0,18&lt;='01_Вводные'!$B$297),0,('06_Сеть_и_дети'!D70-'06_Сеть_и_дети'!D98)*IF('01_Вводные'!$B$239="Да",MeanMinAge18+'19_Расчет_аналитики'!D1572*SUMIF(ThresholdAge18,"&lt;"&amp;'19_Расчет_аналитики'!D1572,WeightedRevAge18)-SUMIF(ThresholdAge18,"&lt;"&amp;'19_Расчет_аналитики'!D1572,WeightedMinAge18),MAX(CapacityAge18*'01_Вводные'!$B$218*'19_Расчет_аналитики'!D1572,MeanMinAge18)))</f>
        <v/>
      </c>
      <c r="E1521">
        <f>IF(OR(('06_Сеть_и_дети'!E70-'06_Сеть_и_дети'!E98)=0,18&lt;='01_Вводные'!$B$297),0,('06_Сеть_и_дети'!E70-'06_Сеть_и_дети'!E98)*IF('01_Вводные'!$B$239="Да",MeanMinAge18+'19_Расчет_аналитики'!E1572*SUMIF(ThresholdAge18,"&lt;"&amp;'19_Расчет_аналитики'!E1572,WeightedRevAge18)-SUMIF(ThresholdAge18,"&lt;"&amp;'19_Расчет_аналитики'!E1572,WeightedMinAge18),MAX(CapacityAge18*'01_Вводные'!$B$218*'19_Расчет_аналитики'!E1572,MeanMinAge18)))</f>
        <v/>
      </c>
      <c r="F1521">
        <f>IF(OR(('06_Сеть_и_дети'!F70-'06_Сеть_и_дети'!F98)=0,18&lt;='01_Вводные'!$B$297),0,('06_Сеть_и_дети'!F70-'06_Сеть_и_дети'!F98)*IF('01_Вводные'!$B$239="Да",MeanMinAge18+'19_Расчет_аналитики'!F1572*SUMIF(ThresholdAge18,"&lt;"&amp;'19_Расчет_аналитики'!F1572,WeightedRevAge18)-SUMIF(ThresholdAge18,"&lt;"&amp;'19_Расчет_аналитики'!F1572,WeightedMinAge18),MAX(CapacityAge18*'01_Вводные'!$B$218*'19_Расчет_аналитики'!F1572,MeanMinAge18)))</f>
        <v/>
      </c>
      <c r="G1521">
        <f>IF(OR(('06_Сеть_и_дети'!G70-'06_Сеть_и_дети'!G98)=0,18&lt;='01_Вводные'!$B$297),0,('06_Сеть_и_дети'!G70-'06_Сеть_и_дети'!G98)*IF('01_Вводные'!$B$239="Да",MeanMinAge18+'19_Расчет_аналитики'!G1572*SUMIF(ThresholdAge18,"&lt;"&amp;'19_Расчет_аналитики'!G1572,WeightedRevAge18)-SUMIF(ThresholdAge18,"&lt;"&amp;'19_Расчет_аналитики'!G1572,WeightedMinAge18),MAX(CapacityAge18*'01_Вводные'!$B$218*'19_Расчет_аналитики'!G1572,MeanMinAge18)))</f>
        <v/>
      </c>
      <c r="H1521">
        <f>IF(OR(('06_Сеть_и_дети'!H70-'06_Сеть_и_дети'!H98)=0,18&lt;='01_Вводные'!$B$297),0,('06_Сеть_и_дети'!H70-'06_Сеть_и_дети'!H98)*IF('01_Вводные'!$B$239="Да",MeanMinAge18+'19_Расчет_аналитики'!H1572*SUMIF(ThresholdAge18,"&lt;"&amp;'19_Расчет_аналитики'!H1572,WeightedRevAge18)-SUMIF(ThresholdAge18,"&lt;"&amp;'19_Расчет_аналитики'!H1572,WeightedMinAge18),MAX(CapacityAge18*'01_Вводные'!$B$218*'19_Расчет_аналитики'!H1572,MeanMinAge18)))</f>
        <v/>
      </c>
      <c r="I1521">
        <f>IF(OR(('06_Сеть_и_дети'!I70-'06_Сеть_и_дети'!I98)=0,18&lt;='01_Вводные'!$B$297),0,('06_Сеть_и_дети'!I70-'06_Сеть_и_дети'!I98)*IF('01_Вводные'!$B$239="Да",MeanMinAge18+'19_Расчет_аналитики'!I1572*SUMIF(ThresholdAge18,"&lt;"&amp;'19_Расчет_аналитики'!I1572,WeightedRevAge18)-SUMIF(ThresholdAge18,"&lt;"&amp;'19_Расчет_аналитики'!I1572,WeightedMinAge18),MAX(CapacityAge18*'01_Вводные'!$B$218*'19_Расчет_аналитики'!I1572,MeanMinAge18)))</f>
        <v/>
      </c>
      <c r="J1521">
        <f>IF(OR(('06_Сеть_и_дети'!J70-'06_Сеть_и_дети'!J98)=0,18&lt;='01_Вводные'!$B$297),0,('06_Сеть_и_дети'!J70-'06_Сеть_и_дети'!J98)*IF('01_Вводные'!$B$239="Да",MeanMinAge18+'19_Расчет_аналитики'!J1572*SUMIF(ThresholdAge18,"&lt;"&amp;'19_Расчет_аналитики'!J1572,WeightedRevAge18)-SUMIF(ThresholdAge18,"&lt;"&amp;'19_Расчет_аналитики'!J1572,WeightedMinAge18),MAX(CapacityAge18*'01_Вводные'!$B$218*'19_Расчет_аналитики'!J1572,MeanMinAge18)))</f>
        <v/>
      </c>
      <c r="K1521">
        <f>IF(OR(('06_Сеть_и_дети'!K70-'06_Сеть_и_дети'!K98)=0,18&lt;='01_Вводные'!$B$297),0,('06_Сеть_и_дети'!K70-'06_Сеть_и_дети'!K98)*IF('01_Вводные'!$B$239="Да",MeanMinAge18+'19_Расчет_аналитики'!K1572*SUMIF(ThresholdAge18,"&lt;"&amp;'19_Расчет_аналитики'!K1572,WeightedRevAge18)-SUMIF(ThresholdAge18,"&lt;"&amp;'19_Расчет_аналитики'!K1572,WeightedMinAge18),MAX(CapacityAge18*'01_Вводные'!$B$218*'19_Расчет_аналитики'!K1572,MeanMinAge18)))</f>
        <v/>
      </c>
      <c r="L1521">
        <f>IF(OR(('06_Сеть_и_дети'!L70-'06_Сеть_и_дети'!L98)=0,18&lt;='01_Вводные'!$B$297),0,('06_Сеть_и_дети'!L70-'06_Сеть_и_дети'!L98)*IF('01_Вводные'!$B$239="Да",MeanMinAge18+'19_Расчет_аналитики'!L1572*SUMIF(ThresholdAge18,"&lt;"&amp;'19_Расчет_аналитики'!L1572,WeightedRevAge18)-SUMIF(ThresholdAge18,"&lt;"&amp;'19_Расчет_аналитики'!L1572,WeightedMinAge18),MAX(CapacityAge18*'01_Вводные'!$B$218*'19_Расчет_аналитики'!L1572,MeanMinAge18)))</f>
        <v/>
      </c>
      <c r="M1521">
        <f>IF(OR(('06_Сеть_и_дети'!M70-'06_Сеть_и_дети'!M98)=0,18&lt;='01_Вводные'!$B$297),0,('06_Сеть_и_дети'!M70-'06_Сеть_и_дети'!M98)*IF('01_Вводные'!$B$239="Да",MeanMinAge18+'19_Расчет_аналитики'!M1572*SUMIF(ThresholdAge18,"&lt;"&amp;'19_Расчет_аналитики'!M1572,WeightedRevAge18)-SUMIF(ThresholdAge18,"&lt;"&amp;'19_Расчет_аналитики'!M1572,WeightedMinAge18),MAX(CapacityAge18*'01_Вводные'!$B$218*'19_Расчет_аналитики'!M1572,MeanMinAge18)))</f>
        <v/>
      </c>
      <c r="N1521">
        <f>IF(OR(('06_Сеть_и_дети'!N70-'06_Сеть_и_дети'!N98)=0,18&lt;='01_Вводные'!$B$297),0,('06_Сеть_и_дети'!N70-'06_Сеть_и_дети'!N98)*IF('01_Вводные'!$B$239="Да",MeanMinAge18+'19_Расчет_аналитики'!N1572*SUMIF(ThresholdAge18,"&lt;"&amp;'19_Расчет_аналитики'!N1572,WeightedRevAge18)-SUMIF(ThresholdAge18,"&lt;"&amp;'19_Расчет_аналитики'!N1572,WeightedMinAge18),MAX(CapacityAge18*'01_Вводные'!$B$218*'19_Расчет_аналитики'!N1572,MeanMinAge18)))</f>
        <v/>
      </c>
      <c r="O1521">
        <f>IF(OR(('06_Сеть_и_дети'!O70-'06_Сеть_и_дети'!O98)=0,18&lt;='01_Вводные'!$B$297),0,('06_Сеть_и_дети'!O70-'06_Сеть_и_дети'!O98)*IF('01_Вводные'!$B$239="Да",MeanMinAge18+'19_Расчет_аналитики'!O1572*SUMIF(ThresholdAge18,"&lt;"&amp;'19_Расчет_аналитики'!O1572,WeightedRevAge18)-SUMIF(ThresholdAge18,"&lt;"&amp;'19_Расчет_аналитики'!O1572,WeightedMinAge18),MAX(CapacityAge18*'01_Вводные'!$B$218*'19_Расчет_аналитики'!O1572,MeanMinAge18)))</f>
        <v/>
      </c>
      <c r="P1521">
        <f>IF(OR(('06_Сеть_и_дети'!P70-'06_Сеть_и_дети'!P98)=0,18&lt;='01_Вводные'!$B$297),0,('06_Сеть_и_дети'!P70-'06_Сеть_и_дети'!P98)*IF('01_Вводные'!$B$239="Да",MeanMinAge18+'19_Расчет_аналитики'!P1572*SUMIF(ThresholdAge18,"&lt;"&amp;'19_Расчет_аналитики'!P1572,WeightedRevAge18)-SUMIF(ThresholdAge18,"&lt;"&amp;'19_Расчет_аналитики'!P1572,WeightedMinAge18),MAX(CapacityAge18*'01_Вводные'!$B$218*'19_Расчет_аналитики'!P1572,MeanMinAge18)))</f>
        <v/>
      </c>
      <c r="Q1521">
        <f>IF(OR(('06_Сеть_и_дети'!Q70-'06_Сеть_и_дети'!Q98)=0,18&lt;='01_Вводные'!$B$297),0,('06_Сеть_и_дети'!Q70-'06_Сеть_и_дети'!Q98)*IF('01_Вводные'!$B$239="Да",MeanMinAge18+'19_Расчет_аналитики'!Q1572*SUMIF(ThresholdAge18,"&lt;"&amp;'19_Расчет_аналитики'!Q1572,WeightedRevAge18)-SUMIF(ThresholdAge18,"&lt;"&amp;'19_Расчет_аналитики'!Q1572,WeightedMinAge18),MAX(CapacityAge18*'01_Вводные'!$B$218*'19_Расчет_аналитики'!Q1572,MeanMinAge18)))</f>
        <v/>
      </c>
      <c r="R1521">
        <f>IF(OR(('06_Сеть_и_дети'!R70-'06_Сеть_и_дети'!R98)=0,18&lt;='01_Вводные'!$B$297),0,('06_Сеть_и_дети'!R70-'06_Сеть_и_дети'!R98)*IF('01_Вводные'!$B$239="Да",MeanMinAge18+'19_Расчет_аналитики'!R1572*SUMIF(ThresholdAge18,"&lt;"&amp;'19_Расчет_аналитики'!R1572,WeightedRevAge18)-SUMIF(ThresholdAge18,"&lt;"&amp;'19_Расчет_аналитики'!R1572,WeightedMinAge18),MAX(CapacityAge18*'01_Вводные'!$B$218*'19_Расчет_аналитики'!R1572,MeanMinAge18)))</f>
        <v/>
      </c>
      <c r="S1521">
        <f>IF(OR(('19_Расчет_аналитики'!S1437-'19_Расчет_аналитики'!S1465)=0,18&lt;='01_Вводные'!$B$297),0,('19_Расчет_аналитики'!S1437-'19_Расчет_аналитики'!S1465)*IF('01_Вводные'!$B$239="Да",MeanMinAge18+'19_Расчет_аналитики'!S1572*SUMIF(ThresholdAge18,"&lt;"&amp;'19_Расчет_аналитики'!S1572,WeightedRevAge18)-SUMIF(ThresholdAge18,"&lt;"&amp;'19_Расчет_аналитики'!S1572,WeightedMinAge18),MAX(CapacityAge18*'01_Вводные'!$B$218*'19_Расчет_аналитики'!S1572,MeanMinAge18)))</f>
        <v/>
      </c>
      <c r="T1521">
        <f>IF(OR(('19_Расчет_аналитики'!T1437-'19_Расчет_аналитики'!T1465)=0,18&lt;='01_Вводные'!$B$297),0,('19_Расчет_аналитики'!T1437-'19_Расчет_аналитики'!T1465)*IF('01_Вводные'!$B$239="Да",MeanMinAge18+'19_Расчет_аналитики'!T1572*SUMIF(ThresholdAge18,"&lt;"&amp;'19_Расчет_аналитики'!T1572,WeightedRevAge18)-SUMIF(ThresholdAge18,"&lt;"&amp;'19_Расчет_аналитики'!T1572,WeightedMinAge18),MAX(CapacityAge18*'01_Вводные'!$B$218*'19_Расчет_аналитики'!T1572,MeanMinAge18)))</f>
        <v/>
      </c>
      <c r="U1521">
        <f>IF(OR(('19_Расчет_аналитики'!U1437-'19_Расчет_аналитики'!U1465)=0,18&lt;='01_Вводные'!$B$297),0,('19_Расчет_аналитики'!U1437-'19_Расчет_аналитики'!U1465)*IF('01_Вводные'!$B$239="Да",MeanMinAge18+'19_Расчет_аналитики'!U1572*SUMIF(ThresholdAge18,"&lt;"&amp;'19_Расчет_аналитики'!U1572,WeightedRevAge18)-SUMIF(ThresholdAge18,"&lt;"&amp;'19_Расчет_аналитики'!U1572,WeightedMinAge18),MAX(CapacityAge18*'01_Вводные'!$B$218*'19_Расчет_аналитики'!U1572,MeanMinAge18)))</f>
        <v/>
      </c>
      <c r="V1521">
        <f>IF(OR(('19_Расчет_аналитики'!V1437-'19_Расчет_аналитики'!V1465)=0,18&lt;='01_Вводные'!$B$297),0,('19_Расчет_аналитики'!V1437-'19_Расчет_аналитики'!V1465)*IF('01_Вводные'!$B$239="Да",MeanMinAge18+'19_Расчет_аналитики'!V1572*SUMIF(ThresholdAge18,"&lt;"&amp;'19_Расчет_аналитики'!V1572,WeightedRevAge18)-SUMIF(ThresholdAge18,"&lt;"&amp;'19_Расчет_аналитики'!V1572,WeightedMinAge18),MAX(CapacityAge18*'01_Вводные'!$B$218*'19_Расчет_аналитики'!V1572,MeanMinAge18)))</f>
        <v/>
      </c>
      <c r="W1521">
        <f>IF(OR(('19_Расчет_аналитики'!W1437-'19_Расчет_аналитики'!W1465)=0,18&lt;='01_Вводные'!$B$297),0,('19_Расчет_аналитики'!W1437-'19_Расчет_аналитики'!W1465)*IF('01_Вводные'!$B$239="Да",MeanMinAge18+'19_Расчет_аналитики'!W1572*SUMIF(ThresholdAge18,"&lt;"&amp;'19_Расчет_аналитики'!W1572,WeightedRevAge18)-SUMIF(ThresholdAge18,"&lt;"&amp;'19_Расчет_аналитики'!W1572,WeightedMinAge18),MAX(CapacityAge18*'01_Вводные'!$B$218*'19_Расчет_аналитики'!W1572,MeanMinAge18)))</f>
        <v/>
      </c>
      <c r="X1521">
        <f>IF(OR(('19_Расчет_аналитики'!X1437-'19_Расчет_аналитики'!X1465)=0,18&lt;='01_Вводные'!$B$297),0,('19_Расчет_аналитики'!X1437-'19_Расчет_аналитики'!X1465)*IF('01_Вводные'!$B$239="Да",MeanMinAge18+'19_Расчет_аналитики'!X1572*SUMIF(ThresholdAge18,"&lt;"&amp;'19_Расчет_аналитики'!X1572,WeightedRevAge18)-SUMIF(ThresholdAge18,"&lt;"&amp;'19_Расчет_аналитики'!X1572,WeightedMinAge18),MAX(CapacityAge18*'01_Вводные'!$B$218*'19_Расчет_аналитики'!X1572,MeanMinAge18)))</f>
        <v/>
      </c>
      <c r="Y1521">
        <f>IF(OR(('19_Расчет_аналитики'!Y1437-'19_Расчет_аналитики'!Y1465)=0,18&lt;='01_Вводные'!$B$297),0,('19_Расчет_аналитики'!Y1437-'19_Расчет_аналитики'!Y1465)*IF('01_Вводные'!$B$239="Да",MeanMinAge18+'19_Расчет_аналитики'!Y1572*SUMIF(ThresholdAge18,"&lt;"&amp;'19_Расчет_аналитики'!Y1572,WeightedRevAge18)-SUMIF(ThresholdAge18,"&lt;"&amp;'19_Расчет_аналитики'!Y1572,WeightedMinAge18),MAX(CapacityAge18*'01_Вводные'!$B$218*'19_Расчет_аналитики'!Y1572,MeanMinAge18)))</f>
        <v/>
      </c>
      <c r="Z1521">
        <f>IF(OR(('19_Расчет_аналитики'!Z1437-'19_Расчет_аналитики'!Z1465)=0,18&lt;='01_Вводные'!$B$297),0,('19_Расчет_аналитики'!Z1437-'19_Расчет_аналитики'!Z1465)*IF('01_Вводные'!$B$239="Да",MeanMinAge18+'19_Расчет_аналитики'!Z1572*SUMIF(ThresholdAge18,"&lt;"&amp;'19_Расчет_аналитики'!Z1572,WeightedRevAge18)-SUMIF(ThresholdAge18,"&lt;"&amp;'19_Расчет_аналитики'!Z1572,WeightedMinAge18),MAX(CapacityAge18*'01_Вводные'!$B$218*'19_Расчет_аналитики'!Z1572,MeanMinAge18)))</f>
        <v/>
      </c>
      <c r="AA1521">
        <f>IF(OR(('19_Расчет_аналитики'!AA1437-'19_Расчет_аналитики'!AA1465)=0,18&lt;='01_Вводные'!$B$297),0,('19_Расчет_аналитики'!AA1437-'19_Расчет_аналитики'!AA1465)*IF('01_Вводные'!$B$239="Да",MeanMinAge18+'19_Расчет_аналитики'!AA1572*SUMIF(ThresholdAge18,"&lt;"&amp;'19_Расчет_аналитики'!AA1572,WeightedRevAge18)-SUMIF(ThresholdAge18,"&lt;"&amp;'19_Расчет_аналитики'!AA1572,WeightedMinAge18),MAX(CapacityAge18*'01_Вводные'!$B$218*'19_Расчет_аналитики'!AA1572,MeanMinAge18)))</f>
        <v/>
      </c>
      <c r="AB1521">
        <f>IF(OR(('19_Расчет_аналитики'!AB1437-'19_Расчет_аналитики'!AB1465)=0,18&lt;='01_Вводные'!$B$297),0,('19_Расчет_аналитики'!AB1437-'19_Расчет_аналитики'!AB1465)*IF('01_Вводные'!$B$239="Да",MeanMinAge18+'19_Расчет_аналитики'!AB1572*SUMIF(ThresholdAge18,"&lt;"&amp;'19_Расчет_аналитики'!AB1572,WeightedRevAge18)-SUMIF(ThresholdAge18,"&lt;"&amp;'19_Расчет_аналитики'!AB1572,WeightedMinAge18),MAX(CapacityAge18*'01_Вводные'!$B$218*'19_Расчет_аналитики'!AB1572,MeanMinAge18)))</f>
        <v/>
      </c>
      <c r="AC1521">
        <f>IF(OR(('19_Расчет_аналитики'!AC1437-'19_Расчет_аналитики'!AC1465)=0,18&lt;='01_Вводные'!$B$297),0,('19_Расчет_аналитики'!AC1437-'19_Расчет_аналитики'!AC1465)*IF('01_Вводные'!$B$239="Да",MeanMinAge18+'19_Расчет_аналитики'!AC1572*SUMIF(ThresholdAge18,"&lt;"&amp;'19_Расчет_аналитики'!AC1572,WeightedRevAge18)-SUMIF(ThresholdAge18,"&lt;"&amp;'19_Расчет_аналитики'!AC1572,WeightedMinAge18),MAX(CapacityAge18*'01_Вводные'!$B$218*'19_Расчет_аналитики'!AC1572,MeanMinAge18)))</f>
        <v/>
      </c>
      <c r="AD1521">
        <f>IF(OR(('19_Расчет_аналитики'!AD1437-'19_Расчет_аналитики'!AD1465)=0,18&lt;='01_Вводные'!$B$297),0,('19_Расчет_аналитики'!AD1437-'19_Расчет_аналитики'!AD1465)*IF('01_Вводные'!$B$239="Да",MeanMinAge18+'19_Расчет_аналитики'!AD1572*SUMIF(ThresholdAge18,"&lt;"&amp;'19_Расчет_аналитики'!AD1572,WeightedRevAge18)-SUMIF(ThresholdAge18,"&lt;"&amp;'19_Расчет_аналитики'!AD1572,WeightedMinAge18),MAX(CapacityAge18*'01_Вводные'!$B$218*'19_Расчет_аналитики'!AD1572,MeanMinAge18)))</f>
        <v/>
      </c>
      <c r="AE1521">
        <f>IF(OR(('19_Расчет_аналитики'!AE1437-'19_Расчет_аналитики'!AE1465)=0,18&lt;='01_Вводные'!$B$297),0,('19_Расчет_аналитики'!AE1437-'19_Расчет_аналитики'!AE1465)*IF('01_Вводные'!$B$239="Да",MeanMinAge18+'19_Расчет_аналитики'!AE1572*SUMIF(ThresholdAge18,"&lt;"&amp;'19_Расчет_аналитики'!AE1572,WeightedRevAge18)-SUMIF(ThresholdAge18,"&lt;"&amp;'19_Расчет_аналитики'!AE1572,WeightedMinAge18),MAX(CapacityAge18*'01_Вводные'!$B$218*'19_Расчет_аналитики'!AE1572,MeanMinAge18)))</f>
        <v/>
      </c>
      <c r="AF1521">
        <f>IF(OR(('19_Расчет_аналитики'!AF1437-'19_Расчет_аналитики'!AF1465)=0,18&lt;='01_Вводные'!$B$297),0,('19_Расчет_аналитики'!AF1437-'19_Расчет_аналитики'!AF1465)*IF('01_Вводные'!$B$239="Да",MeanMinAge18+'19_Расчет_аналитики'!AF1572*SUMIF(ThresholdAge18,"&lt;"&amp;'19_Расчет_аналитики'!AF1572,WeightedRevAge18)-SUMIF(ThresholdAge18,"&lt;"&amp;'19_Расчет_аналитики'!AF1572,WeightedMinAge18),MAX(CapacityAge18*'01_Вводные'!$B$218*'19_Расчет_аналитики'!AF1572,MeanMinAge18)))</f>
        <v/>
      </c>
      <c r="AG1521">
        <f>IF(OR(('19_Расчет_аналитики'!AG1437-'19_Расчет_аналитики'!AG1465)=0,18&lt;='01_Вводные'!$B$297),0,('19_Расчет_аналитики'!AG1437-'19_Расчет_аналитики'!AG1465)*IF('01_Вводные'!$B$239="Да",MeanMinAge18+'19_Расчет_аналитики'!AG1572*SUMIF(ThresholdAge18,"&lt;"&amp;'19_Расчет_аналитики'!AG1572,WeightedRevAge18)-SUMIF(ThresholdAge18,"&lt;"&amp;'19_Расчет_аналитики'!AG1572,WeightedMinAge18),MAX(CapacityAge18*'01_Вводные'!$B$218*'19_Расчет_аналитики'!AG1572,MeanMinAge18)))</f>
        <v/>
      </c>
      <c r="AH1521">
        <f>IF(OR(('19_Расчет_аналитики'!AH1437-'19_Расчет_аналитики'!AH1465)=0,18&lt;='01_Вводные'!$B$297),0,('19_Расчет_аналитики'!AH1437-'19_Расчет_аналитики'!AH1465)*IF('01_Вводные'!$B$239="Да",MeanMinAge18+'19_Расчет_аналитики'!AH1572*SUMIF(ThresholdAge18,"&lt;"&amp;'19_Расчет_аналитики'!AH1572,WeightedRevAge18)-SUMIF(ThresholdAge18,"&lt;"&amp;'19_Расчет_аналитики'!AH1572,WeightedMinAge18),MAX(CapacityAge18*'01_Вводные'!$B$218*'19_Расчет_аналитики'!AH1572,MeanMinAge18)))</f>
        <v/>
      </c>
      <c r="AI1521">
        <f>IF(OR(('19_Расчет_аналитики'!AI1437-'19_Расчет_аналитики'!AI1465)=0,18&lt;='01_Вводные'!$B$297),0,('19_Расчет_аналитики'!AI1437-'19_Расчет_аналитики'!AI1465)*IF('01_Вводные'!$B$239="Да",MeanMinAge18+'19_Расчет_аналитики'!AI1572*SUMIF(ThresholdAge18,"&lt;"&amp;'19_Расчет_аналитики'!AI1572,WeightedRevAge18)-SUMIF(ThresholdAge18,"&lt;"&amp;'19_Расчет_аналитики'!AI1572,WeightedMinAge18),MAX(CapacityAge18*'01_Вводные'!$B$218*'19_Расчет_аналитики'!AI1572,MeanMinAge18)))</f>
        <v/>
      </c>
      <c r="AJ1521">
        <f>IF(OR(('19_Расчет_аналитики'!AJ1437-'19_Расчет_аналитики'!AJ1465)=0,18&lt;='01_Вводные'!$B$297),0,('19_Расчет_аналитики'!AJ1437-'19_Расчет_аналитики'!AJ1465)*IF('01_Вводные'!$B$239="Да",MeanMinAge18+'19_Расчет_аналитики'!AJ1572*SUMIF(ThresholdAge18,"&lt;"&amp;'19_Расчет_аналитики'!AJ1572,WeightedRevAge18)-SUMIF(ThresholdAge18,"&lt;"&amp;'19_Расчет_аналитики'!AJ1572,WeightedMinAge18),MAX(CapacityAge18*'01_Вводные'!$B$218*'19_Расчет_аналитики'!AJ1572,MeanMinAge18)))</f>
        <v/>
      </c>
      <c r="AK1521">
        <f>IF(OR(('19_Расчет_аналитики'!AK1437-'19_Расчет_аналитики'!AK1465)=0,18&lt;='01_Вводные'!$B$297),0,('19_Расчет_аналитики'!AK1437-'19_Расчет_аналитики'!AK1465)*IF('01_Вводные'!$B$239="Да",MeanMinAge18+'19_Расчет_аналитики'!AK1572*SUMIF(ThresholdAge18,"&lt;"&amp;'19_Расчет_аналитики'!AK1572,WeightedRevAge18)-SUMIF(ThresholdAge18,"&lt;"&amp;'19_Расчет_аналитики'!AK1572,WeightedMinAge18),MAX(CapacityAge18*'01_Вводные'!$B$218*'19_Расчет_аналитики'!AK1572,MeanMinAge18)))</f>
        <v/>
      </c>
      <c r="AL1521">
        <f>IF(OR(('19_Расчет_аналитики'!AL1437-'19_Расчет_аналитики'!AL1465)=0,18&lt;='01_Вводные'!$B$297),0,('19_Расчет_аналитики'!AL1437-'19_Расчет_аналитики'!AL1465)*IF('01_Вводные'!$B$239="Да",MeanMinAge18+'19_Расчет_аналитики'!AL1572*SUMIF(ThresholdAge18,"&lt;"&amp;'19_Расчет_аналитики'!AL1572,WeightedRevAge18)-SUMIF(ThresholdAge18,"&lt;"&amp;'19_Расчет_аналитики'!AL1572,WeightedMinAge18),MAX(CapacityAge18*'01_Вводные'!$B$218*'19_Расчет_аналитики'!AL1572,MeanMinAge18)))</f>
        <v/>
      </c>
      <c r="AM1521">
        <f>IF(OR(('19_Расчет_аналитики'!AM1437-'19_Расчет_аналитики'!AM1465)=0,18&lt;='01_Вводные'!$B$297),0,('19_Расчет_аналитики'!AM1437-'19_Расчет_аналитики'!AM1465)*IF('01_Вводные'!$B$239="Да",MeanMinAge18+'19_Расчет_аналитики'!AM1572*SUMIF(ThresholdAge18,"&lt;"&amp;'19_Расчет_аналитики'!AM1572,WeightedRevAge18)-SUMIF(ThresholdAge18,"&lt;"&amp;'19_Расчет_аналитики'!AM1572,WeightedMinAge18),MAX(CapacityAge18*'01_Вводные'!$B$218*'19_Расчет_аналитики'!AM1572,MeanMinAge18)))</f>
        <v/>
      </c>
      <c r="AN1521">
        <f>IF(OR(('19_Расчет_аналитики'!AN1437-'19_Расчет_аналитики'!AN1465)=0,18&lt;='01_Вводные'!$B$297),0,('19_Расчет_аналитики'!AN1437-'19_Расчет_аналитики'!AN1465)*IF('01_Вводные'!$B$239="Да",MeanMinAge18+'19_Расчет_аналитики'!AN1572*SUMIF(ThresholdAge18,"&lt;"&amp;'19_Расчет_аналитики'!AN1572,WeightedRevAge18)-SUMIF(ThresholdAge18,"&lt;"&amp;'19_Расчет_аналитики'!AN1572,WeightedMinAge18),MAX(CapacityAge18*'01_Вводные'!$B$218*'19_Расчет_аналитики'!AN1572,MeanMinAge18)))</f>
        <v/>
      </c>
      <c r="AO1521">
        <f>IF(OR(('19_Расчет_аналитики'!AO1437-'19_Расчет_аналитики'!AO1465)=0,18&lt;='01_Вводные'!$B$297),0,('19_Расчет_аналитики'!AO1437-'19_Расчет_аналитики'!AO1465)*IF('01_Вводные'!$B$239="Да",MeanMinAge18+'19_Расчет_аналитики'!AO1572*SUMIF(ThresholdAge18,"&lt;"&amp;'19_Расчет_аналитики'!AO1572,WeightedRevAge18)-SUMIF(ThresholdAge18,"&lt;"&amp;'19_Расчет_аналитики'!AO1572,WeightedMinAge18),MAX(CapacityAge18*'01_Вводные'!$B$218*'19_Расчет_аналитики'!AO1572,MeanMinAge18)))</f>
        <v/>
      </c>
      <c r="AP1521">
        <f>IF(OR(('19_Расчет_аналитики'!AP1437-'19_Расчет_аналитики'!AP1465)=0,18&lt;='01_Вводные'!$B$297),0,('19_Расчет_аналитики'!AP1437-'19_Расчет_аналитики'!AP1465)*IF('01_Вводные'!$B$239="Да",MeanMinAge18+'19_Расчет_аналитики'!AP1572*SUMIF(ThresholdAge18,"&lt;"&amp;'19_Расчет_аналитики'!AP1572,WeightedRevAge18)-SUMIF(ThresholdAge18,"&lt;"&amp;'19_Расчет_аналитики'!AP1572,WeightedMinAge18),MAX(CapacityAge18*'01_Вводные'!$B$218*'19_Расчет_аналитики'!AP1572,MeanMinAge18)))</f>
        <v/>
      </c>
      <c r="AQ1521">
        <f>IF(OR(('19_Расчет_аналитики'!AQ1437-'19_Расчет_аналитики'!AQ1465)=0,18&lt;='01_Вводные'!$B$297),0,('19_Расчет_аналитики'!AQ1437-'19_Расчет_аналитики'!AQ1465)*IF('01_Вводные'!$B$239="Да",MeanMinAge18+'19_Расчет_аналитики'!AQ1572*SUMIF(ThresholdAge18,"&lt;"&amp;'19_Расчет_аналитики'!AQ1572,WeightedRevAge18)-SUMIF(ThresholdAge18,"&lt;"&amp;'19_Расчет_аналитики'!AQ1572,WeightedMinAge18),MAX(CapacityAge18*'01_Вводные'!$B$218*'19_Расчет_аналитики'!AQ1572,MeanMinAge18)))</f>
        <v/>
      </c>
      <c r="AR1521">
        <f>IF(OR(('19_Расчет_аналитики'!AR1437-'19_Расчет_аналитики'!AR1465)=0,18&lt;='01_Вводные'!$B$297),0,('19_Расчет_аналитики'!AR1437-'19_Расчет_аналитики'!AR1465)*IF('01_Вводные'!$B$239="Да",MeanMinAge18+'19_Расчет_аналитики'!AR1572*SUMIF(ThresholdAge18,"&lt;"&amp;'19_Расчет_аналитики'!AR1572,WeightedRevAge18)-SUMIF(ThresholdAge18,"&lt;"&amp;'19_Расчет_аналитики'!AR1572,WeightedMinAge18),MAX(CapacityAge18*'01_Вводные'!$B$218*'19_Расчет_аналитики'!AR1572,MeanMinAge18)))</f>
        <v/>
      </c>
      <c r="AS1521">
        <f>IF(OR(('19_Расчет_аналитики'!AS1437-'19_Расчет_аналитики'!AS1465)=0,18&lt;='01_Вводные'!$B$297),0,('19_Расчет_аналитики'!AS1437-'19_Расчет_аналитики'!AS1465)*IF('01_Вводные'!$B$239="Да",MeanMinAge18+'19_Расчет_аналитики'!AS1572*SUMIF(ThresholdAge18,"&lt;"&amp;'19_Расчет_аналитики'!AS1572,WeightedRevAge18)-SUMIF(ThresholdAge18,"&lt;"&amp;'19_Расчет_аналитики'!AS1572,WeightedMinAge18),MAX(CapacityAge18*'01_Вводные'!$B$218*'19_Расчет_аналитики'!AS1572,MeanMinAge18)))</f>
        <v/>
      </c>
      <c r="AT1521">
        <f>IF(OR(('19_Расчет_аналитики'!AT1437-'19_Расчет_аналитики'!AT1465)=0,18&lt;='01_Вводные'!$B$297),0,('19_Расчет_аналитики'!AT1437-'19_Расчет_аналитики'!AT1465)*IF('01_Вводные'!$B$239="Да",MeanMinAge18+'19_Расчет_аналитики'!AT1572*SUMIF(ThresholdAge18,"&lt;"&amp;'19_Расчет_аналитики'!AT1572,WeightedRevAge18)-SUMIF(ThresholdAge18,"&lt;"&amp;'19_Расчет_аналитики'!AT1572,WeightedMinAge18),MAX(CapacityAge18*'01_Вводные'!$B$218*'19_Расчет_аналитики'!AT1572,MeanMinAge18)))</f>
        <v/>
      </c>
      <c r="AU1521">
        <f>IF(OR(('19_Расчет_аналитики'!AU1437-'19_Расчет_аналитики'!AU1465)=0,18&lt;='01_Вводные'!$B$297),0,('19_Расчет_аналитики'!AU1437-'19_Расчет_аналитики'!AU1465)*IF('01_Вводные'!$B$239="Да",MeanMinAge18+'19_Расчет_аналитики'!AU1572*SUMIF(ThresholdAge18,"&lt;"&amp;'19_Расчет_аналитики'!AU1572,WeightedRevAge18)-SUMIF(ThresholdAge18,"&lt;"&amp;'19_Расчет_аналитики'!AU1572,WeightedMinAge18),MAX(CapacityAge18*'01_Вводные'!$B$218*'19_Расчет_аналитики'!AU1572,MeanMinAge18)))</f>
        <v/>
      </c>
      <c r="AV1521">
        <f>IF(OR(('19_Расчет_аналитики'!AV1437-'19_Расчет_аналитики'!AV1465)=0,18&lt;='01_Вводные'!$B$297),0,('19_Расчет_аналитики'!AV1437-'19_Расчет_аналитики'!AV1465)*IF('01_Вводные'!$B$239="Да",MeanMinAge18+'19_Расчет_аналитики'!AV1572*SUMIF(ThresholdAge18,"&lt;"&amp;'19_Расчет_аналитики'!AV1572,WeightedRevAge18)-SUMIF(ThresholdAge18,"&lt;"&amp;'19_Расчет_аналитики'!AV1572,WeightedMinAge18),MAX(CapacityAge18*'01_Вводные'!$B$218*'19_Расчет_аналитики'!AV1572,MeanMinAge18)))</f>
        <v/>
      </c>
      <c r="AW1521">
        <f>IF(OR(('19_Расчет_аналитики'!AW1437-'19_Расчет_аналитики'!AW1465)=0,18&lt;='01_Вводные'!$B$297),0,('19_Расчет_аналитики'!AW1437-'19_Расчет_аналитики'!AW1465)*IF('01_Вводные'!$B$239="Да",MeanMinAge18+'19_Расчет_аналитики'!AW1572*SUMIF(ThresholdAge18,"&lt;"&amp;'19_Расчет_аналитики'!AW1572,WeightedRevAge18)-SUMIF(ThresholdAge18,"&lt;"&amp;'19_Расчет_аналитики'!AW1572,WeightedMinAge18),MAX(CapacityAge18*'01_Вводные'!$B$218*'19_Расчет_аналитики'!AW1572,MeanMinAge18)))</f>
        <v/>
      </c>
      <c r="AX1521">
        <f>IF(OR(('19_Расчет_аналитики'!AX1437-'19_Расчет_аналитики'!AX1465)=0,18&lt;='01_Вводные'!$B$297),0,('19_Расчет_аналитики'!AX1437-'19_Расчет_аналитики'!AX1465)*IF('01_Вводные'!$B$239="Да",MeanMinAge18+'19_Расчет_аналитики'!AX1572*SUMIF(ThresholdAge18,"&lt;"&amp;'19_Расчет_аналитики'!AX1572,WeightedRevAge18)-SUMIF(ThresholdAge18,"&lt;"&amp;'19_Расчет_аналитики'!AX1572,WeightedMinAge18),MAX(CapacityAge18*'01_Вводные'!$B$218*'19_Расчет_аналитики'!AX1572,MeanMinAge18)))</f>
        <v/>
      </c>
      <c r="AY1521">
        <f>IF(OR(('19_Расчет_аналитики'!AY1437-'19_Расчет_аналитики'!AY1465)=0,18&lt;='01_Вводные'!$B$297),0,('19_Расчет_аналитики'!AY1437-'19_Расчет_аналитики'!AY1465)*IF('01_Вводные'!$B$239="Да",MeanMinAge18+'19_Расчет_аналитики'!AY1572*SUMIF(ThresholdAge18,"&lt;"&amp;'19_Расчет_аналитики'!AY1572,WeightedRevAge18)-SUMIF(ThresholdAge18,"&lt;"&amp;'19_Расчет_аналитики'!AY1572,WeightedMinAge18),MAX(CapacityAge18*'01_Вводные'!$B$218*'19_Расчет_аналитики'!AY1572,MeanMinAge18)))</f>
        <v/>
      </c>
      <c r="AZ1521">
        <f>IF(OR(('19_Расчет_аналитики'!AZ1437-'19_Расчет_аналитики'!AZ1465)=0,18&lt;='01_Вводные'!$B$297),0,('19_Расчет_аналитики'!AZ1437-'19_Расчет_аналитики'!AZ1465)*IF('01_Вводные'!$B$239="Да",MeanMinAge18+'19_Расчет_аналитики'!AZ1572*SUMIF(ThresholdAge18,"&lt;"&amp;'19_Расчет_аналитики'!AZ1572,WeightedRevAge18)-SUMIF(ThresholdAge18,"&lt;"&amp;'19_Расчет_аналитики'!AZ1572,WeightedMinAge18),MAX(CapacityAge18*'01_Вводные'!$B$218*'19_Расчет_аналитики'!AZ1572,MeanMinAge18)))</f>
        <v/>
      </c>
      <c r="BA1521">
        <f>IF(OR(('19_Расчет_аналитики'!BA1437-'19_Расчет_аналитики'!BA1465)=0,18&lt;='01_Вводные'!$B$297),0,('19_Расчет_аналитики'!BA1437-'19_Расчет_аналитики'!BA1465)*IF('01_Вводные'!$B$239="Да",MeanMinAge18+'19_Расчет_аналитики'!BA1572*SUMIF(ThresholdAge18,"&lt;"&amp;'19_Расчет_аналитики'!BA1572,WeightedRevAge18)-SUMIF(ThresholdAge18,"&lt;"&amp;'19_Расчет_аналитики'!BA1572,WeightedMinAge18),MAX(CapacityAge18*'01_Вводные'!$B$218*'19_Расчет_аналитики'!BA1572,MeanMinAge18)))</f>
        <v/>
      </c>
      <c r="BB1521">
        <f>IF(OR(('19_Расчет_аналитики'!BB1437-'19_Расчет_аналитики'!BB1465)=0,18&lt;='01_Вводные'!$B$297),0,('19_Расчет_аналитики'!BB1437-'19_Расчет_аналитики'!BB1465)*IF('01_Вводные'!$B$239="Да",MeanMinAge18+'19_Расчет_аналитики'!BB1572*SUMIF(ThresholdAge18,"&lt;"&amp;'19_Расчет_аналитики'!BB1572,WeightedRevAge18)-SUMIF(ThresholdAge18,"&lt;"&amp;'19_Расчет_аналитики'!BB1572,WeightedMinAge18),MAX(CapacityAge18*'01_Вводные'!$B$218*'19_Расчет_аналитики'!BB1572,MeanMinAge18)))</f>
        <v/>
      </c>
      <c r="BC1521">
        <f>IF(OR(('19_Расчет_аналитики'!BC1437-'19_Расчет_аналитики'!BC1465)=0,18&lt;='01_Вводные'!$B$297),0,('19_Расчет_аналитики'!BC1437-'19_Расчет_аналитики'!BC1465)*IF('01_Вводные'!$B$239="Да",MeanMinAge18+'19_Расчет_аналитики'!BC1572*SUMIF(ThresholdAge18,"&lt;"&amp;'19_Расчет_аналитики'!BC1572,WeightedRevAge18)-SUMIF(ThresholdAge18,"&lt;"&amp;'19_Расчет_аналитики'!BC1572,WeightedMinAge18),MAX(CapacityAge18*'01_Вводные'!$B$218*'19_Расчет_аналитики'!BC1572,MeanMinAge18)))</f>
        <v/>
      </c>
      <c r="BD1521">
        <f>IF(OR(('19_Расчет_аналитики'!BD1437-'19_Расчет_аналитики'!BD1465)=0,18&lt;='01_Вводные'!$B$297),0,('19_Расчет_аналитики'!BD1437-'19_Расчет_аналитики'!BD1465)*IF('01_Вводные'!$B$239="Да",MeanMinAge18+'19_Расчет_аналитики'!BD1572*SUMIF(ThresholdAge18,"&lt;"&amp;'19_Расчет_аналитики'!BD1572,WeightedRevAge18)-SUMIF(ThresholdAge18,"&lt;"&amp;'19_Расчет_аналитики'!BD1572,WeightedMinAge18),MAX(CapacityAge18*'01_Вводные'!$B$218*'19_Расчет_аналитики'!BD1572,MeanMinAge18)))</f>
        <v/>
      </c>
      <c r="BE1521">
        <f>IF(OR(('19_Расчет_аналитики'!BE1437-'19_Расчет_аналитики'!BE1465)=0,18&lt;='01_Вводные'!$B$297),0,('19_Расчет_аналитики'!BE1437-'19_Расчет_аналитики'!BE1465)*IF('01_Вводные'!$B$239="Да",MeanMinAge18+'19_Расчет_аналитики'!BE1572*SUMIF(ThresholdAge18,"&lt;"&amp;'19_Расчет_аналитики'!BE1572,WeightedRevAge18)-SUMIF(ThresholdAge18,"&lt;"&amp;'19_Расчет_аналитики'!BE1572,WeightedMinAge18),MAX(CapacityAge18*'01_Вводные'!$B$218*'19_Расчет_аналитики'!BE1572,MeanMinAge18)))</f>
        <v/>
      </c>
      <c r="BF1521">
        <f>IF(OR(('19_Расчет_аналитики'!BF1437-'19_Расчет_аналитики'!BF1465)=0,18&lt;='01_Вводные'!$B$297),0,('19_Расчет_аналитики'!BF1437-'19_Расчет_аналитики'!BF1465)*IF('01_Вводные'!$B$239="Да",MeanMinAge18+'19_Расчет_аналитики'!BF1572*SUMIF(ThresholdAge18,"&lt;"&amp;'19_Расчет_аналитики'!BF1572,WeightedRevAge18)-SUMIF(ThresholdAge18,"&lt;"&amp;'19_Расчет_аналитики'!BF1572,WeightedMinAge18),MAX(CapacityAge18*'01_Вводные'!$B$218*'19_Расчет_аналитики'!BF1572,MeanMinAge18)))</f>
        <v/>
      </c>
      <c r="BG1521">
        <f>IF(OR(('19_Расчет_аналитики'!BG1437-'19_Расчет_аналитики'!BG1465)=0,18&lt;='01_Вводные'!$B$297),0,('19_Расчет_аналитики'!BG1437-'19_Расчет_аналитики'!BG1465)*IF('01_Вводные'!$B$239="Да",MeanMinAge18+'19_Расчет_аналитики'!BG1572*SUMIF(ThresholdAge18,"&lt;"&amp;'19_Расчет_аналитики'!BG1572,WeightedRevAge18)-SUMIF(ThresholdAge18,"&lt;"&amp;'19_Расчет_аналитики'!BG1572,WeightedMinAge18),MAX(CapacityAge18*'01_Вводные'!$B$218*'19_Расчет_аналитики'!BG1572,MeanMinAge18)))</f>
        <v/>
      </c>
      <c r="BH1521">
        <f>IF(OR(('19_Расчет_аналитики'!BH1437-'19_Расчет_аналитики'!BH1465)=0,18&lt;='01_Вводные'!$B$297),0,('19_Расчет_аналитики'!BH1437-'19_Расчет_аналитики'!BH1465)*IF('01_Вводные'!$B$239="Да",MeanMinAge18+'19_Расчет_аналитики'!BH1572*SUMIF(ThresholdAge18,"&lt;"&amp;'19_Расчет_аналитики'!BH1572,WeightedRevAge18)-SUMIF(ThresholdAge18,"&lt;"&amp;'19_Расчет_аналитики'!BH1572,WeightedMinAge18),MAX(CapacityAge18*'01_Вводные'!$B$218*'19_Расчет_аналитики'!BH1572,MeanMinAge18)))</f>
        <v/>
      </c>
      <c r="BI1521">
        <f>IF(OR(('19_Расчет_аналитики'!BI1437-'19_Расчет_аналитики'!BI1465)=0,18&lt;='01_Вводные'!$B$297),0,('19_Расчет_аналитики'!BI1437-'19_Расчет_аналитики'!BI1465)*IF('01_Вводные'!$B$239="Да",MeanMinAge18+'19_Расчет_аналитики'!BI1572*SUMIF(ThresholdAge18,"&lt;"&amp;'19_Расчет_аналитики'!BI1572,WeightedRevAge18)-SUMIF(ThresholdAge18,"&lt;"&amp;'19_Расчет_аналитики'!BI1572,WeightedMinAge18),MAX(CapacityAge18*'01_Вводные'!$B$218*'19_Расчет_аналитики'!BI1572,MeanMinAge18)))</f>
        <v/>
      </c>
      <c r="BJ1521">
        <f>IF(OR(('19_Расчет_аналитики'!BJ1437-'19_Расчет_аналитики'!BJ1465)=0,18&lt;='01_Вводные'!$B$297),0,('19_Расчет_аналитики'!BJ1437-'19_Расчет_аналитики'!BJ1465)*IF('01_Вводные'!$B$239="Да",MeanMinAge18+'19_Расчет_аналитики'!BJ1572*SUMIF(ThresholdAge18,"&lt;"&amp;'19_Расчет_аналитики'!BJ1572,WeightedRevAge18)-SUMIF(ThresholdAge18,"&lt;"&amp;'19_Расчет_аналитики'!BJ1572,WeightedMinAge18),MAX(CapacityAge18*'01_Вводные'!$B$218*'19_Расчет_аналитики'!BJ1572,MeanMinAge18)))</f>
        <v/>
      </c>
      <c r="BK1521">
        <f>IF(OR(('19_Расчет_аналитики'!BK1437-'19_Расчет_аналитики'!BK1465)=0,18&lt;='01_Вводные'!$B$297),0,('19_Расчет_аналитики'!BK1437-'19_Расчет_аналитики'!BK1465)*IF('01_Вводные'!$B$239="Да",MeanMinAge18+'19_Расчет_аналитики'!BK1572*SUMIF(ThresholdAge18,"&lt;"&amp;'19_Расчет_аналитики'!BK1572,WeightedRevAge18)-SUMIF(ThresholdAge18,"&lt;"&amp;'19_Расчет_аналитики'!BK1572,WeightedMinAge18),MAX(CapacityAge18*'01_Вводные'!$B$218*'19_Расчет_аналитики'!BK1572,MeanMinAge18)))</f>
        <v/>
      </c>
      <c r="BL1521">
        <f>IF(OR(('19_Расчет_аналитики'!BL1437-'19_Расчет_аналитики'!BL1465)=0,18&lt;='01_Вводные'!$B$297),0,('19_Расчет_аналитики'!BL1437-'19_Расчет_аналитики'!BL1465)*IF('01_Вводные'!$B$239="Да",MeanMinAge18+'19_Расчет_аналитики'!BL1572*SUMIF(ThresholdAge18,"&lt;"&amp;'19_Расчет_аналитики'!BL1572,WeightedRevAge18)-SUMIF(ThresholdAge18,"&lt;"&amp;'19_Расчет_аналитики'!BL1572,WeightedMinAge18),MAX(CapacityAge18*'01_Вводные'!$B$218*'19_Расчет_аналитики'!BL1572,MeanMinAge18)))</f>
        <v/>
      </c>
      <c r="BM1521">
        <f>IF(OR(('19_Расчет_аналитики'!BM1437-'19_Расчет_аналитики'!BM1465)=0,18&lt;='01_Вводные'!$B$297),0,('19_Расчет_аналитики'!BM1437-'19_Расчет_аналитики'!BM1465)*IF('01_Вводные'!$B$239="Да",MeanMinAge18+'19_Расчет_аналитики'!BM1572*SUMIF(ThresholdAge18,"&lt;"&amp;'19_Расчет_аналитики'!BM1572,WeightedRevAge18)-SUMIF(ThresholdAge18,"&lt;"&amp;'19_Расчет_аналитики'!BM1572,WeightedMinAge18),MAX(CapacityAge18*'01_Вводные'!$B$218*'19_Расчет_аналитики'!BM1572,MeanMinAge18)))</f>
        <v/>
      </c>
      <c r="BN1521">
        <f>IF(OR(('19_Расчет_аналитики'!BN1437-'19_Расчет_аналитики'!BN1465)=0,18&lt;='01_Вводные'!$B$297),0,('19_Расчет_аналитики'!BN1437-'19_Расчет_аналитики'!BN1465)*IF('01_Вводные'!$B$239="Да",MeanMinAge18+'19_Расчет_аналитики'!BN1572*SUMIF(ThresholdAge18,"&lt;"&amp;'19_Расчет_аналитики'!BN1572,WeightedRevAge18)-SUMIF(ThresholdAge18,"&lt;"&amp;'19_Расчет_аналитики'!BN1572,WeightedMinAge18),MAX(CapacityAge18*'01_Вводные'!$B$218*'19_Расчет_аналитики'!BN1572,MeanMinAge18)))</f>
        <v/>
      </c>
      <c r="BO1521">
        <f>IF(OR(('19_Расчет_аналитики'!BO1437-'19_Расчет_аналитики'!BO1465)=0,18&lt;='01_Вводные'!$B$297),0,('19_Расчет_аналитики'!BO1437-'19_Расчет_аналитики'!BO1465)*IF('01_Вводные'!$B$239="Да",MeanMinAge18+'19_Расчет_аналитики'!BO1572*SUMIF(ThresholdAge18,"&lt;"&amp;'19_Расчет_аналитики'!BO1572,WeightedRevAge18)-SUMIF(ThresholdAge18,"&lt;"&amp;'19_Расчет_аналитики'!BO1572,WeightedMinAge18),MAX(CapacityAge18*'01_Вводные'!$B$218*'19_Расчет_аналитики'!BO1572,MeanMinAge18)))</f>
        <v/>
      </c>
    </row>
    <row r="1522">
      <c r="B1522">
        <f>IF(OR(('06_Сеть_и_дети'!B71-'06_Сеть_и_дети'!B99)=0,19&lt;='01_Вводные'!$B$297),0,('06_Сеть_и_дети'!B71-'06_Сеть_и_дети'!B99)*IF('01_Вводные'!$B$239="Да",MeanMinAge19+'19_Расчет_аналитики'!B1572*SUMIF(ThresholdAge19,"&lt;"&amp;'19_Расчет_аналитики'!B1572,WeightedRevAge19)-SUMIF(ThresholdAge19,"&lt;"&amp;'19_Расчет_аналитики'!B1572,WeightedMinAge19),MAX(CapacityAge19*'01_Вводные'!$B$218*'19_Расчет_аналитики'!B1572,MeanMinAge19)))</f>
        <v/>
      </c>
      <c r="C1522">
        <f>IF(OR(('06_Сеть_и_дети'!C71-'06_Сеть_и_дети'!C99)=0,19&lt;='01_Вводные'!$B$297),0,('06_Сеть_и_дети'!C71-'06_Сеть_и_дети'!C99)*IF('01_Вводные'!$B$239="Да",MeanMinAge19+'19_Расчет_аналитики'!C1572*SUMIF(ThresholdAge19,"&lt;"&amp;'19_Расчет_аналитики'!C1572,WeightedRevAge19)-SUMIF(ThresholdAge19,"&lt;"&amp;'19_Расчет_аналитики'!C1572,WeightedMinAge19),MAX(CapacityAge19*'01_Вводные'!$B$218*'19_Расчет_аналитики'!C1572,MeanMinAge19)))</f>
        <v/>
      </c>
      <c r="D1522">
        <f>IF(OR(('06_Сеть_и_дети'!D71-'06_Сеть_и_дети'!D99)=0,19&lt;='01_Вводные'!$B$297),0,('06_Сеть_и_дети'!D71-'06_Сеть_и_дети'!D99)*IF('01_Вводные'!$B$239="Да",MeanMinAge19+'19_Расчет_аналитики'!D1572*SUMIF(ThresholdAge19,"&lt;"&amp;'19_Расчет_аналитики'!D1572,WeightedRevAge19)-SUMIF(ThresholdAge19,"&lt;"&amp;'19_Расчет_аналитики'!D1572,WeightedMinAge19),MAX(CapacityAge19*'01_Вводные'!$B$218*'19_Расчет_аналитики'!D1572,MeanMinAge19)))</f>
        <v/>
      </c>
      <c r="E1522">
        <f>IF(OR(('06_Сеть_и_дети'!E71-'06_Сеть_и_дети'!E99)=0,19&lt;='01_Вводные'!$B$297),0,('06_Сеть_и_дети'!E71-'06_Сеть_и_дети'!E99)*IF('01_Вводные'!$B$239="Да",MeanMinAge19+'19_Расчет_аналитики'!E1572*SUMIF(ThresholdAge19,"&lt;"&amp;'19_Расчет_аналитики'!E1572,WeightedRevAge19)-SUMIF(ThresholdAge19,"&lt;"&amp;'19_Расчет_аналитики'!E1572,WeightedMinAge19),MAX(CapacityAge19*'01_Вводные'!$B$218*'19_Расчет_аналитики'!E1572,MeanMinAge19)))</f>
        <v/>
      </c>
      <c r="F1522">
        <f>IF(OR(('06_Сеть_и_дети'!F71-'06_Сеть_и_дети'!F99)=0,19&lt;='01_Вводные'!$B$297),0,('06_Сеть_и_дети'!F71-'06_Сеть_и_дети'!F99)*IF('01_Вводные'!$B$239="Да",MeanMinAge19+'19_Расчет_аналитики'!F1572*SUMIF(ThresholdAge19,"&lt;"&amp;'19_Расчет_аналитики'!F1572,WeightedRevAge19)-SUMIF(ThresholdAge19,"&lt;"&amp;'19_Расчет_аналитики'!F1572,WeightedMinAge19),MAX(CapacityAge19*'01_Вводные'!$B$218*'19_Расчет_аналитики'!F1572,MeanMinAge19)))</f>
        <v/>
      </c>
      <c r="G1522">
        <f>IF(OR(('06_Сеть_и_дети'!G71-'06_Сеть_и_дети'!G99)=0,19&lt;='01_Вводные'!$B$297),0,('06_Сеть_и_дети'!G71-'06_Сеть_и_дети'!G99)*IF('01_Вводные'!$B$239="Да",MeanMinAge19+'19_Расчет_аналитики'!G1572*SUMIF(ThresholdAge19,"&lt;"&amp;'19_Расчет_аналитики'!G1572,WeightedRevAge19)-SUMIF(ThresholdAge19,"&lt;"&amp;'19_Расчет_аналитики'!G1572,WeightedMinAge19),MAX(CapacityAge19*'01_Вводные'!$B$218*'19_Расчет_аналитики'!G1572,MeanMinAge19)))</f>
        <v/>
      </c>
      <c r="H1522">
        <f>IF(OR(('06_Сеть_и_дети'!H71-'06_Сеть_и_дети'!H99)=0,19&lt;='01_Вводные'!$B$297),0,('06_Сеть_и_дети'!H71-'06_Сеть_и_дети'!H99)*IF('01_Вводные'!$B$239="Да",MeanMinAge19+'19_Расчет_аналитики'!H1572*SUMIF(ThresholdAge19,"&lt;"&amp;'19_Расчет_аналитики'!H1572,WeightedRevAge19)-SUMIF(ThresholdAge19,"&lt;"&amp;'19_Расчет_аналитики'!H1572,WeightedMinAge19),MAX(CapacityAge19*'01_Вводные'!$B$218*'19_Расчет_аналитики'!H1572,MeanMinAge19)))</f>
        <v/>
      </c>
      <c r="I1522">
        <f>IF(OR(('06_Сеть_и_дети'!I71-'06_Сеть_и_дети'!I99)=0,19&lt;='01_Вводные'!$B$297),0,('06_Сеть_и_дети'!I71-'06_Сеть_и_дети'!I99)*IF('01_Вводные'!$B$239="Да",MeanMinAge19+'19_Расчет_аналитики'!I1572*SUMIF(ThresholdAge19,"&lt;"&amp;'19_Расчет_аналитики'!I1572,WeightedRevAge19)-SUMIF(ThresholdAge19,"&lt;"&amp;'19_Расчет_аналитики'!I1572,WeightedMinAge19),MAX(CapacityAge19*'01_Вводные'!$B$218*'19_Расчет_аналитики'!I1572,MeanMinAge19)))</f>
        <v/>
      </c>
      <c r="J1522">
        <f>IF(OR(('06_Сеть_и_дети'!J71-'06_Сеть_и_дети'!J99)=0,19&lt;='01_Вводные'!$B$297),0,('06_Сеть_и_дети'!J71-'06_Сеть_и_дети'!J99)*IF('01_Вводные'!$B$239="Да",MeanMinAge19+'19_Расчет_аналитики'!J1572*SUMIF(ThresholdAge19,"&lt;"&amp;'19_Расчет_аналитики'!J1572,WeightedRevAge19)-SUMIF(ThresholdAge19,"&lt;"&amp;'19_Расчет_аналитики'!J1572,WeightedMinAge19),MAX(CapacityAge19*'01_Вводные'!$B$218*'19_Расчет_аналитики'!J1572,MeanMinAge19)))</f>
        <v/>
      </c>
      <c r="K1522">
        <f>IF(OR(('06_Сеть_и_дети'!K71-'06_Сеть_и_дети'!K99)=0,19&lt;='01_Вводные'!$B$297),0,('06_Сеть_и_дети'!K71-'06_Сеть_и_дети'!K99)*IF('01_Вводные'!$B$239="Да",MeanMinAge19+'19_Расчет_аналитики'!K1572*SUMIF(ThresholdAge19,"&lt;"&amp;'19_Расчет_аналитики'!K1572,WeightedRevAge19)-SUMIF(ThresholdAge19,"&lt;"&amp;'19_Расчет_аналитики'!K1572,WeightedMinAge19),MAX(CapacityAge19*'01_Вводные'!$B$218*'19_Расчет_аналитики'!K1572,MeanMinAge19)))</f>
        <v/>
      </c>
      <c r="L1522">
        <f>IF(OR(('06_Сеть_и_дети'!L71-'06_Сеть_и_дети'!L99)=0,19&lt;='01_Вводные'!$B$297),0,('06_Сеть_и_дети'!L71-'06_Сеть_и_дети'!L99)*IF('01_Вводные'!$B$239="Да",MeanMinAge19+'19_Расчет_аналитики'!L1572*SUMIF(ThresholdAge19,"&lt;"&amp;'19_Расчет_аналитики'!L1572,WeightedRevAge19)-SUMIF(ThresholdAge19,"&lt;"&amp;'19_Расчет_аналитики'!L1572,WeightedMinAge19),MAX(CapacityAge19*'01_Вводные'!$B$218*'19_Расчет_аналитики'!L1572,MeanMinAge19)))</f>
        <v/>
      </c>
      <c r="M1522">
        <f>IF(OR(('06_Сеть_и_дети'!M71-'06_Сеть_и_дети'!M99)=0,19&lt;='01_Вводные'!$B$297),0,('06_Сеть_и_дети'!M71-'06_Сеть_и_дети'!M99)*IF('01_Вводные'!$B$239="Да",MeanMinAge19+'19_Расчет_аналитики'!M1572*SUMIF(ThresholdAge19,"&lt;"&amp;'19_Расчет_аналитики'!M1572,WeightedRevAge19)-SUMIF(ThresholdAge19,"&lt;"&amp;'19_Расчет_аналитики'!M1572,WeightedMinAge19),MAX(CapacityAge19*'01_Вводные'!$B$218*'19_Расчет_аналитики'!M1572,MeanMinAge19)))</f>
        <v/>
      </c>
      <c r="N1522">
        <f>IF(OR(('06_Сеть_и_дети'!N71-'06_Сеть_и_дети'!N99)=0,19&lt;='01_Вводные'!$B$297),0,('06_Сеть_и_дети'!N71-'06_Сеть_и_дети'!N99)*IF('01_Вводные'!$B$239="Да",MeanMinAge19+'19_Расчет_аналитики'!N1572*SUMIF(ThresholdAge19,"&lt;"&amp;'19_Расчет_аналитики'!N1572,WeightedRevAge19)-SUMIF(ThresholdAge19,"&lt;"&amp;'19_Расчет_аналитики'!N1572,WeightedMinAge19),MAX(CapacityAge19*'01_Вводные'!$B$218*'19_Расчет_аналитики'!N1572,MeanMinAge19)))</f>
        <v/>
      </c>
      <c r="O1522">
        <f>IF(OR(('06_Сеть_и_дети'!O71-'06_Сеть_и_дети'!O99)=0,19&lt;='01_Вводные'!$B$297),0,('06_Сеть_и_дети'!O71-'06_Сеть_и_дети'!O99)*IF('01_Вводные'!$B$239="Да",MeanMinAge19+'19_Расчет_аналитики'!O1572*SUMIF(ThresholdAge19,"&lt;"&amp;'19_Расчет_аналитики'!O1572,WeightedRevAge19)-SUMIF(ThresholdAge19,"&lt;"&amp;'19_Расчет_аналитики'!O1572,WeightedMinAge19),MAX(CapacityAge19*'01_Вводные'!$B$218*'19_Расчет_аналитики'!O1572,MeanMinAge19)))</f>
        <v/>
      </c>
      <c r="P1522">
        <f>IF(OR(('06_Сеть_и_дети'!P71-'06_Сеть_и_дети'!P99)=0,19&lt;='01_Вводные'!$B$297),0,('06_Сеть_и_дети'!P71-'06_Сеть_и_дети'!P99)*IF('01_Вводные'!$B$239="Да",MeanMinAge19+'19_Расчет_аналитики'!P1572*SUMIF(ThresholdAge19,"&lt;"&amp;'19_Расчет_аналитики'!P1572,WeightedRevAge19)-SUMIF(ThresholdAge19,"&lt;"&amp;'19_Расчет_аналитики'!P1572,WeightedMinAge19),MAX(CapacityAge19*'01_Вводные'!$B$218*'19_Расчет_аналитики'!P1572,MeanMinAge19)))</f>
        <v/>
      </c>
      <c r="Q1522">
        <f>IF(OR(('06_Сеть_и_дети'!Q71-'06_Сеть_и_дети'!Q99)=0,19&lt;='01_Вводные'!$B$297),0,('06_Сеть_и_дети'!Q71-'06_Сеть_и_дети'!Q99)*IF('01_Вводные'!$B$239="Да",MeanMinAge19+'19_Расчет_аналитики'!Q1572*SUMIF(ThresholdAge19,"&lt;"&amp;'19_Расчет_аналитики'!Q1572,WeightedRevAge19)-SUMIF(ThresholdAge19,"&lt;"&amp;'19_Расчет_аналитики'!Q1572,WeightedMinAge19),MAX(CapacityAge19*'01_Вводные'!$B$218*'19_Расчет_аналитики'!Q1572,MeanMinAge19)))</f>
        <v/>
      </c>
      <c r="R1522">
        <f>IF(OR(('06_Сеть_и_дети'!R71-'06_Сеть_и_дети'!R99)=0,19&lt;='01_Вводные'!$B$297),0,('06_Сеть_и_дети'!R71-'06_Сеть_и_дети'!R99)*IF('01_Вводные'!$B$239="Да",MeanMinAge19+'19_Расчет_аналитики'!R1572*SUMIF(ThresholdAge19,"&lt;"&amp;'19_Расчет_аналитики'!R1572,WeightedRevAge19)-SUMIF(ThresholdAge19,"&lt;"&amp;'19_Расчет_аналитики'!R1572,WeightedMinAge19),MAX(CapacityAge19*'01_Вводные'!$B$218*'19_Расчет_аналитики'!R1572,MeanMinAge19)))</f>
        <v/>
      </c>
      <c r="S1522">
        <f>IF(OR(('06_Сеть_и_дети'!S71-'06_Сеть_и_дети'!S99)=0,19&lt;='01_Вводные'!$B$297),0,('06_Сеть_и_дети'!S71-'06_Сеть_и_дети'!S99)*IF('01_Вводные'!$B$239="Да",MeanMinAge19+'19_Расчет_аналитики'!S1572*SUMIF(ThresholdAge19,"&lt;"&amp;'19_Расчет_аналитики'!S1572,WeightedRevAge19)-SUMIF(ThresholdAge19,"&lt;"&amp;'19_Расчет_аналитики'!S1572,WeightedMinAge19),MAX(CapacityAge19*'01_Вводные'!$B$218*'19_Расчет_аналитики'!S1572,MeanMinAge19)))</f>
        <v/>
      </c>
      <c r="T1522">
        <f>IF(OR(('19_Расчет_аналитики'!T1438-'19_Расчет_аналитики'!T1466)=0,19&lt;='01_Вводные'!$B$297),0,('19_Расчет_аналитики'!T1438-'19_Расчет_аналитики'!T1466)*IF('01_Вводные'!$B$239="Да",MeanMinAge19+'19_Расчет_аналитики'!T1572*SUMIF(ThresholdAge19,"&lt;"&amp;'19_Расчет_аналитики'!T1572,WeightedRevAge19)-SUMIF(ThresholdAge19,"&lt;"&amp;'19_Расчет_аналитики'!T1572,WeightedMinAge19),MAX(CapacityAge19*'01_Вводные'!$B$218*'19_Расчет_аналитики'!T1572,MeanMinAge19)))</f>
        <v/>
      </c>
      <c r="U1522">
        <f>IF(OR(('19_Расчет_аналитики'!U1438-'19_Расчет_аналитики'!U1466)=0,19&lt;='01_Вводные'!$B$297),0,('19_Расчет_аналитики'!U1438-'19_Расчет_аналитики'!U1466)*IF('01_Вводные'!$B$239="Да",MeanMinAge19+'19_Расчет_аналитики'!U1572*SUMIF(ThresholdAge19,"&lt;"&amp;'19_Расчет_аналитики'!U1572,WeightedRevAge19)-SUMIF(ThresholdAge19,"&lt;"&amp;'19_Расчет_аналитики'!U1572,WeightedMinAge19),MAX(CapacityAge19*'01_Вводные'!$B$218*'19_Расчет_аналитики'!U1572,MeanMinAge19)))</f>
        <v/>
      </c>
      <c r="V1522">
        <f>IF(OR(('19_Расчет_аналитики'!V1438-'19_Расчет_аналитики'!V1466)=0,19&lt;='01_Вводные'!$B$297),0,('19_Расчет_аналитики'!V1438-'19_Расчет_аналитики'!V1466)*IF('01_Вводные'!$B$239="Да",MeanMinAge19+'19_Расчет_аналитики'!V1572*SUMIF(ThresholdAge19,"&lt;"&amp;'19_Расчет_аналитики'!V1572,WeightedRevAge19)-SUMIF(ThresholdAge19,"&lt;"&amp;'19_Расчет_аналитики'!V1572,WeightedMinAge19),MAX(CapacityAge19*'01_Вводные'!$B$218*'19_Расчет_аналитики'!V1572,MeanMinAge19)))</f>
        <v/>
      </c>
      <c r="W1522">
        <f>IF(OR(('19_Расчет_аналитики'!W1438-'19_Расчет_аналитики'!W1466)=0,19&lt;='01_Вводные'!$B$297),0,('19_Расчет_аналитики'!W1438-'19_Расчет_аналитики'!W1466)*IF('01_Вводные'!$B$239="Да",MeanMinAge19+'19_Расчет_аналитики'!W1572*SUMIF(ThresholdAge19,"&lt;"&amp;'19_Расчет_аналитики'!W1572,WeightedRevAge19)-SUMIF(ThresholdAge19,"&lt;"&amp;'19_Расчет_аналитики'!W1572,WeightedMinAge19),MAX(CapacityAge19*'01_Вводные'!$B$218*'19_Расчет_аналитики'!W1572,MeanMinAge19)))</f>
        <v/>
      </c>
      <c r="X1522">
        <f>IF(OR(('19_Расчет_аналитики'!X1438-'19_Расчет_аналитики'!X1466)=0,19&lt;='01_Вводные'!$B$297),0,('19_Расчет_аналитики'!X1438-'19_Расчет_аналитики'!X1466)*IF('01_Вводные'!$B$239="Да",MeanMinAge19+'19_Расчет_аналитики'!X1572*SUMIF(ThresholdAge19,"&lt;"&amp;'19_Расчет_аналитики'!X1572,WeightedRevAge19)-SUMIF(ThresholdAge19,"&lt;"&amp;'19_Расчет_аналитики'!X1572,WeightedMinAge19),MAX(CapacityAge19*'01_Вводные'!$B$218*'19_Расчет_аналитики'!X1572,MeanMinAge19)))</f>
        <v/>
      </c>
      <c r="Y1522">
        <f>IF(OR(('19_Расчет_аналитики'!Y1438-'19_Расчет_аналитики'!Y1466)=0,19&lt;='01_Вводные'!$B$297),0,('19_Расчет_аналитики'!Y1438-'19_Расчет_аналитики'!Y1466)*IF('01_Вводные'!$B$239="Да",MeanMinAge19+'19_Расчет_аналитики'!Y1572*SUMIF(ThresholdAge19,"&lt;"&amp;'19_Расчет_аналитики'!Y1572,WeightedRevAge19)-SUMIF(ThresholdAge19,"&lt;"&amp;'19_Расчет_аналитики'!Y1572,WeightedMinAge19),MAX(CapacityAge19*'01_Вводные'!$B$218*'19_Расчет_аналитики'!Y1572,MeanMinAge19)))</f>
        <v/>
      </c>
      <c r="Z1522">
        <f>IF(OR(('19_Расчет_аналитики'!Z1438-'19_Расчет_аналитики'!Z1466)=0,19&lt;='01_Вводные'!$B$297),0,('19_Расчет_аналитики'!Z1438-'19_Расчет_аналитики'!Z1466)*IF('01_Вводные'!$B$239="Да",MeanMinAge19+'19_Расчет_аналитики'!Z1572*SUMIF(ThresholdAge19,"&lt;"&amp;'19_Расчет_аналитики'!Z1572,WeightedRevAge19)-SUMIF(ThresholdAge19,"&lt;"&amp;'19_Расчет_аналитики'!Z1572,WeightedMinAge19),MAX(CapacityAge19*'01_Вводные'!$B$218*'19_Расчет_аналитики'!Z1572,MeanMinAge19)))</f>
        <v/>
      </c>
      <c r="AA1522">
        <f>IF(OR(('19_Расчет_аналитики'!AA1438-'19_Расчет_аналитики'!AA1466)=0,19&lt;='01_Вводные'!$B$297),0,('19_Расчет_аналитики'!AA1438-'19_Расчет_аналитики'!AA1466)*IF('01_Вводные'!$B$239="Да",MeanMinAge19+'19_Расчет_аналитики'!AA1572*SUMIF(ThresholdAge19,"&lt;"&amp;'19_Расчет_аналитики'!AA1572,WeightedRevAge19)-SUMIF(ThresholdAge19,"&lt;"&amp;'19_Расчет_аналитики'!AA1572,WeightedMinAge19),MAX(CapacityAge19*'01_Вводные'!$B$218*'19_Расчет_аналитики'!AA1572,MeanMinAge19)))</f>
        <v/>
      </c>
      <c r="AB1522">
        <f>IF(OR(('19_Расчет_аналитики'!AB1438-'19_Расчет_аналитики'!AB1466)=0,19&lt;='01_Вводные'!$B$297),0,('19_Расчет_аналитики'!AB1438-'19_Расчет_аналитики'!AB1466)*IF('01_Вводные'!$B$239="Да",MeanMinAge19+'19_Расчет_аналитики'!AB1572*SUMIF(ThresholdAge19,"&lt;"&amp;'19_Расчет_аналитики'!AB1572,WeightedRevAge19)-SUMIF(ThresholdAge19,"&lt;"&amp;'19_Расчет_аналитики'!AB1572,WeightedMinAge19),MAX(CapacityAge19*'01_Вводные'!$B$218*'19_Расчет_аналитики'!AB1572,MeanMinAge19)))</f>
        <v/>
      </c>
      <c r="AC1522">
        <f>IF(OR(('19_Расчет_аналитики'!AC1438-'19_Расчет_аналитики'!AC1466)=0,19&lt;='01_Вводные'!$B$297),0,('19_Расчет_аналитики'!AC1438-'19_Расчет_аналитики'!AC1466)*IF('01_Вводные'!$B$239="Да",MeanMinAge19+'19_Расчет_аналитики'!AC1572*SUMIF(ThresholdAge19,"&lt;"&amp;'19_Расчет_аналитики'!AC1572,WeightedRevAge19)-SUMIF(ThresholdAge19,"&lt;"&amp;'19_Расчет_аналитики'!AC1572,WeightedMinAge19),MAX(CapacityAge19*'01_Вводные'!$B$218*'19_Расчет_аналитики'!AC1572,MeanMinAge19)))</f>
        <v/>
      </c>
      <c r="AD1522">
        <f>IF(OR(('19_Расчет_аналитики'!AD1438-'19_Расчет_аналитики'!AD1466)=0,19&lt;='01_Вводные'!$B$297),0,('19_Расчет_аналитики'!AD1438-'19_Расчет_аналитики'!AD1466)*IF('01_Вводные'!$B$239="Да",MeanMinAge19+'19_Расчет_аналитики'!AD1572*SUMIF(ThresholdAge19,"&lt;"&amp;'19_Расчет_аналитики'!AD1572,WeightedRevAge19)-SUMIF(ThresholdAge19,"&lt;"&amp;'19_Расчет_аналитики'!AD1572,WeightedMinAge19),MAX(CapacityAge19*'01_Вводные'!$B$218*'19_Расчет_аналитики'!AD1572,MeanMinAge19)))</f>
        <v/>
      </c>
      <c r="AE1522">
        <f>IF(OR(('19_Расчет_аналитики'!AE1438-'19_Расчет_аналитики'!AE1466)=0,19&lt;='01_Вводные'!$B$297),0,('19_Расчет_аналитики'!AE1438-'19_Расчет_аналитики'!AE1466)*IF('01_Вводные'!$B$239="Да",MeanMinAge19+'19_Расчет_аналитики'!AE1572*SUMIF(ThresholdAge19,"&lt;"&amp;'19_Расчет_аналитики'!AE1572,WeightedRevAge19)-SUMIF(ThresholdAge19,"&lt;"&amp;'19_Расчет_аналитики'!AE1572,WeightedMinAge19),MAX(CapacityAge19*'01_Вводные'!$B$218*'19_Расчет_аналитики'!AE1572,MeanMinAge19)))</f>
        <v/>
      </c>
      <c r="AF1522">
        <f>IF(OR(('19_Расчет_аналитики'!AF1438-'19_Расчет_аналитики'!AF1466)=0,19&lt;='01_Вводные'!$B$297),0,('19_Расчет_аналитики'!AF1438-'19_Расчет_аналитики'!AF1466)*IF('01_Вводные'!$B$239="Да",MeanMinAge19+'19_Расчет_аналитики'!AF1572*SUMIF(ThresholdAge19,"&lt;"&amp;'19_Расчет_аналитики'!AF1572,WeightedRevAge19)-SUMIF(ThresholdAge19,"&lt;"&amp;'19_Расчет_аналитики'!AF1572,WeightedMinAge19),MAX(CapacityAge19*'01_Вводные'!$B$218*'19_Расчет_аналитики'!AF1572,MeanMinAge19)))</f>
        <v/>
      </c>
      <c r="AG1522">
        <f>IF(OR(('19_Расчет_аналитики'!AG1438-'19_Расчет_аналитики'!AG1466)=0,19&lt;='01_Вводные'!$B$297),0,('19_Расчет_аналитики'!AG1438-'19_Расчет_аналитики'!AG1466)*IF('01_Вводные'!$B$239="Да",MeanMinAge19+'19_Расчет_аналитики'!AG1572*SUMIF(ThresholdAge19,"&lt;"&amp;'19_Расчет_аналитики'!AG1572,WeightedRevAge19)-SUMIF(ThresholdAge19,"&lt;"&amp;'19_Расчет_аналитики'!AG1572,WeightedMinAge19),MAX(CapacityAge19*'01_Вводные'!$B$218*'19_Расчет_аналитики'!AG1572,MeanMinAge19)))</f>
        <v/>
      </c>
      <c r="AH1522">
        <f>IF(OR(('19_Расчет_аналитики'!AH1438-'19_Расчет_аналитики'!AH1466)=0,19&lt;='01_Вводные'!$B$297),0,('19_Расчет_аналитики'!AH1438-'19_Расчет_аналитики'!AH1466)*IF('01_Вводные'!$B$239="Да",MeanMinAge19+'19_Расчет_аналитики'!AH1572*SUMIF(ThresholdAge19,"&lt;"&amp;'19_Расчет_аналитики'!AH1572,WeightedRevAge19)-SUMIF(ThresholdAge19,"&lt;"&amp;'19_Расчет_аналитики'!AH1572,WeightedMinAge19),MAX(CapacityAge19*'01_Вводные'!$B$218*'19_Расчет_аналитики'!AH1572,MeanMinAge19)))</f>
        <v/>
      </c>
      <c r="AI1522">
        <f>IF(OR(('19_Расчет_аналитики'!AI1438-'19_Расчет_аналитики'!AI1466)=0,19&lt;='01_Вводные'!$B$297),0,('19_Расчет_аналитики'!AI1438-'19_Расчет_аналитики'!AI1466)*IF('01_Вводные'!$B$239="Да",MeanMinAge19+'19_Расчет_аналитики'!AI1572*SUMIF(ThresholdAge19,"&lt;"&amp;'19_Расчет_аналитики'!AI1572,WeightedRevAge19)-SUMIF(ThresholdAge19,"&lt;"&amp;'19_Расчет_аналитики'!AI1572,WeightedMinAge19),MAX(CapacityAge19*'01_Вводные'!$B$218*'19_Расчет_аналитики'!AI1572,MeanMinAge19)))</f>
        <v/>
      </c>
      <c r="AJ1522">
        <f>IF(OR(('19_Расчет_аналитики'!AJ1438-'19_Расчет_аналитики'!AJ1466)=0,19&lt;='01_Вводные'!$B$297),0,('19_Расчет_аналитики'!AJ1438-'19_Расчет_аналитики'!AJ1466)*IF('01_Вводные'!$B$239="Да",MeanMinAge19+'19_Расчет_аналитики'!AJ1572*SUMIF(ThresholdAge19,"&lt;"&amp;'19_Расчет_аналитики'!AJ1572,WeightedRevAge19)-SUMIF(ThresholdAge19,"&lt;"&amp;'19_Расчет_аналитики'!AJ1572,WeightedMinAge19),MAX(CapacityAge19*'01_Вводные'!$B$218*'19_Расчет_аналитики'!AJ1572,MeanMinAge19)))</f>
        <v/>
      </c>
      <c r="AK1522">
        <f>IF(OR(('19_Расчет_аналитики'!AK1438-'19_Расчет_аналитики'!AK1466)=0,19&lt;='01_Вводные'!$B$297),0,('19_Расчет_аналитики'!AK1438-'19_Расчет_аналитики'!AK1466)*IF('01_Вводные'!$B$239="Да",MeanMinAge19+'19_Расчет_аналитики'!AK1572*SUMIF(ThresholdAge19,"&lt;"&amp;'19_Расчет_аналитики'!AK1572,WeightedRevAge19)-SUMIF(ThresholdAge19,"&lt;"&amp;'19_Расчет_аналитики'!AK1572,WeightedMinAge19),MAX(CapacityAge19*'01_Вводные'!$B$218*'19_Расчет_аналитики'!AK1572,MeanMinAge19)))</f>
        <v/>
      </c>
      <c r="AL1522">
        <f>IF(OR(('19_Расчет_аналитики'!AL1438-'19_Расчет_аналитики'!AL1466)=0,19&lt;='01_Вводные'!$B$297),0,('19_Расчет_аналитики'!AL1438-'19_Расчет_аналитики'!AL1466)*IF('01_Вводные'!$B$239="Да",MeanMinAge19+'19_Расчет_аналитики'!AL1572*SUMIF(ThresholdAge19,"&lt;"&amp;'19_Расчет_аналитики'!AL1572,WeightedRevAge19)-SUMIF(ThresholdAge19,"&lt;"&amp;'19_Расчет_аналитики'!AL1572,WeightedMinAge19),MAX(CapacityAge19*'01_Вводные'!$B$218*'19_Расчет_аналитики'!AL1572,MeanMinAge19)))</f>
        <v/>
      </c>
      <c r="AM1522">
        <f>IF(OR(('19_Расчет_аналитики'!AM1438-'19_Расчет_аналитики'!AM1466)=0,19&lt;='01_Вводные'!$B$297),0,('19_Расчет_аналитики'!AM1438-'19_Расчет_аналитики'!AM1466)*IF('01_Вводные'!$B$239="Да",MeanMinAge19+'19_Расчет_аналитики'!AM1572*SUMIF(ThresholdAge19,"&lt;"&amp;'19_Расчет_аналитики'!AM1572,WeightedRevAge19)-SUMIF(ThresholdAge19,"&lt;"&amp;'19_Расчет_аналитики'!AM1572,WeightedMinAge19),MAX(CapacityAge19*'01_Вводные'!$B$218*'19_Расчет_аналитики'!AM1572,MeanMinAge19)))</f>
        <v/>
      </c>
      <c r="AN1522">
        <f>IF(OR(('19_Расчет_аналитики'!AN1438-'19_Расчет_аналитики'!AN1466)=0,19&lt;='01_Вводные'!$B$297),0,('19_Расчет_аналитики'!AN1438-'19_Расчет_аналитики'!AN1466)*IF('01_Вводные'!$B$239="Да",MeanMinAge19+'19_Расчет_аналитики'!AN1572*SUMIF(ThresholdAge19,"&lt;"&amp;'19_Расчет_аналитики'!AN1572,WeightedRevAge19)-SUMIF(ThresholdAge19,"&lt;"&amp;'19_Расчет_аналитики'!AN1572,WeightedMinAge19),MAX(CapacityAge19*'01_Вводные'!$B$218*'19_Расчет_аналитики'!AN1572,MeanMinAge19)))</f>
        <v/>
      </c>
      <c r="AO1522">
        <f>IF(OR(('19_Расчет_аналитики'!AO1438-'19_Расчет_аналитики'!AO1466)=0,19&lt;='01_Вводные'!$B$297),0,('19_Расчет_аналитики'!AO1438-'19_Расчет_аналитики'!AO1466)*IF('01_Вводные'!$B$239="Да",MeanMinAge19+'19_Расчет_аналитики'!AO1572*SUMIF(ThresholdAge19,"&lt;"&amp;'19_Расчет_аналитики'!AO1572,WeightedRevAge19)-SUMIF(ThresholdAge19,"&lt;"&amp;'19_Расчет_аналитики'!AO1572,WeightedMinAge19),MAX(CapacityAge19*'01_Вводные'!$B$218*'19_Расчет_аналитики'!AO1572,MeanMinAge19)))</f>
        <v/>
      </c>
      <c r="AP1522">
        <f>IF(OR(('19_Расчет_аналитики'!AP1438-'19_Расчет_аналитики'!AP1466)=0,19&lt;='01_Вводные'!$B$297),0,('19_Расчет_аналитики'!AP1438-'19_Расчет_аналитики'!AP1466)*IF('01_Вводные'!$B$239="Да",MeanMinAge19+'19_Расчет_аналитики'!AP1572*SUMIF(ThresholdAge19,"&lt;"&amp;'19_Расчет_аналитики'!AP1572,WeightedRevAge19)-SUMIF(ThresholdAge19,"&lt;"&amp;'19_Расчет_аналитики'!AP1572,WeightedMinAge19),MAX(CapacityAge19*'01_Вводные'!$B$218*'19_Расчет_аналитики'!AP1572,MeanMinAge19)))</f>
        <v/>
      </c>
      <c r="AQ1522">
        <f>IF(OR(('19_Расчет_аналитики'!AQ1438-'19_Расчет_аналитики'!AQ1466)=0,19&lt;='01_Вводные'!$B$297),0,('19_Расчет_аналитики'!AQ1438-'19_Расчет_аналитики'!AQ1466)*IF('01_Вводные'!$B$239="Да",MeanMinAge19+'19_Расчет_аналитики'!AQ1572*SUMIF(ThresholdAge19,"&lt;"&amp;'19_Расчет_аналитики'!AQ1572,WeightedRevAge19)-SUMIF(ThresholdAge19,"&lt;"&amp;'19_Расчет_аналитики'!AQ1572,WeightedMinAge19),MAX(CapacityAge19*'01_Вводные'!$B$218*'19_Расчет_аналитики'!AQ1572,MeanMinAge19)))</f>
        <v/>
      </c>
      <c r="AR1522">
        <f>IF(OR(('19_Расчет_аналитики'!AR1438-'19_Расчет_аналитики'!AR1466)=0,19&lt;='01_Вводные'!$B$297),0,('19_Расчет_аналитики'!AR1438-'19_Расчет_аналитики'!AR1466)*IF('01_Вводные'!$B$239="Да",MeanMinAge19+'19_Расчет_аналитики'!AR1572*SUMIF(ThresholdAge19,"&lt;"&amp;'19_Расчет_аналитики'!AR1572,WeightedRevAge19)-SUMIF(ThresholdAge19,"&lt;"&amp;'19_Расчет_аналитики'!AR1572,WeightedMinAge19),MAX(CapacityAge19*'01_Вводные'!$B$218*'19_Расчет_аналитики'!AR1572,MeanMinAge19)))</f>
        <v/>
      </c>
      <c r="AS1522">
        <f>IF(OR(('19_Расчет_аналитики'!AS1438-'19_Расчет_аналитики'!AS1466)=0,19&lt;='01_Вводные'!$B$297),0,('19_Расчет_аналитики'!AS1438-'19_Расчет_аналитики'!AS1466)*IF('01_Вводные'!$B$239="Да",MeanMinAge19+'19_Расчет_аналитики'!AS1572*SUMIF(ThresholdAge19,"&lt;"&amp;'19_Расчет_аналитики'!AS1572,WeightedRevAge19)-SUMIF(ThresholdAge19,"&lt;"&amp;'19_Расчет_аналитики'!AS1572,WeightedMinAge19),MAX(CapacityAge19*'01_Вводные'!$B$218*'19_Расчет_аналитики'!AS1572,MeanMinAge19)))</f>
        <v/>
      </c>
      <c r="AT1522">
        <f>IF(OR(('19_Расчет_аналитики'!AT1438-'19_Расчет_аналитики'!AT1466)=0,19&lt;='01_Вводные'!$B$297),0,('19_Расчет_аналитики'!AT1438-'19_Расчет_аналитики'!AT1466)*IF('01_Вводные'!$B$239="Да",MeanMinAge19+'19_Расчет_аналитики'!AT1572*SUMIF(ThresholdAge19,"&lt;"&amp;'19_Расчет_аналитики'!AT1572,WeightedRevAge19)-SUMIF(ThresholdAge19,"&lt;"&amp;'19_Расчет_аналитики'!AT1572,WeightedMinAge19),MAX(CapacityAge19*'01_Вводные'!$B$218*'19_Расчет_аналитики'!AT1572,MeanMinAge19)))</f>
        <v/>
      </c>
      <c r="AU1522">
        <f>IF(OR(('19_Расчет_аналитики'!AU1438-'19_Расчет_аналитики'!AU1466)=0,19&lt;='01_Вводные'!$B$297),0,('19_Расчет_аналитики'!AU1438-'19_Расчет_аналитики'!AU1466)*IF('01_Вводные'!$B$239="Да",MeanMinAge19+'19_Расчет_аналитики'!AU1572*SUMIF(ThresholdAge19,"&lt;"&amp;'19_Расчет_аналитики'!AU1572,WeightedRevAge19)-SUMIF(ThresholdAge19,"&lt;"&amp;'19_Расчет_аналитики'!AU1572,WeightedMinAge19),MAX(CapacityAge19*'01_Вводные'!$B$218*'19_Расчет_аналитики'!AU1572,MeanMinAge19)))</f>
        <v/>
      </c>
      <c r="AV1522">
        <f>IF(OR(('19_Расчет_аналитики'!AV1438-'19_Расчет_аналитики'!AV1466)=0,19&lt;='01_Вводные'!$B$297),0,('19_Расчет_аналитики'!AV1438-'19_Расчет_аналитики'!AV1466)*IF('01_Вводные'!$B$239="Да",MeanMinAge19+'19_Расчет_аналитики'!AV1572*SUMIF(ThresholdAge19,"&lt;"&amp;'19_Расчет_аналитики'!AV1572,WeightedRevAge19)-SUMIF(ThresholdAge19,"&lt;"&amp;'19_Расчет_аналитики'!AV1572,WeightedMinAge19),MAX(CapacityAge19*'01_Вводные'!$B$218*'19_Расчет_аналитики'!AV1572,MeanMinAge19)))</f>
        <v/>
      </c>
      <c r="AW1522">
        <f>IF(OR(('19_Расчет_аналитики'!AW1438-'19_Расчет_аналитики'!AW1466)=0,19&lt;='01_Вводные'!$B$297),0,('19_Расчет_аналитики'!AW1438-'19_Расчет_аналитики'!AW1466)*IF('01_Вводные'!$B$239="Да",MeanMinAge19+'19_Расчет_аналитики'!AW1572*SUMIF(ThresholdAge19,"&lt;"&amp;'19_Расчет_аналитики'!AW1572,WeightedRevAge19)-SUMIF(ThresholdAge19,"&lt;"&amp;'19_Расчет_аналитики'!AW1572,WeightedMinAge19),MAX(CapacityAge19*'01_Вводные'!$B$218*'19_Расчет_аналитики'!AW1572,MeanMinAge19)))</f>
        <v/>
      </c>
      <c r="AX1522">
        <f>IF(OR(('19_Расчет_аналитики'!AX1438-'19_Расчет_аналитики'!AX1466)=0,19&lt;='01_Вводные'!$B$297),0,('19_Расчет_аналитики'!AX1438-'19_Расчет_аналитики'!AX1466)*IF('01_Вводные'!$B$239="Да",MeanMinAge19+'19_Расчет_аналитики'!AX1572*SUMIF(ThresholdAge19,"&lt;"&amp;'19_Расчет_аналитики'!AX1572,WeightedRevAge19)-SUMIF(ThresholdAge19,"&lt;"&amp;'19_Расчет_аналитики'!AX1572,WeightedMinAge19),MAX(CapacityAge19*'01_Вводные'!$B$218*'19_Расчет_аналитики'!AX1572,MeanMinAge19)))</f>
        <v/>
      </c>
      <c r="AY1522">
        <f>IF(OR(('19_Расчет_аналитики'!AY1438-'19_Расчет_аналитики'!AY1466)=0,19&lt;='01_Вводные'!$B$297),0,('19_Расчет_аналитики'!AY1438-'19_Расчет_аналитики'!AY1466)*IF('01_Вводные'!$B$239="Да",MeanMinAge19+'19_Расчет_аналитики'!AY1572*SUMIF(ThresholdAge19,"&lt;"&amp;'19_Расчет_аналитики'!AY1572,WeightedRevAge19)-SUMIF(ThresholdAge19,"&lt;"&amp;'19_Расчет_аналитики'!AY1572,WeightedMinAge19),MAX(CapacityAge19*'01_Вводные'!$B$218*'19_Расчет_аналитики'!AY1572,MeanMinAge19)))</f>
        <v/>
      </c>
      <c r="AZ1522">
        <f>IF(OR(('19_Расчет_аналитики'!AZ1438-'19_Расчет_аналитики'!AZ1466)=0,19&lt;='01_Вводные'!$B$297),0,('19_Расчет_аналитики'!AZ1438-'19_Расчет_аналитики'!AZ1466)*IF('01_Вводные'!$B$239="Да",MeanMinAge19+'19_Расчет_аналитики'!AZ1572*SUMIF(ThresholdAge19,"&lt;"&amp;'19_Расчет_аналитики'!AZ1572,WeightedRevAge19)-SUMIF(ThresholdAge19,"&lt;"&amp;'19_Расчет_аналитики'!AZ1572,WeightedMinAge19),MAX(CapacityAge19*'01_Вводные'!$B$218*'19_Расчет_аналитики'!AZ1572,MeanMinAge19)))</f>
        <v/>
      </c>
      <c r="BA1522">
        <f>IF(OR(('19_Расчет_аналитики'!BA1438-'19_Расчет_аналитики'!BA1466)=0,19&lt;='01_Вводные'!$B$297),0,('19_Расчет_аналитики'!BA1438-'19_Расчет_аналитики'!BA1466)*IF('01_Вводные'!$B$239="Да",MeanMinAge19+'19_Расчет_аналитики'!BA1572*SUMIF(ThresholdAge19,"&lt;"&amp;'19_Расчет_аналитики'!BA1572,WeightedRevAge19)-SUMIF(ThresholdAge19,"&lt;"&amp;'19_Расчет_аналитики'!BA1572,WeightedMinAge19),MAX(CapacityAge19*'01_Вводные'!$B$218*'19_Расчет_аналитики'!BA1572,MeanMinAge19)))</f>
        <v/>
      </c>
      <c r="BB1522">
        <f>IF(OR(('19_Расчет_аналитики'!BB1438-'19_Расчет_аналитики'!BB1466)=0,19&lt;='01_Вводные'!$B$297),0,('19_Расчет_аналитики'!BB1438-'19_Расчет_аналитики'!BB1466)*IF('01_Вводные'!$B$239="Да",MeanMinAge19+'19_Расчет_аналитики'!BB1572*SUMIF(ThresholdAge19,"&lt;"&amp;'19_Расчет_аналитики'!BB1572,WeightedRevAge19)-SUMIF(ThresholdAge19,"&lt;"&amp;'19_Расчет_аналитики'!BB1572,WeightedMinAge19),MAX(CapacityAge19*'01_Вводные'!$B$218*'19_Расчет_аналитики'!BB1572,MeanMinAge19)))</f>
        <v/>
      </c>
      <c r="BC1522">
        <f>IF(OR(('19_Расчет_аналитики'!BC1438-'19_Расчет_аналитики'!BC1466)=0,19&lt;='01_Вводные'!$B$297),0,('19_Расчет_аналитики'!BC1438-'19_Расчет_аналитики'!BC1466)*IF('01_Вводные'!$B$239="Да",MeanMinAge19+'19_Расчет_аналитики'!BC1572*SUMIF(ThresholdAge19,"&lt;"&amp;'19_Расчет_аналитики'!BC1572,WeightedRevAge19)-SUMIF(ThresholdAge19,"&lt;"&amp;'19_Расчет_аналитики'!BC1572,WeightedMinAge19),MAX(CapacityAge19*'01_Вводные'!$B$218*'19_Расчет_аналитики'!BC1572,MeanMinAge19)))</f>
        <v/>
      </c>
      <c r="BD1522">
        <f>IF(OR(('19_Расчет_аналитики'!BD1438-'19_Расчет_аналитики'!BD1466)=0,19&lt;='01_Вводные'!$B$297),0,('19_Расчет_аналитики'!BD1438-'19_Расчет_аналитики'!BD1466)*IF('01_Вводные'!$B$239="Да",MeanMinAge19+'19_Расчет_аналитики'!BD1572*SUMIF(ThresholdAge19,"&lt;"&amp;'19_Расчет_аналитики'!BD1572,WeightedRevAge19)-SUMIF(ThresholdAge19,"&lt;"&amp;'19_Расчет_аналитики'!BD1572,WeightedMinAge19),MAX(CapacityAge19*'01_Вводные'!$B$218*'19_Расчет_аналитики'!BD1572,MeanMinAge19)))</f>
        <v/>
      </c>
      <c r="BE1522">
        <f>IF(OR(('19_Расчет_аналитики'!BE1438-'19_Расчет_аналитики'!BE1466)=0,19&lt;='01_Вводные'!$B$297),0,('19_Расчет_аналитики'!BE1438-'19_Расчет_аналитики'!BE1466)*IF('01_Вводные'!$B$239="Да",MeanMinAge19+'19_Расчет_аналитики'!BE1572*SUMIF(ThresholdAge19,"&lt;"&amp;'19_Расчет_аналитики'!BE1572,WeightedRevAge19)-SUMIF(ThresholdAge19,"&lt;"&amp;'19_Расчет_аналитики'!BE1572,WeightedMinAge19),MAX(CapacityAge19*'01_Вводные'!$B$218*'19_Расчет_аналитики'!BE1572,MeanMinAge19)))</f>
        <v/>
      </c>
      <c r="BF1522">
        <f>IF(OR(('19_Расчет_аналитики'!BF1438-'19_Расчет_аналитики'!BF1466)=0,19&lt;='01_Вводные'!$B$297),0,('19_Расчет_аналитики'!BF1438-'19_Расчет_аналитики'!BF1466)*IF('01_Вводные'!$B$239="Да",MeanMinAge19+'19_Расчет_аналитики'!BF1572*SUMIF(ThresholdAge19,"&lt;"&amp;'19_Расчет_аналитики'!BF1572,WeightedRevAge19)-SUMIF(ThresholdAge19,"&lt;"&amp;'19_Расчет_аналитики'!BF1572,WeightedMinAge19),MAX(CapacityAge19*'01_Вводные'!$B$218*'19_Расчет_аналитики'!BF1572,MeanMinAge19)))</f>
        <v/>
      </c>
      <c r="BG1522">
        <f>IF(OR(('19_Расчет_аналитики'!BG1438-'19_Расчет_аналитики'!BG1466)=0,19&lt;='01_Вводные'!$B$297),0,('19_Расчет_аналитики'!BG1438-'19_Расчет_аналитики'!BG1466)*IF('01_Вводные'!$B$239="Да",MeanMinAge19+'19_Расчет_аналитики'!BG1572*SUMIF(ThresholdAge19,"&lt;"&amp;'19_Расчет_аналитики'!BG1572,WeightedRevAge19)-SUMIF(ThresholdAge19,"&lt;"&amp;'19_Расчет_аналитики'!BG1572,WeightedMinAge19),MAX(CapacityAge19*'01_Вводные'!$B$218*'19_Расчет_аналитики'!BG1572,MeanMinAge19)))</f>
        <v/>
      </c>
      <c r="BH1522">
        <f>IF(OR(('19_Расчет_аналитики'!BH1438-'19_Расчет_аналитики'!BH1466)=0,19&lt;='01_Вводные'!$B$297),0,('19_Расчет_аналитики'!BH1438-'19_Расчет_аналитики'!BH1466)*IF('01_Вводные'!$B$239="Да",MeanMinAge19+'19_Расчет_аналитики'!BH1572*SUMIF(ThresholdAge19,"&lt;"&amp;'19_Расчет_аналитики'!BH1572,WeightedRevAge19)-SUMIF(ThresholdAge19,"&lt;"&amp;'19_Расчет_аналитики'!BH1572,WeightedMinAge19),MAX(CapacityAge19*'01_Вводные'!$B$218*'19_Расчет_аналитики'!BH1572,MeanMinAge19)))</f>
        <v/>
      </c>
      <c r="BI1522">
        <f>IF(OR(('19_Расчет_аналитики'!BI1438-'19_Расчет_аналитики'!BI1466)=0,19&lt;='01_Вводные'!$B$297),0,('19_Расчет_аналитики'!BI1438-'19_Расчет_аналитики'!BI1466)*IF('01_Вводные'!$B$239="Да",MeanMinAge19+'19_Расчет_аналитики'!BI1572*SUMIF(ThresholdAge19,"&lt;"&amp;'19_Расчет_аналитики'!BI1572,WeightedRevAge19)-SUMIF(ThresholdAge19,"&lt;"&amp;'19_Расчет_аналитики'!BI1572,WeightedMinAge19),MAX(CapacityAge19*'01_Вводные'!$B$218*'19_Расчет_аналитики'!BI1572,MeanMinAge19)))</f>
        <v/>
      </c>
      <c r="BJ1522">
        <f>IF(OR(('19_Расчет_аналитики'!BJ1438-'19_Расчет_аналитики'!BJ1466)=0,19&lt;='01_Вводные'!$B$297),0,('19_Расчет_аналитики'!BJ1438-'19_Расчет_аналитики'!BJ1466)*IF('01_Вводные'!$B$239="Да",MeanMinAge19+'19_Расчет_аналитики'!BJ1572*SUMIF(ThresholdAge19,"&lt;"&amp;'19_Расчет_аналитики'!BJ1572,WeightedRevAge19)-SUMIF(ThresholdAge19,"&lt;"&amp;'19_Расчет_аналитики'!BJ1572,WeightedMinAge19),MAX(CapacityAge19*'01_Вводные'!$B$218*'19_Расчет_аналитики'!BJ1572,MeanMinAge19)))</f>
        <v/>
      </c>
      <c r="BK1522">
        <f>IF(OR(('19_Расчет_аналитики'!BK1438-'19_Расчет_аналитики'!BK1466)=0,19&lt;='01_Вводные'!$B$297),0,('19_Расчет_аналитики'!BK1438-'19_Расчет_аналитики'!BK1466)*IF('01_Вводные'!$B$239="Да",MeanMinAge19+'19_Расчет_аналитики'!BK1572*SUMIF(ThresholdAge19,"&lt;"&amp;'19_Расчет_аналитики'!BK1572,WeightedRevAge19)-SUMIF(ThresholdAge19,"&lt;"&amp;'19_Расчет_аналитики'!BK1572,WeightedMinAge19),MAX(CapacityAge19*'01_Вводные'!$B$218*'19_Расчет_аналитики'!BK1572,MeanMinAge19)))</f>
        <v/>
      </c>
      <c r="BL1522">
        <f>IF(OR(('19_Расчет_аналитики'!BL1438-'19_Расчет_аналитики'!BL1466)=0,19&lt;='01_Вводные'!$B$297),0,('19_Расчет_аналитики'!BL1438-'19_Расчет_аналитики'!BL1466)*IF('01_Вводные'!$B$239="Да",MeanMinAge19+'19_Расчет_аналитики'!BL1572*SUMIF(ThresholdAge19,"&lt;"&amp;'19_Расчет_аналитики'!BL1572,WeightedRevAge19)-SUMIF(ThresholdAge19,"&lt;"&amp;'19_Расчет_аналитики'!BL1572,WeightedMinAge19),MAX(CapacityAge19*'01_Вводные'!$B$218*'19_Расчет_аналитики'!BL1572,MeanMinAge19)))</f>
        <v/>
      </c>
      <c r="BM1522">
        <f>IF(OR(('19_Расчет_аналитики'!BM1438-'19_Расчет_аналитики'!BM1466)=0,19&lt;='01_Вводные'!$B$297),0,('19_Расчет_аналитики'!BM1438-'19_Расчет_аналитики'!BM1466)*IF('01_Вводные'!$B$239="Да",MeanMinAge19+'19_Расчет_аналитики'!BM1572*SUMIF(ThresholdAge19,"&lt;"&amp;'19_Расчет_аналитики'!BM1572,WeightedRevAge19)-SUMIF(ThresholdAge19,"&lt;"&amp;'19_Расчет_аналитики'!BM1572,WeightedMinAge19),MAX(CapacityAge19*'01_Вводные'!$B$218*'19_Расчет_аналитики'!BM1572,MeanMinAge19)))</f>
        <v/>
      </c>
      <c r="BN1522">
        <f>IF(OR(('19_Расчет_аналитики'!BN1438-'19_Расчет_аналитики'!BN1466)=0,19&lt;='01_Вводные'!$B$297),0,('19_Расчет_аналитики'!BN1438-'19_Расчет_аналитики'!BN1466)*IF('01_Вводные'!$B$239="Да",MeanMinAge19+'19_Расчет_аналитики'!BN1572*SUMIF(ThresholdAge19,"&lt;"&amp;'19_Расчет_аналитики'!BN1572,WeightedRevAge19)-SUMIF(ThresholdAge19,"&lt;"&amp;'19_Расчет_аналитики'!BN1572,WeightedMinAge19),MAX(CapacityAge19*'01_Вводные'!$B$218*'19_Расчет_аналитики'!BN1572,MeanMinAge19)))</f>
        <v/>
      </c>
      <c r="BO1522">
        <f>IF(OR(('19_Расчет_аналитики'!BO1438-'19_Расчет_аналитики'!BO1466)=0,19&lt;='01_Вводные'!$B$297),0,('19_Расчет_аналитики'!BO1438-'19_Расчет_аналитики'!BO1466)*IF('01_Вводные'!$B$239="Да",MeanMinAge19+'19_Расчет_аналитики'!BO1572*SUMIF(ThresholdAge19,"&lt;"&amp;'19_Расчет_аналитики'!BO1572,WeightedRevAge19)-SUMIF(ThresholdAge19,"&lt;"&amp;'19_Расчет_аналитики'!BO1572,WeightedMinAge19),MAX(CapacityAge19*'01_Вводные'!$B$218*'19_Расчет_аналитики'!BO1572,MeanMinAge19)))</f>
        <v/>
      </c>
    </row>
    <row r="1523">
      <c r="B1523">
        <f>IF(OR(('06_Сеть_и_дети'!B72-'06_Сеть_и_дети'!B100)=0,20&lt;='01_Вводные'!$B$297),0,('06_Сеть_и_дети'!B72-'06_Сеть_и_дети'!B100)*IF('01_Вводные'!$B$239="Да",MeanMinAge20+'19_Расчет_аналитики'!B1572*SUMIF(ThresholdAge20,"&lt;"&amp;'19_Расчет_аналитики'!B1572,WeightedRevAge20)-SUMIF(ThresholdAge20,"&lt;"&amp;'19_Расчет_аналитики'!B1572,WeightedMinAge20),MAX(CapacityAge20*'01_Вводные'!$B$218*'19_Расчет_аналитики'!B1572,MeanMinAge20)))</f>
        <v/>
      </c>
      <c r="C1523">
        <f>IF(OR(('06_Сеть_и_дети'!C72-'06_Сеть_и_дети'!C100)=0,20&lt;='01_Вводные'!$B$297),0,('06_Сеть_и_дети'!C72-'06_Сеть_и_дети'!C100)*IF('01_Вводные'!$B$239="Да",MeanMinAge20+'19_Расчет_аналитики'!C1572*SUMIF(ThresholdAge20,"&lt;"&amp;'19_Расчет_аналитики'!C1572,WeightedRevAge20)-SUMIF(ThresholdAge20,"&lt;"&amp;'19_Расчет_аналитики'!C1572,WeightedMinAge20),MAX(CapacityAge20*'01_Вводные'!$B$218*'19_Расчет_аналитики'!C1572,MeanMinAge20)))</f>
        <v/>
      </c>
      <c r="D1523">
        <f>IF(OR(('06_Сеть_и_дети'!D72-'06_Сеть_и_дети'!D100)=0,20&lt;='01_Вводные'!$B$297),0,('06_Сеть_и_дети'!D72-'06_Сеть_и_дети'!D100)*IF('01_Вводные'!$B$239="Да",MeanMinAge20+'19_Расчет_аналитики'!D1572*SUMIF(ThresholdAge20,"&lt;"&amp;'19_Расчет_аналитики'!D1572,WeightedRevAge20)-SUMIF(ThresholdAge20,"&lt;"&amp;'19_Расчет_аналитики'!D1572,WeightedMinAge20),MAX(CapacityAge20*'01_Вводные'!$B$218*'19_Расчет_аналитики'!D1572,MeanMinAge20)))</f>
        <v/>
      </c>
      <c r="E1523">
        <f>IF(OR(('06_Сеть_и_дети'!E72-'06_Сеть_и_дети'!E100)=0,20&lt;='01_Вводные'!$B$297),0,('06_Сеть_и_дети'!E72-'06_Сеть_и_дети'!E100)*IF('01_Вводные'!$B$239="Да",MeanMinAge20+'19_Расчет_аналитики'!E1572*SUMIF(ThresholdAge20,"&lt;"&amp;'19_Расчет_аналитики'!E1572,WeightedRevAge20)-SUMIF(ThresholdAge20,"&lt;"&amp;'19_Расчет_аналитики'!E1572,WeightedMinAge20),MAX(CapacityAge20*'01_Вводные'!$B$218*'19_Расчет_аналитики'!E1572,MeanMinAge20)))</f>
        <v/>
      </c>
      <c r="F1523">
        <f>IF(OR(('06_Сеть_и_дети'!F72-'06_Сеть_и_дети'!F100)=0,20&lt;='01_Вводные'!$B$297),0,('06_Сеть_и_дети'!F72-'06_Сеть_и_дети'!F100)*IF('01_Вводные'!$B$239="Да",MeanMinAge20+'19_Расчет_аналитики'!F1572*SUMIF(ThresholdAge20,"&lt;"&amp;'19_Расчет_аналитики'!F1572,WeightedRevAge20)-SUMIF(ThresholdAge20,"&lt;"&amp;'19_Расчет_аналитики'!F1572,WeightedMinAge20),MAX(CapacityAge20*'01_Вводные'!$B$218*'19_Расчет_аналитики'!F1572,MeanMinAge20)))</f>
        <v/>
      </c>
      <c r="G1523">
        <f>IF(OR(('06_Сеть_и_дети'!G72-'06_Сеть_и_дети'!G100)=0,20&lt;='01_Вводные'!$B$297),0,('06_Сеть_и_дети'!G72-'06_Сеть_и_дети'!G100)*IF('01_Вводные'!$B$239="Да",MeanMinAge20+'19_Расчет_аналитики'!G1572*SUMIF(ThresholdAge20,"&lt;"&amp;'19_Расчет_аналитики'!G1572,WeightedRevAge20)-SUMIF(ThresholdAge20,"&lt;"&amp;'19_Расчет_аналитики'!G1572,WeightedMinAge20),MAX(CapacityAge20*'01_Вводные'!$B$218*'19_Расчет_аналитики'!G1572,MeanMinAge20)))</f>
        <v/>
      </c>
      <c r="H1523">
        <f>IF(OR(('06_Сеть_и_дети'!H72-'06_Сеть_и_дети'!H100)=0,20&lt;='01_Вводные'!$B$297),0,('06_Сеть_и_дети'!H72-'06_Сеть_и_дети'!H100)*IF('01_Вводные'!$B$239="Да",MeanMinAge20+'19_Расчет_аналитики'!H1572*SUMIF(ThresholdAge20,"&lt;"&amp;'19_Расчет_аналитики'!H1572,WeightedRevAge20)-SUMIF(ThresholdAge20,"&lt;"&amp;'19_Расчет_аналитики'!H1572,WeightedMinAge20),MAX(CapacityAge20*'01_Вводные'!$B$218*'19_Расчет_аналитики'!H1572,MeanMinAge20)))</f>
        <v/>
      </c>
      <c r="I1523">
        <f>IF(OR(('06_Сеть_и_дети'!I72-'06_Сеть_и_дети'!I100)=0,20&lt;='01_Вводные'!$B$297),0,('06_Сеть_и_дети'!I72-'06_Сеть_и_дети'!I100)*IF('01_Вводные'!$B$239="Да",MeanMinAge20+'19_Расчет_аналитики'!I1572*SUMIF(ThresholdAge20,"&lt;"&amp;'19_Расчет_аналитики'!I1572,WeightedRevAge20)-SUMIF(ThresholdAge20,"&lt;"&amp;'19_Расчет_аналитики'!I1572,WeightedMinAge20),MAX(CapacityAge20*'01_Вводные'!$B$218*'19_Расчет_аналитики'!I1572,MeanMinAge20)))</f>
        <v/>
      </c>
      <c r="J1523">
        <f>IF(OR(('06_Сеть_и_дети'!J72-'06_Сеть_и_дети'!J100)=0,20&lt;='01_Вводные'!$B$297),0,('06_Сеть_и_дети'!J72-'06_Сеть_и_дети'!J100)*IF('01_Вводные'!$B$239="Да",MeanMinAge20+'19_Расчет_аналитики'!J1572*SUMIF(ThresholdAge20,"&lt;"&amp;'19_Расчет_аналитики'!J1572,WeightedRevAge20)-SUMIF(ThresholdAge20,"&lt;"&amp;'19_Расчет_аналитики'!J1572,WeightedMinAge20),MAX(CapacityAge20*'01_Вводные'!$B$218*'19_Расчет_аналитики'!J1572,MeanMinAge20)))</f>
        <v/>
      </c>
      <c r="K1523">
        <f>IF(OR(('06_Сеть_и_дети'!K72-'06_Сеть_и_дети'!K100)=0,20&lt;='01_Вводные'!$B$297),0,('06_Сеть_и_дети'!K72-'06_Сеть_и_дети'!K100)*IF('01_Вводные'!$B$239="Да",MeanMinAge20+'19_Расчет_аналитики'!K1572*SUMIF(ThresholdAge20,"&lt;"&amp;'19_Расчет_аналитики'!K1572,WeightedRevAge20)-SUMIF(ThresholdAge20,"&lt;"&amp;'19_Расчет_аналитики'!K1572,WeightedMinAge20),MAX(CapacityAge20*'01_Вводные'!$B$218*'19_Расчет_аналитики'!K1572,MeanMinAge20)))</f>
        <v/>
      </c>
      <c r="L1523">
        <f>IF(OR(('06_Сеть_и_дети'!L72-'06_Сеть_и_дети'!L100)=0,20&lt;='01_Вводные'!$B$297),0,('06_Сеть_и_дети'!L72-'06_Сеть_и_дети'!L100)*IF('01_Вводные'!$B$239="Да",MeanMinAge20+'19_Расчет_аналитики'!L1572*SUMIF(ThresholdAge20,"&lt;"&amp;'19_Расчет_аналитики'!L1572,WeightedRevAge20)-SUMIF(ThresholdAge20,"&lt;"&amp;'19_Расчет_аналитики'!L1572,WeightedMinAge20),MAX(CapacityAge20*'01_Вводные'!$B$218*'19_Расчет_аналитики'!L1572,MeanMinAge20)))</f>
        <v/>
      </c>
      <c r="M1523">
        <f>IF(OR(('06_Сеть_и_дети'!M72-'06_Сеть_и_дети'!M100)=0,20&lt;='01_Вводные'!$B$297),0,('06_Сеть_и_дети'!M72-'06_Сеть_и_дети'!M100)*IF('01_Вводные'!$B$239="Да",MeanMinAge20+'19_Расчет_аналитики'!M1572*SUMIF(ThresholdAge20,"&lt;"&amp;'19_Расчет_аналитики'!M1572,WeightedRevAge20)-SUMIF(ThresholdAge20,"&lt;"&amp;'19_Расчет_аналитики'!M1572,WeightedMinAge20),MAX(CapacityAge20*'01_Вводные'!$B$218*'19_Расчет_аналитики'!M1572,MeanMinAge20)))</f>
        <v/>
      </c>
      <c r="N1523">
        <f>IF(OR(('06_Сеть_и_дети'!N72-'06_Сеть_и_дети'!N100)=0,20&lt;='01_Вводные'!$B$297),0,('06_Сеть_и_дети'!N72-'06_Сеть_и_дети'!N100)*IF('01_Вводные'!$B$239="Да",MeanMinAge20+'19_Расчет_аналитики'!N1572*SUMIF(ThresholdAge20,"&lt;"&amp;'19_Расчет_аналитики'!N1572,WeightedRevAge20)-SUMIF(ThresholdAge20,"&lt;"&amp;'19_Расчет_аналитики'!N1572,WeightedMinAge20),MAX(CapacityAge20*'01_Вводные'!$B$218*'19_Расчет_аналитики'!N1572,MeanMinAge20)))</f>
        <v/>
      </c>
      <c r="O1523">
        <f>IF(OR(('06_Сеть_и_дети'!O72-'06_Сеть_и_дети'!O100)=0,20&lt;='01_Вводные'!$B$297),0,('06_Сеть_и_дети'!O72-'06_Сеть_и_дети'!O100)*IF('01_Вводные'!$B$239="Да",MeanMinAge20+'19_Расчет_аналитики'!O1572*SUMIF(ThresholdAge20,"&lt;"&amp;'19_Расчет_аналитики'!O1572,WeightedRevAge20)-SUMIF(ThresholdAge20,"&lt;"&amp;'19_Расчет_аналитики'!O1572,WeightedMinAge20),MAX(CapacityAge20*'01_Вводные'!$B$218*'19_Расчет_аналитики'!O1572,MeanMinAge20)))</f>
        <v/>
      </c>
      <c r="P1523">
        <f>IF(OR(('06_Сеть_и_дети'!P72-'06_Сеть_и_дети'!P100)=0,20&lt;='01_Вводные'!$B$297),0,('06_Сеть_и_дети'!P72-'06_Сеть_и_дети'!P100)*IF('01_Вводные'!$B$239="Да",MeanMinAge20+'19_Расчет_аналитики'!P1572*SUMIF(ThresholdAge20,"&lt;"&amp;'19_Расчет_аналитики'!P1572,WeightedRevAge20)-SUMIF(ThresholdAge20,"&lt;"&amp;'19_Расчет_аналитики'!P1572,WeightedMinAge20),MAX(CapacityAge20*'01_Вводные'!$B$218*'19_Расчет_аналитики'!P1572,MeanMinAge20)))</f>
        <v/>
      </c>
      <c r="Q1523">
        <f>IF(OR(('06_Сеть_и_дети'!Q72-'06_Сеть_и_дети'!Q100)=0,20&lt;='01_Вводные'!$B$297),0,('06_Сеть_и_дети'!Q72-'06_Сеть_и_дети'!Q100)*IF('01_Вводные'!$B$239="Да",MeanMinAge20+'19_Расчет_аналитики'!Q1572*SUMIF(ThresholdAge20,"&lt;"&amp;'19_Расчет_аналитики'!Q1572,WeightedRevAge20)-SUMIF(ThresholdAge20,"&lt;"&amp;'19_Расчет_аналитики'!Q1572,WeightedMinAge20),MAX(CapacityAge20*'01_Вводные'!$B$218*'19_Расчет_аналитики'!Q1572,MeanMinAge20)))</f>
        <v/>
      </c>
      <c r="R1523">
        <f>IF(OR(('06_Сеть_и_дети'!R72-'06_Сеть_и_дети'!R100)=0,20&lt;='01_Вводные'!$B$297),0,('06_Сеть_и_дети'!R72-'06_Сеть_и_дети'!R100)*IF('01_Вводные'!$B$239="Да",MeanMinAge20+'19_Расчет_аналитики'!R1572*SUMIF(ThresholdAge20,"&lt;"&amp;'19_Расчет_аналитики'!R1572,WeightedRevAge20)-SUMIF(ThresholdAge20,"&lt;"&amp;'19_Расчет_аналитики'!R1572,WeightedMinAge20),MAX(CapacityAge20*'01_Вводные'!$B$218*'19_Расчет_аналитики'!R1572,MeanMinAge20)))</f>
        <v/>
      </c>
      <c r="S1523">
        <f>IF(OR(('06_Сеть_и_дети'!S72-'06_Сеть_и_дети'!S100)=0,20&lt;='01_Вводные'!$B$297),0,('06_Сеть_и_дети'!S72-'06_Сеть_и_дети'!S100)*IF('01_Вводные'!$B$239="Да",MeanMinAge20+'19_Расчет_аналитики'!S1572*SUMIF(ThresholdAge20,"&lt;"&amp;'19_Расчет_аналитики'!S1572,WeightedRevAge20)-SUMIF(ThresholdAge20,"&lt;"&amp;'19_Расчет_аналитики'!S1572,WeightedMinAge20),MAX(CapacityAge20*'01_Вводные'!$B$218*'19_Расчет_аналитики'!S1572,MeanMinAge20)))</f>
        <v/>
      </c>
      <c r="T1523">
        <f>IF(OR(('06_Сеть_и_дети'!T72-'06_Сеть_и_дети'!T100)=0,20&lt;='01_Вводные'!$B$297),0,('06_Сеть_и_дети'!T72-'06_Сеть_и_дети'!T100)*IF('01_Вводные'!$B$239="Да",MeanMinAge20+'19_Расчет_аналитики'!T1572*SUMIF(ThresholdAge20,"&lt;"&amp;'19_Расчет_аналитики'!T1572,WeightedRevAge20)-SUMIF(ThresholdAge20,"&lt;"&amp;'19_Расчет_аналитики'!T1572,WeightedMinAge20),MAX(CapacityAge20*'01_Вводные'!$B$218*'19_Расчет_аналитики'!T1572,MeanMinAge20)))</f>
        <v/>
      </c>
      <c r="U1523">
        <f>IF(OR(('19_Расчет_аналитики'!U1439-'19_Расчет_аналитики'!U1467)=0,20&lt;='01_Вводные'!$B$297),0,('19_Расчет_аналитики'!U1439-'19_Расчет_аналитики'!U1467)*IF('01_Вводные'!$B$239="Да",MeanMinAge20+'19_Расчет_аналитики'!U1572*SUMIF(ThresholdAge20,"&lt;"&amp;'19_Расчет_аналитики'!U1572,WeightedRevAge20)-SUMIF(ThresholdAge20,"&lt;"&amp;'19_Расчет_аналитики'!U1572,WeightedMinAge20),MAX(CapacityAge20*'01_Вводные'!$B$218*'19_Расчет_аналитики'!U1572,MeanMinAge20)))</f>
        <v/>
      </c>
      <c r="V1523">
        <f>IF(OR(('19_Расчет_аналитики'!V1439-'19_Расчет_аналитики'!V1467)=0,20&lt;='01_Вводные'!$B$297),0,('19_Расчет_аналитики'!V1439-'19_Расчет_аналитики'!V1467)*IF('01_Вводные'!$B$239="Да",MeanMinAge20+'19_Расчет_аналитики'!V1572*SUMIF(ThresholdAge20,"&lt;"&amp;'19_Расчет_аналитики'!V1572,WeightedRevAge20)-SUMIF(ThresholdAge20,"&lt;"&amp;'19_Расчет_аналитики'!V1572,WeightedMinAge20),MAX(CapacityAge20*'01_Вводные'!$B$218*'19_Расчет_аналитики'!V1572,MeanMinAge20)))</f>
        <v/>
      </c>
      <c r="W1523">
        <f>IF(OR(('19_Расчет_аналитики'!W1439-'19_Расчет_аналитики'!W1467)=0,20&lt;='01_Вводные'!$B$297),0,('19_Расчет_аналитики'!W1439-'19_Расчет_аналитики'!W1467)*IF('01_Вводные'!$B$239="Да",MeanMinAge20+'19_Расчет_аналитики'!W1572*SUMIF(ThresholdAge20,"&lt;"&amp;'19_Расчет_аналитики'!W1572,WeightedRevAge20)-SUMIF(ThresholdAge20,"&lt;"&amp;'19_Расчет_аналитики'!W1572,WeightedMinAge20),MAX(CapacityAge20*'01_Вводные'!$B$218*'19_Расчет_аналитики'!W1572,MeanMinAge20)))</f>
        <v/>
      </c>
      <c r="X1523">
        <f>IF(OR(('19_Расчет_аналитики'!X1439-'19_Расчет_аналитики'!X1467)=0,20&lt;='01_Вводные'!$B$297),0,('19_Расчет_аналитики'!X1439-'19_Расчет_аналитики'!X1467)*IF('01_Вводные'!$B$239="Да",MeanMinAge20+'19_Расчет_аналитики'!X1572*SUMIF(ThresholdAge20,"&lt;"&amp;'19_Расчет_аналитики'!X1572,WeightedRevAge20)-SUMIF(ThresholdAge20,"&lt;"&amp;'19_Расчет_аналитики'!X1572,WeightedMinAge20),MAX(CapacityAge20*'01_Вводные'!$B$218*'19_Расчет_аналитики'!X1572,MeanMinAge20)))</f>
        <v/>
      </c>
      <c r="Y1523">
        <f>IF(OR(('19_Расчет_аналитики'!Y1439-'19_Расчет_аналитики'!Y1467)=0,20&lt;='01_Вводные'!$B$297),0,('19_Расчет_аналитики'!Y1439-'19_Расчет_аналитики'!Y1467)*IF('01_Вводные'!$B$239="Да",MeanMinAge20+'19_Расчет_аналитики'!Y1572*SUMIF(ThresholdAge20,"&lt;"&amp;'19_Расчет_аналитики'!Y1572,WeightedRevAge20)-SUMIF(ThresholdAge20,"&lt;"&amp;'19_Расчет_аналитики'!Y1572,WeightedMinAge20),MAX(CapacityAge20*'01_Вводные'!$B$218*'19_Расчет_аналитики'!Y1572,MeanMinAge20)))</f>
        <v/>
      </c>
      <c r="Z1523">
        <f>IF(OR(('19_Расчет_аналитики'!Z1439-'19_Расчет_аналитики'!Z1467)=0,20&lt;='01_Вводные'!$B$297),0,('19_Расчет_аналитики'!Z1439-'19_Расчет_аналитики'!Z1467)*IF('01_Вводные'!$B$239="Да",MeanMinAge20+'19_Расчет_аналитики'!Z1572*SUMIF(ThresholdAge20,"&lt;"&amp;'19_Расчет_аналитики'!Z1572,WeightedRevAge20)-SUMIF(ThresholdAge20,"&lt;"&amp;'19_Расчет_аналитики'!Z1572,WeightedMinAge20),MAX(CapacityAge20*'01_Вводные'!$B$218*'19_Расчет_аналитики'!Z1572,MeanMinAge20)))</f>
        <v/>
      </c>
      <c r="AA1523">
        <f>IF(OR(('19_Расчет_аналитики'!AA1439-'19_Расчет_аналитики'!AA1467)=0,20&lt;='01_Вводные'!$B$297),0,('19_Расчет_аналитики'!AA1439-'19_Расчет_аналитики'!AA1467)*IF('01_Вводные'!$B$239="Да",MeanMinAge20+'19_Расчет_аналитики'!AA1572*SUMIF(ThresholdAge20,"&lt;"&amp;'19_Расчет_аналитики'!AA1572,WeightedRevAge20)-SUMIF(ThresholdAge20,"&lt;"&amp;'19_Расчет_аналитики'!AA1572,WeightedMinAge20),MAX(CapacityAge20*'01_Вводные'!$B$218*'19_Расчет_аналитики'!AA1572,MeanMinAge20)))</f>
        <v/>
      </c>
      <c r="AB1523">
        <f>IF(OR(('19_Расчет_аналитики'!AB1439-'19_Расчет_аналитики'!AB1467)=0,20&lt;='01_Вводные'!$B$297),0,('19_Расчет_аналитики'!AB1439-'19_Расчет_аналитики'!AB1467)*IF('01_Вводные'!$B$239="Да",MeanMinAge20+'19_Расчет_аналитики'!AB1572*SUMIF(ThresholdAge20,"&lt;"&amp;'19_Расчет_аналитики'!AB1572,WeightedRevAge20)-SUMIF(ThresholdAge20,"&lt;"&amp;'19_Расчет_аналитики'!AB1572,WeightedMinAge20),MAX(CapacityAge20*'01_Вводные'!$B$218*'19_Расчет_аналитики'!AB1572,MeanMinAge20)))</f>
        <v/>
      </c>
      <c r="AC1523">
        <f>IF(OR(('19_Расчет_аналитики'!AC1439-'19_Расчет_аналитики'!AC1467)=0,20&lt;='01_Вводные'!$B$297),0,('19_Расчет_аналитики'!AC1439-'19_Расчет_аналитики'!AC1467)*IF('01_Вводные'!$B$239="Да",MeanMinAge20+'19_Расчет_аналитики'!AC1572*SUMIF(ThresholdAge20,"&lt;"&amp;'19_Расчет_аналитики'!AC1572,WeightedRevAge20)-SUMIF(ThresholdAge20,"&lt;"&amp;'19_Расчет_аналитики'!AC1572,WeightedMinAge20),MAX(CapacityAge20*'01_Вводные'!$B$218*'19_Расчет_аналитики'!AC1572,MeanMinAge20)))</f>
        <v/>
      </c>
      <c r="AD1523">
        <f>IF(OR(('19_Расчет_аналитики'!AD1439-'19_Расчет_аналитики'!AD1467)=0,20&lt;='01_Вводные'!$B$297),0,('19_Расчет_аналитики'!AD1439-'19_Расчет_аналитики'!AD1467)*IF('01_Вводные'!$B$239="Да",MeanMinAge20+'19_Расчет_аналитики'!AD1572*SUMIF(ThresholdAge20,"&lt;"&amp;'19_Расчет_аналитики'!AD1572,WeightedRevAge20)-SUMIF(ThresholdAge20,"&lt;"&amp;'19_Расчет_аналитики'!AD1572,WeightedMinAge20),MAX(CapacityAge20*'01_Вводные'!$B$218*'19_Расчет_аналитики'!AD1572,MeanMinAge20)))</f>
        <v/>
      </c>
      <c r="AE1523">
        <f>IF(OR(('19_Расчет_аналитики'!AE1439-'19_Расчет_аналитики'!AE1467)=0,20&lt;='01_Вводные'!$B$297),0,('19_Расчет_аналитики'!AE1439-'19_Расчет_аналитики'!AE1467)*IF('01_Вводные'!$B$239="Да",MeanMinAge20+'19_Расчет_аналитики'!AE1572*SUMIF(ThresholdAge20,"&lt;"&amp;'19_Расчет_аналитики'!AE1572,WeightedRevAge20)-SUMIF(ThresholdAge20,"&lt;"&amp;'19_Расчет_аналитики'!AE1572,WeightedMinAge20),MAX(CapacityAge20*'01_Вводные'!$B$218*'19_Расчет_аналитики'!AE1572,MeanMinAge20)))</f>
        <v/>
      </c>
      <c r="AF1523">
        <f>IF(OR(('19_Расчет_аналитики'!AF1439-'19_Расчет_аналитики'!AF1467)=0,20&lt;='01_Вводные'!$B$297),0,('19_Расчет_аналитики'!AF1439-'19_Расчет_аналитики'!AF1467)*IF('01_Вводные'!$B$239="Да",MeanMinAge20+'19_Расчет_аналитики'!AF1572*SUMIF(ThresholdAge20,"&lt;"&amp;'19_Расчет_аналитики'!AF1572,WeightedRevAge20)-SUMIF(ThresholdAge20,"&lt;"&amp;'19_Расчет_аналитики'!AF1572,WeightedMinAge20),MAX(CapacityAge20*'01_Вводные'!$B$218*'19_Расчет_аналитики'!AF1572,MeanMinAge20)))</f>
        <v/>
      </c>
      <c r="AG1523">
        <f>IF(OR(('19_Расчет_аналитики'!AG1439-'19_Расчет_аналитики'!AG1467)=0,20&lt;='01_Вводные'!$B$297),0,('19_Расчет_аналитики'!AG1439-'19_Расчет_аналитики'!AG1467)*IF('01_Вводные'!$B$239="Да",MeanMinAge20+'19_Расчет_аналитики'!AG1572*SUMIF(ThresholdAge20,"&lt;"&amp;'19_Расчет_аналитики'!AG1572,WeightedRevAge20)-SUMIF(ThresholdAge20,"&lt;"&amp;'19_Расчет_аналитики'!AG1572,WeightedMinAge20),MAX(CapacityAge20*'01_Вводные'!$B$218*'19_Расчет_аналитики'!AG1572,MeanMinAge20)))</f>
        <v/>
      </c>
      <c r="AH1523">
        <f>IF(OR(('19_Расчет_аналитики'!AH1439-'19_Расчет_аналитики'!AH1467)=0,20&lt;='01_Вводные'!$B$297),0,('19_Расчет_аналитики'!AH1439-'19_Расчет_аналитики'!AH1467)*IF('01_Вводные'!$B$239="Да",MeanMinAge20+'19_Расчет_аналитики'!AH1572*SUMIF(ThresholdAge20,"&lt;"&amp;'19_Расчет_аналитики'!AH1572,WeightedRevAge20)-SUMIF(ThresholdAge20,"&lt;"&amp;'19_Расчет_аналитики'!AH1572,WeightedMinAge20),MAX(CapacityAge20*'01_Вводные'!$B$218*'19_Расчет_аналитики'!AH1572,MeanMinAge20)))</f>
        <v/>
      </c>
      <c r="AI1523">
        <f>IF(OR(('19_Расчет_аналитики'!AI1439-'19_Расчет_аналитики'!AI1467)=0,20&lt;='01_Вводные'!$B$297),0,('19_Расчет_аналитики'!AI1439-'19_Расчет_аналитики'!AI1467)*IF('01_Вводные'!$B$239="Да",MeanMinAge20+'19_Расчет_аналитики'!AI1572*SUMIF(ThresholdAge20,"&lt;"&amp;'19_Расчет_аналитики'!AI1572,WeightedRevAge20)-SUMIF(ThresholdAge20,"&lt;"&amp;'19_Расчет_аналитики'!AI1572,WeightedMinAge20),MAX(CapacityAge20*'01_Вводные'!$B$218*'19_Расчет_аналитики'!AI1572,MeanMinAge20)))</f>
        <v/>
      </c>
      <c r="AJ1523">
        <f>IF(OR(('19_Расчет_аналитики'!AJ1439-'19_Расчет_аналитики'!AJ1467)=0,20&lt;='01_Вводные'!$B$297),0,('19_Расчет_аналитики'!AJ1439-'19_Расчет_аналитики'!AJ1467)*IF('01_Вводные'!$B$239="Да",MeanMinAge20+'19_Расчет_аналитики'!AJ1572*SUMIF(ThresholdAge20,"&lt;"&amp;'19_Расчет_аналитики'!AJ1572,WeightedRevAge20)-SUMIF(ThresholdAge20,"&lt;"&amp;'19_Расчет_аналитики'!AJ1572,WeightedMinAge20),MAX(CapacityAge20*'01_Вводные'!$B$218*'19_Расчет_аналитики'!AJ1572,MeanMinAge20)))</f>
        <v/>
      </c>
      <c r="AK1523">
        <f>IF(OR(('19_Расчет_аналитики'!AK1439-'19_Расчет_аналитики'!AK1467)=0,20&lt;='01_Вводные'!$B$297),0,('19_Расчет_аналитики'!AK1439-'19_Расчет_аналитики'!AK1467)*IF('01_Вводные'!$B$239="Да",MeanMinAge20+'19_Расчет_аналитики'!AK1572*SUMIF(ThresholdAge20,"&lt;"&amp;'19_Расчет_аналитики'!AK1572,WeightedRevAge20)-SUMIF(ThresholdAge20,"&lt;"&amp;'19_Расчет_аналитики'!AK1572,WeightedMinAge20),MAX(CapacityAge20*'01_Вводные'!$B$218*'19_Расчет_аналитики'!AK1572,MeanMinAge20)))</f>
        <v/>
      </c>
      <c r="AL1523">
        <f>IF(OR(('19_Расчет_аналитики'!AL1439-'19_Расчет_аналитики'!AL1467)=0,20&lt;='01_Вводные'!$B$297),0,('19_Расчет_аналитики'!AL1439-'19_Расчет_аналитики'!AL1467)*IF('01_Вводные'!$B$239="Да",MeanMinAge20+'19_Расчет_аналитики'!AL1572*SUMIF(ThresholdAge20,"&lt;"&amp;'19_Расчет_аналитики'!AL1572,WeightedRevAge20)-SUMIF(ThresholdAge20,"&lt;"&amp;'19_Расчет_аналитики'!AL1572,WeightedMinAge20),MAX(CapacityAge20*'01_Вводные'!$B$218*'19_Расчет_аналитики'!AL1572,MeanMinAge20)))</f>
        <v/>
      </c>
      <c r="AM1523">
        <f>IF(OR(('19_Расчет_аналитики'!AM1439-'19_Расчет_аналитики'!AM1467)=0,20&lt;='01_Вводные'!$B$297),0,('19_Расчет_аналитики'!AM1439-'19_Расчет_аналитики'!AM1467)*IF('01_Вводные'!$B$239="Да",MeanMinAge20+'19_Расчет_аналитики'!AM1572*SUMIF(ThresholdAge20,"&lt;"&amp;'19_Расчет_аналитики'!AM1572,WeightedRevAge20)-SUMIF(ThresholdAge20,"&lt;"&amp;'19_Расчет_аналитики'!AM1572,WeightedMinAge20),MAX(CapacityAge20*'01_Вводные'!$B$218*'19_Расчет_аналитики'!AM1572,MeanMinAge20)))</f>
        <v/>
      </c>
      <c r="AN1523">
        <f>IF(OR(('19_Расчет_аналитики'!AN1439-'19_Расчет_аналитики'!AN1467)=0,20&lt;='01_Вводные'!$B$297),0,('19_Расчет_аналитики'!AN1439-'19_Расчет_аналитики'!AN1467)*IF('01_Вводные'!$B$239="Да",MeanMinAge20+'19_Расчет_аналитики'!AN1572*SUMIF(ThresholdAge20,"&lt;"&amp;'19_Расчет_аналитики'!AN1572,WeightedRevAge20)-SUMIF(ThresholdAge20,"&lt;"&amp;'19_Расчет_аналитики'!AN1572,WeightedMinAge20),MAX(CapacityAge20*'01_Вводные'!$B$218*'19_Расчет_аналитики'!AN1572,MeanMinAge20)))</f>
        <v/>
      </c>
      <c r="AO1523">
        <f>IF(OR(('19_Расчет_аналитики'!AO1439-'19_Расчет_аналитики'!AO1467)=0,20&lt;='01_Вводные'!$B$297),0,('19_Расчет_аналитики'!AO1439-'19_Расчет_аналитики'!AO1467)*IF('01_Вводные'!$B$239="Да",MeanMinAge20+'19_Расчет_аналитики'!AO1572*SUMIF(ThresholdAge20,"&lt;"&amp;'19_Расчет_аналитики'!AO1572,WeightedRevAge20)-SUMIF(ThresholdAge20,"&lt;"&amp;'19_Расчет_аналитики'!AO1572,WeightedMinAge20),MAX(CapacityAge20*'01_Вводные'!$B$218*'19_Расчет_аналитики'!AO1572,MeanMinAge20)))</f>
        <v/>
      </c>
      <c r="AP1523">
        <f>IF(OR(('19_Расчет_аналитики'!AP1439-'19_Расчет_аналитики'!AP1467)=0,20&lt;='01_Вводные'!$B$297),0,('19_Расчет_аналитики'!AP1439-'19_Расчет_аналитики'!AP1467)*IF('01_Вводные'!$B$239="Да",MeanMinAge20+'19_Расчет_аналитики'!AP1572*SUMIF(ThresholdAge20,"&lt;"&amp;'19_Расчет_аналитики'!AP1572,WeightedRevAge20)-SUMIF(ThresholdAge20,"&lt;"&amp;'19_Расчет_аналитики'!AP1572,WeightedMinAge20),MAX(CapacityAge20*'01_Вводные'!$B$218*'19_Расчет_аналитики'!AP1572,MeanMinAge20)))</f>
        <v/>
      </c>
      <c r="AQ1523">
        <f>IF(OR(('19_Расчет_аналитики'!AQ1439-'19_Расчет_аналитики'!AQ1467)=0,20&lt;='01_Вводные'!$B$297),0,('19_Расчет_аналитики'!AQ1439-'19_Расчет_аналитики'!AQ1467)*IF('01_Вводные'!$B$239="Да",MeanMinAge20+'19_Расчет_аналитики'!AQ1572*SUMIF(ThresholdAge20,"&lt;"&amp;'19_Расчет_аналитики'!AQ1572,WeightedRevAge20)-SUMIF(ThresholdAge20,"&lt;"&amp;'19_Расчет_аналитики'!AQ1572,WeightedMinAge20),MAX(CapacityAge20*'01_Вводные'!$B$218*'19_Расчет_аналитики'!AQ1572,MeanMinAge20)))</f>
        <v/>
      </c>
      <c r="AR1523">
        <f>IF(OR(('19_Расчет_аналитики'!AR1439-'19_Расчет_аналитики'!AR1467)=0,20&lt;='01_Вводные'!$B$297),0,('19_Расчет_аналитики'!AR1439-'19_Расчет_аналитики'!AR1467)*IF('01_Вводные'!$B$239="Да",MeanMinAge20+'19_Расчет_аналитики'!AR1572*SUMIF(ThresholdAge20,"&lt;"&amp;'19_Расчет_аналитики'!AR1572,WeightedRevAge20)-SUMIF(ThresholdAge20,"&lt;"&amp;'19_Расчет_аналитики'!AR1572,WeightedMinAge20),MAX(CapacityAge20*'01_Вводные'!$B$218*'19_Расчет_аналитики'!AR1572,MeanMinAge20)))</f>
        <v/>
      </c>
      <c r="AS1523">
        <f>IF(OR(('19_Расчет_аналитики'!AS1439-'19_Расчет_аналитики'!AS1467)=0,20&lt;='01_Вводные'!$B$297),0,('19_Расчет_аналитики'!AS1439-'19_Расчет_аналитики'!AS1467)*IF('01_Вводные'!$B$239="Да",MeanMinAge20+'19_Расчет_аналитики'!AS1572*SUMIF(ThresholdAge20,"&lt;"&amp;'19_Расчет_аналитики'!AS1572,WeightedRevAge20)-SUMIF(ThresholdAge20,"&lt;"&amp;'19_Расчет_аналитики'!AS1572,WeightedMinAge20),MAX(CapacityAge20*'01_Вводные'!$B$218*'19_Расчет_аналитики'!AS1572,MeanMinAge20)))</f>
        <v/>
      </c>
      <c r="AT1523">
        <f>IF(OR(('19_Расчет_аналитики'!AT1439-'19_Расчет_аналитики'!AT1467)=0,20&lt;='01_Вводные'!$B$297),0,('19_Расчет_аналитики'!AT1439-'19_Расчет_аналитики'!AT1467)*IF('01_Вводные'!$B$239="Да",MeanMinAge20+'19_Расчет_аналитики'!AT1572*SUMIF(ThresholdAge20,"&lt;"&amp;'19_Расчет_аналитики'!AT1572,WeightedRevAge20)-SUMIF(ThresholdAge20,"&lt;"&amp;'19_Расчет_аналитики'!AT1572,WeightedMinAge20),MAX(CapacityAge20*'01_Вводные'!$B$218*'19_Расчет_аналитики'!AT1572,MeanMinAge20)))</f>
        <v/>
      </c>
      <c r="AU1523">
        <f>IF(OR(('19_Расчет_аналитики'!AU1439-'19_Расчет_аналитики'!AU1467)=0,20&lt;='01_Вводные'!$B$297),0,('19_Расчет_аналитики'!AU1439-'19_Расчет_аналитики'!AU1467)*IF('01_Вводные'!$B$239="Да",MeanMinAge20+'19_Расчет_аналитики'!AU1572*SUMIF(ThresholdAge20,"&lt;"&amp;'19_Расчет_аналитики'!AU1572,WeightedRevAge20)-SUMIF(ThresholdAge20,"&lt;"&amp;'19_Расчет_аналитики'!AU1572,WeightedMinAge20),MAX(CapacityAge20*'01_Вводные'!$B$218*'19_Расчет_аналитики'!AU1572,MeanMinAge20)))</f>
        <v/>
      </c>
      <c r="AV1523">
        <f>IF(OR(('19_Расчет_аналитики'!AV1439-'19_Расчет_аналитики'!AV1467)=0,20&lt;='01_Вводные'!$B$297),0,('19_Расчет_аналитики'!AV1439-'19_Расчет_аналитики'!AV1467)*IF('01_Вводные'!$B$239="Да",MeanMinAge20+'19_Расчет_аналитики'!AV1572*SUMIF(ThresholdAge20,"&lt;"&amp;'19_Расчет_аналитики'!AV1572,WeightedRevAge20)-SUMIF(ThresholdAge20,"&lt;"&amp;'19_Расчет_аналитики'!AV1572,WeightedMinAge20),MAX(CapacityAge20*'01_Вводные'!$B$218*'19_Расчет_аналитики'!AV1572,MeanMinAge20)))</f>
        <v/>
      </c>
      <c r="AW1523">
        <f>IF(OR(('19_Расчет_аналитики'!AW1439-'19_Расчет_аналитики'!AW1467)=0,20&lt;='01_Вводные'!$B$297),0,('19_Расчет_аналитики'!AW1439-'19_Расчет_аналитики'!AW1467)*IF('01_Вводные'!$B$239="Да",MeanMinAge20+'19_Расчет_аналитики'!AW1572*SUMIF(ThresholdAge20,"&lt;"&amp;'19_Расчет_аналитики'!AW1572,WeightedRevAge20)-SUMIF(ThresholdAge20,"&lt;"&amp;'19_Расчет_аналитики'!AW1572,WeightedMinAge20),MAX(CapacityAge20*'01_Вводные'!$B$218*'19_Расчет_аналитики'!AW1572,MeanMinAge20)))</f>
        <v/>
      </c>
      <c r="AX1523">
        <f>IF(OR(('19_Расчет_аналитики'!AX1439-'19_Расчет_аналитики'!AX1467)=0,20&lt;='01_Вводные'!$B$297),0,('19_Расчет_аналитики'!AX1439-'19_Расчет_аналитики'!AX1467)*IF('01_Вводные'!$B$239="Да",MeanMinAge20+'19_Расчет_аналитики'!AX1572*SUMIF(ThresholdAge20,"&lt;"&amp;'19_Расчет_аналитики'!AX1572,WeightedRevAge20)-SUMIF(ThresholdAge20,"&lt;"&amp;'19_Расчет_аналитики'!AX1572,WeightedMinAge20),MAX(CapacityAge20*'01_Вводные'!$B$218*'19_Расчет_аналитики'!AX1572,MeanMinAge20)))</f>
        <v/>
      </c>
      <c r="AY1523">
        <f>IF(OR(('19_Расчет_аналитики'!AY1439-'19_Расчет_аналитики'!AY1467)=0,20&lt;='01_Вводные'!$B$297),0,('19_Расчет_аналитики'!AY1439-'19_Расчет_аналитики'!AY1467)*IF('01_Вводные'!$B$239="Да",MeanMinAge20+'19_Расчет_аналитики'!AY1572*SUMIF(ThresholdAge20,"&lt;"&amp;'19_Расчет_аналитики'!AY1572,WeightedRevAge20)-SUMIF(ThresholdAge20,"&lt;"&amp;'19_Расчет_аналитики'!AY1572,WeightedMinAge20),MAX(CapacityAge20*'01_Вводные'!$B$218*'19_Расчет_аналитики'!AY1572,MeanMinAge20)))</f>
        <v/>
      </c>
      <c r="AZ1523">
        <f>IF(OR(('19_Расчет_аналитики'!AZ1439-'19_Расчет_аналитики'!AZ1467)=0,20&lt;='01_Вводные'!$B$297),0,('19_Расчет_аналитики'!AZ1439-'19_Расчет_аналитики'!AZ1467)*IF('01_Вводные'!$B$239="Да",MeanMinAge20+'19_Расчет_аналитики'!AZ1572*SUMIF(ThresholdAge20,"&lt;"&amp;'19_Расчет_аналитики'!AZ1572,WeightedRevAge20)-SUMIF(ThresholdAge20,"&lt;"&amp;'19_Расчет_аналитики'!AZ1572,WeightedMinAge20),MAX(CapacityAge20*'01_Вводные'!$B$218*'19_Расчет_аналитики'!AZ1572,MeanMinAge20)))</f>
        <v/>
      </c>
      <c r="BA1523">
        <f>IF(OR(('19_Расчет_аналитики'!BA1439-'19_Расчет_аналитики'!BA1467)=0,20&lt;='01_Вводные'!$B$297),0,('19_Расчет_аналитики'!BA1439-'19_Расчет_аналитики'!BA1467)*IF('01_Вводные'!$B$239="Да",MeanMinAge20+'19_Расчет_аналитики'!BA1572*SUMIF(ThresholdAge20,"&lt;"&amp;'19_Расчет_аналитики'!BA1572,WeightedRevAge20)-SUMIF(ThresholdAge20,"&lt;"&amp;'19_Расчет_аналитики'!BA1572,WeightedMinAge20),MAX(CapacityAge20*'01_Вводные'!$B$218*'19_Расчет_аналитики'!BA1572,MeanMinAge20)))</f>
        <v/>
      </c>
      <c r="BB1523">
        <f>IF(OR(('19_Расчет_аналитики'!BB1439-'19_Расчет_аналитики'!BB1467)=0,20&lt;='01_Вводные'!$B$297),0,('19_Расчет_аналитики'!BB1439-'19_Расчет_аналитики'!BB1467)*IF('01_Вводные'!$B$239="Да",MeanMinAge20+'19_Расчет_аналитики'!BB1572*SUMIF(ThresholdAge20,"&lt;"&amp;'19_Расчет_аналитики'!BB1572,WeightedRevAge20)-SUMIF(ThresholdAge20,"&lt;"&amp;'19_Расчет_аналитики'!BB1572,WeightedMinAge20),MAX(CapacityAge20*'01_Вводные'!$B$218*'19_Расчет_аналитики'!BB1572,MeanMinAge20)))</f>
        <v/>
      </c>
      <c r="BC1523">
        <f>IF(OR(('19_Расчет_аналитики'!BC1439-'19_Расчет_аналитики'!BC1467)=0,20&lt;='01_Вводные'!$B$297),0,('19_Расчет_аналитики'!BC1439-'19_Расчет_аналитики'!BC1467)*IF('01_Вводные'!$B$239="Да",MeanMinAge20+'19_Расчет_аналитики'!BC1572*SUMIF(ThresholdAge20,"&lt;"&amp;'19_Расчет_аналитики'!BC1572,WeightedRevAge20)-SUMIF(ThresholdAge20,"&lt;"&amp;'19_Расчет_аналитики'!BC1572,WeightedMinAge20),MAX(CapacityAge20*'01_Вводные'!$B$218*'19_Расчет_аналитики'!BC1572,MeanMinAge20)))</f>
        <v/>
      </c>
      <c r="BD1523">
        <f>IF(OR(('19_Расчет_аналитики'!BD1439-'19_Расчет_аналитики'!BD1467)=0,20&lt;='01_Вводные'!$B$297),0,('19_Расчет_аналитики'!BD1439-'19_Расчет_аналитики'!BD1467)*IF('01_Вводные'!$B$239="Да",MeanMinAge20+'19_Расчет_аналитики'!BD1572*SUMIF(ThresholdAge20,"&lt;"&amp;'19_Расчет_аналитики'!BD1572,WeightedRevAge20)-SUMIF(ThresholdAge20,"&lt;"&amp;'19_Расчет_аналитики'!BD1572,WeightedMinAge20),MAX(CapacityAge20*'01_Вводные'!$B$218*'19_Расчет_аналитики'!BD1572,MeanMinAge20)))</f>
        <v/>
      </c>
      <c r="BE1523">
        <f>IF(OR(('19_Расчет_аналитики'!BE1439-'19_Расчет_аналитики'!BE1467)=0,20&lt;='01_Вводные'!$B$297),0,('19_Расчет_аналитики'!BE1439-'19_Расчет_аналитики'!BE1467)*IF('01_Вводные'!$B$239="Да",MeanMinAge20+'19_Расчет_аналитики'!BE1572*SUMIF(ThresholdAge20,"&lt;"&amp;'19_Расчет_аналитики'!BE1572,WeightedRevAge20)-SUMIF(ThresholdAge20,"&lt;"&amp;'19_Расчет_аналитики'!BE1572,WeightedMinAge20),MAX(CapacityAge20*'01_Вводные'!$B$218*'19_Расчет_аналитики'!BE1572,MeanMinAge20)))</f>
        <v/>
      </c>
      <c r="BF1523">
        <f>IF(OR(('19_Расчет_аналитики'!BF1439-'19_Расчет_аналитики'!BF1467)=0,20&lt;='01_Вводные'!$B$297),0,('19_Расчет_аналитики'!BF1439-'19_Расчет_аналитики'!BF1467)*IF('01_Вводные'!$B$239="Да",MeanMinAge20+'19_Расчет_аналитики'!BF1572*SUMIF(ThresholdAge20,"&lt;"&amp;'19_Расчет_аналитики'!BF1572,WeightedRevAge20)-SUMIF(ThresholdAge20,"&lt;"&amp;'19_Расчет_аналитики'!BF1572,WeightedMinAge20),MAX(CapacityAge20*'01_Вводные'!$B$218*'19_Расчет_аналитики'!BF1572,MeanMinAge20)))</f>
        <v/>
      </c>
      <c r="BG1523">
        <f>IF(OR(('19_Расчет_аналитики'!BG1439-'19_Расчет_аналитики'!BG1467)=0,20&lt;='01_Вводные'!$B$297),0,('19_Расчет_аналитики'!BG1439-'19_Расчет_аналитики'!BG1467)*IF('01_Вводные'!$B$239="Да",MeanMinAge20+'19_Расчет_аналитики'!BG1572*SUMIF(ThresholdAge20,"&lt;"&amp;'19_Расчет_аналитики'!BG1572,WeightedRevAge20)-SUMIF(ThresholdAge20,"&lt;"&amp;'19_Расчет_аналитики'!BG1572,WeightedMinAge20),MAX(CapacityAge20*'01_Вводные'!$B$218*'19_Расчет_аналитики'!BG1572,MeanMinAge20)))</f>
        <v/>
      </c>
      <c r="BH1523">
        <f>IF(OR(('19_Расчет_аналитики'!BH1439-'19_Расчет_аналитики'!BH1467)=0,20&lt;='01_Вводные'!$B$297),0,('19_Расчет_аналитики'!BH1439-'19_Расчет_аналитики'!BH1467)*IF('01_Вводные'!$B$239="Да",MeanMinAge20+'19_Расчет_аналитики'!BH1572*SUMIF(ThresholdAge20,"&lt;"&amp;'19_Расчет_аналитики'!BH1572,WeightedRevAge20)-SUMIF(ThresholdAge20,"&lt;"&amp;'19_Расчет_аналитики'!BH1572,WeightedMinAge20),MAX(CapacityAge20*'01_Вводные'!$B$218*'19_Расчет_аналитики'!BH1572,MeanMinAge20)))</f>
        <v/>
      </c>
      <c r="BI1523">
        <f>IF(OR(('19_Расчет_аналитики'!BI1439-'19_Расчет_аналитики'!BI1467)=0,20&lt;='01_Вводные'!$B$297),0,('19_Расчет_аналитики'!BI1439-'19_Расчет_аналитики'!BI1467)*IF('01_Вводные'!$B$239="Да",MeanMinAge20+'19_Расчет_аналитики'!BI1572*SUMIF(ThresholdAge20,"&lt;"&amp;'19_Расчет_аналитики'!BI1572,WeightedRevAge20)-SUMIF(ThresholdAge20,"&lt;"&amp;'19_Расчет_аналитики'!BI1572,WeightedMinAge20),MAX(CapacityAge20*'01_Вводные'!$B$218*'19_Расчет_аналитики'!BI1572,MeanMinAge20)))</f>
        <v/>
      </c>
      <c r="BJ1523">
        <f>IF(OR(('19_Расчет_аналитики'!BJ1439-'19_Расчет_аналитики'!BJ1467)=0,20&lt;='01_Вводные'!$B$297),0,('19_Расчет_аналитики'!BJ1439-'19_Расчет_аналитики'!BJ1467)*IF('01_Вводные'!$B$239="Да",MeanMinAge20+'19_Расчет_аналитики'!BJ1572*SUMIF(ThresholdAge20,"&lt;"&amp;'19_Расчет_аналитики'!BJ1572,WeightedRevAge20)-SUMIF(ThresholdAge20,"&lt;"&amp;'19_Расчет_аналитики'!BJ1572,WeightedMinAge20),MAX(CapacityAge20*'01_Вводные'!$B$218*'19_Расчет_аналитики'!BJ1572,MeanMinAge20)))</f>
        <v/>
      </c>
      <c r="BK1523">
        <f>IF(OR(('19_Расчет_аналитики'!BK1439-'19_Расчет_аналитики'!BK1467)=0,20&lt;='01_Вводные'!$B$297),0,('19_Расчет_аналитики'!BK1439-'19_Расчет_аналитики'!BK1467)*IF('01_Вводные'!$B$239="Да",MeanMinAge20+'19_Расчет_аналитики'!BK1572*SUMIF(ThresholdAge20,"&lt;"&amp;'19_Расчет_аналитики'!BK1572,WeightedRevAge20)-SUMIF(ThresholdAge20,"&lt;"&amp;'19_Расчет_аналитики'!BK1572,WeightedMinAge20),MAX(CapacityAge20*'01_Вводные'!$B$218*'19_Расчет_аналитики'!BK1572,MeanMinAge20)))</f>
        <v/>
      </c>
      <c r="BL1523">
        <f>IF(OR(('19_Расчет_аналитики'!BL1439-'19_Расчет_аналитики'!BL1467)=0,20&lt;='01_Вводные'!$B$297),0,('19_Расчет_аналитики'!BL1439-'19_Расчет_аналитики'!BL1467)*IF('01_Вводные'!$B$239="Да",MeanMinAge20+'19_Расчет_аналитики'!BL1572*SUMIF(ThresholdAge20,"&lt;"&amp;'19_Расчет_аналитики'!BL1572,WeightedRevAge20)-SUMIF(ThresholdAge20,"&lt;"&amp;'19_Расчет_аналитики'!BL1572,WeightedMinAge20),MAX(CapacityAge20*'01_Вводные'!$B$218*'19_Расчет_аналитики'!BL1572,MeanMinAge20)))</f>
        <v/>
      </c>
      <c r="BM1523">
        <f>IF(OR(('19_Расчет_аналитики'!BM1439-'19_Расчет_аналитики'!BM1467)=0,20&lt;='01_Вводные'!$B$297),0,('19_Расчет_аналитики'!BM1439-'19_Расчет_аналитики'!BM1467)*IF('01_Вводные'!$B$239="Да",MeanMinAge20+'19_Расчет_аналитики'!BM1572*SUMIF(ThresholdAge20,"&lt;"&amp;'19_Расчет_аналитики'!BM1572,WeightedRevAge20)-SUMIF(ThresholdAge20,"&lt;"&amp;'19_Расчет_аналитики'!BM1572,WeightedMinAge20),MAX(CapacityAge20*'01_Вводные'!$B$218*'19_Расчет_аналитики'!BM1572,MeanMinAge20)))</f>
        <v/>
      </c>
      <c r="BN1523">
        <f>IF(OR(('19_Расчет_аналитики'!BN1439-'19_Расчет_аналитики'!BN1467)=0,20&lt;='01_Вводные'!$B$297),0,('19_Расчет_аналитики'!BN1439-'19_Расчет_аналитики'!BN1467)*IF('01_Вводные'!$B$239="Да",MeanMinAge20+'19_Расчет_аналитики'!BN1572*SUMIF(ThresholdAge20,"&lt;"&amp;'19_Расчет_аналитики'!BN1572,WeightedRevAge20)-SUMIF(ThresholdAge20,"&lt;"&amp;'19_Расчет_аналитики'!BN1572,WeightedMinAge20),MAX(CapacityAge20*'01_Вводные'!$B$218*'19_Расчет_аналитики'!BN1572,MeanMinAge20)))</f>
        <v/>
      </c>
      <c r="BO1523">
        <f>IF(OR(('19_Расчет_аналитики'!BO1439-'19_Расчет_аналитики'!BO1467)=0,20&lt;='01_Вводные'!$B$297),0,('19_Расчет_аналитики'!BO1439-'19_Расчет_аналитики'!BO1467)*IF('01_Вводные'!$B$239="Да",MeanMinAge20+'19_Расчет_аналитики'!BO1572*SUMIF(ThresholdAge20,"&lt;"&amp;'19_Расчет_аналитики'!BO1572,WeightedRevAge20)-SUMIF(ThresholdAge20,"&lt;"&amp;'19_Расчет_аналитики'!BO1572,WeightedMinAge20),MAX(CapacityAge20*'01_Вводные'!$B$218*'19_Расчет_аналитики'!BO1572,MeanMinAge20)))</f>
        <v/>
      </c>
    </row>
    <row r="1524">
      <c r="B1524">
        <f>IF(OR(('06_Сеть_и_дети'!B73-'06_Сеть_и_дети'!B101)=0,21&lt;='01_Вводные'!$B$297),0,('06_Сеть_и_дети'!B73-'06_Сеть_и_дети'!B101)*IF('01_Вводные'!$B$239="Да",MeanMinAge21+'19_Расчет_аналитики'!B1572*SUMIF(ThresholdAge21,"&lt;"&amp;'19_Расчет_аналитики'!B1572,WeightedRevAge21)-SUMIF(ThresholdAge21,"&lt;"&amp;'19_Расчет_аналитики'!B1572,WeightedMinAge21),MAX(CapacityAge21*'01_Вводные'!$B$218*'19_Расчет_аналитики'!B1572,MeanMinAge21)))</f>
        <v/>
      </c>
      <c r="C1524">
        <f>IF(OR(('06_Сеть_и_дети'!C73-'06_Сеть_и_дети'!C101)=0,21&lt;='01_Вводные'!$B$297),0,('06_Сеть_и_дети'!C73-'06_Сеть_и_дети'!C101)*IF('01_Вводные'!$B$239="Да",MeanMinAge21+'19_Расчет_аналитики'!C1572*SUMIF(ThresholdAge21,"&lt;"&amp;'19_Расчет_аналитики'!C1572,WeightedRevAge21)-SUMIF(ThresholdAge21,"&lt;"&amp;'19_Расчет_аналитики'!C1572,WeightedMinAge21),MAX(CapacityAge21*'01_Вводные'!$B$218*'19_Расчет_аналитики'!C1572,MeanMinAge21)))</f>
        <v/>
      </c>
      <c r="D1524">
        <f>IF(OR(('06_Сеть_и_дети'!D73-'06_Сеть_и_дети'!D101)=0,21&lt;='01_Вводные'!$B$297),0,('06_Сеть_и_дети'!D73-'06_Сеть_и_дети'!D101)*IF('01_Вводные'!$B$239="Да",MeanMinAge21+'19_Расчет_аналитики'!D1572*SUMIF(ThresholdAge21,"&lt;"&amp;'19_Расчет_аналитики'!D1572,WeightedRevAge21)-SUMIF(ThresholdAge21,"&lt;"&amp;'19_Расчет_аналитики'!D1572,WeightedMinAge21),MAX(CapacityAge21*'01_Вводные'!$B$218*'19_Расчет_аналитики'!D1572,MeanMinAge21)))</f>
        <v/>
      </c>
      <c r="E1524">
        <f>IF(OR(('06_Сеть_и_дети'!E73-'06_Сеть_и_дети'!E101)=0,21&lt;='01_Вводные'!$B$297),0,('06_Сеть_и_дети'!E73-'06_Сеть_и_дети'!E101)*IF('01_Вводные'!$B$239="Да",MeanMinAge21+'19_Расчет_аналитики'!E1572*SUMIF(ThresholdAge21,"&lt;"&amp;'19_Расчет_аналитики'!E1572,WeightedRevAge21)-SUMIF(ThresholdAge21,"&lt;"&amp;'19_Расчет_аналитики'!E1572,WeightedMinAge21),MAX(CapacityAge21*'01_Вводные'!$B$218*'19_Расчет_аналитики'!E1572,MeanMinAge21)))</f>
        <v/>
      </c>
      <c r="F1524">
        <f>IF(OR(('06_Сеть_и_дети'!F73-'06_Сеть_и_дети'!F101)=0,21&lt;='01_Вводные'!$B$297),0,('06_Сеть_и_дети'!F73-'06_Сеть_и_дети'!F101)*IF('01_Вводные'!$B$239="Да",MeanMinAge21+'19_Расчет_аналитики'!F1572*SUMIF(ThresholdAge21,"&lt;"&amp;'19_Расчет_аналитики'!F1572,WeightedRevAge21)-SUMIF(ThresholdAge21,"&lt;"&amp;'19_Расчет_аналитики'!F1572,WeightedMinAge21),MAX(CapacityAge21*'01_Вводные'!$B$218*'19_Расчет_аналитики'!F1572,MeanMinAge21)))</f>
        <v/>
      </c>
      <c r="G1524">
        <f>IF(OR(('06_Сеть_и_дети'!G73-'06_Сеть_и_дети'!G101)=0,21&lt;='01_Вводные'!$B$297),0,('06_Сеть_и_дети'!G73-'06_Сеть_и_дети'!G101)*IF('01_Вводные'!$B$239="Да",MeanMinAge21+'19_Расчет_аналитики'!G1572*SUMIF(ThresholdAge21,"&lt;"&amp;'19_Расчет_аналитики'!G1572,WeightedRevAge21)-SUMIF(ThresholdAge21,"&lt;"&amp;'19_Расчет_аналитики'!G1572,WeightedMinAge21),MAX(CapacityAge21*'01_Вводные'!$B$218*'19_Расчет_аналитики'!G1572,MeanMinAge21)))</f>
        <v/>
      </c>
      <c r="H1524">
        <f>IF(OR(('06_Сеть_и_дети'!H73-'06_Сеть_и_дети'!H101)=0,21&lt;='01_Вводные'!$B$297),0,('06_Сеть_и_дети'!H73-'06_Сеть_и_дети'!H101)*IF('01_Вводные'!$B$239="Да",MeanMinAge21+'19_Расчет_аналитики'!H1572*SUMIF(ThresholdAge21,"&lt;"&amp;'19_Расчет_аналитики'!H1572,WeightedRevAge21)-SUMIF(ThresholdAge21,"&lt;"&amp;'19_Расчет_аналитики'!H1572,WeightedMinAge21),MAX(CapacityAge21*'01_Вводные'!$B$218*'19_Расчет_аналитики'!H1572,MeanMinAge21)))</f>
        <v/>
      </c>
      <c r="I1524">
        <f>IF(OR(('06_Сеть_и_дети'!I73-'06_Сеть_и_дети'!I101)=0,21&lt;='01_Вводные'!$B$297),0,('06_Сеть_и_дети'!I73-'06_Сеть_и_дети'!I101)*IF('01_Вводные'!$B$239="Да",MeanMinAge21+'19_Расчет_аналитики'!I1572*SUMIF(ThresholdAge21,"&lt;"&amp;'19_Расчет_аналитики'!I1572,WeightedRevAge21)-SUMIF(ThresholdAge21,"&lt;"&amp;'19_Расчет_аналитики'!I1572,WeightedMinAge21),MAX(CapacityAge21*'01_Вводные'!$B$218*'19_Расчет_аналитики'!I1572,MeanMinAge21)))</f>
        <v/>
      </c>
      <c r="J1524">
        <f>IF(OR(('06_Сеть_и_дети'!J73-'06_Сеть_и_дети'!J101)=0,21&lt;='01_Вводные'!$B$297),0,('06_Сеть_и_дети'!J73-'06_Сеть_и_дети'!J101)*IF('01_Вводные'!$B$239="Да",MeanMinAge21+'19_Расчет_аналитики'!J1572*SUMIF(ThresholdAge21,"&lt;"&amp;'19_Расчет_аналитики'!J1572,WeightedRevAge21)-SUMIF(ThresholdAge21,"&lt;"&amp;'19_Расчет_аналитики'!J1572,WeightedMinAge21),MAX(CapacityAge21*'01_Вводные'!$B$218*'19_Расчет_аналитики'!J1572,MeanMinAge21)))</f>
        <v/>
      </c>
      <c r="K1524">
        <f>IF(OR(('06_Сеть_и_дети'!K73-'06_Сеть_и_дети'!K101)=0,21&lt;='01_Вводные'!$B$297),0,('06_Сеть_и_дети'!K73-'06_Сеть_и_дети'!K101)*IF('01_Вводные'!$B$239="Да",MeanMinAge21+'19_Расчет_аналитики'!K1572*SUMIF(ThresholdAge21,"&lt;"&amp;'19_Расчет_аналитики'!K1572,WeightedRevAge21)-SUMIF(ThresholdAge21,"&lt;"&amp;'19_Расчет_аналитики'!K1572,WeightedMinAge21),MAX(CapacityAge21*'01_Вводные'!$B$218*'19_Расчет_аналитики'!K1572,MeanMinAge21)))</f>
        <v/>
      </c>
      <c r="L1524">
        <f>IF(OR(('06_Сеть_и_дети'!L73-'06_Сеть_и_дети'!L101)=0,21&lt;='01_Вводные'!$B$297),0,('06_Сеть_и_дети'!L73-'06_Сеть_и_дети'!L101)*IF('01_Вводные'!$B$239="Да",MeanMinAge21+'19_Расчет_аналитики'!L1572*SUMIF(ThresholdAge21,"&lt;"&amp;'19_Расчет_аналитики'!L1572,WeightedRevAge21)-SUMIF(ThresholdAge21,"&lt;"&amp;'19_Расчет_аналитики'!L1572,WeightedMinAge21),MAX(CapacityAge21*'01_Вводные'!$B$218*'19_Расчет_аналитики'!L1572,MeanMinAge21)))</f>
        <v/>
      </c>
      <c r="M1524">
        <f>IF(OR(('06_Сеть_и_дети'!M73-'06_Сеть_и_дети'!M101)=0,21&lt;='01_Вводные'!$B$297),0,('06_Сеть_и_дети'!M73-'06_Сеть_и_дети'!M101)*IF('01_Вводные'!$B$239="Да",MeanMinAge21+'19_Расчет_аналитики'!M1572*SUMIF(ThresholdAge21,"&lt;"&amp;'19_Расчет_аналитики'!M1572,WeightedRevAge21)-SUMIF(ThresholdAge21,"&lt;"&amp;'19_Расчет_аналитики'!M1572,WeightedMinAge21),MAX(CapacityAge21*'01_Вводные'!$B$218*'19_Расчет_аналитики'!M1572,MeanMinAge21)))</f>
        <v/>
      </c>
      <c r="N1524">
        <f>IF(OR(('06_Сеть_и_дети'!N73-'06_Сеть_и_дети'!N101)=0,21&lt;='01_Вводные'!$B$297),0,('06_Сеть_и_дети'!N73-'06_Сеть_и_дети'!N101)*IF('01_Вводные'!$B$239="Да",MeanMinAge21+'19_Расчет_аналитики'!N1572*SUMIF(ThresholdAge21,"&lt;"&amp;'19_Расчет_аналитики'!N1572,WeightedRevAge21)-SUMIF(ThresholdAge21,"&lt;"&amp;'19_Расчет_аналитики'!N1572,WeightedMinAge21),MAX(CapacityAge21*'01_Вводные'!$B$218*'19_Расчет_аналитики'!N1572,MeanMinAge21)))</f>
        <v/>
      </c>
      <c r="O1524">
        <f>IF(OR(('06_Сеть_и_дети'!O73-'06_Сеть_и_дети'!O101)=0,21&lt;='01_Вводные'!$B$297),0,('06_Сеть_и_дети'!O73-'06_Сеть_и_дети'!O101)*IF('01_Вводные'!$B$239="Да",MeanMinAge21+'19_Расчет_аналитики'!O1572*SUMIF(ThresholdAge21,"&lt;"&amp;'19_Расчет_аналитики'!O1572,WeightedRevAge21)-SUMIF(ThresholdAge21,"&lt;"&amp;'19_Расчет_аналитики'!O1572,WeightedMinAge21),MAX(CapacityAge21*'01_Вводные'!$B$218*'19_Расчет_аналитики'!O1572,MeanMinAge21)))</f>
        <v/>
      </c>
      <c r="P1524">
        <f>IF(OR(('06_Сеть_и_дети'!P73-'06_Сеть_и_дети'!P101)=0,21&lt;='01_Вводные'!$B$297),0,('06_Сеть_и_дети'!P73-'06_Сеть_и_дети'!P101)*IF('01_Вводные'!$B$239="Да",MeanMinAge21+'19_Расчет_аналитики'!P1572*SUMIF(ThresholdAge21,"&lt;"&amp;'19_Расчет_аналитики'!P1572,WeightedRevAge21)-SUMIF(ThresholdAge21,"&lt;"&amp;'19_Расчет_аналитики'!P1572,WeightedMinAge21),MAX(CapacityAge21*'01_Вводные'!$B$218*'19_Расчет_аналитики'!P1572,MeanMinAge21)))</f>
        <v/>
      </c>
      <c r="Q1524">
        <f>IF(OR(('06_Сеть_и_дети'!Q73-'06_Сеть_и_дети'!Q101)=0,21&lt;='01_Вводные'!$B$297),0,('06_Сеть_и_дети'!Q73-'06_Сеть_и_дети'!Q101)*IF('01_Вводные'!$B$239="Да",MeanMinAge21+'19_Расчет_аналитики'!Q1572*SUMIF(ThresholdAge21,"&lt;"&amp;'19_Расчет_аналитики'!Q1572,WeightedRevAge21)-SUMIF(ThresholdAge21,"&lt;"&amp;'19_Расчет_аналитики'!Q1572,WeightedMinAge21),MAX(CapacityAge21*'01_Вводные'!$B$218*'19_Расчет_аналитики'!Q1572,MeanMinAge21)))</f>
        <v/>
      </c>
      <c r="R1524">
        <f>IF(OR(('06_Сеть_и_дети'!R73-'06_Сеть_и_дети'!R101)=0,21&lt;='01_Вводные'!$B$297),0,('06_Сеть_и_дети'!R73-'06_Сеть_и_дети'!R101)*IF('01_Вводные'!$B$239="Да",MeanMinAge21+'19_Расчет_аналитики'!R1572*SUMIF(ThresholdAge21,"&lt;"&amp;'19_Расчет_аналитики'!R1572,WeightedRevAge21)-SUMIF(ThresholdAge21,"&lt;"&amp;'19_Расчет_аналитики'!R1572,WeightedMinAge21),MAX(CapacityAge21*'01_Вводные'!$B$218*'19_Расчет_аналитики'!R1572,MeanMinAge21)))</f>
        <v/>
      </c>
      <c r="S1524">
        <f>IF(OR(('06_Сеть_и_дети'!S73-'06_Сеть_и_дети'!S101)=0,21&lt;='01_Вводные'!$B$297),0,('06_Сеть_и_дети'!S73-'06_Сеть_и_дети'!S101)*IF('01_Вводные'!$B$239="Да",MeanMinAge21+'19_Расчет_аналитики'!S1572*SUMIF(ThresholdAge21,"&lt;"&amp;'19_Расчет_аналитики'!S1572,WeightedRevAge21)-SUMIF(ThresholdAge21,"&lt;"&amp;'19_Расчет_аналитики'!S1572,WeightedMinAge21),MAX(CapacityAge21*'01_Вводные'!$B$218*'19_Расчет_аналитики'!S1572,MeanMinAge21)))</f>
        <v/>
      </c>
      <c r="T1524">
        <f>IF(OR(('06_Сеть_и_дети'!T73-'06_Сеть_и_дети'!T101)=0,21&lt;='01_Вводные'!$B$297),0,('06_Сеть_и_дети'!T73-'06_Сеть_и_дети'!T101)*IF('01_Вводные'!$B$239="Да",MeanMinAge21+'19_Расчет_аналитики'!T1572*SUMIF(ThresholdAge21,"&lt;"&amp;'19_Расчет_аналитики'!T1572,WeightedRevAge21)-SUMIF(ThresholdAge21,"&lt;"&amp;'19_Расчет_аналитики'!T1572,WeightedMinAge21),MAX(CapacityAge21*'01_Вводные'!$B$218*'19_Расчет_аналитики'!T1572,MeanMinAge21)))</f>
        <v/>
      </c>
      <c r="U1524">
        <f>IF(OR(('06_Сеть_и_дети'!U73-'06_Сеть_и_дети'!U101)=0,21&lt;='01_Вводные'!$B$297),0,('06_Сеть_и_дети'!U73-'06_Сеть_и_дети'!U101)*IF('01_Вводные'!$B$239="Да",MeanMinAge21+'19_Расчет_аналитики'!U1572*SUMIF(ThresholdAge21,"&lt;"&amp;'19_Расчет_аналитики'!U1572,WeightedRevAge21)-SUMIF(ThresholdAge21,"&lt;"&amp;'19_Расчет_аналитики'!U1572,WeightedMinAge21),MAX(CapacityAge21*'01_Вводные'!$B$218*'19_Расчет_аналитики'!U1572,MeanMinAge21)))</f>
        <v/>
      </c>
      <c r="V1524">
        <f>IF(OR(('19_Расчет_аналитики'!V1440-'19_Расчет_аналитики'!V1468)=0,21&lt;='01_Вводные'!$B$297),0,('19_Расчет_аналитики'!V1440-'19_Расчет_аналитики'!V1468)*IF('01_Вводные'!$B$239="Да",MeanMinAge21+'19_Расчет_аналитики'!V1572*SUMIF(ThresholdAge21,"&lt;"&amp;'19_Расчет_аналитики'!V1572,WeightedRevAge21)-SUMIF(ThresholdAge21,"&lt;"&amp;'19_Расчет_аналитики'!V1572,WeightedMinAge21),MAX(CapacityAge21*'01_Вводные'!$B$218*'19_Расчет_аналитики'!V1572,MeanMinAge21)))</f>
        <v/>
      </c>
      <c r="W1524">
        <f>IF(OR(('19_Расчет_аналитики'!W1440-'19_Расчет_аналитики'!W1468)=0,21&lt;='01_Вводные'!$B$297),0,('19_Расчет_аналитики'!W1440-'19_Расчет_аналитики'!W1468)*IF('01_Вводные'!$B$239="Да",MeanMinAge21+'19_Расчет_аналитики'!W1572*SUMIF(ThresholdAge21,"&lt;"&amp;'19_Расчет_аналитики'!W1572,WeightedRevAge21)-SUMIF(ThresholdAge21,"&lt;"&amp;'19_Расчет_аналитики'!W1572,WeightedMinAge21),MAX(CapacityAge21*'01_Вводные'!$B$218*'19_Расчет_аналитики'!W1572,MeanMinAge21)))</f>
        <v/>
      </c>
      <c r="X1524">
        <f>IF(OR(('19_Расчет_аналитики'!X1440-'19_Расчет_аналитики'!X1468)=0,21&lt;='01_Вводные'!$B$297),0,('19_Расчет_аналитики'!X1440-'19_Расчет_аналитики'!X1468)*IF('01_Вводные'!$B$239="Да",MeanMinAge21+'19_Расчет_аналитики'!X1572*SUMIF(ThresholdAge21,"&lt;"&amp;'19_Расчет_аналитики'!X1572,WeightedRevAge21)-SUMIF(ThresholdAge21,"&lt;"&amp;'19_Расчет_аналитики'!X1572,WeightedMinAge21),MAX(CapacityAge21*'01_Вводные'!$B$218*'19_Расчет_аналитики'!X1572,MeanMinAge21)))</f>
        <v/>
      </c>
      <c r="Y1524">
        <f>IF(OR(('19_Расчет_аналитики'!Y1440-'19_Расчет_аналитики'!Y1468)=0,21&lt;='01_Вводные'!$B$297),0,('19_Расчет_аналитики'!Y1440-'19_Расчет_аналитики'!Y1468)*IF('01_Вводные'!$B$239="Да",MeanMinAge21+'19_Расчет_аналитики'!Y1572*SUMIF(ThresholdAge21,"&lt;"&amp;'19_Расчет_аналитики'!Y1572,WeightedRevAge21)-SUMIF(ThresholdAge21,"&lt;"&amp;'19_Расчет_аналитики'!Y1572,WeightedMinAge21),MAX(CapacityAge21*'01_Вводные'!$B$218*'19_Расчет_аналитики'!Y1572,MeanMinAge21)))</f>
        <v/>
      </c>
      <c r="Z1524">
        <f>IF(OR(('19_Расчет_аналитики'!Z1440-'19_Расчет_аналитики'!Z1468)=0,21&lt;='01_Вводные'!$B$297),0,('19_Расчет_аналитики'!Z1440-'19_Расчет_аналитики'!Z1468)*IF('01_Вводные'!$B$239="Да",MeanMinAge21+'19_Расчет_аналитики'!Z1572*SUMIF(ThresholdAge21,"&lt;"&amp;'19_Расчет_аналитики'!Z1572,WeightedRevAge21)-SUMIF(ThresholdAge21,"&lt;"&amp;'19_Расчет_аналитики'!Z1572,WeightedMinAge21),MAX(CapacityAge21*'01_Вводные'!$B$218*'19_Расчет_аналитики'!Z1572,MeanMinAge21)))</f>
        <v/>
      </c>
      <c r="AA1524">
        <f>IF(OR(('19_Расчет_аналитики'!AA1440-'19_Расчет_аналитики'!AA1468)=0,21&lt;='01_Вводные'!$B$297),0,('19_Расчет_аналитики'!AA1440-'19_Расчет_аналитики'!AA1468)*IF('01_Вводные'!$B$239="Да",MeanMinAge21+'19_Расчет_аналитики'!AA1572*SUMIF(ThresholdAge21,"&lt;"&amp;'19_Расчет_аналитики'!AA1572,WeightedRevAge21)-SUMIF(ThresholdAge21,"&lt;"&amp;'19_Расчет_аналитики'!AA1572,WeightedMinAge21),MAX(CapacityAge21*'01_Вводные'!$B$218*'19_Расчет_аналитики'!AA1572,MeanMinAge21)))</f>
        <v/>
      </c>
      <c r="AB1524">
        <f>IF(OR(('19_Расчет_аналитики'!AB1440-'19_Расчет_аналитики'!AB1468)=0,21&lt;='01_Вводные'!$B$297),0,('19_Расчет_аналитики'!AB1440-'19_Расчет_аналитики'!AB1468)*IF('01_Вводные'!$B$239="Да",MeanMinAge21+'19_Расчет_аналитики'!AB1572*SUMIF(ThresholdAge21,"&lt;"&amp;'19_Расчет_аналитики'!AB1572,WeightedRevAge21)-SUMIF(ThresholdAge21,"&lt;"&amp;'19_Расчет_аналитики'!AB1572,WeightedMinAge21),MAX(CapacityAge21*'01_Вводные'!$B$218*'19_Расчет_аналитики'!AB1572,MeanMinAge21)))</f>
        <v/>
      </c>
      <c r="AC1524">
        <f>IF(OR(('19_Расчет_аналитики'!AC1440-'19_Расчет_аналитики'!AC1468)=0,21&lt;='01_Вводные'!$B$297),0,('19_Расчет_аналитики'!AC1440-'19_Расчет_аналитики'!AC1468)*IF('01_Вводные'!$B$239="Да",MeanMinAge21+'19_Расчет_аналитики'!AC1572*SUMIF(ThresholdAge21,"&lt;"&amp;'19_Расчет_аналитики'!AC1572,WeightedRevAge21)-SUMIF(ThresholdAge21,"&lt;"&amp;'19_Расчет_аналитики'!AC1572,WeightedMinAge21),MAX(CapacityAge21*'01_Вводные'!$B$218*'19_Расчет_аналитики'!AC1572,MeanMinAge21)))</f>
        <v/>
      </c>
      <c r="AD1524">
        <f>IF(OR(('19_Расчет_аналитики'!AD1440-'19_Расчет_аналитики'!AD1468)=0,21&lt;='01_Вводные'!$B$297),0,('19_Расчет_аналитики'!AD1440-'19_Расчет_аналитики'!AD1468)*IF('01_Вводные'!$B$239="Да",MeanMinAge21+'19_Расчет_аналитики'!AD1572*SUMIF(ThresholdAge21,"&lt;"&amp;'19_Расчет_аналитики'!AD1572,WeightedRevAge21)-SUMIF(ThresholdAge21,"&lt;"&amp;'19_Расчет_аналитики'!AD1572,WeightedMinAge21),MAX(CapacityAge21*'01_Вводные'!$B$218*'19_Расчет_аналитики'!AD1572,MeanMinAge21)))</f>
        <v/>
      </c>
      <c r="AE1524">
        <f>IF(OR(('19_Расчет_аналитики'!AE1440-'19_Расчет_аналитики'!AE1468)=0,21&lt;='01_Вводные'!$B$297),0,('19_Расчет_аналитики'!AE1440-'19_Расчет_аналитики'!AE1468)*IF('01_Вводные'!$B$239="Да",MeanMinAge21+'19_Расчет_аналитики'!AE1572*SUMIF(ThresholdAge21,"&lt;"&amp;'19_Расчет_аналитики'!AE1572,WeightedRevAge21)-SUMIF(ThresholdAge21,"&lt;"&amp;'19_Расчет_аналитики'!AE1572,WeightedMinAge21),MAX(CapacityAge21*'01_Вводные'!$B$218*'19_Расчет_аналитики'!AE1572,MeanMinAge21)))</f>
        <v/>
      </c>
      <c r="AF1524">
        <f>IF(OR(('19_Расчет_аналитики'!AF1440-'19_Расчет_аналитики'!AF1468)=0,21&lt;='01_Вводные'!$B$297),0,('19_Расчет_аналитики'!AF1440-'19_Расчет_аналитики'!AF1468)*IF('01_Вводные'!$B$239="Да",MeanMinAge21+'19_Расчет_аналитики'!AF1572*SUMIF(ThresholdAge21,"&lt;"&amp;'19_Расчет_аналитики'!AF1572,WeightedRevAge21)-SUMIF(ThresholdAge21,"&lt;"&amp;'19_Расчет_аналитики'!AF1572,WeightedMinAge21),MAX(CapacityAge21*'01_Вводные'!$B$218*'19_Расчет_аналитики'!AF1572,MeanMinAge21)))</f>
        <v/>
      </c>
      <c r="AG1524">
        <f>IF(OR(('19_Расчет_аналитики'!AG1440-'19_Расчет_аналитики'!AG1468)=0,21&lt;='01_Вводные'!$B$297),0,('19_Расчет_аналитики'!AG1440-'19_Расчет_аналитики'!AG1468)*IF('01_Вводные'!$B$239="Да",MeanMinAge21+'19_Расчет_аналитики'!AG1572*SUMIF(ThresholdAge21,"&lt;"&amp;'19_Расчет_аналитики'!AG1572,WeightedRevAge21)-SUMIF(ThresholdAge21,"&lt;"&amp;'19_Расчет_аналитики'!AG1572,WeightedMinAge21),MAX(CapacityAge21*'01_Вводные'!$B$218*'19_Расчет_аналитики'!AG1572,MeanMinAge21)))</f>
        <v/>
      </c>
      <c r="AH1524">
        <f>IF(OR(('19_Расчет_аналитики'!AH1440-'19_Расчет_аналитики'!AH1468)=0,21&lt;='01_Вводные'!$B$297),0,('19_Расчет_аналитики'!AH1440-'19_Расчет_аналитики'!AH1468)*IF('01_Вводные'!$B$239="Да",MeanMinAge21+'19_Расчет_аналитики'!AH1572*SUMIF(ThresholdAge21,"&lt;"&amp;'19_Расчет_аналитики'!AH1572,WeightedRevAge21)-SUMIF(ThresholdAge21,"&lt;"&amp;'19_Расчет_аналитики'!AH1572,WeightedMinAge21),MAX(CapacityAge21*'01_Вводные'!$B$218*'19_Расчет_аналитики'!AH1572,MeanMinAge21)))</f>
        <v/>
      </c>
      <c r="AI1524">
        <f>IF(OR(('19_Расчет_аналитики'!AI1440-'19_Расчет_аналитики'!AI1468)=0,21&lt;='01_Вводные'!$B$297),0,('19_Расчет_аналитики'!AI1440-'19_Расчет_аналитики'!AI1468)*IF('01_Вводные'!$B$239="Да",MeanMinAge21+'19_Расчет_аналитики'!AI1572*SUMIF(ThresholdAge21,"&lt;"&amp;'19_Расчет_аналитики'!AI1572,WeightedRevAge21)-SUMIF(ThresholdAge21,"&lt;"&amp;'19_Расчет_аналитики'!AI1572,WeightedMinAge21),MAX(CapacityAge21*'01_Вводные'!$B$218*'19_Расчет_аналитики'!AI1572,MeanMinAge21)))</f>
        <v/>
      </c>
      <c r="AJ1524">
        <f>IF(OR(('19_Расчет_аналитики'!AJ1440-'19_Расчет_аналитики'!AJ1468)=0,21&lt;='01_Вводные'!$B$297),0,('19_Расчет_аналитики'!AJ1440-'19_Расчет_аналитики'!AJ1468)*IF('01_Вводные'!$B$239="Да",MeanMinAge21+'19_Расчет_аналитики'!AJ1572*SUMIF(ThresholdAge21,"&lt;"&amp;'19_Расчет_аналитики'!AJ1572,WeightedRevAge21)-SUMIF(ThresholdAge21,"&lt;"&amp;'19_Расчет_аналитики'!AJ1572,WeightedMinAge21),MAX(CapacityAge21*'01_Вводные'!$B$218*'19_Расчет_аналитики'!AJ1572,MeanMinAge21)))</f>
        <v/>
      </c>
      <c r="AK1524">
        <f>IF(OR(('19_Расчет_аналитики'!AK1440-'19_Расчет_аналитики'!AK1468)=0,21&lt;='01_Вводные'!$B$297),0,('19_Расчет_аналитики'!AK1440-'19_Расчет_аналитики'!AK1468)*IF('01_Вводные'!$B$239="Да",MeanMinAge21+'19_Расчет_аналитики'!AK1572*SUMIF(ThresholdAge21,"&lt;"&amp;'19_Расчет_аналитики'!AK1572,WeightedRevAge21)-SUMIF(ThresholdAge21,"&lt;"&amp;'19_Расчет_аналитики'!AK1572,WeightedMinAge21),MAX(CapacityAge21*'01_Вводные'!$B$218*'19_Расчет_аналитики'!AK1572,MeanMinAge21)))</f>
        <v/>
      </c>
      <c r="AL1524">
        <f>IF(OR(('19_Расчет_аналитики'!AL1440-'19_Расчет_аналитики'!AL1468)=0,21&lt;='01_Вводные'!$B$297),0,('19_Расчет_аналитики'!AL1440-'19_Расчет_аналитики'!AL1468)*IF('01_Вводные'!$B$239="Да",MeanMinAge21+'19_Расчет_аналитики'!AL1572*SUMIF(ThresholdAge21,"&lt;"&amp;'19_Расчет_аналитики'!AL1572,WeightedRevAge21)-SUMIF(ThresholdAge21,"&lt;"&amp;'19_Расчет_аналитики'!AL1572,WeightedMinAge21),MAX(CapacityAge21*'01_Вводные'!$B$218*'19_Расчет_аналитики'!AL1572,MeanMinAge21)))</f>
        <v/>
      </c>
      <c r="AM1524">
        <f>IF(OR(('19_Расчет_аналитики'!AM1440-'19_Расчет_аналитики'!AM1468)=0,21&lt;='01_Вводные'!$B$297),0,('19_Расчет_аналитики'!AM1440-'19_Расчет_аналитики'!AM1468)*IF('01_Вводные'!$B$239="Да",MeanMinAge21+'19_Расчет_аналитики'!AM1572*SUMIF(ThresholdAge21,"&lt;"&amp;'19_Расчет_аналитики'!AM1572,WeightedRevAge21)-SUMIF(ThresholdAge21,"&lt;"&amp;'19_Расчет_аналитики'!AM1572,WeightedMinAge21),MAX(CapacityAge21*'01_Вводные'!$B$218*'19_Расчет_аналитики'!AM1572,MeanMinAge21)))</f>
        <v/>
      </c>
      <c r="AN1524">
        <f>IF(OR(('19_Расчет_аналитики'!AN1440-'19_Расчет_аналитики'!AN1468)=0,21&lt;='01_Вводные'!$B$297),0,('19_Расчет_аналитики'!AN1440-'19_Расчет_аналитики'!AN1468)*IF('01_Вводные'!$B$239="Да",MeanMinAge21+'19_Расчет_аналитики'!AN1572*SUMIF(ThresholdAge21,"&lt;"&amp;'19_Расчет_аналитики'!AN1572,WeightedRevAge21)-SUMIF(ThresholdAge21,"&lt;"&amp;'19_Расчет_аналитики'!AN1572,WeightedMinAge21),MAX(CapacityAge21*'01_Вводные'!$B$218*'19_Расчет_аналитики'!AN1572,MeanMinAge21)))</f>
        <v/>
      </c>
      <c r="AO1524">
        <f>IF(OR(('19_Расчет_аналитики'!AO1440-'19_Расчет_аналитики'!AO1468)=0,21&lt;='01_Вводные'!$B$297),0,('19_Расчет_аналитики'!AO1440-'19_Расчет_аналитики'!AO1468)*IF('01_Вводные'!$B$239="Да",MeanMinAge21+'19_Расчет_аналитики'!AO1572*SUMIF(ThresholdAge21,"&lt;"&amp;'19_Расчет_аналитики'!AO1572,WeightedRevAge21)-SUMIF(ThresholdAge21,"&lt;"&amp;'19_Расчет_аналитики'!AO1572,WeightedMinAge21),MAX(CapacityAge21*'01_Вводные'!$B$218*'19_Расчет_аналитики'!AO1572,MeanMinAge21)))</f>
        <v/>
      </c>
      <c r="AP1524">
        <f>IF(OR(('19_Расчет_аналитики'!AP1440-'19_Расчет_аналитики'!AP1468)=0,21&lt;='01_Вводные'!$B$297),0,('19_Расчет_аналитики'!AP1440-'19_Расчет_аналитики'!AP1468)*IF('01_Вводные'!$B$239="Да",MeanMinAge21+'19_Расчет_аналитики'!AP1572*SUMIF(ThresholdAge21,"&lt;"&amp;'19_Расчет_аналитики'!AP1572,WeightedRevAge21)-SUMIF(ThresholdAge21,"&lt;"&amp;'19_Расчет_аналитики'!AP1572,WeightedMinAge21),MAX(CapacityAge21*'01_Вводные'!$B$218*'19_Расчет_аналитики'!AP1572,MeanMinAge21)))</f>
        <v/>
      </c>
      <c r="AQ1524">
        <f>IF(OR(('19_Расчет_аналитики'!AQ1440-'19_Расчет_аналитики'!AQ1468)=0,21&lt;='01_Вводные'!$B$297),0,('19_Расчет_аналитики'!AQ1440-'19_Расчет_аналитики'!AQ1468)*IF('01_Вводные'!$B$239="Да",MeanMinAge21+'19_Расчет_аналитики'!AQ1572*SUMIF(ThresholdAge21,"&lt;"&amp;'19_Расчет_аналитики'!AQ1572,WeightedRevAge21)-SUMIF(ThresholdAge21,"&lt;"&amp;'19_Расчет_аналитики'!AQ1572,WeightedMinAge21),MAX(CapacityAge21*'01_Вводные'!$B$218*'19_Расчет_аналитики'!AQ1572,MeanMinAge21)))</f>
        <v/>
      </c>
      <c r="AR1524">
        <f>IF(OR(('19_Расчет_аналитики'!AR1440-'19_Расчет_аналитики'!AR1468)=0,21&lt;='01_Вводные'!$B$297),0,('19_Расчет_аналитики'!AR1440-'19_Расчет_аналитики'!AR1468)*IF('01_Вводные'!$B$239="Да",MeanMinAge21+'19_Расчет_аналитики'!AR1572*SUMIF(ThresholdAge21,"&lt;"&amp;'19_Расчет_аналитики'!AR1572,WeightedRevAge21)-SUMIF(ThresholdAge21,"&lt;"&amp;'19_Расчет_аналитики'!AR1572,WeightedMinAge21),MAX(CapacityAge21*'01_Вводные'!$B$218*'19_Расчет_аналитики'!AR1572,MeanMinAge21)))</f>
        <v/>
      </c>
      <c r="AS1524">
        <f>IF(OR(('19_Расчет_аналитики'!AS1440-'19_Расчет_аналитики'!AS1468)=0,21&lt;='01_Вводные'!$B$297),0,('19_Расчет_аналитики'!AS1440-'19_Расчет_аналитики'!AS1468)*IF('01_Вводные'!$B$239="Да",MeanMinAge21+'19_Расчет_аналитики'!AS1572*SUMIF(ThresholdAge21,"&lt;"&amp;'19_Расчет_аналитики'!AS1572,WeightedRevAge21)-SUMIF(ThresholdAge21,"&lt;"&amp;'19_Расчет_аналитики'!AS1572,WeightedMinAge21),MAX(CapacityAge21*'01_Вводные'!$B$218*'19_Расчет_аналитики'!AS1572,MeanMinAge21)))</f>
        <v/>
      </c>
      <c r="AT1524">
        <f>IF(OR(('19_Расчет_аналитики'!AT1440-'19_Расчет_аналитики'!AT1468)=0,21&lt;='01_Вводные'!$B$297),0,('19_Расчет_аналитики'!AT1440-'19_Расчет_аналитики'!AT1468)*IF('01_Вводные'!$B$239="Да",MeanMinAge21+'19_Расчет_аналитики'!AT1572*SUMIF(ThresholdAge21,"&lt;"&amp;'19_Расчет_аналитики'!AT1572,WeightedRevAge21)-SUMIF(ThresholdAge21,"&lt;"&amp;'19_Расчет_аналитики'!AT1572,WeightedMinAge21),MAX(CapacityAge21*'01_Вводные'!$B$218*'19_Расчет_аналитики'!AT1572,MeanMinAge21)))</f>
        <v/>
      </c>
      <c r="AU1524">
        <f>IF(OR(('19_Расчет_аналитики'!AU1440-'19_Расчет_аналитики'!AU1468)=0,21&lt;='01_Вводные'!$B$297),0,('19_Расчет_аналитики'!AU1440-'19_Расчет_аналитики'!AU1468)*IF('01_Вводные'!$B$239="Да",MeanMinAge21+'19_Расчет_аналитики'!AU1572*SUMIF(ThresholdAge21,"&lt;"&amp;'19_Расчет_аналитики'!AU1572,WeightedRevAge21)-SUMIF(ThresholdAge21,"&lt;"&amp;'19_Расчет_аналитики'!AU1572,WeightedMinAge21),MAX(CapacityAge21*'01_Вводные'!$B$218*'19_Расчет_аналитики'!AU1572,MeanMinAge21)))</f>
        <v/>
      </c>
      <c r="AV1524">
        <f>IF(OR(('19_Расчет_аналитики'!AV1440-'19_Расчет_аналитики'!AV1468)=0,21&lt;='01_Вводные'!$B$297),0,('19_Расчет_аналитики'!AV1440-'19_Расчет_аналитики'!AV1468)*IF('01_Вводные'!$B$239="Да",MeanMinAge21+'19_Расчет_аналитики'!AV1572*SUMIF(ThresholdAge21,"&lt;"&amp;'19_Расчет_аналитики'!AV1572,WeightedRevAge21)-SUMIF(ThresholdAge21,"&lt;"&amp;'19_Расчет_аналитики'!AV1572,WeightedMinAge21),MAX(CapacityAge21*'01_Вводные'!$B$218*'19_Расчет_аналитики'!AV1572,MeanMinAge21)))</f>
        <v/>
      </c>
      <c r="AW1524">
        <f>IF(OR(('19_Расчет_аналитики'!AW1440-'19_Расчет_аналитики'!AW1468)=0,21&lt;='01_Вводные'!$B$297),0,('19_Расчет_аналитики'!AW1440-'19_Расчет_аналитики'!AW1468)*IF('01_Вводные'!$B$239="Да",MeanMinAge21+'19_Расчет_аналитики'!AW1572*SUMIF(ThresholdAge21,"&lt;"&amp;'19_Расчет_аналитики'!AW1572,WeightedRevAge21)-SUMIF(ThresholdAge21,"&lt;"&amp;'19_Расчет_аналитики'!AW1572,WeightedMinAge21),MAX(CapacityAge21*'01_Вводные'!$B$218*'19_Расчет_аналитики'!AW1572,MeanMinAge21)))</f>
        <v/>
      </c>
      <c r="AX1524">
        <f>IF(OR(('19_Расчет_аналитики'!AX1440-'19_Расчет_аналитики'!AX1468)=0,21&lt;='01_Вводные'!$B$297),0,('19_Расчет_аналитики'!AX1440-'19_Расчет_аналитики'!AX1468)*IF('01_Вводные'!$B$239="Да",MeanMinAge21+'19_Расчет_аналитики'!AX1572*SUMIF(ThresholdAge21,"&lt;"&amp;'19_Расчет_аналитики'!AX1572,WeightedRevAge21)-SUMIF(ThresholdAge21,"&lt;"&amp;'19_Расчет_аналитики'!AX1572,WeightedMinAge21),MAX(CapacityAge21*'01_Вводные'!$B$218*'19_Расчет_аналитики'!AX1572,MeanMinAge21)))</f>
        <v/>
      </c>
      <c r="AY1524">
        <f>IF(OR(('19_Расчет_аналитики'!AY1440-'19_Расчет_аналитики'!AY1468)=0,21&lt;='01_Вводные'!$B$297),0,('19_Расчет_аналитики'!AY1440-'19_Расчет_аналитики'!AY1468)*IF('01_Вводные'!$B$239="Да",MeanMinAge21+'19_Расчет_аналитики'!AY1572*SUMIF(ThresholdAge21,"&lt;"&amp;'19_Расчет_аналитики'!AY1572,WeightedRevAge21)-SUMIF(ThresholdAge21,"&lt;"&amp;'19_Расчет_аналитики'!AY1572,WeightedMinAge21),MAX(CapacityAge21*'01_Вводные'!$B$218*'19_Расчет_аналитики'!AY1572,MeanMinAge21)))</f>
        <v/>
      </c>
      <c r="AZ1524">
        <f>IF(OR(('19_Расчет_аналитики'!AZ1440-'19_Расчет_аналитики'!AZ1468)=0,21&lt;='01_Вводные'!$B$297),0,('19_Расчет_аналитики'!AZ1440-'19_Расчет_аналитики'!AZ1468)*IF('01_Вводные'!$B$239="Да",MeanMinAge21+'19_Расчет_аналитики'!AZ1572*SUMIF(ThresholdAge21,"&lt;"&amp;'19_Расчет_аналитики'!AZ1572,WeightedRevAge21)-SUMIF(ThresholdAge21,"&lt;"&amp;'19_Расчет_аналитики'!AZ1572,WeightedMinAge21),MAX(CapacityAge21*'01_Вводные'!$B$218*'19_Расчет_аналитики'!AZ1572,MeanMinAge21)))</f>
        <v/>
      </c>
      <c r="BA1524">
        <f>IF(OR(('19_Расчет_аналитики'!BA1440-'19_Расчет_аналитики'!BA1468)=0,21&lt;='01_Вводные'!$B$297),0,('19_Расчет_аналитики'!BA1440-'19_Расчет_аналитики'!BA1468)*IF('01_Вводные'!$B$239="Да",MeanMinAge21+'19_Расчет_аналитики'!BA1572*SUMIF(ThresholdAge21,"&lt;"&amp;'19_Расчет_аналитики'!BA1572,WeightedRevAge21)-SUMIF(ThresholdAge21,"&lt;"&amp;'19_Расчет_аналитики'!BA1572,WeightedMinAge21),MAX(CapacityAge21*'01_Вводные'!$B$218*'19_Расчет_аналитики'!BA1572,MeanMinAge21)))</f>
        <v/>
      </c>
      <c r="BB1524">
        <f>IF(OR(('19_Расчет_аналитики'!BB1440-'19_Расчет_аналитики'!BB1468)=0,21&lt;='01_Вводные'!$B$297),0,('19_Расчет_аналитики'!BB1440-'19_Расчет_аналитики'!BB1468)*IF('01_Вводные'!$B$239="Да",MeanMinAge21+'19_Расчет_аналитики'!BB1572*SUMIF(ThresholdAge21,"&lt;"&amp;'19_Расчет_аналитики'!BB1572,WeightedRevAge21)-SUMIF(ThresholdAge21,"&lt;"&amp;'19_Расчет_аналитики'!BB1572,WeightedMinAge21),MAX(CapacityAge21*'01_Вводные'!$B$218*'19_Расчет_аналитики'!BB1572,MeanMinAge21)))</f>
        <v/>
      </c>
      <c r="BC1524">
        <f>IF(OR(('19_Расчет_аналитики'!BC1440-'19_Расчет_аналитики'!BC1468)=0,21&lt;='01_Вводные'!$B$297),0,('19_Расчет_аналитики'!BC1440-'19_Расчет_аналитики'!BC1468)*IF('01_Вводные'!$B$239="Да",MeanMinAge21+'19_Расчет_аналитики'!BC1572*SUMIF(ThresholdAge21,"&lt;"&amp;'19_Расчет_аналитики'!BC1572,WeightedRevAge21)-SUMIF(ThresholdAge21,"&lt;"&amp;'19_Расчет_аналитики'!BC1572,WeightedMinAge21),MAX(CapacityAge21*'01_Вводные'!$B$218*'19_Расчет_аналитики'!BC1572,MeanMinAge21)))</f>
        <v/>
      </c>
      <c r="BD1524">
        <f>IF(OR(('19_Расчет_аналитики'!BD1440-'19_Расчет_аналитики'!BD1468)=0,21&lt;='01_Вводные'!$B$297),0,('19_Расчет_аналитики'!BD1440-'19_Расчет_аналитики'!BD1468)*IF('01_Вводные'!$B$239="Да",MeanMinAge21+'19_Расчет_аналитики'!BD1572*SUMIF(ThresholdAge21,"&lt;"&amp;'19_Расчет_аналитики'!BD1572,WeightedRevAge21)-SUMIF(ThresholdAge21,"&lt;"&amp;'19_Расчет_аналитики'!BD1572,WeightedMinAge21),MAX(CapacityAge21*'01_Вводные'!$B$218*'19_Расчет_аналитики'!BD1572,MeanMinAge21)))</f>
        <v/>
      </c>
      <c r="BE1524">
        <f>IF(OR(('19_Расчет_аналитики'!BE1440-'19_Расчет_аналитики'!BE1468)=0,21&lt;='01_Вводные'!$B$297),0,('19_Расчет_аналитики'!BE1440-'19_Расчет_аналитики'!BE1468)*IF('01_Вводные'!$B$239="Да",MeanMinAge21+'19_Расчет_аналитики'!BE1572*SUMIF(ThresholdAge21,"&lt;"&amp;'19_Расчет_аналитики'!BE1572,WeightedRevAge21)-SUMIF(ThresholdAge21,"&lt;"&amp;'19_Расчет_аналитики'!BE1572,WeightedMinAge21),MAX(CapacityAge21*'01_Вводные'!$B$218*'19_Расчет_аналитики'!BE1572,MeanMinAge21)))</f>
        <v/>
      </c>
      <c r="BF1524">
        <f>IF(OR(('19_Расчет_аналитики'!BF1440-'19_Расчет_аналитики'!BF1468)=0,21&lt;='01_Вводные'!$B$297),0,('19_Расчет_аналитики'!BF1440-'19_Расчет_аналитики'!BF1468)*IF('01_Вводные'!$B$239="Да",MeanMinAge21+'19_Расчет_аналитики'!BF1572*SUMIF(ThresholdAge21,"&lt;"&amp;'19_Расчет_аналитики'!BF1572,WeightedRevAge21)-SUMIF(ThresholdAge21,"&lt;"&amp;'19_Расчет_аналитики'!BF1572,WeightedMinAge21),MAX(CapacityAge21*'01_Вводные'!$B$218*'19_Расчет_аналитики'!BF1572,MeanMinAge21)))</f>
        <v/>
      </c>
      <c r="BG1524">
        <f>IF(OR(('19_Расчет_аналитики'!BG1440-'19_Расчет_аналитики'!BG1468)=0,21&lt;='01_Вводные'!$B$297),0,('19_Расчет_аналитики'!BG1440-'19_Расчет_аналитики'!BG1468)*IF('01_Вводные'!$B$239="Да",MeanMinAge21+'19_Расчет_аналитики'!BG1572*SUMIF(ThresholdAge21,"&lt;"&amp;'19_Расчет_аналитики'!BG1572,WeightedRevAge21)-SUMIF(ThresholdAge21,"&lt;"&amp;'19_Расчет_аналитики'!BG1572,WeightedMinAge21),MAX(CapacityAge21*'01_Вводные'!$B$218*'19_Расчет_аналитики'!BG1572,MeanMinAge21)))</f>
        <v/>
      </c>
      <c r="BH1524">
        <f>IF(OR(('19_Расчет_аналитики'!BH1440-'19_Расчет_аналитики'!BH1468)=0,21&lt;='01_Вводные'!$B$297),0,('19_Расчет_аналитики'!BH1440-'19_Расчет_аналитики'!BH1468)*IF('01_Вводные'!$B$239="Да",MeanMinAge21+'19_Расчет_аналитики'!BH1572*SUMIF(ThresholdAge21,"&lt;"&amp;'19_Расчет_аналитики'!BH1572,WeightedRevAge21)-SUMIF(ThresholdAge21,"&lt;"&amp;'19_Расчет_аналитики'!BH1572,WeightedMinAge21),MAX(CapacityAge21*'01_Вводные'!$B$218*'19_Расчет_аналитики'!BH1572,MeanMinAge21)))</f>
        <v/>
      </c>
      <c r="BI1524">
        <f>IF(OR(('19_Расчет_аналитики'!BI1440-'19_Расчет_аналитики'!BI1468)=0,21&lt;='01_Вводные'!$B$297),0,('19_Расчет_аналитики'!BI1440-'19_Расчет_аналитики'!BI1468)*IF('01_Вводные'!$B$239="Да",MeanMinAge21+'19_Расчет_аналитики'!BI1572*SUMIF(ThresholdAge21,"&lt;"&amp;'19_Расчет_аналитики'!BI1572,WeightedRevAge21)-SUMIF(ThresholdAge21,"&lt;"&amp;'19_Расчет_аналитики'!BI1572,WeightedMinAge21),MAX(CapacityAge21*'01_Вводные'!$B$218*'19_Расчет_аналитики'!BI1572,MeanMinAge21)))</f>
        <v/>
      </c>
      <c r="BJ1524">
        <f>IF(OR(('19_Расчет_аналитики'!BJ1440-'19_Расчет_аналитики'!BJ1468)=0,21&lt;='01_Вводные'!$B$297),0,('19_Расчет_аналитики'!BJ1440-'19_Расчет_аналитики'!BJ1468)*IF('01_Вводные'!$B$239="Да",MeanMinAge21+'19_Расчет_аналитики'!BJ1572*SUMIF(ThresholdAge21,"&lt;"&amp;'19_Расчет_аналитики'!BJ1572,WeightedRevAge21)-SUMIF(ThresholdAge21,"&lt;"&amp;'19_Расчет_аналитики'!BJ1572,WeightedMinAge21),MAX(CapacityAge21*'01_Вводные'!$B$218*'19_Расчет_аналитики'!BJ1572,MeanMinAge21)))</f>
        <v/>
      </c>
      <c r="BK1524">
        <f>IF(OR(('19_Расчет_аналитики'!BK1440-'19_Расчет_аналитики'!BK1468)=0,21&lt;='01_Вводные'!$B$297),0,('19_Расчет_аналитики'!BK1440-'19_Расчет_аналитики'!BK1468)*IF('01_Вводные'!$B$239="Да",MeanMinAge21+'19_Расчет_аналитики'!BK1572*SUMIF(ThresholdAge21,"&lt;"&amp;'19_Расчет_аналитики'!BK1572,WeightedRevAge21)-SUMIF(ThresholdAge21,"&lt;"&amp;'19_Расчет_аналитики'!BK1572,WeightedMinAge21),MAX(CapacityAge21*'01_Вводные'!$B$218*'19_Расчет_аналитики'!BK1572,MeanMinAge21)))</f>
        <v/>
      </c>
      <c r="BL1524">
        <f>IF(OR(('19_Расчет_аналитики'!BL1440-'19_Расчет_аналитики'!BL1468)=0,21&lt;='01_Вводные'!$B$297),0,('19_Расчет_аналитики'!BL1440-'19_Расчет_аналитики'!BL1468)*IF('01_Вводные'!$B$239="Да",MeanMinAge21+'19_Расчет_аналитики'!BL1572*SUMIF(ThresholdAge21,"&lt;"&amp;'19_Расчет_аналитики'!BL1572,WeightedRevAge21)-SUMIF(ThresholdAge21,"&lt;"&amp;'19_Расчет_аналитики'!BL1572,WeightedMinAge21),MAX(CapacityAge21*'01_Вводные'!$B$218*'19_Расчет_аналитики'!BL1572,MeanMinAge21)))</f>
        <v/>
      </c>
      <c r="BM1524">
        <f>IF(OR(('19_Расчет_аналитики'!BM1440-'19_Расчет_аналитики'!BM1468)=0,21&lt;='01_Вводные'!$B$297),0,('19_Расчет_аналитики'!BM1440-'19_Расчет_аналитики'!BM1468)*IF('01_Вводные'!$B$239="Да",MeanMinAge21+'19_Расчет_аналитики'!BM1572*SUMIF(ThresholdAge21,"&lt;"&amp;'19_Расчет_аналитики'!BM1572,WeightedRevAge21)-SUMIF(ThresholdAge21,"&lt;"&amp;'19_Расчет_аналитики'!BM1572,WeightedMinAge21),MAX(CapacityAge21*'01_Вводные'!$B$218*'19_Расчет_аналитики'!BM1572,MeanMinAge21)))</f>
        <v/>
      </c>
      <c r="BN1524">
        <f>IF(OR(('19_Расчет_аналитики'!BN1440-'19_Расчет_аналитики'!BN1468)=0,21&lt;='01_Вводные'!$B$297),0,('19_Расчет_аналитики'!BN1440-'19_Расчет_аналитики'!BN1468)*IF('01_Вводные'!$B$239="Да",MeanMinAge21+'19_Расчет_аналитики'!BN1572*SUMIF(ThresholdAge21,"&lt;"&amp;'19_Расчет_аналитики'!BN1572,WeightedRevAge21)-SUMIF(ThresholdAge21,"&lt;"&amp;'19_Расчет_аналитики'!BN1572,WeightedMinAge21),MAX(CapacityAge21*'01_Вводные'!$B$218*'19_Расчет_аналитики'!BN1572,MeanMinAge21)))</f>
        <v/>
      </c>
      <c r="BO1524">
        <f>IF(OR(('19_Расчет_аналитики'!BO1440-'19_Расчет_аналитики'!BO1468)=0,21&lt;='01_Вводные'!$B$297),0,('19_Расчет_аналитики'!BO1440-'19_Расчет_аналитики'!BO1468)*IF('01_Вводные'!$B$239="Да",MeanMinAge21+'19_Расчет_аналитики'!BO1572*SUMIF(ThresholdAge21,"&lt;"&amp;'19_Расчет_аналитики'!BO1572,WeightedRevAge21)-SUMIF(ThresholdAge21,"&lt;"&amp;'19_Расчет_аналитики'!BO1572,WeightedMinAge21),MAX(CapacityAge21*'01_Вводные'!$B$218*'19_Расчет_аналитики'!BO1572,MeanMinAge21)))</f>
        <v/>
      </c>
    </row>
    <row r="1525">
      <c r="B1525">
        <f>IF(OR(('06_Сеть_и_дети'!B74-'06_Сеть_и_дети'!B102)=0,22&lt;='01_Вводные'!$B$297),0,('06_Сеть_и_дети'!B74-'06_Сеть_и_дети'!B102)*IF('01_Вводные'!$B$239="Да",MeanMinAge22+'19_Расчет_аналитики'!B1572*SUMIF(ThresholdAge22,"&lt;"&amp;'19_Расчет_аналитики'!B1572,WeightedRevAge22)-SUMIF(ThresholdAge22,"&lt;"&amp;'19_Расчет_аналитики'!B1572,WeightedMinAge22),MAX(CapacityAge22*'01_Вводные'!$B$218*'19_Расчет_аналитики'!B1572,MeanMinAge22)))</f>
        <v/>
      </c>
      <c r="C1525">
        <f>IF(OR(('06_Сеть_и_дети'!C74-'06_Сеть_и_дети'!C102)=0,22&lt;='01_Вводные'!$B$297),0,('06_Сеть_и_дети'!C74-'06_Сеть_и_дети'!C102)*IF('01_Вводные'!$B$239="Да",MeanMinAge22+'19_Расчет_аналитики'!C1572*SUMIF(ThresholdAge22,"&lt;"&amp;'19_Расчет_аналитики'!C1572,WeightedRevAge22)-SUMIF(ThresholdAge22,"&lt;"&amp;'19_Расчет_аналитики'!C1572,WeightedMinAge22),MAX(CapacityAge22*'01_Вводные'!$B$218*'19_Расчет_аналитики'!C1572,MeanMinAge22)))</f>
        <v/>
      </c>
      <c r="D1525">
        <f>IF(OR(('06_Сеть_и_дети'!D74-'06_Сеть_и_дети'!D102)=0,22&lt;='01_Вводные'!$B$297),0,('06_Сеть_и_дети'!D74-'06_Сеть_и_дети'!D102)*IF('01_Вводные'!$B$239="Да",MeanMinAge22+'19_Расчет_аналитики'!D1572*SUMIF(ThresholdAge22,"&lt;"&amp;'19_Расчет_аналитики'!D1572,WeightedRevAge22)-SUMIF(ThresholdAge22,"&lt;"&amp;'19_Расчет_аналитики'!D1572,WeightedMinAge22),MAX(CapacityAge22*'01_Вводные'!$B$218*'19_Расчет_аналитики'!D1572,MeanMinAge22)))</f>
        <v/>
      </c>
      <c r="E1525">
        <f>IF(OR(('06_Сеть_и_дети'!E74-'06_Сеть_и_дети'!E102)=0,22&lt;='01_Вводные'!$B$297),0,('06_Сеть_и_дети'!E74-'06_Сеть_и_дети'!E102)*IF('01_Вводные'!$B$239="Да",MeanMinAge22+'19_Расчет_аналитики'!E1572*SUMIF(ThresholdAge22,"&lt;"&amp;'19_Расчет_аналитики'!E1572,WeightedRevAge22)-SUMIF(ThresholdAge22,"&lt;"&amp;'19_Расчет_аналитики'!E1572,WeightedMinAge22),MAX(CapacityAge22*'01_Вводные'!$B$218*'19_Расчет_аналитики'!E1572,MeanMinAge22)))</f>
        <v/>
      </c>
      <c r="F1525">
        <f>IF(OR(('06_Сеть_и_дети'!F74-'06_Сеть_и_дети'!F102)=0,22&lt;='01_Вводные'!$B$297),0,('06_Сеть_и_дети'!F74-'06_Сеть_и_дети'!F102)*IF('01_Вводные'!$B$239="Да",MeanMinAge22+'19_Расчет_аналитики'!F1572*SUMIF(ThresholdAge22,"&lt;"&amp;'19_Расчет_аналитики'!F1572,WeightedRevAge22)-SUMIF(ThresholdAge22,"&lt;"&amp;'19_Расчет_аналитики'!F1572,WeightedMinAge22),MAX(CapacityAge22*'01_Вводные'!$B$218*'19_Расчет_аналитики'!F1572,MeanMinAge22)))</f>
        <v/>
      </c>
      <c r="G1525">
        <f>IF(OR(('06_Сеть_и_дети'!G74-'06_Сеть_и_дети'!G102)=0,22&lt;='01_Вводные'!$B$297),0,('06_Сеть_и_дети'!G74-'06_Сеть_и_дети'!G102)*IF('01_Вводные'!$B$239="Да",MeanMinAge22+'19_Расчет_аналитики'!G1572*SUMIF(ThresholdAge22,"&lt;"&amp;'19_Расчет_аналитики'!G1572,WeightedRevAge22)-SUMIF(ThresholdAge22,"&lt;"&amp;'19_Расчет_аналитики'!G1572,WeightedMinAge22),MAX(CapacityAge22*'01_Вводные'!$B$218*'19_Расчет_аналитики'!G1572,MeanMinAge22)))</f>
        <v/>
      </c>
      <c r="H1525">
        <f>IF(OR(('06_Сеть_и_дети'!H74-'06_Сеть_и_дети'!H102)=0,22&lt;='01_Вводные'!$B$297),0,('06_Сеть_и_дети'!H74-'06_Сеть_и_дети'!H102)*IF('01_Вводные'!$B$239="Да",MeanMinAge22+'19_Расчет_аналитики'!H1572*SUMIF(ThresholdAge22,"&lt;"&amp;'19_Расчет_аналитики'!H1572,WeightedRevAge22)-SUMIF(ThresholdAge22,"&lt;"&amp;'19_Расчет_аналитики'!H1572,WeightedMinAge22),MAX(CapacityAge22*'01_Вводные'!$B$218*'19_Расчет_аналитики'!H1572,MeanMinAge22)))</f>
        <v/>
      </c>
      <c r="I1525">
        <f>IF(OR(('06_Сеть_и_дети'!I74-'06_Сеть_и_дети'!I102)=0,22&lt;='01_Вводные'!$B$297),0,('06_Сеть_и_дети'!I74-'06_Сеть_и_дети'!I102)*IF('01_Вводные'!$B$239="Да",MeanMinAge22+'19_Расчет_аналитики'!I1572*SUMIF(ThresholdAge22,"&lt;"&amp;'19_Расчет_аналитики'!I1572,WeightedRevAge22)-SUMIF(ThresholdAge22,"&lt;"&amp;'19_Расчет_аналитики'!I1572,WeightedMinAge22),MAX(CapacityAge22*'01_Вводные'!$B$218*'19_Расчет_аналитики'!I1572,MeanMinAge22)))</f>
        <v/>
      </c>
      <c r="J1525">
        <f>IF(OR(('06_Сеть_и_дети'!J74-'06_Сеть_и_дети'!J102)=0,22&lt;='01_Вводные'!$B$297),0,('06_Сеть_и_дети'!J74-'06_Сеть_и_дети'!J102)*IF('01_Вводные'!$B$239="Да",MeanMinAge22+'19_Расчет_аналитики'!J1572*SUMIF(ThresholdAge22,"&lt;"&amp;'19_Расчет_аналитики'!J1572,WeightedRevAge22)-SUMIF(ThresholdAge22,"&lt;"&amp;'19_Расчет_аналитики'!J1572,WeightedMinAge22),MAX(CapacityAge22*'01_Вводные'!$B$218*'19_Расчет_аналитики'!J1572,MeanMinAge22)))</f>
        <v/>
      </c>
      <c r="K1525">
        <f>IF(OR(('06_Сеть_и_дети'!K74-'06_Сеть_и_дети'!K102)=0,22&lt;='01_Вводные'!$B$297),0,('06_Сеть_и_дети'!K74-'06_Сеть_и_дети'!K102)*IF('01_Вводные'!$B$239="Да",MeanMinAge22+'19_Расчет_аналитики'!K1572*SUMIF(ThresholdAge22,"&lt;"&amp;'19_Расчет_аналитики'!K1572,WeightedRevAge22)-SUMIF(ThresholdAge22,"&lt;"&amp;'19_Расчет_аналитики'!K1572,WeightedMinAge22),MAX(CapacityAge22*'01_Вводные'!$B$218*'19_Расчет_аналитики'!K1572,MeanMinAge22)))</f>
        <v/>
      </c>
      <c r="L1525">
        <f>IF(OR(('06_Сеть_и_дети'!L74-'06_Сеть_и_дети'!L102)=0,22&lt;='01_Вводные'!$B$297),0,('06_Сеть_и_дети'!L74-'06_Сеть_и_дети'!L102)*IF('01_Вводные'!$B$239="Да",MeanMinAge22+'19_Расчет_аналитики'!L1572*SUMIF(ThresholdAge22,"&lt;"&amp;'19_Расчет_аналитики'!L1572,WeightedRevAge22)-SUMIF(ThresholdAge22,"&lt;"&amp;'19_Расчет_аналитики'!L1572,WeightedMinAge22),MAX(CapacityAge22*'01_Вводные'!$B$218*'19_Расчет_аналитики'!L1572,MeanMinAge22)))</f>
        <v/>
      </c>
      <c r="M1525">
        <f>IF(OR(('06_Сеть_и_дети'!M74-'06_Сеть_и_дети'!M102)=0,22&lt;='01_Вводные'!$B$297),0,('06_Сеть_и_дети'!M74-'06_Сеть_и_дети'!M102)*IF('01_Вводные'!$B$239="Да",MeanMinAge22+'19_Расчет_аналитики'!M1572*SUMIF(ThresholdAge22,"&lt;"&amp;'19_Расчет_аналитики'!M1572,WeightedRevAge22)-SUMIF(ThresholdAge22,"&lt;"&amp;'19_Расчет_аналитики'!M1572,WeightedMinAge22),MAX(CapacityAge22*'01_Вводные'!$B$218*'19_Расчет_аналитики'!M1572,MeanMinAge22)))</f>
        <v/>
      </c>
      <c r="N1525">
        <f>IF(OR(('06_Сеть_и_дети'!N74-'06_Сеть_и_дети'!N102)=0,22&lt;='01_Вводные'!$B$297),0,('06_Сеть_и_дети'!N74-'06_Сеть_и_дети'!N102)*IF('01_Вводные'!$B$239="Да",MeanMinAge22+'19_Расчет_аналитики'!N1572*SUMIF(ThresholdAge22,"&lt;"&amp;'19_Расчет_аналитики'!N1572,WeightedRevAge22)-SUMIF(ThresholdAge22,"&lt;"&amp;'19_Расчет_аналитики'!N1572,WeightedMinAge22),MAX(CapacityAge22*'01_Вводные'!$B$218*'19_Расчет_аналитики'!N1572,MeanMinAge22)))</f>
        <v/>
      </c>
      <c r="O1525">
        <f>IF(OR(('06_Сеть_и_дети'!O74-'06_Сеть_и_дети'!O102)=0,22&lt;='01_Вводные'!$B$297),0,('06_Сеть_и_дети'!O74-'06_Сеть_и_дети'!O102)*IF('01_Вводные'!$B$239="Да",MeanMinAge22+'19_Расчет_аналитики'!O1572*SUMIF(ThresholdAge22,"&lt;"&amp;'19_Расчет_аналитики'!O1572,WeightedRevAge22)-SUMIF(ThresholdAge22,"&lt;"&amp;'19_Расчет_аналитики'!O1572,WeightedMinAge22),MAX(CapacityAge22*'01_Вводные'!$B$218*'19_Расчет_аналитики'!O1572,MeanMinAge22)))</f>
        <v/>
      </c>
      <c r="P1525">
        <f>IF(OR(('06_Сеть_и_дети'!P74-'06_Сеть_и_дети'!P102)=0,22&lt;='01_Вводные'!$B$297),0,('06_Сеть_и_дети'!P74-'06_Сеть_и_дети'!P102)*IF('01_Вводные'!$B$239="Да",MeanMinAge22+'19_Расчет_аналитики'!P1572*SUMIF(ThresholdAge22,"&lt;"&amp;'19_Расчет_аналитики'!P1572,WeightedRevAge22)-SUMIF(ThresholdAge22,"&lt;"&amp;'19_Расчет_аналитики'!P1572,WeightedMinAge22),MAX(CapacityAge22*'01_Вводные'!$B$218*'19_Расчет_аналитики'!P1572,MeanMinAge22)))</f>
        <v/>
      </c>
      <c r="Q1525">
        <f>IF(OR(('06_Сеть_и_дети'!Q74-'06_Сеть_и_дети'!Q102)=0,22&lt;='01_Вводные'!$B$297),0,('06_Сеть_и_дети'!Q74-'06_Сеть_и_дети'!Q102)*IF('01_Вводные'!$B$239="Да",MeanMinAge22+'19_Расчет_аналитики'!Q1572*SUMIF(ThresholdAge22,"&lt;"&amp;'19_Расчет_аналитики'!Q1572,WeightedRevAge22)-SUMIF(ThresholdAge22,"&lt;"&amp;'19_Расчет_аналитики'!Q1572,WeightedMinAge22),MAX(CapacityAge22*'01_Вводные'!$B$218*'19_Расчет_аналитики'!Q1572,MeanMinAge22)))</f>
        <v/>
      </c>
      <c r="R1525">
        <f>IF(OR(('06_Сеть_и_дети'!R74-'06_Сеть_и_дети'!R102)=0,22&lt;='01_Вводные'!$B$297),0,('06_Сеть_и_дети'!R74-'06_Сеть_и_дети'!R102)*IF('01_Вводные'!$B$239="Да",MeanMinAge22+'19_Расчет_аналитики'!R1572*SUMIF(ThresholdAge22,"&lt;"&amp;'19_Расчет_аналитики'!R1572,WeightedRevAge22)-SUMIF(ThresholdAge22,"&lt;"&amp;'19_Расчет_аналитики'!R1572,WeightedMinAge22),MAX(CapacityAge22*'01_Вводные'!$B$218*'19_Расчет_аналитики'!R1572,MeanMinAge22)))</f>
        <v/>
      </c>
      <c r="S1525">
        <f>IF(OR(('06_Сеть_и_дети'!S74-'06_Сеть_и_дети'!S102)=0,22&lt;='01_Вводные'!$B$297),0,('06_Сеть_и_дети'!S74-'06_Сеть_и_дети'!S102)*IF('01_Вводные'!$B$239="Да",MeanMinAge22+'19_Расчет_аналитики'!S1572*SUMIF(ThresholdAge22,"&lt;"&amp;'19_Расчет_аналитики'!S1572,WeightedRevAge22)-SUMIF(ThresholdAge22,"&lt;"&amp;'19_Расчет_аналитики'!S1572,WeightedMinAge22),MAX(CapacityAge22*'01_Вводные'!$B$218*'19_Расчет_аналитики'!S1572,MeanMinAge22)))</f>
        <v/>
      </c>
      <c r="T1525">
        <f>IF(OR(('06_Сеть_и_дети'!T74-'06_Сеть_и_дети'!T102)=0,22&lt;='01_Вводные'!$B$297),0,('06_Сеть_и_дети'!T74-'06_Сеть_и_дети'!T102)*IF('01_Вводные'!$B$239="Да",MeanMinAge22+'19_Расчет_аналитики'!T1572*SUMIF(ThresholdAge22,"&lt;"&amp;'19_Расчет_аналитики'!T1572,WeightedRevAge22)-SUMIF(ThresholdAge22,"&lt;"&amp;'19_Расчет_аналитики'!T1572,WeightedMinAge22),MAX(CapacityAge22*'01_Вводные'!$B$218*'19_Расчет_аналитики'!T1572,MeanMinAge22)))</f>
        <v/>
      </c>
      <c r="U1525">
        <f>IF(OR(('06_Сеть_и_дети'!U74-'06_Сеть_и_дети'!U102)=0,22&lt;='01_Вводные'!$B$297),0,('06_Сеть_и_дети'!U74-'06_Сеть_и_дети'!U102)*IF('01_Вводные'!$B$239="Да",MeanMinAge22+'19_Расчет_аналитики'!U1572*SUMIF(ThresholdAge22,"&lt;"&amp;'19_Расчет_аналитики'!U1572,WeightedRevAge22)-SUMIF(ThresholdAge22,"&lt;"&amp;'19_Расчет_аналитики'!U1572,WeightedMinAge22),MAX(CapacityAge22*'01_Вводные'!$B$218*'19_Расчет_аналитики'!U1572,MeanMinAge22)))</f>
        <v/>
      </c>
      <c r="V1525">
        <f>IF(OR(('06_Сеть_и_дети'!V74-'06_Сеть_и_дети'!V102)=0,22&lt;='01_Вводные'!$B$297),0,('06_Сеть_и_дети'!V74-'06_Сеть_и_дети'!V102)*IF('01_Вводные'!$B$239="Да",MeanMinAge22+'19_Расчет_аналитики'!V1572*SUMIF(ThresholdAge22,"&lt;"&amp;'19_Расчет_аналитики'!V1572,WeightedRevAge22)-SUMIF(ThresholdAge22,"&lt;"&amp;'19_Расчет_аналитики'!V1572,WeightedMinAge22),MAX(CapacityAge22*'01_Вводные'!$B$218*'19_Расчет_аналитики'!V1572,MeanMinAge22)))</f>
        <v/>
      </c>
      <c r="W1525">
        <f>IF(OR(('19_Расчет_аналитики'!W1441-'19_Расчет_аналитики'!W1469)=0,22&lt;='01_Вводные'!$B$297),0,('19_Расчет_аналитики'!W1441-'19_Расчет_аналитики'!W1469)*IF('01_Вводные'!$B$239="Да",MeanMinAge22+'19_Расчет_аналитики'!W1572*SUMIF(ThresholdAge22,"&lt;"&amp;'19_Расчет_аналитики'!W1572,WeightedRevAge22)-SUMIF(ThresholdAge22,"&lt;"&amp;'19_Расчет_аналитики'!W1572,WeightedMinAge22),MAX(CapacityAge22*'01_Вводные'!$B$218*'19_Расчет_аналитики'!W1572,MeanMinAge22)))</f>
        <v/>
      </c>
      <c r="X1525">
        <f>IF(OR(('19_Расчет_аналитики'!X1441-'19_Расчет_аналитики'!X1469)=0,22&lt;='01_Вводные'!$B$297),0,('19_Расчет_аналитики'!X1441-'19_Расчет_аналитики'!X1469)*IF('01_Вводные'!$B$239="Да",MeanMinAge22+'19_Расчет_аналитики'!X1572*SUMIF(ThresholdAge22,"&lt;"&amp;'19_Расчет_аналитики'!X1572,WeightedRevAge22)-SUMIF(ThresholdAge22,"&lt;"&amp;'19_Расчет_аналитики'!X1572,WeightedMinAge22),MAX(CapacityAge22*'01_Вводные'!$B$218*'19_Расчет_аналитики'!X1572,MeanMinAge22)))</f>
        <v/>
      </c>
      <c r="Y1525">
        <f>IF(OR(('19_Расчет_аналитики'!Y1441-'19_Расчет_аналитики'!Y1469)=0,22&lt;='01_Вводные'!$B$297),0,('19_Расчет_аналитики'!Y1441-'19_Расчет_аналитики'!Y1469)*IF('01_Вводные'!$B$239="Да",MeanMinAge22+'19_Расчет_аналитики'!Y1572*SUMIF(ThresholdAge22,"&lt;"&amp;'19_Расчет_аналитики'!Y1572,WeightedRevAge22)-SUMIF(ThresholdAge22,"&lt;"&amp;'19_Расчет_аналитики'!Y1572,WeightedMinAge22),MAX(CapacityAge22*'01_Вводные'!$B$218*'19_Расчет_аналитики'!Y1572,MeanMinAge22)))</f>
        <v/>
      </c>
      <c r="Z1525">
        <f>IF(OR(('19_Расчет_аналитики'!Z1441-'19_Расчет_аналитики'!Z1469)=0,22&lt;='01_Вводные'!$B$297),0,('19_Расчет_аналитики'!Z1441-'19_Расчет_аналитики'!Z1469)*IF('01_Вводные'!$B$239="Да",MeanMinAge22+'19_Расчет_аналитики'!Z1572*SUMIF(ThresholdAge22,"&lt;"&amp;'19_Расчет_аналитики'!Z1572,WeightedRevAge22)-SUMIF(ThresholdAge22,"&lt;"&amp;'19_Расчет_аналитики'!Z1572,WeightedMinAge22),MAX(CapacityAge22*'01_Вводные'!$B$218*'19_Расчет_аналитики'!Z1572,MeanMinAge22)))</f>
        <v/>
      </c>
      <c r="AA1525">
        <f>IF(OR(('19_Расчет_аналитики'!AA1441-'19_Расчет_аналитики'!AA1469)=0,22&lt;='01_Вводные'!$B$297),0,('19_Расчет_аналитики'!AA1441-'19_Расчет_аналитики'!AA1469)*IF('01_Вводные'!$B$239="Да",MeanMinAge22+'19_Расчет_аналитики'!AA1572*SUMIF(ThresholdAge22,"&lt;"&amp;'19_Расчет_аналитики'!AA1572,WeightedRevAge22)-SUMIF(ThresholdAge22,"&lt;"&amp;'19_Расчет_аналитики'!AA1572,WeightedMinAge22),MAX(CapacityAge22*'01_Вводные'!$B$218*'19_Расчет_аналитики'!AA1572,MeanMinAge22)))</f>
        <v/>
      </c>
      <c r="AB1525">
        <f>IF(OR(('19_Расчет_аналитики'!AB1441-'19_Расчет_аналитики'!AB1469)=0,22&lt;='01_Вводные'!$B$297),0,('19_Расчет_аналитики'!AB1441-'19_Расчет_аналитики'!AB1469)*IF('01_Вводные'!$B$239="Да",MeanMinAge22+'19_Расчет_аналитики'!AB1572*SUMIF(ThresholdAge22,"&lt;"&amp;'19_Расчет_аналитики'!AB1572,WeightedRevAge22)-SUMIF(ThresholdAge22,"&lt;"&amp;'19_Расчет_аналитики'!AB1572,WeightedMinAge22),MAX(CapacityAge22*'01_Вводные'!$B$218*'19_Расчет_аналитики'!AB1572,MeanMinAge22)))</f>
        <v/>
      </c>
      <c r="AC1525">
        <f>IF(OR(('19_Расчет_аналитики'!AC1441-'19_Расчет_аналитики'!AC1469)=0,22&lt;='01_Вводные'!$B$297),0,('19_Расчет_аналитики'!AC1441-'19_Расчет_аналитики'!AC1469)*IF('01_Вводные'!$B$239="Да",MeanMinAge22+'19_Расчет_аналитики'!AC1572*SUMIF(ThresholdAge22,"&lt;"&amp;'19_Расчет_аналитики'!AC1572,WeightedRevAge22)-SUMIF(ThresholdAge22,"&lt;"&amp;'19_Расчет_аналитики'!AC1572,WeightedMinAge22),MAX(CapacityAge22*'01_Вводные'!$B$218*'19_Расчет_аналитики'!AC1572,MeanMinAge22)))</f>
        <v/>
      </c>
      <c r="AD1525">
        <f>IF(OR(('19_Расчет_аналитики'!AD1441-'19_Расчет_аналитики'!AD1469)=0,22&lt;='01_Вводные'!$B$297),0,('19_Расчет_аналитики'!AD1441-'19_Расчет_аналитики'!AD1469)*IF('01_Вводные'!$B$239="Да",MeanMinAge22+'19_Расчет_аналитики'!AD1572*SUMIF(ThresholdAge22,"&lt;"&amp;'19_Расчет_аналитики'!AD1572,WeightedRevAge22)-SUMIF(ThresholdAge22,"&lt;"&amp;'19_Расчет_аналитики'!AD1572,WeightedMinAge22),MAX(CapacityAge22*'01_Вводные'!$B$218*'19_Расчет_аналитики'!AD1572,MeanMinAge22)))</f>
        <v/>
      </c>
      <c r="AE1525">
        <f>IF(OR(('19_Расчет_аналитики'!AE1441-'19_Расчет_аналитики'!AE1469)=0,22&lt;='01_Вводные'!$B$297),0,('19_Расчет_аналитики'!AE1441-'19_Расчет_аналитики'!AE1469)*IF('01_Вводные'!$B$239="Да",MeanMinAge22+'19_Расчет_аналитики'!AE1572*SUMIF(ThresholdAge22,"&lt;"&amp;'19_Расчет_аналитики'!AE1572,WeightedRevAge22)-SUMIF(ThresholdAge22,"&lt;"&amp;'19_Расчет_аналитики'!AE1572,WeightedMinAge22),MAX(CapacityAge22*'01_Вводные'!$B$218*'19_Расчет_аналитики'!AE1572,MeanMinAge22)))</f>
        <v/>
      </c>
      <c r="AF1525">
        <f>IF(OR(('19_Расчет_аналитики'!AF1441-'19_Расчет_аналитики'!AF1469)=0,22&lt;='01_Вводные'!$B$297),0,('19_Расчет_аналитики'!AF1441-'19_Расчет_аналитики'!AF1469)*IF('01_Вводные'!$B$239="Да",MeanMinAge22+'19_Расчет_аналитики'!AF1572*SUMIF(ThresholdAge22,"&lt;"&amp;'19_Расчет_аналитики'!AF1572,WeightedRevAge22)-SUMIF(ThresholdAge22,"&lt;"&amp;'19_Расчет_аналитики'!AF1572,WeightedMinAge22),MAX(CapacityAge22*'01_Вводные'!$B$218*'19_Расчет_аналитики'!AF1572,MeanMinAge22)))</f>
        <v/>
      </c>
      <c r="AG1525">
        <f>IF(OR(('19_Расчет_аналитики'!AG1441-'19_Расчет_аналитики'!AG1469)=0,22&lt;='01_Вводные'!$B$297),0,('19_Расчет_аналитики'!AG1441-'19_Расчет_аналитики'!AG1469)*IF('01_Вводные'!$B$239="Да",MeanMinAge22+'19_Расчет_аналитики'!AG1572*SUMIF(ThresholdAge22,"&lt;"&amp;'19_Расчет_аналитики'!AG1572,WeightedRevAge22)-SUMIF(ThresholdAge22,"&lt;"&amp;'19_Расчет_аналитики'!AG1572,WeightedMinAge22),MAX(CapacityAge22*'01_Вводные'!$B$218*'19_Расчет_аналитики'!AG1572,MeanMinAge22)))</f>
        <v/>
      </c>
      <c r="AH1525">
        <f>IF(OR(('19_Расчет_аналитики'!AH1441-'19_Расчет_аналитики'!AH1469)=0,22&lt;='01_Вводные'!$B$297),0,('19_Расчет_аналитики'!AH1441-'19_Расчет_аналитики'!AH1469)*IF('01_Вводные'!$B$239="Да",MeanMinAge22+'19_Расчет_аналитики'!AH1572*SUMIF(ThresholdAge22,"&lt;"&amp;'19_Расчет_аналитики'!AH1572,WeightedRevAge22)-SUMIF(ThresholdAge22,"&lt;"&amp;'19_Расчет_аналитики'!AH1572,WeightedMinAge22),MAX(CapacityAge22*'01_Вводные'!$B$218*'19_Расчет_аналитики'!AH1572,MeanMinAge22)))</f>
        <v/>
      </c>
      <c r="AI1525">
        <f>IF(OR(('19_Расчет_аналитики'!AI1441-'19_Расчет_аналитики'!AI1469)=0,22&lt;='01_Вводные'!$B$297),0,('19_Расчет_аналитики'!AI1441-'19_Расчет_аналитики'!AI1469)*IF('01_Вводные'!$B$239="Да",MeanMinAge22+'19_Расчет_аналитики'!AI1572*SUMIF(ThresholdAge22,"&lt;"&amp;'19_Расчет_аналитики'!AI1572,WeightedRevAge22)-SUMIF(ThresholdAge22,"&lt;"&amp;'19_Расчет_аналитики'!AI1572,WeightedMinAge22),MAX(CapacityAge22*'01_Вводные'!$B$218*'19_Расчет_аналитики'!AI1572,MeanMinAge22)))</f>
        <v/>
      </c>
      <c r="AJ1525">
        <f>IF(OR(('19_Расчет_аналитики'!AJ1441-'19_Расчет_аналитики'!AJ1469)=0,22&lt;='01_Вводные'!$B$297),0,('19_Расчет_аналитики'!AJ1441-'19_Расчет_аналитики'!AJ1469)*IF('01_Вводные'!$B$239="Да",MeanMinAge22+'19_Расчет_аналитики'!AJ1572*SUMIF(ThresholdAge22,"&lt;"&amp;'19_Расчет_аналитики'!AJ1572,WeightedRevAge22)-SUMIF(ThresholdAge22,"&lt;"&amp;'19_Расчет_аналитики'!AJ1572,WeightedMinAge22),MAX(CapacityAge22*'01_Вводные'!$B$218*'19_Расчет_аналитики'!AJ1572,MeanMinAge22)))</f>
        <v/>
      </c>
      <c r="AK1525">
        <f>IF(OR(('19_Расчет_аналитики'!AK1441-'19_Расчет_аналитики'!AK1469)=0,22&lt;='01_Вводные'!$B$297),0,('19_Расчет_аналитики'!AK1441-'19_Расчет_аналитики'!AK1469)*IF('01_Вводные'!$B$239="Да",MeanMinAge22+'19_Расчет_аналитики'!AK1572*SUMIF(ThresholdAge22,"&lt;"&amp;'19_Расчет_аналитики'!AK1572,WeightedRevAge22)-SUMIF(ThresholdAge22,"&lt;"&amp;'19_Расчет_аналитики'!AK1572,WeightedMinAge22),MAX(CapacityAge22*'01_Вводные'!$B$218*'19_Расчет_аналитики'!AK1572,MeanMinAge22)))</f>
        <v/>
      </c>
      <c r="AL1525">
        <f>IF(OR(('19_Расчет_аналитики'!AL1441-'19_Расчет_аналитики'!AL1469)=0,22&lt;='01_Вводные'!$B$297),0,('19_Расчет_аналитики'!AL1441-'19_Расчет_аналитики'!AL1469)*IF('01_Вводные'!$B$239="Да",MeanMinAge22+'19_Расчет_аналитики'!AL1572*SUMIF(ThresholdAge22,"&lt;"&amp;'19_Расчет_аналитики'!AL1572,WeightedRevAge22)-SUMIF(ThresholdAge22,"&lt;"&amp;'19_Расчет_аналитики'!AL1572,WeightedMinAge22),MAX(CapacityAge22*'01_Вводные'!$B$218*'19_Расчет_аналитики'!AL1572,MeanMinAge22)))</f>
        <v/>
      </c>
      <c r="AM1525">
        <f>IF(OR(('19_Расчет_аналитики'!AM1441-'19_Расчет_аналитики'!AM1469)=0,22&lt;='01_Вводные'!$B$297),0,('19_Расчет_аналитики'!AM1441-'19_Расчет_аналитики'!AM1469)*IF('01_Вводные'!$B$239="Да",MeanMinAge22+'19_Расчет_аналитики'!AM1572*SUMIF(ThresholdAge22,"&lt;"&amp;'19_Расчет_аналитики'!AM1572,WeightedRevAge22)-SUMIF(ThresholdAge22,"&lt;"&amp;'19_Расчет_аналитики'!AM1572,WeightedMinAge22),MAX(CapacityAge22*'01_Вводные'!$B$218*'19_Расчет_аналитики'!AM1572,MeanMinAge22)))</f>
        <v/>
      </c>
      <c r="AN1525">
        <f>IF(OR(('19_Расчет_аналитики'!AN1441-'19_Расчет_аналитики'!AN1469)=0,22&lt;='01_Вводные'!$B$297),0,('19_Расчет_аналитики'!AN1441-'19_Расчет_аналитики'!AN1469)*IF('01_Вводные'!$B$239="Да",MeanMinAge22+'19_Расчет_аналитики'!AN1572*SUMIF(ThresholdAge22,"&lt;"&amp;'19_Расчет_аналитики'!AN1572,WeightedRevAge22)-SUMIF(ThresholdAge22,"&lt;"&amp;'19_Расчет_аналитики'!AN1572,WeightedMinAge22),MAX(CapacityAge22*'01_Вводные'!$B$218*'19_Расчет_аналитики'!AN1572,MeanMinAge22)))</f>
        <v/>
      </c>
      <c r="AO1525">
        <f>IF(OR(('19_Расчет_аналитики'!AO1441-'19_Расчет_аналитики'!AO1469)=0,22&lt;='01_Вводные'!$B$297),0,('19_Расчет_аналитики'!AO1441-'19_Расчет_аналитики'!AO1469)*IF('01_Вводные'!$B$239="Да",MeanMinAge22+'19_Расчет_аналитики'!AO1572*SUMIF(ThresholdAge22,"&lt;"&amp;'19_Расчет_аналитики'!AO1572,WeightedRevAge22)-SUMIF(ThresholdAge22,"&lt;"&amp;'19_Расчет_аналитики'!AO1572,WeightedMinAge22),MAX(CapacityAge22*'01_Вводные'!$B$218*'19_Расчет_аналитики'!AO1572,MeanMinAge22)))</f>
        <v/>
      </c>
      <c r="AP1525">
        <f>IF(OR(('19_Расчет_аналитики'!AP1441-'19_Расчет_аналитики'!AP1469)=0,22&lt;='01_Вводные'!$B$297),0,('19_Расчет_аналитики'!AP1441-'19_Расчет_аналитики'!AP1469)*IF('01_Вводные'!$B$239="Да",MeanMinAge22+'19_Расчет_аналитики'!AP1572*SUMIF(ThresholdAge22,"&lt;"&amp;'19_Расчет_аналитики'!AP1572,WeightedRevAge22)-SUMIF(ThresholdAge22,"&lt;"&amp;'19_Расчет_аналитики'!AP1572,WeightedMinAge22),MAX(CapacityAge22*'01_Вводные'!$B$218*'19_Расчет_аналитики'!AP1572,MeanMinAge22)))</f>
        <v/>
      </c>
      <c r="AQ1525">
        <f>IF(OR(('19_Расчет_аналитики'!AQ1441-'19_Расчет_аналитики'!AQ1469)=0,22&lt;='01_Вводные'!$B$297),0,('19_Расчет_аналитики'!AQ1441-'19_Расчет_аналитики'!AQ1469)*IF('01_Вводные'!$B$239="Да",MeanMinAge22+'19_Расчет_аналитики'!AQ1572*SUMIF(ThresholdAge22,"&lt;"&amp;'19_Расчет_аналитики'!AQ1572,WeightedRevAge22)-SUMIF(ThresholdAge22,"&lt;"&amp;'19_Расчет_аналитики'!AQ1572,WeightedMinAge22),MAX(CapacityAge22*'01_Вводные'!$B$218*'19_Расчет_аналитики'!AQ1572,MeanMinAge22)))</f>
        <v/>
      </c>
      <c r="AR1525">
        <f>IF(OR(('19_Расчет_аналитики'!AR1441-'19_Расчет_аналитики'!AR1469)=0,22&lt;='01_Вводные'!$B$297),0,('19_Расчет_аналитики'!AR1441-'19_Расчет_аналитики'!AR1469)*IF('01_Вводные'!$B$239="Да",MeanMinAge22+'19_Расчет_аналитики'!AR1572*SUMIF(ThresholdAge22,"&lt;"&amp;'19_Расчет_аналитики'!AR1572,WeightedRevAge22)-SUMIF(ThresholdAge22,"&lt;"&amp;'19_Расчет_аналитики'!AR1572,WeightedMinAge22),MAX(CapacityAge22*'01_Вводные'!$B$218*'19_Расчет_аналитики'!AR1572,MeanMinAge22)))</f>
        <v/>
      </c>
      <c r="AS1525">
        <f>IF(OR(('19_Расчет_аналитики'!AS1441-'19_Расчет_аналитики'!AS1469)=0,22&lt;='01_Вводные'!$B$297),0,('19_Расчет_аналитики'!AS1441-'19_Расчет_аналитики'!AS1469)*IF('01_Вводные'!$B$239="Да",MeanMinAge22+'19_Расчет_аналитики'!AS1572*SUMIF(ThresholdAge22,"&lt;"&amp;'19_Расчет_аналитики'!AS1572,WeightedRevAge22)-SUMIF(ThresholdAge22,"&lt;"&amp;'19_Расчет_аналитики'!AS1572,WeightedMinAge22),MAX(CapacityAge22*'01_Вводные'!$B$218*'19_Расчет_аналитики'!AS1572,MeanMinAge22)))</f>
        <v/>
      </c>
      <c r="AT1525">
        <f>IF(OR(('19_Расчет_аналитики'!AT1441-'19_Расчет_аналитики'!AT1469)=0,22&lt;='01_Вводные'!$B$297),0,('19_Расчет_аналитики'!AT1441-'19_Расчет_аналитики'!AT1469)*IF('01_Вводные'!$B$239="Да",MeanMinAge22+'19_Расчет_аналитики'!AT1572*SUMIF(ThresholdAge22,"&lt;"&amp;'19_Расчет_аналитики'!AT1572,WeightedRevAge22)-SUMIF(ThresholdAge22,"&lt;"&amp;'19_Расчет_аналитики'!AT1572,WeightedMinAge22),MAX(CapacityAge22*'01_Вводные'!$B$218*'19_Расчет_аналитики'!AT1572,MeanMinAge22)))</f>
        <v/>
      </c>
      <c r="AU1525">
        <f>IF(OR(('19_Расчет_аналитики'!AU1441-'19_Расчет_аналитики'!AU1469)=0,22&lt;='01_Вводные'!$B$297),0,('19_Расчет_аналитики'!AU1441-'19_Расчет_аналитики'!AU1469)*IF('01_Вводные'!$B$239="Да",MeanMinAge22+'19_Расчет_аналитики'!AU1572*SUMIF(ThresholdAge22,"&lt;"&amp;'19_Расчет_аналитики'!AU1572,WeightedRevAge22)-SUMIF(ThresholdAge22,"&lt;"&amp;'19_Расчет_аналитики'!AU1572,WeightedMinAge22),MAX(CapacityAge22*'01_Вводные'!$B$218*'19_Расчет_аналитики'!AU1572,MeanMinAge22)))</f>
        <v/>
      </c>
      <c r="AV1525">
        <f>IF(OR(('19_Расчет_аналитики'!AV1441-'19_Расчет_аналитики'!AV1469)=0,22&lt;='01_Вводные'!$B$297),0,('19_Расчет_аналитики'!AV1441-'19_Расчет_аналитики'!AV1469)*IF('01_Вводные'!$B$239="Да",MeanMinAge22+'19_Расчет_аналитики'!AV1572*SUMIF(ThresholdAge22,"&lt;"&amp;'19_Расчет_аналитики'!AV1572,WeightedRevAge22)-SUMIF(ThresholdAge22,"&lt;"&amp;'19_Расчет_аналитики'!AV1572,WeightedMinAge22),MAX(CapacityAge22*'01_Вводные'!$B$218*'19_Расчет_аналитики'!AV1572,MeanMinAge22)))</f>
        <v/>
      </c>
      <c r="AW1525">
        <f>IF(OR(('19_Расчет_аналитики'!AW1441-'19_Расчет_аналитики'!AW1469)=0,22&lt;='01_Вводные'!$B$297),0,('19_Расчет_аналитики'!AW1441-'19_Расчет_аналитики'!AW1469)*IF('01_Вводные'!$B$239="Да",MeanMinAge22+'19_Расчет_аналитики'!AW1572*SUMIF(ThresholdAge22,"&lt;"&amp;'19_Расчет_аналитики'!AW1572,WeightedRevAge22)-SUMIF(ThresholdAge22,"&lt;"&amp;'19_Расчет_аналитики'!AW1572,WeightedMinAge22),MAX(CapacityAge22*'01_Вводные'!$B$218*'19_Расчет_аналитики'!AW1572,MeanMinAge22)))</f>
        <v/>
      </c>
      <c r="AX1525">
        <f>IF(OR(('19_Расчет_аналитики'!AX1441-'19_Расчет_аналитики'!AX1469)=0,22&lt;='01_Вводные'!$B$297),0,('19_Расчет_аналитики'!AX1441-'19_Расчет_аналитики'!AX1469)*IF('01_Вводные'!$B$239="Да",MeanMinAge22+'19_Расчет_аналитики'!AX1572*SUMIF(ThresholdAge22,"&lt;"&amp;'19_Расчет_аналитики'!AX1572,WeightedRevAge22)-SUMIF(ThresholdAge22,"&lt;"&amp;'19_Расчет_аналитики'!AX1572,WeightedMinAge22),MAX(CapacityAge22*'01_Вводные'!$B$218*'19_Расчет_аналитики'!AX1572,MeanMinAge22)))</f>
        <v/>
      </c>
      <c r="AY1525">
        <f>IF(OR(('19_Расчет_аналитики'!AY1441-'19_Расчет_аналитики'!AY1469)=0,22&lt;='01_Вводные'!$B$297),0,('19_Расчет_аналитики'!AY1441-'19_Расчет_аналитики'!AY1469)*IF('01_Вводные'!$B$239="Да",MeanMinAge22+'19_Расчет_аналитики'!AY1572*SUMIF(ThresholdAge22,"&lt;"&amp;'19_Расчет_аналитики'!AY1572,WeightedRevAge22)-SUMIF(ThresholdAge22,"&lt;"&amp;'19_Расчет_аналитики'!AY1572,WeightedMinAge22),MAX(CapacityAge22*'01_Вводные'!$B$218*'19_Расчет_аналитики'!AY1572,MeanMinAge22)))</f>
        <v/>
      </c>
      <c r="AZ1525">
        <f>IF(OR(('19_Расчет_аналитики'!AZ1441-'19_Расчет_аналитики'!AZ1469)=0,22&lt;='01_Вводные'!$B$297),0,('19_Расчет_аналитики'!AZ1441-'19_Расчет_аналитики'!AZ1469)*IF('01_Вводные'!$B$239="Да",MeanMinAge22+'19_Расчет_аналитики'!AZ1572*SUMIF(ThresholdAge22,"&lt;"&amp;'19_Расчет_аналитики'!AZ1572,WeightedRevAge22)-SUMIF(ThresholdAge22,"&lt;"&amp;'19_Расчет_аналитики'!AZ1572,WeightedMinAge22),MAX(CapacityAge22*'01_Вводные'!$B$218*'19_Расчет_аналитики'!AZ1572,MeanMinAge22)))</f>
        <v/>
      </c>
      <c r="BA1525">
        <f>IF(OR(('19_Расчет_аналитики'!BA1441-'19_Расчет_аналитики'!BA1469)=0,22&lt;='01_Вводные'!$B$297),0,('19_Расчет_аналитики'!BA1441-'19_Расчет_аналитики'!BA1469)*IF('01_Вводные'!$B$239="Да",MeanMinAge22+'19_Расчет_аналитики'!BA1572*SUMIF(ThresholdAge22,"&lt;"&amp;'19_Расчет_аналитики'!BA1572,WeightedRevAge22)-SUMIF(ThresholdAge22,"&lt;"&amp;'19_Расчет_аналитики'!BA1572,WeightedMinAge22),MAX(CapacityAge22*'01_Вводные'!$B$218*'19_Расчет_аналитики'!BA1572,MeanMinAge22)))</f>
        <v/>
      </c>
      <c r="BB1525">
        <f>IF(OR(('19_Расчет_аналитики'!BB1441-'19_Расчет_аналитики'!BB1469)=0,22&lt;='01_Вводные'!$B$297),0,('19_Расчет_аналитики'!BB1441-'19_Расчет_аналитики'!BB1469)*IF('01_Вводные'!$B$239="Да",MeanMinAge22+'19_Расчет_аналитики'!BB1572*SUMIF(ThresholdAge22,"&lt;"&amp;'19_Расчет_аналитики'!BB1572,WeightedRevAge22)-SUMIF(ThresholdAge22,"&lt;"&amp;'19_Расчет_аналитики'!BB1572,WeightedMinAge22),MAX(CapacityAge22*'01_Вводные'!$B$218*'19_Расчет_аналитики'!BB1572,MeanMinAge22)))</f>
        <v/>
      </c>
      <c r="BC1525">
        <f>IF(OR(('19_Расчет_аналитики'!BC1441-'19_Расчет_аналитики'!BC1469)=0,22&lt;='01_Вводные'!$B$297),0,('19_Расчет_аналитики'!BC1441-'19_Расчет_аналитики'!BC1469)*IF('01_Вводные'!$B$239="Да",MeanMinAge22+'19_Расчет_аналитики'!BC1572*SUMIF(ThresholdAge22,"&lt;"&amp;'19_Расчет_аналитики'!BC1572,WeightedRevAge22)-SUMIF(ThresholdAge22,"&lt;"&amp;'19_Расчет_аналитики'!BC1572,WeightedMinAge22),MAX(CapacityAge22*'01_Вводные'!$B$218*'19_Расчет_аналитики'!BC1572,MeanMinAge22)))</f>
        <v/>
      </c>
      <c r="BD1525">
        <f>IF(OR(('19_Расчет_аналитики'!BD1441-'19_Расчет_аналитики'!BD1469)=0,22&lt;='01_Вводные'!$B$297),0,('19_Расчет_аналитики'!BD1441-'19_Расчет_аналитики'!BD1469)*IF('01_Вводные'!$B$239="Да",MeanMinAge22+'19_Расчет_аналитики'!BD1572*SUMIF(ThresholdAge22,"&lt;"&amp;'19_Расчет_аналитики'!BD1572,WeightedRevAge22)-SUMIF(ThresholdAge22,"&lt;"&amp;'19_Расчет_аналитики'!BD1572,WeightedMinAge22),MAX(CapacityAge22*'01_Вводные'!$B$218*'19_Расчет_аналитики'!BD1572,MeanMinAge22)))</f>
        <v/>
      </c>
      <c r="BE1525">
        <f>IF(OR(('19_Расчет_аналитики'!BE1441-'19_Расчет_аналитики'!BE1469)=0,22&lt;='01_Вводные'!$B$297),0,('19_Расчет_аналитики'!BE1441-'19_Расчет_аналитики'!BE1469)*IF('01_Вводные'!$B$239="Да",MeanMinAge22+'19_Расчет_аналитики'!BE1572*SUMIF(ThresholdAge22,"&lt;"&amp;'19_Расчет_аналитики'!BE1572,WeightedRevAge22)-SUMIF(ThresholdAge22,"&lt;"&amp;'19_Расчет_аналитики'!BE1572,WeightedMinAge22),MAX(CapacityAge22*'01_Вводные'!$B$218*'19_Расчет_аналитики'!BE1572,MeanMinAge22)))</f>
        <v/>
      </c>
      <c r="BF1525">
        <f>IF(OR(('19_Расчет_аналитики'!BF1441-'19_Расчет_аналитики'!BF1469)=0,22&lt;='01_Вводные'!$B$297),0,('19_Расчет_аналитики'!BF1441-'19_Расчет_аналитики'!BF1469)*IF('01_Вводные'!$B$239="Да",MeanMinAge22+'19_Расчет_аналитики'!BF1572*SUMIF(ThresholdAge22,"&lt;"&amp;'19_Расчет_аналитики'!BF1572,WeightedRevAge22)-SUMIF(ThresholdAge22,"&lt;"&amp;'19_Расчет_аналитики'!BF1572,WeightedMinAge22),MAX(CapacityAge22*'01_Вводные'!$B$218*'19_Расчет_аналитики'!BF1572,MeanMinAge22)))</f>
        <v/>
      </c>
      <c r="BG1525">
        <f>IF(OR(('19_Расчет_аналитики'!BG1441-'19_Расчет_аналитики'!BG1469)=0,22&lt;='01_Вводные'!$B$297),0,('19_Расчет_аналитики'!BG1441-'19_Расчет_аналитики'!BG1469)*IF('01_Вводные'!$B$239="Да",MeanMinAge22+'19_Расчет_аналитики'!BG1572*SUMIF(ThresholdAge22,"&lt;"&amp;'19_Расчет_аналитики'!BG1572,WeightedRevAge22)-SUMIF(ThresholdAge22,"&lt;"&amp;'19_Расчет_аналитики'!BG1572,WeightedMinAge22),MAX(CapacityAge22*'01_Вводные'!$B$218*'19_Расчет_аналитики'!BG1572,MeanMinAge22)))</f>
        <v/>
      </c>
      <c r="BH1525">
        <f>IF(OR(('19_Расчет_аналитики'!BH1441-'19_Расчет_аналитики'!BH1469)=0,22&lt;='01_Вводные'!$B$297),0,('19_Расчет_аналитики'!BH1441-'19_Расчет_аналитики'!BH1469)*IF('01_Вводные'!$B$239="Да",MeanMinAge22+'19_Расчет_аналитики'!BH1572*SUMIF(ThresholdAge22,"&lt;"&amp;'19_Расчет_аналитики'!BH1572,WeightedRevAge22)-SUMIF(ThresholdAge22,"&lt;"&amp;'19_Расчет_аналитики'!BH1572,WeightedMinAge22),MAX(CapacityAge22*'01_Вводные'!$B$218*'19_Расчет_аналитики'!BH1572,MeanMinAge22)))</f>
        <v/>
      </c>
      <c r="BI1525">
        <f>IF(OR(('19_Расчет_аналитики'!BI1441-'19_Расчет_аналитики'!BI1469)=0,22&lt;='01_Вводные'!$B$297),0,('19_Расчет_аналитики'!BI1441-'19_Расчет_аналитики'!BI1469)*IF('01_Вводные'!$B$239="Да",MeanMinAge22+'19_Расчет_аналитики'!BI1572*SUMIF(ThresholdAge22,"&lt;"&amp;'19_Расчет_аналитики'!BI1572,WeightedRevAge22)-SUMIF(ThresholdAge22,"&lt;"&amp;'19_Расчет_аналитики'!BI1572,WeightedMinAge22),MAX(CapacityAge22*'01_Вводные'!$B$218*'19_Расчет_аналитики'!BI1572,MeanMinAge22)))</f>
        <v/>
      </c>
      <c r="BJ1525">
        <f>IF(OR(('19_Расчет_аналитики'!BJ1441-'19_Расчет_аналитики'!BJ1469)=0,22&lt;='01_Вводные'!$B$297),0,('19_Расчет_аналитики'!BJ1441-'19_Расчет_аналитики'!BJ1469)*IF('01_Вводные'!$B$239="Да",MeanMinAge22+'19_Расчет_аналитики'!BJ1572*SUMIF(ThresholdAge22,"&lt;"&amp;'19_Расчет_аналитики'!BJ1572,WeightedRevAge22)-SUMIF(ThresholdAge22,"&lt;"&amp;'19_Расчет_аналитики'!BJ1572,WeightedMinAge22),MAX(CapacityAge22*'01_Вводные'!$B$218*'19_Расчет_аналитики'!BJ1572,MeanMinAge22)))</f>
        <v/>
      </c>
      <c r="BK1525">
        <f>IF(OR(('19_Расчет_аналитики'!BK1441-'19_Расчет_аналитики'!BK1469)=0,22&lt;='01_Вводные'!$B$297),0,('19_Расчет_аналитики'!BK1441-'19_Расчет_аналитики'!BK1469)*IF('01_Вводные'!$B$239="Да",MeanMinAge22+'19_Расчет_аналитики'!BK1572*SUMIF(ThresholdAge22,"&lt;"&amp;'19_Расчет_аналитики'!BK1572,WeightedRevAge22)-SUMIF(ThresholdAge22,"&lt;"&amp;'19_Расчет_аналитики'!BK1572,WeightedMinAge22),MAX(CapacityAge22*'01_Вводные'!$B$218*'19_Расчет_аналитики'!BK1572,MeanMinAge22)))</f>
        <v/>
      </c>
      <c r="BL1525">
        <f>IF(OR(('19_Расчет_аналитики'!BL1441-'19_Расчет_аналитики'!BL1469)=0,22&lt;='01_Вводные'!$B$297),0,('19_Расчет_аналитики'!BL1441-'19_Расчет_аналитики'!BL1469)*IF('01_Вводные'!$B$239="Да",MeanMinAge22+'19_Расчет_аналитики'!BL1572*SUMIF(ThresholdAge22,"&lt;"&amp;'19_Расчет_аналитики'!BL1572,WeightedRevAge22)-SUMIF(ThresholdAge22,"&lt;"&amp;'19_Расчет_аналитики'!BL1572,WeightedMinAge22),MAX(CapacityAge22*'01_Вводные'!$B$218*'19_Расчет_аналитики'!BL1572,MeanMinAge22)))</f>
        <v/>
      </c>
      <c r="BM1525">
        <f>IF(OR(('19_Расчет_аналитики'!BM1441-'19_Расчет_аналитики'!BM1469)=0,22&lt;='01_Вводные'!$B$297),0,('19_Расчет_аналитики'!BM1441-'19_Расчет_аналитики'!BM1469)*IF('01_Вводные'!$B$239="Да",MeanMinAge22+'19_Расчет_аналитики'!BM1572*SUMIF(ThresholdAge22,"&lt;"&amp;'19_Расчет_аналитики'!BM1572,WeightedRevAge22)-SUMIF(ThresholdAge22,"&lt;"&amp;'19_Расчет_аналитики'!BM1572,WeightedMinAge22),MAX(CapacityAge22*'01_Вводные'!$B$218*'19_Расчет_аналитики'!BM1572,MeanMinAge22)))</f>
        <v/>
      </c>
      <c r="BN1525">
        <f>IF(OR(('19_Расчет_аналитики'!BN1441-'19_Расчет_аналитики'!BN1469)=0,22&lt;='01_Вводные'!$B$297),0,('19_Расчет_аналитики'!BN1441-'19_Расчет_аналитики'!BN1469)*IF('01_Вводные'!$B$239="Да",MeanMinAge22+'19_Расчет_аналитики'!BN1572*SUMIF(ThresholdAge22,"&lt;"&amp;'19_Расчет_аналитики'!BN1572,WeightedRevAge22)-SUMIF(ThresholdAge22,"&lt;"&amp;'19_Расчет_аналитики'!BN1572,WeightedMinAge22),MAX(CapacityAge22*'01_Вводные'!$B$218*'19_Расчет_аналитики'!BN1572,MeanMinAge22)))</f>
        <v/>
      </c>
      <c r="BO1525">
        <f>IF(OR(('19_Расчет_аналитики'!BO1441-'19_Расчет_аналитики'!BO1469)=0,22&lt;='01_Вводные'!$B$297),0,('19_Расчет_аналитики'!BO1441-'19_Расчет_аналитики'!BO1469)*IF('01_Вводные'!$B$239="Да",MeanMinAge22+'19_Расчет_аналитики'!BO1572*SUMIF(ThresholdAge22,"&lt;"&amp;'19_Расчет_аналитики'!BO1572,WeightedRevAge22)-SUMIF(ThresholdAge22,"&lt;"&amp;'19_Расчет_аналитики'!BO1572,WeightedMinAge22),MAX(CapacityAge22*'01_Вводные'!$B$218*'19_Расчет_аналитики'!BO1572,MeanMinAge22)))</f>
        <v/>
      </c>
    </row>
    <row r="1526">
      <c r="B1526">
        <f>IF(OR(('06_Сеть_и_дети'!B75-'06_Сеть_и_дети'!B103)=0,23&lt;='01_Вводные'!$B$297),0,('06_Сеть_и_дети'!B75-'06_Сеть_и_дети'!B103)*IF('01_Вводные'!$B$239="Да",MeanMinAge23+'19_Расчет_аналитики'!B1572*SUMIF(ThresholdAge23,"&lt;"&amp;'19_Расчет_аналитики'!B1572,WeightedRevAge23)-SUMIF(ThresholdAge23,"&lt;"&amp;'19_Расчет_аналитики'!B1572,WeightedMinAge23),MAX(CapacityAge23*'01_Вводные'!$B$218*'19_Расчет_аналитики'!B1572,MeanMinAge23)))</f>
        <v/>
      </c>
      <c r="C1526">
        <f>IF(OR(('06_Сеть_и_дети'!C75-'06_Сеть_и_дети'!C103)=0,23&lt;='01_Вводные'!$B$297),0,('06_Сеть_и_дети'!C75-'06_Сеть_и_дети'!C103)*IF('01_Вводные'!$B$239="Да",MeanMinAge23+'19_Расчет_аналитики'!C1572*SUMIF(ThresholdAge23,"&lt;"&amp;'19_Расчет_аналитики'!C1572,WeightedRevAge23)-SUMIF(ThresholdAge23,"&lt;"&amp;'19_Расчет_аналитики'!C1572,WeightedMinAge23),MAX(CapacityAge23*'01_Вводные'!$B$218*'19_Расчет_аналитики'!C1572,MeanMinAge23)))</f>
        <v/>
      </c>
      <c r="D1526">
        <f>IF(OR(('06_Сеть_и_дети'!D75-'06_Сеть_и_дети'!D103)=0,23&lt;='01_Вводные'!$B$297),0,('06_Сеть_и_дети'!D75-'06_Сеть_и_дети'!D103)*IF('01_Вводные'!$B$239="Да",MeanMinAge23+'19_Расчет_аналитики'!D1572*SUMIF(ThresholdAge23,"&lt;"&amp;'19_Расчет_аналитики'!D1572,WeightedRevAge23)-SUMIF(ThresholdAge23,"&lt;"&amp;'19_Расчет_аналитики'!D1572,WeightedMinAge23),MAX(CapacityAge23*'01_Вводные'!$B$218*'19_Расчет_аналитики'!D1572,MeanMinAge23)))</f>
        <v/>
      </c>
      <c r="E1526">
        <f>IF(OR(('06_Сеть_и_дети'!E75-'06_Сеть_и_дети'!E103)=0,23&lt;='01_Вводные'!$B$297),0,('06_Сеть_и_дети'!E75-'06_Сеть_и_дети'!E103)*IF('01_Вводные'!$B$239="Да",MeanMinAge23+'19_Расчет_аналитики'!E1572*SUMIF(ThresholdAge23,"&lt;"&amp;'19_Расчет_аналитики'!E1572,WeightedRevAge23)-SUMIF(ThresholdAge23,"&lt;"&amp;'19_Расчет_аналитики'!E1572,WeightedMinAge23),MAX(CapacityAge23*'01_Вводные'!$B$218*'19_Расчет_аналитики'!E1572,MeanMinAge23)))</f>
        <v/>
      </c>
      <c r="F1526">
        <f>IF(OR(('06_Сеть_и_дети'!F75-'06_Сеть_и_дети'!F103)=0,23&lt;='01_Вводные'!$B$297),0,('06_Сеть_и_дети'!F75-'06_Сеть_и_дети'!F103)*IF('01_Вводные'!$B$239="Да",MeanMinAge23+'19_Расчет_аналитики'!F1572*SUMIF(ThresholdAge23,"&lt;"&amp;'19_Расчет_аналитики'!F1572,WeightedRevAge23)-SUMIF(ThresholdAge23,"&lt;"&amp;'19_Расчет_аналитики'!F1572,WeightedMinAge23),MAX(CapacityAge23*'01_Вводные'!$B$218*'19_Расчет_аналитики'!F1572,MeanMinAge23)))</f>
        <v/>
      </c>
      <c r="G1526">
        <f>IF(OR(('06_Сеть_и_дети'!G75-'06_Сеть_и_дети'!G103)=0,23&lt;='01_Вводные'!$B$297),0,('06_Сеть_и_дети'!G75-'06_Сеть_и_дети'!G103)*IF('01_Вводные'!$B$239="Да",MeanMinAge23+'19_Расчет_аналитики'!G1572*SUMIF(ThresholdAge23,"&lt;"&amp;'19_Расчет_аналитики'!G1572,WeightedRevAge23)-SUMIF(ThresholdAge23,"&lt;"&amp;'19_Расчет_аналитики'!G1572,WeightedMinAge23),MAX(CapacityAge23*'01_Вводные'!$B$218*'19_Расчет_аналитики'!G1572,MeanMinAge23)))</f>
        <v/>
      </c>
      <c r="H1526">
        <f>IF(OR(('06_Сеть_и_дети'!H75-'06_Сеть_и_дети'!H103)=0,23&lt;='01_Вводные'!$B$297),0,('06_Сеть_и_дети'!H75-'06_Сеть_и_дети'!H103)*IF('01_Вводные'!$B$239="Да",MeanMinAge23+'19_Расчет_аналитики'!H1572*SUMIF(ThresholdAge23,"&lt;"&amp;'19_Расчет_аналитики'!H1572,WeightedRevAge23)-SUMIF(ThresholdAge23,"&lt;"&amp;'19_Расчет_аналитики'!H1572,WeightedMinAge23),MAX(CapacityAge23*'01_Вводные'!$B$218*'19_Расчет_аналитики'!H1572,MeanMinAge23)))</f>
        <v/>
      </c>
      <c r="I1526">
        <f>IF(OR(('06_Сеть_и_дети'!I75-'06_Сеть_и_дети'!I103)=0,23&lt;='01_Вводные'!$B$297),0,('06_Сеть_и_дети'!I75-'06_Сеть_и_дети'!I103)*IF('01_Вводные'!$B$239="Да",MeanMinAge23+'19_Расчет_аналитики'!I1572*SUMIF(ThresholdAge23,"&lt;"&amp;'19_Расчет_аналитики'!I1572,WeightedRevAge23)-SUMIF(ThresholdAge23,"&lt;"&amp;'19_Расчет_аналитики'!I1572,WeightedMinAge23),MAX(CapacityAge23*'01_Вводные'!$B$218*'19_Расчет_аналитики'!I1572,MeanMinAge23)))</f>
        <v/>
      </c>
      <c r="J1526">
        <f>IF(OR(('06_Сеть_и_дети'!J75-'06_Сеть_и_дети'!J103)=0,23&lt;='01_Вводные'!$B$297),0,('06_Сеть_и_дети'!J75-'06_Сеть_и_дети'!J103)*IF('01_Вводные'!$B$239="Да",MeanMinAge23+'19_Расчет_аналитики'!J1572*SUMIF(ThresholdAge23,"&lt;"&amp;'19_Расчет_аналитики'!J1572,WeightedRevAge23)-SUMIF(ThresholdAge23,"&lt;"&amp;'19_Расчет_аналитики'!J1572,WeightedMinAge23),MAX(CapacityAge23*'01_Вводные'!$B$218*'19_Расчет_аналитики'!J1572,MeanMinAge23)))</f>
        <v/>
      </c>
      <c r="K1526">
        <f>IF(OR(('06_Сеть_и_дети'!K75-'06_Сеть_и_дети'!K103)=0,23&lt;='01_Вводные'!$B$297),0,('06_Сеть_и_дети'!K75-'06_Сеть_и_дети'!K103)*IF('01_Вводные'!$B$239="Да",MeanMinAge23+'19_Расчет_аналитики'!K1572*SUMIF(ThresholdAge23,"&lt;"&amp;'19_Расчет_аналитики'!K1572,WeightedRevAge23)-SUMIF(ThresholdAge23,"&lt;"&amp;'19_Расчет_аналитики'!K1572,WeightedMinAge23),MAX(CapacityAge23*'01_Вводные'!$B$218*'19_Расчет_аналитики'!K1572,MeanMinAge23)))</f>
        <v/>
      </c>
      <c r="L1526">
        <f>IF(OR(('06_Сеть_и_дети'!L75-'06_Сеть_и_дети'!L103)=0,23&lt;='01_Вводные'!$B$297),0,('06_Сеть_и_дети'!L75-'06_Сеть_и_дети'!L103)*IF('01_Вводные'!$B$239="Да",MeanMinAge23+'19_Расчет_аналитики'!L1572*SUMIF(ThresholdAge23,"&lt;"&amp;'19_Расчет_аналитики'!L1572,WeightedRevAge23)-SUMIF(ThresholdAge23,"&lt;"&amp;'19_Расчет_аналитики'!L1572,WeightedMinAge23),MAX(CapacityAge23*'01_Вводные'!$B$218*'19_Расчет_аналитики'!L1572,MeanMinAge23)))</f>
        <v/>
      </c>
      <c r="M1526">
        <f>IF(OR(('06_Сеть_и_дети'!M75-'06_Сеть_и_дети'!M103)=0,23&lt;='01_Вводные'!$B$297),0,('06_Сеть_и_дети'!M75-'06_Сеть_и_дети'!M103)*IF('01_Вводные'!$B$239="Да",MeanMinAge23+'19_Расчет_аналитики'!M1572*SUMIF(ThresholdAge23,"&lt;"&amp;'19_Расчет_аналитики'!M1572,WeightedRevAge23)-SUMIF(ThresholdAge23,"&lt;"&amp;'19_Расчет_аналитики'!M1572,WeightedMinAge23),MAX(CapacityAge23*'01_Вводные'!$B$218*'19_Расчет_аналитики'!M1572,MeanMinAge23)))</f>
        <v/>
      </c>
      <c r="N1526">
        <f>IF(OR(('06_Сеть_и_дети'!N75-'06_Сеть_и_дети'!N103)=0,23&lt;='01_Вводные'!$B$297),0,('06_Сеть_и_дети'!N75-'06_Сеть_и_дети'!N103)*IF('01_Вводные'!$B$239="Да",MeanMinAge23+'19_Расчет_аналитики'!N1572*SUMIF(ThresholdAge23,"&lt;"&amp;'19_Расчет_аналитики'!N1572,WeightedRevAge23)-SUMIF(ThresholdAge23,"&lt;"&amp;'19_Расчет_аналитики'!N1572,WeightedMinAge23),MAX(CapacityAge23*'01_Вводные'!$B$218*'19_Расчет_аналитики'!N1572,MeanMinAge23)))</f>
        <v/>
      </c>
      <c r="O1526">
        <f>IF(OR(('06_Сеть_и_дети'!O75-'06_Сеть_и_дети'!O103)=0,23&lt;='01_Вводные'!$B$297),0,('06_Сеть_и_дети'!O75-'06_Сеть_и_дети'!O103)*IF('01_Вводные'!$B$239="Да",MeanMinAge23+'19_Расчет_аналитики'!O1572*SUMIF(ThresholdAge23,"&lt;"&amp;'19_Расчет_аналитики'!O1572,WeightedRevAge23)-SUMIF(ThresholdAge23,"&lt;"&amp;'19_Расчет_аналитики'!O1572,WeightedMinAge23),MAX(CapacityAge23*'01_Вводные'!$B$218*'19_Расчет_аналитики'!O1572,MeanMinAge23)))</f>
        <v/>
      </c>
      <c r="P1526">
        <f>IF(OR(('06_Сеть_и_дети'!P75-'06_Сеть_и_дети'!P103)=0,23&lt;='01_Вводные'!$B$297),0,('06_Сеть_и_дети'!P75-'06_Сеть_и_дети'!P103)*IF('01_Вводные'!$B$239="Да",MeanMinAge23+'19_Расчет_аналитики'!P1572*SUMIF(ThresholdAge23,"&lt;"&amp;'19_Расчет_аналитики'!P1572,WeightedRevAge23)-SUMIF(ThresholdAge23,"&lt;"&amp;'19_Расчет_аналитики'!P1572,WeightedMinAge23),MAX(CapacityAge23*'01_Вводные'!$B$218*'19_Расчет_аналитики'!P1572,MeanMinAge23)))</f>
        <v/>
      </c>
      <c r="Q1526">
        <f>IF(OR(('06_Сеть_и_дети'!Q75-'06_Сеть_и_дети'!Q103)=0,23&lt;='01_Вводные'!$B$297),0,('06_Сеть_и_дети'!Q75-'06_Сеть_и_дети'!Q103)*IF('01_Вводные'!$B$239="Да",MeanMinAge23+'19_Расчет_аналитики'!Q1572*SUMIF(ThresholdAge23,"&lt;"&amp;'19_Расчет_аналитики'!Q1572,WeightedRevAge23)-SUMIF(ThresholdAge23,"&lt;"&amp;'19_Расчет_аналитики'!Q1572,WeightedMinAge23),MAX(CapacityAge23*'01_Вводные'!$B$218*'19_Расчет_аналитики'!Q1572,MeanMinAge23)))</f>
        <v/>
      </c>
      <c r="R1526">
        <f>IF(OR(('06_Сеть_и_дети'!R75-'06_Сеть_и_дети'!R103)=0,23&lt;='01_Вводные'!$B$297),0,('06_Сеть_и_дети'!R75-'06_Сеть_и_дети'!R103)*IF('01_Вводные'!$B$239="Да",MeanMinAge23+'19_Расчет_аналитики'!R1572*SUMIF(ThresholdAge23,"&lt;"&amp;'19_Расчет_аналитики'!R1572,WeightedRevAge23)-SUMIF(ThresholdAge23,"&lt;"&amp;'19_Расчет_аналитики'!R1572,WeightedMinAge23),MAX(CapacityAge23*'01_Вводные'!$B$218*'19_Расчет_аналитики'!R1572,MeanMinAge23)))</f>
        <v/>
      </c>
      <c r="S1526">
        <f>IF(OR(('06_Сеть_и_дети'!S75-'06_Сеть_и_дети'!S103)=0,23&lt;='01_Вводные'!$B$297),0,('06_Сеть_и_дети'!S75-'06_Сеть_и_дети'!S103)*IF('01_Вводные'!$B$239="Да",MeanMinAge23+'19_Расчет_аналитики'!S1572*SUMIF(ThresholdAge23,"&lt;"&amp;'19_Расчет_аналитики'!S1572,WeightedRevAge23)-SUMIF(ThresholdAge23,"&lt;"&amp;'19_Расчет_аналитики'!S1572,WeightedMinAge23),MAX(CapacityAge23*'01_Вводные'!$B$218*'19_Расчет_аналитики'!S1572,MeanMinAge23)))</f>
        <v/>
      </c>
      <c r="T1526">
        <f>IF(OR(('06_Сеть_и_дети'!T75-'06_Сеть_и_дети'!T103)=0,23&lt;='01_Вводные'!$B$297),0,('06_Сеть_и_дети'!T75-'06_Сеть_и_дети'!T103)*IF('01_Вводные'!$B$239="Да",MeanMinAge23+'19_Расчет_аналитики'!T1572*SUMIF(ThresholdAge23,"&lt;"&amp;'19_Расчет_аналитики'!T1572,WeightedRevAge23)-SUMIF(ThresholdAge23,"&lt;"&amp;'19_Расчет_аналитики'!T1572,WeightedMinAge23),MAX(CapacityAge23*'01_Вводные'!$B$218*'19_Расчет_аналитики'!T1572,MeanMinAge23)))</f>
        <v/>
      </c>
      <c r="U1526">
        <f>IF(OR(('06_Сеть_и_дети'!U75-'06_Сеть_и_дети'!U103)=0,23&lt;='01_Вводные'!$B$297),0,('06_Сеть_и_дети'!U75-'06_Сеть_и_дети'!U103)*IF('01_Вводные'!$B$239="Да",MeanMinAge23+'19_Расчет_аналитики'!U1572*SUMIF(ThresholdAge23,"&lt;"&amp;'19_Расчет_аналитики'!U1572,WeightedRevAge23)-SUMIF(ThresholdAge23,"&lt;"&amp;'19_Расчет_аналитики'!U1572,WeightedMinAge23),MAX(CapacityAge23*'01_Вводные'!$B$218*'19_Расчет_аналитики'!U1572,MeanMinAge23)))</f>
        <v/>
      </c>
      <c r="V1526">
        <f>IF(OR(('06_Сеть_и_дети'!V75-'06_Сеть_и_дети'!V103)=0,23&lt;='01_Вводные'!$B$297),0,('06_Сеть_и_дети'!V75-'06_Сеть_и_дети'!V103)*IF('01_Вводные'!$B$239="Да",MeanMinAge23+'19_Расчет_аналитики'!V1572*SUMIF(ThresholdAge23,"&lt;"&amp;'19_Расчет_аналитики'!V1572,WeightedRevAge23)-SUMIF(ThresholdAge23,"&lt;"&amp;'19_Расчет_аналитики'!V1572,WeightedMinAge23),MAX(CapacityAge23*'01_Вводные'!$B$218*'19_Расчет_аналитики'!V1572,MeanMinAge23)))</f>
        <v/>
      </c>
      <c r="W1526">
        <f>IF(OR(('06_Сеть_и_дети'!W75-'06_Сеть_и_дети'!W103)=0,23&lt;='01_Вводные'!$B$297),0,('06_Сеть_и_дети'!W75-'06_Сеть_и_дети'!W103)*IF('01_Вводные'!$B$239="Да",MeanMinAge23+'19_Расчет_аналитики'!W1572*SUMIF(ThresholdAge23,"&lt;"&amp;'19_Расчет_аналитики'!W1572,WeightedRevAge23)-SUMIF(ThresholdAge23,"&lt;"&amp;'19_Расчет_аналитики'!W1572,WeightedMinAge23),MAX(CapacityAge23*'01_Вводные'!$B$218*'19_Расчет_аналитики'!W1572,MeanMinAge23)))</f>
        <v/>
      </c>
      <c r="X1526">
        <f>IF(OR(('19_Расчет_аналитики'!X1442-'19_Расчет_аналитики'!X1470)=0,23&lt;='01_Вводные'!$B$297),0,('19_Расчет_аналитики'!X1442-'19_Расчет_аналитики'!X1470)*IF('01_Вводные'!$B$239="Да",MeanMinAge23+'19_Расчет_аналитики'!X1572*SUMIF(ThresholdAge23,"&lt;"&amp;'19_Расчет_аналитики'!X1572,WeightedRevAge23)-SUMIF(ThresholdAge23,"&lt;"&amp;'19_Расчет_аналитики'!X1572,WeightedMinAge23),MAX(CapacityAge23*'01_Вводные'!$B$218*'19_Расчет_аналитики'!X1572,MeanMinAge23)))</f>
        <v/>
      </c>
      <c r="Y1526">
        <f>IF(OR(('19_Расчет_аналитики'!Y1442-'19_Расчет_аналитики'!Y1470)=0,23&lt;='01_Вводные'!$B$297),0,('19_Расчет_аналитики'!Y1442-'19_Расчет_аналитики'!Y1470)*IF('01_Вводные'!$B$239="Да",MeanMinAge23+'19_Расчет_аналитики'!Y1572*SUMIF(ThresholdAge23,"&lt;"&amp;'19_Расчет_аналитики'!Y1572,WeightedRevAge23)-SUMIF(ThresholdAge23,"&lt;"&amp;'19_Расчет_аналитики'!Y1572,WeightedMinAge23),MAX(CapacityAge23*'01_Вводные'!$B$218*'19_Расчет_аналитики'!Y1572,MeanMinAge23)))</f>
        <v/>
      </c>
      <c r="Z1526">
        <f>IF(OR(('19_Расчет_аналитики'!Z1442-'19_Расчет_аналитики'!Z1470)=0,23&lt;='01_Вводные'!$B$297),0,('19_Расчет_аналитики'!Z1442-'19_Расчет_аналитики'!Z1470)*IF('01_Вводные'!$B$239="Да",MeanMinAge23+'19_Расчет_аналитики'!Z1572*SUMIF(ThresholdAge23,"&lt;"&amp;'19_Расчет_аналитики'!Z1572,WeightedRevAge23)-SUMIF(ThresholdAge23,"&lt;"&amp;'19_Расчет_аналитики'!Z1572,WeightedMinAge23),MAX(CapacityAge23*'01_Вводные'!$B$218*'19_Расчет_аналитики'!Z1572,MeanMinAge23)))</f>
        <v/>
      </c>
      <c r="AA1526">
        <f>IF(OR(('19_Расчет_аналитики'!AA1442-'19_Расчет_аналитики'!AA1470)=0,23&lt;='01_Вводные'!$B$297),0,('19_Расчет_аналитики'!AA1442-'19_Расчет_аналитики'!AA1470)*IF('01_Вводные'!$B$239="Да",MeanMinAge23+'19_Расчет_аналитики'!AA1572*SUMIF(ThresholdAge23,"&lt;"&amp;'19_Расчет_аналитики'!AA1572,WeightedRevAge23)-SUMIF(ThresholdAge23,"&lt;"&amp;'19_Расчет_аналитики'!AA1572,WeightedMinAge23),MAX(CapacityAge23*'01_Вводные'!$B$218*'19_Расчет_аналитики'!AA1572,MeanMinAge23)))</f>
        <v/>
      </c>
      <c r="AB1526">
        <f>IF(OR(('19_Расчет_аналитики'!AB1442-'19_Расчет_аналитики'!AB1470)=0,23&lt;='01_Вводные'!$B$297),0,('19_Расчет_аналитики'!AB1442-'19_Расчет_аналитики'!AB1470)*IF('01_Вводные'!$B$239="Да",MeanMinAge23+'19_Расчет_аналитики'!AB1572*SUMIF(ThresholdAge23,"&lt;"&amp;'19_Расчет_аналитики'!AB1572,WeightedRevAge23)-SUMIF(ThresholdAge23,"&lt;"&amp;'19_Расчет_аналитики'!AB1572,WeightedMinAge23),MAX(CapacityAge23*'01_Вводные'!$B$218*'19_Расчет_аналитики'!AB1572,MeanMinAge23)))</f>
        <v/>
      </c>
      <c r="AC1526">
        <f>IF(OR(('19_Расчет_аналитики'!AC1442-'19_Расчет_аналитики'!AC1470)=0,23&lt;='01_Вводные'!$B$297),0,('19_Расчет_аналитики'!AC1442-'19_Расчет_аналитики'!AC1470)*IF('01_Вводные'!$B$239="Да",MeanMinAge23+'19_Расчет_аналитики'!AC1572*SUMIF(ThresholdAge23,"&lt;"&amp;'19_Расчет_аналитики'!AC1572,WeightedRevAge23)-SUMIF(ThresholdAge23,"&lt;"&amp;'19_Расчет_аналитики'!AC1572,WeightedMinAge23),MAX(CapacityAge23*'01_Вводные'!$B$218*'19_Расчет_аналитики'!AC1572,MeanMinAge23)))</f>
        <v/>
      </c>
      <c r="AD1526">
        <f>IF(OR(('19_Расчет_аналитики'!AD1442-'19_Расчет_аналитики'!AD1470)=0,23&lt;='01_Вводные'!$B$297),0,('19_Расчет_аналитики'!AD1442-'19_Расчет_аналитики'!AD1470)*IF('01_Вводные'!$B$239="Да",MeanMinAge23+'19_Расчет_аналитики'!AD1572*SUMIF(ThresholdAge23,"&lt;"&amp;'19_Расчет_аналитики'!AD1572,WeightedRevAge23)-SUMIF(ThresholdAge23,"&lt;"&amp;'19_Расчет_аналитики'!AD1572,WeightedMinAge23),MAX(CapacityAge23*'01_Вводные'!$B$218*'19_Расчет_аналитики'!AD1572,MeanMinAge23)))</f>
        <v/>
      </c>
      <c r="AE1526">
        <f>IF(OR(('19_Расчет_аналитики'!AE1442-'19_Расчет_аналитики'!AE1470)=0,23&lt;='01_Вводные'!$B$297),0,('19_Расчет_аналитики'!AE1442-'19_Расчет_аналитики'!AE1470)*IF('01_Вводные'!$B$239="Да",MeanMinAge23+'19_Расчет_аналитики'!AE1572*SUMIF(ThresholdAge23,"&lt;"&amp;'19_Расчет_аналитики'!AE1572,WeightedRevAge23)-SUMIF(ThresholdAge23,"&lt;"&amp;'19_Расчет_аналитики'!AE1572,WeightedMinAge23),MAX(CapacityAge23*'01_Вводные'!$B$218*'19_Расчет_аналитики'!AE1572,MeanMinAge23)))</f>
        <v/>
      </c>
      <c r="AF1526">
        <f>IF(OR(('19_Расчет_аналитики'!AF1442-'19_Расчет_аналитики'!AF1470)=0,23&lt;='01_Вводные'!$B$297),0,('19_Расчет_аналитики'!AF1442-'19_Расчет_аналитики'!AF1470)*IF('01_Вводные'!$B$239="Да",MeanMinAge23+'19_Расчет_аналитики'!AF1572*SUMIF(ThresholdAge23,"&lt;"&amp;'19_Расчет_аналитики'!AF1572,WeightedRevAge23)-SUMIF(ThresholdAge23,"&lt;"&amp;'19_Расчет_аналитики'!AF1572,WeightedMinAge23),MAX(CapacityAge23*'01_Вводные'!$B$218*'19_Расчет_аналитики'!AF1572,MeanMinAge23)))</f>
        <v/>
      </c>
      <c r="AG1526">
        <f>IF(OR(('19_Расчет_аналитики'!AG1442-'19_Расчет_аналитики'!AG1470)=0,23&lt;='01_Вводные'!$B$297),0,('19_Расчет_аналитики'!AG1442-'19_Расчет_аналитики'!AG1470)*IF('01_Вводные'!$B$239="Да",MeanMinAge23+'19_Расчет_аналитики'!AG1572*SUMIF(ThresholdAge23,"&lt;"&amp;'19_Расчет_аналитики'!AG1572,WeightedRevAge23)-SUMIF(ThresholdAge23,"&lt;"&amp;'19_Расчет_аналитики'!AG1572,WeightedMinAge23),MAX(CapacityAge23*'01_Вводные'!$B$218*'19_Расчет_аналитики'!AG1572,MeanMinAge23)))</f>
        <v/>
      </c>
      <c r="AH1526">
        <f>IF(OR(('19_Расчет_аналитики'!AH1442-'19_Расчет_аналитики'!AH1470)=0,23&lt;='01_Вводные'!$B$297),0,('19_Расчет_аналитики'!AH1442-'19_Расчет_аналитики'!AH1470)*IF('01_Вводные'!$B$239="Да",MeanMinAge23+'19_Расчет_аналитики'!AH1572*SUMIF(ThresholdAge23,"&lt;"&amp;'19_Расчет_аналитики'!AH1572,WeightedRevAge23)-SUMIF(ThresholdAge23,"&lt;"&amp;'19_Расчет_аналитики'!AH1572,WeightedMinAge23),MAX(CapacityAge23*'01_Вводные'!$B$218*'19_Расчет_аналитики'!AH1572,MeanMinAge23)))</f>
        <v/>
      </c>
      <c r="AI1526">
        <f>IF(OR(('19_Расчет_аналитики'!AI1442-'19_Расчет_аналитики'!AI1470)=0,23&lt;='01_Вводные'!$B$297),0,('19_Расчет_аналитики'!AI1442-'19_Расчет_аналитики'!AI1470)*IF('01_Вводные'!$B$239="Да",MeanMinAge23+'19_Расчет_аналитики'!AI1572*SUMIF(ThresholdAge23,"&lt;"&amp;'19_Расчет_аналитики'!AI1572,WeightedRevAge23)-SUMIF(ThresholdAge23,"&lt;"&amp;'19_Расчет_аналитики'!AI1572,WeightedMinAge23),MAX(CapacityAge23*'01_Вводные'!$B$218*'19_Расчет_аналитики'!AI1572,MeanMinAge23)))</f>
        <v/>
      </c>
      <c r="AJ1526">
        <f>IF(OR(('19_Расчет_аналитики'!AJ1442-'19_Расчет_аналитики'!AJ1470)=0,23&lt;='01_Вводные'!$B$297),0,('19_Расчет_аналитики'!AJ1442-'19_Расчет_аналитики'!AJ1470)*IF('01_Вводные'!$B$239="Да",MeanMinAge23+'19_Расчет_аналитики'!AJ1572*SUMIF(ThresholdAge23,"&lt;"&amp;'19_Расчет_аналитики'!AJ1572,WeightedRevAge23)-SUMIF(ThresholdAge23,"&lt;"&amp;'19_Расчет_аналитики'!AJ1572,WeightedMinAge23),MAX(CapacityAge23*'01_Вводные'!$B$218*'19_Расчет_аналитики'!AJ1572,MeanMinAge23)))</f>
        <v/>
      </c>
      <c r="AK1526">
        <f>IF(OR(('19_Расчет_аналитики'!AK1442-'19_Расчет_аналитики'!AK1470)=0,23&lt;='01_Вводные'!$B$297),0,('19_Расчет_аналитики'!AK1442-'19_Расчет_аналитики'!AK1470)*IF('01_Вводные'!$B$239="Да",MeanMinAge23+'19_Расчет_аналитики'!AK1572*SUMIF(ThresholdAge23,"&lt;"&amp;'19_Расчет_аналитики'!AK1572,WeightedRevAge23)-SUMIF(ThresholdAge23,"&lt;"&amp;'19_Расчет_аналитики'!AK1572,WeightedMinAge23),MAX(CapacityAge23*'01_Вводные'!$B$218*'19_Расчет_аналитики'!AK1572,MeanMinAge23)))</f>
        <v/>
      </c>
      <c r="AL1526">
        <f>IF(OR(('19_Расчет_аналитики'!AL1442-'19_Расчет_аналитики'!AL1470)=0,23&lt;='01_Вводные'!$B$297),0,('19_Расчет_аналитики'!AL1442-'19_Расчет_аналитики'!AL1470)*IF('01_Вводные'!$B$239="Да",MeanMinAge23+'19_Расчет_аналитики'!AL1572*SUMIF(ThresholdAge23,"&lt;"&amp;'19_Расчет_аналитики'!AL1572,WeightedRevAge23)-SUMIF(ThresholdAge23,"&lt;"&amp;'19_Расчет_аналитики'!AL1572,WeightedMinAge23),MAX(CapacityAge23*'01_Вводные'!$B$218*'19_Расчет_аналитики'!AL1572,MeanMinAge23)))</f>
        <v/>
      </c>
      <c r="AM1526">
        <f>IF(OR(('19_Расчет_аналитики'!AM1442-'19_Расчет_аналитики'!AM1470)=0,23&lt;='01_Вводные'!$B$297),0,('19_Расчет_аналитики'!AM1442-'19_Расчет_аналитики'!AM1470)*IF('01_Вводные'!$B$239="Да",MeanMinAge23+'19_Расчет_аналитики'!AM1572*SUMIF(ThresholdAge23,"&lt;"&amp;'19_Расчет_аналитики'!AM1572,WeightedRevAge23)-SUMIF(ThresholdAge23,"&lt;"&amp;'19_Расчет_аналитики'!AM1572,WeightedMinAge23),MAX(CapacityAge23*'01_Вводные'!$B$218*'19_Расчет_аналитики'!AM1572,MeanMinAge23)))</f>
        <v/>
      </c>
      <c r="AN1526">
        <f>IF(OR(('19_Расчет_аналитики'!AN1442-'19_Расчет_аналитики'!AN1470)=0,23&lt;='01_Вводные'!$B$297),0,('19_Расчет_аналитики'!AN1442-'19_Расчет_аналитики'!AN1470)*IF('01_Вводные'!$B$239="Да",MeanMinAge23+'19_Расчет_аналитики'!AN1572*SUMIF(ThresholdAge23,"&lt;"&amp;'19_Расчет_аналитики'!AN1572,WeightedRevAge23)-SUMIF(ThresholdAge23,"&lt;"&amp;'19_Расчет_аналитики'!AN1572,WeightedMinAge23),MAX(CapacityAge23*'01_Вводные'!$B$218*'19_Расчет_аналитики'!AN1572,MeanMinAge23)))</f>
        <v/>
      </c>
      <c r="AO1526">
        <f>IF(OR(('19_Расчет_аналитики'!AO1442-'19_Расчет_аналитики'!AO1470)=0,23&lt;='01_Вводные'!$B$297),0,('19_Расчет_аналитики'!AO1442-'19_Расчет_аналитики'!AO1470)*IF('01_Вводные'!$B$239="Да",MeanMinAge23+'19_Расчет_аналитики'!AO1572*SUMIF(ThresholdAge23,"&lt;"&amp;'19_Расчет_аналитики'!AO1572,WeightedRevAge23)-SUMIF(ThresholdAge23,"&lt;"&amp;'19_Расчет_аналитики'!AO1572,WeightedMinAge23),MAX(CapacityAge23*'01_Вводные'!$B$218*'19_Расчет_аналитики'!AO1572,MeanMinAge23)))</f>
        <v/>
      </c>
      <c r="AP1526">
        <f>IF(OR(('19_Расчет_аналитики'!AP1442-'19_Расчет_аналитики'!AP1470)=0,23&lt;='01_Вводные'!$B$297),0,('19_Расчет_аналитики'!AP1442-'19_Расчет_аналитики'!AP1470)*IF('01_Вводные'!$B$239="Да",MeanMinAge23+'19_Расчет_аналитики'!AP1572*SUMIF(ThresholdAge23,"&lt;"&amp;'19_Расчет_аналитики'!AP1572,WeightedRevAge23)-SUMIF(ThresholdAge23,"&lt;"&amp;'19_Расчет_аналитики'!AP1572,WeightedMinAge23),MAX(CapacityAge23*'01_Вводные'!$B$218*'19_Расчет_аналитики'!AP1572,MeanMinAge23)))</f>
        <v/>
      </c>
      <c r="AQ1526">
        <f>IF(OR(('19_Расчет_аналитики'!AQ1442-'19_Расчет_аналитики'!AQ1470)=0,23&lt;='01_Вводные'!$B$297),0,('19_Расчет_аналитики'!AQ1442-'19_Расчет_аналитики'!AQ1470)*IF('01_Вводные'!$B$239="Да",MeanMinAge23+'19_Расчет_аналитики'!AQ1572*SUMIF(ThresholdAge23,"&lt;"&amp;'19_Расчет_аналитики'!AQ1572,WeightedRevAge23)-SUMIF(ThresholdAge23,"&lt;"&amp;'19_Расчет_аналитики'!AQ1572,WeightedMinAge23),MAX(CapacityAge23*'01_Вводные'!$B$218*'19_Расчет_аналитики'!AQ1572,MeanMinAge23)))</f>
        <v/>
      </c>
      <c r="AR1526">
        <f>IF(OR(('19_Расчет_аналитики'!AR1442-'19_Расчет_аналитики'!AR1470)=0,23&lt;='01_Вводные'!$B$297),0,('19_Расчет_аналитики'!AR1442-'19_Расчет_аналитики'!AR1470)*IF('01_Вводные'!$B$239="Да",MeanMinAge23+'19_Расчет_аналитики'!AR1572*SUMIF(ThresholdAge23,"&lt;"&amp;'19_Расчет_аналитики'!AR1572,WeightedRevAge23)-SUMIF(ThresholdAge23,"&lt;"&amp;'19_Расчет_аналитики'!AR1572,WeightedMinAge23),MAX(CapacityAge23*'01_Вводные'!$B$218*'19_Расчет_аналитики'!AR1572,MeanMinAge23)))</f>
        <v/>
      </c>
      <c r="AS1526">
        <f>IF(OR(('19_Расчет_аналитики'!AS1442-'19_Расчет_аналитики'!AS1470)=0,23&lt;='01_Вводные'!$B$297),0,('19_Расчет_аналитики'!AS1442-'19_Расчет_аналитики'!AS1470)*IF('01_Вводные'!$B$239="Да",MeanMinAge23+'19_Расчет_аналитики'!AS1572*SUMIF(ThresholdAge23,"&lt;"&amp;'19_Расчет_аналитики'!AS1572,WeightedRevAge23)-SUMIF(ThresholdAge23,"&lt;"&amp;'19_Расчет_аналитики'!AS1572,WeightedMinAge23),MAX(CapacityAge23*'01_Вводные'!$B$218*'19_Расчет_аналитики'!AS1572,MeanMinAge23)))</f>
        <v/>
      </c>
      <c r="AT1526">
        <f>IF(OR(('19_Расчет_аналитики'!AT1442-'19_Расчет_аналитики'!AT1470)=0,23&lt;='01_Вводные'!$B$297),0,('19_Расчет_аналитики'!AT1442-'19_Расчет_аналитики'!AT1470)*IF('01_Вводные'!$B$239="Да",MeanMinAge23+'19_Расчет_аналитики'!AT1572*SUMIF(ThresholdAge23,"&lt;"&amp;'19_Расчет_аналитики'!AT1572,WeightedRevAge23)-SUMIF(ThresholdAge23,"&lt;"&amp;'19_Расчет_аналитики'!AT1572,WeightedMinAge23),MAX(CapacityAge23*'01_Вводные'!$B$218*'19_Расчет_аналитики'!AT1572,MeanMinAge23)))</f>
        <v/>
      </c>
      <c r="AU1526">
        <f>IF(OR(('19_Расчет_аналитики'!AU1442-'19_Расчет_аналитики'!AU1470)=0,23&lt;='01_Вводные'!$B$297),0,('19_Расчет_аналитики'!AU1442-'19_Расчет_аналитики'!AU1470)*IF('01_Вводные'!$B$239="Да",MeanMinAge23+'19_Расчет_аналитики'!AU1572*SUMIF(ThresholdAge23,"&lt;"&amp;'19_Расчет_аналитики'!AU1572,WeightedRevAge23)-SUMIF(ThresholdAge23,"&lt;"&amp;'19_Расчет_аналитики'!AU1572,WeightedMinAge23),MAX(CapacityAge23*'01_Вводные'!$B$218*'19_Расчет_аналитики'!AU1572,MeanMinAge23)))</f>
        <v/>
      </c>
      <c r="AV1526">
        <f>IF(OR(('19_Расчет_аналитики'!AV1442-'19_Расчет_аналитики'!AV1470)=0,23&lt;='01_Вводные'!$B$297),0,('19_Расчет_аналитики'!AV1442-'19_Расчет_аналитики'!AV1470)*IF('01_Вводные'!$B$239="Да",MeanMinAge23+'19_Расчет_аналитики'!AV1572*SUMIF(ThresholdAge23,"&lt;"&amp;'19_Расчет_аналитики'!AV1572,WeightedRevAge23)-SUMIF(ThresholdAge23,"&lt;"&amp;'19_Расчет_аналитики'!AV1572,WeightedMinAge23),MAX(CapacityAge23*'01_Вводные'!$B$218*'19_Расчет_аналитики'!AV1572,MeanMinAge23)))</f>
        <v/>
      </c>
      <c r="AW1526">
        <f>IF(OR(('19_Расчет_аналитики'!AW1442-'19_Расчет_аналитики'!AW1470)=0,23&lt;='01_Вводные'!$B$297),0,('19_Расчет_аналитики'!AW1442-'19_Расчет_аналитики'!AW1470)*IF('01_Вводные'!$B$239="Да",MeanMinAge23+'19_Расчет_аналитики'!AW1572*SUMIF(ThresholdAge23,"&lt;"&amp;'19_Расчет_аналитики'!AW1572,WeightedRevAge23)-SUMIF(ThresholdAge23,"&lt;"&amp;'19_Расчет_аналитики'!AW1572,WeightedMinAge23),MAX(CapacityAge23*'01_Вводные'!$B$218*'19_Расчет_аналитики'!AW1572,MeanMinAge23)))</f>
        <v/>
      </c>
      <c r="AX1526">
        <f>IF(OR(('19_Расчет_аналитики'!AX1442-'19_Расчет_аналитики'!AX1470)=0,23&lt;='01_Вводные'!$B$297),0,('19_Расчет_аналитики'!AX1442-'19_Расчет_аналитики'!AX1470)*IF('01_Вводные'!$B$239="Да",MeanMinAge23+'19_Расчет_аналитики'!AX1572*SUMIF(ThresholdAge23,"&lt;"&amp;'19_Расчет_аналитики'!AX1572,WeightedRevAge23)-SUMIF(ThresholdAge23,"&lt;"&amp;'19_Расчет_аналитики'!AX1572,WeightedMinAge23),MAX(CapacityAge23*'01_Вводные'!$B$218*'19_Расчет_аналитики'!AX1572,MeanMinAge23)))</f>
        <v/>
      </c>
      <c r="AY1526">
        <f>IF(OR(('19_Расчет_аналитики'!AY1442-'19_Расчет_аналитики'!AY1470)=0,23&lt;='01_Вводные'!$B$297),0,('19_Расчет_аналитики'!AY1442-'19_Расчет_аналитики'!AY1470)*IF('01_Вводные'!$B$239="Да",MeanMinAge23+'19_Расчет_аналитики'!AY1572*SUMIF(ThresholdAge23,"&lt;"&amp;'19_Расчет_аналитики'!AY1572,WeightedRevAge23)-SUMIF(ThresholdAge23,"&lt;"&amp;'19_Расчет_аналитики'!AY1572,WeightedMinAge23),MAX(CapacityAge23*'01_Вводные'!$B$218*'19_Расчет_аналитики'!AY1572,MeanMinAge23)))</f>
        <v/>
      </c>
      <c r="AZ1526">
        <f>IF(OR(('19_Расчет_аналитики'!AZ1442-'19_Расчет_аналитики'!AZ1470)=0,23&lt;='01_Вводные'!$B$297),0,('19_Расчет_аналитики'!AZ1442-'19_Расчет_аналитики'!AZ1470)*IF('01_Вводные'!$B$239="Да",MeanMinAge23+'19_Расчет_аналитики'!AZ1572*SUMIF(ThresholdAge23,"&lt;"&amp;'19_Расчет_аналитики'!AZ1572,WeightedRevAge23)-SUMIF(ThresholdAge23,"&lt;"&amp;'19_Расчет_аналитики'!AZ1572,WeightedMinAge23),MAX(CapacityAge23*'01_Вводные'!$B$218*'19_Расчет_аналитики'!AZ1572,MeanMinAge23)))</f>
        <v/>
      </c>
      <c r="BA1526">
        <f>IF(OR(('19_Расчет_аналитики'!BA1442-'19_Расчет_аналитики'!BA1470)=0,23&lt;='01_Вводные'!$B$297),0,('19_Расчет_аналитики'!BA1442-'19_Расчет_аналитики'!BA1470)*IF('01_Вводные'!$B$239="Да",MeanMinAge23+'19_Расчет_аналитики'!BA1572*SUMIF(ThresholdAge23,"&lt;"&amp;'19_Расчет_аналитики'!BA1572,WeightedRevAge23)-SUMIF(ThresholdAge23,"&lt;"&amp;'19_Расчет_аналитики'!BA1572,WeightedMinAge23),MAX(CapacityAge23*'01_Вводные'!$B$218*'19_Расчет_аналитики'!BA1572,MeanMinAge23)))</f>
        <v/>
      </c>
      <c r="BB1526">
        <f>IF(OR(('19_Расчет_аналитики'!BB1442-'19_Расчет_аналитики'!BB1470)=0,23&lt;='01_Вводные'!$B$297),0,('19_Расчет_аналитики'!BB1442-'19_Расчет_аналитики'!BB1470)*IF('01_Вводные'!$B$239="Да",MeanMinAge23+'19_Расчет_аналитики'!BB1572*SUMIF(ThresholdAge23,"&lt;"&amp;'19_Расчет_аналитики'!BB1572,WeightedRevAge23)-SUMIF(ThresholdAge23,"&lt;"&amp;'19_Расчет_аналитики'!BB1572,WeightedMinAge23),MAX(CapacityAge23*'01_Вводные'!$B$218*'19_Расчет_аналитики'!BB1572,MeanMinAge23)))</f>
        <v/>
      </c>
      <c r="BC1526">
        <f>IF(OR(('19_Расчет_аналитики'!BC1442-'19_Расчет_аналитики'!BC1470)=0,23&lt;='01_Вводные'!$B$297),0,('19_Расчет_аналитики'!BC1442-'19_Расчет_аналитики'!BC1470)*IF('01_Вводные'!$B$239="Да",MeanMinAge23+'19_Расчет_аналитики'!BC1572*SUMIF(ThresholdAge23,"&lt;"&amp;'19_Расчет_аналитики'!BC1572,WeightedRevAge23)-SUMIF(ThresholdAge23,"&lt;"&amp;'19_Расчет_аналитики'!BC1572,WeightedMinAge23),MAX(CapacityAge23*'01_Вводные'!$B$218*'19_Расчет_аналитики'!BC1572,MeanMinAge23)))</f>
        <v/>
      </c>
      <c r="BD1526">
        <f>IF(OR(('19_Расчет_аналитики'!BD1442-'19_Расчет_аналитики'!BD1470)=0,23&lt;='01_Вводные'!$B$297),0,('19_Расчет_аналитики'!BD1442-'19_Расчет_аналитики'!BD1470)*IF('01_Вводные'!$B$239="Да",MeanMinAge23+'19_Расчет_аналитики'!BD1572*SUMIF(ThresholdAge23,"&lt;"&amp;'19_Расчет_аналитики'!BD1572,WeightedRevAge23)-SUMIF(ThresholdAge23,"&lt;"&amp;'19_Расчет_аналитики'!BD1572,WeightedMinAge23),MAX(CapacityAge23*'01_Вводные'!$B$218*'19_Расчет_аналитики'!BD1572,MeanMinAge23)))</f>
        <v/>
      </c>
      <c r="BE1526">
        <f>IF(OR(('19_Расчет_аналитики'!BE1442-'19_Расчет_аналитики'!BE1470)=0,23&lt;='01_Вводные'!$B$297),0,('19_Расчет_аналитики'!BE1442-'19_Расчет_аналитики'!BE1470)*IF('01_Вводные'!$B$239="Да",MeanMinAge23+'19_Расчет_аналитики'!BE1572*SUMIF(ThresholdAge23,"&lt;"&amp;'19_Расчет_аналитики'!BE1572,WeightedRevAge23)-SUMIF(ThresholdAge23,"&lt;"&amp;'19_Расчет_аналитики'!BE1572,WeightedMinAge23),MAX(CapacityAge23*'01_Вводные'!$B$218*'19_Расчет_аналитики'!BE1572,MeanMinAge23)))</f>
        <v/>
      </c>
      <c r="BF1526">
        <f>IF(OR(('19_Расчет_аналитики'!BF1442-'19_Расчет_аналитики'!BF1470)=0,23&lt;='01_Вводные'!$B$297),0,('19_Расчет_аналитики'!BF1442-'19_Расчет_аналитики'!BF1470)*IF('01_Вводные'!$B$239="Да",MeanMinAge23+'19_Расчет_аналитики'!BF1572*SUMIF(ThresholdAge23,"&lt;"&amp;'19_Расчет_аналитики'!BF1572,WeightedRevAge23)-SUMIF(ThresholdAge23,"&lt;"&amp;'19_Расчет_аналитики'!BF1572,WeightedMinAge23),MAX(CapacityAge23*'01_Вводные'!$B$218*'19_Расчет_аналитики'!BF1572,MeanMinAge23)))</f>
        <v/>
      </c>
      <c r="BG1526">
        <f>IF(OR(('19_Расчет_аналитики'!BG1442-'19_Расчет_аналитики'!BG1470)=0,23&lt;='01_Вводные'!$B$297),0,('19_Расчет_аналитики'!BG1442-'19_Расчет_аналитики'!BG1470)*IF('01_Вводные'!$B$239="Да",MeanMinAge23+'19_Расчет_аналитики'!BG1572*SUMIF(ThresholdAge23,"&lt;"&amp;'19_Расчет_аналитики'!BG1572,WeightedRevAge23)-SUMIF(ThresholdAge23,"&lt;"&amp;'19_Расчет_аналитики'!BG1572,WeightedMinAge23),MAX(CapacityAge23*'01_Вводные'!$B$218*'19_Расчет_аналитики'!BG1572,MeanMinAge23)))</f>
        <v/>
      </c>
      <c r="BH1526">
        <f>IF(OR(('19_Расчет_аналитики'!BH1442-'19_Расчет_аналитики'!BH1470)=0,23&lt;='01_Вводные'!$B$297),0,('19_Расчет_аналитики'!BH1442-'19_Расчет_аналитики'!BH1470)*IF('01_Вводные'!$B$239="Да",MeanMinAge23+'19_Расчет_аналитики'!BH1572*SUMIF(ThresholdAge23,"&lt;"&amp;'19_Расчет_аналитики'!BH1572,WeightedRevAge23)-SUMIF(ThresholdAge23,"&lt;"&amp;'19_Расчет_аналитики'!BH1572,WeightedMinAge23),MAX(CapacityAge23*'01_Вводные'!$B$218*'19_Расчет_аналитики'!BH1572,MeanMinAge23)))</f>
        <v/>
      </c>
      <c r="BI1526">
        <f>IF(OR(('19_Расчет_аналитики'!BI1442-'19_Расчет_аналитики'!BI1470)=0,23&lt;='01_Вводные'!$B$297),0,('19_Расчет_аналитики'!BI1442-'19_Расчет_аналитики'!BI1470)*IF('01_Вводные'!$B$239="Да",MeanMinAge23+'19_Расчет_аналитики'!BI1572*SUMIF(ThresholdAge23,"&lt;"&amp;'19_Расчет_аналитики'!BI1572,WeightedRevAge23)-SUMIF(ThresholdAge23,"&lt;"&amp;'19_Расчет_аналитики'!BI1572,WeightedMinAge23),MAX(CapacityAge23*'01_Вводные'!$B$218*'19_Расчет_аналитики'!BI1572,MeanMinAge23)))</f>
        <v/>
      </c>
      <c r="BJ1526">
        <f>IF(OR(('19_Расчет_аналитики'!BJ1442-'19_Расчет_аналитики'!BJ1470)=0,23&lt;='01_Вводные'!$B$297),0,('19_Расчет_аналитики'!BJ1442-'19_Расчет_аналитики'!BJ1470)*IF('01_Вводные'!$B$239="Да",MeanMinAge23+'19_Расчет_аналитики'!BJ1572*SUMIF(ThresholdAge23,"&lt;"&amp;'19_Расчет_аналитики'!BJ1572,WeightedRevAge23)-SUMIF(ThresholdAge23,"&lt;"&amp;'19_Расчет_аналитики'!BJ1572,WeightedMinAge23),MAX(CapacityAge23*'01_Вводные'!$B$218*'19_Расчет_аналитики'!BJ1572,MeanMinAge23)))</f>
        <v/>
      </c>
      <c r="BK1526">
        <f>IF(OR(('19_Расчет_аналитики'!BK1442-'19_Расчет_аналитики'!BK1470)=0,23&lt;='01_Вводные'!$B$297),0,('19_Расчет_аналитики'!BK1442-'19_Расчет_аналитики'!BK1470)*IF('01_Вводные'!$B$239="Да",MeanMinAge23+'19_Расчет_аналитики'!BK1572*SUMIF(ThresholdAge23,"&lt;"&amp;'19_Расчет_аналитики'!BK1572,WeightedRevAge23)-SUMIF(ThresholdAge23,"&lt;"&amp;'19_Расчет_аналитики'!BK1572,WeightedMinAge23),MAX(CapacityAge23*'01_Вводные'!$B$218*'19_Расчет_аналитики'!BK1572,MeanMinAge23)))</f>
        <v/>
      </c>
      <c r="BL1526">
        <f>IF(OR(('19_Расчет_аналитики'!BL1442-'19_Расчет_аналитики'!BL1470)=0,23&lt;='01_Вводные'!$B$297),0,('19_Расчет_аналитики'!BL1442-'19_Расчет_аналитики'!BL1470)*IF('01_Вводные'!$B$239="Да",MeanMinAge23+'19_Расчет_аналитики'!BL1572*SUMIF(ThresholdAge23,"&lt;"&amp;'19_Расчет_аналитики'!BL1572,WeightedRevAge23)-SUMIF(ThresholdAge23,"&lt;"&amp;'19_Расчет_аналитики'!BL1572,WeightedMinAge23),MAX(CapacityAge23*'01_Вводные'!$B$218*'19_Расчет_аналитики'!BL1572,MeanMinAge23)))</f>
        <v/>
      </c>
      <c r="BM1526">
        <f>IF(OR(('19_Расчет_аналитики'!BM1442-'19_Расчет_аналитики'!BM1470)=0,23&lt;='01_Вводные'!$B$297),0,('19_Расчет_аналитики'!BM1442-'19_Расчет_аналитики'!BM1470)*IF('01_Вводные'!$B$239="Да",MeanMinAge23+'19_Расчет_аналитики'!BM1572*SUMIF(ThresholdAge23,"&lt;"&amp;'19_Расчет_аналитики'!BM1572,WeightedRevAge23)-SUMIF(ThresholdAge23,"&lt;"&amp;'19_Расчет_аналитики'!BM1572,WeightedMinAge23),MAX(CapacityAge23*'01_Вводные'!$B$218*'19_Расчет_аналитики'!BM1572,MeanMinAge23)))</f>
        <v/>
      </c>
      <c r="BN1526">
        <f>IF(OR(('19_Расчет_аналитики'!BN1442-'19_Расчет_аналитики'!BN1470)=0,23&lt;='01_Вводные'!$B$297),0,('19_Расчет_аналитики'!BN1442-'19_Расчет_аналитики'!BN1470)*IF('01_Вводные'!$B$239="Да",MeanMinAge23+'19_Расчет_аналитики'!BN1572*SUMIF(ThresholdAge23,"&lt;"&amp;'19_Расчет_аналитики'!BN1572,WeightedRevAge23)-SUMIF(ThresholdAge23,"&lt;"&amp;'19_Расчет_аналитики'!BN1572,WeightedMinAge23),MAX(CapacityAge23*'01_Вводные'!$B$218*'19_Расчет_аналитики'!BN1572,MeanMinAge23)))</f>
        <v/>
      </c>
      <c r="BO1526">
        <f>IF(OR(('19_Расчет_аналитики'!BO1442-'19_Расчет_аналитики'!BO1470)=0,23&lt;='01_Вводные'!$B$297),0,('19_Расчет_аналитики'!BO1442-'19_Расчет_аналитики'!BO1470)*IF('01_Вводные'!$B$239="Да",MeanMinAge23+'19_Расчет_аналитики'!BO1572*SUMIF(ThresholdAge23,"&lt;"&amp;'19_Расчет_аналитики'!BO1572,WeightedRevAge23)-SUMIF(ThresholdAge23,"&lt;"&amp;'19_Расчет_аналитики'!BO1572,WeightedMinAge23),MAX(CapacityAge23*'01_Вводные'!$B$218*'19_Расчет_аналитики'!BO1572,MeanMinAge23)))</f>
        <v/>
      </c>
    </row>
    <row r="1527">
      <c r="B1527">
        <f>IF(OR(('06_Сеть_и_дети'!B76-'06_Сеть_и_дети'!B104)=0,24&lt;='01_Вводные'!$B$297),0,('06_Сеть_и_дети'!B76-'06_Сеть_и_дети'!B104)*IF('01_Вводные'!$B$239="Да",MeanMinAge24+'19_Расчет_аналитики'!B1572*SUMIF(ThresholdAge24,"&lt;"&amp;'19_Расчет_аналитики'!B1572,WeightedRevAge24)-SUMIF(ThresholdAge24,"&lt;"&amp;'19_Расчет_аналитики'!B1572,WeightedMinAge24),MAX(CapacityAge24*'01_Вводные'!$B$218*'19_Расчет_аналитики'!B1572,MeanMinAge24)))</f>
        <v/>
      </c>
      <c r="C1527">
        <f>IF(OR(('06_Сеть_и_дети'!C76-'06_Сеть_и_дети'!C104)=0,24&lt;='01_Вводные'!$B$297),0,('06_Сеть_и_дети'!C76-'06_Сеть_и_дети'!C104)*IF('01_Вводные'!$B$239="Да",MeanMinAge24+'19_Расчет_аналитики'!C1572*SUMIF(ThresholdAge24,"&lt;"&amp;'19_Расчет_аналитики'!C1572,WeightedRevAge24)-SUMIF(ThresholdAge24,"&lt;"&amp;'19_Расчет_аналитики'!C1572,WeightedMinAge24),MAX(CapacityAge24*'01_Вводные'!$B$218*'19_Расчет_аналитики'!C1572,MeanMinAge24)))</f>
        <v/>
      </c>
      <c r="D1527">
        <f>IF(OR(('06_Сеть_и_дети'!D76-'06_Сеть_и_дети'!D104)=0,24&lt;='01_Вводные'!$B$297),0,('06_Сеть_и_дети'!D76-'06_Сеть_и_дети'!D104)*IF('01_Вводные'!$B$239="Да",MeanMinAge24+'19_Расчет_аналитики'!D1572*SUMIF(ThresholdAge24,"&lt;"&amp;'19_Расчет_аналитики'!D1572,WeightedRevAge24)-SUMIF(ThresholdAge24,"&lt;"&amp;'19_Расчет_аналитики'!D1572,WeightedMinAge24),MAX(CapacityAge24*'01_Вводные'!$B$218*'19_Расчет_аналитики'!D1572,MeanMinAge24)))</f>
        <v/>
      </c>
      <c r="E1527">
        <f>IF(OR(('06_Сеть_и_дети'!E76-'06_Сеть_и_дети'!E104)=0,24&lt;='01_Вводные'!$B$297),0,('06_Сеть_и_дети'!E76-'06_Сеть_и_дети'!E104)*IF('01_Вводные'!$B$239="Да",MeanMinAge24+'19_Расчет_аналитики'!E1572*SUMIF(ThresholdAge24,"&lt;"&amp;'19_Расчет_аналитики'!E1572,WeightedRevAge24)-SUMIF(ThresholdAge24,"&lt;"&amp;'19_Расчет_аналитики'!E1572,WeightedMinAge24),MAX(CapacityAge24*'01_Вводные'!$B$218*'19_Расчет_аналитики'!E1572,MeanMinAge24)))</f>
        <v/>
      </c>
      <c r="F1527">
        <f>IF(OR(('06_Сеть_и_дети'!F76-'06_Сеть_и_дети'!F104)=0,24&lt;='01_Вводные'!$B$297),0,('06_Сеть_и_дети'!F76-'06_Сеть_и_дети'!F104)*IF('01_Вводные'!$B$239="Да",MeanMinAge24+'19_Расчет_аналитики'!F1572*SUMIF(ThresholdAge24,"&lt;"&amp;'19_Расчет_аналитики'!F1572,WeightedRevAge24)-SUMIF(ThresholdAge24,"&lt;"&amp;'19_Расчет_аналитики'!F1572,WeightedMinAge24),MAX(CapacityAge24*'01_Вводные'!$B$218*'19_Расчет_аналитики'!F1572,MeanMinAge24)))</f>
        <v/>
      </c>
      <c r="G1527">
        <f>IF(OR(('06_Сеть_и_дети'!G76-'06_Сеть_и_дети'!G104)=0,24&lt;='01_Вводные'!$B$297),0,('06_Сеть_и_дети'!G76-'06_Сеть_и_дети'!G104)*IF('01_Вводные'!$B$239="Да",MeanMinAge24+'19_Расчет_аналитики'!G1572*SUMIF(ThresholdAge24,"&lt;"&amp;'19_Расчет_аналитики'!G1572,WeightedRevAge24)-SUMIF(ThresholdAge24,"&lt;"&amp;'19_Расчет_аналитики'!G1572,WeightedMinAge24),MAX(CapacityAge24*'01_Вводные'!$B$218*'19_Расчет_аналитики'!G1572,MeanMinAge24)))</f>
        <v/>
      </c>
      <c r="H1527">
        <f>IF(OR(('06_Сеть_и_дети'!H76-'06_Сеть_и_дети'!H104)=0,24&lt;='01_Вводные'!$B$297),0,('06_Сеть_и_дети'!H76-'06_Сеть_и_дети'!H104)*IF('01_Вводные'!$B$239="Да",MeanMinAge24+'19_Расчет_аналитики'!H1572*SUMIF(ThresholdAge24,"&lt;"&amp;'19_Расчет_аналитики'!H1572,WeightedRevAge24)-SUMIF(ThresholdAge24,"&lt;"&amp;'19_Расчет_аналитики'!H1572,WeightedMinAge24),MAX(CapacityAge24*'01_Вводные'!$B$218*'19_Расчет_аналитики'!H1572,MeanMinAge24)))</f>
        <v/>
      </c>
      <c r="I1527">
        <f>IF(OR(('06_Сеть_и_дети'!I76-'06_Сеть_и_дети'!I104)=0,24&lt;='01_Вводные'!$B$297),0,('06_Сеть_и_дети'!I76-'06_Сеть_и_дети'!I104)*IF('01_Вводные'!$B$239="Да",MeanMinAge24+'19_Расчет_аналитики'!I1572*SUMIF(ThresholdAge24,"&lt;"&amp;'19_Расчет_аналитики'!I1572,WeightedRevAge24)-SUMIF(ThresholdAge24,"&lt;"&amp;'19_Расчет_аналитики'!I1572,WeightedMinAge24),MAX(CapacityAge24*'01_Вводные'!$B$218*'19_Расчет_аналитики'!I1572,MeanMinAge24)))</f>
        <v/>
      </c>
      <c r="J1527">
        <f>IF(OR(('06_Сеть_и_дети'!J76-'06_Сеть_и_дети'!J104)=0,24&lt;='01_Вводные'!$B$297),0,('06_Сеть_и_дети'!J76-'06_Сеть_и_дети'!J104)*IF('01_Вводные'!$B$239="Да",MeanMinAge24+'19_Расчет_аналитики'!J1572*SUMIF(ThresholdAge24,"&lt;"&amp;'19_Расчет_аналитики'!J1572,WeightedRevAge24)-SUMIF(ThresholdAge24,"&lt;"&amp;'19_Расчет_аналитики'!J1572,WeightedMinAge24),MAX(CapacityAge24*'01_Вводные'!$B$218*'19_Расчет_аналитики'!J1572,MeanMinAge24)))</f>
        <v/>
      </c>
      <c r="K1527">
        <f>IF(OR(('06_Сеть_и_дети'!K76-'06_Сеть_и_дети'!K104)=0,24&lt;='01_Вводные'!$B$297),0,('06_Сеть_и_дети'!K76-'06_Сеть_и_дети'!K104)*IF('01_Вводные'!$B$239="Да",MeanMinAge24+'19_Расчет_аналитики'!K1572*SUMIF(ThresholdAge24,"&lt;"&amp;'19_Расчет_аналитики'!K1572,WeightedRevAge24)-SUMIF(ThresholdAge24,"&lt;"&amp;'19_Расчет_аналитики'!K1572,WeightedMinAge24),MAX(CapacityAge24*'01_Вводные'!$B$218*'19_Расчет_аналитики'!K1572,MeanMinAge24)))</f>
        <v/>
      </c>
      <c r="L1527">
        <f>IF(OR(('06_Сеть_и_дети'!L76-'06_Сеть_и_дети'!L104)=0,24&lt;='01_Вводные'!$B$297),0,('06_Сеть_и_дети'!L76-'06_Сеть_и_дети'!L104)*IF('01_Вводные'!$B$239="Да",MeanMinAge24+'19_Расчет_аналитики'!L1572*SUMIF(ThresholdAge24,"&lt;"&amp;'19_Расчет_аналитики'!L1572,WeightedRevAge24)-SUMIF(ThresholdAge24,"&lt;"&amp;'19_Расчет_аналитики'!L1572,WeightedMinAge24),MAX(CapacityAge24*'01_Вводные'!$B$218*'19_Расчет_аналитики'!L1572,MeanMinAge24)))</f>
        <v/>
      </c>
      <c r="M1527">
        <f>IF(OR(('06_Сеть_и_дети'!M76-'06_Сеть_и_дети'!M104)=0,24&lt;='01_Вводные'!$B$297),0,('06_Сеть_и_дети'!M76-'06_Сеть_и_дети'!M104)*IF('01_Вводные'!$B$239="Да",MeanMinAge24+'19_Расчет_аналитики'!M1572*SUMIF(ThresholdAge24,"&lt;"&amp;'19_Расчет_аналитики'!M1572,WeightedRevAge24)-SUMIF(ThresholdAge24,"&lt;"&amp;'19_Расчет_аналитики'!M1572,WeightedMinAge24),MAX(CapacityAge24*'01_Вводные'!$B$218*'19_Расчет_аналитики'!M1572,MeanMinAge24)))</f>
        <v/>
      </c>
      <c r="N1527">
        <f>IF(OR(('06_Сеть_и_дети'!N76-'06_Сеть_и_дети'!N104)=0,24&lt;='01_Вводные'!$B$297),0,('06_Сеть_и_дети'!N76-'06_Сеть_и_дети'!N104)*IF('01_Вводные'!$B$239="Да",MeanMinAge24+'19_Расчет_аналитики'!N1572*SUMIF(ThresholdAge24,"&lt;"&amp;'19_Расчет_аналитики'!N1572,WeightedRevAge24)-SUMIF(ThresholdAge24,"&lt;"&amp;'19_Расчет_аналитики'!N1572,WeightedMinAge24),MAX(CapacityAge24*'01_Вводные'!$B$218*'19_Расчет_аналитики'!N1572,MeanMinAge24)))</f>
        <v/>
      </c>
      <c r="O1527">
        <f>IF(OR(('06_Сеть_и_дети'!O76-'06_Сеть_и_дети'!O104)=0,24&lt;='01_Вводные'!$B$297),0,('06_Сеть_и_дети'!O76-'06_Сеть_и_дети'!O104)*IF('01_Вводные'!$B$239="Да",MeanMinAge24+'19_Расчет_аналитики'!O1572*SUMIF(ThresholdAge24,"&lt;"&amp;'19_Расчет_аналитики'!O1572,WeightedRevAge24)-SUMIF(ThresholdAge24,"&lt;"&amp;'19_Расчет_аналитики'!O1572,WeightedMinAge24),MAX(CapacityAge24*'01_Вводные'!$B$218*'19_Расчет_аналитики'!O1572,MeanMinAge24)))</f>
        <v/>
      </c>
      <c r="P1527">
        <f>IF(OR(('06_Сеть_и_дети'!P76-'06_Сеть_и_дети'!P104)=0,24&lt;='01_Вводные'!$B$297),0,('06_Сеть_и_дети'!P76-'06_Сеть_и_дети'!P104)*IF('01_Вводные'!$B$239="Да",MeanMinAge24+'19_Расчет_аналитики'!P1572*SUMIF(ThresholdAge24,"&lt;"&amp;'19_Расчет_аналитики'!P1572,WeightedRevAge24)-SUMIF(ThresholdAge24,"&lt;"&amp;'19_Расчет_аналитики'!P1572,WeightedMinAge24),MAX(CapacityAge24*'01_Вводные'!$B$218*'19_Расчет_аналитики'!P1572,MeanMinAge24)))</f>
        <v/>
      </c>
      <c r="Q1527">
        <f>IF(OR(('06_Сеть_и_дети'!Q76-'06_Сеть_и_дети'!Q104)=0,24&lt;='01_Вводные'!$B$297),0,('06_Сеть_и_дети'!Q76-'06_Сеть_и_дети'!Q104)*IF('01_Вводные'!$B$239="Да",MeanMinAge24+'19_Расчет_аналитики'!Q1572*SUMIF(ThresholdAge24,"&lt;"&amp;'19_Расчет_аналитики'!Q1572,WeightedRevAge24)-SUMIF(ThresholdAge24,"&lt;"&amp;'19_Расчет_аналитики'!Q1572,WeightedMinAge24),MAX(CapacityAge24*'01_Вводные'!$B$218*'19_Расчет_аналитики'!Q1572,MeanMinAge24)))</f>
        <v/>
      </c>
      <c r="R1527">
        <f>IF(OR(('06_Сеть_и_дети'!R76-'06_Сеть_и_дети'!R104)=0,24&lt;='01_Вводные'!$B$297),0,('06_Сеть_и_дети'!R76-'06_Сеть_и_дети'!R104)*IF('01_Вводные'!$B$239="Да",MeanMinAge24+'19_Расчет_аналитики'!R1572*SUMIF(ThresholdAge24,"&lt;"&amp;'19_Расчет_аналитики'!R1572,WeightedRevAge24)-SUMIF(ThresholdAge24,"&lt;"&amp;'19_Расчет_аналитики'!R1572,WeightedMinAge24),MAX(CapacityAge24*'01_Вводные'!$B$218*'19_Расчет_аналитики'!R1572,MeanMinAge24)))</f>
        <v/>
      </c>
      <c r="S1527">
        <f>IF(OR(('06_Сеть_и_дети'!S76-'06_Сеть_и_дети'!S104)=0,24&lt;='01_Вводные'!$B$297),0,('06_Сеть_и_дети'!S76-'06_Сеть_и_дети'!S104)*IF('01_Вводные'!$B$239="Да",MeanMinAge24+'19_Расчет_аналитики'!S1572*SUMIF(ThresholdAge24,"&lt;"&amp;'19_Расчет_аналитики'!S1572,WeightedRevAge24)-SUMIF(ThresholdAge24,"&lt;"&amp;'19_Расчет_аналитики'!S1572,WeightedMinAge24),MAX(CapacityAge24*'01_Вводные'!$B$218*'19_Расчет_аналитики'!S1572,MeanMinAge24)))</f>
        <v/>
      </c>
      <c r="T1527">
        <f>IF(OR(('06_Сеть_и_дети'!T76-'06_Сеть_и_дети'!T104)=0,24&lt;='01_Вводные'!$B$297),0,('06_Сеть_и_дети'!T76-'06_Сеть_и_дети'!T104)*IF('01_Вводные'!$B$239="Да",MeanMinAge24+'19_Расчет_аналитики'!T1572*SUMIF(ThresholdAge24,"&lt;"&amp;'19_Расчет_аналитики'!T1572,WeightedRevAge24)-SUMIF(ThresholdAge24,"&lt;"&amp;'19_Расчет_аналитики'!T1572,WeightedMinAge24),MAX(CapacityAge24*'01_Вводные'!$B$218*'19_Расчет_аналитики'!T1572,MeanMinAge24)))</f>
        <v/>
      </c>
      <c r="U1527">
        <f>IF(OR(('06_Сеть_и_дети'!U76-'06_Сеть_и_дети'!U104)=0,24&lt;='01_Вводные'!$B$297),0,('06_Сеть_и_дети'!U76-'06_Сеть_и_дети'!U104)*IF('01_Вводные'!$B$239="Да",MeanMinAge24+'19_Расчет_аналитики'!U1572*SUMIF(ThresholdAge24,"&lt;"&amp;'19_Расчет_аналитики'!U1572,WeightedRevAge24)-SUMIF(ThresholdAge24,"&lt;"&amp;'19_Расчет_аналитики'!U1572,WeightedMinAge24),MAX(CapacityAge24*'01_Вводные'!$B$218*'19_Расчет_аналитики'!U1572,MeanMinAge24)))</f>
        <v/>
      </c>
      <c r="V1527">
        <f>IF(OR(('06_Сеть_и_дети'!V76-'06_Сеть_и_дети'!V104)=0,24&lt;='01_Вводные'!$B$297),0,('06_Сеть_и_дети'!V76-'06_Сеть_и_дети'!V104)*IF('01_Вводные'!$B$239="Да",MeanMinAge24+'19_Расчет_аналитики'!V1572*SUMIF(ThresholdAge24,"&lt;"&amp;'19_Расчет_аналитики'!V1572,WeightedRevAge24)-SUMIF(ThresholdAge24,"&lt;"&amp;'19_Расчет_аналитики'!V1572,WeightedMinAge24),MAX(CapacityAge24*'01_Вводные'!$B$218*'19_Расчет_аналитики'!V1572,MeanMinAge24)))</f>
        <v/>
      </c>
      <c r="W1527">
        <f>IF(OR(('06_Сеть_и_дети'!W76-'06_Сеть_и_дети'!W104)=0,24&lt;='01_Вводные'!$B$297),0,('06_Сеть_и_дети'!W76-'06_Сеть_и_дети'!W104)*IF('01_Вводные'!$B$239="Да",MeanMinAge24+'19_Расчет_аналитики'!W1572*SUMIF(ThresholdAge24,"&lt;"&amp;'19_Расчет_аналитики'!W1572,WeightedRevAge24)-SUMIF(ThresholdAge24,"&lt;"&amp;'19_Расчет_аналитики'!W1572,WeightedMinAge24),MAX(CapacityAge24*'01_Вводные'!$B$218*'19_Расчет_аналитики'!W1572,MeanMinAge24)))</f>
        <v/>
      </c>
      <c r="X1527">
        <f>IF(OR(('06_Сеть_и_дети'!X76-'06_Сеть_и_дети'!X104)=0,24&lt;='01_Вводные'!$B$297),0,('06_Сеть_и_дети'!X76-'06_Сеть_и_дети'!X104)*IF('01_Вводные'!$B$239="Да",MeanMinAge24+'19_Расчет_аналитики'!X1572*SUMIF(ThresholdAge24,"&lt;"&amp;'19_Расчет_аналитики'!X1572,WeightedRevAge24)-SUMIF(ThresholdAge24,"&lt;"&amp;'19_Расчет_аналитики'!X1572,WeightedMinAge24),MAX(CapacityAge24*'01_Вводные'!$B$218*'19_Расчет_аналитики'!X1572,MeanMinAge24)))</f>
        <v/>
      </c>
      <c r="Y1527">
        <f>IF(OR(('19_Расчет_аналитики'!Y1443-'19_Расчет_аналитики'!Y1471)=0,24&lt;='01_Вводные'!$B$297),0,('19_Расчет_аналитики'!Y1443-'19_Расчет_аналитики'!Y1471)*IF('01_Вводные'!$B$239="Да",MeanMinAge24+'19_Расчет_аналитики'!Y1572*SUMIF(ThresholdAge24,"&lt;"&amp;'19_Расчет_аналитики'!Y1572,WeightedRevAge24)-SUMIF(ThresholdAge24,"&lt;"&amp;'19_Расчет_аналитики'!Y1572,WeightedMinAge24),MAX(CapacityAge24*'01_Вводные'!$B$218*'19_Расчет_аналитики'!Y1572,MeanMinAge24)))</f>
        <v/>
      </c>
      <c r="Z1527">
        <f>IF(OR(('19_Расчет_аналитики'!Z1443-'19_Расчет_аналитики'!Z1471)=0,24&lt;='01_Вводные'!$B$297),0,('19_Расчет_аналитики'!Z1443-'19_Расчет_аналитики'!Z1471)*IF('01_Вводные'!$B$239="Да",MeanMinAge24+'19_Расчет_аналитики'!Z1572*SUMIF(ThresholdAge24,"&lt;"&amp;'19_Расчет_аналитики'!Z1572,WeightedRevAge24)-SUMIF(ThresholdAge24,"&lt;"&amp;'19_Расчет_аналитики'!Z1572,WeightedMinAge24),MAX(CapacityAge24*'01_Вводные'!$B$218*'19_Расчет_аналитики'!Z1572,MeanMinAge24)))</f>
        <v/>
      </c>
      <c r="AA1527">
        <f>IF(OR(('19_Расчет_аналитики'!AA1443-'19_Расчет_аналитики'!AA1471)=0,24&lt;='01_Вводные'!$B$297),0,('19_Расчет_аналитики'!AA1443-'19_Расчет_аналитики'!AA1471)*IF('01_Вводные'!$B$239="Да",MeanMinAge24+'19_Расчет_аналитики'!AA1572*SUMIF(ThresholdAge24,"&lt;"&amp;'19_Расчет_аналитики'!AA1572,WeightedRevAge24)-SUMIF(ThresholdAge24,"&lt;"&amp;'19_Расчет_аналитики'!AA1572,WeightedMinAge24),MAX(CapacityAge24*'01_Вводные'!$B$218*'19_Расчет_аналитики'!AA1572,MeanMinAge24)))</f>
        <v/>
      </c>
      <c r="AB1527">
        <f>IF(OR(('19_Расчет_аналитики'!AB1443-'19_Расчет_аналитики'!AB1471)=0,24&lt;='01_Вводные'!$B$297),0,('19_Расчет_аналитики'!AB1443-'19_Расчет_аналитики'!AB1471)*IF('01_Вводные'!$B$239="Да",MeanMinAge24+'19_Расчет_аналитики'!AB1572*SUMIF(ThresholdAge24,"&lt;"&amp;'19_Расчет_аналитики'!AB1572,WeightedRevAge24)-SUMIF(ThresholdAge24,"&lt;"&amp;'19_Расчет_аналитики'!AB1572,WeightedMinAge24),MAX(CapacityAge24*'01_Вводные'!$B$218*'19_Расчет_аналитики'!AB1572,MeanMinAge24)))</f>
        <v/>
      </c>
      <c r="AC1527">
        <f>IF(OR(('19_Расчет_аналитики'!AC1443-'19_Расчет_аналитики'!AC1471)=0,24&lt;='01_Вводные'!$B$297),0,('19_Расчет_аналитики'!AC1443-'19_Расчет_аналитики'!AC1471)*IF('01_Вводные'!$B$239="Да",MeanMinAge24+'19_Расчет_аналитики'!AC1572*SUMIF(ThresholdAge24,"&lt;"&amp;'19_Расчет_аналитики'!AC1572,WeightedRevAge24)-SUMIF(ThresholdAge24,"&lt;"&amp;'19_Расчет_аналитики'!AC1572,WeightedMinAge24),MAX(CapacityAge24*'01_Вводные'!$B$218*'19_Расчет_аналитики'!AC1572,MeanMinAge24)))</f>
        <v/>
      </c>
      <c r="AD1527">
        <f>IF(OR(('19_Расчет_аналитики'!AD1443-'19_Расчет_аналитики'!AD1471)=0,24&lt;='01_Вводные'!$B$297),0,('19_Расчет_аналитики'!AD1443-'19_Расчет_аналитики'!AD1471)*IF('01_Вводные'!$B$239="Да",MeanMinAge24+'19_Расчет_аналитики'!AD1572*SUMIF(ThresholdAge24,"&lt;"&amp;'19_Расчет_аналитики'!AD1572,WeightedRevAge24)-SUMIF(ThresholdAge24,"&lt;"&amp;'19_Расчет_аналитики'!AD1572,WeightedMinAge24),MAX(CapacityAge24*'01_Вводные'!$B$218*'19_Расчет_аналитики'!AD1572,MeanMinAge24)))</f>
        <v/>
      </c>
      <c r="AE1527">
        <f>IF(OR(('19_Расчет_аналитики'!AE1443-'19_Расчет_аналитики'!AE1471)=0,24&lt;='01_Вводные'!$B$297),0,('19_Расчет_аналитики'!AE1443-'19_Расчет_аналитики'!AE1471)*IF('01_Вводные'!$B$239="Да",MeanMinAge24+'19_Расчет_аналитики'!AE1572*SUMIF(ThresholdAge24,"&lt;"&amp;'19_Расчет_аналитики'!AE1572,WeightedRevAge24)-SUMIF(ThresholdAge24,"&lt;"&amp;'19_Расчет_аналитики'!AE1572,WeightedMinAge24),MAX(CapacityAge24*'01_Вводные'!$B$218*'19_Расчет_аналитики'!AE1572,MeanMinAge24)))</f>
        <v/>
      </c>
      <c r="AF1527">
        <f>IF(OR(('19_Расчет_аналитики'!AF1443-'19_Расчет_аналитики'!AF1471)=0,24&lt;='01_Вводные'!$B$297),0,('19_Расчет_аналитики'!AF1443-'19_Расчет_аналитики'!AF1471)*IF('01_Вводные'!$B$239="Да",MeanMinAge24+'19_Расчет_аналитики'!AF1572*SUMIF(ThresholdAge24,"&lt;"&amp;'19_Расчет_аналитики'!AF1572,WeightedRevAge24)-SUMIF(ThresholdAge24,"&lt;"&amp;'19_Расчет_аналитики'!AF1572,WeightedMinAge24),MAX(CapacityAge24*'01_Вводные'!$B$218*'19_Расчет_аналитики'!AF1572,MeanMinAge24)))</f>
        <v/>
      </c>
      <c r="AG1527">
        <f>IF(OR(('19_Расчет_аналитики'!AG1443-'19_Расчет_аналитики'!AG1471)=0,24&lt;='01_Вводные'!$B$297),0,('19_Расчет_аналитики'!AG1443-'19_Расчет_аналитики'!AG1471)*IF('01_Вводные'!$B$239="Да",MeanMinAge24+'19_Расчет_аналитики'!AG1572*SUMIF(ThresholdAge24,"&lt;"&amp;'19_Расчет_аналитики'!AG1572,WeightedRevAge24)-SUMIF(ThresholdAge24,"&lt;"&amp;'19_Расчет_аналитики'!AG1572,WeightedMinAge24),MAX(CapacityAge24*'01_Вводные'!$B$218*'19_Расчет_аналитики'!AG1572,MeanMinAge24)))</f>
        <v/>
      </c>
      <c r="AH1527">
        <f>IF(OR(('19_Расчет_аналитики'!AH1443-'19_Расчет_аналитики'!AH1471)=0,24&lt;='01_Вводные'!$B$297),0,('19_Расчет_аналитики'!AH1443-'19_Расчет_аналитики'!AH1471)*IF('01_Вводные'!$B$239="Да",MeanMinAge24+'19_Расчет_аналитики'!AH1572*SUMIF(ThresholdAge24,"&lt;"&amp;'19_Расчет_аналитики'!AH1572,WeightedRevAge24)-SUMIF(ThresholdAge24,"&lt;"&amp;'19_Расчет_аналитики'!AH1572,WeightedMinAge24),MAX(CapacityAge24*'01_Вводные'!$B$218*'19_Расчет_аналитики'!AH1572,MeanMinAge24)))</f>
        <v/>
      </c>
      <c r="AI1527">
        <f>IF(OR(('19_Расчет_аналитики'!AI1443-'19_Расчет_аналитики'!AI1471)=0,24&lt;='01_Вводные'!$B$297),0,('19_Расчет_аналитики'!AI1443-'19_Расчет_аналитики'!AI1471)*IF('01_Вводные'!$B$239="Да",MeanMinAge24+'19_Расчет_аналитики'!AI1572*SUMIF(ThresholdAge24,"&lt;"&amp;'19_Расчет_аналитики'!AI1572,WeightedRevAge24)-SUMIF(ThresholdAge24,"&lt;"&amp;'19_Расчет_аналитики'!AI1572,WeightedMinAge24),MAX(CapacityAge24*'01_Вводные'!$B$218*'19_Расчет_аналитики'!AI1572,MeanMinAge24)))</f>
        <v/>
      </c>
      <c r="AJ1527">
        <f>IF(OR(('19_Расчет_аналитики'!AJ1443-'19_Расчет_аналитики'!AJ1471)=0,24&lt;='01_Вводные'!$B$297),0,('19_Расчет_аналитики'!AJ1443-'19_Расчет_аналитики'!AJ1471)*IF('01_Вводные'!$B$239="Да",MeanMinAge24+'19_Расчет_аналитики'!AJ1572*SUMIF(ThresholdAge24,"&lt;"&amp;'19_Расчет_аналитики'!AJ1572,WeightedRevAge24)-SUMIF(ThresholdAge24,"&lt;"&amp;'19_Расчет_аналитики'!AJ1572,WeightedMinAge24),MAX(CapacityAge24*'01_Вводные'!$B$218*'19_Расчет_аналитики'!AJ1572,MeanMinAge24)))</f>
        <v/>
      </c>
      <c r="AK1527">
        <f>IF(OR(('19_Расчет_аналитики'!AK1443-'19_Расчет_аналитики'!AK1471)=0,24&lt;='01_Вводные'!$B$297),0,('19_Расчет_аналитики'!AK1443-'19_Расчет_аналитики'!AK1471)*IF('01_Вводные'!$B$239="Да",MeanMinAge24+'19_Расчет_аналитики'!AK1572*SUMIF(ThresholdAge24,"&lt;"&amp;'19_Расчет_аналитики'!AK1572,WeightedRevAge24)-SUMIF(ThresholdAge24,"&lt;"&amp;'19_Расчет_аналитики'!AK1572,WeightedMinAge24),MAX(CapacityAge24*'01_Вводные'!$B$218*'19_Расчет_аналитики'!AK1572,MeanMinAge24)))</f>
        <v/>
      </c>
      <c r="AL1527">
        <f>IF(OR(('19_Расчет_аналитики'!AL1443-'19_Расчет_аналитики'!AL1471)=0,24&lt;='01_Вводные'!$B$297),0,('19_Расчет_аналитики'!AL1443-'19_Расчет_аналитики'!AL1471)*IF('01_Вводные'!$B$239="Да",MeanMinAge24+'19_Расчет_аналитики'!AL1572*SUMIF(ThresholdAge24,"&lt;"&amp;'19_Расчет_аналитики'!AL1572,WeightedRevAge24)-SUMIF(ThresholdAge24,"&lt;"&amp;'19_Расчет_аналитики'!AL1572,WeightedMinAge24),MAX(CapacityAge24*'01_Вводные'!$B$218*'19_Расчет_аналитики'!AL1572,MeanMinAge24)))</f>
        <v/>
      </c>
      <c r="AM1527">
        <f>IF(OR(('19_Расчет_аналитики'!AM1443-'19_Расчет_аналитики'!AM1471)=0,24&lt;='01_Вводные'!$B$297),0,('19_Расчет_аналитики'!AM1443-'19_Расчет_аналитики'!AM1471)*IF('01_Вводные'!$B$239="Да",MeanMinAge24+'19_Расчет_аналитики'!AM1572*SUMIF(ThresholdAge24,"&lt;"&amp;'19_Расчет_аналитики'!AM1572,WeightedRevAge24)-SUMIF(ThresholdAge24,"&lt;"&amp;'19_Расчет_аналитики'!AM1572,WeightedMinAge24),MAX(CapacityAge24*'01_Вводные'!$B$218*'19_Расчет_аналитики'!AM1572,MeanMinAge24)))</f>
        <v/>
      </c>
      <c r="AN1527">
        <f>IF(OR(('19_Расчет_аналитики'!AN1443-'19_Расчет_аналитики'!AN1471)=0,24&lt;='01_Вводные'!$B$297),0,('19_Расчет_аналитики'!AN1443-'19_Расчет_аналитики'!AN1471)*IF('01_Вводные'!$B$239="Да",MeanMinAge24+'19_Расчет_аналитики'!AN1572*SUMIF(ThresholdAge24,"&lt;"&amp;'19_Расчет_аналитики'!AN1572,WeightedRevAge24)-SUMIF(ThresholdAge24,"&lt;"&amp;'19_Расчет_аналитики'!AN1572,WeightedMinAge24),MAX(CapacityAge24*'01_Вводные'!$B$218*'19_Расчет_аналитики'!AN1572,MeanMinAge24)))</f>
        <v/>
      </c>
      <c r="AO1527">
        <f>IF(OR(('19_Расчет_аналитики'!AO1443-'19_Расчет_аналитики'!AO1471)=0,24&lt;='01_Вводные'!$B$297),0,('19_Расчет_аналитики'!AO1443-'19_Расчет_аналитики'!AO1471)*IF('01_Вводные'!$B$239="Да",MeanMinAge24+'19_Расчет_аналитики'!AO1572*SUMIF(ThresholdAge24,"&lt;"&amp;'19_Расчет_аналитики'!AO1572,WeightedRevAge24)-SUMIF(ThresholdAge24,"&lt;"&amp;'19_Расчет_аналитики'!AO1572,WeightedMinAge24),MAX(CapacityAge24*'01_Вводные'!$B$218*'19_Расчет_аналитики'!AO1572,MeanMinAge24)))</f>
        <v/>
      </c>
      <c r="AP1527">
        <f>IF(OR(('19_Расчет_аналитики'!AP1443-'19_Расчет_аналитики'!AP1471)=0,24&lt;='01_Вводные'!$B$297),0,('19_Расчет_аналитики'!AP1443-'19_Расчет_аналитики'!AP1471)*IF('01_Вводные'!$B$239="Да",MeanMinAge24+'19_Расчет_аналитики'!AP1572*SUMIF(ThresholdAge24,"&lt;"&amp;'19_Расчет_аналитики'!AP1572,WeightedRevAge24)-SUMIF(ThresholdAge24,"&lt;"&amp;'19_Расчет_аналитики'!AP1572,WeightedMinAge24),MAX(CapacityAge24*'01_Вводные'!$B$218*'19_Расчет_аналитики'!AP1572,MeanMinAge24)))</f>
        <v/>
      </c>
      <c r="AQ1527">
        <f>IF(OR(('19_Расчет_аналитики'!AQ1443-'19_Расчет_аналитики'!AQ1471)=0,24&lt;='01_Вводные'!$B$297),0,('19_Расчет_аналитики'!AQ1443-'19_Расчет_аналитики'!AQ1471)*IF('01_Вводные'!$B$239="Да",MeanMinAge24+'19_Расчет_аналитики'!AQ1572*SUMIF(ThresholdAge24,"&lt;"&amp;'19_Расчет_аналитики'!AQ1572,WeightedRevAge24)-SUMIF(ThresholdAge24,"&lt;"&amp;'19_Расчет_аналитики'!AQ1572,WeightedMinAge24),MAX(CapacityAge24*'01_Вводные'!$B$218*'19_Расчет_аналитики'!AQ1572,MeanMinAge24)))</f>
        <v/>
      </c>
      <c r="AR1527">
        <f>IF(OR(('19_Расчет_аналитики'!AR1443-'19_Расчет_аналитики'!AR1471)=0,24&lt;='01_Вводные'!$B$297),0,('19_Расчет_аналитики'!AR1443-'19_Расчет_аналитики'!AR1471)*IF('01_Вводные'!$B$239="Да",MeanMinAge24+'19_Расчет_аналитики'!AR1572*SUMIF(ThresholdAge24,"&lt;"&amp;'19_Расчет_аналитики'!AR1572,WeightedRevAge24)-SUMIF(ThresholdAge24,"&lt;"&amp;'19_Расчет_аналитики'!AR1572,WeightedMinAge24),MAX(CapacityAge24*'01_Вводные'!$B$218*'19_Расчет_аналитики'!AR1572,MeanMinAge24)))</f>
        <v/>
      </c>
      <c r="AS1527">
        <f>IF(OR(('19_Расчет_аналитики'!AS1443-'19_Расчет_аналитики'!AS1471)=0,24&lt;='01_Вводные'!$B$297),0,('19_Расчет_аналитики'!AS1443-'19_Расчет_аналитики'!AS1471)*IF('01_Вводные'!$B$239="Да",MeanMinAge24+'19_Расчет_аналитики'!AS1572*SUMIF(ThresholdAge24,"&lt;"&amp;'19_Расчет_аналитики'!AS1572,WeightedRevAge24)-SUMIF(ThresholdAge24,"&lt;"&amp;'19_Расчет_аналитики'!AS1572,WeightedMinAge24),MAX(CapacityAge24*'01_Вводные'!$B$218*'19_Расчет_аналитики'!AS1572,MeanMinAge24)))</f>
        <v/>
      </c>
      <c r="AT1527">
        <f>IF(OR(('19_Расчет_аналитики'!AT1443-'19_Расчет_аналитики'!AT1471)=0,24&lt;='01_Вводные'!$B$297),0,('19_Расчет_аналитики'!AT1443-'19_Расчет_аналитики'!AT1471)*IF('01_Вводные'!$B$239="Да",MeanMinAge24+'19_Расчет_аналитики'!AT1572*SUMIF(ThresholdAge24,"&lt;"&amp;'19_Расчет_аналитики'!AT1572,WeightedRevAge24)-SUMIF(ThresholdAge24,"&lt;"&amp;'19_Расчет_аналитики'!AT1572,WeightedMinAge24),MAX(CapacityAge24*'01_Вводные'!$B$218*'19_Расчет_аналитики'!AT1572,MeanMinAge24)))</f>
        <v/>
      </c>
      <c r="AU1527">
        <f>IF(OR(('19_Расчет_аналитики'!AU1443-'19_Расчет_аналитики'!AU1471)=0,24&lt;='01_Вводные'!$B$297),0,('19_Расчет_аналитики'!AU1443-'19_Расчет_аналитики'!AU1471)*IF('01_Вводные'!$B$239="Да",MeanMinAge24+'19_Расчет_аналитики'!AU1572*SUMIF(ThresholdAge24,"&lt;"&amp;'19_Расчет_аналитики'!AU1572,WeightedRevAge24)-SUMIF(ThresholdAge24,"&lt;"&amp;'19_Расчет_аналитики'!AU1572,WeightedMinAge24),MAX(CapacityAge24*'01_Вводные'!$B$218*'19_Расчет_аналитики'!AU1572,MeanMinAge24)))</f>
        <v/>
      </c>
      <c r="AV1527">
        <f>IF(OR(('19_Расчет_аналитики'!AV1443-'19_Расчет_аналитики'!AV1471)=0,24&lt;='01_Вводные'!$B$297),0,('19_Расчет_аналитики'!AV1443-'19_Расчет_аналитики'!AV1471)*IF('01_Вводные'!$B$239="Да",MeanMinAge24+'19_Расчет_аналитики'!AV1572*SUMIF(ThresholdAge24,"&lt;"&amp;'19_Расчет_аналитики'!AV1572,WeightedRevAge24)-SUMIF(ThresholdAge24,"&lt;"&amp;'19_Расчет_аналитики'!AV1572,WeightedMinAge24),MAX(CapacityAge24*'01_Вводные'!$B$218*'19_Расчет_аналитики'!AV1572,MeanMinAge24)))</f>
        <v/>
      </c>
      <c r="AW1527">
        <f>IF(OR(('19_Расчет_аналитики'!AW1443-'19_Расчет_аналитики'!AW1471)=0,24&lt;='01_Вводные'!$B$297),0,('19_Расчет_аналитики'!AW1443-'19_Расчет_аналитики'!AW1471)*IF('01_Вводные'!$B$239="Да",MeanMinAge24+'19_Расчет_аналитики'!AW1572*SUMIF(ThresholdAge24,"&lt;"&amp;'19_Расчет_аналитики'!AW1572,WeightedRevAge24)-SUMIF(ThresholdAge24,"&lt;"&amp;'19_Расчет_аналитики'!AW1572,WeightedMinAge24),MAX(CapacityAge24*'01_Вводные'!$B$218*'19_Расчет_аналитики'!AW1572,MeanMinAge24)))</f>
        <v/>
      </c>
      <c r="AX1527">
        <f>IF(OR(('19_Расчет_аналитики'!AX1443-'19_Расчет_аналитики'!AX1471)=0,24&lt;='01_Вводные'!$B$297),0,('19_Расчет_аналитики'!AX1443-'19_Расчет_аналитики'!AX1471)*IF('01_Вводные'!$B$239="Да",MeanMinAge24+'19_Расчет_аналитики'!AX1572*SUMIF(ThresholdAge24,"&lt;"&amp;'19_Расчет_аналитики'!AX1572,WeightedRevAge24)-SUMIF(ThresholdAge24,"&lt;"&amp;'19_Расчет_аналитики'!AX1572,WeightedMinAge24),MAX(CapacityAge24*'01_Вводные'!$B$218*'19_Расчет_аналитики'!AX1572,MeanMinAge24)))</f>
        <v/>
      </c>
      <c r="AY1527">
        <f>IF(OR(('19_Расчет_аналитики'!AY1443-'19_Расчет_аналитики'!AY1471)=0,24&lt;='01_Вводные'!$B$297),0,('19_Расчет_аналитики'!AY1443-'19_Расчет_аналитики'!AY1471)*IF('01_Вводные'!$B$239="Да",MeanMinAge24+'19_Расчет_аналитики'!AY1572*SUMIF(ThresholdAge24,"&lt;"&amp;'19_Расчет_аналитики'!AY1572,WeightedRevAge24)-SUMIF(ThresholdAge24,"&lt;"&amp;'19_Расчет_аналитики'!AY1572,WeightedMinAge24),MAX(CapacityAge24*'01_Вводные'!$B$218*'19_Расчет_аналитики'!AY1572,MeanMinAge24)))</f>
        <v/>
      </c>
      <c r="AZ1527">
        <f>IF(OR(('19_Расчет_аналитики'!AZ1443-'19_Расчет_аналитики'!AZ1471)=0,24&lt;='01_Вводные'!$B$297),0,('19_Расчет_аналитики'!AZ1443-'19_Расчет_аналитики'!AZ1471)*IF('01_Вводные'!$B$239="Да",MeanMinAge24+'19_Расчет_аналитики'!AZ1572*SUMIF(ThresholdAge24,"&lt;"&amp;'19_Расчет_аналитики'!AZ1572,WeightedRevAge24)-SUMIF(ThresholdAge24,"&lt;"&amp;'19_Расчет_аналитики'!AZ1572,WeightedMinAge24),MAX(CapacityAge24*'01_Вводные'!$B$218*'19_Расчет_аналитики'!AZ1572,MeanMinAge24)))</f>
        <v/>
      </c>
      <c r="BA1527">
        <f>IF(OR(('19_Расчет_аналитики'!BA1443-'19_Расчет_аналитики'!BA1471)=0,24&lt;='01_Вводные'!$B$297),0,('19_Расчет_аналитики'!BA1443-'19_Расчет_аналитики'!BA1471)*IF('01_Вводные'!$B$239="Да",MeanMinAge24+'19_Расчет_аналитики'!BA1572*SUMIF(ThresholdAge24,"&lt;"&amp;'19_Расчет_аналитики'!BA1572,WeightedRevAge24)-SUMIF(ThresholdAge24,"&lt;"&amp;'19_Расчет_аналитики'!BA1572,WeightedMinAge24),MAX(CapacityAge24*'01_Вводные'!$B$218*'19_Расчет_аналитики'!BA1572,MeanMinAge24)))</f>
        <v/>
      </c>
      <c r="BB1527">
        <f>IF(OR(('19_Расчет_аналитики'!BB1443-'19_Расчет_аналитики'!BB1471)=0,24&lt;='01_Вводные'!$B$297),0,('19_Расчет_аналитики'!BB1443-'19_Расчет_аналитики'!BB1471)*IF('01_Вводные'!$B$239="Да",MeanMinAge24+'19_Расчет_аналитики'!BB1572*SUMIF(ThresholdAge24,"&lt;"&amp;'19_Расчет_аналитики'!BB1572,WeightedRevAge24)-SUMIF(ThresholdAge24,"&lt;"&amp;'19_Расчет_аналитики'!BB1572,WeightedMinAge24),MAX(CapacityAge24*'01_Вводные'!$B$218*'19_Расчет_аналитики'!BB1572,MeanMinAge24)))</f>
        <v/>
      </c>
      <c r="BC1527">
        <f>IF(OR(('19_Расчет_аналитики'!BC1443-'19_Расчет_аналитики'!BC1471)=0,24&lt;='01_Вводные'!$B$297),0,('19_Расчет_аналитики'!BC1443-'19_Расчет_аналитики'!BC1471)*IF('01_Вводные'!$B$239="Да",MeanMinAge24+'19_Расчет_аналитики'!BC1572*SUMIF(ThresholdAge24,"&lt;"&amp;'19_Расчет_аналитики'!BC1572,WeightedRevAge24)-SUMIF(ThresholdAge24,"&lt;"&amp;'19_Расчет_аналитики'!BC1572,WeightedMinAge24),MAX(CapacityAge24*'01_Вводные'!$B$218*'19_Расчет_аналитики'!BC1572,MeanMinAge24)))</f>
        <v/>
      </c>
      <c r="BD1527">
        <f>IF(OR(('19_Расчет_аналитики'!BD1443-'19_Расчет_аналитики'!BD1471)=0,24&lt;='01_Вводные'!$B$297),0,('19_Расчет_аналитики'!BD1443-'19_Расчет_аналитики'!BD1471)*IF('01_Вводные'!$B$239="Да",MeanMinAge24+'19_Расчет_аналитики'!BD1572*SUMIF(ThresholdAge24,"&lt;"&amp;'19_Расчет_аналитики'!BD1572,WeightedRevAge24)-SUMIF(ThresholdAge24,"&lt;"&amp;'19_Расчет_аналитики'!BD1572,WeightedMinAge24),MAX(CapacityAge24*'01_Вводные'!$B$218*'19_Расчет_аналитики'!BD1572,MeanMinAge24)))</f>
        <v/>
      </c>
      <c r="BE1527">
        <f>IF(OR(('19_Расчет_аналитики'!BE1443-'19_Расчет_аналитики'!BE1471)=0,24&lt;='01_Вводные'!$B$297),0,('19_Расчет_аналитики'!BE1443-'19_Расчет_аналитики'!BE1471)*IF('01_Вводные'!$B$239="Да",MeanMinAge24+'19_Расчет_аналитики'!BE1572*SUMIF(ThresholdAge24,"&lt;"&amp;'19_Расчет_аналитики'!BE1572,WeightedRevAge24)-SUMIF(ThresholdAge24,"&lt;"&amp;'19_Расчет_аналитики'!BE1572,WeightedMinAge24),MAX(CapacityAge24*'01_Вводные'!$B$218*'19_Расчет_аналитики'!BE1572,MeanMinAge24)))</f>
        <v/>
      </c>
      <c r="BF1527">
        <f>IF(OR(('19_Расчет_аналитики'!BF1443-'19_Расчет_аналитики'!BF1471)=0,24&lt;='01_Вводные'!$B$297),0,('19_Расчет_аналитики'!BF1443-'19_Расчет_аналитики'!BF1471)*IF('01_Вводные'!$B$239="Да",MeanMinAge24+'19_Расчет_аналитики'!BF1572*SUMIF(ThresholdAge24,"&lt;"&amp;'19_Расчет_аналитики'!BF1572,WeightedRevAge24)-SUMIF(ThresholdAge24,"&lt;"&amp;'19_Расчет_аналитики'!BF1572,WeightedMinAge24),MAX(CapacityAge24*'01_Вводные'!$B$218*'19_Расчет_аналитики'!BF1572,MeanMinAge24)))</f>
        <v/>
      </c>
      <c r="BG1527">
        <f>IF(OR(('19_Расчет_аналитики'!BG1443-'19_Расчет_аналитики'!BG1471)=0,24&lt;='01_Вводные'!$B$297),0,('19_Расчет_аналитики'!BG1443-'19_Расчет_аналитики'!BG1471)*IF('01_Вводные'!$B$239="Да",MeanMinAge24+'19_Расчет_аналитики'!BG1572*SUMIF(ThresholdAge24,"&lt;"&amp;'19_Расчет_аналитики'!BG1572,WeightedRevAge24)-SUMIF(ThresholdAge24,"&lt;"&amp;'19_Расчет_аналитики'!BG1572,WeightedMinAge24),MAX(CapacityAge24*'01_Вводные'!$B$218*'19_Расчет_аналитики'!BG1572,MeanMinAge24)))</f>
        <v/>
      </c>
      <c r="BH1527">
        <f>IF(OR(('19_Расчет_аналитики'!BH1443-'19_Расчет_аналитики'!BH1471)=0,24&lt;='01_Вводные'!$B$297),0,('19_Расчет_аналитики'!BH1443-'19_Расчет_аналитики'!BH1471)*IF('01_Вводные'!$B$239="Да",MeanMinAge24+'19_Расчет_аналитики'!BH1572*SUMIF(ThresholdAge24,"&lt;"&amp;'19_Расчет_аналитики'!BH1572,WeightedRevAge24)-SUMIF(ThresholdAge24,"&lt;"&amp;'19_Расчет_аналитики'!BH1572,WeightedMinAge24),MAX(CapacityAge24*'01_Вводные'!$B$218*'19_Расчет_аналитики'!BH1572,MeanMinAge24)))</f>
        <v/>
      </c>
      <c r="BI1527">
        <f>IF(OR(('19_Расчет_аналитики'!BI1443-'19_Расчет_аналитики'!BI1471)=0,24&lt;='01_Вводные'!$B$297),0,('19_Расчет_аналитики'!BI1443-'19_Расчет_аналитики'!BI1471)*IF('01_Вводные'!$B$239="Да",MeanMinAge24+'19_Расчет_аналитики'!BI1572*SUMIF(ThresholdAge24,"&lt;"&amp;'19_Расчет_аналитики'!BI1572,WeightedRevAge24)-SUMIF(ThresholdAge24,"&lt;"&amp;'19_Расчет_аналитики'!BI1572,WeightedMinAge24),MAX(CapacityAge24*'01_Вводные'!$B$218*'19_Расчет_аналитики'!BI1572,MeanMinAge24)))</f>
        <v/>
      </c>
      <c r="BJ1527">
        <f>IF(OR(('19_Расчет_аналитики'!BJ1443-'19_Расчет_аналитики'!BJ1471)=0,24&lt;='01_Вводные'!$B$297),0,('19_Расчет_аналитики'!BJ1443-'19_Расчет_аналитики'!BJ1471)*IF('01_Вводные'!$B$239="Да",MeanMinAge24+'19_Расчет_аналитики'!BJ1572*SUMIF(ThresholdAge24,"&lt;"&amp;'19_Расчет_аналитики'!BJ1572,WeightedRevAge24)-SUMIF(ThresholdAge24,"&lt;"&amp;'19_Расчет_аналитики'!BJ1572,WeightedMinAge24),MAX(CapacityAge24*'01_Вводные'!$B$218*'19_Расчет_аналитики'!BJ1572,MeanMinAge24)))</f>
        <v/>
      </c>
      <c r="BK1527">
        <f>IF(OR(('19_Расчет_аналитики'!BK1443-'19_Расчет_аналитики'!BK1471)=0,24&lt;='01_Вводные'!$B$297),0,('19_Расчет_аналитики'!BK1443-'19_Расчет_аналитики'!BK1471)*IF('01_Вводные'!$B$239="Да",MeanMinAge24+'19_Расчет_аналитики'!BK1572*SUMIF(ThresholdAge24,"&lt;"&amp;'19_Расчет_аналитики'!BK1572,WeightedRevAge24)-SUMIF(ThresholdAge24,"&lt;"&amp;'19_Расчет_аналитики'!BK1572,WeightedMinAge24),MAX(CapacityAge24*'01_Вводные'!$B$218*'19_Расчет_аналитики'!BK1572,MeanMinAge24)))</f>
        <v/>
      </c>
      <c r="BL1527">
        <f>IF(OR(('19_Расчет_аналитики'!BL1443-'19_Расчет_аналитики'!BL1471)=0,24&lt;='01_Вводные'!$B$297),0,('19_Расчет_аналитики'!BL1443-'19_Расчет_аналитики'!BL1471)*IF('01_Вводные'!$B$239="Да",MeanMinAge24+'19_Расчет_аналитики'!BL1572*SUMIF(ThresholdAge24,"&lt;"&amp;'19_Расчет_аналитики'!BL1572,WeightedRevAge24)-SUMIF(ThresholdAge24,"&lt;"&amp;'19_Расчет_аналитики'!BL1572,WeightedMinAge24),MAX(CapacityAge24*'01_Вводные'!$B$218*'19_Расчет_аналитики'!BL1572,MeanMinAge24)))</f>
        <v/>
      </c>
      <c r="BM1527">
        <f>IF(OR(('19_Расчет_аналитики'!BM1443-'19_Расчет_аналитики'!BM1471)=0,24&lt;='01_Вводные'!$B$297),0,('19_Расчет_аналитики'!BM1443-'19_Расчет_аналитики'!BM1471)*IF('01_Вводные'!$B$239="Да",MeanMinAge24+'19_Расчет_аналитики'!BM1572*SUMIF(ThresholdAge24,"&lt;"&amp;'19_Расчет_аналитики'!BM1572,WeightedRevAge24)-SUMIF(ThresholdAge24,"&lt;"&amp;'19_Расчет_аналитики'!BM1572,WeightedMinAge24),MAX(CapacityAge24*'01_Вводные'!$B$218*'19_Расчет_аналитики'!BM1572,MeanMinAge24)))</f>
        <v/>
      </c>
      <c r="BN1527">
        <f>IF(OR(('19_Расчет_аналитики'!BN1443-'19_Расчет_аналитики'!BN1471)=0,24&lt;='01_Вводные'!$B$297),0,('19_Расчет_аналитики'!BN1443-'19_Расчет_аналитики'!BN1471)*IF('01_Вводные'!$B$239="Да",MeanMinAge24+'19_Расчет_аналитики'!BN1572*SUMIF(ThresholdAge24,"&lt;"&amp;'19_Расчет_аналитики'!BN1572,WeightedRevAge24)-SUMIF(ThresholdAge24,"&lt;"&amp;'19_Расчет_аналитики'!BN1572,WeightedMinAge24),MAX(CapacityAge24*'01_Вводные'!$B$218*'19_Расчет_аналитики'!BN1572,MeanMinAge24)))</f>
        <v/>
      </c>
      <c r="BO1527">
        <f>IF(OR(('19_Расчет_аналитики'!BO1443-'19_Расчет_аналитики'!BO1471)=0,24&lt;='01_Вводные'!$B$297),0,('19_Расчет_аналитики'!BO1443-'19_Расчет_аналитики'!BO1471)*IF('01_Вводные'!$B$239="Да",MeanMinAge24+'19_Расчет_аналитики'!BO1572*SUMIF(ThresholdAge24,"&lt;"&amp;'19_Расчет_аналитики'!BO1572,WeightedRevAge24)-SUMIF(ThresholdAge24,"&lt;"&amp;'19_Расчет_аналитики'!BO1572,WeightedMinAge24),MAX(CapacityAge24*'01_Вводные'!$B$218*'19_Расчет_аналитики'!BO1572,MeanMinAge24)))</f>
        <v/>
      </c>
    </row>
    <row r="1528">
      <c r="B1528">
        <f>IF(OR(('06_Сеть_и_дети'!B77-'06_Сеть_и_дети'!B105)=0,25&lt;='01_Вводные'!$B$297),0,('06_Сеть_и_дети'!B77-'06_Сеть_и_дети'!B105)*IF('01_Вводные'!$B$239="Да",MeanMinAge25+'19_Расчет_аналитики'!B1572*SUMIF(ThresholdAge25,"&lt;"&amp;'19_Расчет_аналитики'!B1572,WeightedRevAge25)-SUMIF(ThresholdAge25,"&lt;"&amp;'19_Расчет_аналитики'!B1572,WeightedMinAge25),MAX(CapacityAge25*'01_Вводные'!$B$218*'19_Расчет_аналитики'!B1572,MeanMinAge25)))</f>
        <v/>
      </c>
      <c r="C1528">
        <f>IF(OR(('06_Сеть_и_дети'!C77-'06_Сеть_и_дети'!C105)=0,25&lt;='01_Вводные'!$B$297),0,('06_Сеть_и_дети'!C77-'06_Сеть_и_дети'!C105)*IF('01_Вводные'!$B$239="Да",MeanMinAge25+'19_Расчет_аналитики'!C1572*SUMIF(ThresholdAge25,"&lt;"&amp;'19_Расчет_аналитики'!C1572,WeightedRevAge25)-SUMIF(ThresholdAge25,"&lt;"&amp;'19_Расчет_аналитики'!C1572,WeightedMinAge25),MAX(CapacityAge25*'01_Вводные'!$B$218*'19_Расчет_аналитики'!C1572,MeanMinAge25)))</f>
        <v/>
      </c>
      <c r="D1528">
        <f>IF(OR(('06_Сеть_и_дети'!D77-'06_Сеть_и_дети'!D105)=0,25&lt;='01_Вводные'!$B$297),0,('06_Сеть_и_дети'!D77-'06_Сеть_и_дети'!D105)*IF('01_Вводные'!$B$239="Да",MeanMinAge25+'19_Расчет_аналитики'!D1572*SUMIF(ThresholdAge25,"&lt;"&amp;'19_Расчет_аналитики'!D1572,WeightedRevAge25)-SUMIF(ThresholdAge25,"&lt;"&amp;'19_Расчет_аналитики'!D1572,WeightedMinAge25),MAX(CapacityAge25*'01_Вводные'!$B$218*'19_Расчет_аналитики'!D1572,MeanMinAge25)))</f>
        <v/>
      </c>
      <c r="E1528">
        <f>IF(OR(('06_Сеть_и_дети'!E77-'06_Сеть_и_дети'!E105)=0,25&lt;='01_Вводные'!$B$297),0,('06_Сеть_и_дети'!E77-'06_Сеть_и_дети'!E105)*IF('01_Вводные'!$B$239="Да",MeanMinAge25+'19_Расчет_аналитики'!E1572*SUMIF(ThresholdAge25,"&lt;"&amp;'19_Расчет_аналитики'!E1572,WeightedRevAge25)-SUMIF(ThresholdAge25,"&lt;"&amp;'19_Расчет_аналитики'!E1572,WeightedMinAge25),MAX(CapacityAge25*'01_Вводные'!$B$218*'19_Расчет_аналитики'!E1572,MeanMinAge25)))</f>
        <v/>
      </c>
      <c r="F1528">
        <f>IF(OR(('06_Сеть_и_дети'!F77-'06_Сеть_и_дети'!F105)=0,25&lt;='01_Вводные'!$B$297),0,('06_Сеть_и_дети'!F77-'06_Сеть_и_дети'!F105)*IF('01_Вводные'!$B$239="Да",MeanMinAge25+'19_Расчет_аналитики'!F1572*SUMIF(ThresholdAge25,"&lt;"&amp;'19_Расчет_аналитики'!F1572,WeightedRevAge25)-SUMIF(ThresholdAge25,"&lt;"&amp;'19_Расчет_аналитики'!F1572,WeightedMinAge25),MAX(CapacityAge25*'01_Вводные'!$B$218*'19_Расчет_аналитики'!F1572,MeanMinAge25)))</f>
        <v/>
      </c>
      <c r="G1528">
        <f>IF(OR(('06_Сеть_и_дети'!G77-'06_Сеть_и_дети'!G105)=0,25&lt;='01_Вводные'!$B$297),0,('06_Сеть_и_дети'!G77-'06_Сеть_и_дети'!G105)*IF('01_Вводные'!$B$239="Да",MeanMinAge25+'19_Расчет_аналитики'!G1572*SUMIF(ThresholdAge25,"&lt;"&amp;'19_Расчет_аналитики'!G1572,WeightedRevAge25)-SUMIF(ThresholdAge25,"&lt;"&amp;'19_Расчет_аналитики'!G1572,WeightedMinAge25),MAX(CapacityAge25*'01_Вводные'!$B$218*'19_Расчет_аналитики'!G1572,MeanMinAge25)))</f>
        <v/>
      </c>
      <c r="H1528">
        <f>IF(OR(('06_Сеть_и_дети'!H77-'06_Сеть_и_дети'!H105)=0,25&lt;='01_Вводные'!$B$297),0,('06_Сеть_и_дети'!H77-'06_Сеть_и_дети'!H105)*IF('01_Вводные'!$B$239="Да",MeanMinAge25+'19_Расчет_аналитики'!H1572*SUMIF(ThresholdAge25,"&lt;"&amp;'19_Расчет_аналитики'!H1572,WeightedRevAge25)-SUMIF(ThresholdAge25,"&lt;"&amp;'19_Расчет_аналитики'!H1572,WeightedMinAge25),MAX(CapacityAge25*'01_Вводные'!$B$218*'19_Расчет_аналитики'!H1572,MeanMinAge25)))</f>
        <v/>
      </c>
      <c r="I1528">
        <f>IF(OR(('06_Сеть_и_дети'!I77-'06_Сеть_и_дети'!I105)=0,25&lt;='01_Вводные'!$B$297),0,('06_Сеть_и_дети'!I77-'06_Сеть_и_дети'!I105)*IF('01_Вводные'!$B$239="Да",MeanMinAge25+'19_Расчет_аналитики'!I1572*SUMIF(ThresholdAge25,"&lt;"&amp;'19_Расчет_аналитики'!I1572,WeightedRevAge25)-SUMIF(ThresholdAge25,"&lt;"&amp;'19_Расчет_аналитики'!I1572,WeightedMinAge25),MAX(CapacityAge25*'01_Вводные'!$B$218*'19_Расчет_аналитики'!I1572,MeanMinAge25)))</f>
        <v/>
      </c>
      <c r="J1528">
        <f>IF(OR(('06_Сеть_и_дети'!J77-'06_Сеть_и_дети'!J105)=0,25&lt;='01_Вводные'!$B$297),0,('06_Сеть_и_дети'!J77-'06_Сеть_и_дети'!J105)*IF('01_Вводные'!$B$239="Да",MeanMinAge25+'19_Расчет_аналитики'!J1572*SUMIF(ThresholdAge25,"&lt;"&amp;'19_Расчет_аналитики'!J1572,WeightedRevAge25)-SUMIF(ThresholdAge25,"&lt;"&amp;'19_Расчет_аналитики'!J1572,WeightedMinAge25),MAX(CapacityAge25*'01_Вводные'!$B$218*'19_Расчет_аналитики'!J1572,MeanMinAge25)))</f>
        <v/>
      </c>
      <c r="K1528">
        <f>IF(OR(('06_Сеть_и_дети'!K77-'06_Сеть_и_дети'!K105)=0,25&lt;='01_Вводные'!$B$297),0,('06_Сеть_и_дети'!K77-'06_Сеть_и_дети'!K105)*IF('01_Вводные'!$B$239="Да",MeanMinAge25+'19_Расчет_аналитики'!K1572*SUMIF(ThresholdAge25,"&lt;"&amp;'19_Расчет_аналитики'!K1572,WeightedRevAge25)-SUMIF(ThresholdAge25,"&lt;"&amp;'19_Расчет_аналитики'!K1572,WeightedMinAge25),MAX(CapacityAge25*'01_Вводные'!$B$218*'19_Расчет_аналитики'!K1572,MeanMinAge25)))</f>
        <v/>
      </c>
      <c r="L1528">
        <f>IF(OR(('06_Сеть_и_дети'!L77-'06_Сеть_и_дети'!L105)=0,25&lt;='01_Вводные'!$B$297),0,('06_Сеть_и_дети'!L77-'06_Сеть_и_дети'!L105)*IF('01_Вводные'!$B$239="Да",MeanMinAge25+'19_Расчет_аналитики'!L1572*SUMIF(ThresholdAge25,"&lt;"&amp;'19_Расчет_аналитики'!L1572,WeightedRevAge25)-SUMIF(ThresholdAge25,"&lt;"&amp;'19_Расчет_аналитики'!L1572,WeightedMinAge25),MAX(CapacityAge25*'01_Вводные'!$B$218*'19_Расчет_аналитики'!L1572,MeanMinAge25)))</f>
        <v/>
      </c>
      <c r="M1528">
        <f>IF(OR(('06_Сеть_и_дети'!M77-'06_Сеть_и_дети'!M105)=0,25&lt;='01_Вводные'!$B$297),0,('06_Сеть_и_дети'!M77-'06_Сеть_и_дети'!M105)*IF('01_Вводные'!$B$239="Да",MeanMinAge25+'19_Расчет_аналитики'!M1572*SUMIF(ThresholdAge25,"&lt;"&amp;'19_Расчет_аналитики'!M1572,WeightedRevAge25)-SUMIF(ThresholdAge25,"&lt;"&amp;'19_Расчет_аналитики'!M1572,WeightedMinAge25),MAX(CapacityAge25*'01_Вводные'!$B$218*'19_Расчет_аналитики'!M1572,MeanMinAge25)))</f>
        <v/>
      </c>
      <c r="N1528">
        <f>IF(OR(('06_Сеть_и_дети'!N77-'06_Сеть_и_дети'!N105)=0,25&lt;='01_Вводные'!$B$297),0,('06_Сеть_и_дети'!N77-'06_Сеть_и_дети'!N105)*IF('01_Вводные'!$B$239="Да",MeanMinAge25+'19_Расчет_аналитики'!N1572*SUMIF(ThresholdAge25,"&lt;"&amp;'19_Расчет_аналитики'!N1572,WeightedRevAge25)-SUMIF(ThresholdAge25,"&lt;"&amp;'19_Расчет_аналитики'!N1572,WeightedMinAge25),MAX(CapacityAge25*'01_Вводные'!$B$218*'19_Расчет_аналитики'!N1572,MeanMinAge25)))</f>
        <v/>
      </c>
      <c r="O1528">
        <f>IF(OR(('06_Сеть_и_дети'!O77-'06_Сеть_и_дети'!O105)=0,25&lt;='01_Вводные'!$B$297),0,('06_Сеть_и_дети'!O77-'06_Сеть_и_дети'!O105)*IF('01_Вводные'!$B$239="Да",MeanMinAge25+'19_Расчет_аналитики'!O1572*SUMIF(ThresholdAge25,"&lt;"&amp;'19_Расчет_аналитики'!O1572,WeightedRevAge25)-SUMIF(ThresholdAge25,"&lt;"&amp;'19_Расчет_аналитики'!O1572,WeightedMinAge25),MAX(CapacityAge25*'01_Вводные'!$B$218*'19_Расчет_аналитики'!O1572,MeanMinAge25)))</f>
        <v/>
      </c>
      <c r="P1528">
        <f>IF(OR(('06_Сеть_и_дети'!P77-'06_Сеть_и_дети'!P105)=0,25&lt;='01_Вводные'!$B$297),0,('06_Сеть_и_дети'!P77-'06_Сеть_и_дети'!P105)*IF('01_Вводные'!$B$239="Да",MeanMinAge25+'19_Расчет_аналитики'!P1572*SUMIF(ThresholdAge25,"&lt;"&amp;'19_Расчет_аналитики'!P1572,WeightedRevAge25)-SUMIF(ThresholdAge25,"&lt;"&amp;'19_Расчет_аналитики'!P1572,WeightedMinAge25),MAX(CapacityAge25*'01_Вводные'!$B$218*'19_Расчет_аналитики'!P1572,MeanMinAge25)))</f>
        <v/>
      </c>
      <c r="Q1528">
        <f>IF(OR(('06_Сеть_и_дети'!Q77-'06_Сеть_и_дети'!Q105)=0,25&lt;='01_Вводные'!$B$297),0,('06_Сеть_и_дети'!Q77-'06_Сеть_и_дети'!Q105)*IF('01_Вводные'!$B$239="Да",MeanMinAge25+'19_Расчет_аналитики'!Q1572*SUMIF(ThresholdAge25,"&lt;"&amp;'19_Расчет_аналитики'!Q1572,WeightedRevAge25)-SUMIF(ThresholdAge25,"&lt;"&amp;'19_Расчет_аналитики'!Q1572,WeightedMinAge25),MAX(CapacityAge25*'01_Вводные'!$B$218*'19_Расчет_аналитики'!Q1572,MeanMinAge25)))</f>
        <v/>
      </c>
      <c r="R1528">
        <f>IF(OR(('06_Сеть_и_дети'!R77-'06_Сеть_и_дети'!R105)=0,25&lt;='01_Вводные'!$B$297),0,('06_Сеть_и_дети'!R77-'06_Сеть_и_дети'!R105)*IF('01_Вводные'!$B$239="Да",MeanMinAge25+'19_Расчет_аналитики'!R1572*SUMIF(ThresholdAge25,"&lt;"&amp;'19_Расчет_аналитики'!R1572,WeightedRevAge25)-SUMIF(ThresholdAge25,"&lt;"&amp;'19_Расчет_аналитики'!R1572,WeightedMinAge25),MAX(CapacityAge25*'01_Вводные'!$B$218*'19_Расчет_аналитики'!R1572,MeanMinAge25)))</f>
        <v/>
      </c>
      <c r="S1528">
        <f>IF(OR(('06_Сеть_и_дети'!S77-'06_Сеть_и_дети'!S105)=0,25&lt;='01_Вводные'!$B$297),0,('06_Сеть_и_дети'!S77-'06_Сеть_и_дети'!S105)*IF('01_Вводные'!$B$239="Да",MeanMinAge25+'19_Расчет_аналитики'!S1572*SUMIF(ThresholdAge25,"&lt;"&amp;'19_Расчет_аналитики'!S1572,WeightedRevAge25)-SUMIF(ThresholdAge25,"&lt;"&amp;'19_Расчет_аналитики'!S1572,WeightedMinAge25),MAX(CapacityAge25*'01_Вводные'!$B$218*'19_Расчет_аналитики'!S1572,MeanMinAge25)))</f>
        <v/>
      </c>
      <c r="T1528">
        <f>IF(OR(('06_Сеть_и_дети'!T77-'06_Сеть_и_дети'!T105)=0,25&lt;='01_Вводные'!$B$297),0,('06_Сеть_и_дети'!T77-'06_Сеть_и_дети'!T105)*IF('01_Вводные'!$B$239="Да",MeanMinAge25+'19_Расчет_аналитики'!T1572*SUMIF(ThresholdAge25,"&lt;"&amp;'19_Расчет_аналитики'!T1572,WeightedRevAge25)-SUMIF(ThresholdAge25,"&lt;"&amp;'19_Расчет_аналитики'!T1572,WeightedMinAge25),MAX(CapacityAge25*'01_Вводные'!$B$218*'19_Расчет_аналитики'!T1572,MeanMinAge25)))</f>
        <v/>
      </c>
      <c r="U1528">
        <f>IF(OR(('06_Сеть_и_дети'!U77-'06_Сеть_и_дети'!U105)=0,25&lt;='01_Вводные'!$B$297),0,('06_Сеть_и_дети'!U77-'06_Сеть_и_дети'!U105)*IF('01_Вводные'!$B$239="Да",MeanMinAge25+'19_Расчет_аналитики'!U1572*SUMIF(ThresholdAge25,"&lt;"&amp;'19_Расчет_аналитики'!U1572,WeightedRevAge25)-SUMIF(ThresholdAge25,"&lt;"&amp;'19_Расчет_аналитики'!U1572,WeightedMinAge25),MAX(CapacityAge25*'01_Вводные'!$B$218*'19_Расчет_аналитики'!U1572,MeanMinAge25)))</f>
        <v/>
      </c>
      <c r="V1528">
        <f>IF(OR(('06_Сеть_и_дети'!V77-'06_Сеть_и_дети'!V105)=0,25&lt;='01_Вводные'!$B$297),0,('06_Сеть_и_дети'!V77-'06_Сеть_и_дети'!V105)*IF('01_Вводные'!$B$239="Да",MeanMinAge25+'19_Расчет_аналитики'!V1572*SUMIF(ThresholdAge25,"&lt;"&amp;'19_Расчет_аналитики'!V1572,WeightedRevAge25)-SUMIF(ThresholdAge25,"&lt;"&amp;'19_Расчет_аналитики'!V1572,WeightedMinAge25),MAX(CapacityAge25*'01_Вводные'!$B$218*'19_Расчет_аналитики'!V1572,MeanMinAge25)))</f>
        <v/>
      </c>
      <c r="W1528">
        <f>IF(OR(('06_Сеть_и_дети'!W77-'06_Сеть_и_дети'!W105)=0,25&lt;='01_Вводные'!$B$297),0,('06_Сеть_и_дети'!W77-'06_Сеть_и_дети'!W105)*IF('01_Вводные'!$B$239="Да",MeanMinAge25+'19_Расчет_аналитики'!W1572*SUMIF(ThresholdAge25,"&lt;"&amp;'19_Расчет_аналитики'!W1572,WeightedRevAge25)-SUMIF(ThresholdAge25,"&lt;"&amp;'19_Расчет_аналитики'!W1572,WeightedMinAge25),MAX(CapacityAge25*'01_Вводные'!$B$218*'19_Расчет_аналитики'!W1572,MeanMinAge25)))</f>
        <v/>
      </c>
      <c r="X1528">
        <f>IF(OR(('06_Сеть_и_дети'!X77-'06_Сеть_и_дети'!X105)=0,25&lt;='01_Вводные'!$B$297),0,('06_Сеть_и_дети'!X77-'06_Сеть_и_дети'!X105)*IF('01_Вводные'!$B$239="Да",MeanMinAge25+'19_Расчет_аналитики'!X1572*SUMIF(ThresholdAge25,"&lt;"&amp;'19_Расчет_аналитики'!X1572,WeightedRevAge25)-SUMIF(ThresholdAge25,"&lt;"&amp;'19_Расчет_аналитики'!X1572,WeightedMinAge25),MAX(CapacityAge25*'01_Вводные'!$B$218*'19_Расчет_аналитики'!X1572,MeanMinAge25)))</f>
        <v/>
      </c>
      <c r="Y1528">
        <f>IF(OR(('06_Сеть_и_дети'!Y77-'06_Сеть_и_дети'!Y105)=0,25&lt;='01_Вводные'!$B$297),0,('06_Сеть_и_дети'!Y77-'06_Сеть_и_дети'!Y105)*IF('01_Вводные'!$B$239="Да",MeanMinAge25+'19_Расчет_аналитики'!Y1572*SUMIF(ThresholdAge25,"&lt;"&amp;'19_Расчет_аналитики'!Y1572,WeightedRevAge25)-SUMIF(ThresholdAge25,"&lt;"&amp;'19_Расчет_аналитики'!Y1572,WeightedMinAge25),MAX(CapacityAge25*'01_Вводные'!$B$218*'19_Расчет_аналитики'!Y1572,MeanMinAge25)))</f>
        <v/>
      </c>
      <c r="Z1528">
        <f>IF(OR(('19_Расчет_аналитики'!Z1444-'19_Расчет_аналитики'!Z1472)=0,25&lt;='01_Вводные'!$B$297),0,('19_Расчет_аналитики'!Z1444-'19_Расчет_аналитики'!Z1472)*IF('01_Вводные'!$B$239="Да",MeanMinAge25+'19_Расчет_аналитики'!Z1572*SUMIF(ThresholdAge25,"&lt;"&amp;'19_Расчет_аналитики'!Z1572,WeightedRevAge25)-SUMIF(ThresholdAge25,"&lt;"&amp;'19_Расчет_аналитики'!Z1572,WeightedMinAge25),MAX(CapacityAge25*'01_Вводные'!$B$218*'19_Расчет_аналитики'!Z1572,MeanMinAge25)))</f>
        <v/>
      </c>
      <c r="AA1528">
        <f>IF(OR(('19_Расчет_аналитики'!AA1444-'19_Расчет_аналитики'!AA1472)=0,25&lt;='01_Вводные'!$B$297),0,('19_Расчет_аналитики'!AA1444-'19_Расчет_аналитики'!AA1472)*IF('01_Вводные'!$B$239="Да",MeanMinAge25+'19_Расчет_аналитики'!AA1572*SUMIF(ThresholdAge25,"&lt;"&amp;'19_Расчет_аналитики'!AA1572,WeightedRevAge25)-SUMIF(ThresholdAge25,"&lt;"&amp;'19_Расчет_аналитики'!AA1572,WeightedMinAge25),MAX(CapacityAge25*'01_Вводные'!$B$218*'19_Расчет_аналитики'!AA1572,MeanMinAge25)))</f>
        <v/>
      </c>
      <c r="AB1528">
        <f>IF(OR(('19_Расчет_аналитики'!AB1444-'19_Расчет_аналитики'!AB1472)=0,25&lt;='01_Вводные'!$B$297),0,('19_Расчет_аналитики'!AB1444-'19_Расчет_аналитики'!AB1472)*IF('01_Вводные'!$B$239="Да",MeanMinAge25+'19_Расчет_аналитики'!AB1572*SUMIF(ThresholdAge25,"&lt;"&amp;'19_Расчет_аналитики'!AB1572,WeightedRevAge25)-SUMIF(ThresholdAge25,"&lt;"&amp;'19_Расчет_аналитики'!AB1572,WeightedMinAge25),MAX(CapacityAge25*'01_Вводные'!$B$218*'19_Расчет_аналитики'!AB1572,MeanMinAge25)))</f>
        <v/>
      </c>
      <c r="AC1528">
        <f>IF(OR(('19_Расчет_аналитики'!AC1444-'19_Расчет_аналитики'!AC1472)=0,25&lt;='01_Вводные'!$B$297),0,('19_Расчет_аналитики'!AC1444-'19_Расчет_аналитики'!AC1472)*IF('01_Вводные'!$B$239="Да",MeanMinAge25+'19_Расчет_аналитики'!AC1572*SUMIF(ThresholdAge25,"&lt;"&amp;'19_Расчет_аналитики'!AC1572,WeightedRevAge25)-SUMIF(ThresholdAge25,"&lt;"&amp;'19_Расчет_аналитики'!AC1572,WeightedMinAge25),MAX(CapacityAge25*'01_Вводные'!$B$218*'19_Расчет_аналитики'!AC1572,MeanMinAge25)))</f>
        <v/>
      </c>
      <c r="AD1528">
        <f>IF(OR(('19_Расчет_аналитики'!AD1444-'19_Расчет_аналитики'!AD1472)=0,25&lt;='01_Вводные'!$B$297),0,('19_Расчет_аналитики'!AD1444-'19_Расчет_аналитики'!AD1472)*IF('01_Вводные'!$B$239="Да",MeanMinAge25+'19_Расчет_аналитики'!AD1572*SUMIF(ThresholdAge25,"&lt;"&amp;'19_Расчет_аналитики'!AD1572,WeightedRevAge25)-SUMIF(ThresholdAge25,"&lt;"&amp;'19_Расчет_аналитики'!AD1572,WeightedMinAge25),MAX(CapacityAge25*'01_Вводные'!$B$218*'19_Расчет_аналитики'!AD1572,MeanMinAge25)))</f>
        <v/>
      </c>
      <c r="AE1528">
        <f>IF(OR(('19_Расчет_аналитики'!AE1444-'19_Расчет_аналитики'!AE1472)=0,25&lt;='01_Вводные'!$B$297),0,('19_Расчет_аналитики'!AE1444-'19_Расчет_аналитики'!AE1472)*IF('01_Вводные'!$B$239="Да",MeanMinAge25+'19_Расчет_аналитики'!AE1572*SUMIF(ThresholdAge25,"&lt;"&amp;'19_Расчет_аналитики'!AE1572,WeightedRevAge25)-SUMIF(ThresholdAge25,"&lt;"&amp;'19_Расчет_аналитики'!AE1572,WeightedMinAge25),MAX(CapacityAge25*'01_Вводные'!$B$218*'19_Расчет_аналитики'!AE1572,MeanMinAge25)))</f>
        <v/>
      </c>
      <c r="AF1528">
        <f>IF(OR(('19_Расчет_аналитики'!AF1444-'19_Расчет_аналитики'!AF1472)=0,25&lt;='01_Вводные'!$B$297),0,('19_Расчет_аналитики'!AF1444-'19_Расчет_аналитики'!AF1472)*IF('01_Вводные'!$B$239="Да",MeanMinAge25+'19_Расчет_аналитики'!AF1572*SUMIF(ThresholdAge25,"&lt;"&amp;'19_Расчет_аналитики'!AF1572,WeightedRevAge25)-SUMIF(ThresholdAge25,"&lt;"&amp;'19_Расчет_аналитики'!AF1572,WeightedMinAge25),MAX(CapacityAge25*'01_Вводные'!$B$218*'19_Расчет_аналитики'!AF1572,MeanMinAge25)))</f>
        <v/>
      </c>
      <c r="AG1528">
        <f>IF(OR(('19_Расчет_аналитики'!AG1444-'19_Расчет_аналитики'!AG1472)=0,25&lt;='01_Вводные'!$B$297),0,('19_Расчет_аналитики'!AG1444-'19_Расчет_аналитики'!AG1472)*IF('01_Вводные'!$B$239="Да",MeanMinAge25+'19_Расчет_аналитики'!AG1572*SUMIF(ThresholdAge25,"&lt;"&amp;'19_Расчет_аналитики'!AG1572,WeightedRevAge25)-SUMIF(ThresholdAge25,"&lt;"&amp;'19_Расчет_аналитики'!AG1572,WeightedMinAge25),MAX(CapacityAge25*'01_Вводные'!$B$218*'19_Расчет_аналитики'!AG1572,MeanMinAge25)))</f>
        <v/>
      </c>
      <c r="AH1528">
        <f>IF(OR(('19_Расчет_аналитики'!AH1444-'19_Расчет_аналитики'!AH1472)=0,25&lt;='01_Вводные'!$B$297),0,('19_Расчет_аналитики'!AH1444-'19_Расчет_аналитики'!AH1472)*IF('01_Вводные'!$B$239="Да",MeanMinAge25+'19_Расчет_аналитики'!AH1572*SUMIF(ThresholdAge25,"&lt;"&amp;'19_Расчет_аналитики'!AH1572,WeightedRevAge25)-SUMIF(ThresholdAge25,"&lt;"&amp;'19_Расчет_аналитики'!AH1572,WeightedMinAge25),MAX(CapacityAge25*'01_Вводные'!$B$218*'19_Расчет_аналитики'!AH1572,MeanMinAge25)))</f>
        <v/>
      </c>
      <c r="AI1528">
        <f>IF(OR(('19_Расчет_аналитики'!AI1444-'19_Расчет_аналитики'!AI1472)=0,25&lt;='01_Вводные'!$B$297),0,('19_Расчет_аналитики'!AI1444-'19_Расчет_аналитики'!AI1472)*IF('01_Вводные'!$B$239="Да",MeanMinAge25+'19_Расчет_аналитики'!AI1572*SUMIF(ThresholdAge25,"&lt;"&amp;'19_Расчет_аналитики'!AI1572,WeightedRevAge25)-SUMIF(ThresholdAge25,"&lt;"&amp;'19_Расчет_аналитики'!AI1572,WeightedMinAge25),MAX(CapacityAge25*'01_Вводные'!$B$218*'19_Расчет_аналитики'!AI1572,MeanMinAge25)))</f>
        <v/>
      </c>
      <c r="AJ1528">
        <f>IF(OR(('19_Расчет_аналитики'!AJ1444-'19_Расчет_аналитики'!AJ1472)=0,25&lt;='01_Вводные'!$B$297),0,('19_Расчет_аналитики'!AJ1444-'19_Расчет_аналитики'!AJ1472)*IF('01_Вводные'!$B$239="Да",MeanMinAge25+'19_Расчет_аналитики'!AJ1572*SUMIF(ThresholdAge25,"&lt;"&amp;'19_Расчет_аналитики'!AJ1572,WeightedRevAge25)-SUMIF(ThresholdAge25,"&lt;"&amp;'19_Расчет_аналитики'!AJ1572,WeightedMinAge25),MAX(CapacityAge25*'01_Вводные'!$B$218*'19_Расчет_аналитики'!AJ1572,MeanMinAge25)))</f>
        <v/>
      </c>
      <c r="AK1528">
        <f>IF(OR(('19_Расчет_аналитики'!AK1444-'19_Расчет_аналитики'!AK1472)=0,25&lt;='01_Вводные'!$B$297),0,('19_Расчет_аналитики'!AK1444-'19_Расчет_аналитики'!AK1472)*IF('01_Вводные'!$B$239="Да",MeanMinAge25+'19_Расчет_аналитики'!AK1572*SUMIF(ThresholdAge25,"&lt;"&amp;'19_Расчет_аналитики'!AK1572,WeightedRevAge25)-SUMIF(ThresholdAge25,"&lt;"&amp;'19_Расчет_аналитики'!AK1572,WeightedMinAge25),MAX(CapacityAge25*'01_Вводные'!$B$218*'19_Расчет_аналитики'!AK1572,MeanMinAge25)))</f>
        <v/>
      </c>
      <c r="AL1528">
        <f>IF(OR(('19_Расчет_аналитики'!AL1444-'19_Расчет_аналитики'!AL1472)=0,25&lt;='01_Вводные'!$B$297),0,('19_Расчет_аналитики'!AL1444-'19_Расчет_аналитики'!AL1472)*IF('01_Вводные'!$B$239="Да",MeanMinAge25+'19_Расчет_аналитики'!AL1572*SUMIF(ThresholdAge25,"&lt;"&amp;'19_Расчет_аналитики'!AL1572,WeightedRevAge25)-SUMIF(ThresholdAge25,"&lt;"&amp;'19_Расчет_аналитики'!AL1572,WeightedMinAge25),MAX(CapacityAge25*'01_Вводные'!$B$218*'19_Расчет_аналитики'!AL1572,MeanMinAge25)))</f>
        <v/>
      </c>
      <c r="AM1528">
        <f>IF(OR(('19_Расчет_аналитики'!AM1444-'19_Расчет_аналитики'!AM1472)=0,25&lt;='01_Вводные'!$B$297),0,('19_Расчет_аналитики'!AM1444-'19_Расчет_аналитики'!AM1472)*IF('01_Вводные'!$B$239="Да",MeanMinAge25+'19_Расчет_аналитики'!AM1572*SUMIF(ThresholdAge25,"&lt;"&amp;'19_Расчет_аналитики'!AM1572,WeightedRevAge25)-SUMIF(ThresholdAge25,"&lt;"&amp;'19_Расчет_аналитики'!AM1572,WeightedMinAge25),MAX(CapacityAge25*'01_Вводные'!$B$218*'19_Расчет_аналитики'!AM1572,MeanMinAge25)))</f>
        <v/>
      </c>
      <c r="AN1528">
        <f>IF(OR(('19_Расчет_аналитики'!AN1444-'19_Расчет_аналитики'!AN1472)=0,25&lt;='01_Вводные'!$B$297),0,('19_Расчет_аналитики'!AN1444-'19_Расчет_аналитики'!AN1472)*IF('01_Вводные'!$B$239="Да",MeanMinAge25+'19_Расчет_аналитики'!AN1572*SUMIF(ThresholdAge25,"&lt;"&amp;'19_Расчет_аналитики'!AN1572,WeightedRevAge25)-SUMIF(ThresholdAge25,"&lt;"&amp;'19_Расчет_аналитики'!AN1572,WeightedMinAge25),MAX(CapacityAge25*'01_Вводные'!$B$218*'19_Расчет_аналитики'!AN1572,MeanMinAge25)))</f>
        <v/>
      </c>
      <c r="AO1528">
        <f>IF(OR(('19_Расчет_аналитики'!AO1444-'19_Расчет_аналитики'!AO1472)=0,25&lt;='01_Вводные'!$B$297),0,('19_Расчет_аналитики'!AO1444-'19_Расчет_аналитики'!AO1472)*IF('01_Вводные'!$B$239="Да",MeanMinAge25+'19_Расчет_аналитики'!AO1572*SUMIF(ThresholdAge25,"&lt;"&amp;'19_Расчет_аналитики'!AO1572,WeightedRevAge25)-SUMIF(ThresholdAge25,"&lt;"&amp;'19_Расчет_аналитики'!AO1572,WeightedMinAge25),MAX(CapacityAge25*'01_Вводные'!$B$218*'19_Расчет_аналитики'!AO1572,MeanMinAge25)))</f>
        <v/>
      </c>
      <c r="AP1528">
        <f>IF(OR(('19_Расчет_аналитики'!AP1444-'19_Расчет_аналитики'!AP1472)=0,25&lt;='01_Вводные'!$B$297),0,('19_Расчет_аналитики'!AP1444-'19_Расчет_аналитики'!AP1472)*IF('01_Вводные'!$B$239="Да",MeanMinAge25+'19_Расчет_аналитики'!AP1572*SUMIF(ThresholdAge25,"&lt;"&amp;'19_Расчет_аналитики'!AP1572,WeightedRevAge25)-SUMIF(ThresholdAge25,"&lt;"&amp;'19_Расчет_аналитики'!AP1572,WeightedMinAge25),MAX(CapacityAge25*'01_Вводные'!$B$218*'19_Расчет_аналитики'!AP1572,MeanMinAge25)))</f>
        <v/>
      </c>
      <c r="AQ1528">
        <f>IF(OR(('19_Расчет_аналитики'!AQ1444-'19_Расчет_аналитики'!AQ1472)=0,25&lt;='01_Вводные'!$B$297),0,('19_Расчет_аналитики'!AQ1444-'19_Расчет_аналитики'!AQ1472)*IF('01_Вводные'!$B$239="Да",MeanMinAge25+'19_Расчет_аналитики'!AQ1572*SUMIF(ThresholdAge25,"&lt;"&amp;'19_Расчет_аналитики'!AQ1572,WeightedRevAge25)-SUMIF(ThresholdAge25,"&lt;"&amp;'19_Расчет_аналитики'!AQ1572,WeightedMinAge25),MAX(CapacityAge25*'01_Вводные'!$B$218*'19_Расчет_аналитики'!AQ1572,MeanMinAge25)))</f>
        <v/>
      </c>
      <c r="AR1528">
        <f>IF(OR(('19_Расчет_аналитики'!AR1444-'19_Расчет_аналитики'!AR1472)=0,25&lt;='01_Вводные'!$B$297),0,('19_Расчет_аналитики'!AR1444-'19_Расчет_аналитики'!AR1472)*IF('01_Вводные'!$B$239="Да",MeanMinAge25+'19_Расчет_аналитики'!AR1572*SUMIF(ThresholdAge25,"&lt;"&amp;'19_Расчет_аналитики'!AR1572,WeightedRevAge25)-SUMIF(ThresholdAge25,"&lt;"&amp;'19_Расчет_аналитики'!AR1572,WeightedMinAge25),MAX(CapacityAge25*'01_Вводные'!$B$218*'19_Расчет_аналитики'!AR1572,MeanMinAge25)))</f>
        <v/>
      </c>
      <c r="AS1528">
        <f>IF(OR(('19_Расчет_аналитики'!AS1444-'19_Расчет_аналитики'!AS1472)=0,25&lt;='01_Вводные'!$B$297),0,('19_Расчет_аналитики'!AS1444-'19_Расчет_аналитики'!AS1472)*IF('01_Вводные'!$B$239="Да",MeanMinAge25+'19_Расчет_аналитики'!AS1572*SUMIF(ThresholdAge25,"&lt;"&amp;'19_Расчет_аналитики'!AS1572,WeightedRevAge25)-SUMIF(ThresholdAge25,"&lt;"&amp;'19_Расчет_аналитики'!AS1572,WeightedMinAge25),MAX(CapacityAge25*'01_Вводные'!$B$218*'19_Расчет_аналитики'!AS1572,MeanMinAge25)))</f>
        <v/>
      </c>
      <c r="AT1528">
        <f>IF(OR(('19_Расчет_аналитики'!AT1444-'19_Расчет_аналитики'!AT1472)=0,25&lt;='01_Вводные'!$B$297),0,('19_Расчет_аналитики'!AT1444-'19_Расчет_аналитики'!AT1472)*IF('01_Вводные'!$B$239="Да",MeanMinAge25+'19_Расчет_аналитики'!AT1572*SUMIF(ThresholdAge25,"&lt;"&amp;'19_Расчет_аналитики'!AT1572,WeightedRevAge25)-SUMIF(ThresholdAge25,"&lt;"&amp;'19_Расчет_аналитики'!AT1572,WeightedMinAge25),MAX(CapacityAge25*'01_Вводные'!$B$218*'19_Расчет_аналитики'!AT1572,MeanMinAge25)))</f>
        <v/>
      </c>
      <c r="AU1528">
        <f>IF(OR(('19_Расчет_аналитики'!AU1444-'19_Расчет_аналитики'!AU1472)=0,25&lt;='01_Вводные'!$B$297),0,('19_Расчет_аналитики'!AU1444-'19_Расчет_аналитики'!AU1472)*IF('01_Вводные'!$B$239="Да",MeanMinAge25+'19_Расчет_аналитики'!AU1572*SUMIF(ThresholdAge25,"&lt;"&amp;'19_Расчет_аналитики'!AU1572,WeightedRevAge25)-SUMIF(ThresholdAge25,"&lt;"&amp;'19_Расчет_аналитики'!AU1572,WeightedMinAge25),MAX(CapacityAge25*'01_Вводные'!$B$218*'19_Расчет_аналитики'!AU1572,MeanMinAge25)))</f>
        <v/>
      </c>
      <c r="AV1528">
        <f>IF(OR(('19_Расчет_аналитики'!AV1444-'19_Расчет_аналитики'!AV1472)=0,25&lt;='01_Вводные'!$B$297),0,('19_Расчет_аналитики'!AV1444-'19_Расчет_аналитики'!AV1472)*IF('01_Вводные'!$B$239="Да",MeanMinAge25+'19_Расчет_аналитики'!AV1572*SUMIF(ThresholdAge25,"&lt;"&amp;'19_Расчет_аналитики'!AV1572,WeightedRevAge25)-SUMIF(ThresholdAge25,"&lt;"&amp;'19_Расчет_аналитики'!AV1572,WeightedMinAge25),MAX(CapacityAge25*'01_Вводные'!$B$218*'19_Расчет_аналитики'!AV1572,MeanMinAge25)))</f>
        <v/>
      </c>
      <c r="AW1528">
        <f>IF(OR(('19_Расчет_аналитики'!AW1444-'19_Расчет_аналитики'!AW1472)=0,25&lt;='01_Вводные'!$B$297),0,('19_Расчет_аналитики'!AW1444-'19_Расчет_аналитики'!AW1472)*IF('01_Вводные'!$B$239="Да",MeanMinAge25+'19_Расчет_аналитики'!AW1572*SUMIF(ThresholdAge25,"&lt;"&amp;'19_Расчет_аналитики'!AW1572,WeightedRevAge25)-SUMIF(ThresholdAge25,"&lt;"&amp;'19_Расчет_аналитики'!AW1572,WeightedMinAge25),MAX(CapacityAge25*'01_Вводные'!$B$218*'19_Расчет_аналитики'!AW1572,MeanMinAge25)))</f>
        <v/>
      </c>
      <c r="AX1528">
        <f>IF(OR(('19_Расчет_аналитики'!AX1444-'19_Расчет_аналитики'!AX1472)=0,25&lt;='01_Вводные'!$B$297),0,('19_Расчет_аналитики'!AX1444-'19_Расчет_аналитики'!AX1472)*IF('01_Вводные'!$B$239="Да",MeanMinAge25+'19_Расчет_аналитики'!AX1572*SUMIF(ThresholdAge25,"&lt;"&amp;'19_Расчет_аналитики'!AX1572,WeightedRevAge25)-SUMIF(ThresholdAge25,"&lt;"&amp;'19_Расчет_аналитики'!AX1572,WeightedMinAge25),MAX(CapacityAge25*'01_Вводные'!$B$218*'19_Расчет_аналитики'!AX1572,MeanMinAge25)))</f>
        <v/>
      </c>
      <c r="AY1528">
        <f>IF(OR(('19_Расчет_аналитики'!AY1444-'19_Расчет_аналитики'!AY1472)=0,25&lt;='01_Вводные'!$B$297),0,('19_Расчет_аналитики'!AY1444-'19_Расчет_аналитики'!AY1472)*IF('01_Вводные'!$B$239="Да",MeanMinAge25+'19_Расчет_аналитики'!AY1572*SUMIF(ThresholdAge25,"&lt;"&amp;'19_Расчет_аналитики'!AY1572,WeightedRevAge25)-SUMIF(ThresholdAge25,"&lt;"&amp;'19_Расчет_аналитики'!AY1572,WeightedMinAge25),MAX(CapacityAge25*'01_Вводные'!$B$218*'19_Расчет_аналитики'!AY1572,MeanMinAge25)))</f>
        <v/>
      </c>
      <c r="AZ1528">
        <f>IF(OR(('19_Расчет_аналитики'!AZ1444-'19_Расчет_аналитики'!AZ1472)=0,25&lt;='01_Вводные'!$B$297),0,('19_Расчет_аналитики'!AZ1444-'19_Расчет_аналитики'!AZ1472)*IF('01_Вводные'!$B$239="Да",MeanMinAge25+'19_Расчет_аналитики'!AZ1572*SUMIF(ThresholdAge25,"&lt;"&amp;'19_Расчет_аналитики'!AZ1572,WeightedRevAge25)-SUMIF(ThresholdAge25,"&lt;"&amp;'19_Расчет_аналитики'!AZ1572,WeightedMinAge25),MAX(CapacityAge25*'01_Вводные'!$B$218*'19_Расчет_аналитики'!AZ1572,MeanMinAge25)))</f>
        <v/>
      </c>
      <c r="BA1528">
        <f>IF(OR(('19_Расчет_аналитики'!BA1444-'19_Расчет_аналитики'!BA1472)=0,25&lt;='01_Вводные'!$B$297),0,('19_Расчет_аналитики'!BA1444-'19_Расчет_аналитики'!BA1472)*IF('01_Вводные'!$B$239="Да",MeanMinAge25+'19_Расчет_аналитики'!BA1572*SUMIF(ThresholdAge25,"&lt;"&amp;'19_Расчет_аналитики'!BA1572,WeightedRevAge25)-SUMIF(ThresholdAge25,"&lt;"&amp;'19_Расчет_аналитики'!BA1572,WeightedMinAge25),MAX(CapacityAge25*'01_Вводные'!$B$218*'19_Расчет_аналитики'!BA1572,MeanMinAge25)))</f>
        <v/>
      </c>
      <c r="BB1528">
        <f>IF(OR(('19_Расчет_аналитики'!BB1444-'19_Расчет_аналитики'!BB1472)=0,25&lt;='01_Вводные'!$B$297),0,('19_Расчет_аналитики'!BB1444-'19_Расчет_аналитики'!BB1472)*IF('01_Вводные'!$B$239="Да",MeanMinAge25+'19_Расчет_аналитики'!BB1572*SUMIF(ThresholdAge25,"&lt;"&amp;'19_Расчет_аналитики'!BB1572,WeightedRevAge25)-SUMIF(ThresholdAge25,"&lt;"&amp;'19_Расчет_аналитики'!BB1572,WeightedMinAge25),MAX(CapacityAge25*'01_Вводные'!$B$218*'19_Расчет_аналитики'!BB1572,MeanMinAge25)))</f>
        <v/>
      </c>
      <c r="BC1528">
        <f>IF(OR(('19_Расчет_аналитики'!BC1444-'19_Расчет_аналитики'!BC1472)=0,25&lt;='01_Вводные'!$B$297),0,('19_Расчет_аналитики'!BC1444-'19_Расчет_аналитики'!BC1472)*IF('01_Вводные'!$B$239="Да",MeanMinAge25+'19_Расчет_аналитики'!BC1572*SUMIF(ThresholdAge25,"&lt;"&amp;'19_Расчет_аналитики'!BC1572,WeightedRevAge25)-SUMIF(ThresholdAge25,"&lt;"&amp;'19_Расчет_аналитики'!BC1572,WeightedMinAge25),MAX(CapacityAge25*'01_Вводные'!$B$218*'19_Расчет_аналитики'!BC1572,MeanMinAge25)))</f>
        <v/>
      </c>
      <c r="BD1528">
        <f>IF(OR(('19_Расчет_аналитики'!BD1444-'19_Расчет_аналитики'!BD1472)=0,25&lt;='01_Вводные'!$B$297),0,('19_Расчет_аналитики'!BD1444-'19_Расчет_аналитики'!BD1472)*IF('01_Вводные'!$B$239="Да",MeanMinAge25+'19_Расчет_аналитики'!BD1572*SUMIF(ThresholdAge25,"&lt;"&amp;'19_Расчет_аналитики'!BD1572,WeightedRevAge25)-SUMIF(ThresholdAge25,"&lt;"&amp;'19_Расчет_аналитики'!BD1572,WeightedMinAge25),MAX(CapacityAge25*'01_Вводные'!$B$218*'19_Расчет_аналитики'!BD1572,MeanMinAge25)))</f>
        <v/>
      </c>
      <c r="BE1528">
        <f>IF(OR(('19_Расчет_аналитики'!BE1444-'19_Расчет_аналитики'!BE1472)=0,25&lt;='01_Вводные'!$B$297),0,('19_Расчет_аналитики'!BE1444-'19_Расчет_аналитики'!BE1472)*IF('01_Вводные'!$B$239="Да",MeanMinAge25+'19_Расчет_аналитики'!BE1572*SUMIF(ThresholdAge25,"&lt;"&amp;'19_Расчет_аналитики'!BE1572,WeightedRevAge25)-SUMIF(ThresholdAge25,"&lt;"&amp;'19_Расчет_аналитики'!BE1572,WeightedMinAge25),MAX(CapacityAge25*'01_Вводные'!$B$218*'19_Расчет_аналитики'!BE1572,MeanMinAge25)))</f>
        <v/>
      </c>
      <c r="BF1528">
        <f>IF(OR(('19_Расчет_аналитики'!BF1444-'19_Расчет_аналитики'!BF1472)=0,25&lt;='01_Вводные'!$B$297),0,('19_Расчет_аналитики'!BF1444-'19_Расчет_аналитики'!BF1472)*IF('01_Вводные'!$B$239="Да",MeanMinAge25+'19_Расчет_аналитики'!BF1572*SUMIF(ThresholdAge25,"&lt;"&amp;'19_Расчет_аналитики'!BF1572,WeightedRevAge25)-SUMIF(ThresholdAge25,"&lt;"&amp;'19_Расчет_аналитики'!BF1572,WeightedMinAge25),MAX(CapacityAge25*'01_Вводные'!$B$218*'19_Расчет_аналитики'!BF1572,MeanMinAge25)))</f>
        <v/>
      </c>
      <c r="BG1528">
        <f>IF(OR(('19_Расчет_аналитики'!BG1444-'19_Расчет_аналитики'!BG1472)=0,25&lt;='01_Вводные'!$B$297),0,('19_Расчет_аналитики'!BG1444-'19_Расчет_аналитики'!BG1472)*IF('01_Вводные'!$B$239="Да",MeanMinAge25+'19_Расчет_аналитики'!BG1572*SUMIF(ThresholdAge25,"&lt;"&amp;'19_Расчет_аналитики'!BG1572,WeightedRevAge25)-SUMIF(ThresholdAge25,"&lt;"&amp;'19_Расчет_аналитики'!BG1572,WeightedMinAge25),MAX(CapacityAge25*'01_Вводные'!$B$218*'19_Расчет_аналитики'!BG1572,MeanMinAge25)))</f>
        <v/>
      </c>
      <c r="BH1528">
        <f>IF(OR(('19_Расчет_аналитики'!BH1444-'19_Расчет_аналитики'!BH1472)=0,25&lt;='01_Вводные'!$B$297),0,('19_Расчет_аналитики'!BH1444-'19_Расчет_аналитики'!BH1472)*IF('01_Вводные'!$B$239="Да",MeanMinAge25+'19_Расчет_аналитики'!BH1572*SUMIF(ThresholdAge25,"&lt;"&amp;'19_Расчет_аналитики'!BH1572,WeightedRevAge25)-SUMIF(ThresholdAge25,"&lt;"&amp;'19_Расчет_аналитики'!BH1572,WeightedMinAge25),MAX(CapacityAge25*'01_Вводные'!$B$218*'19_Расчет_аналитики'!BH1572,MeanMinAge25)))</f>
        <v/>
      </c>
      <c r="BI1528">
        <f>IF(OR(('19_Расчет_аналитики'!BI1444-'19_Расчет_аналитики'!BI1472)=0,25&lt;='01_Вводные'!$B$297),0,('19_Расчет_аналитики'!BI1444-'19_Расчет_аналитики'!BI1472)*IF('01_Вводные'!$B$239="Да",MeanMinAge25+'19_Расчет_аналитики'!BI1572*SUMIF(ThresholdAge25,"&lt;"&amp;'19_Расчет_аналитики'!BI1572,WeightedRevAge25)-SUMIF(ThresholdAge25,"&lt;"&amp;'19_Расчет_аналитики'!BI1572,WeightedMinAge25),MAX(CapacityAge25*'01_Вводные'!$B$218*'19_Расчет_аналитики'!BI1572,MeanMinAge25)))</f>
        <v/>
      </c>
      <c r="BJ1528">
        <f>IF(OR(('19_Расчет_аналитики'!BJ1444-'19_Расчет_аналитики'!BJ1472)=0,25&lt;='01_Вводные'!$B$297),0,('19_Расчет_аналитики'!BJ1444-'19_Расчет_аналитики'!BJ1472)*IF('01_Вводные'!$B$239="Да",MeanMinAge25+'19_Расчет_аналитики'!BJ1572*SUMIF(ThresholdAge25,"&lt;"&amp;'19_Расчет_аналитики'!BJ1572,WeightedRevAge25)-SUMIF(ThresholdAge25,"&lt;"&amp;'19_Расчет_аналитики'!BJ1572,WeightedMinAge25),MAX(CapacityAge25*'01_Вводные'!$B$218*'19_Расчет_аналитики'!BJ1572,MeanMinAge25)))</f>
        <v/>
      </c>
      <c r="BK1528">
        <f>IF(OR(('19_Расчет_аналитики'!BK1444-'19_Расчет_аналитики'!BK1472)=0,25&lt;='01_Вводные'!$B$297),0,('19_Расчет_аналитики'!BK1444-'19_Расчет_аналитики'!BK1472)*IF('01_Вводные'!$B$239="Да",MeanMinAge25+'19_Расчет_аналитики'!BK1572*SUMIF(ThresholdAge25,"&lt;"&amp;'19_Расчет_аналитики'!BK1572,WeightedRevAge25)-SUMIF(ThresholdAge25,"&lt;"&amp;'19_Расчет_аналитики'!BK1572,WeightedMinAge25),MAX(CapacityAge25*'01_Вводные'!$B$218*'19_Расчет_аналитики'!BK1572,MeanMinAge25)))</f>
        <v/>
      </c>
      <c r="BL1528">
        <f>IF(OR(('19_Расчет_аналитики'!BL1444-'19_Расчет_аналитики'!BL1472)=0,25&lt;='01_Вводные'!$B$297),0,('19_Расчет_аналитики'!BL1444-'19_Расчет_аналитики'!BL1472)*IF('01_Вводные'!$B$239="Да",MeanMinAge25+'19_Расчет_аналитики'!BL1572*SUMIF(ThresholdAge25,"&lt;"&amp;'19_Расчет_аналитики'!BL1572,WeightedRevAge25)-SUMIF(ThresholdAge25,"&lt;"&amp;'19_Расчет_аналитики'!BL1572,WeightedMinAge25),MAX(CapacityAge25*'01_Вводные'!$B$218*'19_Расчет_аналитики'!BL1572,MeanMinAge25)))</f>
        <v/>
      </c>
      <c r="BM1528">
        <f>IF(OR(('19_Расчет_аналитики'!BM1444-'19_Расчет_аналитики'!BM1472)=0,25&lt;='01_Вводные'!$B$297),0,('19_Расчет_аналитики'!BM1444-'19_Расчет_аналитики'!BM1472)*IF('01_Вводные'!$B$239="Да",MeanMinAge25+'19_Расчет_аналитики'!BM1572*SUMIF(ThresholdAge25,"&lt;"&amp;'19_Расчет_аналитики'!BM1572,WeightedRevAge25)-SUMIF(ThresholdAge25,"&lt;"&amp;'19_Расчет_аналитики'!BM1572,WeightedMinAge25),MAX(CapacityAge25*'01_Вводные'!$B$218*'19_Расчет_аналитики'!BM1572,MeanMinAge25)))</f>
        <v/>
      </c>
      <c r="BN1528">
        <f>IF(OR(('19_Расчет_аналитики'!BN1444-'19_Расчет_аналитики'!BN1472)=0,25&lt;='01_Вводные'!$B$297),0,('19_Расчет_аналитики'!BN1444-'19_Расчет_аналитики'!BN1472)*IF('01_Вводные'!$B$239="Да",MeanMinAge25+'19_Расчет_аналитики'!BN1572*SUMIF(ThresholdAge25,"&lt;"&amp;'19_Расчет_аналитики'!BN1572,WeightedRevAge25)-SUMIF(ThresholdAge25,"&lt;"&amp;'19_Расчет_аналитики'!BN1572,WeightedMinAge25),MAX(CapacityAge25*'01_Вводные'!$B$218*'19_Расчет_аналитики'!BN1572,MeanMinAge25)))</f>
        <v/>
      </c>
      <c r="BO1528">
        <f>IF(OR(('19_Расчет_аналитики'!BO1444-'19_Расчет_аналитики'!BO1472)=0,25&lt;='01_Вводные'!$B$297),0,('19_Расчет_аналитики'!BO1444-'19_Расчет_аналитики'!BO1472)*IF('01_Вводные'!$B$239="Да",MeanMinAge25+'19_Расчет_аналитики'!BO1572*SUMIF(ThresholdAge25,"&lt;"&amp;'19_Расчет_аналитики'!BO1572,WeightedRevAge25)-SUMIF(ThresholdAge25,"&lt;"&amp;'19_Расчет_аналитики'!BO1572,WeightedMinAge25),MAX(CapacityAge25*'01_Вводные'!$B$218*'19_Расчет_аналитики'!BO1572,MeanMinAge25)))</f>
        <v/>
      </c>
    </row>
    <row r="1529"/>
    <row r="1530"/>
    <row r="1531"/>
    <row r="1532">
      <c r="B1532">
        <f>IF(IF('01_Вводные'!$B$296="Новый сезон",FALSE,FALSE),'19_Расчет_аналитики'!B1420*CapacityAge01*'19_Расчет_аналитики'!$F$1223,0)</f>
        <v/>
      </c>
      <c r="C1532">
        <f>IF(IF('01_Вводные'!$B$296="Новый сезон",FALSE,FALSE),'19_Расчет_аналитики'!C1420*CapacityAge01*'19_Расчет_аналитики'!$F$1223,0)</f>
        <v/>
      </c>
      <c r="D1532">
        <f>IF(IF('01_Вводные'!$B$296="Новый сезон",FALSE,FALSE),'19_Расчет_аналитики'!D1420*CapacityAge01*'19_Расчет_аналитики'!$F$1223,0)</f>
        <v/>
      </c>
      <c r="E1532">
        <f>IF(IF('01_Вводные'!$B$296="Новый сезон",FALSE,FALSE),'19_Расчет_аналитики'!E1420*CapacityAge01*'19_Расчет_аналитики'!$F$1223,0)</f>
        <v/>
      </c>
      <c r="F1532">
        <f>IF(IF('01_Вводные'!$B$296="Новый сезон",FALSE,FALSE),'19_Расчет_аналитики'!F1420*CapacityAge01*'19_Расчет_аналитики'!$F$1223,0)</f>
        <v/>
      </c>
      <c r="G1532">
        <f>IF(IF('01_Вводные'!$B$296="Новый сезон",FALSE,FALSE),'19_Расчет_аналитики'!G1420*CapacityAge01*'19_Расчет_аналитики'!$F$1223,0)</f>
        <v/>
      </c>
      <c r="H1532">
        <f>IF(IF('01_Вводные'!$B$296="Новый сезон",FALSE,FALSE),'19_Расчет_аналитики'!H1420*CapacityAge01*'19_Расчет_аналитики'!$F$1223,0)</f>
        <v/>
      </c>
      <c r="I1532">
        <f>IF(IF('01_Вводные'!$B$296="Новый сезон",FALSE,FALSE),'19_Расчет_аналитики'!I1420*CapacityAge01*'19_Расчет_аналитики'!$F$1223,0)</f>
        <v/>
      </c>
      <c r="J1532">
        <f>IF(IF('01_Вводные'!$B$296="Новый сезон",FALSE,FALSE),'19_Расчет_аналитики'!J1420*CapacityAge01*'19_Расчет_аналитики'!$F$1223,0)</f>
        <v/>
      </c>
      <c r="K1532">
        <f>IF(IF('01_Вводные'!$B$296="Новый сезон",FALSE,FALSE),'19_Расчет_аналитики'!K1420*CapacityAge01*'19_Расчет_аналитики'!$F$1223,0)</f>
        <v/>
      </c>
      <c r="L1532">
        <f>IF(IF('01_Вводные'!$B$296="Новый сезон",FALSE,FALSE),'19_Расчет_аналитики'!L1420*CapacityAge01*'19_Расчет_аналитики'!$F$1223,0)</f>
        <v/>
      </c>
      <c r="M1532">
        <f>IF(IF('01_Вводные'!$B$296="Новый сезон",FALSE,FALSE),'19_Расчет_аналитики'!M1420*CapacityAge01*'19_Расчет_аналитики'!$F$1223,0)</f>
        <v/>
      </c>
      <c r="N1532">
        <f>IF(IF('01_Вводные'!$B$296="Новый сезон",FALSE,FALSE),'19_Расчет_аналитики'!N1420*CapacityAge01*'19_Расчет_аналитики'!$F$1223,0)</f>
        <v/>
      </c>
      <c r="O1532">
        <f>IF(IF('01_Вводные'!$B$296="Новый сезон",FALSE,FALSE),'19_Расчет_аналитики'!O1420*CapacityAge01*'19_Расчет_аналитики'!$F$1223,0)</f>
        <v/>
      </c>
      <c r="P1532">
        <f>IF(IF('01_Вводные'!$B$296="Новый сезон",FALSE,FALSE),'19_Расчет_аналитики'!P1420*CapacityAge01*'19_Расчет_аналитики'!$F$1223,0)</f>
        <v/>
      </c>
      <c r="Q1532">
        <f>IF(IF('01_Вводные'!$B$296="Новый сезон",FALSE,FALSE),'19_Расчет_аналитики'!Q1420*CapacityAge01*'19_Расчет_аналитики'!$F$1223,0)</f>
        <v/>
      </c>
      <c r="R1532">
        <f>IF(IF('01_Вводные'!$B$296="Новый сезон",FALSE,FALSE),'19_Расчет_аналитики'!R1420*CapacityAge01*'19_Расчет_аналитики'!$F$1223,0)</f>
        <v/>
      </c>
      <c r="S1532">
        <f>IF(IF('01_Вводные'!$B$296="Новый сезон",FALSE,FALSE),'19_Расчет_аналитики'!S1420*CapacityAge01*'19_Расчет_аналитики'!$F$1223,0)</f>
        <v/>
      </c>
      <c r="T1532">
        <f>IF(IF('01_Вводные'!$B$296="Новый сезон",FALSE,FALSE),'19_Расчет_аналитики'!T1420*CapacityAge01*'19_Расчет_аналитики'!$F$1223,0)</f>
        <v/>
      </c>
      <c r="U1532">
        <f>IF(IF('01_Вводные'!$B$296="Новый сезон",FALSE,FALSE),'19_Расчет_аналитики'!U1420*CapacityAge01*'19_Расчет_аналитики'!$F$1223,0)</f>
        <v/>
      </c>
      <c r="V1532">
        <f>IF(IF('01_Вводные'!$B$296="Новый сезон",FALSE,FALSE),'19_Расчет_аналитики'!V1420*CapacityAge01*'19_Расчет_аналитики'!$F$1223,0)</f>
        <v/>
      </c>
      <c r="W1532">
        <f>IF(IF('01_Вводные'!$B$296="Новый сезон",FALSE,FALSE),'19_Расчет_аналитики'!W1420*CapacityAge01*'19_Расчет_аналитики'!$F$1223,0)</f>
        <v/>
      </c>
      <c r="X1532">
        <f>IF(IF('01_Вводные'!$B$296="Новый сезон",FALSE,FALSE),'19_Расчет_аналитики'!X1420*CapacityAge01*'19_Расчет_аналитики'!$F$1223,0)</f>
        <v/>
      </c>
      <c r="Y1532">
        <f>IF(IF('01_Вводные'!$B$296="Новый сезон",FALSE,FALSE),'19_Расчет_аналитики'!Y1420*CapacityAge01*'19_Расчет_аналитики'!$F$1223,0)</f>
        <v/>
      </c>
      <c r="Z1532">
        <f>IF(IF('01_Вводные'!$B$296="Новый сезон",FALSE,FALSE),'19_Расчет_аналитики'!Z1420*CapacityAge01*'19_Расчет_аналитики'!$F$1223,0)</f>
        <v/>
      </c>
      <c r="AA1532">
        <f>IF(IF('01_Вводные'!$B$296="Новый сезон",FALSE,FALSE),'19_Расчет_аналитики'!AA1420*CapacityAge01*'19_Расчет_аналитики'!$F$1223,0)</f>
        <v/>
      </c>
      <c r="AB1532">
        <f>IF(IF('01_Вводные'!$B$296="Новый сезон",FALSE,FALSE),'19_Расчет_аналитики'!AB1420*CapacityAge01*'19_Расчет_аналитики'!$F$1223,0)</f>
        <v/>
      </c>
      <c r="AC1532">
        <f>IF(IF('01_Вводные'!$B$296="Новый сезон",FALSE,FALSE),'19_Расчет_аналитики'!AC1420*CapacityAge01*'19_Расчет_аналитики'!$F$1223,0)</f>
        <v/>
      </c>
      <c r="AD1532">
        <f>IF(IF('01_Вводные'!$B$296="Новый сезон",FALSE,FALSE),'19_Расчет_аналитики'!AD1420*CapacityAge01*'19_Расчет_аналитики'!$F$1223,0)</f>
        <v/>
      </c>
      <c r="AE1532">
        <f>IF(IF('01_Вводные'!$B$296="Новый сезон",FALSE,FALSE),'19_Расчет_аналитики'!AE1420*CapacityAge01*'19_Расчет_аналитики'!$F$1223,0)</f>
        <v/>
      </c>
      <c r="AF1532">
        <f>IF(IF('01_Вводные'!$B$296="Новый сезон",FALSE,FALSE),'19_Расчет_аналитики'!AF1420*CapacityAge01*'19_Расчет_аналитики'!$F$1223,0)</f>
        <v/>
      </c>
      <c r="AG1532">
        <f>IF(IF('01_Вводные'!$B$296="Новый сезон",FALSE,FALSE),'19_Расчет_аналитики'!AG1420*CapacityAge01*'19_Расчет_аналитики'!$F$1223,0)</f>
        <v/>
      </c>
      <c r="AH1532">
        <f>IF(IF('01_Вводные'!$B$296="Новый сезон",FALSE,FALSE),'19_Расчет_аналитики'!AH1420*CapacityAge01*'19_Расчет_аналитики'!$F$1223,0)</f>
        <v/>
      </c>
      <c r="AI1532">
        <f>IF(IF('01_Вводные'!$B$296="Новый сезон",FALSE,FALSE),'19_Расчет_аналитики'!AI1420*CapacityAge01*'19_Расчет_аналитики'!$F$1223,0)</f>
        <v/>
      </c>
      <c r="AJ1532">
        <f>IF(IF('01_Вводные'!$B$296="Новый сезон",FALSE,FALSE),'19_Расчет_аналитики'!AJ1420*CapacityAge01*'19_Расчет_аналитики'!$F$1223,0)</f>
        <v/>
      </c>
      <c r="AK1532">
        <f>IF(IF('01_Вводные'!$B$296="Новый сезон",FALSE,FALSE),'19_Расчет_аналитики'!AK1420*CapacityAge01*'19_Расчет_аналитики'!$F$1223,0)</f>
        <v/>
      </c>
      <c r="AL1532">
        <f>IF(IF('01_Вводные'!$B$296="Новый сезон",FALSE,FALSE),'19_Расчет_аналитики'!AL1420*CapacityAge01*'19_Расчет_аналитики'!$F$1223,0)</f>
        <v/>
      </c>
      <c r="AM1532">
        <f>IF(IF('01_Вводные'!$B$296="Новый сезон",FALSE,FALSE),'19_Расчет_аналитики'!AM1420*CapacityAge01*'19_Расчет_аналитики'!$F$1223,0)</f>
        <v/>
      </c>
      <c r="AN1532">
        <f>IF(IF('01_Вводные'!$B$296="Новый сезон",FALSE,FALSE),'19_Расчет_аналитики'!AN1420*CapacityAge01*'19_Расчет_аналитики'!$F$1223,0)</f>
        <v/>
      </c>
      <c r="AO1532">
        <f>IF(IF('01_Вводные'!$B$296="Новый сезон",FALSE,FALSE),'19_Расчет_аналитики'!AO1420*CapacityAge01*'19_Расчет_аналитики'!$F$1223,0)</f>
        <v/>
      </c>
      <c r="AP1532">
        <f>IF(IF('01_Вводные'!$B$296="Новый сезон",FALSE,FALSE),'19_Расчет_аналитики'!AP1420*CapacityAge01*'19_Расчет_аналитики'!$F$1223,0)</f>
        <v/>
      </c>
      <c r="AQ1532">
        <f>IF(IF('01_Вводные'!$B$296="Новый сезон",FALSE,FALSE),'19_Расчет_аналитики'!AQ1420*CapacityAge01*'19_Расчет_аналитики'!$F$1223,0)</f>
        <v/>
      </c>
      <c r="AR1532">
        <f>IF(IF('01_Вводные'!$B$296="Новый сезон",FALSE,FALSE),'19_Расчет_аналитики'!AR1420*CapacityAge01*'19_Расчет_аналитики'!$F$1223,0)</f>
        <v/>
      </c>
      <c r="AS1532">
        <f>IF(IF('01_Вводные'!$B$296="Новый сезон",FALSE,FALSE),'19_Расчет_аналитики'!AS1420*CapacityAge01*'19_Расчет_аналитики'!$F$1223,0)</f>
        <v/>
      </c>
      <c r="AT1532">
        <f>IF(IF('01_Вводные'!$B$296="Новый сезон",FALSE,FALSE),'19_Расчет_аналитики'!AT1420*CapacityAge01*'19_Расчет_аналитики'!$F$1223,0)</f>
        <v/>
      </c>
      <c r="AU1532">
        <f>IF(IF('01_Вводные'!$B$296="Новый сезон",FALSE,FALSE),'19_Расчет_аналитики'!AU1420*CapacityAge01*'19_Расчет_аналитики'!$F$1223,0)</f>
        <v/>
      </c>
      <c r="AV1532">
        <f>IF(IF('01_Вводные'!$B$296="Новый сезон",FALSE,FALSE),'19_Расчет_аналитики'!AV1420*CapacityAge01*'19_Расчет_аналитики'!$F$1223,0)</f>
        <v/>
      </c>
      <c r="AW1532">
        <f>IF(IF('01_Вводные'!$B$296="Новый сезон",FALSE,FALSE),'19_Расчет_аналитики'!AW1420*CapacityAge01*'19_Расчет_аналитики'!$F$1223,0)</f>
        <v/>
      </c>
      <c r="AX1532">
        <f>IF(IF('01_Вводные'!$B$296="Новый сезон",FALSE,FALSE),'19_Расчет_аналитики'!AX1420*CapacityAge01*'19_Расчет_аналитики'!$F$1223,0)</f>
        <v/>
      </c>
      <c r="AY1532">
        <f>IF(IF('01_Вводные'!$B$296="Новый сезон",FALSE,FALSE),'19_Расчет_аналитики'!AY1420*CapacityAge01*'19_Расчет_аналитики'!$F$1223,0)</f>
        <v/>
      </c>
      <c r="AZ1532">
        <f>IF(IF('01_Вводные'!$B$296="Новый сезон",FALSE,FALSE),'19_Расчет_аналитики'!AZ1420*CapacityAge01*'19_Расчет_аналитики'!$F$1223,0)</f>
        <v/>
      </c>
      <c r="BA1532">
        <f>IF(IF('01_Вводные'!$B$296="Новый сезон",FALSE,FALSE),'19_Расчет_аналитики'!BA1420*CapacityAge01*'19_Расчет_аналитики'!$F$1223,0)</f>
        <v/>
      </c>
      <c r="BB1532">
        <f>IF(IF('01_Вводные'!$B$296="Новый сезон",FALSE,FALSE),'19_Расчет_аналитики'!BB1420*CapacityAge01*'19_Расчет_аналитики'!$F$1223,0)</f>
        <v/>
      </c>
      <c r="BC1532">
        <f>IF(IF('01_Вводные'!$B$296="Новый сезон",FALSE,FALSE),'19_Расчет_аналитики'!BC1420*CapacityAge01*'19_Расчет_аналитики'!$F$1223,0)</f>
        <v/>
      </c>
      <c r="BD1532">
        <f>IF(IF('01_Вводные'!$B$296="Новый сезон",FALSE,FALSE),'19_Расчет_аналитики'!BD1420*CapacityAge01*'19_Расчет_аналитики'!$F$1223,0)</f>
        <v/>
      </c>
      <c r="BE1532">
        <f>IF(IF('01_Вводные'!$B$296="Новый сезон",FALSE,FALSE),'19_Расчет_аналитики'!BE1420*CapacityAge01*'19_Расчет_аналитики'!$F$1223,0)</f>
        <v/>
      </c>
      <c r="BF1532">
        <f>IF(IF('01_Вводные'!$B$296="Новый сезон",FALSE,FALSE),'19_Расчет_аналитики'!BF1420*CapacityAge01*'19_Расчет_аналитики'!$F$1223,0)</f>
        <v/>
      </c>
      <c r="BG1532">
        <f>IF(IF('01_Вводные'!$B$296="Новый сезон",FALSE,FALSE),'19_Расчет_аналитики'!BG1420*CapacityAge01*'19_Расчет_аналитики'!$F$1223,0)</f>
        <v/>
      </c>
      <c r="BH1532">
        <f>IF(IF('01_Вводные'!$B$296="Новый сезон",FALSE,FALSE),'19_Расчет_аналитики'!BH1420*CapacityAge01*'19_Расчет_аналитики'!$F$1223,0)</f>
        <v/>
      </c>
      <c r="BI1532">
        <f>IF(IF('01_Вводные'!$B$296="Новый сезон",FALSE,FALSE),'19_Расчет_аналитики'!BI1420*CapacityAge01*'19_Расчет_аналитики'!$F$1223,0)</f>
        <v/>
      </c>
      <c r="BJ1532">
        <f>IF(IF('01_Вводные'!$B$296="Новый сезон",FALSE,FALSE),'19_Расчет_аналитики'!BJ1420*CapacityAge01*'19_Расчет_аналитики'!$F$1223,0)</f>
        <v/>
      </c>
      <c r="BK1532">
        <f>IF(IF('01_Вводные'!$B$296="Новый сезон",FALSE,FALSE),'19_Расчет_аналитики'!BK1420*CapacityAge01*'19_Расчет_аналитики'!$F$1223,0)</f>
        <v/>
      </c>
      <c r="BL1532">
        <f>IF(IF('01_Вводные'!$B$296="Новый сезон",FALSE,FALSE),'19_Расчет_аналитики'!BL1420*CapacityAge01*'19_Расчет_аналитики'!$F$1223,0)</f>
        <v/>
      </c>
      <c r="BM1532">
        <f>IF(IF('01_Вводные'!$B$296="Новый сезон",FALSE,FALSE),'19_Расчет_аналитики'!BM1420*CapacityAge01*'19_Расчет_аналитики'!$F$1223,0)</f>
        <v/>
      </c>
      <c r="BN1532">
        <f>IF(IF('01_Вводные'!$B$296="Новый сезон",FALSE,FALSE),'19_Расчет_аналитики'!BN1420*CapacityAge01*'19_Расчет_аналитики'!$F$1223,0)</f>
        <v/>
      </c>
      <c r="BO1532">
        <f>IF(IF('01_Вводные'!$B$296="Новый сезон",FALSE,FALSE),'19_Расчет_аналитики'!BO1420*CapacityAge01*'19_Расчет_аналитики'!$F$1223,0)</f>
        <v/>
      </c>
    </row>
    <row r="1533">
      <c r="B1533">
        <f>IF(IF('01_Вводные'!$B$296="Новый сезон",FALSE,FALSE),'06_Сеть_и_дети'!B54*CapacityAge02*'19_Расчет_аналитики'!$F$1223,0)</f>
        <v/>
      </c>
      <c r="C1533">
        <f>IF(IF('01_Вводные'!$B$296="Новый сезон",FALSE,FALSE),'19_Расчет_аналитики'!C1421*CapacityAge02*'19_Расчет_аналитики'!$F$1223,0)</f>
        <v/>
      </c>
      <c r="D1533">
        <f>IF(IF('01_Вводные'!$B$296="Новый сезон",FALSE,FALSE),'19_Расчет_аналитики'!D1421*CapacityAge02*'19_Расчет_аналитики'!$F$1223,0)</f>
        <v/>
      </c>
      <c r="E1533">
        <f>IF(IF('01_Вводные'!$B$296="Новый сезон",FALSE,FALSE),'19_Расчет_аналитики'!E1421*CapacityAge02*'19_Расчет_аналитики'!$F$1223,0)</f>
        <v/>
      </c>
      <c r="F1533">
        <f>IF(IF('01_Вводные'!$B$296="Новый сезон",FALSE,FALSE),'19_Расчет_аналитики'!F1421*CapacityAge02*'19_Расчет_аналитики'!$F$1223,0)</f>
        <v/>
      </c>
      <c r="G1533">
        <f>IF(IF('01_Вводные'!$B$296="Новый сезон",FALSE,FALSE),'19_Расчет_аналитики'!G1421*CapacityAge02*'19_Расчет_аналитики'!$F$1223,0)</f>
        <v/>
      </c>
      <c r="H1533">
        <f>IF(IF('01_Вводные'!$B$296="Новый сезон",FALSE,FALSE),'19_Расчет_аналитики'!H1421*CapacityAge02*'19_Расчет_аналитики'!$F$1223,0)</f>
        <v/>
      </c>
      <c r="I1533">
        <f>IF(IF('01_Вводные'!$B$296="Новый сезон",FALSE,FALSE),'19_Расчет_аналитики'!I1421*CapacityAge02*'19_Расчет_аналитики'!$F$1223,0)</f>
        <v/>
      </c>
      <c r="J1533">
        <f>IF(IF('01_Вводные'!$B$296="Новый сезон",FALSE,FALSE),'19_Расчет_аналитики'!J1421*CapacityAge02*'19_Расчет_аналитики'!$F$1223,0)</f>
        <v/>
      </c>
      <c r="K1533">
        <f>IF(IF('01_Вводные'!$B$296="Новый сезон",FALSE,FALSE),'19_Расчет_аналитики'!K1421*CapacityAge02*'19_Расчет_аналитики'!$F$1223,0)</f>
        <v/>
      </c>
      <c r="L1533">
        <f>IF(IF('01_Вводные'!$B$296="Новый сезон",FALSE,FALSE),'19_Расчет_аналитики'!L1421*CapacityAge02*'19_Расчет_аналитики'!$F$1223,0)</f>
        <v/>
      </c>
      <c r="M1533">
        <f>IF(IF('01_Вводные'!$B$296="Новый сезон",FALSE,FALSE),'19_Расчет_аналитики'!M1421*CapacityAge02*'19_Расчет_аналитики'!$F$1223,0)</f>
        <v/>
      </c>
      <c r="N1533">
        <f>IF(IF('01_Вводные'!$B$296="Новый сезон",FALSE,FALSE),'19_Расчет_аналитики'!N1421*CapacityAge02*'19_Расчет_аналитики'!$F$1223,0)</f>
        <v/>
      </c>
      <c r="O1533">
        <f>IF(IF('01_Вводные'!$B$296="Новый сезон",FALSE,FALSE),'19_Расчет_аналитики'!O1421*CapacityAge02*'19_Расчет_аналитики'!$F$1223,0)</f>
        <v/>
      </c>
      <c r="P1533">
        <f>IF(IF('01_Вводные'!$B$296="Новый сезон",FALSE,FALSE),'19_Расчет_аналитики'!P1421*CapacityAge02*'19_Расчет_аналитики'!$F$1223,0)</f>
        <v/>
      </c>
      <c r="Q1533">
        <f>IF(IF('01_Вводные'!$B$296="Новый сезон",FALSE,FALSE),'19_Расчет_аналитики'!Q1421*CapacityAge02*'19_Расчет_аналитики'!$F$1223,0)</f>
        <v/>
      </c>
      <c r="R1533">
        <f>IF(IF('01_Вводные'!$B$296="Новый сезон",FALSE,FALSE),'19_Расчет_аналитики'!R1421*CapacityAge02*'19_Расчет_аналитики'!$F$1223,0)</f>
        <v/>
      </c>
      <c r="S1533">
        <f>IF(IF('01_Вводные'!$B$296="Новый сезон",FALSE,FALSE),'19_Расчет_аналитики'!S1421*CapacityAge02*'19_Расчет_аналитики'!$F$1223,0)</f>
        <v/>
      </c>
      <c r="T1533">
        <f>IF(IF('01_Вводные'!$B$296="Новый сезон",FALSE,FALSE),'19_Расчет_аналитики'!T1421*CapacityAge02*'19_Расчет_аналитики'!$F$1223,0)</f>
        <v/>
      </c>
      <c r="U1533">
        <f>IF(IF('01_Вводные'!$B$296="Новый сезон",FALSE,FALSE),'19_Расчет_аналитики'!U1421*CapacityAge02*'19_Расчет_аналитики'!$F$1223,0)</f>
        <v/>
      </c>
      <c r="V1533">
        <f>IF(IF('01_Вводные'!$B$296="Новый сезон",FALSE,FALSE),'19_Расчет_аналитики'!V1421*CapacityAge02*'19_Расчет_аналитики'!$F$1223,0)</f>
        <v/>
      </c>
      <c r="W1533">
        <f>IF(IF('01_Вводные'!$B$296="Новый сезон",FALSE,FALSE),'19_Расчет_аналитики'!W1421*CapacityAge02*'19_Расчет_аналитики'!$F$1223,0)</f>
        <v/>
      </c>
      <c r="X1533">
        <f>IF(IF('01_Вводные'!$B$296="Новый сезон",FALSE,FALSE),'19_Расчет_аналитики'!X1421*CapacityAge02*'19_Расчет_аналитики'!$F$1223,0)</f>
        <v/>
      </c>
      <c r="Y1533">
        <f>IF(IF('01_Вводные'!$B$296="Новый сезон",FALSE,FALSE),'19_Расчет_аналитики'!Y1421*CapacityAge02*'19_Расчет_аналитики'!$F$1223,0)</f>
        <v/>
      </c>
      <c r="Z1533">
        <f>IF(IF('01_Вводные'!$B$296="Новый сезон",FALSE,FALSE),'19_Расчет_аналитики'!Z1421*CapacityAge02*'19_Расчет_аналитики'!$F$1223,0)</f>
        <v/>
      </c>
      <c r="AA1533">
        <f>IF(IF('01_Вводные'!$B$296="Новый сезон",FALSE,FALSE),'19_Расчет_аналитики'!AA1421*CapacityAge02*'19_Расчет_аналитики'!$F$1223,0)</f>
        <v/>
      </c>
      <c r="AB1533">
        <f>IF(IF('01_Вводные'!$B$296="Новый сезон",FALSE,FALSE),'19_Расчет_аналитики'!AB1421*CapacityAge02*'19_Расчет_аналитики'!$F$1223,0)</f>
        <v/>
      </c>
      <c r="AC1533">
        <f>IF(IF('01_Вводные'!$B$296="Новый сезон",FALSE,FALSE),'19_Расчет_аналитики'!AC1421*CapacityAge02*'19_Расчет_аналитики'!$F$1223,0)</f>
        <v/>
      </c>
      <c r="AD1533">
        <f>IF(IF('01_Вводные'!$B$296="Новый сезон",FALSE,FALSE),'19_Расчет_аналитики'!AD1421*CapacityAge02*'19_Расчет_аналитики'!$F$1223,0)</f>
        <v/>
      </c>
      <c r="AE1533">
        <f>IF(IF('01_Вводные'!$B$296="Новый сезон",FALSE,FALSE),'19_Расчет_аналитики'!AE1421*CapacityAge02*'19_Расчет_аналитики'!$F$1223,0)</f>
        <v/>
      </c>
      <c r="AF1533">
        <f>IF(IF('01_Вводные'!$B$296="Новый сезон",FALSE,FALSE),'19_Расчет_аналитики'!AF1421*CapacityAge02*'19_Расчет_аналитики'!$F$1223,0)</f>
        <v/>
      </c>
      <c r="AG1533">
        <f>IF(IF('01_Вводные'!$B$296="Новый сезон",FALSE,FALSE),'19_Расчет_аналитики'!AG1421*CapacityAge02*'19_Расчет_аналитики'!$F$1223,0)</f>
        <v/>
      </c>
      <c r="AH1533">
        <f>IF(IF('01_Вводные'!$B$296="Новый сезон",FALSE,FALSE),'19_Расчет_аналитики'!AH1421*CapacityAge02*'19_Расчет_аналитики'!$F$1223,0)</f>
        <v/>
      </c>
      <c r="AI1533">
        <f>IF(IF('01_Вводные'!$B$296="Новый сезон",FALSE,FALSE),'19_Расчет_аналитики'!AI1421*CapacityAge02*'19_Расчет_аналитики'!$F$1223,0)</f>
        <v/>
      </c>
      <c r="AJ1533">
        <f>IF(IF('01_Вводные'!$B$296="Новый сезон",FALSE,FALSE),'19_Расчет_аналитики'!AJ1421*CapacityAge02*'19_Расчет_аналитики'!$F$1223,0)</f>
        <v/>
      </c>
      <c r="AK1533">
        <f>IF(IF('01_Вводные'!$B$296="Новый сезон",FALSE,FALSE),'19_Расчет_аналитики'!AK1421*CapacityAge02*'19_Расчет_аналитики'!$F$1223,0)</f>
        <v/>
      </c>
      <c r="AL1533">
        <f>IF(IF('01_Вводные'!$B$296="Новый сезон",FALSE,FALSE),'19_Расчет_аналитики'!AL1421*CapacityAge02*'19_Расчет_аналитики'!$F$1223,0)</f>
        <v/>
      </c>
      <c r="AM1533">
        <f>IF(IF('01_Вводные'!$B$296="Новый сезон",FALSE,FALSE),'19_Расчет_аналитики'!AM1421*CapacityAge02*'19_Расчет_аналитики'!$F$1223,0)</f>
        <v/>
      </c>
      <c r="AN1533">
        <f>IF(IF('01_Вводные'!$B$296="Новый сезон",FALSE,FALSE),'19_Расчет_аналитики'!AN1421*CapacityAge02*'19_Расчет_аналитики'!$F$1223,0)</f>
        <v/>
      </c>
      <c r="AO1533">
        <f>IF(IF('01_Вводные'!$B$296="Новый сезон",FALSE,FALSE),'19_Расчет_аналитики'!AO1421*CapacityAge02*'19_Расчет_аналитики'!$F$1223,0)</f>
        <v/>
      </c>
      <c r="AP1533">
        <f>IF(IF('01_Вводные'!$B$296="Новый сезон",FALSE,FALSE),'19_Расчет_аналитики'!AP1421*CapacityAge02*'19_Расчет_аналитики'!$F$1223,0)</f>
        <v/>
      </c>
      <c r="AQ1533">
        <f>IF(IF('01_Вводные'!$B$296="Новый сезон",FALSE,FALSE),'19_Расчет_аналитики'!AQ1421*CapacityAge02*'19_Расчет_аналитики'!$F$1223,0)</f>
        <v/>
      </c>
      <c r="AR1533">
        <f>IF(IF('01_Вводные'!$B$296="Новый сезон",FALSE,FALSE),'19_Расчет_аналитики'!AR1421*CapacityAge02*'19_Расчет_аналитики'!$F$1223,0)</f>
        <v/>
      </c>
      <c r="AS1533">
        <f>IF(IF('01_Вводные'!$B$296="Новый сезон",FALSE,FALSE),'19_Расчет_аналитики'!AS1421*CapacityAge02*'19_Расчет_аналитики'!$F$1223,0)</f>
        <v/>
      </c>
      <c r="AT1533">
        <f>IF(IF('01_Вводные'!$B$296="Новый сезон",FALSE,FALSE),'19_Расчет_аналитики'!AT1421*CapacityAge02*'19_Расчет_аналитики'!$F$1223,0)</f>
        <v/>
      </c>
      <c r="AU1533">
        <f>IF(IF('01_Вводные'!$B$296="Новый сезон",FALSE,FALSE),'19_Расчет_аналитики'!AU1421*CapacityAge02*'19_Расчет_аналитики'!$F$1223,0)</f>
        <v/>
      </c>
      <c r="AV1533">
        <f>IF(IF('01_Вводные'!$B$296="Новый сезон",FALSE,FALSE),'19_Расчет_аналитики'!AV1421*CapacityAge02*'19_Расчет_аналитики'!$F$1223,0)</f>
        <v/>
      </c>
      <c r="AW1533">
        <f>IF(IF('01_Вводные'!$B$296="Новый сезон",FALSE,FALSE),'19_Расчет_аналитики'!AW1421*CapacityAge02*'19_Расчет_аналитики'!$F$1223,0)</f>
        <v/>
      </c>
      <c r="AX1533">
        <f>IF(IF('01_Вводные'!$B$296="Новый сезон",FALSE,FALSE),'19_Расчет_аналитики'!AX1421*CapacityAge02*'19_Расчет_аналитики'!$F$1223,0)</f>
        <v/>
      </c>
      <c r="AY1533">
        <f>IF(IF('01_Вводные'!$B$296="Новый сезон",FALSE,FALSE),'19_Расчет_аналитики'!AY1421*CapacityAge02*'19_Расчет_аналитики'!$F$1223,0)</f>
        <v/>
      </c>
      <c r="AZ1533">
        <f>IF(IF('01_Вводные'!$B$296="Новый сезон",FALSE,FALSE),'19_Расчет_аналитики'!AZ1421*CapacityAge02*'19_Расчет_аналитики'!$F$1223,0)</f>
        <v/>
      </c>
      <c r="BA1533">
        <f>IF(IF('01_Вводные'!$B$296="Новый сезон",FALSE,FALSE),'19_Расчет_аналитики'!BA1421*CapacityAge02*'19_Расчет_аналитики'!$F$1223,0)</f>
        <v/>
      </c>
      <c r="BB1533">
        <f>IF(IF('01_Вводные'!$B$296="Новый сезон",FALSE,FALSE),'19_Расчет_аналитики'!BB1421*CapacityAge02*'19_Расчет_аналитики'!$F$1223,0)</f>
        <v/>
      </c>
      <c r="BC1533">
        <f>IF(IF('01_Вводные'!$B$296="Новый сезон",FALSE,FALSE),'19_Расчет_аналитики'!BC1421*CapacityAge02*'19_Расчет_аналитики'!$F$1223,0)</f>
        <v/>
      </c>
      <c r="BD1533">
        <f>IF(IF('01_Вводные'!$B$296="Новый сезон",FALSE,FALSE),'19_Расчет_аналитики'!BD1421*CapacityAge02*'19_Расчет_аналитики'!$F$1223,0)</f>
        <v/>
      </c>
      <c r="BE1533">
        <f>IF(IF('01_Вводные'!$B$296="Новый сезон",FALSE,FALSE),'19_Расчет_аналитики'!BE1421*CapacityAge02*'19_Расчет_аналитики'!$F$1223,0)</f>
        <v/>
      </c>
      <c r="BF1533">
        <f>IF(IF('01_Вводные'!$B$296="Новый сезон",FALSE,FALSE),'19_Расчет_аналитики'!BF1421*CapacityAge02*'19_Расчет_аналитики'!$F$1223,0)</f>
        <v/>
      </c>
      <c r="BG1533">
        <f>IF(IF('01_Вводные'!$B$296="Новый сезон",FALSE,FALSE),'19_Расчет_аналитики'!BG1421*CapacityAge02*'19_Расчет_аналитики'!$F$1223,0)</f>
        <v/>
      </c>
      <c r="BH1533">
        <f>IF(IF('01_Вводные'!$B$296="Новый сезон",FALSE,FALSE),'19_Расчет_аналитики'!BH1421*CapacityAge02*'19_Расчет_аналитики'!$F$1223,0)</f>
        <v/>
      </c>
      <c r="BI1533">
        <f>IF(IF('01_Вводные'!$B$296="Новый сезон",FALSE,FALSE),'19_Расчет_аналитики'!BI1421*CapacityAge02*'19_Расчет_аналитики'!$F$1223,0)</f>
        <v/>
      </c>
      <c r="BJ1533">
        <f>IF(IF('01_Вводные'!$B$296="Новый сезон",FALSE,FALSE),'19_Расчет_аналитики'!BJ1421*CapacityAge02*'19_Расчет_аналитики'!$F$1223,0)</f>
        <v/>
      </c>
      <c r="BK1533">
        <f>IF(IF('01_Вводные'!$B$296="Новый сезон",FALSE,FALSE),'19_Расчет_аналитики'!BK1421*CapacityAge02*'19_Расчет_аналитики'!$F$1223,0)</f>
        <v/>
      </c>
      <c r="BL1533">
        <f>IF(IF('01_Вводные'!$B$296="Новый сезон",FALSE,FALSE),'19_Расчет_аналитики'!BL1421*CapacityAge02*'19_Расчет_аналитики'!$F$1223,0)</f>
        <v/>
      </c>
      <c r="BM1533">
        <f>IF(IF('01_Вводные'!$B$296="Новый сезон",FALSE,FALSE),'19_Расчет_аналитики'!BM1421*CapacityAge02*'19_Расчет_аналитики'!$F$1223,0)</f>
        <v/>
      </c>
      <c r="BN1533">
        <f>IF(IF('01_Вводные'!$B$296="Новый сезон",FALSE,FALSE),'19_Расчет_аналитики'!BN1421*CapacityAge02*'19_Расчет_аналитики'!$F$1223,0)</f>
        <v/>
      </c>
      <c r="BO1533">
        <f>IF(IF('01_Вводные'!$B$296="Новый сезон",FALSE,FALSE),'19_Расчет_аналитики'!BO1421*CapacityAge02*'19_Расчет_аналитики'!$F$1223,0)</f>
        <v/>
      </c>
    </row>
    <row r="1534">
      <c r="B1534">
        <f>IF(IF('01_Вводные'!$B$296="Новый сезон",FALSE,FALSE),'06_Сеть_и_дети'!B55*CapacityAge03*'19_Расчет_аналитики'!$F$1223,0)</f>
        <v/>
      </c>
      <c r="C1534">
        <f>IF(IF('01_Вводные'!$B$296="Новый сезон",FALSE,FALSE),'06_Сеть_и_дети'!C55*CapacityAge03*'19_Расчет_аналитики'!$F$1223,0)</f>
        <v/>
      </c>
      <c r="D1534">
        <f>IF(IF('01_Вводные'!$B$296="Новый сезон",FALSE,FALSE),'19_Расчет_аналитики'!D1422*CapacityAge03*'19_Расчет_аналитики'!$F$1223,0)</f>
        <v/>
      </c>
      <c r="E1534">
        <f>IF(IF('01_Вводные'!$B$296="Новый сезон",FALSE,FALSE),'19_Расчет_аналитики'!E1422*CapacityAge03*'19_Расчет_аналитики'!$F$1223,0)</f>
        <v/>
      </c>
      <c r="F1534">
        <f>IF(IF('01_Вводные'!$B$296="Новый сезон",FALSE,FALSE),'19_Расчет_аналитики'!F1422*CapacityAge03*'19_Расчет_аналитики'!$F$1223,0)</f>
        <v/>
      </c>
      <c r="G1534">
        <f>IF(IF('01_Вводные'!$B$296="Новый сезон",FALSE,FALSE),'19_Расчет_аналитики'!G1422*CapacityAge03*'19_Расчет_аналитики'!$F$1223,0)</f>
        <v/>
      </c>
      <c r="H1534">
        <f>IF(IF('01_Вводные'!$B$296="Новый сезон",FALSE,FALSE),'19_Расчет_аналитики'!H1422*CapacityAge03*'19_Расчет_аналитики'!$F$1223,0)</f>
        <v/>
      </c>
      <c r="I1534">
        <f>IF(IF('01_Вводные'!$B$296="Новый сезон",FALSE,FALSE),'19_Расчет_аналитики'!I1422*CapacityAge03*'19_Расчет_аналитики'!$F$1223,0)</f>
        <v/>
      </c>
      <c r="J1534">
        <f>IF(IF('01_Вводные'!$B$296="Новый сезон",FALSE,FALSE),'19_Расчет_аналитики'!J1422*CapacityAge03*'19_Расчет_аналитики'!$F$1223,0)</f>
        <v/>
      </c>
      <c r="K1534">
        <f>IF(IF('01_Вводные'!$B$296="Новый сезон",FALSE,FALSE),'19_Расчет_аналитики'!K1422*CapacityAge03*'19_Расчет_аналитики'!$F$1223,0)</f>
        <v/>
      </c>
      <c r="L1534">
        <f>IF(IF('01_Вводные'!$B$296="Новый сезон",FALSE,FALSE),'19_Расчет_аналитики'!L1422*CapacityAge03*'19_Расчет_аналитики'!$F$1223,0)</f>
        <v/>
      </c>
      <c r="M1534">
        <f>IF(IF('01_Вводные'!$B$296="Новый сезон",FALSE,FALSE),'19_Расчет_аналитики'!M1422*CapacityAge03*'19_Расчет_аналитики'!$F$1223,0)</f>
        <v/>
      </c>
      <c r="N1534">
        <f>IF(IF('01_Вводные'!$B$296="Новый сезон",FALSE,FALSE),'19_Расчет_аналитики'!N1422*CapacityAge03*'19_Расчет_аналитики'!$F$1223,0)</f>
        <v/>
      </c>
      <c r="O1534">
        <f>IF(IF('01_Вводные'!$B$296="Новый сезон",FALSE,FALSE),'19_Расчет_аналитики'!O1422*CapacityAge03*'19_Расчет_аналитики'!$F$1223,0)</f>
        <v/>
      </c>
      <c r="P1534">
        <f>IF(IF('01_Вводные'!$B$296="Новый сезон",FALSE,FALSE),'19_Расчет_аналитики'!P1422*CapacityAge03*'19_Расчет_аналитики'!$F$1223,0)</f>
        <v/>
      </c>
      <c r="Q1534">
        <f>IF(IF('01_Вводные'!$B$296="Новый сезон",FALSE,FALSE),'19_Расчет_аналитики'!Q1422*CapacityAge03*'19_Расчет_аналитики'!$F$1223,0)</f>
        <v/>
      </c>
      <c r="R1534">
        <f>IF(IF('01_Вводные'!$B$296="Новый сезон",FALSE,FALSE),'19_Расчет_аналитики'!R1422*CapacityAge03*'19_Расчет_аналитики'!$F$1223,0)</f>
        <v/>
      </c>
      <c r="S1534">
        <f>IF(IF('01_Вводные'!$B$296="Новый сезон",FALSE,FALSE),'19_Расчет_аналитики'!S1422*CapacityAge03*'19_Расчет_аналитики'!$F$1223,0)</f>
        <v/>
      </c>
      <c r="T1534">
        <f>IF(IF('01_Вводные'!$B$296="Новый сезон",FALSE,FALSE),'19_Расчет_аналитики'!T1422*CapacityAge03*'19_Расчет_аналитики'!$F$1223,0)</f>
        <v/>
      </c>
      <c r="U1534">
        <f>IF(IF('01_Вводные'!$B$296="Новый сезон",FALSE,FALSE),'19_Расчет_аналитики'!U1422*CapacityAge03*'19_Расчет_аналитики'!$F$1223,0)</f>
        <v/>
      </c>
      <c r="V1534">
        <f>IF(IF('01_Вводные'!$B$296="Новый сезон",FALSE,FALSE),'19_Расчет_аналитики'!V1422*CapacityAge03*'19_Расчет_аналитики'!$F$1223,0)</f>
        <v/>
      </c>
      <c r="W1534">
        <f>IF(IF('01_Вводные'!$B$296="Новый сезон",FALSE,FALSE),'19_Расчет_аналитики'!W1422*CapacityAge03*'19_Расчет_аналитики'!$F$1223,0)</f>
        <v/>
      </c>
      <c r="X1534">
        <f>IF(IF('01_Вводные'!$B$296="Новый сезон",FALSE,FALSE),'19_Расчет_аналитики'!X1422*CapacityAge03*'19_Расчет_аналитики'!$F$1223,0)</f>
        <v/>
      </c>
      <c r="Y1534">
        <f>IF(IF('01_Вводные'!$B$296="Новый сезон",FALSE,FALSE),'19_Расчет_аналитики'!Y1422*CapacityAge03*'19_Расчет_аналитики'!$F$1223,0)</f>
        <v/>
      </c>
      <c r="Z1534">
        <f>IF(IF('01_Вводные'!$B$296="Новый сезон",FALSE,FALSE),'19_Расчет_аналитики'!Z1422*CapacityAge03*'19_Расчет_аналитики'!$F$1223,0)</f>
        <v/>
      </c>
      <c r="AA1534">
        <f>IF(IF('01_Вводные'!$B$296="Новый сезон",FALSE,FALSE),'19_Расчет_аналитики'!AA1422*CapacityAge03*'19_Расчет_аналитики'!$F$1223,0)</f>
        <v/>
      </c>
      <c r="AB1534">
        <f>IF(IF('01_Вводные'!$B$296="Новый сезон",FALSE,FALSE),'19_Расчет_аналитики'!AB1422*CapacityAge03*'19_Расчет_аналитики'!$F$1223,0)</f>
        <v/>
      </c>
      <c r="AC1534">
        <f>IF(IF('01_Вводные'!$B$296="Новый сезон",FALSE,FALSE),'19_Расчет_аналитики'!AC1422*CapacityAge03*'19_Расчет_аналитики'!$F$1223,0)</f>
        <v/>
      </c>
      <c r="AD1534">
        <f>IF(IF('01_Вводные'!$B$296="Новый сезон",FALSE,FALSE),'19_Расчет_аналитики'!AD1422*CapacityAge03*'19_Расчет_аналитики'!$F$1223,0)</f>
        <v/>
      </c>
      <c r="AE1534">
        <f>IF(IF('01_Вводные'!$B$296="Новый сезон",FALSE,FALSE),'19_Расчет_аналитики'!AE1422*CapacityAge03*'19_Расчет_аналитики'!$F$1223,0)</f>
        <v/>
      </c>
      <c r="AF1534">
        <f>IF(IF('01_Вводные'!$B$296="Новый сезон",FALSE,FALSE),'19_Расчет_аналитики'!AF1422*CapacityAge03*'19_Расчет_аналитики'!$F$1223,0)</f>
        <v/>
      </c>
      <c r="AG1534">
        <f>IF(IF('01_Вводные'!$B$296="Новый сезон",FALSE,FALSE),'19_Расчет_аналитики'!AG1422*CapacityAge03*'19_Расчет_аналитики'!$F$1223,0)</f>
        <v/>
      </c>
      <c r="AH1534">
        <f>IF(IF('01_Вводные'!$B$296="Новый сезон",FALSE,FALSE),'19_Расчет_аналитики'!AH1422*CapacityAge03*'19_Расчет_аналитики'!$F$1223,0)</f>
        <v/>
      </c>
      <c r="AI1534">
        <f>IF(IF('01_Вводные'!$B$296="Новый сезон",FALSE,FALSE),'19_Расчет_аналитики'!AI1422*CapacityAge03*'19_Расчет_аналитики'!$F$1223,0)</f>
        <v/>
      </c>
      <c r="AJ1534">
        <f>IF(IF('01_Вводные'!$B$296="Новый сезон",FALSE,FALSE),'19_Расчет_аналитики'!AJ1422*CapacityAge03*'19_Расчет_аналитики'!$F$1223,0)</f>
        <v/>
      </c>
      <c r="AK1534">
        <f>IF(IF('01_Вводные'!$B$296="Новый сезон",FALSE,FALSE),'19_Расчет_аналитики'!AK1422*CapacityAge03*'19_Расчет_аналитики'!$F$1223,0)</f>
        <v/>
      </c>
      <c r="AL1534">
        <f>IF(IF('01_Вводные'!$B$296="Новый сезон",FALSE,FALSE),'19_Расчет_аналитики'!AL1422*CapacityAge03*'19_Расчет_аналитики'!$F$1223,0)</f>
        <v/>
      </c>
      <c r="AM1534">
        <f>IF(IF('01_Вводные'!$B$296="Новый сезон",FALSE,FALSE),'19_Расчет_аналитики'!AM1422*CapacityAge03*'19_Расчет_аналитики'!$F$1223,0)</f>
        <v/>
      </c>
      <c r="AN1534">
        <f>IF(IF('01_Вводные'!$B$296="Новый сезон",FALSE,FALSE),'19_Расчет_аналитики'!AN1422*CapacityAge03*'19_Расчет_аналитики'!$F$1223,0)</f>
        <v/>
      </c>
      <c r="AO1534">
        <f>IF(IF('01_Вводные'!$B$296="Новый сезон",FALSE,FALSE),'19_Расчет_аналитики'!AO1422*CapacityAge03*'19_Расчет_аналитики'!$F$1223,0)</f>
        <v/>
      </c>
      <c r="AP1534">
        <f>IF(IF('01_Вводные'!$B$296="Новый сезон",FALSE,FALSE),'19_Расчет_аналитики'!AP1422*CapacityAge03*'19_Расчет_аналитики'!$F$1223,0)</f>
        <v/>
      </c>
      <c r="AQ1534">
        <f>IF(IF('01_Вводные'!$B$296="Новый сезон",FALSE,FALSE),'19_Расчет_аналитики'!AQ1422*CapacityAge03*'19_Расчет_аналитики'!$F$1223,0)</f>
        <v/>
      </c>
      <c r="AR1534">
        <f>IF(IF('01_Вводные'!$B$296="Новый сезон",FALSE,FALSE),'19_Расчет_аналитики'!AR1422*CapacityAge03*'19_Расчет_аналитики'!$F$1223,0)</f>
        <v/>
      </c>
      <c r="AS1534">
        <f>IF(IF('01_Вводные'!$B$296="Новый сезон",FALSE,FALSE),'19_Расчет_аналитики'!AS1422*CapacityAge03*'19_Расчет_аналитики'!$F$1223,0)</f>
        <v/>
      </c>
      <c r="AT1534">
        <f>IF(IF('01_Вводные'!$B$296="Новый сезон",FALSE,FALSE),'19_Расчет_аналитики'!AT1422*CapacityAge03*'19_Расчет_аналитики'!$F$1223,0)</f>
        <v/>
      </c>
      <c r="AU1534">
        <f>IF(IF('01_Вводные'!$B$296="Новый сезон",FALSE,FALSE),'19_Расчет_аналитики'!AU1422*CapacityAge03*'19_Расчет_аналитики'!$F$1223,0)</f>
        <v/>
      </c>
      <c r="AV1534">
        <f>IF(IF('01_Вводные'!$B$296="Новый сезон",FALSE,FALSE),'19_Расчет_аналитики'!AV1422*CapacityAge03*'19_Расчет_аналитики'!$F$1223,0)</f>
        <v/>
      </c>
      <c r="AW1534">
        <f>IF(IF('01_Вводные'!$B$296="Новый сезон",FALSE,FALSE),'19_Расчет_аналитики'!AW1422*CapacityAge03*'19_Расчет_аналитики'!$F$1223,0)</f>
        <v/>
      </c>
      <c r="AX1534">
        <f>IF(IF('01_Вводные'!$B$296="Новый сезон",FALSE,FALSE),'19_Расчет_аналитики'!AX1422*CapacityAge03*'19_Расчет_аналитики'!$F$1223,0)</f>
        <v/>
      </c>
      <c r="AY1534">
        <f>IF(IF('01_Вводные'!$B$296="Новый сезон",FALSE,FALSE),'19_Расчет_аналитики'!AY1422*CapacityAge03*'19_Расчет_аналитики'!$F$1223,0)</f>
        <v/>
      </c>
      <c r="AZ1534">
        <f>IF(IF('01_Вводные'!$B$296="Новый сезон",FALSE,FALSE),'19_Расчет_аналитики'!AZ1422*CapacityAge03*'19_Расчет_аналитики'!$F$1223,0)</f>
        <v/>
      </c>
      <c r="BA1534">
        <f>IF(IF('01_Вводные'!$B$296="Новый сезон",FALSE,FALSE),'19_Расчет_аналитики'!BA1422*CapacityAge03*'19_Расчет_аналитики'!$F$1223,0)</f>
        <v/>
      </c>
      <c r="BB1534">
        <f>IF(IF('01_Вводные'!$B$296="Новый сезон",FALSE,FALSE),'19_Расчет_аналитики'!BB1422*CapacityAge03*'19_Расчет_аналитики'!$F$1223,0)</f>
        <v/>
      </c>
      <c r="BC1534">
        <f>IF(IF('01_Вводные'!$B$296="Новый сезон",FALSE,FALSE),'19_Расчет_аналитики'!BC1422*CapacityAge03*'19_Расчет_аналитики'!$F$1223,0)</f>
        <v/>
      </c>
      <c r="BD1534">
        <f>IF(IF('01_Вводные'!$B$296="Новый сезон",FALSE,FALSE),'19_Расчет_аналитики'!BD1422*CapacityAge03*'19_Расчет_аналитики'!$F$1223,0)</f>
        <v/>
      </c>
      <c r="BE1534">
        <f>IF(IF('01_Вводные'!$B$296="Новый сезон",FALSE,FALSE),'19_Расчет_аналитики'!BE1422*CapacityAge03*'19_Расчет_аналитики'!$F$1223,0)</f>
        <v/>
      </c>
      <c r="BF1534">
        <f>IF(IF('01_Вводные'!$B$296="Новый сезон",FALSE,FALSE),'19_Расчет_аналитики'!BF1422*CapacityAge03*'19_Расчет_аналитики'!$F$1223,0)</f>
        <v/>
      </c>
      <c r="BG1534">
        <f>IF(IF('01_Вводные'!$B$296="Новый сезон",FALSE,FALSE),'19_Расчет_аналитики'!BG1422*CapacityAge03*'19_Расчет_аналитики'!$F$1223,0)</f>
        <v/>
      </c>
      <c r="BH1534">
        <f>IF(IF('01_Вводные'!$B$296="Новый сезон",FALSE,FALSE),'19_Расчет_аналитики'!BH1422*CapacityAge03*'19_Расчет_аналитики'!$F$1223,0)</f>
        <v/>
      </c>
      <c r="BI1534">
        <f>IF(IF('01_Вводные'!$B$296="Новый сезон",FALSE,FALSE),'19_Расчет_аналитики'!BI1422*CapacityAge03*'19_Расчет_аналитики'!$F$1223,0)</f>
        <v/>
      </c>
      <c r="BJ1534">
        <f>IF(IF('01_Вводные'!$B$296="Новый сезон",FALSE,FALSE),'19_Расчет_аналитики'!BJ1422*CapacityAge03*'19_Расчет_аналитики'!$F$1223,0)</f>
        <v/>
      </c>
      <c r="BK1534">
        <f>IF(IF('01_Вводные'!$B$296="Новый сезон",FALSE,FALSE),'19_Расчет_аналитики'!BK1422*CapacityAge03*'19_Расчет_аналитики'!$F$1223,0)</f>
        <v/>
      </c>
      <c r="BL1534">
        <f>IF(IF('01_Вводные'!$B$296="Новый сезон",FALSE,FALSE),'19_Расчет_аналитики'!BL1422*CapacityAge03*'19_Расчет_аналитики'!$F$1223,0)</f>
        <v/>
      </c>
      <c r="BM1534">
        <f>IF(IF('01_Вводные'!$B$296="Новый сезон",FALSE,FALSE),'19_Расчет_аналитики'!BM1422*CapacityAge03*'19_Расчет_аналитики'!$F$1223,0)</f>
        <v/>
      </c>
      <c r="BN1534">
        <f>IF(IF('01_Вводные'!$B$296="Новый сезон",FALSE,FALSE),'19_Расчет_аналитики'!BN1422*CapacityAge03*'19_Расчет_аналитики'!$F$1223,0)</f>
        <v/>
      </c>
      <c r="BO1534">
        <f>IF(IF('01_Вводные'!$B$296="Новый сезон",FALSE,FALSE),'19_Расчет_аналитики'!BO1422*CapacityAge03*'19_Расчет_аналитики'!$F$1223,0)</f>
        <v/>
      </c>
    </row>
    <row r="1535">
      <c r="B1535">
        <f>IF(IF('01_Вводные'!$B$296="Новый сезон",FALSE,FALSE),'06_Сеть_и_дети'!B56*CapacityAge04*'19_Расчет_аналитики'!$F$1223,0)</f>
        <v/>
      </c>
      <c r="C1535">
        <f>IF(IF('01_Вводные'!$B$296="Новый сезон",FALSE,FALSE),'06_Сеть_и_дети'!C56*CapacityAge04*'19_Расчет_аналитики'!$F$1223,0)</f>
        <v/>
      </c>
      <c r="D1535">
        <f>IF(IF('01_Вводные'!$B$296="Новый сезон",FALSE,FALSE),'06_Сеть_и_дети'!D56*CapacityAge04*'19_Расчет_аналитики'!$F$1223,0)</f>
        <v/>
      </c>
      <c r="E1535">
        <f>IF(IF('01_Вводные'!$B$296="Новый сезон",FALSE,FALSE),'19_Расчет_аналитики'!E1423*CapacityAge04*'19_Расчет_аналитики'!$F$1223,0)</f>
        <v/>
      </c>
      <c r="F1535">
        <f>IF(IF('01_Вводные'!$B$296="Новый сезон",FALSE,FALSE),'19_Расчет_аналитики'!F1423*CapacityAge04*'19_Расчет_аналитики'!$F$1223,0)</f>
        <v/>
      </c>
      <c r="G1535">
        <f>IF(IF('01_Вводные'!$B$296="Новый сезон",FALSE,FALSE),'19_Расчет_аналитики'!G1423*CapacityAge04*'19_Расчет_аналитики'!$F$1223,0)</f>
        <v/>
      </c>
      <c r="H1535">
        <f>IF(IF('01_Вводные'!$B$296="Новый сезон",FALSE,FALSE),'19_Расчет_аналитики'!H1423*CapacityAge04*'19_Расчет_аналитики'!$F$1223,0)</f>
        <v/>
      </c>
      <c r="I1535">
        <f>IF(IF('01_Вводные'!$B$296="Новый сезон",FALSE,FALSE),'19_Расчет_аналитики'!I1423*CapacityAge04*'19_Расчет_аналитики'!$F$1223,0)</f>
        <v/>
      </c>
      <c r="J1535">
        <f>IF(IF('01_Вводные'!$B$296="Новый сезон",FALSE,FALSE),'19_Расчет_аналитики'!J1423*CapacityAge04*'19_Расчет_аналитики'!$F$1223,0)</f>
        <v/>
      </c>
      <c r="K1535">
        <f>IF(IF('01_Вводные'!$B$296="Новый сезон",FALSE,FALSE),'19_Расчет_аналитики'!K1423*CapacityAge04*'19_Расчет_аналитики'!$F$1223,0)</f>
        <v/>
      </c>
      <c r="L1535">
        <f>IF(IF('01_Вводные'!$B$296="Новый сезон",FALSE,FALSE),'19_Расчет_аналитики'!L1423*CapacityAge04*'19_Расчет_аналитики'!$F$1223,0)</f>
        <v/>
      </c>
      <c r="M1535">
        <f>IF(IF('01_Вводные'!$B$296="Новый сезон",FALSE,FALSE),'19_Расчет_аналитики'!M1423*CapacityAge04*'19_Расчет_аналитики'!$F$1223,0)</f>
        <v/>
      </c>
      <c r="N1535">
        <f>IF(IF('01_Вводные'!$B$296="Новый сезон",FALSE,FALSE),'19_Расчет_аналитики'!N1423*CapacityAge04*'19_Расчет_аналитики'!$F$1223,0)</f>
        <v/>
      </c>
      <c r="O1535">
        <f>IF(IF('01_Вводные'!$B$296="Новый сезон",FALSE,FALSE),'19_Расчет_аналитики'!O1423*CapacityAge04*'19_Расчет_аналитики'!$F$1223,0)</f>
        <v/>
      </c>
      <c r="P1535">
        <f>IF(IF('01_Вводные'!$B$296="Новый сезон",FALSE,FALSE),'19_Расчет_аналитики'!P1423*CapacityAge04*'19_Расчет_аналитики'!$F$1223,0)</f>
        <v/>
      </c>
      <c r="Q1535">
        <f>IF(IF('01_Вводные'!$B$296="Новый сезон",FALSE,FALSE),'19_Расчет_аналитики'!Q1423*CapacityAge04*'19_Расчет_аналитики'!$F$1223,0)</f>
        <v/>
      </c>
      <c r="R1535">
        <f>IF(IF('01_Вводные'!$B$296="Новый сезон",FALSE,FALSE),'19_Расчет_аналитики'!R1423*CapacityAge04*'19_Расчет_аналитики'!$F$1223,0)</f>
        <v/>
      </c>
      <c r="S1535">
        <f>IF(IF('01_Вводные'!$B$296="Новый сезон",FALSE,FALSE),'19_Расчет_аналитики'!S1423*CapacityAge04*'19_Расчет_аналитики'!$F$1223,0)</f>
        <v/>
      </c>
      <c r="T1535">
        <f>IF(IF('01_Вводные'!$B$296="Новый сезон",FALSE,FALSE),'19_Расчет_аналитики'!T1423*CapacityAge04*'19_Расчет_аналитики'!$F$1223,0)</f>
        <v/>
      </c>
      <c r="U1535">
        <f>IF(IF('01_Вводные'!$B$296="Новый сезон",FALSE,FALSE),'19_Расчет_аналитики'!U1423*CapacityAge04*'19_Расчет_аналитики'!$F$1223,0)</f>
        <v/>
      </c>
      <c r="V1535">
        <f>IF(IF('01_Вводные'!$B$296="Новый сезон",FALSE,FALSE),'19_Расчет_аналитики'!V1423*CapacityAge04*'19_Расчет_аналитики'!$F$1223,0)</f>
        <v/>
      </c>
      <c r="W1535">
        <f>IF(IF('01_Вводные'!$B$296="Новый сезон",FALSE,FALSE),'19_Расчет_аналитики'!W1423*CapacityAge04*'19_Расчет_аналитики'!$F$1223,0)</f>
        <v/>
      </c>
      <c r="X1535">
        <f>IF(IF('01_Вводные'!$B$296="Новый сезон",FALSE,FALSE),'19_Расчет_аналитики'!X1423*CapacityAge04*'19_Расчет_аналитики'!$F$1223,0)</f>
        <v/>
      </c>
      <c r="Y1535">
        <f>IF(IF('01_Вводные'!$B$296="Новый сезон",FALSE,FALSE),'19_Расчет_аналитики'!Y1423*CapacityAge04*'19_Расчет_аналитики'!$F$1223,0)</f>
        <v/>
      </c>
      <c r="Z1535">
        <f>IF(IF('01_Вводные'!$B$296="Новый сезон",FALSE,FALSE),'19_Расчет_аналитики'!Z1423*CapacityAge04*'19_Расчет_аналитики'!$F$1223,0)</f>
        <v/>
      </c>
      <c r="AA1535">
        <f>IF(IF('01_Вводные'!$B$296="Новый сезон",FALSE,FALSE),'19_Расчет_аналитики'!AA1423*CapacityAge04*'19_Расчет_аналитики'!$F$1223,0)</f>
        <v/>
      </c>
      <c r="AB1535">
        <f>IF(IF('01_Вводные'!$B$296="Новый сезон",FALSE,FALSE),'19_Расчет_аналитики'!AB1423*CapacityAge04*'19_Расчет_аналитики'!$F$1223,0)</f>
        <v/>
      </c>
      <c r="AC1535">
        <f>IF(IF('01_Вводные'!$B$296="Новый сезон",FALSE,FALSE),'19_Расчет_аналитики'!AC1423*CapacityAge04*'19_Расчет_аналитики'!$F$1223,0)</f>
        <v/>
      </c>
      <c r="AD1535">
        <f>IF(IF('01_Вводные'!$B$296="Новый сезон",FALSE,FALSE),'19_Расчет_аналитики'!AD1423*CapacityAge04*'19_Расчет_аналитики'!$F$1223,0)</f>
        <v/>
      </c>
      <c r="AE1535">
        <f>IF(IF('01_Вводные'!$B$296="Новый сезон",FALSE,FALSE),'19_Расчет_аналитики'!AE1423*CapacityAge04*'19_Расчет_аналитики'!$F$1223,0)</f>
        <v/>
      </c>
      <c r="AF1535">
        <f>IF(IF('01_Вводные'!$B$296="Новый сезон",FALSE,FALSE),'19_Расчет_аналитики'!AF1423*CapacityAge04*'19_Расчет_аналитики'!$F$1223,0)</f>
        <v/>
      </c>
      <c r="AG1535">
        <f>IF(IF('01_Вводные'!$B$296="Новый сезон",FALSE,FALSE),'19_Расчет_аналитики'!AG1423*CapacityAge04*'19_Расчет_аналитики'!$F$1223,0)</f>
        <v/>
      </c>
      <c r="AH1535">
        <f>IF(IF('01_Вводные'!$B$296="Новый сезон",FALSE,FALSE),'19_Расчет_аналитики'!AH1423*CapacityAge04*'19_Расчет_аналитики'!$F$1223,0)</f>
        <v/>
      </c>
      <c r="AI1535">
        <f>IF(IF('01_Вводные'!$B$296="Новый сезон",FALSE,FALSE),'19_Расчет_аналитики'!AI1423*CapacityAge04*'19_Расчет_аналитики'!$F$1223,0)</f>
        <v/>
      </c>
      <c r="AJ1535">
        <f>IF(IF('01_Вводные'!$B$296="Новый сезон",FALSE,FALSE),'19_Расчет_аналитики'!AJ1423*CapacityAge04*'19_Расчет_аналитики'!$F$1223,0)</f>
        <v/>
      </c>
      <c r="AK1535">
        <f>IF(IF('01_Вводные'!$B$296="Новый сезон",FALSE,FALSE),'19_Расчет_аналитики'!AK1423*CapacityAge04*'19_Расчет_аналитики'!$F$1223,0)</f>
        <v/>
      </c>
      <c r="AL1535">
        <f>IF(IF('01_Вводные'!$B$296="Новый сезон",FALSE,FALSE),'19_Расчет_аналитики'!AL1423*CapacityAge04*'19_Расчет_аналитики'!$F$1223,0)</f>
        <v/>
      </c>
      <c r="AM1535">
        <f>IF(IF('01_Вводные'!$B$296="Новый сезон",FALSE,FALSE),'19_Расчет_аналитики'!AM1423*CapacityAge04*'19_Расчет_аналитики'!$F$1223,0)</f>
        <v/>
      </c>
      <c r="AN1535">
        <f>IF(IF('01_Вводные'!$B$296="Новый сезон",FALSE,FALSE),'19_Расчет_аналитики'!AN1423*CapacityAge04*'19_Расчет_аналитики'!$F$1223,0)</f>
        <v/>
      </c>
      <c r="AO1535">
        <f>IF(IF('01_Вводные'!$B$296="Новый сезон",FALSE,FALSE),'19_Расчет_аналитики'!AO1423*CapacityAge04*'19_Расчет_аналитики'!$F$1223,0)</f>
        <v/>
      </c>
      <c r="AP1535">
        <f>IF(IF('01_Вводные'!$B$296="Новый сезон",FALSE,FALSE),'19_Расчет_аналитики'!AP1423*CapacityAge04*'19_Расчет_аналитики'!$F$1223,0)</f>
        <v/>
      </c>
      <c r="AQ1535">
        <f>IF(IF('01_Вводные'!$B$296="Новый сезон",FALSE,FALSE),'19_Расчет_аналитики'!AQ1423*CapacityAge04*'19_Расчет_аналитики'!$F$1223,0)</f>
        <v/>
      </c>
      <c r="AR1535">
        <f>IF(IF('01_Вводные'!$B$296="Новый сезон",FALSE,FALSE),'19_Расчет_аналитики'!AR1423*CapacityAge04*'19_Расчет_аналитики'!$F$1223,0)</f>
        <v/>
      </c>
      <c r="AS1535">
        <f>IF(IF('01_Вводные'!$B$296="Новый сезон",FALSE,FALSE),'19_Расчет_аналитики'!AS1423*CapacityAge04*'19_Расчет_аналитики'!$F$1223,0)</f>
        <v/>
      </c>
      <c r="AT1535">
        <f>IF(IF('01_Вводные'!$B$296="Новый сезон",FALSE,FALSE),'19_Расчет_аналитики'!AT1423*CapacityAge04*'19_Расчет_аналитики'!$F$1223,0)</f>
        <v/>
      </c>
      <c r="AU1535">
        <f>IF(IF('01_Вводные'!$B$296="Новый сезон",FALSE,FALSE),'19_Расчет_аналитики'!AU1423*CapacityAge04*'19_Расчет_аналитики'!$F$1223,0)</f>
        <v/>
      </c>
      <c r="AV1535">
        <f>IF(IF('01_Вводные'!$B$296="Новый сезон",FALSE,FALSE),'19_Расчет_аналитики'!AV1423*CapacityAge04*'19_Расчет_аналитики'!$F$1223,0)</f>
        <v/>
      </c>
      <c r="AW1535">
        <f>IF(IF('01_Вводные'!$B$296="Новый сезон",FALSE,FALSE),'19_Расчет_аналитики'!AW1423*CapacityAge04*'19_Расчет_аналитики'!$F$1223,0)</f>
        <v/>
      </c>
      <c r="AX1535">
        <f>IF(IF('01_Вводные'!$B$296="Новый сезон",FALSE,FALSE),'19_Расчет_аналитики'!AX1423*CapacityAge04*'19_Расчет_аналитики'!$F$1223,0)</f>
        <v/>
      </c>
      <c r="AY1535">
        <f>IF(IF('01_Вводные'!$B$296="Новый сезон",FALSE,FALSE),'19_Расчет_аналитики'!AY1423*CapacityAge04*'19_Расчет_аналитики'!$F$1223,0)</f>
        <v/>
      </c>
      <c r="AZ1535">
        <f>IF(IF('01_Вводные'!$B$296="Новый сезон",FALSE,FALSE),'19_Расчет_аналитики'!AZ1423*CapacityAge04*'19_Расчет_аналитики'!$F$1223,0)</f>
        <v/>
      </c>
      <c r="BA1535">
        <f>IF(IF('01_Вводные'!$B$296="Новый сезон",FALSE,FALSE),'19_Расчет_аналитики'!BA1423*CapacityAge04*'19_Расчет_аналитики'!$F$1223,0)</f>
        <v/>
      </c>
      <c r="BB1535">
        <f>IF(IF('01_Вводные'!$B$296="Новый сезон",FALSE,FALSE),'19_Расчет_аналитики'!BB1423*CapacityAge04*'19_Расчет_аналитики'!$F$1223,0)</f>
        <v/>
      </c>
      <c r="BC1535">
        <f>IF(IF('01_Вводные'!$B$296="Новый сезон",FALSE,FALSE),'19_Расчет_аналитики'!BC1423*CapacityAge04*'19_Расчет_аналитики'!$F$1223,0)</f>
        <v/>
      </c>
      <c r="BD1535">
        <f>IF(IF('01_Вводные'!$B$296="Новый сезон",FALSE,FALSE),'19_Расчет_аналитики'!BD1423*CapacityAge04*'19_Расчет_аналитики'!$F$1223,0)</f>
        <v/>
      </c>
      <c r="BE1535">
        <f>IF(IF('01_Вводные'!$B$296="Новый сезон",FALSE,FALSE),'19_Расчет_аналитики'!BE1423*CapacityAge04*'19_Расчет_аналитики'!$F$1223,0)</f>
        <v/>
      </c>
      <c r="BF1535">
        <f>IF(IF('01_Вводные'!$B$296="Новый сезон",FALSE,FALSE),'19_Расчет_аналитики'!BF1423*CapacityAge04*'19_Расчет_аналитики'!$F$1223,0)</f>
        <v/>
      </c>
      <c r="BG1535">
        <f>IF(IF('01_Вводные'!$B$296="Новый сезон",FALSE,FALSE),'19_Расчет_аналитики'!BG1423*CapacityAge04*'19_Расчет_аналитики'!$F$1223,0)</f>
        <v/>
      </c>
      <c r="BH1535">
        <f>IF(IF('01_Вводные'!$B$296="Новый сезон",FALSE,FALSE),'19_Расчет_аналитики'!BH1423*CapacityAge04*'19_Расчет_аналитики'!$F$1223,0)</f>
        <v/>
      </c>
      <c r="BI1535">
        <f>IF(IF('01_Вводные'!$B$296="Новый сезон",FALSE,FALSE),'19_Расчет_аналитики'!BI1423*CapacityAge04*'19_Расчет_аналитики'!$F$1223,0)</f>
        <v/>
      </c>
      <c r="BJ1535">
        <f>IF(IF('01_Вводные'!$B$296="Новый сезон",FALSE,FALSE),'19_Расчет_аналитики'!BJ1423*CapacityAge04*'19_Расчет_аналитики'!$F$1223,0)</f>
        <v/>
      </c>
      <c r="BK1535">
        <f>IF(IF('01_Вводные'!$B$296="Новый сезон",FALSE,FALSE),'19_Расчет_аналитики'!BK1423*CapacityAge04*'19_Расчет_аналитики'!$F$1223,0)</f>
        <v/>
      </c>
      <c r="BL1535">
        <f>IF(IF('01_Вводные'!$B$296="Новый сезон",FALSE,FALSE),'19_Расчет_аналитики'!BL1423*CapacityAge04*'19_Расчет_аналитики'!$F$1223,0)</f>
        <v/>
      </c>
      <c r="BM1535">
        <f>IF(IF('01_Вводные'!$B$296="Новый сезон",FALSE,FALSE),'19_Расчет_аналитики'!BM1423*CapacityAge04*'19_Расчет_аналитики'!$F$1223,0)</f>
        <v/>
      </c>
      <c r="BN1535">
        <f>IF(IF('01_Вводные'!$B$296="Новый сезон",FALSE,FALSE),'19_Расчет_аналитики'!BN1423*CapacityAge04*'19_Расчет_аналитики'!$F$1223,0)</f>
        <v/>
      </c>
      <c r="BO1535">
        <f>IF(IF('01_Вводные'!$B$296="Новый сезон",FALSE,FALSE),'19_Расчет_аналитики'!BO1423*CapacityAge04*'19_Расчет_аналитики'!$F$1223,0)</f>
        <v/>
      </c>
    </row>
    <row r="1536">
      <c r="B1536">
        <f>IF(IF('01_Вводные'!$B$296="Новый сезон",5-1&gt;MOD(MONTH('06_Сеть_и_дети'!B$3)-9,12),FALSE),'06_Сеть_и_дети'!B57*CapacityAge05*'19_Расчет_аналитики'!$F$1223,0)</f>
        <v/>
      </c>
      <c r="C1536">
        <f>IF(IF('01_Вводные'!$B$296="Новый сезон",5-1&gt;MOD(MONTH('06_Сеть_и_дети'!C$3)-9,12),FALSE),'06_Сеть_и_дети'!C57*CapacityAge05*'19_Расчет_аналитики'!$F$1223,0)</f>
        <v/>
      </c>
      <c r="D1536">
        <f>IF(IF('01_Вводные'!$B$296="Новый сезон",5-1&gt;MOD(MONTH('06_Сеть_и_дети'!D$3)-9,12),FALSE),'06_Сеть_и_дети'!D57*CapacityAge05*'19_Расчет_аналитики'!$F$1223,0)</f>
        <v/>
      </c>
      <c r="E1536">
        <f>IF(IF('01_Вводные'!$B$296="Новый сезон",5-1&gt;MOD(MONTH('06_Сеть_и_дети'!E$3)-9,12),FALSE),'06_Сеть_и_дети'!E57*CapacityAge05*'19_Расчет_аналитики'!$F$1223,0)</f>
        <v/>
      </c>
      <c r="F1536">
        <f>IF(IF('01_Вводные'!$B$296="Новый сезон",5-1&gt;MOD(MONTH('06_Сеть_и_дети'!F$3)-9,12),FALSE),'19_Расчет_аналитики'!F1424*CapacityAge05*'19_Расчет_аналитики'!$F$1223,0)</f>
        <v/>
      </c>
      <c r="G1536">
        <f>IF(IF('01_Вводные'!$B$296="Новый сезон",5-1&gt;MOD(MONTH('06_Сеть_и_дети'!G$3)-9,12),FALSE),'19_Расчет_аналитики'!G1424*CapacityAge05*'19_Расчет_аналитики'!$F$1223,0)</f>
        <v/>
      </c>
      <c r="H1536">
        <f>IF(IF('01_Вводные'!$B$296="Новый сезон",5-1&gt;MOD(MONTH('06_Сеть_и_дети'!H$3)-9,12),FALSE),'19_Расчет_аналитики'!H1424*CapacityAge05*'19_Расчет_аналитики'!$F$1223,0)</f>
        <v/>
      </c>
      <c r="I1536">
        <f>IF(IF('01_Вводные'!$B$296="Новый сезон",5-1&gt;MOD(MONTH('06_Сеть_и_дети'!I$3)-9,12),FALSE),'19_Расчет_аналитики'!I1424*CapacityAge05*'19_Расчет_аналитики'!$F$1223,0)</f>
        <v/>
      </c>
      <c r="J1536">
        <f>IF(IF('01_Вводные'!$B$296="Новый сезон",5-1&gt;MOD(MONTH('06_Сеть_и_дети'!J$3)-9,12),FALSE),'19_Расчет_аналитики'!J1424*CapacityAge05*'19_Расчет_аналитики'!$F$1223,0)</f>
        <v/>
      </c>
      <c r="K1536">
        <f>IF(IF('01_Вводные'!$B$296="Новый сезон",5-1&gt;MOD(MONTH('06_Сеть_и_дети'!K$3)-9,12),FALSE),'19_Расчет_аналитики'!K1424*CapacityAge05*'19_Расчет_аналитики'!$F$1223,0)</f>
        <v/>
      </c>
      <c r="L1536">
        <f>IF(IF('01_Вводные'!$B$296="Новый сезон",5-1&gt;MOD(MONTH('06_Сеть_и_дети'!L$3)-9,12),FALSE),'19_Расчет_аналитики'!L1424*CapacityAge05*'19_Расчет_аналитики'!$F$1223,0)</f>
        <v/>
      </c>
      <c r="M1536">
        <f>IF(IF('01_Вводные'!$B$296="Новый сезон",5-1&gt;MOD(MONTH('06_Сеть_и_дети'!M$3)-9,12),FALSE),'19_Расчет_аналитики'!M1424*CapacityAge05*'19_Расчет_аналитики'!$F$1223,0)</f>
        <v/>
      </c>
      <c r="N1536">
        <f>IF(IF('01_Вводные'!$B$296="Новый сезон",5-1&gt;MOD(MONTH('06_Сеть_и_дети'!N$3)-9,12),FALSE),'19_Расчет_аналитики'!N1424*CapacityAge05*'19_Расчет_аналитики'!$F$1223,0)</f>
        <v/>
      </c>
      <c r="O1536">
        <f>IF(IF('01_Вводные'!$B$296="Новый сезон",5-1&gt;MOD(MONTH('06_Сеть_и_дети'!O$3)-9,12),FALSE),'19_Расчет_аналитики'!O1424*CapacityAge05*'19_Расчет_аналитики'!$F$1223,0)</f>
        <v/>
      </c>
      <c r="P1536">
        <f>IF(IF('01_Вводные'!$B$296="Новый сезон",5-1&gt;MOD(MONTH('06_Сеть_и_дети'!P$3)-9,12),FALSE),'19_Расчет_аналитики'!P1424*CapacityAge05*'19_Расчет_аналитики'!$F$1223,0)</f>
        <v/>
      </c>
      <c r="Q1536">
        <f>IF(IF('01_Вводные'!$B$296="Новый сезон",5-1&gt;MOD(MONTH('06_Сеть_и_дети'!Q$3)-9,12),FALSE),'19_Расчет_аналитики'!Q1424*CapacityAge05*'19_Расчет_аналитики'!$F$1223,0)</f>
        <v/>
      </c>
      <c r="R1536">
        <f>IF(IF('01_Вводные'!$B$296="Новый сезон",5-1&gt;MOD(MONTH('06_Сеть_и_дети'!R$3)-9,12),FALSE),'19_Расчет_аналитики'!R1424*CapacityAge05*'19_Расчет_аналитики'!$F$1223,0)</f>
        <v/>
      </c>
      <c r="S1536">
        <f>IF(IF('01_Вводные'!$B$296="Новый сезон",5-1&gt;MOD(MONTH('06_Сеть_и_дети'!S$3)-9,12),FALSE),'19_Расчет_аналитики'!S1424*CapacityAge05*'19_Расчет_аналитики'!$F$1223,0)</f>
        <v/>
      </c>
      <c r="T1536">
        <f>IF(IF('01_Вводные'!$B$296="Новый сезон",5-1&gt;MOD(MONTH('06_Сеть_и_дети'!T$3)-9,12),FALSE),'19_Расчет_аналитики'!T1424*CapacityAge05*'19_Расчет_аналитики'!$F$1223,0)</f>
        <v/>
      </c>
      <c r="U1536">
        <f>IF(IF('01_Вводные'!$B$296="Новый сезон",5-1&gt;MOD(MONTH('06_Сеть_и_дети'!U$3)-9,12),FALSE),'19_Расчет_аналитики'!U1424*CapacityAge05*'19_Расчет_аналитики'!$F$1223,0)</f>
        <v/>
      </c>
      <c r="V1536">
        <f>IF(IF('01_Вводные'!$B$296="Новый сезон",5-1&gt;MOD(MONTH('06_Сеть_и_дети'!V$3)-9,12),FALSE),'19_Расчет_аналитики'!V1424*CapacityAge05*'19_Расчет_аналитики'!$F$1223,0)</f>
        <v/>
      </c>
      <c r="W1536">
        <f>IF(IF('01_Вводные'!$B$296="Новый сезон",5-1&gt;MOD(MONTH('06_Сеть_и_дети'!W$3)-9,12),FALSE),'19_Расчет_аналитики'!W1424*CapacityAge05*'19_Расчет_аналитики'!$F$1223,0)</f>
        <v/>
      </c>
      <c r="X1536">
        <f>IF(IF('01_Вводные'!$B$296="Новый сезон",5-1&gt;MOD(MONTH('06_Сеть_и_дети'!X$3)-9,12),FALSE),'19_Расчет_аналитики'!X1424*CapacityAge05*'19_Расчет_аналитики'!$F$1223,0)</f>
        <v/>
      </c>
      <c r="Y1536">
        <f>IF(IF('01_Вводные'!$B$296="Новый сезон",5-1&gt;MOD(MONTH('06_Сеть_и_дети'!Y$3)-9,12),FALSE),'19_Расчет_аналитики'!Y1424*CapacityAge05*'19_Расчет_аналитики'!$F$1223,0)</f>
        <v/>
      </c>
      <c r="Z1536">
        <f>IF(IF('01_Вводные'!$B$296="Новый сезон",5-1&gt;MOD(MONTH('06_Сеть_и_дети'!Z$3)-9,12),FALSE),'19_Расчет_аналитики'!Z1424*CapacityAge05*'19_Расчет_аналитики'!$F$1223,0)</f>
        <v/>
      </c>
      <c r="AA1536">
        <f>IF(IF('01_Вводные'!$B$296="Новый сезон",5-1&gt;MOD(MONTH('06_Сеть_и_дети'!AA$3)-9,12),FALSE),'19_Расчет_аналитики'!AA1424*CapacityAge05*'19_Расчет_аналитики'!$F$1223,0)</f>
        <v/>
      </c>
      <c r="AB1536">
        <f>IF(IF('01_Вводные'!$B$296="Новый сезон",5-1&gt;MOD(MONTH('06_Сеть_и_дети'!AB$3)-9,12),FALSE),'19_Расчет_аналитики'!AB1424*CapacityAge05*'19_Расчет_аналитики'!$F$1223,0)</f>
        <v/>
      </c>
      <c r="AC1536">
        <f>IF(IF('01_Вводные'!$B$296="Новый сезон",5-1&gt;MOD(MONTH('06_Сеть_и_дети'!AC$3)-9,12),FALSE),'19_Расчет_аналитики'!AC1424*CapacityAge05*'19_Расчет_аналитики'!$F$1223,0)</f>
        <v/>
      </c>
      <c r="AD1536">
        <f>IF(IF('01_Вводные'!$B$296="Новый сезон",5-1&gt;MOD(MONTH('06_Сеть_и_дети'!AD$3)-9,12),FALSE),'19_Расчет_аналитики'!AD1424*CapacityAge05*'19_Расчет_аналитики'!$F$1223,0)</f>
        <v/>
      </c>
      <c r="AE1536">
        <f>IF(IF('01_Вводные'!$B$296="Новый сезон",5-1&gt;MOD(MONTH('06_Сеть_и_дети'!AE$3)-9,12),FALSE),'19_Расчет_аналитики'!AE1424*CapacityAge05*'19_Расчет_аналитики'!$F$1223,0)</f>
        <v/>
      </c>
      <c r="AF1536">
        <f>IF(IF('01_Вводные'!$B$296="Новый сезон",5-1&gt;MOD(MONTH('06_Сеть_и_дети'!AF$3)-9,12),FALSE),'19_Расчет_аналитики'!AF1424*CapacityAge05*'19_Расчет_аналитики'!$F$1223,0)</f>
        <v/>
      </c>
      <c r="AG1536">
        <f>IF(IF('01_Вводные'!$B$296="Новый сезон",5-1&gt;MOD(MONTH('06_Сеть_и_дети'!AG$3)-9,12),FALSE),'19_Расчет_аналитики'!AG1424*CapacityAge05*'19_Расчет_аналитики'!$F$1223,0)</f>
        <v/>
      </c>
      <c r="AH1536">
        <f>IF(IF('01_Вводные'!$B$296="Новый сезон",5-1&gt;MOD(MONTH('06_Сеть_и_дети'!AH$3)-9,12),FALSE),'19_Расчет_аналитики'!AH1424*CapacityAge05*'19_Расчет_аналитики'!$F$1223,0)</f>
        <v/>
      </c>
      <c r="AI1536">
        <f>IF(IF('01_Вводные'!$B$296="Новый сезон",5-1&gt;MOD(MONTH('06_Сеть_и_дети'!AI$3)-9,12),FALSE),'19_Расчет_аналитики'!AI1424*CapacityAge05*'19_Расчет_аналитики'!$F$1223,0)</f>
        <v/>
      </c>
      <c r="AJ1536">
        <f>IF(IF('01_Вводные'!$B$296="Новый сезон",5-1&gt;MOD(MONTH('06_Сеть_и_дети'!AJ$3)-9,12),FALSE),'19_Расчет_аналитики'!AJ1424*CapacityAge05*'19_Расчет_аналитики'!$F$1223,0)</f>
        <v/>
      </c>
      <c r="AK1536">
        <f>IF(IF('01_Вводные'!$B$296="Новый сезон",5-1&gt;MOD(MONTH('06_Сеть_и_дети'!AK$3)-9,12),FALSE),'19_Расчет_аналитики'!AK1424*CapacityAge05*'19_Расчет_аналитики'!$F$1223,0)</f>
        <v/>
      </c>
      <c r="AL1536">
        <f>IF(IF('01_Вводные'!$B$296="Новый сезон",5-1&gt;MOD(MONTH('06_Сеть_и_дети'!AL$3)-9,12),FALSE),'19_Расчет_аналитики'!AL1424*CapacityAge05*'19_Расчет_аналитики'!$F$1223,0)</f>
        <v/>
      </c>
      <c r="AM1536">
        <f>IF(IF('01_Вводные'!$B$296="Новый сезон",5-1&gt;MOD(MONTH('06_Сеть_и_дети'!AM$3)-9,12),FALSE),'19_Расчет_аналитики'!AM1424*CapacityAge05*'19_Расчет_аналитики'!$F$1223,0)</f>
        <v/>
      </c>
      <c r="AN1536">
        <f>IF(IF('01_Вводные'!$B$296="Новый сезон",5-1&gt;MOD(MONTH('06_Сеть_и_дети'!AN$3)-9,12),FALSE),'19_Расчет_аналитики'!AN1424*CapacityAge05*'19_Расчет_аналитики'!$F$1223,0)</f>
        <v/>
      </c>
      <c r="AO1536">
        <f>IF(IF('01_Вводные'!$B$296="Новый сезон",5-1&gt;MOD(MONTH('06_Сеть_и_дети'!AO$3)-9,12),FALSE),'19_Расчет_аналитики'!AO1424*CapacityAge05*'19_Расчет_аналитики'!$F$1223,0)</f>
        <v/>
      </c>
      <c r="AP1536">
        <f>IF(IF('01_Вводные'!$B$296="Новый сезон",5-1&gt;MOD(MONTH('06_Сеть_и_дети'!AP$3)-9,12),FALSE),'19_Расчет_аналитики'!AP1424*CapacityAge05*'19_Расчет_аналитики'!$F$1223,0)</f>
        <v/>
      </c>
      <c r="AQ1536">
        <f>IF(IF('01_Вводные'!$B$296="Новый сезон",5-1&gt;MOD(MONTH('06_Сеть_и_дети'!AQ$3)-9,12),FALSE),'19_Расчет_аналитики'!AQ1424*CapacityAge05*'19_Расчет_аналитики'!$F$1223,0)</f>
        <v/>
      </c>
      <c r="AR1536">
        <f>IF(IF('01_Вводные'!$B$296="Новый сезон",5-1&gt;MOD(MONTH('06_Сеть_и_дети'!AR$3)-9,12),FALSE),'19_Расчет_аналитики'!AR1424*CapacityAge05*'19_Расчет_аналитики'!$F$1223,0)</f>
        <v/>
      </c>
      <c r="AS1536">
        <f>IF(IF('01_Вводные'!$B$296="Новый сезон",5-1&gt;MOD(MONTH('06_Сеть_и_дети'!AS$3)-9,12),FALSE),'19_Расчет_аналитики'!AS1424*CapacityAge05*'19_Расчет_аналитики'!$F$1223,0)</f>
        <v/>
      </c>
      <c r="AT1536">
        <f>IF(IF('01_Вводные'!$B$296="Новый сезон",5-1&gt;MOD(MONTH('06_Сеть_и_дети'!AT$3)-9,12),FALSE),'19_Расчет_аналитики'!AT1424*CapacityAge05*'19_Расчет_аналитики'!$F$1223,0)</f>
        <v/>
      </c>
      <c r="AU1536">
        <f>IF(IF('01_Вводные'!$B$296="Новый сезон",5-1&gt;MOD(MONTH('06_Сеть_и_дети'!AU$3)-9,12),FALSE),'19_Расчет_аналитики'!AU1424*CapacityAge05*'19_Расчет_аналитики'!$F$1223,0)</f>
        <v/>
      </c>
      <c r="AV1536">
        <f>IF(IF('01_Вводные'!$B$296="Новый сезон",5-1&gt;MOD(MONTH('06_Сеть_и_дети'!AV$3)-9,12),FALSE),'19_Расчет_аналитики'!AV1424*CapacityAge05*'19_Расчет_аналитики'!$F$1223,0)</f>
        <v/>
      </c>
      <c r="AW1536">
        <f>IF(IF('01_Вводные'!$B$296="Новый сезон",5-1&gt;MOD(MONTH('06_Сеть_и_дети'!AW$3)-9,12),FALSE),'19_Расчет_аналитики'!AW1424*CapacityAge05*'19_Расчет_аналитики'!$F$1223,0)</f>
        <v/>
      </c>
      <c r="AX1536">
        <f>IF(IF('01_Вводные'!$B$296="Новый сезон",5-1&gt;MOD(MONTH('06_Сеть_и_дети'!AX$3)-9,12),FALSE),'19_Расчет_аналитики'!AX1424*CapacityAge05*'19_Расчет_аналитики'!$F$1223,0)</f>
        <v/>
      </c>
      <c r="AY1536">
        <f>IF(IF('01_Вводные'!$B$296="Новый сезон",5-1&gt;MOD(MONTH('06_Сеть_и_дети'!AY$3)-9,12),FALSE),'19_Расчет_аналитики'!AY1424*CapacityAge05*'19_Расчет_аналитики'!$F$1223,0)</f>
        <v/>
      </c>
      <c r="AZ1536">
        <f>IF(IF('01_Вводные'!$B$296="Новый сезон",5-1&gt;MOD(MONTH('06_Сеть_и_дети'!AZ$3)-9,12),FALSE),'19_Расчет_аналитики'!AZ1424*CapacityAge05*'19_Расчет_аналитики'!$F$1223,0)</f>
        <v/>
      </c>
      <c r="BA1536">
        <f>IF(IF('01_Вводные'!$B$296="Новый сезон",5-1&gt;MOD(MONTH('06_Сеть_и_дети'!BA$3)-9,12),FALSE),'19_Расчет_аналитики'!BA1424*CapacityAge05*'19_Расчет_аналитики'!$F$1223,0)</f>
        <v/>
      </c>
      <c r="BB1536">
        <f>IF(IF('01_Вводные'!$B$296="Новый сезон",5-1&gt;MOD(MONTH('06_Сеть_и_дети'!BB$3)-9,12),FALSE),'19_Расчет_аналитики'!BB1424*CapacityAge05*'19_Расчет_аналитики'!$F$1223,0)</f>
        <v/>
      </c>
      <c r="BC1536">
        <f>IF(IF('01_Вводные'!$B$296="Новый сезон",5-1&gt;MOD(MONTH('06_Сеть_и_дети'!BC$3)-9,12),FALSE),'19_Расчет_аналитики'!BC1424*CapacityAge05*'19_Расчет_аналитики'!$F$1223,0)</f>
        <v/>
      </c>
      <c r="BD1536">
        <f>IF(IF('01_Вводные'!$B$296="Новый сезон",5-1&gt;MOD(MONTH('06_Сеть_и_дети'!BD$3)-9,12),FALSE),'19_Расчет_аналитики'!BD1424*CapacityAge05*'19_Расчет_аналитики'!$F$1223,0)</f>
        <v/>
      </c>
      <c r="BE1536">
        <f>IF(IF('01_Вводные'!$B$296="Новый сезон",5-1&gt;MOD(MONTH('06_Сеть_и_дети'!BE$3)-9,12),FALSE),'19_Расчет_аналитики'!BE1424*CapacityAge05*'19_Расчет_аналитики'!$F$1223,0)</f>
        <v/>
      </c>
      <c r="BF1536">
        <f>IF(IF('01_Вводные'!$B$296="Новый сезон",5-1&gt;MOD(MONTH('06_Сеть_и_дети'!BF$3)-9,12),FALSE),'19_Расчет_аналитики'!BF1424*CapacityAge05*'19_Расчет_аналитики'!$F$1223,0)</f>
        <v/>
      </c>
      <c r="BG1536">
        <f>IF(IF('01_Вводные'!$B$296="Новый сезон",5-1&gt;MOD(MONTH('06_Сеть_и_дети'!BG$3)-9,12),FALSE),'19_Расчет_аналитики'!BG1424*CapacityAge05*'19_Расчет_аналитики'!$F$1223,0)</f>
        <v/>
      </c>
      <c r="BH1536">
        <f>IF(IF('01_Вводные'!$B$296="Новый сезон",5-1&gt;MOD(MONTH('06_Сеть_и_дети'!BH$3)-9,12),FALSE),'19_Расчет_аналитики'!BH1424*CapacityAge05*'19_Расчет_аналитики'!$F$1223,0)</f>
        <v/>
      </c>
      <c r="BI1536">
        <f>IF(IF('01_Вводные'!$B$296="Новый сезон",5-1&gt;MOD(MONTH('06_Сеть_и_дети'!BI$3)-9,12),FALSE),'19_Расчет_аналитики'!BI1424*CapacityAge05*'19_Расчет_аналитики'!$F$1223,0)</f>
        <v/>
      </c>
      <c r="BJ1536">
        <f>IF(IF('01_Вводные'!$B$296="Новый сезон",5-1&gt;MOD(MONTH('06_Сеть_и_дети'!BJ$3)-9,12),FALSE),'19_Расчет_аналитики'!BJ1424*CapacityAge05*'19_Расчет_аналитики'!$F$1223,0)</f>
        <v/>
      </c>
      <c r="BK1536">
        <f>IF(IF('01_Вводные'!$B$296="Новый сезон",5-1&gt;MOD(MONTH('06_Сеть_и_дети'!BK$3)-9,12),FALSE),'19_Расчет_аналитики'!BK1424*CapacityAge05*'19_Расчет_аналитики'!$F$1223,0)</f>
        <v/>
      </c>
      <c r="BL1536">
        <f>IF(IF('01_Вводные'!$B$296="Новый сезон",5-1&gt;MOD(MONTH('06_Сеть_и_дети'!BL$3)-9,12),FALSE),'19_Расчет_аналитики'!BL1424*CapacityAge05*'19_Расчет_аналитики'!$F$1223,0)</f>
        <v/>
      </c>
      <c r="BM1536">
        <f>IF(IF('01_Вводные'!$B$296="Новый сезон",5-1&gt;MOD(MONTH('06_Сеть_и_дети'!BM$3)-9,12),FALSE),'19_Расчет_аналитики'!BM1424*CapacityAge05*'19_Расчет_аналитики'!$F$1223,0)</f>
        <v/>
      </c>
      <c r="BN1536">
        <f>IF(IF('01_Вводные'!$B$296="Новый сезон",5-1&gt;MOD(MONTH('06_Сеть_и_дети'!BN$3)-9,12),FALSE),'19_Расчет_аналитики'!BN1424*CapacityAge05*'19_Расчет_аналитики'!$F$1223,0)</f>
        <v/>
      </c>
      <c r="BO1536">
        <f>IF(IF('01_Вводные'!$B$296="Новый сезон",5-1&gt;MOD(MONTH('06_Сеть_и_дети'!BO$3)-9,12),FALSE),'19_Расчет_аналитики'!BO1424*CapacityAge05*'19_Расчет_аналитики'!$F$1223,0)</f>
        <v/>
      </c>
    </row>
    <row r="1537">
      <c r="B1537">
        <f>IF(IF('01_Вводные'!$B$296="Новый сезон",6-1&gt;MOD(MONTH('06_Сеть_и_дети'!B$3)-9,12),FALSE),'06_Сеть_и_дети'!B58*CapacityAge06*'19_Расчет_аналитики'!$F$1223,0)</f>
        <v/>
      </c>
      <c r="C1537">
        <f>IF(IF('01_Вводные'!$B$296="Новый сезон",6-1&gt;MOD(MONTH('06_Сеть_и_дети'!C$3)-9,12),FALSE),'06_Сеть_и_дети'!C58*CapacityAge06*'19_Расчет_аналитики'!$F$1223,0)</f>
        <v/>
      </c>
      <c r="D1537">
        <f>IF(IF('01_Вводные'!$B$296="Новый сезон",6-1&gt;MOD(MONTH('06_Сеть_и_дети'!D$3)-9,12),FALSE),'06_Сеть_и_дети'!D58*CapacityAge06*'19_Расчет_аналитики'!$F$1223,0)</f>
        <v/>
      </c>
      <c r="E1537">
        <f>IF(IF('01_Вводные'!$B$296="Новый сезон",6-1&gt;MOD(MONTH('06_Сеть_и_дети'!E$3)-9,12),FALSE),'06_Сеть_и_дети'!E58*CapacityAge06*'19_Расчет_аналитики'!$F$1223,0)</f>
        <v/>
      </c>
      <c r="F1537">
        <f>IF(IF('01_Вводные'!$B$296="Новый сезон",6-1&gt;MOD(MONTH('06_Сеть_и_дети'!F$3)-9,12),FALSE),'06_Сеть_и_дети'!F58*CapacityAge06*'19_Расчет_аналитики'!$F$1223,0)</f>
        <v/>
      </c>
      <c r="G1537">
        <f>IF(IF('01_Вводные'!$B$296="Новый сезон",6-1&gt;MOD(MONTH('06_Сеть_и_дети'!G$3)-9,12),FALSE),'19_Расчет_аналитики'!G1425*CapacityAge06*'19_Расчет_аналитики'!$F$1223,0)</f>
        <v/>
      </c>
      <c r="H1537">
        <f>IF(IF('01_Вводные'!$B$296="Новый сезон",6-1&gt;MOD(MONTH('06_Сеть_и_дети'!H$3)-9,12),FALSE),'19_Расчет_аналитики'!H1425*CapacityAge06*'19_Расчет_аналитики'!$F$1223,0)</f>
        <v/>
      </c>
      <c r="I1537">
        <f>IF(IF('01_Вводные'!$B$296="Новый сезон",6-1&gt;MOD(MONTH('06_Сеть_и_дети'!I$3)-9,12),FALSE),'19_Расчет_аналитики'!I1425*CapacityAge06*'19_Расчет_аналитики'!$F$1223,0)</f>
        <v/>
      </c>
      <c r="J1537">
        <f>IF(IF('01_Вводные'!$B$296="Новый сезон",6-1&gt;MOD(MONTH('06_Сеть_и_дети'!J$3)-9,12),FALSE),'19_Расчет_аналитики'!J1425*CapacityAge06*'19_Расчет_аналитики'!$F$1223,0)</f>
        <v/>
      </c>
      <c r="K1537">
        <f>IF(IF('01_Вводные'!$B$296="Новый сезон",6-1&gt;MOD(MONTH('06_Сеть_и_дети'!K$3)-9,12),FALSE),'19_Расчет_аналитики'!K1425*CapacityAge06*'19_Расчет_аналитики'!$F$1223,0)</f>
        <v/>
      </c>
      <c r="L1537">
        <f>IF(IF('01_Вводные'!$B$296="Новый сезон",6-1&gt;MOD(MONTH('06_Сеть_и_дети'!L$3)-9,12),FALSE),'19_Расчет_аналитики'!L1425*CapacityAge06*'19_Расчет_аналитики'!$F$1223,0)</f>
        <v/>
      </c>
      <c r="M1537">
        <f>IF(IF('01_Вводные'!$B$296="Новый сезон",6-1&gt;MOD(MONTH('06_Сеть_и_дети'!M$3)-9,12),FALSE),'19_Расчет_аналитики'!M1425*CapacityAge06*'19_Расчет_аналитики'!$F$1223,0)</f>
        <v/>
      </c>
      <c r="N1537">
        <f>IF(IF('01_Вводные'!$B$296="Новый сезон",6-1&gt;MOD(MONTH('06_Сеть_и_дети'!N$3)-9,12),FALSE),'19_Расчет_аналитики'!N1425*CapacityAge06*'19_Расчет_аналитики'!$F$1223,0)</f>
        <v/>
      </c>
      <c r="O1537">
        <f>IF(IF('01_Вводные'!$B$296="Новый сезон",6-1&gt;MOD(MONTH('06_Сеть_и_дети'!O$3)-9,12),FALSE),'19_Расчет_аналитики'!O1425*CapacityAge06*'19_Расчет_аналитики'!$F$1223,0)</f>
        <v/>
      </c>
      <c r="P1537">
        <f>IF(IF('01_Вводные'!$B$296="Новый сезон",6-1&gt;MOD(MONTH('06_Сеть_и_дети'!P$3)-9,12),FALSE),'19_Расчет_аналитики'!P1425*CapacityAge06*'19_Расчет_аналитики'!$F$1223,0)</f>
        <v/>
      </c>
      <c r="Q1537">
        <f>IF(IF('01_Вводные'!$B$296="Новый сезон",6-1&gt;MOD(MONTH('06_Сеть_и_дети'!Q$3)-9,12),FALSE),'19_Расчет_аналитики'!Q1425*CapacityAge06*'19_Расчет_аналитики'!$F$1223,0)</f>
        <v/>
      </c>
      <c r="R1537">
        <f>IF(IF('01_Вводные'!$B$296="Новый сезон",6-1&gt;MOD(MONTH('06_Сеть_и_дети'!R$3)-9,12),FALSE),'19_Расчет_аналитики'!R1425*CapacityAge06*'19_Расчет_аналитики'!$F$1223,0)</f>
        <v/>
      </c>
      <c r="S1537">
        <f>IF(IF('01_Вводные'!$B$296="Новый сезон",6-1&gt;MOD(MONTH('06_Сеть_и_дети'!S$3)-9,12),FALSE),'19_Расчет_аналитики'!S1425*CapacityAge06*'19_Расчет_аналитики'!$F$1223,0)</f>
        <v/>
      </c>
      <c r="T1537">
        <f>IF(IF('01_Вводные'!$B$296="Новый сезон",6-1&gt;MOD(MONTH('06_Сеть_и_дети'!T$3)-9,12),FALSE),'19_Расчет_аналитики'!T1425*CapacityAge06*'19_Расчет_аналитики'!$F$1223,0)</f>
        <v/>
      </c>
      <c r="U1537">
        <f>IF(IF('01_Вводные'!$B$296="Новый сезон",6-1&gt;MOD(MONTH('06_Сеть_и_дети'!U$3)-9,12),FALSE),'19_Расчет_аналитики'!U1425*CapacityAge06*'19_Расчет_аналитики'!$F$1223,0)</f>
        <v/>
      </c>
      <c r="V1537">
        <f>IF(IF('01_Вводные'!$B$296="Новый сезон",6-1&gt;MOD(MONTH('06_Сеть_и_дети'!V$3)-9,12),FALSE),'19_Расчет_аналитики'!V1425*CapacityAge06*'19_Расчет_аналитики'!$F$1223,0)</f>
        <v/>
      </c>
      <c r="W1537">
        <f>IF(IF('01_Вводные'!$B$296="Новый сезон",6-1&gt;MOD(MONTH('06_Сеть_и_дети'!W$3)-9,12),FALSE),'19_Расчет_аналитики'!W1425*CapacityAge06*'19_Расчет_аналитики'!$F$1223,0)</f>
        <v/>
      </c>
      <c r="X1537">
        <f>IF(IF('01_Вводные'!$B$296="Новый сезон",6-1&gt;MOD(MONTH('06_Сеть_и_дети'!X$3)-9,12),FALSE),'19_Расчет_аналитики'!X1425*CapacityAge06*'19_Расчет_аналитики'!$F$1223,0)</f>
        <v/>
      </c>
      <c r="Y1537">
        <f>IF(IF('01_Вводные'!$B$296="Новый сезон",6-1&gt;MOD(MONTH('06_Сеть_и_дети'!Y$3)-9,12),FALSE),'19_Расчет_аналитики'!Y1425*CapacityAge06*'19_Расчет_аналитики'!$F$1223,0)</f>
        <v/>
      </c>
      <c r="Z1537">
        <f>IF(IF('01_Вводные'!$B$296="Новый сезон",6-1&gt;MOD(MONTH('06_Сеть_и_дети'!Z$3)-9,12),FALSE),'19_Расчет_аналитики'!Z1425*CapacityAge06*'19_Расчет_аналитики'!$F$1223,0)</f>
        <v/>
      </c>
      <c r="AA1537">
        <f>IF(IF('01_Вводные'!$B$296="Новый сезон",6-1&gt;MOD(MONTH('06_Сеть_и_дети'!AA$3)-9,12),FALSE),'19_Расчет_аналитики'!AA1425*CapacityAge06*'19_Расчет_аналитики'!$F$1223,0)</f>
        <v/>
      </c>
      <c r="AB1537">
        <f>IF(IF('01_Вводные'!$B$296="Новый сезон",6-1&gt;MOD(MONTH('06_Сеть_и_дети'!AB$3)-9,12),FALSE),'19_Расчет_аналитики'!AB1425*CapacityAge06*'19_Расчет_аналитики'!$F$1223,0)</f>
        <v/>
      </c>
      <c r="AC1537">
        <f>IF(IF('01_Вводные'!$B$296="Новый сезон",6-1&gt;MOD(MONTH('06_Сеть_и_дети'!AC$3)-9,12),FALSE),'19_Расчет_аналитики'!AC1425*CapacityAge06*'19_Расчет_аналитики'!$F$1223,0)</f>
        <v/>
      </c>
      <c r="AD1537">
        <f>IF(IF('01_Вводные'!$B$296="Новый сезон",6-1&gt;MOD(MONTH('06_Сеть_и_дети'!AD$3)-9,12),FALSE),'19_Расчет_аналитики'!AD1425*CapacityAge06*'19_Расчет_аналитики'!$F$1223,0)</f>
        <v/>
      </c>
      <c r="AE1537">
        <f>IF(IF('01_Вводные'!$B$296="Новый сезон",6-1&gt;MOD(MONTH('06_Сеть_и_дети'!AE$3)-9,12),FALSE),'19_Расчет_аналитики'!AE1425*CapacityAge06*'19_Расчет_аналитики'!$F$1223,0)</f>
        <v/>
      </c>
      <c r="AF1537">
        <f>IF(IF('01_Вводные'!$B$296="Новый сезон",6-1&gt;MOD(MONTH('06_Сеть_и_дети'!AF$3)-9,12),FALSE),'19_Расчет_аналитики'!AF1425*CapacityAge06*'19_Расчет_аналитики'!$F$1223,0)</f>
        <v/>
      </c>
      <c r="AG1537">
        <f>IF(IF('01_Вводные'!$B$296="Новый сезон",6-1&gt;MOD(MONTH('06_Сеть_и_дети'!AG$3)-9,12),FALSE),'19_Расчет_аналитики'!AG1425*CapacityAge06*'19_Расчет_аналитики'!$F$1223,0)</f>
        <v/>
      </c>
      <c r="AH1537">
        <f>IF(IF('01_Вводные'!$B$296="Новый сезон",6-1&gt;MOD(MONTH('06_Сеть_и_дети'!AH$3)-9,12),FALSE),'19_Расчет_аналитики'!AH1425*CapacityAge06*'19_Расчет_аналитики'!$F$1223,0)</f>
        <v/>
      </c>
      <c r="AI1537">
        <f>IF(IF('01_Вводные'!$B$296="Новый сезон",6-1&gt;MOD(MONTH('06_Сеть_и_дети'!AI$3)-9,12),FALSE),'19_Расчет_аналитики'!AI1425*CapacityAge06*'19_Расчет_аналитики'!$F$1223,0)</f>
        <v/>
      </c>
      <c r="AJ1537">
        <f>IF(IF('01_Вводные'!$B$296="Новый сезон",6-1&gt;MOD(MONTH('06_Сеть_и_дети'!AJ$3)-9,12),FALSE),'19_Расчет_аналитики'!AJ1425*CapacityAge06*'19_Расчет_аналитики'!$F$1223,0)</f>
        <v/>
      </c>
      <c r="AK1537">
        <f>IF(IF('01_Вводные'!$B$296="Новый сезон",6-1&gt;MOD(MONTH('06_Сеть_и_дети'!AK$3)-9,12),FALSE),'19_Расчет_аналитики'!AK1425*CapacityAge06*'19_Расчет_аналитики'!$F$1223,0)</f>
        <v/>
      </c>
      <c r="AL1537">
        <f>IF(IF('01_Вводные'!$B$296="Новый сезон",6-1&gt;MOD(MONTH('06_Сеть_и_дети'!AL$3)-9,12),FALSE),'19_Расчет_аналитики'!AL1425*CapacityAge06*'19_Расчет_аналитики'!$F$1223,0)</f>
        <v/>
      </c>
      <c r="AM1537">
        <f>IF(IF('01_Вводные'!$B$296="Новый сезон",6-1&gt;MOD(MONTH('06_Сеть_и_дети'!AM$3)-9,12),FALSE),'19_Расчет_аналитики'!AM1425*CapacityAge06*'19_Расчет_аналитики'!$F$1223,0)</f>
        <v/>
      </c>
      <c r="AN1537">
        <f>IF(IF('01_Вводные'!$B$296="Новый сезон",6-1&gt;MOD(MONTH('06_Сеть_и_дети'!AN$3)-9,12),FALSE),'19_Расчет_аналитики'!AN1425*CapacityAge06*'19_Расчет_аналитики'!$F$1223,0)</f>
        <v/>
      </c>
      <c r="AO1537">
        <f>IF(IF('01_Вводные'!$B$296="Новый сезон",6-1&gt;MOD(MONTH('06_Сеть_и_дети'!AO$3)-9,12),FALSE),'19_Расчет_аналитики'!AO1425*CapacityAge06*'19_Расчет_аналитики'!$F$1223,0)</f>
        <v/>
      </c>
      <c r="AP1537">
        <f>IF(IF('01_Вводные'!$B$296="Новый сезон",6-1&gt;MOD(MONTH('06_Сеть_и_дети'!AP$3)-9,12),FALSE),'19_Расчет_аналитики'!AP1425*CapacityAge06*'19_Расчет_аналитики'!$F$1223,0)</f>
        <v/>
      </c>
      <c r="AQ1537">
        <f>IF(IF('01_Вводные'!$B$296="Новый сезон",6-1&gt;MOD(MONTH('06_Сеть_и_дети'!AQ$3)-9,12),FALSE),'19_Расчет_аналитики'!AQ1425*CapacityAge06*'19_Расчет_аналитики'!$F$1223,0)</f>
        <v/>
      </c>
      <c r="AR1537">
        <f>IF(IF('01_Вводные'!$B$296="Новый сезон",6-1&gt;MOD(MONTH('06_Сеть_и_дети'!AR$3)-9,12),FALSE),'19_Расчет_аналитики'!AR1425*CapacityAge06*'19_Расчет_аналитики'!$F$1223,0)</f>
        <v/>
      </c>
      <c r="AS1537">
        <f>IF(IF('01_Вводные'!$B$296="Новый сезон",6-1&gt;MOD(MONTH('06_Сеть_и_дети'!AS$3)-9,12),FALSE),'19_Расчет_аналитики'!AS1425*CapacityAge06*'19_Расчет_аналитики'!$F$1223,0)</f>
        <v/>
      </c>
      <c r="AT1537">
        <f>IF(IF('01_Вводные'!$B$296="Новый сезон",6-1&gt;MOD(MONTH('06_Сеть_и_дети'!AT$3)-9,12),FALSE),'19_Расчет_аналитики'!AT1425*CapacityAge06*'19_Расчет_аналитики'!$F$1223,0)</f>
        <v/>
      </c>
      <c r="AU1537">
        <f>IF(IF('01_Вводные'!$B$296="Новый сезон",6-1&gt;MOD(MONTH('06_Сеть_и_дети'!AU$3)-9,12),FALSE),'19_Расчет_аналитики'!AU1425*CapacityAge06*'19_Расчет_аналитики'!$F$1223,0)</f>
        <v/>
      </c>
      <c r="AV1537">
        <f>IF(IF('01_Вводные'!$B$296="Новый сезон",6-1&gt;MOD(MONTH('06_Сеть_и_дети'!AV$3)-9,12),FALSE),'19_Расчет_аналитики'!AV1425*CapacityAge06*'19_Расчет_аналитики'!$F$1223,0)</f>
        <v/>
      </c>
      <c r="AW1537">
        <f>IF(IF('01_Вводные'!$B$296="Новый сезон",6-1&gt;MOD(MONTH('06_Сеть_и_дети'!AW$3)-9,12),FALSE),'19_Расчет_аналитики'!AW1425*CapacityAge06*'19_Расчет_аналитики'!$F$1223,0)</f>
        <v/>
      </c>
      <c r="AX1537">
        <f>IF(IF('01_Вводные'!$B$296="Новый сезон",6-1&gt;MOD(MONTH('06_Сеть_и_дети'!AX$3)-9,12),FALSE),'19_Расчет_аналитики'!AX1425*CapacityAge06*'19_Расчет_аналитики'!$F$1223,0)</f>
        <v/>
      </c>
      <c r="AY1537">
        <f>IF(IF('01_Вводные'!$B$296="Новый сезон",6-1&gt;MOD(MONTH('06_Сеть_и_дети'!AY$3)-9,12),FALSE),'19_Расчет_аналитики'!AY1425*CapacityAge06*'19_Расчет_аналитики'!$F$1223,0)</f>
        <v/>
      </c>
      <c r="AZ1537">
        <f>IF(IF('01_Вводные'!$B$296="Новый сезон",6-1&gt;MOD(MONTH('06_Сеть_и_дети'!AZ$3)-9,12),FALSE),'19_Расчет_аналитики'!AZ1425*CapacityAge06*'19_Расчет_аналитики'!$F$1223,0)</f>
        <v/>
      </c>
      <c r="BA1537">
        <f>IF(IF('01_Вводные'!$B$296="Новый сезон",6-1&gt;MOD(MONTH('06_Сеть_и_дети'!BA$3)-9,12),FALSE),'19_Расчет_аналитики'!BA1425*CapacityAge06*'19_Расчет_аналитики'!$F$1223,0)</f>
        <v/>
      </c>
      <c r="BB1537">
        <f>IF(IF('01_Вводные'!$B$296="Новый сезон",6-1&gt;MOD(MONTH('06_Сеть_и_дети'!BB$3)-9,12),FALSE),'19_Расчет_аналитики'!BB1425*CapacityAge06*'19_Расчет_аналитики'!$F$1223,0)</f>
        <v/>
      </c>
      <c r="BC1537">
        <f>IF(IF('01_Вводные'!$B$296="Новый сезон",6-1&gt;MOD(MONTH('06_Сеть_и_дети'!BC$3)-9,12),FALSE),'19_Расчет_аналитики'!BC1425*CapacityAge06*'19_Расчет_аналитики'!$F$1223,0)</f>
        <v/>
      </c>
      <c r="BD1537">
        <f>IF(IF('01_Вводные'!$B$296="Новый сезон",6-1&gt;MOD(MONTH('06_Сеть_и_дети'!BD$3)-9,12),FALSE),'19_Расчет_аналитики'!BD1425*CapacityAge06*'19_Расчет_аналитики'!$F$1223,0)</f>
        <v/>
      </c>
      <c r="BE1537">
        <f>IF(IF('01_Вводные'!$B$296="Новый сезон",6-1&gt;MOD(MONTH('06_Сеть_и_дети'!BE$3)-9,12),FALSE),'19_Расчет_аналитики'!BE1425*CapacityAge06*'19_Расчет_аналитики'!$F$1223,0)</f>
        <v/>
      </c>
      <c r="BF1537">
        <f>IF(IF('01_Вводные'!$B$296="Новый сезон",6-1&gt;MOD(MONTH('06_Сеть_и_дети'!BF$3)-9,12),FALSE),'19_Расчет_аналитики'!BF1425*CapacityAge06*'19_Расчет_аналитики'!$F$1223,0)</f>
        <v/>
      </c>
      <c r="BG1537">
        <f>IF(IF('01_Вводные'!$B$296="Новый сезон",6-1&gt;MOD(MONTH('06_Сеть_и_дети'!BG$3)-9,12),FALSE),'19_Расчет_аналитики'!BG1425*CapacityAge06*'19_Расчет_аналитики'!$F$1223,0)</f>
        <v/>
      </c>
      <c r="BH1537">
        <f>IF(IF('01_Вводные'!$B$296="Новый сезон",6-1&gt;MOD(MONTH('06_Сеть_и_дети'!BH$3)-9,12),FALSE),'19_Расчет_аналитики'!BH1425*CapacityAge06*'19_Расчет_аналитики'!$F$1223,0)</f>
        <v/>
      </c>
      <c r="BI1537">
        <f>IF(IF('01_Вводные'!$B$296="Новый сезон",6-1&gt;MOD(MONTH('06_Сеть_и_дети'!BI$3)-9,12),FALSE),'19_Расчет_аналитики'!BI1425*CapacityAge06*'19_Расчет_аналитики'!$F$1223,0)</f>
        <v/>
      </c>
      <c r="BJ1537">
        <f>IF(IF('01_Вводные'!$B$296="Новый сезон",6-1&gt;MOD(MONTH('06_Сеть_и_дети'!BJ$3)-9,12),FALSE),'19_Расчет_аналитики'!BJ1425*CapacityAge06*'19_Расчет_аналитики'!$F$1223,0)</f>
        <v/>
      </c>
      <c r="BK1537">
        <f>IF(IF('01_Вводные'!$B$296="Новый сезон",6-1&gt;MOD(MONTH('06_Сеть_и_дети'!BK$3)-9,12),FALSE),'19_Расчет_аналитики'!BK1425*CapacityAge06*'19_Расчет_аналитики'!$F$1223,0)</f>
        <v/>
      </c>
      <c r="BL1537">
        <f>IF(IF('01_Вводные'!$B$296="Новый сезон",6-1&gt;MOD(MONTH('06_Сеть_и_дети'!BL$3)-9,12),FALSE),'19_Расчет_аналитики'!BL1425*CapacityAge06*'19_Расчет_аналитики'!$F$1223,0)</f>
        <v/>
      </c>
      <c r="BM1537">
        <f>IF(IF('01_Вводные'!$B$296="Новый сезон",6-1&gt;MOD(MONTH('06_Сеть_и_дети'!BM$3)-9,12),FALSE),'19_Расчет_аналитики'!BM1425*CapacityAge06*'19_Расчет_аналитики'!$F$1223,0)</f>
        <v/>
      </c>
      <c r="BN1537">
        <f>IF(IF('01_Вводные'!$B$296="Новый сезон",6-1&gt;MOD(MONTH('06_Сеть_и_дети'!BN$3)-9,12),FALSE),'19_Расчет_аналитики'!BN1425*CapacityAge06*'19_Расчет_аналитики'!$F$1223,0)</f>
        <v/>
      </c>
      <c r="BO1537">
        <f>IF(IF('01_Вводные'!$B$296="Новый сезон",6-1&gt;MOD(MONTH('06_Сеть_и_дети'!BO$3)-9,12),FALSE),'19_Расчет_аналитики'!BO1425*CapacityAge06*'19_Расчет_аналитики'!$F$1223,0)</f>
        <v/>
      </c>
    </row>
    <row r="1538">
      <c r="B1538">
        <f>IF(IF('01_Вводные'!$B$296="Новый сезон",7-1&gt;MOD(MONTH('06_Сеть_и_дети'!B$3)-9,12),FALSE),'06_Сеть_и_дети'!B59*CapacityAge07*'19_Расчет_аналитики'!$F$1223,0)</f>
        <v/>
      </c>
      <c r="C1538">
        <f>IF(IF('01_Вводные'!$B$296="Новый сезон",7-1&gt;MOD(MONTH('06_Сеть_и_дети'!C$3)-9,12),FALSE),'06_Сеть_и_дети'!C59*CapacityAge07*'19_Расчет_аналитики'!$F$1223,0)</f>
        <v/>
      </c>
      <c r="D1538">
        <f>IF(IF('01_Вводные'!$B$296="Новый сезон",7-1&gt;MOD(MONTH('06_Сеть_и_дети'!D$3)-9,12),FALSE),'06_Сеть_и_дети'!D59*CapacityAge07*'19_Расчет_аналитики'!$F$1223,0)</f>
        <v/>
      </c>
      <c r="E1538">
        <f>IF(IF('01_Вводные'!$B$296="Новый сезон",7-1&gt;MOD(MONTH('06_Сеть_и_дети'!E$3)-9,12),FALSE),'06_Сеть_и_дети'!E59*CapacityAge07*'19_Расчет_аналитики'!$F$1223,0)</f>
        <v/>
      </c>
      <c r="F1538">
        <f>IF(IF('01_Вводные'!$B$296="Новый сезон",7-1&gt;MOD(MONTH('06_Сеть_и_дети'!F$3)-9,12),FALSE),'06_Сеть_и_дети'!F59*CapacityAge07*'19_Расчет_аналитики'!$F$1223,0)</f>
        <v/>
      </c>
      <c r="G1538">
        <f>IF(IF('01_Вводные'!$B$296="Новый сезон",7-1&gt;MOD(MONTH('06_Сеть_и_дети'!G$3)-9,12),FALSE),'06_Сеть_и_дети'!G59*CapacityAge07*'19_Расчет_аналитики'!$F$1223,0)</f>
        <v/>
      </c>
      <c r="H1538">
        <f>IF(IF('01_Вводные'!$B$296="Новый сезон",7-1&gt;MOD(MONTH('06_Сеть_и_дети'!H$3)-9,12),FALSE),'19_Расчет_аналитики'!H1426*CapacityAge07*'19_Расчет_аналитики'!$F$1223,0)</f>
        <v/>
      </c>
      <c r="I1538">
        <f>IF(IF('01_Вводные'!$B$296="Новый сезон",7-1&gt;MOD(MONTH('06_Сеть_и_дети'!I$3)-9,12),FALSE),'19_Расчет_аналитики'!I1426*CapacityAge07*'19_Расчет_аналитики'!$F$1223,0)</f>
        <v/>
      </c>
      <c r="J1538">
        <f>IF(IF('01_Вводные'!$B$296="Новый сезон",7-1&gt;MOD(MONTH('06_Сеть_и_дети'!J$3)-9,12),FALSE),'19_Расчет_аналитики'!J1426*CapacityAge07*'19_Расчет_аналитики'!$F$1223,0)</f>
        <v/>
      </c>
      <c r="K1538">
        <f>IF(IF('01_Вводные'!$B$296="Новый сезон",7-1&gt;MOD(MONTH('06_Сеть_и_дети'!K$3)-9,12),FALSE),'19_Расчет_аналитики'!K1426*CapacityAge07*'19_Расчет_аналитики'!$F$1223,0)</f>
        <v/>
      </c>
      <c r="L1538">
        <f>IF(IF('01_Вводные'!$B$296="Новый сезон",7-1&gt;MOD(MONTH('06_Сеть_и_дети'!L$3)-9,12),FALSE),'19_Расчет_аналитики'!L1426*CapacityAge07*'19_Расчет_аналитики'!$F$1223,0)</f>
        <v/>
      </c>
      <c r="M1538">
        <f>IF(IF('01_Вводные'!$B$296="Новый сезон",7-1&gt;MOD(MONTH('06_Сеть_и_дети'!M$3)-9,12),FALSE),'19_Расчет_аналитики'!M1426*CapacityAge07*'19_Расчет_аналитики'!$F$1223,0)</f>
        <v/>
      </c>
      <c r="N1538">
        <f>IF(IF('01_Вводные'!$B$296="Новый сезон",7-1&gt;MOD(MONTH('06_Сеть_и_дети'!N$3)-9,12),FALSE),'19_Расчет_аналитики'!N1426*CapacityAge07*'19_Расчет_аналитики'!$F$1223,0)</f>
        <v/>
      </c>
      <c r="O1538">
        <f>IF(IF('01_Вводные'!$B$296="Новый сезон",7-1&gt;MOD(MONTH('06_Сеть_и_дети'!O$3)-9,12),FALSE),'19_Расчет_аналитики'!O1426*CapacityAge07*'19_Расчет_аналитики'!$F$1223,0)</f>
        <v/>
      </c>
      <c r="P1538">
        <f>IF(IF('01_Вводные'!$B$296="Новый сезон",7-1&gt;MOD(MONTH('06_Сеть_и_дети'!P$3)-9,12),FALSE),'19_Расчет_аналитики'!P1426*CapacityAge07*'19_Расчет_аналитики'!$F$1223,0)</f>
        <v/>
      </c>
      <c r="Q1538">
        <f>IF(IF('01_Вводные'!$B$296="Новый сезон",7-1&gt;MOD(MONTH('06_Сеть_и_дети'!Q$3)-9,12),FALSE),'19_Расчет_аналитики'!Q1426*CapacityAge07*'19_Расчет_аналитики'!$F$1223,0)</f>
        <v/>
      </c>
      <c r="R1538">
        <f>IF(IF('01_Вводные'!$B$296="Новый сезон",7-1&gt;MOD(MONTH('06_Сеть_и_дети'!R$3)-9,12),FALSE),'19_Расчет_аналитики'!R1426*CapacityAge07*'19_Расчет_аналитики'!$F$1223,0)</f>
        <v/>
      </c>
      <c r="S1538">
        <f>IF(IF('01_Вводные'!$B$296="Новый сезон",7-1&gt;MOD(MONTH('06_Сеть_и_дети'!S$3)-9,12),FALSE),'19_Расчет_аналитики'!S1426*CapacityAge07*'19_Расчет_аналитики'!$F$1223,0)</f>
        <v/>
      </c>
      <c r="T1538">
        <f>IF(IF('01_Вводные'!$B$296="Новый сезон",7-1&gt;MOD(MONTH('06_Сеть_и_дети'!T$3)-9,12),FALSE),'19_Расчет_аналитики'!T1426*CapacityAge07*'19_Расчет_аналитики'!$F$1223,0)</f>
        <v/>
      </c>
      <c r="U1538">
        <f>IF(IF('01_Вводные'!$B$296="Новый сезон",7-1&gt;MOD(MONTH('06_Сеть_и_дети'!U$3)-9,12),FALSE),'19_Расчет_аналитики'!U1426*CapacityAge07*'19_Расчет_аналитики'!$F$1223,0)</f>
        <v/>
      </c>
      <c r="V1538">
        <f>IF(IF('01_Вводные'!$B$296="Новый сезон",7-1&gt;MOD(MONTH('06_Сеть_и_дети'!V$3)-9,12),FALSE),'19_Расчет_аналитики'!V1426*CapacityAge07*'19_Расчет_аналитики'!$F$1223,0)</f>
        <v/>
      </c>
      <c r="W1538">
        <f>IF(IF('01_Вводные'!$B$296="Новый сезон",7-1&gt;MOD(MONTH('06_Сеть_и_дети'!W$3)-9,12),FALSE),'19_Расчет_аналитики'!W1426*CapacityAge07*'19_Расчет_аналитики'!$F$1223,0)</f>
        <v/>
      </c>
      <c r="X1538">
        <f>IF(IF('01_Вводные'!$B$296="Новый сезон",7-1&gt;MOD(MONTH('06_Сеть_и_дети'!X$3)-9,12),FALSE),'19_Расчет_аналитики'!X1426*CapacityAge07*'19_Расчет_аналитики'!$F$1223,0)</f>
        <v/>
      </c>
      <c r="Y1538">
        <f>IF(IF('01_Вводные'!$B$296="Новый сезон",7-1&gt;MOD(MONTH('06_Сеть_и_дети'!Y$3)-9,12),FALSE),'19_Расчет_аналитики'!Y1426*CapacityAge07*'19_Расчет_аналитики'!$F$1223,0)</f>
        <v/>
      </c>
      <c r="Z1538">
        <f>IF(IF('01_Вводные'!$B$296="Новый сезон",7-1&gt;MOD(MONTH('06_Сеть_и_дети'!Z$3)-9,12),FALSE),'19_Расчет_аналитики'!Z1426*CapacityAge07*'19_Расчет_аналитики'!$F$1223,0)</f>
        <v/>
      </c>
      <c r="AA1538">
        <f>IF(IF('01_Вводные'!$B$296="Новый сезон",7-1&gt;MOD(MONTH('06_Сеть_и_дети'!AA$3)-9,12),FALSE),'19_Расчет_аналитики'!AA1426*CapacityAge07*'19_Расчет_аналитики'!$F$1223,0)</f>
        <v/>
      </c>
      <c r="AB1538">
        <f>IF(IF('01_Вводные'!$B$296="Новый сезон",7-1&gt;MOD(MONTH('06_Сеть_и_дети'!AB$3)-9,12),FALSE),'19_Расчет_аналитики'!AB1426*CapacityAge07*'19_Расчет_аналитики'!$F$1223,0)</f>
        <v/>
      </c>
      <c r="AC1538">
        <f>IF(IF('01_Вводные'!$B$296="Новый сезон",7-1&gt;MOD(MONTH('06_Сеть_и_дети'!AC$3)-9,12),FALSE),'19_Расчет_аналитики'!AC1426*CapacityAge07*'19_Расчет_аналитики'!$F$1223,0)</f>
        <v/>
      </c>
      <c r="AD1538">
        <f>IF(IF('01_Вводные'!$B$296="Новый сезон",7-1&gt;MOD(MONTH('06_Сеть_и_дети'!AD$3)-9,12),FALSE),'19_Расчет_аналитики'!AD1426*CapacityAge07*'19_Расчет_аналитики'!$F$1223,0)</f>
        <v/>
      </c>
      <c r="AE1538">
        <f>IF(IF('01_Вводные'!$B$296="Новый сезон",7-1&gt;MOD(MONTH('06_Сеть_и_дети'!AE$3)-9,12),FALSE),'19_Расчет_аналитики'!AE1426*CapacityAge07*'19_Расчет_аналитики'!$F$1223,0)</f>
        <v/>
      </c>
      <c r="AF1538">
        <f>IF(IF('01_Вводные'!$B$296="Новый сезон",7-1&gt;MOD(MONTH('06_Сеть_и_дети'!AF$3)-9,12),FALSE),'19_Расчет_аналитики'!AF1426*CapacityAge07*'19_Расчет_аналитики'!$F$1223,0)</f>
        <v/>
      </c>
      <c r="AG1538">
        <f>IF(IF('01_Вводные'!$B$296="Новый сезон",7-1&gt;MOD(MONTH('06_Сеть_и_дети'!AG$3)-9,12),FALSE),'19_Расчет_аналитики'!AG1426*CapacityAge07*'19_Расчет_аналитики'!$F$1223,0)</f>
        <v/>
      </c>
      <c r="AH1538">
        <f>IF(IF('01_Вводные'!$B$296="Новый сезон",7-1&gt;MOD(MONTH('06_Сеть_и_дети'!AH$3)-9,12),FALSE),'19_Расчет_аналитики'!AH1426*CapacityAge07*'19_Расчет_аналитики'!$F$1223,0)</f>
        <v/>
      </c>
      <c r="AI1538">
        <f>IF(IF('01_Вводные'!$B$296="Новый сезон",7-1&gt;MOD(MONTH('06_Сеть_и_дети'!AI$3)-9,12),FALSE),'19_Расчет_аналитики'!AI1426*CapacityAge07*'19_Расчет_аналитики'!$F$1223,0)</f>
        <v/>
      </c>
      <c r="AJ1538">
        <f>IF(IF('01_Вводные'!$B$296="Новый сезон",7-1&gt;MOD(MONTH('06_Сеть_и_дети'!AJ$3)-9,12),FALSE),'19_Расчет_аналитики'!AJ1426*CapacityAge07*'19_Расчет_аналитики'!$F$1223,0)</f>
        <v/>
      </c>
      <c r="AK1538">
        <f>IF(IF('01_Вводные'!$B$296="Новый сезон",7-1&gt;MOD(MONTH('06_Сеть_и_дети'!AK$3)-9,12),FALSE),'19_Расчет_аналитики'!AK1426*CapacityAge07*'19_Расчет_аналитики'!$F$1223,0)</f>
        <v/>
      </c>
      <c r="AL1538">
        <f>IF(IF('01_Вводные'!$B$296="Новый сезон",7-1&gt;MOD(MONTH('06_Сеть_и_дети'!AL$3)-9,12),FALSE),'19_Расчет_аналитики'!AL1426*CapacityAge07*'19_Расчет_аналитики'!$F$1223,0)</f>
        <v/>
      </c>
      <c r="AM1538">
        <f>IF(IF('01_Вводные'!$B$296="Новый сезон",7-1&gt;MOD(MONTH('06_Сеть_и_дети'!AM$3)-9,12),FALSE),'19_Расчет_аналитики'!AM1426*CapacityAge07*'19_Расчет_аналитики'!$F$1223,0)</f>
        <v/>
      </c>
      <c r="AN1538">
        <f>IF(IF('01_Вводные'!$B$296="Новый сезон",7-1&gt;MOD(MONTH('06_Сеть_и_дети'!AN$3)-9,12),FALSE),'19_Расчет_аналитики'!AN1426*CapacityAge07*'19_Расчет_аналитики'!$F$1223,0)</f>
        <v/>
      </c>
      <c r="AO1538">
        <f>IF(IF('01_Вводные'!$B$296="Новый сезон",7-1&gt;MOD(MONTH('06_Сеть_и_дети'!AO$3)-9,12),FALSE),'19_Расчет_аналитики'!AO1426*CapacityAge07*'19_Расчет_аналитики'!$F$1223,0)</f>
        <v/>
      </c>
      <c r="AP1538">
        <f>IF(IF('01_Вводные'!$B$296="Новый сезон",7-1&gt;MOD(MONTH('06_Сеть_и_дети'!AP$3)-9,12),FALSE),'19_Расчет_аналитики'!AP1426*CapacityAge07*'19_Расчет_аналитики'!$F$1223,0)</f>
        <v/>
      </c>
      <c r="AQ1538">
        <f>IF(IF('01_Вводные'!$B$296="Новый сезон",7-1&gt;MOD(MONTH('06_Сеть_и_дети'!AQ$3)-9,12),FALSE),'19_Расчет_аналитики'!AQ1426*CapacityAge07*'19_Расчет_аналитики'!$F$1223,0)</f>
        <v/>
      </c>
      <c r="AR1538">
        <f>IF(IF('01_Вводные'!$B$296="Новый сезон",7-1&gt;MOD(MONTH('06_Сеть_и_дети'!AR$3)-9,12),FALSE),'19_Расчет_аналитики'!AR1426*CapacityAge07*'19_Расчет_аналитики'!$F$1223,0)</f>
        <v/>
      </c>
      <c r="AS1538">
        <f>IF(IF('01_Вводные'!$B$296="Новый сезон",7-1&gt;MOD(MONTH('06_Сеть_и_дети'!AS$3)-9,12),FALSE),'19_Расчет_аналитики'!AS1426*CapacityAge07*'19_Расчет_аналитики'!$F$1223,0)</f>
        <v/>
      </c>
      <c r="AT1538">
        <f>IF(IF('01_Вводные'!$B$296="Новый сезон",7-1&gt;MOD(MONTH('06_Сеть_и_дети'!AT$3)-9,12),FALSE),'19_Расчет_аналитики'!AT1426*CapacityAge07*'19_Расчет_аналитики'!$F$1223,0)</f>
        <v/>
      </c>
      <c r="AU1538">
        <f>IF(IF('01_Вводные'!$B$296="Новый сезон",7-1&gt;MOD(MONTH('06_Сеть_и_дети'!AU$3)-9,12),FALSE),'19_Расчет_аналитики'!AU1426*CapacityAge07*'19_Расчет_аналитики'!$F$1223,0)</f>
        <v/>
      </c>
      <c r="AV1538">
        <f>IF(IF('01_Вводные'!$B$296="Новый сезон",7-1&gt;MOD(MONTH('06_Сеть_и_дети'!AV$3)-9,12),FALSE),'19_Расчет_аналитики'!AV1426*CapacityAge07*'19_Расчет_аналитики'!$F$1223,0)</f>
        <v/>
      </c>
      <c r="AW1538">
        <f>IF(IF('01_Вводные'!$B$296="Новый сезон",7-1&gt;MOD(MONTH('06_Сеть_и_дети'!AW$3)-9,12),FALSE),'19_Расчет_аналитики'!AW1426*CapacityAge07*'19_Расчет_аналитики'!$F$1223,0)</f>
        <v/>
      </c>
      <c r="AX1538">
        <f>IF(IF('01_Вводные'!$B$296="Новый сезон",7-1&gt;MOD(MONTH('06_Сеть_и_дети'!AX$3)-9,12),FALSE),'19_Расчет_аналитики'!AX1426*CapacityAge07*'19_Расчет_аналитики'!$F$1223,0)</f>
        <v/>
      </c>
      <c r="AY1538">
        <f>IF(IF('01_Вводные'!$B$296="Новый сезон",7-1&gt;MOD(MONTH('06_Сеть_и_дети'!AY$3)-9,12),FALSE),'19_Расчет_аналитики'!AY1426*CapacityAge07*'19_Расчет_аналитики'!$F$1223,0)</f>
        <v/>
      </c>
      <c r="AZ1538">
        <f>IF(IF('01_Вводные'!$B$296="Новый сезон",7-1&gt;MOD(MONTH('06_Сеть_и_дети'!AZ$3)-9,12),FALSE),'19_Расчет_аналитики'!AZ1426*CapacityAge07*'19_Расчет_аналитики'!$F$1223,0)</f>
        <v/>
      </c>
      <c r="BA1538">
        <f>IF(IF('01_Вводные'!$B$296="Новый сезон",7-1&gt;MOD(MONTH('06_Сеть_и_дети'!BA$3)-9,12),FALSE),'19_Расчет_аналитики'!BA1426*CapacityAge07*'19_Расчет_аналитики'!$F$1223,0)</f>
        <v/>
      </c>
      <c r="BB1538">
        <f>IF(IF('01_Вводные'!$B$296="Новый сезон",7-1&gt;MOD(MONTH('06_Сеть_и_дети'!BB$3)-9,12),FALSE),'19_Расчет_аналитики'!BB1426*CapacityAge07*'19_Расчет_аналитики'!$F$1223,0)</f>
        <v/>
      </c>
      <c r="BC1538">
        <f>IF(IF('01_Вводные'!$B$296="Новый сезон",7-1&gt;MOD(MONTH('06_Сеть_и_дети'!BC$3)-9,12),FALSE),'19_Расчет_аналитики'!BC1426*CapacityAge07*'19_Расчет_аналитики'!$F$1223,0)</f>
        <v/>
      </c>
      <c r="BD1538">
        <f>IF(IF('01_Вводные'!$B$296="Новый сезон",7-1&gt;MOD(MONTH('06_Сеть_и_дети'!BD$3)-9,12),FALSE),'19_Расчет_аналитики'!BD1426*CapacityAge07*'19_Расчет_аналитики'!$F$1223,0)</f>
        <v/>
      </c>
      <c r="BE1538">
        <f>IF(IF('01_Вводные'!$B$296="Новый сезон",7-1&gt;MOD(MONTH('06_Сеть_и_дети'!BE$3)-9,12),FALSE),'19_Расчет_аналитики'!BE1426*CapacityAge07*'19_Расчет_аналитики'!$F$1223,0)</f>
        <v/>
      </c>
      <c r="BF1538">
        <f>IF(IF('01_Вводные'!$B$296="Новый сезон",7-1&gt;MOD(MONTH('06_Сеть_и_дети'!BF$3)-9,12),FALSE),'19_Расчет_аналитики'!BF1426*CapacityAge07*'19_Расчет_аналитики'!$F$1223,0)</f>
        <v/>
      </c>
      <c r="BG1538">
        <f>IF(IF('01_Вводные'!$B$296="Новый сезон",7-1&gt;MOD(MONTH('06_Сеть_и_дети'!BG$3)-9,12),FALSE),'19_Расчет_аналитики'!BG1426*CapacityAge07*'19_Расчет_аналитики'!$F$1223,0)</f>
        <v/>
      </c>
      <c r="BH1538">
        <f>IF(IF('01_Вводные'!$B$296="Новый сезон",7-1&gt;MOD(MONTH('06_Сеть_и_дети'!BH$3)-9,12),FALSE),'19_Расчет_аналитики'!BH1426*CapacityAge07*'19_Расчет_аналитики'!$F$1223,0)</f>
        <v/>
      </c>
      <c r="BI1538">
        <f>IF(IF('01_Вводные'!$B$296="Новый сезон",7-1&gt;MOD(MONTH('06_Сеть_и_дети'!BI$3)-9,12),FALSE),'19_Расчет_аналитики'!BI1426*CapacityAge07*'19_Расчет_аналитики'!$F$1223,0)</f>
        <v/>
      </c>
      <c r="BJ1538">
        <f>IF(IF('01_Вводные'!$B$296="Новый сезон",7-1&gt;MOD(MONTH('06_Сеть_и_дети'!BJ$3)-9,12),FALSE),'19_Расчет_аналитики'!BJ1426*CapacityAge07*'19_Расчет_аналитики'!$F$1223,0)</f>
        <v/>
      </c>
      <c r="BK1538">
        <f>IF(IF('01_Вводные'!$B$296="Новый сезон",7-1&gt;MOD(MONTH('06_Сеть_и_дети'!BK$3)-9,12),FALSE),'19_Расчет_аналитики'!BK1426*CapacityAge07*'19_Расчет_аналитики'!$F$1223,0)</f>
        <v/>
      </c>
      <c r="BL1538">
        <f>IF(IF('01_Вводные'!$B$296="Новый сезон",7-1&gt;MOD(MONTH('06_Сеть_и_дети'!BL$3)-9,12),FALSE),'19_Расчет_аналитики'!BL1426*CapacityAge07*'19_Расчет_аналитики'!$F$1223,0)</f>
        <v/>
      </c>
      <c r="BM1538">
        <f>IF(IF('01_Вводные'!$B$296="Новый сезон",7-1&gt;MOD(MONTH('06_Сеть_и_дети'!BM$3)-9,12),FALSE),'19_Расчет_аналитики'!BM1426*CapacityAge07*'19_Расчет_аналитики'!$F$1223,0)</f>
        <v/>
      </c>
      <c r="BN1538">
        <f>IF(IF('01_Вводные'!$B$296="Новый сезон",7-1&gt;MOD(MONTH('06_Сеть_и_дети'!BN$3)-9,12),FALSE),'19_Расчет_аналитики'!BN1426*CapacityAge07*'19_Расчет_аналитики'!$F$1223,0)</f>
        <v/>
      </c>
      <c r="BO1538">
        <f>IF(IF('01_Вводные'!$B$296="Новый сезон",7-1&gt;MOD(MONTH('06_Сеть_и_дети'!BO$3)-9,12),FALSE),'19_Расчет_аналитики'!BO1426*CapacityAge07*'19_Расчет_аналитики'!$F$1223,0)</f>
        <v/>
      </c>
    </row>
    <row r="1539">
      <c r="B1539">
        <f>IF(IF('01_Вводные'!$B$296="Новый сезон",8-1&gt;MOD(MONTH('06_Сеть_и_дети'!B$3)-9,12),FALSE),'06_Сеть_и_дети'!B60*CapacityAge08*'19_Расчет_аналитики'!$F$1223,0)</f>
        <v/>
      </c>
      <c r="C1539">
        <f>IF(IF('01_Вводные'!$B$296="Новый сезон",8-1&gt;MOD(MONTH('06_Сеть_и_дети'!C$3)-9,12),FALSE),'06_Сеть_и_дети'!C60*CapacityAge08*'19_Расчет_аналитики'!$F$1223,0)</f>
        <v/>
      </c>
      <c r="D1539">
        <f>IF(IF('01_Вводные'!$B$296="Новый сезон",8-1&gt;MOD(MONTH('06_Сеть_и_дети'!D$3)-9,12),FALSE),'06_Сеть_и_дети'!D60*CapacityAge08*'19_Расчет_аналитики'!$F$1223,0)</f>
        <v/>
      </c>
      <c r="E1539">
        <f>IF(IF('01_Вводные'!$B$296="Новый сезон",8-1&gt;MOD(MONTH('06_Сеть_и_дети'!E$3)-9,12),FALSE),'06_Сеть_и_дети'!E60*CapacityAge08*'19_Расчет_аналитики'!$F$1223,0)</f>
        <v/>
      </c>
      <c r="F1539">
        <f>IF(IF('01_Вводные'!$B$296="Новый сезон",8-1&gt;MOD(MONTH('06_Сеть_и_дети'!F$3)-9,12),FALSE),'06_Сеть_и_дети'!F60*CapacityAge08*'19_Расчет_аналитики'!$F$1223,0)</f>
        <v/>
      </c>
      <c r="G1539">
        <f>IF(IF('01_Вводные'!$B$296="Новый сезон",8-1&gt;MOD(MONTH('06_Сеть_и_дети'!G$3)-9,12),FALSE),'06_Сеть_и_дети'!G60*CapacityAge08*'19_Расчет_аналитики'!$F$1223,0)</f>
        <v/>
      </c>
      <c r="H1539">
        <f>IF(IF('01_Вводные'!$B$296="Новый сезон",8-1&gt;MOD(MONTH('06_Сеть_и_дети'!H$3)-9,12),FALSE),'06_Сеть_и_дети'!H60*CapacityAge08*'19_Расчет_аналитики'!$F$1223,0)</f>
        <v/>
      </c>
      <c r="I1539">
        <f>IF(IF('01_Вводные'!$B$296="Новый сезон",8-1&gt;MOD(MONTH('06_Сеть_и_дети'!I$3)-9,12),FALSE),'19_Расчет_аналитики'!I1427*CapacityAge08*'19_Расчет_аналитики'!$F$1223,0)</f>
        <v/>
      </c>
      <c r="J1539">
        <f>IF(IF('01_Вводные'!$B$296="Новый сезон",8-1&gt;MOD(MONTH('06_Сеть_и_дети'!J$3)-9,12),FALSE),'19_Расчет_аналитики'!J1427*CapacityAge08*'19_Расчет_аналитики'!$F$1223,0)</f>
        <v/>
      </c>
      <c r="K1539">
        <f>IF(IF('01_Вводные'!$B$296="Новый сезон",8-1&gt;MOD(MONTH('06_Сеть_и_дети'!K$3)-9,12),FALSE),'19_Расчет_аналитики'!K1427*CapacityAge08*'19_Расчет_аналитики'!$F$1223,0)</f>
        <v/>
      </c>
      <c r="L1539">
        <f>IF(IF('01_Вводные'!$B$296="Новый сезон",8-1&gt;MOD(MONTH('06_Сеть_и_дети'!L$3)-9,12),FALSE),'19_Расчет_аналитики'!L1427*CapacityAge08*'19_Расчет_аналитики'!$F$1223,0)</f>
        <v/>
      </c>
      <c r="M1539">
        <f>IF(IF('01_Вводные'!$B$296="Новый сезон",8-1&gt;MOD(MONTH('06_Сеть_и_дети'!M$3)-9,12),FALSE),'19_Расчет_аналитики'!M1427*CapacityAge08*'19_Расчет_аналитики'!$F$1223,0)</f>
        <v/>
      </c>
      <c r="N1539">
        <f>IF(IF('01_Вводные'!$B$296="Новый сезон",8-1&gt;MOD(MONTH('06_Сеть_и_дети'!N$3)-9,12),FALSE),'19_Расчет_аналитики'!N1427*CapacityAge08*'19_Расчет_аналитики'!$F$1223,0)</f>
        <v/>
      </c>
      <c r="O1539">
        <f>IF(IF('01_Вводные'!$B$296="Новый сезон",8-1&gt;MOD(MONTH('06_Сеть_и_дети'!O$3)-9,12),FALSE),'19_Расчет_аналитики'!O1427*CapacityAge08*'19_Расчет_аналитики'!$F$1223,0)</f>
        <v/>
      </c>
      <c r="P1539">
        <f>IF(IF('01_Вводные'!$B$296="Новый сезон",8-1&gt;MOD(MONTH('06_Сеть_и_дети'!P$3)-9,12),FALSE),'19_Расчет_аналитики'!P1427*CapacityAge08*'19_Расчет_аналитики'!$F$1223,0)</f>
        <v/>
      </c>
      <c r="Q1539">
        <f>IF(IF('01_Вводные'!$B$296="Новый сезон",8-1&gt;MOD(MONTH('06_Сеть_и_дети'!Q$3)-9,12),FALSE),'19_Расчет_аналитики'!Q1427*CapacityAge08*'19_Расчет_аналитики'!$F$1223,0)</f>
        <v/>
      </c>
      <c r="R1539">
        <f>IF(IF('01_Вводные'!$B$296="Новый сезон",8-1&gt;MOD(MONTH('06_Сеть_и_дети'!R$3)-9,12),FALSE),'19_Расчет_аналитики'!R1427*CapacityAge08*'19_Расчет_аналитики'!$F$1223,0)</f>
        <v/>
      </c>
      <c r="S1539">
        <f>IF(IF('01_Вводные'!$B$296="Новый сезон",8-1&gt;MOD(MONTH('06_Сеть_и_дети'!S$3)-9,12),FALSE),'19_Расчет_аналитики'!S1427*CapacityAge08*'19_Расчет_аналитики'!$F$1223,0)</f>
        <v/>
      </c>
      <c r="T1539">
        <f>IF(IF('01_Вводные'!$B$296="Новый сезон",8-1&gt;MOD(MONTH('06_Сеть_и_дети'!T$3)-9,12),FALSE),'19_Расчет_аналитики'!T1427*CapacityAge08*'19_Расчет_аналитики'!$F$1223,0)</f>
        <v/>
      </c>
      <c r="U1539">
        <f>IF(IF('01_Вводные'!$B$296="Новый сезон",8-1&gt;MOD(MONTH('06_Сеть_и_дети'!U$3)-9,12),FALSE),'19_Расчет_аналитики'!U1427*CapacityAge08*'19_Расчет_аналитики'!$F$1223,0)</f>
        <v/>
      </c>
      <c r="V1539">
        <f>IF(IF('01_Вводные'!$B$296="Новый сезон",8-1&gt;MOD(MONTH('06_Сеть_и_дети'!V$3)-9,12),FALSE),'19_Расчет_аналитики'!V1427*CapacityAge08*'19_Расчет_аналитики'!$F$1223,0)</f>
        <v/>
      </c>
      <c r="W1539">
        <f>IF(IF('01_Вводные'!$B$296="Новый сезон",8-1&gt;MOD(MONTH('06_Сеть_и_дети'!W$3)-9,12),FALSE),'19_Расчет_аналитики'!W1427*CapacityAge08*'19_Расчет_аналитики'!$F$1223,0)</f>
        <v/>
      </c>
      <c r="X1539">
        <f>IF(IF('01_Вводные'!$B$296="Новый сезон",8-1&gt;MOD(MONTH('06_Сеть_и_дети'!X$3)-9,12),FALSE),'19_Расчет_аналитики'!X1427*CapacityAge08*'19_Расчет_аналитики'!$F$1223,0)</f>
        <v/>
      </c>
      <c r="Y1539">
        <f>IF(IF('01_Вводные'!$B$296="Новый сезон",8-1&gt;MOD(MONTH('06_Сеть_и_дети'!Y$3)-9,12),FALSE),'19_Расчет_аналитики'!Y1427*CapacityAge08*'19_Расчет_аналитики'!$F$1223,0)</f>
        <v/>
      </c>
      <c r="Z1539">
        <f>IF(IF('01_Вводные'!$B$296="Новый сезон",8-1&gt;MOD(MONTH('06_Сеть_и_дети'!Z$3)-9,12),FALSE),'19_Расчет_аналитики'!Z1427*CapacityAge08*'19_Расчет_аналитики'!$F$1223,0)</f>
        <v/>
      </c>
      <c r="AA1539">
        <f>IF(IF('01_Вводные'!$B$296="Новый сезон",8-1&gt;MOD(MONTH('06_Сеть_и_дети'!AA$3)-9,12),FALSE),'19_Расчет_аналитики'!AA1427*CapacityAge08*'19_Расчет_аналитики'!$F$1223,0)</f>
        <v/>
      </c>
      <c r="AB1539">
        <f>IF(IF('01_Вводные'!$B$296="Новый сезон",8-1&gt;MOD(MONTH('06_Сеть_и_дети'!AB$3)-9,12),FALSE),'19_Расчет_аналитики'!AB1427*CapacityAge08*'19_Расчет_аналитики'!$F$1223,0)</f>
        <v/>
      </c>
      <c r="AC1539">
        <f>IF(IF('01_Вводные'!$B$296="Новый сезон",8-1&gt;MOD(MONTH('06_Сеть_и_дети'!AC$3)-9,12),FALSE),'19_Расчет_аналитики'!AC1427*CapacityAge08*'19_Расчет_аналитики'!$F$1223,0)</f>
        <v/>
      </c>
      <c r="AD1539">
        <f>IF(IF('01_Вводные'!$B$296="Новый сезон",8-1&gt;MOD(MONTH('06_Сеть_и_дети'!AD$3)-9,12),FALSE),'19_Расчет_аналитики'!AD1427*CapacityAge08*'19_Расчет_аналитики'!$F$1223,0)</f>
        <v/>
      </c>
      <c r="AE1539">
        <f>IF(IF('01_Вводные'!$B$296="Новый сезон",8-1&gt;MOD(MONTH('06_Сеть_и_дети'!AE$3)-9,12),FALSE),'19_Расчет_аналитики'!AE1427*CapacityAge08*'19_Расчет_аналитики'!$F$1223,0)</f>
        <v/>
      </c>
      <c r="AF1539">
        <f>IF(IF('01_Вводные'!$B$296="Новый сезон",8-1&gt;MOD(MONTH('06_Сеть_и_дети'!AF$3)-9,12),FALSE),'19_Расчет_аналитики'!AF1427*CapacityAge08*'19_Расчет_аналитики'!$F$1223,0)</f>
        <v/>
      </c>
      <c r="AG1539">
        <f>IF(IF('01_Вводные'!$B$296="Новый сезон",8-1&gt;MOD(MONTH('06_Сеть_и_дети'!AG$3)-9,12),FALSE),'19_Расчет_аналитики'!AG1427*CapacityAge08*'19_Расчет_аналитики'!$F$1223,0)</f>
        <v/>
      </c>
      <c r="AH1539">
        <f>IF(IF('01_Вводные'!$B$296="Новый сезон",8-1&gt;MOD(MONTH('06_Сеть_и_дети'!AH$3)-9,12),FALSE),'19_Расчет_аналитики'!AH1427*CapacityAge08*'19_Расчет_аналитики'!$F$1223,0)</f>
        <v/>
      </c>
      <c r="AI1539">
        <f>IF(IF('01_Вводные'!$B$296="Новый сезон",8-1&gt;MOD(MONTH('06_Сеть_и_дети'!AI$3)-9,12),FALSE),'19_Расчет_аналитики'!AI1427*CapacityAge08*'19_Расчет_аналитики'!$F$1223,0)</f>
        <v/>
      </c>
      <c r="AJ1539">
        <f>IF(IF('01_Вводные'!$B$296="Новый сезон",8-1&gt;MOD(MONTH('06_Сеть_и_дети'!AJ$3)-9,12),FALSE),'19_Расчет_аналитики'!AJ1427*CapacityAge08*'19_Расчет_аналитики'!$F$1223,0)</f>
        <v/>
      </c>
      <c r="AK1539">
        <f>IF(IF('01_Вводные'!$B$296="Новый сезон",8-1&gt;MOD(MONTH('06_Сеть_и_дети'!AK$3)-9,12),FALSE),'19_Расчет_аналитики'!AK1427*CapacityAge08*'19_Расчет_аналитики'!$F$1223,0)</f>
        <v/>
      </c>
      <c r="AL1539">
        <f>IF(IF('01_Вводные'!$B$296="Новый сезон",8-1&gt;MOD(MONTH('06_Сеть_и_дети'!AL$3)-9,12),FALSE),'19_Расчет_аналитики'!AL1427*CapacityAge08*'19_Расчет_аналитики'!$F$1223,0)</f>
        <v/>
      </c>
      <c r="AM1539">
        <f>IF(IF('01_Вводные'!$B$296="Новый сезон",8-1&gt;MOD(MONTH('06_Сеть_и_дети'!AM$3)-9,12),FALSE),'19_Расчет_аналитики'!AM1427*CapacityAge08*'19_Расчет_аналитики'!$F$1223,0)</f>
        <v/>
      </c>
      <c r="AN1539">
        <f>IF(IF('01_Вводные'!$B$296="Новый сезон",8-1&gt;MOD(MONTH('06_Сеть_и_дети'!AN$3)-9,12),FALSE),'19_Расчет_аналитики'!AN1427*CapacityAge08*'19_Расчет_аналитики'!$F$1223,0)</f>
        <v/>
      </c>
      <c r="AO1539">
        <f>IF(IF('01_Вводные'!$B$296="Новый сезон",8-1&gt;MOD(MONTH('06_Сеть_и_дети'!AO$3)-9,12),FALSE),'19_Расчет_аналитики'!AO1427*CapacityAge08*'19_Расчет_аналитики'!$F$1223,0)</f>
        <v/>
      </c>
      <c r="AP1539">
        <f>IF(IF('01_Вводные'!$B$296="Новый сезон",8-1&gt;MOD(MONTH('06_Сеть_и_дети'!AP$3)-9,12),FALSE),'19_Расчет_аналитики'!AP1427*CapacityAge08*'19_Расчет_аналитики'!$F$1223,0)</f>
        <v/>
      </c>
      <c r="AQ1539">
        <f>IF(IF('01_Вводные'!$B$296="Новый сезон",8-1&gt;MOD(MONTH('06_Сеть_и_дети'!AQ$3)-9,12),FALSE),'19_Расчет_аналитики'!AQ1427*CapacityAge08*'19_Расчет_аналитики'!$F$1223,0)</f>
        <v/>
      </c>
      <c r="AR1539">
        <f>IF(IF('01_Вводные'!$B$296="Новый сезон",8-1&gt;MOD(MONTH('06_Сеть_и_дети'!AR$3)-9,12),FALSE),'19_Расчет_аналитики'!AR1427*CapacityAge08*'19_Расчет_аналитики'!$F$1223,0)</f>
        <v/>
      </c>
      <c r="AS1539">
        <f>IF(IF('01_Вводные'!$B$296="Новый сезон",8-1&gt;MOD(MONTH('06_Сеть_и_дети'!AS$3)-9,12),FALSE),'19_Расчет_аналитики'!AS1427*CapacityAge08*'19_Расчет_аналитики'!$F$1223,0)</f>
        <v/>
      </c>
      <c r="AT1539">
        <f>IF(IF('01_Вводные'!$B$296="Новый сезон",8-1&gt;MOD(MONTH('06_Сеть_и_дети'!AT$3)-9,12),FALSE),'19_Расчет_аналитики'!AT1427*CapacityAge08*'19_Расчет_аналитики'!$F$1223,0)</f>
        <v/>
      </c>
      <c r="AU1539">
        <f>IF(IF('01_Вводные'!$B$296="Новый сезон",8-1&gt;MOD(MONTH('06_Сеть_и_дети'!AU$3)-9,12),FALSE),'19_Расчет_аналитики'!AU1427*CapacityAge08*'19_Расчет_аналитики'!$F$1223,0)</f>
        <v/>
      </c>
      <c r="AV1539">
        <f>IF(IF('01_Вводные'!$B$296="Новый сезон",8-1&gt;MOD(MONTH('06_Сеть_и_дети'!AV$3)-9,12),FALSE),'19_Расчет_аналитики'!AV1427*CapacityAge08*'19_Расчет_аналитики'!$F$1223,0)</f>
        <v/>
      </c>
      <c r="AW1539">
        <f>IF(IF('01_Вводные'!$B$296="Новый сезон",8-1&gt;MOD(MONTH('06_Сеть_и_дети'!AW$3)-9,12),FALSE),'19_Расчет_аналитики'!AW1427*CapacityAge08*'19_Расчет_аналитики'!$F$1223,0)</f>
        <v/>
      </c>
      <c r="AX1539">
        <f>IF(IF('01_Вводные'!$B$296="Новый сезон",8-1&gt;MOD(MONTH('06_Сеть_и_дети'!AX$3)-9,12),FALSE),'19_Расчет_аналитики'!AX1427*CapacityAge08*'19_Расчет_аналитики'!$F$1223,0)</f>
        <v/>
      </c>
      <c r="AY1539">
        <f>IF(IF('01_Вводные'!$B$296="Новый сезон",8-1&gt;MOD(MONTH('06_Сеть_и_дети'!AY$3)-9,12),FALSE),'19_Расчет_аналитики'!AY1427*CapacityAge08*'19_Расчет_аналитики'!$F$1223,0)</f>
        <v/>
      </c>
      <c r="AZ1539">
        <f>IF(IF('01_Вводные'!$B$296="Новый сезон",8-1&gt;MOD(MONTH('06_Сеть_и_дети'!AZ$3)-9,12),FALSE),'19_Расчет_аналитики'!AZ1427*CapacityAge08*'19_Расчет_аналитики'!$F$1223,0)</f>
        <v/>
      </c>
      <c r="BA1539">
        <f>IF(IF('01_Вводные'!$B$296="Новый сезон",8-1&gt;MOD(MONTH('06_Сеть_и_дети'!BA$3)-9,12),FALSE),'19_Расчет_аналитики'!BA1427*CapacityAge08*'19_Расчет_аналитики'!$F$1223,0)</f>
        <v/>
      </c>
      <c r="BB1539">
        <f>IF(IF('01_Вводные'!$B$296="Новый сезон",8-1&gt;MOD(MONTH('06_Сеть_и_дети'!BB$3)-9,12),FALSE),'19_Расчет_аналитики'!BB1427*CapacityAge08*'19_Расчет_аналитики'!$F$1223,0)</f>
        <v/>
      </c>
      <c r="BC1539">
        <f>IF(IF('01_Вводные'!$B$296="Новый сезон",8-1&gt;MOD(MONTH('06_Сеть_и_дети'!BC$3)-9,12),FALSE),'19_Расчет_аналитики'!BC1427*CapacityAge08*'19_Расчет_аналитики'!$F$1223,0)</f>
        <v/>
      </c>
      <c r="BD1539">
        <f>IF(IF('01_Вводные'!$B$296="Новый сезон",8-1&gt;MOD(MONTH('06_Сеть_и_дети'!BD$3)-9,12),FALSE),'19_Расчет_аналитики'!BD1427*CapacityAge08*'19_Расчет_аналитики'!$F$1223,0)</f>
        <v/>
      </c>
      <c r="BE1539">
        <f>IF(IF('01_Вводные'!$B$296="Новый сезон",8-1&gt;MOD(MONTH('06_Сеть_и_дети'!BE$3)-9,12),FALSE),'19_Расчет_аналитики'!BE1427*CapacityAge08*'19_Расчет_аналитики'!$F$1223,0)</f>
        <v/>
      </c>
      <c r="BF1539">
        <f>IF(IF('01_Вводные'!$B$296="Новый сезон",8-1&gt;MOD(MONTH('06_Сеть_и_дети'!BF$3)-9,12),FALSE),'19_Расчет_аналитики'!BF1427*CapacityAge08*'19_Расчет_аналитики'!$F$1223,0)</f>
        <v/>
      </c>
      <c r="BG1539">
        <f>IF(IF('01_Вводные'!$B$296="Новый сезон",8-1&gt;MOD(MONTH('06_Сеть_и_дети'!BG$3)-9,12),FALSE),'19_Расчет_аналитики'!BG1427*CapacityAge08*'19_Расчет_аналитики'!$F$1223,0)</f>
        <v/>
      </c>
      <c r="BH1539">
        <f>IF(IF('01_Вводные'!$B$296="Новый сезон",8-1&gt;MOD(MONTH('06_Сеть_и_дети'!BH$3)-9,12),FALSE),'19_Расчет_аналитики'!BH1427*CapacityAge08*'19_Расчет_аналитики'!$F$1223,0)</f>
        <v/>
      </c>
      <c r="BI1539">
        <f>IF(IF('01_Вводные'!$B$296="Новый сезон",8-1&gt;MOD(MONTH('06_Сеть_и_дети'!BI$3)-9,12),FALSE),'19_Расчет_аналитики'!BI1427*CapacityAge08*'19_Расчет_аналитики'!$F$1223,0)</f>
        <v/>
      </c>
      <c r="BJ1539">
        <f>IF(IF('01_Вводные'!$B$296="Новый сезон",8-1&gt;MOD(MONTH('06_Сеть_и_дети'!BJ$3)-9,12),FALSE),'19_Расчет_аналитики'!BJ1427*CapacityAge08*'19_Расчет_аналитики'!$F$1223,0)</f>
        <v/>
      </c>
      <c r="BK1539">
        <f>IF(IF('01_Вводные'!$B$296="Новый сезон",8-1&gt;MOD(MONTH('06_Сеть_и_дети'!BK$3)-9,12),FALSE),'19_Расчет_аналитики'!BK1427*CapacityAge08*'19_Расчет_аналитики'!$F$1223,0)</f>
        <v/>
      </c>
      <c r="BL1539">
        <f>IF(IF('01_Вводные'!$B$296="Новый сезон",8-1&gt;MOD(MONTH('06_Сеть_и_дети'!BL$3)-9,12),FALSE),'19_Расчет_аналитики'!BL1427*CapacityAge08*'19_Расчет_аналитики'!$F$1223,0)</f>
        <v/>
      </c>
      <c r="BM1539">
        <f>IF(IF('01_Вводные'!$B$296="Новый сезон",8-1&gt;MOD(MONTH('06_Сеть_и_дети'!BM$3)-9,12),FALSE),'19_Расчет_аналитики'!BM1427*CapacityAge08*'19_Расчет_аналитики'!$F$1223,0)</f>
        <v/>
      </c>
      <c r="BN1539">
        <f>IF(IF('01_Вводные'!$B$296="Новый сезон",8-1&gt;MOD(MONTH('06_Сеть_и_дети'!BN$3)-9,12),FALSE),'19_Расчет_аналитики'!BN1427*CapacityAge08*'19_Расчет_аналитики'!$F$1223,0)</f>
        <v/>
      </c>
      <c r="BO1539">
        <f>IF(IF('01_Вводные'!$B$296="Новый сезон",8-1&gt;MOD(MONTH('06_Сеть_и_дети'!BO$3)-9,12),FALSE),'19_Расчет_аналитики'!BO1427*CapacityAge08*'19_Расчет_аналитики'!$F$1223,0)</f>
        <v/>
      </c>
    </row>
    <row r="1540">
      <c r="B1540">
        <f>IF(IF('01_Вводные'!$B$296="Новый сезон",9-1&gt;MOD(MONTH('06_Сеть_и_дети'!B$3)-9,12),FALSE),'06_Сеть_и_дети'!B61*CapacityAge09*'19_Расчет_аналитики'!$F$1223,0)</f>
        <v/>
      </c>
      <c r="C1540">
        <f>IF(IF('01_Вводные'!$B$296="Новый сезон",9-1&gt;MOD(MONTH('06_Сеть_и_дети'!C$3)-9,12),FALSE),'06_Сеть_и_дети'!C61*CapacityAge09*'19_Расчет_аналитики'!$F$1223,0)</f>
        <v/>
      </c>
      <c r="D1540">
        <f>IF(IF('01_Вводные'!$B$296="Новый сезон",9-1&gt;MOD(MONTH('06_Сеть_и_дети'!D$3)-9,12),FALSE),'06_Сеть_и_дети'!D61*CapacityAge09*'19_Расчет_аналитики'!$F$1223,0)</f>
        <v/>
      </c>
      <c r="E1540">
        <f>IF(IF('01_Вводные'!$B$296="Новый сезон",9-1&gt;MOD(MONTH('06_Сеть_и_дети'!E$3)-9,12),FALSE),'06_Сеть_и_дети'!E61*CapacityAge09*'19_Расчет_аналитики'!$F$1223,0)</f>
        <v/>
      </c>
      <c r="F1540">
        <f>IF(IF('01_Вводные'!$B$296="Новый сезон",9-1&gt;MOD(MONTH('06_Сеть_и_дети'!F$3)-9,12),FALSE),'06_Сеть_и_дети'!F61*CapacityAge09*'19_Расчет_аналитики'!$F$1223,0)</f>
        <v/>
      </c>
      <c r="G1540">
        <f>IF(IF('01_Вводные'!$B$296="Новый сезон",9-1&gt;MOD(MONTH('06_Сеть_и_дети'!G$3)-9,12),FALSE),'06_Сеть_и_дети'!G61*CapacityAge09*'19_Расчет_аналитики'!$F$1223,0)</f>
        <v/>
      </c>
      <c r="H1540">
        <f>IF(IF('01_Вводные'!$B$296="Новый сезон",9-1&gt;MOD(MONTH('06_Сеть_и_дети'!H$3)-9,12),FALSE),'06_Сеть_и_дети'!H61*CapacityAge09*'19_Расчет_аналитики'!$F$1223,0)</f>
        <v/>
      </c>
      <c r="I1540">
        <f>IF(IF('01_Вводные'!$B$296="Новый сезон",9-1&gt;MOD(MONTH('06_Сеть_и_дети'!I$3)-9,12),FALSE),'06_Сеть_и_дети'!I61*CapacityAge09*'19_Расчет_аналитики'!$F$1223,0)</f>
        <v/>
      </c>
      <c r="J1540">
        <f>IF(IF('01_Вводные'!$B$296="Новый сезон",9-1&gt;MOD(MONTH('06_Сеть_и_дети'!J$3)-9,12),FALSE),'19_Расчет_аналитики'!J1428*CapacityAge09*'19_Расчет_аналитики'!$F$1223,0)</f>
        <v/>
      </c>
      <c r="K1540">
        <f>IF(IF('01_Вводные'!$B$296="Новый сезон",9-1&gt;MOD(MONTH('06_Сеть_и_дети'!K$3)-9,12),FALSE),'19_Расчет_аналитики'!K1428*CapacityAge09*'19_Расчет_аналитики'!$F$1223,0)</f>
        <v/>
      </c>
      <c r="L1540">
        <f>IF(IF('01_Вводные'!$B$296="Новый сезон",9-1&gt;MOD(MONTH('06_Сеть_и_дети'!L$3)-9,12),FALSE),'19_Расчет_аналитики'!L1428*CapacityAge09*'19_Расчет_аналитики'!$F$1223,0)</f>
        <v/>
      </c>
      <c r="M1540">
        <f>IF(IF('01_Вводные'!$B$296="Новый сезон",9-1&gt;MOD(MONTH('06_Сеть_и_дети'!M$3)-9,12),FALSE),'19_Расчет_аналитики'!M1428*CapacityAge09*'19_Расчет_аналитики'!$F$1223,0)</f>
        <v/>
      </c>
      <c r="N1540">
        <f>IF(IF('01_Вводные'!$B$296="Новый сезон",9-1&gt;MOD(MONTH('06_Сеть_и_дети'!N$3)-9,12),FALSE),'19_Расчет_аналитики'!N1428*CapacityAge09*'19_Расчет_аналитики'!$F$1223,0)</f>
        <v/>
      </c>
      <c r="O1540">
        <f>IF(IF('01_Вводные'!$B$296="Новый сезон",9-1&gt;MOD(MONTH('06_Сеть_и_дети'!O$3)-9,12),FALSE),'19_Расчет_аналитики'!O1428*CapacityAge09*'19_Расчет_аналитики'!$F$1223,0)</f>
        <v/>
      </c>
      <c r="P1540">
        <f>IF(IF('01_Вводные'!$B$296="Новый сезон",9-1&gt;MOD(MONTH('06_Сеть_и_дети'!P$3)-9,12),FALSE),'19_Расчет_аналитики'!P1428*CapacityAge09*'19_Расчет_аналитики'!$F$1223,0)</f>
        <v/>
      </c>
      <c r="Q1540">
        <f>IF(IF('01_Вводные'!$B$296="Новый сезон",9-1&gt;MOD(MONTH('06_Сеть_и_дети'!Q$3)-9,12),FALSE),'19_Расчет_аналитики'!Q1428*CapacityAge09*'19_Расчет_аналитики'!$F$1223,0)</f>
        <v/>
      </c>
      <c r="R1540">
        <f>IF(IF('01_Вводные'!$B$296="Новый сезон",9-1&gt;MOD(MONTH('06_Сеть_и_дети'!R$3)-9,12),FALSE),'19_Расчет_аналитики'!R1428*CapacityAge09*'19_Расчет_аналитики'!$F$1223,0)</f>
        <v/>
      </c>
      <c r="S1540">
        <f>IF(IF('01_Вводные'!$B$296="Новый сезон",9-1&gt;MOD(MONTH('06_Сеть_и_дети'!S$3)-9,12),FALSE),'19_Расчет_аналитики'!S1428*CapacityAge09*'19_Расчет_аналитики'!$F$1223,0)</f>
        <v/>
      </c>
      <c r="T1540">
        <f>IF(IF('01_Вводные'!$B$296="Новый сезон",9-1&gt;MOD(MONTH('06_Сеть_и_дети'!T$3)-9,12),FALSE),'19_Расчет_аналитики'!T1428*CapacityAge09*'19_Расчет_аналитики'!$F$1223,0)</f>
        <v/>
      </c>
      <c r="U1540">
        <f>IF(IF('01_Вводные'!$B$296="Новый сезон",9-1&gt;MOD(MONTH('06_Сеть_и_дети'!U$3)-9,12),FALSE),'19_Расчет_аналитики'!U1428*CapacityAge09*'19_Расчет_аналитики'!$F$1223,0)</f>
        <v/>
      </c>
      <c r="V1540">
        <f>IF(IF('01_Вводные'!$B$296="Новый сезон",9-1&gt;MOD(MONTH('06_Сеть_и_дети'!V$3)-9,12),FALSE),'19_Расчет_аналитики'!V1428*CapacityAge09*'19_Расчет_аналитики'!$F$1223,0)</f>
        <v/>
      </c>
      <c r="W1540">
        <f>IF(IF('01_Вводные'!$B$296="Новый сезон",9-1&gt;MOD(MONTH('06_Сеть_и_дети'!W$3)-9,12),FALSE),'19_Расчет_аналитики'!W1428*CapacityAge09*'19_Расчет_аналитики'!$F$1223,0)</f>
        <v/>
      </c>
      <c r="X1540">
        <f>IF(IF('01_Вводные'!$B$296="Новый сезон",9-1&gt;MOD(MONTH('06_Сеть_и_дети'!X$3)-9,12),FALSE),'19_Расчет_аналитики'!X1428*CapacityAge09*'19_Расчет_аналитики'!$F$1223,0)</f>
        <v/>
      </c>
      <c r="Y1540">
        <f>IF(IF('01_Вводные'!$B$296="Новый сезон",9-1&gt;MOD(MONTH('06_Сеть_и_дети'!Y$3)-9,12),FALSE),'19_Расчет_аналитики'!Y1428*CapacityAge09*'19_Расчет_аналитики'!$F$1223,0)</f>
        <v/>
      </c>
      <c r="Z1540">
        <f>IF(IF('01_Вводные'!$B$296="Новый сезон",9-1&gt;MOD(MONTH('06_Сеть_и_дети'!Z$3)-9,12),FALSE),'19_Расчет_аналитики'!Z1428*CapacityAge09*'19_Расчет_аналитики'!$F$1223,0)</f>
        <v/>
      </c>
      <c r="AA1540">
        <f>IF(IF('01_Вводные'!$B$296="Новый сезон",9-1&gt;MOD(MONTH('06_Сеть_и_дети'!AA$3)-9,12),FALSE),'19_Расчет_аналитики'!AA1428*CapacityAge09*'19_Расчет_аналитики'!$F$1223,0)</f>
        <v/>
      </c>
      <c r="AB1540">
        <f>IF(IF('01_Вводные'!$B$296="Новый сезон",9-1&gt;MOD(MONTH('06_Сеть_и_дети'!AB$3)-9,12),FALSE),'19_Расчет_аналитики'!AB1428*CapacityAge09*'19_Расчет_аналитики'!$F$1223,0)</f>
        <v/>
      </c>
      <c r="AC1540">
        <f>IF(IF('01_Вводные'!$B$296="Новый сезон",9-1&gt;MOD(MONTH('06_Сеть_и_дети'!AC$3)-9,12),FALSE),'19_Расчет_аналитики'!AC1428*CapacityAge09*'19_Расчет_аналитики'!$F$1223,0)</f>
        <v/>
      </c>
      <c r="AD1540">
        <f>IF(IF('01_Вводные'!$B$296="Новый сезон",9-1&gt;MOD(MONTH('06_Сеть_и_дети'!AD$3)-9,12),FALSE),'19_Расчет_аналитики'!AD1428*CapacityAge09*'19_Расчет_аналитики'!$F$1223,0)</f>
        <v/>
      </c>
      <c r="AE1540">
        <f>IF(IF('01_Вводные'!$B$296="Новый сезон",9-1&gt;MOD(MONTH('06_Сеть_и_дети'!AE$3)-9,12),FALSE),'19_Расчет_аналитики'!AE1428*CapacityAge09*'19_Расчет_аналитики'!$F$1223,0)</f>
        <v/>
      </c>
      <c r="AF1540">
        <f>IF(IF('01_Вводные'!$B$296="Новый сезон",9-1&gt;MOD(MONTH('06_Сеть_и_дети'!AF$3)-9,12),FALSE),'19_Расчет_аналитики'!AF1428*CapacityAge09*'19_Расчет_аналитики'!$F$1223,0)</f>
        <v/>
      </c>
      <c r="AG1540">
        <f>IF(IF('01_Вводные'!$B$296="Новый сезон",9-1&gt;MOD(MONTH('06_Сеть_и_дети'!AG$3)-9,12),FALSE),'19_Расчет_аналитики'!AG1428*CapacityAge09*'19_Расчет_аналитики'!$F$1223,0)</f>
        <v/>
      </c>
      <c r="AH1540">
        <f>IF(IF('01_Вводные'!$B$296="Новый сезон",9-1&gt;MOD(MONTH('06_Сеть_и_дети'!AH$3)-9,12),FALSE),'19_Расчет_аналитики'!AH1428*CapacityAge09*'19_Расчет_аналитики'!$F$1223,0)</f>
        <v/>
      </c>
      <c r="AI1540">
        <f>IF(IF('01_Вводные'!$B$296="Новый сезон",9-1&gt;MOD(MONTH('06_Сеть_и_дети'!AI$3)-9,12),FALSE),'19_Расчет_аналитики'!AI1428*CapacityAge09*'19_Расчет_аналитики'!$F$1223,0)</f>
        <v/>
      </c>
      <c r="AJ1540">
        <f>IF(IF('01_Вводные'!$B$296="Новый сезон",9-1&gt;MOD(MONTH('06_Сеть_и_дети'!AJ$3)-9,12),FALSE),'19_Расчет_аналитики'!AJ1428*CapacityAge09*'19_Расчет_аналитики'!$F$1223,0)</f>
        <v/>
      </c>
      <c r="AK1540">
        <f>IF(IF('01_Вводные'!$B$296="Новый сезон",9-1&gt;MOD(MONTH('06_Сеть_и_дети'!AK$3)-9,12),FALSE),'19_Расчет_аналитики'!AK1428*CapacityAge09*'19_Расчет_аналитики'!$F$1223,0)</f>
        <v/>
      </c>
      <c r="AL1540">
        <f>IF(IF('01_Вводные'!$B$296="Новый сезон",9-1&gt;MOD(MONTH('06_Сеть_и_дети'!AL$3)-9,12),FALSE),'19_Расчет_аналитики'!AL1428*CapacityAge09*'19_Расчет_аналитики'!$F$1223,0)</f>
        <v/>
      </c>
      <c r="AM1540">
        <f>IF(IF('01_Вводные'!$B$296="Новый сезон",9-1&gt;MOD(MONTH('06_Сеть_и_дети'!AM$3)-9,12),FALSE),'19_Расчет_аналитики'!AM1428*CapacityAge09*'19_Расчет_аналитики'!$F$1223,0)</f>
        <v/>
      </c>
      <c r="AN1540">
        <f>IF(IF('01_Вводные'!$B$296="Новый сезон",9-1&gt;MOD(MONTH('06_Сеть_и_дети'!AN$3)-9,12),FALSE),'19_Расчет_аналитики'!AN1428*CapacityAge09*'19_Расчет_аналитики'!$F$1223,0)</f>
        <v/>
      </c>
      <c r="AO1540">
        <f>IF(IF('01_Вводные'!$B$296="Новый сезон",9-1&gt;MOD(MONTH('06_Сеть_и_дети'!AO$3)-9,12),FALSE),'19_Расчет_аналитики'!AO1428*CapacityAge09*'19_Расчет_аналитики'!$F$1223,0)</f>
        <v/>
      </c>
      <c r="AP1540">
        <f>IF(IF('01_Вводные'!$B$296="Новый сезон",9-1&gt;MOD(MONTH('06_Сеть_и_дети'!AP$3)-9,12),FALSE),'19_Расчет_аналитики'!AP1428*CapacityAge09*'19_Расчет_аналитики'!$F$1223,0)</f>
        <v/>
      </c>
      <c r="AQ1540">
        <f>IF(IF('01_Вводные'!$B$296="Новый сезон",9-1&gt;MOD(MONTH('06_Сеть_и_дети'!AQ$3)-9,12),FALSE),'19_Расчет_аналитики'!AQ1428*CapacityAge09*'19_Расчет_аналитики'!$F$1223,0)</f>
        <v/>
      </c>
      <c r="AR1540">
        <f>IF(IF('01_Вводные'!$B$296="Новый сезон",9-1&gt;MOD(MONTH('06_Сеть_и_дети'!AR$3)-9,12),FALSE),'19_Расчет_аналитики'!AR1428*CapacityAge09*'19_Расчет_аналитики'!$F$1223,0)</f>
        <v/>
      </c>
      <c r="AS1540">
        <f>IF(IF('01_Вводные'!$B$296="Новый сезон",9-1&gt;MOD(MONTH('06_Сеть_и_дети'!AS$3)-9,12),FALSE),'19_Расчет_аналитики'!AS1428*CapacityAge09*'19_Расчет_аналитики'!$F$1223,0)</f>
        <v/>
      </c>
      <c r="AT1540">
        <f>IF(IF('01_Вводные'!$B$296="Новый сезон",9-1&gt;MOD(MONTH('06_Сеть_и_дети'!AT$3)-9,12),FALSE),'19_Расчет_аналитики'!AT1428*CapacityAge09*'19_Расчет_аналитики'!$F$1223,0)</f>
        <v/>
      </c>
      <c r="AU1540">
        <f>IF(IF('01_Вводные'!$B$296="Новый сезон",9-1&gt;MOD(MONTH('06_Сеть_и_дети'!AU$3)-9,12),FALSE),'19_Расчет_аналитики'!AU1428*CapacityAge09*'19_Расчет_аналитики'!$F$1223,0)</f>
        <v/>
      </c>
      <c r="AV1540">
        <f>IF(IF('01_Вводные'!$B$296="Новый сезон",9-1&gt;MOD(MONTH('06_Сеть_и_дети'!AV$3)-9,12),FALSE),'19_Расчет_аналитики'!AV1428*CapacityAge09*'19_Расчет_аналитики'!$F$1223,0)</f>
        <v/>
      </c>
      <c r="AW1540">
        <f>IF(IF('01_Вводные'!$B$296="Новый сезон",9-1&gt;MOD(MONTH('06_Сеть_и_дети'!AW$3)-9,12),FALSE),'19_Расчет_аналитики'!AW1428*CapacityAge09*'19_Расчет_аналитики'!$F$1223,0)</f>
        <v/>
      </c>
      <c r="AX1540">
        <f>IF(IF('01_Вводные'!$B$296="Новый сезон",9-1&gt;MOD(MONTH('06_Сеть_и_дети'!AX$3)-9,12),FALSE),'19_Расчет_аналитики'!AX1428*CapacityAge09*'19_Расчет_аналитики'!$F$1223,0)</f>
        <v/>
      </c>
      <c r="AY1540">
        <f>IF(IF('01_Вводные'!$B$296="Новый сезон",9-1&gt;MOD(MONTH('06_Сеть_и_дети'!AY$3)-9,12),FALSE),'19_Расчет_аналитики'!AY1428*CapacityAge09*'19_Расчет_аналитики'!$F$1223,0)</f>
        <v/>
      </c>
      <c r="AZ1540">
        <f>IF(IF('01_Вводные'!$B$296="Новый сезон",9-1&gt;MOD(MONTH('06_Сеть_и_дети'!AZ$3)-9,12),FALSE),'19_Расчет_аналитики'!AZ1428*CapacityAge09*'19_Расчет_аналитики'!$F$1223,0)</f>
        <v/>
      </c>
      <c r="BA1540">
        <f>IF(IF('01_Вводные'!$B$296="Новый сезон",9-1&gt;MOD(MONTH('06_Сеть_и_дети'!BA$3)-9,12),FALSE),'19_Расчет_аналитики'!BA1428*CapacityAge09*'19_Расчет_аналитики'!$F$1223,0)</f>
        <v/>
      </c>
      <c r="BB1540">
        <f>IF(IF('01_Вводные'!$B$296="Новый сезон",9-1&gt;MOD(MONTH('06_Сеть_и_дети'!BB$3)-9,12),FALSE),'19_Расчет_аналитики'!BB1428*CapacityAge09*'19_Расчет_аналитики'!$F$1223,0)</f>
        <v/>
      </c>
      <c r="BC1540">
        <f>IF(IF('01_Вводные'!$B$296="Новый сезон",9-1&gt;MOD(MONTH('06_Сеть_и_дети'!BC$3)-9,12),FALSE),'19_Расчет_аналитики'!BC1428*CapacityAge09*'19_Расчет_аналитики'!$F$1223,0)</f>
        <v/>
      </c>
      <c r="BD1540">
        <f>IF(IF('01_Вводные'!$B$296="Новый сезон",9-1&gt;MOD(MONTH('06_Сеть_и_дети'!BD$3)-9,12),FALSE),'19_Расчет_аналитики'!BD1428*CapacityAge09*'19_Расчет_аналитики'!$F$1223,0)</f>
        <v/>
      </c>
      <c r="BE1540">
        <f>IF(IF('01_Вводные'!$B$296="Новый сезон",9-1&gt;MOD(MONTH('06_Сеть_и_дети'!BE$3)-9,12),FALSE),'19_Расчет_аналитики'!BE1428*CapacityAge09*'19_Расчет_аналитики'!$F$1223,0)</f>
        <v/>
      </c>
      <c r="BF1540">
        <f>IF(IF('01_Вводные'!$B$296="Новый сезон",9-1&gt;MOD(MONTH('06_Сеть_и_дети'!BF$3)-9,12),FALSE),'19_Расчет_аналитики'!BF1428*CapacityAge09*'19_Расчет_аналитики'!$F$1223,0)</f>
        <v/>
      </c>
      <c r="BG1540">
        <f>IF(IF('01_Вводные'!$B$296="Новый сезон",9-1&gt;MOD(MONTH('06_Сеть_и_дети'!BG$3)-9,12),FALSE),'19_Расчет_аналитики'!BG1428*CapacityAge09*'19_Расчет_аналитики'!$F$1223,0)</f>
        <v/>
      </c>
      <c r="BH1540">
        <f>IF(IF('01_Вводные'!$B$296="Новый сезон",9-1&gt;MOD(MONTH('06_Сеть_и_дети'!BH$3)-9,12),FALSE),'19_Расчет_аналитики'!BH1428*CapacityAge09*'19_Расчет_аналитики'!$F$1223,0)</f>
        <v/>
      </c>
      <c r="BI1540">
        <f>IF(IF('01_Вводные'!$B$296="Новый сезон",9-1&gt;MOD(MONTH('06_Сеть_и_дети'!BI$3)-9,12),FALSE),'19_Расчет_аналитики'!BI1428*CapacityAge09*'19_Расчет_аналитики'!$F$1223,0)</f>
        <v/>
      </c>
      <c r="BJ1540">
        <f>IF(IF('01_Вводные'!$B$296="Новый сезон",9-1&gt;MOD(MONTH('06_Сеть_и_дети'!BJ$3)-9,12),FALSE),'19_Расчет_аналитики'!BJ1428*CapacityAge09*'19_Расчет_аналитики'!$F$1223,0)</f>
        <v/>
      </c>
      <c r="BK1540">
        <f>IF(IF('01_Вводные'!$B$296="Новый сезон",9-1&gt;MOD(MONTH('06_Сеть_и_дети'!BK$3)-9,12),FALSE),'19_Расчет_аналитики'!BK1428*CapacityAge09*'19_Расчет_аналитики'!$F$1223,0)</f>
        <v/>
      </c>
      <c r="BL1540">
        <f>IF(IF('01_Вводные'!$B$296="Новый сезон",9-1&gt;MOD(MONTH('06_Сеть_и_дети'!BL$3)-9,12),FALSE),'19_Расчет_аналитики'!BL1428*CapacityAge09*'19_Расчет_аналитики'!$F$1223,0)</f>
        <v/>
      </c>
      <c r="BM1540">
        <f>IF(IF('01_Вводные'!$B$296="Новый сезон",9-1&gt;MOD(MONTH('06_Сеть_и_дети'!BM$3)-9,12),FALSE),'19_Расчет_аналитики'!BM1428*CapacityAge09*'19_Расчет_аналитики'!$F$1223,0)</f>
        <v/>
      </c>
      <c r="BN1540">
        <f>IF(IF('01_Вводные'!$B$296="Новый сезон",9-1&gt;MOD(MONTH('06_Сеть_и_дети'!BN$3)-9,12),FALSE),'19_Расчет_аналитики'!BN1428*CapacityAge09*'19_Расчет_аналитики'!$F$1223,0)</f>
        <v/>
      </c>
      <c r="BO1540">
        <f>IF(IF('01_Вводные'!$B$296="Новый сезон",9-1&gt;MOD(MONTH('06_Сеть_и_дети'!BO$3)-9,12),FALSE),'19_Расчет_аналитики'!BO1428*CapacityAge09*'19_Расчет_аналитики'!$F$1223,0)</f>
        <v/>
      </c>
    </row>
    <row r="1541">
      <c r="B1541">
        <f>IF(IF('01_Вводные'!$B$296="Новый сезон",10-1&gt;MOD(MONTH('06_Сеть_и_дети'!B$3)-9,12),FALSE),'06_Сеть_и_дети'!B62*CapacityAge10*'19_Расчет_аналитики'!$F$1223,0)</f>
        <v/>
      </c>
      <c r="C1541">
        <f>IF(IF('01_Вводные'!$B$296="Новый сезон",10-1&gt;MOD(MONTH('06_Сеть_и_дети'!C$3)-9,12),FALSE),'06_Сеть_и_дети'!C62*CapacityAge10*'19_Расчет_аналитики'!$F$1223,0)</f>
        <v/>
      </c>
      <c r="D1541">
        <f>IF(IF('01_Вводные'!$B$296="Новый сезон",10-1&gt;MOD(MONTH('06_Сеть_и_дети'!D$3)-9,12),FALSE),'06_Сеть_и_дети'!D62*CapacityAge10*'19_Расчет_аналитики'!$F$1223,0)</f>
        <v/>
      </c>
      <c r="E1541">
        <f>IF(IF('01_Вводные'!$B$296="Новый сезон",10-1&gt;MOD(MONTH('06_Сеть_и_дети'!E$3)-9,12),FALSE),'06_Сеть_и_дети'!E62*CapacityAge10*'19_Расчет_аналитики'!$F$1223,0)</f>
        <v/>
      </c>
      <c r="F1541">
        <f>IF(IF('01_Вводные'!$B$296="Новый сезон",10-1&gt;MOD(MONTH('06_Сеть_и_дети'!F$3)-9,12),FALSE),'06_Сеть_и_дети'!F62*CapacityAge10*'19_Расчет_аналитики'!$F$1223,0)</f>
        <v/>
      </c>
      <c r="G1541">
        <f>IF(IF('01_Вводные'!$B$296="Новый сезон",10-1&gt;MOD(MONTH('06_Сеть_и_дети'!G$3)-9,12),FALSE),'06_Сеть_и_дети'!G62*CapacityAge10*'19_Расчет_аналитики'!$F$1223,0)</f>
        <v/>
      </c>
      <c r="H1541">
        <f>IF(IF('01_Вводные'!$B$296="Новый сезон",10-1&gt;MOD(MONTH('06_Сеть_и_дети'!H$3)-9,12),FALSE),'06_Сеть_и_дети'!H62*CapacityAge10*'19_Расчет_аналитики'!$F$1223,0)</f>
        <v/>
      </c>
      <c r="I1541">
        <f>IF(IF('01_Вводные'!$B$296="Новый сезон",10-1&gt;MOD(MONTH('06_Сеть_и_дети'!I$3)-9,12),FALSE),'06_Сеть_и_дети'!I62*CapacityAge10*'19_Расчет_аналитики'!$F$1223,0)</f>
        <v/>
      </c>
      <c r="J1541">
        <f>IF(IF('01_Вводные'!$B$296="Новый сезон",10-1&gt;MOD(MONTH('06_Сеть_и_дети'!J$3)-9,12),FALSE),'06_Сеть_и_дети'!J62*CapacityAge10*'19_Расчет_аналитики'!$F$1223,0)</f>
        <v/>
      </c>
      <c r="K1541">
        <f>IF(IF('01_Вводные'!$B$296="Новый сезон",10-1&gt;MOD(MONTH('06_Сеть_и_дети'!K$3)-9,12),FALSE),'19_Расчет_аналитики'!K1429*CapacityAge10*'19_Расчет_аналитики'!$F$1223,0)</f>
        <v/>
      </c>
      <c r="L1541">
        <f>IF(IF('01_Вводные'!$B$296="Новый сезон",10-1&gt;MOD(MONTH('06_Сеть_и_дети'!L$3)-9,12),FALSE),'19_Расчет_аналитики'!L1429*CapacityAge10*'19_Расчет_аналитики'!$F$1223,0)</f>
        <v/>
      </c>
      <c r="M1541">
        <f>IF(IF('01_Вводные'!$B$296="Новый сезон",10-1&gt;MOD(MONTH('06_Сеть_и_дети'!M$3)-9,12),FALSE),'19_Расчет_аналитики'!M1429*CapacityAge10*'19_Расчет_аналитики'!$F$1223,0)</f>
        <v/>
      </c>
      <c r="N1541">
        <f>IF(IF('01_Вводные'!$B$296="Новый сезон",10-1&gt;MOD(MONTH('06_Сеть_и_дети'!N$3)-9,12),FALSE),'19_Расчет_аналитики'!N1429*CapacityAge10*'19_Расчет_аналитики'!$F$1223,0)</f>
        <v/>
      </c>
      <c r="O1541">
        <f>IF(IF('01_Вводные'!$B$296="Новый сезон",10-1&gt;MOD(MONTH('06_Сеть_и_дети'!O$3)-9,12),FALSE),'19_Расчет_аналитики'!O1429*CapacityAge10*'19_Расчет_аналитики'!$F$1223,0)</f>
        <v/>
      </c>
      <c r="P1541">
        <f>IF(IF('01_Вводные'!$B$296="Новый сезон",10-1&gt;MOD(MONTH('06_Сеть_и_дети'!P$3)-9,12),FALSE),'19_Расчет_аналитики'!P1429*CapacityAge10*'19_Расчет_аналитики'!$F$1223,0)</f>
        <v/>
      </c>
      <c r="Q1541">
        <f>IF(IF('01_Вводные'!$B$296="Новый сезон",10-1&gt;MOD(MONTH('06_Сеть_и_дети'!Q$3)-9,12),FALSE),'19_Расчет_аналитики'!Q1429*CapacityAge10*'19_Расчет_аналитики'!$F$1223,0)</f>
        <v/>
      </c>
      <c r="R1541">
        <f>IF(IF('01_Вводные'!$B$296="Новый сезон",10-1&gt;MOD(MONTH('06_Сеть_и_дети'!R$3)-9,12),FALSE),'19_Расчет_аналитики'!R1429*CapacityAge10*'19_Расчет_аналитики'!$F$1223,0)</f>
        <v/>
      </c>
      <c r="S1541">
        <f>IF(IF('01_Вводные'!$B$296="Новый сезон",10-1&gt;MOD(MONTH('06_Сеть_и_дети'!S$3)-9,12),FALSE),'19_Расчет_аналитики'!S1429*CapacityAge10*'19_Расчет_аналитики'!$F$1223,0)</f>
        <v/>
      </c>
      <c r="T1541">
        <f>IF(IF('01_Вводные'!$B$296="Новый сезон",10-1&gt;MOD(MONTH('06_Сеть_и_дети'!T$3)-9,12),FALSE),'19_Расчет_аналитики'!T1429*CapacityAge10*'19_Расчет_аналитики'!$F$1223,0)</f>
        <v/>
      </c>
      <c r="U1541">
        <f>IF(IF('01_Вводные'!$B$296="Новый сезон",10-1&gt;MOD(MONTH('06_Сеть_и_дети'!U$3)-9,12),FALSE),'19_Расчет_аналитики'!U1429*CapacityAge10*'19_Расчет_аналитики'!$F$1223,0)</f>
        <v/>
      </c>
      <c r="V1541">
        <f>IF(IF('01_Вводные'!$B$296="Новый сезон",10-1&gt;MOD(MONTH('06_Сеть_и_дети'!V$3)-9,12),FALSE),'19_Расчет_аналитики'!V1429*CapacityAge10*'19_Расчет_аналитики'!$F$1223,0)</f>
        <v/>
      </c>
      <c r="W1541">
        <f>IF(IF('01_Вводные'!$B$296="Новый сезон",10-1&gt;MOD(MONTH('06_Сеть_и_дети'!W$3)-9,12),FALSE),'19_Расчет_аналитики'!W1429*CapacityAge10*'19_Расчет_аналитики'!$F$1223,0)</f>
        <v/>
      </c>
      <c r="X1541">
        <f>IF(IF('01_Вводные'!$B$296="Новый сезон",10-1&gt;MOD(MONTH('06_Сеть_и_дети'!X$3)-9,12),FALSE),'19_Расчет_аналитики'!X1429*CapacityAge10*'19_Расчет_аналитики'!$F$1223,0)</f>
        <v/>
      </c>
      <c r="Y1541">
        <f>IF(IF('01_Вводные'!$B$296="Новый сезон",10-1&gt;MOD(MONTH('06_Сеть_и_дети'!Y$3)-9,12),FALSE),'19_Расчет_аналитики'!Y1429*CapacityAge10*'19_Расчет_аналитики'!$F$1223,0)</f>
        <v/>
      </c>
      <c r="Z1541">
        <f>IF(IF('01_Вводные'!$B$296="Новый сезон",10-1&gt;MOD(MONTH('06_Сеть_и_дети'!Z$3)-9,12),FALSE),'19_Расчет_аналитики'!Z1429*CapacityAge10*'19_Расчет_аналитики'!$F$1223,0)</f>
        <v/>
      </c>
      <c r="AA1541">
        <f>IF(IF('01_Вводные'!$B$296="Новый сезон",10-1&gt;MOD(MONTH('06_Сеть_и_дети'!AA$3)-9,12),FALSE),'19_Расчет_аналитики'!AA1429*CapacityAge10*'19_Расчет_аналитики'!$F$1223,0)</f>
        <v/>
      </c>
      <c r="AB1541">
        <f>IF(IF('01_Вводные'!$B$296="Новый сезон",10-1&gt;MOD(MONTH('06_Сеть_и_дети'!AB$3)-9,12),FALSE),'19_Расчет_аналитики'!AB1429*CapacityAge10*'19_Расчет_аналитики'!$F$1223,0)</f>
        <v/>
      </c>
      <c r="AC1541">
        <f>IF(IF('01_Вводные'!$B$296="Новый сезон",10-1&gt;MOD(MONTH('06_Сеть_и_дети'!AC$3)-9,12),FALSE),'19_Расчет_аналитики'!AC1429*CapacityAge10*'19_Расчет_аналитики'!$F$1223,0)</f>
        <v/>
      </c>
      <c r="AD1541">
        <f>IF(IF('01_Вводные'!$B$296="Новый сезон",10-1&gt;MOD(MONTH('06_Сеть_и_дети'!AD$3)-9,12),FALSE),'19_Расчет_аналитики'!AD1429*CapacityAge10*'19_Расчет_аналитики'!$F$1223,0)</f>
        <v/>
      </c>
      <c r="AE1541">
        <f>IF(IF('01_Вводные'!$B$296="Новый сезон",10-1&gt;MOD(MONTH('06_Сеть_и_дети'!AE$3)-9,12),FALSE),'19_Расчет_аналитики'!AE1429*CapacityAge10*'19_Расчет_аналитики'!$F$1223,0)</f>
        <v/>
      </c>
      <c r="AF1541">
        <f>IF(IF('01_Вводные'!$B$296="Новый сезон",10-1&gt;MOD(MONTH('06_Сеть_и_дети'!AF$3)-9,12),FALSE),'19_Расчет_аналитики'!AF1429*CapacityAge10*'19_Расчет_аналитики'!$F$1223,0)</f>
        <v/>
      </c>
      <c r="AG1541">
        <f>IF(IF('01_Вводные'!$B$296="Новый сезон",10-1&gt;MOD(MONTH('06_Сеть_и_дети'!AG$3)-9,12),FALSE),'19_Расчет_аналитики'!AG1429*CapacityAge10*'19_Расчет_аналитики'!$F$1223,0)</f>
        <v/>
      </c>
      <c r="AH1541">
        <f>IF(IF('01_Вводные'!$B$296="Новый сезон",10-1&gt;MOD(MONTH('06_Сеть_и_дети'!AH$3)-9,12),FALSE),'19_Расчет_аналитики'!AH1429*CapacityAge10*'19_Расчет_аналитики'!$F$1223,0)</f>
        <v/>
      </c>
      <c r="AI1541">
        <f>IF(IF('01_Вводные'!$B$296="Новый сезон",10-1&gt;MOD(MONTH('06_Сеть_и_дети'!AI$3)-9,12),FALSE),'19_Расчет_аналитики'!AI1429*CapacityAge10*'19_Расчет_аналитики'!$F$1223,0)</f>
        <v/>
      </c>
      <c r="AJ1541">
        <f>IF(IF('01_Вводные'!$B$296="Новый сезон",10-1&gt;MOD(MONTH('06_Сеть_и_дети'!AJ$3)-9,12),FALSE),'19_Расчет_аналитики'!AJ1429*CapacityAge10*'19_Расчет_аналитики'!$F$1223,0)</f>
        <v/>
      </c>
      <c r="AK1541">
        <f>IF(IF('01_Вводные'!$B$296="Новый сезон",10-1&gt;MOD(MONTH('06_Сеть_и_дети'!AK$3)-9,12),FALSE),'19_Расчет_аналитики'!AK1429*CapacityAge10*'19_Расчет_аналитики'!$F$1223,0)</f>
        <v/>
      </c>
      <c r="AL1541">
        <f>IF(IF('01_Вводные'!$B$296="Новый сезон",10-1&gt;MOD(MONTH('06_Сеть_и_дети'!AL$3)-9,12),FALSE),'19_Расчет_аналитики'!AL1429*CapacityAge10*'19_Расчет_аналитики'!$F$1223,0)</f>
        <v/>
      </c>
      <c r="AM1541">
        <f>IF(IF('01_Вводные'!$B$296="Новый сезон",10-1&gt;MOD(MONTH('06_Сеть_и_дети'!AM$3)-9,12),FALSE),'19_Расчет_аналитики'!AM1429*CapacityAge10*'19_Расчет_аналитики'!$F$1223,0)</f>
        <v/>
      </c>
      <c r="AN1541">
        <f>IF(IF('01_Вводные'!$B$296="Новый сезон",10-1&gt;MOD(MONTH('06_Сеть_и_дети'!AN$3)-9,12),FALSE),'19_Расчет_аналитики'!AN1429*CapacityAge10*'19_Расчет_аналитики'!$F$1223,0)</f>
        <v/>
      </c>
      <c r="AO1541">
        <f>IF(IF('01_Вводные'!$B$296="Новый сезон",10-1&gt;MOD(MONTH('06_Сеть_и_дети'!AO$3)-9,12),FALSE),'19_Расчет_аналитики'!AO1429*CapacityAge10*'19_Расчет_аналитики'!$F$1223,0)</f>
        <v/>
      </c>
      <c r="AP1541">
        <f>IF(IF('01_Вводные'!$B$296="Новый сезон",10-1&gt;MOD(MONTH('06_Сеть_и_дети'!AP$3)-9,12),FALSE),'19_Расчет_аналитики'!AP1429*CapacityAge10*'19_Расчет_аналитики'!$F$1223,0)</f>
        <v/>
      </c>
      <c r="AQ1541">
        <f>IF(IF('01_Вводные'!$B$296="Новый сезон",10-1&gt;MOD(MONTH('06_Сеть_и_дети'!AQ$3)-9,12),FALSE),'19_Расчет_аналитики'!AQ1429*CapacityAge10*'19_Расчет_аналитики'!$F$1223,0)</f>
        <v/>
      </c>
      <c r="AR1541">
        <f>IF(IF('01_Вводные'!$B$296="Новый сезон",10-1&gt;MOD(MONTH('06_Сеть_и_дети'!AR$3)-9,12),FALSE),'19_Расчет_аналитики'!AR1429*CapacityAge10*'19_Расчет_аналитики'!$F$1223,0)</f>
        <v/>
      </c>
      <c r="AS1541">
        <f>IF(IF('01_Вводные'!$B$296="Новый сезон",10-1&gt;MOD(MONTH('06_Сеть_и_дети'!AS$3)-9,12),FALSE),'19_Расчет_аналитики'!AS1429*CapacityAge10*'19_Расчет_аналитики'!$F$1223,0)</f>
        <v/>
      </c>
      <c r="AT1541">
        <f>IF(IF('01_Вводные'!$B$296="Новый сезон",10-1&gt;MOD(MONTH('06_Сеть_и_дети'!AT$3)-9,12),FALSE),'19_Расчет_аналитики'!AT1429*CapacityAge10*'19_Расчет_аналитики'!$F$1223,0)</f>
        <v/>
      </c>
      <c r="AU1541">
        <f>IF(IF('01_Вводные'!$B$296="Новый сезон",10-1&gt;MOD(MONTH('06_Сеть_и_дети'!AU$3)-9,12),FALSE),'19_Расчет_аналитики'!AU1429*CapacityAge10*'19_Расчет_аналитики'!$F$1223,0)</f>
        <v/>
      </c>
      <c r="AV1541">
        <f>IF(IF('01_Вводные'!$B$296="Новый сезон",10-1&gt;MOD(MONTH('06_Сеть_и_дети'!AV$3)-9,12),FALSE),'19_Расчет_аналитики'!AV1429*CapacityAge10*'19_Расчет_аналитики'!$F$1223,0)</f>
        <v/>
      </c>
      <c r="AW1541">
        <f>IF(IF('01_Вводные'!$B$296="Новый сезон",10-1&gt;MOD(MONTH('06_Сеть_и_дети'!AW$3)-9,12),FALSE),'19_Расчет_аналитики'!AW1429*CapacityAge10*'19_Расчет_аналитики'!$F$1223,0)</f>
        <v/>
      </c>
      <c r="AX1541">
        <f>IF(IF('01_Вводные'!$B$296="Новый сезон",10-1&gt;MOD(MONTH('06_Сеть_и_дети'!AX$3)-9,12),FALSE),'19_Расчет_аналитики'!AX1429*CapacityAge10*'19_Расчет_аналитики'!$F$1223,0)</f>
        <v/>
      </c>
      <c r="AY1541">
        <f>IF(IF('01_Вводные'!$B$296="Новый сезон",10-1&gt;MOD(MONTH('06_Сеть_и_дети'!AY$3)-9,12),FALSE),'19_Расчет_аналитики'!AY1429*CapacityAge10*'19_Расчет_аналитики'!$F$1223,0)</f>
        <v/>
      </c>
      <c r="AZ1541">
        <f>IF(IF('01_Вводные'!$B$296="Новый сезон",10-1&gt;MOD(MONTH('06_Сеть_и_дети'!AZ$3)-9,12),FALSE),'19_Расчет_аналитики'!AZ1429*CapacityAge10*'19_Расчет_аналитики'!$F$1223,0)</f>
        <v/>
      </c>
      <c r="BA1541">
        <f>IF(IF('01_Вводные'!$B$296="Новый сезон",10-1&gt;MOD(MONTH('06_Сеть_и_дети'!BA$3)-9,12),FALSE),'19_Расчет_аналитики'!BA1429*CapacityAge10*'19_Расчет_аналитики'!$F$1223,0)</f>
        <v/>
      </c>
      <c r="BB1541">
        <f>IF(IF('01_Вводные'!$B$296="Новый сезон",10-1&gt;MOD(MONTH('06_Сеть_и_дети'!BB$3)-9,12),FALSE),'19_Расчет_аналитики'!BB1429*CapacityAge10*'19_Расчет_аналитики'!$F$1223,0)</f>
        <v/>
      </c>
      <c r="BC1541">
        <f>IF(IF('01_Вводные'!$B$296="Новый сезон",10-1&gt;MOD(MONTH('06_Сеть_и_дети'!BC$3)-9,12),FALSE),'19_Расчет_аналитики'!BC1429*CapacityAge10*'19_Расчет_аналитики'!$F$1223,0)</f>
        <v/>
      </c>
      <c r="BD1541">
        <f>IF(IF('01_Вводные'!$B$296="Новый сезон",10-1&gt;MOD(MONTH('06_Сеть_и_дети'!BD$3)-9,12),FALSE),'19_Расчет_аналитики'!BD1429*CapacityAge10*'19_Расчет_аналитики'!$F$1223,0)</f>
        <v/>
      </c>
      <c r="BE1541">
        <f>IF(IF('01_Вводные'!$B$296="Новый сезон",10-1&gt;MOD(MONTH('06_Сеть_и_дети'!BE$3)-9,12),FALSE),'19_Расчет_аналитики'!BE1429*CapacityAge10*'19_Расчет_аналитики'!$F$1223,0)</f>
        <v/>
      </c>
      <c r="BF1541">
        <f>IF(IF('01_Вводные'!$B$296="Новый сезон",10-1&gt;MOD(MONTH('06_Сеть_и_дети'!BF$3)-9,12),FALSE),'19_Расчет_аналитики'!BF1429*CapacityAge10*'19_Расчет_аналитики'!$F$1223,0)</f>
        <v/>
      </c>
      <c r="BG1541">
        <f>IF(IF('01_Вводные'!$B$296="Новый сезон",10-1&gt;MOD(MONTH('06_Сеть_и_дети'!BG$3)-9,12),FALSE),'19_Расчет_аналитики'!BG1429*CapacityAge10*'19_Расчет_аналитики'!$F$1223,0)</f>
        <v/>
      </c>
      <c r="BH1541">
        <f>IF(IF('01_Вводные'!$B$296="Новый сезон",10-1&gt;MOD(MONTH('06_Сеть_и_дети'!BH$3)-9,12),FALSE),'19_Расчет_аналитики'!BH1429*CapacityAge10*'19_Расчет_аналитики'!$F$1223,0)</f>
        <v/>
      </c>
      <c r="BI1541">
        <f>IF(IF('01_Вводные'!$B$296="Новый сезон",10-1&gt;MOD(MONTH('06_Сеть_и_дети'!BI$3)-9,12),FALSE),'19_Расчет_аналитики'!BI1429*CapacityAge10*'19_Расчет_аналитики'!$F$1223,0)</f>
        <v/>
      </c>
      <c r="BJ1541">
        <f>IF(IF('01_Вводные'!$B$296="Новый сезон",10-1&gt;MOD(MONTH('06_Сеть_и_дети'!BJ$3)-9,12),FALSE),'19_Расчет_аналитики'!BJ1429*CapacityAge10*'19_Расчет_аналитики'!$F$1223,0)</f>
        <v/>
      </c>
      <c r="BK1541">
        <f>IF(IF('01_Вводные'!$B$296="Новый сезон",10-1&gt;MOD(MONTH('06_Сеть_и_дети'!BK$3)-9,12),FALSE),'19_Расчет_аналитики'!BK1429*CapacityAge10*'19_Расчет_аналитики'!$F$1223,0)</f>
        <v/>
      </c>
      <c r="BL1541">
        <f>IF(IF('01_Вводные'!$B$296="Новый сезон",10-1&gt;MOD(MONTH('06_Сеть_и_дети'!BL$3)-9,12),FALSE),'19_Расчет_аналитики'!BL1429*CapacityAge10*'19_Расчет_аналитики'!$F$1223,0)</f>
        <v/>
      </c>
      <c r="BM1541">
        <f>IF(IF('01_Вводные'!$B$296="Новый сезон",10-1&gt;MOD(MONTH('06_Сеть_и_дети'!BM$3)-9,12),FALSE),'19_Расчет_аналитики'!BM1429*CapacityAge10*'19_Расчет_аналитики'!$F$1223,0)</f>
        <v/>
      </c>
      <c r="BN1541">
        <f>IF(IF('01_Вводные'!$B$296="Новый сезон",10-1&gt;MOD(MONTH('06_Сеть_и_дети'!BN$3)-9,12),FALSE),'19_Расчет_аналитики'!BN1429*CapacityAge10*'19_Расчет_аналитики'!$F$1223,0)</f>
        <v/>
      </c>
      <c r="BO1541">
        <f>IF(IF('01_Вводные'!$B$296="Новый сезон",10-1&gt;MOD(MONTH('06_Сеть_и_дети'!BO$3)-9,12),FALSE),'19_Расчет_аналитики'!BO1429*CapacityAge10*'19_Расчет_аналитики'!$F$1223,0)</f>
        <v/>
      </c>
    </row>
    <row r="1542">
      <c r="B1542">
        <f>IF(IF('01_Вводные'!$B$296="Новый сезон",11-1&gt;MOD(MONTH('06_Сеть_и_дети'!B$3)-9,12),FALSE),'06_Сеть_и_дети'!B63*CapacityAge11*'19_Расчет_аналитики'!$F$1223,0)</f>
        <v/>
      </c>
      <c r="C1542">
        <f>IF(IF('01_Вводные'!$B$296="Новый сезон",11-1&gt;MOD(MONTH('06_Сеть_и_дети'!C$3)-9,12),FALSE),'06_Сеть_и_дети'!C63*CapacityAge11*'19_Расчет_аналитики'!$F$1223,0)</f>
        <v/>
      </c>
      <c r="D1542">
        <f>IF(IF('01_Вводные'!$B$296="Новый сезон",11-1&gt;MOD(MONTH('06_Сеть_и_дети'!D$3)-9,12),FALSE),'06_Сеть_и_дети'!D63*CapacityAge11*'19_Расчет_аналитики'!$F$1223,0)</f>
        <v/>
      </c>
      <c r="E1542">
        <f>IF(IF('01_Вводные'!$B$296="Новый сезон",11-1&gt;MOD(MONTH('06_Сеть_и_дети'!E$3)-9,12),FALSE),'06_Сеть_и_дети'!E63*CapacityAge11*'19_Расчет_аналитики'!$F$1223,0)</f>
        <v/>
      </c>
      <c r="F1542">
        <f>IF(IF('01_Вводные'!$B$296="Новый сезон",11-1&gt;MOD(MONTH('06_Сеть_и_дети'!F$3)-9,12),FALSE),'06_Сеть_и_дети'!F63*CapacityAge11*'19_Расчет_аналитики'!$F$1223,0)</f>
        <v/>
      </c>
      <c r="G1542">
        <f>IF(IF('01_Вводные'!$B$296="Новый сезон",11-1&gt;MOD(MONTH('06_Сеть_и_дети'!G$3)-9,12),FALSE),'06_Сеть_и_дети'!G63*CapacityAge11*'19_Расчет_аналитики'!$F$1223,0)</f>
        <v/>
      </c>
      <c r="H1542">
        <f>IF(IF('01_Вводные'!$B$296="Новый сезон",11-1&gt;MOD(MONTH('06_Сеть_и_дети'!H$3)-9,12),FALSE),'06_Сеть_и_дети'!H63*CapacityAge11*'19_Расчет_аналитики'!$F$1223,0)</f>
        <v/>
      </c>
      <c r="I1542">
        <f>IF(IF('01_Вводные'!$B$296="Новый сезон",11-1&gt;MOD(MONTH('06_Сеть_и_дети'!I$3)-9,12),FALSE),'06_Сеть_и_дети'!I63*CapacityAge11*'19_Расчет_аналитики'!$F$1223,0)</f>
        <v/>
      </c>
      <c r="J1542">
        <f>IF(IF('01_Вводные'!$B$296="Новый сезон",11-1&gt;MOD(MONTH('06_Сеть_и_дети'!J$3)-9,12),FALSE),'06_Сеть_и_дети'!J63*CapacityAge11*'19_Расчет_аналитики'!$F$1223,0)</f>
        <v/>
      </c>
      <c r="K1542">
        <f>IF(IF('01_Вводные'!$B$296="Новый сезон",11-1&gt;MOD(MONTH('06_Сеть_и_дети'!K$3)-9,12),FALSE),'06_Сеть_и_дети'!K63*CapacityAge11*'19_Расчет_аналитики'!$F$1223,0)</f>
        <v/>
      </c>
      <c r="L1542">
        <f>IF(IF('01_Вводные'!$B$296="Новый сезон",11-1&gt;MOD(MONTH('06_Сеть_и_дети'!L$3)-9,12),FALSE),'19_Расчет_аналитики'!L1430*CapacityAge11*'19_Расчет_аналитики'!$F$1223,0)</f>
        <v/>
      </c>
      <c r="M1542">
        <f>IF(IF('01_Вводные'!$B$296="Новый сезон",11-1&gt;MOD(MONTH('06_Сеть_и_дети'!M$3)-9,12),FALSE),'19_Расчет_аналитики'!M1430*CapacityAge11*'19_Расчет_аналитики'!$F$1223,0)</f>
        <v/>
      </c>
      <c r="N1542">
        <f>IF(IF('01_Вводные'!$B$296="Новый сезон",11-1&gt;MOD(MONTH('06_Сеть_и_дети'!N$3)-9,12),FALSE),'19_Расчет_аналитики'!N1430*CapacityAge11*'19_Расчет_аналитики'!$F$1223,0)</f>
        <v/>
      </c>
      <c r="O1542">
        <f>IF(IF('01_Вводные'!$B$296="Новый сезон",11-1&gt;MOD(MONTH('06_Сеть_и_дети'!O$3)-9,12),FALSE),'19_Расчет_аналитики'!O1430*CapacityAge11*'19_Расчет_аналитики'!$F$1223,0)</f>
        <v/>
      </c>
      <c r="P1542">
        <f>IF(IF('01_Вводные'!$B$296="Новый сезон",11-1&gt;MOD(MONTH('06_Сеть_и_дети'!P$3)-9,12),FALSE),'19_Расчет_аналитики'!P1430*CapacityAge11*'19_Расчет_аналитики'!$F$1223,0)</f>
        <v/>
      </c>
      <c r="Q1542">
        <f>IF(IF('01_Вводные'!$B$296="Новый сезон",11-1&gt;MOD(MONTH('06_Сеть_и_дети'!Q$3)-9,12),FALSE),'19_Расчет_аналитики'!Q1430*CapacityAge11*'19_Расчет_аналитики'!$F$1223,0)</f>
        <v/>
      </c>
      <c r="R1542">
        <f>IF(IF('01_Вводные'!$B$296="Новый сезон",11-1&gt;MOD(MONTH('06_Сеть_и_дети'!R$3)-9,12),FALSE),'19_Расчет_аналитики'!R1430*CapacityAge11*'19_Расчет_аналитики'!$F$1223,0)</f>
        <v/>
      </c>
      <c r="S1542">
        <f>IF(IF('01_Вводные'!$B$296="Новый сезон",11-1&gt;MOD(MONTH('06_Сеть_и_дети'!S$3)-9,12),FALSE),'19_Расчет_аналитики'!S1430*CapacityAge11*'19_Расчет_аналитики'!$F$1223,0)</f>
        <v/>
      </c>
      <c r="T1542">
        <f>IF(IF('01_Вводные'!$B$296="Новый сезон",11-1&gt;MOD(MONTH('06_Сеть_и_дети'!T$3)-9,12),FALSE),'19_Расчет_аналитики'!T1430*CapacityAge11*'19_Расчет_аналитики'!$F$1223,0)</f>
        <v/>
      </c>
      <c r="U1542">
        <f>IF(IF('01_Вводные'!$B$296="Новый сезон",11-1&gt;MOD(MONTH('06_Сеть_и_дети'!U$3)-9,12),FALSE),'19_Расчет_аналитики'!U1430*CapacityAge11*'19_Расчет_аналитики'!$F$1223,0)</f>
        <v/>
      </c>
      <c r="V1542">
        <f>IF(IF('01_Вводные'!$B$296="Новый сезон",11-1&gt;MOD(MONTH('06_Сеть_и_дети'!V$3)-9,12),FALSE),'19_Расчет_аналитики'!V1430*CapacityAge11*'19_Расчет_аналитики'!$F$1223,0)</f>
        <v/>
      </c>
      <c r="W1542">
        <f>IF(IF('01_Вводные'!$B$296="Новый сезон",11-1&gt;MOD(MONTH('06_Сеть_и_дети'!W$3)-9,12),FALSE),'19_Расчет_аналитики'!W1430*CapacityAge11*'19_Расчет_аналитики'!$F$1223,0)</f>
        <v/>
      </c>
      <c r="X1542">
        <f>IF(IF('01_Вводные'!$B$296="Новый сезон",11-1&gt;MOD(MONTH('06_Сеть_и_дети'!X$3)-9,12),FALSE),'19_Расчет_аналитики'!X1430*CapacityAge11*'19_Расчет_аналитики'!$F$1223,0)</f>
        <v/>
      </c>
      <c r="Y1542">
        <f>IF(IF('01_Вводные'!$B$296="Новый сезон",11-1&gt;MOD(MONTH('06_Сеть_и_дети'!Y$3)-9,12),FALSE),'19_Расчет_аналитики'!Y1430*CapacityAge11*'19_Расчет_аналитики'!$F$1223,0)</f>
        <v/>
      </c>
      <c r="Z1542">
        <f>IF(IF('01_Вводные'!$B$296="Новый сезон",11-1&gt;MOD(MONTH('06_Сеть_и_дети'!Z$3)-9,12),FALSE),'19_Расчет_аналитики'!Z1430*CapacityAge11*'19_Расчет_аналитики'!$F$1223,0)</f>
        <v/>
      </c>
      <c r="AA1542">
        <f>IF(IF('01_Вводные'!$B$296="Новый сезон",11-1&gt;MOD(MONTH('06_Сеть_и_дети'!AA$3)-9,12),FALSE),'19_Расчет_аналитики'!AA1430*CapacityAge11*'19_Расчет_аналитики'!$F$1223,0)</f>
        <v/>
      </c>
      <c r="AB1542">
        <f>IF(IF('01_Вводные'!$B$296="Новый сезон",11-1&gt;MOD(MONTH('06_Сеть_и_дети'!AB$3)-9,12),FALSE),'19_Расчет_аналитики'!AB1430*CapacityAge11*'19_Расчет_аналитики'!$F$1223,0)</f>
        <v/>
      </c>
      <c r="AC1542">
        <f>IF(IF('01_Вводные'!$B$296="Новый сезон",11-1&gt;MOD(MONTH('06_Сеть_и_дети'!AC$3)-9,12),FALSE),'19_Расчет_аналитики'!AC1430*CapacityAge11*'19_Расчет_аналитики'!$F$1223,0)</f>
        <v/>
      </c>
      <c r="AD1542">
        <f>IF(IF('01_Вводные'!$B$296="Новый сезон",11-1&gt;MOD(MONTH('06_Сеть_и_дети'!AD$3)-9,12),FALSE),'19_Расчет_аналитики'!AD1430*CapacityAge11*'19_Расчет_аналитики'!$F$1223,0)</f>
        <v/>
      </c>
      <c r="AE1542">
        <f>IF(IF('01_Вводные'!$B$296="Новый сезон",11-1&gt;MOD(MONTH('06_Сеть_и_дети'!AE$3)-9,12),FALSE),'19_Расчет_аналитики'!AE1430*CapacityAge11*'19_Расчет_аналитики'!$F$1223,0)</f>
        <v/>
      </c>
      <c r="AF1542">
        <f>IF(IF('01_Вводные'!$B$296="Новый сезон",11-1&gt;MOD(MONTH('06_Сеть_и_дети'!AF$3)-9,12),FALSE),'19_Расчет_аналитики'!AF1430*CapacityAge11*'19_Расчет_аналитики'!$F$1223,0)</f>
        <v/>
      </c>
      <c r="AG1542">
        <f>IF(IF('01_Вводные'!$B$296="Новый сезон",11-1&gt;MOD(MONTH('06_Сеть_и_дети'!AG$3)-9,12),FALSE),'19_Расчет_аналитики'!AG1430*CapacityAge11*'19_Расчет_аналитики'!$F$1223,0)</f>
        <v/>
      </c>
      <c r="AH1542">
        <f>IF(IF('01_Вводные'!$B$296="Новый сезон",11-1&gt;MOD(MONTH('06_Сеть_и_дети'!AH$3)-9,12),FALSE),'19_Расчет_аналитики'!AH1430*CapacityAge11*'19_Расчет_аналитики'!$F$1223,0)</f>
        <v/>
      </c>
      <c r="AI1542">
        <f>IF(IF('01_Вводные'!$B$296="Новый сезон",11-1&gt;MOD(MONTH('06_Сеть_и_дети'!AI$3)-9,12),FALSE),'19_Расчет_аналитики'!AI1430*CapacityAge11*'19_Расчет_аналитики'!$F$1223,0)</f>
        <v/>
      </c>
      <c r="AJ1542">
        <f>IF(IF('01_Вводные'!$B$296="Новый сезон",11-1&gt;MOD(MONTH('06_Сеть_и_дети'!AJ$3)-9,12),FALSE),'19_Расчет_аналитики'!AJ1430*CapacityAge11*'19_Расчет_аналитики'!$F$1223,0)</f>
        <v/>
      </c>
      <c r="AK1542">
        <f>IF(IF('01_Вводные'!$B$296="Новый сезон",11-1&gt;MOD(MONTH('06_Сеть_и_дети'!AK$3)-9,12),FALSE),'19_Расчет_аналитики'!AK1430*CapacityAge11*'19_Расчет_аналитики'!$F$1223,0)</f>
        <v/>
      </c>
      <c r="AL1542">
        <f>IF(IF('01_Вводные'!$B$296="Новый сезон",11-1&gt;MOD(MONTH('06_Сеть_и_дети'!AL$3)-9,12),FALSE),'19_Расчет_аналитики'!AL1430*CapacityAge11*'19_Расчет_аналитики'!$F$1223,0)</f>
        <v/>
      </c>
      <c r="AM1542">
        <f>IF(IF('01_Вводные'!$B$296="Новый сезон",11-1&gt;MOD(MONTH('06_Сеть_и_дети'!AM$3)-9,12),FALSE),'19_Расчет_аналитики'!AM1430*CapacityAge11*'19_Расчет_аналитики'!$F$1223,0)</f>
        <v/>
      </c>
      <c r="AN1542">
        <f>IF(IF('01_Вводные'!$B$296="Новый сезон",11-1&gt;MOD(MONTH('06_Сеть_и_дети'!AN$3)-9,12),FALSE),'19_Расчет_аналитики'!AN1430*CapacityAge11*'19_Расчет_аналитики'!$F$1223,0)</f>
        <v/>
      </c>
      <c r="AO1542">
        <f>IF(IF('01_Вводные'!$B$296="Новый сезон",11-1&gt;MOD(MONTH('06_Сеть_и_дети'!AO$3)-9,12),FALSE),'19_Расчет_аналитики'!AO1430*CapacityAge11*'19_Расчет_аналитики'!$F$1223,0)</f>
        <v/>
      </c>
      <c r="AP1542">
        <f>IF(IF('01_Вводные'!$B$296="Новый сезон",11-1&gt;MOD(MONTH('06_Сеть_и_дети'!AP$3)-9,12),FALSE),'19_Расчет_аналитики'!AP1430*CapacityAge11*'19_Расчет_аналитики'!$F$1223,0)</f>
        <v/>
      </c>
      <c r="AQ1542">
        <f>IF(IF('01_Вводные'!$B$296="Новый сезон",11-1&gt;MOD(MONTH('06_Сеть_и_дети'!AQ$3)-9,12),FALSE),'19_Расчет_аналитики'!AQ1430*CapacityAge11*'19_Расчет_аналитики'!$F$1223,0)</f>
        <v/>
      </c>
      <c r="AR1542">
        <f>IF(IF('01_Вводные'!$B$296="Новый сезон",11-1&gt;MOD(MONTH('06_Сеть_и_дети'!AR$3)-9,12),FALSE),'19_Расчет_аналитики'!AR1430*CapacityAge11*'19_Расчет_аналитики'!$F$1223,0)</f>
        <v/>
      </c>
      <c r="AS1542">
        <f>IF(IF('01_Вводные'!$B$296="Новый сезон",11-1&gt;MOD(MONTH('06_Сеть_и_дети'!AS$3)-9,12),FALSE),'19_Расчет_аналитики'!AS1430*CapacityAge11*'19_Расчет_аналитики'!$F$1223,0)</f>
        <v/>
      </c>
      <c r="AT1542">
        <f>IF(IF('01_Вводные'!$B$296="Новый сезон",11-1&gt;MOD(MONTH('06_Сеть_и_дети'!AT$3)-9,12),FALSE),'19_Расчет_аналитики'!AT1430*CapacityAge11*'19_Расчет_аналитики'!$F$1223,0)</f>
        <v/>
      </c>
      <c r="AU1542">
        <f>IF(IF('01_Вводные'!$B$296="Новый сезон",11-1&gt;MOD(MONTH('06_Сеть_и_дети'!AU$3)-9,12),FALSE),'19_Расчет_аналитики'!AU1430*CapacityAge11*'19_Расчет_аналитики'!$F$1223,0)</f>
        <v/>
      </c>
      <c r="AV1542">
        <f>IF(IF('01_Вводные'!$B$296="Новый сезон",11-1&gt;MOD(MONTH('06_Сеть_и_дети'!AV$3)-9,12),FALSE),'19_Расчет_аналитики'!AV1430*CapacityAge11*'19_Расчет_аналитики'!$F$1223,0)</f>
        <v/>
      </c>
      <c r="AW1542">
        <f>IF(IF('01_Вводные'!$B$296="Новый сезон",11-1&gt;MOD(MONTH('06_Сеть_и_дети'!AW$3)-9,12),FALSE),'19_Расчет_аналитики'!AW1430*CapacityAge11*'19_Расчет_аналитики'!$F$1223,0)</f>
        <v/>
      </c>
      <c r="AX1542">
        <f>IF(IF('01_Вводные'!$B$296="Новый сезон",11-1&gt;MOD(MONTH('06_Сеть_и_дети'!AX$3)-9,12),FALSE),'19_Расчет_аналитики'!AX1430*CapacityAge11*'19_Расчет_аналитики'!$F$1223,0)</f>
        <v/>
      </c>
      <c r="AY1542">
        <f>IF(IF('01_Вводные'!$B$296="Новый сезон",11-1&gt;MOD(MONTH('06_Сеть_и_дети'!AY$3)-9,12),FALSE),'19_Расчет_аналитики'!AY1430*CapacityAge11*'19_Расчет_аналитики'!$F$1223,0)</f>
        <v/>
      </c>
      <c r="AZ1542">
        <f>IF(IF('01_Вводные'!$B$296="Новый сезон",11-1&gt;MOD(MONTH('06_Сеть_и_дети'!AZ$3)-9,12),FALSE),'19_Расчет_аналитики'!AZ1430*CapacityAge11*'19_Расчет_аналитики'!$F$1223,0)</f>
        <v/>
      </c>
      <c r="BA1542">
        <f>IF(IF('01_Вводные'!$B$296="Новый сезон",11-1&gt;MOD(MONTH('06_Сеть_и_дети'!BA$3)-9,12),FALSE),'19_Расчет_аналитики'!BA1430*CapacityAge11*'19_Расчет_аналитики'!$F$1223,0)</f>
        <v/>
      </c>
      <c r="BB1542">
        <f>IF(IF('01_Вводные'!$B$296="Новый сезон",11-1&gt;MOD(MONTH('06_Сеть_и_дети'!BB$3)-9,12),FALSE),'19_Расчет_аналитики'!BB1430*CapacityAge11*'19_Расчет_аналитики'!$F$1223,0)</f>
        <v/>
      </c>
      <c r="BC1542">
        <f>IF(IF('01_Вводные'!$B$296="Новый сезон",11-1&gt;MOD(MONTH('06_Сеть_и_дети'!BC$3)-9,12),FALSE),'19_Расчет_аналитики'!BC1430*CapacityAge11*'19_Расчет_аналитики'!$F$1223,0)</f>
        <v/>
      </c>
      <c r="BD1542">
        <f>IF(IF('01_Вводные'!$B$296="Новый сезон",11-1&gt;MOD(MONTH('06_Сеть_и_дети'!BD$3)-9,12),FALSE),'19_Расчет_аналитики'!BD1430*CapacityAge11*'19_Расчет_аналитики'!$F$1223,0)</f>
        <v/>
      </c>
      <c r="BE1542">
        <f>IF(IF('01_Вводные'!$B$296="Новый сезон",11-1&gt;MOD(MONTH('06_Сеть_и_дети'!BE$3)-9,12),FALSE),'19_Расчет_аналитики'!BE1430*CapacityAge11*'19_Расчет_аналитики'!$F$1223,0)</f>
        <v/>
      </c>
      <c r="BF1542">
        <f>IF(IF('01_Вводные'!$B$296="Новый сезон",11-1&gt;MOD(MONTH('06_Сеть_и_дети'!BF$3)-9,12),FALSE),'19_Расчет_аналитики'!BF1430*CapacityAge11*'19_Расчет_аналитики'!$F$1223,0)</f>
        <v/>
      </c>
      <c r="BG1542">
        <f>IF(IF('01_Вводные'!$B$296="Новый сезон",11-1&gt;MOD(MONTH('06_Сеть_и_дети'!BG$3)-9,12),FALSE),'19_Расчет_аналитики'!BG1430*CapacityAge11*'19_Расчет_аналитики'!$F$1223,0)</f>
        <v/>
      </c>
      <c r="BH1542">
        <f>IF(IF('01_Вводные'!$B$296="Новый сезон",11-1&gt;MOD(MONTH('06_Сеть_и_дети'!BH$3)-9,12),FALSE),'19_Расчет_аналитики'!BH1430*CapacityAge11*'19_Расчет_аналитики'!$F$1223,0)</f>
        <v/>
      </c>
      <c r="BI1542">
        <f>IF(IF('01_Вводные'!$B$296="Новый сезон",11-1&gt;MOD(MONTH('06_Сеть_и_дети'!BI$3)-9,12),FALSE),'19_Расчет_аналитики'!BI1430*CapacityAge11*'19_Расчет_аналитики'!$F$1223,0)</f>
        <v/>
      </c>
      <c r="BJ1542">
        <f>IF(IF('01_Вводные'!$B$296="Новый сезон",11-1&gt;MOD(MONTH('06_Сеть_и_дети'!BJ$3)-9,12),FALSE),'19_Расчет_аналитики'!BJ1430*CapacityAge11*'19_Расчет_аналитики'!$F$1223,0)</f>
        <v/>
      </c>
      <c r="BK1542">
        <f>IF(IF('01_Вводные'!$B$296="Новый сезон",11-1&gt;MOD(MONTH('06_Сеть_и_дети'!BK$3)-9,12),FALSE),'19_Расчет_аналитики'!BK1430*CapacityAge11*'19_Расчет_аналитики'!$F$1223,0)</f>
        <v/>
      </c>
      <c r="BL1542">
        <f>IF(IF('01_Вводные'!$B$296="Новый сезон",11-1&gt;MOD(MONTH('06_Сеть_и_дети'!BL$3)-9,12),FALSE),'19_Расчет_аналитики'!BL1430*CapacityAge11*'19_Расчет_аналитики'!$F$1223,0)</f>
        <v/>
      </c>
      <c r="BM1542">
        <f>IF(IF('01_Вводные'!$B$296="Новый сезон",11-1&gt;MOD(MONTH('06_Сеть_и_дети'!BM$3)-9,12),FALSE),'19_Расчет_аналитики'!BM1430*CapacityAge11*'19_Расчет_аналитики'!$F$1223,0)</f>
        <v/>
      </c>
      <c r="BN1542">
        <f>IF(IF('01_Вводные'!$B$296="Новый сезон",11-1&gt;MOD(MONTH('06_Сеть_и_дети'!BN$3)-9,12),FALSE),'19_Расчет_аналитики'!BN1430*CapacityAge11*'19_Расчет_аналитики'!$F$1223,0)</f>
        <v/>
      </c>
      <c r="BO1542">
        <f>IF(IF('01_Вводные'!$B$296="Новый сезон",11-1&gt;MOD(MONTH('06_Сеть_и_дети'!BO$3)-9,12),FALSE),'19_Расчет_аналитики'!BO1430*CapacityAge11*'19_Расчет_аналитики'!$F$1223,0)</f>
        <v/>
      </c>
    </row>
    <row r="1543">
      <c r="B1543">
        <f>IF(IF('01_Вводные'!$B$296="Новый сезон",12-1&gt;MOD(MONTH('06_Сеть_и_дети'!B$3)-9,12),FALSE),'06_Сеть_и_дети'!B64*CapacityAge12*'19_Расчет_аналитики'!$F$1223,0)</f>
        <v/>
      </c>
      <c r="C1543">
        <f>IF(IF('01_Вводные'!$B$296="Новый сезон",12-1&gt;MOD(MONTH('06_Сеть_и_дети'!C$3)-9,12),FALSE),'06_Сеть_и_дети'!C64*CapacityAge12*'19_Расчет_аналитики'!$F$1223,0)</f>
        <v/>
      </c>
      <c r="D1543">
        <f>IF(IF('01_Вводные'!$B$296="Новый сезон",12-1&gt;MOD(MONTH('06_Сеть_и_дети'!D$3)-9,12),FALSE),'06_Сеть_и_дети'!D64*CapacityAge12*'19_Расчет_аналитики'!$F$1223,0)</f>
        <v/>
      </c>
      <c r="E1543">
        <f>IF(IF('01_Вводные'!$B$296="Новый сезон",12-1&gt;MOD(MONTH('06_Сеть_и_дети'!E$3)-9,12),FALSE),'06_Сеть_и_дети'!E64*CapacityAge12*'19_Расчет_аналитики'!$F$1223,0)</f>
        <v/>
      </c>
      <c r="F1543">
        <f>IF(IF('01_Вводные'!$B$296="Новый сезон",12-1&gt;MOD(MONTH('06_Сеть_и_дети'!F$3)-9,12),FALSE),'06_Сеть_и_дети'!F64*CapacityAge12*'19_Расчет_аналитики'!$F$1223,0)</f>
        <v/>
      </c>
      <c r="G1543">
        <f>IF(IF('01_Вводные'!$B$296="Новый сезон",12-1&gt;MOD(MONTH('06_Сеть_и_дети'!G$3)-9,12),FALSE),'06_Сеть_и_дети'!G64*CapacityAge12*'19_Расчет_аналитики'!$F$1223,0)</f>
        <v/>
      </c>
      <c r="H1543">
        <f>IF(IF('01_Вводные'!$B$296="Новый сезон",12-1&gt;MOD(MONTH('06_Сеть_и_дети'!H$3)-9,12),FALSE),'06_Сеть_и_дети'!H64*CapacityAge12*'19_Расчет_аналитики'!$F$1223,0)</f>
        <v/>
      </c>
      <c r="I1543">
        <f>IF(IF('01_Вводные'!$B$296="Новый сезон",12-1&gt;MOD(MONTH('06_Сеть_и_дети'!I$3)-9,12),FALSE),'06_Сеть_и_дети'!I64*CapacityAge12*'19_Расчет_аналитики'!$F$1223,0)</f>
        <v/>
      </c>
      <c r="J1543">
        <f>IF(IF('01_Вводные'!$B$296="Новый сезон",12-1&gt;MOD(MONTH('06_Сеть_и_дети'!J$3)-9,12),FALSE),'06_Сеть_и_дети'!J64*CapacityAge12*'19_Расчет_аналитики'!$F$1223,0)</f>
        <v/>
      </c>
      <c r="K1543">
        <f>IF(IF('01_Вводные'!$B$296="Новый сезон",12-1&gt;MOD(MONTH('06_Сеть_и_дети'!K$3)-9,12),FALSE),'06_Сеть_и_дети'!K64*CapacityAge12*'19_Расчет_аналитики'!$F$1223,0)</f>
        <v/>
      </c>
      <c r="L1543">
        <f>IF(IF('01_Вводные'!$B$296="Новый сезон",12-1&gt;MOD(MONTH('06_Сеть_и_дети'!L$3)-9,12),FALSE),'06_Сеть_и_дети'!L64*CapacityAge12*'19_Расчет_аналитики'!$F$1223,0)</f>
        <v/>
      </c>
      <c r="M1543">
        <f>IF(IF('01_Вводные'!$B$296="Новый сезон",12-1&gt;MOD(MONTH('06_Сеть_и_дети'!M$3)-9,12),FALSE),'19_Расчет_аналитики'!M1431*CapacityAge12*'19_Расчет_аналитики'!$F$1223,0)</f>
        <v/>
      </c>
      <c r="N1543">
        <f>IF(IF('01_Вводные'!$B$296="Новый сезон",12-1&gt;MOD(MONTH('06_Сеть_и_дети'!N$3)-9,12),FALSE),'19_Расчет_аналитики'!N1431*CapacityAge12*'19_Расчет_аналитики'!$F$1223,0)</f>
        <v/>
      </c>
      <c r="O1543">
        <f>IF(IF('01_Вводные'!$B$296="Новый сезон",12-1&gt;MOD(MONTH('06_Сеть_и_дети'!O$3)-9,12),FALSE),'19_Расчет_аналитики'!O1431*CapacityAge12*'19_Расчет_аналитики'!$F$1223,0)</f>
        <v/>
      </c>
      <c r="P1543">
        <f>IF(IF('01_Вводные'!$B$296="Новый сезон",12-1&gt;MOD(MONTH('06_Сеть_и_дети'!P$3)-9,12),FALSE),'19_Расчет_аналитики'!P1431*CapacityAge12*'19_Расчет_аналитики'!$F$1223,0)</f>
        <v/>
      </c>
      <c r="Q1543">
        <f>IF(IF('01_Вводные'!$B$296="Новый сезон",12-1&gt;MOD(MONTH('06_Сеть_и_дети'!Q$3)-9,12),FALSE),'19_Расчет_аналитики'!Q1431*CapacityAge12*'19_Расчет_аналитики'!$F$1223,0)</f>
        <v/>
      </c>
      <c r="R1543">
        <f>IF(IF('01_Вводные'!$B$296="Новый сезон",12-1&gt;MOD(MONTH('06_Сеть_и_дети'!R$3)-9,12),FALSE),'19_Расчет_аналитики'!R1431*CapacityAge12*'19_Расчет_аналитики'!$F$1223,0)</f>
        <v/>
      </c>
      <c r="S1543">
        <f>IF(IF('01_Вводные'!$B$296="Новый сезон",12-1&gt;MOD(MONTH('06_Сеть_и_дети'!S$3)-9,12),FALSE),'19_Расчет_аналитики'!S1431*CapacityAge12*'19_Расчет_аналитики'!$F$1223,0)</f>
        <v/>
      </c>
      <c r="T1543">
        <f>IF(IF('01_Вводные'!$B$296="Новый сезон",12-1&gt;MOD(MONTH('06_Сеть_и_дети'!T$3)-9,12),FALSE),'19_Расчет_аналитики'!T1431*CapacityAge12*'19_Расчет_аналитики'!$F$1223,0)</f>
        <v/>
      </c>
      <c r="U1543">
        <f>IF(IF('01_Вводные'!$B$296="Новый сезон",12-1&gt;MOD(MONTH('06_Сеть_и_дети'!U$3)-9,12),FALSE),'19_Расчет_аналитики'!U1431*CapacityAge12*'19_Расчет_аналитики'!$F$1223,0)</f>
        <v/>
      </c>
      <c r="V1543">
        <f>IF(IF('01_Вводные'!$B$296="Новый сезон",12-1&gt;MOD(MONTH('06_Сеть_и_дети'!V$3)-9,12),FALSE),'19_Расчет_аналитики'!V1431*CapacityAge12*'19_Расчет_аналитики'!$F$1223,0)</f>
        <v/>
      </c>
      <c r="W1543">
        <f>IF(IF('01_Вводные'!$B$296="Новый сезон",12-1&gt;MOD(MONTH('06_Сеть_и_дети'!W$3)-9,12),FALSE),'19_Расчет_аналитики'!W1431*CapacityAge12*'19_Расчет_аналитики'!$F$1223,0)</f>
        <v/>
      </c>
      <c r="X1543">
        <f>IF(IF('01_Вводные'!$B$296="Новый сезон",12-1&gt;MOD(MONTH('06_Сеть_и_дети'!X$3)-9,12),FALSE),'19_Расчет_аналитики'!X1431*CapacityAge12*'19_Расчет_аналитики'!$F$1223,0)</f>
        <v/>
      </c>
      <c r="Y1543">
        <f>IF(IF('01_Вводные'!$B$296="Новый сезон",12-1&gt;MOD(MONTH('06_Сеть_и_дети'!Y$3)-9,12),FALSE),'19_Расчет_аналитики'!Y1431*CapacityAge12*'19_Расчет_аналитики'!$F$1223,0)</f>
        <v/>
      </c>
      <c r="Z1543">
        <f>IF(IF('01_Вводные'!$B$296="Новый сезон",12-1&gt;MOD(MONTH('06_Сеть_и_дети'!Z$3)-9,12),FALSE),'19_Расчет_аналитики'!Z1431*CapacityAge12*'19_Расчет_аналитики'!$F$1223,0)</f>
        <v/>
      </c>
      <c r="AA1543">
        <f>IF(IF('01_Вводные'!$B$296="Новый сезон",12-1&gt;MOD(MONTH('06_Сеть_и_дети'!AA$3)-9,12),FALSE),'19_Расчет_аналитики'!AA1431*CapacityAge12*'19_Расчет_аналитики'!$F$1223,0)</f>
        <v/>
      </c>
      <c r="AB1543">
        <f>IF(IF('01_Вводные'!$B$296="Новый сезон",12-1&gt;MOD(MONTH('06_Сеть_и_дети'!AB$3)-9,12),FALSE),'19_Расчет_аналитики'!AB1431*CapacityAge12*'19_Расчет_аналитики'!$F$1223,0)</f>
        <v/>
      </c>
      <c r="AC1543">
        <f>IF(IF('01_Вводные'!$B$296="Новый сезон",12-1&gt;MOD(MONTH('06_Сеть_и_дети'!AC$3)-9,12),FALSE),'19_Расчет_аналитики'!AC1431*CapacityAge12*'19_Расчет_аналитики'!$F$1223,0)</f>
        <v/>
      </c>
      <c r="AD1543">
        <f>IF(IF('01_Вводные'!$B$296="Новый сезон",12-1&gt;MOD(MONTH('06_Сеть_и_дети'!AD$3)-9,12),FALSE),'19_Расчет_аналитики'!AD1431*CapacityAge12*'19_Расчет_аналитики'!$F$1223,0)</f>
        <v/>
      </c>
      <c r="AE1543">
        <f>IF(IF('01_Вводные'!$B$296="Новый сезон",12-1&gt;MOD(MONTH('06_Сеть_и_дети'!AE$3)-9,12),FALSE),'19_Расчет_аналитики'!AE1431*CapacityAge12*'19_Расчет_аналитики'!$F$1223,0)</f>
        <v/>
      </c>
      <c r="AF1543">
        <f>IF(IF('01_Вводные'!$B$296="Новый сезон",12-1&gt;MOD(MONTH('06_Сеть_и_дети'!AF$3)-9,12),FALSE),'19_Расчет_аналитики'!AF1431*CapacityAge12*'19_Расчет_аналитики'!$F$1223,0)</f>
        <v/>
      </c>
      <c r="AG1543">
        <f>IF(IF('01_Вводные'!$B$296="Новый сезон",12-1&gt;MOD(MONTH('06_Сеть_и_дети'!AG$3)-9,12),FALSE),'19_Расчет_аналитики'!AG1431*CapacityAge12*'19_Расчет_аналитики'!$F$1223,0)</f>
        <v/>
      </c>
      <c r="AH1543">
        <f>IF(IF('01_Вводные'!$B$296="Новый сезон",12-1&gt;MOD(MONTH('06_Сеть_и_дети'!AH$3)-9,12),FALSE),'19_Расчет_аналитики'!AH1431*CapacityAge12*'19_Расчет_аналитики'!$F$1223,0)</f>
        <v/>
      </c>
      <c r="AI1543">
        <f>IF(IF('01_Вводные'!$B$296="Новый сезон",12-1&gt;MOD(MONTH('06_Сеть_и_дети'!AI$3)-9,12),FALSE),'19_Расчет_аналитики'!AI1431*CapacityAge12*'19_Расчет_аналитики'!$F$1223,0)</f>
        <v/>
      </c>
      <c r="AJ1543">
        <f>IF(IF('01_Вводные'!$B$296="Новый сезон",12-1&gt;MOD(MONTH('06_Сеть_и_дети'!AJ$3)-9,12),FALSE),'19_Расчет_аналитики'!AJ1431*CapacityAge12*'19_Расчет_аналитики'!$F$1223,0)</f>
        <v/>
      </c>
      <c r="AK1543">
        <f>IF(IF('01_Вводные'!$B$296="Новый сезон",12-1&gt;MOD(MONTH('06_Сеть_и_дети'!AK$3)-9,12),FALSE),'19_Расчет_аналитики'!AK1431*CapacityAge12*'19_Расчет_аналитики'!$F$1223,0)</f>
        <v/>
      </c>
      <c r="AL1543">
        <f>IF(IF('01_Вводные'!$B$296="Новый сезон",12-1&gt;MOD(MONTH('06_Сеть_и_дети'!AL$3)-9,12),FALSE),'19_Расчет_аналитики'!AL1431*CapacityAge12*'19_Расчет_аналитики'!$F$1223,0)</f>
        <v/>
      </c>
      <c r="AM1543">
        <f>IF(IF('01_Вводные'!$B$296="Новый сезон",12-1&gt;MOD(MONTH('06_Сеть_и_дети'!AM$3)-9,12),FALSE),'19_Расчет_аналитики'!AM1431*CapacityAge12*'19_Расчет_аналитики'!$F$1223,0)</f>
        <v/>
      </c>
      <c r="AN1543">
        <f>IF(IF('01_Вводные'!$B$296="Новый сезон",12-1&gt;MOD(MONTH('06_Сеть_и_дети'!AN$3)-9,12),FALSE),'19_Расчет_аналитики'!AN1431*CapacityAge12*'19_Расчет_аналитики'!$F$1223,0)</f>
        <v/>
      </c>
      <c r="AO1543">
        <f>IF(IF('01_Вводные'!$B$296="Новый сезон",12-1&gt;MOD(MONTH('06_Сеть_и_дети'!AO$3)-9,12),FALSE),'19_Расчет_аналитики'!AO1431*CapacityAge12*'19_Расчет_аналитики'!$F$1223,0)</f>
        <v/>
      </c>
      <c r="AP1543">
        <f>IF(IF('01_Вводные'!$B$296="Новый сезон",12-1&gt;MOD(MONTH('06_Сеть_и_дети'!AP$3)-9,12),FALSE),'19_Расчет_аналитики'!AP1431*CapacityAge12*'19_Расчет_аналитики'!$F$1223,0)</f>
        <v/>
      </c>
      <c r="AQ1543">
        <f>IF(IF('01_Вводные'!$B$296="Новый сезон",12-1&gt;MOD(MONTH('06_Сеть_и_дети'!AQ$3)-9,12),FALSE),'19_Расчет_аналитики'!AQ1431*CapacityAge12*'19_Расчет_аналитики'!$F$1223,0)</f>
        <v/>
      </c>
      <c r="AR1543">
        <f>IF(IF('01_Вводные'!$B$296="Новый сезон",12-1&gt;MOD(MONTH('06_Сеть_и_дети'!AR$3)-9,12),FALSE),'19_Расчет_аналитики'!AR1431*CapacityAge12*'19_Расчет_аналитики'!$F$1223,0)</f>
        <v/>
      </c>
      <c r="AS1543">
        <f>IF(IF('01_Вводные'!$B$296="Новый сезон",12-1&gt;MOD(MONTH('06_Сеть_и_дети'!AS$3)-9,12),FALSE),'19_Расчет_аналитики'!AS1431*CapacityAge12*'19_Расчет_аналитики'!$F$1223,0)</f>
        <v/>
      </c>
      <c r="AT1543">
        <f>IF(IF('01_Вводные'!$B$296="Новый сезон",12-1&gt;MOD(MONTH('06_Сеть_и_дети'!AT$3)-9,12),FALSE),'19_Расчет_аналитики'!AT1431*CapacityAge12*'19_Расчет_аналитики'!$F$1223,0)</f>
        <v/>
      </c>
      <c r="AU1543">
        <f>IF(IF('01_Вводные'!$B$296="Новый сезон",12-1&gt;MOD(MONTH('06_Сеть_и_дети'!AU$3)-9,12),FALSE),'19_Расчет_аналитики'!AU1431*CapacityAge12*'19_Расчет_аналитики'!$F$1223,0)</f>
        <v/>
      </c>
      <c r="AV1543">
        <f>IF(IF('01_Вводные'!$B$296="Новый сезон",12-1&gt;MOD(MONTH('06_Сеть_и_дети'!AV$3)-9,12),FALSE),'19_Расчет_аналитики'!AV1431*CapacityAge12*'19_Расчет_аналитики'!$F$1223,0)</f>
        <v/>
      </c>
      <c r="AW1543">
        <f>IF(IF('01_Вводные'!$B$296="Новый сезон",12-1&gt;MOD(MONTH('06_Сеть_и_дети'!AW$3)-9,12),FALSE),'19_Расчет_аналитики'!AW1431*CapacityAge12*'19_Расчет_аналитики'!$F$1223,0)</f>
        <v/>
      </c>
      <c r="AX1543">
        <f>IF(IF('01_Вводные'!$B$296="Новый сезон",12-1&gt;MOD(MONTH('06_Сеть_и_дети'!AX$3)-9,12),FALSE),'19_Расчет_аналитики'!AX1431*CapacityAge12*'19_Расчет_аналитики'!$F$1223,0)</f>
        <v/>
      </c>
      <c r="AY1543">
        <f>IF(IF('01_Вводные'!$B$296="Новый сезон",12-1&gt;MOD(MONTH('06_Сеть_и_дети'!AY$3)-9,12),FALSE),'19_Расчет_аналитики'!AY1431*CapacityAge12*'19_Расчет_аналитики'!$F$1223,0)</f>
        <v/>
      </c>
      <c r="AZ1543">
        <f>IF(IF('01_Вводные'!$B$296="Новый сезон",12-1&gt;MOD(MONTH('06_Сеть_и_дети'!AZ$3)-9,12),FALSE),'19_Расчет_аналитики'!AZ1431*CapacityAge12*'19_Расчет_аналитики'!$F$1223,0)</f>
        <v/>
      </c>
      <c r="BA1543">
        <f>IF(IF('01_Вводные'!$B$296="Новый сезон",12-1&gt;MOD(MONTH('06_Сеть_и_дети'!BA$3)-9,12),FALSE),'19_Расчет_аналитики'!BA1431*CapacityAge12*'19_Расчет_аналитики'!$F$1223,0)</f>
        <v/>
      </c>
      <c r="BB1543">
        <f>IF(IF('01_Вводные'!$B$296="Новый сезон",12-1&gt;MOD(MONTH('06_Сеть_и_дети'!BB$3)-9,12),FALSE),'19_Расчет_аналитики'!BB1431*CapacityAge12*'19_Расчет_аналитики'!$F$1223,0)</f>
        <v/>
      </c>
      <c r="BC1543">
        <f>IF(IF('01_Вводные'!$B$296="Новый сезон",12-1&gt;MOD(MONTH('06_Сеть_и_дети'!BC$3)-9,12),FALSE),'19_Расчет_аналитики'!BC1431*CapacityAge12*'19_Расчет_аналитики'!$F$1223,0)</f>
        <v/>
      </c>
      <c r="BD1543">
        <f>IF(IF('01_Вводные'!$B$296="Новый сезон",12-1&gt;MOD(MONTH('06_Сеть_и_дети'!BD$3)-9,12),FALSE),'19_Расчет_аналитики'!BD1431*CapacityAge12*'19_Расчет_аналитики'!$F$1223,0)</f>
        <v/>
      </c>
      <c r="BE1543">
        <f>IF(IF('01_Вводные'!$B$296="Новый сезон",12-1&gt;MOD(MONTH('06_Сеть_и_дети'!BE$3)-9,12),FALSE),'19_Расчет_аналитики'!BE1431*CapacityAge12*'19_Расчет_аналитики'!$F$1223,0)</f>
        <v/>
      </c>
      <c r="BF1543">
        <f>IF(IF('01_Вводные'!$B$296="Новый сезон",12-1&gt;MOD(MONTH('06_Сеть_и_дети'!BF$3)-9,12),FALSE),'19_Расчет_аналитики'!BF1431*CapacityAge12*'19_Расчет_аналитики'!$F$1223,0)</f>
        <v/>
      </c>
      <c r="BG1543">
        <f>IF(IF('01_Вводные'!$B$296="Новый сезон",12-1&gt;MOD(MONTH('06_Сеть_и_дети'!BG$3)-9,12),FALSE),'19_Расчет_аналитики'!BG1431*CapacityAge12*'19_Расчет_аналитики'!$F$1223,0)</f>
        <v/>
      </c>
      <c r="BH1543">
        <f>IF(IF('01_Вводные'!$B$296="Новый сезон",12-1&gt;MOD(MONTH('06_Сеть_и_дети'!BH$3)-9,12),FALSE),'19_Расчет_аналитики'!BH1431*CapacityAge12*'19_Расчет_аналитики'!$F$1223,0)</f>
        <v/>
      </c>
      <c r="BI1543">
        <f>IF(IF('01_Вводные'!$B$296="Новый сезон",12-1&gt;MOD(MONTH('06_Сеть_и_дети'!BI$3)-9,12),FALSE),'19_Расчет_аналитики'!BI1431*CapacityAge12*'19_Расчет_аналитики'!$F$1223,0)</f>
        <v/>
      </c>
      <c r="BJ1543">
        <f>IF(IF('01_Вводные'!$B$296="Новый сезон",12-1&gt;MOD(MONTH('06_Сеть_и_дети'!BJ$3)-9,12),FALSE),'19_Расчет_аналитики'!BJ1431*CapacityAge12*'19_Расчет_аналитики'!$F$1223,0)</f>
        <v/>
      </c>
      <c r="BK1543">
        <f>IF(IF('01_Вводные'!$B$296="Новый сезон",12-1&gt;MOD(MONTH('06_Сеть_и_дети'!BK$3)-9,12),FALSE),'19_Расчет_аналитики'!BK1431*CapacityAge12*'19_Расчет_аналитики'!$F$1223,0)</f>
        <v/>
      </c>
      <c r="BL1543">
        <f>IF(IF('01_Вводные'!$B$296="Новый сезон",12-1&gt;MOD(MONTH('06_Сеть_и_дети'!BL$3)-9,12),FALSE),'19_Расчет_аналитики'!BL1431*CapacityAge12*'19_Расчет_аналитики'!$F$1223,0)</f>
        <v/>
      </c>
      <c r="BM1543">
        <f>IF(IF('01_Вводные'!$B$296="Новый сезон",12-1&gt;MOD(MONTH('06_Сеть_и_дети'!BM$3)-9,12),FALSE),'19_Расчет_аналитики'!BM1431*CapacityAge12*'19_Расчет_аналитики'!$F$1223,0)</f>
        <v/>
      </c>
      <c r="BN1543">
        <f>IF(IF('01_Вводные'!$B$296="Новый сезон",12-1&gt;MOD(MONTH('06_Сеть_и_дети'!BN$3)-9,12),FALSE),'19_Расчет_аналитики'!BN1431*CapacityAge12*'19_Расчет_аналитики'!$F$1223,0)</f>
        <v/>
      </c>
      <c r="BO1543">
        <f>IF(IF('01_Вводные'!$B$296="Новый сезон",12-1&gt;MOD(MONTH('06_Сеть_и_дети'!BO$3)-9,12),FALSE),'19_Расчет_аналитики'!BO1431*CapacityAge12*'19_Расчет_аналитики'!$F$1223,0)</f>
        <v/>
      </c>
    </row>
    <row r="1544">
      <c r="B1544">
        <f>IF(IF('01_Вводные'!$B$296="Новый сезон",TRUE,TRUE),'06_Сеть_и_дети'!B65*CapacityAge13*'19_Расчет_аналитики'!$F$1223,0)</f>
        <v/>
      </c>
      <c r="C1544">
        <f>IF(IF('01_Вводные'!$B$296="Новый сезон",TRUE,TRUE),'06_Сеть_и_дети'!C65*CapacityAge13*'19_Расчет_аналитики'!$F$1223,0)</f>
        <v/>
      </c>
      <c r="D1544">
        <f>IF(IF('01_Вводные'!$B$296="Новый сезон",TRUE,TRUE),'06_Сеть_и_дети'!D65*CapacityAge13*'19_Расчет_аналитики'!$F$1223,0)</f>
        <v/>
      </c>
      <c r="E1544">
        <f>IF(IF('01_Вводные'!$B$296="Новый сезон",TRUE,TRUE),'06_Сеть_и_дети'!E65*CapacityAge13*'19_Расчет_аналитики'!$F$1223,0)</f>
        <v/>
      </c>
      <c r="F1544">
        <f>IF(IF('01_Вводные'!$B$296="Новый сезон",TRUE,TRUE),'06_Сеть_и_дети'!F65*CapacityAge13*'19_Расчет_аналитики'!$F$1223,0)</f>
        <v/>
      </c>
      <c r="G1544">
        <f>IF(IF('01_Вводные'!$B$296="Новый сезон",TRUE,TRUE),'06_Сеть_и_дети'!G65*CapacityAge13*'19_Расчет_аналитики'!$F$1223,0)</f>
        <v/>
      </c>
      <c r="H1544">
        <f>IF(IF('01_Вводные'!$B$296="Новый сезон",TRUE,TRUE),'06_Сеть_и_дети'!H65*CapacityAge13*'19_Расчет_аналитики'!$F$1223,0)</f>
        <v/>
      </c>
      <c r="I1544">
        <f>IF(IF('01_Вводные'!$B$296="Новый сезон",TRUE,TRUE),'06_Сеть_и_дети'!I65*CapacityAge13*'19_Расчет_аналитики'!$F$1223,0)</f>
        <v/>
      </c>
      <c r="J1544">
        <f>IF(IF('01_Вводные'!$B$296="Новый сезон",TRUE,TRUE),'06_Сеть_и_дети'!J65*CapacityAge13*'19_Расчет_аналитики'!$F$1223,0)</f>
        <v/>
      </c>
      <c r="K1544">
        <f>IF(IF('01_Вводные'!$B$296="Новый сезон",TRUE,TRUE),'06_Сеть_и_дети'!K65*CapacityAge13*'19_Расчет_аналитики'!$F$1223,0)</f>
        <v/>
      </c>
      <c r="L1544">
        <f>IF(IF('01_Вводные'!$B$296="Новый сезон",TRUE,TRUE),'06_Сеть_и_дети'!L65*CapacityAge13*'19_Расчет_аналитики'!$F$1223,0)</f>
        <v/>
      </c>
      <c r="M1544">
        <f>IF(IF('01_Вводные'!$B$296="Новый сезон",TRUE,TRUE),'06_Сеть_и_дети'!M65*CapacityAge13*'19_Расчет_аналитики'!$F$1223,0)</f>
        <v/>
      </c>
      <c r="N1544">
        <f>IF(IF('01_Вводные'!$B$296="Новый сезон",TRUE,TRUE),'19_Расчет_аналитики'!N1432*CapacityAge13*'19_Расчет_аналитики'!$F$1223,0)</f>
        <v/>
      </c>
      <c r="O1544">
        <f>IF(IF('01_Вводные'!$B$296="Новый сезон",TRUE,TRUE),'19_Расчет_аналитики'!O1432*CapacityAge13*'19_Расчет_аналитики'!$F$1223,0)</f>
        <v/>
      </c>
      <c r="P1544">
        <f>IF(IF('01_Вводные'!$B$296="Новый сезон",TRUE,TRUE),'19_Расчет_аналитики'!P1432*CapacityAge13*'19_Расчет_аналитики'!$F$1223,0)</f>
        <v/>
      </c>
      <c r="Q1544">
        <f>IF(IF('01_Вводные'!$B$296="Новый сезон",TRUE,TRUE),'19_Расчет_аналитики'!Q1432*CapacityAge13*'19_Расчет_аналитики'!$F$1223,0)</f>
        <v/>
      </c>
      <c r="R1544">
        <f>IF(IF('01_Вводные'!$B$296="Новый сезон",TRUE,TRUE),'19_Расчет_аналитики'!R1432*CapacityAge13*'19_Расчет_аналитики'!$F$1223,0)</f>
        <v/>
      </c>
      <c r="S1544">
        <f>IF(IF('01_Вводные'!$B$296="Новый сезон",TRUE,TRUE),'19_Расчет_аналитики'!S1432*CapacityAge13*'19_Расчет_аналитики'!$F$1223,0)</f>
        <v/>
      </c>
      <c r="T1544">
        <f>IF(IF('01_Вводные'!$B$296="Новый сезон",TRUE,TRUE),'19_Расчет_аналитики'!T1432*CapacityAge13*'19_Расчет_аналитики'!$F$1223,0)</f>
        <v/>
      </c>
      <c r="U1544">
        <f>IF(IF('01_Вводные'!$B$296="Новый сезон",TRUE,TRUE),'19_Расчет_аналитики'!U1432*CapacityAge13*'19_Расчет_аналитики'!$F$1223,0)</f>
        <v/>
      </c>
      <c r="V1544">
        <f>IF(IF('01_Вводные'!$B$296="Новый сезон",TRUE,TRUE),'19_Расчет_аналитики'!V1432*CapacityAge13*'19_Расчет_аналитики'!$F$1223,0)</f>
        <v/>
      </c>
      <c r="W1544">
        <f>IF(IF('01_Вводные'!$B$296="Новый сезон",TRUE,TRUE),'19_Расчет_аналитики'!W1432*CapacityAge13*'19_Расчет_аналитики'!$F$1223,0)</f>
        <v/>
      </c>
      <c r="X1544">
        <f>IF(IF('01_Вводные'!$B$296="Новый сезон",TRUE,TRUE),'19_Расчет_аналитики'!X1432*CapacityAge13*'19_Расчет_аналитики'!$F$1223,0)</f>
        <v/>
      </c>
      <c r="Y1544">
        <f>IF(IF('01_Вводные'!$B$296="Новый сезон",TRUE,TRUE),'19_Расчет_аналитики'!Y1432*CapacityAge13*'19_Расчет_аналитики'!$F$1223,0)</f>
        <v/>
      </c>
      <c r="Z1544">
        <f>IF(IF('01_Вводные'!$B$296="Новый сезон",TRUE,TRUE),'19_Расчет_аналитики'!Z1432*CapacityAge13*'19_Расчет_аналитики'!$F$1223,0)</f>
        <v/>
      </c>
      <c r="AA1544">
        <f>IF(IF('01_Вводные'!$B$296="Новый сезон",TRUE,TRUE),'19_Расчет_аналитики'!AA1432*CapacityAge13*'19_Расчет_аналитики'!$F$1223,0)</f>
        <v/>
      </c>
      <c r="AB1544">
        <f>IF(IF('01_Вводные'!$B$296="Новый сезон",TRUE,TRUE),'19_Расчет_аналитики'!AB1432*CapacityAge13*'19_Расчет_аналитики'!$F$1223,0)</f>
        <v/>
      </c>
      <c r="AC1544">
        <f>IF(IF('01_Вводные'!$B$296="Новый сезон",TRUE,TRUE),'19_Расчет_аналитики'!AC1432*CapacityAge13*'19_Расчет_аналитики'!$F$1223,0)</f>
        <v/>
      </c>
      <c r="AD1544">
        <f>IF(IF('01_Вводные'!$B$296="Новый сезон",TRUE,TRUE),'19_Расчет_аналитики'!AD1432*CapacityAge13*'19_Расчет_аналитики'!$F$1223,0)</f>
        <v/>
      </c>
      <c r="AE1544">
        <f>IF(IF('01_Вводные'!$B$296="Новый сезон",TRUE,TRUE),'19_Расчет_аналитики'!AE1432*CapacityAge13*'19_Расчет_аналитики'!$F$1223,0)</f>
        <v/>
      </c>
      <c r="AF1544">
        <f>IF(IF('01_Вводные'!$B$296="Новый сезон",TRUE,TRUE),'19_Расчет_аналитики'!AF1432*CapacityAge13*'19_Расчет_аналитики'!$F$1223,0)</f>
        <v/>
      </c>
      <c r="AG1544">
        <f>IF(IF('01_Вводные'!$B$296="Новый сезон",TRUE,TRUE),'19_Расчет_аналитики'!AG1432*CapacityAge13*'19_Расчет_аналитики'!$F$1223,0)</f>
        <v/>
      </c>
      <c r="AH1544">
        <f>IF(IF('01_Вводные'!$B$296="Новый сезон",TRUE,TRUE),'19_Расчет_аналитики'!AH1432*CapacityAge13*'19_Расчет_аналитики'!$F$1223,0)</f>
        <v/>
      </c>
      <c r="AI1544">
        <f>IF(IF('01_Вводные'!$B$296="Новый сезон",TRUE,TRUE),'19_Расчет_аналитики'!AI1432*CapacityAge13*'19_Расчет_аналитики'!$F$1223,0)</f>
        <v/>
      </c>
      <c r="AJ1544">
        <f>IF(IF('01_Вводные'!$B$296="Новый сезон",TRUE,TRUE),'19_Расчет_аналитики'!AJ1432*CapacityAge13*'19_Расчет_аналитики'!$F$1223,0)</f>
        <v/>
      </c>
      <c r="AK1544">
        <f>IF(IF('01_Вводные'!$B$296="Новый сезон",TRUE,TRUE),'19_Расчет_аналитики'!AK1432*CapacityAge13*'19_Расчет_аналитики'!$F$1223,0)</f>
        <v/>
      </c>
      <c r="AL1544">
        <f>IF(IF('01_Вводные'!$B$296="Новый сезон",TRUE,TRUE),'19_Расчет_аналитики'!AL1432*CapacityAge13*'19_Расчет_аналитики'!$F$1223,0)</f>
        <v/>
      </c>
      <c r="AM1544">
        <f>IF(IF('01_Вводные'!$B$296="Новый сезон",TRUE,TRUE),'19_Расчет_аналитики'!AM1432*CapacityAge13*'19_Расчет_аналитики'!$F$1223,0)</f>
        <v/>
      </c>
      <c r="AN1544">
        <f>IF(IF('01_Вводные'!$B$296="Новый сезон",TRUE,TRUE),'19_Расчет_аналитики'!AN1432*CapacityAge13*'19_Расчет_аналитики'!$F$1223,0)</f>
        <v/>
      </c>
      <c r="AO1544">
        <f>IF(IF('01_Вводные'!$B$296="Новый сезон",TRUE,TRUE),'19_Расчет_аналитики'!AO1432*CapacityAge13*'19_Расчет_аналитики'!$F$1223,0)</f>
        <v/>
      </c>
      <c r="AP1544">
        <f>IF(IF('01_Вводные'!$B$296="Новый сезон",TRUE,TRUE),'19_Расчет_аналитики'!AP1432*CapacityAge13*'19_Расчет_аналитики'!$F$1223,0)</f>
        <v/>
      </c>
      <c r="AQ1544">
        <f>IF(IF('01_Вводные'!$B$296="Новый сезон",TRUE,TRUE),'19_Расчет_аналитики'!AQ1432*CapacityAge13*'19_Расчет_аналитики'!$F$1223,0)</f>
        <v/>
      </c>
      <c r="AR1544">
        <f>IF(IF('01_Вводные'!$B$296="Новый сезон",TRUE,TRUE),'19_Расчет_аналитики'!AR1432*CapacityAge13*'19_Расчет_аналитики'!$F$1223,0)</f>
        <v/>
      </c>
      <c r="AS1544">
        <f>IF(IF('01_Вводные'!$B$296="Новый сезон",TRUE,TRUE),'19_Расчет_аналитики'!AS1432*CapacityAge13*'19_Расчет_аналитики'!$F$1223,0)</f>
        <v/>
      </c>
      <c r="AT1544">
        <f>IF(IF('01_Вводные'!$B$296="Новый сезон",TRUE,TRUE),'19_Расчет_аналитики'!AT1432*CapacityAge13*'19_Расчет_аналитики'!$F$1223,0)</f>
        <v/>
      </c>
      <c r="AU1544">
        <f>IF(IF('01_Вводные'!$B$296="Новый сезон",TRUE,TRUE),'19_Расчет_аналитики'!AU1432*CapacityAge13*'19_Расчет_аналитики'!$F$1223,0)</f>
        <v/>
      </c>
      <c r="AV1544">
        <f>IF(IF('01_Вводные'!$B$296="Новый сезон",TRUE,TRUE),'19_Расчет_аналитики'!AV1432*CapacityAge13*'19_Расчет_аналитики'!$F$1223,0)</f>
        <v/>
      </c>
      <c r="AW1544">
        <f>IF(IF('01_Вводные'!$B$296="Новый сезон",TRUE,TRUE),'19_Расчет_аналитики'!AW1432*CapacityAge13*'19_Расчет_аналитики'!$F$1223,0)</f>
        <v/>
      </c>
      <c r="AX1544">
        <f>IF(IF('01_Вводные'!$B$296="Новый сезон",TRUE,TRUE),'19_Расчет_аналитики'!AX1432*CapacityAge13*'19_Расчет_аналитики'!$F$1223,0)</f>
        <v/>
      </c>
      <c r="AY1544">
        <f>IF(IF('01_Вводные'!$B$296="Новый сезон",TRUE,TRUE),'19_Расчет_аналитики'!AY1432*CapacityAge13*'19_Расчет_аналитики'!$F$1223,0)</f>
        <v/>
      </c>
      <c r="AZ1544">
        <f>IF(IF('01_Вводные'!$B$296="Новый сезон",TRUE,TRUE),'19_Расчет_аналитики'!AZ1432*CapacityAge13*'19_Расчет_аналитики'!$F$1223,0)</f>
        <v/>
      </c>
      <c r="BA1544">
        <f>IF(IF('01_Вводные'!$B$296="Новый сезон",TRUE,TRUE),'19_Расчет_аналитики'!BA1432*CapacityAge13*'19_Расчет_аналитики'!$F$1223,0)</f>
        <v/>
      </c>
      <c r="BB1544">
        <f>IF(IF('01_Вводные'!$B$296="Новый сезон",TRUE,TRUE),'19_Расчет_аналитики'!BB1432*CapacityAge13*'19_Расчет_аналитики'!$F$1223,0)</f>
        <v/>
      </c>
      <c r="BC1544">
        <f>IF(IF('01_Вводные'!$B$296="Новый сезон",TRUE,TRUE),'19_Расчет_аналитики'!BC1432*CapacityAge13*'19_Расчет_аналитики'!$F$1223,0)</f>
        <v/>
      </c>
      <c r="BD1544">
        <f>IF(IF('01_Вводные'!$B$296="Новый сезон",TRUE,TRUE),'19_Расчет_аналитики'!BD1432*CapacityAge13*'19_Расчет_аналитики'!$F$1223,0)</f>
        <v/>
      </c>
      <c r="BE1544">
        <f>IF(IF('01_Вводные'!$B$296="Новый сезон",TRUE,TRUE),'19_Расчет_аналитики'!BE1432*CapacityAge13*'19_Расчет_аналитики'!$F$1223,0)</f>
        <v/>
      </c>
      <c r="BF1544">
        <f>IF(IF('01_Вводные'!$B$296="Новый сезон",TRUE,TRUE),'19_Расчет_аналитики'!BF1432*CapacityAge13*'19_Расчет_аналитики'!$F$1223,0)</f>
        <v/>
      </c>
      <c r="BG1544">
        <f>IF(IF('01_Вводные'!$B$296="Новый сезон",TRUE,TRUE),'19_Расчет_аналитики'!BG1432*CapacityAge13*'19_Расчет_аналитики'!$F$1223,0)</f>
        <v/>
      </c>
      <c r="BH1544">
        <f>IF(IF('01_Вводные'!$B$296="Новый сезон",TRUE,TRUE),'19_Расчет_аналитики'!BH1432*CapacityAge13*'19_Расчет_аналитики'!$F$1223,0)</f>
        <v/>
      </c>
      <c r="BI1544">
        <f>IF(IF('01_Вводные'!$B$296="Новый сезон",TRUE,TRUE),'19_Расчет_аналитики'!BI1432*CapacityAge13*'19_Расчет_аналитики'!$F$1223,0)</f>
        <v/>
      </c>
      <c r="BJ1544">
        <f>IF(IF('01_Вводные'!$B$296="Новый сезон",TRUE,TRUE),'19_Расчет_аналитики'!BJ1432*CapacityAge13*'19_Расчет_аналитики'!$F$1223,0)</f>
        <v/>
      </c>
      <c r="BK1544">
        <f>IF(IF('01_Вводные'!$B$296="Новый сезон",TRUE,TRUE),'19_Расчет_аналитики'!BK1432*CapacityAge13*'19_Расчет_аналитики'!$F$1223,0)</f>
        <v/>
      </c>
      <c r="BL1544">
        <f>IF(IF('01_Вводные'!$B$296="Новый сезон",TRUE,TRUE),'19_Расчет_аналитики'!BL1432*CapacityAge13*'19_Расчет_аналитики'!$F$1223,0)</f>
        <v/>
      </c>
      <c r="BM1544">
        <f>IF(IF('01_Вводные'!$B$296="Новый сезон",TRUE,TRUE),'19_Расчет_аналитики'!BM1432*CapacityAge13*'19_Расчет_аналитики'!$F$1223,0)</f>
        <v/>
      </c>
      <c r="BN1544">
        <f>IF(IF('01_Вводные'!$B$296="Новый сезон",TRUE,TRUE),'19_Расчет_аналитики'!BN1432*CapacityAge13*'19_Расчет_аналитики'!$F$1223,0)</f>
        <v/>
      </c>
      <c r="BO1544">
        <f>IF(IF('01_Вводные'!$B$296="Новый сезон",TRUE,TRUE),'19_Расчет_аналитики'!BO1432*CapacityAge13*'19_Расчет_аналитики'!$F$1223,0)</f>
        <v/>
      </c>
    </row>
    <row r="1545">
      <c r="B1545">
        <f>IF(IF('01_Вводные'!$B$296="Новый сезон",TRUE,TRUE),'06_Сеть_и_дети'!B66*CapacityAge14*'19_Расчет_аналитики'!$F$1223,0)</f>
        <v/>
      </c>
      <c r="C1545">
        <f>IF(IF('01_Вводные'!$B$296="Новый сезон",TRUE,TRUE),'06_Сеть_и_дети'!C66*CapacityAge14*'19_Расчет_аналитики'!$F$1223,0)</f>
        <v/>
      </c>
      <c r="D1545">
        <f>IF(IF('01_Вводные'!$B$296="Новый сезон",TRUE,TRUE),'06_Сеть_и_дети'!D66*CapacityAge14*'19_Расчет_аналитики'!$F$1223,0)</f>
        <v/>
      </c>
      <c r="E1545">
        <f>IF(IF('01_Вводные'!$B$296="Новый сезон",TRUE,TRUE),'06_Сеть_и_дети'!E66*CapacityAge14*'19_Расчет_аналитики'!$F$1223,0)</f>
        <v/>
      </c>
      <c r="F1545">
        <f>IF(IF('01_Вводные'!$B$296="Новый сезон",TRUE,TRUE),'06_Сеть_и_дети'!F66*CapacityAge14*'19_Расчет_аналитики'!$F$1223,0)</f>
        <v/>
      </c>
      <c r="G1545">
        <f>IF(IF('01_Вводные'!$B$296="Новый сезон",TRUE,TRUE),'06_Сеть_и_дети'!G66*CapacityAge14*'19_Расчет_аналитики'!$F$1223,0)</f>
        <v/>
      </c>
      <c r="H1545">
        <f>IF(IF('01_Вводные'!$B$296="Новый сезон",TRUE,TRUE),'06_Сеть_и_дети'!H66*CapacityAge14*'19_Расчет_аналитики'!$F$1223,0)</f>
        <v/>
      </c>
      <c r="I1545">
        <f>IF(IF('01_Вводные'!$B$296="Новый сезон",TRUE,TRUE),'06_Сеть_и_дети'!I66*CapacityAge14*'19_Расчет_аналитики'!$F$1223,0)</f>
        <v/>
      </c>
      <c r="J1545">
        <f>IF(IF('01_Вводные'!$B$296="Новый сезон",TRUE,TRUE),'06_Сеть_и_дети'!J66*CapacityAge14*'19_Расчет_аналитики'!$F$1223,0)</f>
        <v/>
      </c>
      <c r="K1545">
        <f>IF(IF('01_Вводные'!$B$296="Новый сезон",TRUE,TRUE),'06_Сеть_и_дети'!K66*CapacityAge14*'19_Расчет_аналитики'!$F$1223,0)</f>
        <v/>
      </c>
      <c r="L1545">
        <f>IF(IF('01_Вводные'!$B$296="Новый сезон",TRUE,TRUE),'06_Сеть_и_дети'!L66*CapacityAge14*'19_Расчет_аналитики'!$F$1223,0)</f>
        <v/>
      </c>
      <c r="M1545">
        <f>IF(IF('01_Вводные'!$B$296="Новый сезон",TRUE,TRUE),'06_Сеть_и_дети'!M66*CapacityAge14*'19_Расчет_аналитики'!$F$1223,0)</f>
        <v/>
      </c>
      <c r="N1545">
        <f>IF(IF('01_Вводные'!$B$296="Новый сезон",TRUE,TRUE),'06_Сеть_и_дети'!N66*CapacityAge14*'19_Расчет_аналитики'!$F$1223,0)</f>
        <v/>
      </c>
      <c r="O1545">
        <f>IF(IF('01_Вводные'!$B$296="Новый сезон",TRUE,TRUE),'19_Расчет_аналитики'!O1433*CapacityAge14*'19_Расчет_аналитики'!$F$1223,0)</f>
        <v/>
      </c>
      <c r="P1545">
        <f>IF(IF('01_Вводные'!$B$296="Новый сезон",TRUE,TRUE),'19_Расчет_аналитики'!P1433*CapacityAge14*'19_Расчет_аналитики'!$F$1223,0)</f>
        <v/>
      </c>
      <c r="Q1545">
        <f>IF(IF('01_Вводные'!$B$296="Новый сезон",TRUE,TRUE),'19_Расчет_аналитики'!Q1433*CapacityAge14*'19_Расчет_аналитики'!$F$1223,0)</f>
        <v/>
      </c>
      <c r="R1545">
        <f>IF(IF('01_Вводные'!$B$296="Новый сезон",TRUE,TRUE),'19_Расчет_аналитики'!R1433*CapacityAge14*'19_Расчет_аналитики'!$F$1223,0)</f>
        <v/>
      </c>
      <c r="S1545">
        <f>IF(IF('01_Вводные'!$B$296="Новый сезон",TRUE,TRUE),'19_Расчет_аналитики'!S1433*CapacityAge14*'19_Расчет_аналитики'!$F$1223,0)</f>
        <v/>
      </c>
      <c r="T1545">
        <f>IF(IF('01_Вводные'!$B$296="Новый сезон",TRUE,TRUE),'19_Расчет_аналитики'!T1433*CapacityAge14*'19_Расчет_аналитики'!$F$1223,0)</f>
        <v/>
      </c>
      <c r="U1545">
        <f>IF(IF('01_Вводные'!$B$296="Новый сезон",TRUE,TRUE),'19_Расчет_аналитики'!U1433*CapacityAge14*'19_Расчет_аналитики'!$F$1223,0)</f>
        <v/>
      </c>
      <c r="V1545">
        <f>IF(IF('01_Вводные'!$B$296="Новый сезон",TRUE,TRUE),'19_Расчет_аналитики'!V1433*CapacityAge14*'19_Расчет_аналитики'!$F$1223,0)</f>
        <v/>
      </c>
      <c r="W1545">
        <f>IF(IF('01_Вводные'!$B$296="Новый сезон",TRUE,TRUE),'19_Расчет_аналитики'!W1433*CapacityAge14*'19_Расчет_аналитики'!$F$1223,0)</f>
        <v/>
      </c>
      <c r="X1545">
        <f>IF(IF('01_Вводные'!$B$296="Новый сезон",TRUE,TRUE),'19_Расчет_аналитики'!X1433*CapacityAge14*'19_Расчет_аналитики'!$F$1223,0)</f>
        <v/>
      </c>
      <c r="Y1545">
        <f>IF(IF('01_Вводные'!$B$296="Новый сезон",TRUE,TRUE),'19_Расчет_аналитики'!Y1433*CapacityAge14*'19_Расчет_аналитики'!$F$1223,0)</f>
        <v/>
      </c>
      <c r="Z1545">
        <f>IF(IF('01_Вводные'!$B$296="Новый сезон",TRUE,TRUE),'19_Расчет_аналитики'!Z1433*CapacityAge14*'19_Расчет_аналитики'!$F$1223,0)</f>
        <v/>
      </c>
      <c r="AA1545">
        <f>IF(IF('01_Вводные'!$B$296="Новый сезон",TRUE,TRUE),'19_Расчет_аналитики'!AA1433*CapacityAge14*'19_Расчет_аналитики'!$F$1223,0)</f>
        <v/>
      </c>
      <c r="AB1545">
        <f>IF(IF('01_Вводные'!$B$296="Новый сезон",TRUE,TRUE),'19_Расчет_аналитики'!AB1433*CapacityAge14*'19_Расчет_аналитики'!$F$1223,0)</f>
        <v/>
      </c>
      <c r="AC1545">
        <f>IF(IF('01_Вводные'!$B$296="Новый сезон",TRUE,TRUE),'19_Расчет_аналитики'!AC1433*CapacityAge14*'19_Расчет_аналитики'!$F$1223,0)</f>
        <v/>
      </c>
      <c r="AD1545">
        <f>IF(IF('01_Вводные'!$B$296="Новый сезон",TRUE,TRUE),'19_Расчет_аналитики'!AD1433*CapacityAge14*'19_Расчет_аналитики'!$F$1223,0)</f>
        <v/>
      </c>
      <c r="AE1545">
        <f>IF(IF('01_Вводные'!$B$296="Новый сезон",TRUE,TRUE),'19_Расчет_аналитики'!AE1433*CapacityAge14*'19_Расчет_аналитики'!$F$1223,0)</f>
        <v/>
      </c>
      <c r="AF1545">
        <f>IF(IF('01_Вводные'!$B$296="Новый сезон",TRUE,TRUE),'19_Расчет_аналитики'!AF1433*CapacityAge14*'19_Расчет_аналитики'!$F$1223,0)</f>
        <v/>
      </c>
      <c r="AG1545">
        <f>IF(IF('01_Вводные'!$B$296="Новый сезон",TRUE,TRUE),'19_Расчет_аналитики'!AG1433*CapacityAge14*'19_Расчет_аналитики'!$F$1223,0)</f>
        <v/>
      </c>
      <c r="AH1545">
        <f>IF(IF('01_Вводные'!$B$296="Новый сезон",TRUE,TRUE),'19_Расчет_аналитики'!AH1433*CapacityAge14*'19_Расчет_аналитики'!$F$1223,0)</f>
        <v/>
      </c>
      <c r="AI1545">
        <f>IF(IF('01_Вводные'!$B$296="Новый сезон",TRUE,TRUE),'19_Расчет_аналитики'!AI1433*CapacityAge14*'19_Расчет_аналитики'!$F$1223,0)</f>
        <v/>
      </c>
      <c r="AJ1545">
        <f>IF(IF('01_Вводные'!$B$296="Новый сезон",TRUE,TRUE),'19_Расчет_аналитики'!AJ1433*CapacityAge14*'19_Расчет_аналитики'!$F$1223,0)</f>
        <v/>
      </c>
      <c r="AK1545">
        <f>IF(IF('01_Вводные'!$B$296="Новый сезон",TRUE,TRUE),'19_Расчет_аналитики'!AK1433*CapacityAge14*'19_Расчет_аналитики'!$F$1223,0)</f>
        <v/>
      </c>
      <c r="AL1545">
        <f>IF(IF('01_Вводные'!$B$296="Новый сезон",TRUE,TRUE),'19_Расчет_аналитики'!AL1433*CapacityAge14*'19_Расчет_аналитики'!$F$1223,0)</f>
        <v/>
      </c>
      <c r="AM1545">
        <f>IF(IF('01_Вводные'!$B$296="Новый сезон",TRUE,TRUE),'19_Расчет_аналитики'!AM1433*CapacityAge14*'19_Расчет_аналитики'!$F$1223,0)</f>
        <v/>
      </c>
      <c r="AN1545">
        <f>IF(IF('01_Вводные'!$B$296="Новый сезон",TRUE,TRUE),'19_Расчет_аналитики'!AN1433*CapacityAge14*'19_Расчет_аналитики'!$F$1223,0)</f>
        <v/>
      </c>
      <c r="AO1545">
        <f>IF(IF('01_Вводные'!$B$296="Новый сезон",TRUE,TRUE),'19_Расчет_аналитики'!AO1433*CapacityAge14*'19_Расчет_аналитики'!$F$1223,0)</f>
        <v/>
      </c>
      <c r="AP1545">
        <f>IF(IF('01_Вводные'!$B$296="Новый сезон",TRUE,TRUE),'19_Расчет_аналитики'!AP1433*CapacityAge14*'19_Расчет_аналитики'!$F$1223,0)</f>
        <v/>
      </c>
      <c r="AQ1545">
        <f>IF(IF('01_Вводные'!$B$296="Новый сезон",TRUE,TRUE),'19_Расчет_аналитики'!AQ1433*CapacityAge14*'19_Расчет_аналитики'!$F$1223,0)</f>
        <v/>
      </c>
      <c r="AR1545">
        <f>IF(IF('01_Вводные'!$B$296="Новый сезон",TRUE,TRUE),'19_Расчет_аналитики'!AR1433*CapacityAge14*'19_Расчет_аналитики'!$F$1223,0)</f>
        <v/>
      </c>
      <c r="AS1545">
        <f>IF(IF('01_Вводные'!$B$296="Новый сезон",TRUE,TRUE),'19_Расчет_аналитики'!AS1433*CapacityAge14*'19_Расчет_аналитики'!$F$1223,0)</f>
        <v/>
      </c>
      <c r="AT1545">
        <f>IF(IF('01_Вводные'!$B$296="Новый сезон",TRUE,TRUE),'19_Расчет_аналитики'!AT1433*CapacityAge14*'19_Расчет_аналитики'!$F$1223,0)</f>
        <v/>
      </c>
      <c r="AU1545">
        <f>IF(IF('01_Вводные'!$B$296="Новый сезон",TRUE,TRUE),'19_Расчет_аналитики'!AU1433*CapacityAge14*'19_Расчет_аналитики'!$F$1223,0)</f>
        <v/>
      </c>
      <c r="AV1545">
        <f>IF(IF('01_Вводные'!$B$296="Новый сезон",TRUE,TRUE),'19_Расчет_аналитики'!AV1433*CapacityAge14*'19_Расчет_аналитики'!$F$1223,0)</f>
        <v/>
      </c>
      <c r="AW1545">
        <f>IF(IF('01_Вводные'!$B$296="Новый сезон",TRUE,TRUE),'19_Расчет_аналитики'!AW1433*CapacityAge14*'19_Расчет_аналитики'!$F$1223,0)</f>
        <v/>
      </c>
      <c r="AX1545">
        <f>IF(IF('01_Вводные'!$B$296="Новый сезон",TRUE,TRUE),'19_Расчет_аналитики'!AX1433*CapacityAge14*'19_Расчет_аналитики'!$F$1223,0)</f>
        <v/>
      </c>
      <c r="AY1545">
        <f>IF(IF('01_Вводные'!$B$296="Новый сезон",TRUE,TRUE),'19_Расчет_аналитики'!AY1433*CapacityAge14*'19_Расчет_аналитики'!$F$1223,0)</f>
        <v/>
      </c>
      <c r="AZ1545">
        <f>IF(IF('01_Вводные'!$B$296="Новый сезон",TRUE,TRUE),'19_Расчет_аналитики'!AZ1433*CapacityAge14*'19_Расчет_аналитики'!$F$1223,0)</f>
        <v/>
      </c>
      <c r="BA1545">
        <f>IF(IF('01_Вводные'!$B$296="Новый сезон",TRUE,TRUE),'19_Расчет_аналитики'!BA1433*CapacityAge14*'19_Расчет_аналитики'!$F$1223,0)</f>
        <v/>
      </c>
      <c r="BB1545">
        <f>IF(IF('01_Вводные'!$B$296="Новый сезон",TRUE,TRUE),'19_Расчет_аналитики'!BB1433*CapacityAge14*'19_Расчет_аналитики'!$F$1223,0)</f>
        <v/>
      </c>
      <c r="BC1545">
        <f>IF(IF('01_Вводные'!$B$296="Новый сезон",TRUE,TRUE),'19_Расчет_аналитики'!BC1433*CapacityAge14*'19_Расчет_аналитики'!$F$1223,0)</f>
        <v/>
      </c>
      <c r="BD1545">
        <f>IF(IF('01_Вводные'!$B$296="Новый сезон",TRUE,TRUE),'19_Расчет_аналитики'!BD1433*CapacityAge14*'19_Расчет_аналитики'!$F$1223,0)</f>
        <v/>
      </c>
      <c r="BE1545">
        <f>IF(IF('01_Вводные'!$B$296="Новый сезон",TRUE,TRUE),'19_Расчет_аналитики'!BE1433*CapacityAge14*'19_Расчет_аналитики'!$F$1223,0)</f>
        <v/>
      </c>
      <c r="BF1545">
        <f>IF(IF('01_Вводные'!$B$296="Новый сезон",TRUE,TRUE),'19_Расчет_аналитики'!BF1433*CapacityAge14*'19_Расчет_аналитики'!$F$1223,0)</f>
        <v/>
      </c>
      <c r="BG1545">
        <f>IF(IF('01_Вводные'!$B$296="Новый сезон",TRUE,TRUE),'19_Расчет_аналитики'!BG1433*CapacityAge14*'19_Расчет_аналитики'!$F$1223,0)</f>
        <v/>
      </c>
      <c r="BH1545">
        <f>IF(IF('01_Вводные'!$B$296="Новый сезон",TRUE,TRUE),'19_Расчет_аналитики'!BH1433*CapacityAge14*'19_Расчет_аналитики'!$F$1223,0)</f>
        <v/>
      </c>
      <c r="BI1545">
        <f>IF(IF('01_Вводные'!$B$296="Новый сезон",TRUE,TRUE),'19_Расчет_аналитики'!BI1433*CapacityAge14*'19_Расчет_аналитики'!$F$1223,0)</f>
        <v/>
      </c>
      <c r="BJ1545">
        <f>IF(IF('01_Вводные'!$B$296="Новый сезон",TRUE,TRUE),'19_Расчет_аналитики'!BJ1433*CapacityAge14*'19_Расчет_аналитики'!$F$1223,0)</f>
        <v/>
      </c>
      <c r="BK1545">
        <f>IF(IF('01_Вводные'!$B$296="Новый сезон",TRUE,TRUE),'19_Расчет_аналитики'!BK1433*CapacityAge14*'19_Расчет_аналитики'!$F$1223,0)</f>
        <v/>
      </c>
      <c r="BL1545">
        <f>IF(IF('01_Вводные'!$B$296="Новый сезон",TRUE,TRUE),'19_Расчет_аналитики'!BL1433*CapacityAge14*'19_Расчет_аналитики'!$F$1223,0)</f>
        <v/>
      </c>
      <c r="BM1545">
        <f>IF(IF('01_Вводные'!$B$296="Новый сезон",TRUE,TRUE),'19_Расчет_аналитики'!BM1433*CapacityAge14*'19_Расчет_аналитики'!$F$1223,0)</f>
        <v/>
      </c>
      <c r="BN1545">
        <f>IF(IF('01_Вводные'!$B$296="Новый сезон",TRUE,TRUE),'19_Расчет_аналитики'!BN1433*CapacityAge14*'19_Расчет_аналитики'!$F$1223,0)</f>
        <v/>
      </c>
      <c r="BO1545">
        <f>IF(IF('01_Вводные'!$B$296="Новый сезон",TRUE,TRUE),'19_Расчет_аналитики'!BO1433*CapacityAge14*'19_Расчет_аналитики'!$F$1223,0)</f>
        <v/>
      </c>
    </row>
    <row r="1546">
      <c r="B1546">
        <f>IF(IF('01_Вводные'!$B$296="Новый сезон",TRUE,TRUE),'06_Сеть_и_дети'!B67*CapacityAge15*'19_Расчет_аналитики'!$F$1223,0)</f>
        <v/>
      </c>
      <c r="C1546">
        <f>IF(IF('01_Вводные'!$B$296="Новый сезон",TRUE,TRUE),'06_Сеть_и_дети'!C67*CapacityAge15*'19_Расчет_аналитики'!$F$1223,0)</f>
        <v/>
      </c>
      <c r="D1546">
        <f>IF(IF('01_Вводные'!$B$296="Новый сезон",TRUE,TRUE),'06_Сеть_и_дети'!D67*CapacityAge15*'19_Расчет_аналитики'!$F$1223,0)</f>
        <v/>
      </c>
      <c r="E1546">
        <f>IF(IF('01_Вводные'!$B$296="Новый сезон",TRUE,TRUE),'06_Сеть_и_дети'!E67*CapacityAge15*'19_Расчет_аналитики'!$F$1223,0)</f>
        <v/>
      </c>
      <c r="F1546">
        <f>IF(IF('01_Вводные'!$B$296="Новый сезон",TRUE,TRUE),'06_Сеть_и_дети'!F67*CapacityAge15*'19_Расчет_аналитики'!$F$1223,0)</f>
        <v/>
      </c>
      <c r="G1546">
        <f>IF(IF('01_Вводные'!$B$296="Новый сезон",TRUE,TRUE),'06_Сеть_и_дети'!G67*CapacityAge15*'19_Расчет_аналитики'!$F$1223,0)</f>
        <v/>
      </c>
      <c r="H1546">
        <f>IF(IF('01_Вводные'!$B$296="Новый сезон",TRUE,TRUE),'06_Сеть_и_дети'!H67*CapacityAge15*'19_Расчет_аналитики'!$F$1223,0)</f>
        <v/>
      </c>
      <c r="I1546">
        <f>IF(IF('01_Вводные'!$B$296="Новый сезон",TRUE,TRUE),'06_Сеть_и_дети'!I67*CapacityAge15*'19_Расчет_аналитики'!$F$1223,0)</f>
        <v/>
      </c>
      <c r="J1546">
        <f>IF(IF('01_Вводные'!$B$296="Новый сезон",TRUE,TRUE),'06_Сеть_и_дети'!J67*CapacityAge15*'19_Расчет_аналитики'!$F$1223,0)</f>
        <v/>
      </c>
      <c r="K1546">
        <f>IF(IF('01_Вводные'!$B$296="Новый сезон",TRUE,TRUE),'06_Сеть_и_дети'!K67*CapacityAge15*'19_Расчет_аналитики'!$F$1223,0)</f>
        <v/>
      </c>
      <c r="L1546">
        <f>IF(IF('01_Вводные'!$B$296="Новый сезон",TRUE,TRUE),'06_Сеть_и_дети'!L67*CapacityAge15*'19_Расчет_аналитики'!$F$1223,0)</f>
        <v/>
      </c>
      <c r="M1546">
        <f>IF(IF('01_Вводные'!$B$296="Новый сезон",TRUE,TRUE),'06_Сеть_и_дети'!M67*CapacityAge15*'19_Расчет_аналитики'!$F$1223,0)</f>
        <v/>
      </c>
      <c r="N1546">
        <f>IF(IF('01_Вводные'!$B$296="Новый сезон",TRUE,TRUE),'06_Сеть_и_дети'!N67*CapacityAge15*'19_Расчет_аналитики'!$F$1223,0)</f>
        <v/>
      </c>
      <c r="O1546">
        <f>IF(IF('01_Вводные'!$B$296="Новый сезон",TRUE,TRUE),'06_Сеть_и_дети'!O67*CapacityAge15*'19_Расчет_аналитики'!$F$1223,0)</f>
        <v/>
      </c>
      <c r="P1546">
        <f>IF(IF('01_Вводные'!$B$296="Новый сезон",TRUE,TRUE),'19_Расчет_аналитики'!P1434*CapacityAge15*'19_Расчет_аналитики'!$F$1223,0)</f>
        <v/>
      </c>
      <c r="Q1546">
        <f>IF(IF('01_Вводные'!$B$296="Новый сезон",TRUE,TRUE),'19_Расчет_аналитики'!Q1434*CapacityAge15*'19_Расчет_аналитики'!$F$1223,0)</f>
        <v/>
      </c>
      <c r="R1546">
        <f>IF(IF('01_Вводные'!$B$296="Новый сезон",TRUE,TRUE),'19_Расчет_аналитики'!R1434*CapacityAge15*'19_Расчет_аналитики'!$F$1223,0)</f>
        <v/>
      </c>
      <c r="S1546">
        <f>IF(IF('01_Вводные'!$B$296="Новый сезон",TRUE,TRUE),'19_Расчет_аналитики'!S1434*CapacityAge15*'19_Расчет_аналитики'!$F$1223,0)</f>
        <v/>
      </c>
      <c r="T1546">
        <f>IF(IF('01_Вводные'!$B$296="Новый сезон",TRUE,TRUE),'19_Расчет_аналитики'!T1434*CapacityAge15*'19_Расчет_аналитики'!$F$1223,0)</f>
        <v/>
      </c>
      <c r="U1546">
        <f>IF(IF('01_Вводные'!$B$296="Новый сезон",TRUE,TRUE),'19_Расчет_аналитики'!U1434*CapacityAge15*'19_Расчет_аналитики'!$F$1223,0)</f>
        <v/>
      </c>
      <c r="V1546">
        <f>IF(IF('01_Вводные'!$B$296="Новый сезон",TRUE,TRUE),'19_Расчет_аналитики'!V1434*CapacityAge15*'19_Расчет_аналитики'!$F$1223,0)</f>
        <v/>
      </c>
      <c r="W1546">
        <f>IF(IF('01_Вводные'!$B$296="Новый сезон",TRUE,TRUE),'19_Расчет_аналитики'!W1434*CapacityAge15*'19_Расчет_аналитики'!$F$1223,0)</f>
        <v/>
      </c>
      <c r="X1546">
        <f>IF(IF('01_Вводные'!$B$296="Новый сезон",TRUE,TRUE),'19_Расчет_аналитики'!X1434*CapacityAge15*'19_Расчет_аналитики'!$F$1223,0)</f>
        <v/>
      </c>
      <c r="Y1546">
        <f>IF(IF('01_Вводные'!$B$296="Новый сезон",TRUE,TRUE),'19_Расчет_аналитики'!Y1434*CapacityAge15*'19_Расчет_аналитики'!$F$1223,0)</f>
        <v/>
      </c>
      <c r="Z1546">
        <f>IF(IF('01_Вводные'!$B$296="Новый сезон",TRUE,TRUE),'19_Расчет_аналитики'!Z1434*CapacityAge15*'19_Расчет_аналитики'!$F$1223,0)</f>
        <v/>
      </c>
      <c r="AA1546">
        <f>IF(IF('01_Вводные'!$B$296="Новый сезон",TRUE,TRUE),'19_Расчет_аналитики'!AA1434*CapacityAge15*'19_Расчет_аналитики'!$F$1223,0)</f>
        <v/>
      </c>
      <c r="AB1546">
        <f>IF(IF('01_Вводные'!$B$296="Новый сезон",TRUE,TRUE),'19_Расчет_аналитики'!AB1434*CapacityAge15*'19_Расчет_аналитики'!$F$1223,0)</f>
        <v/>
      </c>
      <c r="AC1546">
        <f>IF(IF('01_Вводные'!$B$296="Новый сезон",TRUE,TRUE),'19_Расчет_аналитики'!AC1434*CapacityAge15*'19_Расчет_аналитики'!$F$1223,0)</f>
        <v/>
      </c>
      <c r="AD1546">
        <f>IF(IF('01_Вводные'!$B$296="Новый сезон",TRUE,TRUE),'19_Расчет_аналитики'!AD1434*CapacityAge15*'19_Расчет_аналитики'!$F$1223,0)</f>
        <v/>
      </c>
      <c r="AE1546">
        <f>IF(IF('01_Вводные'!$B$296="Новый сезон",TRUE,TRUE),'19_Расчет_аналитики'!AE1434*CapacityAge15*'19_Расчет_аналитики'!$F$1223,0)</f>
        <v/>
      </c>
      <c r="AF1546">
        <f>IF(IF('01_Вводные'!$B$296="Новый сезон",TRUE,TRUE),'19_Расчет_аналитики'!AF1434*CapacityAge15*'19_Расчет_аналитики'!$F$1223,0)</f>
        <v/>
      </c>
      <c r="AG1546">
        <f>IF(IF('01_Вводные'!$B$296="Новый сезон",TRUE,TRUE),'19_Расчет_аналитики'!AG1434*CapacityAge15*'19_Расчет_аналитики'!$F$1223,0)</f>
        <v/>
      </c>
      <c r="AH1546">
        <f>IF(IF('01_Вводные'!$B$296="Новый сезон",TRUE,TRUE),'19_Расчет_аналитики'!AH1434*CapacityAge15*'19_Расчет_аналитики'!$F$1223,0)</f>
        <v/>
      </c>
      <c r="AI1546">
        <f>IF(IF('01_Вводные'!$B$296="Новый сезон",TRUE,TRUE),'19_Расчет_аналитики'!AI1434*CapacityAge15*'19_Расчет_аналитики'!$F$1223,0)</f>
        <v/>
      </c>
      <c r="AJ1546">
        <f>IF(IF('01_Вводные'!$B$296="Новый сезон",TRUE,TRUE),'19_Расчет_аналитики'!AJ1434*CapacityAge15*'19_Расчет_аналитики'!$F$1223,0)</f>
        <v/>
      </c>
      <c r="AK1546">
        <f>IF(IF('01_Вводные'!$B$296="Новый сезон",TRUE,TRUE),'19_Расчет_аналитики'!AK1434*CapacityAge15*'19_Расчет_аналитики'!$F$1223,0)</f>
        <v/>
      </c>
      <c r="AL1546">
        <f>IF(IF('01_Вводные'!$B$296="Новый сезон",TRUE,TRUE),'19_Расчет_аналитики'!AL1434*CapacityAge15*'19_Расчет_аналитики'!$F$1223,0)</f>
        <v/>
      </c>
      <c r="AM1546">
        <f>IF(IF('01_Вводные'!$B$296="Новый сезон",TRUE,TRUE),'19_Расчет_аналитики'!AM1434*CapacityAge15*'19_Расчет_аналитики'!$F$1223,0)</f>
        <v/>
      </c>
      <c r="AN1546">
        <f>IF(IF('01_Вводные'!$B$296="Новый сезон",TRUE,TRUE),'19_Расчет_аналитики'!AN1434*CapacityAge15*'19_Расчет_аналитики'!$F$1223,0)</f>
        <v/>
      </c>
      <c r="AO1546">
        <f>IF(IF('01_Вводные'!$B$296="Новый сезон",TRUE,TRUE),'19_Расчет_аналитики'!AO1434*CapacityAge15*'19_Расчет_аналитики'!$F$1223,0)</f>
        <v/>
      </c>
      <c r="AP1546">
        <f>IF(IF('01_Вводные'!$B$296="Новый сезон",TRUE,TRUE),'19_Расчет_аналитики'!AP1434*CapacityAge15*'19_Расчет_аналитики'!$F$1223,0)</f>
        <v/>
      </c>
      <c r="AQ1546">
        <f>IF(IF('01_Вводные'!$B$296="Новый сезон",TRUE,TRUE),'19_Расчет_аналитики'!AQ1434*CapacityAge15*'19_Расчет_аналитики'!$F$1223,0)</f>
        <v/>
      </c>
      <c r="AR1546">
        <f>IF(IF('01_Вводные'!$B$296="Новый сезон",TRUE,TRUE),'19_Расчет_аналитики'!AR1434*CapacityAge15*'19_Расчет_аналитики'!$F$1223,0)</f>
        <v/>
      </c>
      <c r="AS1546">
        <f>IF(IF('01_Вводные'!$B$296="Новый сезон",TRUE,TRUE),'19_Расчет_аналитики'!AS1434*CapacityAge15*'19_Расчет_аналитики'!$F$1223,0)</f>
        <v/>
      </c>
      <c r="AT1546">
        <f>IF(IF('01_Вводные'!$B$296="Новый сезон",TRUE,TRUE),'19_Расчет_аналитики'!AT1434*CapacityAge15*'19_Расчет_аналитики'!$F$1223,0)</f>
        <v/>
      </c>
      <c r="AU1546">
        <f>IF(IF('01_Вводные'!$B$296="Новый сезон",TRUE,TRUE),'19_Расчет_аналитики'!AU1434*CapacityAge15*'19_Расчет_аналитики'!$F$1223,0)</f>
        <v/>
      </c>
      <c r="AV1546">
        <f>IF(IF('01_Вводные'!$B$296="Новый сезон",TRUE,TRUE),'19_Расчет_аналитики'!AV1434*CapacityAge15*'19_Расчет_аналитики'!$F$1223,0)</f>
        <v/>
      </c>
      <c r="AW1546">
        <f>IF(IF('01_Вводные'!$B$296="Новый сезон",TRUE,TRUE),'19_Расчет_аналитики'!AW1434*CapacityAge15*'19_Расчет_аналитики'!$F$1223,0)</f>
        <v/>
      </c>
      <c r="AX1546">
        <f>IF(IF('01_Вводные'!$B$296="Новый сезон",TRUE,TRUE),'19_Расчет_аналитики'!AX1434*CapacityAge15*'19_Расчет_аналитики'!$F$1223,0)</f>
        <v/>
      </c>
      <c r="AY1546">
        <f>IF(IF('01_Вводные'!$B$296="Новый сезон",TRUE,TRUE),'19_Расчет_аналитики'!AY1434*CapacityAge15*'19_Расчет_аналитики'!$F$1223,0)</f>
        <v/>
      </c>
      <c r="AZ1546">
        <f>IF(IF('01_Вводные'!$B$296="Новый сезон",TRUE,TRUE),'19_Расчет_аналитики'!AZ1434*CapacityAge15*'19_Расчет_аналитики'!$F$1223,0)</f>
        <v/>
      </c>
      <c r="BA1546">
        <f>IF(IF('01_Вводные'!$B$296="Новый сезон",TRUE,TRUE),'19_Расчет_аналитики'!BA1434*CapacityAge15*'19_Расчет_аналитики'!$F$1223,0)</f>
        <v/>
      </c>
      <c r="BB1546">
        <f>IF(IF('01_Вводные'!$B$296="Новый сезон",TRUE,TRUE),'19_Расчет_аналитики'!BB1434*CapacityAge15*'19_Расчет_аналитики'!$F$1223,0)</f>
        <v/>
      </c>
      <c r="BC1546">
        <f>IF(IF('01_Вводные'!$B$296="Новый сезон",TRUE,TRUE),'19_Расчет_аналитики'!BC1434*CapacityAge15*'19_Расчет_аналитики'!$F$1223,0)</f>
        <v/>
      </c>
      <c r="BD1546">
        <f>IF(IF('01_Вводные'!$B$296="Новый сезон",TRUE,TRUE),'19_Расчет_аналитики'!BD1434*CapacityAge15*'19_Расчет_аналитики'!$F$1223,0)</f>
        <v/>
      </c>
      <c r="BE1546">
        <f>IF(IF('01_Вводные'!$B$296="Новый сезон",TRUE,TRUE),'19_Расчет_аналитики'!BE1434*CapacityAge15*'19_Расчет_аналитики'!$F$1223,0)</f>
        <v/>
      </c>
      <c r="BF1546">
        <f>IF(IF('01_Вводные'!$B$296="Новый сезон",TRUE,TRUE),'19_Расчет_аналитики'!BF1434*CapacityAge15*'19_Расчет_аналитики'!$F$1223,0)</f>
        <v/>
      </c>
      <c r="BG1546">
        <f>IF(IF('01_Вводные'!$B$296="Новый сезон",TRUE,TRUE),'19_Расчет_аналитики'!BG1434*CapacityAge15*'19_Расчет_аналитики'!$F$1223,0)</f>
        <v/>
      </c>
      <c r="BH1546">
        <f>IF(IF('01_Вводные'!$B$296="Новый сезон",TRUE,TRUE),'19_Расчет_аналитики'!BH1434*CapacityAge15*'19_Расчет_аналитики'!$F$1223,0)</f>
        <v/>
      </c>
      <c r="BI1546">
        <f>IF(IF('01_Вводные'!$B$296="Новый сезон",TRUE,TRUE),'19_Расчет_аналитики'!BI1434*CapacityAge15*'19_Расчет_аналитики'!$F$1223,0)</f>
        <v/>
      </c>
      <c r="BJ1546">
        <f>IF(IF('01_Вводные'!$B$296="Новый сезон",TRUE,TRUE),'19_Расчет_аналитики'!BJ1434*CapacityAge15*'19_Расчет_аналитики'!$F$1223,0)</f>
        <v/>
      </c>
      <c r="BK1546">
        <f>IF(IF('01_Вводные'!$B$296="Новый сезон",TRUE,TRUE),'19_Расчет_аналитики'!BK1434*CapacityAge15*'19_Расчет_аналитики'!$F$1223,0)</f>
        <v/>
      </c>
      <c r="BL1546">
        <f>IF(IF('01_Вводные'!$B$296="Новый сезон",TRUE,TRUE),'19_Расчет_аналитики'!BL1434*CapacityAge15*'19_Расчет_аналитики'!$F$1223,0)</f>
        <v/>
      </c>
      <c r="BM1546">
        <f>IF(IF('01_Вводные'!$B$296="Новый сезон",TRUE,TRUE),'19_Расчет_аналитики'!BM1434*CapacityAge15*'19_Расчет_аналитики'!$F$1223,0)</f>
        <v/>
      </c>
      <c r="BN1546">
        <f>IF(IF('01_Вводные'!$B$296="Новый сезон",TRUE,TRUE),'19_Расчет_аналитики'!BN1434*CapacityAge15*'19_Расчет_аналитики'!$F$1223,0)</f>
        <v/>
      </c>
      <c r="BO1546">
        <f>IF(IF('01_Вводные'!$B$296="Новый сезон",TRUE,TRUE),'19_Расчет_аналитики'!BO1434*CapacityAge15*'19_Расчет_аналитики'!$F$1223,0)</f>
        <v/>
      </c>
    </row>
    <row r="1547">
      <c r="B1547">
        <f>IF(IF('01_Вводные'!$B$296="Новый сезон",TRUE,TRUE),'06_Сеть_и_дети'!B68*CapacityAge16*'19_Расчет_аналитики'!$F$1223,0)</f>
        <v/>
      </c>
      <c r="C1547">
        <f>IF(IF('01_Вводные'!$B$296="Новый сезон",TRUE,TRUE),'06_Сеть_и_дети'!C68*CapacityAge16*'19_Расчет_аналитики'!$F$1223,0)</f>
        <v/>
      </c>
      <c r="D1547">
        <f>IF(IF('01_Вводные'!$B$296="Новый сезон",TRUE,TRUE),'06_Сеть_и_дети'!D68*CapacityAge16*'19_Расчет_аналитики'!$F$1223,0)</f>
        <v/>
      </c>
      <c r="E1547">
        <f>IF(IF('01_Вводные'!$B$296="Новый сезон",TRUE,TRUE),'06_Сеть_и_дети'!E68*CapacityAge16*'19_Расчет_аналитики'!$F$1223,0)</f>
        <v/>
      </c>
      <c r="F1547">
        <f>IF(IF('01_Вводные'!$B$296="Новый сезон",TRUE,TRUE),'06_Сеть_и_дети'!F68*CapacityAge16*'19_Расчет_аналитики'!$F$1223,0)</f>
        <v/>
      </c>
      <c r="G1547">
        <f>IF(IF('01_Вводные'!$B$296="Новый сезон",TRUE,TRUE),'06_Сеть_и_дети'!G68*CapacityAge16*'19_Расчет_аналитики'!$F$1223,0)</f>
        <v/>
      </c>
      <c r="H1547">
        <f>IF(IF('01_Вводные'!$B$296="Новый сезон",TRUE,TRUE),'06_Сеть_и_дети'!H68*CapacityAge16*'19_Расчет_аналитики'!$F$1223,0)</f>
        <v/>
      </c>
      <c r="I1547">
        <f>IF(IF('01_Вводные'!$B$296="Новый сезон",TRUE,TRUE),'06_Сеть_и_дети'!I68*CapacityAge16*'19_Расчет_аналитики'!$F$1223,0)</f>
        <v/>
      </c>
      <c r="J1547">
        <f>IF(IF('01_Вводные'!$B$296="Новый сезон",TRUE,TRUE),'06_Сеть_и_дети'!J68*CapacityAge16*'19_Расчет_аналитики'!$F$1223,0)</f>
        <v/>
      </c>
      <c r="K1547">
        <f>IF(IF('01_Вводные'!$B$296="Новый сезон",TRUE,TRUE),'06_Сеть_и_дети'!K68*CapacityAge16*'19_Расчет_аналитики'!$F$1223,0)</f>
        <v/>
      </c>
      <c r="L1547">
        <f>IF(IF('01_Вводные'!$B$296="Новый сезон",TRUE,TRUE),'06_Сеть_и_дети'!L68*CapacityAge16*'19_Расчет_аналитики'!$F$1223,0)</f>
        <v/>
      </c>
      <c r="M1547">
        <f>IF(IF('01_Вводные'!$B$296="Новый сезон",TRUE,TRUE),'06_Сеть_и_дети'!M68*CapacityAge16*'19_Расчет_аналитики'!$F$1223,0)</f>
        <v/>
      </c>
      <c r="N1547">
        <f>IF(IF('01_Вводные'!$B$296="Новый сезон",TRUE,TRUE),'06_Сеть_и_дети'!N68*CapacityAge16*'19_Расчет_аналитики'!$F$1223,0)</f>
        <v/>
      </c>
      <c r="O1547">
        <f>IF(IF('01_Вводные'!$B$296="Новый сезон",TRUE,TRUE),'06_Сеть_и_дети'!O68*CapacityAge16*'19_Расчет_аналитики'!$F$1223,0)</f>
        <v/>
      </c>
      <c r="P1547">
        <f>IF(IF('01_Вводные'!$B$296="Новый сезон",TRUE,TRUE),'06_Сеть_и_дети'!P68*CapacityAge16*'19_Расчет_аналитики'!$F$1223,0)</f>
        <v/>
      </c>
      <c r="Q1547">
        <f>IF(IF('01_Вводные'!$B$296="Новый сезон",TRUE,TRUE),'19_Расчет_аналитики'!Q1435*CapacityAge16*'19_Расчет_аналитики'!$F$1223,0)</f>
        <v/>
      </c>
      <c r="R1547">
        <f>IF(IF('01_Вводные'!$B$296="Новый сезон",TRUE,TRUE),'19_Расчет_аналитики'!R1435*CapacityAge16*'19_Расчет_аналитики'!$F$1223,0)</f>
        <v/>
      </c>
      <c r="S1547">
        <f>IF(IF('01_Вводные'!$B$296="Новый сезон",TRUE,TRUE),'19_Расчет_аналитики'!S1435*CapacityAge16*'19_Расчет_аналитики'!$F$1223,0)</f>
        <v/>
      </c>
      <c r="T1547">
        <f>IF(IF('01_Вводные'!$B$296="Новый сезон",TRUE,TRUE),'19_Расчет_аналитики'!T1435*CapacityAge16*'19_Расчет_аналитики'!$F$1223,0)</f>
        <v/>
      </c>
      <c r="U1547">
        <f>IF(IF('01_Вводные'!$B$296="Новый сезон",TRUE,TRUE),'19_Расчет_аналитики'!U1435*CapacityAge16*'19_Расчет_аналитики'!$F$1223,0)</f>
        <v/>
      </c>
      <c r="V1547">
        <f>IF(IF('01_Вводные'!$B$296="Новый сезон",TRUE,TRUE),'19_Расчет_аналитики'!V1435*CapacityAge16*'19_Расчет_аналитики'!$F$1223,0)</f>
        <v/>
      </c>
      <c r="W1547">
        <f>IF(IF('01_Вводные'!$B$296="Новый сезон",TRUE,TRUE),'19_Расчет_аналитики'!W1435*CapacityAge16*'19_Расчет_аналитики'!$F$1223,0)</f>
        <v/>
      </c>
      <c r="X1547">
        <f>IF(IF('01_Вводные'!$B$296="Новый сезон",TRUE,TRUE),'19_Расчет_аналитики'!X1435*CapacityAge16*'19_Расчет_аналитики'!$F$1223,0)</f>
        <v/>
      </c>
      <c r="Y1547">
        <f>IF(IF('01_Вводные'!$B$296="Новый сезон",TRUE,TRUE),'19_Расчет_аналитики'!Y1435*CapacityAge16*'19_Расчет_аналитики'!$F$1223,0)</f>
        <v/>
      </c>
      <c r="Z1547">
        <f>IF(IF('01_Вводные'!$B$296="Новый сезон",TRUE,TRUE),'19_Расчет_аналитики'!Z1435*CapacityAge16*'19_Расчет_аналитики'!$F$1223,0)</f>
        <v/>
      </c>
      <c r="AA1547">
        <f>IF(IF('01_Вводные'!$B$296="Новый сезон",TRUE,TRUE),'19_Расчет_аналитики'!AA1435*CapacityAge16*'19_Расчет_аналитики'!$F$1223,0)</f>
        <v/>
      </c>
      <c r="AB1547">
        <f>IF(IF('01_Вводные'!$B$296="Новый сезон",TRUE,TRUE),'19_Расчет_аналитики'!AB1435*CapacityAge16*'19_Расчет_аналитики'!$F$1223,0)</f>
        <v/>
      </c>
      <c r="AC1547">
        <f>IF(IF('01_Вводные'!$B$296="Новый сезон",TRUE,TRUE),'19_Расчет_аналитики'!AC1435*CapacityAge16*'19_Расчет_аналитики'!$F$1223,0)</f>
        <v/>
      </c>
      <c r="AD1547">
        <f>IF(IF('01_Вводные'!$B$296="Новый сезон",TRUE,TRUE),'19_Расчет_аналитики'!AD1435*CapacityAge16*'19_Расчет_аналитики'!$F$1223,0)</f>
        <v/>
      </c>
      <c r="AE1547">
        <f>IF(IF('01_Вводные'!$B$296="Новый сезон",TRUE,TRUE),'19_Расчет_аналитики'!AE1435*CapacityAge16*'19_Расчет_аналитики'!$F$1223,0)</f>
        <v/>
      </c>
      <c r="AF1547">
        <f>IF(IF('01_Вводные'!$B$296="Новый сезон",TRUE,TRUE),'19_Расчет_аналитики'!AF1435*CapacityAge16*'19_Расчет_аналитики'!$F$1223,0)</f>
        <v/>
      </c>
      <c r="AG1547">
        <f>IF(IF('01_Вводные'!$B$296="Новый сезон",TRUE,TRUE),'19_Расчет_аналитики'!AG1435*CapacityAge16*'19_Расчет_аналитики'!$F$1223,0)</f>
        <v/>
      </c>
      <c r="AH1547">
        <f>IF(IF('01_Вводные'!$B$296="Новый сезон",TRUE,TRUE),'19_Расчет_аналитики'!AH1435*CapacityAge16*'19_Расчет_аналитики'!$F$1223,0)</f>
        <v/>
      </c>
      <c r="AI1547">
        <f>IF(IF('01_Вводные'!$B$296="Новый сезон",TRUE,TRUE),'19_Расчет_аналитики'!AI1435*CapacityAge16*'19_Расчет_аналитики'!$F$1223,0)</f>
        <v/>
      </c>
      <c r="AJ1547">
        <f>IF(IF('01_Вводные'!$B$296="Новый сезон",TRUE,TRUE),'19_Расчет_аналитики'!AJ1435*CapacityAge16*'19_Расчет_аналитики'!$F$1223,0)</f>
        <v/>
      </c>
      <c r="AK1547">
        <f>IF(IF('01_Вводные'!$B$296="Новый сезон",TRUE,TRUE),'19_Расчет_аналитики'!AK1435*CapacityAge16*'19_Расчет_аналитики'!$F$1223,0)</f>
        <v/>
      </c>
      <c r="AL1547">
        <f>IF(IF('01_Вводные'!$B$296="Новый сезон",TRUE,TRUE),'19_Расчет_аналитики'!AL1435*CapacityAge16*'19_Расчет_аналитики'!$F$1223,0)</f>
        <v/>
      </c>
      <c r="AM1547">
        <f>IF(IF('01_Вводные'!$B$296="Новый сезон",TRUE,TRUE),'19_Расчет_аналитики'!AM1435*CapacityAge16*'19_Расчет_аналитики'!$F$1223,0)</f>
        <v/>
      </c>
      <c r="AN1547">
        <f>IF(IF('01_Вводные'!$B$296="Новый сезон",TRUE,TRUE),'19_Расчет_аналитики'!AN1435*CapacityAge16*'19_Расчет_аналитики'!$F$1223,0)</f>
        <v/>
      </c>
      <c r="AO1547">
        <f>IF(IF('01_Вводные'!$B$296="Новый сезон",TRUE,TRUE),'19_Расчет_аналитики'!AO1435*CapacityAge16*'19_Расчет_аналитики'!$F$1223,0)</f>
        <v/>
      </c>
      <c r="AP1547">
        <f>IF(IF('01_Вводные'!$B$296="Новый сезон",TRUE,TRUE),'19_Расчет_аналитики'!AP1435*CapacityAge16*'19_Расчет_аналитики'!$F$1223,0)</f>
        <v/>
      </c>
      <c r="AQ1547">
        <f>IF(IF('01_Вводные'!$B$296="Новый сезон",TRUE,TRUE),'19_Расчет_аналитики'!AQ1435*CapacityAge16*'19_Расчет_аналитики'!$F$1223,0)</f>
        <v/>
      </c>
      <c r="AR1547">
        <f>IF(IF('01_Вводные'!$B$296="Новый сезон",TRUE,TRUE),'19_Расчет_аналитики'!AR1435*CapacityAge16*'19_Расчет_аналитики'!$F$1223,0)</f>
        <v/>
      </c>
      <c r="AS1547">
        <f>IF(IF('01_Вводные'!$B$296="Новый сезон",TRUE,TRUE),'19_Расчет_аналитики'!AS1435*CapacityAge16*'19_Расчет_аналитики'!$F$1223,0)</f>
        <v/>
      </c>
      <c r="AT1547">
        <f>IF(IF('01_Вводные'!$B$296="Новый сезон",TRUE,TRUE),'19_Расчет_аналитики'!AT1435*CapacityAge16*'19_Расчет_аналитики'!$F$1223,0)</f>
        <v/>
      </c>
      <c r="AU1547">
        <f>IF(IF('01_Вводные'!$B$296="Новый сезон",TRUE,TRUE),'19_Расчет_аналитики'!AU1435*CapacityAge16*'19_Расчет_аналитики'!$F$1223,0)</f>
        <v/>
      </c>
      <c r="AV1547">
        <f>IF(IF('01_Вводные'!$B$296="Новый сезон",TRUE,TRUE),'19_Расчет_аналитики'!AV1435*CapacityAge16*'19_Расчет_аналитики'!$F$1223,0)</f>
        <v/>
      </c>
      <c r="AW1547">
        <f>IF(IF('01_Вводные'!$B$296="Новый сезон",TRUE,TRUE),'19_Расчет_аналитики'!AW1435*CapacityAge16*'19_Расчет_аналитики'!$F$1223,0)</f>
        <v/>
      </c>
      <c r="AX1547">
        <f>IF(IF('01_Вводные'!$B$296="Новый сезон",TRUE,TRUE),'19_Расчет_аналитики'!AX1435*CapacityAge16*'19_Расчет_аналитики'!$F$1223,0)</f>
        <v/>
      </c>
      <c r="AY1547">
        <f>IF(IF('01_Вводные'!$B$296="Новый сезон",TRUE,TRUE),'19_Расчет_аналитики'!AY1435*CapacityAge16*'19_Расчет_аналитики'!$F$1223,0)</f>
        <v/>
      </c>
      <c r="AZ1547">
        <f>IF(IF('01_Вводные'!$B$296="Новый сезон",TRUE,TRUE),'19_Расчет_аналитики'!AZ1435*CapacityAge16*'19_Расчет_аналитики'!$F$1223,0)</f>
        <v/>
      </c>
      <c r="BA1547">
        <f>IF(IF('01_Вводные'!$B$296="Новый сезон",TRUE,TRUE),'19_Расчет_аналитики'!BA1435*CapacityAge16*'19_Расчет_аналитики'!$F$1223,0)</f>
        <v/>
      </c>
      <c r="BB1547">
        <f>IF(IF('01_Вводные'!$B$296="Новый сезон",TRUE,TRUE),'19_Расчет_аналитики'!BB1435*CapacityAge16*'19_Расчет_аналитики'!$F$1223,0)</f>
        <v/>
      </c>
      <c r="BC1547">
        <f>IF(IF('01_Вводные'!$B$296="Новый сезон",TRUE,TRUE),'19_Расчет_аналитики'!BC1435*CapacityAge16*'19_Расчет_аналитики'!$F$1223,0)</f>
        <v/>
      </c>
      <c r="BD1547">
        <f>IF(IF('01_Вводные'!$B$296="Новый сезон",TRUE,TRUE),'19_Расчет_аналитики'!BD1435*CapacityAge16*'19_Расчет_аналитики'!$F$1223,0)</f>
        <v/>
      </c>
      <c r="BE1547">
        <f>IF(IF('01_Вводные'!$B$296="Новый сезон",TRUE,TRUE),'19_Расчет_аналитики'!BE1435*CapacityAge16*'19_Расчет_аналитики'!$F$1223,0)</f>
        <v/>
      </c>
      <c r="BF1547">
        <f>IF(IF('01_Вводные'!$B$296="Новый сезон",TRUE,TRUE),'19_Расчет_аналитики'!BF1435*CapacityAge16*'19_Расчет_аналитики'!$F$1223,0)</f>
        <v/>
      </c>
      <c r="BG1547">
        <f>IF(IF('01_Вводные'!$B$296="Новый сезон",TRUE,TRUE),'19_Расчет_аналитики'!BG1435*CapacityAge16*'19_Расчет_аналитики'!$F$1223,0)</f>
        <v/>
      </c>
      <c r="BH1547">
        <f>IF(IF('01_Вводные'!$B$296="Новый сезон",TRUE,TRUE),'19_Расчет_аналитики'!BH1435*CapacityAge16*'19_Расчет_аналитики'!$F$1223,0)</f>
        <v/>
      </c>
      <c r="BI1547">
        <f>IF(IF('01_Вводные'!$B$296="Новый сезон",TRUE,TRUE),'19_Расчет_аналитики'!BI1435*CapacityAge16*'19_Расчет_аналитики'!$F$1223,0)</f>
        <v/>
      </c>
      <c r="BJ1547">
        <f>IF(IF('01_Вводные'!$B$296="Новый сезон",TRUE,TRUE),'19_Расчет_аналитики'!BJ1435*CapacityAge16*'19_Расчет_аналитики'!$F$1223,0)</f>
        <v/>
      </c>
      <c r="BK1547">
        <f>IF(IF('01_Вводные'!$B$296="Новый сезон",TRUE,TRUE),'19_Расчет_аналитики'!BK1435*CapacityAge16*'19_Расчет_аналитики'!$F$1223,0)</f>
        <v/>
      </c>
      <c r="BL1547">
        <f>IF(IF('01_Вводные'!$B$296="Новый сезон",TRUE,TRUE),'19_Расчет_аналитики'!BL1435*CapacityAge16*'19_Расчет_аналитики'!$F$1223,0)</f>
        <v/>
      </c>
      <c r="BM1547">
        <f>IF(IF('01_Вводные'!$B$296="Новый сезон",TRUE,TRUE),'19_Расчет_аналитики'!BM1435*CapacityAge16*'19_Расчет_аналитики'!$F$1223,0)</f>
        <v/>
      </c>
      <c r="BN1547">
        <f>IF(IF('01_Вводные'!$B$296="Новый сезон",TRUE,TRUE),'19_Расчет_аналитики'!BN1435*CapacityAge16*'19_Расчет_аналитики'!$F$1223,0)</f>
        <v/>
      </c>
      <c r="BO1547">
        <f>IF(IF('01_Вводные'!$B$296="Новый сезон",TRUE,TRUE),'19_Расчет_аналитики'!BO1435*CapacityAge16*'19_Расчет_аналитики'!$F$1223,0)</f>
        <v/>
      </c>
    </row>
    <row r="1548">
      <c r="B1548">
        <f>IF(IF('01_Вводные'!$B$296="Новый сезон",TRUE,TRUE),'06_Сеть_и_дети'!B69*CapacityAge17*'19_Расчет_аналитики'!$F$1223,0)</f>
        <v/>
      </c>
      <c r="C1548">
        <f>IF(IF('01_Вводные'!$B$296="Новый сезон",TRUE,TRUE),'06_Сеть_и_дети'!C69*CapacityAge17*'19_Расчет_аналитики'!$F$1223,0)</f>
        <v/>
      </c>
      <c r="D1548">
        <f>IF(IF('01_Вводные'!$B$296="Новый сезон",TRUE,TRUE),'06_Сеть_и_дети'!D69*CapacityAge17*'19_Расчет_аналитики'!$F$1223,0)</f>
        <v/>
      </c>
      <c r="E1548">
        <f>IF(IF('01_Вводные'!$B$296="Новый сезон",TRUE,TRUE),'06_Сеть_и_дети'!E69*CapacityAge17*'19_Расчет_аналитики'!$F$1223,0)</f>
        <v/>
      </c>
      <c r="F1548">
        <f>IF(IF('01_Вводные'!$B$296="Новый сезон",TRUE,TRUE),'06_Сеть_и_дети'!F69*CapacityAge17*'19_Расчет_аналитики'!$F$1223,0)</f>
        <v/>
      </c>
      <c r="G1548">
        <f>IF(IF('01_Вводные'!$B$296="Новый сезон",TRUE,TRUE),'06_Сеть_и_дети'!G69*CapacityAge17*'19_Расчет_аналитики'!$F$1223,0)</f>
        <v/>
      </c>
      <c r="H1548">
        <f>IF(IF('01_Вводные'!$B$296="Новый сезон",TRUE,TRUE),'06_Сеть_и_дети'!H69*CapacityAge17*'19_Расчет_аналитики'!$F$1223,0)</f>
        <v/>
      </c>
      <c r="I1548">
        <f>IF(IF('01_Вводные'!$B$296="Новый сезон",TRUE,TRUE),'06_Сеть_и_дети'!I69*CapacityAge17*'19_Расчет_аналитики'!$F$1223,0)</f>
        <v/>
      </c>
      <c r="J1548">
        <f>IF(IF('01_Вводные'!$B$296="Новый сезон",TRUE,TRUE),'06_Сеть_и_дети'!J69*CapacityAge17*'19_Расчет_аналитики'!$F$1223,0)</f>
        <v/>
      </c>
      <c r="K1548">
        <f>IF(IF('01_Вводные'!$B$296="Новый сезон",TRUE,TRUE),'06_Сеть_и_дети'!K69*CapacityAge17*'19_Расчет_аналитики'!$F$1223,0)</f>
        <v/>
      </c>
      <c r="L1548">
        <f>IF(IF('01_Вводные'!$B$296="Новый сезон",TRUE,TRUE),'06_Сеть_и_дети'!L69*CapacityAge17*'19_Расчет_аналитики'!$F$1223,0)</f>
        <v/>
      </c>
      <c r="M1548">
        <f>IF(IF('01_Вводные'!$B$296="Новый сезон",TRUE,TRUE),'06_Сеть_и_дети'!M69*CapacityAge17*'19_Расчет_аналитики'!$F$1223,0)</f>
        <v/>
      </c>
      <c r="N1548">
        <f>IF(IF('01_Вводные'!$B$296="Новый сезон",TRUE,TRUE),'06_Сеть_и_дети'!N69*CapacityAge17*'19_Расчет_аналитики'!$F$1223,0)</f>
        <v/>
      </c>
      <c r="O1548">
        <f>IF(IF('01_Вводные'!$B$296="Новый сезон",TRUE,TRUE),'06_Сеть_и_дети'!O69*CapacityAge17*'19_Расчет_аналитики'!$F$1223,0)</f>
        <v/>
      </c>
      <c r="P1548">
        <f>IF(IF('01_Вводные'!$B$296="Новый сезон",TRUE,TRUE),'06_Сеть_и_дети'!P69*CapacityAge17*'19_Расчет_аналитики'!$F$1223,0)</f>
        <v/>
      </c>
      <c r="Q1548">
        <f>IF(IF('01_Вводные'!$B$296="Новый сезон",TRUE,TRUE),'06_Сеть_и_дети'!Q69*CapacityAge17*'19_Расчет_аналитики'!$F$1223,0)</f>
        <v/>
      </c>
      <c r="R1548">
        <f>IF(IF('01_Вводные'!$B$296="Новый сезон",TRUE,TRUE),'19_Расчет_аналитики'!R1436*CapacityAge17*'19_Расчет_аналитики'!$F$1223,0)</f>
        <v/>
      </c>
      <c r="S1548">
        <f>IF(IF('01_Вводные'!$B$296="Новый сезон",TRUE,TRUE),'19_Расчет_аналитики'!S1436*CapacityAge17*'19_Расчет_аналитики'!$F$1223,0)</f>
        <v/>
      </c>
      <c r="T1548">
        <f>IF(IF('01_Вводные'!$B$296="Новый сезон",TRUE,TRUE),'19_Расчет_аналитики'!T1436*CapacityAge17*'19_Расчет_аналитики'!$F$1223,0)</f>
        <v/>
      </c>
      <c r="U1548">
        <f>IF(IF('01_Вводные'!$B$296="Новый сезон",TRUE,TRUE),'19_Расчет_аналитики'!U1436*CapacityAge17*'19_Расчет_аналитики'!$F$1223,0)</f>
        <v/>
      </c>
      <c r="V1548">
        <f>IF(IF('01_Вводные'!$B$296="Новый сезон",TRUE,TRUE),'19_Расчет_аналитики'!V1436*CapacityAge17*'19_Расчет_аналитики'!$F$1223,0)</f>
        <v/>
      </c>
      <c r="W1548">
        <f>IF(IF('01_Вводные'!$B$296="Новый сезон",TRUE,TRUE),'19_Расчет_аналитики'!W1436*CapacityAge17*'19_Расчет_аналитики'!$F$1223,0)</f>
        <v/>
      </c>
      <c r="X1548">
        <f>IF(IF('01_Вводные'!$B$296="Новый сезон",TRUE,TRUE),'19_Расчет_аналитики'!X1436*CapacityAge17*'19_Расчет_аналитики'!$F$1223,0)</f>
        <v/>
      </c>
      <c r="Y1548">
        <f>IF(IF('01_Вводные'!$B$296="Новый сезон",TRUE,TRUE),'19_Расчет_аналитики'!Y1436*CapacityAge17*'19_Расчет_аналитики'!$F$1223,0)</f>
        <v/>
      </c>
      <c r="Z1548">
        <f>IF(IF('01_Вводные'!$B$296="Новый сезон",TRUE,TRUE),'19_Расчет_аналитики'!Z1436*CapacityAge17*'19_Расчет_аналитики'!$F$1223,0)</f>
        <v/>
      </c>
      <c r="AA1548">
        <f>IF(IF('01_Вводные'!$B$296="Новый сезон",TRUE,TRUE),'19_Расчет_аналитики'!AA1436*CapacityAge17*'19_Расчет_аналитики'!$F$1223,0)</f>
        <v/>
      </c>
      <c r="AB1548">
        <f>IF(IF('01_Вводные'!$B$296="Новый сезон",TRUE,TRUE),'19_Расчет_аналитики'!AB1436*CapacityAge17*'19_Расчет_аналитики'!$F$1223,0)</f>
        <v/>
      </c>
      <c r="AC1548">
        <f>IF(IF('01_Вводные'!$B$296="Новый сезон",TRUE,TRUE),'19_Расчет_аналитики'!AC1436*CapacityAge17*'19_Расчет_аналитики'!$F$1223,0)</f>
        <v/>
      </c>
      <c r="AD1548">
        <f>IF(IF('01_Вводные'!$B$296="Новый сезон",TRUE,TRUE),'19_Расчет_аналитики'!AD1436*CapacityAge17*'19_Расчет_аналитики'!$F$1223,0)</f>
        <v/>
      </c>
      <c r="AE1548">
        <f>IF(IF('01_Вводные'!$B$296="Новый сезон",TRUE,TRUE),'19_Расчет_аналитики'!AE1436*CapacityAge17*'19_Расчет_аналитики'!$F$1223,0)</f>
        <v/>
      </c>
      <c r="AF1548">
        <f>IF(IF('01_Вводные'!$B$296="Новый сезон",TRUE,TRUE),'19_Расчет_аналитики'!AF1436*CapacityAge17*'19_Расчет_аналитики'!$F$1223,0)</f>
        <v/>
      </c>
      <c r="AG1548">
        <f>IF(IF('01_Вводные'!$B$296="Новый сезон",TRUE,TRUE),'19_Расчет_аналитики'!AG1436*CapacityAge17*'19_Расчет_аналитики'!$F$1223,0)</f>
        <v/>
      </c>
      <c r="AH1548">
        <f>IF(IF('01_Вводные'!$B$296="Новый сезон",TRUE,TRUE),'19_Расчет_аналитики'!AH1436*CapacityAge17*'19_Расчет_аналитики'!$F$1223,0)</f>
        <v/>
      </c>
      <c r="AI1548">
        <f>IF(IF('01_Вводные'!$B$296="Новый сезон",TRUE,TRUE),'19_Расчет_аналитики'!AI1436*CapacityAge17*'19_Расчет_аналитики'!$F$1223,0)</f>
        <v/>
      </c>
      <c r="AJ1548">
        <f>IF(IF('01_Вводные'!$B$296="Новый сезон",TRUE,TRUE),'19_Расчет_аналитики'!AJ1436*CapacityAge17*'19_Расчет_аналитики'!$F$1223,0)</f>
        <v/>
      </c>
      <c r="AK1548">
        <f>IF(IF('01_Вводные'!$B$296="Новый сезон",TRUE,TRUE),'19_Расчет_аналитики'!AK1436*CapacityAge17*'19_Расчет_аналитики'!$F$1223,0)</f>
        <v/>
      </c>
      <c r="AL1548">
        <f>IF(IF('01_Вводные'!$B$296="Новый сезон",TRUE,TRUE),'19_Расчет_аналитики'!AL1436*CapacityAge17*'19_Расчет_аналитики'!$F$1223,0)</f>
        <v/>
      </c>
      <c r="AM1548">
        <f>IF(IF('01_Вводные'!$B$296="Новый сезон",TRUE,TRUE),'19_Расчет_аналитики'!AM1436*CapacityAge17*'19_Расчет_аналитики'!$F$1223,0)</f>
        <v/>
      </c>
      <c r="AN1548">
        <f>IF(IF('01_Вводные'!$B$296="Новый сезон",TRUE,TRUE),'19_Расчет_аналитики'!AN1436*CapacityAge17*'19_Расчет_аналитики'!$F$1223,0)</f>
        <v/>
      </c>
      <c r="AO1548">
        <f>IF(IF('01_Вводные'!$B$296="Новый сезон",TRUE,TRUE),'19_Расчет_аналитики'!AO1436*CapacityAge17*'19_Расчет_аналитики'!$F$1223,0)</f>
        <v/>
      </c>
      <c r="AP1548">
        <f>IF(IF('01_Вводные'!$B$296="Новый сезон",TRUE,TRUE),'19_Расчет_аналитики'!AP1436*CapacityAge17*'19_Расчет_аналитики'!$F$1223,0)</f>
        <v/>
      </c>
      <c r="AQ1548">
        <f>IF(IF('01_Вводные'!$B$296="Новый сезон",TRUE,TRUE),'19_Расчет_аналитики'!AQ1436*CapacityAge17*'19_Расчет_аналитики'!$F$1223,0)</f>
        <v/>
      </c>
      <c r="AR1548">
        <f>IF(IF('01_Вводные'!$B$296="Новый сезон",TRUE,TRUE),'19_Расчет_аналитики'!AR1436*CapacityAge17*'19_Расчет_аналитики'!$F$1223,0)</f>
        <v/>
      </c>
      <c r="AS1548">
        <f>IF(IF('01_Вводные'!$B$296="Новый сезон",TRUE,TRUE),'19_Расчет_аналитики'!AS1436*CapacityAge17*'19_Расчет_аналитики'!$F$1223,0)</f>
        <v/>
      </c>
      <c r="AT1548">
        <f>IF(IF('01_Вводные'!$B$296="Новый сезон",TRUE,TRUE),'19_Расчет_аналитики'!AT1436*CapacityAge17*'19_Расчет_аналитики'!$F$1223,0)</f>
        <v/>
      </c>
      <c r="AU1548">
        <f>IF(IF('01_Вводные'!$B$296="Новый сезон",TRUE,TRUE),'19_Расчет_аналитики'!AU1436*CapacityAge17*'19_Расчет_аналитики'!$F$1223,0)</f>
        <v/>
      </c>
      <c r="AV1548">
        <f>IF(IF('01_Вводные'!$B$296="Новый сезон",TRUE,TRUE),'19_Расчет_аналитики'!AV1436*CapacityAge17*'19_Расчет_аналитики'!$F$1223,0)</f>
        <v/>
      </c>
      <c r="AW1548">
        <f>IF(IF('01_Вводные'!$B$296="Новый сезон",TRUE,TRUE),'19_Расчет_аналитики'!AW1436*CapacityAge17*'19_Расчет_аналитики'!$F$1223,0)</f>
        <v/>
      </c>
      <c r="AX1548">
        <f>IF(IF('01_Вводные'!$B$296="Новый сезон",TRUE,TRUE),'19_Расчет_аналитики'!AX1436*CapacityAge17*'19_Расчет_аналитики'!$F$1223,0)</f>
        <v/>
      </c>
      <c r="AY1548">
        <f>IF(IF('01_Вводные'!$B$296="Новый сезон",TRUE,TRUE),'19_Расчет_аналитики'!AY1436*CapacityAge17*'19_Расчет_аналитики'!$F$1223,0)</f>
        <v/>
      </c>
      <c r="AZ1548">
        <f>IF(IF('01_Вводные'!$B$296="Новый сезон",TRUE,TRUE),'19_Расчет_аналитики'!AZ1436*CapacityAge17*'19_Расчет_аналитики'!$F$1223,0)</f>
        <v/>
      </c>
      <c r="BA1548">
        <f>IF(IF('01_Вводные'!$B$296="Новый сезон",TRUE,TRUE),'19_Расчет_аналитики'!BA1436*CapacityAge17*'19_Расчет_аналитики'!$F$1223,0)</f>
        <v/>
      </c>
      <c r="BB1548">
        <f>IF(IF('01_Вводные'!$B$296="Новый сезон",TRUE,TRUE),'19_Расчет_аналитики'!BB1436*CapacityAge17*'19_Расчет_аналитики'!$F$1223,0)</f>
        <v/>
      </c>
      <c r="BC1548">
        <f>IF(IF('01_Вводные'!$B$296="Новый сезон",TRUE,TRUE),'19_Расчет_аналитики'!BC1436*CapacityAge17*'19_Расчет_аналитики'!$F$1223,0)</f>
        <v/>
      </c>
      <c r="BD1548">
        <f>IF(IF('01_Вводные'!$B$296="Новый сезон",TRUE,TRUE),'19_Расчет_аналитики'!BD1436*CapacityAge17*'19_Расчет_аналитики'!$F$1223,0)</f>
        <v/>
      </c>
      <c r="BE1548">
        <f>IF(IF('01_Вводные'!$B$296="Новый сезон",TRUE,TRUE),'19_Расчет_аналитики'!BE1436*CapacityAge17*'19_Расчет_аналитики'!$F$1223,0)</f>
        <v/>
      </c>
      <c r="BF1548">
        <f>IF(IF('01_Вводные'!$B$296="Новый сезон",TRUE,TRUE),'19_Расчет_аналитики'!BF1436*CapacityAge17*'19_Расчет_аналитики'!$F$1223,0)</f>
        <v/>
      </c>
      <c r="BG1548">
        <f>IF(IF('01_Вводные'!$B$296="Новый сезон",TRUE,TRUE),'19_Расчет_аналитики'!BG1436*CapacityAge17*'19_Расчет_аналитики'!$F$1223,0)</f>
        <v/>
      </c>
      <c r="BH1548">
        <f>IF(IF('01_Вводные'!$B$296="Новый сезон",TRUE,TRUE),'19_Расчет_аналитики'!BH1436*CapacityAge17*'19_Расчет_аналитики'!$F$1223,0)</f>
        <v/>
      </c>
      <c r="BI1548">
        <f>IF(IF('01_Вводные'!$B$296="Новый сезон",TRUE,TRUE),'19_Расчет_аналитики'!BI1436*CapacityAge17*'19_Расчет_аналитики'!$F$1223,0)</f>
        <v/>
      </c>
      <c r="BJ1548">
        <f>IF(IF('01_Вводные'!$B$296="Новый сезон",TRUE,TRUE),'19_Расчет_аналитики'!BJ1436*CapacityAge17*'19_Расчет_аналитики'!$F$1223,0)</f>
        <v/>
      </c>
      <c r="BK1548">
        <f>IF(IF('01_Вводные'!$B$296="Новый сезон",TRUE,TRUE),'19_Расчет_аналитики'!BK1436*CapacityAge17*'19_Расчет_аналитики'!$F$1223,0)</f>
        <v/>
      </c>
      <c r="BL1548">
        <f>IF(IF('01_Вводные'!$B$296="Новый сезон",TRUE,TRUE),'19_Расчет_аналитики'!BL1436*CapacityAge17*'19_Расчет_аналитики'!$F$1223,0)</f>
        <v/>
      </c>
      <c r="BM1548">
        <f>IF(IF('01_Вводные'!$B$296="Новый сезон",TRUE,TRUE),'19_Расчет_аналитики'!BM1436*CapacityAge17*'19_Расчет_аналитики'!$F$1223,0)</f>
        <v/>
      </c>
      <c r="BN1548">
        <f>IF(IF('01_Вводные'!$B$296="Новый сезон",TRUE,TRUE),'19_Расчет_аналитики'!BN1436*CapacityAge17*'19_Расчет_аналитики'!$F$1223,0)</f>
        <v/>
      </c>
      <c r="BO1548">
        <f>IF(IF('01_Вводные'!$B$296="Новый сезон",TRUE,TRUE),'19_Расчет_аналитики'!BO1436*CapacityAge17*'19_Расчет_аналитики'!$F$1223,0)</f>
        <v/>
      </c>
    </row>
    <row r="1549">
      <c r="B1549">
        <f>IF(IF('01_Вводные'!$B$296="Новый сезон",TRUE,TRUE),'06_Сеть_и_дети'!B70*CapacityAge18*'19_Расчет_аналитики'!$F$1223,0)</f>
        <v/>
      </c>
      <c r="C1549">
        <f>IF(IF('01_Вводные'!$B$296="Новый сезон",TRUE,TRUE),'06_Сеть_и_дети'!C70*CapacityAge18*'19_Расчет_аналитики'!$F$1223,0)</f>
        <v/>
      </c>
      <c r="D1549">
        <f>IF(IF('01_Вводные'!$B$296="Новый сезон",TRUE,TRUE),'06_Сеть_и_дети'!D70*CapacityAge18*'19_Расчет_аналитики'!$F$1223,0)</f>
        <v/>
      </c>
      <c r="E1549">
        <f>IF(IF('01_Вводные'!$B$296="Новый сезон",TRUE,TRUE),'06_Сеть_и_дети'!E70*CapacityAge18*'19_Расчет_аналитики'!$F$1223,0)</f>
        <v/>
      </c>
      <c r="F1549">
        <f>IF(IF('01_Вводные'!$B$296="Новый сезон",TRUE,TRUE),'06_Сеть_и_дети'!F70*CapacityAge18*'19_Расчет_аналитики'!$F$1223,0)</f>
        <v/>
      </c>
      <c r="G1549">
        <f>IF(IF('01_Вводные'!$B$296="Новый сезон",TRUE,TRUE),'06_Сеть_и_дети'!G70*CapacityAge18*'19_Расчет_аналитики'!$F$1223,0)</f>
        <v/>
      </c>
      <c r="H1549">
        <f>IF(IF('01_Вводные'!$B$296="Новый сезон",TRUE,TRUE),'06_Сеть_и_дети'!H70*CapacityAge18*'19_Расчет_аналитики'!$F$1223,0)</f>
        <v/>
      </c>
      <c r="I1549">
        <f>IF(IF('01_Вводные'!$B$296="Новый сезон",TRUE,TRUE),'06_Сеть_и_дети'!I70*CapacityAge18*'19_Расчет_аналитики'!$F$1223,0)</f>
        <v/>
      </c>
      <c r="J1549">
        <f>IF(IF('01_Вводные'!$B$296="Новый сезон",TRUE,TRUE),'06_Сеть_и_дети'!J70*CapacityAge18*'19_Расчет_аналитики'!$F$1223,0)</f>
        <v/>
      </c>
      <c r="K1549">
        <f>IF(IF('01_Вводные'!$B$296="Новый сезон",TRUE,TRUE),'06_Сеть_и_дети'!K70*CapacityAge18*'19_Расчет_аналитики'!$F$1223,0)</f>
        <v/>
      </c>
      <c r="L1549">
        <f>IF(IF('01_Вводные'!$B$296="Новый сезон",TRUE,TRUE),'06_Сеть_и_дети'!L70*CapacityAge18*'19_Расчет_аналитики'!$F$1223,0)</f>
        <v/>
      </c>
      <c r="M1549">
        <f>IF(IF('01_Вводные'!$B$296="Новый сезон",TRUE,TRUE),'06_Сеть_и_дети'!M70*CapacityAge18*'19_Расчет_аналитики'!$F$1223,0)</f>
        <v/>
      </c>
      <c r="N1549">
        <f>IF(IF('01_Вводные'!$B$296="Новый сезон",TRUE,TRUE),'06_Сеть_и_дети'!N70*CapacityAge18*'19_Расчет_аналитики'!$F$1223,0)</f>
        <v/>
      </c>
      <c r="O1549">
        <f>IF(IF('01_Вводные'!$B$296="Новый сезон",TRUE,TRUE),'06_Сеть_и_дети'!O70*CapacityAge18*'19_Расчет_аналитики'!$F$1223,0)</f>
        <v/>
      </c>
      <c r="P1549">
        <f>IF(IF('01_Вводные'!$B$296="Новый сезон",TRUE,TRUE),'06_Сеть_и_дети'!P70*CapacityAge18*'19_Расчет_аналитики'!$F$1223,0)</f>
        <v/>
      </c>
      <c r="Q1549">
        <f>IF(IF('01_Вводные'!$B$296="Новый сезон",TRUE,TRUE),'06_Сеть_и_дети'!Q70*CapacityAge18*'19_Расчет_аналитики'!$F$1223,0)</f>
        <v/>
      </c>
      <c r="R1549">
        <f>IF(IF('01_Вводные'!$B$296="Новый сезон",TRUE,TRUE),'06_Сеть_и_дети'!R70*CapacityAge18*'19_Расчет_аналитики'!$F$1223,0)</f>
        <v/>
      </c>
      <c r="S1549">
        <f>IF(IF('01_Вводные'!$B$296="Новый сезон",TRUE,TRUE),'19_Расчет_аналитики'!S1437*CapacityAge18*'19_Расчет_аналитики'!$F$1223,0)</f>
        <v/>
      </c>
      <c r="T1549">
        <f>IF(IF('01_Вводные'!$B$296="Новый сезон",TRUE,TRUE),'19_Расчет_аналитики'!T1437*CapacityAge18*'19_Расчет_аналитики'!$F$1223,0)</f>
        <v/>
      </c>
      <c r="U1549">
        <f>IF(IF('01_Вводные'!$B$296="Новый сезон",TRUE,TRUE),'19_Расчет_аналитики'!U1437*CapacityAge18*'19_Расчет_аналитики'!$F$1223,0)</f>
        <v/>
      </c>
      <c r="V1549">
        <f>IF(IF('01_Вводные'!$B$296="Новый сезон",TRUE,TRUE),'19_Расчет_аналитики'!V1437*CapacityAge18*'19_Расчет_аналитики'!$F$1223,0)</f>
        <v/>
      </c>
      <c r="W1549">
        <f>IF(IF('01_Вводные'!$B$296="Новый сезон",TRUE,TRUE),'19_Расчет_аналитики'!W1437*CapacityAge18*'19_Расчет_аналитики'!$F$1223,0)</f>
        <v/>
      </c>
      <c r="X1549">
        <f>IF(IF('01_Вводные'!$B$296="Новый сезон",TRUE,TRUE),'19_Расчет_аналитики'!X1437*CapacityAge18*'19_Расчет_аналитики'!$F$1223,0)</f>
        <v/>
      </c>
      <c r="Y1549">
        <f>IF(IF('01_Вводные'!$B$296="Новый сезон",TRUE,TRUE),'19_Расчет_аналитики'!Y1437*CapacityAge18*'19_Расчет_аналитики'!$F$1223,0)</f>
        <v/>
      </c>
      <c r="Z1549">
        <f>IF(IF('01_Вводные'!$B$296="Новый сезон",TRUE,TRUE),'19_Расчет_аналитики'!Z1437*CapacityAge18*'19_Расчет_аналитики'!$F$1223,0)</f>
        <v/>
      </c>
      <c r="AA1549">
        <f>IF(IF('01_Вводные'!$B$296="Новый сезон",TRUE,TRUE),'19_Расчет_аналитики'!AA1437*CapacityAge18*'19_Расчет_аналитики'!$F$1223,0)</f>
        <v/>
      </c>
      <c r="AB1549">
        <f>IF(IF('01_Вводные'!$B$296="Новый сезон",TRUE,TRUE),'19_Расчет_аналитики'!AB1437*CapacityAge18*'19_Расчет_аналитики'!$F$1223,0)</f>
        <v/>
      </c>
      <c r="AC1549">
        <f>IF(IF('01_Вводные'!$B$296="Новый сезон",TRUE,TRUE),'19_Расчет_аналитики'!AC1437*CapacityAge18*'19_Расчет_аналитики'!$F$1223,0)</f>
        <v/>
      </c>
      <c r="AD1549">
        <f>IF(IF('01_Вводные'!$B$296="Новый сезон",TRUE,TRUE),'19_Расчет_аналитики'!AD1437*CapacityAge18*'19_Расчет_аналитики'!$F$1223,0)</f>
        <v/>
      </c>
      <c r="AE1549">
        <f>IF(IF('01_Вводные'!$B$296="Новый сезон",TRUE,TRUE),'19_Расчет_аналитики'!AE1437*CapacityAge18*'19_Расчет_аналитики'!$F$1223,0)</f>
        <v/>
      </c>
      <c r="AF1549">
        <f>IF(IF('01_Вводные'!$B$296="Новый сезон",TRUE,TRUE),'19_Расчет_аналитики'!AF1437*CapacityAge18*'19_Расчет_аналитики'!$F$1223,0)</f>
        <v/>
      </c>
      <c r="AG1549">
        <f>IF(IF('01_Вводные'!$B$296="Новый сезон",TRUE,TRUE),'19_Расчет_аналитики'!AG1437*CapacityAge18*'19_Расчет_аналитики'!$F$1223,0)</f>
        <v/>
      </c>
      <c r="AH1549">
        <f>IF(IF('01_Вводные'!$B$296="Новый сезон",TRUE,TRUE),'19_Расчет_аналитики'!AH1437*CapacityAge18*'19_Расчет_аналитики'!$F$1223,0)</f>
        <v/>
      </c>
      <c r="AI1549">
        <f>IF(IF('01_Вводные'!$B$296="Новый сезон",TRUE,TRUE),'19_Расчет_аналитики'!AI1437*CapacityAge18*'19_Расчет_аналитики'!$F$1223,0)</f>
        <v/>
      </c>
      <c r="AJ1549">
        <f>IF(IF('01_Вводные'!$B$296="Новый сезон",TRUE,TRUE),'19_Расчет_аналитики'!AJ1437*CapacityAge18*'19_Расчет_аналитики'!$F$1223,0)</f>
        <v/>
      </c>
      <c r="AK1549">
        <f>IF(IF('01_Вводные'!$B$296="Новый сезон",TRUE,TRUE),'19_Расчет_аналитики'!AK1437*CapacityAge18*'19_Расчет_аналитики'!$F$1223,0)</f>
        <v/>
      </c>
      <c r="AL1549">
        <f>IF(IF('01_Вводные'!$B$296="Новый сезон",TRUE,TRUE),'19_Расчет_аналитики'!AL1437*CapacityAge18*'19_Расчет_аналитики'!$F$1223,0)</f>
        <v/>
      </c>
      <c r="AM1549">
        <f>IF(IF('01_Вводные'!$B$296="Новый сезон",TRUE,TRUE),'19_Расчет_аналитики'!AM1437*CapacityAge18*'19_Расчет_аналитики'!$F$1223,0)</f>
        <v/>
      </c>
      <c r="AN1549">
        <f>IF(IF('01_Вводные'!$B$296="Новый сезон",TRUE,TRUE),'19_Расчет_аналитики'!AN1437*CapacityAge18*'19_Расчет_аналитики'!$F$1223,0)</f>
        <v/>
      </c>
      <c r="AO1549">
        <f>IF(IF('01_Вводные'!$B$296="Новый сезон",TRUE,TRUE),'19_Расчет_аналитики'!AO1437*CapacityAge18*'19_Расчет_аналитики'!$F$1223,0)</f>
        <v/>
      </c>
      <c r="AP1549">
        <f>IF(IF('01_Вводные'!$B$296="Новый сезон",TRUE,TRUE),'19_Расчет_аналитики'!AP1437*CapacityAge18*'19_Расчет_аналитики'!$F$1223,0)</f>
        <v/>
      </c>
      <c r="AQ1549">
        <f>IF(IF('01_Вводные'!$B$296="Новый сезон",TRUE,TRUE),'19_Расчет_аналитики'!AQ1437*CapacityAge18*'19_Расчет_аналитики'!$F$1223,0)</f>
        <v/>
      </c>
      <c r="AR1549">
        <f>IF(IF('01_Вводные'!$B$296="Новый сезон",TRUE,TRUE),'19_Расчет_аналитики'!AR1437*CapacityAge18*'19_Расчет_аналитики'!$F$1223,0)</f>
        <v/>
      </c>
      <c r="AS1549">
        <f>IF(IF('01_Вводные'!$B$296="Новый сезон",TRUE,TRUE),'19_Расчет_аналитики'!AS1437*CapacityAge18*'19_Расчет_аналитики'!$F$1223,0)</f>
        <v/>
      </c>
      <c r="AT1549">
        <f>IF(IF('01_Вводные'!$B$296="Новый сезон",TRUE,TRUE),'19_Расчет_аналитики'!AT1437*CapacityAge18*'19_Расчет_аналитики'!$F$1223,0)</f>
        <v/>
      </c>
      <c r="AU1549">
        <f>IF(IF('01_Вводные'!$B$296="Новый сезон",TRUE,TRUE),'19_Расчет_аналитики'!AU1437*CapacityAge18*'19_Расчет_аналитики'!$F$1223,0)</f>
        <v/>
      </c>
      <c r="AV1549">
        <f>IF(IF('01_Вводные'!$B$296="Новый сезон",TRUE,TRUE),'19_Расчет_аналитики'!AV1437*CapacityAge18*'19_Расчет_аналитики'!$F$1223,0)</f>
        <v/>
      </c>
      <c r="AW1549">
        <f>IF(IF('01_Вводные'!$B$296="Новый сезон",TRUE,TRUE),'19_Расчет_аналитики'!AW1437*CapacityAge18*'19_Расчет_аналитики'!$F$1223,0)</f>
        <v/>
      </c>
      <c r="AX1549">
        <f>IF(IF('01_Вводные'!$B$296="Новый сезон",TRUE,TRUE),'19_Расчет_аналитики'!AX1437*CapacityAge18*'19_Расчет_аналитики'!$F$1223,0)</f>
        <v/>
      </c>
      <c r="AY1549">
        <f>IF(IF('01_Вводные'!$B$296="Новый сезон",TRUE,TRUE),'19_Расчет_аналитики'!AY1437*CapacityAge18*'19_Расчет_аналитики'!$F$1223,0)</f>
        <v/>
      </c>
      <c r="AZ1549">
        <f>IF(IF('01_Вводные'!$B$296="Новый сезон",TRUE,TRUE),'19_Расчет_аналитики'!AZ1437*CapacityAge18*'19_Расчет_аналитики'!$F$1223,0)</f>
        <v/>
      </c>
      <c r="BA1549">
        <f>IF(IF('01_Вводные'!$B$296="Новый сезон",TRUE,TRUE),'19_Расчет_аналитики'!BA1437*CapacityAge18*'19_Расчет_аналитики'!$F$1223,0)</f>
        <v/>
      </c>
      <c r="BB1549">
        <f>IF(IF('01_Вводные'!$B$296="Новый сезон",TRUE,TRUE),'19_Расчет_аналитики'!BB1437*CapacityAge18*'19_Расчет_аналитики'!$F$1223,0)</f>
        <v/>
      </c>
      <c r="BC1549">
        <f>IF(IF('01_Вводные'!$B$296="Новый сезон",TRUE,TRUE),'19_Расчет_аналитики'!BC1437*CapacityAge18*'19_Расчет_аналитики'!$F$1223,0)</f>
        <v/>
      </c>
      <c r="BD1549">
        <f>IF(IF('01_Вводные'!$B$296="Новый сезон",TRUE,TRUE),'19_Расчет_аналитики'!BD1437*CapacityAge18*'19_Расчет_аналитики'!$F$1223,0)</f>
        <v/>
      </c>
      <c r="BE1549">
        <f>IF(IF('01_Вводные'!$B$296="Новый сезон",TRUE,TRUE),'19_Расчет_аналитики'!BE1437*CapacityAge18*'19_Расчет_аналитики'!$F$1223,0)</f>
        <v/>
      </c>
      <c r="BF1549">
        <f>IF(IF('01_Вводные'!$B$296="Новый сезон",TRUE,TRUE),'19_Расчет_аналитики'!BF1437*CapacityAge18*'19_Расчет_аналитики'!$F$1223,0)</f>
        <v/>
      </c>
      <c r="BG1549">
        <f>IF(IF('01_Вводные'!$B$296="Новый сезон",TRUE,TRUE),'19_Расчет_аналитики'!BG1437*CapacityAge18*'19_Расчет_аналитики'!$F$1223,0)</f>
        <v/>
      </c>
      <c r="BH1549">
        <f>IF(IF('01_Вводные'!$B$296="Новый сезон",TRUE,TRUE),'19_Расчет_аналитики'!BH1437*CapacityAge18*'19_Расчет_аналитики'!$F$1223,0)</f>
        <v/>
      </c>
      <c r="BI1549">
        <f>IF(IF('01_Вводные'!$B$296="Новый сезон",TRUE,TRUE),'19_Расчет_аналитики'!BI1437*CapacityAge18*'19_Расчет_аналитики'!$F$1223,0)</f>
        <v/>
      </c>
      <c r="BJ1549">
        <f>IF(IF('01_Вводные'!$B$296="Новый сезон",TRUE,TRUE),'19_Расчет_аналитики'!BJ1437*CapacityAge18*'19_Расчет_аналитики'!$F$1223,0)</f>
        <v/>
      </c>
      <c r="BK1549">
        <f>IF(IF('01_Вводные'!$B$296="Новый сезон",TRUE,TRUE),'19_Расчет_аналитики'!BK1437*CapacityAge18*'19_Расчет_аналитики'!$F$1223,0)</f>
        <v/>
      </c>
      <c r="BL1549">
        <f>IF(IF('01_Вводные'!$B$296="Новый сезон",TRUE,TRUE),'19_Расчет_аналитики'!BL1437*CapacityAge18*'19_Расчет_аналитики'!$F$1223,0)</f>
        <v/>
      </c>
      <c r="BM1549">
        <f>IF(IF('01_Вводные'!$B$296="Новый сезон",TRUE,TRUE),'19_Расчет_аналитики'!BM1437*CapacityAge18*'19_Расчет_аналитики'!$F$1223,0)</f>
        <v/>
      </c>
      <c r="BN1549">
        <f>IF(IF('01_Вводные'!$B$296="Новый сезон",TRUE,TRUE),'19_Расчет_аналитики'!BN1437*CapacityAge18*'19_Расчет_аналитики'!$F$1223,0)</f>
        <v/>
      </c>
      <c r="BO1549">
        <f>IF(IF('01_Вводные'!$B$296="Новый сезон",TRUE,TRUE),'19_Расчет_аналитики'!BO1437*CapacityAge18*'19_Расчет_аналитики'!$F$1223,0)</f>
        <v/>
      </c>
    </row>
    <row r="1550">
      <c r="B1550">
        <f>IF(IF('01_Вводные'!$B$296="Новый сезон",TRUE,TRUE),'06_Сеть_и_дети'!B71*CapacityAge19*'19_Расчет_аналитики'!$F$1223,0)</f>
        <v/>
      </c>
      <c r="C1550">
        <f>IF(IF('01_Вводные'!$B$296="Новый сезон",TRUE,TRUE),'06_Сеть_и_дети'!C71*CapacityAge19*'19_Расчет_аналитики'!$F$1223,0)</f>
        <v/>
      </c>
      <c r="D1550">
        <f>IF(IF('01_Вводные'!$B$296="Новый сезон",TRUE,TRUE),'06_Сеть_и_дети'!D71*CapacityAge19*'19_Расчет_аналитики'!$F$1223,0)</f>
        <v/>
      </c>
      <c r="E1550">
        <f>IF(IF('01_Вводные'!$B$296="Новый сезон",TRUE,TRUE),'06_Сеть_и_дети'!E71*CapacityAge19*'19_Расчет_аналитики'!$F$1223,0)</f>
        <v/>
      </c>
      <c r="F1550">
        <f>IF(IF('01_Вводные'!$B$296="Новый сезон",TRUE,TRUE),'06_Сеть_и_дети'!F71*CapacityAge19*'19_Расчет_аналитики'!$F$1223,0)</f>
        <v/>
      </c>
      <c r="G1550">
        <f>IF(IF('01_Вводные'!$B$296="Новый сезон",TRUE,TRUE),'06_Сеть_и_дети'!G71*CapacityAge19*'19_Расчет_аналитики'!$F$1223,0)</f>
        <v/>
      </c>
      <c r="H1550">
        <f>IF(IF('01_Вводные'!$B$296="Новый сезон",TRUE,TRUE),'06_Сеть_и_дети'!H71*CapacityAge19*'19_Расчет_аналитики'!$F$1223,0)</f>
        <v/>
      </c>
      <c r="I1550">
        <f>IF(IF('01_Вводные'!$B$296="Новый сезон",TRUE,TRUE),'06_Сеть_и_дети'!I71*CapacityAge19*'19_Расчет_аналитики'!$F$1223,0)</f>
        <v/>
      </c>
      <c r="J1550">
        <f>IF(IF('01_Вводные'!$B$296="Новый сезон",TRUE,TRUE),'06_Сеть_и_дети'!J71*CapacityAge19*'19_Расчет_аналитики'!$F$1223,0)</f>
        <v/>
      </c>
      <c r="K1550">
        <f>IF(IF('01_Вводные'!$B$296="Новый сезон",TRUE,TRUE),'06_Сеть_и_дети'!K71*CapacityAge19*'19_Расчет_аналитики'!$F$1223,0)</f>
        <v/>
      </c>
      <c r="L1550">
        <f>IF(IF('01_Вводные'!$B$296="Новый сезон",TRUE,TRUE),'06_Сеть_и_дети'!L71*CapacityAge19*'19_Расчет_аналитики'!$F$1223,0)</f>
        <v/>
      </c>
      <c r="M1550">
        <f>IF(IF('01_Вводные'!$B$296="Новый сезон",TRUE,TRUE),'06_Сеть_и_дети'!M71*CapacityAge19*'19_Расчет_аналитики'!$F$1223,0)</f>
        <v/>
      </c>
      <c r="N1550">
        <f>IF(IF('01_Вводные'!$B$296="Новый сезон",TRUE,TRUE),'06_Сеть_и_дети'!N71*CapacityAge19*'19_Расчет_аналитики'!$F$1223,0)</f>
        <v/>
      </c>
      <c r="O1550">
        <f>IF(IF('01_Вводные'!$B$296="Новый сезон",TRUE,TRUE),'06_Сеть_и_дети'!O71*CapacityAge19*'19_Расчет_аналитики'!$F$1223,0)</f>
        <v/>
      </c>
      <c r="P1550">
        <f>IF(IF('01_Вводные'!$B$296="Новый сезон",TRUE,TRUE),'06_Сеть_и_дети'!P71*CapacityAge19*'19_Расчет_аналитики'!$F$1223,0)</f>
        <v/>
      </c>
      <c r="Q1550">
        <f>IF(IF('01_Вводные'!$B$296="Новый сезон",TRUE,TRUE),'06_Сеть_и_дети'!Q71*CapacityAge19*'19_Расчет_аналитики'!$F$1223,0)</f>
        <v/>
      </c>
      <c r="R1550">
        <f>IF(IF('01_Вводные'!$B$296="Новый сезон",TRUE,TRUE),'06_Сеть_и_дети'!R71*CapacityAge19*'19_Расчет_аналитики'!$F$1223,0)</f>
        <v/>
      </c>
      <c r="S1550">
        <f>IF(IF('01_Вводные'!$B$296="Новый сезон",TRUE,TRUE),'06_Сеть_и_дети'!S71*CapacityAge19*'19_Расчет_аналитики'!$F$1223,0)</f>
        <v/>
      </c>
      <c r="T1550">
        <f>IF(IF('01_Вводные'!$B$296="Новый сезон",TRUE,TRUE),'19_Расчет_аналитики'!T1438*CapacityAge19*'19_Расчет_аналитики'!$F$1223,0)</f>
        <v/>
      </c>
      <c r="U1550">
        <f>IF(IF('01_Вводные'!$B$296="Новый сезон",TRUE,TRUE),'19_Расчет_аналитики'!U1438*CapacityAge19*'19_Расчет_аналитики'!$F$1223,0)</f>
        <v/>
      </c>
      <c r="V1550">
        <f>IF(IF('01_Вводные'!$B$296="Новый сезон",TRUE,TRUE),'19_Расчет_аналитики'!V1438*CapacityAge19*'19_Расчет_аналитики'!$F$1223,0)</f>
        <v/>
      </c>
      <c r="W1550">
        <f>IF(IF('01_Вводные'!$B$296="Новый сезон",TRUE,TRUE),'19_Расчет_аналитики'!W1438*CapacityAge19*'19_Расчет_аналитики'!$F$1223,0)</f>
        <v/>
      </c>
      <c r="X1550">
        <f>IF(IF('01_Вводные'!$B$296="Новый сезон",TRUE,TRUE),'19_Расчет_аналитики'!X1438*CapacityAge19*'19_Расчет_аналитики'!$F$1223,0)</f>
        <v/>
      </c>
      <c r="Y1550">
        <f>IF(IF('01_Вводные'!$B$296="Новый сезон",TRUE,TRUE),'19_Расчет_аналитики'!Y1438*CapacityAge19*'19_Расчет_аналитики'!$F$1223,0)</f>
        <v/>
      </c>
      <c r="Z1550">
        <f>IF(IF('01_Вводные'!$B$296="Новый сезон",TRUE,TRUE),'19_Расчет_аналитики'!Z1438*CapacityAge19*'19_Расчет_аналитики'!$F$1223,0)</f>
        <v/>
      </c>
      <c r="AA1550">
        <f>IF(IF('01_Вводные'!$B$296="Новый сезон",TRUE,TRUE),'19_Расчет_аналитики'!AA1438*CapacityAge19*'19_Расчет_аналитики'!$F$1223,0)</f>
        <v/>
      </c>
      <c r="AB1550">
        <f>IF(IF('01_Вводные'!$B$296="Новый сезон",TRUE,TRUE),'19_Расчет_аналитики'!AB1438*CapacityAge19*'19_Расчет_аналитики'!$F$1223,0)</f>
        <v/>
      </c>
      <c r="AC1550">
        <f>IF(IF('01_Вводные'!$B$296="Новый сезон",TRUE,TRUE),'19_Расчет_аналитики'!AC1438*CapacityAge19*'19_Расчет_аналитики'!$F$1223,0)</f>
        <v/>
      </c>
      <c r="AD1550">
        <f>IF(IF('01_Вводные'!$B$296="Новый сезон",TRUE,TRUE),'19_Расчет_аналитики'!AD1438*CapacityAge19*'19_Расчет_аналитики'!$F$1223,0)</f>
        <v/>
      </c>
      <c r="AE1550">
        <f>IF(IF('01_Вводные'!$B$296="Новый сезон",TRUE,TRUE),'19_Расчет_аналитики'!AE1438*CapacityAge19*'19_Расчет_аналитики'!$F$1223,0)</f>
        <v/>
      </c>
      <c r="AF1550">
        <f>IF(IF('01_Вводные'!$B$296="Новый сезон",TRUE,TRUE),'19_Расчет_аналитики'!AF1438*CapacityAge19*'19_Расчет_аналитики'!$F$1223,0)</f>
        <v/>
      </c>
      <c r="AG1550">
        <f>IF(IF('01_Вводные'!$B$296="Новый сезон",TRUE,TRUE),'19_Расчет_аналитики'!AG1438*CapacityAge19*'19_Расчет_аналитики'!$F$1223,0)</f>
        <v/>
      </c>
      <c r="AH1550">
        <f>IF(IF('01_Вводные'!$B$296="Новый сезон",TRUE,TRUE),'19_Расчет_аналитики'!AH1438*CapacityAge19*'19_Расчет_аналитики'!$F$1223,0)</f>
        <v/>
      </c>
      <c r="AI1550">
        <f>IF(IF('01_Вводные'!$B$296="Новый сезон",TRUE,TRUE),'19_Расчет_аналитики'!AI1438*CapacityAge19*'19_Расчет_аналитики'!$F$1223,0)</f>
        <v/>
      </c>
      <c r="AJ1550">
        <f>IF(IF('01_Вводные'!$B$296="Новый сезон",TRUE,TRUE),'19_Расчет_аналитики'!AJ1438*CapacityAge19*'19_Расчет_аналитики'!$F$1223,0)</f>
        <v/>
      </c>
      <c r="AK1550">
        <f>IF(IF('01_Вводные'!$B$296="Новый сезон",TRUE,TRUE),'19_Расчет_аналитики'!AK1438*CapacityAge19*'19_Расчет_аналитики'!$F$1223,0)</f>
        <v/>
      </c>
      <c r="AL1550">
        <f>IF(IF('01_Вводные'!$B$296="Новый сезон",TRUE,TRUE),'19_Расчет_аналитики'!AL1438*CapacityAge19*'19_Расчет_аналитики'!$F$1223,0)</f>
        <v/>
      </c>
      <c r="AM1550">
        <f>IF(IF('01_Вводные'!$B$296="Новый сезон",TRUE,TRUE),'19_Расчет_аналитики'!AM1438*CapacityAge19*'19_Расчет_аналитики'!$F$1223,0)</f>
        <v/>
      </c>
      <c r="AN1550">
        <f>IF(IF('01_Вводные'!$B$296="Новый сезон",TRUE,TRUE),'19_Расчет_аналитики'!AN1438*CapacityAge19*'19_Расчет_аналитики'!$F$1223,0)</f>
        <v/>
      </c>
      <c r="AO1550">
        <f>IF(IF('01_Вводные'!$B$296="Новый сезон",TRUE,TRUE),'19_Расчет_аналитики'!AO1438*CapacityAge19*'19_Расчет_аналитики'!$F$1223,0)</f>
        <v/>
      </c>
      <c r="AP1550">
        <f>IF(IF('01_Вводные'!$B$296="Новый сезон",TRUE,TRUE),'19_Расчет_аналитики'!AP1438*CapacityAge19*'19_Расчет_аналитики'!$F$1223,0)</f>
        <v/>
      </c>
      <c r="AQ1550">
        <f>IF(IF('01_Вводные'!$B$296="Новый сезон",TRUE,TRUE),'19_Расчет_аналитики'!AQ1438*CapacityAge19*'19_Расчет_аналитики'!$F$1223,0)</f>
        <v/>
      </c>
      <c r="AR1550">
        <f>IF(IF('01_Вводные'!$B$296="Новый сезон",TRUE,TRUE),'19_Расчет_аналитики'!AR1438*CapacityAge19*'19_Расчет_аналитики'!$F$1223,0)</f>
        <v/>
      </c>
      <c r="AS1550">
        <f>IF(IF('01_Вводные'!$B$296="Новый сезон",TRUE,TRUE),'19_Расчет_аналитики'!AS1438*CapacityAge19*'19_Расчет_аналитики'!$F$1223,0)</f>
        <v/>
      </c>
      <c r="AT1550">
        <f>IF(IF('01_Вводные'!$B$296="Новый сезон",TRUE,TRUE),'19_Расчет_аналитики'!AT1438*CapacityAge19*'19_Расчет_аналитики'!$F$1223,0)</f>
        <v/>
      </c>
      <c r="AU1550">
        <f>IF(IF('01_Вводные'!$B$296="Новый сезон",TRUE,TRUE),'19_Расчет_аналитики'!AU1438*CapacityAge19*'19_Расчет_аналитики'!$F$1223,0)</f>
        <v/>
      </c>
      <c r="AV1550">
        <f>IF(IF('01_Вводные'!$B$296="Новый сезон",TRUE,TRUE),'19_Расчет_аналитики'!AV1438*CapacityAge19*'19_Расчет_аналитики'!$F$1223,0)</f>
        <v/>
      </c>
      <c r="AW1550">
        <f>IF(IF('01_Вводные'!$B$296="Новый сезон",TRUE,TRUE),'19_Расчет_аналитики'!AW1438*CapacityAge19*'19_Расчет_аналитики'!$F$1223,0)</f>
        <v/>
      </c>
      <c r="AX1550">
        <f>IF(IF('01_Вводные'!$B$296="Новый сезон",TRUE,TRUE),'19_Расчет_аналитики'!AX1438*CapacityAge19*'19_Расчет_аналитики'!$F$1223,0)</f>
        <v/>
      </c>
      <c r="AY1550">
        <f>IF(IF('01_Вводные'!$B$296="Новый сезон",TRUE,TRUE),'19_Расчет_аналитики'!AY1438*CapacityAge19*'19_Расчет_аналитики'!$F$1223,0)</f>
        <v/>
      </c>
      <c r="AZ1550">
        <f>IF(IF('01_Вводные'!$B$296="Новый сезон",TRUE,TRUE),'19_Расчет_аналитики'!AZ1438*CapacityAge19*'19_Расчет_аналитики'!$F$1223,0)</f>
        <v/>
      </c>
      <c r="BA1550">
        <f>IF(IF('01_Вводные'!$B$296="Новый сезон",TRUE,TRUE),'19_Расчет_аналитики'!BA1438*CapacityAge19*'19_Расчет_аналитики'!$F$1223,0)</f>
        <v/>
      </c>
      <c r="BB1550">
        <f>IF(IF('01_Вводные'!$B$296="Новый сезон",TRUE,TRUE),'19_Расчет_аналитики'!BB1438*CapacityAge19*'19_Расчет_аналитики'!$F$1223,0)</f>
        <v/>
      </c>
      <c r="BC1550">
        <f>IF(IF('01_Вводные'!$B$296="Новый сезон",TRUE,TRUE),'19_Расчет_аналитики'!BC1438*CapacityAge19*'19_Расчет_аналитики'!$F$1223,0)</f>
        <v/>
      </c>
      <c r="BD1550">
        <f>IF(IF('01_Вводные'!$B$296="Новый сезон",TRUE,TRUE),'19_Расчет_аналитики'!BD1438*CapacityAge19*'19_Расчет_аналитики'!$F$1223,0)</f>
        <v/>
      </c>
      <c r="BE1550">
        <f>IF(IF('01_Вводные'!$B$296="Новый сезон",TRUE,TRUE),'19_Расчет_аналитики'!BE1438*CapacityAge19*'19_Расчет_аналитики'!$F$1223,0)</f>
        <v/>
      </c>
      <c r="BF1550">
        <f>IF(IF('01_Вводные'!$B$296="Новый сезон",TRUE,TRUE),'19_Расчет_аналитики'!BF1438*CapacityAge19*'19_Расчет_аналитики'!$F$1223,0)</f>
        <v/>
      </c>
      <c r="BG1550">
        <f>IF(IF('01_Вводные'!$B$296="Новый сезон",TRUE,TRUE),'19_Расчет_аналитики'!BG1438*CapacityAge19*'19_Расчет_аналитики'!$F$1223,0)</f>
        <v/>
      </c>
      <c r="BH1550">
        <f>IF(IF('01_Вводные'!$B$296="Новый сезон",TRUE,TRUE),'19_Расчет_аналитики'!BH1438*CapacityAge19*'19_Расчет_аналитики'!$F$1223,0)</f>
        <v/>
      </c>
      <c r="BI1550">
        <f>IF(IF('01_Вводные'!$B$296="Новый сезон",TRUE,TRUE),'19_Расчет_аналитики'!BI1438*CapacityAge19*'19_Расчет_аналитики'!$F$1223,0)</f>
        <v/>
      </c>
      <c r="BJ1550">
        <f>IF(IF('01_Вводные'!$B$296="Новый сезон",TRUE,TRUE),'19_Расчет_аналитики'!BJ1438*CapacityAge19*'19_Расчет_аналитики'!$F$1223,0)</f>
        <v/>
      </c>
      <c r="BK1550">
        <f>IF(IF('01_Вводные'!$B$296="Новый сезон",TRUE,TRUE),'19_Расчет_аналитики'!BK1438*CapacityAge19*'19_Расчет_аналитики'!$F$1223,0)</f>
        <v/>
      </c>
      <c r="BL1550">
        <f>IF(IF('01_Вводные'!$B$296="Новый сезон",TRUE,TRUE),'19_Расчет_аналитики'!BL1438*CapacityAge19*'19_Расчет_аналитики'!$F$1223,0)</f>
        <v/>
      </c>
      <c r="BM1550">
        <f>IF(IF('01_Вводные'!$B$296="Новый сезон",TRUE,TRUE),'19_Расчет_аналитики'!BM1438*CapacityAge19*'19_Расчет_аналитики'!$F$1223,0)</f>
        <v/>
      </c>
      <c r="BN1550">
        <f>IF(IF('01_Вводные'!$B$296="Новый сезон",TRUE,TRUE),'19_Расчет_аналитики'!BN1438*CapacityAge19*'19_Расчет_аналитики'!$F$1223,0)</f>
        <v/>
      </c>
      <c r="BO1550">
        <f>IF(IF('01_Вводные'!$B$296="Новый сезон",TRUE,TRUE),'19_Расчет_аналитики'!BO1438*CapacityAge19*'19_Расчет_аналитики'!$F$1223,0)</f>
        <v/>
      </c>
    </row>
    <row r="1551">
      <c r="B1551">
        <f>IF(IF('01_Вводные'!$B$296="Новый сезон",TRUE,TRUE),'06_Сеть_и_дети'!B72*CapacityAge20*'19_Расчет_аналитики'!$F$1223,0)</f>
        <v/>
      </c>
      <c r="C1551">
        <f>IF(IF('01_Вводные'!$B$296="Новый сезон",TRUE,TRUE),'06_Сеть_и_дети'!C72*CapacityAge20*'19_Расчет_аналитики'!$F$1223,0)</f>
        <v/>
      </c>
      <c r="D1551">
        <f>IF(IF('01_Вводные'!$B$296="Новый сезон",TRUE,TRUE),'06_Сеть_и_дети'!D72*CapacityAge20*'19_Расчет_аналитики'!$F$1223,0)</f>
        <v/>
      </c>
      <c r="E1551">
        <f>IF(IF('01_Вводные'!$B$296="Новый сезон",TRUE,TRUE),'06_Сеть_и_дети'!E72*CapacityAge20*'19_Расчет_аналитики'!$F$1223,0)</f>
        <v/>
      </c>
      <c r="F1551">
        <f>IF(IF('01_Вводные'!$B$296="Новый сезон",TRUE,TRUE),'06_Сеть_и_дети'!F72*CapacityAge20*'19_Расчет_аналитики'!$F$1223,0)</f>
        <v/>
      </c>
      <c r="G1551">
        <f>IF(IF('01_Вводные'!$B$296="Новый сезон",TRUE,TRUE),'06_Сеть_и_дети'!G72*CapacityAge20*'19_Расчет_аналитики'!$F$1223,0)</f>
        <v/>
      </c>
      <c r="H1551">
        <f>IF(IF('01_Вводные'!$B$296="Новый сезон",TRUE,TRUE),'06_Сеть_и_дети'!H72*CapacityAge20*'19_Расчет_аналитики'!$F$1223,0)</f>
        <v/>
      </c>
      <c r="I1551">
        <f>IF(IF('01_Вводные'!$B$296="Новый сезон",TRUE,TRUE),'06_Сеть_и_дети'!I72*CapacityAge20*'19_Расчет_аналитики'!$F$1223,0)</f>
        <v/>
      </c>
      <c r="J1551">
        <f>IF(IF('01_Вводные'!$B$296="Новый сезон",TRUE,TRUE),'06_Сеть_и_дети'!J72*CapacityAge20*'19_Расчет_аналитики'!$F$1223,0)</f>
        <v/>
      </c>
      <c r="K1551">
        <f>IF(IF('01_Вводные'!$B$296="Новый сезон",TRUE,TRUE),'06_Сеть_и_дети'!K72*CapacityAge20*'19_Расчет_аналитики'!$F$1223,0)</f>
        <v/>
      </c>
      <c r="L1551">
        <f>IF(IF('01_Вводные'!$B$296="Новый сезон",TRUE,TRUE),'06_Сеть_и_дети'!L72*CapacityAge20*'19_Расчет_аналитики'!$F$1223,0)</f>
        <v/>
      </c>
      <c r="M1551">
        <f>IF(IF('01_Вводные'!$B$296="Новый сезон",TRUE,TRUE),'06_Сеть_и_дети'!M72*CapacityAge20*'19_Расчет_аналитики'!$F$1223,0)</f>
        <v/>
      </c>
      <c r="N1551">
        <f>IF(IF('01_Вводные'!$B$296="Новый сезон",TRUE,TRUE),'06_Сеть_и_дети'!N72*CapacityAge20*'19_Расчет_аналитики'!$F$1223,0)</f>
        <v/>
      </c>
      <c r="O1551">
        <f>IF(IF('01_Вводные'!$B$296="Новый сезон",TRUE,TRUE),'06_Сеть_и_дети'!O72*CapacityAge20*'19_Расчет_аналитики'!$F$1223,0)</f>
        <v/>
      </c>
      <c r="P1551">
        <f>IF(IF('01_Вводные'!$B$296="Новый сезон",TRUE,TRUE),'06_Сеть_и_дети'!P72*CapacityAge20*'19_Расчет_аналитики'!$F$1223,0)</f>
        <v/>
      </c>
      <c r="Q1551">
        <f>IF(IF('01_Вводные'!$B$296="Новый сезон",TRUE,TRUE),'06_Сеть_и_дети'!Q72*CapacityAge20*'19_Расчет_аналитики'!$F$1223,0)</f>
        <v/>
      </c>
      <c r="R1551">
        <f>IF(IF('01_Вводные'!$B$296="Новый сезон",TRUE,TRUE),'06_Сеть_и_дети'!R72*CapacityAge20*'19_Расчет_аналитики'!$F$1223,0)</f>
        <v/>
      </c>
      <c r="S1551">
        <f>IF(IF('01_Вводные'!$B$296="Новый сезон",TRUE,TRUE),'06_Сеть_и_дети'!S72*CapacityAge20*'19_Расчет_аналитики'!$F$1223,0)</f>
        <v/>
      </c>
      <c r="T1551">
        <f>IF(IF('01_Вводные'!$B$296="Новый сезон",TRUE,TRUE),'06_Сеть_и_дети'!T72*CapacityAge20*'19_Расчет_аналитики'!$F$1223,0)</f>
        <v/>
      </c>
      <c r="U1551">
        <f>IF(IF('01_Вводные'!$B$296="Новый сезон",TRUE,TRUE),'19_Расчет_аналитики'!U1439*CapacityAge20*'19_Расчет_аналитики'!$F$1223,0)</f>
        <v/>
      </c>
      <c r="V1551">
        <f>IF(IF('01_Вводные'!$B$296="Новый сезон",TRUE,TRUE),'19_Расчет_аналитики'!V1439*CapacityAge20*'19_Расчет_аналитики'!$F$1223,0)</f>
        <v/>
      </c>
      <c r="W1551">
        <f>IF(IF('01_Вводные'!$B$296="Новый сезон",TRUE,TRUE),'19_Расчет_аналитики'!W1439*CapacityAge20*'19_Расчет_аналитики'!$F$1223,0)</f>
        <v/>
      </c>
      <c r="X1551">
        <f>IF(IF('01_Вводные'!$B$296="Новый сезон",TRUE,TRUE),'19_Расчет_аналитики'!X1439*CapacityAge20*'19_Расчет_аналитики'!$F$1223,0)</f>
        <v/>
      </c>
      <c r="Y1551">
        <f>IF(IF('01_Вводные'!$B$296="Новый сезон",TRUE,TRUE),'19_Расчет_аналитики'!Y1439*CapacityAge20*'19_Расчет_аналитики'!$F$1223,0)</f>
        <v/>
      </c>
      <c r="Z1551">
        <f>IF(IF('01_Вводные'!$B$296="Новый сезон",TRUE,TRUE),'19_Расчет_аналитики'!Z1439*CapacityAge20*'19_Расчет_аналитики'!$F$1223,0)</f>
        <v/>
      </c>
      <c r="AA1551">
        <f>IF(IF('01_Вводные'!$B$296="Новый сезон",TRUE,TRUE),'19_Расчет_аналитики'!AA1439*CapacityAge20*'19_Расчет_аналитики'!$F$1223,0)</f>
        <v/>
      </c>
      <c r="AB1551">
        <f>IF(IF('01_Вводные'!$B$296="Новый сезон",TRUE,TRUE),'19_Расчет_аналитики'!AB1439*CapacityAge20*'19_Расчет_аналитики'!$F$1223,0)</f>
        <v/>
      </c>
      <c r="AC1551">
        <f>IF(IF('01_Вводные'!$B$296="Новый сезон",TRUE,TRUE),'19_Расчет_аналитики'!AC1439*CapacityAge20*'19_Расчет_аналитики'!$F$1223,0)</f>
        <v/>
      </c>
      <c r="AD1551">
        <f>IF(IF('01_Вводные'!$B$296="Новый сезон",TRUE,TRUE),'19_Расчет_аналитики'!AD1439*CapacityAge20*'19_Расчет_аналитики'!$F$1223,0)</f>
        <v/>
      </c>
      <c r="AE1551">
        <f>IF(IF('01_Вводные'!$B$296="Новый сезон",TRUE,TRUE),'19_Расчет_аналитики'!AE1439*CapacityAge20*'19_Расчет_аналитики'!$F$1223,0)</f>
        <v/>
      </c>
      <c r="AF1551">
        <f>IF(IF('01_Вводные'!$B$296="Новый сезон",TRUE,TRUE),'19_Расчет_аналитики'!AF1439*CapacityAge20*'19_Расчет_аналитики'!$F$1223,0)</f>
        <v/>
      </c>
      <c r="AG1551">
        <f>IF(IF('01_Вводные'!$B$296="Новый сезон",TRUE,TRUE),'19_Расчет_аналитики'!AG1439*CapacityAge20*'19_Расчет_аналитики'!$F$1223,0)</f>
        <v/>
      </c>
      <c r="AH1551">
        <f>IF(IF('01_Вводные'!$B$296="Новый сезон",TRUE,TRUE),'19_Расчет_аналитики'!AH1439*CapacityAge20*'19_Расчет_аналитики'!$F$1223,0)</f>
        <v/>
      </c>
      <c r="AI1551">
        <f>IF(IF('01_Вводные'!$B$296="Новый сезон",TRUE,TRUE),'19_Расчет_аналитики'!AI1439*CapacityAge20*'19_Расчет_аналитики'!$F$1223,0)</f>
        <v/>
      </c>
      <c r="AJ1551">
        <f>IF(IF('01_Вводные'!$B$296="Новый сезон",TRUE,TRUE),'19_Расчет_аналитики'!AJ1439*CapacityAge20*'19_Расчет_аналитики'!$F$1223,0)</f>
        <v/>
      </c>
      <c r="AK1551">
        <f>IF(IF('01_Вводные'!$B$296="Новый сезон",TRUE,TRUE),'19_Расчет_аналитики'!AK1439*CapacityAge20*'19_Расчет_аналитики'!$F$1223,0)</f>
        <v/>
      </c>
      <c r="AL1551">
        <f>IF(IF('01_Вводные'!$B$296="Новый сезон",TRUE,TRUE),'19_Расчет_аналитики'!AL1439*CapacityAge20*'19_Расчет_аналитики'!$F$1223,0)</f>
        <v/>
      </c>
      <c r="AM1551">
        <f>IF(IF('01_Вводные'!$B$296="Новый сезон",TRUE,TRUE),'19_Расчет_аналитики'!AM1439*CapacityAge20*'19_Расчет_аналитики'!$F$1223,0)</f>
        <v/>
      </c>
      <c r="AN1551">
        <f>IF(IF('01_Вводные'!$B$296="Новый сезон",TRUE,TRUE),'19_Расчет_аналитики'!AN1439*CapacityAge20*'19_Расчет_аналитики'!$F$1223,0)</f>
        <v/>
      </c>
      <c r="AO1551">
        <f>IF(IF('01_Вводные'!$B$296="Новый сезон",TRUE,TRUE),'19_Расчет_аналитики'!AO1439*CapacityAge20*'19_Расчет_аналитики'!$F$1223,0)</f>
        <v/>
      </c>
      <c r="AP1551">
        <f>IF(IF('01_Вводные'!$B$296="Новый сезон",TRUE,TRUE),'19_Расчет_аналитики'!AP1439*CapacityAge20*'19_Расчет_аналитики'!$F$1223,0)</f>
        <v/>
      </c>
      <c r="AQ1551">
        <f>IF(IF('01_Вводные'!$B$296="Новый сезон",TRUE,TRUE),'19_Расчет_аналитики'!AQ1439*CapacityAge20*'19_Расчет_аналитики'!$F$1223,0)</f>
        <v/>
      </c>
      <c r="AR1551">
        <f>IF(IF('01_Вводные'!$B$296="Новый сезон",TRUE,TRUE),'19_Расчет_аналитики'!AR1439*CapacityAge20*'19_Расчет_аналитики'!$F$1223,0)</f>
        <v/>
      </c>
      <c r="AS1551">
        <f>IF(IF('01_Вводные'!$B$296="Новый сезон",TRUE,TRUE),'19_Расчет_аналитики'!AS1439*CapacityAge20*'19_Расчет_аналитики'!$F$1223,0)</f>
        <v/>
      </c>
      <c r="AT1551">
        <f>IF(IF('01_Вводные'!$B$296="Новый сезон",TRUE,TRUE),'19_Расчет_аналитики'!AT1439*CapacityAge20*'19_Расчет_аналитики'!$F$1223,0)</f>
        <v/>
      </c>
      <c r="AU1551">
        <f>IF(IF('01_Вводные'!$B$296="Новый сезон",TRUE,TRUE),'19_Расчет_аналитики'!AU1439*CapacityAge20*'19_Расчет_аналитики'!$F$1223,0)</f>
        <v/>
      </c>
      <c r="AV1551">
        <f>IF(IF('01_Вводные'!$B$296="Новый сезон",TRUE,TRUE),'19_Расчет_аналитики'!AV1439*CapacityAge20*'19_Расчет_аналитики'!$F$1223,0)</f>
        <v/>
      </c>
      <c r="AW1551">
        <f>IF(IF('01_Вводные'!$B$296="Новый сезон",TRUE,TRUE),'19_Расчет_аналитики'!AW1439*CapacityAge20*'19_Расчет_аналитики'!$F$1223,0)</f>
        <v/>
      </c>
      <c r="AX1551">
        <f>IF(IF('01_Вводные'!$B$296="Новый сезон",TRUE,TRUE),'19_Расчет_аналитики'!AX1439*CapacityAge20*'19_Расчет_аналитики'!$F$1223,0)</f>
        <v/>
      </c>
      <c r="AY1551">
        <f>IF(IF('01_Вводные'!$B$296="Новый сезон",TRUE,TRUE),'19_Расчет_аналитики'!AY1439*CapacityAge20*'19_Расчет_аналитики'!$F$1223,0)</f>
        <v/>
      </c>
      <c r="AZ1551">
        <f>IF(IF('01_Вводные'!$B$296="Новый сезон",TRUE,TRUE),'19_Расчет_аналитики'!AZ1439*CapacityAge20*'19_Расчет_аналитики'!$F$1223,0)</f>
        <v/>
      </c>
      <c r="BA1551">
        <f>IF(IF('01_Вводные'!$B$296="Новый сезон",TRUE,TRUE),'19_Расчет_аналитики'!BA1439*CapacityAge20*'19_Расчет_аналитики'!$F$1223,0)</f>
        <v/>
      </c>
      <c r="BB1551">
        <f>IF(IF('01_Вводные'!$B$296="Новый сезон",TRUE,TRUE),'19_Расчет_аналитики'!BB1439*CapacityAge20*'19_Расчет_аналитики'!$F$1223,0)</f>
        <v/>
      </c>
      <c r="BC1551">
        <f>IF(IF('01_Вводные'!$B$296="Новый сезон",TRUE,TRUE),'19_Расчет_аналитики'!BC1439*CapacityAge20*'19_Расчет_аналитики'!$F$1223,0)</f>
        <v/>
      </c>
      <c r="BD1551">
        <f>IF(IF('01_Вводные'!$B$296="Новый сезон",TRUE,TRUE),'19_Расчет_аналитики'!BD1439*CapacityAge20*'19_Расчет_аналитики'!$F$1223,0)</f>
        <v/>
      </c>
      <c r="BE1551">
        <f>IF(IF('01_Вводные'!$B$296="Новый сезон",TRUE,TRUE),'19_Расчет_аналитики'!BE1439*CapacityAge20*'19_Расчет_аналитики'!$F$1223,0)</f>
        <v/>
      </c>
      <c r="BF1551">
        <f>IF(IF('01_Вводные'!$B$296="Новый сезон",TRUE,TRUE),'19_Расчет_аналитики'!BF1439*CapacityAge20*'19_Расчет_аналитики'!$F$1223,0)</f>
        <v/>
      </c>
      <c r="BG1551">
        <f>IF(IF('01_Вводные'!$B$296="Новый сезон",TRUE,TRUE),'19_Расчет_аналитики'!BG1439*CapacityAge20*'19_Расчет_аналитики'!$F$1223,0)</f>
        <v/>
      </c>
      <c r="BH1551">
        <f>IF(IF('01_Вводные'!$B$296="Новый сезон",TRUE,TRUE),'19_Расчет_аналитики'!BH1439*CapacityAge20*'19_Расчет_аналитики'!$F$1223,0)</f>
        <v/>
      </c>
      <c r="BI1551">
        <f>IF(IF('01_Вводные'!$B$296="Новый сезон",TRUE,TRUE),'19_Расчет_аналитики'!BI1439*CapacityAge20*'19_Расчет_аналитики'!$F$1223,0)</f>
        <v/>
      </c>
      <c r="BJ1551">
        <f>IF(IF('01_Вводные'!$B$296="Новый сезон",TRUE,TRUE),'19_Расчет_аналитики'!BJ1439*CapacityAge20*'19_Расчет_аналитики'!$F$1223,0)</f>
        <v/>
      </c>
      <c r="BK1551">
        <f>IF(IF('01_Вводные'!$B$296="Новый сезон",TRUE,TRUE),'19_Расчет_аналитики'!BK1439*CapacityAge20*'19_Расчет_аналитики'!$F$1223,0)</f>
        <v/>
      </c>
      <c r="BL1551">
        <f>IF(IF('01_Вводные'!$B$296="Новый сезон",TRUE,TRUE),'19_Расчет_аналитики'!BL1439*CapacityAge20*'19_Расчет_аналитики'!$F$1223,0)</f>
        <v/>
      </c>
      <c r="BM1551">
        <f>IF(IF('01_Вводные'!$B$296="Новый сезон",TRUE,TRUE),'19_Расчет_аналитики'!BM1439*CapacityAge20*'19_Расчет_аналитики'!$F$1223,0)</f>
        <v/>
      </c>
      <c r="BN1551">
        <f>IF(IF('01_Вводные'!$B$296="Новый сезон",TRUE,TRUE),'19_Расчет_аналитики'!BN1439*CapacityAge20*'19_Расчет_аналитики'!$F$1223,0)</f>
        <v/>
      </c>
      <c r="BO1551">
        <f>IF(IF('01_Вводные'!$B$296="Новый сезон",TRUE,TRUE),'19_Расчет_аналитики'!BO1439*CapacityAge20*'19_Расчет_аналитики'!$F$1223,0)</f>
        <v/>
      </c>
    </row>
    <row r="1552">
      <c r="B1552">
        <f>IF(IF('01_Вводные'!$B$296="Новый сезон",TRUE,TRUE),'06_Сеть_и_дети'!B73*CapacityAge21*'19_Расчет_аналитики'!$F$1223,0)</f>
        <v/>
      </c>
      <c r="C1552">
        <f>IF(IF('01_Вводные'!$B$296="Новый сезон",TRUE,TRUE),'06_Сеть_и_дети'!C73*CapacityAge21*'19_Расчет_аналитики'!$F$1223,0)</f>
        <v/>
      </c>
      <c r="D1552">
        <f>IF(IF('01_Вводные'!$B$296="Новый сезон",TRUE,TRUE),'06_Сеть_и_дети'!D73*CapacityAge21*'19_Расчет_аналитики'!$F$1223,0)</f>
        <v/>
      </c>
      <c r="E1552">
        <f>IF(IF('01_Вводные'!$B$296="Новый сезон",TRUE,TRUE),'06_Сеть_и_дети'!E73*CapacityAge21*'19_Расчет_аналитики'!$F$1223,0)</f>
        <v/>
      </c>
      <c r="F1552">
        <f>IF(IF('01_Вводные'!$B$296="Новый сезон",TRUE,TRUE),'06_Сеть_и_дети'!F73*CapacityAge21*'19_Расчет_аналитики'!$F$1223,0)</f>
        <v/>
      </c>
      <c r="G1552">
        <f>IF(IF('01_Вводные'!$B$296="Новый сезон",TRUE,TRUE),'06_Сеть_и_дети'!G73*CapacityAge21*'19_Расчет_аналитики'!$F$1223,0)</f>
        <v/>
      </c>
      <c r="H1552">
        <f>IF(IF('01_Вводные'!$B$296="Новый сезон",TRUE,TRUE),'06_Сеть_и_дети'!H73*CapacityAge21*'19_Расчет_аналитики'!$F$1223,0)</f>
        <v/>
      </c>
      <c r="I1552">
        <f>IF(IF('01_Вводные'!$B$296="Новый сезон",TRUE,TRUE),'06_Сеть_и_дети'!I73*CapacityAge21*'19_Расчет_аналитики'!$F$1223,0)</f>
        <v/>
      </c>
      <c r="J1552">
        <f>IF(IF('01_Вводные'!$B$296="Новый сезон",TRUE,TRUE),'06_Сеть_и_дети'!J73*CapacityAge21*'19_Расчет_аналитики'!$F$1223,0)</f>
        <v/>
      </c>
      <c r="K1552">
        <f>IF(IF('01_Вводные'!$B$296="Новый сезон",TRUE,TRUE),'06_Сеть_и_дети'!K73*CapacityAge21*'19_Расчет_аналитики'!$F$1223,0)</f>
        <v/>
      </c>
      <c r="L1552">
        <f>IF(IF('01_Вводные'!$B$296="Новый сезон",TRUE,TRUE),'06_Сеть_и_дети'!L73*CapacityAge21*'19_Расчет_аналитики'!$F$1223,0)</f>
        <v/>
      </c>
      <c r="M1552">
        <f>IF(IF('01_Вводные'!$B$296="Новый сезон",TRUE,TRUE),'06_Сеть_и_дети'!M73*CapacityAge21*'19_Расчет_аналитики'!$F$1223,0)</f>
        <v/>
      </c>
      <c r="N1552">
        <f>IF(IF('01_Вводные'!$B$296="Новый сезон",TRUE,TRUE),'06_Сеть_и_дети'!N73*CapacityAge21*'19_Расчет_аналитики'!$F$1223,0)</f>
        <v/>
      </c>
      <c r="O1552">
        <f>IF(IF('01_Вводные'!$B$296="Новый сезон",TRUE,TRUE),'06_Сеть_и_дети'!O73*CapacityAge21*'19_Расчет_аналитики'!$F$1223,0)</f>
        <v/>
      </c>
      <c r="P1552">
        <f>IF(IF('01_Вводные'!$B$296="Новый сезон",TRUE,TRUE),'06_Сеть_и_дети'!P73*CapacityAge21*'19_Расчет_аналитики'!$F$1223,0)</f>
        <v/>
      </c>
      <c r="Q1552">
        <f>IF(IF('01_Вводные'!$B$296="Новый сезон",TRUE,TRUE),'06_Сеть_и_дети'!Q73*CapacityAge21*'19_Расчет_аналитики'!$F$1223,0)</f>
        <v/>
      </c>
      <c r="R1552">
        <f>IF(IF('01_Вводные'!$B$296="Новый сезон",TRUE,TRUE),'06_Сеть_и_дети'!R73*CapacityAge21*'19_Расчет_аналитики'!$F$1223,0)</f>
        <v/>
      </c>
      <c r="S1552">
        <f>IF(IF('01_Вводные'!$B$296="Новый сезон",TRUE,TRUE),'06_Сеть_и_дети'!S73*CapacityAge21*'19_Расчет_аналитики'!$F$1223,0)</f>
        <v/>
      </c>
      <c r="T1552">
        <f>IF(IF('01_Вводные'!$B$296="Новый сезон",TRUE,TRUE),'06_Сеть_и_дети'!T73*CapacityAge21*'19_Расчет_аналитики'!$F$1223,0)</f>
        <v/>
      </c>
      <c r="U1552">
        <f>IF(IF('01_Вводные'!$B$296="Новый сезон",TRUE,TRUE),'06_Сеть_и_дети'!U73*CapacityAge21*'19_Расчет_аналитики'!$F$1223,0)</f>
        <v/>
      </c>
      <c r="V1552">
        <f>IF(IF('01_Вводные'!$B$296="Новый сезон",TRUE,TRUE),'19_Расчет_аналитики'!V1440*CapacityAge21*'19_Расчет_аналитики'!$F$1223,0)</f>
        <v/>
      </c>
      <c r="W1552">
        <f>IF(IF('01_Вводные'!$B$296="Новый сезон",TRUE,TRUE),'19_Расчет_аналитики'!W1440*CapacityAge21*'19_Расчет_аналитики'!$F$1223,0)</f>
        <v/>
      </c>
      <c r="X1552">
        <f>IF(IF('01_Вводные'!$B$296="Новый сезон",TRUE,TRUE),'19_Расчет_аналитики'!X1440*CapacityAge21*'19_Расчет_аналитики'!$F$1223,0)</f>
        <v/>
      </c>
      <c r="Y1552">
        <f>IF(IF('01_Вводные'!$B$296="Новый сезон",TRUE,TRUE),'19_Расчет_аналитики'!Y1440*CapacityAge21*'19_Расчет_аналитики'!$F$1223,0)</f>
        <v/>
      </c>
      <c r="Z1552">
        <f>IF(IF('01_Вводные'!$B$296="Новый сезон",TRUE,TRUE),'19_Расчет_аналитики'!Z1440*CapacityAge21*'19_Расчет_аналитики'!$F$1223,0)</f>
        <v/>
      </c>
      <c r="AA1552">
        <f>IF(IF('01_Вводные'!$B$296="Новый сезон",TRUE,TRUE),'19_Расчет_аналитики'!AA1440*CapacityAge21*'19_Расчет_аналитики'!$F$1223,0)</f>
        <v/>
      </c>
      <c r="AB1552">
        <f>IF(IF('01_Вводные'!$B$296="Новый сезон",TRUE,TRUE),'19_Расчет_аналитики'!AB1440*CapacityAge21*'19_Расчет_аналитики'!$F$1223,0)</f>
        <v/>
      </c>
      <c r="AC1552">
        <f>IF(IF('01_Вводные'!$B$296="Новый сезон",TRUE,TRUE),'19_Расчет_аналитики'!AC1440*CapacityAge21*'19_Расчет_аналитики'!$F$1223,0)</f>
        <v/>
      </c>
      <c r="AD1552">
        <f>IF(IF('01_Вводные'!$B$296="Новый сезон",TRUE,TRUE),'19_Расчет_аналитики'!AD1440*CapacityAge21*'19_Расчет_аналитики'!$F$1223,0)</f>
        <v/>
      </c>
      <c r="AE1552">
        <f>IF(IF('01_Вводные'!$B$296="Новый сезон",TRUE,TRUE),'19_Расчет_аналитики'!AE1440*CapacityAge21*'19_Расчет_аналитики'!$F$1223,0)</f>
        <v/>
      </c>
      <c r="AF1552">
        <f>IF(IF('01_Вводные'!$B$296="Новый сезон",TRUE,TRUE),'19_Расчет_аналитики'!AF1440*CapacityAge21*'19_Расчет_аналитики'!$F$1223,0)</f>
        <v/>
      </c>
      <c r="AG1552">
        <f>IF(IF('01_Вводные'!$B$296="Новый сезон",TRUE,TRUE),'19_Расчет_аналитики'!AG1440*CapacityAge21*'19_Расчет_аналитики'!$F$1223,0)</f>
        <v/>
      </c>
      <c r="AH1552">
        <f>IF(IF('01_Вводные'!$B$296="Новый сезон",TRUE,TRUE),'19_Расчет_аналитики'!AH1440*CapacityAge21*'19_Расчет_аналитики'!$F$1223,0)</f>
        <v/>
      </c>
      <c r="AI1552">
        <f>IF(IF('01_Вводные'!$B$296="Новый сезон",TRUE,TRUE),'19_Расчет_аналитики'!AI1440*CapacityAge21*'19_Расчет_аналитики'!$F$1223,0)</f>
        <v/>
      </c>
      <c r="AJ1552">
        <f>IF(IF('01_Вводные'!$B$296="Новый сезон",TRUE,TRUE),'19_Расчет_аналитики'!AJ1440*CapacityAge21*'19_Расчет_аналитики'!$F$1223,0)</f>
        <v/>
      </c>
      <c r="AK1552">
        <f>IF(IF('01_Вводные'!$B$296="Новый сезон",TRUE,TRUE),'19_Расчет_аналитики'!AK1440*CapacityAge21*'19_Расчет_аналитики'!$F$1223,0)</f>
        <v/>
      </c>
      <c r="AL1552">
        <f>IF(IF('01_Вводные'!$B$296="Новый сезон",TRUE,TRUE),'19_Расчет_аналитики'!AL1440*CapacityAge21*'19_Расчет_аналитики'!$F$1223,0)</f>
        <v/>
      </c>
      <c r="AM1552">
        <f>IF(IF('01_Вводные'!$B$296="Новый сезон",TRUE,TRUE),'19_Расчет_аналитики'!AM1440*CapacityAge21*'19_Расчет_аналитики'!$F$1223,0)</f>
        <v/>
      </c>
      <c r="AN1552">
        <f>IF(IF('01_Вводные'!$B$296="Новый сезон",TRUE,TRUE),'19_Расчет_аналитики'!AN1440*CapacityAge21*'19_Расчет_аналитики'!$F$1223,0)</f>
        <v/>
      </c>
      <c r="AO1552">
        <f>IF(IF('01_Вводные'!$B$296="Новый сезон",TRUE,TRUE),'19_Расчет_аналитики'!AO1440*CapacityAge21*'19_Расчет_аналитики'!$F$1223,0)</f>
        <v/>
      </c>
      <c r="AP1552">
        <f>IF(IF('01_Вводные'!$B$296="Новый сезон",TRUE,TRUE),'19_Расчет_аналитики'!AP1440*CapacityAge21*'19_Расчет_аналитики'!$F$1223,0)</f>
        <v/>
      </c>
      <c r="AQ1552">
        <f>IF(IF('01_Вводные'!$B$296="Новый сезон",TRUE,TRUE),'19_Расчет_аналитики'!AQ1440*CapacityAge21*'19_Расчет_аналитики'!$F$1223,0)</f>
        <v/>
      </c>
      <c r="AR1552">
        <f>IF(IF('01_Вводные'!$B$296="Новый сезон",TRUE,TRUE),'19_Расчет_аналитики'!AR1440*CapacityAge21*'19_Расчет_аналитики'!$F$1223,0)</f>
        <v/>
      </c>
      <c r="AS1552">
        <f>IF(IF('01_Вводные'!$B$296="Новый сезон",TRUE,TRUE),'19_Расчет_аналитики'!AS1440*CapacityAge21*'19_Расчет_аналитики'!$F$1223,0)</f>
        <v/>
      </c>
      <c r="AT1552">
        <f>IF(IF('01_Вводные'!$B$296="Новый сезон",TRUE,TRUE),'19_Расчет_аналитики'!AT1440*CapacityAge21*'19_Расчет_аналитики'!$F$1223,0)</f>
        <v/>
      </c>
      <c r="AU1552">
        <f>IF(IF('01_Вводные'!$B$296="Новый сезон",TRUE,TRUE),'19_Расчет_аналитики'!AU1440*CapacityAge21*'19_Расчет_аналитики'!$F$1223,0)</f>
        <v/>
      </c>
      <c r="AV1552">
        <f>IF(IF('01_Вводные'!$B$296="Новый сезон",TRUE,TRUE),'19_Расчет_аналитики'!AV1440*CapacityAge21*'19_Расчет_аналитики'!$F$1223,0)</f>
        <v/>
      </c>
      <c r="AW1552">
        <f>IF(IF('01_Вводные'!$B$296="Новый сезон",TRUE,TRUE),'19_Расчет_аналитики'!AW1440*CapacityAge21*'19_Расчет_аналитики'!$F$1223,0)</f>
        <v/>
      </c>
      <c r="AX1552">
        <f>IF(IF('01_Вводные'!$B$296="Новый сезон",TRUE,TRUE),'19_Расчет_аналитики'!AX1440*CapacityAge21*'19_Расчет_аналитики'!$F$1223,0)</f>
        <v/>
      </c>
      <c r="AY1552">
        <f>IF(IF('01_Вводные'!$B$296="Новый сезон",TRUE,TRUE),'19_Расчет_аналитики'!AY1440*CapacityAge21*'19_Расчет_аналитики'!$F$1223,0)</f>
        <v/>
      </c>
      <c r="AZ1552">
        <f>IF(IF('01_Вводные'!$B$296="Новый сезон",TRUE,TRUE),'19_Расчет_аналитики'!AZ1440*CapacityAge21*'19_Расчет_аналитики'!$F$1223,0)</f>
        <v/>
      </c>
      <c r="BA1552">
        <f>IF(IF('01_Вводные'!$B$296="Новый сезон",TRUE,TRUE),'19_Расчет_аналитики'!BA1440*CapacityAge21*'19_Расчет_аналитики'!$F$1223,0)</f>
        <v/>
      </c>
      <c r="BB1552">
        <f>IF(IF('01_Вводные'!$B$296="Новый сезон",TRUE,TRUE),'19_Расчет_аналитики'!BB1440*CapacityAge21*'19_Расчет_аналитики'!$F$1223,0)</f>
        <v/>
      </c>
      <c r="BC1552">
        <f>IF(IF('01_Вводные'!$B$296="Новый сезон",TRUE,TRUE),'19_Расчет_аналитики'!BC1440*CapacityAge21*'19_Расчет_аналитики'!$F$1223,0)</f>
        <v/>
      </c>
      <c r="BD1552">
        <f>IF(IF('01_Вводные'!$B$296="Новый сезон",TRUE,TRUE),'19_Расчет_аналитики'!BD1440*CapacityAge21*'19_Расчет_аналитики'!$F$1223,0)</f>
        <v/>
      </c>
      <c r="BE1552">
        <f>IF(IF('01_Вводные'!$B$296="Новый сезон",TRUE,TRUE),'19_Расчет_аналитики'!BE1440*CapacityAge21*'19_Расчет_аналитики'!$F$1223,0)</f>
        <v/>
      </c>
      <c r="BF1552">
        <f>IF(IF('01_Вводные'!$B$296="Новый сезон",TRUE,TRUE),'19_Расчет_аналитики'!BF1440*CapacityAge21*'19_Расчет_аналитики'!$F$1223,0)</f>
        <v/>
      </c>
      <c r="BG1552">
        <f>IF(IF('01_Вводные'!$B$296="Новый сезон",TRUE,TRUE),'19_Расчет_аналитики'!BG1440*CapacityAge21*'19_Расчет_аналитики'!$F$1223,0)</f>
        <v/>
      </c>
      <c r="BH1552">
        <f>IF(IF('01_Вводные'!$B$296="Новый сезон",TRUE,TRUE),'19_Расчет_аналитики'!BH1440*CapacityAge21*'19_Расчет_аналитики'!$F$1223,0)</f>
        <v/>
      </c>
      <c r="BI1552">
        <f>IF(IF('01_Вводные'!$B$296="Новый сезон",TRUE,TRUE),'19_Расчет_аналитики'!BI1440*CapacityAge21*'19_Расчет_аналитики'!$F$1223,0)</f>
        <v/>
      </c>
      <c r="BJ1552">
        <f>IF(IF('01_Вводные'!$B$296="Новый сезон",TRUE,TRUE),'19_Расчет_аналитики'!BJ1440*CapacityAge21*'19_Расчет_аналитики'!$F$1223,0)</f>
        <v/>
      </c>
      <c r="BK1552">
        <f>IF(IF('01_Вводные'!$B$296="Новый сезон",TRUE,TRUE),'19_Расчет_аналитики'!BK1440*CapacityAge21*'19_Расчет_аналитики'!$F$1223,0)</f>
        <v/>
      </c>
      <c r="BL1552">
        <f>IF(IF('01_Вводные'!$B$296="Новый сезон",TRUE,TRUE),'19_Расчет_аналитики'!BL1440*CapacityAge21*'19_Расчет_аналитики'!$F$1223,0)</f>
        <v/>
      </c>
      <c r="BM1552">
        <f>IF(IF('01_Вводные'!$B$296="Новый сезон",TRUE,TRUE),'19_Расчет_аналитики'!BM1440*CapacityAge21*'19_Расчет_аналитики'!$F$1223,0)</f>
        <v/>
      </c>
      <c r="BN1552">
        <f>IF(IF('01_Вводные'!$B$296="Новый сезон",TRUE,TRUE),'19_Расчет_аналитики'!BN1440*CapacityAge21*'19_Расчет_аналитики'!$F$1223,0)</f>
        <v/>
      </c>
      <c r="BO1552">
        <f>IF(IF('01_Вводные'!$B$296="Новый сезон",TRUE,TRUE),'19_Расчет_аналитики'!BO1440*CapacityAge21*'19_Расчет_аналитики'!$F$1223,0)</f>
        <v/>
      </c>
    </row>
    <row r="1553">
      <c r="B1553">
        <f>IF(IF('01_Вводные'!$B$296="Новый сезон",TRUE,TRUE),'06_Сеть_и_дети'!B74*CapacityAge22*'19_Расчет_аналитики'!$F$1223,0)</f>
        <v/>
      </c>
      <c r="C1553">
        <f>IF(IF('01_Вводные'!$B$296="Новый сезон",TRUE,TRUE),'06_Сеть_и_дети'!C74*CapacityAge22*'19_Расчет_аналитики'!$F$1223,0)</f>
        <v/>
      </c>
      <c r="D1553">
        <f>IF(IF('01_Вводные'!$B$296="Новый сезон",TRUE,TRUE),'06_Сеть_и_дети'!D74*CapacityAge22*'19_Расчет_аналитики'!$F$1223,0)</f>
        <v/>
      </c>
      <c r="E1553">
        <f>IF(IF('01_Вводные'!$B$296="Новый сезон",TRUE,TRUE),'06_Сеть_и_дети'!E74*CapacityAge22*'19_Расчет_аналитики'!$F$1223,0)</f>
        <v/>
      </c>
      <c r="F1553">
        <f>IF(IF('01_Вводные'!$B$296="Новый сезон",TRUE,TRUE),'06_Сеть_и_дети'!F74*CapacityAge22*'19_Расчет_аналитики'!$F$1223,0)</f>
        <v/>
      </c>
      <c r="G1553">
        <f>IF(IF('01_Вводные'!$B$296="Новый сезон",TRUE,TRUE),'06_Сеть_и_дети'!G74*CapacityAge22*'19_Расчет_аналитики'!$F$1223,0)</f>
        <v/>
      </c>
      <c r="H1553">
        <f>IF(IF('01_Вводные'!$B$296="Новый сезон",TRUE,TRUE),'06_Сеть_и_дети'!H74*CapacityAge22*'19_Расчет_аналитики'!$F$1223,0)</f>
        <v/>
      </c>
      <c r="I1553">
        <f>IF(IF('01_Вводные'!$B$296="Новый сезон",TRUE,TRUE),'06_Сеть_и_дети'!I74*CapacityAge22*'19_Расчет_аналитики'!$F$1223,0)</f>
        <v/>
      </c>
      <c r="J1553">
        <f>IF(IF('01_Вводные'!$B$296="Новый сезон",TRUE,TRUE),'06_Сеть_и_дети'!J74*CapacityAge22*'19_Расчет_аналитики'!$F$1223,0)</f>
        <v/>
      </c>
      <c r="K1553">
        <f>IF(IF('01_Вводные'!$B$296="Новый сезон",TRUE,TRUE),'06_Сеть_и_дети'!K74*CapacityAge22*'19_Расчет_аналитики'!$F$1223,0)</f>
        <v/>
      </c>
      <c r="L1553">
        <f>IF(IF('01_Вводные'!$B$296="Новый сезон",TRUE,TRUE),'06_Сеть_и_дети'!L74*CapacityAge22*'19_Расчет_аналитики'!$F$1223,0)</f>
        <v/>
      </c>
      <c r="M1553">
        <f>IF(IF('01_Вводные'!$B$296="Новый сезон",TRUE,TRUE),'06_Сеть_и_дети'!M74*CapacityAge22*'19_Расчет_аналитики'!$F$1223,0)</f>
        <v/>
      </c>
      <c r="N1553">
        <f>IF(IF('01_Вводные'!$B$296="Новый сезон",TRUE,TRUE),'06_Сеть_и_дети'!N74*CapacityAge22*'19_Расчет_аналитики'!$F$1223,0)</f>
        <v/>
      </c>
      <c r="O1553">
        <f>IF(IF('01_Вводные'!$B$296="Новый сезон",TRUE,TRUE),'06_Сеть_и_дети'!O74*CapacityAge22*'19_Расчет_аналитики'!$F$1223,0)</f>
        <v/>
      </c>
      <c r="P1553">
        <f>IF(IF('01_Вводные'!$B$296="Новый сезон",TRUE,TRUE),'06_Сеть_и_дети'!P74*CapacityAge22*'19_Расчет_аналитики'!$F$1223,0)</f>
        <v/>
      </c>
      <c r="Q1553">
        <f>IF(IF('01_Вводные'!$B$296="Новый сезон",TRUE,TRUE),'06_Сеть_и_дети'!Q74*CapacityAge22*'19_Расчет_аналитики'!$F$1223,0)</f>
        <v/>
      </c>
      <c r="R1553">
        <f>IF(IF('01_Вводные'!$B$296="Новый сезон",TRUE,TRUE),'06_Сеть_и_дети'!R74*CapacityAge22*'19_Расчет_аналитики'!$F$1223,0)</f>
        <v/>
      </c>
      <c r="S1553">
        <f>IF(IF('01_Вводные'!$B$296="Новый сезон",TRUE,TRUE),'06_Сеть_и_дети'!S74*CapacityAge22*'19_Расчет_аналитики'!$F$1223,0)</f>
        <v/>
      </c>
      <c r="T1553">
        <f>IF(IF('01_Вводные'!$B$296="Новый сезон",TRUE,TRUE),'06_Сеть_и_дети'!T74*CapacityAge22*'19_Расчет_аналитики'!$F$1223,0)</f>
        <v/>
      </c>
      <c r="U1553">
        <f>IF(IF('01_Вводные'!$B$296="Новый сезон",TRUE,TRUE),'06_Сеть_и_дети'!U74*CapacityAge22*'19_Расчет_аналитики'!$F$1223,0)</f>
        <v/>
      </c>
      <c r="V1553">
        <f>IF(IF('01_Вводные'!$B$296="Новый сезон",TRUE,TRUE),'06_Сеть_и_дети'!V74*CapacityAge22*'19_Расчет_аналитики'!$F$1223,0)</f>
        <v/>
      </c>
      <c r="W1553">
        <f>IF(IF('01_Вводные'!$B$296="Новый сезон",TRUE,TRUE),'19_Расчет_аналитики'!W1441*CapacityAge22*'19_Расчет_аналитики'!$F$1223,0)</f>
        <v/>
      </c>
      <c r="X1553">
        <f>IF(IF('01_Вводные'!$B$296="Новый сезон",TRUE,TRUE),'19_Расчет_аналитики'!X1441*CapacityAge22*'19_Расчет_аналитики'!$F$1223,0)</f>
        <v/>
      </c>
      <c r="Y1553">
        <f>IF(IF('01_Вводные'!$B$296="Новый сезон",TRUE,TRUE),'19_Расчет_аналитики'!Y1441*CapacityAge22*'19_Расчет_аналитики'!$F$1223,0)</f>
        <v/>
      </c>
      <c r="Z1553">
        <f>IF(IF('01_Вводные'!$B$296="Новый сезон",TRUE,TRUE),'19_Расчет_аналитики'!Z1441*CapacityAge22*'19_Расчет_аналитики'!$F$1223,0)</f>
        <v/>
      </c>
      <c r="AA1553">
        <f>IF(IF('01_Вводные'!$B$296="Новый сезон",TRUE,TRUE),'19_Расчет_аналитики'!AA1441*CapacityAge22*'19_Расчет_аналитики'!$F$1223,0)</f>
        <v/>
      </c>
      <c r="AB1553">
        <f>IF(IF('01_Вводные'!$B$296="Новый сезон",TRUE,TRUE),'19_Расчет_аналитики'!AB1441*CapacityAge22*'19_Расчет_аналитики'!$F$1223,0)</f>
        <v/>
      </c>
      <c r="AC1553">
        <f>IF(IF('01_Вводные'!$B$296="Новый сезон",TRUE,TRUE),'19_Расчет_аналитики'!AC1441*CapacityAge22*'19_Расчет_аналитики'!$F$1223,0)</f>
        <v/>
      </c>
      <c r="AD1553">
        <f>IF(IF('01_Вводные'!$B$296="Новый сезон",TRUE,TRUE),'19_Расчет_аналитики'!AD1441*CapacityAge22*'19_Расчет_аналитики'!$F$1223,0)</f>
        <v/>
      </c>
      <c r="AE1553">
        <f>IF(IF('01_Вводные'!$B$296="Новый сезон",TRUE,TRUE),'19_Расчет_аналитики'!AE1441*CapacityAge22*'19_Расчет_аналитики'!$F$1223,0)</f>
        <v/>
      </c>
      <c r="AF1553">
        <f>IF(IF('01_Вводные'!$B$296="Новый сезон",TRUE,TRUE),'19_Расчет_аналитики'!AF1441*CapacityAge22*'19_Расчет_аналитики'!$F$1223,0)</f>
        <v/>
      </c>
      <c r="AG1553">
        <f>IF(IF('01_Вводные'!$B$296="Новый сезон",TRUE,TRUE),'19_Расчет_аналитики'!AG1441*CapacityAge22*'19_Расчет_аналитики'!$F$1223,0)</f>
        <v/>
      </c>
      <c r="AH1553">
        <f>IF(IF('01_Вводные'!$B$296="Новый сезон",TRUE,TRUE),'19_Расчет_аналитики'!AH1441*CapacityAge22*'19_Расчет_аналитики'!$F$1223,0)</f>
        <v/>
      </c>
      <c r="AI1553">
        <f>IF(IF('01_Вводные'!$B$296="Новый сезон",TRUE,TRUE),'19_Расчет_аналитики'!AI1441*CapacityAge22*'19_Расчет_аналитики'!$F$1223,0)</f>
        <v/>
      </c>
      <c r="AJ1553">
        <f>IF(IF('01_Вводные'!$B$296="Новый сезон",TRUE,TRUE),'19_Расчет_аналитики'!AJ1441*CapacityAge22*'19_Расчет_аналитики'!$F$1223,0)</f>
        <v/>
      </c>
      <c r="AK1553">
        <f>IF(IF('01_Вводные'!$B$296="Новый сезон",TRUE,TRUE),'19_Расчет_аналитики'!AK1441*CapacityAge22*'19_Расчет_аналитики'!$F$1223,0)</f>
        <v/>
      </c>
      <c r="AL1553">
        <f>IF(IF('01_Вводные'!$B$296="Новый сезон",TRUE,TRUE),'19_Расчет_аналитики'!AL1441*CapacityAge22*'19_Расчет_аналитики'!$F$1223,0)</f>
        <v/>
      </c>
      <c r="AM1553">
        <f>IF(IF('01_Вводные'!$B$296="Новый сезон",TRUE,TRUE),'19_Расчет_аналитики'!AM1441*CapacityAge22*'19_Расчет_аналитики'!$F$1223,0)</f>
        <v/>
      </c>
      <c r="AN1553">
        <f>IF(IF('01_Вводные'!$B$296="Новый сезон",TRUE,TRUE),'19_Расчет_аналитики'!AN1441*CapacityAge22*'19_Расчет_аналитики'!$F$1223,0)</f>
        <v/>
      </c>
      <c r="AO1553">
        <f>IF(IF('01_Вводные'!$B$296="Новый сезон",TRUE,TRUE),'19_Расчет_аналитики'!AO1441*CapacityAge22*'19_Расчет_аналитики'!$F$1223,0)</f>
        <v/>
      </c>
      <c r="AP1553">
        <f>IF(IF('01_Вводные'!$B$296="Новый сезон",TRUE,TRUE),'19_Расчет_аналитики'!AP1441*CapacityAge22*'19_Расчет_аналитики'!$F$1223,0)</f>
        <v/>
      </c>
      <c r="AQ1553">
        <f>IF(IF('01_Вводные'!$B$296="Новый сезон",TRUE,TRUE),'19_Расчет_аналитики'!AQ1441*CapacityAge22*'19_Расчет_аналитики'!$F$1223,0)</f>
        <v/>
      </c>
      <c r="AR1553">
        <f>IF(IF('01_Вводные'!$B$296="Новый сезон",TRUE,TRUE),'19_Расчет_аналитики'!AR1441*CapacityAge22*'19_Расчет_аналитики'!$F$1223,0)</f>
        <v/>
      </c>
      <c r="AS1553">
        <f>IF(IF('01_Вводные'!$B$296="Новый сезон",TRUE,TRUE),'19_Расчет_аналитики'!AS1441*CapacityAge22*'19_Расчет_аналитики'!$F$1223,0)</f>
        <v/>
      </c>
      <c r="AT1553">
        <f>IF(IF('01_Вводные'!$B$296="Новый сезон",TRUE,TRUE),'19_Расчет_аналитики'!AT1441*CapacityAge22*'19_Расчет_аналитики'!$F$1223,0)</f>
        <v/>
      </c>
      <c r="AU1553">
        <f>IF(IF('01_Вводные'!$B$296="Новый сезон",TRUE,TRUE),'19_Расчет_аналитики'!AU1441*CapacityAge22*'19_Расчет_аналитики'!$F$1223,0)</f>
        <v/>
      </c>
      <c r="AV1553">
        <f>IF(IF('01_Вводные'!$B$296="Новый сезон",TRUE,TRUE),'19_Расчет_аналитики'!AV1441*CapacityAge22*'19_Расчет_аналитики'!$F$1223,0)</f>
        <v/>
      </c>
      <c r="AW1553">
        <f>IF(IF('01_Вводные'!$B$296="Новый сезон",TRUE,TRUE),'19_Расчет_аналитики'!AW1441*CapacityAge22*'19_Расчет_аналитики'!$F$1223,0)</f>
        <v/>
      </c>
      <c r="AX1553">
        <f>IF(IF('01_Вводные'!$B$296="Новый сезон",TRUE,TRUE),'19_Расчет_аналитики'!AX1441*CapacityAge22*'19_Расчет_аналитики'!$F$1223,0)</f>
        <v/>
      </c>
      <c r="AY1553">
        <f>IF(IF('01_Вводные'!$B$296="Новый сезон",TRUE,TRUE),'19_Расчет_аналитики'!AY1441*CapacityAge22*'19_Расчет_аналитики'!$F$1223,0)</f>
        <v/>
      </c>
      <c r="AZ1553">
        <f>IF(IF('01_Вводные'!$B$296="Новый сезон",TRUE,TRUE),'19_Расчет_аналитики'!AZ1441*CapacityAge22*'19_Расчет_аналитики'!$F$1223,0)</f>
        <v/>
      </c>
      <c r="BA1553">
        <f>IF(IF('01_Вводные'!$B$296="Новый сезон",TRUE,TRUE),'19_Расчет_аналитики'!BA1441*CapacityAge22*'19_Расчет_аналитики'!$F$1223,0)</f>
        <v/>
      </c>
      <c r="BB1553">
        <f>IF(IF('01_Вводные'!$B$296="Новый сезон",TRUE,TRUE),'19_Расчет_аналитики'!BB1441*CapacityAge22*'19_Расчет_аналитики'!$F$1223,0)</f>
        <v/>
      </c>
      <c r="BC1553">
        <f>IF(IF('01_Вводные'!$B$296="Новый сезон",TRUE,TRUE),'19_Расчет_аналитики'!BC1441*CapacityAge22*'19_Расчет_аналитики'!$F$1223,0)</f>
        <v/>
      </c>
      <c r="BD1553">
        <f>IF(IF('01_Вводные'!$B$296="Новый сезон",TRUE,TRUE),'19_Расчет_аналитики'!BD1441*CapacityAge22*'19_Расчет_аналитики'!$F$1223,0)</f>
        <v/>
      </c>
      <c r="BE1553">
        <f>IF(IF('01_Вводные'!$B$296="Новый сезон",TRUE,TRUE),'19_Расчет_аналитики'!BE1441*CapacityAge22*'19_Расчет_аналитики'!$F$1223,0)</f>
        <v/>
      </c>
      <c r="BF1553">
        <f>IF(IF('01_Вводные'!$B$296="Новый сезон",TRUE,TRUE),'19_Расчет_аналитики'!BF1441*CapacityAge22*'19_Расчет_аналитики'!$F$1223,0)</f>
        <v/>
      </c>
      <c r="BG1553">
        <f>IF(IF('01_Вводные'!$B$296="Новый сезон",TRUE,TRUE),'19_Расчет_аналитики'!BG1441*CapacityAge22*'19_Расчет_аналитики'!$F$1223,0)</f>
        <v/>
      </c>
      <c r="BH1553">
        <f>IF(IF('01_Вводные'!$B$296="Новый сезон",TRUE,TRUE),'19_Расчет_аналитики'!BH1441*CapacityAge22*'19_Расчет_аналитики'!$F$1223,0)</f>
        <v/>
      </c>
      <c r="BI1553">
        <f>IF(IF('01_Вводные'!$B$296="Новый сезон",TRUE,TRUE),'19_Расчет_аналитики'!BI1441*CapacityAge22*'19_Расчет_аналитики'!$F$1223,0)</f>
        <v/>
      </c>
      <c r="BJ1553">
        <f>IF(IF('01_Вводные'!$B$296="Новый сезон",TRUE,TRUE),'19_Расчет_аналитики'!BJ1441*CapacityAge22*'19_Расчет_аналитики'!$F$1223,0)</f>
        <v/>
      </c>
      <c r="BK1553">
        <f>IF(IF('01_Вводные'!$B$296="Новый сезон",TRUE,TRUE),'19_Расчет_аналитики'!BK1441*CapacityAge22*'19_Расчет_аналитики'!$F$1223,0)</f>
        <v/>
      </c>
      <c r="BL1553">
        <f>IF(IF('01_Вводные'!$B$296="Новый сезон",TRUE,TRUE),'19_Расчет_аналитики'!BL1441*CapacityAge22*'19_Расчет_аналитики'!$F$1223,0)</f>
        <v/>
      </c>
      <c r="BM1553">
        <f>IF(IF('01_Вводные'!$B$296="Новый сезон",TRUE,TRUE),'19_Расчет_аналитики'!BM1441*CapacityAge22*'19_Расчет_аналитики'!$F$1223,0)</f>
        <v/>
      </c>
      <c r="BN1553">
        <f>IF(IF('01_Вводные'!$B$296="Новый сезон",TRUE,TRUE),'19_Расчет_аналитики'!BN1441*CapacityAge22*'19_Расчет_аналитики'!$F$1223,0)</f>
        <v/>
      </c>
      <c r="BO1553">
        <f>IF(IF('01_Вводные'!$B$296="Новый сезон",TRUE,TRUE),'19_Расчет_аналитики'!BO1441*CapacityAge22*'19_Расчет_аналитики'!$F$1223,0)</f>
        <v/>
      </c>
    </row>
    <row r="1554">
      <c r="B1554">
        <f>IF(IF('01_Вводные'!$B$296="Новый сезон",TRUE,TRUE),'06_Сеть_и_дети'!B75*CapacityAge23*'19_Расчет_аналитики'!$F$1223,0)</f>
        <v/>
      </c>
      <c r="C1554">
        <f>IF(IF('01_Вводные'!$B$296="Новый сезон",TRUE,TRUE),'06_Сеть_и_дети'!C75*CapacityAge23*'19_Расчет_аналитики'!$F$1223,0)</f>
        <v/>
      </c>
      <c r="D1554">
        <f>IF(IF('01_Вводные'!$B$296="Новый сезон",TRUE,TRUE),'06_Сеть_и_дети'!D75*CapacityAge23*'19_Расчет_аналитики'!$F$1223,0)</f>
        <v/>
      </c>
      <c r="E1554">
        <f>IF(IF('01_Вводные'!$B$296="Новый сезон",TRUE,TRUE),'06_Сеть_и_дети'!E75*CapacityAge23*'19_Расчет_аналитики'!$F$1223,0)</f>
        <v/>
      </c>
      <c r="F1554">
        <f>IF(IF('01_Вводные'!$B$296="Новый сезон",TRUE,TRUE),'06_Сеть_и_дети'!F75*CapacityAge23*'19_Расчет_аналитики'!$F$1223,0)</f>
        <v/>
      </c>
      <c r="G1554">
        <f>IF(IF('01_Вводные'!$B$296="Новый сезон",TRUE,TRUE),'06_Сеть_и_дети'!G75*CapacityAge23*'19_Расчет_аналитики'!$F$1223,0)</f>
        <v/>
      </c>
      <c r="H1554">
        <f>IF(IF('01_Вводные'!$B$296="Новый сезон",TRUE,TRUE),'06_Сеть_и_дети'!H75*CapacityAge23*'19_Расчет_аналитики'!$F$1223,0)</f>
        <v/>
      </c>
      <c r="I1554">
        <f>IF(IF('01_Вводные'!$B$296="Новый сезон",TRUE,TRUE),'06_Сеть_и_дети'!I75*CapacityAge23*'19_Расчет_аналитики'!$F$1223,0)</f>
        <v/>
      </c>
      <c r="J1554">
        <f>IF(IF('01_Вводные'!$B$296="Новый сезон",TRUE,TRUE),'06_Сеть_и_дети'!J75*CapacityAge23*'19_Расчет_аналитики'!$F$1223,0)</f>
        <v/>
      </c>
      <c r="K1554">
        <f>IF(IF('01_Вводные'!$B$296="Новый сезон",TRUE,TRUE),'06_Сеть_и_дети'!K75*CapacityAge23*'19_Расчет_аналитики'!$F$1223,0)</f>
        <v/>
      </c>
      <c r="L1554">
        <f>IF(IF('01_Вводные'!$B$296="Новый сезон",TRUE,TRUE),'06_Сеть_и_дети'!L75*CapacityAge23*'19_Расчет_аналитики'!$F$1223,0)</f>
        <v/>
      </c>
      <c r="M1554">
        <f>IF(IF('01_Вводные'!$B$296="Новый сезон",TRUE,TRUE),'06_Сеть_и_дети'!M75*CapacityAge23*'19_Расчет_аналитики'!$F$1223,0)</f>
        <v/>
      </c>
      <c r="N1554">
        <f>IF(IF('01_Вводные'!$B$296="Новый сезон",TRUE,TRUE),'06_Сеть_и_дети'!N75*CapacityAge23*'19_Расчет_аналитики'!$F$1223,0)</f>
        <v/>
      </c>
      <c r="O1554">
        <f>IF(IF('01_Вводные'!$B$296="Новый сезон",TRUE,TRUE),'06_Сеть_и_дети'!O75*CapacityAge23*'19_Расчет_аналитики'!$F$1223,0)</f>
        <v/>
      </c>
      <c r="P1554">
        <f>IF(IF('01_Вводные'!$B$296="Новый сезон",TRUE,TRUE),'06_Сеть_и_дети'!P75*CapacityAge23*'19_Расчет_аналитики'!$F$1223,0)</f>
        <v/>
      </c>
      <c r="Q1554">
        <f>IF(IF('01_Вводные'!$B$296="Новый сезон",TRUE,TRUE),'06_Сеть_и_дети'!Q75*CapacityAge23*'19_Расчет_аналитики'!$F$1223,0)</f>
        <v/>
      </c>
      <c r="R1554">
        <f>IF(IF('01_Вводные'!$B$296="Новый сезон",TRUE,TRUE),'06_Сеть_и_дети'!R75*CapacityAge23*'19_Расчет_аналитики'!$F$1223,0)</f>
        <v/>
      </c>
      <c r="S1554">
        <f>IF(IF('01_Вводные'!$B$296="Новый сезон",TRUE,TRUE),'06_Сеть_и_дети'!S75*CapacityAge23*'19_Расчет_аналитики'!$F$1223,0)</f>
        <v/>
      </c>
      <c r="T1554">
        <f>IF(IF('01_Вводные'!$B$296="Новый сезон",TRUE,TRUE),'06_Сеть_и_дети'!T75*CapacityAge23*'19_Расчет_аналитики'!$F$1223,0)</f>
        <v/>
      </c>
      <c r="U1554">
        <f>IF(IF('01_Вводные'!$B$296="Новый сезон",TRUE,TRUE),'06_Сеть_и_дети'!U75*CapacityAge23*'19_Расчет_аналитики'!$F$1223,0)</f>
        <v/>
      </c>
      <c r="V1554">
        <f>IF(IF('01_Вводные'!$B$296="Новый сезон",TRUE,TRUE),'06_Сеть_и_дети'!V75*CapacityAge23*'19_Расчет_аналитики'!$F$1223,0)</f>
        <v/>
      </c>
      <c r="W1554">
        <f>IF(IF('01_Вводные'!$B$296="Новый сезон",TRUE,TRUE),'06_Сеть_и_дети'!W75*CapacityAge23*'19_Расчет_аналитики'!$F$1223,0)</f>
        <v/>
      </c>
      <c r="X1554">
        <f>IF(IF('01_Вводные'!$B$296="Новый сезон",TRUE,TRUE),'19_Расчет_аналитики'!X1442*CapacityAge23*'19_Расчет_аналитики'!$F$1223,0)</f>
        <v/>
      </c>
      <c r="Y1554">
        <f>IF(IF('01_Вводные'!$B$296="Новый сезон",TRUE,TRUE),'19_Расчет_аналитики'!Y1442*CapacityAge23*'19_Расчет_аналитики'!$F$1223,0)</f>
        <v/>
      </c>
      <c r="Z1554">
        <f>IF(IF('01_Вводные'!$B$296="Новый сезон",TRUE,TRUE),'19_Расчет_аналитики'!Z1442*CapacityAge23*'19_Расчет_аналитики'!$F$1223,0)</f>
        <v/>
      </c>
      <c r="AA1554">
        <f>IF(IF('01_Вводные'!$B$296="Новый сезон",TRUE,TRUE),'19_Расчет_аналитики'!AA1442*CapacityAge23*'19_Расчет_аналитики'!$F$1223,0)</f>
        <v/>
      </c>
      <c r="AB1554">
        <f>IF(IF('01_Вводные'!$B$296="Новый сезон",TRUE,TRUE),'19_Расчет_аналитики'!AB1442*CapacityAge23*'19_Расчет_аналитики'!$F$1223,0)</f>
        <v/>
      </c>
      <c r="AC1554">
        <f>IF(IF('01_Вводные'!$B$296="Новый сезон",TRUE,TRUE),'19_Расчет_аналитики'!AC1442*CapacityAge23*'19_Расчет_аналитики'!$F$1223,0)</f>
        <v/>
      </c>
      <c r="AD1554">
        <f>IF(IF('01_Вводные'!$B$296="Новый сезон",TRUE,TRUE),'19_Расчет_аналитики'!AD1442*CapacityAge23*'19_Расчет_аналитики'!$F$1223,0)</f>
        <v/>
      </c>
      <c r="AE1554">
        <f>IF(IF('01_Вводные'!$B$296="Новый сезон",TRUE,TRUE),'19_Расчет_аналитики'!AE1442*CapacityAge23*'19_Расчет_аналитики'!$F$1223,0)</f>
        <v/>
      </c>
      <c r="AF1554">
        <f>IF(IF('01_Вводные'!$B$296="Новый сезон",TRUE,TRUE),'19_Расчет_аналитики'!AF1442*CapacityAge23*'19_Расчет_аналитики'!$F$1223,0)</f>
        <v/>
      </c>
      <c r="AG1554">
        <f>IF(IF('01_Вводные'!$B$296="Новый сезон",TRUE,TRUE),'19_Расчет_аналитики'!AG1442*CapacityAge23*'19_Расчет_аналитики'!$F$1223,0)</f>
        <v/>
      </c>
      <c r="AH1554">
        <f>IF(IF('01_Вводные'!$B$296="Новый сезон",TRUE,TRUE),'19_Расчет_аналитики'!AH1442*CapacityAge23*'19_Расчет_аналитики'!$F$1223,0)</f>
        <v/>
      </c>
      <c r="AI1554">
        <f>IF(IF('01_Вводные'!$B$296="Новый сезон",TRUE,TRUE),'19_Расчет_аналитики'!AI1442*CapacityAge23*'19_Расчет_аналитики'!$F$1223,0)</f>
        <v/>
      </c>
      <c r="AJ1554">
        <f>IF(IF('01_Вводные'!$B$296="Новый сезон",TRUE,TRUE),'19_Расчет_аналитики'!AJ1442*CapacityAge23*'19_Расчет_аналитики'!$F$1223,0)</f>
        <v/>
      </c>
      <c r="AK1554">
        <f>IF(IF('01_Вводные'!$B$296="Новый сезон",TRUE,TRUE),'19_Расчет_аналитики'!AK1442*CapacityAge23*'19_Расчет_аналитики'!$F$1223,0)</f>
        <v/>
      </c>
      <c r="AL1554">
        <f>IF(IF('01_Вводные'!$B$296="Новый сезон",TRUE,TRUE),'19_Расчет_аналитики'!AL1442*CapacityAge23*'19_Расчет_аналитики'!$F$1223,0)</f>
        <v/>
      </c>
      <c r="AM1554">
        <f>IF(IF('01_Вводные'!$B$296="Новый сезон",TRUE,TRUE),'19_Расчет_аналитики'!AM1442*CapacityAge23*'19_Расчет_аналитики'!$F$1223,0)</f>
        <v/>
      </c>
      <c r="AN1554">
        <f>IF(IF('01_Вводные'!$B$296="Новый сезон",TRUE,TRUE),'19_Расчет_аналитики'!AN1442*CapacityAge23*'19_Расчет_аналитики'!$F$1223,0)</f>
        <v/>
      </c>
      <c r="AO1554">
        <f>IF(IF('01_Вводные'!$B$296="Новый сезон",TRUE,TRUE),'19_Расчет_аналитики'!AO1442*CapacityAge23*'19_Расчет_аналитики'!$F$1223,0)</f>
        <v/>
      </c>
      <c r="AP1554">
        <f>IF(IF('01_Вводные'!$B$296="Новый сезон",TRUE,TRUE),'19_Расчет_аналитики'!AP1442*CapacityAge23*'19_Расчет_аналитики'!$F$1223,0)</f>
        <v/>
      </c>
      <c r="AQ1554">
        <f>IF(IF('01_Вводные'!$B$296="Новый сезон",TRUE,TRUE),'19_Расчет_аналитики'!AQ1442*CapacityAge23*'19_Расчет_аналитики'!$F$1223,0)</f>
        <v/>
      </c>
      <c r="AR1554">
        <f>IF(IF('01_Вводные'!$B$296="Новый сезон",TRUE,TRUE),'19_Расчет_аналитики'!AR1442*CapacityAge23*'19_Расчет_аналитики'!$F$1223,0)</f>
        <v/>
      </c>
      <c r="AS1554">
        <f>IF(IF('01_Вводные'!$B$296="Новый сезон",TRUE,TRUE),'19_Расчет_аналитики'!AS1442*CapacityAge23*'19_Расчет_аналитики'!$F$1223,0)</f>
        <v/>
      </c>
      <c r="AT1554">
        <f>IF(IF('01_Вводные'!$B$296="Новый сезон",TRUE,TRUE),'19_Расчет_аналитики'!AT1442*CapacityAge23*'19_Расчет_аналитики'!$F$1223,0)</f>
        <v/>
      </c>
      <c r="AU1554">
        <f>IF(IF('01_Вводные'!$B$296="Новый сезон",TRUE,TRUE),'19_Расчет_аналитики'!AU1442*CapacityAge23*'19_Расчет_аналитики'!$F$1223,0)</f>
        <v/>
      </c>
      <c r="AV1554">
        <f>IF(IF('01_Вводные'!$B$296="Новый сезон",TRUE,TRUE),'19_Расчет_аналитики'!AV1442*CapacityAge23*'19_Расчет_аналитики'!$F$1223,0)</f>
        <v/>
      </c>
      <c r="AW1554">
        <f>IF(IF('01_Вводные'!$B$296="Новый сезон",TRUE,TRUE),'19_Расчет_аналитики'!AW1442*CapacityAge23*'19_Расчет_аналитики'!$F$1223,0)</f>
        <v/>
      </c>
      <c r="AX1554">
        <f>IF(IF('01_Вводные'!$B$296="Новый сезон",TRUE,TRUE),'19_Расчет_аналитики'!AX1442*CapacityAge23*'19_Расчет_аналитики'!$F$1223,0)</f>
        <v/>
      </c>
      <c r="AY1554">
        <f>IF(IF('01_Вводные'!$B$296="Новый сезон",TRUE,TRUE),'19_Расчет_аналитики'!AY1442*CapacityAge23*'19_Расчет_аналитики'!$F$1223,0)</f>
        <v/>
      </c>
      <c r="AZ1554">
        <f>IF(IF('01_Вводные'!$B$296="Новый сезон",TRUE,TRUE),'19_Расчет_аналитики'!AZ1442*CapacityAge23*'19_Расчет_аналитики'!$F$1223,0)</f>
        <v/>
      </c>
      <c r="BA1554">
        <f>IF(IF('01_Вводные'!$B$296="Новый сезон",TRUE,TRUE),'19_Расчет_аналитики'!BA1442*CapacityAge23*'19_Расчет_аналитики'!$F$1223,0)</f>
        <v/>
      </c>
      <c r="BB1554">
        <f>IF(IF('01_Вводные'!$B$296="Новый сезон",TRUE,TRUE),'19_Расчет_аналитики'!BB1442*CapacityAge23*'19_Расчет_аналитики'!$F$1223,0)</f>
        <v/>
      </c>
      <c r="BC1554">
        <f>IF(IF('01_Вводные'!$B$296="Новый сезон",TRUE,TRUE),'19_Расчет_аналитики'!BC1442*CapacityAge23*'19_Расчет_аналитики'!$F$1223,0)</f>
        <v/>
      </c>
      <c r="BD1554">
        <f>IF(IF('01_Вводные'!$B$296="Новый сезон",TRUE,TRUE),'19_Расчет_аналитики'!BD1442*CapacityAge23*'19_Расчет_аналитики'!$F$1223,0)</f>
        <v/>
      </c>
      <c r="BE1554">
        <f>IF(IF('01_Вводные'!$B$296="Новый сезон",TRUE,TRUE),'19_Расчет_аналитики'!BE1442*CapacityAge23*'19_Расчет_аналитики'!$F$1223,0)</f>
        <v/>
      </c>
      <c r="BF1554">
        <f>IF(IF('01_Вводные'!$B$296="Новый сезон",TRUE,TRUE),'19_Расчет_аналитики'!BF1442*CapacityAge23*'19_Расчет_аналитики'!$F$1223,0)</f>
        <v/>
      </c>
      <c r="BG1554">
        <f>IF(IF('01_Вводные'!$B$296="Новый сезон",TRUE,TRUE),'19_Расчет_аналитики'!BG1442*CapacityAge23*'19_Расчет_аналитики'!$F$1223,0)</f>
        <v/>
      </c>
      <c r="BH1554">
        <f>IF(IF('01_Вводные'!$B$296="Новый сезон",TRUE,TRUE),'19_Расчет_аналитики'!BH1442*CapacityAge23*'19_Расчет_аналитики'!$F$1223,0)</f>
        <v/>
      </c>
      <c r="BI1554">
        <f>IF(IF('01_Вводные'!$B$296="Новый сезон",TRUE,TRUE),'19_Расчет_аналитики'!BI1442*CapacityAge23*'19_Расчет_аналитики'!$F$1223,0)</f>
        <v/>
      </c>
      <c r="BJ1554">
        <f>IF(IF('01_Вводные'!$B$296="Новый сезон",TRUE,TRUE),'19_Расчет_аналитики'!BJ1442*CapacityAge23*'19_Расчет_аналитики'!$F$1223,0)</f>
        <v/>
      </c>
      <c r="BK1554">
        <f>IF(IF('01_Вводные'!$B$296="Новый сезон",TRUE,TRUE),'19_Расчет_аналитики'!BK1442*CapacityAge23*'19_Расчет_аналитики'!$F$1223,0)</f>
        <v/>
      </c>
      <c r="BL1554">
        <f>IF(IF('01_Вводные'!$B$296="Новый сезон",TRUE,TRUE),'19_Расчет_аналитики'!BL1442*CapacityAge23*'19_Расчет_аналитики'!$F$1223,0)</f>
        <v/>
      </c>
      <c r="BM1554">
        <f>IF(IF('01_Вводные'!$B$296="Новый сезон",TRUE,TRUE),'19_Расчет_аналитики'!BM1442*CapacityAge23*'19_Расчет_аналитики'!$F$1223,0)</f>
        <v/>
      </c>
      <c r="BN1554">
        <f>IF(IF('01_Вводные'!$B$296="Новый сезон",TRUE,TRUE),'19_Расчет_аналитики'!BN1442*CapacityAge23*'19_Расчет_аналитики'!$F$1223,0)</f>
        <v/>
      </c>
      <c r="BO1554">
        <f>IF(IF('01_Вводные'!$B$296="Новый сезон",TRUE,TRUE),'19_Расчет_аналитики'!BO1442*CapacityAge23*'19_Расчет_аналитики'!$F$1223,0)</f>
        <v/>
      </c>
    </row>
    <row r="1555">
      <c r="B1555">
        <f>IF(IF('01_Вводные'!$B$296="Новый сезон",TRUE,TRUE),'06_Сеть_и_дети'!B76*CapacityAge24*'19_Расчет_аналитики'!$F$1223,0)</f>
        <v/>
      </c>
      <c r="C1555">
        <f>IF(IF('01_Вводные'!$B$296="Новый сезон",TRUE,TRUE),'06_Сеть_и_дети'!C76*CapacityAge24*'19_Расчет_аналитики'!$F$1223,0)</f>
        <v/>
      </c>
      <c r="D1555">
        <f>IF(IF('01_Вводные'!$B$296="Новый сезон",TRUE,TRUE),'06_Сеть_и_дети'!D76*CapacityAge24*'19_Расчет_аналитики'!$F$1223,0)</f>
        <v/>
      </c>
      <c r="E1555">
        <f>IF(IF('01_Вводные'!$B$296="Новый сезон",TRUE,TRUE),'06_Сеть_и_дети'!E76*CapacityAge24*'19_Расчет_аналитики'!$F$1223,0)</f>
        <v/>
      </c>
      <c r="F1555">
        <f>IF(IF('01_Вводные'!$B$296="Новый сезон",TRUE,TRUE),'06_Сеть_и_дети'!F76*CapacityAge24*'19_Расчет_аналитики'!$F$1223,0)</f>
        <v/>
      </c>
      <c r="G1555">
        <f>IF(IF('01_Вводные'!$B$296="Новый сезон",TRUE,TRUE),'06_Сеть_и_дети'!G76*CapacityAge24*'19_Расчет_аналитики'!$F$1223,0)</f>
        <v/>
      </c>
      <c r="H1555">
        <f>IF(IF('01_Вводные'!$B$296="Новый сезон",TRUE,TRUE),'06_Сеть_и_дети'!H76*CapacityAge24*'19_Расчет_аналитики'!$F$1223,0)</f>
        <v/>
      </c>
      <c r="I1555">
        <f>IF(IF('01_Вводные'!$B$296="Новый сезон",TRUE,TRUE),'06_Сеть_и_дети'!I76*CapacityAge24*'19_Расчет_аналитики'!$F$1223,0)</f>
        <v/>
      </c>
      <c r="J1555">
        <f>IF(IF('01_Вводные'!$B$296="Новый сезон",TRUE,TRUE),'06_Сеть_и_дети'!J76*CapacityAge24*'19_Расчет_аналитики'!$F$1223,0)</f>
        <v/>
      </c>
      <c r="K1555">
        <f>IF(IF('01_Вводные'!$B$296="Новый сезон",TRUE,TRUE),'06_Сеть_и_дети'!K76*CapacityAge24*'19_Расчет_аналитики'!$F$1223,0)</f>
        <v/>
      </c>
      <c r="L1555">
        <f>IF(IF('01_Вводные'!$B$296="Новый сезон",TRUE,TRUE),'06_Сеть_и_дети'!L76*CapacityAge24*'19_Расчет_аналитики'!$F$1223,0)</f>
        <v/>
      </c>
      <c r="M1555">
        <f>IF(IF('01_Вводные'!$B$296="Новый сезон",TRUE,TRUE),'06_Сеть_и_дети'!M76*CapacityAge24*'19_Расчет_аналитики'!$F$1223,0)</f>
        <v/>
      </c>
      <c r="N1555">
        <f>IF(IF('01_Вводные'!$B$296="Новый сезон",TRUE,TRUE),'06_Сеть_и_дети'!N76*CapacityAge24*'19_Расчет_аналитики'!$F$1223,0)</f>
        <v/>
      </c>
      <c r="O1555">
        <f>IF(IF('01_Вводные'!$B$296="Новый сезон",TRUE,TRUE),'06_Сеть_и_дети'!O76*CapacityAge24*'19_Расчет_аналитики'!$F$1223,0)</f>
        <v/>
      </c>
      <c r="P1555">
        <f>IF(IF('01_Вводные'!$B$296="Новый сезон",TRUE,TRUE),'06_Сеть_и_дети'!P76*CapacityAge24*'19_Расчет_аналитики'!$F$1223,0)</f>
        <v/>
      </c>
      <c r="Q1555">
        <f>IF(IF('01_Вводные'!$B$296="Новый сезон",TRUE,TRUE),'06_Сеть_и_дети'!Q76*CapacityAge24*'19_Расчет_аналитики'!$F$1223,0)</f>
        <v/>
      </c>
      <c r="R1555">
        <f>IF(IF('01_Вводные'!$B$296="Новый сезон",TRUE,TRUE),'06_Сеть_и_дети'!R76*CapacityAge24*'19_Расчет_аналитики'!$F$1223,0)</f>
        <v/>
      </c>
      <c r="S1555">
        <f>IF(IF('01_Вводные'!$B$296="Новый сезон",TRUE,TRUE),'06_Сеть_и_дети'!S76*CapacityAge24*'19_Расчет_аналитики'!$F$1223,0)</f>
        <v/>
      </c>
      <c r="T1555">
        <f>IF(IF('01_Вводные'!$B$296="Новый сезон",TRUE,TRUE),'06_Сеть_и_дети'!T76*CapacityAge24*'19_Расчет_аналитики'!$F$1223,0)</f>
        <v/>
      </c>
      <c r="U1555">
        <f>IF(IF('01_Вводные'!$B$296="Новый сезон",TRUE,TRUE),'06_Сеть_и_дети'!U76*CapacityAge24*'19_Расчет_аналитики'!$F$1223,0)</f>
        <v/>
      </c>
      <c r="V1555">
        <f>IF(IF('01_Вводные'!$B$296="Новый сезон",TRUE,TRUE),'06_Сеть_и_дети'!V76*CapacityAge24*'19_Расчет_аналитики'!$F$1223,0)</f>
        <v/>
      </c>
      <c r="W1555">
        <f>IF(IF('01_Вводные'!$B$296="Новый сезон",TRUE,TRUE),'06_Сеть_и_дети'!W76*CapacityAge24*'19_Расчет_аналитики'!$F$1223,0)</f>
        <v/>
      </c>
      <c r="X1555">
        <f>IF(IF('01_Вводные'!$B$296="Новый сезон",TRUE,TRUE),'06_Сеть_и_дети'!X76*CapacityAge24*'19_Расчет_аналитики'!$F$1223,0)</f>
        <v/>
      </c>
      <c r="Y1555">
        <f>IF(IF('01_Вводные'!$B$296="Новый сезон",TRUE,TRUE),'19_Расчет_аналитики'!Y1443*CapacityAge24*'19_Расчет_аналитики'!$F$1223,0)</f>
        <v/>
      </c>
      <c r="Z1555">
        <f>IF(IF('01_Вводные'!$B$296="Новый сезон",TRUE,TRUE),'19_Расчет_аналитики'!Z1443*CapacityAge24*'19_Расчет_аналитики'!$F$1223,0)</f>
        <v/>
      </c>
      <c r="AA1555">
        <f>IF(IF('01_Вводные'!$B$296="Новый сезон",TRUE,TRUE),'19_Расчет_аналитики'!AA1443*CapacityAge24*'19_Расчет_аналитики'!$F$1223,0)</f>
        <v/>
      </c>
      <c r="AB1555">
        <f>IF(IF('01_Вводные'!$B$296="Новый сезон",TRUE,TRUE),'19_Расчет_аналитики'!AB1443*CapacityAge24*'19_Расчет_аналитики'!$F$1223,0)</f>
        <v/>
      </c>
      <c r="AC1555">
        <f>IF(IF('01_Вводные'!$B$296="Новый сезон",TRUE,TRUE),'19_Расчет_аналитики'!AC1443*CapacityAge24*'19_Расчет_аналитики'!$F$1223,0)</f>
        <v/>
      </c>
      <c r="AD1555">
        <f>IF(IF('01_Вводные'!$B$296="Новый сезон",TRUE,TRUE),'19_Расчет_аналитики'!AD1443*CapacityAge24*'19_Расчет_аналитики'!$F$1223,0)</f>
        <v/>
      </c>
      <c r="AE1555">
        <f>IF(IF('01_Вводные'!$B$296="Новый сезон",TRUE,TRUE),'19_Расчет_аналитики'!AE1443*CapacityAge24*'19_Расчет_аналитики'!$F$1223,0)</f>
        <v/>
      </c>
      <c r="AF1555">
        <f>IF(IF('01_Вводные'!$B$296="Новый сезон",TRUE,TRUE),'19_Расчет_аналитики'!AF1443*CapacityAge24*'19_Расчет_аналитики'!$F$1223,0)</f>
        <v/>
      </c>
      <c r="AG1555">
        <f>IF(IF('01_Вводные'!$B$296="Новый сезон",TRUE,TRUE),'19_Расчет_аналитики'!AG1443*CapacityAge24*'19_Расчет_аналитики'!$F$1223,0)</f>
        <v/>
      </c>
      <c r="AH1555">
        <f>IF(IF('01_Вводные'!$B$296="Новый сезон",TRUE,TRUE),'19_Расчет_аналитики'!AH1443*CapacityAge24*'19_Расчет_аналитики'!$F$1223,0)</f>
        <v/>
      </c>
      <c r="AI1555">
        <f>IF(IF('01_Вводные'!$B$296="Новый сезон",TRUE,TRUE),'19_Расчет_аналитики'!AI1443*CapacityAge24*'19_Расчет_аналитики'!$F$1223,0)</f>
        <v/>
      </c>
      <c r="AJ1555">
        <f>IF(IF('01_Вводные'!$B$296="Новый сезон",TRUE,TRUE),'19_Расчет_аналитики'!AJ1443*CapacityAge24*'19_Расчет_аналитики'!$F$1223,0)</f>
        <v/>
      </c>
      <c r="AK1555">
        <f>IF(IF('01_Вводные'!$B$296="Новый сезон",TRUE,TRUE),'19_Расчет_аналитики'!AK1443*CapacityAge24*'19_Расчет_аналитики'!$F$1223,0)</f>
        <v/>
      </c>
      <c r="AL1555">
        <f>IF(IF('01_Вводные'!$B$296="Новый сезон",TRUE,TRUE),'19_Расчет_аналитики'!AL1443*CapacityAge24*'19_Расчет_аналитики'!$F$1223,0)</f>
        <v/>
      </c>
      <c r="AM1555">
        <f>IF(IF('01_Вводные'!$B$296="Новый сезон",TRUE,TRUE),'19_Расчет_аналитики'!AM1443*CapacityAge24*'19_Расчет_аналитики'!$F$1223,0)</f>
        <v/>
      </c>
      <c r="AN1555">
        <f>IF(IF('01_Вводные'!$B$296="Новый сезон",TRUE,TRUE),'19_Расчет_аналитики'!AN1443*CapacityAge24*'19_Расчет_аналитики'!$F$1223,0)</f>
        <v/>
      </c>
      <c r="AO1555">
        <f>IF(IF('01_Вводные'!$B$296="Новый сезон",TRUE,TRUE),'19_Расчет_аналитики'!AO1443*CapacityAge24*'19_Расчет_аналитики'!$F$1223,0)</f>
        <v/>
      </c>
      <c r="AP1555">
        <f>IF(IF('01_Вводные'!$B$296="Новый сезон",TRUE,TRUE),'19_Расчет_аналитики'!AP1443*CapacityAge24*'19_Расчет_аналитики'!$F$1223,0)</f>
        <v/>
      </c>
      <c r="AQ1555">
        <f>IF(IF('01_Вводные'!$B$296="Новый сезон",TRUE,TRUE),'19_Расчет_аналитики'!AQ1443*CapacityAge24*'19_Расчет_аналитики'!$F$1223,0)</f>
        <v/>
      </c>
      <c r="AR1555">
        <f>IF(IF('01_Вводные'!$B$296="Новый сезон",TRUE,TRUE),'19_Расчет_аналитики'!AR1443*CapacityAge24*'19_Расчет_аналитики'!$F$1223,0)</f>
        <v/>
      </c>
      <c r="AS1555">
        <f>IF(IF('01_Вводные'!$B$296="Новый сезон",TRUE,TRUE),'19_Расчет_аналитики'!AS1443*CapacityAge24*'19_Расчет_аналитики'!$F$1223,0)</f>
        <v/>
      </c>
      <c r="AT1555">
        <f>IF(IF('01_Вводные'!$B$296="Новый сезон",TRUE,TRUE),'19_Расчет_аналитики'!AT1443*CapacityAge24*'19_Расчет_аналитики'!$F$1223,0)</f>
        <v/>
      </c>
      <c r="AU1555">
        <f>IF(IF('01_Вводные'!$B$296="Новый сезон",TRUE,TRUE),'19_Расчет_аналитики'!AU1443*CapacityAge24*'19_Расчет_аналитики'!$F$1223,0)</f>
        <v/>
      </c>
      <c r="AV1555">
        <f>IF(IF('01_Вводные'!$B$296="Новый сезон",TRUE,TRUE),'19_Расчет_аналитики'!AV1443*CapacityAge24*'19_Расчет_аналитики'!$F$1223,0)</f>
        <v/>
      </c>
      <c r="AW1555">
        <f>IF(IF('01_Вводные'!$B$296="Новый сезон",TRUE,TRUE),'19_Расчет_аналитики'!AW1443*CapacityAge24*'19_Расчет_аналитики'!$F$1223,0)</f>
        <v/>
      </c>
      <c r="AX1555">
        <f>IF(IF('01_Вводные'!$B$296="Новый сезон",TRUE,TRUE),'19_Расчет_аналитики'!AX1443*CapacityAge24*'19_Расчет_аналитики'!$F$1223,0)</f>
        <v/>
      </c>
      <c r="AY1555">
        <f>IF(IF('01_Вводные'!$B$296="Новый сезон",TRUE,TRUE),'19_Расчет_аналитики'!AY1443*CapacityAge24*'19_Расчет_аналитики'!$F$1223,0)</f>
        <v/>
      </c>
      <c r="AZ1555">
        <f>IF(IF('01_Вводные'!$B$296="Новый сезон",TRUE,TRUE),'19_Расчет_аналитики'!AZ1443*CapacityAge24*'19_Расчет_аналитики'!$F$1223,0)</f>
        <v/>
      </c>
      <c r="BA1555">
        <f>IF(IF('01_Вводные'!$B$296="Новый сезон",TRUE,TRUE),'19_Расчет_аналитики'!BA1443*CapacityAge24*'19_Расчет_аналитики'!$F$1223,0)</f>
        <v/>
      </c>
      <c r="BB1555">
        <f>IF(IF('01_Вводные'!$B$296="Новый сезон",TRUE,TRUE),'19_Расчет_аналитики'!BB1443*CapacityAge24*'19_Расчет_аналитики'!$F$1223,0)</f>
        <v/>
      </c>
      <c r="BC1555">
        <f>IF(IF('01_Вводные'!$B$296="Новый сезон",TRUE,TRUE),'19_Расчет_аналитики'!BC1443*CapacityAge24*'19_Расчет_аналитики'!$F$1223,0)</f>
        <v/>
      </c>
      <c r="BD1555">
        <f>IF(IF('01_Вводные'!$B$296="Новый сезон",TRUE,TRUE),'19_Расчет_аналитики'!BD1443*CapacityAge24*'19_Расчет_аналитики'!$F$1223,0)</f>
        <v/>
      </c>
      <c r="BE1555">
        <f>IF(IF('01_Вводные'!$B$296="Новый сезон",TRUE,TRUE),'19_Расчет_аналитики'!BE1443*CapacityAge24*'19_Расчет_аналитики'!$F$1223,0)</f>
        <v/>
      </c>
      <c r="BF1555">
        <f>IF(IF('01_Вводные'!$B$296="Новый сезон",TRUE,TRUE),'19_Расчет_аналитики'!BF1443*CapacityAge24*'19_Расчет_аналитики'!$F$1223,0)</f>
        <v/>
      </c>
      <c r="BG1555">
        <f>IF(IF('01_Вводные'!$B$296="Новый сезон",TRUE,TRUE),'19_Расчет_аналитики'!BG1443*CapacityAge24*'19_Расчет_аналитики'!$F$1223,0)</f>
        <v/>
      </c>
      <c r="BH1555">
        <f>IF(IF('01_Вводные'!$B$296="Новый сезон",TRUE,TRUE),'19_Расчет_аналитики'!BH1443*CapacityAge24*'19_Расчет_аналитики'!$F$1223,0)</f>
        <v/>
      </c>
      <c r="BI1555">
        <f>IF(IF('01_Вводные'!$B$296="Новый сезон",TRUE,TRUE),'19_Расчет_аналитики'!BI1443*CapacityAge24*'19_Расчет_аналитики'!$F$1223,0)</f>
        <v/>
      </c>
      <c r="BJ1555">
        <f>IF(IF('01_Вводные'!$B$296="Новый сезон",TRUE,TRUE),'19_Расчет_аналитики'!BJ1443*CapacityAge24*'19_Расчет_аналитики'!$F$1223,0)</f>
        <v/>
      </c>
      <c r="BK1555">
        <f>IF(IF('01_Вводные'!$B$296="Новый сезон",TRUE,TRUE),'19_Расчет_аналитики'!BK1443*CapacityAge24*'19_Расчет_аналитики'!$F$1223,0)</f>
        <v/>
      </c>
      <c r="BL1555">
        <f>IF(IF('01_Вводные'!$B$296="Новый сезон",TRUE,TRUE),'19_Расчет_аналитики'!BL1443*CapacityAge24*'19_Расчет_аналитики'!$F$1223,0)</f>
        <v/>
      </c>
      <c r="BM1555">
        <f>IF(IF('01_Вводные'!$B$296="Новый сезон",TRUE,TRUE),'19_Расчет_аналитики'!BM1443*CapacityAge24*'19_Расчет_аналитики'!$F$1223,0)</f>
        <v/>
      </c>
      <c r="BN1555">
        <f>IF(IF('01_Вводные'!$B$296="Новый сезон",TRUE,TRUE),'19_Расчет_аналитики'!BN1443*CapacityAge24*'19_Расчет_аналитики'!$F$1223,0)</f>
        <v/>
      </c>
      <c r="BO1555">
        <f>IF(IF('01_Вводные'!$B$296="Новый сезон",TRUE,TRUE),'19_Расчет_аналитики'!BO1443*CapacityAge24*'19_Расчет_аналитики'!$F$1223,0)</f>
        <v/>
      </c>
    </row>
    <row r="1556">
      <c r="B1556">
        <f>IF(IF('01_Вводные'!$B$296="Новый сезон",TRUE,TRUE),'06_Сеть_и_дети'!B77*CapacityAge25*'19_Расчет_аналитики'!$F$1223,0)</f>
        <v/>
      </c>
      <c r="C1556">
        <f>IF(IF('01_Вводные'!$B$296="Новый сезон",TRUE,TRUE),'06_Сеть_и_дети'!C77*CapacityAge25*'19_Расчет_аналитики'!$F$1223,0)</f>
        <v/>
      </c>
      <c r="D1556">
        <f>IF(IF('01_Вводные'!$B$296="Новый сезон",TRUE,TRUE),'06_Сеть_и_дети'!D77*CapacityAge25*'19_Расчет_аналитики'!$F$1223,0)</f>
        <v/>
      </c>
      <c r="E1556">
        <f>IF(IF('01_Вводные'!$B$296="Новый сезон",TRUE,TRUE),'06_Сеть_и_дети'!E77*CapacityAge25*'19_Расчет_аналитики'!$F$1223,0)</f>
        <v/>
      </c>
      <c r="F1556">
        <f>IF(IF('01_Вводные'!$B$296="Новый сезон",TRUE,TRUE),'06_Сеть_и_дети'!F77*CapacityAge25*'19_Расчет_аналитики'!$F$1223,0)</f>
        <v/>
      </c>
      <c r="G1556">
        <f>IF(IF('01_Вводные'!$B$296="Новый сезон",TRUE,TRUE),'06_Сеть_и_дети'!G77*CapacityAge25*'19_Расчет_аналитики'!$F$1223,0)</f>
        <v/>
      </c>
      <c r="H1556">
        <f>IF(IF('01_Вводные'!$B$296="Новый сезон",TRUE,TRUE),'06_Сеть_и_дети'!H77*CapacityAge25*'19_Расчет_аналитики'!$F$1223,0)</f>
        <v/>
      </c>
      <c r="I1556">
        <f>IF(IF('01_Вводные'!$B$296="Новый сезон",TRUE,TRUE),'06_Сеть_и_дети'!I77*CapacityAge25*'19_Расчет_аналитики'!$F$1223,0)</f>
        <v/>
      </c>
      <c r="J1556">
        <f>IF(IF('01_Вводные'!$B$296="Новый сезон",TRUE,TRUE),'06_Сеть_и_дети'!J77*CapacityAge25*'19_Расчет_аналитики'!$F$1223,0)</f>
        <v/>
      </c>
      <c r="K1556">
        <f>IF(IF('01_Вводные'!$B$296="Новый сезон",TRUE,TRUE),'06_Сеть_и_дети'!K77*CapacityAge25*'19_Расчет_аналитики'!$F$1223,0)</f>
        <v/>
      </c>
      <c r="L1556">
        <f>IF(IF('01_Вводные'!$B$296="Новый сезон",TRUE,TRUE),'06_Сеть_и_дети'!L77*CapacityAge25*'19_Расчет_аналитики'!$F$1223,0)</f>
        <v/>
      </c>
      <c r="M1556">
        <f>IF(IF('01_Вводные'!$B$296="Новый сезон",TRUE,TRUE),'06_Сеть_и_дети'!M77*CapacityAge25*'19_Расчет_аналитики'!$F$1223,0)</f>
        <v/>
      </c>
      <c r="N1556">
        <f>IF(IF('01_Вводные'!$B$296="Новый сезон",TRUE,TRUE),'06_Сеть_и_дети'!N77*CapacityAge25*'19_Расчет_аналитики'!$F$1223,0)</f>
        <v/>
      </c>
      <c r="O1556">
        <f>IF(IF('01_Вводные'!$B$296="Новый сезон",TRUE,TRUE),'06_Сеть_и_дети'!O77*CapacityAge25*'19_Расчет_аналитики'!$F$1223,0)</f>
        <v/>
      </c>
      <c r="P1556">
        <f>IF(IF('01_Вводные'!$B$296="Новый сезон",TRUE,TRUE),'06_Сеть_и_дети'!P77*CapacityAge25*'19_Расчет_аналитики'!$F$1223,0)</f>
        <v/>
      </c>
      <c r="Q1556">
        <f>IF(IF('01_Вводные'!$B$296="Новый сезон",TRUE,TRUE),'06_Сеть_и_дети'!Q77*CapacityAge25*'19_Расчет_аналитики'!$F$1223,0)</f>
        <v/>
      </c>
      <c r="R1556">
        <f>IF(IF('01_Вводные'!$B$296="Новый сезон",TRUE,TRUE),'06_Сеть_и_дети'!R77*CapacityAge25*'19_Расчет_аналитики'!$F$1223,0)</f>
        <v/>
      </c>
      <c r="S1556">
        <f>IF(IF('01_Вводные'!$B$296="Новый сезон",TRUE,TRUE),'06_Сеть_и_дети'!S77*CapacityAge25*'19_Расчет_аналитики'!$F$1223,0)</f>
        <v/>
      </c>
      <c r="T1556">
        <f>IF(IF('01_Вводные'!$B$296="Новый сезон",TRUE,TRUE),'06_Сеть_и_дети'!T77*CapacityAge25*'19_Расчет_аналитики'!$F$1223,0)</f>
        <v/>
      </c>
      <c r="U1556">
        <f>IF(IF('01_Вводные'!$B$296="Новый сезон",TRUE,TRUE),'06_Сеть_и_дети'!U77*CapacityAge25*'19_Расчет_аналитики'!$F$1223,0)</f>
        <v/>
      </c>
      <c r="V1556">
        <f>IF(IF('01_Вводные'!$B$296="Новый сезон",TRUE,TRUE),'06_Сеть_и_дети'!V77*CapacityAge25*'19_Расчет_аналитики'!$F$1223,0)</f>
        <v/>
      </c>
      <c r="W1556">
        <f>IF(IF('01_Вводные'!$B$296="Новый сезон",TRUE,TRUE),'06_Сеть_и_дети'!W77*CapacityAge25*'19_Расчет_аналитики'!$F$1223,0)</f>
        <v/>
      </c>
      <c r="X1556">
        <f>IF(IF('01_Вводные'!$B$296="Новый сезон",TRUE,TRUE),'06_Сеть_и_дети'!X77*CapacityAge25*'19_Расчет_аналитики'!$F$1223,0)</f>
        <v/>
      </c>
      <c r="Y1556">
        <f>IF(IF('01_Вводные'!$B$296="Новый сезон",TRUE,TRUE),'06_Сеть_и_дети'!Y77*CapacityAge25*'19_Расчет_аналитики'!$F$1223,0)</f>
        <v/>
      </c>
      <c r="Z1556">
        <f>IF(IF('01_Вводные'!$B$296="Новый сезон",TRUE,TRUE),'19_Расчет_аналитики'!Z1444*CapacityAge25*'19_Расчет_аналитики'!$F$1223,0)</f>
        <v/>
      </c>
      <c r="AA1556">
        <f>IF(IF('01_Вводные'!$B$296="Новый сезон",TRUE,TRUE),'19_Расчет_аналитики'!AA1444*CapacityAge25*'19_Расчет_аналитики'!$F$1223,0)</f>
        <v/>
      </c>
      <c r="AB1556">
        <f>IF(IF('01_Вводные'!$B$296="Новый сезон",TRUE,TRUE),'19_Расчет_аналитики'!AB1444*CapacityAge25*'19_Расчет_аналитики'!$F$1223,0)</f>
        <v/>
      </c>
      <c r="AC1556">
        <f>IF(IF('01_Вводные'!$B$296="Новый сезон",TRUE,TRUE),'19_Расчет_аналитики'!AC1444*CapacityAge25*'19_Расчет_аналитики'!$F$1223,0)</f>
        <v/>
      </c>
      <c r="AD1556">
        <f>IF(IF('01_Вводные'!$B$296="Новый сезон",TRUE,TRUE),'19_Расчет_аналитики'!AD1444*CapacityAge25*'19_Расчет_аналитики'!$F$1223,0)</f>
        <v/>
      </c>
      <c r="AE1556">
        <f>IF(IF('01_Вводные'!$B$296="Новый сезон",TRUE,TRUE),'19_Расчет_аналитики'!AE1444*CapacityAge25*'19_Расчет_аналитики'!$F$1223,0)</f>
        <v/>
      </c>
      <c r="AF1556">
        <f>IF(IF('01_Вводные'!$B$296="Новый сезон",TRUE,TRUE),'19_Расчет_аналитики'!AF1444*CapacityAge25*'19_Расчет_аналитики'!$F$1223,0)</f>
        <v/>
      </c>
      <c r="AG1556">
        <f>IF(IF('01_Вводные'!$B$296="Новый сезон",TRUE,TRUE),'19_Расчет_аналитики'!AG1444*CapacityAge25*'19_Расчет_аналитики'!$F$1223,0)</f>
        <v/>
      </c>
      <c r="AH1556">
        <f>IF(IF('01_Вводные'!$B$296="Новый сезон",TRUE,TRUE),'19_Расчет_аналитики'!AH1444*CapacityAge25*'19_Расчет_аналитики'!$F$1223,0)</f>
        <v/>
      </c>
      <c r="AI1556">
        <f>IF(IF('01_Вводные'!$B$296="Новый сезон",TRUE,TRUE),'19_Расчет_аналитики'!AI1444*CapacityAge25*'19_Расчет_аналитики'!$F$1223,0)</f>
        <v/>
      </c>
      <c r="AJ1556">
        <f>IF(IF('01_Вводные'!$B$296="Новый сезон",TRUE,TRUE),'19_Расчет_аналитики'!AJ1444*CapacityAge25*'19_Расчет_аналитики'!$F$1223,0)</f>
        <v/>
      </c>
      <c r="AK1556">
        <f>IF(IF('01_Вводные'!$B$296="Новый сезон",TRUE,TRUE),'19_Расчет_аналитики'!AK1444*CapacityAge25*'19_Расчет_аналитики'!$F$1223,0)</f>
        <v/>
      </c>
      <c r="AL1556">
        <f>IF(IF('01_Вводные'!$B$296="Новый сезон",TRUE,TRUE),'19_Расчет_аналитики'!AL1444*CapacityAge25*'19_Расчет_аналитики'!$F$1223,0)</f>
        <v/>
      </c>
      <c r="AM1556">
        <f>IF(IF('01_Вводные'!$B$296="Новый сезон",TRUE,TRUE),'19_Расчет_аналитики'!AM1444*CapacityAge25*'19_Расчет_аналитики'!$F$1223,0)</f>
        <v/>
      </c>
      <c r="AN1556">
        <f>IF(IF('01_Вводные'!$B$296="Новый сезон",TRUE,TRUE),'19_Расчет_аналитики'!AN1444*CapacityAge25*'19_Расчет_аналитики'!$F$1223,0)</f>
        <v/>
      </c>
      <c r="AO1556">
        <f>IF(IF('01_Вводные'!$B$296="Новый сезон",TRUE,TRUE),'19_Расчет_аналитики'!AO1444*CapacityAge25*'19_Расчет_аналитики'!$F$1223,0)</f>
        <v/>
      </c>
      <c r="AP1556">
        <f>IF(IF('01_Вводные'!$B$296="Новый сезон",TRUE,TRUE),'19_Расчет_аналитики'!AP1444*CapacityAge25*'19_Расчет_аналитики'!$F$1223,0)</f>
        <v/>
      </c>
      <c r="AQ1556">
        <f>IF(IF('01_Вводные'!$B$296="Новый сезон",TRUE,TRUE),'19_Расчет_аналитики'!AQ1444*CapacityAge25*'19_Расчет_аналитики'!$F$1223,0)</f>
        <v/>
      </c>
      <c r="AR1556">
        <f>IF(IF('01_Вводные'!$B$296="Новый сезон",TRUE,TRUE),'19_Расчет_аналитики'!AR1444*CapacityAge25*'19_Расчет_аналитики'!$F$1223,0)</f>
        <v/>
      </c>
      <c r="AS1556">
        <f>IF(IF('01_Вводные'!$B$296="Новый сезон",TRUE,TRUE),'19_Расчет_аналитики'!AS1444*CapacityAge25*'19_Расчет_аналитики'!$F$1223,0)</f>
        <v/>
      </c>
      <c r="AT1556">
        <f>IF(IF('01_Вводные'!$B$296="Новый сезон",TRUE,TRUE),'19_Расчет_аналитики'!AT1444*CapacityAge25*'19_Расчет_аналитики'!$F$1223,0)</f>
        <v/>
      </c>
      <c r="AU1556">
        <f>IF(IF('01_Вводные'!$B$296="Новый сезон",TRUE,TRUE),'19_Расчет_аналитики'!AU1444*CapacityAge25*'19_Расчет_аналитики'!$F$1223,0)</f>
        <v/>
      </c>
      <c r="AV1556">
        <f>IF(IF('01_Вводные'!$B$296="Новый сезон",TRUE,TRUE),'19_Расчет_аналитики'!AV1444*CapacityAge25*'19_Расчет_аналитики'!$F$1223,0)</f>
        <v/>
      </c>
      <c r="AW1556">
        <f>IF(IF('01_Вводные'!$B$296="Новый сезон",TRUE,TRUE),'19_Расчет_аналитики'!AW1444*CapacityAge25*'19_Расчет_аналитики'!$F$1223,0)</f>
        <v/>
      </c>
      <c r="AX1556">
        <f>IF(IF('01_Вводные'!$B$296="Новый сезон",TRUE,TRUE),'19_Расчет_аналитики'!AX1444*CapacityAge25*'19_Расчет_аналитики'!$F$1223,0)</f>
        <v/>
      </c>
      <c r="AY1556">
        <f>IF(IF('01_Вводные'!$B$296="Новый сезон",TRUE,TRUE),'19_Расчет_аналитики'!AY1444*CapacityAge25*'19_Расчет_аналитики'!$F$1223,0)</f>
        <v/>
      </c>
      <c r="AZ1556">
        <f>IF(IF('01_Вводные'!$B$296="Новый сезон",TRUE,TRUE),'19_Расчет_аналитики'!AZ1444*CapacityAge25*'19_Расчет_аналитики'!$F$1223,0)</f>
        <v/>
      </c>
      <c r="BA1556">
        <f>IF(IF('01_Вводные'!$B$296="Новый сезон",TRUE,TRUE),'19_Расчет_аналитики'!BA1444*CapacityAge25*'19_Расчет_аналитики'!$F$1223,0)</f>
        <v/>
      </c>
      <c r="BB1556">
        <f>IF(IF('01_Вводные'!$B$296="Новый сезон",TRUE,TRUE),'19_Расчет_аналитики'!BB1444*CapacityAge25*'19_Расчет_аналитики'!$F$1223,0)</f>
        <v/>
      </c>
      <c r="BC1556">
        <f>IF(IF('01_Вводные'!$B$296="Новый сезон",TRUE,TRUE),'19_Расчет_аналитики'!BC1444*CapacityAge25*'19_Расчет_аналитики'!$F$1223,0)</f>
        <v/>
      </c>
      <c r="BD1556">
        <f>IF(IF('01_Вводные'!$B$296="Новый сезон",TRUE,TRUE),'19_Расчет_аналитики'!BD1444*CapacityAge25*'19_Расчет_аналитики'!$F$1223,0)</f>
        <v/>
      </c>
      <c r="BE1556">
        <f>IF(IF('01_Вводные'!$B$296="Новый сезон",TRUE,TRUE),'19_Расчет_аналитики'!BE1444*CapacityAge25*'19_Расчет_аналитики'!$F$1223,0)</f>
        <v/>
      </c>
      <c r="BF1556">
        <f>IF(IF('01_Вводные'!$B$296="Новый сезон",TRUE,TRUE),'19_Расчет_аналитики'!BF1444*CapacityAge25*'19_Расчет_аналитики'!$F$1223,0)</f>
        <v/>
      </c>
      <c r="BG1556">
        <f>IF(IF('01_Вводные'!$B$296="Новый сезон",TRUE,TRUE),'19_Расчет_аналитики'!BG1444*CapacityAge25*'19_Расчет_аналитики'!$F$1223,0)</f>
        <v/>
      </c>
      <c r="BH1556">
        <f>IF(IF('01_Вводные'!$B$296="Новый сезон",TRUE,TRUE),'19_Расчет_аналитики'!BH1444*CapacityAge25*'19_Расчет_аналитики'!$F$1223,0)</f>
        <v/>
      </c>
      <c r="BI1556">
        <f>IF(IF('01_Вводные'!$B$296="Новый сезон",TRUE,TRUE),'19_Расчет_аналитики'!BI1444*CapacityAge25*'19_Расчет_аналитики'!$F$1223,0)</f>
        <v/>
      </c>
      <c r="BJ1556">
        <f>IF(IF('01_Вводные'!$B$296="Новый сезон",TRUE,TRUE),'19_Расчет_аналитики'!BJ1444*CapacityAge25*'19_Расчет_аналитики'!$F$1223,0)</f>
        <v/>
      </c>
      <c r="BK1556">
        <f>IF(IF('01_Вводные'!$B$296="Новый сезон",TRUE,TRUE),'19_Расчет_аналитики'!BK1444*CapacityAge25*'19_Расчет_аналитики'!$F$1223,0)</f>
        <v/>
      </c>
      <c r="BL1556">
        <f>IF(IF('01_Вводные'!$B$296="Новый сезон",TRUE,TRUE),'19_Расчет_аналитики'!BL1444*CapacityAge25*'19_Расчет_аналитики'!$F$1223,0)</f>
        <v/>
      </c>
      <c r="BM1556">
        <f>IF(IF('01_Вводные'!$B$296="Новый сезон",TRUE,TRUE),'19_Расчет_аналитики'!BM1444*CapacityAge25*'19_Расчет_аналитики'!$F$1223,0)</f>
        <v/>
      </c>
      <c r="BN1556">
        <f>IF(IF('01_Вводные'!$B$296="Новый сезон",TRUE,TRUE),'19_Расчет_аналитики'!BN1444*CapacityAge25*'19_Расчет_аналитики'!$F$1223,0)</f>
        <v/>
      </c>
      <c r="BO1556">
        <f>IF(IF('01_Вводные'!$B$296="Новый сезон",TRUE,TRUE),'19_Расчет_аналитики'!BO1444*CapacityAge25*'19_Расчет_аналитики'!$F$1223,0)</f>
        <v/>
      </c>
    </row>
    <row r="1557"/>
    <row r="1558">
      <c r="B1558">
        <f>SUM('19_Расчет_аналитики'!B1532:B1556)</f>
        <v/>
      </c>
      <c r="C1558">
        <f>SUM('19_Расчет_аналитики'!C1532:C1556)</f>
        <v/>
      </c>
      <c r="D1558">
        <f>SUM('19_Расчет_аналитики'!D1532:D1556)</f>
        <v/>
      </c>
      <c r="E1558">
        <f>SUM('19_Расчет_аналитики'!E1532:E1556)</f>
        <v/>
      </c>
      <c r="F1558">
        <f>SUM('19_Расчет_аналитики'!F1532:F1556)</f>
        <v/>
      </c>
      <c r="G1558">
        <f>SUM('19_Расчет_аналитики'!G1532:G1556)</f>
        <v/>
      </c>
      <c r="H1558">
        <f>SUM('19_Расчет_аналитики'!H1532:H1556)</f>
        <v/>
      </c>
      <c r="I1558">
        <f>SUM('19_Расчет_аналитики'!I1532:I1556)</f>
        <v/>
      </c>
      <c r="J1558">
        <f>SUM('19_Расчет_аналитики'!J1532:J1556)</f>
        <v/>
      </c>
      <c r="K1558">
        <f>SUM('19_Расчет_аналитики'!K1532:K1556)</f>
        <v/>
      </c>
      <c r="L1558">
        <f>SUM('19_Расчет_аналитики'!L1532:L1556)</f>
        <v/>
      </c>
      <c r="M1558">
        <f>SUM('19_Расчет_аналитики'!M1532:M1556)</f>
        <v/>
      </c>
      <c r="N1558">
        <f>SUM('19_Расчет_аналитики'!N1532:N1556)</f>
        <v/>
      </c>
      <c r="O1558">
        <f>SUM('19_Расчет_аналитики'!O1532:O1556)</f>
        <v/>
      </c>
      <c r="P1558">
        <f>SUM('19_Расчет_аналитики'!P1532:P1556)</f>
        <v/>
      </c>
      <c r="Q1558">
        <f>SUM('19_Расчет_аналитики'!Q1532:Q1556)</f>
        <v/>
      </c>
      <c r="R1558">
        <f>SUM('19_Расчет_аналитики'!R1532:R1556)</f>
        <v/>
      </c>
      <c r="S1558">
        <f>SUM('19_Расчет_аналитики'!S1532:S1556)</f>
        <v/>
      </c>
      <c r="T1558">
        <f>SUM('19_Расчет_аналитики'!T1532:T1556)</f>
        <v/>
      </c>
      <c r="U1558">
        <f>SUM('19_Расчет_аналитики'!U1532:U1556)</f>
        <v/>
      </c>
      <c r="V1558">
        <f>SUM('19_Расчет_аналитики'!V1532:V1556)</f>
        <v/>
      </c>
      <c r="W1558">
        <f>SUM('19_Расчет_аналитики'!W1532:W1556)</f>
        <v/>
      </c>
      <c r="X1558">
        <f>SUM('19_Расчет_аналитики'!X1532:X1556)</f>
        <v/>
      </c>
      <c r="Y1558">
        <f>SUM('19_Расчет_аналитики'!Y1532:Y1556)</f>
        <v/>
      </c>
      <c r="Z1558">
        <f>SUM('19_Расчет_аналитики'!Z1532:Z1556)</f>
        <v/>
      </c>
      <c r="AA1558">
        <f>SUM('19_Расчет_аналитики'!AA1532:AA1556)</f>
        <v/>
      </c>
      <c r="AB1558">
        <f>SUM('19_Расчет_аналитики'!AB1532:AB1556)</f>
        <v/>
      </c>
      <c r="AC1558">
        <f>SUM('19_Расчет_аналитики'!AC1532:AC1556)</f>
        <v/>
      </c>
      <c r="AD1558">
        <f>SUM('19_Расчет_аналитики'!AD1532:AD1556)</f>
        <v/>
      </c>
      <c r="AE1558">
        <f>SUM('19_Расчет_аналитики'!AE1532:AE1556)</f>
        <v/>
      </c>
      <c r="AF1558">
        <f>SUM('19_Расчет_аналитики'!AF1532:AF1556)</f>
        <v/>
      </c>
      <c r="AG1558">
        <f>SUM('19_Расчет_аналитики'!AG1532:AG1556)</f>
        <v/>
      </c>
      <c r="AH1558">
        <f>SUM('19_Расчет_аналитики'!AH1532:AH1556)</f>
        <v/>
      </c>
      <c r="AI1558">
        <f>SUM('19_Расчет_аналитики'!AI1532:AI1556)</f>
        <v/>
      </c>
      <c r="AJ1558">
        <f>SUM('19_Расчет_аналитики'!AJ1532:AJ1556)</f>
        <v/>
      </c>
      <c r="AK1558">
        <f>SUM('19_Расчет_аналитики'!AK1532:AK1556)</f>
        <v/>
      </c>
      <c r="AL1558">
        <f>SUM('19_Расчет_аналитики'!AL1532:AL1556)</f>
        <v/>
      </c>
      <c r="AM1558">
        <f>SUM('19_Расчет_аналитики'!AM1532:AM1556)</f>
        <v/>
      </c>
      <c r="AN1558">
        <f>SUM('19_Расчет_аналитики'!AN1532:AN1556)</f>
        <v/>
      </c>
      <c r="AO1558">
        <f>SUM('19_Расчет_аналитики'!AO1532:AO1556)</f>
        <v/>
      </c>
      <c r="AP1558">
        <f>SUM('19_Расчет_аналитики'!AP1532:AP1556)</f>
        <v/>
      </c>
      <c r="AQ1558">
        <f>SUM('19_Расчет_аналитики'!AQ1532:AQ1556)</f>
        <v/>
      </c>
      <c r="AR1558">
        <f>SUM('19_Расчет_аналитики'!AR1532:AR1556)</f>
        <v/>
      </c>
      <c r="AS1558">
        <f>SUM('19_Расчет_аналитики'!AS1532:AS1556)</f>
        <v/>
      </c>
      <c r="AT1558">
        <f>SUM('19_Расчет_аналитики'!AT1532:AT1556)</f>
        <v/>
      </c>
      <c r="AU1558">
        <f>SUM('19_Расчет_аналитики'!AU1532:AU1556)</f>
        <v/>
      </c>
      <c r="AV1558">
        <f>SUM('19_Расчет_аналитики'!AV1532:AV1556)</f>
        <v/>
      </c>
      <c r="AW1558">
        <f>SUM('19_Расчет_аналитики'!AW1532:AW1556)</f>
        <v/>
      </c>
      <c r="AX1558">
        <f>SUM('19_Расчет_аналитики'!AX1532:AX1556)</f>
        <v/>
      </c>
      <c r="AY1558">
        <f>SUM('19_Расчет_аналитики'!AY1532:AY1556)</f>
        <v/>
      </c>
      <c r="AZ1558">
        <f>SUM('19_Расчет_аналитики'!AZ1532:AZ1556)</f>
        <v/>
      </c>
      <c r="BA1558">
        <f>SUM('19_Расчет_аналитики'!BA1532:BA1556)</f>
        <v/>
      </c>
      <c r="BB1558">
        <f>SUM('19_Расчет_аналитики'!BB1532:BB1556)</f>
        <v/>
      </c>
      <c r="BC1558">
        <f>SUM('19_Расчет_аналитики'!BC1532:BC1556)</f>
        <v/>
      </c>
      <c r="BD1558">
        <f>SUM('19_Расчет_аналитики'!BD1532:BD1556)</f>
        <v/>
      </c>
      <c r="BE1558">
        <f>SUM('19_Расчет_аналитики'!BE1532:BE1556)</f>
        <v/>
      </c>
      <c r="BF1558">
        <f>SUM('19_Расчет_аналитики'!BF1532:BF1556)</f>
        <v/>
      </c>
      <c r="BG1558">
        <f>SUM('19_Расчет_аналитики'!BG1532:BG1556)</f>
        <v/>
      </c>
      <c r="BH1558">
        <f>SUM('19_Расчет_аналитики'!BH1532:BH1556)</f>
        <v/>
      </c>
      <c r="BI1558">
        <f>SUM('19_Расчет_аналитики'!BI1532:BI1556)</f>
        <v/>
      </c>
      <c r="BJ1558">
        <f>SUM('19_Расчет_аналитики'!BJ1532:BJ1556)</f>
        <v/>
      </c>
      <c r="BK1558">
        <f>SUM('19_Расчет_аналитики'!BK1532:BK1556)</f>
        <v/>
      </c>
      <c r="BL1558">
        <f>SUM('19_Расчет_аналитики'!BL1532:BL1556)</f>
        <v/>
      </c>
      <c r="BM1558">
        <f>SUM('19_Расчет_аналитики'!BM1532:BM1556)</f>
        <v/>
      </c>
      <c r="BN1558">
        <f>SUM('19_Расчет_аналитики'!BN1532:BN1556)</f>
        <v/>
      </c>
      <c r="BO1558">
        <f>SUM('19_Расчет_аналитики'!BO1532:BO1556)</f>
        <v/>
      </c>
    </row>
    <row r="1559"/>
    <row r="1560"/>
    <row r="1561"/>
    <row r="1562"/>
    <row r="1563"/>
    <row r="1564"/>
    <row r="1565"/>
    <row r="1566"/>
    <row r="1567"/>
    <row r="1568"/>
    <row r="1569">
      <c r="B1569">
        <f>'06_Сеть_и_дети'!B5*'19_Расчет_аналитики'!$F$1223*'19_Расчет_аналитики'!$F$1224*'18_Календарь_тарифы'!B4</f>
        <v/>
      </c>
      <c r="C1569">
        <f>'06_Сеть_и_дети'!C5*'19_Расчет_аналитики'!$F$1223*'19_Расчет_аналитики'!$F$1224*'18_Календарь_тарифы'!C4</f>
        <v/>
      </c>
      <c r="D1569">
        <f>'06_Сеть_и_дети'!D5*'19_Расчет_аналитики'!$F$1223*'19_Расчет_аналитики'!$F$1224*'18_Календарь_тарифы'!D4</f>
        <v/>
      </c>
      <c r="E1569">
        <f>'06_Сеть_и_дети'!E5*'19_Расчет_аналитики'!$F$1223*'19_Расчет_аналитики'!$F$1224*'18_Календарь_тарифы'!E4</f>
        <v/>
      </c>
      <c r="F1569">
        <f>'06_Сеть_и_дети'!F5*'19_Расчет_аналитики'!$F$1223*'19_Расчет_аналитики'!$F$1224*'18_Календарь_тарифы'!F4</f>
        <v/>
      </c>
      <c r="G1569">
        <f>'06_Сеть_и_дети'!G5*'19_Расчет_аналитики'!$F$1223*'19_Расчет_аналитики'!$F$1224*'18_Календарь_тарифы'!G4</f>
        <v/>
      </c>
      <c r="H1569">
        <f>'06_Сеть_и_дети'!H5*'19_Расчет_аналитики'!$F$1223*'19_Расчет_аналитики'!$F$1224*'18_Календарь_тарифы'!H4</f>
        <v/>
      </c>
      <c r="I1569">
        <f>'06_Сеть_и_дети'!I5*'19_Расчет_аналитики'!$F$1223*'19_Расчет_аналитики'!$F$1224*'18_Календарь_тарифы'!I4</f>
        <v/>
      </c>
      <c r="J1569">
        <f>'06_Сеть_и_дети'!J5*'19_Расчет_аналитики'!$F$1223*'19_Расчет_аналитики'!$F$1224*'18_Календарь_тарифы'!J4</f>
        <v/>
      </c>
      <c r="K1569">
        <f>'06_Сеть_и_дети'!K5*'19_Расчет_аналитики'!$F$1223*'19_Расчет_аналитики'!$F$1224*'18_Календарь_тарифы'!K4</f>
        <v/>
      </c>
      <c r="L1569">
        <f>'06_Сеть_и_дети'!L5*'19_Расчет_аналитики'!$F$1223*'19_Расчет_аналитики'!$F$1224*'18_Календарь_тарифы'!L4</f>
        <v/>
      </c>
      <c r="M1569">
        <f>'06_Сеть_и_дети'!M5*'19_Расчет_аналитики'!$F$1223*'19_Расчет_аналитики'!$F$1224*'18_Календарь_тарифы'!M4</f>
        <v/>
      </c>
      <c r="N1569">
        <f>'06_Сеть_и_дети'!N5*'19_Расчет_аналитики'!$F$1223*'19_Расчет_аналитики'!$F$1224*'18_Календарь_тарифы'!N4</f>
        <v/>
      </c>
      <c r="O1569">
        <f>'06_Сеть_и_дети'!O5*'19_Расчет_аналитики'!$F$1223*'19_Расчет_аналитики'!$F$1224*'18_Календарь_тарифы'!O4</f>
        <v/>
      </c>
      <c r="P1569">
        <f>'06_Сеть_и_дети'!P5*'19_Расчет_аналитики'!$F$1223*'19_Расчет_аналитики'!$F$1224*'18_Календарь_тарифы'!P4</f>
        <v/>
      </c>
      <c r="Q1569">
        <f>'06_Сеть_и_дети'!Q5*'19_Расчет_аналитики'!$F$1223*'19_Расчет_аналитики'!$F$1224*'18_Календарь_тарифы'!Q4</f>
        <v/>
      </c>
      <c r="R1569">
        <f>'06_Сеть_и_дети'!R5*'19_Расчет_аналитики'!$F$1223*'19_Расчет_аналитики'!$F$1224*'18_Календарь_тарифы'!R4</f>
        <v/>
      </c>
      <c r="S1569">
        <f>'06_Сеть_и_дети'!S5*'19_Расчет_аналитики'!$F$1223*'19_Расчет_аналитики'!$F$1224*'18_Календарь_тарифы'!S4</f>
        <v/>
      </c>
      <c r="T1569">
        <f>'06_Сеть_и_дети'!T5*'19_Расчет_аналитики'!$F$1223*'19_Расчет_аналитики'!$F$1224*'18_Календарь_тарифы'!T4</f>
        <v/>
      </c>
      <c r="U1569">
        <f>'06_Сеть_и_дети'!U5*'19_Расчет_аналитики'!$F$1223*'19_Расчет_аналитики'!$F$1224*'18_Календарь_тарифы'!U4</f>
        <v/>
      </c>
      <c r="V1569">
        <f>'06_Сеть_и_дети'!V5*'19_Расчет_аналитики'!$F$1223*'19_Расчет_аналитики'!$F$1224*'18_Календарь_тарифы'!V4</f>
        <v/>
      </c>
      <c r="W1569">
        <f>'06_Сеть_и_дети'!W5*'19_Расчет_аналитики'!$F$1223*'19_Расчет_аналитики'!$F$1224*'18_Календарь_тарифы'!W4</f>
        <v/>
      </c>
      <c r="X1569">
        <f>'06_Сеть_и_дети'!X5*'19_Расчет_аналитики'!$F$1223*'19_Расчет_аналитики'!$F$1224*'18_Календарь_тарифы'!X4</f>
        <v/>
      </c>
      <c r="Y1569">
        <f>'06_Сеть_и_дети'!Y5*'19_Расчет_аналитики'!$F$1223*'19_Расчет_аналитики'!$F$1224*'18_Календарь_тарифы'!Y4</f>
        <v/>
      </c>
      <c r="Z1569">
        <f>'06_Сеть_и_дети'!Z5*'19_Расчет_аналитики'!$F$1223*'19_Расчет_аналитики'!$F$1224*'18_Календарь_тарифы'!Z4</f>
        <v/>
      </c>
      <c r="AA1569">
        <f>'06_Сеть_и_дети'!AA5*'19_Расчет_аналитики'!$F$1223*'19_Расчет_аналитики'!$F$1224*'18_Календарь_тарифы'!AA4</f>
        <v/>
      </c>
      <c r="AB1569">
        <f>'06_Сеть_и_дети'!AB5*'19_Расчет_аналитики'!$F$1223*'19_Расчет_аналитики'!$F$1224*'18_Календарь_тарифы'!AB4</f>
        <v/>
      </c>
      <c r="AC1569">
        <f>'06_Сеть_и_дети'!AC5*'19_Расчет_аналитики'!$F$1223*'19_Расчет_аналитики'!$F$1224*'18_Календарь_тарифы'!AC4</f>
        <v/>
      </c>
      <c r="AD1569">
        <f>'06_Сеть_и_дети'!AD5*'19_Расчет_аналитики'!$F$1223*'19_Расчет_аналитики'!$F$1224*'18_Календарь_тарифы'!AD4</f>
        <v/>
      </c>
      <c r="AE1569">
        <f>'06_Сеть_и_дети'!AE5*'19_Расчет_аналитики'!$F$1223*'19_Расчет_аналитики'!$F$1224*'18_Календарь_тарифы'!AE4</f>
        <v/>
      </c>
      <c r="AF1569">
        <f>'06_Сеть_и_дети'!AF5*'19_Расчет_аналитики'!$F$1223*'19_Расчет_аналитики'!$F$1224*'18_Календарь_тарифы'!AF4</f>
        <v/>
      </c>
      <c r="AG1569">
        <f>'06_Сеть_и_дети'!AG5*'19_Расчет_аналитики'!$F$1223*'19_Расчет_аналитики'!$F$1224*'18_Календарь_тарифы'!AG4</f>
        <v/>
      </c>
      <c r="AH1569">
        <f>'06_Сеть_и_дети'!AH5*'19_Расчет_аналитики'!$F$1223*'19_Расчет_аналитики'!$F$1224*'18_Календарь_тарифы'!AH4</f>
        <v/>
      </c>
      <c r="AI1569">
        <f>'06_Сеть_и_дети'!AI5*'19_Расчет_аналитики'!$F$1223*'19_Расчет_аналитики'!$F$1224*'18_Календарь_тарифы'!AI4</f>
        <v/>
      </c>
      <c r="AJ1569">
        <f>'06_Сеть_и_дети'!AJ5*'19_Расчет_аналитики'!$F$1223*'19_Расчет_аналитики'!$F$1224*'18_Календарь_тарифы'!AJ4</f>
        <v/>
      </c>
      <c r="AK1569">
        <f>'06_Сеть_и_дети'!AK5*'19_Расчет_аналитики'!$F$1223*'19_Расчет_аналитики'!$F$1224*'18_Календарь_тарифы'!AK4</f>
        <v/>
      </c>
      <c r="AL1569">
        <f>'06_Сеть_и_дети'!AL5*'19_Расчет_аналитики'!$F$1223*'19_Расчет_аналитики'!$F$1224*'18_Календарь_тарифы'!AL4</f>
        <v/>
      </c>
      <c r="AM1569">
        <f>'06_Сеть_и_дети'!AM5*'19_Расчет_аналитики'!$F$1223*'19_Расчет_аналитики'!$F$1224*'18_Календарь_тарифы'!AM4</f>
        <v/>
      </c>
      <c r="AN1569">
        <f>'06_Сеть_и_дети'!AN5*'19_Расчет_аналитики'!$F$1223*'19_Расчет_аналитики'!$F$1224*'18_Календарь_тарифы'!AN4</f>
        <v/>
      </c>
      <c r="AO1569">
        <f>'06_Сеть_и_дети'!AO5*'19_Расчет_аналитики'!$F$1223*'19_Расчет_аналитики'!$F$1224*'18_Календарь_тарифы'!AO4</f>
        <v/>
      </c>
      <c r="AP1569">
        <f>'06_Сеть_и_дети'!AP5*'19_Расчет_аналитики'!$F$1223*'19_Расчет_аналитики'!$F$1224*'18_Календарь_тарифы'!AP4</f>
        <v/>
      </c>
      <c r="AQ1569">
        <f>'06_Сеть_и_дети'!AQ5*'19_Расчет_аналитики'!$F$1223*'19_Расчет_аналитики'!$F$1224*'18_Календарь_тарифы'!AQ4</f>
        <v/>
      </c>
      <c r="AR1569">
        <f>'06_Сеть_и_дети'!AR5*'19_Расчет_аналитики'!$F$1223*'19_Расчет_аналитики'!$F$1224*'18_Календарь_тарифы'!AR4</f>
        <v/>
      </c>
      <c r="AS1569">
        <f>'06_Сеть_и_дети'!AS5*'19_Расчет_аналитики'!$F$1223*'19_Расчет_аналитики'!$F$1224*'18_Календарь_тарифы'!AS4</f>
        <v/>
      </c>
      <c r="AT1569">
        <f>'06_Сеть_и_дети'!AT5*'19_Расчет_аналитики'!$F$1223*'19_Расчет_аналитики'!$F$1224*'18_Календарь_тарифы'!AT4</f>
        <v/>
      </c>
      <c r="AU1569">
        <f>'06_Сеть_и_дети'!AU5*'19_Расчет_аналитики'!$F$1223*'19_Расчет_аналитики'!$F$1224*'18_Календарь_тарифы'!AU4</f>
        <v/>
      </c>
      <c r="AV1569">
        <f>'06_Сеть_и_дети'!AV5*'19_Расчет_аналитики'!$F$1223*'19_Расчет_аналитики'!$F$1224*'18_Календарь_тарифы'!AV4</f>
        <v/>
      </c>
      <c r="AW1569">
        <f>'06_Сеть_и_дети'!AW5*'19_Расчет_аналитики'!$F$1223*'19_Расчет_аналитики'!$F$1224*'18_Календарь_тарифы'!AW4</f>
        <v/>
      </c>
      <c r="AX1569">
        <f>'06_Сеть_и_дети'!AX5*'19_Расчет_аналитики'!$F$1223*'19_Расчет_аналитики'!$F$1224*'18_Календарь_тарифы'!AX4</f>
        <v/>
      </c>
      <c r="AY1569">
        <f>'06_Сеть_и_дети'!AY5*'19_Расчет_аналитики'!$F$1223*'19_Расчет_аналитики'!$F$1224*'18_Календарь_тарифы'!AY4</f>
        <v/>
      </c>
      <c r="AZ1569">
        <f>'06_Сеть_и_дети'!AZ5*'19_Расчет_аналитики'!$F$1223*'19_Расчет_аналитики'!$F$1224*'18_Календарь_тарифы'!AZ4</f>
        <v/>
      </c>
      <c r="BA1569">
        <f>'06_Сеть_и_дети'!BA5*'19_Расчет_аналитики'!$F$1223*'19_Расчет_аналитики'!$F$1224*'18_Календарь_тарифы'!BA4</f>
        <v/>
      </c>
      <c r="BB1569">
        <f>'06_Сеть_и_дети'!BB5*'19_Расчет_аналитики'!$F$1223*'19_Расчет_аналитики'!$F$1224*'18_Календарь_тарифы'!BB4</f>
        <v/>
      </c>
      <c r="BC1569">
        <f>'06_Сеть_и_дети'!BC5*'19_Расчет_аналитики'!$F$1223*'19_Расчет_аналитики'!$F$1224*'18_Календарь_тарифы'!BC4</f>
        <v/>
      </c>
      <c r="BD1569">
        <f>'06_Сеть_и_дети'!BD5*'19_Расчет_аналитики'!$F$1223*'19_Расчет_аналитики'!$F$1224*'18_Календарь_тарифы'!BD4</f>
        <v/>
      </c>
      <c r="BE1569">
        <f>'06_Сеть_и_дети'!BE5*'19_Расчет_аналитики'!$F$1223*'19_Расчет_аналитики'!$F$1224*'18_Календарь_тарифы'!BE4</f>
        <v/>
      </c>
      <c r="BF1569">
        <f>'06_Сеть_и_дети'!BF5*'19_Расчет_аналитики'!$F$1223*'19_Расчет_аналитики'!$F$1224*'18_Календарь_тарифы'!BF4</f>
        <v/>
      </c>
      <c r="BG1569">
        <f>'06_Сеть_и_дети'!BG5*'19_Расчет_аналитики'!$F$1223*'19_Расчет_аналитики'!$F$1224*'18_Календарь_тарифы'!BG4</f>
        <v/>
      </c>
      <c r="BH1569">
        <f>'06_Сеть_и_дети'!BH5*'19_Расчет_аналитики'!$F$1223*'19_Расчет_аналитики'!$F$1224*'18_Календарь_тарифы'!BH4</f>
        <v/>
      </c>
      <c r="BI1569">
        <f>'06_Сеть_и_дети'!BI5*'19_Расчет_аналитики'!$F$1223*'19_Расчет_аналитики'!$F$1224*'18_Календарь_тарифы'!BI4</f>
        <v/>
      </c>
      <c r="BJ1569">
        <f>'06_Сеть_и_дети'!BJ5*'19_Расчет_аналитики'!$F$1223*'19_Расчет_аналитики'!$F$1224*'18_Календарь_тарифы'!BJ4</f>
        <v/>
      </c>
      <c r="BK1569">
        <f>'06_Сеть_и_дети'!BK5*'19_Расчет_аналитики'!$F$1223*'19_Расчет_аналитики'!$F$1224*'18_Календарь_тарифы'!BK4</f>
        <v/>
      </c>
      <c r="BL1569">
        <f>'06_Сеть_и_дети'!BL5*'19_Расчет_аналитики'!$F$1223*'19_Расчет_аналитики'!$F$1224*'18_Календарь_тарифы'!BL4</f>
        <v/>
      </c>
      <c r="BM1569">
        <f>'06_Сеть_и_дети'!BM5*'19_Расчет_аналитики'!$F$1223*'19_Расчет_аналитики'!$F$1224*'18_Календарь_тарифы'!BM4</f>
        <v/>
      </c>
      <c r="BN1569">
        <f>'06_Сеть_и_дети'!BN5*'19_Расчет_аналитики'!$F$1223*'19_Расчет_аналитики'!$F$1224*'18_Календарь_тарифы'!BN4</f>
        <v/>
      </c>
      <c r="BO1569">
        <f>'06_Сеть_и_дети'!BO5*'19_Расчет_аналитики'!$F$1223*'19_Расчет_аналитики'!$F$1224*'18_Календарь_тарифы'!BO4</f>
        <v/>
      </c>
    </row>
    <row r="1570"/>
    <row r="1571">
      <c r="B1571">
        <f>'19_Расчет_аналитики'!B1569*IF('06_Сеть_и_дети'!B$3&gt;='01_Вводные'!$B$245,'01_Вводные'!$B$57,'01_Вводные'!$B$55)</f>
        <v/>
      </c>
      <c r="C1571">
        <f>'19_Расчет_аналитики'!C1569*IF('06_Сеть_и_дети'!C$3&gt;='01_Вводные'!$B$245,'01_Вводные'!$B$57,'01_Вводные'!$B$55)</f>
        <v/>
      </c>
      <c r="D1571">
        <f>'19_Расчет_аналитики'!D1569*IF('06_Сеть_и_дети'!D$3&gt;='01_Вводные'!$B$245,'01_Вводные'!$B$57,'01_Вводные'!$B$55)</f>
        <v/>
      </c>
      <c r="E1571">
        <f>'19_Расчет_аналитики'!E1569*IF('06_Сеть_и_дети'!E$3&gt;='01_Вводные'!$B$245,'01_Вводные'!$B$57,'01_Вводные'!$B$55)</f>
        <v/>
      </c>
      <c r="F1571">
        <f>'19_Расчет_аналитики'!F1569*IF('06_Сеть_и_дети'!F$3&gt;='01_Вводные'!$B$245,'01_Вводные'!$B$57,'01_Вводные'!$B$55)</f>
        <v/>
      </c>
      <c r="G1571">
        <f>'19_Расчет_аналитики'!G1569*IF('06_Сеть_и_дети'!G$3&gt;='01_Вводные'!$B$245,'01_Вводные'!$B$57,'01_Вводные'!$B$55)</f>
        <v/>
      </c>
      <c r="H1571">
        <f>'19_Расчет_аналитики'!H1569*IF('06_Сеть_и_дети'!H$3&gt;='01_Вводные'!$B$245,'01_Вводные'!$B$57,'01_Вводные'!$B$55)</f>
        <v/>
      </c>
      <c r="I1571">
        <f>'19_Расчет_аналитики'!I1569*IF('06_Сеть_и_дети'!I$3&gt;='01_Вводные'!$B$245,'01_Вводные'!$B$57,'01_Вводные'!$B$55)</f>
        <v/>
      </c>
      <c r="J1571">
        <f>'19_Расчет_аналитики'!J1569*IF('06_Сеть_и_дети'!J$3&gt;='01_Вводные'!$B$245,'01_Вводные'!$B$57,'01_Вводные'!$B$55)</f>
        <v/>
      </c>
      <c r="K1571">
        <f>'19_Расчет_аналитики'!K1569*IF('06_Сеть_и_дети'!K$3&gt;='01_Вводные'!$B$245,'01_Вводные'!$B$57,'01_Вводные'!$B$55)</f>
        <v/>
      </c>
      <c r="L1571">
        <f>'19_Расчет_аналитики'!L1569*IF('06_Сеть_и_дети'!L$3&gt;='01_Вводные'!$B$245,'01_Вводные'!$B$57,'01_Вводные'!$B$55)</f>
        <v/>
      </c>
      <c r="M1571">
        <f>'19_Расчет_аналитики'!M1569*IF('06_Сеть_и_дети'!M$3&gt;='01_Вводные'!$B$245,'01_Вводные'!$B$57,'01_Вводные'!$B$55)</f>
        <v/>
      </c>
      <c r="N1571">
        <f>'19_Расчет_аналитики'!N1569*IF('06_Сеть_и_дети'!N$3&gt;='01_Вводные'!$B$245,'01_Вводные'!$B$57,'01_Вводные'!$B$55)</f>
        <v/>
      </c>
      <c r="O1571">
        <f>'19_Расчет_аналитики'!O1569*IF('06_Сеть_и_дети'!O$3&gt;='01_Вводные'!$B$245,'01_Вводные'!$B$57,'01_Вводные'!$B$55)</f>
        <v/>
      </c>
      <c r="P1571">
        <f>'19_Расчет_аналитики'!P1569*IF('06_Сеть_и_дети'!P$3&gt;='01_Вводные'!$B$245,'01_Вводные'!$B$57,'01_Вводные'!$B$55)</f>
        <v/>
      </c>
      <c r="Q1571">
        <f>'19_Расчет_аналитики'!Q1569*IF('06_Сеть_и_дети'!Q$3&gt;='01_Вводные'!$B$245,'01_Вводные'!$B$57,'01_Вводные'!$B$55)</f>
        <v/>
      </c>
      <c r="R1571">
        <f>'19_Расчет_аналитики'!R1569*IF('06_Сеть_и_дети'!R$3&gt;='01_Вводные'!$B$245,'01_Вводные'!$B$57,'01_Вводные'!$B$55)</f>
        <v/>
      </c>
      <c r="S1571">
        <f>'19_Расчет_аналитики'!S1569*IF('06_Сеть_и_дети'!S$3&gt;='01_Вводные'!$B$245,'01_Вводные'!$B$57,'01_Вводные'!$B$55)</f>
        <v/>
      </c>
      <c r="T1571">
        <f>'19_Расчет_аналитики'!T1569*IF('06_Сеть_и_дети'!T$3&gt;='01_Вводные'!$B$245,'01_Вводные'!$B$57,'01_Вводные'!$B$55)</f>
        <v/>
      </c>
      <c r="U1571">
        <f>'19_Расчет_аналитики'!U1569*IF('06_Сеть_и_дети'!U$3&gt;='01_Вводные'!$B$245,'01_Вводные'!$B$57,'01_Вводные'!$B$55)</f>
        <v/>
      </c>
      <c r="V1571">
        <f>'19_Расчет_аналитики'!V1569*IF('06_Сеть_и_дети'!V$3&gt;='01_Вводные'!$B$245,'01_Вводные'!$B$57,'01_Вводные'!$B$55)</f>
        <v/>
      </c>
      <c r="W1571">
        <f>'19_Расчет_аналитики'!W1569*IF('06_Сеть_и_дети'!W$3&gt;='01_Вводные'!$B$245,'01_Вводные'!$B$57,'01_Вводные'!$B$55)</f>
        <v/>
      </c>
      <c r="X1571">
        <f>'19_Расчет_аналитики'!X1569*IF('06_Сеть_и_дети'!X$3&gt;='01_Вводные'!$B$245,'01_Вводные'!$B$57,'01_Вводные'!$B$55)</f>
        <v/>
      </c>
      <c r="Y1571">
        <f>'19_Расчет_аналитики'!Y1569*IF('06_Сеть_и_дети'!Y$3&gt;='01_Вводные'!$B$245,'01_Вводные'!$B$57,'01_Вводные'!$B$55)</f>
        <v/>
      </c>
      <c r="Z1571">
        <f>'19_Расчет_аналитики'!Z1569*IF('06_Сеть_и_дети'!Z$3&gt;='01_Вводные'!$B$245,'01_Вводные'!$B$57,'01_Вводные'!$B$55)</f>
        <v/>
      </c>
      <c r="AA1571">
        <f>'19_Расчет_аналитики'!AA1569*IF('06_Сеть_и_дети'!AA$3&gt;='01_Вводные'!$B$245,'01_Вводные'!$B$57,'01_Вводные'!$B$55)</f>
        <v/>
      </c>
      <c r="AB1571">
        <f>'19_Расчет_аналитики'!AB1569*IF('06_Сеть_и_дети'!AB$3&gt;='01_Вводные'!$B$245,'01_Вводные'!$B$57,'01_Вводные'!$B$55)</f>
        <v/>
      </c>
      <c r="AC1571">
        <f>'19_Расчет_аналитики'!AC1569*IF('06_Сеть_и_дети'!AC$3&gt;='01_Вводные'!$B$245,'01_Вводные'!$B$57,'01_Вводные'!$B$55)</f>
        <v/>
      </c>
      <c r="AD1571">
        <f>'19_Расчет_аналитики'!AD1569*IF('06_Сеть_и_дети'!AD$3&gt;='01_Вводные'!$B$245,'01_Вводные'!$B$57,'01_Вводные'!$B$55)</f>
        <v/>
      </c>
      <c r="AE1571">
        <f>'19_Расчет_аналитики'!AE1569*IF('06_Сеть_и_дети'!AE$3&gt;='01_Вводные'!$B$245,'01_Вводные'!$B$57,'01_Вводные'!$B$55)</f>
        <v/>
      </c>
      <c r="AF1571">
        <f>'19_Расчет_аналитики'!AF1569*IF('06_Сеть_и_дети'!AF$3&gt;='01_Вводные'!$B$245,'01_Вводные'!$B$57,'01_Вводные'!$B$55)</f>
        <v/>
      </c>
      <c r="AG1571">
        <f>'19_Расчет_аналитики'!AG1569*IF('06_Сеть_и_дети'!AG$3&gt;='01_Вводные'!$B$245,'01_Вводные'!$B$57,'01_Вводные'!$B$55)</f>
        <v/>
      </c>
      <c r="AH1571">
        <f>'19_Расчет_аналитики'!AH1569*IF('06_Сеть_и_дети'!AH$3&gt;='01_Вводные'!$B$245,'01_Вводные'!$B$57,'01_Вводные'!$B$55)</f>
        <v/>
      </c>
      <c r="AI1571">
        <f>'19_Расчет_аналитики'!AI1569*IF('06_Сеть_и_дети'!AI$3&gt;='01_Вводные'!$B$245,'01_Вводные'!$B$57,'01_Вводные'!$B$55)</f>
        <v/>
      </c>
      <c r="AJ1571">
        <f>'19_Расчет_аналитики'!AJ1569*IF('06_Сеть_и_дети'!AJ$3&gt;='01_Вводные'!$B$245,'01_Вводные'!$B$57,'01_Вводные'!$B$55)</f>
        <v/>
      </c>
      <c r="AK1571">
        <f>'19_Расчет_аналитики'!AK1569*IF('06_Сеть_и_дети'!AK$3&gt;='01_Вводные'!$B$245,'01_Вводные'!$B$57,'01_Вводные'!$B$55)</f>
        <v/>
      </c>
      <c r="AL1571">
        <f>'19_Расчет_аналитики'!AL1569*IF('06_Сеть_и_дети'!AL$3&gt;='01_Вводные'!$B$245,'01_Вводные'!$B$57,'01_Вводные'!$B$55)</f>
        <v/>
      </c>
      <c r="AM1571">
        <f>'19_Расчет_аналитики'!AM1569*IF('06_Сеть_и_дети'!AM$3&gt;='01_Вводные'!$B$245,'01_Вводные'!$B$57,'01_Вводные'!$B$55)</f>
        <v/>
      </c>
      <c r="AN1571">
        <f>'19_Расчет_аналитики'!AN1569*IF('06_Сеть_и_дети'!AN$3&gt;='01_Вводные'!$B$245,'01_Вводные'!$B$57,'01_Вводные'!$B$55)</f>
        <v/>
      </c>
      <c r="AO1571">
        <f>'19_Расчет_аналитики'!AO1569*IF('06_Сеть_и_дети'!AO$3&gt;='01_Вводные'!$B$245,'01_Вводные'!$B$57,'01_Вводные'!$B$55)</f>
        <v/>
      </c>
      <c r="AP1571">
        <f>'19_Расчет_аналитики'!AP1569*IF('06_Сеть_и_дети'!AP$3&gt;='01_Вводные'!$B$245,'01_Вводные'!$B$57,'01_Вводные'!$B$55)</f>
        <v/>
      </c>
      <c r="AQ1571">
        <f>'19_Расчет_аналитики'!AQ1569*IF('06_Сеть_и_дети'!AQ$3&gt;='01_Вводные'!$B$245,'01_Вводные'!$B$57,'01_Вводные'!$B$55)</f>
        <v/>
      </c>
      <c r="AR1571">
        <f>'19_Расчет_аналитики'!AR1569*IF('06_Сеть_и_дети'!AR$3&gt;='01_Вводные'!$B$245,'01_Вводные'!$B$57,'01_Вводные'!$B$55)</f>
        <v/>
      </c>
      <c r="AS1571">
        <f>'19_Расчет_аналитики'!AS1569*IF('06_Сеть_и_дети'!AS$3&gt;='01_Вводные'!$B$245,'01_Вводные'!$B$57,'01_Вводные'!$B$55)</f>
        <v/>
      </c>
      <c r="AT1571">
        <f>'19_Расчет_аналитики'!AT1569*IF('06_Сеть_и_дети'!AT$3&gt;='01_Вводные'!$B$245,'01_Вводные'!$B$57,'01_Вводные'!$B$55)</f>
        <v/>
      </c>
      <c r="AU1571">
        <f>'19_Расчет_аналитики'!AU1569*IF('06_Сеть_и_дети'!AU$3&gt;='01_Вводные'!$B$245,'01_Вводные'!$B$57,'01_Вводные'!$B$55)</f>
        <v/>
      </c>
      <c r="AV1571">
        <f>'19_Расчет_аналитики'!AV1569*IF('06_Сеть_и_дети'!AV$3&gt;='01_Вводные'!$B$245,'01_Вводные'!$B$57,'01_Вводные'!$B$55)</f>
        <v/>
      </c>
      <c r="AW1571">
        <f>'19_Расчет_аналитики'!AW1569*IF('06_Сеть_и_дети'!AW$3&gt;='01_Вводные'!$B$245,'01_Вводные'!$B$57,'01_Вводные'!$B$55)</f>
        <v/>
      </c>
      <c r="AX1571">
        <f>'19_Расчет_аналитики'!AX1569*IF('06_Сеть_и_дети'!AX$3&gt;='01_Вводные'!$B$245,'01_Вводные'!$B$57,'01_Вводные'!$B$55)</f>
        <v/>
      </c>
      <c r="AY1571">
        <f>'19_Расчет_аналитики'!AY1569*IF('06_Сеть_и_дети'!AY$3&gt;='01_Вводные'!$B$245,'01_Вводные'!$B$57,'01_Вводные'!$B$55)</f>
        <v/>
      </c>
      <c r="AZ1571">
        <f>'19_Расчет_аналитики'!AZ1569*IF('06_Сеть_и_дети'!AZ$3&gt;='01_Вводные'!$B$245,'01_Вводные'!$B$57,'01_Вводные'!$B$55)</f>
        <v/>
      </c>
      <c r="BA1571">
        <f>'19_Расчет_аналитики'!BA1569*IF('06_Сеть_и_дети'!BA$3&gt;='01_Вводные'!$B$245,'01_Вводные'!$B$57,'01_Вводные'!$B$55)</f>
        <v/>
      </c>
      <c r="BB1571">
        <f>'19_Расчет_аналитики'!BB1569*IF('06_Сеть_и_дети'!BB$3&gt;='01_Вводные'!$B$245,'01_Вводные'!$B$57,'01_Вводные'!$B$55)</f>
        <v/>
      </c>
      <c r="BC1571">
        <f>'19_Расчет_аналитики'!BC1569*IF('06_Сеть_и_дети'!BC$3&gt;='01_Вводные'!$B$245,'01_Вводные'!$B$57,'01_Вводные'!$B$55)</f>
        <v/>
      </c>
      <c r="BD1571">
        <f>'19_Расчет_аналитики'!BD1569*IF('06_Сеть_и_дети'!BD$3&gt;='01_Вводные'!$B$245,'01_Вводные'!$B$57,'01_Вводные'!$B$55)</f>
        <v/>
      </c>
      <c r="BE1571">
        <f>'19_Расчет_аналитики'!BE1569*IF('06_Сеть_и_дети'!BE$3&gt;='01_Вводные'!$B$245,'01_Вводные'!$B$57,'01_Вводные'!$B$55)</f>
        <v/>
      </c>
      <c r="BF1571">
        <f>'19_Расчет_аналитики'!BF1569*IF('06_Сеть_и_дети'!BF$3&gt;='01_Вводные'!$B$245,'01_Вводные'!$B$57,'01_Вводные'!$B$55)</f>
        <v/>
      </c>
      <c r="BG1571">
        <f>'19_Расчет_аналитики'!BG1569*IF('06_Сеть_и_дети'!BG$3&gt;='01_Вводные'!$B$245,'01_Вводные'!$B$57,'01_Вводные'!$B$55)</f>
        <v/>
      </c>
      <c r="BH1571">
        <f>'19_Расчет_аналитики'!BH1569*IF('06_Сеть_и_дети'!BH$3&gt;='01_Вводные'!$B$245,'01_Вводные'!$B$57,'01_Вводные'!$B$55)</f>
        <v/>
      </c>
      <c r="BI1571">
        <f>'19_Расчет_аналитики'!BI1569*IF('06_Сеть_и_дети'!BI$3&gt;='01_Вводные'!$B$245,'01_Вводные'!$B$57,'01_Вводные'!$B$55)</f>
        <v/>
      </c>
      <c r="BJ1571">
        <f>'19_Расчет_аналитики'!BJ1569*IF('06_Сеть_и_дети'!BJ$3&gt;='01_Вводные'!$B$245,'01_Вводные'!$B$57,'01_Вводные'!$B$55)</f>
        <v/>
      </c>
      <c r="BK1571">
        <f>'19_Расчет_аналитики'!BK1569*IF('06_Сеть_и_дети'!BK$3&gt;='01_Вводные'!$B$245,'01_Вводные'!$B$57,'01_Вводные'!$B$55)</f>
        <v/>
      </c>
      <c r="BL1571">
        <f>'19_Расчет_аналитики'!BL1569*IF('06_Сеть_и_дети'!BL$3&gt;='01_Вводные'!$B$245,'01_Вводные'!$B$57,'01_Вводные'!$B$55)</f>
        <v/>
      </c>
      <c r="BM1571">
        <f>'19_Расчет_аналитики'!BM1569*IF('06_Сеть_и_дети'!BM$3&gt;='01_Вводные'!$B$245,'01_Вводные'!$B$57,'01_Вводные'!$B$55)</f>
        <v/>
      </c>
      <c r="BN1571">
        <f>'19_Расчет_аналитики'!BN1569*IF('06_Сеть_и_дети'!BN$3&gt;='01_Вводные'!$B$245,'01_Вводные'!$B$57,'01_Вводные'!$B$55)</f>
        <v/>
      </c>
      <c r="BO1571">
        <f>'19_Расчет_аналитики'!BO1569*IF('06_Сеть_и_дети'!BO$3&gt;='01_Вводные'!$B$245,'01_Вводные'!$B$57,'01_Вводные'!$B$55)</f>
        <v/>
      </c>
    </row>
    <row r="1572">
      <c r="B1572">
        <f>'19_Расчет_аналитики'!B1569*IF('06_Сеть_и_дети'!B$3&gt;='01_Вводные'!$B$245,'01_Вводные'!$B$57,'01_Вводные'!$B$56)</f>
        <v/>
      </c>
      <c r="C1572">
        <f>'19_Расчет_аналитики'!C1569*IF('06_Сеть_и_дети'!C$3&gt;='01_Вводные'!$B$245,'01_Вводные'!$B$57,'01_Вводные'!$B$56)</f>
        <v/>
      </c>
      <c r="D1572">
        <f>'19_Расчет_аналитики'!D1569*IF('06_Сеть_и_дети'!D$3&gt;='01_Вводные'!$B$245,'01_Вводные'!$B$57,'01_Вводные'!$B$56)</f>
        <v/>
      </c>
      <c r="E1572">
        <f>'19_Расчет_аналитики'!E1569*IF('06_Сеть_и_дети'!E$3&gt;='01_Вводные'!$B$245,'01_Вводные'!$B$57,'01_Вводные'!$B$56)</f>
        <v/>
      </c>
      <c r="F1572">
        <f>'19_Расчет_аналитики'!F1569*IF('06_Сеть_и_дети'!F$3&gt;='01_Вводные'!$B$245,'01_Вводные'!$B$57,'01_Вводные'!$B$56)</f>
        <v/>
      </c>
      <c r="G1572">
        <f>'19_Расчет_аналитики'!G1569*IF('06_Сеть_и_дети'!G$3&gt;='01_Вводные'!$B$245,'01_Вводные'!$B$57,'01_Вводные'!$B$56)</f>
        <v/>
      </c>
      <c r="H1572">
        <f>'19_Расчет_аналитики'!H1569*IF('06_Сеть_и_дети'!H$3&gt;='01_Вводные'!$B$245,'01_Вводные'!$B$57,'01_Вводные'!$B$56)</f>
        <v/>
      </c>
      <c r="I1572">
        <f>'19_Расчет_аналитики'!I1569*IF('06_Сеть_и_дети'!I$3&gt;='01_Вводные'!$B$245,'01_Вводные'!$B$57,'01_Вводные'!$B$56)</f>
        <v/>
      </c>
      <c r="J1572">
        <f>'19_Расчет_аналитики'!J1569*IF('06_Сеть_и_дети'!J$3&gt;='01_Вводные'!$B$245,'01_Вводные'!$B$57,'01_Вводные'!$B$56)</f>
        <v/>
      </c>
      <c r="K1572">
        <f>'19_Расчет_аналитики'!K1569*IF('06_Сеть_и_дети'!K$3&gt;='01_Вводные'!$B$245,'01_Вводные'!$B$57,'01_Вводные'!$B$56)</f>
        <v/>
      </c>
      <c r="L1572">
        <f>'19_Расчет_аналитики'!L1569*IF('06_Сеть_и_дети'!L$3&gt;='01_Вводные'!$B$245,'01_Вводные'!$B$57,'01_Вводные'!$B$56)</f>
        <v/>
      </c>
      <c r="M1572">
        <f>'19_Расчет_аналитики'!M1569*IF('06_Сеть_и_дети'!M$3&gt;='01_Вводные'!$B$245,'01_Вводные'!$B$57,'01_Вводные'!$B$56)</f>
        <v/>
      </c>
      <c r="N1572">
        <f>'19_Расчет_аналитики'!N1569*IF('06_Сеть_и_дети'!N$3&gt;='01_Вводные'!$B$245,'01_Вводные'!$B$57,'01_Вводные'!$B$56)</f>
        <v/>
      </c>
      <c r="O1572">
        <f>'19_Расчет_аналитики'!O1569*IF('06_Сеть_и_дети'!O$3&gt;='01_Вводные'!$B$245,'01_Вводные'!$B$57,'01_Вводные'!$B$56)</f>
        <v/>
      </c>
      <c r="P1572">
        <f>'19_Расчет_аналитики'!P1569*IF('06_Сеть_и_дети'!P$3&gt;='01_Вводные'!$B$245,'01_Вводные'!$B$57,'01_Вводные'!$B$56)</f>
        <v/>
      </c>
      <c r="Q1572">
        <f>'19_Расчет_аналитики'!Q1569*IF('06_Сеть_и_дети'!Q$3&gt;='01_Вводные'!$B$245,'01_Вводные'!$B$57,'01_Вводные'!$B$56)</f>
        <v/>
      </c>
      <c r="R1572">
        <f>'19_Расчет_аналитики'!R1569*IF('06_Сеть_и_дети'!R$3&gt;='01_Вводные'!$B$245,'01_Вводные'!$B$57,'01_Вводные'!$B$56)</f>
        <v/>
      </c>
      <c r="S1572">
        <f>'19_Расчет_аналитики'!S1569*IF('06_Сеть_и_дети'!S$3&gt;='01_Вводные'!$B$245,'01_Вводные'!$B$57,'01_Вводные'!$B$56)</f>
        <v/>
      </c>
      <c r="T1572">
        <f>'19_Расчет_аналитики'!T1569*IF('06_Сеть_и_дети'!T$3&gt;='01_Вводные'!$B$245,'01_Вводные'!$B$57,'01_Вводные'!$B$56)</f>
        <v/>
      </c>
      <c r="U1572">
        <f>'19_Расчет_аналитики'!U1569*IF('06_Сеть_и_дети'!U$3&gt;='01_Вводные'!$B$245,'01_Вводные'!$B$57,'01_Вводные'!$B$56)</f>
        <v/>
      </c>
      <c r="V1572">
        <f>'19_Расчет_аналитики'!V1569*IF('06_Сеть_и_дети'!V$3&gt;='01_Вводные'!$B$245,'01_Вводные'!$B$57,'01_Вводные'!$B$56)</f>
        <v/>
      </c>
      <c r="W1572">
        <f>'19_Расчет_аналитики'!W1569*IF('06_Сеть_и_дети'!W$3&gt;='01_Вводные'!$B$245,'01_Вводные'!$B$57,'01_Вводные'!$B$56)</f>
        <v/>
      </c>
      <c r="X1572">
        <f>'19_Расчет_аналитики'!X1569*IF('06_Сеть_и_дети'!X$3&gt;='01_Вводные'!$B$245,'01_Вводные'!$B$57,'01_Вводные'!$B$56)</f>
        <v/>
      </c>
      <c r="Y1572">
        <f>'19_Расчет_аналитики'!Y1569*IF('06_Сеть_и_дети'!Y$3&gt;='01_Вводные'!$B$245,'01_Вводные'!$B$57,'01_Вводные'!$B$56)</f>
        <v/>
      </c>
      <c r="Z1572">
        <f>'19_Расчет_аналитики'!Z1569*IF('06_Сеть_и_дети'!Z$3&gt;='01_Вводные'!$B$245,'01_Вводные'!$B$57,'01_Вводные'!$B$56)</f>
        <v/>
      </c>
      <c r="AA1572">
        <f>'19_Расчет_аналитики'!AA1569*IF('06_Сеть_и_дети'!AA$3&gt;='01_Вводные'!$B$245,'01_Вводные'!$B$57,'01_Вводные'!$B$56)</f>
        <v/>
      </c>
      <c r="AB1572">
        <f>'19_Расчет_аналитики'!AB1569*IF('06_Сеть_и_дети'!AB$3&gt;='01_Вводные'!$B$245,'01_Вводные'!$B$57,'01_Вводные'!$B$56)</f>
        <v/>
      </c>
      <c r="AC1572">
        <f>'19_Расчет_аналитики'!AC1569*IF('06_Сеть_и_дети'!AC$3&gt;='01_Вводные'!$B$245,'01_Вводные'!$B$57,'01_Вводные'!$B$56)</f>
        <v/>
      </c>
      <c r="AD1572">
        <f>'19_Расчет_аналитики'!AD1569*IF('06_Сеть_и_дети'!AD$3&gt;='01_Вводные'!$B$245,'01_Вводные'!$B$57,'01_Вводные'!$B$56)</f>
        <v/>
      </c>
      <c r="AE1572">
        <f>'19_Расчет_аналитики'!AE1569*IF('06_Сеть_и_дети'!AE$3&gt;='01_Вводные'!$B$245,'01_Вводные'!$B$57,'01_Вводные'!$B$56)</f>
        <v/>
      </c>
      <c r="AF1572">
        <f>'19_Расчет_аналитики'!AF1569*IF('06_Сеть_и_дети'!AF$3&gt;='01_Вводные'!$B$245,'01_Вводные'!$B$57,'01_Вводные'!$B$56)</f>
        <v/>
      </c>
      <c r="AG1572">
        <f>'19_Расчет_аналитики'!AG1569*IF('06_Сеть_и_дети'!AG$3&gt;='01_Вводные'!$B$245,'01_Вводные'!$B$57,'01_Вводные'!$B$56)</f>
        <v/>
      </c>
      <c r="AH1572">
        <f>'19_Расчет_аналитики'!AH1569*IF('06_Сеть_и_дети'!AH$3&gt;='01_Вводные'!$B$245,'01_Вводные'!$B$57,'01_Вводные'!$B$56)</f>
        <v/>
      </c>
      <c r="AI1572">
        <f>'19_Расчет_аналитики'!AI1569*IF('06_Сеть_и_дети'!AI$3&gt;='01_Вводные'!$B$245,'01_Вводные'!$B$57,'01_Вводные'!$B$56)</f>
        <v/>
      </c>
      <c r="AJ1572">
        <f>'19_Расчет_аналитики'!AJ1569*IF('06_Сеть_и_дети'!AJ$3&gt;='01_Вводные'!$B$245,'01_Вводные'!$B$57,'01_Вводные'!$B$56)</f>
        <v/>
      </c>
      <c r="AK1572">
        <f>'19_Расчет_аналитики'!AK1569*IF('06_Сеть_и_дети'!AK$3&gt;='01_Вводные'!$B$245,'01_Вводные'!$B$57,'01_Вводные'!$B$56)</f>
        <v/>
      </c>
      <c r="AL1572">
        <f>'19_Расчет_аналитики'!AL1569*IF('06_Сеть_и_дети'!AL$3&gt;='01_Вводные'!$B$245,'01_Вводные'!$B$57,'01_Вводные'!$B$56)</f>
        <v/>
      </c>
      <c r="AM1572">
        <f>'19_Расчет_аналитики'!AM1569*IF('06_Сеть_и_дети'!AM$3&gt;='01_Вводные'!$B$245,'01_Вводные'!$B$57,'01_Вводные'!$B$56)</f>
        <v/>
      </c>
      <c r="AN1572">
        <f>'19_Расчет_аналитики'!AN1569*IF('06_Сеть_и_дети'!AN$3&gt;='01_Вводные'!$B$245,'01_Вводные'!$B$57,'01_Вводные'!$B$56)</f>
        <v/>
      </c>
      <c r="AO1572">
        <f>'19_Расчет_аналитики'!AO1569*IF('06_Сеть_и_дети'!AO$3&gt;='01_Вводные'!$B$245,'01_Вводные'!$B$57,'01_Вводные'!$B$56)</f>
        <v/>
      </c>
      <c r="AP1572">
        <f>'19_Расчет_аналитики'!AP1569*IF('06_Сеть_и_дети'!AP$3&gt;='01_Вводные'!$B$245,'01_Вводные'!$B$57,'01_Вводные'!$B$56)</f>
        <v/>
      </c>
      <c r="AQ1572">
        <f>'19_Расчет_аналитики'!AQ1569*IF('06_Сеть_и_дети'!AQ$3&gt;='01_Вводные'!$B$245,'01_Вводные'!$B$57,'01_Вводные'!$B$56)</f>
        <v/>
      </c>
      <c r="AR1572">
        <f>'19_Расчет_аналитики'!AR1569*IF('06_Сеть_и_дети'!AR$3&gt;='01_Вводные'!$B$245,'01_Вводные'!$B$57,'01_Вводные'!$B$56)</f>
        <v/>
      </c>
      <c r="AS1572">
        <f>'19_Расчет_аналитики'!AS1569*IF('06_Сеть_и_дети'!AS$3&gt;='01_Вводные'!$B$245,'01_Вводные'!$B$57,'01_Вводные'!$B$56)</f>
        <v/>
      </c>
      <c r="AT1572">
        <f>'19_Расчет_аналитики'!AT1569*IF('06_Сеть_и_дети'!AT$3&gt;='01_Вводные'!$B$245,'01_Вводные'!$B$57,'01_Вводные'!$B$56)</f>
        <v/>
      </c>
      <c r="AU1572">
        <f>'19_Расчет_аналитики'!AU1569*IF('06_Сеть_и_дети'!AU$3&gt;='01_Вводные'!$B$245,'01_Вводные'!$B$57,'01_Вводные'!$B$56)</f>
        <v/>
      </c>
      <c r="AV1572">
        <f>'19_Расчет_аналитики'!AV1569*IF('06_Сеть_и_дети'!AV$3&gt;='01_Вводные'!$B$245,'01_Вводные'!$B$57,'01_Вводные'!$B$56)</f>
        <v/>
      </c>
      <c r="AW1572">
        <f>'19_Расчет_аналитики'!AW1569*IF('06_Сеть_и_дети'!AW$3&gt;='01_Вводные'!$B$245,'01_Вводные'!$B$57,'01_Вводные'!$B$56)</f>
        <v/>
      </c>
      <c r="AX1572">
        <f>'19_Расчет_аналитики'!AX1569*IF('06_Сеть_и_дети'!AX$3&gt;='01_Вводные'!$B$245,'01_Вводные'!$B$57,'01_Вводные'!$B$56)</f>
        <v/>
      </c>
      <c r="AY1572">
        <f>'19_Расчет_аналитики'!AY1569*IF('06_Сеть_и_дети'!AY$3&gt;='01_Вводные'!$B$245,'01_Вводные'!$B$57,'01_Вводные'!$B$56)</f>
        <v/>
      </c>
      <c r="AZ1572">
        <f>'19_Расчет_аналитики'!AZ1569*IF('06_Сеть_и_дети'!AZ$3&gt;='01_Вводные'!$B$245,'01_Вводные'!$B$57,'01_Вводные'!$B$56)</f>
        <v/>
      </c>
      <c r="BA1572">
        <f>'19_Расчет_аналитики'!BA1569*IF('06_Сеть_и_дети'!BA$3&gt;='01_Вводные'!$B$245,'01_Вводные'!$B$57,'01_Вводные'!$B$56)</f>
        <v/>
      </c>
      <c r="BB1572">
        <f>'19_Расчет_аналитики'!BB1569*IF('06_Сеть_и_дети'!BB$3&gt;='01_Вводные'!$B$245,'01_Вводные'!$B$57,'01_Вводные'!$B$56)</f>
        <v/>
      </c>
      <c r="BC1572">
        <f>'19_Расчет_аналитики'!BC1569*IF('06_Сеть_и_дети'!BC$3&gt;='01_Вводные'!$B$245,'01_Вводные'!$B$57,'01_Вводные'!$B$56)</f>
        <v/>
      </c>
      <c r="BD1572">
        <f>'19_Расчет_аналитики'!BD1569*IF('06_Сеть_и_дети'!BD$3&gt;='01_Вводные'!$B$245,'01_Вводные'!$B$57,'01_Вводные'!$B$56)</f>
        <v/>
      </c>
      <c r="BE1572">
        <f>'19_Расчет_аналитики'!BE1569*IF('06_Сеть_и_дети'!BE$3&gt;='01_Вводные'!$B$245,'01_Вводные'!$B$57,'01_Вводные'!$B$56)</f>
        <v/>
      </c>
      <c r="BF1572">
        <f>'19_Расчет_аналитики'!BF1569*IF('06_Сеть_и_дети'!BF$3&gt;='01_Вводные'!$B$245,'01_Вводные'!$B$57,'01_Вводные'!$B$56)</f>
        <v/>
      </c>
      <c r="BG1572">
        <f>'19_Расчет_аналитики'!BG1569*IF('06_Сеть_и_дети'!BG$3&gt;='01_Вводные'!$B$245,'01_Вводные'!$B$57,'01_Вводные'!$B$56)</f>
        <v/>
      </c>
      <c r="BH1572">
        <f>'19_Расчет_аналитики'!BH1569*IF('06_Сеть_и_дети'!BH$3&gt;='01_Вводные'!$B$245,'01_Вводные'!$B$57,'01_Вводные'!$B$56)</f>
        <v/>
      </c>
      <c r="BI1572">
        <f>'19_Расчет_аналитики'!BI1569*IF('06_Сеть_и_дети'!BI$3&gt;='01_Вводные'!$B$245,'01_Вводные'!$B$57,'01_Вводные'!$B$56)</f>
        <v/>
      </c>
      <c r="BJ1572">
        <f>'19_Расчет_аналитики'!BJ1569*IF('06_Сеть_и_дети'!BJ$3&gt;='01_Вводные'!$B$245,'01_Вводные'!$B$57,'01_Вводные'!$B$56)</f>
        <v/>
      </c>
      <c r="BK1572">
        <f>'19_Расчет_аналитики'!BK1569*IF('06_Сеть_и_дети'!BK$3&gt;='01_Вводные'!$B$245,'01_Вводные'!$B$57,'01_Вводные'!$B$56)</f>
        <v/>
      </c>
      <c r="BL1572">
        <f>'19_Расчет_аналитики'!BL1569*IF('06_Сеть_и_дети'!BL$3&gt;='01_Вводные'!$B$245,'01_Вводные'!$B$57,'01_Вводные'!$B$56)</f>
        <v/>
      </c>
      <c r="BM1572">
        <f>'19_Расчет_аналитики'!BM1569*IF('06_Сеть_и_дети'!BM$3&gt;='01_Вводные'!$B$245,'01_Вводные'!$B$57,'01_Вводные'!$B$56)</f>
        <v/>
      </c>
      <c r="BN1572">
        <f>'19_Расчет_аналитики'!BN1569*IF('06_Сеть_и_дети'!BN$3&gt;='01_Вводные'!$B$245,'01_Вводные'!$B$57,'01_Вводные'!$B$56)</f>
        <v/>
      </c>
      <c r="BO1572">
        <f>'19_Расчет_аналитики'!BO1569*IF('06_Сеть_и_дети'!BO$3&gt;='01_Вводные'!$B$245,'01_Вводные'!$B$57,'01_Вводные'!$B$56)</f>
        <v/>
      </c>
    </row>
    <row r="1573">
      <c r="B1573">
        <f>SUM('19_Расчет_аналитики'!B1420:B1444)-'19_Расчет_аналитики'!B1383</f>
        <v/>
      </c>
      <c r="C1573">
        <f>SUM('19_Расчет_аналитики'!C1420:C1444)-'19_Расчет_аналитики'!C1383</f>
        <v/>
      </c>
      <c r="D1573">
        <f>SUM('19_Расчет_аналитики'!D1420:D1444)-'19_Расчет_аналитики'!D1383</f>
        <v/>
      </c>
      <c r="E1573">
        <f>SUM('19_Расчет_аналитики'!E1420:E1444)-'19_Расчет_аналитики'!E1383</f>
        <v/>
      </c>
      <c r="F1573">
        <f>SUM('19_Расчет_аналитики'!F1420:F1444)-'19_Расчет_аналитики'!F1383</f>
        <v/>
      </c>
      <c r="G1573">
        <f>SUM('19_Расчет_аналитики'!G1420:G1444)-'19_Расчет_аналитики'!G1383</f>
        <v/>
      </c>
      <c r="H1573">
        <f>SUM('19_Расчет_аналитики'!H1420:H1444)-'19_Расчет_аналитики'!H1383</f>
        <v/>
      </c>
      <c r="I1573">
        <f>SUM('19_Расчет_аналитики'!I1420:I1444)-'19_Расчет_аналитики'!I1383</f>
        <v/>
      </c>
      <c r="J1573">
        <f>SUM('19_Расчет_аналитики'!J1420:J1444)-'19_Расчет_аналитики'!J1383</f>
        <v/>
      </c>
      <c r="K1573">
        <f>SUM('19_Расчет_аналитики'!K1420:K1444)-'19_Расчет_аналитики'!K1383</f>
        <v/>
      </c>
      <c r="L1573">
        <f>SUM('19_Расчет_аналитики'!L1420:L1444)-'19_Расчет_аналитики'!L1383</f>
        <v/>
      </c>
      <c r="M1573">
        <f>SUM('19_Расчет_аналитики'!M1420:M1444)-'19_Расчет_аналитики'!M1383</f>
        <v/>
      </c>
      <c r="N1573">
        <f>SUM('19_Расчет_аналитики'!N1420:N1444)-'19_Расчет_аналитики'!N1383</f>
        <v/>
      </c>
      <c r="O1573">
        <f>SUM('19_Расчет_аналитики'!O1420:O1444)-'19_Расчет_аналитики'!O1383</f>
        <v/>
      </c>
      <c r="P1573">
        <f>SUM('19_Расчет_аналитики'!P1420:P1444)-'19_Расчет_аналитики'!P1383</f>
        <v/>
      </c>
      <c r="Q1573">
        <f>SUM('19_Расчет_аналитики'!Q1420:Q1444)-'19_Расчет_аналитики'!Q1383</f>
        <v/>
      </c>
      <c r="R1573">
        <f>SUM('19_Расчет_аналитики'!R1420:R1444)-'19_Расчет_аналитики'!R1383</f>
        <v/>
      </c>
      <c r="S1573">
        <f>SUM('19_Расчет_аналитики'!S1420:S1444)-'19_Расчет_аналитики'!S1383</f>
        <v/>
      </c>
      <c r="T1573">
        <f>SUM('19_Расчет_аналитики'!T1420:T1444)-'19_Расчет_аналитики'!T1383</f>
        <v/>
      </c>
      <c r="U1573">
        <f>SUM('19_Расчет_аналитики'!U1420:U1444)-'19_Расчет_аналитики'!U1383</f>
        <v/>
      </c>
      <c r="V1573">
        <f>SUM('19_Расчет_аналитики'!V1420:V1444)-'19_Расчет_аналитики'!V1383</f>
        <v/>
      </c>
      <c r="W1573">
        <f>SUM('19_Расчет_аналитики'!W1420:W1444)-'19_Расчет_аналитики'!W1383</f>
        <v/>
      </c>
      <c r="X1573">
        <f>SUM('19_Расчет_аналитики'!X1420:X1444)-'19_Расчет_аналитики'!X1383</f>
        <v/>
      </c>
      <c r="Y1573">
        <f>SUM('19_Расчет_аналитики'!Y1420:Y1444)-'19_Расчет_аналитики'!Y1383</f>
        <v/>
      </c>
      <c r="Z1573">
        <f>SUM('19_Расчет_аналитики'!Z1420:Z1444)-'19_Расчет_аналитики'!Z1383</f>
        <v/>
      </c>
      <c r="AA1573">
        <f>SUM('19_Расчет_аналитики'!AA1420:AA1444)-'19_Расчет_аналитики'!AA1383</f>
        <v/>
      </c>
      <c r="AB1573">
        <f>SUM('19_Расчет_аналитики'!AB1420:AB1444)-'19_Расчет_аналитики'!AB1383</f>
        <v/>
      </c>
      <c r="AC1573">
        <f>SUM('19_Расчет_аналитики'!AC1420:AC1444)-'19_Расчет_аналитики'!AC1383</f>
        <v/>
      </c>
      <c r="AD1573">
        <f>SUM('19_Расчет_аналитики'!AD1420:AD1444)-'19_Расчет_аналитики'!AD1383</f>
        <v/>
      </c>
      <c r="AE1573">
        <f>SUM('19_Расчет_аналитики'!AE1420:AE1444)-'19_Расчет_аналитики'!AE1383</f>
        <v/>
      </c>
      <c r="AF1573">
        <f>SUM('19_Расчет_аналитики'!AF1420:AF1444)-'19_Расчет_аналитики'!AF1383</f>
        <v/>
      </c>
      <c r="AG1573">
        <f>SUM('19_Расчет_аналитики'!AG1420:AG1444)-'19_Расчет_аналитики'!AG1383</f>
        <v/>
      </c>
      <c r="AH1573">
        <f>SUM('19_Расчет_аналитики'!AH1420:AH1444)-'19_Расчет_аналитики'!AH1383</f>
        <v/>
      </c>
      <c r="AI1573">
        <f>SUM('19_Расчет_аналитики'!AI1420:AI1444)-'19_Расчет_аналитики'!AI1383</f>
        <v/>
      </c>
      <c r="AJ1573">
        <f>SUM('19_Расчет_аналитики'!AJ1420:AJ1444)-'19_Расчет_аналитики'!AJ1383</f>
        <v/>
      </c>
      <c r="AK1573">
        <f>SUM('19_Расчет_аналитики'!AK1420:AK1444)-'19_Расчет_аналитики'!AK1383</f>
        <v/>
      </c>
      <c r="AL1573">
        <f>SUM('19_Расчет_аналитики'!AL1420:AL1444)-'19_Расчет_аналитики'!AL1383</f>
        <v/>
      </c>
      <c r="AM1573">
        <f>SUM('19_Расчет_аналитики'!AM1420:AM1444)-'19_Расчет_аналитики'!AM1383</f>
        <v/>
      </c>
      <c r="AN1573">
        <f>SUM('19_Расчет_аналитики'!AN1420:AN1444)-'19_Расчет_аналитики'!AN1383</f>
        <v/>
      </c>
      <c r="AO1573">
        <f>SUM('19_Расчет_аналитики'!AO1420:AO1444)-'19_Расчет_аналитики'!AO1383</f>
        <v/>
      </c>
      <c r="AP1573">
        <f>SUM('19_Расчет_аналитики'!AP1420:AP1444)-'19_Расчет_аналитики'!AP1383</f>
        <v/>
      </c>
      <c r="AQ1573">
        <f>SUM('19_Расчет_аналитики'!AQ1420:AQ1444)-'19_Расчет_аналитики'!AQ1383</f>
        <v/>
      </c>
      <c r="AR1573">
        <f>SUM('19_Расчет_аналитики'!AR1420:AR1444)-'19_Расчет_аналитики'!AR1383</f>
        <v/>
      </c>
      <c r="AS1573">
        <f>SUM('19_Расчет_аналитики'!AS1420:AS1444)-'19_Расчет_аналитики'!AS1383</f>
        <v/>
      </c>
      <c r="AT1573">
        <f>SUM('19_Расчет_аналитики'!AT1420:AT1444)-'19_Расчет_аналитики'!AT1383</f>
        <v/>
      </c>
      <c r="AU1573">
        <f>SUM('19_Расчет_аналитики'!AU1420:AU1444)-'19_Расчет_аналитики'!AU1383</f>
        <v/>
      </c>
      <c r="AV1573">
        <f>SUM('19_Расчет_аналитики'!AV1420:AV1444)-'19_Расчет_аналитики'!AV1383</f>
        <v/>
      </c>
      <c r="AW1573">
        <f>SUM('19_Расчет_аналитики'!AW1420:AW1444)-'19_Расчет_аналитики'!AW1383</f>
        <v/>
      </c>
      <c r="AX1573">
        <f>SUM('19_Расчет_аналитики'!AX1420:AX1444)-'19_Расчет_аналитики'!AX1383</f>
        <v/>
      </c>
      <c r="AY1573">
        <f>SUM('19_Расчет_аналитики'!AY1420:AY1444)-'19_Расчет_аналитики'!AY1383</f>
        <v/>
      </c>
      <c r="AZ1573">
        <f>SUM('19_Расчет_аналитики'!AZ1420:AZ1444)-'19_Расчет_аналитики'!AZ1383</f>
        <v/>
      </c>
      <c r="BA1573">
        <f>SUM('19_Расчет_аналитики'!BA1420:BA1444)-'19_Расчет_аналитики'!BA1383</f>
        <v/>
      </c>
      <c r="BB1573">
        <f>SUM('19_Расчет_аналитики'!BB1420:BB1444)-'19_Расчет_аналитики'!BB1383</f>
        <v/>
      </c>
      <c r="BC1573">
        <f>SUM('19_Расчет_аналитики'!BC1420:BC1444)-'19_Расчет_аналитики'!BC1383</f>
        <v/>
      </c>
      <c r="BD1573">
        <f>SUM('19_Расчет_аналитики'!BD1420:BD1444)-'19_Расчет_аналитики'!BD1383</f>
        <v/>
      </c>
      <c r="BE1573">
        <f>SUM('19_Расчет_аналитики'!BE1420:BE1444)-'19_Расчет_аналитики'!BE1383</f>
        <v/>
      </c>
      <c r="BF1573">
        <f>SUM('19_Расчет_аналитики'!BF1420:BF1444)-'19_Расчет_аналитики'!BF1383</f>
        <v/>
      </c>
      <c r="BG1573">
        <f>SUM('19_Расчет_аналитики'!BG1420:BG1444)-'19_Расчет_аналитики'!BG1383</f>
        <v/>
      </c>
      <c r="BH1573">
        <f>SUM('19_Расчет_аналитики'!BH1420:BH1444)-'19_Расчет_аналитики'!BH1383</f>
        <v/>
      </c>
      <c r="BI1573">
        <f>SUM('19_Расчет_аналитики'!BI1420:BI1444)-'19_Расчет_аналитики'!BI1383</f>
        <v/>
      </c>
      <c r="BJ1573">
        <f>SUM('19_Расчет_аналитики'!BJ1420:BJ1444)-'19_Расчет_аналитики'!BJ1383</f>
        <v/>
      </c>
      <c r="BK1573">
        <f>SUM('19_Расчет_аналитики'!BK1420:BK1444)-'19_Расчет_аналитики'!BK1383</f>
        <v/>
      </c>
      <c r="BL1573">
        <f>SUM('19_Расчет_аналитики'!BL1420:BL1444)-'19_Расчет_аналитики'!BL1383</f>
        <v/>
      </c>
      <c r="BM1573">
        <f>SUM('19_Расчет_аналитики'!BM1420:BM1444)-'19_Расчет_аналитики'!BM1383</f>
        <v/>
      </c>
      <c r="BN1573">
        <f>SUM('19_Расчет_аналитики'!BN1420:BN1444)-'19_Расчет_аналитики'!BN1383</f>
        <v/>
      </c>
      <c r="BO1573">
        <f>SUM('19_Расчет_аналитики'!BO1420:BO1444)-'19_Расчет_аналитики'!BO1383</f>
        <v/>
      </c>
    </row>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c r="F1618">
        <f>'06_Сеть_и_дети'!F19*'19_Расчет_аналитики'!$B$1098*'07_Мерч'!F4</f>
        <v/>
      </c>
      <c r="G1618">
        <f>'06_Сеть_и_дети'!G19*'19_Расчет_аналитики'!$B$1098*'07_Мерч'!G4</f>
        <v/>
      </c>
      <c r="H1618">
        <f>'06_Сеть_и_дети'!H19*'19_Расчет_аналитики'!$B$1098*'07_Мерч'!H4</f>
        <v/>
      </c>
      <c r="I1618">
        <f>'06_Сеть_и_дети'!I19*'19_Расчет_аналитики'!$B$1098*'07_Мерч'!I4</f>
        <v/>
      </c>
      <c r="J1618">
        <f>'06_Сеть_и_дети'!J19*'19_Расчет_аналитики'!$B$1098*'07_Мерч'!J4</f>
        <v/>
      </c>
      <c r="K1618">
        <f>'06_Сеть_и_дети'!K19*'19_Расчет_аналитики'!$B$1098*'07_Мерч'!K4</f>
        <v/>
      </c>
      <c r="L1618">
        <f>'06_Сеть_и_дети'!L19*'19_Расчет_аналитики'!$B$1098*'07_Мерч'!L4</f>
        <v/>
      </c>
      <c r="M1618">
        <f>'06_Сеть_и_дети'!M19*'19_Расчет_аналитики'!$B$1098*'07_Мерч'!M4</f>
        <v/>
      </c>
      <c r="N1618">
        <f>'06_Сеть_и_дети'!N19*'19_Расчет_аналитики'!$B$1098*'07_Мерч'!N4</f>
        <v/>
      </c>
      <c r="O1618">
        <f>'06_Сеть_и_дети'!O19*'19_Расчет_аналитики'!$B$1098*'07_Мерч'!O4</f>
        <v/>
      </c>
      <c r="P1618">
        <f>'06_Сеть_и_дети'!P19*'19_Расчет_аналитики'!$B$1098*'07_Мерч'!P4</f>
        <v/>
      </c>
      <c r="Q1618">
        <f>'06_Сеть_и_дети'!Q19*'19_Расчет_аналитики'!$B$1098*'07_Мерч'!Q4</f>
        <v/>
      </c>
      <c r="R1618">
        <f>'06_Сеть_и_дети'!R19*'19_Расчет_аналитики'!$B$1098*'07_Мерч'!R4</f>
        <v/>
      </c>
      <c r="S1618">
        <f>'06_Сеть_и_дети'!S19*'19_Расчет_аналитики'!$B$1098*'07_Мерч'!S4</f>
        <v/>
      </c>
      <c r="T1618">
        <f>'06_Сеть_и_дети'!T19*'19_Расчет_аналитики'!$B$1098*'07_Мерч'!T4</f>
        <v/>
      </c>
      <c r="U1618">
        <f>'06_Сеть_и_дети'!U19*'19_Расчет_аналитики'!$B$1098*'07_Мерч'!U4</f>
        <v/>
      </c>
      <c r="V1618">
        <f>'06_Сеть_и_дети'!V19*'19_Расчет_аналитики'!$B$1098*'07_Мерч'!V4</f>
        <v/>
      </c>
      <c r="W1618">
        <f>'06_Сеть_и_дети'!W19*'19_Расчет_аналитики'!$B$1098*'07_Мерч'!W4</f>
        <v/>
      </c>
      <c r="X1618">
        <f>'06_Сеть_и_дети'!X19*'19_Расчет_аналитики'!$B$1098*'07_Мерч'!X4</f>
        <v/>
      </c>
      <c r="Y1618">
        <f>'06_Сеть_и_дети'!Y19*'19_Расчет_аналитики'!$B$1098*'07_Мерч'!Y4</f>
        <v/>
      </c>
      <c r="Z1618">
        <f>'06_Сеть_и_дети'!Z19*'19_Расчет_аналитики'!$B$1098*'07_Мерч'!Z4</f>
        <v/>
      </c>
      <c r="AA1618">
        <f>'06_Сеть_и_дети'!AA19*'19_Расчет_аналитики'!$B$1098*'07_Мерч'!AA4</f>
        <v/>
      </c>
      <c r="AB1618">
        <f>'06_Сеть_и_дети'!AB19*'19_Расчет_аналитики'!$B$1098*'07_Мерч'!AB4</f>
        <v/>
      </c>
      <c r="AC1618">
        <f>'06_Сеть_и_дети'!AC19*'19_Расчет_аналитики'!$B$1098*'07_Мерч'!AC4</f>
        <v/>
      </c>
      <c r="AD1618">
        <f>'06_Сеть_и_дети'!AD19*'19_Расчет_аналитики'!$B$1098*'07_Мерч'!AD4</f>
        <v/>
      </c>
      <c r="AE1618">
        <f>'06_Сеть_и_дети'!AE19*'19_Расчет_аналитики'!$B$1098*'07_Мерч'!AE4</f>
        <v/>
      </c>
      <c r="AF1618">
        <f>'06_Сеть_и_дети'!AF19*'19_Расчет_аналитики'!$B$1098*'07_Мерч'!AF4</f>
        <v/>
      </c>
      <c r="AG1618">
        <f>'06_Сеть_и_дети'!AG19*'19_Расчет_аналитики'!$B$1098*'07_Мерч'!AG4</f>
        <v/>
      </c>
      <c r="AH1618">
        <f>'06_Сеть_и_дети'!AH19*'19_Расчет_аналитики'!$B$1098*'07_Мерч'!AH4</f>
        <v/>
      </c>
      <c r="AI1618">
        <f>'06_Сеть_и_дети'!AI19*'19_Расчет_аналитики'!$B$1098*'07_Мерч'!AI4</f>
        <v/>
      </c>
      <c r="AJ1618">
        <f>'06_Сеть_и_дети'!AJ19*'19_Расчет_аналитики'!$B$1098*'07_Мерч'!AJ4</f>
        <v/>
      </c>
      <c r="AK1618">
        <f>'06_Сеть_и_дети'!AK19*'19_Расчет_аналитики'!$B$1098*'07_Мерч'!AK4</f>
        <v/>
      </c>
      <c r="AL1618">
        <f>'06_Сеть_и_дети'!AL19*'19_Расчет_аналитики'!$B$1098*'07_Мерч'!AL4</f>
        <v/>
      </c>
      <c r="AM1618">
        <f>'06_Сеть_и_дети'!AM19*'19_Расчет_аналитики'!$B$1098*'07_Мерч'!AM4</f>
        <v/>
      </c>
      <c r="AN1618">
        <f>'06_Сеть_и_дети'!AN19*'19_Расчет_аналитики'!$B$1098*'07_Мерч'!AN4</f>
        <v/>
      </c>
      <c r="AO1618">
        <f>'06_Сеть_и_дети'!AO19*'19_Расчет_аналитики'!$B$1098*'07_Мерч'!AO4</f>
        <v/>
      </c>
      <c r="AP1618">
        <f>'06_Сеть_и_дети'!AP19*'19_Расчет_аналитики'!$B$1098*'07_Мерч'!AP4</f>
        <v/>
      </c>
      <c r="AQ1618">
        <f>'06_Сеть_и_дети'!AQ19*'19_Расчет_аналитики'!$B$1098*'07_Мерч'!AQ4</f>
        <v/>
      </c>
      <c r="AR1618">
        <f>'06_Сеть_и_дети'!AR19*'19_Расчет_аналитики'!$B$1098*'07_Мерч'!AR4</f>
        <v/>
      </c>
      <c r="AS1618">
        <f>'06_Сеть_и_дети'!AS19*'19_Расчет_аналитики'!$B$1098*'07_Мерч'!AS4</f>
        <v/>
      </c>
      <c r="AT1618">
        <f>'06_Сеть_и_дети'!AT19*'19_Расчет_аналитики'!$B$1098*'07_Мерч'!AT4</f>
        <v/>
      </c>
      <c r="AU1618">
        <f>'06_Сеть_и_дети'!AU19*'19_Расчет_аналитики'!$B$1098*'07_Мерч'!AU4</f>
        <v/>
      </c>
      <c r="AV1618">
        <f>'06_Сеть_и_дети'!AV19*'19_Расчет_аналитики'!$B$1098*'07_Мерч'!AV4</f>
        <v/>
      </c>
      <c r="AW1618">
        <f>'06_Сеть_и_дети'!AW19*'19_Расчет_аналитики'!$B$1098*'07_Мерч'!AW4</f>
        <v/>
      </c>
      <c r="AX1618">
        <f>'06_Сеть_и_дети'!AX19*'19_Расчет_аналитики'!$B$1098*'07_Мерч'!AX4</f>
        <v/>
      </c>
      <c r="AY1618">
        <f>'06_Сеть_и_дети'!AY19*'19_Расчет_аналитики'!$B$1098*'07_Мерч'!AY4</f>
        <v/>
      </c>
      <c r="AZ1618">
        <f>'06_Сеть_и_дети'!AZ19*'19_Расчет_аналитики'!$B$1098*'07_Мерч'!AZ4</f>
        <v/>
      </c>
      <c r="BA1618">
        <f>'06_Сеть_и_дети'!BA19*'19_Расчет_аналитики'!$B$1098*'07_Мерч'!BA4</f>
        <v/>
      </c>
      <c r="BB1618">
        <f>'06_Сеть_и_дети'!BB19*'19_Расчет_аналитики'!$B$1098*'07_Мерч'!BB4</f>
        <v/>
      </c>
      <c r="BC1618">
        <f>'06_Сеть_и_дети'!BC19*'19_Расчет_аналитики'!$B$1098*'07_Мерч'!BC4</f>
        <v/>
      </c>
      <c r="BD1618">
        <f>'06_Сеть_и_дети'!BD19*'19_Расчет_аналитики'!$B$1098*'07_Мерч'!BD4</f>
        <v/>
      </c>
      <c r="BE1618">
        <f>'06_Сеть_и_дети'!BE19*'19_Расчет_аналитики'!$B$1098*'07_Мерч'!BE4</f>
        <v/>
      </c>
      <c r="BF1618">
        <f>'06_Сеть_и_дети'!BF19*'19_Расчет_аналитики'!$B$1098*'07_Мерч'!BF4</f>
        <v/>
      </c>
      <c r="BG1618">
        <f>'06_Сеть_и_дети'!BG19*'19_Расчет_аналитики'!$B$1098*'07_Мерч'!BG4</f>
        <v/>
      </c>
      <c r="BH1618">
        <f>'06_Сеть_и_дети'!BH19*'19_Расчет_аналитики'!$B$1098*'07_Мерч'!BH4</f>
        <v/>
      </c>
      <c r="BI1618">
        <f>'06_Сеть_и_дети'!BI19*'19_Расчет_аналитики'!$B$1098*'07_Мерч'!BI4</f>
        <v/>
      </c>
      <c r="BJ1618">
        <f>'06_Сеть_и_дети'!BJ19*'19_Расчет_аналитики'!$B$1098*'07_Мерч'!BJ4</f>
        <v/>
      </c>
      <c r="BK1618">
        <f>'06_Сеть_и_дети'!BK19*'19_Расчет_аналитики'!$B$1098*'07_Мерч'!BK4</f>
        <v/>
      </c>
      <c r="BL1618">
        <f>'06_Сеть_и_дети'!BL19*'19_Расчет_аналитики'!$B$1098*'07_Мерч'!BL4</f>
        <v/>
      </c>
      <c r="BM1618">
        <f>'06_Сеть_и_дети'!BM19*'19_Расчет_аналитики'!$B$1098*'07_Мерч'!BM4</f>
        <v/>
      </c>
      <c r="BN1618">
        <f>'06_Сеть_и_дети'!BN19*'19_Расчет_аналитики'!$B$1098*'07_Мерч'!BN4</f>
        <v/>
      </c>
      <c r="BO1618">
        <f>'06_Сеть_и_дети'!BO19*'19_Расчет_аналитики'!$B$1098*'07_Мерч'!BO4</f>
        <v/>
      </c>
    </row>
    <row r="1619">
      <c r="F1619">
        <f>'19_Расчет_аналитики'!F1618*'18_Календарь_тарифы'!F10</f>
        <v/>
      </c>
      <c r="G1619">
        <f>'19_Расчет_аналитики'!G1618*'18_Календарь_тарифы'!G10</f>
        <v/>
      </c>
      <c r="H1619">
        <f>'19_Расчет_аналитики'!H1618*'18_Календарь_тарифы'!H10</f>
        <v/>
      </c>
      <c r="I1619">
        <f>'19_Расчет_аналитики'!I1618*'18_Календарь_тарифы'!I10</f>
        <v/>
      </c>
      <c r="J1619">
        <f>'19_Расчет_аналитики'!J1618*'18_Календарь_тарифы'!J10</f>
        <v/>
      </c>
      <c r="K1619">
        <f>'19_Расчет_аналитики'!K1618*'18_Календарь_тарифы'!K10</f>
        <v/>
      </c>
      <c r="L1619">
        <f>'19_Расчет_аналитики'!L1618*'18_Календарь_тарифы'!L10</f>
        <v/>
      </c>
      <c r="M1619">
        <f>'19_Расчет_аналитики'!M1618*'18_Календарь_тарифы'!M10</f>
        <v/>
      </c>
      <c r="N1619">
        <f>'19_Расчет_аналитики'!N1618*'18_Календарь_тарифы'!N10</f>
        <v/>
      </c>
      <c r="O1619">
        <f>'19_Расчет_аналитики'!O1618*'18_Календарь_тарифы'!O10</f>
        <v/>
      </c>
      <c r="P1619">
        <f>'19_Расчет_аналитики'!P1618*'18_Календарь_тарифы'!P10</f>
        <v/>
      </c>
      <c r="Q1619">
        <f>'19_Расчет_аналитики'!Q1618*'18_Календарь_тарифы'!Q10</f>
        <v/>
      </c>
      <c r="R1619">
        <f>'19_Расчет_аналитики'!R1618*'18_Календарь_тарифы'!R10</f>
        <v/>
      </c>
      <c r="S1619">
        <f>'19_Расчет_аналитики'!S1618*'18_Календарь_тарифы'!S10</f>
        <v/>
      </c>
      <c r="T1619">
        <f>'19_Расчет_аналитики'!T1618*'18_Календарь_тарифы'!T10</f>
        <v/>
      </c>
      <c r="U1619">
        <f>'19_Расчет_аналитики'!U1618*'18_Календарь_тарифы'!U10</f>
        <v/>
      </c>
      <c r="V1619">
        <f>'19_Расчет_аналитики'!V1618*'18_Календарь_тарифы'!V10</f>
        <v/>
      </c>
      <c r="W1619">
        <f>'19_Расчет_аналитики'!W1618*'18_Календарь_тарифы'!W10</f>
        <v/>
      </c>
      <c r="X1619">
        <f>'19_Расчет_аналитики'!X1618*'18_Календарь_тарифы'!X10</f>
        <v/>
      </c>
      <c r="Y1619">
        <f>'19_Расчет_аналитики'!Y1618*'18_Календарь_тарифы'!Y10</f>
        <v/>
      </c>
      <c r="Z1619">
        <f>'19_Расчет_аналитики'!Z1618*'18_Календарь_тарифы'!Z10</f>
        <v/>
      </c>
      <c r="AA1619">
        <f>'19_Расчет_аналитики'!AA1618*'18_Календарь_тарифы'!AA10</f>
        <v/>
      </c>
      <c r="AB1619">
        <f>'19_Расчет_аналитики'!AB1618*'18_Календарь_тарифы'!AB10</f>
        <v/>
      </c>
      <c r="AC1619">
        <f>'19_Расчет_аналитики'!AC1618*'18_Календарь_тарифы'!AC10</f>
        <v/>
      </c>
      <c r="AD1619">
        <f>'19_Расчет_аналитики'!AD1618*'18_Календарь_тарифы'!AD10</f>
        <v/>
      </c>
      <c r="AE1619">
        <f>'19_Расчет_аналитики'!AE1618*'18_Календарь_тарифы'!AE10</f>
        <v/>
      </c>
      <c r="AF1619">
        <f>'19_Расчет_аналитики'!AF1618*'18_Календарь_тарифы'!AF10</f>
        <v/>
      </c>
      <c r="AG1619">
        <f>'19_Расчет_аналитики'!AG1618*'18_Календарь_тарифы'!AG10</f>
        <v/>
      </c>
      <c r="AH1619">
        <f>'19_Расчет_аналитики'!AH1618*'18_Календарь_тарифы'!AH10</f>
        <v/>
      </c>
      <c r="AI1619">
        <f>'19_Расчет_аналитики'!AI1618*'18_Календарь_тарифы'!AI10</f>
        <v/>
      </c>
      <c r="AJ1619">
        <f>'19_Расчет_аналитики'!AJ1618*'18_Календарь_тарифы'!AJ10</f>
        <v/>
      </c>
      <c r="AK1619">
        <f>'19_Расчет_аналитики'!AK1618*'18_Календарь_тарифы'!AK10</f>
        <v/>
      </c>
      <c r="AL1619">
        <f>'19_Расчет_аналитики'!AL1618*'18_Календарь_тарифы'!AL10</f>
        <v/>
      </c>
      <c r="AM1619">
        <f>'19_Расчет_аналитики'!AM1618*'18_Календарь_тарифы'!AM10</f>
        <v/>
      </c>
      <c r="AN1619">
        <f>'19_Расчет_аналитики'!AN1618*'18_Календарь_тарифы'!AN10</f>
        <v/>
      </c>
      <c r="AO1619">
        <f>'19_Расчет_аналитики'!AO1618*'18_Календарь_тарифы'!AO10</f>
        <v/>
      </c>
      <c r="AP1619">
        <f>'19_Расчет_аналитики'!AP1618*'18_Календарь_тарифы'!AP10</f>
        <v/>
      </c>
      <c r="AQ1619">
        <f>'19_Расчет_аналитики'!AQ1618*'18_Календарь_тарифы'!AQ10</f>
        <v/>
      </c>
      <c r="AR1619">
        <f>'19_Расчет_аналитики'!AR1618*'18_Календарь_тарифы'!AR10</f>
        <v/>
      </c>
      <c r="AS1619">
        <f>'19_Расчет_аналитики'!AS1618*'18_Календарь_тарифы'!AS10</f>
        <v/>
      </c>
      <c r="AT1619">
        <f>'19_Расчет_аналитики'!AT1618*'18_Календарь_тарифы'!AT10</f>
        <v/>
      </c>
      <c r="AU1619">
        <f>'19_Расчет_аналитики'!AU1618*'18_Календарь_тарифы'!AU10</f>
        <v/>
      </c>
      <c r="AV1619">
        <f>'19_Расчет_аналитики'!AV1618*'18_Календарь_тарифы'!AV10</f>
        <v/>
      </c>
      <c r="AW1619">
        <f>'19_Расчет_аналитики'!AW1618*'18_Календарь_тарифы'!AW10</f>
        <v/>
      </c>
      <c r="AX1619">
        <f>'19_Расчет_аналитики'!AX1618*'18_Календарь_тарифы'!AX10</f>
        <v/>
      </c>
      <c r="AY1619">
        <f>'19_Расчет_аналитики'!AY1618*'18_Календарь_тарифы'!AY10</f>
        <v/>
      </c>
      <c r="AZ1619">
        <f>'19_Расчет_аналитики'!AZ1618*'18_Календарь_тарифы'!AZ10</f>
        <v/>
      </c>
      <c r="BA1619">
        <f>'19_Расчет_аналитики'!BA1618*'18_Календарь_тарифы'!BA10</f>
        <v/>
      </c>
      <c r="BB1619">
        <f>'19_Расчет_аналитики'!BB1618*'18_Календарь_тарифы'!BB10</f>
        <v/>
      </c>
      <c r="BC1619">
        <f>'19_Расчет_аналитики'!BC1618*'18_Календарь_тарифы'!BC10</f>
        <v/>
      </c>
      <c r="BD1619">
        <f>'19_Расчет_аналитики'!BD1618*'18_Календарь_тарифы'!BD10</f>
        <v/>
      </c>
      <c r="BE1619">
        <f>'19_Расчет_аналитики'!BE1618*'18_Календарь_тарифы'!BE10</f>
        <v/>
      </c>
      <c r="BF1619">
        <f>'19_Расчет_аналитики'!BF1618*'18_Календарь_тарифы'!BF10</f>
        <v/>
      </c>
      <c r="BG1619">
        <f>'19_Расчет_аналитики'!BG1618*'18_Календарь_тарифы'!BG10</f>
        <v/>
      </c>
      <c r="BH1619">
        <f>'19_Расчет_аналитики'!BH1618*'18_Календарь_тарифы'!BH10</f>
        <v/>
      </c>
      <c r="BI1619">
        <f>'19_Расчет_аналитики'!BI1618*'18_Календарь_тарифы'!BI10</f>
        <v/>
      </c>
      <c r="BJ1619">
        <f>'19_Расчет_аналитики'!BJ1618*'18_Календарь_тарифы'!BJ10</f>
        <v/>
      </c>
      <c r="BK1619">
        <f>'19_Расчет_аналитики'!BK1618*'18_Календарь_тарифы'!BK10</f>
        <v/>
      </c>
      <c r="BL1619">
        <f>'19_Расчет_аналитики'!BL1618*'18_Календарь_тарифы'!BL10</f>
        <v/>
      </c>
      <c r="BM1619">
        <f>'19_Расчет_аналитики'!BM1618*'18_Календарь_тарифы'!BM10</f>
        <v/>
      </c>
      <c r="BN1619">
        <f>'19_Расчет_аналитики'!BN1618*'18_Календарь_тарифы'!BN10</f>
        <v/>
      </c>
      <c r="BO1619">
        <f>'19_Расчет_аналитики'!BO1618*'18_Календарь_тарифы'!BO10</f>
        <v/>
      </c>
    </row>
    <row r="1620">
      <c r="F1620">
        <f>'19_Расчет_аналитики'!F1618*'18_Календарь_тарифы'!F9</f>
        <v/>
      </c>
      <c r="G1620">
        <f>'19_Расчет_аналитики'!G1618*'18_Календарь_тарифы'!G9</f>
        <v/>
      </c>
      <c r="H1620">
        <f>'19_Расчет_аналитики'!H1618*'18_Календарь_тарифы'!H9</f>
        <v/>
      </c>
      <c r="I1620">
        <f>'19_Расчет_аналитики'!I1618*'18_Календарь_тарифы'!I9</f>
        <v/>
      </c>
      <c r="J1620">
        <f>'19_Расчет_аналитики'!J1618*'18_Календарь_тарифы'!J9</f>
        <v/>
      </c>
      <c r="K1620">
        <f>'19_Расчет_аналитики'!K1618*'18_Календарь_тарифы'!K9</f>
        <v/>
      </c>
      <c r="L1620">
        <f>'19_Расчет_аналитики'!L1618*'18_Календарь_тарифы'!L9</f>
        <v/>
      </c>
      <c r="M1620">
        <f>'19_Расчет_аналитики'!M1618*'18_Календарь_тарифы'!M9</f>
        <v/>
      </c>
      <c r="N1620">
        <f>'19_Расчет_аналитики'!N1618*'18_Календарь_тарифы'!N9</f>
        <v/>
      </c>
      <c r="O1620">
        <f>'19_Расчет_аналитики'!O1618*'18_Календарь_тарифы'!O9</f>
        <v/>
      </c>
      <c r="P1620">
        <f>'19_Расчет_аналитики'!P1618*'18_Календарь_тарифы'!P9</f>
        <v/>
      </c>
      <c r="Q1620">
        <f>'19_Расчет_аналитики'!Q1618*'18_Календарь_тарифы'!Q9</f>
        <v/>
      </c>
      <c r="R1620">
        <f>'19_Расчет_аналитики'!R1618*'18_Календарь_тарифы'!R9</f>
        <v/>
      </c>
      <c r="S1620">
        <f>'19_Расчет_аналитики'!S1618*'18_Календарь_тарифы'!S9</f>
        <v/>
      </c>
      <c r="T1620">
        <f>'19_Расчет_аналитики'!T1618*'18_Календарь_тарифы'!T9</f>
        <v/>
      </c>
      <c r="U1620">
        <f>'19_Расчет_аналитики'!U1618*'18_Календарь_тарифы'!U9</f>
        <v/>
      </c>
      <c r="V1620">
        <f>'19_Расчет_аналитики'!V1618*'18_Календарь_тарифы'!V9</f>
        <v/>
      </c>
      <c r="W1620">
        <f>'19_Расчет_аналитики'!W1618*'18_Календарь_тарифы'!W9</f>
        <v/>
      </c>
      <c r="X1620">
        <f>'19_Расчет_аналитики'!X1618*'18_Календарь_тарифы'!X9</f>
        <v/>
      </c>
      <c r="Y1620">
        <f>'19_Расчет_аналитики'!Y1618*'18_Календарь_тарифы'!Y9</f>
        <v/>
      </c>
      <c r="Z1620">
        <f>'19_Расчет_аналитики'!Z1618*'18_Календарь_тарифы'!Z9</f>
        <v/>
      </c>
      <c r="AA1620">
        <f>'19_Расчет_аналитики'!AA1618*'18_Календарь_тарифы'!AA9</f>
        <v/>
      </c>
      <c r="AB1620">
        <f>'19_Расчет_аналитики'!AB1618*'18_Календарь_тарифы'!AB9</f>
        <v/>
      </c>
      <c r="AC1620">
        <f>'19_Расчет_аналитики'!AC1618*'18_Календарь_тарифы'!AC9</f>
        <v/>
      </c>
      <c r="AD1620">
        <f>'19_Расчет_аналитики'!AD1618*'18_Календарь_тарифы'!AD9</f>
        <v/>
      </c>
      <c r="AE1620">
        <f>'19_Расчет_аналитики'!AE1618*'18_Календарь_тарифы'!AE9</f>
        <v/>
      </c>
      <c r="AF1620">
        <f>'19_Расчет_аналитики'!AF1618*'18_Календарь_тарифы'!AF9</f>
        <v/>
      </c>
      <c r="AG1620">
        <f>'19_Расчет_аналитики'!AG1618*'18_Календарь_тарифы'!AG9</f>
        <v/>
      </c>
      <c r="AH1620">
        <f>'19_Расчет_аналитики'!AH1618*'18_Календарь_тарифы'!AH9</f>
        <v/>
      </c>
      <c r="AI1620">
        <f>'19_Расчет_аналитики'!AI1618*'18_Календарь_тарифы'!AI9</f>
        <v/>
      </c>
      <c r="AJ1620">
        <f>'19_Расчет_аналитики'!AJ1618*'18_Календарь_тарифы'!AJ9</f>
        <v/>
      </c>
      <c r="AK1620">
        <f>'19_Расчет_аналитики'!AK1618*'18_Календарь_тарифы'!AK9</f>
        <v/>
      </c>
      <c r="AL1620">
        <f>'19_Расчет_аналитики'!AL1618*'18_Календарь_тарифы'!AL9</f>
        <v/>
      </c>
      <c r="AM1620">
        <f>'19_Расчет_аналитики'!AM1618*'18_Календарь_тарифы'!AM9</f>
        <v/>
      </c>
      <c r="AN1620">
        <f>'19_Расчет_аналитики'!AN1618*'18_Календарь_тарифы'!AN9</f>
        <v/>
      </c>
      <c r="AO1620">
        <f>'19_Расчет_аналитики'!AO1618*'18_Календарь_тарифы'!AO9</f>
        <v/>
      </c>
      <c r="AP1620">
        <f>'19_Расчет_аналитики'!AP1618*'18_Календарь_тарифы'!AP9</f>
        <v/>
      </c>
      <c r="AQ1620">
        <f>'19_Расчет_аналитики'!AQ1618*'18_Календарь_тарифы'!AQ9</f>
        <v/>
      </c>
      <c r="AR1620">
        <f>'19_Расчет_аналитики'!AR1618*'18_Календарь_тарифы'!AR9</f>
        <v/>
      </c>
      <c r="AS1620">
        <f>'19_Расчет_аналитики'!AS1618*'18_Календарь_тарифы'!AS9</f>
        <v/>
      </c>
      <c r="AT1620">
        <f>'19_Расчет_аналитики'!AT1618*'18_Календарь_тарифы'!AT9</f>
        <v/>
      </c>
      <c r="AU1620">
        <f>'19_Расчет_аналитики'!AU1618*'18_Календарь_тарифы'!AU9</f>
        <v/>
      </c>
      <c r="AV1620">
        <f>'19_Расчет_аналитики'!AV1618*'18_Календарь_тарифы'!AV9</f>
        <v/>
      </c>
      <c r="AW1620">
        <f>'19_Расчет_аналитики'!AW1618*'18_Календарь_тарифы'!AW9</f>
        <v/>
      </c>
      <c r="AX1620">
        <f>'19_Расчет_аналитики'!AX1618*'18_Календарь_тарифы'!AX9</f>
        <v/>
      </c>
      <c r="AY1620">
        <f>'19_Расчет_аналитики'!AY1618*'18_Календарь_тарифы'!AY9</f>
        <v/>
      </c>
      <c r="AZ1620">
        <f>'19_Расчет_аналитики'!AZ1618*'18_Календарь_тарифы'!AZ9</f>
        <v/>
      </c>
      <c r="BA1620">
        <f>'19_Расчет_аналитики'!BA1618*'18_Календарь_тарифы'!BA9</f>
        <v/>
      </c>
      <c r="BB1620">
        <f>'19_Расчет_аналитики'!BB1618*'18_Календарь_тарифы'!BB9</f>
        <v/>
      </c>
      <c r="BC1620">
        <f>'19_Расчет_аналитики'!BC1618*'18_Календарь_тарифы'!BC9</f>
        <v/>
      </c>
      <c r="BD1620">
        <f>'19_Расчет_аналитики'!BD1618*'18_Календарь_тарифы'!BD9</f>
        <v/>
      </c>
      <c r="BE1620">
        <f>'19_Расчет_аналитики'!BE1618*'18_Календарь_тарифы'!BE9</f>
        <v/>
      </c>
      <c r="BF1620">
        <f>'19_Расчет_аналитики'!BF1618*'18_Календарь_тарифы'!BF9</f>
        <v/>
      </c>
      <c r="BG1620">
        <f>'19_Расчет_аналитики'!BG1618*'18_Календарь_тарифы'!BG9</f>
        <v/>
      </c>
      <c r="BH1620">
        <f>'19_Расчет_аналитики'!BH1618*'18_Календарь_тарифы'!BH9</f>
        <v/>
      </c>
      <c r="BI1620">
        <f>'19_Расчет_аналитики'!BI1618*'18_Календарь_тарифы'!BI9</f>
        <v/>
      </c>
      <c r="BJ1620">
        <f>'19_Расчет_аналитики'!BJ1618*'18_Календарь_тарифы'!BJ9</f>
        <v/>
      </c>
      <c r="BK1620">
        <f>'19_Расчет_аналитики'!BK1618*'18_Календарь_тарифы'!BK9</f>
        <v/>
      </c>
      <c r="BL1620">
        <f>'19_Расчет_аналитики'!BL1618*'18_Календарь_тарифы'!BL9</f>
        <v/>
      </c>
      <c r="BM1620">
        <f>'19_Расчет_аналитики'!BM1618*'18_Календарь_тарифы'!BM9</f>
        <v/>
      </c>
      <c r="BN1620">
        <f>'19_Расчет_аналитики'!BN1618*'18_Календарь_тарифы'!BN9</f>
        <v/>
      </c>
      <c r="BO1620">
        <f>'19_Расчет_аналитики'!BO1618*'18_Календарь_тарифы'!BO9</f>
        <v/>
      </c>
    </row>
    <row r="1621"/>
    <row r="1622">
      <c r="B1622">
        <f>'07_Мерч'!B9</f>
        <v/>
      </c>
      <c r="C1622">
        <f>('19_Расчет_аналитики'!B1375*'01_Вводные'!$B$87*'01_Вводные'!$B$14^1)*'19_Расчет_аналитики'!$B$1070*'19_Расчет_аналитики'!$B$1098</f>
        <v/>
      </c>
      <c r="D1622">
        <f>('19_Расчет_аналитики'!C1375*'01_Вводные'!$B$87*'01_Вводные'!$B$14^1+'19_Расчет_аналитики'!B1375*'01_Вводные'!$B$88*'01_Вводные'!$B$14^2)*'19_Расчет_аналитики'!$B$1070*'19_Расчет_аналитики'!$B$1098</f>
        <v/>
      </c>
      <c r="E1622">
        <f>('19_Расчет_аналитики'!D1375*'01_Вводные'!$B$87*'01_Вводные'!$B$14^1+'19_Расчет_аналитики'!C1375*'01_Вводные'!$B$88*'01_Вводные'!$B$14^2+'19_Расчет_аналитики'!B1375*'01_Вводные'!$B$89*'01_Вводные'!$B$14^3)*'19_Расчет_аналитики'!$B$1070*'19_Расчет_аналитики'!$B$1098</f>
        <v/>
      </c>
      <c r="F1622">
        <f>('19_Расчет_аналитики'!E1375*'01_Вводные'!$B$87*'01_Вводные'!$B$14^1+'19_Расчет_аналитики'!D1375*'01_Вводные'!$B$88*'01_Вводные'!$B$14^2+'19_Расчет_аналитики'!C1375*'01_Вводные'!$B$89*'01_Вводные'!$B$14^3)*'19_Расчет_аналитики'!$B$1070*'19_Расчет_аналитики'!$B$1098</f>
        <v/>
      </c>
      <c r="G1622">
        <f>('19_Расчет_аналитики'!F1375*'01_Вводные'!$B$87*'01_Вводные'!$B$14^1+'19_Расчет_аналитики'!E1375*'01_Вводные'!$B$88*'01_Вводные'!$B$14^2+'19_Расчет_аналитики'!D1375*'01_Вводные'!$B$89*'01_Вводные'!$B$14^3)*'19_Расчет_аналитики'!$B$1070*'19_Расчет_аналитики'!$B$1098</f>
        <v/>
      </c>
      <c r="H1622">
        <f>('19_Расчет_аналитики'!G1375*'01_Вводные'!$B$87*'01_Вводные'!$B$14^1+'19_Расчет_аналитики'!F1375*'01_Вводные'!$B$88*'01_Вводные'!$B$14^2+'19_Расчет_аналитики'!E1375*'01_Вводные'!$B$89*'01_Вводные'!$B$14^3)*'19_Расчет_аналитики'!$B$1070*'19_Расчет_аналитики'!$B$1098</f>
        <v/>
      </c>
      <c r="I1622">
        <f>('19_Расчет_аналитики'!H1375*'01_Вводные'!$B$87*'01_Вводные'!$B$14^1+'19_Расчет_аналитики'!G1375*'01_Вводные'!$B$88*'01_Вводные'!$B$14^2+'19_Расчет_аналитики'!F1375*'01_Вводные'!$B$89*'01_Вводные'!$B$14^3)*'19_Расчет_аналитики'!$B$1070*'19_Расчет_аналитики'!$B$1098</f>
        <v/>
      </c>
      <c r="J1622">
        <f>('19_Расчет_аналитики'!I1375*'01_Вводные'!$B$87*'01_Вводные'!$B$14^1+'19_Расчет_аналитики'!H1375*'01_Вводные'!$B$88*'01_Вводные'!$B$14^2+'19_Расчет_аналитики'!G1375*'01_Вводные'!$B$89*'01_Вводные'!$B$14^3)*'19_Расчет_аналитики'!$B$1070*'19_Расчет_аналитики'!$B$1098</f>
        <v/>
      </c>
      <c r="K1622">
        <f>('19_Расчет_аналитики'!J1375*'01_Вводные'!$B$87*'01_Вводные'!$B$14^1+'19_Расчет_аналитики'!I1375*'01_Вводные'!$B$88*'01_Вводные'!$B$14^2+'19_Расчет_аналитики'!H1375*'01_Вводные'!$B$89*'01_Вводные'!$B$14^3)*'19_Расчет_аналитики'!$B$1070*'19_Расчет_аналитики'!$B$1098</f>
        <v/>
      </c>
      <c r="L1622">
        <f>('19_Расчет_аналитики'!K1375*'01_Вводные'!$B$87*'01_Вводные'!$B$14^1+'19_Расчет_аналитики'!J1375*'01_Вводные'!$B$88*'01_Вводные'!$B$14^2+'19_Расчет_аналитики'!I1375*'01_Вводные'!$B$89*'01_Вводные'!$B$14^3)*'19_Расчет_аналитики'!$B$1070*'19_Расчет_аналитики'!$B$1098</f>
        <v/>
      </c>
      <c r="M1622">
        <f>('19_Расчет_аналитики'!L1375*'01_Вводные'!$B$87*'01_Вводные'!$B$14^1+'19_Расчет_аналитики'!K1375*'01_Вводные'!$B$88*'01_Вводные'!$B$14^2+'19_Расчет_аналитики'!J1375*'01_Вводные'!$B$89*'01_Вводные'!$B$14^3)*'19_Расчет_аналитики'!$B$1070*'19_Расчет_аналитики'!$B$1098</f>
        <v/>
      </c>
      <c r="N1622">
        <f>('19_Расчет_аналитики'!M1375*'01_Вводные'!$B$87*'01_Вводные'!$B$14^1+'19_Расчет_аналитики'!L1375*'01_Вводные'!$B$88*'01_Вводные'!$B$14^2+'19_Расчет_аналитики'!K1375*'01_Вводные'!$B$89*'01_Вводные'!$B$14^3)*'19_Расчет_аналитики'!$B$1070*'19_Расчет_аналитики'!$B$1098</f>
        <v/>
      </c>
      <c r="O1622">
        <f>('19_Расчет_аналитики'!N1375*'01_Вводные'!$B$87*'01_Вводные'!$B$14^1+'19_Расчет_аналитики'!M1375*'01_Вводные'!$B$88*'01_Вводные'!$B$14^2+'19_Расчет_аналитики'!L1375*'01_Вводные'!$B$89*'01_Вводные'!$B$14^3)*'19_Расчет_аналитики'!$B$1070*'19_Расчет_аналитики'!$B$1098</f>
        <v/>
      </c>
      <c r="P1622">
        <f>('19_Расчет_аналитики'!O1375*'01_Вводные'!$B$87*'01_Вводные'!$B$14^1+'19_Расчет_аналитики'!N1375*'01_Вводные'!$B$88*'01_Вводные'!$B$14^2+'19_Расчет_аналитики'!M1375*'01_Вводные'!$B$89*'01_Вводные'!$B$14^3)*'19_Расчет_аналитики'!$B$1070*'19_Расчет_аналитики'!$B$1098</f>
        <v/>
      </c>
      <c r="Q1622">
        <f>('19_Расчет_аналитики'!P1375*'01_Вводные'!$B$87*'01_Вводные'!$B$14^1+'19_Расчет_аналитики'!O1375*'01_Вводные'!$B$88*'01_Вводные'!$B$14^2+'19_Расчет_аналитики'!N1375*'01_Вводные'!$B$89*'01_Вводные'!$B$14^3)*'19_Расчет_аналитики'!$B$1070*'19_Расчет_аналитики'!$B$1098</f>
        <v/>
      </c>
      <c r="R1622">
        <f>('19_Расчет_аналитики'!Q1375*'01_Вводные'!$B$87*'01_Вводные'!$B$14^1+'19_Расчет_аналитики'!P1375*'01_Вводные'!$B$88*'01_Вводные'!$B$14^2+'19_Расчет_аналитики'!O1375*'01_Вводные'!$B$89*'01_Вводные'!$B$14^3)*'19_Расчет_аналитики'!$B$1070*'19_Расчет_аналитики'!$B$1098</f>
        <v/>
      </c>
      <c r="S1622">
        <f>('19_Расчет_аналитики'!R1375*'01_Вводные'!$B$87*'01_Вводные'!$B$14^1+'19_Расчет_аналитики'!Q1375*'01_Вводные'!$B$88*'01_Вводные'!$B$14^2+'19_Расчет_аналитики'!P1375*'01_Вводные'!$B$89*'01_Вводные'!$B$14^3)*'19_Расчет_аналитики'!$B$1070*'19_Расчет_аналитики'!$B$1098</f>
        <v/>
      </c>
      <c r="T1622">
        <f>('19_Расчет_аналитики'!S1375*'01_Вводные'!$B$87*'01_Вводные'!$B$14^1+'19_Расчет_аналитики'!R1375*'01_Вводные'!$B$88*'01_Вводные'!$B$14^2+'19_Расчет_аналитики'!Q1375*'01_Вводные'!$B$89*'01_Вводные'!$B$14^3)*'19_Расчет_аналитики'!$B$1070*'19_Расчет_аналитики'!$B$1098</f>
        <v/>
      </c>
      <c r="U1622">
        <f>('19_Расчет_аналитики'!T1375*'01_Вводные'!$B$87*'01_Вводные'!$B$14^1+'19_Расчет_аналитики'!S1375*'01_Вводные'!$B$88*'01_Вводные'!$B$14^2+'19_Расчет_аналитики'!R1375*'01_Вводные'!$B$89*'01_Вводные'!$B$14^3)*'19_Расчет_аналитики'!$B$1070*'19_Расчет_аналитики'!$B$1098</f>
        <v/>
      </c>
      <c r="V1622">
        <f>('19_Расчет_аналитики'!U1375*'01_Вводные'!$B$87*'01_Вводные'!$B$14^1+'19_Расчет_аналитики'!T1375*'01_Вводные'!$B$88*'01_Вводные'!$B$14^2+'19_Расчет_аналитики'!S1375*'01_Вводные'!$B$89*'01_Вводные'!$B$14^3)*'19_Расчет_аналитики'!$B$1070*'19_Расчет_аналитики'!$B$1098</f>
        <v/>
      </c>
      <c r="W1622">
        <f>('19_Расчет_аналитики'!V1375*'01_Вводные'!$B$87*'01_Вводные'!$B$14^1+'19_Расчет_аналитики'!U1375*'01_Вводные'!$B$88*'01_Вводные'!$B$14^2+'19_Расчет_аналитики'!T1375*'01_Вводные'!$B$89*'01_Вводные'!$B$14^3)*'19_Расчет_аналитики'!$B$1070*'19_Расчет_аналитики'!$B$1098</f>
        <v/>
      </c>
      <c r="X1622">
        <f>('19_Расчет_аналитики'!W1375*'01_Вводные'!$B$87*'01_Вводные'!$B$14^1+'19_Расчет_аналитики'!V1375*'01_Вводные'!$B$88*'01_Вводные'!$B$14^2+'19_Расчет_аналитики'!U1375*'01_Вводные'!$B$89*'01_Вводные'!$B$14^3)*'19_Расчет_аналитики'!$B$1070*'19_Расчет_аналитики'!$B$1098</f>
        <v/>
      </c>
      <c r="Y1622">
        <f>('19_Расчет_аналитики'!X1375*'01_Вводные'!$B$87*'01_Вводные'!$B$14^1+'19_Расчет_аналитики'!W1375*'01_Вводные'!$B$88*'01_Вводные'!$B$14^2+'19_Расчет_аналитики'!V1375*'01_Вводные'!$B$89*'01_Вводные'!$B$14^3)*'19_Расчет_аналитики'!$B$1070*'19_Расчет_аналитики'!$B$1098</f>
        <v/>
      </c>
      <c r="Z1622">
        <f>('19_Расчет_аналитики'!Y1375*'01_Вводные'!$B$87*'01_Вводные'!$B$14^1+'19_Расчет_аналитики'!X1375*'01_Вводные'!$B$88*'01_Вводные'!$B$14^2+'19_Расчет_аналитики'!W1375*'01_Вводные'!$B$89*'01_Вводные'!$B$14^3)*'19_Расчет_аналитики'!$B$1070*'19_Расчет_аналитики'!$B$1098</f>
        <v/>
      </c>
      <c r="AA1622">
        <f>('19_Расчет_аналитики'!Z1375*'01_Вводные'!$B$87*'01_Вводные'!$B$14^1+'19_Расчет_аналитики'!Y1375*'01_Вводные'!$B$88*'01_Вводные'!$B$14^2+'19_Расчет_аналитики'!X1375*'01_Вводные'!$B$89*'01_Вводные'!$B$14^3)*'19_Расчет_аналитики'!$B$1070*'19_Расчет_аналитики'!$B$1098</f>
        <v/>
      </c>
      <c r="AB1622">
        <f>('19_Расчет_аналитики'!AA1375*'01_Вводные'!$B$87*'01_Вводные'!$B$14^1+'19_Расчет_аналитики'!Z1375*'01_Вводные'!$B$88*'01_Вводные'!$B$14^2+'19_Расчет_аналитики'!Y1375*'01_Вводные'!$B$89*'01_Вводные'!$B$14^3)*'19_Расчет_аналитики'!$B$1070*'19_Расчет_аналитики'!$B$1098</f>
        <v/>
      </c>
      <c r="AC1622">
        <f>('19_Расчет_аналитики'!AB1375*'01_Вводные'!$B$87*'01_Вводные'!$B$14^1+'19_Расчет_аналитики'!AA1375*'01_Вводные'!$B$88*'01_Вводные'!$B$14^2+'19_Расчет_аналитики'!Z1375*'01_Вводные'!$B$89*'01_Вводные'!$B$14^3)*'19_Расчет_аналитики'!$B$1070*'19_Расчет_аналитики'!$B$1098</f>
        <v/>
      </c>
      <c r="AD1622">
        <f>('19_Расчет_аналитики'!AC1375*'01_Вводные'!$B$87*'01_Вводные'!$B$14^1+'19_Расчет_аналитики'!AB1375*'01_Вводные'!$B$88*'01_Вводные'!$B$14^2+'19_Расчет_аналитики'!AA1375*'01_Вводные'!$B$89*'01_Вводные'!$B$14^3)*'19_Расчет_аналитики'!$B$1070*'19_Расчет_аналитики'!$B$1098</f>
        <v/>
      </c>
      <c r="AE1622">
        <f>('19_Расчет_аналитики'!AD1375*'01_Вводные'!$B$87*'01_Вводные'!$B$14^1+'19_Расчет_аналитики'!AC1375*'01_Вводные'!$B$88*'01_Вводные'!$B$14^2+'19_Расчет_аналитики'!AB1375*'01_Вводные'!$B$89*'01_Вводные'!$B$14^3)*'19_Расчет_аналитики'!$B$1070*'19_Расчет_аналитики'!$B$1098</f>
        <v/>
      </c>
      <c r="AF1622">
        <f>('19_Расчет_аналитики'!AE1375*'01_Вводные'!$B$87*'01_Вводные'!$B$14^1+'19_Расчет_аналитики'!AD1375*'01_Вводные'!$B$88*'01_Вводные'!$B$14^2+'19_Расчет_аналитики'!AC1375*'01_Вводные'!$B$89*'01_Вводные'!$B$14^3)*'19_Расчет_аналитики'!$B$1070*'19_Расчет_аналитики'!$B$1098</f>
        <v/>
      </c>
      <c r="AG1622">
        <f>('19_Расчет_аналитики'!AF1375*'01_Вводные'!$B$87*'01_Вводные'!$B$14^1+'19_Расчет_аналитики'!AE1375*'01_Вводные'!$B$88*'01_Вводные'!$B$14^2+'19_Расчет_аналитики'!AD1375*'01_Вводные'!$B$89*'01_Вводные'!$B$14^3)*'19_Расчет_аналитики'!$B$1070*'19_Расчет_аналитики'!$B$1098</f>
        <v/>
      </c>
      <c r="AH1622">
        <f>('19_Расчет_аналитики'!AG1375*'01_Вводные'!$B$87*'01_Вводные'!$B$14^1+'19_Расчет_аналитики'!AF1375*'01_Вводные'!$B$88*'01_Вводные'!$B$14^2+'19_Расчет_аналитики'!AE1375*'01_Вводные'!$B$89*'01_Вводные'!$B$14^3)*'19_Расчет_аналитики'!$B$1070*'19_Расчет_аналитики'!$B$1098</f>
        <v/>
      </c>
      <c r="AI1622">
        <f>('19_Расчет_аналитики'!AH1375*'01_Вводные'!$B$87*'01_Вводные'!$B$14^1+'19_Расчет_аналитики'!AG1375*'01_Вводные'!$B$88*'01_Вводные'!$B$14^2+'19_Расчет_аналитики'!AF1375*'01_Вводные'!$B$89*'01_Вводные'!$B$14^3)*'19_Расчет_аналитики'!$B$1070*'19_Расчет_аналитики'!$B$1098</f>
        <v/>
      </c>
      <c r="AJ1622">
        <f>('19_Расчет_аналитики'!AI1375*'01_Вводные'!$B$87*'01_Вводные'!$B$14^1+'19_Расчет_аналитики'!AH1375*'01_Вводные'!$B$88*'01_Вводные'!$B$14^2+'19_Расчет_аналитики'!AG1375*'01_Вводные'!$B$89*'01_Вводные'!$B$14^3)*'19_Расчет_аналитики'!$B$1070*'19_Расчет_аналитики'!$B$1098</f>
        <v/>
      </c>
      <c r="AK1622">
        <f>('19_Расчет_аналитики'!AJ1375*'01_Вводные'!$B$87*'01_Вводные'!$B$14^1+'19_Расчет_аналитики'!AI1375*'01_Вводные'!$B$88*'01_Вводные'!$B$14^2+'19_Расчет_аналитики'!AH1375*'01_Вводные'!$B$89*'01_Вводные'!$B$14^3)*'19_Расчет_аналитики'!$B$1070*'19_Расчет_аналитики'!$B$1098</f>
        <v/>
      </c>
      <c r="AL1622">
        <f>('19_Расчет_аналитики'!AK1375*'01_Вводные'!$B$87*'01_Вводные'!$B$14^1+'19_Расчет_аналитики'!AJ1375*'01_Вводные'!$B$88*'01_Вводные'!$B$14^2+'19_Расчет_аналитики'!AI1375*'01_Вводные'!$B$89*'01_Вводные'!$B$14^3)*'19_Расчет_аналитики'!$B$1070*'19_Расчет_аналитики'!$B$1098</f>
        <v/>
      </c>
      <c r="AM1622">
        <f>('19_Расчет_аналитики'!AL1375*'01_Вводные'!$B$87*'01_Вводные'!$B$14^1+'19_Расчет_аналитики'!AK1375*'01_Вводные'!$B$88*'01_Вводные'!$B$14^2+'19_Расчет_аналитики'!AJ1375*'01_Вводные'!$B$89*'01_Вводные'!$B$14^3)*'19_Расчет_аналитики'!$B$1070*'19_Расчет_аналитики'!$B$1098</f>
        <v/>
      </c>
      <c r="AN1622">
        <f>('19_Расчет_аналитики'!AM1375*'01_Вводные'!$B$87*'01_Вводные'!$B$14^1+'19_Расчет_аналитики'!AL1375*'01_Вводные'!$B$88*'01_Вводные'!$B$14^2+'19_Расчет_аналитики'!AK1375*'01_Вводные'!$B$89*'01_Вводные'!$B$14^3)*'19_Расчет_аналитики'!$B$1070*'19_Расчет_аналитики'!$B$1098</f>
        <v/>
      </c>
      <c r="AO1622">
        <f>('19_Расчет_аналитики'!AN1375*'01_Вводные'!$B$87*'01_Вводные'!$B$14^1+'19_Расчет_аналитики'!AM1375*'01_Вводные'!$B$88*'01_Вводные'!$B$14^2+'19_Расчет_аналитики'!AL1375*'01_Вводные'!$B$89*'01_Вводные'!$B$14^3)*'19_Расчет_аналитики'!$B$1070*'19_Расчет_аналитики'!$B$1098</f>
        <v/>
      </c>
      <c r="AP1622">
        <f>('19_Расчет_аналитики'!AO1375*'01_Вводные'!$B$87*'01_Вводные'!$B$14^1+'19_Расчет_аналитики'!AN1375*'01_Вводные'!$B$88*'01_Вводные'!$B$14^2+'19_Расчет_аналитики'!AM1375*'01_Вводные'!$B$89*'01_Вводные'!$B$14^3)*'19_Расчет_аналитики'!$B$1070*'19_Расчет_аналитики'!$B$1098</f>
        <v/>
      </c>
      <c r="AQ1622">
        <f>('19_Расчет_аналитики'!AP1375*'01_Вводные'!$B$87*'01_Вводные'!$B$14^1+'19_Расчет_аналитики'!AO1375*'01_Вводные'!$B$88*'01_Вводные'!$B$14^2+'19_Расчет_аналитики'!AN1375*'01_Вводные'!$B$89*'01_Вводные'!$B$14^3)*'19_Расчет_аналитики'!$B$1070*'19_Расчет_аналитики'!$B$1098</f>
        <v/>
      </c>
      <c r="AR1622">
        <f>('19_Расчет_аналитики'!AQ1375*'01_Вводные'!$B$87*'01_Вводные'!$B$14^1+'19_Расчет_аналитики'!AP1375*'01_Вводные'!$B$88*'01_Вводные'!$B$14^2+'19_Расчет_аналитики'!AO1375*'01_Вводные'!$B$89*'01_Вводные'!$B$14^3)*'19_Расчет_аналитики'!$B$1070*'19_Расчет_аналитики'!$B$1098</f>
        <v/>
      </c>
      <c r="AS1622">
        <f>('19_Расчет_аналитики'!AR1375*'01_Вводные'!$B$87*'01_Вводные'!$B$14^1+'19_Расчет_аналитики'!AQ1375*'01_Вводные'!$B$88*'01_Вводные'!$B$14^2+'19_Расчет_аналитики'!AP1375*'01_Вводные'!$B$89*'01_Вводные'!$B$14^3)*'19_Расчет_аналитики'!$B$1070*'19_Расчет_аналитики'!$B$1098</f>
        <v/>
      </c>
      <c r="AT1622">
        <f>('19_Расчет_аналитики'!AS1375*'01_Вводные'!$B$87*'01_Вводные'!$B$14^1+'19_Расчет_аналитики'!AR1375*'01_Вводные'!$B$88*'01_Вводные'!$B$14^2+'19_Расчет_аналитики'!AQ1375*'01_Вводные'!$B$89*'01_Вводные'!$B$14^3)*'19_Расчет_аналитики'!$B$1070*'19_Расчет_аналитики'!$B$1098</f>
        <v/>
      </c>
      <c r="AU1622">
        <f>('19_Расчет_аналитики'!AT1375*'01_Вводные'!$B$87*'01_Вводные'!$B$14^1+'19_Расчет_аналитики'!AS1375*'01_Вводные'!$B$88*'01_Вводные'!$B$14^2+'19_Расчет_аналитики'!AR1375*'01_Вводные'!$B$89*'01_Вводные'!$B$14^3)*'19_Расчет_аналитики'!$B$1070*'19_Расчет_аналитики'!$B$1098</f>
        <v/>
      </c>
      <c r="AV1622">
        <f>('19_Расчет_аналитики'!AU1375*'01_Вводные'!$B$87*'01_Вводные'!$B$14^1+'19_Расчет_аналитики'!AT1375*'01_Вводные'!$B$88*'01_Вводные'!$B$14^2+'19_Расчет_аналитики'!AS1375*'01_Вводные'!$B$89*'01_Вводные'!$B$14^3)*'19_Расчет_аналитики'!$B$1070*'19_Расчет_аналитики'!$B$1098</f>
        <v/>
      </c>
      <c r="AW1622">
        <f>('19_Расчет_аналитики'!AV1375*'01_Вводные'!$B$87*'01_Вводные'!$B$14^1+'19_Расчет_аналитики'!AU1375*'01_Вводные'!$B$88*'01_Вводные'!$B$14^2+'19_Расчет_аналитики'!AT1375*'01_Вводные'!$B$89*'01_Вводные'!$B$14^3)*'19_Расчет_аналитики'!$B$1070*'19_Расчет_аналитики'!$B$1098</f>
        <v/>
      </c>
      <c r="AX1622">
        <f>('19_Расчет_аналитики'!AW1375*'01_Вводные'!$B$87*'01_Вводные'!$B$14^1+'19_Расчет_аналитики'!AV1375*'01_Вводные'!$B$88*'01_Вводные'!$B$14^2+'19_Расчет_аналитики'!AU1375*'01_Вводные'!$B$89*'01_Вводные'!$B$14^3)*'19_Расчет_аналитики'!$B$1070*'19_Расчет_аналитики'!$B$1098</f>
        <v/>
      </c>
      <c r="AY1622">
        <f>('19_Расчет_аналитики'!AX1375*'01_Вводные'!$B$87*'01_Вводные'!$B$14^1+'19_Расчет_аналитики'!AW1375*'01_Вводные'!$B$88*'01_Вводные'!$B$14^2+'19_Расчет_аналитики'!AV1375*'01_Вводные'!$B$89*'01_Вводные'!$B$14^3)*'19_Расчет_аналитики'!$B$1070*'19_Расчет_аналитики'!$B$1098</f>
        <v/>
      </c>
      <c r="AZ1622">
        <f>('19_Расчет_аналитики'!AY1375*'01_Вводные'!$B$87*'01_Вводные'!$B$14^1+'19_Расчет_аналитики'!AX1375*'01_Вводные'!$B$88*'01_Вводные'!$B$14^2+'19_Расчет_аналитики'!AW1375*'01_Вводные'!$B$89*'01_Вводные'!$B$14^3)*'19_Расчет_аналитики'!$B$1070*'19_Расчет_аналитики'!$B$1098</f>
        <v/>
      </c>
      <c r="BA1622">
        <f>('19_Расчет_аналитики'!AZ1375*'01_Вводные'!$B$87*'01_Вводные'!$B$14^1+'19_Расчет_аналитики'!AY1375*'01_Вводные'!$B$88*'01_Вводные'!$B$14^2+'19_Расчет_аналитики'!AX1375*'01_Вводные'!$B$89*'01_Вводные'!$B$14^3)*'19_Расчет_аналитики'!$B$1070*'19_Расчет_аналитики'!$B$1098</f>
        <v/>
      </c>
      <c r="BB1622">
        <f>('19_Расчет_аналитики'!BA1375*'01_Вводные'!$B$87*'01_Вводные'!$B$14^1+'19_Расчет_аналитики'!AZ1375*'01_Вводные'!$B$88*'01_Вводные'!$B$14^2+'19_Расчет_аналитики'!AY1375*'01_Вводные'!$B$89*'01_Вводные'!$B$14^3)*'19_Расчет_аналитики'!$B$1070*'19_Расчет_аналитики'!$B$1098</f>
        <v/>
      </c>
      <c r="BC1622">
        <f>('19_Расчет_аналитики'!BB1375*'01_Вводные'!$B$87*'01_Вводные'!$B$14^1+'19_Расчет_аналитики'!BA1375*'01_Вводные'!$B$88*'01_Вводные'!$B$14^2+'19_Расчет_аналитики'!AZ1375*'01_Вводные'!$B$89*'01_Вводные'!$B$14^3)*'19_Расчет_аналитики'!$B$1070*'19_Расчет_аналитики'!$B$1098</f>
        <v/>
      </c>
      <c r="BD1622">
        <f>('19_Расчет_аналитики'!BC1375*'01_Вводные'!$B$87*'01_Вводные'!$B$14^1+'19_Расчет_аналитики'!BB1375*'01_Вводные'!$B$88*'01_Вводные'!$B$14^2+'19_Расчет_аналитики'!BA1375*'01_Вводные'!$B$89*'01_Вводные'!$B$14^3)*'19_Расчет_аналитики'!$B$1070*'19_Расчет_аналитики'!$B$1098</f>
        <v/>
      </c>
      <c r="BE1622">
        <f>('19_Расчет_аналитики'!BD1375*'01_Вводные'!$B$87*'01_Вводные'!$B$14^1+'19_Расчет_аналитики'!BC1375*'01_Вводные'!$B$88*'01_Вводные'!$B$14^2+'19_Расчет_аналитики'!BB1375*'01_Вводные'!$B$89*'01_Вводные'!$B$14^3)*'19_Расчет_аналитики'!$B$1070*'19_Расчет_аналитики'!$B$1098</f>
        <v/>
      </c>
      <c r="BF1622">
        <f>('19_Расчет_аналитики'!BE1375*'01_Вводные'!$B$87*'01_Вводные'!$B$14^1+'19_Расчет_аналитики'!BD1375*'01_Вводные'!$B$88*'01_Вводные'!$B$14^2+'19_Расчет_аналитики'!BC1375*'01_Вводные'!$B$89*'01_Вводные'!$B$14^3)*'19_Расчет_аналитики'!$B$1070*'19_Расчет_аналитики'!$B$1098</f>
        <v/>
      </c>
      <c r="BG1622">
        <f>('19_Расчет_аналитики'!BF1375*'01_Вводные'!$B$87*'01_Вводные'!$B$14^1+'19_Расчет_аналитики'!BE1375*'01_Вводные'!$B$88*'01_Вводные'!$B$14^2+'19_Расчет_аналитики'!BD1375*'01_Вводные'!$B$89*'01_Вводные'!$B$14^3)*'19_Расчет_аналитики'!$B$1070*'19_Расчет_аналитики'!$B$1098</f>
        <v/>
      </c>
      <c r="BH1622">
        <f>('19_Расчет_аналитики'!BG1375*'01_Вводные'!$B$87*'01_Вводные'!$B$14^1+'19_Расчет_аналитики'!BF1375*'01_Вводные'!$B$88*'01_Вводные'!$B$14^2+'19_Расчет_аналитики'!BE1375*'01_Вводные'!$B$89*'01_Вводные'!$B$14^3)*'19_Расчет_аналитики'!$B$1070*'19_Расчет_аналитики'!$B$1098</f>
        <v/>
      </c>
      <c r="BI1622">
        <f>('19_Расчет_аналитики'!BH1375*'01_Вводные'!$B$87*'01_Вводные'!$B$14^1+'19_Расчет_аналитики'!BG1375*'01_Вводные'!$B$88*'01_Вводные'!$B$14^2+'19_Расчет_аналитики'!BF1375*'01_Вводные'!$B$89*'01_Вводные'!$B$14^3)*'19_Расчет_аналитики'!$B$1070*'19_Расчет_аналитики'!$B$1098</f>
        <v/>
      </c>
      <c r="BJ1622">
        <f>('19_Расчет_аналитики'!BI1375*'01_Вводные'!$B$87*'01_Вводные'!$B$14^1+'19_Расчет_аналитики'!BH1375*'01_Вводные'!$B$88*'01_Вводные'!$B$14^2+'19_Расчет_аналитики'!BG1375*'01_Вводные'!$B$89*'01_Вводные'!$B$14^3)*'19_Расчет_аналитики'!$B$1070*'19_Расчет_аналитики'!$B$1098</f>
        <v/>
      </c>
      <c r="BK1622">
        <f>('19_Расчет_аналитики'!BJ1375*'01_Вводные'!$B$87*'01_Вводные'!$B$14^1+'19_Расчет_аналитики'!BI1375*'01_Вводные'!$B$88*'01_Вводные'!$B$14^2+'19_Расчет_аналитики'!BH1375*'01_Вводные'!$B$89*'01_Вводные'!$B$14^3)*'19_Расчет_аналитики'!$B$1070*'19_Расчет_аналитики'!$B$1098</f>
        <v/>
      </c>
      <c r="BL1622">
        <f>('19_Расчет_аналитики'!BK1375*'01_Вводные'!$B$87*'01_Вводные'!$B$14^1+'19_Расчет_аналитики'!BJ1375*'01_Вводные'!$B$88*'01_Вводные'!$B$14^2+'19_Расчет_аналитики'!BI1375*'01_Вводные'!$B$89*'01_Вводные'!$B$14^3)*'19_Расчет_аналитики'!$B$1070*'19_Расчет_аналитики'!$B$1098</f>
        <v/>
      </c>
      <c r="BM1622">
        <f>('19_Расчет_аналитики'!BL1375*'01_Вводные'!$B$87*'01_Вводные'!$B$14^1+'19_Расчет_аналитики'!BK1375*'01_Вводные'!$B$88*'01_Вводные'!$B$14^2+'19_Расчет_аналитики'!BJ1375*'01_Вводные'!$B$89*'01_Вводные'!$B$14^3)*'19_Расчет_аналитики'!$B$1070*'19_Расчет_аналитики'!$B$1098</f>
        <v/>
      </c>
      <c r="BN1622">
        <f>('19_Расчет_аналитики'!BM1375*'01_Вводные'!$B$87*'01_Вводные'!$B$14^1+'19_Расчет_аналитики'!BL1375*'01_Вводные'!$B$88*'01_Вводные'!$B$14^2+'19_Расчет_аналитики'!BK1375*'01_Вводные'!$B$89*'01_Вводные'!$B$14^3)*'19_Расчет_аналитики'!$B$1070*'19_Расчет_аналитики'!$B$1098</f>
        <v/>
      </c>
      <c r="BO1622">
        <f>('19_Расчет_аналитики'!BN1375*'01_Вводные'!$B$87*'01_Вводные'!$B$14^1+'19_Расчет_аналитики'!BM1375*'01_Вводные'!$B$88*'01_Вводные'!$B$14^2+'19_Расчет_аналитики'!BL1375*'01_Вводные'!$B$89*'01_Вводные'!$B$14^3)*'19_Расчет_аналитики'!$B$1070*'19_Расчет_аналитики'!$B$1098</f>
        <v/>
      </c>
    </row>
    <row r="1623">
      <c r="B1623">
        <f>'19_Расчет_аналитики'!B1558*'19_Расчет_аналитики'!$B$1098*'07_Мерч'!B4</f>
        <v/>
      </c>
      <c r="C1623">
        <f>'19_Расчет_аналитики'!C1558*'19_Расчет_аналитики'!$B$1098*'07_Мерч'!C4</f>
        <v/>
      </c>
      <c r="D1623">
        <f>'19_Расчет_аналитики'!D1558*'19_Расчет_аналитики'!$B$1098*'07_Мерч'!D4</f>
        <v/>
      </c>
      <c r="E1623">
        <f>'19_Расчет_аналитики'!E1558*'19_Расчет_аналитики'!$B$1098*'07_Мерч'!E4</f>
        <v/>
      </c>
      <c r="F1623">
        <f>'19_Расчет_аналитики'!F1558*'19_Расчет_аналитики'!$B$1098*'07_Мерч'!F4</f>
        <v/>
      </c>
      <c r="G1623">
        <f>'19_Расчет_аналитики'!G1558*'19_Расчет_аналитики'!$B$1098*'07_Мерч'!G4</f>
        <v/>
      </c>
      <c r="H1623">
        <f>'19_Расчет_аналитики'!H1558*'19_Расчет_аналитики'!$B$1098*'07_Мерч'!H4</f>
        <v/>
      </c>
      <c r="I1623">
        <f>'19_Расчет_аналитики'!I1558*'19_Расчет_аналитики'!$B$1098*'07_Мерч'!I4</f>
        <v/>
      </c>
      <c r="J1623">
        <f>'19_Расчет_аналитики'!J1558*'19_Расчет_аналитики'!$B$1098*'07_Мерч'!J4</f>
        <v/>
      </c>
      <c r="K1623">
        <f>'19_Расчет_аналитики'!K1558*'19_Расчет_аналитики'!$B$1098*'07_Мерч'!K4</f>
        <v/>
      </c>
      <c r="L1623">
        <f>'19_Расчет_аналитики'!L1558*'19_Расчет_аналитики'!$B$1098*'07_Мерч'!L4</f>
        <v/>
      </c>
      <c r="M1623">
        <f>'19_Расчет_аналитики'!M1558*'19_Расчет_аналитики'!$B$1098*'07_Мерч'!M4</f>
        <v/>
      </c>
      <c r="N1623">
        <f>'19_Расчет_аналитики'!N1558*'19_Расчет_аналитики'!$B$1098*'07_Мерч'!N4</f>
        <v/>
      </c>
      <c r="O1623">
        <f>'19_Расчет_аналитики'!O1558*'19_Расчет_аналитики'!$B$1098*'07_Мерч'!O4</f>
        <v/>
      </c>
      <c r="P1623">
        <f>'19_Расчет_аналитики'!P1558*'19_Расчет_аналитики'!$B$1098*'07_Мерч'!P4</f>
        <v/>
      </c>
      <c r="Q1623">
        <f>'19_Расчет_аналитики'!Q1558*'19_Расчет_аналитики'!$B$1098*'07_Мерч'!Q4</f>
        <v/>
      </c>
      <c r="R1623">
        <f>'19_Расчет_аналитики'!R1558*'19_Расчет_аналитики'!$B$1098*'07_Мерч'!R4</f>
        <v/>
      </c>
      <c r="S1623">
        <f>'19_Расчет_аналитики'!S1558*'19_Расчет_аналитики'!$B$1098*'07_Мерч'!S4</f>
        <v/>
      </c>
      <c r="T1623">
        <f>'19_Расчет_аналитики'!T1558*'19_Расчет_аналитики'!$B$1098*'07_Мерч'!T4</f>
        <v/>
      </c>
      <c r="U1623">
        <f>'19_Расчет_аналитики'!U1558*'19_Расчет_аналитики'!$B$1098*'07_Мерч'!U4</f>
        <v/>
      </c>
      <c r="V1623">
        <f>'19_Расчет_аналитики'!V1558*'19_Расчет_аналитики'!$B$1098*'07_Мерч'!V4</f>
        <v/>
      </c>
      <c r="W1623">
        <f>'19_Расчет_аналитики'!W1558*'19_Расчет_аналитики'!$B$1098*'07_Мерч'!W4</f>
        <v/>
      </c>
      <c r="X1623">
        <f>'19_Расчет_аналитики'!X1558*'19_Расчет_аналитики'!$B$1098*'07_Мерч'!X4</f>
        <v/>
      </c>
      <c r="Y1623">
        <f>'19_Расчет_аналитики'!Y1558*'19_Расчет_аналитики'!$B$1098*'07_Мерч'!Y4</f>
        <v/>
      </c>
      <c r="Z1623">
        <f>'19_Расчет_аналитики'!Z1558*'19_Расчет_аналитики'!$B$1098*'07_Мерч'!Z4</f>
        <v/>
      </c>
      <c r="AA1623">
        <f>'19_Расчет_аналитики'!AA1558*'19_Расчет_аналитики'!$B$1098*'07_Мерч'!AA4</f>
        <v/>
      </c>
      <c r="AB1623">
        <f>'19_Расчет_аналитики'!AB1558*'19_Расчет_аналитики'!$B$1098*'07_Мерч'!AB4</f>
        <v/>
      </c>
      <c r="AC1623">
        <f>'19_Расчет_аналитики'!AC1558*'19_Расчет_аналитики'!$B$1098*'07_Мерч'!AC4</f>
        <v/>
      </c>
      <c r="AD1623">
        <f>'19_Расчет_аналитики'!AD1558*'19_Расчет_аналитики'!$B$1098*'07_Мерч'!AD4</f>
        <v/>
      </c>
      <c r="AE1623">
        <f>'19_Расчет_аналитики'!AE1558*'19_Расчет_аналитики'!$B$1098*'07_Мерч'!AE4</f>
        <v/>
      </c>
      <c r="AF1623">
        <f>'19_Расчет_аналитики'!AF1558*'19_Расчет_аналитики'!$B$1098*'07_Мерч'!AF4</f>
        <v/>
      </c>
      <c r="AG1623">
        <f>'19_Расчет_аналитики'!AG1558*'19_Расчет_аналитики'!$B$1098*'07_Мерч'!AG4</f>
        <v/>
      </c>
      <c r="AH1623">
        <f>'19_Расчет_аналитики'!AH1558*'19_Расчет_аналитики'!$B$1098*'07_Мерч'!AH4</f>
        <v/>
      </c>
      <c r="AI1623">
        <f>'19_Расчет_аналитики'!AI1558*'19_Расчет_аналитики'!$B$1098*'07_Мерч'!AI4</f>
        <v/>
      </c>
      <c r="AJ1623">
        <f>'19_Расчет_аналитики'!AJ1558*'19_Расчет_аналитики'!$B$1098*'07_Мерч'!AJ4</f>
        <v/>
      </c>
      <c r="AK1623">
        <f>'19_Расчет_аналитики'!AK1558*'19_Расчет_аналитики'!$B$1098*'07_Мерч'!AK4</f>
        <v/>
      </c>
      <c r="AL1623">
        <f>'19_Расчет_аналитики'!AL1558*'19_Расчет_аналитики'!$B$1098*'07_Мерч'!AL4</f>
        <v/>
      </c>
      <c r="AM1623">
        <f>'19_Расчет_аналитики'!AM1558*'19_Расчет_аналитики'!$B$1098*'07_Мерч'!AM4</f>
        <v/>
      </c>
      <c r="AN1623">
        <f>'19_Расчет_аналитики'!AN1558*'19_Расчет_аналитики'!$B$1098*'07_Мерч'!AN4</f>
        <v/>
      </c>
      <c r="AO1623">
        <f>'19_Расчет_аналитики'!AO1558*'19_Расчет_аналитики'!$B$1098*'07_Мерч'!AO4</f>
        <v/>
      </c>
      <c r="AP1623">
        <f>'19_Расчет_аналитики'!AP1558*'19_Расчет_аналитики'!$B$1098*'07_Мерч'!AP4</f>
        <v/>
      </c>
      <c r="AQ1623">
        <f>'19_Расчет_аналитики'!AQ1558*'19_Расчет_аналитики'!$B$1098*'07_Мерч'!AQ4</f>
        <v/>
      </c>
      <c r="AR1623">
        <f>'19_Расчет_аналитики'!AR1558*'19_Расчет_аналитики'!$B$1098*'07_Мерч'!AR4</f>
        <v/>
      </c>
      <c r="AS1623">
        <f>'19_Расчет_аналитики'!AS1558*'19_Расчет_аналитики'!$B$1098*'07_Мерч'!AS4</f>
        <v/>
      </c>
      <c r="AT1623">
        <f>'19_Расчет_аналитики'!AT1558*'19_Расчет_аналитики'!$B$1098*'07_Мерч'!AT4</f>
        <v/>
      </c>
      <c r="AU1623">
        <f>'19_Расчет_аналитики'!AU1558*'19_Расчет_аналитики'!$B$1098*'07_Мерч'!AU4</f>
        <v/>
      </c>
      <c r="AV1623">
        <f>'19_Расчет_аналитики'!AV1558*'19_Расчет_аналитики'!$B$1098*'07_Мерч'!AV4</f>
        <v/>
      </c>
      <c r="AW1623">
        <f>'19_Расчет_аналитики'!AW1558*'19_Расчет_аналитики'!$B$1098*'07_Мерч'!AW4</f>
        <v/>
      </c>
      <c r="AX1623">
        <f>'19_Расчет_аналитики'!AX1558*'19_Расчет_аналитики'!$B$1098*'07_Мерч'!AX4</f>
        <v/>
      </c>
      <c r="AY1623">
        <f>'19_Расчет_аналитики'!AY1558*'19_Расчет_аналитики'!$B$1098*'07_Мерч'!AY4</f>
        <v/>
      </c>
      <c r="AZ1623">
        <f>'19_Расчет_аналитики'!AZ1558*'19_Расчет_аналитики'!$B$1098*'07_Мерч'!AZ4</f>
        <v/>
      </c>
      <c r="BA1623">
        <f>'19_Расчет_аналитики'!BA1558*'19_Расчет_аналитики'!$B$1098*'07_Мерч'!BA4</f>
        <v/>
      </c>
      <c r="BB1623">
        <f>'19_Расчет_аналитики'!BB1558*'19_Расчет_аналитики'!$B$1098*'07_Мерч'!BB4</f>
        <v/>
      </c>
      <c r="BC1623">
        <f>'19_Расчет_аналитики'!BC1558*'19_Расчет_аналитики'!$B$1098*'07_Мерч'!BC4</f>
        <v/>
      </c>
      <c r="BD1623">
        <f>'19_Расчет_аналитики'!BD1558*'19_Расчет_аналитики'!$B$1098*'07_Мерч'!BD4</f>
        <v/>
      </c>
      <c r="BE1623">
        <f>'19_Расчет_аналитики'!BE1558*'19_Расчет_аналитики'!$B$1098*'07_Мерч'!BE4</f>
        <v/>
      </c>
      <c r="BF1623">
        <f>'19_Расчет_аналитики'!BF1558*'19_Расчет_аналитики'!$B$1098*'07_Мерч'!BF4</f>
        <v/>
      </c>
      <c r="BG1623">
        <f>'19_Расчет_аналитики'!BG1558*'19_Расчет_аналитики'!$B$1098*'07_Мерч'!BG4</f>
        <v/>
      </c>
      <c r="BH1623">
        <f>'19_Расчет_аналитики'!BH1558*'19_Расчет_аналитики'!$B$1098*'07_Мерч'!BH4</f>
        <v/>
      </c>
      <c r="BI1623">
        <f>'19_Расчет_аналитики'!BI1558*'19_Расчет_аналитики'!$B$1098*'07_Мерч'!BI4</f>
        <v/>
      </c>
      <c r="BJ1623">
        <f>'19_Расчет_аналитики'!BJ1558*'19_Расчет_аналитики'!$B$1098*'07_Мерч'!BJ4</f>
        <v/>
      </c>
      <c r="BK1623">
        <f>'19_Расчет_аналитики'!BK1558*'19_Расчет_аналитики'!$B$1098*'07_Мерч'!BK4</f>
        <v/>
      </c>
      <c r="BL1623">
        <f>'19_Расчет_аналитики'!BL1558*'19_Расчет_аналитики'!$B$1098*'07_Мерч'!BL4</f>
        <v/>
      </c>
      <c r="BM1623">
        <f>'19_Расчет_аналитики'!BM1558*'19_Расчет_аналитики'!$B$1098*'07_Мерч'!BM4</f>
        <v/>
      </c>
      <c r="BN1623">
        <f>'19_Расчет_аналитики'!BN1558*'19_Расчет_аналитики'!$B$1098*'07_Мерч'!BN4</f>
        <v/>
      </c>
      <c r="BO1623">
        <f>'19_Расчет_аналитики'!BO1558*'19_Расчет_аналитики'!$B$1098*'07_Мерч'!BO4</f>
        <v/>
      </c>
    </row>
    <row r="1624">
      <c r="B1624">
        <f>SUM('19_Расчет_аналитики'!B1622:B1623)*'18_Календарь_тарифы'!B10</f>
        <v/>
      </c>
      <c r="C1624">
        <f>SUM('19_Расчет_аналитики'!C1622:C1623)*'18_Календарь_тарифы'!C10</f>
        <v/>
      </c>
      <c r="D1624">
        <f>SUM('19_Расчет_аналитики'!D1622:D1623)*'18_Календарь_тарифы'!D10</f>
        <v/>
      </c>
      <c r="E1624">
        <f>SUM('19_Расчет_аналитики'!E1622:E1623)*'18_Календарь_тарифы'!E10</f>
        <v/>
      </c>
      <c r="F1624">
        <f>SUM('19_Расчет_аналитики'!F1622:F1623)*'18_Календарь_тарифы'!F10</f>
        <v/>
      </c>
      <c r="G1624">
        <f>SUM('19_Расчет_аналитики'!G1622:G1623)*'18_Календарь_тарифы'!G10</f>
        <v/>
      </c>
      <c r="H1624">
        <f>SUM('19_Расчет_аналитики'!H1622:H1623)*'18_Календарь_тарифы'!H10</f>
        <v/>
      </c>
      <c r="I1624">
        <f>SUM('19_Расчет_аналитики'!I1622:I1623)*'18_Календарь_тарифы'!I10</f>
        <v/>
      </c>
      <c r="J1624">
        <f>SUM('19_Расчет_аналитики'!J1622:J1623)*'18_Календарь_тарифы'!J10</f>
        <v/>
      </c>
      <c r="K1624">
        <f>SUM('19_Расчет_аналитики'!K1622:K1623)*'18_Календарь_тарифы'!K10</f>
        <v/>
      </c>
      <c r="L1624">
        <f>SUM('19_Расчет_аналитики'!L1622:L1623)*'18_Календарь_тарифы'!L10</f>
        <v/>
      </c>
      <c r="M1624">
        <f>SUM('19_Расчет_аналитики'!M1622:M1623)*'18_Календарь_тарифы'!M10</f>
        <v/>
      </c>
      <c r="N1624">
        <f>SUM('19_Расчет_аналитики'!N1622:N1623)*'18_Календарь_тарифы'!N10</f>
        <v/>
      </c>
      <c r="O1624">
        <f>SUM('19_Расчет_аналитики'!O1622:O1623)*'18_Календарь_тарифы'!O10</f>
        <v/>
      </c>
      <c r="P1624">
        <f>SUM('19_Расчет_аналитики'!P1622:P1623)*'18_Календарь_тарифы'!P10</f>
        <v/>
      </c>
      <c r="Q1624">
        <f>SUM('19_Расчет_аналитики'!Q1622:Q1623)*'18_Календарь_тарифы'!Q10</f>
        <v/>
      </c>
      <c r="R1624">
        <f>SUM('19_Расчет_аналитики'!R1622:R1623)*'18_Календарь_тарифы'!R10</f>
        <v/>
      </c>
      <c r="S1624">
        <f>SUM('19_Расчет_аналитики'!S1622:S1623)*'18_Календарь_тарифы'!S10</f>
        <v/>
      </c>
      <c r="T1624">
        <f>SUM('19_Расчет_аналитики'!T1622:T1623)*'18_Календарь_тарифы'!T10</f>
        <v/>
      </c>
      <c r="U1624">
        <f>SUM('19_Расчет_аналитики'!U1622:U1623)*'18_Календарь_тарифы'!U10</f>
        <v/>
      </c>
      <c r="V1624">
        <f>SUM('19_Расчет_аналитики'!V1622:V1623)*'18_Календарь_тарифы'!V10</f>
        <v/>
      </c>
      <c r="W1624">
        <f>SUM('19_Расчет_аналитики'!W1622:W1623)*'18_Календарь_тарифы'!W10</f>
        <v/>
      </c>
      <c r="X1624">
        <f>SUM('19_Расчет_аналитики'!X1622:X1623)*'18_Календарь_тарифы'!X10</f>
        <v/>
      </c>
      <c r="Y1624">
        <f>SUM('19_Расчет_аналитики'!Y1622:Y1623)*'18_Календарь_тарифы'!Y10</f>
        <v/>
      </c>
      <c r="Z1624">
        <f>SUM('19_Расчет_аналитики'!Z1622:Z1623)*'18_Календарь_тарифы'!Z10</f>
        <v/>
      </c>
      <c r="AA1624">
        <f>SUM('19_Расчет_аналитики'!AA1622:AA1623)*'18_Календарь_тарифы'!AA10</f>
        <v/>
      </c>
      <c r="AB1624">
        <f>SUM('19_Расчет_аналитики'!AB1622:AB1623)*'18_Календарь_тарифы'!AB10</f>
        <v/>
      </c>
      <c r="AC1624">
        <f>SUM('19_Расчет_аналитики'!AC1622:AC1623)*'18_Календарь_тарифы'!AC10</f>
        <v/>
      </c>
      <c r="AD1624">
        <f>SUM('19_Расчет_аналитики'!AD1622:AD1623)*'18_Календарь_тарифы'!AD10</f>
        <v/>
      </c>
      <c r="AE1624">
        <f>SUM('19_Расчет_аналитики'!AE1622:AE1623)*'18_Календарь_тарифы'!AE10</f>
        <v/>
      </c>
      <c r="AF1624">
        <f>SUM('19_Расчет_аналитики'!AF1622:AF1623)*'18_Календарь_тарифы'!AF10</f>
        <v/>
      </c>
      <c r="AG1624">
        <f>SUM('19_Расчет_аналитики'!AG1622:AG1623)*'18_Календарь_тарифы'!AG10</f>
        <v/>
      </c>
      <c r="AH1624">
        <f>SUM('19_Расчет_аналитики'!AH1622:AH1623)*'18_Календарь_тарифы'!AH10</f>
        <v/>
      </c>
      <c r="AI1624">
        <f>SUM('19_Расчет_аналитики'!AI1622:AI1623)*'18_Календарь_тарифы'!AI10</f>
        <v/>
      </c>
      <c r="AJ1624">
        <f>SUM('19_Расчет_аналитики'!AJ1622:AJ1623)*'18_Календарь_тарифы'!AJ10</f>
        <v/>
      </c>
      <c r="AK1624">
        <f>SUM('19_Расчет_аналитики'!AK1622:AK1623)*'18_Календарь_тарифы'!AK10</f>
        <v/>
      </c>
      <c r="AL1624">
        <f>SUM('19_Расчет_аналитики'!AL1622:AL1623)*'18_Календарь_тарифы'!AL10</f>
        <v/>
      </c>
      <c r="AM1624">
        <f>SUM('19_Расчет_аналитики'!AM1622:AM1623)*'18_Календарь_тарифы'!AM10</f>
        <v/>
      </c>
      <c r="AN1624">
        <f>SUM('19_Расчет_аналитики'!AN1622:AN1623)*'18_Календарь_тарифы'!AN10</f>
        <v/>
      </c>
      <c r="AO1624">
        <f>SUM('19_Расчет_аналитики'!AO1622:AO1623)*'18_Календарь_тарифы'!AO10</f>
        <v/>
      </c>
      <c r="AP1624">
        <f>SUM('19_Расчет_аналитики'!AP1622:AP1623)*'18_Календарь_тарифы'!AP10</f>
        <v/>
      </c>
      <c r="AQ1624">
        <f>SUM('19_Расчет_аналитики'!AQ1622:AQ1623)*'18_Календарь_тарифы'!AQ10</f>
        <v/>
      </c>
      <c r="AR1624">
        <f>SUM('19_Расчет_аналитики'!AR1622:AR1623)*'18_Календарь_тарифы'!AR10</f>
        <v/>
      </c>
      <c r="AS1624">
        <f>SUM('19_Расчет_аналитики'!AS1622:AS1623)*'18_Календарь_тарифы'!AS10</f>
        <v/>
      </c>
      <c r="AT1624">
        <f>SUM('19_Расчет_аналитики'!AT1622:AT1623)*'18_Календарь_тарифы'!AT10</f>
        <v/>
      </c>
      <c r="AU1624">
        <f>SUM('19_Расчет_аналитики'!AU1622:AU1623)*'18_Календарь_тарифы'!AU10</f>
        <v/>
      </c>
      <c r="AV1624">
        <f>SUM('19_Расчет_аналитики'!AV1622:AV1623)*'18_Календарь_тарифы'!AV10</f>
        <v/>
      </c>
      <c r="AW1624">
        <f>SUM('19_Расчет_аналитики'!AW1622:AW1623)*'18_Календарь_тарифы'!AW10</f>
        <v/>
      </c>
      <c r="AX1624">
        <f>SUM('19_Расчет_аналитики'!AX1622:AX1623)*'18_Календарь_тарифы'!AX10</f>
        <v/>
      </c>
      <c r="AY1624">
        <f>SUM('19_Расчет_аналитики'!AY1622:AY1623)*'18_Календарь_тарифы'!AY10</f>
        <v/>
      </c>
      <c r="AZ1624">
        <f>SUM('19_Расчет_аналитики'!AZ1622:AZ1623)*'18_Календарь_тарифы'!AZ10</f>
        <v/>
      </c>
      <c r="BA1624">
        <f>SUM('19_Расчет_аналитики'!BA1622:BA1623)*'18_Календарь_тарифы'!BA10</f>
        <v/>
      </c>
      <c r="BB1624">
        <f>SUM('19_Расчет_аналитики'!BB1622:BB1623)*'18_Календарь_тарифы'!BB10</f>
        <v/>
      </c>
      <c r="BC1624">
        <f>SUM('19_Расчет_аналитики'!BC1622:BC1623)*'18_Календарь_тарифы'!BC10</f>
        <v/>
      </c>
      <c r="BD1624">
        <f>SUM('19_Расчет_аналитики'!BD1622:BD1623)*'18_Календарь_тарифы'!BD10</f>
        <v/>
      </c>
      <c r="BE1624">
        <f>SUM('19_Расчет_аналитики'!BE1622:BE1623)*'18_Календарь_тарифы'!BE10</f>
        <v/>
      </c>
      <c r="BF1624">
        <f>SUM('19_Расчет_аналитики'!BF1622:BF1623)*'18_Календарь_тарифы'!BF10</f>
        <v/>
      </c>
      <c r="BG1624">
        <f>SUM('19_Расчет_аналитики'!BG1622:BG1623)*'18_Календарь_тарифы'!BG10</f>
        <v/>
      </c>
      <c r="BH1624">
        <f>SUM('19_Расчет_аналитики'!BH1622:BH1623)*'18_Календарь_тарифы'!BH10</f>
        <v/>
      </c>
      <c r="BI1624">
        <f>SUM('19_Расчет_аналитики'!BI1622:BI1623)*'18_Календарь_тарифы'!BI10</f>
        <v/>
      </c>
      <c r="BJ1624">
        <f>SUM('19_Расчет_аналитики'!BJ1622:BJ1623)*'18_Календарь_тарифы'!BJ10</f>
        <v/>
      </c>
      <c r="BK1624">
        <f>SUM('19_Расчет_аналитики'!BK1622:BK1623)*'18_Календарь_тарифы'!BK10</f>
        <v/>
      </c>
      <c r="BL1624">
        <f>SUM('19_Расчет_аналитики'!BL1622:BL1623)*'18_Календарь_тарифы'!BL10</f>
        <v/>
      </c>
      <c r="BM1624">
        <f>SUM('19_Расчет_аналитики'!BM1622:BM1623)*'18_Календарь_тарифы'!BM10</f>
        <v/>
      </c>
      <c r="BN1624">
        <f>SUM('19_Расчет_аналитики'!BN1622:BN1623)*'18_Календарь_тарифы'!BN10</f>
        <v/>
      </c>
      <c r="BO1624">
        <f>SUM('19_Расчет_аналитики'!BO1622:BO1623)*'18_Календарь_тарифы'!BO10</f>
        <v/>
      </c>
    </row>
    <row r="1625">
      <c r="B1625">
        <f>SUM('19_Расчет_аналитики'!B1622:B1623)*'18_Календарь_тарифы'!B9</f>
        <v/>
      </c>
      <c r="C1625">
        <f>SUM('19_Расчет_аналитики'!C1622:C1623)*'18_Календарь_тарифы'!C9</f>
        <v/>
      </c>
      <c r="D1625">
        <f>SUM('19_Расчет_аналитики'!D1622:D1623)*'18_Календарь_тарифы'!D9</f>
        <v/>
      </c>
      <c r="E1625">
        <f>SUM('19_Расчет_аналитики'!E1622:E1623)*'18_Календарь_тарифы'!E9</f>
        <v/>
      </c>
      <c r="F1625">
        <f>SUM('19_Расчет_аналитики'!F1622:F1623)*'18_Календарь_тарифы'!F9</f>
        <v/>
      </c>
      <c r="G1625">
        <f>SUM('19_Расчет_аналитики'!G1622:G1623)*'18_Календарь_тарифы'!G9</f>
        <v/>
      </c>
      <c r="H1625">
        <f>SUM('19_Расчет_аналитики'!H1622:H1623)*'18_Календарь_тарифы'!H9</f>
        <v/>
      </c>
      <c r="I1625">
        <f>SUM('19_Расчет_аналитики'!I1622:I1623)*'18_Календарь_тарифы'!I9</f>
        <v/>
      </c>
      <c r="J1625">
        <f>SUM('19_Расчет_аналитики'!J1622:J1623)*'18_Календарь_тарифы'!J9</f>
        <v/>
      </c>
      <c r="K1625">
        <f>SUM('19_Расчет_аналитики'!K1622:K1623)*'18_Календарь_тарифы'!K9</f>
        <v/>
      </c>
      <c r="L1625">
        <f>SUM('19_Расчет_аналитики'!L1622:L1623)*'18_Календарь_тарифы'!L9</f>
        <v/>
      </c>
      <c r="M1625">
        <f>SUM('19_Расчет_аналитики'!M1622:M1623)*'18_Календарь_тарифы'!M9</f>
        <v/>
      </c>
      <c r="N1625">
        <f>SUM('19_Расчет_аналитики'!N1622:N1623)*'18_Календарь_тарифы'!N9</f>
        <v/>
      </c>
      <c r="O1625">
        <f>SUM('19_Расчет_аналитики'!O1622:O1623)*'18_Календарь_тарифы'!O9</f>
        <v/>
      </c>
      <c r="P1625">
        <f>SUM('19_Расчет_аналитики'!P1622:P1623)*'18_Календарь_тарифы'!P9</f>
        <v/>
      </c>
      <c r="Q1625">
        <f>SUM('19_Расчет_аналитики'!Q1622:Q1623)*'18_Календарь_тарифы'!Q9</f>
        <v/>
      </c>
      <c r="R1625">
        <f>SUM('19_Расчет_аналитики'!R1622:R1623)*'18_Календарь_тарифы'!R9</f>
        <v/>
      </c>
      <c r="S1625">
        <f>SUM('19_Расчет_аналитики'!S1622:S1623)*'18_Календарь_тарифы'!S9</f>
        <v/>
      </c>
      <c r="T1625">
        <f>SUM('19_Расчет_аналитики'!T1622:T1623)*'18_Календарь_тарифы'!T9</f>
        <v/>
      </c>
      <c r="U1625">
        <f>SUM('19_Расчет_аналитики'!U1622:U1623)*'18_Календарь_тарифы'!U9</f>
        <v/>
      </c>
      <c r="V1625">
        <f>SUM('19_Расчет_аналитики'!V1622:V1623)*'18_Календарь_тарифы'!V9</f>
        <v/>
      </c>
      <c r="W1625">
        <f>SUM('19_Расчет_аналитики'!W1622:W1623)*'18_Календарь_тарифы'!W9</f>
        <v/>
      </c>
      <c r="X1625">
        <f>SUM('19_Расчет_аналитики'!X1622:X1623)*'18_Календарь_тарифы'!X9</f>
        <v/>
      </c>
      <c r="Y1625">
        <f>SUM('19_Расчет_аналитики'!Y1622:Y1623)*'18_Календарь_тарифы'!Y9</f>
        <v/>
      </c>
      <c r="Z1625">
        <f>SUM('19_Расчет_аналитики'!Z1622:Z1623)*'18_Календарь_тарифы'!Z9</f>
        <v/>
      </c>
      <c r="AA1625">
        <f>SUM('19_Расчет_аналитики'!AA1622:AA1623)*'18_Календарь_тарифы'!AA9</f>
        <v/>
      </c>
      <c r="AB1625">
        <f>SUM('19_Расчет_аналитики'!AB1622:AB1623)*'18_Календарь_тарифы'!AB9</f>
        <v/>
      </c>
      <c r="AC1625">
        <f>SUM('19_Расчет_аналитики'!AC1622:AC1623)*'18_Календарь_тарифы'!AC9</f>
        <v/>
      </c>
      <c r="AD1625">
        <f>SUM('19_Расчет_аналитики'!AD1622:AD1623)*'18_Календарь_тарифы'!AD9</f>
        <v/>
      </c>
      <c r="AE1625">
        <f>SUM('19_Расчет_аналитики'!AE1622:AE1623)*'18_Календарь_тарифы'!AE9</f>
        <v/>
      </c>
      <c r="AF1625">
        <f>SUM('19_Расчет_аналитики'!AF1622:AF1623)*'18_Календарь_тарифы'!AF9</f>
        <v/>
      </c>
      <c r="AG1625">
        <f>SUM('19_Расчет_аналитики'!AG1622:AG1623)*'18_Календарь_тарифы'!AG9</f>
        <v/>
      </c>
      <c r="AH1625">
        <f>SUM('19_Расчет_аналитики'!AH1622:AH1623)*'18_Календарь_тарифы'!AH9</f>
        <v/>
      </c>
      <c r="AI1625">
        <f>SUM('19_Расчет_аналитики'!AI1622:AI1623)*'18_Календарь_тарифы'!AI9</f>
        <v/>
      </c>
      <c r="AJ1625">
        <f>SUM('19_Расчет_аналитики'!AJ1622:AJ1623)*'18_Календарь_тарифы'!AJ9</f>
        <v/>
      </c>
      <c r="AK1625">
        <f>SUM('19_Расчет_аналитики'!AK1622:AK1623)*'18_Календарь_тарифы'!AK9</f>
        <v/>
      </c>
      <c r="AL1625">
        <f>SUM('19_Расчет_аналитики'!AL1622:AL1623)*'18_Календарь_тарифы'!AL9</f>
        <v/>
      </c>
      <c r="AM1625">
        <f>SUM('19_Расчет_аналитики'!AM1622:AM1623)*'18_Календарь_тарифы'!AM9</f>
        <v/>
      </c>
      <c r="AN1625">
        <f>SUM('19_Расчет_аналитики'!AN1622:AN1623)*'18_Календарь_тарифы'!AN9</f>
        <v/>
      </c>
      <c r="AO1625">
        <f>SUM('19_Расчет_аналитики'!AO1622:AO1623)*'18_Календарь_тарифы'!AO9</f>
        <v/>
      </c>
      <c r="AP1625">
        <f>SUM('19_Расчет_аналитики'!AP1622:AP1623)*'18_Календарь_тарифы'!AP9</f>
        <v/>
      </c>
      <c r="AQ1625">
        <f>SUM('19_Расчет_аналитики'!AQ1622:AQ1623)*'18_Календарь_тарифы'!AQ9</f>
        <v/>
      </c>
      <c r="AR1625">
        <f>SUM('19_Расчет_аналитики'!AR1622:AR1623)*'18_Календарь_тарифы'!AR9</f>
        <v/>
      </c>
      <c r="AS1625">
        <f>SUM('19_Расчет_аналитики'!AS1622:AS1623)*'18_Календарь_тарифы'!AS9</f>
        <v/>
      </c>
      <c r="AT1625">
        <f>SUM('19_Расчет_аналитики'!AT1622:AT1623)*'18_Календарь_тарифы'!AT9</f>
        <v/>
      </c>
      <c r="AU1625">
        <f>SUM('19_Расчет_аналитики'!AU1622:AU1623)*'18_Календарь_тарифы'!AU9</f>
        <v/>
      </c>
      <c r="AV1625">
        <f>SUM('19_Расчет_аналитики'!AV1622:AV1623)*'18_Календарь_тарифы'!AV9</f>
        <v/>
      </c>
      <c r="AW1625">
        <f>SUM('19_Расчет_аналитики'!AW1622:AW1623)*'18_Календарь_тарифы'!AW9</f>
        <v/>
      </c>
      <c r="AX1625">
        <f>SUM('19_Расчет_аналитики'!AX1622:AX1623)*'18_Календарь_тарифы'!AX9</f>
        <v/>
      </c>
      <c r="AY1625">
        <f>SUM('19_Расчет_аналитики'!AY1622:AY1623)*'18_Календарь_тарифы'!AY9</f>
        <v/>
      </c>
      <c r="AZ1625">
        <f>SUM('19_Расчет_аналитики'!AZ1622:AZ1623)*'18_Календарь_тарифы'!AZ9</f>
        <v/>
      </c>
      <c r="BA1625">
        <f>SUM('19_Расчет_аналитики'!BA1622:BA1623)*'18_Календарь_тарифы'!BA9</f>
        <v/>
      </c>
      <c r="BB1625">
        <f>SUM('19_Расчет_аналитики'!BB1622:BB1623)*'18_Календарь_тарифы'!BB9</f>
        <v/>
      </c>
      <c r="BC1625">
        <f>SUM('19_Расчет_аналитики'!BC1622:BC1623)*'18_Календарь_тарифы'!BC9</f>
        <v/>
      </c>
      <c r="BD1625">
        <f>SUM('19_Расчет_аналитики'!BD1622:BD1623)*'18_Календарь_тарифы'!BD9</f>
        <v/>
      </c>
      <c r="BE1625">
        <f>SUM('19_Расчет_аналитики'!BE1622:BE1623)*'18_Календарь_тарифы'!BE9</f>
        <v/>
      </c>
      <c r="BF1625">
        <f>SUM('19_Расчет_аналитики'!BF1622:BF1623)*'18_Календарь_тарифы'!BF9</f>
        <v/>
      </c>
      <c r="BG1625">
        <f>SUM('19_Расчет_аналитики'!BG1622:BG1623)*'18_Календарь_тарифы'!BG9</f>
        <v/>
      </c>
      <c r="BH1625">
        <f>SUM('19_Расчет_аналитики'!BH1622:BH1623)*'18_Календарь_тарифы'!BH9</f>
        <v/>
      </c>
      <c r="BI1625">
        <f>SUM('19_Расчет_аналитики'!BI1622:BI1623)*'18_Календарь_тарифы'!BI9</f>
        <v/>
      </c>
      <c r="BJ1625">
        <f>SUM('19_Расчет_аналитики'!BJ1622:BJ1623)*'18_Календарь_тарифы'!BJ9</f>
        <v/>
      </c>
      <c r="BK1625">
        <f>SUM('19_Расчет_аналитики'!BK1622:BK1623)*'18_Календарь_тарифы'!BK9</f>
        <v/>
      </c>
      <c r="BL1625">
        <f>SUM('19_Расчет_аналитики'!BL1622:BL1623)*'18_Календарь_тарифы'!BL9</f>
        <v/>
      </c>
      <c r="BM1625">
        <f>SUM('19_Расчет_аналитики'!BM1622:BM1623)*'18_Календарь_тарифы'!BM9</f>
        <v/>
      </c>
      <c r="BN1625">
        <f>SUM('19_Расчет_аналитики'!BN1622:BN1623)*'18_Календарь_тарифы'!BN9</f>
        <v/>
      </c>
      <c r="BO1625">
        <f>SUM('19_Расчет_аналитики'!BO1622:BO1623)*'18_Календарь_тарифы'!BO9</f>
        <v/>
      </c>
    </row>
    <row r="1626"/>
    <row r="1627">
      <c r="B1627">
        <f>'07_Мерч'!B6+'19_Расчет_аналитики'!B1624</f>
        <v/>
      </c>
      <c r="C1627">
        <f>'07_Мерч'!C6+'19_Расчет_аналитики'!C1624</f>
        <v/>
      </c>
      <c r="D1627">
        <f>'07_Мерч'!D6+'19_Расчет_аналитики'!D1624</f>
        <v/>
      </c>
      <c r="E1627">
        <f>'07_Мерч'!E6+'19_Расчет_аналитики'!E1624</f>
        <v/>
      </c>
      <c r="F1627">
        <f>'19_Расчет_аналитики'!F1619+'19_Расчет_аналитики'!F1624</f>
        <v/>
      </c>
      <c r="G1627">
        <f>'19_Расчет_аналитики'!G1619+'19_Расчет_аналитики'!G1624</f>
        <v/>
      </c>
      <c r="H1627">
        <f>'19_Расчет_аналитики'!H1619+'19_Расчет_аналитики'!H1624</f>
        <v/>
      </c>
      <c r="I1627">
        <f>'19_Расчет_аналитики'!I1619+'19_Расчет_аналитики'!I1624</f>
        <v/>
      </c>
      <c r="J1627">
        <f>'19_Расчет_аналитики'!J1619+'19_Расчет_аналитики'!J1624</f>
        <v/>
      </c>
      <c r="K1627">
        <f>'19_Расчет_аналитики'!K1619+'19_Расчет_аналитики'!K1624</f>
        <v/>
      </c>
      <c r="L1627">
        <f>'19_Расчет_аналитики'!L1619+'19_Расчет_аналитики'!L1624</f>
        <v/>
      </c>
      <c r="M1627">
        <f>'19_Расчет_аналитики'!M1619+'19_Расчет_аналитики'!M1624</f>
        <v/>
      </c>
      <c r="N1627">
        <f>'19_Расчет_аналитики'!N1619+'19_Расчет_аналитики'!N1624</f>
        <v/>
      </c>
      <c r="O1627">
        <f>'19_Расчет_аналитики'!O1619+'19_Расчет_аналитики'!O1624</f>
        <v/>
      </c>
      <c r="P1627">
        <f>'19_Расчет_аналитики'!P1619+'19_Расчет_аналитики'!P1624</f>
        <v/>
      </c>
      <c r="Q1627">
        <f>'19_Расчет_аналитики'!Q1619+'19_Расчет_аналитики'!Q1624</f>
        <v/>
      </c>
      <c r="R1627">
        <f>'19_Расчет_аналитики'!R1619+'19_Расчет_аналитики'!R1624</f>
        <v/>
      </c>
      <c r="S1627">
        <f>'19_Расчет_аналитики'!S1619+'19_Расчет_аналитики'!S1624</f>
        <v/>
      </c>
      <c r="T1627">
        <f>'19_Расчет_аналитики'!T1619+'19_Расчет_аналитики'!T1624</f>
        <v/>
      </c>
      <c r="U1627">
        <f>'19_Расчет_аналитики'!U1619+'19_Расчет_аналитики'!U1624</f>
        <v/>
      </c>
      <c r="V1627">
        <f>'19_Расчет_аналитики'!V1619+'19_Расчет_аналитики'!V1624</f>
        <v/>
      </c>
      <c r="W1627">
        <f>'19_Расчет_аналитики'!W1619+'19_Расчет_аналитики'!W1624</f>
        <v/>
      </c>
      <c r="X1627">
        <f>'19_Расчет_аналитики'!X1619+'19_Расчет_аналитики'!X1624</f>
        <v/>
      </c>
      <c r="Y1627">
        <f>'19_Расчет_аналитики'!Y1619+'19_Расчет_аналитики'!Y1624</f>
        <v/>
      </c>
      <c r="Z1627">
        <f>'19_Расчет_аналитики'!Z1619+'19_Расчет_аналитики'!Z1624</f>
        <v/>
      </c>
      <c r="AA1627">
        <f>'19_Расчет_аналитики'!AA1619+'19_Расчет_аналитики'!AA1624</f>
        <v/>
      </c>
      <c r="AB1627">
        <f>'19_Расчет_аналитики'!AB1619+'19_Расчет_аналитики'!AB1624</f>
        <v/>
      </c>
      <c r="AC1627">
        <f>'19_Расчет_аналитики'!AC1619+'19_Расчет_аналитики'!AC1624</f>
        <v/>
      </c>
      <c r="AD1627">
        <f>'19_Расчет_аналитики'!AD1619+'19_Расчет_аналитики'!AD1624</f>
        <v/>
      </c>
      <c r="AE1627">
        <f>'19_Расчет_аналитики'!AE1619+'19_Расчет_аналитики'!AE1624</f>
        <v/>
      </c>
      <c r="AF1627">
        <f>'19_Расчет_аналитики'!AF1619+'19_Расчет_аналитики'!AF1624</f>
        <v/>
      </c>
      <c r="AG1627">
        <f>'19_Расчет_аналитики'!AG1619+'19_Расчет_аналитики'!AG1624</f>
        <v/>
      </c>
      <c r="AH1627">
        <f>'19_Расчет_аналитики'!AH1619+'19_Расчет_аналитики'!AH1624</f>
        <v/>
      </c>
      <c r="AI1627">
        <f>'19_Расчет_аналитики'!AI1619+'19_Расчет_аналитики'!AI1624</f>
        <v/>
      </c>
      <c r="AJ1627">
        <f>'19_Расчет_аналитики'!AJ1619+'19_Расчет_аналитики'!AJ1624</f>
        <v/>
      </c>
      <c r="AK1627">
        <f>'19_Расчет_аналитики'!AK1619+'19_Расчет_аналитики'!AK1624</f>
        <v/>
      </c>
      <c r="AL1627">
        <f>'19_Расчет_аналитики'!AL1619+'19_Расчет_аналитики'!AL1624</f>
        <v/>
      </c>
      <c r="AM1627">
        <f>'19_Расчет_аналитики'!AM1619+'19_Расчет_аналитики'!AM1624</f>
        <v/>
      </c>
      <c r="AN1627">
        <f>'19_Расчет_аналитики'!AN1619+'19_Расчет_аналитики'!AN1624</f>
        <v/>
      </c>
      <c r="AO1627">
        <f>'19_Расчет_аналитики'!AO1619+'19_Расчет_аналитики'!AO1624</f>
        <v/>
      </c>
      <c r="AP1627">
        <f>'19_Расчет_аналитики'!AP1619+'19_Расчет_аналитики'!AP1624</f>
        <v/>
      </c>
      <c r="AQ1627">
        <f>'19_Расчет_аналитики'!AQ1619+'19_Расчет_аналитики'!AQ1624</f>
        <v/>
      </c>
      <c r="AR1627">
        <f>'19_Расчет_аналитики'!AR1619+'19_Расчет_аналитики'!AR1624</f>
        <v/>
      </c>
      <c r="AS1627">
        <f>'19_Расчет_аналитики'!AS1619+'19_Расчет_аналитики'!AS1624</f>
        <v/>
      </c>
      <c r="AT1627">
        <f>'19_Расчет_аналитики'!AT1619+'19_Расчет_аналитики'!AT1624</f>
        <v/>
      </c>
      <c r="AU1627">
        <f>'19_Расчет_аналитики'!AU1619+'19_Расчет_аналитики'!AU1624</f>
        <v/>
      </c>
      <c r="AV1627">
        <f>'19_Расчет_аналитики'!AV1619+'19_Расчет_аналитики'!AV1624</f>
        <v/>
      </c>
      <c r="AW1627">
        <f>'19_Расчет_аналитики'!AW1619+'19_Расчет_аналитики'!AW1624</f>
        <v/>
      </c>
      <c r="AX1627">
        <f>'19_Расчет_аналитики'!AX1619+'19_Расчет_аналитики'!AX1624</f>
        <v/>
      </c>
      <c r="AY1627">
        <f>'19_Расчет_аналитики'!AY1619+'19_Расчет_аналитики'!AY1624</f>
        <v/>
      </c>
      <c r="AZ1627">
        <f>'19_Расчет_аналитики'!AZ1619+'19_Расчет_аналитики'!AZ1624</f>
        <v/>
      </c>
      <c r="BA1627">
        <f>'19_Расчет_аналитики'!BA1619+'19_Расчет_аналитики'!BA1624</f>
        <v/>
      </c>
      <c r="BB1627">
        <f>'19_Расчет_аналитики'!BB1619+'19_Расчет_аналитики'!BB1624</f>
        <v/>
      </c>
      <c r="BC1627">
        <f>'19_Расчет_аналитики'!BC1619+'19_Расчет_аналитики'!BC1624</f>
        <v/>
      </c>
      <c r="BD1627">
        <f>'19_Расчет_аналитики'!BD1619+'19_Расчет_аналитики'!BD1624</f>
        <v/>
      </c>
      <c r="BE1627">
        <f>'19_Расчет_аналитики'!BE1619+'19_Расчет_аналитики'!BE1624</f>
        <v/>
      </c>
      <c r="BF1627">
        <f>'19_Расчет_аналитики'!BF1619+'19_Расчет_аналитики'!BF1624</f>
        <v/>
      </c>
      <c r="BG1627">
        <f>'19_Расчет_аналитики'!BG1619+'19_Расчет_аналитики'!BG1624</f>
        <v/>
      </c>
      <c r="BH1627">
        <f>'19_Расчет_аналитики'!BH1619+'19_Расчет_аналитики'!BH1624</f>
        <v/>
      </c>
      <c r="BI1627">
        <f>'19_Расчет_аналитики'!BI1619+'19_Расчет_аналитики'!BI1624</f>
        <v/>
      </c>
      <c r="BJ1627">
        <f>'19_Расчет_аналитики'!BJ1619+'19_Расчет_аналитики'!BJ1624</f>
        <v/>
      </c>
      <c r="BK1627">
        <f>'19_Расчет_аналитики'!BK1619+'19_Расчет_аналитики'!BK1624</f>
        <v/>
      </c>
      <c r="BL1627">
        <f>'19_Расчет_аналитики'!BL1619+'19_Расчет_аналитики'!BL1624</f>
        <v/>
      </c>
      <c r="BM1627">
        <f>'19_Расчет_аналитики'!BM1619+'19_Расчет_аналитики'!BM1624</f>
        <v/>
      </c>
      <c r="BN1627">
        <f>'19_Расчет_аналитики'!BN1619+'19_Расчет_аналитики'!BN1624</f>
        <v/>
      </c>
      <c r="BO1627">
        <f>'19_Расчет_аналитики'!BO1619+'19_Расчет_аналитики'!BO1624</f>
        <v/>
      </c>
    </row>
    <row r="1628">
      <c r="B1628">
        <f>'19_Расчет_аналитики'!B1627/(1+'01_Вводные'!$B$58)</f>
        <v/>
      </c>
      <c r="C1628">
        <f>'19_Расчет_аналитики'!C1627/(1+'01_Вводные'!$B$58)</f>
        <v/>
      </c>
      <c r="D1628">
        <f>'19_Расчет_аналитики'!D1627/(1+'01_Вводные'!$B$58)</f>
        <v/>
      </c>
      <c r="E1628">
        <f>'19_Расчет_аналитики'!E1627/(1+'01_Вводные'!$B$58)</f>
        <v/>
      </c>
      <c r="F1628">
        <f>'19_Расчет_аналитики'!F1627/(1+'01_Вводные'!$B$58)</f>
        <v/>
      </c>
      <c r="G1628">
        <f>'19_Расчет_аналитики'!G1627/(1+'01_Вводные'!$B$58)</f>
        <v/>
      </c>
      <c r="H1628">
        <f>'19_Расчет_аналитики'!H1627/(1+'01_Вводные'!$B$58)</f>
        <v/>
      </c>
      <c r="I1628">
        <f>'19_Расчет_аналитики'!I1627/(1+'01_Вводные'!$B$58)</f>
        <v/>
      </c>
      <c r="J1628">
        <f>'19_Расчет_аналитики'!J1627/(1+'01_Вводные'!$B$58)</f>
        <v/>
      </c>
      <c r="K1628">
        <f>'19_Расчет_аналитики'!K1627/(1+'01_Вводные'!$B$58)</f>
        <v/>
      </c>
      <c r="L1628">
        <f>'19_Расчет_аналитики'!L1627/(1+'01_Вводные'!$B$58)</f>
        <v/>
      </c>
      <c r="M1628">
        <f>'19_Расчет_аналитики'!M1627/(1+'01_Вводные'!$B$58)</f>
        <v/>
      </c>
      <c r="N1628">
        <f>'19_Расчет_аналитики'!N1627/(1+'01_Вводные'!$B$58)</f>
        <v/>
      </c>
      <c r="O1628">
        <f>'19_Расчет_аналитики'!O1627/(1+'01_Вводные'!$B$58)</f>
        <v/>
      </c>
      <c r="P1628">
        <f>'19_Расчет_аналитики'!P1627/(1+'01_Вводные'!$B$58)</f>
        <v/>
      </c>
      <c r="Q1628">
        <f>'19_Расчет_аналитики'!Q1627/(1+'01_Вводные'!$B$58)</f>
        <v/>
      </c>
      <c r="R1628">
        <f>'19_Расчет_аналитики'!R1627/(1+'01_Вводные'!$B$58)</f>
        <v/>
      </c>
      <c r="S1628">
        <f>'19_Расчет_аналитики'!S1627/(1+'01_Вводные'!$B$58)</f>
        <v/>
      </c>
      <c r="T1628">
        <f>'19_Расчет_аналитики'!T1627/(1+'01_Вводные'!$B$58)</f>
        <v/>
      </c>
      <c r="U1628">
        <f>'19_Расчет_аналитики'!U1627/(1+'01_Вводные'!$B$58)</f>
        <v/>
      </c>
      <c r="V1628">
        <f>'19_Расчет_аналитики'!V1627/(1+'01_Вводные'!$B$58)</f>
        <v/>
      </c>
      <c r="W1628">
        <f>'19_Расчет_аналитики'!W1627/(1+'01_Вводные'!$B$58)</f>
        <v/>
      </c>
      <c r="X1628">
        <f>'19_Расчет_аналитики'!X1627/(1+'01_Вводные'!$B$58)</f>
        <v/>
      </c>
      <c r="Y1628">
        <f>'19_Расчет_аналитики'!Y1627/(1+'01_Вводные'!$B$58)</f>
        <v/>
      </c>
      <c r="Z1628">
        <f>'19_Расчет_аналитики'!Z1627/(1+'01_Вводные'!$B$58)</f>
        <v/>
      </c>
      <c r="AA1628">
        <f>'19_Расчет_аналитики'!AA1627/(1+'01_Вводные'!$B$58)</f>
        <v/>
      </c>
      <c r="AB1628">
        <f>'19_Расчет_аналитики'!AB1627/(1+'01_Вводные'!$B$58)</f>
        <v/>
      </c>
      <c r="AC1628">
        <f>'19_Расчет_аналитики'!AC1627/(1+'01_Вводные'!$B$58)</f>
        <v/>
      </c>
      <c r="AD1628">
        <f>'19_Расчет_аналитики'!AD1627/(1+'01_Вводные'!$B$58)</f>
        <v/>
      </c>
      <c r="AE1628">
        <f>'19_Расчет_аналитики'!AE1627/(1+'01_Вводные'!$B$58)</f>
        <v/>
      </c>
      <c r="AF1628">
        <f>'19_Расчет_аналитики'!AF1627/(1+'01_Вводные'!$B$58)</f>
        <v/>
      </c>
      <c r="AG1628">
        <f>'19_Расчет_аналитики'!AG1627/(1+'01_Вводные'!$B$58)</f>
        <v/>
      </c>
      <c r="AH1628">
        <f>'19_Расчет_аналитики'!AH1627/(1+'01_Вводные'!$B$58)</f>
        <v/>
      </c>
      <c r="AI1628">
        <f>'19_Расчет_аналитики'!AI1627/(1+'01_Вводные'!$B$58)</f>
        <v/>
      </c>
      <c r="AJ1628">
        <f>'19_Расчет_аналитики'!AJ1627/(1+'01_Вводные'!$B$58)</f>
        <v/>
      </c>
      <c r="AK1628">
        <f>'19_Расчет_аналитики'!AK1627/(1+'01_Вводные'!$B$58)</f>
        <v/>
      </c>
      <c r="AL1628">
        <f>'19_Расчет_аналитики'!AL1627/(1+'01_Вводные'!$B$58)</f>
        <v/>
      </c>
      <c r="AM1628">
        <f>'19_Расчет_аналитики'!AM1627/(1+'01_Вводные'!$B$58)</f>
        <v/>
      </c>
      <c r="AN1628">
        <f>'19_Расчет_аналитики'!AN1627/(1+'01_Вводные'!$B$58)</f>
        <v/>
      </c>
      <c r="AO1628">
        <f>'19_Расчет_аналитики'!AO1627/(1+'01_Вводные'!$B$58)</f>
        <v/>
      </c>
      <c r="AP1628">
        <f>'19_Расчет_аналитики'!AP1627/(1+'01_Вводные'!$B$58)</f>
        <v/>
      </c>
      <c r="AQ1628">
        <f>'19_Расчет_аналитики'!AQ1627/(1+'01_Вводные'!$B$58)</f>
        <v/>
      </c>
      <c r="AR1628">
        <f>'19_Расчет_аналитики'!AR1627/(1+'01_Вводные'!$B$58)</f>
        <v/>
      </c>
      <c r="AS1628">
        <f>'19_Расчет_аналитики'!AS1627/(1+'01_Вводные'!$B$58)</f>
        <v/>
      </c>
      <c r="AT1628">
        <f>'19_Расчет_аналитики'!AT1627/(1+'01_Вводные'!$B$58)</f>
        <v/>
      </c>
      <c r="AU1628">
        <f>'19_Расчет_аналитики'!AU1627/(1+'01_Вводные'!$B$58)</f>
        <v/>
      </c>
      <c r="AV1628">
        <f>'19_Расчет_аналитики'!AV1627/(1+'01_Вводные'!$B$58)</f>
        <v/>
      </c>
      <c r="AW1628">
        <f>'19_Расчет_аналитики'!AW1627/(1+'01_Вводные'!$B$58)</f>
        <v/>
      </c>
      <c r="AX1628">
        <f>'19_Расчет_аналитики'!AX1627/(1+'01_Вводные'!$B$58)</f>
        <v/>
      </c>
      <c r="AY1628">
        <f>'19_Расчет_аналитики'!AY1627/(1+'01_Вводные'!$B$58)</f>
        <v/>
      </c>
      <c r="AZ1628">
        <f>'19_Расчет_аналитики'!AZ1627/(1+'01_Вводные'!$B$58)</f>
        <v/>
      </c>
      <c r="BA1628">
        <f>'19_Расчет_аналитики'!BA1627/(1+'01_Вводные'!$B$58)</f>
        <v/>
      </c>
      <c r="BB1628">
        <f>'19_Расчет_аналитики'!BB1627/(1+'01_Вводные'!$B$58)</f>
        <v/>
      </c>
      <c r="BC1628">
        <f>'19_Расчет_аналитики'!BC1627/(1+'01_Вводные'!$B$58)</f>
        <v/>
      </c>
      <c r="BD1628">
        <f>'19_Расчет_аналитики'!BD1627/(1+'01_Вводные'!$B$58)</f>
        <v/>
      </c>
      <c r="BE1628">
        <f>'19_Расчет_аналитики'!BE1627/(1+'01_Вводные'!$B$58)</f>
        <v/>
      </c>
      <c r="BF1628">
        <f>'19_Расчет_аналитики'!BF1627/(1+'01_Вводные'!$B$58)</f>
        <v/>
      </c>
      <c r="BG1628">
        <f>'19_Расчет_аналитики'!BG1627/(1+'01_Вводные'!$B$58)</f>
        <v/>
      </c>
      <c r="BH1628">
        <f>'19_Расчет_аналитики'!BH1627/(1+'01_Вводные'!$B$58)</f>
        <v/>
      </c>
      <c r="BI1628">
        <f>'19_Расчет_аналитики'!BI1627/(1+'01_Вводные'!$B$58)</f>
        <v/>
      </c>
      <c r="BJ1628">
        <f>'19_Расчет_аналитики'!BJ1627/(1+'01_Вводные'!$B$58)</f>
        <v/>
      </c>
      <c r="BK1628">
        <f>'19_Расчет_аналитики'!BK1627/(1+'01_Вводные'!$B$58)</f>
        <v/>
      </c>
      <c r="BL1628">
        <f>'19_Расчет_аналитики'!BL1627/(1+'01_Вводные'!$B$58)</f>
        <v/>
      </c>
      <c r="BM1628">
        <f>'19_Расчет_аналитики'!BM1627/(1+'01_Вводные'!$B$58)</f>
        <v/>
      </c>
      <c r="BN1628">
        <f>'19_Расчет_аналитики'!BN1627/(1+'01_Вводные'!$B$58)</f>
        <v/>
      </c>
      <c r="BO1628">
        <f>'19_Расчет_аналитики'!BO1627/(1+'01_Вводные'!$B$58)</f>
        <v/>
      </c>
    </row>
    <row r="1629">
      <c r="B1629">
        <f>'07_Мерч'!B7+'19_Расчет_аналитики'!B1625</f>
        <v/>
      </c>
      <c r="C1629">
        <f>'07_Мерч'!C7+'19_Расчет_аналитики'!C1625</f>
        <v/>
      </c>
      <c r="D1629">
        <f>'07_Мерч'!D7+'19_Расчет_аналитики'!D1625</f>
        <v/>
      </c>
      <c r="E1629">
        <f>'07_Мерч'!E7+'19_Расчет_аналитики'!E1625</f>
        <v/>
      </c>
      <c r="F1629">
        <f>'19_Расчет_аналитики'!F1620+'19_Расчет_аналитики'!F1625</f>
        <v/>
      </c>
      <c r="G1629">
        <f>'19_Расчет_аналитики'!G1620+'19_Расчет_аналитики'!G1625</f>
        <v/>
      </c>
      <c r="H1629">
        <f>'19_Расчет_аналитики'!H1620+'19_Расчет_аналитики'!H1625</f>
        <v/>
      </c>
      <c r="I1629">
        <f>'19_Расчет_аналитики'!I1620+'19_Расчет_аналитики'!I1625</f>
        <v/>
      </c>
      <c r="J1629">
        <f>'19_Расчет_аналитики'!J1620+'19_Расчет_аналитики'!J1625</f>
        <v/>
      </c>
      <c r="K1629">
        <f>'19_Расчет_аналитики'!K1620+'19_Расчет_аналитики'!K1625</f>
        <v/>
      </c>
      <c r="L1629">
        <f>'19_Расчет_аналитики'!L1620+'19_Расчет_аналитики'!L1625</f>
        <v/>
      </c>
      <c r="M1629">
        <f>'19_Расчет_аналитики'!M1620+'19_Расчет_аналитики'!M1625</f>
        <v/>
      </c>
      <c r="N1629">
        <f>'19_Расчет_аналитики'!N1620+'19_Расчет_аналитики'!N1625</f>
        <v/>
      </c>
      <c r="O1629">
        <f>'19_Расчет_аналитики'!O1620+'19_Расчет_аналитики'!O1625</f>
        <v/>
      </c>
      <c r="P1629">
        <f>'19_Расчет_аналитики'!P1620+'19_Расчет_аналитики'!P1625</f>
        <v/>
      </c>
      <c r="Q1629">
        <f>'19_Расчет_аналитики'!Q1620+'19_Расчет_аналитики'!Q1625</f>
        <v/>
      </c>
      <c r="R1629">
        <f>'19_Расчет_аналитики'!R1620+'19_Расчет_аналитики'!R1625</f>
        <v/>
      </c>
      <c r="S1629">
        <f>'19_Расчет_аналитики'!S1620+'19_Расчет_аналитики'!S1625</f>
        <v/>
      </c>
      <c r="T1629">
        <f>'19_Расчет_аналитики'!T1620+'19_Расчет_аналитики'!T1625</f>
        <v/>
      </c>
      <c r="U1629">
        <f>'19_Расчет_аналитики'!U1620+'19_Расчет_аналитики'!U1625</f>
        <v/>
      </c>
      <c r="V1629">
        <f>'19_Расчет_аналитики'!V1620+'19_Расчет_аналитики'!V1625</f>
        <v/>
      </c>
      <c r="W1629">
        <f>'19_Расчет_аналитики'!W1620+'19_Расчет_аналитики'!W1625</f>
        <v/>
      </c>
      <c r="X1629">
        <f>'19_Расчет_аналитики'!X1620+'19_Расчет_аналитики'!X1625</f>
        <v/>
      </c>
      <c r="Y1629">
        <f>'19_Расчет_аналитики'!Y1620+'19_Расчет_аналитики'!Y1625</f>
        <v/>
      </c>
      <c r="Z1629">
        <f>'19_Расчет_аналитики'!Z1620+'19_Расчет_аналитики'!Z1625</f>
        <v/>
      </c>
      <c r="AA1629">
        <f>'19_Расчет_аналитики'!AA1620+'19_Расчет_аналитики'!AA1625</f>
        <v/>
      </c>
      <c r="AB1629">
        <f>'19_Расчет_аналитики'!AB1620+'19_Расчет_аналитики'!AB1625</f>
        <v/>
      </c>
      <c r="AC1629">
        <f>'19_Расчет_аналитики'!AC1620+'19_Расчет_аналитики'!AC1625</f>
        <v/>
      </c>
      <c r="AD1629">
        <f>'19_Расчет_аналитики'!AD1620+'19_Расчет_аналитики'!AD1625</f>
        <v/>
      </c>
      <c r="AE1629">
        <f>'19_Расчет_аналитики'!AE1620+'19_Расчет_аналитики'!AE1625</f>
        <v/>
      </c>
      <c r="AF1629">
        <f>'19_Расчет_аналитики'!AF1620+'19_Расчет_аналитики'!AF1625</f>
        <v/>
      </c>
      <c r="AG1629">
        <f>'19_Расчет_аналитики'!AG1620+'19_Расчет_аналитики'!AG1625</f>
        <v/>
      </c>
      <c r="AH1629">
        <f>'19_Расчет_аналитики'!AH1620+'19_Расчет_аналитики'!AH1625</f>
        <v/>
      </c>
      <c r="AI1629">
        <f>'19_Расчет_аналитики'!AI1620+'19_Расчет_аналитики'!AI1625</f>
        <v/>
      </c>
      <c r="AJ1629">
        <f>'19_Расчет_аналитики'!AJ1620+'19_Расчет_аналитики'!AJ1625</f>
        <v/>
      </c>
      <c r="AK1629">
        <f>'19_Расчет_аналитики'!AK1620+'19_Расчет_аналитики'!AK1625</f>
        <v/>
      </c>
      <c r="AL1629">
        <f>'19_Расчет_аналитики'!AL1620+'19_Расчет_аналитики'!AL1625</f>
        <v/>
      </c>
      <c r="AM1629">
        <f>'19_Расчет_аналитики'!AM1620+'19_Расчет_аналитики'!AM1625</f>
        <v/>
      </c>
      <c r="AN1629">
        <f>'19_Расчет_аналитики'!AN1620+'19_Расчет_аналитики'!AN1625</f>
        <v/>
      </c>
      <c r="AO1629">
        <f>'19_Расчет_аналитики'!AO1620+'19_Расчет_аналитики'!AO1625</f>
        <v/>
      </c>
      <c r="AP1629">
        <f>'19_Расчет_аналитики'!AP1620+'19_Расчет_аналитики'!AP1625</f>
        <v/>
      </c>
      <c r="AQ1629">
        <f>'19_Расчет_аналитики'!AQ1620+'19_Расчет_аналитики'!AQ1625</f>
        <v/>
      </c>
      <c r="AR1629">
        <f>'19_Расчет_аналитики'!AR1620+'19_Расчет_аналитики'!AR1625</f>
        <v/>
      </c>
      <c r="AS1629">
        <f>'19_Расчет_аналитики'!AS1620+'19_Расчет_аналитики'!AS1625</f>
        <v/>
      </c>
      <c r="AT1629">
        <f>'19_Расчет_аналитики'!AT1620+'19_Расчет_аналитики'!AT1625</f>
        <v/>
      </c>
      <c r="AU1629">
        <f>'19_Расчет_аналитики'!AU1620+'19_Расчет_аналитики'!AU1625</f>
        <v/>
      </c>
      <c r="AV1629">
        <f>'19_Расчет_аналитики'!AV1620+'19_Расчет_аналитики'!AV1625</f>
        <v/>
      </c>
      <c r="AW1629">
        <f>'19_Расчет_аналитики'!AW1620+'19_Расчет_аналитики'!AW1625</f>
        <v/>
      </c>
      <c r="AX1629">
        <f>'19_Расчет_аналитики'!AX1620+'19_Расчет_аналитики'!AX1625</f>
        <v/>
      </c>
      <c r="AY1629">
        <f>'19_Расчет_аналитики'!AY1620+'19_Расчет_аналитики'!AY1625</f>
        <v/>
      </c>
      <c r="AZ1629">
        <f>'19_Расчет_аналитики'!AZ1620+'19_Расчет_аналитики'!AZ1625</f>
        <v/>
      </c>
      <c r="BA1629">
        <f>'19_Расчет_аналитики'!BA1620+'19_Расчет_аналитики'!BA1625</f>
        <v/>
      </c>
      <c r="BB1629">
        <f>'19_Расчет_аналитики'!BB1620+'19_Расчет_аналитики'!BB1625</f>
        <v/>
      </c>
      <c r="BC1629">
        <f>'19_Расчет_аналитики'!BC1620+'19_Расчет_аналитики'!BC1625</f>
        <v/>
      </c>
      <c r="BD1629">
        <f>'19_Расчет_аналитики'!BD1620+'19_Расчет_аналитики'!BD1625</f>
        <v/>
      </c>
      <c r="BE1629">
        <f>'19_Расчет_аналитики'!BE1620+'19_Расчет_аналитики'!BE1625</f>
        <v/>
      </c>
      <c r="BF1629">
        <f>'19_Расчет_аналитики'!BF1620+'19_Расчет_аналитики'!BF1625</f>
        <v/>
      </c>
      <c r="BG1629">
        <f>'19_Расчет_аналитики'!BG1620+'19_Расчет_аналитики'!BG1625</f>
        <v/>
      </c>
      <c r="BH1629">
        <f>'19_Расчет_аналитики'!BH1620+'19_Расчет_аналитики'!BH1625</f>
        <v/>
      </c>
      <c r="BI1629">
        <f>'19_Расчет_аналитики'!BI1620+'19_Расчет_аналитики'!BI1625</f>
        <v/>
      </c>
      <c r="BJ1629">
        <f>'19_Расчет_аналитики'!BJ1620+'19_Расчет_аналитики'!BJ1625</f>
        <v/>
      </c>
      <c r="BK1629">
        <f>'19_Расчет_аналитики'!BK1620+'19_Расчет_аналитики'!BK1625</f>
        <v/>
      </c>
      <c r="BL1629">
        <f>'19_Расчет_аналитики'!BL1620+'19_Расчет_аналитики'!BL1625</f>
        <v/>
      </c>
      <c r="BM1629">
        <f>'19_Расчет_аналитики'!BM1620+'19_Расчет_аналитики'!BM1625</f>
        <v/>
      </c>
      <c r="BN1629">
        <f>'19_Расчет_аналитики'!BN1620+'19_Расчет_аналитики'!BN1625</f>
        <v/>
      </c>
      <c r="BO1629">
        <f>'19_Расчет_аналитики'!BO1620+'19_Расчет_аналитики'!BO1625</f>
        <v/>
      </c>
    </row>
    <row r="1630">
      <c r="B1630">
        <f>'19_Расчет_аналитики'!B1628*'01_Вводные'!$B$75</f>
        <v/>
      </c>
      <c r="C1630">
        <f>'19_Расчет_аналитики'!C1628*'01_Вводные'!$B$75</f>
        <v/>
      </c>
      <c r="D1630">
        <f>'19_Расчет_аналитики'!D1628*'01_Вводные'!$B$75</f>
        <v/>
      </c>
      <c r="E1630">
        <f>'19_Расчет_аналитики'!E1628*'01_Вводные'!$B$75</f>
        <v/>
      </c>
      <c r="F1630">
        <f>'19_Расчет_аналитики'!F1628*'01_Вводные'!$B$75</f>
        <v/>
      </c>
      <c r="G1630">
        <f>'19_Расчет_аналитики'!G1628*'01_Вводные'!$B$75</f>
        <v/>
      </c>
      <c r="H1630">
        <f>'19_Расчет_аналитики'!H1628*'01_Вводные'!$B$75</f>
        <v/>
      </c>
      <c r="I1630">
        <f>'19_Расчет_аналитики'!I1628*'01_Вводные'!$B$75</f>
        <v/>
      </c>
      <c r="J1630">
        <f>'19_Расчет_аналитики'!J1628*'01_Вводные'!$B$75</f>
        <v/>
      </c>
      <c r="K1630">
        <f>'19_Расчет_аналитики'!K1628*'01_Вводные'!$B$75</f>
        <v/>
      </c>
      <c r="L1630">
        <f>'19_Расчет_аналитики'!L1628*'01_Вводные'!$B$75</f>
        <v/>
      </c>
      <c r="M1630">
        <f>'19_Расчет_аналитики'!M1628*'01_Вводные'!$B$75</f>
        <v/>
      </c>
      <c r="N1630">
        <f>'19_Расчет_аналитики'!N1628*'01_Вводные'!$B$75</f>
        <v/>
      </c>
      <c r="O1630">
        <f>'19_Расчет_аналитики'!O1628*'01_Вводные'!$B$75</f>
        <v/>
      </c>
      <c r="P1630">
        <f>'19_Расчет_аналитики'!P1628*'01_Вводные'!$B$75</f>
        <v/>
      </c>
      <c r="Q1630">
        <f>'19_Расчет_аналитики'!Q1628*'01_Вводные'!$B$75</f>
        <v/>
      </c>
      <c r="R1630">
        <f>'19_Расчет_аналитики'!R1628*'01_Вводные'!$B$75</f>
        <v/>
      </c>
      <c r="S1630">
        <f>'19_Расчет_аналитики'!S1628*'01_Вводные'!$B$75</f>
        <v/>
      </c>
      <c r="T1630">
        <f>'19_Расчет_аналитики'!T1628*'01_Вводные'!$B$75</f>
        <v/>
      </c>
      <c r="U1630">
        <f>'19_Расчет_аналитики'!U1628*'01_Вводные'!$B$75</f>
        <v/>
      </c>
      <c r="V1630">
        <f>'19_Расчет_аналитики'!V1628*'01_Вводные'!$B$75</f>
        <v/>
      </c>
      <c r="W1630">
        <f>'19_Расчет_аналитики'!W1628*'01_Вводные'!$B$75</f>
        <v/>
      </c>
      <c r="X1630">
        <f>'19_Расчет_аналитики'!X1628*'01_Вводные'!$B$75</f>
        <v/>
      </c>
      <c r="Y1630">
        <f>'19_Расчет_аналитики'!Y1628*'01_Вводные'!$B$75</f>
        <v/>
      </c>
      <c r="Z1630">
        <f>'19_Расчет_аналитики'!Z1628*'01_Вводные'!$B$75</f>
        <v/>
      </c>
      <c r="AA1630">
        <f>'19_Расчет_аналитики'!AA1628*'01_Вводные'!$B$75</f>
        <v/>
      </c>
      <c r="AB1630">
        <f>'19_Расчет_аналитики'!AB1628*'01_Вводные'!$B$75</f>
        <v/>
      </c>
      <c r="AC1630">
        <f>'19_Расчет_аналитики'!AC1628*'01_Вводные'!$B$75</f>
        <v/>
      </c>
      <c r="AD1630">
        <f>'19_Расчет_аналитики'!AD1628*'01_Вводные'!$B$75</f>
        <v/>
      </c>
      <c r="AE1630">
        <f>'19_Расчет_аналитики'!AE1628*'01_Вводные'!$B$75</f>
        <v/>
      </c>
      <c r="AF1630">
        <f>'19_Расчет_аналитики'!AF1628*'01_Вводные'!$B$75</f>
        <v/>
      </c>
      <c r="AG1630">
        <f>'19_Расчет_аналитики'!AG1628*'01_Вводные'!$B$75</f>
        <v/>
      </c>
      <c r="AH1630">
        <f>'19_Расчет_аналитики'!AH1628*'01_Вводные'!$B$75</f>
        <v/>
      </c>
      <c r="AI1630">
        <f>'19_Расчет_аналитики'!AI1628*'01_Вводные'!$B$75</f>
        <v/>
      </c>
      <c r="AJ1630">
        <f>'19_Расчет_аналитики'!AJ1628*'01_Вводные'!$B$75</f>
        <v/>
      </c>
      <c r="AK1630">
        <f>'19_Расчет_аналитики'!AK1628*'01_Вводные'!$B$75</f>
        <v/>
      </c>
      <c r="AL1630">
        <f>'19_Расчет_аналитики'!AL1628*'01_Вводные'!$B$75</f>
        <v/>
      </c>
      <c r="AM1630">
        <f>'19_Расчет_аналитики'!AM1628*'01_Вводные'!$B$75</f>
        <v/>
      </c>
      <c r="AN1630">
        <f>'19_Расчет_аналитики'!AN1628*'01_Вводные'!$B$75</f>
        <v/>
      </c>
      <c r="AO1630">
        <f>'19_Расчет_аналитики'!AO1628*'01_Вводные'!$B$75</f>
        <v/>
      </c>
      <c r="AP1630">
        <f>'19_Расчет_аналитики'!AP1628*'01_Вводные'!$B$75</f>
        <v/>
      </c>
      <c r="AQ1630">
        <f>'19_Расчет_аналитики'!AQ1628*'01_Вводные'!$B$75</f>
        <v/>
      </c>
      <c r="AR1630">
        <f>'19_Расчет_аналитики'!AR1628*'01_Вводные'!$B$75</f>
        <v/>
      </c>
      <c r="AS1630">
        <f>'19_Расчет_аналитики'!AS1628*'01_Вводные'!$B$75</f>
        <v/>
      </c>
      <c r="AT1630">
        <f>'19_Расчет_аналитики'!AT1628*'01_Вводные'!$B$75</f>
        <v/>
      </c>
      <c r="AU1630">
        <f>'19_Расчет_аналитики'!AU1628*'01_Вводные'!$B$75</f>
        <v/>
      </c>
      <c r="AV1630">
        <f>'19_Расчет_аналитики'!AV1628*'01_Вводные'!$B$75</f>
        <v/>
      </c>
      <c r="AW1630">
        <f>'19_Расчет_аналитики'!AW1628*'01_Вводные'!$B$75</f>
        <v/>
      </c>
      <c r="AX1630">
        <f>'19_Расчет_аналитики'!AX1628*'01_Вводные'!$B$75</f>
        <v/>
      </c>
      <c r="AY1630">
        <f>'19_Расчет_аналитики'!AY1628*'01_Вводные'!$B$75</f>
        <v/>
      </c>
      <c r="AZ1630">
        <f>'19_Расчет_аналитики'!AZ1628*'01_Вводные'!$B$75</f>
        <v/>
      </c>
      <c r="BA1630">
        <f>'19_Расчет_аналитики'!BA1628*'01_Вводные'!$B$75</f>
        <v/>
      </c>
      <c r="BB1630">
        <f>'19_Расчет_аналитики'!BB1628*'01_Вводные'!$B$75</f>
        <v/>
      </c>
      <c r="BC1630">
        <f>'19_Расчет_аналитики'!BC1628*'01_Вводные'!$B$75</f>
        <v/>
      </c>
      <c r="BD1630">
        <f>'19_Расчет_аналитики'!BD1628*'01_Вводные'!$B$75</f>
        <v/>
      </c>
      <c r="BE1630">
        <f>'19_Расчет_аналитики'!BE1628*'01_Вводные'!$B$75</f>
        <v/>
      </c>
      <c r="BF1630">
        <f>'19_Расчет_аналитики'!BF1628*'01_Вводные'!$B$75</f>
        <v/>
      </c>
      <c r="BG1630">
        <f>'19_Расчет_аналитики'!BG1628*'01_Вводные'!$B$75</f>
        <v/>
      </c>
      <c r="BH1630">
        <f>'19_Расчет_аналитики'!BH1628*'01_Вводные'!$B$75</f>
        <v/>
      </c>
      <c r="BI1630">
        <f>'19_Расчет_аналитики'!BI1628*'01_Вводные'!$B$75</f>
        <v/>
      </c>
      <c r="BJ1630">
        <f>'19_Расчет_аналитики'!BJ1628*'01_Вводные'!$B$75</f>
        <v/>
      </c>
      <c r="BK1630">
        <f>'19_Расчет_аналитики'!BK1628*'01_Вводные'!$B$75</f>
        <v/>
      </c>
      <c r="BL1630">
        <f>'19_Расчет_аналитики'!BL1628*'01_Вводные'!$B$75</f>
        <v/>
      </c>
      <c r="BM1630">
        <f>'19_Расчет_аналитики'!BM1628*'01_Вводные'!$B$75</f>
        <v/>
      </c>
      <c r="BN1630">
        <f>'19_Расчет_аналитики'!BN1628*'01_Вводные'!$B$75</f>
        <v/>
      </c>
      <c r="BO1630">
        <f>'19_Расчет_аналитики'!BO1628*'01_Вводные'!$B$75</f>
        <v/>
      </c>
    </row>
    <row r="1631">
      <c r="B1631">
        <f>MAX(0,'19_Расчет_аналитики'!B1628-'19_Расчет_аналитики'!B1629-'19_Расчет_аналитики'!B1630)</f>
        <v/>
      </c>
      <c r="C1631">
        <f>MAX(0,'19_Расчет_аналитики'!C1628-'19_Расчет_аналитики'!C1629-'19_Расчет_аналитики'!C1630)</f>
        <v/>
      </c>
      <c r="D1631">
        <f>MAX(0,'19_Расчет_аналитики'!D1628-'19_Расчет_аналитики'!D1629-'19_Расчет_аналитики'!D1630)</f>
        <v/>
      </c>
      <c r="E1631">
        <f>MAX(0,'19_Расчет_аналитики'!E1628-'19_Расчет_аналитики'!E1629-'19_Расчет_аналитики'!E1630)</f>
        <v/>
      </c>
      <c r="F1631">
        <f>MAX(0,'19_Расчет_аналитики'!F1628-'19_Расчет_аналитики'!F1629-'19_Расчет_аналитики'!F1630)</f>
        <v/>
      </c>
      <c r="G1631">
        <f>MAX(0,'19_Расчет_аналитики'!G1628-'19_Расчет_аналитики'!G1629-'19_Расчет_аналитики'!G1630)</f>
        <v/>
      </c>
      <c r="H1631">
        <f>MAX(0,'19_Расчет_аналитики'!H1628-'19_Расчет_аналитики'!H1629-'19_Расчет_аналитики'!H1630)</f>
        <v/>
      </c>
      <c r="I1631">
        <f>MAX(0,'19_Расчет_аналитики'!I1628-'19_Расчет_аналитики'!I1629-'19_Расчет_аналитики'!I1630)</f>
        <v/>
      </c>
      <c r="J1631">
        <f>MAX(0,'19_Расчет_аналитики'!J1628-'19_Расчет_аналитики'!J1629-'19_Расчет_аналитики'!J1630)</f>
        <v/>
      </c>
      <c r="K1631">
        <f>MAX(0,'19_Расчет_аналитики'!K1628-'19_Расчет_аналитики'!K1629-'19_Расчет_аналитики'!K1630)</f>
        <v/>
      </c>
      <c r="L1631">
        <f>MAX(0,'19_Расчет_аналитики'!L1628-'19_Расчет_аналитики'!L1629-'19_Расчет_аналитики'!L1630)</f>
        <v/>
      </c>
      <c r="M1631">
        <f>MAX(0,'19_Расчет_аналитики'!M1628-'19_Расчет_аналитики'!M1629-'19_Расчет_аналитики'!M1630)</f>
        <v/>
      </c>
      <c r="N1631">
        <f>MAX(0,'19_Расчет_аналитики'!N1628-'19_Расчет_аналитики'!N1629-'19_Расчет_аналитики'!N1630)</f>
        <v/>
      </c>
      <c r="O1631">
        <f>MAX(0,'19_Расчет_аналитики'!O1628-'19_Расчет_аналитики'!O1629-'19_Расчет_аналитики'!O1630)</f>
        <v/>
      </c>
      <c r="P1631">
        <f>MAX(0,'19_Расчет_аналитики'!P1628-'19_Расчет_аналитики'!P1629-'19_Расчет_аналитики'!P1630)</f>
        <v/>
      </c>
      <c r="Q1631">
        <f>MAX(0,'19_Расчет_аналитики'!Q1628-'19_Расчет_аналитики'!Q1629-'19_Расчет_аналитики'!Q1630)</f>
        <v/>
      </c>
      <c r="R1631">
        <f>MAX(0,'19_Расчет_аналитики'!R1628-'19_Расчет_аналитики'!R1629-'19_Расчет_аналитики'!R1630)</f>
        <v/>
      </c>
      <c r="S1631">
        <f>MAX(0,'19_Расчет_аналитики'!S1628-'19_Расчет_аналитики'!S1629-'19_Расчет_аналитики'!S1630)</f>
        <v/>
      </c>
      <c r="T1631">
        <f>MAX(0,'19_Расчет_аналитики'!T1628-'19_Расчет_аналитики'!T1629-'19_Расчет_аналитики'!T1630)</f>
        <v/>
      </c>
      <c r="U1631">
        <f>MAX(0,'19_Расчет_аналитики'!U1628-'19_Расчет_аналитики'!U1629-'19_Расчет_аналитики'!U1630)</f>
        <v/>
      </c>
      <c r="V1631">
        <f>MAX(0,'19_Расчет_аналитики'!V1628-'19_Расчет_аналитики'!V1629-'19_Расчет_аналитики'!V1630)</f>
        <v/>
      </c>
      <c r="W1631">
        <f>MAX(0,'19_Расчет_аналитики'!W1628-'19_Расчет_аналитики'!W1629-'19_Расчет_аналитики'!W1630)</f>
        <v/>
      </c>
      <c r="X1631">
        <f>MAX(0,'19_Расчет_аналитики'!X1628-'19_Расчет_аналитики'!X1629-'19_Расчет_аналитики'!X1630)</f>
        <v/>
      </c>
      <c r="Y1631">
        <f>MAX(0,'19_Расчет_аналитики'!Y1628-'19_Расчет_аналитики'!Y1629-'19_Расчет_аналитики'!Y1630)</f>
        <v/>
      </c>
      <c r="Z1631">
        <f>MAX(0,'19_Расчет_аналитики'!Z1628-'19_Расчет_аналитики'!Z1629-'19_Расчет_аналитики'!Z1630)</f>
        <v/>
      </c>
      <c r="AA1631">
        <f>MAX(0,'19_Расчет_аналитики'!AA1628-'19_Расчет_аналитики'!AA1629-'19_Расчет_аналитики'!AA1630)</f>
        <v/>
      </c>
      <c r="AB1631">
        <f>MAX(0,'19_Расчет_аналитики'!AB1628-'19_Расчет_аналитики'!AB1629-'19_Расчет_аналитики'!AB1630)</f>
        <v/>
      </c>
      <c r="AC1631">
        <f>MAX(0,'19_Расчет_аналитики'!AC1628-'19_Расчет_аналитики'!AC1629-'19_Расчет_аналитики'!AC1630)</f>
        <v/>
      </c>
      <c r="AD1631">
        <f>MAX(0,'19_Расчет_аналитики'!AD1628-'19_Расчет_аналитики'!AD1629-'19_Расчет_аналитики'!AD1630)</f>
        <v/>
      </c>
      <c r="AE1631">
        <f>MAX(0,'19_Расчет_аналитики'!AE1628-'19_Расчет_аналитики'!AE1629-'19_Расчет_аналитики'!AE1630)</f>
        <v/>
      </c>
      <c r="AF1631">
        <f>MAX(0,'19_Расчет_аналитики'!AF1628-'19_Расчет_аналитики'!AF1629-'19_Расчет_аналитики'!AF1630)</f>
        <v/>
      </c>
      <c r="AG1631">
        <f>MAX(0,'19_Расчет_аналитики'!AG1628-'19_Расчет_аналитики'!AG1629-'19_Расчет_аналитики'!AG1630)</f>
        <v/>
      </c>
      <c r="AH1631">
        <f>MAX(0,'19_Расчет_аналитики'!AH1628-'19_Расчет_аналитики'!AH1629-'19_Расчет_аналитики'!AH1630)</f>
        <v/>
      </c>
      <c r="AI1631">
        <f>MAX(0,'19_Расчет_аналитики'!AI1628-'19_Расчет_аналитики'!AI1629-'19_Расчет_аналитики'!AI1630)</f>
        <v/>
      </c>
      <c r="AJ1631">
        <f>MAX(0,'19_Расчет_аналитики'!AJ1628-'19_Расчет_аналитики'!AJ1629-'19_Расчет_аналитики'!AJ1630)</f>
        <v/>
      </c>
      <c r="AK1631">
        <f>MAX(0,'19_Расчет_аналитики'!AK1628-'19_Расчет_аналитики'!AK1629-'19_Расчет_аналитики'!AK1630)</f>
        <v/>
      </c>
      <c r="AL1631">
        <f>MAX(0,'19_Расчет_аналитики'!AL1628-'19_Расчет_аналитики'!AL1629-'19_Расчет_аналитики'!AL1630)</f>
        <v/>
      </c>
      <c r="AM1631">
        <f>MAX(0,'19_Расчет_аналитики'!AM1628-'19_Расчет_аналитики'!AM1629-'19_Расчет_аналитики'!AM1630)</f>
        <v/>
      </c>
      <c r="AN1631">
        <f>MAX(0,'19_Расчет_аналитики'!AN1628-'19_Расчет_аналитики'!AN1629-'19_Расчет_аналитики'!AN1630)</f>
        <v/>
      </c>
      <c r="AO1631">
        <f>MAX(0,'19_Расчет_аналитики'!AO1628-'19_Расчет_аналитики'!AO1629-'19_Расчет_аналитики'!AO1630)</f>
        <v/>
      </c>
      <c r="AP1631">
        <f>MAX(0,'19_Расчет_аналитики'!AP1628-'19_Расчет_аналитики'!AP1629-'19_Расчет_аналитики'!AP1630)</f>
        <v/>
      </c>
      <c r="AQ1631">
        <f>MAX(0,'19_Расчет_аналитики'!AQ1628-'19_Расчет_аналитики'!AQ1629-'19_Расчет_аналитики'!AQ1630)</f>
        <v/>
      </c>
      <c r="AR1631">
        <f>MAX(0,'19_Расчет_аналитики'!AR1628-'19_Расчет_аналитики'!AR1629-'19_Расчет_аналитики'!AR1630)</f>
        <v/>
      </c>
      <c r="AS1631">
        <f>MAX(0,'19_Расчет_аналитики'!AS1628-'19_Расчет_аналитики'!AS1629-'19_Расчет_аналитики'!AS1630)</f>
        <v/>
      </c>
      <c r="AT1631">
        <f>MAX(0,'19_Расчет_аналитики'!AT1628-'19_Расчет_аналитики'!AT1629-'19_Расчет_аналитики'!AT1630)</f>
        <v/>
      </c>
      <c r="AU1631">
        <f>MAX(0,'19_Расчет_аналитики'!AU1628-'19_Расчет_аналитики'!AU1629-'19_Расчет_аналитики'!AU1630)</f>
        <v/>
      </c>
      <c r="AV1631">
        <f>MAX(0,'19_Расчет_аналитики'!AV1628-'19_Расчет_аналитики'!AV1629-'19_Расчет_аналитики'!AV1630)</f>
        <v/>
      </c>
      <c r="AW1631">
        <f>MAX(0,'19_Расчет_аналитики'!AW1628-'19_Расчет_аналитики'!AW1629-'19_Расчет_аналитики'!AW1630)</f>
        <v/>
      </c>
      <c r="AX1631">
        <f>MAX(0,'19_Расчет_аналитики'!AX1628-'19_Расчет_аналитики'!AX1629-'19_Расчет_аналитики'!AX1630)</f>
        <v/>
      </c>
      <c r="AY1631">
        <f>MAX(0,'19_Расчет_аналитики'!AY1628-'19_Расчет_аналитики'!AY1629-'19_Расчет_аналитики'!AY1630)</f>
        <v/>
      </c>
      <c r="AZ1631">
        <f>MAX(0,'19_Расчет_аналитики'!AZ1628-'19_Расчет_аналитики'!AZ1629-'19_Расчет_аналитики'!AZ1630)</f>
        <v/>
      </c>
      <c r="BA1631">
        <f>MAX(0,'19_Расчет_аналитики'!BA1628-'19_Расчет_аналитики'!BA1629-'19_Расчет_аналитики'!BA1630)</f>
        <v/>
      </c>
      <c r="BB1631">
        <f>MAX(0,'19_Расчет_аналитики'!BB1628-'19_Расчет_аналитики'!BB1629-'19_Расчет_аналитики'!BB1630)</f>
        <v/>
      </c>
      <c r="BC1631">
        <f>MAX(0,'19_Расчет_аналитики'!BC1628-'19_Расчет_аналитики'!BC1629-'19_Расчет_аналитики'!BC1630)</f>
        <v/>
      </c>
      <c r="BD1631">
        <f>MAX(0,'19_Расчет_аналитики'!BD1628-'19_Расчет_аналитики'!BD1629-'19_Расчет_аналитики'!BD1630)</f>
        <v/>
      </c>
      <c r="BE1631">
        <f>MAX(0,'19_Расчет_аналитики'!BE1628-'19_Расчет_аналитики'!BE1629-'19_Расчет_аналитики'!BE1630)</f>
        <v/>
      </c>
      <c r="BF1631">
        <f>MAX(0,'19_Расчет_аналитики'!BF1628-'19_Расчет_аналитики'!BF1629-'19_Расчет_аналитики'!BF1630)</f>
        <v/>
      </c>
      <c r="BG1631">
        <f>MAX(0,'19_Расчет_аналитики'!BG1628-'19_Расчет_аналитики'!BG1629-'19_Расчет_аналитики'!BG1630)</f>
        <v/>
      </c>
      <c r="BH1631">
        <f>MAX(0,'19_Расчет_аналитики'!BH1628-'19_Расчет_аналитики'!BH1629-'19_Расчет_аналитики'!BH1630)</f>
        <v/>
      </c>
      <c r="BI1631">
        <f>MAX(0,'19_Расчет_аналитики'!BI1628-'19_Расчет_аналитики'!BI1629-'19_Расчет_аналитики'!BI1630)</f>
        <v/>
      </c>
      <c r="BJ1631">
        <f>MAX(0,'19_Расчет_аналитики'!BJ1628-'19_Расчет_аналитики'!BJ1629-'19_Расчет_аналитики'!BJ1630)</f>
        <v/>
      </c>
      <c r="BK1631">
        <f>MAX(0,'19_Расчет_аналитики'!BK1628-'19_Расчет_аналитики'!BK1629-'19_Расчет_аналитики'!BK1630)</f>
        <v/>
      </c>
      <c r="BL1631">
        <f>MAX(0,'19_Расчет_аналитики'!BL1628-'19_Расчет_аналитики'!BL1629-'19_Расчет_аналитики'!BL1630)</f>
        <v/>
      </c>
      <c r="BM1631">
        <f>MAX(0,'19_Расчет_аналитики'!BM1628-'19_Расчет_аналитики'!BM1629-'19_Расчет_аналитики'!BM1630)</f>
        <v/>
      </c>
      <c r="BN1631">
        <f>MAX(0,'19_Расчет_аналитики'!BN1628-'19_Расчет_аналитики'!BN1629-'19_Расчет_аналитики'!BN1630)</f>
        <v/>
      </c>
      <c r="BO1631">
        <f>MAX(0,'19_Расчет_аналитики'!BO1628-'19_Расчет_аналитики'!BO1629-'19_Расчет_аналитики'!BO1630)</f>
        <v/>
      </c>
    </row>
    <row r="1632">
      <c r="B1632">
        <f>'19_Расчет_аналитики'!B1631*'01_Вводные'!$B$76</f>
        <v/>
      </c>
      <c r="C1632">
        <f>'19_Расчет_аналитики'!C1631*'01_Вводные'!$B$76</f>
        <v/>
      </c>
      <c r="D1632">
        <f>'19_Расчет_аналитики'!D1631*'01_Вводные'!$B$76</f>
        <v/>
      </c>
      <c r="E1632">
        <f>'19_Расчет_аналитики'!E1631*'01_Вводные'!$B$76</f>
        <v/>
      </c>
      <c r="F1632">
        <f>'19_Расчет_аналитики'!F1631*'01_Вводные'!$B$76</f>
        <v/>
      </c>
      <c r="G1632">
        <f>'19_Расчет_аналитики'!G1631*'01_Вводные'!$B$76</f>
        <v/>
      </c>
      <c r="H1632">
        <f>'19_Расчет_аналитики'!H1631*'01_Вводные'!$B$76</f>
        <v/>
      </c>
      <c r="I1632">
        <f>'19_Расчет_аналитики'!I1631*'01_Вводные'!$B$76</f>
        <v/>
      </c>
      <c r="J1632">
        <f>'19_Расчет_аналитики'!J1631*'01_Вводные'!$B$76</f>
        <v/>
      </c>
      <c r="K1632">
        <f>'19_Расчет_аналитики'!K1631*'01_Вводные'!$B$76</f>
        <v/>
      </c>
      <c r="L1632">
        <f>'19_Расчет_аналитики'!L1631*'01_Вводные'!$B$76</f>
        <v/>
      </c>
      <c r="M1632">
        <f>'19_Расчет_аналитики'!M1631*'01_Вводные'!$B$76</f>
        <v/>
      </c>
      <c r="N1632">
        <f>'19_Расчет_аналитики'!N1631*'01_Вводные'!$B$76</f>
        <v/>
      </c>
      <c r="O1632">
        <f>'19_Расчет_аналитики'!O1631*'01_Вводные'!$B$76</f>
        <v/>
      </c>
      <c r="P1632">
        <f>'19_Расчет_аналитики'!P1631*'01_Вводные'!$B$76</f>
        <v/>
      </c>
      <c r="Q1632">
        <f>'19_Расчет_аналитики'!Q1631*'01_Вводные'!$B$76</f>
        <v/>
      </c>
      <c r="R1632">
        <f>'19_Расчет_аналитики'!R1631*'01_Вводные'!$B$76</f>
        <v/>
      </c>
      <c r="S1632">
        <f>'19_Расчет_аналитики'!S1631*'01_Вводные'!$B$76</f>
        <v/>
      </c>
      <c r="T1632">
        <f>'19_Расчет_аналитики'!T1631*'01_Вводные'!$B$76</f>
        <v/>
      </c>
      <c r="U1632">
        <f>'19_Расчет_аналитики'!U1631*'01_Вводные'!$B$76</f>
        <v/>
      </c>
      <c r="V1632">
        <f>'19_Расчет_аналитики'!V1631*'01_Вводные'!$B$76</f>
        <v/>
      </c>
      <c r="W1632">
        <f>'19_Расчет_аналитики'!W1631*'01_Вводные'!$B$76</f>
        <v/>
      </c>
      <c r="X1632">
        <f>'19_Расчет_аналитики'!X1631*'01_Вводные'!$B$76</f>
        <v/>
      </c>
      <c r="Y1632">
        <f>'19_Расчет_аналитики'!Y1631*'01_Вводные'!$B$76</f>
        <v/>
      </c>
      <c r="Z1632">
        <f>'19_Расчет_аналитики'!Z1631*'01_Вводные'!$B$76</f>
        <v/>
      </c>
      <c r="AA1632">
        <f>'19_Расчет_аналитики'!AA1631*'01_Вводные'!$B$76</f>
        <v/>
      </c>
      <c r="AB1632">
        <f>'19_Расчет_аналитики'!AB1631*'01_Вводные'!$B$76</f>
        <v/>
      </c>
      <c r="AC1632">
        <f>'19_Расчет_аналитики'!AC1631*'01_Вводные'!$B$76</f>
        <v/>
      </c>
      <c r="AD1632">
        <f>'19_Расчет_аналитики'!AD1631*'01_Вводные'!$B$76</f>
        <v/>
      </c>
      <c r="AE1632">
        <f>'19_Расчет_аналитики'!AE1631*'01_Вводные'!$B$76</f>
        <v/>
      </c>
      <c r="AF1632">
        <f>'19_Расчет_аналитики'!AF1631*'01_Вводные'!$B$76</f>
        <v/>
      </c>
      <c r="AG1632">
        <f>'19_Расчет_аналитики'!AG1631*'01_Вводные'!$B$76</f>
        <v/>
      </c>
      <c r="AH1632">
        <f>'19_Расчет_аналитики'!AH1631*'01_Вводные'!$B$76</f>
        <v/>
      </c>
      <c r="AI1632">
        <f>'19_Расчет_аналитики'!AI1631*'01_Вводные'!$B$76</f>
        <v/>
      </c>
      <c r="AJ1632">
        <f>'19_Расчет_аналитики'!AJ1631*'01_Вводные'!$B$76</f>
        <v/>
      </c>
      <c r="AK1632">
        <f>'19_Расчет_аналитики'!AK1631*'01_Вводные'!$B$76</f>
        <v/>
      </c>
      <c r="AL1632">
        <f>'19_Расчет_аналитики'!AL1631*'01_Вводные'!$B$76</f>
        <v/>
      </c>
      <c r="AM1632">
        <f>'19_Расчет_аналитики'!AM1631*'01_Вводные'!$B$76</f>
        <v/>
      </c>
      <c r="AN1632">
        <f>'19_Расчет_аналитики'!AN1631*'01_Вводные'!$B$76</f>
        <v/>
      </c>
      <c r="AO1632">
        <f>'19_Расчет_аналитики'!AO1631*'01_Вводные'!$B$76</f>
        <v/>
      </c>
      <c r="AP1632">
        <f>'19_Расчет_аналитики'!AP1631*'01_Вводные'!$B$76</f>
        <v/>
      </c>
      <c r="AQ1632">
        <f>'19_Расчет_аналитики'!AQ1631*'01_Вводные'!$B$76</f>
        <v/>
      </c>
      <c r="AR1632">
        <f>'19_Расчет_аналитики'!AR1631*'01_Вводные'!$B$76</f>
        <v/>
      </c>
      <c r="AS1632">
        <f>'19_Расчет_аналитики'!AS1631*'01_Вводные'!$B$76</f>
        <v/>
      </c>
      <c r="AT1632">
        <f>'19_Расчет_аналитики'!AT1631*'01_Вводные'!$B$76</f>
        <v/>
      </c>
      <c r="AU1632">
        <f>'19_Расчет_аналитики'!AU1631*'01_Вводные'!$B$76</f>
        <v/>
      </c>
      <c r="AV1632">
        <f>'19_Расчет_аналитики'!AV1631*'01_Вводные'!$B$76</f>
        <v/>
      </c>
      <c r="AW1632">
        <f>'19_Расчет_аналитики'!AW1631*'01_Вводные'!$B$76</f>
        <v/>
      </c>
      <c r="AX1632">
        <f>'19_Расчет_аналитики'!AX1631*'01_Вводные'!$B$76</f>
        <v/>
      </c>
      <c r="AY1632">
        <f>'19_Расчет_аналитики'!AY1631*'01_Вводные'!$B$76</f>
        <v/>
      </c>
      <c r="AZ1632">
        <f>'19_Расчет_аналитики'!AZ1631*'01_Вводные'!$B$76</f>
        <v/>
      </c>
      <c r="BA1632">
        <f>'19_Расчет_аналитики'!BA1631*'01_Вводные'!$B$76</f>
        <v/>
      </c>
      <c r="BB1632">
        <f>'19_Расчет_аналитики'!BB1631*'01_Вводные'!$B$76</f>
        <v/>
      </c>
      <c r="BC1632">
        <f>'19_Расчет_аналитики'!BC1631*'01_Вводные'!$B$76</f>
        <v/>
      </c>
      <c r="BD1632">
        <f>'19_Расчет_аналитики'!BD1631*'01_Вводные'!$B$76</f>
        <v/>
      </c>
      <c r="BE1632">
        <f>'19_Расчет_аналитики'!BE1631*'01_Вводные'!$B$76</f>
        <v/>
      </c>
      <c r="BF1632">
        <f>'19_Расчет_аналитики'!BF1631*'01_Вводные'!$B$76</f>
        <v/>
      </c>
      <c r="BG1632">
        <f>'19_Расчет_аналитики'!BG1631*'01_Вводные'!$B$76</f>
        <v/>
      </c>
      <c r="BH1632">
        <f>'19_Расчет_аналитики'!BH1631*'01_Вводные'!$B$76</f>
        <v/>
      </c>
      <c r="BI1632">
        <f>'19_Расчет_аналитики'!BI1631*'01_Вводные'!$B$76</f>
        <v/>
      </c>
      <c r="BJ1632">
        <f>'19_Расчет_аналитики'!BJ1631*'01_Вводные'!$B$76</f>
        <v/>
      </c>
      <c r="BK1632">
        <f>'19_Расчет_аналитики'!BK1631*'01_Вводные'!$B$76</f>
        <v/>
      </c>
      <c r="BL1632">
        <f>'19_Расчет_аналитики'!BL1631*'01_Вводные'!$B$76</f>
        <v/>
      </c>
      <c r="BM1632">
        <f>'19_Расчет_аналитики'!BM1631*'01_Вводные'!$B$76</f>
        <v/>
      </c>
      <c r="BN1632">
        <f>'19_Расчет_аналитики'!BN1631*'01_Вводные'!$B$76</f>
        <v/>
      </c>
      <c r="BO1632">
        <f>'19_Расчет_аналитики'!BO1631*'01_Вводные'!$B$76</f>
        <v/>
      </c>
    </row>
    <row r="1633"/>
    <row r="1634"/>
    <row r="1635">
      <c r="C1635">
        <f>'19_Расчет_аналитики'!B1639</f>
        <v/>
      </c>
      <c r="D1635">
        <f>'19_Расчет_аналитики'!C1639</f>
        <v/>
      </c>
      <c r="E1635">
        <f>'19_Расчет_аналитики'!D1639</f>
        <v/>
      </c>
      <c r="F1635">
        <f>'19_Расчет_аналитики'!E1639</f>
        <v/>
      </c>
      <c r="G1635">
        <f>'19_Расчет_аналитики'!F1639</f>
        <v/>
      </c>
      <c r="H1635">
        <f>'19_Расчет_аналитики'!G1639</f>
        <v/>
      </c>
      <c r="I1635">
        <f>'19_Расчет_аналитики'!H1639</f>
        <v/>
      </c>
      <c r="J1635">
        <f>'19_Расчет_аналитики'!I1639</f>
        <v/>
      </c>
      <c r="K1635">
        <f>'19_Расчет_аналитики'!J1639</f>
        <v/>
      </c>
      <c r="L1635">
        <f>'19_Расчет_аналитики'!K1639</f>
        <v/>
      </c>
      <c r="M1635">
        <f>'19_Расчет_аналитики'!L1639</f>
        <v/>
      </c>
      <c r="N1635">
        <f>'19_Расчет_аналитики'!M1639</f>
        <v/>
      </c>
      <c r="O1635">
        <f>'19_Расчет_аналитики'!N1639</f>
        <v/>
      </c>
      <c r="P1635">
        <f>'19_Расчет_аналитики'!O1639</f>
        <v/>
      </c>
      <c r="Q1635">
        <f>'19_Расчет_аналитики'!P1639</f>
        <v/>
      </c>
      <c r="R1635">
        <f>'19_Расчет_аналитики'!Q1639</f>
        <v/>
      </c>
      <c r="S1635">
        <f>'19_Расчет_аналитики'!R1639</f>
        <v/>
      </c>
      <c r="T1635">
        <f>'19_Расчет_аналитики'!S1639</f>
        <v/>
      </c>
      <c r="U1635">
        <f>'19_Расчет_аналитики'!T1639</f>
        <v/>
      </c>
      <c r="V1635">
        <f>'19_Расчет_аналитики'!U1639</f>
        <v/>
      </c>
      <c r="W1635">
        <f>'19_Расчет_аналитики'!V1639</f>
        <v/>
      </c>
      <c r="X1635">
        <f>'19_Расчет_аналитики'!W1639</f>
        <v/>
      </c>
      <c r="Y1635">
        <f>'19_Расчет_аналитики'!X1639</f>
        <v/>
      </c>
      <c r="Z1635">
        <f>'19_Расчет_аналитики'!Y1639</f>
        <v/>
      </c>
      <c r="AA1635">
        <f>'19_Расчет_аналитики'!Z1639</f>
        <v/>
      </c>
      <c r="AB1635">
        <f>'19_Расчет_аналитики'!AA1639</f>
        <v/>
      </c>
      <c r="AC1635">
        <f>'19_Расчет_аналитики'!AB1639</f>
        <v/>
      </c>
      <c r="AD1635">
        <f>'19_Расчет_аналитики'!AC1639</f>
        <v/>
      </c>
      <c r="AE1635">
        <f>'19_Расчет_аналитики'!AD1639</f>
        <v/>
      </c>
      <c r="AF1635">
        <f>'19_Расчет_аналитики'!AE1639</f>
        <v/>
      </c>
      <c r="AG1635">
        <f>'19_Расчет_аналитики'!AF1639</f>
        <v/>
      </c>
      <c r="AH1635">
        <f>'19_Расчет_аналитики'!AG1639</f>
        <v/>
      </c>
      <c r="AI1635">
        <f>'19_Расчет_аналитики'!AH1639</f>
        <v/>
      </c>
      <c r="AJ1635">
        <f>'19_Расчет_аналитики'!AI1639</f>
        <v/>
      </c>
      <c r="AK1635">
        <f>'19_Расчет_аналитики'!AJ1639</f>
        <v/>
      </c>
      <c r="AL1635">
        <f>'19_Расчет_аналитики'!AK1639</f>
        <v/>
      </c>
      <c r="AM1635">
        <f>'19_Расчет_аналитики'!AL1639</f>
        <v/>
      </c>
      <c r="AN1635">
        <f>'19_Расчет_аналитики'!AM1639</f>
        <v/>
      </c>
      <c r="AO1635">
        <f>'19_Расчет_аналитики'!AN1639</f>
        <v/>
      </c>
      <c r="AP1635">
        <f>'19_Расчет_аналитики'!AO1639</f>
        <v/>
      </c>
      <c r="AQ1635">
        <f>'19_Расчет_аналитики'!AP1639</f>
        <v/>
      </c>
      <c r="AR1635">
        <f>'19_Расчет_аналитики'!AQ1639</f>
        <v/>
      </c>
      <c r="AS1635">
        <f>'19_Расчет_аналитики'!AR1639</f>
        <v/>
      </c>
      <c r="AT1635">
        <f>'19_Расчет_аналитики'!AS1639</f>
        <v/>
      </c>
      <c r="AU1635">
        <f>'19_Расчет_аналитики'!AT1639</f>
        <v/>
      </c>
      <c r="AV1635">
        <f>'19_Расчет_аналитики'!AU1639</f>
        <v/>
      </c>
      <c r="AW1635">
        <f>'19_Расчет_аналитики'!AV1639</f>
        <v/>
      </c>
      <c r="AX1635">
        <f>'19_Расчет_аналитики'!AW1639</f>
        <v/>
      </c>
      <c r="AY1635">
        <f>'19_Расчет_аналитики'!AX1639</f>
        <v/>
      </c>
      <c r="AZ1635">
        <f>'19_Расчет_аналитики'!AY1639</f>
        <v/>
      </c>
      <c r="BA1635">
        <f>'19_Расчет_аналитики'!AZ1639</f>
        <v/>
      </c>
      <c r="BB1635">
        <f>'19_Расчет_аналитики'!BA1639</f>
        <v/>
      </c>
      <c r="BC1635">
        <f>'19_Расчет_аналитики'!BB1639</f>
        <v/>
      </c>
      <c r="BD1635">
        <f>'19_Расчет_аналитики'!BC1639</f>
        <v/>
      </c>
      <c r="BE1635">
        <f>'19_Расчет_аналитики'!BD1639</f>
        <v/>
      </c>
      <c r="BF1635">
        <f>'19_Расчет_аналитики'!BE1639</f>
        <v/>
      </c>
      <c r="BG1635">
        <f>'19_Расчет_аналитики'!BF1639</f>
        <v/>
      </c>
      <c r="BH1635">
        <f>'19_Расчет_аналитики'!BG1639</f>
        <v/>
      </c>
      <c r="BI1635">
        <f>'19_Расчет_аналитики'!BH1639</f>
        <v/>
      </c>
      <c r="BJ1635">
        <f>'19_Расчет_аналитики'!BI1639</f>
        <v/>
      </c>
      <c r="BK1635">
        <f>'19_Расчет_аналитики'!BJ1639</f>
        <v/>
      </c>
      <c r="BL1635">
        <f>'19_Расчет_аналитики'!BK1639</f>
        <v/>
      </c>
      <c r="BM1635">
        <f>'19_Расчет_аналитики'!BL1639</f>
        <v/>
      </c>
      <c r="BN1635">
        <f>'19_Расчет_аналитики'!BM1639</f>
        <v/>
      </c>
      <c r="BO1635">
        <f>'19_Расчет_аналитики'!BN1639</f>
        <v/>
      </c>
    </row>
    <row r="1636">
      <c r="B1636">
        <f>'19_Расчет_аналитики'!B1629</f>
        <v/>
      </c>
      <c r="C1636">
        <f>'19_Расчет_аналитики'!C1629</f>
        <v/>
      </c>
      <c r="D1636">
        <f>'19_Расчет_аналитики'!D1629</f>
        <v/>
      </c>
      <c r="E1636">
        <f>'19_Расчет_аналитики'!E1629</f>
        <v/>
      </c>
      <c r="F1636">
        <f>'19_Расчет_аналитики'!F1629</f>
        <v/>
      </c>
      <c r="G1636">
        <f>'19_Расчет_аналитики'!G1629</f>
        <v/>
      </c>
      <c r="H1636">
        <f>'19_Расчет_аналитики'!H1629</f>
        <v/>
      </c>
      <c r="I1636">
        <f>'19_Расчет_аналитики'!I1629</f>
        <v/>
      </c>
      <c r="J1636">
        <f>'19_Расчет_аналитики'!J1629</f>
        <v/>
      </c>
      <c r="K1636">
        <f>'19_Расчет_аналитики'!K1629</f>
        <v/>
      </c>
      <c r="L1636">
        <f>'19_Расчет_аналитики'!L1629</f>
        <v/>
      </c>
      <c r="M1636">
        <f>'19_Расчет_аналитики'!M1629</f>
        <v/>
      </c>
      <c r="N1636">
        <f>'19_Расчет_аналитики'!N1629</f>
        <v/>
      </c>
      <c r="O1636">
        <f>'19_Расчет_аналитики'!O1629</f>
        <v/>
      </c>
      <c r="P1636">
        <f>'19_Расчет_аналитики'!P1629</f>
        <v/>
      </c>
      <c r="Q1636">
        <f>'19_Расчет_аналитики'!Q1629</f>
        <v/>
      </c>
      <c r="R1636">
        <f>'19_Расчет_аналитики'!R1629</f>
        <v/>
      </c>
      <c r="S1636">
        <f>'19_Расчет_аналитики'!S1629</f>
        <v/>
      </c>
      <c r="T1636">
        <f>'19_Расчет_аналитики'!T1629</f>
        <v/>
      </c>
      <c r="U1636">
        <f>'19_Расчет_аналитики'!U1629</f>
        <v/>
      </c>
      <c r="V1636">
        <f>'19_Расчет_аналитики'!V1629</f>
        <v/>
      </c>
      <c r="W1636">
        <f>'19_Расчет_аналитики'!W1629</f>
        <v/>
      </c>
      <c r="X1636">
        <f>'19_Расчет_аналитики'!X1629</f>
        <v/>
      </c>
      <c r="Y1636">
        <f>'19_Расчет_аналитики'!Y1629</f>
        <v/>
      </c>
      <c r="Z1636">
        <f>'19_Расчет_аналитики'!Z1629</f>
        <v/>
      </c>
      <c r="AA1636">
        <f>'19_Расчет_аналитики'!AA1629</f>
        <v/>
      </c>
      <c r="AB1636">
        <f>'19_Расчет_аналитики'!AB1629</f>
        <v/>
      </c>
      <c r="AC1636">
        <f>'19_Расчет_аналитики'!AC1629</f>
        <v/>
      </c>
      <c r="AD1636">
        <f>'19_Расчет_аналитики'!AD1629</f>
        <v/>
      </c>
      <c r="AE1636">
        <f>'19_Расчет_аналитики'!AE1629</f>
        <v/>
      </c>
      <c r="AF1636">
        <f>'19_Расчет_аналитики'!AF1629</f>
        <v/>
      </c>
      <c r="AG1636">
        <f>'19_Расчет_аналитики'!AG1629</f>
        <v/>
      </c>
      <c r="AH1636">
        <f>'19_Расчет_аналитики'!AH1629</f>
        <v/>
      </c>
      <c r="AI1636">
        <f>'19_Расчет_аналитики'!AI1629</f>
        <v/>
      </c>
      <c r="AJ1636">
        <f>'19_Расчет_аналитики'!AJ1629</f>
        <v/>
      </c>
      <c r="AK1636">
        <f>'19_Расчет_аналитики'!AK1629</f>
        <v/>
      </c>
      <c r="AL1636">
        <f>'19_Расчет_аналитики'!AL1629</f>
        <v/>
      </c>
      <c r="AM1636">
        <f>'19_Расчет_аналитики'!AM1629</f>
        <v/>
      </c>
      <c r="AN1636">
        <f>'19_Расчет_аналитики'!AN1629</f>
        <v/>
      </c>
      <c r="AO1636">
        <f>'19_Расчет_аналитики'!AO1629</f>
        <v/>
      </c>
      <c r="AP1636">
        <f>'19_Расчет_аналитики'!AP1629</f>
        <v/>
      </c>
      <c r="AQ1636">
        <f>'19_Расчет_аналитики'!AQ1629</f>
        <v/>
      </c>
      <c r="AR1636">
        <f>'19_Расчет_аналитики'!AR1629</f>
        <v/>
      </c>
      <c r="AS1636">
        <f>'19_Расчет_аналитики'!AS1629</f>
        <v/>
      </c>
      <c r="AT1636">
        <f>'19_Расчет_аналитики'!AT1629</f>
        <v/>
      </c>
      <c r="AU1636">
        <f>'19_Расчет_аналитики'!AU1629</f>
        <v/>
      </c>
      <c r="AV1636">
        <f>'19_Расчет_аналитики'!AV1629</f>
        <v/>
      </c>
      <c r="AW1636">
        <f>'19_Расчет_аналитики'!AW1629</f>
        <v/>
      </c>
      <c r="AX1636">
        <f>'19_Расчет_аналитики'!AX1629</f>
        <v/>
      </c>
      <c r="AY1636">
        <f>'19_Расчет_аналитики'!AY1629</f>
        <v/>
      </c>
      <c r="AZ1636">
        <f>'19_Расчет_аналитики'!AZ1629</f>
        <v/>
      </c>
      <c r="BA1636">
        <f>'19_Расчет_аналитики'!BA1629</f>
        <v/>
      </c>
      <c r="BB1636">
        <f>'19_Расчет_аналитики'!BB1629</f>
        <v/>
      </c>
      <c r="BC1636">
        <f>'19_Расчет_аналитики'!BC1629</f>
        <v/>
      </c>
      <c r="BD1636">
        <f>'19_Расчет_аналитики'!BD1629</f>
        <v/>
      </c>
      <c r="BE1636">
        <f>'19_Расчет_аналитики'!BE1629</f>
        <v/>
      </c>
      <c r="BF1636">
        <f>'19_Расчет_аналитики'!BF1629</f>
        <v/>
      </c>
      <c r="BG1636">
        <f>'19_Расчет_аналитики'!BG1629</f>
        <v/>
      </c>
      <c r="BH1636">
        <f>'19_Расчет_аналитики'!BH1629</f>
        <v/>
      </c>
      <c r="BI1636">
        <f>'19_Расчет_аналитики'!BI1629</f>
        <v/>
      </c>
      <c r="BJ1636">
        <f>'19_Расчет_аналитики'!BJ1629</f>
        <v/>
      </c>
      <c r="BK1636">
        <f>'19_Расчет_аналитики'!BK1629</f>
        <v/>
      </c>
      <c r="BL1636">
        <f>'19_Расчет_аналитики'!BL1629</f>
        <v/>
      </c>
      <c r="BM1636">
        <f>'19_Расчет_аналитики'!BM1629</f>
        <v/>
      </c>
      <c r="BN1636">
        <f>'19_Расчет_аналитики'!BN1629</f>
        <v/>
      </c>
      <c r="BO1636">
        <f>'19_Расчет_аналитики'!BO1629</f>
        <v/>
      </c>
    </row>
    <row r="1637">
      <c r="B1637">
        <f>SUM(IF('01_Вводные'!$B$80&gt;=1,'19_Расчет_аналитики'!C1629,0),IF('01_Вводные'!$B$80&gt;=2,'19_Расчет_аналитики'!D1629,0),IF('01_Вводные'!$B$80&gt;=3,'19_Расчет_аналитики'!E1629,0),IF('01_Вводные'!$B$80&gt;=4,'19_Расчет_аналитики'!F1629,0),IF('01_Вводные'!$B$80&gt;=5,'19_Расчет_аналитики'!G1629,0),IF('01_Вводные'!$B$80&gt;=6,'19_Расчет_аналитики'!H1629,0))</f>
        <v/>
      </c>
      <c r="C1637">
        <f>SUM(IF('01_Вводные'!$B$80&gt;=1,'19_Расчет_аналитики'!D1629,0),IF('01_Вводные'!$B$80&gt;=2,'19_Расчет_аналитики'!E1629,0),IF('01_Вводные'!$B$80&gt;=3,'19_Расчет_аналитики'!F1629,0),IF('01_Вводные'!$B$80&gt;=4,'19_Расчет_аналитики'!G1629,0),IF('01_Вводные'!$B$80&gt;=5,'19_Расчет_аналитики'!H1629,0),IF('01_Вводные'!$B$80&gt;=6,'19_Расчет_аналитики'!I1629,0))</f>
        <v/>
      </c>
      <c r="D1637">
        <f>SUM(IF('01_Вводные'!$B$80&gt;=1,'19_Расчет_аналитики'!E1629,0),IF('01_Вводные'!$B$80&gt;=2,'19_Расчет_аналитики'!F1629,0),IF('01_Вводные'!$B$80&gt;=3,'19_Расчет_аналитики'!G1629,0),IF('01_Вводные'!$B$80&gt;=4,'19_Расчет_аналитики'!H1629,0),IF('01_Вводные'!$B$80&gt;=5,'19_Расчет_аналитики'!I1629,0),IF('01_Вводные'!$B$80&gt;=6,'19_Расчет_аналитики'!J1629,0))</f>
        <v/>
      </c>
      <c r="E1637">
        <f>SUM(IF('01_Вводные'!$B$80&gt;=1,'19_Расчет_аналитики'!F1629,0),IF('01_Вводные'!$B$80&gt;=2,'19_Расчет_аналитики'!G1629,0),IF('01_Вводные'!$B$80&gt;=3,'19_Расчет_аналитики'!H1629,0),IF('01_Вводные'!$B$80&gt;=4,'19_Расчет_аналитики'!I1629,0),IF('01_Вводные'!$B$80&gt;=5,'19_Расчет_аналитики'!J1629,0),IF('01_Вводные'!$B$80&gt;=6,'19_Расчет_аналитики'!K1629,0))</f>
        <v/>
      </c>
      <c r="F1637">
        <f>SUM(IF('01_Вводные'!$B$80&gt;=1,'19_Расчет_аналитики'!G1629,0),IF('01_Вводные'!$B$80&gt;=2,'19_Расчет_аналитики'!H1629,0),IF('01_Вводные'!$B$80&gt;=3,'19_Расчет_аналитики'!I1629,0),IF('01_Вводные'!$B$80&gt;=4,'19_Расчет_аналитики'!J1629,0),IF('01_Вводные'!$B$80&gt;=5,'19_Расчет_аналитики'!K1629,0),IF('01_Вводные'!$B$80&gt;=6,'19_Расчет_аналитики'!L1629,0))</f>
        <v/>
      </c>
      <c r="G1637">
        <f>SUM(IF('01_Вводные'!$B$80&gt;=1,'19_Расчет_аналитики'!H1629,0),IF('01_Вводные'!$B$80&gt;=2,'19_Расчет_аналитики'!I1629,0),IF('01_Вводные'!$B$80&gt;=3,'19_Расчет_аналитики'!J1629,0),IF('01_Вводные'!$B$80&gt;=4,'19_Расчет_аналитики'!K1629,0),IF('01_Вводные'!$B$80&gt;=5,'19_Расчет_аналитики'!L1629,0),IF('01_Вводные'!$B$80&gt;=6,'19_Расчет_аналитики'!M1629,0))</f>
        <v/>
      </c>
      <c r="H1637">
        <f>SUM(IF('01_Вводные'!$B$80&gt;=1,'19_Расчет_аналитики'!I1629,0),IF('01_Вводные'!$B$80&gt;=2,'19_Расчет_аналитики'!J1629,0),IF('01_Вводные'!$B$80&gt;=3,'19_Расчет_аналитики'!K1629,0),IF('01_Вводные'!$B$80&gt;=4,'19_Расчет_аналитики'!L1629,0),IF('01_Вводные'!$B$80&gt;=5,'19_Расчет_аналитики'!M1629,0),IF('01_Вводные'!$B$80&gt;=6,'19_Расчет_аналитики'!N1629,0))</f>
        <v/>
      </c>
      <c r="I1637">
        <f>SUM(IF('01_Вводные'!$B$80&gt;=1,'19_Расчет_аналитики'!J1629,0),IF('01_Вводные'!$B$80&gt;=2,'19_Расчет_аналитики'!K1629,0),IF('01_Вводные'!$B$80&gt;=3,'19_Расчет_аналитики'!L1629,0),IF('01_Вводные'!$B$80&gt;=4,'19_Расчет_аналитики'!M1629,0),IF('01_Вводные'!$B$80&gt;=5,'19_Расчет_аналитики'!N1629,0),IF('01_Вводные'!$B$80&gt;=6,'19_Расчет_аналитики'!O1629,0))</f>
        <v/>
      </c>
      <c r="J1637">
        <f>SUM(IF('01_Вводные'!$B$80&gt;=1,'19_Расчет_аналитики'!K1629,0),IF('01_Вводные'!$B$80&gt;=2,'19_Расчет_аналитики'!L1629,0),IF('01_Вводные'!$B$80&gt;=3,'19_Расчет_аналитики'!M1629,0),IF('01_Вводные'!$B$80&gt;=4,'19_Расчет_аналитики'!N1629,0),IF('01_Вводные'!$B$80&gt;=5,'19_Расчет_аналитики'!O1629,0),IF('01_Вводные'!$B$80&gt;=6,'19_Расчет_аналитики'!P1629,0))</f>
        <v/>
      </c>
      <c r="K1637">
        <f>SUM(IF('01_Вводные'!$B$80&gt;=1,'19_Расчет_аналитики'!L1629,0),IF('01_Вводные'!$B$80&gt;=2,'19_Расчет_аналитики'!M1629,0),IF('01_Вводные'!$B$80&gt;=3,'19_Расчет_аналитики'!N1629,0),IF('01_Вводные'!$B$80&gt;=4,'19_Расчет_аналитики'!O1629,0),IF('01_Вводные'!$B$80&gt;=5,'19_Расчет_аналитики'!P1629,0),IF('01_Вводные'!$B$80&gt;=6,'19_Расчет_аналитики'!Q1629,0))</f>
        <v/>
      </c>
      <c r="L1637">
        <f>SUM(IF('01_Вводные'!$B$80&gt;=1,'19_Расчет_аналитики'!M1629,0),IF('01_Вводные'!$B$80&gt;=2,'19_Расчет_аналитики'!N1629,0),IF('01_Вводные'!$B$80&gt;=3,'19_Расчет_аналитики'!O1629,0),IF('01_Вводные'!$B$80&gt;=4,'19_Расчет_аналитики'!P1629,0),IF('01_Вводные'!$B$80&gt;=5,'19_Расчет_аналитики'!Q1629,0),IF('01_Вводные'!$B$80&gt;=6,'19_Расчет_аналитики'!R1629,0))</f>
        <v/>
      </c>
      <c r="M1637">
        <f>SUM(IF('01_Вводные'!$B$80&gt;=1,'19_Расчет_аналитики'!N1629,0),IF('01_Вводные'!$B$80&gt;=2,'19_Расчет_аналитики'!O1629,0),IF('01_Вводные'!$B$80&gt;=3,'19_Расчет_аналитики'!P1629,0),IF('01_Вводные'!$B$80&gt;=4,'19_Расчет_аналитики'!Q1629,0),IF('01_Вводные'!$B$80&gt;=5,'19_Расчет_аналитики'!R1629,0),IF('01_Вводные'!$B$80&gt;=6,'19_Расчет_аналитики'!S1629,0))</f>
        <v/>
      </c>
      <c r="N1637">
        <f>SUM(IF('01_Вводные'!$B$80&gt;=1,'19_Расчет_аналитики'!O1629,0),IF('01_Вводные'!$B$80&gt;=2,'19_Расчет_аналитики'!P1629,0),IF('01_Вводные'!$B$80&gt;=3,'19_Расчет_аналитики'!Q1629,0),IF('01_Вводные'!$B$80&gt;=4,'19_Расчет_аналитики'!R1629,0),IF('01_Вводные'!$B$80&gt;=5,'19_Расчет_аналитики'!S1629,0),IF('01_Вводные'!$B$80&gt;=6,'19_Расчет_аналитики'!T1629,0))</f>
        <v/>
      </c>
      <c r="O1637">
        <f>SUM(IF('01_Вводные'!$B$80&gt;=1,'19_Расчет_аналитики'!P1629,0),IF('01_Вводные'!$B$80&gt;=2,'19_Расчет_аналитики'!Q1629,0),IF('01_Вводные'!$B$80&gt;=3,'19_Расчет_аналитики'!R1629,0),IF('01_Вводные'!$B$80&gt;=4,'19_Расчет_аналитики'!S1629,0),IF('01_Вводные'!$B$80&gt;=5,'19_Расчет_аналитики'!T1629,0),IF('01_Вводные'!$B$80&gt;=6,'19_Расчет_аналитики'!U1629,0))</f>
        <v/>
      </c>
      <c r="P1637">
        <f>SUM(IF('01_Вводные'!$B$80&gt;=1,'19_Расчет_аналитики'!Q1629,0),IF('01_Вводные'!$B$80&gt;=2,'19_Расчет_аналитики'!R1629,0),IF('01_Вводные'!$B$80&gt;=3,'19_Расчет_аналитики'!S1629,0),IF('01_Вводные'!$B$80&gt;=4,'19_Расчет_аналитики'!T1629,0),IF('01_Вводные'!$B$80&gt;=5,'19_Расчет_аналитики'!U1629,0),IF('01_Вводные'!$B$80&gt;=6,'19_Расчет_аналитики'!V1629,0))</f>
        <v/>
      </c>
      <c r="Q1637">
        <f>SUM(IF('01_Вводные'!$B$80&gt;=1,'19_Расчет_аналитики'!R1629,0),IF('01_Вводные'!$B$80&gt;=2,'19_Расчет_аналитики'!S1629,0),IF('01_Вводные'!$B$80&gt;=3,'19_Расчет_аналитики'!T1629,0),IF('01_Вводные'!$B$80&gt;=4,'19_Расчет_аналитики'!U1629,0),IF('01_Вводные'!$B$80&gt;=5,'19_Расчет_аналитики'!V1629,0),IF('01_Вводные'!$B$80&gt;=6,'19_Расчет_аналитики'!W1629,0))</f>
        <v/>
      </c>
      <c r="R1637">
        <f>SUM(IF('01_Вводные'!$B$80&gt;=1,'19_Расчет_аналитики'!S1629,0),IF('01_Вводные'!$B$80&gt;=2,'19_Расчет_аналитики'!T1629,0),IF('01_Вводные'!$B$80&gt;=3,'19_Расчет_аналитики'!U1629,0),IF('01_Вводные'!$B$80&gt;=4,'19_Расчет_аналитики'!V1629,0),IF('01_Вводные'!$B$80&gt;=5,'19_Расчет_аналитики'!W1629,0),IF('01_Вводные'!$B$80&gt;=6,'19_Расчет_аналитики'!X1629,0))</f>
        <v/>
      </c>
      <c r="S1637">
        <f>SUM(IF('01_Вводные'!$B$80&gt;=1,'19_Расчет_аналитики'!T1629,0),IF('01_Вводные'!$B$80&gt;=2,'19_Расчет_аналитики'!U1629,0),IF('01_Вводные'!$B$80&gt;=3,'19_Расчет_аналитики'!V1629,0),IF('01_Вводные'!$B$80&gt;=4,'19_Расчет_аналитики'!W1629,0),IF('01_Вводные'!$B$80&gt;=5,'19_Расчет_аналитики'!X1629,0),IF('01_Вводные'!$B$80&gt;=6,'19_Расчет_аналитики'!Y1629,0))</f>
        <v/>
      </c>
      <c r="T1637">
        <f>SUM(IF('01_Вводные'!$B$80&gt;=1,'19_Расчет_аналитики'!U1629,0),IF('01_Вводные'!$B$80&gt;=2,'19_Расчет_аналитики'!V1629,0),IF('01_Вводные'!$B$80&gt;=3,'19_Расчет_аналитики'!W1629,0),IF('01_Вводные'!$B$80&gt;=4,'19_Расчет_аналитики'!X1629,0),IF('01_Вводные'!$B$80&gt;=5,'19_Расчет_аналитики'!Y1629,0),IF('01_Вводные'!$B$80&gt;=6,'19_Расчет_аналитики'!Z1629,0))</f>
        <v/>
      </c>
      <c r="U1637">
        <f>SUM(IF('01_Вводные'!$B$80&gt;=1,'19_Расчет_аналитики'!V1629,0),IF('01_Вводные'!$B$80&gt;=2,'19_Расчет_аналитики'!W1629,0),IF('01_Вводные'!$B$80&gt;=3,'19_Расчет_аналитики'!X1629,0),IF('01_Вводные'!$B$80&gt;=4,'19_Расчет_аналитики'!Y1629,0),IF('01_Вводные'!$B$80&gt;=5,'19_Расчет_аналитики'!Z1629,0),IF('01_Вводные'!$B$80&gt;=6,'19_Расчет_аналитики'!AA1629,0))</f>
        <v/>
      </c>
      <c r="V1637">
        <f>SUM(IF('01_Вводные'!$B$80&gt;=1,'19_Расчет_аналитики'!W1629,0),IF('01_Вводные'!$B$80&gt;=2,'19_Расчет_аналитики'!X1629,0),IF('01_Вводные'!$B$80&gt;=3,'19_Расчет_аналитики'!Y1629,0),IF('01_Вводные'!$B$80&gt;=4,'19_Расчет_аналитики'!Z1629,0),IF('01_Вводные'!$B$80&gt;=5,'19_Расчет_аналитики'!AA1629,0),IF('01_Вводные'!$B$80&gt;=6,'19_Расчет_аналитики'!AB1629,0))</f>
        <v/>
      </c>
      <c r="W1637">
        <f>SUM(IF('01_Вводные'!$B$80&gt;=1,'19_Расчет_аналитики'!X1629,0),IF('01_Вводные'!$B$80&gt;=2,'19_Расчет_аналитики'!Y1629,0),IF('01_Вводные'!$B$80&gt;=3,'19_Расчет_аналитики'!Z1629,0),IF('01_Вводные'!$B$80&gt;=4,'19_Расчет_аналитики'!AA1629,0),IF('01_Вводные'!$B$80&gt;=5,'19_Расчет_аналитики'!AB1629,0),IF('01_Вводные'!$B$80&gt;=6,'19_Расчет_аналитики'!AC1629,0))</f>
        <v/>
      </c>
      <c r="X1637">
        <f>SUM(IF('01_Вводные'!$B$80&gt;=1,'19_Расчет_аналитики'!Y1629,0),IF('01_Вводные'!$B$80&gt;=2,'19_Расчет_аналитики'!Z1629,0),IF('01_Вводные'!$B$80&gt;=3,'19_Расчет_аналитики'!AA1629,0),IF('01_Вводные'!$B$80&gt;=4,'19_Расчет_аналитики'!AB1629,0),IF('01_Вводные'!$B$80&gt;=5,'19_Расчет_аналитики'!AC1629,0),IF('01_Вводные'!$B$80&gt;=6,'19_Расчет_аналитики'!AD1629,0))</f>
        <v/>
      </c>
      <c r="Y1637">
        <f>SUM(IF('01_Вводные'!$B$80&gt;=1,'19_Расчет_аналитики'!Z1629,0),IF('01_Вводные'!$B$80&gt;=2,'19_Расчет_аналитики'!AA1629,0),IF('01_Вводные'!$B$80&gt;=3,'19_Расчет_аналитики'!AB1629,0),IF('01_Вводные'!$B$80&gt;=4,'19_Расчет_аналитики'!AC1629,0),IF('01_Вводные'!$B$80&gt;=5,'19_Расчет_аналитики'!AD1629,0),IF('01_Вводные'!$B$80&gt;=6,'19_Расчет_аналитики'!AE1629,0))</f>
        <v/>
      </c>
      <c r="Z1637">
        <f>SUM(IF('01_Вводные'!$B$80&gt;=1,'19_Расчет_аналитики'!AA1629,0),IF('01_Вводные'!$B$80&gt;=2,'19_Расчет_аналитики'!AB1629,0),IF('01_Вводные'!$B$80&gt;=3,'19_Расчет_аналитики'!AC1629,0),IF('01_Вводные'!$B$80&gt;=4,'19_Расчет_аналитики'!AD1629,0),IF('01_Вводные'!$B$80&gt;=5,'19_Расчет_аналитики'!AE1629,0),IF('01_Вводные'!$B$80&gt;=6,'19_Расчет_аналитики'!AF1629,0))</f>
        <v/>
      </c>
      <c r="AA1637">
        <f>SUM(IF('01_Вводные'!$B$80&gt;=1,'19_Расчет_аналитики'!AB1629,0),IF('01_Вводные'!$B$80&gt;=2,'19_Расчет_аналитики'!AC1629,0),IF('01_Вводные'!$B$80&gt;=3,'19_Расчет_аналитики'!AD1629,0),IF('01_Вводные'!$B$80&gt;=4,'19_Расчет_аналитики'!AE1629,0),IF('01_Вводные'!$B$80&gt;=5,'19_Расчет_аналитики'!AF1629,0),IF('01_Вводные'!$B$80&gt;=6,'19_Расчет_аналитики'!AG1629,0))</f>
        <v/>
      </c>
      <c r="AB1637">
        <f>SUM(IF('01_Вводные'!$B$80&gt;=1,'19_Расчет_аналитики'!AC1629,0),IF('01_Вводные'!$B$80&gt;=2,'19_Расчет_аналитики'!AD1629,0),IF('01_Вводные'!$B$80&gt;=3,'19_Расчет_аналитики'!AE1629,0),IF('01_Вводные'!$B$80&gt;=4,'19_Расчет_аналитики'!AF1629,0),IF('01_Вводные'!$B$80&gt;=5,'19_Расчет_аналитики'!AG1629,0),IF('01_Вводные'!$B$80&gt;=6,'19_Расчет_аналитики'!AH1629,0))</f>
        <v/>
      </c>
      <c r="AC1637">
        <f>SUM(IF('01_Вводные'!$B$80&gt;=1,'19_Расчет_аналитики'!AD1629,0),IF('01_Вводные'!$B$80&gt;=2,'19_Расчет_аналитики'!AE1629,0),IF('01_Вводные'!$B$80&gt;=3,'19_Расчет_аналитики'!AF1629,0),IF('01_Вводные'!$B$80&gt;=4,'19_Расчет_аналитики'!AG1629,0),IF('01_Вводные'!$B$80&gt;=5,'19_Расчет_аналитики'!AH1629,0),IF('01_Вводные'!$B$80&gt;=6,'19_Расчет_аналитики'!AI1629,0))</f>
        <v/>
      </c>
      <c r="AD1637">
        <f>SUM(IF('01_Вводные'!$B$80&gt;=1,'19_Расчет_аналитики'!AE1629,0),IF('01_Вводные'!$B$80&gt;=2,'19_Расчет_аналитики'!AF1629,0),IF('01_Вводные'!$B$80&gt;=3,'19_Расчет_аналитики'!AG1629,0),IF('01_Вводные'!$B$80&gt;=4,'19_Расчет_аналитики'!AH1629,0),IF('01_Вводные'!$B$80&gt;=5,'19_Расчет_аналитики'!AI1629,0),IF('01_Вводные'!$B$80&gt;=6,'19_Расчет_аналитики'!AJ1629,0))</f>
        <v/>
      </c>
      <c r="AE1637">
        <f>SUM(IF('01_Вводные'!$B$80&gt;=1,'19_Расчет_аналитики'!AF1629,0),IF('01_Вводные'!$B$80&gt;=2,'19_Расчет_аналитики'!AG1629,0),IF('01_Вводные'!$B$80&gt;=3,'19_Расчет_аналитики'!AH1629,0),IF('01_Вводные'!$B$80&gt;=4,'19_Расчет_аналитики'!AI1629,0),IF('01_Вводные'!$B$80&gt;=5,'19_Расчет_аналитики'!AJ1629,0),IF('01_Вводные'!$B$80&gt;=6,'19_Расчет_аналитики'!AK1629,0))</f>
        <v/>
      </c>
      <c r="AF1637">
        <f>SUM(IF('01_Вводные'!$B$80&gt;=1,'19_Расчет_аналитики'!AG1629,0),IF('01_Вводные'!$B$80&gt;=2,'19_Расчет_аналитики'!AH1629,0),IF('01_Вводные'!$B$80&gt;=3,'19_Расчет_аналитики'!AI1629,0),IF('01_Вводные'!$B$80&gt;=4,'19_Расчет_аналитики'!AJ1629,0),IF('01_Вводные'!$B$80&gt;=5,'19_Расчет_аналитики'!AK1629,0),IF('01_Вводные'!$B$80&gt;=6,'19_Расчет_аналитики'!AL1629,0))</f>
        <v/>
      </c>
      <c r="AG1637">
        <f>SUM(IF('01_Вводные'!$B$80&gt;=1,'19_Расчет_аналитики'!AH1629,0),IF('01_Вводные'!$B$80&gt;=2,'19_Расчет_аналитики'!AI1629,0),IF('01_Вводные'!$B$80&gt;=3,'19_Расчет_аналитики'!AJ1629,0),IF('01_Вводные'!$B$80&gt;=4,'19_Расчет_аналитики'!AK1629,0),IF('01_Вводные'!$B$80&gt;=5,'19_Расчет_аналитики'!AL1629,0),IF('01_Вводные'!$B$80&gt;=6,'19_Расчет_аналитики'!AM1629,0))</f>
        <v/>
      </c>
      <c r="AH1637">
        <f>SUM(IF('01_Вводные'!$B$80&gt;=1,'19_Расчет_аналитики'!AI1629,0),IF('01_Вводные'!$B$80&gt;=2,'19_Расчет_аналитики'!AJ1629,0),IF('01_Вводные'!$B$80&gt;=3,'19_Расчет_аналитики'!AK1629,0),IF('01_Вводные'!$B$80&gt;=4,'19_Расчет_аналитики'!AL1629,0),IF('01_Вводные'!$B$80&gt;=5,'19_Расчет_аналитики'!AM1629,0),IF('01_Вводные'!$B$80&gt;=6,'19_Расчет_аналитики'!AN1629,0))</f>
        <v/>
      </c>
      <c r="AI1637">
        <f>SUM(IF('01_Вводные'!$B$80&gt;=1,'19_Расчет_аналитики'!AJ1629,0),IF('01_Вводные'!$B$80&gt;=2,'19_Расчет_аналитики'!AK1629,0),IF('01_Вводные'!$B$80&gt;=3,'19_Расчет_аналитики'!AL1629,0),IF('01_Вводные'!$B$80&gt;=4,'19_Расчет_аналитики'!AM1629,0),IF('01_Вводные'!$B$80&gt;=5,'19_Расчет_аналитики'!AN1629,0),IF('01_Вводные'!$B$80&gt;=6,'19_Расчет_аналитики'!AO1629,0))</f>
        <v/>
      </c>
      <c r="AJ1637">
        <f>SUM(IF('01_Вводные'!$B$80&gt;=1,'19_Расчет_аналитики'!AK1629,0),IF('01_Вводные'!$B$80&gt;=2,'19_Расчет_аналитики'!AL1629,0),IF('01_Вводные'!$B$80&gt;=3,'19_Расчет_аналитики'!AM1629,0),IF('01_Вводные'!$B$80&gt;=4,'19_Расчет_аналитики'!AN1629,0),IF('01_Вводные'!$B$80&gt;=5,'19_Расчет_аналитики'!AO1629,0),IF('01_Вводные'!$B$80&gt;=6,'19_Расчет_аналитики'!AP1629,0))</f>
        <v/>
      </c>
      <c r="AK1637">
        <f>SUM(IF('01_Вводные'!$B$80&gt;=1,'19_Расчет_аналитики'!AL1629,0),IF('01_Вводные'!$B$80&gt;=2,'19_Расчет_аналитики'!AM1629,0),IF('01_Вводные'!$B$80&gt;=3,'19_Расчет_аналитики'!AN1629,0),IF('01_Вводные'!$B$80&gt;=4,'19_Расчет_аналитики'!AO1629,0),IF('01_Вводные'!$B$80&gt;=5,'19_Расчет_аналитики'!AP1629,0),IF('01_Вводные'!$B$80&gt;=6,'19_Расчет_аналитики'!AQ1629,0))</f>
        <v/>
      </c>
      <c r="AL1637">
        <f>SUM(IF('01_Вводные'!$B$80&gt;=1,'19_Расчет_аналитики'!AM1629,0),IF('01_Вводные'!$B$80&gt;=2,'19_Расчет_аналитики'!AN1629,0),IF('01_Вводные'!$B$80&gt;=3,'19_Расчет_аналитики'!AO1629,0),IF('01_Вводные'!$B$80&gt;=4,'19_Расчет_аналитики'!AP1629,0),IF('01_Вводные'!$B$80&gt;=5,'19_Расчет_аналитики'!AQ1629,0),IF('01_Вводные'!$B$80&gt;=6,'19_Расчет_аналитики'!AR1629,0))</f>
        <v/>
      </c>
      <c r="AM1637">
        <f>SUM(IF('01_Вводные'!$B$80&gt;=1,'19_Расчет_аналитики'!AN1629,0),IF('01_Вводные'!$B$80&gt;=2,'19_Расчет_аналитики'!AO1629,0),IF('01_Вводные'!$B$80&gt;=3,'19_Расчет_аналитики'!AP1629,0),IF('01_Вводные'!$B$80&gt;=4,'19_Расчет_аналитики'!AQ1629,0),IF('01_Вводные'!$B$80&gt;=5,'19_Расчет_аналитики'!AR1629,0),IF('01_Вводные'!$B$80&gt;=6,'19_Расчет_аналитики'!AS1629,0))</f>
        <v/>
      </c>
      <c r="AN1637">
        <f>SUM(IF('01_Вводные'!$B$80&gt;=1,'19_Расчет_аналитики'!AO1629,0),IF('01_Вводные'!$B$80&gt;=2,'19_Расчет_аналитики'!AP1629,0),IF('01_Вводные'!$B$80&gt;=3,'19_Расчет_аналитики'!AQ1629,0),IF('01_Вводные'!$B$80&gt;=4,'19_Расчет_аналитики'!AR1629,0),IF('01_Вводные'!$B$80&gt;=5,'19_Расчет_аналитики'!AS1629,0),IF('01_Вводные'!$B$80&gt;=6,'19_Расчет_аналитики'!AT1629,0))</f>
        <v/>
      </c>
      <c r="AO1637">
        <f>SUM(IF('01_Вводные'!$B$80&gt;=1,'19_Расчет_аналитики'!AP1629,0),IF('01_Вводные'!$B$80&gt;=2,'19_Расчет_аналитики'!AQ1629,0),IF('01_Вводные'!$B$80&gt;=3,'19_Расчет_аналитики'!AR1629,0),IF('01_Вводные'!$B$80&gt;=4,'19_Расчет_аналитики'!AS1629,0),IF('01_Вводные'!$B$80&gt;=5,'19_Расчет_аналитики'!AT1629,0),IF('01_Вводные'!$B$80&gt;=6,'19_Расчет_аналитики'!AU1629,0))</f>
        <v/>
      </c>
      <c r="AP1637">
        <f>SUM(IF('01_Вводные'!$B$80&gt;=1,'19_Расчет_аналитики'!AQ1629,0),IF('01_Вводные'!$B$80&gt;=2,'19_Расчет_аналитики'!AR1629,0),IF('01_Вводные'!$B$80&gt;=3,'19_Расчет_аналитики'!AS1629,0),IF('01_Вводные'!$B$80&gt;=4,'19_Расчет_аналитики'!AT1629,0),IF('01_Вводные'!$B$80&gt;=5,'19_Расчет_аналитики'!AU1629,0),IF('01_Вводные'!$B$80&gt;=6,'19_Расчет_аналитики'!AV1629,0))</f>
        <v/>
      </c>
      <c r="AQ1637">
        <f>SUM(IF('01_Вводные'!$B$80&gt;=1,'19_Расчет_аналитики'!AR1629,0),IF('01_Вводные'!$B$80&gt;=2,'19_Расчет_аналитики'!AS1629,0),IF('01_Вводные'!$B$80&gt;=3,'19_Расчет_аналитики'!AT1629,0),IF('01_Вводные'!$B$80&gt;=4,'19_Расчет_аналитики'!AU1629,0),IF('01_Вводные'!$B$80&gt;=5,'19_Расчет_аналитики'!AV1629,0),IF('01_Вводные'!$B$80&gt;=6,'19_Расчет_аналитики'!AW1629,0))</f>
        <v/>
      </c>
      <c r="AR1637">
        <f>SUM(IF('01_Вводные'!$B$80&gt;=1,'19_Расчет_аналитики'!AS1629,0),IF('01_Вводные'!$B$80&gt;=2,'19_Расчет_аналитики'!AT1629,0),IF('01_Вводные'!$B$80&gt;=3,'19_Расчет_аналитики'!AU1629,0),IF('01_Вводные'!$B$80&gt;=4,'19_Расчет_аналитики'!AV1629,0),IF('01_Вводные'!$B$80&gt;=5,'19_Расчет_аналитики'!AW1629,0),IF('01_Вводные'!$B$80&gt;=6,'19_Расчет_аналитики'!AX1629,0))</f>
        <v/>
      </c>
      <c r="AS1637">
        <f>SUM(IF('01_Вводные'!$B$80&gt;=1,'19_Расчет_аналитики'!AT1629,0),IF('01_Вводные'!$B$80&gt;=2,'19_Расчет_аналитики'!AU1629,0),IF('01_Вводные'!$B$80&gt;=3,'19_Расчет_аналитики'!AV1629,0),IF('01_Вводные'!$B$80&gt;=4,'19_Расчет_аналитики'!AW1629,0),IF('01_Вводные'!$B$80&gt;=5,'19_Расчет_аналитики'!AX1629,0),IF('01_Вводные'!$B$80&gt;=6,'19_Расчет_аналитики'!AY1629,0))</f>
        <v/>
      </c>
      <c r="AT1637">
        <f>SUM(IF('01_Вводные'!$B$80&gt;=1,'19_Расчет_аналитики'!AU1629,0),IF('01_Вводные'!$B$80&gt;=2,'19_Расчет_аналитики'!AV1629,0),IF('01_Вводные'!$B$80&gt;=3,'19_Расчет_аналитики'!AW1629,0),IF('01_Вводные'!$B$80&gt;=4,'19_Расчет_аналитики'!AX1629,0),IF('01_Вводные'!$B$80&gt;=5,'19_Расчет_аналитики'!AY1629,0),IF('01_Вводные'!$B$80&gt;=6,'19_Расчет_аналитики'!AZ1629,0))</f>
        <v/>
      </c>
      <c r="AU1637">
        <f>SUM(IF('01_Вводные'!$B$80&gt;=1,'19_Расчет_аналитики'!AV1629,0),IF('01_Вводные'!$B$80&gt;=2,'19_Расчет_аналитики'!AW1629,0),IF('01_Вводные'!$B$80&gt;=3,'19_Расчет_аналитики'!AX1629,0),IF('01_Вводные'!$B$80&gt;=4,'19_Расчет_аналитики'!AY1629,0),IF('01_Вводные'!$B$80&gt;=5,'19_Расчет_аналитики'!AZ1629,0),IF('01_Вводные'!$B$80&gt;=6,'19_Расчет_аналитики'!BA1629,0))</f>
        <v/>
      </c>
      <c r="AV1637">
        <f>SUM(IF('01_Вводные'!$B$80&gt;=1,'19_Расчет_аналитики'!AW1629,0),IF('01_Вводные'!$B$80&gt;=2,'19_Расчет_аналитики'!AX1629,0),IF('01_Вводные'!$B$80&gt;=3,'19_Расчет_аналитики'!AY1629,0),IF('01_Вводные'!$B$80&gt;=4,'19_Расчет_аналитики'!AZ1629,0),IF('01_Вводные'!$B$80&gt;=5,'19_Расчет_аналитики'!BA1629,0),IF('01_Вводные'!$B$80&gt;=6,'19_Расчет_аналитики'!BB1629,0))</f>
        <v/>
      </c>
      <c r="AW1637">
        <f>SUM(IF('01_Вводные'!$B$80&gt;=1,'19_Расчет_аналитики'!AX1629,0),IF('01_Вводные'!$B$80&gt;=2,'19_Расчет_аналитики'!AY1629,0),IF('01_Вводные'!$B$80&gt;=3,'19_Расчет_аналитики'!AZ1629,0),IF('01_Вводные'!$B$80&gt;=4,'19_Расчет_аналитики'!BA1629,0),IF('01_Вводные'!$B$80&gt;=5,'19_Расчет_аналитики'!BB1629,0),IF('01_Вводные'!$B$80&gt;=6,'19_Расчет_аналитики'!BC1629,0))</f>
        <v/>
      </c>
      <c r="AX1637">
        <f>SUM(IF('01_Вводные'!$B$80&gt;=1,'19_Расчет_аналитики'!AY1629,0),IF('01_Вводные'!$B$80&gt;=2,'19_Расчет_аналитики'!AZ1629,0),IF('01_Вводные'!$B$80&gt;=3,'19_Расчет_аналитики'!BA1629,0),IF('01_Вводные'!$B$80&gt;=4,'19_Расчет_аналитики'!BB1629,0),IF('01_Вводные'!$B$80&gt;=5,'19_Расчет_аналитики'!BC1629,0),IF('01_Вводные'!$B$80&gt;=6,'19_Расчет_аналитики'!BD1629,0))</f>
        <v/>
      </c>
      <c r="AY1637">
        <f>SUM(IF('01_Вводные'!$B$80&gt;=1,'19_Расчет_аналитики'!AZ1629,0),IF('01_Вводные'!$B$80&gt;=2,'19_Расчет_аналитики'!BA1629,0),IF('01_Вводные'!$B$80&gt;=3,'19_Расчет_аналитики'!BB1629,0),IF('01_Вводные'!$B$80&gt;=4,'19_Расчет_аналитики'!BC1629,0),IF('01_Вводные'!$B$80&gt;=5,'19_Расчет_аналитики'!BD1629,0),IF('01_Вводные'!$B$80&gt;=6,'19_Расчет_аналитики'!BE1629,0))</f>
        <v/>
      </c>
      <c r="AZ1637">
        <f>SUM(IF('01_Вводные'!$B$80&gt;=1,'19_Расчет_аналитики'!BA1629,0),IF('01_Вводные'!$B$80&gt;=2,'19_Расчет_аналитики'!BB1629,0),IF('01_Вводные'!$B$80&gt;=3,'19_Расчет_аналитики'!BC1629,0),IF('01_Вводные'!$B$80&gt;=4,'19_Расчет_аналитики'!BD1629,0),IF('01_Вводные'!$B$80&gt;=5,'19_Расчет_аналитики'!BE1629,0),IF('01_Вводные'!$B$80&gt;=6,'19_Расчет_аналитики'!BF1629,0))</f>
        <v/>
      </c>
      <c r="BA1637">
        <f>SUM(IF('01_Вводные'!$B$80&gt;=1,'19_Расчет_аналитики'!BB1629,0),IF('01_Вводные'!$B$80&gt;=2,'19_Расчет_аналитики'!BC1629,0),IF('01_Вводные'!$B$80&gt;=3,'19_Расчет_аналитики'!BD1629,0),IF('01_Вводные'!$B$80&gt;=4,'19_Расчет_аналитики'!BE1629,0),IF('01_Вводные'!$B$80&gt;=5,'19_Расчет_аналитики'!BF1629,0),IF('01_Вводные'!$B$80&gt;=6,'19_Расчет_аналитики'!BG1629,0))</f>
        <v/>
      </c>
      <c r="BB1637">
        <f>SUM(IF('01_Вводные'!$B$80&gt;=1,'19_Расчет_аналитики'!BC1629,0),IF('01_Вводные'!$B$80&gt;=2,'19_Расчет_аналитики'!BD1629,0),IF('01_Вводные'!$B$80&gt;=3,'19_Расчет_аналитики'!BE1629,0),IF('01_Вводные'!$B$80&gt;=4,'19_Расчет_аналитики'!BF1629,0),IF('01_Вводные'!$B$80&gt;=5,'19_Расчет_аналитики'!BG1629,0),IF('01_Вводные'!$B$80&gt;=6,'19_Расчет_аналитики'!BH1629,0))</f>
        <v/>
      </c>
      <c r="BC1637">
        <f>SUM(IF('01_Вводные'!$B$80&gt;=1,'19_Расчет_аналитики'!BD1629,0),IF('01_Вводные'!$B$80&gt;=2,'19_Расчет_аналитики'!BE1629,0),IF('01_Вводные'!$B$80&gt;=3,'19_Расчет_аналитики'!BF1629,0),IF('01_Вводные'!$B$80&gt;=4,'19_Расчет_аналитики'!BG1629,0),IF('01_Вводные'!$B$80&gt;=5,'19_Расчет_аналитики'!BH1629,0),IF('01_Вводные'!$B$80&gt;=6,'19_Расчет_аналитики'!BI1629,0))</f>
        <v/>
      </c>
      <c r="BD1637">
        <f>SUM(IF('01_Вводные'!$B$80&gt;=1,'19_Расчет_аналитики'!BE1629,0),IF('01_Вводные'!$B$80&gt;=2,'19_Расчет_аналитики'!BF1629,0),IF('01_Вводные'!$B$80&gt;=3,'19_Расчет_аналитики'!BG1629,0),IF('01_Вводные'!$B$80&gt;=4,'19_Расчет_аналитики'!BH1629,0),IF('01_Вводные'!$B$80&gt;=5,'19_Расчет_аналитики'!BI1629,0),IF('01_Вводные'!$B$80&gt;=6,'19_Расчет_аналитики'!BJ1629,0))</f>
        <v/>
      </c>
      <c r="BE1637">
        <f>SUM(IF('01_Вводные'!$B$80&gt;=1,'19_Расчет_аналитики'!BF1629,0),IF('01_Вводные'!$B$80&gt;=2,'19_Расчет_аналитики'!BG1629,0),IF('01_Вводные'!$B$80&gt;=3,'19_Расчет_аналитики'!BH1629,0),IF('01_Вводные'!$B$80&gt;=4,'19_Расчет_аналитики'!BI1629,0),IF('01_Вводные'!$B$80&gt;=5,'19_Расчет_аналитики'!BJ1629,0),IF('01_Вводные'!$B$80&gt;=6,'19_Расчет_аналитики'!BK1629,0))</f>
        <v/>
      </c>
      <c r="BF1637">
        <f>SUM(IF('01_Вводные'!$B$80&gt;=1,'19_Расчет_аналитики'!BG1629,0),IF('01_Вводные'!$B$80&gt;=2,'19_Расчет_аналитики'!BH1629,0),IF('01_Вводные'!$B$80&gt;=3,'19_Расчет_аналитики'!BI1629,0),IF('01_Вводные'!$B$80&gt;=4,'19_Расчет_аналитики'!BJ1629,0),IF('01_Вводные'!$B$80&gt;=5,'19_Расчет_аналитики'!BK1629,0),IF('01_Вводные'!$B$80&gt;=6,'19_Расчет_аналитики'!BL1629,0))</f>
        <v/>
      </c>
      <c r="BG1637">
        <f>SUM(IF('01_Вводные'!$B$80&gt;=1,'19_Расчет_аналитики'!BH1629,0),IF('01_Вводные'!$B$80&gt;=2,'19_Расчет_аналитики'!BI1629,0),IF('01_Вводные'!$B$80&gt;=3,'19_Расчет_аналитики'!BJ1629,0),IF('01_Вводные'!$B$80&gt;=4,'19_Расчет_аналитики'!BK1629,0),IF('01_Вводные'!$B$80&gt;=5,'19_Расчет_аналитики'!BL1629,0),IF('01_Вводные'!$B$80&gt;=6,'19_Расчет_аналитики'!BM1629,0))</f>
        <v/>
      </c>
      <c r="BH1637">
        <f>SUM(IF('01_Вводные'!$B$80&gt;=1,'19_Расчет_аналитики'!BI1629,0),IF('01_Вводные'!$B$80&gt;=2,'19_Расчет_аналитики'!BJ1629,0),IF('01_Вводные'!$B$80&gt;=3,'19_Расчет_аналитики'!BK1629,0),IF('01_Вводные'!$B$80&gt;=4,'19_Расчет_аналитики'!BL1629,0),IF('01_Вводные'!$B$80&gt;=5,'19_Расчет_аналитики'!BM1629,0),IF('01_Вводные'!$B$80&gt;=6,'19_Расчет_аналитики'!BN1629,0))</f>
        <v/>
      </c>
      <c r="BI1637">
        <f>SUM(IF('01_Вводные'!$B$80&gt;=1,'19_Расчет_аналитики'!BJ1629,0),IF('01_Вводные'!$B$80&gt;=2,'19_Расчет_аналитики'!BK1629,0),IF('01_Вводные'!$B$80&gt;=3,'19_Расчет_аналитики'!BL1629,0),IF('01_Вводные'!$B$80&gt;=4,'19_Расчет_аналитики'!BM1629,0),IF('01_Вводные'!$B$80&gt;=5,'19_Расчет_аналитики'!BN1629,0),IF('01_Вводные'!$B$80&gt;=6,'19_Расчет_аналитики'!BO1629,0))</f>
        <v/>
      </c>
    </row>
    <row r="1638">
      <c r="B1638">
        <f>IF(AND('07_Мерч'!B$3&gt;='01_Вводные'!$B$81,OR(MONTH('07_Мерч'!B$3)='01_Вводные'!$B$82,MONTH('07_Мерч'!B$3)='01_Вводные'!$B$83,MONTH('07_Мерч'!B$3)='01_Вводные'!$B$84,MONTH('07_Мерч'!B$3)='01_Вводные'!$B$85)),MAX(0,'19_Расчет_аналитики'!B1637-('07_Мерч'!B22-'19_Расчет_аналитики'!B1636)),0)</f>
        <v/>
      </c>
      <c r="C1638">
        <f>IF(AND('07_Мерч'!C$3&gt;='01_Вводные'!$B$81,OR(MONTH('07_Мерч'!C$3)='01_Вводные'!$B$82,MONTH('07_Мерч'!C$3)='01_Вводные'!$B$83,MONTH('07_Мерч'!C$3)='01_Вводные'!$B$84,MONTH('07_Мерч'!C$3)='01_Вводные'!$B$85)),MAX(0,'19_Расчет_аналитики'!C1637-('19_Расчет_аналитики'!C1635-'19_Расчет_аналитики'!C1636)),0)</f>
        <v/>
      </c>
      <c r="D1638">
        <f>IF(AND('07_Мерч'!D$3&gt;='01_Вводные'!$B$81,OR(MONTH('07_Мерч'!D$3)='01_Вводные'!$B$82,MONTH('07_Мерч'!D$3)='01_Вводные'!$B$83,MONTH('07_Мерч'!D$3)='01_Вводные'!$B$84,MONTH('07_Мерч'!D$3)='01_Вводные'!$B$85)),MAX(0,'19_Расчет_аналитики'!D1637-('19_Расчет_аналитики'!D1635-'19_Расчет_аналитики'!D1636)),0)</f>
        <v/>
      </c>
      <c r="E1638">
        <f>IF(AND('07_Мерч'!E$3&gt;='01_Вводные'!$B$81,OR(MONTH('07_Мерч'!E$3)='01_Вводные'!$B$82,MONTH('07_Мерч'!E$3)='01_Вводные'!$B$83,MONTH('07_Мерч'!E$3)='01_Вводные'!$B$84,MONTH('07_Мерч'!E$3)='01_Вводные'!$B$85)),MAX(0,'19_Расчет_аналитики'!E1637-('19_Расчет_аналитики'!E1635-'19_Расчет_аналитики'!E1636)),0)</f>
        <v/>
      </c>
      <c r="F1638">
        <f>IF(AND('07_Мерч'!F$3&gt;='01_Вводные'!$B$81,OR(MONTH('07_Мерч'!F$3)='01_Вводные'!$B$82,MONTH('07_Мерч'!F$3)='01_Вводные'!$B$83,MONTH('07_Мерч'!F$3)='01_Вводные'!$B$84,MONTH('07_Мерч'!F$3)='01_Вводные'!$B$85)),MAX(0,'19_Расчет_аналитики'!F1637-('19_Расчет_аналитики'!F1635-'19_Расчет_аналитики'!F1636)),0)</f>
        <v/>
      </c>
      <c r="G1638">
        <f>IF(AND('07_Мерч'!G$3&gt;='01_Вводные'!$B$81,OR(MONTH('07_Мерч'!G$3)='01_Вводные'!$B$82,MONTH('07_Мерч'!G$3)='01_Вводные'!$B$83,MONTH('07_Мерч'!G$3)='01_Вводные'!$B$84,MONTH('07_Мерч'!G$3)='01_Вводные'!$B$85)),MAX(0,'19_Расчет_аналитики'!G1637-('19_Расчет_аналитики'!G1635-'19_Расчет_аналитики'!G1636)),0)</f>
        <v/>
      </c>
      <c r="H1638">
        <f>IF(AND('07_Мерч'!H$3&gt;='01_Вводные'!$B$81,OR(MONTH('07_Мерч'!H$3)='01_Вводные'!$B$82,MONTH('07_Мерч'!H$3)='01_Вводные'!$B$83,MONTH('07_Мерч'!H$3)='01_Вводные'!$B$84,MONTH('07_Мерч'!H$3)='01_Вводные'!$B$85)),MAX(0,'19_Расчет_аналитики'!H1637-('19_Расчет_аналитики'!H1635-'19_Расчет_аналитики'!H1636)),0)</f>
        <v/>
      </c>
      <c r="I1638">
        <f>IF(AND('07_Мерч'!I$3&gt;='01_Вводные'!$B$81,OR(MONTH('07_Мерч'!I$3)='01_Вводные'!$B$82,MONTH('07_Мерч'!I$3)='01_Вводные'!$B$83,MONTH('07_Мерч'!I$3)='01_Вводные'!$B$84,MONTH('07_Мерч'!I$3)='01_Вводные'!$B$85)),MAX(0,'19_Расчет_аналитики'!I1637-('19_Расчет_аналитики'!I1635-'19_Расчет_аналитики'!I1636)),0)</f>
        <v/>
      </c>
      <c r="J1638">
        <f>IF(AND('07_Мерч'!J$3&gt;='01_Вводные'!$B$81,OR(MONTH('07_Мерч'!J$3)='01_Вводные'!$B$82,MONTH('07_Мерч'!J$3)='01_Вводные'!$B$83,MONTH('07_Мерч'!J$3)='01_Вводные'!$B$84,MONTH('07_Мерч'!J$3)='01_Вводные'!$B$85)),MAX(0,'19_Расчет_аналитики'!J1637-('19_Расчет_аналитики'!J1635-'19_Расчет_аналитики'!J1636)),0)</f>
        <v/>
      </c>
      <c r="K1638">
        <f>IF(AND('07_Мерч'!K$3&gt;='01_Вводные'!$B$81,OR(MONTH('07_Мерч'!K$3)='01_Вводные'!$B$82,MONTH('07_Мерч'!K$3)='01_Вводные'!$B$83,MONTH('07_Мерч'!K$3)='01_Вводные'!$B$84,MONTH('07_Мерч'!K$3)='01_Вводные'!$B$85)),MAX(0,'19_Расчет_аналитики'!K1637-('19_Расчет_аналитики'!K1635-'19_Расчет_аналитики'!K1636)),0)</f>
        <v/>
      </c>
      <c r="L1638">
        <f>IF(AND('07_Мерч'!L$3&gt;='01_Вводные'!$B$81,OR(MONTH('07_Мерч'!L$3)='01_Вводные'!$B$82,MONTH('07_Мерч'!L$3)='01_Вводные'!$B$83,MONTH('07_Мерч'!L$3)='01_Вводные'!$B$84,MONTH('07_Мерч'!L$3)='01_Вводные'!$B$85)),MAX(0,'19_Расчет_аналитики'!L1637-('19_Расчет_аналитики'!L1635-'19_Расчет_аналитики'!L1636)),0)</f>
        <v/>
      </c>
      <c r="M1638">
        <f>IF(AND('07_Мерч'!M$3&gt;='01_Вводные'!$B$81,OR(MONTH('07_Мерч'!M$3)='01_Вводные'!$B$82,MONTH('07_Мерч'!M$3)='01_Вводные'!$B$83,MONTH('07_Мерч'!M$3)='01_Вводные'!$B$84,MONTH('07_Мерч'!M$3)='01_Вводные'!$B$85)),MAX(0,'19_Расчет_аналитики'!M1637-('19_Расчет_аналитики'!M1635-'19_Расчет_аналитики'!M1636)),0)</f>
        <v/>
      </c>
      <c r="N1638">
        <f>IF(AND('07_Мерч'!N$3&gt;='01_Вводные'!$B$81,OR(MONTH('07_Мерч'!N$3)='01_Вводные'!$B$82,MONTH('07_Мерч'!N$3)='01_Вводные'!$B$83,MONTH('07_Мерч'!N$3)='01_Вводные'!$B$84,MONTH('07_Мерч'!N$3)='01_Вводные'!$B$85)),MAX(0,'19_Расчет_аналитики'!N1637-('19_Расчет_аналитики'!N1635-'19_Расчет_аналитики'!N1636)),0)</f>
        <v/>
      </c>
      <c r="O1638">
        <f>IF(AND('07_Мерч'!O$3&gt;='01_Вводные'!$B$81,OR(MONTH('07_Мерч'!O$3)='01_Вводные'!$B$82,MONTH('07_Мерч'!O$3)='01_Вводные'!$B$83,MONTH('07_Мерч'!O$3)='01_Вводные'!$B$84,MONTH('07_Мерч'!O$3)='01_Вводные'!$B$85)),MAX(0,'19_Расчет_аналитики'!O1637-('19_Расчет_аналитики'!O1635-'19_Расчет_аналитики'!O1636)),0)</f>
        <v/>
      </c>
      <c r="P1638">
        <f>IF(AND('07_Мерч'!P$3&gt;='01_Вводные'!$B$81,OR(MONTH('07_Мерч'!P$3)='01_Вводные'!$B$82,MONTH('07_Мерч'!P$3)='01_Вводные'!$B$83,MONTH('07_Мерч'!P$3)='01_Вводные'!$B$84,MONTH('07_Мерч'!P$3)='01_Вводные'!$B$85)),MAX(0,'19_Расчет_аналитики'!P1637-('19_Расчет_аналитики'!P1635-'19_Расчет_аналитики'!P1636)),0)</f>
        <v/>
      </c>
      <c r="Q1638">
        <f>IF(AND('07_Мерч'!Q$3&gt;='01_Вводные'!$B$81,OR(MONTH('07_Мерч'!Q$3)='01_Вводные'!$B$82,MONTH('07_Мерч'!Q$3)='01_Вводные'!$B$83,MONTH('07_Мерч'!Q$3)='01_Вводные'!$B$84,MONTH('07_Мерч'!Q$3)='01_Вводные'!$B$85)),MAX(0,'19_Расчет_аналитики'!Q1637-('19_Расчет_аналитики'!Q1635-'19_Расчет_аналитики'!Q1636)),0)</f>
        <v/>
      </c>
      <c r="R1638">
        <f>IF(AND('07_Мерч'!R$3&gt;='01_Вводные'!$B$81,OR(MONTH('07_Мерч'!R$3)='01_Вводные'!$B$82,MONTH('07_Мерч'!R$3)='01_Вводные'!$B$83,MONTH('07_Мерч'!R$3)='01_Вводные'!$B$84,MONTH('07_Мерч'!R$3)='01_Вводные'!$B$85)),MAX(0,'19_Расчет_аналитики'!R1637-('19_Расчет_аналитики'!R1635-'19_Расчет_аналитики'!R1636)),0)</f>
        <v/>
      </c>
      <c r="S1638">
        <f>IF(AND('07_Мерч'!S$3&gt;='01_Вводные'!$B$81,OR(MONTH('07_Мерч'!S$3)='01_Вводные'!$B$82,MONTH('07_Мерч'!S$3)='01_Вводные'!$B$83,MONTH('07_Мерч'!S$3)='01_Вводные'!$B$84,MONTH('07_Мерч'!S$3)='01_Вводные'!$B$85)),MAX(0,'19_Расчет_аналитики'!S1637-('19_Расчет_аналитики'!S1635-'19_Расчет_аналитики'!S1636)),0)</f>
        <v/>
      </c>
      <c r="T1638">
        <f>IF(AND('07_Мерч'!T$3&gt;='01_Вводные'!$B$81,OR(MONTH('07_Мерч'!T$3)='01_Вводные'!$B$82,MONTH('07_Мерч'!T$3)='01_Вводные'!$B$83,MONTH('07_Мерч'!T$3)='01_Вводные'!$B$84,MONTH('07_Мерч'!T$3)='01_Вводные'!$B$85)),MAX(0,'19_Расчет_аналитики'!T1637-('19_Расчет_аналитики'!T1635-'19_Расчет_аналитики'!T1636)),0)</f>
        <v/>
      </c>
      <c r="U1638">
        <f>IF(AND('07_Мерч'!U$3&gt;='01_Вводные'!$B$81,OR(MONTH('07_Мерч'!U$3)='01_Вводные'!$B$82,MONTH('07_Мерч'!U$3)='01_Вводные'!$B$83,MONTH('07_Мерч'!U$3)='01_Вводные'!$B$84,MONTH('07_Мерч'!U$3)='01_Вводные'!$B$85)),MAX(0,'19_Расчет_аналитики'!U1637-('19_Расчет_аналитики'!U1635-'19_Расчет_аналитики'!U1636)),0)</f>
        <v/>
      </c>
      <c r="V1638">
        <f>IF(AND('07_Мерч'!V$3&gt;='01_Вводные'!$B$81,OR(MONTH('07_Мерч'!V$3)='01_Вводные'!$B$82,MONTH('07_Мерч'!V$3)='01_Вводные'!$B$83,MONTH('07_Мерч'!V$3)='01_Вводные'!$B$84,MONTH('07_Мерч'!V$3)='01_Вводные'!$B$85)),MAX(0,'19_Расчет_аналитики'!V1637-('19_Расчет_аналитики'!V1635-'19_Расчет_аналитики'!V1636)),0)</f>
        <v/>
      </c>
      <c r="W1638">
        <f>IF(AND('07_Мерч'!W$3&gt;='01_Вводные'!$B$81,OR(MONTH('07_Мерч'!W$3)='01_Вводные'!$B$82,MONTH('07_Мерч'!W$3)='01_Вводные'!$B$83,MONTH('07_Мерч'!W$3)='01_Вводные'!$B$84,MONTH('07_Мерч'!W$3)='01_Вводные'!$B$85)),MAX(0,'19_Расчет_аналитики'!W1637-('19_Расчет_аналитики'!W1635-'19_Расчет_аналитики'!W1636)),0)</f>
        <v/>
      </c>
      <c r="X1638">
        <f>IF(AND('07_Мерч'!X$3&gt;='01_Вводные'!$B$81,OR(MONTH('07_Мерч'!X$3)='01_Вводные'!$B$82,MONTH('07_Мерч'!X$3)='01_Вводные'!$B$83,MONTH('07_Мерч'!X$3)='01_Вводные'!$B$84,MONTH('07_Мерч'!X$3)='01_Вводные'!$B$85)),MAX(0,'19_Расчет_аналитики'!X1637-('19_Расчет_аналитики'!X1635-'19_Расчет_аналитики'!X1636)),0)</f>
        <v/>
      </c>
      <c r="Y1638">
        <f>IF(AND('07_Мерч'!Y$3&gt;='01_Вводные'!$B$81,OR(MONTH('07_Мерч'!Y$3)='01_Вводные'!$B$82,MONTH('07_Мерч'!Y$3)='01_Вводные'!$B$83,MONTH('07_Мерч'!Y$3)='01_Вводные'!$B$84,MONTH('07_Мерч'!Y$3)='01_Вводные'!$B$85)),MAX(0,'19_Расчет_аналитики'!Y1637-('19_Расчет_аналитики'!Y1635-'19_Расчет_аналитики'!Y1636)),0)</f>
        <v/>
      </c>
      <c r="Z1638">
        <f>IF(AND('07_Мерч'!Z$3&gt;='01_Вводные'!$B$81,OR(MONTH('07_Мерч'!Z$3)='01_Вводные'!$B$82,MONTH('07_Мерч'!Z$3)='01_Вводные'!$B$83,MONTH('07_Мерч'!Z$3)='01_Вводные'!$B$84,MONTH('07_Мерч'!Z$3)='01_Вводные'!$B$85)),MAX(0,'19_Расчет_аналитики'!Z1637-('19_Расчет_аналитики'!Z1635-'19_Расчет_аналитики'!Z1636)),0)</f>
        <v/>
      </c>
      <c r="AA1638">
        <f>IF(AND('07_Мерч'!AA$3&gt;='01_Вводные'!$B$81,OR(MONTH('07_Мерч'!AA$3)='01_Вводные'!$B$82,MONTH('07_Мерч'!AA$3)='01_Вводные'!$B$83,MONTH('07_Мерч'!AA$3)='01_Вводные'!$B$84,MONTH('07_Мерч'!AA$3)='01_Вводные'!$B$85)),MAX(0,'19_Расчет_аналитики'!AA1637-('19_Расчет_аналитики'!AA1635-'19_Расчет_аналитики'!AA1636)),0)</f>
        <v/>
      </c>
      <c r="AB1638">
        <f>IF(AND('07_Мерч'!AB$3&gt;='01_Вводные'!$B$81,OR(MONTH('07_Мерч'!AB$3)='01_Вводные'!$B$82,MONTH('07_Мерч'!AB$3)='01_Вводные'!$B$83,MONTH('07_Мерч'!AB$3)='01_Вводные'!$B$84,MONTH('07_Мерч'!AB$3)='01_Вводные'!$B$85)),MAX(0,'19_Расчет_аналитики'!AB1637-('19_Расчет_аналитики'!AB1635-'19_Расчет_аналитики'!AB1636)),0)</f>
        <v/>
      </c>
      <c r="AC1638">
        <f>IF(AND('07_Мерч'!AC$3&gt;='01_Вводные'!$B$81,OR(MONTH('07_Мерч'!AC$3)='01_Вводные'!$B$82,MONTH('07_Мерч'!AC$3)='01_Вводные'!$B$83,MONTH('07_Мерч'!AC$3)='01_Вводные'!$B$84,MONTH('07_Мерч'!AC$3)='01_Вводные'!$B$85)),MAX(0,'19_Расчет_аналитики'!AC1637-('19_Расчет_аналитики'!AC1635-'19_Расчет_аналитики'!AC1636)),0)</f>
        <v/>
      </c>
      <c r="AD1638">
        <f>IF(AND('07_Мерч'!AD$3&gt;='01_Вводные'!$B$81,OR(MONTH('07_Мерч'!AD$3)='01_Вводные'!$B$82,MONTH('07_Мерч'!AD$3)='01_Вводные'!$B$83,MONTH('07_Мерч'!AD$3)='01_Вводные'!$B$84,MONTH('07_Мерч'!AD$3)='01_Вводные'!$B$85)),MAX(0,'19_Расчет_аналитики'!AD1637-('19_Расчет_аналитики'!AD1635-'19_Расчет_аналитики'!AD1636)),0)</f>
        <v/>
      </c>
      <c r="AE1638">
        <f>IF(AND('07_Мерч'!AE$3&gt;='01_Вводные'!$B$81,OR(MONTH('07_Мерч'!AE$3)='01_Вводные'!$B$82,MONTH('07_Мерч'!AE$3)='01_Вводные'!$B$83,MONTH('07_Мерч'!AE$3)='01_Вводные'!$B$84,MONTH('07_Мерч'!AE$3)='01_Вводные'!$B$85)),MAX(0,'19_Расчет_аналитики'!AE1637-('19_Расчет_аналитики'!AE1635-'19_Расчет_аналитики'!AE1636)),0)</f>
        <v/>
      </c>
      <c r="AF1638">
        <f>IF(AND('07_Мерч'!AF$3&gt;='01_Вводные'!$B$81,OR(MONTH('07_Мерч'!AF$3)='01_Вводные'!$B$82,MONTH('07_Мерч'!AF$3)='01_Вводные'!$B$83,MONTH('07_Мерч'!AF$3)='01_Вводные'!$B$84,MONTH('07_Мерч'!AF$3)='01_Вводные'!$B$85)),MAX(0,'19_Расчет_аналитики'!AF1637-('19_Расчет_аналитики'!AF1635-'19_Расчет_аналитики'!AF1636)),0)</f>
        <v/>
      </c>
      <c r="AG1638">
        <f>IF(AND('07_Мерч'!AG$3&gt;='01_Вводные'!$B$81,OR(MONTH('07_Мерч'!AG$3)='01_Вводные'!$B$82,MONTH('07_Мерч'!AG$3)='01_Вводные'!$B$83,MONTH('07_Мерч'!AG$3)='01_Вводные'!$B$84,MONTH('07_Мерч'!AG$3)='01_Вводные'!$B$85)),MAX(0,'19_Расчет_аналитики'!AG1637-('19_Расчет_аналитики'!AG1635-'19_Расчет_аналитики'!AG1636)),0)</f>
        <v/>
      </c>
      <c r="AH1638">
        <f>IF(AND('07_Мерч'!AH$3&gt;='01_Вводные'!$B$81,OR(MONTH('07_Мерч'!AH$3)='01_Вводные'!$B$82,MONTH('07_Мерч'!AH$3)='01_Вводные'!$B$83,MONTH('07_Мерч'!AH$3)='01_Вводные'!$B$84,MONTH('07_Мерч'!AH$3)='01_Вводные'!$B$85)),MAX(0,'19_Расчет_аналитики'!AH1637-('19_Расчет_аналитики'!AH1635-'19_Расчет_аналитики'!AH1636)),0)</f>
        <v/>
      </c>
      <c r="AI1638">
        <f>IF(AND('07_Мерч'!AI$3&gt;='01_Вводные'!$B$81,OR(MONTH('07_Мерч'!AI$3)='01_Вводные'!$B$82,MONTH('07_Мерч'!AI$3)='01_Вводные'!$B$83,MONTH('07_Мерч'!AI$3)='01_Вводные'!$B$84,MONTH('07_Мерч'!AI$3)='01_Вводные'!$B$85)),MAX(0,'19_Расчет_аналитики'!AI1637-('19_Расчет_аналитики'!AI1635-'19_Расчет_аналитики'!AI1636)),0)</f>
        <v/>
      </c>
      <c r="AJ1638">
        <f>IF(AND('07_Мерч'!AJ$3&gt;='01_Вводные'!$B$81,OR(MONTH('07_Мерч'!AJ$3)='01_Вводные'!$B$82,MONTH('07_Мерч'!AJ$3)='01_Вводные'!$B$83,MONTH('07_Мерч'!AJ$3)='01_Вводные'!$B$84,MONTH('07_Мерч'!AJ$3)='01_Вводные'!$B$85)),MAX(0,'19_Расчет_аналитики'!AJ1637-('19_Расчет_аналитики'!AJ1635-'19_Расчет_аналитики'!AJ1636)),0)</f>
        <v/>
      </c>
      <c r="AK1638">
        <f>IF(AND('07_Мерч'!AK$3&gt;='01_Вводные'!$B$81,OR(MONTH('07_Мерч'!AK$3)='01_Вводные'!$B$82,MONTH('07_Мерч'!AK$3)='01_Вводные'!$B$83,MONTH('07_Мерч'!AK$3)='01_Вводные'!$B$84,MONTH('07_Мерч'!AK$3)='01_Вводные'!$B$85)),MAX(0,'19_Расчет_аналитики'!AK1637-('19_Расчет_аналитики'!AK1635-'19_Расчет_аналитики'!AK1636)),0)</f>
        <v/>
      </c>
      <c r="AL1638">
        <f>IF(AND('07_Мерч'!AL$3&gt;='01_Вводные'!$B$81,OR(MONTH('07_Мерч'!AL$3)='01_Вводные'!$B$82,MONTH('07_Мерч'!AL$3)='01_Вводные'!$B$83,MONTH('07_Мерч'!AL$3)='01_Вводные'!$B$84,MONTH('07_Мерч'!AL$3)='01_Вводные'!$B$85)),MAX(0,'19_Расчет_аналитики'!AL1637-('19_Расчет_аналитики'!AL1635-'19_Расчет_аналитики'!AL1636)),0)</f>
        <v/>
      </c>
      <c r="AM1638">
        <f>IF(AND('07_Мерч'!AM$3&gt;='01_Вводные'!$B$81,OR(MONTH('07_Мерч'!AM$3)='01_Вводные'!$B$82,MONTH('07_Мерч'!AM$3)='01_Вводные'!$B$83,MONTH('07_Мерч'!AM$3)='01_Вводные'!$B$84,MONTH('07_Мерч'!AM$3)='01_Вводные'!$B$85)),MAX(0,'19_Расчет_аналитики'!AM1637-('19_Расчет_аналитики'!AM1635-'19_Расчет_аналитики'!AM1636)),0)</f>
        <v/>
      </c>
      <c r="AN1638">
        <f>IF(AND('07_Мерч'!AN$3&gt;='01_Вводные'!$B$81,OR(MONTH('07_Мерч'!AN$3)='01_Вводные'!$B$82,MONTH('07_Мерч'!AN$3)='01_Вводные'!$B$83,MONTH('07_Мерч'!AN$3)='01_Вводные'!$B$84,MONTH('07_Мерч'!AN$3)='01_Вводные'!$B$85)),MAX(0,'19_Расчет_аналитики'!AN1637-('19_Расчет_аналитики'!AN1635-'19_Расчет_аналитики'!AN1636)),0)</f>
        <v/>
      </c>
      <c r="AO1638">
        <f>IF(AND('07_Мерч'!AO$3&gt;='01_Вводные'!$B$81,OR(MONTH('07_Мерч'!AO$3)='01_Вводные'!$B$82,MONTH('07_Мерч'!AO$3)='01_Вводные'!$B$83,MONTH('07_Мерч'!AO$3)='01_Вводные'!$B$84,MONTH('07_Мерч'!AO$3)='01_Вводные'!$B$85)),MAX(0,'19_Расчет_аналитики'!AO1637-('19_Расчет_аналитики'!AO1635-'19_Расчет_аналитики'!AO1636)),0)</f>
        <v/>
      </c>
      <c r="AP1638">
        <f>IF(AND('07_Мерч'!AP$3&gt;='01_Вводные'!$B$81,OR(MONTH('07_Мерч'!AP$3)='01_Вводные'!$B$82,MONTH('07_Мерч'!AP$3)='01_Вводные'!$B$83,MONTH('07_Мерч'!AP$3)='01_Вводные'!$B$84,MONTH('07_Мерч'!AP$3)='01_Вводные'!$B$85)),MAX(0,'19_Расчет_аналитики'!AP1637-('19_Расчет_аналитики'!AP1635-'19_Расчет_аналитики'!AP1636)),0)</f>
        <v/>
      </c>
      <c r="AQ1638">
        <f>IF(AND('07_Мерч'!AQ$3&gt;='01_Вводные'!$B$81,OR(MONTH('07_Мерч'!AQ$3)='01_Вводные'!$B$82,MONTH('07_Мерч'!AQ$3)='01_Вводные'!$B$83,MONTH('07_Мерч'!AQ$3)='01_Вводные'!$B$84,MONTH('07_Мерч'!AQ$3)='01_Вводные'!$B$85)),MAX(0,'19_Расчет_аналитики'!AQ1637-('19_Расчет_аналитики'!AQ1635-'19_Расчет_аналитики'!AQ1636)),0)</f>
        <v/>
      </c>
      <c r="AR1638">
        <f>IF(AND('07_Мерч'!AR$3&gt;='01_Вводные'!$B$81,OR(MONTH('07_Мерч'!AR$3)='01_Вводные'!$B$82,MONTH('07_Мерч'!AR$3)='01_Вводные'!$B$83,MONTH('07_Мерч'!AR$3)='01_Вводные'!$B$84,MONTH('07_Мерч'!AR$3)='01_Вводные'!$B$85)),MAX(0,'19_Расчет_аналитики'!AR1637-('19_Расчет_аналитики'!AR1635-'19_Расчет_аналитики'!AR1636)),0)</f>
        <v/>
      </c>
      <c r="AS1638">
        <f>IF(AND('07_Мерч'!AS$3&gt;='01_Вводные'!$B$81,OR(MONTH('07_Мерч'!AS$3)='01_Вводные'!$B$82,MONTH('07_Мерч'!AS$3)='01_Вводные'!$B$83,MONTH('07_Мерч'!AS$3)='01_Вводные'!$B$84,MONTH('07_Мерч'!AS$3)='01_Вводные'!$B$85)),MAX(0,'19_Расчет_аналитики'!AS1637-('19_Расчет_аналитики'!AS1635-'19_Расчет_аналитики'!AS1636)),0)</f>
        <v/>
      </c>
      <c r="AT1638">
        <f>IF(AND('07_Мерч'!AT$3&gt;='01_Вводные'!$B$81,OR(MONTH('07_Мерч'!AT$3)='01_Вводные'!$B$82,MONTH('07_Мерч'!AT$3)='01_Вводные'!$B$83,MONTH('07_Мерч'!AT$3)='01_Вводные'!$B$84,MONTH('07_Мерч'!AT$3)='01_Вводные'!$B$85)),MAX(0,'19_Расчет_аналитики'!AT1637-('19_Расчет_аналитики'!AT1635-'19_Расчет_аналитики'!AT1636)),0)</f>
        <v/>
      </c>
      <c r="AU1638">
        <f>IF(AND('07_Мерч'!AU$3&gt;='01_Вводные'!$B$81,OR(MONTH('07_Мерч'!AU$3)='01_Вводные'!$B$82,MONTH('07_Мерч'!AU$3)='01_Вводные'!$B$83,MONTH('07_Мерч'!AU$3)='01_Вводные'!$B$84,MONTH('07_Мерч'!AU$3)='01_Вводные'!$B$85)),MAX(0,'19_Расчет_аналитики'!AU1637-('19_Расчет_аналитики'!AU1635-'19_Расчет_аналитики'!AU1636)),0)</f>
        <v/>
      </c>
      <c r="AV1638">
        <f>IF(AND('07_Мерч'!AV$3&gt;='01_Вводные'!$B$81,OR(MONTH('07_Мерч'!AV$3)='01_Вводные'!$B$82,MONTH('07_Мерч'!AV$3)='01_Вводные'!$B$83,MONTH('07_Мерч'!AV$3)='01_Вводные'!$B$84,MONTH('07_Мерч'!AV$3)='01_Вводные'!$B$85)),MAX(0,'19_Расчет_аналитики'!AV1637-('19_Расчет_аналитики'!AV1635-'19_Расчет_аналитики'!AV1636)),0)</f>
        <v/>
      </c>
      <c r="AW1638">
        <f>IF(AND('07_Мерч'!AW$3&gt;='01_Вводные'!$B$81,OR(MONTH('07_Мерч'!AW$3)='01_Вводные'!$B$82,MONTH('07_Мерч'!AW$3)='01_Вводные'!$B$83,MONTH('07_Мерч'!AW$3)='01_Вводные'!$B$84,MONTH('07_Мерч'!AW$3)='01_Вводные'!$B$85)),MAX(0,'19_Расчет_аналитики'!AW1637-('19_Расчет_аналитики'!AW1635-'19_Расчет_аналитики'!AW1636)),0)</f>
        <v/>
      </c>
      <c r="AX1638">
        <f>IF(AND('07_Мерч'!AX$3&gt;='01_Вводные'!$B$81,OR(MONTH('07_Мерч'!AX$3)='01_Вводные'!$B$82,MONTH('07_Мерч'!AX$3)='01_Вводные'!$B$83,MONTH('07_Мерч'!AX$3)='01_Вводные'!$B$84,MONTH('07_Мерч'!AX$3)='01_Вводные'!$B$85)),MAX(0,'19_Расчет_аналитики'!AX1637-('19_Расчет_аналитики'!AX1635-'19_Расчет_аналитики'!AX1636)),0)</f>
        <v/>
      </c>
      <c r="AY1638">
        <f>IF(AND('07_Мерч'!AY$3&gt;='01_Вводные'!$B$81,OR(MONTH('07_Мерч'!AY$3)='01_Вводные'!$B$82,MONTH('07_Мерч'!AY$3)='01_Вводные'!$B$83,MONTH('07_Мерч'!AY$3)='01_Вводные'!$B$84,MONTH('07_Мерч'!AY$3)='01_Вводные'!$B$85)),MAX(0,'19_Расчет_аналитики'!AY1637-('19_Расчет_аналитики'!AY1635-'19_Расчет_аналитики'!AY1636)),0)</f>
        <v/>
      </c>
      <c r="AZ1638">
        <f>IF(AND('07_Мерч'!AZ$3&gt;='01_Вводные'!$B$81,OR(MONTH('07_Мерч'!AZ$3)='01_Вводные'!$B$82,MONTH('07_Мерч'!AZ$3)='01_Вводные'!$B$83,MONTH('07_Мерч'!AZ$3)='01_Вводные'!$B$84,MONTH('07_Мерч'!AZ$3)='01_Вводные'!$B$85)),MAX(0,'19_Расчет_аналитики'!AZ1637-('19_Расчет_аналитики'!AZ1635-'19_Расчет_аналитики'!AZ1636)),0)</f>
        <v/>
      </c>
      <c r="BA1638">
        <f>IF(AND('07_Мерч'!BA$3&gt;='01_Вводные'!$B$81,OR(MONTH('07_Мерч'!BA$3)='01_Вводные'!$B$82,MONTH('07_Мерч'!BA$3)='01_Вводные'!$B$83,MONTH('07_Мерч'!BA$3)='01_Вводные'!$B$84,MONTH('07_Мерч'!BA$3)='01_Вводные'!$B$85)),MAX(0,'19_Расчет_аналитики'!BA1637-('19_Расчет_аналитики'!BA1635-'19_Расчет_аналитики'!BA1636)),0)</f>
        <v/>
      </c>
      <c r="BB1638">
        <f>IF(AND('07_Мерч'!BB$3&gt;='01_Вводные'!$B$81,OR(MONTH('07_Мерч'!BB$3)='01_Вводные'!$B$82,MONTH('07_Мерч'!BB$3)='01_Вводные'!$B$83,MONTH('07_Мерч'!BB$3)='01_Вводные'!$B$84,MONTH('07_Мерч'!BB$3)='01_Вводные'!$B$85)),MAX(0,'19_Расчет_аналитики'!BB1637-('19_Расчет_аналитики'!BB1635-'19_Расчет_аналитики'!BB1636)),0)</f>
        <v/>
      </c>
      <c r="BC1638">
        <f>IF(AND('07_Мерч'!BC$3&gt;='01_Вводные'!$B$81,OR(MONTH('07_Мерч'!BC$3)='01_Вводные'!$B$82,MONTH('07_Мерч'!BC$3)='01_Вводные'!$B$83,MONTH('07_Мерч'!BC$3)='01_Вводные'!$B$84,MONTH('07_Мерч'!BC$3)='01_Вводные'!$B$85)),MAX(0,'19_Расчет_аналитики'!BC1637-('19_Расчет_аналитики'!BC1635-'19_Расчет_аналитики'!BC1636)),0)</f>
        <v/>
      </c>
      <c r="BD1638">
        <f>IF(AND('07_Мерч'!BD$3&gt;='01_Вводные'!$B$81,OR(MONTH('07_Мерч'!BD$3)='01_Вводные'!$B$82,MONTH('07_Мерч'!BD$3)='01_Вводные'!$B$83,MONTH('07_Мерч'!BD$3)='01_Вводные'!$B$84,MONTH('07_Мерч'!BD$3)='01_Вводные'!$B$85)),MAX(0,'19_Расчет_аналитики'!BD1637-('19_Расчет_аналитики'!BD1635-'19_Расчет_аналитики'!BD1636)),0)</f>
        <v/>
      </c>
      <c r="BE1638">
        <f>IF(AND('07_Мерч'!BE$3&gt;='01_Вводные'!$B$81,OR(MONTH('07_Мерч'!BE$3)='01_Вводные'!$B$82,MONTH('07_Мерч'!BE$3)='01_Вводные'!$B$83,MONTH('07_Мерч'!BE$3)='01_Вводные'!$B$84,MONTH('07_Мерч'!BE$3)='01_Вводные'!$B$85)),MAX(0,'19_Расчет_аналитики'!BE1637-('19_Расчет_аналитики'!BE1635-'19_Расчет_аналитики'!BE1636)),0)</f>
        <v/>
      </c>
      <c r="BF1638">
        <f>IF(AND('07_Мерч'!BF$3&gt;='01_Вводные'!$B$81,OR(MONTH('07_Мерч'!BF$3)='01_Вводные'!$B$82,MONTH('07_Мерч'!BF$3)='01_Вводные'!$B$83,MONTH('07_Мерч'!BF$3)='01_Вводные'!$B$84,MONTH('07_Мерч'!BF$3)='01_Вводные'!$B$85)),MAX(0,'19_Расчет_аналитики'!BF1637-('19_Расчет_аналитики'!BF1635-'19_Расчет_аналитики'!BF1636)),0)</f>
        <v/>
      </c>
      <c r="BG1638">
        <f>IF(AND('07_Мерч'!BG$3&gt;='01_Вводные'!$B$81,OR(MONTH('07_Мерч'!BG$3)='01_Вводные'!$B$82,MONTH('07_Мерч'!BG$3)='01_Вводные'!$B$83,MONTH('07_Мерч'!BG$3)='01_Вводные'!$B$84,MONTH('07_Мерч'!BG$3)='01_Вводные'!$B$85)),MAX(0,'19_Расчет_аналитики'!BG1637-('19_Расчет_аналитики'!BG1635-'19_Расчет_аналитики'!BG1636)),0)</f>
        <v/>
      </c>
      <c r="BH1638">
        <f>IF(AND('07_Мерч'!BH$3&gt;='01_Вводные'!$B$81,OR(MONTH('07_Мерч'!BH$3)='01_Вводные'!$B$82,MONTH('07_Мерч'!BH$3)='01_Вводные'!$B$83,MONTH('07_Мерч'!BH$3)='01_Вводные'!$B$84,MONTH('07_Мерч'!BH$3)='01_Вводные'!$B$85)),MAX(0,'19_Расчет_аналитики'!BH1637-('19_Расчет_аналитики'!BH1635-'19_Расчет_аналитики'!BH1636)),0)</f>
        <v/>
      </c>
      <c r="BI1638">
        <f>IF(AND('07_Мерч'!BI$3&gt;='01_Вводные'!$B$81,OR(MONTH('07_Мерч'!BI$3)='01_Вводные'!$B$82,MONTH('07_Мерч'!BI$3)='01_Вводные'!$B$83,MONTH('07_Мерч'!BI$3)='01_Вводные'!$B$84,MONTH('07_Мерч'!BI$3)='01_Вводные'!$B$85)),MAX(0,'19_Расчет_аналитики'!BI1637-('19_Расчет_аналитики'!BI1635-'19_Расчет_аналитики'!BI1636)),0)</f>
        <v/>
      </c>
      <c r="BJ1638">
        <f>IF(AND('07_Мерч'!BJ$3&gt;='01_Вводные'!$B$81,OR(MONTH('07_Мерч'!BJ$3)='01_Вводные'!$B$82,MONTH('07_Мерч'!BJ$3)='01_Вводные'!$B$83,MONTH('07_Мерч'!BJ$3)='01_Вводные'!$B$84,MONTH('07_Мерч'!BJ$3)='01_Вводные'!$B$85)),MAX(0,'07_Мерч'!BJ24-('19_Расчет_аналитики'!BJ1635-'19_Расчет_аналитики'!BJ1636)),0)</f>
        <v/>
      </c>
      <c r="BK1638">
        <f>IF(AND('07_Мерч'!BK$3&gt;='01_Вводные'!$B$81,OR(MONTH('07_Мерч'!BK$3)='01_Вводные'!$B$82,MONTH('07_Мерч'!BK$3)='01_Вводные'!$B$83,MONTH('07_Мерч'!BK$3)='01_Вводные'!$B$84,MONTH('07_Мерч'!BK$3)='01_Вводные'!$B$85)),MAX(0,'07_Мерч'!BK24-('19_Расчет_аналитики'!BK1635-'19_Расчет_аналитики'!BK1636)),0)</f>
        <v/>
      </c>
      <c r="BL1638">
        <f>IF(AND('07_Мерч'!BL$3&gt;='01_Вводные'!$B$81,OR(MONTH('07_Мерч'!BL$3)='01_Вводные'!$B$82,MONTH('07_Мерч'!BL$3)='01_Вводные'!$B$83,MONTH('07_Мерч'!BL$3)='01_Вводные'!$B$84,MONTH('07_Мерч'!BL$3)='01_Вводные'!$B$85)),MAX(0,'07_Мерч'!BL24-('19_Расчет_аналитики'!BL1635-'19_Расчет_аналитики'!BL1636)),0)</f>
        <v/>
      </c>
      <c r="BM1638">
        <f>IF(AND('07_Мерч'!BM$3&gt;='01_Вводные'!$B$81,OR(MONTH('07_Мерч'!BM$3)='01_Вводные'!$B$82,MONTH('07_Мерч'!BM$3)='01_Вводные'!$B$83,MONTH('07_Мерч'!BM$3)='01_Вводные'!$B$84,MONTH('07_Мерч'!BM$3)='01_Вводные'!$B$85)),MAX(0,'07_Мерч'!BM24-('19_Расчет_аналитики'!BM1635-'19_Расчет_аналитики'!BM1636)),0)</f>
        <v/>
      </c>
      <c r="BN1638">
        <f>IF(AND('07_Мерч'!BN$3&gt;='01_Вводные'!$B$81,OR(MONTH('07_Мерч'!BN$3)='01_Вводные'!$B$82,MONTH('07_Мерч'!BN$3)='01_Вводные'!$B$83,MONTH('07_Мерч'!BN$3)='01_Вводные'!$B$84,MONTH('07_Мерч'!BN$3)='01_Вводные'!$B$85)),MAX(0,'07_Мерч'!BN24-('19_Расчет_аналитики'!BN1635-'19_Расчет_аналитики'!BN1636)),0)</f>
        <v/>
      </c>
      <c r="BO1638">
        <f>IF(AND('07_Мерч'!BO$3&gt;='01_Вводные'!$B$81,OR(MONTH('07_Мерч'!BO$3)='01_Вводные'!$B$82,MONTH('07_Мерч'!BO$3)='01_Вводные'!$B$83,MONTH('07_Мерч'!BO$3)='01_Вводные'!$B$84,MONTH('07_Мерч'!BO$3)='01_Вводные'!$B$85)),MAX(0,'07_Мерч'!BO24-('19_Расчет_аналитики'!BO1635-'19_Расчет_аналитики'!BO1636)),0)</f>
        <v/>
      </c>
    </row>
    <row r="1639">
      <c r="B1639">
        <f>'07_Мерч'!B22+'19_Расчет_аналитики'!B1638-'19_Расчет_аналитики'!B1636</f>
        <v/>
      </c>
      <c r="C1639">
        <f>'19_Расчет_аналитики'!C1635+'19_Расчет_аналитики'!C1638-'19_Расчет_аналитики'!C1636</f>
        <v/>
      </c>
      <c r="D1639">
        <f>'19_Расчет_аналитики'!D1635+'19_Расчет_аналитики'!D1638-'19_Расчет_аналитики'!D1636</f>
        <v/>
      </c>
      <c r="E1639">
        <f>'19_Расчет_аналитики'!E1635+'19_Расчет_аналитики'!E1638-'19_Расчет_аналитики'!E1636</f>
        <v/>
      </c>
      <c r="F1639">
        <f>'19_Расчет_аналитики'!F1635+'19_Расчет_аналитики'!F1638-'19_Расчет_аналитики'!F1636</f>
        <v/>
      </c>
      <c r="G1639">
        <f>'19_Расчет_аналитики'!G1635+'19_Расчет_аналитики'!G1638-'19_Расчет_аналитики'!G1636</f>
        <v/>
      </c>
      <c r="H1639">
        <f>'19_Расчет_аналитики'!H1635+'19_Расчет_аналитики'!H1638-'19_Расчет_аналитики'!H1636</f>
        <v/>
      </c>
      <c r="I1639">
        <f>'19_Расчет_аналитики'!I1635+'19_Расчет_аналитики'!I1638-'19_Расчет_аналитики'!I1636</f>
        <v/>
      </c>
      <c r="J1639">
        <f>'19_Расчет_аналитики'!J1635+'19_Расчет_аналитики'!J1638-'19_Расчет_аналитики'!J1636</f>
        <v/>
      </c>
      <c r="K1639">
        <f>'19_Расчет_аналитики'!K1635+'19_Расчет_аналитики'!K1638-'19_Расчет_аналитики'!K1636</f>
        <v/>
      </c>
      <c r="L1639">
        <f>'19_Расчет_аналитики'!L1635+'19_Расчет_аналитики'!L1638-'19_Расчет_аналитики'!L1636</f>
        <v/>
      </c>
      <c r="M1639">
        <f>'19_Расчет_аналитики'!M1635+'19_Расчет_аналитики'!M1638-'19_Расчет_аналитики'!M1636</f>
        <v/>
      </c>
      <c r="N1639">
        <f>'19_Расчет_аналитики'!N1635+'19_Расчет_аналитики'!N1638-'19_Расчет_аналитики'!N1636</f>
        <v/>
      </c>
      <c r="O1639">
        <f>'19_Расчет_аналитики'!O1635+'19_Расчет_аналитики'!O1638-'19_Расчет_аналитики'!O1636</f>
        <v/>
      </c>
      <c r="P1639">
        <f>'19_Расчет_аналитики'!P1635+'19_Расчет_аналитики'!P1638-'19_Расчет_аналитики'!P1636</f>
        <v/>
      </c>
      <c r="Q1639">
        <f>'19_Расчет_аналитики'!Q1635+'19_Расчет_аналитики'!Q1638-'19_Расчет_аналитики'!Q1636</f>
        <v/>
      </c>
      <c r="R1639">
        <f>'19_Расчет_аналитики'!R1635+'19_Расчет_аналитики'!R1638-'19_Расчет_аналитики'!R1636</f>
        <v/>
      </c>
      <c r="S1639">
        <f>'19_Расчет_аналитики'!S1635+'19_Расчет_аналитики'!S1638-'19_Расчет_аналитики'!S1636</f>
        <v/>
      </c>
      <c r="T1639">
        <f>'19_Расчет_аналитики'!T1635+'19_Расчет_аналитики'!T1638-'19_Расчет_аналитики'!T1636</f>
        <v/>
      </c>
      <c r="U1639">
        <f>'19_Расчет_аналитики'!U1635+'19_Расчет_аналитики'!U1638-'19_Расчет_аналитики'!U1636</f>
        <v/>
      </c>
      <c r="V1639">
        <f>'19_Расчет_аналитики'!V1635+'19_Расчет_аналитики'!V1638-'19_Расчет_аналитики'!V1636</f>
        <v/>
      </c>
      <c r="W1639">
        <f>'19_Расчет_аналитики'!W1635+'19_Расчет_аналитики'!W1638-'19_Расчет_аналитики'!W1636</f>
        <v/>
      </c>
      <c r="X1639">
        <f>'19_Расчет_аналитики'!X1635+'19_Расчет_аналитики'!X1638-'19_Расчет_аналитики'!X1636</f>
        <v/>
      </c>
      <c r="Y1639">
        <f>'19_Расчет_аналитики'!Y1635+'19_Расчет_аналитики'!Y1638-'19_Расчет_аналитики'!Y1636</f>
        <v/>
      </c>
      <c r="Z1639">
        <f>'19_Расчет_аналитики'!Z1635+'19_Расчет_аналитики'!Z1638-'19_Расчет_аналитики'!Z1636</f>
        <v/>
      </c>
      <c r="AA1639">
        <f>'19_Расчет_аналитики'!AA1635+'19_Расчет_аналитики'!AA1638-'19_Расчет_аналитики'!AA1636</f>
        <v/>
      </c>
      <c r="AB1639">
        <f>'19_Расчет_аналитики'!AB1635+'19_Расчет_аналитики'!AB1638-'19_Расчет_аналитики'!AB1636</f>
        <v/>
      </c>
      <c r="AC1639">
        <f>'19_Расчет_аналитики'!AC1635+'19_Расчет_аналитики'!AC1638-'19_Расчет_аналитики'!AC1636</f>
        <v/>
      </c>
      <c r="AD1639">
        <f>'19_Расчет_аналитики'!AD1635+'19_Расчет_аналитики'!AD1638-'19_Расчет_аналитики'!AD1636</f>
        <v/>
      </c>
      <c r="AE1639">
        <f>'19_Расчет_аналитики'!AE1635+'19_Расчет_аналитики'!AE1638-'19_Расчет_аналитики'!AE1636</f>
        <v/>
      </c>
      <c r="AF1639">
        <f>'19_Расчет_аналитики'!AF1635+'19_Расчет_аналитики'!AF1638-'19_Расчет_аналитики'!AF1636</f>
        <v/>
      </c>
      <c r="AG1639">
        <f>'19_Расчет_аналитики'!AG1635+'19_Расчет_аналитики'!AG1638-'19_Расчет_аналитики'!AG1636</f>
        <v/>
      </c>
      <c r="AH1639">
        <f>'19_Расчет_аналитики'!AH1635+'19_Расчет_аналитики'!AH1638-'19_Расчет_аналитики'!AH1636</f>
        <v/>
      </c>
      <c r="AI1639">
        <f>'19_Расчет_аналитики'!AI1635+'19_Расчет_аналитики'!AI1638-'19_Расчет_аналитики'!AI1636</f>
        <v/>
      </c>
      <c r="AJ1639">
        <f>'19_Расчет_аналитики'!AJ1635+'19_Расчет_аналитики'!AJ1638-'19_Расчет_аналитики'!AJ1636</f>
        <v/>
      </c>
      <c r="AK1639">
        <f>'19_Расчет_аналитики'!AK1635+'19_Расчет_аналитики'!AK1638-'19_Расчет_аналитики'!AK1636</f>
        <v/>
      </c>
      <c r="AL1639">
        <f>'19_Расчет_аналитики'!AL1635+'19_Расчет_аналитики'!AL1638-'19_Расчет_аналитики'!AL1636</f>
        <v/>
      </c>
      <c r="AM1639">
        <f>'19_Расчет_аналитики'!AM1635+'19_Расчет_аналитики'!AM1638-'19_Расчет_аналитики'!AM1636</f>
        <v/>
      </c>
      <c r="AN1639">
        <f>'19_Расчет_аналитики'!AN1635+'19_Расчет_аналитики'!AN1638-'19_Расчет_аналитики'!AN1636</f>
        <v/>
      </c>
      <c r="AO1639">
        <f>'19_Расчет_аналитики'!AO1635+'19_Расчет_аналитики'!AO1638-'19_Расчет_аналитики'!AO1636</f>
        <v/>
      </c>
      <c r="AP1639">
        <f>'19_Расчет_аналитики'!AP1635+'19_Расчет_аналитики'!AP1638-'19_Расчет_аналитики'!AP1636</f>
        <v/>
      </c>
      <c r="AQ1639">
        <f>'19_Расчет_аналитики'!AQ1635+'19_Расчет_аналитики'!AQ1638-'19_Расчет_аналитики'!AQ1636</f>
        <v/>
      </c>
      <c r="AR1639">
        <f>'19_Расчет_аналитики'!AR1635+'19_Расчет_аналитики'!AR1638-'19_Расчет_аналитики'!AR1636</f>
        <v/>
      </c>
      <c r="AS1639">
        <f>'19_Расчет_аналитики'!AS1635+'19_Расчет_аналитики'!AS1638-'19_Расчет_аналитики'!AS1636</f>
        <v/>
      </c>
      <c r="AT1639">
        <f>'19_Расчет_аналитики'!AT1635+'19_Расчет_аналитики'!AT1638-'19_Расчет_аналитики'!AT1636</f>
        <v/>
      </c>
      <c r="AU1639">
        <f>'19_Расчет_аналитики'!AU1635+'19_Расчет_аналитики'!AU1638-'19_Расчет_аналитики'!AU1636</f>
        <v/>
      </c>
      <c r="AV1639">
        <f>'19_Расчет_аналитики'!AV1635+'19_Расчет_аналитики'!AV1638-'19_Расчет_аналитики'!AV1636</f>
        <v/>
      </c>
      <c r="AW1639">
        <f>'19_Расчет_аналитики'!AW1635+'19_Расчет_аналитики'!AW1638-'19_Расчет_аналитики'!AW1636</f>
        <v/>
      </c>
      <c r="AX1639">
        <f>'19_Расчет_аналитики'!AX1635+'19_Расчет_аналитики'!AX1638-'19_Расчет_аналитики'!AX1636</f>
        <v/>
      </c>
      <c r="AY1639">
        <f>'19_Расчет_аналитики'!AY1635+'19_Расчет_аналитики'!AY1638-'19_Расчет_аналитики'!AY1636</f>
        <v/>
      </c>
      <c r="AZ1639">
        <f>'19_Расчет_аналитики'!AZ1635+'19_Расчет_аналитики'!AZ1638-'19_Расчет_аналитики'!AZ1636</f>
        <v/>
      </c>
      <c r="BA1639">
        <f>'19_Расчет_аналитики'!BA1635+'19_Расчет_аналитики'!BA1638-'19_Расчет_аналитики'!BA1636</f>
        <v/>
      </c>
      <c r="BB1639">
        <f>'19_Расчет_аналитики'!BB1635+'19_Расчет_аналитики'!BB1638-'19_Расчет_аналитики'!BB1636</f>
        <v/>
      </c>
      <c r="BC1639">
        <f>'19_Расчет_аналитики'!BC1635+'19_Расчет_аналитики'!BC1638-'19_Расчет_аналитики'!BC1636</f>
        <v/>
      </c>
      <c r="BD1639">
        <f>'19_Расчет_аналитики'!BD1635+'19_Расчет_аналитики'!BD1638-'19_Расчет_аналитики'!BD1636</f>
        <v/>
      </c>
      <c r="BE1639">
        <f>'19_Расчет_аналитики'!BE1635+'19_Расчет_аналитики'!BE1638-'19_Расчет_аналитики'!BE1636</f>
        <v/>
      </c>
      <c r="BF1639">
        <f>'19_Расчет_аналитики'!BF1635+'19_Расчет_аналитики'!BF1638-'19_Расчет_аналитики'!BF1636</f>
        <v/>
      </c>
      <c r="BG1639">
        <f>'19_Расчет_аналитики'!BG1635+'19_Расчет_аналитики'!BG1638-'19_Расчет_аналитики'!BG1636</f>
        <v/>
      </c>
      <c r="BH1639">
        <f>'19_Расчет_аналитики'!BH1635+'19_Расчет_аналитики'!BH1638-'19_Расчет_аналитики'!BH1636</f>
        <v/>
      </c>
      <c r="BI1639">
        <f>'19_Расчет_аналитики'!BI1635+'19_Расчет_аналитики'!BI1638-'19_Расчет_аналитики'!BI1636</f>
        <v/>
      </c>
      <c r="BJ1639">
        <f>'19_Расчет_аналитики'!BJ1635+'19_Расчет_аналитики'!BJ1638-'19_Расчет_аналитики'!BJ1636</f>
        <v/>
      </c>
      <c r="BK1639">
        <f>'19_Расчет_аналитики'!BK1635+'19_Расчет_аналитики'!BK1638-'19_Расчет_аналитики'!BK1636</f>
        <v/>
      </c>
      <c r="BL1639">
        <f>'19_Расчет_аналитики'!BL1635+'19_Расчет_аналитики'!BL1638-'19_Расчет_аналитики'!BL1636</f>
        <v/>
      </c>
      <c r="BM1639">
        <f>'19_Расчет_аналитики'!BM1635+'19_Расчет_аналитики'!BM1638-'19_Расчет_аналитики'!BM1636</f>
        <v/>
      </c>
      <c r="BN1639">
        <f>'19_Расчет_аналитики'!BN1635+'19_Расчет_аналитики'!BN1638-'19_Расчет_аналитики'!BN1636</f>
        <v/>
      </c>
      <c r="BO1639">
        <f>'19_Расчет_аналитики'!BO1635+'19_Расчет_аналитики'!BO1638-'19_Расчет_аналитики'!BO1636</f>
        <v/>
      </c>
    </row>
    <row r="1640">
      <c r="B1640">
        <f>MAX(0,-'19_Расчет_аналитики'!B1639)</f>
        <v/>
      </c>
      <c r="C1640">
        <f>MAX(0,-'19_Расчет_аналитики'!C1639)</f>
        <v/>
      </c>
      <c r="D1640">
        <f>MAX(0,-'19_Расчет_аналитики'!D1639)</f>
        <v/>
      </c>
      <c r="E1640">
        <f>MAX(0,-'19_Расчет_аналитики'!E1639)</f>
        <v/>
      </c>
      <c r="F1640">
        <f>MAX(0,-'19_Расчет_аналитики'!F1639)</f>
        <v/>
      </c>
      <c r="G1640">
        <f>MAX(0,-'19_Расчет_аналитики'!G1639)</f>
        <v/>
      </c>
      <c r="H1640">
        <f>MAX(0,-'19_Расчет_аналитики'!H1639)</f>
        <v/>
      </c>
      <c r="I1640">
        <f>MAX(0,-'19_Расчет_аналитики'!I1639)</f>
        <v/>
      </c>
      <c r="J1640">
        <f>MAX(0,-'19_Расчет_аналитики'!J1639)</f>
        <v/>
      </c>
      <c r="K1640">
        <f>MAX(0,-'19_Расчет_аналитики'!K1639)</f>
        <v/>
      </c>
      <c r="L1640">
        <f>MAX(0,-'19_Расчет_аналитики'!L1639)</f>
        <v/>
      </c>
      <c r="M1640">
        <f>MAX(0,-'19_Расчет_аналитики'!M1639)</f>
        <v/>
      </c>
      <c r="N1640">
        <f>MAX(0,-'19_Расчет_аналитики'!N1639)</f>
        <v/>
      </c>
      <c r="O1640">
        <f>MAX(0,-'19_Расчет_аналитики'!O1639)</f>
        <v/>
      </c>
      <c r="P1640">
        <f>MAX(0,-'19_Расчет_аналитики'!P1639)</f>
        <v/>
      </c>
      <c r="Q1640">
        <f>MAX(0,-'19_Расчет_аналитики'!Q1639)</f>
        <v/>
      </c>
      <c r="R1640">
        <f>MAX(0,-'19_Расчет_аналитики'!R1639)</f>
        <v/>
      </c>
      <c r="S1640">
        <f>MAX(0,-'19_Расчет_аналитики'!S1639)</f>
        <v/>
      </c>
      <c r="T1640">
        <f>MAX(0,-'19_Расчет_аналитики'!T1639)</f>
        <v/>
      </c>
      <c r="U1640">
        <f>MAX(0,-'19_Расчет_аналитики'!U1639)</f>
        <v/>
      </c>
      <c r="V1640">
        <f>MAX(0,-'19_Расчет_аналитики'!V1639)</f>
        <v/>
      </c>
      <c r="W1640">
        <f>MAX(0,-'19_Расчет_аналитики'!W1639)</f>
        <v/>
      </c>
      <c r="X1640">
        <f>MAX(0,-'19_Расчет_аналитики'!X1639)</f>
        <v/>
      </c>
      <c r="Y1640">
        <f>MAX(0,-'19_Расчет_аналитики'!Y1639)</f>
        <v/>
      </c>
      <c r="Z1640">
        <f>MAX(0,-'19_Расчет_аналитики'!Z1639)</f>
        <v/>
      </c>
      <c r="AA1640">
        <f>MAX(0,-'19_Расчет_аналитики'!AA1639)</f>
        <v/>
      </c>
      <c r="AB1640">
        <f>MAX(0,-'19_Расчет_аналитики'!AB1639)</f>
        <v/>
      </c>
      <c r="AC1640">
        <f>MAX(0,-'19_Расчет_аналитики'!AC1639)</f>
        <v/>
      </c>
      <c r="AD1640">
        <f>MAX(0,-'19_Расчет_аналитики'!AD1639)</f>
        <v/>
      </c>
      <c r="AE1640">
        <f>MAX(0,-'19_Расчет_аналитики'!AE1639)</f>
        <v/>
      </c>
      <c r="AF1640">
        <f>MAX(0,-'19_Расчет_аналитики'!AF1639)</f>
        <v/>
      </c>
      <c r="AG1640">
        <f>MAX(0,-'19_Расчет_аналитики'!AG1639)</f>
        <v/>
      </c>
      <c r="AH1640">
        <f>MAX(0,-'19_Расчет_аналитики'!AH1639)</f>
        <v/>
      </c>
      <c r="AI1640">
        <f>MAX(0,-'19_Расчет_аналитики'!AI1639)</f>
        <v/>
      </c>
      <c r="AJ1640">
        <f>MAX(0,-'19_Расчет_аналитики'!AJ1639)</f>
        <v/>
      </c>
      <c r="AK1640">
        <f>MAX(0,-'19_Расчет_аналитики'!AK1639)</f>
        <v/>
      </c>
      <c r="AL1640">
        <f>MAX(0,-'19_Расчет_аналитики'!AL1639)</f>
        <v/>
      </c>
      <c r="AM1640">
        <f>MAX(0,-'19_Расчет_аналитики'!AM1639)</f>
        <v/>
      </c>
      <c r="AN1640">
        <f>MAX(0,-'19_Расчет_аналитики'!AN1639)</f>
        <v/>
      </c>
      <c r="AO1640">
        <f>MAX(0,-'19_Расчет_аналитики'!AO1639)</f>
        <v/>
      </c>
      <c r="AP1640">
        <f>MAX(0,-'19_Расчет_аналитики'!AP1639)</f>
        <v/>
      </c>
      <c r="AQ1640">
        <f>MAX(0,-'19_Расчет_аналитики'!AQ1639)</f>
        <v/>
      </c>
      <c r="AR1640">
        <f>MAX(0,-'19_Расчет_аналитики'!AR1639)</f>
        <v/>
      </c>
      <c r="AS1640">
        <f>MAX(0,-'19_Расчет_аналитики'!AS1639)</f>
        <v/>
      </c>
      <c r="AT1640">
        <f>MAX(0,-'19_Расчет_аналитики'!AT1639)</f>
        <v/>
      </c>
      <c r="AU1640">
        <f>MAX(0,-'19_Расчет_аналитики'!AU1639)</f>
        <v/>
      </c>
      <c r="AV1640">
        <f>MAX(0,-'19_Расчет_аналитики'!AV1639)</f>
        <v/>
      </c>
      <c r="AW1640">
        <f>MAX(0,-'19_Расчет_аналитики'!AW1639)</f>
        <v/>
      </c>
      <c r="AX1640">
        <f>MAX(0,-'19_Расчет_аналитики'!AX1639)</f>
        <v/>
      </c>
      <c r="AY1640">
        <f>MAX(0,-'19_Расчет_аналитики'!AY1639)</f>
        <v/>
      </c>
      <c r="AZ1640">
        <f>MAX(0,-'19_Расчет_аналитики'!AZ1639)</f>
        <v/>
      </c>
      <c r="BA1640">
        <f>MAX(0,-'19_Расчет_аналитики'!BA1639)</f>
        <v/>
      </c>
      <c r="BB1640">
        <f>MAX(0,-'19_Расчет_аналитики'!BB1639)</f>
        <v/>
      </c>
      <c r="BC1640">
        <f>MAX(0,-'19_Расчет_аналитики'!BC1639)</f>
        <v/>
      </c>
      <c r="BD1640">
        <f>MAX(0,-'19_Расчет_аналитики'!BD1639)</f>
        <v/>
      </c>
      <c r="BE1640">
        <f>MAX(0,-'19_Расчет_аналитики'!BE1639)</f>
        <v/>
      </c>
      <c r="BF1640">
        <f>MAX(0,-'19_Расчет_аналитики'!BF1639)</f>
        <v/>
      </c>
      <c r="BG1640">
        <f>MAX(0,-'19_Расчет_аналитики'!BG1639)</f>
        <v/>
      </c>
      <c r="BH1640">
        <f>MAX(0,-'19_Расчет_аналитики'!BH1639)</f>
        <v/>
      </c>
      <c r="BI1640">
        <f>MAX(0,-'19_Расчет_аналитики'!BI1639)</f>
        <v/>
      </c>
      <c r="BJ1640">
        <f>MAX(0,-'19_Расчет_аналитики'!BJ1639)</f>
        <v/>
      </c>
      <c r="BK1640">
        <f>MAX(0,-'19_Расчет_аналитики'!BK1639)</f>
        <v/>
      </c>
      <c r="BL1640">
        <f>MAX(0,-'19_Расчет_аналитики'!BL1639)</f>
        <v/>
      </c>
      <c r="BM1640">
        <f>MAX(0,-'19_Расчет_аналитики'!BM1639)</f>
        <v/>
      </c>
      <c r="BN1640">
        <f>MAX(0,-'19_Расчет_аналитики'!BN1639)</f>
        <v/>
      </c>
      <c r="BO1640">
        <f>MAX(0,-'19_Расчет_аналитики'!BO1639)</f>
        <v/>
      </c>
    </row>
    <row r="1641"/>
    <row r="1642">
      <c r="C1642">
        <f>'19_Расчет_аналитики'!B1645</f>
        <v/>
      </c>
      <c r="D1642">
        <f>'19_Расчет_аналитики'!C1645</f>
        <v/>
      </c>
      <c r="E1642">
        <f>'19_Расчет_аналитики'!D1645</f>
        <v/>
      </c>
      <c r="F1642">
        <f>'19_Расчет_аналитики'!E1645</f>
        <v/>
      </c>
      <c r="G1642">
        <f>'19_Расчет_аналитики'!F1645</f>
        <v/>
      </c>
      <c r="H1642">
        <f>'19_Расчет_аналитики'!G1645</f>
        <v/>
      </c>
      <c r="I1642">
        <f>'19_Расчет_аналитики'!H1645</f>
        <v/>
      </c>
      <c r="J1642">
        <f>'19_Расчет_аналитики'!I1645</f>
        <v/>
      </c>
      <c r="K1642">
        <f>'19_Расчет_аналитики'!J1645</f>
        <v/>
      </c>
      <c r="L1642">
        <f>'19_Расчет_аналитики'!K1645</f>
        <v/>
      </c>
      <c r="M1642">
        <f>'19_Расчет_аналитики'!L1645</f>
        <v/>
      </c>
      <c r="N1642">
        <f>'19_Расчет_аналитики'!M1645</f>
        <v/>
      </c>
      <c r="O1642">
        <f>'19_Расчет_аналитики'!N1645</f>
        <v/>
      </c>
      <c r="P1642">
        <f>'19_Расчет_аналитики'!O1645</f>
        <v/>
      </c>
      <c r="Q1642">
        <f>'19_Расчет_аналитики'!P1645</f>
        <v/>
      </c>
      <c r="R1642">
        <f>'19_Расчет_аналитики'!Q1645</f>
        <v/>
      </c>
      <c r="S1642">
        <f>'19_Расчет_аналитики'!R1645</f>
        <v/>
      </c>
      <c r="T1642">
        <f>'19_Расчет_аналитики'!S1645</f>
        <v/>
      </c>
      <c r="U1642">
        <f>'19_Расчет_аналитики'!T1645</f>
        <v/>
      </c>
      <c r="V1642">
        <f>'19_Расчет_аналитики'!U1645</f>
        <v/>
      </c>
      <c r="W1642">
        <f>'19_Расчет_аналитики'!V1645</f>
        <v/>
      </c>
      <c r="X1642">
        <f>'19_Расчет_аналитики'!W1645</f>
        <v/>
      </c>
      <c r="Y1642">
        <f>'19_Расчет_аналитики'!X1645</f>
        <v/>
      </c>
      <c r="Z1642">
        <f>'19_Расчет_аналитики'!Y1645</f>
        <v/>
      </c>
      <c r="AA1642">
        <f>'19_Расчет_аналитики'!Z1645</f>
        <v/>
      </c>
      <c r="AB1642">
        <f>'19_Расчет_аналитики'!AA1645</f>
        <v/>
      </c>
      <c r="AC1642">
        <f>'19_Расчет_аналитики'!AB1645</f>
        <v/>
      </c>
      <c r="AD1642">
        <f>'19_Расчет_аналитики'!AC1645</f>
        <v/>
      </c>
      <c r="AE1642">
        <f>'19_Расчет_аналитики'!AD1645</f>
        <v/>
      </c>
      <c r="AF1642">
        <f>'19_Расчет_аналитики'!AE1645</f>
        <v/>
      </c>
      <c r="AG1642">
        <f>'19_Расчет_аналитики'!AF1645</f>
        <v/>
      </c>
      <c r="AH1642">
        <f>'19_Расчет_аналитики'!AG1645</f>
        <v/>
      </c>
      <c r="AI1642">
        <f>'19_Расчет_аналитики'!AH1645</f>
        <v/>
      </c>
      <c r="AJ1642">
        <f>'19_Расчет_аналитики'!AI1645</f>
        <v/>
      </c>
      <c r="AK1642">
        <f>'19_Расчет_аналитики'!AJ1645</f>
        <v/>
      </c>
      <c r="AL1642">
        <f>'19_Расчет_аналитики'!AK1645</f>
        <v/>
      </c>
      <c r="AM1642">
        <f>'19_Расчет_аналитики'!AL1645</f>
        <v/>
      </c>
      <c r="AN1642">
        <f>'19_Расчет_аналитики'!AM1645</f>
        <v/>
      </c>
      <c r="AO1642">
        <f>'19_Расчет_аналитики'!AN1645</f>
        <v/>
      </c>
      <c r="AP1642">
        <f>'19_Расчет_аналитики'!AO1645</f>
        <v/>
      </c>
      <c r="AQ1642">
        <f>'19_Расчет_аналитики'!AP1645</f>
        <v/>
      </c>
      <c r="AR1642">
        <f>'19_Расчет_аналитики'!AQ1645</f>
        <v/>
      </c>
      <c r="AS1642">
        <f>'19_Расчет_аналитики'!AR1645</f>
        <v/>
      </c>
      <c r="AT1642">
        <f>'19_Расчет_аналитики'!AS1645</f>
        <v/>
      </c>
      <c r="AU1642">
        <f>'19_Расчет_аналитики'!AT1645</f>
        <v/>
      </c>
      <c r="AV1642">
        <f>'19_Расчет_аналитики'!AU1645</f>
        <v/>
      </c>
      <c r="AW1642">
        <f>'19_Расчет_аналитики'!AV1645</f>
        <v/>
      </c>
      <c r="AX1642">
        <f>'19_Расчет_аналитики'!AW1645</f>
        <v/>
      </c>
      <c r="AY1642">
        <f>'19_Расчет_аналитики'!AX1645</f>
        <v/>
      </c>
      <c r="AZ1642">
        <f>'19_Расчет_аналитики'!AY1645</f>
        <v/>
      </c>
      <c r="BA1642">
        <f>'19_Расчет_аналитики'!AZ1645</f>
        <v/>
      </c>
      <c r="BB1642">
        <f>'19_Расчет_аналитики'!BA1645</f>
        <v/>
      </c>
      <c r="BC1642">
        <f>'19_Расчет_аналитики'!BB1645</f>
        <v/>
      </c>
      <c r="BD1642">
        <f>'19_Расчет_аналитики'!BC1645</f>
        <v/>
      </c>
      <c r="BE1642">
        <f>'19_Расчет_аналитики'!BD1645</f>
        <v/>
      </c>
      <c r="BF1642">
        <f>'19_Расчет_аналитики'!BE1645</f>
        <v/>
      </c>
      <c r="BG1642">
        <f>'19_Расчет_аналитики'!BF1645</f>
        <v/>
      </c>
      <c r="BH1642">
        <f>'19_Расчет_аналитики'!BG1645</f>
        <v/>
      </c>
      <c r="BI1642">
        <f>'19_Расчет_аналитики'!BH1645</f>
        <v/>
      </c>
      <c r="BJ1642">
        <f>'19_Расчет_аналитики'!BI1645</f>
        <v/>
      </c>
      <c r="BK1642">
        <f>'19_Расчет_аналитики'!BJ1645</f>
        <v/>
      </c>
      <c r="BL1642">
        <f>'19_Расчет_аналитики'!BK1645</f>
        <v/>
      </c>
      <c r="BM1642">
        <f>'19_Расчет_аналитики'!BL1645</f>
        <v/>
      </c>
      <c r="BN1642">
        <f>'19_Расчет_аналитики'!BM1645</f>
        <v/>
      </c>
      <c r="BO1642">
        <f>'19_Расчет_аналитики'!BN1645</f>
        <v/>
      </c>
    </row>
    <row r="1643">
      <c r="B1643">
        <f>MIN('07_Мерч'!B29,'19_Расчет_аналитики'!B1629*'01_Вводные'!$B$79)</f>
        <v/>
      </c>
      <c r="C1643">
        <f>MIN('19_Расчет_аналитики'!C1642,'19_Расчет_аналитики'!C1629*'01_Вводные'!$B$79)</f>
        <v/>
      </c>
      <c r="D1643">
        <f>MIN('19_Расчет_аналитики'!D1642,'19_Расчет_аналитики'!D1629*'01_Вводные'!$B$79)</f>
        <v/>
      </c>
      <c r="E1643">
        <f>MIN('19_Расчет_аналитики'!E1642,'19_Расчет_аналитики'!E1629*'01_Вводные'!$B$79)</f>
        <v/>
      </c>
      <c r="F1643">
        <f>MIN('19_Расчет_аналитики'!F1642,'19_Расчет_аналитики'!F1629*'01_Вводные'!$B$79)</f>
        <v/>
      </c>
      <c r="G1643">
        <f>MIN('19_Расчет_аналитики'!G1642,'19_Расчет_аналитики'!G1629*'01_Вводные'!$B$79)</f>
        <v/>
      </c>
      <c r="H1643">
        <f>MIN('19_Расчет_аналитики'!H1642,'19_Расчет_аналитики'!H1629*'01_Вводные'!$B$79)</f>
        <v/>
      </c>
      <c r="I1643">
        <f>MIN('19_Расчет_аналитики'!I1642,'19_Расчет_аналитики'!I1629*'01_Вводные'!$B$79)</f>
        <v/>
      </c>
      <c r="J1643">
        <f>MIN('19_Расчет_аналитики'!J1642,'19_Расчет_аналитики'!J1629*'01_Вводные'!$B$79)</f>
        <v/>
      </c>
      <c r="K1643">
        <f>MIN('19_Расчет_аналитики'!K1642,'19_Расчет_аналитики'!K1629*'01_Вводные'!$B$79)</f>
        <v/>
      </c>
      <c r="L1643">
        <f>MIN('19_Расчет_аналитики'!L1642,'19_Расчет_аналитики'!L1629*'01_Вводные'!$B$79)</f>
        <v/>
      </c>
      <c r="M1643">
        <f>MIN('19_Расчет_аналитики'!M1642,'19_Расчет_аналитики'!M1629*'01_Вводные'!$B$79)</f>
        <v/>
      </c>
      <c r="N1643">
        <f>MIN('19_Расчет_аналитики'!N1642,'19_Расчет_аналитики'!N1629*'01_Вводные'!$B$79)</f>
        <v/>
      </c>
      <c r="O1643">
        <f>MIN('19_Расчет_аналитики'!O1642,'19_Расчет_аналитики'!O1629*'01_Вводные'!$B$79)</f>
        <v/>
      </c>
      <c r="P1643">
        <f>MIN('19_Расчет_аналитики'!P1642,'19_Расчет_аналитики'!P1629*'01_Вводные'!$B$79)</f>
        <v/>
      </c>
      <c r="Q1643">
        <f>MIN('19_Расчет_аналитики'!Q1642,'19_Расчет_аналитики'!Q1629*'01_Вводные'!$B$79)</f>
        <v/>
      </c>
      <c r="R1643">
        <f>MIN('19_Расчет_аналитики'!R1642,'19_Расчет_аналитики'!R1629*'01_Вводные'!$B$79)</f>
        <v/>
      </c>
      <c r="S1643">
        <f>MIN('19_Расчет_аналитики'!S1642,'19_Расчет_аналитики'!S1629*'01_Вводные'!$B$79)</f>
        <v/>
      </c>
      <c r="T1643">
        <f>MIN('19_Расчет_аналитики'!T1642,'19_Расчет_аналитики'!T1629*'01_Вводные'!$B$79)</f>
        <v/>
      </c>
      <c r="U1643">
        <f>MIN('19_Расчет_аналитики'!U1642,'19_Расчет_аналитики'!U1629*'01_Вводные'!$B$79)</f>
        <v/>
      </c>
      <c r="V1643">
        <f>MIN('19_Расчет_аналитики'!V1642,'19_Расчет_аналитики'!V1629*'01_Вводные'!$B$79)</f>
        <v/>
      </c>
      <c r="W1643">
        <f>MIN('19_Расчет_аналитики'!W1642,'19_Расчет_аналитики'!W1629*'01_Вводные'!$B$79)</f>
        <v/>
      </c>
      <c r="X1643">
        <f>MIN('19_Расчет_аналитики'!X1642,'19_Расчет_аналитики'!X1629*'01_Вводные'!$B$79)</f>
        <v/>
      </c>
      <c r="Y1643">
        <f>MIN('19_Расчет_аналитики'!Y1642,'19_Расчет_аналитики'!Y1629*'01_Вводные'!$B$79)</f>
        <v/>
      </c>
      <c r="Z1643">
        <f>MIN('19_Расчет_аналитики'!Z1642,'19_Расчет_аналитики'!Z1629*'01_Вводные'!$B$79)</f>
        <v/>
      </c>
      <c r="AA1643">
        <f>MIN('19_Расчет_аналитики'!AA1642,'19_Расчет_аналитики'!AA1629*'01_Вводные'!$B$79)</f>
        <v/>
      </c>
      <c r="AB1643">
        <f>MIN('19_Расчет_аналитики'!AB1642,'19_Расчет_аналитики'!AB1629*'01_Вводные'!$B$79)</f>
        <v/>
      </c>
      <c r="AC1643">
        <f>MIN('19_Расчет_аналитики'!AC1642,'19_Расчет_аналитики'!AC1629*'01_Вводные'!$B$79)</f>
        <v/>
      </c>
      <c r="AD1643">
        <f>MIN('19_Расчет_аналитики'!AD1642,'19_Расчет_аналитики'!AD1629*'01_Вводные'!$B$79)</f>
        <v/>
      </c>
      <c r="AE1643">
        <f>MIN('19_Расчет_аналитики'!AE1642,'19_Расчет_аналитики'!AE1629*'01_Вводные'!$B$79)</f>
        <v/>
      </c>
      <c r="AF1643">
        <f>MIN('19_Расчет_аналитики'!AF1642,'19_Расчет_аналитики'!AF1629*'01_Вводные'!$B$79)</f>
        <v/>
      </c>
      <c r="AG1643">
        <f>MIN('19_Расчет_аналитики'!AG1642,'19_Расчет_аналитики'!AG1629*'01_Вводные'!$B$79)</f>
        <v/>
      </c>
      <c r="AH1643">
        <f>MIN('19_Расчет_аналитики'!AH1642,'19_Расчет_аналитики'!AH1629*'01_Вводные'!$B$79)</f>
        <v/>
      </c>
      <c r="AI1643">
        <f>MIN('19_Расчет_аналитики'!AI1642,'19_Расчет_аналитики'!AI1629*'01_Вводные'!$B$79)</f>
        <v/>
      </c>
      <c r="AJ1643">
        <f>MIN('19_Расчет_аналитики'!AJ1642,'19_Расчет_аналитики'!AJ1629*'01_Вводные'!$B$79)</f>
        <v/>
      </c>
      <c r="AK1643">
        <f>MIN('19_Расчет_аналитики'!AK1642,'19_Расчет_аналитики'!AK1629*'01_Вводные'!$B$79)</f>
        <v/>
      </c>
      <c r="AL1643">
        <f>MIN('19_Расчет_аналитики'!AL1642,'19_Расчет_аналитики'!AL1629*'01_Вводные'!$B$79)</f>
        <v/>
      </c>
      <c r="AM1643">
        <f>MIN('19_Расчет_аналитики'!AM1642,'19_Расчет_аналитики'!AM1629*'01_Вводные'!$B$79)</f>
        <v/>
      </c>
      <c r="AN1643">
        <f>MIN('19_Расчет_аналитики'!AN1642,'19_Расчет_аналитики'!AN1629*'01_Вводные'!$B$79)</f>
        <v/>
      </c>
      <c r="AO1643">
        <f>MIN('19_Расчет_аналитики'!AO1642,'19_Расчет_аналитики'!AO1629*'01_Вводные'!$B$79)</f>
        <v/>
      </c>
      <c r="AP1643">
        <f>MIN('19_Расчет_аналитики'!AP1642,'19_Расчет_аналитики'!AP1629*'01_Вводные'!$B$79)</f>
        <v/>
      </c>
      <c r="AQ1643">
        <f>MIN('19_Расчет_аналитики'!AQ1642,'19_Расчет_аналитики'!AQ1629*'01_Вводные'!$B$79)</f>
        <v/>
      </c>
      <c r="AR1643">
        <f>MIN('19_Расчет_аналитики'!AR1642,'19_Расчет_аналитики'!AR1629*'01_Вводные'!$B$79)</f>
        <v/>
      </c>
      <c r="AS1643">
        <f>MIN('19_Расчет_аналитики'!AS1642,'19_Расчет_аналитики'!AS1629*'01_Вводные'!$B$79)</f>
        <v/>
      </c>
      <c r="AT1643">
        <f>MIN('19_Расчет_аналитики'!AT1642,'19_Расчет_аналитики'!AT1629*'01_Вводные'!$B$79)</f>
        <v/>
      </c>
      <c r="AU1643">
        <f>MIN('19_Расчет_аналитики'!AU1642,'19_Расчет_аналитики'!AU1629*'01_Вводные'!$B$79)</f>
        <v/>
      </c>
      <c r="AV1643">
        <f>MIN('19_Расчет_аналитики'!AV1642,'19_Расчет_аналитики'!AV1629*'01_Вводные'!$B$79)</f>
        <v/>
      </c>
      <c r="AW1643">
        <f>MIN('19_Расчет_аналитики'!AW1642,'19_Расчет_аналитики'!AW1629*'01_Вводные'!$B$79)</f>
        <v/>
      </c>
      <c r="AX1643">
        <f>MIN('19_Расчет_аналитики'!AX1642,'19_Расчет_аналитики'!AX1629*'01_Вводные'!$B$79)</f>
        <v/>
      </c>
      <c r="AY1643">
        <f>MIN('19_Расчет_аналитики'!AY1642,'19_Расчет_аналитики'!AY1629*'01_Вводные'!$B$79)</f>
        <v/>
      </c>
      <c r="AZ1643">
        <f>MIN('19_Расчет_аналитики'!AZ1642,'19_Расчет_аналитики'!AZ1629*'01_Вводные'!$B$79)</f>
        <v/>
      </c>
      <c r="BA1643">
        <f>MIN('19_Расчет_аналитики'!BA1642,'19_Расчет_аналитики'!BA1629*'01_Вводные'!$B$79)</f>
        <v/>
      </c>
      <c r="BB1643">
        <f>MIN('19_Расчет_аналитики'!BB1642,'19_Расчет_аналитики'!BB1629*'01_Вводные'!$B$79)</f>
        <v/>
      </c>
      <c r="BC1643">
        <f>MIN('19_Расчет_аналитики'!BC1642,'19_Расчет_аналитики'!BC1629*'01_Вводные'!$B$79)</f>
        <v/>
      </c>
      <c r="BD1643">
        <f>MIN('19_Расчет_аналитики'!BD1642,'19_Расчет_аналитики'!BD1629*'01_Вводные'!$B$79)</f>
        <v/>
      </c>
      <c r="BE1643">
        <f>MIN('19_Расчет_аналитики'!BE1642,'19_Расчет_аналитики'!BE1629*'01_Вводные'!$B$79)</f>
        <v/>
      </c>
      <c r="BF1643">
        <f>MIN('19_Расчет_аналитики'!BF1642,'19_Расчет_аналитики'!BF1629*'01_Вводные'!$B$79)</f>
        <v/>
      </c>
      <c r="BG1643">
        <f>MIN('19_Расчет_аналитики'!BG1642,'19_Расчет_аналитики'!BG1629*'01_Вводные'!$B$79)</f>
        <v/>
      </c>
      <c r="BH1643">
        <f>MIN('19_Расчет_аналитики'!BH1642,'19_Расчет_аналитики'!BH1629*'01_Вводные'!$B$79)</f>
        <v/>
      </c>
      <c r="BI1643">
        <f>MIN('19_Расчет_аналитики'!BI1642,'19_Расчет_аналитики'!BI1629*'01_Вводные'!$B$79)</f>
        <v/>
      </c>
      <c r="BJ1643">
        <f>MIN('19_Расчет_аналитики'!BJ1642,'19_Расчет_аналитики'!BJ1629*'01_Вводные'!$B$79)</f>
        <v/>
      </c>
      <c r="BK1643">
        <f>MIN('19_Расчет_аналитики'!BK1642,'19_Расчет_аналитики'!BK1629*'01_Вводные'!$B$79)</f>
        <v/>
      </c>
      <c r="BL1643">
        <f>MIN('19_Расчет_аналитики'!BL1642,'19_Расчет_аналитики'!BL1629*'01_Вводные'!$B$79)</f>
        <v/>
      </c>
      <c r="BM1643">
        <f>MIN('19_Расчет_аналитики'!BM1642,'19_Расчет_аналитики'!BM1629*'01_Вводные'!$B$79)</f>
        <v/>
      </c>
      <c r="BN1643">
        <f>MIN('19_Расчет_аналитики'!BN1642,'19_Расчет_аналитики'!BN1629*'01_Вводные'!$B$79)</f>
        <v/>
      </c>
      <c r="BO1643">
        <f>MIN('19_Расчет_аналитики'!BO1642,'19_Расчет_аналитики'!BO1629*'01_Вводные'!$B$79)</f>
        <v/>
      </c>
    </row>
    <row r="1644">
      <c r="B1644">
        <f>IF(OR('01_Вводные'!$B$238="Нет",'19_Расчет_аналитики'!B1639&gt;='19_Расчет_аналитики'!B1351-0.01),MIN('19_Расчет_аналитики'!B1643,MAX(0,'19_Расчет_аналитики'!B1799)),0)</f>
        <v/>
      </c>
      <c r="C1644">
        <f>IF(OR('01_Вводные'!$B$238="Нет",'19_Расчет_аналитики'!C1639&gt;='19_Расчет_аналитики'!C1351-0.01),MIN('19_Расчет_аналитики'!C1643,MAX(0,'19_Расчет_аналитики'!C1799)),0)</f>
        <v/>
      </c>
      <c r="D1644">
        <f>IF(OR('01_Вводные'!$B$238="Нет",'19_Расчет_аналитики'!D1639&gt;='19_Расчет_аналитики'!D1351-0.01),MIN('19_Расчет_аналитики'!D1643,MAX(0,'19_Расчет_аналитики'!D1799)),0)</f>
        <v/>
      </c>
      <c r="E1644">
        <f>IF(OR('01_Вводные'!$B$238="Нет",'19_Расчет_аналитики'!E1639&gt;='19_Расчет_аналитики'!E1351-0.01),MIN('19_Расчет_аналитики'!E1643,MAX(0,'19_Расчет_аналитики'!E1799)),0)</f>
        <v/>
      </c>
      <c r="F1644">
        <f>IF(OR('01_Вводные'!$B$238="Нет",'19_Расчет_аналитики'!F1639&gt;='19_Расчет_аналитики'!F1351-0.01),MIN('19_Расчет_аналитики'!F1643,MAX(0,'19_Расчет_аналитики'!F1799)),0)</f>
        <v/>
      </c>
      <c r="G1644">
        <f>IF(OR('01_Вводные'!$B$238="Нет",'19_Расчет_аналитики'!G1639&gt;='19_Расчет_аналитики'!G1351-0.01),MIN('19_Расчет_аналитики'!G1643,MAX(0,'19_Расчет_аналитики'!G1799)),0)</f>
        <v/>
      </c>
      <c r="H1644">
        <f>IF(OR('01_Вводные'!$B$238="Нет",'19_Расчет_аналитики'!H1639&gt;='19_Расчет_аналитики'!H1351-0.01),MIN('19_Расчет_аналитики'!H1643,MAX(0,'19_Расчет_аналитики'!H1799)),0)</f>
        <v/>
      </c>
      <c r="I1644">
        <f>IF(OR('01_Вводные'!$B$238="Нет",'19_Расчет_аналитики'!I1639&gt;='19_Расчет_аналитики'!I1351-0.01),MIN('19_Расчет_аналитики'!I1643,MAX(0,'19_Расчет_аналитики'!I1799)),0)</f>
        <v/>
      </c>
      <c r="J1644">
        <f>IF(OR('01_Вводные'!$B$238="Нет",'19_Расчет_аналитики'!J1639&gt;='19_Расчет_аналитики'!J1351-0.01),MIN('19_Расчет_аналитики'!J1643,MAX(0,'19_Расчет_аналитики'!J1799)),0)</f>
        <v/>
      </c>
      <c r="K1644">
        <f>IF(OR('01_Вводные'!$B$238="Нет",'19_Расчет_аналитики'!K1639&gt;='19_Расчет_аналитики'!K1351-0.01),MIN('19_Расчет_аналитики'!K1643,MAX(0,'19_Расчет_аналитики'!K1799)),0)</f>
        <v/>
      </c>
      <c r="L1644">
        <f>IF(OR('01_Вводные'!$B$238="Нет",'19_Расчет_аналитики'!L1639&gt;='19_Расчет_аналитики'!L1351-0.01),MIN('19_Расчет_аналитики'!L1643,MAX(0,'19_Расчет_аналитики'!L1799)),0)</f>
        <v/>
      </c>
      <c r="M1644">
        <f>IF(OR('01_Вводные'!$B$238="Нет",'19_Расчет_аналитики'!M1639&gt;='19_Расчет_аналитики'!M1351-0.01),MIN('19_Расчет_аналитики'!M1643,MAX(0,'19_Расчет_аналитики'!M1799)),0)</f>
        <v/>
      </c>
      <c r="N1644">
        <f>IF(OR('01_Вводные'!$B$238="Нет",'19_Расчет_аналитики'!N1639&gt;='19_Расчет_аналитики'!N1351-0.01),MIN('19_Расчет_аналитики'!N1643,MAX(0,'19_Расчет_аналитики'!N1799)),0)</f>
        <v/>
      </c>
      <c r="O1644">
        <f>IF(OR('01_Вводные'!$B$238="Нет",'19_Расчет_аналитики'!O1639&gt;='19_Расчет_аналитики'!O1351-0.01),MIN('19_Расчет_аналитики'!O1643,MAX(0,'19_Расчет_аналитики'!O1799)),0)</f>
        <v/>
      </c>
      <c r="P1644">
        <f>IF(OR('01_Вводные'!$B$238="Нет",'19_Расчет_аналитики'!P1639&gt;='19_Расчет_аналитики'!P1351-0.01),MIN('19_Расчет_аналитики'!P1643,MAX(0,'19_Расчет_аналитики'!P1799)),0)</f>
        <v/>
      </c>
      <c r="Q1644">
        <f>IF(OR('01_Вводные'!$B$238="Нет",'19_Расчет_аналитики'!Q1639&gt;='19_Расчет_аналитики'!Q1351-0.01),MIN('19_Расчет_аналитики'!Q1643,MAX(0,'19_Расчет_аналитики'!Q1799)),0)</f>
        <v/>
      </c>
      <c r="R1644">
        <f>IF(OR('01_Вводные'!$B$238="Нет",'19_Расчет_аналитики'!R1639&gt;='19_Расчет_аналитики'!R1351-0.01),MIN('19_Расчет_аналитики'!R1643,MAX(0,'19_Расчет_аналитики'!R1799)),0)</f>
        <v/>
      </c>
      <c r="S1644">
        <f>IF(OR('01_Вводные'!$B$238="Нет",'19_Расчет_аналитики'!S1639&gt;='19_Расчет_аналитики'!S1351-0.01),MIN('19_Расчет_аналитики'!S1643,MAX(0,'19_Расчет_аналитики'!S1799)),0)</f>
        <v/>
      </c>
      <c r="T1644">
        <f>IF(OR('01_Вводные'!$B$238="Нет",'19_Расчет_аналитики'!T1639&gt;='19_Расчет_аналитики'!T1351-0.01),MIN('19_Расчет_аналитики'!T1643,MAX(0,'19_Расчет_аналитики'!T1799)),0)</f>
        <v/>
      </c>
      <c r="U1644">
        <f>IF(OR('01_Вводные'!$B$238="Нет",'19_Расчет_аналитики'!U1639&gt;='19_Расчет_аналитики'!U1351-0.01),MIN('19_Расчет_аналитики'!U1643,MAX(0,'19_Расчет_аналитики'!U1799)),0)</f>
        <v/>
      </c>
      <c r="V1644">
        <f>IF(OR('01_Вводные'!$B$238="Нет",'19_Расчет_аналитики'!V1639&gt;='19_Расчет_аналитики'!V1351-0.01),MIN('19_Расчет_аналитики'!V1643,MAX(0,'19_Расчет_аналитики'!V1799)),0)</f>
        <v/>
      </c>
      <c r="W1644">
        <f>IF(OR('01_Вводные'!$B$238="Нет",'19_Расчет_аналитики'!W1639&gt;='19_Расчет_аналитики'!W1351-0.01),MIN('19_Расчет_аналитики'!W1643,MAX(0,'19_Расчет_аналитики'!W1799)),0)</f>
        <v/>
      </c>
      <c r="X1644">
        <f>IF(OR('01_Вводные'!$B$238="Нет",'19_Расчет_аналитики'!X1639&gt;='19_Расчет_аналитики'!X1351-0.01),MIN('19_Расчет_аналитики'!X1643,MAX(0,'19_Расчет_аналитики'!X1799)),0)</f>
        <v/>
      </c>
      <c r="Y1644">
        <f>IF(OR('01_Вводные'!$B$238="Нет",'19_Расчет_аналитики'!Y1639&gt;='19_Расчет_аналитики'!Y1351-0.01),MIN('19_Расчет_аналитики'!Y1643,MAX(0,'19_Расчет_аналитики'!Y1799)),0)</f>
        <v/>
      </c>
      <c r="Z1644">
        <f>IF(OR('01_Вводные'!$B$238="Нет",'19_Расчет_аналитики'!Z1639&gt;='19_Расчет_аналитики'!Z1351-0.01),MIN('19_Расчет_аналитики'!Z1643,MAX(0,'19_Расчет_аналитики'!Z1799)),0)</f>
        <v/>
      </c>
      <c r="AA1644">
        <f>IF(OR('01_Вводные'!$B$238="Нет",'19_Расчет_аналитики'!AA1639&gt;='19_Расчет_аналитики'!AA1351-0.01),MIN('19_Расчет_аналитики'!AA1643,MAX(0,'19_Расчет_аналитики'!AA1799)),0)</f>
        <v/>
      </c>
      <c r="AB1644">
        <f>IF(OR('01_Вводные'!$B$238="Нет",'19_Расчет_аналитики'!AB1639&gt;='19_Расчет_аналитики'!AB1351-0.01),MIN('19_Расчет_аналитики'!AB1643,MAX(0,'19_Расчет_аналитики'!AB1799)),0)</f>
        <v/>
      </c>
      <c r="AC1644">
        <f>IF(OR('01_Вводные'!$B$238="Нет",'19_Расчет_аналитики'!AC1639&gt;='19_Расчет_аналитики'!AC1351-0.01),MIN('19_Расчет_аналитики'!AC1643,MAX(0,'19_Расчет_аналитики'!AC1799)),0)</f>
        <v/>
      </c>
      <c r="AD1644">
        <f>IF(OR('01_Вводные'!$B$238="Нет",'19_Расчет_аналитики'!AD1639&gt;='19_Расчет_аналитики'!AD1351-0.01),MIN('19_Расчет_аналитики'!AD1643,MAX(0,'19_Расчет_аналитики'!AD1799)),0)</f>
        <v/>
      </c>
      <c r="AE1644">
        <f>IF(OR('01_Вводные'!$B$238="Нет",'19_Расчет_аналитики'!AE1639&gt;='19_Расчет_аналитики'!AE1351-0.01),MIN('19_Расчет_аналитики'!AE1643,MAX(0,'19_Расчет_аналитики'!AE1799)),0)</f>
        <v/>
      </c>
      <c r="AF1644">
        <f>IF(OR('01_Вводные'!$B$238="Нет",'19_Расчет_аналитики'!AF1639&gt;='19_Расчет_аналитики'!AF1351-0.01),MIN('19_Расчет_аналитики'!AF1643,MAX(0,'19_Расчет_аналитики'!AF1799)),0)</f>
        <v/>
      </c>
      <c r="AG1644">
        <f>IF(OR('01_Вводные'!$B$238="Нет",'19_Расчет_аналитики'!AG1639&gt;='19_Расчет_аналитики'!AG1351-0.01),MIN('19_Расчет_аналитики'!AG1643,MAX(0,'19_Расчет_аналитики'!AG1799)),0)</f>
        <v/>
      </c>
      <c r="AH1644">
        <f>IF(OR('01_Вводные'!$B$238="Нет",'19_Расчет_аналитики'!AH1639&gt;='19_Расчет_аналитики'!AH1351-0.01),MIN('19_Расчет_аналитики'!AH1643,MAX(0,'19_Расчет_аналитики'!AH1799)),0)</f>
        <v/>
      </c>
      <c r="AI1644">
        <f>IF(OR('01_Вводные'!$B$238="Нет",'19_Расчет_аналитики'!AI1639&gt;='19_Расчет_аналитики'!AI1351-0.01),MIN('19_Расчет_аналитики'!AI1643,MAX(0,'19_Расчет_аналитики'!AI1799)),0)</f>
        <v/>
      </c>
      <c r="AJ1644">
        <f>IF(OR('01_Вводные'!$B$238="Нет",'19_Расчет_аналитики'!AJ1639&gt;='19_Расчет_аналитики'!AJ1351-0.01),MIN('19_Расчет_аналитики'!AJ1643,MAX(0,'19_Расчет_аналитики'!AJ1799)),0)</f>
        <v/>
      </c>
      <c r="AK1644">
        <f>IF(OR('01_Вводные'!$B$238="Нет",'19_Расчет_аналитики'!AK1639&gt;='19_Расчет_аналитики'!AK1351-0.01),MIN('19_Расчет_аналитики'!AK1643,MAX(0,'19_Расчет_аналитики'!AK1799)),0)</f>
        <v/>
      </c>
      <c r="AL1644">
        <f>IF(OR('01_Вводные'!$B$238="Нет",'19_Расчет_аналитики'!AL1639&gt;='19_Расчет_аналитики'!AL1351-0.01),MIN('19_Расчет_аналитики'!AL1643,MAX(0,'19_Расчет_аналитики'!AL1799)),0)</f>
        <v/>
      </c>
      <c r="AM1644">
        <f>IF(OR('01_Вводные'!$B$238="Нет",'19_Расчет_аналитики'!AM1639&gt;='19_Расчет_аналитики'!AM1351-0.01),MIN('19_Расчет_аналитики'!AM1643,MAX(0,'19_Расчет_аналитики'!AM1799)),0)</f>
        <v/>
      </c>
      <c r="AN1644">
        <f>IF(OR('01_Вводные'!$B$238="Нет",'19_Расчет_аналитики'!AN1639&gt;='19_Расчет_аналитики'!AN1351-0.01),MIN('19_Расчет_аналитики'!AN1643,MAX(0,'19_Расчет_аналитики'!AN1799)),0)</f>
        <v/>
      </c>
      <c r="AO1644">
        <f>IF(OR('01_Вводные'!$B$238="Нет",'19_Расчет_аналитики'!AO1639&gt;='19_Расчет_аналитики'!AO1351-0.01),MIN('19_Расчет_аналитики'!AO1643,MAX(0,'19_Расчет_аналитики'!AO1799)),0)</f>
        <v/>
      </c>
      <c r="AP1644">
        <f>IF(OR('01_Вводные'!$B$238="Нет",'19_Расчет_аналитики'!AP1639&gt;='19_Расчет_аналитики'!AP1351-0.01),MIN('19_Расчет_аналитики'!AP1643,MAX(0,'19_Расчет_аналитики'!AP1799)),0)</f>
        <v/>
      </c>
      <c r="AQ1644">
        <f>IF(OR('01_Вводные'!$B$238="Нет",'19_Расчет_аналитики'!AQ1639&gt;='19_Расчет_аналитики'!AQ1351-0.01),MIN('19_Расчет_аналитики'!AQ1643,MAX(0,'19_Расчет_аналитики'!AQ1799)),0)</f>
        <v/>
      </c>
      <c r="AR1644">
        <f>IF(OR('01_Вводные'!$B$238="Нет",'19_Расчет_аналитики'!AR1639&gt;='19_Расчет_аналитики'!AR1351-0.01),MIN('19_Расчет_аналитики'!AR1643,MAX(0,'19_Расчет_аналитики'!AR1799)),0)</f>
        <v/>
      </c>
      <c r="AS1644">
        <f>IF(OR('01_Вводные'!$B$238="Нет",'19_Расчет_аналитики'!AS1639&gt;='19_Расчет_аналитики'!AS1351-0.01),MIN('19_Расчет_аналитики'!AS1643,MAX(0,'19_Расчет_аналитики'!AS1799)),0)</f>
        <v/>
      </c>
      <c r="AT1644">
        <f>IF(OR('01_Вводные'!$B$238="Нет",'19_Расчет_аналитики'!AT1639&gt;='19_Расчет_аналитики'!AT1351-0.01),MIN('19_Расчет_аналитики'!AT1643,MAX(0,'19_Расчет_аналитики'!AT1799)),0)</f>
        <v/>
      </c>
      <c r="AU1644">
        <f>IF(OR('01_Вводные'!$B$238="Нет",'19_Расчет_аналитики'!AU1639&gt;='19_Расчет_аналитики'!AU1351-0.01),MIN('19_Расчет_аналитики'!AU1643,MAX(0,'19_Расчет_аналитики'!AU1799)),0)</f>
        <v/>
      </c>
      <c r="AV1644">
        <f>IF(OR('01_Вводные'!$B$238="Нет",'19_Расчет_аналитики'!AV1639&gt;='19_Расчет_аналитики'!AV1351-0.01),MIN('19_Расчет_аналитики'!AV1643,MAX(0,'19_Расчет_аналитики'!AV1799)),0)</f>
        <v/>
      </c>
      <c r="AW1644">
        <f>IF(OR('01_Вводные'!$B$238="Нет",'19_Расчет_аналитики'!AW1639&gt;='19_Расчет_аналитики'!AW1351-0.01),MIN('19_Расчет_аналитики'!AW1643,MAX(0,'19_Расчет_аналитики'!AW1799)),0)</f>
        <v/>
      </c>
      <c r="AX1644">
        <f>IF(OR('01_Вводные'!$B$238="Нет",'19_Расчет_аналитики'!AX1639&gt;='19_Расчет_аналитики'!AX1351-0.01),MIN('19_Расчет_аналитики'!AX1643,MAX(0,'19_Расчет_аналитики'!AX1799)),0)</f>
        <v/>
      </c>
      <c r="AY1644">
        <f>IF(OR('01_Вводные'!$B$238="Нет",'19_Расчет_аналитики'!AY1639&gt;='19_Расчет_аналитики'!AY1351-0.01),MIN('19_Расчет_аналитики'!AY1643,MAX(0,'19_Расчет_аналитики'!AY1799)),0)</f>
        <v/>
      </c>
      <c r="AZ1644">
        <f>IF(OR('01_Вводные'!$B$238="Нет",'19_Расчет_аналитики'!AZ1639&gt;='19_Расчет_аналитики'!AZ1351-0.01),MIN('19_Расчет_аналитики'!AZ1643,MAX(0,'19_Расчет_аналитики'!AZ1799)),0)</f>
        <v/>
      </c>
      <c r="BA1644">
        <f>IF(OR('01_Вводные'!$B$238="Нет",'19_Расчет_аналитики'!BA1639&gt;='19_Расчет_аналитики'!BA1351-0.01),MIN('19_Расчет_аналитики'!BA1643,MAX(0,'19_Расчет_аналитики'!BA1799)),0)</f>
        <v/>
      </c>
      <c r="BB1644">
        <f>IF(OR('01_Вводные'!$B$238="Нет",'19_Расчет_аналитики'!BB1639&gt;='19_Расчет_аналитики'!BB1351-0.01),MIN('19_Расчет_аналитики'!BB1643,MAX(0,'19_Расчет_аналитики'!BB1799)),0)</f>
        <v/>
      </c>
      <c r="BC1644">
        <f>IF(OR('01_Вводные'!$B$238="Нет",'19_Расчет_аналитики'!BC1639&gt;='19_Расчет_аналитики'!BC1351-0.01),MIN('19_Расчет_аналитики'!BC1643,MAX(0,'19_Расчет_аналитики'!BC1799)),0)</f>
        <v/>
      </c>
      <c r="BD1644">
        <f>IF(OR('01_Вводные'!$B$238="Нет",'19_Расчет_аналитики'!BD1639&gt;='19_Расчет_аналитики'!BD1351-0.01),MIN('19_Расчет_аналитики'!BD1643,MAX(0,'19_Расчет_аналитики'!BD1799)),0)</f>
        <v/>
      </c>
      <c r="BE1644">
        <f>IF(OR('01_Вводные'!$B$238="Нет",'19_Расчет_аналитики'!BE1639&gt;='19_Расчет_аналитики'!BE1351-0.01),MIN('19_Расчет_аналитики'!BE1643,MAX(0,'19_Расчет_аналитики'!BE1799)),0)</f>
        <v/>
      </c>
      <c r="BF1644">
        <f>IF(OR('01_Вводные'!$B$238="Нет",'19_Расчет_аналитики'!BF1639&gt;='19_Расчет_аналитики'!BF1351-0.01),MIN('19_Расчет_аналитики'!BF1643,MAX(0,'19_Расчет_аналитики'!BF1799)),0)</f>
        <v/>
      </c>
      <c r="BG1644">
        <f>IF(OR('01_Вводные'!$B$238="Нет",'19_Расчет_аналитики'!BG1639&gt;='19_Расчет_аналитики'!BG1351-0.01),MIN('19_Расчет_аналитики'!BG1643,MAX(0,'19_Расчет_аналитики'!BG1799)),0)</f>
        <v/>
      </c>
      <c r="BH1644">
        <f>IF(OR('01_Вводные'!$B$238="Нет",'19_Расчет_аналитики'!BH1639&gt;='19_Расчет_аналитики'!BH1351-0.01),MIN('19_Расчет_аналитики'!BH1643,MAX(0,'19_Расчет_аналитики'!BH1799)),0)</f>
        <v/>
      </c>
      <c r="BI1644">
        <f>IF(OR('01_Вводные'!$B$238="Нет",'19_Расчет_аналитики'!BI1639&gt;='19_Расчет_аналитики'!BI1351-0.01),MIN('19_Расчет_аналитики'!BI1643,MAX(0,'19_Расчет_аналитики'!BI1799)),0)</f>
        <v/>
      </c>
    </row>
    <row r="1645">
      <c r="B1645">
        <f>MAX(0,'07_Мерч'!B29-'19_Расчет_аналитики'!B1644)</f>
        <v/>
      </c>
      <c r="C1645">
        <f>MAX(0,'19_Расчет_аналитики'!C1642-'19_Расчет_аналитики'!C1644)</f>
        <v/>
      </c>
      <c r="D1645">
        <f>MAX(0,'19_Расчет_аналитики'!D1642-'19_Расчет_аналитики'!D1644)</f>
        <v/>
      </c>
      <c r="E1645">
        <f>MAX(0,'19_Расчет_аналитики'!E1642-'19_Расчет_аналитики'!E1644)</f>
        <v/>
      </c>
      <c r="F1645">
        <f>MAX(0,'19_Расчет_аналитики'!F1642-'19_Расчет_аналитики'!F1644)</f>
        <v/>
      </c>
      <c r="G1645">
        <f>MAX(0,'19_Расчет_аналитики'!G1642-'19_Расчет_аналитики'!G1644)</f>
        <v/>
      </c>
      <c r="H1645">
        <f>MAX(0,'19_Расчет_аналитики'!H1642-'19_Расчет_аналитики'!H1644)</f>
        <v/>
      </c>
      <c r="I1645">
        <f>MAX(0,'19_Расчет_аналитики'!I1642-'19_Расчет_аналитики'!I1644)</f>
        <v/>
      </c>
      <c r="J1645">
        <f>MAX(0,'19_Расчет_аналитики'!J1642-'19_Расчет_аналитики'!J1644)</f>
        <v/>
      </c>
      <c r="K1645">
        <f>MAX(0,'19_Расчет_аналитики'!K1642-'19_Расчет_аналитики'!K1644)</f>
        <v/>
      </c>
      <c r="L1645">
        <f>MAX(0,'19_Расчет_аналитики'!L1642-'19_Расчет_аналитики'!L1644)</f>
        <v/>
      </c>
      <c r="M1645">
        <f>MAX(0,'19_Расчет_аналитики'!M1642-'19_Расчет_аналитики'!M1644)</f>
        <v/>
      </c>
      <c r="N1645">
        <f>MAX(0,'19_Расчет_аналитики'!N1642-'19_Расчет_аналитики'!N1644)</f>
        <v/>
      </c>
      <c r="O1645">
        <f>MAX(0,'19_Расчет_аналитики'!O1642-'19_Расчет_аналитики'!O1644)</f>
        <v/>
      </c>
      <c r="P1645">
        <f>MAX(0,'19_Расчет_аналитики'!P1642-'19_Расчет_аналитики'!P1644)</f>
        <v/>
      </c>
      <c r="Q1645">
        <f>MAX(0,'19_Расчет_аналитики'!Q1642-'19_Расчет_аналитики'!Q1644)</f>
        <v/>
      </c>
      <c r="R1645">
        <f>MAX(0,'19_Расчет_аналитики'!R1642-'19_Расчет_аналитики'!R1644)</f>
        <v/>
      </c>
      <c r="S1645">
        <f>MAX(0,'19_Расчет_аналитики'!S1642-'19_Расчет_аналитики'!S1644)</f>
        <v/>
      </c>
      <c r="T1645">
        <f>MAX(0,'19_Расчет_аналитики'!T1642-'19_Расчет_аналитики'!T1644)</f>
        <v/>
      </c>
      <c r="U1645">
        <f>MAX(0,'19_Расчет_аналитики'!U1642-'19_Расчет_аналитики'!U1644)</f>
        <v/>
      </c>
      <c r="V1645">
        <f>MAX(0,'19_Расчет_аналитики'!V1642-'19_Расчет_аналитики'!V1644)</f>
        <v/>
      </c>
      <c r="W1645">
        <f>MAX(0,'19_Расчет_аналитики'!W1642-'19_Расчет_аналитики'!W1644)</f>
        <v/>
      </c>
      <c r="X1645">
        <f>MAX(0,'19_Расчет_аналитики'!X1642-'19_Расчет_аналитики'!X1644)</f>
        <v/>
      </c>
      <c r="Y1645">
        <f>MAX(0,'19_Расчет_аналитики'!Y1642-'19_Расчет_аналитики'!Y1644)</f>
        <v/>
      </c>
      <c r="Z1645">
        <f>MAX(0,'19_Расчет_аналитики'!Z1642-'19_Расчет_аналитики'!Z1644)</f>
        <v/>
      </c>
      <c r="AA1645">
        <f>MAX(0,'19_Расчет_аналитики'!AA1642-'19_Расчет_аналитики'!AA1644)</f>
        <v/>
      </c>
      <c r="AB1645">
        <f>MAX(0,'19_Расчет_аналитики'!AB1642-'19_Расчет_аналитики'!AB1644)</f>
        <v/>
      </c>
      <c r="AC1645">
        <f>MAX(0,'19_Расчет_аналитики'!AC1642-'19_Расчет_аналитики'!AC1644)</f>
        <v/>
      </c>
      <c r="AD1645">
        <f>MAX(0,'19_Расчет_аналитики'!AD1642-'19_Расчет_аналитики'!AD1644)</f>
        <v/>
      </c>
      <c r="AE1645">
        <f>MAX(0,'19_Расчет_аналитики'!AE1642-'19_Расчет_аналитики'!AE1644)</f>
        <v/>
      </c>
      <c r="AF1645">
        <f>MAX(0,'19_Расчет_аналитики'!AF1642-'19_Расчет_аналитики'!AF1644)</f>
        <v/>
      </c>
      <c r="AG1645">
        <f>MAX(0,'19_Расчет_аналитики'!AG1642-'19_Расчет_аналитики'!AG1644)</f>
        <v/>
      </c>
      <c r="AH1645">
        <f>MAX(0,'19_Расчет_аналитики'!AH1642-'19_Расчет_аналитики'!AH1644)</f>
        <v/>
      </c>
      <c r="AI1645">
        <f>MAX(0,'19_Расчет_аналитики'!AI1642-'19_Расчет_аналитики'!AI1644)</f>
        <v/>
      </c>
      <c r="AJ1645">
        <f>MAX(0,'19_Расчет_аналитики'!AJ1642-'19_Расчет_аналитики'!AJ1644)</f>
        <v/>
      </c>
      <c r="AK1645">
        <f>MAX(0,'19_Расчет_аналитики'!AK1642-'19_Расчет_аналитики'!AK1644)</f>
        <v/>
      </c>
      <c r="AL1645">
        <f>MAX(0,'19_Расчет_аналитики'!AL1642-'19_Расчет_аналитики'!AL1644)</f>
        <v/>
      </c>
      <c r="AM1645">
        <f>MAX(0,'19_Расчет_аналитики'!AM1642-'19_Расчет_аналитики'!AM1644)</f>
        <v/>
      </c>
      <c r="AN1645">
        <f>MAX(0,'19_Расчет_аналитики'!AN1642-'19_Расчет_аналитики'!AN1644)</f>
        <v/>
      </c>
      <c r="AO1645">
        <f>MAX(0,'19_Расчет_аналитики'!AO1642-'19_Расчет_аналитики'!AO1644)</f>
        <v/>
      </c>
      <c r="AP1645">
        <f>MAX(0,'19_Расчет_аналитики'!AP1642-'19_Расчет_аналитики'!AP1644)</f>
        <v/>
      </c>
      <c r="AQ1645">
        <f>MAX(0,'19_Расчет_аналитики'!AQ1642-'19_Расчет_аналитики'!AQ1644)</f>
        <v/>
      </c>
      <c r="AR1645">
        <f>MAX(0,'19_Расчет_аналитики'!AR1642-'19_Расчет_аналитики'!AR1644)</f>
        <v/>
      </c>
      <c r="AS1645">
        <f>MAX(0,'19_Расчет_аналитики'!AS1642-'19_Расчет_аналитики'!AS1644)</f>
        <v/>
      </c>
      <c r="AT1645">
        <f>MAX(0,'19_Расчет_аналитики'!AT1642-'19_Расчет_аналитики'!AT1644)</f>
        <v/>
      </c>
      <c r="AU1645">
        <f>MAX(0,'19_Расчет_аналитики'!AU1642-'19_Расчет_аналитики'!AU1644)</f>
        <v/>
      </c>
      <c r="AV1645">
        <f>MAX(0,'19_Расчет_аналитики'!AV1642-'19_Расчет_аналитики'!AV1644)</f>
        <v/>
      </c>
      <c r="AW1645">
        <f>MAX(0,'19_Расчет_аналитики'!AW1642-'19_Расчет_аналитики'!AW1644)</f>
        <v/>
      </c>
      <c r="AX1645">
        <f>MAX(0,'19_Расчет_аналитики'!AX1642-'19_Расчет_аналитики'!AX1644)</f>
        <v/>
      </c>
      <c r="AY1645">
        <f>MAX(0,'19_Расчет_аналитики'!AY1642-'19_Расчет_аналитики'!AY1644)</f>
        <v/>
      </c>
      <c r="AZ1645">
        <f>MAX(0,'19_Расчет_аналитики'!AZ1642-'19_Расчет_аналитики'!AZ1644)</f>
        <v/>
      </c>
      <c r="BA1645">
        <f>MAX(0,'19_Расчет_аналитики'!BA1642-'19_Расчет_аналитики'!BA1644)</f>
        <v/>
      </c>
      <c r="BB1645">
        <f>MAX(0,'19_Расчет_аналитики'!BB1642-'19_Расчет_аналитики'!BB1644)</f>
        <v/>
      </c>
      <c r="BC1645">
        <f>MAX(0,'19_Расчет_аналитики'!BC1642-'19_Расчет_аналитики'!BC1644)</f>
        <v/>
      </c>
      <c r="BD1645">
        <f>MAX(0,'19_Расчет_аналитики'!BD1642-'19_Расчет_аналитики'!BD1644)</f>
        <v/>
      </c>
      <c r="BE1645">
        <f>MAX(0,'19_Расчет_аналитики'!BE1642-'19_Расчет_аналитики'!BE1644)</f>
        <v/>
      </c>
      <c r="BF1645">
        <f>MAX(0,'19_Расчет_аналитики'!BF1642-'19_Расчет_аналитики'!BF1644)</f>
        <v/>
      </c>
      <c r="BG1645">
        <f>MAX(0,'19_Расчет_аналитики'!BG1642-'19_Расчет_аналитики'!BG1644)</f>
        <v/>
      </c>
      <c r="BH1645">
        <f>MAX(0,'19_Расчет_аналитики'!BH1642-'19_Расчет_аналитики'!BH1644)</f>
        <v/>
      </c>
      <c r="BI1645">
        <f>MAX(0,'19_Расчет_аналитики'!BI1642-'19_Расчет_аналитики'!BI1644)</f>
        <v/>
      </c>
      <c r="BJ1645">
        <f>MAX(0,'19_Расчет_аналитики'!BJ1642-'07_Мерч'!BJ31)</f>
        <v/>
      </c>
      <c r="BK1645">
        <f>MAX(0,'19_Расчет_аналитики'!BK1642-'07_Мерч'!BK31)</f>
        <v/>
      </c>
      <c r="BL1645">
        <f>MAX(0,'19_Расчет_аналитики'!BL1642-'07_Мерч'!BL31)</f>
        <v/>
      </c>
      <c r="BM1645">
        <f>MAX(0,'19_Расчет_аналитики'!BM1642-'07_Мерч'!BM31)</f>
        <v/>
      </c>
      <c r="BN1645">
        <f>MAX(0,'19_Расчет_аналитики'!BN1642-'07_Мерч'!BN31)</f>
        <v/>
      </c>
      <c r="BO1645">
        <f>MAX(0,'19_Расчет_аналитики'!BO1642-'07_Мерч'!BO31)</f>
        <v/>
      </c>
    </row>
    <row r="1646"/>
    <row r="1647"/>
    <row r="1648"/>
    <row r="1649"/>
    <row r="1650"/>
    <row r="1651"/>
    <row r="1652"/>
    <row r="1653"/>
    <row r="1654"/>
    <row r="1655"/>
    <row r="1656"/>
    <row r="1657"/>
    <row r="1658"/>
    <row r="1659">
      <c r="C1659">
        <f>MAX(0,MAX('01_Вводные'!$B$118,INT('19_Расчет_аналитики'!C1719/'01_Вводные'!$B$117)+1)-'01_Вводные'!$B$118)</f>
        <v/>
      </c>
      <c r="D1659">
        <f>MAX(0,MAX('01_Вводные'!$B$118,INT('19_Расчет_аналитики'!D1719/'01_Вводные'!$B$117)+1)-'01_Вводные'!$B$118)</f>
        <v/>
      </c>
      <c r="E1659">
        <f>MAX(0,MAX('01_Вводные'!$B$118,INT('19_Расчет_аналитики'!E1719/'01_Вводные'!$B$117)+1)-'01_Вводные'!$B$118)</f>
        <v/>
      </c>
      <c r="F1659">
        <f>MAX(0,MAX('01_Вводные'!$B$118,INT('19_Расчет_аналитики'!F1719/'01_Вводные'!$B$117)+1)-'01_Вводные'!$B$118)</f>
        <v/>
      </c>
      <c r="G1659">
        <f>MAX(0,MAX('01_Вводные'!$B$118,INT('19_Расчет_аналитики'!G1719/'01_Вводные'!$B$117)+1)-'01_Вводные'!$B$118)</f>
        <v/>
      </c>
      <c r="H1659">
        <f>MAX(0,MAX('01_Вводные'!$B$118,INT('19_Расчет_аналитики'!H1719/'01_Вводные'!$B$117)+1)-'01_Вводные'!$B$118)</f>
        <v/>
      </c>
      <c r="I1659">
        <f>MAX(0,MAX('01_Вводные'!$B$118,INT('19_Расчет_аналитики'!I1719/'01_Вводные'!$B$117)+1)-'01_Вводные'!$B$118)</f>
        <v/>
      </c>
      <c r="J1659">
        <f>MAX(0,MAX('01_Вводные'!$B$118,INT('19_Расчет_аналитики'!J1719/'01_Вводные'!$B$117)+1)-'01_Вводные'!$B$118)</f>
        <v/>
      </c>
      <c r="K1659">
        <f>MAX(0,MAX('01_Вводные'!$B$118,INT('19_Расчет_аналитики'!K1719/'01_Вводные'!$B$117)+1)-'01_Вводные'!$B$118)</f>
        <v/>
      </c>
      <c r="L1659">
        <f>MAX(0,MAX('01_Вводные'!$B$118,INT('19_Расчет_аналитики'!L1719/'01_Вводные'!$B$117)+1)-'01_Вводные'!$B$118)</f>
        <v/>
      </c>
      <c r="M1659">
        <f>MAX(0,MAX('01_Вводные'!$B$118,INT('19_Расчет_аналитики'!M1719/'01_Вводные'!$B$117)+1)-'01_Вводные'!$B$118)</f>
        <v/>
      </c>
      <c r="N1659">
        <f>MAX(0,MAX('01_Вводные'!$B$118,INT('19_Расчет_аналитики'!N1719/'01_Вводные'!$B$117)+1)-'01_Вводные'!$B$118)</f>
        <v/>
      </c>
      <c r="O1659">
        <f>MAX(0,MAX('01_Вводные'!$B$118,INT('19_Расчет_аналитики'!O1719/'01_Вводные'!$B$117)+1)-'01_Вводные'!$B$118)</f>
        <v/>
      </c>
      <c r="P1659">
        <f>MAX(0,MAX('01_Вводные'!$B$118,INT('19_Расчет_аналитики'!P1719/'01_Вводные'!$B$117)+1)-'01_Вводные'!$B$118)</f>
        <v/>
      </c>
      <c r="Q1659">
        <f>MAX(0,MAX('01_Вводные'!$B$118,INT('19_Расчет_аналитики'!Q1719/'01_Вводные'!$B$117)+1)-'01_Вводные'!$B$118)</f>
        <v/>
      </c>
      <c r="R1659">
        <f>MAX(0,MAX('01_Вводные'!$B$118,INT('19_Расчет_аналитики'!R1719/'01_Вводные'!$B$117)+1)-'01_Вводные'!$B$118)</f>
        <v/>
      </c>
      <c r="S1659">
        <f>MAX(0,MAX('01_Вводные'!$B$118,INT('19_Расчет_аналитики'!S1719/'01_Вводные'!$B$117)+1)-'01_Вводные'!$B$118)</f>
        <v/>
      </c>
      <c r="T1659">
        <f>MAX(0,MAX('01_Вводные'!$B$118,INT('19_Расчет_аналитики'!T1719/'01_Вводные'!$B$117)+1)-'01_Вводные'!$B$118)</f>
        <v/>
      </c>
      <c r="U1659">
        <f>MAX(0,MAX('01_Вводные'!$B$118,INT('19_Расчет_аналитики'!U1719/'01_Вводные'!$B$117)+1)-'01_Вводные'!$B$118)</f>
        <v/>
      </c>
      <c r="V1659">
        <f>MAX(0,MAX('01_Вводные'!$B$118,INT('19_Расчет_аналитики'!V1719/'01_Вводные'!$B$117)+1)-'01_Вводные'!$B$118)</f>
        <v/>
      </c>
      <c r="W1659">
        <f>MAX(0,MAX('01_Вводные'!$B$118,INT('19_Расчет_аналитики'!W1719/'01_Вводные'!$B$117)+1)-'01_Вводные'!$B$118)</f>
        <v/>
      </c>
      <c r="X1659">
        <f>MAX(0,MAX('01_Вводные'!$B$118,INT('19_Расчет_аналитики'!X1719/'01_Вводные'!$B$117)+1)-'01_Вводные'!$B$118)</f>
        <v/>
      </c>
      <c r="Y1659">
        <f>MAX(0,MAX('01_Вводные'!$B$118,INT('19_Расчет_аналитики'!Y1719/'01_Вводные'!$B$117)+1)-'01_Вводные'!$B$118)</f>
        <v/>
      </c>
      <c r="Z1659">
        <f>MAX(0,MAX('01_Вводные'!$B$118,INT('19_Расчет_аналитики'!Z1719/'01_Вводные'!$B$117)+1)-'01_Вводные'!$B$118)</f>
        <v/>
      </c>
      <c r="AA1659">
        <f>MAX(0,MAX('01_Вводные'!$B$118,INT('19_Расчет_аналитики'!AA1719/'01_Вводные'!$B$117)+1)-'01_Вводные'!$B$118)</f>
        <v/>
      </c>
      <c r="AB1659">
        <f>MAX(0,MAX('01_Вводные'!$B$118,INT('19_Расчет_аналитики'!AB1719/'01_Вводные'!$B$117)+1)-'01_Вводные'!$B$118)</f>
        <v/>
      </c>
      <c r="AC1659">
        <f>MAX(0,MAX('01_Вводные'!$B$118,INT('19_Расчет_аналитики'!AC1719/'01_Вводные'!$B$117)+1)-'01_Вводные'!$B$118)</f>
        <v/>
      </c>
      <c r="AD1659">
        <f>MAX(0,MAX('01_Вводные'!$B$118,INT('19_Расчет_аналитики'!AD1719/'01_Вводные'!$B$117)+1)-'01_Вводные'!$B$118)</f>
        <v/>
      </c>
      <c r="AE1659">
        <f>MAX(0,MAX('01_Вводные'!$B$118,INT('19_Расчет_аналитики'!AE1719/'01_Вводные'!$B$117)+1)-'01_Вводные'!$B$118)</f>
        <v/>
      </c>
      <c r="AF1659">
        <f>MAX(0,MAX('01_Вводные'!$B$118,INT('19_Расчет_аналитики'!AF1719/'01_Вводные'!$B$117)+1)-'01_Вводные'!$B$118)</f>
        <v/>
      </c>
      <c r="AG1659">
        <f>MAX(0,MAX('01_Вводные'!$B$118,INT('19_Расчет_аналитики'!AG1719/'01_Вводные'!$B$117)+1)-'01_Вводные'!$B$118)</f>
        <v/>
      </c>
      <c r="AH1659">
        <f>MAX(0,MAX('01_Вводные'!$B$118,INT('19_Расчет_аналитики'!AH1719/'01_Вводные'!$B$117)+1)-'01_Вводные'!$B$118)</f>
        <v/>
      </c>
      <c r="AI1659">
        <f>MAX(0,MAX('01_Вводные'!$B$118,INT('19_Расчет_аналитики'!AI1719/'01_Вводные'!$B$117)+1)-'01_Вводные'!$B$118)</f>
        <v/>
      </c>
      <c r="AJ1659">
        <f>MAX(0,MAX('01_Вводные'!$B$118,INT('19_Расчет_аналитики'!AJ1719/'01_Вводные'!$B$117)+1)-'01_Вводные'!$B$118)</f>
        <v/>
      </c>
      <c r="AK1659">
        <f>MAX(0,MAX('01_Вводные'!$B$118,INT('19_Расчет_аналитики'!AK1719/'01_Вводные'!$B$117)+1)-'01_Вводные'!$B$118)</f>
        <v/>
      </c>
      <c r="AL1659">
        <f>MAX(0,MAX('01_Вводные'!$B$118,INT('19_Расчет_аналитики'!AL1719/'01_Вводные'!$B$117)+1)-'01_Вводные'!$B$118)</f>
        <v/>
      </c>
      <c r="AM1659">
        <f>MAX(0,MAX('01_Вводные'!$B$118,INT('19_Расчет_аналитики'!AM1719/'01_Вводные'!$B$117)+1)-'01_Вводные'!$B$118)</f>
        <v/>
      </c>
      <c r="AN1659">
        <f>MAX(0,MAX('01_Вводные'!$B$118,INT('19_Расчет_аналитики'!AN1719/'01_Вводные'!$B$117)+1)-'01_Вводные'!$B$118)</f>
        <v/>
      </c>
      <c r="AO1659">
        <f>MAX(0,MAX('01_Вводные'!$B$118,INT('19_Расчет_аналитики'!AO1719/'01_Вводные'!$B$117)+1)-'01_Вводные'!$B$118)</f>
        <v/>
      </c>
      <c r="AP1659">
        <f>MAX(0,MAX('01_Вводные'!$B$118,INT('19_Расчет_аналитики'!AP1719/'01_Вводные'!$B$117)+1)-'01_Вводные'!$B$118)</f>
        <v/>
      </c>
      <c r="AQ1659">
        <f>MAX(0,MAX('01_Вводные'!$B$118,INT('19_Расчет_аналитики'!AQ1719/'01_Вводные'!$B$117)+1)-'01_Вводные'!$B$118)</f>
        <v/>
      </c>
      <c r="AR1659">
        <f>MAX(0,MAX('01_Вводные'!$B$118,INT('19_Расчет_аналитики'!AR1719/'01_Вводные'!$B$117)+1)-'01_Вводные'!$B$118)</f>
        <v/>
      </c>
      <c r="AS1659">
        <f>MAX(0,MAX('01_Вводные'!$B$118,INT('19_Расчет_аналитики'!AS1719/'01_Вводные'!$B$117)+1)-'01_Вводные'!$B$118)</f>
        <v/>
      </c>
      <c r="AT1659">
        <f>MAX(0,MAX('01_Вводные'!$B$118,INT('19_Расчет_аналитики'!AT1719/'01_Вводные'!$B$117)+1)-'01_Вводные'!$B$118)</f>
        <v/>
      </c>
      <c r="AU1659">
        <f>MAX(0,MAX('01_Вводные'!$B$118,INT('19_Расчет_аналитики'!AU1719/'01_Вводные'!$B$117)+1)-'01_Вводные'!$B$118)</f>
        <v/>
      </c>
      <c r="AV1659">
        <f>MAX(0,MAX('01_Вводные'!$B$118,INT('19_Расчет_аналитики'!AV1719/'01_Вводные'!$B$117)+1)-'01_Вводные'!$B$118)</f>
        <v/>
      </c>
      <c r="AW1659">
        <f>MAX(0,MAX('01_Вводные'!$B$118,INT('19_Расчет_аналитики'!AW1719/'01_Вводные'!$B$117)+1)-'01_Вводные'!$B$118)</f>
        <v/>
      </c>
      <c r="AX1659">
        <f>MAX(0,MAX('01_Вводные'!$B$118,INT('19_Расчет_аналитики'!AX1719/'01_Вводные'!$B$117)+1)-'01_Вводные'!$B$118)</f>
        <v/>
      </c>
      <c r="AY1659">
        <f>MAX(0,MAX('01_Вводные'!$B$118,INT('19_Расчет_аналитики'!AY1719/'01_Вводные'!$B$117)+1)-'01_Вводные'!$B$118)</f>
        <v/>
      </c>
      <c r="AZ1659">
        <f>MAX(0,MAX('01_Вводные'!$B$118,INT('19_Расчет_аналитики'!AZ1719/'01_Вводные'!$B$117)+1)-'01_Вводные'!$B$118)</f>
        <v/>
      </c>
      <c r="BA1659">
        <f>MAX(0,MAX('01_Вводные'!$B$118,INT('19_Расчет_аналитики'!BA1719/'01_Вводные'!$B$117)+1)-'01_Вводные'!$B$118)</f>
        <v/>
      </c>
      <c r="BB1659">
        <f>MAX(0,MAX('01_Вводные'!$B$118,INT('19_Расчет_аналитики'!BB1719/'01_Вводные'!$B$117)+1)-'01_Вводные'!$B$118)</f>
        <v/>
      </c>
      <c r="BC1659">
        <f>MAX(0,MAX('01_Вводные'!$B$118,INT('19_Расчет_аналитики'!BC1719/'01_Вводные'!$B$117)+1)-'01_Вводные'!$B$118)</f>
        <v/>
      </c>
      <c r="BD1659">
        <f>MAX(0,MAX('01_Вводные'!$B$118,INT('19_Расчет_аналитики'!BD1719/'01_Вводные'!$B$117)+1)-'01_Вводные'!$B$118)</f>
        <v/>
      </c>
      <c r="BE1659">
        <f>MAX(0,MAX('01_Вводные'!$B$118,INT('19_Расчет_аналитики'!BE1719/'01_Вводные'!$B$117)+1)-'01_Вводные'!$B$118)</f>
        <v/>
      </c>
      <c r="BF1659">
        <f>MAX(0,MAX('01_Вводные'!$B$118,INT('19_Расчет_аналитики'!BF1719/'01_Вводные'!$B$117)+1)-'01_Вводные'!$B$118)</f>
        <v/>
      </c>
      <c r="BG1659">
        <f>MAX(0,MAX('01_Вводные'!$B$118,INT('19_Расчет_аналитики'!BG1719/'01_Вводные'!$B$117)+1)-'01_Вводные'!$B$118)</f>
        <v/>
      </c>
      <c r="BH1659">
        <f>MAX(0,MAX('01_Вводные'!$B$118,INT('19_Расчет_аналитики'!BH1719/'01_Вводные'!$B$117)+1)-'01_Вводные'!$B$118)</f>
        <v/>
      </c>
      <c r="BI1659">
        <f>MAX(0,MAX('01_Вводные'!$B$118,INT('19_Расчет_аналитики'!BI1719/'01_Вводные'!$B$117)+1)-'01_Вводные'!$B$118)</f>
        <v/>
      </c>
    </row>
    <row r="1660">
      <c r="C1660">
        <f>'19_Расчет_аналитики'!C1659*'01_Вводные'!$B$119*'08_ФОТ'!C5</f>
        <v/>
      </c>
      <c r="D1660">
        <f>'19_Расчет_аналитики'!D1659*'01_Вводные'!$B$119*'08_ФОТ'!D5</f>
        <v/>
      </c>
      <c r="E1660">
        <f>'19_Расчет_аналитики'!E1659*'01_Вводные'!$B$119*'08_ФОТ'!E5</f>
        <v/>
      </c>
      <c r="F1660">
        <f>'19_Расчет_аналитики'!F1659*'01_Вводные'!$B$119*'08_ФОТ'!F5</f>
        <v/>
      </c>
      <c r="G1660">
        <f>'19_Расчет_аналитики'!G1659*'01_Вводные'!$B$119*'08_ФОТ'!G5</f>
        <v/>
      </c>
      <c r="H1660">
        <f>'19_Расчет_аналитики'!H1659*'01_Вводные'!$B$119*'08_ФОТ'!H5</f>
        <v/>
      </c>
      <c r="I1660">
        <f>'19_Расчет_аналитики'!I1659*'01_Вводные'!$B$119*'08_ФОТ'!I5</f>
        <v/>
      </c>
      <c r="J1660">
        <f>'19_Расчет_аналитики'!J1659*'01_Вводные'!$B$119*'08_ФОТ'!J5</f>
        <v/>
      </c>
      <c r="K1660">
        <f>'19_Расчет_аналитики'!K1659*'01_Вводные'!$B$119*'08_ФОТ'!K5</f>
        <v/>
      </c>
      <c r="L1660">
        <f>'19_Расчет_аналитики'!L1659*'01_Вводные'!$B$119*'08_ФОТ'!L5</f>
        <v/>
      </c>
      <c r="M1660">
        <f>'19_Расчет_аналитики'!M1659*'01_Вводные'!$B$119*'08_ФОТ'!M5</f>
        <v/>
      </c>
      <c r="N1660">
        <f>'19_Расчет_аналитики'!N1659*'01_Вводные'!$B$119*'08_ФОТ'!N5</f>
        <v/>
      </c>
      <c r="O1660">
        <f>'19_Расчет_аналитики'!O1659*'01_Вводные'!$B$119*'08_ФОТ'!O5</f>
        <v/>
      </c>
      <c r="P1660">
        <f>'19_Расчет_аналитики'!P1659*'01_Вводные'!$B$119*'08_ФОТ'!P5</f>
        <v/>
      </c>
      <c r="Q1660">
        <f>'19_Расчет_аналитики'!Q1659*'01_Вводные'!$B$119*'08_ФОТ'!Q5</f>
        <v/>
      </c>
      <c r="R1660">
        <f>'19_Расчет_аналитики'!R1659*'01_Вводные'!$B$119*'08_ФОТ'!R5</f>
        <v/>
      </c>
      <c r="S1660">
        <f>'19_Расчет_аналитики'!S1659*'01_Вводные'!$B$119*'08_ФОТ'!S5</f>
        <v/>
      </c>
      <c r="T1660">
        <f>'19_Расчет_аналитики'!T1659*'01_Вводные'!$B$119*'08_ФОТ'!T5</f>
        <v/>
      </c>
      <c r="U1660">
        <f>'19_Расчет_аналитики'!U1659*'01_Вводные'!$B$119*'08_ФОТ'!U5</f>
        <v/>
      </c>
      <c r="V1660">
        <f>'19_Расчет_аналитики'!V1659*'01_Вводные'!$B$119*'08_ФОТ'!V5</f>
        <v/>
      </c>
      <c r="W1660">
        <f>'19_Расчет_аналитики'!W1659*'01_Вводные'!$B$119*'08_ФОТ'!W5</f>
        <v/>
      </c>
      <c r="X1660">
        <f>'19_Расчет_аналитики'!X1659*'01_Вводные'!$B$119*'08_ФОТ'!X5</f>
        <v/>
      </c>
      <c r="Y1660">
        <f>'19_Расчет_аналитики'!Y1659*'01_Вводные'!$B$119*'08_ФОТ'!Y5</f>
        <v/>
      </c>
      <c r="Z1660">
        <f>'19_Расчет_аналитики'!Z1659*'01_Вводные'!$B$119*'08_ФОТ'!Z5</f>
        <v/>
      </c>
      <c r="AA1660">
        <f>'19_Расчет_аналитики'!AA1659*'01_Вводные'!$B$119*'08_ФОТ'!AA5</f>
        <v/>
      </c>
      <c r="AB1660">
        <f>'19_Расчет_аналитики'!AB1659*'01_Вводные'!$B$119*'08_ФОТ'!AB5</f>
        <v/>
      </c>
      <c r="AC1660">
        <f>'19_Расчет_аналитики'!AC1659*'01_Вводные'!$B$119*'08_ФОТ'!AC5</f>
        <v/>
      </c>
      <c r="AD1660">
        <f>'19_Расчет_аналитики'!AD1659*'01_Вводные'!$B$119*'08_ФОТ'!AD5</f>
        <v/>
      </c>
      <c r="AE1660">
        <f>'19_Расчет_аналитики'!AE1659*'01_Вводные'!$B$119*'08_ФОТ'!AE5</f>
        <v/>
      </c>
      <c r="AF1660">
        <f>'19_Расчет_аналитики'!AF1659*'01_Вводные'!$B$119*'08_ФОТ'!AF5</f>
        <v/>
      </c>
      <c r="AG1660">
        <f>'19_Расчет_аналитики'!AG1659*'01_Вводные'!$B$119*'08_ФОТ'!AG5</f>
        <v/>
      </c>
      <c r="AH1660">
        <f>'19_Расчет_аналитики'!AH1659*'01_Вводные'!$B$119*'08_ФОТ'!AH5</f>
        <v/>
      </c>
      <c r="AI1660">
        <f>'19_Расчет_аналитики'!AI1659*'01_Вводные'!$B$119*'08_ФОТ'!AI5</f>
        <v/>
      </c>
      <c r="AJ1660">
        <f>'19_Расчет_аналитики'!AJ1659*'01_Вводные'!$B$119*'08_ФОТ'!AJ5</f>
        <v/>
      </c>
      <c r="AK1660">
        <f>'19_Расчет_аналитики'!AK1659*'01_Вводные'!$B$119*'08_ФОТ'!AK5</f>
        <v/>
      </c>
      <c r="AL1660">
        <f>'19_Расчет_аналитики'!AL1659*'01_Вводные'!$B$119*'08_ФОТ'!AL5</f>
        <v/>
      </c>
      <c r="AM1660">
        <f>'19_Расчет_аналитики'!AM1659*'01_Вводные'!$B$119*'08_ФОТ'!AM5</f>
        <v/>
      </c>
      <c r="AN1660">
        <f>'19_Расчет_аналитики'!AN1659*'01_Вводные'!$B$119*'08_ФОТ'!AN5</f>
        <v/>
      </c>
      <c r="AO1660">
        <f>'19_Расчет_аналитики'!AO1659*'01_Вводные'!$B$119*'08_ФОТ'!AO5</f>
        <v/>
      </c>
      <c r="AP1660">
        <f>'19_Расчет_аналитики'!AP1659*'01_Вводные'!$B$119*'08_ФОТ'!AP5</f>
        <v/>
      </c>
      <c r="AQ1660">
        <f>'19_Расчет_аналитики'!AQ1659*'01_Вводные'!$B$119*'08_ФОТ'!AQ5</f>
        <v/>
      </c>
      <c r="AR1660">
        <f>'19_Расчет_аналитики'!AR1659*'01_Вводные'!$B$119*'08_ФОТ'!AR5</f>
        <v/>
      </c>
      <c r="AS1660">
        <f>'19_Расчет_аналитики'!AS1659*'01_Вводные'!$B$119*'08_ФОТ'!AS5</f>
        <v/>
      </c>
      <c r="AT1660">
        <f>'19_Расчет_аналитики'!AT1659*'01_Вводные'!$B$119*'08_ФОТ'!AT5</f>
        <v/>
      </c>
      <c r="AU1660">
        <f>'19_Расчет_аналитики'!AU1659*'01_Вводные'!$B$119*'08_ФОТ'!AU5</f>
        <v/>
      </c>
      <c r="AV1660">
        <f>'19_Расчет_аналитики'!AV1659*'01_Вводные'!$B$119*'08_ФОТ'!AV5</f>
        <v/>
      </c>
      <c r="AW1660">
        <f>'19_Расчет_аналитики'!AW1659*'01_Вводные'!$B$119*'08_ФОТ'!AW5</f>
        <v/>
      </c>
      <c r="AX1660">
        <f>'19_Расчет_аналитики'!AX1659*'01_Вводные'!$B$119*'08_ФОТ'!AX5</f>
        <v/>
      </c>
      <c r="AY1660">
        <f>'19_Расчет_аналитики'!AY1659*'01_Вводные'!$B$119*'08_ФОТ'!AY5</f>
        <v/>
      </c>
      <c r="AZ1660">
        <f>'19_Расчет_аналитики'!AZ1659*'01_Вводные'!$B$119*'08_ФОТ'!AZ5</f>
        <v/>
      </c>
      <c r="BA1660">
        <f>'19_Расчет_аналитики'!BA1659*'01_Вводные'!$B$119*'08_ФОТ'!BA5</f>
        <v/>
      </c>
      <c r="BB1660">
        <f>'19_Расчет_аналитики'!BB1659*'01_Вводные'!$B$119*'08_ФОТ'!BB5</f>
        <v/>
      </c>
      <c r="BC1660">
        <f>'19_Расчет_аналитики'!BC1659*'01_Вводные'!$B$119*'08_ФОТ'!BC5</f>
        <v/>
      </c>
      <c r="BD1660">
        <f>'19_Расчет_аналитики'!BD1659*'01_Вводные'!$B$119*'08_ФОТ'!BD5</f>
        <v/>
      </c>
      <c r="BE1660">
        <f>'19_Расчет_аналитики'!BE1659*'01_Вводные'!$B$119*'08_ФОТ'!BE5</f>
        <v/>
      </c>
      <c r="BF1660">
        <f>'19_Расчет_аналитики'!BF1659*'01_Вводные'!$B$119*'08_ФОТ'!BF5</f>
        <v/>
      </c>
      <c r="BG1660">
        <f>'19_Расчет_аналитики'!BG1659*'01_Вводные'!$B$119*'08_ФОТ'!BG5</f>
        <v/>
      </c>
      <c r="BH1660">
        <f>'19_Расчет_аналитики'!BH1659*'01_Вводные'!$B$119*'08_ФОТ'!BH5</f>
        <v/>
      </c>
      <c r="BI1660">
        <f>'19_Расчет_аналитики'!BI1659*'01_Вводные'!$B$119*'08_ФОТ'!BI5</f>
        <v/>
      </c>
    </row>
    <row r="1661">
      <c r="C1661">
        <f>SUM('08_ФОТ'!C7:C9,'19_Расчет_аналитики'!C1660)</f>
        <v/>
      </c>
      <c r="D1661">
        <f>SUM('08_ФОТ'!D7:D9,'19_Расчет_аналитики'!D1660)</f>
        <v/>
      </c>
      <c r="E1661">
        <f>SUM('08_ФОТ'!E7:E9,'19_Расчет_аналитики'!E1660)</f>
        <v/>
      </c>
      <c r="F1661">
        <f>SUM('08_ФОТ'!F7:F9,'19_Расчет_аналитики'!F1660)</f>
        <v/>
      </c>
      <c r="G1661">
        <f>SUM('08_ФОТ'!G7:G9,'19_Расчет_аналитики'!G1660)</f>
        <v/>
      </c>
      <c r="H1661">
        <f>SUM('08_ФОТ'!H7:H9,'19_Расчет_аналитики'!H1660)</f>
        <v/>
      </c>
      <c r="I1661">
        <f>SUM('08_ФОТ'!I7:I9,'19_Расчет_аналитики'!I1660)</f>
        <v/>
      </c>
      <c r="J1661">
        <f>SUM('08_ФОТ'!J7:J9,'19_Расчет_аналитики'!J1660)</f>
        <v/>
      </c>
      <c r="K1661">
        <f>SUM('08_ФОТ'!K7:K9,'19_Расчет_аналитики'!K1660)</f>
        <v/>
      </c>
      <c r="L1661">
        <f>SUM('08_ФОТ'!L7:L9,'19_Расчет_аналитики'!L1660)</f>
        <v/>
      </c>
      <c r="M1661">
        <f>SUM('08_ФОТ'!M7:M9,'19_Расчет_аналитики'!M1660)</f>
        <v/>
      </c>
      <c r="N1661">
        <f>SUM('08_ФОТ'!N7:N9,'19_Расчет_аналитики'!N1660)</f>
        <v/>
      </c>
      <c r="O1661">
        <f>SUM('08_ФОТ'!O7:O9,'19_Расчет_аналитики'!O1660)</f>
        <v/>
      </c>
      <c r="P1661">
        <f>SUM('08_ФОТ'!P7:P9,'19_Расчет_аналитики'!P1660)</f>
        <v/>
      </c>
      <c r="Q1661">
        <f>SUM('08_ФОТ'!Q7:Q9,'19_Расчет_аналитики'!Q1660)</f>
        <v/>
      </c>
      <c r="R1661">
        <f>SUM('08_ФОТ'!R7:R9,'19_Расчет_аналитики'!R1660)</f>
        <v/>
      </c>
      <c r="S1661">
        <f>SUM('08_ФОТ'!S7:S9,'19_Расчет_аналитики'!S1660)</f>
        <v/>
      </c>
      <c r="T1661">
        <f>SUM('08_ФОТ'!T7:T9,'19_Расчет_аналитики'!T1660)</f>
        <v/>
      </c>
      <c r="U1661">
        <f>SUM('08_ФОТ'!U7:U9,'19_Расчет_аналитики'!U1660)</f>
        <v/>
      </c>
      <c r="V1661">
        <f>SUM('08_ФОТ'!V7:V9,'19_Расчет_аналитики'!V1660)</f>
        <v/>
      </c>
      <c r="W1661">
        <f>SUM('08_ФОТ'!W7:W9,'19_Расчет_аналитики'!W1660)</f>
        <v/>
      </c>
      <c r="X1661">
        <f>SUM('08_ФОТ'!X7:X9,'19_Расчет_аналитики'!X1660)</f>
        <v/>
      </c>
      <c r="Y1661">
        <f>SUM('08_ФОТ'!Y7:Y9,'19_Расчет_аналитики'!Y1660)</f>
        <v/>
      </c>
      <c r="Z1661">
        <f>SUM('08_ФОТ'!Z7:Z9,'19_Расчет_аналитики'!Z1660)</f>
        <v/>
      </c>
      <c r="AA1661">
        <f>SUM('08_ФОТ'!AA7:AA9,'19_Расчет_аналитики'!AA1660)</f>
        <v/>
      </c>
      <c r="AB1661">
        <f>SUM('08_ФОТ'!AB7:AB9,'19_Расчет_аналитики'!AB1660)</f>
        <v/>
      </c>
      <c r="AC1661">
        <f>SUM('08_ФОТ'!AC7:AC9,'19_Расчет_аналитики'!AC1660)</f>
        <v/>
      </c>
      <c r="AD1661">
        <f>SUM('08_ФОТ'!AD7:AD9,'19_Расчет_аналитики'!AD1660)</f>
        <v/>
      </c>
      <c r="AE1661">
        <f>SUM('08_ФОТ'!AE7:AE9,'19_Расчет_аналитики'!AE1660)</f>
        <v/>
      </c>
      <c r="AF1661">
        <f>SUM('08_ФОТ'!AF7:AF9,'19_Расчет_аналитики'!AF1660)</f>
        <v/>
      </c>
      <c r="AG1661">
        <f>SUM('08_ФОТ'!AG7:AG9,'19_Расчет_аналитики'!AG1660)</f>
        <v/>
      </c>
      <c r="AH1661">
        <f>SUM('08_ФОТ'!AH7:AH9,'19_Расчет_аналитики'!AH1660)</f>
        <v/>
      </c>
      <c r="AI1661">
        <f>SUM('08_ФОТ'!AI7:AI9,'19_Расчет_аналитики'!AI1660)</f>
        <v/>
      </c>
      <c r="AJ1661">
        <f>SUM('08_ФОТ'!AJ7:AJ9,'19_Расчет_аналитики'!AJ1660)</f>
        <v/>
      </c>
      <c r="AK1661">
        <f>SUM('08_ФОТ'!AK7:AK9,'19_Расчет_аналитики'!AK1660)</f>
        <v/>
      </c>
      <c r="AL1661">
        <f>SUM('08_ФОТ'!AL7:AL9,'19_Расчет_аналитики'!AL1660)</f>
        <v/>
      </c>
      <c r="AM1661">
        <f>SUM('08_ФОТ'!AM7:AM9,'19_Расчет_аналитики'!AM1660)</f>
        <v/>
      </c>
      <c r="AN1661">
        <f>SUM('08_ФОТ'!AN7:AN9,'19_Расчет_аналитики'!AN1660)</f>
        <v/>
      </c>
      <c r="AO1661">
        <f>SUM('08_ФОТ'!AO7:AO9,'19_Расчет_аналитики'!AO1660)</f>
        <v/>
      </c>
      <c r="AP1661">
        <f>SUM('08_ФОТ'!AP7:AP9,'19_Расчет_аналитики'!AP1660)</f>
        <v/>
      </c>
      <c r="AQ1661">
        <f>SUM('08_ФОТ'!AQ7:AQ9,'19_Расчет_аналитики'!AQ1660)</f>
        <v/>
      </c>
      <c r="AR1661">
        <f>SUM('08_ФОТ'!AR7:AR9,'19_Расчет_аналитики'!AR1660)</f>
        <v/>
      </c>
      <c r="AS1661">
        <f>SUM('08_ФОТ'!AS7:AS9,'19_Расчет_аналитики'!AS1660)</f>
        <v/>
      </c>
      <c r="AT1661">
        <f>SUM('08_ФОТ'!AT7:AT9,'19_Расчет_аналитики'!AT1660)</f>
        <v/>
      </c>
      <c r="AU1661">
        <f>SUM('08_ФОТ'!AU7:AU9,'19_Расчет_аналитики'!AU1660)</f>
        <v/>
      </c>
      <c r="AV1661">
        <f>SUM('08_ФОТ'!AV7:AV9,'19_Расчет_аналитики'!AV1660)</f>
        <v/>
      </c>
      <c r="AW1661">
        <f>SUM('08_ФОТ'!AW7:AW9,'19_Расчет_аналитики'!AW1660)</f>
        <v/>
      </c>
      <c r="AX1661">
        <f>SUM('08_ФОТ'!AX7:AX9,'19_Расчет_аналитики'!AX1660)</f>
        <v/>
      </c>
      <c r="AY1661">
        <f>SUM('08_ФОТ'!AY7:AY9,'19_Расчет_аналитики'!AY1660)</f>
        <v/>
      </c>
      <c r="AZ1661">
        <f>SUM('08_ФОТ'!AZ7:AZ9,'19_Расчет_аналитики'!AZ1660)</f>
        <v/>
      </c>
      <c r="BA1661">
        <f>SUM('08_ФОТ'!BA7:BA9,'19_Расчет_аналитики'!BA1660)</f>
        <v/>
      </c>
      <c r="BB1661">
        <f>SUM('08_ФОТ'!BB7:BB9,'19_Расчет_аналитики'!BB1660)</f>
        <v/>
      </c>
      <c r="BC1661">
        <f>SUM('08_ФОТ'!BC7:BC9,'19_Расчет_аналитики'!BC1660)</f>
        <v/>
      </c>
      <c r="BD1661">
        <f>SUM('08_ФОТ'!BD7:BD9,'19_Расчет_аналитики'!BD1660)</f>
        <v/>
      </c>
      <c r="BE1661">
        <f>SUM('08_ФОТ'!BE7:BE9,'19_Расчет_аналитики'!BE1660)</f>
        <v/>
      </c>
      <c r="BF1661">
        <f>SUM('08_ФОТ'!BF7:BF9,'19_Расчет_аналитики'!BF1660)</f>
        <v/>
      </c>
      <c r="BG1661">
        <f>SUM('08_ФОТ'!BG7:BG9,'19_Расчет_аналитики'!BG1660)</f>
        <v/>
      </c>
      <c r="BH1661">
        <f>SUM('08_ФОТ'!BH7:BH9,'19_Расчет_аналитики'!BH1660)</f>
        <v/>
      </c>
      <c r="BI1661">
        <f>SUM('08_ФОТ'!BI7:BI9,'19_Расчет_аналитики'!BI1660)</f>
        <v/>
      </c>
    </row>
    <row r="1662">
      <c r="C1662">
        <f>'19_Расчет_аналитики'!C1661*'01_Вводные'!$B$131</f>
        <v/>
      </c>
      <c r="D1662">
        <f>'19_Расчет_аналитики'!D1661*'01_Вводные'!$B$131</f>
        <v/>
      </c>
      <c r="E1662">
        <f>'19_Расчет_аналитики'!E1661*'01_Вводные'!$B$131</f>
        <v/>
      </c>
      <c r="F1662">
        <f>'19_Расчет_аналитики'!F1661*'01_Вводные'!$B$131</f>
        <v/>
      </c>
      <c r="G1662">
        <f>'19_Расчет_аналитики'!G1661*'01_Вводные'!$B$131</f>
        <v/>
      </c>
      <c r="H1662">
        <f>'19_Расчет_аналитики'!H1661*'01_Вводные'!$B$131</f>
        <v/>
      </c>
      <c r="I1662">
        <f>'19_Расчет_аналитики'!I1661*'01_Вводные'!$B$131</f>
        <v/>
      </c>
      <c r="J1662">
        <f>'19_Расчет_аналитики'!J1661*'01_Вводные'!$B$131</f>
        <v/>
      </c>
      <c r="K1662">
        <f>'19_Расчет_аналитики'!K1661*'01_Вводные'!$B$131</f>
        <v/>
      </c>
      <c r="L1662">
        <f>'19_Расчет_аналитики'!L1661*'01_Вводные'!$B$131</f>
        <v/>
      </c>
      <c r="M1662">
        <f>'19_Расчет_аналитики'!M1661*'01_Вводные'!$B$131</f>
        <v/>
      </c>
      <c r="N1662">
        <f>'19_Расчет_аналитики'!N1661*'01_Вводные'!$B$131</f>
        <v/>
      </c>
      <c r="O1662">
        <f>'19_Расчет_аналитики'!O1661*'01_Вводные'!$B$131</f>
        <v/>
      </c>
      <c r="P1662">
        <f>'19_Расчет_аналитики'!P1661*'01_Вводные'!$B$131</f>
        <v/>
      </c>
      <c r="Q1662">
        <f>'19_Расчет_аналитики'!Q1661*'01_Вводные'!$B$131</f>
        <v/>
      </c>
      <c r="R1662">
        <f>'19_Расчет_аналитики'!R1661*'01_Вводные'!$B$131</f>
        <v/>
      </c>
      <c r="S1662">
        <f>'19_Расчет_аналитики'!S1661*'01_Вводные'!$B$131</f>
        <v/>
      </c>
      <c r="T1662">
        <f>'19_Расчет_аналитики'!T1661*'01_Вводные'!$B$131</f>
        <v/>
      </c>
      <c r="U1662">
        <f>'19_Расчет_аналитики'!U1661*'01_Вводные'!$B$131</f>
        <v/>
      </c>
      <c r="V1662">
        <f>'19_Расчет_аналитики'!V1661*'01_Вводные'!$B$131</f>
        <v/>
      </c>
      <c r="W1662">
        <f>'19_Расчет_аналитики'!W1661*'01_Вводные'!$B$131</f>
        <v/>
      </c>
      <c r="X1662">
        <f>'19_Расчет_аналитики'!X1661*'01_Вводные'!$B$131</f>
        <v/>
      </c>
      <c r="Y1662">
        <f>'19_Расчет_аналитики'!Y1661*'01_Вводные'!$B$131</f>
        <v/>
      </c>
      <c r="Z1662">
        <f>'19_Расчет_аналитики'!Z1661*'01_Вводные'!$B$131</f>
        <v/>
      </c>
      <c r="AA1662">
        <f>'19_Расчет_аналитики'!AA1661*'01_Вводные'!$B$131</f>
        <v/>
      </c>
      <c r="AB1662">
        <f>'19_Расчет_аналитики'!AB1661*'01_Вводные'!$B$131</f>
        <v/>
      </c>
      <c r="AC1662">
        <f>'19_Расчет_аналитики'!AC1661*'01_Вводные'!$B$131</f>
        <v/>
      </c>
      <c r="AD1662">
        <f>'19_Расчет_аналитики'!AD1661*'01_Вводные'!$B$131</f>
        <v/>
      </c>
      <c r="AE1662">
        <f>'19_Расчет_аналитики'!AE1661*'01_Вводные'!$B$131</f>
        <v/>
      </c>
      <c r="AF1662">
        <f>'19_Расчет_аналитики'!AF1661*'01_Вводные'!$B$131</f>
        <v/>
      </c>
      <c r="AG1662">
        <f>'19_Расчет_аналитики'!AG1661*'01_Вводные'!$B$131</f>
        <v/>
      </c>
      <c r="AH1662">
        <f>'19_Расчет_аналитики'!AH1661*'01_Вводные'!$B$131</f>
        <v/>
      </c>
      <c r="AI1662">
        <f>'19_Расчет_аналитики'!AI1661*'01_Вводные'!$B$131</f>
        <v/>
      </c>
      <c r="AJ1662">
        <f>'19_Расчет_аналитики'!AJ1661*'01_Вводные'!$B$131</f>
        <v/>
      </c>
      <c r="AK1662">
        <f>'19_Расчет_аналитики'!AK1661*'01_Вводные'!$B$131</f>
        <v/>
      </c>
      <c r="AL1662">
        <f>'19_Расчет_аналитики'!AL1661*'01_Вводные'!$B$131</f>
        <v/>
      </c>
      <c r="AM1662">
        <f>'19_Расчет_аналитики'!AM1661*'01_Вводные'!$B$131</f>
        <v/>
      </c>
      <c r="AN1662">
        <f>'19_Расчет_аналитики'!AN1661*'01_Вводные'!$B$131</f>
        <v/>
      </c>
      <c r="AO1662">
        <f>'19_Расчет_аналитики'!AO1661*'01_Вводные'!$B$131</f>
        <v/>
      </c>
      <c r="AP1662">
        <f>'19_Расчет_аналитики'!AP1661*'01_Вводные'!$B$131</f>
        <v/>
      </c>
      <c r="AQ1662">
        <f>'19_Расчет_аналитики'!AQ1661*'01_Вводные'!$B$131</f>
        <v/>
      </c>
      <c r="AR1662">
        <f>'19_Расчет_аналитики'!AR1661*'01_Вводные'!$B$131</f>
        <v/>
      </c>
      <c r="AS1662">
        <f>'19_Расчет_аналитики'!AS1661*'01_Вводные'!$B$131</f>
        <v/>
      </c>
      <c r="AT1662">
        <f>'19_Расчет_аналитики'!AT1661*'01_Вводные'!$B$131</f>
        <v/>
      </c>
      <c r="AU1662">
        <f>'19_Расчет_аналитики'!AU1661*'01_Вводные'!$B$131</f>
        <v/>
      </c>
      <c r="AV1662">
        <f>'19_Расчет_аналитики'!AV1661*'01_Вводные'!$B$131</f>
        <v/>
      </c>
      <c r="AW1662">
        <f>'19_Расчет_аналитики'!AW1661*'01_Вводные'!$B$131</f>
        <v/>
      </c>
      <c r="AX1662">
        <f>'19_Расчет_аналитики'!AX1661*'01_Вводные'!$B$131</f>
        <v/>
      </c>
      <c r="AY1662">
        <f>'19_Расчет_аналитики'!AY1661*'01_Вводные'!$B$131</f>
        <v/>
      </c>
      <c r="AZ1662">
        <f>'19_Расчет_аналитики'!AZ1661*'01_Вводные'!$B$131</f>
        <v/>
      </c>
      <c r="BA1662">
        <f>'19_Расчет_аналитики'!BA1661*'01_Вводные'!$B$131</f>
        <v/>
      </c>
      <c r="BB1662">
        <f>'19_Расчет_аналитики'!BB1661*'01_Вводные'!$B$131</f>
        <v/>
      </c>
      <c r="BC1662">
        <f>'19_Расчет_аналитики'!BC1661*'01_Вводные'!$B$131</f>
        <v/>
      </c>
      <c r="BD1662">
        <f>'19_Расчет_аналитики'!BD1661*'01_Вводные'!$B$131</f>
        <v/>
      </c>
      <c r="BE1662">
        <f>'19_Расчет_аналитики'!BE1661*'01_Вводные'!$B$131</f>
        <v/>
      </c>
      <c r="BF1662">
        <f>'19_Расчет_аналитики'!BF1661*'01_Вводные'!$B$131</f>
        <v/>
      </c>
      <c r="BG1662">
        <f>'19_Расчет_аналитики'!BG1661*'01_Вводные'!$B$131</f>
        <v/>
      </c>
      <c r="BH1662">
        <f>'19_Расчет_аналитики'!BH1661*'01_Вводные'!$B$131</f>
        <v/>
      </c>
      <c r="BI1662">
        <f>'19_Расчет_аналитики'!BI1661*'01_Вводные'!$B$131</f>
        <v/>
      </c>
    </row>
    <row r="1663"/>
    <row r="1664">
      <c r="C1664">
        <f>('01_Вводные'!$B$118+'19_Расчет_аналитики'!C1659+1)*IF('08_ФОТ'!C$3&lt;'01_Вводные'!$B$250,'01_Вводные'!$B$123,'01_Вводные'!$B$124)/'01_Вводные'!$B$132</f>
        <v/>
      </c>
      <c r="D1664">
        <f>('01_Вводные'!$B$118+'19_Расчет_аналитики'!D1659+1)*IF('08_ФОТ'!D$3&lt;'01_Вводные'!$B$250,'01_Вводные'!$B$123,'01_Вводные'!$B$124)/'01_Вводные'!$B$132</f>
        <v/>
      </c>
      <c r="E1664">
        <f>('01_Вводные'!$B$118+'19_Расчет_аналитики'!E1659+1)*IF('08_ФОТ'!E$3&lt;'01_Вводные'!$B$250,'01_Вводные'!$B$123,'01_Вводные'!$B$124)/'01_Вводные'!$B$132</f>
        <v/>
      </c>
      <c r="F1664">
        <f>('01_Вводные'!$B$118+'19_Расчет_аналитики'!F1659+1)*IF('08_ФОТ'!F$3&lt;'01_Вводные'!$B$250,'01_Вводные'!$B$123,'01_Вводные'!$B$124)/'01_Вводные'!$B$132</f>
        <v/>
      </c>
      <c r="G1664">
        <f>('01_Вводные'!$B$118+'19_Расчет_аналитики'!G1659+1)*IF('08_ФОТ'!G$3&lt;'01_Вводные'!$B$250,'01_Вводные'!$B$123,'01_Вводные'!$B$124)/'01_Вводные'!$B$132</f>
        <v/>
      </c>
      <c r="H1664">
        <f>('01_Вводные'!$B$118+'19_Расчет_аналитики'!H1659+1)*IF('08_ФОТ'!H$3&lt;'01_Вводные'!$B$250,'01_Вводные'!$B$123,'01_Вводные'!$B$124)/'01_Вводные'!$B$132</f>
        <v/>
      </c>
      <c r="I1664">
        <f>('01_Вводные'!$B$118+'19_Расчет_аналитики'!I1659+1)*IF('08_ФОТ'!I$3&lt;'01_Вводные'!$B$250,'01_Вводные'!$B$123,'01_Вводные'!$B$124)/'01_Вводные'!$B$132</f>
        <v/>
      </c>
      <c r="J1664">
        <f>('01_Вводные'!$B$118+'19_Расчет_аналитики'!J1659+1)*IF('08_ФОТ'!J$3&lt;'01_Вводные'!$B$250,'01_Вводные'!$B$123,'01_Вводные'!$B$124)/'01_Вводные'!$B$132</f>
        <v/>
      </c>
      <c r="K1664">
        <f>('01_Вводные'!$B$118+'19_Расчет_аналитики'!K1659+1)*IF('08_ФОТ'!K$3&lt;'01_Вводные'!$B$250,'01_Вводные'!$B$123,'01_Вводные'!$B$124)/'01_Вводные'!$B$132</f>
        <v/>
      </c>
      <c r="L1664">
        <f>('01_Вводные'!$B$118+'19_Расчет_аналитики'!L1659+1)*IF('08_ФОТ'!L$3&lt;'01_Вводные'!$B$250,'01_Вводные'!$B$123,'01_Вводные'!$B$124)/'01_Вводные'!$B$132</f>
        <v/>
      </c>
      <c r="M1664">
        <f>('01_Вводные'!$B$118+'19_Расчет_аналитики'!M1659+1)*IF('08_ФОТ'!M$3&lt;'01_Вводные'!$B$250,'01_Вводные'!$B$123,'01_Вводные'!$B$124)/'01_Вводные'!$B$132</f>
        <v/>
      </c>
      <c r="N1664">
        <f>('01_Вводные'!$B$118+'19_Расчет_аналитики'!N1659+1)*IF('08_ФОТ'!N$3&lt;'01_Вводные'!$B$250,'01_Вводные'!$B$123,'01_Вводные'!$B$124)/'01_Вводные'!$B$132</f>
        <v/>
      </c>
      <c r="O1664">
        <f>('01_Вводные'!$B$118+'19_Расчет_аналитики'!O1659+1)*IF('08_ФОТ'!O$3&lt;'01_Вводные'!$B$250,'01_Вводные'!$B$123,'01_Вводные'!$B$124)/'01_Вводные'!$B$132</f>
        <v/>
      </c>
      <c r="P1664">
        <f>('01_Вводные'!$B$118+'19_Расчет_аналитики'!P1659+1)*IF('08_ФОТ'!P$3&lt;'01_Вводные'!$B$250,'01_Вводные'!$B$123,'01_Вводные'!$B$124)/'01_Вводные'!$B$132</f>
        <v/>
      </c>
      <c r="Q1664">
        <f>('01_Вводные'!$B$118+'19_Расчет_аналитики'!Q1659+1)*IF('08_ФОТ'!Q$3&lt;'01_Вводные'!$B$250,'01_Вводные'!$B$123,'01_Вводные'!$B$124)/'01_Вводные'!$B$132</f>
        <v/>
      </c>
      <c r="R1664">
        <f>('01_Вводные'!$B$118+'19_Расчет_аналитики'!R1659+1)*IF('08_ФОТ'!R$3&lt;'01_Вводные'!$B$250,'01_Вводные'!$B$123,'01_Вводные'!$B$124)/'01_Вводные'!$B$132</f>
        <v/>
      </c>
      <c r="S1664">
        <f>('01_Вводные'!$B$118+'19_Расчет_аналитики'!S1659+1)*IF('08_ФОТ'!S$3&lt;'01_Вводные'!$B$250,'01_Вводные'!$B$123,'01_Вводные'!$B$124)/'01_Вводные'!$B$132</f>
        <v/>
      </c>
      <c r="T1664">
        <f>('01_Вводные'!$B$118+'19_Расчет_аналитики'!T1659+1)*IF('08_ФОТ'!T$3&lt;'01_Вводные'!$B$250,'01_Вводные'!$B$123,'01_Вводные'!$B$124)/'01_Вводные'!$B$132</f>
        <v/>
      </c>
      <c r="U1664">
        <f>('01_Вводные'!$B$118+'19_Расчет_аналитики'!U1659+1)*IF('08_ФОТ'!U$3&lt;'01_Вводные'!$B$250,'01_Вводные'!$B$123,'01_Вводные'!$B$124)/'01_Вводные'!$B$132</f>
        <v/>
      </c>
      <c r="V1664">
        <f>('01_Вводные'!$B$118+'19_Расчет_аналитики'!V1659+1)*IF('08_ФОТ'!V$3&lt;'01_Вводные'!$B$250,'01_Вводные'!$B$123,'01_Вводные'!$B$124)/'01_Вводные'!$B$132</f>
        <v/>
      </c>
      <c r="W1664">
        <f>('01_Вводные'!$B$118+'19_Расчет_аналитики'!W1659+1)*IF('08_ФОТ'!W$3&lt;'01_Вводные'!$B$250,'01_Вводные'!$B$123,'01_Вводные'!$B$124)/'01_Вводные'!$B$132</f>
        <v/>
      </c>
      <c r="X1664">
        <f>('01_Вводные'!$B$118+'19_Расчет_аналитики'!X1659+1)*IF('08_ФОТ'!X$3&lt;'01_Вводные'!$B$250,'01_Вводные'!$B$123,'01_Вводные'!$B$124)/'01_Вводные'!$B$132</f>
        <v/>
      </c>
      <c r="Y1664">
        <f>('01_Вводные'!$B$118+'19_Расчет_аналитики'!Y1659+1)*IF('08_ФОТ'!Y$3&lt;'01_Вводные'!$B$250,'01_Вводные'!$B$123,'01_Вводные'!$B$124)/'01_Вводные'!$B$132</f>
        <v/>
      </c>
      <c r="Z1664">
        <f>('01_Вводные'!$B$118+'19_Расчет_аналитики'!Z1659+1)*IF('08_ФОТ'!Z$3&lt;'01_Вводные'!$B$250,'01_Вводные'!$B$123,'01_Вводные'!$B$124)/'01_Вводные'!$B$132</f>
        <v/>
      </c>
      <c r="AA1664">
        <f>('01_Вводные'!$B$118+'19_Расчет_аналитики'!AA1659+1)*IF('08_ФОТ'!AA$3&lt;'01_Вводные'!$B$250,'01_Вводные'!$B$123,'01_Вводные'!$B$124)/'01_Вводные'!$B$132</f>
        <v/>
      </c>
      <c r="AB1664">
        <f>('01_Вводные'!$B$118+'19_Расчет_аналитики'!AB1659+1)*IF('08_ФОТ'!AB$3&lt;'01_Вводные'!$B$250,'01_Вводные'!$B$123,'01_Вводные'!$B$124)/'01_Вводные'!$B$132</f>
        <v/>
      </c>
      <c r="AC1664">
        <f>('01_Вводные'!$B$118+'19_Расчет_аналитики'!AC1659+1)*IF('08_ФОТ'!AC$3&lt;'01_Вводные'!$B$250,'01_Вводные'!$B$123,'01_Вводные'!$B$124)/'01_Вводные'!$B$132</f>
        <v/>
      </c>
      <c r="AD1664">
        <f>('01_Вводные'!$B$118+'19_Расчет_аналитики'!AD1659+1)*IF('08_ФОТ'!AD$3&lt;'01_Вводные'!$B$250,'01_Вводные'!$B$123,'01_Вводные'!$B$124)/'01_Вводные'!$B$132</f>
        <v/>
      </c>
      <c r="AE1664">
        <f>('01_Вводные'!$B$118+'19_Расчет_аналитики'!AE1659+1)*IF('08_ФОТ'!AE$3&lt;'01_Вводные'!$B$250,'01_Вводные'!$B$123,'01_Вводные'!$B$124)/'01_Вводные'!$B$132</f>
        <v/>
      </c>
      <c r="AF1664">
        <f>('01_Вводные'!$B$118+'19_Расчет_аналитики'!AF1659+1)*IF('08_ФОТ'!AF$3&lt;'01_Вводные'!$B$250,'01_Вводные'!$B$123,'01_Вводные'!$B$124)/'01_Вводные'!$B$132</f>
        <v/>
      </c>
      <c r="AG1664">
        <f>('01_Вводные'!$B$118+'19_Расчет_аналитики'!AG1659+1)*IF('08_ФОТ'!AG$3&lt;'01_Вводные'!$B$250,'01_Вводные'!$B$123,'01_Вводные'!$B$124)/'01_Вводные'!$B$132</f>
        <v/>
      </c>
      <c r="AH1664">
        <f>('01_Вводные'!$B$118+'19_Расчет_аналитики'!AH1659+1)*IF('08_ФОТ'!AH$3&lt;'01_Вводные'!$B$250,'01_Вводные'!$B$123,'01_Вводные'!$B$124)/'01_Вводные'!$B$132</f>
        <v/>
      </c>
      <c r="AI1664">
        <f>('01_Вводные'!$B$118+'19_Расчет_аналитики'!AI1659+1)*IF('08_ФОТ'!AI$3&lt;'01_Вводные'!$B$250,'01_Вводные'!$B$123,'01_Вводные'!$B$124)/'01_Вводные'!$B$132</f>
        <v/>
      </c>
      <c r="AJ1664">
        <f>('01_Вводные'!$B$118+'19_Расчет_аналитики'!AJ1659+1)*IF('08_ФОТ'!AJ$3&lt;'01_Вводные'!$B$250,'01_Вводные'!$B$123,'01_Вводные'!$B$124)/'01_Вводные'!$B$132</f>
        <v/>
      </c>
      <c r="AK1664">
        <f>('01_Вводные'!$B$118+'19_Расчет_аналитики'!AK1659+1)*IF('08_ФОТ'!AK$3&lt;'01_Вводные'!$B$250,'01_Вводные'!$B$123,'01_Вводные'!$B$124)/'01_Вводные'!$B$132</f>
        <v/>
      </c>
      <c r="AL1664">
        <f>('01_Вводные'!$B$118+'19_Расчет_аналитики'!AL1659+1)*IF('08_ФОТ'!AL$3&lt;'01_Вводные'!$B$250,'01_Вводные'!$B$123,'01_Вводные'!$B$124)/'01_Вводные'!$B$132</f>
        <v/>
      </c>
      <c r="AM1664">
        <f>('01_Вводные'!$B$118+'19_Расчет_аналитики'!AM1659+1)*IF('08_ФОТ'!AM$3&lt;'01_Вводные'!$B$250,'01_Вводные'!$B$123,'01_Вводные'!$B$124)/'01_Вводные'!$B$132</f>
        <v/>
      </c>
      <c r="AN1664">
        <f>('01_Вводные'!$B$118+'19_Расчет_аналитики'!AN1659+1)*IF('08_ФОТ'!AN$3&lt;'01_Вводные'!$B$250,'01_Вводные'!$B$123,'01_Вводные'!$B$124)/'01_Вводные'!$B$132</f>
        <v/>
      </c>
      <c r="AO1664">
        <f>('01_Вводные'!$B$118+'19_Расчет_аналитики'!AO1659+1)*IF('08_ФОТ'!AO$3&lt;'01_Вводные'!$B$250,'01_Вводные'!$B$123,'01_Вводные'!$B$124)/'01_Вводные'!$B$132</f>
        <v/>
      </c>
      <c r="AP1664">
        <f>('01_Вводные'!$B$118+'19_Расчет_аналитики'!AP1659+1)*IF('08_ФОТ'!AP$3&lt;'01_Вводные'!$B$250,'01_Вводные'!$B$123,'01_Вводные'!$B$124)/'01_Вводные'!$B$132</f>
        <v/>
      </c>
      <c r="AQ1664">
        <f>('01_Вводные'!$B$118+'19_Расчет_аналитики'!AQ1659+1)*IF('08_ФОТ'!AQ$3&lt;'01_Вводные'!$B$250,'01_Вводные'!$B$123,'01_Вводные'!$B$124)/'01_Вводные'!$B$132</f>
        <v/>
      </c>
      <c r="AR1664">
        <f>('01_Вводные'!$B$118+'19_Расчет_аналитики'!AR1659+1)*IF('08_ФОТ'!AR$3&lt;'01_Вводные'!$B$250,'01_Вводные'!$B$123,'01_Вводные'!$B$124)/'01_Вводные'!$B$132</f>
        <v/>
      </c>
      <c r="AS1664">
        <f>('01_Вводные'!$B$118+'19_Расчет_аналитики'!AS1659+1)*IF('08_ФОТ'!AS$3&lt;'01_Вводные'!$B$250,'01_Вводные'!$B$123,'01_Вводные'!$B$124)/'01_Вводные'!$B$132</f>
        <v/>
      </c>
      <c r="AT1664">
        <f>('01_Вводные'!$B$118+'19_Расчет_аналитики'!AT1659+1)*IF('08_ФОТ'!AT$3&lt;'01_Вводные'!$B$250,'01_Вводные'!$B$123,'01_Вводные'!$B$124)/'01_Вводные'!$B$132</f>
        <v/>
      </c>
      <c r="AU1664">
        <f>('01_Вводные'!$B$118+'19_Расчет_аналитики'!AU1659+1)*IF('08_ФОТ'!AU$3&lt;'01_Вводные'!$B$250,'01_Вводные'!$B$123,'01_Вводные'!$B$124)/'01_Вводные'!$B$132</f>
        <v/>
      </c>
      <c r="AV1664">
        <f>('01_Вводные'!$B$118+'19_Расчет_аналитики'!AV1659+1)*IF('08_ФОТ'!AV$3&lt;'01_Вводные'!$B$250,'01_Вводные'!$B$123,'01_Вводные'!$B$124)/'01_Вводные'!$B$132</f>
        <v/>
      </c>
      <c r="AW1664">
        <f>('01_Вводные'!$B$118+'19_Расчет_аналитики'!AW1659+1)*IF('08_ФОТ'!AW$3&lt;'01_Вводные'!$B$250,'01_Вводные'!$B$123,'01_Вводные'!$B$124)/'01_Вводные'!$B$132</f>
        <v/>
      </c>
      <c r="AX1664">
        <f>('01_Вводные'!$B$118+'19_Расчет_аналитики'!AX1659+1)*IF('08_ФОТ'!AX$3&lt;'01_Вводные'!$B$250,'01_Вводные'!$B$123,'01_Вводные'!$B$124)/'01_Вводные'!$B$132</f>
        <v/>
      </c>
      <c r="AY1664">
        <f>('01_Вводные'!$B$118+'19_Расчет_аналитики'!AY1659+1)*IF('08_ФОТ'!AY$3&lt;'01_Вводные'!$B$250,'01_Вводные'!$B$123,'01_Вводные'!$B$124)/'01_Вводные'!$B$132</f>
        <v/>
      </c>
      <c r="AZ1664">
        <f>('01_Вводные'!$B$118+'19_Расчет_аналитики'!AZ1659+1)*IF('08_ФОТ'!AZ$3&lt;'01_Вводные'!$B$250,'01_Вводные'!$B$123,'01_Вводные'!$B$124)/'01_Вводные'!$B$132</f>
        <v/>
      </c>
      <c r="BA1664">
        <f>('01_Вводные'!$B$118+'19_Расчет_аналитики'!BA1659+1)*IF('08_ФОТ'!BA$3&lt;'01_Вводные'!$B$250,'01_Вводные'!$B$123,'01_Вводные'!$B$124)/'01_Вводные'!$B$132</f>
        <v/>
      </c>
      <c r="BB1664">
        <f>('01_Вводные'!$B$118+'19_Расчет_аналитики'!BB1659+1)*IF('08_ФОТ'!BB$3&lt;'01_Вводные'!$B$250,'01_Вводные'!$B$123,'01_Вводные'!$B$124)/'01_Вводные'!$B$132</f>
        <v/>
      </c>
      <c r="BC1664">
        <f>('01_Вводные'!$B$118+'19_Расчет_аналитики'!BC1659+1)*IF('08_ФОТ'!BC$3&lt;'01_Вводные'!$B$250,'01_Вводные'!$B$123,'01_Вводные'!$B$124)/'01_Вводные'!$B$132</f>
        <v/>
      </c>
      <c r="BD1664">
        <f>('01_Вводные'!$B$118+'19_Расчет_аналитики'!BD1659+1)*IF('08_ФОТ'!BD$3&lt;'01_Вводные'!$B$250,'01_Вводные'!$B$123,'01_Вводные'!$B$124)/'01_Вводные'!$B$132</f>
        <v/>
      </c>
      <c r="BE1664">
        <f>('01_Вводные'!$B$118+'19_Расчет_аналитики'!BE1659+1)*IF('08_ФОТ'!BE$3&lt;'01_Вводные'!$B$250,'01_Вводные'!$B$123,'01_Вводные'!$B$124)/'01_Вводные'!$B$132</f>
        <v/>
      </c>
      <c r="BF1664">
        <f>('01_Вводные'!$B$118+'19_Расчет_аналитики'!BF1659+1)*IF('08_ФОТ'!BF$3&lt;'01_Вводные'!$B$250,'01_Вводные'!$B$123,'01_Вводные'!$B$124)/'01_Вводные'!$B$132</f>
        <v/>
      </c>
      <c r="BG1664">
        <f>('01_Вводные'!$B$118+'19_Расчет_аналитики'!BG1659+1)*IF('08_ФОТ'!BG$3&lt;'01_Вводные'!$B$250,'01_Вводные'!$B$123,'01_Вводные'!$B$124)/'01_Вводные'!$B$132</f>
        <v/>
      </c>
      <c r="BH1664">
        <f>('01_Вводные'!$B$118+'19_Расчет_аналитики'!BH1659+1)*IF('08_ФОТ'!BH$3&lt;'01_Вводные'!$B$250,'01_Вводные'!$B$123,'01_Вводные'!$B$124)/'01_Вводные'!$B$132</f>
        <v/>
      </c>
      <c r="BI1664">
        <f>('01_Вводные'!$B$118+'19_Расчет_аналитики'!BI1659+1)*IF('08_ФОТ'!BI$3&lt;'01_Вводные'!$B$250,'01_Вводные'!$B$123,'01_Вводные'!$B$124)/'01_Вводные'!$B$132</f>
        <v/>
      </c>
    </row>
    <row r="1665">
      <c r="C1665">
        <f>'19_Расчет_аналитики'!C1664*'01_Вводные'!$B$131</f>
        <v/>
      </c>
      <c r="D1665">
        <f>'19_Расчет_аналитики'!D1664*'01_Вводные'!$B$131</f>
        <v/>
      </c>
      <c r="E1665">
        <f>'19_Расчет_аналитики'!E1664*'01_Вводные'!$B$131</f>
        <v/>
      </c>
      <c r="F1665">
        <f>'19_Расчет_аналитики'!F1664*'01_Вводные'!$B$131</f>
        <v/>
      </c>
      <c r="G1665">
        <f>'19_Расчет_аналитики'!G1664*'01_Вводные'!$B$131</f>
        <v/>
      </c>
      <c r="H1665">
        <f>'19_Расчет_аналитики'!H1664*'01_Вводные'!$B$131</f>
        <v/>
      </c>
      <c r="I1665">
        <f>'19_Расчет_аналитики'!I1664*'01_Вводные'!$B$131</f>
        <v/>
      </c>
      <c r="J1665">
        <f>'19_Расчет_аналитики'!J1664*'01_Вводные'!$B$131</f>
        <v/>
      </c>
      <c r="K1665">
        <f>'19_Расчет_аналитики'!K1664*'01_Вводные'!$B$131</f>
        <v/>
      </c>
      <c r="L1665">
        <f>'19_Расчет_аналитики'!L1664*'01_Вводные'!$B$131</f>
        <v/>
      </c>
      <c r="M1665">
        <f>'19_Расчет_аналитики'!M1664*'01_Вводные'!$B$131</f>
        <v/>
      </c>
      <c r="N1665">
        <f>'19_Расчет_аналитики'!N1664*'01_Вводные'!$B$131</f>
        <v/>
      </c>
      <c r="O1665">
        <f>'19_Расчет_аналитики'!O1664*'01_Вводные'!$B$131</f>
        <v/>
      </c>
      <c r="P1665">
        <f>'19_Расчет_аналитики'!P1664*'01_Вводные'!$B$131</f>
        <v/>
      </c>
      <c r="Q1665">
        <f>'19_Расчет_аналитики'!Q1664*'01_Вводные'!$B$131</f>
        <v/>
      </c>
      <c r="R1665">
        <f>'19_Расчет_аналитики'!R1664*'01_Вводные'!$B$131</f>
        <v/>
      </c>
      <c r="S1665">
        <f>'19_Расчет_аналитики'!S1664*'01_Вводные'!$B$131</f>
        <v/>
      </c>
      <c r="T1665">
        <f>'19_Расчет_аналитики'!T1664*'01_Вводные'!$B$131</f>
        <v/>
      </c>
      <c r="U1665">
        <f>'19_Расчет_аналитики'!U1664*'01_Вводные'!$B$131</f>
        <v/>
      </c>
      <c r="V1665">
        <f>'19_Расчет_аналитики'!V1664*'01_Вводные'!$B$131</f>
        <v/>
      </c>
      <c r="W1665">
        <f>'19_Расчет_аналитики'!W1664*'01_Вводные'!$B$131</f>
        <v/>
      </c>
      <c r="X1665">
        <f>'19_Расчет_аналитики'!X1664*'01_Вводные'!$B$131</f>
        <v/>
      </c>
      <c r="Y1665">
        <f>'19_Расчет_аналитики'!Y1664*'01_Вводные'!$B$131</f>
        <v/>
      </c>
      <c r="Z1665">
        <f>'19_Расчет_аналитики'!Z1664*'01_Вводные'!$B$131</f>
        <v/>
      </c>
      <c r="AA1665">
        <f>'19_Расчет_аналитики'!AA1664*'01_Вводные'!$B$131</f>
        <v/>
      </c>
      <c r="AB1665">
        <f>'19_Расчет_аналитики'!AB1664*'01_Вводные'!$B$131</f>
        <v/>
      </c>
      <c r="AC1665">
        <f>'19_Расчет_аналитики'!AC1664*'01_Вводные'!$B$131</f>
        <v/>
      </c>
      <c r="AD1665">
        <f>'19_Расчет_аналитики'!AD1664*'01_Вводные'!$B$131</f>
        <v/>
      </c>
      <c r="AE1665">
        <f>'19_Расчет_аналитики'!AE1664*'01_Вводные'!$B$131</f>
        <v/>
      </c>
      <c r="AF1665">
        <f>'19_Расчет_аналитики'!AF1664*'01_Вводные'!$B$131</f>
        <v/>
      </c>
      <c r="AG1665">
        <f>'19_Расчет_аналитики'!AG1664*'01_Вводные'!$B$131</f>
        <v/>
      </c>
      <c r="AH1665">
        <f>'19_Расчет_аналитики'!AH1664*'01_Вводные'!$B$131</f>
        <v/>
      </c>
      <c r="AI1665">
        <f>'19_Расчет_аналитики'!AI1664*'01_Вводные'!$B$131</f>
        <v/>
      </c>
      <c r="AJ1665">
        <f>'19_Расчет_аналитики'!AJ1664*'01_Вводные'!$B$131</f>
        <v/>
      </c>
      <c r="AK1665">
        <f>'19_Расчет_аналитики'!AK1664*'01_Вводные'!$B$131</f>
        <v/>
      </c>
      <c r="AL1665">
        <f>'19_Расчет_аналитики'!AL1664*'01_Вводные'!$B$131</f>
        <v/>
      </c>
      <c r="AM1665">
        <f>'19_Расчет_аналитики'!AM1664*'01_Вводные'!$B$131</f>
        <v/>
      </c>
      <c r="AN1665">
        <f>'19_Расчет_аналитики'!AN1664*'01_Вводные'!$B$131</f>
        <v/>
      </c>
      <c r="AO1665">
        <f>'19_Расчет_аналитики'!AO1664*'01_Вводные'!$B$131</f>
        <v/>
      </c>
      <c r="AP1665">
        <f>'19_Расчет_аналитики'!AP1664*'01_Вводные'!$B$131</f>
        <v/>
      </c>
      <c r="AQ1665">
        <f>'19_Расчет_аналитики'!AQ1664*'01_Вводные'!$B$131</f>
        <v/>
      </c>
      <c r="AR1665">
        <f>'19_Расчет_аналитики'!AR1664*'01_Вводные'!$B$131</f>
        <v/>
      </c>
      <c r="AS1665">
        <f>'19_Расчет_аналитики'!AS1664*'01_Вводные'!$B$131</f>
        <v/>
      </c>
      <c r="AT1665">
        <f>'19_Расчет_аналитики'!AT1664*'01_Вводные'!$B$131</f>
        <v/>
      </c>
      <c r="AU1665">
        <f>'19_Расчет_аналитики'!AU1664*'01_Вводные'!$B$131</f>
        <v/>
      </c>
      <c r="AV1665">
        <f>'19_Расчет_аналитики'!AV1664*'01_Вводные'!$B$131</f>
        <v/>
      </c>
      <c r="AW1665">
        <f>'19_Расчет_аналитики'!AW1664*'01_Вводные'!$B$131</f>
        <v/>
      </c>
      <c r="AX1665">
        <f>'19_Расчет_аналитики'!AX1664*'01_Вводные'!$B$131</f>
        <v/>
      </c>
      <c r="AY1665">
        <f>'19_Расчет_аналитики'!AY1664*'01_Вводные'!$B$131</f>
        <v/>
      </c>
      <c r="AZ1665">
        <f>'19_Расчет_аналитики'!AZ1664*'01_Вводные'!$B$131</f>
        <v/>
      </c>
      <c r="BA1665">
        <f>'19_Расчет_аналитики'!BA1664*'01_Вводные'!$B$131</f>
        <v/>
      </c>
      <c r="BB1665">
        <f>'19_Расчет_аналитики'!BB1664*'01_Вводные'!$B$131</f>
        <v/>
      </c>
      <c r="BC1665">
        <f>'19_Расчет_аналитики'!BC1664*'01_Вводные'!$B$131</f>
        <v/>
      </c>
      <c r="BD1665">
        <f>'19_Расчет_аналитики'!BD1664*'01_Вводные'!$B$131</f>
        <v/>
      </c>
      <c r="BE1665">
        <f>'19_Расчет_аналитики'!BE1664*'01_Вводные'!$B$131</f>
        <v/>
      </c>
      <c r="BF1665">
        <f>'19_Расчет_аналитики'!BF1664*'01_Вводные'!$B$131</f>
        <v/>
      </c>
      <c r="BG1665">
        <f>'19_Расчет_аналитики'!BG1664*'01_Вводные'!$B$131</f>
        <v/>
      </c>
      <c r="BH1665">
        <f>'19_Расчет_аналитики'!BH1664*'01_Вводные'!$B$131</f>
        <v/>
      </c>
      <c r="BI1665">
        <f>'19_Расчет_аналитики'!BI1664*'01_Вводные'!$B$131</f>
        <v/>
      </c>
    </row>
    <row r="1666">
      <c r="C1666">
        <f>IF('19_Расчет_аналитики'!C1350&gt;=2,'19_Расчет_аналитики'!C1361*'01_Вводные'!$B$125/(1+'01_Вводные'!$B$131),0)</f>
        <v/>
      </c>
      <c r="D1666">
        <f>IF('19_Расчет_аналитики'!D1350&gt;=2,'19_Расчет_аналитики'!D1361*'01_Вводные'!$B$125/(1+'01_Вводные'!$B$131),0)</f>
        <v/>
      </c>
      <c r="E1666">
        <f>IF('19_Расчет_аналитики'!E1350&gt;=2,'19_Расчет_аналитики'!E1361*'01_Вводные'!$B$125/(1+'01_Вводные'!$B$131),0)</f>
        <v/>
      </c>
      <c r="F1666">
        <f>IF('19_Расчет_аналитики'!F1350&gt;=2,'19_Расчет_аналитики'!F1361*'01_Вводные'!$B$125/(1+'01_Вводные'!$B$131),0)</f>
        <v/>
      </c>
      <c r="G1666">
        <f>IF('19_Расчет_аналитики'!G1350&gt;=2,'19_Расчет_аналитики'!G1361*'01_Вводные'!$B$125/(1+'01_Вводные'!$B$131),0)</f>
        <v/>
      </c>
      <c r="H1666">
        <f>IF('19_Расчет_аналитики'!H1350&gt;=2,'19_Расчет_аналитики'!H1361*'01_Вводные'!$B$125/(1+'01_Вводные'!$B$131),0)</f>
        <v/>
      </c>
      <c r="I1666">
        <f>IF('19_Расчет_аналитики'!I1350&gt;=2,'19_Расчет_аналитики'!I1361*'01_Вводные'!$B$125/(1+'01_Вводные'!$B$131),0)</f>
        <v/>
      </c>
      <c r="J1666">
        <f>IF('19_Расчет_аналитики'!J1350&gt;=2,'19_Расчет_аналитики'!J1361*'01_Вводные'!$B$125/(1+'01_Вводные'!$B$131),0)</f>
        <v/>
      </c>
      <c r="K1666">
        <f>IF('19_Расчет_аналитики'!K1350&gt;=2,'19_Расчет_аналитики'!K1361*'01_Вводные'!$B$125/(1+'01_Вводные'!$B$131),0)</f>
        <v/>
      </c>
      <c r="L1666">
        <f>IF('19_Расчет_аналитики'!L1350&gt;=2,'19_Расчет_аналитики'!L1361*'01_Вводные'!$B$125/(1+'01_Вводные'!$B$131),0)</f>
        <v/>
      </c>
      <c r="M1666">
        <f>IF('19_Расчет_аналитики'!M1350&gt;=2,'19_Расчет_аналитики'!M1361*'01_Вводные'!$B$125/(1+'01_Вводные'!$B$131),0)</f>
        <v/>
      </c>
      <c r="N1666">
        <f>IF('19_Расчет_аналитики'!N1350&gt;=2,'19_Расчет_аналитики'!N1361*'01_Вводные'!$B$125/(1+'01_Вводные'!$B$131),0)</f>
        <v/>
      </c>
      <c r="O1666">
        <f>IF('19_Расчет_аналитики'!O1350&gt;=2,'19_Расчет_аналитики'!O1361*'01_Вводные'!$B$125/(1+'01_Вводные'!$B$131),0)</f>
        <v/>
      </c>
      <c r="P1666">
        <f>IF('19_Расчет_аналитики'!P1350&gt;=2,'19_Расчет_аналитики'!P1361*'01_Вводные'!$B$125/(1+'01_Вводные'!$B$131),0)</f>
        <v/>
      </c>
      <c r="Q1666">
        <f>IF('19_Расчет_аналитики'!Q1350&gt;=2,'19_Расчет_аналитики'!Q1361*'01_Вводные'!$B$125/(1+'01_Вводные'!$B$131),0)</f>
        <v/>
      </c>
      <c r="R1666">
        <f>IF('19_Расчет_аналитики'!R1350&gt;=2,'19_Расчет_аналитики'!R1361*'01_Вводные'!$B$125/(1+'01_Вводные'!$B$131),0)</f>
        <v/>
      </c>
      <c r="S1666">
        <f>IF('19_Расчет_аналитики'!S1350&gt;=2,'19_Расчет_аналитики'!S1361*'01_Вводные'!$B$125/(1+'01_Вводные'!$B$131),0)</f>
        <v/>
      </c>
      <c r="T1666">
        <f>IF('19_Расчет_аналитики'!T1350&gt;=2,'19_Расчет_аналитики'!T1361*'01_Вводные'!$B$125/(1+'01_Вводные'!$B$131),0)</f>
        <v/>
      </c>
      <c r="U1666">
        <f>IF('19_Расчет_аналитики'!U1350&gt;=2,'19_Расчет_аналитики'!U1361*'01_Вводные'!$B$125/(1+'01_Вводные'!$B$131),0)</f>
        <v/>
      </c>
      <c r="V1666">
        <f>IF('19_Расчет_аналитики'!V1350&gt;=2,'19_Расчет_аналитики'!V1361*'01_Вводные'!$B$125/(1+'01_Вводные'!$B$131),0)</f>
        <v/>
      </c>
      <c r="W1666">
        <f>IF('19_Расчет_аналитики'!W1350&gt;=2,'19_Расчет_аналитики'!W1361*'01_Вводные'!$B$125/(1+'01_Вводные'!$B$131),0)</f>
        <v/>
      </c>
      <c r="X1666">
        <f>IF('19_Расчет_аналитики'!X1350&gt;=2,'19_Расчет_аналитики'!X1361*'01_Вводные'!$B$125/(1+'01_Вводные'!$B$131),0)</f>
        <v/>
      </c>
      <c r="Y1666">
        <f>IF('19_Расчет_аналитики'!Y1350&gt;=2,'19_Расчет_аналитики'!Y1361*'01_Вводные'!$B$125/(1+'01_Вводные'!$B$131),0)</f>
        <v/>
      </c>
      <c r="Z1666">
        <f>IF('19_Расчет_аналитики'!Z1350&gt;=2,'19_Расчет_аналитики'!Z1361*'01_Вводные'!$B$125/(1+'01_Вводные'!$B$131),0)</f>
        <v/>
      </c>
      <c r="AA1666">
        <f>IF('19_Расчет_аналитики'!AA1350&gt;=2,'19_Расчет_аналитики'!AA1361*'01_Вводные'!$B$125/(1+'01_Вводные'!$B$131),0)</f>
        <v/>
      </c>
      <c r="AB1666">
        <f>IF('19_Расчет_аналитики'!AB1350&gt;=2,'19_Расчет_аналитики'!AB1361*'01_Вводные'!$B$125/(1+'01_Вводные'!$B$131),0)</f>
        <v/>
      </c>
      <c r="AC1666">
        <f>IF('19_Расчет_аналитики'!AC1350&gt;=2,'19_Расчет_аналитики'!AC1361*'01_Вводные'!$B$125/(1+'01_Вводные'!$B$131),0)</f>
        <v/>
      </c>
      <c r="AD1666">
        <f>IF('19_Расчет_аналитики'!AD1350&gt;=2,'19_Расчет_аналитики'!AD1361*'01_Вводные'!$B$125/(1+'01_Вводные'!$B$131),0)</f>
        <v/>
      </c>
      <c r="AE1666">
        <f>IF('19_Расчет_аналитики'!AE1350&gt;=2,'19_Расчет_аналитики'!AE1361*'01_Вводные'!$B$125/(1+'01_Вводные'!$B$131),0)</f>
        <v/>
      </c>
      <c r="AF1666">
        <f>IF('19_Расчет_аналитики'!AF1350&gt;=2,'19_Расчет_аналитики'!AF1361*'01_Вводные'!$B$125/(1+'01_Вводные'!$B$131),0)</f>
        <v/>
      </c>
      <c r="AG1666">
        <f>IF('19_Расчет_аналитики'!AG1350&gt;=2,'19_Расчет_аналитики'!AG1361*'01_Вводные'!$B$125/(1+'01_Вводные'!$B$131),0)</f>
        <v/>
      </c>
      <c r="AH1666">
        <f>IF('19_Расчет_аналитики'!AH1350&gt;=2,'19_Расчет_аналитики'!AH1361*'01_Вводные'!$B$125/(1+'01_Вводные'!$B$131),0)</f>
        <v/>
      </c>
      <c r="AI1666">
        <f>IF('19_Расчет_аналитики'!AI1350&gt;=2,'19_Расчет_аналитики'!AI1361*'01_Вводные'!$B$125/(1+'01_Вводные'!$B$131),0)</f>
        <v/>
      </c>
      <c r="AJ1666">
        <f>IF('19_Расчет_аналитики'!AJ1350&gt;=2,'19_Расчет_аналитики'!AJ1361*'01_Вводные'!$B$125/(1+'01_Вводные'!$B$131),0)</f>
        <v/>
      </c>
      <c r="AK1666">
        <f>IF('19_Расчет_аналитики'!AK1350&gt;=2,'19_Расчет_аналитики'!AK1361*'01_Вводные'!$B$125/(1+'01_Вводные'!$B$131),0)</f>
        <v/>
      </c>
      <c r="AL1666">
        <f>IF('19_Расчет_аналитики'!AL1350&gt;=2,'19_Расчет_аналитики'!AL1361*'01_Вводные'!$B$125/(1+'01_Вводные'!$B$131),0)</f>
        <v/>
      </c>
      <c r="AM1666">
        <f>IF('19_Расчет_аналитики'!AM1350&gt;=2,'19_Расчет_аналитики'!AM1361*'01_Вводные'!$B$125/(1+'01_Вводные'!$B$131),0)</f>
        <v/>
      </c>
      <c r="AN1666">
        <f>IF('19_Расчет_аналитики'!AN1350&gt;=2,'19_Расчет_аналитики'!AN1361*'01_Вводные'!$B$125/(1+'01_Вводные'!$B$131),0)</f>
        <v/>
      </c>
      <c r="AO1666">
        <f>IF('19_Расчет_аналитики'!AO1350&gt;=2,'19_Расчет_аналитики'!AO1361*'01_Вводные'!$B$125/(1+'01_Вводные'!$B$131),0)</f>
        <v/>
      </c>
      <c r="AP1666">
        <f>IF('19_Расчет_аналитики'!AP1350&gt;=2,'19_Расчет_аналитики'!AP1361*'01_Вводные'!$B$125/(1+'01_Вводные'!$B$131),0)</f>
        <v/>
      </c>
      <c r="AQ1666">
        <f>IF('19_Расчет_аналитики'!AQ1350&gt;=2,'19_Расчет_аналитики'!AQ1361*'01_Вводные'!$B$125/(1+'01_Вводные'!$B$131),0)</f>
        <v/>
      </c>
      <c r="AR1666">
        <f>IF('19_Расчет_аналитики'!AR1350&gt;=2,'19_Расчет_аналитики'!AR1361*'01_Вводные'!$B$125/(1+'01_Вводные'!$B$131),0)</f>
        <v/>
      </c>
      <c r="AS1666">
        <f>IF('19_Расчет_аналитики'!AS1350&gt;=2,'19_Расчет_аналитики'!AS1361*'01_Вводные'!$B$125/(1+'01_Вводные'!$B$131),0)</f>
        <v/>
      </c>
      <c r="AT1666">
        <f>IF('19_Расчет_аналитики'!AT1350&gt;=2,'19_Расчет_аналитики'!AT1361*'01_Вводные'!$B$125/(1+'01_Вводные'!$B$131),0)</f>
        <v/>
      </c>
      <c r="AU1666">
        <f>IF('19_Расчет_аналитики'!AU1350&gt;=2,'19_Расчет_аналитики'!AU1361*'01_Вводные'!$B$125/(1+'01_Вводные'!$B$131),0)</f>
        <v/>
      </c>
      <c r="AV1666">
        <f>IF('19_Расчет_аналитики'!AV1350&gt;=2,'19_Расчет_аналитики'!AV1361*'01_Вводные'!$B$125/(1+'01_Вводные'!$B$131),0)</f>
        <v/>
      </c>
      <c r="AW1666">
        <f>IF('19_Расчет_аналитики'!AW1350&gt;=2,'19_Расчет_аналитики'!AW1361*'01_Вводные'!$B$125/(1+'01_Вводные'!$B$131),0)</f>
        <v/>
      </c>
      <c r="AX1666">
        <f>IF('19_Расчет_аналитики'!AX1350&gt;=2,'19_Расчет_аналитики'!AX1361*'01_Вводные'!$B$125/(1+'01_Вводные'!$B$131),0)</f>
        <v/>
      </c>
      <c r="AY1666">
        <f>IF('19_Расчет_аналитики'!AY1350&gt;=2,'19_Расчет_аналитики'!AY1361*'01_Вводные'!$B$125/(1+'01_Вводные'!$B$131),0)</f>
        <v/>
      </c>
      <c r="AZ1666">
        <f>IF('19_Расчет_аналитики'!AZ1350&gt;=2,'19_Расчет_аналитики'!AZ1361*'01_Вводные'!$B$125/(1+'01_Вводные'!$B$131),0)</f>
        <v/>
      </c>
      <c r="BA1666">
        <f>IF('19_Расчет_аналитики'!BA1350&gt;=2,'19_Расчет_аналитики'!BA1361*'01_Вводные'!$B$125/(1+'01_Вводные'!$B$131),0)</f>
        <v/>
      </c>
      <c r="BB1666">
        <f>IF('19_Расчет_аналитики'!BB1350&gt;=2,'19_Расчет_аналитики'!BB1361*'01_Вводные'!$B$125/(1+'01_Вводные'!$B$131),0)</f>
        <v/>
      </c>
      <c r="BC1666">
        <f>IF('19_Расчет_аналитики'!BC1350&gt;=2,'19_Расчет_аналитики'!BC1361*'01_Вводные'!$B$125/(1+'01_Вводные'!$B$131),0)</f>
        <v/>
      </c>
      <c r="BD1666">
        <f>IF('19_Расчет_аналитики'!BD1350&gt;=2,'19_Расчет_аналитики'!BD1361*'01_Вводные'!$B$125/(1+'01_Вводные'!$B$131),0)</f>
        <v/>
      </c>
      <c r="BE1666">
        <f>IF('19_Расчет_аналитики'!BE1350&gt;=2,'19_Расчет_аналитики'!BE1361*'01_Вводные'!$B$125/(1+'01_Вводные'!$B$131),0)</f>
        <v/>
      </c>
      <c r="BF1666">
        <f>IF('19_Расчет_аналитики'!BF1350&gt;=2,'19_Расчет_аналитики'!BF1361*'01_Вводные'!$B$125/(1+'01_Вводные'!$B$131),0)</f>
        <v/>
      </c>
      <c r="BG1666">
        <f>IF('19_Расчет_аналитики'!BG1350&gt;=2,'19_Расчет_аналитики'!BG1361*'01_Вводные'!$B$125/(1+'01_Вводные'!$B$131),0)</f>
        <v/>
      </c>
      <c r="BH1666">
        <f>IF('19_Расчет_аналитики'!BH1350&gt;=2,'19_Расчет_аналитики'!BH1361*'01_Вводные'!$B$125/(1+'01_Вводные'!$B$131),0)</f>
        <v/>
      </c>
      <c r="BI1666">
        <f>IF('19_Расчет_аналитики'!BI1350&gt;=2,'19_Расчет_аналитики'!BI1361*'01_Вводные'!$B$125/(1+'01_Вводные'!$B$131),0)</f>
        <v/>
      </c>
    </row>
    <row r="1667">
      <c r="C1667">
        <f>'19_Расчет_аналитики'!C1666*'01_Вводные'!$B$131</f>
        <v/>
      </c>
      <c r="D1667">
        <f>'19_Расчет_аналитики'!D1666*'01_Вводные'!$B$131</f>
        <v/>
      </c>
      <c r="E1667">
        <f>'19_Расчет_аналитики'!E1666*'01_Вводные'!$B$131</f>
        <v/>
      </c>
      <c r="F1667">
        <f>'19_Расчет_аналитики'!F1666*'01_Вводные'!$B$131</f>
        <v/>
      </c>
      <c r="G1667">
        <f>'19_Расчет_аналитики'!G1666*'01_Вводные'!$B$131</f>
        <v/>
      </c>
      <c r="H1667">
        <f>'19_Расчет_аналитики'!H1666*'01_Вводные'!$B$131</f>
        <v/>
      </c>
      <c r="I1667">
        <f>'19_Расчет_аналитики'!I1666*'01_Вводные'!$B$131</f>
        <v/>
      </c>
      <c r="J1667">
        <f>'19_Расчет_аналитики'!J1666*'01_Вводные'!$B$131</f>
        <v/>
      </c>
      <c r="K1667">
        <f>'19_Расчет_аналитики'!K1666*'01_Вводные'!$B$131</f>
        <v/>
      </c>
      <c r="L1667">
        <f>'19_Расчет_аналитики'!L1666*'01_Вводные'!$B$131</f>
        <v/>
      </c>
      <c r="M1667">
        <f>'19_Расчет_аналитики'!M1666*'01_Вводные'!$B$131</f>
        <v/>
      </c>
      <c r="N1667">
        <f>'19_Расчет_аналитики'!N1666*'01_Вводные'!$B$131</f>
        <v/>
      </c>
      <c r="O1667">
        <f>'19_Расчет_аналитики'!O1666*'01_Вводные'!$B$131</f>
        <v/>
      </c>
      <c r="P1667">
        <f>'19_Расчет_аналитики'!P1666*'01_Вводные'!$B$131</f>
        <v/>
      </c>
      <c r="Q1667">
        <f>'19_Расчет_аналитики'!Q1666*'01_Вводные'!$B$131</f>
        <v/>
      </c>
      <c r="R1667">
        <f>'19_Расчет_аналитики'!R1666*'01_Вводные'!$B$131</f>
        <v/>
      </c>
      <c r="S1667">
        <f>'19_Расчет_аналитики'!S1666*'01_Вводные'!$B$131</f>
        <v/>
      </c>
      <c r="T1667">
        <f>'19_Расчет_аналитики'!T1666*'01_Вводные'!$B$131</f>
        <v/>
      </c>
      <c r="U1667">
        <f>'19_Расчет_аналитики'!U1666*'01_Вводные'!$B$131</f>
        <v/>
      </c>
      <c r="V1667">
        <f>'19_Расчет_аналитики'!V1666*'01_Вводные'!$B$131</f>
        <v/>
      </c>
      <c r="W1667">
        <f>'19_Расчет_аналитики'!W1666*'01_Вводные'!$B$131</f>
        <v/>
      </c>
      <c r="X1667">
        <f>'19_Расчет_аналитики'!X1666*'01_Вводные'!$B$131</f>
        <v/>
      </c>
      <c r="Y1667">
        <f>'19_Расчет_аналитики'!Y1666*'01_Вводные'!$B$131</f>
        <v/>
      </c>
      <c r="Z1667">
        <f>'19_Расчет_аналитики'!Z1666*'01_Вводные'!$B$131</f>
        <v/>
      </c>
      <c r="AA1667">
        <f>'19_Расчет_аналитики'!AA1666*'01_Вводные'!$B$131</f>
        <v/>
      </c>
      <c r="AB1667">
        <f>'19_Расчет_аналитики'!AB1666*'01_Вводные'!$B$131</f>
        <v/>
      </c>
      <c r="AC1667">
        <f>'19_Расчет_аналитики'!AC1666*'01_Вводные'!$B$131</f>
        <v/>
      </c>
      <c r="AD1667">
        <f>'19_Расчет_аналитики'!AD1666*'01_Вводные'!$B$131</f>
        <v/>
      </c>
      <c r="AE1667">
        <f>'19_Расчет_аналитики'!AE1666*'01_Вводные'!$B$131</f>
        <v/>
      </c>
      <c r="AF1667">
        <f>'19_Расчет_аналитики'!AF1666*'01_Вводные'!$B$131</f>
        <v/>
      </c>
      <c r="AG1667">
        <f>'19_Расчет_аналитики'!AG1666*'01_Вводные'!$B$131</f>
        <v/>
      </c>
      <c r="AH1667">
        <f>'19_Расчет_аналитики'!AH1666*'01_Вводные'!$B$131</f>
        <v/>
      </c>
      <c r="AI1667">
        <f>'19_Расчет_аналитики'!AI1666*'01_Вводные'!$B$131</f>
        <v/>
      </c>
      <c r="AJ1667">
        <f>'19_Расчет_аналитики'!AJ1666*'01_Вводные'!$B$131</f>
        <v/>
      </c>
      <c r="AK1667">
        <f>'19_Расчет_аналитики'!AK1666*'01_Вводные'!$B$131</f>
        <v/>
      </c>
      <c r="AL1667">
        <f>'19_Расчет_аналитики'!AL1666*'01_Вводные'!$B$131</f>
        <v/>
      </c>
      <c r="AM1667">
        <f>'19_Расчет_аналитики'!AM1666*'01_Вводные'!$B$131</f>
        <v/>
      </c>
      <c r="AN1667">
        <f>'19_Расчет_аналитики'!AN1666*'01_Вводные'!$B$131</f>
        <v/>
      </c>
      <c r="AO1667">
        <f>'19_Расчет_аналитики'!AO1666*'01_Вводные'!$B$131</f>
        <v/>
      </c>
      <c r="AP1667">
        <f>'19_Расчет_аналитики'!AP1666*'01_Вводные'!$B$131</f>
        <v/>
      </c>
      <c r="AQ1667">
        <f>'19_Расчет_аналитики'!AQ1666*'01_Вводные'!$B$131</f>
        <v/>
      </c>
      <c r="AR1667">
        <f>'19_Расчет_аналитики'!AR1666*'01_Вводные'!$B$131</f>
        <v/>
      </c>
      <c r="AS1667">
        <f>'19_Расчет_аналитики'!AS1666*'01_Вводные'!$B$131</f>
        <v/>
      </c>
      <c r="AT1667">
        <f>'19_Расчет_аналитики'!AT1666*'01_Вводные'!$B$131</f>
        <v/>
      </c>
      <c r="AU1667">
        <f>'19_Расчет_аналитики'!AU1666*'01_Вводные'!$B$131</f>
        <v/>
      </c>
      <c r="AV1667">
        <f>'19_Расчет_аналитики'!AV1666*'01_Вводные'!$B$131</f>
        <v/>
      </c>
      <c r="AW1667">
        <f>'19_Расчет_аналитики'!AW1666*'01_Вводные'!$B$131</f>
        <v/>
      </c>
      <c r="AX1667">
        <f>'19_Расчет_аналитики'!AX1666*'01_Вводные'!$B$131</f>
        <v/>
      </c>
      <c r="AY1667">
        <f>'19_Расчет_аналитики'!AY1666*'01_Вводные'!$B$131</f>
        <v/>
      </c>
      <c r="AZ1667">
        <f>'19_Расчет_аналитики'!AZ1666*'01_Вводные'!$B$131</f>
        <v/>
      </c>
      <c r="BA1667">
        <f>'19_Расчет_аналитики'!BA1666*'01_Вводные'!$B$131</f>
        <v/>
      </c>
      <c r="BB1667">
        <f>'19_Расчет_аналитики'!BB1666*'01_Вводные'!$B$131</f>
        <v/>
      </c>
      <c r="BC1667">
        <f>'19_Расчет_аналитики'!BC1666*'01_Вводные'!$B$131</f>
        <v/>
      </c>
      <c r="BD1667">
        <f>'19_Расчет_аналитики'!BD1666*'01_Вводные'!$B$131</f>
        <v/>
      </c>
      <c r="BE1667">
        <f>'19_Расчет_аналитики'!BE1666*'01_Вводные'!$B$131</f>
        <v/>
      </c>
      <c r="BF1667">
        <f>'19_Расчет_аналитики'!BF1666*'01_Вводные'!$B$131</f>
        <v/>
      </c>
      <c r="BG1667">
        <f>'19_Расчет_аналитики'!BG1666*'01_Вводные'!$B$131</f>
        <v/>
      </c>
      <c r="BH1667">
        <f>'19_Расчет_аналитики'!BH1666*'01_Вводные'!$B$131</f>
        <v/>
      </c>
      <c r="BI1667">
        <f>'19_Расчет_аналитики'!BI1666*'01_Вводные'!$B$131</f>
        <v/>
      </c>
    </row>
    <row r="1668">
      <c r="C1668">
        <f>IF('19_Расчет_аналитики'!C1350&gt;='01_Вводные'!$B$126,IF('01_Вводные'!$B$129="ИП",'01_Вводные'!$B$127+'19_Расчет_аналитики'!C1361*'01_Вводные'!$B$128,('01_Вводные'!$B$127/'01_Вводные'!$B$132+'19_Расчет_аналитики'!C1361*'01_Вводные'!$B$128)*(1+'01_Вводные'!$B$131)),0)</f>
        <v/>
      </c>
      <c r="D1668">
        <f>IF('19_Расчет_аналитики'!D1350&gt;='01_Вводные'!$B$126,IF('01_Вводные'!$B$129="ИП",'01_Вводные'!$B$127+'19_Расчет_аналитики'!D1361*'01_Вводные'!$B$128,('01_Вводные'!$B$127/'01_Вводные'!$B$132+'19_Расчет_аналитики'!D1361*'01_Вводные'!$B$128)*(1+'01_Вводные'!$B$131)),0)</f>
        <v/>
      </c>
      <c r="E1668">
        <f>IF('19_Расчет_аналитики'!E1350&gt;='01_Вводные'!$B$126,IF('01_Вводные'!$B$129="ИП",'01_Вводные'!$B$127+'19_Расчет_аналитики'!E1361*'01_Вводные'!$B$128,('01_Вводные'!$B$127/'01_Вводные'!$B$132+'19_Расчет_аналитики'!E1361*'01_Вводные'!$B$128)*(1+'01_Вводные'!$B$131)),0)</f>
        <v/>
      </c>
      <c r="F1668">
        <f>IF('19_Расчет_аналитики'!F1350&gt;='01_Вводные'!$B$126,IF('01_Вводные'!$B$129="ИП",'01_Вводные'!$B$127+'19_Расчет_аналитики'!F1361*'01_Вводные'!$B$128,('01_Вводные'!$B$127/'01_Вводные'!$B$132+'19_Расчет_аналитики'!F1361*'01_Вводные'!$B$128)*(1+'01_Вводные'!$B$131)),0)</f>
        <v/>
      </c>
      <c r="G1668">
        <f>IF('19_Расчет_аналитики'!G1350&gt;='01_Вводные'!$B$126,IF('01_Вводные'!$B$129="ИП",'01_Вводные'!$B$127+'19_Расчет_аналитики'!G1361*'01_Вводные'!$B$128,('01_Вводные'!$B$127/'01_Вводные'!$B$132+'19_Расчет_аналитики'!G1361*'01_Вводные'!$B$128)*(1+'01_Вводные'!$B$131)),0)</f>
        <v/>
      </c>
      <c r="H1668">
        <f>IF('19_Расчет_аналитики'!H1350&gt;='01_Вводные'!$B$126,IF('01_Вводные'!$B$129="ИП",'01_Вводные'!$B$127+'19_Расчет_аналитики'!H1361*'01_Вводные'!$B$128,('01_Вводные'!$B$127/'01_Вводные'!$B$132+'19_Расчет_аналитики'!H1361*'01_Вводные'!$B$128)*(1+'01_Вводные'!$B$131)),0)</f>
        <v/>
      </c>
      <c r="I1668">
        <f>IF('19_Расчет_аналитики'!I1350&gt;='01_Вводные'!$B$126,IF('01_Вводные'!$B$129="ИП",'01_Вводные'!$B$127+'19_Расчет_аналитики'!I1361*'01_Вводные'!$B$128,('01_Вводные'!$B$127/'01_Вводные'!$B$132+'19_Расчет_аналитики'!I1361*'01_Вводные'!$B$128)*(1+'01_Вводные'!$B$131)),0)</f>
        <v/>
      </c>
      <c r="J1668">
        <f>IF('19_Расчет_аналитики'!J1350&gt;='01_Вводные'!$B$126,IF('01_Вводные'!$B$129="ИП",'01_Вводные'!$B$127+'19_Расчет_аналитики'!J1361*'01_Вводные'!$B$128,('01_Вводные'!$B$127/'01_Вводные'!$B$132+'19_Расчет_аналитики'!J1361*'01_Вводные'!$B$128)*(1+'01_Вводные'!$B$131)),0)</f>
        <v/>
      </c>
      <c r="K1668">
        <f>IF('19_Расчет_аналитики'!K1350&gt;='01_Вводные'!$B$126,IF('01_Вводные'!$B$129="ИП",'01_Вводные'!$B$127+'19_Расчет_аналитики'!K1361*'01_Вводные'!$B$128,('01_Вводные'!$B$127/'01_Вводные'!$B$132+'19_Расчет_аналитики'!K1361*'01_Вводные'!$B$128)*(1+'01_Вводные'!$B$131)),0)</f>
        <v/>
      </c>
      <c r="L1668">
        <f>IF('19_Расчет_аналитики'!L1350&gt;='01_Вводные'!$B$126,IF('01_Вводные'!$B$129="ИП",'01_Вводные'!$B$127+'19_Расчет_аналитики'!L1361*'01_Вводные'!$B$128,('01_Вводные'!$B$127/'01_Вводные'!$B$132+'19_Расчет_аналитики'!L1361*'01_Вводные'!$B$128)*(1+'01_Вводные'!$B$131)),0)</f>
        <v/>
      </c>
      <c r="M1668">
        <f>IF('19_Расчет_аналитики'!M1350&gt;='01_Вводные'!$B$126,IF('01_Вводные'!$B$129="ИП",'01_Вводные'!$B$127+'19_Расчет_аналитики'!M1361*'01_Вводные'!$B$128,('01_Вводные'!$B$127/'01_Вводные'!$B$132+'19_Расчет_аналитики'!M1361*'01_Вводные'!$B$128)*(1+'01_Вводные'!$B$131)),0)</f>
        <v/>
      </c>
      <c r="N1668">
        <f>IF('19_Расчет_аналитики'!N1350&gt;='01_Вводные'!$B$126,IF('01_Вводные'!$B$129="ИП",'01_Вводные'!$B$127+'19_Расчет_аналитики'!N1361*'01_Вводные'!$B$128,('01_Вводные'!$B$127/'01_Вводные'!$B$132+'19_Расчет_аналитики'!N1361*'01_Вводные'!$B$128)*(1+'01_Вводные'!$B$131)),0)</f>
        <v/>
      </c>
      <c r="O1668">
        <f>IF('19_Расчет_аналитики'!O1350&gt;='01_Вводные'!$B$126,IF('01_Вводные'!$B$129="ИП",'01_Вводные'!$B$127+'19_Расчет_аналитики'!O1361*'01_Вводные'!$B$128,('01_Вводные'!$B$127/'01_Вводные'!$B$132+'19_Расчет_аналитики'!O1361*'01_Вводные'!$B$128)*(1+'01_Вводные'!$B$131)),0)</f>
        <v/>
      </c>
      <c r="P1668">
        <f>IF('19_Расчет_аналитики'!P1350&gt;='01_Вводные'!$B$126,IF('01_Вводные'!$B$129="ИП",'01_Вводные'!$B$127+'19_Расчет_аналитики'!P1361*'01_Вводные'!$B$128,('01_Вводные'!$B$127/'01_Вводные'!$B$132+'19_Расчет_аналитики'!P1361*'01_Вводные'!$B$128)*(1+'01_Вводные'!$B$131)),0)</f>
        <v/>
      </c>
      <c r="Q1668">
        <f>IF('19_Расчет_аналитики'!Q1350&gt;='01_Вводные'!$B$126,IF('01_Вводные'!$B$129="ИП",'01_Вводные'!$B$127+'19_Расчет_аналитики'!Q1361*'01_Вводные'!$B$128,('01_Вводные'!$B$127/'01_Вводные'!$B$132+'19_Расчет_аналитики'!Q1361*'01_Вводные'!$B$128)*(1+'01_Вводные'!$B$131)),0)</f>
        <v/>
      </c>
      <c r="R1668">
        <f>IF('19_Расчет_аналитики'!R1350&gt;='01_Вводные'!$B$126,IF('01_Вводные'!$B$129="ИП",'01_Вводные'!$B$127+'19_Расчет_аналитики'!R1361*'01_Вводные'!$B$128,('01_Вводные'!$B$127/'01_Вводные'!$B$132+'19_Расчет_аналитики'!R1361*'01_Вводные'!$B$128)*(1+'01_Вводные'!$B$131)),0)</f>
        <v/>
      </c>
      <c r="S1668">
        <f>IF('19_Расчет_аналитики'!S1350&gt;='01_Вводные'!$B$126,IF('01_Вводные'!$B$129="ИП",'01_Вводные'!$B$127+'19_Расчет_аналитики'!S1361*'01_Вводные'!$B$128,('01_Вводные'!$B$127/'01_Вводные'!$B$132+'19_Расчет_аналитики'!S1361*'01_Вводные'!$B$128)*(1+'01_Вводные'!$B$131)),0)</f>
        <v/>
      </c>
      <c r="T1668">
        <f>IF('19_Расчет_аналитики'!T1350&gt;='01_Вводные'!$B$126,IF('01_Вводные'!$B$129="ИП",'01_Вводные'!$B$127+'19_Расчет_аналитики'!T1361*'01_Вводные'!$B$128,('01_Вводные'!$B$127/'01_Вводные'!$B$132+'19_Расчет_аналитики'!T1361*'01_Вводные'!$B$128)*(1+'01_Вводные'!$B$131)),0)</f>
        <v/>
      </c>
      <c r="U1668">
        <f>IF('19_Расчет_аналитики'!U1350&gt;='01_Вводные'!$B$126,IF('01_Вводные'!$B$129="ИП",'01_Вводные'!$B$127+'19_Расчет_аналитики'!U1361*'01_Вводные'!$B$128,('01_Вводные'!$B$127/'01_Вводные'!$B$132+'19_Расчет_аналитики'!U1361*'01_Вводные'!$B$128)*(1+'01_Вводные'!$B$131)),0)</f>
        <v/>
      </c>
      <c r="V1668">
        <f>IF('19_Расчет_аналитики'!V1350&gt;='01_Вводные'!$B$126,IF('01_Вводные'!$B$129="ИП",'01_Вводные'!$B$127+'19_Расчет_аналитики'!V1361*'01_Вводные'!$B$128,('01_Вводные'!$B$127/'01_Вводные'!$B$132+'19_Расчет_аналитики'!V1361*'01_Вводные'!$B$128)*(1+'01_Вводные'!$B$131)),0)</f>
        <v/>
      </c>
      <c r="W1668">
        <f>IF('19_Расчет_аналитики'!W1350&gt;='01_Вводные'!$B$126,IF('01_Вводные'!$B$129="ИП",'01_Вводные'!$B$127+'19_Расчет_аналитики'!W1361*'01_Вводные'!$B$128,('01_Вводные'!$B$127/'01_Вводные'!$B$132+'19_Расчет_аналитики'!W1361*'01_Вводные'!$B$128)*(1+'01_Вводные'!$B$131)),0)</f>
        <v/>
      </c>
      <c r="X1668">
        <f>IF('19_Расчет_аналитики'!X1350&gt;='01_Вводные'!$B$126,IF('01_Вводные'!$B$129="ИП",'01_Вводные'!$B$127+'19_Расчет_аналитики'!X1361*'01_Вводные'!$B$128,('01_Вводные'!$B$127/'01_Вводные'!$B$132+'19_Расчет_аналитики'!X1361*'01_Вводные'!$B$128)*(1+'01_Вводные'!$B$131)),0)</f>
        <v/>
      </c>
      <c r="Y1668">
        <f>IF('19_Расчет_аналитики'!Y1350&gt;='01_Вводные'!$B$126,IF('01_Вводные'!$B$129="ИП",'01_Вводные'!$B$127+'19_Расчет_аналитики'!Y1361*'01_Вводные'!$B$128,('01_Вводные'!$B$127/'01_Вводные'!$B$132+'19_Расчет_аналитики'!Y1361*'01_Вводные'!$B$128)*(1+'01_Вводные'!$B$131)),0)</f>
        <v/>
      </c>
      <c r="Z1668">
        <f>IF('19_Расчет_аналитики'!Z1350&gt;='01_Вводные'!$B$126,IF('01_Вводные'!$B$129="ИП",'01_Вводные'!$B$127+'19_Расчет_аналитики'!Z1361*'01_Вводные'!$B$128,('01_Вводные'!$B$127/'01_Вводные'!$B$132+'19_Расчет_аналитики'!Z1361*'01_Вводные'!$B$128)*(1+'01_Вводные'!$B$131)),0)</f>
        <v/>
      </c>
      <c r="AA1668">
        <f>IF('19_Расчет_аналитики'!AA1350&gt;='01_Вводные'!$B$126,IF('01_Вводные'!$B$129="ИП",'01_Вводные'!$B$127+'19_Расчет_аналитики'!AA1361*'01_Вводные'!$B$128,('01_Вводные'!$B$127/'01_Вводные'!$B$132+'19_Расчет_аналитики'!AA1361*'01_Вводные'!$B$128)*(1+'01_Вводные'!$B$131)),0)</f>
        <v/>
      </c>
      <c r="AB1668">
        <f>IF('19_Расчет_аналитики'!AB1350&gt;='01_Вводные'!$B$126,IF('01_Вводные'!$B$129="ИП",'01_Вводные'!$B$127+'19_Расчет_аналитики'!AB1361*'01_Вводные'!$B$128,('01_Вводные'!$B$127/'01_Вводные'!$B$132+'19_Расчет_аналитики'!AB1361*'01_Вводные'!$B$128)*(1+'01_Вводные'!$B$131)),0)</f>
        <v/>
      </c>
      <c r="AC1668">
        <f>IF('19_Расчет_аналитики'!AC1350&gt;='01_Вводные'!$B$126,IF('01_Вводные'!$B$129="ИП",'01_Вводные'!$B$127+'19_Расчет_аналитики'!AC1361*'01_Вводные'!$B$128,('01_Вводные'!$B$127/'01_Вводные'!$B$132+'19_Расчет_аналитики'!AC1361*'01_Вводные'!$B$128)*(1+'01_Вводные'!$B$131)),0)</f>
        <v/>
      </c>
      <c r="AD1668">
        <f>IF('19_Расчет_аналитики'!AD1350&gt;='01_Вводные'!$B$126,IF('01_Вводные'!$B$129="ИП",'01_Вводные'!$B$127+'19_Расчет_аналитики'!AD1361*'01_Вводные'!$B$128,('01_Вводные'!$B$127/'01_Вводные'!$B$132+'19_Расчет_аналитики'!AD1361*'01_Вводные'!$B$128)*(1+'01_Вводные'!$B$131)),0)</f>
        <v/>
      </c>
      <c r="AE1668">
        <f>IF('19_Расчет_аналитики'!AE1350&gt;='01_Вводные'!$B$126,IF('01_Вводные'!$B$129="ИП",'01_Вводные'!$B$127+'19_Расчет_аналитики'!AE1361*'01_Вводные'!$B$128,('01_Вводные'!$B$127/'01_Вводные'!$B$132+'19_Расчет_аналитики'!AE1361*'01_Вводные'!$B$128)*(1+'01_Вводные'!$B$131)),0)</f>
        <v/>
      </c>
      <c r="AF1668">
        <f>IF('19_Расчет_аналитики'!AF1350&gt;='01_Вводные'!$B$126,IF('01_Вводные'!$B$129="ИП",'01_Вводные'!$B$127+'19_Расчет_аналитики'!AF1361*'01_Вводные'!$B$128,('01_Вводные'!$B$127/'01_Вводные'!$B$132+'19_Расчет_аналитики'!AF1361*'01_Вводные'!$B$128)*(1+'01_Вводные'!$B$131)),0)</f>
        <v/>
      </c>
      <c r="AG1668">
        <f>IF('19_Расчет_аналитики'!AG1350&gt;='01_Вводные'!$B$126,IF('01_Вводные'!$B$129="ИП",'01_Вводные'!$B$127+'19_Расчет_аналитики'!AG1361*'01_Вводные'!$B$128,('01_Вводные'!$B$127/'01_Вводные'!$B$132+'19_Расчет_аналитики'!AG1361*'01_Вводные'!$B$128)*(1+'01_Вводные'!$B$131)),0)</f>
        <v/>
      </c>
      <c r="AH1668">
        <f>IF('19_Расчет_аналитики'!AH1350&gt;='01_Вводные'!$B$126,IF('01_Вводные'!$B$129="ИП",'01_Вводные'!$B$127+'19_Расчет_аналитики'!AH1361*'01_Вводные'!$B$128,('01_Вводные'!$B$127/'01_Вводные'!$B$132+'19_Расчет_аналитики'!AH1361*'01_Вводные'!$B$128)*(1+'01_Вводные'!$B$131)),0)</f>
        <v/>
      </c>
      <c r="AI1668">
        <f>IF('19_Расчет_аналитики'!AI1350&gt;='01_Вводные'!$B$126,IF('01_Вводные'!$B$129="ИП",'01_Вводные'!$B$127+'19_Расчет_аналитики'!AI1361*'01_Вводные'!$B$128,('01_Вводные'!$B$127/'01_Вводные'!$B$132+'19_Расчет_аналитики'!AI1361*'01_Вводные'!$B$128)*(1+'01_Вводные'!$B$131)),0)</f>
        <v/>
      </c>
      <c r="AJ1668">
        <f>IF('19_Расчет_аналитики'!AJ1350&gt;='01_Вводные'!$B$126,IF('01_Вводные'!$B$129="ИП",'01_Вводные'!$B$127+'19_Расчет_аналитики'!AJ1361*'01_Вводные'!$B$128,('01_Вводные'!$B$127/'01_Вводные'!$B$132+'19_Расчет_аналитики'!AJ1361*'01_Вводные'!$B$128)*(1+'01_Вводные'!$B$131)),0)</f>
        <v/>
      </c>
      <c r="AK1668">
        <f>IF('19_Расчет_аналитики'!AK1350&gt;='01_Вводные'!$B$126,IF('01_Вводные'!$B$129="ИП",'01_Вводные'!$B$127+'19_Расчет_аналитики'!AK1361*'01_Вводные'!$B$128,('01_Вводные'!$B$127/'01_Вводные'!$B$132+'19_Расчет_аналитики'!AK1361*'01_Вводные'!$B$128)*(1+'01_Вводные'!$B$131)),0)</f>
        <v/>
      </c>
      <c r="AL1668">
        <f>IF('19_Расчет_аналитики'!AL1350&gt;='01_Вводные'!$B$126,IF('01_Вводные'!$B$129="ИП",'01_Вводные'!$B$127+'19_Расчет_аналитики'!AL1361*'01_Вводные'!$B$128,('01_Вводные'!$B$127/'01_Вводные'!$B$132+'19_Расчет_аналитики'!AL1361*'01_Вводные'!$B$128)*(1+'01_Вводные'!$B$131)),0)</f>
        <v/>
      </c>
      <c r="AM1668">
        <f>IF('19_Расчет_аналитики'!AM1350&gt;='01_Вводные'!$B$126,IF('01_Вводные'!$B$129="ИП",'01_Вводные'!$B$127+'19_Расчет_аналитики'!AM1361*'01_Вводные'!$B$128,('01_Вводные'!$B$127/'01_Вводные'!$B$132+'19_Расчет_аналитики'!AM1361*'01_Вводные'!$B$128)*(1+'01_Вводные'!$B$131)),0)</f>
        <v/>
      </c>
      <c r="AN1668">
        <f>IF('19_Расчет_аналитики'!AN1350&gt;='01_Вводные'!$B$126,IF('01_Вводные'!$B$129="ИП",'01_Вводные'!$B$127+'19_Расчет_аналитики'!AN1361*'01_Вводные'!$B$128,('01_Вводные'!$B$127/'01_Вводные'!$B$132+'19_Расчет_аналитики'!AN1361*'01_Вводные'!$B$128)*(1+'01_Вводные'!$B$131)),0)</f>
        <v/>
      </c>
      <c r="AO1668">
        <f>IF('19_Расчет_аналитики'!AO1350&gt;='01_Вводные'!$B$126,IF('01_Вводные'!$B$129="ИП",'01_Вводные'!$B$127+'19_Расчет_аналитики'!AO1361*'01_Вводные'!$B$128,('01_Вводные'!$B$127/'01_Вводные'!$B$132+'19_Расчет_аналитики'!AO1361*'01_Вводные'!$B$128)*(1+'01_Вводные'!$B$131)),0)</f>
        <v/>
      </c>
      <c r="AP1668">
        <f>IF('19_Расчет_аналитики'!AP1350&gt;='01_Вводные'!$B$126,IF('01_Вводные'!$B$129="ИП",'01_Вводные'!$B$127+'19_Расчет_аналитики'!AP1361*'01_Вводные'!$B$128,('01_Вводные'!$B$127/'01_Вводные'!$B$132+'19_Расчет_аналитики'!AP1361*'01_Вводные'!$B$128)*(1+'01_Вводные'!$B$131)),0)</f>
        <v/>
      </c>
      <c r="AQ1668">
        <f>IF('19_Расчет_аналитики'!AQ1350&gt;='01_Вводные'!$B$126,IF('01_Вводные'!$B$129="ИП",'01_Вводные'!$B$127+'19_Расчет_аналитики'!AQ1361*'01_Вводные'!$B$128,('01_Вводные'!$B$127/'01_Вводные'!$B$132+'19_Расчет_аналитики'!AQ1361*'01_Вводные'!$B$128)*(1+'01_Вводные'!$B$131)),0)</f>
        <v/>
      </c>
      <c r="AR1668">
        <f>IF('19_Расчет_аналитики'!AR1350&gt;='01_Вводные'!$B$126,IF('01_Вводные'!$B$129="ИП",'01_Вводные'!$B$127+'19_Расчет_аналитики'!AR1361*'01_Вводные'!$B$128,('01_Вводные'!$B$127/'01_Вводные'!$B$132+'19_Расчет_аналитики'!AR1361*'01_Вводные'!$B$128)*(1+'01_Вводные'!$B$131)),0)</f>
        <v/>
      </c>
      <c r="AS1668">
        <f>IF('19_Расчет_аналитики'!AS1350&gt;='01_Вводные'!$B$126,IF('01_Вводные'!$B$129="ИП",'01_Вводные'!$B$127+'19_Расчет_аналитики'!AS1361*'01_Вводные'!$B$128,('01_Вводные'!$B$127/'01_Вводные'!$B$132+'19_Расчет_аналитики'!AS1361*'01_Вводные'!$B$128)*(1+'01_Вводные'!$B$131)),0)</f>
        <v/>
      </c>
      <c r="AT1668">
        <f>IF('19_Расчет_аналитики'!AT1350&gt;='01_Вводные'!$B$126,IF('01_Вводные'!$B$129="ИП",'01_Вводные'!$B$127+'19_Расчет_аналитики'!AT1361*'01_Вводные'!$B$128,('01_Вводные'!$B$127/'01_Вводные'!$B$132+'19_Расчет_аналитики'!AT1361*'01_Вводные'!$B$128)*(1+'01_Вводные'!$B$131)),0)</f>
        <v/>
      </c>
      <c r="AU1668">
        <f>IF('19_Расчет_аналитики'!AU1350&gt;='01_Вводные'!$B$126,IF('01_Вводные'!$B$129="ИП",'01_Вводные'!$B$127+'19_Расчет_аналитики'!AU1361*'01_Вводные'!$B$128,('01_Вводные'!$B$127/'01_Вводные'!$B$132+'19_Расчет_аналитики'!AU1361*'01_Вводные'!$B$128)*(1+'01_Вводные'!$B$131)),0)</f>
        <v/>
      </c>
      <c r="AV1668">
        <f>IF('19_Расчет_аналитики'!AV1350&gt;='01_Вводные'!$B$126,IF('01_Вводные'!$B$129="ИП",'01_Вводные'!$B$127+'19_Расчет_аналитики'!AV1361*'01_Вводные'!$B$128,('01_Вводные'!$B$127/'01_Вводные'!$B$132+'19_Расчет_аналитики'!AV1361*'01_Вводные'!$B$128)*(1+'01_Вводные'!$B$131)),0)</f>
        <v/>
      </c>
      <c r="AW1668">
        <f>IF('19_Расчет_аналитики'!AW1350&gt;='01_Вводные'!$B$126,IF('01_Вводные'!$B$129="ИП",'01_Вводные'!$B$127+'19_Расчет_аналитики'!AW1361*'01_Вводные'!$B$128,('01_Вводные'!$B$127/'01_Вводные'!$B$132+'19_Расчет_аналитики'!AW1361*'01_Вводные'!$B$128)*(1+'01_Вводные'!$B$131)),0)</f>
        <v/>
      </c>
      <c r="AX1668">
        <f>IF('19_Расчет_аналитики'!AX1350&gt;='01_Вводные'!$B$126,IF('01_Вводные'!$B$129="ИП",'01_Вводные'!$B$127+'19_Расчет_аналитики'!AX1361*'01_Вводные'!$B$128,('01_Вводные'!$B$127/'01_Вводные'!$B$132+'19_Расчет_аналитики'!AX1361*'01_Вводные'!$B$128)*(1+'01_Вводные'!$B$131)),0)</f>
        <v/>
      </c>
      <c r="AY1668">
        <f>IF('19_Расчет_аналитики'!AY1350&gt;='01_Вводные'!$B$126,IF('01_Вводные'!$B$129="ИП",'01_Вводные'!$B$127+'19_Расчет_аналитики'!AY1361*'01_Вводные'!$B$128,('01_Вводные'!$B$127/'01_Вводные'!$B$132+'19_Расчет_аналитики'!AY1361*'01_Вводные'!$B$128)*(1+'01_Вводные'!$B$131)),0)</f>
        <v/>
      </c>
      <c r="AZ1668">
        <f>IF('19_Расчет_аналитики'!AZ1350&gt;='01_Вводные'!$B$126,IF('01_Вводные'!$B$129="ИП",'01_Вводные'!$B$127+'19_Расчет_аналитики'!AZ1361*'01_Вводные'!$B$128,('01_Вводные'!$B$127/'01_Вводные'!$B$132+'19_Расчет_аналитики'!AZ1361*'01_Вводные'!$B$128)*(1+'01_Вводные'!$B$131)),0)</f>
        <v/>
      </c>
      <c r="BA1668">
        <f>IF('19_Расчет_аналитики'!BA1350&gt;='01_Вводные'!$B$126,IF('01_Вводные'!$B$129="ИП",'01_Вводные'!$B$127+'19_Расчет_аналитики'!BA1361*'01_Вводные'!$B$128,('01_Вводные'!$B$127/'01_Вводные'!$B$132+'19_Расчет_аналитики'!BA1361*'01_Вводные'!$B$128)*(1+'01_Вводные'!$B$131)),0)</f>
        <v/>
      </c>
      <c r="BB1668">
        <f>IF('19_Расчет_аналитики'!BB1350&gt;='01_Вводные'!$B$126,IF('01_Вводные'!$B$129="ИП",'01_Вводные'!$B$127+'19_Расчет_аналитики'!BB1361*'01_Вводные'!$B$128,('01_Вводные'!$B$127/'01_Вводные'!$B$132+'19_Расчет_аналитики'!BB1361*'01_Вводные'!$B$128)*(1+'01_Вводные'!$B$131)),0)</f>
        <v/>
      </c>
      <c r="BC1668">
        <f>IF('19_Расчет_аналитики'!BC1350&gt;='01_Вводные'!$B$126,IF('01_Вводные'!$B$129="ИП",'01_Вводные'!$B$127+'19_Расчет_аналитики'!BC1361*'01_Вводные'!$B$128,('01_Вводные'!$B$127/'01_Вводные'!$B$132+'19_Расчет_аналитики'!BC1361*'01_Вводные'!$B$128)*(1+'01_Вводные'!$B$131)),0)</f>
        <v/>
      </c>
      <c r="BD1668">
        <f>IF('19_Расчет_аналитики'!BD1350&gt;='01_Вводные'!$B$126,IF('01_Вводные'!$B$129="ИП",'01_Вводные'!$B$127+'19_Расчет_аналитики'!BD1361*'01_Вводные'!$B$128,('01_Вводные'!$B$127/'01_Вводные'!$B$132+'19_Расчет_аналитики'!BD1361*'01_Вводные'!$B$128)*(1+'01_Вводные'!$B$131)),0)</f>
        <v/>
      </c>
      <c r="BE1668">
        <f>IF('19_Расчет_аналитики'!BE1350&gt;='01_Вводные'!$B$126,IF('01_Вводные'!$B$129="ИП",'01_Вводные'!$B$127+'19_Расчет_аналитики'!BE1361*'01_Вводные'!$B$128,('01_Вводные'!$B$127/'01_Вводные'!$B$132+'19_Расчет_аналитики'!BE1361*'01_Вводные'!$B$128)*(1+'01_Вводные'!$B$131)),0)</f>
        <v/>
      </c>
      <c r="BF1668">
        <f>IF('19_Расчет_аналитики'!BF1350&gt;='01_Вводные'!$B$126,IF('01_Вводные'!$B$129="ИП",'01_Вводные'!$B$127+'19_Расчет_аналитики'!BF1361*'01_Вводные'!$B$128,('01_Вводные'!$B$127/'01_Вводные'!$B$132+'19_Расчет_аналитики'!BF1361*'01_Вводные'!$B$128)*(1+'01_Вводные'!$B$131)),0)</f>
        <v/>
      </c>
      <c r="BG1668">
        <f>IF('19_Расчет_аналитики'!BG1350&gt;='01_Вводные'!$B$126,IF('01_Вводные'!$B$129="ИП",'01_Вводные'!$B$127+'19_Расчет_аналитики'!BG1361*'01_Вводные'!$B$128,('01_Вводные'!$B$127/'01_Вводные'!$B$132+'19_Расчет_аналитики'!BG1361*'01_Вводные'!$B$128)*(1+'01_Вводные'!$B$131)),0)</f>
        <v/>
      </c>
      <c r="BH1668">
        <f>IF('19_Расчет_аналитики'!BH1350&gt;='01_Вводные'!$B$126,IF('01_Вводные'!$B$129="ИП",'01_Вводные'!$B$127+'19_Расчет_аналитики'!BH1361*'01_Вводные'!$B$128,('01_Вводные'!$B$127/'01_Вводные'!$B$132+'19_Расчет_аналитики'!BH1361*'01_Вводные'!$B$128)*(1+'01_Вводные'!$B$131)),0)</f>
        <v/>
      </c>
      <c r="BI1668">
        <f>IF('19_Расчет_аналитики'!BI1350&gt;='01_Вводные'!$B$126,IF('01_Вводные'!$B$129="ИП",'01_Вводные'!$B$127+'19_Расчет_аналитики'!BI1361*'01_Вводные'!$B$128,('01_Вводные'!$B$127/'01_Вводные'!$B$132+'19_Расчет_аналитики'!BI1361*'01_Вводные'!$B$128)*(1+'01_Вводные'!$B$131)),0)</f>
        <v/>
      </c>
    </row>
    <row r="1669"/>
    <row r="1670"/>
    <row r="1671"/>
    <row r="1672"/>
    <row r="1673">
      <c r="C1673">
        <f>(MAX(0,'19_Расчет_аналитики'!C1659-'08_ФОТ'!B10)*'01_Вводные'!$B$119*'08_ФОТ'!C5+IF('08_ФОТ'!C$3='01_Вводные'!$B$247,'01_Вводные'!$B$133/'01_Вводные'!$B$132,0)+IF('08_ФОТ'!C$3='01_Вводные'!$B$248,'01_Вводные'!$B$134/'01_Вводные'!$B$132,0))*'01_Вводные'!$B$120</f>
        <v/>
      </c>
      <c r="D1673">
        <f>(MAX(0,'19_Расчет_аналитики'!D1659-'19_Расчет_аналитики'!C1659)*'01_Вводные'!$B$119*'08_ФОТ'!D5+IF('08_ФОТ'!D$3='01_Вводные'!$B$247,'01_Вводные'!$B$133/'01_Вводные'!$B$132,0)+IF('08_ФОТ'!D$3='01_Вводные'!$B$248,'01_Вводные'!$B$134/'01_Вводные'!$B$132,0))*'01_Вводные'!$B$120</f>
        <v/>
      </c>
      <c r="E1673">
        <f>(MAX(0,'19_Расчет_аналитики'!E1659-'19_Расчет_аналитики'!D1659)*'01_Вводные'!$B$119*'08_ФОТ'!E5+IF('08_ФОТ'!E$3='01_Вводные'!$B$247,'01_Вводные'!$B$133/'01_Вводные'!$B$132,0)+IF('08_ФОТ'!E$3='01_Вводные'!$B$248,'01_Вводные'!$B$134/'01_Вводные'!$B$132,0))*'01_Вводные'!$B$120</f>
        <v/>
      </c>
      <c r="F1673">
        <f>(MAX(0,'19_Расчет_аналитики'!F1659-'19_Расчет_аналитики'!E1659)*'01_Вводные'!$B$119*'08_ФОТ'!F5+IF('08_ФОТ'!F$3='01_Вводные'!$B$247,'01_Вводные'!$B$133/'01_Вводные'!$B$132,0)+IF('08_ФОТ'!F$3='01_Вводные'!$B$248,'01_Вводные'!$B$134/'01_Вводные'!$B$132,0))*'01_Вводные'!$B$120</f>
        <v/>
      </c>
      <c r="G1673">
        <f>(MAX(0,'19_Расчет_аналитики'!G1659-'19_Расчет_аналитики'!F1659)*'01_Вводные'!$B$119*'08_ФОТ'!G5+IF('08_ФОТ'!G$3='01_Вводные'!$B$247,'01_Вводные'!$B$133/'01_Вводные'!$B$132,0)+IF('08_ФОТ'!G$3='01_Вводные'!$B$248,'01_Вводные'!$B$134/'01_Вводные'!$B$132,0))*'01_Вводные'!$B$120</f>
        <v/>
      </c>
      <c r="H1673">
        <f>(MAX(0,'19_Расчет_аналитики'!H1659-'19_Расчет_аналитики'!G1659)*'01_Вводные'!$B$119*'08_ФОТ'!H5+IF('08_ФОТ'!H$3='01_Вводные'!$B$247,'01_Вводные'!$B$133/'01_Вводные'!$B$132,0)+IF('08_ФОТ'!H$3='01_Вводные'!$B$248,'01_Вводные'!$B$134/'01_Вводные'!$B$132,0))*'01_Вводные'!$B$120</f>
        <v/>
      </c>
      <c r="I1673">
        <f>(MAX(0,'19_Расчет_аналитики'!I1659-'19_Расчет_аналитики'!H1659)*'01_Вводные'!$B$119*'08_ФОТ'!I5+IF('08_ФОТ'!I$3='01_Вводные'!$B$247,'01_Вводные'!$B$133/'01_Вводные'!$B$132,0)+IF('08_ФОТ'!I$3='01_Вводные'!$B$248,'01_Вводные'!$B$134/'01_Вводные'!$B$132,0))*'01_Вводные'!$B$120</f>
        <v/>
      </c>
      <c r="J1673">
        <f>(MAX(0,'19_Расчет_аналитики'!J1659-'19_Расчет_аналитики'!I1659)*'01_Вводные'!$B$119*'08_ФОТ'!J5+IF('08_ФОТ'!J$3='01_Вводные'!$B$247,'01_Вводные'!$B$133/'01_Вводные'!$B$132,0)+IF('08_ФОТ'!J$3='01_Вводные'!$B$248,'01_Вводные'!$B$134/'01_Вводные'!$B$132,0))*'01_Вводные'!$B$120</f>
        <v/>
      </c>
      <c r="K1673">
        <f>(MAX(0,'19_Расчет_аналитики'!K1659-'19_Расчет_аналитики'!J1659)*'01_Вводные'!$B$119*'08_ФОТ'!K5+IF('08_ФОТ'!K$3='01_Вводные'!$B$247,'01_Вводные'!$B$133/'01_Вводные'!$B$132,0)+IF('08_ФОТ'!K$3='01_Вводные'!$B$248,'01_Вводные'!$B$134/'01_Вводные'!$B$132,0))*'01_Вводные'!$B$120</f>
        <v/>
      </c>
      <c r="L1673">
        <f>(MAX(0,'19_Расчет_аналитики'!L1659-'19_Расчет_аналитики'!K1659)*'01_Вводные'!$B$119*'08_ФОТ'!L5+IF('08_ФОТ'!L$3='01_Вводные'!$B$247,'01_Вводные'!$B$133/'01_Вводные'!$B$132,0)+IF('08_ФОТ'!L$3='01_Вводные'!$B$248,'01_Вводные'!$B$134/'01_Вводные'!$B$132,0))*'01_Вводные'!$B$120</f>
        <v/>
      </c>
      <c r="M1673">
        <f>(MAX(0,'19_Расчет_аналитики'!M1659-'19_Расчет_аналитики'!L1659)*'01_Вводные'!$B$119*'08_ФОТ'!M5+IF('08_ФОТ'!M$3='01_Вводные'!$B$247,'01_Вводные'!$B$133/'01_Вводные'!$B$132,0)+IF('08_ФОТ'!M$3='01_Вводные'!$B$248,'01_Вводные'!$B$134/'01_Вводные'!$B$132,0))*'01_Вводные'!$B$120</f>
        <v/>
      </c>
      <c r="N1673">
        <f>(MAX(0,'19_Расчет_аналитики'!N1659-'19_Расчет_аналитики'!M1659)*'01_Вводные'!$B$119*'08_ФОТ'!N5+IF('08_ФОТ'!N$3='01_Вводные'!$B$247,'01_Вводные'!$B$133/'01_Вводные'!$B$132,0)+IF('08_ФОТ'!N$3='01_Вводные'!$B$248,'01_Вводные'!$B$134/'01_Вводные'!$B$132,0))*'01_Вводные'!$B$120</f>
        <v/>
      </c>
      <c r="O1673">
        <f>(MAX(0,'19_Расчет_аналитики'!O1659-'19_Расчет_аналитики'!N1659)*'01_Вводные'!$B$119*'08_ФОТ'!O5+IF('08_ФОТ'!O$3='01_Вводные'!$B$247,'01_Вводные'!$B$133/'01_Вводные'!$B$132,0)+IF('08_ФОТ'!O$3='01_Вводные'!$B$248,'01_Вводные'!$B$134/'01_Вводные'!$B$132,0))*'01_Вводные'!$B$120</f>
        <v/>
      </c>
      <c r="P1673">
        <f>(MAX(0,'19_Расчет_аналитики'!P1659-'19_Расчет_аналитики'!O1659)*'01_Вводные'!$B$119*'08_ФОТ'!P5+IF('08_ФОТ'!P$3='01_Вводные'!$B$247,'01_Вводные'!$B$133/'01_Вводные'!$B$132,0)+IF('08_ФОТ'!P$3='01_Вводные'!$B$248,'01_Вводные'!$B$134/'01_Вводные'!$B$132,0))*'01_Вводные'!$B$120</f>
        <v/>
      </c>
      <c r="Q1673">
        <f>(MAX(0,'19_Расчет_аналитики'!Q1659-'19_Расчет_аналитики'!P1659)*'01_Вводные'!$B$119*'08_ФОТ'!Q5+IF('08_ФОТ'!Q$3='01_Вводные'!$B$247,'01_Вводные'!$B$133/'01_Вводные'!$B$132,0)+IF('08_ФОТ'!Q$3='01_Вводные'!$B$248,'01_Вводные'!$B$134/'01_Вводные'!$B$132,0))*'01_Вводные'!$B$120</f>
        <v/>
      </c>
      <c r="R1673">
        <f>(MAX(0,'19_Расчет_аналитики'!R1659-'19_Расчет_аналитики'!Q1659)*'01_Вводные'!$B$119*'08_ФОТ'!R5+IF('08_ФОТ'!R$3='01_Вводные'!$B$247,'01_Вводные'!$B$133/'01_Вводные'!$B$132,0)+IF('08_ФОТ'!R$3='01_Вводные'!$B$248,'01_Вводные'!$B$134/'01_Вводные'!$B$132,0))*'01_Вводные'!$B$120</f>
        <v/>
      </c>
      <c r="S1673">
        <f>(MAX(0,'19_Расчет_аналитики'!S1659-'19_Расчет_аналитики'!R1659)*'01_Вводные'!$B$119*'08_ФОТ'!S5+IF('08_ФОТ'!S$3='01_Вводные'!$B$247,'01_Вводные'!$B$133/'01_Вводные'!$B$132,0)+IF('08_ФОТ'!S$3='01_Вводные'!$B$248,'01_Вводные'!$B$134/'01_Вводные'!$B$132,0))*'01_Вводные'!$B$120</f>
        <v/>
      </c>
      <c r="T1673">
        <f>(MAX(0,'19_Расчет_аналитики'!T1659-'19_Расчет_аналитики'!S1659)*'01_Вводные'!$B$119*'08_ФОТ'!T5+IF('08_ФОТ'!T$3='01_Вводные'!$B$247,'01_Вводные'!$B$133/'01_Вводные'!$B$132,0)+IF('08_ФОТ'!T$3='01_Вводные'!$B$248,'01_Вводные'!$B$134/'01_Вводные'!$B$132,0))*'01_Вводные'!$B$120</f>
        <v/>
      </c>
      <c r="U1673">
        <f>(MAX(0,'19_Расчет_аналитики'!U1659-'19_Расчет_аналитики'!T1659)*'01_Вводные'!$B$119*'08_ФОТ'!U5+IF('08_ФОТ'!U$3='01_Вводные'!$B$247,'01_Вводные'!$B$133/'01_Вводные'!$B$132,0)+IF('08_ФОТ'!U$3='01_Вводные'!$B$248,'01_Вводные'!$B$134/'01_Вводные'!$B$132,0))*'01_Вводные'!$B$120</f>
        <v/>
      </c>
      <c r="V1673">
        <f>(MAX(0,'19_Расчет_аналитики'!V1659-'19_Расчет_аналитики'!U1659)*'01_Вводные'!$B$119*'08_ФОТ'!V5+IF('08_ФОТ'!V$3='01_Вводные'!$B$247,'01_Вводные'!$B$133/'01_Вводные'!$B$132,0)+IF('08_ФОТ'!V$3='01_Вводные'!$B$248,'01_Вводные'!$B$134/'01_Вводные'!$B$132,0))*'01_Вводные'!$B$120</f>
        <v/>
      </c>
      <c r="W1673">
        <f>(MAX(0,'19_Расчет_аналитики'!W1659-'19_Расчет_аналитики'!V1659)*'01_Вводные'!$B$119*'08_ФОТ'!W5+IF('08_ФОТ'!W$3='01_Вводные'!$B$247,'01_Вводные'!$B$133/'01_Вводные'!$B$132,0)+IF('08_ФОТ'!W$3='01_Вводные'!$B$248,'01_Вводные'!$B$134/'01_Вводные'!$B$132,0))*'01_Вводные'!$B$120</f>
        <v/>
      </c>
      <c r="X1673">
        <f>(MAX(0,'19_Расчет_аналитики'!X1659-'19_Расчет_аналитики'!W1659)*'01_Вводные'!$B$119*'08_ФОТ'!X5+IF('08_ФОТ'!X$3='01_Вводные'!$B$247,'01_Вводные'!$B$133/'01_Вводные'!$B$132,0)+IF('08_ФОТ'!X$3='01_Вводные'!$B$248,'01_Вводные'!$B$134/'01_Вводные'!$B$132,0))*'01_Вводные'!$B$120</f>
        <v/>
      </c>
      <c r="Y1673">
        <f>(MAX(0,'19_Расчет_аналитики'!Y1659-'19_Расчет_аналитики'!X1659)*'01_Вводные'!$B$119*'08_ФОТ'!Y5+IF('08_ФОТ'!Y$3='01_Вводные'!$B$247,'01_Вводные'!$B$133/'01_Вводные'!$B$132,0)+IF('08_ФОТ'!Y$3='01_Вводные'!$B$248,'01_Вводные'!$B$134/'01_Вводные'!$B$132,0))*'01_Вводные'!$B$120</f>
        <v/>
      </c>
      <c r="Z1673">
        <f>(MAX(0,'19_Расчет_аналитики'!Z1659-'19_Расчет_аналитики'!Y1659)*'01_Вводные'!$B$119*'08_ФОТ'!Z5+IF('08_ФОТ'!Z$3='01_Вводные'!$B$247,'01_Вводные'!$B$133/'01_Вводные'!$B$132,0)+IF('08_ФОТ'!Z$3='01_Вводные'!$B$248,'01_Вводные'!$B$134/'01_Вводные'!$B$132,0))*'01_Вводные'!$B$120</f>
        <v/>
      </c>
      <c r="AA1673">
        <f>(MAX(0,'19_Расчет_аналитики'!AA1659-'19_Расчет_аналитики'!Z1659)*'01_Вводные'!$B$119*'08_ФОТ'!AA5+IF('08_ФОТ'!AA$3='01_Вводные'!$B$247,'01_Вводные'!$B$133/'01_Вводные'!$B$132,0)+IF('08_ФОТ'!AA$3='01_Вводные'!$B$248,'01_Вводные'!$B$134/'01_Вводные'!$B$132,0))*'01_Вводные'!$B$120</f>
        <v/>
      </c>
      <c r="AB1673">
        <f>(MAX(0,'19_Расчет_аналитики'!AB1659-'19_Расчет_аналитики'!AA1659)*'01_Вводные'!$B$119*'08_ФОТ'!AB5+IF('08_ФОТ'!AB$3='01_Вводные'!$B$247,'01_Вводные'!$B$133/'01_Вводные'!$B$132,0)+IF('08_ФОТ'!AB$3='01_Вводные'!$B$248,'01_Вводные'!$B$134/'01_Вводные'!$B$132,0))*'01_Вводные'!$B$120</f>
        <v/>
      </c>
      <c r="AC1673">
        <f>(MAX(0,'19_Расчет_аналитики'!AC1659-'19_Расчет_аналитики'!AB1659)*'01_Вводные'!$B$119*'08_ФОТ'!AC5+IF('08_ФОТ'!AC$3='01_Вводные'!$B$247,'01_Вводные'!$B$133/'01_Вводные'!$B$132,0)+IF('08_ФОТ'!AC$3='01_Вводные'!$B$248,'01_Вводные'!$B$134/'01_Вводные'!$B$132,0))*'01_Вводные'!$B$120</f>
        <v/>
      </c>
      <c r="AD1673">
        <f>(MAX(0,'19_Расчет_аналитики'!AD1659-'19_Расчет_аналитики'!AC1659)*'01_Вводные'!$B$119*'08_ФОТ'!AD5+IF('08_ФОТ'!AD$3='01_Вводные'!$B$247,'01_Вводные'!$B$133/'01_Вводные'!$B$132,0)+IF('08_ФОТ'!AD$3='01_Вводные'!$B$248,'01_Вводные'!$B$134/'01_Вводные'!$B$132,0))*'01_Вводные'!$B$120</f>
        <v/>
      </c>
      <c r="AE1673">
        <f>(MAX(0,'19_Расчет_аналитики'!AE1659-'19_Расчет_аналитики'!AD1659)*'01_Вводные'!$B$119*'08_ФОТ'!AE5+IF('08_ФОТ'!AE$3='01_Вводные'!$B$247,'01_Вводные'!$B$133/'01_Вводные'!$B$132,0)+IF('08_ФОТ'!AE$3='01_Вводные'!$B$248,'01_Вводные'!$B$134/'01_Вводные'!$B$132,0))*'01_Вводные'!$B$120</f>
        <v/>
      </c>
      <c r="AF1673">
        <f>(MAX(0,'19_Расчет_аналитики'!AF1659-'19_Расчет_аналитики'!AE1659)*'01_Вводные'!$B$119*'08_ФОТ'!AF5+IF('08_ФОТ'!AF$3='01_Вводные'!$B$247,'01_Вводные'!$B$133/'01_Вводные'!$B$132,0)+IF('08_ФОТ'!AF$3='01_Вводные'!$B$248,'01_Вводные'!$B$134/'01_Вводные'!$B$132,0))*'01_Вводные'!$B$120</f>
        <v/>
      </c>
      <c r="AG1673">
        <f>(MAX(0,'19_Расчет_аналитики'!AG1659-'19_Расчет_аналитики'!AF1659)*'01_Вводные'!$B$119*'08_ФОТ'!AG5+IF('08_ФОТ'!AG$3='01_Вводные'!$B$247,'01_Вводные'!$B$133/'01_Вводные'!$B$132,0)+IF('08_ФОТ'!AG$3='01_Вводные'!$B$248,'01_Вводные'!$B$134/'01_Вводные'!$B$132,0))*'01_Вводные'!$B$120</f>
        <v/>
      </c>
      <c r="AH1673">
        <f>(MAX(0,'19_Расчет_аналитики'!AH1659-'19_Расчет_аналитики'!AG1659)*'01_Вводные'!$B$119*'08_ФОТ'!AH5+IF('08_ФОТ'!AH$3='01_Вводные'!$B$247,'01_Вводные'!$B$133/'01_Вводные'!$B$132,0)+IF('08_ФОТ'!AH$3='01_Вводные'!$B$248,'01_Вводные'!$B$134/'01_Вводные'!$B$132,0))*'01_Вводные'!$B$120</f>
        <v/>
      </c>
      <c r="AI1673">
        <f>(MAX(0,'19_Расчет_аналитики'!AI1659-'19_Расчет_аналитики'!AH1659)*'01_Вводные'!$B$119*'08_ФОТ'!AI5+IF('08_ФОТ'!AI$3='01_Вводные'!$B$247,'01_Вводные'!$B$133/'01_Вводные'!$B$132,0)+IF('08_ФОТ'!AI$3='01_Вводные'!$B$248,'01_Вводные'!$B$134/'01_Вводные'!$B$132,0))*'01_Вводные'!$B$120</f>
        <v/>
      </c>
      <c r="AJ1673">
        <f>(MAX(0,'19_Расчет_аналитики'!AJ1659-'19_Расчет_аналитики'!AI1659)*'01_Вводные'!$B$119*'08_ФОТ'!AJ5+IF('08_ФОТ'!AJ$3='01_Вводные'!$B$247,'01_Вводные'!$B$133/'01_Вводные'!$B$132,0)+IF('08_ФОТ'!AJ$3='01_Вводные'!$B$248,'01_Вводные'!$B$134/'01_Вводные'!$B$132,0))*'01_Вводные'!$B$120</f>
        <v/>
      </c>
      <c r="AK1673">
        <f>(MAX(0,'19_Расчет_аналитики'!AK1659-'19_Расчет_аналитики'!AJ1659)*'01_Вводные'!$B$119*'08_ФОТ'!AK5+IF('08_ФОТ'!AK$3='01_Вводные'!$B$247,'01_Вводные'!$B$133/'01_Вводные'!$B$132,0)+IF('08_ФОТ'!AK$3='01_Вводные'!$B$248,'01_Вводные'!$B$134/'01_Вводные'!$B$132,0))*'01_Вводные'!$B$120</f>
        <v/>
      </c>
      <c r="AL1673">
        <f>(MAX(0,'19_Расчет_аналитики'!AL1659-'19_Расчет_аналитики'!AK1659)*'01_Вводные'!$B$119*'08_ФОТ'!AL5+IF('08_ФОТ'!AL$3='01_Вводные'!$B$247,'01_Вводные'!$B$133/'01_Вводные'!$B$132,0)+IF('08_ФОТ'!AL$3='01_Вводные'!$B$248,'01_Вводные'!$B$134/'01_Вводные'!$B$132,0))*'01_Вводные'!$B$120</f>
        <v/>
      </c>
      <c r="AM1673">
        <f>(MAX(0,'19_Расчет_аналитики'!AM1659-'19_Расчет_аналитики'!AL1659)*'01_Вводные'!$B$119*'08_ФОТ'!AM5+IF('08_ФОТ'!AM$3='01_Вводные'!$B$247,'01_Вводные'!$B$133/'01_Вводные'!$B$132,0)+IF('08_ФОТ'!AM$3='01_Вводные'!$B$248,'01_Вводные'!$B$134/'01_Вводные'!$B$132,0))*'01_Вводные'!$B$120</f>
        <v/>
      </c>
      <c r="AN1673">
        <f>(MAX(0,'19_Расчет_аналитики'!AN1659-'19_Расчет_аналитики'!AM1659)*'01_Вводные'!$B$119*'08_ФОТ'!AN5+IF('08_ФОТ'!AN$3='01_Вводные'!$B$247,'01_Вводные'!$B$133/'01_Вводные'!$B$132,0)+IF('08_ФОТ'!AN$3='01_Вводные'!$B$248,'01_Вводные'!$B$134/'01_Вводные'!$B$132,0))*'01_Вводные'!$B$120</f>
        <v/>
      </c>
      <c r="AO1673">
        <f>(MAX(0,'19_Расчет_аналитики'!AO1659-'19_Расчет_аналитики'!AN1659)*'01_Вводные'!$B$119*'08_ФОТ'!AO5+IF('08_ФОТ'!AO$3='01_Вводные'!$B$247,'01_Вводные'!$B$133/'01_Вводные'!$B$132,0)+IF('08_ФОТ'!AO$3='01_Вводные'!$B$248,'01_Вводные'!$B$134/'01_Вводные'!$B$132,0))*'01_Вводные'!$B$120</f>
        <v/>
      </c>
      <c r="AP1673">
        <f>(MAX(0,'19_Расчет_аналитики'!AP1659-'19_Расчет_аналитики'!AO1659)*'01_Вводные'!$B$119*'08_ФОТ'!AP5+IF('08_ФОТ'!AP$3='01_Вводные'!$B$247,'01_Вводные'!$B$133/'01_Вводные'!$B$132,0)+IF('08_ФОТ'!AP$3='01_Вводные'!$B$248,'01_Вводные'!$B$134/'01_Вводные'!$B$132,0))*'01_Вводные'!$B$120</f>
        <v/>
      </c>
      <c r="AQ1673">
        <f>(MAX(0,'19_Расчет_аналитики'!AQ1659-'19_Расчет_аналитики'!AP1659)*'01_Вводные'!$B$119*'08_ФОТ'!AQ5+IF('08_ФОТ'!AQ$3='01_Вводные'!$B$247,'01_Вводные'!$B$133/'01_Вводные'!$B$132,0)+IF('08_ФОТ'!AQ$3='01_Вводные'!$B$248,'01_Вводные'!$B$134/'01_Вводные'!$B$132,0))*'01_Вводные'!$B$120</f>
        <v/>
      </c>
      <c r="AR1673">
        <f>(MAX(0,'19_Расчет_аналитики'!AR1659-'19_Расчет_аналитики'!AQ1659)*'01_Вводные'!$B$119*'08_ФОТ'!AR5+IF('08_ФОТ'!AR$3='01_Вводные'!$B$247,'01_Вводные'!$B$133/'01_Вводные'!$B$132,0)+IF('08_ФОТ'!AR$3='01_Вводные'!$B$248,'01_Вводные'!$B$134/'01_Вводные'!$B$132,0))*'01_Вводные'!$B$120</f>
        <v/>
      </c>
      <c r="AS1673">
        <f>(MAX(0,'19_Расчет_аналитики'!AS1659-'19_Расчет_аналитики'!AR1659)*'01_Вводные'!$B$119*'08_ФОТ'!AS5+IF('08_ФОТ'!AS$3='01_Вводные'!$B$247,'01_Вводные'!$B$133/'01_Вводные'!$B$132,0)+IF('08_ФОТ'!AS$3='01_Вводные'!$B$248,'01_Вводные'!$B$134/'01_Вводные'!$B$132,0))*'01_Вводные'!$B$120</f>
        <v/>
      </c>
      <c r="AT1673">
        <f>(MAX(0,'19_Расчет_аналитики'!AT1659-'19_Расчет_аналитики'!AS1659)*'01_Вводные'!$B$119*'08_ФОТ'!AT5+IF('08_ФОТ'!AT$3='01_Вводные'!$B$247,'01_Вводные'!$B$133/'01_Вводные'!$B$132,0)+IF('08_ФОТ'!AT$3='01_Вводные'!$B$248,'01_Вводные'!$B$134/'01_Вводные'!$B$132,0))*'01_Вводные'!$B$120</f>
        <v/>
      </c>
      <c r="AU1673">
        <f>(MAX(0,'19_Расчет_аналитики'!AU1659-'19_Расчет_аналитики'!AT1659)*'01_Вводные'!$B$119*'08_ФОТ'!AU5+IF('08_ФОТ'!AU$3='01_Вводные'!$B$247,'01_Вводные'!$B$133/'01_Вводные'!$B$132,0)+IF('08_ФОТ'!AU$3='01_Вводные'!$B$248,'01_Вводные'!$B$134/'01_Вводные'!$B$132,0))*'01_Вводные'!$B$120</f>
        <v/>
      </c>
      <c r="AV1673">
        <f>(MAX(0,'19_Расчет_аналитики'!AV1659-'19_Расчет_аналитики'!AU1659)*'01_Вводные'!$B$119*'08_ФОТ'!AV5+IF('08_ФОТ'!AV$3='01_Вводные'!$B$247,'01_Вводные'!$B$133/'01_Вводные'!$B$132,0)+IF('08_ФОТ'!AV$3='01_Вводные'!$B$248,'01_Вводные'!$B$134/'01_Вводные'!$B$132,0))*'01_Вводные'!$B$120</f>
        <v/>
      </c>
      <c r="AW1673">
        <f>(MAX(0,'19_Расчет_аналитики'!AW1659-'19_Расчет_аналитики'!AV1659)*'01_Вводные'!$B$119*'08_ФОТ'!AW5+IF('08_ФОТ'!AW$3='01_Вводные'!$B$247,'01_Вводные'!$B$133/'01_Вводные'!$B$132,0)+IF('08_ФОТ'!AW$3='01_Вводные'!$B$248,'01_Вводные'!$B$134/'01_Вводные'!$B$132,0))*'01_Вводные'!$B$120</f>
        <v/>
      </c>
      <c r="AX1673">
        <f>(MAX(0,'19_Расчет_аналитики'!AX1659-'19_Расчет_аналитики'!AW1659)*'01_Вводные'!$B$119*'08_ФОТ'!AX5+IF('08_ФОТ'!AX$3='01_Вводные'!$B$247,'01_Вводные'!$B$133/'01_Вводные'!$B$132,0)+IF('08_ФОТ'!AX$3='01_Вводные'!$B$248,'01_Вводные'!$B$134/'01_Вводные'!$B$132,0))*'01_Вводные'!$B$120</f>
        <v/>
      </c>
      <c r="AY1673">
        <f>(MAX(0,'19_Расчет_аналитики'!AY1659-'19_Расчет_аналитики'!AX1659)*'01_Вводные'!$B$119*'08_ФОТ'!AY5+IF('08_ФОТ'!AY$3='01_Вводные'!$B$247,'01_Вводные'!$B$133/'01_Вводные'!$B$132,0)+IF('08_ФОТ'!AY$3='01_Вводные'!$B$248,'01_Вводные'!$B$134/'01_Вводные'!$B$132,0))*'01_Вводные'!$B$120</f>
        <v/>
      </c>
      <c r="AZ1673">
        <f>(MAX(0,'19_Расчет_аналитики'!AZ1659-'19_Расчет_аналитики'!AY1659)*'01_Вводные'!$B$119*'08_ФОТ'!AZ5+IF('08_ФОТ'!AZ$3='01_Вводные'!$B$247,'01_Вводные'!$B$133/'01_Вводные'!$B$132,0)+IF('08_ФОТ'!AZ$3='01_Вводные'!$B$248,'01_Вводные'!$B$134/'01_Вводные'!$B$132,0))*'01_Вводные'!$B$120</f>
        <v/>
      </c>
      <c r="BA1673">
        <f>(MAX(0,'19_Расчет_аналитики'!BA1659-'19_Расчет_аналитики'!AZ1659)*'01_Вводные'!$B$119*'08_ФОТ'!BA5+IF('08_ФОТ'!BA$3='01_Вводные'!$B$247,'01_Вводные'!$B$133/'01_Вводные'!$B$132,0)+IF('08_ФОТ'!BA$3='01_Вводные'!$B$248,'01_Вводные'!$B$134/'01_Вводные'!$B$132,0))*'01_Вводные'!$B$120</f>
        <v/>
      </c>
      <c r="BB1673">
        <f>(MAX(0,'19_Расчет_аналитики'!BB1659-'19_Расчет_аналитики'!BA1659)*'01_Вводные'!$B$119*'08_ФОТ'!BB5+IF('08_ФОТ'!BB$3='01_Вводные'!$B$247,'01_Вводные'!$B$133/'01_Вводные'!$B$132,0)+IF('08_ФОТ'!BB$3='01_Вводные'!$B$248,'01_Вводные'!$B$134/'01_Вводные'!$B$132,0))*'01_Вводные'!$B$120</f>
        <v/>
      </c>
      <c r="BC1673">
        <f>(MAX(0,'19_Расчет_аналитики'!BC1659-'19_Расчет_аналитики'!BB1659)*'01_Вводные'!$B$119*'08_ФОТ'!BC5+IF('08_ФОТ'!BC$3='01_Вводные'!$B$247,'01_Вводные'!$B$133/'01_Вводные'!$B$132,0)+IF('08_ФОТ'!BC$3='01_Вводные'!$B$248,'01_Вводные'!$B$134/'01_Вводные'!$B$132,0))*'01_Вводные'!$B$120</f>
        <v/>
      </c>
      <c r="BD1673">
        <f>(MAX(0,'19_Расчет_аналитики'!BD1659-'19_Расчет_аналитики'!BC1659)*'01_Вводные'!$B$119*'08_ФОТ'!BD5+IF('08_ФОТ'!BD$3='01_Вводные'!$B$247,'01_Вводные'!$B$133/'01_Вводные'!$B$132,0)+IF('08_ФОТ'!BD$3='01_Вводные'!$B$248,'01_Вводные'!$B$134/'01_Вводные'!$B$132,0))*'01_Вводные'!$B$120</f>
        <v/>
      </c>
      <c r="BE1673">
        <f>(MAX(0,'19_Расчет_аналитики'!BE1659-'19_Расчет_аналитики'!BD1659)*'01_Вводные'!$B$119*'08_ФОТ'!BE5+IF('08_ФОТ'!BE$3='01_Вводные'!$B$247,'01_Вводные'!$B$133/'01_Вводные'!$B$132,0)+IF('08_ФОТ'!BE$3='01_Вводные'!$B$248,'01_Вводные'!$B$134/'01_Вводные'!$B$132,0))*'01_Вводные'!$B$120</f>
        <v/>
      </c>
      <c r="BF1673">
        <f>(MAX(0,'19_Расчет_аналитики'!BF1659-'19_Расчет_аналитики'!BE1659)*'01_Вводные'!$B$119*'08_ФОТ'!BF5+IF('08_ФОТ'!BF$3='01_Вводные'!$B$247,'01_Вводные'!$B$133/'01_Вводные'!$B$132,0)+IF('08_ФОТ'!BF$3='01_Вводные'!$B$248,'01_Вводные'!$B$134/'01_Вводные'!$B$132,0))*'01_Вводные'!$B$120</f>
        <v/>
      </c>
      <c r="BG1673">
        <f>(MAX(0,'19_Расчет_аналитики'!BG1659-'19_Расчет_аналитики'!BF1659)*'01_Вводные'!$B$119*'08_ФОТ'!BG5+IF('08_ФОТ'!BG$3='01_Вводные'!$B$247,'01_Вводные'!$B$133/'01_Вводные'!$B$132,0)+IF('08_ФОТ'!BG$3='01_Вводные'!$B$248,'01_Вводные'!$B$134/'01_Вводные'!$B$132,0))*'01_Вводные'!$B$120</f>
        <v/>
      </c>
      <c r="BH1673">
        <f>(MAX(0,'19_Расчет_аналитики'!BH1659-'19_Расчет_аналитики'!BG1659)*'01_Вводные'!$B$119*'08_ФОТ'!BH5+IF('08_ФОТ'!BH$3='01_Вводные'!$B$247,'01_Вводные'!$B$133/'01_Вводные'!$B$132,0)+IF('08_ФОТ'!BH$3='01_Вводные'!$B$248,'01_Вводные'!$B$134/'01_Вводные'!$B$132,0))*'01_Вводные'!$B$120</f>
        <v/>
      </c>
      <c r="BI1673">
        <f>(MAX(0,'19_Расчет_аналитики'!BI1659-'19_Расчет_аналитики'!BH1659)*'01_Вводные'!$B$119*'08_ФОТ'!BI5+IF('08_ФОТ'!BI$3='01_Вводные'!$B$247,'01_Вводные'!$B$133/'01_Вводные'!$B$132,0)+IF('08_ФОТ'!BI$3='01_Вводные'!$B$248,'01_Вводные'!$B$134/'01_Вводные'!$B$132,0))*'01_Вводные'!$B$120</f>
        <v/>
      </c>
    </row>
    <row r="1674">
      <c r="C1674">
        <f>'08_ФОТ'!C25</f>
        <v/>
      </c>
      <c r="D1674">
        <f>'08_ФОТ'!D25</f>
        <v/>
      </c>
      <c r="E1674">
        <f>'08_ФОТ'!E25</f>
        <v/>
      </c>
      <c r="F1674">
        <f>'08_ФОТ'!F25</f>
        <v/>
      </c>
      <c r="G1674">
        <f>'08_ФОТ'!G25</f>
        <v/>
      </c>
      <c r="H1674">
        <f>'08_ФОТ'!H25</f>
        <v/>
      </c>
      <c r="I1674">
        <f>'08_ФОТ'!I25</f>
        <v/>
      </c>
      <c r="J1674">
        <f>'08_ФОТ'!J25</f>
        <v/>
      </c>
      <c r="K1674">
        <f>'08_ФОТ'!K25</f>
        <v/>
      </c>
      <c r="L1674">
        <f>'08_ФОТ'!L25</f>
        <v/>
      </c>
      <c r="M1674">
        <f>'08_ФОТ'!M25</f>
        <v/>
      </c>
      <c r="N1674">
        <f>'08_ФОТ'!N25</f>
        <v/>
      </c>
      <c r="O1674">
        <f>'08_ФОТ'!O25</f>
        <v/>
      </c>
      <c r="P1674">
        <f>'08_ФОТ'!P25</f>
        <v/>
      </c>
      <c r="Q1674">
        <f>'08_ФОТ'!Q25</f>
        <v/>
      </c>
      <c r="R1674">
        <f>'08_ФОТ'!R25</f>
        <v/>
      </c>
      <c r="S1674">
        <f>'08_ФОТ'!S25</f>
        <v/>
      </c>
      <c r="T1674">
        <f>'08_ФОТ'!T25</f>
        <v/>
      </c>
      <c r="U1674">
        <f>'08_ФОТ'!U25</f>
        <v/>
      </c>
      <c r="V1674">
        <f>'08_ФОТ'!V25</f>
        <v/>
      </c>
      <c r="W1674">
        <f>'08_ФОТ'!W25</f>
        <v/>
      </c>
      <c r="X1674">
        <f>'08_ФОТ'!X25</f>
        <v/>
      </c>
      <c r="Y1674">
        <f>'08_ФОТ'!Y25</f>
        <v/>
      </c>
      <c r="Z1674">
        <f>'08_ФОТ'!Z25</f>
        <v/>
      </c>
      <c r="AA1674">
        <f>'08_ФОТ'!AA25</f>
        <v/>
      </c>
      <c r="AB1674">
        <f>'08_ФОТ'!AB25</f>
        <v/>
      </c>
      <c r="AC1674">
        <f>'08_ФОТ'!AC25</f>
        <v/>
      </c>
      <c r="AD1674">
        <f>'08_ФОТ'!AD25</f>
        <v/>
      </c>
      <c r="AE1674">
        <f>'08_ФОТ'!AE25</f>
        <v/>
      </c>
      <c r="AF1674">
        <f>'08_ФОТ'!AF25</f>
        <v/>
      </c>
      <c r="AG1674">
        <f>'08_ФОТ'!AG25</f>
        <v/>
      </c>
      <c r="AH1674">
        <f>'08_ФОТ'!AH25</f>
        <v/>
      </c>
      <c r="AI1674">
        <f>'08_ФОТ'!AI25</f>
        <v/>
      </c>
      <c r="AJ1674">
        <f>'08_ФОТ'!AJ25</f>
        <v/>
      </c>
      <c r="AK1674">
        <f>'08_ФОТ'!AK25</f>
        <v/>
      </c>
      <c r="AL1674">
        <f>'08_ФОТ'!AL25</f>
        <v/>
      </c>
      <c r="AM1674">
        <f>'08_ФОТ'!AM25</f>
        <v/>
      </c>
      <c r="AN1674">
        <f>'08_ФОТ'!AN25</f>
        <v/>
      </c>
      <c r="AO1674">
        <f>'08_ФОТ'!AO25</f>
        <v/>
      </c>
      <c r="AP1674">
        <f>'08_ФОТ'!AP25</f>
        <v/>
      </c>
      <c r="AQ1674">
        <f>'08_ФОТ'!AQ25</f>
        <v/>
      </c>
      <c r="AR1674">
        <f>'08_ФОТ'!AR25</f>
        <v/>
      </c>
      <c r="AS1674">
        <f>'08_ФОТ'!AS25</f>
        <v/>
      </c>
      <c r="AT1674">
        <f>'08_ФОТ'!AT25</f>
        <v/>
      </c>
      <c r="AU1674">
        <f>'08_ФОТ'!AU25</f>
        <v/>
      </c>
      <c r="AV1674">
        <f>'08_ФОТ'!AV25</f>
        <v/>
      </c>
      <c r="AW1674">
        <f>'08_ФОТ'!AW25</f>
        <v/>
      </c>
      <c r="AX1674">
        <f>'08_ФОТ'!AX25</f>
        <v/>
      </c>
      <c r="AY1674">
        <f>'08_ФОТ'!AY25</f>
        <v/>
      </c>
      <c r="AZ1674">
        <f>'08_ФОТ'!AZ25</f>
        <v/>
      </c>
      <c r="BA1674">
        <f>'08_ФОТ'!BA25</f>
        <v/>
      </c>
      <c r="BB1674">
        <f>'08_ФОТ'!BB25</f>
        <v/>
      </c>
      <c r="BC1674">
        <f>'08_ФОТ'!BC25</f>
        <v/>
      </c>
      <c r="BD1674">
        <f>'08_ФОТ'!BD25</f>
        <v/>
      </c>
      <c r="BE1674">
        <f>'08_ФОТ'!BE25</f>
        <v/>
      </c>
      <c r="BF1674">
        <f>'08_ФОТ'!BF25</f>
        <v/>
      </c>
      <c r="BG1674">
        <f>'08_ФОТ'!BG25</f>
        <v/>
      </c>
      <c r="BH1674">
        <f>'08_ФОТ'!BH25</f>
        <v/>
      </c>
      <c r="BI1674">
        <f>'08_ФОТ'!BI25</f>
        <v/>
      </c>
    </row>
    <row r="1675">
      <c r="C1675">
        <f>'08_ФОТ'!C26</f>
        <v/>
      </c>
      <c r="D1675">
        <f>'08_ФОТ'!D26</f>
        <v/>
      </c>
      <c r="E1675">
        <f>'08_ФОТ'!E26</f>
        <v/>
      </c>
      <c r="F1675">
        <f>'08_ФОТ'!F26</f>
        <v/>
      </c>
      <c r="G1675">
        <f>'08_ФОТ'!G26</f>
        <v/>
      </c>
      <c r="H1675">
        <f>'08_ФОТ'!H26</f>
        <v/>
      </c>
      <c r="I1675">
        <f>'08_ФОТ'!I26</f>
        <v/>
      </c>
      <c r="J1675">
        <f>'08_ФОТ'!J26</f>
        <v/>
      </c>
      <c r="K1675">
        <f>'08_ФОТ'!K26</f>
        <v/>
      </c>
      <c r="L1675">
        <f>'08_ФОТ'!L26</f>
        <v/>
      </c>
      <c r="M1675">
        <f>'08_ФОТ'!M26</f>
        <v/>
      </c>
      <c r="N1675">
        <f>'08_ФОТ'!N26</f>
        <v/>
      </c>
      <c r="O1675">
        <f>'08_ФОТ'!O26</f>
        <v/>
      </c>
      <c r="P1675">
        <f>'08_ФОТ'!P26</f>
        <v/>
      </c>
      <c r="Q1675">
        <f>'08_ФОТ'!Q26</f>
        <v/>
      </c>
      <c r="R1675">
        <f>'08_ФОТ'!R26</f>
        <v/>
      </c>
      <c r="S1675">
        <f>'08_ФОТ'!S26</f>
        <v/>
      </c>
      <c r="T1675">
        <f>'08_ФОТ'!T26</f>
        <v/>
      </c>
      <c r="U1675">
        <f>'08_ФОТ'!U26</f>
        <v/>
      </c>
      <c r="V1675">
        <f>'08_ФОТ'!V26</f>
        <v/>
      </c>
      <c r="W1675">
        <f>'08_ФОТ'!W26</f>
        <v/>
      </c>
      <c r="X1675">
        <f>'08_ФОТ'!X26</f>
        <v/>
      </c>
      <c r="Y1675">
        <f>'08_ФОТ'!Y26</f>
        <v/>
      </c>
      <c r="Z1675">
        <f>'08_ФОТ'!Z26</f>
        <v/>
      </c>
      <c r="AA1675">
        <f>'08_ФОТ'!AA26</f>
        <v/>
      </c>
      <c r="AB1675">
        <f>'08_ФОТ'!AB26</f>
        <v/>
      </c>
      <c r="AC1675">
        <f>'08_ФОТ'!AC26</f>
        <v/>
      </c>
      <c r="AD1675">
        <f>'08_ФОТ'!AD26</f>
        <v/>
      </c>
      <c r="AE1675">
        <f>'08_ФОТ'!AE26</f>
        <v/>
      </c>
      <c r="AF1675">
        <f>'08_ФОТ'!AF26</f>
        <v/>
      </c>
      <c r="AG1675">
        <f>'08_ФОТ'!AG26</f>
        <v/>
      </c>
      <c r="AH1675">
        <f>'08_ФОТ'!AH26</f>
        <v/>
      </c>
      <c r="AI1675">
        <f>'08_ФОТ'!AI26</f>
        <v/>
      </c>
      <c r="AJ1675">
        <f>'08_ФОТ'!AJ26</f>
        <v/>
      </c>
      <c r="AK1675">
        <f>'08_ФОТ'!AK26</f>
        <v/>
      </c>
      <c r="AL1675">
        <f>'08_ФОТ'!AL26</f>
        <v/>
      </c>
      <c r="AM1675">
        <f>'08_ФОТ'!AM26</f>
        <v/>
      </c>
      <c r="AN1675">
        <f>'08_ФОТ'!AN26</f>
        <v/>
      </c>
      <c r="AO1675">
        <f>'08_ФОТ'!AO26</f>
        <v/>
      </c>
      <c r="AP1675">
        <f>'08_ФОТ'!AP26</f>
        <v/>
      </c>
      <c r="AQ1675">
        <f>'08_ФОТ'!AQ26</f>
        <v/>
      </c>
      <c r="AR1675">
        <f>'08_ФОТ'!AR26</f>
        <v/>
      </c>
      <c r="AS1675">
        <f>'08_ФОТ'!AS26</f>
        <v/>
      </c>
      <c r="AT1675">
        <f>'08_ФОТ'!AT26</f>
        <v/>
      </c>
      <c r="AU1675">
        <f>'08_ФОТ'!AU26</f>
        <v/>
      </c>
      <c r="AV1675">
        <f>'08_ФОТ'!AV26</f>
        <v/>
      </c>
      <c r="AW1675">
        <f>'08_ФОТ'!AW26</f>
        <v/>
      </c>
      <c r="AX1675">
        <f>'08_ФОТ'!AX26</f>
        <v/>
      </c>
      <c r="AY1675">
        <f>'08_ФОТ'!AY26</f>
        <v/>
      </c>
      <c r="AZ1675">
        <f>'08_ФОТ'!AZ26</f>
        <v/>
      </c>
      <c r="BA1675">
        <f>'08_ФОТ'!BA26</f>
        <v/>
      </c>
      <c r="BB1675">
        <f>'08_ФОТ'!BB26</f>
        <v/>
      </c>
      <c r="BC1675">
        <f>'08_ФОТ'!BC26</f>
        <v/>
      </c>
      <c r="BD1675">
        <f>'08_ФОТ'!BD26</f>
        <v/>
      </c>
      <c r="BE1675">
        <f>'08_ФОТ'!BE26</f>
        <v/>
      </c>
      <c r="BF1675">
        <f>'08_ФОТ'!BF26</f>
        <v/>
      </c>
      <c r="BG1675">
        <f>'08_ФОТ'!BG26</f>
        <v/>
      </c>
      <c r="BH1675">
        <f>'08_ФОТ'!BH26</f>
        <v/>
      </c>
      <c r="BI1675">
        <f>'08_ФОТ'!BI26</f>
        <v/>
      </c>
    </row>
    <row r="1676"/>
    <row r="1677">
      <c r="C1677">
        <f>SUM('19_Расчет_аналитики'!C1661:C1662,'19_Расчет_аналитики'!C1664:C1668,'08_ФОТ'!C21:C22,'19_Расчет_аналитики'!C1673:C1675)</f>
        <v/>
      </c>
      <c r="D1677">
        <f>SUM('19_Расчет_аналитики'!D1661:D1662,'19_Расчет_аналитики'!D1664:D1668,'08_ФОТ'!D21:D22,'19_Расчет_аналитики'!D1673:D1675)</f>
        <v/>
      </c>
      <c r="E1677">
        <f>SUM('19_Расчет_аналитики'!E1661:E1662,'19_Расчет_аналитики'!E1664:E1668,'08_ФОТ'!E21:E22,'19_Расчет_аналитики'!E1673:E1675)</f>
        <v/>
      </c>
      <c r="F1677">
        <f>SUM('19_Расчет_аналитики'!F1661:F1662,'19_Расчет_аналитики'!F1664:F1668,'08_ФОТ'!F21:F22,'19_Расчет_аналитики'!F1673:F1675)</f>
        <v/>
      </c>
      <c r="G1677">
        <f>SUM('19_Расчет_аналитики'!G1661:G1662,'19_Расчет_аналитики'!G1664:G1668,'08_ФОТ'!G21:G22,'19_Расчет_аналитики'!G1673:G1675)</f>
        <v/>
      </c>
      <c r="H1677">
        <f>SUM('19_Расчет_аналитики'!H1661:H1662,'19_Расчет_аналитики'!H1664:H1668,'08_ФОТ'!H21:H22,'19_Расчет_аналитики'!H1673:H1675)</f>
        <v/>
      </c>
      <c r="I1677">
        <f>SUM('19_Расчет_аналитики'!I1661:I1662,'19_Расчет_аналитики'!I1664:I1668,'08_ФОТ'!I21:I22,'19_Расчет_аналитики'!I1673:I1675)</f>
        <v/>
      </c>
      <c r="J1677">
        <f>SUM('19_Расчет_аналитики'!J1661:J1662,'19_Расчет_аналитики'!J1664:J1668,'08_ФОТ'!J21:J22,'19_Расчет_аналитики'!J1673:J1675)</f>
        <v/>
      </c>
      <c r="K1677">
        <f>SUM('19_Расчет_аналитики'!K1661:K1662,'19_Расчет_аналитики'!K1664:K1668,'08_ФОТ'!K21:K22,'19_Расчет_аналитики'!K1673:K1675)</f>
        <v/>
      </c>
      <c r="L1677">
        <f>SUM('19_Расчет_аналитики'!L1661:L1662,'19_Расчет_аналитики'!L1664:L1668,'08_ФОТ'!L21:L22,'19_Расчет_аналитики'!L1673:L1675)</f>
        <v/>
      </c>
      <c r="M1677">
        <f>SUM('19_Расчет_аналитики'!M1661:M1662,'19_Расчет_аналитики'!M1664:M1668,'08_ФОТ'!M21:M22,'19_Расчет_аналитики'!M1673:M1675)</f>
        <v/>
      </c>
      <c r="N1677">
        <f>SUM('19_Расчет_аналитики'!N1661:N1662,'19_Расчет_аналитики'!N1664:N1668,'08_ФОТ'!N21:N22,'19_Расчет_аналитики'!N1673:N1675)</f>
        <v/>
      </c>
      <c r="O1677">
        <f>SUM('19_Расчет_аналитики'!O1661:O1662,'19_Расчет_аналитики'!O1664:O1668,'08_ФОТ'!O21:O22,'19_Расчет_аналитики'!O1673:O1675)</f>
        <v/>
      </c>
      <c r="P1677">
        <f>SUM('19_Расчет_аналитики'!P1661:P1662,'19_Расчет_аналитики'!P1664:P1668,'08_ФОТ'!P21:P22,'19_Расчет_аналитики'!P1673:P1675)</f>
        <v/>
      </c>
      <c r="Q1677">
        <f>SUM('19_Расчет_аналитики'!Q1661:Q1662,'19_Расчет_аналитики'!Q1664:Q1668,'08_ФОТ'!Q21:Q22,'19_Расчет_аналитики'!Q1673:Q1675)</f>
        <v/>
      </c>
      <c r="R1677">
        <f>SUM('19_Расчет_аналитики'!R1661:R1662,'19_Расчет_аналитики'!R1664:R1668,'08_ФОТ'!R21:R22,'19_Расчет_аналитики'!R1673:R1675)</f>
        <v/>
      </c>
      <c r="S1677">
        <f>SUM('19_Расчет_аналитики'!S1661:S1662,'19_Расчет_аналитики'!S1664:S1668,'08_ФОТ'!S21:S22,'19_Расчет_аналитики'!S1673:S1675)</f>
        <v/>
      </c>
      <c r="T1677">
        <f>SUM('19_Расчет_аналитики'!T1661:T1662,'19_Расчет_аналитики'!T1664:T1668,'08_ФОТ'!T21:T22,'19_Расчет_аналитики'!T1673:T1675)</f>
        <v/>
      </c>
      <c r="U1677">
        <f>SUM('19_Расчет_аналитики'!U1661:U1662,'19_Расчет_аналитики'!U1664:U1668,'08_ФОТ'!U21:U22,'19_Расчет_аналитики'!U1673:U1675)</f>
        <v/>
      </c>
      <c r="V1677">
        <f>SUM('19_Расчет_аналитики'!V1661:V1662,'19_Расчет_аналитики'!V1664:V1668,'08_ФОТ'!V21:V22,'19_Расчет_аналитики'!V1673:V1675)</f>
        <v/>
      </c>
      <c r="W1677">
        <f>SUM('19_Расчет_аналитики'!W1661:W1662,'19_Расчет_аналитики'!W1664:W1668,'08_ФОТ'!W21:W22,'19_Расчет_аналитики'!W1673:W1675)</f>
        <v/>
      </c>
      <c r="X1677">
        <f>SUM('19_Расчет_аналитики'!X1661:X1662,'19_Расчет_аналитики'!X1664:X1668,'08_ФОТ'!X21:X22,'19_Расчет_аналитики'!X1673:X1675)</f>
        <v/>
      </c>
      <c r="Y1677">
        <f>SUM('19_Расчет_аналитики'!Y1661:Y1662,'19_Расчет_аналитики'!Y1664:Y1668,'08_ФОТ'!Y21:Y22,'19_Расчет_аналитики'!Y1673:Y1675)</f>
        <v/>
      </c>
      <c r="Z1677">
        <f>SUM('19_Расчет_аналитики'!Z1661:Z1662,'19_Расчет_аналитики'!Z1664:Z1668,'08_ФОТ'!Z21:Z22,'19_Расчет_аналитики'!Z1673:Z1675)</f>
        <v/>
      </c>
      <c r="AA1677">
        <f>SUM('19_Расчет_аналитики'!AA1661:AA1662,'19_Расчет_аналитики'!AA1664:AA1668,'08_ФОТ'!AA21:AA22,'19_Расчет_аналитики'!AA1673:AA1675)</f>
        <v/>
      </c>
      <c r="AB1677">
        <f>SUM('19_Расчет_аналитики'!AB1661:AB1662,'19_Расчет_аналитики'!AB1664:AB1668,'08_ФОТ'!AB21:AB22,'19_Расчет_аналитики'!AB1673:AB1675)</f>
        <v/>
      </c>
      <c r="AC1677">
        <f>SUM('19_Расчет_аналитики'!AC1661:AC1662,'19_Расчет_аналитики'!AC1664:AC1668,'08_ФОТ'!AC21:AC22,'19_Расчет_аналитики'!AC1673:AC1675)</f>
        <v/>
      </c>
      <c r="AD1677">
        <f>SUM('19_Расчет_аналитики'!AD1661:AD1662,'19_Расчет_аналитики'!AD1664:AD1668,'08_ФОТ'!AD21:AD22,'19_Расчет_аналитики'!AD1673:AD1675)</f>
        <v/>
      </c>
      <c r="AE1677">
        <f>SUM('19_Расчет_аналитики'!AE1661:AE1662,'19_Расчет_аналитики'!AE1664:AE1668,'08_ФОТ'!AE21:AE22,'19_Расчет_аналитики'!AE1673:AE1675)</f>
        <v/>
      </c>
      <c r="AF1677">
        <f>SUM('19_Расчет_аналитики'!AF1661:AF1662,'19_Расчет_аналитики'!AF1664:AF1668,'08_ФОТ'!AF21:AF22,'19_Расчет_аналитики'!AF1673:AF1675)</f>
        <v/>
      </c>
      <c r="AG1677">
        <f>SUM('19_Расчет_аналитики'!AG1661:AG1662,'19_Расчет_аналитики'!AG1664:AG1668,'08_ФОТ'!AG21:AG22,'19_Расчет_аналитики'!AG1673:AG1675)</f>
        <v/>
      </c>
      <c r="AH1677">
        <f>SUM('19_Расчет_аналитики'!AH1661:AH1662,'19_Расчет_аналитики'!AH1664:AH1668,'08_ФОТ'!AH21:AH22,'19_Расчет_аналитики'!AH1673:AH1675)</f>
        <v/>
      </c>
      <c r="AI1677">
        <f>SUM('19_Расчет_аналитики'!AI1661:AI1662,'19_Расчет_аналитики'!AI1664:AI1668,'08_ФОТ'!AI21:AI22,'19_Расчет_аналитики'!AI1673:AI1675)</f>
        <v/>
      </c>
      <c r="AJ1677">
        <f>SUM('19_Расчет_аналитики'!AJ1661:AJ1662,'19_Расчет_аналитики'!AJ1664:AJ1668,'08_ФОТ'!AJ21:AJ22,'19_Расчет_аналитики'!AJ1673:AJ1675)</f>
        <v/>
      </c>
      <c r="AK1677">
        <f>SUM('19_Расчет_аналитики'!AK1661:AK1662,'19_Расчет_аналитики'!AK1664:AK1668,'08_ФОТ'!AK21:AK22,'19_Расчет_аналитики'!AK1673:AK1675)</f>
        <v/>
      </c>
      <c r="AL1677">
        <f>SUM('19_Расчет_аналитики'!AL1661:AL1662,'19_Расчет_аналитики'!AL1664:AL1668,'08_ФОТ'!AL21:AL22,'19_Расчет_аналитики'!AL1673:AL1675)</f>
        <v/>
      </c>
      <c r="AM1677">
        <f>SUM('19_Расчет_аналитики'!AM1661:AM1662,'19_Расчет_аналитики'!AM1664:AM1668,'08_ФОТ'!AM21:AM22,'19_Расчет_аналитики'!AM1673:AM1675)</f>
        <v/>
      </c>
      <c r="AN1677">
        <f>SUM('19_Расчет_аналитики'!AN1661:AN1662,'19_Расчет_аналитики'!AN1664:AN1668,'08_ФОТ'!AN21:AN22,'19_Расчет_аналитики'!AN1673:AN1675)</f>
        <v/>
      </c>
      <c r="AO1677">
        <f>SUM('19_Расчет_аналитики'!AO1661:AO1662,'19_Расчет_аналитики'!AO1664:AO1668,'08_ФОТ'!AO21:AO22,'19_Расчет_аналитики'!AO1673:AO1675)</f>
        <v/>
      </c>
      <c r="AP1677">
        <f>SUM('19_Расчет_аналитики'!AP1661:AP1662,'19_Расчет_аналитики'!AP1664:AP1668,'08_ФОТ'!AP21:AP22,'19_Расчет_аналитики'!AP1673:AP1675)</f>
        <v/>
      </c>
      <c r="AQ1677">
        <f>SUM('19_Расчет_аналитики'!AQ1661:AQ1662,'19_Расчет_аналитики'!AQ1664:AQ1668,'08_ФОТ'!AQ21:AQ22,'19_Расчет_аналитики'!AQ1673:AQ1675)</f>
        <v/>
      </c>
      <c r="AR1677">
        <f>SUM('19_Расчет_аналитики'!AR1661:AR1662,'19_Расчет_аналитики'!AR1664:AR1668,'08_ФОТ'!AR21:AR22,'19_Расчет_аналитики'!AR1673:AR1675)</f>
        <v/>
      </c>
      <c r="AS1677">
        <f>SUM('19_Расчет_аналитики'!AS1661:AS1662,'19_Расчет_аналитики'!AS1664:AS1668,'08_ФОТ'!AS21:AS22,'19_Расчет_аналитики'!AS1673:AS1675)</f>
        <v/>
      </c>
      <c r="AT1677">
        <f>SUM('19_Расчет_аналитики'!AT1661:AT1662,'19_Расчет_аналитики'!AT1664:AT1668,'08_ФОТ'!AT21:AT22,'19_Расчет_аналитики'!AT1673:AT1675)</f>
        <v/>
      </c>
      <c r="AU1677">
        <f>SUM('19_Расчет_аналитики'!AU1661:AU1662,'19_Расчет_аналитики'!AU1664:AU1668,'08_ФОТ'!AU21:AU22,'19_Расчет_аналитики'!AU1673:AU1675)</f>
        <v/>
      </c>
      <c r="AV1677">
        <f>SUM('19_Расчет_аналитики'!AV1661:AV1662,'19_Расчет_аналитики'!AV1664:AV1668,'08_ФОТ'!AV21:AV22,'19_Расчет_аналитики'!AV1673:AV1675)</f>
        <v/>
      </c>
      <c r="AW1677">
        <f>SUM('19_Расчет_аналитики'!AW1661:AW1662,'19_Расчет_аналитики'!AW1664:AW1668,'08_ФОТ'!AW21:AW22,'19_Расчет_аналитики'!AW1673:AW1675)</f>
        <v/>
      </c>
      <c r="AX1677">
        <f>SUM('19_Расчет_аналитики'!AX1661:AX1662,'19_Расчет_аналитики'!AX1664:AX1668,'08_ФОТ'!AX21:AX22,'19_Расчет_аналитики'!AX1673:AX1675)</f>
        <v/>
      </c>
      <c r="AY1677">
        <f>SUM('19_Расчет_аналитики'!AY1661:AY1662,'19_Расчет_аналитики'!AY1664:AY1668,'08_ФОТ'!AY21:AY22,'19_Расчет_аналитики'!AY1673:AY1675)</f>
        <v/>
      </c>
      <c r="AZ1677">
        <f>SUM('19_Расчет_аналитики'!AZ1661:AZ1662,'19_Расчет_аналитики'!AZ1664:AZ1668,'08_ФОТ'!AZ21:AZ22,'19_Расчет_аналитики'!AZ1673:AZ1675)</f>
        <v/>
      </c>
      <c r="BA1677">
        <f>SUM('19_Расчет_аналитики'!BA1661:BA1662,'19_Расчет_аналитики'!BA1664:BA1668,'08_ФОТ'!BA21:BA22,'19_Расчет_аналитики'!BA1673:BA1675)</f>
        <v/>
      </c>
      <c r="BB1677">
        <f>SUM('19_Расчет_аналитики'!BB1661:BB1662,'19_Расчет_аналитики'!BB1664:BB1668,'08_ФОТ'!BB21:BB22,'19_Расчет_аналитики'!BB1673:BB1675)</f>
        <v/>
      </c>
      <c r="BC1677">
        <f>SUM('19_Расчет_аналитики'!BC1661:BC1662,'19_Расчет_аналитики'!BC1664:BC1668,'08_ФОТ'!BC21:BC22,'19_Расчет_аналитики'!BC1673:BC1675)</f>
        <v/>
      </c>
      <c r="BD1677">
        <f>SUM('19_Расчет_аналитики'!BD1661:BD1662,'19_Расчет_аналитики'!BD1664:BD1668,'08_ФОТ'!BD21:BD22,'19_Расчет_аналитики'!BD1673:BD1675)</f>
        <v/>
      </c>
      <c r="BE1677">
        <f>SUM('19_Расчет_аналитики'!BE1661:BE1662,'19_Расчет_аналитики'!BE1664:BE1668,'08_ФОТ'!BE21:BE22,'19_Расчет_аналитики'!BE1673:BE1675)</f>
        <v/>
      </c>
      <c r="BF1677">
        <f>SUM('19_Расчет_аналитики'!BF1661:BF1662,'19_Расчет_аналитики'!BF1664:BF1668,'08_ФОТ'!BF21:BF22,'19_Расчет_аналитики'!BF1673:BF1675)</f>
        <v/>
      </c>
      <c r="BG1677">
        <f>SUM('19_Расчет_аналитики'!BG1661:BG1662,'19_Расчет_аналитики'!BG1664:BG1668,'08_ФОТ'!BG21:BG22,'19_Расчет_аналитики'!BG1673:BG1675)</f>
        <v/>
      </c>
      <c r="BH1677">
        <f>SUM('19_Расчет_аналитики'!BH1661:BH1662,'19_Расчет_аналитики'!BH1664:BH1668,'08_ФОТ'!BH21:BH22,'19_Расчет_аналитики'!BH1673:BH1675)</f>
        <v/>
      </c>
      <c r="BI1677">
        <f>SUM('19_Расчет_аналитики'!BI1661:BI1662,'19_Расчет_аналитики'!BI1664:BI1668,'08_ФОТ'!BI21:BI22,'19_Расчет_аналитики'!BI1673:BI1675)</f>
        <v/>
      </c>
    </row>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c r="C1719">
        <f>'19_Расчет_аналитики'!C1377</f>
        <v/>
      </c>
      <c r="D1719">
        <f>'19_Расчет_аналитики'!D1377</f>
        <v/>
      </c>
      <c r="E1719">
        <f>'19_Расчет_аналитики'!E1377</f>
        <v/>
      </c>
      <c r="F1719">
        <f>'19_Расчет_аналитики'!F1377</f>
        <v/>
      </c>
      <c r="G1719">
        <f>'19_Расчет_аналитики'!G1377</f>
        <v/>
      </c>
      <c r="H1719">
        <f>'19_Расчет_аналитики'!H1377</f>
        <v/>
      </c>
      <c r="I1719">
        <f>'19_Расчет_аналитики'!I1377</f>
        <v/>
      </c>
      <c r="J1719">
        <f>'19_Расчет_аналитики'!J1377</f>
        <v/>
      </c>
      <c r="K1719">
        <f>'19_Расчет_аналитики'!K1377</f>
        <v/>
      </c>
      <c r="L1719">
        <f>'19_Расчет_аналитики'!L1377</f>
        <v/>
      </c>
      <c r="M1719">
        <f>'19_Расчет_аналитики'!M1377</f>
        <v/>
      </c>
      <c r="N1719">
        <f>'19_Расчет_аналитики'!N1377</f>
        <v/>
      </c>
      <c r="O1719">
        <f>'19_Расчет_аналитики'!O1377</f>
        <v/>
      </c>
      <c r="P1719">
        <f>'19_Расчет_аналитики'!P1377</f>
        <v/>
      </c>
      <c r="Q1719">
        <f>'19_Расчет_аналитики'!Q1377</f>
        <v/>
      </c>
      <c r="R1719">
        <f>'19_Расчет_аналитики'!R1377</f>
        <v/>
      </c>
      <c r="S1719">
        <f>'19_Расчет_аналитики'!S1377</f>
        <v/>
      </c>
      <c r="T1719">
        <f>'19_Расчет_аналитики'!T1377</f>
        <v/>
      </c>
      <c r="U1719">
        <f>'19_Расчет_аналитики'!U1377</f>
        <v/>
      </c>
      <c r="V1719">
        <f>'19_Расчет_аналитики'!V1377</f>
        <v/>
      </c>
      <c r="W1719">
        <f>'19_Расчет_аналитики'!W1377</f>
        <v/>
      </c>
      <c r="X1719">
        <f>'19_Расчет_аналитики'!X1377</f>
        <v/>
      </c>
      <c r="Y1719">
        <f>'19_Расчет_аналитики'!Y1377</f>
        <v/>
      </c>
      <c r="Z1719">
        <f>'19_Расчет_аналитики'!Z1377</f>
        <v/>
      </c>
      <c r="AA1719">
        <f>'19_Расчет_аналитики'!AA1377</f>
        <v/>
      </c>
      <c r="AB1719">
        <f>'19_Расчет_аналитики'!AB1377</f>
        <v/>
      </c>
      <c r="AC1719">
        <f>'19_Расчет_аналитики'!AC1377</f>
        <v/>
      </c>
      <c r="AD1719">
        <f>'19_Расчет_аналитики'!AD1377</f>
        <v/>
      </c>
      <c r="AE1719">
        <f>'19_Расчет_аналитики'!AE1377</f>
        <v/>
      </c>
      <c r="AF1719">
        <f>'19_Расчет_аналитики'!AF1377</f>
        <v/>
      </c>
      <c r="AG1719">
        <f>'19_Расчет_аналитики'!AG1377</f>
        <v/>
      </c>
      <c r="AH1719">
        <f>'19_Расчет_аналитики'!AH1377</f>
        <v/>
      </c>
      <c r="AI1719">
        <f>'19_Расчет_аналитики'!AI1377</f>
        <v/>
      </c>
      <c r="AJ1719">
        <f>'19_Расчет_аналитики'!AJ1377</f>
        <v/>
      </c>
      <c r="AK1719">
        <f>'19_Расчет_аналитики'!AK1377</f>
        <v/>
      </c>
      <c r="AL1719">
        <f>'19_Расчет_аналитики'!AL1377</f>
        <v/>
      </c>
      <c r="AM1719">
        <f>'19_Расчет_аналитики'!AM1377</f>
        <v/>
      </c>
      <c r="AN1719">
        <f>'19_Расчет_аналитики'!AN1377</f>
        <v/>
      </c>
      <c r="AO1719">
        <f>'19_Расчет_аналитики'!AO1377</f>
        <v/>
      </c>
      <c r="AP1719">
        <f>'19_Расчет_аналитики'!AP1377</f>
        <v/>
      </c>
      <c r="AQ1719">
        <f>'19_Расчет_аналитики'!AQ1377</f>
        <v/>
      </c>
      <c r="AR1719">
        <f>'19_Расчет_аналитики'!AR1377</f>
        <v/>
      </c>
      <c r="AS1719">
        <f>'19_Расчет_аналитики'!AS1377</f>
        <v/>
      </c>
      <c r="AT1719">
        <f>'19_Расчет_аналитики'!AT1377</f>
        <v/>
      </c>
      <c r="AU1719">
        <f>'19_Расчет_аналитики'!AU1377</f>
        <v/>
      </c>
      <c r="AV1719">
        <f>'19_Расчет_аналитики'!AV1377</f>
        <v/>
      </c>
      <c r="AW1719">
        <f>'19_Расчет_аналитики'!AW1377</f>
        <v/>
      </c>
      <c r="AX1719">
        <f>'19_Расчет_аналитики'!AX1377</f>
        <v/>
      </c>
      <c r="AY1719">
        <f>'19_Расчет_аналитики'!AY1377</f>
        <v/>
      </c>
      <c r="AZ1719">
        <f>'19_Расчет_аналитики'!AZ1377</f>
        <v/>
      </c>
      <c r="BA1719">
        <f>'19_Расчет_аналитики'!BA1377</f>
        <v/>
      </c>
      <c r="BB1719">
        <f>'19_Расчет_аналитики'!BB1377</f>
        <v/>
      </c>
      <c r="BC1719">
        <f>'19_Расчет_аналитики'!BC1377</f>
        <v/>
      </c>
      <c r="BD1719">
        <f>'19_Расчет_аналитики'!BD1377</f>
        <v/>
      </c>
      <c r="BE1719">
        <f>'19_Расчет_аналитики'!BE1377</f>
        <v/>
      </c>
      <c r="BF1719">
        <f>'19_Расчет_аналитики'!BF1377</f>
        <v/>
      </c>
      <c r="BG1719">
        <f>'19_Расчет_аналитики'!BG1377</f>
        <v/>
      </c>
      <c r="BH1719">
        <f>'19_Расчет_аналитики'!BH1377</f>
        <v/>
      </c>
      <c r="BI1719">
        <f>'19_Расчет_аналитики'!BI1377</f>
        <v/>
      </c>
    </row>
    <row r="1720">
      <c r="B1720">
        <f>'19_Расчет_аналитики'!B1391</f>
        <v/>
      </c>
      <c r="C1720">
        <f>'19_Расчет_аналитики'!C1391</f>
        <v/>
      </c>
      <c r="D1720">
        <f>'19_Расчет_аналитики'!D1391</f>
        <v/>
      </c>
      <c r="E1720">
        <f>'19_Расчет_аналитики'!E1391</f>
        <v/>
      </c>
      <c r="F1720">
        <f>'19_Расчет_аналитики'!F1391</f>
        <v/>
      </c>
      <c r="G1720">
        <f>'19_Расчет_аналитики'!G1391</f>
        <v/>
      </c>
      <c r="H1720">
        <f>'19_Расчет_аналитики'!H1391</f>
        <v/>
      </c>
      <c r="I1720">
        <f>'19_Расчет_аналитики'!I1391</f>
        <v/>
      </c>
      <c r="J1720">
        <f>'19_Расчет_аналитики'!J1391</f>
        <v/>
      </c>
      <c r="K1720">
        <f>'19_Расчет_аналитики'!K1391</f>
        <v/>
      </c>
      <c r="L1720">
        <f>'19_Расчет_аналитики'!L1391</f>
        <v/>
      </c>
      <c r="M1720">
        <f>'19_Расчет_аналитики'!M1391</f>
        <v/>
      </c>
      <c r="N1720">
        <f>'19_Расчет_аналитики'!N1391</f>
        <v/>
      </c>
      <c r="O1720">
        <f>'19_Расчет_аналитики'!O1391</f>
        <v/>
      </c>
      <c r="P1720">
        <f>'19_Расчет_аналитики'!P1391</f>
        <v/>
      </c>
      <c r="Q1720">
        <f>'19_Расчет_аналитики'!Q1391</f>
        <v/>
      </c>
      <c r="R1720">
        <f>'19_Расчет_аналитики'!R1391</f>
        <v/>
      </c>
      <c r="S1720">
        <f>'19_Расчет_аналитики'!S1391</f>
        <v/>
      </c>
      <c r="T1720">
        <f>'19_Расчет_аналитики'!T1391</f>
        <v/>
      </c>
      <c r="U1720">
        <f>'19_Расчет_аналитики'!U1391</f>
        <v/>
      </c>
      <c r="V1720">
        <f>'19_Расчет_аналитики'!V1391</f>
        <v/>
      </c>
      <c r="W1720">
        <f>'19_Расчет_аналитики'!W1391</f>
        <v/>
      </c>
      <c r="X1720">
        <f>'19_Расчет_аналитики'!X1391</f>
        <v/>
      </c>
      <c r="Y1720">
        <f>'19_Расчет_аналитики'!Y1391</f>
        <v/>
      </c>
      <c r="Z1720">
        <f>'19_Расчет_аналитики'!Z1391</f>
        <v/>
      </c>
      <c r="AA1720">
        <f>'19_Расчет_аналитики'!AA1391</f>
        <v/>
      </c>
      <c r="AB1720">
        <f>'19_Расчет_аналитики'!AB1391</f>
        <v/>
      </c>
      <c r="AC1720">
        <f>'19_Расчет_аналитики'!AC1391</f>
        <v/>
      </c>
      <c r="AD1720">
        <f>'19_Расчет_аналитики'!AD1391</f>
        <v/>
      </c>
      <c r="AE1720">
        <f>'19_Расчет_аналитики'!AE1391</f>
        <v/>
      </c>
      <c r="AF1720">
        <f>'19_Расчет_аналитики'!AF1391</f>
        <v/>
      </c>
      <c r="AG1720">
        <f>'19_Расчет_аналитики'!AG1391</f>
        <v/>
      </c>
      <c r="AH1720">
        <f>'19_Расчет_аналитики'!AH1391</f>
        <v/>
      </c>
      <c r="AI1720">
        <f>'19_Расчет_аналитики'!AI1391</f>
        <v/>
      </c>
      <c r="AJ1720">
        <f>'19_Расчет_аналитики'!AJ1391</f>
        <v/>
      </c>
      <c r="AK1720">
        <f>'19_Расчет_аналитики'!AK1391</f>
        <v/>
      </c>
      <c r="AL1720">
        <f>'19_Расчет_аналитики'!AL1391</f>
        <v/>
      </c>
      <c r="AM1720">
        <f>'19_Расчет_аналитики'!AM1391</f>
        <v/>
      </c>
      <c r="AN1720">
        <f>'19_Расчет_аналитики'!AN1391</f>
        <v/>
      </c>
      <c r="AO1720">
        <f>'19_Расчет_аналитики'!AO1391</f>
        <v/>
      </c>
      <c r="AP1720">
        <f>'19_Расчет_аналитики'!AP1391</f>
        <v/>
      </c>
      <c r="AQ1720">
        <f>'19_Расчет_аналитики'!AQ1391</f>
        <v/>
      </c>
      <c r="AR1720">
        <f>'19_Расчет_аналитики'!AR1391</f>
        <v/>
      </c>
      <c r="AS1720">
        <f>'19_Расчет_аналитики'!AS1391</f>
        <v/>
      </c>
      <c r="AT1720">
        <f>'19_Расчет_аналитики'!AT1391</f>
        <v/>
      </c>
      <c r="AU1720">
        <f>'19_Расчет_аналитики'!AU1391</f>
        <v/>
      </c>
      <c r="AV1720">
        <f>'19_Расчет_аналитики'!AV1391</f>
        <v/>
      </c>
      <c r="AW1720">
        <f>'19_Расчет_аналитики'!AW1391</f>
        <v/>
      </c>
      <c r="AX1720">
        <f>'19_Расчет_аналитики'!AX1391</f>
        <v/>
      </c>
      <c r="AY1720">
        <f>'19_Расчет_аналитики'!AY1391</f>
        <v/>
      </c>
      <c r="AZ1720">
        <f>'19_Расчет_аналитики'!AZ1391</f>
        <v/>
      </c>
      <c r="BA1720">
        <f>'19_Расчет_аналитики'!BA1391</f>
        <v/>
      </c>
      <c r="BB1720">
        <f>'19_Расчет_аналитики'!BB1391</f>
        <v/>
      </c>
      <c r="BC1720">
        <f>'19_Расчет_аналитики'!BC1391</f>
        <v/>
      </c>
      <c r="BD1720">
        <f>'19_Расчет_аналитики'!BD1391</f>
        <v/>
      </c>
      <c r="BE1720">
        <f>'19_Расчет_аналитики'!BE1391</f>
        <v/>
      </c>
      <c r="BF1720">
        <f>'19_Расчет_аналитики'!BF1391</f>
        <v/>
      </c>
      <c r="BG1720">
        <f>'19_Расчет_аналитики'!BG1391</f>
        <v/>
      </c>
      <c r="BH1720">
        <f>'19_Расчет_аналитики'!BH1391</f>
        <v/>
      </c>
      <c r="BI1720">
        <f>'19_Расчет_аналитики'!BI1391</f>
        <v/>
      </c>
    </row>
    <row r="1721">
      <c r="B1721">
        <f>'19_Расчет_аналитики'!B1392</f>
        <v/>
      </c>
      <c r="C1721">
        <f>'19_Расчет_аналитики'!C1392</f>
        <v/>
      </c>
      <c r="D1721">
        <f>'19_Расчет_аналитики'!D1392</f>
        <v/>
      </c>
      <c r="E1721">
        <f>'19_Расчет_аналитики'!E1392</f>
        <v/>
      </c>
      <c r="F1721">
        <f>'19_Расчет_аналитики'!F1392</f>
        <v/>
      </c>
      <c r="G1721">
        <f>'19_Расчет_аналитики'!G1392</f>
        <v/>
      </c>
      <c r="H1721">
        <f>'19_Расчет_аналитики'!H1392</f>
        <v/>
      </c>
      <c r="I1721">
        <f>'19_Расчет_аналитики'!I1392</f>
        <v/>
      </c>
      <c r="J1721">
        <f>'19_Расчет_аналитики'!J1392</f>
        <v/>
      </c>
      <c r="K1721">
        <f>'19_Расчет_аналитики'!K1392</f>
        <v/>
      </c>
      <c r="L1721">
        <f>'19_Расчет_аналитики'!L1392</f>
        <v/>
      </c>
      <c r="M1721">
        <f>'19_Расчет_аналитики'!M1392</f>
        <v/>
      </c>
      <c r="N1721">
        <f>'19_Расчет_аналитики'!N1392</f>
        <v/>
      </c>
      <c r="O1721">
        <f>'19_Расчет_аналитики'!O1392</f>
        <v/>
      </c>
      <c r="P1721">
        <f>'19_Расчет_аналитики'!P1392</f>
        <v/>
      </c>
      <c r="Q1721">
        <f>'19_Расчет_аналитики'!Q1392</f>
        <v/>
      </c>
      <c r="R1721">
        <f>'19_Расчет_аналитики'!R1392</f>
        <v/>
      </c>
      <c r="S1721">
        <f>'19_Расчет_аналитики'!S1392</f>
        <v/>
      </c>
      <c r="T1721">
        <f>'19_Расчет_аналитики'!T1392</f>
        <v/>
      </c>
      <c r="U1721">
        <f>'19_Расчет_аналитики'!U1392</f>
        <v/>
      </c>
      <c r="V1721">
        <f>'19_Расчет_аналитики'!V1392</f>
        <v/>
      </c>
      <c r="W1721">
        <f>'19_Расчет_аналитики'!W1392</f>
        <v/>
      </c>
      <c r="X1721">
        <f>'19_Расчет_аналитики'!X1392</f>
        <v/>
      </c>
      <c r="Y1721">
        <f>'19_Расчет_аналитики'!Y1392</f>
        <v/>
      </c>
      <c r="Z1721">
        <f>'19_Расчет_аналитики'!Z1392</f>
        <v/>
      </c>
      <c r="AA1721">
        <f>'19_Расчет_аналитики'!AA1392</f>
        <v/>
      </c>
      <c r="AB1721">
        <f>'19_Расчет_аналитики'!AB1392</f>
        <v/>
      </c>
      <c r="AC1721">
        <f>'19_Расчет_аналитики'!AC1392</f>
        <v/>
      </c>
      <c r="AD1721">
        <f>'19_Расчет_аналитики'!AD1392</f>
        <v/>
      </c>
      <c r="AE1721">
        <f>'19_Расчет_аналитики'!AE1392</f>
        <v/>
      </c>
      <c r="AF1721">
        <f>'19_Расчет_аналитики'!AF1392</f>
        <v/>
      </c>
      <c r="AG1721">
        <f>'19_Расчет_аналитики'!AG1392</f>
        <v/>
      </c>
      <c r="AH1721">
        <f>'19_Расчет_аналитики'!AH1392</f>
        <v/>
      </c>
      <c r="AI1721">
        <f>'19_Расчет_аналитики'!AI1392</f>
        <v/>
      </c>
      <c r="AJ1721">
        <f>'19_Расчет_аналитики'!AJ1392</f>
        <v/>
      </c>
      <c r="AK1721">
        <f>'19_Расчет_аналитики'!AK1392</f>
        <v/>
      </c>
      <c r="AL1721">
        <f>'19_Расчет_аналитики'!AL1392</f>
        <v/>
      </c>
      <c r="AM1721">
        <f>'19_Расчет_аналитики'!AM1392</f>
        <v/>
      </c>
      <c r="AN1721">
        <f>'19_Расчет_аналитики'!AN1392</f>
        <v/>
      </c>
      <c r="AO1721">
        <f>'19_Расчет_аналитики'!AO1392</f>
        <v/>
      </c>
      <c r="AP1721">
        <f>'19_Расчет_аналитики'!AP1392</f>
        <v/>
      </c>
      <c r="AQ1721">
        <f>'19_Расчет_аналитики'!AQ1392</f>
        <v/>
      </c>
      <c r="AR1721">
        <f>'19_Расчет_аналитики'!AR1392</f>
        <v/>
      </c>
      <c r="AS1721">
        <f>'19_Расчет_аналитики'!AS1392</f>
        <v/>
      </c>
      <c r="AT1721">
        <f>'19_Расчет_аналитики'!AT1392</f>
        <v/>
      </c>
      <c r="AU1721">
        <f>'19_Расчет_аналитики'!AU1392</f>
        <v/>
      </c>
      <c r="AV1721">
        <f>'19_Расчет_аналитики'!AV1392</f>
        <v/>
      </c>
      <c r="AW1721">
        <f>'19_Расчет_аналитики'!AW1392</f>
        <v/>
      </c>
      <c r="AX1721">
        <f>'19_Расчет_аналитики'!AX1392</f>
        <v/>
      </c>
      <c r="AY1721">
        <f>'19_Расчет_аналитики'!AY1392</f>
        <v/>
      </c>
      <c r="AZ1721">
        <f>'19_Расчет_аналитики'!AZ1392</f>
        <v/>
      </c>
      <c r="BA1721">
        <f>'19_Расчет_аналитики'!BA1392</f>
        <v/>
      </c>
      <c r="BB1721">
        <f>'19_Расчет_аналитики'!BB1392</f>
        <v/>
      </c>
      <c r="BC1721">
        <f>'19_Расчет_аналитики'!BC1392</f>
        <v/>
      </c>
      <c r="BD1721">
        <f>'19_Расчет_аналитики'!BD1392</f>
        <v/>
      </c>
      <c r="BE1721">
        <f>'19_Расчет_аналитики'!BE1392</f>
        <v/>
      </c>
      <c r="BF1721">
        <f>'19_Расчет_аналитики'!BF1392</f>
        <v/>
      </c>
      <c r="BG1721">
        <f>'19_Расчет_аналитики'!BG1392</f>
        <v/>
      </c>
      <c r="BH1721">
        <f>'19_Расчет_аналитики'!BH1392</f>
        <v/>
      </c>
      <c r="BI1721">
        <f>'19_Расчет_аналитики'!BI1392</f>
        <v/>
      </c>
    </row>
    <row r="1722"/>
    <row r="1723"/>
    <row r="1724">
      <c r="B1724">
        <f>'02_Модель'!B18</f>
        <v/>
      </c>
      <c r="C1724">
        <f>'19_Расчет_аналитики'!C1361</f>
        <v/>
      </c>
      <c r="D1724">
        <f>'19_Расчет_аналитики'!D1361</f>
        <v/>
      </c>
      <c r="E1724">
        <f>'19_Расчет_аналитики'!E1361</f>
        <v/>
      </c>
      <c r="F1724">
        <f>'19_Расчет_аналитики'!F1361</f>
        <v/>
      </c>
      <c r="G1724">
        <f>'19_Расчет_аналитики'!G1361</f>
        <v/>
      </c>
      <c r="H1724">
        <f>'19_Расчет_аналитики'!H1361</f>
        <v/>
      </c>
      <c r="I1724">
        <f>'19_Расчет_аналитики'!I1361</f>
        <v/>
      </c>
      <c r="J1724">
        <f>'19_Расчет_аналитики'!J1361</f>
        <v/>
      </c>
      <c r="K1724">
        <f>'19_Расчет_аналитики'!K1361</f>
        <v/>
      </c>
      <c r="L1724">
        <f>'19_Расчет_аналитики'!L1361</f>
        <v/>
      </c>
      <c r="M1724">
        <f>'19_Расчет_аналитики'!M1361</f>
        <v/>
      </c>
      <c r="N1724">
        <f>'19_Расчет_аналитики'!N1361</f>
        <v/>
      </c>
      <c r="O1724">
        <f>'19_Расчет_аналитики'!O1361</f>
        <v/>
      </c>
      <c r="P1724">
        <f>'19_Расчет_аналитики'!P1361</f>
        <v/>
      </c>
      <c r="Q1724">
        <f>'19_Расчет_аналитики'!Q1361</f>
        <v/>
      </c>
      <c r="R1724">
        <f>'19_Расчет_аналитики'!R1361</f>
        <v/>
      </c>
      <c r="S1724">
        <f>'19_Расчет_аналитики'!S1361</f>
        <v/>
      </c>
      <c r="T1724">
        <f>'19_Расчет_аналитики'!T1361</f>
        <v/>
      </c>
      <c r="U1724">
        <f>'19_Расчет_аналитики'!U1361</f>
        <v/>
      </c>
      <c r="V1724">
        <f>'19_Расчет_аналитики'!V1361</f>
        <v/>
      </c>
      <c r="W1724">
        <f>'19_Расчет_аналитики'!W1361</f>
        <v/>
      </c>
      <c r="X1724">
        <f>'19_Расчет_аналитики'!X1361</f>
        <v/>
      </c>
      <c r="Y1724">
        <f>'19_Расчет_аналитики'!Y1361</f>
        <v/>
      </c>
      <c r="Z1724">
        <f>'19_Расчет_аналитики'!Z1361</f>
        <v/>
      </c>
      <c r="AA1724">
        <f>'19_Расчет_аналитики'!AA1361</f>
        <v/>
      </c>
      <c r="AB1724">
        <f>'19_Расчет_аналитики'!AB1361</f>
        <v/>
      </c>
      <c r="AC1724">
        <f>'19_Расчет_аналитики'!AC1361</f>
        <v/>
      </c>
      <c r="AD1724">
        <f>'19_Расчет_аналитики'!AD1361</f>
        <v/>
      </c>
      <c r="AE1724">
        <f>'19_Расчет_аналитики'!AE1361</f>
        <v/>
      </c>
      <c r="AF1724">
        <f>'19_Расчет_аналитики'!AF1361</f>
        <v/>
      </c>
      <c r="AG1724">
        <f>'19_Расчет_аналитики'!AG1361</f>
        <v/>
      </c>
      <c r="AH1724">
        <f>'19_Расчет_аналитики'!AH1361</f>
        <v/>
      </c>
      <c r="AI1724">
        <f>'19_Расчет_аналитики'!AI1361</f>
        <v/>
      </c>
      <c r="AJ1724">
        <f>'19_Расчет_аналитики'!AJ1361</f>
        <v/>
      </c>
      <c r="AK1724">
        <f>'19_Расчет_аналитики'!AK1361</f>
        <v/>
      </c>
      <c r="AL1724">
        <f>'19_Расчет_аналитики'!AL1361</f>
        <v/>
      </c>
      <c r="AM1724">
        <f>'19_Расчет_аналитики'!AM1361</f>
        <v/>
      </c>
      <c r="AN1724">
        <f>'19_Расчет_аналитики'!AN1361</f>
        <v/>
      </c>
      <c r="AO1724">
        <f>'19_Расчет_аналитики'!AO1361</f>
        <v/>
      </c>
      <c r="AP1724">
        <f>'19_Расчет_аналитики'!AP1361</f>
        <v/>
      </c>
      <c r="AQ1724">
        <f>'19_Расчет_аналитики'!AQ1361</f>
        <v/>
      </c>
      <c r="AR1724">
        <f>'19_Расчет_аналитики'!AR1361</f>
        <v/>
      </c>
      <c r="AS1724">
        <f>'19_Расчет_аналитики'!AS1361</f>
        <v/>
      </c>
      <c r="AT1724">
        <f>'19_Расчет_аналитики'!AT1361</f>
        <v/>
      </c>
      <c r="AU1724">
        <f>'19_Расчет_аналитики'!AU1361</f>
        <v/>
      </c>
      <c r="AV1724">
        <f>'19_Расчет_аналитики'!AV1361</f>
        <v/>
      </c>
      <c r="AW1724">
        <f>'19_Расчет_аналитики'!AW1361</f>
        <v/>
      </c>
      <c r="AX1724">
        <f>'19_Расчет_аналитики'!AX1361</f>
        <v/>
      </c>
      <c r="AY1724">
        <f>'19_Расчет_аналитики'!AY1361</f>
        <v/>
      </c>
      <c r="AZ1724">
        <f>'19_Расчет_аналитики'!AZ1361</f>
        <v/>
      </c>
      <c r="BA1724">
        <f>'19_Расчет_аналитики'!BA1361</f>
        <v/>
      </c>
      <c r="BB1724">
        <f>'19_Расчет_аналитики'!BB1361</f>
        <v/>
      </c>
      <c r="BC1724">
        <f>'19_Расчет_аналитики'!BC1361</f>
        <v/>
      </c>
      <c r="BD1724">
        <f>'19_Расчет_аналитики'!BD1361</f>
        <v/>
      </c>
      <c r="BE1724">
        <f>'19_Расчет_аналитики'!BE1361</f>
        <v/>
      </c>
      <c r="BF1724">
        <f>'19_Расчет_аналитики'!BF1361</f>
        <v/>
      </c>
      <c r="BG1724">
        <f>'19_Расчет_аналитики'!BG1361</f>
        <v/>
      </c>
      <c r="BH1724">
        <f>'19_Расчет_аналитики'!BH1361</f>
        <v/>
      </c>
      <c r="BI1724">
        <f>'19_Расчет_аналитики'!BI1361</f>
        <v/>
      </c>
    </row>
    <row r="1725">
      <c r="B1725">
        <f>'19_Расчет_аналитики'!B1395/(1+'01_Вводные'!$B$58)</f>
        <v/>
      </c>
      <c r="C1725">
        <f>'19_Расчет_аналитики'!C1395/(1+'01_Вводные'!$B$58)</f>
        <v/>
      </c>
      <c r="D1725">
        <f>'19_Расчет_аналитики'!D1395/(1+'01_Вводные'!$B$58)</f>
        <v/>
      </c>
      <c r="E1725">
        <f>'19_Расчет_аналитики'!E1395/(1+'01_Вводные'!$B$58)</f>
        <v/>
      </c>
      <c r="F1725">
        <f>'19_Расчет_аналитики'!F1395/(1+'01_Вводные'!$B$58)</f>
        <v/>
      </c>
      <c r="G1725">
        <f>'19_Расчет_аналитики'!G1395/(1+'01_Вводные'!$B$58)</f>
        <v/>
      </c>
      <c r="H1725">
        <f>'19_Расчет_аналитики'!H1395/(1+'01_Вводные'!$B$58)</f>
        <v/>
      </c>
      <c r="I1725">
        <f>'19_Расчет_аналитики'!I1395/(1+'01_Вводные'!$B$58)</f>
        <v/>
      </c>
      <c r="J1725">
        <f>'19_Расчет_аналитики'!J1395/(1+'01_Вводные'!$B$58)</f>
        <v/>
      </c>
      <c r="K1725">
        <f>'19_Расчет_аналитики'!K1395/(1+'01_Вводные'!$B$58)</f>
        <v/>
      </c>
      <c r="L1725">
        <f>'19_Расчет_аналитики'!L1395/(1+'01_Вводные'!$B$58)</f>
        <v/>
      </c>
      <c r="M1725">
        <f>'19_Расчет_аналитики'!M1395/(1+'01_Вводные'!$B$58)</f>
        <v/>
      </c>
      <c r="N1725">
        <f>'19_Расчет_аналитики'!N1395/(1+'01_Вводные'!$B$58)</f>
        <v/>
      </c>
      <c r="O1725">
        <f>'19_Расчет_аналитики'!O1395/(1+'01_Вводные'!$B$58)</f>
        <v/>
      </c>
      <c r="P1725">
        <f>'19_Расчет_аналитики'!P1395/(1+'01_Вводные'!$B$58)</f>
        <v/>
      </c>
      <c r="Q1725">
        <f>'19_Расчет_аналитики'!Q1395/(1+'01_Вводные'!$B$58)</f>
        <v/>
      </c>
      <c r="R1725">
        <f>'19_Расчет_аналитики'!R1395/(1+'01_Вводные'!$B$58)</f>
        <v/>
      </c>
      <c r="S1725">
        <f>'19_Расчет_аналитики'!S1395/(1+'01_Вводные'!$B$58)</f>
        <v/>
      </c>
      <c r="T1725">
        <f>'19_Расчет_аналитики'!T1395/(1+'01_Вводные'!$B$58)</f>
        <v/>
      </c>
      <c r="U1725">
        <f>'19_Расчет_аналитики'!U1395/(1+'01_Вводные'!$B$58)</f>
        <v/>
      </c>
      <c r="V1725">
        <f>'19_Расчет_аналитики'!V1395/(1+'01_Вводные'!$B$58)</f>
        <v/>
      </c>
      <c r="W1725">
        <f>'19_Расчет_аналитики'!W1395/(1+'01_Вводные'!$B$58)</f>
        <v/>
      </c>
      <c r="X1725">
        <f>'19_Расчет_аналитики'!X1395/(1+'01_Вводные'!$B$58)</f>
        <v/>
      </c>
      <c r="Y1725">
        <f>'19_Расчет_аналитики'!Y1395/(1+'01_Вводные'!$B$58)</f>
        <v/>
      </c>
      <c r="Z1725">
        <f>'19_Расчет_аналитики'!Z1395/(1+'01_Вводные'!$B$58)</f>
        <v/>
      </c>
      <c r="AA1725">
        <f>'19_Расчет_аналитики'!AA1395/(1+'01_Вводные'!$B$58)</f>
        <v/>
      </c>
      <c r="AB1725">
        <f>'19_Расчет_аналитики'!AB1395/(1+'01_Вводные'!$B$58)</f>
        <v/>
      </c>
      <c r="AC1725">
        <f>'19_Расчет_аналитики'!AC1395/(1+'01_Вводные'!$B$58)</f>
        <v/>
      </c>
      <c r="AD1725">
        <f>'19_Расчет_аналитики'!AD1395/(1+'01_Вводные'!$B$58)</f>
        <v/>
      </c>
      <c r="AE1725">
        <f>'19_Расчет_аналитики'!AE1395/(1+'01_Вводные'!$B$58)</f>
        <v/>
      </c>
      <c r="AF1725">
        <f>'19_Расчет_аналитики'!AF1395/(1+'01_Вводные'!$B$58)</f>
        <v/>
      </c>
      <c r="AG1725">
        <f>'19_Расчет_аналитики'!AG1395/(1+'01_Вводные'!$B$58)</f>
        <v/>
      </c>
      <c r="AH1725">
        <f>'19_Расчет_аналитики'!AH1395/(1+'01_Вводные'!$B$58)</f>
        <v/>
      </c>
      <c r="AI1725">
        <f>'19_Расчет_аналитики'!AI1395/(1+'01_Вводные'!$B$58)</f>
        <v/>
      </c>
      <c r="AJ1725">
        <f>'19_Расчет_аналитики'!AJ1395/(1+'01_Вводные'!$B$58)</f>
        <v/>
      </c>
      <c r="AK1725">
        <f>'19_Расчет_аналитики'!AK1395/(1+'01_Вводные'!$B$58)</f>
        <v/>
      </c>
      <c r="AL1725">
        <f>'19_Расчет_аналитики'!AL1395/(1+'01_Вводные'!$B$58)</f>
        <v/>
      </c>
      <c r="AM1725">
        <f>'19_Расчет_аналитики'!AM1395/(1+'01_Вводные'!$B$58)</f>
        <v/>
      </c>
      <c r="AN1725">
        <f>'19_Расчет_аналитики'!AN1395/(1+'01_Вводные'!$B$58)</f>
        <v/>
      </c>
      <c r="AO1725">
        <f>'19_Расчет_аналитики'!AO1395/(1+'01_Вводные'!$B$58)</f>
        <v/>
      </c>
      <c r="AP1725">
        <f>'19_Расчет_аналитики'!AP1395/(1+'01_Вводные'!$B$58)</f>
        <v/>
      </c>
      <c r="AQ1725">
        <f>'19_Расчет_аналитики'!AQ1395/(1+'01_Вводные'!$B$58)</f>
        <v/>
      </c>
      <c r="AR1725">
        <f>'19_Расчет_аналитики'!AR1395/(1+'01_Вводные'!$B$58)</f>
        <v/>
      </c>
      <c r="AS1725">
        <f>'19_Расчет_аналитики'!AS1395/(1+'01_Вводные'!$B$58)</f>
        <v/>
      </c>
      <c r="AT1725">
        <f>'19_Расчет_аналитики'!AT1395/(1+'01_Вводные'!$B$58)</f>
        <v/>
      </c>
      <c r="AU1725">
        <f>'19_Расчет_аналитики'!AU1395/(1+'01_Вводные'!$B$58)</f>
        <v/>
      </c>
      <c r="AV1725">
        <f>'19_Расчет_аналитики'!AV1395/(1+'01_Вводные'!$B$58)</f>
        <v/>
      </c>
      <c r="AW1725">
        <f>'19_Расчет_аналитики'!AW1395/(1+'01_Вводные'!$B$58)</f>
        <v/>
      </c>
      <c r="AX1725">
        <f>'19_Расчет_аналитики'!AX1395/(1+'01_Вводные'!$B$58)</f>
        <v/>
      </c>
      <c r="AY1725">
        <f>'19_Расчет_аналитики'!AY1395/(1+'01_Вводные'!$B$58)</f>
        <v/>
      </c>
      <c r="AZ1725">
        <f>'19_Расчет_аналитики'!AZ1395/(1+'01_Вводные'!$B$58)</f>
        <v/>
      </c>
      <c r="BA1725">
        <f>'19_Расчет_аналитики'!BA1395/(1+'01_Вводные'!$B$58)</f>
        <v/>
      </c>
      <c r="BB1725">
        <f>'19_Расчет_аналитики'!BB1395/(1+'01_Вводные'!$B$58)</f>
        <v/>
      </c>
      <c r="BC1725">
        <f>'19_Расчет_аналитики'!BC1395/(1+'01_Вводные'!$B$58)</f>
        <v/>
      </c>
      <c r="BD1725">
        <f>'19_Расчет_аналитики'!BD1395/(1+'01_Вводные'!$B$58)</f>
        <v/>
      </c>
      <c r="BE1725">
        <f>'19_Расчет_аналитики'!BE1395/(1+'01_Вводные'!$B$58)</f>
        <v/>
      </c>
      <c r="BF1725">
        <f>'19_Расчет_аналитики'!BF1395/(1+'01_Вводные'!$B$58)</f>
        <v/>
      </c>
      <c r="BG1725">
        <f>'19_Расчет_аналитики'!BG1395/(1+'01_Вводные'!$B$58)</f>
        <v/>
      </c>
      <c r="BH1725">
        <f>'19_Расчет_аналитики'!BH1395/(1+'01_Вводные'!$B$58)</f>
        <v/>
      </c>
      <c r="BI1725">
        <f>'19_Расчет_аналитики'!BI1395/(1+'01_Вводные'!$B$58)</f>
        <v/>
      </c>
    </row>
    <row r="1726">
      <c r="B1726">
        <f>'19_Расчет_аналитики'!B1396/(1+'01_Вводные'!$B$58)</f>
        <v/>
      </c>
      <c r="C1726">
        <f>'19_Расчет_аналитики'!C1396/(1+'01_Вводные'!$B$58)</f>
        <v/>
      </c>
      <c r="D1726">
        <f>'19_Расчет_аналитики'!D1396/(1+'01_Вводные'!$B$58)</f>
        <v/>
      </c>
      <c r="E1726">
        <f>'19_Расчет_аналитики'!E1396/(1+'01_Вводные'!$B$58)</f>
        <v/>
      </c>
      <c r="F1726">
        <f>'19_Расчет_аналитики'!F1396/(1+'01_Вводные'!$B$58)</f>
        <v/>
      </c>
      <c r="G1726">
        <f>'19_Расчет_аналитики'!G1396/(1+'01_Вводные'!$B$58)</f>
        <v/>
      </c>
      <c r="H1726">
        <f>'19_Расчет_аналитики'!H1396/(1+'01_Вводные'!$B$58)</f>
        <v/>
      </c>
      <c r="I1726">
        <f>'19_Расчет_аналитики'!I1396/(1+'01_Вводные'!$B$58)</f>
        <v/>
      </c>
      <c r="J1726">
        <f>'19_Расчет_аналитики'!J1396/(1+'01_Вводные'!$B$58)</f>
        <v/>
      </c>
      <c r="K1726">
        <f>'19_Расчет_аналитики'!K1396/(1+'01_Вводные'!$B$58)</f>
        <v/>
      </c>
      <c r="L1726">
        <f>'19_Расчет_аналитики'!L1396/(1+'01_Вводные'!$B$58)</f>
        <v/>
      </c>
      <c r="M1726">
        <f>'19_Расчет_аналитики'!M1396/(1+'01_Вводные'!$B$58)</f>
        <v/>
      </c>
      <c r="N1726">
        <f>'19_Расчет_аналитики'!N1396/(1+'01_Вводные'!$B$58)</f>
        <v/>
      </c>
      <c r="O1726">
        <f>'19_Расчет_аналитики'!O1396/(1+'01_Вводные'!$B$58)</f>
        <v/>
      </c>
      <c r="P1726">
        <f>'19_Расчет_аналитики'!P1396/(1+'01_Вводные'!$B$58)</f>
        <v/>
      </c>
      <c r="Q1726">
        <f>'19_Расчет_аналитики'!Q1396/(1+'01_Вводные'!$B$58)</f>
        <v/>
      </c>
      <c r="R1726">
        <f>'19_Расчет_аналитики'!R1396/(1+'01_Вводные'!$B$58)</f>
        <v/>
      </c>
      <c r="S1726">
        <f>'19_Расчет_аналитики'!S1396/(1+'01_Вводные'!$B$58)</f>
        <v/>
      </c>
      <c r="T1726">
        <f>'19_Расчет_аналитики'!T1396/(1+'01_Вводные'!$B$58)</f>
        <v/>
      </c>
      <c r="U1726">
        <f>'19_Расчет_аналитики'!U1396/(1+'01_Вводные'!$B$58)</f>
        <v/>
      </c>
      <c r="V1726">
        <f>'19_Расчет_аналитики'!V1396/(1+'01_Вводные'!$B$58)</f>
        <v/>
      </c>
      <c r="W1726">
        <f>'19_Расчет_аналитики'!W1396/(1+'01_Вводные'!$B$58)</f>
        <v/>
      </c>
      <c r="X1726">
        <f>'19_Расчет_аналитики'!X1396/(1+'01_Вводные'!$B$58)</f>
        <v/>
      </c>
      <c r="Y1726">
        <f>'19_Расчет_аналитики'!Y1396/(1+'01_Вводные'!$B$58)</f>
        <v/>
      </c>
      <c r="Z1726">
        <f>'19_Расчет_аналитики'!Z1396/(1+'01_Вводные'!$B$58)</f>
        <v/>
      </c>
      <c r="AA1726">
        <f>'19_Расчет_аналитики'!AA1396/(1+'01_Вводные'!$B$58)</f>
        <v/>
      </c>
      <c r="AB1726">
        <f>'19_Расчет_аналитики'!AB1396/(1+'01_Вводные'!$B$58)</f>
        <v/>
      </c>
      <c r="AC1726">
        <f>'19_Расчет_аналитики'!AC1396/(1+'01_Вводные'!$B$58)</f>
        <v/>
      </c>
      <c r="AD1726">
        <f>'19_Расчет_аналитики'!AD1396/(1+'01_Вводные'!$B$58)</f>
        <v/>
      </c>
      <c r="AE1726">
        <f>'19_Расчет_аналитики'!AE1396/(1+'01_Вводные'!$B$58)</f>
        <v/>
      </c>
      <c r="AF1726">
        <f>'19_Расчет_аналитики'!AF1396/(1+'01_Вводные'!$B$58)</f>
        <v/>
      </c>
      <c r="AG1726">
        <f>'19_Расчет_аналитики'!AG1396/(1+'01_Вводные'!$B$58)</f>
        <v/>
      </c>
      <c r="AH1726">
        <f>'19_Расчет_аналитики'!AH1396/(1+'01_Вводные'!$B$58)</f>
        <v/>
      </c>
      <c r="AI1726">
        <f>'19_Расчет_аналитики'!AI1396/(1+'01_Вводные'!$B$58)</f>
        <v/>
      </c>
      <c r="AJ1726">
        <f>'19_Расчет_аналитики'!AJ1396/(1+'01_Вводные'!$B$58)</f>
        <v/>
      </c>
      <c r="AK1726">
        <f>'19_Расчет_аналитики'!AK1396/(1+'01_Вводные'!$B$58)</f>
        <v/>
      </c>
      <c r="AL1726">
        <f>'19_Расчет_аналитики'!AL1396/(1+'01_Вводные'!$B$58)</f>
        <v/>
      </c>
      <c r="AM1726">
        <f>'19_Расчет_аналитики'!AM1396/(1+'01_Вводные'!$B$58)</f>
        <v/>
      </c>
      <c r="AN1726">
        <f>'19_Расчет_аналитики'!AN1396/(1+'01_Вводные'!$B$58)</f>
        <v/>
      </c>
      <c r="AO1726">
        <f>'19_Расчет_аналитики'!AO1396/(1+'01_Вводные'!$B$58)</f>
        <v/>
      </c>
      <c r="AP1726">
        <f>'19_Расчет_аналитики'!AP1396/(1+'01_Вводные'!$B$58)</f>
        <v/>
      </c>
      <c r="AQ1726">
        <f>'19_Расчет_аналитики'!AQ1396/(1+'01_Вводные'!$B$58)</f>
        <v/>
      </c>
      <c r="AR1726">
        <f>'19_Расчет_аналитики'!AR1396/(1+'01_Вводные'!$B$58)</f>
        <v/>
      </c>
      <c r="AS1726">
        <f>'19_Расчет_аналитики'!AS1396/(1+'01_Вводные'!$B$58)</f>
        <v/>
      </c>
      <c r="AT1726">
        <f>'19_Расчет_аналитики'!AT1396/(1+'01_Вводные'!$B$58)</f>
        <v/>
      </c>
      <c r="AU1726">
        <f>'19_Расчет_аналитики'!AU1396/(1+'01_Вводные'!$B$58)</f>
        <v/>
      </c>
      <c r="AV1726">
        <f>'19_Расчет_аналитики'!AV1396/(1+'01_Вводные'!$B$58)</f>
        <v/>
      </c>
      <c r="AW1726">
        <f>'19_Расчет_аналитики'!AW1396/(1+'01_Вводные'!$B$58)</f>
        <v/>
      </c>
      <c r="AX1726">
        <f>'19_Расчет_аналитики'!AX1396/(1+'01_Вводные'!$B$58)</f>
        <v/>
      </c>
      <c r="AY1726">
        <f>'19_Расчет_аналитики'!AY1396/(1+'01_Вводные'!$B$58)</f>
        <v/>
      </c>
      <c r="AZ1726">
        <f>'19_Расчет_аналитики'!AZ1396/(1+'01_Вводные'!$B$58)</f>
        <v/>
      </c>
      <c r="BA1726">
        <f>'19_Расчет_аналитики'!BA1396/(1+'01_Вводные'!$B$58)</f>
        <v/>
      </c>
      <c r="BB1726">
        <f>'19_Расчет_аналитики'!BB1396/(1+'01_Вводные'!$B$58)</f>
        <v/>
      </c>
      <c r="BC1726">
        <f>'19_Расчет_аналитики'!BC1396/(1+'01_Вводные'!$B$58)</f>
        <v/>
      </c>
      <c r="BD1726">
        <f>'19_Расчет_аналитики'!BD1396/(1+'01_Вводные'!$B$58)</f>
        <v/>
      </c>
      <c r="BE1726">
        <f>'19_Расчет_аналитики'!BE1396/(1+'01_Вводные'!$B$58)</f>
        <v/>
      </c>
      <c r="BF1726">
        <f>'19_Расчет_аналитики'!BF1396/(1+'01_Вводные'!$B$58)</f>
        <v/>
      </c>
      <c r="BG1726">
        <f>'19_Расчет_аналитики'!BG1396/(1+'01_Вводные'!$B$58)</f>
        <v/>
      </c>
      <c r="BH1726">
        <f>'19_Расчет_аналитики'!BH1396/(1+'01_Вводные'!$B$58)</f>
        <v/>
      </c>
      <c r="BI1726">
        <f>'19_Расчет_аналитики'!BI1396/(1+'01_Вводные'!$B$58)</f>
        <v/>
      </c>
    </row>
    <row r="1727">
      <c r="B1727">
        <f>'19_Расчет_аналитики'!B1628</f>
        <v/>
      </c>
      <c r="C1727">
        <f>'19_Расчет_аналитики'!C1628</f>
        <v/>
      </c>
      <c r="D1727">
        <f>'19_Расчет_аналитики'!D1628</f>
        <v/>
      </c>
      <c r="E1727">
        <f>'19_Расчет_аналитики'!E1628</f>
        <v/>
      </c>
      <c r="F1727">
        <f>'19_Расчет_аналитики'!F1628</f>
        <v/>
      </c>
      <c r="G1727">
        <f>'19_Расчет_аналитики'!G1628</f>
        <v/>
      </c>
      <c r="H1727">
        <f>'19_Расчет_аналитики'!H1628</f>
        <v/>
      </c>
      <c r="I1727">
        <f>'19_Расчет_аналитики'!I1628</f>
        <v/>
      </c>
      <c r="J1727">
        <f>'19_Расчет_аналитики'!J1628</f>
        <v/>
      </c>
      <c r="K1727">
        <f>'19_Расчет_аналитики'!K1628</f>
        <v/>
      </c>
      <c r="L1727">
        <f>'19_Расчет_аналитики'!L1628</f>
        <v/>
      </c>
      <c r="M1727">
        <f>'19_Расчет_аналитики'!M1628</f>
        <v/>
      </c>
      <c r="N1727">
        <f>'19_Расчет_аналитики'!N1628</f>
        <v/>
      </c>
      <c r="O1727">
        <f>'19_Расчет_аналитики'!O1628</f>
        <v/>
      </c>
      <c r="P1727">
        <f>'19_Расчет_аналитики'!P1628</f>
        <v/>
      </c>
      <c r="Q1727">
        <f>'19_Расчет_аналитики'!Q1628</f>
        <v/>
      </c>
      <c r="R1727">
        <f>'19_Расчет_аналитики'!R1628</f>
        <v/>
      </c>
      <c r="S1727">
        <f>'19_Расчет_аналитики'!S1628</f>
        <v/>
      </c>
      <c r="T1727">
        <f>'19_Расчет_аналитики'!T1628</f>
        <v/>
      </c>
      <c r="U1727">
        <f>'19_Расчет_аналитики'!U1628</f>
        <v/>
      </c>
      <c r="V1727">
        <f>'19_Расчет_аналитики'!V1628</f>
        <v/>
      </c>
      <c r="W1727">
        <f>'19_Расчет_аналитики'!W1628</f>
        <v/>
      </c>
      <c r="X1727">
        <f>'19_Расчет_аналитики'!X1628</f>
        <v/>
      </c>
      <c r="Y1727">
        <f>'19_Расчет_аналитики'!Y1628</f>
        <v/>
      </c>
      <c r="Z1727">
        <f>'19_Расчет_аналитики'!Z1628</f>
        <v/>
      </c>
      <c r="AA1727">
        <f>'19_Расчет_аналитики'!AA1628</f>
        <v/>
      </c>
      <c r="AB1727">
        <f>'19_Расчет_аналитики'!AB1628</f>
        <v/>
      </c>
      <c r="AC1727">
        <f>'19_Расчет_аналитики'!AC1628</f>
        <v/>
      </c>
      <c r="AD1727">
        <f>'19_Расчет_аналитики'!AD1628</f>
        <v/>
      </c>
      <c r="AE1727">
        <f>'19_Расчет_аналитики'!AE1628</f>
        <v/>
      </c>
      <c r="AF1727">
        <f>'19_Расчет_аналитики'!AF1628</f>
        <v/>
      </c>
      <c r="AG1727">
        <f>'19_Расчет_аналитики'!AG1628</f>
        <v/>
      </c>
      <c r="AH1727">
        <f>'19_Расчет_аналитики'!AH1628</f>
        <v/>
      </c>
      <c r="AI1727">
        <f>'19_Расчет_аналитики'!AI1628</f>
        <v/>
      </c>
      <c r="AJ1727">
        <f>'19_Расчет_аналитики'!AJ1628</f>
        <v/>
      </c>
      <c r="AK1727">
        <f>'19_Расчет_аналитики'!AK1628</f>
        <v/>
      </c>
      <c r="AL1727">
        <f>'19_Расчет_аналитики'!AL1628</f>
        <v/>
      </c>
      <c r="AM1727">
        <f>'19_Расчет_аналитики'!AM1628</f>
        <v/>
      </c>
      <c r="AN1727">
        <f>'19_Расчет_аналитики'!AN1628</f>
        <v/>
      </c>
      <c r="AO1727">
        <f>'19_Расчет_аналитики'!AO1628</f>
        <v/>
      </c>
      <c r="AP1727">
        <f>'19_Расчет_аналитики'!AP1628</f>
        <v/>
      </c>
      <c r="AQ1727">
        <f>'19_Расчет_аналитики'!AQ1628</f>
        <v/>
      </c>
      <c r="AR1727">
        <f>'19_Расчет_аналитики'!AR1628</f>
        <v/>
      </c>
      <c r="AS1727">
        <f>'19_Расчет_аналитики'!AS1628</f>
        <v/>
      </c>
      <c r="AT1727">
        <f>'19_Расчет_аналитики'!AT1628</f>
        <v/>
      </c>
      <c r="AU1727">
        <f>'19_Расчет_аналитики'!AU1628</f>
        <v/>
      </c>
      <c r="AV1727">
        <f>'19_Расчет_аналитики'!AV1628</f>
        <v/>
      </c>
      <c r="AW1727">
        <f>'19_Расчет_аналитики'!AW1628</f>
        <v/>
      </c>
      <c r="AX1727">
        <f>'19_Расчет_аналитики'!AX1628</f>
        <v/>
      </c>
      <c r="AY1727">
        <f>'19_Расчет_аналитики'!AY1628</f>
        <v/>
      </c>
      <c r="AZ1727">
        <f>'19_Расчет_аналитики'!AZ1628</f>
        <v/>
      </c>
      <c r="BA1727">
        <f>'19_Расчет_аналитики'!BA1628</f>
        <v/>
      </c>
      <c r="BB1727">
        <f>'19_Расчет_аналитики'!BB1628</f>
        <v/>
      </c>
      <c r="BC1727">
        <f>'19_Расчет_аналитики'!BC1628</f>
        <v/>
      </c>
      <c r="BD1727">
        <f>'19_Расчет_аналитики'!BD1628</f>
        <v/>
      </c>
      <c r="BE1727">
        <f>'19_Расчет_аналитики'!BE1628</f>
        <v/>
      </c>
      <c r="BF1727">
        <f>'19_Расчет_аналитики'!BF1628</f>
        <v/>
      </c>
      <c r="BG1727">
        <f>'19_Расчет_аналитики'!BG1628</f>
        <v/>
      </c>
      <c r="BH1727">
        <f>'19_Расчет_аналитики'!BH1628</f>
        <v/>
      </c>
      <c r="BI1727">
        <f>'19_Расчет_аналитики'!BI1628</f>
        <v/>
      </c>
    </row>
    <row r="1728">
      <c r="B1728">
        <f>'02_Модель'!B22</f>
        <v/>
      </c>
      <c r="C1728">
        <f>'02_Модель'!C22</f>
        <v/>
      </c>
      <c r="D1728">
        <f>'02_Модель'!D22</f>
        <v/>
      </c>
      <c r="E1728">
        <f>'02_Модель'!E22</f>
        <v/>
      </c>
      <c r="F1728">
        <f>'02_Модель'!F22</f>
        <v/>
      </c>
      <c r="G1728">
        <f>'02_Модель'!G22</f>
        <v/>
      </c>
      <c r="H1728">
        <f>'02_Модель'!H22</f>
        <v/>
      </c>
      <c r="I1728">
        <f>'02_Модель'!I22</f>
        <v/>
      </c>
      <c r="J1728">
        <f>'02_Модель'!J22</f>
        <v/>
      </c>
      <c r="K1728">
        <f>'02_Модель'!K22</f>
        <v/>
      </c>
      <c r="L1728">
        <f>'02_Модель'!L22</f>
        <v/>
      </c>
      <c r="M1728">
        <f>'02_Модель'!M22</f>
        <v/>
      </c>
      <c r="N1728">
        <f>'02_Модель'!N22</f>
        <v/>
      </c>
      <c r="O1728">
        <f>'02_Модель'!O22</f>
        <v/>
      </c>
      <c r="P1728">
        <f>'02_Модель'!P22</f>
        <v/>
      </c>
      <c r="Q1728">
        <f>'02_Модель'!Q22</f>
        <v/>
      </c>
      <c r="R1728">
        <f>'02_Модель'!R22</f>
        <v/>
      </c>
      <c r="S1728">
        <f>'02_Модель'!S22</f>
        <v/>
      </c>
      <c r="T1728">
        <f>'02_Модель'!T22</f>
        <v/>
      </c>
      <c r="U1728">
        <f>'02_Модель'!U22</f>
        <v/>
      </c>
      <c r="V1728">
        <f>'02_Модель'!V22</f>
        <v/>
      </c>
      <c r="W1728">
        <f>'02_Модель'!W22</f>
        <v/>
      </c>
      <c r="X1728">
        <f>'02_Модель'!X22</f>
        <v/>
      </c>
      <c r="Y1728">
        <f>'02_Модель'!Y22</f>
        <v/>
      </c>
      <c r="Z1728">
        <f>'02_Модель'!Z22</f>
        <v/>
      </c>
      <c r="AA1728">
        <f>'02_Модель'!AA22</f>
        <v/>
      </c>
      <c r="AB1728">
        <f>'02_Модель'!AB22</f>
        <v/>
      </c>
      <c r="AC1728">
        <f>'02_Модель'!AC22</f>
        <v/>
      </c>
      <c r="AD1728">
        <f>'02_Модель'!AD22</f>
        <v/>
      </c>
      <c r="AE1728">
        <f>'02_Модель'!AE22</f>
        <v/>
      </c>
      <c r="AF1728">
        <f>'02_Модель'!AF22</f>
        <v/>
      </c>
      <c r="AG1728">
        <f>'02_Модель'!AG22</f>
        <v/>
      </c>
      <c r="AH1728">
        <f>'02_Модель'!AH22</f>
        <v/>
      </c>
      <c r="AI1728">
        <f>'02_Модель'!AI22</f>
        <v/>
      </c>
      <c r="AJ1728">
        <f>'02_Модель'!AJ22</f>
        <v/>
      </c>
      <c r="AK1728">
        <f>'02_Модель'!AK22</f>
        <v/>
      </c>
      <c r="AL1728">
        <f>'02_Модель'!AL22</f>
        <v/>
      </c>
      <c r="AM1728">
        <f>'02_Модель'!AM22</f>
        <v/>
      </c>
      <c r="AN1728">
        <f>'02_Модель'!AN22</f>
        <v/>
      </c>
      <c r="AO1728">
        <f>'02_Модель'!AO22</f>
        <v/>
      </c>
      <c r="AP1728">
        <f>'02_Модель'!AP22</f>
        <v/>
      </c>
      <c r="AQ1728">
        <f>'02_Модель'!AQ22</f>
        <v/>
      </c>
      <c r="AR1728">
        <f>'02_Модель'!AR22</f>
        <v/>
      </c>
      <c r="AS1728">
        <f>'02_Модель'!AS22</f>
        <v/>
      </c>
      <c r="AT1728">
        <f>'02_Модель'!AT22</f>
        <v/>
      </c>
      <c r="AU1728">
        <f>'02_Модель'!AU22</f>
        <v/>
      </c>
      <c r="AV1728">
        <f>'02_Модель'!AV22</f>
        <v/>
      </c>
      <c r="AW1728">
        <f>'02_Модель'!AW22</f>
        <v/>
      </c>
      <c r="AX1728">
        <f>'02_Модель'!AX22</f>
        <v/>
      </c>
      <c r="AY1728">
        <f>'02_Модель'!AY22</f>
        <v/>
      </c>
      <c r="AZ1728">
        <f>'02_Модель'!AZ22</f>
        <v/>
      </c>
      <c r="BA1728">
        <f>'02_Модель'!BA22</f>
        <v/>
      </c>
      <c r="BB1728">
        <f>'02_Модель'!BB22</f>
        <v/>
      </c>
      <c r="BC1728">
        <f>'02_Модель'!BC22</f>
        <v/>
      </c>
      <c r="BD1728">
        <f>'02_Модель'!BD22</f>
        <v/>
      </c>
      <c r="BE1728">
        <f>'02_Модель'!BE22</f>
        <v/>
      </c>
      <c r="BF1728">
        <f>'02_Модель'!BF22</f>
        <v/>
      </c>
      <c r="BG1728">
        <f>'02_Модель'!BG22</f>
        <v/>
      </c>
      <c r="BH1728">
        <f>'02_Модель'!BH22</f>
        <v/>
      </c>
      <c r="BI1728">
        <f>'02_Модель'!BI22</f>
        <v/>
      </c>
    </row>
    <row r="1729">
      <c r="B1729">
        <f>SUM('19_Расчет_аналитики'!B1724:B1728)</f>
        <v/>
      </c>
      <c r="C1729">
        <f>SUM('19_Расчет_аналитики'!C1724:C1728)</f>
        <v/>
      </c>
      <c r="D1729">
        <f>SUM('19_Расчет_аналитики'!D1724:D1728)</f>
        <v/>
      </c>
      <c r="E1729">
        <f>SUM('19_Расчет_аналитики'!E1724:E1728)</f>
        <v/>
      </c>
      <c r="F1729">
        <f>SUM('19_Расчет_аналитики'!F1724:F1728)</f>
        <v/>
      </c>
      <c r="G1729">
        <f>SUM('19_Расчет_аналитики'!G1724:G1728)</f>
        <v/>
      </c>
      <c r="H1729">
        <f>SUM('19_Расчет_аналитики'!H1724:H1728)</f>
        <v/>
      </c>
      <c r="I1729">
        <f>SUM('19_Расчет_аналитики'!I1724:I1728)</f>
        <v/>
      </c>
      <c r="J1729">
        <f>SUM('19_Расчет_аналитики'!J1724:J1728)</f>
        <v/>
      </c>
      <c r="K1729">
        <f>SUM('19_Расчет_аналитики'!K1724:K1728)</f>
        <v/>
      </c>
      <c r="L1729">
        <f>SUM('19_Расчет_аналитики'!L1724:L1728)</f>
        <v/>
      </c>
      <c r="M1729">
        <f>SUM('19_Расчет_аналитики'!M1724:M1728)</f>
        <v/>
      </c>
      <c r="N1729">
        <f>SUM('19_Расчет_аналитики'!N1724:N1728)</f>
        <v/>
      </c>
      <c r="O1729">
        <f>SUM('19_Расчет_аналитики'!O1724:O1728)</f>
        <v/>
      </c>
      <c r="P1729">
        <f>SUM('19_Расчет_аналитики'!P1724:P1728)</f>
        <v/>
      </c>
      <c r="Q1729">
        <f>SUM('19_Расчет_аналитики'!Q1724:Q1728)</f>
        <v/>
      </c>
      <c r="R1729">
        <f>SUM('19_Расчет_аналитики'!R1724:R1728)</f>
        <v/>
      </c>
      <c r="S1729">
        <f>SUM('19_Расчет_аналитики'!S1724:S1728)</f>
        <v/>
      </c>
      <c r="T1729">
        <f>SUM('19_Расчет_аналитики'!T1724:T1728)</f>
        <v/>
      </c>
      <c r="U1729">
        <f>SUM('19_Расчет_аналитики'!U1724:U1728)</f>
        <v/>
      </c>
      <c r="V1729">
        <f>SUM('19_Расчет_аналитики'!V1724:V1728)</f>
        <v/>
      </c>
      <c r="W1729">
        <f>SUM('19_Расчет_аналитики'!W1724:W1728)</f>
        <v/>
      </c>
      <c r="X1729">
        <f>SUM('19_Расчет_аналитики'!X1724:X1728)</f>
        <v/>
      </c>
      <c r="Y1729">
        <f>SUM('19_Расчет_аналитики'!Y1724:Y1728)</f>
        <v/>
      </c>
      <c r="Z1729">
        <f>SUM('19_Расчет_аналитики'!Z1724:Z1728)</f>
        <v/>
      </c>
      <c r="AA1729">
        <f>SUM('19_Расчет_аналитики'!AA1724:AA1728)</f>
        <v/>
      </c>
      <c r="AB1729">
        <f>SUM('19_Расчет_аналитики'!AB1724:AB1728)</f>
        <v/>
      </c>
      <c r="AC1729">
        <f>SUM('19_Расчет_аналитики'!AC1724:AC1728)</f>
        <v/>
      </c>
      <c r="AD1729">
        <f>SUM('19_Расчет_аналитики'!AD1724:AD1728)</f>
        <v/>
      </c>
      <c r="AE1729">
        <f>SUM('19_Расчет_аналитики'!AE1724:AE1728)</f>
        <v/>
      </c>
      <c r="AF1729">
        <f>SUM('19_Расчет_аналитики'!AF1724:AF1728)</f>
        <v/>
      </c>
      <c r="AG1729">
        <f>SUM('19_Расчет_аналитики'!AG1724:AG1728)</f>
        <v/>
      </c>
      <c r="AH1729">
        <f>SUM('19_Расчет_аналитики'!AH1724:AH1728)</f>
        <v/>
      </c>
      <c r="AI1729">
        <f>SUM('19_Расчет_аналитики'!AI1724:AI1728)</f>
        <v/>
      </c>
      <c r="AJ1729">
        <f>SUM('19_Расчет_аналитики'!AJ1724:AJ1728)</f>
        <v/>
      </c>
      <c r="AK1729">
        <f>SUM('19_Расчет_аналитики'!AK1724:AK1728)</f>
        <v/>
      </c>
      <c r="AL1729">
        <f>SUM('19_Расчет_аналитики'!AL1724:AL1728)</f>
        <v/>
      </c>
      <c r="AM1729">
        <f>SUM('19_Расчет_аналитики'!AM1724:AM1728)</f>
        <v/>
      </c>
      <c r="AN1729">
        <f>SUM('19_Расчет_аналитики'!AN1724:AN1728)</f>
        <v/>
      </c>
      <c r="AO1729">
        <f>SUM('19_Расчет_аналитики'!AO1724:AO1728)</f>
        <v/>
      </c>
      <c r="AP1729">
        <f>SUM('19_Расчет_аналитики'!AP1724:AP1728)</f>
        <v/>
      </c>
      <c r="AQ1729">
        <f>SUM('19_Расчет_аналитики'!AQ1724:AQ1728)</f>
        <v/>
      </c>
      <c r="AR1729">
        <f>SUM('19_Расчет_аналитики'!AR1724:AR1728)</f>
        <v/>
      </c>
      <c r="AS1729">
        <f>SUM('19_Расчет_аналитики'!AS1724:AS1728)</f>
        <v/>
      </c>
      <c r="AT1729">
        <f>SUM('19_Расчет_аналитики'!AT1724:AT1728)</f>
        <v/>
      </c>
      <c r="AU1729">
        <f>SUM('19_Расчет_аналитики'!AU1724:AU1728)</f>
        <v/>
      </c>
      <c r="AV1729">
        <f>SUM('19_Расчет_аналитики'!AV1724:AV1728)</f>
        <v/>
      </c>
      <c r="AW1729">
        <f>SUM('19_Расчет_аналитики'!AW1724:AW1728)</f>
        <v/>
      </c>
      <c r="AX1729">
        <f>SUM('19_Расчет_аналитики'!AX1724:AX1728)</f>
        <v/>
      </c>
      <c r="AY1729">
        <f>SUM('19_Расчет_аналитики'!AY1724:AY1728)</f>
        <v/>
      </c>
      <c r="AZ1729">
        <f>SUM('19_Расчет_аналитики'!AZ1724:AZ1728)</f>
        <v/>
      </c>
      <c r="BA1729">
        <f>SUM('19_Расчет_аналитики'!BA1724:BA1728)</f>
        <v/>
      </c>
      <c r="BB1729">
        <f>SUM('19_Расчет_аналитики'!BB1724:BB1728)</f>
        <v/>
      </c>
      <c r="BC1729">
        <f>SUM('19_Расчет_аналитики'!BC1724:BC1728)</f>
        <v/>
      </c>
      <c r="BD1729">
        <f>SUM('19_Расчет_аналитики'!BD1724:BD1728)</f>
        <v/>
      </c>
      <c r="BE1729">
        <f>SUM('19_Расчет_аналитики'!BE1724:BE1728)</f>
        <v/>
      </c>
      <c r="BF1729">
        <f>SUM('19_Расчет_аналитики'!BF1724:BF1728)</f>
        <v/>
      </c>
      <c r="BG1729">
        <f>SUM('19_Расчет_аналитики'!BG1724:BG1728)</f>
        <v/>
      </c>
      <c r="BH1729">
        <f>SUM('19_Расчет_аналитики'!BH1724:BH1728)</f>
        <v/>
      </c>
      <c r="BI1729">
        <f>SUM('19_Расчет_аналитики'!BI1724:BI1728)</f>
        <v/>
      </c>
    </row>
    <row r="1730"/>
    <row r="1731"/>
    <row r="1732">
      <c r="B1732">
        <f>'19_Расчет_аналитики'!B1629</f>
        <v/>
      </c>
      <c r="C1732">
        <f>'19_Расчет_аналитики'!C1629</f>
        <v/>
      </c>
      <c r="D1732">
        <f>'19_Расчет_аналитики'!D1629</f>
        <v/>
      </c>
      <c r="E1732">
        <f>'19_Расчет_аналитики'!E1629</f>
        <v/>
      </c>
      <c r="F1732">
        <f>'19_Расчет_аналитики'!F1629</f>
        <v/>
      </c>
      <c r="G1732">
        <f>'19_Расчет_аналитики'!G1629</f>
        <v/>
      </c>
      <c r="H1732">
        <f>'19_Расчет_аналитики'!H1629</f>
        <v/>
      </c>
      <c r="I1732">
        <f>'19_Расчет_аналитики'!I1629</f>
        <v/>
      </c>
      <c r="J1732">
        <f>'19_Расчет_аналитики'!J1629</f>
        <v/>
      </c>
      <c r="K1732">
        <f>'19_Расчет_аналитики'!K1629</f>
        <v/>
      </c>
      <c r="L1732">
        <f>'19_Расчет_аналитики'!L1629</f>
        <v/>
      </c>
      <c r="M1732">
        <f>'19_Расчет_аналитики'!M1629</f>
        <v/>
      </c>
      <c r="N1732">
        <f>'19_Расчет_аналитики'!N1629</f>
        <v/>
      </c>
      <c r="O1732">
        <f>'19_Расчет_аналитики'!O1629</f>
        <v/>
      </c>
      <c r="P1732">
        <f>'19_Расчет_аналитики'!P1629</f>
        <v/>
      </c>
      <c r="Q1732">
        <f>'19_Расчет_аналитики'!Q1629</f>
        <v/>
      </c>
      <c r="R1732">
        <f>'19_Расчет_аналитики'!R1629</f>
        <v/>
      </c>
      <c r="S1732">
        <f>'19_Расчет_аналитики'!S1629</f>
        <v/>
      </c>
      <c r="T1732">
        <f>'19_Расчет_аналитики'!T1629</f>
        <v/>
      </c>
      <c r="U1732">
        <f>'19_Расчет_аналитики'!U1629</f>
        <v/>
      </c>
      <c r="V1732">
        <f>'19_Расчет_аналитики'!V1629</f>
        <v/>
      </c>
      <c r="W1732">
        <f>'19_Расчет_аналитики'!W1629</f>
        <v/>
      </c>
      <c r="X1732">
        <f>'19_Расчет_аналитики'!X1629</f>
        <v/>
      </c>
      <c r="Y1732">
        <f>'19_Расчет_аналитики'!Y1629</f>
        <v/>
      </c>
      <c r="Z1732">
        <f>'19_Расчет_аналитики'!Z1629</f>
        <v/>
      </c>
      <c r="AA1732">
        <f>'19_Расчет_аналитики'!AA1629</f>
        <v/>
      </c>
      <c r="AB1732">
        <f>'19_Расчет_аналитики'!AB1629</f>
        <v/>
      </c>
      <c r="AC1732">
        <f>'19_Расчет_аналитики'!AC1629</f>
        <v/>
      </c>
      <c r="AD1732">
        <f>'19_Расчет_аналитики'!AD1629</f>
        <v/>
      </c>
      <c r="AE1732">
        <f>'19_Расчет_аналитики'!AE1629</f>
        <v/>
      </c>
      <c r="AF1732">
        <f>'19_Расчет_аналитики'!AF1629</f>
        <v/>
      </c>
      <c r="AG1732">
        <f>'19_Расчет_аналитики'!AG1629</f>
        <v/>
      </c>
      <c r="AH1732">
        <f>'19_Расчет_аналитики'!AH1629</f>
        <v/>
      </c>
      <c r="AI1732">
        <f>'19_Расчет_аналитики'!AI1629</f>
        <v/>
      </c>
      <c r="AJ1732">
        <f>'19_Расчет_аналитики'!AJ1629</f>
        <v/>
      </c>
      <c r="AK1732">
        <f>'19_Расчет_аналитики'!AK1629</f>
        <v/>
      </c>
      <c r="AL1732">
        <f>'19_Расчет_аналитики'!AL1629</f>
        <v/>
      </c>
      <c r="AM1732">
        <f>'19_Расчет_аналитики'!AM1629</f>
        <v/>
      </c>
      <c r="AN1732">
        <f>'19_Расчет_аналитики'!AN1629</f>
        <v/>
      </c>
      <c r="AO1732">
        <f>'19_Расчет_аналитики'!AO1629</f>
        <v/>
      </c>
      <c r="AP1732">
        <f>'19_Расчет_аналитики'!AP1629</f>
        <v/>
      </c>
      <c r="AQ1732">
        <f>'19_Расчет_аналитики'!AQ1629</f>
        <v/>
      </c>
      <c r="AR1732">
        <f>'19_Расчет_аналитики'!AR1629</f>
        <v/>
      </c>
      <c r="AS1732">
        <f>'19_Расчет_аналитики'!AS1629</f>
        <v/>
      </c>
      <c r="AT1732">
        <f>'19_Расчет_аналитики'!AT1629</f>
        <v/>
      </c>
      <c r="AU1732">
        <f>'19_Расчет_аналитики'!AU1629</f>
        <v/>
      </c>
      <c r="AV1732">
        <f>'19_Расчет_аналитики'!AV1629</f>
        <v/>
      </c>
      <c r="AW1732">
        <f>'19_Расчет_аналитики'!AW1629</f>
        <v/>
      </c>
      <c r="AX1732">
        <f>'19_Расчет_аналитики'!AX1629</f>
        <v/>
      </c>
      <c r="AY1732">
        <f>'19_Расчет_аналитики'!AY1629</f>
        <v/>
      </c>
      <c r="AZ1732">
        <f>'19_Расчет_аналитики'!AZ1629</f>
        <v/>
      </c>
      <c r="BA1732">
        <f>'19_Расчет_аналитики'!BA1629</f>
        <v/>
      </c>
      <c r="BB1732">
        <f>'19_Расчет_аналитики'!BB1629</f>
        <v/>
      </c>
      <c r="BC1732">
        <f>'19_Расчет_аналитики'!BC1629</f>
        <v/>
      </c>
      <c r="BD1732">
        <f>'19_Расчет_аналитики'!BD1629</f>
        <v/>
      </c>
      <c r="BE1732">
        <f>'19_Расчет_аналитики'!BE1629</f>
        <v/>
      </c>
      <c r="BF1732">
        <f>'19_Расчет_аналитики'!BF1629</f>
        <v/>
      </c>
      <c r="BG1732">
        <f>'19_Расчет_аналитики'!BG1629</f>
        <v/>
      </c>
      <c r="BH1732">
        <f>'19_Расчет_аналитики'!BH1629</f>
        <v/>
      </c>
      <c r="BI1732">
        <f>'19_Расчет_аналитики'!BI1629</f>
        <v/>
      </c>
    </row>
    <row r="1733">
      <c r="B1733">
        <f>'19_Расчет_аналитики'!B1630</f>
        <v/>
      </c>
      <c r="C1733">
        <f>'19_Расчет_аналитики'!C1630</f>
        <v/>
      </c>
      <c r="D1733">
        <f>'19_Расчет_аналитики'!D1630</f>
        <v/>
      </c>
      <c r="E1733">
        <f>'19_Расчет_аналитики'!E1630</f>
        <v/>
      </c>
      <c r="F1733">
        <f>'19_Расчет_аналитики'!F1630</f>
        <v/>
      </c>
      <c r="G1733">
        <f>'19_Расчет_аналитики'!G1630</f>
        <v/>
      </c>
      <c r="H1733">
        <f>'19_Расчет_аналитики'!H1630</f>
        <v/>
      </c>
      <c r="I1733">
        <f>'19_Расчет_аналитики'!I1630</f>
        <v/>
      </c>
      <c r="J1733">
        <f>'19_Расчет_аналитики'!J1630</f>
        <v/>
      </c>
      <c r="K1733">
        <f>'19_Расчет_аналитики'!K1630</f>
        <v/>
      </c>
      <c r="L1733">
        <f>'19_Расчет_аналитики'!L1630</f>
        <v/>
      </c>
      <c r="M1733">
        <f>'19_Расчет_аналитики'!M1630</f>
        <v/>
      </c>
      <c r="N1733">
        <f>'19_Расчет_аналитики'!N1630</f>
        <v/>
      </c>
      <c r="O1733">
        <f>'19_Расчет_аналитики'!O1630</f>
        <v/>
      </c>
      <c r="P1733">
        <f>'19_Расчет_аналитики'!P1630</f>
        <v/>
      </c>
      <c r="Q1733">
        <f>'19_Расчет_аналитики'!Q1630</f>
        <v/>
      </c>
      <c r="R1733">
        <f>'19_Расчет_аналитики'!R1630</f>
        <v/>
      </c>
      <c r="S1733">
        <f>'19_Расчет_аналитики'!S1630</f>
        <v/>
      </c>
      <c r="T1733">
        <f>'19_Расчет_аналитики'!T1630</f>
        <v/>
      </c>
      <c r="U1733">
        <f>'19_Расчет_аналитики'!U1630</f>
        <v/>
      </c>
      <c r="V1733">
        <f>'19_Расчет_аналитики'!V1630</f>
        <v/>
      </c>
      <c r="W1733">
        <f>'19_Расчет_аналитики'!W1630</f>
        <v/>
      </c>
      <c r="X1733">
        <f>'19_Расчет_аналитики'!X1630</f>
        <v/>
      </c>
      <c r="Y1733">
        <f>'19_Расчет_аналитики'!Y1630</f>
        <v/>
      </c>
      <c r="Z1733">
        <f>'19_Расчет_аналитики'!Z1630</f>
        <v/>
      </c>
      <c r="AA1733">
        <f>'19_Расчет_аналитики'!AA1630</f>
        <v/>
      </c>
      <c r="AB1733">
        <f>'19_Расчет_аналитики'!AB1630</f>
        <v/>
      </c>
      <c r="AC1733">
        <f>'19_Расчет_аналитики'!AC1630</f>
        <v/>
      </c>
      <c r="AD1733">
        <f>'19_Расчет_аналитики'!AD1630</f>
        <v/>
      </c>
      <c r="AE1733">
        <f>'19_Расчет_аналитики'!AE1630</f>
        <v/>
      </c>
      <c r="AF1733">
        <f>'19_Расчет_аналитики'!AF1630</f>
        <v/>
      </c>
      <c r="AG1733">
        <f>'19_Расчет_аналитики'!AG1630</f>
        <v/>
      </c>
      <c r="AH1733">
        <f>'19_Расчет_аналитики'!AH1630</f>
        <v/>
      </c>
      <c r="AI1733">
        <f>'19_Расчет_аналитики'!AI1630</f>
        <v/>
      </c>
      <c r="AJ1733">
        <f>'19_Расчет_аналитики'!AJ1630</f>
        <v/>
      </c>
      <c r="AK1733">
        <f>'19_Расчет_аналитики'!AK1630</f>
        <v/>
      </c>
      <c r="AL1733">
        <f>'19_Расчет_аналитики'!AL1630</f>
        <v/>
      </c>
      <c r="AM1733">
        <f>'19_Расчет_аналитики'!AM1630</f>
        <v/>
      </c>
      <c r="AN1733">
        <f>'19_Расчет_аналитики'!AN1630</f>
        <v/>
      </c>
      <c r="AO1733">
        <f>'19_Расчет_аналитики'!AO1630</f>
        <v/>
      </c>
      <c r="AP1733">
        <f>'19_Расчет_аналитики'!AP1630</f>
        <v/>
      </c>
      <c r="AQ1733">
        <f>'19_Расчет_аналитики'!AQ1630</f>
        <v/>
      </c>
      <c r="AR1733">
        <f>'19_Расчет_аналитики'!AR1630</f>
        <v/>
      </c>
      <c r="AS1733">
        <f>'19_Расчет_аналитики'!AS1630</f>
        <v/>
      </c>
      <c r="AT1733">
        <f>'19_Расчет_аналитики'!AT1630</f>
        <v/>
      </c>
      <c r="AU1733">
        <f>'19_Расчет_аналитики'!AU1630</f>
        <v/>
      </c>
      <c r="AV1733">
        <f>'19_Расчет_аналитики'!AV1630</f>
        <v/>
      </c>
      <c r="AW1733">
        <f>'19_Расчет_аналитики'!AW1630</f>
        <v/>
      </c>
      <c r="AX1733">
        <f>'19_Расчет_аналитики'!AX1630</f>
        <v/>
      </c>
      <c r="AY1733">
        <f>'19_Расчет_аналитики'!AY1630</f>
        <v/>
      </c>
      <c r="AZ1733">
        <f>'19_Расчет_аналитики'!AZ1630</f>
        <v/>
      </c>
      <c r="BA1733">
        <f>'19_Расчет_аналитики'!BA1630</f>
        <v/>
      </c>
      <c r="BB1733">
        <f>'19_Расчет_аналитики'!BB1630</f>
        <v/>
      </c>
      <c r="BC1733">
        <f>'19_Расчет_аналитики'!BC1630</f>
        <v/>
      </c>
      <c r="BD1733">
        <f>'19_Расчет_аналитики'!BD1630</f>
        <v/>
      </c>
      <c r="BE1733">
        <f>'19_Расчет_аналитики'!BE1630</f>
        <v/>
      </c>
      <c r="BF1733">
        <f>'19_Расчет_аналитики'!BF1630</f>
        <v/>
      </c>
      <c r="BG1733">
        <f>'19_Расчет_аналитики'!BG1630</f>
        <v/>
      </c>
      <c r="BH1733">
        <f>'19_Расчет_аналитики'!BH1630</f>
        <v/>
      </c>
      <c r="BI1733">
        <f>'19_Расчет_аналитики'!BI1630</f>
        <v/>
      </c>
    </row>
    <row r="1734">
      <c r="B1734">
        <f>'19_Расчет_аналитики'!B1632</f>
        <v/>
      </c>
      <c r="C1734">
        <f>'19_Расчет_аналитики'!C1632</f>
        <v/>
      </c>
      <c r="D1734">
        <f>'19_Расчет_аналитики'!D1632</f>
        <v/>
      </c>
      <c r="E1734">
        <f>'19_Расчет_аналитики'!E1632</f>
        <v/>
      </c>
      <c r="F1734">
        <f>'19_Расчет_аналитики'!F1632</f>
        <v/>
      </c>
      <c r="G1734">
        <f>'19_Расчет_аналитики'!G1632</f>
        <v/>
      </c>
      <c r="H1734">
        <f>'19_Расчет_аналитики'!H1632</f>
        <v/>
      </c>
      <c r="I1734">
        <f>'19_Расчет_аналитики'!I1632</f>
        <v/>
      </c>
      <c r="J1734">
        <f>'19_Расчет_аналитики'!J1632</f>
        <v/>
      </c>
      <c r="K1734">
        <f>'19_Расчет_аналитики'!K1632</f>
        <v/>
      </c>
      <c r="L1734">
        <f>'19_Расчет_аналитики'!L1632</f>
        <v/>
      </c>
      <c r="M1734">
        <f>'19_Расчет_аналитики'!M1632</f>
        <v/>
      </c>
      <c r="N1734">
        <f>'19_Расчет_аналитики'!N1632</f>
        <v/>
      </c>
      <c r="O1734">
        <f>'19_Расчет_аналитики'!O1632</f>
        <v/>
      </c>
      <c r="P1734">
        <f>'19_Расчет_аналитики'!P1632</f>
        <v/>
      </c>
      <c r="Q1734">
        <f>'19_Расчет_аналитики'!Q1632</f>
        <v/>
      </c>
      <c r="R1734">
        <f>'19_Расчет_аналитики'!R1632</f>
        <v/>
      </c>
      <c r="S1734">
        <f>'19_Расчет_аналитики'!S1632</f>
        <v/>
      </c>
      <c r="T1734">
        <f>'19_Расчет_аналитики'!T1632</f>
        <v/>
      </c>
      <c r="U1734">
        <f>'19_Расчет_аналитики'!U1632</f>
        <v/>
      </c>
      <c r="V1734">
        <f>'19_Расчет_аналитики'!V1632</f>
        <v/>
      </c>
      <c r="W1734">
        <f>'19_Расчет_аналитики'!W1632</f>
        <v/>
      </c>
      <c r="X1734">
        <f>'19_Расчет_аналитики'!X1632</f>
        <v/>
      </c>
      <c r="Y1734">
        <f>'19_Расчет_аналитики'!Y1632</f>
        <v/>
      </c>
      <c r="Z1734">
        <f>'19_Расчет_аналитики'!Z1632</f>
        <v/>
      </c>
      <c r="AA1734">
        <f>'19_Расчет_аналитики'!AA1632</f>
        <v/>
      </c>
      <c r="AB1734">
        <f>'19_Расчет_аналитики'!AB1632</f>
        <v/>
      </c>
      <c r="AC1734">
        <f>'19_Расчет_аналитики'!AC1632</f>
        <v/>
      </c>
      <c r="AD1734">
        <f>'19_Расчет_аналитики'!AD1632</f>
        <v/>
      </c>
      <c r="AE1734">
        <f>'19_Расчет_аналитики'!AE1632</f>
        <v/>
      </c>
      <c r="AF1734">
        <f>'19_Расчет_аналитики'!AF1632</f>
        <v/>
      </c>
      <c r="AG1734">
        <f>'19_Расчет_аналитики'!AG1632</f>
        <v/>
      </c>
      <c r="AH1734">
        <f>'19_Расчет_аналитики'!AH1632</f>
        <v/>
      </c>
      <c r="AI1734">
        <f>'19_Расчет_аналитики'!AI1632</f>
        <v/>
      </c>
      <c r="AJ1734">
        <f>'19_Расчет_аналитики'!AJ1632</f>
        <v/>
      </c>
      <c r="AK1734">
        <f>'19_Расчет_аналитики'!AK1632</f>
        <v/>
      </c>
      <c r="AL1734">
        <f>'19_Расчет_аналитики'!AL1632</f>
        <v/>
      </c>
      <c r="AM1734">
        <f>'19_Расчет_аналитики'!AM1632</f>
        <v/>
      </c>
      <c r="AN1734">
        <f>'19_Расчет_аналитики'!AN1632</f>
        <v/>
      </c>
      <c r="AO1734">
        <f>'19_Расчет_аналитики'!AO1632</f>
        <v/>
      </c>
      <c r="AP1734">
        <f>'19_Расчет_аналитики'!AP1632</f>
        <v/>
      </c>
      <c r="AQ1734">
        <f>'19_Расчет_аналитики'!AQ1632</f>
        <v/>
      </c>
      <c r="AR1734">
        <f>'19_Расчет_аналитики'!AR1632</f>
        <v/>
      </c>
      <c r="AS1734">
        <f>'19_Расчет_аналитики'!AS1632</f>
        <v/>
      </c>
      <c r="AT1734">
        <f>'19_Расчет_аналитики'!AT1632</f>
        <v/>
      </c>
      <c r="AU1734">
        <f>'19_Расчет_аналитики'!AU1632</f>
        <v/>
      </c>
      <c r="AV1734">
        <f>'19_Расчет_аналитики'!AV1632</f>
        <v/>
      </c>
      <c r="AW1734">
        <f>'19_Расчет_аналитики'!AW1632</f>
        <v/>
      </c>
      <c r="AX1734">
        <f>'19_Расчет_аналитики'!AX1632</f>
        <v/>
      </c>
      <c r="AY1734">
        <f>'19_Расчет_аналитики'!AY1632</f>
        <v/>
      </c>
      <c r="AZ1734">
        <f>'19_Расчет_аналитики'!AZ1632</f>
        <v/>
      </c>
      <c r="BA1734">
        <f>'19_Расчет_аналитики'!BA1632</f>
        <v/>
      </c>
      <c r="BB1734">
        <f>'19_Расчет_аналитики'!BB1632</f>
        <v/>
      </c>
      <c r="BC1734">
        <f>'19_Расчет_аналитики'!BC1632</f>
        <v/>
      </c>
      <c r="BD1734">
        <f>'19_Расчет_аналитики'!BD1632</f>
        <v/>
      </c>
      <c r="BE1734">
        <f>'19_Расчет_аналитики'!BE1632</f>
        <v/>
      </c>
      <c r="BF1734">
        <f>'19_Расчет_аналитики'!BF1632</f>
        <v/>
      </c>
      <c r="BG1734">
        <f>'19_Расчет_аналитики'!BG1632</f>
        <v/>
      </c>
      <c r="BH1734">
        <f>'19_Расчет_аналитики'!BH1632</f>
        <v/>
      </c>
      <c r="BI1734">
        <f>'19_Расчет_аналитики'!BI1632</f>
        <v/>
      </c>
    </row>
    <row r="1735">
      <c r="B1735">
        <f>'02_Модель'!B29</f>
        <v/>
      </c>
      <c r="C1735">
        <f>'19_Расчет_аналитики'!C1724*'01_Вводные'!$B$59</f>
        <v/>
      </c>
      <c r="D1735">
        <f>'19_Расчет_аналитики'!D1724*'01_Вводные'!$B$59</f>
        <v/>
      </c>
      <c r="E1735">
        <f>'19_Расчет_аналитики'!E1724*'01_Вводные'!$B$59</f>
        <v/>
      </c>
      <c r="F1735">
        <f>'19_Расчет_аналитики'!F1724*'01_Вводные'!$B$59</f>
        <v/>
      </c>
      <c r="G1735">
        <f>'19_Расчет_аналитики'!G1724*'01_Вводные'!$B$59</f>
        <v/>
      </c>
      <c r="H1735">
        <f>'19_Расчет_аналитики'!H1724*'01_Вводные'!$B$59</f>
        <v/>
      </c>
      <c r="I1735">
        <f>'19_Расчет_аналитики'!I1724*'01_Вводные'!$B$59</f>
        <v/>
      </c>
      <c r="J1735">
        <f>'19_Расчет_аналитики'!J1724*'01_Вводные'!$B$59</f>
        <v/>
      </c>
      <c r="K1735">
        <f>'19_Расчет_аналитики'!K1724*'01_Вводные'!$B$59</f>
        <v/>
      </c>
      <c r="L1735">
        <f>'19_Расчет_аналитики'!L1724*'01_Вводные'!$B$59</f>
        <v/>
      </c>
      <c r="M1735">
        <f>'19_Расчет_аналитики'!M1724*'01_Вводные'!$B$59</f>
        <v/>
      </c>
      <c r="N1735">
        <f>'19_Расчет_аналитики'!N1724*'01_Вводные'!$B$59</f>
        <v/>
      </c>
      <c r="O1735">
        <f>'19_Расчет_аналитики'!O1724*'01_Вводные'!$B$59</f>
        <v/>
      </c>
      <c r="P1735">
        <f>'19_Расчет_аналитики'!P1724*'01_Вводные'!$B$59</f>
        <v/>
      </c>
      <c r="Q1735">
        <f>'19_Расчет_аналитики'!Q1724*'01_Вводные'!$B$59</f>
        <v/>
      </c>
      <c r="R1735">
        <f>'19_Расчет_аналитики'!R1724*'01_Вводные'!$B$59</f>
        <v/>
      </c>
      <c r="S1735">
        <f>'19_Расчет_аналитики'!S1724*'01_Вводные'!$B$59</f>
        <v/>
      </c>
      <c r="T1735">
        <f>'19_Расчет_аналитики'!T1724*'01_Вводные'!$B$59</f>
        <v/>
      </c>
      <c r="U1735">
        <f>'19_Расчет_аналитики'!U1724*'01_Вводные'!$B$59</f>
        <v/>
      </c>
      <c r="V1735">
        <f>'19_Расчет_аналитики'!V1724*'01_Вводные'!$B$59</f>
        <v/>
      </c>
      <c r="W1735">
        <f>'19_Расчет_аналитики'!W1724*'01_Вводные'!$B$59</f>
        <v/>
      </c>
      <c r="X1735">
        <f>'19_Расчет_аналитики'!X1724*'01_Вводные'!$B$59</f>
        <v/>
      </c>
      <c r="Y1735">
        <f>'19_Расчет_аналитики'!Y1724*'01_Вводные'!$B$59</f>
        <v/>
      </c>
      <c r="Z1735">
        <f>'19_Расчет_аналитики'!Z1724*'01_Вводные'!$B$59</f>
        <v/>
      </c>
      <c r="AA1735">
        <f>'19_Расчет_аналитики'!AA1724*'01_Вводные'!$B$59</f>
        <v/>
      </c>
      <c r="AB1735">
        <f>'19_Расчет_аналитики'!AB1724*'01_Вводные'!$B$59</f>
        <v/>
      </c>
      <c r="AC1735">
        <f>'19_Расчет_аналитики'!AC1724*'01_Вводные'!$B$59</f>
        <v/>
      </c>
      <c r="AD1735">
        <f>'19_Расчет_аналитики'!AD1724*'01_Вводные'!$B$59</f>
        <v/>
      </c>
      <c r="AE1735">
        <f>'19_Расчет_аналитики'!AE1724*'01_Вводные'!$B$59</f>
        <v/>
      </c>
      <c r="AF1735">
        <f>'19_Расчет_аналитики'!AF1724*'01_Вводные'!$B$59</f>
        <v/>
      </c>
      <c r="AG1735">
        <f>'19_Расчет_аналитики'!AG1724*'01_Вводные'!$B$59</f>
        <v/>
      </c>
      <c r="AH1735">
        <f>'19_Расчет_аналитики'!AH1724*'01_Вводные'!$B$59</f>
        <v/>
      </c>
      <c r="AI1735">
        <f>'19_Расчет_аналитики'!AI1724*'01_Вводные'!$B$59</f>
        <v/>
      </c>
      <c r="AJ1735">
        <f>'19_Расчет_аналитики'!AJ1724*'01_Вводные'!$B$59</f>
        <v/>
      </c>
      <c r="AK1735">
        <f>'19_Расчет_аналитики'!AK1724*'01_Вводные'!$B$59</f>
        <v/>
      </c>
      <c r="AL1735">
        <f>'19_Расчет_аналитики'!AL1724*'01_Вводные'!$B$59</f>
        <v/>
      </c>
      <c r="AM1735">
        <f>'19_Расчет_аналитики'!AM1724*'01_Вводные'!$B$59</f>
        <v/>
      </c>
      <c r="AN1735">
        <f>'19_Расчет_аналитики'!AN1724*'01_Вводные'!$B$59</f>
        <v/>
      </c>
      <c r="AO1735">
        <f>'19_Расчет_аналитики'!AO1724*'01_Вводные'!$B$59</f>
        <v/>
      </c>
      <c r="AP1735">
        <f>'19_Расчет_аналитики'!AP1724*'01_Вводные'!$B$59</f>
        <v/>
      </c>
      <c r="AQ1735">
        <f>'19_Расчет_аналитики'!AQ1724*'01_Вводные'!$B$59</f>
        <v/>
      </c>
      <c r="AR1735">
        <f>'19_Расчет_аналитики'!AR1724*'01_Вводные'!$B$59</f>
        <v/>
      </c>
      <c r="AS1735">
        <f>'19_Расчет_аналитики'!AS1724*'01_Вводные'!$B$59</f>
        <v/>
      </c>
      <c r="AT1735">
        <f>'19_Расчет_аналитики'!AT1724*'01_Вводные'!$B$59</f>
        <v/>
      </c>
      <c r="AU1735">
        <f>'19_Расчет_аналитики'!AU1724*'01_Вводные'!$B$59</f>
        <v/>
      </c>
      <c r="AV1735">
        <f>'19_Расчет_аналитики'!AV1724*'01_Вводные'!$B$59</f>
        <v/>
      </c>
      <c r="AW1735">
        <f>'19_Расчет_аналитики'!AW1724*'01_Вводные'!$B$59</f>
        <v/>
      </c>
      <c r="AX1735">
        <f>'19_Расчет_аналитики'!AX1724*'01_Вводные'!$B$59</f>
        <v/>
      </c>
      <c r="AY1735">
        <f>'19_Расчет_аналитики'!AY1724*'01_Вводные'!$B$59</f>
        <v/>
      </c>
      <c r="AZ1735">
        <f>'19_Расчет_аналитики'!AZ1724*'01_Вводные'!$B$59</f>
        <v/>
      </c>
      <c r="BA1735">
        <f>'19_Расчет_аналитики'!BA1724*'01_Вводные'!$B$59</f>
        <v/>
      </c>
      <c r="BB1735">
        <f>'19_Расчет_аналитики'!BB1724*'01_Вводные'!$B$59</f>
        <v/>
      </c>
      <c r="BC1735">
        <f>'19_Расчет_аналитики'!BC1724*'01_Вводные'!$B$59</f>
        <v/>
      </c>
      <c r="BD1735">
        <f>'19_Расчет_аналитики'!BD1724*'01_Вводные'!$B$59</f>
        <v/>
      </c>
      <c r="BE1735">
        <f>'19_Расчет_аналитики'!BE1724*'01_Вводные'!$B$59</f>
        <v/>
      </c>
      <c r="BF1735">
        <f>'19_Расчет_аналитики'!BF1724*'01_Вводные'!$B$59</f>
        <v/>
      </c>
      <c r="BG1735">
        <f>'19_Расчет_аналитики'!BG1724*'01_Вводные'!$B$59</f>
        <v/>
      </c>
      <c r="BH1735">
        <f>'19_Расчет_аналитики'!BH1724*'01_Вводные'!$B$59</f>
        <v/>
      </c>
      <c r="BI1735">
        <f>'19_Расчет_аналитики'!BI1724*'01_Вводные'!$B$59</f>
        <v/>
      </c>
    </row>
    <row r="1736">
      <c r="B1736">
        <f>('19_Расчет_аналитики'!B1725+'19_Расчет_аналитики'!B1726)*'01_Вводные'!$B$60</f>
        <v/>
      </c>
      <c r="C1736">
        <f>('19_Расчет_аналитики'!C1725+'19_Расчет_аналитики'!C1726)*'01_Вводные'!$B$60</f>
        <v/>
      </c>
      <c r="D1736">
        <f>('19_Расчет_аналитики'!D1725+'19_Расчет_аналитики'!D1726)*'01_Вводные'!$B$60</f>
        <v/>
      </c>
      <c r="E1736">
        <f>('19_Расчет_аналитики'!E1725+'19_Расчет_аналитики'!E1726)*'01_Вводные'!$B$60</f>
        <v/>
      </c>
      <c r="F1736">
        <f>('19_Расчет_аналитики'!F1725+'19_Расчет_аналитики'!F1726)*'01_Вводные'!$B$60</f>
        <v/>
      </c>
      <c r="G1736">
        <f>('19_Расчет_аналитики'!G1725+'19_Расчет_аналитики'!G1726)*'01_Вводные'!$B$60</f>
        <v/>
      </c>
      <c r="H1736">
        <f>('19_Расчет_аналитики'!H1725+'19_Расчет_аналитики'!H1726)*'01_Вводные'!$B$60</f>
        <v/>
      </c>
      <c r="I1736">
        <f>('19_Расчет_аналитики'!I1725+'19_Расчет_аналитики'!I1726)*'01_Вводные'!$B$60</f>
        <v/>
      </c>
      <c r="J1736">
        <f>('19_Расчет_аналитики'!J1725+'19_Расчет_аналитики'!J1726)*'01_Вводные'!$B$60</f>
        <v/>
      </c>
      <c r="K1736">
        <f>('19_Расчет_аналитики'!K1725+'19_Расчет_аналитики'!K1726)*'01_Вводные'!$B$60</f>
        <v/>
      </c>
      <c r="L1736">
        <f>('19_Расчет_аналитики'!L1725+'19_Расчет_аналитики'!L1726)*'01_Вводные'!$B$60</f>
        <v/>
      </c>
      <c r="M1736">
        <f>('19_Расчет_аналитики'!M1725+'19_Расчет_аналитики'!M1726)*'01_Вводные'!$B$60</f>
        <v/>
      </c>
      <c r="N1736">
        <f>('19_Расчет_аналитики'!N1725+'19_Расчет_аналитики'!N1726)*'01_Вводные'!$B$60</f>
        <v/>
      </c>
      <c r="O1736">
        <f>('19_Расчет_аналитики'!O1725+'19_Расчет_аналитики'!O1726)*'01_Вводные'!$B$60</f>
        <v/>
      </c>
      <c r="P1736">
        <f>('19_Расчет_аналитики'!P1725+'19_Расчет_аналитики'!P1726)*'01_Вводные'!$B$60</f>
        <v/>
      </c>
      <c r="Q1736">
        <f>('19_Расчет_аналитики'!Q1725+'19_Расчет_аналитики'!Q1726)*'01_Вводные'!$B$60</f>
        <v/>
      </c>
      <c r="R1736">
        <f>('19_Расчет_аналитики'!R1725+'19_Расчет_аналитики'!R1726)*'01_Вводные'!$B$60</f>
        <v/>
      </c>
      <c r="S1736">
        <f>('19_Расчет_аналитики'!S1725+'19_Расчет_аналитики'!S1726)*'01_Вводные'!$B$60</f>
        <v/>
      </c>
      <c r="T1736">
        <f>('19_Расчет_аналитики'!T1725+'19_Расчет_аналитики'!T1726)*'01_Вводные'!$B$60</f>
        <v/>
      </c>
      <c r="U1736">
        <f>('19_Расчет_аналитики'!U1725+'19_Расчет_аналитики'!U1726)*'01_Вводные'!$B$60</f>
        <v/>
      </c>
      <c r="V1736">
        <f>('19_Расчет_аналитики'!V1725+'19_Расчет_аналитики'!V1726)*'01_Вводные'!$B$60</f>
        <v/>
      </c>
      <c r="W1736">
        <f>('19_Расчет_аналитики'!W1725+'19_Расчет_аналитики'!W1726)*'01_Вводные'!$B$60</f>
        <v/>
      </c>
      <c r="X1736">
        <f>('19_Расчет_аналитики'!X1725+'19_Расчет_аналитики'!X1726)*'01_Вводные'!$B$60</f>
        <v/>
      </c>
      <c r="Y1736">
        <f>('19_Расчет_аналитики'!Y1725+'19_Расчет_аналитики'!Y1726)*'01_Вводные'!$B$60</f>
        <v/>
      </c>
      <c r="Z1736">
        <f>('19_Расчет_аналитики'!Z1725+'19_Расчет_аналитики'!Z1726)*'01_Вводные'!$B$60</f>
        <v/>
      </c>
      <c r="AA1736">
        <f>('19_Расчет_аналитики'!AA1725+'19_Расчет_аналитики'!AA1726)*'01_Вводные'!$B$60</f>
        <v/>
      </c>
      <c r="AB1736">
        <f>('19_Расчет_аналитики'!AB1725+'19_Расчет_аналитики'!AB1726)*'01_Вводные'!$B$60</f>
        <v/>
      </c>
      <c r="AC1736">
        <f>('19_Расчет_аналитики'!AC1725+'19_Расчет_аналитики'!AC1726)*'01_Вводные'!$B$60</f>
        <v/>
      </c>
      <c r="AD1736">
        <f>('19_Расчет_аналитики'!AD1725+'19_Расчет_аналитики'!AD1726)*'01_Вводные'!$B$60</f>
        <v/>
      </c>
      <c r="AE1736">
        <f>('19_Расчет_аналитики'!AE1725+'19_Расчет_аналитики'!AE1726)*'01_Вводные'!$B$60</f>
        <v/>
      </c>
      <c r="AF1736">
        <f>('19_Расчет_аналитики'!AF1725+'19_Расчет_аналитики'!AF1726)*'01_Вводные'!$B$60</f>
        <v/>
      </c>
      <c r="AG1736">
        <f>('19_Расчет_аналитики'!AG1725+'19_Расчет_аналитики'!AG1726)*'01_Вводные'!$B$60</f>
        <v/>
      </c>
      <c r="AH1736">
        <f>('19_Расчет_аналитики'!AH1725+'19_Расчет_аналитики'!AH1726)*'01_Вводные'!$B$60</f>
        <v/>
      </c>
      <c r="AI1736">
        <f>('19_Расчет_аналитики'!AI1725+'19_Расчет_аналитики'!AI1726)*'01_Вводные'!$B$60</f>
        <v/>
      </c>
      <c r="AJ1736">
        <f>('19_Расчет_аналитики'!AJ1725+'19_Расчет_аналитики'!AJ1726)*'01_Вводные'!$B$60</f>
        <v/>
      </c>
      <c r="AK1736">
        <f>('19_Расчет_аналитики'!AK1725+'19_Расчет_аналитики'!AK1726)*'01_Вводные'!$B$60</f>
        <v/>
      </c>
      <c r="AL1736">
        <f>('19_Расчет_аналитики'!AL1725+'19_Расчет_аналитики'!AL1726)*'01_Вводные'!$B$60</f>
        <v/>
      </c>
      <c r="AM1736">
        <f>('19_Расчет_аналитики'!AM1725+'19_Расчет_аналитики'!AM1726)*'01_Вводные'!$B$60</f>
        <v/>
      </c>
      <c r="AN1736">
        <f>('19_Расчет_аналитики'!AN1725+'19_Расчет_аналитики'!AN1726)*'01_Вводные'!$B$60</f>
        <v/>
      </c>
      <c r="AO1736">
        <f>('19_Расчет_аналитики'!AO1725+'19_Расчет_аналитики'!AO1726)*'01_Вводные'!$B$60</f>
        <v/>
      </c>
      <c r="AP1736">
        <f>('19_Расчет_аналитики'!AP1725+'19_Расчет_аналитики'!AP1726)*'01_Вводные'!$B$60</f>
        <v/>
      </c>
      <c r="AQ1736">
        <f>('19_Расчет_аналитики'!AQ1725+'19_Расчет_аналитики'!AQ1726)*'01_Вводные'!$B$60</f>
        <v/>
      </c>
      <c r="AR1736">
        <f>('19_Расчет_аналитики'!AR1725+'19_Расчет_аналитики'!AR1726)*'01_Вводные'!$B$60</f>
        <v/>
      </c>
      <c r="AS1736">
        <f>('19_Расчет_аналитики'!AS1725+'19_Расчет_аналитики'!AS1726)*'01_Вводные'!$B$60</f>
        <v/>
      </c>
      <c r="AT1736">
        <f>('19_Расчет_аналитики'!AT1725+'19_Расчет_аналитики'!AT1726)*'01_Вводные'!$B$60</f>
        <v/>
      </c>
      <c r="AU1736">
        <f>('19_Расчет_аналитики'!AU1725+'19_Расчет_аналитики'!AU1726)*'01_Вводные'!$B$60</f>
        <v/>
      </c>
      <c r="AV1736">
        <f>('19_Расчет_аналитики'!AV1725+'19_Расчет_аналитики'!AV1726)*'01_Вводные'!$B$60</f>
        <v/>
      </c>
      <c r="AW1736">
        <f>('19_Расчет_аналитики'!AW1725+'19_Расчет_аналитики'!AW1726)*'01_Вводные'!$B$60</f>
        <v/>
      </c>
      <c r="AX1736">
        <f>('19_Расчет_аналитики'!AX1725+'19_Расчет_аналитики'!AX1726)*'01_Вводные'!$B$60</f>
        <v/>
      </c>
      <c r="AY1736">
        <f>('19_Расчет_аналитики'!AY1725+'19_Расчет_аналитики'!AY1726)*'01_Вводные'!$B$60</f>
        <v/>
      </c>
      <c r="AZ1736">
        <f>('19_Расчет_аналитики'!AZ1725+'19_Расчет_аналитики'!AZ1726)*'01_Вводные'!$B$60</f>
        <v/>
      </c>
      <c r="BA1736">
        <f>('19_Расчет_аналитики'!BA1725+'19_Расчет_аналитики'!BA1726)*'01_Вводные'!$B$60</f>
        <v/>
      </c>
      <c r="BB1736">
        <f>('19_Расчет_аналитики'!BB1725+'19_Расчет_аналитики'!BB1726)*'01_Вводные'!$B$60</f>
        <v/>
      </c>
      <c r="BC1736">
        <f>('19_Расчет_аналитики'!BC1725+'19_Расчет_аналитики'!BC1726)*'01_Вводные'!$B$60</f>
        <v/>
      </c>
      <c r="BD1736">
        <f>('19_Расчет_аналитики'!BD1725+'19_Расчет_аналитики'!BD1726)*'01_Вводные'!$B$60</f>
        <v/>
      </c>
      <c r="BE1736">
        <f>('19_Расчет_аналитики'!BE1725+'19_Расчет_аналитики'!BE1726)*'01_Вводные'!$B$60</f>
        <v/>
      </c>
      <c r="BF1736">
        <f>('19_Расчет_аналитики'!BF1725+'19_Расчет_аналитики'!BF1726)*'01_Вводные'!$B$60</f>
        <v/>
      </c>
      <c r="BG1736">
        <f>('19_Расчет_аналитики'!BG1725+'19_Расчет_аналитики'!BG1726)*'01_Вводные'!$B$60</f>
        <v/>
      </c>
      <c r="BH1736">
        <f>('19_Расчет_аналитики'!BH1725+'19_Расчет_аналитики'!BH1726)*'01_Вводные'!$B$60</f>
        <v/>
      </c>
      <c r="BI1736">
        <f>('19_Расчет_аналитики'!BI1725+'19_Расчет_аналитики'!BI1726)*'01_Вводные'!$B$60</f>
        <v/>
      </c>
    </row>
    <row r="1737">
      <c r="B1737">
        <f>'02_Модель'!B31</f>
        <v/>
      </c>
      <c r="C1737">
        <f>'02_Модель'!C31</f>
        <v/>
      </c>
      <c r="D1737">
        <f>'02_Модель'!D31</f>
        <v/>
      </c>
      <c r="E1737">
        <f>'02_Модель'!E31</f>
        <v/>
      </c>
      <c r="F1737">
        <f>'02_Модель'!F31</f>
        <v/>
      </c>
      <c r="G1737">
        <f>'02_Модель'!G31</f>
        <v/>
      </c>
      <c r="H1737">
        <f>'02_Модель'!H31</f>
        <v/>
      </c>
      <c r="I1737">
        <f>'02_Модель'!I31</f>
        <v/>
      </c>
      <c r="J1737">
        <f>'02_Модель'!J31</f>
        <v/>
      </c>
      <c r="K1737">
        <f>'02_Модель'!K31</f>
        <v/>
      </c>
      <c r="L1737">
        <f>'02_Модель'!L31</f>
        <v/>
      </c>
      <c r="M1737">
        <f>'02_Модель'!M31</f>
        <v/>
      </c>
      <c r="N1737">
        <f>'02_Модель'!N31</f>
        <v/>
      </c>
      <c r="O1737">
        <f>'02_Модель'!O31</f>
        <v/>
      </c>
      <c r="P1737">
        <f>'02_Модель'!P31</f>
        <v/>
      </c>
      <c r="Q1737">
        <f>'02_Модель'!Q31</f>
        <v/>
      </c>
      <c r="R1737">
        <f>'02_Модель'!R31</f>
        <v/>
      </c>
      <c r="S1737">
        <f>'02_Модель'!S31</f>
        <v/>
      </c>
      <c r="T1737">
        <f>'02_Модель'!T31</f>
        <v/>
      </c>
      <c r="U1737">
        <f>'02_Модель'!U31</f>
        <v/>
      </c>
      <c r="V1737">
        <f>'02_Модель'!V31</f>
        <v/>
      </c>
      <c r="W1737">
        <f>'02_Модель'!W31</f>
        <v/>
      </c>
      <c r="X1737">
        <f>'02_Модель'!X31</f>
        <v/>
      </c>
      <c r="Y1737">
        <f>'02_Модель'!Y31</f>
        <v/>
      </c>
      <c r="Z1737">
        <f>'02_Модель'!Z31</f>
        <v/>
      </c>
      <c r="AA1737">
        <f>'02_Модель'!AA31</f>
        <v/>
      </c>
      <c r="AB1737">
        <f>'02_Модель'!AB31</f>
        <v/>
      </c>
      <c r="AC1737">
        <f>'02_Модель'!AC31</f>
        <v/>
      </c>
      <c r="AD1737">
        <f>'02_Модель'!AD31</f>
        <v/>
      </c>
      <c r="AE1737">
        <f>'02_Модель'!AE31</f>
        <v/>
      </c>
      <c r="AF1737">
        <f>'02_Модель'!AF31</f>
        <v/>
      </c>
      <c r="AG1737">
        <f>'02_Модель'!AG31</f>
        <v/>
      </c>
      <c r="AH1737">
        <f>'02_Модель'!AH31</f>
        <v/>
      </c>
      <c r="AI1737">
        <f>'02_Модель'!AI31</f>
        <v/>
      </c>
      <c r="AJ1737">
        <f>'02_Модель'!AJ31</f>
        <v/>
      </c>
      <c r="AK1737">
        <f>'02_Модель'!AK31</f>
        <v/>
      </c>
      <c r="AL1737">
        <f>'02_Модель'!AL31</f>
        <v/>
      </c>
      <c r="AM1737">
        <f>'02_Модель'!AM31</f>
        <v/>
      </c>
      <c r="AN1737">
        <f>'02_Модель'!AN31</f>
        <v/>
      </c>
      <c r="AO1737">
        <f>'02_Модель'!AO31</f>
        <v/>
      </c>
      <c r="AP1737">
        <f>'02_Модель'!AP31</f>
        <v/>
      </c>
      <c r="AQ1737">
        <f>'02_Модель'!AQ31</f>
        <v/>
      </c>
      <c r="AR1737">
        <f>'02_Модель'!AR31</f>
        <v/>
      </c>
      <c r="AS1737">
        <f>'02_Модель'!AS31</f>
        <v/>
      </c>
      <c r="AT1737">
        <f>'02_Модель'!AT31</f>
        <v/>
      </c>
      <c r="AU1737">
        <f>'02_Модель'!AU31</f>
        <v/>
      </c>
      <c r="AV1737">
        <f>'02_Модель'!AV31</f>
        <v/>
      </c>
      <c r="AW1737">
        <f>'02_Модель'!AW31</f>
        <v/>
      </c>
      <c r="AX1737">
        <f>'02_Модель'!AX31</f>
        <v/>
      </c>
      <c r="AY1737">
        <f>'02_Модель'!AY31</f>
        <v/>
      </c>
      <c r="AZ1737">
        <f>'02_Модель'!AZ31</f>
        <v/>
      </c>
      <c r="BA1737">
        <f>'02_Модель'!BA31</f>
        <v/>
      </c>
      <c r="BB1737">
        <f>'02_Модель'!BB31</f>
        <v/>
      </c>
      <c r="BC1737">
        <f>'02_Модель'!BC31</f>
        <v/>
      </c>
      <c r="BD1737">
        <f>'02_Модель'!BD31</f>
        <v/>
      </c>
      <c r="BE1737">
        <f>'02_Модель'!BE31</f>
        <v/>
      </c>
      <c r="BF1737">
        <f>'02_Модель'!BF31</f>
        <v/>
      </c>
      <c r="BG1737">
        <f>'02_Модель'!BG31</f>
        <v/>
      </c>
      <c r="BH1737">
        <f>'02_Модель'!BH31</f>
        <v/>
      </c>
      <c r="BI1737">
        <f>'02_Модель'!BI31</f>
        <v/>
      </c>
    </row>
    <row r="1738">
      <c r="B1738">
        <f>SUM('19_Расчет_аналитики'!B1732:B1737)</f>
        <v/>
      </c>
      <c r="C1738">
        <f>SUM('19_Расчет_аналитики'!C1732:C1737)</f>
        <v/>
      </c>
      <c r="D1738">
        <f>SUM('19_Расчет_аналитики'!D1732:D1737)</f>
        <v/>
      </c>
      <c r="E1738">
        <f>SUM('19_Расчет_аналитики'!E1732:E1737)</f>
        <v/>
      </c>
      <c r="F1738">
        <f>SUM('19_Расчет_аналитики'!F1732:F1737)</f>
        <v/>
      </c>
      <c r="G1738">
        <f>SUM('19_Расчет_аналитики'!G1732:G1737)</f>
        <v/>
      </c>
      <c r="H1738">
        <f>SUM('19_Расчет_аналитики'!H1732:H1737)</f>
        <v/>
      </c>
      <c r="I1738">
        <f>SUM('19_Расчет_аналитики'!I1732:I1737)</f>
        <v/>
      </c>
      <c r="J1738">
        <f>SUM('19_Расчет_аналитики'!J1732:J1737)</f>
        <v/>
      </c>
      <c r="K1738">
        <f>SUM('19_Расчет_аналитики'!K1732:K1737)</f>
        <v/>
      </c>
      <c r="L1738">
        <f>SUM('19_Расчет_аналитики'!L1732:L1737)</f>
        <v/>
      </c>
      <c r="M1738">
        <f>SUM('19_Расчет_аналитики'!M1732:M1737)</f>
        <v/>
      </c>
      <c r="N1738">
        <f>SUM('19_Расчет_аналитики'!N1732:N1737)</f>
        <v/>
      </c>
      <c r="O1738">
        <f>SUM('19_Расчет_аналитики'!O1732:O1737)</f>
        <v/>
      </c>
      <c r="P1738">
        <f>SUM('19_Расчет_аналитики'!P1732:P1737)</f>
        <v/>
      </c>
      <c r="Q1738">
        <f>SUM('19_Расчет_аналитики'!Q1732:Q1737)</f>
        <v/>
      </c>
      <c r="R1738">
        <f>SUM('19_Расчет_аналитики'!R1732:R1737)</f>
        <v/>
      </c>
      <c r="S1738">
        <f>SUM('19_Расчет_аналитики'!S1732:S1737)</f>
        <v/>
      </c>
      <c r="T1738">
        <f>SUM('19_Расчет_аналитики'!T1732:T1737)</f>
        <v/>
      </c>
      <c r="U1738">
        <f>SUM('19_Расчет_аналитики'!U1732:U1737)</f>
        <v/>
      </c>
      <c r="V1738">
        <f>SUM('19_Расчет_аналитики'!V1732:V1737)</f>
        <v/>
      </c>
      <c r="W1738">
        <f>SUM('19_Расчет_аналитики'!W1732:W1737)</f>
        <v/>
      </c>
      <c r="X1738">
        <f>SUM('19_Расчет_аналитики'!X1732:X1737)</f>
        <v/>
      </c>
      <c r="Y1738">
        <f>SUM('19_Расчет_аналитики'!Y1732:Y1737)</f>
        <v/>
      </c>
      <c r="Z1738">
        <f>SUM('19_Расчет_аналитики'!Z1732:Z1737)</f>
        <v/>
      </c>
      <c r="AA1738">
        <f>SUM('19_Расчет_аналитики'!AA1732:AA1737)</f>
        <v/>
      </c>
      <c r="AB1738">
        <f>SUM('19_Расчет_аналитики'!AB1732:AB1737)</f>
        <v/>
      </c>
      <c r="AC1738">
        <f>SUM('19_Расчет_аналитики'!AC1732:AC1737)</f>
        <v/>
      </c>
      <c r="AD1738">
        <f>SUM('19_Расчет_аналитики'!AD1732:AD1737)</f>
        <v/>
      </c>
      <c r="AE1738">
        <f>SUM('19_Расчет_аналитики'!AE1732:AE1737)</f>
        <v/>
      </c>
      <c r="AF1738">
        <f>SUM('19_Расчет_аналитики'!AF1732:AF1737)</f>
        <v/>
      </c>
      <c r="AG1738">
        <f>SUM('19_Расчет_аналитики'!AG1732:AG1737)</f>
        <v/>
      </c>
      <c r="AH1738">
        <f>SUM('19_Расчет_аналитики'!AH1732:AH1737)</f>
        <v/>
      </c>
      <c r="AI1738">
        <f>SUM('19_Расчет_аналитики'!AI1732:AI1737)</f>
        <v/>
      </c>
      <c r="AJ1738">
        <f>SUM('19_Расчет_аналитики'!AJ1732:AJ1737)</f>
        <v/>
      </c>
      <c r="AK1738">
        <f>SUM('19_Расчет_аналитики'!AK1732:AK1737)</f>
        <v/>
      </c>
      <c r="AL1738">
        <f>SUM('19_Расчет_аналитики'!AL1732:AL1737)</f>
        <v/>
      </c>
      <c r="AM1738">
        <f>SUM('19_Расчет_аналитики'!AM1732:AM1737)</f>
        <v/>
      </c>
      <c r="AN1738">
        <f>SUM('19_Расчет_аналитики'!AN1732:AN1737)</f>
        <v/>
      </c>
      <c r="AO1738">
        <f>SUM('19_Расчет_аналитики'!AO1732:AO1737)</f>
        <v/>
      </c>
      <c r="AP1738">
        <f>SUM('19_Расчет_аналитики'!AP1732:AP1737)</f>
        <v/>
      </c>
      <c r="AQ1738">
        <f>SUM('19_Расчет_аналитики'!AQ1732:AQ1737)</f>
        <v/>
      </c>
      <c r="AR1738">
        <f>SUM('19_Расчет_аналитики'!AR1732:AR1737)</f>
        <v/>
      </c>
      <c r="AS1738">
        <f>SUM('19_Расчет_аналитики'!AS1732:AS1737)</f>
        <v/>
      </c>
      <c r="AT1738">
        <f>SUM('19_Расчет_аналитики'!AT1732:AT1737)</f>
        <v/>
      </c>
      <c r="AU1738">
        <f>SUM('19_Расчет_аналитики'!AU1732:AU1737)</f>
        <v/>
      </c>
      <c r="AV1738">
        <f>SUM('19_Расчет_аналитики'!AV1732:AV1737)</f>
        <v/>
      </c>
      <c r="AW1738">
        <f>SUM('19_Расчет_аналитики'!AW1732:AW1737)</f>
        <v/>
      </c>
      <c r="AX1738">
        <f>SUM('19_Расчет_аналитики'!AX1732:AX1737)</f>
        <v/>
      </c>
      <c r="AY1738">
        <f>SUM('19_Расчет_аналитики'!AY1732:AY1737)</f>
        <v/>
      </c>
      <c r="AZ1738">
        <f>SUM('19_Расчет_аналитики'!AZ1732:AZ1737)</f>
        <v/>
      </c>
      <c r="BA1738">
        <f>SUM('19_Расчет_аналитики'!BA1732:BA1737)</f>
        <v/>
      </c>
      <c r="BB1738">
        <f>SUM('19_Расчет_аналитики'!BB1732:BB1737)</f>
        <v/>
      </c>
      <c r="BC1738">
        <f>SUM('19_Расчет_аналитики'!BC1732:BC1737)</f>
        <v/>
      </c>
      <c r="BD1738">
        <f>SUM('19_Расчет_аналитики'!BD1732:BD1737)</f>
        <v/>
      </c>
      <c r="BE1738">
        <f>SUM('19_Расчет_аналитики'!BE1732:BE1737)</f>
        <v/>
      </c>
      <c r="BF1738">
        <f>SUM('19_Расчет_аналитики'!BF1732:BF1737)</f>
        <v/>
      </c>
      <c r="BG1738">
        <f>SUM('19_Расчет_аналитики'!BG1732:BG1737)</f>
        <v/>
      </c>
      <c r="BH1738">
        <f>SUM('19_Расчет_аналитики'!BH1732:BH1737)</f>
        <v/>
      </c>
      <c r="BI1738">
        <f>SUM('19_Расчет_аналитики'!BI1732:BI1737)</f>
        <v/>
      </c>
    </row>
    <row r="1739">
      <c r="B1739">
        <f>'19_Расчет_аналитики'!B1729-'19_Расчет_аналитики'!B1738</f>
        <v/>
      </c>
      <c r="C1739">
        <f>'19_Расчет_аналитики'!C1729-'19_Расчет_аналитики'!C1738</f>
        <v/>
      </c>
      <c r="D1739">
        <f>'19_Расчет_аналитики'!D1729-'19_Расчет_аналитики'!D1738</f>
        <v/>
      </c>
      <c r="E1739">
        <f>'19_Расчет_аналитики'!E1729-'19_Расчет_аналитики'!E1738</f>
        <v/>
      </c>
      <c r="F1739">
        <f>'19_Расчет_аналитики'!F1729-'19_Расчет_аналитики'!F1738</f>
        <v/>
      </c>
      <c r="G1739">
        <f>'19_Расчет_аналитики'!G1729-'19_Расчет_аналитики'!G1738</f>
        <v/>
      </c>
      <c r="H1739">
        <f>'19_Расчет_аналитики'!H1729-'19_Расчет_аналитики'!H1738</f>
        <v/>
      </c>
      <c r="I1739">
        <f>'19_Расчет_аналитики'!I1729-'19_Расчет_аналитики'!I1738</f>
        <v/>
      </c>
      <c r="J1739">
        <f>'19_Расчет_аналитики'!J1729-'19_Расчет_аналитики'!J1738</f>
        <v/>
      </c>
      <c r="K1739">
        <f>'19_Расчет_аналитики'!K1729-'19_Расчет_аналитики'!K1738</f>
        <v/>
      </c>
      <c r="L1739">
        <f>'19_Расчет_аналитики'!L1729-'19_Расчет_аналитики'!L1738</f>
        <v/>
      </c>
      <c r="M1739">
        <f>'19_Расчет_аналитики'!M1729-'19_Расчет_аналитики'!M1738</f>
        <v/>
      </c>
      <c r="N1739">
        <f>'19_Расчет_аналитики'!N1729-'19_Расчет_аналитики'!N1738</f>
        <v/>
      </c>
      <c r="O1739">
        <f>'19_Расчет_аналитики'!O1729-'19_Расчет_аналитики'!O1738</f>
        <v/>
      </c>
      <c r="P1739">
        <f>'19_Расчет_аналитики'!P1729-'19_Расчет_аналитики'!P1738</f>
        <v/>
      </c>
      <c r="Q1739">
        <f>'19_Расчет_аналитики'!Q1729-'19_Расчет_аналитики'!Q1738</f>
        <v/>
      </c>
      <c r="R1739">
        <f>'19_Расчет_аналитики'!R1729-'19_Расчет_аналитики'!R1738</f>
        <v/>
      </c>
      <c r="S1739">
        <f>'19_Расчет_аналитики'!S1729-'19_Расчет_аналитики'!S1738</f>
        <v/>
      </c>
      <c r="T1739">
        <f>'19_Расчет_аналитики'!T1729-'19_Расчет_аналитики'!T1738</f>
        <v/>
      </c>
      <c r="U1739">
        <f>'19_Расчет_аналитики'!U1729-'19_Расчет_аналитики'!U1738</f>
        <v/>
      </c>
      <c r="V1739">
        <f>'19_Расчет_аналитики'!V1729-'19_Расчет_аналитики'!V1738</f>
        <v/>
      </c>
      <c r="W1739">
        <f>'19_Расчет_аналитики'!W1729-'19_Расчет_аналитики'!W1738</f>
        <v/>
      </c>
      <c r="X1739">
        <f>'19_Расчет_аналитики'!X1729-'19_Расчет_аналитики'!X1738</f>
        <v/>
      </c>
      <c r="Y1739">
        <f>'19_Расчет_аналитики'!Y1729-'19_Расчет_аналитики'!Y1738</f>
        <v/>
      </c>
      <c r="Z1739">
        <f>'19_Расчет_аналитики'!Z1729-'19_Расчет_аналитики'!Z1738</f>
        <v/>
      </c>
      <c r="AA1739">
        <f>'19_Расчет_аналитики'!AA1729-'19_Расчет_аналитики'!AA1738</f>
        <v/>
      </c>
      <c r="AB1739">
        <f>'19_Расчет_аналитики'!AB1729-'19_Расчет_аналитики'!AB1738</f>
        <v/>
      </c>
      <c r="AC1739">
        <f>'19_Расчет_аналитики'!AC1729-'19_Расчет_аналитики'!AC1738</f>
        <v/>
      </c>
      <c r="AD1739">
        <f>'19_Расчет_аналитики'!AD1729-'19_Расчет_аналитики'!AD1738</f>
        <v/>
      </c>
      <c r="AE1739">
        <f>'19_Расчет_аналитики'!AE1729-'19_Расчет_аналитики'!AE1738</f>
        <v/>
      </c>
      <c r="AF1739">
        <f>'19_Расчет_аналитики'!AF1729-'19_Расчет_аналитики'!AF1738</f>
        <v/>
      </c>
      <c r="AG1739">
        <f>'19_Расчет_аналитики'!AG1729-'19_Расчет_аналитики'!AG1738</f>
        <v/>
      </c>
      <c r="AH1739">
        <f>'19_Расчет_аналитики'!AH1729-'19_Расчет_аналитики'!AH1738</f>
        <v/>
      </c>
      <c r="AI1739">
        <f>'19_Расчет_аналитики'!AI1729-'19_Расчет_аналитики'!AI1738</f>
        <v/>
      </c>
      <c r="AJ1739">
        <f>'19_Расчет_аналитики'!AJ1729-'19_Расчет_аналитики'!AJ1738</f>
        <v/>
      </c>
      <c r="AK1739">
        <f>'19_Расчет_аналитики'!AK1729-'19_Расчет_аналитики'!AK1738</f>
        <v/>
      </c>
      <c r="AL1739">
        <f>'19_Расчет_аналитики'!AL1729-'19_Расчет_аналитики'!AL1738</f>
        <v/>
      </c>
      <c r="AM1739">
        <f>'19_Расчет_аналитики'!AM1729-'19_Расчет_аналитики'!AM1738</f>
        <v/>
      </c>
      <c r="AN1739">
        <f>'19_Расчет_аналитики'!AN1729-'19_Расчет_аналитики'!AN1738</f>
        <v/>
      </c>
      <c r="AO1739">
        <f>'19_Расчет_аналитики'!AO1729-'19_Расчет_аналитики'!AO1738</f>
        <v/>
      </c>
      <c r="AP1739">
        <f>'19_Расчет_аналитики'!AP1729-'19_Расчет_аналитики'!AP1738</f>
        <v/>
      </c>
      <c r="AQ1739">
        <f>'19_Расчет_аналитики'!AQ1729-'19_Расчет_аналитики'!AQ1738</f>
        <v/>
      </c>
      <c r="AR1739">
        <f>'19_Расчет_аналитики'!AR1729-'19_Расчет_аналитики'!AR1738</f>
        <v/>
      </c>
      <c r="AS1739">
        <f>'19_Расчет_аналитики'!AS1729-'19_Расчет_аналитики'!AS1738</f>
        <v/>
      </c>
      <c r="AT1739">
        <f>'19_Расчет_аналитики'!AT1729-'19_Расчет_аналитики'!AT1738</f>
        <v/>
      </c>
      <c r="AU1739">
        <f>'19_Расчет_аналитики'!AU1729-'19_Расчет_аналитики'!AU1738</f>
        <v/>
      </c>
      <c r="AV1739">
        <f>'19_Расчет_аналитики'!AV1729-'19_Расчет_аналитики'!AV1738</f>
        <v/>
      </c>
      <c r="AW1739">
        <f>'19_Расчет_аналитики'!AW1729-'19_Расчет_аналитики'!AW1738</f>
        <v/>
      </c>
      <c r="AX1739">
        <f>'19_Расчет_аналитики'!AX1729-'19_Расчет_аналитики'!AX1738</f>
        <v/>
      </c>
      <c r="AY1739">
        <f>'19_Расчет_аналитики'!AY1729-'19_Расчет_аналитики'!AY1738</f>
        <v/>
      </c>
      <c r="AZ1739">
        <f>'19_Расчет_аналитики'!AZ1729-'19_Расчет_аналитики'!AZ1738</f>
        <v/>
      </c>
      <c r="BA1739">
        <f>'19_Расчет_аналитики'!BA1729-'19_Расчет_аналитики'!BA1738</f>
        <v/>
      </c>
      <c r="BB1739">
        <f>'19_Расчет_аналитики'!BB1729-'19_Расчет_аналитики'!BB1738</f>
        <v/>
      </c>
      <c r="BC1739">
        <f>'19_Расчет_аналитики'!BC1729-'19_Расчет_аналитики'!BC1738</f>
        <v/>
      </c>
      <c r="BD1739">
        <f>'19_Расчет_аналитики'!BD1729-'19_Расчет_аналитики'!BD1738</f>
        <v/>
      </c>
      <c r="BE1739">
        <f>'19_Расчет_аналитики'!BE1729-'19_Расчет_аналитики'!BE1738</f>
        <v/>
      </c>
      <c r="BF1739">
        <f>'19_Расчет_аналитики'!BF1729-'19_Расчет_аналитики'!BF1738</f>
        <v/>
      </c>
      <c r="BG1739">
        <f>'19_Расчет_аналитики'!BG1729-'19_Расчет_аналитики'!BG1738</f>
        <v/>
      </c>
      <c r="BH1739">
        <f>'19_Расчет_аналитики'!BH1729-'19_Расчет_аналитики'!BH1738</f>
        <v/>
      </c>
      <c r="BI1739">
        <f>'19_Расчет_аналитики'!BI1729-'19_Расчет_аналитики'!BI1738</f>
        <v/>
      </c>
    </row>
    <row r="1740"/>
    <row r="1741"/>
    <row r="1742">
      <c r="B1742">
        <f>'02_Модель'!B36</f>
        <v/>
      </c>
      <c r="C1742">
        <f>'19_Расчет_аналитики'!C1677</f>
        <v/>
      </c>
      <c r="D1742">
        <f>'19_Расчет_аналитики'!D1677</f>
        <v/>
      </c>
      <c r="E1742">
        <f>'19_Расчет_аналитики'!E1677</f>
        <v/>
      </c>
      <c r="F1742">
        <f>'19_Расчет_аналитики'!F1677</f>
        <v/>
      </c>
      <c r="G1742">
        <f>'19_Расчет_аналитики'!G1677</f>
        <v/>
      </c>
      <c r="H1742">
        <f>'19_Расчет_аналитики'!H1677</f>
        <v/>
      </c>
      <c r="I1742">
        <f>'19_Расчет_аналитики'!I1677</f>
        <v/>
      </c>
      <c r="J1742">
        <f>'19_Расчет_аналитики'!J1677</f>
        <v/>
      </c>
      <c r="K1742">
        <f>'19_Расчет_аналитики'!K1677</f>
        <v/>
      </c>
      <c r="L1742">
        <f>'19_Расчет_аналитики'!L1677</f>
        <v/>
      </c>
      <c r="M1742">
        <f>'19_Расчет_аналитики'!M1677</f>
        <v/>
      </c>
      <c r="N1742">
        <f>'19_Расчет_аналитики'!N1677</f>
        <v/>
      </c>
      <c r="O1742">
        <f>'19_Расчет_аналитики'!O1677</f>
        <v/>
      </c>
      <c r="P1742">
        <f>'19_Расчет_аналитики'!P1677</f>
        <v/>
      </c>
      <c r="Q1742">
        <f>'19_Расчет_аналитики'!Q1677</f>
        <v/>
      </c>
      <c r="R1742">
        <f>'19_Расчет_аналитики'!R1677</f>
        <v/>
      </c>
      <c r="S1742">
        <f>'19_Расчет_аналитики'!S1677</f>
        <v/>
      </c>
      <c r="T1742">
        <f>'19_Расчет_аналитики'!T1677</f>
        <v/>
      </c>
      <c r="U1742">
        <f>'19_Расчет_аналитики'!U1677</f>
        <v/>
      </c>
      <c r="V1742">
        <f>'19_Расчет_аналитики'!V1677</f>
        <v/>
      </c>
      <c r="W1742">
        <f>'19_Расчет_аналитики'!W1677</f>
        <v/>
      </c>
      <c r="X1742">
        <f>'19_Расчет_аналитики'!X1677</f>
        <v/>
      </c>
      <c r="Y1742">
        <f>'19_Расчет_аналитики'!Y1677</f>
        <v/>
      </c>
      <c r="Z1742">
        <f>'19_Расчет_аналитики'!Z1677</f>
        <v/>
      </c>
      <c r="AA1742">
        <f>'19_Расчет_аналитики'!AA1677</f>
        <v/>
      </c>
      <c r="AB1742">
        <f>'19_Расчет_аналитики'!AB1677</f>
        <v/>
      </c>
      <c r="AC1742">
        <f>'19_Расчет_аналитики'!AC1677</f>
        <v/>
      </c>
      <c r="AD1742">
        <f>'19_Расчет_аналитики'!AD1677</f>
        <v/>
      </c>
      <c r="AE1742">
        <f>'19_Расчет_аналитики'!AE1677</f>
        <v/>
      </c>
      <c r="AF1742">
        <f>'19_Расчет_аналитики'!AF1677</f>
        <v/>
      </c>
      <c r="AG1742">
        <f>'19_Расчет_аналитики'!AG1677</f>
        <v/>
      </c>
      <c r="AH1742">
        <f>'19_Расчет_аналитики'!AH1677</f>
        <v/>
      </c>
      <c r="AI1742">
        <f>'19_Расчет_аналитики'!AI1677</f>
        <v/>
      </c>
      <c r="AJ1742">
        <f>'19_Расчет_аналитики'!AJ1677</f>
        <v/>
      </c>
      <c r="AK1742">
        <f>'19_Расчет_аналитики'!AK1677</f>
        <v/>
      </c>
      <c r="AL1742">
        <f>'19_Расчет_аналитики'!AL1677</f>
        <v/>
      </c>
      <c r="AM1742">
        <f>'19_Расчет_аналитики'!AM1677</f>
        <v/>
      </c>
      <c r="AN1742">
        <f>'19_Расчет_аналитики'!AN1677</f>
        <v/>
      </c>
      <c r="AO1742">
        <f>'19_Расчет_аналитики'!AO1677</f>
        <v/>
      </c>
      <c r="AP1742">
        <f>'19_Расчет_аналитики'!AP1677</f>
        <v/>
      </c>
      <c r="AQ1742">
        <f>'19_Расчет_аналитики'!AQ1677</f>
        <v/>
      </c>
      <c r="AR1742">
        <f>'19_Расчет_аналитики'!AR1677</f>
        <v/>
      </c>
      <c r="AS1742">
        <f>'19_Расчет_аналитики'!AS1677</f>
        <v/>
      </c>
      <c r="AT1742">
        <f>'19_Расчет_аналитики'!AT1677</f>
        <v/>
      </c>
      <c r="AU1742">
        <f>'19_Расчет_аналитики'!AU1677</f>
        <v/>
      </c>
      <c r="AV1742">
        <f>'19_Расчет_аналитики'!AV1677</f>
        <v/>
      </c>
      <c r="AW1742">
        <f>'19_Расчет_аналитики'!AW1677</f>
        <v/>
      </c>
      <c r="AX1742">
        <f>'19_Расчет_аналитики'!AX1677</f>
        <v/>
      </c>
      <c r="AY1742">
        <f>'19_Расчет_аналитики'!AY1677</f>
        <v/>
      </c>
      <c r="AZ1742">
        <f>'19_Расчет_аналитики'!AZ1677</f>
        <v/>
      </c>
      <c r="BA1742">
        <f>'19_Расчет_аналитики'!BA1677</f>
        <v/>
      </c>
      <c r="BB1742">
        <f>'19_Расчет_аналитики'!BB1677</f>
        <v/>
      </c>
      <c r="BC1742">
        <f>'19_Расчет_аналитики'!BC1677</f>
        <v/>
      </c>
      <c r="BD1742">
        <f>'19_Расчет_аналитики'!BD1677</f>
        <v/>
      </c>
      <c r="BE1742">
        <f>'19_Расчет_аналитики'!BE1677</f>
        <v/>
      </c>
      <c r="BF1742">
        <f>'19_Расчет_аналитики'!BF1677</f>
        <v/>
      </c>
      <c r="BG1742">
        <f>'19_Расчет_аналитики'!BG1677</f>
        <v/>
      </c>
      <c r="BH1742">
        <f>'19_Расчет_аналитики'!BH1677</f>
        <v/>
      </c>
      <c r="BI1742">
        <f>'19_Расчет_аналитики'!BI1677</f>
        <v/>
      </c>
    </row>
    <row r="1743">
      <c r="B1743">
        <f>('01_Вводные'!$B$105+(MAX(0,'06_Сеть_и_дети'!B11-'01_Вводные'!$B$106)+'19_Расчет_аналитики'!B1411)*'01_Вводные'!$B$107)*'18_Календарь_тарифы'!B4</f>
        <v/>
      </c>
      <c r="C1743">
        <f>('01_Вводные'!$B$105+(MAX(0,'06_Сеть_и_дети'!C11-'01_Вводные'!$B$106)+'19_Расчет_аналитики'!C1411)*'01_Вводные'!$B$107)*'18_Календарь_тарифы'!C4</f>
        <v/>
      </c>
      <c r="D1743">
        <f>('01_Вводные'!$B$105+(MAX(0,'06_Сеть_и_дети'!D11-'01_Вводные'!$B$106)+'19_Расчет_аналитики'!D1411)*'01_Вводные'!$B$107)*'18_Календарь_тарифы'!D4</f>
        <v/>
      </c>
      <c r="E1743">
        <f>('01_Вводные'!$B$105+(MAX(0,'06_Сеть_и_дети'!E11-'01_Вводные'!$B$106)+'19_Расчет_аналитики'!E1411)*'01_Вводные'!$B$107)*'18_Календарь_тарифы'!E4</f>
        <v/>
      </c>
      <c r="F1743">
        <f>('01_Вводные'!$B$105+(MAX(0,'06_Сеть_и_дети'!F11-'01_Вводные'!$B$106)+'19_Расчет_аналитики'!F1411)*'01_Вводные'!$B$107)*'18_Календарь_тарифы'!F4</f>
        <v/>
      </c>
      <c r="G1743">
        <f>('01_Вводные'!$B$105+(MAX(0,'06_Сеть_и_дети'!G11-'01_Вводные'!$B$106)+'19_Расчет_аналитики'!G1411)*'01_Вводные'!$B$107)*'18_Календарь_тарифы'!G4</f>
        <v/>
      </c>
      <c r="H1743">
        <f>('01_Вводные'!$B$105+(MAX(0,'06_Сеть_и_дети'!H11-'01_Вводные'!$B$106)+'19_Расчет_аналитики'!H1411)*'01_Вводные'!$B$107)*'18_Календарь_тарифы'!H4</f>
        <v/>
      </c>
      <c r="I1743">
        <f>('01_Вводные'!$B$105+(MAX(0,'06_Сеть_и_дети'!I11-'01_Вводные'!$B$106)+'19_Расчет_аналитики'!I1411)*'01_Вводные'!$B$107)*'18_Календарь_тарифы'!I4</f>
        <v/>
      </c>
      <c r="J1743">
        <f>('01_Вводные'!$B$105+(MAX(0,'06_Сеть_и_дети'!J11-'01_Вводные'!$B$106)+'19_Расчет_аналитики'!J1411)*'01_Вводные'!$B$107)*'18_Календарь_тарифы'!J4</f>
        <v/>
      </c>
      <c r="K1743">
        <f>('01_Вводные'!$B$105+(MAX(0,'06_Сеть_и_дети'!K11-'01_Вводные'!$B$106)+'19_Расчет_аналитики'!K1411)*'01_Вводные'!$B$107)*'18_Календарь_тарифы'!K4</f>
        <v/>
      </c>
      <c r="L1743">
        <f>('01_Вводные'!$B$105+(MAX(0,'06_Сеть_и_дети'!L11-'01_Вводные'!$B$106)+'19_Расчет_аналитики'!L1411)*'01_Вводные'!$B$107)*'18_Календарь_тарифы'!L4</f>
        <v/>
      </c>
      <c r="M1743">
        <f>('01_Вводные'!$B$105+(MAX(0,'06_Сеть_и_дети'!M11-'01_Вводные'!$B$106)+'19_Расчет_аналитики'!M1411)*'01_Вводные'!$B$107)*'18_Календарь_тарифы'!M4</f>
        <v/>
      </c>
      <c r="N1743">
        <f>('01_Вводные'!$B$105+(MAX(0,'06_Сеть_и_дети'!N11-'01_Вводные'!$B$106)+'19_Расчет_аналитики'!N1411)*'01_Вводные'!$B$107)*'18_Календарь_тарифы'!N4</f>
        <v/>
      </c>
      <c r="O1743">
        <f>('01_Вводные'!$B$105+(MAX(0,'06_Сеть_и_дети'!O11-'01_Вводные'!$B$106)+'19_Расчет_аналитики'!O1411)*'01_Вводные'!$B$107)*'18_Календарь_тарифы'!O4</f>
        <v/>
      </c>
      <c r="P1743">
        <f>('01_Вводные'!$B$105+(MAX(0,'06_Сеть_и_дети'!P11-'01_Вводные'!$B$106)+'19_Расчет_аналитики'!P1411)*'01_Вводные'!$B$107)*'18_Календарь_тарифы'!P4</f>
        <v/>
      </c>
      <c r="Q1743">
        <f>('01_Вводные'!$B$105+(MAX(0,'06_Сеть_и_дети'!Q11-'01_Вводные'!$B$106)+'19_Расчет_аналитики'!Q1411)*'01_Вводные'!$B$107)*'18_Календарь_тарифы'!Q4</f>
        <v/>
      </c>
      <c r="R1743">
        <f>('01_Вводные'!$B$105+(MAX(0,'06_Сеть_и_дети'!R11-'01_Вводные'!$B$106)+'19_Расчет_аналитики'!R1411)*'01_Вводные'!$B$107)*'18_Календарь_тарифы'!R4</f>
        <v/>
      </c>
      <c r="S1743">
        <f>('01_Вводные'!$B$105+(MAX(0,'06_Сеть_и_дети'!S11-'01_Вводные'!$B$106)+'19_Расчет_аналитики'!S1411)*'01_Вводные'!$B$107)*'18_Календарь_тарифы'!S4</f>
        <v/>
      </c>
      <c r="T1743">
        <f>('01_Вводные'!$B$105+(MAX(0,'06_Сеть_и_дети'!T11-'01_Вводные'!$B$106)+'19_Расчет_аналитики'!T1411)*'01_Вводные'!$B$107)*'18_Календарь_тарифы'!T4</f>
        <v/>
      </c>
      <c r="U1743">
        <f>('01_Вводные'!$B$105+(MAX(0,'06_Сеть_и_дети'!U11-'01_Вводные'!$B$106)+'19_Расчет_аналитики'!U1411)*'01_Вводные'!$B$107)*'18_Календарь_тарифы'!U4</f>
        <v/>
      </c>
      <c r="V1743">
        <f>('01_Вводные'!$B$105+(MAX(0,'06_Сеть_и_дети'!V11-'01_Вводные'!$B$106)+'19_Расчет_аналитики'!V1411)*'01_Вводные'!$B$107)*'18_Календарь_тарифы'!V4</f>
        <v/>
      </c>
      <c r="W1743">
        <f>('01_Вводные'!$B$105+(MAX(0,'06_Сеть_и_дети'!W11-'01_Вводные'!$B$106)+'19_Расчет_аналитики'!W1411)*'01_Вводные'!$B$107)*'18_Календарь_тарифы'!W4</f>
        <v/>
      </c>
      <c r="X1743">
        <f>('01_Вводные'!$B$105+(MAX(0,'06_Сеть_и_дети'!X11-'01_Вводные'!$B$106)+'19_Расчет_аналитики'!X1411)*'01_Вводные'!$B$107)*'18_Календарь_тарифы'!X4</f>
        <v/>
      </c>
      <c r="Y1743">
        <f>('01_Вводные'!$B$105+(MAX(0,'06_Сеть_и_дети'!Y11-'01_Вводные'!$B$106)+'19_Расчет_аналитики'!Y1411)*'01_Вводные'!$B$107)*'18_Календарь_тарифы'!Y4</f>
        <v/>
      </c>
      <c r="Z1743">
        <f>('01_Вводные'!$B$105+(MAX(0,'06_Сеть_и_дети'!Z11-'01_Вводные'!$B$106)+'19_Расчет_аналитики'!Z1411)*'01_Вводные'!$B$107)*'18_Календарь_тарифы'!Z4</f>
        <v/>
      </c>
      <c r="AA1743">
        <f>('01_Вводные'!$B$105+(MAX(0,'06_Сеть_и_дети'!AA11-'01_Вводные'!$B$106)+'19_Расчет_аналитики'!AA1411)*'01_Вводные'!$B$107)*'18_Календарь_тарифы'!AA4</f>
        <v/>
      </c>
      <c r="AB1743">
        <f>('01_Вводные'!$B$105+(MAX(0,'06_Сеть_и_дети'!AB11-'01_Вводные'!$B$106)+'19_Расчет_аналитики'!AB1411)*'01_Вводные'!$B$107)*'18_Календарь_тарифы'!AB4</f>
        <v/>
      </c>
      <c r="AC1743">
        <f>('01_Вводные'!$B$105+(MAX(0,'06_Сеть_и_дети'!AC11-'01_Вводные'!$B$106)+'19_Расчет_аналитики'!AC1411)*'01_Вводные'!$B$107)*'18_Календарь_тарифы'!AC4</f>
        <v/>
      </c>
      <c r="AD1743">
        <f>('01_Вводные'!$B$105+(MAX(0,'06_Сеть_и_дети'!AD11-'01_Вводные'!$B$106)+'19_Расчет_аналитики'!AD1411)*'01_Вводные'!$B$107)*'18_Календарь_тарифы'!AD4</f>
        <v/>
      </c>
      <c r="AE1743">
        <f>('01_Вводные'!$B$105+(MAX(0,'06_Сеть_и_дети'!AE11-'01_Вводные'!$B$106)+'19_Расчет_аналитики'!AE1411)*'01_Вводные'!$B$107)*'18_Календарь_тарифы'!AE4</f>
        <v/>
      </c>
      <c r="AF1743">
        <f>('01_Вводные'!$B$105+(MAX(0,'06_Сеть_и_дети'!AF11-'01_Вводные'!$B$106)+'19_Расчет_аналитики'!AF1411)*'01_Вводные'!$B$107)*'18_Календарь_тарифы'!AF4</f>
        <v/>
      </c>
      <c r="AG1743">
        <f>('01_Вводные'!$B$105+(MAX(0,'06_Сеть_и_дети'!AG11-'01_Вводные'!$B$106)+'19_Расчет_аналитики'!AG1411)*'01_Вводные'!$B$107)*'18_Календарь_тарифы'!AG4</f>
        <v/>
      </c>
      <c r="AH1743">
        <f>('01_Вводные'!$B$105+(MAX(0,'06_Сеть_и_дети'!AH11-'01_Вводные'!$B$106)+'19_Расчет_аналитики'!AH1411)*'01_Вводные'!$B$107)*'18_Календарь_тарифы'!AH4</f>
        <v/>
      </c>
      <c r="AI1743">
        <f>('01_Вводные'!$B$105+(MAX(0,'06_Сеть_и_дети'!AI11-'01_Вводные'!$B$106)+'19_Расчет_аналитики'!AI1411)*'01_Вводные'!$B$107)*'18_Календарь_тарифы'!AI4</f>
        <v/>
      </c>
      <c r="AJ1743">
        <f>('01_Вводные'!$B$105+(MAX(0,'06_Сеть_и_дети'!AJ11-'01_Вводные'!$B$106)+'19_Расчет_аналитики'!AJ1411)*'01_Вводные'!$B$107)*'18_Календарь_тарифы'!AJ4</f>
        <v/>
      </c>
      <c r="AK1743">
        <f>('01_Вводные'!$B$105+(MAX(0,'06_Сеть_и_дети'!AK11-'01_Вводные'!$B$106)+'19_Расчет_аналитики'!AK1411)*'01_Вводные'!$B$107)*'18_Календарь_тарифы'!AK4</f>
        <v/>
      </c>
      <c r="AL1743">
        <f>('01_Вводные'!$B$105+(MAX(0,'06_Сеть_и_дети'!AL11-'01_Вводные'!$B$106)+'19_Расчет_аналитики'!AL1411)*'01_Вводные'!$B$107)*'18_Календарь_тарифы'!AL4</f>
        <v/>
      </c>
      <c r="AM1743">
        <f>('01_Вводные'!$B$105+(MAX(0,'06_Сеть_и_дети'!AM11-'01_Вводные'!$B$106)+'19_Расчет_аналитики'!AM1411)*'01_Вводные'!$B$107)*'18_Календарь_тарифы'!AM4</f>
        <v/>
      </c>
      <c r="AN1743">
        <f>('01_Вводные'!$B$105+(MAX(0,'06_Сеть_и_дети'!AN11-'01_Вводные'!$B$106)+'19_Расчет_аналитики'!AN1411)*'01_Вводные'!$B$107)*'18_Календарь_тарифы'!AN4</f>
        <v/>
      </c>
      <c r="AO1743">
        <f>('01_Вводные'!$B$105+(MAX(0,'06_Сеть_и_дети'!AO11-'01_Вводные'!$B$106)+'19_Расчет_аналитики'!AO1411)*'01_Вводные'!$B$107)*'18_Календарь_тарифы'!AO4</f>
        <v/>
      </c>
      <c r="AP1743">
        <f>('01_Вводные'!$B$105+(MAX(0,'06_Сеть_и_дети'!AP11-'01_Вводные'!$B$106)+'19_Расчет_аналитики'!AP1411)*'01_Вводные'!$B$107)*'18_Календарь_тарифы'!AP4</f>
        <v/>
      </c>
      <c r="AQ1743">
        <f>('01_Вводные'!$B$105+(MAX(0,'06_Сеть_и_дети'!AQ11-'01_Вводные'!$B$106)+'19_Расчет_аналитики'!AQ1411)*'01_Вводные'!$B$107)*'18_Календарь_тарифы'!AQ4</f>
        <v/>
      </c>
      <c r="AR1743">
        <f>('01_Вводные'!$B$105+(MAX(0,'06_Сеть_и_дети'!AR11-'01_Вводные'!$B$106)+'19_Расчет_аналитики'!AR1411)*'01_Вводные'!$B$107)*'18_Календарь_тарифы'!AR4</f>
        <v/>
      </c>
      <c r="AS1743">
        <f>('01_Вводные'!$B$105+(MAX(0,'06_Сеть_и_дети'!AS11-'01_Вводные'!$B$106)+'19_Расчет_аналитики'!AS1411)*'01_Вводные'!$B$107)*'18_Календарь_тарифы'!AS4</f>
        <v/>
      </c>
      <c r="AT1743">
        <f>('01_Вводные'!$B$105+(MAX(0,'06_Сеть_и_дети'!AT11-'01_Вводные'!$B$106)+'19_Расчет_аналитики'!AT1411)*'01_Вводные'!$B$107)*'18_Календарь_тарифы'!AT4</f>
        <v/>
      </c>
      <c r="AU1743">
        <f>('01_Вводные'!$B$105+(MAX(0,'06_Сеть_и_дети'!AU11-'01_Вводные'!$B$106)+'19_Расчет_аналитики'!AU1411)*'01_Вводные'!$B$107)*'18_Календарь_тарифы'!AU4</f>
        <v/>
      </c>
      <c r="AV1743">
        <f>('01_Вводные'!$B$105+(MAX(0,'06_Сеть_и_дети'!AV11-'01_Вводные'!$B$106)+'19_Расчет_аналитики'!AV1411)*'01_Вводные'!$B$107)*'18_Календарь_тарифы'!AV4</f>
        <v/>
      </c>
      <c r="AW1743">
        <f>('01_Вводные'!$B$105+(MAX(0,'06_Сеть_и_дети'!AW11-'01_Вводные'!$B$106)+'19_Расчет_аналитики'!AW1411)*'01_Вводные'!$B$107)*'18_Календарь_тарифы'!AW4</f>
        <v/>
      </c>
      <c r="AX1743">
        <f>('01_Вводные'!$B$105+(MAX(0,'06_Сеть_и_дети'!AX11-'01_Вводные'!$B$106)+'19_Расчет_аналитики'!AX1411)*'01_Вводные'!$B$107)*'18_Календарь_тарифы'!AX4</f>
        <v/>
      </c>
      <c r="AY1743">
        <f>('01_Вводные'!$B$105+(MAX(0,'06_Сеть_и_дети'!AY11-'01_Вводные'!$B$106)+'19_Расчет_аналитики'!AY1411)*'01_Вводные'!$B$107)*'18_Календарь_тарифы'!AY4</f>
        <v/>
      </c>
      <c r="AZ1743">
        <f>('01_Вводные'!$B$105+(MAX(0,'06_Сеть_и_дети'!AZ11-'01_Вводные'!$B$106)+'19_Расчет_аналитики'!AZ1411)*'01_Вводные'!$B$107)*'18_Календарь_тарифы'!AZ4</f>
        <v/>
      </c>
      <c r="BA1743">
        <f>('01_Вводные'!$B$105+(MAX(0,'06_Сеть_и_дети'!BA11-'01_Вводные'!$B$106)+'19_Расчет_аналитики'!BA1411)*'01_Вводные'!$B$107)*'18_Календарь_тарифы'!BA4</f>
        <v/>
      </c>
      <c r="BB1743">
        <f>('01_Вводные'!$B$105+(MAX(0,'06_Сеть_и_дети'!BB11-'01_Вводные'!$B$106)+'19_Расчет_аналитики'!BB1411)*'01_Вводные'!$B$107)*'18_Календарь_тарифы'!BB4</f>
        <v/>
      </c>
      <c r="BC1743">
        <f>('01_Вводные'!$B$105+(MAX(0,'06_Сеть_и_дети'!BC11-'01_Вводные'!$B$106)+'19_Расчет_аналитики'!BC1411)*'01_Вводные'!$B$107)*'18_Календарь_тарифы'!BC4</f>
        <v/>
      </c>
      <c r="BD1743">
        <f>('01_Вводные'!$B$105+(MAX(0,'06_Сеть_и_дети'!BD11-'01_Вводные'!$B$106)+'19_Расчет_аналитики'!BD1411)*'01_Вводные'!$B$107)*'18_Календарь_тарифы'!BD4</f>
        <v/>
      </c>
      <c r="BE1743">
        <f>('01_Вводные'!$B$105+(MAX(0,'06_Сеть_и_дети'!BE11-'01_Вводные'!$B$106)+'19_Расчет_аналитики'!BE1411)*'01_Вводные'!$B$107)*'18_Календарь_тарифы'!BE4</f>
        <v/>
      </c>
      <c r="BF1743">
        <f>('01_Вводные'!$B$105+(MAX(0,'06_Сеть_и_дети'!BF11-'01_Вводные'!$B$106)+'19_Расчет_аналитики'!BF1411)*'01_Вводные'!$B$107)*'18_Календарь_тарифы'!BF4</f>
        <v/>
      </c>
      <c r="BG1743">
        <f>('01_Вводные'!$B$105+(MAX(0,'06_Сеть_и_дети'!BG11-'01_Вводные'!$B$106)+'19_Расчет_аналитики'!BG1411)*'01_Вводные'!$B$107)*'18_Календарь_тарифы'!BG4</f>
        <v/>
      </c>
      <c r="BH1743">
        <f>('01_Вводные'!$B$105+(MAX(0,'06_Сеть_и_дети'!BH11-'01_Вводные'!$B$106)+'19_Расчет_аналитики'!BH1411)*'01_Вводные'!$B$107)*'18_Календарь_тарифы'!BH4</f>
        <v/>
      </c>
      <c r="BI1743">
        <f>('01_Вводные'!$B$105+(MAX(0,'06_Сеть_и_дети'!BI11-'01_Вводные'!$B$106)+'19_Расчет_аналитики'!BI1411)*'01_Вводные'!$B$107)*'18_Календарь_тарифы'!BI4</f>
        <v/>
      </c>
    </row>
    <row r="1744">
      <c r="B1744">
        <f>'02_Модель'!B38</f>
        <v/>
      </c>
      <c r="C1744">
        <f>'02_Модель'!C38</f>
        <v/>
      </c>
      <c r="D1744">
        <f>'02_Модель'!D38</f>
        <v/>
      </c>
      <c r="E1744">
        <f>'02_Модель'!E38</f>
        <v/>
      </c>
      <c r="F1744">
        <f>'02_Модель'!F38</f>
        <v/>
      </c>
      <c r="G1744">
        <f>'02_Модель'!G38</f>
        <v/>
      </c>
      <c r="H1744">
        <f>'02_Модель'!H38</f>
        <v/>
      </c>
      <c r="I1744">
        <f>'02_Модель'!I38</f>
        <v/>
      </c>
      <c r="J1744">
        <f>'02_Модель'!J38</f>
        <v/>
      </c>
      <c r="K1744">
        <f>'02_Модель'!K38</f>
        <v/>
      </c>
      <c r="L1744">
        <f>'02_Модель'!L38</f>
        <v/>
      </c>
      <c r="M1744">
        <f>'02_Модель'!M38</f>
        <v/>
      </c>
      <c r="N1744">
        <f>'02_Модель'!N38</f>
        <v/>
      </c>
      <c r="O1744">
        <f>'02_Модель'!O38</f>
        <v/>
      </c>
      <c r="P1744">
        <f>'02_Модель'!P38</f>
        <v/>
      </c>
      <c r="Q1744">
        <f>'02_Модель'!Q38</f>
        <v/>
      </c>
      <c r="R1744">
        <f>'02_Модель'!R38</f>
        <v/>
      </c>
      <c r="S1744">
        <f>'02_Модель'!S38</f>
        <v/>
      </c>
      <c r="T1744">
        <f>'02_Модель'!T38</f>
        <v/>
      </c>
      <c r="U1744">
        <f>'02_Модель'!U38</f>
        <v/>
      </c>
      <c r="V1744">
        <f>'02_Модель'!V38</f>
        <v/>
      </c>
      <c r="W1744">
        <f>'02_Модель'!W38</f>
        <v/>
      </c>
      <c r="X1744">
        <f>'02_Модель'!X38</f>
        <v/>
      </c>
      <c r="Y1744">
        <f>'02_Модель'!Y38</f>
        <v/>
      </c>
      <c r="Z1744">
        <f>'02_Модель'!Z38</f>
        <v/>
      </c>
      <c r="AA1744">
        <f>'02_Модель'!AA38</f>
        <v/>
      </c>
      <c r="AB1744">
        <f>'02_Модель'!AB38</f>
        <v/>
      </c>
      <c r="AC1744">
        <f>'02_Модель'!AC38</f>
        <v/>
      </c>
      <c r="AD1744">
        <f>'02_Модель'!AD38</f>
        <v/>
      </c>
      <c r="AE1744">
        <f>'02_Модель'!AE38</f>
        <v/>
      </c>
      <c r="AF1744">
        <f>'02_Модель'!AF38</f>
        <v/>
      </c>
      <c r="AG1744">
        <f>'02_Модель'!AG38</f>
        <v/>
      </c>
      <c r="AH1744">
        <f>'02_Модель'!AH38</f>
        <v/>
      </c>
      <c r="AI1744">
        <f>'02_Модель'!AI38</f>
        <v/>
      </c>
      <c r="AJ1744">
        <f>'02_Модель'!AJ38</f>
        <v/>
      </c>
      <c r="AK1744">
        <f>'02_Модель'!AK38</f>
        <v/>
      </c>
      <c r="AL1744">
        <f>'02_Модель'!AL38</f>
        <v/>
      </c>
      <c r="AM1744">
        <f>'02_Модель'!AM38</f>
        <v/>
      </c>
      <c r="AN1744">
        <f>'02_Модель'!AN38</f>
        <v/>
      </c>
      <c r="AO1744">
        <f>'02_Модель'!AO38</f>
        <v/>
      </c>
      <c r="AP1744">
        <f>'02_Модель'!AP38</f>
        <v/>
      </c>
      <c r="AQ1744">
        <f>'02_Модель'!AQ38</f>
        <v/>
      </c>
      <c r="AR1744">
        <f>'02_Модель'!AR38</f>
        <v/>
      </c>
      <c r="AS1744">
        <f>'02_Модель'!AS38</f>
        <v/>
      </c>
      <c r="AT1744">
        <f>'02_Модель'!AT38</f>
        <v/>
      </c>
      <c r="AU1744">
        <f>'02_Модель'!AU38</f>
        <v/>
      </c>
      <c r="AV1744">
        <f>'02_Модель'!AV38</f>
        <v/>
      </c>
      <c r="AW1744">
        <f>'02_Модель'!AW38</f>
        <v/>
      </c>
      <c r="AX1744">
        <f>'02_Модель'!AX38</f>
        <v/>
      </c>
      <c r="AY1744">
        <f>'02_Модель'!AY38</f>
        <v/>
      </c>
      <c r="AZ1744">
        <f>'02_Модель'!AZ38</f>
        <v/>
      </c>
      <c r="BA1744">
        <f>'02_Модель'!BA38</f>
        <v/>
      </c>
      <c r="BB1744">
        <f>'02_Модель'!BB38</f>
        <v/>
      </c>
      <c r="BC1744">
        <f>'02_Модель'!BC38</f>
        <v/>
      </c>
      <c r="BD1744">
        <f>'02_Модель'!BD38</f>
        <v/>
      </c>
      <c r="BE1744">
        <f>'02_Модель'!BE38</f>
        <v/>
      </c>
      <c r="BF1744">
        <f>'02_Модель'!BF38</f>
        <v/>
      </c>
      <c r="BG1744">
        <f>'02_Модель'!BG38</f>
        <v/>
      </c>
      <c r="BH1744">
        <f>'02_Модель'!BH38</f>
        <v/>
      </c>
      <c r="BI1744">
        <f>'02_Модель'!BI38</f>
        <v/>
      </c>
    </row>
    <row r="1745">
      <c r="B1745">
        <f>'02_Модель'!B39</f>
        <v/>
      </c>
      <c r="C1745">
        <f>'02_Модель'!C39</f>
        <v/>
      </c>
      <c r="D1745">
        <f>'02_Модель'!D39</f>
        <v/>
      </c>
      <c r="E1745">
        <f>'02_Модель'!E39</f>
        <v/>
      </c>
      <c r="F1745">
        <f>'02_Модель'!F39</f>
        <v/>
      </c>
      <c r="G1745">
        <f>'02_Модель'!G39</f>
        <v/>
      </c>
      <c r="H1745">
        <f>'02_Модель'!H39</f>
        <v/>
      </c>
      <c r="I1745">
        <f>'02_Модель'!I39</f>
        <v/>
      </c>
      <c r="J1745">
        <f>'02_Модель'!J39</f>
        <v/>
      </c>
      <c r="K1745">
        <f>'02_Модель'!K39</f>
        <v/>
      </c>
      <c r="L1745">
        <f>'02_Модель'!L39</f>
        <v/>
      </c>
      <c r="M1745">
        <f>'02_Модель'!M39</f>
        <v/>
      </c>
      <c r="N1745">
        <f>'02_Модель'!N39</f>
        <v/>
      </c>
      <c r="O1745">
        <f>'02_Модель'!O39</f>
        <v/>
      </c>
      <c r="P1745">
        <f>'02_Модель'!P39</f>
        <v/>
      </c>
      <c r="Q1745">
        <f>'02_Модель'!Q39</f>
        <v/>
      </c>
      <c r="R1745">
        <f>'02_Модель'!R39</f>
        <v/>
      </c>
      <c r="S1745">
        <f>'02_Модель'!S39</f>
        <v/>
      </c>
      <c r="T1745">
        <f>'02_Модель'!T39</f>
        <v/>
      </c>
      <c r="U1745">
        <f>'02_Модель'!U39</f>
        <v/>
      </c>
      <c r="V1745">
        <f>'02_Модель'!V39</f>
        <v/>
      </c>
      <c r="W1745">
        <f>'02_Модель'!W39</f>
        <v/>
      </c>
      <c r="X1745">
        <f>'02_Модель'!X39</f>
        <v/>
      </c>
      <c r="Y1745">
        <f>'02_Модель'!Y39</f>
        <v/>
      </c>
      <c r="Z1745">
        <f>'02_Модель'!Z39</f>
        <v/>
      </c>
      <c r="AA1745">
        <f>'02_Модель'!AA39</f>
        <v/>
      </c>
      <c r="AB1745">
        <f>'02_Модель'!AB39</f>
        <v/>
      </c>
      <c r="AC1745">
        <f>'02_Модель'!AC39</f>
        <v/>
      </c>
      <c r="AD1745">
        <f>'02_Модель'!AD39</f>
        <v/>
      </c>
      <c r="AE1745">
        <f>'02_Модель'!AE39</f>
        <v/>
      </c>
      <c r="AF1745">
        <f>'02_Модель'!AF39</f>
        <v/>
      </c>
      <c r="AG1745">
        <f>'02_Модель'!AG39</f>
        <v/>
      </c>
      <c r="AH1745">
        <f>'02_Модель'!AH39</f>
        <v/>
      </c>
      <c r="AI1745">
        <f>'02_Модель'!AI39</f>
        <v/>
      </c>
      <c r="AJ1745">
        <f>'02_Модель'!AJ39</f>
        <v/>
      </c>
      <c r="AK1745">
        <f>'02_Модель'!AK39</f>
        <v/>
      </c>
      <c r="AL1745">
        <f>'02_Модель'!AL39</f>
        <v/>
      </c>
      <c r="AM1745">
        <f>'02_Модель'!AM39</f>
        <v/>
      </c>
      <c r="AN1745">
        <f>'02_Модель'!AN39</f>
        <v/>
      </c>
      <c r="AO1745">
        <f>'02_Модель'!AO39</f>
        <v/>
      </c>
      <c r="AP1745">
        <f>'02_Модель'!AP39</f>
        <v/>
      </c>
      <c r="AQ1745">
        <f>'02_Модель'!AQ39</f>
        <v/>
      </c>
      <c r="AR1745">
        <f>'02_Модель'!AR39</f>
        <v/>
      </c>
      <c r="AS1745">
        <f>'02_Модель'!AS39</f>
        <v/>
      </c>
      <c r="AT1745">
        <f>'02_Модель'!AT39</f>
        <v/>
      </c>
      <c r="AU1745">
        <f>'02_Модель'!AU39</f>
        <v/>
      </c>
      <c r="AV1745">
        <f>'02_Модель'!AV39</f>
        <v/>
      </c>
      <c r="AW1745">
        <f>'02_Модель'!AW39</f>
        <v/>
      </c>
      <c r="AX1745">
        <f>'02_Модель'!AX39</f>
        <v/>
      </c>
      <c r="AY1745">
        <f>'02_Модель'!AY39</f>
        <v/>
      </c>
      <c r="AZ1745">
        <f>'02_Модель'!AZ39</f>
        <v/>
      </c>
      <c r="BA1745">
        <f>'02_Модель'!BA39</f>
        <v/>
      </c>
      <c r="BB1745">
        <f>'02_Модель'!BB39</f>
        <v/>
      </c>
      <c r="BC1745">
        <f>'02_Модель'!BC39</f>
        <v/>
      </c>
      <c r="BD1745">
        <f>'02_Модель'!BD39</f>
        <v/>
      </c>
      <c r="BE1745">
        <f>'02_Модель'!BE39</f>
        <v/>
      </c>
      <c r="BF1745">
        <f>'02_Модель'!BF39</f>
        <v/>
      </c>
      <c r="BG1745">
        <f>'02_Модель'!BG39</f>
        <v/>
      </c>
      <c r="BH1745">
        <f>'02_Модель'!BH39</f>
        <v/>
      </c>
      <c r="BI1745">
        <f>'02_Модель'!BI39</f>
        <v/>
      </c>
    </row>
    <row r="1746">
      <c r="B1746">
        <f>'02_Модель'!B40</f>
        <v/>
      </c>
      <c r="C1746">
        <f>'02_Модель'!C40</f>
        <v/>
      </c>
      <c r="D1746">
        <f>'02_Модель'!D40</f>
        <v/>
      </c>
      <c r="E1746">
        <f>'02_Модель'!E40</f>
        <v/>
      </c>
      <c r="F1746">
        <f>'02_Модель'!F40</f>
        <v/>
      </c>
      <c r="G1746">
        <f>'02_Модель'!G40</f>
        <v/>
      </c>
      <c r="H1746">
        <f>'02_Модель'!H40</f>
        <v/>
      </c>
      <c r="I1746">
        <f>'02_Модель'!I40</f>
        <v/>
      </c>
      <c r="J1746">
        <f>'02_Модель'!J40</f>
        <v/>
      </c>
      <c r="K1746">
        <f>'02_Модель'!K40</f>
        <v/>
      </c>
      <c r="L1746">
        <f>'02_Модель'!L40</f>
        <v/>
      </c>
      <c r="M1746">
        <f>'02_Модель'!M40</f>
        <v/>
      </c>
      <c r="N1746">
        <f>'02_Модель'!N40</f>
        <v/>
      </c>
      <c r="O1746">
        <f>'02_Модель'!O40</f>
        <v/>
      </c>
      <c r="P1746">
        <f>'02_Модель'!P40</f>
        <v/>
      </c>
      <c r="Q1746">
        <f>'02_Модель'!Q40</f>
        <v/>
      </c>
      <c r="R1746">
        <f>'02_Модель'!R40</f>
        <v/>
      </c>
      <c r="S1746">
        <f>'02_Модель'!S40</f>
        <v/>
      </c>
      <c r="T1746">
        <f>'02_Модель'!T40</f>
        <v/>
      </c>
      <c r="U1746">
        <f>'02_Модель'!U40</f>
        <v/>
      </c>
      <c r="V1746">
        <f>'02_Модель'!V40</f>
        <v/>
      </c>
      <c r="W1746">
        <f>'02_Модель'!W40</f>
        <v/>
      </c>
      <c r="X1746">
        <f>'02_Модель'!X40</f>
        <v/>
      </c>
      <c r="Y1746">
        <f>'02_Модель'!Y40</f>
        <v/>
      </c>
      <c r="Z1746">
        <f>'02_Модель'!Z40</f>
        <v/>
      </c>
      <c r="AA1746">
        <f>'02_Модель'!AA40</f>
        <v/>
      </c>
      <c r="AB1746">
        <f>'02_Модель'!AB40</f>
        <v/>
      </c>
      <c r="AC1746">
        <f>'02_Модель'!AC40</f>
        <v/>
      </c>
      <c r="AD1746">
        <f>'02_Модель'!AD40</f>
        <v/>
      </c>
      <c r="AE1746">
        <f>'02_Модель'!AE40</f>
        <v/>
      </c>
      <c r="AF1746">
        <f>'02_Модель'!AF40</f>
        <v/>
      </c>
      <c r="AG1746">
        <f>'02_Модель'!AG40</f>
        <v/>
      </c>
      <c r="AH1746">
        <f>'02_Модель'!AH40</f>
        <v/>
      </c>
      <c r="AI1746">
        <f>'02_Модель'!AI40</f>
        <v/>
      </c>
      <c r="AJ1746">
        <f>'02_Модель'!AJ40</f>
        <v/>
      </c>
      <c r="AK1746">
        <f>'02_Модель'!AK40</f>
        <v/>
      </c>
      <c r="AL1746">
        <f>'02_Модель'!AL40</f>
        <v/>
      </c>
      <c r="AM1746">
        <f>'02_Модель'!AM40</f>
        <v/>
      </c>
      <c r="AN1746">
        <f>'02_Модель'!AN40</f>
        <v/>
      </c>
      <c r="AO1746">
        <f>'02_Модель'!AO40</f>
        <v/>
      </c>
      <c r="AP1746">
        <f>'02_Модель'!AP40</f>
        <v/>
      </c>
      <c r="AQ1746">
        <f>'02_Модель'!AQ40</f>
        <v/>
      </c>
      <c r="AR1746">
        <f>'02_Модель'!AR40</f>
        <v/>
      </c>
      <c r="AS1746">
        <f>'02_Модель'!AS40</f>
        <v/>
      </c>
      <c r="AT1746">
        <f>'02_Модель'!AT40</f>
        <v/>
      </c>
      <c r="AU1746">
        <f>'02_Модель'!AU40</f>
        <v/>
      </c>
      <c r="AV1746">
        <f>'02_Модель'!AV40</f>
        <v/>
      </c>
      <c r="AW1746">
        <f>'02_Модель'!AW40</f>
        <v/>
      </c>
      <c r="AX1746">
        <f>'02_Модель'!AX40</f>
        <v/>
      </c>
      <c r="AY1746">
        <f>'02_Модель'!AY40</f>
        <v/>
      </c>
      <c r="AZ1746">
        <f>'02_Модель'!AZ40</f>
        <v/>
      </c>
      <c r="BA1746">
        <f>'02_Модель'!BA40</f>
        <v/>
      </c>
      <c r="BB1746">
        <f>'02_Модель'!BB40</f>
        <v/>
      </c>
      <c r="BC1746">
        <f>'02_Модель'!BC40</f>
        <v/>
      </c>
      <c r="BD1746">
        <f>'02_Модель'!BD40</f>
        <v/>
      </c>
      <c r="BE1746">
        <f>'02_Модель'!BE40</f>
        <v/>
      </c>
      <c r="BF1746">
        <f>'02_Модель'!BF40</f>
        <v/>
      </c>
      <c r="BG1746">
        <f>'02_Модель'!BG40</f>
        <v/>
      </c>
      <c r="BH1746">
        <f>'02_Модель'!BH40</f>
        <v/>
      </c>
      <c r="BI1746">
        <f>'02_Модель'!BI40</f>
        <v/>
      </c>
    </row>
    <row r="1747">
      <c r="B1747">
        <f>'02_Модель'!B41</f>
        <v/>
      </c>
      <c r="C1747">
        <f>'02_Модель'!C41</f>
        <v/>
      </c>
      <c r="D1747">
        <f>'02_Модель'!D41</f>
        <v/>
      </c>
      <c r="E1747">
        <f>'02_Модель'!E41</f>
        <v/>
      </c>
      <c r="F1747">
        <f>'02_Модель'!F41</f>
        <v/>
      </c>
      <c r="G1747">
        <f>'02_Модель'!G41</f>
        <v/>
      </c>
      <c r="H1747">
        <f>'02_Модель'!H41</f>
        <v/>
      </c>
      <c r="I1747">
        <f>'02_Модель'!I41</f>
        <v/>
      </c>
      <c r="J1747">
        <f>'02_Модель'!J41</f>
        <v/>
      </c>
      <c r="K1747">
        <f>'02_Модель'!K41</f>
        <v/>
      </c>
      <c r="L1747">
        <f>'02_Модель'!L41</f>
        <v/>
      </c>
      <c r="M1747">
        <f>'02_Модель'!M41</f>
        <v/>
      </c>
      <c r="N1747">
        <f>'02_Модель'!N41</f>
        <v/>
      </c>
      <c r="O1747">
        <f>'02_Модель'!O41</f>
        <v/>
      </c>
      <c r="P1747">
        <f>'02_Модель'!P41</f>
        <v/>
      </c>
      <c r="Q1747">
        <f>'02_Модель'!Q41</f>
        <v/>
      </c>
      <c r="R1747">
        <f>'02_Модель'!R41</f>
        <v/>
      </c>
      <c r="S1747">
        <f>'02_Модель'!S41</f>
        <v/>
      </c>
      <c r="T1747">
        <f>'02_Модель'!T41</f>
        <v/>
      </c>
      <c r="U1747">
        <f>'02_Модель'!U41</f>
        <v/>
      </c>
      <c r="V1747">
        <f>'02_Модель'!V41</f>
        <v/>
      </c>
      <c r="W1747">
        <f>'02_Модель'!W41</f>
        <v/>
      </c>
      <c r="X1747">
        <f>'02_Модель'!X41</f>
        <v/>
      </c>
      <c r="Y1747">
        <f>'02_Модель'!Y41</f>
        <v/>
      </c>
      <c r="Z1747">
        <f>'02_Модель'!Z41</f>
        <v/>
      </c>
      <c r="AA1747">
        <f>'02_Модель'!AA41</f>
        <v/>
      </c>
      <c r="AB1747">
        <f>'02_Модель'!AB41</f>
        <v/>
      </c>
      <c r="AC1747">
        <f>'02_Модель'!AC41</f>
        <v/>
      </c>
      <c r="AD1747">
        <f>'02_Модель'!AD41</f>
        <v/>
      </c>
      <c r="AE1747">
        <f>'02_Модель'!AE41</f>
        <v/>
      </c>
      <c r="AF1747">
        <f>'02_Модель'!AF41</f>
        <v/>
      </c>
      <c r="AG1747">
        <f>'02_Модель'!AG41</f>
        <v/>
      </c>
      <c r="AH1747">
        <f>'02_Модель'!AH41</f>
        <v/>
      </c>
      <c r="AI1747">
        <f>'02_Модель'!AI41</f>
        <v/>
      </c>
      <c r="AJ1747">
        <f>'02_Модель'!AJ41</f>
        <v/>
      </c>
      <c r="AK1747">
        <f>'02_Модель'!AK41</f>
        <v/>
      </c>
      <c r="AL1747">
        <f>'02_Модель'!AL41</f>
        <v/>
      </c>
      <c r="AM1747">
        <f>'02_Модель'!AM41</f>
        <v/>
      </c>
      <c r="AN1747">
        <f>'02_Модель'!AN41</f>
        <v/>
      </c>
      <c r="AO1747">
        <f>'02_Модель'!AO41</f>
        <v/>
      </c>
      <c r="AP1747">
        <f>'02_Модель'!AP41</f>
        <v/>
      </c>
      <c r="AQ1747">
        <f>'02_Модель'!AQ41</f>
        <v/>
      </c>
      <c r="AR1747">
        <f>'02_Модель'!AR41</f>
        <v/>
      </c>
      <c r="AS1747">
        <f>'02_Модель'!AS41</f>
        <v/>
      </c>
      <c r="AT1747">
        <f>'02_Модель'!AT41</f>
        <v/>
      </c>
      <c r="AU1747">
        <f>'02_Модель'!AU41</f>
        <v/>
      </c>
      <c r="AV1747">
        <f>'02_Модель'!AV41</f>
        <v/>
      </c>
      <c r="AW1747">
        <f>'02_Модель'!AW41</f>
        <v/>
      </c>
      <c r="AX1747">
        <f>'02_Модель'!AX41</f>
        <v/>
      </c>
      <c r="AY1747">
        <f>'02_Модель'!AY41</f>
        <v/>
      </c>
      <c r="AZ1747">
        <f>'02_Модель'!AZ41</f>
        <v/>
      </c>
      <c r="BA1747">
        <f>'02_Модель'!BA41</f>
        <v/>
      </c>
      <c r="BB1747">
        <f>'02_Модель'!BB41</f>
        <v/>
      </c>
      <c r="BC1747">
        <f>'02_Модель'!BC41</f>
        <v/>
      </c>
      <c r="BD1747">
        <f>'02_Модель'!BD41</f>
        <v/>
      </c>
      <c r="BE1747">
        <f>'02_Модель'!BE41</f>
        <v/>
      </c>
      <c r="BF1747">
        <f>'02_Модель'!BF41</f>
        <v/>
      </c>
      <c r="BG1747">
        <f>'02_Модель'!BG41</f>
        <v/>
      </c>
      <c r="BH1747">
        <f>'02_Модель'!BH41</f>
        <v/>
      </c>
      <c r="BI1747">
        <f>'02_Модель'!BI41</f>
        <v/>
      </c>
    </row>
    <row r="1748">
      <c r="B1748">
        <f>'19_Расчет_аналитики'!B1358</f>
        <v/>
      </c>
      <c r="C1748">
        <f>'19_Расчет_аналитики'!C1358</f>
        <v/>
      </c>
      <c r="D1748">
        <f>'19_Расчет_аналитики'!D1358</f>
        <v/>
      </c>
      <c r="E1748">
        <f>'19_Расчет_аналитики'!E1358</f>
        <v/>
      </c>
      <c r="F1748">
        <f>'19_Расчет_аналитики'!F1358</f>
        <v/>
      </c>
      <c r="G1748">
        <f>'19_Расчет_аналитики'!G1358</f>
        <v/>
      </c>
      <c r="H1748">
        <f>'19_Расчет_аналитики'!H1358</f>
        <v/>
      </c>
      <c r="I1748">
        <f>'19_Расчет_аналитики'!I1358</f>
        <v/>
      </c>
      <c r="J1748">
        <f>'19_Расчет_аналитики'!J1358</f>
        <v/>
      </c>
      <c r="K1748">
        <f>'19_Расчет_аналитики'!K1358</f>
        <v/>
      </c>
      <c r="L1748">
        <f>'19_Расчет_аналитики'!L1358</f>
        <v/>
      </c>
      <c r="M1748">
        <f>'19_Расчет_аналитики'!M1358</f>
        <v/>
      </c>
      <c r="N1748">
        <f>'19_Расчет_аналитики'!N1358</f>
        <v/>
      </c>
      <c r="O1748">
        <f>'19_Расчет_аналитики'!O1358</f>
        <v/>
      </c>
      <c r="P1748">
        <f>'19_Расчет_аналитики'!P1358</f>
        <v/>
      </c>
      <c r="Q1748">
        <f>'19_Расчет_аналитики'!Q1358</f>
        <v/>
      </c>
      <c r="R1748">
        <f>'19_Расчет_аналитики'!R1358</f>
        <v/>
      </c>
      <c r="S1748">
        <f>'19_Расчет_аналитики'!S1358</f>
        <v/>
      </c>
      <c r="T1748">
        <f>'19_Расчет_аналитики'!T1358</f>
        <v/>
      </c>
      <c r="U1748">
        <f>'19_Расчет_аналитики'!U1358</f>
        <v/>
      </c>
      <c r="V1748">
        <f>'19_Расчет_аналитики'!V1358</f>
        <v/>
      </c>
      <c r="W1748">
        <f>'19_Расчет_аналитики'!W1358</f>
        <v/>
      </c>
      <c r="X1748">
        <f>'19_Расчет_аналитики'!X1358</f>
        <v/>
      </c>
      <c r="Y1748">
        <f>'19_Расчет_аналитики'!Y1358</f>
        <v/>
      </c>
      <c r="Z1748">
        <f>'19_Расчет_аналитики'!Z1358</f>
        <v/>
      </c>
      <c r="AA1748">
        <f>'19_Расчет_аналитики'!AA1358</f>
        <v/>
      </c>
      <c r="AB1748">
        <f>'19_Расчет_аналитики'!AB1358</f>
        <v/>
      </c>
      <c r="AC1748">
        <f>'19_Расчет_аналитики'!AC1358</f>
        <v/>
      </c>
      <c r="AD1748">
        <f>'19_Расчет_аналитики'!AD1358</f>
        <v/>
      </c>
      <c r="AE1748">
        <f>'19_Расчет_аналитики'!AE1358</f>
        <v/>
      </c>
      <c r="AF1748">
        <f>'19_Расчет_аналитики'!AF1358</f>
        <v/>
      </c>
      <c r="AG1748">
        <f>'19_Расчет_аналитики'!AG1358</f>
        <v/>
      </c>
      <c r="AH1748">
        <f>'19_Расчет_аналитики'!AH1358</f>
        <v/>
      </c>
      <c r="AI1748">
        <f>'19_Расчет_аналитики'!AI1358</f>
        <v/>
      </c>
      <c r="AJ1748">
        <f>'19_Расчет_аналитики'!AJ1358</f>
        <v/>
      </c>
      <c r="AK1748">
        <f>'19_Расчет_аналитики'!AK1358</f>
        <v/>
      </c>
      <c r="AL1748">
        <f>'19_Расчет_аналитики'!AL1358</f>
        <v/>
      </c>
      <c r="AM1748">
        <f>'19_Расчет_аналитики'!AM1358</f>
        <v/>
      </c>
      <c r="AN1748">
        <f>'19_Расчет_аналитики'!AN1358</f>
        <v/>
      </c>
      <c r="AO1748">
        <f>'19_Расчет_аналитики'!AO1358</f>
        <v/>
      </c>
      <c r="AP1748">
        <f>'19_Расчет_аналитики'!AP1358</f>
        <v/>
      </c>
      <c r="AQ1748">
        <f>'19_Расчет_аналитики'!AQ1358</f>
        <v/>
      </c>
      <c r="AR1748">
        <f>'19_Расчет_аналитики'!AR1358</f>
        <v/>
      </c>
      <c r="AS1748">
        <f>'19_Расчет_аналитики'!AS1358</f>
        <v/>
      </c>
      <c r="AT1748">
        <f>'19_Расчет_аналитики'!AT1358</f>
        <v/>
      </c>
      <c r="AU1748">
        <f>'19_Расчет_аналитики'!AU1358</f>
        <v/>
      </c>
      <c r="AV1748">
        <f>'19_Расчет_аналитики'!AV1358</f>
        <v/>
      </c>
      <c r="AW1748">
        <f>'19_Расчет_аналитики'!AW1358</f>
        <v/>
      </c>
      <c r="AX1748">
        <f>'19_Расчет_аналитики'!AX1358</f>
        <v/>
      </c>
      <c r="AY1748">
        <f>'19_Расчет_аналитики'!AY1358</f>
        <v/>
      </c>
      <c r="AZ1748">
        <f>'19_Расчет_аналитики'!AZ1358</f>
        <v/>
      </c>
      <c r="BA1748">
        <f>'19_Расчет_аналитики'!BA1358</f>
        <v/>
      </c>
      <c r="BB1748">
        <f>'19_Расчет_аналитики'!BB1358</f>
        <v/>
      </c>
      <c r="BC1748">
        <f>'19_Расчет_аналитики'!BC1358</f>
        <v/>
      </c>
      <c r="BD1748">
        <f>'19_Расчет_аналитики'!BD1358</f>
        <v/>
      </c>
      <c r="BE1748">
        <f>'19_Расчет_аналитики'!BE1358</f>
        <v/>
      </c>
      <c r="BF1748">
        <f>'19_Расчет_аналитики'!BF1358</f>
        <v/>
      </c>
      <c r="BG1748">
        <f>'19_Расчет_аналитики'!BG1358</f>
        <v/>
      </c>
      <c r="BH1748">
        <f>'19_Расчет_аналитики'!BH1358</f>
        <v/>
      </c>
      <c r="BI1748">
        <f>'19_Расчет_аналитики'!BI1358</f>
        <v/>
      </c>
    </row>
    <row r="1749">
      <c r="B1749">
        <f>SUM('19_Расчет_аналитики'!B1742:B1748)</f>
        <v/>
      </c>
      <c r="C1749">
        <f>SUM('19_Расчет_аналитики'!C1742:C1748)</f>
        <v/>
      </c>
      <c r="D1749">
        <f>SUM('19_Расчет_аналитики'!D1742:D1748)</f>
        <v/>
      </c>
      <c r="E1749">
        <f>SUM('19_Расчет_аналитики'!E1742:E1748)</f>
        <v/>
      </c>
      <c r="F1749">
        <f>SUM('19_Расчет_аналитики'!F1742:F1748)</f>
        <v/>
      </c>
      <c r="G1749">
        <f>SUM('19_Расчет_аналитики'!G1742:G1748)</f>
        <v/>
      </c>
      <c r="H1749">
        <f>SUM('19_Расчет_аналитики'!H1742:H1748)</f>
        <v/>
      </c>
      <c r="I1749">
        <f>SUM('19_Расчет_аналитики'!I1742:I1748)</f>
        <v/>
      </c>
      <c r="J1749">
        <f>SUM('19_Расчет_аналитики'!J1742:J1748)</f>
        <v/>
      </c>
      <c r="K1749">
        <f>SUM('19_Расчет_аналитики'!K1742:K1748)</f>
        <v/>
      </c>
      <c r="L1749">
        <f>SUM('19_Расчет_аналитики'!L1742:L1748)</f>
        <v/>
      </c>
      <c r="M1749">
        <f>SUM('19_Расчет_аналитики'!M1742:M1748)</f>
        <v/>
      </c>
      <c r="N1749">
        <f>SUM('19_Расчет_аналитики'!N1742:N1748)</f>
        <v/>
      </c>
      <c r="O1749">
        <f>SUM('19_Расчет_аналитики'!O1742:O1748)</f>
        <v/>
      </c>
      <c r="P1749">
        <f>SUM('19_Расчет_аналитики'!P1742:P1748)</f>
        <v/>
      </c>
      <c r="Q1749">
        <f>SUM('19_Расчет_аналитики'!Q1742:Q1748)</f>
        <v/>
      </c>
      <c r="R1749">
        <f>SUM('19_Расчет_аналитики'!R1742:R1748)</f>
        <v/>
      </c>
      <c r="S1749">
        <f>SUM('19_Расчет_аналитики'!S1742:S1748)</f>
        <v/>
      </c>
      <c r="T1749">
        <f>SUM('19_Расчет_аналитики'!T1742:T1748)</f>
        <v/>
      </c>
      <c r="U1749">
        <f>SUM('19_Расчет_аналитики'!U1742:U1748)</f>
        <v/>
      </c>
      <c r="V1749">
        <f>SUM('19_Расчет_аналитики'!V1742:V1748)</f>
        <v/>
      </c>
      <c r="W1749">
        <f>SUM('19_Расчет_аналитики'!W1742:W1748)</f>
        <v/>
      </c>
      <c r="X1749">
        <f>SUM('19_Расчет_аналитики'!X1742:X1748)</f>
        <v/>
      </c>
      <c r="Y1749">
        <f>SUM('19_Расчет_аналитики'!Y1742:Y1748)</f>
        <v/>
      </c>
      <c r="Z1749">
        <f>SUM('19_Расчет_аналитики'!Z1742:Z1748)</f>
        <v/>
      </c>
      <c r="AA1749">
        <f>SUM('19_Расчет_аналитики'!AA1742:AA1748)</f>
        <v/>
      </c>
      <c r="AB1749">
        <f>SUM('19_Расчет_аналитики'!AB1742:AB1748)</f>
        <v/>
      </c>
      <c r="AC1749">
        <f>SUM('19_Расчет_аналитики'!AC1742:AC1748)</f>
        <v/>
      </c>
      <c r="AD1749">
        <f>SUM('19_Расчет_аналитики'!AD1742:AD1748)</f>
        <v/>
      </c>
      <c r="AE1749">
        <f>SUM('19_Расчет_аналитики'!AE1742:AE1748)</f>
        <v/>
      </c>
      <c r="AF1749">
        <f>SUM('19_Расчет_аналитики'!AF1742:AF1748)</f>
        <v/>
      </c>
      <c r="AG1749">
        <f>SUM('19_Расчет_аналитики'!AG1742:AG1748)</f>
        <v/>
      </c>
      <c r="AH1749">
        <f>SUM('19_Расчет_аналитики'!AH1742:AH1748)</f>
        <v/>
      </c>
      <c r="AI1749">
        <f>SUM('19_Расчет_аналитики'!AI1742:AI1748)</f>
        <v/>
      </c>
      <c r="AJ1749">
        <f>SUM('19_Расчет_аналитики'!AJ1742:AJ1748)</f>
        <v/>
      </c>
      <c r="AK1749">
        <f>SUM('19_Расчет_аналитики'!AK1742:AK1748)</f>
        <v/>
      </c>
      <c r="AL1749">
        <f>SUM('19_Расчет_аналитики'!AL1742:AL1748)</f>
        <v/>
      </c>
      <c r="AM1749">
        <f>SUM('19_Расчет_аналитики'!AM1742:AM1748)</f>
        <v/>
      </c>
      <c r="AN1749">
        <f>SUM('19_Расчет_аналитики'!AN1742:AN1748)</f>
        <v/>
      </c>
      <c r="AO1749">
        <f>SUM('19_Расчет_аналитики'!AO1742:AO1748)</f>
        <v/>
      </c>
      <c r="AP1749">
        <f>SUM('19_Расчет_аналитики'!AP1742:AP1748)</f>
        <v/>
      </c>
      <c r="AQ1749">
        <f>SUM('19_Расчет_аналитики'!AQ1742:AQ1748)</f>
        <v/>
      </c>
      <c r="AR1749">
        <f>SUM('19_Расчет_аналитики'!AR1742:AR1748)</f>
        <v/>
      </c>
      <c r="AS1749">
        <f>SUM('19_Расчет_аналитики'!AS1742:AS1748)</f>
        <v/>
      </c>
      <c r="AT1749">
        <f>SUM('19_Расчет_аналитики'!AT1742:AT1748)</f>
        <v/>
      </c>
      <c r="AU1749">
        <f>SUM('19_Расчет_аналитики'!AU1742:AU1748)</f>
        <v/>
      </c>
      <c r="AV1749">
        <f>SUM('19_Расчет_аналитики'!AV1742:AV1748)</f>
        <v/>
      </c>
      <c r="AW1749">
        <f>SUM('19_Расчет_аналитики'!AW1742:AW1748)</f>
        <v/>
      </c>
      <c r="AX1749">
        <f>SUM('19_Расчет_аналитики'!AX1742:AX1748)</f>
        <v/>
      </c>
      <c r="AY1749">
        <f>SUM('19_Расчет_аналитики'!AY1742:AY1748)</f>
        <v/>
      </c>
      <c r="AZ1749">
        <f>SUM('19_Расчет_аналитики'!AZ1742:AZ1748)</f>
        <v/>
      </c>
      <c r="BA1749">
        <f>SUM('19_Расчет_аналитики'!BA1742:BA1748)</f>
        <v/>
      </c>
      <c r="BB1749">
        <f>SUM('19_Расчет_аналитики'!BB1742:BB1748)</f>
        <v/>
      </c>
      <c r="BC1749">
        <f>SUM('19_Расчет_аналитики'!BC1742:BC1748)</f>
        <v/>
      </c>
      <c r="BD1749">
        <f>SUM('19_Расчет_аналитики'!BD1742:BD1748)</f>
        <v/>
      </c>
      <c r="BE1749">
        <f>SUM('19_Расчет_аналитики'!BE1742:BE1748)</f>
        <v/>
      </c>
      <c r="BF1749">
        <f>SUM('19_Расчет_аналитики'!BF1742:BF1748)</f>
        <v/>
      </c>
      <c r="BG1749">
        <f>SUM('19_Расчет_аналитики'!BG1742:BG1748)</f>
        <v/>
      </c>
      <c r="BH1749">
        <f>SUM('19_Расчет_аналитики'!BH1742:BH1748)</f>
        <v/>
      </c>
      <c r="BI1749">
        <f>SUM('19_Расчет_аналитики'!BI1742:BI1748)</f>
        <v/>
      </c>
    </row>
    <row r="1750">
      <c r="B1750">
        <f>'19_Расчет_аналитики'!B1739-'19_Расчет_аналитики'!B1749</f>
        <v/>
      </c>
      <c r="C1750">
        <f>'19_Расчет_аналитики'!C1739-'19_Расчет_аналитики'!C1749</f>
        <v/>
      </c>
      <c r="D1750">
        <f>'19_Расчет_аналитики'!D1739-'19_Расчет_аналитики'!D1749</f>
        <v/>
      </c>
      <c r="E1750">
        <f>'19_Расчет_аналитики'!E1739-'19_Расчет_аналитики'!E1749</f>
        <v/>
      </c>
      <c r="F1750">
        <f>'19_Расчет_аналитики'!F1739-'19_Расчет_аналитики'!F1749</f>
        <v/>
      </c>
      <c r="G1750">
        <f>'19_Расчет_аналитики'!G1739-'19_Расчет_аналитики'!G1749</f>
        <v/>
      </c>
      <c r="H1750">
        <f>'19_Расчет_аналитики'!H1739-'19_Расчет_аналитики'!H1749</f>
        <v/>
      </c>
      <c r="I1750">
        <f>'19_Расчет_аналитики'!I1739-'19_Расчет_аналитики'!I1749</f>
        <v/>
      </c>
      <c r="J1750">
        <f>'19_Расчет_аналитики'!J1739-'19_Расчет_аналитики'!J1749</f>
        <v/>
      </c>
      <c r="K1750">
        <f>'19_Расчет_аналитики'!K1739-'19_Расчет_аналитики'!K1749</f>
        <v/>
      </c>
      <c r="L1750">
        <f>'19_Расчет_аналитики'!L1739-'19_Расчет_аналитики'!L1749</f>
        <v/>
      </c>
      <c r="M1750">
        <f>'19_Расчет_аналитики'!M1739-'19_Расчет_аналитики'!M1749</f>
        <v/>
      </c>
      <c r="N1750">
        <f>'19_Расчет_аналитики'!N1739-'19_Расчет_аналитики'!N1749</f>
        <v/>
      </c>
      <c r="O1750">
        <f>'19_Расчет_аналитики'!O1739-'19_Расчет_аналитики'!O1749</f>
        <v/>
      </c>
      <c r="P1750">
        <f>'19_Расчет_аналитики'!P1739-'19_Расчет_аналитики'!P1749</f>
        <v/>
      </c>
      <c r="Q1750">
        <f>'19_Расчет_аналитики'!Q1739-'19_Расчет_аналитики'!Q1749</f>
        <v/>
      </c>
      <c r="R1750">
        <f>'19_Расчет_аналитики'!R1739-'19_Расчет_аналитики'!R1749</f>
        <v/>
      </c>
      <c r="S1750">
        <f>'19_Расчет_аналитики'!S1739-'19_Расчет_аналитики'!S1749</f>
        <v/>
      </c>
      <c r="T1750">
        <f>'19_Расчет_аналитики'!T1739-'19_Расчет_аналитики'!T1749</f>
        <v/>
      </c>
      <c r="U1750">
        <f>'19_Расчет_аналитики'!U1739-'19_Расчет_аналитики'!U1749</f>
        <v/>
      </c>
      <c r="V1750">
        <f>'19_Расчет_аналитики'!V1739-'19_Расчет_аналитики'!V1749</f>
        <v/>
      </c>
      <c r="W1750">
        <f>'19_Расчет_аналитики'!W1739-'19_Расчет_аналитики'!W1749</f>
        <v/>
      </c>
      <c r="X1750">
        <f>'19_Расчет_аналитики'!X1739-'19_Расчет_аналитики'!X1749</f>
        <v/>
      </c>
      <c r="Y1750">
        <f>'19_Расчет_аналитики'!Y1739-'19_Расчет_аналитики'!Y1749</f>
        <v/>
      </c>
      <c r="Z1750">
        <f>'19_Расчет_аналитики'!Z1739-'19_Расчет_аналитики'!Z1749</f>
        <v/>
      </c>
      <c r="AA1750">
        <f>'19_Расчет_аналитики'!AA1739-'19_Расчет_аналитики'!AA1749</f>
        <v/>
      </c>
      <c r="AB1750">
        <f>'19_Расчет_аналитики'!AB1739-'19_Расчет_аналитики'!AB1749</f>
        <v/>
      </c>
      <c r="AC1750">
        <f>'19_Расчет_аналитики'!AC1739-'19_Расчет_аналитики'!AC1749</f>
        <v/>
      </c>
      <c r="AD1750">
        <f>'19_Расчет_аналитики'!AD1739-'19_Расчет_аналитики'!AD1749</f>
        <v/>
      </c>
      <c r="AE1750">
        <f>'19_Расчет_аналитики'!AE1739-'19_Расчет_аналитики'!AE1749</f>
        <v/>
      </c>
      <c r="AF1750">
        <f>'19_Расчет_аналитики'!AF1739-'19_Расчет_аналитики'!AF1749</f>
        <v/>
      </c>
      <c r="AG1750">
        <f>'19_Расчет_аналитики'!AG1739-'19_Расчет_аналитики'!AG1749</f>
        <v/>
      </c>
      <c r="AH1750">
        <f>'19_Расчет_аналитики'!AH1739-'19_Расчет_аналитики'!AH1749</f>
        <v/>
      </c>
      <c r="AI1750">
        <f>'19_Расчет_аналитики'!AI1739-'19_Расчет_аналитики'!AI1749</f>
        <v/>
      </c>
      <c r="AJ1750">
        <f>'19_Расчет_аналитики'!AJ1739-'19_Расчет_аналитики'!AJ1749</f>
        <v/>
      </c>
      <c r="AK1750">
        <f>'19_Расчет_аналитики'!AK1739-'19_Расчет_аналитики'!AK1749</f>
        <v/>
      </c>
      <c r="AL1750">
        <f>'19_Расчет_аналитики'!AL1739-'19_Расчет_аналитики'!AL1749</f>
        <v/>
      </c>
      <c r="AM1750">
        <f>'19_Расчет_аналитики'!AM1739-'19_Расчет_аналитики'!AM1749</f>
        <v/>
      </c>
      <c r="AN1750">
        <f>'19_Расчет_аналитики'!AN1739-'19_Расчет_аналитики'!AN1749</f>
        <v/>
      </c>
      <c r="AO1750">
        <f>'19_Расчет_аналитики'!AO1739-'19_Расчет_аналитики'!AO1749</f>
        <v/>
      </c>
      <c r="AP1750">
        <f>'19_Расчет_аналитики'!AP1739-'19_Расчет_аналитики'!AP1749</f>
        <v/>
      </c>
      <c r="AQ1750">
        <f>'19_Расчет_аналитики'!AQ1739-'19_Расчет_аналитики'!AQ1749</f>
        <v/>
      </c>
      <c r="AR1750">
        <f>'19_Расчет_аналитики'!AR1739-'19_Расчет_аналитики'!AR1749</f>
        <v/>
      </c>
      <c r="AS1750">
        <f>'19_Расчет_аналитики'!AS1739-'19_Расчет_аналитики'!AS1749</f>
        <v/>
      </c>
      <c r="AT1750">
        <f>'19_Расчет_аналитики'!AT1739-'19_Расчет_аналитики'!AT1749</f>
        <v/>
      </c>
      <c r="AU1750">
        <f>'19_Расчет_аналитики'!AU1739-'19_Расчет_аналитики'!AU1749</f>
        <v/>
      </c>
      <c r="AV1750">
        <f>'19_Расчет_аналитики'!AV1739-'19_Расчет_аналитики'!AV1749</f>
        <v/>
      </c>
      <c r="AW1750">
        <f>'19_Расчет_аналитики'!AW1739-'19_Расчет_аналитики'!AW1749</f>
        <v/>
      </c>
      <c r="AX1750">
        <f>'19_Расчет_аналитики'!AX1739-'19_Расчет_аналитики'!AX1749</f>
        <v/>
      </c>
      <c r="AY1750">
        <f>'19_Расчет_аналитики'!AY1739-'19_Расчет_аналитики'!AY1749</f>
        <v/>
      </c>
      <c r="AZ1750">
        <f>'19_Расчет_аналитики'!AZ1739-'19_Расчет_аналитики'!AZ1749</f>
        <v/>
      </c>
      <c r="BA1750">
        <f>'19_Расчет_аналитики'!BA1739-'19_Расчет_аналитики'!BA1749</f>
        <v/>
      </c>
      <c r="BB1750">
        <f>'19_Расчет_аналитики'!BB1739-'19_Расчет_аналитики'!BB1749</f>
        <v/>
      </c>
      <c r="BC1750">
        <f>'19_Расчет_аналитики'!BC1739-'19_Расчет_аналитики'!BC1749</f>
        <v/>
      </c>
      <c r="BD1750">
        <f>'19_Расчет_аналитики'!BD1739-'19_Расчет_аналитики'!BD1749</f>
        <v/>
      </c>
      <c r="BE1750">
        <f>'19_Расчет_аналитики'!BE1739-'19_Расчет_аналитики'!BE1749</f>
        <v/>
      </c>
      <c r="BF1750">
        <f>'19_Расчет_аналитики'!BF1739-'19_Расчет_аналитики'!BF1749</f>
        <v/>
      </c>
      <c r="BG1750">
        <f>'19_Расчет_аналитики'!BG1739-'19_Расчет_аналитики'!BG1749</f>
        <v/>
      </c>
      <c r="BH1750">
        <f>'19_Расчет_аналитики'!BH1739-'19_Расчет_аналитики'!BH1749</f>
        <v/>
      </c>
      <c r="BI1750">
        <f>'19_Расчет_аналитики'!BI1739-'19_Расчет_аналитики'!BI1749</f>
        <v/>
      </c>
    </row>
    <row r="1751">
      <c r="B1751">
        <f>IF('19_Расчет_аналитики'!B1729=0,0,'19_Расчет_аналитики'!B1750/'19_Расчет_аналитики'!B1729)</f>
        <v/>
      </c>
      <c r="C1751">
        <f>IF('19_Расчет_аналитики'!C1729=0,0,'19_Расчет_аналитики'!C1750/'19_Расчет_аналитики'!C1729)</f>
        <v/>
      </c>
      <c r="D1751">
        <f>IF('19_Расчет_аналитики'!D1729=0,0,'19_Расчет_аналитики'!D1750/'19_Расчет_аналитики'!D1729)</f>
        <v/>
      </c>
      <c r="E1751">
        <f>IF('19_Расчет_аналитики'!E1729=0,0,'19_Расчет_аналитики'!E1750/'19_Расчет_аналитики'!E1729)</f>
        <v/>
      </c>
      <c r="F1751">
        <f>IF('19_Расчет_аналитики'!F1729=0,0,'19_Расчет_аналитики'!F1750/'19_Расчет_аналитики'!F1729)</f>
        <v/>
      </c>
      <c r="G1751">
        <f>IF('19_Расчет_аналитики'!G1729=0,0,'19_Расчет_аналитики'!G1750/'19_Расчет_аналитики'!G1729)</f>
        <v/>
      </c>
      <c r="H1751">
        <f>IF('19_Расчет_аналитики'!H1729=0,0,'19_Расчет_аналитики'!H1750/'19_Расчет_аналитики'!H1729)</f>
        <v/>
      </c>
      <c r="I1751">
        <f>IF('19_Расчет_аналитики'!I1729=0,0,'19_Расчет_аналитики'!I1750/'19_Расчет_аналитики'!I1729)</f>
        <v/>
      </c>
      <c r="J1751">
        <f>IF('19_Расчет_аналитики'!J1729=0,0,'19_Расчет_аналитики'!J1750/'19_Расчет_аналитики'!J1729)</f>
        <v/>
      </c>
      <c r="K1751">
        <f>IF('19_Расчет_аналитики'!K1729=0,0,'19_Расчет_аналитики'!K1750/'19_Расчет_аналитики'!K1729)</f>
        <v/>
      </c>
      <c r="L1751">
        <f>IF('19_Расчет_аналитики'!L1729=0,0,'19_Расчет_аналитики'!L1750/'19_Расчет_аналитики'!L1729)</f>
        <v/>
      </c>
      <c r="M1751">
        <f>IF('19_Расчет_аналитики'!M1729=0,0,'19_Расчет_аналитики'!M1750/'19_Расчет_аналитики'!M1729)</f>
        <v/>
      </c>
      <c r="N1751">
        <f>IF('19_Расчет_аналитики'!N1729=0,0,'19_Расчет_аналитики'!N1750/'19_Расчет_аналитики'!N1729)</f>
        <v/>
      </c>
      <c r="O1751">
        <f>IF('19_Расчет_аналитики'!O1729=0,0,'19_Расчет_аналитики'!O1750/'19_Расчет_аналитики'!O1729)</f>
        <v/>
      </c>
      <c r="P1751">
        <f>IF('19_Расчет_аналитики'!P1729=0,0,'19_Расчет_аналитики'!P1750/'19_Расчет_аналитики'!P1729)</f>
        <v/>
      </c>
      <c r="Q1751">
        <f>IF('19_Расчет_аналитики'!Q1729=0,0,'19_Расчет_аналитики'!Q1750/'19_Расчет_аналитики'!Q1729)</f>
        <v/>
      </c>
      <c r="R1751">
        <f>IF('19_Расчет_аналитики'!R1729=0,0,'19_Расчет_аналитики'!R1750/'19_Расчет_аналитики'!R1729)</f>
        <v/>
      </c>
      <c r="S1751">
        <f>IF('19_Расчет_аналитики'!S1729=0,0,'19_Расчет_аналитики'!S1750/'19_Расчет_аналитики'!S1729)</f>
        <v/>
      </c>
      <c r="T1751">
        <f>IF('19_Расчет_аналитики'!T1729=0,0,'19_Расчет_аналитики'!T1750/'19_Расчет_аналитики'!T1729)</f>
        <v/>
      </c>
      <c r="U1751">
        <f>IF('19_Расчет_аналитики'!U1729=0,0,'19_Расчет_аналитики'!U1750/'19_Расчет_аналитики'!U1729)</f>
        <v/>
      </c>
      <c r="V1751">
        <f>IF('19_Расчет_аналитики'!V1729=0,0,'19_Расчет_аналитики'!V1750/'19_Расчет_аналитики'!V1729)</f>
        <v/>
      </c>
      <c r="W1751">
        <f>IF('19_Расчет_аналитики'!W1729=0,0,'19_Расчет_аналитики'!W1750/'19_Расчет_аналитики'!W1729)</f>
        <v/>
      </c>
      <c r="X1751">
        <f>IF('19_Расчет_аналитики'!X1729=0,0,'19_Расчет_аналитики'!X1750/'19_Расчет_аналитики'!X1729)</f>
        <v/>
      </c>
      <c r="Y1751">
        <f>IF('19_Расчет_аналитики'!Y1729=0,0,'19_Расчет_аналитики'!Y1750/'19_Расчет_аналитики'!Y1729)</f>
        <v/>
      </c>
      <c r="Z1751">
        <f>IF('19_Расчет_аналитики'!Z1729=0,0,'19_Расчет_аналитики'!Z1750/'19_Расчет_аналитики'!Z1729)</f>
        <v/>
      </c>
      <c r="AA1751">
        <f>IF('19_Расчет_аналитики'!AA1729=0,0,'19_Расчет_аналитики'!AA1750/'19_Расчет_аналитики'!AA1729)</f>
        <v/>
      </c>
      <c r="AB1751">
        <f>IF('19_Расчет_аналитики'!AB1729=0,0,'19_Расчет_аналитики'!AB1750/'19_Расчет_аналитики'!AB1729)</f>
        <v/>
      </c>
      <c r="AC1751">
        <f>IF('19_Расчет_аналитики'!AC1729=0,0,'19_Расчет_аналитики'!AC1750/'19_Расчет_аналитики'!AC1729)</f>
        <v/>
      </c>
      <c r="AD1751">
        <f>IF('19_Расчет_аналитики'!AD1729=0,0,'19_Расчет_аналитики'!AD1750/'19_Расчет_аналитики'!AD1729)</f>
        <v/>
      </c>
      <c r="AE1751">
        <f>IF('19_Расчет_аналитики'!AE1729=0,0,'19_Расчет_аналитики'!AE1750/'19_Расчет_аналитики'!AE1729)</f>
        <v/>
      </c>
      <c r="AF1751">
        <f>IF('19_Расчет_аналитики'!AF1729=0,0,'19_Расчет_аналитики'!AF1750/'19_Расчет_аналитики'!AF1729)</f>
        <v/>
      </c>
      <c r="AG1751">
        <f>IF('19_Расчет_аналитики'!AG1729=0,0,'19_Расчет_аналитики'!AG1750/'19_Расчет_аналитики'!AG1729)</f>
        <v/>
      </c>
      <c r="AH1751">
        <f>IF('19_Расчет_аналитики'!AH1729=0,0,'19_Расчет_аналитики'!AH1750/'19_Расчет_аналитики'!AH1729)</f>
        <v/>
      </c>
      <c r="AI1751">
        <f>IF('19_Расчет_аналитики'!AI1729=0,0,'19_Расчет_аналитики'!AI1750/'19_Расчет_аналитики'!AI1729)</f>
        <v/>
      </c>
      <c r="AJ1751">
        <f>IF('19_Расчет_аналитики'!AJ1729=0,0,'19_Расчет_аналитики'!AJ1750/'19_Расчет_аналитики'!AJ1729)</f>
        <v/>
      </c>
      <c r="AK1751">
        <f>IF('19_Расчет_аналитики'!AK1729=0,0,'19_Расчет_аналитики'!AK1750/'19_Расчет_аналитики'!AK1729)</f>
        <v/>
      </c>
      <c r="AL1751">
        <f>IF('19_Расчет_аналитики'!AL1729=0,0,'19_Расчет_аналитики'!AL1750/'19_Расчет_аналитики'!AL1729)</f>
        <v/>
      </c>
      <c r="AM1751">
        <f>IF('19_Расчет_аналитики'!AM1729=0,0,'19_Расчет_аналитики'!AM1750/'19_Расчет_аналитики'!AM1729)</f>
        <v/>
      </c>
      <c r="AN1751">
        <f>IF('19_Расчет_аналитики'!AN1729=0,0,'19_Расчет_аналитики'!AN1750/'19_Расчет_аналитики'!AN1729)</f>
        <v/>
      </c>
      <c r="AO1751">
        <f>IF('19_Расчет_аналитики'!AO1729=0,0,'19_Расчет_аналитики'!AO1750/'19_Расчет_аналитики'!AO1729)</f>
        <v/>
      </c>
      <c r="AP1751">
        <f>IF('19_Расчет_аналитики'!AP1729=0,0,'19_Расчет_аналитики'!AP1750/'19_Расчет_аналитики'!AP1729)</f>
        <v/>
      </c>
      <c r="AQ1751">
        <f>IF('19_Расчет_аналитики'!AQ1729=0,0,'19_Расчет_аналитики'!AQ1750/'19_Расчет_аналитики'!AQ1729)</f>
        <v/>
      </c>
      <c r="AR1751">
        <f>IF('19_Расчет_аналитики'!AR1729=0,0,'19_Расчет_аналитики'!AR1750/'19_Расчет_аналитики'!AR1729)</f>
        <v/>
      </c>
      <c r="AS1751">
        <f>IF('19_Расчет_аналитики'!AS1729=0,0,'19_Расчет_аналитики'!AS1750/'19_Расчет_аналитики'!AS1729)</f>
        <v/>
      </c>
      <c r="AT1751">
        <f>IF('19_Расчет_аналитики'!AT1729=0,0,'19_Расчет_аналитики'!AT1750/'19_Расчет_аналитики'!AT1729)</f>
        <v/>
      </c>
      <c r="AU1751">
        <f>IF('19_Расчет_аналитики'!AU1729=0,0,'19_Расчет_аналитики'!AU1750/'19_Расчет_аналитики'!AU1729)</f>
        <v/>
      </c>
      <c r="AV1751">
        <f>IF('19_Расчет_аналитики'!AV1729=0,0,'19_Расчет_аналитики'!AV1750/'19_Расчет_аналитики'!AV1729)</f>
        <v/>
      </c>
      <c r="AW1751">
        <f>IF('19_Расчет_аналитики'!AW1729=0,0,'19_Расчет_аналитики'!AW1750/'19_Расчет_аналитики'!AW1729)</f>
        <v/>
      </c>
      <c r="AX1751">
        <f>IF('19_Расчет_аналитики'!AX1729=0,0,'19_Расчет_аналитики'!AX1750/'19_Расчет_аналитики'!AX1729)</f>
        <v/>
      </c>
      <c r="AY1751">
        <f>IF('19_Расчет_аналитики'!AY1729=0,0,'19_Расчет_аналитики'!AY1750/'19_Расчет_аналитики'!AY1729)</f>
        <v/>
      </c>
      <c r="AZ1751">
        <f>IF('19_Расчет_аналитики'!AZ1729=0,0,'19_Расчет_аналитики'!AZ1750/'19_Расчет_аналитики'!AZ1729)</f>
        <v/>
      </c>
      <c r="BA1751">
        <f>IF('19_Расчет_аналитики'!BA1729=0,0,'19_Расчет_аналитики'!BA1750/'19_Расчет_аналитики'!BA1729)</f>
        <v/>
      </c>
      <c r="BB1751">
        <f>IF('19_Расчет_аналитики'!BB1729=0,0,'19_Расчет_аналитики'!BB1750/'19_Расчет_аналитики'!BB1729)</f>
        <v/>
      </c>
      <c r="BC1751">
        <f>IF('19_Расчет_аналитики'!BC1729=0,0,'19_Расчет_аналитики'!BC1750/'19_Расчет_аналитики'!BC1729)</f>
        <v/>
      </c>
      <c r="BD1751">
        <f>IF('19_Расчет_аналитики'!BD1729=0,0,'19_Расчет_аналитики'!BD1750/'19_Расчет_аналитики'!BD1729)</f>
        <v/>
      </c>
      <c r="BE1751">
        <f>IF('19_Расчет_аналитики'!BE1729=0,0,'19_Расчет_аналитики'!BE1750/'19_Расчет_аналитики'!BE1729)</f>
        <v/>
      </c>
      <c r="BF1751">
        <f>IF('19_Расчет_аналитики'!BF1729=0,0,'19_Расчет_аналитики'!BF1750/'19_Расчет_аналитики'!BF1729)</f>
        <v/>
      </c>
      <c r="BG1751">
        <f>IF('19_Расчет_аналитики'!BG1729=0,0,'19_Расчет_аналитики'!BG1750/'19_Расчет_аналитики'!BG1729)</f>
        <v/>
      </c>
      <c r="BH1751">
        <f>IF('19_Расчет_аналитики'!BH1729=0,0,'19_Расчет_аналитики'!BH1750/'19_Расчет_аналитики'!BH1729)</f>
        <v/>
      </c>
      <c r="BI1751">
        <f>IF('19_Расчет_аналитики'!BI1729=0,0,'19_Расчет_аналитики'!BI1750/'19_Расчет_аналитики'!BI1729)</f>
        <v/>
      </c>
    </row>
    <row r="1752">
      <c r="B1752">
        <f>MAX('01_Вводные'!$B$157*'19_Расчет_аналитики'!B1729,'01_Вводные'!$B$156*MAX(0,'19_Расчет_аналитики'!B1750))</f>
        <v/>
      </c>
      <c r="C1752">
        <f>MAX('01_Вводные'!$B$157*'19_Расчет_аналитики'!C1729,'01_Вводные'!$B$156*MAX(0,'19_Расчет_аналитики'!C1750))</f>
        <v/>
      </c>
      <c r="D1752">
        <f>MAX('01_Вводные'!$B$157*'19_Расчет_аналитики'!D1729,'01_Вводные'!$B$156*MAX(0,'19_Расчет_аналитики'!D1750))</f>
        <v/>
      </c>
      <c r="E1752">
        <f>MAX('01_Вводные'!$B$157*'19_Расчет_аналитики'!E1729,'01_Вводные'!$B$156*MAX(0,'19_Расчет_аналитики'!E1750))</f>
        <v/>
      </c>
      <c r="F1752">
        <f>MAX('01_Вводные'!$B$157*'19_Расчет_аналитики'!F1729,'01_Вводные'!$B$156*MAX(0,'19_Расчет_аналитики'!F1750))</f>
        <v/>
      </c>
      <c r="G1752">
        <f>MAX('01_Вводные'!$B$157*'19_Расчет_аналитики'!G1729,'01_Вводные'!$B$156*MAX(0,'19_Расчет_аналитики'!G1750))</f>
        <v/>
      </c>
      <c r="H1752">
        <f>MAX('01_Вводные'!$B$157*'19_Расчет_аналитики'!H1729,'01_Вводные'!$B$156*MAX(0,'19_Расчет_аналитики'!H1750))</f>
        <v/>
      </c>
      <c r="I1752">
        <f>MAX('01_Вводные'!$B$157*'19_Расчет_аналитики'!I1729,'01_Вводные'!$B$156*MAX(0,'19_Расчет_аналитики'!I1750))</f>
        <v/>
      </c>
      <c r="J1752">
        <f>MAX('01_Вводные'!$B$157*'19_Расчет_аналитики'!J1729,'01_Вводные'!$B$156*MAX(0,'19_Расчет_аналитики'!J1750))</f>
        <v/>
      </c>
      <c r="K1752">
        <f>MAX('01_Вводные'!$B$157*'19_Расчет_аналитики'!K1729,'01_Вводные'!$B$156*MAX(0,'19_Расчет_аналитики'!K1750))</f>
        <v/>
      </c>
      <c r="L1752">
        <f>MAX('01_Вводные'!$B$157*'19_Расчет_аналитики'!L1729,'01_Вводные'!$B$156*MAX(0,'19_Расчет_аналитики'!L1750))</f>
        <v/>
      </c>
      <c r="M1752">
        <f>MAX('01_Вводные'!$B$157*'19_Расчет_аналитики'!M1729,'01_Вводные'!$B$156*MAX(0,'19_Расчет_аналитики'!M1750))</f>
        <v/>
      </c>
      <c r="N1752">
        <f>MAX('01_Вводные'!$B$157*'19_Расчет_аналитики'!N1729,'01_Вводные'!$B$156*MAX(0,'19_Расчет_аналитики'!N1750))</f>
        <v/>
      </c>
      <c r="O1752">
        <f>MAX('01_Вводные'!$B$157*'19_Расчет_аналитики'!O1729,'01_Вводные'!$B$156*MAX(0,'19_Расчет_аналитики'!O1750))</f>
        <v/>
      </c>
      <c r="P1752">
        <f>MAX('01_Вводные'!$B$157*'19_Расчет_аналитики'!P1729,'01_Вводные'!$B$156*MAX(0,'19_Расчет_аналитики'!P1750))</f>
        <v/>
      </c>
      <c r="Q1752">
        <f>MAX('01_Вводные'!$B$157*'19_Расчет_аналитики'!Q1729,'01_Вводные'!$B$156*MAX(0,'19_Расчет_аналитики'!Q1750))</f>
        <v/>
      </c>
      <c r="R1752">
        <f>MAX('01_Вводные'!$B$157*'19_Расчет_аналитики'!R1729,'01_Вводные'!$B$156*MAX(0,'19_Расчет_аналитики'!R1750))</f>
        <v/>
      </c>
      <c r="S1752">
        <f>MAX('01_Вводные'!$B$157*'19_Расчет_аналитики'!S1729,'01_Вводные'!$B$156*MAX(0,'19_Расчет_аналитики'!S1750))</f>
        <v/>
      </c>
      <c r="T1752">
        <f>MAX('01_Вводные'!$B$157*'19_Расчет_аналитики'!T1729,'01_Вводные'!$B$156*MAX(0,'19_Расчет_аналитики'!T1750))</f>
        <v/>
      </c>
      <c r="U1752">
        <f>MAX('01_Вводные'!$B$157*'19_Расчет_аналитики'!U1729,'01_Вводные'!$B$156*MAX(0,'19_Расчет_аналитики'!U1750))</f>
        <v/>
      </c>
      <c r="V1752">
        <f>MAX('01_Вводные'!$B$157*'19_Расчет_аналитики'!V1729,'01_Вводные'!$B$156*MAX(0,'19_Расчет_аналитики'!V1750))</f>
        <v/>
      </c>
      <c r="W1752">
        <f>MAX('01_Вводные'!$B$157*'19_Расчет_аналитики'!W1729,'01_Вводные'!$B$156*MAX(0,'19_Расчет_аналитики'!W1750))</f>
        <v/>
      </c>
      <c r="X1752">
        <f>MAX('01_Вводные'!$B$157*'19_Расчет_аналитики'!X1729,'01_Вводные'!$B$156*MAX(0,'19_Расчет_аналитики'!X1750))</f>
        <v/>
      </c>
      <c r="Y1752">
        <f>MAX('01_Вводные'!$B$157*'19_Расчет_аналитики'!Y1729,'01_Вводные'!$B$156*MAX(0,'19_Расчет_аналитики'!Y1750))</f>
        <v/>
      </c>
      <c r="Z1752">
        <f>MAX('01_Вводные'!$B$157*'19_Расчет_аналитики'!Z1729,'01_Вводные'!$B$156*MAX(0,'19_Расчет_аналитики'!Z1750))</f>
        <v/>
      </c>
      <c r="AA1752">
        <f>MAX('01_Вводные'!$B$157*'19_Расчет_аналитики'!AA1729,'01_Вводные'!$B$156*MAX(0,'19_Расчет_аналитики'!AA1750))</f>
        <v/>
      </c>
      <c r="AB1752">
        <f>MAX('01_Вводные'!$B$157*'19_Расчет_аналитики'!AB1729,'01_Вводные'!$B$156*MAX(0,'19_Расчет_аналитики'!AB1750))</f>
        <v/>
      </c>
      <c r="AC1752">
        <f>MAX('01_Вводные'!$B$157*'19_Расчет_аналитики'!AC1729,'01_Вводные'!$B$156*MAX(0,'19_Расчет_аналитики'!AC1750))</f>
        <v/>
      </c>
      <c r="AD1752">
        <f>MAX('01_Вводные'!$B$157*'19_Расчет_аналитики'!AD1729,'01_Вводные'!$B$156*MAX(0,'19_Расчет_аналитики'!AD1750))</f>
        <v/>
      </c>
      <c r="AE1752">
        <f>MAX('01_Вводные'!$B$157*'19_Расчет_аналитики'!AE1729,'01_Вводные'!$B$156*MAX(0,'19_Расчет_аналитики'!AE1750))</f>
        <v/>
      </c>
      <c r="AF1752">
        <f>MAX('01_Вводные'!$B$157*'19_Расчет_аналитики'!AF1729,'01_Вводные'!$B$156*MAX(0,'19_Расчет_аналитики'!AF1750))</f>
        <v/>
      </c>
      <c r="AG1752">
        <f>MAX('01_Вводные'!$B$157*'19_Расчет_аналитики'!AG1729,'01_Вводные'!$B$156*MAX(0,'19_Расчет_аналитики'!AG1750))</f>
        <v/>
      </c>
      <c r="AH1752">
        <f>MAX('01_Вводные'!$B$157*'19_Расчет_аналитики'!AH1729,'01_Вводные'!$B$156*MAX(0,'19_Расчет_аналитики'!AH1750))</f>
        <v/>
      </c>
      <c r="AI1752">
        <f>MAX('01_Вводные'!$B$157*'19_Расчет_аналитики'!AI1729,'01_Вводные'!$B$156*MAX(0,'19_Расчет_аналитики'!AI1750))</f>
        <v/>
      </c>
      <c r="AJ1752">
        <f>MAX('01_Вводные'!$B$157*'19_Расчет_аналитики'!AJ1729,'01_Вводные'!$B$156*MAX(0,'19_Расчет_аналитики'!AJ1750))</f>
        <v/>
      </c>
      <c r="AK1752">
        <f>MAX('01_Вводные'!$B$157*'19_Расчет_аналитики'!AK1729,'01_Вводные'!$B$156*MAX(0,'19_Расчет_аналитики'!AK1750))</f>
        <v/>
      </c>
      <c r="AL1752">
        <f>MAX('01_Вводные'!$B$157*'19_Расчет_аналитики'!AL1729,'01_Вводные'!$B$156*MAX(0,'19_Расчет_аналитики'!AL1750))</f>
        <v/>
      </c>
      <c r="AM1752">
        <f>MAX('01_Вводные'!$B$157*'19_Расчет_аналитики'!AM1729,'01_Вводные'!$B$156*MAX(0,'19_Расчет_аналитики'!AM1750))</f>
        <v/>
      </c>
      <c r="AN1752">
        <f>MAX('01_Вводные'!$B$157*'19_Расчет_аналитики'!AN1729,'01_Вводные'!$B$156*MAX(0,'19_Расчет_аналитики'!AN1750))</f>
        <v/>
      </c>
      <c r="AO1752">
        <f>MAX('01_Вводные'!$B$157*'19_Расчет_аналитики'!AO1729,'01_Вводные'!$B$156*MAX(0,'19_Расчет_аналитики'!AO1750))</f>
        <v/>
      </c>
      <c r="AP1752">
        <f>MAX('01_Вводные'!$B$157*'19_Расчет_аналитики'!AP1729,'01_Вводные'!$B$156*MAX(0,'19_Расчет_аналитики'!AP1750))</f>
        <v/>
      </c>
      <c r="AQ1752">
        <f>MAX('01_Вводные'!$B$157*'19_Расчет_аналитики'!AQ1729,'01_Вводные'!$B$156*MAX(0,'19_Расчет_аналитики'!AQ1750))</f>
        <v/>
      </c>
      <c r="AR1752">
        <f>MAX('01_Вводные'!$B$157*'19_Расчет_аналитики'!AR1729,'01_Вводные'!$B$156*MAX(0,'19_Расчет_аналитики'!AR1750))</f>
        <v/>
      </c>
      <c r="AS1752">
        <f>MAX('01_Вводные'!$B$157*'19_Расчет_аналитики'!AS1729,'01_Вводные'!$B$156*MAX(0,'19_Расчет_аналитики'!AS1750))</f>
        <v/>
      </c>
      <c r="AT1752">
        <f>MAX('01_Вводные'!$B$157*'19_Расчет_аналитики'!AT1729,'01_Вводные'!$B$156*MAX(0,'19_Расчет_аналитики'!AT1750))</f>
        <v/>
      </c>
      <c r="AU1752">
        <f>MAX('01_Вводные'!$B$157*'19_Расчет_аналитики'!AU1729,'01_Вводные'!$B$156*MAX(0,'19_Расчет_аналитики'!AU1750))</f>
        <v/>
      </c>
      <c r="AV1752">
        <f>MAX('01_Вводные'!$B$157*'19_Расчет_аналитики'!AV1729,'01_Вводные'!$B$156*MAX(0,'19_Расчет_аналитики'!AV1750))</f>
        <v/>
      </c>
      <c r="AW1752">
        <f>MAX('01_Вводные'!$B$157*'19_Расчет_аналитики'!AW1729,'01_Вводные'!$B$156*MAX(0,'19_Расчет_аналитики'!AW1750))</f>
        <v/>
      </c>
      <c r="AX1752">
        <f>MAX('01_Вводные'!$B$157*'19_Расчет_аналитики'!AX1729,'01_Вводные'!$B$156*MAX(0,'19_Расчет_аналитики'!AX1750))</f>
        <v/>
      </c>
      <c r="AY1752">
        <f>MAX('01_Вводные'!$B$157*'19_Расчет_аналитики'!AY1729,'01_Вводные'!$B$156*MAX(0,'19_Расчет_аналитики'!AY1750))</f>
        <v/>
      </c>
      <c r="AZ1752">
        <f>MAX('01_Вводные'!$B$157*'19_Расчет_аналитики'!AZ1729,'01_Вводные'!$B$156*MAX(0,'19_Расчет_аналитики'!AZ1750))</f>
        <v/>
      </c>
      <c r="BA1752">
        <f>MAX('01_Вводные'!$B$157*'19_Расчет_аналитики'!BA1729,'01_Вводные'!$B$156*MAX(0,'19_Расчет_аналитики'!BA1750))</f>
        <v/>
      </c>
      <c r="BB1752">
        <f>MAX('01_Вводные'!$B$157*'19_Расчет_аналитики'!BB1729,'01_Вводные'!$B$156*MAX(0,'19_Расчет_аналитики'!BB1750))</f>
        <v/>
      </c>
      <c r="BC1752">
        <f>MAX('01_Вводные'!$B$157*'19_Расчет_аналитики'!BC1729,'01_Вводные'!$B$156*MAX(0,'19_Расчет_аналитики'!BC1750))</f>
        <v/>
      </c>
      <c r="BD1752">
        <f>MAX('01_Вводные'!$B$157*'19_Расчет_аналитики'!BD1729,'01_Вводные'!$B$156*MAX(0,'19_Расчет_аналитики'!BD1750))</f>
        <v/>
      </c>
      <c r="BE1752">
        <f>MAX('01_Вводные'!$B$157*'19_Расчет_аналитики'!BE1729,'01_Вводные'!$B$156*MAX(0,'19_Расчет_аналитики'!BE1750))</f>
        <v/>
      </c>
      <c r="BF1752">
        <f>MAX('01_Вводные'!$B$157*'19_Расчет_аналитики'!BF1729,'01_Вводные'!$B$156*MAX(0,'19_Расчет_аналитики'!BF1750))</f>
        <v/>
      </c>
      <c r="BG1752">
        <f>MAX('01_Вводные'!$B$157*'19_Расчет_аналитики'!BG1729,'01_Вводные'!$B$156*MAX(0,'19_Расчет_аналитики'!BG1750))</f>
        <v/>
      </c>
      <c r="BH1752">
        <f>MAX('01_Вводные'!$B$157*'19_Расчет_аналитики'!BH1729,'01_Вводные'!$B$156*MAX(0,'19_Расчет_аналитики'!BH1750))</f>
        <v/>
      </c>
      <c r="BI1752">
        <f>MAX('01_Вводные'!$B$157*'19_Расчет_аналитики'!BI1729,'01_Вводные'!$B$156*MAX(0,'19_Расчет_аналитики'!BI1750))</f>
        <v/>
      </c>
    </row>
    <row r="1753">
      <c r="B1753">
        <f>'19_Расчет_аналитики'!B1750-'19_Расчет_аналитики'!B1752</f>
        <v/>
      </c>
      <c r="C1753">
        <f>'19_Расчет_аналитики'!C1750-'19_Расчет_аналитики'!C1752</f>
        <v/>
      </c>
      <c r="D1753">
        <f>'19_Расчет_аналитики'!D1750-'19_Расчет_аналитики'!D1752</f>
        <v/>
      </c>
      <c r="E1753">
        <f>'19_Расчет_аналитики'!E1750-'19_Расчет_аналитики'!E1752</f>
        <v/>
      </c>
      <c r="F1753">
        <f>'19_Расчет_аналитики'!F1750-'19_Расчет_аналитики'!F1752</f>
        <v/>
      </c>
      <c r="G1753">
        <f>'19_Расчет_аналитики'!G1750-'19_Расчет_аналитики'!G1752</f>
        <v/>
      </c>
      <c r="H1753">
        <f>'19_Расчет_аналитики'!H1750-'19_Расчет_аналитики'!H1752</f>
        <v/>
      </c>
      <c r="I1753">
        <f>'19_Расчет_аналитики'!I1750-'19_Расчет_аналитики'!I1752</f>
        <v/>
      </c>
      <c r="J1753">
        <f>'19_Расчет_аналитики'!J1750-'19_Расчет_аналитики'!J1752</f>
        <v/>
      </c>
      <c r="K1753">
        <f>'19_Расчет_аналитики'!K1750-'19_Расчет_аналитики'!K1752</f>
        <v/>
      </c>
      <c r="L1753">
        <f>'19_Расчет_аналитики'!L1750-'19_Расчет_аналитики'!L1752</f>
        <v/>
      </c>
      <c r="M1753">
        <f>'19_Расчет_аналитики'!M1750-'19_Расчет_аналитики'!M1752</f>
        <v/>
      </c>
      <c r="N1753">
        <f>'19_Расчет_аналитики'!N1750-'19_Расчет_аналитики'!N1752</f>
        <v/>
      </c>
      <c r="O1753">
        <f>'19_Расчет_аналитики'!O1750-'19_Расчет_аналитики'!O1752</f>
        <v/>
      </c>
      <c r="P1753">
        <f>'19_Расчет_аналитики'!P1750-'19_Расчет_аналитики'!P1752</f>
        <v/>
      </c>
      <c r="Q1753">
        <f>'19_Расчет_аналитики'!Q1750-'19_Расчет_аналитики'!Q1752</f>
        <v/>
      </c>
      <c r="R1753">
        <f>'19_Расчет_аналитики'!R1750-'19_Расчет_аналитики'!R1752</f>
        <v/>
      </c>
      <c r="S1753">
        <f>'19_Расчет_аналитики'!S1750-'19_Расчет_аналитики'!S1752</f>
        <v/>
      </c>
      <c r="T1753">
        <f>'19_Расчет_аналитики'!T1750-'19_Расчет_аналитики'!T1752</f>
        <v/>
      </c>
      <c r="U1753">
        <f>'19_Расчет_аналитики'!U1750-'19_Расчет_аналитики'!U1752</f>
        <v/>
      </c>
      <c r="V1753">
        <f>'19_Расчет_аналитики'!V1750-'19_Расчет_аналитики'!V1752</f>
        <v/>
      </c>
      <c r="W1753">
        <f>'19_Расчет_аналитики'!W1750-'19_Расчет_аналитики'!W1752</f>
        <v/>
      </c>
      <c r="X1753">
        <f>'19_Расчет_аналитики'!X1750-'19_Расчет_аналитики'!X1752</f>
        <v/>
      </c>
      <c r="Y1753">
        <f>'19_Расчет_аналитики'!Y1750-'19_Расчет_аналитики'!Y1752</f>
        <v/>
      </c>
      <c r="Z1753">
        <f>'19_Расчет_аналитики'!Z1750-'19_Расчет_аналитики'!Z1752</f>
        <v/>
      </c>
      <c r="AA1753">
        <f>'19_Расчет_аналитики'!AA1750-'19_Расчет_аналитики'!AA1752</f>
        <v/>
      </c>
      <c r="AB1753">
        <f>'19_Расчет_аналитики'!AB1750-'19_Расчет_аналитики'!AB1752</f>
        <v/>
      </c>
      <c r="AC1753">
        <f>'19_Расчет_аналитики'!AC1750-'19_Расчет_аналитики'!AC1752</f>
        <v/>
      </c>
      <c r="AD1753">
        <f>'19_Расчет_аналитики'!AD1750-'19_Расчет_аналитики'!AD1752</f>
        <v/>
      </c>
      <c r="AE1753">
        <f>'19_Расчет_аналитики'!AE1750-'19_Расчет_аналитики'!AE1752</f>
        <v/>
      </c>
      <c r="AF1753">
        <f>'19_Расчет_аналитики'!AF1750-'19_Расчет_аналитики'!AF1752</f>
        <v/>
      </c>
      <c r="AG1753">
        <f>'19_Расчет_аналитики'!AG1750-'19_Расчет_аналитики'!AG1752</f>
        <v/>
      </c>
      <c r="AH1753">
        <f>'19_Расчет_аналитики'!AH1750-'19_Расчет_аналитики'!AH1752</f>
        <v/>
      </c>
      <c r="AI1753">
        <f>'19_Расчет_аналитики'!AI1750-'19_Расчет_аналитики'!AI1752</f>
        <v/>
      </c>
      <c r="AJ1753">
        <f>'19_Расчет_аналитики'!AJ1750-'19_Расчет_аналитики'!AJ1752</f>
        <v/>
      </c>
      <c r="AK1753">
        <f>'19_Расчет_аналитики'!AK1750-'19_Расчет_аналитики'!AK1752</f>
        <v/>
      </c>
      <c r="AL1753">
        <f>'19_Расчет_аналитики'!AL1750-'19_Расчет_аналитики'!AL1752</f>
        <v/>
      </c>
      <c r="AM1753">
        <f>'19_Расчет_аналитики'!AM1750-'19_Расчет_аналитики'!AM1752</f>
        <v/>
      </c>
      <c r="AN1753">
        <f>'19_Расчет_аналитики'!AN1750-'19_Расчет_аналитики'!AN1752</f>
        <v/>
      </c>
      <c r="AO1753">
        <f>'19_Расчет_аналитики'!AO1750-'19_Расчет_аналитики'!AO1752</f>
        <v/>
      </c>
      <c r="AP1753">
        <f>'19_Расчет_аналитики'!AP1750-'19_Расчет_аналитики'!AP1752</f>
        <v/>
      </c>
      <c r="AQ1753">
        <f>'19_Расчет_аналитики'!AQ1750-'19_Расчет_аналитики'!AQ1752</f>
        <v/>
      </c>
      <c r="AR1753">
        <f>'19_Расчет_аналитики'!AR1750-'19_Расчет_аналитики'!AR1752</f>
        <v/>
      </c>
      <c r="AS1753">
        <f>'19_Расчет_аналитики'!AS1750-'19_Расчет_аналитики'!AS1752</f>
        <v/>
      </c>
      <c r="AT1753">
        <f>'19_Расчет_аналитики'!AT1750-'19_Расчет_аналитики'!AT1752</f>
        <v/>
      </c>
      <c r="AU1753">
        <f>'19_Расчет_аналитики'!AU1750-'19_Расчет_аналитики'!AU1752</f>
        <v/>
      </c>
      <c r="AV1753">
        <f>'19_Расчет_аналитики'!AV1750-'19_Расчет_аналитики'!AV1752</f>
        <v/>
      </c>
      <c r="AW1753">
        <f>'19_Расчет_аналитики'!AW1750-'19_Расчет_аналитики'!AW1752</f>
        <v/>
      </c>
      <c r="AX1753">
        <f>'19_Расчет_аналитики'!AX1750-'19_Расчет_аналитики'!AX1752</f>
        <v/>
      </c>
      <c r="AY1753">
        <f>'19_Расчет_аналитики'!AY1750-'19_Расчет_аналитики'!AY1752</f>
        <v/>
      </c>
      <c r="AZ1753">
        <f>'19_Расчет_аналитики'!AZ1750-'19_Расчет_аналитики'!AZ1752</f>
        <v/>
      </c>
      <c r="BA1753">
        <f>'19_Расчет_аналитики'!BA1750-'19_Расчет_аналитики'!BA1752</f>
        <v/>
      </c>
      <c r="BB1753">
        <f>'19_Расчет_аналитики'!BB1750-'19_Расчет_аналитики'!BB1752</f>
        <v/>
      </c>
      <c r="BC1753">
        <f>'19_Расчет_аналитики'!BC1750-'19_Расчет_аналитики'!BC1752</f>
        <v/>
      </c>
      <c r="BD1753">
        <f>'19_Расчет_аналитики'!BD1750-'19_Расчет_аналитики'!BD1752</f>
        <v/>
      </c>
      <c r="BE1753">
        <f>'19_Расчет_аналитики'!BE1750-'19_Расчет_аналитики'!BE1752</f>
        <v/>
      </c>
      <c r="BF1753">
        <f>'19_Расчет_аналитики'!BF1750-'19_Расчет_аналитики'!BF1752</f>
        <v/>
      </c>
      <c r="BG1753">
        <f>'19_Расчет_аналитики'!BG1750-'19_Расчет_аналитики'!BG1752</f>
        <v/>
      </c>
      <c r="BH1753">
        <f>'19_Расчет_аналитики'!BH1750-'19_Расчет_аналитики'!BH1752</f>
        <v/>
      </c>
      <c r="BI1753">
        <f>'19_Расчет_аналитики'!BI1750-'19_Расчет_аналитики'!BI1752</f>
        <v/>
      </c>
    </row>
    <row r="1754"/>
    <row r="1755"/>
    <row r="1756"/>
    <row r="1757">
      <c r="C1757">
        <f>'19_Расчет_аналитики'!B1778</f>
        <v/>
      </c>
      <c r="D1757">
        <f>'19_Расчет_аналитики'!C1778</f>
        <v/>
      </c>
      <c r="E1757">
        <f>'19_Расчет_аналитики'!D1778</f>
        <v/>
      </c>
      <c r="F1757">
        <f>'19_Расчет_аналитики'!E1778</f>
        <v/>
      </c>
      <c r="G1757">
        <f>'19_Расчет_аналитики'!F1778</f>
        <v/>
      </c>
      <c r="H1757">
        <f>'19_Расчет_аналитики'!G1778</f>
        <v/>
      </c>
      <c r="I1757">
        <f>'19_Расчет_аналитики'!H1778</f>
        <v/>
      </c>
      <c r="J1757">
        <f>'19_Расчет_аналитики'!I1778</f>
        <v/>
      </c>
      <c r="K1757">
        <f>'19_Расчет_аналитики'!J1778</f>
        <v/>
      </c>
      <c r="L1757">
        <f>'19_Расчет_аналитики'!K1778</f>
        <v/>
      </c>
      <c r="M1757">
        <f>'19_Расчет_аналитики'!L1778</f>
        <v/>
      </c>
      <c r="N1757">
        <f>'19_Расчет_аналитики'!M1778</f>
        <v/>
      </c>
      <c r="O1757">
        <f>'19_Расчет_аналитики'!N1778</f>
        <v/>
      </c>
      <c r="P1757">
        <f>'19_Расчет_аналитики'!O1778</f>
        <v/>
      </c>
      <c r="Q1757">
        <f>'19_Расчет_аналитики'!P1778</f>
        <v/>
      </c>
      <c r="R1757">
        <f>'19_Расчет_аналитики'!Q1778</f>
        <v/>
      </c>
      <c r="S1757">
        <f>'19_Расчет_аналитики'!R1778</f>
        <v/>
      </c>
      <c r="T1757">
        <f>'19_Расчет_аналитики'!S1778</f>
        <v/>
      </c>
      <c r="U1757">
        <f>'19_Расчет_аналитики'!T1778</f>
        <v/>
      </c>
      <c r="V1757">
        <f>'19_Расчет_аналитики'!U1778</f>
        <v/>
      </c>
      <c r="W1757">
        <f>'19_Расчет_аналитики'!V1778</f>
        <v/>
      </c>
      <c r="X1757">
        <f>'19_Расчет_аналитики'!W1778</f>
        <v/>
      </c>
      <c r="Y1757">
        <f>'19_Расчет_аналитики'!X1778</f>
        <v/>
      </c>
      <c r="Z1757">
        <f>'19_Расчет_аналитики'!Y1778</f>
        <v/>
      </c>
      <c r="AA1757">
        <f>'19_Расчет_аналитики'!Z1778</f>
        <v/>
      </c>
      <c r="AB1757">
        <f>'19_Расчет_аналитики'!AA1778</f>
        <v/>
      </c>
      <c r="AC1757">
        <f>'19_Расчет_аналитики'!AB1778</f>
        <v/>
      </c>
      <c r="AD1757">
        <f>'19_Расчет_аналитики'!AC1778</f>
        <v/>
      </c>
      <c r="AE1757">
        <f>'19_Расчет_аналитики'!AD1778</f>
        <v/>
      </c>
      <c r="AF1757">
        <f>'19_Расчет_аналитики'!AE1778</f>
        <v/>
      </c>
      <c r="AG1757">
        <f>'19_Расчет_аналитики'!AF1778</f>
        <v/>
      </c>
      <c r="AH1757">
        <f>'19_Расчет_аналитики'!AG1778</f>
        <v/>
      </c>
      <c r="AI1757">
        <f>'19_Расчет_аналитики'!AH1778</f>
        <v/>
      </c>
      <c r="AJ1757">
        <f>'19_Расчет_аналитики'!AI1778</f>
        <v/>
      </c>
      <c r="AK1757">
        <f>'19_Расчет_аналитики'!AJ1778</f>
        <v/>
      </c>
      <c r="AL1757">
        <f>'19_Расчет_аналитики'!AK1778</f>
        <v/>
      </c>
      <c r="AM1757">
        <f>'19_Расчет_аналитики'!AL1778</f>
        <v/>
      </c>
      <c r="AN1757">
        <f>'19_Расчет_аналитики'!AM1778</f>
        <v/>
      </c>
      <c r="AO1757">
        <f>'19_Расчет_аналитики'!AN1778</f>
        <v/>
      </c>
      <c r="AP1757">
        <f>'19_Расчет_аналитики'!AO1778</f>
        <v/>
      </c>
      <c r="AQ1757">
        <f>'19_Расчет_аналитики'!AP1778</f>
        <v/>
      </c>
      <c r="AR1757">
        <f>'19_Расчет_аналитики'!AQ1778</f>
        <v/>
      </c>
      <c r="AS1757">
        <f>'19_Расчет_аналитики'!AR1778</f>
        <v/>
      </c>
      <c r="AT1757">
        <f>'19_Расчет_аналитики'!AS1778</f>
        <v/>
      </c>
      <c r="AU1757">
        <f>'19_Расчет_аналитики'!AT1778</f>
        <v/>
      </c>
      <c r="AV1757">
        <f>'19_Расчет_аналитики'!AU1778</f>
        <v/>
      </c>
      <c r="AW1757">
        <f>'19_Расчет_аналитики'!AV1778</f>
        <v/>
      </c>
      <c r="AX1757">
        <f>'19_Расчет_аналитики'!AW1778</f>
        <v/>
      </c>
      <c r="AY1757">
        <f>'19_Расчет_аналитики'!AX1778</f>
        <v/>
      </c>
      <c r="AZ1757">
        <f>'19_Расчет_аналитики'!AY1778</f>
        <v/>
      </c>
      <c r="BA1757">
        <f>'19_Расчет_аналитики'!AZ1778</f>
        <v/>
      </c>
      <c r="BB1757">
        <f>'19_Расчет_аналитики'!BA1778</f>
        <v/>
      </c>
      <c r="BC1757">
        <f>'19_Расчет_аналитики'!BB1778</f>
        <v/>
      </c>
      <c r="BD1757">
        <f>'19_Расчет_аналитики'!BC1778</f>
        <v/>
      </c>
      <c r="BE1757">
        <f>'19_Расчет_аналитики'!BD1778</f>
        <v/>
      </c>
      <c r="BF1757">
        <f>'19_Расчет_аналитики'!BE1778</f>
        <v/>
      </c>
      <c r="BG1757">
        <f>'19_Расчет_аналитики'!BF1778</f>
        <v/>
      </c>
      <c r="BH1757">
        <f>'19_Расчет_аналитики'!BG1778</f>
        <v/>
      </c>
      <c r="BI1757">
        <f>'19_Расчет_аналитики'!BH1778</f>
        <v/>
      </c>
    </row>
    <row r="1758">
      <c r="B1758">
        <f>'02_Модель'!B52</f>
        <v/>
      </c>
      <c r="C1758">
        <f>'19_Расчет_аналитики'!C1360</f>
        <v/>
      </c>
      <c r="D1758">
        <f>'19_Расчет_аналитики'!D1360</f>
        <v/>
      </c>
      <c r="E1758">
        <f>'19_Расчет_аналитики'!E1360</f>
        <v/>
      </c>
      <c r="F1758">
        <f>'19_Расчет_аналитики'!F1360</f>
        <v/>
      </c>
      <c r="G1758">
        <f>'19_Расчет_аналитики'!G1360</f>
        <v/>
      </c>
      <c r="H1758">
        <f>'19_Расчет_аналитики'!H1360</f>
        <v/>
      </c>
      <c r="I1758">
        <f>'19_Расчет_аналитики'!I1360</f>
        <v/>
      </c>
      <c r="J1758">
        <f>'19_Расчет_аналитики'!J1360</f>
        <v/>
      </c>
      <c r="K1758">
        <f>'19_Расчет_аналитики'!K1360</f>
        <v/>
      </c>
      <c r="L1758">
        <f>'19_Расчет_аналитики'!L1360</f>
        <v/>
      </c>
      <c r="M1758">
        <f>'19_Расчет_аналитики'!M1360</f>
        <v/>
      </c>
      <c r="N1758">
        <f>'19_Расчет_аналитики'!N1360</f>
        <v/>
      </c>
      <c r="O1758">
        <f>'19_Расчет_аналитики'!O1360</f>
        <v/>
      </c>
      <c r="P1758">
        <f>'19_Расчет_аналитики'!P1360</f>
        <v/>
      </c>
      <c r="Q1758">
        <f>'19_Расчет_аналитики'!Q1360</f>
        <v/>
      </c>
      <c r="R1758">
        <f>'19_Расчет_аналитики'!R1360</f>
        <v/>
      </c>
      <c r="S1758">
        <f>'19_Расчет_аналитики'!S1360</f>
        <v/>
      </c>
      <c r="T1758">
        <f>'19_Расчет_аналитики'!T1360</f>
        <v/>
      </c>
      <c r="U1758">
        <f>'19_Расчет_аналитики'!U1360</f>
        <v/>
      </c>
      <c r="V1758">
        <f>'19_Расчет_аналитики'!V1360</f>
        <v/>
      </c>
      <c r="W1758">
        <f>'19_Расчет_аналитики'!W1360</f>
        <v/>
      </c>
      <c r="X1758">
        <f>'19_Расчет_аналитики'!X1360</f>
        <v/>
      </c>
      <c r="Y1758">
        <f>'19_Расчет_аналитики'!Y1360</f>
        <v/>
      </c>
      <c r="Z1758">
        <f>'19_Расчет_аналитики'!Z1360</f>
        <v/>
      </c>
      <c r="AA1758">
        <f>'19_Расчет_аналитики'!AA1360</f>
        <v/>
      </c>
      <c r="AB1758">
        <f>'19_Расчет_аналитики'!AB1360</f>
        <v/>
      </c>
      <c r="AC1758">
        <f>'19_Расчет_аналитики'!AC1360</f>
        <v/>
      </c>
      <c r="AD1758">
        <f>'19_Расчет_аналитики'!AD1360</f>
        <v/>
      </c>
      <c r="AE1758">
        <f>'19_Расчет_аналитики'!AE1360</f>
        <v/>
      </c>
      <c r="AF1758">
        <f>'19_Расчет_аналитики'!AF1360</f>
        <v/>
      </c>
      <c r="AG1758">
        <f>'19_Расчет_аналитики'!AG1360</f>
        <v/>
      </c>
      <c r="AH1758">
        <f>'19_Расчет_аналитики'!AH1360</f>
        <v/>
      </c>
      <c r="AI1758">
        <f>'19_Расчет_аналитики'!AI1360</f>
        <v/>
      </c>
      <c r="AJ1758">
        <f>'19_Расчет_аналитики'!AJ1360</f>
        <v/>
      </c>
      <c r="AK1758">
        <f>'19_Расчет_аналитики'!AK1360</f>
        <v/>
      </c>
      <c r="AL1758">
        <f>'19_Расчет_аналитики'!AL1360</f>
        <v/>
      </c>
      <c r="AM1758">
        <f>'19_Расчет_аналитики'!AM1360</f>
        <v/>
      </c>
      <c r="AN1758">
        <f>'19_Расчет_аналитики'!AN1360</f>
        <v/>
      </c>
      <c r="AO1758">
        <f>'19_Расчет_аналитики'!AO1360</f>
        <v/>
      </c>
      <c r="AP1758">
        <f>'19_Расчет_аналитики'!AP1360</f>
        <v/>
      </c>
      <c r="AQ1758">
        <f>'19_Расчет_аналитики'!AQ1360</f>
        <v/>
      </c>
      <c r="AR1758">
        <f>'19_Расчет_аналитики'!AR1360</f>
        <v/>
      </c>
      <c r="AS1758">
        <f>'19_Расчет_аналитики'!AS1360</f>
        <v/>
      </c>
      <c r="AT1758">
        <f>'19_Расчет_аналитики'!AT1360</f>
        <v/>
      </c>
      <c r="AU1758">
        <f>'19_Расчет_аналитики'!AU1360</f>
        <v/>
      </c>
      <c r="AV1758">
        <f>'19_Расчет_аналитики'!AV1360</f>
        <v/>
      </c>
      <c r="AW1758">
        <f>'19_Расчет_аналитики'!AW1360</f>
        <v/>
      </c>
      <c r="AX1758">
        <f>'19_Расчет_аналитики'!AX1360</f>
        <v/>
      </c>
      <c r="AY1758">
        <f>'19_Расчет_аналитики'!AY1360</f>
        <v/>
      </c>
      <c r="AZ1758">
        <f>'19_Расчет_аналитики'!AZ1360</f>
        <v/>
      </c>
      <c r="BA1758">
        <f>'19_Расчет_аналитики'!BA1360</f>
        <v/>
      </c>
      <c r="BB1758">
        <f>'19_Расчет_аналитики'!BB1360</f>
        <v/>
      </c>
      <c r="BC1758">
        <f>'19_Расчет_аналитики'!BC1360</f>
        <v/>
      </c>
      <c r="BD1758">
        <f>'19_Расчет_аналитики'!BD1360</f>
        <v/>
      </c>
      <c r="BE1758">
        <f>'19_Расчет_аналитики'!BE1360</f>
        <v/>
      </c>
      <c r="BF1758">
        <f>'19_Расчет_аналитики'!BF1360</f>
        <v/>
      </c>
      <c r="BG1758">
        <f>'19_Расчет_аналитики'!BG1360</f>
        <v/>
      </c>
      <c r="BH1758">
        <f>'19_Расчет_аналитики'!BH1360</f>
        <v/>
      </c>
      <c r="BI1758">
        <f>'19_Расчет_аналитики'!BI1360</f>
        <v/>
      </c>
    </row>
    <row r="1759">
      <c r="B1759">
        <f>'19_Расчет_аналитики'!$B$1044*('19_Расчет_аналитики'!B1725+'19_Расчет_аналитики'!B1726)*(1+'01_Вводные'!$B$58)+(1-'19_Расчет_аналитики'!$B$1044)*0</f>
        <v/>
      </c>
      <c r="C1759">
        <f>'19_Расчет_аналитики'!$B$1044*('19_Расчет_аналитики'!C1725+'19_Расчет_аналитики'!C1726)*(1+'01_Вводные'!$B$58)+(1-'19_Расчет_аналитики'!$B$1044)*('19_Расчет_аналитики'!B1725+'19_Расчет_аналитики'!B1726)*(1+'01_Вводные'!$B$58)</f>
        <v/>
      </c>
      <c r="D1759">
        <f>'19_Расчет_аналитики'!$B$1044*('19_Расчет_аналитики'!D1725+'19_Расчет_аналитики'!D1726)*(1+'01_Вводные'!$B$58)+(1-'19_Расчет_аналитики'!$B$1044)*('19_Расчет_аналитики'!C1725+'19_Расчет_аналитики'!C1726)*(1+'01_Вводные'!$B$58)</f>
        <v/>
      </c>
      <c r="E1759">
        <f>'19_Расчет_аналитики'!$B$1044*('19_Расчет_аналитики'!E1725+'19_Расчет_аналитики'!E1726)*(1+'01_Вводные'!$B$58)+(1-'19_Расчет_аналитики'!$B$1044)*('19_Расчет_аналитики'!D1725+'19_Расчет_аналитики'!D1726)*(1+'01_Вводные'!$B$58)</f>
        <v/>
      </c>
      <c r="F1759">
        <f>'19_Расчет_аналитики'!$B$1044*('19_Расчет_аналитики'!F1725+'19_Расчет_аналитики'!F1726)*(1+'01_Вводные'!$B$58)+(1-'19_Расчет_аналитики'!$B$1044)*('19_Расчет_аналитики'!E1725+'19_Расчет_аналитики'!E1726)*(1+'01_Вводные'!$B$58)</f>
        <v/>
      </c>
      <c r="G1759">
        <f>'19_Расчет_аналитики'!$B$1044*('19_Расчет_аналитики'!G1725+'19_Расчет_аналитики'!G1726)*(1+'01_Вводные'!$B$58)+(1-'19_Расчет_аналитики'!$B$1044)*('19_Расчет_аналитики'!F1725+'19_Расчет_аналитики'!F1726)*(1+'01_Вводные'!$B$58)</f>
        <v/>
      </c>
      <c r="H1759">
        <f>'19_Расчет_аналитики'!$B$1044*('19_Расчет_аналитики'!H1725+'19_Расчет_аналитики'!H1726)*(1+'01_Вводные'!$B$58)+(1-'19_Расчет_аналитики'!$B$1044)*('19_Расчет_аналитики'!G1725+'19_Расчет_аналитики'!G1726)*(1+'01_Вводные'!$B$58)</f>
        <v/>
      </c>
      <c r="I1759">
        <f>'19_Расчет_аналитики'!$B$1044*('19_Расчет_аналитики'!I1725+'19_Расчет_аналитики'!I1726)*(1+'01_Вводные'!$B$58)+(1-'19_Расчет_аналитики'!$B$1044)*('19_Расчет_аналитики'!H1725+'19_Расчет_аналитики'!H1726)*(1+'01_Вводные'!$B$58)</f>
        <v/>
      </c>
      <c r="J1759">
        <f>'19_Расчет_аналитики'!$B$1044*('19_Расчет_аналитики'!J1725+'19_Расчет_аналитики'!J1726)*(1+'01_Вводные'!$B$58)+(1-'19_Расчет_аналитики'!$B$1044)*('19_Расчет_аналитики'!I1725+'19_Расчет_аналитики'!I1726)*(1+'01_Вводные'!$B$58)</f>
        <v/>
      </c>
      <c r="K1759">
        <f>'19_Расчет_аналитики'!$B$1044*('19_Расчет_аналитики'!K1725+'19_Расчет_аналитики'!K1726)*(1+'01_Вводные'!$B$58)+(1-'19_Расчет_аналитики'!$B$1044)*('19_Расчет_аналитики'!J1725+'19_Расчет_аналитики'!J1726)*(1+'01_Вводные'!$B$58)</f>
        <v/>
      </c>
      <c r="L1759">
        <f>'19_Расчет_аналитики'!$B$1044*('19_Расчет_аналитики'!L1725+'19_Расчет_аналитики'!L1726)*(1+'01_Вводные'!$B$58)+(1-'19_Расчет_аналитики'!$B$1044)*('19_Расчет_аналитики'!K1725+'19_Расчет_аналитики'!K1726)*(1+'01_Вводные'!$B$58)</f>
        <v/>
      </c>
      <c r="M1759">
        <f>'19_Расчет_аналитики'!$B$1044*('19_Расчет_аналитики'!M1725+'19_Расчет_аналитики'!M1726)*(1+'01_Вводные'!$B$58)+(1-'19_Расчет_аналитики'!$B$1044)*('19_Расчет_аналитики'!L1725+'19_Расчет_аналитики'!L1726)*(1+'01_Вводные'!$B$58)</f>
        <v/>
      </c>
      <c r="N1759">
        <f>'19_Расчет_аналитики'!$B$1044*('19_Расчет_аналитики'!N1725+'19_Расчет_аналитики'!N1726)*(1+'01_Вводные'!$B$58)+(1-'19_Расчет_аналитики'!$B$1044)*('19_Расчет_аналитики'!M1725+'19_Расчет_аналитики'!M1726)*(1+'01_Вводные'!$B$58)</f>
        <v/>
      </c>
      <c r="O1759">
        <f>'19_Расчет_аналитики'!$B$1044*('19_Расчет_аналитики'!O1725+'19_Расчет_аналитики'!O1726)*(1+'01_Вводные'!$B$58)+(1-'19_Расчет_аналитики'!$B$1044)*('19_Расчет_аналитики'!N1725+'19_Расчет_аналитики'!N1726)*(1+'01_Вводные'!$B$58)</f>
        <v/>
      </c>
      <c r="P1759">
        <f>'19_Расчет_аналитики'!$B$1044*('19_Расчет_аналитики'!P1725+'19_Расчет_аналитики'!P1726)*(1+'01_Вводные'!$B$58)+(1-'19_Расчет_аналитики'!$B$1044)*('19_Расчет_аналитики'!O1725+'19_Расчет_аналитики'!O1726)*(1+'01_Вводные'!$B$58)</f>
        <v/>
      </c>
      <c r="Q1759">
        <f>'19_Расчет_аналитики'!$B$1044*('19_Расчет_аналитики'!Q1725+'19_Расчет_аналитики'!Q1726)*(1+'01_Вводные'!$B$58)+(1-'19_Расчет_аналитики'!$B$1044)*('19_Расчет_аналитики'!P1725+'19_Расчет_аналитики'!P1726)*(1+'01_Вводные'!$B$58)</f>
        <v/>
      </c>
      <c r="R1759">
        <f>'19_Расчет_аналитики'!$B$1044*('19_Расчет_аналитики'!R1725+'19_Расчет_аналитики'!R1726)*(1+'01_Вводные'!$B$58)+(1-'19_Расчет_аналитики'!$B$1044)*('19_Расчет_аналитики'!Q1725+'19_Расчет_аналитики'!Q1726)*(1+'01_Вводные'!$B$58)</f>
        <v/>
      </c>
      <c r="S1759">
        <f>'19_Расчет_аналитики'!$B$1044*('19_Расчет_аналитики'!S1725+'19_Расчет_аналитики'!S1726)*(1+'01_Вводные'!$B$58)+(1-'19_Расчет_аналитики'!$B$1044)*('19_Расчет_аналитики'!R1725+'19_Расчет_аналитики'!R1726)*(1+'01_Вводные'!$B$58)</f>
        <v/>
      </c>
      <c r="T1759">
        <f>'19_Расчет_аналитики'!$B$1044*('19_Расчет_аналитики'!T1725+'19_Расчет_аналитики'!T1726)*(1+'01_Вводные'!$B$58)+(1-'19_Расчет_аналитики'!$B$1044)*('19_Расчет_аналитики'!S1725+'19_Расчет_аналитики'!S1726)*(1+'01_Вводные'!$B$58)</f>
        <v/>
      </c>
      <c r="U1759">
        <f>'19_Расчет_аналитики'!$B$1044*('19_Расчет_аналитики'!U1725+'19_Расчет_аналитики'!U1726)*(1+'01_Вводные'!$B$58)+(1-'19_Расчет_аналитики'!$B$1044)*('19_Расчет_аналитики'!T1725+'19_Расчет_аналитики'!T1726)*(1+'01_Вводные'!$B$58)</f>
        <v/>
      </c>
      <c r="V1759">
        <f>'19_Расчет_аналитики'!$B$1044*('19_Расчет_аналитики'!V1725+'19_Расчет_аналитики'!V1726)*(1+'01_Вводные'!$B$58)+(1-'19_Расчет_аналитики'!$B$1044)*('19_Расчет_аналитики'!U1725+'19_Расчет_аналитики'!U1726)*(1+'01_Вводные'!$B$58)</f>
        <v/>
      </c>
      <c r="W1759">
        <f>'19_Расчет_аналитики'!$B$1044*('19_Расчет_аналитики'!W1725+'19_Расчет_аналитики'!W1726)*(1+'01_Вводные'!$B$58)+(1-'19_Расчет_аналитики'!$B$1044)*('19_Расчет_аналитики'!V1725+'19_Расчет_аналитики'!V1726)*(1+'01_Вводные'!$B$58)</f>
        <v/>
      </c>
      <c r="X1759">
        <f>'19_Расчет_аналитики'!$B$1044*('19_Расчет_аналитики'!X1725+'19_Расчет_аналитики'!X1726)*(1+'01_Вводные'!$B$58)+(1-'19_Расчет_аналитики'!$B$1044)*('19_Расчет_аналитики'!W1725+'19_Расчет_аналитики'!W1726)*(1+'01_Вводные'!$B$58)</f>
        <v/>
      </c>
      <c r="Y1759">
        <f>'19_Расчет_аналитики'!$B$1044*('19_Расчет_аналитики'!Y1725+'19_Расчет_аналитики'!Y1726)*(1+'01_Вводные'!$B$58)+(1-'19_Расчет_аналитики'!$B$1044)*('19_Расчет_аналитики'!X1725+'19_Расчет_аналитики'!X1726)*(1+'01_Вводные'!$B$58)</f>
        <v/>
      </c>
      <c r="Z1759">
        <f>'19_Расчет_аналитики'!$B$1044*('19_Расчет_аналитики'!Z1725+'19_Расчет_аналитики'!Z1726)*(1+'01_Вводные'!$B$58)+(1-'19_Расчет_аналитики'!$B$1044)*('19_Расчет_аналитики'!Y1725+'19_Расчет_аналитики'!Y1726)*(1+'01_Вводные'!$B$58)</f>
        <v/>
      </c>
      <c r="AA1759">
        <f>'19_Расчет_аналитики'!$B$1044*('19_Расчет_аналитики'!AA1725+'19_Расчет_аналитики'!AA1726)*(1+'01_Вводные'!$B$58)+(1-'19_Расчет_аналитики'!$B$1044)*('19_Расчет_аналитики'!Z1725+'19_Расчет_аналитики'!Z1726)*(1+'01_Вводные'!$B$58)</f>
        <v/>
      </c>
      <c r="AB1759">
        <f>'19_Расчет_аналитики'!$B$1044*('19_Расчет_аналитики'!AB1725+'19_Расчет_аналитики'!AB1726)*(1+'01_Вводные'!$B$58)+(1-'19_Расчет_аналитики'!$B$1044)*('19_Расчет_аналитики'!AA1725+'19_Расчет_аналитики'!AA1726)*(1+'01_Вводные'!$B$58)</f>
        <v/>
      </c>
      <c r="AC1759">
        <f>'19_Расчет_аналитики'!$B$1044*('19_Расчет_аналитики'!AC1725+'19_Расчет_аналитики'!AC1726)*(1+'01_Вводные'!$B$58)+(1-'19_Расчет_аналитики'!$B$1044)*('19_Расчет_аналитики'!AB1725+'19_Расчет_аналитики'!AB1726)*(1+'01_Вводные'!$B$58)</f>
        <v/>
      </c>
      <c r="AD1759">
        <f>'19_Расчет_аналитики'!$B$1044*('19_Расчет_аналитики'!AD1725+'19_Расчет_аналитики'!AD1726)*(1+'01_Вводные'!$B$58)+(1-'19_Расчет_аналитики'!$B$1044)*('19_Расчет_аналитики'!AC1725+'19_Расчет_аналитики'!AC1726)*(1+'01_Вводные'!$B$58)</f>
        <v/>
      </c>
      <c r="AE1759">
        <f>'19_Расчет_аналитики'!$B$1044*('19_Расчет_аналитики'!AE1725+'19_Расчет_аналитики'!AE1726)*(1+'01_Вводные'!$B$58)+(1-'19_Расчет_аналитики'!$B$1044)*('19_Расчет_аналитики'!AD1725+'19_Расчет_аналитики'!AD1726)*(1+'01_Вводные'!$B$58)</f>
        <v/>
      </c>
      <c r="AF1759">
        <f>'19_Расчет_аналитики'!$B$1044*('19_Расчет_аналитики'!AF1725+'19_Расчет_аналитики'!AF1726)*(1+'01_Вводные'!$B$58)+(1-'19_Расчет_аналитики'!$B$1044)*('19_Расчет_аналитики'!AE1725+'19_Расчет_аналитики'!AE1726)*(1+'01_Вводные'!$B$58)</f>
        <v/>
      </c>
      <c r="AG1759">
        <f>'19_Расчет_аналитики'!$B$1044*('19_Расчет_аналитики'!AG1725+'19_Расчет_аналитики'!AG1726)*(1+'01_Вводные'!$B$58)+(1-'19_Расчет_аналитики'!$B$1044)*('19_Расчет_аналитики'!AF1725+'19_Расчет_аналитики'!AF1726)*(1+'01_Вводные'!$B$58)</f>
        <v/>
      </c>
      <c r="AH1759">
        <f>'19_Расчет_аналитики'!$B$1044*('19_Расчет_аналитики'!AH1725+'19_Расчет_аналитики'!AH1726)*(1+'01_Вводные'!$B$58)+(1-'19_Расчет_аналитики'!$B$1044)*('19_Расчет_аналитики'!AG1725+'19_Расчет_аналитики'!AG1726)*(1+'01_Вводные'!$B$58)</f>
        <v/>
      </c>
      <c r="AI1759">
        <f>'19_Расчет_аналитики'!$B$1044*('19_Расчет_аналитики'!AI1725+'19_Расчет_аналитики'!AI1726)*(1+'01_Вводные'!$B$58)+(1-'19_Расчет_аналитики'!$B$1044)*('19_Расчет_аналитики'!AH1725+'19_Расчет_аналитики'!AH1726)*(1+'01_Вводные'!$B$58)</f>
        <v/>
      </c>
      <c r="AJ1759">
        <f>'19_Расчет_аналитики'!$B$1044*('19_Расчет_аналитики'!AJ1725+'19_Расчет_аналитики'!AJ1726)*(1+'01_Вводные'!$B$58)+(1-'19_Расчет_аналитики'!$B$1044)*('19_Расчет_аналитики'!AI1725+'19_Расчет_аналитики'!AI1726)*(1+'01_Вводные'!$B$58)</f>
        <v/>
      </c>
      <c r="AK1759">
        <f>'19_Расчет_аналитики'!$B$1044*('19_Расчет_аналитики'!AK1725+'19_Расчет_аналитики'!AK1726)*(1+'01_Вводные'!$B$58)+(1-'19_Расчет_аналитики'!$B$1044)*('19_Расчет_аналитики'!AJ1725+'19_Расчет_аналитики'!AJ1726)*(1+'01_Вводные'!$B$58)</f>
        <v/>
      </c>
      <c r="AL1759">
        <f>'19_Расчет_аналитики'!$B$1044*('19_Расчет_аналитики'!AL1725+'19_Расчет_аналитики'!AL1726)*(1+'01_Вводные'!$B$58)+(1-'19_Расчет_аналитики'!$B$1044)*('19_Расчет_аналитики'!AK1725+'19_Расчет_аналитики'!AK1726)*(1+'01_Вводные'!$B$58)</f>
        <v/>
      </c>
      <c r="AM1759">
        <f>'19_Расчет_аналитики'!$B$1044*('19_Расчет_аналитики'!AM1725+'19_Расчет_аналитики'!AM1726)*(1+'01_Вводные'!$B$58)+(1-'19_Расчет_аналитики'!$B$1044)*('19_Расчет_аналитики'!AL1725+'19_Расчет_аналитики'!AL1726)*(1+'01_Вводные'!$B$58)</f>
        <v/>
      </c>
      <c r="AN1759">
        <f>'19_Расчет_аналитики'!$B$1044*('19_Расчет_аналитики'!AN1725+'19_Расчет_аналитики'!AN1726)*(1+'01_Вводные'!$B$58)+(1-'19_Расчет_аналитики'!$B$1044)*('19_Расчет_аналитики'!AM1725+'19_Расчет_аналитики'!AM1726)*(1+'01_Вводные'!$B$58)</f>
        <v/>
      </c>
      <c r="AO1759">
        <f>'19_Расчет_аналитики'!$B$1044*('19_Расчет_аналитики'!AO1725+'19_Расчет_аналитики'!AO1726)*(1+'01_Вводные'!$B$58)+(1-'19_Расчет_аналитики'!$B$1044)*('19_Расчет_аналитики'!AN1725+'19_Расчет_аналитики'!AN1726)*(1+'01_Вводные'!$B$58)</f>
        <v/>
      </c>
      <c r="AP1759">
        <f>'19_Расчет_аналитики'!$B$1044*('19_Расчет_аналитики'!AP1725+'19_Расчет_аналитики'!AP1726)*(1+'01_Вводные'!$B$58)+(1-'19_Расчет_аналитики'!$B$1044)*('19_Расчет_аналитики'!AO1725+'19_Расчет_аналитики'!AO1726)*(1+'01_Вводные'!$B$58)</f>
        <v/>
      </c>
      <c r="AQ1759">
        <f>'19_Расчет_аналитики'!$B$1044*('19_Расчет_аналитики'!AQ1725+'19_Расчет_аналитики'!AQ1726)*(1+'01_Вводные'!$B$58)+(1-'19_Расчет_аналитики'!$B$1044)*('19_Расчет_аналитики'!AP1725+'19_Расчет_аналитики'!AP1726)*(1+'01_Вводные'!$B$58)</f>
        <v/>
      </c>
      <c r="AR1759">
        <f>'19_Расчет_аналитики'!$B$1044*('19_Расчет_аналитики'!AR1725+'19_Расчет_аналитики'!AR1726)*(1+'01_Вводные'!$B$58)+(1-'19_Расчет_аналитики'!$B$1044)*('19_Расчет_аналитики'!AQ1725+'19_Расчет_аналитики'!AQ1726)*(1+'01_Вводные'!$B$58)</f>
        <v/>
      </c>
      <c r="AS1759">
        <f>'19_Расчет_аналитики'!$B$1044*('19_Расчет_аналитики'!AS1725+'19_Расчет_аналитики'!AS1726)*(1+'01_Вводные'!$B$58)+(1-'19_Расчет_аналитики'!$B$1044)*('19_Расчет_аналитики'!AR1725+'19_Расчет_аналитики'!AR1726)*(1+'01_Вводные'!$B$58)</f>
        <v/>
      </c>
      <c r="AT1759">
        <f>'19_Расчет_аналитики'!$B$1044*('19_Расчет_аналитики'!AT1725+'19_Расчет_аналитики'!AT1726)*(1+'01_Вводные'!$B$58)+(1-'19_Расчет_аналитики'!$B$1044)*('19_Расчет_аналитики'!AS1725+'19_Расчет_аналитики'!AS1726)*(1+'01_Вводные'!$B$58)</f>
        <v/>
      </c>
      <c r="AU1759">
        <f>'19_Расчет_аналитики'!$B$1044*('19_Расчет_аналитики'!AU1725+'19_Расчет_аналитики'!AU1726)*(1+'01_Вводные'!$B$58)+(1-'19_Расчет_аналитики'!$B$1044)*('19_Расчет_аналитики'!AT1725+'19_Расчет_аналитики'!AT1726)*(1+'01_Вводные'!$B$58)</f>
        <v/>
      </c>
      <c r="AV1759">
        <f>'19_Расчет_аналитики'!$B$1044*('19_Расчет_аналитики'!AV1725+'19_Расчет_аналитики'!AV1726)*(1+'01_Вводные'!$B$58)+(1-'19_Расчет_аналитики'!$B$1044)*('19_Расчет_аналитики'!AU1725+'19_Расчет_аналитики'!AU1726)*(1+'01_Вводные'!$B$58)</f>
        <v/>
      </c>
      <c r="AW1759">
        <f>'19_Расчет_аналитики'!$B$1044*('19_Расчет_аналитики'!AW1725+'19_Расчет_аналитики'!AW1726)*(1+'01_Вводные'!$B$58)+(1-'19_Расчет_аналитики'!$B$1044)*('19_Расчет_аналитики'!AV1725+'19_Расчет_аналитики'!AV1726)*(1+'01_Вводные'!$B$58)</f>
        <v/>
      </c>
      <c r="AX1759">
        <f>'19_Расчет_аналитики'!$B$1044*('19_Расчет_аналитики'!AX1725+'19_Расчет_аналитики'!AX1726)*(1+'01_Вводные'!$B$58)+(1-'19_Расчет_аналитики'!$B$1044)*('19_Расчет_аналитики'!AW1725+'19_Расчет_аналитики'!AW1726)*(1+'01_Вводные'!$B$58)</f>
        <v/>
      </c>
      <c r="AY1759">
        <f>'19_Расчет_аналитики'!$B$1044*('19_Расчет_аналитики'!AY1725+'19_Расчет_аналитики'!AY1726)*(1+'01_Вводные'!$B$58)+(1-'19_Расчет_аналитики'!$B$1044)*('19_Расчет_аналитики'!AX1725+'19_Расчет_аналитики'!AX1726)*(1+'01_Вводные'!$B$58)</f>
        <v/>
      </c>
      <c r="AZ1759">
        <f>'19_Расчет_аналитики'!$B$1044*('19_Расчет_аналитики'!AZ1725+'19_Расчет_аналитики'!AZ1726)*(1+'01_Вводные'!$B$58)+(1-'19_Расчет_аналитики'!$B$1044)*('19_Расчет_аналитики'!AY1725+'19_Расчет_аналитики'!AY1726)*(1+'01_Вводные'!$B$58)</f>
        <v/>
      </c>
      <c r="BA1759">
        <f>'19_Расчет_аналитики'!$B$1044*('19_Расчет_аналитики'!BA1725+'19_Расчет_аналитики'!BA1726)*(1+'01_Вводные'!$B$58)+(1-'19_Расчет_аналитики'!$B$1044)*('19_Расчет_аналитики'!AZ1725+'19_Расчет_аналитики'!AZ1726)*(1+'01_Вводные'!$B$58)</f>
        <v/>
      </c>
      <c r="BB1759">
        <f>'19_Расчет_аналитики'!$B$1044*('19_Расчет_аналитики'!BB1725+'19_Расчет_аналитики'!BB1726)*(1+'01_Вводные'!$B$58)+(1-'19_Расчет_аналитики'!$B$1044)*('19_Расчет_аналитики'!BA1725+'19_Расчет_аналитики'!BA1726)*(1+'01_Вводные'!$B$58)</f>
        <v/>
      </c>
      <c r="BC1759">
        <f>'19_Расчет_аналитики'!$B$1044*('19_Расчет_аналитики'!BC1725+'19_Расчет_аналитики'!BC1726)*(1+'01_Вводные'!$B$58)+(1-'19_Расчет_аналитики'!$B$1044)*('19_Расчет_аналитики'!BB1725+'19_Расчет_аналитики'!BB1726)*(1+'01_Вводные'!$B$58)</f>
        <v/>
      </c>
      <c r="BD1759">
        <f>'19_Расчет_аналитики'!$B$1044*('19_Расчет_аналитики'!BD1725+'19_Расчет_аналитики'!BD1726)*(1+'01_Вводные'!$B$58)+(1-'19_Расчет_аналитики'!$B$1044)*('19_Расчет_аналитики'!BC1725+'19_Расчет_аналитики'!BC1726)*(1+'01_Вводные'!$B$58)</f>
        <v/>
      </c>
      <c r="BE1759">
        <f>'19_Расчет_аналитики'!$B$1044*('19_Расчет_аналитики'!BE1725+'19_Расчет_аналитики'!BE1726)*(1+'01_Вводные'!$B$58)+(1-'19_Расчет_аналитики'!$B$1044)*('19_Расчет_аналитики'!BD1725+'19_Расчет_аналитики'!BD1726)*(1+'01_Вводные'!$B$58)</f>
        <v/>
      </c>
      <c r="BF1759">
        <f>'19_Расчет_аналитики'!$B$1044*('19_Расчет_аналитики'!BF1725+'19_Расчет_аналитики'!BF1726)*(1+'01_Вводные'!$B$58)+(1-'19_Расчет_аналитики'!$B$1044)*('19_Расчет_аналитики'!BE1725+'19_Расчет_аналитики'!BE1726)*(1+'01_Вводные'!$B$58)</f>
        <v/>
      </c>
      <c r="BG1759">
        <f>'19_Расчет_аналитики'!$B$1044*('19_Расчет_аналитики'!BG1725+'19_Расчет_аналитики'!BG1726)*(1+'01_Вводные'!$B$58)+(1-'19_Расчет_аналитики'!$B$1044)*('19_Расчет_аналитики'!BF1725+'19_Расчет_аналитики'!BF1726)*(1+'01_Вводные'!$B$58)</f>
        <v/>
      </c>
      <c r="BH1759">
        <f>'19_Расчет_аналитики'!$B$1044*('19_Расчет_аналитики'!BH1725+'19_Расчет_аналитики'!BH1726)*(1+'01_Вводные'!$B$58)+(1-'19_Расчет_аналитики'!$B$1044)*('19_Расчет_аналитики'!BG1725+'19_Расчет_аналитики'!BG1726)*(1+'01_Вводные'!$B$58)</f>
        <v/>
      </c>
      <c r="BI1759">
        <f>'19_Расчет_аналитики'!$B$1044*('19_Расчет_аналитики'!BI1725+'19_Расчет_аналитики'!BI1726)*(1+'01_Вводные'!$B$58)+(1-'19_Расчет_аналитики'!$B$1044)*('19_Расчет_аналитики'!BH1725+'19_Расчет_аналитики'!BH1726)*(1+'01_Вводные'!$B$58)</f>
        <v/>
      </c>
    </row>
    <row r="1760">
      <c r="B1760">
        <f>'19_Расчет_аналитики'!B1627</f>
        <v/>
      </c>
      <c r="C1760">
        <f>'19_Расчет_аналитики'!C1627</f>
        <v/>
      </c>
      <c r="D1760">
        <f>'19_Расчет_аналитики'!D1627</f>
        <v/>
      </c>
      <c r="E1760">
        <f>'19_Расчет_аналитики'!E1627</f>
        <v/>
      </c>
      <c r="F1760">
        <f>'19_Расчет_аналитики'!F1627</f>
        <v/>
      </c>
      <c r="G1760">
        <f>'19_Расчет_аналитики'!G1627</f>
        <v/>
      </c>
      <c r="H1760">
        <f>'19_Расчет_аналитики'!H1627</f>
        <v/>
      </c>
      <c r="I1760">
        <f>'19_Расчет_аналитики'!I1627</f>
        <v/>
      </c>
      <c r="J1760">
        <f>'19_Расчет_аналитики'!J1627</f>
        <v/>
      </c>
      <c r="K1760">
        <f>'19_Расчет_аналитики'!K1627</f>
        <v/>
      </c>
      <c r="L1760">
        <f>'19_Расчет_аналитики'!L1627</f>
        <v/>
      </c>
      <c r="M1760">
        <f>'19_Расчет_аналитики'!M1627</f>
        <v/>
      </c>
      <c r="N1760">
        <f>'19_Расчет_аналитики'!N1627</f>
        <v/>
      </c>
      <c r="O1760">
        <f>'19_Расчет_аналитики'!O1627</f>
        <v/>
      </c>
      <c r="P1760">
        <f>'19_Расчет_аналитики'!P1627</f>
        <v/>
      </c>
      <c r="Q1760">
        <f>'19_Расчет_аналитики'!Q1627</f>
        <v/>
      </c>
      <c r="R1760">
        <f>'19_Расчет_аналитики'!R1627</f>
        <v/>
      </c>
      <c r="S1760">
        <f>'19_Расчет_аналитики'!S1627</f>
        <v/>
      </c>
      <c r="T1760">
        <f>'19_Расчет_аналитики'!T1627</f>
        <v/>
      </c>
      <c r="U1760">
        <f>'19_Расчет_аналитики'!U1627</f>
        <v/>
      </c>
      <c r="V1760">
        <f>'19_Расчет_аналитики'!V1627</f>
        <v/>
      </c>
      <c r="W1760">
        <f>'19_Расчет_аналитики'!W1627</f>
        <v/>
      </c>
      <c r="X1760">
        <f>'19_Расчет_аналитики'!X1627</f>
        <v/>
      </c>
      <c r="Y1760">
        <f>'19_Расчет_аналитики'!Y1627</f>
        <v/>
      </c>
      <c r="Z1760">
        <f>'19_Расчет_аналитики'!Z1627</f>
        <v/>
      </c>
      <c r="AA1760">
        <f>'19_Расчет_аналитики'!AA1627</f>
        <v/>
      </c>
      <c r="AB1760">
        <f>'19_Расчет_аналитики'!AB1627</f>
        <v/>
      </c>
      <c r="AC1760">
        <f>'19_Расчет_аналитики'!AC1627</f>
        <v/>
      </c>
      <c r="AD1760">
        <f>'19_Расчет_аналитики'!AD1627</f>
        <v/>
      </c>
      <c r="AE1760">
        <f>'19_Расчет_аналитики'!AE1627</f>
        <v/>
      </c>
      <c r="AF1760">
        <f>'19_Расчет_аналитики'!AF1627</f>
        <v/>
      </c>
      <c r="AG1760">
        <f>'19_Расчет_аналитики'!AG1627</f>
        <v/>
      </c>
      <c r="AH1760">
        <f>'19_Расчет_аналитики'!AH1627</f>
        <v/>
      </c>
      <c r="AI1760">
        <f>'19_Расчет_аналитики'!AI1627</f>
        <v/>
      </c>
      <c r="AJ1760">
        <f>'19_Расчет_аналитики'!AJ1627</f>
        <v/>
      </c>
      <c r="AK1760">
        <f>'19_Расчет_аналитики'!AK1627</f>
        <v/>
      </c>
      <c r="AL1760">
        <f>'19_Расчет_аналитики'!AL1627</f>
        <v/>
      </c>
      <c r="AM1760">
        <f>'19_Расчет_аналитики'!AM1627</f>
        <v/>
      </c>
      <c r="AN1760">
        <f>'19_Расчет_аналитики'!AN1627</f>
        <v/>
      </c>
      <c r="AO1760">
        <f>'19_Расчет_аналитики'!AO1627</f>
        <v/>
      </c>
      <c r="AP1760">
        <f>'19_Расчет_аналитики'!AP1627</f>
        <v/>
      </c>
      <c r="AQ1760">
        <f>'19_Расчет_аналитики'!AQ1627</f>
        <v/>
      </c>
      <c r="AR1760">
        <f>'19_Расчет_аналитики'!AR1627</f>
        <v/>
      </c>
      <c r="AS1760">
        <f>'19_Расчет_аналитики'!AS1627</f>
        <v/>
      </c>
      <c r="AT1760">
        <f>'19_Расчет_аналитики'!AT1627</f>
        <v/>
      </c>
      <c r="AU1760">
        <f>'19_Расчет_аналитики'!AU1627</f>
        <v/>
      </c>
      <c r="AV1760">
        <f>'19_Расчет_аналитики'!AV1627</f>
        <v/>
      </c>
      <c r="AW1760">
        <f>'19_Расчет_аналитики'!AW1627</f>
        <v/>
      </c>
      <c r="AX1760">
        <f>'19_Расчет_аналитики'!AX1627</f>
        <v/>
      </c>
      <c r="AY1760">
        <f>'19_Расчет_аналитики'!AY1627</f>
        <v/>
      </c>
      <c r="AZ1760">
        <f>'19_Расчет_аналитики'!AZ1627</f>
        <v/>
      </c>
      <c r="BA1760">
        <f>'19_Расчет_аналитики'!BA1627</f>
        <v/>
      </c>
      <c r="BB1760">
        <f>'19_Расчет_аналитики'!BB1627</f>
        <v/>
      </c>
      <c r="BC1760">
        <f>'19_Расчет_аналитики'!BC1627</f>
        <v/>
      </c>
      <c r="BD1760">
        <f>'19_Расчет_аналитики'!BD1627</f>
        <v/>
      </c>
      <c r="BE1760">
        <f>'19_Расчет_аналитики'!BE1627</f>
        <v/>
      </c>
      <c r="BF1760">
        <f>'19_Расчет_аналитики'!BF1627</f>
        <v/>
      </c>
      <c r="BG1760">
        <f>'19_Расчет_аналитики'!BG1627</f>
        <v/>
      </c>
      <c r="BH1760">
        <f>'19_Расчет_аналитики'!BH1627</f>
        <v/>
      </c>
      <c r="BI1760">
        <f>'19_Расчет_аналитики'!BI1627</f>
        <v/>
      </c>
    </row>
    <row r="1761">
      <c r="B1761">
        <f>'02_Модель'!B55</f>
        <v/>
      </c>
      <c r="C1761">
        <f>'02_Модель'!C55</f>
        <v/>
      </c>
      <c r="D1761">
        <f>'02_Модель'!D55</f>
        <v/>
      </c>
      <c r="E1761">
        <f>'02_Модель'!E55</f>
        <v/>
      </c>
      <c r="F1761">
        <f>'02_Модель'!F55</f>
        <v/>
      </c>
      <c r="G1761">
        <f>'02_Модель'!G55</f>
        <v/>
      </c>
      <c r="H1761">
        <f>'02_Модель'!H55</f>
        <v/>
      </c>
      <c r="I1761">
        <f>'02_Модель'!I55</f>
        <v/>
      </c>
      <c r="J1761">
        <f>'02_Модель'!J55</f>
        <v/>
      </c>
      <c r="K1761">
        <f>'02_Модель'!K55</f>
        <v/>
      </c>
      <c r="L1761">
        <f>'02_Модель'!L55</f>
        <v/>
      </c>
      <c r="M1761">
        <f>'02_Модель'!M55</f>
        <v/>
      </c>
      <c r="N1761">
        <f>'02_Модель'!N55</f>
        <v/>
      </c>
      <c r="O1761">
        <f>'02_Модель'!O55</f>
        <v/>
      </c>
      <c r="P1761">
        <f>'02_Модель'!P55</f>
        <v/>
      </c>
      <c r="Q1761">
        <f>'02_Модель'!Q55</f>
        <v/>
      </c>
      <c r="R1761">
        <f>'02_Модель'!R55</f>
        <v/>
      </c>
      <c r="S1761">
        <f>'02_Модель'!S55</f>
        <v/>
      </c>
      <c r="T1761">
        <f>'02_Модель'!T55</f>
        <v/>
      </c>
      <c r="U1761">
        <f>'02_Модель'!U55</f>
        <v/>
      </c>
      <c r="V1761">
        <f>'02_Модель'!V55</f>
        <v/>
      </c>
      <c r="W1761">
        <f>'02_Модель'!W55</f>
        <v/>
      </c>
      <c r="X1761">
        <f>'02_Модель'!X55</f>
        <v/>
      </c>
      <c r="Y1761">
        <f>'02_Модель'!Y55</f>
        <v/>
      </c>
      <c r="Z1761">
        <f>'02_Модель'!Z55</f>
        <v/>
      </c>
      <c r="AA1761">
        <f>'02_Модель'!AA55</f>
        <v/>
      </c>
      <c r="AB1761">
        <f>'02_Модель'!AB55</f>
        <v/>
      </c>
      <c r="AC1761">
        <f>'02_Модель'!AC55</f>
        <v/>
      </c>
      <c r="AD1761">
        <f>'02_Модель'!AD55</f>
        <v/>
      </c>
      <c r="AE1761">
        <f>'02_Модель'!AE55</f>
        <v/>
      </c>
      <c r="AF1761">
        <f>'02_Модель'!AF55</f>
        <v/>
      </c>
      <c r="AG1761">
        <f>'02_Модель'!AG55</f>
        <v/>
      </c>
      <c r="AH1761">
        <f>'02_Модель'!AH55</f>
        <v/>
      </c>
      <c r="AI1761">
        <f>'02_Модель'!AI55</f>
        <v/>
      </c>
      <c r="AJ1761">
        <f>'02_Модель'!AJ55</f>
        <v/>
      </c>
      <c r="AK1761">
        <f>'02_Модель'!AK55</f>
        <v/>
      </c>
      <c r="AL1761">
        <f>'02_Модель'!AL55</f>
        <v/>
      </c>
      <c r="AM1761">
        <f>'02_Модель'!AM55</f>
        <v/>
      </c>
      <c r="AN1761">
        <f>'02_Модель'!AN55</f>
        <v/>
      </c>
      <c r="AO1761">
        <f>'02_Модель'!AO55</f>
        <v/>
      </c>
      <c r="AP1761">
        <f>'02_Модель'!AP55</f>
        <v/>
      </c>
      <c r="AQ1761">
        <f>'02_Модель'!AQ55</f>
        <v/>
      </c>
      <c r="AR1761">
        <f>'02_Модель'!AR55</f>
        <v/>
      </c>
      <c r="AS1761">
        <f>'02_Модель'!AS55</f>
        <v/>
      </c>
      <c r="AT1761">
        <f>'02_Модель'!AT55</f>
        <v/>
      </c>
      <c r="AU1761">
        <f>'02_Модель'!AU55</f>
        <v/>
      </c>
      <c r="AV1761">
        <f>'02_Модель'!AV55</f>
        <v/>
      </c>
      <c r="AW1761">
        <f>'02_Модель'!AW55</f>
        <v/>
      </c>
      <c r="AX1761">
        <f>'02_Модель'!AX55</f>
        <v/>
      </c>
      <c r="AY1761">
        <f>'02_Модель'!AY55</f>
        <v/>
      </c>
      <c r="AZ1761">
        <f>'02_Модель'!AZ55</f>
        <v/>
      </c>
      <c r="BA1761">
        <f>'02_Модель'!BA55</f>
        <v/>
      </c>
      <c r="BB1761">
        <f>'02_Модель'!BB55</f>
        <v/>
      </c>
      <c r="BC1761">
        <f>'02_Модель'!BC55</f>
        <v/>
      </c>
      <c r="BD1761">
        <f>'02_Модель'!BD55</f>
        <v/>
      </c>
      <c r="BE1761">
        <f>'02_Модель'!BE55</f>
        <v/>
      </c>
      <c r="BF1761">
        <f>'02_Модель'!BF55</f>
        <v/>
      </c>
      <c r="BG1761">
        <f>'02_Модель'!BG55</f>
        <v/>
      </c>
      <c r="BH1761">
        <f>'02_Модель'!BH55</f>
        <v/>
      </c>
      <c r="BI1761">
        <f>'02_Модель'!BI55</f>
        <v/>
      </c>
    </row>
    <row r="1762">
      <c r="B1762">
        <f>SUM('19_Расчет_аналитики'!B1758:B1761)</f>
        <v/>
      </c>
      <c r="C1762">
        <f>SUM('19_Расчет_аналитики'!C1758:C1761)</f>
        <v/>
      </c>
      <c r="D1762">
        <f>SUM('19_Расчет_аналитики'!D1758:D1761)</f>
        <v/>
      </c>
      <c r="E1762">
        <f>SUM('19_Расчет_аналитики'!E1758:E1761)</f>
        <v/>
      </c>
      <c r="F1762">
        <f>SUM('19_Расчет_аналитики'!F1758:F1761)</f>
        <v/>
      </c>
      <c r="G1762">
        <f>SUM('19_Расчет_аналитики'!G1758:G1761)</f>
        <v/>
      </c>
      <c r="H1762">
        <f>SUM('19_Расчет_аналитики'!H1758:H1761)</f>
        <v/>
      </c>
      <c r="I1762">
        <f>SUM('19_Расчет_аналитики'!I1758:I1761)</f>
        <v/>
      </c>
      <c r="J1762">
        <f>SUM('19_Расчет_аналитики'!J1758:J1761)</f>
        <v/>
      </c>
      <c r="K1762">
        <f>SUM('19_Расчет_аналитики'!K1758:K1761)</f>
        <v/>
      </c>
      <c r="L1762">
        <f>SUM('19_Расчет_аналитики'!L1758:L1761)</f>
        <v/>
      </c>
      <c r="M1762">
        <f>SUM('19_Расчет_аналитики'!M1758:M1761)</f>
        <v/>
      </c>
      <c r="N1762">
        <f>SUM('19_Расчет_аналитики'!N1758:N1761)</f>
        <v/>
      </c>
      <c r="O1762">
        <f>SUM('19_Расчет_аналитики'!O1758:O1761)</f>
        <v/>
      </c>
      <c r="P1762">
        <f>SUM('19_Расчет_аналитики'!P1758:P1761)</f>
        <v/>
      </c>
      <c r="Q1762">
        <f>SUM('19_Расчет_аналитики'!Q1758:Q1761)</f>
        <v/>
      </c>
      <c r="R1762">
        <f>SUM('19_Расчет_аналитики'!R1758:R1761)</f>
        <v/>
      </c>
      <c r="S1762">
        <f>SUM('19_Расчет_аналитики'!S1758:S1761)</f>
        <v/>
      </c>
      <c r="T1762">
        <f>SUM('19_Расчет_аналитики'!T1758:T1761)</f>
        <v/>
      </c>
      <c r="U1762">
        <f>SUM('19_Расчет_аналитики'!U1758:U1761)</f>
        <v/>
      </c>
      <c r="V1762">
        <f>SUM('19_Расчет_аналитики'!V1758:V1761)</f>
        <v/>
      </c>
      <c r="W1762">
        <f>SUM('19_Расчет_аналитики'!W1758:W1761)</f>
        <v/>
      </c>
      <c r="X1762">
        <f>SUM('19_Расчет_аналитики'!X1758:X1761)</f>
        <v/>
      </c>
      <c r="Y1762">
        <f>SUM('19_Расчет_аналитики'!Y1758:Y1761)</f>
        <v/>
      </c>
      <c r="Z1762">
        <f>SUM('19_Расчет_аналитики'!Z1758:Z1761)</f>
        <v/>
      </c>
      <c r="AA1762">
        <f>SUM('19_Расчет_аналитики'!AA1758:AA1761)</f>
        <v/>
      </c>
      <c r="AB1762">
        <f>SUM('19_Расчет_аналитики'!AB1758:AB1761)</f>
        <v/>
      </c>
      <c r="AC1762">
        <f>SUM('19_Расчет_аналитики'!AC1758:AC1761)</f>
        <v/>
      </c>
      <c r="AD1762">
        <f>SUM('19_Расчет_аналитики'!AD1758:AD1761)</f>
        <v/>
      </c>
      <c r="AE1762">
        <f>SUM('19_Расчет_аналитики'!AE1758:AE1761)</f>
        <v/>
      </c>
      <c r="AF1762">
        <f>SUM('19_Расчет_аналитики'!AF1758:AF1761)</f>
        <v/>
      </c>
      <c r="AG1762">
        <f>SUM('19_Расчет_аналитики'!AG1758:AG1761)</f>
        <v/>
      </c>
      <c r="AH1762">
        <f>SUM('19_Расчет_аналитики'!AH1758:AH1761)</f>
        <v/>
      </c>
      <c r="AI1762">
        <f>SUM('19_Расчет_аналитики'!AI1758:AI1761)</f>
        <v/>
      </c>
      <c r="AJ1762">
        <f>SUM('19_Расчет_аналитики'!AJ1758:AJ1761)</f>
        <v/>
      </c>
      <c r="AK1762">
        <f>SUM('19_Расчет_аналитики'!AK1758:AK1761)</f>
        <v/>
      </c>
      <c r="AL1762">
        <f>SUM('19_Расчет_аналитики'!AL1758:AL1761)</f>
        <v/>
      </c>
      <c r="AM1762">
        <f>SUM('19_Расчет_аналитики'!AM1758:AM1761)</f>
        <v/>
      </c>
      <c r="AN1762">
        <f>SUM('19_Расчет_аналитики'!AN1758:AN1761)</f>
        <v/>
      </c>
      <c r="AO1762">
        <f>SUM('19_Расчет_аналитики'!AO1758:AO1761)</f>
        <v/>
      </c>
      <c r="AP1762">
        <f>SUM('19_Расчет_аналитики'!AP1758:AP1761)</f>
        <v/>
      </c>
      <c r="AQ1762">
        <f>SUM('19_Расчет_аналитики'!AQ1758:AQ1761)</f>
        <v/>
      </c>
      <c r="AR1762">
        <f>SUM('19_Расчет_аналитики'!AR1758:AR1761)</f>
        <v/>
      </c>
      <c r="AS1762">
        <f>SUM('19_Расчет_аналитики'!AS1758:AS1761)</f>
        <v/>
      </c>
      <c r="AT1762">
        <f>SUM('19_Расчет_аналитики'!AT1758:AT1761)</f>
        <v/>
      </c>
      <c r="AU1762">
        <f>SUM('19_Расчет_аналитики'!AU1758:AU1761)</f>
        <v/>
      </c>
      <c r="AV1762">
        <f>SUM('19_Расчет_аналитики'!AV1758:AV1761)</f>
        <v/>
      </c>
      <c r="AW1762">
        <f>SUM('19_Расчет_аналитики'!AW1758:AW1761)</f>
        <v/>
      </c>
      <c r="AX1762">
        <f>SUM('19_Расчет_аналитики'!AX1758:AX1761)</f>
        <v/>
      </c>
      <c r="AY1762">
        <f>SUM('19_Расчет_аналитики'!AY1758:AY1761)</f>
        <v/>
      </c>
      <c r="AZ1762">
        <f>SUM('19_Расчет_аналитики'!AZ1758:AZ1761)</f>
        <v/>
      </c>
      <c r="BA1762">
        <f>SUM('19_Расчет_аналитики'!BA1758:BA1761)</f>
        <v/>
      </c>
      <c r="BB1762">
        <f>SUM('19_Расчет_аналитики'!BB1758:BB1761)</f>
        <v/>
      </c>
      <c r="BC1762">
        <f>SUM('19_Расчет_аналитики'!BC1758:BC1761)</f>
        <v/>
      </c>
      <c r="BD1762">
        <f>SUM('19_Расчет_аналитики'!BD1758:BD1761)</f>
        <v/>
      </c>
      <c r="BE1762">
        <f>SUM('19_Расчет_аналитики'!BE1758:BE1761)</f>
        <v/>
      </c>
      <c r="BF1762">
        <f>SUM('19_Расчет_аналитики'!BF1758:BF1761)</f>
        <v/>
      </c>
      <c r="BG1762">
        <f>SUM('19_Расчет_аналитики'!BG1758:BG1761)</f>
        <v/>
      </c>
      <c r="BH1762">
        <f>SUM('19_Расчет_аналитики'!BH1758:BH1761)</f>
        <v/>
      </c>
      <c r="BI1762">
        <f>SUM('19_Расчет_аналитики'!BI1758:BI1761)</f>
        <v/>
      </c>
    </row>
    <row r="1763">
      <c r="B1763">
        <f>'19_Расчет_аналитики'!B1805</f>
        <v/>
      </c>
      <c r="C1763">
        <f>'19_Расчет_аналитики'!C1805</f>
        <v/>
      </c>
      <c r="D1763">
        <f>'19_Расчет_аналитики'!D1805</f>
        <v/>
      </c>
      <c r="E1763">
        <f>'19_Расчет_аналитики'!E1805</f>
        <v/>
      </c>
      <c r="F1763">
        <f>'19_Расчет_аналитики'!F1805</f>
        <v/>
      </c>
      <c r="G1763">
        <f>'19_Расчет_аналитики'!G1805</f>
        <v/>
      </c>
      <c r="H1763">
        <f>'19_Расчет_аналитики'!H1805</f>
        <v/>
      </c>
      <c r="I1763">
        <f>'19_Расчет_аналитики'!I1805</f>
        <v/>
      </c>
      <c r="J1763">
        <f>'19_Расчет_аналитики'!J1805</f>
        <v/>
      </c>
      <c r="K1763">
        <f>'19_Расчет_аналитики'!K1805</f>
        <v/>
      </c>
      <c r="L1763">
        <f>'19_Расчет_аналитики'!L1805</f>
        <v/>
      </c>
      <c r="M1763">
        <f>'19_Расчет_аналитики'!M1805</f>
        <v/>
      </c>
      <c r="N1763">
        <f>'19_Расчет_аналитики'!N1805</f>
        <v/>
      </c>
      <c r="O1763">
        <f>'19_Расчет_аналитики'!O1805</f>
        <v/>
      </c>
      <c r="P1763">
        <f>'19_Расчет_аналитики'!P1805</f>
        <v/>
      </c>
      <c r="Q1763">
        <f>'19_Расчет_аналитики'!Q1805</f>
        <v/>
      </c>
      <c r="R1763">
        <f>'19_Расчет_аналитики'!R1805</f>
        <v/>
      </c>
      <c r="S1763">
        <f>'19_Расчет_аналитики'!S1805</f>
        <v/>
      </c>
      <c r="T1763">
        <f>'19_Расчет_аналитики'!T1805</f>
        <v/>
      </c>
      <c r="U1763">
        <f>'19_Расчет_аналитики'!U1805</f>
        <v/>
      </c>
      <c r="V1763">
        <f>'19_Расчет_аналитики'!V1805</f>
        <v/>
      </c>
      <c r="W1763">
        <f>'19_Расчет_аналитики'!W1805</f>
        <v/>
      </c>
      <c r="X1763">
        <f>'19_Расчет_аналитики'!X1805</f>
        <v/>
      </c>
      <c r="Y1763">
        <f>'19_Расчет_аналитики'!Y1805</f>
        <v/>
      </c>
      <c r="Z1763">
        <f>'19_Расчет_аналитики'!Z1805</f>
        <v/>
      </c>
      <c r="AA1763">
        <f>'19_Расчет_аналитики'!AA1805</f>
        <v/>
      </c>
      <c r="AB1763">
        <f>'19_Расчет_аналитики'!AB1805</f>
        <v/>
      </c>
      <c r="AC1763">
        <f>'19_Расчет_аналитики'!AC1805</f>
        <v/>
      </c>
      <c r="AD1763">
        <f>'19_Расчет_аналитики'!AD1805</f>
        <v/>
      </c>
      <c r="AE1763">
        <f>'19_Расчет_аналитики'!AE1805</f>
        <v/>
      </c>
      <c r="AF1763">
        <f>'19_Расчет_аналитики'!AF1805</f>
        <v/>
      </c>
      <c r="AG1763">
        <f>'19_Расчет_аналитики'!AG1805</f>
        <v/>
      </c>
      <c r="AH1763">
        <f>'19_Расчет_аналитики'!AH1805</f>
        <v/>
      </c>
      <c r="AI1763">
        <f>'19_Расчет_аналитики'!AI1805</f>
        <v/>
      </c>
      <c r="AJ1763">
        <f>'19_Расчет_аналитики'!AJ1805</f>
        <v/>
      </c>
      <c r="AK1763">
        <f>'19_Расчет_аналитики'!AK1805</f>
        <v/>
      </c>
      <c r="AL1763">
        <f>'19_Расчет_аналитики'!AL1805</f>
        <v/>
      </c>
      <c r="AM1763">
        <f>'19_Расчет_аналитики'!AM1805</f>
        <v/>
      </c>
      <c r="AN1763">
        <f>'19_Расчет_аналитики'!AN1805</f>
        <v/>
      </c>
      <c r="AO1763">
        <f>'19_Расчет_аналитики'!AO1805</f>
        <v/>
      </c>
      <c r="AP1763">
        <f>'19_Расчет_аналитики'!AP1805</f>
        <v/>
      </c>
      <c r="AQ1763">
        <f>'19_Расчет_аналитики'!AQ1805</f>
        <v/>
      </c>
      <c r="AR1763">
        <f>'19_Расчет_аналитики'!AR1805</f>
        <v/>
      </c>
      <c r="AS1763">
        <f>'19_Расчет_аналитики'!AS1805</f>
        <v/>
      </c>
      <c r="AT1763">
        <f>'19_Расчет_аналитики'!AT1805</f>
        <v/>
      </c>
      <c r="AU1763">
        <f>'19_Расчет_аналитики'!AU1805</f>
        <v/>
      </c>
      <c r="AV1763">
        <f>'19_Расчет_аналитики'!AV1805</f>
        <v/>
      </c>
      <c r="AW1763">
        <f>'19_Расчет_аналитики'!AW1805</f>
        <v/>
      </c>
      <c r="AX1763">
        <f>'19_Расчет_аналитики'!AX1805</f>
        <v/>
      </c>
      <c r="AY1763">
        <f>'19_Расчет_аналитики'!AY1805</f>
        <v/>
      </c>
      <c r="AZ1763">
        <f>'19_Расчет_аналитики'!AZ1805</f>
        <v/>
      </c>
      <c r="BA1763">
        <f>'19_Расчет_аналитики'!BA1805</f>
        <v/>
      </c>
      <c r="BB1763">
        <f>'19_Расчет_аналитики'!BB1805</f>
        <v/>
      </c>
      <c r="BC1763">
        <f>'19_Расчет_аналитики'!BC1805</f>
        <v/>
      </c>
      <c r="BD1763">
        <f>'19_Расчет_аналитики'!BD1805</f>
        <v/>
      </c>
      <c r="BE1763">
        <f>'19_Расчет_аналитики'!BE1805</f>
        <v/>
      </c>
      <c r="BF1763">
        <f>'19_Расчет_аналитики'!BF1805</f>
        <v/>
      </c>
      <c r="BG1763">
        <f>'19_Расчет_аналитики'!BG1805</f>
        <v/>
      </c>
      <c r="BH1763">
        <f>'19_Расчет_аналитики'!BH1805</f>
        <v/>
      </c>
      <c r="BI1763">
        <f>'19_Расчет_аналитики'!BI1805</f>
        <v/>
      </c>
    </row>
    <row r="1764">
      <c r="B1764">
        <f>'19_Расчет_аналитики'!B1733</f>
        <v/>
      </c>
      <c r="C1764">
        <f>'19_Расчет_аналитики'!C1733</f>
        <v/>
      </c>
      <c r="D1764">
        <f>'19_Расчет_аналитики'!D1733</f>
        <v/>
      </c>
      <c r="E1764">
        <f>'19_Расчет_аналитики'!E1733</f>
        <v/>
      </c>
      <c r="F1764">
        <f>'19_Расчет_аналитики'!F1733</f>
        <v/>
      </c>
      <c r="G1764">
        <f>'19_Расчет_аналитики'!G1733</f>
        <v/>
      </c>
      <c r="H1764">
        <f>'19_Расчет_аналитики'!H1733</f>
        <v/>
      </c>
      <c r="I1764">
        <f>'19_Расчет_аналитики'!I1733</f>
        <v/>
      </c>
      <c r="J1764">
        <f>'19_Расчет_аналитики'!J1733</f>
        <v/>
      </c>
      <c r="K1764">
        <f>'19_Расчет_аналитики'!K1733</f>
        <v/>
      </c>
      <c r="L1764">
        <f>'19_Расчет_аналитики'!L1733</f>
        <v/>
      </c>
      <c r="M1764">
        <f>'19_Расчет_аналитики'!M1733</f>
        <v/>
      </c>
      <c r="N1764">
        <f>'19_Расчет_аналитики'!N1733</f>
        <v/>
      </c>
      <c r="O1764">
        <f>'19_Расчет_аналитики'!O1733</f>
        <v/>
      </c>
      <c r="P1764">
        <f>'19_Расчет_аналитики'!P1733</f>
        <v/>
      </c>
      <c r="Q1764">
        <f>'19_Расчет_аналитики'!Q1733</f>
        <v/>
      </c>
      <c r="R1764">
        <f>'19_Расчет_аналитики'!R1733</f>
        <v/>
      </c>
      <c r="S1764">
        <f>'19_Расчет_аналитики'!S1733</f>
        <v/>
      </c>
      <c r="T1764">
        <f>'19_Расчет_аналитики'!T1733</f>
        <v/>
      </c>
      <c r="U1764">
        <f>'19_Расчет_аналитики'!U1733</f>
        <v/>
      </c>
      <c r="V1764">
        <f>'19_Расчет_аналитики'!V1733</f>
        <v/>
      </c>
      <c r="W1764">
        <f>'19_Расчет_аналитики'!W1733</f>
        <v/>
      </c>
      <c r="X1764">
        <f>'19_Расчет_аналитики'!X1733</f>
        <v/>
      </c>
      <c r="Y1764">
        <f>'19_Расчет_аналитики'!Y1733</f>
        <v/>
      </c>
      <c r="Z1764">
        <f>'19_Расчет_аналитики'!Z1733</f>
        <v/>
      </c>
      <c r="AA1764">
        <f>'19_Расчет_аналитики'!AA1733</f>
        <v/>
      </c>
      <c r="AB1764">
        <f>'19_Расчет_аналитики'!AB1733</f>
        <v/>
      </c>
      <c r="AC1764">
        <f>'19_Расчет_аналитики'!AC1733</f>
        <v/>
      </c>
      <c r="AD1764">
        <f>'19_Расчет_аналитики'!AD1733</f>
        <v/>
      </c>
      <c r="AE1764">
        <f>'19_Расчет_аналитики'!AE1733</f>
        <v/>
      </c>
      <c r="AF1764">
        <f>'19_Расчет_аналитики'!AF1733</f>
        <v/>
      </c>
      <c r="AG1764">
        <f>'19_Расчет_аналитики'!AG1733</f>
        <v/>
      </c>
      <c r="AH1764">
        <f>'19_Расчет_аналитики'!AH1733</f>
        <v/>
      </c>
      <c r="AI1764">
        <f>'19_Расчет_аналитики'!AI1733</f>
        <v/>
      </c>
      <c r="AJ1764">
        <f>'19_Расчет_аналитики'!AJ1733</f>
        <v/>
      </c>
      <c r="AK1764">
        <f>'19_Расчет_аналитики'!AK1733</f>
        <v/>
      </c>
      <c r="AL1764">
        <f>'19_Расчет_аналитики'!AL1733</f>
        <v/>
      </c>
      <c r="AM1764">
        <f>'19_Расчет_аналитики'!AM1733</f>
        <v/>
      </c>
      <c r="AN1764">
        <f>'19_Расчет_аналитики'!AN1733</f>
        <v/>
      </c>
      <c r="AO1764">
        <f>'19_Расчет_аналитики'!AO1733</f>
        <v/>
      </c>
      <c r="AP1764">
        <f>'19_Расчет_аналитики'!AP1733</f>
        <v/>
      </c>
      <c r="AQ1764">
        <f>'19_Расчет_аналитики'!AQ1733</f>
        <v/>
      </c>
      <c r="AR1764">
        <f>'19_Расчет_аналитики'!AR1733</f>
        <v/>
      </c>
      <c r="AS1764">
        <f>'19_Расчет_аналитики'!AS1733</f>
        <v/>
      </c>
      <c r="AT1764">
        <f>'19_Расчет_аналитики'!AT1733</f>
        <v/>
      </c>
      <c r="AU1764">
        <f>'19_Расчет_аналитики'!AU1733</f>
        <v/>
      </c>
      <c r="AV1764">
        <f>'19_Расчет_аналитики'!AV1733</f>
        <v/>
      </c>
      <c r="AW1764">
        <f>'19_Расчет_аналитики'!AW1733</f>
        <v/>
      </c>
      <c r="AX1764">
        <f>'19_Расчет_аналитики'!AX1733</f>
        <v/>
      </c>
      <c r="AY1764">
        <f>'19_Расчет_аналитики'!AY1733</f>
        <v/>
      </c>
      <c r="AZ1764">
        <f>'19_Расчет_аналитики'!AZ1733</f>
        <v/>
      </c>
      <c r="BA1764">
        <f>'19_Расчет_аналитики'!BA1733</f>
        <v/>
      </c>
      <c r="BB1764">
        <f>'19_Расчет_аналитики'!BB1733</f>
        <v/>
      </c>
      <c r="BC1764">
        <f>'19_Расчет_аналитики'!BC1733</f>
        <v/>
      </c>
      <c r="BD1764">
        <f>'19_Расчет_аналитики'!BD1733</f>
        <v/>
      </c>
      <c r="BE1764">
        <f>'19_Расчет_аналитики'!BE1733</f>
        <v/>
      </c>
      <c r="BF1764">
        <f>'19_Расчет_аналитики'!BF1733</f>
        <v/>
      </c>
      <c r="BG1764">
        <f>'19_Расчет_аналитики'!BG1733</f>
        <v/>
      </c>
      <c r="BH1764">
        <f>'19_Расчет_аналитики'!BH1733</f>
        <v/>
      </c>
      <c r="BI1764">
        <f>'19_Расчет_аналитики'!BI1733</f>
        <v/>
      </c>
    </row>
    <row r="1765">
      <c r="B1765">
        <f>'01_Вводные'!$B$21*('19_Расчет_аналитики'!B1743+'02_Модель'!B38+'02_Модель'!B39+'02_Модель'!B40+'02_Модель'!B41+'19_Расчет_аналитики'!B1748+'19_Расчет_аналитики'!B1638)+(1-'01_Вводные'!$B$21)*0</f>
        <v/>
      </c>
      <c r="C1765">
        <f>'01_Вводные'!$B$21*('19_Расчет_аналитики'!C1743+'02_Модель'!C38+'02_Модель'!C39+'02_Модель'!C40+'02_Модель'!C41+'19_Расчет_аналитики'!C1748+'19_Расчет_аналитики'!C1638)+(1-'01_Вводные'!$B$21)*('19_Расчет_аналитики'!B1743+'02_Модель'!B38+'02_Модель'!B39+'02_Модель'!B40+'02_Модель'!B41+'19_Расчет_аналитики'!B1748+'19_Расчет_аналитики'!B1638)</f>
        <v/>
      </c>
      <c r="D1765">
        <f>'01_Вводные'!$B$21*('19_Расчет_аналитики'!D1743+'02_Модель'!D38+'02_Модель'!D39+'02_Модель'!D40+'02_Модель'!D41+'19_Расчет_аналитики'!D1748+'19_Расчет_аналитики'!D1638)+(1-'01_Вводные'!$B$21)*('19_Расчет_аналитики'!C1743+'02_Модель'!C38+'02_Модель'!C39+'02_Модель'!C40+'02_Модель'!C41+'19_Расчет_аналитики'!C1748+'19_Расчет_аналитики'!C1638)</f>
        <v/>
      </c>
      <c r="E1765">
        <f>'01_Вводные'!$B$21*('19_Расчет_аналитики'!E1743+'02_Модель'!E38+'02_Модель'!E39+'02_Модель'!E40+'02_Модель'!E41+'19_Расчет_аналитики'!E1748+'19_Расчет_аналитики'!E1638)+(1-'01_Вводные'!$B$21)*('19_Расчет_аналитики'!D1743+'02_Модель'!D38+'02_Модель'!D39+'02_Модель'!D40+'02_Модель'!D41+'19_Расчет_аналитики'!D1748+'19_Расчет_аналитики'!D1638)</f>
        <v/>
      </c>
      <c r="F1765">
        <f>'01_Вводные'!$B$21*('19_Расчет_аналитики'!F1743+'02_Модель'!F38+'02_Модель'!F39+'02_Модель'!F40+'02_Модель'!F41+'19_Расчет_аналитики'!F1748+'19_Расчет_аналитики'!F1638)+(1-'01_Вводные'!$B$21)*('19_Расчет_аналитики'!E1743+'02_Модель'!E38+'02_Модель'!E39+'02_Модель'!E40+'02_Модель'!E41+'19_Расчет_аналитики'!E1748+'19_Расчет_аналитики'!E1638)</f>
        <v/>
      </c>
      <c r="G1765">
        <f>'01_Вводные'!$B$21*('19_Расчет_аналитики'!G1743+'02_Модель'!G38+'02_Модель'!G39+'02_Модель'!G40+'02_Модель'!G41+'19_Расчет_аналитики'!G1748+'19_Расчет_аналитики'!G1638)+(1-'01_Вводные'!$B$21)*('19_Расчет_аналитики'!F1743+'02_Модель'!F38+'02_Модель'!F39+'02_Модель'!F40+'02_Модель'!F41+'19_Расчет_аналитики'!F1748+'19_Расчет_аналитики'!F1638)</f>
        <v/>
      </c>
      <c r="H1765">
        <f>'01_Вводные'!$B$21*('19_Расчет_аналитики'!H1743+'02_Модель'!H38+'02_Модель'!H39+'02_Модель'!H40+'02_Модель'!H41+'19_Расчет_аналитики'!H1748+'19_Расчет_аналитики'!H1638)+(1-'01_Вводные'!$B$21)*('19_Расчет_аналитики'!G1743+'02_Модель'!G38+'02_Модель'!G39+'02_Модель'!G40+'02_Модель'!G41+'19_Расчет_аналитики'!G1748+'19_Расчет_аналитики'!G1638)</f>
        <v/>
      </c>
      <c r="I1765">
        <f>'01_Вводные'!$B$21*('19_Расчет_аналитики'!I1743+'02_Модель'!I38+'02_Модель'!I39+'02_Модель'!I40+'02_Модель'!I41+'19_Расчет_аналитики'!I1748+'19_Расчет_аналитики'!I1638)+(1-'01_Вводные'!$B$21)*('19_Расчет_аналитики'!H1743+'02_Модель'!H38+'02_Модель'!H39+'02_Модель'!H40+'02_Модель'!H41+'19_Расчет_аналитики'!H1748+'19_Расчет_аналитики'!H1638)</f>
        <v/>
      </c>
      <c r="J1765">
        <f>'01_Вводные'!$B$21*('19_Расчет_аналитики'!J1743+'02_Модель'!J38+'02_Модель'!J39+'02_Модель'!J40+'02_Модель'!J41+'19_Расчет_аналитики'!J1748+'19_Расчет_аналитики'!J1638)+(1-'01_Вводные'!$B$21)*('19_Расчет_аналитики'!I1743+'02_Модель'!I38+'02_Модель'!I39+'02_Модель'!I40+'02_Модель'!I41+'19_Расчет_аналитики'!I1748+'19_Расчет_аналитики'!I1638)</f>
        <v/>
      </c>
      <c r="K1765">
        <f>'01_Вводные'!$B$21*('19_Расчет_аналитики'!K1743+'02_Модель'!K38+'02_Модель'!K39+'02_Модель'!K40+'02_Модель'!K41+'19_Расчет_аналитики'!K1748+'19_Расчет_аналитики'!K1638)+(1-'01_Вводные'!$B$21)*('19_Расчет_аналитики'!J1743+'02_Модель'!J38+'02_Модель'!J39+'02_Модель'!J40+'02_Модель'!J41+'19_Расчет_аналитики'!J1748+'19_Расчет_аналитики'!J1638)</f>
        <v/>
      </c>
      <c r="L1765">
        <f>'01_Вводные'!$B$21*('19_Расчет_аналитики'!L1743+'02_Модель'!L38+'02_Модель'!L39+'02_Модель'!L40+'02_Модель'!L41+'19_Расчет_аналитики'!L1748+'19_Расчет_аналитики'!L1638)+(1-'01_Вводные'!$B$21)*('19_Расчет_аналитики'!K1743+'02_Модель'!K38+'02_Модель'!K39+'02_Модель'!K40+'02_Модель'!K41+'19_Расчет_аналитики'!K1748+'19_Расчет_аналитики'!K1638)</f>
        <v/>
      </c>
      <c r="M1765">
        <f>'01_Вводные'!$B$21*('19_Расчет_аналитики'!M1743+'02_Модель'!M38+'02_Модель'!M39+'02_Модель'!M40+'02_Модель'!M41+'19_Расчет_аналитики'!M1748+'19_Расчет_аналитики'!M1638)+(1-'01_Вводные'!$B$21)*('19_Расчет_аналитики'!L1743+'02_Модель'!L38+'02_Модель'!L39+'02_Модель'!L40+'02_Модель'!L41+'19_Расчет_аналитики'!L1748+'19_Расчет_аналитики'!L1638)</f>
        <v/>
      </c>
      <c r="N1765">
        <f>'01_Вводные'!$B$21*('19_Расчет_аналитики'!N1743+'02_Модель'!N38+'02_Модель'!N39+'02_Модель'!N40+'02_Модель'!N41+'19_Расчет_аналитики'!N1748+'19_Расчет_аналитики'!N1638)+(1-'01_Вводные'!$B$21)*('19_Расчет_аналитики'!M1743+'02_Модель'!M38+'02_Модель'!M39+'02_Модель'!M40+'02_Модель'!M41+'19_Расчет_аналитики'!M1748+'19_Расчет_аналитики'!M1638)</f>
        <v/>
      </c>
      <c r="O1765">
        <f>'01_Вводные'!$B$21*('19_Расчет_аналитики'!O1743+'02_Модель'!O38+'02_Модель'!O39+'02_Модель'!O40+'02_Модель'!O41+'19_Расчет_аналитики'!O1748+'19_Расчет_аналитики'!O1638)+(1-'01_Вводные'!$B$21)*('19_Расчет_аналитики'!N1743+'02_Модель'!N38+'02_Модель'!N39+'02_Модель'!N40+'02_Модель'!N41+'19_Расчет_аналитики'!N1748+'19_Расчет_аналитики'!N1638)</f>
        <v/>
      </c>
      <c r="P1765">
        <f>'01_Вводные'!$B$21*('19_Расчет_аналитики'!P1743+'02_Модель'!P38+'02_Модель'!P39+'02_Модель'!P40+'02_Модель'!P41+'19_Расчет_аналитики'!P1748+'19_Расчет_аналитики'!P1638)+(1-'01_Вводные'!$B$21)*('19_Расчет_аналитики'!O1743+'02_Модель'!O38+'02_Модель'!O39+'02_Модель'!O40+'02_Модель'!O41+'19_Расчет_аналитики'!O1748+'19_Расчет_аналитики'!O1638)</f>
        <v/>
      </c>
      <c r="Q1765">
        <f>'01_Вводные'!$B$21*('19_Расчет_аналитики'!Q1743+'02_Модель'!Q38+'02_Модель'!Q39+'02_Модель'!Q40+'02_Модель'!Q41+'19_Расчет_аналитики'!Q1748+'19_Расчет_аналитики'!Q1638)+(1-'01_Вводные'!$B$21)*('19_Расчет_аналитики'!P1743+'02_Модель'!P38+'02_Модель'!P39+'02_Модель'!P40+'02_Модель'!P41+'19_Расчет_аналитики'!P1748+'19_Расчет_аналитики'!P1638)</f>
        <v/>
      </c>
      <c r="R1765">
        <f>'01_Вводные'!$B$21*('19_Расчет_аналитики'!R1743+'02_Модель'!R38+'02_Модель'!R39+'02_Модель'!R40+'02_Модель'!R41+'19_Расчет_аналитики'!R1748+'19_Расчет_аналитики'!R1638)+(1-'01_Вводные'!$B$21)*('19_Расчет_аналитики'!Q1743+'02_Модель'!Q38+'02_Модель'!Q39+'02_Модель'!Q40+'02_Модель'!Q41+'19_Расчет_аналитики'!Q1748+'19_Расчет_аналитики'!Q1638)</f>
        <v/>
      </c>
      <c r="S1765">
        <f>'01_Вводные'!$B$21*('19_Расчет_аналитики'!S1743+'02_Модель'!S38+'02_Модель'!S39+'02_Модель'!S40+'02_Модель'!S41+'19_Расчет_аналитики'!S1748+'19_Расчет_аналитики'!S1638)+(1-'01_Вводные'!$B$21)*('19_Расчет_аналитики'!R1743+'02_Модель'!R38+'02_Модель'!R39+'02_Модель'!R40+'02_Модель'!R41+'19_Расчет_аналитики'!R1748+'19_Расчет_аналитики'!R1638)</f>
        <v/>
      </c>
      <c r="T1765">
        <f>'01_Вводные'!$B$21*('19_Расчет_аналитики'!T1743+'02_Модель'!T38+'02_Модель'!T39+'02_Модель'!T40+'02_Модель'!T41+'19_Расчет_аналитики'!T1748+'19_Расчет_аналитики'!T1638)+(1-'01_Вводные'!$B$21)*('19_Расчет_аналитики'!S1743+'02_Модель'!S38+'02_Модель'!S39+'02_Модель'!S40+'02_Модель'!S41+'19_Расчет_аналитики'!S1748+'19_Расчет_аналитики'!S1638)</f>
        <v/>
      </c>
      <c r="U1765">
        <f>'01_Вводные'!$B$21*('19_Расчет_аналитики'!U1743+'02_Модель'!U38+'02_Модель'!U39+'02_Модель'!U40+'02_Модель'!U41+'19_Расчет_аналитики'!U1748+'19_Расчет_аналитики'!U1638)+(1-'01_Вводные'!$B$21)*('19_Расчет_аналитики'!T1743+'02_Модель'!T38+'02_Модель'!T39+'02_Модель'!T40+'02_Модель'!T41+'19_Расчет_аналитики'!T1748+'19_Расчет_аналитики'!T1638)</f>
        <v/>
      </c>
      <c r="V1765">
        <f>'01_Вводные'!$B$21*('19_Расчет_аналитики'!V1743+'02_Модель'!V38+'02_Модель'!V39+'02_Модель'!V40+'02_Модель'!V41+'19_Расчет_аналитики'!V1748+'19_Расчет_аналитики'!V1638)+(1-'01_Вводные'!$B$21)*('19_Расчет_аналитики'!U1743+'02_Модель'!U38+'02_Модель'!U39+'02_Модель'!U40+'02_Модель'!U41+'19_Расчет_аналитики'!U1748+'19_Расчет_аналитики'!U1638)</f>
        <v/>
      </c>
      <c r="W1765">
        <f>'01_Вводные'!$B$21*('19_Расчет_аналитики'!W1743+'02_Модель'!W38+'02_Модель'!W39+'02_Модель'!W40+'02_Модель'!W41+'19_Расчет_аналитики'!W1748+'19_Расчет_аналитики'!W1638)+(1-'01_Вводные'!$B$21)*('19_Расчет_аналитики'!V1743+'02_Модель'!V38+'02_Модель'!V39+'02_Модель'!V40+'02_Модель'!V41+'19_Расчет_аналитики'!V1748+'19_Расчет_аналитики'!V1638)</f>
        <v/>
      </c>
      <c r="X1765">
        <f>'01_Вводные'!$B$21*('19_Расчет_аналитики'!X1743+'02_Модель'!X38+'02_Модель'!X39+'02_Модель'!X40+'02_Модель'!X41+'19_Расчет_аналитики'!X1748+'19_Расчет_аналитики'!X1638)+(1-'01_Вводные'!$B$21)*('19_Расчет_аналитики'!W1743+'02_Модель'!W38+'02_Модель'!W39+'02_Модель'!W40+'02_Модель'!W41+'19_Расчет_аналитики'!W1748+'19_Расчет_аналитики'!W1638)</f>
        <v/>
      </c>
      <c r="Y1765">
        <f>'01_Вводные'!$B$21*('19_Расчет_аналитики'!Y1743+'02_Модель'!Y38+'02_Модель'!Y39+'02_Модель'!Y40+'02_Модель'!Y41+'19_Расчет_аналитики'!Y1748+'19_Расчет_аналитики'!Y1638)+(1-'01_Вводные'!$B$21)*('19_Расчет_аналитики'!X1743+'02_Модель'!X38+'02_Модель'!X39+'02_Модель'!X40+'02_Модель'!X41+'19_Расчет_аналитики'!X1748+'19_Расчет_аналитики'!X1638)</f>
        <v/>
      </c>
      <c r="Z1765">
        <f>'01_Вводные'!$B$21*('19_Расчет_аналитики'!Z1743+'02_Модель'!Z38+'02_Модель'!Z39+'02_Модель'!Z40+'02_Модель'!Z41+'19_Расчет_аналитики'!Z1748+'19_Расчет_аналитики'!Z1638)+(1-'01_Вводные'!$B$21)*('19_Расчет_аналитики'!Y1743+'02_Модель'!Y38+'02_Модель'!Y39+'02_Модель'!Y40+'02_Модель'!Y41+'19_Расчет_аналитики'!Y1748+'19_Расчет_аналитики'!Y1638)</f>
        <v/>
      </c>
      <c r="AA1765">
        <f>'01_Вводные'!$B$21*('19_Расчет_аналитики'!AA1743+'02_Модель'!AA38+'02_Модель'!AA39+'02_Модель'!AA40+'02_Модель'!AA41+'19_Расчет_аналитики'!AA1748+'19_Расчет_аналитики'!AA1638)+(1-'01_Вводные'!$B$21)*('19_Расчет_аналитики'!Z1743+'02_Модель'!Z38+'02_Модель'!Z39+'02_Модель'!Z40+'02_Модель'!Z41+'19_Расчет_аналитики'!Z1748+'19_Расчет_аналитики'!Z1638)</f>
        <v/>
      </c>
      <c r="AB1765">
        <f>'01_Вводные'!$B$21*('19_Расчет_аналитики'!AB1743+'02_Модель'!AB38+'02_Модель'!AB39+'02_Модель'!AB40+'02_Модель'!AB41+'19_Расчет_аналитики'!AB1748+'19_Расчет_аналитики'!AB1638)+(1-'01_Вводные'!$B$21)*('19_Расчет_аналитики'!AA1743+'02_Модель'!AA38+'02_Модель'!AA39+'02_Модель'!AA40+'02_Модель'!AA41+'19_Расчет_аналитики'!AA1748+'19_Расчет_аналитики'!AA1638)</f>
        <v/>
      </c>
      <c r="AC1765">
        <f>'01_Вводные'!$B$21*('19_Расчет_аналитики'!AC1743+'02_Модель'!AC38+'02_Модель'!AC39+'02_Модель'!AC40+'02_Модель'!AC41+'19_Расчет_аналитики'!AC1748+'19_Расчет_аналитики'!AC1638)+(1-'01_Вводные'!$B$21)*('19_Расчет_аналитики'!AB1743+'02_Модель'!AB38+'02_Модель'!AB39+'02_Модель'!AB40+'02_Модель'!AB41+'19_Расчет_аналитики'!AB1748+'19_Расчет_аналитики'!AB1638)</f>
        <v/>
      </c>
      <c r="AD1765">
        <f>'01_Вводные'!$B$21*('19_Расчет_аналитики'!AD1743+'02_Модель'!AD38+'02_Модель'!AD39+'02_Модель'!AD40+'02_Модель'!AD41+'19_Расчет_аналитики'!AD1748+'19_Расчет_аналитики'!AD1638)+(1-'01_Вводные'!$B$21)*('19_Расчет_аналитики'!AC1743+'02_Модель'!AC38+'02_Модель'!AC39+'02_Модель'!AC40+'02_Модель'!AC41+'19_Расчет_аналитики'!AC1748+'19_Расчет_аналитики'!AC1638)</f>
        <v/>
      </c>
      <c r="AE1765">
        <f>'01_Вводные'!$B$21*('19_Расчет_аналитики'!AE1743+'02_Модель'!AE38+'02_Модель'!AE39+'02_Модель'!AE40+'02_Модель'!AE41+'19_Расчет_аналитики'!AE1748+'19_Расчет_аналитики'!AE1638)+(1-'01_Вводные'!$B$21)*('19_Расчет_аналитики'!AD1743+'02_Модель'!AD38+'02_Модель'!AD39+'02_Модель'!AD40+'02_Модель'!AD41+'19_Расчет_аналитики'!AD1748+'19_Расчет_аналитики'!AD1638)</f>
        <v/>
      </c>
      <c r="AF1765">
        <f>'01_Вводные'!$B$21*('19_Расчет_аналитики'!AF1743+'02_Модель'!AF38+'02_Модель'!AF39+'02_Модель'!AF40+'02_Модель'!AF41+'19_Расчет_аналитики'!AF1748+'19_Расчет_аналитики'!AF1638)+(1-'01_Вводные'!$B$21)*('19_Расчет_аналитики'!AE1743+'02_Модель'!AE38+'02_Модель'!AE39+'02_Модель'!AE40+'02_Модель'!AE41+'19_Расчет_аналитики'!AE1748+'19_Расчет_аналитики'!AE1638)</f>
        <v/>
      </c>
      <c r="AG1765">
        <f>'01_Вводные'!$B$21*('19_Расчет_аналитики'!AG1743+'02_Модель'!AG38+'02_Модель'!AG39+'02_Модель'!AG40+'02_Модель'!AG41+'19_Расчет_аналитики'!AG1748+'19_Расчет_аналитики'!AG1638)+(1-'01_Вводные'!$B$21)*('19_Расчет_аналитики'!AF1743+'02_Модель'!AF38+'02_Модель'!AF39+'02_Модель'!AF40+'02_Модель'!AF41+'19_Расчет_аналитики'!AF1748+'19_Расчет_аналитики'!AF1638)</f>
        <v/>
      </c>
      <c r="AH1765">
        <f>'01_Вводные'!$B$21*('19_Расчет_аналитики'!AH1743+'02_Модель'!AH38+'02_Модель'!AH39+'02_Модель'!AH40+'02_Модель'!AH41+'19_Расчет_аналитики'!AH1748+'19_Расчет_аналитики'!AH1638)+(1-'01_Вводные'!$B$21)*('19_Расчет_аналитики'!AG1743+'02_Модель'!AG38+'02_Модель'!AG39+'02_Модель'!AG40+'02_Модель'!AG41+'19_Расчет_аналитики'!AG1748+'19_Расчет_аналитики'!AG1638)</f>
        <v/>
      </c>
      <c r="AI1765">
        <f>'01_Вводные'!$B$21*('19_Расчет_аналитики'!AI1743+'02_Модель'!AI38+'02_Модель'!AI39+'02_Модель'!AI40+'02_Модель'!AI41+'19_Расчет_аналитики'!AI1748+'19_Расчет_аналитики'!AI1638)+(1-'01_Вводные'!$B$21)*('19_Расчет_аналитики'!AH1743+'02_Модель'!AH38+'02_Модель'!AH39+'02_Модель'!AH40+'02_Модель'!AH41+'19_Расчет_аналитики'!AH1748+'19_Расчет_аналитики'!AH1638)</f>
        <v/>
      </c>
      <c r="AJ1765">
        <f>'01_Вводные'!$B$21*('19_Расчет_аналитики'!AJ1743+'02_Модель'!AJ38+'02_Модель'!AJ39+'02_Модель'!AJ40+'02_Модель'!AJ41+'19_Расчет_аналитики'!AJ1748+'19_Расчет_аналитики'!AJ1638)+(1-'01_Вводные'!$B$21)*('19_Расчет_аналитики'!AI1743+'02_Модель'!AI38+'02_Модель'!AI39+'02_Модель'!AI40+'02_Модель'!AI41+'19_Расчет_аналитики'!AI1748+'19_Расчет_аналитики'!AI1638)</f>
        <v/>
      </c>
      <c r="AK1765">
        <f>'01_Вводные'!$B$21*('19_Расчет_аналитики'!AK1743+'02_Модель'!AK38+'02_Модель'!AK39+'02_Модель'!AK40+'02_Модель'!AK41+'19_Расчет_аналитики'!AK1748+'19_Расчет_аналитики'!AK1638)+(1-'01_Вводные'!$B$21)*('19_Расчет_аналитики'!AJ1743+'02_Модель'!AJ38+'02_Модель'!AJ39+'02_Модель'!AJ40+'02_Модель'!AJ41+'19_Расчет_аналитики'!AJ1748+'19_Расчет_аналитики'!AJ1638)</f>
        <v/>
      </c>
      <c r="AL1765">
        <f>'01_Вводные'!$B$21*('19_Расчет_аналитики'!AL1743+'02_Модель'!AL38+'02_Модель'!AL39+'02_Модель'!AL40+'02_Модель'!AL41+'19_Расчет_аналитики'!AL1748+'19_Расчет_аналитики'!AL1638)+(1-'01_Вводные'!$B$21)*('19_Расчет_аналитики'!AK1743+'02_Модель'!AK38+'02_Модель'!AK39+'02_Модель'!AK40+'02_Модель'!AK41+'19_Расчет_аналитики'!AK1748+'19_Расчет_аналитики'!AK1638)</f>
        <v/>
      </c>
      <c r="AM1765">
        <f>'01_Вводные'!$B$21*('19_Расчет_аналитики'!AM1743+'02_Модель'!AM38+'02_Модель'!AM39+'02_Модель'!AM40+'02_Модель'!AM41+'19_Расчет_аналитики'!AM1748+'19_Расчет_аналитики'!AM1638)+(1-'01_Вводные'!$B$21)*('19_Расчет_аналитики'!AL1743+'02_Модель'!AL38+'02_Модель'!AL39+'02_Модель'!AL40+'02_Модель'!AL41+'19_Расчет_аналитики'!AL1748+'19_Расчет_аналитики'!AL1638)</f>
        <v/>
      </c>
      <c r="AN1765">
        <f>'01_Вводные'!$B$21*('19_Расчет_аналитики'!AN1743+'02_Модель'!AN38+'02_Модель'!AN39+'02_Модель'!AN40+'02_Модель'!AN41+'19_Расчет_аналитики'!AN1748+'19_Расчет_аналитики'!AN1638)+(1-'01_Вводные'!$B$21)*('19_Расчет_аналитики'!AM1743+'02_Модель'!AM38+'02_Модель'!AM39+'02_Модель'!AM40+'02_Модель'!AM41+'19_Расчет_аналитики'!AM1748+'19_Расчет_аналитики'!AM1638)</f>
        <v/>
      </c>
      <c r="AO1765">
        <f>'01_Вводные'!$B$21*('19_Расчет_аналитики'!AO1743+'02_Модель'!AO38+'02_Модель'!AO39+'02_Модель'!AO40+'02_Модель'!AO41+'19_Расчет_аналитики'!AO1748+'19_Расчет_аналитики'!AO1638)+(1-'01_Вводные'!$B$21)*('19_Расчет_аналитики'!AN1743+'02_Модель'!AN38+'02_Модель'!AN39+'02_Модель'!AN40+'02_Модель'!AN41+'19_Расчет_аналитики'!AN1748+'19_Расчет_аналитики'!AN1638)</f>
        <v/>
      </c>
      <c r="AP1765">
        <f>'01_Вводные'!$B$21*('19_Расчет_аналитики'!AP1743+'02_Модель'!AP38+'02_Модель'!AP39+'02_Модель'!AP40+'02_Модель'!AP41+'19_Расчет_аналитики'!AP1748+'19_Расчет_аналитики'!AP1638)+(1-'01_Вводные'!$B$21)*('19_Расчет_аналитики'!AO1743+'02_Модель'!AO38+'02_Модель'!AO39+'02_Модель'!AO40+'02_Модель'!AO41+'19_Расчет_аналитики'!AO1748+'19_Расчет_аналитики'!AO1638)</f>
        <v/>
      </c>
      <c r="AQ1765">
        <f>'01_Вводные'!$B$21*('19_Расчет_аналитики'!AQ1743+'02_Модель'!AQ38+'02_Модель'!AQ39+'02_Модель'!AQ40+'02_Модель'!AQ41+'19_Расчет_аналитики'!AQ1748+'19_Расчет_аналитики'!AQ1638)+(1-'01_Вводные'!$B$21)*('19_Расчет_аналитики'!AP1743+'02_Модель'!AP38+'02_Модель'!AP39+'02_Модель'!AP40+'02_Модель'!AP41+'19_Расчет_аналитики'!AP1748+'19_Расчет_аналитики'!AP1638)</f>
        <v/>
      </c>
      <c r="AR1765">
        <f>'01_Вводные'!$B$21*('19_Расчет_аналитики'!AR1743+'02_Модель'!AR38+'02_Модель'!AR39+'02_Модель'!AR40+'02_Модель'!AR41+'19_Расчет_аналитики'!AR1748+'19_Расчет_аналитики'!AR1638)+(1-'01_Вводные'!$B$21)*('19_Расчет_аналитики'!AQ1743+'02_Модель'!AQ38+'02_Модель'!AQ39+'02_Модель'!AQ40+'02_Модель'!AQ41+'19_Расчет_аналитики'!AQ1748+'19_Расчет_аналитики'!AQ1638)</f>
        <v/>
      </c>
      <c r="AS1765">
        <f>'01_Вводные'!$B$21*('19_Расчет_аналитики'!AS1743+'02_Модель'!AS38+'02_Модель'!AS39+'02_Модель'!AS40+'02_Модель'!AS41+'19_Расчет_аналитики'!AS1748+'19_Расчет_аналитики'!AS1638)+(1-'01_Вводные'!$B$21)*('19_Расчет_аналитики'!AR1743+'02_Модель'!AR38+'02_Модель'!AR39+'02_Модель'!AR40+'02_Модель'!AR41+'19_Расчет_аналитики'!AR1748+'19_Расчет_аналитики'!AR1638)</f>
        <v/>
      </c>
      <c r="AT1765">
        <f>'01_Вводные'!$B$21*('19_Расчет_аналитики'!AT1743+'02_Модель'!AT38+'02_Модель'!AT39+'02_Модель'!AT40+'02_Модель'!AT41+'19_Расчет_аналитики'!AT1748+'19_Расчет_аналитики'!AT1638)+(1-'01_Вводные'!$B$21)*('19_Расчет_аналитики'!AS1743+'02_Модель'!AS38+'02_Модель'!AS39+'02_Модель'!AS40+'02_Модель'!AS41+'19_Расчет_аналитики'!AS1748+'19_Расчет_аналитики'!AS1638)</f>
        <v/>
      </c>
      <c r="AU1765">
        <f>'01_Вводные'!$B$21*('19_Расчет_аналитики'!AU1743+'02_Модель'!AU38+'02_Модель'!AU39+'02_Модель'!AU40+'02_Модель'!AU41+'19_Расчет_аналитики'!AU1748+'19_Расчет_аналитики'!AU1638)+(1-'01_Вводные'!$B$21)*('19_Расчет_аналитики'!AT1743+'02_Модель'!AT38+'02_Модель'!AT39+'02_Модель'!AT40+'02_Модель'!AT41+'19_Расчет_аналитики'!AT1748+'19_Расчет_аналитики'!AT1638)</f>
        <v/>
      </c>
      <c r="AV1765">
        <f>'01_Вводные'!$B$21*('19_Расчет_аналитики'!AV1743+'02_Модель'!AV38+'02_Модель'!AV39+'02_Модель'!AV40+'02_Модель'!AV41+'19_Расчет_аналитики'!AV1748+'19_Расчет_аналитики'!AV1638)+(1-'01_Вводные'!$B$21)*('19_Расчет_аналитики'!AU1743+'02_Модель'!AU38+'02_Модель'!AU39+'02_Модель'!AU40+'02_Модель'!AU41+'19_Расчет_аналитики'!AU1748+'19_Расчет_аналитики'!AU1638)</f>
        <v/>
      </c>
      <c r="AW1765">
        <f>'01_Вводные'!$B$21*('19_Расчет_аналитики'!AW1743+'02_Модель'!AW38+'02_Модель'!AW39+'02_Модель'!AW40+'02_Модель'!AW41+'19_Расчет_аналитики'!AW1748+'19_Расчет_аналитики'!AW1638)+(1-'01_Вводные'!$B$21)*('19_Расчет_аналитики'!AV1743+'02_Модель'!AV38+'02_Модель'!AV39+'02_Модель'!AV40+'02_Модель'!AV41+'19_Расчет_аналитики'!AV1748+'19_Расчет_аналитики'!AV1638)</f>
        <v/>
      </c>
      <c r="AX1765">
        <f>'01_Вводные'!$B$21*('19_Расчет_аналитики'!AX1743+'02_Модель'!AX38+'02_Модель'!AX39+'02_Модель'!AX40+'02_Модель'!AX41+'19_Расчет_аналитики'!AX1748+'19_Расчет_аналитики'!AX1638)+(1-'01_Вводные'!$B$21)*('19_Расчет_аналитики'!AW1743+'02_Модель'!AW38+'02_Модель'!AW39+'02_Модель'!AW40+'02_Модель'!AW41+'19_Расчет_аналитики'!AW1748+'19_Расчет_аналитики'!AW1638)</f>
        <v/>
      </c>
      <c r="AY1765">
        <f>'01_Вводные'!$B$21*('19_Расчет_аналитики'!AY1743+'02_Модель'!AY38+'02_Модель'!AY39+'02_Модель'!AY40+'02_Модель'!AY41+'19_Расчет_аналитики'!AY1748+'19_Расчет_аналитики'!AY1638)+(1-'01_Вводные'!$B$21)*('19_Расчет_аналитики'!AX1743+'02_Модель'!AX38+'02_Модель'!AX39+'02_Модель'!AX40+'02_Модель'!AX41+'19_Расчет_аналитики'!AX1748+'19_Расчет_аналитики'!AX1638)</f>
        <v/>
      </c>
      <c r="AZ1765">
        <f>'01_Вводные'!$B$21*('19_Расчет_аналитики'!AZ1743+'02_Модель'!AZ38+'02_Модель'!AZ39+'02_Модель'!AZ40+'02_Модель'!AZ41+'19_Расчет_аналитики'!AZ1748+'19_Расчет_аналитики'!AZ1638)+(1-'01_Вводные'!$B$21)*('19_Расчет_аналитики'!AY1743+'02_Модель'!AY38+'02_Модель'!AY39+'02_Модель'!AY40+'02_Модель'!AY41+'19_Расчет_аналитики'!AY1748+'19_Расчет_аналитики'!AY1638)</f>
        <v/>
      </c>
      <c r="BA1765">
        <f>'01_Вводные'!$B$21*('19_Расчет_аналитики'!BA1743+'02_Модель'!BA38+'02_Модель'!BA39+'02_Модель'!BA40+'02_Модель'!BA41+'19_Расчет_аналитики'!BA1748+'19_Расчет_аналитики'!BA1638)+(1-'01_Вводные'!$B$21)*('19_Расчет_аналитики'!AZ1743+'02_Модель'!AZ38+'02_Модель'!AZ39+'02_Модель'!AZ40+'02_Модель'!AZ41+'19_Расчет_аналитики'!AZ1748+'19_Расчет_аналитики'!AZ1638)</f>
        <v/>
      </c>
      <c r="BB1765">
        <f>'01_Вводные'!$B$21*('19_Расчет_аналитики'!BB1743+'02_Модель'!BB38+'02_Модель'!BB39+'02_Модель'!BB40+'02_Модель'!BB41+'19_Расчет_аналитики'!BB1748+'19_Расчет_аналитики'!BB1638)+(1-'01_Вводные'!$B$21)*('19_Расчет_аналитики'!BA1743+'02_Модель'!BA38+'02_Модель'!BA39+'02_Модель'!BA40+'02_Модель'!BA41+'19_Расчет_аналитики'!BA1748+'19_Расчет_аналитики'!BA1638)</f>
        <v/>
      </c>
      <c r="BC1765">
        <f>'01_Вводные'!$B$21*('19_Расчет_аналитики'!BC1743+'02_Модель'!BC38+'02_Модель'!BC39+'02_Модель'!BC40+'02_Модель'!BC41+'19_Расчет_аналитики'!BC1748+'19_Расчет_аналитики'!BC1638)+(1-'01_Вводные'!$B$21)*('19_Расчет_аналитики'!BB1743+'02_Модель'!BB38+'02_Модель'!BB39+'02_Модель'!BB40+'02_Модель'!BB41+'19_Расчет_аналитики'!BB1748+'19_Расчет_аналитики'!BB1638)</f>
        <v/>
      </c>
      <c r="BD1765">
        <f>'01_Вводные'!$B$21*('19_Расчет_аналитики'!BD1743+'02_Модель'!BD38+'02_Модель'!BD39+'02_Модель'!BD40+'02_Модель'!BD41+'19_Расчет_аналитики'!BD1748+'19_Расчет_аналитики'!BD1638)+(1-'01_Вводные'!$B$21)*('19_Расчет_аналитики'!BC1743+'02_Модель'!BC38+'02_Модель'!BC39+'02_Модель'!BC40+'02_Модель'!BC41+'19_Расчет_аналитики'!BC1748+'19_Расчет_аналитики'!BC1638)</f>
        <v/>
      </c>
      <c r="BE1765">
        <f>'01_Вводные'!$B$21*('19_Расчет_аналитики'!BE1743+'02_Модель'!BE38+'02_Модель'!BE39+'02_Модель'!BE40+'02_Модель'!BE41+'19_Расчет_аналитики'!BE1748+'19_Расчет_аналитики'!BE1638)+(1-'01_Вводные'!$B$21)*('19_Расчет_аналитики'!BD1743+'02_Модель'!BD38+'02_Модель'!BD39+'02_Модель'!BD40+'02_Модель'!BD41+'19_Расчет_аналитики'!BD1748+'19_Расчет_аналитики'!BD1638)</f>
        <v/>
      </c>
      <c r="BF1765">
        <f>'01_Вводные'!$B$21*('19_Расчет_аналитики'!BF1743+'02_Модель'!BF38+'02_Модель'!BF39+'02_Модель'!BF40+'02_Модель'!BF41+'19_Расчет_аналитики'!BF1748+'19_Расчет_аналитики'!BF1638)+(1-'01_Вводные'!$B$21)*('19_Расчет_аналитики'!BE1743+'02_Модель'!BE38+'02_Модель'!BE39+'02_Модель'!BE40+'02_Модель'!BE41+'19_Расчет_аналитики'!BE1748+'19_Расчет_аналитики'!BE1638)</f>
        <v/>
      </c>
      <c r="BG1765">
        <f>'01_Вводные'!$B$21*('19_Расчет_аналитики'!BG1743+'02_Модель'!BG38+'02_Модель'!BG39+'02_Модель'!BG40+'02_Модель'!BG41+'19_Расчет_аналитики'!BG1748+'19_Расчет_аналитики'!BG1638)+(1-'01_Вводные'!$B$21)*('19_Расчет_аналитики'!BF1743+'02_Модель'!BF38+'02_Модель'!BF39+'02_Модель'!BF40+'02_Модель'!BF41+'19_Расчет_аналитики'!BF1748+'19_Расчет_аналитики'!BF1638)</f>
        <v/>
      </c>
      <c r="BH1765">
        <f>'01_Вводные'!$B$21*('19_Расчет_аналитики'!BH1743+'02_Модель'!BH38+'02_Модель'!BH39+'02_Модель'!BH40+'02_Модель'!BH41+'19_Расчет_аналитики'!BH1748+'19_Расчет_аналитики'!BH1638)+(1-'01_Вводные'!$B$21)*('19_Расчет_аналитики'!BG1743+'02_Модель'!BG38+'02_Модель'!BG39+'02_Модель'!BG40+'02_Модель'!BG41+'19_Расчет_аналитики'!BG1748+'19_Расчет_аналитики'!BG1638)</f>
        <v/>
      </c>
      <c r="BI1765">
        <f>'01_Вводные'!$B$21*('19_Расчет_аналитики'!BI1743+'02_Модель'!BI38+'02_Модель'!BI39+'02_Модель'!BI40+'02_Модель'!BI41+'19_Расчет_аналитики'!BI1748+'19_Расчет_аналитики'!BI1638)+(1-'01_Вводные'!$B$21)*('19_Расчет_аналитики'!BH1743+'02_Модель'!BH38+'02_Модель'!BH39+'02_Модель'!BH40+'02_Модель'!BH41+'19_Расчет_аналитики'!BH1748+'19_Расчет_аналитики'!BH1638)</f>
        <v/>
      </c>
    </row>
    <row r="1766">
      <c r="B1766">
        <f>'02_Модель'!B60</f>
        <v/>
      </c>
      <c r="C1766">
        <f>'19_Расчет_аналитики'!C1742</f>
        <v/>
      </c>
      <c r="D1766">
        <f>'19_Расчет_аналитики'!D1742</f>
        <v/>
      </c>
      <c r="E1766">
        <f>'19_Расчет_аналитики'!E1742</f>
        <v/>
      </c>
      <c r="F1766">
        <f>'19_Расчет_аналитики'!F1742</f>
        <v/>
      </c>
      <c r="G1766">
        <f>'19_Расчет_аналитики'!G1742</f>
        <v/>
      </c>
      <c r="H1766">
        <f>'19_Расчет_аналитики'!H1742</f>
        <v/>
      </c>
      <c r="I1766">
        <f>'19_Расчет_аналитики'!I1742</f>
        <v/>
      </c>
      <c r="J1766">
        <f>'19_Расчет_аналитики'!J1742</f>
        <v/>
      </c>
      <c r="K1766">
        <f>'19_Расчет_аналитики'!K1742</f>
        <v/>
      </c>
      <c r="L1766">
        <f>'19_Расчет_аналитики'!L1742</f>
        <v/>
      </c>
      <c r="M1766">
        <f>'19_Расчет_аналитики'!M1742</f>
        <v/>
      </c>
      <c r="N1766">
        <f>'19_Расчет_аналитики'!N1742</f>
        <v/>
      </c>
      <c r="O1766">
        <f>'19_Расчет_аналитики'!O1742</f>
        <v/>
      </c>
      <c r="P1766">
        <f>'19_Расчет_аналитики'!P1742</f>
        <v/>
      </c>
      <c r="Q1766">
        <f>'19_Расчет_аналитики'!Q1742</f>
        <v/>
      </c>
      <c r="R1766">
        <f>'19_Расчет_аналитики'!R1742</f>
        <v/>
      </c>
      <c r="S1766">
        <f>'19_Расчет_аналитики'!S1742</f>
        <v/>
      </c>
      <c r="T1766">
        <f>'19_Расчет_аналитики'!T1742</f>
        <v/>
      </c>
      <c r="U1766">
        <f>'19_Расчет_аналитики'!U1742</f>
        <v/>
      </c>
      <c r="V1766">
        <f>'19_Расчет_аналитики'!V1742</f>
        <v/>
      </c>
      <c r="W1766">
        <f>'19_Расчет_аналитики'!W1742</f>
        <v/>
      </c>
      <c r="X1766">
        <f>'19_Расчет_аналитики'!X1742</f>
        <v/>
      </c>
      <c r="Y1766">
        <f>'19_Расчет_аналитики'!Y1742</f>
        <v/>
      </c>
      <c r="Z1766">
        <f>'19_Расчет_аналитики'!Z1742</f>
        <v/>
      </c>
      <c r="AA1766">
        <f>'19_Расчет_аналитики'!AA1742</f>
        <v/>
      </c>
      <c r="AB1766">
        <f>'19_Расчет_аналитики'!AB1742</f>
        <v/>
      </c>
      <c r="AC1766">
        <f>'19_Расчет_аналитики'!AC1742</f>
        <v/>
      </c>
      <c r="AD1766">
        <f>'19_Расчет_аналитики'!AD1742</f>
        <v/>
      </c>
      <c r="AE1766">
        <f>'19_Расчет_аналитики'!AE1742</f>
        <v/>
      </c>
      <c r="AF1766">
        <f>'19_Расчет_аналитики'!AF1742</f>
        <v/>
      </c>
      <c r="AG1766">
        <f>'19_Расчет_аналитики'!AG1742</f>
        <v/>
      </c>
      <c r="AH1766">
        <f>'19_Расчет_аналитики'!AH1742</f>
        <v/>
      </c>
      <c r="AI1766">
        <f>'19_Расчет_аналитики'!AI1742</f>
        <v/>
      </c>
      <c r="AJ1766">
        <f>'19_Расчет_аналитики'!AJ1742</f>
        <v/>
      </c>
      <c r="AK1766">
        <f>'19_Расчет_аналитики'!AK1742</f>
        <v/>
      </c>
      <c r="AL1766">
        <f>'19_Расчет_аналитики'!AL1742</f>
        <v/>
      </c>
      <c r="AM1766">
        <f>'19_Расчет_аналитики'!AM1742</f>
        <v/>
      </c>
      <c r="AN1766">
        <f>'19_Расчет_аналитики'!AN1742</f>
        <v/>
      </c>
      <c r="AO1766">
        <f>'19_Расчет_аналитики'!AO1742</f>
        <v/>
      </c>
      <c r="AP1766">
        <f>'19_Расчет_аналитики'!AP1742</f>
        <v/>
      </c>
      <c r="AQ1766">
        <f>'19_Расчет_аналитики'!AQ1742</f>
        <v/>
      </c>
      <c r="AR1766">
        <f>'19_Расчет_аналитики'!AR1742</f>
        <v/>
      </c>
      <c r="AS1766">
        <f>'19_Расчет_аналитики'!AS1742</f>
        <v/>
      </c>
      <c r="AT1766">
        <f>'19_Расчет_аналитики'!AT1742</f>
        <v/>
      </c>
      <c r="AU1766">
        <f>'19_Расчет_аналитики'!AU1742</f>
        <v/>
      </c>
      <c r="AV1766">
        <f>'19_Расчет_аналитики'!AV1742</f>
        <v/>
      </c>
      <c r="AW1766">
        <f>'19_Расчет_аналитики'!AW1742</f>
        <v/>
      </c>
      <c r="AX1766">
        <f>'19_Расчет_аналитики'!AX1742</f>
        <v/>
      </c>
      <c r="AY1766">
        <f>'19_Расчет_аналитики'!AY1742</f>
        <v/>
      </c>
      <c r="AZ1766">
        <f>'19_Расчет_аналитики'!AZ1742</f>
        <v/>
      </c>
      <c r="BA1766">
        <f>'19_Расчет_аналитики'!BA1742</f>
        <v/>
      </c>
      <c r="BB1766">
        <f>'19_Расчет_аналитики'!BB1742</f>
        <v/>
      </c>
      <c r="BC1766">
        <f>'19_Расчет_аналитики'!BC1742</f>
        <v/>
      </c>
      <c r="BD1766">
        <f>'19_Расчет_аналитики'!BD1742</f>
        <v/>
      </c>
      <c r="BE1766">
        <f>'19_Расчет_аналитики'!BE1742</f>
        <v/>
      </c>
      <c r="BF1766">
        <f>'19_Расчет_аналитики'!BF1742</f>
        <v/>
      </c>
      <c r="BG1766">
        <f>'19_Расчет_аналитики'!BG1742</f>
        <v/>
      </c>
      <c r="BH1766">
        <f>'19_Расчет_аналитики'!BH1742</f>
        <v/>
      </c>
      <c r="BI1766">
        <f>'19_Расчет_аналитики'!BI1742</f>
        <v/>
      </c>
    </row>
    <row r="1767">
      <c r="B1767">
        <f>'02_Модель'!B29+('19_Расчет_аналитики'!B1759/(1+'01_Вводные'!$B$58))*'01_Вводные'!$B$60+'19_Расчет_аналитики'!B1734</f>
        <v/>
      </c>
      <c r="C1767">
        <f>'19_Расчет_аналитики'!C1735+('19_Расчет_аналитики'!C1759/(1+'01_Вводные'!$B$58))*'01_Вводные'!$B$60+'19_Расчет_аналитики'!C1734</f>
        <v/>
      </c>
      <c r="D1767">
        <f>'19_Расчет_аналитики'!D1735+('19_Расчет_аналитики'!D1759/(1+'01_Вводные'!$B$58))*'01_Вводные'!$B$60+'19_Расчет_аналитики'!D1734</f>
        <v/>
      </c>
      <c r="E1767">
        <f>'19_Расчет_аналитики'!E1735+('19_Расчет_аналитики'!E1759/(1+'01_Вводные'!$B$58))*'01_Вводные'!$B$60+'19_Расчет_аналитики'!E1734</f>
        <v/>
      </c>
      <c r="F1767">
        <f>'19_Расчет_аналитики'!F1735+('19_Расчет_аналитики'!F1759/(1+'01_Вводные'!$B$58))*'01_Вводные'!$B$60+'19_Расчет_аналитики'!F1734</f>
        <v/>
      </c>
      <c r="G1767">
        <f>'19_Расчет_аналитики'!G1735+('19_Расчет_аналитики'!G1759/(1+'01_Вводные'!$B$58))*'01_Вводные'!$B$60+'19_Расчет_аналитики'!G1734</f>
        <v/>
      </c>
      <c r="H1767">
        <f>'19_Расчет_аналитики'!H1735+('19_Расчет_аналитики'!H1759/(1+'01_Вводные'!$B$58))*'01_Вводные'!$B$60+'19_Расчет_аналитики'!H1734</f>
        <v/>
      </c>
      <c r="I1767">
        <f>'19_Расчет_аналитики'!I1735+('19_Расчет_аналитики'!I1759/(1+'01_Вводные'!$B$58))*'01_Вводные'!$B$60+'19_Расчет_аналитики'!I1734</f>
        <v/>
      </c>
      <c r="J1767">
        <f>'19_Расчет_аналитики'!J1735+('19_Расчет_аналитики'!J1759/(1+'01_Вводные'!$B$58))*'01_Вводные'!$B$60+'19_Расчет_аналитики'!J1734</f>
        <v/>
      </c>
      <c r="K1767">
        <f>'19_Расчет_аналитики'!K1735+('19_Расчет_аналитики'!K1759/(1+'01_Вводные'!$B$58))*'01_Вводные'!$B$60+'19_Расчет_аналитики'!K1734</f>
        <v/>
      </c>
      <c r="L1767">
        <f>'19_Расчет_аналитики'!L1735+('19_Расчет_аналитики'!L1759/(1+'01_Вводные'!$B$58))*'01_Вводные'!$B$60+'19_Расчет_аналитики'!L1734</f>
        <v/>
      </c>
      <c r="M1767">
        <f>'19_Расчет_аналитики'!M1735+('19_Расчет_аналитики'!M1759/(1+'01_Вводные'!$B$58))*'01_Вводные'!$B$60+'19_Расчет_аналитики'!M1734</f>
        <v/>
      </c>
      <c r="N1767">
        <f>'19_Расчет_аналитики'!N1735+('19_Расчет_аналитики'!N1759/(1+'01_Вводные'!$B$58))*'01_Вводные'!$B$60+'19_Расчет_аналитики'!N1734</f>
        <v/>
      </c>
      <c r="O1767">
        <f>'19_Расчет_аналитики'!O1735+('19_Расчет_аналитики'!O1759/(1+'01_Вводные'!$B$58))*'01_Вводные'!$B$60+'19_Расчет_аналитики'!O1734</f>
        <v/>
      </c>
      <c r="P1767">
        <f>'19_Расчет_аналитики'!P1735+('19_Расчет_аналитики'!P1759/(1+'01_Вводные'!$B$58))*'01_Вводные'!$B$60+'19_Расчет_аналитики'!P1734</f>
        <v/>
      </c>
      <c r="Q1767">
        <f>'19_Расчет_аналитики'!Q1735+('19_Расчет_аналитики'!Q1759/(1+'01_Вводные'!$B$58))*'01_Вводные'!$B$60+'19_Расчет_аналитики'!Q1734</f>
        <v/>
      </c>
      <c r="R1767">
        <f>'19_Расчет_аналитики'!R1735+('19_Расчет_аналитики'!R1759/(1+'01_Вводные'!$B$58))*'01_Вводные'!$B$60+'19_Расчет_аналитики'!R1734</f>
        <v/>
      </c>
      <c r="S1767">
        <f>'19_Расчет_аналитики'!S1735+('19_Расчет_аналитики'!S1759/(1+'01_Вводные'!$B$58))*'01_Вводные'!$B$60+'19_Расчет_аналитики'!S1734</f>
        <v/>
      </c>
      <c r="T1767">
        <f>'19_Расчет_аналитики'!T1735+('19_Расчет_аналитики'!T1759/(1+'01_Вводные'!$B$58))*'01_Вводные'!$B$60+'19_Расчет_аналитики'!T1734</f>
        <v/>
      </c>
      <c r="U1767">
        <f>'19_Расчет_аналитики'!U1735+('19_Расчет_аналитики'!U1759/(1+'01_Вводные'!$B$58))*'01_Вводные'!$B$60+'19_Расчет_аналитики'!U1734</f>
        <v/>
      </c>
      <c r="V1767">
        <f>'19_Расчет_аналитики'!V1735+('19_Расчет_аналитики'!V1759/(1+'01_Вводные'!$B$58))*'01_Вводные'!$B$60+'19_Расчет_аналитики'!V1734</f>
        <v/>
      </c>
      <c r="W1767">
        <f>'19_Расчет_аналитики'!W1735+('19_Расчет_аналитики'!W1759/(1+'01_Вводные'!$B$58))*'01_Вводные'!$B$60+'19_Расчет_аналитики'!W1734</f>
        <v/>
      </c>
      <c r="X1767">
        <f>'19_Расчет_аналитики'!X1735+('19_Расчет_аналитики'!X1759/(1+'01_Вводные'!$B$58))*'01_Вводные'!$B$60+'19_Расчет_аналитики'!X1734</f>
        <v/>
      </c>
      <c r="Y1767">
        <f>'19_Расчет_аналитики'!Y1735+('19_Расчет_аналитики'!Y1759/(1+'01_Вводные'!$B$58))*'01_Вводные'!$B$60+'19_Расчет_аналитики'!Y1734</f>
        <v/>
      </c>
      <c r="Z1767">
        <f>'19_Расчет_аналитики'!Z1735+('19_Расчет_аналитики'!Z1759/(1+'01_Вводные'!$B$58))*'01_Вводные'!$B$60+'19_Расчет_аналитики'!Z1734</f>
        <v/>
      </c>
      <c r="AA1767">
        <f>'19_Расчет_аналитики'!AA1735+('19_Расчет_аналитики'!AA1759/(1+'01_Вводные'!$B$58))*'01_Вводные'!$B$60+'19_Расчет_аналитики'!AA1734</f>
        <v/>
      </c>
      <c r="AB1767">
        <f>'19_Расчет_аналитики'!AB1735+('19_Расчет_аналитики'!AB1759/(1+'01_Вводные'!$B$58))*'01_Вводные'!$B$60+'19_Расчет_аналитики'!AB1734</f>
        <v/>
      </c>
      <c r="AC1767">
        <f>'19_Расчет_аналитики'!AC1735+('19_Расчет_аналитики'!AC1759/(1+'01_Вводные'!$B$58))*'01_Вводные'!$B$60+'19_Расчет_аналитики'!AC1734</f>
        <v/>
      </c>
      <c r="AD1767">
        <f>'19_Расчет_аналитики'!AD1735+('19_Расчет_аналитики'!AD1759/(1+'01_Вводные'!$B$58))*'01_Вводные'!$B$60+'19_Расчет_аналитики'!AD1734</f>
        <v/>
      </c>
      <c r="AE1767">
        <f>'19_Расчет_аналитики'!AE1735+('19_Расчет_аналитики'!AE1759/(1+'01_Вводные'!$B$58))*'01_Вводные'!$B$60+'19_Расчет_аналитики'!AE1734</f>
        <v/>
      </c>
      <c r="AF1767">
        <f>'19_Расчет_аналитики'!AF1735+('19_Расчет_аналитики'!AF1759/(1+'01_Вводные'!$B$58))*'01_Вводные'!$B$60+'19_Расчет_аналитики'!AF1734</f>
        <v/>
      </c>
      <c r="AG1767">
        <f>'19_Расчет_аналитики'!AG1735+('19_Расчет_аналитики'!AG1759/(1+'01_Вводные'!$B$58))*'01_Вводные'!$B$60+'19_Расчет_аналитики'!AG1734</f>
        <v/>
      </c>
      <c r="AH1767">
        <f>'19_Расчет_аналитики'!AH1735+('19_Расчет_аналитики'!AH1759/(1+'01_Вводные'!$B$58))*'01_Вводные'!$B$60+'19_Расчет_аналитики'!AH1734</f>
        <v/>
      </c>
      <c r="AI1767">
        <f>'19_Расчет_аналитики'!AI1735+('19_Расчет_аналитики'!AI1759/(1+'01_Вводные'!$B$58))*'01_Вводные'!$B$60+'19_Расчет_аналитики'!AI1734</f>
        <v/>
      </c>
      <c r="AJ1767">
        <f>'19_Расчет_аналитики'!AJ1735+('19_Расчет_аналитики'!AJ1759/(1+'01_Вводные'!$B$58))*'01_Вводные'!$B$60+'19_Расчет_аналитики'!AJ1734</f>
        <v/>
      </c>
      <c r="AK1767">
        <f>'19_Расчет_аналитики'!AK1735+('19_Расчет_аналитики'!AK1759/(1+'01_Вводные'!$B$58))*'01_Вводные'!$B$60+'19_Расчет_аналитики'!AK1734</f>
        <v/>
      </c>
      <c r="AL1767">
        <f>'19_Расчет_аналитики'!AL1735+('19_Расчет_аналитики'!AL1759/(1+'01_Вводные'!$B$58))*'01_Вводные'!$B$60+'19_Расчет_аналитики'!AL1734</f>
        <v/>
      </c>
      <c r="AM1767">
        <f>'19_Расчет_аналитики'!AM1735+('19_Расчет_аналитики'!AM1759/(1+'01_Вводные'!$B$58))*'01_Вводные'!$B$60+'19_Расчет_аналитики'!AM1734</f>
        <v/>
      </c>
      <c r="AN1767">
        <f>'19_Расчет_аналитики'!AN1735+('19_Расчет_аналитики'!AN1759/(1+'01_Вводные'!$B$58))*'01_Вводные'!$B$60+'19_Расчет_аналитики'!AN1734</f>
        <v/>
      </c>
      <c r="AO1767">
        <f>'19_Расчет_аналитики'!AO1735+('19_Расчет_аналитики'!AO1759/(1+'01_Вводные'!$B$58))*'01_Вводные'!$B$60+'19_Расчет_аналитики'!AO1734</f>
        <v/>
      </c>
      <c r="AP1767">
        <f>'19_Расчет_аналитики'!AP1735+('19_Расчет_аналитики'!AP1759/(1+'01_Вводные'!$B$58))*'01_Вводные'!$B$60+'19_Расчет_аналитики'!AP1734</f>
        <v/>
      </c>
      <c r="AQ1767">
        <f>'19_Расчет_аналитики'!AQ1735+('19_Расчет_аналитики'!AQ1759/(1+'01_Вводные'!$B$58))*'01_Вводные'!$B$60+'19_Расчет_аналитики'!AQ1734</f>
        <v/>
      </c>
      <c r="AR1767">
        <f>'19_Расчет_аналитики'!AR1735+('19_Расчет_аналитики'!AR1759/(1+'01_Вводные'!$B$58))*'01_Вводные'!$B$60+'19_Расчет_аналитики'!AR1734</f>
        <v/>
      </c>
      <c r="AS1767">
        <f>'19_Расчет_аналитики'!AS1735+('19_Расчет_аналитики'!AS1759/(1+'01_Вводные'!$B$58))*'01_Вводные'!$B$60+'19_Расчет_аналитики'!AS1734</f>
        <v/>
      </c>
      <c r="AT1767">
        <f>'19_Расчет_аналитики'!AT1735+('19_Расчет_аналитики'!AT1759/(1+'01_Вводные'!$B$58))*'01_Вводные'!$B$60+'19_Расчет_аналитики'!AT1734</f>
        <v/>
      </c>
      <c r="AU1767">
        <f>'19_Расчет_аналитики'!AU1735+('19_Расчет_аналитики'!AU1759/(1+'01_Вводные'!$B$58))*'01_Вводные'!$B$60+'19_Расчет_аналитики'!AU1734</f>
        <v/>
      </c>
      <c r="AV1767">
        <f>'19_Расчет_аналитики'!AV1735+('19_Расчет_аналитики'!AV1759/(1+'01_Вводные'!$B$58))*'01_Вводные'!$B$60+'19_Расчет_аналитики'!AV1734</f>
        <v/>
      </c>
      <c r="AW1767">
        <f>'19_Расчет_аналитики'!AW1735+('19_Расчет_аналитики'!AW1759/(1+'01_Вводные'!$B$58))*'01_Вводные'!$B$60+'19_Расчет_аналитики'!AW1734</f>
        <v/>
      </c>
      <c r="AX1767">
        <f>'19_Расчет_аналитики'!AX1735+('19_Расчет_аналитики'!AX1759/(1+'01_Вводные'!$B$58))*'01_Вводные'!$B$60+'19_Расчет_аналитики'!AX1734</f>
        <v/>
      </c>
      <c r="AY1767">
        <f>'19_Расчет_аналитики'!AY1735+('19_Расчет_аналитики'!AY1759/(1+'01_Вводные'!$B$58))*'01_Вводные'!$B$60+'19_Расчет_аналитики'!AY1734</f>
        <v/>
      </c>
      <c r="AZ1767">
        <f>'19_Расчет_аналитики'!AZ1735+('19_Расчет_аналитики'!AZ1759/(1+'01_Вводные'!$B$58))*'01_Вводные'!$B$60+'19_Расчет_аналитики'!AZ1734</f>
        <v/>
      </c>
      <c r="BA1767">
        <f>'19_Расчет_аналитики'!BA1735+('19_Расчет_аналитики'!BA1759/(1+'01_Вводные'!$B$58))*'01_Вводные'!$B$60+'19_Расчет_аналитики'!BA1734</f>
        <v/>
      </c>
      <c r="BB1767">
        <f>'19_Расчет_аналитики'!BB1735+('19_Расчет_аналитики'!BB1759/(1+'01_Вводные'!$B$58))*'01_Вводные'!$B$60+'19_Расчет_аналитики'!BB1734</f>
        <v/>
      </c>
      <c r="BC1767">
        <f>'19_Расчет_аналитики'!BC1735+('19_Расчет_аналитики'!BC1759/(1+'01_Вводные'!$B$58))*'01_Вводные'!$B$60+'19_Расчет_аналитики'!BC1734</f>
        <v/>
      </c>
      <c r="BD1767">
        <f>'19_Расчет_аналитики'!BD1735+('19_Расчет_аналитики'!BD1759/(1+'01_Вводные'!$B$58))*'01_Вводные'!$B$60+'19_Расчет_аналитики'!BD1734</f>
        <v/>
      </c>
      <c r="BE1767">
        <f>'19_Расчет_аналитики'!BE1735+('19_Расчет_аналитики'!BE1759/(1+'01_Вводные'!$B$58))*'01_Вводные'!$B$60+'19_Расчет_аналитики'!BE1734</f>
        <v/>
      </c>
      <c r="BF1767">
        <f>'19_Расчет_аналитики'!BF1735+('19_Расчет_аналитики'!BF1759/(1+'01_Вводные'!$B$58))*'01_Вводные'!$B$60+'19_Расчет_аналитики'!BF1734</f>
        <v/>
      </c>
      <c r="BG1767">
        <f>'19_Расчет_аналитики'!BG1735+('19_Расчет_аналитики'!BG1759/(1+'01_Вводные'!$B$58))*'01_Вводные'!$B$60+'19_Расчет_аналитики'!BG1734</f>
        <v/>
      </c>
      <c r="BH1767">
        <f>'19_Расчет_аналитики'!BH1735+('19_Расчет_аналитики'!BH1759/(1+'01_Вводные'!$B$58))*'01_Вводные'!$B$60+'19_Расчет_аналитики'!BH1734</f>
        <v/>
      </c>
      <c r="BI1767">
        <f>'19_Расчет_аналитики'!BI1735+('19_Расчет_аналитики'!BI1759/(1+'01_Вводные'!$B$58))*'01_Вводные'!$B$60+'19_Расчет_аналитики'!BI1734</f>
        <v/>
      </c>
    </row>
    <row r="1768">
      <c r="B1768">
        <f>('02_Модель'!B52+'19_Расчет_аналитики'!B1759+'19_Расчет_аналитики'!B1760)-('02_Модель'!B52+'19_Расчет_аналитики'!B1759+'19_Расчет_аналитики'!B1760)/(1+'01_Вводные'!$B$58)</f>
        <v/>
      </c>
      <c r="C1768">
        <f>('19_Расчет_аналитики'!C1758+'19_Расчет_аналитики'!C1759+'19_Расчет_аналитики'!C1760)-('19_Расчет_аналитики'!C1758+'19_Расчет_аналитики'!C1759+'19_Расчет_аналитики'!C1760)/(1+'01_Вводные'!$B$58)</f>
        <v/>
      </c>
      <c r="D1768">
        <f>('19_Расчет_аналитики'!D1758+'19_Расчет_аналитики'!D1759+'19_Расчет_аналитики'!D1760)-('19_Расчет_аналитики'!D1758+'19_Расчет_аналитики'!D1759+'19_Расчет_аналитики'!D1760)/(1+'01_Вводные'!$B$58)</f>
        <v/>
      </c>
      <c r="E1768">
        <f>('19_Расчет_аналитики'!E1758+'19_Расчет_аналитики'!E1759+'19_Расчет_аналитики'!E1760)-('19_Расчет_аналитики'!E1758+'19_Расчет_аналитики'!E1759+'19_Расчет_аналитики'!E1760)/(1+'01_Вводные'!$B$58)</f>
        <v/>
      </c>
      <c r="F1768">
        <f>('19_Расчет_аналитики'!F1758+'19_Расчет_аналитики'!F1759+'19_Расчет_аналитики'!F1760)-('19_Расчет_аналитики'!F1758+'19_Расчет_аналитики'!F1759+'19_Расчет_аналитики'!F1760)/(1+'01_Вводные'!$B$58)</f>
        <v/>
      </c>
      <c r="G1768">
        <f>('19_Расчет_аналитики'!G1758+'19_Расчет_аналитики'!G1759+'19_Расчет_аналитики'!G1760)-('19_Расчет_аналитики'!G1758+'19_Расчет_аналитики'!G1759+'19_Расчет_аналитики'!G1760)/(1+'01_Вводные'!$B$58)</f>
        <v/>
      </c>
      <c r="H1768">
        <f>('19_Расчет_аналитики'!H1758+'19_Расчет_аналитики'!H1759+'19_Расчет_аналитики'!H1760)-('19_Расчет_аналитики'!H1758+'19_Расчет_аналитики'!H1759+'19_Расчет_аналитики'!H1760)/(1+'01_Вводные'!$B$58)</f>
        <v/>
      </c>
      <c r="I1768">
        <f>('19_Расчет_аналитики'!I1758+'19_Расчет_аналитики'!I1759+'19_Расчет_аналитики'!I1760)-('19_Расчет_аналитики'!I1758+'19_Расчет_аналитики'!I1759+'19_Расчет_аналитики'!I1760)/(1+'01_Вводные'!$B$58)</f>
        <v/>
      </c>
      <c r="J1768">
        <f>('19_Расчет_аналитики'!J1758+'19_Расчет_аналитики'!J1759+'19_Расчет_аналитики'!J1760)-('19_Расчет_аналитики'!J1758+'19_Расчет_аналитики'!J1759+'19_Расчет_аналитики'!J1760)/(1+'01_Вводные'!$B$58)</f>
        <v/>
      </c>
      <c r="K1768">
        <f>('19_Расчет_аналитики'!K1758+'19_Расчет_аналитики'!K1759+'19_Расчет_аналитики'!K1760)-('19_Расчет_аналитики'!K1758+'19_Расчет_аналитики'!K1759+'19_Расчет_аналитики'!K1760)/(1+'01_Вводные'!$B$58)</f>
        <v/>
      </c>
      <c r="L1768">
        <f>('19_Расчет_аналитики'!L1758+'19_Расчет_аналитики'!L1759+'19_Расчет_аналитики'!L1760)-('19_Расчет_аналитики'!L1758+'19_Расчет_аналитики'!L1759+'19_Расчет_аналитики'!L1760)/(1+'01_Вводные'!$B$58)</f>
        <v/>
      </c>
      <c r="M1768">
        <f>('19_Расчет_аналитики'!M1758+'19_Расчет_аналитики'!M1759+'19_Расчет_аналитики'!M1760)-('19_Расчет_аналитики'!M1758+'19_Расчет_аналитики'!M1759+'19_Расчет_аналитики'!M1760)/(1+'01_Вводные'!$B$58)</f>
        <v/>
      </c>
      <c r="N1768">
        <f>('19_Расчет_аналитики'!N1758+'19_Расчет_аналитики'!N1759+'19_Расчет_аналитики'!N1760)-('19_Расчет_аналитики'!N1758+'19_Расчет_аналитики'!N1759+'19_Расчет_аналитики'!N1760)/(1+'01_Вводные'!$B$58)</f>
        <v/>
      </c>
      <c r="O1768">
        <f>('19_Расчет_аналитики'!O1758+'19_Расчет_аналитики'!O1759+'19_Расчет_аналитики'!O1760)-('19_Расчет_аналитики'!O1758+'19_Расчет_аналитики'!O1759+'19_Расчет_аналитики'!O1760)/(1+'01_Вводные'!$B$58)</f>
        <v/>
      </c>
      <c r="P1768">
        <f>('19_Расчет_аналитики'!P1758+'19_Расчет_аналитики'!P1759+'19_Расчет_аналитики'!P1760)-('19_Расчет_аналитики'!P1758+'19_Расчет_аналитики'!P1759+'19_Расчет_аналитики'!P1760)/(1+'01_Вводные'!$B$58)</f>
        <v/>
      </c>
      <c r="Q1768">
        <f>('19_Расчет_аналитики'!Q1758+'19_Расчет_аналитики'!Q1759+'19_Расчет_аналитики'!Q1760)-('19_Расчет_аналитики'!Q1758+'19_Расчет_аналитики'!Q1759+'19_Расчет_аналитики'!Q1760)/(1+'01_Вводные'!$B$58)</f>
        <v/>
      </c>
      <c r="R1768">
        <f>('19_Расчет_аналитики'!R1758+'19_Расчет_аналитики'!R1759+'19_Расчет_аналитики'!R1760)-('19_Расчет_аналитики'!R1758+'19_Расчет_аналитики'!R1759+'19_Расчет_аналитики'!R1760)/(1+'01_Вводные'!$B$58)</f>
        <v/>
      </c>
      <c r="S1768">
        <f>('19_Расчет_аналитики'!S1758+'19_Расчет_аналитики'!S1759+'19_Расчет_аналитики'!S1760)-('19_Расчет_аналитики'!S1758+'19_Расчет_аналитики'!S1759+'19_Расчет_аналитики'!S1760)/(1+'01_Вводные'!$B$58)</f>
        <v/>
      </c>
      <c r="T1768">
        <f>('19_Расчет_аналитики'!T1758+'19_Расчет_аналитики'!T1759+'19_Расчет_аналитики'!T1760)-('19_Расчет_аналитики'!T1758+'19_Расчет_аналитики'!T1759+'19_Расчет_аналитики'!T1760)/(1+'01_Вводные'!$B$58)</f>
        <v/>
      </c>
      <c r="U1768">
        <f>('19_Расчет_аналитики'!U1758+'19_Расчет_аналитики'!U1759+'19_Расчет_аналитики'!U1760)-('19_Расчет_аналитики'!U1758+'19_Расчет_аналитики'!U1759+'19_Расчет_аналитики'!U1760)/(1+'01_Вводные'!$B$58)</f>
        <v/>
      </c>
      <c r="V1768">
        <f>('19_Расчет_аналитики'!V1758+'19_Расчет_аналитики'!V1759+'19_Расчет_аналитики'!V1760)-('19_Расчет_аналитики'!V1758+'19_Расчет_аналитики'!V1759+'19_Расчет_аналитики'!V1760)/(1+'01_Вводные'!$B$58)</f>
        <v/>
      </c>
      <c r="W1768">
        <f>('19_Расчет_аналитики'!W1758+'19_Расчет_аналитики'!W1759+'19_Расчет_аналитики'!W1760)-('19_Расчет_аналитики'!W1758+'19_Расчет_аналитики'!W1759+'19_Расчет_аналитики'!W1760)/(1+'01_Вводные'!$B$58)</f>
        <v/>
      </c>
      <c r="X1768">
        <f>('19_Расчет_аналитики'!X1758+'19_Расчет_аналитики'!X1759+'19_Расчет_аналитики'!X1760)-('19_Расчет_аналитики'!X1758+'19_Расчет_аналитики'!X1759+'19_Расчет_аналитики'!X1760)/(1+'01_Вводные'!$B$58)</f>
        <v/>
      </c>
      <c r="Y1768">
        <f>('19_Расчет_аналитики'!Y1758+'19_Расчет_аналитики'!Y1759+'19_Расчет_аналитики'!Y1760)-('19_Расчет_аналитики'!Y1758+'19_Расчет_аналитики'!Y1759+'19_Расчет_аналитики'!Y1760)/(1+'01_Вводные'!$B$58)</f>
        <v/>
      </c>
      <c r="Z1768">
        <f>('19_Расчет_аналитики'!Z1758+'19_Расчет_аналитики'!Z1759+'19_Расчет_аналитики'!Z1760)-('19_Расчет_аналитики'!Z1758+'19_Расчет_аналитики'!Z1759+'19_Расчет_аналитики'!Z1760)/(1+'01_Вводные'!$B$58)</f>
        <v/>
      </c>
      <c r="AA1768">
        <f>('19_Расчет_аналитики'!AA1758+'19_Расчет_аналитики'!AA1759+'19_Расчет_аналитики'!AA1760)-('19_Расчет_аналитики'!AA1758+'19_Расчет_аналитики'!AA1759+'19_Расчет_аналитики'!AA1760)/(1+'01_Вводные'!$B$58)</f>
        <v/>
      </c>
      <c r="AB1768">
        <f>('19_Расчет_аналитики'!AB1758+'19_Расчет_аналитики'!AB1759+'19_Расчет_аналитики'!AB1760)-('19_Расчет_аналитики'!AB1758+'19_Расчет_аналитики'!AB1759+'19_Расчет_аналитики'!AB1760)/(1+'01_Вводные'!$B$58)</f>
        <v/>
      </c>
      <c r="AC1768">
        <f>('19_Расчет_аналитики'!AC1758+'19_Расчет_аналитики'!AC1759+'19_Расчет_аналитики'!AC1760)-('19_Расчет_аналитики'!AC1758+'19_Расчет_аналитики'!AC1759+'19_Расчет_аналитики'!AC1760)/(1+'01_Вводные'!$B$58)</f>
        <v/>
      </c>
      <c r="AD1768">
        <f>('19_Расчет_аналитики'!AD1758+'19_Расчет_аналитики'!AD1759+'19_Расчет_аналитики'!AD1760)-('19_Расчет_аналитики'!AD1758+'19_Расчет_аналитики'!AD1759+'19_Расчет_аналитики'!AD1760)/(1+'01_Вводные'!$B$58)</f>
        <v/>
      </c>
      <c r="AE1768">
        <f>('19_Расчет_аналитики'!AE1758+'19_Расчет_аналитики'!AE1759+'19_Расчет_аналитики'!AE1760)-('19_Расчет_аналитики'!AE1758+'19_Расчет_аналитики'!AE1759+'19_Расчет_аналитики'!AE1760)/(1+'01_Вводные'!$B$58)</f>
        <v/>
      </c>
      <c r="AF1768">
        <f>('19_Расчет_аналитики'!AF1758+'19_Расчет_аналитики'!AF1759+'19_Расчет_аналитики'!AF1760)-('19_Расчет_аналитики'!AF1758+'19_Расчет_аналитики'!AF1759+'19_Расчет_аналитики'!AF1760)/(1+'01_Вводные'!$B$58)</f>
        <v/>
      </c>
      <c r="AG1768">
        <f>('19_Расчет_аналитики'!AG1758+'19_Расчет_аналитики'!AG1759+'19_Расчет_аналитики'!AG1760)-('19_Расчет_аналитики'!AG1758+'19_Расчет_аналитики'!AG1759+'19_Расчет_аналитики'!AG1760)/(1+'01_Вводные'!$B$58)</f>
        <v/>
      </c>
      <c r="AH1768">
        <f>('19_Расчет_аналитики'!AH1758+'19_Расчет_аналитики'!AH1759+'19_Расчет_аналитики'!AH1760)-('19_Расчет_аналитики'!AH1758+'19_Расчет_аналитики'!AH1759+'19_Расчет_аналитики'!AH1760)/(1+'01_Вводные'!$B$58)</f>
        <v/>
      </c>
      <c r="AI1768">
        <f>('19_Расчет_аналитики'!AI1758+'19_Расчет_аналитики'!AI1759+'19_Расчет_аналитики'!AI1760)-('19_Расчет_аналитики'!AI1758+'19_Расчет_аналитики'!AI1759+'19_Расчет_аналитики'!AI1760)/(1+'01_Вводные'!$B$58)</f>
        <v/>
      </c>
      <c r="AJ1768">
        <f>('19_Расчет_аналитики'!AJ1758+'19_Расчет_аналитики'!AJ1759+'19_Расчет_аналитики'!AJ1760)-('19_Расчет_аналитики'!AJ1758+'19_Расчет_аналитики'!AJ1759+'19_Расчет_аналитики'!AJ1760)/(1+'01_Вводные'!$B$58)</f>
        <v/>
      </c>
      <c r="AK1768">
        <f>('19_Расчет_аналитики'!AK1758+'19_Расчет_аналитики'!AK1759+'19_Расчет_аналитики'!AK1760)-('19_Расчет_аналитики'!AK1758+'19_Расчет_аналитики'!AK1759+'19_Расчет_аналитики'!AK1760)/(1+'01_Вводные'!$B$58)</f>
        <v/>
      </c>
      <c r="AL1768">
        <f>('19_Расчет_аналитики'!AL1758+'19_Расчет_аналитики'!AL1759+'19_Расчет_аналитики'!AL1760)-('19_Расчет_аналитики'!AL1758+'19_Расчет_аналитики'!AL1759+'19_Расчет_аналитики'!AL1760)/(1+'01_Вводные'!$B$58)</f>
        <v/>
      </c>
      <c r="AM1768">
        <f>('19_Расчет_аналитики'!AM1758+'19_Расчет_аналитики'!AM1759+'19_Расчет_аналитики'!AM1760)-('19_Расчет_аналитики'!AM1758+'19_Расчет_аналитики'!AM1759+'19_Расчет_аналитики'!AM1760)/(1+'01_Вводные'!$B$58)</f>
        <v/>
      </c>
      <c r="AN1768">
        <f>('19_Расчет_аналитики'!AN1758+'19_Расчет_аналитики'!AN1759+'19_Расчет_аналитики'!AN1760)-('19_Расчет_аналитики'!AN1758+'19_Расчет_аналитики'!AN1759+'19_Расчет_аналитики'!AN1760)/(1+'01_Вводные'!$B$58)</f>
        <v/>
      </c>
      <c r="AO1768">
        <f>('19_Расчет_аналитики'!AO1758+'19_Расчет_аналитики'!AO1759+'19_Расчет_аналитики'!AO1760)-('19_Расчет_аналитики'!AO1758+'19_Расчет_аналитики'!AO1759+'19_Расчет_аналитики'!AO1760)/(1+'01_Вводные'!$B$58)</f>
        <v/>
      </c>
      <c r="AP1768">
        <f>('19_Расчет_аналитики'!AP1758+'19_Расчет_аналитики'!AP1759+'19_Расчет_аналитики'!AP1760)-('19_Расчет_аналитики'!AP1758+'19_Расчет_аналитики'!AP1759+'19_Расчет_аналитики'!AP1760)/(1+'01_Вводные'!$B$58)</f>
        <v/>
      </c>
      <c r="AQ1768">
        <f>('19_Расчет_аналитики'!AQ1758+'19_Расчет_аналитики'!AQ1759+'19_Расчет_аналитики'!AQ1760)-('19_Расчет_аналитики'!AQ1758+'19_Расчет_аналитики'!AQ1759+'19_Расчет_аналитики'!AQ1760)/(1+'01_Вводные'!$B$58)</f>
        <v/>
      </c>
      <c r="AR1768">
        <f>('19_Расчет_аналитики'!AR1758+'19_Расчет_аналитики'!AR1759+'19_Расчет_аналитики'!AR1760)-('19_Расчет_аналитики'!AR1758+'19_Расчет_аналитики'!AR1759+'19_Расчет_аналитики'!AR1760)/(1+'01_Вводные'!$B$58)</f>
        <v/>
      </c>
      <c r="AS1768">
        <f>('19_Расчет_аналитики'!AS1758+'19_Расчет_аналитики'!AS1759+'19_Расчет_аналитики'!AS1760)-('19_Расчет_аналитики'!AS1758+'19_Расчет_аналитики'!AS1759+'19_Расчет_аналитики'!AS1760)/(1+'01_Вводные'!$B$58)</f>
        <v/>
      </c>
      <c r="AT1768">
        <f>('19_Расчет_аналитики'!AT1758+'19_Расчет_аналитики'!AT1759+'19_Расчет_аналитики'!AT1760)-('19_Расчет_аналитики'!AT1758+'19_Расчет_аналитики'!AT1759+'19_Расчет_аналитики'!AT1760)/(1+'01_Вводные'!$B$58)</f>
        <v/>
      </c>
      <c r="AU1768">
        <f>('19_Расчет_аналитики'!AU1758+'19_Расчет_аналитики'!AU1759+'19_Расчет_аналитики'!AU1760)-('19_Расчет_аналитики'!AU1758+'19_Расчет_аналитики'!AU1759+'19_Расчет_аналитики'!AU1760)/(1+'01_Вводные'!$B$58)</f>
        <v/>
      </c>
      <c r="AV1768">
        <f>('19_Расчет_аналитики'!AV1758+'19_Расчет_аналитики'!AV1759+'19_Расчет_аналитики'!AV1760)-('19_Расчет_аналитики'!AV1758+'19_Расчет_аналитики'!AV1759+'19_Расчет_аналитики'!AV1760)/(1+'01_Вводные'!$B$58)</f>
        <v/>
      </c>
      <c r="AW1768">
        <f>('19_Расчет_аналитики'!AW1758+'19_Расчет_аналитики'!AW1759+'19_Расчет_аналитики'!AW1760)-('19_Расчет_аналитики'!AW1758+'19_Расчет_аналитики'!AW1759+'19_Расчет_аналитики'!AW1760)/(1+'01_Вводные'!$B$58)</f>
        <v/>
      </c>
      <c r="AX1768">
        <f>('19_Расчет_аналитики'!AX1758+'19_Расчет_аналитики'!AX1759+'19_Расчет_аналитики'!AX1760)-('19_Расчет_аналитики'!AX1758+'19_Расчет_аналитики'!AX1759+'19_Расчет_аналитики'!AX1760)/(1+'01_Вводные'!$B$58)</f>
        <v/>
      </c>
      <c r="AY1768">
        <f>('19_Расчет_аналитики'!AY1758+'19_Расчет_аналитики'!AY1759+'19_Расчет_аналитики'!AY1760)-('19_Расчет_аналитики'!AY1758+'19_Расчет_аналитики'!AY1759+'19_Расчет_аналитики'!AY1760)/(1+'01_Вводные'!$B$58)</f>
        <v/>
      </c>
      <c r="AZ1768">
        <f>('19_Расчет_аналитики'!AZ1758+'19_Расчет_аналитики'!AZ1759+'19_Расчет_аналитики'!AZ1760)-('19_Расчет_аналитики'!AZ1758+'19_Расчет_аналитики'!AZ1759+'19_Расчет_аналитики'!AZ1760)/(1+'01_Вводные'!$B$58)</f>
        <v/>
      </c>
      <c r="BA1768">
        <f>('19_Расчет_аналитики'!BA1758+'19_Расчет_аналитики'!BA1759+'19_Расчет_аналитики'!BA1760)-('19_Расчет_аналитики'!BA1758+'19_Расчет_аналитики'!BA1759+'19_Расчет_аналитики'!BA1760)/(1+'01_Вводные'!$B$58)</f>
        <v/>
      </c>
      <c r="BB1768">
        <f>('19_Расчет_аналитики'!BB1758+'19_Расчет_аналитики'!BB1759+'19_Расчет_аналитики'!BB1760)-('19_Расчет_аналитики'!BB1758+'19_Расчет_аналитики'!BB1759+'19_Расчет_аналитики'!BB1760)/(1+'01_Вводные'!$B$58)</f>
        <v/>
      </c>
      <c r="BC1768">
        <f>('19_Расчет_аналитики'!BC1758+'19_Расчет_аналитики'!BC1759+'19_Расчет_аналитики'!BC1760)-('19_Расчет_аналитики'!BC1758+'19_Расчет_аналитики'!BC1759+'19_Расчет_аналитики'!BC1760)/(1+'01_Вводные'!$B$58)</f>
        <v/>
      </c>
      <c r="BD1768">
        <f>('19_Расчет_аналитики'!BD1758+'19_Расчет_аналитики'!BD1759+'19_Расчет_аналитики'!BD1760)-('19_Расчет_аналитики'!BD1758+'19_Расчет_аналитики'!BD1759+'19_Расчет_аналитики'!BD1760)/(1+'01_Вводные'!$B$58)</f>
        <v/>
      </c>
      <c r="BE1768">
        <f>('19_Расчет_аналитики'!BE1758+'19_Расчет_аналитики'!BE1759+'19_Расчет_аналитики'!BE1760)-('19_Расчет_аналитики'!BE1758+'19_Расчет_аналитики'!BE1759+'19_Расчет_аналитики'!BE1760)/(1+'01_Вводные'!$B$58)</f>
        <v/>
      </c>
      <c r="BF1768">
        <f>('19_Расчет_аналитики'!BF1758+'19_Расчет_аналитики'!BF1759+'19_Расчет_аналитики'!BF1760)-('19_Расчет_аналитики'!BF1758+'19_Расчет_аналитики'!BF1759+'19_Расчет_аналитики'!BF1760)/(1+'01_Вводные'!$B$58)</f>
        <v/>
      </c>
      <c r="BG1768">
        <f>('19_Расчет_аналитики'!BG1758+'19_Расчет_аналитики'!BG1759+'19_Расчет_аналитики'!BG1760)-('19_Расчет_аналитики'!BG1758+'19_Расчет_аналитики'!BG1759+'19_Расчет_аналитики'!BG1760)/(1+'01_Вводные'!$B$58)</f>
        <v/>
      </c>
      <c r="BH1768">
        <f>('19_Расчет_аналитики'!BH1758+'19_Расчет_аналитики'!BH1759+'19_Расчет_аналитики'!BH1760)-('19_Расчет_аналитики'!BH1758+'19_Расчет_аналитики'!BH1759+'19_Расчет_аналитики'!BH1760)/(1+'01_Вводные'!$B$58)</f>
        <v/>
      </c>
      <c r="BI1768">
        <f>('19_Расчет_аналитики'!BI1758+'19_Расчет_аналитики'!BI1759+'19_Расчет_аналитики'!BI1760)-('19_Расчет_аналитики'!BI1758+'19_Расчет_аналитики'!BI1759+'19_Расчет_аналитики'!BI1760)/(1+'01_Вводные'!$B$58)</f>
        <v/>
      </c>
    </row>
    <row r="1769">
      <c r="B1769">
        <f>'02_Модель'!B63</f>
        <v/>
      </c>
      <c r="C1769">
        <f>'02_Модель'!C63</f>
        <v/>
      </c>
      <c r="D1769">
        <f>'02_Модель'!D63</f>
        <v/>
      </c>
      <c r="E1769">
        <f>'02_Модель'!E63</f>
        <v/>
      </c>
      <c r="F1769">
        <f>'02_Модель'!F63</f>
        <v/>
      </c>
      <c r="G1769">
        <f>'02_Модель'!G63</f>
        <v/>
      </c>
      <c r="H1769">
        <f>'02_Модель'!H63</f>
        <v/>
      </c>
      <c r="I1769">
        <f>'02_Модель'!I63</f>
        <v/>
      </c>
      <c r="J1769">
        <f>'02_Модель'!J63</f>
        <v/>
      </c>
      <c r="K1769">
        <f>'02_Модель'!K63</f>
        <v/>
      </c>
      <c r="L1769">
        <f>'02_Модель'!L63</f>
        <v/>
      </c>
      <c r="M1769">
        <f>'02_Модель'!M63</f>
        <v/>
      </c>
      <c r="N1769">
        <f>'02_Модель'!N63</f>
        <v/>
      </c>
      <c r="O1769">
        <f>'02_Модель'!O63</f>
        <v/>
      </c>
      <c r="P1769">
        <f>'02_Модель'!P63</f>
        <v/>
      </c>
      <c r="Q1769">
        <f>'02_Модель'!Q63</f>
        <v/>
      </c>
      <c r="R1769">
        <f>'02_Модель'!R63</f>
        <v/>
      </c>
      <c r="S1769">
        <f>'02_Модель'!S63</f>
        <v/>
      </c>
      <c r="T1769">
        <f>'02_Модель'!T63</f>
        <v/>
      </c>
      <c r="U1769">
        <f>'02_Модель'!U63</f>
        <v/>
      </c>
      <c r="V1769">
        <f>'02_Модель'!V63</f>
        <v/>
      </c>
      <c r="W1769">
        <f>'02_Модель'!W63</f>
        <v/>
      </c>
      <c r="X1769">
        <f>'02_Модель'!X63</f>
        <v/>
      </c>
      <c r="Y1769">
        <f>'02_Модель'!Y63</f>
        <v/>
      </c>
      <c r="Z1769">
        <f>'02_Модель'!Z63</f>
        <v/>
      </c>
      <c r="AA1769">
        <f>'02_Модель'!AA63</f>
        <v/>
      </c>
      <c r="AB1769">
        <f>'02_Модель'!AB63</f>
        <v/>
      </c>
      <c r="AC1769">
        <f>'02_Модель'!AC63</f>
        <v/>
      </c>
      <c r="AD1769">
        <f>'02_Модель'!AD63</f>
        <v/>
      </c>
      <c r="AE1769">
        <f>'02_Модель'!AE63</f>
        <v/>
      </c>
      <c r="AF1769">
        <f>'02_Модель'!AF63</f>
        <v/>
      </c>
      <c r="AG1769">
        <f>'02_Модель'!AG63</f>
        <v/>
      </c>
      <c r="AH1769">
        <f>'02_Модель'!AH63</f>
        <v/>
      </c>
      <c r="AI1769">
        <f>'02_Модель'!AI63</f>
        <v/>
      </c>
      <c r="AJ1769">
        <f>'02_Модель'!AJ63</f>
        <v/>
      </c>
      <c r="AK1769">
        <f>'02_Модель'!AK63</f>
        <v/>
      </c>
      <c r="AL1769">
        <f>'02_Модель'!AL63</f>
        <v/>
      </c>
      <c r="AM1769">
        <f>'02_Модель'!AM63</f>
        <v/>
      </c>
      <c r="AN1769">
        <f>'02_Модель'!AN63</f>
        <v/>
      </c>
      <c r="AO1769">
        <f>'02_Модель'!AO63</f>
        <v/>
      </c>
      <c r="AP1769">
        <f>'02_Модель'!AP63</f>
        <v/>
      </c>
      <c r="AQ1769">
        <f>'02_Модель'!AQ63</f>
        <v/>
      </c>
      <c r="AR1769">
        <f>'02_Модель'!AR63</f>
        <v/>
      </c>
      <c r="AS1769">
        <f>'02_Модель'!AS63</f>
        <v/>
      </c>
      <c r="AT1769">
        <f>'02_Модель'!AT63</f>
        <v/>
      </c>
      <c r="AU1769">
        <f>'02_Модель'!AU63</f>
        <v/>
      </c>
      <c r="AV1769">
        <f>'02_Модель'!AV63</f>
        <v/>
      </c>
      <c r="AW1769">
        <f>'02_Модель'!AW63</f>
        <v/>
      </c>
      <c r="AX1769">
        <f>'02_Модель'!AX63</f>
        <v/>
      </c>
      <c r="AY1769">
        <f>'02_Модель'!AY63</f>
        <v/>
      </c>
      <c r="AZ1769">
        <f>'02_Модель'!AZ63</f>
        <v/>
      </c>
      <c r="BA1769">
        <f>'02_Модель'!BA63</f>
        <v/>
      </c>
      <c r="BB1769">
        <f>'02_Модель'!BB63</f>
        <v/>
      </c>
      <c r="BC1769">
        <f>'02_Модель'!BC63</f>
        <v/>
      </c>
      <c r="BD1769">
        <f>'02_Модель'!BD63</f>
        <v/>
      </c>
      <c r="BE1769">
        <f>'02_Модель'!BE63</f>
        <v/>
      </c>
      <c r="BF1769">
        <f>'02_Модель'!BF63</f>
        <v/>
      </c>
      <c r="BG1769">
        <f>'02_Модель'!BG63</f>
        <v/>
      </c>
      <c r="BH1769">
        <f>'02_Модель'!BH63</f>
        <v/>
      </c>
      <c r="BI1769">
        <f>'02_Модель'!BI63</f>
        <v/>
      </c>
    </row>
    <row r="1770">
      <c r="B1770">
        <f>'19_Расчет_аналитики'!B1752</f>
        <v/>
      </c>
      <c r="C1770">
        <f>'19_Расчет_аналитики'!C1752</f>
        <v/>
      </c>
      <c r="D1770">
        <f>'19_Расчет_аналитики'!D1752</f>
        <v/>
      </c>
      <c r="E1770">
        <f>'19_Расчет_аналитики'!E1752</f>
        <v/>
      </c>
      <c r="F1770">
        <f>'19_Расчет_аналитики'!F1752</f>
        <v/>
      </c>
      <c r="G1770">
        <f>'19_Расчет_аналитики'!G1752</f>
        <v/>
      </c>
      <c r="H1770">
        <f>'19_Расчет_аналитики'!H1752</f>
        <v/>
      </c>
      <c r="I1770">
        <f>'19_Расчет_аналитики'!I1752</f>
        <v/>
      </c>
      <c r="J1770">
        <f>'19_Расчет_аналитики'!J1752</f>
        <v/>
      </c>
      <c r="K1770">
        <f>'19_Расчет_аналитики'!K1752</f>
        <v/>
      </c>
      <c r="L1770">
        <f>'19_Расчет_аналитики'!L1752</f>
        <v/>
      </c>
      <c r="M1770">
        <f>'19_Расчет_аналитики'!M1752</f>
        <v/>
      </c>
      <c r="N1770">
        <f>'19_Расчет_аналитики'!N1752</f>
        <v/>
      </c>
      <c r="O1770">
        <f>'19_Расчет_аналитики'!O1752</f>
        <v/>
      </c>
      <c r="P1770">
        <f>'19_Расчет_аналитики'!P1752</f>
        <v/>
      </c>
      <c r="Q1770">
        <f>'19_Расчет_аналитики'!Q1752</f>
        <v/>
      </c>
      <c r="R1770">
        <f>'19_Расчет_аналитики'!R1752</f>
        <v/>
      </c>
      <c r="S1770">
        <f>'19_Расчет_аналитики'!S1752</f>
        <v/>
      </c>
      <c r="T1770">
        <f>'19_Расчет_аналитики'!T1752</f>
        <v/>
      </c>
      <c r="U1770">
        <f>'19_Расчет_аналитики'!U1752</f>
        <v/>
      </c>
      <c r="V1770">
        <f>'19_Расчет_аналитики'!V1752</f>
        <v/>
      </c>
      <c r="W1770">
        <f>'19_Расчет_аналитики'!W1752</f>
        <v/>
      </c>
      <c r="X1770">
        <f>'19_Расчет_аналитики'!X1752</f>
        <v/>
      </c>
      <c r="Y1770">
        <f>'19_Расчет_аналитики'!Y1752</f>
        <v/>
      </c>
      <c r="Z1770">
        <f>'19_Расчет_аналитики'!Z1752</f>
        <v/>
      </c>
      <c r="AA1770">
        <f>'19_Расчет_аналитики'!AA1752</f>
        <v/>
      </c>
      <c r="AB1770">
        <f>'19_Расчет_аналитики'!AB1752</f>
        <v/>
      </c>
      <c r="AC1770">
        <f>'19_Расчет_аналитики'!AC1752</f>
        <v/>
      </c>
      <c r="AD1770">
        <f>'19_Расчет_аналитики'!AD1752</f>
        <v/>
      </c>
      <c r="AE1770">
        <f>'19_Расчет_аналитики'!AE1752</f>
        <v/>
      </c>
      <c r="AF1770">
        <f>'19_Расчет_аналитики'!AF1752</f>
        <v/>
      </c>
      <c r="AG1770">
        <f>'19_Расчет_аналитики'!AG1752</f>
        <v/>
      </c>
      <c r="AH1770">
        <f>'19_Расчет_аналитики'!AH1752</f>
        <v/>
      </c>
      <c r="AI1770">
        <f>'19_Расчет_аналитики'!AI1752</f>
        <v/>
      </c>
      <c r="AJ1770">
        <f>'19_Расчет_аналитики'!AJ1752</f>
        <v/>
      </c>
      <c r="AK1770">
        <f>'19_Расчет_аналитики'!AK1752</f>
        <v/>
      </c>
      <c r="AL1770">
        <f>'19_Расчет_аналитики'!AL1752</f>
        <v/>
      </c>
      <c r="AM1770">
        <f>'19_Расчет_аналитики'!AM1752</f>
        <v/>
      </c>
      <c r="AN1770">
        <f>'19_Расчет_аналитики'!AN1752</f>
        <v/>
      </c>
      <c r="AO1770">
        <f>'19_Расчет_аналитики'!AO1752</f>
        <v/>
      </c>
      <c r="AP1770">
        <f>'19_Расчет_аналитики'!AP1752</f>
        <v/>
      </c>
      <c r="AQ1770">
        <f>'19_Расчет_аналитики'!AQ1752</f>
        <v/>
      </c>
      <c r="AR1770">
        <f>'19_Расчет_аналитики'!AR1752</f>
        <v/>
      </c>
      <c r="AS1770">
        <f>'19_Расчет_аналитики'!AS1752</f>
        <v/>
      </c>
      <c r="AT1770">
        <f>'19_Расчет_аналитики'!AT1752</f>
        <v/>
      </c>
      <c r="AU1770">
        <f>'19_Расчет_аналитики'!AU1752</f>
        <v/>
      </c>
      <c r="AV1770">
        <f>'19_Расчет_аналитики'!AV1752</f>
        <v/>
      </c>
      <c r="AW1770">
        <f>'19_Расчет_аналитики'!AW1752</f>
        <v/>
      </c>
      <c r="AX1770">
        <f>'19_Расчет_аналитики'!AX1752</f>
        <v/>
      </c>
      <c r="AY1770">
        <f>'19_Расчет_аналитики'!AY1752</f>
        <v/>
      </c>
      <c r="AZ1770">
        <f>'19_Расчет_аналитики'!AZ1752</f>
        <v/>
      </c>
      <c r="BA1770">
        <f>'19_Расчет_аналитики'!BA1752</f>
        <v/>
      </c>
      <c r="BB1770">
        <f>'19_Расчет_аналитики'!BB1752</f>
        <v/>
      </c>
      <c r="BC1770">
        <f>'19_Расчет_аналитики'!BC1752</f>
        <v/>
      </c>
      <c r="BD1770">
        <f>'19_Расчет_аналитики'!BD1752</f>
        <v/>
      </c>
      <c r="BE1770">
        <f>'19_Расчет_аналитики'!BE1752</f>
        <v/>
      </c>
      <c r="BF1770">
        <f>'19_Расчет_аналитики'!BF1752</f>
        <v/>
      </c>
      <c r="BG1770">
        <f>'19_Расчет_аналитики'!BG1752</f>
        <v/>
      </c>
      <c r="BH1770">
        <f>'19_Расчет_аналитики'!BH1752</f>
        <v/>
      </c>
      <c r="BI1770">
        <f>'19_Расчет_аналитики'!BI1752</f>
        <v/>
      </c>
    </row>
    <row r="1771">
      <c r="B1771">
        <f>'19_Расчет_аналитики'!B1638</f>
        <v/>
      </c>
      <c r="C1771">
        <f>'19_Расчет_аналитики'!C1638</f>
        <v/>
      </c>
      <c r="D1771">
        <f>'19_Расчет_аналитики'!D1638</f>
        <v/>
      </c>
      <c r="E1771">
        <f>'19_Расчет_аналитики'!E1638</f>
        <v/>
      </c>
      <c r="F1771">
        <f>'19_Расчет_аналитики'!F1638</f>
        <v/>
      </c>
      <c r="G1771">
        <f>'19_Расчет_аналитики'!G1638</f>
        <v/>
      </c>
      <c r="H1771">
        <f>'19_Расчет_аналитики'!H1638</f>
        <v/>
      </c>
      <c r="I1771">
        <f>'19_Расчет_аналитики'!I1638</f>
        <v/>
      </c>
      <c r="J1771">
        <f>'19_Расчет_аналитики'!J1638</f>
        <v/>
      </c>
      <c r="K1771">
        <f>'19_Расчет_аналитики'!K1638</f>
        <v/>
      </c>
      <c r="L1771">
        <f>'19_Расчет_аналитики'!L1638</f>
        <v/>
      </c>
      <c r="M1771">
        <f>'19_Расчет_аналитики'!M1638</f>
        <v/>
      </c>
      <c r="N1771">
        <f>'19_Расчет_аналитики'!N1638</f>
        <v/>
      </c>
      <c r="O1771">
        <f>'19_Расчет_аналитики'!O1638</f>
        <v/>
      </c>
      <c r="P1771">
        <f>'19_Расчет_аналитики'!P1638</f>
        <v/>
      </c>
      <c r="Q1771">
        <f>'19_Расчет_аналитики'!Q1638</f>
        <v/>
      </c>
      <c r="R1771">
        <f>'19_Расчет_аналитики'!R1638</f>
        <v/>
      </c>
      <c r="S1771">
        <f>'19_Расчет_аналитики'!S1638</f>
        <v/>
      </c>
      <c r="T1771">
        <f>'19_Расчет_аналитики'!T1638</f>
        <v/>
      </c>
      <c r="U1771">
        <f>'19_Расчет_аналитики'!U1638</f>
        <v/>
      </c>
      <c r="V1771">
        <f>'19_Расчет_аналитики'!V1638</f>
        <v/>
      </c>
      <c r="W1771">
        <f>'19_Расчет_аналитики'!W1638</f>
        <v/>
      </c>
      <c r="X1771">
        <f>'19_Расчет_аналитики'!X1638</f>
        <v/>
      </c>
      <c r="Y1771">
        <f>'19_Расчет_аналитики'!Y1638</f>
        <v/>
      </c>
      <c r="Z1771">
        <f>'19_Расчет_аналитики'!Z1638</f>
        <v/>
      </c>
      <c r="AA1771">
        <f>'19_Расчет_аналитики'!AA1638</f>
        <v/>
      </c>
      <c r="AB1771">
        <f>'19_Расчет_аналитики'!AB1638</f>
        <v/>
      </c>
      <c r="AC1771">
        <f>'19_Расчет_аналитики'!AC1638</f>
        <v/>
      </c>
      <c r="AD1771">
        <f>'19_Расчет_аналитики'!AD1638</f>
        <v/>
      </c>
      <c r="AE1771">
        <f>'19_Расчет_аналитики'!AE1638</f>
        <v/>
      </c>
      <c r="AF1771">
        <f>'19_Расчет_аналитики'!AF1638</f>
        <v/>
      </c>
      <c r="AG1771">
        <f>'19_Расчет_аналитики'!AG1638</f>
        <v/>
      </c>
      <c r="AH1771">
        <f>'19_Расчет_аналитики'!AH1638</f>
        <v/>
      </c>
      <c r="AI1771">
        <f>'19_Расчет_аналитики'!AI1638</f>
        <v/>
      </c>
      <c r="AJ1771">
        <f>'19_Расчет_аналитики'!AJ1638</f>
        <v/>
      </c>
      <c r="AK1771">
        <f>'19_Расчет_аналитики'!AK1638</f>
        <v/>
      </c>
      <c r="AL1771">
        <f>'19_Расчет_аналитики'!AL1638</f>
        <v/>
      </c>
      <c r="AM1771">
        <f>'19_Расчет_аналитики'!AM1638</f>
        <v/>
      </c>
      <c r="AN1771">
        <f>'19_Расчет_аналитики'!AN1638</f>
        <v/>
      </c>
      <c r="AO1771">
        <f>'19_Расчет_аналитики'!AO1638</f>
        <v/>
      </c>
      <c r="AP1771">
        <f>'19_Расчет_аналитики'!AP1638</f>
        <v/>
      </c>
      <c r="AQ1771">
        <f>'19_Расчет_аналитики'!AQ1638</f>
        <v/>
      </c>
      <c r="AR1771">
        <f>'19_Расчет_аналитики'!AR1638</f>
        <v/>
      </c>
      <c r="AS1771">
        <f>'19_Расчет_аналитики'!AS1638</f>
        <v/>
      </c>
      <c r="AT1771">
        <f>'19_Расчет_аналитики'!AT1638</f>
        <v/>
      </c>
      <c r="AU1771">
        <f>'19_Расчет_аналитики'!AU1638</f>
        <v/>
      </c>
      <c r="AV1771">
        <f>'19_Расчет_аналитики'!AV1638</f>
        <v/>
      </c>
      <c r="AW1771">
        <f>'19_Расчет_аналитики'!AW1638</f>
        <v/>
      </c>
      <c r="AX1771">
        <f>'19_Расчет_аналитики'!AX1638</f>
        <v/>
      </c>
      <c r="AY1771">
        <f>'19_Расчет_аналитики'!AY1638</f>
        <v/>
      </c>
      <c r="AZ1771">
        <f>'19_Расчет_аналитики'!AZ1638</f>
        <v/>
      </c>
      <c r="BA1771">
        <f>'19_Расчет_аналитики'!BA1638</f>
        <v/>
      </c>
      <c r="BB1771">
        <f>'19_Расчет_аналитики'!BB1638</f>
        <v/>
      </c>
      <c r="BC1771">
        <f>'19_Расчет_аналитики'!BC1638</f>
        <v/>
      </c>
      <c r="BD1771">
        <f>'19_Расчет_аналитики'!BD1638</f>
        <v/>
      </c>
      <c r="BE1771">
        <f>'19_Расчет_аналитики'!BE1638</f>
        <v/>
      </c>
      <c r="BF1771">
        <f>'19_Расчет_аналитики'!BF1638</f>
        <v/>
      </c>
      <c r="BG1771">
        <f>'19_Расчет_аналитики'!BG1638</f>
        <v/>
      </c>
      <c r="BH1771">
        <f>'19_Расчет_аналитики'!BH1638</f>
        <v/>
      </c>
      <c r="BI1771">
        <f>'19_Расчет_аналитики'!BI1638</f>
        <v/>
      </c>
    </row>
    <row r="1772"/>
    <row r="1773">
      <c r="B1773">
        <f>SUM('19_Расчет_аналитики'!B1763:B1770)+'02_Модель'!B66</f>
        <v/>
      </c>
      <c r="C1773">
        <f>SUM('19_Расчет_аналитики'!C1763:C1770)+'02_Модель'!C66</f>
        <v/>
      </c>
      <c r="D1773">
        <f>SUM('19_Расчет_аналитики'!D1763:D1770)+'02_Модель'!D66</f>
        <v/>
      </c>
      <c r="E1773">
        <f>SUM('19_Расчет_аналитики'!E1763:E1770)+'02_Модель'!E66</f>
        <v/>
      </c>
      <c r="F1773">
        <f>SUM('19_Расчет_аналитики'!F1763:F1770)+'02_Модель'!F66</f>
        <v/>
      </c>
      <c r="G1773">
        <f>SUM('19_Расчет_аналитики'!G1763:G1770)+'02_Модель'!G66</f>
        <v/>
      </c>
      <c r="H1773">
        <f>SUM('19_Расчет_аналитики'!H1763:H1770)+'02_Модель'!H66</f>
        <v/>
      </c>
      <c r="I1773">
        <f>SUM('19_Расчет_аналитики'!I1763:I1770)+'02_Модель'!I66</f>
        <v/>
      </c>
      <c r="J1773">
        <f>SUM('19_Расчет_аналитики'!J1763:J1770)+'02_Модель'!J66</f>
        <v/>
      </c>
      <c r="K1773">
        <f>SUM('19_Расчет_аналитики'!K1763:K1770)+'02_Модель'!K66</f>
        <v/>
      </c>
      <c r="L1773">
        <f>SUM('19_Расчет_аналитики'!L1763:L1770)+'02_Модель'!L66</f>
        <v/>
      </c>
      <c r="M1773">
        <f>SUM('19_Расчет_аналитики'!M1763:M1770)+'02_Модель'!M66</f>
        <v/>
      </c>
      <c r="N1773">
        <f>SUM('19_Расчет_аналитики'!N1763:N1770)+'02_Модель'!N66</f>
        <v/>
      </c>
      <c r="O1773">
        <f>SUM('19_Расчет_аналитики'!O1763:O1770)+'02_Модель'!O66</f>
        <v/>
      </c>
      <c r="P1773">
        <f>SUM('19_Расчет_аналитики'!P1763:P1770)+'02_Модель'!P66</f>
        <v/>
      </c>
      <c r="Q1773">
        <f>SUM('19_Расчет_аналитики'!Q1763:Q1770)+'02_Модель'!Q66</f>
        <v/>
      </c>
      <c r="R1773">
        <f>SUM('19_Расчет_аналитики'!R1763:R1770)+'02_Модель'!R66</f>
        <v/>
      </c>
      <c r="S1773">
        <f>SUM('19_Расчет_аналитики'!S1763:S1770)+'02_Модель'!S66</f>
        <v/>
      </c>
      <c r="T1773">
        <f>SUM('19_Расчет_аналитики'!T1763:T1770)+'02_Модель'!T66</f>
        <v/>
      </c>
      <c r="U1773">
        <f>SUM('19_Расчет_аналитики'!U1763:U1770)+'02_Модель'!U66</f>
        <v/>
      </c>
      <c r="V1773">
        <f>SUM('19_Расчет_аналитики'!V1763:V1770)+'02_Модель'!V66</f>
        <v/>
      </c>
      <c r="W1773">
        <f>SUM('19_Расчет_аналитики'!W1763:W1770)+'02_Модель'!W66</f>
        <v/>
      </c>
      <c r="X1773">
        <f>SUM('19_Расчет_аналитики'!X1763:X1770)+'02_Модель'!X66</f>
        <v/>
      </c>
      <c r="Y1773">
        <f>SUM('19_Расчет_аналитики'!Y1763:Y1770)+'02_Модель'!Y66</f>
        <v/>
      </c>
      <c r="Z1773">
        <f>SUM('19_Расчет_аналитики'!Z1763:Z1770)+'02_Модель'!Z66</f>
        <v/>
      </c>
      <c r="AA1773">
        <f>SUM('19_Расчет_аналитики'!AA1763:AA1770)+'02_Модель'!AA66</f>
        <v/>
      </c>
      <c r="AB1773">
        <f>SUM('19_Расчет_аналитики'!AB1763:AB1770)+'02_Модель'!AB66</f>
        <v/>
      </c>
      <c r="AC1773">
        <f>SUM('19_Расчет_аналитики'!AC1763:AC1770)+'02_Модель'!AC66</f>
        <v/>
      </c>
      <c r="AD1773">
        <f>SUM('19_Расчет_аналитики'!AD1763:AD1770)+'02_Модель'!AD66</f>
        <v/>
      </c>
      <c r="AE1773">
        <f>SUM('19_Расчет_аналитики'!AE1763:AE1770)+'02_Модель'!AE66</f>
        <v/>
      </c>
      <c r="AF1773">
        <f>SUM('19_Расчет_аналитики'!AF1763:AF1770)+'02_Модель'!AF66</f>
        <v/>
      </c>
      <c r="AG1773">
        <f>SUM('19_Расчет_аналитики'!AG1763:AG1770)+'02_Модель'!AG66</f>
        <v/>
      </c>
      <c r="AH1773">
        <f>SUM('19_Расчет_аналитики'!AH1763:AH1770)+'02_Модель'!AH66</f>
        <v/>
      </c>
      <c r="AI1773">
        <f>SUM('19_Расчет_аналитики'!AI1763:AI1770)+'02_Модель'!AI66</f>
        <v/>
      </c>
      <c r="AJ1773">
        <f>SUM('19_Расчет_аналитики'!AJ1763:AJ1770)+'02_Модель'!AJ66</f>
        <v/>
      </c>
      <c r="AK1773">
        <f>SUM('19_Расчет_аналитики'!AK1763:AK1770)+'02_Модель'!AK66</f>
        <v/>
      </c>
      <c r="AL1773">
        <f>SUM('19_Расчет_аналитики'!AL1763:AL1770)+'02_Модель'!AL66</f>
        <v/>
      </c>
      <c r="AM1773">
        <f>SUM('19_Расчет_аналитики'!AM1763:AM1770)+'02_Модель'!AM66</f>
        <v/>
      </c>
      <c r="AN1773">
        <f>SUM('19_Расчет_аналитики'!AN1763:AN1770)+'02_Модель'!AN66</f>
        <v/>
      </c>
      <c r="AO1773">
        <f>SUM('19_Расчет_аналитики'!AO1763:AO1770)+'02_Модель'!AO66</f>
        <v/>
      </c>
      <c r="AP1773">
        <f>SUM('19_Расчет_аналитики'!AP1763:AP1770)+'02_Модель'!AP66</f>
        <v/>
      </c>
      <c r="AQ1773">
        <f>SUM('19_Расчет_аналитики'!AQ1763:AQ1770)+'02_Модель'!AQ66</f>
        <v/>
      </c>
      <c r="AR1773">
        <f>SUM('19_Расчет_аналитики'!AR1763:AR1770)+'02_Модель'!AR66</f>
        <v/>
      </c>
      <c r="AS1773">
        <f>SUM('19_Расчет_аналитики'!AS1763:AS1770)+'02_Модель'!AS66</f>
        <v/>
      </c>
      <c r="AT1773">
        <f>SUM('19_Расчет_аналитики'!AT1763:AT1770)+'02_Модель'!AT66</f>
        <v/>
      </c>
      <c r="AU1773">
        <f>SUM('19_Расчет_аналитики'!AU1763:AU1770)+'02_Модель'!AU66</f>
        <v/>
      </c>
      <c r="AV1773">
        <f>SUM('19_Расчет_аналитики'!AV1763:AV1770)+'02_Модель'!AV66</f>
        <v/>
      </c>
      <c r="AW1773">
        <f>SUM('19_Расчет_аналитики'!AW1763:AW1770)+'02_Модель'!AW66</f>
        <v/>
      </c>
      <c r="AX1773">
        <f>SUM('19_Расчет_аналитики'!AX1763:AX1770)+'02_Модель'!AX66</f>
        <v/>
      </c>
      <c r="AY1773">
        <f>SUM('19_Расчет_аналитики'!AY1763:AY1770)+'02_Модель'!AY66</f>
        <v/>
      </c>
      <c r="AZ1773">
        <f>SUM('19_Расчет_аналитики'!AZ1763:AZ1770)+'02_Модель'!AZ66</f>
        <v/>
      </c>
      <c r="BA1773">
        <f>SUM('19_Расчет_аналитики'!BA1763:BA1770)+'02_Модель'!BA66</f>
        <v/>
      </c>
      <c r="BB1773">
        <f>SUM('19_Расчет_аналитики'!BB1763:BB1770)+'02_Модель'!BB66</f>
        <v/>
      </c>
      <c r="BC1773">
        <f>SUM('19_Расчет_аналитики'!BC1763:BC1770)+'02_Модель'!BC66</f>
        <v/>
      </c>
      <c r="BD1773">
        <f>SUM('19_Расчет_аналитики'!BD1763:BD1770)+'02_Модель'!BD66</f>
        <v/>
      </c>
      <c r="BE1773">
        <f>SUM('19_Расчет_аналитики'!BE1763:BE1770)+'02_Модель'!BE66</f>
        <v/>
      </c>
      <c r="BF1773">
        <f>SUM('19_Расчет_аналитики'!BF1763:BF1770)+'02_Модель'!BF66</f>
        <v/>
      </c>
      <c r="BG1773">
        <f>SUM('19_Расчет_аналитики'!BG1763:BG1770)+'02_Модель'!BG66</f>
        <v/>
      </c>
      <c r="BH1773">
        <f>SUM('19_Расчет_аналитики'!BH1763:BH1770)+'02_Модель'!BH66</f>
        <v/>
      </c>
      <c r="BI1773">
        <f>SUM('19_Расчет_аналитики'!BI1763:BI1770)+'02_Модель'!BI66</f>
        <v/>
      </c>
    </row>
    <row r="1774">
      <c r="B1774">
        <f>'19_Расчет_аналитики'!B1762-'19_Расчет_аналитики'!B1773</f>
        <v/>
      </c>
      <c r="C1774">
        <f>'19_Расчет_аналитики'!C1762-'19_Расчет_аналитики'!C1773</f>
        <v/>
      </c>
      <c r="D1774">
        <f>'19_Расчет_аналитики'!D1762-'19_Расчет_аналитики'!D1773</f>
        <v/>
      </c>
      <c r="E1774">
        <f>'19_Расчет_аналитики'!E1762-'19_Расчет_аналитики'!E1773</f>
        <v/>
      </c>
      <c r="F1774">
        <f>'19_Расчет_аналитики'!F1762-'19_Расчет_аналитики'!F1773</f>
        <v/>
      </c>
      <c r="G1774">
        <f>'19_Расчет_аналитики'!G1762-'19_Расчет_аналитики'!G1773</f>
        <v/>
      </c>
      <c r="H1774">
        <f>'19_Расчет_аналитики'!H1762-'19_Расчет_аналитики'!H1773</f>
        <v/>
      </c>
      <c r="I1774">
        <f>'19_Расчет_аналитики'!I1762-'19_Расчет_аналитики'!I1773</f>
        <v/>
      </c>
      <c r="J1774">
        <f>'19_Расчет_аналитики'!J1762-'19_Расчет_аналитики'!J1773</f>
        <v/>
      </c>
      <c r="K1774">
        <f>'19_Расчет_аналитики'!K1762-'19_Расчет_аналитики'!K1773</f>
        <v/>
      </c>
      <c r="L1774">
        <f>'19_Расчет_аналитики'!L1762-'19_Расчет_аналитики'!L1773</f>
        <v/>
      </c>
      <c r="M1774">
        <f>'19_Расчет_аналитики'!M1762-'19_Расчет_аналитики'!M1773</f>
        <v/>
      </c>
      <c r="N1774">
        <f>'19_Расчет_аналитики'!N1762-'19_Расчет_аналитики'!N1773</f>
        <v/>
      </c>
      <c r="O1774">
        <f>'19_Расчет_аналитики'!O1762-'19_Расчет_аналитики'!O1773</f>
        <v/>
      </c>
      <c r="P1774">
        <f>'19_Расчет_аналитики'!P1762-'19_Расчет_аналитики'!P1773</f>
        <v/>
      </c>
      <c r="Q1774">
        <f>'19_Расчет_аналитики'!Q1762-'19_Расчет_аналитики'!Q1773</f>
        <v/>
      </c>
      <c r="R1774">
        <f>'19_Расчет_аналитики'!R1762-'19_Расчет_аналитики'!R1773</f>
        <v/>
      </c>
      <c r="S1774">
        <f>'19_Расчет_аналитики'!S1762-'19_Расчет_аналитики'!S1773</f>
        <v/>
      </c>
      <c r="T1774">
        <f>'19_Расчет_аналитики'!T1762-'19_Расчет_аналитики'!T1773</f>
        <v/>
      </c>
      <c r="U1774">
        <f>'19_Расчет_аналитики'!U1762-'19_Расчет_аналитики'!U1773</f>
        <v/>
      </c>
      <c r="V1774">
        <f>'19_Расчет_аналитики'!V1762-'19_Расчет_аналитики'!V1773</f>
        <v/>
      </c>
      <c r="W1774">
        <f>'19_Расчет_аналитики'!W1762-'19_Расчет_аналитики'!W1773</f>
        <v/>
      </c>
      <c r="X1774">
        <f>'19_Расчет_аналитики'!X1762-'19_Расчет_аналитики'!X1773</f>
        <v/>
      </c>
      <c r="Y1774">
        <f>'19_Расчет_аналитики'!Y1762-'19_Расчет_аналитики'!Y1773</f>
        <v/>
      </c>
      <c r="Z1774">
        <f>'19_Расчет_аналитики'!Z1762-'19_Расчет_аналитики'!Z1773</f>
        <v/>
      </c>
      <c r="AA1774">
        <f>'19_Расчет_аналитики'!AA1762-'19_Расчет_аналитики'!AA1773</f>
        <v/>
      </c>
      <c r="AB1774">
        <f>'19_Расчет_аналитики'!AB1762-'19_Расчет_аналитики'!AB1773</f>
        <v/>
      </c>
      <c r="AC1774">
        <f>'19_Расчет_аналитики'!AC1762-'19_Расчет_аналитики'!AC1773</f>
        <v/>
      </c>
      <c r="AD1774">
        <f>'19_Расчет_аналитики'!AD1762-'19_Расчет_аналитики'!AD1773</f>
        <v/>
      </c>
      <c r="AE1774">
        <f>'19_Расчет_аналитики'!AE1762-'19_Расчет_аналитики'!AE1773</f>
        <v/>
      </c>
      <c r="AF1774">
        <f>'19_Расчет_аналитики'!AF1762-'19_Расчет_аналитики'!AF1773</f>
        <v/>
      </c>
      <c r="AG1774">
        <f>'19_Расчет_аналитики'!AG1762-'19_Расчет_аналитики'!AG1773</f>
        <v/>
      </c>
      <c r="AH1774">
        <f>'19_Расчет_аналитики'!AH1762-'19_Расчет_аналитики'!AH1773</f>
        <v/>
      </c>
      <c r="AI1774">
        <f>'19_Расчет_аналитики'!AI1762-'19_Расчет_аналитики'!AI1773</f>
        <v/>
      </c>
      <c r="AJ1774">
        <f>'19_Расчет_аналитики'!AJ1762-'19_Расчет_аналитики'!AJ1773</f>
        <v/>
      </c>
      <c r="AK1774">
        <f>'19_Расчет_аналитики'!AK1762-'19_Расчет_аналитики'!AK1773</f>
        <v/>
      </c>
      <c r="AL1774">
        <f>'19_Расчет_аналитики'!AL1762-'19_Расчет_аналитики'!AL1773</f>
        <v/>
      </c>
      <c r="AM1774">
        <f>'19_Расчет_аналитики'!AM1762-'19_Расчет_аналитики'!AM1773</f>
        <v/>
      </c>
      <c r="AN1774">
        <f>'19_Расчет_аналитики'!AN1762-'19_Расчет_аналитики'!AN1773</f>
        <v/>
      </c>
      <c r="AO1774">
        <f>'19_Расчет_аналитики'!AO1762-'19_Расчет_аналитики'!AO1773</f>
        <v/>
      </c>
      <c r="AP1774">
        <f>'19_Расчет_аналитики'!AP1762-'19_Расчет_аналитики'!AP1773</f>
        <v/>
      </c>
      <c r="AQ1774">
        <f>'19_Расчет_аналитики'!AQ1762-'19_Расчет_аналитики'!AQ1773</f>
        <v/>
      </c>
      <c r="AR1774">
        <f>'19_Расчет_аналитики'!AR1762-'19_Расчет_аналитики'!AR1773</f>
        <v/>
      </c>
      <c r="AS1774">
        <f>'19_Расчет_аналитики'!AS1762-'19_Расчет_аналитики'!AS1773</f>
        <v/>
      </c>
      <c r="AT1774">
        <f>'19_Расчет_аналитики'!AT1762-'19_Расчет_аналитики'!AT1773</f>
        <v/>
      </c>
      <c r="AU1774">
        <f>'19_Расчет_аналитики'!AU1762-'19_Расчет_аналитики'!AU1773</f>
        <v/>
      </c>
      <c r="AV1774">
        <f>'19_Расчет_аналитики'!AV1762-'19_Расчет_аналитики'!AV1773</f>
        <v/>
      </c>
      <c r="AW1774">
        <f>'19_Расчет_аналитики'!AW1762-'19_Расчет_аналитики'!AW1773</f>
        <v/>
      </c>
      <c r="AX1774">
        <f>'19_Расчет_аналитики'!AX1762-'19_Расчет_аналитики'!AX1773</f>
        <v/>
      </c>
      <c r="AY1774">
        <f>'19_Расчет_аналитики'!AY1762-'19_Расчет_аналитики'!AY1773</f>
        <v/>
      </c>
      <c r="AZ1774">
        <f>'19_Расчет_аналитики'!AZ1762-'19_Расчет_аналитики'!AZ1773</f>
        <v/>
      </c>
      <c r="BA1774">
        <f>'19_Расчет_аналитики'!BA1762-'19_Расчет_аналитики'!BA1773</f>
        <v/>
      </c>
      <c r="BB1774">
        <f>'19_Расчет_аналитики'!BB1762-'19_Расчет_аналитики'!BB1773</f>
        <v/>
      </c>
      <c r="BC1774">
        <f>'19_Расчет_аналитики'!BC1762-'19_Расчет_аналитики'!BC1773</f>
        <v/>
      </c>
      <c r="BD1774">
        <f>'19_Расчет_аналитики'!BD1762-'19_Расчет_аналитики'!BD1773</f>
        <v/>
      </c>
      <c r="BE1774">
        <f>'19_Расчет_аналитики'!BE1762-'19_Расчет_аналитики'!BE1773</f>
        <v/>
      </c>
      <c r="BF1774">
        <f>'19_Расчет_аналитики'!BF1762-'19_Расчет_аналитики'!BF1773</f>
        <v/>
      </c>
      <c r="BG1774">
        <f>'19_Расчет_аналитики'!BG1762-'19_Расчет_аналитики'!BG1773</f>
        <v/>
      </c>
      <c r="BH1774">
        <f>'19_Расчет_аналитики'!BH1762-'19_Расчет_аналитики'!BH1773</f>
        <v/>
      </c>
      <c r="BI1774">
        <f>'19_Расчет_аналитики'!BI1762-'19_Расчет_аналитики'!BI1773</f>
        <v/>
      </c>
    </row>
    <row r="1775">
      <c r="B1775">
        <f>'02_Модель'!B51+'19_Расчет_аналитики'!B1774</f>
        <v/>
      </c>
      <c r="C1775">
        <f>'19_Расчет_аналитики'!C1757+'19_Расчет_аналитики'!C1774</f>
        <v/>
      </c>
      <c r="D1775">
        <f>'19_Расчет_аналитики'!D1757+'19_Расчет_аналитики'!D1774</f>
        <v/>
      </c>
      <c r="E1775">
        <f>'19_Расчет_аналитики'!E1757+'19_Расчет_аналитики'!E1774</f>
        <v/>
      </c>
      <c r="F1775">
        <f>'19_Расчет_аналитики'!F1757+'19_Расчет_аналитики'!F1774</f>
        <v/>
      </c>
      <c r="G1775">
        <f>'19_Расчет_аналитики'!G1757+'19_Расчет_аналитики'!G1774</f>
        <v/>
      </c>
      <c r="H1775">
        <f>'19_Расчет_аналитики'!H1757+'19_Расчет_аналитики'!H1774</f>
        <v/>
      </c>
      <c r="I1775">
        <f>'19_Расчет_аналитики'!I1757+'19_Расчет_аналитики'!I1774</f>
        <v/>
      </c>
      <c r="J1775">
        <f>'19_Расчет_аналитики'!J1757+'19_Расчет_аналитики'!J1774</f>
        <v/>
      </c>
      <c r="K1775">
        <f>'19_Расчет_аналитики'!K1757+'19_Расчет_аналитики'!K1774</f>
        <v/>
      </c>
      <c r="L1775">
        <f>'19_Расчет_аналитики'!L1757+'19_Расчет_аналитики'!L1774</f>
        <v/>
      </c>
      <c r="M1775">
        <f>'19_Расчет_аналитики'!M1757+'19_Расчет_аналитики'!M1774</f>
        <v/>
      </c>
      <c r="N1775">
        <f>'19_Расчет_аналитики'!N1757+'19_Расчет_аналитики'!N1774</f>
        <v/>
      </c>
      <c r="O1775">
        <f>'19_Расчет_аналитики'!O1757+'19_Расчет_аналитики'!O1774</f>
        <v/>
      </c>
      <c r="P1775">
        <f>'19_Расчет_аналитики'!P1757+'19_Расчет_аналитики'!P1774</f>
        <v/>
      </c>
      <c r="Q1775">
        <f>'19_Расчет_аналитики'!Q1757+'19_Расчет_аналитики'!Q1774</f>
        <v/>
      </c>
      <c r="R1775">
        <f>'19_Расчет_аналитики'!R1757+'19_Расчет_аналитики'!R1774</f>
        <v/>
      </c>
      <c r="S1775">
        <f>'19_Расчет_аналитики'!S1757+'19_Расчет_аналитики'!S1774</f>
        <v/>
      </c>
      <c r="T1775">
        <f>'19_Расчет_аналитики'!T1757+'19_Расчет_аналитики'!T1774</f>
        <v/>
      </c>
      <c r="U1775">
        <f>'19_Расчет_аналитики'!U1757+'19_Расчет_аналитики'!U1774</f>
        <v/>
      </c>
      <c r="V1775">
        <f>'19_Расчет_аналитики'!V1757+'19_Расчет_аналитики'!V1774</f>
        <v/>
      </c>
      <c r="W1775">
        <f>'19_Расчет_аналитики'!W1757+'19_Расчет_аналитики'!W1774</f>
        <v/>
      </c>
      <c r="X1775">
        <f>'19_Расчет_аналитики'!X1757+'19_Расчет_аналитики'!X1774</f>
        <v/>
      </c>
      <c r="Y1775">
        <f>'19_Расчет_аналитики'!Y1757+'19_Расчет_аналитики'!Y1774</f>
        <v/>
      </c>
      <c r="Z1775">
        <f>'19_Расчет_аналитики'!Z1757+'19_Расчет_аналитики'!Z1774</f>
        <v/>
      </c>
      <c r="AA1775">
        <f>'19_Расчет_аналитики'!AA1757+'19_Расчет_аналитики'!AA1774</f>
        <v/>
      </c>
      <c r="AB1775">
        <f>'19_Расчет_аналитики'!AB1757+'19_Расчет_аналитики'!AB1774</f>
        <v/>
      </c>
      <c r="AC1775">
        <f>'19_Расчет_аналитики'!AC1757+'19_Расчет_аналитики'!AC1774</f>
        <v/>
      </c>
      <c r="AD1775">
        <f>'19_Расчет_аналитики'!AD1757+'19_Расчет_аналитики'!AD1774</f>
        <v/>
      </c>
      <c r="AE1775">
        <f>'19_Расчет_аналитики'!AE1757+'19_Расчет_аналитики'!AE1774</f>
        <v/>
      </c>
      <c r="AF1775">
        <f>'19_Расчет_аналитики'!AF1757+'19_Расчет_аналитики'!AF1774</f>
        <v/>
      </c>
      <c r="AG1775">
        <f>'19_Расчет_аналитики'!AG1757+'19_Расчет_аналитики'!AG1774</f>
        <v/>
      </c>
      <c r="AH1775">
        <f>'19_Расчет_аналитики'!AH1757+'19_Расчет_аналитики'!AH1774</f>
        <v/>
      </c>
      <c r="AI1775">
        <f>'19_Расчет_аналитики'!AI1757+'19_Расчет_аналитики'!AI1774</f>
        <v/>
      </c>
      <c r="AJ1775">
        <f>'19_Расчет_аналитики'!AJ1757+'19_Расчет_аналитики'!AJ1774</f>
        <v/>
      </c>
      <c r="AK1775">
        <f>'19_Расчет_аналитики'!AK1757+'19_Расчет_аналитики'!AK1774</f>
        <v/>
      </c>
      <c r="AL1775">
        <f>'19_Расчет_аналитики'!AL1757+'19_Расчет_аналитики'!AL1774</f>
        <v/>
      </c>
      <c r="AM1775">
        <f>'19_Расчет_аналитики'!AM1757+'19_Расчет_аналитики'!AM1774</f>
        <v/>
      </c>
      <c r="AN1775">
        <f>'19_Расчет_аналитики'!AN1757+'19_Расчет_аналитики'!AN1774</f>
        <v/>
      </c>
      <c r="AO1775">
        <f>'19_Расчет_аналитики'!AO1757+'19_Расчет_аналитики'!AO1774</f>
        <v/>
      </c>
      <c r="AP1775">
        <f>'19_Расчет_аналитики'!AP1757+'19_Расчет_аналитики'!AP1774</f>
        <v/>
      </c>
      <c r="AQ1775">
        <f>'19_Расчет_аналитики'!AQ1757+'19_Расчет_аналитики'!AQ1774</f>
        <v/>
      </c>
      <c r="AR1775">
        <f>'19_Расчет_аналитики'!AR1757+'19_Расчет_аналитики'!AR1774</f>
        <v/>
      </c>
      <c r="AS1775">
        <f>'19_Расчет_аналитики'!AS1757+'19_Расчет_аналитики'!AS1774</f>
        <v/>
      </c>
      <c r="AT1775">
        <f>'19_Расчет_аналитики'!AT1757+'19_Расчет_аналитики'!AT1774</f>
        <v/>
      </c>
      <c r="AU1775">
        <f>'19_Расчет_аналитики'!AU1757+'19_Расчет_аналитики'!AU1774</f>
        <v/>
      </c>
      <c r="AV1775">
        <f>'19_Расчет_аналитики'!AV1757+'19_Расчет_аналитики'!AV1774</f>
        <v/>
      </c>
      <c r="AW1775">
        <f>'19_Расчет_аналитики'!AW1757+'19_Расчет_аналитики'!AW1774</f>
        <v/>
      </c>
      <c r="AX1775">
        <f>'19_Расчет_аналитики'!AX1757+'19_Расчет_аналитики'!AX1774</f>
        <v/>
      </c>
      <c r="AY1775">
        <f>'19_Расчет_аналитики'!AY1757+'19_Расчет_аналитики'!AY1774</f>
        <v/>
      </c>
      <c r="AZ1775">
        <f>'19_Расчет_аналитики'!AZ1757+'19_Расчет_аналитики'!AZ1774</f>
        <v/>
      </c>
      <c r="BA1775">
        <f>'19_Расчет_аналитики'!BA1757+'19_Расчет_аналитики'!BA1774</f>
        <v/>
      </c>
      <c r="BB1775">
        <f>'19_Расчет_аналитики'!BB1757+'19_Расчет_аналитики'!BB1774</f>
        <v/>
      </c>
      <c r="BC1775">
        <f>'19_Расчет_аналитики'!BC1757+'19_Расчет_аналитики'!BC1774</f>
        <v/>
      </c>
      <c r="BD1775">
        <f>'19_Расчет_аналитики'!BD1757+'19_Расчет_аналитики'!BD1774</f>
        <v/>
      </c>
      <c r="BE1775">
        <f>'19_Расчет_аналитики'!BE1757+'19_Расчет_аналитики'!BE1774</f>
        <v/>
      </c>
      <c r="BF1775">
        <f>'19_Расчет_аналитики'!BF1757+'19_Расчет_аналитики'!BF1774</f>
        <v/>
      </c>
      <c r="BG1775">
        <f>'19_Расчет_аналитики'!BG1757+'19_Расчет_аналитики'!BG1774</f>
        <v/>
      </c>
      <c r="BH1775">
        <f>'19_Расчет_аналитики'!BH1757+'19_Расчет_аналитики'!BH1774</f>
        <v/>
      </c>
      <c r="BI1775">
        <f>'19_Расчет_аналитики'!BI1757+'19_Расчет_аналитики'!BI1774</f>
        <v/>
      </c>
    </row>
    <row r="1776">
      <c r="B1776">
        <f>'19_Расчет_аналитики'!B1644</f>
        <v/>
      </c>
      <c r="C1776">
        <f>'19_Расчет_аналитики'!C1644</f>
        <v/>
      </c>
      <c r="D1776">
        <f>'19_Расчет_аналитики'!D1644</f>
        <v/>
      </c>
      <c r="E1776">
        <f>'19_Расчет_аналитики'!E1644</f>
        <v/>
      </c>
      <c r="F1776">
        <f>'19_Расчет_аналитики'!F1644</f>
        <v/>
      </c>
      <c r="G1776">
        <f>'19_Расчет_аналитики'!G1644</f>
        <v/>
      </c>
      <c r="H1776">
        <f>'19_Расчет_аналитики'!H1644</f>
        <v/>
      </c>
      <c r="I1776">
        <f>'19_Расчет_аналитики'!I1644</f>
        <v/>
      </c>
      <c r="J1776">
        <f>'19_Расчет_аналитики'!J1644</f>
        <v/>
      </c>
      <c r="K1776">
        <f>'19_Расчет_аналитики'!K1644</f>
        <v/>
      </c>
      <c r="L1776">
        <f>'19_Расчет_аналитики'!L1644</f>
        <v/>
      </c>
      <c r="M1776">
        <f>'19_Расчет_аналитики'!M1644</f>
        <v/>
      </c>
      <c r="N1776">
        <f>'19_Расчет_аналитики'!N1644</f>
        <v/>
      </c>
      <c r="O1776">
        <f>'19_Расчет_аналитики'!O1644</f>
        <v/>
      </c>
      <c r="P1776">
        <f>'19_Расчет_аналитики'!P1644</f>
        <v/>
      </c>
      <c r="Q1776">
        <f>'19_Расчет_аналитики'!Q1644</f>
        <v/>
      </c>
      <c r="R1776">
        <f>'19_Расчет_аналитики'!R1644</f>
        <v/>
      </c>
      <c r="S1776">
        <f>'19_Расчет_аналитики'!S1644</f>
        <v/>
      </c>
      <c r="T1776">
        <f>'19_Расчет_аналитики'!T1644</f>
        <v/>
      </c>
      <c r="U1776">
        <f>'19_Расчет_аналитики'!U1644</f>
        <v/>
      </c>
      <c r="V1776">
        <f>'19_Расчет_аналитики'!V1644</f>
        <v/>
      </c>
      <c r="W1776">
        <f>'19_Расчет_аналитики'!W1644</f>
        <v/>
      </c>
      <c r="X1776">
        <f>'19_Расчет_аналитики'!X1644</f>
        <v/>
      </c>
      <c r="Y1776">
        <f>'19_Расчет_аналитики'!Y1644</f>
        <v/>
      </c>
      <c r="Z1776">
        <f>'19_Расчет_аналитики'!Z1644</f>
        <v/>
      </c>
      <c r="AA1776">
        <f>'19_Расчет_аналитики'!AA1644</f>
        <v/>
      </c>
      <c r="AB1776">
        <f>'19_Расчет_аналитики'!AB1644</f>
        <v/>
      </c>
      <c r="AC1776">
        <f>'19_Расчет_аналитики'!AC1644</f>
        <v/>
      </c>
      <c r="AD1776">
        <f>'19_Расчет_аналитики'!AD1644</f>
        <v/>
      </c>
      <c r="AE1776">
        <f>'19_Расчет_аналитики'!AE1644</f>
        <v/>
      </c>
      <c r="AF1776">
        <f>'19_Расчет_аналитики'!AF1644</f>
        <v/>
      </c>
      <c r="AG1776">
        <f>'19_Расчет_аналитики'!AG1644</f>
        <v/>
      </c>
      <c r="AH1776">
        <f>'19_Расчет_аналитики'!AH1644</f>
        <v/>
      </c>
      <c r="AI1776">
        <f>'19_Расчет_аналитики'!AI1644</f>
        <v/>
      </c>
      <c r="AJ1776">
        <f>'19_Расчет_аналитики'!AJ1644</f>
        <v/>
      </c>
      <c r="AK1776">
        <f>'19_Расчет_аналитики'!AK1644</f>
        <v/>
      </c>
      <c r="AL1776">
        <f>'19_Расчет_аналитики'!AL1644</f>
        <v/>
      </c>
      <c r="AM1776">
        <f>'19_Расчет_аналитики'!AM1644</f>
        <v/>
      </c>
      <c r="AN1776">
        <f>'19_Расчет_аналитики'!AN1644</f>
        <v/>
      </c>
      <c r="AO1776">
        <f>'19_Расчет_аналитики'!AO1644</f>
        <v/>
      </c>
      <c r="AP1776">
        <f>'19_Расчет_аналитики'!AP1644</f>
        <v/>
      </c>
      <c r="AQ1776">
        <f>'19_Расчет_аналитики'!AQ1644</f>
        <v/>
      </c>
      <c r="AR1776">
        <f>'19_Расчет_аналитики'!AR1644</f>
        <v/>
      </c>
      <c r="AS1776">
        <f>'19_Расчет_аналитики'!AS1644</f>
        <v/>
      </c>
      <c r="AT1776">
        <f>'19_Расчет_аналитики'!AT1644</f>
        <v/>
      </c>
      <c r="AU1776">
        <f>'19_Расчет_аналитики'!AU1644</f>
        <v/>
      </c>
      <c r="AV1776">
        <f>'19_Расчет_аналитики'!AV1644</f>
        <v/>
      </c>
      <c r="AW1776">
        <f>'19_Расчет_аналитики'!AW1644</f>
        <v/>
      </c>
      <c r="AX1776">
        <f>'19_Расчет_аналитики'!AX1644</f>
        <v/>
      </c>
      <c r="AY1776">
        <f>'19_Расчет_аналитики'!AY1644</f>
        <v/>
      </c>
      <c r="AZ1776">
        <f>'19_Расчет_аналитики'!AZ1644</f>
        <v/>
      </c>
      <c r="BA1776">
        <f>'19_Расчет_аналитики'!BA1644</f>
        <v/>
      </c>
      <c r="BB1776">
        <f>'19_Расчет_аналитики'!BB1644</f>
        <v/>
      </c>
      <c r="BC1776">
        <f>'19_Расчет_аналитики'!BC1644</f>
        <v/>
      </c>
      <c r="BD1776">
        <f>'19_Расчет_аналитики'!BD1644</f>
        <v/>
      </c>
      <c r="BE1776">
        <f>'19_Расчет_аналитики'!BE1644</f>
        <v/>
      </c>
      <c r="BF1776">
        <f>'19_Расчет_аналитики'!BF1644</f>
        <v/>
      </c>
      <c r="BG1776">
        <f>'19_Расчет_аналитики'!BG1644</f>
        <v/>
      </c>
      <c r="BH1776">
        <f>'19_Расчет_аналитики'!BH1644</f>
        <v/>
      </c>
      <c r="BI1776">
        <f>'19_Расчет_аналитики'!BI1644</f>
        <v/>
      </c>
    </row>
    <row r="1777">
      <c r="B1777">
        <f>'19_Расчет_аналитики'!B1774-'19_Расчет_аналитики'!B1776</f>
        <v/>
      </c>
      <c r="C1777">
        <f>'19_Расчет_аналитики'!C1774-'19_Расчет_аналитики'!C1776</f>
        <v/>
      </c>
      <c r="D1777">
        <f>'19_Расчет_аналитики'!D1774-'19_Расчет_аналитики'!D1776</f>
        <v/>
      </c>
      <c r="E1777">
        <f>'19_Расчет_аналитики'!E1774-'19_Расчет_аналитики'!E1776</f>
        <v/>
      </c>
      <c r="F1777">
        <f>'19_Расчет_аналитики'!F1774-'19_Расчет_аналитики'!F1776</f>
        <v/>
      </c>
      <c r="G1777">
        <f>'19_Расчет_аналитики'!G1774-'19_Расчет_аналитики'!G1776</f>
        <v/>
      </c>
      <c r="H1777">
        <f>'19_Расчет_аналитики'!H1774-'19_Расчет_аналитики'!H1776</f>
        <v/>
      </c>
      <c r="I1777">
        <f>'19_Расчет_аналитики'!I1774-'19_Расчет_аналитики'!I1776</f>
        <v/>
      </c>
      <c r="J1777">
        <f>'19_Расчет_аналитики'!J1774-'19_Расчет_аналитики'!J1776</f>
        <v/>
      </c>
      <c r="K1777">
        <f>'19_Расчет_аналитики'!K1774-'19_Расчет_аналитики'!K1776</f>
        <v/>
      </c>
      <c r="L1777">
        <f>'19_Расчет_аналитики'!L1774-'19_Расчет_аналитики'!L1776</f>
        <v/>
      </c>
      <c r="M1777">
        <f>'19_Расчет_аналитики'!M1774-'19_Расчет_аналитики'!M1776</f>
        <v/>
      </c>
      <c r="N1777">
        <f>'19_Расчет_аналитики'!N1774-'19_Расчет_аналитики'!N1776</f>
        <v/>
      </c>
      <c r="O1777">
        <f>'19_Расчет_аналитики'!O1774-'19_Расчет_аналитики'!O1776</f>
        <v/>
      </c>
      <c r="P1777">
        <f>'19_Расчет_аналитики'!P1774-'19_Расчет_аналитики'!P1776</f>
        <v/>
      </c>
      <c r="Q1777">
        <f>'19_Расчет_аналитики'!Q1774-'19_Расчет_аналитики'!Q1776</f>
        <v/>
      </c>
      <c r="R1777">
        <f>'19_Расчет_аналитики'!R1774-'19_Расчет_аналитики'!R1776</f>
        <v/>
      </c>
      <c r="S1777">
        <f>'19_Расчет_аналитики'!S1774-'19_Расчет_аналитики'!S1776</f>
        <v/>
      </c>
      <c r="T1777">
        <f>'19_Расчет_аналитики'!T1774-'19_Расчет_аналитики'!T1776</f>
        <v/>
      </c>
      <c r="U1777">
        <f>'19_Расчет_аналитики'!U1774-'19_Расчет_аналитики'!U1776</f>
        <v/>
      </c>
      <c r="V1777">
        <f>'19_Расчет_аналитики'!V1774-'19_Расчет_аналитики'!V1776</f>
        <v/>
      </c>
      <c r="W1777">
        <f>'19_Расчет_аналитики'!W1774-'19_Расчет_аналитики'!W1776</f>
        <v/>
      </c>
      <c r="X1777">
        <f>'19_Расчет_аналитики'!X1774-'19_Расчет_аналитики'!X1776</f>
        <v/>
      </c>
      <c r="Y1777">
        <f>'19_Расчет_аналитики'!Y1774-'19_Расчет_аналитики'!Y1776</f>
        <v/>
      </c>
      <c r="Z1777">
        <f>'19_Расчет_аналитики'!Z1774-'19_Расчет_аналитики'!Z1776</f>
        <v/>
      </c>
      <c r="AA1777">
        <f>'19_Расчет_аналитики'!AA1774-'19_Расчет_аналитики'!AA1776</f>
        <v/>
      </c>
      <c r="AB1777">
        <f>'19_Расчет_аналитики'!AB1774-'19_Расчет_аналитики'!AB1776</f>
        <v/>
      </c>
      <c r="AC1777">
        <f>'19_Расчет_аналитики'!AC1774-'19_Расчет_аналитики'!AC1776</f>
        <v/>
      </c>
      <c r="AD1777">
        <f>'19_Расчет_аналитики'!AD1774-'19_Расчет_аналитики'!AD1776</f>
        <v/>
      </c>
      <c r="AE1777">
        <f>'19_Расчет_аналитики'!AE1774-'19_Расчет_аналитики'!AE1776</f>
        <v/>
      </c>
      <c r="AF1777">
        <f>'19_Расчет_аналитики'!AF1774-'19_Расчет_аналитики'!AF1776</f>
        <v/>
      </c>
      <c r="AG1777">
        <f>'19_Расчет_аналитики'!AG1774-'19_Расчет_аналитики'!AG1776</f>
        <v/>
      </c>
      <c r="AH1777">
        <f>'19_Расчет_аналитики'!AH1774-'19_Расчет_аналитики'!AH1776</f>
        <v/>
      </c>
      <c r="AI1777">
        <f>'19_Расчет_аналитики'!AI1774-'19_Расчет_аналитики'!AI1776</f>
        <v/>
      </c>
      <c r="AJ1777">
        <f>'19_Расчет_аналитики'!AJ1774-'19_Расчет_аналитики'!AJ1776</f>
        <v/>
      </c>
      <c r="AK1777">
        <f>'19_Расчет_аналитики'!AK1774-'19_Расчет_аналитики'!AK1776</f>
        <v/>
      </c>
      <c r="AL1777">
        <f>'19_Расчет_аналитики'!AL1774-'19_Расчет_аналитики'!AL1776</f>
        <v/>
      </c>
      <c r="AM1777">
        <f>'19_Расчет_аналитики'!AM1774-'19_Расчет_аналитики'!AM1776</f>
        <v/>
      </c>
      <c r="AN1777">
        <f>'19_Расчет_аналитики'!AN1774-'19_Расчет_аналитики'!AN1776</f>
        <v/>
      </c>
      <c r="AO1777">
        <f>'19_Расчет_аналитики'!AO1774-'19_Расчет_аналитики'!AO1776</f>
        <v/>
      </c>
      <c r="AP1777">
        <f>'19_Расчет_аналитики'!AP1774-'19_Расчет_аналитики'!AP1776</f>
        <v/>
      </c>
      <c r="AQ1777">
        <f>'19_Расчет_аналитики'!AQ1774-'19_Расчет_аналитики'!AQ1776</f>
        <v/>
      </c>
      <c r="AR1777">
        <f>'19_Расчет_аналитики'!AR1774-'19_Расчет_аналитики'!AR1776</f>
        <v/>
      </c>
      <c r="AS1777">
        <f>'19_Расчет_аналитики'!AS1774-'19_Расчет_аналитики'!AS1776</f>
        <v/>
      </c>
      <c r="AT1777">
        <f>'19_Расчет_аналитики'!AT1774-'19_Расчет_аналитики'!AT1776</f>
        <v/>
      </c>
      <c r="AU1777">
        <f>'19_Расчет_аналитики'!AU1774-'19_Расчет_аналитики'!AU1776</f>
        <v/>
      </c>
      <c r="AV1777">
        <f>'19_Расчет_аналитики'!AV1774-'19_Расчет_аналитики'!AV1776</f>
        <v/>
      </c>
      <c r="AW1777">
        <f>'19_Расчет_аналитики'!AW1774-'19_Расчет_аналитики'!AW1776</f>
        <v/>
      </c>
      <c r="AX1777">
        <f>'19_Расчет_аналитики'!AX1774-'19_Расчет_аналитики'!AX1776</f>
        <v/>
      </c>
      <c r="AY1777">
        <f>'19_Расчет_аналитики'!AY1774-'19_Расчет_аналитики'!AY1776</f>
        <v/>
      </c>
      <c r="AZ1777">
        <f>'19_Расчет_аналитики'!AZ1774-'19_Расчет_аналитики'!AZ1776</f>
        <v/>
      </c>
      <c r="BA1777">
        <f>'19_Расчет_аналитики'!BA1774-'19_Расчет_аналитики'!BA1776</f>
        <v/>
      </c>
      <c r="BB1777">
        <f>'19_Расчет_аналитики'!BB1774-'19_Расчет_аналитики'!BB1776</f>
        <v/>
      </c>
      <c r="BC1777">
        <f>'19_Расчет_аналитики'!BC1774-'19_Расчет_аналитики'!BC1776</f>
        <v/>
      </c>
      <c r="BD1777">
        <f>'19_Расчет_аналитики'!BD1774-'19_Расчет_аналитики'!BD1776</f>
        <v/>
      </c>
      <c r="BE1777">
        <f>'19_Расчет_аналитики'!BE1774-'19_Расчет_аналитики'!BE1776</f>
        <v/>
      </c>
      <c r="BF1777">
        <f>'19_Расчет_аналитики'!BF1774-'19_Расчет_аналитики'!BF1776</f>
        <v/>
      </c>
      <c r="BG1777">
        <f>'19_Расчет_аналитики'!BG1774-'19_Расчет_аналитики'!BG1776</f>
        <v/>
      </c>
      <c r="BH1777">
        <f>'19_Расчет_аналитики'!BH1774-'19_Расчет_аналитики'!BH1776</f>
        <v/>
      </c>
      <c r="BI1777">
        <f>'19_Расчет_аналитики'!BI1774-'19_Расчет_аналитики'!BI1776</f>
        <v/>
      </c>
    </row>
    <row r="1778">
      <c r="B1778">
        <f>'02_Модель'!B51+'19_Расчет_аналитики'!B1777</f>
        <v/>
      </c>
      <c r="C1778">
        <f>'19_Расчет_аналитики'!C1757+'19_Расчет_аналитики'!C1777</f>
        <v/>
      </c>
      <c r="D1778">
        <f>'19_Расчет_аналитики'!D1757+'19_Расчет_аналитики'!D1777</f>
        <v/>
      </c>
      <c r="E1778">
        <f>'19_Расчет_аналитики'!E1757+'19_Расчет_аналитики'!E1777</f>
        <v/>
      </c>
      <c r="F1778">
        <f>'19_Расчет_аналитики'!F1757+'19_Расчет_аналитики'!F1777</f>
        <v/>
      </c>
      <c r="G1778">
        <f>'19_Расчет_аналитики'!G1757+'19_Расчет_аналитики'!G1777</f>
        <v/>
      </c>
      <c r="H1778">
        <f>'19_Расчет_аналитики'!H1757+'19_Расчет_аналитики'!H1777</f>
        <v/>
      </c>
      <c r="I1778">
        <f>'19_Расчет_аналитики'!I1757+'19_Расчет_аналитики'!I1777</f>
        <v/>
      </c>
      <c r="J1778">
        <f>'19_Расчет_аналитики'!J1757+'19_Расчет_аналитики'!J1777</f>
        <v/>
      </c>
      <c r="K1778">
        <f>'19_Расчет_аналитики'!K1757+'19_Расчет_аналитики'!K1777</f>
        <v/>
      </c>
      <c r="L1778">
        <f>'19_Расчет_аналитики'!L1757+'19_Расчет_аналитики'!L1777</f>
        <v/>
      </c>
      <c r="M1778">
        <f>'19_Расчет_аналитики'!M1757+'19_Расчет_аналитики'!M1777</f>
        <v/>
      </c>
      <c r="N1778">
        <f>'19_Расчет_аналитики'!N1757+'19_Расчет_аналитики'!N1777</f>
        <v/>
      </c>
      <c r="O1778">
        <f>'19_Расчет_аналитики'!O1757+'19_Расчет_аналитики'!O1777</f>
        <v/>
      </c>
      <c r="P1778">
        <f>'19_Расчет_аналитики'!P1757+'19_Расчет_аналитики'!P1777</f>
        <v/>
      </c>
      <c r="Q1778">
        <f>'19_Расчет_аналитики'!Q1757+'19_Расчет_аналитики'!Q1777</f>
        <v/>
      </c>
      <c r="R1778">
        <f>'19_Расчет_аналитики'!R1757+'19_Расчет_аналитики'!R1777</f>
        <v/>
      </c>
      <c r="S1778">
        <f>'19_Расчет_аналитики'!S1757+'19_Расчет_аналитики'!S1777</f>
        <v/>
      </c>
      <c r="T1778">
        <f>'19_Расчет_аналитики'!T1757+'19_Расчет_аналитики'!T1777</f>
        <v/>
      </c>
      <c r="U1778">
        <f>'19_Расчет_аналитики'!U1757+'19_Расчет_аналитики'!U1777</f>
        <v/>
      </c>
      <c r="V1778">
        <f>'19_Расчет_аналитики'!V1757+'19_Расчет_аналитики'!V1777</f>
        <v/>
      </c>
      <c r="W1778">
        <f>'19_Расчет_аналитики'!W1757+'19_Расчет_аналитики'!W1777</f>
        <v/>
      </c>
      <c r="X1778">
        <f>'19_Расчет_аналитики'!X1757+'19_Расчет_аналитики'!X1777</f>
        <v/>
      </c>
      <c r="Y1778">
        <f>'19_Расчет_аналитики'!Y1757+'19_Расчет_аналитики'!Y1777</f>
        <v/>
      </c>
      <c r="Z1778">
        <f>'19_Расчет_аналитики'!Z1757+'19_Расчет_аналитики'!Z1777</f>
        <v/>
      </c>
      <c r="AA1778">
        <f>'19_Расчет_аналитики'!AA1757+'19_Расчет_аналитики'!AA1777</f>
        <v/>
      </c>
      <c r="AB1778">
        <f>'19_Расчет_аналитики'!AB1757+'19_Расчет_аналитики'!AB1777</f>
        <v/>
      </c>
      <c r="AC1778">
        <f>'19_Расчет_аналитики'!AC1757+'19_Расчет_аналитики'!AC1777</f>
        <v/>
      </c>
      <c r="AD1778">
        <f>'19_Расчет_аналитики'!AD1757+'19_Расчет_аналитики'!AD1777</f>
        <v/>
      </c>
      <c r="AE1778">
        <f>'19_Расчет_аналитики'!AE1757+'19_Расчет_аналитики'!AE1777</f>
        <v/>
      </c>
      <c r="AF1778">
        <f>'19_Расчет_аналитики'!AF1757+'19_Расчет_аналитики'!AF1777</f>
        <v/>
      </c>
      <c r="AG1778">
        <f>'19_Расчет_аналитики'!AG1757+'19_Расчет_аналитики'!AG1777</f>
        <v/>
      </c>
      <c r="AH1778">
        <f>'19_Расчет_аналитики'!AH1757+'19_Расчет_аналитики'!AH1777</f>
        <v/>
      </c>
      <c r="AI1778">
        <f>'19_Расчет_аналитики'!AI1757+'19_Расчет_аналитики'!AI1777</f>
        <v/>
      </c>
      <c r="AJ1778">
        <f>'19_Расчет_аналитики'!AJ1757+'19_Расчет_аналитики'!AJ1777</f>
        <v/>
      </c>
      <c r="AK1778">
        <f>'19_Расчет_аналитики'!AK1757+'19_Расчет_аналитики'!AK1777</f>
        <v/>
      </c>
      <c r="AL1778">
        <f>'19_Расчет_аналитики'!AL1757+'19_Расчет_аналитики'!AL1777</f>
        <v/>
      </c>
      <c r="AM1778">
        <f>'19_Расчет_аналитики'!AM1757+'19_Расчет_аналитики'!AM1777</f>
        <v/>
      </c>
      <c r="AN1778">
        <f>'19_Расчет_аналитики'!AN1757+'19_Расчет_аналитики'!AN1777</f>
        <v/>
      </c>
      <c r="AO1778">
        <f>'19_Расчет_аналитики'!AO1757+'19_Расчет_аналитики'!AO1777</f>
        <v/>
      </c>
      <c r="AP1778">
        <f>'19_Расчет_аналитики'!AP1757+'19_Расчет_аналитики'!AP1777</f>
        <v/>
      </c>
      <c r="AQ1778">
        <f>'19_Расчет_аналитики'!AQ1757+'19_Расчет_аналитики'!AQ1777</f>
        <v/>
      </c>
      <c r="AR1778">
        <f>'19_Расчет_аналитики'!AR1757+'19_Расчет_аналитики'!AR1777</f>
        <v/>
      </c>
      <c r="AS1778">
        <f>'19_Расчет_аналитики'!AS1757+'19_Расчет_аналитики'!AS1777</f>
        <v/>
      </c>
      <c r="AT1778">
        <f>'19_Расчет_аналитики'!AT1757+'19_Расчет_аналитики'!AT1777</f>
        <v/>
      </c>
      <c r="AU1778">
        <f>'19_Расчет_аналитики'!AU1757+'19_Расчет_аналитики'!AU1777</f>
        <v/>
      </c>
      <c r="AV1778">
        <f>'19_Расчет_аналитики'!AV1757+'19_Расчет_аналитики'!AV1777</f>
        <v/>
      </c>
      <c r="AW1778">
        <f>'19_Расчет_аналитики'!AW1757+'19_Расчет_аналитики'!AW1777</f>
        <v/>
      </c>
      <c r="AX1778">
        <f>'19_Расчет_аналитики'!AX1757+'19_Расчет_аналитики'!AX1777</f>
        <v/>
      </c>
      <c r="AY1778">
        <f>'19_Расчет_аналитики'!AY1757+'19_Расчет_аналитики'!AY1777</f>
        <v/>
      </c>
      <c r="AZ1778">
        <f>'19_Расчет_аналитики'!AZ1757+'19_Расчет_аналитики'!AZ1777</f>
        <v/>
      </c>
      <c r="BA1778">
        <f>'19_Расчет_аналитики'!BA1757+'19_Расчет_аналитики'!BA1777</f>
        <v/>
      </c>
      <c r="BB1778">
        <f>'19_Расчет_аналитики'!BB1757+'19_Расчет_аналитики'!BB1777</f>
        <v/>
      </c>
      <c r="BC1778">
        <f>'19_Расчет_аналитики'!BC1757+'19_Расчет_аналитики'!BC1777</f>
        <v/>
      </c>
      <c r="BD1778">
        <f>'19_Расчет_аналитики'!BD1757+'19_Расчет_аналитики'!BD1777</f>
        <v/>
      </c>
      <c r="BE1778">
        <f>'19_Расчет_аналитики'!BE1757+'19_Расчет_аналитики'!BE1777</f>
        <v/>
      </c>
      <c r="BF1778">
        <f>'19_Расчет_аналитики'!BF1757+'19_Расчет_аналитики'!BF1777</f>
        <v/>
      </c>
      <c r="BG1778">
        <f>'19_Расчет_аналитики'!BG1757+'19_Расчет_аналитики'!BG1777</f>
        <v/>
      </c>
      <c r="BH1778">
        <f>'19_Расчет_аналитики'!BH1757+'19_Расчет_аналитики'!BH1777</f>
        <v/>
      </c>
      <c r="BI1778">
        <f>'19_Расчет_аналитики'!BI1757+'19_Расчет_аналитики'!BI1777</f>
        <v/>
      </c>
    </row>
    <row r="1779"/>
    <row r="1780"/>
    <row r="1781">
      <c r="B1781">
        <f>'19_Расчет_аналитики'!B1645</f>
        <v/>
      </c>
      <c r="C1781">
        <f>'19_Расчет_аналитики'!C1645</f>
        <v/>
      </c>
      <c r="D1781">
        <f>'19_Расчет_аналитики'!D1645</f>
        <v/>
      </c>
      <c r="E1781">
        <f>'19_Расчет_аналитики'!E1645</f>
        <v/>
      </c>
      <c r="F1781">
        <f>'19_Расчет_аналитики'!F1645</f>
        <v/>
      </c>
      <c r="G1781">
        <f>'19_Расчет_аналитики'!G1645</f>
        <v/>
      </c>
      <c r="H1781">
        <f>'19_Расчет_аналитики'!H1645</f>
        <v/>
      </c>
      <c r="I1781">
        <f>'19_Расчет_аналитики'!I1645</f>
        <v/>
      </c>
      <c r="J1781">
        <f>'19_Расчет_аналитики'!J1645</f>
        <v/>
      </c>
      <c r="K1781">
        <f>'19_Расчет_аналитики'!K1645</f>
        <v/>
      </c>
      <c r="L1781">
        <f>'19_Расчет_аналитики'!L1645</f>
        <v/>
      </c>
      <c r="M1781">
        <f>'19_Расчет_аналитики'!M1645</f>
        <v/>
      </c>
      <c r="N1781">
        <f>'19_Расчет_аналитики'!N1645</f>
        <v/>
      </c>
      <c r="O1781">
        <f>'19_Расчет_аналитики'!O1645</f>
        <v/>
      </c>
      <c r="P1781">
        <f>'19_Расчет_аналитики'!P1645</f>
        <v/>
      </c>
      <c r="Q1781">
        <f>'19_Расчет_аналитики'!Q1645</f>
        <v/>
      </c>
      <c r="R1781">
        <f>'19_Расчет_аналитики'!R1645</f>
        <v/>
      </c>
      <c r="S1781">
        <f>'19_Расчет_аналитики'!S1645</f>
        <v/>
      </c>
      <c r="T1781">
        <f>'19_Расчет_аналитики'!T1645</f>
        <v/>
      </c>
      <c r="U1781">
        <f>'19_Расчет_аналитики'!U1645</f>
        <v/>
      </c>
      <c r="V1781">
        <f>'19_Расчет_аналитики'!V1645</f>
        <v/>
      </c>
      <c r="W1781">
        <f>'19_Расчет_аналитики'!W1645</f>
        <v/>
      </c>
      <c r="X1781">
        <f>'19_Расчет_аналитики'!X1645</f>
        <v/>
      </c>
      <c r="Y1781">
        <f>'19_Расчет_аналитики'!Y1645</f>
        <v/>
      </c>
      <c r="Z1781">
        <f>'19_Расчет_аналитики'!Z1645</f>
        <v/>
      </c>
      <c r="AA1781">
        <f>'19_Расчет_аналитики'!AA1645</f>
        <v/>
      </c>
      <c r="AB1781">
        <f>'19_Расчет_аналитики'!AB1645</f>
        <v/>
      </c>
      <c r="AC1781">
        <f>'19_Расчет_аналитики'!AC1645</f>
        <v/>
      </c>
      <c r="AD1781">
        <f>'19_Расчет_аналитики'!AD1645</f>
        <v/>
      </c>
      <c r="AE1781">
        <f>'19_Расчет_аналитики'!AE1645</f>
        <v/>
      </c>
      <c r="AF1781">
        <f>'19_Расчет_аналитики'!AF1645</f>
        <v/>
      </c>
      <c r="AG1781">
        <f>'19_Расчет_аналитики'!AG1645</f>
        <v/>
      </c>
      <c r="AH1781">
        <f>'19_Расчет_аналитики'!AH1645</f>
        <v/>
      </c>
      <c r="AI1781">
        <f>'19_Расчет_аналитики'!AI1645</f>
        <v/>
      </c>
      <c r="AJ1781">
        <f>'19_Расчет_аналитики'!AJ1645</f>
        <v/>
      </c>
      <c r="AK1781">
        <f>'19_Расчет_аналитики'!AK1645</f>
        <v/>
      </c>
      <c r="AL1781">
        <f>'19_Расчет_аналитики'!AL1645</f>
        <v/>
      </c>
      <c r="AM1781">
        <f>'19_Расчет_аналитики'!AM1645</f>
        <v/>
      </c>
      <c r="AN1781">
        <f>'19_Расчет_аналитики'!AN1645</f>
        <v/>
      </c>
      <c r="AO1781">
        <f>'19_Расчет_аналитики'!AO1645</f>
        <v/>
      </c>
      <c r="AP1781">
        <f>'19_Расчет_аналитики'!AP1645</f>
        <v/>
      </c>
      <c r="AQ1781">
        <f>'19_Расчет_аналитики'!AQ1645</f>
        <v/>
      </c>
      <c r="AR1781">
        <f>'19_Расчет_аналитики'!AR1645</f>
        <v/>
      </c>
      <c r="AS1781">
        <f>'19_Расчет_аналитики'!AS1645</f>
        <v/>
      </c>
      <c r="AT1781">
        <f>'19_Расчет_аналитики'!AT1645</f>
        <v/>
      </c>
      <c r="AU1781">
        <f>'19_Расчет_аналитики'!AU1645</f>
        <v/>
      </c>
      <c r="AV1781">
        <f>'19_Расчет_аналитики'!AV1645</f>
        <v/>
      </c>
      <c r="AW1781">
        <f>'19_Расчет_аналитики'!AW1645</f>
        <v/>
      </c>
      <c r="AX1781">
        <f>'19_Расчет_аналитики'!AX1645</f>
        <v/>
      </c>
      <c r="AY1781">
        <f>'19_Расчет_аналитики'!AY1645</f>
        <v/>
      </c>
      <c r="AZ1781">
        <f>'19_Расчет_аналитики'!AZ1645</f>
        <v/>
      </c>
      <c r="BA1781">
        <f>'19_Расчет_аналитики'!BA1645</f>
        <v/>
      </c>
      <c r="BB1781">
        <f>'19_Расчет_аналитики'!BB1645</f>
        <v/>
      </c>
      <c r="BC1781">
        <f>'19_Расчет_аналитики'!BC1645</f>
        <v/>
      </c>
      <c r="BD1781">
        <f>'19_Расчет_аналитики'!BD1645</f>
        <v/>
      </c>
      <c r="BE1781">
        <f>'19_Расчет_аналитики'!BE1645</f>
        <v/>
      </c>
      <c r="BF1781">
        <f>'19_Расчет_аналитики'!BF1645</f>
        <v/>
      </c>
      <c r="BG1781">
        <f>'19_Расчет_аналитики'!BG1645</f>
        <v/>
      </c>
      <c r="BH1781">
        <f>'19_Расчет_аналитики'!BH1645</f>
        <v/>
      </c>
      <c r="BI1781">
        <f>'19_Расчет_аналитики'!BI1645</f>
        <v/>
      </c>
    </row>
    <row r="1782">
      <c r="B1782">
        <f>'19_Расчет_аналитики'!B1639</f>
        <v/>
      </c>
      <c r="C1782">
        <f>'19_Расчет_аналитики'!C1639</f>
        <v/>
      </c>
      <c r="D1782">
        <f>'19_Расчет_аналитики'!D1639</f>
        <v/>
      </c>
      <c r="E1782">
        <f>'19_Расчет_аналитики'!E1639</f>
        <v/>
      </c>
      <c r="F1782">
        <f>'19_Расчет_аналитики'!F1639</f>
        <v/>
      </c>
      <c r="G1782">
        <f>'19_Расчет_аналитики'!G1639</f>
        <v/>
      </c>
      <c r="H1782">
        <f>'19_Расчет_аналитики'!H1639</f>
        <v/>
      </c>
      <c r="I1782">
        <f>'19_Расчет_аналитики'!I1639</f>
        <v/>
      </c>
      <c r="J1782">
        <f>'19_Расчет_аналитики'!J1639</f>
        <v/>
      </c>
      <c r="K1782">
        <f>'19_Расчет_аналитики'!K1639</f>
        <v/>
      </c>
      <c r="L1782">
        <f>'19_Расчет_аналитики'!L1639</f>
        <v/>
      </c>
      <c r="M1782">
        <f>'19_Расчет_аналитики'!M1639</f>
        <v/>
      </c>
      <c r="N1782">
        <f>'19_Расчет_аналитики'!N1639</f>
        <v/>
      </c>
      <c r="O1782">
        <f>'19_Расчет_аналитики'!O1639</f>
        <v/>
      </c>
      <c r="P1782">
        <f>'19_Расчет_аналитики'!P1639</f>
        <v/>
      </c>
      <c r="Q1782">
        <f>'19_Расчет_аналитики'!Q1639</f>
        <v/>
      </c>
      <c r="R1782">
        <f>'19_Расчет_аналитики'!R1639</f>
        <v/>
      </c>
      <c r="S1782">
        <f>'19_Расчет_аналитики'!S1639</f>
        <v/>
      </c>
      <c r="T1782">
        <f>'19_Расчет_аналитики'!T1639</f>
        <v/>
      </c>
      <c r="U1782">
        <f>'19_Расчет_аналитики'!U1639</f>
        <v/>
      </c>
      <c r="V1782">
        <f>'19_Расчет_аналитики'!V1639</f>
        <v/>
      </c>
      <c r="W1782">
        <f>'19_Расчет_аналитики'!W1639</f>
        <v/>
      </c>
      <c r="X1782">
        <f>'19_Расчет_аналитики'!X1639</f>
        <v/>
      </c>
      <c r="Y1782">
        <f>'19_Расчет_аналитики'!Y1639</f>
        <v/>
      </c>
      <c r="Z1782">
        <f>'19_Расчет_аналитики'!Z1639</f>
        <v/>
      </c>
      <c r="AA1782">
        <f>'19_Расчет_аналитики'!AA1639</f>
        <v/>
      </c>
      <c r="AB1782">
        <f>'19_Расчет_аналитики'!AB1639</f>
        <v/>
      </c>
      <c r="AC1782">
        <f>'19_Расчет_аналитики'!AC1639</f>
        <v/>
      </c>
      <c r="AD1782">
        <f>'19_Расчет_аналитики'!AD1639</f>
        <v/>
      </c>
      <c r="AE1782">
        <f>'19_Расчет_аналитики'!AE1639</f>
        <v/>
      </c>
      <c r="AF1782">
        <f>'19_Расчет_аналитики'!AF1639</f>
        <v/>
      </c>
      <c r="AG1782">
        <f>'19_Расчет_аналитики'!AG1639</f>
        <v/>
      </c>
      <c r="AH1782">
        <f>'19_Расчет_аналитики'!AH1639</f>
        <v/>
      </c>
      <c r="AI1782">
        <f>'19_Расчет_аналитики'!AI1639</f>
        <v/>
      </c>
      <c r="AJ1782">
        <f>'19_Расчет_аналитики'!AJ1639</f>
        <v/>
      </c>
      <c r="AK1782">
        <f>'19_Расчет_аналитики'!AK1639</f>
        <v/>
      </c>
      <c r="AL1782">
        <f>'19_Расчет_аналитики'!AL1639</f>
        <v/>
      </c>
      <c r="AM1782">
        <f>'19_Расчет_аналитики'!AM1639</f>
        <v/>
      </c>
      <c r="AN1782">
        <f>'19_Расчет_аналитики'!AN1639</f>
        <v/>
      </c>
      <c r="AO1782">
        <f>'19_Расчет_аналитики'!AO1639</f>
        <v/>
      </c>
      <c r="AP1782">
        <f>'19_Расчет_аналитики'!AP1639</f>
        <v/>
      </c>
      <c r="AQ1782">
        <f>'19_Расчет_аналитики'!AQ1639</f>
        <v/>
      </c>
      <c r="AR1782">
        <f>'19_Расчет_аналитики'!AR1639</f>
        <v/>
      </c>
      <c r="AS1782">
        <f>'19_Расчет_аналитики'!AS1639</f>
        <v/>
      </c>
      <c r="AT1782">
        <f>'19_Расчет_аналитики'!AT1639</f>
        <v/>
      </c>
      <c r="AU1782">
        <f>'19_Расчет_аналитики'!AU1639</f>
        <v/>
      </c>
      <c r="AV1782">
        <f>'19_Расчет_аналитики'!AV1639</f>
        <v/>
      </c>
      <c r="AW1782">
        <f>'19_Расчет_аналитики'!AW1639</f>
        <v/>
      </c>
      <c r="AX1782">
        <f>'19_Расчет_аналитики'!AX1639</f>
        <v/>
      </c>
      <c r="AY1782">
        <f>'19_Расчет_аналитики'!AY1639</f>
        <v/>
      </c>
      <c r="AZ1782">
        <f>'19_Расчет_аналитики'!AZ1639</f>
        <v/>
      </c>
      <c r="BA1782">
        <f>'19_Расчет_аналитики'!BA1639</f>
        <v/>
      </c>
      <c r="BB1782">
        <f>'19_Расчет_аналитики'!BB1639</f>
        <v/>
      </c>
      <c r="BC1782">
        <f>'19_Расчет_аналитики'!BC1639</f>
        <v/>
      </c>
      <c r="BD1782">
        <f>'19_Расчет_аналитики'!BD1639</f>
        <v/>
      </c>
      <c r="BE1782">
        <f>'19_Расчет_аналитики'!BE1639</f>
        <v/>
      </c>
      <c r="BF1782">
        <f>'19_Расчет_аналитики'!BF1639</f>
        <v/>
      </c>
      <c r="BG1782">
        <f>'19_Расчет_аналитики'!BG1639</f>
        <v/>
      </c>
      <c r="BH1782">
        <f>'19_Расчет_аналитики'!BH1639</f>
        <v/>
      </c>
      <c r="BI1782">
        <f>'19_Расчет_аналитики'!BI1639</f>
        <v/>
      </c>
    </row>
    <row r="1783">
      <c r="B1783">
        <f>'19_Расчет_аналитики'!B1637</f>
        <v/>
      </c>
      <c r="C1783">
        <f>'19_Расчет_аналитики'!C1637</f>
        <v/>
      </c>
      <c r="D1783">
        <f>'19_Расчет_аналитики'!D1637</f>
        <v/>
      </c>
      <c r="E1783">
        <f>'19_Расчет_аналитики'!E1637</f>
        <v/>
      </c>
      <c r="F1783">
        <f>'19_Расчет_аналитики'!F1637</f>
        <v/>
      </c>
      <c r="G1783">
        <f>'19_Расчет_аналитики'!G1637</f>
        <v/>
      </c>
      <c r="H1783">
        <f>'19_Расчет_аналитики'!H1637</f>
        <v/>
      </c>
      <c r="I1783">
        <f>'19_Расчет_аналитики'!I1637</f>
        <v/>
      </c>
      <c r="J1783">
        <f>'19_Расчет_аналитики'!J1637</f>
        <v/>
      </c>
      <c r="K1783">
        <f>'19_Расчет_аналитики'!K1637</f>
        <v/>
      </c>
      <c r="L1783">
        <f>'19_Расчет_аналитики'!L1637</f>
        <v/>
      </c>
      <c r="M1783">
        <f>'19_Расчет_аналитики'!M1637</f>
        <v/>
      </c>
      <c r="N1783">
        <f>'19_Расчет_аналитики'!N1637</f>
        <v/>
      </c>
      <c r="O1783">
        <f>'19_Расчет_аналитики'!O1637</f>
        <v/>
      </c>
      <c r="P1783">
        <f>'19_Расчет_аналитики'!P1637</f>
        <v/>
      </c>
      <c r="Q1783">
        <f>'19_Расчет_аналитики'!Q1637</f>
        <v/>
      </c>
      <c r="R1783">
        <f>'19_Расчет_аналитики'!R1637</f>
        <v/>
      </c>
      <c r="S1783">
        <f>'19_Расчет_аналитики'!S1637</f>
        <v/>
      </c>
      <c r="T1783">
        <f>'19_Расчет_аналитики'!T1637</f>
        <v/>
      </c>
      <c r="U1783">
        <f>'19_Расчет_аналитики'!U1637</f>
        <v/>
      </c>
      <c r="V1783">
        <f>'19_Расчет_аналитики'!V1637</f>
        <v/>
      </c>
      <c r="W1783">
        <f>'19_Расчет_аналитики'!W1637</f>
        <v/>
      </c>
      <c r="X1783">
        <f>'19_Расчет_аналитики'!X1637</f>
        <v/>
      </c>
      <c r="Y1783">
        <f>'19_Расчет_аналитики'!Y1637</f>
        <v/>
      </c>
      <c r="Z1783">
        <f>'19_Расчет_аналитики'!Z1637</f>
        <v/>
      </c>
      <c r="AA1783">
        <f>'19_Расчет_аналитики'!AA1637</f>
        <v/>
      </c>
      <c r="AB1783">
        <f>'19_Расчет_аналитики'!AB1637</f>
        <v/>
      </c>
      <c r="AC1783">
        <f>'19_Расчет_аналитики'!AC1637</f>
        <v/>
      </c>
      <c r="AD1783">
        <f>'19_Расчет_аналитики'!AD1637</f>
        <v/>
      </c>
      <c r="AE1783">
        <f>'19_Расчет_аналитики'!AE1637</f>
        <v/>
      </c>
      <c r="AF1783">
        <f>'19_Расчет_аналитики'!AF1637</f>
        <v/>
      </c>
      <c r="AG1783">
        <f>'19_Расчет_аналитики'!AG1637</f>
        <v/>
      </c>
      <c r="AH1783">
        <f>'19_Расчет_аналитики'!AH1637</f>
        <v/>
      </c>
      <c r="AI1783">
        <f>'19_Расчет_аналитики'!AI1637</f>
        <v/>
      </c>
      <c r="AJ1783">
        <f>'19_Расчет_аналитики'!AJ1637</f>
        <v/>
      </c>
      <c r="AK1783">
        <f>'19_Расчет_аналитики'!AK1637</f>
        <v/>
      </c>
      <c r="AL1783">
        <f>'19_Расчет_аналитики'!AL1637</f>
        <v/>
      </c>
      <c r="AM1783">
        <f>'19_Расчет_аналитики'!AM1637</f>
        <v/>
      </c>
      <c r="AN1783">
        <f>'19_Расчет_аналитики'!AN1637</f>
        <v/>
      </c>
      <c r="AO1783">
        <f>'19_Расчет_аналитики'!AO1637</f>
        <v/>
      </c>
      <c r="AP1783">
        <f>'19_Расчет_аналитики'!AP1637</f>
        <v/>
      </c>
      <c r="AQ1783">
        <f>'19_Расчет_аналитики'!AQ1637</f>
        <v/>
      </c>
      <c r="AR1783">
        <f>'19_Расчет_аналитики'!AR1637</f>
        <v/>
      </c>
      <c r="AS1783">
        <f>'19_Расчет_аналитики'!AS1637</f>
        <v/>
      </c>
      <c r="AT1783">
        <f>'19_Расчет_аналитики'!AT1637</f>
        <v/>
      </c>
      <c r="AU1783">
        <f>'19_Расчет_аналитики'!AU1637</f>
        <v/>
      </c>
      <c r="AV1783">
        <f>'19_Расчет_аналитики'!AV1637</f>
        <v/>
      </c>
      <c r="AW1783">
        <f>'19_Расчет_аналитики'!AW1637</f>
        <v/>
      </c>
      <c r="AX1783">
        <f>'19_Расчет_аналитики'!AX1637</f>
        <v/>
      </c>
      <c r="AY1783">
        <f>'19_Расчет_аналитики'!AY1637</f>
        <v/>
      </c>
      <c r="AZ1783">
        <f>'19_Расчет_аналитики'!AZ1637</f>
        <v/>
      </c>
      <c r="BA1783">
        <f>'19_Расчет_аналитики'!BA1637</f>
        <v/>
      </c>
      <c r="BB1783">
        <f>'19_Расчет_аналитики'!BB1637</f>
        <v/>
      </c>
      <c r="BC1783">
        <f>'19_Расчет_аналитики'!BC1637</f>
        <v/>
      </c>
      <c r="BD1783">
        <f>'19_Расчет_аналитики'!BD1637</f>
        <v/>
      </c>
      <c r="BE1783">
        <f>'19_Расчет_аналитики'!BE1637</f>
        <v/>
      </c>
      <c r="BF1783">
        <f>'19_Расчет_аналитики'!BF1637</f>
        <v/>
      </c>
      <c r="BG1783">
        <f>'19_Расчет_аналитики'!BG1637</f>
        <v/>
      </c>
      <c r="BH1783">
        <f>'19_Расчет_аналитики'!BH1637</f>
        <v/>
      </c>
      <c r="BI1783">
        <f>'19_Расчет_аналитики'!BI1637</f>
        <v/>
      </c>
    </row>
    <row r="1784">
      <c r="B1784">
        <f>'19_Расчет_аналитики'!B1640</f>
        <v/>
      </c>
      <c r="C1784">
        <f>'19_Расчет_аналитики'!C1640</f>
        <v/>
      </c>
      <c r="D1784">
        <f>'19_Расчет_аналитики'!D1640</f>
        <v/>
      </c>
      <c r="E1784">
        <f>'19_Расчет_аналитики'!E1640</f>
        <v/>
      </c>
      <c r="F1784">
        <f>'19_Расчет_аналитики'!F1640</f>
        <v/>
      </c>
      <c r="G1784">
        <f>'19_Расчет_аналитики'!G1640</f>
        <v/>
      </c>
      <c r="H1784">
        <f>'19_Расчет_аналитики'!H1640</f>
        <v/>
      </c>
      <c r="I1784">
        <f>'19_Расчет_аналитики'!I1640</f>
        <v/>
      </c>
      <c r="J1784">
        <f>'19_Расчет_аналитики'!J1640</f>
        <v/>
      </c>
      <c r="K1784">
        <f>'19_Расчет_аналитики'!K1640</f>
        <v/>
      </c>
      <c r="L1784">
        <f>'19_Расчет_аналитики'!L1640</f>
        <v/>
      </c>
      <c r="M1784">
        <f>'19_Расчет_аналитики'!M1640</f>
        <v/>
      </c>
      <c r="N1784">
        <f>'19_Расчет_аналитики'!N1640</f>
        <v/>
      </c>
      <c r="O1784">
        <f>'19_Расчет_аналитики'!O1640</f>
        <v/>
      </c>
      <c r="P1784">
        <f>'19_Расчет_аналитики'!P1640</f>
        <v/>
      </c>
      <c r="Q1784">
        <f>'19_Расчет_аналитики'!Q1640</f>
        <v/>
      </c>
      <c r="R1784">
        <f>'19_Расчет_аналитики'!R1640</f>
        <v/>
      </c>
      <c r="S1784">
        <f>'19_Расчет_аналитики'!S1640</f>
        <v/>
      </c>
      <c r="T1784">
        <f>'19_Расчет_аналитики'!T1640</f>
        <v/>
      </c>
      <c r="U1784">
        <f>'19_Расчет_аналитики'!U1640</f>
        <v/>
      </c>
      <c r="V1784">
        <f>'19_Расчет_аналитики'!V1640</f>
        <v/>
      </c>
      <c r="W1784">
        <f>'19_Расчет_аналитики'!W1640</f>
        <v/>
      </c>
      <c r="X1784">
        <f>'19_Расчет_аналитики'!X1640</f>
        <v/>
      </c>
      <c r="Y1784">
        <f>'19_Расчет_аналитики'!Y1640</f>
        <v/>
      </c>
      <c r="Z1784">
        <f>'19_Расчет_аналитики'!Z1640</f>
        <v/>
      </c>
      <c r="AA1784">
        <f>'19_Расчет_аналитики'!AA1640</f>
        <v/>
      </c>
      <c r="AB1784">
        <f>'19_Расчет_аналитики'!AB1640</f>
        <v/>
      </c>
      <c r="AC1784">
        <f>'19_Расчет_аналитики'!AC1640</f>
        <v/>
      </c>
      <c r="AD1784">
        <f>'19_Расчет_аналитики'!AD1640</f>
        <v/>
      </c>
      <c r="AE1784">
        <f>'19_Расчет_аналитики'!AE1640</f>
        <v/>
      </c>
      <c r="AF1784">
        <f>'19_Расчет_аналитики'!AF1640</f>
        <v/>
      </c>
      <c r="AG1784">
        <f>'19_Расчет_аналитики'!AG1640</f>
        <v/>
      </c>
      <c r="AH1784">
        <f>'19_Расчет_аналитики'!AH1640</f>
        <v/>
      </c>
      <c r="AI1784">
        <f>'19_Расчет_аналитики'!AI1640</f>
        <v/>
      </c>
      <c r="AJ1784">
        <f>'19_Расчет_аналитики'!AJ1640</f>
        <v/>
      </c>
      <c r="AK1784">
        <f>'19_Расчет_аналитики'!AK1640</f>
        <v/>
      </c>
      <c r="AL1784">
        <f>'19_Расчет_аналитики'!AL1640</f>
        <v/>
      </c>
      <c r="AM1784">
        <f>'19_Расчет_аналитики'!AM1640</f>
        <v/>
      </c>
      <c r="AN1784">
        <f>'19_Расчет_аналитики'!AN1640</f>
        <v/>
      </c>
      <c r="AO1784">
        <f>'19_Расчет_аналитики'!AO1640</f>
        <v/>
      </c>
      <c r="AP1784">
        <f>'19_Расчет_аналитики'!AP1640</f>
        <v/>
      </c>
      <c r="AQ1784">
        <f>'19_Расчет_аналитики'!AQ1640</f>
        <v/>
      </c>
      <c r="AR1784">
        <f>'19_Расчет_аналитики'!AR1640</f>
        <v/>
      </c>
      <c r="AS1784">
        <f>'19_Расчет_аналитики'!AS1640</f>
        <v/>
      </c>
      <c r="AT1784">
        <f>'19_Расчет_аналитики'!AT1640</f>
        <v/>
      </c>
      <c r="AU1784">
        <f>'19_Расчет_аналитики'!AU1640</f>
        <v/>
      </c>
      <c r="AV1784">
        <f>'19_Расчет_аналитики'!AV1640</f>
        <v/>
      </c>
      <c r="AW1784">
        <f>'19_Расчет_аналитики'!AW1640</f>
        <v/>
      </c>
      <c r="AX1784">
        <f>'19_Расчет_аналитики'!AX1640</f>
        <v/>
      </c>
      <c r="AY1784">
        <f>'19_Расчет_аналитики'!AY1640</f>
        <v/>
      </c>
      <c r="AZ1784">
        <f>'19_Расчет_аналитики'!AZ1640</f>
        <v/>
      </c>
      <c r="BA1784">
        <f>'19_Расчет_аналитики'!BA1640</f>
        <v/>
      </c>
      <c r="BB1784">
        <f>'19_Расчет_аналитики'!BB1640</f>
        <v/>
      </c>
      <c r="BC1784">
        <f>'19_Расчет_аналитики'!BC1640</f>
        <v/>
      </c>
      <c r="BD1784">
        <f>'19_Расчет_аналитики'!BD1640</f>
        <v/>
      </c>
      <c r="BE1784">
        <f>'19_Расчет_аналитики'!BE1640</f>
        <v/>
      </c>
      <c r="BF1784">
        <f>'19_Расчет_аналитики'!BF1640</f>
        <v/>
      </c>
      <c r="BG1784">
        <f>'19_Расчет_аналитики'!BG1640</f>
        <v/>
      </c>
      <c r="BH1784">
        <f>'19_Расчет_аналитики'!BH1640</f>
        <v/>
      </c>
      <c r="BI1784">
        <f>'19_Расчет_аналитики'!BI1640</f>
        <v/>
      </c>
    </row>
    <row r="1785"/>
    <row r="1786">
      <c r="B1786">
        <f>0+'19_Расчет_аналитики'!B1725+'19_Расчет_аналитики'!B1726-'19_Расчет_аналитики'!B1759/(1+'01_Вводные'!$B$58)</f>
        <v/>
      </c>
      <c r="C1786">
        <f>'19_Расчет_аналитики'!B1786+'19_Расчет_аналитики'!C1725+'19_Расчет_аналитики'!C1726-'19_Расчет_аналитики'!C1759/(1+'01_Вводные'!$B$58)</f>
        <v/>
      </c>
      <c r="D1786">
        <f>'19_Расчет_аналитики'!C1786+'19_Расчет_аналитики'!D1725+'19_Расчет_аналитики'!D1726-'19_Расчет_аналитики'!D1759/(1+'01_Вводные'!$B$58)</f>
        <v/>
      </c>
      <c r="E1786">
        <f>'19_Расчет_аналитики'!D1786+'19_Расчет_аналитики'!E1725+'19_Расчет_аналитики'!E1726-'19_Расчет_аналитики'!E1759/(1+'01_Вводные'!$B$58)</f>
        <v/>
      </c>
      <c r="F1786">
        <f>'19_Расчет_аналитики'!E1786+'19_Расчет_аналитики'!F1725+'19_Расчет_аналитики'!F1726-'19_Расчет_аналитики'!F1759/(1+'01_Вводные'!$B$58)</f>
        <v/>
      </c>
      <c r="G1786">
        <f>'19_Расчет_аналитики'!F1786+'19_Расчет_аналитики'!G1725+'19_Расчет_аналитики'!G1726-'19_Расчет_аналитики'!G1759/(1+'01_Вводные'!$B$58)</f>
        <v/>
      </c>
      <c r="H1786">
        <f>'19_Расчет_аналитики'!G1786+'19_Расчет_аналитики'!H1725+'19_Расчет_аналитики'!H1726-'19_Расчет_аналитики'!H1759/(1+'01_Вводные'!$B$58)</f>
        <v/>
      </c>
      <c r="I1786">
        <f>'19_Расчет_аналитики'!H1786+'19_Расчет_аналитики'!I1725+'19_Расчет_аналитики'!I1726-'19_Расчет_аналитики'!I1759/(1+'01_Вводные'!$B$58)</f>
        <v/>
      </c>
      <c r="J1786">
        <f>'19_Расчет_аналитики'!I1786+'19_Расчет_аналитики'!J1725+'19_Расчет_аналитики'!J1726-'19_Расчет_аналитики'!J1759/(1+'01_Вводные'!$B$58)</f>
        <v/>
      </c>
      <c r="K1786">
        <f>'19_Расчет_аналитики'!J1786+'19_Расчет_аналитики'!K1725+'19_Расчет_аналитики'!K1726-'19_Расчет_аналитики'!K1759/(1+'01_Вводные'!$B$58)</f>
        <v/>
      </c>
      <c r="L1786">
        <f>'19_Расчет_аналитики'!K1786+'19_Расчет_аналитики'!L1725+'19_Расчет_аналитики'!L1726-'19_Расчет_аналитики'!L1759/(1+'01_Вводные'!$B$58)</f>
        <v/>
      </c>
      <c r="M1786">
        <f>'19_Расчет_аналитики'!L1786+'19_Расчет_аналитики'!M1725+'19_Расчет_аналитики'!M1726-'19_Расчет_аналитики'!M1759/(1+'01_Вводные'!$B$58)</f>
        <v/>
      </c>
      <c r="N1786">
        <f>'19_Расчет_аналитики'!M1786+'19_Расчет_аналитики'!N1725+'19_Расчет_аналитики'!N1726-'19_Расчет_аналитики'!N1759/(1+'01_Вводные'!$B$58)</f>
        <v/>
      </c>
      <c r="O1786">
        <f>'19_Расчет_аналитики'!N1786+'19_Расчет_аналитики'!O1725+'19_Расчет_аналитики'!O1726-'19_Расчет_аналитики'!O1759/(1+'01_Вводные'!$B$58)</f>
        <v/>
      </c>
      <c r="P1786">
        <f>'19_Расчет_аналитики'!O1786+'19_Расчет_аналитики'!P1725+'19_Расчет_аналитики'!P1726-'19_Расчет_аналитики'!P1759/(1+'01_Вводные'!$B$58)</f>
        <v/>
      </c>
      <c r="Q1786">
        <f>'19_Расчет_аналитики'!P1786+'19_Расчет_аналитики'!Q1725+'19_Расчет_аналитики'!Q1726-'19_Расчет_аналитики'!Q1759/(1+'01_Вводные'!$B$58)</f>
        <v/>
      </c>
      <c r="R1786">
        <f>'19_Расчет_аналитики'!Q1786+'19_Расчет_аналитики'!R1725+'19_Расчет_аналитики'!R1726-'19_Расчет_аналитики'!R1759/(1+'01_Вводные'!$B$58)</f>
        <v/>
      </c>
      <c r="S1786">
        <f>'19_Расчет_аналитики'!R1786+'19_Расчет_аналитики'!S1725+'19_Расчет_аналитики'!S1726-'19_Расчет_аналитики'!S1759/(1+'01_Вводные'!$B$58)</f>
        <v/>
      </c>
      <c r="T1786">
        <f>'19_Расчет_аналитики'!S1786+'19_Расчет_аналитики'!T1725+'19_Расчет_аналитики'!T1726-'19_Расчет_аналитики'!T1759/(1+'01_Вводные'!$B$58)</f>
        <v/>
      </c>
      <c r="U1786">
        <f>'19_Расчет_аналитики'!T1786+'19_Расчет_аналитики'!U1725+'19_Расчет_аналитики'!U1726-'19_Расчет_аналитики'!U1759/(1+'01_Вводные'!$B$58)</f>
        <v/>
      </c>
      <c r="V1786">
        <f>'19_Расчет_аналитики'!U1786+'19_Расчет_аналитики'!V1725+'19_Расчет_аналитики'!V1726-'19_Расчет_аналитики'!V1759/(1+'01_Вводные'!$B$58)</f>
        <v/>
      </c>
      <c r="W1786">
        <f>'19_Расчет_аналитики'!V1786+'19_Расчет_аналитики'!W1725+'19_Расчет_аналитики'!W1726-'19_Расчет_аналитики'!W1759/(1+'01_Вводные'!$B$58)</f>
        <v/>
      </c>
      <c r="X1786">
        <f>'19_Расчет_аналитики'!W1786+'19_Расчет_аналитики'!X1725+'19_Расчет_аналитики'!X1726-'19_Расчет_аналитики'!X1759/(1+'01_Вводные'!$B$58)</f>
        <v/>
      </c>
      <c r="Y1786">
        <f>'19_Расчет_аналитики'!X1786+'19_Расчет_аналитики'!Y1725+'19_Расчет_аналитики'!Y1726-'19_Расчет_аналитики'!Y1759/(1+'01_Вводные'!$B$58)</f>
        <v/>
      </c>
      <c r="Z1786">
        <f>'19_Расчет_аналитики'!Y1786+'19_Расчет_аналитики'!Z1725+'19_Расчет_аналитики'!Z1726-'19_Расчет_аналитики'!Z1759/(1+'01_Вводные'!$B$58)</f>
        <v/>
      </c>
      <c r="AA1786">
        <f>'19_Расчет_аналитики'!Z1786+'19_Расчет_аналитики'!AA1725+'19_Расчет_аналитики'!AA1726-'19_Расчет_аналитики'!AA1759/(1+'01_Вводные'!$B$58)</f>
        <v/>
      </c>
      <c r="AB1786">
        <f>'19_Расчет_аналитики'!AA1786+'19_Расчет_аналитики'!AB1725+'19_Расчет_аналитики'!AB1726-'19_Расчет_аналитики'!AB1759/(1+'01_Вводные'!$B$58)</f>
        <v/>
      </c>
      <c r="AC1786">
        <f>'19_Расчет_аналитики'!AB1786+'19_Расчет_аналитики'!AC1725+'19_Расчет_аналитики'!AC1726-'19_Расчет_аналитики'!AC1759/(1+'01_Вводные'!$B$58)</f>
        <v/>
      </c>
      <c r="AD1786">
        <f>'19_Расчет_аналитики'!AC1786+'19_Расчет_аналитики'!AD1725+'19_Расчет_аналитики'!AD1726-'19_Расчет_аналитики'!AD1759/(1+'01_Вводные'!$B$58)</f>
        <v/>
      </c>
      <c r="AE1786">
        <f>'19_Расчет_аналитики'!AD1786+'19_Расчет_аналитики'!AE1725+'19_Расчет_аналитики'!AE1726-'19_Расчет_аналитики'!AE1759/(1+'01_Вводные'!$B$58)</f>
        <v/>
      </c>
      <c r="AF1786">
        <f>'19_Расчет_аналитики'!AE1786+'19_Расчет_аналитики'!AF1725+'19_Расчет_аналитики'!AF1726-'19_Расчет_аналитики'!AF1759/(1+'01_Вводные'!$B$58)</f>
        <v/>
      </c>
      <c r="AG1786">
        <f>'19_Расчет_аналитики'!AF1786+'19_Расчет_аналитики'!AG1725+'19_Расчет_аналитики'!AG1726-'19_Расчет_аналитики'!AG1759/(1+'01_Вводные'!$B$58)</f>
        <v/>
      </c>
      <c r="AH1786">
        <f>'19_Расчет_аналитики'!AG1786+'19_Расчет_аналитики'!AH1725+'19_Расчет_аналитики'!AH1726-'19_Расчет_аналитики'!AH1759/(1+'01_Вводные'!$B$58)</f>
        <v/>
      </c>
      <c r="AI1786">
        <f>'19_Расчет_аналитики'!AH1786+'19_Расчет_аналитики'!AI1725+'19_Расчет_аналитики'!AI1726-'19_Расчет_аналитики'!AI1759/(1+'01_Вводные'!$B$58)</f>
        <v/>
      </c>
      <c r="AJ1786">
        <f>'19_Расчет_аналитики'!AI1786+'19_Расчет_аналитики'!AJ1725+'19_Расчет_аналитики'!AJ1726-'19_Расчет_аналитики'!AJ1759/(1+'01_Вводные'!$B$58)</f>
        <v/>
      </c>
      <c r="AK1786">
        <f>'19_Расчет_аналитики'!AJ1786+'19_Расчет_аналитики'!AK1725+'19_Расчет_аналитики'!AK1726-'19_Расчет_аналитики'!AK1759/(1+'01_Вводные'!$B$58)</f>
        <v/>
      </c>
      <c r="AL1786">
        <f>'19_Расчет_аналитики'!AK1786+'19_Расчет_аналитики'!AL1725+'19_Расчет_аналитики'!AL1726-'19_Расчет_аналитики'!AL1759/(1+'01_Вводные'!$B$58)</f>
        <v/>
      </c>
      <c r="AM1786">
        <f>'19_Расчет_аналитики'!AL1786+'19_Расчет_аналитики'!AM1725+'19_Расчет_аналитики'!AM1726-'19_Расчет_аналитики'!AM1759/(1+'01_Вводные'!$B$58)</f>
        <v/>
      </c>
      <c r="AN1786">
        <f>'19_Расчет_аналитики'!AM1786+'19_Расчет_аналитики'!AN1725+'19_Расчет_аналитики'!AN1726-'19_Расчет_аналитики'!AN1759/(1+'01_Вводные'!$B$58)</f>
        <v/>
      </c>
      <c r="AO1786">
        <f>'19_Расчет_аналитики'!AN1786+'19_Расчет_аналитики'!AO1725+'19_Расчет_аналитики'!AO1726-'19_Расчет_аналитики'!AO1759/(1+'01_Вводные'!$B$58)</f>
        <v/>
      </c>
      <c r="AP1786">
        <f>'19_Расчет_аналитики'!AO1786+'19_Расчет_аналитики'!AP1725+'19_Расчет_аналитики'!AP1726-'19_Расчет_аналитики'!AP1759/(1+'01_Вводные'!$B$58)</f>
        <v/>
      </c>
      <c r="AQ1786">
        <f>'19_Расчет_аналитики'!AP1786+'19_Расчет_аналитики'!AQ1725+'19_Расчет_аналитики'!AQ1726-'19_Расчет_аналитики'!AQ1759/(1+'01_Вводные'!$B$58)</f>
        <v/>
      </c>
      <c r="AR1786">
        <f>'19_Расчет_аналитики'!AQ1786+'19_Расчет_аналитики'!AR1725+'19_Расчет_аналитики'!AR1726-'19_Расчет_аналитики'!AR1759/(1+'01_Вводные'!$B$58)</f>
        <v/>
      </c>
      <c r="AS1786">
        <f>'19_Расчет_аналитики'!AR1786+'19_Расчет_аналитики'!AS1725+'19_Расчет_аналитики'!AS1726-'19_Расчет_аналитики'!AS1759/(1+'01_Вводные'!$B$58)</f>
        <v/>
      </c>
      <c r="AT1786">
        <f>'19_Расчет_аналитики'!AS1786+'19_Расчет_аналитики'!AT1725+'19_Расчет_аналитики'!AT1726-'19_Расчет_аналитики'!AT1759/(1+'01_Вводные'!$B$58)</f>
        <v/>
      </c>
      <c r="AU1786">
        <f>'19_Расчет_аналитики'!AT1786+'19_Расчет_аналитики'!AU1725+'19_Расчет_аналитики'!AU1726-'19_Расчет_аналитики'!AU1759/(1+'01_Вводные'!$B$58)</f>
        <v/>
      </c>
      <c r="AV1786">
        <f>'19_Расчет_аналитики'!AU1786+'19_Расчет_аналитики'!AV1725+'19_Расчет_аналитики'!AV1726-'19_Расчет_аналитики'!AV1759/(1+'01_Вводные'!$B$58)</f>
        <v/>
      </c>
      <c r="AW1786">
        <f>'19_Расчет_аналитики'!AV1786+'19_Расчет_аналитики'!AW1725+'19_Расчет_аналитики'!AW1726-'19_Расчет_аналитики'!AW1759/(1+'01_Вводные'!$B$58)</f>
        <v/>
      </c>
      <c r="AX1786">
        <f>'19_Расчет_аналитики'!AW1786+'19_Расчет_аналитики'!AX1725+'19_Расчет_аналитики'!AX1726-'19_Расчет_аналитики'!AX1759/(1+'01_Вводные'!$B$58)</f>
        <v/>
      </c>
      <c r="AY1786">
        <f>'19_Расчет_аналитики'!AX1786+'19_Расчет_аналитики'!AY1725+'19_Расчет_аналитики'!AY1726-'19_Расчет_аналитики'!AY1759/(1+'01_Вводные'!$B$58)</f>
        <v/>
      </c>
      <c r="AZ1786">
        <f>'19_Расчет_аналитики'!AY1786+'19_Расчет_аналитики'!AZ1725+'19_Расчет_аналитики'!AZ1726-'19_Расчет_аналитики'!AZ1759/(1+'01_Вводные'!$B$58)</f>
        <v/>
      </c>
      <c r="BA1786">
        <f>'19_Расчет_аналитики'!AZ1786+'19_Расчет_аналитики'!BA1725+'19_Расчет_аналитики'!BA1726-'19_Расчет_аналитики'!BA1759/(1+'01_Вводные'!$B$58)</f>
        <v/>
      </c>
      <c r="BB1786">
        <f>'19_Расчет_аналитики'!BA1786+'19_Расчет_аналитики'!BB1725+'19_Расчет_аналитики'!BB1726-'19_Расчет_аналитики'!BB1759/(1+'01_Вводные'!$B$58)</f>
        <v/>
      </c>
      <c r="BC1786">
        <f>'19_Расчет_аналитики'!BB1786+'19_Расчет_аналитики'!BC1725+'19_Расчет_аналитики'!BC1726-'19_Расчет_аналитики'!BC1759/(1+'01_Вводные'!$B$58)</f>
        <v/>
      </c>
      <c r="BD1786">
        <f>'19_Расчет_аналитики'!BC1786+'19_Расчет_аналитики'!BD1725+'19_Расчет_аналитики'!BD1726-'19_Расчет_аналитики'!BD1759/(1+'01_Вводные'!$B$58)</f>
        <v/>
      </c>
      <c r="BE1786">
        <f>'19_Расчет_аналитики'!BD1786+'19_Расчет_аналитики'!BE1725+'19_Расчет_аналитики'!BE1726-'19_Расчет_аналитики'!BE1759/(1+'01_Вводные'!$B$58)</f>
        <v/>
      </c>
      <c r="BF1786">
        <f>'19_Расчет_аналитики'!BE1786+'19_Расчет_аналитики'!BF1725+'19_Расчет_аналитики'!BF1726-'19_Расчет_аналитики'!BF1759/(1+'01_Вводные'!$B$58)</f>
        <v/>
      </c>
      <c r="BG1786">
        <f>'19_Расчет_аналитики'!BF1786+'19_Расчет_аналитики'!BG1725+'19_Расчет_аналитики'!BG1726-'19_Расчет_аналитики'!BG1759/(1+'01_Вводные'!$B$58)</f>
        <v/>
      </c>
      <c r="BH1786">
        <f>'19_Расчет_аналитики'!BG1786+'19_Расчет_аналитики'!BH1725+'19_Расчет_аналитики'!BH1726-'19_Расчет_аналитики'!BH1759/(1+'01_Вводные'!$B$58)</f>
        <v/>
      </c>
      <c r="BI1786">
        <f>'19_Расчет_аналитики'!BH1786+'19_Расчет_аналитики'!BI1725+'19_Расчет_аналитики'!BI1726-'19_Расчет_аналитики'!BI1759/(1+'01_Вводные'!$B$58)</f>
        <v/>
      </c>
    </row>
    <row r="1787">
      <c r="B1787">
        <f>0+SUM('19_Расчет_аналитики'!B1743:B1748)+'19_Расчет_аналитики'!B1638-'19_Расчет_аналитики'!B1765</f>
        <v/>
      </c>
      <c r="C1787">
        <f>'19_Расчет_аналитики'!B1787+SUM('19_Расчет_аналитики'!C1743:C1748)+'19_Расчет_аналитики'!C1638-'19_Расчет_аналитики'!C1765</f>
        <v/>
      </c>
      <c r="D1787">
        <f>'19_Расчет_аналитики'!C1787+SUM('19_Расчет_аналитики'!D1743:D1748)+'19_Расчет_аналитики'!D1638-'19_Расчет_аналитики'!D1765</f>
        <v/>
      </c>
      <c r="E1787">
        <f>'19_Расчет_аналитики'!D1787+SUM('19_Расчет_аналитики'!E1743:E1748)+'19_Расчет_аналитики'!E1638-'19_Расчет_аналитики'!E1765</f>
        <v/>
      </c>
      <c r="F1787">
        <f>'19_Расчет_аналитики'!E1787+SUM('19_Расчет_аналитики'!F1743:F1748)+'19_Расчет_аналитики'!F1638-'19_Расчет_аналитики'!F1765</f>
        <v/>
      </c>
      <c r="G1787">
        <f>'19_Расчет_аналитики'!F1787+SUM('19_Расчет_аналитики'!G1743:G1748)+'19_Расчет_аналитики'!G1638-'19_Расчет_аналитики'!G1765</f>
        <v/>
      </c>
      <c r="H1787">
        <f>'19_Расчет_аналитики'!G1787+SUM('19_Расчет_аналитики'!H1743:H1748)+'19_Расчет_аналитики'!H1638-'19_Расчет_аналитики'!H1765</f>
        <v/>
      </c>
      <c r="I1787">
        <f>'19_Расчет_аналитики'!H1787+SUM('19_Расчет_аналитики'!I1743:I1748)+'19_Расчет_аналитики'!I1638-'19_Расчет_аналитики'!I1765</f>
        <v/>
      </c>
      <c r="J1787">
        <f>'19_Расчет_аналитики'!I1787+SUM('19_Расчет_аналитики'!J1743:J1748)+'19_Расчет_аналитики'!J1638-'19_Расчет_аналитики'!J1765</f>
        <v/>
      </c>
      <c r="K1787">
        <f>'19_Расчет_аналитики'!J1787+SUM('19_Расчет_аналитики'!K1743:K1748)+'19_Расчет_аналитики'!K1638-'19_Расчет_аналитики'!K1765</f>
        <v/>
      </c>
      <c r="L1787">
        <f>'19_Расчет_аналитики'!K1787+SUM('19_Расчет_аналитики'!L1743:L1748)+'19_Расчет_аналитики'!L1638-'19_Расчет_аналитики'!L1765</f>
        <v/>
      </c>
      <c r="M1787">
        <f>'19_Расчет_аналитики'!L1787+SUM('19_Расчет_аналитики'!M1743:M1748)+'19_Расчет_аналитики'!M1638-'19_Расчет_аналитики'!M1765</f>
        <v/>
      </c>
      <c r="N1787">
        <f>'19_Расчет_аналитики'!M1787+SUM('19_Расчет_аналитики'!N1743:N1748)+'19_Расчет_аналитики'!N1638-'19_Расчет_аналитики'!N1765</f>
        <v/>
      </c>
      <c r="O1787">
        <f>'19_Расчет_аналитики'!N1787+SUM('19_Расчет_аналитики'!O1743:O1748)+'19_Расчет_аналитики'!O1638-'19_Расчет_аналитики'!O1765</f>
        <v/>
      </c>
      <c r="P1787">
        <f>'19_Расчет_аналитики'!O1787+SUM('19_Расчет_аналитики'!P1743:P1748)+'19_Расчет_аналитики'!P1638-'19_Расчет_аналитики'!P1765</f>
        <v/>
      </c>
      <c r="Q1787">
        <f>'19_Расчет_аналитики'!P1787+SUM('19_Расчет_аналитики'!Q1743:Q1748)+'19_Расчет_аналитики'!Q1638-'19_Расчет_аналитики'!Q1765</f>
        <v/>
      </c>
      <c r="R1787">
        <f>'19_Расчет_аналитики'!Q1787+SUM('19_Расчет_аналитики'!R1743:R1748)+'19_Расчет_аналитики'!R1638-'19_Расчет_аналитики'!R1765</f>
        <v/>
      </c>
      <c r="S1787">
        <f>'19_Расчет_аналитики'!R1787+SUM('19_Расчет_аналитики'!S1743:S1748)+'19_Расчет_аналитики'!S1638-'19_Расчет_аналитики'!S1765</f>
        <v/>
      </c>
      <c r="T1787">
        <f>'19_Расчет_аналитики'!S1787+SUM('19_Расчет_аналитики'!T1743:T1748)+'19_Расчет_аналитики'!T1638-'19_Расчет_аналитики'!T1765</f>
        <v/>
      </c>
      <c r="U1787">
        <f>'19_Расчет_аналитики'!T1787+SUM('19_Расчет_аналитики'!U1743:U1748)+'19_Расчет_аналитики'!U1638-'19_Расчет_аналитики'!U1765</f>
        <v/>
      </c>
      <c r="V1787">
        <f>'19_Расчет_аналитики'!U1787+SUM('19_Расчет_аналитики'!V1743:V1748)+'19_Расчет_аналитики'!V1638-'19_Расчет_аналитики'!V1765</f>
        <v/>
      </c>
      <c r="W1787">
        <f>'19_Расчет_аналитики'!V1787+SUM('19_Расчет_аналитики'!W1743:W1748)+'19_Расчет_аналитики'!W1638-'19_Расчет_аналитики'!W1765</f>
        <v/>
      </c>
      <c r="X1787">
        <f>'19_Расчет_аналитики'!W1787+SUM('19_Расчет_аналитики'!X1743:X1748)+'19_Расчет_аналитики'!X1638-'19_Расчет_аналитики'!X1765</f>
        <v/>
      </c>
      <c r="Y1787">
        <f>'19_Расчет_аналитики'!X1787+SUM('19_Расчет_аналитики'!Y1743:Y1748)+'19_Расчет_аналитики'!Y1638-'19_Расчет_аналитики'!Y1765</f>
        <v/>
      </c>
      <c r="Z1787">
        <f>'19_Расчет_аналитики'!Y1787+SUM('19_Расчет_аналитики'!Z1743:Z1748)+'19_Расчет_аналитики'!Z1638-'19_Расчет_аналитики'!Z1765</f>
        <v/>
      </c>
      <c r="AA1787">
        <f>'19_Расчет_аналитики'!Z1787+SUM('19_Расчет_аналитики'!AA1743:AA1748)+'19_Расчет_аналитики'!AA1638-'19_Расчет_аналитики'!AA1765</f>
        <v/>
      </c>
      <c r="AB1787">
        <f>'19_Расчет_аналитики'!AA1787+SUM('19_Расчет_аналитики'!AB1743:AB1748)+'19_Расчет_аналитики'!AB1638-'19_Расчет_аналитики'!AB1765</f>
        <v/>
      </c>
      <c r="AC1787">
        <f>'19_Расчет_аналитики'!AB1787+SUM('19_Расчет_аналитики'!AC1743:AC1748)+'19_Расчет_аналитики'!AC1638-'19_Расчет_аналитики'!AC1765</f>
        <v/>
      </c>
      <c r="AD1787">
        <f>'19_Расчет_аналитики'!AC1787+SUM('19_Расчет_аналитики'!AD1743:AD1748)+'19_Расчет_аналитики'!AD1638-'19_Расчет_аналитики'!AD1765</f>
        <v/>
      </c>
      <c r="AE1787">
        <f>'19_Расчет_аналитики'!AD1787+SUM('19_Расчет_аналитики'!AE1743:AE1748)+'19_Расчет_аналитики'!AE1638-'19_Расчет_аналитики'!AE1765</f>
        <v/>
      </c>
      <c r="AF1787">
        <f>'19_Расчет_аналитики'!AE1787+SUM('19_Расчет_аналитики'!AF1743:AF1748)+'19_Расчет_аналитики'!AF1638-'19_Расчет_аналитики'!AF1765</f>
        <v/>
      </c>
      <c r="AG1787">
        <f>'19_Расчет_аналитики'!AF1787+SUM('19_Расчет_аналитики'!AG1743:AG1748)+'19_Расчет_аналитики'!AG1638-'19_Расчет_аналитики'!AG1765</f>
        <v/>
      </c>
      <c r="AH1787">
        <f>'19_Расчет_аналитики'!AG1787+SUM('19_Расчет_аналитики'!AH1743:AH1748)+'19_Расчет_аналитики'!AH1638-'19_Расчет_аналитики'!AH1765</f>
        <v/>
      </c>
      <c r="AI1787">
        <f>'19_Расчет_аналитики'!AH1787+SUM('19_Расчет_аналитики'!AI1743:AI1748)+'19_Расчет_аналитики'!AI1638-'19_Расчет_аналитики'!AI1765</f>
        <v/>
      </c>
      <c r="AJ1787">
        <f>'19_Расчет_аналитики'!AI1787+SUM('19_Расчет_аналитики'!AJ1743:AJ1748)+'19_Расчет_аналитики'!AJ1638-'19_Расчет_аналитики'!AJ1765</f>
        <v/>
      </c>
      <c r="AK1787">
        <f>'19_Расчет_аналитики'!AJ1787+SUM('19_Расчет_аналитики'!AK1743:AK1748)+'19_Расчет_аналитики'!AK1638-'19_Расчет_аналитики'!AK1765</f>
        <v/>
      </c>
      <c r="AL1787">
        <f>'19_Расчет_аналитики'!AK1787+SUM('19_Расчет_аналитики'!AL1743:AL1748)+'19_Расчет_аналитики'!AL1638-'19_Расчет_аналитики'!AL1765</f>
        <v/>
      </c>
      <c r="AM1787">
        <f>'19_Расчет_аналитики'!AL1787+SUM('19_Расчет_аналитики'!AM1743:AM1748)+'19_Расчет_аналитики'!AM1638-'19_Расчет_аналитики'!AM1765</f>
        <v/>
      </c>
      <c r="AN1787">
        <f>'19_Расчет_аналитики'!AM1787+SUM('19_Расчет_аналитики'!AN1743:AN1748)+'19_Расчет_аналитики'!AN1638-'19_Расчет_аналитики'!AN1765</f>
        <v/>
      </c>
      <c r="AO1787">
        <f>'19_Расчет_аналитики'!AN1787+SUM('19_Расчет_аналитики'!AO1743:AO1748)+'19_Расчет_аналитики'!AO1638-'19_Расчет_аналитики'!AO1765</f>
        <v/>
      </c>
      <c r="AP1787">
        <f>'19_Расчет_аналитики'!AO1787+SUM('19_Расчет_аналитики'!AP1743:AP1748)+'19_Расчет_аналитики'!AP1638-'19_Расчет_аналитики'!AP1765</f>
        <v/>
      </c>
      <c r="AQ1787">
        <f>'19_Расчет_аналитики'!AP1787+SUM('19_Расчет_аналитики'!AQ1743:AQ1748)+'19_Расчет_аналитики'!AQ1638-'19_Расчет_аналитики'!AQ1765</f>
        <v/>
      </c>
      <c r="AR1787">
        <f>'19_Расчет_аналитики'!AQ1787+SUM('19_Расчет_аналитики'!AR1743:AR1748)+'19_Расчет_аналитики'!AR1638-'19_Расчет_аналитики'!AR1765</f>
        <v/>
      </c>
      <c r="AS1787">
        <f>'19_Расчет_аналитики'!AR1787+SUM('19_Расчет_аналитики'!AS1743:AS1748)+'19_Расчет_аналитики'!AS1638-'19_Расчет_аналитики'!AS1765</f>
        <v/>
      </c>
      <c r="AT1787">
        <f>'19_Расчет_аналитики'!AS1787+SUM('19_Расчет_аналитики'!AT1743:AT1748)+'19_Расчет_аналитики'!AT1638-'19_Расчет_аналитики'!AT1765</f>
        <v/>
      </c>
      <c r="AU1787">
        <f>'19_Расчет_аналитики'!AT1787+SUM('19_Расчет_аналитики'!AU1743:AU1748)+'19_Расчет_аналитики'!AU1638-'19_Расчет_аналитики'!AU1765</f>
        <v/>
      </c>
      <c r="AV1787">
        <f>'19_Расчет_аналитики'!AU1787+SUM('19_Расчет_аналитики'!AV1743:AV1748)+'19_Расчет_аналитики'!AV1638-'19_Расчет_аналитики'!AV1765</f>
        <v/>
      </c>
      <c r="AW1787">
        <f>'19_Расчет_аналитики'!AV1787+SUM('19_Расчет_аналитики'!AW1743:AW1748)+'19_Расчет_аналитики'!AW1638-'19_Расчет_аналитики'!AW1765</f>
        <v/>
      </c>
      <c r="AX1787">
        <f>'19_Расчет_аналитики'!AW1787+SUM('19_Расчет_аналитики'!AX1743:AX1748)+'19_Расчет_аналитики'!AX1638-'19_Расчет_аналитики'!AX1765</f>
        <v/>
      </c>
      <c r="AY1787">
        <f>'19_Расчет_аналитики'!AX1787+SUM('19_Расчет_аналитики'!AY1743:AY1748)+'19_Расчет_аналитики'!AY1638-'19_Расчет_аналитики'!AY1765</f>
        <v/>
      </c>
      <c r="AZ1787">
        <f>'19_Расчет_аналитики'!AY1787+SUM('19_Расчет_аналитики'!AZ1743:AZ1748)+'19_Расчет_аналитики'!AZ1638-'19_Расчет_аналитики'!AZ1765</f>
        <v/>
      </c>
      <c r="BA1787">
        <f>'19_Расчет_аналитики'!AZ1787+SUM('19_Расчет_аналитики'!BA1743:BA1748)+'19_Расчет_аналитики'!BA1638-'19_Расчет_аналитики'!BA1765</f>
        <v/>
      </c>
      <c r="BB1787">
        <f>'19_Расчет_аналитики'!BA1787+SUM('19_Расчет_аналитики'!BB1743:BB1748)+'19_Расчет_аналитики'!BB1638-'19_Расчет_аналитики'!BB1765</f>
        <v/>
      </c>
      <c r="BC1787">
        <f>'19_Расчет_аналитики'!BB1787+SUM('19_Расчет_аналитики'!BC1743:BC1748)+'19_Расчет_аналитики'!BC1638-'19_Расчет_аналитики'!BC1765</f>
        <v/>
      </c>
      <c r="BD1787">
        <f>'19_Расчет_аналитики'!BC1787+SUM('19_Расчет_аналитики'!BD1743:BD1748)+'19_Расчет_аналитики'!BD1638-'19_Расчет_аналитики'!BD1765</f>
        <v/>
      </c>
      <c r="BE1787">
        <f>'19_Расчет_аналитики'!BD1787+SUM('19_Расчет_аналитики'!BE1743:BE1748)+'19_Расчет_аналитики'!BE1638-'19_Расчет_аналитики'!BE1765</f>
        <v/>
      </c>
      <c r="BF1787">
        <f>'19_Расчет_аналитики'!BE1787+SUM('19_Расчет_аналитики'!BF1743:BF1748)+'19_Расчет_аналитики'!BF1638-'19_Расчет_аналитики'!BF1765</f>
        <v/>
      </c>
      <c r="BG1787">
        <f>'19_Расчет_аналитики'!BF1787+SUM('19_Расчет_аналитики'!BG1743:BG1748)+'19_Расчет_аналитики'!BG1638-'19_Расчет_аналитики'!BG1765</f>
        <v/>
      </c>
      <c r="BH1787">
        <f>'19_Расчет_аналитики'!BG1787+SUM('19_Расчет_аналитики'!BH1743:BH1748)+'19_Расчет_аналитики'!BH1638-'19_Расчет_аналитики'!BH1765</f>
        <v/>
      </c>
      <c r="BI1787">
        <f>'19_Расчет_аналитики'!BH1787+SUM('19_Расчет_аналитики'!BI1743:BI1748)+'19_Расчет_аналитики'!BI1638-'19_Расчет_аналитики'!BI1765</f>
        <v/>
      </c>
    </row>
    <row r="1788"/>
    <row r="1789"/>
    <row r="1790">
      <c r="B1790">
        <f>'19_Расчет_аналитики'!B1639-'07_Мерч'!B22</f>
        <v/>
      </c>
      <c r="C1790">
        <f>'19_Расчет_аналитики'!C1639-'19_Расчет_аналитики'!C1635</f>
        <v/>
      </c>
      <c r="D1790">
        <f>'19_Расчет_аналитики'!D1639-'19_Расчет_аналитики'!D1635</f>
        <v/>
      </c>
      <c r="E1790">
        <f>'19_Расчет_аналитики'!E1639-'19_Расчет_аналитики'!E1635</f>
        <v/>
      </c>
      <c r="F1790">
        <f>'19_Расчет_аналитики'!F1639-'19_Расчет_аналитики'!F1635</f>
        <v/>
      </c>
      <c r="G1790">
        <f>'19_Расчет_аналитики'!G1639-'19_Расчет_аналитики'!G1635</f>
        <v/>
      </c>
      <c r="H1790">
        <f>'19_Расчет_аналитики'!H1639-'19_Расчет_аналитики'!H1635</f>
        <v/>
      </c>
      <c r="I1790">
        <f>'19_Расчет_аналитики'!I1639-'19_Расчет_аналитики'!I1635</f>
        <v/>
      </c>
      <c r="J1790">
        <f>'19_Расчет_аналитики'!J1639-'19_Расчет_аналитики'!J1635</f>
        <v/>
      </c>
      <c r="K1790">
        <f>'19_Расчет_аналитики'!K1639-'19_Расчет_аналитики'!K1635</f>
        <v/>
      </c>
      <c r="L1790">
        <f>'19_Расчет_аналитики'!L1639-'19_Расчет_аналитики'!L1635</f>
        <v/>
      </c>
      <c r="M1790">
        <f>'19_Расчет_аналитики'!M1639-'19_Расчет_аналитики'!M1635</f>
        <v/>
      </c>
      <c r="N1790">
        <f>'19_Расчет_аналитики'!N1639-'19_Расчет_аналитики'!N1635</f>
        <v/>
      </c>
      <c r="O1790">
        <f>'19_Расчет_аналитики'!O1639-'19_Расчет_аналитики'!O1635</f>
        <v/>
      </c>
      <c r="P1790">
        <f>'19_Расчет_аналитики'!P1639-'19_Расчет_аналитики'!P1635</f>
        <v/>
      </c>
      <c r="Q1790">
        <f>'19_Расчет_аналитики'!Q1639-'19_Расчет_аналитики'!Q1635</f>
        <v/>
      </c>
      <c r="R1790">
        <f>'19_Расчет_аналитики'!R1639-'19_Расчет_аналитики'!R1635</f>
        <v/>
      </c>
      <c r="S1790">
        <f>'19_Расчет_аналитики'!S1639-'19_Расчет_аналитики'!S1635</f>
        <v/>
      </c>
      <c r="T1790">
        <f>'19_Расчет_аналитики'!T1639-'19_Расчет_аналитики'!T1635</f>
        <v/>
      </c>
      <c r="U1790">
        <f>'19_Расчет_аналитики'!U1639-'19_Расчет_аналитики'!U1635</f>
        <v/>
      </c>
      <c r="V1790">
        <f>'19_Расчет_аналитики'!V1639-'19_Расчет_аналитики'!V1635</f>
        <v/>
      </c>
      <c r="W1790">
        <f>'19_Расчет_аналитики'!W1639-'19_Расчет_аналитики'!W1635</f>
        <v/>
      </c>
      <c r="X1790">
        <f>'19_Расчет_аналитики'!X1639-'19_Расчет_аналитики'!X1635</f>
        <v/>
      </c>
      <c r="Y1790">
        <f>'19_Расчет_аналитики'!Y1639-'19_Расчет_аналитики'!Y1635</f>
        <v/>
      </c>
      <c r="Z1790">
        <f>'19_Расчет_аналитики'!Z1639-'19_Расчет_аналитики'!Z1635</f>
        <v/>
      </c>
      <c r="AA1790">
        <f>'19_Расчет_аналитики'!AA1639-'19_Расчет_аналитики'!AA1635</f>
        <v/>
      </c>
      <c r="AB1790">
        <f>'19_Расчет_аналитики'!AB1639-'19_Расчет_аналитики'!AB1635</f>
        <v/>
      </c>
      <c r="AC1790">
        <f>'19_Расчет_аналитики'!AC1639-'19_Расчет_аналитики'!AC1635</f>
        <v/>
      </c>
      <c r="AD1790">
        <f>'19_Расчет_аналитики'!AD1639-'19_Расчет_аналитики'!AD1635</f>
        <v/>
      </c>
      <c r="AE1790">
        <f>'19_Расчет_аналитики'!AE1639-'19_Расчет_аналитики'!AE1635</f>
        <v/>
      </c>
      <c r="AF1790">
        <f>'19_Расчет_аналитики'!AF1639-'19_Расчет_аналитики'!AF1635</f>
        <v/>
      </c>
      <c r="AG1790">
        <f>'19_Расчет_аналитики'!AG1639-'19_Расчет_аналитики'!AG1635</f>
        <v/>
      </c>
      <c r="AH1790">
        <f>'19_Расчет_аналитики'!AH1639-'19_Расчет_аналитики'!AH1635</f>
        <v/>
      </c>
      <c r="AI1790">
        <f>'19_Расчет_аналитики'!AI1639-'19_Расчет_аналитики'!AI1635</f>
        <v/>
      </c>
      <c r="AJ1790">
        <f>'19_Расчет_аналитики'!AJ1639-'19_Расчет_аналитики'!AJ1635</f>
        <v/>
      </c>
      <c r="AK1790">
        <f>'19_Расчет_аналитики'!AK1639-'19_Расчет_аналитики'!AK1635</f>
        <v/>
      </c>
      <c r="AL1790">
        <f>'19_Расчет_аналитики'!AL1639-'19_Расчет_аналитики'!AL1635</f>
        <v/>
      </c>
      <c r="AM1790">
        <f>'19_Расчет_аналитики'!AM1639-'19_Расчет_аналитики'!AM1635</f>
        <v/>
      </c>
      <c r="AN1790">
        <f>'19_Расчет_аналитики'!AN1639-'19_Расчет_аналитики'!AN1635</f>
        <v/>
      </c>
      <c r="AO1790">
        <f>'19_Расчет_аналитики'!AO1639-'19_Расчет_аналитики'!AO1635</f>
        <v/>
      </c>
      <c r="AP1790">
        <f>'19_Расчет_аналитики'!AP1639-'19_Расчет_аналитики'!AP1635</f>
        <v/>
      </c>
      <c r="AQ1790">
        <f>'19_Расчет_аналитики'!AQ1639-'19_Расчет_аналитики'!AQ1635</f>
        <v/>
      </c>
      <c r="AR1790">
        <f>'19_Расчет_аналитики'!AR1639-'19_Расчет_аналитики'!AR1635</f>
        <v/>
      </c>
      <c r="AS1790">
        <f>'19_Расчет_аналитики'!AS1639-'19_Расчет_аналитики'!AS1635</f>
        <v/>
      </c>
      <c r="AT1790">
        <f>'19_Расчет_аналитики'!AT1639-'19_Расчет_аналитики'!AT1635</f>
        <v/>
      </c>
      <c r="AU1790">
        <f>'19_Расчет_аналитики'!AU1639-'19_Расчет_аналитики'!AU1635</f>
        <v/>
      </c>
      <c r="AV1790">
        <f>'19_Расчет_аналитики'!AV1639-'19_Расчет_аналитики'!AV1635</f>
        <v/>
      </c>
      <c r="AW1790">
        <f>'19_Расчет_аналитики'!AW1639-'19_Расчет_аналитики'!AW1635</f>
        <v/>
      </c>
      <c r="AX1790">
        <f>'19_Расчет_аналитики'!AX1639-'19_Расчет_аналитики'!AX1635</f>
        <v/>
      </c>
      <c r="AY1790">
        <f>'19_Расчет_аналитики'!AY1639-'19_Расчет_аналитики'!AY1635</f>
        <v/>
      </c>
      <c r="AZ1790">
        <f>'19_Расчет_аналитики'!AZ1639-'19_Расчет_аналитики'!AZ1635</f>
        <v/>
      </c>
      <c r="BA1790">
        <f>'19_Расчет_аналитики'!BA1639-'19_Расчет_аналитики'!BA1635</f>
        <v/>
      </c>
      <c r="BB1790">
        <f>'19_Расчет_аналитики'!BB1639-'19_Расчет_аналитики'!BB1635</f>
        <v/>
      </c>
      <c r="BC1790">
        <f>'19_Расчет_аналитики'!BC1639-'19_Расчет_аналитики'!BC1635</f>
        <v/>
      </c>
      <c r="BD1790">
        <f>'19_Расчет_аналитики'!BD1639-'19_Расчет_аналитики'!BD1635</f>
        <v/>
      </c>
      <c r="BE1790">
        <f>'19_Расчет_аналитики'!BE1639-'19_Расчет_аналитики'!BE1635</f>
        <v/>
      </c>
      <c r="BF1790">
        <f>'19_Расчет_аналитики'!BF1639-'19_Расчет_аналитики'!BF1635</f>
        <v/>
      </c>
      <c r="BG1790">
        <f>'19_Расчет_аналитики'!BG1639-'19_Расчет_аналитики'!BG1635</f>
        <v/>
      </c>
      <c r="BH1790">
        <f>'19_Расчет_аналитики'!BH1639-'19_Расчет_аналитики'!BH1635</f>
        <v/>
      </c>
      <c r="BI1790">
        <f>'19_Расчет_аналитики'!BI1639-'19_Расчет_аналитики'!BI1635</f>
        <v/>
      </c>
    </row>
    <row r="1791">
      <c r="B1791">
        <f>'19_Расчет_аналитики'!B1750-'19_Расчет_аналитики'!B1752-('19_Расчет_аналитики'!B1786-0)+('19_Расчет_аналитики'!B1787-0)+('02_Модель'!B82-0)-('02_Модель'!B83-0)-'19_Расчет_аналитики'!B1790-'19_Расчет_аналитики'!B1776+('19_Расчет_аналитики'!B1794-0)-'19_Расчет_аналитики'!B1763</f>
        <v/>
      </c>
      <c r="C1791">
        <f>'19_Расчет_аналитики'!C1750-'19_Расчет_аналитики'!C1752-('19_Расчет_аналитики'!C1786-'19_Расчет_аналитики'!B1786)+('19_Расчет_аналитики'!C1787-'19_Расчет_аналитики'!B1787)+('02_Модель'!C82-'02_Модель'!B82)-('02_Модель'!C83-'02_Модель'!B83)-'19_Расчет_аналитики'!C1790-'19_Расчет_аналитики'!C1776+('19_Расчет_аналитики'!C1794-'19_Расчет_аналитики'!B1794)-'19_Расчет_аналитики'!C1763</f>
        <v/>
      </c>
      <c r="D1791">
        <f>'19_Расчет_аналитики'!D1750-'19_Расчет_аналитики'!D1752-('19_Расчет_аналитики'!D1786-'19_Расчет_аналитики'!C1786)+('19_Расчет_аналитики'!D1787-'19_Расчет_аналитики'!C1787)+('02_Модель'!D82-'02_Модель'!C82)-('02_Модель'!D83-'02_Модель'!C83)-'19_Расчет_аналитики'!D1790-'19_Расчет_аналитики'!D1776+('19_Расчет_аналитики'!D1794-'19_Расчет_аналитики'!C1794)-'19_Расчет_аналитики'!D1763</f>
        <v/>
      </c>
      <c r="E1791">
        <f>'19_Расчет_аналитики'!E1750-'19_Расчет_аналитики'!E1752-('19_Расчет_аналитики'!E1786-'19_Расчет_аналитики'!D1786)+('19_Расчет_аналитики'!E1787-'19_Расчет_аналитики'!D1787)+('02_Модель'!E82-'02_Модель'!D82)-('02_Модель'!E83-'02_Модель'!D83)-'19_Расчет_аналитики'!E1790-'19_Расчет_аналитики'!E1776+('19_Расчет_аналитики'!E1794-'19_Расчет_аналитики'!D1794)-'19_Расчет_аналитики'!E1763</f>
        <v/>
      </c>
      <c r="F1791">
        <f>'19_Расчет_аналитики'!F1750-'19_Расчет_аналитики'!F1752-('19_Расчет_аналитики'!F1786-'19_Расчет_аналитики'!E1786)+('19_Расчет_аналитики'!F1787-'19_Расчет_аналитики'!E1787)+('02_Модель'!F82-'02_Модель'!E82)-('02_Модель'!F83-'02_Модель'!E83)-'19_Расчет_аналитики'!F1790-'19_Расчет_аналитики'!F1776+('19_Расчет_аналитики'!F1794-'19_Расчет_аналитики'!E1794)-'19_Расчет_аналитики'!F1763</f>
        <v/>
      </c>
      <c r="G1791">
        <f>'19_Расчет_аналитики'!G1750-'19_Расчет_аналитики'!G1752-('19_Расчет_аналитики'!G1786-'19_Расчет_аналитики'!F1786)+('19_Расчет_аналитики'!G1787-'19_Расчет_аналитики'!F1787)+('02_Модель'!G82-'02_Модель'!F82)-('02_Модель'!G83-'02_Модель'!F83)-'19_Расчет_аналитики'!G1790-'19_Расчет_аналитики'!G1776+('19_Расчет_аналитики'!G1794-'19_Расчет_аналитики'!F1794)-'19_Расчет_аналитики'!G1763</f>
        <v/>
      </c>
      <c r="H1791">
        <f>'19_Расчет_аналитики'!H1750-'19_Расчет_аналитики'!H1752-('19_Расчет_аналитики'!H1786-'19_Расчет_аналитики'!G1786)+('19_Расчет_аналитики'!H1787-'19_Расчет_аналитики'!G1787)+('02_Модель'!H82-'02_Модель'!G82)-('02_Модель'!H83-'02_Модель'!G83)-'19_Расчет_аналитики'!H1790-'19_Расчет_аналитики'!H1776+('19_Расчет_аналитики'!H1794-'19_Расчет_аналитики'!G1794)-'19_Расчет_аналитики'!H1763</f>
        <v/>
      </c>
      <c r="I1791">
        <f>'19_Расчет_аналитики'!I1750-'19_Расчет_аналитики'!I1752-('19_Расчет_аналитики'!I1786-'19_Расчет_аналитики'!H1786)+('19_Расчет_аналитики'!I1787-'19_Расчет_аналитики'!H1787)+('02_Модель'!I82-'02_Модель'!H82)-('02_Модель'!I83-'02_Модель'!H83)-'19_Расчет_аналитики'!I1790-'19_Расчет_аналитики'!I1776+('19_Расчет_аналитики'!I1794-'19_Расчет_аналитики'!H1794)-'19_Расчет_аналитики'!I1763</f>
        <v/>
      </c>
      <c r="J1791">
        <f>'19_Расчет_аналитики'!J1750-'19_Расчет_аналитики'!J1752-('19_Расчет_аналитики'!J1786-'19_Расчет_аналитики'!I1786)+('19_Расчет_аналитики'!J1787-'19_Расчет_аналитики'!I1787)+('02_Модель'!J82-'02_Модель'!I82)-('02_Модель'!J83-'02_Модель'!I83)-'19_Расчет_аналитики'!J1790-'19_Расчет_аналитики'!J1776+('19_Расчет_аналитики'!J1794-'19_Расчет_аналитики'!I1794)-'19_Расчет_аналитики'!J1763</f>
        <v/>
      </c>
      <c r="K1791">
        <f>'19_Расчет_аналитики'!K1750-'19_Расчет_аналитики'!K1752-('19_Расчет_аналитики'!K1786-'19_Расчет_аналитики'!J1786)+('19_Расчет_аналитики'!K1787-'19_Расчет_аналитики'!J1787)+('02_Модель'!K82-'02_Модель'!J82)-('02_Модель'!K83-'02_Модель'!J83)-'19_Расчет_аналитики'!K1790-'19_Расчет_аналитики'!K1776+('19_Расчет_аналитики'!K1794-'19_Расчет_аналитики'!J1794)-'19_Расчет_аналитики'!K1763</f>
        <v/>
      </c>
      <c r="L1791">
        <f>'19_Расчет_аналитики'!L1750-'19_Расчет_аналитики'!L1752-('19_Расчет_аналитики'!L1786-'19_Расчет_аналитики'!K1786)+('19_Расчет_аналитики'!L1787-'19_Расчет_аналитики'!K1787)+('02_Модель'!L82-'02_Модель'!K82)-('02_Модель'!L83-'02_Модель'!K83)-'19_Расчет_аналитики'!L1790-'19_Расчет_аналитики'!L1776+('19_Расчет_аналитики'!L1794-'19_Расчет_аналитики'!K1794)-'19_Расчет_аналитики'!L1763</f>
        <v/>
      </c>
      <c r="M1791">
        <f>'19_Расчет_аналитики'!M1750-'19_Расчет_аналитики'!M1752-('19_Расчет_аналитики'!M1786-'19_Расчет_аналитики'!L1786)+('19_Расчет_аналитики'!M1787-'19_Расчет_аналитики'!L1787)+('02_Модель'!M82-'02_Модель'!L82)-('02_Модель'!M83-'02_Модель'!L83)-'19_Расчет_аналитики'!M1790-'19_Расчет_аналитики'!M1776+('19_Расчет_аналитики'!M1794-'19_Расчет_аналитики'!L1794)-'19_Расчет_аналитики'!M1763</f>
        <v/>
      </c>
      <c r="N1791">
        <f>'19_Расчет_аналитики'!N1750-'19_Расчет_аналитики'!N1752-('19_Расчет_аналитики'!N1786-'19_Расчет_аналитики'!M1786)+('19_Расчет_аналитики'!N1787-'19_Расчет_аналитики'!M1787)+('02_Модель'!N82-'02_Модель'!M82)-('02_Модель'!N83-'02_Модель'!M83)-'19_Расчет_аналитики'!N1790-'19_Расчет_аналитики'!N1776+('19_Расчет_аналитики'!N1794-'19_Расчет_аналитики'!M1794)-'19_Расчет_аналитики'!N1763</f>
        <v/>
      </c>
      <c r="O1791">
        <f>'19_Расчет_аналитики'!O1750-'19_Расчет_аналитики'!O1752-('19_Расчет_аналитики'!O1786-'19_Расчет_аналитики'!N1786)+('19_Расчет_аналитики'!O1787-'19_Расчет_аналитики'!N1787)+('02_Модель'!O82-'02_Модель'!N82)-('02_Модель'!O83-'02_Модель'!N83)-'19_Расчет_аналитики'!O1790-'19_Расчет_аналитики'!O1776+('19_Расчет_аналитики'!O1794-'19_Расчет_аналитики'!N1794)-'19_Расчет_аналитики'!O1763</f>
        <v/>
      </c>
      <c r="P1791">
        <f>'19_Расчет_аналитики'!P1750-'19_Расчет_аналитики'!P1752-('19_Расчет_аналитики'!P1786-'19_Расчет_аналитики'!O1786)+('19_Расчет_аналитики'!P1787-'19_Расчет_аналитики'!O1787)+('02_Модель'!P82-'02_Модель'!O82)-('02_Модель'!P83-'02_Модель'!O83)-'19_Расчет_аналитики'!P1790-'19_Расчет_аналитики'!P1776+('19_Расчет_аналитики'!P1794-'19_Расчет_аналитики'!O1794)-'19_Расчет_аналитики'!P1763</f>
        <v/>
      </c>
      <c r="Q1791">
        <f>'19_Расчет_аналитики'!Q1750-'19_Расчет_аналитики'!Q1752-('19_Расчет_аналитики'!Q1786-'19_Расчет_аналитики'!P1786)+('19_Расчет_аналитики'!Q1787-'19_Расчет_аналитики'!P1787)+('02_Модель'!Q82-'02_Модель'!P82)-('02_Модель'!Q83-'02_Модель'!P83)-'19_Расчет_аналитики'!Q1790-'19_Расчет_аналитики'!Q1776+('19_Расчет_аналитики'!Q1794-'19_Расчет_аналитики'!P1794)-'19_Расчет_аналитики'!Q1763</f>
        <v/>
      </c>
      <c r="R1791">
        <f>'19_Расчет_аналитики'!R1750-'19_Расчет_аналитики'!R1752-('19_Расчет_аналитики'!R1786-'19_Расчет_аналитики'!Q1786)+('19_Расчет_аналитики'!R1787-'19_Расчет_аналитики'!Q1787)+('02_Модель'!R82-'02_Модель'!Q82)-('02_Модель'!R83-'02_Модель'!Q83)-'19_Расчет_аналитики'!R1790-'19_Расчет_аналитики'!R1776+('19_Расчет_аналитики'!R1794-'19_Расчет_аналитики'!Q1794)-'19_Расчет_аналитики'!R1763</f>
        <v/>
      </c>
      <c r="S1791">
        <f>'19_Расчет_аналитики'!S1750-'19_Расчет_аналитики'!S1752-('19_Расчет_аналитики'!S1786-'19_Расчет_аналитики'!R1786)+('19_Расчет_аналитики'!S1787-'19_Расчет_аналитики'!R1787)+('02_Модель'!S82-'02_Модель'!R82)-('02_Модель'!S83-'02_Модель'!R83)-'19_Расчет_аналитики'!S1790-'19_Расчет_аналитики'!S1776+('19_Расчет_аналитики'!S1794-'19_Расчет_аналитики'!R1794)-'19_Расчет_аналитики'!S1763</f>
        <v/>
      </c>
      <c r="T1791">
        <f>'19_Расчет_аналитики'!T1750-'19_Расчет_аналитики'!T1752-('19_Расчет_аналитики'!T1786-'19_Расчет_аналитики'!S1786)+('19_Расчет_аналитики'!T1787-'19_Расчет_аналитики'!S1787)+('02_Модель'!T82-'02_Модель'!S82)-('02_Модель'!T83-'02_Модель'!S83)-'19_Расчет_аналитики'!T1790-'19_Расчет_аналитики'!T1776+('19_Расчет_аналитики'!T1794-'19_Расчет_аналитики'!S1794)-'19_Расчет_аналитики'!T1763</f>
        <v/>
      </c>
      <c r="U1791">
        <f>'19_Расчет_аналитики'!U1750-'19_Расчет_аналитики'!U1752-('19_Расчет_аналитики'!U1786-'19_Расчет_аналитики'!T1786)+('19_Расчет_аналитики'!U1787-'19_Расчет_аналитики'!T1787)+('02_Модель'!U82-'02_Модель'!T82)-('02_Модель'!U83-'02_Модель'!T83)-'19_Расчет_аналитики'!U1790-'19_Расчет_аналитики'!U1776+('19_Расчет_аналитики'!U1794-'19_Расчет_аналитики'!T1794)-'19_Расчет_аналитики'!U1763</f>
        <v/>
      </c>
      <c r="V1791">
        <f>'19_Расчет_аналитики'!V1750-'19_Расчет_аналитики'!V1752-('19_Расчет_аналитики'!V1786-'19_Расчет_аналитики'!U1786)+('19_Расчет_аналитики'!V1787-'19_Расчет_аналитики'!U1787)+('02_Модель'!V82-'02_Модель'!U82)-('02_Модель'!V83-'02_Модель'!U83)-'19_Расчет_аналитики'!V1790-'19_Расчет_аналитики'!V1776+('19_Расчет_аналитики'!V1794-'19_Расчет_аналитики'!U1794)-'19_Расчет_аналитики'!V1763</f>
        <v/>
      </c>
      <c r="W1791">
        <f>'19_Расчет_аналитики'!W1750-'19_Расчет_аналитики'!W1752-('19_Расчет_аналитики'!W1786-'19_Расчет_аналитики'!V1786)+('19_Расчет_аналитики'!W1787-'19_Расчет_аналитики'!V1787)+('02_Модель'!W82-'02_Модель'!V82)-('02_Модель'!W83-'02_Модель'!V83)-'19_Расчет_аналитики'!W1790-'19_Расчет_аналитики'!W1776+('19_Расчет_аналитики'!W1794-'19_Расчет_аналитики'!V1794)-'19_Расчет_аналитики'!W1763</f>
        <v/>
      </c>
      <c r="X1791">
        <f>'19_Расчет_аналитики'!X1750-'19_Расчет_аналитики'!X1752-('19_Расчет_аналитики'!X1786-'19_Расчет_аналитики'!W1786)+('19_Расчет_аналитики'!X1787-'19_Расчет_аналитики'!W1787)+('02_Модель'!X82-'02_Модель'!W82)-('02_Модель'!X83-'02_Модель'!W83)-'19_Расчет_аналитики'!X1790-'19_Расчет_аналитики'!X1776+('19_Расчет_аналитики'!X1794-'19_Расчет_аналитики'!W1794)-'19_Расчет_аналитики'!X1763</f>
        <v/>
      </c>
      <c r="Y1791">
        <f>'19_Расчет_аналитики'!Y1750-'19_Расчет_аналитики'!Y1752-('19_Расчет_аналитики'!Y1786-'19_Расчет_аналитики'!X1786)+('19_Расчет_аналитики'!Y1787-'19_Расчет_аналитики'!X1787)+('02_Модель'!Y82-'02_Модель'!X82)-('02_Модель'!Y83-'02_Модель'!X83)-'19_Расчет_аналитики'!Y1790-'19_Расчет_аналитики'!Y1776+('19_Расчет_аналитики'!Y1794-'19_Расчет_аналитики'!X1794)-'19_Расчет_аналитики'!Y1763</f>
        <v/>
      </c>
      <c r="Z1791">
        <f>'19_Расчет_аналитики'!Z1750-'19_Расчет_аналитики'!Z1752-('19_Расчет_аналитики'!Z1786-'19_Расчет_аналитики'!Y1786)+('19_Расчет_аналитики'!Z1787-'19_Расчет_аналитики'!Y1787)+('02_Модель'!Z82-'02_Модель'!Y82)-('02_Модель'!Z83-'02_Модель'!Y83)-'19_Расчет_аналитики'!Z1790-'19_Расчет_аналитики'!Z1776+('19_Расчет_аналитики'!Z1794-'19_Расчет_аналитики'!Y1794)-'19_Расчет_аналитики'!Z1763</f>
        <v/>
      </c>
      <c r="AA1791">
        <f>'19_Расчет_аналитики'!AA1750-'19_Расчет_аналитики'!AA1752-('19_Расчет_аналитики'!AA1786-'19_Расчет_аналитики'!Z1786)+('19_Расчет_аналитики'!AA1787-'19_Расчет_аналитики'!Z1787)+('02_Модель'!AA82-'02_Модель'!Z82)-('02_Модель'!AA83-'02_Модель'!Z83)-'19_Расчет_аналитики'!AA1790-'19_Расчет_аналитики'!AA1776+('19_Расчет_аналитики'!AA1794-'19_Расчет_аналитики'!Z1794)-'19_Расчет_аналитики'!AA1763</f>
        <v/>
      </c>
      <c r="AB1791">
        <f>'19_Расчет_аналитики'!AB1750-'19_Расчет_аналитики'!AB1752-('19_Расчет_аналитики'!AB1786-'19_Расчет_аналитики'!AA1786)+('19_Расчет_аналитики'!AB1787-'19_Расчет_аналитики'!AA1787)+('02_Модель'!AB82-'02_Модель'!AA82)-('02_Модель'!AB83-'02_Модель'!AA83)-'19_Расчет_аналитики'!AB1790-'19_Расчет_аналитики'!AB1776+('19_Расчет_аналитики'!AB1794-'19_Расчет_аналитики'!AA1794)-'19_Расчет_аналитики'!AB1763</f>
        <v/>
      </c>
      <c r="AC1791">
        <f>'19_Расчет_аналитики'!AC1750-'19_Расчет_аналитики'!AC1752-('19_Расчет_аналитики'!AC1786-'19_Расчет_аналитики'!AB1786)+('19_Расчет_аналитики'!AC1787-'19_Расчет_аналитики'!AB1787)+('02_Модель'!AC82-'02_Модель'!AB82)-('02_Модель'!AC83-'02_Модель'!AB83)-'19_Расчет_аналитики'!AC1790-'19_Расчет_аналитики'!AC1776+('19_Расчет_аналитики'!AC1794-'19_Расчет_аналитики'!AB1794)-'19_Расчет_аналитики'!AC1763</f>
        <v/>
      </c>
      <c r="AD1791">
        <f>'19_Расчет_аналитики'!AD1750-'19_Расчет_аналитики'!AD1752-('19_Расчет_аналитики'!AD1786-'19_Расчет_аналитики'!AC1786)+('19_Расчет_аналитики'!AD1787-'19_Расчет_аналитики'!AC1787)+('02_Модель'!AD82-'02_Модель'!AC82)-('02_Модель'!AD83-'02_Модель'!AC83)-'19_Расчет_аналитики'!AD1790-'19_Расчет_аналитики'!AD1776+('19_Расчет_аналитики'!AD1794-'19_Расчет_аналитики'!AC1794)-'19_Расчет_аналитики'!AD1763</f>
        <v/>
      </c>
      <c r="AE1791">
        <f>'19_Расчет_аналитики'!AE1750-'19_Расчет_аналитики'!AE1752-('19_Расчет_аналитики'!AE1786-'19_Расчет_аналитики'!AD1786)+('19_Расчет_аналитики'!AE1787-'19_Расчет_аналитики'!AD1787)+('02_Модель'!AE82-'02_Модель'!AD82)-('02_Модель'!AE83-'02_Модель'!AD83)-'19_Расчет_аналитики'!AE1790-'19_Расчет_аналитики'!AE1776+('19_Расчет_аналитики'!AE1794-'19_Расчет_аналитики'!AD1794)-'19_Расчет_аналитики'!AE1763</f>
        <v/>
      </c>
      <c r="AF1791">
        <f>'19_Расчет_аналитики'!AF1750-'19_Расчет_аналитики'!AF1752-('19_Расчет_аналитики'!AF1786-'19_Расчет_аналитики'!AE1786)+('19_Расчет_аналитики'!AF1787-'19_Расчет_аналитики'!AE1787)+('02_Модель'!AF82-'02_Модель'!AE82)-('02_Модель'!AF83-'02_Модель'!AE83)-'19_Расчет_аналитики'!AF1790-'19_Расчет_аналитики'!AF1776+('19_Расчет_аналитики'!AF1794-'19_Расчет_аналитики'!AE1794)-'19_Расчет_аналитики'!AF1763</f>
        <v/>
      </c>
      <c r="AG1791">
        <f>'19_Расчет_аналитики'!AG1750-'19_Расчет_аналитики'!AG1752-('19_Расчет_аналитики'!AG1786-'19_Расчет_аналитики'!AF1786)+('19_Расчет_аналитики'!AG1787-'19_Расчет_аналитики'!AF1787)+('02_Модель'!AG82-'02_Модель'!AF82)-('02_Модель'!AG83-'02_Модель'!AF83)-'19_Расчет_аналитики'!AG1790-'19_Расчет_аналитики'!AG1776+('19_Расчет_аналитики'!AG1794-'19_Расчет_аналитики'!AF1794)-'19_Расчет_аналитики'!AG1763</f>
        <v/>
      </c>
      <c r="AH1791">
        <f>'19_Расчет_аналитики'!AH1750-'19_Расчет_аналитики'!AH1752-('19_Расчет_аналитики'!AH1786-'19_Расчет_аналитики'!AG1786)+('19_Расчет_аналитики'!AH1787-'19_Расчет_аналитики'!AG1787)+('02_Модель'!AH82-'02_Модель'!AG82)-('02_Модель'!AH83-'02_Модель'!AG83)-'19_Расчет_аналитики'!AH1790-'19_Расчет_аналитики'!AH1776+('19_Расчет_аналитики'!AH1794-'19_Расчет_аналитики'!AG1794)-'19_Расчет_аналитики'!AH1763</f>
        <v/>
      </c>
      <c r="AI1791">
        <f>'19_Расчет_аналитики'!AI1750-'19_Расчет_аналитики'!AI1752-('19_Расчет_аналитики'!AI1786-'19_Расчет_аналитики'!AH1786)+('19_Расчет_аналитики'!AI1787-'19_Расчет_аналитики'!AH1787)+('02_Модель'!AI82-'02_Модель'!AH82)-('02_Модель'!AI83-'02_Модель'!AH83)-'19_Расчет_аналитики'!AI1790-'19_Расчет_аналитики'!AI1776+('19_Расчет_аналитики'!AI1794-'19_Расчет_аналитики'!AH1794)-'19_Расчет_аналитики'!AI1763</f>
        <v/>
      </c>
      <c r="AJ1791">
        <f>'19_Расчет_аналитики'!AJ1750-'19_Расчет_аналитики'!AJ1752-('19_Расчет_аналитики'!AJ1786-'19_Расчет_аналитики'!AI1786)+('19_Расчет_аналитики'!AJ1787-'19_Расчет_аналитики'!AI1787)+('02_Модель'!AJ82-'02_Модель'!AI82)-('02_Модель'!AJ83-'02_Модель'!AI83)-'19_Расчет_аналитики'!AJ1790-'19_Расчет_аналитики'!AJ1776+('19_Расчет_аналитики'!AJ1794-'19_Расчет_аналитики'!AI1794)-'19_Расчет_аналитики'!AJ1763</f>
        <v/>
      </c>
      <c r="AK1791">
        <f>'19_Расчет_аналитики'!AK1750-'19_Расчет_аналитики'!AK1752-('19_Расчет_аналитики'!AK1786-'19_Расчет_аналитики'!AJ1786)+('19_Расчет_аналитики'!AK1787-'19_Расчет_аналитики'!AJ1787)+('02_Модель'!AK82-'02_Модель'!AJ82)-('02_Модель'!AK83-'02_Модель'!AJ83)-'19_Расчет_аналитики'!AK1790-'19_Расчет_аналитики'!AK1776+('19_Расчет_аналитики'!AK1794-'19_Расчет_аналитики'!AJ1794)-'19_Расчет_аналитики'!AK1763</f>
        <v/>
      </c>
      <c r="AL1791">
        <f>'19_Расчет_аналитики'!AL1750-'19_Расчет_аналитики'!AL1752-('19_Расчет_аналитики'!AL1786-'19_Расчет_аналитики'!AK1786)+('19_Расчет_аналитики'!AL1787-'19_Расчет_аналитики'!AK1787)+('02_Модель'!AL82-'02_Модель'!AK82)-('02_Модель'!AL83-'02_Модель'!AK83)-'19_Расчет_аналитики'!AL1790-'19_Расчет_аналитики'!AL1776+('19_Расчет_аналитики'!AL1794-'19_Расчет_аналитики'!AK1794)-'19_Расчет_аналитики'!AL1763</f>
        <v/>
      </c>
      <c r="AM1791">
        <f>'19_Расчет_аналитики'!AM1750-'19_Расчет_аналитики'!AM1752-('19_Расчет_аналитики'!AM1786-'19_Расчет_аналитики'!AL1786)+('19_Расчет_аналитики'!AM1787-'19_Расчет_аналитики'!AL1787)+('02_Модель'!AM82-'02_Модель'!AL82)-('02_Модель'!AM83-'02_Модель'!AL83)-'19_Расчет_аналитики'!AM1790-'19_Расчет_аналитики'!AM1776+('19_Расчет_аналитики'!AM1794-'19_Расчет_аналитики'!AL1794)-'19_Расчет_аналитики'!AM1763</f>
        <v/>
      </c>
      <c r="AN1791">
        <f>'19_Расчет_аналитики'!AN1750-'19_Расчет_аналитики'!AN1752-('19_Расчет_аналитики'!AN1786-'19_Расчет_аналитики'!AM1786)+('19_Расчет_аналитики'!AN1787-'19_Расчет_аналитики'!AM1787)+('02_Модель'!AN82-'02_Модель'!AM82)-('02_Модель'!AN83-'02_Модель'!AM83)-'19_Расчет_аналитики'!AN1790-'19_Расчет_аналитики'!AN1776+('19_Расчет_аналитики'!AN1794-'19_Расчет_аналитики'!AM1794)-'19_Расчет_аналитики'!AN1763</f>
        <v/>
      </c>
      <c r="AO1791">
        <f>'19_Расчет_аналитики'!AO1750-'19_Расчет_аналитики'!AO1752-('19_Расчет_аналитики'!AO1786-'19_Расчет_аналитики'!AN1786)+('19_Расчет_аналитики'!AO1787-'19_Расчет_аналитики'!AN1787)+('02_Модель'!AO82-'02_Модель'!AN82)-('02_Модель'!AO83-'02_Модель'!AN83)-'19_Расчет_аналитики'!AO1790-'19_Расчет_аналитики'!AO1776+('19_Расчет_аналитики'!AO1794-'19_Расчет_аналитики'!AN1794)-'19_Расчет_аналитики'!AO1763</f>
        <v/>
      </c>
      <c r="AP1791">
        <f>'19_Расчет_аналитики'!AP1750-'19_Расчет_аналитики'!AP1752-('19_Расчет_аналитики'!AP1786-'19_Расчет_аналитики'!AO1786)+('19_Расчет_аналитики'!AP1787-'19_Расчет_аналитики'!AO1787)+('02_Модель'!AP82-'02_Модель'!AO82)-('02_Модель'!AP83-'02_Модель'!AO83)-'19_Расчет_аналитики'!AP1790-'19_Расчет_аналитики'!AP1776+('19_Расчет_аналитики'!AP1794-'19_Расчет_аналитики'!AO1794)-'19_Расчет_аналитики'!AP1763</f>
        <v/>
      </c>
      <c r="AQ1791">
        <f>'19_Расчет_аналитики'!AQ1750-'19_Расчет_аналитики'!AQ1752-('19_Расчет_аналитики'!AQ1786-'19_Расчет_аналитики'!AP1786)+('19_Расчет_аналитики'!AQ1787-'19_Расчет_аналитики'!AP1787)+('02_Модель'!AQ82-'02_Модель'!AP82)-('02_Модель'!AQ83-'02_Модель'!AP83)-'19_Расчет_аналитики'!AQ1790-'19_Расчет_аналитики'!AQ1776+('19_Расчет_аналитики'!AQ1794-'19_Расчет_аналитики'!AP1794)-'19_Расчет_аналитики'!AQ1763</f>
        <v/>
      </c>
      <c r="AR1791">
        <f>'19_Расчет_аналитики'!AR1750-'19_Расчет_аналитики'!AR1752-('19_Расчет_аналитики'!AR1786-'19_Расчет_аналитики'!AQ1786)+('19_Расчет_аналитики'!AR1787-'19_Расчет_аналитики'!AQ1787)+('02_Модель'!AR82-'02_Модель'!AQ82)-('02_Модель'!AR83-'02_Модель'!AQ83)-'19_Расчет_аналитики'!AR1790-'19_Расчет_аналитики'!AR1776+('19_Расчет_аналитики'!AR1794-'19_Расчет_аналитики'!AQ1794)-'19_Расчет_аналитики'!AR1763</f>
        <v/>
      </c>
      <c r="AS1791">
        <f>'19_Расчет_аналитики'!AS1750-'19_Расчет_аналитики'!AS1752-('19_Расчет_аналитики'!AS1786-'19_Расчет_аналитики'!AR1786)+('19_Расчет_аналитики'!AS1787-'19_Расчет_аналитики'!AR1787)+('02_Модель'!AS82-'02_Модель'!AR82)-('02_Модель'!AS83-'02_Модель'!AR83)-'19_Расчет_аналитики'!AS1790-'19_Расчет_аналитики'!AS1776+('19_Расчет_аналитики'!AS1794-'19_Расчет_аналитики'!AR1794)-'19_Расчет_аналитики'!AS1763</f>
        <v/>
      </c>
      <c r="AT1791">
        <f>'19_Расчет_аналитики'!AT1750-'19_Расчет_аналитики'!AT1752-('19_Расчет_аналитики'!AT1786-'19_Расчет_аналитики'!AS1786)+('19_Расчет_аналитики'!AT1787-'19_Расчет_аналитики'!AS1787)+('02_Модель'!AT82-'02_Модель'!AS82)-('02_Модель'!AT83-'02_Модель'!AS83)-'19_Расчет_аналитики'!AT1790-'19_Расчет_аналитики'!AT1776+('19_Расчет_аналитики'!AT1794-'19_Расчет_аналитики'!AS1794)-'19_Расчет_аналитики'!AT1763</f>
        <v/>
      </c>
      <c r="AU1791">
        <f>'19_Расчет_аналитики'!AU1750-'19_Расчет_аналитики'!AU1752-('19_Расчет_аналитики'!AU1786-'19_Расчет_аналитики'!AT1786)+('19_Расчет_аналитики'!AU1787-'19_Расчет_аналитики'!AT1787)+('02_Модель'!AU82-'02_Модель'!AT82)-('02_Модель'!AU83-'02_Модель'!AT83)-'19_Расчет_аналитики'!AU1790-'19_Расчет_аналитики'!AU1776+('19_Расчет_аналитики'!AU1794-'19_Расчет_аналитики'!AT1794)-'19_Расчет_аналитики'!AU1763</f>
        <v/>
      </c>
      <c r="AV1791">
        <f>'19_Расчет_аналитики'!AV1750-'19_Расчет_аналитики'!AV1752-('19_Расчет_аналитики'!AV1786-'19_Расчет_аналитики'!AU1786)+('19_Расчет_аналитики'!AV1787-'19_Расчет_аналитики'!AU1787)+('02_Модель'!AV82-'02_Модель'!AU82)-('02_Модель'!AV83-'02_Модель'!AU83)-'19_Расчет_аналитики'!AV1790-'19_Расчет_аналитики'!AV1776+('19_Расчет_аналитики'!AV1794-'19_Расчет_аналитики'!AU1794)-'19_Расчет_аналитики'!AV1763</f>
        <v/>
      </c>
      <c r="AW1791">
        <f>'19_Расчет_аналитики'!AW1750-'19_Расчет_аналитики'!AW1752-('19_Расчет_аналитики'!AW1786-'19_Расчет_аналитики'!AV1786)+('19_Расчет_аналитики'!AW1787-'19_Расчет_аналитики'!AV1787)+('02_Модель'!AW82-'02_Модель'!AV82)-('02_Модель'!AW83-'02_Модель'!AV83)-'19_Расчет_аналитики'!AW1790-'19_Расчет_аналитики'!AW1776+('19_Расчет_аналитики'!AW1794-'19_Расчет_аналитики'!AV1794)-'19_Расчет_аналитики'!AW1763</f>
        <v/>
      </c>
      <c r="AX1791">
        <f>'19_Расчет_аналитики'!AX1750-'19_Расчет_аналитики'!AX1752-('19_Расчет_аналитики'!AX1786-'19_Расчет_аналитики'!AW1786)+('19_Расчет_аналитики'!AX1787-'19_Расчет_аналитики'!AW1787)+('02_Модель'!AX82-'02_Модель'!AW82)-('02_Модель'!AX83-'02_Модель'!AW83)-'19_Расчет_аналитики'!AX1790-'19_Расчет_аналитики'!AX1776+('19_Расчет_аналитики'!AX1794-'19_Расчет_аналитики'!AW1794)-'19_Расчет_аналитики'!AX1763</f>
        <v/>
      </c>
      <c r="AY1791">
        <f>'19_Расчет_аналитики'!AY1750-'19_Расчет_аналитики'!AY1752-('19_Расчет_аналитики'!AY1786-'19_Расчет_аналитики'!AX1786)+('19_Расчет_аналитики'!AY1787-'19_Расчет_аналитики'!AX1787)+('02_Модель'!AY82-'02_Модель'!AX82)-('02_Модель'!AY83-'02_Модель'!AX83)-'19_Расчет_аналитики'!AY1790-'19_Расчет_аналитики'!AY1776+('19_Расчет_аналитики'!AY1794-'19_Расчет_аналитики'!AX1794)-'19_Расчет_аналитики'!AY1763</f>
        <v/>
      </c>
      <c r="AZ1791">
        <f>'19_Расчет_аналитики'!AZ1750-'19_Расчет_аналитики'!AZ1752-('19_Расчет_аналитики'!AZ1786-'19_Расчет_аналитики'!AY1786)+('19_Расчет_аналитики'!AZ1787-'19_Расчет_аналитики'!AY1787)+('02_Модель'!AZ82-'02_Модель'!AY82)-('02_Модель'!AZ83-'02_Модель'!AY83)-'19_Расчет_аналитики'!AZ1790-'19_Расчет_аналитики'!AZ1776+('19_Расчет_аналитики'!AZ1794-'19_Расчет_аналитики'!AY1794)-'19_Расчет_аналитики'!AZ1763</f>
        <v/>
      </c>
      <c r="BA1791">
        <f>'19_Расчет_аналитики'!BA1750-'19_Расчет_аналитики'!BA1752-('19_Расчет_аналитики'!BA1786-'19_Расчет_аналитики'!AZ1786)+('19_Расчет_аналитики'!BA1787-'19_Расчет_аналитики'!AZ1787)+('02_Модель'!BA82-'02_Модель'!AZ82)-('02_Модель'!BA83-'02_Модель'!AZ83)-'19_Расчет_аналитики'!BA1790-'19_Расчет_аналитики'!BA1776+('19_Расчет_аналитики'!BA1794-'19_Расчет_аналитики'!AZ1794)-'19_Расчет_аналитики'!BA1763</f>
        <v/>
      </c>
      <c r="BB1791">
        <f>'19_Расчет_аналитики'!BB1750-'19_Расчет_аналитики'!BB1752-('19_Расчет_аналитики'!BB1786-'19_Расчет_аналитики'!BA1786)+('19_Расчет_аналитики'!BB1787-'19_Расчет_аналитики'!BA1787)+('02_Модель'!BB82-'02_Модель'!BA82)-('02_Модель'!BB83-'02_Модель'!BA83)-'19_Расчет_аналитики'!BB1790-'19_Расчет_аналитики'!BB1776+('19_Расчет_аналитики'!BB1794-'19_Расчет_аналитики'!BA1794)-'19_Расчет_аналитики'!BB1763</f>
        <v/>
      </c>
      <c r="BC1791">
        <f>'19_Расчет_аналитики'!BC1750-'19_Расчет_аналитики'!BC1752-('19_Расчет_аналитики'!BC1786-'19_Расчет_аналитики'!BB1786)+('19_Расчет_аналитики'!BC1787-'19_Расчет_аналитики'!BB1787)+('02_Модель'!BC82-'02_Модель'!BB82)-('02_Модель'!BC83-'02_Модель'!BB83)-'19_Расчет_аналитики'!BC1790-'19_Расчет_аналитики'!BC1776+('19_Расчет_аналитики'!BC1794-'19_Расчет_аналитики'!BB1794)-'19_Расчет_аналитики'!BC1763</f>
        <v/>
      </c>
      <c r="BD1791">
        <f>'19_Расчет_аналитики'!BD1750-'19_Расчет_аналитики'!BD1752-('19_Расчет_аналитики'!BD1786-'19_Расчет_аналитики'!BC1786)+('19_Расчет_аналитики'!BD1787-'19_Расчет_аналитики'!BC1787)+('02_Модель'!BD82-'02_Модель'!BC82)-('02_Модель'!BD83-'02_Модель'!BC83)-'19_Расчет_аналитики'!BD1790-'19_Расчет_аналитики'!BD1776+('19_Расчет_аналитики'!BD1794-'19_Расчет_аналитики'!BC1794)-'19_Расчет_аналитики'!BD1763</f>
        <v/>
      </c>
      <c r="BE1791">
        <f>'19_Расчет_аналитики'!BE1750-'19_Расчет_аналитики'!BE1752-('19_Расчет_аналитики'!BE1786-'19_Расчет_аналитики'!BD1786)+('19_Расчет_аналитики'!BE1787-'19_Расчет_аналитики'!BD1787)+('02_Модель'!BE82-'02_Модель'!BD82)-('02_Модель'!BE83-'02_Модель'!BD83)-'19_Расчет_аналитики'!BE1790-'19_Расчет_аналитики'!BE1776+('19_Расчет_аналитики'!BE1794-'19_Расчет_аналитики'!BD1794)-'19_Расчет_аналитики'!BE1763</f>
        <v/>
      </c>
      <c r="BF1791">
        <f>'19_Расчет_аналитики'!BF1750-'19_Расчет_аналитики'!BF1752-('19_Расчет_аналитики'!BF1786-'19_Расчет_аналитики'!BE1786)+('19_Расчет_аналитики'!BF1787-'19_Расчет_аналитики'!BE1787)+('02_Модель'!BF82-'02_Модель'!BE82)-('02_Модель'!BF83-'02_Модель'!BE83)-'19_Расчет_аналитики'!BF1790-'19_Расчет_аналитики'!BF1776+('19_Расчет_аналитики'!BF1794-'19_Расчет_аналитики'!BE1794)-'19_Расчет_аналитики'!BF1763</f>
        <v/>
      </c>
      <c r="BG1791">
        <f>'19_Расчет_аналитики'!BG1750-'19_Расчет_аналитики'!BG1752-('19_Расчет_аналитики'!BG1786-'19_Расчет_аналитики'!BF1786)+('19_Расчет_аналитики'!BG1787-'19_Расчет_аналитики'!BF1787)+('02_Модель'!BG82-'02_Модель'!BF82)-('02_Модель'!BG83-'02_Модель'!BF83)-'19_Расчет_аналитики'!BG1790-'19_Расчет_аналитики'!BG1776+('19_Расчет_аналитики'!BG1794-'19_Расчет_аналитики'!BF1794)-'19_Расчет_аналитики'!BG1763</f>
        <v/>
      </c>
      <c r="BH1791">
        <f>'19_Расчет_аналитики'!BH1750-'19_Расчет_аналитики'!BH1752-('19_Расчет_аналитики'!BH1786-'19_Расчет_аналитики'!BG1786)+('19_Расчет_аналитики'!BH1787-'19_Расчет_аналитики'!BG1787)+('02_Модель'!BH82-'02_Модель'!BG82)-('02_Модель'!BH83-'02_Модель'!BG83)-'19_Расчет_аналитики'!BH1790-'19_Расчет_аналитики'!BH1776+('19_Расчет_аналитики'!BH1794-'19_Расчет_аналитики'!BG1794)-'19_Расчет_аналитики'!BH1763</f>
        <v/>
      </c>
      <c r="BI1791">
        <f>'19_Расчет_аналитики'!BI1750-'19_Расчет_аналитики'!BI1752-('19_Расчет_аналитики'!BI1786-'19_Расчет_аналитики'!BH1786)+('19_Расчет_аналитики'!BI1787-'19_Расчет_аналитики'!BH1787)+('02_Модель'!BI82-'02_Модель'!BH82)-('02_Модель'!BI83-'02_Модель'!BH83)-'19_Расчет_аналитики'!BI1790-'19_Расчет_аналитики'!BI1776+('19_Расчет_аналитики'!BI1794-'19_Расчет_аналитики'!BH1794)-'19_Расчет_аналитики'!BI1763</f>
        <v/>
      </c>
    </row>
    <row r="1792">
      <c r="B1792">
        <f>'19_Расчет_аналитики'!B1791-'19_Расчет_аналитики'!B1777</f>
        <v/>
      </c>
      <c r="C1792">
        <f>'19_Расчет_аналитики'!C1791-'19_Расчет_аналитики'!C1777</f>
        <v/>
      </c>
      <c r="D1792">
        <f>'19_Расчет_аналитики'!D1791-'19_Расчет_аналитики'!D1777</f>
        <v/>
      </c>
      <c r="E1792">
        <f>'19_Расчет_аналитики'!E1791-'19_Расчет_аналитики'!E1777</f>
        <v/>
      </c>
      <c r="F1792">
        <f>'19_Расчет_аналитики'!F1791-'19_Расчет_аналитики'!F1777</f>
        <v/>
      </c>
      <c r="G1792">
        <f>'19_Расчет_аналитики'!G1791-'19_Расчет_аналитики'!G1777</f>
        <v/>
      </c>
      <c r="H1792">
        <f>'19_Расчет_аналитики'!H1791-'19_Расчет_аналитики'!H1777</f>
        <v/>
      </c>
      <c r="I1792">
        <f>'19_Расчет_аналитики'!I1791-'19_Расчет_аналитики'!I1777</f>
        <v/>
      </c>
      <c r="J1792">
        <f>'19_Расчет_аналитики'!J1791-'19_Расчет_аналитики'!J1777</f>
        <v/>
      </c>
      <c r="K1792">
        <f>'19_Расчет_аналитики'!K1791-'19_Расчет_аналитики'!K1777</f>
        <v/>
      </c>
      <c r="L1792">
        <f>'19_Расчет_аналитики'!L1791-'19_Расчет_аналитики'!L1777</f>
        <v/>
      </c>
      <c r="M1792">
        <f>'19_Расчет_аналитики'!M1791-'19_Расчет_аналитики'!M1777</f>
        <v/>
      </c>
      <c r="N1792">
        <f>'19_Расчет_аналитики'!N1791-'19_Расчет_аналитики'!N1777</f>
        <v/>
      </c>
      <c r="O1792">
        <f>'19_Расчет_аналитики'!O1791-'19_Расчет_аналитики'!O1777</f>
        <v/>
      </c>
      <c r="P1792">
        <f>'19_Расчет_аналитики'!P1791-'19_Расчет_аналитики'!P1777</f>
        <v/>
      </c>
      <c r="Q1792">
        <f>'19_Расчет_аналитики'!Q1791-'19_Расчет_аналитики'!Q1777</f>
        <v/>
      </c>
      <c r="R1792">
        <f>'19_Расчет_аналитики'!R1791-'19_Расчет_аналитики'!R1777</f>
        <v/>
      </c>
      <c r="S1792">
        <f>'19_Расчет_аналитики'!S1791-'19_Расчет_аналитики'!S1777</f>
        <v/>
      </c>
      <c r="T1792">
        <f>'19_Расчет_аналитики'!T1791-'19_Расчет_аналитики'!T1777</f>
        <v/>
      </c>
      <c r="U1792">
        <f>'19_Расчет_аналитики'!U1791-'19_Расчет_аналитики'!U1777</f>
        <v/>
      </c>
      <c r="V1792">
        <f>'19_Расчет_аналитики'!V1791-'19_Расчет_аналитики'!V1777</f>
        <v/>
      </c>
      <c r="W1792">
        <f>'19_Расчет_аналитики'!W1791-'19_Расчет_аналитики'!W1777</f>
        <v/>
      </c>
      <c r="X1792">
        <f>'19_Расчет_аналитики'!X1791-'19_Расчет_аналитики'!X1777</f>
        <v/>
      </c>
      <c r="Y1792">
        <f>'19_Расчет_аналитики'!Y1791-'19_Расчет_аналитики'!Y1777</f>
        <v/>
      </c>
      <c r="Z1792">
        <f>'19_Расчет_аналитики'!Z1791-'19_Расчет_аналитики'!Z1777</f>
        <v/>
      </c>
      <c r="AA1792">
        <f>'19_Расчет_аналитики'!AA1791-'19_Расчет_аналитики'!AA1777</f>
        <v/>
      </c>
      <c r="AB1792">
        <f>'19_Расчет_аналитики'!AB1791-'19_Расчет_аналитики'!AB1777</f>
        <v/>
      </c>
      <c r="AC1792">
        <f>'19_Расчет_аналитики'!AC1791-'19_Расчет_аналитики'!AC1777</f>
        <v/>
      </c>
      <c r="AD1792">
        <f>'19_Расчет_аналитики'!AD1791-'19_Расчет_аналитики'!AD1777</f>
        <v/>
      </c>
      <c r="AE1792">
        <f>'19_Расчет_аналитики'!AE1791-'19_Расчет_аналитики'!AE1777</f>
        <v/>
      </c>
      <c r="AF1792">
        <f>'19_Расчет_аналитики'!AF1791-'19_Расчет_аналитики'!AF1777</f>
        <v/>
      </c>
      <c r="AG1792">
        <f>'19_Расчет_аналитики'!AG1791-'19_Расчет_аналитики'!AG1777</f>
        <v/>
      </c>
      <c r="AH1792">
        <f>'19_Расчет_аналитики'!AH1791-'19_Расчет_аналитики'!AH1777</f>
        <v/>
      </c>
      <c r="AI1792">
        <f>'19_Расчет_аналитики'!AI1791-'19_Расчет_аналитики'!AI1777</f>
        <v/>
      </c>
      <c r="AJ1792">
        <f>'19_Расчет_аналитики'!AJ1791-'19_Расчет_аналитики'!AJ1777</f>
        <v/>
      </c>
      <c r="AK1792">
        <f>'19_Расчет_аналитики'!AK1791-'19_Расчет_аналитики'!AK1777</f>
        <v/>
      </c>
      <c r="AL1792">
        <f>'19_Расчет_аналитики'!AL1791-'19_Расчет_аналитики'!AL1777</f>
        <v/>
      </c>
      <c r="AM1792">
        <f>'19_Расчет_аналитики'!AM1791-'19_Расчет_аналитики'!AM1777</f>
        <v/>
      </c>
      <c r="AN1792">
        <f>'19_Расчет_аналитики'!AN1791-'19_Расчет_аналитики'!AN1777</f>
        <v/>
      </c>
      <c r="AO1792">
        <f>'19_Расчет_аналитики'!AO1791-'19_Расчет_аналитики'!AO1777</f>
        <v/>
      </c>
      <c r="AP1792">
        <f>'19_Расчет_аналитики'!AP1791-'19_Расчет_аналитики'!AP1777</f>
        <v/>
      </c>
      <c r="AQ1792">
        <f>'19_Расчет_аналитики'!AQ1791-'19_Расчет_аналитики'!AQ1777</f>
        <v/>
      </c>
      <c r="AR1792">
        <f>'19_Расчет_аналитики'!AR1791-'19_Расчет_аналитики'!AR1777</f>
        <v/>
      </c>
      <c r="AS1792">
        <f>'19_Расчет_аналитики'!AS1791-'19_Расчет_аналитики'!AS1777</f>
        <v/>
      </c>
      <c r="AT1792">
        <f>'19_Расчет_аналитики'!AT1791-'19_Расчет_аналитики'!AT1777</f>
        <v/>
      </c>
      <c r="AU1792">
        <f>'19_Расчет_аналитики'!AU1791-'19_Расчет_аналитики'!AU1777</f>
        <v/>
      </c>
      <c r="AV1792">
        <f>'19_Расчет_аналитики'!AV1791-'19_Расчет_аналитики'!AV1777</f>
        <v/>
      </c>
      <c r="AW1792">
        <f>'19_Расчет_аналитики'!AW1791-'19_Расчет_аналитики'!AW1777</f>
        <v/>
      </c>
      <c r="AX1792">
        <f>'19_Расчет_аналитики'!AX1791-'19_Расчет_аналитики'!AX1777</f>
        <v/>
      </c>
      <c r="AY1792">
        <f>'19_Расчет_аналитики'!AY1791-'19_Расчет_аналитики'!AY1777</f>
        <v/>
      </c>
      <c r="AZ1792">
        <f>'19_Расчет_аналитики'!AZ1791-'19_Расчет_аналитики'!AZ1777</f>
        <v/>
      </c>
      <c r="BA1792">
        <f>'19_Расчет_аналитики'!BA1791-'19_Расчет_аналитики'!BA1777</f>
        <v/>
      </c>
      <c r="BB1792">
        <f>'19_Расчет_аналитики'!BB1791-'19_Расчет_аналитики'!BB1777</f>
        <v/>
      </c>
      <c r="BC1792">
        <f>'19_Расчет_аналитики'!BC1791-'19_Расчет_аналитики'!BC1777</f>
        <v/>
      </c>
      <c r="BD1792">
        <f>'19_Расчет_аналитики'!BD1791-'19_Расчет_аналитики'!BD1777</f>
        <v/>
      </c>
      <c r="BE1792">
        <f>'19_Расчет_аналитики'!BE1791-'19_Расчет_аналитики'!BE1777</f>
        <v/>
      </c>
      <c r="BF1792">
        <f>'19_Расчет_аналитики'!BF1791-'19_Расчет_аналитики'!BF1777</f>
        <v/>
      </c>
      <c r="BG1792">
        <f>'19_Расчет_аналитики'!BG1791-'19_Расчет_аналитики'!BG1777</f>
        <v/>
      </c>
      <c r="BH1792">
        <f>'19_Расчет_аналитики'!BH1791-'19_Расчет_аналитики'!BH1777</f>
        <v/>
      </c>
      <c r="BI1792">
        <f>'19_Расчет_аналитики'!BI1791-'19_Расчет_аналитики'!BI1777</f>
        <v/>
      </c>
    </row>
    <row r="1793">
      <c r="B1793">
        <f>'07_Мерч'!B22+'19_Расчет_аналитики'!B1638-'19_Расчет_аналитики'!B1636-'19_Расчет_аналитики'!B1639</f>
        <v/>
      </c>
      <c r="C1793">
        <f>'19_Расчет_аналитики'!C1635+'19_Расчет_аналитики'!C1638-'19_Расчет_аналитики'!C1636-'19_Расчет_аналитики'!C1639</f>
        <v/>
      </c>
      <c r="D1793">
        <f>'19_Расчет_аналитики'!D1635+'19_Расчет_аналитики'!D1638-'19_Расчет_аналитики'!D1636-'19_Расчет_аналитики'!D1639</f>
        <v/>
      </c>
      <c r="E1793">
        <f>'19_Расчет_аналитики'!E1635+'19_Расчет_аналитики'!E1638-'19_Расчет_аналитики'!E1636-'19_Расчет_аналитики'!E1639</f>
        <v/>
      </c>
      <c r="F1793">
        <f>'19_Расчет_аналитики'!F1635+'19_Расчет_аналитики'!F1638-'19_Расчет_аналитики'!F1636-'19_Расчет_аналитики'!F1639</f>
        <v/>
      </c>
      <c r="G1793">
        <f>'19_Расчет_аналитики'!G1635+'19_Расчет_аналитики'!G1638-'19_Расчет_аналитики'!G1636-'19_Расчет_аналитики'!G1639</f>
        <v/>
      </c>
      <c r="H1793">
        <f>'19_Расчет_аналитики'!H1635+'19_Расчет_аналитики'!H1638-'19_Расчет_аналитики'!H1636-'19_Расчет_аналитики'!H1639</f>
        <v/>
      </c>
      <c r="I1793">
        <f>'19_Расчет_аналитики'!I1635+'19_Расчет_аналитики'!I1638-'19_Расчет_аналитики'!I1636-'19_Расчет_аналитики'!I1639</f>
        <v/>
      </c>
      <c r="J1793">
        <f>'19_Расчет_аналитики'!J1635+'19_Расчет_аналитики'!J1638-'19_Расчет_аналитики'!J1636-'19_Расчет_аналитики'!J1639</f>
        <v/>
      </c>
      <c r="K1793">
        <f>'19_Расчет_аналитики'!K1635+'19_Расчет_аналитики'!K1638-'19_Расчет_аналитики'!K1636-'19_Расчет_аналитики'!K1639</f>
        <v/>
      </c>
      <c r="L1793">
        <f>'19_Расчет_аналитики'!L1635+'19_Расчет_аналитики'!L1638-'19_Расчет_аналитики'!L1636-'19_Расчет_аналитики'!L1639</f>
        <v/>
      </c>
      <c r="M1793">
        <f>'19_Расчет_аналитики'!M1635+'19_Расчет_аналитики'!M1638-'19_Расчет_аналитики'!M1636-'19_Расчет_аналитики'!M1639</f>
        <v/>
      </c>
      <c r="N1793">
        <f>'19_Расчет_аналитики'!N1635+'19_Расчет_аналитики'!N1638-'19_Расчет_аналитики'!N1636-'19_Расчет_аналитики'!N1639</f>
        <v/>
      </c>
      <c r="O1793">
        <f>'19_Расчет_аналитики'!O1635+'19_Расчет_аналитики'!O1638-'19_Расчет_аналитики'!O1636-'19_Расчет_аналитики'!O1639</f>
        <v/>
      </c>
      <c r="P1793">
        <f>'19_Расчет_аналитики'!P1635+'19_Расчет_аналитики'!P1638-'19_Расчет_аналитики'!P1636-'19_Расчет_аналитики'!P1639</f>
        <v/>
      </c>
      <c r="Q1793">
        <f>'19_Расчет_аналитики'!Q1635+'19_Расчет_аналитики'!Q1638-'19_Расчет_аналитики'!Q1636-'19_Расчет_аналитики'!Q1639</f>
        <v/>
      </c>
      <c r="R1793">
        <f>'19_Расчет_аналитики'!R1635+'19_Расчет_аналитики'!R1638-'19_Расчет_аналитики'!R1636-'19_Расчет_аналитики'!R1639</f>
        <v/>
      </c>
      <c r="S1793">
        <f>'19_Расчет_аналитики'!S1635+'19_Расчет_аналитики'!S1638-'19_Расчет_аналитики'!S1636-'19_Расчет_аналитики'!S1639</f>
        <v/>
      </c>
      <c r="T1793">
        <f>'19_Расчет_аналитики'!T1635+'19_Расчет_аналитики'!T1638-'19_Расчет_аналитики'!T1636-'19_Расчет_аналитики'!T1639</f>
        <v/>
      </c>
      <c r="U1793">
        <f>'19_Расчет_аналитики'!U1635+'19_Расчет_аналитики'!U1638-'19_Расчет_аналитики'!U1636-'19_Расчет_аналитики'!U1639</f>
        <v/>
      </c>
      <c r="V1793">
        <f>'19_Расчет_аналитики'!V1635+'19_Расчет_аналитики'!V1638-'19_Расчет_аналитики'!V1636-'19_Расчет_аналитики'!V1639</f>
        <v/>
      </c>
      <c r="W1793">
        <f>'19_Расчет_аналитики'!W1635+'19_Расчет_аналитики'!W1638-'19_Расчет_аналитики'!W1636-'19_Расчет_аналитики'!W1639</f>
        <v/>
      </c>
      <c r="X1793">
        <f>'19_Расчет_аналитики'!X1635+'19_Расчет_аналитики'!X1638-'19_Расчет_аналитики'!X1636-'19_Расчет_аналитики'!X1639</f>
        <v/>
      </c>
      <c r="Y1793">
        <f>'19_Расчет_аналитики'!Y1635+'19_Расчет_аналитики'!Y1638-'19_Расчет_аналитики'!Y1636-'19_Расчет_аналитики'!Y1639</f>
        <v/>
      </c>
      <c r="Z1793">
        <f>'19_Расчет_аналитики'!Z1635+'19_Расчет_аналитики'!Z1638-'19_Расчет_аналитики'!Z1636-'19_Расчет_аналитики'!Z1639</f>
        <v/>
      </c>
      <c r="AA1793">
        <f>'19_Расчет_аналитики'!AA1635+'19_Расчет_аналитики'!AA1638-'19_Расчет_аналитики'!AA1636-'19_Расчет_аналитики'!AA1639</f>
        <v/>
      </c>
      <c r="AB1793">
        <f>'19_Расчет_аналитики'!AB1635+'19_Расчет_аналитики'!AB1638-'19_Расчет_аналитики'!AB1636-'19_Расчет_аналитики'!AB1639</f>
        <v/>
      </c>
      <c r="AC1793">
        <f>'19_Расчет_аналитики'!AC1635+'19_Расчет_аналитики'!AC1638-'19_Расчет_аналитики'!AC1636-'19_Расчет_аналитики'!AC1639</f>
        <v/>
      </c>
      <c r="AD1793">
        <f>'19_Расчет_аналитики'!AD1635+'19_Расчет_аналитики'!AD1638-'19_Расчет_аналитики'!AD1636-'19_Расчет_аналитики'!AD1639</f>
        <v/>
      </c>
      <c r="AE1793">
        <f>'19_Расчет_аналитики'!AE1635+'19_Расчет_аналитики'!AE1638-'19_Расчет_аналитики'!AE1636-'19_Расчет_аналитики'!AE1639</f>
        <v/>
      </c>
      <c r="AF1793">
        <f>'19_Расчет_аналитики'!AF1635+'19_Расчет_аналитики'!AF1638-'19_Расчет_аналитики'!AF1636-'19_Расчет_аналитики'!AF1639</f>
        <v/>
      </c>
      <c r="AG1793">
        <f>'19_Расчет_аналитики'!AG1635+'19_Расчет_аналитики'!AG1638-'19_Расчет_аналитики'!AG1636-'19_Расчет_аналитики'!AG1639</f>
        <v/>
      </c>
      <c r="AH1793">
        <f>'19_Расчет_аналитики'!AH1635+'19_Расчет_аналитики'!AH1638-'19_Расчет_аналитики'!AH1636-'19_Расчет_аналитики'!AH1639</f>
        <v/>
      </c>
      <c r="AI1793">
        <f>'19_Расчет_аналитики'!AI1635+'19_Расчет_аналитики'!AI1638-'19_Расчет_аналитики'!AI1636-'19_Расчет_аналитики'!AI1639</f>
        <v/>
      </c>
      <c r="AJ1793">
        <f>'19_Расчет_аналитики'!AJ1635+'19_Расчет_аналитики'!AJ1638-'19_Расчет_аналитики'!AJ1636-'19_Расчет_аналитики'!AJ1639</f>
        <v/>
      </c>
      <c r="AK1793">
        <f>'19_Расчет_аналитики'!AK1635+'19_Расчет_аналитики'!AK1638-'19_Расчет_аналитики'!AK1636-'19_Расчет_аналитики'!AK1639</f>
        <v/>
      </c>
      <c r="AL1793">
        <f>'19_Расчет_аналитики'!AL1635+'19_Расчет_аналитики'!AL1638-'19_Расчет_аналитики'!AL1636-'19_Расчет_аналитики'!AL1639</f>
        <v/>
      </c>
      <c r="AM1793">
        <f>'19_Расчет_аналитики'!AM1635+'19_Расчет_аналитики'!AM1638-'19_Расчет_аналитики'!AM1636-'19_Расчет_аналитики'!AM1639</f>
        <v/>
      </c>
      <c r="AN1793">
        <f>'19_Расчет_аналитики'!AN1635+'19_Расчет_аналитики'!AN1638-'19_Расчет_аналитики'!AN1636-'19_Расчет_аналитики'!AN1639</f>
        <v/>
      </c>
      <c r="AO1793">
        <f>'19_Расчет_аналитики'!AO1635+'19_Расчет_аналитики'!AO1638-'19_Расчет_аналитики'!AO1636-'19_Расчет_аналитики'!AO1639</f>
        <v/>
      </c>
      <c r="AP1793">
        <f>'19_Расчет_аналитики'!AP1635+'19_Расчет_аналитики'!AP1638-'19_Расчет_аналитики'!AP1636-'19_Расчет_аналитики'!AP1639</f>
        <v/>
      </c>
      <c r="AQ1793">
        <f>'19_Расчет_аналитики'!AQ1635+'19_Расчет_аналитики'!AQ1638-'19_Расчет_аналитики'!AQ1636-'19_Расчет_аналитики'!AQ1639</f>
        <v/>
      </c>
      <c r="AR1793">
        <f>'19_Расчет_аналитики'!AR1635+'19_Расчет_аналитики'!AR1638-'19_Расчет_аналитики'!AR1636-'19_Расчет_аналитики'!AR1639</f>
        <v/>
      </c>
      <c r="AS1793">
        <f>'19_Расчет_аналитики'!AS1635+'19_Расчет_аналитики'!AS1638-'19_Расчет_аналитики'!AS1636-'19_Расчет_аналитики'!AS1639</f>
        <v/>
      </c>
      <c r="AT1793">
        <f>'19_Расчет_аналитики'!AT1635+'19_Расчет_аналитики'!AT1638-'19_Расчет_аналитики'!AT1636-'19_Расчет_аналитики'!AT1639</f>
        <v/>
      </c>
      <c r="AU1793">
        <f>'19_Расчет_аналитики'!AU1635+'19_Расчет_аналитики'!AU1638-'19_Расчет_аналитики'!AU1636-'19_Расчет_аналитики'!AU1639</f>
        <v/>
      </c>
      <c r="AV1793">
        <f>'19_Расчет_аналитики'!AV1635+'19_Расчет_аналитики'!AV1638-'19_Расчет_аналитики'!AV1636-'19_Расчет_аналитики'!AV1639</f>
        <v/>
      </c>
      <c r="AW1793">
        <f>'19_Расчет_аналитики'!AW1635+'19_Расчет_аналитики'!AW1638-'19_Расчет_аналитики'!AW1636-'19_Расчет_аналитики'!AW1639</f>
        <v/>
      </c>
      <c r="AX1793">
        <f>'19_Расчет_аналитики'!AX1635+'19_Расчет_аналитики'!AX1638-'19_Расчет_аналитики'!AX1636-'19_Расчет_аналитики'!AX1639</f>
        <v/>
      </c>
      <c r="AY1793">
        <f>'19_Расчет_аналитики'!AY1635+'19_Расчет_аналитики'!AY1638-'19_Расчет_аналитики'!AY1636-'19_Расчет_аналитики'!AY1639</f>
        <v/>
      </c>
      <c r="AZ1793">
        <f>'19_Расчет_аналитики'!AZ1635+'19_Расчет_аналитики'!AZ1638-'19_Расчет_аналитики'!AZ1636-'19_Расчет_аналитики'!AZ1639</f>
        <v/>
      </c>
      <c r="BA1793">
        <f>'19_Расчет_аналитики'!BA1635+'19_Расчет_аналитики'!BA1638-'19_Расчет_аналитики'!BA1636-'19_Расчет_аналитики'!BA1639</f>
        <v/>
      </c>
      <c r="BB1793">
        <f>'19_Расчет_аналитики'!BB1635+'19_Расчет_аналитики'!BB1638-'19_Расчет_аналитики'!BB1636-'19_Расчет_аналитики'!BB1639</f>
        <v/>
      </c>
      <c r="BC1793">
        <f>'19_Расчет_аналитики'!BC1635+'19_Расчет_аналитики'!BC1638-'19_Расчет_аналитики'!BC1636-'19_Расчет_аналитики'!BC1639</f>
        <v/>
      </c>
      <c r="BD1793">
        <f>'19_Расчет_аналитики'!BD1635+'19_Расчет_аналитики'!BD1638-'19_Расчет_аналитики'!BD1636-'19_Расчет_аналитики'!BD1639</f>
        <v/>
      </c>
      <c r="BE1793">
        <f>'19_Расчет_аналитики'!BE1635+'19_Расчет_аналитики'!BE1638-'19_Расчет_аналитики'!BE1636-'19_Расчет_аналитики'!BE1639</f>
        <v/>
      </c>
      <c r="BF1793">
        <f>'19_Расчет_аналитики'!BF1635+'19_Расчет_аналитики'!BF1638-'19_Расчет_аналитики'!BF1636-'19_Расчет_аналитики'!BF1639</f>
        <v/>
      </c>
      <c r="BG1793">
        <f>'19_Расчет_аналитики'!BG1635+'19_Расчет_аналитики'!BG1638-'19_Расчет_аналитики'!BG1636-'19_Расчет_аналитики'!BG1639</f>
        <v/>
      </c>
      <c r="BH1793">
        <f>'19_Расчет_аналитики'!BH1635+'19_Расчет_аналитики'!BH1638-'19_Расчет_аналитики'!BH1636-'19_Расчет_аналитики'!BH1639</f>
        <v/>
      </c>
      <c r="BI1793">
        <f>'19_Расчет_аналитики'!BI1635+'19_Расчет_аналитики'!BI1638-'19_Расчет_аналитики'!BI1636-'19_Расчет_аналитики'!BI1639</f>
        <v/>
      </c>
    </row>
    <row r="1794">
      <c r="B1794">
        <f>0+SUM('19_Расчет_аналитики'!B1734:B1736)-'19_Расчет_аналитики'!B1767</f>
        <v/>
      </c>
      <c r="C1794">
        <f>'19_Расчет_аналитики'!B1794+SUM('19_Расчет_аналитики'!C1734:C1736)-'19_Расчет_аналитики'!C1767</f>
        <v/>
      </c>
      <c r="D1794">
        <f>'19_Расчет_аналитики'!C1794+SUM('19_Расчет_аналитики'!D1734:D1736)-'19_Расчет_аналитики'!D1767</f>
        <v/>
      </c>
      <c r="E1794">
        <f>'19_Расчет_аналитики'!D1794+SUM('19_Расчет_аналитики'!E1734:E1736)-'19_Расчет_аналитики'!E1767</f>
        <v/>
      </c>
      <c r="F1794">
        <f>'19_Расчет_аналитики'!E1794+SUM('19_Расчет_аналитики'!F1734:F1736)-'19_Расчет_аналитики'!F1767</f>
        <v/>
      </c>
      <c r="G1794">
        <f>'19_Расчет_аналитики'!F1794+SUM('19_Расчет_аналитики'!G1734:G1736)-'19_Расчет_аналитики'!G1767</f>
        <v/>
      </c>
      <c r="H1794">
        <f>'19_Расчет_аналитики'!G1794+SUM('19_Расчет_аналитики'!H1734:H1736)-'19_Расчет_аналитики'!H1767</f>
        <v/>
      </c>
      <c r="I1794">
        <f>'19_Расчет_аналитики'!H1794+SUM('19_Расчет_аналитики'!I1734:I1736)-'19_Расчет_аналитики'!I1767</f>
        <v/>
      </c>
      <c r="J1794">
        <f>'19_Расчет_аналитики'!I1794+SUM('19_Расчет_аналитики'!J1734:J1736)-'19_Расчет_аналитики'!J1767</f>
        <v/>
      </c>
      <c r="K1794">
        <f>'19_Расчет_аналитики'!J1794+SUM('19_Расчет_аналитики'!K1734:K1736)-'19_Расчет_аналитики'!K1767</f>
        <v/>
      </c>
      <c r="L1794">
        <f>'19_Расчет_аналитики'!K1794+SUM('19_Расчет_аналитики'!L1734:L1736)-'19_Расчет_аналитики'!L1767</f>
        <v/>
      </c>
      <c r="M1794">
        <f>'19_Расчет_аналитики'!L1794+SUM('19_Расчет_аналитики'!M1734:M1736)-'19_Расчет_аналитики'!M1767</f>
        <v/>
      </c>
      <c r="N1794">
        <f>'19_Расчет_аналитики'!M1794+SUM('19_Расчет_аналитики'!N1734:N1736)-'19_Расчет_аналитики'!N1767</f>
        <v/>
      </c>
      <c r="O1794">
        <f>'19_Расчет_аналитики'!N1794+SUM('19_Расчет_аналитики'!O1734:O1736)-'19_Расчет_аналитики'!O1767</f>
        <v/>
      </c>
      <c r="P1794">
        <f>'19_Расчет_аналитики'!O1794+SUM('19_Расчет_аналитики'!P1734:P1736)-'19_Расчет_аналитики'!P1767</f>
        <v/>
      </c>
      <c r="Q1794">
        <f>'19_Расчет_аналитики'!P1794+SUM('19_Расчет_аналитики'!Q1734:Q1736)-'19_Расчет_аналитики'!Q1767</f>
        <v/>
      </c>
      <c r="R1794">
        <f>'19_Расчет_аналитики'!Q1794+SUM('19_Расчет_аналитики'!R1734:R1736)-'19_Расчет_аналитики'!R1767</f>
        <v/>
      </c>
      <c r="S1794">
        <f>'19_Расчет_аналитики'!R1794+SUM('19_Расчет_аналитики'!S1734:S1736)-'19_Расчет_аналитики'!S1767</f>
        <v/>
      </c>
      <c r="T1794">
        <f>'19_Расчет_аналитики'!S1794+SUM('19_Расчет_аналитики'!T1734:T1736)-'19_Расчет_аналитики'!T1767</f>
        <v/>
      </c>
      <c r="U1794">
        <f>'19_Расчет_аналитики'!T1794+SUM('19_Расчет_аналитики'!U1734:U1736)-'19_Расчет_аналитики'!U1767</f>
        <v/>
      </c>
      <c r="V1794">
        <f>'19_Расчет_аналитики'!U1794+SUM('19_Расчет_аналитики'!V1734:V1736)-'19_Расчет_аналитики'!V1767</f>
        <v/>
      </c>
      <c r="W1794">
        <f>'19_Расчет_аналитики'!V1794+SUM('19_Расчет_аналитики'!W1734:W1736)-'19_Расчет_аналитики'!W1767</f>
        <v/>
      </c>
      <c r="X1794">
        <f>'19_Расчет_аналитики'!W1794+SUM('19_Расчет_аналитики'!X1734:X1736)-'19_Расчет_аналитики'!X1767</f>
        <v/>
      </c>
      <c r="Y1794">
        <f>'19_Расчет_аналитики'!X1794+SUM('19_Расчет_аналитики'!Y1734:Y1736)-'19_Расчет_аналитики'!Y1767</f>
        <v/>
      </c>
      <c r="Z1794">
        <f>'19_Расчет_аналитики'!Y1794+SUM('19_Расчет_аналитики'!Z1734:Z1736)-'19_Расчет_аналитики'!Z1767</f>
        <v/>
      </c>
      <c r="AA1794">
        <f>'19_Расчет_аналитики'!Z1794+SUM('19_Расчет_аналитики'!AA1734:AA1736)-'19_Расчет_аналитики'!AA1767</f>
        <v/>
      </c>
      <c r="AB1794">
        <f>'19_Расчет_аналитики'!AA1794+SUM('19_Расчет_аналитики'!AB1734:AB1736)-'19_Расчет_аналитики'!AB1767</f>
        <v/>
      </c>
      <c r="AC1794">
        <f>'19_Расчет_аналитики'!AB1794+SUM('19_Расчет_аналитики'!AC1734:AC1736)-'19_Расчет_аналитики'!AC1767</f>
        <v/>
      </c>
      <c r="AD1794">
        <f>'19_Расчет_аналитики'!AC1794+SUM('19_Расчет_аналитики'!AD1734:AD1736)-'19_Расчет_аналитики'!AD1767</f>
        <v/>
      </c>
      <c r="AE1794">
        <f>'19_Расчет_аналитики'!AD1794+SUM('19_Расчет_аналитики'!AE1734:AE1736)-'19_Расчет_аналитики'!AE1767</f>
        <v/>
      </c>
      <c r="AF1794">
        <f>'19_Расчет_аналитики'!AE1794+SUM('19_Расчет_аналитики'!AF1734:AF1736)-'19_Расчет_аналитики'!AF1767</f>
        <v/>
      </c>
      <c r="AG1794">
        <f>'19_Расчет_аналитики'!AF1794+SUM('19_Расчет_аналитики'!AG1734:AG1736)-'19_Расчет_аналитики'!AG1767</f>
        <v/>
      </c>
      <c r="AH1794">
        <f>'19_Расчет_аналитики'!AG1794+SUM('19_Расчет_аналитики'!AH1734:AH1736)-'19_Расчет_аналитики'!AH1767</f>
        <v/>
      </c>
      <c r="AI1794">
        <f>'19_Расчет_аналитики'!AH1794+SUM('19_Расчет_аналитики'!AI1734:AI1736)-'19_Расчет_аналитики'!AI1767</f>
        <v/>
      </c>
      <c r="AJ1794">
        <f>'19_Расчет_аналитики'!AI1794+SUM('19_Расчет_аналитики'!AJ1734:AJ1736)-'19_Расчет_аналитики'!AJ1767</f>
        <v/>
      </c>
      <c r="AK1794">
        <f>'19_Расчет_аналитики'!AJ1794+SUM('19_Расчет_аналитики'!AK1734:AK1736)-'19_Расчет_аналитики'!AK1767</f>
        <v/>
      </c>
      <c r="AL1794">
        <f>'19_Расчет_аналитики'!AK1794+SUM('19_Расчет_аналитики'!AL1734:AL1736)-'19_Расчет_аналитики'!AL1767</f>
        <v/>
      </c>
      <c r="AM1794">
        <f>'19_Расчет_аналитики'!AL1794+SUM('19_Расчет_аналитики'!AM1734:AM1736)-'19_Расчет_аналитики'!AM1767</f>
        <v/>
      </c>
      <c r="AN1794">
        <f>'19_Расчет_аналитики'!AM1794+SUM('19_Расчет_аналитики'!AN1734:AN1736)-'19_Расчет_аналитики'!AN1767</f>
        <v/>
      </c>
      <c r="AO1794">
        <f>'19_Расчет_аналитики'!AN1794+SUM('19_Расчет_аналитики'!AO1734:AO1736)-'19_Расчет_аналитики'!AO1767</f>
        <v/>
      </c>
      <c r="AP1794">
        <f>'19_Расчет_аналитики'!AO1794+SUM('19_Расчет_аналитики'!AP1734:AP1736)-'19_Расчет_аналитики'!AP1767</f>
        <v/>
      </c>
      <c r="AQ1794">
        <f>'19_Расчет_аналитики'!AP1794+SUM('19_Расчет_аналитики'!AQ1734:AQ1736)-'19_Расчет_аналитики'!AQ1767</f>
        <v/>
      </c>
      <c r="AR1794">
        <f>'19_Расчет_аналитики'!AQ1794+SUM('19_Расчет_аналитики'!AR1734:AR1736)-'19_Расчет_аналитики'!AR1767</f>
        <v/>
      </c>
      <c r="AS1794">
        <f>'19_Расчет_аналитики'!AR1794+SUM('19_Расчет_аналитики'!AS1734:AS1736)-'19_Расчет_аналитики'!AS1767</f>
        <v/>
      </c>
      <c r="AT1794">
        <f>'19_Расчет_аналитики'!AS1794+SUM('19_Расчет_аналитики'!AT1734:AT1736)-'19_Расчет_аналитики'!AT1767</f>
        <v/>
      </c>
      <c r="AU1794">
        <f>'19_Расчет_аналитики'!AT1794+SUM('19_Расчет_аналитики'!AU1734:AU1736)-'19_Расчет_аналитики'!AU1767</f>
        <v/>
      </c>
      <c r="AV1794">
        <f>'19_Расчет_аналитики'!AU1794+SUM('19_Расчет_аналитики'!AV1734:AV1736)-'19_Расчет_аналитики'!AV1767</f>
        <v/>
      </c>
      <c r="AW1794">
        <f>'19_Расчет_аналитики'!AV1794+SUM('19_Расчет_аналитики'!AW1734:AW1736)-'19_Расчет_аналитики'!AW1767</f>
        <v/>
      </c>
      <c r="AX1794">
        <f>'19_Расчет_аналитики'!AW1794+SUM('19_Расчет_аналитики'!AX1734:AX1736)-'19_Расчет_аналитики'!AX1767</f>
        <v/>
      </c>
      <c r="AY1794">
        <f>'19_Расчет_аналитики'!AX1794+SUM('19_Расчет_аналитики'!AY1734:AY1736)-'19_Расчет_аналитики'!AY1767</f>
        <v/>
      </c>
      <c r="AZ1794">
        <f>'19_Расчет_аналитики'!AY1794+SUM('19_Расчет_аналитики'!AZ1734:AZ1736)-'19_Расчет_аналитики'!AZ1767</f>
        <v/>
      </c>
      <c r="BA1794">
        <f>'19_Расчет_аналитики'!AZ1794+SUM('19_Расчет_аналитики'!BA1734:BA1736)-'19_Расчет_аналитики'!BA1767</f>
        <v/>
      </c>
      <c r="BB1794">
        <f>'19_Расчет_аналитики'!BA1794+SUM('19_Расчет_аналитики'!BB1734:BB1736)-'19_Расчет_аналитики'!BB1767</f>
        <v/>
      </c>
      <c r="BC1794">
        <f>'19_Расчет_аналитики'!BB1794+SUM('19_Расчет_аналитики'!BC1734:BC1736)-'19_Расчет_аналитики'!BC1767</f>
        <v/>
      </c>
      <c r="BD1794">
        <f>'19_Расчет_аналитики'!BC1794+SUM('19_Расчет_аналитики'!BD1734:BD1736)-'19_Расчет_аналитики'!BD1767</f>
        <v/>
      </c>
      <c r="BE1794">
        <f>'19_Расчет_аналитики'!BD1794+SUM('19_Расчет_аналитики'!BE1734:BE1736)-'19_Расчет_аналитики'!BE1767</f>
        <v/>
      </c>
      <c r="BF1794">
        <f>'19_Расчет_аналитики'!BE1794+SUM('19_Расчет_аналитики'!BF1734:BF1736)-'19_Расчет_аналитики'!BF1767</f>
        <v/>
      </c>
      <c r="BG1794">
        <f>'19_Расчет_аналитики'!BF1794+SUM('19_Расчет_аналитики'!BG1734:BG1736)-'19_Расчет_аналитики'!BG1767</f>
        <v/>
      </c>
      <c r="BH1794">
        <f>'19_Расчет_аналитики'!BG1794+SUM('19_Расчет_аналитики'!BH1734:BH1736)-'19_Расчет_аналитики'!BH1767</f>
        <v/>
      </c>
      <c r="BI1794">
        <f>'19_Расчет_аналитики'!BH1794+SUM('19_Расчет_аналитики'!BI1734:BI1736)-'19_Расчет_аналитики'!BI1767</f>
        <v/>
      </c>
    </row>
    <row r="1795"/>
    <row r="1796"/>
    <row r="1797"/>
    <row r="1798"/>
    <row r="1799">
      <c r="B1799">
        <f>MAX(0,'19_Расчет_аналитики'!B1775-'01_Вводные'!$B$237)</f>
        <v/>
      </c>
      <c r="C1799">
        <f>MAX(0,'19_Расчет_аналитики'!C1775-'01_Вводные'!$B$237)</f>
        <v/>
      </c>
      <c r="D1799">
        <f>MAX(0,'19_Расчет_аналитики'!D1775-'01_Вводные'!$B$237)</f>
        <v/>
      </c>
      <c r="E1799">
        <f>MAX(0,'19_Расчет_аналитики'!E1775-'01_Вводные'!$B$237)</f>
        <v/>
      </c>
      <c r="F1799">
        <f>MAX(0,'19_Расчет_аналитики'!F1775-'01_Вводные'!$B$237)</f>
        <v/>
      </c>
      <c r="G1799">
        <f>MAX(0,'19_Расчет_аналитики'!G1775-'01_Вводные'!$B$237)</f>
        <v/>
      </c>
      <c r="H1799">
        <f>MAX(0,'19_Расчет_аналитики'!H1775-'01_Вводные'!$B$237)</f>
        <v/>
      </c>
      <c r="I1799">
        <f>MAX(0,'19_Расчет_аналитики'!I1775-'01_Вводные'!$B$237)</f>
        <v/>
      </c>
      <c r="J1799">
        <f>MAX(0,'19_Расчет_аналитики'!J1775-'01_Вводные'!$B$237)</f>
        <v/>
      </c>
      <c r="K1799">
        <f>MAX(0,'19_Расчет_аналитики'!K1775-'01_Вводные'!$B$237)</f>
        <v/>
      </c>
      <c r="L1799">
        <f>MAX(0,'19_Расчет_аналитики'!L1775-'01_Вводные'!$B$237)</f>
        <v/>
      </c>
      <c r="M1799">
        <f>MAX(0,'19_Расчет_аналитики'!M1775-'01_Вводные'!$B$237)</f>
        <v/>
      </c>
      <c r="N1799">
        <f>MAX(0,'19_Расчет_аналитики'!N1775-'01_Вводные'!$B$237)</f>
        <v/>
      </c>
      <c r="O1799">
        <f>MAX(0,'19_Расчет_аналитики'!O1775-'01_Вводные'!$B$237)</f>
        <v/>
      </c>
      <c r="P1799">
        <f>MAX(0,'19_Расчет_аналитики'!P1775-'01_Вводные'!$B$237)</f>
        <v/>
      </c>
      <c r="Q1799">
        <f>MAX(0,'19_Расчет_аналитики'!Q1775-'01_Вводные'!$B$237)</f>
        <v/>
      </c>
      <c r="R1799">
        <f>MAX(0,'19_Расчет_аналитики'!R1775-'01_Вводные'!$B$237)</f>
        <v/>
      </c>
      <c r="S1799">
        <f>MAX(0,'19_Расчет_аналитики'!S1775-'01_Вводные'!$B$237)</f>
        <v/>
      </c>
      <c r="T1799">
        <f>MAX(0,'19_Расчет_аналитики'!T1775-'01_Вводные'!$B$237)</f>
        <v/>
      </c>
      <c r="U1799">
        <f>MAX(0,'19_Расчет_аналитики'!U1775-'01_Вводные'!$B$237)</f>
        <v/>
      </c>
      <c r="V1799">
        <f>MAX(0,'19_Расчет_аналитики'!V1775-'01_Вводные'!$B$237)</f>
        <v/>
      </c>
      <c r="W1799">
        <f>MAX(0,'19_Расчет_аналитики'!W1775-'01_Вводные'!$B$237)</f>
        <v/>
      </c>
      <c r="X1799">
        <f>MAX(0,'19_Расчет_аналитики'!X1775-'01_Вводные'!$B$237)</f>
        <v/>
      </c>
      <c r="Y1799">
        <f>MAX(0,'19_Расчет_аналитики'!Y1775-'01_Вводные'!$B$237)</f>
        <v/>
      </c>
      <c r="Z1799">
        <f>MAX(0,'19_Расчет_аналитики'!Z1775-'01_Вводные'!$B$237)</f>
        <v/>
      </c>
      <c r="AA1799">
        <f>MAX(0,'19_Расчет_аналитики'!AA1775-'01_Вводные'!$B$237)</f>
        <v/>
      </c>
      <c r="AB1799">
        <f>MAX(0,'19_Расчет_аналитики'!AB1775-'01_Вводные'!$B$237)</f>
        <v/>
      </c>
      <c r="AC1799">
        <f>MAX(0,'19_Расчет_аналитики'!AC1775-'01_Вводные'!$B$237)</f>
        <v/>
      </c>
      <c r="AD1799">
        <f>MAX(0,'19_Расчет_аналитики'!AD1775-'01_Вводные'!$B$237)</f>
        <v/>
      </c>
      <c r="AE1799">
        <f>MAX(0,'19_Расчет_аналитики'!AE1775-'01_Вводные'!$B$237)</f>
        <v/>
      </c>
      <c r="AF1799">
        <f>MAX(0,'19_Расчет_аналитики'!AF1775-'01_Вводные'!$B$237)</f>
        <v/>
      </c>
      <c r="AG1799">
        <f>MAX(0,'19_Расчет_аналитики'!AG1775-'01_Вводные'!$B$237)</f>
        <v/>
      </c>
      <c r="AH1799">
        <f>MAX(0,'19_Расчет_аналитики'!AH1775-'01_Вводные'!$B$237)</f>
        <v/>
      </c>
      <c r="AI1799">
        <f>MAX(0,'19_Расчет_аналитики'!AI1775-'01_Вводные'!$B$237)</f>
        <v/>
      </c>
      <c r="AJ1799">
        <f>MAX(0,'19_Расчет_аналитики'!AJ1775-'01_Вводные'!$B$237)</f>
        <v/>
      </c>
      <c r="AK1799">
        <f>MAX(0,'19_Расчет_аналитики'!AK1775-'01_Вводные'!$B$237)</f>
        <v/>
      </c>
      <c r="AL1799">
        <f>MAX(0,'19_Расчет_аналитики'!AL1775-'01_Вводные'!$B$237)</f>
        <v/>
      </c>
      <c r="AM1799">
        <f>MAX(0,'19_Расчет_аналитики'!AM1775-'01_Вводные'!$B$237)</f>
        <v/>
      </c>
      <c r="AN1799">
        <f>MAX(0,'19_Расчет_аналитики'!AN1775-'01_Вводные'!$B$237)</f>
        <v/>
      </c>
      <c r="AO1799">
        <f>MAX(0,'19_Расчет_аналитики'!AO1775-'01_Вводные'!$B$237)</f>
        <v/>
      </c>
      <c r="AP1799">
        <f>MAX(0,'19_Расчет_аналитики'!AP1775-'01_Вводные'!$B$237)</f>
        <v/>
      </c>
      <c r="AQ1799">
        <f>MAX(0,'19_Расчет_аналитики'!AQ1775-'01_Вводные'!$B$237)</f>
        <v/>
      </c>
      <c r="AR1799">
        <f>MAX(0,'19_Расчет_аналитики'!AR1775-'01_Вводные'!$B$237)</f>
        <v/>
      </c>
      <c r="AS1799">
        <f>MAX(0,'19_Расчет_аналитики'!AS1775-'01_Вводные'!$B$237)</f>
        <v/>
      </c>
      <c r="AT1799">
        <f>MAX(0,'19_Расчет_аналитики'!AT1775-'01_Вводные'!$B$237)</f>
        <v/>
      </c>
      <c r="AU1799">
        <f>MAX(0,'19_Расчет_аналитики'!AU1775-'01_Вводные'!$B$237)</f>
        <v/>
      </c>
      <c r="AV1799">
        <f>MAX(0,'19_Расчет_аналитики'!AV1775-'01_Вводные'!$B$237)</f>
        <v/>
      </c>
      <c r="AW1799">
        <f>MAX(0,'19_Расчет_аналитики'!AW1775-'01_Вводные'!$B$237)</f>
        <v/>
      </c>
      <c r="AX1799">
        <f>MAX(0,'19_Расчет_аналитики'!AX1775-'01_Вводные'!$B$237)</f>
        <v/>
      </c>
      <c r="AY1799">
        <f>MAX(0,'19_Расчет_аналитики'!AY1775-'01_Вводные'!$B$237)</f>
        <v/>
      </c>
      <c r="AZ1799">
        <f>MAX(0,'19_Расчет_аналитики'!AZ1775-'01_Вводные'!$B$237)</f>
        <v/>
      </c>
      <c r="BA1799">
        <f>MAX(0,'19_Расчет_аналитики'!BA1775-'01_Вводные'!$B$237)</f>
        <v/>
      </c>
      <c r="BB1799">
        <f>MAX(0,'19_Расчет_аналитики'!BB1775-'01_Вводные'!$B$237)</f>
        <v/>
      </c>
      <c r="BC1799">
        <f>MAX(0,'19_Расчет_аналитики'!BC1775-'01_Вводные'!$B$237)</f>
        <v/>
      </c>
      <c r="BD1799">
        <f>MAX(0,'19_Расчет_аналитики'!BD1775-'01_Вводные'!$B$237)</f>
        <v/>
      </c>
      <c r="BE1799">
        <f>MAX(0,'19_Расчет_аналитики'!BE1775-'01_Вводные'!$B$237)</f>
        <v/>
      </c>
      <c r="BF1799">
        <f>MAX(0,'19_Расчет_аналитики'!BF1775-'01_Вводные'!$B$237)</f>
        <v/>
      </c>
      <c r="BG1799">
        <f>MAX(0,'19_Расчет_аналитики'!BG1775-'01_Вводные'!$B$237)</f>
        <v/>
      </c>
      <c r="BH1799">
        <f>MAX(0,'19_Расчет_аналитики'!BH1775-'01_Вводные'!$B$237)</f>
        <v/>
      </c>
      <c r="BI1799">
        <f>MAX(0,'19_Расчет_аналитики'!BI1775-'01_Вводные'!$B$237)</f>
        <v/>
      </c>
    </row>
    <row r="1800"/>
    <row r="1801"/>
    <row r="1802">
      <c r="B1802">
        <f>IF('01_Вводные'!$B$288="С НДС",SUM('19_Расчет_аналитики'!B1724:B1727)*(1+'01_Вводные'!$B$58)+'09_Лагеря'!B10,'19_Расчет_аналитики'!B1729)</f>
        <v/>
      </c>
      <c r="C1802">
        <f>IF('01_Вводные'!$B$288="С НДС",SUM('19_Расчет_аналитики'!C1724:C1727)*(1+'01_Вводные'!$B$58)+'09_Лагеря'!C10,'19_Расчет_аналитики'!C1729)</f>
        <v/>
      </c>
      <c r="D1802">
        <f>IF('01_Вводные'!$B$288="С НДС",SUM('19_Расчет_аналитики'!D1724:D1727)*(1+'01_Вводные'!$B$58)+'09_Лагеря'!D10,'19_Расчет_аналитики'!D1729)</f>
        <v/>
      </c>
      <c r="E1802">
        <f>IF('01_Вводные'!$B$288="С НДС",SUM('19_Расчет_аналитики'!E1724:E1727)*(1+'01_Вводные'!$B$58)+'09_Лагеря'!E10,'19_Расчет_аналитики'!E1729)</f>
        <v/>
      </c>
      <c r="F1802">
        <f>IF('01_Вводные'!$B$288="С НДС",SUM('19_Расчет_аналитики'!F1724:F1727)*(1+'01_Вводные'!$B$58)+'09_Лагеря'!F10,'19_Расчет_аналитики'!F1729)</f>
        <v/>
      </c>
      <c r="G1802">
        <f>IF('01_Вводные'!$B$288="С НДС",SUM('19_Расчет_аналитики'!G1724:G1727)*(1+'01_Вводные'!$B$58)+'09_Лагеря'!G10,'19_Расчет_аналитики'!G1729)</f>
        <v/>
      </c>
      <c r="H1802">
        <f>IF('01_Вводные'!$B$288="С НДС",SUM('19_Расчет_аналитики'!H1724:H1727)*(1+'01_Вводные'!$B$58)+'09_Лагеря'!H10,'19_Расчет_аналитики'!H1729)</f>
        <v/>
      </c>
      <c r="I1802">
        <f>IF('01_Вводные'!$B$288="С НДС",SUM('19_Расчет_аналитики'!I1724:I1727)*(1+'01_Вводные'!$B$58)+'09_Лагеря'!I10,'19_Расчет_аналитики'!I1729)</f>
        <v/>
      </c>
      <c r="J1802">
        <f>IF('01_Вводные'!$B$288="С НДС",SUM('19_Расчет_аналитики'!J1724:J1727)*(1+'01_Вводные'!$B$58)+'09_Лагеря'!J10,'19_Расчет_аналитики'!J1729)</f>
        <v/>
      </c>
      <c r="K1802">
        <f>IF('01_Вводные'!$B$288="С НДС",SUM('19_Расчет_аналитики'!K1724:K1727)*(1+'01_Вводные'!$B$58)+'09_Лагеря'!K10,'19_Расчет_аналитики'!K1729)</f>
        <v/>
      </c>
      <c r="L1802">
        <f>IF('01_Вводные'!$B$288="С НДС",SUM('19_Расчет_аналитики'!L1724:L1727)*(1+'01_Вводные'!$B$58)+'09_Лагеря'!L10,'19_Расчет_аналитики'!L1729)</f>
        <v/>
      </c>
      <c r="M1802">
        <f>IF('01_Вводные'!$B$288="С НДС",SUM('19_Расчет_аналитики'!M1724:M1727)*(1+'01_Вводные'!$B$58)+'09_Лагеря'!M10,'19_Расчет_аналитики'!M1729)</f>
        <v/>
      </c>
      <c r="N1802">
        <f>IF('01_Вводные'!$B$288="С НДС",SUM('19_Расчет_аналитики'!N1724:N1727)*(1+'01_Вводные'!$B$58)+'09_Лагеря'!N10,'19_Расчет_аналитики'!N1729)</f>
        <v/>
      </c>
      <c r="O1802">
        <f>IF('01_Вводные'!$B$288="С НДС",SUM('19_Расчет_аналитики'!O1724:O1727)*(1+'01_Вводные'!$B$58)+'09_Лагеря'!O10,'19_Расчет_аналитики'!O1729)</f>
        <v/>
      </c>
      <c r="P1802">
        <f>IF('01_Вводные'!$B$288="С НДС",SUM('19_Расчет_аналитики'!P1724:P1727)*(1+'01_Вводные'!$B$58)+'09_Лагеря'!P10,'19_Расчет_аналитики'!P1729)</f>
        <v/>
      </c>
      <c r="Q1802">
        <f>IF('01_Вводные'!$B$288="С НДС",SUM('19_Расчет_аналитики'!Q1724:Q1727)*(1+'01_Вводные'!$B$58)+'09_Лагеря'!Q10,'19_Расчет_аналитики'!Q1729)</f>
        <v/>
      </c>
      <c r="R1802">
        <f>IF('01_Вводные'!$B$288="С НДС",SUM('19_Расчет_аналитики'!R1724:R1727)*(1+'01_Вводные'!$B$58)+'09_Лагеря'!R10,'19_Расчет_аналитики'!R1729)</f>
        <v/>
      </c>
      <c r="S1802">
        <f>IF('01_Вводные'!$B$288="С НДС",SUM('19_Расчет_аналитики'!S1724:S1727)*(1+'01_Вводные'!$B$58)+'09_Лагеря'!S10,'19_Расчет_аналитики'!S1729)</f>
        <v/>
      </c>
      <c r="T1802">
        <f>IF('01_Вводные'!$B$288="С НДС",SUM('19_Расчет_аналитики'!T1724:T1727)*(1+'01_Вводные'!$B$58)+'09_Лагеря'!T10,'19_Расчет_аналитики'!T1729)</f>
        <v/>
      </c>
      <c r="U1802">
        <f>IF('01_Вводные'!$B$288="С НДС",SUM('19_Расчет_аналитики'!U1724:U1727)*(1+'01_Вводные'!$B$58)+'09_Лагеря'!U10,'19_Расчет_аналитики'!U1729)</f>
        <v/>
      </c>
      <c r="V1802">
        <f>IF('01_Вводные'!$B$288="С НДС",SUM('19_Расчет_аналитики'!V1724:V1727)*(1+'01_Вводные'!$B$58)+'09_Лагеря'!V10,'19_Расчет_аналитики'!V1729)</f>
        <v/>
      </c>
      <c r="W1802">
        <f>IF('01_Вводные'!$B$288="С НДС",SUM('19_Расчет_аналитики'!W1724:W1727)*(1+'01_Вводные'!$B$58)+'09_Лагеря'!W10,'19_Расчет_аналитики'!W1729)</f>
        <v/>
      </c>
      <c r="X1802">
        <f>IF('01_Вводные'!$B$288="С НДС",SUM('19_Расчет_аналитики'!X1724:X1727)*(1+'01_Вводные'!$B$58)+'09_Лагеря'!X10,'19_Расчет_аналитики'!X1729)</f>
        <v/>
      </c>
      <c r="Y1802">
        <f>IF('01_Вводные'!$B$288="С НДС",SUM('19_Расчет_аналитики'!Y1724:Y1727)*(1+'01_Вводные'!$B$58)+'09_Лагеря'!Y10,'19_Расчет_аналитики'!Y1729)</f>
        <v/>
      </c>
      <c r="Z1802">
        <f>IF('01_Вводные'!$B$288="С НДС",SUM('19_Расчет_аналитики'!Z1724:Z1727)*(1+'01_Вводные'!$B$58)+'09_Лагеря'!Z10,'19_Расчет_аналитики'!Z1729)</f>
        <v/>
      </c>
      <c r="AA1802">
        <f>IF('01_Вводные'!$B$288="С НДС",SUM('19_Расчет_аналитики'!AA1724:AA1727)*(1+'01_Вводные'!$B$58)+'09_Лагеря'!AA10,'19_Расчет_аналитики'!AA1729)</f>
        <v/>
      </c>
      <c r="AB1802">
        <f>IF('01_Вводные'!$B$288="С НДС",SUM('19_Расчет_аналитики'!AB1724:AB1727)*(1+'01_Вводные'!$B$58)+'09_Лагеря'!AB10,'19_Расчет_аналитики'!AB1729)</f>
        <v/>
      </c>
      <c r="AC1802">
        <f>IF('01_Вводные'!$B$288="С НДС",SUM('19_Расчет_аналитики'!AC1724:AC1727)*(1+'01_Вводные'!$B$58)+'09_Лагеря'!AC10,'19_Расчет_аналитики'!AC1729)</f>
        <v/>
      </c>
      <c r="AD1802">
        <f>IF('01_Вводные'!$B$288="С НДС",SUM('19_Расчет_аналитики'!AD1724:AD1727)*(1+'01_Вводные'!$B$58)+'09_Лагеря'!AD10,'19_Расчет_аналитики'!AD1729)</f>
        <v/>
      </c>
      <c r="AE1802">
        <f>IF('01_Вводные'!$B$288="С НДС",SUM('19_Расчет_аналитики'!AE1724:AE1727)*(1+'01_Вводные'!$B$58)+'09_Лагеря'!AE10,'19_Расчет_аналитики'!AE1729)</f>
        <v/>
      </c>
      <c r="AF1802">
        <f>IF('01_Вводные'!$B$288="С НДС",SUM('19_Расчет_аналитики'!AF1724:AF1727)*(1+'01_Вводные'!$B$58)+'09_Лагеря'!AF10,'19_Расчет_аналитики'!AF1729)</f>
        <v/>
      </c>
      <c r="AG1802">
        <f>IF('01_Вводные'!$B$288="С НДС",SUM('19_Расчет_аналитики'!AG1724:AG1727)*(1+'01_Вводные'!$B$58)+'09_Лагеря'!AG10,'19_Расчет_аналитики'!AG1729)</f>
        <v/>
      </c>
      <c r="AH1802">
        <f>IF('01_Вводные'!$B$288="С НДС",SUM('19_Расчет_аналитики'!AH1724:AH1727)*(1+'01_Вводные'!$B$58)+'09_Лагеря'!AH10,'19_Расчет_аналитики'!AH1729)</f>
        <v/>
      </c>
      <c r="AI1802">
        <f>IF('01_Вводные'!$B$288="С НДС",SUM('19_Расчет_аналитики'!AI1724:AI1727)*(1+'01_Вводные'!$B$58)+'09_Лагеря'!AI10,'19_Расчет_аналитики'!AI1729)</f>
        <v/>
      </c>
      <c r="AJ1802">
        <f>IF('01_Вводные'!$B$288="С НДС",SUM('19_Расчет_аналитики'!AJ1724:AJ1727)*(1+'01_Вводные'!$B$58)+'09_Лагеря'!AJ10,'19_Расчет_аналитики'!AJ1729)</f>
        <v/>
      </c>
      <c r="AK1802">
        <f>IF('01_Вводные'!$B$288="С НДС",SUM('19_Расчет_аналитики'!AK1724:AK1727)*(1+'01_Вводные'!$B$58)+'09_Лагеря'!AK10,'19_Расчет_аналитики'!AK1729)</f>
        <v/>
      </c>
      <c r="AL1802">
        <f>IF('01_Вводные'!$B$288="С НДС",SUM('19_Расчет_аналитики'!AL1724:AL1727)*(1+'01_Вводные'!$B$58)+'09_Лагеря'!AL10,'19_Расчет_аналитики'!AL1729)</f>
        <v/>
      </c>
      <c r="AM1802">
        <f>IF('01_Вводные'!$B$288="С НДС",SUM('19_Расчет_аналитики'!AM1724:AM1727)*(1+'01_Вводные'!$B$58)+'09_Лагеря'!AM10,'19_Расчет_аналитики'!AM1729)</f>
        <v/>
      </c>
      <c r="AN1802">
        <f>IF('01_Вводные'!$B$288="С НДС",SUM('19_Расчет_аналитики'!AN1724:AN1727)*(1+'01_Вводные'!$B$58)+'09_Лагеря'!AN10,'19_Расчет_аналитики'!AN1729)</f>
        <v/>
      </c>
      <c r="AO1802">
        <f>IF('01_Вводные'!$B$288="С НДС",SUM('19_Расчет_аналитики'!AO1724:AO1727)*(1+'01_Вводные'!$B$58)+'09_Лагеря'!AO10,'19_Расчет_аналитики'!AO1729)</f>
        <v/>
      </c>
      <c r="AP1802">
        <f>IF('01_Вводные'!$B$288="С НДС",SUM('19_Расчет_аналитики'!AP1724:AP1727)*(1+'01_Вводные'!$B$58)+'09_Лагеря'!AP10,'19_Расчет_аналитики'!AP1729)</f>
        <v/>
      </c>
      <c r="AQ1802">
        <f>IF('01_Вводные'!$B$288="С НДС",SUM('19_Расчет_аналитики'!AQ1724:AQ1727)*(1+'01_Вводные'!$B$58)+'09_Лагеря'!AQ10,'19_Расчет_аналитики'!AQ1729)</f>
        <v/>
      </c>
      <c r="AR1802">
        <f>IF('01_Вводные'!$B$288="С НДС",SUM('19_Расчет_аналитики'!AR1724:AR1727)*(1+'01_Вводные'!$B$58)+'09_Лагеря'!AR10,'19_Расчет_аналитики'!AR1729)</f>
        <v/>
      </c>
      <c r="AS1802">
        <f>IF('01_Вводные'!$B$288="С НДС",SUM('19_Расчет_аналитики'!AS1724:AS1727)*(1+'01_Вводные'!$B$58)+'09_Лагеря'!AS10,'19_Расчет_аналитики'!AS1729)</f>
        <v/>
      </c>
      <c r="AT1802">
        <f>IF('01_Вводные'!$B$288="С НДС",SUM('19_Расчет_аналитики'!AT1724:AT1727)*(1+'01_Вводные'!$B$58)+'09_Лагеря'!AT10,'19_Расчет_аналитики'!AT1729)</f>
        <v/>
      </c>
      <c r="AU1802">
        <f>IF('01_Вводные'!$B$288="С НДС",SUM('19_Расчет_аналитики'!AU1724:AU1727)*(1+'01_Вводные'!$B$58)+'09_Лагеря'!AU10,'19_Расчет_аналитики'!AU1729)</f>
        <v/>
      </c>
      <c r="AV1802">
        <f>IF('01_Вводные'!$B$288="С НДС",SUM('19_Расчет_аналитики'!AV1724:AV1727)*(1+'01_Вводные'!$B$58)+'09_Лагеря'!AV10,'19_Расчет_аналитики'!AV1729)</f>
        <v/>
      </c>
      <c r="AW1802">
        <f>IF('01_Вводные'!$B$288="С НДС",SUM('19_Расчет_аналитики'!AW1724:AW1727)*(1+'01_Вводные'!$B$58)+'09_Лагеря'!AW10,'19_Расчет_аналитики'!AW1729)</f>
        <v/>
      </c>
      <c r="AX1802">
        <f>IF('01_Вводные'!$B$288="С НДС",SUM('19_Расчет_аналитики'!AX1724:AX1727)*(1+'01_Вводные'!$B$58)+'09_Лагеря'!AX10,'19_Расчет_аналитики'!AX1729)</f>
        <v/>
      </c>
      <c r="AY1802">
        <f>IF('01_Вводные'!$B$288="С НДС",SUM('19_Расчет_аналитики'!AY1724:AY1727)*(1+'01_Вводные'!$B$58)+'09_Лагеря'!AY10,'19_Расчет_аналитики'!AY1729)</f>
        <v/>
      </c>
      <c r="AZ1802">
        <f>IF('01_Вводные'!$B$288="С НДС",SUM('19_Расчет_аналитики'!AZ1724:AZ1727)*(1+'01_Вводные'!$B$58)+'09_Лагеря'!AZ10,'19_Расчет_аналитики'!AZ1729)</f>
        <v/>
      </c>
      <c r="BA1802">
        <f>IF('01_Вводные'!$B$288="С НДС",SUM('19_Расчет_аналитики'!BA1724:BA1727)*(1+'01_Вводные'!$B$58)+'09_Лагеря'!BA10,'19_Расчет_аналитики'!BA1729)</f>
        <v/>
      </c>
      <c r="BB1802">
        <f>IF('01_Вводные'!$B$288="С НДС",SUM('19_Расчет_аналитики'!BB1724:BB1727)*(1+'01_Вводные'!$B$58)+'09_Лагеря'!BB10,'19_Расчет_аналитики'!BB1729)</f>
        <v/>
      </c>
      <c r="BC1802">
        <f>IF('01_Вводные'!$B$288="С НДС",SUM('19_Расчет_аналитики'!BC1724:BC1727)*(1+'01_Вводные'!$B$58)+'09_Лагеря'!BC10,'19_Расчет_аналитики'!BC1729)</f>
        <v/>
      </c>
      <c r="BD1802">
        <f>IF('01_Вводные'!$B$288="С НДС",SUM('19_Расчет_аналитики'!BD1724:BD1727)*(1+'01_Вводные'!$B$58)+'09_Лагеря'!BD10,'19_Расчет_аналитики'!BD1729)</f>
        <v/>
      </c>
      <c r="BE1802">
        <f>IF('01_Вводные'!$B$288="С НДС",SUM('19_Расчет_аналитики'!BE1724:BE1727)*(1+'01_Вводные'!$B$58)+'09_Лагеря'!BE10,'19_Расчет_аналитики'!BE1729)</f>
        <v/>
      </c>
      <c r="BF1802">
        <f>IF('01_Вводные'!$B$288="С НДС",SUM('19_Расчет_аналитики'!BF1724:BF1727)*(1+'01_Вводные'!$B$58)+'09_Лагеря'!BF10,'19_Расчет_аналитики'!BF1729)</f>
        <v/>
      </c>
      <c r="BG1802">
        <f>IF('01_Вводные'!$B$288="С НДС",SUM('19_Расчет_аналитики'!BG1724:BG1727)*(1+'01_Вводные'!$B$58)+'09_Лагеря'!BG10,'19_Расчет_аналитики'!BG1729)</f>
        <v/>
      </c>
      <c r="BH1802">
        <f>IF('01_Вводные'!$B$288="С НДС",SUM('19_Расчет_аналитики'!BH1724:BH1727)*(1+'01_Вводные'!$B$58)+'09_Лагеря'!BH10,'19_Расчет_аналитики'!BH1729)</f>
        <v/>
      </c>
      <c r="BI1802">
        <f>IF('01_Вводные'!$B$288="С НДС",SUM('19_Расчет_аналитики'!BI1724:BI1727)*(1+'01_Вводные'!$B$58)+'09_Лагеря'!BI10,'19_Расчет_аналитики'!BI1729)</f>
        <v/>
      </c>
    </row>
    <row r="1803">
      <c r="B1803">
        <f>IF('01_Вводные'!$B$290="Да",'19_Расчет_аналитики'!B1802*'01_Вводные'!$B$286,0)</f>
        <v/>
      </c>
      <c r="C1803">
        <f>IF('01_Вводные'!$B$290="Да",'19_Расчет_аналитики'!C1802*'01_Вводные'!$B$286,0)</f>
        <v/>
      </c>
      <c r="D1803">
        <f>IF('01_Вводные'!$B$290="Да",'19_Расчет_аналитики'!D1802*'01_Вводные'!$B$286,0)</f>
        <v/>
      </c>
      <c r="E1803">
        <f>IF('01_Вводные'!$B$290="Да",'19_Расчет_аналитики'!E1802*'01_Вводные'!$B$286,0)</f>
        <v/>
      </c>
      <c r="F1803">
        <f>IF('01_Вводные'!$B$290="Да",'19_Расчет_аналитики'!F1802*'01_Вводные'!$B$286,0)</f>
        <v/>
      </c>
      <c r="G1803">
        <f>IF('01_Вводные'!$B$290="Да",'19_Расчет_аналитики'!G1802*'01_Вводные'!$B$286,0)</f>
        <v/>
      </c>
      <c r="H1803">
        <f>IF('01_Вводные'!$B$290="Да",'19_Расчет_аналитики'!H1802*'01_Вводные'!$B$286,0)</f>
        <v/>
      </c>
      <c r="I1803">
        <f>IF('01_Вводные'!$B$290="Да",'19_Расчет_аналитики'!I1802*'01_Вводные'!$B$286,0)</f>
        <v/>
      </c>
      <c r="J1803">
        <f>IF('01_Вводные'!$B$290="Да",'19_Расчет_аналитики'!J1802*'01_Вводные'!$B$286,0)</f>
        <v/>
      </c>
      <c r="K1803">
        <f>IF('01_Вводные'!$B$290="Да",'19_Расчет_аналитики'!K1802*'01_Вводные'!$B$286,0)</f>
        <v/>
      </c>
      <c r="L1803">
        <f>IF('01_Вводные'!$B$290="Да",'19_Расчет_аналитики'!L1802*'01_Вводные'!$B$286,0)</f>
        <v/>
      </c>
      <c r="M1803">
        <f>IF('01_Вводные'!$B$290="Да",'19_Расчет_аналитики'!M1802*'01_Вводные'!$B$286,0)</f>
        <v/>
      </c>
      <c r="N1803">
        <f>IF('01_Вводные'!$B$290="Да",'19_Расчет_аналитики'!N1802*'01_Вводные'!$B$286,0)</f>
        <v/>
      </c>
      <c r="O1803">
        <f>IF('01_Вводные'!$B$290="Да",'19_Расчет_аналитики'!O1802*'01_Вводные'!$B$286,0)</f>
        <v/>
      </c>
      <c r="P1803">
        <f>IF('01_Вводные'!$B$290="Да",'19_Расчет_аналитики'!P1802*'01_Вводные'!$B$286,0)</f>
        <v/>
      </c>
      <c r="Q1803">
        <f>IF('01_Вводные'!$B$290="Да",'19_Расчет_аналитики'!Q1802*'01_Вводные'!$B$286,0)</f>
        <v/>
      </c>
      <c r="R1803">
        <f>IF('01_Вводные'!$B$290="Да",'19_Расчет_аналитики'!R1802*'01_Вводные'!$B$286,0)</f>
        <v/>
      </c>
      <c r="S1803">
        <f>IF('01_Вводные'!$B$290="Да",'19_Расчет_аналитики'!S1802*'01_Вводные'!$B$286,0)</f>
        <v/>
      </c>
      <c r="T1803">
        <f>IF('01_Вводные'!$B$290="Да",'19_Расчет_аналитики'!T1802*'01_Вводные'!$B$286,0)</f>
        <v/>
      </c>
      <c r="U1803">
        <f>IF('01_Вводные'!$B$290="Да",'19_Расчет_аналитики'!U1802*'01_Вводные'!$B$286,0)</f>
        <v/>
      </c>
      <c r="V1803">
        <f>IF('01_Вводные'!$B$290="Да",'19_Расчет_аналитики'!V1802*'01_Вводные'!$B$286,0)</f>
        <v/>
      </c>
      <c r="W1803">
        <f>IF('01_Вводные'!$B$290="Да",'19_Расчет_аналитики'!W1802*'01_Вводные'!$B$286,0)</f>
        <v/>
      </c>
      <c r="X1803">
        <f>IF('01_Вводные'!$B$290="Да",'19_Расчет_аналитики'!X1802*'01_Вводные'!$B$286,0)</f>
        <v/>
      </c>
      <c r="Y1803">
        <f>IF('01_Вводные'!$B$290="Да",'19_Расчет_аналитики'!Y1802*'01_Вводные'!$B$286,0)</f>
        <v/>
      </c>
      <c r="Z1803">
        <f>IF('01_Вводные'!$B$290="Да",'19_Расчет_аналитики'!Z1802*'01_Вводные'!$B$286,0)</f>
        <v/>
      </c>
      <c r="AA1803">
        <f>IF('01_Вводные'!$B$290="Да",'19_Расчет_аналитики'!AA1802*'01_Вводные'!$B$286,0)</f>
        <v/>
      </c>
      <c r="AB1803">
        <f>IF('01_Вводные'!$B$290="Да",'19_Расчет_аналитики'!AB1802*'01_Вводные'!$B$286,0)</f>
        <v/>
      </c>
      <c r="AC1803">
        <f>IF('01_Вводные'!$B$290="Да",'19_Расчет_аналитики'!AC1802*'01_Вводные'!$B$286,0)</f>
        <v/>
      </c>
      <c r="AD1803">
        <f>IF('01_Вводные'!$B$290="Да",'19_Расчет_аналитики'!AD1802*'01_Вводные'!$B$286,0)</f>
        <v/>
      </c>
      <c r="AE1803">
        <f>IF('01_Вводные'!$B$290="Да",'19_Расчет_аналитики'!AE1802*'01_Вводные'!$B$286,0)</f>
        <v/>
      </c>
      <c r="AF1803">
        <f>IF('01_Вводные'!$B$290="Да",'19_Расчет_аналитики'!AF1802*'01_Вводные'!$B$286,0)</f>
        <v/>
      </c>
      <c r="AG1803">
        <f>IF('01_Вводные'!$B$290="Да",'19_Расчет_аналитики'!AG1802*'01_Вводные'!$B$286,0)</f>
        <v/>
      </c>
      <c r="AH1803">
        <f>IF('01_Вводные'!$B$290="Да",'19_Расчет_аналитики'!AH1802*'01_Вводные'!$B$286,0)</f>
        <v/>
      </c>
      <c r="AI1803">
        <f>IF('01_Вводные'!$B$290="Да",'19_Расчет_аналитики'!AI1802*'01_Вводные'!$B$286,0)</f>
        <v/>
      </c>
      <c r="AJ1803">
        <f>IF('01_Вводные'!$B$290="Да",'19_Расчет_аналитики'!AJ1802*'01_Вводные'!$B$286,0)</f>
        <v/>
      </c>
      <c r="AK1803">
        <f>IF('01_Вводные'!$B$290="Да",'19_Расчет_аналитики'!AK1802*'01_Вводные'!$B$286,0)</f>
        <v/>
      </c>
      <c r="AL1803">
        <f>IF('01_Вводные'!$B$290="Да",'19_Расчет_аналитики'!AL1802*'01_Вводные'!$B$286,0)</f>
        <v/>
      </c>
      <c r="AM1803">
        <f>IF('01_Вводные'!$B$290="Да",'19_Расчет_аналитики'!AM1802*'01_Вводные'!$B$286,0)</f>
        <v/>
      </c>
      <c r="AN1803">
        <f>IF('01_Вводные'!$B$290="Да",'19_Расчет_аналитики'!AN1802*'01_Вводные'!$B$286,0)</f>
        <v/>
      </c>
      <c r="AO1803">
        <f>IF('01_Вводные'!$B$290="Да",'19_Расчет_аналитики'!AO1802*'01_Вводные'!$B$286,0)</f>
        <v/>
      </c>
      <c r="AP1803">
        <f>IF('01_Вводные'!$B$290="Да",'19_Расчет_аналитики'!AP1802*'01_Вводные'!$B$286,0)</f>
        <v/>
      </c>
      <c r="AQ1803">
        <f>IF('01_Вводные'!$B$290="Да",'19_Расчет_аналитики'!AQ1802*'01_Вводные'!$B$286,0)</f>
        <v/>
      </c>
      <c r="AR1803">
        <f>IF('01_Вводные'!$B$290="Да",'19_Расчет_аналитики'!AR1802*'01_Вводные'!$B$286,0)</f>
        <v/>
      </c>
      <c r="AS1803">
        <f>IF('01_Вводные'!$B$290="Да",'19_Расчет_аналитики'!AS1802*'01_Вводные'!$B$286,0)</f>
        <v/>
      </c>
      <c r="AT1803">
        <f>IF('01_Вводные'!$B$290="Да",'19_Расчет_аналитики'!AT1802*'01_Вводные'!$B$286,0)</f>
        <v/>
      </c>
      <c r="AU1803">
        <f>IF('01_Вводные'!$B$290="Да",'19_Расчет_аналитики'!AU1802*'01_Вводные'!$B$286,0)</f>
        <v/>
      </c>
      <c r="AV1803">
        <f>IF('01_Вводные'!$B$290="Да",'19_Расчет_аналитики'!AV1802*'01_Вводные'!$B$286,0)</f>
        <v/>
      </c>
      <c r="AW1803">
        <f>IF('01_Вводные'!$B$290="Да",'19_Расчет_аналитики'!AW1802*'01_Вводные'!$B$286,0)</f>
        <v/>
      </c>
      <c r="AX1803">
        <f>IF('01_Вводные'!$B$290="Да",'19_Расчет_аналитики'!AX1802*'01_Вводные'!$B$286,0)</f>
        <v/>
      </c>
      <c r="AY1803">
        <f>IF('01_Вводные'!$B$290="Да",'19_Расчет_аналитики'!AY1802*'01_Вводные'!$B$286,0)</f>
        <v/>
      </c>
      <c r="AZ1803">
        <f>IF('01_Вводные'!$B$290="Да",'19_Расчет_аналитики'!AZ1802*'01_Вводные'!$B$286,0)</f>
        <v/>
      </c>
      <c r="BA1803">
        <f>IF('01_Вводные'!$B$290="Да",'19_Расчет_аналитики'!BA1802*'01_Вводные'!$B$286,0)</f>
        <v/>
      </c>
      <c r="BB1803">
        <f>IF('01_Вводные'!$B$290="Да",'19_Расчет_аналитики'!BB1802*'01_Вводные'!$B$286,0)</f>
        <v/>
      </c>
      <c r="BC1803">
        <f>IF('01_Вводные'!$B$290="Да",'19_Расчет_аналитики'!BC1802*'01_Вводные'!$B$286,0)</f>
        <v/>
      </c>
      <c r="BD1803">
        <f>IF('01_Вводные'!$B$290="Да",'19_Расчет_аналитики'!BD1802*'01_Вводные'!$B$286,0)</f>
        <v/>
      </c>
      <c r="BE1803">
        <f>IF('01_Вводные'!$B$290="Да",'19_Расчет_аналитики'!BE1802*'01_Вводные'!$B$286,0)</f>
        <v/>
      </c>
      <c r="BF1803">
        <f>IF('01_Вводные'!$B$290="Да",'19_Расчет_аналитики'!BF1802*'01_Вводные'!$B$286,0)</f>
        <v/>
      </c>
      <c r="BG1803">
        <f>IF('01_Вводные'!$B$290="Да",'19_Расчет_аналитики'!BG1802*'01_Вводные'!$B$286,0)</f>
        <v/>
      </c>
      <c r="BH1803">
        <f>IF('01_Вводные'!$B$290="Да",'19_Расчет_аналитики'!BH1802*'01_Вводные'!$B$286,0)</f>
        <v/>
      </c>
      <c r="BI1803">
        <f>IF('01_Вводные'!$B$290="Да",'19_Расчет_аналитики'!BI1802*'01_Вводные'!$B$286,0)</f>
        <v/>
      </c>
    </row>
    <row r="1804">
      <c r="B1804">
        <f>'02_Модель'!B98</f>
        <v/>
      </c>
      <c r="C1804">
        <f>'02_Модель'!C98</f>
        <v/>
      </c>
      <c r="D1804">
        <f>'02_Модель'!D98</f>
        <v/>
      </c>
      <c r="E1804">
        <f>'02_Модель'!E98</f>
        <v/>
      </c>
      <c r="F1804">
        <f>'02_Модель'!F98</f>
        <v/>
      </c>
      <c r="G1804">
        <f>'02_Модель'!G98</f>
        <v/>
      </c>
      <c r="H1804">
        <f>'02_Модель'!H98</f>
        <v/>
      </c>
      <c r="I1804">
        <f>'02_Модель'!I98</f>
        <v/>
      </c>
      <c r="J1804">
        <f>'02_Модель'!J98</f>
        <v/>
      </c>
      <c r="K1804">
        <f>'02_Модель'!K98</f>
        <v/>
      </c>
      <c r="L1804">
        <f>'02_Модель'!L98</f>
        <v/>
      </c>
      <c r="M1804">
        <f>'02_Модель'!M98</f>
        <v/>
      </c>
      <c r="N1804">
        <f>'02_Модель'!N98</f>
        <v/>
      </c>
      <c r="O1804">
        <f>'02_Модель'!O98</f>
        <v/>
      </c>
      <c r="P1804">
        <f>'02_Модель'!P98</f>
        <v/>
      </c>
      <c r="Q1804">
        <f>'02_Модель'!Q98</f>
        <v/>
      </c>
      <c r="R1804">
        <f>'02_Модель'!R98</f>
        <v/>
      </c>
      <c r="S1804">
        <f>'02_Модель'!S98</f>
        <v/>
      </c>
      <c r="T1804">
        <f>'02_Модель'!T98</f>
        <v/>
      </c>
      <c r="U1804">
        <f>'02_Модель'!U98</f>
        <v/>
      </c>
      <c r="V1804">
        <f>'02_Модель'!V98</f>
        <v/>
      </c>
      <c r="W1804">
        <f>'02_Модель'!W98</f>
        <v/>
      </c>
      <c r="X1804">
        <f>'02_Модель'!X98</f>
        <v/>
      </c>
      <c r="Y1804">
        <f>'02_Модель'!Y98</f>
        <v/>
      </c>
      <c r="Z1804">
        <f>'02_Модель'!Z98</f>
        <v/>
      </c>
      <c r="AA1804">
        <f>'02_Модель'!AA98</f>
        <v/>
      </c>
      <c r="AB1804">
        <f>'02_Модель'!AB98</f>
        <v/>
      </c>
      <c r="AC1804">
        <f>'02_Модель'!AC98</f>
        <v/>
      </c>
      <c r="AD1804">
        <f>'02_Модель'!AD98</f>
        <v/>
      </c>
      <c r="AE1804">
        <f>'02_Модель'!AE98</f>
        <v/>
      </c>
      <c r="AF1804">
        <f>'02_Модель'!AF98</f>
        <v/>
      </c>
      <c r="AG1804">
        <f>'02_Модель'!AG98</f>
        <v/>
      </c>
      <c r="AH1804">
        <f>'02_Модель'!AH98</f>
        <v/>
      </c>
      <c r="AI1804">
        <f>'02_Модель'!AI98</f>
        <v/>
      </c>
      <c r="AJ1804">
        <f>'02_Модель'!AJ98</f>
        <v/>
      </c>
      <c r="AK1804">
        <f>'02_Модель'!AK98</f>
        <v/>
      </c>
      <c r="AL1804">
        <f>'02_Модель'!AL98</f>
        <v/>
      </c>
      <c r="AM1804">
        <f>'02_Модель'!AM98</f>
        <v/>
      </c>
      <c r="AN1804">
        <f>'02_Модель'!AN98</f>
        <v/>
      </c>
      <c r="AO1804">
        <f>'02_Модель'!AO98</f>
        <v/>
      </c>
      <c r="AP1804">
        <f>'02_Модель'!AP98</f>
        <v/>
      </c>
      <c r="AQ1804">
        <f>'02_Модель'!AQ98</f>
        <v/>
      </c>
      <c r="AR1804">
        <f>'02_Модель'!AR98</f>
        <v/>
      </c>
      <c r="AS1804">
        <f>'02_Модель'!AS98</f>
        <v/>
      </c>
      <c r="AT1804">
        <f>'02_Модель'!AT98</f>
        <v/>
      </c>
      <c r="AU1804">
        <f>'02_Модель'!AU98</f>
        <v/>
      </c>
      <c r="AV1804">
        <f>'02_Модель'!AV98</f>
        <v/>
      </c>
      <c r="AW1804">
        <f>'02_Модель'!AW98</f>
        <v/>
      </c>
      <c r="AX1804">
        <f>'02_Модель'!AX98</f>
        <v/>
      </c>
      <c r="AY1804">
        <f>'02_Модель'!AY98</f>
        <v/>
      </c>
      <c r="AZ1804">
        <f>'02_Модель'!AZ98</f>
        <v/>
      </c>
      <c r="BA1804">
        <f>'02_Модель'!BA98</f>
        <v/>
      </c>
      <c r="BB1804">
        <f>'02_Модель'!BB98</f>
        <v/>
      </c>
      <c r="BC1804">
        <f>'02_Модель'!BC98</f>
        <v/>
      </c>
      <c r="BD1804">
        <f>'02_Модель'!BD98</f>
        <v/>
      </c>
      <c r="BE1804">
        <f>'02_Модель'!BE98</f>
        <v/>
      </c>
      <c r="BF1804">
        <f>'02_Модель'!BF98</f>
        <v/>
      </c>
      <c r="BG1804">
        <f>'02_Модель'!BG98</f>
        <v/>
      </c>
      <c r="BH1804">
        <f>'02_Модель'!BH98</f>
        <v/>
      </c>
      <c r="BI1804">
        <f>'02_Модель'!BI98</f>
        <v/>
      </c>
    </row>
    <row r="1805">
      <c r="B1805">
        <f>SUM('19_Расчет_аналитики'!B1803:B1804)</f>
        <v/>
      </c>
      <c r="C1805">
        <f>SUM('19_Расчет_аналитики'!C1803:C1804)</f>
        <v/>
      </c>
      <c r="D1805">
        <f>SUM('19_Расчет_аналитики'!D1803:D1804)</f>
        <v/>
      </c>
      <c r="E1805">
        <f>SUM('19_Расчет_аналитики'!E1803:E1804)</f>
        <v/>
      </c>
      <c r="F1805">
        <f>SUM('19_Расчет_аналитики'!F1803:F1804)</f>
        <v/>
      </c>
      <c r="G1805">
        <f>SUM('19_Расчет_аналитики'!G1803:G1804)</f>
        <v/>
      </c>
      <c r="H1805">
        <f>SUM('19_Расчет_аналитики'!H1803:H1804)</f>
        <v/>
      </c>
      <c r="I1805">
        <f>SUM('19_Расчет_аналитики'!I1803:I1804)</f>
        <v/>
      </c>
      <c r="J1805">
        <f>SUM('19_Расчет_аналитики'!J1803:J1804)</f>
        <v/>
      </c>
      <c r="K1805">
        <f>SUM('19_Расчет_аналитики'!K1803:K1804)</f>
        <v/>
      </c>
      <c r="L1805">
        <f>SUM('19_Расчет_аналитики'!L1803:L1804)</f>
        <v/>
      </c>
      <c r="M1805">
        <f>SUM('19_Расчет_аналитики'!M1803:M1804)</f>
        <v/>
      </c>
      <c r="N1805">
        <f>SUM('19_Расчет_аналитики'!N1803:N1804)</f>
        <v/>
      </c>
      <c r="O1805">
        <f>SUM('19_Расчет_аналитики'!O1803:O1804)</f>
        <v/>
      </c>
      <c r="P1805">
        <f>SUM('19_Расчет_аналитики'!P1803:P1804)</f>
        <v/>
      </c>
      <c r="Q1805">
        <f>SUM('19_Расчет_аналитики'!Q1803:Q1804)</f>
        <v/>
      </c>
      <c r="R1805">
        <f>SUM('19_Расчет_аналитики'!R1803:R1804)</f>
        <v/>
      </c>
      <c r="S1805">
        <f>SUM('19_Расчет_аналитики'!S1803:S1804)</f>
        <v/>
      </c>
      <c r="T1805">
        <f>SUM('19_Расчет_аналитики'!T1803:T1804)</f>
        <v/>
      </c>
      <c r="U1805">
        <f>SUM('19_Расчет_аналитики'!U1803:U1804)</f>
        <v/>
      </c>
      <c r="V1805">
        <f>SUM('19_Расчет_аналитики'!V1803:V1804)</f>
        <v/>
      </c>
      <c r="W1805">
        <f>SUM('19_Расчет_аналитики'!W1803:W1804)</f>
        <v/>
      </c>
      <c r="X1805">
        <f>SUM('19_Расчет_аналитики'!X1803:X1804)</f>
        <v/>
      </c>
      <c r="Y1805">
        <f>SUM('19_Расчет_аналитики'!Y1803:Y1804)</f>
        <v/>
      </c>
      <c r="Z1805">
        <f>SUM('19_Расчет_аналитики'!Z1803:Z1804)</f>
        <v/>
      </c>
      <c r="AA1805">
        <f>SUM('19_Расчет_аналитики'!AA1803:AA1804)</f>
        <v/>
      </c>
      <c r="AB1805">
        <f>SUM('19_Расчет_аналитики'!AB1803:AB1804)</f>
        <v/>
      </c>
      <c r="AC1805">
        <f>SUM('19_Расчет_аналитики'!AC1803:AC1804)</f>
        <v/>
      </c>
      <c r="AD1805">
        <f>SUM('19_Расчет_аналитики'!AD1803:AD1804)</f>
        <v/>
      </c>
      <c r="AE1805">
        <f>SUM('19_Расчет_аналитики'!AE1803:AE1804)</f>
        <v/>
      </c>
      <c r="AF1805">
        <f>SUM('19_Расчет_аналитики'!AF1803:AF1804)</f>
        <v/>
      </c>
      <c r="AG1805">
        <f>SUM('19_Расчет_аналитики'!AG1803:AG1804)</f>
        <v/>
      </c>
      <c r="AH1805">
        <f>SUM('19_Расчет_аналитики'!AH1803:AH1804)</f>
        <v/>
      </c>
      <c r="AI1805">
        <f>SUM('19_Расчет_аналитики'!AI1803:AI1804)</f>
        <v/>
      </c>
      <c r="AJ1805">
        <f>SUM('19_Расчет_аналитики'!AJ1803:AJ1804)</f>
        <v/>
      </c>
      <c r="AK1805">
        <f>SUM('19_Расчет_аналитики'!AK1803:AK1804)</f>
        <v/>
      </c>
      <c r="AL1805">
        <f>SUM('19_Расчет_аналитики'!AL1803:AL1804)</f>
        <v/>
      </c>
      <c r="AM1805">
        <f>SUM('19_Расчет_аналитики'!AM1803:AM1804)</f>
        <v/>
      </c>
      <c r="AN1805">
        <f>SUM('19_Расчет_аналитики'!AN1803:AN1804)</f>
        <v/>
      </c>
      <c r="AO1805">
        <f>SUM('19_Расчет_аналитики'!AO1803:AO1804)</f>
        <v/>
      </c>
      <c r="AP1805">
        <f>SUM('19_Расчет_аналитики'!AP1803:AP1804)</f>
        <v/>
      </c>
      <c r="AQ1805">
        <f>SUM('19_Расчет_аналитики'!AQ1803:AQ1804)</f>
        <v/>
      </c>
      <c r="AR1805">
        <f>SUM('19_Расчет_аналитики'!AR1803:AR1804)</f>
        <v/>
      </c>
      <c r="AS1805">
        <f>SUM('19_Расчет_аналитики'!AS1803:AS1804)</f>
        <v/>
      </c>
      <c r="AT1805">
        <f>SUM('19_Расчет_аналитики'!AT1803:AT1804)</f>
        <v/>
      </c>
      <c r="AU1805">
        <f>SUM('19_Расчет_аналитики'!AU1803:AU1804)</f>
        <v/>
      </c>
      <c r="AV1805">
        <f>SUM('19_Расчет_аналитики'!AV1803:AV1804)</f>
        <v/>
      </c>
      <c r="AW1805">
        <f>SUM('19_Расчет_аналитики'!AW1803:AW1804)</f>
        <v/>
      </c>
      <c r="AX1805">
        <f>SUM('19_Расчет_аналитики'!AX1803:AX1804)</f>
        <v/>
      </c>
      <c r="AY1805">
        <f>SUM('19_Расчет_аналитики'!AY1803:AY1804)</f>
        <v/>
      </c>
      <c r="AZ1805">
        <f>SUM('19_Расчет_аналитики'!AZ1803:AZ1804)</f>
        <v/>
      </c>
      <c r="BA1805">
        <f>SUM('19_Расчет_аналитики'!BA1803:BA1804)</f>
        <v/>
      </c>
      <c r="BB1805">
        <f>SUM('19_Расчет_аналитики'!BB1803:BB1804)</f>
        <v/>
      </c>
      <c r="BC1805">
        <f>SUM('19_Расчет_аналитики'!BC1803:BC1804)</f>
        <v/>
      </c>
      <c r="BD1805">
        <f>SUM('19_Расчет_аналитики'!BD1803:BD1804)</f>
        <v/>
      </c>
      <c r="BE1805">
        <f>SUM('19_Расчет_аналитики'!BE1803:BE1804)</f>
        <v/>
      </c>
      <c r="BF1805">
        <f>SUM('19_Расчет_аналитики'!BF1803:BF1804)</f>
        <v/>
      </c>
      <c r="BG1805">
        <f>SUM('19_Расчет_аналитики'!BG1803:BG1804)</f>
        <v/>
      </c>
      <c r="BH1805">
        <f>SUM('19_Расчет_аналитики'!BH1803:BH1804)</f>
        <v/>
      </c>
      <c r="BI1805">
        <f>SUM('19_Расчет_аналитики'!BI1803:BI1804)</f>
        <v/>
      </c>
    </row>
    <row r="1806">
      <c r="B1806">
        <f>SUM('19_Расчет_аналитики'!$B1805:B1805)</f>
        <v/>
      </c>
      <c r="C1806">
        <f>SUM('19_Расчет_аналитики'!$B1805:C1805)</f>
        <v/>
      </c>
      <c r="D1806">
        <f>SUM('19_Расчет_аналитики'!$B1805:D1805)</f>
        <v/>
      </c>
      <c r="E1806">
        <f>SUM('19_Расчет_аналитики'!$B1805:E1805)</f>
        <v/>
      </c>
      <c r="F1806">
        <f>SUM('19_Расчет_аналитики'!$B1805:F1805)</f>
        <v/>
      </c>
      <c r="G1806">
        <f>SUM('19_Расчет_аналитики'!$B1805:G1805)</f>
        <v/>
      </c>
      <c r="H1806">
        <f>SUM('19_Расчет_аналитики'!$B1805:H1805)</f>
        <v/>
      </c>
      <c r="I1806">
        <f>SUM('19_Расчет_аналитики'!$B1805:I1805)</f>
        <v/>
      </c>
      <c r="J1806">
        <f>SUM('19_Расчет_аналитики'!$B1805:J1805)</f>
        <v/>
      </c>
      <c r="K1806">
        <f>SUM('19_Расчет_аналитики'!$B1805:K1805)</f>
        <v/>
      </c>
      <c r="L1806">
        <f>SUM('19_Расчет_аналитики'!$B1805:L1805)</f>
        <v/>
      </c>
      <c r="M1806">
        <f>SUM('19_Расчет_аналитики'!$B1805:M1805)</f>
        <v/>
      </c>
      <c r="N1806">
        <f>SUM('19_Расчет_аналитики'!$B1805:N1805)</f>
        <v/>
      </c>
      <c r="O1806">
        <f>SUM('19_Расчет_аналитики'!$B1805:O1805)</f>
        <v/>
      </c>
      <c r="P1806">
        <f>SUM('19_Расчет_аналитики'!$B1805:P1805)</f>
        <v/>
      </c>
      <c r="Q1806">
        <f>SUM('19_Расчет_аналитики'!$B1805:Q1805)</f>
        <v/>
      </c>
      <c r="R1806">
        <f>SUM('19_Расчет_аналитики'!$B1805:R1805)</f>
        <v/>
      </c>
      <c r="S1806">
        <f>SUM('19_Расчет_аналитики'!$B1805:S1805)</f>
        <v/>
      </c>
      <c r="T1806">
        <f>SUM('19_Расчет_аналитики'!$B1805:T1805)</f>
        <v/>
      </c>
      <c r="U1806">
        <f>SUM('19_Расчет_аналитики'!$B1805:U1805)</f>
        <v/>
      </c>
      <c r="V1806">
        <f>SUM('19_Расчет_аналитики'!$B1805:V1805)</f>
        <v/>
      </c>
      <c r="W1806">
        <f>SUM('19_Расчет_аналитики'!$B1805:W1805)</f>
        <v/>
      </c>
      <c r="X1806">
        <f>SUM('19_Расчет_аналитики'!$B1805:X1805)</f>
        <v/>
      </c>
      <c r="Y1806">
        <f>SUM('19_Расчет_аналитики'!$B1805:Y1805)</f>
        <v/>
      </c>
      <c r="Z1806">
        <f>SUM('19_Расчет_аналитики'!$B1805:Z1805)</f>
        <v/>
      </c>
      <c r="AA1806">
        <f>SUM('19_Расчет_аналитики'!$B1805:AA1805)</f>
        <v/>
      </c>
      <c r="AB1806">
        <f>SUM('19_Расчет_аналитики'!$B1805:AB1805)</f>
        <v/>
      </c>
      <c r="AC1806">
        <f>SUM('19_Расчет_аналитики'!$B1805:AC1805)</f>
        <v/>
      </c>
      <c r="AD1806">
        <f>SUM('19_Расчет_аналитики'!$B1805:AD1805)</f>
        <v/>
      </c>
      <c r="AE1806">
        <f>SUM('19_Расчет_аналитики'!$B1805:AE1805)</f>
        <v/>
      </c>
      <c r="AF1806">
        <f>SUM('19_Расчет_аналитики'!$B1805:AF1805)</f>
        <v/>
      </c>
      <c r="AG1806">
        <f>SUM('19_Расчет_аналитики'!$B1805:AG1805)</f>
        <v/>
      </c>
      <c r="AH1806">
        <f>SUM('19_Расчет_аналитики'!$B1805:AH1805)</f>
        <v/>
      </c>
      <c r="AI1806">
        <f>SUM('19_Расчет_аналитики'!$B1805:AI1805)</f>
        <v/>
      </c>
      <c r="AJ1806">
        <f>SUM('19_Расчет_аналитики'!$B1805:AJ1805)</f>
        <v/>
      </c>
      <c r="AK1806">
        <f>SUM('19_Расчет_аналитики'!$B1805:AK1805)</f>
        <v/>
      </c>
      <c r="AL1806">
        <f>SUM('19_Расчет_аналитики'!$B1805:AL1805)</f>
        <v/>
      </c>
      <c r="AM1806">
        <f>SUM('19_Расчет_аналитики'!$B1805:AM1805)</f>
        <v/>
      </c>
      <c r="AN1806">
        <f>SUM('19_Расчет_аналитики'!$B1805:AN1805)</f>
        <v/>
      </c>
      <c r="AO1806">
        <f>SUM('19_Расчет_аналитики'!$B1805:AO1805)</f>
        <v/>
      </c>
      <c r="AP1806">
        <f>SUM('19_Расчет_аналитики'!$B1805:AP1805)</f>
        <v/>
      </c>
      <c r="AQ1806">
        <f>SUM('19_Расчет_аналитики'!$B1805:AQ1805)</f>
        <v/>
      </c>
      <c r="AR1806">
        <f>SUM('19_Расчет_аналитики'!$B1805:AR1805)</f>
        <v/>
      </c>
      <c r="AS1806">
        <f>SUM('19_Расчет_аналитики'!$B1805:AS1805)</f>
        <v/>
      </c>
      <c r="AT1806">
        <f>SUM('19_Расчет_аналитики'!$B1805:AT1805)</f>
        <v/>
      </c>
      <c r="AU1806">
        <f>SUM('19_Расчет_аналитики'!$B1805:AU1805)</f>
        <v/>
      </c>
      <c r="AV1806">
        <f>SUM('19_Расчет_аналитики'!$B1805:AV1805)</f>
        <v/>
      </c>
      <c r="AW1806">
        <f>SUM('19_Расчет_аналитики'!$B1805:AW1805)</f>
        <v/>
      </c>
      <c r="AX1806">
        <f>SUM('19_Расчет_аналитики'!$B1805:AX1805)</f>
        <v/>
      </c>
      <c r="AY1806">
        <f>SUM('19_Расчет_аналитики'!$B1805:AY1805)</f>
        <v/>
      </c>
      <c r="AZ1806">
        <f>SUM('19_Расчет_аналитики'!$B1805:AZ1805)</f>
        <v/>
      </c>
      <c r="BA1806">
        <f>SUM('19_Расчет_аналитики'!$B1805:BA1805)</f>
        <v/>
      </c>
      <c r="BB1806">
        <f>SUM('19_Расчет_аналитики'!$B1805:BB1805)</f>
        <v/>
      </c>
      <c r="BC1806">
        <f>SUM('19_Расчет_аналитики'!$B1805:BC1805)</f>
        <v/>
      </c>
      <c r="BD1806">
        <f>SUM('19_Расчет_аналитики'!$B1805:BD1805)</f>
        <v/>
      </c>
      <c r="BE1806">
        <f>SUM('19_Расчет_аналитики'!$B1805:BE1805)</f>
        <v/>
      </c>
      <c r="BF1806">
        <f>SUM('19_Расчет_аналитики'!$B1805:BF1805)</f>
        <v/>
      </c>
      <c r="BG1806">
        <f>SUM('19_Расчет_аналитики'!$B1805:BG1805)</f>
        <v/>
      </c>
      <c r="BH1806">
        <f>SUM('19_Расчет_аналитики'!$B1805:BH1805)</f>
        <v/>
      </c>
      <c r="BI1806">
        <f>SUM('19_Расчет_аналитики'!$B1805:BI1805)</f>
        <v/>
      </c>
    </row>
    <row r="1807"/>
    <row r="1808"/>
    <row r="1809"/>
    <row r="1810"/>
    <row r="1811"/>
    <row r="1812"/>
    <row r="1813"/>
    <row r="1814"/>
    <row r="1815"/>
    <row r="1816"/>
    <row r="1817">
      <c r="B1817">
        <f>INDEX('19_Расчет_аналитики'!$C$1087:$C$1091,MIN(5,INT(0/12)+1),1)*'18_Календарь_тарифы'!B4</f>
        <v/>
      </c>
      <c r="C1817">
        <f>INDEX('19_Расчет_аналитики'!$C$1087:$C$1091,MIN(5,INT(1/12)+1),1)*'18_Календарь_тарифы'!C4</f>
        <v/>
      </c>
      <c r="D1817">
        <f>INDEX('19_Расчет_аналитики'!$C$1087:$C$1091,MIN(5,INT(2/12)+1),1)*'18_Календарь_тарифы'!D4</f>
        <v/>
      </c>
      <c r="E1817">
        <f>INDEX('19_Расчет_аналитики'!$C$1087:$C$1091,MIN(5,INT(3/12)+1),1)*'18_Календарь_тарифы'!E4</f>
        <v/>
      </c>
      <c r="F1817">
        <f>INDEX('19_Расчет_аналитики'!$C$1087:$C$1091,MIN(5,INT(4/12)+1),1)*'18_Календарь_тарифы'!F4</f>
        <v/>
      </c>
      <c r="G1817">
        <f>INDEX('19_Расчет_аналитики'!$C$1087:$C$1091,MIN(5,INT(5/12)+1),1)*'18_Календарь_тарифы'!G4</f>
        <v/>
      </c>
      <c r="H1817">
        <f>INDEX('19_Расчет_аналитики'!$C$1087:$C$1091,MIN(5,INT(6/12)+1),1)*'18_Календарь_тарифы'!H4</f>
        <v/>
      </c>
      <c r="I1817">
        <f>INDEX('19_Расчет_аналитики'!$C$1087:$C$1091,MIN(5,INT(7/12)+1),1)*'18_Календарь_тарифы'!I4</f>
        <v/>
      </c>
      <c r="J1817">
        <f>INDEX('19_Расчет_аналитики'!$C$1087:$C$1091,MIN(5,INT(8/12)+1),1)*'18_Календарь_тарифы'!J4</f>
        <v/>
      </c>
      <c r="K1817">
        <f>INDEX('19_Расчет_аналитики'!$C$1087:$C$1091,MIN(5,INT(9/12)+1),1)*'18_Календарь_тарифы'!K4</f>
        <v/>
      </c>
      <c r="L1817">
        <f>INDEX('19_Расчет_аналитики'!$C$1087:$C$1091,MIN(5,INT(10/12)+1),1)*'18_Календарь_тарифы'!L4</f>
        <v/>
      </c>
      <c r="M1817">
        <f>INDEX('19_Расчет_аналитики'!$C$1087:$C$1091,MIN(5,INT(11/12)+1),1)*'18_Календарь_тарифы'!M4</f>
        <v/>
      </c>
      <c r="N1817">
        <f>INDEX('19_Расчет_аналитики'!$C$1087:$C$1091,MIN(5,INT(12/12)+1),1)*'18_Календарь_тарифы'!N4</f>
        <v/>
      </c>
      <c r="O1817">
        <f>INDEX('19_Расчет_аналитики'!$C$1087:$C$1091,MIN(5,INT(13/12)+1),1)*'18_Календарь_тарифы'!O4</f>
        <v/>
      </c>
      <c r="P1817">
        <f>INDEX('19_Расчет_аналитики'!$C$1087:$C$1091,MIN(5,INT(14/12)+1),1)*'18_Календарь_тарифы'!P4</f>
        <v/>
      </c>
      <c r="Q1817">
        <f>INDEX('19_Расчет_аналитики'!$C$1087:$C$1091,MIN(5,INT(15/12)+1),1)*'18_Календарь_тарифы'!Q4</f>
        <v/>
      </c>
      <c r="R1817">
        <f>INDEX('19_Расчет_аналитики'!$C$1087:$C$1091,MIN(5,INT(16/12)+1),1)*'18_Календарь_тарифы'!R4</f>
        <v/>
      </c>
      <c r="S1817">
        <f>INDEX('19_Расчет_аналитики'!$C$1087:$C$1091,MIN(5,INT(17/12)+1),1)*'18_Календарь_тарифы'!S4</f>
        <v/>
      </c>
      <c r="T1817">
        <f>INDEX('19_Расчет_аналитики'!$C$1087:$C$1091,MIN(5,INT(18/12)+1),1)*'18_Календарь_тарифы'!T4</f>
        <v/>
      </c>
      <c r="U1817">
        <f>INDEX('19_Расчет_аналитики'!$C$1087:$C$1091,MIN(5,INT(19/12)+1),1)*'18_Календарь_тарифы'!U4</f>
        <v/>
      </c>
      <c r="V1817">
        <f>INDEX('19_Расчет_аналитики'!$C$1087:$C$1091,MIN(5,INT(20/12)+1),1)*'18_Календарь_тарифы'!V4</f>
        <v/>
      </c>
      <c r="W1817">
        <f>INDEX('19_Расчет_аналитики'!$C$1087:$C$1091,MIN(5,INT(21/12)+1),1)*'18_Календарь_тарифы'!W4</f>
        <v/>
      </c>
      <c r="X1817">
        <f>INDEX('19_Расчет_аналитики'!$C$1087:$C$1091,MIN(5,INT(22/12)+1),1)*'18_Календарь_тарифы'!X4</f>
        <v/>
      </c>
      <c r="Y1817">
        <f>INDEX('19_Расчет_аналитики'!$C$1087:$C$1091,MIN(5,INT(23/12)+1),1)*'18_Календарь_тарифы'!Y4</f>
        <v/>
      </c>
      <c r="Z1817">
        <f>INDEX('19_Расчет_аналитики'!$C$1087:$C$1091,MIN(5,INT(24/12)+1),1)*'18_Календарь_тарифы'!Z4</f>
        <v/>
      </c>
      <c r="AA1817">
        <f>INDEX('19_Расчет_аналитики'!$C$1087:$C$1091,MIN(5,INT(25/12)+1),1)*'18_Календарь_тарифы'!AA4</f>
        <v/>
      </c>
      <c r="AB1817">
        <f>INDEX('19_Расчет_аналитики'!$C$1087:$C$1091,MIN(5,INT(26/12)+1),1)*'18_Календарь_тарифы'!AB4</f>
        <v/>
      </c>
      <c r="AC1817">
        <f>INDEX('19_Расчет_аналитики'!$C$1087:$C$1091,MIN(5,INT(27/12)+1),1)*'18_Календарь_тарифы'!AC4</f>
        <v/>
      </c>
      <c r="AD1817">
        <f>INDEX('19_Расчет_аналитики'!$C$1087:$C$1091,MIN(5,INT(28/12)+1),1)*'18_Календарь_тарифы'!AD4</f>
        <v/>
      </c>
      <c r="AE1817">
        <f>INDEX('19_Расчет_аналитики'!$C$1087:$C$1091,MIN(5,INT(29/12)+1),1)*'18_Календарь_тарифы'!AE4</f>
        <v/>
      </c>
      <c r="AF1817">
        <f>INDEX('19_Расчет_аналитики'!$C$1087:$C$1091,MIN(5,INT(30/12)+1),1)*'18_Календарь_тарифы'!AF4</f>
        <v/>
      </c>
      <c r="AG1817">
        <f>INDEX('19_Расчет_аналитики'!$C$1087:$C$1091,MIN(5,INT(31/12)+1),1)*'18_Календарь_тарифы'!AG4</f>
        <v/>
      </c>
      <c r="AH1817">
        <f>INDEX('19_Расчет_аналитики'!$C$1087:$C$1091,MIN(5,INT(32/12)+1),1)*'18_Календарь_тарифы'!AH4</f>
        <v/>
      </c>
      <c r="AI1817">
        <f>INDEX('19_Расчет_аналитики'!$C$1087:$C$1091,MIN(5,INT(33/12)+1),1)*'18_Календарь_тарифы'!AI4</f>
        <v/>
      </c>
      <c r="AJ1817">
        <f>INDEX('19_Расчет_аналитики'!$C$1087:$C$1091,MIN(5,INT(34/12)+1),1)*'18_Календарь_тарифы'!AJ4</f>
        <v/>
      </c>
      <c r="AK1817">
        <f>INDEX('19_Расчет_аналитики'!$C$1087:$C$1091,MIN(5,INT(35/12)+1),1)*'18_Календарь_тарифы'!AK4</f>
        <v/>
      </c>
      <c r="AL1817">
        <f>INDEX('19_Расчет_аналитики'!$C$1087:$C$1091,MIN(5,INT(36/12)+1),1)*'18_Календарь_тарифы'!AL4</f>
        <v/>
      </c>
      <c r="AM1817">
        <f>INDEX('19_Расчет_аналитики'!$C$1087:$C$1091,MIN(5,INT(37/12)+1),1)*'18_Календарь_тарифы'!AM4</f>
        <v/>
      </c>
      <c r="AN1817">
        <f>INDEX('19_Расчет_аналитики'!$C$1087:$C$1091,MIN(5,INT(38/12)+1),1)*'18_Календарь_тарифы'!AN4</f>
        <v/>
      </c>
      <c r="AO1817">
        <f>INDEX('19_Расчет_аналитики'!$C$1087:$C$1091,MIN(5,INT(39/12)+1),1)*'18_Календарь_тарифы'!AO4</f>
        <v/>
      </c>
      <c r="AP1817">
        <f>INDEX('19_Расчет_аналитики'!$C$1087:$C$1091,MIN(5,INT(40/12)+1),1)*'18_Календарь_тарифы'!AP4</f>
        <v/>
      </c>
      <c r="AQ1817">
        <f>INDEX('19_Расчет_аналитики'!$C$1087:$C$1091,MIN(5,INT(41/12)+1),1)*'18_Календарь_тарифы'!AQ4</f>
        <v/>
      </c>
      <c r="AR1817">
        <f>INDEX('19_Расчет_аналитики'!$C$1087:$C$1091,MIN(5,INT(42/12)+1),1)*'18_Календарь_тарифы'!AR4</f>
        <v/>
      </c>
      <c r="AS1817">
        <f>INDEX('19_Расчет_аналитики'!$C$1087:$C$1091,MIN(5,INT(43/12)+1),1)*'18_Календарь_тарифы'!AS4</f>
        <v/>
      </c>
      <c r="AT1817">
        <f>INDEX('19_Расчет_аналитики'!$C$1087:$C$1091,MIN(5,INT(44/12)+1),1)*'18_Календарь_тарифы'!AT4</f>
        <v/>
      </c>
      <c r="AU1817">
        <f>INDEX('19_Расчет_аналитики'!$C$1087:$C$1091,MIN(5,INT(45/12)+1),1)*'18_Календарь_тарифы'!AU4</f>
        <v/>
      </c>
      <c r="AV1817">
        <f>INDEX('19_Расчет_аналитики'!$C$1087:$C$1091,MIN(5,INT(46/12)+1),1)*'18_Календарь_тарифы'!AV4</f>
        <v/>
      </c>
      <c r="AW1817">
        <f>INDEX('19_Расчет_аналитики'!$C$1087:$C$1091,MIN(5,INT(47/12)+1),1)*'18_Календарь_тарифы'!AW4</f>
        <v/>
      </c>
      <c r="AX1817">
        <f>INDEX('19_Расчет_аналитики'!$C$1087:$C$1091,MIN(5,INT(48/12)+1),1)*'18_Календарь_тарифы'!AX4</f>
        <v/>
      </c>
      <c r="AY1817">
        <f>INDEX('19_Расчет_аналитики'!$C$1087:$C$1091,MIN(5,INT(49/12)+1),1)*'18_Календарь_тарифы'!AY4</f>
        <v/>
      </c>
      <c r="AZ1817">
        <f>INDEX('19_Расчет_аналитики'!$C$1087:$C$1091,MIN(5,INT(50/12)+1),1)*'18_Календарь_тарифы'!AZ4</f>
        <v/>
      </c>
      <c r="BA1817">
        <f>INDEX('19_Расчет_аналитики'!$C$1087:$C$1091,MIN(5,INT(51/12)+1),1)*'18_Календарь_тарифы'!BA4</f>
        <v/>
      </c>
      <c r="BB1817">
        <f>INDEX('19_Расчет_аналитики'!$C$1087:$C$1091,MIN(5,INT(52/12)+1),1)*'18_Календарь_тарифы'!BB4</f>
        <v/>
      </c>
      <c r="BC1817">
        <f>INDEX('19_Расчет_аналитики'!$C$1087:$C$1091,MIN(5,INT(53/12)+1),1)*'18_Календарь_тарифы'!BC4</f>
        <v/>
      </c>
      <c r="BD1817">
        <f>INDEX('19_Расчет_аналитики'!$C$1087:$C$1091,MIN(5,INT(54/12)+1),1)*'18_Календарь_тарифы'!BD4</f>
        <v/>
      </c>
      <c r="BE1817">
        <f>INDEX('19_Расчет_аналитики'!$C$1087:$C$1091,MIN(5,INT(55/12)+1),1)*'18_Календарь_тарифы'!BE4</f>
        <v/>
      </c>
      <c r="BF1817">
        <f>INDEX('19_Расчет_аналитики'!$C$1087:$C$1091,MIN(5,INT(56/12)+1),1)*'18_Календарь_тарифы'!BF4</f>
        <v/>
      </c>
      <c r="BG1817">
        <f>INDEX('19_Расчет_аналитики'!$C$1087:$C$1091,MIN(5,INT(57/12)+1),1)*'18_Календарь_тарифы'!BG4</f>
        <v/>
      </c>
      <c r="BH1817">
        <f>INDEX('19_Расчет_аналитики'!$C$1087:$C$1091,MIN(5,INT(58/12)+1),1)*'18_Календарь_тарифы'!BH4</f>
        <v/>
      </c>
      <c r="BI1817">
        <f>INDEX('19_Расчет_аналитики'!$C$1087:$C$1091,MIN(5,INT(59/12)+1),1)*'18_Календарь_тарифы'!BI4</f>
        <v/>
      </c>
      <c r="BJ1817">
        <f>INDEX('19_Расчет_аналитики'!$C$1087:$C$1091,MIN(5,INT(60/12)+1),1)*'18_Календарь_тарифы'!BJ4</f>
        <v/>
      </c>
      <c r="BK1817">
        <f>INDEX('19_Расчет_аналитики'!$C$1087:$C$1091,MIN(5,INT(61/12)+1),1)*'18_Календарь_тарифы'!BK4</f>
        <v/>
      </c>
      <c r="BL1817">
        <f>INDEX('19_Расчет_аналитики'!$C$1087:$C$1091,MIN(5,INT(62/12)+1),1)*'18_Календарь_тарифы'!BL4</f>
        <v/>
      </c>
      <c r="BM1817">
        <f>INDEX('19_Расчет_аналитики'!$C$1087:$C$1091,MIN(5,INT(63/12)+1),1)*'18_Календарь_тарифы'!BM4</f>
        <v/>
      </c>
      <c r="BN1817">
        <f>INDEX('19_Расчет_аналитики'!$C$1087:$C$1091,MIN(5,INT(64/12)+1),1)*'18_Календарь_тарифы'!BN4</f>
        <v/>
      </c>
      <c r="BO1817">
        <f>INDEX('19_Расчет_аналитики'!$C$1087:$C$1091,MIN(5,INT(65/12)+1),1)*'18_Календарь_тарифы'!BO4</f>
        <v/>
      </c>
    </row>
    <row r="1818">
      <c r="B1818">
        <f>'19_Расчет_аналитики'!$B$1075*'18_Календарь_тарифы'!B4</f>
        <v/>
      </c>
      <c r="C1818">
        <f>'19_Расчет_аналитики'!$B$1075*'18_Календарь_тарифы'!C4</f>
        <v/>
      </c>
      <c r="D1818">
        <f>'19_Расчет_аналитики'!$B$1075*'18_Календарь_тарифы'!D4</f>
        <v/>
      </c>
      <c r="E1818">
        <f>'19_Расчет_аналитики'!$B$1075*'18_Календарь_тарифы'!E4</f>
        <v/>
      </c>
      <c r="F1818">
        <f>'19_Расчет_аналитики'!$B$1075*'18_Календарь_тарифы'!F4</f>
        <v/>
      </c>
      <c r="G1818">
        <f>'19_Расчет_аналитики'!$B$1075*'18_Календарь_тарифы'!G4</f>
        <v/>
      </c>
      <c r="H1818">
        <f>'19_Расчет_аналитики'!$B$1075*'18_Календарь_тарифы'!H4</f>
        <v/>
      </c>
      <c r="I1818">
        <f>'19_Расчет_аналитики'!$B$1075*'18_Календарь_тарифы'!I4</f>
        <v/>
      </c>
      <c r="J1818">
        <f>'19_Расчет_аналитики'!$B$1075*'18_Календарь_тарифы'!J4</f>
        <v/>
      </c>
      <c r="K1818">
        <f>'19_Расчет_аналитики'!$B$1075*'18_Календарь_тарифы'!K4</f>
        <v/>
      </c>
      <c r="L1818">
        <f>'19_Расчет_аналитики'!$B$1075*'18_Календарь_тарифы'!L4</f>
        <v/>
      </c>
      <c r="M1818">
        <f>'19_Расчет_аналитики'!$B$1075*'18_Календарь_тарифы'!M4</f>
        <v/>
      </c>
      <c r="N1818">
        <f>'19_Расчет_аналитики'!$B$1075*'18_Календарь_тарифы'!N4</f>
        <v/>
      </c>
      <c r="O1818">
        <f>'19_Расчет_аналитики'!$B$1075*'18_Календарь_тарифы'!O4</f>
        <v/>
      </c>
      <c r="P1818">
        <f>'19_Расчет_аналитики'!$B$1075*'18_Календарь_тарифы'!P4</f>
        <v/>
      </c>
      <c r="Q1818">
        <f>'19_Расчет_аналитики'!$B$1075*'18_Календарь_тарифы'!Q4</f>
        <v/>
      </c>
      <c r="R1818">
        <f>'19_Расчет_аналитики'!$B$1075*'18_Календарь_тарифы'!R4</f>
        <v/>
      </c>
      <c r="S1818">
        <f>'19_Расчет_аналитики'!$B$1075*'18_Календарь_тарифы'!S4</f>
        <v/>
      </c>
      <c r="T1818">
        <f>'19_Расчет_аналитики'!$B$1075*'18_Календарь_тарифы'!T4</f>
        <v/>
      </c>
      <c r="U1818">
        <f>'19_Расчет_аналитики'!$B$1075*'18_Календарь_тарифы'!U4</f>
        <v/>
      </c>
      <c r="V1818">
        <f>'19_Расчет_аналитики'!$B$1075*'18_Календарь_тарифы'!V4</f>
        <v/>
      </c>
      <c r="W1818">
        <f>'19_Расчет_аналитики'!$B$1075*'18_Календарь_тарифы'!W4</f>
        <v/>
      </c>
      <c r="X1818">
        <f>'19_Расчет_аналитики'!$B$1075*'18_Календарь_тарифы'!X4</f>
        <v/>
      </c>
      <c r="Y1818">
        <f>'19_Расчет_аналитики'!$B$1075*'18_Календарь_тарифы'!Y4</f>
        <v/>
      </c>
      <c r="Z1818">
        <f>'19_Расчет_аналитики'!$B$1075*'18_Календарь_тарифы'!Z4</f>
        <v/>
      </c>
      <c r="AA1818">
        <f>'19_Расчет_аналитики'!$B$1075*'18_Календарь_тарифы'!AA4</f>
        <v/>
      </c>
      <c r="AB1818">
        <f>'19_Расчет_аналитики'!$B$1075*'18_Календарь_тарифы'!AB4</f>
        <v/>
      </c>
      <c r="AC1818">
        <f>'19_Расчет_аналитики'!$B$1075*'18_Календарь_тарифы'!AC4</f>
        <v/>
      </c>
      <c r="AD1818">
        <f>'19_Расчет_аналитики'!$B$1075*'18_Календарь_тарифы'!AD4</f>
        <v/>
      </c>
      <c r="AE1818">
        <f>'19_Расчет_аналитики'!$B$1075*'18_Календарь_тарифы'!AE4</f>
        <v/>
      </c>
      <c r="AF1818">
        <f>'19_Расчет_аналитики'!$B$1075*'18_Календарь_тарифы'!AF4</f>
        <v/>
      </c>
      <c r="AG1818">
        <f>'19_Расчет_аналитики'!$B$1075*'18_Календарь_тарифы'!AG4</f>
        <v/>
      </c>
      <c r="AH1818">
        <f>'19_Расчет_аналитики'!$B$1075*'18_Календарь_тарифы'!AH4</f>
        <v/>
      </c>
      <c r="AI1818">
        <f>'19_Расчет_аналитики'!$B$1075*'18_Календарь_тарифы'!AI4</f>
        <v/>
      </c>
      <c r="AJ1818">
        <f>'19_Расчет_аналитики'!$B$1075*'18_Календарь_тарифы'!AJ4</f>
        <v/>
      </c>
      <c r="AK1818">
        <f>'19_Расчет_аналитики'!$B$1075*'18_Календарь_тарифы'!AK4</f>
        <v/>
      </c>
      <c r="AL1818">
        <f>'19_Расчет_аналитики'!$B$1075*'18_Календарь_тарифы'!AL4</f>
        <v/>
      </c>
      <c r="AM1818">
        <f>'19_Расчет_аналитики'!$B$1075*'18_Календарь_тарифы'!AM4</f>
        <v/>
      </c>
      <c r="AN1818">
        <f>'19_Расчет_аналитики'!$B$1075*'18_Календарь_тарифы'!AN4</f>
        <v/>
      </c>
      <c r="AO1818">
        <f>'19_Расчет_аналитики'!$B$1075*'18_Календарь_тарифы'!AO4</f>
        <v/>
      </c>
      <c r="AP1818">
        <f>'19_Расчет_аналитики'!$B$1075*'18_Календарь_тарифы'!AP4</f>
        <v/>
      </c>
      <c r="AQ1818">
        <f>'19_Расчет_аналитики'!$B$1075*'18_Календарь_тарифы'!AQ4</f>
        <v/>
      </c>
      <c r="AR1818">
        <f>'19_Расчет_аналитики'!$B$1075*'18_Календарь_тарифы'!AR4</f>
        <v/>
      </c>
      <c r="AS1818">
        <f>'19_Расчет_аналитики'!$B$1075*'18_Календарь_тарифы'!AS4</f>
        <v/>
      </c>
      <c r="AT1818">
        <f>'19_Расчет_аналитики'!$B$1075*'18_Календарь_тарифы'!AT4</f>
        <v/>
      </c>
      <c r="AU1818">
        <f>'19_Расчет_аналитики'!$B$1075*'18_Календарь_тарифы'!AU4</f>
        <v/>
      </c>
      <c r="AV1818">
        <f>'19_Расчет_аналитики'!$B$1075*'18_Календарь_тарифы'!AV4</f>
        <v/>
      </c>
      <c r="AW1818">
        <f>'19_Расчет_аналитики'!$B$1075*'18_Календарь_тарифы'!AW4</f>
        <v/>
      </c>
      <c r="AX1818">
        <f>'19_Расчет_аналитики'!$B$1075*'18_Календарь_тарифы'!AX4</f>
        <v/>
      </c>
      <c r="AY1818">
        <f>'19_Расчет_аналитики'!$B$1075*'18_Календарь_тарифы'!AY4</f>
        <v/>
      </c>
      <c r="AZ1818">
        <f>'19_Расчет_аналитики'!$B$1075*'18_Календарь_тарифы'!AZ4</f>
        <v/>
      </c>
      <c r="BA1818">
        <f>'19_Расчет_аналитики'!$B$1075*'18_Календарь_тарифы'!BA4</f>
        <v/>
      </c>
      <c r="BB1818">
        <f>'19_Расчет_аналитики'!$B$1075*'18_Календарь_тарифы'!BB4</f>
        <v/>
      </c>
      <c r="BC1818">
        <f>'19_Расчет_аналитики'!$B$1075*'18_Календарь_тарифы'!BC4</f>
        <v/>
      </c>
      <c r="BD1818">
        <f>'19_Расчет_аналитики'!$B$1075*'18_Календарь_тарифы'!BD4</f>
        <v/>
      </c>
      <c r="BE1818">
        <f>'19_Расчет_аналитики'!$B$1075*'18_Календарь_тарифы'!BE4</f>
        <v/>
      </c>
      <c r="BF1818">
        <f>'19_Расчет_аналитики'!$B$1075*'18_Календарь_тарифы'!BF4</f>
        <v/>
      </c>
      <c r="BG1818">
        <f>'19_Расчет_аналитики'!$B$1075*'18_Календарь_тарифы'!BG4</f>
        <v/>
      </c>
      <c r="BH1818">
        <f>'19_Расчет_аналитики'!$B$1075*'18_Календарь_тарифы'!BH4</f>
        <v/>
      </c>
      <c r="BI1818">
        <f>'19_Расчет_аналитики'!$B$1075*'18_Календарь_тарифы'!BI4</f>
        <v/>
      </c>
      <c r="BJ1818">
        <f>'19_Расчет_аналитики'!$B$1075*'18_Календарь_тарифы'!BJ4</f>
        <v/>
      </c>
      <c r="BK1818">
        <f>'19_Расчет_аналитики'!$B$1075*'18_Календарь_тарифы'!BK4</f>
        <v/>
      </c>
      <c r="BL1818">
        <f>'19_Расчет_аналитики'!$B$1075*'18_Календарь_тарифы'!BL4</f>
        <v/>
      </c>
      <c r="BM1818">
        <f>'19_Расчет_аналитики'!$B$1075*'18_Календарь_тарифы'!BM4</f>
        <v/>
      </c>
      <c r="BN1818">
        <f>'19_Расчет_аналитики'!$B$1075*'18_Календарь_тарифы'!BN4</f>
        <v/>
      </c>
      <c r="BO1818">
        <f>'19_Расчет_аналитики'!$B$1075*'18_Календарь_тарифы'!BO4</f>
        <v/>
      </c>
    </row>
    <row r="1819"/>
    <row r="1820"/>
    <row r="1821">
      <c r="B1821">
        <f>'19_Расчет_аналитики'!$B$1050*'18_Календарь_тарифы'!B4</f>
        <v/>
      </c>
      <c r="C1821">
        <f>'19_Расчет_аналитики'!$B$1050*'18_Календарь_тарифы'!C4</f>
        <v/>
      </c>
      <c r="D1821">
        <f>'19_Расчет_аналитики'!$B$1050*'18_Календарь_тарифы'!D4</f>
        <v/>
      </c>
      <c r="E1821">
        <f>'19_Расчет_аналитики'!$B$1050*'18_Календарь_тарифы'!E4</f>
        <v/>
      </c>
      <c r="F1821">
        <f>'19_Расчет_аналитики'!$B$1050*'18_Календарь_тарифы'!F4</f>
        <v/>
      </c>
      <c r="G1821">
        <f>'19_Расчет_аналитики'!$B$1050*'18_Календарь_тарифы'!G4</f>
        <v/>
      </c>
      <c r="H1821">
        <f>'19_Расчет_аналитики'!$B$1050*'18_Календарь_тарифы'!H4</f>
        <v/>
      </c>
      <c r="I1821">
        <f>'19_Расчет_аналитики'!$B$1050*'18_Календарь_тарифы'!I4</f>
        <v/>
      </c>
      <c r="J1821">
        <f>'19_Расчет_аналитики'!$B$1050*'18_Календарь_тарифы'!J4</f>
        <v/>
      </c>
      <c r="K1821">
        <f>'19_Расчет_аналитики'!$B$1050*'18_Календарь_тарифы'!K4</f>
        <v/>
      </c>
      <c r="L1821">
        <f>'19_Расчет_аналитики'!$B$1050*'18_Календарь_тарифы'!L4</f>
        <v/>
      </c>
      <c r="M1821">
        <f>'19_Расчет_аналитики'!$B$1050*'18_Календарь_тарифы'!M4</f>
        <v/>
      </c>
      <c r="N1821">
        <f>'19_Расчет_аналитики'!$B$1050*'18_Календарь_тарифы'!N4</f>
        <v/>
      </c>
      <c r="O1821">
        <f>'19_Расчет_аналитики'!$B$1050*'18_Календарь_тарифы'!O4</f>
        <v/>
      </c>
      <c r="P1821">
        <f>'19_Расчет_аналитики'!$B$1050*'18_Календарь_тарифы'!P4</f>
        <v/>
      </c>
      <c r="Q1821">
        <f>'19_Расчет_аналитики'!$B$1050*'18_Календарь_тарифы'!Q4</f>
        <v/>
      </c>
      <c r="R1821">
        <f>'19_Расчет_аналитики'!$B$1050*'18_Календарь_тарифы'!R4</f>
        <v/>
      </c>
      <c r="S1821">
        <f>'19_Расчет_аналитики'!$B$1050*'18_Календарь_тарифы'!S4</f>
        <v/>
      </c>
      <c r="T1821">
        <f>'19_Расчет_аналитики'!$B$1050*'18_Календарь_тарифы'!T4</f>
        <v/>
      </c>
      <c r="U1821">
        <f>'19_Расчет_аналитики'!$B$1050*'18_Календарь_тарифы'!U4</f>
        <v/>
      </c>
      <c r="V1821">
        <f>'19_Расчет_аналитики'!$B$1050*'18_Календарь_тарифы'!V4</f>
        <v/>
      </c>
      <c r="W1821">
        <f>'19_Расчет_аналитики'!$B$1050*'18_Календарь_тарифы'!W4</f>
        <v/>
      </c>
      <c r="X1821">
        <f>'19_Расчет_аналитики'!$B$1050*'18_Календарь_тарифы'!X4</f>
        <v/>
      </c>
      <c r="Y1821">
        <f>'19_Расчет_аналитики'!$B$1050*'18_Календарь_тарифы'!Y4</f>
        <v/>
      </c>
      <c r="Z1821">
        <f>'19_Расчет_аналитики'!$B$1050*'18_Календарь_тарифы'!Z4</f>
        <v/>
      </c>
      <c r="AA1821">
        <f>'19_Расчет_аналитики'!$B$1050*'18_Календарь_тарифы'!AA4</f>
        <v/>
      </c>
      <c r="AB1821">
        <f>'19_Расчет_аналитики'!$B$1050*'18_Календарь_тарифы'!AB4</f>
        <v/>
      </c>
      <c r="AC1821">
        <f>'19_Расчет_аналитики'!$B$1050*'18_Календарь_тарифы'!AC4</f>
        <v/>
      </c>
      <c r="AD1821">
        <f>'19_Расчет_аналитики'!$B$1050*'18_Календарь_тарифы'!AD4</f>
        <v/>
      </c>
      <c r="AE1821">
        <f>'19_Расчет_аналитики'!$B$1050*'18_Календарь_тарифы'!AE4</f>
        <v/>
      </c>
      <c r="AF1821">
        <f>'19_Расчет_аналитики'!$B$1050*'18_Календарь_тарифы'!AF4</f>
        <v/>
      </c>
      <c r="AG1821">
        <f>'19_Расчет_аналитики'!$B$1050*'18_Календарь_тарифы'!AG4</f>
        <v/>
      </c>
      <c r="AH1821">
        <f>'19_Расчет_аналитики'!$B$1050*'18_Календарь_тарифы'!AH4</f>
        <v/>
      </c>
      <c r="AI1821">
        <f>'19_Расчет_аналитики'!$B$1050*'18_Календарь_тарифы'!AI4</f>
        <v/>
      </c>
      <c r="AJ1821">
        <f>'19_Расчет_аналитики'!$B$1050*'18_Календарь_тарифы'!AJ4</f>
        <v/>
      </c>
      <c r="AK1821">
        <f>'19_Расчет_аналитики'!$B$1050*'18_Календарь_тарифы'!AK4</f>
        <v/>
      </c>
      <c r="AL1821">
        <f>'19_Расчет_аналитики'!$B$1050*'18_Календарь_тарифы'!AL4</f>
        <v/>
      </c>
      <c r="AM1821">
        <f>'19_Расчет_аналитики'!$B$1050*'18_Календарь_тарифы'!AM4</f>
        <v/>
      </c>
      <c r="AN1821">
        <f>'19_Расчет_аналитики'!$B$1050*'18_Календарь_тарифы'!AN4</f>
        <v/>
      </c>
      <c r="AO1821">
        <f>'19_Расчет_аналитики'!$B$1050*'18_Календарь_тарифы'!AO4</f>
        <v/>
      </c>
      <c r="AP1821">
        <f>'19_Расчет_аналитики'!$B$1050*'18_Календарь_тарифы'!AP4</f>
        <v/>
      </c>
      <c r="AQ1821">
        <f>'19_Расчет_аналитики'!$B$1050*'18_Календарь_тарифы'!AQ4</f>
        <v/>
      </c>
      <c r="AR1821">
        <f>'19_Расчет_аналитики'!$B$1050*'18_Календарь_тарифы'!AR4</f>
        <v/>
      </c>
      <c r="AS1821">
        <f>'19_Расчет_аналитики'!$B$1050*'18_Календарь_тарифы'!AS4</f>
        <v/>
      </c>
      <c r="AT1821">
        <f>'19_Расчет_аналитики'!$B$1050*'18_Календарь_тарифы'!AT4</f>
        <v/>
      </c>
      <c r="AU1821">
        <f>'19_Расчет_аналитики'!$B$1050*'18_Календарь_тарифы'!AU4</f>
        <v/>
      </c>
      <c r="AV1821">
        <f>'19_Расчет_аналитики'!$B$1050*'18_Календарь_тарифы'!AV4</f>
        <v/>
      </c>
      <c r="AW1821">
        <f>'19_Расчет_аналитики'!$B$1050*'18_Календарь_тарифы'!AW4</f>
        <v/>
      </c>
      <c r="AX1821">
        <f>'19_Расчет_аналитики'!$B$1050*'18_Календарь_тарифы'!AX4</f>
        <v/>
      </c>
      <c r="AY1821">
        <f>'19_Расчет_аналитики'!$B$1050*'18_Календарь_тарифы'!AY4</f>
        <v/>
      </c>
      <c r="AZ1821">
        <f>'19_Расчет_аналитики'!$B$1050*'18_Календарь_тарифы'!AZ4</f>
        <v/>
      </c>
      <c r="BA1821">
        <f>'19_Расчет_аналитики'!$B$1050*'18_Календарь_тарифы'!BA4</f>
        <v/>
      </c>
      <c r="BB1821">
        <f>'19_Расчет_аналитики'!$B$1050*'18_Календарь_тарифы'!BB4</f>
        <v/>
      </c>
      <c r="BC1821">
        <f>'19_Расчет_аналитики'!$B$1050*'18_Календарь_тарифы'!BC4</f>
        <v/>
      </c>
      <c r="BD1821">
        <f>'19_Расчет_аналитики'!$B$1050*'18_Календарь_тарифы'!BD4</f>
        <v/>
      </c>
      <c r="BE1821">
        <f>'19_Расчет_аналитики'!$B$1050*'18_Календарь_тарифы'!BE4</f>
        <v/>
      </c>
      <c r="BF1821">
        <f>'19_Расчет_аналитики'!$B$1050*'18_Календарь_тарифы'!BF4</f>
        <v/>
      </c>
      <c r="BG1821">
        <f>'19_Расчет_аналитики'!$B$1050*'18_Календарь_тарифы'!BG4</f>
        <v/>
      </c>
      <c r="BH1821">
        <f>'19_Расчет_аналитики'!$B$1050*'18_Календарь_тарифы'!BH4</f>
        <v/>
      </c>
      <c r="BI1821">
        <f>'19_Расчет_аналитики'!$B$1050*'18_Календарь_тарифы'!BI4</f>
        <v/>
      </c>
      <c r="BJ1821">
        <f>'19_Расчет_аналитики'!$B$1050*'18_Календарь_тарифы'!BJ4</f>
        <v/>
      </c>
      <c r="BK1821">
        <f>'19_Расчет_аналитики'!$B$1050*'18_Календарь_тарифы'!BK4</f>
        <v/>
      </c>
      <c r="BL1821">
        <f>'19_Расчет_аналитики'!$B$1050*'18_Календарь_тарифы'!BL4</f>
        <v/>
      </c>
      <c r="BM1821">
        <f>'19_Расчет_аналитики'!$B$1050*'18_Календарь_тарифы'!BM4</f>
        <v/>
      </c>
      <c r="BN1821">
        <f>'19_Расчет_аналитики'!$B$1050*'18_Календарь_тарифы'!BN4</f>
        <v/>
      </c>
      <c r="BO1821">
        <f>'19_Расчет_аналитики'!$B$1050*'18_Календарь_тарифы'!BO4</f>
        <v/>
      </c>
    </row>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c r="A2027" t="inlineStr">
        <is>
          <t>Positive</t>
        </is>
      </c>
    </row>
    <row r="2028"/>
    <row r="2029">
      <c r="B2029">
        <f>'01_Вводные'!E198</f>
        <v/>
      </c>
      <c r="C2029">
        <f>'01_Вводные'!E199</f>
        <v/>
      </c>
      <c r="D2029">
        <f>'01_Вводные'!E200</f>
        <v/>
      </c>
      <c r="E2029">
        <f>'01_Вводные'!E201</f>
        <v/>
      </c>
      <c r="F2029">
        <f>'01_Вводные'!E202</f>
        <v/>
      </c>
      <c r="G2029">
        <f>'01_Вводные'!E203</f>
        <v/>
      </c>
    </row>
    <row r="2030"/>
    <row r="2031"/>
    <row r="2032"/>
    <row r="2033"/>
    <row r="2034"/>
    <row r="2035"/>
    <row r="2036"/>
    <row r="2037"/>
    <row r="2038"/>
    <row r="2039"/>
    <row r="2040"/>
    <row r="2041"/>
    <row r="2042"/>
    <row r="2043"/>
    <row r="2044"/>
    <row r="2045"/>
    <row r="2046"/>
    <row r="2047"/>
    <row r="2048"/>
    <row r="2049"/>
    <row r="2050"/>
    <row r="2051"/>
    <row r="2052"/>
    <row r="2053"/>
    <row r="2054">
      <c r="B2054">
        <f>'01_Вводные'!$B$225*'19_Расчет_аналитики'!$F$2239</f>
        <v/>
      </c>
    </row>
    <row r="2055"/>
    <row r="2056">
      <c r="B2056">
        <f>MAX(0,MIN(1,(30-'19_Расчет_аналитики'!B2054)/30))</f>
        <v/>
      </c>
    </row>
    <row r="2057"/>
    <row r="2058"/>
    <row r="2059"/>
    <row r="2060"/>
    <row r="2061"/>
    <row r="2062">
      <c r="B2062">
        <f>'01_Вводные'!$B$224*'19_Расчет_аналитики'!$F$2238</f>
        <v/>
      </c>
    </row>
    <row r="2063"/>
    <row r="2064"/>
    <row r="2065"/>
    <row r="2066"/>
    <row r="2067"/>
    <row r="2068"/>
    <row r="2069"/>
    <row r="2070"/>
    <row r="2071"/>
    <row r="2072">
      <c r="B2072">
        <f>'01_Вводные'!$B$210*'19_Расчет_аналитики'!$F$2234</f>
        <v/>
      </c>
    </row>
    <row r="2073">
      <c r="B2073">
        <f>'01_Вводные'!$B$211*'19_Расчет_аналитики'!$F$2234</f>
        <v/>
      </c>
    </row>
    <row r="2074">
      <c r="B2074">
        <f>'01_Вводные'!$B$212*'19_Расчет_аналитики'!$F$2234</f>
        <v/>
      </c>
    </row>
    <row r="2075">
      <c r="B2075">
        <f>'01_Вводные'!$B$213*'19_Расчет_аналитики'!$F$2234</f>
        <v/>
      </c>
    </row>
    <row r="2076">
      <c r="B2076">
        <f>'01_Вводные'!$B$214*'19_Расчет_аналитики'!$F$2234</f>
        <v/>
      </c>
    </row>
    <row r="2077"/>
    <row r="2078"/>
    <row r="2079"/>
    <row r="2080"/>
    <row r="2081"/>
    <row r="2082">
      <c r="B2082">
        <f>'01_Вводные'!$B$215*'19_Расчет_аналитики'!$F$2235</f>
        <v/>
      </c>
    </row>
    <row r="2083">
      <c r="B2083">
        <f>'01_Вводные'!$B$216*'19_Расчет_аналитики'!$F$2235</f>
        <v/>
      </c>
    </row>
    <row r="2084"/>
    <row r="2085"/>
    <row r="2086"/>
    <row r="2087">
      <c r="B2087">
        <f>'01_Вводные'!$B$217*'19_Расчет_аналитики'!$F$2236</f>
        <v/>
      </c>
    </row>
    <row r="2088"/>
    <row r="2089"/>
    <row r="2090"/>
    <row r="2091"/>
    <row r="2092"/>
    <row r="2093"/>
    <row r="2094"/>
    <row r="2095"/>
    <row r="2096"/>
    <row r="2097"/>
    <row r="2098"/>
    <row r="2099">
      <c r="C2099">
        <f>'01_Вводные'!$B$218*'19_Расчет_аналитики'!$F$2236</f>
        <v/>
      </c>
    </row>
    <row r="2100">
      <c r="C2100">
        <f>'01_Вводные'!$B$219*'19_Расчет_аналитики'!$F$2236</f>
        <v/>
      </c>
    </row>
    <row r="2101">
      <c r="C2101">
        <f>'01_Вводные'!$B$220*'19_Расчет_аналитики'!$F$2236</f>
        <v/>
      </c>
    </row>
    <row r="2102">
      <c r="C2102">
        <f>'01_Вводные'!$B$221*'19_Расчет_аналитики'!$F$2236</f>
        <v/>
      </c>
    </row>
    <row r="2103">
      <c r="C2103">
        <f>'01_Вводные'!$B$222*'19_Расчет_аналитики'!$F$2236</f>
        <v/>
      </c>
    </row>
    <row r="2104"/>
    <row r="2105"/>
    <row r="2106"/>
    <row r="2107"/>
    <row r="2108"/>
    <row r="2109"/>
    <row r="2110">
      <c r="B2110">
        <f>'01_Вводные'!$B$223*'19_Расчет_аналитики'!$F$2237</f>
        <v/>
      </c>
    </row>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c r="F2234">
        <f>'19_Расчет_аналитики'!$B$2029</f>
        <v/>
      </c>
    </row>
    <row r="2235">
      <c r="F2235">
        <f>'19_Расчет_аналитики'!$C$2029</f>
        <v/>
      </c>
    </row>
    <row r="2236">
      <c r="F2236">
        <f>'19_Расчет_аналитики'!$D$2029</f>
        <v/>
      </c>
    </row>
    <row r="2237">
      <c r="F2237">
        <f>'19_Расчет_аналитики'!$E$2029</f>
        <v/>
      </c>
    </row>
    <row r="2238">
      <c r="F2238">
        <f>'19_Расчет_аналитики'!$F$2029</f>
        <v/>
      </c>
    </row>
    <row r="2239">
      <c r="F2239">
        <f>'19_Расчет_аналитики'!$G$2029</f>
        <v/>
      </c>
    </row>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c r="B2352">
        <f>'19_Расчет_аналитики'!B2072</f>
        <v/>
      </c>
      <c r="D2352">
        <f>SUM('19_Расчет_аналитики'!B2362:M2362)</f>
        <v/>
      </c>
      <c r="E2352">
        <f>ROUND('19_Расчет_аналитики'!D2352-'19_Расчет_аналитики'!B2352,8)</f>
        <v/>
      </c>
    </row>
    <row r="2353">
      <c r="B2353">
        <f>'19_Расчет_аналитики'!B2073</f>
        <v/>
      </c>
      <c r="D2353">
        <f>SUM('19_Расчет_аналитики'!N2362:Y2362)</f>
        <v/>
      </c>
      <c r="E2353">
        <f>ROUND('19_Расчет_аналитики'!D2353-'19_Расчет_аналитики'!B2353,8)</f>
        <v/>
      </c>
    </row>
    <row r="2354">
      <c r="B2354">
        <f>'19_Расчет_аналитики'!B2074</f>
        <v/>
      </c>
      <c r="D2354">
        <f>SUM('19_Расчет_аналитики'!Z2362:AK2362)</f>
        <v/>
      </c>
      <c r="E2354">
        <f>ROUND('19_Расчет_аналитики'!D2354-'19_Расчет_аналитики'!B2354,8)</f>
        <v/>
      </c>
    </row>
    <row r="2355">
      <c r="B2355">
        <f>'19_Расчет_аналитики'!B2075</f>
        <v/>
      </c>
      <c r="D2355">
        <f>SUM('19_Расчет_аналитики'!AL2362:AW2362)</f>
        <v/>
      </c>
      <c r="E2355">
        <f>ROUND('19_Расчет_аналитики'!D2355-'19_Расчет_аналитики'!B2355,8)</f>
        <v/>
      </c>
    </row>
    <row r="2356">
      <c r="B2356">
        <f>'19_Расчет_аналитики'!B2076</f>
        <v/>
      </c>
      <c r="D2356">
        <f>SUM('19_Расчет_аналитики'!AX2362:BI2362)</f>
        <v/>
      </c>
      <c r="E2356">
        <f>ROUND('19_Расчет_аналитики'!D2356-'19_Расчет_аналитики'!B2356,8)</f>
        <v/>
      </c>
    </row>
    <row r="2357"/>
    <row r="2358"/>
    <row r="2359"/>
    <row r="2360"/>
    <row r="2361"/>
    <row r="2362">
      <c r="B2362">
        <f>0</f>
        <v/>
      </c>
      <c r="C2362">
        <f>'19_Расчет_аналитики'!$B$2072*INDEX('01_Вводные'!$C$36:$N$36,1,MOD(MONTH('06_Сеть_и_дети'!C$3)-9,12)+1)/(SUM('01_Вводные'!$C$36:$N$36)-INDEX('01_Вводные'!$C$36:$N$36,1,MOD(MONTH('01_Вводные'!$B$7)-9,12)+1))</f>
        <v/>
      </c>
      <c r="D2362">
        <f>'19_Расчет_аналитики'!$B$2072*INDEX('01_Вводные'!$C$36:$N$36,1,MOD(MONTH('06_Сеть_и_дети'!D$3)-9,12)+1)/(SUM('01_Вводные'!$C$36:$N$36)-INDEX('01_Вводные'!$C$36:$N$36,1,MOD(MONTH('01_Вводные'!$B$7)-9,12)+1))</f>
        <v/>
      </c>
      <c r="E2362">
        <f>'19_Расчет_аналитики'!$B$2072*INDEX('01_Вводные'!$C$36:$N$36,1,MOD(MONTH('06_Сеть_и_дети'!E$3)-9,12)+1)/(SUM('01_Вводные'!$C$36:$N$36)-INDEX('01_Вводные'!$C$36:$N$36,1,MOD(MONTH('01_Вводные'!$B$7)-9,12)+1))</f>
        <v/>
      </c>
      <c r="F2362">
        <f>'19_Расчет_аналитики'!$B$2072*INDEX('01_Вводные'!$C$36:$N$36,1,MOD(MONTH('06_Сеть_и_дети'!F$3)-9,12)+1)/(SUM('01_Вводные'!$C$36:$N$36)-INDEX('01_Вводные'!$C$36:$N$36,1,MOD(MONTH('01_Вводные'!$B$7)-9,12)+1))</f>
        <v/>
      </c>
      <c r="G2362">
        <f>'19_Расчет_аналитики'!$B$2072*INDEX('01_Вводные'!$C$36:$N$36,1,MOD(MONTH('06_Сеть_и_дети'!G$3)-9,12)+1)/(SUM('01_Вводные'!$C$36:$N$36)-INDEX('01_Вводные'!$C$36:$N$36,1,MOD(MONTH('01_Вводные'!$B$7)-9,12)+1))</f>
        <v/>
      </c>
      <c r="H2362">
        <f>'19_Расчет_аналитики'!$B$2072*INDEX('01_Вводные'!$C$36:$N$36,1,MOD(MONTH('06_Сеть_и_дети'!H$3)-9,12)+1)/(SUM('01_Вводные'!$C$36:$N$36)-INDEX('01_Вводные'!$C$36:$N$36,1,MOD(MONTH('01_Вводные'!$B$7)-9,12)+1))</f>
        <v/>
      </c>
      <c r="I2362">
        <f>'19_Расчет_аналитики'!$B$2072*INDEX('01_Вводные'!$C$36:$N$36,1,MOD(MONTH('06_Сеть_и_дети'!I$3)-9,12)+1)/(SUM('01_Вводные'!$C$36:$N$36)-INDEX('01_Вводные'!$C$36:$N$36,1,MOD(MONTH('01_Вводные'!$B$7)-9,12)+1))</f>
        <v/>
      </c>
      <c r="J2362">
        <f>'19_Расчет_аналитики'!$B$2072*INDEX('01_Вводные'!$C$36:$N$36,1,MOD(MONTH('06_Сеть_и_дети'!J$3)-9,12)+1)/(SUM('01_Вводные'!$C$36:$N$36)-INDEX('01_Вводные'!$C$36:$N$36,1,MOD(MONTH('01_Вводные'!$B$7)-9,12)+1))</f>
        <v/>
      </c>
      <c r="K2362">
        <f>'19_Расчет_аналитики'!$B$2072*INDEX('01_Вводные'!$C$36:$N$36,1,MOD(MONTH('06_Сеть_и_дети'!K$3)-9,12)+1)/(SUM('01_Вводные'!$C$36:$N$36)-INDEX('01_Вводные'!$C$36:$N$36,1,MOD(MONTH('01_Вводные'!$B$7)-9,12)+1))</f>
        <v/>
      </c>
      <c r="L2362">
        <f>'19_Расчет_аналитики'!$B$2072*INDEX('01_Вводные'!$C$36:$N$36,1,MOD(MONTH('06_Сеть_и_дети'!L$3)-9,12)+1)/(SUM('01_Вводные'!$C$36:$N$36)-INDEX('01_Вводные'!$C$36:$N$36,1,MOD(MONTH('01_Вводные'!$B$7)-9,12)+1))</f>
        <v/>
      </c>
      <c r="M2362">
        <f>'19_Расчет_аналитики'!$B$2072*INDEX('01_Вводные'!$C$36:$N$36,1,MOD(MONTH('06_Сеть_и_дети'!M$3)-9,12)+1)/(SUM('01_Вводные'!$C$36:$N$36)-INDEX('01_Вводные'!$C$36:$N$36,1,MOD(MONTH('01_Вводные'!$B$7)-9,12)+1))</f>
        <v/>
      </c>
      <c r="N2362">
        <f>'19_Расчет_аналитики'!$B$2073*INDEX('01_Вводные'!$C$37:$N$37,1,MOD(MONTH('06_Сеть_и_дети'!N$3)-9,12)+1)/SUM('01_Вводные'!$C$37:$N$37)</f>
        <v/>
      </c>
      <c r="O2362">
        <f>'19_Расчет_аналитики'!$B$2073*INDEX('01_Вводные'!$C$37:$N$37,1,MOD(MONTH('06_Сеть_и_дети'!O$3)-9,12)+1)/SUM('01_Вводные'!$C$37:$N$37)</f>
        <v/>
      </c>
      <c r="P2362">
        <f>'19_Расчет_аналитики'!$B$2073*INDEX('01_Вводные'!$C$37:$N$37,1,MOD(MONTH('06_Сеть_и_дети'!P$3)-9,12)+1)/SUM('01_Вводные'!$C$37:$N$37)</f>
        <v/>
      </c>
      <c r="Q2362">
        <f>'19_Расчет_аналитики'!$B$2073*INDEX('01_Вводные'!$C$37:$N$37,1,MOD(MONTH('06_Сеть_и_дети'!Q$3)-9,12)+1)/SUM('01_Вводные'!$C$37:$N$37)</f>
        <v/>
      </c>
      <c r="R2362">
        <f>'19_Расчет_аналитики'!$B$2073*INDEX('01_Вводные'!$C$37:$N$37,1,MOD(MONTH('06_Сеть_и_дети'!R$3)-9,12)+1)/SUM('01_Вводные'!$C$37:$N$37)</f>
        <v/>
      </c>
      <c r="S2362">
        <f>'19_Расчет_аналитики'!$B$2073*INDEX('01_Вводные'!$C$37:$N$37,1,MOD(MONTH('06_Сеть_и_дети'!S$3)-9,12)+1)/SUM('01_Вводные'!$C$37:$N$37)</f>
        <v/>
      </c>
      <c r="T2362">
        <f>'19_Расчет_аналитики'!$B$2073*INDEX('01_Вводные'!$C$37:$N$37,1,MOD(MONTH('06_Сеть_и_дети'!T$3)-9,12)+1)/SUM('01_Вводные'!$C$37:$N$37)</f>
        <v/>
      </c>
      <c r="U2362">
        <f>'19_Расчет_аналитики'!$B$2073*INDEX('01_Вводные'!$C$37:$N$37,1,MOD(MONTH('06_Сеть_и_дети'!U$3)-9,12)+1)/SUM('01_Вводные'!$C$37:$N$37)</f>
        <v/>
      </c>
      <c r="V2362">
        <f>'19_Расчет_аналитики'!$B$2073*INDEX('01_Вводные'!$C$37:$N$37,1,MOD(MONTH('06_Сеть_и_дети'!V$3)-9,12)+1)/SUM('01_Вводные'!$C$37:$N$37)</f>
        <v/>
      </c>
      <c r="W2362">
        <f>'19_Расчет_аналитики'!$B$2073*INDEX('01_Вводные'!$C$37:$N$37,1,MOD(MONTH('06_Сеть_и_дети'!W$3)-9,12)+1)/SUM('01_Вводные'!$C$37:$N$37)</f>
        <v/>
      </c>
      <c r="X2362">
        <f>'19_Расчет_аналитики'!$B$2073*INDEX('01_Вводные'!$C$37:$N$37,1,MOD(MONTH('06_Сеть_и_дети'!X$3)-9,12)+1)/SUM('01_Вводные'!$C$37:$N$37)</f>
        <v/>
      </c>
      <c r="Y2362">
        <f>'19_Расчет_аналитики'!$B$2073*INDEX('01_Вводные'!$C$37:$N$37,1,MOD(MONTH('06_Сеть_и_дети'!Y$3)-9,12)+1)/SUM('01_Вводные'!$C$37:$N$37)</f>
        <v/>
      </c>
      <c r="Z2362">
        <f>'19_Расчет_аналитики'!$B$2074*INDEX('01_Вводные'!$C$38:$N$38,1,MOD(MONTH('06_Сеть_и_дети'!Z$3)-9,12)+1)/SUM('01_Вводные'!$C$38:$N$38)</f>
        <v/>
      </c>
      <c r="AA2362">
        <f>'19_Расчет_аналитики'!$B$2074*INDEX('01_Вводные'!$C$38:$N$38,1,MOD(MONTH('06_Сеть_и_дети'!AA$3)-9,12)+1)/SUM('01_Вводные'!$C$38:$N$38)</f>
        <v/>
      </c>
      <c r="AB2362">
        <f>'19_Расчет_аналитики'!$B$2074*INDEX('01_Вводные'!$C$38:$N$38,1,MOD(MONTH('06_Сеть_и_дети'!AB$3)-9,12)+1)/SUM('01_Вводные'!$C$38:$N$38)</f>
        <v/>
      </c>
      <c r="AC2362">
        <f>'19_Расчет_аналитики'!$B$2074*INDEX('01_Вводные'!$C$38:$N$38,1,MOD(MONTH('06_Сеть_и_дети'!AC$3)-9,12)+1)/SUM('01_Вводные'!$C$38:$N$38)</f>
        <v/>
      </c>
      <c r="AD2362">
        <f>'19_Расчет_аналитики'!$B$2074*INDEX('01_Вводные'!$C$38:$N$38,1,MOD(MONTH('06_Сеть_и_дети'!AD$3)-9,12)+1)/SUM('01_Вводные'!$C$38:$N$38)</f>
        <v/>
      </c>
      <c r="AE2362">
        <f>'19_Расчет_аналитики'!$B$2074*INDEX('01_Вводные'!$C$38:$N$38,1,MOD(MONTH('06_Сеть_и_дети'!AE$3)-9,12)+1)/SUM('01_Вводные'!$C$38:$N$38)</f>
        <v/>
      </c>
      <c r="AF2362">
        <f>'19_Расчет_аналитики'!$B$2074*INDEX('01_Вводные'!$C$38:$N$38,1,MOD(MONTH('06_Сеть_и_дети'!AF$3)-9,12)+1)/SUM('01_Вводные'!$C$38:$N$38)</f>
        <v/>
      </c>
      <c r="AG2362">
        <f>'19_Расчет_аналитики'!$B$2074*INDEX('01_Вводные'!$C$38:$N$38,1,MOD(MONTH('06_Сеть_и_дети'!AG$3)-9,12)+1)/SUM('01_Вводные'!$C$38:$N$38)</f>
        <v/>
      </c>
      <c r="AH2362">
        <f>'19_Расчет_аналитики'!$B$2074*INDEX('01_Вводные'!$C$38:$N$38,1,MOD(MONTH('06_Сеть_и_дети'!AH$3)-9,12)+1)/SUM('01_Вводные'!$C$38:$N$38)</f>
        <v/>
      </c>
      <c r="AI2362">
        <f>'19_Расчет_аналитики'!$B$2074*INDEX('01_Вводные'!$C$38:$N$38,1,MOD(MONTH('06_Сеть_и_дети'!AI$3)-9,12)+1)/SUM('01_Вводные'!$C$38:$N$38)</f>
        <v/>
      </c>
      <c r="AJ2362">
        <f>'19_Расчет_аналитики'!$B$2074*INDEX('01_Вводные'!$C$38:$N$38,1,MOD(MONTH('06_Сеть_и_дети'!AJ$3)-9,12)+1)/SUM('01_Вводные'!$C$38:$N$38)</f>
        <v/>
      </c>
      <c r="AK2362">
        <f>'19_Расчет_аналитики'!$B$2074*INDEX('01_Вводные'!$C$38:$N$38,1,MOD(MONTH('06_Сеть_и_дети'!AK$3)-9,12)+1)/SUM('01_Вводные'!$C$38:$N$38)</f>
        <v/>
      </c>
      <c r="AL2362">
        <f>'19_Расчет_аналитики'!$B$2075*INDEX('01_Вводные'!$C$39:$N$39,1,MOD(MONTH('06_Сеть_и_дети'!AL$3)-9,12)+1)/SUM('01_Вводные'!$C$39:$N$39)</f>
        <v/>
      </c>
      <c r="AM2362">
        <f>'19_Расчет_аналитики'!$B$2075*INDEX('01_Вводные'!$C$39:$N$39,1,MOD(MONTH('06_Сеть_и_дети'!AM$3)-9,12)+1)/SUM('01_Вводные'!$C$39:$N$39)</f>
        <v/>
      </c>
      <c r="AN2362">
        <f>'19_Расчет_аналитики'!$B$2075*INDEX('01_Вводные'!$C$39:$N$39,1,MOD(MONTH('06_Сеть_и_дети'!AN$3)-9,12)+1)/SUM('01_Вводные'!$C$39:$N$39)</f>
        <v/>
      </c>
      <c r="AO2362">
        <f>'19_Расчет_аналитики'!$B$2075*INDEX('01_Вводные'!$C$39:$N$39,1,MOD(MONTH('06_Сеть_и_дети'!AO$3)-9,12)+1)/SUM('01_Вводные'!$C$39:$N$39)</f>
        <v/>
      </c>
      <c r="AP2362">
        <f>'19_Расчет_аналитики'!$B$2075*INDEX('01_Вводные'!$C$39:$N$39,1,MOD(MONTH('06_Сеть_и_дети'!AP$3)-9,12)+1)/SUM('01_Вводные'!$C$39:$N$39)</f>
        <v/>
      </c>
      <c r="AQ2362">
        <f>'19_Расчет_аналитики'!$B$2075*INDEX('01_Вводные'!$C$39:$N$39,1,MOD(MONTH('06_Сеть_и_дети'!AQ$3)-9,12)+1)/SUM('01_Вводные'!$C$39:$N$39)</f>
        <v/>
      </c>
      <c r="AR2362">
        <f>'19_Расчет_аналитики'!$B$2075*INDEX('01_Вводные'!$C$39:$N$39,1,MOD(MONTH('06_Сеть_и_дети'!AR$3)-9,12)+1)/SUM('01_Вводные'!$C$39:$N$39)</f>
        <v/>
      </c>
      <c r="AS2362">
        <f>'19_Расчет_аналитики'!$B$2075*INDEX('01_Вводные'!$C$39:$N$39,1,MOD(MONTH('06_Сеть_и_дети'!AS$3)-9,12)+1)/SUM('01_Вводные'!$C$39:$N$39)</f>
        <v/>
      </c>
      <c r="AT2362">
        <f>'19_Расчет_аналитики'!$B$2075*INDEX('01_Вводные'!$C$39:$N$39,1,MOD(MONTH('06_Сеть_и_дети'!AT$3)-9,12)+1)/SUM('01_Вводные'!$C$39:$N$39)</f>
        <v/>
      </c>
      <c r="AU2362">
        <f>'19_Расчет_аналитики'!$B$2075*INDEX('01_Вводные'!$C$39:$N$39,1,MOD(MONTH('06_Сеть_и_дети'!AU$3)-9,12)+1)/SUM('01_Вводные'!$C$39:$N$39)</f>
        <v/>
      </c>
      <c r="AV2362">
        <f>'19_Расчет_аналитики'!$B$2075*INDEX('01_Вводные'!$C$39:$N$39,1,MOD(MONTH('06_Сеть_и_дети'!AV$3)-9,12)+1)/SUM('01_Вводные'!$C$39:$N$39)</f>
        <v/>
      </c>
      <c r="AW2362">
        <f>'19_Расчет_аналитики'!$B$2075*INDEX('01_Вводные'!$C$39:$N$39,1,MOD(MONTH('06_Сеть_и_дети'!AW$3)-9,12)+1)/SUM('01_Вводные'!$C$39:$N$39)</f>
        <v/>
      </c>
      <c r="AX2362">
        <f>'19_Расчет_аналитики'!$B$2076*INDEX('01_Вводные'!$C$40:$N$40,1,MOD(MONTH('06_Сеть_и_дети'!AX$3)-9,12)+1)/SUM('01_Вводные'!$C$40:$N$40)</f>
        <v/>
      </c>
      <c r="AY2362">
        <f>'19_Расчет_аналитики'!$B$2076*INDEX('01_Вводные'!$C$40:$N$40,1,MOD(MONTH('06_Сеть_и_дети'!AY$3)-9,12)+1)/SUM('01_Вводные'!$C$40:$N$40)</f>
        <v/>
      </c>
      <c r="AZ2362">
        <f>'19_Расчет_аналитики'!$B$2076*INDEX('01_Вводные'!$C$40:$N$40,1,MOD(MONTH('06_Сеть_и_дети'!AZ$3)-9,12)+1)/SUM('01_Вводные'!$C$40:$N$40)</f>
        <v/>
      </c>
      <c r="BA2362">
        <f>'19_Расчет_аналитики'!$B$2076*INDEX('01_Вводные'!$C$40:$N$40,1,MOD(MONTH('06_Сеть_и_дети'!BA$3)-9,12)+1)/SUM('01_Вводные'!$C$40:$N$40)</f>
        <v/>
      </c>
      <c r="BB2362">
        <f>'19_Расчет_аналитики'!$B$2076*INDEX('01_Вводные'!$C$40:$N$40,1,MOD(MONTH('06_Сеть_и_дети'!BB$3)-9,12)+1)/SUM('01_Вводные'!$C$40:$N$40)</f>
        <v/>
      </c>
      <c r="BC2362">
        <f>'19_Расчет_аналитики'!$B$2076*INDEX('01_Вводные'!$C$40:$N$40,1,MOD(MONTH('06_Сеть_и_дети'!BC$3)-9,12)+1)/SUM('01_Вводные'!$C$40:$N$40)</f>
        <v/>
      </c>
      <c r="BD2362">
        <f>'19_Расчет_аналитики'!$B$2076*INDEX('01_Вводные'!$C$40:$N$40,1,MOD(MONTH('06_Сеть_и_дети'!BD$3)-9,12)+1)/SUM('01_Вводные'!$C$40:$N$40)</f>
        <v/>
      </c>
      <c r="BE2362">
        <f>'19_Расчет_аналитики'!$B$2076*INDEX('01_Вводные'!$C$40:$N$40,1,MOD(MONTH('06_Сеть_и_дети'!BE$3)-9,12)+1)/SUM('01_Вводные'!$C$40:$N$40)</f>
        <v/>
      </c>
      <c r="BF2362">
        <f>'19_Расчет_аналитики'!$B$2076*INDEX('01_Вводные'!$C$40:$N$40,1,MOD(MONTH('06_Сеть_и_дети'!BF$3)-9,12)+1)/SUM('01_Вводные'!$C$40:$N$40)</f>
        <v/>
      </c>
      <c r="BG2362">
        <f>'19_Расчет_аналитики'!$B$2076*INDEX('01_Вводные'!$C$40:$N$40,1,MOD(MONTH('06_Сеть_и_дети'!BG$3)-9,12)+1)/SUM('01_Вводные'!$C$40:$N$40)</f>
        <v/>
      </c>
      <c r="BH2362">
        <f>'19_Расчет_аналитики'!$B$2076*INDEX('01_Вводные'!$C$40:$N$40,1,MOD(MONTH('06_Сеть_и_дети'!BH$3)-9,12)+1)/SUM('01_Вводные'!$C$40:$N$40)</f>
        <v/>
      </c>
      <c r="BI2362">
        <f>'19_Расчет_аналитики'!$B$2076*INDEX('01_Вводные'!$C$40:$N$40,1,MOD(MONTH('06_Сеть_и_дети'!BI$3)-9,12)+1)/SUM('01_Вводные'!$C$40:$N$40)</f>
        <v/>
      </c>
    </row>
    <row r="2363">
      <c r="A2363" t="inlineStr">
        <is>
          <t>Минимальный запас для возврата займа</t>
        </is>
      </c>
      <c r="B2363">
        <f>SUM(IF('01_Вводные'!$B$310&gt;=1,'19_Расчет_аналитики'!C2641,0),IF('01_Вводные'!$B$310&gt;=2,'19_Расчет_аналитики'!D2641,0),IF('01_Вводные'!$B$310&gt;=3,'19_Расчет_аналитики'!E2641,0),IF('01_Вводные'!$B$310&gt;=4,'19_Расчет_аналитики'!F2641,0),IF('01_Вводные'!$B$310&gt;=5,'19_Расчет_аналитики'!G2641,0),IF('01_Вводные'!$B$310&gt;=6,'19_Расчет_аналитики'!H2641,0))</f>
        <v/>
      </c>
      <c r="C2363">
        <f>SUM(IF('01_Вводные'!$B$310&gt;=1,'19_Расчет_аналитики'!D2641,0),IF('01_Вводные'!$B$310&gt;=2,'19_Расчет_аналитики'!E2641,0),IF('01_Вводные'!$B$310&gt;=3,'19_Расчет_аналитики'!F2641,0),IF('01_Вводные'!$B$310&gt;=4,'19_Расчет_аналитики'!G2641,0),IF('01_Вводные'!$B$310&gt;=5,'19_Расчет_аналитики'!H2641,0),IF('01_Вводные'!$B$310&gt;=6,'19_Расчет_аналитики'!I2641,0))</f>
        <v/>
      </c>
      <c r="D2363">
        <f>SUM(IF('01_Вводные'!$B$310&gt;=1,'19_Расчет_аналитики'!E2641,0),IF('01_Вводные'!$B$310&gt;=2,'19_Расчет_аналитики'!F2641,0),IF('01_Вводные'!$B$310&gt;=3,'19_Расчет_аналитики'!G2641,0),IF('01_Вводные'!$B$310&gt;=4,'19_Расчет_аналитики'!H2641,0),IF('01_Вводные'!$B$310&gt;=5,'19_Расчет_аналитики'!I2641,0),IF('01_Вводные'!$B$310&gt;=6,'19_Расчет_аналитики'!J2641,0))</f>
        <v/>
      </c>
      <c r="E2363">
        <f>SUM(IF('01_Вводные'!$B$310&gt;=1,'19_Расчет_аналитики'!F2641,0),IF('01_Вводные'!$B$310&gt;=2,'19_Расчет_аналитики'!G2641,0),IF('01_Вводные'!$B$310&gt;=3,'19_Расчет_аналитики'!H2641,0),IF('01_Вводные'!$B$310&gt;=4,'19_Расчет_аналитики'!I2641,0),IF('01_Вводные'!$B$310&gt;=5,'19_Расчет_аналитики'!J2641,0),IF('01_Вводные'!$B$310&gt;=6,'19_Расчет_аналитики'!K2641,0))</f>
        <v/>
      </c>
      <c r="F2363">
        <f>SUM(IF('01_Вводные'!$B$310&gt;=1,'19_Расчет_аналитики'!G2641,0),IF('01_Вводные'!$B$310&gt;=2,'19_Расчет_аналитики'!H2641,0),IF('01_Вводные'!$B$310&gt;=3,'19_Расчет_аналитики'!I2641,0),IF('01_Вводные'!$B$310&gt;=4,'19_Расчет_аналитики'!J2641,0),IF('01_Вводные'!$B$310&gt;=5,'19_Расчет_аналитики'!K2641,0),IF('01_Вводные'!$B$310&gt;=6,'19_Расчет_аналитики'!L2641,0))</f>
        <v/>
      </c>
      <c r="G2363">
        <f>SUM(IF('01_Вводные'!$B$310&gt;=1,'19_Расчет_аналитики'!H2641,0),IF('01_Вводные'!$B$310&gt;=2,'19_Расчет_аналитики'!I2641,0),IF('01_Вводные'!$B$310&gt;=3,'19_Расчет_аналитики'!J2641,0),IF('01_Вводные'!$B$310&gt;=4,'19_Расчет_аналитики'!K2641,0),IF('01_Вводные'!$B$310&gt;=5,'19_Расчет_аналитики'!L2641,0),IF('01_Вводные'!$B$310&gt;=6,'19_Расчет_аналитики'!M2641,0))</f>
        <v/>
      </c>
      <c r="H2363">
        <f>SUM(IF('01_Вводные'!$B$310&gt;=1,'19_Расчет_аналитики'!I2641,0),IF('01_Вводные'!$B$310&gt;=2,'19_Расчет_аналитики'!J2641,0),IF('01_Вводные'!$B$310&gt;=3,'19_Расчет_аналитики'!K2641,0),IF('01_Вводные'!$B$310&gt;=4,'19_Расчет_аналитики'!L2641,0),IF('01_Вводные'!$B$310&gt;=5,'19_Расчет_аналитики'!M2641,0),IF('01_Вводные'!$B$310&gt;=6,'19_Расчет_аналитики'!N2641,0))</f>
        <v/>
      </c>
      <c r="I2363">
        <f>SUM(IF('01_Вводные'!$B$310&gt;=1,'19_Расчет_аналитики'!J2641,0),IF('01_Вводные'!$B$310&gt;=2,'19_Расчет_аналитики'!K2641,0),IF('01_Вводные'!$B$310&gt;=3,'19_Расчет_аналитики'!L2641,0),IF('01_Вводные'!$B$310&gt;=4,'19_Расчет_аналитики'!M2641,0),IF('01_Вводные'!$B$310&gt;=5,'19_Расчет_аналитики'!N2641,0),IF('01_Вводные'!$B$310&gt;=6,'19_Расчет_аналитики'!O2641,0))</f>
        <v/>
      </c>
      <c r="J2363">
        <f>SUM(IF('01_Вводные'!$B$310&gt;=1,'19_Расчет_аналитики'!K2641,0),IF('01_Вводные'!$B$310&gt;=2,'19_Расчет_аналитики'!L2641,0),IF('01_Вводные'!$B$310&gt;=3,'19_Расчет_аналитики'!M2641,0),IF('01_Вводные'!$B$310&gt;=4,'19_Расчет_аналитики'!N2641,0),IF('01_Вводные'!$B$310&gt;=5,'19_Расчет_аналитики'!O2641,0),IF('01_Вводные'!$B$310&gt;=6,'19_Расчет_аналитики'!P2641,0))</f>
        <v/>
      </c>
      <c r="K2363">
        <f>SUM(IF('01_Вводные'!$B$310&gt;=1,'19_Расчет_аналитики'!L2641,0),IF('01_Вводные'!$B$310&gt;=2,'19_Расчет_аналитики'!M2641,0),IF('01_Вводные'!$B$310&gt;=3,'19_Расчет_аналитики'!N2641,0),IF('01_Вводные'!$B$310&gt;=4,'19_Расчет_аналитики'!O2641,0),IF('01_Вводные'!$B$310&gt;=5,'19_Расчет_аналитики'!P2641,0),IF('01_Вводные'!$B$310&gt;=6,'19_Расчет_аналитики'!Q2641,0))</f>
        <v/>
      </c>
      <c r="L2363">
        <f>SUM(IF('01_Вводные'!$B$310&gt;=1,'19_Расчет_аналитики'!M2641,0),IF('01_Вводные'!$B$310&gt;=2,'19_Расчет_аналитики'!N2641,0),IF('01_Вводные'!$B$310&gt;=3,'19_Расчет_аналитики'!O2641,0),IF('01_Вводные'!$B$310&gt;=4,'19_Расчет_аналитики'!P2641,0),IF('01_Вводные'!$B$310&gt;=5,'19_Расчет_аналитики'!Q2641,0),IF('01_Вводные'!$B$310&gt;=6,'19_Расчет_аналитики'!R2641,0))</f>
        <v/>
      </c>
      <c r="M2363">
        <f>SUM(IF('01_Вводные'!$B$310&gt;=1,'19_Расчет_аналитики'!N2641,0),IF('01_Вводные'!$B$310&gt;=2,'19_Расчет_аналитики'!O2641,0),IF('01_Вводные'!$B$310&gt;=3,'19_Расчет_аналитики'!P2641,0),IF('01_Вводные'!$B$310&gt;=4,'19_Расчет_аналитики'!Q2641,0),IF('01_Вводные'!$B$310&gt;=5,'19_Расчет_аналитики'!R2641,0),IF('01_Вводные'!$B$310&gt;=6,'19_Расчет_аналитики'!S2641,0))</f>
        <v/>
      </c>
      <c r="N2363">
        <f>SUM(IF('01_Вводные'!$B$310&gt;=1,'19_Расчет_аналитики'!O2641,0),IF('01_Вводные'!$B$310&gt;=2,'19_Расчет_аналитики'!P2641,0),IF('01_Вводные'!$B$310&gt;=3,'19_Расчет_аналитики'!Q2641,0),IF('01_Вводные'!$B$310&gt;=4,'19_Расчет_аналитики'!R2641,0),IF('01_Вводные'!$B$310&gt;=5,'19_Расчет_аналитики'!S2641,0),IF('01_Вводные'!$B$310&gt;=6,'19_Расчет_аналитики'!T2641,0))</f>
        <v/>
      </c>
      <c r="O2363">
        <f>SUM(IF('01_Вводные'!$B$310&gt;=1,'19_Расчет_аналитики'!P2641,0),IF('01_Вводные'!$B$310&gt;=2,'19_Расчет_аналитики'!Q2641,0),IF('01_Вводные'!$B$310&gt;=3,'19_Расчет_аналитики'!R2641,0),IF('01_Вводные'!$B$310&gt;=4,'19_Расчет_аналитики'!S2641,0),IF('01_Вводные'!$B$310&gt;=5,'19_Расчет_аналитики'!T2641,0),IF('01_Вводные'!$B$310&gt;=6,'19_Расчет_аналитики'!U2641,0))</f>
        <v/>
      </c>
      <c r="P2363">
        <f>SUM(IF('01_Вводные'!$B$310&gt;=1,'19_Расчет_аналитики'!Q2641,0),IF('01_Вводные'!$B$310&gt;=2,'19_Расчет_аналитики'!R2641,0),IF('01_Вводные'!$B$310&gt;=3,'19_Расчет_аналитики'!S2641,0),IF('01_Вводные'!$B$310&gt;=4,'19_Расчет_аналитики'!T2641,0),IF('01_Вводные'!$B$310&gt;=5,'19_Расчет_аналитики'!U2641,0),IF('01_Вводные'!$B$310&gt;=6,'19_Расчет_аналитики'!V2641,0))</f>
        <v/>
      </c>
      <c r="Q2363">
        <f>SUM(IF('01_Вводные'!$B$310&gt;=1,'19_Расчет_аналитики'!R2641,0),IF('01_Вводные'!$B$310&gt;=2,'19_Расчет_аналитики'!S2641,0),IF('01_Вводные'!$B$310&gt;=3,'19_Расчет_аналитики'!T2641,0),IF('01_Вводные'!$B$310&gt;=4,'19_Расчет_аналитики'!U2641,0),IF('01_Вводные'!$B$310&gt;=5,'19_Расчет_аналитики'!V2641,0),IF('01_Вводные'!$B$310&gt;=6,'19_Расчет_аналитики'!W2641,0))</f>
        <v/>
      </c>
      <c r="R2363">
        <f>SUM(IF('01_Вводные'!$B$310&gt;=1,'19_Расчет_аналитики'!S2641,0),IF('01_Вводные'!$B$310&gt;=2,'19_Расчет_аналитики'!T2641,0),IF('01_Вводные'!$B$310&gt;=3,'19_Расчет_аналитики'!U2641,0),IF('01_Вводные'!$B$310&gt;=4,'19_Расчет_аналитики'!V2641,0),IF('01_Вводные'!$B$310&gt;=5,'19_Расчет_аналитики'!W2641,0),IF('01_Вводные'!$B$310&gt;=6,'19_Расчет_аналитики'!X2641,0))</f>
        <v/>
      </c>
      <c r="S2363">
        <f>SUM(IF('01_Вводные'!$B$310&gt;=1,'19_Расчет_аналитики'!T2641,0),IF('01_Вводные'!$B$310&gt;=2,'19_Расчет_аналитики'!U2641,0),IF('01_Вводные'!$B$310&gt;=3,'19_Расчет_аналитики'!V2641,0),IF('01_Вводные'!$B$310&gt;=4,'19_Расчет_аналитики'!W2641,0),IF('01_Вводные'!$B$310&gt;=5,'19_Расчет_аналитики'!X2641,0),IF('01_Вводные'!$B$310&gt;=6,'19_Расчет_аналитики'!Y2641,0))</f>
        <v/>
      </c>
      <c r="T2363">
        <f>SUM(IF('01_Вводные'!$B$310&gt;=1,'19_Расчет_аналитики'!U2641,0),IF('01_Вводные'!$B$310&gt;=2,'19_Расчет_аналитики'!V2641,0),IF('01_Вводные'!$B$310&gt;=3,'19_Расчет_аналитики'!W2641,0),IF('01_Вводные'!$B$310&gt;=4,'19_Расчет_аналитики'!X2641,0),IF('01_Вводные'!$B$310&gt;=5,'19_Расчет_аналитики'!Y2641,0),IF('01_Вводные'!$B$310&gt;=6,'19_Расчет_аналитики'!Z2641,0))</f>
        <v/>
      </c>
      <c r="U2363">
        <f>SUM(IF('01_Вводные'!$B$310&gt;=1,'19_Расчет_аналитики'!V2641,0),IF('01_Вводные'!$B$310&gt;=2,'19_Расчет_аналитики'!W2641,0),IF('01_Вводные'!$B$310&gt;=3,'19_Расчет_аналитики'!X2641,0),IF('01_Вводные'!$B$310&gt;=4,'19_Расчет_аналитики'!Y2641,0),IF('01_Вводные'!$B$310&gt;=5,'19_Расчет_аналитики'!Z2641,0),IF('01_Вводные'!$B$310&gt;=6,'19_Расчет_аналитики'!AA2641,0))</f>
        <v/>
      </c>
      <c r="V2363">
        <f>SUM(IF('01_Вводные'!$B$310&gt;=1,'19_Расчет_аналитики'!W2641,0),IF('01_Вводные'!$B$310&gt;=2,'19_Расчет_аналитики'!X2641,0),IF('01_Вводные'!$B$310&gt;=3,'19_Расчет_аналитики'!Y2641,0),IF('01_Вводные'!$B$310&gt;=4,'19_Расчет_аналитики'!Z2641,0),IF('01_Вводные'!$B$310&gt;=5,'19_Расчет_аналитики'!AA2641,0),IF('01_Вводные'!$B$310&gt;=6,'19_Расчет_аналитики'!AB2641,0))</f>
        <v/>
      </c>
      <c r="W2363">
        <f>SUM(IF('01_Вводные'!$B$310&gt;=1,'19_Расчет_аналитики'!X2641,0),IF('01_Вводные'!$B$310&gt;=2,'19_Расчет_аналитики'!Y2641,0),IF('01_Вводные'!$B$310&gt;=3,'19_Расчет_аналитики'!Z2641,0),IF('01_Вводные'!$B$310&gt;=4,'19_Расчет_аналитики'!AA2641,0),IF('01_Вводные'!$B$310&gt;=5,'19_Расчет_аналитики'!AB2641,0),IF('01_Вводные'!$B$310&gt;=6,'19_Расчет_аналитики'!AC2641,0))</f>
        <v/>
      </c>
      <c r="X2363">
        <f>SUM(IF('01_Вводные'!$B$310&gt;=1,'19_Расчет_аналитики'!Y2641,0),IF('01_Вводные'!$B$310&gt;=2,'19_Расчет_аналитики'!Z2641,0),IF('01_Вводные'!$B$310&gt;=3,'19_Расчет_аналитики'!AA2641,0),IF('01_Вводные'!$B$310&gt;=4,'19_Расчет_аналитики'!AB2641,0),IF('01_Вводные'!$B$310&gt;=5,'19_Расчет_аналитики'!AC2641,0),IF('01_Вводные'!$B$310&gt;=6,'19_Расчет_аналитики'!AD2641,0))</f>
        <v/>
      </c>
      <c r="Y2363">
        <f>SUM(IF('01_Вводные'!$B$310&gt;=1,'19_Расчет_аналитики'!Z2641,0),IF('01_Вводные'!$B$310&gt;=2,'19_Расчет_аналитики'!AA2641,0),IF('01_Вводные'!$B$310&gt;=3,'19_Расчет_аналитики'!AB2641,0),IF('01_Вводные'!$B$310&gt;=4,'19_Расчет_аналитики'!AC2641,0),IF('01_Вводные'!$B$310&gt;=5,'19_Расчет_аналитики'!AD2641,0),IF('01_Вводные'!$B$310&gt;=6,'19_Расчет_аналитики'!AE2641,0))</f>
        <v/>
      </c>
      <c r="Z2363">
        <f>SUM(IF('01_Вводные'!$B$310&gt;=1,'19_Расчет_аналитики'!AA2641,0),IF('01_Вводные'!$B$310&gt;=2,'19_Расчет_аналитики'!AB2641,0),IF('01_Вводные'!$B$310&gt;=3,'19_Расчет_аналитики'!AC2641,0),IF('01_Вводные'!$B$310&gt;=4,'19_Расчет_аналитики'!AD2641,0),IF('01_Вводные'!$B$310&gt;=5,'19_Расчет_аналитики'!AE2641,0),IF('01_Вводные'!$B$310&gt;=6,'19_Расчет_аналитики'!AF2641,0))</f>
        <v/>
      </c>
      <c r="AA2363">
        <f>SUM(IF('01_Вводные'!$B$310&gt;=1,'19_Расчет_аналитики'!AB2641,0),IF('01_Вводные'!$B$310&gt;=2,'19_Расчет_аналитики'!AC2641,0),IF('01_Вводные'!$B$310&gt;=3,'19_Расчет_аналитики'!AD2641,0),IF('01_Вводные'!$B$310&gt;=4,'19_Расчет_аналитики'!AE2641,0),IF('01_Вводные'!$B$310&gt;=5,'19_Расчет_аналитики'!AF2641,0),IF('01_Вводные'!$B$310&gt;=6,'19_Расчет_аналитики'!AG2641,0))</f>
        <v/>
      </c>
      <c r="AB2363">
        <f>SUM(IF('01_Вводные'!$B$310&gt;=1,'19_Расчет_аналитики'!AC2641,0),IF('01_Вводные'!$B$310&gt;=2,'19_Расчет_аналитики'!AD2641,0),IF('01_Вводные'!$B$310&gt;=3,'19_Расчет_аналитики'!AE2641,0),IF('01_Вводные'!$B$310&gt;=4,'19_Расчет_аналитики'!AF2641,0),IF('01_Вводные'!$B$310&gt;=5,'19_Расчет_аналитики'!AG2641,0),IF('01_Вводные'!$B$310&gt;=6,'19_Расчет_аналитики'!AH2641,0))</f>
        <v/>
      </c>
      <c r="AC2363">
        <f>SUM(IF('01_Вводные'!$B$310&gt;=1,'19_Расчет_аналитики'!AD2641,0),IF('01_Вводные'!$B$310&gt;=2,'19_Расчет_аналитики'!AE2641,0),IF('01_Вводные'!$B$310&gt;=3,'19_Расчет_аналитики'!AF2641,0),IF('01_Вводные'!$B$310&gt;=4,'19_Расчет_аналитики'!AG2641,0),IF('01_Вводные'!$B$310&gt;=5,'19_Расчет_аналитики'!AH2641,0),IF('01_Вводные'!$B$310&gt;=6,'19_Расчет_аналитики'!AI2641,0))</f>
        <v/>
      </c>
      <c r="AD2363">
        <f>SUM(IF('01_Вводные'!$B$310&gt;=1,'19_Расчет_аналитики'!AE2641,0),IF('01_Вводные'!$B$310&gt;=2,'19_Расчет_аналитики'!AF2641,0),IF('01_Вводные'!$B$310&gt;=3,'19_Расчет_аналитики'!AG2641,0),IF('01_Вводные'!$B$310&gt;=4,'19_Расчет_аналитики'!AH2641,0),IF('01_Вводные'!$B$310&gt;=5,'19_Расчет_аналитики'!AI2641,0),IF('01_Вводные'!$B$310&gt;=6,'19_Расчет_аналитики'!AJ2641,0))</f>
        <v/>
      </c>
      <c r="AE2363">
        <f>SUM(IF('01_Вводные'!$B$310&gt;=1,'19_Расчет_аналитики'!AF2641,0),IF('01_Вводные'!$B$310&gt;=2,'19_Расчет_аналитики'!AG2641,0),IF('01_Вводные'!$B$310&gt;=3,'19_Расчет_аналитики'!AH2641,0),IF('01_Вводные'!$B$310&gt;=4,'19_Расчет_аналитики'!AI2641,0),IF('01_Вводные'!$B$310&gt;=5,'19_Расчет_аналитики'!AJ2641,0),IF('01_Вводные'!$B$310&gt;=6,'19_Расчет_аналитики'!AK2641,0))</f>
        <v/>
      </c>
      <c r="AF2363">
        <f>SUM(IF('01_Вводные'!$B$310&gt;=1,'19_Расчет_аналитики'!AG2641,0),IF('01_Вводные'!$B$310&gt;=2,'19_Расчет_аналитики'!AH2641,0),IF('01_Вводные'!$B$310&gt;=3,'19_Расчет_аналитики'!AI2641,0),IF('01_Вводные'!$B$310&gt;=4,'19_Расчет_аналитики'!AJ2641,0),IF('01_Вводные'!$B$310&gt;=5,'19_Расчет_аналитики'!AK2641,0),IF('01_Вводные'!$B$310&gt;=6,'19_Расчет_аналитики'!AL2641,0))</f>
        <v/>
      </c>
      <c r="AG2363">
        <f>SUM(IF('01_Вводные'!$B$310&gt;=1,'19_Расчет_аналитики'!AH2641,0),IF('01_Вводные'!$B$310&gt;=2,'19_Расчет_аналитики'!AI2641,0),IF('01_Вводные'!$B$310&gt;=3,'19_Расчет_аналитики'!AJ2641,0),IF('01_Вводные'!$B$310&gt;=4,'19_Расчет_аналитики'!AK2641,0),IF('01_Вводные'!$B$310&gt;=5,'19_Расчет_аналитики'!AL2641,0),IF('01_Вводные'!$B$310&gt;=6,'19_Расчет_аналитики'!AM2641,0))</f>
        <v/>
      </c>
      <c r="AH2363">
        <f>SUM(IF('01_Вводные'!$B$310&gt;=1,'19_Расчет_аналитики'!AI2641,0),IF('01_Вводные'!$B$310&gt;=2,'19_Расчет_аналитики'!AJ2641,0),IF('01_Вводные'!$B$310&gt;=3,'19_Расчет_аналитики'!AK2641,0),IF('01_Вводные'!$B$310&gt;=4,'19_Расчет_аналитики'!AL2641,0),IF('01_Вводные'!$B$310&gt;=5,'19_Расчет_аналитики'!AM2641,0),IF('01_Вводные'!$B$310&gt;=6,'19_Расчет_аналитики'!AN2641,0))</f>
        <v/>
      </c>
      <c r="AI2363">
        <f>SUM(IF('01_Вводные'!$B$310&gt;=1,'19_Расчет_аналитики'!AJ2641,0),IF('01_Вводные'!$B$310&gt;=2,'19_Расчет_аналитики'!AK2641,0),IF('01_Вводные'!$B$310&gt;=3,'19_Расчет_аналитики'!AL2641,0),IF('01_Вводные'!$B$310&gt;=4,'19_Расчет_аналитики'!AM2641,0),IF('01_Вводные'!$B$310&gt;=5,'19_Расчет_аналитики'!AN2641,0),IF('01_Вводные'!$B$310&gt;=6,'19_Расчет_аналитики'!AO2641,0))</f>
        <v/>
      </c>
      <c r="AJ2363">
        <f>SUM(IF('01_Вводные'!$B$310&gt;=1,'19_Расчет_аналитики'!AK2641,0),IF('01_Вводные'!$B$310&gt;=2,'19_Расчет_аналитики'!AL2641,0),IF('01_Вводные'!$B$310&gt;=3,'19_Расчет_аналитики'!AM2641,0),IF('01_Вводные'!$B$310&gt;=4,'19_Расчет_аналитики'!AN2641,0),IF('01_Вводные'!$B$310&gt;=5,'19_Расчет_аналитики'!AO2641,0),IF('01_Вводные'!$B$310&gt;=6,'19_Расчет_аналитики'!AP2641,0))</f>
        <v/>
      </c>
      <c r="AK2363">
        <f>SUM(IF('01_Вводные'!$B$310&gt;=1,'19_Расчет_аналитики'!AL2641,0),IF('01_Вводные'!$B$310&gt;=2,'19_Расчет_аналитики'!AM2641,0),IF('01_Вводные'!$B$310&gt;=3,'19_Расчет_аналитики'!AN2641,0),IF('01_Вводные'!$B$310&gt;=4,'19_Расчет_аналитики'!AO2641,0),IF('01_Вводные'!$B$310&gt;=5,'19_Расчет_аналитики'!AP2641,0),IF('01_Вводные'!$B$310&gt;=6,'19_Расчет_аналитики'!AQ2641,0))</f>
        <v/>
      </c>
      <c r="AL2363">
        <f>SUM(IF('01_Вводные'!$B$310&gt;=1,'19_Расчет_аналитики'!AM2641,0),IF('01_Вводные'!$B$310&gt;=2,'19_Расчет_аналитики'!AN2641,0),IF('01_Вводные'!$B$310&gt;=3,'19_Расчет_аналитики'!AO2641,0),IF('01_Вводные'!$B$310&gt;=4,'19_Расчет_аналитики'!AP2641,0),IF('01_Вводные'!$B$310&gt;=5,'19_Расчет_аналитики'!AQ2641,0),IF('01_Вводные'!$B$310&gt;=6,'19_Расчет_аналитики'!AR2641,0))</f>
        <v/>
      </c>
      <c r="AM2363">
        <f>SUM(IF('01_Вводные'!$B$310&gt;=1,'19_Расчет_аналитики'!AN2641,0),IF('01_Вводные'!$B$310&gt;=2,'19_Расчет_аналитики'!AO2641,0),IF('01_Вводные'!$B$310&gt;=3,'19_Расчет_аналитики'!AP2641,0),IF('01_Вводные'!$B$310&gt;=4,'19_Расчет_аналитики'!AQ2641,0),IF('01_Вводные'!$B$310&gt;=5,'19_Расчет_аналитики'!AR2641,0),IF('01_Вводные'!$B$310&gt;=6,'19_Расчет_аналитики'!AS2641,0))</f>
        <v/>
      </c>
      <c r="AN2363">
        <f>SUM(IF('01_Вводные'!$B$310&gt;=1,'19_Расчет_аналитики'!AO2641,0),IF('01_Вводные'!$B$310&gt;=2,'19_Расчет_аналитики'!AP2641,0),IF('01_Вводные'!$B$310&gt;=3,'19_Расчет_аналитики'!AQ2641,0),IF('01_Вводные'!$B$310&gt;=4,'19_Расчет_аналитики'!AR2641,0),IF('01_Вводные'!$B$310&gt;=5,'19_Расчет_аналитики'!AS2641,0),IF('01_Вводные'!$B$310&gt;=6,'19_Расчет_аналитики'!AT2641,0))</f>
        <v/>
      </c>
      <c r="AO2363">
        <f>SUM(IF('01_Вводные'!$B$310&gt;=1,'19_Расчет_аналитики'!AP2641,0),IF('01_Вводные'!$B$310&gt;=2,'19_Расчет_аналитики'!AQ2641,0),IF('01_Вводные'!$B$310&gt;=3,'19_Расчет_аналитики'!AR2641,0),IF('01_Вводные'!$B$310&gt;=4,'19_Расчет_аналитики'!AS2641,0),IF('01_Вводные'!$B$310&gt;=5,'19_Расчет_аналитики'!AT2641,0),IF('01_Вводные'!$B$310&gt;=6,'19_Расчет_аналитики'!AU2641,0))</f>
        <v/>
      </c>
      <c r="AP2363">
        <f>SUM(IF('01_Вводные'!$B$310&gt;=1,'19_Расчет_аналитики'!AQ2641,0),IF('01_Вводные'!$B$310&gt;=2,'19_Расчет_аналитики'!AR2641,0),IF('01_Вводные'!$B$310&gt;=3,'19_Расчет_аналитики'!AS2641,0),IF('01_Вводные'!$B$310&gt;=4,'19_Расчет_аналитики'!AT2641,0),IF('01_Вводные'!$B$310&gt;=5,'19_Расчет_аналитики'!AU2641,0),IF('01_Вводные'!$B$310&gt;=6,'19_Расчет_аналитики'!AV2641,0))</f>
        <v/>
      </c>
      <c r="AQ2363">
        <f>SUM(IF('01_Вводные'!$B$310&gt;=1,'19_Расчет_аналитики'!AR2641,0),IF('01_Вводные'!$B$310&gt;=2,'19_Расчет_аналитики'!AS2641,0),IF('01_Вводные'!$B$310&gt;=3,'19_Расчет_аналитики'!AT2641,0),IF('01_Вводные'!$B$310&gt;=4,'19_Расчет_аналитики'!AU2641,0),IF('01_Вводные'!$B$310&gt;=5,'19_Расчет_аналитики'!AV2641,0),IF('01_Вводные'!$B$310&gt;=6,'19_Расчет_аналитики'!AW2641,0))</f>
        <v/>
      </c>
      <c r="AR2363">
        <f>SUM(IF('01_Вводные'!$B$310&gt;=1,'19_Расчет_аналитики'!AS2641,0),IF('01_Вводные'!$B$310&gt;=2,'19_Расчет_аналитики'!AT2641,0),IF('01_Вводные'!$B$310&gt;=3,'19_Расчет_аналитики'!AU2641,0),IF('01_Вводные'!$B$310&gt;=4,'19_Расчет_аналитики'!AV2641,0),IF('01_Вводные'!$B$310&gt;=5,'19_Расчет_аналитики'!AW2641,0),IF('01_Вводные'!$B$310&gt;=6,'19_Расчет_аналитики'!AX2641,0))</f>
        <v/>
      </c>
      <c r="AS2363">
        <f>SUM(IF('01_Вводные'!$B$310&gt;=1,'19_Расчет_аналитики'!AT2641,0),IF('01_Вводные'!$B$310&gt;=2,'19_Расчет_аналитики'!AU2641,0),IF('01_Вводные'!$B$310&gt;=3,'19_Расчет_аналитики'!AV2641,0),IF('01_Вводные'!$B$310&gt;=4,'19_Расчет_аналитики'!AW2641,0),IF('01_Вводные'!$B$310&gt;=5,'19_Расчет_аналитики'!AX2641,0),IF('01_Вводные'!$B$310&gt;=6,'19_Расчет_аналитики'!AY2641,0))</f>
        <v/>
      </c>
      <c r="AT2363">
        <f>SUM(IF('01_Вводные'!$B$310&gt;=1,'19_Расчет_аналитики'!AU2641,0),IF('01_Вводные'!$B$310&gt;=2,'19_Расчет_аналитики'!AV2641,0),IF('01_Вводные'!$B$310&gt;=3,'19_Расчет_аналитики'!AW2641,0),IF('01_Вводные'!$B$310&gt;=4,'19_Расчет_аналитики'!AX2641,0),IF('01_Вводные'!$B$310&gt;=5,'19_Расчет_аналитики'!AY2641,0),IF('01_Вводные'!$B$310&gt;=6,'19_Расчет_аналитики'!AZ2641,0))</f>
        <v/>
      </c>
      <c r="AU2363">
        <f>SUM(IF('01_Вводные'!$B$310&gt;=1,'19_Расчет_аналитики'!AV2641,0),IF('01_Вводные'!$B$310&gt;=2,'19_Расчет_аналитики'!AW2641,0),IF('01_Вводные'!$B$310&gt;=3,'19_Расчет_аналитики'!AX2641,0),IF('01_Вводные'!$B$310&gt;=4,'19_Расчет_аналитики'!AY2641,0),IF('01_Вводные'!$B$310&gt;=5,'19_Расчет_аналитики'!AZ2641,0),IF('01_Вводные'!$B$310&gt;=6,'19_Расчет_аналитики'!BA2641,0))</f>
        <v/>
      </c>
      <c r="AV2363">
        <f>SUM(IF('01_Вводные'!$B$310&gt;=1,'19_Расчет_аналитики'!AW2641,0),IF('01_Вводные'!$B$310&gt;=2,'19_Расчет_аналитики'!AX2641,0),IF('01_Вводные'!$B$310&gt;=3,'19_Расчет_аналитики'!AY2641,0),IF('01_Вводные'!$B$310&gt;=4,'19_Расчет_аналитики'!AZ2641,0),IF('01_Вводные'!$B$310&gt;=5,'19_Расчет_аналитики'!BA2641,0),IF('01_Вводные'!$B$310&gt;=6,'19_Расчет_аналитики'!BB2641,0))</f>
        <v/>
      </c>
      <c r="AW2363">
        <f>SUM(IF('01_Вводные'!$B$310&gt;=1,'19_Расчет_аналитики'!AX2641,0),IF('01_Вводные'!$B$310&gt;=2,'19_Расчет_аналитики'!AY2641,0),IF('01_Вводные'!$B$310&gt;=3,'19_Расчет_аналитики'!AZ2641,0),IF('01_Вводные'!$B$310&gt;=4,'19_Расчет_аналитики'!BA2641,0),IF('01_Вводные'!$B$310&gt;=5,'19_Расчет_аналитики'!BB2641,0),IF('01_Вводные'!$B$310&gt;=6,'19_Расчет_аналитики'!BC2641,0))</f>
        <v/>
      </c>
      <c r="AX2363">
        <f>SUM(IF('01_Вводные'!$B$310&gt;=1,'19_Расчет_аналитики'!AY2641,0),IF('01_Вводные'!$B$310&gt;=2,'19_Расчет_аналитики'!AZ2641,0),IF('01_Вводные'!$B$310&gt;=3,'19_Расчет_аналитики'!BA2641,0),IF('01_Вводные'!$B$310&gt;=4,'19_Расчет_аналитики'!BB2641,0),IF('01_Вводные'!$B$310&gt;=5,'19_Расчет_аналитики'!BC2641,0),IF('01_Вводные'!$B$310&gt;=6,'19_Расчет_аналитики'!BD2641,0))</f>
        <v/>
      </c>
      <c r="AY2363">
        <f>SUM(IF('01_Вводные'!$B$310&gt;=1,'19_Расчет_аналитики'!AZ2641,0),IF('01_Вводные'!$B$310&gt;=2,'19_Расчет_аналитики'!BA2641,0),IF('01_Вводные'!$B$310&gt;=3,'19_Расчет_аналитики'!BB2641,0),IF('01_Вводные'!$B$310&gt;=4,'19_Расчет_аналитики'!BC2641,0),IF('01_Вводные'!$B$310&gt;=5,'19_Расчет_аналитики'!BD2641,0),IF('01_Вводные'!$B$310&gt;=6,'19_Расчет_аналитики'!BE2641,0))</f>
        <v/>
      </c>
      <c r="AZ2363">
        <f>SUM(IF('01_Вводные'!$B$310&gt;=1,'19_Расчет_аналитики'!BA2641,0),IF('01_Вводные'!$B$310&gt;=2,'19_Расчет_аналитики'!BB2641,0),IF('01_Вводные'!$B$310&gt;=3,'19_Расчет_аналитики'!BC2641,0),IF('01_Вводные'!$B$310&gt;=4,'19_Расчет_аналитики'!BD2641,0),IF('01_Вводные'!$B$310&gt;=5,'19_Расчет_аналитики'!BE2641,0),IF('01_Вводные'!$B$310&gt;=6,'19_Расчет_аналитики'!BF2641,0))</f>
        <v/>
      </c>
      <c r="BA2363">
        <f>SUM(IF('01_Вводные'!$B$310&gt;=1,'19_Расчет_аналитики'!BB2641,0),IF('01_Вводные'!$B$310&gt;=2,'19_Расчет_аналитики'!BC2641,0),IF('01_Вводные'!$B$310&gt;=3,'19_Расчет_аналитики'!BD2641,0),IF('01_Вводные'!$B$310&gt;=4,'19_Расчет_аналитики'!BE2641,0),IF('01_Вводные'!$B$310&gt;=5,'19_Расчет_аналитики'!BF2641,0),IF('01_Вводные'!$B$310&gt;=6,'19_Расчет_аналитики'!BG2641,0))</f>
        <v/>
      </c>
      <c r="BB2363">
        <f>SUM(IF('01_Вводные'!$B$310&gt;=1,'19_Расчет_аналитики'!BC2641,0),IF('01_Вводные'!$B$310&gt;=2,'19_Расчет_аналитики'!BD2641,0),IF('01_Вводные'!$B$310&gt;=3,'19_Расчет_аналитики'!BE2641,0),IF('01_Вводные'!$B$310&gt;=4,'19_Расчет_аналитики'!BF2641,0),IF('01_Вводные'!$B$310&gt;=5,'19_Расчет_аналитики'!BG2641,0),IF('01_Вводные'!$B$310&gt;=6,'19_Расчет_аналитики'!BH2641,0))</f>
        <v/>
      </c>
      <c r="BC2363">
        <f>SUM(IF('01_Вводные'!$B$310&gt;=1,'19_Расчет_аналитики'!BD2641,0),IF('01_Вводные'!$B$310&gt;=2,'19_Расчет_аналитики'!BE2641,0),IF('01_Вводные'!$B$310&gt;=3,'19_Расчет_аналитики'!BF2641,0),IF('01_Вводные'!$B$310&gt;=4,'19_Расчет_аналитики'!BG2641,0),IF('01_Вводные'!$B$310&gt;=5,'19_Расчет_аналитики'!BH2641,0),IF('01_Вводные'!$B$310&gt;=6,'19_Расчет_аналитики'!BI2641,0))</f>
        <v/>
      </c>
      <c r="BD2363">
        <f>SUM(IF('01_Вводные'!$B$310&gt;=1,'19_Расчет_аналитики'!BE2641,0),IF('01_Вводные'!$B$310&gt;=2,'19_Расчет_аналитики'!BF2641,0),IF('01_Вводные'!$B$310&gt;=3,'19_Расчет_аналитики'!BG2641,0),IF('01_Вводные'!$B$310&gt;=4,'19_Расчет_аналитики'!BH2641,0),IF('01_Вводные'!$B$310&gt;=5,'19_Расчет_аналитики'!BI2641,0),IF('01_Вводные'!$B$310&gt;=6,'19_Расчет_аналитики'!BJ2641,0))</f>
        <v/>
      </c>
      <c r="BE2363">
        <f>SUM(IF('01_Вводные'!$B$310&gt;=1,'19_Расчет_аналитики'!BF2641,0),IF('01_Вводные'!$B$310&gt;=2,'19_Расчет_аналитики'!BG2641,0),IF('01_Вводные'!$B$310&gt;=3,'19_Расчет_аналитики'!BH2641,0),IF('01_Вводные'!$B$310&gt;=4,'19_Расчет_аналитики'!BI2641,0),IF('01_Вводные'!$B$310&gt;=5,'19_Расчет_аналитики'!BJ2641,0),IF('01_Вводные'!$B$310&gt;=6,'19_Расчет_аналитики'!BK2641,0))</f>
        <v/>
      </c>
      <c r="BF2363">
        <f>SUM(IF('01_Вводные'!$B$310&gt;=1,'19_Расчет_аналитики'!BG2641,0),IF('01_Вводные'!$B$310&gt;=2,'19_Расчет_аналитики'!BH2641,0),IF('01_Вводные'!$B$310&gt;=3,'19_Расчет_аналитики'!BI2641,0),IF('01_Вводные'!$B$310&gt;=4,'19_Расчет_аналитики'!BJ2641,0),IF('01_Вводные'!$B$310&gt;=5,'19_Расчет_аналитики'!BK2641,0),IF('01_Вводные'!$B$310&gt;=6,'19_Расчет_аналитики'!BL2641,0))</f>
        <v/>
      </c>
      <c r="BG2363">
        <f>SUM(IF('01_Вводные'!$B$310&gt;=1,'19_Расчет_аналитики'!BH2641,0),IF('01_Вводные'!$B$310&gt;=2,'19_Расчет_аналитики'!BI2641,0),IF('01_Вводные'!$B$310&gt;=3,'19_Расчет_аналитики'!BJ2641,0),IF('01_Вводные'!$B$310&gt;=4,'19_Расчет_аналитики'!BK2641,0),IF('01_Вводные'!$B$310&gt;=5,'19_Расчет_аналитики'!BL2641,0),IF('01_Вводные'!$B$310&gt;=6,'19_Расчет_аналитики'!BM2641,0))</f>
        <v/>
      </c>
      <c r="BH2363">
        <f>SUM(IF('01_Вводные'!$B$310&gt;=1,'19_Расчет_аналитики'!BI2641,0),IF('01_Вводные'!$B$310&gt;=2,'19_Расчет_аналитики'!BJ2641,0),IF('01_Вводные'!$B$310&gt;=3,'19_Расчет_аналитики'!BK2641,0),IF('01_Вводные'!$B$310&gt;=4,'19_Расчет_аналитики'!BL2641,0),IF('01_Вводные'!$B$310&gt;=5,'19_Расчет_аналитики'!BM2641,0),IF('01_Вводные'!$B$310&gt;=6,'19_Расчет_аналитики'!BN2641,0))</f>
        <v/>
      </c>
      <c r="BI2363">
        <f>SUM(IF('01_Вводные'!$B$310&gt;=1,'19_Расчет_аналитики'!BJ2641,0),IF('01_Вводные'!$B$310&gt;=2,'19_Расчет_аналитики'!BK2641,0),IF('01_Вводные'!$B$310&gt;=3,'19_Расчет_аналитики'!BL2641,0),IF('01_Вводные'!$B$310&gt;=4,'19_Расчет_аналитики'!BM2641,0),IF('01_Вводные'!$B$310&gt;=5,'19_Расчет_аналитики'!BN2641,0),IF('01_Вводные'!$B$310&gt;=6,'19_Расчет_аналитики'!BO2641,0))</f>
        <v/>
      </c>
      <c r="BJ2363">
        <f>SUM(IF('01_Вводные'!$B$310&gt;=1,'19_Расчет_аналитики'!BK2641,0),IF('01_Вводные'!$B$310&gt;=2,'19_Расчет_аналитики'!BL2641,0),IF('01_Вводные'!$B$310&gt;=3,'19_Расчет_аналитики'!BM2641,0),IF('01_Вводные'!$B$310&gt;=4,'19_Расчет_аналитики'!BN2641,0),IF('01_Вводные'!$B$310&gt;=5,'19_Расчет_аналитики'!BO2641,0),IF('01_Вводные'!$B$310&gt;=6,'19_Расчет_аналитики'!BP2641,0))</f>
        <v/>
      </c>
      <c r="BK2363">
        <f>SUM(IF('01_Вводные'!$B$310&gt;=1,'19_Расчет_аналитики'!BL2641,0),IF('01_Вводные'!$B$310&gt;=2,'19_Расчет_аналитики'!BM2641,0),IF('01_Вводные'!$B$310&gt;=3,'19_Расчет_аналитики'!BN2641,0),IF('01_Вводные'!$B$310&gt;=4,'19_Расчет_аналитики'!BO2641,0),IF('01_Вводные'!$B$310&gt;=5,'19_Расчет_аналитики'!BP2641,0),IF('01_Вводные'!$B$310&gt;=6,'19_Расчет_аналитики'!BQ2641,0))</f>
        <v/>
      </c>
      <c r="BL2363">
        <f>SUM(IF('01_Вводные'!$B$310&gt;=1,'19_Расчет_аналитики'!BM2641,0),IF('01_Вводные'!$B$310&gt;=2,'19_Расчет_аналитики'!BN2641,0),IF('01_Вводные'!$B$310&gt;=3,'19_Расчет_аналитики'!BO2641,0),IF('01_Вводные'!$B$310&gt;=4,'19_Расчет_аналитики'!BP2641,0),IF('01_Вводные'!$B$310&gt;=5,'19_Расчет_аналитики'!BQ2641,0),IF('01_Вводные'!$B$310&gt;=6,'19_Расчет_аналитики'!BR2641,0))</f>
        <v/>
      </c>
      <c r="BM2363">
        <f>SUM(IF('01_Вводные'!$B$310&gt;=1,'19_Расчет_аналитики'!BN2641,0),IF('01_Вводные'!$B$310&gt;=2,'19_Расчет_аналитики'!BO2641,0),IF('01_Вводные'!$B$310&gt;=3,'19_Расчет_аналитики'!BP2641,0),IF('01_Вводные'!$B$310&gt;=4,'19_Расчет_аналитики'!BQ2641,0),IF('01_Вводные'!$B$310&gt;=5,'19_Расчет_аналитики'!BR2641,0),IF('01_Вводные'!$B$310&gt;=6,'19_Расчет_аналитики'!BS2641,0))</f>
        <v/>
      </c>
      <c r="BN2363">
        <f>SUM(IF('01_Вводные'!$B$310&gt;=1,'19_Расчет_аналитики'!BO2641,0),IF('01_Вводные'!$B$310&gt;=2,'19_Расчет_аналитики'!BP2641,0),IF('01_Вводные'!$B$310&gt;=3,'19_Расчет_аналитики'!BQ2641,0),IF('01_Вводные'!$B$310&gt;=4,'19_Расчет_аналитики'!BR2641,0),IF('01_Вводные'!$B$310&gt;=5,'19_Расчет_аналитики'!BS2641,0),IF('01_Вводные'!$B$310&gt;=6,'19_Расчет_аналитики'!BT2641,0))</f>
        <v/>
      </c>
      <c r="BO2363">
        <f>SUM(IF('01_Вводные'!$B$310&gt;=1,'19_Расчет_аналитики'!BP2641,0),IF('01_Вводные'!$B$310&gt;=2,'19_Расчет_аналитики'!BQ2641,0),IF('01_Вводные'!$B$310&gt;=3,'19_Расчет_аналитики'!BR2641,0),IF('01_Вводные'!$B$310&gt;=4,'19_Расчет_аналитики'!BS2641,0),IF('01_Вводные'!$B$310&gt;=5,'19_Расчет_аналитики'!BT2641,0),IF('01_Вводные'!$B$310&gt;=6,'19_Расчет_аналитики'!BU2641,0))</f>
        <v/>
      </c>
    </row>
    <row r="2364">
      <c r="C2364">
        <f>IF('01_Вводные'!$B$25&gt;0,ROUNDUP(ROUND('19_Расчет_аналитики'!C2362/'01_Вводные'!$B$25,10),0),0)</f>
        <v/>
      </c>
      <c r="D2364">
        <f>IF('01_Вводные'!$B$25&gt;0,ROUNDUP(ROUND('19_Расчет_аналитики'!D2362/'01_Вводные'!$B$25,10),0),0)</f>
        <v/>
      </c>
      <c r="E2364">
        <f>IF('01_Вводные'!$B$25&gt;0,ROUNDUP(ROUND('19_Расчет_аналитики'!E2362/'01_Вводные'!$B$25,10),0),0)</f>
        <v/>
      </c>
      <c r="F2364">
        <f>IF('01_Вводные'!$B$25&gt;0,ROUNDUP(ROUND('19_Расчет_аналитики'!F2362/'01_Вводные'!$B$25,10),0),0)</f>
        <v/>
      </c>
      <c r="G2364">
        <f>IF('01_Вводные'!$B$25&gt;0,ROUNDUP(ROUND('19_Расчет_аналитики'!G2362/'01_Вводные'!$B$25,10),0),0)</f>
        <v/>
      </c>
      <c r="H2364">
        <f>IF('01_Вводные'!$B$25&gt;0,ROUNDUP(ROUND('19_Расчет_аналитики'!H2362/'01_Вводные'!$B$25,10),0),0)</f>
        <v/>
      </c>
      <c r="I2364">
        <f>IF('01_Вводные'!$B$25&gt;0,ROUNDUP(ROUND('19_Расчет_аналитики'!I2362/'01_Вводные'!$B$25,10),0),0)</f>
        <v/>
      </c>
      <c r="J2364">
        <f>IF('01_Вводные'!$B$25&gt;0,ROUNDUP(ROUND('19_Расчет_аналитики'!J2362/'01_Вводные'!$B$25,10),0),0)</f>
        <v/>
      </c>
      <c r="K2364">
        <f>IF('01_Вводные'!$B$25&gt;0,ROUNDUP(ROUND('19_Расчет_аналитики'!K2362/'01_Вводные'!$B$25,10),0),0)</f>
        <v/>
      </c>
      <c r="L2364">
        <f>IF('01_Вводные'!$B$25&gt;0,ROUNDUP(ROUND('19_Расчет_аналитики'!L2362/'01_Вводные'!$B$25,10),0),0)</f>
        <v/>
      </c>
      <c r="M2364">
        <f>IF('01_Вводные'!$B$25&gt;0,ROUNDUP(ROUND('19_Расчет_аналитики'!M2362/'01_Вводные'!$B$25,10),0),0)</f>
        <v/>
      </c>
      <c r="N2364">
        <f>IF('01_Вводные'!$B$25&gt;0,ROUNDUP(ROUND('19_Расчет_аналитики'!N2362/'01_Вводные'!$B$25,10),0),0)</f>
        <v/>
      </c>
      <c r="O2364">
        <f>IF('01_Вводные'!$B$25&gt;0,ROUNDUP(ROUND('19_Расчет_аналитики'!O2362/'01_Вводные'!$B$25,10),0),0)</f>
        <v/>
      </c>
      <c r="P2364">
        <f>IF('01_Вводные'!$B$25&gt;0,ROUNDUP(ROUND('19_Расчет_аналитики'!P2362/'01_Вводные'!$B$25,10),0),0)</f>
        <v/>
      </c>
      <c r="Q2364">
        <f>IF('01_Вводные'!$B$25&gt;0,ROUNDUP(ROUND('19_Расчет_аналитики'!Q2362/'01_Вводные'!$B$25,10),0),0)</f>
        <v/>
      </c>
      <c r="R2364">
        <f>IF('01_Вводные'!$B$25&gt;0,ROUNDUP(ROUND('19_Расчет_аналитики'!R2362/'01_Вводные'!$B$25,10),0),0)</f>
        <v/>
      </c>
      <c r="S2364">
        <f>IF('01_Вводные'!$B$25&gt;0,ROUNDUP(ROUND('19_Расчет_аналитики'!S2362/'01_Вводные'!$B$25,10),0),0)</f>
        <v/>
      </c>
      <c r="T2364">
        <f>IF('01_Вводные'!$B$25&gt;0,ROUNDUP(ROUND('19_Расчет_аналитики'!T2362/'01_Вводные'!$B$25,10),0),0)</f>
        <v/>
      </c>
      <c r="U2364">
        <f>IF('01_Вводные'!$B$25&gt;0,ROUNDUP(ROUND('19_Расчет_аналитики'!U2362/'01_Вводные'!$B$25,10),0),0)</f>
        <v/>
      </c>
      <c r="V2364">
        <f>IF('01_Вводные'!$B$25&gt;0,ROUNDUP(ROUND('19_Расчет_аналитики'!V2362/'01_Вводные'!$B$25,10),0),0)</f>
        <v/>
      </c>
      <c r="W2364">
        <f>IF('01_Вводные'!$B$25&gt;0,ROUNDUP(ROUND('19_Расчет_аналитики'!W2362/'01_Вводные'!$B$25,10),0),0)</f>
        <v/>
      </c>
      <c r="X2364">
        <f>IF('01_Вводные'!$B$25&gt;0,ROUNDUP(ROUND('19_Расчет_аналитики'!X2362/'01_Вводные'!$B$25,10),0),0)</f>
        <v/>
      </c>
      <c r="Y2364">
        <f>IF('01_Вводные'!$B$25&gt;0,ROUNDUP(ROUND('19_Расчет_аналитики'!Y2362/'01_Вводные'!$B$25,10),0),0)</f>
        <v/>
      </c>
      <c r="Z2364">
        <f>IF('01_Вводные'!$B$25&gt;0,ROUNDUP(ROUND('19_Расчет_аналитики'!Z2362/'01_Вводные'!$B$25,10),0),0)</f>
        <v/>
      </c>
      <c r="AA2364">
        <f>IF('01_Вводные'!$B$25&gt;0,ROUNDUP(ROUND('19_Расчет_аналитики'!AA2362/'01_Вводные'!$B$25,10),0),0)</f>
        <v/>
      </c>
      <c r="AB2364">
        <f>IF('01_Вводные'!$B$25&gt;0,ROUNDUP(ROUND('19_Расчет_аналитики'!AB2362/'01_Вводные'!$B$25,10),0),0)</f>
        <v/>
      </c>
      <c r="AC2364">
        <f>IF('01_Вводные'!$B$25&gt;0,ROUNDUP(ROUND('19_Расчет_аналитики'!AC2362/'01_Вводные'!$B$25,10),0),0)</f>
        <v/>
      </c>
      <c r="AD2364">
        <f>IF('01_Вводные'!$B$25&gt;0,ROUNDUP(ROUND('19_Расчет_аналитики'!AD2362/'01_Вводные'!$B$25,10),0),0)</f>
        <v/>
      </c>
      <c r="AE2364">
        <f>IF('01_Вводные'!$B$25&gt;0,ROUNDUP(ROUND('19_Расчет_аналитики'!AE2362/'01_Вводные'!$B$25,10),0),0)</f>
        <v/>
      </c>
      <c r="AF2364">
        <f>IF('01_Вводные'!$B$25&gt;0,ROUNDUP(ROUND('19_Расчет_аналитики'!AF2362/'01_Вводные'!$B$25,10),0),0)</f>
        <v/>
      </c>
      <c r="AG2364">
        <f>IF('01_Вводные'!$B$25&gt;0,ROUNDUP(ROUND('19_Расчет_аналитики'!AG2362/'01_Вводные'!$B$25,10),0),0)</f>
        <v/>
      </c>
      <c r="AH2364">
        <f>IF('01_Вводные'!$B$25&gt;0,ROUNDUP(ROUND('19_Расчет_аналитики'!AH2362/'01_Вводные'!$B$25,10),0),0)</f>
        <v/>
      </c>
      <c r="AI2364">
        <f>IF('01_Вводные'!$B$25&gt;0,ROUNDUP(ROUND('19_Расчет_аналитики'!AI2362/'01_Вводные'!$B$25,10),0),0)</f>
        <v/>
      </c>
      <c r="AJ2364">
        <f>IF('01_Вводные'!$B$25&gt;0,ROUNDUP(ROUND('19_Расчет_аналитики'!AJ2362/'01_Вводные'!$B$25,10),0),0)</f>
        <v/>
      </c>
      <c r="AK2364">
        <f>IF('01_Вводные'!$B$25&gt;0,ROUNDUP(ROUND('19_Расчет_аналитики'!AK2362/'01_Вводные'!$B$25,10),0),0)</f>
        <v/>
      </c>
      <c r="AL2364">
        <f>IF('01_Вводные'!$B$25&gt;0,ROUNDUP(ROUND('19_Расчет_аналитики'!AL2362/'01_Вводные'!$B$25,10),0),0)</f>
        <v/>
      </c>
      <c r="AM2364">
        <f>IF('01_Вводные'!$B$25&gt;0,ROUNDUP(ROUND('19_Расчет_аналитики'!AM2362/'01_Вводные'!$B$25,10),0),0)</f>
        <v/>
      </c>
      <c r="AN2364">
        <f>IF('01_Вводные'!$B$25&gt;0,ROUNDUP(ROUND('19_Расчет_аналитики'!AN2362/'01_Вводные'!$B$25,10),0),0)</f>
        <v/>
      </c>
      <c r="AO2364">
        <f>IF('01_Вводные'!$B$25&gt;0,ROUNDUP(ROUND('19_Расчет_аналитики'!AO2362/'01_Вводные'!$B$25,10),0),0)</f>
        <v/>
      </c>
      <c r="AP2364">
        <f>IF('01_Вводные'!$B$25&gt;0,ROUNDUP(ROUND('19_Расчет_аналитики'!AP2362/'01_Вводные'!$B$25,10),0),0)</f>
        <v/>
      </c>
      <c r="AQ2364">
        <f>IF('01_Вводные'!$B$25&gt;0,ROUNDUP(ROUND('19_Расчет_аналитики'!AQ2362/'01_Вводные'!$B$25,10),0),0)</f>
        <v/>
      </c>
      <c r="AR2364">
        <f>IF('01_Вводные'!$B$25&gt;0,ROUNDUP(ROUND('19_Расчет_аналитики'!AR2362/'01_Вводные'!$B$25,10),0),0)</f>
        <v/>
      </c>
      <c r="AS2364">
        <f>IF('01_Вводные'!$B$25&gt;0,ROUNDUP(ROUND('19_Расчет_аналитики'!AS2362/'01_Вводные'!$B$25,10),0),0)</f>
        <v/>
      </c>
      <c r="AT2364">
        <f>IF('01_Вводные'!$B$25&gt;0,ROUNDUP(ROUND('19_Расчет_аналитики'!AT2362/'01_Вводные'!$B$25,10),0),0)</f>
        <v/>
      </c>
      <c r="AU2364">
        <f>IF('01_Вводные'!$B$25&gt;0,ROUNDUP(ROUND('19_Расчет_аналитики'!AU2362/'01_Вводные'!$B$25,10),0),0)</f>
        <v/>
      </c>
      <c r="AV2364">
        <f>IF('01_Вводные'!$B$25&gt;0,ROUNDUP(ROUND('19_Расчет_аналитики'!AV2362/'01_Вводные'!$B$25,10),0),0)</f>
        <v/>
      </c>
      <c r="AW2364">
        <f>IF('01_Вводные'!$B$25&gt;0,ROUNDUP(ROUND('19_Расчет_аналитики'!AW2362/'01_Вводные'!$B$25,10),0),0)</f>
        <v/>
      </c>
      <c r="AX2364">
        <f>IF('01_Вводные'!$B$25&gt;0,ROUNDUP(ROUND('19_Расчет_аналитики'!AX2362/'01_Вводные'!$B$25,10),0),0)</f>
        <v/>
      </c>
      <c r="AY2364">
        <f>IF('01_Вводные'!$B$25&gt;0,ROUNDUP(ROUND('19_Расчет_аналитики'!AY2362/'01_Вводные'!$B$25,10),0),0)</f>
        <v/>
      </c>
      <c r="AZ2364">
        <f>IF('01_Вводные'!$B$25&gt;0,ROUNDUP(ROUND('19_Расчет_аналитики'!AZ2362/'01_Вводные'!$B$25,10),0),0)</f>
        <v/>
      </c>
      <c r="BA2364">
        <f>IF('01_Вводные'!$B$25&gt;0,ROUNDUP(ROUND('19_Расчет_аналитики'!BA2362/'01_Вводные'!$B$25,10),0),0)</f>
        <v/>
      </c>
      <c r="BB2364">
        <f>IF('01_Вводные'!$B$25&gt;0,ROUNDUP(ROUND('19_Расчет_аналитики'!BB2362/'01_Вводные'!$B$25,10),0),0)</f>
        <v/>
      </c>
      <c r="BC2364">
        <f>IF('01_Вводные'!$B$25&gt;0,ROUNDUP(ROUND('19_Расчет_аналитики'!BC2362/'01_Вводные'!$B$25,10),0),0)</f>
        <v/>
      </c>
      <c r="BD2364">
        <f>IF('01_Вводные'!$B$25&gt;0,ROUNDUP(ROUND('19_Расчет_аналитики'!BD2362/'01_Вводные'!$B$25,10),0),0)</f>
        <v/>
      </c>
      <c r="BE2364">
        <f>IF('01_Вводные'!$B$25&gt;0,ROUNDUP(ROUND('19_Расчет_аналитики'!BE2362/'01_Вводные'!$B$25,10),0),0)</f>
        <v/>
      </c>
      <c r="BF2364">
        <f>IF('01_Вводные'!$B$25&gt;0,ROUNDUP(ROUND('19_Расчет_аналитики'!BF2362/'01_Вводные'!$B$25,10),0),0)</f>
        <v/>
      </c>
      <c r="BG2364">
        <f>IF('01_Вводные'!$B$25&gt;0,ROUNDUP(ROUND('19_Расчет_аналитики'!BG2362/'01_Вводные'!$B$25,10),0),0)</f>
        <v/>
      </c>
      <c r="BH2364">
        <f>IF('01_Вводные'!$B$25&gt;0,ROUNDUP(ROUND('19_Расчет_аналитики'!BH2362/'01_Вводные'!$B$25,10),0),0)</f>
        <v/>
      </c>
      <c r="BI2364">
        <f>IF('01_Вводные'!$B$25&gt;0,ROUNDUP(ROUND('19_Расчет_аналитики'!BI2362/'01_Вводные'!$B$25,10),0),0)</f>
        <v/>
      </c>
    </row>
    <row r="2365">
      <c r="B2365">
        <f>IF(1&lt;='01_Вводные'!$B$15,0,INDEX('19_Расчет_аналитики'!$B$2362:$BI$2362,1,1-'01_Вводные'!$B$15))*'01_Вводные'!$B$298</f>
        <v/>
      </c>
      <c r="C2365">
        <f>IF(2&lt;='01_Вводные'!$B$15,0,INDEX('19_Расчет_аналитики'!$B$2362:$BI$2362,1,2-'01_Вводные'!$B$15))*'01_Вводные'!$B$298</f>
        <v/>
      </c>
      <c r="D2365">
        <f>IF(3&lt;='01_Вводные'!$B$15,0,INDEX('19_Расчет_аналитики'!$B$2362:$BI$2362,1,3-'01_Вводные'!$B$15))*'01_Вводные'!$B$298</f>
        <v/>
      </c>
      <c r="E2365">
        <f>IF(4&lt;='01_Вводные'!$B$15,0,INDEX('19_Расчет_аналитики'!$B$2362:$BI$2362,1,4-'01_Вводные'!$B$15))*'01_Вводные'!$B$298</f>
        <v/>
      </c>
      <c r="F2365">
        <f>IF(5&lt;='01_Вводные'!$B$15,0,INDEX('19_Расчет_аналитики'!$B$2362:$BI$2362,1,5-'01_Вводные'!$B$15))*'01_Вводные'!$B$298</f>
        <v/>
      </c>
      <c r="G2365">
        <f>IF(6&lt;='01_Вводные'!$B$15,0,INDEX('19_Расчет_аналитики'!$B$2362:$BI$2362,1,6-'01_Вводные'!$B$15))*'01_Вводные'!$B$298</f>
        <v/>
      </c>
      <c r="H2365">
        <f>IF(7&lt;='01_Вводные'!$B$15,0,INDEX('19_Расчет_аналитики'!$B$2362:$BI$2362,1,7-'01_Вводные'!$B$15))*'01_Вводные'!$B$298</f>
        <v/>
      </c>
      <c r="I2365">
        <f>IF(8&lt;='01_Вводные'!$B$15,0,INDEX('19_Расчет_аналитики'!$B$2362:$BI$2362,1,8-'01_Вводные'!$B$15))*'01_Вводные'!$B$298</f>
        <v/>
      </c>
      <c r="J2365">
        <f>IF(9&lt;='01_Вводные'!$B$15,0,INDEX('19_Расчет_аналитики'!$B$2362:$BI$2362,1,9-'01_Вводные'!$B$15))*'01_Вводные'!$B$298</f>
        <v/>
      </c>
      <c r="K2365">
        <f>IF(10&lt;='01_Вводные'!$B$15,0,INDEX('19_Расчет_аналитики'!$B$2362:$BI$2362,1,10-'01_Вводные'!$B$15))*'01_Вводные'!$B$298</f>
        <v/>
      </c>
      <c r="L2365">
        <f>IF(11&lt;='01_Вводные'!$B$15,0,INDEX('19_Расчет_аналитики'!$B$2362:$BI$2362,1,11-'01_Вводные'!$B$15))*'01_Вводные'!$B$298</f>
        <v/>
      </c>
      <c r="M2365">
        <f>IF(12&lt;='01_Вводные'!$B$15,0,INDEX('19_Расчет_аналитики'!$B$2362:$BI$2362,1,12-'01_Вводные'!$B$15))*'01_Вводные'!$B$298</f>
        <v/>
      </c>
      <c r="N2365">
        <f>IF(13&lt;='01_Вводные'!$B$15,0,INDEX('19_Расчет_аналитики'!$B$2362:$BI$2362,1,13-'01_Вводные'!$B$15))*'01_Вводные'!$B$298</f>
        <v/>
      </c>
      <c r="O2365">
        <f>IF(14&lt;='01_Вводные'!$B$15,0,INDEX('19_Расчет_аналитики'!$B$2362:$BI$2362,1,14-'01_Вводные'!$B$15))*'01_Вводные'!$B$298</f>
        <v/>
      </c>
      <c r="P2365">
        <f>IF(15&lt;='01_Вводные'!$B$15,0,INDEX('19_Расчет_аналитики'!$B$2362:$BI$2362,1,15-'01_Вводные'!$B$15))*'01_Вводные'!$B$298</f>
        <v/>
      </c>
      <c r="Q2365">
        <f>IF(16&lt;='01_Вводные'!$B$15,0,INDEX('19_Расчет_аналитики'!$B$2362:$BI$2362,1,16-'01_Вводные'!$B$15))*'01_Вводные'!$B$298</f>
        <v/>
      </c>
      <c r="R2365">
        <f>IF(17&lt;='01_Вводные'!$B$15,0,INDEX('19_Расчет_аналитики'!$B$2362:$BI$2362,1,17-'01_Вводные'!$B$15))*'01_Вводные'!$B$298</f>
        <v/>
      </c>
      <c r="S2365">
        <f>IF(18&lt;='01_Вводные'!$B$15,0,INDEX('19_Расчет_аналитики'!$B$2362:$BI$2362,1,18-'01_Вводные'!$B$15))*'01_Вводные'!$B$298</f>
        <v/>
      </c>
      <c r="T2365">
        <f>IF(19&lt;='01_Вводные'!$B$15,0,INDEX('19_Расчет_аналитики'!$B$2362:$BI$2362,1,19-'01_Вводные'!$B$15))*'01_Вводные'!$B$298</f>
        <v/>
      </c>
      <c r="U2365">
        <f>IF(20&lt;='01_Вводные'!$B$15,0,INDEX('19_Расчет_аналитики'!$B$2362:$BI$2362,1,20-'01_Вводные'!$B$15))*'01_Вводные'!$B$298</f>
        <v/>
      </c>
      <c r="V2365">
        <f>IF(21&lt;='01_Вводные'!$B$15,0,INDEX('19_Расчет_аналитики'!$B$2362:$BI$2362,1,21-'01_Вводные'!$B$15))*'01_Вводные'!$B$298</f>
        <v/>
      </c>
      <c r="W2365">
        <f>IF(22&lt;='01_Вводные'!$B$15,0,INDEX('19_Расчет_аналитики'!$B$2362:$BI$2362,1,22-'01_Вводные'!$B$15))*'01_Вводные'!$B$298</f>
        <v/>
      </c>
      <c r="X2365">
        <f>IF(23&lt;='01_Вводные'!$B$15,0,INDEX('19_Расчет_аналитики'!$B$2362:$BI$2362,1,23-'01_Вводные'!$B$15))*'01_Вводные'!$B$298</f>
        <v/>
      </c>
      <c r="Y2365">
        <f>IF(24&lt;='01_Вводные'!$B$15,0,INDEX('19_Расчет_аналитики'!$B$2362:$BI$2362,1,24-'01_Вводные'!$B$15))*'01_Вводные'!$B$298</f>
        <v/>
      </c>
      <c r="Z2365">
        <f>IF(25&lt;='01_Вводные'!$B$15,0,INDEX('19_Расчет_аналитики'!$B$2362:$BI$2362,1,25-'01_Вводные'!$B$15))*'01_Вводные'!$B$298</f>
        <v/>
      </c>
      <c r="AA2365">
        <f>IF(26&lt;='01_Вводные'!$B$15,0,INDEX('19_Расчет_аналитики'!$B$2362:$BI$2362,1,26-'01_Вводные'!$B$15))*'01_Вводные'!$B$298</f>
        <v/>
      </c>
      <c r="AB2365">
        <f>IF(27&lt;='01_Вводные'!$B$15,0,INDEX('19_Расчет_аналитики'!$B$2362:$BI$2362,1,27-'01_Вводные'!$B$15))*'01_Вводные'!$B$298</f>
        <v/>
      </c>
      <c r="AC2365">
        <f>IF(28&lt;='01_Вводные'!$B$15,0,INDEX('19_Расчет_аналитики'!$B$2362:$BI$2362,1,28-'01_Вводные'!$B$15))*'01_Вводные'!$B$298</f>
        <v/>
      </c>
      <c r="AD2365">
        <f>IF(29&lt;='01_Вводные'!$B$15,0,INDEX('19_Расчет_аналитики'!$B$2362:$BI$2362,1,29-'01_Вводные'!$B$15))*'01_Вводные'!$B$298</f>
        <v/>
      </c>
      <c r="AE2365">
        <f>IF(30&lt;='01_Вводные'!$B$15,0,INDEX('19_Расчет_аналитики'!$B$2362:$BI$2362,1,30-'01_Вводные'!$B$15))*'01_Вводные'!$B$298</f>
        <v/>
      </c>
      <c r="AF2365">
        <f>IF(31&lt;='01_Вводные'!$B$15,0,INDEX('19_Расчет_аналитики'!$B$2362:$BI$2362,1,31-'01_Вводные'!$B$15))*'01_Вводные'!$B$298</f>
        <v/>
      </c>
      <c r="AG2365">
        <f>IF(32&lt;='01_Вводные'!$B$15,0,INDEX('19_Расчет_аналитики'!$B$2362:$BI$2362,1,32-'01_Вводные'!$B$15))*'01_Вводные'!$B$298</f>
        <v/>
      </c>
      <c r="AH2365">
        <f>IF(33&lt;='01_Вводные'!$B$15,0,INDEX('19_Расчет_аналитики'!$B$2362:$BI$2362,1,33-'01_Вводные'!$B$15))*'01_Вводные'!$B$298</f>
        <v/>
      </c>
      <c r="AI2365">
        <f>IF(34&lt;='01_Вводные'!$B$15,0,INDEX('19_Расчет_аналитики'!$B$2362:$BI$2362,1,34-'01_Вводные'!$B$15))*'01_Вводные'!$B$298</f>
        <v/>
      </c>
      <c r="AJ2365">
        <f>IF(35&lt;='01_Вводные'!$B$15,0,INDEX('19_Расчет_аналитики'!$B$2362:$BI$2362,1,35-'01_Вводные'!$B$15))*'01_Вводные'!$B$298</f>
        <v/>
      </c>
      <c r="AK2365">
        <f>IF(36&lt;='01_Вводные'!$B$15,0,INDEX('19_Расчет_аналитики'!$B$2362:$BI$2362,1,36-'01_Вводные'!$B$15))*'01_Вводные'!$B$298</f>
        <v/>
      </c>
      <c r="AL2365">
        <f>IF(37&lt;='01_Вводные'!$B$15,0,INDEX('19_Расчет_аналитики'!$B$2362:$BI$2362,1,37-'01_Вводные'!$B$15))*'01_Вводные'!$B$298</f>
        <v/>
      </c>
      <c r="AM2365">
        <f>IF(38&lt;='01_Вводные'!$B$15,0,INDEX('19_Расчет_аналитики'!$B$2362:$BI$2362,1,38-'01_Вводные'!$B$15))*'01_Вводные'!$B$298</f>
        <v/>
      </c>
      <c r="AN2365">
        <f>IF(39&lt;='01_Вводные'!$B$15,0,INDEX('19_Расчет_аналитики'!$B$2362:$BI$2362,1,39-'01_Вводные'!$B$15))*'01_Вводные'!$B$298</f>
        <v/>
      </c>
      <c r="AO2365">
        <f>IF(40&lt;='01_Вводные'!$B$15,0,INDEX('19_Расчет_аналитики'!$B$2362:$BI$2362,1,40-'01_Вводные'!$B$15))*'01_Вводные'!$B$298</f>
        <v/>
      </c>
      <c r="AP2365">
        <f>IF(41&lt;='01_Вводные'!$B$15,0,INDEX('19_Расчет_аналитики'!$B$2362:$BI$2362,1,41-'01_Вводные'!$B$15))*'01_Вводные'!$B$298</f>
        <v/>
      </c>
      <c r="AQ2365">
        <f>IF(42&lt;='01_Вводные'!$B$15,0,INDEX('19_Расчет_аналитики'!$B$2362:$BI$2362,1,42-'01_Вводные'!$B$15))*'01_Вводные'!$B$298</f>
        <v/>
      </c>
      <c r="AR2365">
        <f>IF(43&lt;='01_Вводные'!$B$15,0,INDEX('19_Расчет_аналитики'!$B$2362:$BI$2362,1,43-'01_Вводные'!$B$15))*'01_Вводные'!$B$298</f>
        <v/>
      </c>
      <c r="AS2365">
        <f>IF(44&lt;='01_Вводные'!$B$15,0,INDEX('19_Расчет_аналитики'!$B$2362:$BI$2362,1,44-'01_Вводные'!$B$15))*'01_Вводные'!$B$298</f>
        <v/>
      </c>
      <c r="AT2365">
        <f>IF(45&lt;='01_Вводные'!$B$15,0,INDEX('19_Расчет_аналитики'!$B$2362:$BI$2362,1,45-'01_Вводные'!$B$15))*'01_Вводные'!$B$298</f>
        <v/>
      </c>
      <c r="AU2365">
        <f>IF(46&lt;='01_Вводные'!$B$15,0,INDEX('19_Расчет_аналитики'!$B$2362:$BI$2362,1,46-'01_Вводные'!$B$15))*'01_Вводные'!$B$298</f>
        <v/>
      </c>
      <c r="AV2365">
        <f>IF(47&lt;='01_Вводные'!$B$15,0,INDEX('19_Расчет_аналитики'!$B$2362:$BI$2362,1,47-'01_Вводные'!$B$15))*'01_Вводные'!$B$298</f>
        <v/>
      </c>
      <c r="AW2365">
        <f>IF(48&lt;='01_Вводные'!$B$15,0,INDEX('19_Расчет_аналитики'!$B$2362:$BI$2362,1,48-'01_Вводные'!$B$15))*'01_Вводные'!$B$298</f>
        <v/>
      </c>
      <c r="AX2365">
        <f>IF(49&lt;='01_Вводные'!$B$15,0,INDEX('19_Расчет_аналитики'!$B$2362:$BI$2362,1,49-'01_Вводные'!$B$15))*'01_Вводные'!$B$298</f>
        <v/>
      </c>
      <c r="AY2365">
        <f>IF(50&lt;='01_Вводные'!$B$15,0,INDEX('19_Расчет_аналитики'!$B$2362:$BI$2362,1,50-'01_Вводные'!$B$15))*'01_Вводные'!$B$298</f>
        <v/>
      </c>
      <c r="AZ2365">
        <f>IF(51&lt;='01_Вводные'!$B$15,0,INDEX('19_Расчет_аналитики'!$B$2362:$BI$2362,1,51-'01_Вводные'!$B$15))*'01_Вводные'!$B$298</f>
        <v/>
      </c>
      <c r="BA2365">
        <f>IF(52&lt;='01_Вводные'!$B$15,0,INDEX('19_Расчет_аналитики'!$B$2362:$BI$2362,1,52-'01_Вводные'!$B$15))*'01_Вводные'!$B$298</f>
        <v/>
      </c>
      <c r="BB2365">
        <f>IF(53&lt;='01_Вводные'!$B$15,0,INDEX('19_Расчет_аналитики'!$B$2362:$BI$2362,1,53-'01_Вводные'!$B$15))*'01_Вводные'!$B$298</f>
        <v/>
      </c>
      <c r="BC2365">
        <f>IF(54&lt;='01_Вводные'!$B$15,0,INDEX('19_Расчет_аналитики'!$B$2362:$BI$2362,1,54-'01_Вводные'!$B$15))*'01_Вводные'!$B$298</f>
        <v/>
      </c>
      <c r="BD2365">
        <f>IF(55&lt;='01_Вводные'!$B$15,0,INDEX('19_Расчет_аналитики'!$B$2362:$BI$2362,1,55-'01_Вводные'!$B$15))*'01_Вводные'!$B$298</f>
        <v/>
      </c>
      <c r="BE2365">
        <f>IF(56&lt;='01_Вводные'!$B$15,0,INDEX('19_Расчет_аналитики'!$B$2362:$BI$2362,1,56-'01_Вводные'!$B$15))*'01_Вводные'!$B$298</f>
        <v/>
      </c>
      <c r="BF2365">
        <f>IF(57&lt;='01_Вводные'!$B$15,0,INDEX('19_Расчет_аналитики'!$B$2362:$BI$2362,1,57-'01_Вводные'!$B$15))*'01_Вводные'!$B$298</f>
        <v/>
      </c>
      <c r="BG2365">
        <f>IF(58&lt;='01_Вводные'!$B$15,0,INDEX('19_Расчет_аналитики'!$B$2362:$BI$2362,1,58-'01_Вводные'!$B$15))*'01_Вводные'!$B$298</f>
        <v/>
      </c>
      <c r="BH2365">
        <f>IF(59&lt;='01_Вводные'!$B$15,0,INDEX('19_Расчет_аналитики'!$B$2362:$BI$2362,1,59-'01_Вводные'!$B$15))*'01_Вводные'!$B$298</f>
        <v/>
      </c>
      <c r="BI2365">
        <f>IF(60&lt;='01_Вводные'!$B$15,0,INDEX('19_Расчет_аналитики'!$B$2362:$BI$2362,1,60-'01_Вводные'!$B$15))*'01_Вводные'!$B$298</f>
        <v/>
      </c>
    </row>
    <row r="2366"/>
    <row r="2367"/>
    <row r="2368">
      <c r="B2368">
        <f>SUMIF('04_Продажи'!$B$28:$BI$28,'04_Продажи'!B$11,'19_Расчет_аналитики'!$B$2362:$BI$2362)*'19_Расчет_аналитики'!B2833</f>
        <v/>
      </c>
      <c r="C2368">
        <f>SUMIF('04_Продажи'!$B$28:$BI$28,'04_Продажи'!C$11,'19_Расчет_аналитики'!$B$2362:$BI$2362)*'19_Расчет_аналитики'!C2833</f>
        <v/>
      </c>
      <c r="D2368">
        <f>SUMIF('04_Продажи'!$B$28:$BI$28,'04_Продажи'!D$11,'19_Расчет_аналитики'!$B$2362:$BI$2362)*'19_Расчет_аналитики'!D2833</f>
        <v/>
      </c>
      <c r="E2368">
        <f>SUMIF('04_Продажи'!$B$28:$BI$28,'04_Продажи'!E$11,'19_Расчет_аналитики'!$B$2362:$BI$2362)*'19_Расчет_аналитики'!E2833</f>
        <v/>
      </c>
      <c r="F2368">
        <f>SUMIF('04_Продажи'!$B$28:$BI$28,'04_Продажи'!F$11,'19_Расчет_аналитики'!$B$2362:$BI$2362)*'19_Расчет_аналитики'!F2833</f>
        <v/>
      </c>
      <c r="G2368">
        <f>SUMIF('04_Продажи'!$B$28:$BI$28,'04_Продажи'!G$11,'19_Расчет_аналитики'!$B$2362:$BI$2362)*'19_Расчет_аналитики'!G2833</f>
        <v/>
      </c>
      <c r="H2368">
        <f>SUMIF('04_Продажи'!$B$28:$BI$28,'04_Продажи'!H$11,'19_Расчет_аналитики'!$B$2362:$BI$2362)*'19_Расчет_аналитики'!H2833</f>
        <v/>
      </c>
      <c r="I2368">
        <f>SUMIF('04_Продажи'!$B$28:$BI$28,'04_Продажи'!I$11,'19_Расчет_аналитики'!$B$2362:$BI$2362)*'19_Расчет_аналитики'!I2833</f>
        <v/>
      </c>
      <c r="J2368">
        <f>SUMIF('04_Продажи'!$B$28:$BI$28,'04_Продажи'!J$11,'19_Расчет_аналитики'!$B$2362:$BI$2362)*'19_Расчет_аналитики'!J2833</f>
        <v/>
      </c>
      <c r="K2368">
        <f>SUMIF('04_Продажи'!$B$28:$BI$28,'04_Продажи'!K$11,'19_Расчет_аналитики'!$B$2362:$BI$2362)*'19_Расчет_аналитики'!K2833</f>
        <v/>
      </c>
      <c r="L2368">
        <f>SUMIF('04_Продажи'!$B$28:$BI$28,'04_Продажи'!L$11,'19_Расчет_аналитики'!$B$2362:$BI$2362)*'19_Расчет_аналитики'!L2833</f>
        <v/>
      </c>
      <c r="M2368">
        <f>SUMIF('04_Продажи'!$B$28:$BI$28,'04_Продажи'!M$11,'19_Расчет_аналитики'!$B$2362:$BI$2362)*'19_Расчет_аналитики'!M2833</f>
        <v/>
      </c>
      <c r="N2368">
        <f>SUMIF('04_Продажи'!$B$28:$BI$28,'04_Продажи'!N$11,'19_Расчет_аналитики'!$B$2362:$BI$2362)*'19_Расчет_аналитики'!N2833</f>
        <v/>
      </c>
      <c r="O2368">
        <f>SUMIF('04_Продажи'!$B$28:$BI$28,'04_Продажи'!O$11,'19_Расчет_аналитики'!$B$2362:$BI$2362)*'19_Расчет_аналитики'!O2833</f>
        <v/>
      </c>
      <c r="P2368">
        <f>SUMIF('04_Продажи'!$B$28:$BI$28,'04_Продажи'!P$11,'19_Расчет_аналитики'!$B$2362:$BI$2362)*'19_Расчет_аналитики'!P2833</f>
        <v/>
      </c>
      <c r="Q2368">
        <f>SUMIF('04_Продажи'!$B$28:$BI$28,'04_Продажи'!Q$11,'19_Расчет_аналитики'!$B$2362:$BI$2362)*'19_Расчет_аналитики'!Q2833</f>
        <v/>
      </c>
      <c r="R2368">
        <f>SUMIF('04_Продажи'!$B$28:$BI$28,'04_Продажи'!R$11,'19_Расчет_аналитики'!$B$2362:$BI$2362)*'19_Расчет_аналитики'!R2833</f>
        <v/>
      </c>
      <c r="S2368">
        <f>SUMIF('04_Продажи'!$B$28:$BI$28,'04_Продажи'!S$11,'19_Расчет_аналитики'!$B$2362:$BI$2362)*'19_Расчет_аналитики'!S2833</f>
        <v/>
      </c>
      <c r="T2368">
        <f>SUMIF('04_Продажи'!$B$28:$BI$28,'04_Продажи'!T$11,'19_Расчет_аналитики'!$B$2362:$BI$2362)*'19_Расчет_аналитики'!T2833</f>
        <v/>
      </c>
      <c r="U2368">
        <f>SUMIF('04_Продажи'!$B$28:$BI$28,'04_Продажи'!U$11,'19_Расчет_аналитики'!$B$2362:$BI$2362)*'19_Расчет_аналитики'!U2833</f>
        <v/>
      </c>
      <c r="V2368">
        <f>SUMIF('04_Продажи'!$B$28:$BI$28,'04_Продажи'!V$11,'19_Расчет_аналитики'!$B$2362:$BI$2362)*'19_Расчет_аналитики'!V2833</f>
        <v/>
      </c>
      <c r="W2368">
        <f>SUMIF('04_Продажи'!$B$28:$BI$28,'04_Продажи'!W$11,'19_Расчет_аналитики'!$B$2362:$BI$2362)*'19_Расчет_аналитики'!W2833</f>
        <v/>
      </c>
      <c r="X2368">
        <f>SUMIF('04_Продажи'!$B$28:$BI$28,'04_Продажи'!X$11,'19_Расчет_аналитики'!$B$2362:$BI$2362)*'19_Расчет_аналитики'!X2833</f>
        <v/>
      </c>
      <c r="Y2368">
        <f>SUMIF('04_Продажи'!$B$28:$BI$28,'04_Продажи'!Y$11,'19_Расчет_аналитики'!$B$2362:$BI$2362)*'19_Расчет_аналитики'!Y2833</f>
        <v/>
      </c>
      <c r="Z2368">
        <f>SUMIF('04_Продажи'!$B$28:$BI$28,'04_Продажи'!Z$11,'19_Расчет_аналитики'!$B$2362:$BI$2362)*'19_Расчет_аналитики'!Z2833</f>
        <v/>
      </c>
      <c r="AA2368">
        <f>SUMIF('04_Продажи'!$B$28:$BI$28,'04_Продажи'!AA$11,'19_Расчет_аналитики'!$B$2362:$BI$2362)*'19_Расчет_аналитики'!AA2833</f>
        <v/>
      </c>
      <c r="AB2368">
        <f>SUMIF('04_Продажи'!$B$28:$BI$28,'04_Продажи'!AB$11,'19_Расчет_аналитики'!$B$2362:$BI$2362)*'19_Расчет_аналитики'!AB2833</f>
        <v/>
      </c>
      <c r="AC2368">
        <f>SUMIF('04_Продажи'!$B$28:$BI$28,'04_Продажи'!AC$11,'19_Расчет_аналитики'!$B$2362:$BI$2362)*'19_Расчет_аналитики'!AC2833</f>
        <v/>
      </c>
      <c r="AD2368">
        <f>SUMIF('04_Продажи'!$B$28:$BI$28,'04_Продажи'!AD$11,'19_Расчет_аналитики'!$B$2362:$BI$2362)*'19_Расчет_аналитики'!AD2833</f>
        <v/>
      </c>
      <c r="AE2368">
        <f>SUMIF('04_Продажи'!$B$28:$BI$28,'04_Продажи'!AE$11,'19_Расчет_аналитики'!$B$2362:$BI$2362)*'19_Расчет_аналитики'!AE2833</f>
        <v/>
      </c>
      <c r="AF2368">
        <f>SUMIF('04_Продажи'!$B$28:$BI$28,'04_Продажи'!AF$11,'19_Расчет_аналитики'!$B$2362:$BI$2362)*'19_Расчет_аналитики'!AF2833</f>
        <v/>
      </c>
      <c r="AG2368">
        <f>SUMIF('04_Продажи'!$B$28:$BI$28,'04_Продажи'!AG$11,'19_Расчет_аналитики'!$B$2362:$BI$2362)*'19_Расчет_аналитики'!AG2833</f>
        <v/>
      </c>
      <c r="AH2368">
        <f>SUMIF('04_Продажи'!$B$28:$BI$28,'04_Продажи'!AH$11,'19_Расчет_аналитики'!$B$2362:$BI$2362)*'19_Расчет_аналитики'!AH2833</f>
        <v/>
      </c>
      <c r="AI2368">
        <f>SUMIF('04_Продажи'!$B$28:$BI$28,'04_Продажи'!AI$11,'19_Расчет_аналитики'!$B$2362:$BI$2362)*'19_Расчет_аналитики'!AI2833</f>
        <v/>
      </c>
      <c r="AJ2368">
        <f>SUMIF('04_Продажи'!$B$28:$BI$28,'04_Продажи'!AJ$11,'19_Расчет_аналитики'!$B$2362:$BI$2362)*'19_Расчет_аналитики'!AJ2833</f>
        <v/>
      </c>
      <c r="AK2368">
        <f>SUMIF('04_Продажи'!$B$28:$BI$28,'04_Продажи'!AK$11,'19_Расчет_аналитики'!$B$2362:$BI$2362)*'19_Расчет_аналитики'!AK2833</f>
        <v/>
      </c>
      <c r="AL2368">
        <f>SUMIF('04_Продажи'!$B$28:$BI$28,'04_Продажи'!AL$11,'19_Расчет_аналитики'!$B$2362:$BI$2362)*'19_Расчет_аналитики'!AL2833</f>
        <v/>
      </c>
      <c r="AM2368">
        <f>SUMIF('04_Продажи'!$B$28:$BI$28,'04_Продажи'!AM$11,'19_Расчет_аналитики'!$B$2362:$BI$2362)*'19_Расчет_аналитики'!AM2833</f>
        <v/>
      </c>
      <c r="AN2368">
        <f>SUMIF('04_Продажи'!$B$28:$BI$28,'04_Продажи'!AN$11,'19_Расчет_аналитики'!$B$2362:$BI$2362)*'19_Расчет_аналитики'!AN2833</f>
        <v/>
      </c>
      <c r="AO2368">
        <f>SUMIF('04_Продажи'!$B$28:$BI$28,'04_Продажи'!AO$11,'19_Расчет_аналитики'!$B$2362:$BI$2362)*'19_Расчет_аналитики'!AO2833</f>
        <v/>
      </c>
      <c r="AP2368">
        <f>SUMIF('04_Продажи'!$B$28:$BI$28,'04_Продажи'!AP$11,'19_Расчет_аналитики'!$B$2362:$BI$2362)*'19_Расчет_аналитики'!AP2833</f>
        <v/>
      </c>
      <c r="AQ2368">
        <f>SUMIF('04_Продажи'!$B$28:$BI$28,'04_Продажи'!AQ$11,'19_Расчет_аналитики'!$B$2362:$BI$2362)*'19_Расчет_аналитики'!AQ2833</f>
        <v/>
      </c>
      <c r="AR2368">
        <f>SUMIF('04_Продажи'!$B$28:$BI$28,'04_Продажи'!AR$11,'19_Расчет_аналитики'!$B$2362:$BI$2362)*'19_Расчет_аналитики'!AR2833</f>
        <v/>
      </c>
      <c r="AS2368">
        <f>SUMIF('04_Продажи'!$B$28:$BI$28,'04_Продажи'!AS$11,'19_Расчет_аналитики'!$B$2362:$BI$2362)*'19_Расчет_аналитики'!AS2833</f>
        <v/>
      </c>
      <c r="AT2368">
        <f>SUMIF('04_Продажи'!$B$28:$BI$28,'04_Продажи'!AT$11,'19_Расчет_аналитики'!$B$2362:$BI$2362)*'19_Расчет_аналитики'!AT2833</f>
        <v/>
      </c>
      <c r="AU2368">
        <f>SUMIF('04_Продажи'!$B$28:$BI$28,'04_Продажи'!AU$11,'19_Расчет_аналитики'!$B$2362:$BI$2362)*'19_Расчет_аналитики'!AU2833</f>
        <v/>
      </c>
      <c r="AV2368">
        <f>SUMIF('04_Продажи'!$B$28:$BI$28,'04_Продажи'!AV$11,'19_Расчет_аналитики'!$B$2362:$BI$2362)*'19_Расчет_аналитики'!AV2833</f>
        <v/>
      </c>
      <c r="AW2368">
        <f>SUMIF('04_Продажи'!$B$28:$BI$28,'04_Продажи'!AW$11,'19_Расчет_аналитики'!$B$2362:$BI$2362)*'19_Расчет_аналитики'!AW2833</f>
        <v/>
      </c>
      <c r="AX2368">
        <f>SUMIF('04_Продажи'!$B$28:$BI$28,'04_Продажи'!AX$11,'19_Расчет_аналитики'!$B$2362:$BI$2362)*'19_Расчет_аналитики'!AX2833</f>
        <v/>
      </c>
      <c r="AY2368">
        <f>SUMIF('04_Продажи'!$B$28:$BI$28,'04_Продажи'!AY$11,'19_Расчет_аналитики'!$B$2362:$BI$2362)*'19_Расчет_аналитики'!AY2833</f>
        <v/>
      </c>
      <c r="AZ2368">
        <f>SUMIF('04_Продажи'!$B$28:$BI$28,'04_Продажи'!AZ$11,'19_Расчет_аналитики'!$B$2362:$BI$2362)*'19_Расчет_аналитики'!AZ2833</f>
        <v/>
      </c>
      <c r="BA2368">
        <f>SUMIF('04_Продажи'!$B$28:$BI$28,'04_Продажи'!BA$11,'19_Расчет_аналитики'!$B$2362:$BI$2362)*'19_Расчет_аналитики'!BA2833</f>
        <v/>
      </c>
      <c r="BB2368">
        <f>SUMIF('04_Продажи'!$B$28:$BI$28,'04_Продажи'!BB$11,'19_Расчет_аналитики'!$B$2362:$BI$2362)*'19_Расчет_аналитики'!BB2833</f>
        <v/>
      </c>
      <c r="BC2368">
        <f>SUMIF('04_Продажи'!$B$28:$BI$28,'04_Продажи'!BC$11,'19_Расчет_аналитики'!$B$2362:$BI$2362)*'19_Расчет_аналитики'!BC2833</f>
        <v/>
      </c>
      <c r="BD2368">
        <f>SUMIF('04_Продажи'!$B$28:$BI$28,'04_Продажи'!BD$11,'19_Расчет_аналитики'!$B$2362:$BI$2362)*'19_Расчет_аналитики'!BD2833</f>
        <v/>
      </c>
      <c r="BE2368">
        <f>SUMIF('04_Продажи'!$B$28:$BI$28,'04_Продажи'!BE$11,'19_Расчет_аналитики'!$B$2362:$BI$2362)*'19_Расчет_аналитики'!BE2833</f>
        <v/>
      </c>
      <c r="BF2368">
        <f>SUMIF('04_Продажи'!$B$28:$BI$28,'04_Продажи'!BF$11,'19_Расчет_аналитики'!$B$2362:$BI$2362)*'19_Расчет_аналитики'!BF2833</f>
        <v/>
      </c>
      <c r="BG2368">
        <f>SUMIF('04_Продажи'!$B$28:$BI$28,'04_Продажи'!BG$11,'19_Расчет_аналитики'!$B$2362:$BI$2362)*'19_Расчет_аналитики'!BG2833</f>
        <v/>
      </c>
      <c r="BH2368">
        <f>SUMIF('04_Продажи'!$B$28:$BI$28,'04_Продажи'!BH$11,'19_Расчет_аналитики'!$B$2362:$BI$2362)*'19_Расчет_аналитики'!BH2833</f>
        <v/>
      </c>
      <c r="BI2368">
        <f>SUMIF('04_Продажи'!$B$28:$BI$28,'04_Продажи'!BI$11,'19_Расчет_аналитики'!$B$2362:$BI$2362)*'19_Расчет_аналитики'!BI2833</f>
        <v/>
      </c>
    </row>
    <row r="2369"/>
    <row r="2370">
      <c r="B2370">
        <f>'19_Расчет_аналитики'!B2368+'04_Продажи'!B22</f>
        <v/>
      </c>
      <c r="C2370">
        <f>'19_Расчет_аналитики'!C2368+'04_Продажи'!C22</f>
        <v/>
      </c>
      <c r="D2370">
        <f>'19_Расчет_аналитики'!D2368+'04_Продажи'!D22</f>
        <v/>
      </c>
      <c r="E2370">
        <f>'19_Расчет_аналитики'!E2368+'04_Продажи'!E22</f>
        <v/>
      </c>
      <c r="F2370">
        <f>'19_Расчет_аналитики'!F2368+'04_Продажи'!F22</f>
        <v/>
      </c>
      <c r="G2370">
        <f>'19_Расчет_аналитики'!G2368+'04_Продажи'!G22</f>
        <v/>
      </c>
      <c r="H2370">
        <f>'19_Расчет_аналитики'!H2368+'04_Продажи'!H22</f>
        <v/>
      </c>
      <c r="I2370">
        <f>'19_Расчет_аналитики'!I2368+'04_Продажи'!I22</f>
        <v/>
      </c>
      <c r="J2370">
        <f>'19_Расчет_аналитики'!J2368+'04_Продажи'!J22</f>
        <v/>
      </c>
      <c r="K2370">
        <f>'19_Расчет_аналитики'!K2368+'04_Продажи'!K22</f>
        <v/>
      </c>
      <c r="L2370">
        <f>'19_Расчет_аналитики'!L2368+'04_Продажи'!L22</f>
        <v/>
      </c>
      <c r="M2370">
        <f>'19_Расчет_аналитики'!M2368+'04_Продажи'!M22</f>
        <v/>
      </c>
      <c r="N2370">
        <f>'19_Расчет_аналитики'!N2368+'04_Продажи'!N22</f>
        <v/>
      </c>
      <c r="O2370">
        <f>'19_Расчет_аналитики'!O2368+'04_Продажи'!O22</f>
        <v/>
      </c>
      <c r="P2370">
        <f>'19_Расчет_аналитики'!P2368+'04_Продажи'!P22</f>
        <v/>
      </c>
      <c r="Q2370">
        <f>'19_Расчет_аналитики'!Q2368+'04_Продажи'!Q22</f>
        <v/>
      </c>
      <c r="R2370">
        <f>'19_Расчет_аналитики'!R2368+'04_Продажи'!R22</f>
        <v/>
      </c>
      <c r="S2370">
        <f>'19_Расчет_аналитики'!S2368+'04_Продажи'!S22</f>
        <v/>
      </c>
      <c r="T2370">
        <f>'19_Расчет_аналитики'!T2368+'04_Продажи'!T22</f>
        <v/>
      </c>
      <c r="U2370">
        <f>'19_Расчет_аналитики'!U2368+'04_Продажи'!U22</f>
        <v/>
      </c>
      <c r="V2370">
        <f>'19_Расчет_аналитики'!V2368+'04_Продажи'!V22</f>
        <v/>
      </c>
      <c r="W2370">
        <f>'19_Расчет_аналитики'!W2368+'04_Продажи'!W22</f>
        <v/>
      </c>
      <c r="X2370">
        <f>'19_Расчет_аналитики'!X2368+'04_Продажи'!X22</f>
        <v/>
      </c>
      <c r="Y2370">
        <f>'19_Расчет_аналитики'!Y2368+'04_Продажи'!Y22</f>
        <v/>
      </c>
      <c r="Z2370">
        <f>'19_Расчет_аналитики'!Z2368+'04_Продажи'!Z22</f>
        <v/>
      </c>
      <c r="AA2370">
        <f>'19_Расчет_аналитики'!AA2368+'04_Продажи'!AA22</f>
        <v/>
      </c>
      <c r="AB2370">
        <f>'19_Расчет_аналитики'!AB2368+'04_Продажи'!AB22</f>
        <v/>
      </c>
      <c r="AC2370">
        <f>'19_Расчет_аналитики'!AC2368+'04_Продажи'!AC22</f>
        <v/>
      </c>
      <c r="AD2370">
        <f>'19_Расчет_аналитики'!AD2368+'04_Продажи'!AD22</f>
        <v/>
      </c>
      <c r="AE2370">
        <f>'19_Расчет_аналитики'!AE2368+'04_Продажи'!AE22</f>
        <v/>
      </c>
      <c r="AF2370">
        <f>'19_Расчет_аналитики'!AF2368+'04_Продажи'!AF22</f>
        <v/>
      </c>
      <c r="AG2370">
        <f>'19_Расчет_аналитики'!AG2368+'04_Продажи'!AG22</f>
        <v/>
      </c>
      <c r="AH2370">
        <f>'19_Расчет_аналитики'!AH2368+'04_Продажи'!AH22</f>
        <v/>
      </c>
      <c r="AI2370">
        <f>'19_Расчет_аналитики'!AI2368+'04_Продажи'!AI22</f>
        <v/>
      </c>
      <c r="AJ2370">
        <f>'19_Расчет_аналитики'!AJ2368+'04_Продажи'!AJ22</f>
        <v/>
      </c>
      <c r="AK2370">
        <f>'19_Расчет_аналитики'!AK2368+'04_Продажи'!AK22</f>
        <v/>
      </c>
      <c r="AL2370">
        <f>'19_Расчет_аналитики'!AL2368+'04_Продажи'!AL22</f>
        <v/>
      </c>
      <c r="AM2370">
        <f>'19_Расчет_аналитики'!AM2368+'04_Продажи'!AM22</f>
        <v/>
      </c>
      <c r="AN2370">
        <f>'19_Расчет_аналитики'!AN2368+'04_Продажи'!AN22</f>
        <v/>
      </c>
      <c r="AO2370">
        <f>'19_Расчет_аналитики'!AO2368+'04_Продажи'!AO22</f>
        <v/>
      </c>
      <c r="AP2370">
        <f>'19_Расчет_аналитики'!AP2368+'04_Продажи'!AP22</f>
        <v/>
      </c>
      <c r="AQ2370">
        <f>'19_Расчет_аналитики'!AQ2368+'04_Продажи'!AQ22</f>
        <v/>
      </c>
      <c r="AR2370">
        <f>'19_Расчет_аналитики'!AR2368+'04_Продажи'!AR22</f>
        <v/>
      </c>
      <c r="AS2370">
        <f>'19_Расчет_аналитики'!AS2368+'04_Продажи'!AS22</f>
        <v/>
      </c>
      <c r="AT2370">
        <f>'19_Расчет_аналитики'!AT2368+'04_Продажи'!AT22</f>
        <v/>
      </c>
      <c r="AU2370">
        <f>'19_Расчет_аналитики'!AU2368+'04_Продажи'!AU22</f>
        <v/>
      </c>
      <c r="AV2370">
        <f>'19_Расчет_аналитики'!AV2368+'04_Продажи'!AV22</f>
        <v/>
      </c>
      <c r="AW2370">
        <f>'19_Расчет_аналитики'!AW2368+'04_Продажи'!AW22</f>
        <v/>
      </c>
      <c r="AX2370">
        <f>'19_Расчет_аналитики'!AX2368+'04_Продажи'!AX22</f>
        <v/>
      </c>
      <c r="AY2370">
        <f>'19_Расчет_аналитики'!AY2368+'04_Продажи'!AY22</f>
        <v/>
      </c>
      <c r="AZ2370">
        <f>'19_Расчет_аналитики'!AZ2368+'04_Продажи'!AZ22</f>
        <v/>
      </c>
      <c r="BA2370">
        <f>'19_Расчет_аналитики'!BA2368+'04_Продажи'!BA22</f>
        <v/>
      </c>
      <c r="BB2370">
        <f>'19_Расчет_аналитики'!BB2368+'04_Продажи'!BB22</f>
        <v/>
      </c>
      <c r="BC2370">
        <f>'19_Расчет_аналитики'!BC2368+'04_Продажи'!BC22</f>
        <v/>
      </c>
      <c r="BD2370">
        <f>'19_Расчет_аналитики'!BD2368+'04_Продажи'!BD22</f>
        <v/>
      </c>
      <c r="BE2370">
        <f>'19_Расчет_аналитики'!BE2368+'04_Продажи'!BE22</f>
        <v/>
      </c>
      <c r="BF2370">
        <f>'19_Расчет_аналитики'!BF2368+'04_Продажи'!BF22</f>
        <v/>
      </c>
      <c r="BG2370">
        <f>'19_Расчет_аналитики'!BG2368+'04_Продажи'!BG22</f>
        <v/>
      </c>
      <c r="BH2370">
        <f>'19_Расчет_аналитики'!BH2368+'04_Продажи'!BH22</f>
        <v/>
      </c>
      <c r="BI2370">
        <f>'19_Расчет_аналитики'!BI2368+'04_Продажи'!BI22</f>
        <v/>
      </c>
    </row>
    <row r="2371"/>
    <row r="2372">
      <c r="C2372">
        <f>'19_Расчет_аналитики'!C2362*'18_Календарь_тарифы'!C6</f>
        <v/>
      </c>
      <c r="D2372">
        <f>'19_Расчет_аналитики'!D2362*'18_Календарь_тарифы'!D6</f>
        <v/>
      </c>
      <c r="E2372">
        <f>'19_Расчет_аналитики'!E2362*'18_Календарь_тарифы'!E6</f>
        <v/>
      </c>
      <c r="F2372">
        <f>'19_Расчет_аналитики'!F2362*'18_Календарь_тарифы'!F6</f>
        <v/>
      </c>
      <c r="G2372">
        <f>'19_Расчет_аналитики'!G2362*'18_Календарь_тарифы'!G6</f>
        <v/>
      </c>
      <c r="H2372">
        <f>'19_Расчет_аналитики'!H2362*'18_Календарь_тарифы'!H6</f>
        <v/>
      </c>
      <c r="I2372">
        <f>'19_Расчет_аналитики'!I2362*'18_Календарь_тарифы'!I6</f>
        <v/>
      </c>
      <c r="J2372">
        <f>'19_Расчет_аналитики'!J2362*'18_Календарь_тарифы'!J6</f>
        <v/>
      </c>
      <c r="K2372">
        <f>'19_Расчет_аналитики'!K2362*'18_Календарь_тарифы'!K6</f>
        <v/>
      </c>
      <c r="L2372">
        <f>'19_Расчет_аналитики'!L2362*'18_Календарь_тарифы'!L6</f>
        <v/>
      </c>
      <c r="M2372">
        <f>'19_Расчет_аналитики'!M2362*'18_Календарь_тарифы'!M6</f>
        <v/>
      </c>
      <c r="N2372">
        <f>'19_Расчет_аналитики'!N2362*'18_Календарь_тарифы'!N6</f>
        <v/>
      </c>
      <c r="O2372">
        <f>'19_Расчет_аналитики'!O2362*'18_Календарь_тарифы'!O6</f>
        <v/>
      </c>
      <c r="P2372">
        <f>'19_Расчет_аналитики'!P2362*'18_Календарь_тарифы'!P6</f>
        <v/>
      </c>
      <c r="Q2372">
        <f>'19_Расчет_аналитики'!Q2362*'18_Календарь_тарифы'!Q6</f>
        <v/>
      </c>
      <c r="R2372">
        <f>'19_Расчет_аналитики'!R2362*'18_Календарь_тарифы'!R6</f>
        <v/>
      </c>
      <c r="S2372">
        <f>'19_Расчет_аналитики'!S2362*'18_Календарь_тарифы'!S6</f>
        <v/>
      </c>
      <c r="T2372">
        <f>'19_Расчет_аналитики'!T2362*'18_Календарь_тарифы'!T6</f>
        <v/>
      </c>
      <c r="U2372">
        <f>'19_Расчет_аналитики'!U2362*'18_Календарь_тарифы'!U6</f>
        <v/>
      </c>
      <c r="V2372">
        <f>'19_Расчет_аналитики'!V2362*'18_Календарь_тарифы'!V6</f>
        <v/>
      </c>
      <c r="W2372">
        <f>'19_Расчет_аналитики'!W2362*'18_Календарь_тарифы'!W6</f>
        <v/>
      </c>
      <c r="X2372">
        <f>'19_Расчет_аналитики'!X2362*'18_Календарь_тарифы'!X6</f>
        <v/>
      </c>
      <c r="Y2372">
        <f>'19_Расчет_аналитики'!Y2362*'18_Календарь_тарифы'!Y6</f>
        <v/>
      </c>
      <c r="Z2372">
        <f>'19_Расчет_аналитики'!Z2362*'18_Календарь_тарифы'!Z6</f>
        <v/>
      </c>
      <c r="AA2372">
        <f>'19_Расчет_аналитики'!AA2362*'18_Календарь_тарифы'!AA6</f>
        <v/>
      </c>
      <c r="AB2372">
        <f>'19_Расчет_аналитики'!AB2362*'18_Календарь_тарифы'!AB6</f>
        <v/>
      </c>
      <c r="AC2372">
        <f>'19_Расчет_аналитики'!AC2362*'18_Календарь_тарифы'!AC6</f>
        <v/>
      </c>
      <c r="AD2372">
        <f>'19_Расчет_аналитики'!AD2362*'18_Календарь_тарифы'!AD6</f>
        <v/>
      </c>
      <c r="AE2372">
        <f>'19_Расчет_аналитики'!AE2362*'18_Календарь_тарифы'!AE6</f>
        <v/>
      </c>
      <c r="AF2372">
        <f>'19_Расчет_аналитики'!AF2362*'18_Календарь_тарифы'!AF6</f>
        <v/>
      </c>
      <c r="AG2372">
        <f>'19_Расчет_аналитики'!AG2362*'18_Календарь_тарифы'!AG6</f>
        <v/>
      </c>
      <c r="AH2372">
        <f>'19_Расчет_аналитики'!AH2362*'18_Календарь_тарифы'!AH6</f>
        <v/>
      </c>
      <c r="AI2372">
        <f>'19_Расчет_аналитики'!AI2362*'18_Календарь_тарифы'!AI6</f>
        <v/>
      </c>
      <c r="AJ2372">
        <f>'19_Расчет_аналитики'!AJ2362*'18_Календарь_тарифы'!AJ6</f>
        <v/>
      </c>
      <c r="AK2372">
        <f>'19_Расчет_аналитики'!AK2362*'18_Календарь_тарифы'!AK6</f>
        <v/>
      </c>
      <c r="AL2372">
        <f>'19_Расчет_аналитики'!AL2362*'18_Календарь_тарифы'!AL6</f>
        <v/>
      </c>
      <c r="AM2372">
        <f>'19_Расчет_аналитики'!AM2362*'18_Календарь_тарифы'!AM6</f>
        <v/>
      </c>
      <c r="AN2372">
        <f>'19_Расчет_аналитики'!AN2362*'18_Календарь_тарифы'!AN6</f>
        <v/>
      </c>
      <c r="AO2372">
        <f>'19_Расчет_аналитики'!AO2362*'18_Календарь_тарифы'!AO6</f>
        <v/>
      </c>
      <c r="AP2372">
        <f>'19_Расчет_аналитики'!AP2362*'18_Календарь_тарифы'!AP6</f>
        <v/>
      </c>
      <c r="AQ2372">
        <f>'19_Расчет_аналитики'!AQ2362*'18_Календарь_тарифы'!AQ6</f>
        <v/>
      </c>
      <c r="AR2372">
        <f>'19_Расчет_аналитики'!AR2362*'18_Календарь_тарифы'!AR6</f>
        <v/>
      </c>
      <c r="AS2372">
        <f>'19_Расчет_аналитики'!AS2362*'18_Календарь_тарифы'!AS6</f>
        <v/>
      </c>
      <c r="AT2372">
        <f>'19_Расчет_аналитики'!AT2362*'18_Календарь_тарифы'!AT6</f>
        <v/>
      </c>
      <c r="AU2372">
        <f>'19_Расчет_аналитики'!AU2362*'18_Календарь_тарифы'!AU6</f>
        <v/>
      </c>
      <c r="AV2372">
        <f>'19_Расчет_аналитики'!AV2362*'18_Календарь_тарифы'!AV6</f>
        <v/>
      </c>
      <c r="AW2372">
        <f>'19_Расчет_аналитики'!AW2362*'18_Календарь_тарифы'!AW6</f>
        <v/>
      </c>
      <c r="AX2372">
        <f>'19_Расчет_аналитики'!AX2362*'18_Календарь_тарифы'!AX6</f>
        <v/>
      </c>
      <c r="AY2372">
        <f>'19_Расчет_аналитики'!AY2362*'18_Календарь_тарифы'!AY6</f>
        <v/>
      </c>
      <c r="AZ2372">
        <f>'19_Расчет_аналитики'!AZ2362*'18_Календарь_тарифы'!AZ6</f>
        <v/>
      </c>
      <c r="BA2372">
        <f>'19_Расчет_аналитики'!BA2362*'18_Календарь_тарифы'!BA6</f>
        <v/>
      </c>
      <c r="BB2372">
        <f>'19_Расчет_аналитики'!BB2362*'18_Календарь_тарифы'!BB6</f>
        <v/>
      </c>
      <c r="BC2372">
        <f>'19_Расчет_аналитики'!BC2362*'18_Календарь_тарифы'!BC6</f>
        <v/>
      </c>
      <c r="BD2372">
        <f>'19_Расчет_аналитики'!BD2362*'18_Календарь_тарифы'!BD6</f>
        <v/>
      </c>
      <c r="BE2372">
        <f>'19_Расчет_аналитики'!BE2362*'18_Календарь_тарифы'!BE6</f>
        <v/>
      </c>
      <c r="BF2372">
        <f>'19_Расчет_аналитики'!BF2362*'18_Календарь_тарифы'!BF6</f>
        <v/>
      </c>
      <c r="BG2372">
        <f>'19_Расчет_аналитики'!BG2362*'18_Календарь_тарифы'!BG6</f>
        <v/>
      </c>
      <c r="BH2372">
        <f>'19_Расчет_аналитики'!BH2362*'18_Календарь_тарифы'!BH6</f>
        <v/>
      </c>
      <c r="BI2372">
        <f>'19_Расчет_аналитики'!BI2362*'18_Календарь_тарифы'!BI6</f>
        <v/>
      </c>
    </row>
    <row r="2373">
      <c r="C2373">
        <f>'19_Расчет_аналитики'!C2372/(1+'01_Вводные'!$B$58)</f>
        <v/>
      </c>
      <c r="D2373">
        <f>'19_Расчет_аналитики'!D2372/(1+'01_Вводные'!$B$58)</f>
        <v/>
      </c>
      <c r="E2373">
        <f>'19_Расчет_аналитики'!E2372/(1+'01_Вводные'!$B$58)</f>
        <v/>
      </c>
      <c r="F2373">
        <f>'19_Расчет_аналитики'!F2372/(1+'01_Вводные'!$B$58)</f>
        <v/>
      </c>
      <c r="G2373">
        <f>'19_Расчет_аналитики'!G2372/(1+'01_Вводные'!$B$58)</f>
        <v/>
      </c>
      <c r="H2373">
        <f>'19_Расчет_аналитики'!H2372/(1+'01_Вводные'!$B$58)</f>
        <v/>
      </c>
      <c r="I2373">
        <f>'19_Расчет_аналитики'!I2372/(1+'01_Вводные'!$B$58)</f>
        <v/>
      </c>
      <c r="J2373">
        <f>'19_Расчет_аналитики'!J2372/(1+'01_Вводные'!$B$58)</f>
        <v/>
      </c>
      <c r="K2373">
        <f>'19_Расчет_аналитики'!K2372/(1+'01_Вводные'!$B$58)</f>
        <v/>
      </c>
      <c r="L2373">
        <f>'19_Расчет_аналитики'!L2372/(1+'01_Вводные'!$B$58)</f>
        <v/>
      </c>
      <c r="M2373">
        <f>'19_Расчет_аналитики'!M2372/(1+'01_Вводные'!$B$58)</f>
        <v/>
      </c>
      <c r="N2373">
        <f>'19_Расчет_аналитики'!N2372/(1+'01_Вводные'!$B$58)</f>
        <v/>
      </c>
      <c r="O2373">
        <f>'19_Расчет_аналитики'!O2372/(1+'01_Вводные'!$B$58)</f>
        <v/>
      </c>
      <c r="P2373">
        <f>'19_Расчет_аналитики'!P2372/(1+'01_Вводные'!$B$58)</f>
        <v/>
      </c>
      <c r="Q2373">
        <f>'19_Расчет_аналитики'!Q2372/(1+'01_Вводные'!$B$58)</f>
        <v/>
      </c>
      <c r="R2373">
        <f>'19_Расчет_аналитики'!R2372/(1+'01_Вводные'!$B$58)</f>
        <v/>
      </c>
      <c r="S2373">
        <f>'19_Расчет_аналитики'!S2372/(1+'01_Вводные'!$B$58)</f>
        <v/>
      </c>
      <c r="T2373">
        <f>'19_Расчет_аналитики'!T2372/(1+'01_Вводные'!$B$58)</f>
        <v/>
      </c>
      <c r="U2373">
        <f>'19_Расчет_аналитики'!U2372/(1+'01_Вводные'!$B$58)</f>
        <v/>
      </c>
      <c r="V2373">
        <f>'19_Расчет_аналитики'!V2372/(1+'01_Вводные'!$B$58)</f>
        <v/>
      </c>
      <c r="W2373">
        <f>'19_Расчет_аналитики'!W2372/(1+'01_Вводные'!$B$58)</f>
        <v/>
      </c>
      <c r="X2373">
        <f>'19_Расчет_аналитики'!X2372/(1+'01_Вводные'!$B$58)</f>
        <v/>
      </c>
      <c r="Y2373">
        <f>'19_Расчет_аналитики'!Y2372/(1+'01_Вводные'!$B$58)</f>
        <v/>
      </c>
      <c r="Z2373">
        <f>'19_Расчет_аналитики'!Z2372/(1+'01_Вводные'!$B$58)</f>
        <v/>
      </c>
      <c r="AA2373">
        <f>'19_Расчет_аналитики'!AA2372/(1+'01_Вводные'!$B$58)</f>
        <v/>
      </c>
      <c r="AB2373">
        <f>'19_Расчет_аналитики'!AB2372/(1+'01_Вводные'!$B$58)</f>
        <v/>
      </c>
      <c r="AC2373">
        <f>'19_Расчет_аналитики'!AC2372/(1+'01_Вводные'!$B$58)</f>
        <v/>
      </c>
      <c r="AD2373">
        <f>'19_Расчет_аналитики'!AD2372/(1+'01_Вводные'!$B$58)</f>
        <v/>
      </c>
      <c r="AE2373">
        <f>'19_Расчет_аналитики'!AE2372/(1+'01_Вводные'!$B$58)</f>
        <v/>
      </c>
      <c r="AF2373">
        <f>'19_Расчет_аналитики'!AF2372/(1+'01_Вводные'!$B$58)</f>
        <v/>
      </c>
      <c r="AG2373">
        <f>'19_Расчет_аналитики'!AG2372/(1+'01_Вводные'!$B$58)</f>
        <v/>
      </c>
      <c r="AH2373">
        <f>'19_Расчет_аналитики'!AH2372/(1+'01_Вводные'!$B$58)</f>
        <v/>
      </c>
      <c r="AI2373">
        <f>'19_Расчет_аналитики'!AI2372/(1+'01_Вводные'!$B$58)</f>
        <v/>
      </c>
      <c r="AJ2373">
        <f>'19_Расчет_аналитики'!AJ2372/(1+'01_Вводные'!$B$58)</f>
        <v/>
      </c>
      <c r="AK2373">
        <f>'19_Расчет_аналитики'!AK2372/(1+'01_Вводные'!$B$58)</f>
        <v/>
      </c>
      <c r="AL2373">
        <f>'19_Расчет_аналитики'!AL2372/(1+'01_Вводные'!$B$58)</f>
        <v/>
      </c>
      <c r="AM2373">
        <f>'19_Расчет_аналитики'!AM2372/(1+'01_Вводные'!$B$58)</f>
        <v/>
      </c>
      <c r="AN2373">
        <f>'19_Расчет_аналитики'!AN2372/(1+'01_Вводные'!$B$58)</f>
        <v/>
      </c>
      <c r="AO2373">
        <f>'19_Расчет_аналитики'!AO2372/(1+'01_Вводные'!$B$58)</f>
        <v/>
      </c>
      <c r="AP2373">
        <f>'19_Расчет_аналитики'!AP2372/(1+'01_Вводные'!$B$58)</f>
        <v/>
      </c>
      <c r="AQ2373">
        <f>'19_Расчет_аналитики'!AQ2372/(1+'01_Вводные'!$B$58)</f>
        <v/>
      </c>
      <c r="AR2373">
        <f>'19_Расчет_аналитики'!AR2372/(1+'01_Вводные'!$B$58)</f>
        <v/>
      </c>
      <c r="AS2373">
        <f>'19_Расчет_аналитики'!AS2372/(1+'01_Вводные'!$B$58)</f>
        <v/>
      </c>
      <c r="AT2373">
        <f>'19_Расчет_аналитики'!AT2372/(1+'01_Вводные'!$B$58)</f>
        <v/>
      </c>
      <c r="AU2373">
        <f>'19_Расчет_аналитики'!AU2372/(1+'01_Вводные'!$B$58)</f>
        <v/>
      </c>
      <c r="AV2373">
        <f>'19_Расчет_аналитики'!AV2372/(1+'01_Вводные'!$B$58)</f>
        <v/>
      </c>
      <c r="AW2373">
        <f>'19_Расчет_аналитики'!AW2372/(1+'01_Вводные'!$B$58)</f>
        <v/>
      </c>
      <c r="AX2373">
        <f>'19_Расчет_аналитики'!AX2372/(1+'01_Вводные'!$B$58)</f>
        <v/>
      </c>
      <c r="AY2373">
        <f>'19_Расчет_аналитики'!AY2372/(1+'01_Вводные'!$B$58)</f>
        <v/>
      </c>
      <c r="AZ2373">
        <f>'19_Расчет_аналитики'!AZ2372/(1+'01_Вводные'!$B$58)</f>
        <v/>
      </c>
      <c r="BA2373">
        <f>'19_Расчет_аналитики'!BA2372/(1+'01_Вводные'!$B$58)</f>
        <v/>
      </c>
      <c r="BB2373">
        <f>'19_Расчет_аналитики'!BB2372/(1+'01_Вводные'!$B$58)</f>
        <v/>
      </c>
      <c r="BC2373">
        <f>'19_Расчет_аналитики'!BC2372/(1+'01_Вводные'!$B$58)</f>
        <v/>
      </c>
      <c r="BD2373">
        <f>'19_Расчет_аналитики'!BD2372/(1+'01_Вводные'!$B$58)</f>
        <v/>
      </c>
      <c r="BE2373">
        <f>'19_Расчет_аналитики'!BE2372/(1+'01_Вводные'!$B$58)</f>
        <v/>
      </c>
      <c r="BF2373">
        <f>'19_Расчет_аналитики'!BF2372/(1+'01_Вводные'!$B$58)</f>
        <v/>
      </c>
      <c r="BG2373">
        <f>'19_Расчет_аналитики'!BG2372/(1+'01_Вводные'!$B$58)</f>
        <v/>
      </c>
      <c r="BH2373">
        <f>'19_Расчет_аналитики'!BH2372/(1+'01_Вводные'!$B$58)</f>
        <v/>
      </c>
      <c r="BI2373">
        <f>'19_Расчет_аналитики'!BI2372/(1+'01_Вводные'!$B$58)</f>
        <v/>
      </c>
    </row>
    <row r="2374"/>
    <row r="2375"/>
    <row r="2376"/>
    <row r="2377"/>
    <row r="2378"/>
    <row r="2379"/>
    <row r="2380"/>
    <row r="2381"/>
    <row r="2382"/>
    <row r="2383"/>
    <row r="2384"/>
    <row r="2385"/>
    <row r="2386">
      <c r="C2386">
        <f>'19_Расчет_аналитики'!C2362</f>
        <v/>
      </c>
      <c r="D2386">
        <f>'19_Расчет_аналитики'!D2362</f>
        <v/>
      </c>
      <c r="E2386">
        <f>'19_Расчет_аналитики'!E2362</f>
        <v/>
      </c>
      <c r="F2386">
        <f>'19_Расчет_аналитики'!F2362</f>
        <v/>
      </c>
      <c r="G2386">
        <f>'19_Расчет_аналитики'!G2362</f>
        <v/>
      </c>
      <c r="H2386">
        <f>'19_Расчет_аналитики'!H2362</f>
        <v/>
      </c>
      <c r="I2386">
        <f>'19_Расчет_аналитики'!I2362</f>
        <v/>
      </c>
      <c r="J2386">
        <f>'19_Расчет_аналитики'!J2362</f>
        <v/>
      </c>
      <c r="K2386">
        <f>'19_Расчет_аналитики'!K2362</f>
        <v/>
      </c>
      <c r="L2386">
        <f>'19_Расчет_аналитики'!L2362</f>
        <v/>
      </c>
      <c r="M2386">
        <f>'19_Расчет_аналитики'!M2362</f>
        <v/>
      </c>
      <c r="N2386">
        <f>'19_Расчет_аналитики'!N2362</f>
        <v/>
      </c>
      <c r="O2386">
        <f>'19_Расчет_аналитики'!O2362</f>
        <v/>
      </c>
      <c r="P2386">
        <f>'19_Расчет_аналитики'!P2362</f>
        <v/>
      </c>
      <c r="Q2386">
        <f>'19_Расчет_аналитики'!Q2362</f>
        <v/>
      </c>
      <c r="R2386">
        <f>'19_Расчет_аналитики'!R2362</f>
        <v/>
      </c>
      <c r="S2386">
        <f>'19_Расчет_аналитики'!S2362</f>
        <v/>
      </c>
      <c r="T2386">
        <f>'19_Расчет_аналитики'!T2362</f>
        <v/>
      </c>
      <c r="U2386">
        <f>'19_Расчет_аналитики'!U2362</f>
        <v/>
      </c>
      <c r="V2386">
        <f>'19_Расчет_аналитики'!V2362</f>
        <v/>
      </c>
      <c r="W2386">
        <f>'19_Расчет_аналитики'!W2362</f>
        <v/>
      </c>
      <c r="X2386">
        <f>'19_Расчет_аналитики'!X2362</f>
        <v/>
      </c>
      <c r="Y2386">
        <f>'19_Расчет_аналитики'!Y2362</f>
        <v/>
      </c>
      <c r="Z2386">
        <f>'19_Расчет_аналитики'!Z2362</f>
        <v/>
      </c>
      <c r="AA2386">
        <f>'19_Расчет_аналитики'!AA2362</f>
        <v/>
      </c>
      <c r="AB2386">
        <f>'19_Расчет_аналитики'!AB2362</f>
        <v/>
      </c>
      <c r="AC2386">
        <f>'19_Расчет_аналитики'!AC2362</f>
        <v/>
      </c>
      <c r="AD2386">
        <f>'19_Расчет_аналитики'!AD2362</f>
        <v/>
      </c>
      <c r="AE2386">
        <f>'19_Расчет_аналитики'!AE2362</f>
        <v/>
      </c>
      <c r="AF2386">
        <f>'19_Расчет_аналитики'!AF2362</f>
        <v/>
      </c>
      <c r="AG2386">
        <f>'19_Расчет_аналитики'!AG2362</f>
        <v/>
      </c>
      <c r="AH2386">
        <f>'19_Расчет_аналитики'!AH2362</f>
        <v/>
      </c>
      <c r="AI2386">
        <f>'19_Расчет_аналитики'!AI2362</f>
        <v/>
      </c>
      <c r="AJ2386">
        <f>'19_Расчет_аналитики'!AJ2362</f>
        <v/>
      </c>
      <c r="AK2386">
        <f>'19_Расчет_аналитики'!AK2362</f>
        <v/>
      </c>
      <c r="AL2386">
        <f>'19_Расчет_аналитики'!AL2362</f>
        <v/>
      </c>
      <c r="AM2386">
        <f>'19_Расчет_аналитики'!AM2362</f>
        <v/>
      </c>
      <c r="AN2386">
        <f>'19_Расчет_аналитики'!AN2362</f>
        <v/>
      </c>
      <c r="AO2386">
        <f>'19_Расчет_аналитики'!AO2362</f>
        <v/>
      </c>
      <c r="AP2386">
        <f>'19_Расчет_аналитики'!AP2362</f>
        <v/>
      </c>
      <c r="AQ2386">
        <f>'19_Расчет_аналитики'!AQ2362</f>
        <v/>
      </c>
      <c r="AR2386">
        <f>'19_Расчет_аналитики'!AR2362</f>
        <v/>
      </c>
      <c r="AS2386">
        <f>'19_Расчет_аналитики'!AS2362</f>
        <v/>
      </c>
      <c r="AT2386">
        <f>'19_Расчет_аналитики'!AT2362</f>
        <v/>
      </c>
      <c r="AU2386">
        <f>'19_Расчет_аналитики'!AU2362</f>
        <v/>
      </c>
      <c r="AV2386">
        <f>'19_Расчет_аналитики'!AV2362</f>
        <v/>
      </c>
      <c r="AW2386">
        <f>'19_Расчет_аналитики'!AW2362</f>
        <v/>
      </c>
      <c r="AX2386">
        <f>'19_Расчет_аналитики'!AX2362</f>
        <v/>
      </c>
      <c r="AY2386">
        <f>'19_Расчет_аналитики'!AY2362</f>
        <v/>
      </c>
      <c r="AZ2386">
        <f>'19_Расчет_аналитики'!AZ2362</f>
        <v/>
      </c>
      <c r="BA2386">
        <f>'19_Расчет_аналитики'!BA2362</f>
        <v/>
      </c>
      <c r="BB2386">
        <f>'19_Расчет_аналитики'!BB2362</f>
        <v/>
      </c>
      <c r="BC2386">
        <f>'19_Расчет_аналитики'!BC2362</f>
        <v/>
      </c>
      <c r="BD2386">
        <f>'19_Расчет_аналитики'!BD2362</f>
        <v/>
      </c>
      <c r="BE2386">
        <f>'19_Расчет_аналитики'!BE2362</f>
        <v/>
      </c>
      <c r="BF2386">
        <f>'19_Расчет_аналитики'!BF2362</f>
        <v/>
      </c>
      <c r="BG2386">
        <f>'19_Расчет_аналитики'!BG2362</f>
        <v/>
      </c>
      <c r="BH2386">
        <f>'19_Расчет_аналитики'!BH2362</f>
        <v/>
      </c>
      <c r="BI2386">
        <f>'19_Расчет_аналитики'!BI2362</f>
        <v/>
      </c>
    </row>
    <row r="2387">
      <c r="B2387">
        <f>IF(OR(1&lt;='01_Вводные'!$B$15,1-'01_Вводные'!$B$15&gt;60),0,INDEX('19_Расчет_аналитики'!$B$2362:$BI$2362,1,1-'01_Вводные'!$B$15))*'01_Вводные'!$B$298*MIN(1,'01_Вводные'!$B$22)+IF(OR(1&lt;=('01_Вводные'!$B$15+'01_Вводные'!$B$311),1-('01_Вводные'!$B$15+'01_Вводные'!$B$311)&gt;60),0,INDEX('19_Расчет_аналитики'!$B$2362:$BI$2362,1,1-('01_Вводные'!$B$15+'01_Вводные'!$B$311)))*'01_Вводные'!$B$298*MAX(0,'01_Вводные'!$B$22-1)</f>
        <v/>
      </c>
      <c r="C2387">
        <f>IF(OR(2&lt;='01_Вводные'!$B$15,2-'01_Вводные'!$B$15&gt;60),0,INDEX('19_Расчет_аналитики'!$B$2362:$BI$2362,1,2-'01_Вводные'!$B$15))*'01_Вводные'!$B$298*MIN(1,'01_Вводные'!$B$22)+IF(OR(2&lt;=('01_Вводные'!$B$15+'01_Вводные'!$B$311),2-('01_Вводные'!$B$15+'01_Вводные'!$B$311)&gt;60),0,INDEX('19_Расчет_аналитики'!$B$2362:$BI$2362,1,2-('01_Вводные'!$B$15+'01_Вводные'!$B$311)))*'01_Вводные'!$B$298*MAX(0,'01_Вводные'!$B$22-1)</f>
        <v/>
      </c>
      <c r="D2387">
        <f>IF(OR(3&lt;='01_Вводные'!$B$15,3-'01_Вводные'!$B$15&gt;60),0,INDEX('19_Расчет_аналитики'!$B$2362:$BI$2362,1,3-'01_Вводные'!$B$15))*'01_Вводные'!$B$298*MIN(1,'01_Вводные'!$B$22)+IF(OR(3&lt;=('01_Вводные'!$B$15+'01_Вводные'!$B$311),3-('01_Вводные'!$B$15+'01_Вводные'!$B$311)&gt;60),0,INDEX('19_Расчет_аналитики'!$B$2362:$BI$2362,1,3-('01_Вводные'!$B$15+'01_Вводные'!$B$311)))*'01_Вводные'!$B$298*MAX(0,'01_Вводные'!$B$22-1)</f>
        <v/>
      </c>
      <c r="E2387">
        <f>IF(OR(4&lt;='01_Вводные'!$B$15,4-'01_Вводные'!$B$15&gt;60),0,INDEX('19_Расчет_аналитики'!$B$2362:$BI$2362,1,4-'01_Вводные'!$B$15))*'01_Вводные'!$B$298*MIN(1,'01_Вводные'!$B$22)+IF(OR(4&lt;=('01_Вводные'!$B$15+'01_Вводные'!$B$311),4-('01_Вводные'!$B$15+'01_Вводные'!$B$311)&gt;60),0,INDEX('19_Расчет_аналитики'!$B$2362:$BI$2362,1,4-('01_Вводные'!$B$15+'01_Вводные'!$B$311)))*'01_Вводные'!$B$298*MAX(0,'01_Вводные'!$B$22-1)</f>
        <v/>
      </c>
      <c r="F2387">
        <f>IF(OR(5&lt;='01_Вводные'!$B$15,5-'01_Вводные'!$B$15&gt;60),0,INDEX('19_Расчет_аналитики'!$B$2362:$BI$2362,1,5-'01_Вводные'!$B$15))*'01_Вводные'!$B$298*MIN(1,'01_Вводные'!$B$22)+IF(OR(5&lt;=('01_Вводные'!$B$15+'01_Вводные'!$B$311),5-('01_Вводные'!$B$15+'01_Вводные'!$B$311)&gt;60),0,INDEX('19_Расчет_аналитики'!$B$2362:$BI$2362,1,5-('01_Вводные'!$B$15+'01_Вводные'!$B$311)))*'01_Вводные'!$B$298*MAX(0,'01_Вводные'!$B$22-1)</f>
        <v/>
      </c>
      <c r="G2387">
        <f>IF(OR(6&lt;='01_Вводные'!$B$15,6-'01_Вводные'!$B$15&gt;60),0,INDEX('19_Расчет_аналитики'!$B$2362:$BI$2362,1,6-'01_Вводные'!$B$15))*'01_Вводные'!$B$298*MIN(1,'01_Вводные'!$B$22)+IF(OR(6&lt;=('01_Вводные'!$B$15+'01_Вводные'!$B$311),6-('01_Вводные'!$B$15+'01_Вводные'!$B$311)&gt;60),0,INDEX('19_Расчет_аналитики'!$B$2362:$BI$2362,1,6-('01_Вводные'!$B$15+'01_Вводные'!$B$311)))*'01_Вводные'!$B$298*MAX(0,'01_Вводные'!$B$22-1)</f>
        <v/>
      </c>
      <c r="H2387">
        <f>IF(OR(7&lt;='01_Вводные'!$B$15,7-'01_Вводные'!$B$15&gt;60),0,INDEX('19_Расчет_аналитики'!$B$2362:$BI$2362,1,7-'01_Вводные'!$B$15))*'01_Вводные'!$B$298*MIN(1,'01_Вводные'!$B$22)+IF(OR(7&lt;=('01_Вводные'!$B$15+'01_Вводные'!$B$311),7-('01_Вводные'!$B$15+'01_Вводные'!$B$311)&gt;60),0,INDEX('19_Расчет_аналитики'!$B$2362:$BI$2362,1,7-('01_Вводные'!$B$15+'01_Вводные'!$B$311)))*'01_Вводные'!$B$298*MAX(0,'01_Вводные'!$B$22-1)</f>
        <v/>
      </c>
      <c r="I2387">
        <f>IF(OR(8&lt;='01_Вводные'!$B$15,8-'01_Вводные'!$B$15&gt;60),0,INDEX('19_Расчет_аналитики'!$B$2362:$BI$2362,1,8-'01_Вводные'!$B$15))*'01_Вводные'!$B$298*MIN(1,'01_Вводные'!$B$22)+IF(OR(8&lt;=('01_Вводные'!$B$15+'01_Вводные'!$B$311),8-('01_Вводные'!$B$15+'01_Вводные'!$B$311)&gt;60),0,INDEX('19_Расчет_аналитики'!$B$2362:$BI$2362,1,8-('01_Вводные'!$B$15+'01_Вводные'!$B$311)))*'01_Вводные'!$B$298*MAX(0,'01_Вводные'!$B$22-1)</f>
        <v/>
      </c>
      <c r="J2387">
        <f>IF(OR(9&lt;='01_Вводные'!$B$15,9-'01_Вводные'!$B$15&gt;60),0,INDEX('19_Расчет_аналитики'!$B$2362:$BI$2362,1,9-'01_Вводные'!$B$15))*'01_Вводные'!$B$298*MIN(1,'01_Вводные'!$B$22)+IF(OR(9&lt;=('01_Вводные'!$B$15+'01_Вводные'!$B$311),9-('01_Вводные'!$B$15+'01_Вводные'!$B$311)&gt;60),0,INDEX('19_Расчет_аналитики'!$B$2362:$BI$2362,1,9-('01_Вводные'!$B$15+'01_Вводные'!$B$311)))*'01_Вводные'!$B$298*MAX(0,'01_Вводные'!$B$22-1)</f>
        <v/>
      </c>
      <c r="K2387">
        <f>IF(OR(10&lt;='01_Вводные'!$B$15,10-'01_Вводные'!$B$15&gt;60),0,INDEX('19_Расчет_аналитики'!$B$2362:$BI$2362,1,10-'01_Вводные'!$B$15))*'01_Вводные'!$B$298*MIN(1,'01_Вводные'!$B$22)+IF(OR(10&lt;=('01_Вводные'!$B$15+'01_Вводные'!$B$311),10-('01_Вводные'!$B$15+'01_Вводные'!$B$311)&gt;60),0,INDEX('19_Расчет_аналитики'!$B$2362:$BI$2362,1,10-('01_Вводные'!$B$15+'01_Вводные'!$B$311)))*'01_Вводные'!$B$298*MAX(0,'01_Вводные'!$B$22-1)</f>
        <v/>
      </c>
      <c r="L2387">
        <f>IF(OR(11&lt;='01_Вводные'!$B$15,11-'01_Вводные'!$B$15&gt;60),0,INDEX('19_Расчет_аналитики'!$B$2362:$BI$2362,1,11-'01_Вводные'!$B$15))*'01_Вводные'!$B$298*MIN(1,'01_Вводные'!$B$22)+IF(OR(11&lt;=('01_Вводные'!$B$15+'01_Вводные'!$B$311),11-('01_Вводные'!$B$15+'01_Вводные'!$B$311)&gt;60),0,INDEX('19_Расчет_аналитики'!$B$2362:$BI$2362,1,11-('01_Вводные'!$B$15+'01_Вводные'!$B$311)))*'01_Вводные'!$B$298*MAX(0,'01_Вводные'!$B$22-1)</f>
        <v/>
      </c>
      <c r="M2387">
        <f>IF(OR(12&lt;='01_Вводные'!$B$15,12-'01_Вводные'!$B$15&gt;60),0,INDEX('19_Расчет_аналитики'!$B$2362:$BI$2362,1,12-'01_Вводные'!$B$15))*'01_Вводные'!$B$298*MIN(1,'01_Вводные'!$B$22)+IF(OR(12&lt;=('01_Вводные'!$B$15+'01_Вводные'!$B$311),12-('01_Вводные'!$B$15+'01_Вводные'!$B$311)&gt;60),0,INDEX('19_Расчет_аналитики'!$B$2362:$BI$2362,1,12-('01_Вводные'!$B$15+'01_Вводные'!$B$311)))*'01_Вводные'!$B$298*MAX(0,'01_Вводные'!$B$22-1)</f>
        <v/>
      </c>
      <c r="N2387">
        <f>IF(OR(13&lt;='01_Вводные'!$B$15,13-'01_Вводные'!$B$15&gt;60),0,INDEX('19_Расчет_аналитики'!$B$2362:$BI$2362,1,13-'01_Вводные'!$B$15))*'01_Вводные'!$B$298*MIN(1,'01_Вводные'!$B$22)+IF(OR(13&lt;=('01_Вводные'!$B$15+'01_Вводные'!$B$311),13-('01_Вводные'!$B$15+'01_Вводные'!$B$311)&gt;60),0,INDEX('19_Расчет_аналитики'!$B$2362:$BI$2362,1,13-('01_Вводные'!$B$15+'01_Вводные'!$B$311)))*'01_Вводные'!$B$298*MAX(0,'01_Вводные'!$B$22-1)</f>
        <v/>
      </c>
      <c r="O2387">
        <f>IF(OR(14&lt;='01_Вводные'!$B$15,14-'01_Вводные'!$B$15&gt;60),0,INDEX('19_Расчет_аналитики'!$B$2362:$BI$2362,1,14-'01_Вводные'!$B$15))*'01_Вводные'!$B$298*MIN(1,'01_Вводные'!$B$22)+IF(OR(14&lt;=('01_Вводные'!$B$15+'01_Вводные'!$B$311),14-('01_Вводные'!$B$15+'01_Вводные'!$B$311)&gt;60),0,INDEX('19_Расчет_аналитики'!$B$2362:$BI$2362,1,14-('01_Вводные'!$B$15+'01_Вводные'!$B$311)))*'01_Вводные'!$B$298*MAX(0,'01_Вводные'!$B$22-1)</f>
        <v/>
      </c>
      <c r="P2387">
        <f>IF(OR(15&lt;='01_Вводные'!$B$15,15-'01_Вводные'!$B$15&gt;60),0,INDEX('19_Расчет_аналитики'!$B$2362:$BI$2362,1,15-'01_Вводные'!$B$15))*'01_Вводные'!$B$298*MIN(1,'01_Вводные'!$B$22)+IF(OR(15&lt;=('01_Вводные'!$B$15+'01_Вводные'!$B$311),15-('01_Вводные'!$B$15+'01_Вводные'!$B$311)&gt;60),0,INDEX('19_Расчет_аналитики'!$B$2362:$BI$2362,1,15-('01_Вводные'!$B$15+'01_Вводные'!$B$311)))*'01_Вводные'!$B$298*MAX(0,'01_Вводные'!$B$22-1)</f>
        <v/>
      </c>
      <c r="Q2387">
        <f>IF(OR(16&lt;='01_Вводные'!$B$15,16-'01_Вводные'!$B$15&gt;60),0,INDEX('19_Расчет_аналитики'!$B$2362:$BI$2362,1,16-'01_Вводные'!$B$15))*'01_Вводные'!$B$298*MIN(1,'01_Вводные'!$B$22)+IF(OR(16&lt;=('01_Вводные'!$B$15+'01_Вводные'!$B$311),16-('01_Вводные'!$B$15+'01_Вводные'!$B$311)&gt;60),0,INDEX('19_Расчет_аналитики'!$B$2362:$BI$2362,1,16-('01_Вводные'!$B$15+'01_Вводные'!$B$311)))*'01_Вводные'!$B$298*MAX(0,'01_Вводные'!$B$22-1)</f>
        <v/>
      </c>
      <c r="R2387">
        <f>IF(OR(17&lt;='01_Вводные'!$B$15,17-'01_Вводные'!$B$15&gt;60),0,INDEX('19_Расчет_аналитики'!$B$2362:$BI$2362,1,17-'01_Вводные'!$B$15))*'01_Вводные'!$B$298*MIN(1,'01_Вводные'!$B$22)+IF(OR(17&lt;=('01_Вводные'!$B$15+'01_Вводные'!$B$311),17-('01_Вводные'!$B$15+'01_Вводные'!$B$311)&gt;60),0,INDEX('19_Расчет_аналитики'!$B$2362:$BI$2362,1,17-('01_Вводные'!$B$15+'01_Вводные'!$B$311)))*'01_Вводные'!$B$298*MAX(0,'01_Вводные'!$B$22-1)</f>
        <v/>
      </c>
      <c r="S2387">
        <f>IF(OR(18&lt;='01_Вводные'!$B$15,18-'01_Вводные'!$B$15&gt;60),0,INDEX('19_Расчет_аналитики'!$B$2362:$BI$2362,1,18-'01_Вводные'!$B$15))*'01_Вводные'!$B$298*MIN(1,'01_Вводные'!$B$22)+IF(OR(18&lt;=('01_Вводные'!$B$15+'01_Вводные'!$B$311),18-('01_Вводные'!$B$15+'01_Вводные'!$B$311)&gt;60),0,INDEX('19_Расчет_аналитики'!$B$2362:$BI$2362,1,18-('01_Вводные'!$B$15+'01_Вводные'!$B$311)))*'01_Вводные'!$B$298*MAX(0,'01_Вводные'!$B$22-1)</f>
        <v/>
      </c>
      <c r="T2387">
        <f>IF(OR(19&lt;='01_Вводные'!$B$15,19-'01_Вводные'!$B$15&gt;60),0,INDEX('19_Расчет_аналитики'!$B$2362:$BI$2362,1,19-'01_Вводные'!$B$15))*'01_Вводные'!$B$298*MIN(1,'01_Вводные'!$B$22)+IF(OR(19&lt;=('01_Вводные'!$B$15+'01_Вводные'!$B$311),19-('01_Вводные'!$B$15+'01_Вводные'!$B$311)&gt;60),0,INDEX('19_Расчет_аналитики'!$B$2362:$BI$2362,1,19-('01_Вводные'!$B$15+'01_Вводные'!$B$311)))*'01_Вводные'!$B$298*MAX(0,'01_Вводные'!$B$22-1)</f>
        <v/>
      </c>
      <c r="U2387">
        <f>IF(OR(20&lt;='01_Вводные'!$B$15,20-'01_Вводные'!$B$15&gt;60),0,INDEX('19_Расчет_аналитики'!$B$2362:$BI$2362,1,20-'01_Вводные'!$B$15))*'01_Вводные'!$B$298*MIN(1,'01_Вводные'!$B$22)+IF(OR(20&lt;=('01_Вводные'!$B$15+'01_Вводные'!$B$311),20-('01_Вводные'!$B$15+'01_Вводные'!$B$311)&gt;60),0,INDEX('19_Расчет_аналитики'!$B$2362:$BI$2362,1,20-('01_Вводные'!$B$15+'01_Вводные'!$B$311)))*'01_Вводные'!$B$298*MAX(0,'01_Вводные'!$B$22-1)</f>
        <v/>
      </c>
      <c r="V2387">
        <f>IF(OR(21&lt;='01_Вводные'!$B$15,21-'01_Вводные'!$B$15&gt;60),0,INDEX('19_Расчет_аналитики'!$B$2362:$BI$2362,1,21-'01_Вводные'!$B$15))*'01_Вводные'!$B$298*MIN(1,'01_Вводные'!$B$22)+IF(OR(21&lt;=('01_Вводные'!$B$15+'01_Вводные'!$B$311),21-('01_Вводные'!$B$15+'01_Вводные'!$B$311)&gt;60),0,INDEX('19_Расчет_аналитики'!$B$2362:$BI$2362,1,21-('01_Вводные'!$B$15+'01_Вводные'!$B$311)))*'01_Вводные'!$B$298*MAX(0,'01_Вводные'!$B$22-1)</f>
        <v/>
      </c>
      <c r="W2387">
        <f>IF(OR(22&lt;='01_Вводные'!$B$15,22-'01_Вводные'!$B$15&gt;60),0,INDEX('19_Расчет_аналитики'!$B$2362:$BI$2362,1,22-'01_Вводные'!$B$15))*'01_Вводные'!$B$298*MIN(1,'01_Вводные'!$B$22)+IF(OR(22&lt;=('01_Вводные'!$B$15+'01_Вводные'!$B$311),22-('01_Вводные'!$B$15+'01_Вводные'!$B$311)&gt;60),0,INDEX('19_Расчет_аналитики'!$B$2362:$BI$2362,1,22-('01_Вводные'!$B$15+'01_Вводные'!$B$311)))*'01_Вводные'!$B$298*MAX(0,'01_Вводные'!$B$22-1)</f>
        <v/>
      </c>
      <c r="X2387">
        <f>IF(OR(23&lt;='01_Вводные'!$B$15,23-'01_Вводные'!$B$15&gt;60),0,INDEX('19_Расчет_аналитики'!$B$2362:$BI$2362,1,23-'01_Вводные'!$B$15))*'01_Вводные'!$B$298*MIN(1,'01_Вводные'!$B$22)+IF(OR(23&lt;=('01_Вводные'!$B$15+'01_Вводные'!$B$311),23-('01_Вводные'!$B$15+'01_Вводные'!$B$311)&gt;60),0,INDEX('19_Расчет_аналитики'!$B$2362:$BI$2362,1,23-('01_Вводные'!$B$15+'01_Вводные'!$B$311)))*'01_Вводные'!$B$298*MAX(0,'01_Вводные'!$B$22-1)</f>
        <v/>
      </c>
      <c r="Y2387">
        <f>IF(OR(24&lt;='01_Вводные'!$B$15,24-'01_Вводные'!$B$15&gt;60),0,INDEX('19_Расчет_аналитики'!$B$2362:$BI$2362,1,24-'01_Вводные'!$B$15))*'01_Вводные'!$B$298*MIN(1,'01_Вводные'!$B$22)+IF(OR(24&lt;=('01_Вводные'!$B$15+'01_Вводные'!$B$311),24-('01_Вводные'!$B$15+'01_Вводные'!$B$311)&gt;60),0,INDEX('19_Расчет_аналитики'!$B$2362:$BI$2362,1,24-('01_Вводные'!$B$15+'01_Вводные'!$B$311)))*'01_Вводные'!$B$298*MAX(0,'01_Вводные'!$B$22-1)</f>
        <v/>
      </c>
      <c r="Z2387">
        <f>IF(OR(25&lt;='01_Вводные'!$B$15,25-'01_Вводные'!$B$15&gt;60),0,INDEX('19_Расчет_аналитики'!$B$2362:$BI$2362,1,25-'01_Вводные'!$B$15))*'01_Вводные'!$B$298*MIN(1,'01_Вводные'!$B$22)+IF(OR(25&lt;=('01_Вводные'!$B$15+'01_Вводные'!$B$311),25-('01_Вводные'!$B$15+'01_Вводные'!$B$311)&gt;60),0,INDEX('19_Расчет_аналитики'!$B$2362:$BI$2362,1,25-('01_Вводные'!$B$15+'01_Вводные'!$B$311)))*'01_Вводные'!$B$298*MAX(0,'01_Вводные'!$B$22-1)</f>
        <v/>
      </c>
      <c r="AA2387">
        <f>IF(OR(26&lt;='01_Вводные'!$B$15,26-'01_Вводные'!$B$15&gt;60),0,INDEX('19_Расчет_аналитики'!$B$2362:$BI$2362,1,26-'01_Вводные'!$B$15))*'01_Вводные'!$B$298*MIN(1,'01_Вводные'!$B$22)+IF(OR(26&lt;=('01_Вводные'!$B$15+'01_Вводные'!$B$311),26-('01_Вводные'!$B$15+'01_Вводные'!$B$311)&gt;60),0,INDEX('19_Расчет_аналитики'!$B$2362:$BI$2362,1,26-('01_Вводные'!$B$15+'01_Вводные'!$B$311)))*'01_Вводные'!$B$298*MAX(0,'01_Вводные'!$B$22-1)</f>
        <v/>
      </c>
      <c r="AB2387">
        <f>IF(OR(27&lt;='01_Вводные'!$B$15,27-'01_Вводные'!$B$15&gt;60),0,INDEX('19_Расчет_аналитики'!$B$2362:$BI$2362,1,27-'01_Вводные'!$B$15))*'01_Вводные'!$B$298*MIN(1,'01_Вводные'!$B$22)+IF(OR(27&lt;=('01_Вводные'!$B$15+'01_Вводные'!$B$311),27-('01_Вводные'!$B$15+'01_Вводные'!$B$311)&gt;60),0,INDEX('19_Расчет_аналитики'!$B$2362:$BI$2362,1,27-('01_Вводные'!$B$15+'01_Вводные'!$B$311)))*'01_Вводные'!$B$298*MAX(0,'01_Вводные'!$B$22-1)</f>
        <v/>
      </c>
      <c r="AC2387">
        <f>IF(OR(28&lt;='01_Вводные'!$B$15,28-'01_Вводные'!$B$15&gt;60),0,INDEX('19_Расчет_аналитики'!$B$2362:$BI$2362,1,28-'01_Вводные'!$B$15))*'01_Вводные'!$B$298*MIN(1,'01_Вводные'!$B$22)+IF(OR(28&lt;=('01_Вводные'!$B$15+'01_Вводные'!$B$311),28-('01_Вводные'!$B$15+'01_Вводные'!$B$311)&gt;60),0,INDEX('19_Расчет_аналитики'!$B$2362:$BI$2362,1,28-('01_Вводные'!$B$15+'01_Вводные'!$B$311)))*'01_Вводные'!$B$298*MAX(0,'01_Вводные'!$B$22-1)</f>
        <v/>
      </c>
      <c r="AD2387">
        <f>IF(OR(29&lt;='01_Вводные'!$B$15,29-'01_Вводные'!$B$15&gt;60),0,INDEX('19_Расчет_аналитики'!$B$2362:$BI$2362,1,29-'01_Вводные'!$B$15))*'01_Вводные'!$B$298*MIN(1,'01_Вводные'!$B$22)+IF(OR(29&lt;=('01_Вводные'!$B$15+'01_Вводные'!$B$311),29-('01_Вводные'!$B$15+'01_Вводные'!$B$311)&gt;60),0,INDEX('19_Расчет_аналитики'!$B$2362:$BI$2362,1,29-('01_Вводные'!$B$15+'01_Вводные'!$B$311)))*'01_Вводные'!$B$298*MAX(0,'01_Вводные'!$B$22-1)</f>
        <v/>
      </c>
      <c r="AE2387">
        <f>IF(OR(30&lt;='01_Вводные'!$B$15,30-'01_Вводные'!$B$15&gt;60),0,INDEX('19_Расчет_аналитики'!$B$2362:$BI$2362,1,30-'01_Вводные'!$B$15))*'01_Вводные'!$B$298*MIN(1,'01_Вводные'!$B$22)+IF(OR(30&lt;=('01_Вводные'!$B$15+'01_Вводные'!$B$311),30-('01_Вводные'!$B$15+'01_Вводные'!$B$311)&gt;60),0,INDEX('19_Расчет_аналитики'!$B$2362:$BI$2362,1,30-('01_Вводные'!$B$15+'01_Вводные'!$B$311)))*'01_Вводные'!$B$298*MAX(0,'01_Вводные'!$B$22-1)</f>
        <v/>
      </c>
      <c r="AF2387">
        <f>IF(OR(31&lt;='01_Вводные'!$B$15,31-'01_Вводные'!$B$15&gt;60),0,INDEX('19_Расчет_аналитики'!$B$2362:$BI$2362,1,31-'01_Вводные'!$B$15))*'01_Вводные'!$B$298*MIN(1,'01_Вводные'!$B$22)+IF(OR(31&lt;=('01_Вводные'!$B$15+'01_Вводные'!$B$311),31-('01_Вводные'!$B$15+'01_Вводные'!$B$311)&gt;60),0,INDEX('19_Расчет_аналитики'!$B$2362:$BI$2362,1,31-('01_Вводные'!$B$15+'01_Вводные'!$B$311)))*'01_Вводные'!$B$298*MAX(0,'01_Вводные'!$B$22-1)</f>
        <v/>
      </c>
      <c r="AG2387">
        <f>IF(OR(32&lt;='01_Вводные'!$B$15,32-'01_Вводные'!$B$15&gt;60),0,INDEX('19_Расчет_аналитики'!$B$2362:$BI$2362,1,32-'01_Вводные'!$B$15))*'01_Вводные'!$B$298*MIN(1,'01_Вводные'!$B$22)+IF(OR(32&lt;=('01_Вводные'!$B$15+'01_Вводные'!$B$311),32-('01_Вводные'!$B$15+'01_Вводные'!$B$311)&gt;60),0,INDEX('19_Расчет_аналитики'!$B$2362:$BI$2362,1,32-('01_Вводные'!$B$15+'01_Вводные'!$B$311)))*'01_Вводные'!$B$298*MAX(0,'01_Вводные'!$B$22-1)</f>
        <v/>
      </c>
      <c r="AH2387">
        <f>IF(OR(33&lt;='01_Вводные'!$B$15,33-'01_Вводные'!$B$15&gt;60),0,INDEX('19_Расчет_аналитики'!$B$2362:$BI$2362,1,33-'01_Вводные'!$B$15))*'01_Вводные'!$B$298*MIN(1,'01_Вводные'!$B$22)+IF(OR(33&lt;=('01_Вводные'!$B$15+'01_Вводные'!$B$311),33-('01_Вводные'!$B$15+'01_Вводные'!$B$311)&gt;60),0,INDEX('19_Расчет_аналитики'!$B$2362:$BI$2362,1,33-('01_Вводные'!$B$15+'01_Вводные'!$B$311)))*'01_Вводные'!$B$298*MAX(0,'01_Вводные'!$B$22-1)</f>
        <v/>
      </c>
      <c r="AI2387">
        <f>IF(OR(34&lt;='01_Вводные'!$B$15,34-'01_Вводные'!$B$15&gt;60),0,INDEX('19_Расчет_аналитики'!$B$2362:$BI$2362,1,34-'01_Вводные'!$B$15))*'01_Вводные'!$B$298*MIN(1,'01_Вводные'!$B$22)+IF(OR(34&lt;=('01_Вводные'!$B$15+'01_Вводные'!$B$311),34-('01_Вводные'!$B$15+'01_Вводные'!$B$311)&gt;60),0,INDEX('19_Расчет_аналитики'!$B$2362:$BI$2362,1,34-('01_Вводные'!$B$15+'01_Вводные'!$B$311)))*'01_Вводные'!$B$298*MAX(0,'01_Вводные'!$B$22-1)</f>
        <v/>
      </c>
      <c r="AJ2387">
        <f>IF(OR(35&lt;='01_Вводные'!$B$15,35-'01_Вводные'!$B$15&gt;60),0,INDEX('19_Расчет_аналитики'!$B$2362:$BI$2362,1,35-'01_Вводные'!$B$15))*'01_Вводные'!$B$298*MIN(1,'01_Вводные'!$B$22)+IF(OR(35&lt;=('01_Вводные'!$B$15+'01_Вводные'!$B$311),35-('01_Вводные'!$B$15+'01_Вводные'!$B$311)&gt;60),0,INDEX('19_Расчет_аналитики'!$B$2362:$BI$2362,1,35-('01_Вводные'!$B$15+'01_Вводные'!$B$311)))*'01_Вводные'!$B$298*MAX(0,'01_Вводные'!$B$22-1)</f>
        <v/>
      </c>
      <c r="AK2387">
        <f>IF(OR(36&lt;='01_Вводные'!$B$15,36-'01_Вводные'!$B$15&gt;60),0,INDEX('19_Расчет_аналитики'!$B$2362:$BI$2362,1,36-'01_Вводные'!$B$15))*'01_Вводные'!$B$298*MIN(1,'01_Вводные'!$B$22)+IF(OR(36&lt;=('01_Вводные'!$B$15+'01_Вводные'!$B$311),36-('01_Вводные'!$B$15+'01_Вводные'!$B$311)&gt;60),0,INDEX('19_Расчет_аналитики'!$B$2362:$BI$2362,1,36-('01_Вводные'!$B$15+'01_Вводные'!$B$311)))*'01_Вводные'!$B$298*MAX(0,'01_Вводные'!$B$22-1)</f>
        <v/>
      </c>
      <c r="AL2387">
        <f>IF(OR(37&lt;='01_Вводные'!$B$15,37-'01_Вводные'!$B$15&gt;60),0,INDEX('19_Расчет_аналитики'!$B$2362:$BI$2362,1,37-'01_Вводные'!$B$15))*'01_Вводные'!$B$298*MIN(1,'01_Вводные'!$B$22)+IF(OR(37&lt;=('01_Вводные'!$B$15+'01_Вводные'!$B$311),37-('01_Вводные'!$B$15+'01_Вводные'!$B$311)&gt;60),0,INDEX('19_Расчет_аналитики'!$B$2362:$BI$2362,1,37-('01_Вводные'!$B$15+'01_Вводные'!$B$311)))*'01_Вводные'!$B$298*MAX(0,'01_Вводные'!$B$22-1)</f>
        <v/>
      </c>
      <c r="AM2387">
        <f>IF(OR(38&lt;='01_Вводные'!$B$15,38-'01_Вводные'!$B$15&gt;60),0,INDEX('19_Расчет_аналитики'!$B$2362:$BI$2362,1,38-'01_Вводные'!$B$15))*'01_Вводные'!$B$298*MIN(1,'01_Вводные'!$B$22)+IF(OR(38&lt;=('01_Вводные'!$B$15+'01_Вводные'!$B$311),38-('01_Вводные'!$B$15+'01_Вводные'!$B$311)&gt;60),0,INDEX('19_Расчет_аналитики'!$B$2362:$BI$2362,1,38-('01_Вводные'!$B$15+'01_Вводные'!$B$311)))*'01_Вводные'!$B$298*MAX(0,'01_Вводные'!$B$22-1)</f>
        <v/>
      </c>
      <c r="AN2387">
        <f>IF(OR(39&lt;='01_Вводные'!$B$15,39-'01_Вводные'!$B$15&gt;60),0,INDEX('19_Расчет_аналитики'!$B$2362:$BI$2362,1,39-'01_Вводные'!$B$15))*'01_Вводные'!$B$298*MIN(1,'01_Вводные'!$B$22)+IF(OR(39&lt;=('01_Вводные'!$B$15+'01_Вводные'!$B$311),39-('01_Вводные'!$B$15+'01_Вводные'!$B$311)&gt;60),0,INDEX('19_Расчет_аналитики'!$B$2362:$BI$2362,1,39-('01_Вводные'!$B$15+'01_Вводные'!$B$311)))*'01_Вводные'!$B$298*MAX(0,'01_Вводные'!$B$22-1)</f>
        <v/>
      </c>
      <c r="AO2387">
        <f>IF(OR(40&lt;='01_Вводные'!$B$15,40-'01_Вводные'!$B$15&gt;60),0,INDEX('19_Расчет_аналитики'!$B$2362:$BI$2362,1,40-'01_Вводные'!$B$15))*'01_Вводные'!$B$298*MIN(1,'01_Вводные'!$B$22)+IF(OR(40&lt;=('01_Вводные'!$B$15+'01_Вводные'!$B$311),40-('01_Вводные'!$B$15+'01_Вводные'!$B$311)&gt;60),0,INDEX('19_Расчет_аналитики'!$B$2362:$BI$2362,1,40-('01_Вводные'!$B$15+'01_Вводные'!$B$311)))*'01_Вводные'!$B$298*MAX(0,'01_Вводные'!$B$22-1)</f>
        <v/>
      </c>
      <c r="AP2387">
        <f>IF(OR(41&lt;='01_Вводные'!$B$15,41-'01_Вводные'!$B$15&gt;60),0,INDEX('19_Расчет_аналитики'!$B$2362:$BI$2362,1,41-'01_Вводные'!$B$15))*'01_Вводные'!$B$298*MIN(1,'01_Вводные'!$B$22)+IF(OR(41&lt;=('01_Вводные'!$B$15+'01_Вводные'!$B$311),41-('01_Вводные'!$B$15+'01_Вводные'!$B$311)&gt;60),0,INDEX('19_Расчет_аналитики'!$B$2362:$BI$2362,1,41-('01_Вводные'!$B$15+'01_Вводные'!$B$311)))*'01_Вводные'!$B$298*MAX(0,'01_Вводные'!$B$22-1)</f>
        <v/>
      </c>
      <c r="AQ2387">
        <f>IF(OR(42&lt;='01_Вводные'!$B$15,42-'01_Вводные'!$B$15&gt;60),0,INDEX('19_Расчет_аналитики'!$B$2362:$BI$2362,1,42-'01_Вводные'!$B$15))*'01_Вводные'!$B$298*MIN(1,'01_Вводные'!$B$22)+IF(OR(42&lt;=('01_Вводные'!$B$15+'01_Вводные'!$B$311),42-('01_Вводные'!$B$15+'01_Вводные'!$B$311)&gt;60),0,INDEX('19_Расчет_аналитики'!$B$2362:$BI$2362,1,42-('01_Вводные'!$B$15+'01_Вводные'!$B$311)))*'01_Вводные'!$B$298*MAX(0,'01_Вводные'!$B$22-1)</f>
        <v/>
      </c>
      <c r="AR2387">
        <f>IF(OR(43&lt;='01_Вводные'!$B$15,43-'01_Вводные'!$B$15&gt;60),0,INDEX('19_Расчет_аналитики'!$B$2362:$BI$2362,1,43-'01_Вводные'!$B$15))*'01_Вводные'!$B$298*MIN(1,'01_Вводные'!$B$22)+IF(OR(43&lt;=('01_Вводные'!$B$15+'01_Вводные'!$B$311),43-('01_Вводные'!$B$15+'01_Вводные'!$B$311)&gt;60),0,INDEX('19_Расчет_аналитики'!$B$2362:$BI$2362,1,43-('01_Вводные'!$B$15+'01_Вводные'!$B$311)))*'01_Вводные'!$B$298*MAX(0,'01_Вводные'!$B$22-1)</f>
        <v/>
      </c>
      <c r="AS2387">
        <f>IF(OR(44&lt;='01_Вводные'!$B$15,44-'01_Вводные'!$B$15&gt;60),0,INDEX('19_Расчет_аналитики'!$B$2362:$BI$2362,1,44-'01_Вводные'!$B$15))*'01_Вводные'!$B$298*MIN(1,'01_Вводные'!$B$22)+IF(OR(44&lt;=('01_Вводные'!$B$15+'01_Вводные'!$B$311),44-('01_Вводные'!$B$15+'01_Вводные'!$B$311)&gt;60),0,INDEX('19_Расчет_аналитики'!$B$2362:$BI$2362,1,44-('01_Вводные'!$B$15+'01_Вводные'!$B$311)))*'01_Вводные'!$B$298*MAX(0,'01_Вводные'!$B$22-1)</f>
        <v/>
      </c>
      <c r="AT2387">
        <f>IF(OR(45&lt;='01_Вводные'!$B$15,45-'01_Вводные'!$B$15&gt;60),0,INDEX('19_Расчет_аналитики'!$B$2362:$BI$2362,1,45-'01_Вводные'!$B$15))*'01_Вводные'!$B$298*MIN(1,'01_Вводные'!$B$22)+IF(OR(45&lt;=('01_Вводные'!$B$15+'01_Вводные'!$B$311),45-('01_Вводные'!$B$15+'01_Вводные'!$B$311)&gt;60),0,INDEX('19_Расчет_аналитики'!$B$2362:$BI$2362,1,45-('01_Вводные'!$B$15+'01_Вводные'!$B$311)))*'01_Вводные'!$B$298*MAX(0,'01_Вводные'!$B$22-1)</f>
        <v/>
      </c>
      <c r="AU2387">
        <f>IF(OR(46&lt;='01_Вводные'!$B$15,46-'01_Вводные'!$B$15&gt;60),0,INDEX('19_Расчет_аналитики'!$B$2362:$BI$2362,1,46-'01_Вводные'!$B$15))*'01_Вводные'!$B$298*MIN(1,'01_Вводные'!$B$22)+IF(OR(46&lt;=('01_Вводные'!$B$15+'01_Вводные'!$B$311),46-('01_Вводные'!$B$15+'01_Вводные'!$B$311)&gt;60),0,INDEX('19_Расчет_аналитики'!$B$2362:$BI$2362,1,46-('01_Вводные'!$B$15+'01_Вводные'!$B$311)))*'01_Вводные'!$B$298*MAX(0,'01_Вводные'!$B$22-1)</f>
        <v/>
      </c>
      <c r="AV2387">
        <f>IF(OR(47&lt;='01_Вводные'!$B$15,47-'01_Вводные'!$B$15&gt;60),0,INDEX('19_Расчет_аналитики'!$B$2362:$BI$2362,1,47-'01_Вводные'!$B$15))*'01_Вводные'!$B$298*MIN(1,'01_Вводные'!$B$22)+IF(OR(47&lt;=('01_Вводные'!$B$15+'01_Вводные'!$B$311),47-('01_Вводные'!$B$15+'01_Вводные'!$B$311)&gt;60),0,INDEX('19_Расчет_аналитики'!$B$2362:$BI$2362,1,47-('01_Вводные'!$B$15+'01_Вводные'!$B$311)))*'01_Вводные'!$B$298*MAX(0,'01_Вводные'!$B$22-1)</f>
        <v/>
      </c>
      <c r="AW2387">
        <f>IF(OR(48&lt;='01_Вводные'!$B$15,48-'01_Вводные'!$B$15&gt;60),0,INDEX('19_Расчет_аналитики'!$B$2362:$BI$2362,1,48-'01_Вводные'!$B$15))*'01_Вводные'!$B$298*MIN(1,'01_Вводные'!$B$22)+IF(OR(48&lt;=('01_Вводные'!$B$15+'01_Вводные'!$B$311),48-('01_Вводные'!$B$15+'01_Вводные'!$B$311)&gt;60),0,INDEX('19_Расчет_аналитики'!$B$2362:$BI$2362,1,48-('01_Вводные'!$B$15+'01_Вводные'!$B$311)))*'01_Вводные'!$B$298*MAX(0,'01_Вводные'!$B$22-1)</f>
        <v/>
      </c>
      <c r="AX2387">
        <f>IF(OR(49&lt;='01_Вводные'!$B$15,49-'01_Вводные'!$B$15&gt;60),0,INDEX('19_Расчет_аналитики'!$B$2362:$BI$2362,1,49-'01_Вводные'!$B$15))*'01_Вводные'!$B$298*MIN(1,'01_Вводные'!$B$22)+IF(OR(49&lt;=('01_Вводные'!$B$15+'01_Вводные'!$B$311),49-('01_Вводные'!$B$15+'01_Вводные'!$B$311)&gt;60),0,INDEX('19_Расчет_аналитики'!$B$2362:$BI$2362,1,49-('01_Вводные'!$B$15+'01_Вводные'!$B$311)))*'01_Вводные'!$B$298*MAX(0,'01_Вводные'!$B$22-1)</f>
        <v/>
      </c>
      <c r="AY2387">
        <f>IF(OR(50&lt;='01_Вводные'!$B$15,50-'01_Вводные'!$B$15&gt;60),0,INDEX('19_Расчет_аналитики'!$B$2362:$BI$2362,1,50-'01_Вводные'!$B$15))*'01_Вводные'!$B$298*MIN(1,'01_Вводные'!$B$22)+IF(OR(50&lt;=('01_Вводные'!$B$15+'01_Вводные'!$B$311),50-('01_Вводные'!$B$15+'01_Вводные'!$B$311)&gt;60),0,INDEX('19_Расчет_аналитики'!$B$2362:$BI$2362,1,50-('01_Вводные'!$B$15+'01_Вводные'!$B$311)))*'01_Вводные'!$B$298*MAX(0,'01_Вводные'!$B$22-1)</f>
        <v/>
      </c>
      <c r="AZ2387">
        <f>IF(OR(51&lt;='01_Вводные'!$B$15,51-'01_Вводные'!$B$15&gt;60),0,INDEX('19_Расчет_аналитики'!$B$2362:$BI$2362,1,51-'01_Вводные'!$B$15))*'01_Вводные'!$B$298*MIN(1,'01_Вводные'!$B$22)+IF(OR(51&lt;=('01_Вводные'!$B$15+'01_Вводные'!$B$311),51-('01_Вводные'!$B$15+'01_Вводные'!$B$311)&gt;60),0,INDEX('19_Расчет_аналитики'!$B$2362:$BI$2362,1,51-('01_Вводные'!$B$15+'01_Вводные'!$B$311)))*'01_Вводные'!$B$298*MAX(0,'01_Вводные'!$B$22-1)</f>
        <v/>
      </c>
      <c r="BA2387">
        <f>IF(OR(52&lt;='01_Вводные'!$B$15,52-'01_Вводные'!$B$15&gt;60),0,INDEX('19_Расчет_аналитики'!$B$2362:$BI$2362,1,52-'01_Вводные'!$B$15))*'01_Вводные'!$B$298*MIN(1,'01_Вводные'!$B$22)+IF(OR(52&lt;=('01_Вводные'!$B$15+'01_Вводные'!$B$311),52-('01_Вводные'!$B$15+'01_Вводные'!$B$311)&gt;60),0,INDEX('19_Расчет_аналитики'!$B$2362:$BI$2362,1,52-('01_Вводные'!$B$15+'01_Вводные'!$B$311)))*'01_Вводные'!$B$298*MAX(0,'01_Вводные'!$B$22-1)</f>
        <v/>
      </c>
      <c r="BB2387">
        <f>IF(OR(53&lt;='01_Вводные'!$B$15,53-'01_Вводные'!$B$15&gt;60),0,INDEX('19_Расчет_аналитики'!$B$2362:$BI$2362,1,53-'01_Вводные'!$B$15))*'01_Вводные'!$B$298*MIN(1,'01_Вводные'!$B$22)+IF(OR(53&lt;=('01_Вводные'!$B$15+'01_Вводные'!$B$311),53-('01_Вводные'!$B$15+'01_Вводные'!$B$311)&gt;60),0,INDEX('19_Расчет_аналитики'!$B$2362:$BI$2362,1,53-('01_Вводные'!$B$15+'01_Вводные'!$B$311)))*'01_Вводные'!$B$298*MAX(0,'01_Вводные'!$B$22-1)</f>
        <v/>
      </c>
      <c r="BC2387">
        <f>IF(OR(54&lt;='01_Вводные'!$B$15,54-'01_Вводные'!$B$15&gt;60),0,INDEX('19_Расчет_аналитики'!$B$2362:$BI$2362,1,54-'01_Вводные'!$B$15))*'01_Вводные'!$B$298*MIN(1,'01_Вводные'!$B$22)+IF(OR(54&lt;=('01_Вводные'!$B$15+'01_Вводные'!$B$311),54-('01_Вводные'!$B$15+'01_Вводные'!$B$311)&gt;60),0,INDEX('19_Расчет_аналитики'!$B$2362:$BI$2362,1,54-('01_Вводные'!$B$15+'01_Вводные'!$B$311)))*'01_Вводные'!$B$298*MAX(0,'01_Вводные'!$B$22-1)</f>
        <v/>
      </c>
      <c r="BD2387">
        <f>IF(OR(55&lt;='01_Вводные'!$B$15,55-'01_Вводные'!$B$15&gt;60),0,INDEX('19_Расчет_аналитики'!$B$2362:$BI$2362,1,55-'01_Вводные'!$B$15))*'01_Вводные'!$B$298*MIN(1,'01_Вводные'!$B$22)+IF(OR(55&lt;=('01_Вводные'!$B$15+'01_Вводные'!$B$311),55-('01_Вводные'!$B$15+'01_Вводные'!$B$311)&gt;60),0,INDEX('19_Расчет_аналитики'!$B$2362:$BI$2362,1,55-('01_Вводные'!$B$15+'01_Вводные'!$B$311)))*'01_Вводные'!$B$298*MAX(0,'01_Вводные'!$B$22-1)</f>
        <v/>
      </c>
      <c r="BE2387">
        <f>IF(OR(56&lt;='01_Вводные'!$B$15,56-'01_Вводные'!$B$15&gt;60),0,INDEX('19_Расчет_аналитики'!$B$2362:$BI$2362,1,56-'01_Вводные'!$B$15))*'01_Вводные'!$B$298*MIN(1,'01_Вводные'!$B$22)+IF(OR(56&lt;=('01_Вводные'!$B$15+'01_Вводные'!$B$311),56-('01_Вводные'!$B$15+'01_Вводные'!$B$311)&gt;60),0,INDEX('19_Расчет_аналитики'!$B$2362:$BI$2362,1,56-('01_Вводные'!$B$15+'01_Вводные'!$B$311)))*'01_Вводные'!$B$298*MAX(0,'01_Вводные'!$B$22-1)</f>
        <v/>
      </c>
      <c r="BF2387">
        <f>IF(OR(57&lt;='01_Вводные'!$B$15,57-'01_Вводные'!$B$15&gt;60),0,INDEX('19_Расчет_аналитики'!$B$2362:$BI$2362,1,57-'01_Вводные'!$B$15))*'01_Вводные'!$B$298*MIN(1,'01_Вводные'!$B$22)+IF(OR(57&lt;=('01_Вводные'!$B$15+'01_Вводные'!$B$311),57-('01_Вводные'!$B$15+'01_Вводные'!$B$311)&gt;60),0,INDEX('19_Расчет_аналитики'!$B$2362:$BI$2362,1,57-('01_Вводные'!$B$15+'01_Вводные'!$B$311)))*'01_Вводные'!$B$298*MAX(0,'01_Вводные'!$B$22-1)</f>
        <v/>
      </c>
      <c r="BG2387">
        <f>IF(OR(58&lt;='01_Вводные'!$B$15,58-'01_Вводные'!$B$15&gt;60),0,INDEX('19_Расчет_аналитики'!$B$2362:$BI$2362,1,58-'01_Вводные'!$B$15))*'01_Вводные'!$B$298*MIN(1,'01_Вводные'!$B$22)+IF(OR(58&lt;=('01_Вводные'!$B$15+'01_Вводные'!$B$311),58-('01_Вводные'!$B$15+'01_Вводные'!$B$311)&gt;60),0,INDEX('19_Расчет_аналитики'!$B$2362:$BI$2362,1,58-('01_Вводные'!$B$15+'01_Вводные'!$B$311)))*'01_Вводные'!$B$298*MAX(0,'01_Вводные'!$B$22-1)</f>
        <v/>
      </c>
      <c r="BH2387">
        <f>IF(OR(59&lt;='01_Вводные'!$B$15,59-'01_Вводные'!$B$15&gt;60),0,INDEX('19_Расчет_аналитики'!$B$2362:$BI$2362,1,59-'01_Вводные'!$B$15))*'01_Вводные'!$B$298*MIN(1,'01_Вводные'!$B$22)+IF(OR(59&lt;=('01_Вводные'!$B$15+'01_Вводные'!$B$311),59-('01_Вводные'!$B$15+'01_Вводные'!$B$311)&gt;60),0,INDEX('19_Расчет_аналитики'!$B$2362:$BI$2362,1,59-('01_Вводные'!$B$15+'01_Вводные'!$B$311)))*'01_Вводные'!$B$298*MAX(0,'01_Вводные'!$B$22-1)</f>
        <v/>
      </c>
      <c r="BI2387">
        <f>IF(OR(60&lt;='01_Вводные'!$B$15,60-'01_Вводные'!$B$15&gt;60),0,INDEX('19_Расчет_аналитики'!$B$2362:$BI$2362,1,60-'01_Вводные'!$B$15))*'01_Вводные'!$B$298*MIN(1,'01_Вводные'!$B$22)+IF(OR(60&lt;=('01_Вводные'!$B$15+'01_Вводные'!$B$311),60-('01_Вводные'!$B$15+'01_Вводные'!$B$311)&gt;60),0,INDEX('19_Расчет_аналитики'!$B$2362:$BI$2362,1,60-('01_Вводные'!$B$15+'01_Вводные'!$B$311)))*'01_Вводные'!$B$298*MAX(0,'01_Вводные'!$B$22-1)</f>
        <v/>
      </c>
      <c r="BJ2387">
        <f>IF(OR(61&lt;='01_Вводные'!$B$15,61-'01_Вводные'!$B$15&gt;60),0,INDEX('19_Расчет_аналитики'!$B$2362:$BI$2362,1,61-'01_Вводные'!$B$15))*'01_Вводные'!$B$298*MIN(1,'01_Вводные'!$B$22)+IF(OR(61&lt;=('01_Вводные'!$B$15+'01_Вводные'!$B$311),61-('01_Вводные'!$B$15+'01_Вводные'!$B$311)&gt;60),0,INDEX('19_Расчет_аналитики'!$B$2362:$BI$2362,1,61-('01_Вводные'!$B$15+'01_Вводные'!$B$311)))*'01_Вводные'!$B$298*MAX(0,'01_Вводные'!$B$22-1)</f>
        <v/>
      </c>
      <c r="BK2387">
        <f>IF(OR(62&lt;='01_Вводные'!$B$15,62-'01_Вводные'!$B$15&gt;60),0,INDEX('19_Расчет_аналитики'!$B$2362:$BI$2362,1,62-'01_Вводные'!$B$15))*'01_Вводные'!$B$298*MIN(1,'01_Вводные'!$B$22)+IF(OR(62&lt;=('01_Вводные'!$B$15+'01_Вводные'!$B$311),62-('01_Вводные'!$B$15+'01_Вводные'!$B$311)&gt;60),0,INDEX('19_Расчет_аналитики'!$B$2362:$BI$2362,1,62-('01_Вводные'!$B$15+'01_Вводные'!$B$311)))*'01_Вводные'!$B$298*MAX(0,'01_Вводные'!$B$22-1)</f>
        <v/>
      </c>
      <c r="BL2387">
        <f>IF(OR(63&lt;='01_Вводные'!$B$15,63-'01_Вводные'!$B$15&gt;60),0,INDEX('19_Расчет_аналитики'!$B$2362:$BI$2362,1,63-'01_Вводные'!$B$15))*'01_Вводные'!$B$298*MIN(1,'01_Вводные'!$B$22)+IF(OR(63&lt;=('01_Вводные'!$B$15+'01_Вводные'!$B$311),63-('01_Вводные'!$B$15+'01_Вводные'!$B$311)&gt;60),0,INDEX('19_Расчет_аналитики'!$B$2362:$BI$2362,1,63-('01_Вводные'!$B$15+'01_Вводные'!$B$311)))*'01_Вводные'!$B$298*MAX(0,'01_Вводные'!$B$22-1)</f>
        <v/>
      </c>
      <c r="BM2387">
        <f>IF(OR(64&lt;='01_Вводные'!$B$15,64-'01_Вводные'!$B$15&gt;60),0,INDEX('19_Расчет_аналитики'!$B$2362:$BI$2362,1,64-'01_Вводные'!$B$15))*'01_Вводные'!$B$298*MIN(1,'01_Вводные'!$B$22)+IF(OR(64&lt;=('01_Вводные'!$B$15+'01_Вводные'!$B$311),64-('01_Вводные'!$B$15+'01_Вводные'!$B$311)&gt;60),0,INDEX('19_Расчет_аналитики'!$B$2362:$BI$2362,1,64-('01_Вводные'!$B$15+'01_Вводные'!$B$311)))*'01_Вводные'!$B$298*MAX(0,'01_Вводные'!$B$22-1)</f>
        <v/>
      </c>
      <c r="BN2387">
        <f>IF(OR(65&lt;='01_Вводные'!$B$15,65-'01_Вводные'!$B$15&gt;60),0,INDEX('19_Расчет_аналитики'!$B$2362:$BI$2362,1,65-'01_Вводные'!$B$15))*'01_Вводные'!$B$298*MIN(1,'01_Вводные'!$B$22)+IF(OR(65&lt;=('01_Вводные'!$B$15+'01_Вводные'!$B$311),65-('01_Вводные'!$B$15+'01_Вводные'!$B$311)&gt;60),0,INDEX('19_Расчет_аналитики'!$B$2362:$BI$2362,1,65-('01_Вводные'!$B$15+'01_Вводные'!$B$311)))*'01_Вводные'!$B$298*MAX(0,'01_Вводные'!$B$22-1)</f>
        <v/>
      </c>
      <c r="BO2387">
        <f>IF(OR(66&lt;='01_Вводные'!$B$15,66-'01_Вводные'!$B$15&gt;60),0,INDEX('19_Расчет_аналитики'!$B$2362:$BI$2362,1,66-'01_Вводные'!$B$15))*'01_Вводные'!$B$298*MIN(1,'01_Вводные'!$B$22)+IF(OR(66&lt;=('01_Вводные'!$B$15+'01_Вводные'!$B$311),66-('01_Вводные'!$B$15+'01_Вводные'!$B$311)&gt;60),0,INDEX('19_Расчет_аналитики'!$B$2362:$BI$2362,1,66-('01_Вводные'!$B$15+'01_Вводные'!$B$311)))*'01_Вводные'!$B$298*MAX(0,'01_Вводные'!$B$22-1)</f>
        <v/>
      </c>
    </row>
    <row r="2388">
      <c r="C2388">
        <f>'19_Расчет_аналитики'!C2386*'01_Вводные'!$B$16</f>
        <v/>
      </c>
      <c r="D2388">
        <f>'19_Расчет_аналитики'!D2386*'01_Вводные'!$B$16</f>
        <v/>
      </c>
      <c r="E2388">
        <f>'19_Расчет_аналитики'!E2386*'01_Вводные'!$B$16</f>
        <v/>
      </c>
      <c r="F2388">
        <f>'19_Расчет_аналитики'!F2386*'01_Вводные'!$B$16</f>
        <v/>
      </c>
      <c r="G2388">
        <f>'19_Расчет_аналитики'!G2386*'01_Вводные'!$B$16</f>
        <v/>
      </c>
      <c r="H2388">
        <f>'19_Расчет_аналитики'!H2386*'01_Вводные'!$B$16</f>
        <v/>
      </c>
      <c r="I2388">
        <f>'19_Расчет_аналитики'!I2386*'01_Вводные'!$B$16</f>
        <v/>
      </c>
      <c r="J2388">
        <f>'19_Расчет_аналитики'!J2386*'01_Вводные'!$B$16</f>
        <v/>
      </c>
      <c r="K2388">
        <f>'19_Расчет_аналитики'!K2386*'01_Вводные'!$B$16</f>
        <v/>
      </c>
      <c r="L2388">
        <f>'19_Расчет_аналитики'!L2386*'01_Вводные'!$B$16</f>
        <v/>
      </c>
      <c r="M2388">
        <f>'19_Расчет_аналитики'!M2386*'01_Вводные'!$B$16</f>
        <v/>
      </c>
      <c r="N2388">
        <f>'19_Расчет_аналитики'!N2386*'01_Вводные'!$B$16</f>
        <v/>
      </c>
      <c r="O2388">
        <f>'19_Расчет_аналитики'!O2386*'01_Вводные'!$B$16</f>
        <v/>
      </c>
      <c r="P2388">
        <f>'19_Расчет_аналитики'!P2386*'01_Вводные'!$B$16</f>
        <v/>
      </c>
      <c r="Q2388">
        <f>'19_Расчет_аналитики'!Q2386*'01_Вводные'!$B$16</f>
        <v/>
      </c>
      <c r="R2388">
        <f>'19_Расчет_аналитики'!R2386*'01_Вводные'!$B$16</f>
        <v/>
      </c>
      <c r="S2388">
        <f>'19_Расчет_аналитики'!S2386*'01_Вводные'!$B$16</f>
        <v/>
      </c>
      <c r="T2388">
        <f>'19_Расчет_аналитики'!T2386*'01_Вводные'!$B$16</f>
        <v/>
      </c>
      <c r="U2388">
        <f>'19_Расчет_аналитики'!U2386*'01_Вводные'!$B$16</f>
        <v/>
      </c>
      <c r="V2388">
        <f>'19_Расчет_аналитики'!V2386*'01_Вводные'!$B$16</f>
        <v/>
      </c>
      <c r="W2388">
        <f>'19_Расчет_аналитики'!W2386*'01_Вводные'!$B$16</f>
        <v/>
      </c>
      <c r="X2388">
        <f>'19_Расчет_аналитики'!X2386*'01_Вводные'!$B$16</f>
        <v/>
      </c>
      <c r="Y2388">
        <f>'19_Расчет_аналитики'!Y2386*'01_Вводные'!$B$16</f>
        <v/>
      </c>
      <c r="Z2388">
        <f>'19_Расчет_аналитики'!Z2386*'01_Вводные'!$B$16</f>
        <v/>
      </c>
      <c r="AA2388">
        <f>'19_Расчет_аналитики'!AA2386*'01_Вводные'!$B$16</f>
        <v/>
      </c>
      <c r="AB2388">
        <f>'19_Расчет_аналитики'!AB2386*'01_Вводные'!$B$16</f>
        <v/>
      </c>
      <c r="AC2388">
        <f>'19_Расчет_аналитики'!AC2386*'01_Вводные'!$B$16</f>
        <v/>
      </c>
      <c r="AD2388">
        <f>'19_Расчет_аналитики'!AD2386*'01_Вводные'!$B$16</f>
        <v/>
      </c>
      <c r="AE2388">
        <f>'19_Расчет_аналитики'!AE2386*'01_Вводные'!$B$16</f>
        <v/>
      </c>
      <c r="AF2388">
        <f>'19_Расчет_аналитики'!AF2386*'01_Вводные'!$B$16</f>
        <v/>
      </c>
      <c r="AG2388">
        <f>'19_Расчет_аналитики'!AG2386*'01_Вводные'!$B$16</f>
        <v/>
      </c>
      <c r="AH2388">
        <f>'19_Расчет_аналитики'!AH2386*'01_Вводные'!$B$16</f>
        <v/>
      </c>
      <c r="AI2388">
        <f>'19_Расчет_аналитики'!AI2386*'01_Вводные'!$B$16</f>
        <v/>
      </c>
      <c r="AJ2388">
        <f>'19_Расчет_аналитики'!AJ2386*'01_Вводные'!$B$16</f>
        <v/>
      </c>
      <c r="AK2388">
        <f>'19_Расчет_аналитики'!AK2386*'01_Вводные'!$B$16</f>
        <v/>
      </c>
      <c r="AL2388">
        <f>'19_Расчет_аналитики'!AL2386*'01_Вводные'!$B$16</f>
        <v/>
      </c>
      <c r="AM2388">
        <f>'19_Расчет_аналитики'!AM2386*'01_Вводные'!$B$16</f>
        <v/>
      </c>
      <c r="AN2388">
        <f>'19_Расчет_аналитики'!AN2386*'01_Вводные'!$B$16</f>
        <v/>
      </c>
      <c r="AO2388">
        <f>'19_Расчет_аналитики'!AO2386*'01_Вводные'!$B$16</f>
        <v/>
      </c>
      <c r="AP2388">
        <f>'19_Расчет_аналитики'!AP2386*'01_Вводные'!$B$16</f>
        <v/>
      </c>
      <c r="AQ2388">
        <f>'19_Расчет_аналитики'!AQ2386*'01_Вводные'!$B$16</f>
        <v/>
      </c>
      <c r="AR2388">
        <f>'19_Расчет_аналитики'!AR2386*'01_Вводные'!$B$16</f>
        <v/>
      </c>
      <c r="AS2388">
        <f>'19_Расчет_аналитики'!AS2386*'01_Вводные'!$B$16</f>
        <v/>
      </c>
      <c r="AT2388">
        <f>'19_Расчет_аналитики'!AT2386*'01_Вводные'!$B$16</f>
        <v/>
      </c>
      <c r="AU2388">
        <f>'19_Расчет_аналитики'!AU2386*'01_Вводные'!$B$16</f>
        <v/>
      </c>
      <c r="AV2388">
        <f>'19_Расчет_аналитики'!AV2386*'01_Вводные'!$B$16</f>
        <v/>
      </c>
      <c r="AW2388">
        <f>'19_Расчет_аналитики'!AW2386*'01_Вводные'!$B$16</f>
        <v/>
      </c>
      <c r="AX2388">
        <f>'19_Расчет_аналитики'!AX2386*'01_Вводные'!$B$16</f>
        <v/>
      </c>
      <c r="AY2388">
        <f>'19_Расчет_аналитики'!AY2386*'01_Вводные'!$B$16</f>
        <v/>
      </c>
      <c r="AZ2388">
        <f>'19_Расчет_аналитики'!AZ2386*'01_Вводные'!$B$16</f>
        <v/>
      </c>
      <c r="BA2388">
        <f>'19_Расчет_аналитики'!BA2386*'01_Вводные'!$B$16</f>
        <v/>
      </c>
      <c r="BB2388">
        <f>'19_Расчет_аналитики'!BB2386*'01_Вводные'!$B$16</f>
        <v/>
      </c>
      <c r="BC2388">
        <f>'19_Расчет_аналитики'!BC2386*'01_Вводные'!$B$16</f>
        <v/>
      </c>
      <c r="BD2388">
        <f>'19_Расчет_аналитики'!BD2386*'01_Вводные'!$B$16</f>
        <v/>
      </c>
      <c r="BE2388">
        <f>'19_Расчет_аналитики'!BE2386*'01_Вводные'!$B$16</f>
        <v/>
      </c>
      <c r="BF2388">
        <f>'19_Расчет_аналитики'!BF2386*'01_Вводные'!$B$16</f>
        <v/>
      </c>
      <c r="BG2388">
        <f>'19_Расчет_аналитики'!BG2386*'01_Вводные'!$B$16</f>
        <v/>
      </c>
      <c r="BH2388">
        <f>'19_Расчет_аналитики'!BH2386*'01_Вводные'!$B$16</f>
        <v/>
      </c>
      <c r="BI2388">
        <f>'19_Расчет_аналитики'!BI2386*'01_Вводные'!$B$16</f>
        <v/>
      </c>
    </row>
    <row r="2389">
      <c r="C2389">
        <f>'06_Сеть_и_дети'!B10*'01_Вводные'!$B$14+'19_Расчет_аналитики'!C2388</f>
        <v/>
      </c>
      <c r="D2389">
        <f>'19_Расчет_аналитики'!C2389*'01_Вводные'!$B$14+'19_Расчет_аналитики'!D2388</f>
        <v/>
      </c>
      <c r="E2389">
        <f>'19_Расчет_аналитики'!D2389*'01_Вводные'!$B$14+'19_Расчет_аналитики'!E2388</f>
        <v/>
      </c>
      <c r="F2389">
        <f>'19_Расчет_аналитики'!E2389*'01_Вводные'!$B$14+'19_Расчет_аналитики'!F2388</f>
        <v/>
      </c>
      <c r="G2389">
        <f>'19_Расчет_аналитики'!F2389*'01_Вводные'!$B$14+'19_Расчет_аналитики'!G2388</f>
        <v/>
      </c>
      <c r="H2389">
        <f>'19_Расчет_аналитики'!G2389*'01_Вводные'!$B$14+'19_Расчет_аналитики'!H2388</f>
        <v/>
      </c>
      <c r="I2389">
        <f>'19_Расчет_аналитики'!H2389*'01_Вводные'!$B$14+'19_Расчет_аналитики'!I2388</f>
        <v/>
      </c>
      <c r="J2389">
        <f>'19_Расчет_аналитики'!I2389*'01_Вводные'!$B$14+'19_Расчет_аналитики'!J2388</f>
        <v/>
      </c>
      <c r="K2389">
        <f>'19_Расчет_аналитики'!J2389*'01_Вводные'!$B$14+'19_Расчет_аналитики'!K2388</f>
        <v/>
      </c>
      <c r="L2389">
        <f>'19_Расчет_аналитики'!K2389*'01_Вводные'!$B$14+'19_Расчет_аналитики'!L2388</f>
        <v/>
      </c>
      <c r="M2389">
        <f>'19_Расчет_аналитики'!L2389*'01_Вводные'!$B$14+'19_Расчет_аналитики'!M2388</f>
        <v/>
      </c>
      <c r="N2389">
        <f>'19_Расчет_аналитики'!M2389*'01_Вводные'!$B$14+'19_Расчет_аналитики'!N2388</f>
        <v/>
      </c>
      <c r="O2389">
        <f>'19_Расчет_аналитики'!N2389*'01_Вводные'!$B$14+'19_Расчет_аналитики'!O2388</f>
        <v/>
      </c>
      <c r="P2389">
        <f>'19_Расчет_аналитики'!O2389*'01_Вводные'!$B$14+'19_Расчет_аналитики'!P2388</f>
        <v/>
      </c>
      <c r="Q2389">
        <f>'19_Расчет_аналитики'!P2389*'01_Вводные'!$B$14+'19_Расчет_аналитики'!Q2388</f>
        <v/>
      </c>
      <c r="R2389">
        <f>'19_Расчет_аналитики'!Q2389*'01_Вводные'!$B$14+'19_Расчет_аналитики'!R2388</f>
        <v/>
      </c>
      <c r="S2389">
        <f>'19_Расчет_аналитики'!R2389*'01_Вводные'!$B$14+'19_Расчет_аналитики'!S2388</f>
        <v/>
      </c>
      <c r="T2389">
        <f>'19_Расчет_аналитики'!S2389*'01_Вводные'!$B$14+'19_Расчет_аналитики'!T2388</f>
        <v/>
      </c>
      <c r="U2389">
        <f>'19_Расчет_аналитики'!T2389*'01_Вводные'!$B$14+'19_Расчет_аналитики'!U2388</f>
        <v/>
      </c>
      <c r="V2389">
        <f>'19_Расчет_аналитики'!U2389*'01_Вводные'!$B$14+'19_Расчет_аналитики'!V2388</f>
        <v/>
      </c>
      <c r="W2389">
        <f>'19_Расчет_аналитики'!V2389*'01_Вводные'!$B$14+'19_Расчет_аналитики'!W2388</f>
        <v/>
      </c>
      <c r="X2389">
        <f>'19_Расчет_аналитики'!W2389*'01_Вводные'!$B$14+'19_Расчет_аналитики'!X2388</f>
        <v/>
      </c>
      <c r="Y2389">
        <f>'19_Расчет_аналитики'!X2389*'01_Вводные'!$B$14+'19_Расчет_аналитики'!Y2388</f>
        <v/>
      </c>
      <c r="Z2389">
        <f>'19_Расчет_аналитики'!Y2389*'01_Вводные'!$B$14+'19_Расчет_аналитики'!Z2388</f>
        <v/>
      </c>
      <c r="AA2389">
        <f>'19_Расчет_аналитики'!Z2389*'01_Вводные'!$B$14+'19_Расчет_аналитики'!AA2388</f>
        <v/>
      </c>
      <c r="AB2389">
        <f>'19_Расчет_аналитики'!AA2389*'01_Вводные'!$B$14+'19_Расчет_аналитики'!AB2388</f>
        <v/>
      </c>
      <c r="AC2389">
        <f>'19_Расчет_аналитики'!AB2389*'01_Вводные'!$B$14+'19_Расчет_аналитики'!AC2388</f>
        <v/>
      </c>
      <c r="AD2389">
        <f>'19_Расчет_аналитики'!AC2389*'01_Вводные'!$B$14+'19_Расчет_аналитики'!AD2388</f>
        <v/>
      </c>
      <c r="AE2389">
        <f>'19_Расчет_аналитики'!AD2389*'01_Вводные'!$B$14+'19_Расчет_аналитики'!AE2388</f>
        <v/>
      </c>
      <c r="AF2389">
        <f>'19_Расчет_аналитики'!AE2389*'01_Вводные'!$B$14+'19_Расчет_аналитики'!AF2388</f>
        <v/>
      </c>
      <c r="AG2389">
        <f>'19_Расчет_аналитики'!AF2389*'01_Вводные'!$B$14+'19_Расчет_аналитики'!AG2388</f>
        <v/>
      </c>
      <c r="AH2389">
        <f>'19_Расчет_аналитики'!AG2389*'01_Вводные'!$B$14+'19_Расчет_аналитики'!AH2388</f>
        <v/>
      </c>
      <c r="AI2389">
        <f>'19_Расчет_аналитики'!AH2389*'01_Вводные'!$B$14+'19_Расчет_аналитики'!AI2388</f>
        <v/>
      </c>
      <c r="AJ2389">
        <f>'19_Расчет_аналитики'!AI2389*'01_Вводные'!$B$14+'19_Расчет_аналитики'!AJ2388</f>
        <v/>
      </c>
      <c r="AK2389">
        <f>'19_Расчет_аналитики'!AJ2389*'01_Вводные'!$B$14+'19_Расчет_аналитики'!AK2388</f>
        <v/>
      </c>
      <c r="AL2389">
        <f>'19_Расчет_аналитики'!AK2389*'01_Вводные'!$B$14+'19_Расчет_аналитики'!AL2388</f>
        <v/>
      </c>
      <c r="AM2389">
        <f>'19_Расчет_аналитики'!AL2389*'01_Вводные'!$B$14+'19_Расчет_аналитики'!AM2388</f>
        <v/>
      </c>
      <c r="AN2389">
        <f>'19_Расчет_аналитики'!AM2389*'01_Вводные'!$B$14+'19_Расчет_аналитики'!AN2388</f>
        <v/>
      </c>
      <c r="AO2389">
        <f>'19_Расчет_аналитики'!AN2389*'01_Вводные'!$B$14+'19_Расчет_аналитики'!AO2388</f>
        <v/>
      </c>
      <c r="AP2389">
        <f>'19_Расчет_аналитики'!AO2389*'01_Вводные'!$B$14+'19_Расчет_аналитики'!AP2388</f>
        <v/>
      </c>
      <c r="AQ2389">
        <f>'19_Расчет_аналитики'!AP2389*'01_Вводные'!$B$14+'19_Расчет_аналитики'!AQ2388</f>
        <v/>
      </c>
      <c r="AR2389">
        <f>'19_Расчет_аналитики'!AQ2389*'01_Вводные'!$B$14+'19_Расчет_аналитики'!AR2388</f>
        <v/>
      </c>
      <c r="AS2389">
        <f>'19_Расчет_аналитики'!AR2389*'01_Вводные'!$B$14+'19_Расчет_аналитики'!AS2388</f>
        <v/>
      </c>
      <c r="AT2389">
        <f>'19_Расчет_аналитики'!AS2389*'01_Вводные'!$B$14+'19_Расчет_аналитики'!AT2388</f>
        <v/>
      </c>
      <c r="AU2389">
        <f>'19_Расчет_аналитики'!AT2389*'01_Вводные'!$B$14+'19_Расчет_аналитики'!AU2388</f>
        <v/>
      </c>
      <c r="AV2389">
        <f>'19_Расчет_аналитики'!AU2389*'01_Вводные'!$B$14+'19_Расчет_аналитики'!AV2388</f>
        <v/>
      </c>
      <c r="AW2389">
        <f>'19_Расчет_аналитики'!AV2389*'01_Вводные'!$B$14+'19_Расчет_аналитики'!AW2388</f>
        <v/>
      </c>
      <c r="AX2389">
        <f>'19_Расчет_аналитики'!AW2389*'01_Вводные'!$B$14+'19_Расчет_аналитики'!AX2388</f>
        <v/>
      </c>
      <c r="AY2389">
        <f>'19_Расчет_аналитики'!AX2389*'01_Вводные'!$B$14+'19_Расчет_аналитики'!AY2388</f>
        <v/>
      </c>
      <c r="AZ2389">
        <f>'19_Расчет_аналитики'!AY2389*'01_Вводные'!$B$14+'19_Расчет_аналитики'!AZ2388</f>
        <v/>
      </c>
      <c r="BA2389">
        <f>'19_Расчет_аналитики'!AZ2389*'01_Вводные'!$B$14+'19_Расчет_аналитики'!BA2388</f>
        <v/>
      </c>
      <c r="BB2389">
        <f>'19_Расчет_аналитики'!BA2389*'01_Вводные'!$B$14+'19_Расчет_аналитики'!BB2388</f>
        <v/>
      </c>
      <c r="BC2389">
        <f>'19_Расчет_аналитики'!BB2389*'01_Вводные'!$B$14+'19_Расчет_аналитики'!BC2388</f>
        <v/>
      </c>
      <c r="BD2389">
        <f>'19_Расчет_аналитики'!BC2389*'01_Вводные'!$B$14+'19_Расчет_аналитики'!BD2388</f>
        <v/>
      </c>
      <c r="BE2389">
        <f>'19_Расчет_аналитики'!BD2389*'01_Вводные'!$B$14+'19_Расчет_аналитики'!BE2388</f>
        <v/>
      </c>
      <c r="BF2389">
        <f>'19_Расчет_аналитики'!BE2389*'01_Вводные'!$B$14+'19_Расчет_аналитики'!BF2388</f>
        <v/>
      </c>
      <c r="BG2389">
        <f>'19_Расчет_аналитики'!BF2389*'01_Вводные'!$B$14+'19_Расчет_аналитики'!BG2388</f>
        <v/>
      </c>
      <c r="BH2389">
        <f>'19_Расчет_аналитики'!BG2389*'01_Вводные'!$B$14+'19_Расчет_аналитики'!BH2388</f>
        <v/>
      </c>
      <c r="BI2389">
        <f>'19_Расчет_аналитики'!BH2389*'01_Вводные'!$B$14+'19_Расчет_аналитики'!BI2388</f>
        <v/>
      </c>
      <c r="BJ2389">
        <f>'19_Расчет_аналитики'!BI2389*'01_Вводные'!$B$14+'06_Сеть_и_дети'!BJ9</f>
        <v/>
      </c>
      <c r="BK2389">
        <f>'19_Расчет_аналитики'!BJ2389*'01_Вводные'!$B$14+'06_Сеть_и_дети'!BK9</f>
        <v/>
      </c>
      <c r="BL2389">
        <f>'19_Расчет_аналитики'!BK2389*'01_Вводные'!$B$14+'06_Сеть_и_дети'!BL9</f>
        <v/>
      </c>
      <c r="BM2389">
        <f>'19_Расчет_аналитики'!BL2389*'01_Вводные'!$B$14+'06_Сеть_и_дети'!BM9</f>
        <v/>
      </c>
      <c r="BN2389">
        <f>'19_Расчет_аналитики'!BM2389*'01_Вводные'!$B$14+'06_Сеть_и_дети'!BN9</f>
        <v/>
      </c>
      <c r="BO2389">
        <f>'19_Расчет_аналитики'!BN2389*'01_Вводные'!$B$14+'06_Сеть_и_дети'!BO9</f>
        <v/>
      </c>
    </row>
    <row r="2390"/>
    <row r="2391"/>
    <row r="2392">
      <c r="B2392">
        <f>SUM('19_Расчет_аналитики'!B2432:B2443)</f>
        <v/>
      </c>
      <c r="C2392">
        <f>SUM('19_Расчет_аналитики'!C2432:C2443)</f>
        <v/>
      </c>
      <c r="D2392">
        <f>SUM('19_Расчет_аналитики'!D2432:D2443)</f>
        <v/>
      </c>
      <c r="E2392">
        <f>SUM('19_Расчет_аналитики'!E2432:E2443)</f>
        <v/>
      </c>
      <c r="F2392">
        <f>SUM('19_Расчет_аналитики'!F2432:F2443)</f>
        <v/>
      </c>
      <c r="G2392">
        <f>SUM('19_Расчет_аналитики'!G2432:G2443)</f>
        <v/>
      </c>
      <c r="H2392">
        <f>SUM('19_Расчет_аналитики'!H2432:H2443)</f>
        <v/>
      </c>
      <c r="I2392">
        <f>SUM('19_Расчет_аналитики'!I2432:I2443)</f>
        <v/>
      </c>
      <c r="J2392">
        <f>SUM('19_Расчет_аналитики'!J2432:J2443)</f>
        <v/>
      </c>
      <c r="K2392">
        <f>SUM('19_Расчет_аналитики'!K2432:K2443)</f>
        <v/>
      </c>
      <c r="L2392">
        <f>SUM('19_Расчет_аналитики'!L2432:L2443)</f>
        <v/>
      </c>
      <c r="M2392">
        <f>SUM('19_Расчет_аналитики'!M2432:M2443)</f>
        <v/>
      </c>
      <c r="N2392">
        <f>SUM('19_Расчет_аналитики'!N2432:N2443)</f>
        <v/>
      </c>
      <c r="O2392">
        <f>SUM('19_Расчет_аналитики'!O2432:O2443)</f>
        <v/>
      </c>
      <c r="P2392">
        <f>SUM('19_Расчет_аналитики'!P2432:P2443)</f>
        <v/>
      </c>
      <c r="Q2392">
        <f>SUM('19_Расчет_аналитики'!Q2432:Q2443)</f>
        <v/>
      </c>
      <c r="R2392">
        <f>SUM('19_Расчет_аналитики'!R2432:R2443)</f>
        <v/>
      </c>
      <c r="S2392">
        <f>SUM('19_Расчет_аналитики'!S2432:S2443)</f>
        <v/>
      </c>
      <c r="T2392">
        <f>SUM('19_Расчет_аналитики'!T2432:T2443)</f>
        <v/>
      </c>
      <c r="U2392">
        <f>SUM('19_Расчет_аналитики'!U2432:U2443)</f>
        <v/>
      </c>
      <c r="V2392">
        <f>SUM('19_Расчет_аналитики'!V2432:V2443)</f>
        <v/>
      </c>
      <c r="W2392">
        <f>SUM('19_Расчет_аналитики'!W2432:W2443)</f>
        <v/>
      </c>
      <c r="X2392">
        <f>SUM('19_Расчет_аналитики'!X2432:X2443)</f>
        <v/>
      </c>
      <c r="Y2392">
        <f>SUM('19_Расчет_аналитики'!Y2432:Y2443)</f>
        <v/>
      </c>
      <c r="Z2392">
        <f>SUM('19_Расчет_аналитики'!Z2432:Z2443)</f>
        <v/>
      </c>
      <c r="AA2392">
        <f>SUM('19_Расчет_аналитики'!AA2432:AA2443)</f>
        <v/>
      </c>
      <c r="AB2392">
        <f>SUM('19_Расчет_аналитики'!AB2432:AB2443)</f>
        <v/>
      </c>
      <c r="AC2392">
        <f>SUM('19_Расчет_аналитики'!AC2432:AC2443)</f>
        <v/>
      </c>
      <c r="AD2392">
        <f>SUM('19_Расчет_аналитики'!AD2432:AD2443)</f>
        <v/>
      </c>
      <c r="AE2392">
        <f>SUM('19_Расчет_аналитики'!AE2432:AE2443)</f>
        <v/>
      </c>
      <c r="AF2392">
        <f>SUM('19_Расчет_аналитики'!AF2432:AF2443)</f>
        <v/>
      </c>
      <c r="AG2392">
        <f>SUM('19_Расчет_аналитики'!AG2432:AG2443)</f>
        <v/>
      </c>
      <c r="AH2392">
        <f>SUM('19_Расчет_аналитики'!AH2432:AH2443)</f>
        <v/>
      </c>
      <c r="AI2392">
        <f>SUM('19_Расчет_аналитики'!AI2432:AI2443)</f>
        <v/>
      </c>
      <c r="AJ2392">
        <f>SUM('19_Расчет_аналитики'!AJ2432:AJ2443)</f>
        <v/>
      </c>
      <c r="AK2392">
        <f>SUM('19_Расчет_аналитики'!AK2432:AK2443)</f>
        <v/>
      </c>
      <c r="AL2392">
        <f>SUM('19_Расчет_аналитики'!AL2432:AL2443)</f>
        <v/>
      </c>
      <c r="AM2392">
        <f>SUM('19_Расчет_аналитики'!AM2432:AM2443)</f>
        <v/>
      </c>
      <c r="AN2392">
        <f>SUM('19_Расчет_аналитики'!AN2432:AN2443)</f>
        <v/>
      </c>
      <c r="AO2392">
        <f>SUM('19_Расчет_аналитики'!AO2432:AO2443)</f>
        <v/>
      </c>
      <c r="AP2392">
        <f>SUM('19_Расчет_аналитики'!AP2432:AP2443)</f>
        <v/>
      </c>
      <c r="AQ2392">
        <f>SUM('19_Расчет_аналитики'!AQ2432:AQ2443)</f>
        <v/>
      </c>
      <c r="AR2392">
        <f>SUM('19_Расчет_аналитики'!AR2432:AR2443)</f>
        <v/>
      </c>
      <c r="AS2392">
        <f>SUM('19_Расчет_аналитики'!AS2432:AS2443)</f>
        <v/>
      </c>
      <c r="AT2392">
        <f>SUM('19_Расчет_аналитики'!AT2432:AT2443)</f>
        <v/>
      </c>
      <c r="AU2392">
        <f>SUM('19_Расчет_аналитики'!AU2432:AU2443)</f>
        <v/>
      </c>
      <c r="AV2392">
        <f>SUM('19_Расчет_аналитики'!AV2432:AV2443)</f>
        <v/>
      </c>
      <c r="AW2392">
        <f>SUM('19_Расчет_аналитики'!AW2432:AW2443)</f>
        <v/>
      </c>
      <c r="AX2392">
        <f>SUM('19_Расчет_аналитики'!AX2432:AX2443)</f>
        <v/>
      </c>
      <c r="AY2392">
        <f>SUM('19_Расчет_аналитики'!AY2432:AY2443)</f>
        <v/>
      </c>
      <c r="AZ2392">
        <f>SUM('19_Расчет_аналитики'!AZ2432:AZ2443)</f>
        <v/>
      </c>
      <c r="BA2392">
        <f>SUM('19_Расчет_аналитики'!BA2432:BA2443)</f>
        <v/>
      </c>
      <c r="BB2392">
        <f>SUM('19_Расчет_аналитики'!BB2432:BB2443)</f>
        <v/>
      </c>
      <c r="BC2392">
        <f>SUM('19_Расчет_аналитики'!BC2432:BC2443)</f>
        <v/>
      </c>
      <c r="BD2392">
        <f>SUM('19_Расчет_аналитики'!BD2432:BD2443)</f>
        <v/>
      </c>
      <c r="BE2392">
        <f>SUM('19_Расчет_аналитики'!BE2432:BE2443)</f>
        <v/>
      </c>
      <c r="BF2392">
        <f>SUM('19_Расчет_аналитики'!BF2432:BF2443)</f>
        <v/>
      </c>
      <c r="BG2392">
        <f>SUM('19_Расчет_аналитики'!BG2432:BG2443)</f>
        <v/>
      </c>
      <c r="BH2392">
        <f>SUM('19_Расчет_аналитики'!BH2432:BH2443)</f>
        <v/>
      </c>
      <c r="BI2392">
        <f>SUM('19_Расчет_аналитики'!BI2432:BI2443)</f>
        <v/>
      </c>
      <c r="BJ2392">
        <f>SUM('19_Расчет_аналитики'!BJ2432:BJ2443)</f>
        <v/>
      </c>
      <c r="BK2392">
        <f>SUM('19_Расчет_аналитики'!BK2432:BK2443)</f>
        <v/>
      </c>
      <c r="BL2392">
        <f>SUM('19_Расчет_аналитики'!BL2432:BL2443)</f>
        <v/>
      </c>
      <c r="BM2392">
        <f>SUM('19_Расчет_аналитики'!BM2432:BM2443)</f>
        <v/>
      </c>
      <c r="BN2392">
        <f>SUM('19_Расчет_аналитики'!BN2432:BN2443)</f>
        <v/>
      </c>
      <c r="BO2392">
        <f>SUM('19_Расчет_аналитики'!BO2432:BO2443)</f>
        <v/>
      </c>
    </row>
    <row r="2393">
      <c r="B2393">
        <f>'06_Сеть_и_дети'!B14</f>
        <v/>
      </c>
      <c r="C2393">
        <f>'06_Сеть_и_дети'!C14</f>
        <v/>
      </c>
      <c r="D2393">
        <f>'06_Сеть_и_дети'!D14</f>
        <v/>
      </c>
      <c r="E2393">
        <f>'06_Сеть_и_дети'!E14</f>
        <v/>
      </c>
      <c r="F2393">
        <f>'06_Сеть_и_дети'!F14</f>
        <v/>
      </c>
      <c r="G2393">
        <f>'06_Сеть_и_дети'!G14</f>
        <v/>
      </c>
      <c r="H2393">
        <f>'06_Сеть_и_дети'!H14</f>
        <v/>
      </c>
      <c r="I2393">
        <f>'06_Сеть_и_дети'!I14</f>
        <v/>
      </c>
      <c r="J2393">
        <f>'06_Сеть_и_дети'!J14</f>
        <v/>
      </c>
      <c r="K2393">
        <f>'06_Сеть_и_дети'!K14</f>
        <v/>
      </c>
      <c r="L2393">
        <f>'06_Сеть_и_дети'!L14</f>
        <v/>
      </c>
      <c r="M2393">
        <f>'06_Сеть_и_дети'!M14</f>
        <v/>
      </c>
      <c r="N2393">
        <f>SUM('19_Расчет_аналитики'!N2444:N2455)</f>
        <v/>
      </c>
      <c r="O2393">
        <f>SUM('19_Расчет_аналитики'!O2444:O2455)</f>
        <v/>
      </c>
      <c r="P2393">
        <f>SUM('19_Расчет_аналитики'!P2444:P2455)</f>
        <v/>
      </c>
      <c r="Q2393">
        <f>SUM('19_Расчет_аналитики'!Q2444:Q2455)</f>
        <v/>
      </c>
      <c r="R2393">
        <f>SUM('19_Расчет_аналитики'!R2444:R2455)</f>
        <v/>
      </c>
      <c r="S2393">
        <f>SUM('19_Расчет_аналитики'!S2444:S2455)</f>
        <v/>
      </c>
      <c r="T2393">
        <f>SUM('19_Расчет_аналитики'!T2444:T2455)</f>
        <v/>
      </c>
      <c r="U2393">
        <f>SUM('19_Расчет_аналитики'!U2444:U2455)</f>
        <v/>
      </c>
      <c r="V2393">
        <f>SUM('19_Расчет_аналитики'!V2444:V2455)</f>
        <v/>
      </c>
      <c r="W2393">
        <f>SUM('19_Расчет_аналитики'!W2444:W2455)</f>
        <v/>
      </c>
      <c r="X2393">
        <f>SUM('19_Расчет_аналитики'!X2444:X2455)</f>
        <v/>
      </c>
      <c r="Y2393">
        <f>SUM('19_Расчет_аналитики'!Y2444:Y2455)</f>
        <v/>
      </c>
      <c r="Z2393">
        <f>SUM('19_Расчет_аналитики'!Z2444:Z2455)</f>
        <v/>
      </c>
      <c r="AA2393">
        <f>SUM('19_Расчет_аналитики'!AA2444:AA2455)</f>
        <v/>
      </c>
      <c r="AB2393">
        <f>SUM('19_Расчет_аналитики'!AB2444:AB2455)</f>
        <v/>
      </c>
      <c r="AC2393">
        <f>SUM('19_Расчет_аналитики'!AC2444:AC2455)</f>
        <v/>
      </c>
      <c r="AD2393">
        <f>SUM('19_Расчет_аналитики'!AD2444:AD2455)</f>
        <v/>
      </c>
      <c r="AE2393">
        <f>SUM('19_Расчет_аналитики'!AE2444:AE2455)</f>
        <v/>
      </c>
      <c r="AF2393">
        <f>SUM('19_Расчет_аналитики'!AF2444:AF2455)</f>
        <v/>
      </c>
      <c r="AG2393">
        <f>SUM('19_Расчет_аналитики'!AG2444:AG2455)</f>
        <v/>
      </c>
      <c r="AH2393">
        <f>SUM('19_Расчет_аналитики'!AH2444:AH2455)</f>
        <v/>
      </c>
      <c r="AI2393">
        <f>SUM('19_Расчет_аналитики'!AI2444:AI2455)</f>
        <v/>
      </c>
      <c r="AJ2393">
        <f>SUM('19_Расчет_аналитики'!AJ2444:AJ2455)</f>
        <v/>
      </c>
      <c r="AK2393">
        <f>SUM('19_Расчет_аналитики'!AK2444:AK2455)</f>
        <v/>
      </c>
      <c r="AL2393">
        <f>SUM('19_Расчет_аналитики'!AL2444:AL2455)</f>
        <v/>
      </c>
      <c r="AM2393">
        <f>SUM('19_Расчет_аналитики'!AM2444:AM2455)</f>
        <v/>
      </c>
      <c r="AN2393">
        <f>SUM('19_Расчет_аналитики'!AN2444:AN2455)</f>
        <v/>
      </c>
      <c r="AO2393">
        <f>SUM('19_Расчет_аналитики'!AO2444:AO2455)</f>
        <v/>
      </c>
      <c r="AP2393">
        <f>SUM('19_Расчет_аналитики'!AP2444:AP2455)</f>
        <v/>
      </c>
      <c r="AQ2393">
        <f>SUM('19_Расчет_аналитики'!AQ2444:AQ2455)</f>
        <v/>
      </c>
      <c r="AR2393">
        <f>SUM('19_Расчет_аналитики'!AR2444:AR2455)</f>
        <v/>
      </c>
      <c r="AS2393">
        <f>SUM('19_Расчет_аналитики'!AS2444:AS2455)</f>
        <v/>
      </c>
      <c r="AT2393">
        <f>SUM('19_Расчет_аналитики'!AT2444:AT2455)</f>
        <v/>
      </c>
      <c r="AU2393">
        <f>SUM('19_Расчет_аналитики'!AU2444:AU2455)</f>
        <v/>
      </c>
      <c r="AV2393">
        <f>SUM('19_Расчет_аналитики'!AV2444:AV2455)</f>
        <v/>
      </c>
      <c r="AW2393">
        <f>SUM('19_Расчет_аналитики'!AW2444:AW2455)</f>
        <v/>
      </c>
      <c r="AX2393">
        <f>SUM('19_Расчет_аналитики'!AX2444:AX2455)</f>
        <v/>
      </c>
      <c r="AY2393">
        <f>SUM('19_Расчет_аналитики'!AY2444:AY2455)</f>
        <v/>
      </c>
      <c r="AZ2393">
        <f>SUM('19_Расчет_аналитики'!AZ2444:AZ2455)</f>
        <v/>
      </c>
      <c r="BA2393">
        <f>SUM('19_Расчет_аналитики'!BA2444:BA2455)</f>
        <v/>
      </c>
      <c r="BB2393">
        <f>SUM('19_Расчет_аналитики'!BB2444:BB2455)</f>
        <v/>
      </c>
      <c r="BC2393">
        <f>SUM('19_Расчет_аналитики'!BC2444:BC2455)</f>
        <v/>
      </c>
      <c r="BD2393">
        <f>SUM('19_Расчет_аналитики'!BD2444:BD2455)</f>
        <v/>
      </c>
      <c r="BE2393">
        <f>SUM('19_Расчет_аналитики'!BE2444:BE2455)</f>
        <v/>
      </c>
      <c r="BF2393">
        <f>SUM('19_Расчет_аналитики'!BF2444:BF2455)</f>
        <v/>
      </c>
      <c r="BG2393">
        <f>SUM('19_Расчет_аналитики'!BG2444:BG2455)</f>
        <v/>
      </c>
      <c r="BH2393">
        <f>SUM('19_Расчет_аналитики'!BH2444:BH2455)</f>
        <v/>
      </c>
      <c r="BI2393">
        <f>SUM('19_Расчет_аналитики'!BI2444:BI2455)</f>
        <v/>
      </c>
      <c r="BJ2393">
        <f>SUM('19_Расчет_аналитики'!BJ2444:BJ2455)</f>
        <v/>
      </c>
      <c r="BK2393">
        <f>SUM('19_Расчет_аналитики'!BK2444:BK2455)</f>
        <v/>
      </c>
      <c r="BL2393">
        <f>SUM('19_Расчет_аналитики'!BL2444:BL2455)</f>
        <v/>
      </c>
      <c r="BM2393">
        <f>SUM('19_Расчет_аналитики'!BM2444:BM2455)</f>
        <v/>
      </c>
      <c r="BN2393">
        <f>SUM('19_Расчет_аналитики'!BN2444:BN2455)</f>
        <v/>
      </c>
      <c r="BO2393">
        <f>SUM('19_Расчет_аналитики'!BO2444:BO2455)</f>
        <v/>
      </c>
    </row>
    <row r="2394">
      <c r="B2394">
        <f>'06_Сеть_и_дети'!B15</f>
        <v/>
      </c>
      <c r="C2394">
        <f>'06_Сеть_и_дети'!C15</f>
        <v/>
      </c>
      <c r="D2394">
        <f>'06_Сеть_и_дети'!D15</f>
        <v/>
      </c>
      <c r="E2394">
        <f>'06_Сеть_и_дети'!E15</f>
        <v/>
      </c>
      <c r="F2394">
        <f>'06_Сеть_и_дети'!F15</f>
        <v/>
      </c>
      <c r="G2394">
        <f>'06_Сеть_и_дети'!G15</f>
        <v/>
      </c>
      <c r="H2394">
        <f>'06_Сеть_и_дети'!H15</f>
        <v/>
      </c>
      <c r="I2394">
        <f>'06_Сеть_и_дети'!I15</f>
        <v/>
      </c>
      <c r="J2394">
        <f>'06_Сеть_и_дети'!J15</f>
        <v/>
      </c>
      <c r="K2394">
        <f>'06_Сеть_и_дети'!K15</f>
        <v/>
      </c>
      <c r="L2394">
        <f>'06_Сеть_и_дети'!L15</f>
        <v/>
      </c>
      <c r="M2394">
        <f>'06_Сеть_и_дети'!M15</f>
        <v/>
      </c>
      <c r="N2394">
        <f>'06_Сеть_и_дети'!N15</f>
        <v/>
      </c>
      <c r="O2394">
        <f>'06_Сеть_и_дети'!O15</f>
        <v/>
      </c>
      <c r="P2394">
        <f>'06_Сеть_и_дети'!P15</f>
        <v/>
      </c>
      <c r="Q2394">
        <f>'06_Сеть_и_дети'!Q15</f>
        <v/>
      </c>
      <c r="R2394">
        <f>'06_Сеть_и_дети'!R15</f>
        <v/>
      </c>
      <c r="S2394">
        <f>'06_Сеть_и_дети'!S15</f>
        <v/>
      </c>
      <c r="T2394">
        <f>'06_Сеть_и_дети'!T15</f>
        <v/>
      </c>
      <c r="U2394">
        <f>'06_Сеть_и_дети'!U15</f>
        <v/>
      </c>
      <c r="V2394">
        <f>'06_Сеть_и_дети'!V15</f>
        <v/>
      </c>
      <c r="W2394">
        <f>'06_Сеть_и_дети'!W15</f>
        <v/>
      </c>
      <c r="X2394">
        <f>'06_Сеть_и_дети'!X15</f>
        <v/>
      </c>
      <c r="Y2394">
        <f>'06_Сеть_и_дети'!Y15</f>
        <v/>
      </c>
      <c r="Z2394">
        <f>'19_Расчет_аналитики'!Z2456</f>
        <v/>
      </c>
      <c r="AA2394">
        <f>'19_Расчет_аналитики'!AA2456</f>
        <v/>
      </c>
      <c r="AB2394">
        <f>'19_Расчет_аналитики'!AB2456</f>
        <v/>
      </c>
      <c r="AC2394">
        <f>'19_Расчет_аналитики'!AC2456</f>
        <v/>
      </c>
      <c r="AD2394">
        <f>'19_Расчет_аналитики'!AD2456</f>
        <v/>
      </c>
      <c r="AE2394">
        <f>'19_Расчет_аналитики'!AE2456</f>
        <v/>
      </c>
      <c r="AF2394">
        <f>'19_Расчет_аналитики'!AF2456</f>
        <v/>
      </c>
      <c r="AG2394">
        <f>'19_Расчет_аналитики'!AG2456</f>
        <v/>
      </c>
      <c r="AH2394">
        <f>'19_Расчет_аналитики'!AH2456</f>
        <v/>
      </c>
      <c r="AI2394">
        <f>'19_Расчет_аналитики'!AI2456</f>
        <v/>
      </c>
      <c r="AJ2394">
        <f>'19_Расчет_аналитики'!AJ2456</f>
        <v/>
      </c>
      <c r="AK2394">
        <f>'19_Расчет_аналитики'!AK2456</f>
        <v/>
      </c>
      <c r="AL2394">
        <f>'19_Расчет_аналитики'!AL2456</f>
        <v/>
      </c>
      <c r="AM2394">
        <f>'19_Расчет_аналитики'!AM2456</f>
        <v/>
      </c>
      <c r="AN2394">
        <f>'19_Расчет_аналитики'!AN2456</f>
        <v/>
      </c>
      <c r="AO2394">
        <f>'19_Расчет_аналитики'!AO2456</f>
        <v/>
      </c>
      <c r="AP2394">
        <f>'19_Расчет_аналитики'!AP2456</f>
        <v/>
      </c>
      <c r="AQ2394">
        <f>'19_Расчет_аналитики'!AQ2456</f>
        <v/>
      </c>
      <c r="AR2394">
        <f>'19_Расчет_аналитики'!AR2456</f>
        <v/>
      </c>
      <c r="AS2394">
        <f>'19_Расчет_аналитики'!AS2456</f>
        <v/>
      </c>
      <c r="AT2394">
        <f>'19_Расчет_аналитики'!AT2456</f>
        <v/>
      </c>
      <c r="AU2394">
        <f>'19_Расчет_аналитики'!AU2456</f>
        <v/>
      </c>
      <c r="AV2394">
        <f>'19_Расчет_аналитики'!AV2456</f>
        <v/>
      </c>
      <c r="AW2394">
        <f>'19_Расчет_аналитики'!AW2456</f>
        <v/>
      </c>
      <c r="AX2394">
        <f>'19_Расчет_аналитики'!AX2456</f>
        <v/>
      </c>
      <c r="AY2394">
        <f>'19_Расчет_аналитики'!AY2456</f>
        <v/>
      </c>
      <c r="AZ2394">
        <f>'19_Расчет_аналитики'!AZ2456</f>
        <v/>
      </c>
      <c r="BA2394">
        <f>'19_Расчет_аналитики'!BA2456</f>
        <v/>
      </c>
      <c r="BB2394">
        <f>'19_Расчет_аналитики'!BB2456</f>
        <v/>
      </c>
      <c r="BC2394">
        <f>'19_Расчет_аналитики'!BC2456</f>
        <v/>
      </c>
      <c r="BD2394">
        <f>'19_Расчет_аналитики'!BD2456</f>
        <v/>
      </c>
      <c r="BE2394">
        <f>'19_Расчет_аналитики'!BE2456</f>
        <v/>
      </c>
      <c r="BF2394">
        <f>'19_Расчет_аналитики'!BF2456</f>
        <v/>
      </c>
      <c r="BG2394">
        <f>'19_Расчет_аналитики'!BG2456</f>
        <v/>
      </c>
      <c r="BH2394">
        <f>'19_Расчет_аналитики'!BH2456</f>
        <v/>
      </c>
      <c r="BI2394">
        <f>'19_Расчет_аналитики'!BI2456</f>
        <v/>
      </c>
      <c r="BJ2394">
        <f>'19_Расчет_аналитики'!BJ2456</f>
        <v/>
      </c>
      <c r="BK2394">
        <f>'19_Расчет_аналитики'!BK2456</f>
        <v/>
      </c>
      <c r="BL2394">
        <f>'19_Расчет_аналитики'!BL2456</f>
        <v/>
      </c>
      <c r="BM2394">
        <f>'19_Расчет_аналитики'!BM2456</f>
        <v/>
      </c>
      <c r="BN2394">
        <f>'19_Расчет_аналитики'!BN2456</f>
        <v/>
      </c>
      <c r="BO2394">
        <f>'19_Расчет_аналитики'!BO2456</f>
        <v/>
      </c>
    </row>
    <row r="2395">
      <c r="B2395">
        <f>SUM('19_Расчет_аналитики'!B2392:B2394)</f>
        <v/>
      </c>
      <c r="C2395">
        <f>SUM('19_Расчет_аналитики'!C2392:C2394)</f>
        <v/>
      </c>
      <c r="D2395">
        <f>SUM('19_Расчет_аналитики'!D2392:D2394)</f>
        <v/>
      </c>
      <c r="E2395">
        <f>SUM('19_Расчет_аналитики'!E2392:E2394)</f>
        <v/>
      </c>
      <c r="F2395">
        <f>SUM('19_Расчет_аналитики'!F2392:F2394)</f>
        <v/>
      </c>
      <c r="G2395">
        <f>SUM('19_Расчет_аналитики'!G2392:G2394)</f>
        <v/>
      </c>
      <c r="H2395">
        <f>SUM('19_Расчет_аналитики'!H2392:H2394)</f>
        <v/>
      </c>
      <c r="I2395">
        <f>SUM('19_Расчет_аналитики'!I2392:I2394)</f>
        <v/>
      </c>
      <c r="J2395">
        <f>SUM('19_Расчет_аналитики'!J2392:J2394)</f>
        <v/>
      </c>
      <c r="K2395">
        <f>SUM('19_Расчет_аналитики'!K2392:K2394)</f>
        <v/>
      </c>
      <c r="L2395">
        <f>SUM('19_Расчет_аналитики'!L2392:L2394)</f>
        <v/>
      </c>
      <c r="M2395">
        <f>SUM('19_Расчет_аналитики'!M2392:M2394)</f>
        <v/>
      </c>
      <c r="N2395">
        <f>SUM('19_Расчет_аналитики'!N2392:N2394)</f>
        <v/>
      </c>
      <c r="O2395">
        <f>SUM('19_Расчет_аналитики'!O2392:O2394)</f>
        <v/>
      </c>
      <c r="P2395">
        <f>SUM('19_Расчет_аналитики'!P2392:P2394)</f>
        <v/>
      </c>
      <c r="Q2395">
        <f>SUM('19_Расчет_аналитики'!Q2392:Q2394)</f>
        <v/>
      </c>
      <c r="R2395">
        <f>SUM('19_Расчет_аналитики'!R2392:R2394)</f>
        <v/>
      </c>
      <c r="S2395">
        <f>SUM('19_Расчет_аналитики'!S2392:S2394)</f>
        <v/>
      </c>
      <c r="T2395">
        <f>SUM('19_Расчет_аналитики'!T2392:T2394)</f>
        <v/>
      </c>
      <c r="U2395">
        <f>SUM('19_Расчет_аналитики'!U2392:U2394)</f>
        <v/>
      </c>
      <c r="V2395">
        <f>SUM('19_Расчет_аналитики'!V2392:V2394)</f>
        <v/>
      </c>
      <c r="W2395">
        <f>SUM('19_Расчет_аналитики'!W2392:W2394)</f>
        <v/>
      </c>
      <c r="X2395">
        <f>SUM('19_Расчет_аналитики'!X2392:X2394)</f>
        <v/>
      </c>
      <c r="Y2395">
        <f>SUM('19_Расчет_аналитики'!Y2392:Y2394)</f>
        <v/>
      </c>
      <c r="Z2395">
        <f>SUM('19_Расчет_аналитики'!Z2392:Z2394)</f>
        <v/>
      </c>
      <c r="AA2395">
        <f>SUM('19_Расчет_аналитики'!AA2392:AA2394)</f>
        <v/>
      </c>
      <c r="AB2395">
        <f>SUM('19_Расчет_аналитики'!AB2392:AB2394)</f>
        <v/>
      </c>
      <c r="AC2395">
        <f>SUM('19_Расчет_аналитики'!AC2392:AC2394)</f>
        <v/>
      </c>
      <c r="AD2395">
        <f>SUM('19_Расчет_аналитики'!AD2392:AD2394)</f>
        <v/>
      </c>
      <c r="AE2395">
        <f>SUM('19_Расчет_аналитики'!AE2392:AE2394)</f>
        <v/>
      </c>
      <c r="AF2395">
        <f>SUM('19_Расчет_аналитики'!AF2392:AF2394)</f>
        <v/>
      </c>
      <c r="AG2395">
        <f>SUM('19_Расчет_аналитики'!AG2392:AG2394)</f>
        <v/>
      </c>
      <c r="AH2395">
        <f>SUM('19_Расчет_аналитики'!AH2392:AH2394)</f>
        <v/>
      </c>
      <c r="AI2395">
        <f>SUM('19_Расчет_аналитики'!AI2392:AI2394)</f>
        <v/>
      </c>
      <c r="AJ2395">
        <f>SUM('19_Расчет_аналитики'!AJ2392:AJ2394)</f>
        <v/>
      </c>
      <c r="AK2395">
        <f>SUM('19_Расчет_аналитики'!AK2392:AK2394)</f>
        <v/>
      </c>
      <c r="AL2395">
        <f>SUM('19_Расчет_аналитики'!AL2392:AL2394)</f>
        <v/>
      </c>
      <c r="AM2395">
        <f>SUM('19_Расчет_аналитики'!AM2392:AM2394)</f>
        <v/>
      </c>
      <c r="AN2395">
        <f>SUM('19_Расчет_аналитики'!AN2392:AN2394)</f>
        <v/>
      </c>
      <c r="AO2395">
        <f>SUM('19_Расчет_аналитики'!AO2392:AO2394)</f>
        <v/>
      </c>
      <c r="AP2395">
        <f>SUM('19_Расчет_аналитики'!AP2392:AP2394)</f>
        <v/>
      </c>
      <c r="AQ2395">
        <f>SUM('19_Расчет_аналитики'!AQ2392:AQ2394)</f>
        <v/>
      </c>
      <c r="AR2395">
        <f>SUM('19_Расчет_аналитики'!AR2392:AR2394)</f>
        <v/>
      </c>
      <c r="AS2395">
        <f>SUM('19_Расчет_аналитики'!AS2392:AS2394)</f>
        <v/>
      </c>
      <c r="AT2395">
        <f>SUM('19_Расчет_аналитики'!AT2392:AT2394)</f>
        <v/>
      </c>
      <c r="AU2395">
        <f>SUM('19_Расчет_аналитики'!AU2392:AU2394)</f>
        <v/>
      </c>
      <c r="AV2395">
        <f>SUM('19_Расчет_аналитики'!AV2392:AV2394)</f>
        <v/>
      </c>
      <c r="AW2395">
        <f>SUM('19_Расчет_аналитики'!AW2392:AW2394)</f>
        <v/>
      </c>
      <c r="AX2395">
        <f>SUM('19_Расчет_аналитики'!AX2392:AX2394)</f>
        <v/>
      </c>
      <c r="AY2395">
        <f>SUM('19_Расчет_аналитики'!AY2392:AY2394)</f>
        <v/>
      </c>
      <c r="AZ2395">
        <f>SUM('19_Расчет_аналитики'!AZ2392:AZ2394)</f>
        <v/>
      </c>
      <c r="BA2395">
        <f>SUM('19_Расчет_аналитики'!BA2392:BA2394)</f>
        <v/>
      </c>
      <c r="BB2395">
        <f>SUM('19_Расчет_аналитики'!BB2392:BB2394)</f>
        <v/>
      </c>
      <c r="BC2395">
        <f>SUM('19_Расчет_аналитики'!BC2392:BC2394)</f>
        <v/>
      </c>
      <c r="BD2395">
        <f>SUM('19_Расчет_аналитики'!BD2392:BD2394)</f>
        <v/>
      </c>
      <c r="BE2395">
        <f>SUM('19_Расчет_аналитики'!BE2392:BE2394)</f>
        <v/>
      </c>
      <c r="BF2395">
        <f>SUM('19_Расчет_аналитики'!BF2392:BF2394)</f>
        <v/>
      </c>
      <c r="BG2395">
        <f>SUM('19_Расчет_аналитики'!BG2392:BG2394)</f>
        <v/>
      </c>
      <c r="BH2395">
        <f>SUM('19_Расчет_аналитики'!BH2392:BH2394)</f>
        <v/>
      </c>
      <c r="BI2395">
        <f>SUM('19_Расчет_аналитики'!BI2392:BI2394)</f>
        <v/>
      </c>
      <c r="BJ2395">
        <f>SUM('19_Расчет_аналитики'!BJ2392:BJ2394)</f>
        <v/>
      </c>
      <c r="BK2395">
        <f>SUM('19_Расчет_аналитики'!BK2392:BK2394)</f>
        <v/>
      </c>
      <c r="BL2395">
        <f>SUM('19_Расчет_аналитики'!BL2392:BL2394)</f>
        <v/>
      </c>
      <c r="BM2395">
        <f>SUM('19_Расчет_аналитики'!BM2392:BM2394)</f>
        <v/>
      </c>
      <c r="BN2395">
        <f>SUM('19_Расчет_аналитики'!BN2392:BN2394)</f>
        <v/>
      </c>
      <c r="BO2395">
        <f>SUM('19_Расчет_аналитики'!BO2392:BO2394)</f>
        <v/>
      </c>
    </row>
    <row r="2396">
      <c r="B2396">
        <f>'06_Сеть_и_дети'!B11+'19_Расчет_аналитики'!B2395</f>
        <v/>
      </c>
      <c r="C2396">
        <f>'06_Сеть_и_дети'!C11+'19_Расчет_аналитики'!C2395</f>
        <v/>
      </c>
      <c r="D2396">
        <f>'06_Сеть_и_дети'!D11+'19_Расчет_аналитики'!D2395</f>
        <v/>
      </c>
      <c r="E2396">
        <f>'06_Сеть_и_дети'!E11+'19_Расчет_аналитики'!E2395</f>
        <v/>
      </c>
      <c r="F2396">
        <f>'06_Сеть_и_дети'!F11+'19_Расчет_аналитики'!F2395</f>
        <v/>
      </c>
      <c r="G2396">
        <f>'06_Сеть_и_дети'!G11+'19_Расчет_аналитики'!G2395</f>
        <v/>
      </c>
      <c r="H2396">
        <f>'06_Сеть_и_дети'!H11+'19_Расчет_аналитики'!H2395</f>
        <v/>
      </c>
      <c r="I2396">
        <f>'06_Сеть_и_дети'!I11+'19_Расчет_аналитики'!I2395</f>
        <v/>
      </c>
      <c r="J2396">
        <f>'06_Сеть_и_дети'!J11+'19_Расчет_аналитики'!J2395</f>
        <v/>
      </c>
      <c r="K2396">
        <f>'06_Сеть_и_дети'!K11+'19_Расчет_аналитики'!K2395</f>
        <v/>
      </c>
      <c r="L2396">
        <f>'06_Сеть_и_дети'!L11+'19_Расчет_аналитики'!L2395</f>
        <v/>
      </c>
      <c r="M2396">
        <f>'06_Сеть_и_дети'!M11+'19_Расчет_аналитики'!M2395</f>
        <v/>
      </c>
      <c r="N2396">
        <f>'06_Сеть_и_дети'!N11+'19_Расчет_аналитики'!N2395</f>
        <v/>
      </c>
      <c r="O2396">
        <f>'06_Сеть_и_дети'!O11+'19_Расчет_аналитики'!O2395</f>
        <v/>
      </c>
      <c r="P2396">
        <f>'06_Сеть_и_дети'!P11+'19_Расчет_аналитики'!P2395</f>
        <v/>
      </c>
      <c r="Q2396">
        <f>'06_Сеть_и_дети'!Q11+'19_Расчет_аналитики'!Q2395</f>
        <v/>
      </c>
      <c r="R2396">
        <f>'06_Сеть_и_дети'!R11+'19_Расчет_аналитики'!R2395</f>
        <v/>
      </c>
      <c r="S2396">
        <f>'06_Сеть_и_дети'!S11+'19_Расчет_аналитики'!S2395</f>
        <v/>
      </c>
      <c r="T2396">
        <f>'06_Сеть_и_дети'!T11+'19_Расчет_аналитики'!T2395</f>
        <v/>
      </c>
      <c r="U2396">
        <f>'06_Сеть_и_дети'!U11+'19_Расчет_аналитики'!U2395</f>
        <v/>
      </c>
      <c r="V2396">
        <f>'06_Сеть_и_дети'!V11+'19_Расчет_аналитики'!V2395</f>
        <v/>
      </c>
      <c r="W2396">
        <f>'06_Сеть_и_дети'!W11+'19_Расчет_аналитики'!W2395</f>
        <v/>
      </c>
      <c r="X2396">
        <f>'06_Сеть_и_дети'!X11+'19_Расчет_аналитики'!X2395</f>
        <v/>
      </c>
      <c r="Y2396">
        <f>'06_Сеть_и_дети'!Y11+'19_Расчет_аналитики'!Y2395</f>
        <v/>
      </c>
      <c r="Z2396">
        <f>'06_Сеть_и_дети'!Z11+'19_Расчет_аналитики'!Z2395</f>
        <v/>
      </c>
      <c r="AA2396">
        <f>'06_Сеть_и_дети'!AA11+'19_Расчет_аналитики'!AA2395</f>
        <v/>
      </c>
      <c r="AB2396">
        <f>'06_Сеть_и_дети'!AB11+'19_Расчет_аналитики'!AB2395</f>
        <v/>
      </c>
      <c r="AC2396">
        <f>'06_Сеть_и_дети'!AC11+'19_Расчет_аналитики'!AC2395</f>
        <v/>
      </c>
      <c r="AD2396">
        <f>'06_Сеть_и_дети'!AD11+'19_Расчет_аналитики'!AD2395</f>
        <v/>
      </c>
      <c r="AE2396">
        <f>'06_Сеть_и_дети'!AE11+'19_Расчет_аналитики'!AE2395</f>
        <v/>
      </c>
      <c r="AF2396">
        <f>'06_Сеть_и_дети'!AF11+'19_Расчет_аналитики'!AF2395</f>
        <v/>
      </c>
      <c r="AG2396">
        <f>'06_Сеть_и_дети'!AG11+'19_Расчет_аналитики'!AG2395</f>
        <v/>
      </c>
      <c r="AH2396">
        <f>'06_Сеть_и_дети'!AH11+'19_Расчет_аналитики'!AH2395</f>
        <v/>
      </c>
      <c r="AI2396">
        <f>'06_Сеть_и_дети'!AI11+'19_Расчет_аналитики'!AI2395</f>
        <v/>
      </c>
      <c r="AJ2396">
        <f>'06_Сеть_и_дети'!AJ11+'19_Расчет_аналитики'!AJ2395</f>
        <v/>
      </c>
      <c r="AK2396">
        <f>'06_Сеть_и_дети'!AK11+'19_Расчет_аналитики'!AK2395</f>
        <v/>
      </c>
      <c r="AL2396">
        <f>'06_Сеть_и_дети'!AL11+'19_Расчет_аналитики'!AL2395</f>
        <v/>
      </c>
      <c r="AM2396">
        <f>'06_Сеть_и_дети'!AM11+'19_Расчет_аналитики'!AM2395</f>
        <v/>
      </c>
      <c r="AN2396">
        <f>'06_Сеть_и_дети'!AN11+'19_Расчет_аналитики'!AN2395</f>
        <v/>
      </c>
      <c r="AO2396">
        <f>'06_Сеть_и_дети'!AO11+'19_Расчет_аналитики'!AO2395</f>
        <v/>
      </c>
      <c r="AP2396">
        <f>'06_Сеть_и_дети'!AP11+'19_Расчет_аналитики'!AP2395</f>
        <v/>
      </c>
      <c r="AQ2396">
        <f>'06_Сеть_и_дети'!AQ11+'19_Расчет_аналитики'!AQ2395</f>
        <v/>
      </c>
      <c r="AR2396">
        <f>'06_Сеть_и_дети'!AR11+'19_Расчет_аналитики'!AR2395</f>
        <v/>
      </c>
      <c r="AS2396">
        <f>'06_Сеть_и_дети'!AS11+'19_Расчет_аналитики'!AS2395</f>
        <v/>
      </c>
      <c r="AT2396">
        <f>'06_Сеть_и_дети'!AT11+'19_Расчет_аналитики'!AT2395</f>
        <v/>
      </c>
      <c r="AU2396">
        <f>'06_Сеть_и_дети'!AU11+'19_Расчет_аналитики'!AU2395</f>
        <v/>
      </c>
      <c r="AV2396">
        <f>'06_Сеть_и_дети'!AV11+'19_Расчет_аналитики'!AV2395</f>
        <v/>
      </c>
      <c r="AW2396">
        <f>'06_Сеть_и_дети'!AW11+'19_Расчет_аналитики'!AW2395</f>
        <v/>
      </c>
      <c r="AX2396">
        <f>'06_Сеть_и_дети'!AX11+'19_Расчет_аналитики'!AX2395</f>
        <v/>
      </c>
      <c r="AY2396">
        <f>'06_Сеть_и_дети'!AY11+'19_Расчет_аналитики'!AY2395</f>
        <v/>
      </c>
      <c r="AZ2396">
        <f>'06_Сеть_и_дети'!AZ11+'19_Расчет_аналитики'!AZ2395</f>
        <v/>
      </c>
      <c r="BA2396">
        <f>'06_Сеть_и_дети'!BA11+'19_Расчет_аналитики'!BA2395</f>
        <v/>
      </c>
      <c r="BB2396">
        <f>'06_Сеть_и_дети'!BB11+'19_Расчет_аналитики'!BB2395</f>
        <v/>
      </c>
      <c r="BC2396">
        <f>'06_Сеть_и_дети'!BC11+'19_Расчет_аналитики'!BC2395</f>
        <v/>
      </c>
      <c r="BD2396">
        <f>'06_Сеть_и_дети'!BD11+'19_Расчет_аналитики'!BD2395</f>
        <v/>
      </c>
      <c r="BE2396">
        <f>'06_Сеть_и_дети'!BE11+'19_Расчет_аналитики'!BE2395</f>
        <v/>
      </c>
      <c r="BF2396">
        <f>'06_Сеть_и_дети'!BF11+'19_Расчет_аналитики'!BF2395</f>
        <v/>
      </c>
      <c r="BG2396">
        <f>'06_Сеть_и_дети'!BG11+'19_Расчет_аналитики'!BG2395</f>
        <v/>
      </c>
      <c r="BH2396">
        <f>'06_Сеть_и_дети'!BH11+'19_Расчет_аналитики'!BH2395</f>
        <v/>
      </c>
      <c r="BI2396">
        <f>'06_Сеть_и_дети'!BI11+'19_Расчет_аналитики'!BI2395</f>
        <v/>
      </c>
      <c r="BJ2396">
        <f>'06_Сеть_и_дети'!BJ11+'19_Расчет_аналитики'!BJ2395</f>
        <v/>
      </c>
      <c r="BK2396">
        <f>'06_Сеть_и_дети'!BK11+'19_Расчет_аналитики'!BK2395</f>
        <v/>
      </c>
      <c r="BL2396">
        <f>'06_Сеть_и_дети'!BL11+'19_Расчет_аналитики'!BL2395</f>
        <v/>
      </c>
      <c r="BM2396">
        <f>'06_Сеть_и_дети'!BM11+'19_Расчет_аналитики'!BM2395</f>
        <v/>
      </c>
      <c r="BN2396">
        <f>'06_Сеть_и_дети'!BN11+'19_Расчет_аналитики'!BN2395</f>
        <v/>
      </c>
      <c r="BO2396">
        <f>'06_Сеть_и_дети'!BO11+'19_Расчет_аналитики'!BO2395</f>
        <v/>
      </c>
    </row>
    <row r="2397"/>
    <row r="2398"/>
    <row r="2399"/>
    <row r="2400">
      <c r="B2400">
        <f>SUMPRODUCT('19_Расчет_аналитики'!B2432:B2443,CapacityYear1)*'19_Расчет_аналитики'!$F$2235*'06_Сеть_и_дети'!B5</f>
        <v/>
      </c>
      <c r="C2400">
        <f>SUMPRODUCT('19_Расчет_аналитики'!C2432:C2443,CapacityYear1)*'19_Расчет_аналитики'!$F$2235*'06_Сеть_и_дети'!C5</f>
        <v/>
      </c>
      <c r="D2400">
        <f>SUMPRODUCT('19_Расчет_аналитики'!D2432:D2443,CapacityYear1)*'19_Расчет_аналитики'!$F$2235*'06_Сеть_и_дети'!D5</f>
        <v/>
      </c>
      <c r="E2400">
        <f>SUMPRODUCT('19_Расчет_аналитики'!E2432:E2443,CapacityYear1)*'19_Расчет_аналитики'!$F$2235*'06_Сеть_и_дети'!E5</f>
        <v/>
      </c>
      <c r="F2400">
        <f>SUMPRODUCT('19_Расчет_аналитики'!F2432:F2443,CapacityYear1)*'19_Расчет_аналитики'!$F$2235*'06_Сеть_и_дети'!F5</f>
        <v/>
      </c>
      <c r="G2400">
        <f>SUMPRODUCT('19_Расчет_аналитики'!G2432:G2443,CapacityYear1)*'19_Расчет_аналитики'!$F$2235*'06_Сеть_и_дети'!G5</f>
        <v/>
      </c>
      <c r="H2400">
        <f>SUMPRODUCT('19_Расчет_аналитики'!H2432:H2443,CapacityYear1)*'19_Расчет_аналитики'!$F$2235*'06_Сеть_и_дети'!H5</f>
        <v/>
      </c>
      <c r="I2400">
        <f>SUMPRODUCT('19_Расчет_аналитики'!I2432:I2443,CapacityYear1)*'19_Расчет_аналитики'!$F$2235*'06_Сеть_и_дети'!I5</f>
        <v/>
      </c>
      <c r="J2400">
        <f>SUMPRODUCT('19_Расчет_аналитики'!J2432:J2443,CapacityYear1)*'19_Расчет_аналитики'!$F$2235*'06_Сеть_и_дети'!J5</f>
        <v/>
      </c>
      <c r="K2400">
        <f>SUMPRODUCT('19_Расчет_аналитики'!K2432:K2443,CapacityYear1)*'19_Расчет_аналитики'!$F$2235*'06_Сеть_и_дети'!K5</f>
        <v/>
      </c>
      <c r="L2400">
        <f>SUMPRODUCT('19_Расчет_аналитики'!L2432:L2443,CapacityYear1)*'19_Расчет_аналитики'!$F$2235*'06_Сеть_и_дети'!L5</f>
        <v/>
      </c>
      <c r="M2400">
        <f>SUMPRODUCT('19_Расчет_аналитики'!M2432:M2443,CapacityYear1)*'19_Расчет_аналитики'!$F$2235*'06_Сеть_и_дети'!M5</f>
        <v/>
      </c>
      <c r="N2400">
        <f>SUMPRODUCT('19_Расчет_аналитики'!N2432:N2443,CapacityYear1)*'19_Расчет_аналитики'!$F$2235*'06_Сеть_и_дети'!N5</f>
        <v/>
      </c>
      <c r="O2400">
        <f>SUMPRODUCT('19_Расчет_аналитики'!O2432:O2443,CapacityYear1)*'19_Расчет_аналитики'!$F$2235*'06_Сеть_и_дети'!O5</f>
        <v/>
      </c>
      <c r="P2400">
        <f>SUMPRODUCT('19_Расчет_аналитики'!P2432:P2443,CapacityYear1)*'19_Расчет_аналитики'!$F$2235*'06_Сеть_и_дети'!P5</f>
        <v/>
      </c>
      <c r="Q2400">
        <f>SUMPRODUCT('19_Расчет_аналитики'!Q2432:Q2443,CapacityYear1)*'19_Расчет_аналитики'!$F$2235*'06_Сеть_и_дети'!Q5</f>
        <v/>
      </c>
      <c r="R2400">
        <f>SUMPRODUCT('19_Расчет_аналитики'!R2432:R2443,CapacityYear1)*'19_Расчет_аналитики'!$F$2235*'06_Сеть_и_дети'!R5</f>
        <v/>
      </c>
      <c r="S2400">
        <f>SUMPRODUCT('19_Расчет_аналитики'!S2432:S2443,CapacityYear1)*'19_Расчет_аналитики'!$F$2235*'06_Сеть_и_дети'!S5</f>
        <v/>
      </c>
      <c r="T2400">
        <f>SUMPRODUCT('19_Расчет_аналитики'!T2432:T2443,CapacityYear1)*'19_Расчет_аналитики'!$F$2235*'06_Сеть_и_дети'!T5</f>
        <v/>
      </c>
      <c r="U2400">
        <f>SUMPRODUCT('19_Расчет_аналитики'!U2432:U2443,CapacityYear1)*'19_Расчет_аналитики'!$F$2235*'06_Сеть_и_дети'!U5</f>
        <v/>
      </c>
      <c r="V2400">
        <f>SUMPRODUCT('19_Расчет_аналитики'!V2432:V2443,CapacityYear1)*'19_Расчет_аналитики'!$F$2235*'06_Сеть_и_дети'!V5</f>
        <v/>
      </c>
      <c r="W2400">
        <f>SUMPRODUCT('19_Расчет_аналитики'!W2432:W2443,CapacityYear1)*'19_Расчет_аналитики'!$F$2235*'06_Сеть_и_дети'!W5</f>
        <v/>
      </c>
      <c r="X2400">
        <f>SUMPRODUCT('19_Расчет_аналитики'!X2432:X2443,CapacityYear1)*'19_Расчет_аналитики'!$F$2235*'06_Сеть_и_дети'!X5</f>
        <v/>
      </c>
      <c r="Y2400">
        <f>SUMPRODUCT('19_Расчет_аналитики'!Y2432:Y2443,CapacityYear1)*'19_Расчет_аналитики'!$F$2235*'06_Сеть_и_дети'!Y5</f>
        <v/>
      </c>
      <c r="Z2400">
        <f>SUMPRODUCT('19_Расчет_аналитики'!Z2432:Z2443,CapacityYear1)*'19_Расчет_аналитики'!$F$2235*'06_Сеть_и_дети'!Z5</f>
        <v/>
      </c>
      <c r="AA2400">
        <f>SUMPRODUCT('19_Расчет_аналитики'!AA2432:AA2443,CapacityYear1)*'19_Расчет_аналитики'!$F$2235*'06_Сеть_и_дети'!AA5</f>
        <v/>
      </c>
      <c r="AB2400">
        <f>SUMPRODUCT('19_Расчет_аналитики'!AB2432:AB2443,CapacityYear1)*'19_Расчет_аналитики'!$F$2235*'06_Сеть_и_дети'!AB5</f>
        <v/>
      </c>
      <c r="AC2400">
        <f>SUMPRODUCT('19_Расчет_аналитики'!AC2432:AC2443,CapacityYear1)*'19_Расчет_аналитики'!$F$2235*'06_Сеть_и_дети'!AC5</f>
        <v/>
      </c>
      <c r="AD2400">
        <f>SUMPRODUCT('19_Расчет_аналитики'!AD2432:AD2443,CapacityYear1)*'19_Расчет_аналитики'!$F$2235*'06_Сеть_и_дети'!AD5</f>
        <v/>
      </c>
      <c r="AE2400">
        <f>SUMPRODUCT('19_Расчет_аналитики'!AE2432:AE2443,CapacityYear1)*'19_Расчет_аналитики'!$F$2235*'06_Сеть_и_дети'!AE5</f>
        <v/>
      </c>
      <c r="AF2400">
        <f>SUMPRODUCT('19_Расчет_аналитики'!AF2432:AF2443,CapacityYear1)*'19_Расчет_аналитики'!$F$2235*'06_Сеть_и_дети'!AF5</f>
        <v/>
      </c>
      <c r="AG2400">
        <f>SUMPRODUCT('19_Расчет_аналитики'!AG2432:AG2443,CapacityYear1)*'19_Расчет_аналитики'!$F$2235*'06_Сеть_и_дети'!AG5</f>
        <v/>
      </c>
      <c r="AH2400">
        <f>SUMPRODUCT('19_Расчет_аналитики'!AH2432:AH2443,CapacityYear1)*'19_Расчет_аналитики'!$F$2235*'06_Сеть_и_дети'!AH5</f>
        <v/>
      </c>
      <c r="AI2400">
        <f>SUMPRODUCT('19_Расчет_аналитики'!AI2432:AI2443,CapacityYear1)*'19_Расчет_аналитики'!$F$2235*'06_Сеть_и_дети'!AI5</f>
        <v/>
      </c>
      <c r="AJ2400">
        <f>SUMPRODUCT('19_Расчет_аналитики'!AJ2432:AJ2443,CapacityYear1)*'19_Расчет_аналитики'!$F$2235*'06_Сеть_и_дети'!AJ5</f>
        <v/>
      </c>
      <c r="AK2400">
        <f>SUMPRODUCT('19_Расчет_аналитики'!AK2432:AK2443,CapacityYear1)*'19_Расчет_аналитики'!$F$2235*'06_Сеть_и_дети'!AK5</f>
        <v/>
      </c>
      <c r="AL2400">
        <f>SUMPRODUCT('19_Расчет_аналитики'!AL2432:AL2443,CapacityYear1)*'19_Расчет_аналитики'!$F$2235*'06_Сеть_и_дети'!AL5</f>
        <v/>
      </c>
      <c r="AM2400">
        <f>SUMPRODUCT('19_Расчет_аналитики'!AM2432:AM2443,CapacityYear1)*'19_Расчет_аналитики'!$F$2235*'06_Сеть_и_дети'!AM5</f>
        <v/>
      </c>
      <c r="AN2400">
        <f>SUMPRODUCT('19_Расчет_аналитики'!AN2432:AN2443,CapacityYear1)*'19_Расчет_аналитики'!$F$2235*'06_Сеть_и_дети'!AN5</f>
        <v/>
      </c>
      <c r="AO2400">
        <f>SUMPRODUCT('19_Расчет_аналитики'!AO2432:AO2443,CapacityYear1)*'19_Расчет_аналитики'!$F$2235*'06_Сеть_и_дети'!AO5</f>
        <v/>
      </c>
      <c r="AP2400">
        <f>SUMPRODUCT('19_Расчет_аналитики'!AP2432:AP2443,CapacityYear1)*'19_Расчет_аналитики'!$F$2235*'06_Сеть_и_дети'!AP5</f>
        <v/>
      </c>
      <c r="AQ2400">
        <f>SUMPRODUCT('19_Расчет_аналитики'!AQ2432:AQ2443,CapacityYear1)*'19_Расчет_аналитики'!$F$2235*'06_Сеть_и_дети'!AQ5</f>
        <v/>
      </c>
      <c r="AR2400">
        <f>SUMPRODUCT('19_Расчет_аналитики'!AR2432:AR2443,CapacityYear1)*'19_Расчет_аналитики'!$F$2235*'06_Сеть_и_дети'!AR5</f>
        <v/>
      </c>
      <c r="AS2400">
        <f>SUMPRODUCT('19_Расчет_аналитики'!AS2432:AS2443,CapacityYear1)*'19_Расчет_аналитики'!$F$2235*'06_Сеть_и_дети'!AS5</f>
        <v/>
      </c>
      <c r="AT2400">
        <f>SUMPRODUCT('19_Расчет_аналитики'!AT2432:AT2443,CapacityYear1)*'19_Расчет_аналитики'!$F$2235*'06_Сеть_и_дети'!AT5</f>
        <v/>
      </c>
      <c r="AU2400">
        <f>SUMPRODUCT('19_Расчет_аналитики'!AU2432:AU2443,CapacityYear1)*'19_Расчет_аналитики'!$F$2235*'06_Сеть_и_дети'!AU5</f>
        <v/>
      </c>
      <c r="AV2400">
        <f>SUMPRODUCT('19_Расчет_аналитики'!AV2432:AV2443,CapacityYear1)*'19_Расчет_аналитики'!$F$2235*'06_Сеть_и_дети'!AV5</f>
        <v/>
      </c>
      <c r="AW2400">
        <f>SUMPRODUCT('19_Расчет_аналитики'!AW2432:AW2443,CapacityYear1)*'19_Расчет_аналитики'!$F$2235*'06_Сеть_и_дети'!AW5</f>
        <v/>
      </c>
      <c r="AX2400">
        <f>SUMPRODUCT('19_Расчет_аналитики'!AX2432:AX2443,CapacityYear1)*'19_Расчет_аналитики'!$F$2235*'06_Сеть_и_дети'!AX5</f>
        <v/>
      </c>
      <c r="AY2400">
        <f>SUMPRODUCT('19_Расчет_аналитики'!AY2432:AY2443,CapacityYear1)*'19_Расчет_аналитики'!$F$2235*'06_Сеть_и_дети'!AY5</f>
        <v/>
      </c>
      <c r="AZ2400">
        <f>SUMPRODUCT('19_Расчет_аналитики'!AZ2432:AZ2443,CapacityYear1)*'19_Расчет_аналитики'!$F$2235*'06_Сеть_и_дети'!AZ5</f>
        <v/>
      </c>
      <c r="BA2400">
        <f>SUMPRODUCT('19_Расчет_аналитики'!BA2432:BA2443,CapacityYear1)*'19_Расчет_аналитики'!$F$2235*'06_Сеть_и_дети'!BA5</f>
        <v/>
      </c>
      <c r="BB2400">
        <f>SUMPRODUCT('19_Расчет_аналитики'!BB2432:BB2443,CapacityYear1)*'19_Расчет_аналитики'!$F$2235*'06_Сеть_и_дети'!BB5</f>
        <v/>
      </c>
      <c r="BC2400">
        <f>SUMPRODUCT('19_Расчет_аналитики'!BC2432:BC2443,CapacityYear1)*'19_Расчет_аналитики'!$F$2235*'06_Сеть_и_дети'!BC5</f>
        <v/>
      </c>
      <c r="BD2400">
        <f>SUMPRODUCT('19_Расчет_аналитики'!BD2432:BD2443,CapacityYear1)*'19_Расчет_аналитики'!$F$2235*'06_Сеть_и_дети'!BD5</f>
        <v/>
      </c>
      <c r="BE2400">
        <f>SUMPRODUCT('19_Расчет_аналитики'!BE2432:BE2443,CapacityYear1)*'19_Расчет_аналитики'!$F$2235*'06_Сеть_и_дети'!BE5</f>
        <v/>
      </c>
      <c r="BF2400">
        <f>SUMPRODUCT('19_Расчет_аналитики'!BF2432:BF2443,CapacityYear1)*'19_Расчет_аналитики'!$F$2235*'06_Сеть_и_дети'!BF5</f>
        <v/>
      </c>
      <c r="BG2400">
        <f>SUMPRODUCT('19_Расчет_аналитики'!BG2432:BG2443,CapacityYear1)*'19_Расчет_аналитики'!$F$2235*'06_Сеть_и_дети'!BG5</f>
        <v/>
      </c>
      <c r="BH2400">
        <f>SUMPRODUCT('19_Расчет_аналитики'!BH2432:BH2443,CapacityYear1)*'19_Расчет_аналитики'!$F$2235*'06_Сеть_и_дети'!BH5</f>
        <v/>
      </c>
      <c r="BI2400">
        <f>SUMPRODUCT('19_Расчет_аналитики'!BI2432:BI2443,CapacityYear1)*'19_Расчет_аналитики'!$F$2235*'06_Сеть_и_дети'!BI5</f>
        <v/>
      </c>
      <c r="BJ2400">
        <f>SUMPRODUCT('19_Расчет_аналитики'!BJ2432:BJ2443,CapacityYear1)*'19_Расчет_аналитики'!$F$2235*'06_Сеть_и_дети'!BJ5</f>
        <v/>
      </c>
      <c r="BK2400">
        <f>SUMPRODUCT('19_Расчет_аналитики'!BK2432:BK2443,CapacityYear1)*'19_Расчет_аналитики'!$F$2235*'06_Сеть_и_дети'!BK5</f>
        <v/>
      </c>
      <c r="BL2400">
        <f>SUMPRODUCT('19_Расчет_аналитики'!BL2432:BL2443,CapacityYear1)*'19_Расчет_аналитики'!$F$2235*'06_Сеть_и_дети'!BL5</f>
        <v/>
      </c>
      <c r="BM2400">
        <f>SUMPRODUCT('19_Расчет_аналитики'!BM2432:BM2443,CapacityYear1)*'19_Расчет_аналитики'!$F$2235*'06_Сеть_и_дети'!BM5</f>
        <v/>
      </c>
      <c r="BN2400">
        <f>SUMPRODUCT('19_Расчет_аналитики'!BN2432:BN2443,CapacityYear1)*'19_Расчет_аналитики'!$F$2235*'06_Сеть_и_дети'!BN5</f>
        <v/>
      </c>
      <c r="BO2400">
        <f>SUMPRODUCT('19_Расчет_аналитики'!BO2432:BO2443,CapacityYear1)*'19_Расчет_аналитики'!$F$2235*'06_Сеть_и_дети'!BO5</f>
        <v/>
      </c>
    </row>
    <row r="2401">
      <c r="B2401">
        <f>SUMPRODUCT('06_Сеть_и_дети'!B65:B76,CapacityYear2)*'19_Расчет_аналитики'!$F$2235*'06_Сеть_и_дети'!B5</f>
        <v/>
      </c>
      <c r="C2401">
        <f>SUMPRODUCT('06_Сеть_и_дети'!C65:C76,CapacityYear2)*'19_Расчет_аналитики'!$F$2235*'06_Сеть_и_дети'!C5</f>
        <v/>
      </c>
      <c r="D2401">
        <f>SUMPRODUCT('06_Сеть_и_дети'!D65:D76,CapacityYear2)*'19_Расчет_аналитики'!$F$2235*'06_Сеть_и_дети'!D5</f>
        <v/>
      </c>
      <c r="E2401">
        <f>SUMPRODUCT('06_Сеть_и_дети'!E65:E76,CapacityYear2)*'19_Расчет_аналитики'!$F$2235*'06_Сеть_и_дети'!E5</f>
        <v/>
      </c>
      <c r="F2401">
        <f>SUMPRODUCT('06_Сеть_и_дети'!F65:F76,CapacityYear2)*'19_Расчет_аналитики'!$F$2235*'06_Сеть_и_дети'!F5</f>
        <v/>
      </c>
      <c r="G2401">
        <f>SUMPRODUCT('06_Сеть_и_дети'!G65:G76,CapacityYear2)*'19_Расчет_аналитики'!$F$2235*'06_Сеть_и_дети'!G5</f>
        <v/>
      </c>
      <c r="H2401">
        <f>SUMPRODUCT('06_Сеть_и_дети'!H65:H76,CapacityYear2)*'19_Расчет_аналитики'!$F$2235*'06_Сеть_и_дети'!H5</f>
        <v/>
      </c>
      <c r="I2401">
        <f>SUMPRODUCT('06_Сеть_и_дети'!I65:I76,CapacityYear2)*'19_Расчет_аналитики'!$F$2235*'06_Сеть_и_дети'!I5</f>
        <v/>
      </c>
      <c r="J2401">
        <f>SUMPRODUCT('06_Сеть_и_дети'!J65:J76,CapacityYear2)*'19_Расчет_аналитики'!$F$2235*'06_Сеть_и_дети'!J5</f>
        <v/>
      </c>
      <c r="K2401">
        <f>SUMPRODUCT('06_Сеть_и_дети'!K65:K76,CapacityYear2)*'19_Расчет_аналитики'!$F$2235*'06_Сеть_и_дети'!K5</f>
        <v/>
      </c>
      <c r="L2401">
        <f>SUMPRODUCT('06_Сеть_и_дети'!L65:L76,CapacityYear2)*'19_Расчет_аналитики'!$F$2235*'06_Сеть_и_дети'!L5</f>
        <v/>
      </c>
      <c r="M2401">
        <f>SUMPRODUCT('06_Сеть_и_дети'!M65:M76,CapacityYear2)*'19_Расчет_аналитики'!$F$2235*'06_Сеть_и_дети'!M5</f>
        <v/>
      </c>
      <c r="N2401">
        <f>SUMPRODUCT('19_Расчет_аналитики'!N2444:N2455,CapacityYear2)*'19_Расчет_аналитики'!$F$2235*'06_Сеть_и_дети'!N5</f>
        <v/>
      </c>
      <c r="O2401">
        <f>SUMPRODUCT('19_Расчет_аналитики'!O2444:O2455,CapacityYear2)*'19_Расчет_аналитики'!$F$2235*'06_Сеть_и_дети'!O5</f>
        <v/>
      </c>
      <c r="P2401">
        <f>SUMPRODUCT('19_Расчет_аналитики'!P2444:P2455,CapacityYear2)*'19_Расчет_аналитики'!$F$2235*'06_Сеть_и_дети'!P5</f>
        <v/>
      </c>
      <c r="Q2401">
        <f>SUMPRODUCT('19_Расчет_аналитики'!Q2444:Q2455,CapacityYear2)*'19_Расчет_аналитики'!$F$2235*'06_Сеть_и_дети'!Q5</f>
        <v/>
      </c>
      <c r="R2401">
        <f>SUMPRODUCT('19_Расчет_аналитики'!R2444:R2455,CapacityYear2)*'19_Расчет_аналитики'!$F$2235*'06_Сеть_и_дети'!R5</f>
        <v/>
      </c>
      <c r="S2401">
        <f>SUMPRODUCT('19_Расчет_аналитики'!S2444:S2455,CapacityYear2)*'19_Расчет_аналитики'!$F$2235*'06_Сеть_и_дети'!S5</f>
        <v/>
      </c>
      <c r="T2401">
        <f>SUMPRODUCT('19_Расчет_аналитики'!T2444:T2455,CapacityYear2)*'19_Расчет_аналитики'!$F$2235*'06_Сеть_и_дети'!T5</f>
        <v/>
      </c>
      <c r="U2401">
        <f>SUMPRODUCT('19_Расчет_аналитики'!U2444:U2455,CapacityYear2)*'19_Расчет_аналитики'!$F$2235*'06_Сеть_и_дети'!U5</f>
        <v/>
      </c>
      <c r="V2401">
        <f>SUMPRODUCT('19_Расчет_аналитики'!V2444:V2455,CapacityYear2)*'19_Расчет_аналитики'!$F$2235*'06_Сеть_и_дети'!V5</f>
        <v/>
      </c>
      <c r="W2401">
        <f>SUMPRODUCT('19_Расчет_аналитики'!W2444:W2455,CapacityYear2)*'19_Расчет_аналитики'!$F$2235*'06_Сеть_и_дети'!W5</f>
        <v/>
      </c>
      <c r="X2401">
        <f>SUMPRODUCT('19_Расчет_аналитики'!X2444:X2455,CapacityYear2)*'19_Расчет_аналитики'!$F$2235*'06_Сеть_и_дети'!X5</f>
        <v/>
      </c>
      <c r="Y2401">
        <f>SUMPRODUCT('19_Расчет_аналитики'!Y2444:Y2455,CapacityYear2)*'19_Расчет_аналитики'!$F$2235*'06_Сеть_и_дети'!Y5</f>
        <v/>
      </c>
      <c r="Z2401">
        <f>SUMPRODUCT('19_Расчет_аналитики'!Z2444:Z2455,CapacityYear2)*'19_Расчет_аналитики'!$F$2235*'06_Сеть_и_дети'!Z5</f>
        <v/>
      </c>
      <c r="AA2401">
        <f>SUMPRODUCT('19_Расчет_аналитики'!AA2444:AA2455,CapacityYear2)*'19_Расчет_аналитики'!$F$2235*'06_Сеть_и_дети'!AA5</f>
        <v/>
      </c>
      <c r="AB2401">
        <f>SUMPRODUCT('19_Расчет_аналитики'!AB2444:AB2455,CapacityYear2)*'19_Расчет_аналитики'!$F$2235*'06_Сеть_и_дети'!AB5</f>
        <v/>
      </c>
      <c r="AC2401">
        <f>SUMPRODUCT('19_Расчет_аналитики'!AC2444:AC2455,CapacityYear2)*'19_Расчет_аналитики'!$F$2235*'06_Сеть_и_дети'!AC5</f>
        <v/>
      </c>
      <c r="AD2401">
        <f>SUMPRODUCT('19_Расчет_аналитики'!AD2444:AD2455,CapacityYear2)*'19_Расчет_аналитики'!$F$2235*'06_Сеть_и_дети'!AD5</f>
        <v/>
      </c>
      <c r="AE2401">
        <f>SUMPRODUCT('19_Расчет_аналитики'!AE2444:AE2455,CapacityYear2)*'19_Расчет_аналитики'!$F$2235*'06_Сеть_и_дети'!AE5</f>
        <v/>
      </c>
      <c r="AF2401">
        <f>SUMPRODUCT('19_Расчет_аналитики'!AF2444:AF2455,CapacityYear2)*'19_Расчет_аналитики'!$F$2235*'06_Сеть_и_дети'!AF5</f>
        <v/>
      </c>
      <c r="AG2401">
        <f>SUMPRODUCT('19_Расчет_аналитики'!AG2444:AG2455,CapacityYear2)*'19_Расчет_аналитики'!$F$2235*'06_Сеть_и_дети'!AG5</f>
        <v/>
      </c>
      <c r="AH2401">
        <f>SUMPRODUCT('19_Расчет_аналитики'!AH2444:AH2455,CapacityYear2)*'19_Расчет_аналитики'!$F$2235*'06_Сеть_и_дети'!AH5</f>
        <v/>
      </c>
      <c r="AI2401">
        <f>SUMPRODUCT('19_Расчет_аналитики'!AI2444:AI2455,CapacityYear2)*'19_Расчет_аналитики'!$F$2235*'06_Сеть_и_дети'!AI5</f>
        <v/>
      </c>
      <c r="AJ2401">
        <f>SUMPRODUCT('19_Расчет_аналитики'!AJ2444:AJ2455,CapacityYear2)*'19_Расчет_аналитики'!$F$2235*'06_Сеть_и_дети'!AJ5</f>
        <v/>
      </c>
      <c r="AK2401">
        <f>SUMPRODUCT('19_Расчет_аналитики'!AK2444:AK2455,CapacityYear2)*'19_Расчет_аналитики'!$F$2235*'06_Сеть_и_дети'!AK5</f>
        <v/>
      </c>
      <c r="AL2401">
        <f>SUMPRODUCT('19_Расчет_аналитики'!AL2444:AL2455,CapacityYear2)*'19_Расчет_аналитики'!$F$2235*'06_Сеть_и_дети'!AL5</f>
        <v/>
      </c>
      <c r="AM2401">
        <f>SUMPRODUCT('19_Расчет_аналитики'!AM2444:AM2455,CapacityYear2)*'19_Расчет_аналитики'!$F$2235*'06_Сеть_и_дети'!AM5</f>
        <v/>
      </c>
      <c r="AN2401">
        <f>SUMPRODUCT('19_Расчет_аналитики'!AN2444:AN2455,CapacityYear2)*'19_Расчет_аналитики'!$F$2235*'06_Сеть_и_дети'!AN5</f>
        <v/>
      </c>
      <c r="AO2401">
        <f>SUMPRODUCT('19_Расчет_аналитики'!AO2444:AO2455,CapacityYear2)*'19_Расчет_аналитики'!$F$2235*'06_Сеть_и_дети'!AO5</f>
        <v/>
      </c>
      <c r="AP2401">
        <f>SUMPRODUCT('19_Расчет_аналитики'!AP2444:AP2455,CapacityYear2)*'19_Расчет_аналитики'!$F$2235*'06_Сеть_и_дети'!AP5</f>
        <v/>
      </c>
      <c r="AQ2401">
        <f>SUMPRODUCT('19_Расчет_аналитики'!AQ2444:AQ2455,CapacityYear2)*'19_Расчет_аналитики'!$F$2235*'06_Сеть_и_дети'!AQ5</f>
        <v/>
      </c>
      <c r="AR2401">
        <f>SUMPRODUCT('19_Расчет_аналитики'!AR2444:AR2455,CapacityYear2)*'19_Расчет_аналитики'!$F$2235*'06_Сеть_и_дети'!AR5</f>
        <v/>
      </c>
      <c r="AS2401">
        <f>SUMPRODUCT('19_Расчет_аналитики'!AS2444:AS2455,CapacityYear2)*'19_Расчет_аналитики'!$F$2235*'06_Сеть_и_дети'!AS5</f>
        <v/>
      </c>
      <c r="AT2401">
        <f>SUMPRODUCT('19_Расчет_аналитики'!AT2444:AT2455,CapacityYear2)*'19_Расчет_аналитики'!$F$2235*'06_Сеть_и_дети'!AT5</f>
        <v/>
      </c>
      <c r="AU2401">
        <f>SUMPRODUCT('19_Расчет_аналитики'!AU2444:AU2455,CapacityYear2)*'19_Расчет_аналитики'!$F$2235*'06_Сеть_и_дети'!AU5</f>
        <v/>
      </c>
      <c r="AV2401">
        <f>SUMPRODUCT('19_Расчет_аналитики'!AV2444:AV2455,CapacityYear2)*'19_Расчет_аналитики'!$F$2235*'06_Сеть_и_дети'!AV5</f>
        <v/>
      </c>
      <c r="AW2401">
        <f>SUMPRODUCT('19_Расчет_аналитики'!AW2444:AW2455,CapacityYear2)*'19_Расчет_аналитики'!$F$2235*'06_Сеть_и_дети'!AW5</f>
        <v/>
      </c>
      <c r="AX2401">
        <f>SUMPRODUCT('19_Расчет_аналитики'!AX2444:AX2455,CapacityYear2)*'19_Расчет_аналитики'!$F$2235*'06_Сеть_и_дети'!AX5</f>
        <v/>
      </c>
      <c r="AY2401">
        <f>SUMPRODUCT('19_Расчет_аналитики'!AY2444:AY2455,CapacityYear2)*'19_Расчет_аналитики'!$F$2235*'06_Сеть_и_дети'!AY5</f>
        <v/>
      </c>
      <c r="AZ2401">
        <f>SUMPRODUCT('19_Расчет_аналитики'!AZ2444:AZ2455,CapacityYear2)*'19_Расчет_аналитики'!$F$2235*'06_Сеть_и_дети'!AZ5</f>
        <v/>
      </c>
      <c r="BA2401">
        <f>SUMPRODUCT('19_Расчет_аналитики'!BA2444:BA2455,CapacityYear2)*'19_Расчет_аналитики'!$F$2235*'06_Сеть_и_дети'!BA5</f>
        <v/>
      </c>
      <c r="BB2401">
        <f>SUMPRODUCT('19_Расчет_аналитики'!BB2444:BB2455,CapacityYear2)*'19_Расчет_аналитики'!$F$2235*'06_Сеть_и_дети'!BB5</f>
        <v/>
      </c>
      <c r="BC2401">
        <f>SUMPRODUCT('19_Расчет_аналитики'!BC2444:BC2455,CapacityYear2)*'19_Расчет_аналитики'!$F$2235*'06_Сеть_и_дети'!BC5</f>
        <v/>
      </c>
      <c r="BD2401">
        <f>SUMPRODUCT('19_Расчет_аналитики'!BD2444:BD2455,CapacityYear2)*'19_Расчет_аналитики'!$F$2235*'06_Сеть_и_дети'!BD5</f>
        <v/>
      </c>
      <c r="BE2401">
        <f>SUMPRODUCT('19_Расчет_аналитики'!BE2444:BE2455,CapacityYear2)*'19_Расчет_аналитики'!$F$2235*'06_Сеть_и_дети'!BE5</f>
        <v/>
      </c>
      <c r="BF2401">
        <f>SUMPRODUCT('19_Расчет_аналитики'!BF2444:BF2455,CapacityYear2)*'19_Расчет_аналитики'!$F$2235*'06_Сеть_и_дети'!BF5</f>
        <v/>
      </c>
      <c r="BG2401">
        <f>SUMPRODUCT('19_Расчет_аналитики'!BG2444:BG2455,CapacityYear2)*'19_Расчет_аналитики'!$F$2235*'06_Сеть_и_дети'!BG5</f>
        <v/>
      </c>
      <c r="BH2401">
        <f>SUMPRODUCT('19_Расчет_аналитики'!BH2444:BH2455,CapacityYear2)*'19_Расчет_аналитики'!$F$2235*'06_Сеть_и_дети'!BH5</f>
        <v/>
      </c>
      <c r="BI2401">
        <f>SUMPRODUCT('19_Расчет_аналитики'!BI2444:BI2455,CapacityYear2)*'19_Расчет_аналитики'!$F$2235*'06_Сеть_и_дети'!BI5</f>
        <v/>
      </c>
      <c r="BJ2401">
        <f>SUMPRODUCT('19_Расчет_аналитики'!BJ2444:BJ2455,CapacityYear2)*'19_Расчет_аналитики'!$F$2235*'06_Сеть_и_дети'!BJ5</f>
        <v/>
      </c>
      <c r="BK2401">
        <f>SUMPRODUCT('19_Расчет_аналитики'!BK2444:BK2455,CapacityYear2)*'19_Расчет_аналитики'!$F$2235*'06_Сеть_и_дети'!BK5</f>
        <v/>
      </c>
      <c r="BL2401">
        <f>SUMPRODUCT('19_Расчет_аналитики'!BL2444:BL2455,CapacityYear2)*'19_Расчет_аналитики'!$F$2235*'06_Сеть_и_дети'!BL5</f>
        <v/>
      </c>
      <c r="BM2401">
        <f>SUMPRODUCT('19_Расчет_аналитики'!BM2444:BM2455,CapacityYear2)*'19_Расчет_аналитики'!$F$2235*'06_Сеть_и_дети'!BM5</f>
        <v/>
      </c>
      <c r="BN2401">
        <f>SUMPRODUCT('19_Расчет_аналитики'!BN2444:BN2455,CapacityYear2)*'19_Расчет_аналитики'!$F$2235*'06_Сеть_и_дети'!BN5</f>
        <v/>
      </c>
      <c r="BO2401">
        <f>SUMPRODUCT('19_Расчет_аналитики'!BO2444:BO2455,CapacityYear2)*'19_Расчет_аналитики'!$F$2235*'06_Сеть_и_дети'!BO5</f>
        <v/>
      </c>
    </row>
    <row r="2402">
      <c r="B2402">
        <f>'06_Сеть_и_дети'!B77*CapacityAge25*'19_Расчет_аналитики'!$F$2235*'06_Сеть_и_дети'!B5</f>
        <v/>
      </c>
      <c r="C2402">
        <f>'06_Сеть_и_дети'!C77*CapacityAge25*'19_Расчет_аналитики'!$F$2235*'06_Сеть_и_дети'!C5</f>
        <v/>
      </c>
      <c r="D2402">
        <f>'06_Сеть_и_дети'!D77*CapacityAge25*'19_Расчет_аналитики'!$F$2235*'06_Сеть_и_дети'!D5</f>
        <v/>
      </c>
      <c r="E2402">
        <f>'06_Сеть_и_дети'!E77*CapacityAge25*'19_Расчет_аналитики'!$F$2235*'06_Сеть_и_дети'!E5</f>
        <v/>
      </c>
      <c r="F2402">
        <f>'06_Сеть_и_дети'!F77*CapacityAge25*'19_Расчет_аналитики'!$F$2235*'06_Сеть_и_дети'!F5</f>
        <v/>
      </c>
      <c r="G2402">
        <f>'06_Сеть_и_дети'!G77*CapacityAge25*'19_Расчет_аналитики'!$F$2235*'06_Сеть_и_дети'!G5</f>
        <v/>
      </c>
      <c r="H2402">
        <f>'06_Сеть_и_дети'!H77*CapacityAge25*'19_Расчет_аналитики'!$F$2235*'06_Сеть_и_дети'!H5</f>
        <v/>
      </c>
      <c r="I2402">
        <f>'06_Сеть_и_дети'!I77*CapacityAge25*'19_Расчет_аналитики'!$F$2235*'06_Сеть_и_дети'!I5</f>
        <v/>
      </c>
      <c r="J2402">
        <f>'06_Сеть_и_дети'!J77*CapacityAge25*'19_Расчет_аналитики'!$F$2235*'06_Сеть_и_дети'!J5</f>
        <v/>
      </c>
      <c r="K2402">
        <f>'06_Сеть_и_дети'!K77*CapacityAge25*'19_Расчет_аналитики'!$F$2235*'06_Сеть_и_дети'!K5</f>
        <v/>
      </c>
      <c r="L2402">
        <f>'06_Сеть_и_дети'!L77*CapacityAge25*'19_Расчет_аналитики'!$F$2235*'06_Сеть_и_дети'!L5</f>
        <v/>
      </c>
      <c r="M2402">
        <f>'06_Сеть_и_дети'!M77*CapacityAge25*'19_Расчет_аналитики'!$F$2235*'06_Сеть_и_дети'!M5</f>
        <v/>
      </c>
      <c r="N2402">
        <f>'06_Сеть_и_дети'!N77*CapacityAge25*'19_Расчет_аналитики'!$F$2235*'06_Сеть_и_дети'!N5</f>
        <v/>
      </c>
      <c r="O2402">
        <f>'06_Сеть_и_дети'!O77*CapacityAge25*'19_Расчет_аналитики'!$F$2235*'06_Сеть_и_дети'!O5</f>
        <v/>
      </c>
      <c r="P2402">
        <f>'06_Сеть_и_дети'!P77*CapacityAge25*'19_Расчет_аналитики'!$F$2235*'06_Сеть_и_дети'!P5</f>
        <v/>
      </c>
      <c r="Q2402">
        <f>'06_Сеть_и_дети'!Q77*CapacityAge25*'19_Расчет_аналитики'!$F$2235*'06_Сеть_и_дети'!Q5</f>
        <v/>
      </c>
      <c r="R2402">
        <f>'06_Сеть_и_дети'!R77*CapacityAge25*'19_Расчет_аналитики'!$F$2235*'06_Сеть_и_дети'!R5</f>
        <v/>
      </c>
      <c r="S2402">
        <f>'06_Сеть_и_дети'!S77*CapacityAge25*'19_Расчет_аналитики'!$F$2235*'06_Сеть_и_дети'!S5</f>
        <v/>
      </c>
      <c r="T2402">
        <f>'06_Сеть_и_дети'!T77*CapacityAge25*'19_Расчет_аналитики'!$F$2235*'06_Сеть_и_дети'!T5</f>
        <v/>
      </c>
      <c r="U2402">
        <f>'06_Сеть_и_дети'!U77*CapacityAge25*'19_Расчет_аналитики'!$F$2235*'06_Сеть_и_дети'!U5</f>
        <v/>
      </c>
      <c r="V2402">
        <f>'06_Сеть_и_дети'!V77*CapacityAge25*'19_Расчет_аналитики'!$F$2235*'06_Сеть_и_дети'!V5</f>
        <v/>
      </c>
      <c r="W2402">
        <f>'06_Сеть_и_дети'!W77*CapacityAge25*'19_Расчет_аналитики'!$F$2235*'06_Сеть_и_дети'!W5</f>
        <v/>
      </c>
      <c r="X2402">
        <f>'06_Сеть_и_дети'!X77*CapacityAge25*'19_Расчет_аналитики'!$F$2235*'06_Сеть_и_дети'!X5</f>
        <v/>
      </c>
      <c r="Y2402">
        <f>'06_Сеть_и_дети'!Y77*CapacityAge25*'19_Расчет_аналитики'!$F$2235*'06_Сеть_и_дети'!Y5</f>
        <v/>
      </c>
      <c r="Z2402">
        <f>'19_Расчет_аналитики'!Z2456*CapacityAge25*'19_Расчет_аналитики'!$F$2235*'06_Сеть_и_дети'!Z5</f>
        <v/>
      </c>
      <c r="AA2402">
        <f>'19_Расчет_аналитики'!AA2456*CapacityAge25*'19_Расчет_аналитики'!$F$2235*'06_Сеть_и_дети'!AA5</f>
        <v/>
      </c>
      <c r="AB2402">
        <f>'19_Расчет_аналитики'!AB2456*CapacityAge25*'19_Расчет_аналитики'!$F$2235*'06_Сеть_и_дети'!AB5</f>
        <v/>
      </c>
      <c r="AC2402">
        <f>'19_Расчет_аналитики'!AC2456*CapacityAge25*'19_Расчет_аналитики'!$F$2235*'06_Сеть_и_дети'!AC5</f>
        <v/>
      </c>
      <c r="AD2402">
        <f>'19_Расчет_аналитики'!AD2456*CapacityAge25*'19_Расчет_аналитики'!$F$2235*'06_Сеть_и_дети'!AD5</f>
        <v/>
      </c>
      <c r="AE2402">
        <f>'19_Расчет_аналитики'!AE2456*CapacityAge25*'19_Расчет_аналитики'!$F$2235*'06_Сеть_и_дети'!AE5</f>
        <v/>
      </c>
      <c r="AF2402">
        <f>'19_Расчет_аналитики'!AF2456*CapacityAge25*'19_Расчет_аналитики'!$F$2235*'06_Сеть_и_дети'!AF5</f>
        <v/>
      </c>
      <c r="AG2402">
        <f>'19_Расчет_аналитики'!AG2456*CapacityAge25*'19_Расчет_аналитики'!$F$2235*'06_Сеть_и_дети'!AG5</f>
        <v/>
      </c>
      <c r="AH2402">
        <f>'19_Расчет_аналитики'!AH2456*CapacityAge25*'19_Расчет_аналитики'!$F$2235*'06_Сеть_и_дети'!AH5</f>
        <v/>
      </c>
      <c r="AI2402">
        <f>'19_Расчет_аналитики'!AI2456*CapacityAge25*'19_Расчет_аналитики'!$F$2235*'06_Сеть_и_дети'!AI5</f>
        <v/>
      </c>
      <c r="AJ2402">
        <f>'19_Расчет_аналитики'!AJ2456*CapacityAge25*'19_Расчет_аналитики'!$F$2235*'06_Сеть_и_дети'!AJ5</f>
        <v/>
      </c>
      <c r="AK2402">
        <f>'19_Расчет_аналитики'!AK2456*CapacityAge25*'19_Расчет_аналитики'!$F$2235*'06_Сеть_и_дети'!AK5</f>
        <v/>
      </c>
      <c r="AL2402">
        <f>'19_Расчет_аналитики'!AL2456*CapacityAge25*'19_Расчет_аналитики'!$F$2235*'06_Сеть_и_дети'!AL5</f>
        <v/>
      </c>
      <c r="AM2402">
        <f>'19_Расчет_аналитики'!AM2456*CapacityAge25*'19_Расчет_аналитики'!$F$2235*'06_Сеть_и_дети'!AM5</f>
        <v/>
      </c>
      <c r="AN2402">
        <f>'19_Расчет_аналитики'!AN2456*CapacityAge25*'19_Расчет_аналитики'!$F$2235*'06_Сеть_и_дети'!AN5</f>
        <v/>
      </c>
      <c r="AO2402">
        <f>'19_Расчет_аналитики'!AO2456*CapacityAge25*'19_Расчет_аналитики'!$F$2235*'06_Сеть_и_дети'!AO5</f>
        <v/>
      </c>
      <c r="AP2402">
        <f>'19_Расчет_аналитики'!AP2456*CapacityAge25*'19_Расчет_аналитики'!$F$2235*'06_Сеть_и_дети'!AP5</f>
        <v/>
      </c>
      <c r="AQ2402">
        <f>'19_Расчет_аналитики'!AQ2456*CapacityAge25*'19_Расчет_аналитики'!$F$2235*'06_Сеть_и_дети'!AQ5</f>
        <v/>
      </c>
      <c r="AR2402">
        <f>'19_Расчет_аналитики'!AR2456*CapacityAge25*'19_Расчет_аналитики'!$F$2235*'06_Сеть_и_дети'!AR5</f>
        <v/>
      </c>
      <c r="AS2402">
        <f>'19_Расчет_аналитики'!AS2456*CapacityAge25*'19_Расчет_аналитики'!$F$2235*'06_Сеть_и_дети'!AS5</f>
        <v/>
      </c>
      <c r="AT2402">
        <f>'19_Расчет_аналитики'!AT2456*CapacityAge25*'19_Расчет_аналитики'!$F$2235*'06_Сеть_и_дети'!AT5</f>
        <v/>
      </c>
      <c r="AU2402">
        <f>'19_Расчет_аналитики'!AU2456*CapacityAge25*'19_Расчет_аналитики'!$F$2235*'06_Сеть_и_дети'!AU5</f>
        <v/>
      </c>
      <c r="AV2402">
        <f>'19_Расчет_аналитики'!AV2456*CapacityAge25*'19_Расчет_аналитики'!$F$2235*'06_Сеть_и_дети'!AV5</f>
        <v/>
      </c>
      <c r="AW2402">
        <f>'19_Расчет_аналитики'!AW2456*CapacityAge25*'19_Расчет_аналитики'!$F$2235*'06_Сеть_и_дети'!AW5</f>
        <v/>
      </c>
      <c r="AX2402">
        <f>'19_Расчет_аналитики'!AX2456*CapacityAge25*'19_Расчет_аналитики'!$F$2235*'06_Сеть_и_дети'!AX5</f>
        <v/>
      </c>
      <c r="AY2402">
        <f>'19_Расчет_аналитики'!AY2456*CapacityAge25*'19_Расчет_аналитики'!$F$2235*'06_Сеть_и_дети'!AY5</f>
        <v/>
      </c>
      <c r="AZ2402">
        <f>'19_Расчет_аналитики'!AZ2456*CapacityAge25*'19_Расчет_аналитики'!$F$2235*'06_Сеть_и_дети'!AZ5</f>
        <v/>
      </c>
      <c r="BA2402">
        <f>'19_Расчет_аналитики'!BA2456*CapacityAge25*'19_Расчет_аналитики'!$F$2235*'06_Сеть_и_дети'!BA5</f>
        <v/>
      </c>
      <c r="BB2402">
        <f>'19_Расчет_аналитики'!BB2456*CapacityAge25*'19_Расчет_аналитики'!$F$2235*'06_Сеть_и_дети'!BB5</f>
        <v/>
      </c>
      <c r="BC2402">
        <f>'19_Расчет_аналитики'!BC2456*CapacityAge25*'19_Расчет_аналитики'!$F$2235*'06_Сеть_и_дети'!BC5</f>
        <v/>
      </c>
      <c r="BD2402">
        <f>'19_Расчет_аналитики'!BD2456*CapacityAge25*'19_Расчет_аналитики'!$F$2235*'06_Сеть_и_дети'!BD5</f>
        <v/>
      </c>
      <c r="BE2402">
        <f>'19_Расчет_аналитики'!BE2456*CapacityAge25*'19_Расчет_аналитики'!$F$2235*'06_Сеть_и_дети'!BE5</f>
        <v/>
      </c>
      <c r="BF2402">
        <f>'19_Расчет_аналитики'!BF2456*CapacityAge25*'19_Расчет_аналитики'!$F$2235*'06_Сеть_и_дети'!BF5</f>
        <v/>
      </c>
      <c r="BG2402">
        <f>'19_Расчет_аналитики'!BG2456*CapacityAge25*'19_Расчет_аналитики'!$F$2235*'06_Сеть_и_дети'!BG5</f>
        <v/>
      </c>
      <c r="BH2402">
        <f>'19_Расчет_аналитики'!BH2456*CapacityAge25*'19_Расчет_аналитики'!$F$2235*'06_Сеть_и_дети'!BH5</f>
        <v/>
      </c>
      <c r="BI2402">
        <f>'19_Расчет_аналитики'!BI2456*CapacityAge25*'19_Расчет_аналитики'!$F$2235*'06_Сеть_и_дети'!BI5</f>
        <v/>
      </c>
      <c r="BJ2402">
        <f>'19_Расчет_аналитики'!BJ2456*CapacityAge25*'19_Расчет_аналитики'!$F$2235*'06_Сеть_и_дети'!BJ5</f>
        <v/>
      </c>
      <c r="BK2402">
        <f>'19_Расчет_аналитики'!BK2456*CapacityAge25*'19_Расчет_аналитики'!$F$2235*'06_Сеть_и_дети'!BK5</f>
        <v/>
      </c>
      <c r="BL2402">
        <f>'19_Расчет_аналитики'!BL2456*CapacityAge25*'19_Расчет_аналитики'!$F$2235*'06_Сеть_и_дети'!BL5</f>
        <v/>
      </c>
      <c r="BM2402">
        <f>'19_Расчет_аналитики'!BM2456*CapacityAge25*'19_Расчет_аналитики'!$F$2235*'06_Сеть_и_дети'!BM5</f>
        <v/>
      </c>
      <c r="BN2402">
        <f>'19_Расчет_аналитики'!BN2456*CapacityAge25*'19_Расчет_аналитики'!$F$2235*'06_Сеть_и_дети'!BN5</f>
        <v/>
      </c>
      <c r="BO2402">
        <f>'19_Расчет_аналитики'!BO2456*CapacityAge25*'19_Расчет_аналитики'!$F$2235*'06_Сеть_и_дети'!BO5</f>
        <v/>
      </c>
    </row>
    <row r="2403">
      <c r="B2403">
        <f>SUM('19_Расчет_аналитики'!B2400:B2402)</f>
        <v/>
      </c>
      <c r="C2403">
        <f>SUM('19_Расчет_аналитики'!C2400:C2402)</f>
        <v/>
      </c>
      <c r="D2403">
        <f>SUM('19_Расчет_аналитики'!D2400:D2402)</f>
        <v/>
      </c>
      <c r="E2403">
        <f>SUM('19_Расчет_аналитики'!E2400:E2402)</f>
        <v/>
      </c>
      <c r="F2403">
        <f>SUM('19_Расчет_аналитики'!F2400:F2402)</f>
        <v/>
      </c>
      <c r="G2403">
        <f>SUM('19_Расчет_аналитики'!G2400:G2402)</f>
        <v/>
      </c>
      <c r="H2403">
        <f>SUM('19_Расчет_аналитики'!H2400:H2402)</f>
        <v/>
      </c>
      <c r="I2403">
        <f>SUM('19_Расчет_аналитики'!I2400:I2402)</f>
        <v/>
      </c>
      <c r="J2403">
        <f>SUM('19_Расчет_аналитики'!J2400:J2402)</f>
        <v/>
      </c>
      <c r="K2403">
        <f>SUM('19_Расчет_аналитики'!K2400:K2402)</f>
        <v/>
      </c>
      <c r="L2403">
        <f>SUM('19_Расчет_аналитики'!L2400:L2402)</f>
        <v/>
      </c>
      <c r="M2403">
        <f>SUM('19_Расчет_аналитики'!M2400:M2402)</f>
        <v/>
      </c>
      <c r="N2403">
        <f>SUM('19_Расчет_аналитики'!N2400:N2402)</f>
        <v/>
      </c>
      <c r="O2403">
        <f>SUM('19_Расчет_аналитики'!O2400:O2402)</f>
        <v/>
      </c>
      <c r="P2403">
        <f>SUM('19_Расчет_аналитики'!P2400:P2402)</f>
        <v/>
      </c>
      <c r="Q2403">
        <f>SUM('19_Расчет_аналитики'!Q2400:Q2402)</f>
        <v/>
      </c>
      <c r="R2403">
        <f>SUM('19_Расчет_аналитики'!R2400:R2402)</f>
        <v/>
      </c>
      <c r="S2403">
        <f>SUM('19_Расчет_аналитики'!S2400:S2402)</f>
        <v/>
      </c>
      <c r="T2403">
        <f>SUM('19_Расчет_аналитики'!T2400:T2402)</f>
        <v/>
      </c>
      <c r="U2403">
        <f>SUM('19_Расчет_аналитики'!U2400:U2402)</f>
        <v/>
      </c>
      <c r="V2403">
        <f>SUM('19_Расчет_аналитики'!V2400:V2402)</f>
        <v/>
      </c>
      <c r="W2403">
        <f>SUM('19_Расчет_аналитики'!W2400:W2402)</f>
        <v/>
      </c>
      <c r="X2403">
        <f>SUM('19_Расчет_аналитики'!X2400:X2402)</f>
        <v/>
      </c>
      <c r="Y2403">
        <f>SUM('19_Расчет_аналитики'!Y2400:Y2402)</f>
        <v/>
      </c>
      <c r="Z2403">
        <f>SUM('19_Расчет_аналитики'!Z2400:Z2402)</f>
        <v/>
      </c>
      <c r="AA2403">
        <f>SUM('19_Расчет_аналитики'!AA2400:AA2402)</f>
        <v/>
      </c>
      <c r="AB2403">
        <f>SUM('19_Расчет_аналитики'!AB2400:AB2402)</f>
        <v/>
      </c>
      <c r="AC2403">
        <f>SUM('19_Расчет_аналитики'!AC2400:AC2402)</f>
        <v/>
      </c>
      <c r="AD2403">
        <f>SUM('19_Расчет_аналитики'!AD2400:AD2402)</f>
        <v/>
      </c>
      <c r="AE2403">
        <f>SUM('19_Расчет_аналитики'!AE2400:AE2402)</f>
        <v/>
      </c>
      <c r="AF2403">
        <f>SUM('19_Расчет_аналитики'!AF2400:AF2402)</f>
        <v/>
      </c>
      <c r="AG2403">
        <f>SUM('19_Расчет_аналитики'!AG2400:AG2402)</f>
        <v/>
      </c>
      <c r="AH2403">
        <f>SUM('19_Расчет_аналитики'!AH2400:AH2402)</f>
        <v/>
      </c>
      <c r="AI2403">
        <f>SUM('19_Расчет_аналитики'!AI2400:AI2402)</f>
        <v/>
      </c>
      <c r="AJ2403">
        <f>SUM('19_Расчет_аналитики'!AJ2400:AJ2402)</f>
        <v/>
      </c>
      <c r="AK2403">
        <f>SUM('19_Расчет_аналитики'!AK2400:AK2402)</f>
        <v/>
      </c>
      <c r="AL2403">
        <f>SUM('19_Расчет_аналитики'!AL2400:AL2402)</f>
        <v/>
      </c>
      <c r="AM2403">
        <f>SUM('19_Расчет_аналитики'!AM2400:AM2402)</f>
        <v/>
      </c>
      <c r="AN2403">
        <f>SUM('19_Расчет_аналитики'!AN2400:AN2402)</f>
        <v/>
      </c>
      <c r="AO2403">
        <f>SUM('19_Расчет_аналитики'!AO2400:AO2402)</f>
        <v/>
      </c>
      <c r="AP2403">
        <f>SUM('19_Расчет_аналитики'!AP2400:AP2402)</f>
        <v/>
      </c>
      <c r="AQ2403">
        <f>SUM('19_Расчет_аналитики'!AQ2400:AQ2402)</f>
        <v/>
      </c>
      <c r="AR2403">
        <f>SUM('19_Расчет_аналитики'!AR2400:AR2402)</f>
        <v/>
      </c>
      <c r="AS2403">
        <f>SUM('19_Расчет_аналитики'!AS2400:AS2402)</f>
        <v/>
      </c>
      <c r="AT2403">
        <f>SUM('19_Расчет_аналитики'!AT2400:AT2402)</f>
        <v/>
      </c>
      <c r="AU2403">
        <f>SUM('19_Расчет_аналитики'!AU2400:AU2402)</f>
        <v/>
      </c>
      <c r="AV2403">
        <f>SUM('19_Расчет_аналитики'!AV2400:AV2402)</f>
        <v/>
      </c>
      <c r="AW2403">
        <f>SUM('19_Расчет_аналитики'!AW2400:AW2402)</f>
        <v/>
      </c>
      <c r="AX2403">
        <f>SUM('19_Расчет_аналитики'!AX2400:AX2402)</f>
        <v/>
      </c>
      <c r="AY2403">
        <f>SUM('19_Расчет_аналитики'!AY2400:AY2402)</f>
        <v/>
      </c>
      <c r="AZ2403">
        <f>SUM('19_Расчет_аналитики'!AZ2400:AZ2402)</f>
        <v/>
      </c>
      <c r="BA2403">
        <f>SUM('19_Расчет_аналитики'!BA2400:BA2402)</f>
        <v/>
      </c>
      <c r="BB2403">
        <f>SUM('19_Расчет_аналитики'!BB2400:BB2402)</f>
        <v/>
      </c>
      <c r="BC2403">
        <f>SUM('19_Расчет_аналитики'!BC2400:BC2402)</f>
        <v/>
      </c>
      <c r="BD2403">
        <f>SUM('19_Расчет_аналитики'!BD2400:BD2402)</f>
        <v/>
      </c>
      <c r="BE2403">
        <f>SUM('19_Расчет_аналитики'!BE2400:BE2402)</f>
        <v/>
      </c>
      <c r="BF2403">
        <f>SUM('19_Расчет_аналитики'!BF2400:BF2402)</f>
        <v/>
      </c>
      <c r="BG2403">
        <f>SUM('19_Расчет_аналитики'!BG2400:BG2402)</f>
        <v/>
      </c>
      <c r="BH2403">
        <f>SUM('19_Расчет_аналитики'!BH2400:BH2402)</f>
        <v/>
      </c>
      <c r="BI2403">
        <f>SUM('19_Расчет_аналитики'!BI2400:BI2402)</f>
        <v/>
      </c>
      <c r="BJ2403">
        <f>SUM('19_Расчет_аналитики'!BJ2400:BJ2402)</f>
        <v/>
      </c>
      <c r="BK2403">
        <f>SUM('19_Расчет_аналитики'!BK2400:BK2402)</f>
        <v/>
      </c>
      <c r="BL2403">
        <f>SUM('19_Расчет_аналитики'!BL2400:BL2402)</f>
        <v/>
      </c>
      <c r="BM2403">
        <f>SUM('19_Расчет_аналитики'!BM2400:BM2402)</f>
        <v/>
      </c>
      <c r="BN2403">
        <f>SUM('19_Расчет_аналитики'!BN2400:BN2402)</f>
        <v/>
      </c>
      <c r="BO2403">
        <f>SUM('19_Расчет_аналитики'!BO2400:BO2402)</f>
        <v/>
      </c>
    </row>
    <row r="2404">
      <c r="B2404">
        <f>'06_Сеть_и_дети'!B20+'19_Расчет_аналитики'!B2403</f>
        <v/>
      </c>
      <c r="C2404">
        <f>'06_Сеть_и_дети'!C20+'19_Расчет_аналитики'!C2403</f>
        <v/>
      </c>
      <c r="D2404">
        <f>'06_Сеть_и_дети'!D20+'19_Расчет_аналитики'!D2403</f>
        <v/>
      </c>
      <c r="E2404">
        <f>'06_Сеть_и_дети'!E20+'19_Расчет_аналитики'!E2403</f>
        <v/>
      </c>
      <c r="F2404">
        <f>'06_Сеть_и_дети'!F20+'19_Расчет_аналитики'!F2403</f>
        <v/>
      </c>
      <c r="G2404">
        <f>'06_Сеть_и_дети'!G20+'19_Расчет_аналитики'!G2403</f>
        <v/>
      </c>
      <c r="H2404">
        <f>'06_Сеть_и_дети'!H20+'19_Расчет_аналитики'!H2403</f>
        <v/>
      </c>
      <c r="I2404">
        <f>'06_Сеть_и_дети'!I20+'19_Расчет_аналитики'!I2403</f>
        <v/>
      </c>
      <c r="J2404">
        <f>'06_Сеть_и_дети'!J20+'19_Расчет_аналитики'!J2403</f>
        <v/>
      </c>
      <c r="K2404">
        <f>'06_Сеть_и_дети'!K20+'19_Расчет_аналитики'!K2403</f>
        <v/>
      </c>
      <c r="L2404">
        <f>'06_Сеть_и_дети'!L20+'19_Расчет_аналитики'!L2403</f>
        <v/>
      </c>
      <c r="M2404">
        <f>'06_Сеть_и_дети'!M20+'19_Расчет_аналитики'!M2403</f>
        <v/>
      </c>
      <c r="N2404">
        <f>'06_Сеть_и_дети'!N20+'19_Расчет_аналитики'!N2403</f>
        <v/>
      </c>
      <c r="O2404">
        <f>'06_Сеть_и_дети'!O20+'19_Расчет_аналитики'!O2403</f>
        <v/>
      </c>
      <c r="P2404">
        <f>'06_Сеть_и_дети'!P20+'19_Расчет_аналитики'!P2403</f>
        <v/>
      </c>
      <c r="Q2404">
        <f>'06_Сеть_и_дети'!Q20+'19_Расчет_аналитики'!Q2403</f>
        <v/>
      </c>
      <c r="R2404">
        <f>'06_Сеть_и_дети'!R20+'19_Расчет_аналитики'!R2403</f>
        <v/>
      </c>
      <c r="S2404">
        <f>'06_Сеть_и_дети'!S20+'19_Расчет_аналитики'!S2403</f>
        <v/>
      </c>
      <c r="T2404">
        <f>'06_Сеть_и_дети'!T20+'19_Расчет_аналитики'!T2403</f>
        <v/>
      </c>
      <c r="U2404">
        <f>'06_Сеть_и_дети'!U20+'19_Расчет_аналитики'!U2403</f>
        <v/>
      </c>
      <c r="V2404">
        <f>'06_Сеть_и_дети'!V20+'19_Расчет_аналитики'!V2403</f>
        <v/>
      </c>
      <c r="W2404">
        <f>'06_Сеть_и_дети'!W20+'19_Расчет_аналитики'!W2403</f>
        <v/>
      </c>
      <c r="X2404">
        <f>'06_Сеть_и_дети'!X20+'19_Расчет_аналитики'!X2403</f>
        <v/>
      </c>
      <c r="Y2404">
        <f>'06_Сеть_и_дети'!Y20+'19_Расчет_аналитики'!Y2403</f>
        <v/>
      </c>
      <c r="Z2404">
        <f>'06_Сеть_и_дети'!Z20+'19_Расчет_аналитики'!Z2403</f>
        <v/>
      </c>
      <c r="AA2404">
        <f>'06_Сеть_и_дети'!AA20+'19_Расчет_аналитики'!AA2403</f>
        <v/>
      </c>
      <c r="AB2404">
        <f>'06_Сеть_и_дети'!AB20+'19_Расчет_аналитики'!AB2403</f>
        <v/>
      </c>
      <c r="AC2404">
        <f>'06_Сеть_и_дети'!AC20+'19_Расчет_аналитики'!AC2403</f>
        <v/>
      </c>
      <c r="AD2404">
        <f>'06_Сеть_и_дети'!AD20+'19_Расчет_аналитики'!AD2403</f>
        <v/>
      </c>
      <c r="AE2404">
        <f>'06_Сеть_и_дети'!AE20+'19_Расчет_аналитики'!AE2403</f>
        <v/>
      </c>
      <c r="AF2404">
        <f>'06_Сеть_и_дети'!AF20+'19_Расчет_аналитики'!AF2403</f>
        <v/>
      </c>
      <c r="AG2404">
        <f>'06_Сеть_и_дети'!AG20+'19_Расчет_аналитики'!AG2403</f>
        <v/>
      </c>
      <c r="AH2404">
        <f>'06_Сеть_и_дети'!AH20+'19_Расчет_аналитики'!AH2403</f>
        <v/>
      </c>
      <c r="AI2404">
        <f>'06_Сеть_и_дети'!AI20+'19_Расчет_аналитики'!AI2403</f>
        <v/>
      </c>
      <c r="AJ2404">
        <f>'06_Сеть_и_дети'!AJ20+'19_Расчет_аналитики'!AJ2403</f>
        <v/>
      </c>
      <c r="AK2404">
        <f>'06_Сеть_и_дети'!AK20+'19_Расчет_аналитики'!AK2403</f>
        <v/>
      </c>
      <c r="AL2404">
        <f>'06_Сеть_и_дети'!AL20+'19_Расчет_аналитики'!AL2403</f>
        <v/>
      </c>
      <c r="AM2404">
        <f>'06_Сеть_и_дети'!AM20+'19_Расчет_аналитики'!AM2403</f>
        <v/>
      </c>
      <c r="AN2404">
        <f>'06_Сеть_и_дети'!AN20+'19_Расчет_аналитики'!AN2403</f>
        <v/>
      </c>
      <c r="AO2404">
        <f>'06_Сеть_и_дети'!AO20+'19_Расчет_аналитики'!AO2403</f>
        <v/>
      </c>
      <c r="AP2404">
        <f>'06_Сеть_и_дети'!AP20+'19_Расчет_аналитики'!AP2403</f>
        <v/>
      </c>
      <c r="AQ2404">
        <f>'06_Сеть_и_дети'!AQ20+'19_Расчет_аналитики'!AQ2403</f>
        <v/>
      </c>
      <c r="AR2404">
        <f>'06_Сеть_и_дети'!AR20+'19_Расчет_аналитики'!AR2403</f>
        <v/>
      </c>
      <c r="AS2404">
        <f>'06_Сеть_и_дети'!AS20+'19_Расчет_аналитики'!AS2403</f>
        <v/>
      </c>
      <c r="AT2404">
        <f>'06_Сеть_и_дети'!AT20+'19_Расчет_аналитики'!AT2403</f>
        <v/>
      </c>
      <c r="AU2404">
        <f>'06_Сеть_и_дети'!AU20+'19_Расчет_аналитики'!AU2403</f>
        <v/>
      </c>
      <c r="AV2404">
        <f>'06_Сеть_и_дети'!AV20+'19_Расчет_аналитики'!AV2403</f>
        <v/>
      </c>
      <c r="AW2404">
        <f>'06_Сеть_и_дети'!AW20+'19_Расчет_аналитики'!AW2403</f>
        <v/>
      </c>
      <c r="AX2404">
        <f>'06_Сеть_и_дети'!AX20+'19_Расчет_аналитики'!AX2403</f>
        <v/>
      </c>
      <c r="AY2404">
        <f>'06_Сеть_и_дети'!AY20+'19_Расчет_аналитики'!AY2403</f>
        <v/>
      </c>
      <c r="AZ2404">
        <f>'06_Сеть_и_дети'!AZ20+'19_Расчет_аналитики'!AZ2403</f>
        <v/>
      </c>
      <c r="BA2404">
        <f>'06_Сеть_и_дети'!BA20+'19_Расчет_аналитики'!BA2403</f>
        <v/>
      </c>
      <c r="BB2404">
        <f>'06_Сеть_и_дети'!BB20+'19_Расчет_аналитики'!BB2403</f>
        <v/>
      </c>
      <c r="BC2404">
        <f>'06_Сеть_и_дети'!BC20+'19_Расчет_аналитики'!BC2403</f>
        <v/>
      </c>
      <c r="BD2404">
        <f>'06_Сеть_и_дети'!BD20+'19_Расчет_аналитики'!BD2403</f>
        <v/>
      </c>
      <c r="BE2404">
        <f>'06_Сеть_и_дети'!BE20+'19_Расчет_аналитики'!BE2403</f>
        <v/>
      </c>
      <c r="BF2404">
        <f>'06_Сеть_и_дети'!BF20+'19_Расчет_аналитики'!BF2403</f>
        <v/>
      </c>
      <c r="BG2404">
        <f>'06_Сеть_и_дети'!BG20+'19_Расчет_аналитики'!BG2403</f>
        <v/>
      </c>
      <c r="BH2404">
        <f>'06_Сеть_и_дети'!BH20+'19_Расчет_аналитики'!BH2403</f>
        <v/>
      </c>
      <c r="BI2404">
        <f>'06_Сеть_и_дети'!BI20+'19_Расчет_аналитики'!BI2403</f>
        <v/>
      </c>
      <c r="BJ2404">
        <f>'06_Сеть_и_дети'!BJ20+'19_Расчет_аналитики'!BJ2403</f>
        <v/>
      </c>
      <c r="BK2404">
        <f>'06_Сеть_и_дети'!BK20+'19_Расчет_аналитики'!BK2403</f>
        <v/>
      </c>
      <c r="BL2404">
        <f>'06_Сеть_и_дети'!BL20+'19_Расчет_аналитики'!BL2403</f>
        <v/>
      </c>
      <c r="BM2404">
        <f>'06_Сеть_и_дети'!BM20+'19_Расчет_аналитики'!BM2403</f>
        <v/>
      </c>
      <c r="BN2404">
        <f>'06_Сеть_и_дети'!BN20+'19_Расчет_аналитики'!BN2403</f>
        <v/>
      </c>
      <c r="BO2404">
        <f>'06_Сеть_и_дети'!BO20+'19_Расчет_аналитики'!BO2403</f>
        <v/>
      </c>
    </row>
    <row r="2405"/>
    <row r="2406"/>
    <row r="2407">
      <c r="B2407">
        <f>SUMPRODUCT(('01_Вводные'!$D$314:$D$318*'01_Вводные'!$B$314:$B$318*IF('01_Вводные'!$B$9=0,0,'06_Сеть_и_дети'!B11/'01_Вводные'!$B$9)+'06_Сеть_и_дети'!B20*'19_Расчет_аналитики'!B2830*'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2830*'01_Вводные'!$C$314:$C$318*('01_Вводные'!$E$314:$E$318*('06_Сеть_и_дети'!B$3&lt;'01_Вводные'!$B$245)+'01_Вводные'!$B$57*('06_Сеть_и_дети'!B$3&gt;='01_Вводные'!$B$245))))/2)</f>
        <v/>
      </c>
      <c r="C2407">
        <f>SUMPRODUCT(('01_Вводные'!$D$314:$D$318*'01_Вводные'!$B$314:$B$318*IF('01_Вводные'!$B$9=0,0,'06_Сеть_и_дети'!C11/'01_Вводные'!$B$9)+'06_Сеть_и_дети'!C20*'19_Расчет_аналитики'!C2830*'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2830*'01_Вводные'!$C$314:$C$318*('01_Вводные'!$E$314:$E$318*('06_Сеть_и_дети'!C$3&lt;'01_Вводные'!$B$245)+'01_Вводные'!$B$57*('06_Сеть_и_дети'!C$3&gt;='01_Вводные'!$B$245))))/2)</f>
        <v/>
      </c>
      <c r="D2407">
        <f>SUMPRODUCT(('01_Вводные'!$D$314:$D$318*'01_Вводные'!$B$314:$B$318*IF('01_Вводные'!$B$9=0,0,'06_Сеть_и_дети'!D11/'01_Вводные'!$B$9)+'06_Сеть_и_дети'!D20*'19_Расчет_аналитики'!D2830*'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2830*'01_Вводные'!$C$314:$C$318*('01_Вводные'!$E$314:$E$318*('06_Сеть_и_дети'!D$3&lt;'01_Вводные'!$B$245)+'01_Вводные'!$B$57*('06_Сеть_и_дети'!D$3&gt;='01_Вводные'!$B$245))))/2)</f>
        <v/>
      </c>
      <c r="E2407">
        <f>SUMPRODUCT(('01_Вводные'!$D$314:$D$318*'01_Вводные'!$B$314:$B$318*IF('01_Вводные'!$B$9=0,0,'06_Сеть_и_дети'!E11/'01_Вводные'!$B$9)+'06_Сеть_и_дети'!E20*'19_Расчет_аналитики'!E2830*'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2830*'01_Вводные'!$C$314:$C$318*('01_Вводные'!$E$314:$E$318*('06_Сеть_и_дети'!E$3&lt;'01_Вводные'!$B$245)+'01_Вводные'!$B$57*('06_Сеть_и_дети'!E$3&gt;='01_Вводные'!$B$245))))/2)</f>
        <v/>
      </c>
      <c r="F2407">
        <f>SUMPRODUCT(('01_Вводные'!$D$314:$D$318*'01_Вводные'!$B$314:$B$318*IF('01_Вводные'!$B$9=0,0,'06_Сеть_и_дети'!F11/'01_Вводные'!$B$9)+'06_Сеть_и_дети'!F20*'19_Расчет_аналитики'!F2830*'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2830*'01_Вводные'!$C$314:$C$318*('01_Вводные'!$E$314:$E$318*('06_Сеть_и_дети'!F$3&lt;'01_Вводные'!$B$245)+'01_Вводные'!$B$57*('06_Сеть_и_дети'!F$3&gt;='01_Вводные'!$B$245))))/2)</f>
        <v/>
      </c>
      <c r="G2407">
        <f>SUMPRODUCT(('01_Вводные'!$D$314:$D$318*'01_Вводные'!$B$314:$B$318*IF('01_Вводные'!$B$9=0,0,'06_Сеть_и_дети'!G11/'01_Вводные'!$B$9)+'06_Сеть_и_дети'!G20*'19_Расчет_аналитики'!G2830*'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2830*'01_Вводные'!$C$314:$C$318*('01_Вводные'!$E$314:$E$318*('06_Сеть_и_дети'!G$3&lt;'01_Вводные'!$B$245)+'01_Вводные'!$B$57*('06_Сеть_и_дети'!G$3&gt;='01_Вводные'!$B$245))))/2)</f>
        <v/>
      </c>
      <c r="H2407">
        <f>SUMPRODUCT(('01_Вводные'!$D$314:$D$318*'01_Вводные'!$B$314:$B$318*IF('01_Вводные'!$B$9=0,0,'06_Сеть_и_дети'!H11/'01_Вводные'!$B$9)+'06_Сеть_и_дети'!H20*'19_Расчет_аналитики'!H2830*'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2830*'01_Вводные'!$C$314:$C$318*('01_Вводные'!$E$314:$E$318*('06_Сеть_и_дети'!H$3&lt;'01_Вводные'!$B$245)+'01_Вводные'!$B$57*('06_Сеть_и_дети'!H$3&gt;='01_Вводные'!$B$245))))/2)</f>
        <v/>
      </c>
      <c r="I2407">
        <f>SUMPRODUCT(('01_Вводные'!$D$314:$D$318*'01_Вводные'!$B$314:$B$318*IF('01_Вводные'!$B$9=0,0,'06_Сеть_и_дети'!I11/'01_Вводные'!$B$9)+'06_Сеть_и_дети'!I20*'19_Расчет_аналитики'!I2830*'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2830*'01_Вводные'!$C$314:$C$318*('01_Вводные'!$E$314:$E$318*('06_Сеть_и_дети'!I$3&lt;'01_Вводные'!$B$245)+'01_Вводные'!$B$57*('06_Сеть_и_дети'!I$3&gt;='01_Вводные'!$B$245))))/2)</f>
        <v/>
      </c>
      <c r="J2407">
        <f>SUMPRODUCT(('01_Вводные'!$D$314:$D$318*'01_Вводные'!$B$314:$B$318*IF('01_Вводные'!$B$9=0,0,'06_Сеть_и_дети'!J11/'01_Вводные'!$B$9)+'06_Сеть_и_дети'!J20*'19_Расчет_аналитики'!J2830*'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2830*'01_Вводные'!$C$314:$C$318*('01_Вводные'!$E$314:$E$318*('06_Сеть_и_дети'!J$3&lt;'01_Вводные'!$B$245)+'01_Вводные'!$B$57*('06_Сеть_и_дети'!J$3&gt;='01_Вводные'!$B$245))))/2)</f>
        <v/>
      </c>
      <c r="K2407">
        <f>SUMPRODUCT(('01_Вводные'!$D$314:$D$318*'01_Вводные'!$B$314:$B$318*IF('01_Вводные'!$B$9=0,0,'06_Сеть_и_дети'!K11/'01_Вводные'!$B$9)+'06_Сеть_и_дети'!K20*'19_Расчет_аналитики'!K2830*'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2830*'01_Вводные'!$C$314:$C$318*('01_Вводные'!$E$314:$E$318*('06_Сеть_и_дети'!K$3&lt;'01_Вводные'!$B$245)+'01_Вводные'!$B$57*('06_Сеть_и_дети'!K$3&gt;='01_Вводные'!$B$245))))/2)</f>
        <v/>
      </c>
      <c r="L2407">
        <f>SUMPRODUCT(('01_Вводные'!$D$314:$D$318*'01_Вводные'!$B$314:$B$318*IF('01_Вводные'!$B$9=0,0,'06_Сеть_и_дети'!L11/'01_Вводные'!$B$9)+'06_Сеть_и_дети'!L20*'19_Расчет_аналитики'!L2830*'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2830*'01_Вводные'!$C$314:$C$318*('01_Вводные'!$E$314:$E$318*('06_Сеть_и_дети'!L$3&lt;'01_Вводные'!$B$245)+'01_Вводные'!$B$57*('06_Сеть_и_дети'!L$3&gt;='01_Вводные'!$B$245))))/2)</f>
        <v/>
      </c>
      <c r="M2407">
        <f>SUMPRODUCT(('01_Вводные'!$D$314:$D$318*'01_Вводные'!$B$314:$B$318*IF('01_Вводные'!$B$9=0,0,'06_Сеть_и_дети'!M11/'01_Вводные'!$B$9)+'06_Сеть_и_дети'!M20*'19_Расчет_аналитики'!M2830*'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2830*'01_Вводные'!$C$314:$C$318*('01_Вводные'!$E$314:$E$318*('06_Сеть_и_дети'!M$3&lt;'01_Вводные'!$B$245)+'01_Вводные'!$B$57*('06_Сеть_и_дети'!M$3&gt;='01_Вводные'!$B$245))))/2)</f>
        <v/>
      </c>
      <c r="N2407">
        <f>SUMPRODUCT(('01_Вводные'!$D$314:$D$318*'01_Вводные'!$B$314:$B$318*IF('01_Вводные'!$B$9=0,0,'06_Сеть_и_дети'!N11/'01_Вводные'!$B$9)+'06_Сеть_и_дети'!N20*'19_Расчет_аналитики'!N2830*'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2830*'01_Вводные'!$C$314:$C$318*('01_Вводные'!$E$314:$E$318*('06_Сеть_и_дети'!N$3&lt;'01_Вводные'!$B$245)+'01_Вводные'!$B$57*('06_Сеть_и_дети'!N$3&gt;='01_Вводные'!$B$245))))/2)</f>
        <v/>
      </c>
      <c r="O2407">
        <f>SUMPRODUCT(('01_Вводные'!$D$314:$D$318*'01_Вводные'!$B$314:$B$318*IF('01_Вводные'!$B$9=0,0,'06_Сеть_и_дети'!O11/'01_Вводные'!$B$9)+'06_Сеть_и_дети'!O20*'19_Расчет_аналитики'!O2830*'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2830*'01_Вводные'!$C$314:$C$318*('01_Вводные'!$E$314:$E$318*('06_Сеть_и_дети'!O$3&lt;'01_Вводные'!$B$245)+'01_Вводные'!$B$57*('06_Сеть_и_дети'!O$3&gt;='01_Вводные'!$B$245))))/2)</f>
        <v/>
      </c>
      <c r="P2407">
        <f>SUMPRODUCT(('01_Вводные'!$D$314:$D$318*'01_Вводные'!$B$314:$B$318*IF('01_Вводные'!$B$9=0,0,'06_Сеть_и_дети'!P11/'01_Вводные'!$B$9)+'06_Сеть_и_дети'!P20*'19_Расчет_аналитики'!P2830*'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2830*'01_Вводные'!$C$314:$C$318*('01_Вводные'!$E$314:$E$318*('06_Сеть_и_дети'!P$3&lt;'01_Вводные'!$B$245)+'01_Вводные'!$B$57*('06_Сеть_и_дети'!P$3&gt;='01_Вводные'!$B$245))))/2)</f>
        <v/>
      </c>
      <c r="Q2407">
        <f>SUMPRODUCT(('01_Вводные'!$D$314:$D$318*'01_Вводные'!$B$314:$B$318*IF('01_Вводные'!$B$9=0,0,'06_Сеть_и_дети'!Q11/'01_Вводные'!$B$9)+'06_Сеть_и_дети'!Q20*'19_Расчет_аналитики'!Q2830*'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2830*'01_Вводные'!$C$314:$C$318*('01_Вводные'!$E$314:$E$318*('06_Сеть_и_дети'!Q$3&lt;'01_Вводные'!$B$245)+'01_Вводные'!$B$57*('06_Сеть_и_дети'!Q$3&gt;='01_Вводные'!$B$245))))/2)</f>
        <v/>
      </c>
      <c r="R2407">
        <f>SUMPRODUCT(('01_Вводные'!$D$314:$D$318*'01_Вводные'!$B$314:$B$318*IF('01_Вводные'!$B$9=0,0,'06_Сеть_и_дети'!R11/'01_Вводные'!$B$9)+'06_Сеть_и_дети'!R20*'19_Расчет_аналитики'!R2830*'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2830*'01_Вводные'!$C$314:$C$318*('01_Вводные'!$E$314:$E$318*('06_Сеть_и_дети'!R$3&lt;'01_Вводные'!$B$245)+'01_Вводные'!$B$57*('06_Сеть_и_дети'!R$3&gt;='01_Вводные'!$B$245))))/2)</f>
        <v/>
      </c>
      <c r="S2407">
        <f>SUMPRODUCT(('01_Вводные'!$D$314:$D$318*'01_Вводные'!$B$314:$B$318*IF('01_Вводные'!$B$9=0,0,'06_Сеть_и_дети'!S11/'01_Вводные'!$B$9)+'06_Сеть_и_дети'!S20*'19_Расчет_аналитики'!S2830*'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2830*'01_Вводные'!$C$314:$C$318*('01_Вводные'!$E$314:$E$318*('06_Сеть_и_дети'!S$3&lt;'01_Вводные'!$B$245)+'01_Вводные'!$B$57*('06_Сеть_и_дети'!S$3&gt;='01_Вводные'!$B$245))))/2)</f>
        <v/>
      </c>
      <c r="T2407">
        <f>SUMPRODUCT(('01_Вводные'!$D$314:$D$318*'01_Вводные'!$B$314:$B$318*IF('01_Вводные'!$B$9=0,0,'06_Сеть_и_дети'!T11/'01_Вводные'!$B$9)+'06_Сеть_и_дети'!T20*'19_Расчет_аналитики'!T2830*'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2830*'01_Вводные'!$C$314:$C$318*('01_Вводные'!$E$314:$E$318*('06_Сеть_и_дети'!T$3&lt;'01_Вводные'!$B$245)+'01_Вводные'!$B$57*('06_Сеть_и_дети'!T$3&gt;='01_Вводные'!$B$245))))/2)</f>
        <v/>
      </c>
      <c r="U2407">
        <f>SUMPRODUCT(('01_Вводные'!$D$314:$D$318*'01_Вводные'!$B$314:$B$318*IF('01_Вводные'!$B$9=0,0,'06_Сеть_и_дети'!U11/'01_Вводные'!$B$9)+'06_Сеть_и_дети'!U20*'19_Расчет_аналитики'!U2830*'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2830*'01_Вводные'!$C$314:$C$318*('01_Вводные'!$E$314:$E$318*('06_Сеть_и_дети'!U$3&lt;'01_Вводные'!$B$245)+'01_Вводные'!$B$57*('06_Сеть_и_дети'!U$3&gt;='01_Вводные'!$B$245))))/2)</f>
        <v/>
      </c>
      <c r="V2407">
        <f>SUMPRODUCT(('01_Вводные'!$D$314:$D$318*'01_Вводные'!$B$314:$B$318*IF('01_Вводные'!$B$9=0,0,'06_Сеть_и_дети'!V11/'01_Вводные'!$B$9)+'06_Сеть_и_дети'!V20*'19_Расчет_аналитики'!V2830*'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2830*'01_Вводные'!$C$314:$C$318*('01_Вводные'!$E$314:$E$318*('06_Сеть_и_дети'!V$3&lt;'01_Вводные'!$B$245)+'01_Вводные'!$B$57*('06_Сеть_и_дети'!V$3&gt;='01_Вводные'!$B$245))))/2)</f>
        <v/>
      </c>
      <c r="W2407">
        <f>SUMPRODUCT(('01_Вводные'!$D$314:$D$318*'01_Вводные'!$B$314:$B$318*IF('01_Вводные'!$B$9=0,0,'06_Сеть_и_дети'!W11/'01_Вводные'!$B$9)+'06_Сеть_и_дети'!W20*'19_Расчет_аналитики'!W2830*'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2830*'01_Вводные'!$C$314:$C$318*('01_Вводные'!$E$314:$E$318*('06_Сеть_и_дети'!W$3&lt;'01_Вводные'!$B$245)+'01_Вводные'!$B$57*('06_Сеть_и_дети'!W$3&gt;='01_Вводные'!$B$245))))/2)</f>
        <v/>
      </c>
      <c r="X2407">
        <f>SUMPRODUCT(('01_Вводные'!$D$314:$D$318*'01_Вводные'!$B$314:$B$318*IF('01_Вводные'!$B$9=0,0,'06_Сеть_и_дети'!X11/'01_Вводные'!$B$9)+'06_Сеть_и_дети'!X20*'19_Расчет_аналитики'!X2830*'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2830*'01_Вводные'!$C$314:$C$318*('01_Вводные'!$E$314:$E$318*('06_Сеть_и_дети'!X$3&lt;'01_Вводные'!$B$245)+'01_Вводные'!$B$57*('06_Сеть_и_дети'!X$3&gt;='01_Вводные'!$B$245))))/2)</f>
        <v/>
      </c>
      <c r="Y2407">
        <f>SUMPRODUCT(('01_Вводные'!$D$314:$D$318*'01_Вводные'!$B$314:$B$318*IF('01_Вводные'!$B$9=0,0,'06_Сеть_и_дети'!Y11/'01_Вводные'!$B$9)+'06_Сеть_и_дети'!Y20*'19_Расчет_аналитики'!Y2830*'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2830*'01_Вводные'!$C$314:$C$318*('01_Вводные'!$E$314:$E$318*('06_Сеть_и_дети'!Y$3&lt;'01_Вводные'!$B$245)+'01_Вводные'!$B$57*('06_Сеть_и_дети'!Y$3&gt;='01_Вводные'!$B$245))))/2)</f>
        <v/>
      </c>
      <c r="Z2407">
        <f>SUMPRODUCT(('01_Вводные'!$D$314:$D$318*'01_Вводные'!$B$314:$B$318*IF('01_Вводные'!$B$9=0,0,'06_Сеть_и_дети'!Z11/'01_Вводные'!$B$9)+'06_Сеть_и_дети'!Z20*'19_Расчет_аналитики'!Z2830*'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2830*'01_Вводные'!$C$314:$C$318*('01_Вводные'!$E$314:$E$318*('06_Сеть_и_дети'!Z$3&lt;'01_Вводные'!$B$245)+'01_Вводные'!$B$57*('06_Сеть_и_дети'!Z$3&gt;='01_Вводные'!$B$245))))/2)</f>
        <v/>
      </c>
      <c r="AA2407">
        <f>SUMPRODUCT(('01_Вводные'!$D$314:$D$318*'01_Вводные'!$B$314:$B$318*IF('01_Вводные'!$B$9=0,0,'06_Сеть_и_дети'!AA11/'01_Вводные'!$B$9)+'06_Сеть_и_дети'!AA20*'19_Расчет_аналитики'!AA2830*'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2830*'01_Вводные'!$C$314:$C$318*('01_Вводные'!$E$314:$E$318*('06_Сеть_и_дети'!AA$3&lt;'01_Вводные'!$B$245)+'01_Вводные'!$B$57*('06_Сеть_и_дети'!AA$3&gt;='01_Вводные'!$B$245))))/2)</f>
        <v/>
      </c>
      <c r="AB2407">
        <f>SUMPRODUCT(('01_Вводные'!$D$314:$D$318*'01_Вводные'!$B$314:$B$318*IF('01_Вводные'!$B$9=0,0,'06_Сеть_и_дети'!AB11/'01_Вводные'!$B$9)+'06_Сеть_и_дети'!AB20*'19_Расчет_аналитики'!AB2830*'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2830*'01_Вводные'!$C$314:$C$318*('01_Вводные'!$E$314:$E$318*('06_Сеть_и_дети'!AB$3&lt;'01_Вводные'!$B$245)+'01_Вводные'!$B$57*('06_Сеть_и_дети'!AB$3&gt;='01_Вводные'!$B$245))))/2)</f>
        <v/>
      </c>
      <c r="AC2407">
        <f>SUMPRODUCT(('01_Вводные'!$D$314:$D$318*'01_Вводные'!$B$314:$B$318*IF('01_Вводные'!$B$9=0,0,'06_Сеть_и_дети'!AC11/'01_Вводные'!$B$9)+'06_Сеть_и_дети'!AC20*'19_Расчет_аналитики'!AC2830*'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2830*'01_Вводные'!$C$314:$C$318*('01_Вводные'!$E$314:$E$318*('06_Сеть_и_дети'!AC$3&lt;'01_Вводные'!$B$245)+'01_Вводные'!$B$57*('06_Сеть_и_дети'!AC$3&gt;='01_Вводные'!$B$245))))/2)</f>
        <v/>
      </c>
      <c r="AD2407">
        <f>SUMPRODUCT(('01_Вводные'!$D$314:$D$318*'01_Вводные'!$B$314:$B$318*IF('01_Вводные'!$B$9=0,0,'06_Сеть_и_дети'!AD11/'01_Вводные'!$B$9)+'06_Сеть_и_дети'!AD20*'19_Расчет_аналитики'!AD2830*'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2830*'01_Вводные'!$C$314:$C$318*('01_Вводные'!$E$314:$E$318*('06_Сеть_и_дети'!AD$3&lt;'01_Вводные'!$B$245)+'01_Вводные'!$B$57*('06_Сеть_и_дети'!AD$3&gt;='01_Вводные'!$B$245))))/2)</f>
        <v/>
      </c>
      <c r="AE2407">
        <f>SUMPRODUCT(('01_Вводные'!$D$314:$D$318*'01_Вводные'!$B$314:$B$318*IF('01_Вводные'!$B$9=0,0,'06_Сеть_и_дети'!AE11/'01_Вводные'!$B$9)+'06_Сеть_и_дети'!AE20*'19_Расчет_аналитики'!AE2830*'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2830*'01_Вводные'!$C$314:$C$318*('01_Вводные'!$E$314:$E$318*('06_Сеть_и_дети'!AE$3&lt;'01_Вводные'!$B$245)+'01_Вводные'!$B$57*('06_Сеть_и_дети'!AE$3&gt;='01_Вводные'!$B$245))))/2)</f>
        <v/>
      </c>
      <c r="AF2407">
        <f>SUMPRODUCT(('01_Вводные'!$D$314:$D$318*'01_Вводные'!$B$314:$B$318*IF('01_Вводные'!$B$9=0,0,'06_Сеть_и_дети'!AF11/'01_Вводные'!$B$9)+'06_Сеть_и_дети'!AF20*'19_Расчет_аналитики'!AF2830*'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2830*'01_Вводные'!$C$314:$C$318*('01_Вводные'!$E$314:$E$318*('06_Сеть_и_дети'!AF$3&lt;'01_Вводные'!$B$245)+'01_Вводные'!$B$57*('06_Сеть_и_дети'!AF$3&gt;='01_Вводные'!$B$245))))/2)</f>
        <v/>
      </c>
      <c r="AG2407">
        <f>SUMPRODUCT(('01_Вводные'!$D$314:$D$318*'01_Вводные'!$B$314:$B$318*IF('01_Вводные'!$B$9=0,0,'06_Сеть_и_дети'!AG11/'01_Вводные'!$B$9)+'06_Сеть_и_дети'!AG20*'19_Расчет_аналитики'!AG2830*'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2830*'01_Вводные'!$C$314:$C$318*('01_Вводные'!$E$314:$E$318*('06_Сеть_и_дети'!AG$3&lt;'01_Вводные'!$B$245)+'01_Вводные'!$B$57*('06_Сеть_и_дети'!AG$3&gt;='01_Вводные'!$B$245))))/2)</f>
        <v/>
      </c>
      <c r="AH2407">
        <f>SUMPRODUCT(('01_Вводные'!$D$314:$D$318*'01_Вводные'!$B$314:$B$318*IF('01_Вводные'!$B$9=0,0,'06_Сеть_и_дети'!AH11/'01_Вводные'!$B$9)+'06_Сеть_и_дети'!AH20*'19_Расчет_аналитики'!AH2830*'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2830*'01_Вводные'!$C$314:$C$318*('01_Вводные'!$E$314:$E$318*('06_Сеть_и_дети'!AH$3&lt;'01_Вводные'!$B$245)+'01_Вводные'!$B$57*('06_Сеть_и_дети'!AH$3&gt;='01_Вводные'!$B$245))))/2)</f>
        <v/>
      </c>
      <c r="AI2407">
        <f>SUMPRODUCT(('01_Вводные'!$D$314:$D$318*'01_Вводные'!$B$314:$B$318*IF('01_Вводные'!$B$9=0,0,'06_Сеть_и_дети'!AI11/'01_Вводные'!$B$9)+'06_Сеть_и_дети'!AI20*'19_Расчет_аналитики'!AI2830*'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2830*'01_Вводные'!$C$314:$C$318*('01_Вводные'!$E$314:$E$318*('06_Сеть_и_дети'!AI$3&lt;'01_Вводные'!$B$245)+'01_Вводные'!$B$57*('06_Сеть_и_дети'!AI$3&gt;='01_Вводные'!$B$245))))/2)</f>
        <v/>
      </c>
      <c r="AJ2407">
        <f>SUMPRODUCT(('01_Вводные'!$D$314:$D$318*'01_Вводные'!$B$314:$B$318*IF('01_Вводные'!$B$9=0,0,'06_Сеть_и_дети'!AJ11/'01_Вводные'!$B$9)+'06_Сеть_и_дети'!AJ20*'19_Расчет_аналитики'!AJ2830*'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2830*'01_Вводные'!$C$314:$C$318*('01_Вводные'!$E$314:$E$318*('06_Сеть_и_дети'!AJ$3&lt;'01_Вводные'!$B$245)+'01_Вводные'!$B$57*('06_Сеть_и_дети'!AJ$3&gt;='01_Вводные'!$B$245))))/2)</f>
        <v/>
      </c>
      <c r="AK2407">
        <f>SUMPRODUCT(('01_Вводные'!$D$314:$D$318*'01_Вводные'!$B$314:$B$318*IF('01_Вводные'!$B$9=0,0,'06_Сеть_и_дети'!AK11/'01_Вводные'!$B$9)+'06_Сеть_и_дети'!AK20*'19_Расчет_аналитики'!AK2830*'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2830*'01_Вводные'!$C$314:$C$318*('01_Вводные'!$E$314:$E$318*('06_Сеть_и_дети'!AK$3&lt;'01_Вводные'!$B$245)+'01_Вводные'!$B$57*('06_Сеть_и_дети'!AK$3&gt;='01_Вводные'!$B$245))))/2)</f>
        <v/>
      </c>
      <c r="AL2407">
        <f>SUMPRODUCT(('01_Вводные'!$D$314:$D$318*'01_Вводные'!$B$314:$B$318*IF('01_Вводные'!$B$9=0,0,'06_Сеть_и_дети'!AL11/'01_Вводные'!$B$9)+'06_Сеть_и_дети'!AL20*'19_Расчет_аналитики'!AL2830*'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2830*'01_Вводные'!$C$314:$C$318*('01_Вводные'!$E$314:$E$318*('06_Сеть_и_дети'!AL$3&lt;'01_Вводные'!$B$245)+'01_Вводные'!$B$57*('06_Сеть_и_дети'!AL$3&gt;='01_Вводные'!$B$245))))/2)</f>
        <v/>
      </c>
      <c r="AM2407">
        <f>SUMPRODUCT(('01_Вводные'!$D$314:$D$318*'01_Вводные'!$B$314:$B$318*IF('01_Вводные'!$B$9=0,0,'06_Сеть_и_дети'!AM11/'01_Вводные'!$B$9)+'06_Сеть_и_дети'!AM20*'19_Расчет_аналитики'!AM2830*'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2830*'01_Вводные'!$C$314:$C$318*('01_Вводные'!$E$314:$E$318*('06_Сеть_и_дети'!AM$3&lt;'01_Вводные'!$B$245)+'01_Вводные'!$B$57*('06_Сеть_и_дети'!AM$3&gt;='01_Вводные'!$B$245))))/2)</f>
        <v/>
      </c>
      <c r="AN2407">
        <f>SUMPRODUCT(('01_Вводные'!$D$314:$D$318*'01_Вводные'!$B$314:$B$318*IF('01_Вводные'!$B$9=0,0,'06_Сеть_и_дети'!AN11/'01_Вводные'!$B$9)+'06_Сеть_и_дети'!AN20*'19_Расчет_аналитики'!AN2830*'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2830*'01_Вводные'!$C$314:$C$318*('01_Вводные'!$E$314:$E$318*('06_Сеть_и_дети'!AN$3&lt;'01_Вводные'!$B$245)+'01_Вводные'!$B$57*('06_Сеть_и_дети'!AN$3&gt;='01_Вводные'!$B$245))))/2)</f>
        <v/>
      </c>
      <c r="AO2407">
        <f>SUMPRODUCT(('01_Вводные'!$D$314:$D$318*'01_Вводные'!$B$314:$B$318*IF('01_Вводные'!$B$9=0,0,'06_Сеть_и_дети'!AO11/'01_Вводные'!$B$9)+'06_Сеть_и_дети'!AO20*'19_Расчет_аналитики'!AO2830*'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2830*'01_Вводные'!$C$314:$C$318*('01_Вводные'!$E$314:$E$318*('06_Сеть_и_дети'!AO$3&lt;'01_Вводные'!$B$245)+'01_Вводные'!$B$57*('06_Сеть_и_дети'!AO$3&gt;='01_Вводные'!$B$245))))/2)</f>
        <v/>
      </c>
      <c r="AP2407">
        <f>SUMPRODUCT(('01_Вводные'!$D$314:$D$318*'01_Вводные'!$B$314:$B$318*IF('01_Вводные'!$B$9=0,0,'06_Сеть_и_дети'!AP11/'01_Вводные'!$B$9)+'06_Сеть_и_дети'!AP20*'19_Расчет_аналитики'!AP2830*'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2830*'01_Вводные'!$C$314:$C$318*('01_Вводные'!$E$314:$E$318*('06_Сеть_и_дети'!AP$3&lt;'01_Вводные'!$B$245)+'01_Вводные'!$B$57*('06_Сеть_и_дети'!AP$3&gt;='01_Вводные'!$B$245))))/2)</f>
        <v/>
      </c>
      <c r="AQ2407">
        <f>SUMPRODUCT(('01_Вводные'!$D$314:$D$318*'01_Вводные'!$B$314:$B$318*IF('01_Вводные'!$B$9=0,0,'06_Сеть_и_дети'!AQ11/'01_Вводные'!$B$9)+'06_Сеть_и_дети'!AQ20*'19_Расчет_аналитики'!AQ2830*'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2830*'01_Вводные'!$C$314:$C$318*('01_Вводные'!$E$314:$E$318*('06_Сеть_и_дети'!AQ$3&lt;'01_Вводные'!$B$245)+'01_Вводные'!$B$57*('06_Сеть_и_дети'!AQ$3&gt;='01_Вводные'!$B$245))))/2)</f>
        <v/>
      </c>
      <c r="AR2407">
        <f>SUMPRODUCT(('01_Вводные'!$D$314:$D$318*'01_Вводные'!$B$314:$B$318*IF('01_Вводные'!$B$9=0,0,'06_Сеть_и_дети'!AR11/'01_Вводные'!$B$9)+'06_Сеть_и_дети'!AR20*'19_Расчет_аналитики'!AR2830*'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2830*'01_Вводные'!$C$314:$C$318*('01_Вводные'!$E$314:$E$318*('06_Сеть_и_дети'!AR$3&lt;'01_Вводные'!$B$245)+'01_Вводные'!$B$57*('06_Сеть_и_дети'!AR$3&gt;='01_Вводные'!$B$245))))/2)</f>
        <v/>
      </c>
      <c r="AS2407">
        <f>SUMPRODUCT(('01_Вводные'!$D$314:$D$318*'01_Вводные'!$B$314:$B$318*IF('01_Вводные'!$B$9=0,0,'06_Сеть_и_дети'!AS11/'01_Вводные'!$B$9)+'06_Сеть_и_дети'!AS20*'19_Расчет_аналитики'!AS2830*'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2830*'01_Вводные'!$C$314:$C$318*('01_Вводные'!$E$314:$E$318*('06_Сеть_и_дети'!AS$3&lt;'01_Вводные'!$B$245)+'01_Вводные'!$B$57*('06_Сеть_и_дети'!AS$3&gt;='01_Вводные'!$B$245))))/2)</f>
        <v/>
      </c>
      <c r="AT2407">
        <f>SUMPRODUCT(('01_Вводные'!$D$314:$D$318*'01_Вводные'!$B$314:$B$318*IF('01_Вводные'!$B$9=0,0,'06_Сеть_и_дети'!AT11/'01_Вводные'!$B$9)+'06_Сеть_и_дети'!AT20*'19_Расчет_аналитики'!AT2830*'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2830*'01_Вводные'!$C$314:$C$318*('01_Вводные'!$E$314:$E$318*('06_Сеть_и_дети'!AT$3&lt;'01_Вводные'!$B$245)+'01_Вводные'!$B$57*('06_Сеть_и_дети'!AT$3&gt;='01_Вводные'!$B$245))))/2)</f>
        <v/>
      </c>
      <c r="AU2407">
        <f>SUMPRODUCT(('01_Вводные'!$D$314:$D$318*'01_Вводные'!$B$314:$B$318*IF('01_Вводные'!$B$9=0,0,'06_Сеть_и_дети'!AU11/'01_Вводные'!$B$9)+'06_Сеть_и_дети'!AU20*'19_Расчет_аналитики'!AU2830*'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2830*'01_Вводные'!$C$314:$C$318*('01_Вводные'!$E$314:$E$318*('06_Сеть_и_дети'!AU$3&lt;'01_Вводные'!$B$245)+'01_Вводные'!$B$57*('06_Сеть_и_дети'!AU$3&gt;='01_Вводные'!$B$245))))/2)</f>
        <v/>
      </c>
      <c r="AV2407">
        <f>SUMPRODUCT(('01_Вводные'!$D$314:$D$318*'01_Вводные'!$B$314:$B$318*IF('01_Вводные'!$B$9=0,0,'06_Сеть_и_дети'!AV11/'01_Вводные'!$B$9)+'06_Сеть_и_дети'!AV20*'19_Расчет_аналитики'!AV2830*'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2830*'01_Вводные'!$C$314:$C$318*('01_Вводные'!$E$314:$E$318*('06_Сеть_и_дети'!AV$3&lt;'01_Вводные'!$B$245)+'01_Вводные'!$B$57*('06_Сеть_и_дети'!AV$3&gt;='01_Вводные'!$B$245))))/2)</f>
        <v/>
      </c>
      <c r="AW2407">
        <f>SUMPRODUCT(('01_Вводные'!$D$314:$D$318*'01_Вводные'!$B$314:$B$318*IF('01_Вводные'!$B$9=0,0,'06_Сеть_и_дети'!AW11/'01_Вводные'!$B$9)+'06_Сеть_и_дети'!AW20*'19_Расчет_аналитики'!AW2830*'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2830*'01_Вводные'!$C$314:$C$318*('01_Вводные'!$E$314:$E$318*('06_Сеть_и_дети'!AW$3&lt;'01_Вводные'!$B$245)+'01_Вводные'!$B$57*('06_Сеть_и_дети'!AW$3&gt;='01_Вводные'!$B$245))))/2)</f>
        <v/>
      </c>
      <c r="AX2407">
        <f>SUMPRODUCT(('01_Вводные'!$D$314:$D$318*'01_Вводные'!$B$314:$B$318*IF('01_Вводные'!$B$9=0,0,'06_Сеть_и_дети'!AX11/'01_Вводные'!$B$9)+'06_Сеть_и_дети'!AX20*'19_Расчет_аналитики'!AX2830*'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2830*'01_Вводные'!$C$314:$C$318*('01_Вводные'!$E$314:$E$318*('06_Сеть_и_дети'!AX$3&lt;'01_Вводные'!$B$245)+'01_Вводные'!$B$57*('06_Сеть_и_дети'!AX$3&gt;='01_Вводные'!$B$245))))/2)</f>
        <v/>
      </c>
      <c r="AY2407">
        <f>SUMPRODUCT(('01_Вводные'!$D$314:$D$318*'01_Вводные'!$B$314:$B$318*IF('01_Вводные'!$B$9=0,0,'06_Сеть_и_дети'!AY11/'01_Вводные'!$B$9)+'06_Сеть_и_дети'!AY20*'19_Расчет_аналитики'!AY2830*'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2830*'01_Вводные'!$C$314:$C$318*('01_Вводные'!$E$314:$E$318*('06_Сеть_и_дети'!AY$3&lt;'01_Вводные'!$B$245)+'01_Вводные'!$B$57*('06_Сеть_и_дети'!AY$3&gt;='01_Вводные'!$B$245))))/2)</f>
        <v/>
      </c>
      <c r="AZ2407">
        <f>SUMPRODUCT(('01_Вводные'!$D$314:$D$318*'01_Вводные'!$B$314:$B$318*IF('01_Вводные'!$B$9=0,0,'06_Сеть_и_дети'!AZ11/'01_Вводные'!$B$9)+'06_Сеть_и_дети'!AZ20*'19_Расчет_аналитики'!AZ2830*'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2830*'01_Вводные'!$C$314:$C$318*('01_Вводные'!$E$314:$E$318*('06_Сеть_и_дети'!AZ$3&lt;'01_Вводные'!$B$245)+'01_Вводные'!$B$57*('06_Сеть_и_дети'!AZ$3&gt;='01_Вводные'!$B$245))))/2)</f>
        <v/>
      </c>
      <c r="BA2407">
        <f>SUMPRODUCT(('01_Вводные'!$D$314:$D$318*'01_Вводные'!$B$314:$B$318*IF('01_Вводные'!$B$9=0,0,'06_Сеть_и_дети'!BA11/'01_Вводные'!$B$9)+'06_Сеть_и_дети'!BA20*'19_Расчет_аналитики'!BA2830*'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2830*'01_Вводные'!$C$314:$C$318*('01_Вводные'!$E$314:$E$318*('06_Сеть_и_дети'!BA$3&lt;'01_Вводные'!$B$245)+'01_Вводные'!$B$57*('06_Сеть_и_дети'!BA$3&gt;='01_Вводные'!$B$245))))/2)</f>
        <v/>
      </c>
      <c r="BB2407">
        <f>SUMPRODUCT(('01_Вводные'!$D$314:$D$318*'01_Вводные'!$B$314:$B$318*IF('01_Вводные'!$B$9=0,0,'06_Сеть_и_дети'!BB11/'01_Вводные'!$B$9)+'06_Сеть_и_дети'!BB20*'19_Расчет_аналитики'!BB2830*'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2830*'01_Вводные'!$C$314:$C$318*('01_Вводные'!$E$314:$E$318*('06_Сеть_и_дети'!BB$3&lt;'01_Вводные'!$B$245)+'01_Вводные'!$B$57*('06_Сеть_и_дети'!BB$3&gt;='01_Вводные'!$B$245))))/2)</f>
        <v/>
      </c>
      <c r="BC2407">
        <f>SUMPRODUCT(('01_Вводные'!$D$314:$D$318*'01_Вводные'!$B$314:$B$318*IF('01_Вводные'!$B$9=0,0,'06_Сеть_и_дети'!BC11/'01_Вводные'!$B$9)+'06_Сеть_и_дети'!BC20*'19_Расчет_аналитики'!BC2830*'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2830*'01_Вводные'!$C$314:$C$318*('01_Вводные'!$E$314:$E$318*('06_Сеть_и_дети'!BC$3&lt;'01_Вводные'!$B$245)+'01_Вводные'!$B$57*('06_Сеть_и_дети'!BC$3&gt;='01_Вводные'!$B$245))))/2)</f>
        <v/>
      </c>
      <c r="BD2407">
        <f>SUMPRODUCT(('01_Вводные'!$D$314:$D$318*'01_Вводные'!$B$314:$B$318*IF('01_Вводные'!$B$9=0,0,'06_Сеть_и_дети'!BD11/'01_Вводные'!$B$9)+'06_Сеть_и_дети'!BD20*'19_Расчет_аналитики'!BD2830*'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2830*'01_Вводные'!$C$314:$C$318*('01_Вводные'!$E$314:$E$318*('06_Сеть_и_дети'!BD$3&lt;'01_Вводные'!$B$245)+'01_Вводные'!$B$57*('06_Сеть_и_дети'!BD$3&gt;='01_Вводные'!$B$245))))/2)</f>
        <v/>
      </c>
      <c r="BE2407">
        <f>SUMPRODUCT(('01_Вводные'!$D$314:$D$318*'01_Вводные'!$B$314:$B$318*IF('01_Вводные'!$B$9=0,0,'06_Сеть_и_дети'!BE11/'01_Вводные'!$B$9)+'06_Сеть_и_дети'!BE20*'19_Расчет_аналитики'!BE2830*'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2830*'01_Вводные'!$C$314:$C$318*('01_Вводные'!$E$314:$E$318*('06_Сеть_и_дети'!BE$3&lt;'01_Вводные'!$B$245)+'01_Вводные'!$B$57*('06_Сеть_и_дети'!BE$3&gt;='01_Вводные'!$B$245))))/2)</f>
        <v/>
      </c>
      <c r="BF2407">
        <f>SUMPRODUCT(('01_Вводные'!$D$314:$D$318*'01_Вводные'!$B$314:$B$318*IF('01_Вводные'!$B$9=0,0,'06_Сеть_и_дети'!BF11/'01_Вводные'!$B$9)+'06_Сеть_и_дети'!BF20*'19_Расчет_аналитики'!BF2830*'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2830*'01_Вводные'!$C$314:$C$318*('01_Вводные'!$E$314:$E$318*('06_Сеть_и_дети'!BF$3&lt;'01_Вводные'!$B$245)+'01_Вводные'!$B$57*('06_Сеть_и_дети'!BF$3&gt;='01_Вводные'!$B$245))))/2)</f>
        <v/>
      </c>
      <c r="BG2407">
        <f>SUMPRODUCT(('01_Вводные'!$D$314:$D$318*'01_Вводные'!$B$314:$B$318*IF('01_Вводные'!$B$9=0,0,'06_Сеть_и_дети'!BG11/'01_Вводные'!$B$9)+'06_Сеть_и_дети'!BG20*'19_Расчет_аналитики'!BG2830*'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2830*'01_Вводные'!$C$314:$C$318*('01_Вводные'!$E$314:$E$318*('06_Сеть_и_дети'!BG$3&lt;'01_Вводные'!$B$245)+'01_Вводные'!$B$57*('06_Сеть_и_дети'!BG$3&gt;='01_Вводные'!$B$245))))/2)</f>
        <v/>
      </c>
      <c r="BH2407">
        <f>SUMPRODUCT(('01_Вводные'!$D$314:$D$318*'01_Вводные'!$B$314:$B$318*IF('01_Вводные'!$B$9=0,0,'06_Сеть_и_дети'!BH11/'01_Вводные'!$B$9)+'06_Сеть_и_дети'!BH20*'19_Расчет_аналитики'!BH2830*'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2830*'01_Вводные'!$C$314:$C$318*('01_Вводные'!$E$314:$E$318*('06_Сеть_и_дети'!BH$3&lt;'01_Вводные'!$B$245)+'01_Вводные'!$B$57*('06_Сеть_и_дети'!BH$3&gt;='01_Вводные'!$B$245))))/2)</f>
        <v/>
      </c>
      <c r="BI2407">
        <f>SUMPRODUCT(('01_Вводные'!$D$314:$D$318*'01_Вводные'!$B$314:$B$318*IF('01_Вводные'!$B$9=0,0,'06_Сеть_и_дети'!BI11/'01_Вводные'!$B$9)+'06_Сеть_и_дети'!BI20*'19_Расчет_аналитики'!BI2830*'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2830*'01_Вводные'!$C$314:$C$318*('01_Вводные'!$E$314:$E$318*('06_Сеть_и_дети'!BI$3&lt;'01_Вводные'!$B$245)+'01_Вводные'!$B$57*('06_Сеть_и_дети'!BI$3&gt;='01_Вводные'!$B$245))))/2)</f>
        <v/>
      </c>
      <c r="BJ2407">
        <f>SUMPRODUCT(('01_Вводные'!$D$314:$D$318*'01_Вводные'!$B$314:$B$318*IF('01_Вводные'!$B$9=0,0,'06_Сеть_и_дети'!BJ11/'01_Вводные'!$B$9)+'06_Сеть_и_дети'!BJ20*'19_Расчет_аналитики'!BJ2830*'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2830*'01_Вводные'!$C$314:$C$318*('01_Вводные'!$E$314:$E$318*('06_Сеть_и_дети'!BJ$3&lt;'01_Вводные'!$B$245)+'01_Вводные'!$B$57*('06_Сеть_и_дети'!BJ$3&gt;='01_Вводные'!$B$245))))/2)</f>
        <v/>
      </c>
      <c r="BK2407">
        <f>SUMPRODUCT(('01_Вводные'!$D$314:$D$318*'01_Вводные'!$B$314:$B$318*IF('01_Вводные'!$B$9=0,0,'06_Сеть_и_дети'!BK11/'01_Вводные'!$B$9)+'06_Сеть_и_дети'!BK20*'19_Расчет_аналитики'!BK2830*'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2830*'01_Вводные'!$C$314:$C$318*('01_Вводные'!$E$314:$E$318*('06_Сеть_и_дети'!BK$3&lt;'01_Вводные'!$B$245)+'01_Вводные'!$B$57*('06_Сеть_и_дети'!BK$3&gt;='01_Вводные'!$B$245))))/2)</f>
        <v/>
      </c>
      <c r="BL2407">
        <f>SUMPRODUCT(('01_Вводные'!$D$314:$D$318*'01_Вводные'!$B$314:$B$318*IF('01_Вводные'!$B$9=0,0,'06_Сеть_и_дети'!BL11/'01_Вводные'!$B$9)+'06_Сеть_и_дети'!BL20*'19_Расчет_аналитики'!BL2830*'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2830*'01_Вводные'!$C$314:$C$318*('01_Вводные'!$E$314:$E$318*('06_Сеть_и_дети'!BL$3&lt;'01_Вводные'!$B$245)+'01_Вводные'!$B$57*('06_Сеть_и_дети'!BL$3&gt;='01_Вводные'!$B$245))))/2)</f>
        <v/>
      </c>
      <c r="BM2407">
        <f>SUMPRODUCT(('01_Вводные'!$D$314:$D$318*'01_Вводные'!$B$314:$B$318*IF('01_Вводные'!$B$9=0,0,'06_Сеть_и_дети'!BM11/'01_Вводные'!$B$9)+'06_Сеть_и_дети'!BM20*'19_Расчет_аналитики'!BM2830*'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2830*'01_Вводные'!$C$314:$C$318*('01_Вводные'!$E$314:$E$318*('06_Сеть_и_дети'!BM$3&lt;'01_Вводные'!$B$245)+'01_Вводные'!$B$57*('06_Сеть_и_дети'!BM$3&gt;='01_Вводные'!$B$245))))/2)</f>
        <v/>
      </c>
      <c r="BN2407">
        <f>SUMPRODUCT(('01_Вводные'!$D$314:$D$318*'01_Вводные'!$B$314:$B$318*IF('01_Вводные'!$B$9=0,0,'06_Сеть_и_дети'!BN11/'01_Вводные'!$B$9)+'06_Сеть_и_дети'!BN20*'19_Расчет_аналитики'!BN2830*'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2830*'01_Вводные'!$C$314:$C$318*('01_Вводные'!$E$314:$E$318*('06_Сеть_и_дети'!BN$3&lt;'01_Вводные'!$B$245)+'01_Вводные'!$B$57*('06_Сеть_и_дети'!BN$3&gt;='01_Вводные'!$B$245))))/2)</f>
        <v/>
      </c>
      <c r="BO2407">
        <f>SUMPRODUCT(('01_Вводные'!$D$314:$D$318*'01_Вводные'!$B$314:$B$318*IF('01_Вводные'!$B$9=0,0,'06_Сеть_и_дети'!BO11/'01_Вводные'!$B$9)+'06_Сеть_и_дети'!BO20*'19_Расчет_аналитики'!BO2830*'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2830*'01_Вводные'!$C$314:$C$318*('01_Вводные'!$E$314:$E$318*('06_Сеть_и_дети'!BO$3&lt;'01_Вводные'!$B$245)+'01_Вводные'!$B$57*('06_Сеть_и_дети'!BO$3&gt;='01_Вводные'!$B$245))))/2)</f>
        <v/>
      </c>
    </row>
    <row r="2408">
      <c r="B2408">
        <f>SUM('19_Расчет_аналитики'!B2488:B2512,'19_Расчет_аналитики'!B2516:B2540)</f>
        <v/>
      </c>
      <c r="C2408">
        <f>SUM('19_Расчет_аналитики'!C2488:C2512,'19_Расчет_аналитики'!C2516:C2540)</f>
        <v/>
      </c>
      <c r="D2408">
        <f>SUM('19_Расчет_аналитики'!D2488:D2512,'19_Расчет_аналитики'!D2516:D2540)</f>
        <v/>
      </c>
      <c r="E2408">
        <f>SUM('19_Расчет_аналитики'!E2488:E2512,'19_Расчет_аналитики'!E2516:E2540)</f>
        <v/>
      </c>
      <c r="F2408">
        <f>SUM('19_Расчет_аналитики'!F2488:F2512,'19_Расчет_аналитики'!F2516:F2540)</f>
        <v/>
      </c>
      <c r="G2408">
        <f>SUM('19_Расчет_аналитики'!G2488:G2512,'19_Расчет_аналитики'!G2516:G2540)</f>
        <v/>
      </c>
      <c r="H2408">
        <f>SUM('19_Расчет_аналитики'!H2488:H2512,'19_Расчет_аналитики'!H2516:H2540)</f>
        <v/>
      </c>
      <c r="I2408">
        <f>SUM('19_Расчет_аналитики'!I2488:I2512,'19_Расчет_аналитики'!I2516:I2540)</f>
        <v/>
      </c>
      <c r="J2408">
        <f>SUM('19_Расчет_аналитики'!J2488:J2512,'19_Расчет_аналитики'!J2516:J2540)</f>
        <v/>
      </c>
      <c r="K2408">
        <f>SUM('19_Расчет_аналитики'!K2488:K2512,'19_Расчет_аналитики'!K2516:K2540)</f>
        <v/>
      </c>
      <c r="L2408">
        <f>SUM('19_Расчет_аналитики'!L2488:L2512,'19_Расчет_аналитики'!L2516:L2540)</f>
        <v/>
      </c>
      <c r="M2408">
        <f>SUM('19_Расчет_аналитики'!M2488:M2512,'19_Расчет_аналитики'!M2516:M2540)</f>
        <v/>
      </c>
      <c r="N2408">
        <f>SUM('19_Расчет_аналитики'!N2488:N2512,'19_Расчет_аналитики'!N2516:N2540)</f>
        <v/>
      </c>
      <c r="O2408">
        <f>SUM('19_Расчет_аналитики'!O2488:O2512,'19_Расчет_аналитики'!O2516:O2540)</f>
        <v/>
      </c>
      <c r="P2408">
        <f>SUM('19_Расчет_аналитики'!P2488:P2512,'19_Расчет_аналитики'!P2516:P2540)</f>
        <v/>
      </c>
      <c r="Q2408">
        <f>SUM('19_Расчет_аналитики'!Q2488:Q2512,'19_Расчет_аналитики'!Q2516:Q2540)</f>
        <v/>
      </c>
      <c r="R2408">
        <f>SUM('19_Расчет_аналитики'!R2488:R2512,'19_Расчет_аналитики'!R2516:R2540)</f>
        <v/>
      </c>
      <c r="S2408">
        <f>SUM('19_Расчет_аналитики'!S2488:S2512,'19_Расчет_аналитики'!S2516:S2540)</f>
        <v/>
      </c>
      <c r="T2408">
        <f>SUM('19_Расчет_аналитики'!T2488:T2512,'19_Расчет_аналитики'!T2516:T2540)</f>
        <v/>
      </c>
      <c r="U2408">
        <f>SUM('19_Расчет_аналитики'!U2488:U2512,'19_Расчет_аналитики'!U2516:U2540)</f>
        <v/>
      </c>
      <c r="V2408">
        <f>SUM('19_Расчет_аналитики'!V2488:V2512,'19_Расчет_аналитики'!V2516:V2540)</f>
        <v/>
      </c>
      <c r="W2408">
        <f>SUM('19_Расчет_аналитики'!W2488:W2512,'19_Расчет_аналитики'!W2516:W2540)</f>
        <v/>
      </c>
      <c r="X2408">
        <f>SUM('19_Расчет_аналитики'!X2488:X2512,'19_Расчет_аналитики'!X2516:X2540)</f>
        <v/>
      </c>
      <c r="Y2408">
        <f>SUM('19_Расчет_аналитики'!Y2488:Y2512,'19_Расчет_аналитики'!Y2516:Y2540)</f>
        <v/>
      </c>
      <c r="Z2408">
        <f>SUM('19_Расчет_аналитики'!Z2488:Z2512,'19_Расчет_аналитики'!Z2516:Z2540)</f>
        <v/>
      </c>
      <c r="AA2408">
        <f>SUM('19_Расчет_аналитики'!AA2488:AA2512,'19_Расчет_аналитики'!AA2516:AA2540)</f>
        <v/>
      </c>
      <c r="AB2408">
        <f>SUM('19_Расчет_аналитики'!AB2488:AB2512,'19_Расчет_аналитики'!AB2516:AB2540)</f>
        <v/>
      </c>
      <c r="AC2408">
        <f>SUM('19_Расчет_аналитики'!AC2488:AC2512,'19_Расчет_аналитики'!AC2516:AC2540)</f>
        <v/>
      </c>
      <c r="AD2408">
        <f>SUM('19_Расчет_аналитики'!AD2488:AD2512,'19_Расчет_аналитики'!AD2516:AD2540)</f>
        <v/>
      </c>
      <c r="AE2408">
        <f>SUM('19_Расчет_аналитики'!AE2488:AE2512,'19_Расчет_аналитики'!AE2516:AE2540)</f>
        <v/>
      </c>
      <c r="AF2408">
        <f>SUM('19_Расчет_аналитики'!AF2488:AF2512,'19_Расчет_аналитики'!AF2516:AF2540)</f>
        <v/>
      </c>
      <c r="AG2408">
        <f>SUM('19_Расчет_аналитики'!AG2488:AG2512,'19_Расчет_аналитики'!AG2516:AG2540)</f>
        <v/>
      </c>
      <c r="AH2408">
        <f>SUM('19_Расчет_аналитики'!AH2488:AH2512,'19_Расчет_аналитики'!AH2516:AH2540)</f>
        <v/>
      </c>
      <c r="AI2408">
        <f>SUM('19_Расчет_аналитики'!AI2488:AI2512,'19_Расчет_аналитики'!AI2516:AI2540)</f>
        <v/>
      </c>
      <c r="AJ2408">
        <f>SUM('19_Расчет_аналитики'!AJ2488:AJ2512,'19_Расчет_аналитики'!AJ2516:AJ2540)</f>
        <v/>
      </c>
      <c r="AK2408">
        <f>SUM('19_Расчет_аналитики'!AK2488:AK2512,'19_Расчет_аналитики'!AK2516:AK2540)</f>
        <v/>
      </c>
      <c r="AL2408">
        <f>SUM('19_Расчет_аналитики'!AL2488:AL2512,'19_Расчет_аналитики'!AL2516:AL2540)</f>
        <v/>
      </c>
      <c r="AM2408">
        <f>SUM('19_Расчет_аналитики'!AM2488:AM2512,'19_Расчет_аналитики'!AM2516:AM2540)</f>
        <v/>
      </c>
      <c r="AN2408">
        <f>SUM('19_Расчет_аналитики'!AN2488:AN2512,'19_Расчет_аналитики'!AN2516:AN2540)</f>
        <v/>
      </c>
      <c r="AO2408">
        <f>SUM('19_Расчет_аналитики'!AO2488:AO2512,'19_Расчет_аналитики'!AO2516:AO2540)</f>
        <v/>
      </c>
      <c r="AP2408">
        <f>SUM('19_Расчет_аналитики'!AP2488:AP2512,'19_Расчет_аналитики'!AP2516:AP2540)</f>
        <v/>
      </c>
      <c r="AQ2408">
        <f>SUM('19_Расчет_аналитики'!AQ2488:AQ2512,'19_Расчет_аналитики'!AQ2516:AQ2540)</f>
        <v/>
      </c>
      <c r="AR2408">
        <f>SUM('19_Расчет_аналитики'!AR2488:AR2512,'19_Расчет_аналитики'!AR2516:AR2540)</f>
        <v/>
      </c>
      <c r="AS2408">
        <f>SUM('19_Расчет_аналитики'!AS2488:AS2512,'19_Расчет_аналитики'!AS2516:AS2540)</f>
        <v/>
      </c>
      <c r="AT2408">
        <f>SUM('19_Расчет_аналитики'!AT2488:AT2512,'19_Расчет_аналитики'!AT2516:AT2540)</f>
        <v/>
      </c>
      <c r="AU2408">
        <f>SUM('19_Расчет_аналитики'!AU2488:AU2512,'19_Расчет_аналитики'!AU2516:AU2540)</f>
        <v/>
      </c>
      <c r="AV2408">
        <f>SUM('19_Расчет_аналитики'!AV2488:AV2512,'19_Расчет_аналитики'!AV2516:AV2540)</f>
        <v/>
      </c>
      <c r="AW2408">
        <f>SUM('19_Расчет_аналитики'!AW2488:AW2512,'19_Расчет_аналитики'!AW2516:AW2540)</f>
        <v/>
      </c>
      <c r="AX2408">
        <f>SUM('19_Расчет_аналитики'!AX2488:AX2512,'19_Расчет_аналитики'!AX2516:AX2540)</f>
        <v/>
      </c>
      <c r="AY2408">
        <f>SUM('19_Расчет_аналитики'!AY2488:AY2512,'19_Расчет_аналитики'!AY2516:AY2540)</f>
        <v/>
      </c>
      <c r="AZ2408">
        <f>SUM('19_Расчет_аналитики'!AZ2488:AZ2512,'19_Расчет_аналитики'!AZ2516:AZ2540)</f>
        <v/>
      </c>
      <c r="BA2408">
        <f>SUM('19_Расчет_аналитики'!BA2488:BA2512,'19_Расчет_аналитики'!BA2516:BA2540)</f>
        <v/>
      </c>
      <c r="BB2408">
        <f>SUM('19_Расчет_аналитики'!BB2488:BB2512,'19_Расчет_аналитики'!BB2516:BB2540)</f>
        <v/>
      </c>
      <c r="BC2408">
        <f>SUM('19_Расчет_аналитики'!BC2488:BC2512,'19_Расчет_аналитики'!BC2516:BC2540)</f>
        <v/>
      </c>
      <c r="BD2408">
        <f>SUM('19_Расчет_аналитики'!BD2488:BD2512,'19_Расчет_аналитики'!BD2516:BD2540)</f>
        <v/>
      </c>
      <c r="BE2408">
        <f>SUM('19_Расчет_аналитики'!BE2488:BE2512,'19_Расчет_аналитики'!BE2516:BE2540)</f>
        <v/>
      </c>
      <c r="BF2408">
        <f>SUM('19_Расчет_аналитики'!BF2488:BF2512,'19_Расчет_аналитики'!BF2516:BF2540)</f>
        <v/>
      </c>
      <c r="BG2408">
        <f>SUM('19_Расчет_аналитики'!BG2488:BG2512,'19_Расчет_аналитики'!BG2516:BG2540)</f>
        <v/>
      </c>
      <c r="BH2408">
        <f>SUM('19_Расчет_аналитики'!BH2488:BH2512,'19_Расчет_аналитики'!BH2516:BH2540)</f>
        <v/>
      </c>
      <c r="BI2408">
        <f>SUM('19_Расчет_аналитики'!BI2488:BI2512,'19_Расчет_аналитики'!BI2516:BI2540)</f>
        <v/>
      </c>
      <c r="BJ2408">
        <f>SUM('19_Расчет_аналитики'!BJ2488:BJ2512,'19_Расчет_аналитики'!BJ2516:BJ2540)</f>
        <v/>
      </c>
      <c r="BK2408">
        <f>SUM('19_Расчет_аналитики'!BK2488:BK2512,'19_Расчет_аналитики'!BK2516:BK2540)</f>
        <v/>
      </c>
      <c r="BL2408">
        <f>SUM('19_Расчет_аналитики'!BL2488:BL2512,'19_Расчет_аналитики'!BL2516:BL2540)</f>
        <v/>
      </c>
      <c r="BM2408">
        <f>SUM('19_Расчет_аналитики'!BM2488:BM2512,'19_Расчет_аналитики'!BM2516:BM2540)</f>
        <v/>
      </c>
      <c r="BN2408">
        <f>SUM('19_Расчет_аналитики'!BN2488:BN2512,'19_Расчет_аналитики'!BN2516:BN2540)</f>
        <v/>
      </c>
      <c r="BO2408">
        <f>SUM('19_Расчет_аналитики'!BO2488:BO2512,'19_Расчет_аналитики'!BO2516:BO2540)</f>
        <v/>
      </c>
    </row>
    <row r="2409">
      <c r="B2409">
        <f>'19_Расчет_аналитики'!B2407+'19_Расчет_аналитики'!B2408</f>
        <v/>
      </c>
      <c r="C2409">
        <f>'19_Расчет_аналитики'!C2407+'19_Расчет_аналитики'!C2408</f>
        <v/>
      </c>
      <c r="D2409">
        <f>'19_Расчет_аналитики'!D2407+'19_Расчет_аналитики'!D2408</f>
        <v/>
      </c>
      <c r="E2409">
        <f>'19_Расчет_аналитики'!E2407+'19_Расчет_аналитики'!E2408</f>
        <v/>
      </c>
      <c r="F2409">
        <f>'19_Расчет_аналитики'!F2407+'19_Расчет_аналитики'!F2408</f>
        <v/>
      </c>
      <c r="G2409">
        <f>'19_Расчет_аналитики'!G2407+'19_Расчет_аналитики'!G2408</f>
        <v/>
      </c>
      <c r="H2409">
        <f>'19_Расчет_аналитики'!H2407+'19_Расчет_аналитики'!H2408</f>
        <v/>
      </c>
      <c r="I2409">
        <f>'19_Расчет_аналитики'!I2407+'19_Расчет_аналитики'!I2408</f>
        <v/>
      </c>
      <c r="J2409">
        <f>'19_Расчет_аналитики'!J2407+'19_Расчет_аналитики'!J2408</f>
        <v/>
      </c>
      <c r="K2409">
        <f>'19_Расчет_аналитики'!K2407+'19_Расчет_аналитики'!K2408</f>
        <v/>
      </c>
      <c r="L2409">
        <f>'19_Расчет_аналитики'!L2407+'19_Расчет_аналитики'!L2408</f>
        <v/>
      </c>
      <c r="M2409">
        <f>'19_Расчет_аналитики'!M2407+'19_Расчет_аналитики'!M2408</f>
        <v/>
      </c>
      <c r="N2409">
        <f>'19_Расчет_аналитики'!N2407+'19_Расчет_аналитики'!N2408</f>
        <v/>
      </c>
      <c r="O2409">
        <f>'19_Расчет_аналитики'!O2407+'19_Расчет_аналитики'!O2408</f>
        <v/>
      </c>
      <c r="P2409">
        <f>'19_Расчет_аналитики'!P2407+'19_Расчет_аналитики'!P2408</f>
        <v/>
      </c>
      <c r="Q2409">
        <f>'19_Расчет_аналитики'!Q2407+'19_Расчет_аналитики'!Q2408</f>
        <v/>
      </c>
      <c r="R2409">
        <f>'19_Расчет_аналитики'!R2407+'19_Расчет_аналитики'!R2408</f>
        <v/>
      </c>
      <c r="S2409">
        <f>'19_Расчет_аналитики'!S2407+'19_Расчет_аналитики'!S2408</f>
        <v/>
      </c>
      <c r="T2409">
        <f>'19_Расчет_аналитики'!T2407+'19_Расчет_аналитики'!T2408</f>
        <v/>
      </c>
      <c r="U2409">
        <f>'19_Расчет_аналитики'!U2407+'19_Расчет_аналитики'!U2408</f>
        <v/>
      </c>
      <c r="V2409">
        <f>'19_Расчет_аналитики'!V2407+'19_Расчет_аналитики'!V2408</f>
        <v/>
      </c>
      <c r="W2409">
        <f>'19_Расчет_аналитики'!W2407+'19_Расчет_аналитики'!W2408</f>
        <v/>
      </c>
      <c r="X2409">
        <f>'19_Расчет_аналитики'!X2407+'19_Расчет_аналитики'!X2408</f>
        <v/>
      </c>
      <c r="Y2409">
        <f>'19_Расчет_аналитики'!Y2407+'19_Расчет_аналитики'!Y2408</f>
        <v/>
      </c>
      <c r="Z2409">
        <f>'19_Расчет_аналитики'!Z2407+'19_Расчет_аналитики'!Z2408</f>
        <v/>
      </c>
      <c r="AA2409">
        <f>'19_Расчет_аналитики'!AA2407+'19_Расчет_аналитики'!AA2408</f>
        <v/>
      </c>
      <c r="AB2409">
        <f>'19_Расчет_аналитики'!AB2407+'19_Расчет_аналитики'!AB2408</f>
        <v/>
      </c>
      <c r="AC2409">
        <f>'19_Расчет_аналитики'!AC2407+'19_Расчет_аналитики'!AC2408</f>
        <v/>
      </c>
      <c r="AD2409">
        <f>'19_Расчет_аналитики'!AD2407+'19_Расчет_аналитики'!AD2408</f>
        <v/>
      </c>
      <c r="AE2409">
        <f>'19_Расчет_аналитики'!AE2407+'19_Расчет_аналитики'!AE2408</f>
        <v/>
      </c>
      <c r="AF2409">
        <f>'19_Расчет_аналитики'!AF2407+'19_Расчет_аналитики'!AF2408</f>
        <v/>
      </c>
      <c r="AG2409">
        <f>'19_Расчет_аналитики'!AG2407+'19_Расчет_аналитики'!AG2408</f>
        <v/>
      </c>
      <c r="AH2409">
        <f>'19_Расчет_аналитики'!AH2407+'19_Расчет_аналитики'!AH2408</f>
        <v/>
      </c>
      <c r="AI2409">
        <f>'19_Расчет_аналитики'!AI2407+'19_Расчет_аналитики'!AI2408</f>
        <v/>
      </c>
      <c r="AJ2409">
        <f>'19_Расчет_аналитики'!AJ2407+'19_Расчет_аналитики'!AJ2408</f>
        <v/>
      </c>
      <c r="AK2409">
        <f>'19_Расчет_аналитики'!AK2407+'19_Расчет_аналитики'!AK2408</f>
        <v/>
      </c>
      <c r="AL2409">
        <f>'19_Расчет_аналитики'!AL2407+'19_Расчет_аналитики'!AL2408</f>
        <v/>
      </c>
      <c r="AM2409">
        <f>'19_Расчет_аналитики'!AM2407+'19_Расчет_аналитики'!AM2408</f>
        <v/>
      </c>
      <c r="AN2409">
        <f>'19_Расчет_аналитики'!AN2407+'19_Расчет_аналитики'!AN2408</f>
        <v/>
      </c>
      <c r="AO2409">
        <f>'19_Расчет_аналитики'!AO2407+'19_Расчет_аналитики'!AO2408</f>
        <v/>
      </c>
      <c r="AP2409">
        <f>'19_Расчет_аналитики'!AP2407+'19_Расчет_аналитики'!AP2408</f>
        <v/>
      </c>
      <c r="AQ2409">
        <f>'19_Расчет_аналитики'!AQ2407+'19_Расчет_аналитики'!AQ2408</f>
        <v/>
      </c>
      <c r="AR2409">
        <f>'19_Расчет_аналитики'!AR2407+'19_Расчет_аналитики'!AR2408</f>
        <v/>
      </c>
      <c r="AS2409">
        <f>'19_Расчет_аналитики'!AS2407+'19_Расчет_аналитики'!AS2408</f>
        <v/>
      </c>
      <c r="AT2409">
        <f>'19_Расчет_аналитики'!AT2407+'19_Расчет_аналитики'!AT2408</f>
        <v/>
      </c>
      <c r="AU2409">
        <f>'19_Расчет_аналитики'!AU2407+'19_Расчет_аналитики'!AU2408</f>
        <v/>
      </c>
      <c r="AV2409">
        <f>'19_Расчет_аналитики'!AV2407+'19_Расчет_аналитики'!AV2408</f>
        <v/>
      </c>
      <c r="AW2409">
        <f>'19_Расчет_аналитики'!AW2407+'19_Расчет_аналитики'!AW2408</f>
        <v/>
      </c>
      <c r="AX2409">
        <f>'19_Расчет_аналитики'!AX2407+'19_Расчет_аналитики'!AX2408</f>
        <v/>
      </c>
      <c r="AY2409">
        <f>'19_Расчет_аналитики'!AY2407+'19_Расчет_аналитики'!AY2408</f>
        <v/>
      </c>
      <c r="AZ2409">
        <f>'19_Расчет_аналитики'!AZ2407+'19_Расчет_аналитики'!AZ2408</f>
        <v/>
      </c>
      <c r="BA2409">
        <f>'19_Расчет_аналитики'!BA2407+'19_Расчет_аналитики'!BA2408</f>
        <v/>
      </c>
      <c r="BB2409">
        <f>'19_Расчет_аналитики'!BB2407+'19_Расчет_аналитики'!BB2408</f>
        <v/>
      </c>
      <c r="BC2409">
        <f>'19_Расчет_аналитики'!BC2407+'19_Расчет_аналитики'!BC2408</f>
        <v/>
      </c>
      <c r="BD2409">
        <f>'19_Расчет_аналитики'!BD2407+'19_Расчет_аналитики'!BD2408</f>
        <v/>
      </c>
      <c r="BE2409">
        <f>'19_Расчет_аналитики'!BE2407+'19_Расчет_аналитики'!BE2408</f>
        <v/>
      </c>
      <c r="BF2409">
        <f>'19_Расчет_аналитики'!BF2407+'19_Расчет_аналитики'!BF2408</f>
        <v/>
      </c>
      <c r="BG2409">
        <f>'19_Расчет_аналитики'!BG2407+'19_Расчет_аналитики'!BG2408</f>
        <v/>
      </c>
      <c r="BH2409">
        <f>'19_Расчет_аналитики'!BH2407+'19_Расчет_аналитики'!BH2408</f>
        <v/>
      </c>
      <c r="BI2409">
        <f>'19_Расчет_аналитики'!BI2407+'19_Расчет_аналитики'!BI2408</f>
        <v/>
      </c>
      <c r="BJ2409">
        <f>'19_Расчет_аналитики'!BJ2407+'19_Расчет_аналитики'!BJ2408</f>
        <v/>
      </c>
      <c r="BK2409">
        <f>'19_Расчет_аналитики'!BK2407+'19_Расчет_аналитики'!BK2408</f>
        <v/>
      </c>
      <c r="BL2409">
        <f>'19_Расчет_аналитики'!BL2407+'19_Расчет_аналитики'!BL2408</f>
        <v/>
      </c>
      <c r="BM2409">
        <f>'19_Расчет_аналитики'!BM2407+'19_Расчет_аналитики'!BM2408</f>
        <v/>
      </c>
      <c r="BN2409">
        <f>'19_Расчет_аналитики'!BN2407+'19_Расчет_аналитики'!BN2408</f>
        <v/>
      </c>
      <c r="BO2409">
        <f>'19_Расчет_аналитики'!BO2407+'19_Расчет_аналитики'!BO2408</f>
        <v/>
      </c>
    </row>
    <row r="2410"/>
    <row r="2411"/>
    <row r="2412">
      <c r="B2412">
        <f>IF(OR(1&lt;='01_Вводные'!$B$15,1-'01_Вводные'!$B$15&gt;60),0,IF(INDEX('04_Продажи'!$B$11:$BI$11,1,1-'01_Вводные'!$B$15)&lt;='01_Вводные'!$B$244,'19_Расчет_аналитики'!B2387,0))</f>
        <v/>
      </c>
      <c r="C2412">
        <f>IF(OR(2&lt;='01_Вводные'!$B$15,2-'01_Вводные'!$B$15&gt;60),0,IF(INDEX('04_Продажи'!$B$11:$BI$11,1,2-'01_Вводные'!$B$15)&lt;='01_Вводные'!$B$244,'19_Расчет_аналитики'!C2387,0))</f>
        <v/>
      </c>
      <c r="D2412">
        <f>IF(OR(3&lt;='01_Вводные'!$B$15,3-'01_Вводные'!$B$15&gt;60),0,IF(INDEX('04_Продажи'!$B$11:$BI$11,1,3-'01_Вводные'!$B$15)&lt;='01_Вводные'!$B$244,'19_Расчет_аналитики'!D2387,0))</f>
        <v/>
      </c>
      <c r="E2412">
        <f>IF(OR(4&lt;='01_Вводные'!$B$15,4-'01_Вводные'!$B$15&gt;60),0,IF(INDEX('04_Продажи'!$B$11:$BI$11,1,4-'01_Вводные'!$B$15)&lt;='01_Вводные'!$B$244,'19_Расчет_аналитики'!E2387,0))</f>
        <v/>
      </c>
      <c r="F2412">
        <f>IF(OR(5&lt;='01_Вводные'!$B$15,5-'01_Вводные'!$B$15&gt;60),0,IF(INDEX('04_Продажи'!$B$11:$BI$11,1,5-'01_Вводные'!$B$15)&lt;='01_Вводные'!$B$244,'19_Расчет_аналитики'!F2387,0))</f>
        <v/>
      </c>
      <c r="G2412">
        <f>IF(OR(6&lt;='01_Вводные'!$B$15,6-'01_Вводные'!$B$15&gt;60),0,IF(INDEX('04_Продажи'!$B$11:$BI$11,1,6-'01_Вводные'!$B$15)&lt;='01_Вводные'!$B$244,'19_Расчет_аналитики'!G2387,0))</f>
        <v/>
      </c>
      <c r="H2412">
        <f>IF(OR(7&lt;='01_Вводные'!$B$15,7-'01_Вводные'!$B$15&gt;60),0,IF(INDEX('04_Продажи'!$B$11:$BI$11,1,7-'01_Вводные'!$B$15)&lt;='01_Вводные'!$B$244,'19_Расчет_аналитики'!H2387,0))</f>
        <v/>
      </c>
      <c r="I2412">
        <f>IF(OR(8&lt;='01_Вводные'!$B$15,8-'01_Вводные'!$B$15&gt;60),0,IF(INDEX('04_Продажи'!$B$11:$BI$11,1,8-'01_Вводные'!$B$15)&lt;='01_Вводные'!$B$244,'19_Расчет_аналитики'!I2387,0))</f>
        <v/>
      </c>
      <c r="J2412">
        <f>IF(OR(9&lt;='01_Вводные'!$B$15,9-'01_Вводные'!$B$15&gt;60),0,IF(INDEX('04_Продажи'!$B$11:$BI$11,1,9-'01_Вводные'!$B$15)&lt;='01_Вводные'!$B$244,'19_Расчет_аналитики'!J2387,0))</f>
        <v/>
      </c>
      <c r="K2412">
        <f>IF(OR(10&lt;='01_Вводные'!$B$15,10-'01_Вводные'!$B$15&gt;60),0,IF(INDEX('04_Продажи'!$B$11:$BI$11,1,10-'01_Вводные'!$B$15)&lt;='01_Вводные'!$B$244,'19_Расчет_аналитики'!K2387,0))</f>
        <v/>
      </c>
      <c r="L2412">
        <f>IF(OR(11&lt;='01_Вводные'!$B$15,11-'01_Вводные'!$B$15&gt;60),0,IF(INDEX('04_Продажи'!$B$11:$BI$11,1,11-'01_Вводные'!$B$15)&lt;='01_Вводные'!$B$244,'19_Расчет_аналитики'!L2387,0))</f>
        <v/>
      </c>
      <c r="M2412">
        <f>IF(OR(12&lt;='01_Вводные'!$B$15,12-'01_Вводные'!$B$15&gt;60),0,IF(INDEX('04_Продажи'!$B$11:$BI$11,1,12-'01_Вводные'!$B$15)&lt;='01_Вводные'!$B$244,'19_Расчет_аналитики'!M2387,0))</f>
        <v/>
      </c>
      <c r="N2412">
        <f>IF(OR(13&lt;='01_Вводные'!$B$15,13-'01_Вводные'!$B$15&gt;60),0,IF(INDEX('04_Продажи'!$B$11:$BI$11,1,13-'01_Вводные'!$B$15)&lt;='01_Вводные'!$B$244,'19_Расчет_аналитики'!N2387,0))</f>
        <v/>
      </c>
      <c r="O2412">
        <f>IF(OR(14&lt;='01_Вводные'!$B$15,14-'01_Вводные'!$B$15&gt;60),0,IF(INDEX('04_Продажи'!$B$11:$BI$11,1,14-'01_Вводные'!$B$15)&lt;='01_Вводные'!$B$244,'19_Расчет_аналитики'!O2387,0))</f>
        <v/>
      </c>
      <c r="P2412">
        <f>IF(OR(15&lt;='01_Вводные'!$B$15,15-'01_Вводные'!$B$15&gt;60),0,IF(INDEX('04_Продажи'!$B$11:$BI$11,1,15-'01_Вводные'!$B$15)&lt;='01_Вводные'!$B$244,'19_Расчет_аналитики'!P2387,0))</f>
        <v/>
      </c>
      <c r="Q2412">
        <f>IF(OR(16&lt;='01_Вводные'!$B$15,16-'01_Вводные'!$B$15&gt;60),0,IF(INDEX('04_Продажи'!$B$11:$BI$11,1,16-'01_Вводные'!$B$15)&lt;='01_Вводные'!$B$244,'19_Расчет_аналитики'!Q2387,0))</f>
        <v/>
      </c>
      <c r="R2412">
        <f>IF(OR(17&lt;='01_Вводные'!$B$15,17-'01_Вводные'!$B$15&gt;60),0,IF(INDEX('04_Продажи'!$B$11:$BI$11,1,17-'01_Вводные'!$B$15)&lt;='01_Вводные'!$B$244,'19_Расчет_аналитики'!R2387,0))</f>
        <v/>
      </c>
      <c r="S2412">
        <f>IF(OR(18&lt;='01_Вводные'!$B$15,18-'01_Вводные'!$B$15&gt;60),0,IF(INDEX('04_Продажи'!$B$11:$BI$11,1,18-'01_Вводные'!$B$15)&lt;='01_Вводные'!$B$244,'19_Расчет_аналитики'!S2387,0))</f>
        <v/>
      </c>
      <c r="T2412">
        <f>IF(OR(19&lt;='01_Вводные'!$B$15,19-'01_Вводные'!$B$15&gt;60),0,IF(INDEX('04_Продажи'!$B$11:$BI$11,1,19-'01_Вводные'!$B$15)&lt;='01_Вводные'!$B$244,'19_Расчет_аналитики'!T2387,0))</f>
        <v/>
      </c>
      <c r="U2412">
        <f>IF(OR(20&lt;='01_Вводные'!$B$15,20-'01_Вводные'!$B$15&gt;60),0,IF(INDEX('04_Продажи'!$B$11:$BI$11,1,20-'01_Вводные'!$B$15)&lt;='01_Вводные'!$B$244,'19_Расчет_аналитики'!U2387,0))</f>
        <v/>
      </c>
      <c r="V2412">
        <f>IF(OR(21&lt;='01_Вводные'!$B$15,21-'01_Вводные'!$B$15&gt;60),0,IF(INDEX('04_Продажи'!$B$11:$BI$11,1,21-'01_Вводные'!$B$15)&lt;='01_Вводные'!$B$244,'19_Расчет_аналитики'!V2387,0))</f>
        <v/>
      </c>
      <c r="W2412">
        <f>IF(OR(22&lt;='01_Вводные'!$B$15,22-'01_Вводные'!$B$15&gt;60),0,IF(INDEX('04_Продажи'!$B$11:$BI$11,1,22-'01_Вводные'!$B$15)&lt;='01_Вводные'!$B$244,'19_Расчет_аналитики'!W2387,0))</f>
        <v/>
      </c>
      <c r="X2412">
        <f>IF(OR(23&lt;='01_Вводные'!$B$15,23-'01_Вводные'!$B$15&gt;60),0,IF(INDEX('04_Продажи'!$B$11:$BI$11,1,23-'01_Вводные'!$B$15)&lt;='01_Вводные'!$B$244,'19_Расчет_аналитики'!X2387,0))</f>
        <v/>
      </c>
      <c r="Y2412">
        <f>IF(OR(24&lt;='01_Вводные'!$B$15,24-'01_Вводные'!$B$15&gt;60),0,IF(INDEX('04_Продажи'!$B$11:$BI$11,1,24-'01_Вводные'!$B$15)&lt;='01_Вводные'!$B$244,'19_Расчет_аналитики'!Y2387,0))</f>
        <v/>
      </c>
      <c r="Z2412">
        <f>IF(OR(25&lt;='01_Вводные'!$B$15,25-'01_Вводные'!$B$15&gt;60),0,IF(INDEX('04_Продажи'!$B$11:$BI$11,1,25-'01_Вводные'!$B$15)&lt;='01_Вводные'!$B$244,'19_Расчет_аналитики'!Z2387,0))</f>
        <v/>
      </c>
      <c r="AA2412">
        <f>IF(OR(26&lt;='01_Вводные'!$B$15,26-'01_Вводные'!$B$15&gt;60),0,IF(INDEX('04_Продажи'!$B$11:$BI$11,1,26-'01_Вводные'!$B$15)&lt;='01_Вводные'!$B$244,'19_Расчет_аналитики'!AA2387,0))</f>
        <v/>
      </c>
      <c r="AB2412">
        <f>IF(OR(27&lt;='01_Вводные'!$B$15,27-'01_Вводные'!$B$15&gt;60),0,IF(INDEX('04_Продажи'!$B$11:$BI$11,1,27-'01_Вводные'!$B$15)&lt;='01_Вводные'!$B$244,'19_Расчет_аналитики'!AB2387,0))</f>
        <v/>
      </c>
      <c r="AC2412">
        <f>IF(OR(28&lt;='01_Вводные'!$B$15,28-'01_Вводные'!$B$15&gt;60),0,IF(INDEX('04_Продажи'!$B$11:$BI$11,1,28-'01_Вводные'!$B$15)&lt;='01_Вводные'!$B$244,'19_Расчет_аналитики'!AC2387,0))</f>
        <v/>
      </c>
      <c r="AD2412">
        <f>IF(OR(29&lt;='01_Вводные'!$B$15,29-'01_Вводные'!$B$15&gt;60),0,IF(INDEX('04_Продажи'!$B$11:$BI$11,1,29-'01_Вводные'!$B$15)&lt;='01_Вводные'!$B$244,'19_Расчет_аналитики'!AD2387,0))</f>
        <v/>
      </c>
      <c r="AE2412">
        <f>IF(OR(30&lt;='01_Вводные'!$B$15,30-'01_Вводные'!$B$15&gt;60),0,IF(INDEX('04_Продажи'!$B$11:$BI$11,1,30-'01_Вводные'!$B$15)&lt;='01_Вводные'!$B$244,'19_Расчет_аналитики'!AE2387,0))</f>
        <v/>
      </c>
      <c r="AF2412">
        <f>IF(OR(31&lt;='01_Вводные'!$B$15,31-'01_Вводные'!$B$15&gt;60),0,IF(INDEX('04_Продажи'!$B$11:$BI$11,1,31-'01_Вводные'!$B$15)&lt;='01_Вводные'!$B$244,'19_Расчет_аналитики'!AF2387,0))</f>
        <v/>
      </c>
      <c r="AG2412">
        <f>IF(OR(32&lt;='01_Вводные'!$B$15,32-'01_Вводные'!$B$15&gt;60),0,IF(INDEX('04_Продажи'!$B$11:$BI$11,1,32-'01_Вводные'!$B$15)&lt;='01_Вводные'!$B$244,'19_Расчет_аналитики'!AG2387,0))</f>
        <v/>
      </c>
      <c r="AH2412">
        <f>IF(OR(33&lt;='01_Вводные'!$B$15,33-'01_Вводные'!$B$15&gt;60),0,IF(INDEX('04_Продажи'!$B$11:$BI$11,1,33-'01_Вводные'!$B$15)&lt;='01_Вводные'!$B$244,'19_Расчет_аналитики'!AH2387,0))</f>
        <v/>
      </c>
      <c r="AI2412">
        <f>IF(OR(34&lt;='01_Вводные'!$B$15,34-'01_Вводные'!$B$15&gt;60),0,IF(INDEX('04_Продажи'!$B$11:$BI$11,1,34-'01_Вводные'!$B$15)&lt;='01_Вводные'!$B$244,'19_Расчет_аналитики'!AI2387,0))</f>
        <v/>
      </c>
      <c r="AJ2412">
        <f>IF(OR(35&lt;='01_Вводные'!$B$15,35-'01_Вводные'!$B$15&gt;60),0,IF(INDEX('04_Продажи'!$B$11:$BI$11,1,35-'01_Вводные'!$B$15)&lt;='01_Вводные'!$B$244,'19_Расчет_аналитики'!AJ2387,0))</f>
        <v/>
      </c>
      <c r="AK2412">
        <f>IF(OR(36&lt;='01_Вводные'!$B$15,36-'01_Вводные'!$B$15&gt;60),0,IF(INDEX('04_Продажи'!$B$11:$BI$11,1,36-'01_Вводные'!$B$15)&lt;='01_Вводные'!$B$244,'19_Расчет_аналитики'!AK2387,0))</f>
        <v/>
      </c>
      <c r="AL2412">
        <f>IF(OR(37&lt;='01_Вводные'!$B$15,37-'01_Вводные'!$B$15&gt;60),0,IF(INDEX('04_Продажи'!$B$11:$BI$11,1,37-'01_Вводные'!$B$15)&lt;='01_Вводные'!$B$244,'19_Расчет_аналитики'!AL2387,0))</f>
        <v/>
      </c>
      <c r="AM2412">
        <f>IF(OR(38&lt;='01_Вводные'!$B$15,38-'01_Вводные'!$B$15&gt;60),0,IF(INDEX('04_Продажи'!$B$11:$BI$11,1,38-'01_Вводные'!$B$15)&lt;='01_Вводные'!$B$244,'19_Расчет_аналитики'!AM2387,0))</f>
        <v/>
      </c>
      <c r="AN2412">
        <f>IF(OR(39&lt;='01_Вводные'!$B$15,39-'01_Вводные'!$B$15&gt;60),0,IF(INDEX('04_Продажи'!$B$11:$BI$11,1,39-'01_Вводные'!$B$15)&lt;='01_Вводные'!$B$244,'19_Расчет_аналитики'!AN2387,0))</f>
        <v/>
      </c>
      <c r="AO2412">
        <f>IF(OR(40&lt;='01_Вводные'!$B$15,40-'01_Вводные'!$B$15&gt;60),0,IF(INDEX('04_Продажи'!$B$11:$BI$11,1,40-'01_Вводные'!$B$15)&lt;='01_Вводные'!$B$244,'19_Расчет_аналитики'!AO2387,0))</f>
        <v/>
      </c>
      <c r="AP2412">
        <f>IF(OR(41&lt;='01_Вводные'!$B$15,41-'01_Вводные'!$B$15&gt;60),0,IF(INDEX('04_Продажи'!$B$11:$BI$11,1,41-'01_Вводные'!$B$15)&lt;='01_Вводные'!$B$244,'19_Расчет_аналитики'!AP2387,0))</f>
        <v/>
      </c>
      <c r="AQ2412">
        <f>IF(OR(42&lt;='01_Вводные'!$B$15,42-'01_Вводные'!$B$15&gt;60),0,IF(INDEX('04_Продажи'!$B$11:$BI$11,1,42-'01_Вводные'!$B$15)&lt;='01_Вводные'!$B$244,'19_Расчет_аналитики'!AQ2387,0))</f>
        <v/>
      </c>
      <c r="AR2412">
        <f>IF(OR(43&lt;='01_Вводные'!$B$15,43-'01_Вводные'!$B$15&gt;60),0,IF(INDEX('04_Продажи'!$B$11:$BI$11,1,43-'01_Вводные'!$B$15)&lt;='01_Вводные'!$B$244,'19_Расчет_аналитики'!AR2387,0))</f>
        <v/>
      </c>
      <c r="AS2412">
        <f>IF(OR(44&lt;='01_Вводные'!$B$15,44-'01_Вводные'!$B$15&gt;60),0,IF(INDEX('04_Продажи'!$B$11:$BI$11,1,44-'01_Вводные'!$B$15)&lt;='01_Вводные'!$B$244,'19_Расчет_аналитики'!AS2387,0))</f>
        <v/>
      </c>
      <c r="AT2412">
        <f>IF(OR(45&lt;='01_Вводные'!$B$15,45-'01_Вводные'!$B$15&gt;60),0,IF(INDEX('04_Продажи'!$B$11:$BI$11,1,45-'01_Вводные'!$B$15)&lt;='01_Вводные'!$B$244,'19_Расчет_аналитики'!AT2387,0))</f>
        <v/>
      </c>
      <c r="AU2412">
        <f>IF(OR(46&lt;='01_Вводные'!$B$15,46-'01_Вводные'!$B$15&gt;60),0,IF(INDEX('04_Продажи'!$B$11:$BI$11,1,46-'01_Вводные'!$B$15)&lt;='01_Вводные'!$B$244,'19_Расчет_аналитики'!AU2387,0))</f>
        <v/>
      </c>
      <c r="AV2412">
        <f>IF(OR(47&lt;='01_Вводные'!$B$15,47-'01_Вводные'!$B$15&gt;60),0,IF(INDEX('04_Продажи'!$B$11:$BI$11,1,47-'01_Вводные'!$B$15)&lt;='01_Вводные'!$B$244,'19_Расчет_аналитики'!AV2387,0))</f>
        <v/>
      </c>
      <c r="AW2412">
        <f>IF(OR(48&lt;='01_Вводные'!$B$15,48-'01_Вводные'!$B$15&gt;60),0,IF(INDEX('04_Продажи'!$B$11:$BI$11,1,48-'01_Вводные'!$B$15)&lt;='01_Вводные'!$B$244,'19_Расчет_аналитики'!AW2387,0))</f>
        <v/>
      </c>
      <c r="AX2412">
        <f>IF(OR(49&lt;='01_Вводные'!$B$15,49-'01_Вводные'!$B$15&gt;60),0,IF(INDEX('04_Продажи'!$B$11:$BI$11,1,49-'01_Вводные'!$B$15)&lt;='01_Вводные'!$B$244,'19_Расчет_аналитики'!AX2387,0))</f>
        <v/>
      </c>
      <c r="AY2412">
        <f>IF(OR(50&lt;='01_Вводные'!$B$15,50-'01_Вводные'!$B$15&gt;60),0,IF(INDEX('04_Продажи'!$B$11:$BI$11,1,50-'01_Вводные'!$B$15)&lt;='01_Вводные'!$B$244,'19_Расчет_аналитики'!AY2387,0))</f>
        <v/>
      </c>
      <c r="AZ2412">
        <f>IF(OR(51&lt;='01_Вводные'!$B$15,51-'01_Вводные'!$B$15&gt;60),0,IF(INDEX('04_Продажи'!$B$11:$BI$11,1,51-'01_Вводные'!$B$15)&lt;='01_Вводные'!$B$244,'19_Расчет_аналитики'!AZ2387,0))</f>
        <v/>
      </c>
      <c r="BA2412">
        <f>IF(OR(52&lt;='01_Вводные'!$B$15,52-'01_Вводные'!$B$15&gt;60),0,IF(INDEX('04_Продажи'!$B$11:$BI$11,1,52-'01_Вводные'!$B$15)&lt;='01_Вводные'!$B$244,'19_Расчет_аналитики'!BA2387,0))</f>
        <v/>
      </c>
      <c r="BB2412">
        <f>IF(OR(53&lt;='01_Вводные'!$B$15,53-'01_Вводные'!$B$15&gt;60),0,IF(INDEX('04_Продажи'!$B$11:$BI$11,1,53-'01_Вводные'!$B$15)&lt;='01_Вводные'!$B$244,'19_Расчет_аналитики'!BB2387,0))</f>
        <v/>
      </c>
      <c r="BC2412">
        <f>IF(OR(54&lt;='01_Вводные'!$B$15,54-'01_Вводные'!$B$15&gt;60),0,IF(INDEX('04_Продажи'!$B$11:$BI$11,1,54-'01_Вводные'!$B$15)&lt;='01_Вводные'!$B$244,'19_Расчет_аналитики'!BC2387,0))</f>
        <v/>
      </c>
      <c r="BD2412">
        <f>IF(OR(55&lt;='01_Вводные'!$B$15,55-'01_Вводные'!$B$15&gt;60),0,IF(INDEX('04_Продажи'!$B$11:$BI$11,1,55-'01_Вводные'!$B$15)&lt;='01_Вводные'!$B$244,'19_Расчет_аналитики'!BD2387,0))</f>
        <v/>
      </c>
      <c r="BE2412">
        <f>IF(OR(56&lt;='01_Вводные'!$B$15,56-'01_Вводные'!$B$15&gt;60),0,IF(INDEX('04_Продажи'!$B$11:$BI$11,1,56-'01_Вводные'!$B$15)&lt;='01_Вводные'!$B$244,'19_Расчет_аналитики'!BE2387,0))</f>
        <v/>
      </c>
      <c r="BF2412">
        <f>IF(OR(57&lt;='01_Вводные'!$B$15,57-'01_Вводные'!$B$15&gt;60),0,IF(INDEX('04_Продажи'!$B$11:$BI$11,1,57-'01_Вводные'!$B$15)&lt;='01_Вводные'!$B$244,'19_Расчет_аналитики'!BF2387,0))</f>
        <v/>
      </c>
      <c r="BG2412">
        <f>IF(OR(58&lt;='01_Вводные'!$B$15,58-'01_Вводные'!$B$15&gt;60),0,IF(INDEX('04_Продажи'!$B$11:$BI$11,1,58-'01_Вводные'!$B$15)&lt;='01_Вводные'!$B$244,'19_Расчет_аналитики'!BG2387,0))</f>
        <v/>
      </c>
      <c r="BH2412">
        <f>IF(OR(59&lt;='01_Вводные'!$B$15,59-'01_Вводные'!$B$15&gt;60),0,IF(INDEX('04_Продажи'!$B$11:$BI$11,1,59-'01_Вводные'!$B$15)&lt;='01_Вводные'!$B$244,'19_Расчет_аналитики'!BH2387,0))</f>
        <v/>
      </c>
      <c r="BI2412">
        <f>IF(OR(60&lt;='01_Вводные'!$B$15,60-'01_Вводные'!$B$15&gt;60),0,IF(INDEX('04_Продажи'!$B$11:$BI$11,1,60-'01_Вводные'!$B$15)&lt;='01_Вводные'!$B$244,'19_Расчет_аналитики'!BI2387,0))</f>
        <v/>
      </c>
      <c r="BJ2412">
        <f>IF(OR(61&lt;='01_Вводные'!$B$15,61-'01_Вводные'!$B$15&gt;60),0,IF(INDEX('04_Продажи'!$B$11:$BI$11,1,61-'01_Вводные'!$B$15)&lt;='01_Вводные'!$B$244,'19_Расчет_аналитики'!BJ2387,0))</f>
        <v/>
      </c>
      <c r="BK2412">
        <f>IF(OR(62&lt;='01_Вводные'!$B$15,62-'01_Вводные'!$B$15&gt;60),0,IF(INDEX('04_Продажи'!$B$11:$BI$11,1,62-'01_Вводные'!$B$15)&lt;='01_Вводные'!$B$244,'19_Расчет_аналитики'!BK2387,0))</f>
        <v/>
      </c>
      <c r="BL2412">
        <f>IF(OR(63&lt;='01_Вводные'!$B$15,63-'01_Вводные'!$B$15&gt;60),0,IF(INDEX('04_Продажи'!$B$11:$BI$11,1,63-'01_Вводные'!$B$15)&lt;='01_Вводные'!$B$244,'19_Расчет_аналитики'!BL2387,0))</f>
        <v/>
      </c>
      <c r="BM2412">
        <f>IF(OR(64&lt;='01_Вводные'!$B$15,64-'01_Вводные'!$B$15&gt;60),0,IF(INDEX('04_Продажи'!$B$11:$BI$11,1,64-'01_Вводные'!$B$15)&lt;='01_Вводные'!$B$244,'19_Расчет_аналитики'!BM2387,0))</f>
        <v/>
      </c>
      <c r="BN2412">
        <f>IF(OR(65&lt;='01_Вводные'!$B$15,65-'01_Вводные'!$B$15&gt;60),0,IF(INDEX('04_Продажи'!$B$11:$BI$11,1,65-'01_Вводные'!$B$15)&lt;='01_Вводные'!$B$244,'19_Расчет_аналитики'!BN2387,0))</f>
        <v/>
      </c>
      <c r="BO2412">
        <f>IF(OR(66&lt;='01_Вводные'!$B$15,66-'01_Вводные'!$B$15&gt;60),0,IF(INDEX('04_Продажи'!$B$11:$BI$11,1,66-'01_Вводные'!$B$15)&lt;='01_Вводные'!$B$244,'19_Расчет_аналитики'!BO2387,0))</f>
        <v/>
      </c>
    </row>
    <row r="2413">
      <c r="B2413">
        <f>SUM('19_Расчет_аналитики'!B2460:B2471)</f>
        <v/>
      </c>
      <c r="C2413">
        <f>SUM('19_Расчет_аналитики'!C2460:C2471)</f>
        <v/>
      </c>
      <c r="D2413">
        <f>SUM('19_Расчет_аналитики'!D2460:D2471)</f>
        <v/>
      </c>
      <c r="E2413">
        <f>SUM('19_Расчет_аналитики'!E2460:E2471)</f>
        <v/>
      </c>
      <c r="F2413">
        <f>SUM('19_Расчет_аналитики'!F2460:F2471)</f>
        <v/>
      </c>
      <c r="G2413">
        <f>SUM('19_Расчет_аналитики'!G2460:G2471)</f>
        <v/>
      </c>
      <c r="H2413">
        <f>SUM('19_Расчет_аналитики'!H2460:H2471)</f>
        <v/>
      </c>
      <c r="I2413">
        <f>SUM('19_Расчет_аналитики'!I2460:I2471)</f>
        <v/>
      </c>
      <c r="J2413">
        <f>SUM('19_Расчет_аналитики'!J2460:J2471)</f>
        <v/>
      </c>
      <c r="K2413">
        <f>SUM('19_Расчет_аналитики'!K2460:K2471)</f>
        <v/>
      </c>
      <c r="L2413">
        <f>SUM('19_Расчет_аналитики'!L2460:L2471)</f>
        <v/>
      </c>
      <c r="M2413">
        <f>SUM('19_Расчет_аналитики'!M2460:M2471)</f>
        <v/>
      </c>
      <c r="N2413">
        <f>SUM('19_Расчет_аналитики'!N2460:N2471)</f>
        <v/>
      </c>
      <c r="O2413">
        <f>SUM('19_Расчет_аналитики'!O2460:O2471)</f>
        <v/>
      </c>
      <c r="P2413">
        <f>SUM('19_Расчет_аналитики'!P2460:P2471)</f>
        <v/>
      </c>
      <c r="Q2413">
        <f>SUM('19_Расчет_аналитики'!Q2460:Q2471)</f>
        <v/>
      </c>
      <c r="R2413">
        <f>SUM('19_Расчет_аналитики'!R2460:R2471)</f>
        <v/>
      </c>
      <c r="S2413">
        <f>SUM('19_Расчет_аналитики'!S2460:S2471)</f>
        <v/>
      </c>
      <c r="T2413">
        <f>SUM('19_Расчет_аналитики'!T2460:T2471)</f>
        <v/>
      </c>
      <c r="U2413">
        <f>SUM('19_Расчет_аналитики'!U2460:U2471)</f>
        <v/>
      </c>
      <c r="V2413">
        <f>SUM('19_Расчет_аналитики'!V2460:V2471)</f>
        <v/>
      </c>
      <c r="W2413">
        <f>SUM('19_Расчет_аналитики'!W2460:W2471)</f>
        <v/>
      </c>
      <c r="X2413">
        <f>SUM('19_Расчет_аналитики'!X2460:X2471)</f>
        <v/>
      </c>
      <c r="Y2413">
        <f>SUM('19_Расчет_аналитики'!Y2460:Y2471)</f>
        <v/>
      </c>
      <c r="Z2413">
        <f>SUM('19_Расчет_аналитики'!Z2460:Z2471)</f>
        <v/>
      </c>
      <c r="AA2413">
        <f>SUM('19_Расчет_аналитики'!AA2460:AA2471)</f>
        <v/>
      </c>
      <c r="AB2413">
        <f>SUM('19_Расчет_аналитики'!AB2460:AB2471)</f>
        <v/>
      </c>
      <c r="AC2413">
        <f>SUM('19_Расчет_аналитики'!AC2460:AC2471)</f>
        <v/>
      </c>
      <c r="AD2413">
        <f>SUM('19_Расчет_аналитики'!AD2460:AD2471)</f>
        <v/>
      </c>
      <c r="AE2413">
        <f>SUM('19_Расчет_аналитики'!AE2460:AE2471)</f>
        <v/>
      </c>
      <c r="AF2413">
        <f>SUM('19_Расчет_аналитики'!AF2460:AF2471)</f>
        <v/>
      </c>
      <c r="AG2413">
        <f>SUM('19_Расчет_аналитики'!AG2460:AG2471)</f>
        <v/>
      </c>
      <c r="AH2413">
        <f>SUM('19_Расчет_аналитики'!AH2460:AH2471)</f>
        <v/>
      </c>
      <c r="AI2413">
        <f>SUM('19_Расчет_аналитики'!AI2460:AI2471)</f>
        <v/>
      </c>
      <c r="AJ2413">
        <f>SUM('19_Расчет_аналитики'!AJ2460:AJ2471)</f>
        <v/>
      </c>
      <c r="AK2413">
        <f>SUM('19_Расчет_аналитики'!AK2460:AK2471)</f>
        <v/>
      </c>
      <c r="AL2413">
        <f>SUM('19_Расчет_аналитики'!AL2460:AL2471)</f>
        <v/>
      </c>
      <c r="AM2413">
        <f>SUM('19_Расчет_аналитики'!AM2460:AM2471)</f>
        <v/>
      </c>
      <c r="AN2413">
        <f>SUM('19_Расчет_аналитики'!AN2460:AN2471)</f>
        <v/>
      </c>
      <c r="AO2413">
        <f>SUM('19_Расчет_аналитики'!AO2460:AO2471)</f>
        <v/>
      </c>
      <c r="AP2413">
        <f>SUM('19_Расчет_аналитики'!AP2460:AP2471)</f>
        <v/>
      </c>
      <c r="AQ2413">
        <f>SUM('19_Расчет_аналитики'!AQ2460:AQ2471)</f>
        <v/>
      </c>
      <c r="AR2413">
        <f>SUM('19_Расчет_аналитики'!AR2460:AR2471)</f>
        <v/>
      </c>
      <c r="AS2413">
        <f>SUM('19_Расчет_аналитики'!AS2460:AS2471)</f>
        <v/>
      </c>
      <c r="AT2413">
        <f>SUM('19_Расчет_аналитики'!AT2460:AT2471)</f>
        <v/>
      </c>
      <c r="AU2413">
        <f>SUM('19_Расчет_аналитики'!AU2460:AU2471)</f>
        <v/>
      </c>
      <c r="AV2413">
        <f>SUM('19_Расчет_аналитики'!AV2460:AV2471)</f>
        <v/>
      </c>
      <c r="AW2413">
        <f>SUM('19_Расчет_аналитики'!AW2460:AW2471)</f>
        <v/>
      </c>
      <c r="AX2413">
        <f>SUM('19_Расчет_аналитики'!AX2460:AX2471)</f>
        <v/>
      </c>
      <c r="AY2413">
        <f>SUM('19_Расчет_аналитики'!AY2460:AY2471)</f>
        <v/>
      </c>
      <c r="AZ2413">
        <f>SUM('19_Расчет_аналитики'!AZ2460:AZ2471)</f>
        <v/>
      </c>
      <c r="BA2413">
        <f>SUM('19_Расчет_аналитики'!BA2460:BA2471)</f>
        <v/>
      </c>
      <c r="BB2413">
        <f>SUM('19_Расчет_аналитики'!BB2460:BB2471)</f>
        <v/>
      </c>
      <c r="BC2413">
        <f>SUM('19_Расчет_аналитики'!BC2460:BC2471)</f>
        <v/>
      </c>
      <c r="BD2413">
        <f>SUM('19_Расчет_аналитики'!BD2460:BD2471)</f>
        <v/>
      </c>
      <c r="BE2413">
        <f>SUM('19_Расчет_аналитики'!BE2460:BE2471)</f>
        <v/>
      </c>
      <c r="BF2413">
        <f>SUM('19_Расчет_аналитики'!BF2460:BF2471)</f>
        <v/>
      </c>
      <c r="BG2413">
        <f>SUM('19_Расчет_аналитики'!BG2460:BG2471)</f>
        <v/>
      </c>
      <c r="BH2413">
        <f>SUM('19_Расчет_аналитики'!BH2460:BH2471)</f>
        <v/>
      </c>
      <c r="BI2413">
        <f>SUM('19_Расчет_аналитики'!BI2460:BI2471)</f>
        <v/>
      </c>
      <c r="BJ2413">
        <f>SUM('19_Расчет_аналитики'!BJ2460:BJ2471)</f>
        <v/>
      </c>
      <c r="BK2413">
        <f>SUM('19_Расчет_аналитики'!BK2460:BK2471)</f>
        <v/>
      </c>
      <c r="BL2413">
        <f>SUM('19_Расчет_аналитики'!BL2460:BL2471)</f>
        <v/>
      </c>
      <c r="BM2413">
        <f>SUM('19_Расчет_аналитики'!BM2460:BM2471)</f>
        <v/>
      </c>
      <c r="BN2413">
        <f>SUM('19_Расчет_аналитики'!BN2460:BN2471)</f>
        <v/>
      </c>
      <c r="BO2413">
        <f>SUM('19_Расчет_аналитики'!BO2460:BO2471)</f>
        <v/>
      </c>
    </row>
    <row r="2414"/>
    <row r="2415">
      <c r="B2415">
        <f>MAX(0,'19_Расчет_аналитики'!B2392-'19_Расчет_аналитики'!B2413)</f>
        <v/>
      </c>
      <c r="C2415">
        <f>MAX(0,'19_Расчет_аналитики'!C2392-'19_Расчет_аналитики'!C2413)</f>
        <v/>
      </c>
      <c r="D2415">
        <f>MAX(0,'19_Расчет_аналитики'!D2392-'19_Расчет_аналитики'!D2413)</f>
        <v/>
      </c>
      <c r="E2415">
        <f>MAX(0,'19_Расчет_аналитики'!E2392-'19_Расчет_аналитики'!E2413)</f>
        <v/>
      </c>
      <c r="F2415">
        <f>MAX(0,'19_Расчет_аналитики'!F2392-'19_Расчет_аналитики'!F2413)</f>
        <v/>
      </c>
      <c r="G2415">
        <f>MAX(0,'19_Расчет_аналитики'!G2392-'19_Расчет_аналитики'!G2413)</f>
        <v/>
      </c>
      <c r="H2415">
        <f>MAX(0,'19_Расчет_аналитики'!H2392-'19_Расчет_аналитики'!H2413)</f>
        <v/>
      </c>
      <c r="I2415">
        <f>MAX(0,'19_Расчет_аналитики'!I2392-'19_Расчет_аналитики'!I2413)</f>
        <v/>
      </c>
      <c r="J2415">
        <f>MAX(0,'19_Расчет_аналитики'!J2392-'19_Расчет_аналитики'!J2413)</f>
        <v/>
      </c>
      <c r="K2415">
        <f>MAX(0,'19_Расчет_аналитики'!K2392-'19_Расчет_аналитики'!K2413)</f>
        <v/>
      </c>
      <c r="L2415">
        <f>MAX(0,'19_Расчет_аналитики'!L2392-'19_Расчет_аналитики'!L2413)</f>
        <v/>
      </c>
      <c r="M2415">
        <f>MAX(0,'19_Расчет_аналитики'!M2392-'19_Расчет_аналитики'!M2413)</f>
        <v/>
      </c>
      <c r="N2415">
        <f>MAX(0,'19_Расчет_аналитики'!N2392-'19_Расчет_аналитики'!N2413)</f>
        <v/>
      </c>
      <c r="O2415">
        <f>MAX(0,'19_Расчет_аналитики'!O2392-'19_Расчет_аналитики'!O2413)</f>
        <v/>
      </c>
      <c r="P2415">
        <f>MAX(0,'19_Расчет_аналитики'!P2392-'19_Расчет_аналитики'!P2413)</f>
        <v/>
      </c>
      <c r="Q2415">
        <f>MAX(0,'19_Расчет_аналитики'!Q2392-'19_Расчет_аналитики'!Q2413)</f>
        <v/>
      </c>
      <c r="R2415">
        <f>MAX(0,'19_Расчет_аналитики'!R2392-'19_Расчет_аналитики'!R2413)</f>
        <v/>
      </c>
      <c r="S2415">
        <f>MAX(0,'19_Расчет_аналитики'!S2392-'19_Расчет_аналитики'!S2413)</f>
        <v/>
      </c>
      <c r="T2415">
        <f>MAX(0,'19_Расчет_аналитики'!T2392-'19_Расчет_аналитики'!T2413)</f>
        <v/>
      </c>
      <c r="U2415">
        <f>MAX(0,'19_Расчет_аналитики'!U2392-'19_Расчет_аналитики'!U2413)</f>
        <v/>
      </c>
      <c r="V2415">
        <f>MAX(0,'19_Расчет_аналитики'!V2392-'19_Расчет_аналитики'!V2413)</f>
        <v/>
      </c>
      <c r="W2415">
        <f>MAX(0,'19_Расчет_аналитики'!W2392-'19_Расчет_аналитики'!W2413)</f>
        <v/>
      </c>
      <c r="X2415">
        <f>MAX(0,'19_Расчет_аналитики'!X2392-'19_Расчет_аналитики'!X2413)</f>
        <v/>
      </c>
      <c r="Y2415">
        <f>MAX(0,'19_Расчет_аналитики'!Y2392-'19_Расчет_аналитики'!Y2413)</f>
        <v/>
      </c>
      <c r="Z2415">
        <f>MAX(0,'19_Расчет_аналитики'!Z2392-'19_Расчет_аналитики'!Z2413)</f>
        <v/>
      </c>
      <c r="AA2415">
        <f>MAX(0,'19_Расчет_аналитики'!AA2392-'19_Расчет_аналитики'!AA2413)</f>
        <v/>
      </c>
      <c r="AB2415">
        <f>MAX(0,'19_Расчет_аналитики'!AB2392-'19_Расчет_аналитики'!AB2413)</f>
        <v/>
      </c>
      <c r="AC2415">
        <f>MAX(0,'19_Расчет_аналитики'!AC2392-'19_Расчет_аналитики'!AC2413)</f>
        <v/>
      </c>
      <c r="AD2415">
        <f>MAX(0,'19_Расчет_аналитики'!AD2392-'19_Расчет_аналитики'!AD2413)</f>
        <v/>
      </c>
      <c r="AE2415">
        <f>MAX(0,'19_Расчет_аналитики'!AE2392-'19_Расчет_аналитики'!AE2413)</f>
        <v/>
      </c>
      <c r="AF2415">
        <f>MAX(0,'19_Расчет_аналитики'!AF2392-'19_Расчет_аналитики'!AF2413)</f>
        <v/>
      </c>
      <c r="AG2415">
        <f>MAX(0,'19_Расчет_аналитики'!AG2392-'19_Расчет_аналитики'!AG2413)</f>
        <v/>
      </c>
      <c r="AH2415">
        <f>MAX(0,'19_Расчет_аналитики'!AH2392-'19_Расчет_аналитики'!AH2413)</f>
        <v/>
      </c>
      <c r="AI2415">
        <f>MAX(0,'19_Расчет_аналитики'!AI2392-'19_Расчет_аналитики'!AI2413)</f>
        <v/>
      </c>
      <c r="AJ2415">
        <f>MAX(0,'19_Расчет_аналитики'!AJ2392-'19_Расчет_аналитики'!AJ2413)</f>
        <v/>
      </c>
      <c r="AK2415">
        <f>MAX(0,'19_Расчет_аналитики'!AK2392-'19_Расчет_аналитики'!AK2413)</f>
        <v/>
      </c>
      <c r="AL2415">
        <f>MAX(0,'19_Расчет_аналитики'!AL2392-'19_Расчет_аналитики'!AL2413)</f>
        <v/>
      </c>
      <c r="AM2415">
        <f>MAX(0,'19_Расчет_аналитики'!AM2392-'19_Расчет_аналитики'!AM2413)</f>
        <v/>
      </c>
      <c r="AN2415">
        <f>MAX(0,'19_Расчет_аналитики'!AN2392-'19_Расчет_аналитики'!AN2413)</f>
        <v/>
      </c>
      <c r="AO2415">
        <f>MAX(0,'19_Расчет_аналитики'!AO2392-'19_Расчет_аналитики'!AO2413)</f>
        <v/>
      </c>
      <c r="AP2415">
        <f>MAX(0,'19_Расчет_аналитики'!AP2392-'19_Расчет_аналитики'!AP2413)</f>
        <v/>
      </c>
      <c r="AQ2415">
        <f>MAX(0,'19_Расчет_аналитики'!AQ2392-'19_Расчет_аналитики'!AQ2413)</f>
        <v/>
      </c>
      <c r="AR2415">
        <f>MAX(0,'19_Расчет_аналитики'!AR2392-'19_Расчет_аналитики'!AR2413)</f>
        <v/>
      </c>
      <c r="AS2415">
        <f>MAX(0,'19_Расчет_аналитики'!AS2392-'19_Расчет_аналитики'!AS2413)</f>
        <v/>
      </c>
      <c r="AT2415">
        <f>MAX(0,'19_Расчет_аналитики'!AT2392-'19_Расчет_аналитики'!AT2413)</f>
        <v/>
      </c>
      <c r="AU2415">
        <f>MAX(0,'19_Расчет_аналитики'!AU2392-'19_Расчет_аналитики'!AU2413)</f>
        <v/>
      </c>
      <c r="AV2415">
        <f>MAX(0,'19_Расчет_аналитики'!AV2392-'19_Расчет_аналитики'!AV2413)</f>
        <v/>
      </c>
      <c r="AW2415">
        <f>MAX(0,'19_Расчет_аналитики'!AW2392-'19_Расчет_аналитики'!AW2413)</f>
        <v/>
      </c>
      <c r="AX2415">
        <f>MAX(0,'19_Расчет_аналитики'!AX2392-'19_Расчет_аналитики'!AX2413)</f>
        <v/>
      </c>
      <c r="AY2415">
        <f>MAX(0,'19_Расчет_аналитики'!AY2392-'19_Расчет_аналитики'!AY2413)</f>
        <v/>
      </c>
      <c r="AZ2415">
        <f>MAX(0,'19_Расчет_аналитики'!AZ2392-'19_Расчет_аналитики'!AZ2413)</f>
        <v/>
      </c>
      <c r="BA2415">
        <f>MAX(0,'19_Расчет_аналитики'!BA2392-'19_Расчет_аналитики'!BA2413)</f>
        <v/>
      </c>
      <c r="BB2415">
        <f>MAX(0,'19_Расчет_аналитики'!BB2392-'19_Расчет_аналитики'!BB2413)</f>
        <v/>
      </c>
      <c r="BC2415">
        <f>MAX(0,'19_Расчет_аналитики'!BC2392-'19_Расчет_аналитики'!BC2413)</f>
        <v/>
      </c>
      <c r="BD2415">
        <f>MAX(0,'19_Расчет_аналитики'!BD2392-'19_Расчет_аналитики'!BD2413)</f>
        <v/>
      </c>
      <c r="BE2415">
        <f>MAX(0,'19_Расчет_аналитики'!BE2392-'19_Расчет_аналитики'!BE2413)</f>
        <v/>
      </c>
      <c r="BF2415">
        <f>MAX(0,'19_Расчет_аналитики'!BF2392-'19_Расчет_аналитики'!BF2413)</f>
        <v/>
      </c>
      <c r="BG2415">
        <f>MAX(0,'19_Расчет_аналитики'!BG2392-'19_Расчет_аналитики'!BG2413)</f>
        <v/>
      </c>
      <c r="BH2415">
        <f>MAX(0,'19_Расчет_аналитики'!BH2392-'19_Расчет_аналитики'!BH2413)</f>
        <v/>
      </c>
      <c r="BI2415">
        <f>MAX(0,'19_Расчет_аналитики'!BI2392-'19_Расчет_аналитики'!BI2413)</f>
        <v/>
      </c>
      <c r="BJ2415">
        <f>MAX(0,'19_Расчет_аналитики'!BJ2392-'19_Расчет_аналитики'!BJ2413)</f>
        <v/>
      </c>
      <c r="BK2415">
        <f>MAX(0,'19_Расчет_аналитики'!BK2392-'19_Расчет_аналитики'!BK2413)</f>
        <v/>
      </c>
      <c r="BL2415">
        <f>MAX(0,'19_Расчет_аналитики'!BL2392-'19_Расчет_аналитики'!BL2413)</f>
        <v/>
      </c>
      <c r="BM2415">
        <f>MAX(0,'19_Расчет_аналитики'!BM2392-'19_Расчет_аналитики'!BM2413)</f>
        <v/>
      </c>
      <c r="BN2415">
        <f>MAX(0,'19_Расчет_аналитики'!BN2392-'19_Расчет_аналитики'!BN2413)</f>
        <v/>
      </c>
      <c r="BO2415">
        <f>MAX(0,'19_Расчет_аналитики'!BO2392-'19_Расчет_аналитики'!BO2413)</f>
        <v/>
      </c>
    </row>
    <row r="2416"/>
    <row r="2417"/>
    <row r="2418"/>
    <row r="2419"/>
    <row r="2420"/>
    <row r="2421"/>
    <row r="2422">
      <c r="B2422">
        <f>IF(1&lt;='01_Вводные'!$B$235,0,INDEX('19_Расчет_аналитики'!$B$2387:$BO$2387,1,1-'01_Вводные'!$B$235)*'01_Вводные'!$B$14^'01_Вводные'!$B$235)</f>
        <v/>
      </c>
      <c r="C2422">
        <f>IF(2&lt;='01_Вводные'!$B$235,0,INDEX('19_Расчет_аналитики'!$B$2387:$BO$2387,1,2-'01_Вводные'!$B$235)*'01_Вводные'!$B$14^'01_Вводные'!$B$235)</f>
        <v/>
      </c>
      <c r="D2422">
        <f>IF(3&lt;='01_Вводные'!$B$235,0,INDEX('19_Расчет_аналитики'!$B$2387:$BO$2387,1,3-'01_Вводные'!$B$235)*'01_Вводные'!$B$14^'01_Вводные'!$B$235)</f>
        <v/>
      </c>
      <c r="E2422">
        <f>IF(4&lt;='01_Вводные'!$B$235,0,INDEX('19_Расчет_аналитики'!$B$2387:$BO$2387,1,4-'01_Вводные'!$B$235)*'01_Вводные'!$B$14^'01_Вводные'!$B$235)</f>
        <v/>
      </c>
      <c r="F2422">
        <f>IF(5&lt;='01_Вводные'!$B$235,0,INDEX('19_Расчет_аналитики'!$B$2387:$BO$2387,1,5-'01_Вводные'!$B$235)*'01_Вводные'!$B$14^'01_Вводные'!$B$235)</f>
        <v/>
      </c>
      <c r="G2422">
        <f>IF(6&lt;='01_Вводные'!$B$235,0,INDEX('19_Расчет_аналитики'!$B$2387:$BO$2387,1,6-'01_Вводные'!$B$235)*'01_Вводные'!$B$14^'01_Вводные'!$B$235)</f>
        <v/>
      </c>
      <c r="H2422">
        <f>IF(7&lt;='01_Вводные'!$B$235,0,INDEX('19_Расчет_аналитики'!$B$2387:$BO$2387,1,7-'01_Вводные'!$B$235)*'01_Вводные'!$B$14^'01_Вводные'!$B$235)</f>
        <v/>
      </c>
      <c r="I2422">
        <f>IF(8&lt;='01_Вводные'!$B$235,0,INDEX('19_Расчет_аналитики'!$B$2387:$BO$2387,1,8-'01_Вводные'!$B$235)*'01_Вводные'!$B$14^'01_Вводные'!$B$235)</f>
        <v/>
      </c>
      <c r="J2422">
        <f>IF(9&lt;='01_Вводные'!$B$235,0,INDEX('19_Расчет_аналитики'!$B$2387:$BO$2387,1,9-'01_Вводные'!$B$235)*'01_Вводные'!$B$14^'01_Вводные'!$B$235)</f>
        <v/>
      </c>
      <c r="K2422">
        <f>IF(10&lt;='01_Вводные'!$B$235,0,INDEX('19_Расчет_аналитики'!$B$2387:$BO$2387,1,10-'01_Вводные'!$B$235)*'01_Вводные'!$B$14^'01_Вводные'!$B$235)</f>
        <v/>
      </c>
      <c r="L2422">
        <f>IF(11&lt;='01_Вводные'!$B$235,0,INDEX('19_Расчет_аналитики'!$B$2387:$BO$2387,1,11-'01_Вводные'!$B$235)*'01_Вводные'!$B$14^'01_Вводные'!$B$235)</f>
        <v/>
      </c>
      <c r="M2422">
        <f>IF(12&lt;='01_Вводные'!$B$235,0,INDEX('19_Расчет_аналитики'!$B$2387:$BO$2387,1,12-'01_Вводные'!$B$235)*'01_Вводные'!$B$14^'01_Вводные'!$B$235)</f>
        <v/>
      </c>
      <c r="N2422">
        <f>IF(13&lt;='01_Вводные'!$B$235,0,INDEX('19_Расчет_аналитики'!$B$2387:$BO$2387,1,13-'01_Вводные'!$B$235)*'01_Вводные'!$B$14^'01_Вводные'!$B$235)</f>
        <v/>
      </c>
      <c r="O2422">
        <f>IF(14&lt;='01_Вводные'!$B$235,0,INDEX('19_Расчет_аналитики'!$B$2387:$BO$2387,1,14-'01_Вводные'!$B$235)*'01_Вводные'!$B$14^'01_Вводные'!$B$235)</f>
        <v/>
      </c>
      <c r="P2422">
        <f>IF(15&lt;='01_Вводные'!$B$235,0,INDEX('19_Расчет_аналитики'!$B$2387:$BO$2387,1,15-'01_Вводные'!$B$235)*'01_Вводные'!$B$14^'01_Вводные'!$B$235)</f>
        <v/>
      </c>
      <c r="Q2422">
        <f>IF(16&lt;='01_Вводные'!$B$235,0,INDEX('19_Расчет_аналитики'!$B$2387:$BO$2387,1,16-'01_Вводные'!$B$235)*'01_Вводные'!$B$14^'01_Вводные'!$B$235)</f>
        <v/>
      </c>
      <c r="R2422">
        <f>IF(17&lt;='01_Вводные'!$B$235,0,INDEX('19_Расчет_аналитики'!$B$2387:$BO$2387,1,17-'01_Вводные'!$B$235)*'01_Вводные'!$B$14^'01_Вводные'!$B$235)</f>
        <v/>
      </c>
      <c r="S2422">
        <f>IF(18&lt;='01_Вводные'!$B$235,0,INDEX('19_Расчет_аналитики'!$B$2387:$BO$2387,1,18-'01_Вводные'!$B$235)*'01_Вводные'!$B$14^'01_Вводные'!$B$235)</f>
        <v/>
      </c>
      <c r="T2422">
        <f>IF(19&lt;='01_Вводные'!$B$235,0,INDEX('19_Расчет_аналитики'!$B$2387:$BO$2387,1,19-'01_Вводные'!$B$235)*'01_Вводные'!$B$14^'01_Вводные'!$B$235)</f>
        <v/>
      </c>
      <c r="U2422">
        <f>IF(20&lt;='01_Вводные'!$B$235,0,INDEX('19_Расчет_аналитики'!$B$2387:$BO$2387,1,20-'01_Вводные'!$B$235)*'01_Вводные'!$B$14^'01_Вводные'!$B$235)</f>
        <v/>
      </c>
      <c r="V2422">
        <f>IF(21&lt;='01_Вводные'!$B$235,0,INDEX('19_Расчет_аналитики'!$B$2387:$BO$2387,1,21-'01_Вводные'!$B$235)*'01_Вводные'!$B$14^'01_Вводные'!$B$235)</f>
        <v/>
      </c>
      <c r="W2422">
        <f>IF(22&lt;='01_Вводные'!$B$235,0,INDEX('19_Расчет_аналитики'!$B$2387:$BO$2387,1,22-'01_Вводные'!$B$235)*'01_Вводные'!$B$14^'01_Вводные'!$B$235)</f>
        <v/>
      </c>
      <c r="X2422">
        <f>IF(23&lt;='01_Вводные'!$B$235,0,INDEX('19_Расчет_аналитики'!$B$2387:$BO$2387,1,23-'01_Вводные'!$B$235)*'01_Вводные'!$B$14^'01_Вводные'!$B$235)</f>
        <v/>
      </c>
      <c r="Y2422">
        <f>IF(24&lt;='01_Вводные'!$B$235,0,INDEX('19_Расчет_аналитики'!$B$2387:$BO$2387,1,24-'01_Вводные'!$B$235)*'01_Вводные'!$B$14^'01_Вводные'!$B$235)</f>
        <v/>
      </c>
      <c r="Z2422">
        <f>IF(25&lt;='01_Вводные'!$B$235,0,INDEX('19_Расчет_аналитики'!$B$2387:$BO$2387,1,25-'01_Вводные'!$B$235)*'01_Вводные'!$B$14^'01_Вводные'!$B$235)</f>
        <v/>
      </c>
      <c r="AA2422">
        <f>IF(26&lt;='01_Вводные'!$B$235,0,INDEX('19_Расчет_аналитики'!$B$2387:$BO$2387,1,26-'01_Вводные'!$B$235)*'01_Вводные'!$B$14^'01_Вводные'!$B$235)</f>
        <v/>
      </c>
      <c r="AB2422">
        <f>IF(27&lt;='01_Вводные'!$B$235,0,INDEX('19_Расчет_аналитики'!$B$2387:$BO$2387,1,27-'01_Вводные'!$B$235)*'01_Вводные'!$B$14^'01_Вводные'!$B$235)</f>
        <v/>
      </c>
      <c r="AC2422">
        <f>IF(28&lt;='01_Вводные'!$B$235,0,INDEX('19_Расчет_аналитики'!$B$2387:$BO$2387,1,28-'01_Вводные'!$B$235)*'01_Вводные'!$B$14^'01_Вводные'!$B$235)</f>
        <v/>
      </c>
      <c r="AD2422">
        <f>IF(29&lt;='01_Вводные'!$B$235,0,INDEX('19_Расчет_аналитики'!$B$2387:$BO$2387,1,29-'01_Вводные'!$B$235)*'01_Вводные'!$B$14^'01_Вводные'!$B$235)</f>
        <v/>
      </c>
      <c r="AE2422">
        <f>IF(30&lt;='01_Вводные'!$B$235,0,INDEX('19_Расчет_аналитики'!$B$2387:$BO$2387,1,30-'01_Вводные'!$B$235)*'01_Вводные'!$B$14^'01_Вводные'!$B$235)</f>
        <v/>
      </c>
      <c r="AF2422">
        <f>IF(31&lt;='01_Вводные'!$B$235,0,INDEX('19_Расчет_аналитики'!$B$2387:$BO$2387,1,31-'01_Вводные'!$B$235)*'01_Вводные'!$B$14^'01_Вводные'!$B$235)</f>
        <v/>
      </c>
      <c r="AG2422">
        <f>IF(32&lt;='01_Вводные'!$B$235,0,INDEX('19_Расчет_аналитики'!$B$2387:$BO$2387,1,32-'01_Вводные'!$B$235)*'01_Вводные'!$B$14^'01_Вводные'!$B$235)</f>
        <v/>
      </c>
      <c r="AH2422">
        <f>IF(33&lt;='01_Вводные'!$B$235,0,INDEX('19_Расчет_аналитики'!$B$2387:$BO$2387,1,33-'01_Вводные'!$B$235)*'01_Вводные'!$B$14^'01_Вводные'!$B$235)</f>
        <v/>
      </c>
      <c r="AI2422">
        <f>IF(34&lt;='01_Вводные'!$B$235,0,INDEX('19_Расчет_аналитики'!$B$2387:$BO$2387,1,34-'01_Вводные'!$B$235)*'01_Вводные'!$B$14^'01_Вводные'!$B$235)</f>
        <v/>
      </c>
      <c r="AJ2422">
        <f>IF(35&lt;='01_Вводные'!$B$235,0,INDEX('19_Расчет_аналитики'!$B$2387:$BO$2387,1,35-'01_Вводные'!$B$235)*'01_Вводные'!$B$14^'01_Вводные'!$B$235)</f>
        <v/>
      </c>
      <c r="AK2422">
        <f>IF(36&lt;='01_Вводные'!$B$235,0,INDEX('19_Расчет_аналитики'!$B$2387:$BO$2387,1,36-'01_Вводные'!$B$235)*'01_Вводные'!$B$14^'01_Вводные'!$B$235)</f>
        <v/>
      </c>
      <c r="AL2422">
        <f>IF(37&lt;='01_Вводные'!$B$235,0,INDEX('19_Расчет_аналитики'!$B$2387:$BO$2387,1,37-'01_Вводные'!$B$235)*'01_Вводные'!$B$14^'01_Вводные'!$B$235)</f>
        <v/>
      </c>
      <c r="AM2422">
        <f>IF(38&lt;='01_Вводные'!$B$235,0,INDEX('19_Расчет_аналитики'!$B$2387:$BO$2387,1,38-'01_Вводные'!$B$235)*'01_Вводные'!$B$14^'01_Вводные'!$B$235)</f>
        <v/>
      </c>
      <c r="AN2422">
        <f>IF(39&lt;='01_Вводные'!$B$235,0,INDEX('19_Расчет_аналитики'!$B$2387:$BO$2387,1,39-'01_Вводные'!$B$235)*'01_Вводные'!$B$14^'01_Вводные'!$B$235)</f>
        <v/>
      </c>
      <c r="AO2422">
        <f>IF(40&lt;='01_Вводные'!$B$235,0,INDEX('19_Расчет_аналитики'!$B$2387:$BO$2387,1,40-'01_Вводные'!$B$235)*'01_Вводные'!$B$14^'01_Вводные'!$B$235)</f>
        <v/>
      </c>
      <c r="AP2422">
        <f>IF(41&lt;='01_Вводные'!$B$235,0,INDEX('19_Расчет_аналитики'!$B$2387:$BO$2387,1,41-'01_Вводные'!$B$235)*'01_Вводные'!$B$14^'01_Вводные'!$B$235)</f>
        <v/>
      </c>
      <c r="AQ2422">
        <f>IF(42&lt;='01_Вводные'!$B$235,0,INDEX('19_Расчет_аналитики'!$B$2387:$BO$2387,1,42-'01_Вводные'!$B$235)*'01_Вводные'!$B$14^'01_Вводные'!$B$235)</f>
        <v/>
      </c>
      <c r="AR2422">
        <f>IF(43&lt;='01_Вводные'!$B$235,0,INDEX('19_Расчет_аналитики'!$B$2387:$BO$2387,1,43-'01_Вводные'!$B$235)*'01_Вводные'!$B$14^'01_Вводные'!$B$235)</f>
        <v/>
      </c>
      <c r="AS2422">
        <f>IF(44&lt;='01_Вводные'!$B$235,0,INDEX('19_Расчет_аналитики'!$B$2387:$BO$2387,1,44-'01_Вводные'!$B$235)*'01_Вводные'!$B$14^'01_Вводные'!$B$235)</f>
        <v/>
      </c>
      <c r="AT2422">
        <f>IF(45&lt;='01_Вводные'!$B$235,0,INDEX('19_Расчет_аналитики'!$B$2387:$BO$2387,1,45-'01_Вводные'!$B$235)*'01_Вводные'!$B$14^'01_Вводные'!$B$235)</f>
        <v/>
      </c>
      <c r="AU2422">
        <f>IF(46&lt;='01_Вводные'!$B$235,0,INDEX('19_Расчет_аналитики'!$B$2387:$BO$2387,1,46-'01_Вводные'!$B$235)*'01_Вводные'!$B$14^'01_Вводные'!$B$235)</f>
        <v/>
      </c>
      <c r="AV2422">
        <f>IF(47&lt;='01_Вводные'!$B$235,0,INDEX('19_Расчет_аналитики'!$B$2387:$BO$2387,1,47-'01_Вводные'!$B$235)*'01_Вводные'!$B$14^'01_Вводные'!$B$235)</f>
        <v/>
      </c>
      <c r="AW2422">
        <f>IF(48&lt;='01_Вводные'!$B$235,0,INDEX('19_Расчет_аналитики'!$B$2387:$BO$2387,1,48-'01_Вводные'!$B$235)*'01_Вводные'!$B$14^'01_Вводные'!$B$235)</f>
        <v/>
      </c>
      <c r="AX2422">
        <f>IF(49&lt;='01_Вводные'!$B$235,0,INDEX('19_Расчет_аналитики'!$B$2387:$BO$2387,1,49-'01_Вводные'!$B$235)*'01_Вводные'!$B$14^'01_Вводные'!$B$235)</f>
        <v/>
      </c>
      <c r="AY2422">
        <f>IF(50&lt;='01_Вводные'!$B$235,0,INDEX('19_Расчет_аналитики'!$B$2387:$BO$2387,1,50-'01_Вводные'!$B$235)*'01_Вводные'!$B$14^'01_Вводные'!$B$235)</f>
        <v/>
      </c>
      <c r="AZ2422">
        <f>IF(51&lt;='01_Вводные'!$B$235,0,INDEX('19_Расчет_аналитики'!$B$2387:$BO$2387,1,51-'01_Вводные'!$B$235)*'01_Вводные'!$B$14^'01_Вводные'!$B$235)</f>
        <v/>
      </c>
      <c r="BA2422">
        <f>IF(52&lt;='01_Вводные'!$B$235,0,INDEX('19_Расчет_аналитики'!$B$2387:$BO$2387,1,52-'01_Вводные'!$B$235)*'01_Вводные'!$B$14^'01_Вводные'!$B$235)</f>
        <v/>
      </c>
      <c r="BB2422">
        <f>IF(53&lt;='01_Вводные'!$B$235,0,INDEX('19_Расчет_аналитики'!$B$2387:$BO$2387,1,53-'01_Вводные'!$B$235)*'01_Вводные'!$B$14^'01_Вводные'!$B$235)</f>
        <v/>
      </c>
      <c r="BC2422">
        <f>IF(54&lt;='01_Вводные'!$B$235,0,INDEX('19_Расчет_аналитики'!$B$2387:$BO$2387,1,54-'01_Вводные'!$B$235)*'01_Вводные'!$B$14^'01_Вводные'!$B$235)</f>
        <v/>
      </c>
      <c r="BD2422">
        <f>IF(55&lt;='01_Вводные'!$B$235,0,INDEX('19_Расчет_аналитики'!$B$2387:$BO$2387,1,55-'01_Вводные'!$B$235)*'01_Вводные'!$B$14^'01_Вводные'!$B$235)</f>
        <v/>
      </c>
      <c r="BE2422">
        <f>IF(56&lt;='01_Вводные'!$B$235,0,INDEX('19_Расчет_аналитики'!$B$2387:$BO$2387,1,56-'01_Вводные'!$B$235)*'01_Вводные'!$B$14^'01_Вводные'!$B$235)</f>
        <v/>
      </c>
      <c r="BF2422">
        <f>IF(57&lt;='01_Вводные'!$B$235,0,INDEX('19_Расчет_аналитики'!$B$2387:$BO$2387,1,57-'01_Вводные'!$B$235)*'01_Вводные'!$B$14^'01_Вводные'!$B$235)</f>
        <v/>
      </c>
      <c r="BG2422">
        <f>IF(58&lt;='01_Вводные'!$B$235,0,INDEX('19_Расчет_аналитики'!$B$2387:$BO$2387,1,58-'01_Вводные'!$B$235)*'01_Вводные'!$B$14^'01_Вводные'!$B$235)</f>
        <v/>
      </c>
      <c r="BH2422">
        <f>IF(59&lt;='01_Вводные'!$B$235,0,INDEX('19_Расчет_аналитики'!$B$2387:$BO$2387,1,59-'01_Вводные'!$B$235)*'01_Вводные'!$B$14^'01_Вводные'!$B$235)</f>
        <v/>
      </c>
      <c r="BI2422">
        <f>IF(60&lt;='01_Вводные'!$B$235,0,INDEX('19_Расчет_аналитики'!$B$2387:$BO$2387,1,60-'01_Вводные'!$B$235)*'01_Вводные'!$B$14^'01_Вводные'!$B$235)</f>
        <v/>
      </c>
      <c r="BJ2422">
        <f>IF(61&lt;='01_Вводные'!$B$235,0,INDEX('19_Расчет_аналитики'!$B$2387:$BO$2387,1,61-'01_Вводные'!$B$235)*'01_Вводные'!$B$14^'01_Вводные'!$B$235)</f>
        <v/>
      </c>
      <c r="BK2422">
        <f>IF(62&lt;='01_Вводные'!$B$235,0,INDEX('19_Расчет_аналитики'!$B$2387:$BO$2387,1,62-'01_Вводные'!$B$235)*'01_Вводные'!$B$14^'01_Вводные'!$B$235)</f>
        <v/>
      </c>
      <c r="BL2422">
        <f>IF(63&lt;='01_Вводные'!$B$235,0,INDEX('19_Расчет_аналитики'!$B$2387:$BO$2387,1,63-'01_Вводные'!$B$235)*'01_Вводные'!$B$14^'01_Вводные'!$B$235)</f>
        <v/>
      </c>
      <c r="BM2422">
        <f>IF(64&lt;='01_Вводные'!$B$235,0,INDEX('19_Расчет_аналитики'!$B$2387:$BO$2387,1,64-'01_Вводные'!$B$235)*'01_Вводные'!$B$14^'01_Вводные'!$B$235)</f>
        <v/>
      </c>
      <c r="BN2422">
        <f>IF(65&lt;='01_Вводные'!$B$235,0,INDEX('19_Расчет_аналитики'!$B$2387:$BO$2387,1,65-'01_Вводные'!$B$235)*'01_Вводные'!$B$14^'01_Вводные'!$B$235)</f>
        <v/>
      </c>
      <c r="BO2422">
        <f>IF(66&lt;='01_Вводные'!$B$235,0,INDEX('19_Расчет_аналитики'!$B$2387:$BO$2387,1,66-'01_Вводные'!$B$235)*'01_Вводные'!$B$14^'01_Вводные'!$B$235)</f>
        <v/>
      </c>
    </row>
    <row r="2423">
      <c r="B2423">
        <f>'19_Расчет_аналитики'!B2422</f>
        <v/>
      </c>
      <c r="C2423">
        <f>'19_Расчет_аналитики'!B2423*'01_Вводные'!$B$14+'19_Расчет_аналитики'!C2422</f>
        <v/>
      </c>
      <c r="D2423">
        <f>'19_Расчет_аналитики'!C2423*'01_Вводные'!$B$14+'19_Расчет_аналитики'!D2422</f>
        <v/>
      </c>
      <c r="E2423">
        <f>'19_Расчет_аналитики'!D2423*'01_Вводные'!$B$14+'19_Расчет_аналитики'!E2422</f>
        <v/>
      </c>
      <c r="F2423">
        <f>'19_Расчет_аналитики'!E2423*'01_Вводные'!$B$14+'19_Расчет_аналитики'!F2422</f>
        <v/>
      </c>
      <c r="G2423">
        <f>'19_Расчет_аналитики'!F2423*'01_Вводные'!$B$14+'19_Расчет_аналитики'!G2422</f>
        <v/>
      </c>
      <c r="H2423">
        <f>'19_Расчет_аналитики'!G2423*'01_Вводные'!$B$14+'19_Расчет_аналитики'!H2422</f>
        <v/>
      </c>
      <c r="I2423">
        <f>'19_Расчет_аналитики'!H2423*'01_Вводные'!$B$14+'19_Расчет_аналитики'!I2422</f>
        <v/>
      </c>
      <c r="J2423">
        <f>'19_Расчет_аналитики'!I2423*'01_Вводные'!$B$14+'19_Расчет_аналитики'!J2422</f>
        <v/>
      </c>
      <c r="K2423">
        <f>'19_Расчет_аналитики'!J2423*'01_Вводные'!$B$14+'19_Расчет_аналитики'!K2422</f>
        <v/>
      </c>
      <c r="L2423">
        <f>'19_Расчет_аналитики'!K2423*'01_Вводные'!$B$14+'19_Расчет_аналитики'!L2422</f>
        <v/>
      </c>
      <c r="M2423">
        <f>'19_Расчет_аналитики'!L2423*'01_Вводные'!$B$14+'19_Расчет_аналитики'!M2422</f>
        <v/>
      </c>
      <c r="N2423">
        <f>'19_Расчет_аналитики'!M2423*'01_Вводные'!$B$14+'19_Расчет_аналитики'!N2422</f>
        <v/>
      </c>
      <c r="O2423">
        <f>'19_Расчет_аналитики'!N2423*'01_Вводные'!$B$14+'19_Расчет_аналитики'!O2422</f>
        <v/>
      </c>
      <c r="P2423">
        <f>'19_Расчет_аналитики'!O2423*'01_Вводные'!$B$14+'19_Расчет_аналитики'!P2422</f>
        <v/>
      </c>
      <c r="Q2423">
        <f>'19_Расчет_аналитики'!P2423*'01_Вводные'!$B$14+'19_Расчет_аналитики'!Q2422</f>
        <v/>
      </c>
      <c r="R2423">
        <f>'19_Расчет_аналитики'!Q2423*'01_Вводные'!$B$14+'19_Расчет_аналитики'!R2422</f>
        <v/>
      </c>
      <c r="S2423">
        <f>'19_Расчет_аналитики'!R2423*'01_Вводные'!$B$14+'19_Расчет_аналитики'!S2422</f>
        <v/>
      </c>
      <c r="T2423">
        <f>'19_Расчет_аналитики'!S2423*'01_Вводные'!$B$14+'19_Расчет_аналитики'!T2422</f>
        <v/>
      </c>
      <c r="U2423">
        <f>'19_Расчет_аналитики'!T2423*'01_Вводные'!$B$14+'19_Расчет_аналитики'!U2422</f>
        <v/>
      </c>
      <c r="V2423">
        <f>'19_Расчет_аналитики'!U2423*'01_Вводные'!$B$14+'19_Расчет_аналитики'!V2422</f>
        <v/>
      </c>
      <c r="W2423">
        <f>'19_Расчет_аналитики'!V2423*'01_Вводные'!$B$14+'19_Расчет_аналитики'!W2422</f>
        <v/>
      </c>
      <c r="X2423">
        <f>'19_Расчет_аналитики'!W2423*'01_Вводные'!$B$14+'19_Расчет_аналитики'!X2422</f>
        <v/>
      </c>
      <c r="Y2423">
        <f>'19_Расчет_аналитики'!X2423*'01_Вводные'!$B$14+'19_Расчет_аналитики'!Y2422</f>
        <v/>
      </c>
      <c r="Z2423">
        <f>'19_Расчет_аналитики'!Y2423*'01_Вводные'!$B$14+'19_Расчет_аналитики'!Z2422</f>
        <v/>
      </c>
      <c r="AA2423">
        <f>'19_Расчет_аналитики'!Z2423*'01_Вводные'!$B$14+'19_Расчет_аналитики'!AA2422</f>
        <v/>
      </c>
      <c r="AB2423">
        <f>'19_Расчет_аналитики'!AA2423*'01_Вводные'!$B$14+'19_Расчет_аналитики'!AB2422</f>
        <v/>
      </c>
      <c r="AC2423">
        <f>'19_Расчет_аналитики'!AB2423*'01_Вводные'!$B$14+'19_Расчет_аналитики'!AC2422</f>
        <v/>
      </c>
      <c r="AD2423">
        <f>'19_Расчет_аналитики'!AC2423*'01_Вводные'!$B$14+'19_Расчет_аналитики'!AD2422</f>
        <v/>
      </c>
      <c r="AE2423">
        <f>'19_Расчет_аналитики'!AD2423*'01_Вводные'!$B$14+'19_Расчет_аналитики'!AE2422</f>
        <v/>
      </c>
      <c r="AF2423">
        <f>'19_Расчет_аналитики'!AE2423*'01_Вводные'!$B$14+'19_Расчет_аналитики'!AF2422</f>
        <v/>
      </c>
      <c r="AG2423">
        <f>'19_Расчет_аналитики'!AF2423*'01_Вводные'!$B$14+'19_Расчет_аналитики'!AG2422</f>
        <v/>
      </c>
      <c r="AH2423">
        <f>'19_Расчет_аналитики'!AG2423*'01_Вводные'!$B$14+'19_Расчет_аналитики'!AH2422</f>
        <v/>
      </c>
      <c r="AI2423">
        <f>'19_Расчет_аналитики'!AH2423*'01_Вводные'!$B$14+'19_Расчет_аналитики'!AI2422</f>
        <v/>
      </c>
      <c r="AJ2423">
        <f>'19_Расчет_аналитики'!AI2423*'01_Вводные'!$B$14+'19_Расчет_аналитики'!AJ2422</f>
        <v/>
      </c>
      <c r="AK2423">
        <f>'19_Расчет_аналитики'!AJ2423*'01_Вводные'!$B$14+'19_Расчет_аналитики'!AK2422</f>
        <v/>
      </c>
      <c r="AL2423">
        <f>'19_Расчет_аналитики'!AK2423*'01_Вводные'!$B$14+'19_Расчет_аналитики'!AL2422</f>
        <v/>
      </c>
      <c r="AM2423">
        <f>'19_Расчет_аналитики'!AL2423*'01_Вводные'!$B$14+'19_Расчет_аналитики'!AM2422</f>
        <v/>
      </c>
      <c r="AN2423">
        <f>'19_Расчет_аналитики'!AM2423*'01_Вводные'!$B$14+'19_Расчет_аналитики'!AN2422</f>
        <v/>
      </c>
      <c r="AO2423">
        <f>'19_Расчет_аналитики'!AN2423*'01_Вводные'!$B$14+'19_Расчет_аналитики'!AO2422</f>
        <v/>
      </c>
      <c r="AP2423">
        <f>'19_Расчет_аналитики'!AO2423*'01_Вводные'!$B$14+'19_Расчет_аналитики'!AP2422</f>
        <v/>
      </c>
      <c r="AQ2423">
        <f>'19_Расчет_аналитики'!AP2423*'01_Вводные'!$B$14+'19_Расчет_аналитики'!AQ2422</f>
        <v/>
      </c>
      <c r="AR2423">
        <f>'19_Расчет_аналитики'!AQ2423*'01_Вводные'!$B$14+'19_Расчет_аналитики'!AR2422</f>
        <v/>
      </c>
      <c r="AS2423">
        <f>'19_Расчет_аналитики'!AR2423*'01_Вводные'!$B$14+'19_Расчет_аналитики'!AS2422</f>
        <v/>
      </c>
      <c r="AT2423">
        <f>'19_Расчет_аналитики'!AS2423*'01_Вводные'!$B$14+'19_Расчет_аналитики'!AT2422</f>
        <v/>
      </c>
      <c r="AU2423">
        <f>'19_Расчет_аналитики'!AT2423*'01_Вводные'!$B$14+'19_Расчет_аналитики'!AU2422</f>
        <v/>
      </c>
      <c r="AV2423">
        <f>'19_Расчет_аналитики'!AU2423*'01_Вводные'!$B$14+'19_Расчет_аналитики'!AV2422</f>
        <v/>
      </c>
      <c r="AW2423">
        <f>'19_Расчет_аналитики'!AV2423*'01_Вводные'!$B$14+'19_Расчет_аналитики'!AW2422</f>
        <v/>
      </c>
      <c r="AX2423">
        <f>'19_Расчет_аналитики'!AW2423*'01_Вводные'!$B$14+'19_Расчет_аналитики'!AX2422</f>
        <v/>
      </c>
      <c r="AY2423">
        <f>'19_Расчет_аналитики'!AX2423*'01_Вводные'!$B$14+'19_Расчет_аналитики'!AY2422</f>
        <v/>
      </c>
      <c r="AZ2423">
        <f>'19_Расчет_аналитики'!AY2423*'01_Вводные'!$B$14+'19_Расчет_аналитики'!AZ2422</f>
        <v/>
      </c>
      <c r="BA2423">
        <f>'19_Расчет_аналитики'!AZ2423*'01_Вводные'!$B$14+'19_Расчет_аналитики'!BA2422</f>
        <v/>
      </c>
      <c r="BB2423">
        <f>'19_Расчет_аналитики'!BA2423*'01_Вводные'!$B$14+'19_Расчет_аналитики'!BB2422</f>
        <v/>
      </c>
      <c r="BC2423">
        <f>'19_Расчет_аналитики'!BB2423*'01_Вводные'!$B$14+'19_Расчет_аналитики'!BC2422</f>
        <v/>
      </c>
      <c r="BD2423">
        <f>'19_Расчет_аналитики'!BC2423*'01_Вводные'!$B$14+'19_Расчет_аналитики'!BD2422</f>
        <v/>
      </c>
      <c r="BE2423">
        <f>'19_Расчет_аналитики'!BD2423*'01_Вводные'!$B$14+'19_Расчет_аналитики'!BE2422</f>
        <v/>
      </c>
      <c r="BF2423">
        <f>'19_Расчет_аналитики'!BE2423*'01_Вводные'!$B$14+'19_Расчет_аналитики'!BF2422</f>
        <v/>
      </c>
      <c r="BG2423">
        <f>'19_Расчет_аналитики'!BF2423*'01_Вводные'!$B$14+'19_Расчет_аналитики'!BG2422</f>
        <v/>
      </c>
      <c r="BH2423">
        <f>'19_Расчет_аналитики'!BG2423*'01_Вводные'!$B$14+'19_Расчет_аналитики'!BH2422</f>
        <v/>
      </c>
      <c r="BI2423">
        <f>'19_Расчет_аналитики'!BH2423*'01_Вводные'!$B$14+'19_Расчет_аналитики'!BI2422</f>
        <v/>
      </c>
      <c r="BJ2423">
        <f>'19_Расчет_аналитики'!BI2423*'01_Вводные'!$B$14+'19_Расчет_аналитики'!BJ2422</f>
        <v/>
      </c>
      <c r="BK2423">
        <f>'19_Расчет_аналитики'!BJ2423*'01_Вводные'!$B$14+'19_Расчет_аналитики'!BK2422</f>
        <v/>
      </c>
      <c r="BL2423">
        <f>'19_Расчет_аналитики'!BK2423*'01_Вводные'!$B$14+'19_Расчет_аналитики'!BL2422</f>
        <v/>
      </c>
      <c r="BM2423">
        <f>'19_Расчет_аналитики'!BL2423*'01_Вводные'!$B$14+'19_Расчет_аналитики'!BM2422</f>
        <v/>
      </c>
      <c r="BN2423">
        <f>'19_Расчет_аналитики'!BM2423*'01_Вводные'!$B$14+'19_Расчет_аналитики'!BN2422</f>
        <v/>
      </c>
      <c r="BO2423">
        <f>'19_Расчет_аналитики'!BN2423*'01_Вводные'!$B$14+'19_Расчет_аналитики'!BO2422</f>
        <v/>
      </c>
    </row>
    <row r="2424"/>
    <row r="2425"/>
    <row r="2426"/>
    <row r="2427"/>
    <row r="2428"/>
    <row r="2429"/>
    <row r="2430"/>
    <row r="2431"/>
    <row r="2432">
      <c r="B2432">
        <f>'19_Расчет_аналитики'!B2387</f>
        <v/>
      </c>
      <c r="C2432">
        <f>'19_Расчет_аналитики'!C2387</f>
        <v/>
      </c>
      <c r="D2432">
        <f>'19_Расчет_аналитики'!D2387</f>
        <v/>
      </c>
      <c r="E2432">
        <f>'19_Расчет_аналитики'!E2387</f>
        <v/>
      </c>
      <c r="F2432">
        <f>'19_Расчет_аналитики'!F2387</f>
        <v/>
      </c>
      <c r="G2432">
        <f>'19_Расчет_аналитики'!G2387</f>
        <v/>
      </c>
      <c r="H2432">
        <f>'19_Расчет_аналитики'!H2387</f>
        <v/>
      </c>
      <c r="I2432">
        <f>'19_Расчет_аналитики'!I2387</f>
        <v/>
      </c>
      <c r="J2432">
        <f>'19_Расчет_аналитики'!J2387</f>
        <v/>
      </c>
      <c r="K2432">
        <f>'19_Расчет_аналитики'!K2387</f>
        <v/>
      </c>
      <c r="L2432">
        <f>'19_Расчет_аналитики'!L2387</f>
        <v/>
      </c>
      <c r="M2432">
        <f>'19_Расчет_аналитики'!M2387</f>
        <v/>
      </c>
      <c r="N2432">
        <f>'19_Расчет_аналитики'!N2387</f>
        <v/>
      </c>
      <c r="O2432">
        <f>'19_Расчет_аналитики'!O2387</f>
        <v/>
      </c>
      <c r="P2432">
        <f>'19_Расчет_аналитики'!P2387</f>
        <v/>
      </c>
      <c r="Q2432">
        <f>'19_Расчет_аналитики'!Q2387</f>
        <v/>
      </c>
      <c r="R2432">
        <f>'19_Расчет_аналитики'!R2387</f>
        <v/>
      </c>
      <c r="S2432">
        <f>'19_Расчет_аналитики'!S2387</f>
        <v/>
      </c>
      <c r="T2432">
        <f>'19_Расчет_аналитики'!T2387</f>
        <v/>
      </c>
      <c r="U2432">
        <f>'19_Расчет_аналитики'!U2387</f>
        <v/>
      </c>
      <c r="V2432">
        <f>'19_Расчет_аналитики'!V2387</f>
        <v/>
      </c>
      <c r="W2432">
        <f>'19_Расчет_аналитики'!W2387</f>
        <v/>
      </c>
      <c r="X2432">
        <f>'19_Расчет_аналитики'!X2387</f>
        <v/>
      </c>
      <c r="Y2432">
        <f>'19_Расчет_аналитики'!Y2387</f>
        <v/>
      </c>
      <c r="Z2432">
        <f>'19_Расчет_аналитики'!Z2387</f>
        <v/>
      </c>
      <c r="AA2432">
        <f>'19_Расчет_аналитики'!AA2387</f>
        <v/>
      </c>
      <c r="AB2432">
        <f>'19_Расчет_аналитики'!AB2387</f>
        <v/>
      </c>
      <c r="AC2432">
        <f>'19_Расчет_аналитики'!AC2387</f>
        <v/>
      </c>
      <c r="AD2432">
        <f>'19_Расчет_аналитики'!AD2387</f>
        <v/>
      </c>
      <c r="AE2432">
        <f>'19_Расчет_аналитики'!AE2387</f>
        <v/>
      </c>
      <c r="AF2432">
        <f>'19_Расчет_аналитики'!AF2387</f>
        <v/>
      </c>
      <c r="AG2432">
        <f>'19_Расчет_аналитики'!AG2387</f>
        <v/>
      </c>
      <c r="AH2432">
        <f>'19_Расчет_аналитики'!AH2387</f>
        <v/>
      </c>
      <c r="AI2432">
        <f>'19_Расчет_аналитики'!AI2387</f>
        <v/>
      </c>
      <c r="AJ2432">
        <f>'19_Расчет_аналитики'!AJ2387</f>
        <v/>
      </c>
      <c r="AK2432">
        <f>'19_Расчет_аналитики'!AK2387</f>
        <v/>
      </c>
      <c r="AL2432">
        <f>'19_Расчет_аналитики'!AL2387</f>
        <v/>
      </c>
      <c r="AM2432">
        <f>'19_Расчет_аналитики'!AM2387</f>
        <v/>
      </c>
      <c r="AN2432">
        <f>'19_Расчет_аналитики'!AN2387</f>
        <v/>
      </c>
      <c r="AO2432">
        <f>'19_Расчет_аналитики'!AO2387</f>
        <v/>
      </c>
      <c r="AP2432">
        <f>'19_Расчет_аналитики'!AP2387</f>
        <v/>
      </c>
      <c r="AQ2432">
        <f>'19_Расчет_аналитики'!AQ2387</f>
        <v/>
      </c>
      <c r="AR2432">
        <f>'19_Расчет_аналитики'!AR2387</f>
        <v/>
      </c>
      <c r="AS2432">
        <f>'19_Расчет_аналитики'!AS2387</f>
        <v/>
      </c>
      <c r="AT2432">
        <f>'19_Расчет_аналитики'!AT2387</f>
        <v/>
      </c>
      <c r="AU2432">
        <f>'19_Расчет_аналитики'!AU2387</f>
        <v/>
      </c>
      <c r="AV2432">
        <f>'19_Расчет_аналитики'!AV2387</f>
        <v/>
      </c>
      <c r="AW2432">
        <f>'19_Расчет_аналитики'!AW2387</f>
        <v/>
      </c>
      <c r="AX2432">
        <f>'19_Расчет_аналитики'!AX2387</f>
        <v/>
      </c>
      <c r="AY2432">
        <f>'19_Расчет_аналитики'!AY2387</f>
        <v/>
      </c>
      <c r="AZ2432">
        <f>'19_Расчет_аналитики'!AZ2387</f>
        <v/>
      </c>
      <c r="BA2432">
        <f>'19_Расчет_аналитики'!BA2387</f>
        <v/>
      </c>
      <c r="BB2432">
        <f>'19_Расчет_аналитики'!BB2387</f>
        <v/>
      </c>
      <c r="BC2432">
        <f>'19_Расчет_аналитики'!BC2387</f>
        <v/>
      </c>
      <c r="BD2432">
        <f>'19_Расчет_аналитики'!BD2387</f>
        <v/>
      </c>
      <c r="BE2432">
        <f>'19_Расчет_аналитики'!BE2387</f>
        <v/>
      </c>
      <c r="BF2432">
        <f>'19_Расчет_аналитики'!BF2387</f>
        <v/>
      </c>
      <c r="BG2432">
        <f>'19_Расчет_аналитики'!BG2387</f>
        <v/>
      </c>
      <c r="BH2432">
        <f>'19_Расчет_аналитики'!BH2387</f>
        <v/>
      </c>
      <c r="BI2432">
        <f>'19_Расчет_аналитики'!BI2387</f>
        <v/>
      </c>
      <c r="BJ2432">
        <f>'19_Расчет_аналитики'!BJ2387</f>
        <v/>
      </c>
      <c r="BK2432">
        <f>'19_Расчет_аналитики'!BK2387</f>
        <v/>
      </c>
      <c r="BL2432">
        <f>'19_Расчет_аналитики'!BL2387</f>
        <v/>
      </c>
      <c r="BM2432">
        <f>'19_Расчет_аналитики'!BM2387</f>
        <v/>
      </c>
      <c r="BN2432">
        <f>'19_Расчет_аналитики'!BN2387</f>
        <v/>
      </c>
      <c r="BO2432">
        <f>'19_Расчет_аналитики'!BO2387</f>
        <v/>
      </c>
    </row>
    <row r="2433">
      <c r="B2433">
        <f>'06_Сеть_и_дети'!B54</f>
        <v/>
      </c>
      <c r="C2433">
        <f>'19_Расчет_аналитики'!B2432*'01_Вводные'!$B$14</f>
        <v/>
      </c>
      <c r="D2433">
        <f>'19_Расчет_аналитики'!C2432*'01_Вводные'!$B$14</f>
        <v/>
      </c>
      <c r="E2433">
        <f>'19_Расчет_аналитики'!D2432*'01_Вводные'!$B$14</f>
        <v/>
      </c>
      <c r="F2433">
        <f>'19_Расчет_аналитики'!E2432*'01_Вводные'!$B$14</f>
        <v/>
      </c>
      <c r="G2433">
        <f>'19_Расчет_аналитики'!F2432*'01_Вводные'!$B$14</f>
        <v/>
      </c>
      <c r="H2433">
        <f>'19_Расчет_аналитики'!G2432*'01_Вводные'!$B$14</f>
        <v/>
      </c>
      <c r="I2433">
        <f>'19_Расчет_аналитики'!H2432*'01_Вводные'!$B$14</f>
        <v/>
      </c>
      <c r="J2433">
        <f>'19_Расчет_аналитики'!I2432*'01_Вводные'!$B$14</f>
        <v/>
      </c>
      <c r="K2433">
        <f>'19_Расчет_аналитики'!J2432*'01_Вводные'!$B$14</f>
        <v/>
      </c>
      <c r="L2433">
        <f>'19_Расчет_аналитики'!K2432*'01_Вводные'!$B$14</f>
        <v/>
      </c>
      <c r="M2433">
        <f>'19_Расчет_аналитики'!L2432*'01_Вводные'!$B$14</f>
        <v/>
      </c>
      <c r="N2433">
        <f>'19_Расчет_аналитики'!M2432*'01_Вводные'!$B$14</f>
        <v/>
      </c>
      <c r="O2433">
        <f>'19_Расчет_аналитики'!N2432*'01_Вводные'!$B$14</f>
        <v/>
      </c>
      <c r="P2433">
        <f>'19_Расчет_аналитики'!O2432*'01_Вводные'!$B$14</f>
        <v/>
      </c>
      <c r="Q2433">
        <f>'19_Расчет_аналитики'!P2432*'01_Вводные'!$B$14</f>
        <v/>
      </c>
      <c r="R2433">
        <f>'19_Расчет_аналитики'!Q2432*'01_Вводные'!$B$14</f>
        <v/>
      </c>
      <c r="S2433">
        <f>'19_Расчет_аналитики'!R2432*'01_Вводные'!$B$14</f>
        <v/>
      </c>
      <c r="T2433">
        <f>'19_Расчет_аналитики'!S2432*'01_Вводные'!$B$14</f>
        <v/>
      </c>
      <c r="U2433">
        <f>'19_Расчет_аналитики'!T2432*'01_Вводные'!$B$14</f>
        <v/>
      </c>
      <c r="V2433">
        <f>'19_Расчет_аналитики'!U2432*'01_Вводные'!$B$14</f>
        <v/>
      </c>
      <c r="W2433">
        <f>'19_Расчет_аналитики'!V2432*'01_Вводные'!$B$14</f>
        <v/>
      </c>
      <c r="X2433">
        <f>'19_Расчет_аналитики'!W2432*'01_Вводные'!$B$14</f>
        <v/>
      </c>
      <c r="Y2433">
        <f>'19_Расчет_аналитики'!X2432*'01_Вводные'!$B$14</f>
        <v/>
      </c>
      <c r="Z2433">
        <f>'19_Расчет_аналитики'!Y2432*'01_Вводные'!$B$14</f>
        <v/>
      </c>
      <c r="AA2433">
        <f>'19_Расчет_аналитики'!Z2432*'01_Вводные'!$B$14</f>
        <v/>
      </c>
      <c r="AB2433">
        <f>'19_Расчет_аналитики'!AA2432*'01_Вводные'!$B$14</f>
        <v/>
      </c>
      <c r="AC2433">
        <f>'19_Расчет_аналитики'!AB2432*'01_Вводные'!$B$14</f>
        <v/>
      </c>
      <c r="AD2433">
        <f>'19_Расчет_аналитики'!AC2432*'01_Вводные'!$B$14</f>
        <v/>
      </c>
      <c r="AE2433">
        <f>'19_Расчет_аналитики'!AD2432*'01_Вводные'!$B$14</f>
        <v/>
      </c>
      <c r="AF2433">
        <f>'19_Расчет_аналитики'!AE2432*'01_Вводные'!$B$14</f>
        <v/>
      </c>
      <c r="AG2433">
        <f>'19_Расчет_аналитики'!AF2432*'01_Вводные'!$B$14</f>
        <v/>
      </c>
      <c r="AH2433">
        <f>'19_Расчет_аналитики'!AG2432*'01_Вводные'!$B$14</f>
        <v/>
      </c>
      <c r="AI2433">
        <f>'19_Расчет_аналитики'!AH2432*'01_Вводные'!$B$14</f>
        <v/>
      </c>
      <c r="AJ2433">
        <f>'19_Расчет_аналитики'!AI2432*'01_Вводные'!$B$14</f>
        <v/>
      </c>
      <c r="AK2433">
        <f>'19_Расчет_аналитики'!AJ2432*'01_Вводные'!$B$14</f>
        <v/>
      </c>
      <c r="AL2433">
        <f>'19_Расчет_аналитики'!AK2432*'01_Вводные'!$B$14</f>
        <v/>
      </c>
      <c r="AM2433">
        <f>'19_Расчет_аналитики'!AL2432*'01_Вводные'!$B$14</f>
        <v/>
      </c>
      <c r="AN2433">
        <f>'19_Расчет_аналитики'!AM2432*'01_Вводные'!$B$14</f>
        <v/>
      </c>
      <c r="AO2433">
        <f>'19_Расчет_аналитики'!AN2432*'01_Вводные'!$B$14</f>
        <v/>
      </c>
      <c r="AP2433">
        <f>'19_Расчет_аналитики'!AO2432*'01_Вводные'!$B$14</f>
        <v/>
      </c>
      <c r="AQ2433">
        <f>'19_Расчет_аналитики'!AP2432*'01_Вводные'!$B$14</f>
        <v/>
      </c>
      <c r="AR2433">
        <f>'19_Расчет_аналитики'!AQ2432*'01_Вводные'!$B$14</f>
        <v/>
      </c>
      <c r="AS2433">
        <f>'19_Расчет_аналитики'!AR2432*'01_Вводные'!$B$14</f>
        <v/>
      </c>
      <c r="AT2433">
        <f>'19_Расчет_аналитики'!AS2432*'01_Вводные'!$B$14</f>
        <v/>
      </c>
      <c r="AU2433">
        <f>'19_Расчет_аналитики'!AT2432*'01_Вводные'!$B$14</f>
        <v/>
      </c>
      <c r="AV2433">
        <f>'19_Расчет_аналитики'!AU2432*'01_Вводные'!$B$14</f>
        <v/>
      </c>
      <c r="AW2433">
        <f>'19_Расчет_аналитики'!AV2432*'01_Вводные'!$B$14</f>
        <v/>
      </c>
      <c r="AX2433">
        <f>'19_Расчет_аналитики'!AW2432*'01_Вводные'!$B$14</f>
        <v/>
      </c>
      <c r="AY2433">
        <f>'19_Расчет_аналитики'!AX2432*'01_Вводные'!$B$14</f>
        <v/>
      </c>
      <c r="AZ2433">
        <f>'19_Расчет_аналитики'!AY2432*'01_Вводные'!$B$14</f>
        <v/>
      </c>
      <c r="BA2433">
        <f>'19_Расчет_аналитики'!AZ2432*'01_Вводные'!$B$14</f>
        <v/>
      </c>
      <c r="BB2433">
        <f>'19_Расчет_аналитики'!BA2432*'01_Вводные'!$B$14</f>
        <v/>
      </c>
      <c r="BC2433">
        <f>'19_Расчет_аналитики'!BB2432*'01_Вводные'!$B$14</f>
        <v/>
      </c>
      <c r="BD2433">
        <f>'19_Расчет_аналитики'!BC2432*'01_Вводные'!$B$14</f>
        <v/>
      </c>
      <c r="BE2433">
        <f>'19_Расчет_аналитики'!BD2432*'01_Вводные'!$B$14</f>
        <v/>
      </c>
      <c r="BF2433">
        <f>'19_Расчет_аналитики'!BE2432*'01_Вводные'!$B$14</f>
        <v/>
      </c>
      <c r="BG2433">
        <f>'19_Расчет_аналитики'!BF2432*'01_Вводные'!$B$14</f>
        <v/>
      </c>
      <c r="BH2433">
        <f>'19_Расчет_аналитики'!BG2432*'01_Вводные'!$B$14</f>
        <v/>
      </c>
      <c r="BI2433">
        <f>'19_Расчет_аналитики'!BH2432*'01_Вводные'!$B$14</f>
        <v/>
      </c>
      <c r="BJ2433">
        <f>'19_Расчет_аналитики'!BI2432*'01_Вводные'!$B$14</f>
        <v/>
      </c>
      <c r="BK2433">
        <f>'19_Расчет_аналитики'!BJ2432*'01_Вводные'!$B$14</f>
        <v/>
      </c>
      <c r="BL2433">
        <f>'19_Расчет_аналитики'!BK2432*'01_Вводные'!$B$14</f>
        <v/>
      </c>
      <c r="BM2433">
        <f>'19_Расчет_аналитики'!BL2432*'01_Вводные'!$B$14</f>
        <v/>
      </c>
      <c r="BN2433">
        <f>'19_Расчет_аналитики'!BM2432*'01_Вводные'!$B$14</f>
        <v/>
      </c>
      <c r="BO2433">
        <f>'19_Расчет_аналитики'!BN2432*'01_Вводные'!$B$14</f>
        <v/>
      </c>
    </row>
    <row r="2434">
      <c r="B2434">
        <f>'06_Сеть_и_дети'!B55</f>
        <v/>
      </c>
      <c r="C2434">
        <f>'06_Сеть_и_дети'!C55</f>
        <v/>
      </c>
      <c r="D2434">
        <f>'19_Расчет_аналитики'!C2433*'01_Вводные'!$B$14</f>
        <v/>
      </c>
      <c r="E2434">
        <f>'19_Расчет_аналитики'!D2433*'01_Вводные'!$B$14</f>
        <v/>
      </c>
      <c r="F2434">
        <f>'19_Расчет_аналитики'!E2433*'01_Вводные'!$B$14</f>
        <v/>
      </c>
      <c r="G2434">
        <f>'19_Расчет_аналитики'!F2433*'01_Вводные'!$B$14</f>
        <v/>
      </c>
      <c r="H2434">
        <f>'19_Расчет_аналитики'!G2433*'01_Вводные'!$B$14</f>
        <v/>
      </c>
      <c r="I2434">
        <f>'19_Расчет_аналитики'!H2433*'01_Вводные'!$B$14</f>
        <v/>
      </c>
      <c r="J2434">
        <f>'19_Расчет_аналитики'!I2433*'01_Вводные'!$B$14</f>
        <v/>
      </c>
      <c r="K2434">
        <f>'19_Расчет_аналитики'!J2433*'01_Вводные'!$B$14</f>
        <v/>
      </c>
      <c r="L2434">
        <f>'19_Расчет_аналитики'!K2433*'01_Вводные'!$B$14</f>
        <v/>
      </c>
      <c r="M2434">
        <f>'19_Расчет_аналитики'!L2433*'01_Вводные'!$B$14</f>
        <v/>
      </c>
      <c r="N2434">
        <f>'19_Расчет_аналитики'!M2433*'01_Вводные'!$B$14</f>
        <v/>
      </c>
      <c r="O2434">
        <f>'19_Расчет_аналитики'!N2433*'01_Вводные'!$B$14</f>
        <v/>
      </c>
      <c r="P2434">
        <f>'19_Расчет_аналитики'!O2433*'01_Вводные'!$B$14</f>
        <v/>
      </c>
      <c r="Q2434">
        <f>'19_Расчет_аналитики'!P2433*'01_Вводные'!$B$14</f>
        <v/>
      </c>
      <c r="R2434">
        <f>'19_Расчет_аналитики'!Q2433*'01_Вводные'!$B$14</f>
        <v/>
      </c>
      <c r="S2434">
        <f>'19_Расчет_аналитики'!R2433*'01_Вводные'!$B$14</f>
        <v/>
      </c>
      <c r="T2434">
        <f>'19_Расчет_аналитики'!S2433*'01_Вводные'!$B$14</f>
        <v/>
      </c>
      <c r="U2434">
        <f>'19_Расчет_аналитики'!T2433*'01_Вводные'!$B$14</f>
        <v/>
      </c>
      <c r="V2434">
        <f>'19_Расчет_аналитики'!U2433*'01_Вводные'!$B$14</f>
        <v/>
      </c>
      <c r="W2434">
        <f>'19_Расчет_аналитики'!V2433*'01_Вводные'!$B$14</f>
        <v/>
      </c>
      <c r="X2434">
        <f>'19_Расчет_аналитики'!W2433*'01_Вводные'!$B$14</f>
        <v/>
      </c>
      <c r="Y2434">
        <f>'19_Расчет_аналитики'!X2433*'01_Вводные'!$B$14</f>
        <v/>
      </c>
      <c r="Z2434">
        <f>'19_Расчет_аналитики'!Y2433*'01_Вводные'!$B$14</f>
        <v/>
      </c>
      <c r="AA2434">
        <f>'19_Расчет_аналитики'!Z2433*'01_Вводные'!$B$14</f>
        <v/>
      </c>
      <c r="AB2434">
        <f>'19_Расчет_аналитики'!AA2433*'01_Вводные'!$B$14</f>
        <v/>
      </c>
      <c r="AC2434">
        <f>'19_Расчет_аналитики'!AB2433*'01_Вводные'!$B$14</f>
        <v/>
      </c>
      <c r="AD2434">
        <f>'19_Расчет_аналитики'!AC2433*'01_Вводные'!$B$14</f>
        <v/>
      </c>
      <c r="AE2434">
        <f>'19_Расчет_аналитики'!AD2433*'01_Вводные'!$B$14</f>
        <v/>
      </c>
      <c r="AF2434">
        <f>'19_Расчет_аналитики'!AE2433*'01_Вводные'!$B$14</f>
        <v/>
      </c>
      <c r="AG2434">
        <f>'19_Расчет_аналитики'!AF2433*'01_Вводные'!$B$14</f>
        <v/>
      </c>
      <c r="AH2434">
        <f>'19_Расчет_аналитики'!AG2433*'01_Вводные'!$B$14</f>
        <v/>
      </c>
      <c r="AI2434">
        <f>'19_Расчет_аналитики'!AH2433*'01_Вводные'!$B$14</f>
        <v/>
      </c>
      <c r="AJ2434">
        <f>'19_Расчет_аналитики'!AI2433*'01_Вводные'!$B$14</f>
        <v/>
      </c>
      <c r="AK2434">
        <f>'19_Расчет_аналитики'!AJ2433*'01_Вводные'!$B$14</f>
        <v/>
      </c>
      <c r="AL2434">
        <f>'19_Расчет_аналитики'!AK2433*'01_Вводные'!$B$14</f>
        <v/>
      </c>
      <c r="AM2434">
        <f>'19_Расчет_аналитики'!AL2433*'01_Вводные'!$B$14</f>
        <v/>
      </c>
      <c r="AN2434">
        <f>'19_Расчет_аналитики'!AM2433*'01_Вводные'!$B$14</f>
        <v/>
      </c>
      <c r="AO2434">
        <f>'19_Расчет_аналитики'!AN2433*'01_Вводные'!$B$14</f>
        <v/>
      </c>
      <c r="AP2434">
        <f>'19_Расчет_аналитики'!AO2433*'01_Вводные'!$B$14</f>
        <v/>
      </c>
      <c r="AQ2434">
        <f>'19_Расчет_аналитики'!AP2433*'01_Вводные'!$B$14</f>
        <v/>
      </c>
      <c r="AR2434">
        <f>'19_Расчет_аналитики'!AQ2433*'01_Вводные'!$B$14</f>
        <v/>
      </c>
      <c r="AS2434">
        <f>'19_Расчет_аналитики'!AR2433*'01_Вводные'!$B$14</f>
        <v/>
      </c>
      <c r="AT2434">
        <f>'19_Расчет_аналитики'!AS2433*'01_Вводные'!$B$14</f>
        <v/>
      </c>
      <c r="AU2434">
        <f>'19_Расчет_аналитики'!AT2433*'01_Вводные'!$B$14</f>
        <v/>
      </c>
      <c r="AV2434">
        <f>'19_Расчет_аналитики'!AU2433*'01_Вводные'!$B$14</f>
        <v/>
      </c>
      <c r="AW2434">
        <f>'19_Расчет_аналитики'!AV2433*'01_Вводные'!$B$14</f>
        <v/>
      </c>
      <c r="AX2434">
        <f>'19_Расчет_аналитики'!AW2433*'01_Вводные'!$B$14</f>
        <v/>
      </c>
      <c r="AY2434">
        <f>'19_Расчет_аналитики'!AX2433*'01_Вводные'!$B$14</f>
        <v/>
      </c>
      <c r="AZ2434">
        <f>'19_Расчет_аналитики'!AY2433*'01_Вводные'!$B$14</f>
        <v/>
      </c>
      <c r="BA2434">
        <f>'19_Расчет_аналитики'!AZ2433*'01_Вводные'!$B$14</f>
        <v/>
      </c>
      <c r="BB2434">
        <f>'19_Расчет_аналитики'!BA2433*'01_Вводные'!$B$14</f>
        <v/>
      </c>
      <c r="BC2434">
        <f>'19_Расчет_аналитики'!BB2433*'01_Вводные'!$B$14</f>
        <v/>
      </c>
      <c r="BD2434">
        <f>'19_Расчет_аналитики'!BC2433*'01_Вводные'!$B$14</f>
        <v/>
      </c>
      <c r="BE2434">
        <f>'19_Расчет_аналитики'!BD2433*'01_Вводные'!$B$14</f>
        <v/>
      </c>
      <c r="BF2434">
        <f>'19_Расчет_аналитики'!BE2433*'01_Вводные'!$B$14</f>
        <v/>
      </c>
      <c r="BG2434">
        <f>'19_Расчет_аналитики'!BF2433*'01_Вводные'!$B$14</f>
        <v/>
      </c>
      <c r="BH2434">
        <f>'19_Расчет_аналитики'!BG2433*'01_Вводные'!$B$14</f>
        <v/>
      </c>
      <c r="BI2434">
        <f>'19_Расчет_аналитики'!BH2433*'01_Вводные'!$B$14</f>
        <v/>
      </c>
      <c r="BJ2434">
        <f>'19_Расчет_аналитики'!BI2433*'01_Вводные'!$B$14</f>
        <v/>
      </c>
      <c r="BK2434">
        <f>'19_Расчет_аналитики'!BJ2433*'01_Вводные'!$B$14</f>
        <v/>
      </c>
      <c r="BL2434">
        <f>'19_Расчет_аналитики'!BK2433*'01_Вводные'!$B$14</f>
        <v/>
      </c>
      <c r="BM2434">
        <f>'19_Расчет_аналитики'!BL2433*'01_Вводные'!$B$14</f>
        <v/>
      </c>
      <c r="BN2434">
        <f>'19_Расчет_аналитики'!BM2433*'01_Вводные'!$B$14</f>
        <v/>
      </c>
      <c r="BO2434">
        <f>'19_Расчет_аналитики'!BN2433*'01_Вводные'!$B$14</f>
        <v/>
      </c>
    </row>
    <row r="2435">
      <c r="B2435">
        <f>'06_Сеть_и_дети'!B56</f>
        <v/>
      </c>
      <c r="C2435">
        <f>'06_Сеть_и_дети'!C56</f>
        <v/>
      </c>
      <c r="D2435">
        <f>'06_Сеть_и_дети'!D56</f>
        <v/>
      </c>
      <c r="E2435">
        <f>'19_Расчет_аналитики'!D2434*'01_Вводные'!$B$14</f>
        <v/>
      </c>
      <c r="F2435">
        <f>'19_Расчет_аналитики'!E2434*'01_Вводные'!$B$14</f>
        <v/>
      </c>
      <c r="G2435">
        <f>'19_Расчет_аналитики'!F2434*'01_Вводные'!$B$14</f>
        <v/>
      </c>
      <c r="H2435">
        <f>'19_Расчет_аналитики'!G2434*'01_Вводные'!$B$14</f>
        <v/>
      </c>
      <c r="I2435">
        <f>'19_Расчет_аналитики'!H2434*'01_Вводные'!$B$14</f>
        <v/>
      </c>
      <c r="J2435">
        <f>'19_Расчет_аналитики'!I2434*'01_Вводные'!$B$14</f>
        <v/>
      </c>
      <c r="K2435">
        <f>'19_Расчет_аналитики'!J2434*'01_Вводные'!$B$14</f>
        <v/>
      </c>
      <c r="L2435">
        <f>'19_Расчет_аналитики'!K2434*'01_Вводные'!$B$14</f>
        <v/>
      </c>
      <c r="M2435">
        <f>'19_Расчет_аналитики'!L2434*'01_Вводные'!$B$14</f>
        <v/>
      </c>
      <c r="N2435">
        <f>'19_Расчет_аналитики'!M2434*'01_Вводные'!$B$14</f>
        <v/>
      </c>
      <c r="O2435">
        <f>'19_Расчет_аналитики'!N2434*'01_Вводные'!$B$14</f>
        <v/>
      </c>
      <c r="P2435">
        <f>'19_Расчет_аналитики'!O2434*'01_Вводные'!$B$14</f>
        <v/>
      </c>
      <c r="Q2435">
        <f>'19_Расчет_аналитики'!P2434*'01_Вводные'!$B$14</f>
        <v/>
      </c>
      <c r="R2435">
        <f>'19_Расчет_аналитики'!Q2434*'01_Вводные'!$B$14</f>
        <v/>
      </c>
      <c r="S2435">
        <f>'19_Расчет_аналитики'!R2434*'01_Вводные'!$B$14</f>
        <v/>
      </c>
      <c r="T2435">
        <f>'19_Расчет_аналитики'!S2434*'01_Вводные'!$B$14</f>
        <v/>
      </c>
      <c r="U2435">
        <f>'19_Расчет_аналитики'!T2434*'01_Вводные'!$B$14</f>
        <v/>
      </c>
      <c r="V2435">
        <f>'19_Расчет_аналитики'!U2434*'01_Вводные'!$B$14</f>
        <v/>
      </c>
      <c r="W2435">
        <f>'19_Расчет_аналитики'!V2434*'01_Вводные'!$B$14</f>
        <v/>
      </c>
      <c r="X2435">
        <f>'19_Расчет_аналитики'!W2434*'01_Вводные'!$B$14</f>
        <v/>
      </c>
      <c r="Y2435">
        <f>'19_Расчет_аналитики'!X2434*'01_Вводные'!$B$14</f>
        <v/>
      </c>
      <c r="Z2435">
        <f>'19_Расчет_аналитики'!Y2434*'01_Вводные'!$B$14</f>
        <v/>
      </c>
      <c r="AA2435">
        <f>'19_Расчет_аналитики'!Z2434*'01_Вводные'!$B$14</f>
        <v/>
      </c>
      <c r="AB2435">
        <f>'19_Расчет_аналитики'!AA2434*'01_Вводные'!$B$14</f>
        <v/>
      </c>
      <c r="AC2435">
        <f>'19_Расчет_аналитики'!AB2434*'01_Вводные'!$B$14</f>
        <v/>
      </c>
      <c r="AD2435">
        <f>'19_Расчет_аналитики'!AC2434*'01_Вводные'!$B$14</f>
        <v/>
      </c>
      <c r="AE2435">
        <f>'19_Расчет_аналитики'!AD2434*'01_Вводные'!$B$14</f>
        <v/>
      </c>
      <c r="AF2435">
        <f>'19_Расчет_аналитики'!AE2434*'01_Вводные'!$B$14</f>
        <v/>
      </c>
      <c r="AG2435">
        <f>'19_Расчет_аналитики'!AF2434*'01_Вводные'!$B$14</f>
        <v/>
      </c>
      <c r="AH2435">
        <f>'19_Расчет_аналитики'!AG2434*'01_Вводные'!$B$14</f>
        <v/>
      </c>
      <c r="AI2435">
        <f>'19_Расчет_аналитики'!AH2434*'01_Вводные'!$B$14</f>
        <v/>
      </c>
      <c r="AJ2435">
        <f>'19_Расчет_аналитики'!AI2434*'01_Вводные'!$B$14</f>
        <v/>
      </c>
      <c r="AK2435">
        <f>'19_Расчет_аналитики'!AJ2434*'01_Вводные'!$B$14</f>
        <v/>
      </c>
      <c r="AL2435">
        <f>'19_Расчет_аналитики'!AK2434*'01_Вводные'!$B$14</f>
        <v/>
      </c>
      <c r="AM2435">
        <f>'19_Расчет_аналитики'!AL2434*'01_Вводные'!$B$14</f>
        <v/>
      </c>
      <c r="AN2435">
        <f>'19_Расчет_аналитики'!AM2434*'01_Вводные'!$B$14</f>
        <v/>
      </c>
      <c r="AO2435">
        <f>'19_Расчет_аналитики'!AN2434*'01_Вводные'!$B$14</f>
        <v/>
      </c>
      <c r="AP2435">
        <f>'19_Расчет_аналитики'!AO2434*'01_Вводные'!$B$14</f>
        <v/>
      </c>
      <c r="AQ2435">
        <f>'19_Расчет_аналитики'!AP2434*'01_Вводные'!$B$14</f>
        <v/>
      </c>
      <c r="AR2435">
        <f>'19_Расчет_аналитики'!AQ2434*'01_Вводные'!$B$14</f>
        <v/>
      </c>
      <c r="AS2435">
        <f>'19_Расчет_аналитики'!AR2434*'01_Вводные'!$B$14</f>
        <v/>
      </c>
      <c r="AT2435">
        <f>'19_Расчет_аналитики'!AS2434*'01_Вводные'!$B$14</f>
        <v/>
      </c>
      <c r="AU2435">
        <f>'19_Расчет_аналитики'!AT2434*'01_Вводные'!$B$14</f>
        <v/>
      </c>
      <c r="AV2435">
        <f>'19_Расчет_аналитики'!AU2434*'01_Вводные'!$B$14</f>
        <v/>
      </c>
      <c r="AW2435">
        <f>'19_Расчет_аналитики'!AV2434*'01_Вводные'!$B$14</f>
        <v/>
      </c>
      <c r="AX2435">
        <f>'19_Расчет_аналитики'!AW2434*'01_Вводные'!$B$14</f>
        <v/>
      </c>
      <c r="AY2435">
        <f>'19_Расчет_аналитики'!AX2434*'01_Вводные'!$B$14</f>
        <v/>
      </c>
      <c r="AZ2435">
        <f>'19_Расчет_аналитики'!AY2434*'01_Вводные'!$B$14</f>
        <v/>
      </c>
      <c r="BA2435">
        <f>'19_Расчет_аналитики'!AZ2434*'01_Вводные'!$B$14</f>
        <v/>
      </c>
      <c r="BB2435">
        <f>'19_Расчет_аналитики'!BA2434*'01_Вводные'!$B$14</f>
        <v/>
      </c>
      <c r="BC2435">
        <f>'19_Расчет_аналитики'!BB2434*'01_Вводные'!$B$14</f>
        <v/>
      </c>
      <c r="BD2435">
        <f>'19_Расчет_аналитики'!BC2434*'01_Вводные'!$B$14</f>
        <v/>
      </c>
      <c r="BE2435">
        <f>'19_Расчет_аналитики'!BD2434*'01_Вводные'!$B$14</f>
        <v/>
      </c>
      <c r="BF2435">
        <f>'19_Расчет_аналитики'!BE2434*'01_Вводные'!$B$14</f>
        <v/>
      </c>
      <c r="BG2435">
        <f>'19_Расчет_аналитики'!BF2434*'01_Вводные'!$B$14</f>
        <v/>
      </c>
      <c r="BH2435">
        <f>'19_Расчет_аналитики'!BG2434*'01_Вводные'!$B$14</f>
        <v/>
      </c>
      <c r="BI2435">
        <f>'19_Расчет_аналитики'!BH2434*'01_Вводные'!$B$14</f>
        <v/>
      </c>
      <c r="BJ2435">
        <f>'19_Расчет_аналитики'!BI2434*'01_Вводные'!$B$14</f>
        <v/>
      </c>
      <c r="BK2435">
        <f>'19_Расчет_аналитики'!BJ2434*'01_Вводные'!$B$14</f>
        <v/>
      </c>
      <c r="BL2435">
        <f>'19_Расчет_аналитики'!BK2434*'01_Вводные'!$B$14</f>
        <v/>
      </c>
      <c r="BM2435">
        <f>'19_Расчет_аналитики'!BL2434*'01_Вводные'!$B$14</f>
        <v/>
      </c>
      <c r="BN2435">
        <f>'19_Расчет_аналитики'!BM2434*'01_Вводные'!$B$14</f>
        <v/>
      </c>
      <c r="BO2435">
        <f>'19_Расчет_аналитики'!BN2434*'01_Вводные'!$B$14</f>
        <v/>
      </c>
    </row>
    <row r="2436">
      <c r="B2436">
        <f>'06_Сеть_и_дети'!B57</f>
        <v/>
      </c>
      <c r="C2436">
        <f>'06_Сеть_и_дети'!C57</f>
        <v/>
      </c>
      <c r="D2436">
        <f>'06_Сеть_и_дети'!D57</f>
        <v/>
      </c>
      <c r="E2436">
        <f>'06_Сеть_и_дети'!E57</f>
        <v/>
      </c>
      <c r="F2436">
        <f>'19_Расчет_аналитики'!E2435*'01_Вводные'!$B$14</f>
        <v/>
      </c>
      <c r="G2436">
        <f>'19_Расчет_аналитики'!F2435*'01_Вводные'!$B$14</f>
        <v/>
      </c>
      <c r="H2436">
        <f>'19_Расчет_аналитики'!G2435*'01_Вводные'!$B$14</f>
        <v/>
      </c>
      <c r="I2436">
        <f>'19_Расчет_аналитики'!H2435*'01_Вводные'!$B$14</f>
        <v/>
      </c>
      <c r="J2436">
        <f>'19_Расчет_аналитики'!I2435*'01_Вводные'!$B$14</f>
        <v/>
      </c>
      <c r="K2436">
        <f>'19_Расчет_аналитики'!J2435*'01_Вводные'!$B$14</f>
        <v/>
      </c>
      <c r="L2436">
        <f>'19_Расчет_аналитики'!K2435*'01_Вводные'!$B$14</f>
        <v/>
      </c>
      <c r="M2436">
        <f>'19_Расчет_аналитики'!L2435*'01_Вводные'!$B$14</f>
        <v/>
      </c>
      <c r="N2436">
        <f>'19_Расчет_аналитики'!M2435*'01_Вводные'!$B$14</f>
        <v/>
      </c>
      <c r="O2436">
        <f>'19_Расчет_аналитики'!N2435*'01_Вводные'!$B$14</f>
        <v/>
      </c>
      <c r="P2436">
        <f>'19_Расчет_аналитики'!O2435*'01_Вводные'!$B$14</f>
        <v/>
      </c>
      <c r="Q2436">
        <f>'19_Расчет_аналитики'!P2435*'01_Вводные'!$B$14</f>
        <v/>
      </c>
      <c r="R2436">
        <f>'19_Расчет_аналитики'!Q2435*'01_Вводные'!$B$14</f>
        <v/>
      </c>
      <c r="S2436">
        <f>'19_Расчет_аналитики'!R2435*'01_Вводные'!$B$14</f>
        <v/>
      </c>
      <c r="T2436">
        <f>'19_Расчет_аналитики'!S2435*'01_Вводные'!$B$14</f>
        <v/>
      </c>
      <c r="U2436">
        <f>'19_Расчет_аналитики'!T2435*'01_Вводные'!$B$14</f>
        <v/>
      </c>
      <c r="V2436">
        <f>'19_Расчет_аналитики'!U2435*'01_Вводные'!$B$14</f>
        <v/>
      </c>
      <c r="W2436">
        <f>'19_Расчет_аналитики'!V2435*'01_Вводные'!$B$14</f>
        <v/>
      </c>
      <c r="X2436">
        <f>'19_Расчет_аналитики'!W2435*'01_Вводные'!$B$14</f>
        <v/>
      </c>
      <c r="Y2436">
        <f>'19_Расчет_аналитики'!X2435*'01_Вводные'!$B$14</f>
        <v/>
      </c>
      <c r="Z2436">
        <f>'19_Расчет_аналитики'!Y2435*'01_Вводные'!$B$14</f>
        <v/>
      </c>
      <c r="AA2436">
        <f>'19_Расчет_аналитики'!Z2435*'01_Вводные'!$B$14</f>
        <v/>
      </c>
      <c r="AB2436">
        <f>'19_Расчет_аналитики'!AA2435*'01_Вводные'!$B$14</f>
        <v/>
      </c>
      <c r="AC2436">
        <f>'19_Расчет_аналитики'!AB2435*'01_Вводные'!$B$14</f>
        <v/>
      </c>
      <c r="AD2436">
        <f>'19_Расчет_аналитики'!AC2435*'01_Вводные'!$B$14</f>
        <v/>
      </c>
      <c r="AE2436">
        <f>'19_Расчет_аналитики'!AD2435*'01_Вводные'!$B$14</f>
        <v/>
      </c>
      <c r="AF2436">
        <f>'19_Расчет_аналитики'!AE2435*'01_Вводные'!$B$14</f>
        <v/>
      </c>
      <c r="AG2436">
        <f>'19_Расчет_аналитики'!AF2435*'01_Вводные'!$B$14</f>
        <v/>
      </c>
      <c r="AH2436">
        <f>'19_Расчет_аналитики'!AG2435*'01_Вводные'!$B$14</f>
        <v/>
      </c>
      <c r="AI2436">
        <f>'19_Расчет_аналитики'!AH2435*'01_Вводные'!$B$14</f>
        <v/>
      </c>
      <c r="AJ2436">
        <f>'19_Расчет_аналитики'!AI2435*'01_Вводные'!$B$14</f>
        <v/>
      </c>
      <c r="AK2436">
        <f>'19_Расчет_аналитики'!AJ2435*'01_Вводные'!$B$14</f>
        <v/>
      </c>
      <c r="AL2436">
        <f>'19_Расчет_аналитики'!AK2435*'01_Вводные'!$B$14</f>
        <v/>
      </c>
      <c r="AM2436">
        <f>'19_Расчет_аналитики'!AL2435*'01_Вводные'!$B$14</f>
        <v/>
      </c>
      <c r="AN2436">
        <f>'19_Расчет_аналитики'!AM2435*'01_Вводные'!$B$14</f>
        <v/>
      </c>
      <c r="AO2436">
        <f>'19_Расчет_аналитики'!AN2435*'01_Вводные'!$B$14</f>
        <v/>
      </c>
      <c r="AP2436">
        <f>'19_Расчет_аналитики'!AO2435*'01_Вводные'!$B$14</f>
        <v/>
      </c>
      <c r="AQ2436">
        <f>'19_Расчет_аналитики'!AP2435*'01_Вводные'!$B$14</f>
        <v/>
      </c>
      <c r="AR2436">
        <f>'19_Расчет_аналитики'!AQ2435*'01_Вводные'!$B$14</f>
        <v/>
      </c>
      <c r="AS2436">
        <f>'19_Расчет_аналитики'!AR2435*'01_Вводные'!$B$14</f>
        <v/>
      </c>
      <c r="AT2436">
        <f>'19_Расчет_аналитики'!AS2435*'01_Вводные'!$B$14</f>
        <v/>
      </c>
      <c r="AU2436">
        <f>'19_Расчет_аналитики'!AT2435*'01_Вводные'!$B$14</f>
        <v/>
      </c>
      <c r="AV2436">
        <f>'19_Расчет_аналитики'!AU2435*'01_Вводные'!$B$14</f>
        <v/>
      </c>
      <c r="AW2436">
        <f>'19_Расчет_аналитики'!AV2435*'01_Вводные'!$B$14</f>
        <v/>
      </c>
      <c r="AX2436">
        <f>'19_Расчет_аналитики'!AW2435*'01_Вводные'!$B$14</f>
        <v/>
      </c>
      <c r="AY2436">
        <f>'19_Расчет_аналитики'!AX2435*'01_Вводные'!$B$14</f>
        <v/>
      </c>
      <c r="AZ2436">
        <f>'19_Расчет_аналитики'!AY2435*'01_Вводные'!$B$14</f>
        <v/>
      </c>
      <c r="BA2436">
        <f>'19_Расчет_аналитики'!AZ2435*'01_Вводные'!$B$14</f>
        <v/>
      </c>
      <c r="BB2436">
        <f>'19_Расчет_аналитики'!BA2435*'01_Вводные'!$B$14</f>
        <v/>
      </c>
      <c r="BC2436">
        <f>'19_Расчет_аналитики'!BB2435*'01_Вводные'!$B$14</f>
        <v/>
      </c>
      <c r="BD2436">
        <f>'19_Расчет_аналитики'!BC2435*'01_Вводные'!$B$14</f>
        <v/>
      </c>
      <c r="BE2436">
        <f>'19_Расчет_аналитики'!BD2435*'01_Вводные'!$B$14</f>
        <v/>
      </c>
      <c r="BF2436">
        <f>'19_Расчет_аналитики'!BE2435*'01_Вводные'!$B$14</f>
        <v/>
      </c>
      <c r="BG2436">
        <f>'19_Расчет_аналитики'!BF2435*'01_Вводные'!$B$14</f>
        <v/>
      </c>
      <c r="BH2436">
        <f>'19_Расчет_аналитики'!BG2435*'01_Вводные'!$B$14</f>
        <v/>
      </c>
      <c r="BI2436">
        <f>'19_Расчет_аналитики'!BH2435*'01_Вводные'!$B$14</f>
        <v/>
      </c>
      <c r="BJ2436">
        <f>'19_Расчет_аналитики'!BI2435*'01_Вводные'!$B$14</f>
        <v/>
      </c>
      <c r="BK2436">
        <f>'19_Расчет_аналитики'!BJ2435*'01_Вводные'!$B$14</f>
        <v/>
      </c>
      <c r="BL2436">
        <f>'19_Расчет_аналитики'!BK2435*'01_Вводные'!$B$14</f>
        <v/>
      </c>
      <c r="BM2436">
        <f>'19_Расчет_аналитики'!BL2435*'01_Вводные'!$B$14</f>
        <v/>
      </c>
      <c r="BN2436">
        <f>'19_Расчет_аналитики'!BM2435*'01_Вводные'!$B$14</f>
        <v/>
      </c>
      <c r="BO2436">
        <f>'19_Расчет_аналитики'!BN2435*'01_Вводные'!$B$14</f>
        <v/>
      </c>
    </row>
    <row r="2437">
      <c r="B2437">
        <f>'06_Сеть_и_дети'!B58</f>
        <v/>
      </c>
      <c r="C2437">
        <f>'06_Сеть_и_дети'!C58</f>
        <v/>
      </c>
      <c r="D2437">
        <f>'06_Сеть_и_дети'!D58</f>
        <v/>
      </c>
      <c r="E2437">
        <f>'06_Сеть_и_дети'!E58</f>
        <v/>
      </c>
      <c r="F2437">
        <f>'06_Сеть_и_дети'!F58</f>
        <v/>
      </c>
      <c r="G2437">
        <f>'19_Расчет_аналитики'!F2436*'01_Вводные'!$B$14</f>
        <v/>
      </c>
      <c r="H2437">
        <f>'19_Расчет_аналитики'!G2436*'01_Вводные'!$B$14</f>
        <v/>
      </c>
      <c r="I2437">
        <f>'19_Расчет_аналитики'!H2436*'01_Вводные'!$B$14</f>
        <v/>
      </c>
      <c r="J2437">
        <f>'19_Расчет_аналитики'!I2436*'01_Вводные'!$B$14</f>
        <v/>
      </c>
      <c r="K2437">
        <f>'19_Расчет_аналитики'!J2436*'01_Вводные'!$B$14</f>
        <v/>
      </c>
      <c r="L2437">
        <f>'19_Расчет_аналитики'!K2436*'01_Вводные'!$B$14</f>
        <v/>
      </c>
      <c r="M2437">
        <f>'19_Расчет_аналитики'!L2436*'01_Вводные'!$B$14</f>
        <v/>
      </c>
      <c r="N2437">
        <f>'19_Расчет_аналитики'!M2436*'01_Вводные'!$B$14</f>
        <v/>
      </c>
      <c r="O2437">
        <f>'19_Расчет_аналитики'!N2436*'01_Вводные'!$B$14</f>
        <v/>
      </c>
      <c r="P2437">
        <f>'19_Расчет_аналитики'!O2436*'01_Вводные'!$B$14</f>
        <v/>
      </c>
      <c r="Q2437">
        <f>'19_Расчет_аналитики'!P2436*'01_Вводные'!$B$14</f>
        <v/>
      </c>
      <c r="R2437">
        <f>'19_Расчет_аналитики'!Q2436*'01_Вводные'!$B$14</f>
        <v/>
      </c>
      <c r="S2437">
        <f>'19_Расчет_аналитики'!R2436*'01_Вводные'!$B$14</f>
        <v/>
      </c>
      <c r="T2437">
        <f>'19_Расчет_аналитики'!S2436*'01_Вводные'!$B$14</f>
        <v/>
      </c>
      <c r="U2437">
        <f>'19_Расчет_аналитики'!T2436*'01_Вводные'!$B$14</f>
        <v/>
      </c>
      <c r="V2437">
        <f>'19_Расчет_аналитики'!U2436*'01_Вводные'!$B$14</f>
        <v/>
      </c>
      <c r="W2437">
        <f>'19_Расчет_аналитики'!V2436*'01_Вводные'!$B$14</f>
        <v/>
      </c>
      <c r="X2437">
        <f>'19_Расчет_аналитики'!W2436*'01_Вводные'!$B$14</f>
        <v/>
      </c>
      <c r="Y2437">
        <f>'19_Расчет_аналитики'!X2436*'01_Вводные'!$B$14</f>
        <v/>
      </c>
      <c r="Z2437">
        <f>'19_Расчет_аналитики'!Y2436*'01_Вводные'!$B$14</f>
        <v/>
      </c>
      <c r="AA2437">
        <f>'19_Расчет_аналитики'!Z2436*'01_Вводные'!$B$14</f>
        <v/>
      </c>
      <c r="AB2437">
        <f>'19_Расчет_аналитики'!AA2436*'01_Вводные'!$B$14</f>
        <v/>
      </c>
      <c r="AC2437">
        <f>'19_Расчет_аналитики'!AB2436*'01_Вводные'!$B$14</f>
        <v/>
      </c>
      <c r="AD2437">
        <f>'19_Расчет_аналитики'!AC2436*'01_Вводные'!$B$14</f>
        <v/>
      </c>
      <c r="AE2437">
        <f>'19_Расчет_аналитики'!AD2436*'01_Вводные'!$B$14</f>
        <v/>
      </c>
      <c r="AF2437">
        <f>'19_Расчет_аналитики'!AE2436*'01_Вводные'!$B$14</f>
        <v/>
      </c>
      <c r="AG2437">
        <f>'19_Расчет_аналитики'!AF2436*'01_Вводные'!$B$14</f>
        <v/>
      </c>
      <c r="AH2437">
        <f>'19_Расчет_аналитики'!AG2436*'01_Вводные'!$B$14</f>
        <v/>
      </c>
      <c r="AI2437">
        <f>'19_Расчет_аналитики'!AH2436*'01_Вводные'!$B$14</f>
        <v/>
      </c>
      <c r="AJ2437">
        <f>'19_Расчет_аналитики'!AI2436*'01_Вводные'!$B$14</f>
        <v/>
      </c>
      <c r="AK2437">
        <f>'19_Расчет_аналитики'!AJ2436*'01_Вводные'!$B$14</f>
        <v/>
      </c>
      <c r="AL2437">
        <f>'19_Расчет_аналитики'!AK2436*'01_Вводные'!$B$14</f>
        <v/>
      </c>
      <c r="AM2437">
        <f>'19_Расчет_аналитики'!AL2436*'01_Вводные'!$B$14</f>
        <v/>
      </c>
      <c r="AN2437">
        <f>'19_Расчет_аналитики'!AM2436*'01_Вводные'!$B$14</f>
        <v/>
      </c>
      <c r="AO2437">
        <f>'19_Расчет_аналитики'!AN2436*'01_Вводные'!$B$14</f>
        <v/>
      </c>
      <c r="AP2437">
        <f>'19_Расчет_аналитики'!AO2436*'01_Вводные'!$B$14</f>
        <v/>
      </c>
      <c r="AQ2437">
        <f>'19_Расчет_аналитики'!AP2436*'01_Вводные'!$B$14</f>
        <v/>
      </c>
      <c r="AR2437">
        <f>'19_Расчет_аналитики'!AQ2436*'01_Вводные'!$B$14</f>
        <v/>
      </c>
      <c r="AS2437">
        <f>'19_Расчет_аналитики'!AR2436*'01_Вводные'!$B$14</f>
        <v/>
      </c>
      <c r="AT2437">
        <f>'19_Расчет_аналитики'!AS2436*'01_Вводные'!$B$14</f>
        <v/>
      </c>
      <c r="AU2437">
        <f>'19_Расчет_аналитики'!AT2436*'01_Вводные'!$B$14</f>
        <v/>
      </c>
      <c r="AV2437">
        <f>'19_Расчет_аналитики'!AU2436*'01_Вводные'!$B$14</f>
        <v/>
      </c>
      <c r="AW2437">
        <f>'19_Расчет_аналитики'!AV2436*'01_Вводные'!$B$14</f>
        <v/>
      </c>
      <c r="AX2437">
        <f>'19_Расчет_аналитики'!AW2436*'01_Вводные'!$B$14</f>
        <v/>
      </c>
      <c r="AY2437">
        <f>'19_Расчет_аналитики'!AX2436*'01_Вводные'!$B$14</f>
        <v/>
      </c>
      <c r="AZ2437">
        <f>'19_Расчет_аналитики'!AY2436*'01_Вводные'!$B$14</f>
        <v/>
      </c>
      <c r="BA2437">
        <f>'19_Расчет_аналитики'!AZ2436*'01_Вводные'!$B$14</f>
        <v/>
      </c>
      <c r="BB2437">
        <f>'19_Расчет_аналитики'!BA2436*'01_Вводные'!$B$14</f>
        <v/>
      </c>
      <c r="BC2437">
        <f>'19_Расчет_аналитики'!BB2436*'01_Вводные'!$B$14</f>
        <v/>
      </c>
      <c r="BD2437">
        <f>'19_Расчет_аналитики'!BC2436*'01_Вводные'!$B$14</f>
        <v/>
      </c>
      <c r="BE2437">
        <f>'19_Расчет_аналитики'!BD2436*'01_Вводные'!$B$14</f>
        <v/>
      </c>
      <c r="BF2437">
        <f>'19_Расчет_аналитики'!BE2436*'01_Вводные'!$B$14</f>
        <v/>
      </c>
      <c r="BG2437">
        <f>'19_Расчет_аналитики'!BF2436*'01_Вводные'!$B$14</f>
        <v/>
      </c>
      <c r="BH2437">
        <f>'19_Расчет_аналитики'!BG2436*'01_Вводные'!$B$14</f>
        <v/>
      </c>
      <c r="BI2437">
        <f>'19_Расчет_аналитики'!BH2436*'01_Вводные'!$B$14</f>
        <v/>
      </c>
      <c r="BJ2437">
        <f>'19_Расчет_аналитики'!BI2436*'01_Вводные'!$B$14</f>
        <v/>
      </c>
      <c r="BK2437">
        <f>'19_Расчет_аналитики'!BJ2436*'01_Вводные'!$B$14</f>
        <v/>
      </c>
      <c r="BL2437">
        <f>'19_Расчет_аналитики'!BK2436*'01_Вводные'!$B$14</f>
        <v/>
      </c>
      <c r="BM2437">
        <f>'19_Расчет_аналитики'!BL2436*'01_Вводные'!$B$14</f>
        <v/>
      </c>
      <c r="BN2437">
        <f>'19_Расчет_аналитики'!BM2436*'01_Вводные'!$B$14</f>
        <v/>
      </c>
      <c r="BO2437">
        <f>'19_Расчет_аналитики'!BN2436*'01_Вводные'!$B$14</f>
        <v/>
      </c>
    </row>
    <row r="2438">
      <c r="B2438">
        <f>'06_Сеть_и_дети'!B59</f>
        <v/>
      </c>
      <c r="C2438">
        <f>'06_Сеть_и_дети'!C59</f>
        <v/>
      </c>
      <c r="D2438">
        <f>'06_Сеть_и_дети'!D59</f>
        <v/>
      </c>
      <c r="E2438">
        <f>'06_Сеть_и_дети'!E59</f>
        <v/>
      </c>
      <c r="F2438">
        <f>'06_Сеть_и_дети'!F59</f>
        <v/>
      </c>
      <c r="G2438">
        <f>'06_Сеть_и_дети'!G59</f>
        <v/>
      </c>
      <c r="H2438">
        <f>'19_Расчет_аналитики'!G2437*'01_Вводные'!$B$14</f>
        <v/>
      </c>
      <c r="I2438">
        <f>'19_Расчет_аналитики'!H2437*'01_Вводные'!$B$14</f>
        <v/>
      </c>
      <c r="J2438">
        <f>'19_Расчет_аналитики'!I2437*'01_Вводные'!$B$14</f>
        <v/>
      </c>
      <c r="K2438">
        <f>'19_Расчет_аналитики'!J2437*'01_Вводные'!$B$14</f>
        <v/>
      </c>
      <c r="L2438">
        <f>'19_Расчет_аналитики'!K2437*'01_Вводные'!$B$14</f>
        <v/>
      </c>
      <c r="M2438">
        <f>'19_Расчет_аналитики'!L2437*'01_Вводные'!$B$14</f>
        <v/>
      </c>
      <c r="N2438">
        <f>'19_Расчет_аналитики'!M2437*'01_Вводные'!$B$14</f>
        <v/>
      </c>
      <c r="O2438">
        <f>'19_Расчет_аналитики'!N2437*'01_Вводные'!$B$14</f>
        <v/>
      </c>
      <c r="P2438">
        <f>'19_Расчет_аналитики'!O2437*'01_Вводные'!$B$14</f>
        <v/>
      </c>
      <c r="Q2438">
        <f>'19_Расчет_аналитики'!P2437*'01_Вводные'!$B$14</f>
        <v/>
      </c>
      <c r="R2438">
        <f>'19_Расчет_аналитики'!Q2437*'01_Вводные'!$B$14</f>
        <v/>
      </c>
      <c r="S2438">
        <f>'19_Расчет_аналитики'!R2437*'01_Вводные'!$B$14</f>
        <v/>
      </c>
      <c r="T2438">
        <f>'19_Расчет_аналитики'!S2437*'01_Вводные'!$B$14</f>
        <v/>
      </c>
      <c r="U2438">
        <f>'19_Расчет_аналитики'!T2437*'01_Вводные'!$B$14</f>
        <v/>
      </c>
      <c r="V2438">
        <f>'19_Расчет_аналитики'!U2437*'01_Вводные'!$B$14</f>
        <v/>
      </c>
      <c r="W2438">
        <f>'19_Расчет_аналитики'!V2437*'01_Вводные'!$B$14</f>
        <v/>
      </c>
      <c r="X2438">
        <f>'19_Расчет_аналитики'!W2437*'01_Вводные'!$B$14</f>
        <v/>
      </c>
      <c r="Y2438">
        <f>'19_Расчет_аналитики'!X2437*'01_Вводные'!$B$14</f>
        <v/>
      </c>
      <c r="Z2438">
        <f>'19_Расчет_аналитики'!Y2437*'01_Вводные'!$B$14</f>
        <v/>
      </c>
      <c r="AA2438">
        <f>'19_Расчет_аналитики'!Z2437*'01_Вводные'!$B$14</f>
        <v/>
      </c>
      <c r="AB2438">
        <f>'19_Расчет_аналитики'!AA2437*'01_Вводные'!$B$14</f>
        <v/>
      </c>
      <c r="AC2438">
        <f>'19_Расчет_аналитики'!AB2437*'01_Вводные'!$B$14</f>
        <v/>
      </c>
      <c r="AD2438">
        <f>'19_Расчет_аналитики'!AC2437*'01_Вводные'!$B$14</f>
        <v/>
      </c>
      <c r="AE2438">
        <f>'19_Расчет_аналитики'!AD2437*'01_Вводные'!$B$14</f>
        <v/>
      </c>
      <c r="AF2438">
        <f>'19_Расчет_аналитики'!AE2437*'01_Вводные'!$B$14</f>
        <v/>
      </c>
      <c r="AG2438">
        <f>'19_Расчет_аналитики'!AF2437*'01_Вводные'!$B$14</f>
        <v/>
      </c>
      <c r="AH2438">
        <f>'19_Расчет_аналитики'!AG2437*'01_Вводные'!$B$14</f>
        <v/>
      </c>
      <c r="AI2438">
        <f>'19_Расчет_аналитики'!AH2437*'01_Вводные'!$B$14</f>
        <v/>
      </c>
      <c r="AJ2438">
        <f>'19_Расчет_аналитики'!AI2437*'01_Вводные'!$B$14</f>
        <v/>
      </c>
      <c r="AK2438">
        <f>'19_Расчет_аналитики'!AJ2437*'01_Вводные'!$B$14</f>
        <v/>
      </c>
      <c r="AL2438">
        <f>'19_Расчет_аналитики'!AK2437*'01_Вводные'!$B$14</f>
        <v/>
      </c>
      <c r="AM2438">
        <f>'19_Расчет_аналитики'!AL2437*'01_Вводные'!$B$14</f>
        <v/>
      </c>
      <c r="AN2438">
        <f>'19_Расчет_аналитики'!AM2437*'01_Вводные'!$B$14</f>
        <v/>
      </c>
      <c r="AO2438">
        <f>'19_Расчет_аналитики'!AN2437*'01_Вводные'!$B$14</f>
        <v/>
      </c>
      <c r="AP2438">
        <f>'19_Расчет_аналитики'!AO2437*'01_Вводные'!$B$14</f>
        <v/>
      </c>
      <c r="AQ2438">
        <f>'19_Расчет_аналитики'!AP2437*'01_Вводные'!$B$14</f>
        <v/>
      </c>
      <c r="AR2438">
        <f>'19_Расчет_аналитики'!AQ2437*'01_Вводные'!$B$14</f>
        <v/>
      </c>
      <c r="AS2438">
        <f>'19_Расчет_аналитики'!AR2437*'01_Вводные'!$B$14</f>
        <v/>
      </c>
      <c r="AT2438">
        <f>'19_Расчет_аналитики'!AS2437*'01_Вводные'!$B$14</f>
        <v/>
      </c>
      <c r="AU2438">
        <f>'19_Расчет_аналитики'!AT2437*'01_Вводные'!$B$14</f>
        <v/>
      </c>
      <c r="AV2438">
        <f>'19_Расчет_аналитики'!AU2437*'01_Вводные'!$B$14</f>
        <v/>
      </c>
      <c r="AW2438">
        <f>'19_Расчет_аналитики'!AV2437*'01_Вводные'!$B$14</f>
        <v/>
      </c>
      <c r="AX2438">
        <f>'19_Расчет_аналитики'!AW2437*'01_Вводные'!$B$14</f>
        <v/>
      </c>
      <c r="AY2438">
        <f>'19_Расчет_аналитики'!AX2437*'01_Вводные'!$B$14</f>
        <v/>
      </c>
      <c r="AZ2438">
        <f>'19_Расчет_аналитики'!AY2437*'01_Вводные'!$B$14</f>
        <v/>
      </c>
      <c r="BA2438">
        <f>'19_Расчет_аналитики'!AZ2437*'01_Вводные'!$B$14</f>
        <v/>
      </c>
      <c r="BB2438">
        <f>'19_Расчет_аналитики'!BA2437*'01_Вводные'!$B$14</f>
        <v/>
      </c>
      <c r="BC2438">
        <f>'19_Расчет_аналитики'!BB2437*'01_Вводные'!$B$14</f>
        <v/>
      </c>
      <c r="BD2438">
        <f>'19_Расчет_аналитики'!BC2437*'01_Вводные'!$B$14</f>
        <v/>
      </c>
      <c r="BE2438">
        <f>'19_Расчет_аналитики'!BD2437*'01_Вводные'!$B$14</f>
        <v/>
      </c>
      <c r="BF2438">
        <f>'19_Расчет_аналитики'!BE2437*'01_Вводные'!$B$14</f>
        <v/>
      </c>
      <c r="BG2438">
        <f>'19_Расчет_аналитики'!BF2437*'01_Вводные'!$B$14</f>
        <v/>
      </c>
      <c r="BH2438">
        <f>'19_Расчет_аналитики'!BG2437*'01_Вводные'!$B$14</f>
        <v/>
      </c>
      <c r="BI2438">
        <f>'19_Расчет_аналитики'!BH2437*'01_Вводные'!$B$14</f>
        <v/>
      </c>
      <c r="BJ2438">
        <f>'19_Расчет_аналитики'!BI2437*'01_Вводные'!$B$14</f>
        <v/>
      </c>
      <c r="BK2438">
        <f>'19_Расчет_аналитики'!BJ2437*'01_Вводные'!$B$14</f>
        <v/>
      </c>
      <c r="BL2438">
        <f>'19_Расчет_аналитики'!BK2437*'01_Вводные'!$B$14</f>
        <v/>
      </c>
      <c r="BM2438">
        <f>'19_Расчет_аналитики'!BL2437*'01_Вводные'!$B$14</f>
        <v/>
      </c>
      <c r="BN2438">
        <f>'19_Расчет_аналитики'!BM2437*'01_Вводные'!$B$14</f>
        <v/>
      </c>
      <c r="BO2438">
        <f>'19_Расчет_аналитики'!BN2437*'01_Вводные'!$B$14</f>
        <v/>
      </c>
    </row>
    <row r="2439">
      <c r="B2439">
        <f>'06_Сеть_и_дети'!B60</f>
        <v/>
      </c>
      <c r="C2439">
        <f>'06_Сеть_и_дети'!C60</f>
        <v/>
      </c>
      <c r="D2439">
        <f>'06_Сеть_и_дети'!D60</f>
        <v/>
      </c>
      <c r="E2439">
        <f>'06_Сеть_и_дети'!E60</f>
        <v/>
      </c>
      <c r="F2439">
        <f>'06_Сеть_и_дети'!F60</f>
        <v/>
      </c>
      <c r="G2439">
        <f>'06_Сеть_и_дети'!G60</f>
        <v/>
      </c>
      <c r="H2439">
        <f>'06_Сеть_и_дети'!H60</f>
        <v/>
      </c>
      <c r="I2439">
        <f>'19_Расчет_аналитики'!H2438*'01_Вводные'!$B$14</f>
        <v/>
      </c>
      <c r="J2439">
        <f>'19_Расчет_аналитики'!I2438*'01_Вводные'!$B$14</f>
        <v/>
      </c>
      <c r="K2439">
        <f>'19_Расчет_аналитики'!J2438*'01_Вводные'!$B$14</f>
        <v/>
      </c>
      <c r="L2439">
        <f>'19_Расчет_аналитики'!K2438*'01_Вводные'!$B$14</f>
        <v/>
      </c>
      <c r="M2439">
        <f>'19_Расчет_аналитики'!L2438*'01_Вводные'!$B$14</f>
        <v/>
      </c>
      <c r="N2439">
        <f>'19_Расчет_аналитики'!M2438*'01_Вводные'!$B$14</f>
        <v/>
      </c>
      <c r="O2439">
        <f>'19_Расчет_аналитики'!N2438*'01_Вводные'!$B$14</f>
        <v/>
      </c>
      <c r="P2439">
        <f>'19_Расчет_аналитики'!O2438*'01_Вводные'!$B$14</f>
        <v/>
      </c>
      <c r="Q2439">
        <f>'19_Расчет_аналитики'!P2438*'01_Вводные'!$B$14</f>
        <v/>
      </c>
      <c r="R2439">
        <f>'19_Расчет_аналитики'!Q2438*'01_Вводные'!$B$14</f>
        <v/>
      </c>
      <c r="S2439">
        <f>'19_Расчет_аналитики'!R2438*'01_Вводные'!$B$14</f>
        <v/>
      </c>
      <c r="T2439">
        <f>'19_Расчет_аналитики'!S2438*'01_Вводные'!$B$14</f>
        <v/>
      </c>
      <c r="U2439">
        <f>'19_Расчет_аналитики'!T2438*'01_Вводные'!$B$14</f>
        <v/>
      </c>
      <c r="V2439">
        <f>'19_Расчет_аналитики'!U2438*'01_Вводные'!$B$14</f>
        <v/>
      </c>
      <c r="W2439">
        <f>'19_Расчет_аналитики'!V2438*'01_Вводные'!$B$14</f>
        <v/>
      </c>
      <c r="X2439">
        <f>'19_Расчет_аналитики'!W2438*'01_Вводные'!$B$14</f>
        <v/>
      </c>
      <c r="Y2439">
        <f>'19_Расчет_аналитики'!X2438*'01_Вводные'!$B$14</f>
        <v/>
      </c>
      <c r="Z2439">
        <f>'19_Расчет_аналитики'!Y2438*'01_Вводные'!$B$14</f>
        <v/>
      </c>
      <c r="AA2439">
        <f>'19_Расчет_аналитики'!Z2438*'01_Вводные'!$B$14</f>
        <v/>
      </c>
      <c r="AB2439">
        <f>'19_Расчет_аналитики'!AA2438*'01_Вводные'!$B$14</f>
        <v/>
      </c>
      <c r="AC2439">
        <f>'19_Расчет_аналитики'!AB2438*'01_Вводные'!$B$14</f>
        <v/>
      </c>
      <c r="AD2439">
        <f>'19_Расчет_аналитики'!AC2438*'01_Вводные'!$B$14</f>
        <v/>
      </c>
      <c r="AE2439">
        <f>'19_Расчет_аналитики'!AD2438*'01_Вводные'!$B$14</f>
        <v/>
      </c>
      <c r="AF2439">
        <f>'19_Расчет_аналитики'!AE2438*'01_Вводные'!$B$14</f>
        <v/>
      </c>
      <c r="AG2439">
        <f>'19_Расчет_аналитики'!AF2438*'01_Вводные'!$B$14</f>
        <v/>
      </c>
      <c r="AH2439">
        <f>'19_Расчет_аналитики'!AG2438*'01_Вводные'!$B$14</f>
        <v/>
      </c>
      <c r="AI2439">
        <f>'19_Расчет_аналитики'!AH2438*'01_Вводные'!$B$14</f>
        <v/>
      </c>
      <c r="AJ2439">
        <f>'19_Расчет_аналитики'!AI2438*'01_Вводные'!$B$14</f>
        <v/>
      </c>
      <c r="AK2439">
        <f>'19_Расчет_аналитики'!AJ2438*'01_Вводные'!$B$14</f>
        <v/>
      </c>
      <c r="AL2439">
        <f>'19_Расчет_аналитики'!AK2438*'01_Вводные'!$B$14</f>
        <v/>
      </c>
      <c r="AM2439">
        <f>'19_Расчет_аналитики'!AL2438*'01_Вводные'!$B$14</f>
        <v/>
      </c>
      <c r="AN2439">
        <f>'19_Расчет_аналитики'!AM2438*'01_Вводные'!$B$14</f>
        <v/>
      </c>
      <c r="AO2439">
        <f>'19_Расчет_аналитики'!AN2438*'01_Вводные'!$B$14</f>
        <v/>
      </c>
      <c r="AP2439">
        <f>'19_Расчет_аналитики'!AO2438*'01_Вводные'!$B$14</f>
        <v/>
      </c>
      <c r="AQ2439">
        <f>'19_Расчет_аналитики'!AP2438*'01_Вводные'!$B$14</f>
        <v/>
      </c>
      <c r="AR2439">
        <f>'19_Расчет_аналитики'!AQ2438*'01_Вводные'!$B$14</f>
        <v/>
      </c>
      <c r="AS2439">
        <f>'19_Расчет_аналитики'!AR2438*'01_Вводные'!$B$14</f>
        <v/>
      </c>
      <c r="AT2439">
        <f>'19_Расчет_аналитики'!AS2438*'01_Вводные'!$B$14</f>
        <v/>
      </c>
      <c r="AU2439">
        <f>'19_Расчет_аналитики'!AT2438*'01_Вводные'!$B$14</f>
        <v/>
      </c>
      <c r="AV2439">
        <f>'19_Расчет_аналитики'!AU2438*'01_Вводные'!$B$14</f>
        <v/>
      </c>
      <c r="AW2439">
        <f>'19_Расчет_аналитики'!AV2438*'01_Вводные'!$B$14</f>
        <v/>
      </c>
      <c r="AX2439">
        <f>'19_Расчет_аналитики'!AW2438*'01_Вводные'!$B$14</f>
        <v/>
      </c>
      <c r="AY2439">
        <f>'19_Расчет_аналитики'!AX2438*'01_Вводные'!$B$14</f>
        <v/>
      </c>
      <c r="AZ2439">
        <f>'19_Расчет_аналитики'!AY2438*'01_Вводные'!$B$14</f>
        <v/>
      </c>
      <c r="BA2439">
        <f>'19_Расчет_аналитики'!AZ2438*'01_Вводные'!$B$14</f>
        <v/>
      </c>
      <c r="BB2439">
        <f>'19_Расчет_аналитики'!BA2438*'01_Вводные'!$B$14</f>
        <v/>
      </c>
      <c r="BC2439">
        <f>'19_Расчет_аналитики'!BB2438*'01_Вводные'!$B$14</f>
        <v/>
      </c>
      <c r="BD2439">
        <f>'19_Расчет_аналитики'!BC2438*'01_Вводные'!$B$14</f>
        <v/>
      </c>
      <c r="BE2439">
        <f>'19_Расчет_аналитики'!BD2438*'01_Вводные'!$B$14</f>
        <v/>
      </c>
      <c r="BF2439">
        <f>'19_Расчет_аналитики'!BE2438*'01_Вводные'!$B$14</f>
        <v/>
      </c>
      <c r="BG2439">
        <f>'19_Расчет_аналитики'!BF2438*'01_Вводные'!$B$14</f>
        <v/>
      </c>
      <c r="BH2439">
        <f>'19_Расчет_аналитики'!BG2438*'01_Вводные'!$B$14</f>
        <v/>
      </c>
      <c r="BI2439">
        <f>'19_Расчет_аналитики'!BH2438*'01_Вводные'!$B$14</f>
        <v/>
      </c>
      <c r="BJ2439">
        <f>'19_Расчет_аналитики'!BI2438*'01_Вводные'!$B$14</f>
        <v/>
      </c>
      <c r="BK2439">
        <f>'19_Расчет_аналитики'!BJ2438*'01_Вводные'!$B$14</f>
        <v/>
      </c>
      <c r="BL2439">
        <f>'19_Расчет_аналитики'!BK2438*'01_Вводные'!$B$14</f>
        <v/>
      </c>
      <c r="BM2439">
        <f>'19_Расчет_аналитики'!BL2438*'01_Вводные'!$B$14</f>
        <v/>
      </c>
      <c r="BN2439">
        <f>'19_Расчет_аналитики'!BM2438*'01_Вводные'!$B$14</f>
        <v/>
      </c>
      <c r="BO2439">
        <f>'19_Расчет_аналитики'!BN2438*'01_Вводные'!$B$14</f>
        <v/>
      </c>
    </row>
    <row r="2440">
      <c r="B2440">
        <f>'06_Сеть_и_дети'!B61</f>
        <v/>
      </c>
      <c r="C2440">
        <f>'06_Сеть_и_дети'!C61</f>
        <v/>
      </c>
      <c r="D2440">
        <f>'06_Сеть_и_дети'!D61</f>
        <v/>
      </c>
      <c r="E2440">
        <f>'06_Сеть_и_дети'!E61</f>
        <v/>
      </c>
      <c r="F2440">
        <f>'06_Сеть_и_дети'!F61</f>
        <v/>
      </c>
      <c r="G2440">
        <f>'06_Сеть_и_дети'!G61</f>
        <v/>
      </c>
      <c r="H2440">
        <f>'06_Сеть_и_дети'!H61</f>
        <v/>
      </c>
      <c r="I2440">
        <f>'06_Сеть_и_дети'!I61</f>
        <v/>
      </c>
      <c r="J2440">
        <f>'19_Расчет_аналитики'!I2439*'01_Вводные'!$B$14</f>
        <v/>
      </c>
      <c r="K2440">
        <f>'19_Расчет_аналитики'!J2439*'01_Вводные'!$B$14</f>
        <v/>
      </c>
      <c r="L2440">
        <f>'19_Расчет_аналитики'!K2439*'01_Вводные'!$B$14</f>
        <v/>
      </c>
      <c r="M2440">
        <f>'19_Расчет_аналитики'!L2439*'01_Вводные'!$B$14</f>
        <v/>
      </c>
      <c r="N2440">
        <f>'19_Расчет_аналитики'!M2439*'01_Вводные'!$B$14</f>
        <v/>
      </c>
      <c r="O2440">
        <f>'19_Расчет_аналитики'!N2439*'01_Вводные'!$B$14</f>
        <v/>
      </c>
      <c r="P2440">
        <f>'19_Расчет_аналитики'!O2439*'01_Вводные'!$B$14</f>
        <v/>
      </c>
      <c r="Q2440">
        <f>'19_Расчет_аналитики'!P2439*'01_Вводные'!$B$14</f>
        <v/>
      </c>
      <c r="R2440">
        <f>'19_Расчет_аналитики'!Q2439*'01_Вводные'!$B$14</f>
        <v/>
      </c>
      <c r="S2440">
        <f>'19_Расчет_аналитики'!R2439*'01_Вводные'!$B$14</f>
        <v/>
      </c>
      <c r="T2440">
        <f>'19_Расчет_аналитики'!S2439*'01_Вводные'!$B$14</f>
        <v/>
      </c>
      <c r="U2440">
        <f>'19_Расчет_аналитики'!T2439*'01_Вводные'!$B$14</f>
        <v/>
      </c>
      <c r="V2440">
        <f>'19_Расчет_аналитики'!U2439*'01_Вводные'!$B$14</f>
        <v/>
      </c>
      <c r="W2440">
        <f>'19_Расчет_аналитики'!V2439*'01_Вводные'!$B$14</f>
        <v/>
      </c>
      <c r="X2440">
        <f>'19_Расчет_аналитики'!W2439*'01_Вводные'!$B$14</f>
        <v/>
      </c>
      <c r="Y2440">
        <f>'19_Расчет_аналитики'!X2439*'01_Вводные'!$B$14</f>
        <v/>
      </c>
      <c r="Z2440">
        <f>'19_Расчет_аналитики'!Y2439*'01_Вводные'!$B$14</f>
        <v/>
      </c>
      <c r="AA2440">
        <f>'19_Расчет_аналитики'!Z2439*'01_Вводные'!$B$14</f>
        <v/>
      </c>
      <c r="AB2440">
        <f>'19_Расчет_аналитики'!AA2439*'01_Вводные'!$B$14</f>
        <v/>
      </c>
      <c r="AC2440">
        <f>'19_Расчет_аналитики'!AB2439*'01_Вводные'!$B$14</f>
        <v/>
      </c>
      <c r="AD2440">
        <f>'19_Расчет_аналитики'!AC2439*'01_Вводные'!$B$14</f>
        <v/>
      </c>
      <c r="AE2440">
        <f>'19_Расчет_аналитики'!AD2439*'01_Вводные'!$B$14</f>
        <v/>
      </c>
      <c r="AF2440">
        <f>'19_Расчет_аналитики'!AE2439*'01_Вводные'!$B$14</f>
        <v/>
      </c>
      <c r="AG2440">
        <f>'19_Расчет_аналитики'!AF2439*'01_Вводные'!$B$14</f>
        <v/>
      </c>
      <c r="AH2440">
        <f>'19_Расчет_аналитики'!AG2439*'01_Вводные'!$B$14</f>
        <v/>
      </c>
      <c r="AI2440">
        <f>'19_Расчет_аналитики'!AH2439*'01_Вводные'!$B$14</f>
        <v/>
      </c>
      <c r="AJ2440">
        <f>'19_Расчет_аналитики'!AI2439*'01_Вводные'!$B$14</f>
        <v/>
      </c>
      <c r="AK2440">
        <f>'19_Расчет_аналитики'!AJ2439*'01_Вводные'!$B$14</f>
        <v/>
      </c>
      <c r="AL2440">
        <f>'19_Расчет_аналитики'!AK2439*'01_Вводные'!$B$14</f>
        <v/>
      </c>
      <c r="AM2440">
        <f>'19_Расчет_аналитики'!AL2439*'01_Вводные'!$B$14</f>
        <v/>
      </c>
      <c r="AN2440">
        <f>'19_Расчет_аналитики'!AM2439*'01_Вводные'!$B$14</f>
        <v/>
      </c>
      <c r="AO2440">
        <f>'19_Расчет_аналитики'!AN2439*'01_Вводные'!$B$14</f>
        <v/>
      </c>
      <c r="AP2440">
        <f>'19_Расчет_аналитики'!AO2439*'01_Вводные'!$B$14</f>
        <v/>
      </c>
      <c r="AQ2440">
        <f>'19_Расчет_аналитики'!AP2439*'01_Вводные'!$B$14</f>
        <v/>
      </c>
      <c r="AR2440">
        <f>'19_Расчет_аналитики'!AQ2439*'01_Вводные'!$B$14</f>
        <v/>
      </c>
      <c r="AS2440">
        <f>'19_Расчет_аналитики'!AR2439*'01_Вводные'!$B$14</f>
        <v/>
      </c>
      <c r="AT2440">
        <f>'19_Расчет_аналитики'!AS2439*'01_Вводные'!$B$14</f>
        <v/>
      </c>
      <c r="AU2440">
        <f>'19_Расчет_аналитики'!AT2439*'01_Вводные'!$B$14</f>
        <v/>
      </c>
      <c r="AV2440">
        <f>'19_Расчет_аналитики'!AU2439*'01_Вводные'!$B$14</f>
        <v/>
      </c>
      <c r="AW2440">
        <f>'19_Расчет_аналитики'!AV2439*'01_Вводные'!$B$14</f>
        <v/>
      </c>
      <c r="AX2440">
        <f>'19_Расчет_аналитики'!AW2439*'01_Вводные'!$B$14</f>
        <v/>
      </c>
      <c r="AY2440">
        <f>'19_Расчет_аналитики'!AX2439*'01_Вводные'!$B$14</f>
        <v/>
      </c>
      <c r="AZ2440">
        <f>'19_Расчет_аналитики'!AY2439*'01_Вводные'!$B$14</f>
        <v/>
      </c>
      <c r="BA2440">
        <f>'19_Расчет_аналитики'!AZ2439*'01_Вводные'!$B$14</f>
        <v/>
      </c>
      <c r="BB2440">
        <f>'19_Расчет_аналитики'!BA2439*'01_Вводные'!$B$14</f>
        <v/>
      </c>
      <c r="BC2440">
        <f>'19_Расчет_аналитики'!BB2439*'01_Вводные'!$B$14</f>
        <v/>
      </c>
      <c r="BD2440">
        <f>'19_Расчет_аналитики'!BC2439*'01_Вводные'!$B$14</f>
        <v/>
      </c>
      <c r="BE2440">
        <f>'19_Расчет_аналитики'!BD2439*'01_Вводные'!$B$14</f>
        <v/>
      </c>
      <c r="BF2440">
        <f>'19_Расчет_аналитики'!BE2439*'01_Вводные'!$B$14</f>
        <v/>
      </c>
      <c r="BG2440">
        <f>'19_Расчет_аналитики'!BF2439*'01_Вводные'!$B$14</f>
        <v/>
      </c>
      <c r="BH2440">
        <f>'19_Расчет_аналитики'!BG2439*'01_Вводные'!$B$14</f>
        <v/>
      </c>
      <c r="BI2440">
        <f>'19_Расчет_аналитики'!BH2439*'01_Вводные'!$B$14</f>
        <v/>
      </c>
      <c r="BJ2440">
        <f>'19_Расчет_аналитики'!BI2439*'01_Вводные'!$B$14</f>
        <v/>
      </c>
      <c r="BK2440">
        <f>'19_Расчет_аналитики'!BJ2439*'01_Вводные'!$B$14</f>
        <v/>
      </c>
      <c r="BL2440">
        <f>'19_Расчет_аналитики'!BK2439*'01_Вводные'!$B$14</f>
        <v/>
      </c>
      <c r="BM2440">
        <f>'19_Расчет_аналитики'!BL2439*'01_Вводные'!$B$14</f>
        <v/>
      </c>
      <c r="BN2440">
        <f>'19_Расчет_аналитики'!BM2439*'01_Вводные'!$B$14</f>
        <v/>
      </c>
      <c r="BO2440">
        <f>'19_Расчет_аналитики'!BN2439*'01_Вводные'!$B$14</f>
        <v/>
      </c>
    </row>
    <row r="2441">
      <c r="B2441">
        <f>'06_Сеть_и_дети'!B62</f>
        <v/>
      </c>
      <c r="C2441">
        <f>'06_Сеть_и_дети'!C62</f>
        <v/>
      </c>
      <c r="D2441">
        <f>'06_Сеть_и_дети'!D62</f>
        <v/>
      </c>
      <c r="E2441">
        <f>'06_Сеть_и_дети'!E62</f>
        <v/>
      </c>
      <c r="F2441">
        <f>'06_Сеть_и_дети'!F62</f>
        <v/>
      </c>
      <c r="G2441">
        <f>'06_Сеть_и_дети'!G62</f>
        <v/>
      </c>
      <c r="H2441">
        <f>'06_Сеть_и_дети'!H62</f>
        <v/>
      </c>
      <c r="I2441">
        <f>'06_Сеть_и_дети'!I62</f>
        <v/>
      </c>
      <c r="J2441">
        <f>'06_Сеть_и_дети'!J62</f>
        <v/>
      </c>
      <c r="K2441">
        <f>'19_Расчет_аналитики'!J2440*'01_Вводные'!$B$14</f>
        <v/>
      </c>
      <c r="L2441">
        <f>'19_Расчет_аналитики'!K2440*'01_Вводные'!$B$14</f>
        <v/>
      </c>
      <c r="M2441">
        <f>'19_Расчет_аналитики'!L2440*'01_Вводные'!$B$14</f>
        <v/>
      </c>
      <c r="N2441">
        <f>'19_Расчет_аналитики'!M2440*'01_Вводные'!$B$14</f>
        <v/>
      </c>
      <c r="O2441">
        <f>'19_Расчет_аналитики'!N2440*'01_Вводные'!$B$14</f>
        <v/>
      </c>
      <c r="P2441">
        <f>'19_Расчет_аналитики'!O2440*'01_Вводные'!$B$14</f>
        <v/>
      </c>
      <c r="Q2441">
        <f>'19_Расчет_аналитики'!P2440*'01_Вводные'!$B$14</f>
        <v/>
      </c>
      <c r="R2441">
        <f>'19_Расчет_аналитики'!Q2440*'01_Вводные'!$B$14</f>
        <v/>
      </c>
      <c r="S2441">
        <f>'19_Расчет_аналитики'!R2440*'01_Вводные'!$B$14</f>
        <v/>
      </c>
      <c r="T2441">
        <f>'19_Расчет_аналитики'!S2440*'01_Вводные'!$B$14</f>
        <v/>
      </c>
      <c r="U2441">
        <f>'19_Расчет_аналитики'!T2440*'01_Вводные'!$B$14</f>
        <v/>
      </c>
      <c r="V2441">
        <f>'19_Расчет_аналитики'!U2440*'01_Вводные'!$B$14</f>
        <v/>
      </c>
      <c r="W2441">
        <f>'19_Расчет_аналитики'!V2440*'01_Вводные'!$B$14</f>
        <v/>
      </c>
      <c r="X2441">
        <f>'19_Расчет_аналитики'!W2440*'01_Вводные'!$B$14</f>
        <v/>
      </c>
      <c r="Y2441">
        <f>'19_Расчет_аналитики'!X2440*'01_Вводные'!$B$14</f>
        <v/>
      </c>
      <c r="Z2441">
        <f>'19_Расчет_аналитики'!Y2440*'01_Вводные'!$B$14</f>
        <v/>
      </c>
      <c r="AA2441">
        <f>'19_Расчет_аналитики'!Z2440*'01_Вводные'!$B$14</f>
        <v/>
      </c>
      <c r="AB2441">
        <f>'19_Расчет_аналитики'!AA2440*'01_Вводные'!$B$14</f>
        <v/>
      </c>
      <c r="AC2441">
        <f>'19_Расчет_аналитики'!AB2440*'01_Вводные'!$B$14</f>
        <v/>
      </c>
      <c r="AD2441">
        <f>'19_Расчет_аналитики'!AC2440*'01_Вводные'!$B$14</f>
        <v/>
      </c>
      <c r="AE2441">
        <f>'19_Расчет_аналитики'!AD2440*'01_Вводные'!$B$14</f>
        <v/>
      </c>
      <c r="AF2441">
        <f>'19_Расчет_аналитики'!AE2440*'01_Вводные'!$B$14</f>
        <v/>
      </c>
      <c r="AG2441">
        <f>'19_Расчет_аналитики'!AF2440*'01_Вводные'!$B$14</f>
        <v/>
      </c>
      <c r="AH2441">
        <f>'19_Расчет_аналитики'!AG2440*'01_Вводные'!$B$14</f>
        <v/>
      </c>
      <c r="AI2441">
        <f>'19_Расчет_аналитики'!AH2440*'01_Вводные'!$B$14</f>
        <v/>
      </c>
      <c r="AJ2441">
        <f>'19_Расчет_аналитики'!AI2440*'01_Вводные'!$B$14</f>
        <v/>
      </c>
      <c r="AK2441">
        <f>'19_Расчет_аналитики'!AJ2440*'01_Вводные'!$B$14</f>
        <v/>
      </c>
      <c r="AL2441">
        <f>'19_Расчет_аналитики'!AK2440*'01_Вводные'!$B$14</f>
        <v/>
      </c>
      <c r="AM2441">
        <f>'19_Расчет_аналитики'!AL2440*'01_Вводные'!$B$14</f>
        <v/>
      </c>
      <c r="AN2441">
        <f>'19_Расчет_аналитики'!AM2440*'01_Вводные'!$B$14</f>
        <v/>
      </c>
      <c r="AO2441">
        <f>'19_Расчет_аналитики'!AN2440*'01_Вводные'!$B$14</f>
        <v/>
      </c>
      <c r="AP2441">
        <f>'19_Расчет_аналитики'!AO2440*'01_Вводные'!$B$14</f>
        <v/>
      </c>
      <c r="AQ2441">
        <f>'19_Расчет_аналитики'!AP2440*'01_Вводные'!$B$14</f>
        <v/>
      </c>
      <c r="AR2441">
        <f>'19_Расчет_аналитики'!AQ2440*'01_Вводные'!$B$14</f>
        <v/>
      </c>
      <c r="AS2441">
        <f>'19_Расчет_аналитики'!AR2440*'01_Вводные'!$B$14</f>
        <v/>
      </c>
      <c r="AT2441">
        <f>'19_Расчет_аналитики'!AS2440*'01_Вводные'!$B$14</f>
        <v/>
      </c>
      <c r="AU2441">
        <f>'19_Расчет_аналитики'!AT2440*'01_Вводные'!$B$14</f>
        <v/>
      </c>
      <c r="AV2441">
        <f>'19_Расчет_аналитики'!AU2440*'01_Вводные'!$B$14</f>
        <v/>
      </c>
      <c r="AW2441">
        <f>'19_Расчет_аналитики'!AV2440*'01_Вводные'!$B$14</f>
        <v/>
      </c>
      <c r="AX2441">
        <f>'19_Расчет_аналитики'!AW2440*'01_Вводные'!$B$14</f>
        <v/>
      </c>
      <c r="AY2441">
        <f>'19_Расчет_аналитики'!AX2440*'01_Вводные'!$B$14</f>
        <v/>
      </c>
      <c r="AZ2441">
        <f>'19_Расчет_аналитики'!AY2440*'01_Вводные'!$B$14</f>
        <v/>
      </c>
      <c r="BA2441">
        <f>'19_Расчет_аналитики'!AZ2440*'01_Вводные'!$B$14</f>
        <v/>
      </c>
      <c r="BB2441">
        <f>'19_Расчет_аналитики'!BA2440*'01_Вводные'!$B$14</f>
        <v/>
      </c>
      <c r="BC2441">
        <f>'19_Расчет_аналитики'!BB2440*'01_Вводные'!$B$14</f>
        <v/>
      </c>
      <c r="BD2441">
        <f>'19_Расчет_аналитики'!BC2440*'01_Вводные'!$B$14</f>
        <v/>
      </c>
      <c r="BE2441">
        <f>'19_Расчет_аналитики'!BD2440*'01_Вводные'!$B$14</f>
        <v/>
      </c>
      <c r="BF2441">
        <f>'19_Расчет_аналитики'!BE2440*'01_Вводные'!$B$14</f>
        <v/>
      </c>
      <c r="BG2441">
        <f>'19_Расчет_аналитики'!BF2440*'01_Вводные'!$B$14</f>
        <v/>
      </c>
      <c r="BH2441">
        <f>'19_Расчет_аналитики'!BG2440*'01_Вводные'!$B$14</f>
        <v/>
      </c>
      <c r="BI2441">
        <f>'19_Расчет_аналитики'!BH2440*'01_Вводные'!$B$14</f>
        <v/>
      </c>
      <c r="BJ2441">
        <f>'19_Расчет_аналитики'!BI2440*'01_Вводные'!$B$14</f>
        <v/>
      </c>
      <c r="BK2441">
        <f>'19_Расчет_аналитики'!BJ2440*'01_Вводные'!$B$14</f>
        <v/>
      </c>
      <c r="BL2441">
        <f>'19_Расчет_аналитики'!BK2440*'01_Вводные'!$B$14</f>
        <v/>
      </c>
      <c r="BM2441">
        <f>'19_Расчет_аналитики'!BL2440*'01_Вводные'!$B$14</f>
        <v/>
      </c>
      <c r="BN2441">
        <f>'19_Расчет_аналитики'!BM2440*'01_Вводные'!$B$14</f>
        <v/>
      </c>
      <c r="BO2441">
        <f>'19_Расчет_аналитики'!BN2440*'01_Вводные'!$B$14</f>
        <v/>
      </c>
    </row>
    <row r="2442">
      <c r="B2442">
        <f>'06_Сеть_и_дети'!B63</f>
        <v/>
      </c>
      <c r="C2442">
        <f>'06_Сеть_и_дети'!C63</f>
        <v/>
      </c>
      <c r="D2442">
        <f>'06_Сеть_и_дети'!D63</f>
        <v/>
      </c>
      <c r="E2442">
        <f>'06_Сеть_и_дети'!E63</f>
        <v/>
      </c>
      <c r="F2442">
        <f>'06_Сеть_и_дети'!F63</f>
        <v/>
      </c>
      <c r="G2442">
        <f>'06_Сеть_и_дети'!G63</f>
        <v/>
      </c>
      <c r="H2442">
        <f>'06_Сеть_и_дети'!H63</f>
        <v/>
      </c>
      <c r="I2442">
        <f>'06_Сеть_и_дети'!I63</f>
        <v/>
      </c>
      <c r="J2442">
        <f>'06_Сеть_и_дети'!J63</f>
        <v/>
      </c>
      <c r="K2442">
        <f>'06_Сеть_и_дети'!K63</f>
        <v/>
      </c>
      <c r="L2442">
        <f>'19_Расчет_аналитики'!K2441*'01_Вводные'!$B$14</f>
        <v/>
      </c>
      <c r="M2442">
        <f>'19_Расчет_аналитики'!L2441*'01_Вводные'!$B$14</f>
        <v/>
      </c>
      <c r="N2442">
        <f>'19_Расчет_аналитики'!M2441*'01_Вводные'!$B$14</f>
        <v/>
      </c>
      <c r="O2442">
        <f>'19_Расчет_аналитики'!N2441*'01_Вводные'!$B$14</f>
        <v/>
      </c>
      <c r="P2442">
        <f>'19_Расчет_аналитики'!O2441*'01_Вводные'!$B$14</f>
        <v/>
      </c>
      <c r="Q2442">
        <f>'19_Расчет_аналитики'!P2441*'01_Вводные'!$B$14</f>
        <v/>
      </c>
      <c r="R2442">
        <f>'19_Расчет_аналитики'!Q2441*'01_Вводные'!$B$14</f>
        <v/>
      </c>
      <c r="S2442">
        <f>'19_Расчет_аналитики'!R2441*'01_Вводные'!$B$14</f>
        <v/>
      </c>
      <c r="T2442">
        <f>'19_Расчет_аналитики'!S2441*'01_Вводные'!$B$14</f>
        <v/>
      </c>
      <c r="U2442">
        <f>'19_Расчет_аналитики'!T2441*'01_Вводные'!$B$14</f>
        <v/>
      </c>
      <c r="V2442">
        <f>'19_Расчет_аналитики'!U2441*'01_Вводные'!$B$14</f>
        <v/>
      </c>
      <c r="W2442">
        <f>'19_Расчет_аналитики'!V2441*'01_Вводные'!$B$14</f>
        <v/>
      </c>
      <c r="X2442">
        <f>'19_Расчет_аналитики'!W2441*'01_Вводные'!$B$14</f>
        <v/>
      </c>
      <c r="Y2442">
        <f>'19_Расчет_аналитики'!X2441*'01_Вводные'!$B$14</f>
        <v/>
      </c>
      <c r="Z2442">
        <f>'19_Расчет_аналитики'!Y2441*'01_Вводные'!$B$14</f>
        <v/>
      </c>
      <c r="AA2442">
        <f>'19_Расчет_аналитики'!Z2441*'01_Вводные'!$B$14</f>
        <v/>
      </c>
      <c r="AB2442">
        <f>'19_Расчет_аналитики'!AA2441*'01_Вводные'!$B$14</f>
        <v/>
      </c>
      <c r="AC2442">
        <f>'19_Расчет_аналитики'!AB2441*'01_Вводные'!$B$14</f>
        <v/>
      </c>
      <c r="AD2442">
        <f>'19_Расчет_аналитики'!AC2441*'01_Вводные'!$B$14</f>
        <v/>
      </c>
      <c r="AE2442">
        <f>'19_Расчет_аналитики'!AD2441*'01_Вводные'!$B$14</f>
        <v/>
      </c>
      <c r="AF2442">
        <f>'19_Расчет_аналитики'!AE2441*'01_Вводные'!$B$14</f>
        <v/>
      </c>
      <c r="AG2442">
        <f>'19_Расчет_аналитики'!AF2441*'01_Вводные'!$B$14</f>
        <v/>
      </c>
      <c r="AH2442">
        <f>'19_Расчет_аналитики'!AG2441*'01_Вводные'!$B$14</f>
        <v/>
      </c>
      <c r="AI2442">
        <f>'19_Расчет_аналитики'!AH2441*'01_Вводные'!$B$14</f>
        <v/>
      </c>
      <c r="AJ2442">
        <f>'19_Расчет_аналитики'!AI2441*'01_Вводные'!$B$14</f>
        <v/>
      </c>
      <c r="AK2442">
        <f>'19_Расчет_аналитики'!AJ2441*'01_Вводные'!$B$14</f>
        <v/>
      </c>
      <c r="AL2442">
        <f>'19_Расчет_аналитики'!AK2441*'01_Вводные'!$B$14</f>
        <v/>
      </c>
      <c r="AM2442">
        <f>'19_Расчет_аналитики'!AL2441*'01_Вводные'!$B$14</f>
        <v/>
      </c>
      <c r="AN2442">
        <f>'19_Расчет_аналитики'!AM2441*'01_Вводные'!$B$14</f>
        <v/>
      </c>
      <c r="AO2442">
        <f>'19_Расчет_аналитики'!AN2441*'01_Вводные'!$B$14</f>
        <v/>
      </c>
      <c r="AP2442">
        <f>'19_Расчет_аналитики'!AO2441*'01_Вводные'!$B$14</f>
        <v/>
      </c>
      <c r="AQ2442">
        <f>'19_Расчет_аналитики'!AP2441*'01_Вводные'!$B$14</f>
        <v/>
      </c>
      <c r="AR2442">
        <f>'19_Расчет_аналитики'!AQ2441*'01_Вводные'!$B$14</f>
        <v/>
      </c>
      <c r="AS2442">
        <f>'19_Расчет_аналитики'!AR2441*'01_Вводные'!$B$14</f>
        <v/>
      </c>
      <c r="AT2442">
        <f>'19_Расчет_аналитики'!AS2441*'01_Вводные'!$B$14</f>
        <v/>
      </c>
      <c r="AU2442">
        <f>'19_Расчет_аналитики'!AT2441*'01_Вводные'!$B$14</f>
        <v/>
      </c>
      <c r="AV2442">
        <f>'19_Расчет_аналитики'!AU2441*'01_Вводные'!$B$14</f>
        <v/>
      </c>
      <c r="AW2442">
        <f>'19_Расчет_аналитики'!AV2441*'01_Вводные'!$B$14</f>
        <v/>
      </c>
      <c r="AX2442">
        <f>'19_Расчет_аналитики'!AW2441*'01_Вводные'!$B$14</f>
        <v/>
      </c>
      <c r="AY2442">
        <f>'19_Расчет_аналитики'!AX2441*'01_Вводные'!$B$14</f>
        <v/>
      </c>
      <c r="AZ2442">
        <f>'19_Расчет_аналитики'!AY2441*'01_Вводные'!$B$14</f>
        <v/>
      </c>
      <c r="BA2442">
        <f>'19_Расчет_аналитики'!AZ2441*'01_Вводные'!$B$14</f>
        <v/>
      </c>
      <c r="BB2442">
        <f>'19_Расчет_аналитики'!BA2441*'01_Вводные'!$B$14</f>
        <v/>
      </c>
      <c r="BC2442">
        <f>'19_Расчет_аналитики'!BB2441*'01_Вводные'!$B$14</f>
        <v/>
      </c>
      <c r="BD2442">
        <f>'19_Расчет_аналитики'!BC2441*'01_Вводные'!$B$14</f>
        <v/>
      </c>
      <c r="BE2442">
        <f>'19_Расчет_аналитики'!BD2441*'01_Вводные'!$B$14</f>
        <v/>
      </c>
      <c r="BF2442">
        <f>'19_Расчет_аналитики'!BE2441*'01_Вводные'!$B$14</f>
        <v/>
      </c>
      <c r="BG2442">
        <f>'19_Расчет_аналитики'!BF2441*'01_Вводные'!$B$14</f>
        <v/>
      </c>
      <c r="BH2442">
        <f>'19_Расчет_аналитики'!BG2441*'01_Вводные'!$B$14</f>
        <v/>
      </c>
      <c r="BI2442">
        <f>'19_Расчет_аналитики'!BH2441*'01_Вводные'!$B$14</f>
        <v/>
      </c>
      <c r="BJ2442">
        <f>'19_Расчет_аналитики'!BI2441*'01_Вводные'!$B$14</f>
        <v/>
      </c>
      <c r="BK2442">
        <f>'19_Расчет_аналитики'!BJ2441*'01_Вводные'!$B$14</f>
        <v/>
      </c>
      <c r="BL2442">
        <f>'19_Расчет_аналитики'!BK2441*'01_Вводные'!$B$14</f>
        <v/>
      </c>
      <c r="BM2442">
        <f>'19_Расчет_аналитики'!BL2441*'01_Вводные'!$B$14</f>
        <v/>
      </c>
      <c r="BN2442">
        <f>'19_Расчет_аналитики'!BM2441*'01_Вводные'!$B$14</f>
        <v/>
      </c>
      <c r="BO2442">
        <f>'19_Расчет_аналитики'!BN2441*'01_Вводные'!$B$14</f>
        <v/>
      </c>
    </row>
    <row r="2443">
      <c r="B2443">
        <f>'06_Сеть_и_дети'!B64</f>
        <v/>
      </c>
      <c r="C2443">
        <f>'06_Сеть_и_дети'!C64</f>
        <v/>
      </c>
      <c r="D2443">
        <f>'06_Сеть_и_дети'!D64</f>
        <v/>
      </c>
      <c r="E2443">
        <f>'06_Сеть_и_дети'!E64</f>
        <v/>
      </c>
      <c r="F2443">
        <f>'06_Сеть_и_дети'!F64</f>
        <v/>
      </c>
      <c r="G2443">
        <f>'06_Сеть_и_дети'!G64</f>
        <v/>
      </c>
      <c r="H2443">
        <f>'06_Сеть_и_дети'!H64</f>
        <v/>
      </c>
      <c r="I2443">
        <f>'06_Сеть_и_дети'!I64</f>
        <v/>
      </c>
      <c r="J2443">
        <f>'06_Сеть_и_дети'!J64</f>
        <v/>
      </c>
      <c r="K2443">
        <f>'06_Сеть_и_дети'!K64</f>
        <v/>
      </c>
      <c r="L2443">
        <f>'06_Сеть_и_дети'!L64</f>
        <v/>
      </c>
      <c r="M2443">
        <f>'19_Расчет_аналитики'!L2442*'01_Вводные'!$B$14</f>
        <v/>
      </c>
      <c r="N2443">
        <f>'19_Расчет_аналитики'!M2442*'01_Вводные'!$B$14</f>
        <v/>
      </c>
      <c r="O2443">
        <f>'19_Расчет_аналитики'!N2442*'01_Вводные'!$B$14</f>
        <v/>
      </c>
      <c r="P2443">
        <f>'19_Расчет_аналитики'!O2442*'01_Вводные'!$B$14</f>
        <v/>
      </c>
      <c r="Q2443">
        <f>'19_Расчет_аналитики'!P2442*'01_Вводные'!$B$14</f>
        <v/>
      </c>
      <c r="R2443">
        <f>'19_Расчет_аналитики'!Q2442*'01_Вводные'!$B$14</f>
        <v/>
      </c>
      <c r="S2443">
        <f>'19_Расчет_аналитики'!R2442*'01_Вводные'!$B$14</f>
        <v/>
      </c>
      <c r="T2443">
        <f>'19_Расчет_аналитики'!S2442*'01_Вводные'!$B$14</f>
        <v/>
      </c>
      <c r="U2443">
        <f>'19_Расчет_аналитики'!T2442*'01_Вводные'!$B$14</f>
        <v/>
      </c>
      <c r="V2443">
        <f>'19_Расчет_аналитики'!U2442*'01_Вводные'!$B$14</f>
        <v/>
      </c>
      <c r="W2443">
        <f>'19_Расчет_аналитики'!V2442*'01_Вводные'!$B$14</f>
        <v/>
      </c>
      <c r="X2443">
        <f>'19_Расчет_аналитики'!W2442*'01_Вводные'!$B$14</f>
        <v/>
      </c>
      <c r="Y2443">
        <f>'19_Расчет_аналитики'!X2442*'01_Вводные'!$B$14</f>
        <v/>
      </c>
      <c r="Z2443">
        <f>'19_Расчет_аналитики'!Y2442*'01_Вводные'!$B$14</f>
        <v/>
      </c>
      <c r="AA2443">
        <f>'19_Расчет_аналитики'!Z2442*'01_Вводные'!$B$14</f>
        <v/>
      </c>
      <c r="AB2443">
        <f>'19_Расчет_аналитики'!AA2442*'01_Вводные'!$B$14</f>
        <v/>
      </c>
      <c r="AC2443">
        <f>'19_Расчет_аналитики'!AB2442*'01_Вводные'!$B$14</f>
        <v/>
      </c>
      <c r="AD2443">
        <f>'19_Расчет_аналитики'!AC2442*'01_Вводные'!$B$14</f>
        <v/>
      </c>
      <c r="AE2443">
        <f>'19_Расчет_аналитики'!AD2442*'01_Вводные'!$B$14</f>
        <v/>
      </c>
      <c r="AF2443">
        <f>'19_Расчет_аналитики'!AE2442*'01_Вводные'!$B$14</f>
        <v/>
      </c>
      <c r="AG2443">
        <f>'19_Расчет_аналитики'!AF2442*'01_Вводные'!$B$14</f>
        <v/>
      </c>
      <c r="AH2443">
        <f>'19_Расчет_аналитики'!AG2442*'01_Вводные'!$B$14</f>
        <v/>
      </c>
      <c r="AI2443">
        <f>'19_Расчет_аналитики'!AH2442*'01_Вводные'!$B$14</f>
        <v/>
      </c>
      <c r="AJ2443">
        <f>'19_Расчет_аналитики'!AI2442*'01_Вводные'!$B$14</f>
        <v/>
      </c>
      <c r="AK2443">
        <f>'19_Расчет_аналитики'!AJ2442*'01_Вводные'!$B$14</f>
        <v/>
      </c>
      <c r="AL2443">
        <f>'19_Расчет_аналитики'!AK2442*'01_Вводные'!$B$14</f>
        <v/>
      </c>
      <c r="AM2443">
        <f>'19_Расчет_аналитики'!AL2442*'01_Вводные'!$B$14</f>
        <v/>
      </c>
      <c r="AN2443">
        <f>'19_Расчет_аналитики'!AM2442*'01_Вводные'!$B$14</f>
        <v/>
      </c>
      <c r="AO2443">
        <f>'19_Расчет_аналитики'!AN2442*'01_Вводные'!$B$14</f>
        <v/>
      </c>
      <c r="AP2443">
        <f>'19_Расчет_аналитики'!AO2442*'01_Вводные'!$B$14</f>
        <v/>
      </c>
      <c r="AQ2443">
        <f>'19_Расчет_аналитики'!AP2442*'01_Вводные'!$B$14</f>
        <v/>
      </c>
      <c r="AR2443">
        <f>'19_Расчет_аналитики'!AQ2442*'01_Вводные'!$B$14</f>
        <v/>
      </c>
      <c r="AS2443">
        <f>'19_Расчет_аналитики'!AR2442*'01_Вводные'!$B$14</f>
        <v/>
      </c>
      <c r="AT2443">
        <f>'19_Расчет_аналитики'!AS2442*'01_Вводные'!$B$14</f>
        <v/>
      </c>
      <c r="AU2443">
        <f>'19_Расчет_аналитики'!AT2442*'01_Вводные'!$B$14</f>
        <v/>
      </c>
      <c r="AV2443">
        <f>'19_Расчет_аналитики'!AU2442*'01_Вводные'!$B$14</f>
        <v/>
      </c>
      <c r="AW2443">
        <f>'19_Расчет_аналитики'!AV2442*'01_Вводные'!$B$14</f>
        <v/>
      </c>
      <c r="AX2443">
        <f>'19_Расчет_аналитики'!AW2442*'01_Вводные'!$B$14</f>
        <v/>
      </c>
      <c r="AY2443">
        <f>'19_Расчет_аналитики'!AX2442*'01_Вводные'!$B$14</f>
        <v/>
      </c>
      <c r="AZ2443">
        <f>'19_Расчет_аналитики'!AY2442*'01_Вводные'!$B$14</f>
        <v/>
      </c>
      <c r="BA2443">
        <f>'19_Расчет_аналитики'!AZ2442*'01_Вводные'!$B$14</f>
        <v/>
      </c>
      <c r="BB2443">
        <f>'19_Расчет_аналитики'!BA2442*'01_Вводные'!$B$14</f>
        <v/>
      </c>
      <c r="BC2443">
        <f>'19_Расчет_аналитики'!BB2442*'01_Вводные'!$B$14</f>
        <v/>
      </c>
      <c r="BD2443">
        <f>'19_Расчет_аналитики'!BC2442*'01_Вводные'!$B$14</f>
        <v/>
      </c>
      <c r="BE2443">
        <f>'19_Расчет_аналитики'!BD2442*'01_Вводные'!$B$14</f>
        <v/>
      </c>
      <c r="BF2443">
        <f>'19_Расчет_аналитики'!BE2442*'01_Вводные'!$B$14</f>
        <v/>
      </c>
      <c r="BG2443">
        <f>'19_Расчет_аналитики'!BF2442*'01_Вводные'!$B$14</f>
        <v/>
      </c>
      <c r="BH2443">
        <f>'19_Расчет_аналитики'!BG2442*'01_Вводные'!$B$14</f>
        <v/>
      </c>
      <c r="BI2443">
        <f>'19_Расчет_аналитики'!BH2442*'01_Вводные'!$B$14</f>
        <v/>
      </c>
      <c r="BJ2443">
        <f>'19_Расчет_аналитики'!BI2442*'01_Вводные'!$B$14</f>
        <v/>
      </c>
      <c r="BK2443">
        <f>'19_Расчет_аналитики'!BJ2442*'01_Вводные'!$B$14</f>
        <v/>
      </c>
      <c r="BL2443">
        <f>'19_Расчет_аналитики'!BK2442*'01_Вводные'!$B$14</f>
        <v/>
      </c>
      <c r="BM2443">
        <f>'19_Расчет_аналитики'!BL2442*'01_Вводные'!$B$14</f>
        <v/>
      </c>
      <c r="BN2443">
        <f>'19_Расчет_аналитики'!BM2442*'01_Вводные'!$B$14</f>
        <v/>
      </c>
      <c r="BO2443">
        <f>'19_Расчет_аналитики'!BN2442*'01_Вводные'!$B$14</f>
        <v/>
      </c>
    </row>
    <row r="2444">
      <c r="B2444">
        <f>'06_Сеть_и_дети'!B65</f>
        <v/>
      </c>
      <c r="C2444">
        <f>'06_Сеть_и_дети'!C65</f>
        <v/>
      </c>
      <c r="D2444">
        <f>'06_Сеть_и_дети'!D65</f>
        <v/>
      </c>
      <c r="E2444">
        <f>'06_Сеть_и_дети'!E65</f>
        <v/>
      </c>
      <c r="F2444">
        <f>'06_Сеть_и_дети'!F65</f>
        <v/>
      </c>
      <c r="G2444">
        <f>'06_Сеть_и_дети'!G65</f>
        <v/>
      </c>
      <c r="H2444">
        <f>'06_Сеть_и_дети'!H65</f>
        <v/>
      </c>
      <c r="I2444">
        <f>'06_Сеть_и_дети'!I65</f>
        <v/>
      </c>
      <c r="J2444">
        <f>'06_Сеть_и_дети'!J65</f>
        <v/>
      </c>
      <c r="K2444">
        <f>'06_Сеть_и_дети'!K65</f>
        <v/>
      </c>
      <c r="L2444">
        <f>'06_Сеть_и_дети'!L65</f>
        <v/>
      </c>
      <c r="M2444">
        <f>'06_Сеть_и_дети'!M65</f>
        <v/>
      </c>
      <c r="N2444">
        <f>'19_Расчет_аналитики'!M2443*'01_Вводные'!$B$14</f>
        <v/>
      </c>
      <c r="O2444">
        <f>'19_Расчет_аналитики'!N2443*'01_Вводные'!$B$14</f>
        <v/>
      </c>
      <c r="P2444">
        <f>'19_Расчет_аналитики'!O2443*'01_Вводные'!$B$14</f>
        <v/>
      </c>
      <c r="Q2444">
        <f>'19_Расчет_аналитики'!P2443*'01_Вводные'!$B$14</f>
        <v/>
      </c>
      <c r="R2444">
        <f>'19_Расчет_аналитики'!Q2443*'01_Вводные'!$B$14</f>
        <v/>
      </c>
      <c r="S2444">
        <f>'19_Расчет_аналитики'!R2443*'01_Вводные'!$B$14</f>
        <v/>
      </c>
      <c r="T2444">
        <f>'19_Расчет_аналитики'!S2443*'01_Вводные'!$B$14</f>
        <v/>
      </c>
      <c r="U2444">
        <f>'19_Расчет_аналитики'!T2443*'01_Вводные'!$B$14</f>
        <v/>
      </c>
      <c r="V2444">
        <f>'19_Расчет_аналитики'!U2443*'01_Вводные'!$B$14</f>
        <v/>
      </c>
      <c r="W2444">
        <f>'19_Расчет_аналитики'!V2443*'01_Вводные'!$B$14</f>
        <v/>
      </c>
      <c r="X2444">
        <f>'19_Расчет_аналитики'!W2443*'01_Вводные'!$B$14</f>
        <v/>
      </c>
      <c r="Y2444">
        <f>'19_Расчет_аналитики'!X2443*'01_Вводные'!$B$14</f>
        <v/>
      </c>
      <c r="Z2444">
        <f>'19_Расчет_аналитики'!Y2443*'01_Вводные'!$B$14</f>
        <v/>
      </c>
      <c r="AA2444">
        <f>'19_Расчет_аналитики'!Z2443*'01_Вводные'!$B$14</f>
        <v/>
      </c>
      <c r="AB2444">
        <f>'19_Расчет_аналитики'!AA2443*'01_Вводные'!$B$14</f>
        <v/>
      </c>
      <c r="AC2444">
        <f>'19_Расчет_аналитики'!AB2443*'01_Вводные'!$B$14</f>
        <v/>
      </c>
      <c r="AD2444">
        <f>'19_Расчет_аналитики'!AC2443*'01_Вводные'!$B$14</f>
        <v/>
      </c>
      <c r="AE2444">
        <f>'19_Расчет_аналитики'!AD2443*'01_Вводные'!$B$14</f>
        <v/>
      </c>
      <c r="AF2444">
        <f>'19_Расчет_аналитики'!AE2443*'01_Вводные'!$B$14</f>
        <v/>
      </c>
      <c r="AG2444">
        <f>'19_Расчет_аналитики'!AF2443*'01_Вводные'!$B$14</f>
        <v/>
      </c>
      <c r="AH2444">
        <f>'19_Расчет_аналитики'!AG2443*'01_Вводные'!$B$14</f>
        <v/>
      </c>
      <c r="AI2444">
        <f>'19_Расчет_аналитики'!AH2443*'01_Вводные'!$B$14</f>
        <v/>
      </c>
      <c r="AJ2444">
        <f>'19_Расчет_аналитики'!AI2443*'01_Вводные'!$B$14</f>
        <v/>
      </c>
      <c r="AK2444">
        <f>'19_Расчет_аналитики'!AJ2443*'01_Вводные'!$B$14</f>
        <v/>
      </c>
      <c r="AL2444">
        <f>'19_Расчет_аналитики'!AK2443*'01_Вводные'!$B$14</f>
        <v/>
      </c>
      <c r="AM2444">
        <f>'19_Расчет_аналитики'!AL2443*'01_Вводные'!$B$14</f>
        <v/>
      </c>
      <c r="AN2444">
        <f>'19_Расчет_аналитики'!AM2443*'01_Вводные'!$B$14</f>
        <v/>
      </c>
      <c r="AO2444">
        <f>'19_Расчет_аналитики'!AN2443*'01_Вводные'!$B$14</f>
        <v/>
      </c>
      <c r="AP2444">
        <f>'19_Расчет_аналитики'!AO2443*'01_Вводные'!$B$14</f>
        <v/>
      </c>
      <c r="AQ2444">
        <f>'19_Расчет_аналитики'!AP2443*'01_Вводные'!$B$14</f>
        <v/>
      </c>
      <c r="AR2444">
        <f>'19_Расчет_аналитики'!AQ2443*'01_Вводные'!$B$14</f>
        <v/>
      </c>
      <c r="AS2444">
        <f>'19_Расчет_аналитики'!AR2443*'01_Вводные'!$B$14</f>
        <v/>
      </c>
      <c r="AT2444">
        <f>'19_Расчет_аналитики'!AS2443*'01_Вводные'!$B$14</f>
        <v/>
      </c>
      <c r="AU2444">
        <f>'19_Расчет_аналитики'!AT2443*'01_Вводные'!$B$14</f>
        <v/>
      </c>
      <c r="AV2444">
        <f>'19_Расчет_аналитики'!AU2443*'01_Вводные'!$B$14</f>
        <v/>
      </c>
      <c r="AW2444">
        <f>'19_Расчет_аналитики'!AV2443*'01_Вводные'!$B$14</f>
        <v/>
      </c>
      <c r="AX2444">
        <f>'19_Расчет_аналитики'!AW2443*'01_Вводные'!$B$14</f>
        <v/>
      </c>
      <c r="AY2444">
        <f>'19_Расчет_аналитики'!AX2443*'01_Вводные'!$B$14</f>
        <v/>
      </c>
      <c r="AZ2444">
        <f>'19_Расчет_аналитики'!AY2443*'01_Вводные'!$B$14</f>
        <v/>
      </c>
      <c r="BA2444">
        <f>'19_Расчет_аналитики'!AZ2443*'01_Вводные'!$B$14</f>
        <v/>
      </c>
      <c r="BB2444">
        <f>'19_Расчет_аналитики'!BA2443*'01_Вводные'!$B$14</f>
        <v/>
      </c>
      <c r="BC2444">
        <f>'19_Расчет_аналитики'!BB2443*'01_Вводные'!$B$14</f>
        <v/>
      </c>
      <c r="BD2444">
        <f>'19_Расчет_аналитики'!BC2443*'01_Вводные'!$B$14</f>
        <v/>
      </c>
      <c r="BE2444">
        <f>'19_Расчет_аналитики'!BD2443*'01_Вводные'!$B$14</f>
        <v/>
      </c>
      <c r="BF2444">
        <f>'19_Расчет_аналитики'!BE2443*'01_Вводные'!$B$14</f>
        <v/>
      </c>
      <c r="BG2444">
        <f>'19_Расчет_аналитики'!BF2443*'01_Вводные'!$B$14</f>
        <v/>
      </c>
      <c r="BH2444">
        <f>'19_Расчет_аналитики'!BG2443*'01_Вводные'!$B$14</f>
        <v/>
      </c>
      <c r="BI2444">
        <f>'19_Расчет_аналитики'!BH2443*'01_Вводные'!$B$14</f>
        <v/>
      </c>
      <c r="BJ2444">
        <f>'19_Расчет_аналитики'!BI2443*'01_Вводные'!$B$14</f>
        <v/>
      </c>
      <c r="BK2444">
        <f>'19_Расчет_аналитики'!BJ2443*'01_Вводные'!$B$14</f>
        <v/>
      </c>
      <c r="BL2444">
        <f>'19_Расчет_аналитики'!BK2443*'01_Вводные'!$B$14</f>
        <v/>
      </c>
      <c r="BM2444">
        <f>'19_Расчет_аналитики'!BL2443*'01_Вводные'!$B$14</f>
        <v/>
      </c>
      <c r="BN2444">
        <f>'19_Расчет_аналитики'!BM2443*'01_Вводные'!$B$14</f>
        <v/>
      </c>
      <c r="BO2444">
        <f>'19_Расчет_аналитики'!BN2443*'01_Вводные'!$B$14</f>
        <v/>
      </c>
    </row>
    <row r="2445">
      <c r="B2445">
        <f>'06_Сеть_и_дети'!B66</f>
        <v/>
      </c>
      <c r="C2445">
        <f>'06_Сеть_и_дети'!C66</f>
        <v/>
      </c>
      <c r="D2445">
        <f>'06_Сеть_и_дети'!D66</f>
        <v/>
      </c>
      <c r="E2445">
        <f>'06_Сеть_и_дети'!E66</f>
        <v/>
      </c>
      <c r="F2445">
        <f>'06_Сеть_и_дети'!F66</f>
        <v/>
      </c>
      <c r="G2445">
        <f>'06_Сеть_и_дети'!G66</f>
        <v/>
      </c>
      <c r="H2445">
        <f>'06_Сеть_и_дети'!H66</f>
        <v/>
      </c>
      <c r="I2445">
        <f>'06_Сеть_и_дети'!I66</f>
        <v/>
      </c>
      <c r="J2445">
        <f>'06_Сеть_и_дети'!J66</f>
        <v/>
      </c>
      <c r="K2445">
        <f>'06_Сеть_и_дети'!K66</f>
        <v/>
      </c>
      <c r="L2445">
        <f>'06_Сеть_и_дети'!L66</f>
        <v/>
      </c>
      <c r="M2445">
        <f>'06_Сеть_и_дети'!M66</f>
        <v/>
      </c>
      <c r="N2445">
        <f>'06_Сеть_и_дети'!N66</f>
        <v/>
      </c>
      <c r="O2445">
        <f>'19_Расчет_аналитики'!N2444*'01_Вводные'!$B$14</f>
        <v/>
      </c>
      <c r="P2445">
        <f>'19_Расчет_аналитики'!O2444*'01_Вводные'!$B$14</f>
        <v/>
      </c>
      <c r="Q2445">
        <f>'19_Расчет_аналитики'!P2444*'01_Вводные'!$B$14</f>
        <v/>
      </c>
      <c r="R2445">
        <f>'19_Расчет_аналитики'!Q2444*'01_Вводные'!$B$14</f>
        <v/>
      </c>
      <c r="S2445">
        <f>'19_Расчет_аналитики'!R2444*'01_Вводные'!$B$14</f>
        <v/>
      </c>
      <c r="T2445">
        <f>'19_Расчет_аналитики'!S2444*'01_Вводные'!$B$14</f>
        <v/>
      </c>
      <c r="U2445">
        <f>'19_Расчет_аналитики'!T2444*'01_Вводные'!$B$14</f>
        <v/>
      </c>
      <c r="V2445">
        <f>'19_Расчет_аналитики'!U2444*'01_Вводные'!$B$14</f>
        <v/>
      </c>
      <c r="W2445">
        <f>'19_Расчет_аналитики'!V2444*'01_Вводные'!$B$14</f>
        <v/>
      </c>
      <c r="X2445">
        <f>'19_Расчет_аналитики'!W2444*'01_Вводные'!$B$14</f>
        <v/>
      </c>
      <c r="Y2445">
        <f>'19_Расчет_аналитики'!X2444*'01_Вводные'!$B$14</f>
        <v/>
      </c>
      <c r="Z2445">
        <f>'19_Расчет_аналитики'!Y2444*'01_Вводные'!$B$14</f>
        <v/>
      </c>
      <c r="AA2445">
        <f>'19_Расчет_аналитики'!Z2444*'01_Вводные'!$B$14</f>
        <v/>
      </c>
      <c r="AB2445">
        <f>'19_Расчет_аналитики'!AA2444*'01_Вводные'!$B$14</f>
        <v/>
      </c>
      <c r="AC2445">
        <f>'19_Расчет_аналитики'!AB2444*'01_Вводные'!$B$14</f>
        <v/>
      </c>
      <c r="AD2445">
        <f>'19_Расчет_аналитики'!AC2444*'01_Вводные'!$B$14</f>
        <v/>
      </c>
      <c r="AE2445">
        <f>'19_Расчет_аналитики'!AD2444*'01_Вводные'!$B$14</f>
        <v/>
      </c>
      <c r="AF2445">
        <f>'19_Расчет_аналитики'!AE2444*'01_Вводные'!$B$14</f>
        <v/>
      </c>
      <c r="AG2445">
        <f>'19_Расчет_аналитики'!AF2444*'01_Вводные'!$B$14</f>
        <v/>
      </c>
      <c r="AH2445">
        <f>'19_Расчет_аналитики'!AG2444*'01_Вводные'!$B$14</f>
        <v/>
      </c>
      <c r="AI2445">
        <f>'19_Расчет_аналитики'!AH2444*'01_Вводные'!$B$14</f>
        <v/>
      </c>
      <c r="AJ2445">
        <f>'19_Расчет_аналитики'!AI2444*'01_Вводные'!$B$14</f>
        <v/>
      </c>
      <c r="AK2445">
        <f>'19_Расчет_аналитики'!AJ2444*'01_Вводные'!$B$14</f>
        <v/>
      </c>
      <c r="AL2445">
        <f>'19_Расчет_аналитики'!AK2444*'01_Вводные'!$B$14</f>
        <v/>
      </c>
      <c r="AM2445">
        <f>'19_Расчет_аналитики'!AL2444*'01_Вводные'!$B$14</f>
        <v/>
      </c>
      <c r="AN2445">
        <f>'19_Расчет_аналитики'!AM2444*'01_Вводные'!$B$14</f>
        <v/>
      </c>
      <c r="AO2445">
        <f>'19_Расчет_аналитики'!AN2444*'01_Вводные'!$B$14</f>
        <v/>
      </c>
      <c r="AP2445">
        <f>'19_Расчет_аналитики'!AO2444*'01_Вводные'!$B$14</f>
        <v/>
      </c>
      <c r="AQ2445">
        <f>'19_Расчет_аналитики'!AP2444*'01_Вводные'!$B$14</f>
        <v/>
      </c>
      <c r="AR2445">
        <f>'19_Расчет_аналитики'!AQ2444*'01_Вводные'!$B$14</f>
        <v/>
      </c>
      <c r="AS2445">
        <f>'19_Расчет_аналитики'!AR2444*'01_Вводные'!$B$14</f>
        <v/>
      </c>
      <c r="AT2445">
        <f>'19_Расчет_аналитики'!AS2444*'01_Вводные'!$B$14</f>
        <v/>
      </c>
      <c r="AU2445">
        <f>'19_Расчет_аналитики'!AT2444*'01_Вводные'!$B$14</f>
        <v/>
      </c>
      <c r="AV2445">
        <f>'19_Расчет_аналитики'!AU2444*'01_Вводные'!$B$14</f>
        <v/>
      </c>
      <c r="AW2445">
        <f>'19_Расчет_аналитики'!AV2444*'01_Вводные'!$B$14</f>
        <v/>
      </c>
      <c r="AX2445">
        <f>'19_Расчет_аналитики'!AW2444*'01_Вводные'!$B$14</f>
        <v/>
      </c>
      <c r="AY2445">
        <f>'19_Расчет_аналитики'!AX2444*'01_Вводные'!$B$14</f>
        <v/>
      </c>
      <c r="AZ2445">
        <f>'19_Расчет_аналитики'!AY2444*'01_Вводные'!$B$14</f>
        <v/>
      </c>
      <c r="BA2445">
        <f>'19_Расчет_аналитики'!AZ2444*'01_Вводные'!$B$14</f>
        <v/>
      </c>
      <c r="BB2445">
        <f>'19_Расчет_аналитики'!BA2444*'01_Вводные'!$B$14</f>
        <v/>
      </c>
      <c r="BC2445">
        <f>'19_Расчет_аналитики'!BB2444*'01_Вводные'!$B$14</f>
        <v/>
      </c>
      <c r="BD2445">
        <f>'19_Расчет_аналитики'!BC2444*'01_Вводные'!$B$14</f>
        <v/>
      </c>
      <c r="BE2445">
        <f>'19_Расчет_аналитики'!BD2444*'01_Вводные'!$B$14</f>
        <v/>
      </c>
      <c r="BF2445">
        <f>'19_Расчет_аналитики'!BE2444*'01_Вводные'!$B$14</f>
        <v/>
      </c>
      <c r="BG2445">
        <f>'19_Расчет_аналитики'!BF2444*'01_Вводные'!$B$14</f>
        <v/>
      </c>
      <c r="BH2445">
        <f>'19_Расчет_аналитики'!BG2444*'01_Вводные'!$B$14</f>
        <v/>
      </c>
      <c r="BI2445">
        <f>'19_Расчет_аналитики'!BH2444*'01_Вводные'!$B$14</f>
        <v/>
      </c>
      <c r="BJ2445">
        <f>'19_Расчет_аналитики'!BI2444*'01_Вводные'!$B$14</f>
        <v/>
      </c>
      <c r="BK2445">
        <f>'19_Расчет_аналитики'!BJ2444*'01_Вводные'!$B$14</f>
        <v/>
      </c>
      <c r="BL2445">
        <f>'19_Расчет_аналитики'!BK2444*'01_Вводные'!$B$14</f>
        <v/>
      </c>
      <c r="BM2445">
        <f>'19_Расчет_аналитики'!BL2444*'01_Вводные'!$B$14</f>
        <v/>
      </c>
      <c r="BN2445">
        <f>'19_Расчет_аналитики'!BM2444*'01_Вводные'!$B$14</f>
        <v/>
      </c>
      <c r="BO2445">
        <f>'19_Расчет_аналитики'!BN2444*'01_Вводные'!$B$14</f>
        <v/>
      </c>
    </row>
    <row r="2446">
      <c r="B2446">
        <f>'06_Сеть_и_дети'!B67</f>
        <v/>
      </c>
      <c r="C2446">
        <f>'06_Сеть_и_дети'!C67</f>
        <v/>
      </c>
      <c r="D2446">
        <f>'06_Сеть_и_дети'!D67</f>
        <v/>
      </c>
      <c r="E2446">
        <f>'06_Сеть_и_дети'!E67</f>
        <v/>
      </c>
      <c r="F2446">
        <f>'06_Сеть_и_дети'!F67</f>
        <v/>
      </c>
      <c r="G2446">
        <f>'06_Сеть_и_дети'!G67</f>
        <v/>
      </c>
      <c r="H2446">
        <f>'06_Сеть_и_дети'!H67</f>
        <v/>
      </c>
      <c r="I2446">
        <f>'06_Сеть_и_дети'!I67</f>
        <v/>
      </c>
      <c r="J2446">
        <f>'06_Сеть_и_дети'!J67</f>
        <v/>
      </c>
      <c r="K2446">
        <f>'06_Сеть_и_дети'!K67</f>
        <v/>
      </c>
      <c r="L2446">
        <f>'06_Сеть_и_дети'!L67</f>
        <v/>
      </c>
      <c r="M2446">
        <f>'06_Сеть_и_дети'!M67</f>
        <v/>
      </c>
      <c r="N2446">
        <f>'06_Сеть_и_дети'!N67</f>
        <v/>
      </c>
      <c r="O2446">
        <f>'06_Сеть_и_дети'!O67</f>
        <v/>
      </c>
      <c r="P2446">
        <f>'19_Расчет_аналитики'!O2445*'01_Вводные'!$B$14</f>
        <v/>
      </c>
      <c r="Q2446">
        <f>'19_Расчет_аналитики'!P2445*'01_Вводные'!$B$14</f>
        <v/>
      </c>
      <c r="R2446">
        <f>'19_Расчет_аналитики'!Q2445*'01_Вводные'!$B$14</f>
        <v/>
      </c>
      <c r="S2446">
        <f>'19_Расчет_аналитики'!R2445*'01_Вводные'!$B$14</f>
        <v/>
      </c>
      <c r="T2446">
        <f>'19_Расчет_аналитики'!S2445*'01_Вводные'!$B$14</f>
        <v/>
      </c>
      <c r="U2446">
        <f>'19_Расчет_аналитики'!T2445*'01_Вводные'!$B$14</f>
        <v/>
      </c>
      <c r="V2446">
        <f>'19_Расчет_аналитики'!U2445*'01_Вводные'!$B$14</f>
        <v/>
      </c>
      <c r="W2446">
        <f>'19_Расчет_аналитики'!V2445*'01_Вводные'!$B$14</f>
        <v/>
      </c>
      <c r="X2446">
        <f>'19_Расчет_аналитики'!W2445*'01_Вводные'!$B$14</f>
        <v/>
      </c>
      <c r="Y2446">
        <f>'19_Расчет_аналитики'!X2445*'01_Вводные'!$B$14</f>
        <v/>
      </c>
      <c r="Z2446">
        <f>'19_Расчет_аналитики'!Y2445*'01_Вводные'!$B$14</f>
        <v/>
      </c>
      <c r="AA2446">
        <f>'19_Расчет_аналитики'!Z2445*'01_Вводные'!$B$14</f>
        <v/>
      </c>
      <c r="AB2446">
        <f>'19_Расчет_аналитики'!AA2445*'01_Вводные'!$B$14</f>
        <v/>
      </c>
      <c r="AC2446">
        <f>'19_Расчет_аналитики'!AB2445*'01_Вводные'!$B$14</f>
        <v/>
      </c>
      <c r="AD2446">
        <f>'19_Расчет_аналитики'!AC2445*'01_Вводные'!$B$14</f>
        <v/>
      </c>
      <c r="AE2446">
        <f>'19_Расчет_аналитики'!AD2445*'01_Вводные'!$B$14</f>
        <v/>
      </c>
      <c r="AF2446">
        <f>'19_Расчет_аналитики'!AE2445*'01_Вводные'!$B$14</f>
        <v/>
      </c>
      <c r="AG2446">
        <f>'19_Расчет_аналитики'!AF2445*'01_Вводные'!$B$14</f>
        <v/>
      </c>
      <c r="AH2446">
        <f>'19_Расчет_аналитики'!AG2445*'01_Вводные'!$B$14</f>
        <v/>
      </c>
      <c r="AI2446">
        <f>'19_Расчет_аналитики'!AH2445*'01_Вводные'!$B$14</f>
        <v/>
      </c>
      <c r="AJ2446">
        <f>'19_Расчет_аналитики'!AI2445*'01_Вводные'!$B$14</f>
        <v/>
      </c>
      <c r="AK2446">
        <f>'19_Расчет_аналитики'!AJ2445*'01_Вводные'!$B$14</f>
        <v/>
      </c>
      <c r="AL2446">
        <f>'19_Расчет_аналитики'!AK2445*'01_Вводные'!$B$14</f>
        <v/>
      </c>
      <c r="AM2446">
        <f>'19_Расчет_аналитики'!AL2445*'01_Вводные'!$B$14</f>
        <v/>
      </c>
      <c r="AN2446">
        <f>'19_Расчет_аналитики'!AM2445*'01_Вводные'!$B$14</f>
        <v/>
      </c>
      <c r="AO2446">
        <f>'19_Расчет_аналитики'!AN2445*'01_Вводные'!$B$14</f>
        <v/>
      </c>
      <c r="AP2446">
        <f>'19_Расчет_аналитики'!AO2445*'01_Вводные'!$B$14</f>
        <v/>
      </c>
      <c r="AQ2446">
        <f>'19_Расчет_аналитики'!AP2445*'01_Вводные'!$B$14</f>
        <v/>
      </c>
      <c r="AR2446">
        <f>'19_Расчет_аналитики'!AQ2445*'01_Вводные'!$B$14</f>
        <v/>
      </c>
      <c r="AS2446">
        <f>'19_Расчет_аналитики'!AR2445*'01_Вводные'!$B$14</f>
        <v/>
      </c>
      <c r="AT2446">
        <f>'19_Расчет_аналитики'!AS2445*'01_Вводные'!$B$14</f>
        <v/>
      </c>
      <c r="AU2446">
        <f>'19_Расчет_аналитики'!AT2445*'01_Вводные'!$B$14</f>
        <v/>
      </c>
      <c r="AV2446">
        <f>'19_Расчет_аналитики'!AU2445*'01_Вводные'!$B$14</f>
        <v/>
      </c>
      <c r="AW2446">
        <f>'19_Расчет_аналитики'!AV2445*'01_Вводные'!$B$14</f>
        <v/>
      </c>
      <c r="AX2446">
        <f>'19_Расчет_аналитики'!AW2445*'01_Вводные'!$B$14</f>
        <v/>
      </c>
      <c r="AY2446">
        <f>'19_Расчет_аналитики'!AX2445*'01_Вводные'!$B$14</f>
        <v/>
      </c>
      <c r="AZ2446">
        <f>'19_Расчет_аналитики'!AY2445*'01_Вводные'!$B$14</f>
        <v/>
      </c>
      <c r="BA2446">
        <f>'19_Расчет_аналитики'!AZ2445*'01_Вводные'!$B$14</f>
        <v/>
      </c>
      <c r="BB2446">
        <f>'19_Расчет_аналитики'!BA2445*'01_Вводные'!$B$14</f>
        <v/>
      </c>
      <c r="BC2446">
        <f>'19_Расчет_аналитики'!BB2445*'01_Вводные'!$B$14</f>
        <v/>
      </c>
      <c r="BD2446">
        <f>'19_Расчет_аналитики'!BC2445*'01_Вводные'!$B$14</f>
        <v/>
      </c>
      <c r="BE2446">
        <f>'19_Расчет_аналитики'!BD2445*'01_Вводные'!$B$14</f>
        <v/>
      </c>
      <c r="BF2446">
        <f>'19_Расчет_аналитики'!BE2445*'01_Вводные'!$B$14</f>
        <v/>
      </c>
      <c r="BG2446">
        <f>'19_Расчет_аналитики'!BF2445*'01_Вводные'!$B$14</f>
        <v/>
      </c>
      <c r="BH2446">
        <f>'19_Расчет_аналитики'!BG2445*'01_Вводные'!$B$14</f>
        <v/>
      </c>
      <c r="BI2446">
        <f>'19_Расчет_аналитики'!BH2445*'01_Вводные'!$B$14</f>
        <v/>
      </c>
      <c r="BJ2446">
        <f>'19_Расчет_аналитики'!BI2445*'01_Вводные'!$B$14</f>
        <v/>
      </c>
      <c r="BK2446">
        <f>'19_Расчет_аналитики'!BJ2445*'01_Вводные'!$B$14</f>
        <v/>
      </c>
      <c r="BL2446">
        <f>'19_Расчет_аналитики'!BK2445*'01_Вводные'!$B$14</f>
        <v/>
      </c>
      <c r="BM2446">
        <f>'19_Расчет_аналитики'!BL2445*'01_Вводные'!$B$14</f>
        <v/>
      </c>
      <c r="BN2446">
        <f>'19_Расчет_аналитики'!BM2445*'01_Вводные'!$B$14</f>
        <v/>
      </c>
      <c r="BO2446">
        <f>'19_Расчет_аналитики'!BN2445*'01_Вводные'!$B$14</f>
        <v/>
      </c>
    </row>
    <row r="2447">
      <c r="B2447">
        <f>'06_Сеть_и_дети'!B68</f>
        <v/>
      </c>
      <c r="C2447">
        <f>'06_Сеть_и_дети'!C68</f>
        <v/>
      </c>
      <c r="D2447">
        <f>'06_Сеть_и_дети'!D68</f>
        <v/>
      </c>
      <c r="E2447">
        <f>'06_Сеть_и_дети'!E68</f>
        <v/>
      </c>
      <c r="F2447">
        <f>'06_Сеть_и_дети'!F68</f>
        <v/>
      </c>
      <c r="G2447">
        <f>'06_Сеть_и_дети'!G68</f>
        <v/>
      </c>
      <c r="H2447">
        <f>'06_Сеть_и_дети'!H68</f>
        <v/>
      </c>
      <c r="I2447">
        <f>'06_Сеть_и_дети'!I68</f>
        <v/>
      </c>
      <c r="J2447">
        <f>'06_Сеть_и_дети'!J68</f>
        <v/>
      </c>
      <c r="K2447">
        <f>'06_Сеть_и_дети'!K68</f>
        <v/>
      </c>
      <c r="L2447">
        <f>'06_Сеть_и_дети'!L68</f>
        <v/>
      </c>
      <c r="M2447">
        <f>'06_Сеть_и_дети'!M68</f>
        <v/>
      </c>
      <c r="N2447">
        <f>'06_Сеть_и_дети'!N68</f>
        <v/>
      </c>
      <c r="O2447">
        <f>'06_Сеть_и_дети'!O68</f>
        <v/>
      </c>
      <c r="P2447">
        <f>'06_Сеть_и_дети'!P68</f>
        <v/>
      </c>
      <c r="Q2447">
        <f>'19_Расчет_аналитики'!P2446*'01_Вводные'!$B$14</f>
        <v/>
      </c>
      <c r="R2447">
        <f>'19_Расчет_аналитики'!Q2446*'01_Вводные'!$B$14</f>
        <v/>
      </c>
      <c r="S2447">
        <f>'19_Расчет_аналитики'!R2446*'01_Вводные'!$B$14</f>
        <v/>
      </c>
      <c r="T2447">
        <f>'19_Расчет_аналитики'!S2446*'01_Вводные'!$B$14</f>
        <v/>
      </c>
      <c r="U2447">
        <f>'19_Расчет_аналитики'!T2446*'01_Вводные'!$B$14</f>
        <v/>
      </c>
      <c r="V2447">
        <f>'19_Расчет_аналитики'!U2446*'01_Вводные'!$B$14</f>
        <v/>
      </c>
      <c r="W2447">
        <f>'19_Расчет_аналитики'!V2446*'01_Вводные'!$B$14</f>
        <v/>
      </c>
      <c r="X2447">
        <f>'19_Расчет_аналитики'!W2446*'01_Вводные'!$B$14</f>
        <v/>
      </c>
      <c r="Y2447">
        <f>'19_Расчет_аналитики'!X2446*'01_Вводные'!$B$14</f>
        <v/>
      </c>
      <c r="Z2447">
        <f>'19_Расчет_аналитики'!Y2446*'01_Вводные'!$B$14</f>
        <v/>
      </c>
      <c r="AA2447">
        <f>'19_Расчет_аналитики'!Z2446*'01_Вводные'!$B$14</f>
        <v/>
      </c>
      <c r="AB2447">
        <f>'19_Расчет_аналитики'!AA2446*'01_Вводные'!$B$14</f>
        <v/>
      </c>
      <c r="AC2447">
        <f>'19_Расчет_аналитики'!AB2446*'01_Вводные'!$B$14</f>
        <v/>
      </c>
      <c r="AD2447">
        <f>'19_Расчет_аналитики'!AC2446*'01_Вводные'!$B$14</f>
        <v/>
      </c>
      <c r="AE2447">
        <f>'19_Расчет_аналитики'!AD2446*'01_Вводные'!$B$14</f>
        <v/>
      </c>
      <c r="AF2447">
        <f>'19_Расчет_аналитики'!AE2446*'01_Вводные'!$B$14</f>
        <v/>
      </c>
      <c r="AG2447">
        <f>'19_Расчет_аналитики'!AF2446*'01_Вводные'!$B$14</f>
        <v/>
      </c>
      <c r="AH2447">
        <f>'19_Расчет_аналитики'!AG2446*'01_Вводные'!$B$14</f>
        <v/>
      </c>
      <c r="AI2447">
        <f>'19_Расчет_аналитики'!AH2446*'01_Вводные'!$B$14</f>
        <v/>
      </c>
      <c r="AJ2447">
        <f>'19_Расчет_аналитики'!AI2446*'01_Вводные'!$B$14</f>
        <v/>
      </c>
      <c r="AK2447">
        <f>'19_Расчет_аналитики'!AJ2446*'01_Вводные'!$B$14</f>
        <v/>
      </c>
      <c r="AL2447">
        <f>'19_Расчет_аналитики'!AK2446*'01_Вводные'!$B$14</f>
        <v/>
      </c>
      <c r="AM2447">
        <f>'19_Расчет_аналитики'!AL2446*'01_Вводные'!$B$14</f>
        <v/>
      </c>
      <c r="AN2447">
        <f>'19_Расчет_аналитики'!AM2446*'01_Вводные'!$B$14</f>
        <v/>
      </c>
      <c r="AO2447">
        <f>'19_Расчет_аналитики'!AN2446*'01_Вводные'!$B$14</f>
        <v/>
      </c>
      <c r="AP2447">
        <f>'19_Расчет_аналитики'!AO2446*'01_Вводные'!$B$14</f>
        <v/>
      </c>
      <c r="AQ2447">
        <f>'19_Расчет_аналитики'!AP2446*'01_Вводные'!$B$14</f>
        <v/>
      </c>
      <c r="AR2447">
        <f>'19_Расчет_аналитики'!AQ2446*'01_Вводные'!$B$14</f>
        <v/>
      </c>
      <c r="AS2447">
        <f>'19_Расчет_аналитики'!AR2446*'01_Вводные'!$B$14</f>
        <v/>
      </c>
      <c r="AT2447">
        <f>'19_Расчет_аналитики'!AS2446*'01_Вводные'!$B$14</f>
        <v/>
      </c>
      <c r="AU2447">
        <f>'19_Расчет_аналитики'!AT2446*'01_Вводные'!$B$14</f>
        <v/>
      </c>
      <c r="AV2447">
        <f>'19_Расчет_аналитики'!AU2446*'01_Вводные'!$B$14</f>
        <v/>
      </c>
      <c r="AW2447">
        <f>'19_Расчет_аналитики'!AV2446*'01_Вводные'!$B$14</f>
        <v/>
      </c>
      <c r="AX2447">
        <f>'19_Расчет_аналитики'!AW2446*'01_Вводные'!$B$14</f>
        <v/>
      </c>
      <c r="AY2447">
        <f>'19_Расчет_аналитики'!AX2446*'01_Вводные'!$B$14</f>
        <v/>
      </c>
      <c r="AZ2447">
        <f>'19_Расчет_аналитики'!AY2446*'01_Вводные'!$B$14</f>
        <v/>
      </c>
      <c r="BA2447">
        <f>'19_Расчет_аналитики'!AZ2446*'01_Вводные'!$B$14</f>
        <v/>
      </c>
      <c r="BB2447">
        <f>'19_Расчет_аналитики'!BA2446*'01_Вводные'!$B$14</f>
        <v/>
      </c>
      <c r="BC2447">
        <f>'19_Расчет_аналитики'!BB2446*'01_Вводные'!$B$14</f>
        <v/>
      </c>
      <c r="BD2447">
        <f>'19_Расчет_аналитики'!BC2446*'01_Вводные'!$B$14</f>
        <v/>
      </c>
      <c r="BE2447">
        <f>'19_Расчет_аналитики'!BD2446*'01_Вводные'!$B$14</f>
        <v/>
      </c>
      <c r="BF2447">
        <f>'19_Расчет_аналитики'!BE2446*'01_Вводные'!$B$14</f>
        <v/>
      </c>
      <c r="BG2447">
        <f>'19_Расчет_аналитики'!BF2446*'01_Вводные'!$B$14</f>
        <v/>
      </c>
      <c r="BH2447">
        <f>'19_Расчет_аналитики'!BG2446*'01_Вводные'!$B$14</f>
        <v/>
      </c>
      <c r="BI2447">
        <f>'19_Расчет_аналитики'!BH2446*'01_Вводные'!$B$14</f>
        <v/>
      </c>
      <c r="BJ2447">
        <f>'19_Расчет_аналитики'!BI2446*'01_Вводные'!$B$14</f>
        <v/>
      </c>
      <c r="BK2447">
        <f>'19_Расчет_аналитики'!BJ2446*'01_Вводные'!$B$14</f>
        <v/>
      </c>
      <c r="BL2447">
        <f>'19_Расчет_аналитики'!BK2446*'01_Вводные'!$B$14</f>
        <v/>
      </c>
      <c r="BM2447">
        <f>'19_Расчет_аналитики'!BL2446*'01_Вводные'!$B$14</f>
        <v/>
      </c>
      <c r="BN2447">
        <f>'19_Расчет_аналитики'!BM2446*'01_Вводные'!$B$14</f>
        <v/>
      </c>
      <c r="BO2447">
        <f>'19_Расчет_аналитики'!BN2446*'01_Вводные'!$B$14</f>
        <v/>
      </c>
    </row>
    <row r="2448">
      <c r="B2448">
        <f>'06_Сеть_и_дети'!B69</f>
        <v/>
      </c>
      <c r="C2448">
        <f>'06_Сеть_и_дети'!C69</f>
        <v/>
      </c>
      <c r="D2448">
        <f>'06_Сеть_и_дети'!D69</f>
        <v/>
      </c>
      <c r="E2448">
        <f>'06_Сеть_и_дети'!E69</f>
        <v/>
      </c>
      <c r="F2448">
        <f>'06_Сеть_и_дети'!F69</f>
        <v/>
      </c>
      <c r="G2448">
        <f>'06_Сеть_и_дети'!G69</f>
        <v/>
      </c>
      <c r="H2448">
        <f>'06_Сеть_и_дети'!H69</f>
        <v/>
      </c>
      <c r="I2448">
        <f>'06_Сеть_и_дети'!I69</f>
        <v/>
      </c>
      <c r="J2448">
        <f>'06_Сеть_и_дети'!J69</f>
        <v/>
      </c>
      <c r="K2448">
        <f>'06_Сеть_и_дети'!K69</f>
        <v/>
      </c>
      <c r="L2448">
        <f>'06_Сеть_и_дети'!L69</f>
        <v/>
      </c>
      <c r="M2448">
        <f>'06_Сеть_и_дети'!M69</f>
        <v/>
      </c>
      <c r="N2448">
        <f>'06_Сеть_и_дети'!N69</f>
        <v/>
      </c>
      <c r="O2448">
        <f>'06_Сеть_и_дети'!O69</f>
        <v/>
      </c>
      <c r="P2448">
        <f>'06_Сеть_и_дети'!P69</f>
        <v/>
      </c>
      <c r="Q2448">
        <f>'06_Сеть_и_дети'!Q69</f>
        <v/>
      </c>
      <c r="R2448">
        <f>'19_Расчет_аналитики'!Q2447*'01_Вводные'!$B$14</f>
        <v/>
      </c>
      <c r="S2448">
        <f>'19_Расчет_аналитики'!R2447*'01_Вводные'!$B$14</f>
        <v/>
      </c>
      <c r="T2448">
        <f>'19_Расчет_аналитики'!S2447*'01_Вводные'!$B$14</f>
        <v/>
      </c>
      <c r="U2448">
        <f>'19_Расчет_аналитики'!T2447*'01_Вводные'!$B$14</f>
        <v/>
      </c>
      <c r="V2448">
        <f>'19_Расчет_аналитики'!U2447*'01_Вводные'!$B$14</f>
        <v/>
      </c>
      <c r="W2448">
        <f>'19_Расчет_аналитики'!V2447*'01_Вводные'!$B$14</f>
        <v/>
      </c>
      <c r="X2448">
        <f>'19_Расчет_аналитики'!W2447*'01_Вводные'!$B$14</f>
        <v/>
      </c>
      <c r="Y2448">
        <f>'19_Расчет_аналитики'!X2447*'01_Вводные'!$B$14</f>
        <v/>
      </c>
      <c r="Z2448">
        <f>'19_Расчет_аналитики'!Y2447*'01_Вводные'!$B$14</f>
        <v/>
      </c>
      <c r="AA2448">
        <f>'19_Расчет_аналитики'!Z2447*'01_Вводные'!$B$14</f>
        <v/>
      </c>
      <c r="AB2448">
        <f>'19_Расчет_аналитики'!AA2447*'01_Вводные'!$B$14</f>
        <v/>
      </c>
      <c r="AC2448">
        <f>'19_Расчет_аналитики'!AB2447*'01_Вводные'!$B$14</f>
        <v/>
      </c>
      <c r="AD2448">
        <f>'19_Расчет_аналитики'!AC2447*'01_Вводные'!$B$14</f>
        <v/>
      </c>
      <c r="AE2448">
        <f>'19_Расчет_аналитики'!AD2447*'01_Вводные'!$B$14</f>
        <v/>
      </c>
      <c r="AF2448">
        <f>'19_Расчет_аналитики'!AE2447*'01_Вводные'!$B$14</f>
        <v/>
      </c>
      <c r="AG2448">
        <f>'19_Расчет_аналитики'!AF2447*'01_Вводные'!$B$14</f>
        <v/>
      </c>
      <c r="AH2448">
        <f>'19_Расчет_аналитики'!AG2447*'01_Вводные'!$B$14</f>
        <v/>
      </c>
      <c r="AI2448">
        <f>'19_Расчет_аналитики'!AH2447*'01_Вводные'!$B$14</f>
        <v/>
      </c>
      <c r="AJ2448">
        <f>'19_Расчет_аналитики'!AI2447*'01_Вводные'!$B$14</f>
        <v/>
      </c>
      <c r="AK2448">
        <f>'19_Расчет_аналитики'!AJ2447*'01_Вводные'!$B$14</f>
        <v/>
      </c>
      <c r="AL2448">
        <f>'19_Расчет_аналитики'!AK2447*'01_Вводные'!$B$14</f>
        <v/>
      </c>
      <c r="AM2448">
        <f>'19_Расчет_аналитики'!AL2447*'01_Вводные'!$B$14</f>
        <v/>
      </c>
      <c r="AN2448">
        <f>'19_Расчет_аналитики'!AM2447*'01_Вводные'!$B$14</f>
        <v/>
      </c>
      <c r="AO2448">
        <f>'19_Расчет_аналитики'!AN2447*'01_Вводные'!$B$14</f>
        <v/>
      </c>
      <c r="AP2448">
        <f>'19_Расчет_аналитики'!AO2447*'01_Вводные'!$B$14</f>
        <v/>
      </c>
      <c r="AQ2448">
        <f>'19_Расчет_аналитики'!AP2447*'01_Вводные'!$B$14</f>
        <v/>
      </c>
      <c r="AR2448">
        <f>'19_Расчет_аналитики'!AQ2447*'01_Вводные'!$B$14</f>
        <v/>
      </c>
      <c r="AS2448">
        <f>'19_Расчет_аналитики'!AR2447*'01_Вводные'!$B$14</f>
        <v/>
      </c>
      <c r="AT2448">
        <f>'19_Расчет_аналитики'!AS2447*'01_Вводные'!$B$14</f>
        <v/>
      </c>
      <c r="AU2448">
        <f>'19_Расчет_аналитики'!AT2447*'01_Вводные'!$B$14</f>
        <v/>
      </c>
      <c r="AV2448">
        <f>'19_Расчет_аналитики'!AU2447*'01_Вводные'!$B$14</f>
        <v/>
      </c>
      <c r="AW2448">
        <f>'19_Расчет_аналитики'!AV2447*'01_Вводные'!$B$14</f>
        <v/>
      </c>
      <c r="AX2448">
        <f>'19_Расчет_аналитики'!AW2447*'01_Вводные'!$B$14</f>
        <v/>
      </c>
      <c r="AY2448">
        <f>'19_Расчет_аналитики'!AX2447*'01_Вводные'!$B$14</f>
        <v/>
      </c>
      <c r="AZ2448">
        <f>'19_Расчет_аналитики'!AY2447*'01_Вводные'!$B$14</f>
        <v/>
      </c>
      <c r="BA2448">
        <f>'19_Расчет_аналитики'!AZ2447*'01_Вводные'!$B$14</f>
        <v/>
      </c>
      <c r="BB2448">
        <f>'19_Расчет_аналитики'!BA2447*'01_Вводные'!$B$14</f>
        <v/>
      </c>
      <c r="BC2448">
        <f>'19_Расчет_аналитики'!BB2447*'01_Вводные'!$B$14</f>
        <v/>
      </c>
      <c r="BD2448">
        <f>'19_Расчет_аналитики'!BC2447*'01_Вводные'!$B$14</f>
        <v/>
      </c>
      <c r="BE2448">
        <f>'19_Расчет_аналитики'!BD2447*'01_Вводные'!$B$14</f>
        <v/>
      </c>
      <c r="BF2448">
        <f>'19_Расчет_аналитики'!BE2447*'01_Вводные'!$B$14</f>
        <v/>
      </c>
      <c r="BG2448">
        <f>'19_Расчет_аналитики'!BF2447*'01_Вводные'!$B$14</f>
        <v/>
      </c>
      <c r="BH2448">
        <f>'19_Расчет_аналитики'!BG2447*'01_Вводные'!$B$14</f>
        <v/>
      </c>
      <c r="BI2448">
        <f>'19_Расчет_аналитики'!BH2447*'01_Вводные'!$B$14</f>
        <v/>
      </c>
      <c r="BJ2448">
        <f>'19_Расчет_аналитики'!BI2447*'01_Вводные'!$B$14</f>
        <v/>
      </c>
      <c r="BK2448">
        <f>'19_Расчет_аналитики'!BJ2447*'01_Вводные'!$B$14</f>
        <v/>
      </c>
      <c r="BL2448">
        <f>'19_Расчет_аналитики'!BK2447*'01_Вводные'!$B$14</f>
        <v/>
      </c>
      <c r="BM2448">
        <f>'19_Расчет_аналитики'!BL2447*'01_Вводные'!$B$14</f>
        <v/>
      </c>
      <c r="BN2448">
        <f>'19_Расчет_аналитики'!BM2447*'01_Вводные'!$B$14</f>
        <v/>
      </c>
      <c r="BO2448">
        <f>'19_Расчет_аналитики'!BN2447*'01_Вводные'!$B$14</f>
        <v/>
      </c>
    </row>
    <row r="2449">
      <c r="B2449">
        <f>'06_Сеть_и_дети'!B70</f>
        <v/>
      </c>
      <c r="C2449">
        <f>'06_Сеть_и_дети'!C70</f>
        <v/>
      </c>
      <c r="D2449">
        <f>'06_Сеть_и_дети'!D70</f>
        <v/>
      </c>
      <c r="E2449">
        <f>'06_Сеть_и_дети'!E70</f>
        <v/>
      </c>
      <c r="F2449">
        <f>'06_Сеть_и_дети'!F70</f>
        <v/>
      </c>
      <c r="G2449">
        <f>'06_Сеть_и_дети'!G70</f>
        <v/>
      </c>
      <c r="H2449">
        <f>'06_Сеть_и_дети'!H70</f>
        <v/>
      </c>
      <c r="I2449">
        <f>'06_Сеть_и_дети'!I70</f>
        <v/>
      </c>
      <c r="J2449">
        <f>'06_Сеть_и_дети'!J70</f>
        <v/>
      </c>
      <c r="K2449">
        <f>'06_Сеть_и_дети'!K70</f>
        <v/>
      </c>
      <c r="L2449">
        <f>'06_Сеть_и_дети'!L70</f>
        <v/>
      </c>
      <c r="M2449">
        <f>'06_Сеть_и_дети'!M70</f>
        <v/>
      </c>
      <c r="N2449">
        <f>'06_Сеть_и_дети'!N70</f>
        <v/>
      </c>
      <c r="O2449">
        <f>'06_Сеть_и_дети'!O70</f>
        <v/>
      </c>
      <c r="P2449">
        <f>'06_Сеть_и_дети'!P70</f>
        <v/>
      </c>
      <c r="Q2449">
        <f>'06_Сеть_и_дети'!Q70</f>
        <v/>
      </c>
      <c r="R2449">
        <f>'06_Сеть_и_дети'!R70</f>
        <v/>
      </c>
      <c r="S2449">
        <f>'19_Расчет_аналитики'!R2448*'01_Вводные'!$B$14</f>
        <v/>
      </c>
      <c r="T2449">
        <f>'19_Расчет_аналитики'!S2448*'01_Вводные'!$B$14</f>
        <v/>
      </c>
      <c r="U2449">
        <f>'19_Расчет_аналитики'!T2448*'01_Вводные'!$B$14</f>
        <v/>
      </c>
      <c r="V2449">
        <f>'19_Расчет_аналитики'!U2448*'01_Вводные'!$B$14</f>
        <v/>
      </c>
      <c r="W2449">
        <f>'19_Расчет_аналитики'!V2448*'01_Вводные'!$B$14</f>
        <v/>
      </c>
      <c r="X2449">
        <f>'19_Расчет_аналитики'!W2448*'01_Вводные'!$B$14</f>
        <v/>
      </c>
      <c r="Y2449">
        <f>'19_Расчет_аналитики'!X2448*'01_Вводные'!$B$14</f>
        <v/>
      </c>
      <c r="Z2449">
        <f>'19_Расчет_аналитики'!Y2448*'01_Вводные'!$B$14</f>
        <v/>
      </c>
      <c r="AA2449">
        <f>'19_Расчет_аналитики'!Z2448*'01_Вводные'!$B$14</f>
        <v/>
      </c>
      <c r="AB2449">
        <f>'19_Расчет_аналитики'!AA2448*'01_Вводные'!$B$14</f>
        <v/>
      </c>
      <c r="AC2449">
        <f>'19_Расчет_аналитики'!AB2448*'01_Вводные'!$B$14</f>
        <v/>
      </c>
      <c r="AD2449">
        <f>'19_Расчет_аналитики'!AC2448*'01_Вводные'!$B$14</f>
        <v/>
      </c>
      <c r="AE2449">
        <f>'19_Расчет_аналитики'!AD2448*'01_Вводные'!$B$14</f>
        <v/>
      </c>
      <c r="AF2449">
        <f>'19_Расчет_аналитики'!AE2448*'01_Вводные'!$B$14</f>
        <v/>
      </c>
      <c r="AG2449">
        <f>'19_Расчет_аналитики'!AF2448*'01_Вводные'!$B$14</f>
        <v/>
      </c>
      <c r="AH2449">
        <f>'19_Расчет_аналитики'!AG2448*'01_Вводные'!$B$14</f>
        <v/>
      </c>
      <c r="AI2449">
        <f>'19_Расчет_аналитики'!AH2448*'01_Вводные'!$B$14</f>
        <v/>
      </c>
      <c r="AJ2449">
        <f>'19_Расчет_аналитики'!AI2448*'01_Вводные'!$B$14</f>
        <v/>
      </c>
      <c r="AK2449">
        <f>'19_Расчет_аналитики'!AJ2448*'01_Вводные'!$B$14</f>
        <v/>
      </c>
      <c r="AL2449">
        <f>'19_Расчет_аналитики'!AK2448*'01_Вводные'!$B$14</f>
        <v/>
      </c>
      <c r="AM2449">
        <f>'19_Расчет_аналитики'!AL2448*'01_Вводные'!$B$14</f>
        <v/>
      </c>
      <c r="AN2449">
        <f>'19_Расчет_аналитики'!AM2448*'01_Вводные'!$B$14</f>
        <v/>
      </c>
      <c r="AO2449">
        <f>'19_Расчет_аналитики'!AN2448*'01_Вводные'!$B$14</f>
        <v/>
      </c>
      <c r="AP2449">
        <f>'19_Расчет_аналитики'!AO2448*'01_Вводные'!$B$14</f>
        <v/>
      </c>
      <c r="AQ2449">
        <f>'19_Расчет_аналитики'!AP2448*'01_Вводные'!$B$14</f>
        <v/>
      </c>
      <c r="AR2449">
        <f>'19_Расчет_аналитики'!AQ2448*'01_Вводные'!$B$14</f>
        <v/>
      </c>
      <c r="AS2449">
        <f>'19_Расчет_аналитики'!AR2448*'01_Вводные'!$B$14</f>
        <v/>
      </c>
      <c r="AT2449">
        <f>'19_Расчет_аналитики'!AS2448*'01_Вводные'!$B$14</f>
        <v/>
      </c>
      <c r="AU2449">
        <f>'19_Расчет_аналитики'!AT2448*'01_Вводные'!$B$14</f>
        <v/>
      </c>
      <c r="AV2449">
        <f>'19_Расчет_аналитики'!AU2448*'01_Вводные'!$B$14</f>
        <v/>
      </c>
      <c r="AW2449">
        <f>'19_Расчет_аналитики'!AV2448*'01_Вводные'!$B$14</f>
        <v/>
      </c>
      <c r="AX2449">
        <f>'19_Расчет_аналитики'!AW2448*'01_Вводные'!$B$14</f>
        <v/>
      </c>
      <c r="AY2449">
        <f>'19_Расчет_аналитики'!AX2448*'01_Вводные'!$B$14</f>
        <v/>
      </c>
      <c r="AZ2449">
        <f>'19_Расчет_аналитики'!AY2448*'01_Вводные'!$B$14</f>
        <v/>
      </c>
      <c r="BA2449">
        <f>'19_Расчет_аналитики'!AZ2448*'01_Вводные'!$B$14</f>
        <v/>
      </c>
      <c r="BB2449">
        <f>'19_Расчет_аналитики'!BA2448*'01_Вводные'!$B$14</f>
        <v/>
      </c>
      <c r="BC2449">
        <f>'19_Расчет_аналитики'!BB2448*'01_Вводные'!$B$14</f>
        <v/>
      </c>
      <c r="BD2449">
        <f>'19_Расчет_аналитики'!BC2448*'01_Вводные'!$B$14</f>
        <v/>
      </c>
      <c r="BE2449">
        <f>'19_Расчет_аналитики'!BD2448*'01_Вводные'!$B$14</f>
        <v/>
      </c>
      <c r="BF2449">
        <f>'19_Расчет_аналитики'!BE2448*'01_Вводные'!$B$14</f>
        <v/>
      </c>
      <c r="BG2449">
        <f>'19_Расчет_аналитики'!BF2448*'01_Вводные'!$B$14</f>
        <v/>
      </c>
      <c r="BH2449">
        <f>'19_Расчет_аналитики'!BG2448*'01_Вводные'!$B$14</f>
        <v/>
      </c>
      <c r="BI2449">
        <f>'19_Расчет_аналитики'!BH2448*'01_Вводные'!$B$14</f>
        <v/>
      </c>
      <c r="BJ2449">
        <f>'19_Расчет_аналитики'!BI2448*'01_Вводные'!$B$14</f>
        <v/>
      </c>
      <c r="BK2449">
        <f>'19_Расчет_аналитики'!BJ2448*'01_Вводные'!$B$14</f>
        <v/>
      </c>
      <c r="BL2449">
        <f>'19_Расчет_аналитики'!BK2448*'01_Вводные'!$B$14</f>
        <v/>
      </c>
      <c r="BM2449">
        <f>'19_Расчет_аналитики'!BL2448*'01_Вводные'!$B$14</f>
        <v/>
      </c>
      <c r="BN2449">
        <f>'19_Расчет_аналитики'!BM2448*'01_Вводные'!$B$14</f>
        <v/>
      </c>
      <c r="BO2449">
        <f>'19_Расчет_аналитики'!BN2448*'01_Вводные'!$B$14</f>
        <v/>
      </c>
    </row>
    <row r="2450">
      <c r="B2450">
        <f>'06_Сеть_и_дети'!B71</f>
        <v/>
      </c>
      <c r="C2450">
        <f>'06_Сеть_и_дети'!C71</f>
        <v/>
      </c>
      <c r="D2450">
        <f>'06_Сеть_и_дети'!D71</f>
        <v/>
      </c>
      <c r="E2450">
        <f>'06_Сеть_и_дети'!E71</f>
        <v/>
      </c>
      <c r="F2450">
        <f>'06_Сеть_и_дети'!F71</f>
        <v/>
      </c>
      <c r="G2450">
        <f>'06_Сеть_и_дети'!G71</f>
        <v/>
      </c>
      <c r="H2450">
        <f>'06_Сеть_и_дети'!H71</f>
        <v/>
      </c>
      <c r="I2450">
        <f>'06_Сеть_и_дети'!I71</f>
        <v/>
      </c>
      <c r="J2450">
        <f>'06_Сеть_и_дети'!J71</f>
        <v/>
      </c>
      <c r="K2450">
        <f>'06_Сеть_и_дети'!K71</f>
        <v/>
      </c>
      <c r="L2450">
        <f>'06_Сеть_и_дети'!L71</f>
        <v/>
      </c>
      <c r="M2450">
        <f>'06_Сеть_и_дети'!M71</f>
        <v/>
      </c>
      <c r="N2450">
        <f>'06_Сеть_и_дети'!N71</f>
        <v/>
      </c>
      <c r="O2450">
        <f>'06_Сеть_и_дети'!O71</f>
        <v/>
      </c>
      <c r="P2450">
        <f>'06_Сеть_и_дети'!P71</f>
        <v/>
      </c>
      <c r="Q2450">
        <f>'06_Сеть_и_дети'!Q71</f>
        <v/>
      </c>
      <c r="R2450">
        <f>'06_Сеть_и_дети'!R71</f>
        <v/>
      </c>
      <c r="S2450">
        <f>'06_Сеть_и_дети'!S71</f>
        <v/>
      </c>
      <c r="T2450">
        <f>'19_Расчет_аналитики'!S2449*'01_Вводные'!$B$14</f>
        <v/>
      </c>
      <c r="U2450">
        <f>'19_Расчет_аналитики'!T2449*'01_Вводные'!$B$14</f>
        <v/>
      </c>
      <c r="V2450">
        <f>'19_Расчет_аналитики'!U2449*'01_Вводные'!$B$14</f>
        <v/>
      </c>
      <c r="W2450">
        <f>'19_Расчет_аналитики'!V2449*'01_Вводные'!$B$14</f>
        <v/>
      </c>
      <c r="X2450">
        <f>'19_Расчет_аналитики'!W2449*'01_Вводные'!$B$14</f>
        <v/>
      </c>
      <c r="Y2450">
        <f>'19_Расчет_аналитики'!X2449*'01_Вводные'!$B$14</f>
        <v/>
      </c>
      <c r="Z2450">
        <f>'19_Расчет_аналитики'!Y2449*'01_Вводные'!$B$14</f>
        <v/>
      </c>
      <c r="AA2450">
        <f>'19_Расчет_аналитики'!Z2449*'01_Вводные'!$B$14</f>
        <v/>
      </c>
      <c r="AB2450">
        <f>'19_Расчет_аналитики'!AA2449*'01_Вводные'!$B$14</f>
        <v/>
      </c>
      <c r="AC2450">
        <f>'19_Расчет_аналитики'!AB2449*'01_Вводные'!$B$14</f>
        <v/>
      </c>
      <c r="AD2450">
        <f>'19_Расчет_аналитики'!AC2449*'01_Вводные'!$B$14</f>
        <v/>
      </c>
      <c r="AE2450">
        <f>'19_Расчет_аналитики'!AD2449*'01_Вводные'!$B$14</f>
        <v/>
      </c>
      <c r="AF2450">
        <f>'19_Расчет_аналитики'!AE2449*'01_Вводные'!$B$14</f>
        <v/>
      </c>
      <c r="AG2450">
        <f>'19_Расчет_аналитики'!AF2449*'01_Вводные'!$B$14</f>
        <v/>
      </c>
      <c r="AH2450">
        <f>'19_Расчет_аналитики'!AG2449*'01_Вводные'!$B$14</f>
        <v/>
      </c>
      <c r="AI2450">
        <f>'19_Расчет_аналитики'!AH2449*'01_Вводные'!$B$14</f>
        <v/>
      </c>
      <c r="AJ2450">
        <f>'19_Расчет_аналитики'!AI2449*'01_Вводные'!$B$14</f>
        <v/>
      </c>
      <c r="AK2450">
        <f>'19_Расчет_аналитики'!AJ2449*'01_Вводные'!$B$14</f>
        <v/>
      </c>
      <c r="AL2450">
        <f>'19_Расчет_аналитики'!AK2449*'01_Вводные'!$B$14</f>
        <v/>
      </c>
      <c r="AM2450">
        <f>'19_Расчет_аналитики'!AL2449*'01_Вводные'!$B$14</f>
        <v/>
      </c>
      <c r="AN2450">
        <f>'19_Расчет_аналитики'!AM2449*'01_Вводные'!$B$14</f>
        <v/>
      </c>
      <c r="AO2450">
        <f>'19_Расчет_аналитики'!AN2449*'01_Вводные'!$B$14</f>
        <v/>
      </c>
      <c r="AP2450">
        <f>'19_Расчет_аналитики'!AO2449*'01_Вводные'!$B$14</f>
        <v/>
      </c>
      <c r="AQ2450">
        <f>'19_Расчет_аналитики'!AP2449*'01_Вводные'!$B$14</f>
        <v/>
      </c>
      <c r="AR2450">
        <f>'19_Расчет_аналитики'!AQ2449*'01_Вводные'!$B$14</f>
        <v/>
      </c>
      <c r="AS2450">
        <f>'19_Расчет_аналитики'!AR2449*'01_Вводные'!$B$14</f>
        <v/>
      </c>
      <c r="AT2450">
        <f>'19_Расчет_аналитики'!AS2449*'01_Вводные'!$B$14</f>
        <v/>
      </c>
      <c r="AU2450">
        <f>'19_Расчет_аналитики'!AT2449*'01_Вводные'!$B$14</f>
        <v/>
      </c>
      <c r="AV2450">
        <f>'19_Расчет_аналитики'!AU2449*'01_Вводные'!$B$14</f>
        <v/>
      </c>
      <c r="AW2450">
        <f>'19_Расчет_аналитики'!AV2449*'01_Вводные'!$B$14</f>
        <v/>
      </c>
      <c r="AX2450">
        <f>'19_Расчет_аналитики'!AW2449*'01_Вводные'!$B$14</f>
        <v/>
      </c>
      <c r="AY2450">
        <f>'19_Расчет_аналитики'!AX2449*'01_Вводные'!$B$14</f>
        <v/>
      </c>
      <c r="AZ2450">
        <f>'19_Расчет_аналитики'!AY2449*'01_Вводные'!$B$14</f>
        <v/>
      </c>
      <c r="BA2450">
        <f>'19_Расчет_аналитики'!AZ2449*'01_Вводные'!$B$14</f>
        <v/>
      </c>
      <c r="BB2450">
        <f>'19_Расчет_аналитики'!BA2449*'01_Вводные'!$B$14</f>
        <v/>
      </c>
      <c r="BC2450">
        <f>'19_Расчет_аналитики'!BB2449*'01_Вводные'!$B$14</f>
        <v/>
      </c>
      <c r="BD2450">
        <f>'19_Расчет_аналитики'!BC2449*'01_Вводные'!$B$14</f>
        <v/>
      </c>
      <c r="BE2450">
        <f>'19_Расчет_аналитики'!BD2449*'01_Вводные'!$B$14</f>
        <v/>
      </c>
      <c r="BF2450">
        <f>'19_Расчет_аналитики'!BE2449*'01_Вводные'!$B$14</f>
        <v/>
      </c>
      <c r="BG2450">
        <f>'19_Расчет_аналитики'!BF2449*'01_Вводные'!$B$14</f>
        <v/>
      </c>
      <c r="BH2450">
        <f>'19_Расчет_аналитики'!BG2449*'01_Вводные'!$B$14</f>
        <v/>
      </c>
      <c r="BI2450">
        <f>'19_Расчет_аналитики'!BH2449*'01_Вводные'!$B$14</f>
        <v/>
      </c>
      <c r="BJ2450">
        <f>'19_Расчет_аналитики'!BI2449*'01_Вводные'!$B$14</f>
        <v/>
      </c>
      <c r="BK2450">
        <f>'19_Расчет_аналитики'!BJ2449*'01_Вводные'!$B$14</f>
        <v/>
      </c>
      <c r="BL2450">
        <f>'19_Расчет_аналитики'!BK2449*'01_Вводные'!$B$14</f>
        <v/>
      </c>
      <c r="BM2450">
        <f>'19_Расчет_аналитики'!BL2449*'01_Вводные'!$B$14</f>
        <v/>
      </c>
      <c r="BN2450">
        <f>'19_Расчет_аналитики'!BM2449*'01_Вводные'!$B$14</f>
        <v/>
      </c>
      <c r="BO2450">
        <f>'19_Расчет_аналитики'!BN2449*'01_Вводные'!$B$14</f>
        <v/>
      </c>
    </row>
    <row r="2451">
      <c r="B2451">
        <f>'06_Сеть_и_дети'!B72</f>
        <v/>
      </c>
      <c r="C2451">
        <f>'06_Сеть_и_дети'!C72</f>
        <v/>
      </c>
      <c r="D2451">
        <f>'06_Сеть_и_дети'!D72</f>
        <v/>
      </c>
      <c r="E2451">
        <f>'06_Сеть_и_дети'!E72</f>
        <v/>
      </c>
      <c r="F2451">
        <f>'06_Сеть_и_дети'!F72</f>
        <v/>
      </c>
      <c r="G2451">
        <f>'06_Сеть_и_дети'!G72</f>
        <v/>
      </c>
      <c r="H2451">
        <f>'06_Сеть_и_дети'!H72</f>
        <v/>
      </c>
      <c r="I2451">
        <f>'06_Сеть_и_дети'!I72</f>
        <v/>
      </c>
      <c r="J2451">
        <f>'06_Сеть_и_дети'!J72</f>
        <v/>
      </c>
      <c r="K2451">
        <f>'06_Сеть_и_дети'!K72</f>
        <v/>
      </c>
      <c r="L2451">
        <f>'06_Сеть_и_дети'!L72</f>
        <v/>
      </c>
      <c r="M2451">
        <f>'06_Сеть_и_дети'!M72</f>
        <v/>
      </c>
      <c r="N2451">
        <f>'06_Сеть_и_дети'!N72</f>
        <v/>
      </c>
      <c r="O2451">
        <f>'06_Сеть_и_дети'!O72</f>
        <v/>
      </c>
      <c r="P2451">
        <f>'06_Сеть_и_дети'!P72</f>
        <v/>
      </c>
      <c r="Q2451">
        <f>'06_Сеть_и_дети'!Q72</f>
        <v/>
      </c>
      <c r="R2451">
        <f>'06_Сеть_и_дети'!R72</f>
        <v/>
      </c>
      <c r="S2451">
        <f>'06_Сеть_и_дети'!S72</f>
        <v/>
      </c>
      <c r="T2451">
        <f>'06_Сеть_и_дети'!T72</f>
        <v/>
      </c>
      <c r="U2451">
        <f>'19_Расчет_аналитики'!T2450*'01_Вводные'!$B$14</f>
        <v/>
      </c>
      <c r="V2451">
        <f>'19_Расчет_аналитики'!U2450*'01_Вводные'!$B$14</f>
        <v/>
      </c>
      <c r="W2451">
        <f>'19_Расчет_аналитики'!V2450*'01_Вводные'!$B$14</f>
        <v/>
      </c>
      <c r="X2451">
        <f>'19_Расчет_аналитики'!W2450*'01_Вводные'!$B$14</f>
        <v/>
      </c>
      <c r="Y2451">
        <f>'19_Расчет_аналитики'!X2450*'01_Вводные'!$B$14</f>
        <v/>
      </c>
      <c r="Z2451">
        <f>'19_Расчет_аналитики'!Y2450*'01_Вводные'!$B$14</f>
        <v/>
      </c>
      <c r="AA2451">
        <f>'19_Расчет_аналитики'!Z2450*'01_Вводные'!$B$14</f>
        <v/>
      </c>
      <c r="AB2451">
        <f>'19_Расчет_аналитики'!AA2450*'01_Вводные'!$B$14</f>
        <v/>
      </c>
      <c r="AC2451">
        <f>'19_Расчет_аналитики'!AB2450*'01_Вводные'!$B$14</f>
        <v/>
      </c>
      <c r="AD2451">
        <f>'19_Расчет_аналитики'!AC2450*'01_Вводные'!$B$14</f>
        <v/>
      </c>
      <c r="AE2451">
        <f>'19_Расчет_аналитики'!AD2450*'01_Вводные'!$B$14</f>
        <v/>
      </c>
      <c r="AF2451">
        <f>'19_Расчет_аналитики'!AE2450*'01_Вводные'!$B$14</f>
        <v/>
      </c>
      <c r="AG2451">
        <f>'19_Расчет_аналитики'!AF2450*'01_Вводные'!$B$14</f>
        <v/>
      </c>
      <c r="AH2451">
        <f>'19_Расчет_аналитики'!AG2450*'01_Вводные'!$B$14</f>
        <v/>
      </c>
      <c r="AI2451">
        <f>'19_Расчет_аналитики'!AH2450*'01_Вводные'!$B$14</f>
        <v/>
      </c>
      <c r="AJ2451">
        <f>'19_Расчет_аналитики'!AI2450*'01_Вводные'!$B$14</f>
        <v/>
      </c>
      <c r="AK2451">
        <f>'19_Расчет_аналитики'!AJ2450*'01_Вводные'!$B$14</f>
        <v/>
      </c>
      <c r="AL2451">
        <f>'19_Расчет_аналитики'!AK2450*'01_Вводные'!$B$14</f>
        <v/>
      </c>
      <c r="AM2451">
        <f>'19_Расчет_аналитики'!AL2450*'01_Вводные'!$B$14</f>
        <v/>
      </c>
      <c r="AN2451">
        <f>'19_Расчет_аналитики'!AM2450*'01_Вводные'!$B$14</f>
        <v/>
      </c>
      <c r="AO2451">
        <f>'19_Расчет_аналитики'!AN2450*'01_Вводные'!$B$14</f>
        <v/>
      </c>
      <c r="AP2451">
        <f>'19_Расчет_аналитики'!AO2450*'01_Вводные'!$B$14</f>
        <v/>
      </c>
      <c r="AQ2451">
        <f>'19_Расчет_аналитики'!AP2450*'01_Вводные'!$B$14</f>
        <v/>
      </c>
      <c r="AR2451">
        <f>'19_Расчет_аналитики'!AQ2450*'01_Вводные'!$B$14</f>
        <v/>
      </c>
      <c r="AS2451">
        <f>'19_Расчет_аналитики'!AR2450*'01_Вводные'!$B$14</f>
        <v/>
      </c>
      <c r="AT2451">
        <f>'19_Расчет_аналитики'!AS2450*'01_Вводные'!$B$14</f>
        <v/>
      </c>
      <c r="AU2451">
        <f>'19_Расчет_аналитики'!AT2450*'01_Вводные'!$B$14</f>
        <v/>
      </c>
      <c r="AV2451">
        <f>'19_Расчет_аналитики'!AU2450*'01_Вводные'!$B$14</f>
        <v/>
      </c>
      <c r="AW2451">
        <f>'19_Расчет_аналитики'!AV2450*'01_Вводные'!$B$14</f>
        <v/>
      </c>
      <c r="AX2451">
        <f>'19_Расчет_аналитики'!AW2450*'01_Вводные'!$B$14</f>
        <v/>
      </c>
      <c r="AY2451">
        <f>'19_Расчет_аналитики'!AX2450*'01_Вводные'!$B$14</f>
        <v/>
      </c>
      <c r="AZ2451">
        <f>'19_Расчет_аналитики'!AY2450*'01_Вводные'!$B$14</f>
        <v/>
      </c>
      <c r="BA2451">
        <f>'19_Расчет_аналитики'!AZ2450*'01_Вводные'!$B$14</f>
        <v/>
      </c>
      <c r="BB2451">
        <f>'19_Расчет_аналитики'!BA2450*'01_Вводные'!$B$14</f>
        <v/>
      </c>
      <c r="BC2451">
        <f>'19_Расчет_аналитики'!BB2450*'01_Вводные'!$B$14</f>
        <v/>
      </c>
      <c r="BD2451">
        <f>'19_Расчет_аналитики'!BC2450*'01_Вводные'!$B$14</f>
        <v/>
      </c>
      <c r="BE2451">
        <f>'19_Расчет_аналитики'!BD2450*'01_Вводные'!$B$14</f>
        <v/>
      </c>
      <c r="BF2451">
        <f>'19_Расчет_аналитики'!BE2450*'01_Вводные'!$B$14</f>
        <v/>
      </c>
      <c r="BG2451">
        <f>'19_Расчет_аналитики'!BF2450*'01_Вводные'!$B$14</f>
        <v/>
      </c>
      <c r="BH2451">
        <f>'19_Расчет_аналитики'!BG2450*'01_Вводные'!$B$14</f>
        <v/>
      </c>
      <c r="BI2451">
        <f>'19_Расчет_аналитики'!BH2450*'01_Вводные'!$B$14</f>
        <v/>
      </c>
      <c r="BJ2451">
        <f>'19_Расчет_аналитики'!BI2450*'01_Вводные'!$B$14</f>
        <v/>
      </c>
      <c r="BK2451">
        <f>'19_Расчет_аналитики'!BJ2450*'01_Вводные'!$B$14</f>
        <v/>
      </c>
      <c r="BL2451">
        <f>'19_Расчет_аналитики'!BK2450*'01_Вводные'!$B$14</f>
        <v/>
      </c>
      <c r="BM2451">
        <f>'19_Расчет_аналитики'!BL2450*'01_Вводные'!$B$14</f>
        <v/>
      </c>
      <c r="BN2451">
        <f>'19_Расчет_аналитики'!BM2450*'01_Вводные'!$B$14</f>
        <v/>
      </c>
      <c r="BO2451">
        <f>'19_Расчет_аналитики'!BN2450*'01_Вводные'!$B$14</f>
        <v/>
      </c>
    </row>
    <row r="2452">
      <c r="B2452">
        <f>'06_Сеть_и_дети'!B73</f>
        <v/>
      </c>
      <c r="C2452">
        <f>'06_Сеть_и_дети'!C73</f>
        <v/>
      </c>
      <c r="D2452">
        <f>'06_Сеть_и_дети'!D73</f>
        <v/>
      </c>
      <c r="E2452">
        <f>'06_Сеть_и_дети'!E73</f>
        <v/>
      </c>
      <c r="F2452">
        <f>'06_Сеть_и_дети'!F73</f>
        <v/>
      </c>
      <c r="G2452">
        <f>'06_Сеть_и_дети'!G73</f>
        <v/>
      </c>
      <c r="H2452">
        <f>'06_Сеть_и_дети'!H73</f>
        <v/>
      </c>
      <c r="I2452">
        <f>'06_Сеть_и_дети'!I73</f>
        <v/>
      </c>
      <c r="J2452">
        <f>'06_Сеть_и_дети'!J73</f>
        <v/>
      </c>
      <c r="K2452">
        <f>'06_Сеть_и_дети'!K73</f>
        <v/>
      </c>
      <c r="L2452">
        <f>'06_Сеть_и_дети'!L73</f>
        <v/>
      </c>
      <c r="M2452">
        <f>'06_Сеть_и_дети'!M73</f>
        <v/>
      </c>
      <c r="N2452">
        <f>'06_Сеть_и_дети'!N73</f>
        <v/>
      </c>
      <c r="O2452">
        <f>'06_Сеть_и_дети'!O73</f>
        <v/>
      </c>
      <c r="P2452">
        <f>'06_Сеть_и_дети'!P73</f>
        <v/>
      </c>
      <c r="Q2452">
        <f>'06_Сеть_и_дети'!Q73</f>
        <v/>
      </c>
      <c r="R2452">
        <f>'06_Сеть_и_дети'!R73</f>
        <v/>
      </c>
      <c r="S2452">
        <f>'06_Сеть_и_дети'!S73</f>
        <v/>
      </c>
      <c r="T2452">
        <f>'06_Сеть_и_дети'!T73</f>
        <v/>
      </c>
      <c r="U2452">
        <f>'06_Сеть_и_дети'!U73</f>
        <v/>
      </c>
      <c r="V2452">
        <f>'19_Расчет_аналитики'!U2451*'01_Вводные'!$B$14</f>
        <v/>
      </c>
      <c r="W2452">
        <f>'19_Расчет_аналитики'!V2451*'01_Вводные'!$B$14</f>
        <v/>
      </c>
      <c r="X2452">
        <f>'19_Расчет_аналитики'!W2451*'01_Вводные'!$B$14</f>
        <v/>
      </c>
      <c r="Y2452">
        <f>'19_Расчет_аналитики'!X2451*'01_Вводные'!$B$14</f>
        <v/>
      </c>
      <c r="Z2452">
        <f>'19_Расчет_аналитики'!Y2451*'01_Вводные'!$B$14</f>
        <v/>
      </c>
      <c r="AA2452">
        <f>'19_Расчет_аналитики'!Z2451*'01_Вводные'!$B$14</f>
        <v/>
      </c>
      <c r="AB2452">
        <f>'19_Расчет_аналитики'!AA2451*'01_Вводные'!$B$14</f>
        <v/>
      </c>
      <c r="AC2452">
        <f>'19_Расчет_аналитики'!AB2451*'01_Вводные'!$B$14</f>
        <v/>
      </c>
      <c r="AD2452">
        <f>'19_Расчет_аналитики'!AC2451*'01_Вводные'!$B$14</f>
        <v/>
      </c>
      <c r="AE2452">
        <f>'19_Расчет_аналитики'!AD2451*'01_Вводные'!$B$14</f>
        <v/>
      </c>
      <c r="AF2452">
        <f>'19_Расчет_аналитики'!AE2451*'01_Вводные'!$B$14</f>
        <v/>
      </c>
      <c r="AG2452">
        <f>'19_Расчет_аналитики'!AF2451*'01_Вводные'!$B$14</f>
        <v/>
      </c>
      <c r="AH2452">
        <f>'19_Расчет_аналитики'!AG2451*'01_Вводные'!$B$14</f>
        <v/>
      </c>
      <c r="AI2452">
        <f>'19_Расчет_аналитики'!AH2451*'01_Вводные'!$B$14</f>
        <v/>
      </c>
      <c r="AJ2452">
        <f>'19_Расчет_аналитики'!AI2451*'01_Вводные'!$B$14</f>
        <v/>
      </c>
      <c r="AK2452">
        <f>'19_Расчет_аналитики'!AJ2451*'01_Вводные'!$B$14</f>
        <v/>
      </c>
      <c r="AL2452">
        <f>'19_Расчет_аналитики'!AK2451*'01_Вводные'!$B$14</f>
        <v/>
      </c>
      <c r="AM2452">
        <f>'19_Расчет_аналитики'!AL2451*'01_Вводные'!$B$14</f>
        <v/>
      </c>
      <c r="AN2452">
        <f>'19_Расчет_аналитики'!AM2451*'01_Вводные'!$B$14</f>
        <v/>
      </c>
      <c r="AO2452">
        <f>'19_Расчет_аналитики'!AN2451*'01_Вводные'!$B$14</f>
        <v/>
      </c>
      <c r="AP2452">
        <f>'19_Расчет_аналитики'!AO2451*'01_Вводные'!$B$14</f>
        <v/>
      </c>
      <c r="AQ2452">
        <f>'19_Расчет_аналитики'!AP2451*'01_Вводные'!$B$14</f>
        <v/>
      </c>
      <c r="AR2452">
        <f>'19_Расчет_аналитики'!AQ2451*'01_Вводные'!$B$14</f>
        <v/>
      </c>
      <c r="AS2452">
        <f>'19_Расчет_аналитики'!AR2451*'01_Вводные'!$B$14</f>
        <v/>
      </c>
      <c r="AT2452">
        <f>'19_Расчет_аналитики'!AS2451*'01_Вводные'!$B$14</f>
        <v/>
      </c>
      <c r="AU2452">
        <f>'19_Расчет_аналитики'!AT2451*'01_Вводные'!$B$14</f>
        <v/>
      </c>
      <c r="AV2452">
        <f>'19_Расчет_аналитики'!AU2451*'01_Вводные'!$B$14</f>
        <v/>
      </c>
      <c r="AW2452">
        <f>'19_Расчет_аналитики'!AV2451*'01_Вводные'!$B$14</f>
        <v/>
      </c>
      <c r="AX2452">
        <f>'19_Расчет_аналитики'!AW2451*'01_Вводные'!$B$14</f>
        <v/>
      </c>
      <c r="AY2452">
        <f>'19_Расчет_аналитики'!AX2451*'01_Вводные'!$B$14</f>
        <v/>
      </c>
      <c r="AZ2452">
        <f>'19_Расчет_аналитики'!AY2451*'01_Вводные'!$B$14</f>
        <v/>
      </c>
      <c r="BA2452">
        <f>'19_Расчет_аналитики'!AZ2451*'01_Вводные'!$B$14</f>
        <v/>
      </c>
      <c r="BB2452">
        <f>'19_Расчет_аналитики'!BA2451*'01_Вводные'!$B$14</f>
        <v/>
      </c>
      <c r="BC2452">
        <f>'19_Расчет_аналитики'!BB2451*'01_Вводные'!$B$14</f>
        <v/>
      </c>
      <c r="BD2452">
        <f>'19_Расчет_аналитики'!BC2451*'01_Вводные'!$B$14</f>
        <v/>
      </c>
      <c r="BE2452">
        <f>'19_Расчет_аналитики'!BD2451*'01_Вводные'!$B$14</f>
        <v/>
      </c>
      <c r="BF2452">
        <f>'19_Расчет_аналитики'!BE2451*'01_Вводные'!$B$14</f>
        <v/>
      </c>
      <c r="BG2452">
        <f>'19_Расчет_аналитики'!BF2451*'01_Вводные'!$B$14</f>
        <v/>
      </c>
      <c r="BH2452">
        <f>'19_Расчет_аналитики'!BG2451*'01_Вводные'!$B$14</f>
        <v/>
      </c>
      <c r="BI2452">
        <f>'19_Расчет_аналитики'!BH2451*'01_Вводные'!$B$14</f>
        <v/>
      </c>
      <c r="BJ2452">
        <f>'19_Расчет_аналитики'!BI2451*'01_Вводные'!$B$14</f>
        <v/>
      </c>
      <c r="BK2452">
        <f>'19_Расчет_аналитики'!BJ2451*'01_Вводные'!$B$14</f>
        <v/>
      </c>
      <c r="BL2452">
        <f>'19_Расчет_аналитики'!BK2451*'01_Вводные'!$B$14</f>
        <v/>
      </c>
      <c r="BM2452">
        <f>'19_Расчет_аналитики'!BL2451*'01_Вводные'!$B$14</f>
        <v/>
      </c>
      <c r="BN2452">
        <f>'19_Расчет_аналитики'!BM2451*'01_Вводные'!$B$14</f>
        <v/>
      </c>
      <c r="BO2452">
        <f>'19_Расчет_аналитики'!BN2451*'01_Вводные'!$B$14</f>
        <v/>
      </c>
    </row>
    <row r="2453">
      <c r="B2453">
        <f>'06_Сеть_и_дети'!B74</f>
        <v/>
      </c>
      <c r="C2453">
        <f>'06_Сеть_и_дети'!C74</f>
        <v/>
      </c>
      <c r="D2453">
        <f>'06_Сеть_и_дети'!D74</f>
        <v/>
      </c>
      <c r="E2453">
        <f>'06_Сеть_и_дети'!E74</f>
        <v/>
      </c>
      <c r="F2453">
        <f>'06_Сеть_и_дети'!F74</f>
        <v/>
      </c>
      <c r="G2453">
        <f>'06_Сеть_и_дети'!G74</f>
        <v/>
      </c>
      <c r="H2453">
        <f>'06_Сеть_и_дети'!H74</f>
        <v/>
      </c>
      <c r="I2453">
        <f>'06_Сеть_и_дети'!I74</f>
        <v/>
      </c>
      <c r="J2453">
        <f>'06_Сеть_и_дети'!J74</f>
        <v/>
      </c>
      <c r="K2453">
        <f>'06_Сеть_и_дети'!K74</f>
        <v/>
      </c>
      <c r="L2453">
        <f>'06_Сеть_и_дети'!L74</f>
        <v/>
      </c>
      <c r="M2453">
        <f>'06_Сеть_и_дети'!M74</f>
        <v/>
      </c>
      <c r="N2453">
        <f>'06_Сеть_и_дети'!N74</f>
        <v/>
      </c>
      <c r="O2453">
        <f>'06_Сеть_и_дети'!O74</f>
        <v/>
      </c>
      <c r="P2453">
        <f>'06_Сеть_и_дети'!P74</f>
        <v/>
      </c>
      <c r="Q2453">
        <f>'06_Сеть_и_дети'!Q74</f>
        <v/>
      </c>
      <c r="R2453">
        <f>'06_Сеть_и_дети'!R74</f>
        <v/>
      </c>
      <c r="S2453">
        <f>'06_Сеть_и_дети'!S74</f>
        <v/>
      </c>
      <c r="T2453">
        <f>'06_Сеть_и_дети'!T74</f>
        <v/>
      </c>
      <c r="U2453">
        <f>'06_Сеть_и_дети'!U74</f>
        <v/>
      </c>
      <c r="V2453">
        <f>'06_Сеть_и_дети'!V74</f>
        <v/>
      </c>
      <c r="W2453">
        <f>'19_Расчет_аналитики'!V2452*'01_Вводные'!$B$14</f>
        <v/>
      </c>
      <c r="X2453">
        <f>'19_Расчет_аналитики'!W2452*'01_Вводные'!$B$14</f>
        <v/>
      </c>
      <c r="Y2453">
        <f>'19_Расчет_аналитики'!X2452*'01_Вводные'!$B$14</f>
        <v/>
      </c>
      <c r="Z2453">
        <f>'19_Расчет_аналитики'!Y2452*'01_Вводные'!$B$14</f>
        <v/>
      </c>
      <c r="AA2453">
        <f>'19_Расчет_аналитики'!Z2452*'01_Вводные'!$B$14</f>
        <v/>
      </c>
      <c r="AB2453">
        <f>'19_Расчет_аналитики'!AA2452*'01_Вводные'!$B$14</f>
        <v/>
      </c>
      <c r="AC2453">
        <f>'19_Расчет_аналитики'!AB2452*'01_Вводные'!$B$14</f>
        <v/>
      </c>
      <c r="AD2453">
        <f>'19_Расчет_аналитики'!AC2452*'01_Вводные'!$B$14</f>
        <v/>
      </c>
      <c r="AE2453">
        <f>'19_Расчет_аналитики'!AD2452*'01_Вводные'!$B$14</f>
        <v/>
      </c>
      <c r="AF2453">
        <f>'19_Расчет_аналитики'!AE2452*'01_Вводные'!$B$14</f>
        <v/>
      </c>
      <c r="AG2453">
        <f>'19_Расчет_аналитики'!AF2452*'01_Вводные'!$B$14</f>
        <v/>
      </c>
      <c r="AH2453">
        <f>'19_Расчет_аналитики'!AG2452*'01_Вводные'!$B$14</f>
        <v/>
      </c>
      <c r="AI2453">
        <f>'19_Расчет_аналитики'!AH2452*'01_Вводные'!$B$14</f>
        <v/>
      </c>
      <c r="AJ2453">
        <f>'19_Расчет_аналитики'!AI2452*'01_Вводные'!$B$14</f>
        <v/>
      </c>
      <c r="AK2453">
        <f>'19_Расчет_аналитики'!AJ2452*'01_Вводные'!$B$14</f>
        <v/>
      </c>
      <c r="AL2453">
        <f>'19_Расчет_аналитики'!AK2452*'01_Вводные'!$B$14</f>
        <v/>
      </c>
      <c r="AM2453">
        <f>'19_Расчет_аналитики'!AL2452*'01_Вводные'!$B$14</f>
        <v/>
      </c>
      <c r="AN2453">
        <f>'19_Расчет_аналитики'!AM2452*'01_Вводные'!$B$14</f>
        <v/>
      </c>
      <c r="AO2453">
        <f>'19_Расчет_аналитики'!AN2452*'01_Вводные'!$B$14</f>
        <v/>
      </c>
      <c r="AP2453">
        <f>'19_Расчет_аналитики'!AO2452*'01_Вводные'!$B$14</f>
        <v/>
      </c>
      <c r="AQ2453">
        <f>'19_Расчет_аналитики'!AP2452*'01_Вводные'!$B$14</f>
        <v/>
      </c>
      <c r="AR2453">
        <f>'19_Расчет_аналитики'!AQ2452*'01_Вводные'!$B$14</f>
        <v/>
      </c>
      <c r="AS2453">
        <f>'19_Расчет_аналитики'!AR2452*'01_Вводные'!$B$14</f>
        <v/>
      </c>
      <c r="AT2453">
        <f>'19_Расчет_аналитики'!AS2452*'01_Вводные'!$B$14</f>
        <v/>
      </c>
      <c r="AU2453">
        <f>'19_Расчет_аналитики'!AT2452*'01_Вводные'!$B$14</f>
        <v/>
      </c>
      <c r="AV2453">
        <f>'19_Расчет_аналитики'!AU2452*'01_Вводные'!$B$14</f>
        <v/>
      </c>
      <c r="AW2453">
        <f>'19_Расчет_аналитики'!AV2452*'01_Вводные'!$B$14</f>
        <v/>
      </c>
      <c r="AX2453">
        <f>'19_Расчет_аналитики'!AW2452*'01_Вводные'!$B$14</f>
        <v/>
      </c>
      <c r="AY2453">
        <f>'19_Расчет_аналитики'!AX2452*'01_Вводные'!$B$14</f>
        <v/>
      </c>
      <c r="AZ2453">
        <f>'19_Расчет_аналитики'!AY2452*'01_Вводные'!$B$14</f>
        <v/>
      </c>
      <c r="BA2453">
        <f>'19_Расчет_аналитики'!AZ2452*'01_Вводные'!$B$14</f>
        <v/>
      </c>
      <c r="BB2453">
        <f>'19_Расчет_аналитики'!BA2452*'01_Вводные'!$B$14</f>
        <v/>
      </c>
      <c r="BC2453">
        <f>'19_Расчет_аналитики'!BB2452*'01_Вводные'!$B$14</f>
        <v/>
      </c>
      <c r="BD2453">
        <f>'19_Расчет_аналитики'!BC2452*'01_Вводные'!$B$14</f>
        <v/>
      </c>
      <c r="BE2453">
        <f>'19_Расчет_аналитики'!BD2452*'01_Вводные'!$B$14</f>
        <v/>
      </c>
      <c r="BF2453">
        <f>'19_Расчет_аналитики'!BE2452*'01_Вводные'!$B$14</f>
        <v/>
      </c>
      <c r="BG2453">
        <f>'19_Расчет_аналитики'!BF2452*'01_Вводные'!$B$14</f>
        <v/>
      </c>
      <c r="BH2453">
        <f>'19_Расчет_аналитики'!BG2452*'01_Вводные'!$B$14</f>
        <v/>
      </c>
      <c r="BI2453">
        <f>'19_Расчет_аналитики'!BH2452*'01_Вводные'!$B$14</f>
        <v/>
      </c>
      <c r="BJ2453">
        <f>'19_Расчет_аналитики'!BI2452*'01_Вводные'!$B$14</f>
        <v/>
      </c>
      <c r="BK2453">
        <f>'19_Расчет_аналитики'!BJ2452*'01_Вводные'!$B$14</f>
        <v/>
      </c>
      <c r="BL2453">
        <f>'19_Расчет_аналитики'!BK2452*'01_Вводные'!$B$14</f>
        <v/>
      </c>
      <c r="BM2453">
        <f>'19_Расчет_аналитики'!BL2452*'01_Вводные'!$B$14</f>
        <v/>
      </c>
      <c r="BN2453">
        <f>'19_Расчет_аналитики'!BM2452*'01_Вводные'!$B$14</f>
        <v/>
      </c>
      <c r="BO2453">
        <f>'19_Расчет_аналитики'!BN2452*'01_Вводные'!$B$14</f>
        <v/>
      </c>
    </row>
    <row r="2454">
      <c r="B2454">
        <f>'06_Сеть_и_дети'!B75</f>
        <v/>
      </c>
      <c r="C2454">
        <f>'06_Сеть_и_дети'!C75</f>
        <v/>
      </c>
      <c r="D2454">
        <f>'06_Сеть_и_дети'!D75</f>
        <v/>
      </c>
      <c r="E2454">
        <f>'06_Сеть_и_дети'!E75</f>
        <v/>
      </c>
      <c r="F2454">
        <f>'06_Сеть_и_дети'!F75</f>
        <v/>
      </c>
      <c r="G2454">
        <f>'06_Сеть_и_дети'!G75</f>
        <v/>
      </c>
      <c r="H2454">
        <f>'06_Сеть_и_дети'!H75</f>
        <v/>
      </c>
      <c r="I2454">
        <f>'06_Сеть_и_дети'!I75</f>
        <v/>
      </c>
      <c r="J2454">
        <f>'06_Сеть_и_дети'!J75</f>
        <v/>
      </c>
      <c r="K2454">
        <f>'06_Сеть_и_дети'!K75</f>
        <v/>
      </c>
      <c r="L2454">
        <f>'06_Сеть_и_дети'!L75</f>
        <v/>
      </c>
      <c r="M2454">
        <f>'06_Сеть_и_дети'!M75</f>
        <v/>
      </c>
      <c r="N2454">
        <f>'06_Сеть_и_дети'!N75</f>
        <v/>
      </c>
      <c r="O2454">
        <f>'06_Сеть_и_дети'!O75</f>
        <v/>
      </c>
      <c r="P2454">
        <f>'06_Сеть_и_дети'!P75</f>
        <v/>
      </c>
      <c r="Q2454">
        <f>'06_Сеть_и_дети'!Q75</f>
        <v/>
      </c>
      <c r="R2454">
        <f>'06_Сеть_и_дети'!R75</f>
        <v/>
      </c>
      <c r="S2454">
        <f>'06_Сеть_и_дети'!S75</f>
        <v/>
      </c>
      <c r="T2454">
        <f>'06_Сеть_и_дети'!T75</f>
        <v/>
      </c>
      <c r="U2454">
        <f>'06_Сеть_и_дети'!U75</f>
        <v/>
      </c>
      <c r="V2454">
        <f>'06_Сеть_и_дети'!V75</f>
        <v/>
      </c>
      <c r="W2454">
        <f>'06_Сеть_и_дети'!W75</f>
        <v/>
      </c>
      <c r="X2454">
        <f>'19_Расчет_аналитики'!W2453*'01_Вводные'!$B$14</f>
        <v/>
      </c>
      <c r="Y2454">
        <f>'19_Расчет_аналитики'!X2453*'01_Вводные'!$B$14</f>
        <v/>
      </c>
      <c r="Z2454">
        <f>'19_Расчет_аналитики'!Y2453*'01_Вводные'!$B$14</f>
        <v/>
      </c>
      <c r="AA2454">
        <f>'19_Расчет_аналитики'!Z2453*'01_Вводные'!$B$14</f>
        <v/>
      </c>
      <c r="AB2454">
        <f>'19_Расчет_аналитики'!AA2453*'01_Вводные'!$B$14</f>
        <v/>
      </c>
      <c r="AC2454">
        <f>'19_Расчет_аналитики'!AB2453*'01_Вводные'!$B$14</f>
        <v/>
      </c>
      <c r="AD2454">
        <f>'19_Расчет_аналитики'!AC2453*'01_Вводные'!$B$14</f>
        <v/>
      </c>
      <c r="AE2454">
        <f>'19_Расчет_аналитики'!AD2453*'01_Вводные'!$B$14</f>
        <v/>
      </c>
      <c r="AF2454">
        <f>'19_Расчет_аналитики'!AE2453*'01_Вводные'!$B$14</f>
        <v/>
      </c>
      <c r="AG2454">
        <f>'19_Расчет_аналитики'!AF2453*'01_Вводные'!$B$14</f>
        <v/>
      </c>
      <c r="AH2454">
        <f>'19_Расчет_аналитики'!AG2453*'01_Вводные'!$B$14</f>
        <v/>
      </c>
      <c r="AI2454">
        <f>'19_Расчет_аналитики'!AH2453*'01_Вводные'!$B$14</f>
        <v/>
      </c>
      <c r="AJ2454">
        <f>'19_Расчет_аналитики'!AI2453*'01_Вводные'!$B$14</f>
        <v/>
      </c>
      <c r="AK2454">
        <f>'19_Расчет_аналитики'!AJ2453*'01_Вводные'!$B$14</f>
        <v/>
      </c>
      <c r="AL2454">
        <f>'19_Расчет_аналитики'!AK2453*'01_Вводные'!$B$14</f>
        <v/>
      </c>
      <c r="AM2454">
        <f>'19_Расчет_аналитики'!AL2453*'01_Вводные'!$B$14</f>
        <v/>
      </c>
      <c r="AN2454">
        <f>'19_Расчет_аналитики'!AM2453*'01_Вводные'!$B$14</f>
        <v/>
      </c>
      <c r="AO2454">
        <f>'19_Расчет_аналитики'!AN2453*'01_Вводные'!$B$14</f>
        <v/>
      </c>
      <c r="AP2454">
        <f>'19_Расчет_аналитики'!AO2453*'01_Вводные'!$B$14</f>
        <v/>
      </c>
      <c r="AQ2454">
        <f>'19_Расчет_аналитики'!AP2453*'01_Вводные'!$B$14</f>
        <v/>
      </c>
      <c r="AR2454">
        <f>'19_Расчет_аналитики'!AQ2453*'01_Вводные'!$B$14</f>
        <v/>
      </c>
      <c r="AS2454">
        <f>'19_Расчет_аналитики'!AR2453*'01_Вводные'!$B$14</f>
        <v/>
      </c>
      <c r="AT2454">
        <f>'19_Расчет_аналитики'!AS2453*'01_Вводные'!$B$14</f>
        <v/>
      </c>
      <c r="AU2454">
        <f>'19_Расчет_аналитики'!AT2453*'01_Вводные'!$B$14</f>
        <v/>
      </c>
      <c r="AV2454">
        <f>'19_Расчет_аналитики'!AU2453*'01_Вводные'!$B$14</f>
        <v/>
      </c>
      <c r="AW2454">
        <f>'19_Расчет_аналитики'!AV2453*'01_Вводные'!$B$14</f>
        <v/>
      </c>
      <c r="AX2454">
        <f>'19_Расчет_аналитики'!AW2453*'01_Вводные'!$B$14</f>
        <v/>
      </c>
      <c r="AY2454">
        <f>'19_Расчет_аналитики'!AX2453*'01_Вводные'!$B$14</f>
        <v/>
      </c>
      <c r="AZ2454">
        <f>'19_Расчет_аналитики'!AY2453*'01_Вводные'!$B$14</f>
        <v/>
      </c>
      <c r="BA2454">
        <f>'19_Расчет_аналитики'!AZ2453*'01_Вводные'!$B$14</f>
        <v/>
      </c>
      <c r="BB2454">
        <f>'19_Расчет_аналитики'!BA2453*'01_Вводные'!$B$14</f>
        <v/>
      </c>
      <c r="BC2454">
        <f>'19_Расчет_аналитики'!BB2453*'01_Вводные'!$B$14</f>
        <v/>
      </c>
      <c r="BD2454">
        <f>'19_Расчет_аналитики'!BC2453*'01_Вводные'!$B$14</f>
        <v/>
      </c>
      <c r="BE2454">
        <f>'19_Расчет_аналитики'!BD2453*'01_Вводные'!$B$14</f>
        <v/>
      </c>
      <c r="BF2454">
        <f>'19_Расчет_аналитики'!BE2453*'01_Вводные'!$B$14</f>
        <v/>
      </c>
      <c r="BG2454">
        <f>'19_Расчет_аналитики'!BF2453*'01_Вводные'!$B$14</f>
        <v/>
      </c>
      <c r="BH2454">
        <f>'19_Расчет_аналитики'!BG2453*'01_Вводные'!$B$14</f>
        <v/>
      </c>
      <c r="BI2454">
        <f>'19_Расчет_аналитики'!BH2453*'01_Вводные'!$B$14</f>
        <v/>
      </c>
      <c r="BJ2454">
        <f>'19_Расчет_аналитики'!BI2453*'01_Вводные'!$B$14</f>
        <v/>
      </c>
      <c r="BK2454">
        <f>'19_Расчет_аналитики'!BJ2453*'01_Вводные'!$B$14</f>
        <v/>
      </c>
      <c r="BL2454">
        <f>'19_Расчет_аналитики'!BK2453*'01_Вводные'!$B$14</f>
        <v/>
      </c>
      <c r="BM2454">
        <f>'19_Расчет_аналитики'!BL2453*'01_Вводные'!$B$14</f>
        <v/>
      </c>
      <c r="BN2454">
        <f>'19_Расчет_аналитики'!BM2453*'01_Вводные'!$B$14</f>
        <v/>
      </c>
      <c r="BO2454">
        <f>'19_Расчет_аналитики'!BN2453*'01_Вводные'!$B$14</f>
        <v/>
      </c>
    </row>
    <row r="2455">
      <c r="B2455">
        <f>'06_Сеть_и_дети'!B76</f>
        <v/>
      </c>
      <c r="C2455">
        <f>'06_Сеть_и_дети'!C76</f>
        <v/>
      </c>
      <c r="D2455">
        <f>'06_Сеть_и_дети'!D76</f>
        <v/>
      </c>
      <c r="E2455">
        <f>'06_Сеть_и_дети'!E76</f>
        <v/>
      </c>
      <c r="F2455">
        <f>'06_Сеть_и_дети'!F76</f>
        <v/>
      </c>
      <c r="G2455">
        <f>'06_Сеть_и_дети'!G76</f>
        <v/>
      </c>
      <c r="H2455">
        <f>'06_Сеть_и_дети'!H76</f>
        <v/>
      </c>
      <c r="I2455">
        <f>'06_Сеть_и_дети'!I76</f>
        <v/>
      </c>
      <c r="J2455">
        <f>'06_Сеть_и_дети'!J76</f>
        <v/>
      </c>
      <c r="K2455">
        <f>'06_Сеть_и_дети'!K76</f>
        <v/>
      </c>
      <c r="L2455">
        <f>'06_Сеть_и_дети'!L76</f>
        <v/>
      </c>
      <c r="M2455">
        <f>'06_Сеть_и_дети'!M76</f>
        <v/>
      </c>
      <c r="N2455">
        <f>'06_Сеть_и_дети'!N76</f>
        <v/>
      </c>
      <c r="O2455">
        <f>'06_Сеть_и_дети'!O76</f>
        <v/>
      </c>
      <c r="P2455">
        <f>'06_Сеть_и_дети'!P76</f>
        <v/>
      </c>
      <c r="Q2455">
        <f>'06_Сеть_и_дети'!Q76</f>
        <v/>
      </c>
      <c r="R2455">
        <f>'06_Сеть_и_дети'!R76</f>
        <v/>
      </c>
      <c r="S2455">
        <f>'06_Сеть_и_дети'!S76</f>
        <v/>
      </c>
      <c r="T2455">
        <f>'06_Сеть_и_дети'!T76</f>
        <v/>
      </c>
      <c r="U2455">
        <f>'06_Сеть_и_дети'!U76</f>
        <v/>
      </c>
      <c r="V2455">
        <f>'06_Сеть_и_дети'!V76</f>
        <v/>
      </c>
      <c r="W2455">
        <f>'06_Сеть_и_дети'!W76</f>
        <v/>
      </c>
      <c r="X2455">
        <f>'06_Сеть_и_дети'!X76</f>
        <v/>
      </c>
      <c r="Y2455">
        <f>'19_Расчет_аналитики'!X2454*'01_Вводные'!$B$14</f>
        <v/>
      </c>
      <c r="Z2455">
        <f>'19_Расчет_аналитики'!Y2454*'01_Вводные'!$B$14</f>
        <v/>
      </c>
      <c r="AA2455">
        <f>'19_Расчет_аналитики'!Z2454*'01_Вводные'!$B$14</f>
        <v/>
      </c>
      <c r="AB2455">
        <f>'19_Расчет_аналитики'!AA2454*'01_Вводные'!$B$14</f>
        <v/>
      </c>
      <c r="AC2455">
        <f>'19_Расчет_аналитики'!AB2454*'01_Вводные'!$B$14</f>
        <v/>
      </c>
      <c r="AD2455">
        <f>'19_Расчет_аналитики'!AC2454*'01_Вводные'!$B$14</f>
        <v/>
      </c>
      <c r="AE2455">
        <f>'19_Расчет_аналитики'!AD2454*'01_Вводные'!$B$14</f>
        <v/>
      </c>
      <c r="AF2455">
        <f>'19_Расчет_аналитики'!AE2454*'01_Вводные'!$B$14</f>
        <v/>
      </c>
      <c r="AG2455">
        <f>'19_Расчет_аналитики'!AF2454*'01_Вводные'!$B$14</f>
        <v/>
      </c>
      <c r="AH2455">
        <f>'19_Расчет_аналитики'!AG2454*'01_Вводные'!$B$14</f>
        <v/>
      </c>
      <c r="AI2455">
        <f>'19_Расчет_аналитики'!AH2454*'01_Вводные'!$B$14</f>
        <v/>
      </c>
      <c r="AJ2455">
        <f>'19_Расчет_аналитики'!AI2454*'01_Вводные'!$B$14</f>
        <v/>
      </c>
      <c r="AK2455">
        <f>'19_Расчет_аналитики'!AJ2454*'01_Вводные'!$B$14</f>
        <v/>
      </c>
      <c r="AL2455">
        <f>'19_Расчет_аналитики'!AK2454*'01_Вводные'!$B$14</f>
        <v/>
      </c>
      <c r="AM2455">
        <f>'19_Расчет_аналитики'!AL2454*'01_Вводные'!$B$14</f>
        <v/>
      </c>
      <c r="AN2455">
        <f>'19_Расчет_аналитики'!AM2454*'01_Вводные'!$B$14</f>
        <v/>
      </c>
      <c r="AO2455">
        <f>'19_Расчет_аналитики'!AN2454*'01_Вводные'!$B$14</f>
        <v/>
      </c>
      <c r="AP2455">
        <f>'19_Расчет_аналитики'!AO2454*'01_Вводные'!$B$14</f>
        <v/>
      </c>
      <c r="AQ2455">
        <f>'19_Расчет_аналитики'!AP2454*'01_Вводные'!$B$14</f>
        <v/>
      </c>
      <c r="AR2455">
        <f>'19_Расчет_аналитики'!AQ2454*'01_Вводные'!$B$14</f>
        <v/>
      </c>
      <c r="AS2455">
        <f>'19_Расчет_аналитики'!AR2454*'01_Вводные'!$B$14</f>
        <v/>
      </c>
      <c r="AT2455">
        <f>'19_Расчет_аналитики'!AS2454*'01_Вводные'!$B$14</f>
        <v/>
      </c>
      <c r="AU2455">
        <f>'19_Расчет_аналитики'!AT2454*'01_Вводные'!$B$14</f>
        <v/>
      </c>
      <c r="AV2455">
        <f>'19_Расчет_аналитики'!AU2454*'01_Вводные'!$B$14</f>
        <v/>
      </c>
      <c r="AW2455">
        <f>'19_Расчет_аналитики'!AV2454*'01_Вводные'!$B$14</f>
        <v/>
      </c>
      <c r="AX2455">
        <f>'19_Расчет_аналитики'!AW2454*'01_Вводные'!$B$14</f>
        <v/>
      </c>
      <c r="AY2455">
        <f>'19_Расчет_аналитики'!AX2454*'01_Вводные'!$B$14</f>
        <v/>
      </c>
      <c r="AZ2455">
        <f>'19_Расчет_аналитики'!AY2454*'01_Вводные'!$B$14</f>
        <v/>
      </c>
      <c r="BA2455">
        <f>'19_Расчет_аналитики'!AZ2454*'01_Вводные'!$B$14</f>
        <v/>
      </c>
      <c r="BB2455">
        <f>'19_Расчет_аналитики'!BA2454*'01_Вводные'!$B$14</f>
        <v/>
      </c>
      <c r="BC2455">
        <f>'19_Расчет_аналитики'!BB2454*'01_Вводные'!$B$14</f>
        <v/>
      </c>
      <c r="BD2455">
        <f>'19_Расчет_аналитики'!BC2454*'01_Вводные'!$B$14</f>
        <v/>
      </c>
      <c r="BE2455">
        <f>'19_Расчет_аналитики'!BD2454*'01_Вводные'!$B$14</f>
        <v/>
      </c>
      <c r="BF2455">
        <f>'19_Расчет_аналитики'!BE2454*'01_Вводные'!$B$14</f>
        <v/>
      </c>
      <c r="BG2455">
        <f>'19_Расчет_аналитики'!BF2454*'01_Вводные'!$B$14</f>
        <v/>
      </c>
      <c r="BH2455">
        <f>'19_Расчет_аналитики'!BG2454*'01_Вводные'!$B$14</f>
        <v/>
      </c>
      <c r="BI2455">
        <f>'19_Расчет_аналитики'!BH2454*'01_Вводные'!$B$14</f>
        <v/>
      </c>
      <c r="BJ2455">
        <f>'19_Расчет_аналитики'!BI2454*'01_Вводные'!$B$14</f>
        <v/>
      </c>
      <c r="BK2455">
        <f>'19_Расчет_аналитики'!BJ2454*'01_Вводные'!$B$14</f>
        <v/>
      </c>
      <c r="BL2455">
        <f>'19_Расчет_аналитики'!BK2454*'01_Вводные'!$B$14</f>
        <v/>
      </c>
      <c r="BM2455">
        <f>'19_Расчет_аналитики'!BL2454*'01_Вводные'!$B$14</f>
        <v/>
      </c>
      <c r="BN2455">
        <f>'19_Расчет_аналитики'!BM2454*'01_Вводные'!$B$14</f>
        <v/>
      </c>
      <c r="BO2455">
        <f>'19_Расчет_аналитики'!BN2454*'01_Вводные'!$B$14</f>
        <v/>
      </c>
    </row>
    <row r="2456">
      <c r="B2456">
        <f>'06_Сеть_и_дети'!B77</f>
        <v/>
      </c>
      <c r="C2456">
        <f>'06_Сеть_и_дети'!C77</f>
        <v/>
      </c>
      <c r="D2456">
        <f>'06_Сеть_и_дети'!D77</f>
        <v/>
      </c>
      <c r="E2456">
        <f>'06_Сеть_и_дети'!E77</f>
        <v/>
      </c>
      <c r="F2456">
        <f>'06_Сеть_и_дети'!F77</f>
        <v/>
      </c>
      <c r="G2456">
        <f>'06_Сеть_и_дети'!G77</f>
        <v/>
      </c>
      <c r="H2456">
        <f>'06_Сеть_и_дети'!H77</f>
        <v/>
      </c>
      <c r="I2456">
        <f>'06_Сеть_и_дети'!I77</f>
        <v/>
      </c>
      <c r="J2456">
        <f>'06_Сеть_и_дети'!J77</f>
        <v/>
      </c>
      <c r="K2456">
        <f>'06_Сеть_и_дети'!K77</f>
        <v/>
      </c>
      <c r="L2456">
        <f>'06_Сеть_и_дети'!L77</f>
        <v/>
      </c>
      <c r="M2456">
        <f>'06_Сеть_и_дети'!M77</f>
        <v/>
      </c>
      <c r="N2456">
        <f>'06_Сеть_и_дети'!N77</f>
        <v/>
      </c>
      <c r="O2456">
        <f>'06_Сеть_и_дети'!O77</f>
        <v/>
      </c>
      <c r="P2456">
        <f>'06_Сеть_и_дети'!P77</f>
        <v/>
      </c>
      <c r="Q2456">
        <f>'06_Сеть_и_дети'!Q77</f>
        <v/>
      </c>
      <c r="R2456">
        <f>'06_Сеть_и_дети'!R77</f>
        <v/>
      </c>
      <c r="S2456">
        <f>'06_Сеть_и_дети'!S77</f>
        <v/>
      </c>
      <c r="T2456">
        <f>'06_Сеть_и_дети'!T77</f>
        <v/>
      </c>
      <c r="U2456">
        <f>'06_Сеть_и_дети'!U77</f>
        <v/>
      </c>
      <c r="V2456">
        <f>'06_Сеть_и_дети'!V77</f>
        <v/>
      </c>
      <c r="W2456">
        <f>'06_Сеть_и_дети'!W77</f>
        <v/>
      </c>
      <c r="X2456">
        <f>'06_Сеть_и_дети'!X77</f>
        <v/>
      </c>
      <c r="Y2456">
        <f>'06_Сеть_и_дети'!Y77</f>
        <v/>
      </c>
      <c r="Z2456">
        <f>SUM('19_Расчет_аналитики'!Y2455:Y2456)*'01_Вводные'!$B$14</f>
        <v/>
      </c>
      <c r="AA2456">
        <f>SUM('19_Расчет_аналитики'!Z2455:Z2456)*'01_Вводные'!$B$14</f>
        <v/>
      </c>
      <c r="AB2456">
        <f>SUM('19_Расчет_аналитики'!AA2455:AA2456)*'01_Вводные'!$B$14</f>
        <v/>
      </c>
      <c r="AC2456">
        <f>SUM('19_Расчет_аналитики'!AB2455:AB2456)*'01_Вводные'!$B$14</f>
        <v/>
      </c>
      <c r="AD2456">
        <f>SUM('19_Расчет_аналитики'!AC2455:AC2456)*'01_Вводные'!$B$14</f>
        <v/>
      </c>
      <c r="AE2456">
        <f>SUM('19_Расчет_аналитики'!AD2455:AD2456)*'01_Вводные'!$B$14</f>
        <v/>
      </c>
      <c r="AF2456">
        <f>SUM('19_Расчет_аналитики'!AE2455:AE2456)*'01_Вводные'!$B$14</f>
        <v/>
      </c>
      <c r="AG2456">
        <f>SUM('19_Расчет_аналитики'!AF2455:AF2456)*'01_Вводные'!$B$14</f>
        <v/>
      </c>
      <c r="AH2456">
        <f>SUM('19_Расчет_аналитики'!AG2455:AG2456)*'01_Вводные'!$B$14</f>
        <v/>
      </c>
      <c r="AI2456">
        <f>SUM('19_Расчет_аналитики'!AH2455:AH2456)*'01_Вводные'!$B$14</f>
        <v/>
      </c>
      <c r="AJ2456">
        <f>SUM('19_Расчет_аналитики'!AI2455:AI2456)*'01_Вводные'!$B$14</f>
        <v/>
      </c>
      <c r="AK2456">
        <f>SUM('19_Расчет_аналитики'!AJ2455:AJ2456)*'01_Вводные'!$B$14</f>
        <v/>
      </c>
      <c r="AL2456">
        <f>SUM('19_Расчет_аналитики'!AK2455:AK2456)*'01_Вводные'!$B$14</f>
        <v/>
      </c>
      <c r="AM2456">
        <f>SUM('19_Расчет_аналитики'!AL2455:AL2456)*'01_Вводные'!$B$14</f>
        <v/>
      </c>
      <c r="AN2456">
        <f>SUM('19_Расчет_аналитики'!AM2455:AM2456)*'01_Вводные'!$B$14</f>
        <v/>
      </c>
      <c r="AO2456">
        <f>SUM('19_Расчет_аналитики'!AN2455:AN2456)*'01_Вводные'!$B$14</f>
        <v/>
      </c>
      <c r="AP2456">
        <f>SUM('19_Расчет_аналитики'!AO2455:AO2456)*'01_Вводные'!$B$14</f>
        <v/>
      </c>
      <c r="AQ2456">
        <f>SUM('19_Расчет_аналитики'!AP2455:AP2456)*'01_Вводные'!$B$14</f>
        <v/>
      </c>
      <c r="AR2456">
        <f>SUM('19_Расчет_аналитики'!AQ2455:AQ2456)*'01_Вводные'!$B$14</f>
        <v/>
      </c>
      <c r="AS2456">
        <f>SUM('19_Расчет_аналитики'!AR2455:AR2456)*'01_Вводные'!$B$14</f>
        <v/>
      </c>
      <c r="AT2456">
        <f>SUM('19_Расчет_аналитики'!AS2455:AS2456)*'01_Вводные'!$B$14</f>
        <v/>
      </c>
      <c r="AU2456">
        <f>SUM('19_Расчет_аналитики'!AT2455:AT2456)*'01_Вводные'!$B$14</f>
        <v/>
      </c>
      <c r="AV2456">
        <f>SUM('19_Расчет_аналитики'!AU2455:AU2456)*'01_Вводные'!$B$14</f>
        <v/>
      </c>
      <c r="AW2456">
        <f>SUM('19_Расчет_аналитики'!AV2455:AV2456)*'01_Вводные'!$B$14</f>
        <v/>
      </c>
      <c r="AX2456">
        <f>SUM('19_Расчет_аналитики'!AW2455:AW2456)*'01_Вводные'!$B$14</f>
        <v/>
      </c>
      <c r="AY2456">
        <f>SUM('19_Расчет_аналитики'!AX2455:AX2456)*'01_Вводные'!$B$14</f>
        <v/>
      </c>
      <c r="AZ2456">
        <f>SUM('19_Расчет_аналитики'!AY2455:AY2456)*'01_Вводные'!$B$14</f>
        <v/>
      </c>
      <c r="BA2456">
        <f>SUM('19_Расчет_аналитики'!AZ2455:AZ2456)*'01_Вводные'!$B$14</f>
        <v/>
      </c>
      <c r="BB2456">
        <f>SUM('19_Расчет_аналитики'!BA2455:BA2456)*'01_Вводные'!$B$14</f>
        <v/>
      </c>
      <c r="BC2456">
        <f>SUM('19_Расчет_аналитики'!BB2455:BB2456)*'01_Вводные'!$B$14</f>
        <v/>
      </c>
      <c r="BD2456">
        <f>SUM('19_Расчет_аналитики'!BC2455:BC2456)*'01_Вводные'!$B$14</f>
        <v/>
      </c>
      <c r="BE2456">
        <f>SUM('19_Расчет_аналитики'!BD2455:BD2456)*'01_Вводные'!$B$14</f>
        <v/>
      </c>
      <c r="BF2456">
        <f>SUM('19_Расчет_аналитики'!BE2455:BE2456)*'01_Вводные'!$B$14</f>
        <v/>
      </c>
      <c r="BG2456">
        <f>SUM('19_Расчет_аналитики'!BF2455:BF2456)*'01_Вводные'!$B$14</f>
        <v/>
      </c>
      <c r="BH2456">
        <f>SUM('19_Расчет_аналитики'!BG2455:BG2456)*'01_Вводные'!$B$14</f>
        <v/>
      </c>
      <c r="BI2456">
        <f>SUM('19_Расчет_аналитики'!BH2455:BH2456)*'01_Вводные'!$B$14</f>
        <v/>
      </c>
      <c r="BJ2456">
        <f>SUM('19_Расчет_аналитики'!BI2455:BI2456)*'01_Вводные'!$B$14</f>
        <v/>
      </c>
      <c r="BK2456">
        <f>SUM('19_Расчет_аналитики'!BJ2455:BJ2456)*'01_Вводные'!$B$14</f>
        <v/>
      </c>
      <c r="BL2456">
        <f>SUM('19_Расчет_аналитики'!BK2455:BK2456)*'01_Вводные'!$B$14</f>
        <v/>
      </c>
      <c r="BM2456">
        <f>SUM('19_Расчет_аналитики'!BL2455:BL2456)*'01_Вводные'!$B$14</f>
        <v/>
      </c>
      <c r="BN2456">
        <f>SUM('19_Расчет_аналитики'!BM2455:BM2456)*'01_Вводные'!$B$14</f>
        <v/>
      </c>
      <c r="BO2456">
        <f>SUM('19_Расчет_аналитики'!BN2455:BN2456)*'01_Вводные'!$B$14</f>
        <v/>
      </c>
    </row>
    <row r="2457"/>
    <row r="2458"/>
    <row r="2459"/>
    <row r="2460">
      <c r="B2460">
        <f>'19_Расчет_аналитики'!B2412</f>
        <v/>
      </c>
      <c r="C2460">
        <f>'19_Расчет_аналитики'!C2412</f>
        <v/>
      </c>
      <c r="D2460">
        <f>'19_Расчет_аналитики'!D2412</f>
        <v/>
      </c>
      <c r="E2460">
        <f>'19_Расчет_аналитики'!E2412</f>
        <v/>
      </c>
      <c r="F2460">
        <f>'19_Расчет_аналитики'!F2412</f>
        <v/>
      </c>
      <c r="G2460">
        <f>'19_Расчет_аналитики'!G2412</f>
        <v/>
      </c>
      <c r="H2460">
        <f>'19_Расчет_аналитики'!H2412</f>
        <v/>
      </c>
      <c r="I2460">
        <f>'19_Расчет_аналитики'!I2412</f>
        <v/>
      </c>
      <c r="J2460">
        <f>'19_Расчет_аналитики'!J2412</f>
        <v/>
      </c>
      <c r="K2460">
        <f>'19_Расчет_аналитики'!K2412</f>
        <v/>
      </c>
      <c r="L2460">
        <f>'19_Расчет_аналитики'!L2412</f>
        <v/>
      </c>
      <c r="M2460">
        <f>'19_Расчет_аналитики'!M2412</f>
        <v/>
      </c>
      <c r="N2460">
        <f>'19_Расчет_аналитики'!N2412</f>
        <v/>
      </c>
      <c r="O2460">
        <f>'19_Расчет_аналитики'!O2412</f>
        <v/>
      </c>
      <c r="P2460">
        <f>'19_Расчет_аналитики'!P2412</f>
        <v/>
      </c>
      <c r="Q2460">
        <f>'19_Расчет_аналитики'!Q2412</f>
        <v/>
      </c>
      <c r="R2460">
        <f>'19_Расчет_аналитики'!R2412</f>
        <v/>
      </c>
      <c r="S2460">
        <f>'19_Расчет_аналитики'!S2412</f>
        <v/>
      </c>
      <c r="T2460">
        <f>'19_Расчет_аналитики'!T2412</f>
        <v/>
      </c>
      <c r="U2460">
        <f>'19_Расчет_аналитики'!U2412</f>
        <v/>
      </c>
      <c r="V2460">
        <f>'19_Расчет_аналитики'!V2412</f>
        <v/>
      </c>
      <c r="W2460">
        <f>'19_Расчет_аналитики'!W2412</f>
        <v/>
      </c>
      <c r="X2460">
        <f>'19_Расчет_аналитики'!X2412</f>
        <v/>
      </c>
      <c r="Y2460">
        <f>'19_Расчет_аналитики'!Y2412</f>
        <v/>
      </c>
      <c r="Z2460">
        <f>'19_Расчет_аналитики'!Z2412</f>
        <v/>
      </c>
      <c r="AA2460">
        <f>'19_Расчет_аналитики'!AA2412</f>
        <v/>
      </c>
      <c r="AB2460">
        <f>'19_Расчет_аналитики'!AB2412</f>
        <v/>
      </c>
      <c r="AC2460">
        <f>'19_Расчет_аналитики'!AC2412</f>
        <v/>
      </c>
      <c r="AD2460">
        <f>'19_Расчет_аналитики'!AD2412</f>
        <v/>
      </c>
      <c r="AE2460">
        <f>'19_Расчет_аналитики'!AE2412</f>
        <v/>
      </c>
      <c r="AF2460">
        <f>'19_Расчет_аналитики'!AF2412</f>
        <v/>
      </c>
      <c r="AG2460">
        <f>'19_Расчет_аналитики'!AG2412</f>
        <v/>
      </c>
      <c r="AH2460">
        <f>'19_Расчет_аналитики'!AH2412</f>
        <v/>
      </c>
      <c r="AI2460">
        <f>'19_Расчет_аналитики'!AI2412</f>
        <v/>
      </c>
      <c r="AJ2460">
        <f>'19_Расчет_аналитики'!AJ2412</f>
        <v/>
      </c>
      <c r="AK2460">
        <f>'19_Расчет_аналитики'!AK2412</f>
        <v/>
      </c>
      <c r="AL2460">
        <f>'19_Расчет_аналитики'!AL2412</f>
        <v/>
      </c>
      <c r="AM2460">
        <f>'19_Расчет_аналитики'!AM2412</f>
        <v/>
      </c>
      <c r="AN2460">
        <f>'19_Расчет_аналитики'!AN2412</f>
        <v/>
      </c>
      <c r="AO2460">
        <f>'19_Расчет_аналитики'!AO2412</f>
        <v/>
      </c>
      <c r="AP2460">
        <f>'19_Расчет_аналитики'!AP2412</f>
        <v/>
      </c>
      <c r="AQ2460">
        <f>'19_Расчет_аналитики'!AQ2412</f>
        <v/>
      </c>
      <c r="AR2460">
        <f>'19_Расчет_аналитики'!AR2412</f>
        <v/>
      </c>
      <c r="AS2460">
        <f>'19_Расчет_аналитики'!AS2412</f>
        <v/>
      </c>
      <c r="AT2460">
        <f>'19_Расчет_аналитики'!AT2412</f>
        <v/>
      </c>
      <c r="AU2460">
        <f>'19_Расчет_аналитики'!AU2412</f>
        <v/>
      </c>
      <c r="AV2460">
        <f>'19_Расчет_аналитики'!AV2412</f>
        <v/>
      </c>
      <c r="AW2460">
        <f>'19_Расчет_аналитики'!AW2412</f>
        <v/>
      </c>
      <c r="AX2460">
        <f>'19_Расчет_аналитики'!AX2412</f>
        <v/>
      </c>
      <c r="AY2460">
        <f>'19_Расчет_аналитики'!AY2412</f>
        <v/>
      </c>
      <c r="AZ2460">
        <f>'19_Расчет_аналитики'!AZ2412</f>
        <v/>
      </c>
      <c r="BA2460">
        <f>'19_Расчет_аналитики'!BA2412</f>
        <v/>
      </c>
      <c r="BB2460">
        <f>'19_Расчет_аналитики'!BB2412</f>
        <v/>
      </c>
      <c r="BC2460">
        <f>'19_Расчет_аналитики'!BC2412</f>
        <v/>
      </c>
      <c r="BD2460">
        <f>'19_Расчет_аналитики'!BD2412</f>
        <v/>
      </c>
      <c r="BE2460">
        <f>'19_Расчет_аналитики'!BE2412</f>
        <v/>
      </c>
      <c r="BF2460">
        <f>'19_Расчет_аналитики'!BF2412</f>
        <v/>
      </c>
      <c r="BG2460">
        <f>'19_Расчет_аналитики'!BG2412</f>
        <v/>
      </c>
      <c r="BH2460">
        <f>'19_Расчет_аналитики'!BH2412</f>
        <v/>
      </c>
      <c r="BI2460">
        <f>'19_Расчет_аналитики'!BI2412</f>
        <v/>
      </c>
      <c r="BJ2460">
        <f>'19_Расчет_аналитики'!BJ2412</f>
        <v/>
      </c>
      <c r="BK2460">
        <f>'19_Расчет_аналитики'!BK2412</f>
        <v/>
      </c>
      <c r="BL2460">
        <f>'19_Расчет_аналитики'!BL2412</f>
        <v/>
      </c>
      <c r="BM2460">
        <f>'19_Расчет_аналитики'!BM2412</f>
        <v/>
      </c>
      <c r="BN2460">
        <f>'19_Расчет_аналитики'!BN2412</f>
        <v/>
      </c>
      <c r="BO2460">
        <f>'19_Расчет_аналитики'!BO2412</f>
        <v/>
      </c>
    </row>
    <row r="2461">
      <c r="B2461">
        <f>'06_Сеть_и_дети'!B82</f>
        <v/>
      </c>
      <c r="C2461">
        <f>'19_Расчет_аналитики'!B2460*'01_Вводные'!$B$14</f>
        <v/>
      </c>
      <c r="D2461">
        <f>'19_Расчет_аналитики'!C2460*'01_Вводные'!$B$14</f>
        <v/>
      </c>
      <c r="E2461">
        <f>'19_Расчет_аналитики'!D2460*'01_Вводные'!$B$14</f>
        <v/>
      </c>
      <c r="F2461">
        <f>'19_Расчет_аналитики'!E2460*'01_Вводные'!$B$14</f>
        <v/>
      </c>
      <c r="G2461">
        <f>'19_Расчет_аналитики'!F2460*'01_Вводные'!$B$14</f>
        <v/>
      </c>
      <c r="H2461">
        <f>'19_Расчет_аналитики'!G2460*'01_Вводные'!$B$14</f>
        <v/>
      </c>
      <c r="I2461">
        <f>'19_Расчет_аналитики'!H2460*'01_Вводные'!$B$14</f>
        <v/>
      </c>
      <c r="J2461">
        <f>'19_Расчет_аналитики'!I2460*'01_Вводные'!$B$14</f>
        <v/>
      </c>
      <c r="K2461">
        <f>'19_Расчет_аналитики'!J2460*'01_Вводные'!$B$14</f>
        <v/>
      </c>
      <c r="L2461">
        <f>'19_Расчет_аналитики'!K2460*'01_Вводные'!$B$14</f>
        <v/>
      </c>
      <c r="M2461">
        <f>'19_Расчет_аналитики'!L2460*'01_Вводные'!$B$14</f>
        <v/>
      </c>
      <c r="N2461">
        <f>'19_Расчет_аналитики'!M2460*'01_Вводные'!$B$14</f>
        <v/>
      </c>
      <c r="O2461">
        <f>'19_Расчет_аналитики'!N2460*'01_Вводные'!$B$14</f>
        <v/>
      </c>
      <c r="P2461">
        <f>'19_Расчет_аналитики'!O2460*'01_Вводные'!$B$14</f>
        <v/>
      </c>
      <c r="Q2461">
        <f>'19_Расчет_аналитики'!P2460*'01_Вводные'!$B$14</f>
        <v/>
      </c>
      <c r="R2461">
        <f>'19_Расчет_аналитики'!Q2460*'01_Вводные'!$B$14</f>
        <v/>
      </c>
      <c r="S2461">
        <f>'19_Расчет_аналитики'!R2460*'01_Вводные'!$B$14</f>
        <v/>
      </c>
      <c r="T2461">
        <f>'19_Расчет_аналитики'!S2460*'01_Вводные'!$B$14</f>
        <v/>
      </c>
      <c r="U2461">
        <f>'19_Расчет_аналитики'!T2460*'01_Вводные'!$B$14</f>
        <v/>
      </c>
      <c r="V2461">
        <f>'19_Расчет_аналитики'!U2460*'01_Вводные'!$B$14</f>
        <v/>
      </c>
      <c r="W2461">
        <f>'19_Расчет_аналитики'!V2460*'01_Вводные'!$B$14</f>
        <v/>
      </c>
      <c r="X2461">
        <f>'19_Расчет_аналитики'!W2460*'01_Вводные'!$B$14</f>
        <v/>
      </c>
      <c r="Y2461">
        <f>'19_Расчет_аналитики'!X2460*'01_Вводные'!$B$14</f>
        <v/>
      </c>
      <c r="Z2461">
        <f>'19_Расчет_аналитики'!Y2460*'01_Вводные'!$B$14</f>
        <v/>
      </c>
      <c r="AA2461">
        <f>'19_Расчет_аналитики'!Z2460*'01_Вводные'!$B$14</f>
        <v/>
      </c>
      <c r="AB2461">
        <f>'19_Расчет_аналитики'!AA2460*'01_Вводные'!$B$14</f>
        <v/>
      </c>
      <c r="AC2461">
        <f>'19_Расчет_аналитики'!AB2460*'01_Вводные'!$B$14</f>
        <v/>
      </c>
      <c r="AD2461">
        <f>'19_Расчет_аналитики'!AC2460*'01_Вводные'!$B$14</f>
        <v/>
      </c>
      <c r="AE2461">
        <f>'19_Расчет_аналитики'!AD2460*'01_Вводные'!$B$14</f>
        <v/>
      </c>
      <c r="AF2461">
        <f>'19_Расчет_аналитики'!AE2460*'01_Вводные'!$B$14</f>
        <v/>
      </c>
      <c r="AG2461">
        <f>'19_Расчет_аналитики'!AF2460*'01_Вводные'!$B$14</f>
        <v/>
      </c>
      <c r="AH2461">
        <f>'19_Расчет_аналитики'!AG2460*'01_Вводные'!$B$14</f>
        <v/>
      </c>
      <c r="AI2461">
        <f>'19_Расчет_аналитики'!AH2460*'01_Вводные'!$B$14</f>
        <v/>
      </c>
      <c r="AJ2461">
        <f>'19_Расчет_аналитики'!AI2460*'01_Вводные'!$B$14</f>
        <v/>
      </c>
      <c r="AK2461">
        <f>'19_Расчет_аналитики'!AJ2460*'01_Вводные'!$B$14</f>
        <v/>
      </c>
      <c r="AL2461">
        <f>'19_Расчет_аналитики'!AK2460*'01_Вводные'!$B$14</f>
        <v/>
      </c>
      <c r="AM2461">
        <f>'19_Расчет_аналитики'!AL2460*'01_Вводные'!$B$14</f>
        <v/>
      </c>
      <c r="AN2461">
        <f>'19_Расчет_аналитики'!AM2460*'01_Вводные'!$B$14</f>
        <v/>
      </c>
      <c r="AO2461">
        <f>'19_Расчет_аналитики'!AN2460*'01_Вводные'!$B$14</f>
        <v/>
      </c>
      <c r="AP2461">
        <f>'19_Расчет_аналитики'!AO2460*'01_Вводные'!$B$14</f>
        <v/>
      </c>
      <c r="AQ2461">
        <f>'19_Расчет_аналитики'!AP2460*'01_Вводные'!$B$14</f>
        <v/>
      </c>
      <c r="AR2461">
        <f>'19_Расчет_аналитики'!AQ2460*'01_Вводные'!$B$14</f>
        <v/>
      </c>
      <c r="AS2461">
        <f>'19_Расчет_аналитики'!AR2460*'01_Вводные'!$B$14</f>
        <v/>
      </c>
      <c r="AT2461">
        <f>'19_Расчет_аналитики'!AS2460*'01_Вводные'!$B$14</f>
        <v/>
      </c>
      <c r="AU2461">
        <f>'19_Расчет_аналитики'!AT2460*'01_Вводные'!$B$14</f>
        <v/>
      </c>
      <c r="AV2461">
        <f>'19_Расчет_аналитики'!AU2460*'01_Вводные'!$B$14</f>
        <v/>
      </c>
      <c r="AW2461">
        <f>'19_Расчет_аналитики'!AV2460*'01_Вводные'!$B$14</f>
        <v/>
      </c>
      <c r="AX2461">
        <f>'19_Расчет_аналитики'!AW2460*'01_Вводные'!$B$14</f>
        <v/>
      </c>
      <c r="AY2461">
        <f>'19_Расчет_аналитики'!AX2460*'01_Вводные'!$B$14</f>
        <v/>
      </c>
      <c r="AZ2461">
        <f>'19_Расчет_аналитики'!AY2460*'01_Вводные'!$B$14</f>
        <v/>
      </c>
      <c r="BA2461">
        <f>'19_Расчет_аналитики'!AZ2460*'01_Вводные'!$B$14</f>
        <v/>
      </c>
      <c r="BB2461">
        <f>'19_Расчет_аналитики'!BA2460*'01_Вводные'!$B$14</f>
        <v/>
      </c>
      <c r="BC2461">
        <f>'19_Расчет_аналитики'!BB2460*'01_Вводные'!$B$14</f>
        <v/>
      </c>
      <c r="BD2461">
        <f>'19_Расчет_аналитики'!BC2460*'01_Вводные'!$B$14</f>
        <v/>
      </c>
      <c r="BE2461">
        <f>'19_Расчет_аналитики'!BD2460*'01_Вводные'!$B$14</f>
        <v/>
      </c>
      <c r="BF2461">
        <f>'19_Расчет_аналитики'!BE2460*'01_Вводные'!$B$14</f>
        <v/>
      </c>
      <c r="BG2461">
        <f>'19_Расчет_аналитики'!BF2460*'01_Вводные'!$B$14</f>
        <v/>
      </c>
      <c r="BH2461">
        <f>'19_Расчет_аналитики'!BG2460*'01_Вводные'!$B$14</f>
        <v/>
      </c>
      <c r="BI2461">
        <f>'19_Расчет_аналитики'!BH2460*'01_Вводные'!$B$14</f>
        <v/>
      </c>
      <c r="BJ2461">
        <f>'19_Расчет_аналитики'!BI2460*'01_Вводные'!$B$14</f>
        <v/>
      </c>
      <c r="BK2461">
        <f>'19_Расчет_аналитики'!BJ2460*'01_Вводные'!$B$14</f>
        <v/>
      </c>
      <c r="BL2461">
        <f>'19_Расчет_аналитики'!BK2460*'01_Вводные'!$B$14</f>
        <v/>
      </c>
      <c r="BM2461">
        <f>'19_Расчет_аналитики'!BL2460*'01_Вводные'!$B$14</f>
        <v/>
      </c>
      <c r="BN2461">
        <f>'19_Расчет_аналитики'!BM2460*'01_Вводные'!$B$14</f>
        <v/>
      </c>
      <c r="BO2461">
        <f>'19_Расчет_аналитики'!BN2460*'01_Вводные'!$B$14</f>
        <v/>
      </c>
    </row>
    <row r="2462">
      <c r="B2462">
        <f>'06_Сеть_и_дети'!B83</f>
        <v/>
      </c>
      <c r="C2462">
        <f>'06_Сеть_и_дети'!C83</f>
        <v/>
      </c>
      <c r="D2462">
        <f>'19_Расчет_аналитики'!C2461*'01_Вводные'!$B$14</f>
        <v/>
      </c>
      <c r="E2462">
        <f>'19_Расчет_аналитики'!D2461*'01_Вводные'!$B$14</f>
        <v/>
      </c>
      <c r="F2462">
        <f>'19_Расчет_аналитики'!E2461*'01_Вводные'!$B$14</f>
        <v/>
      </c>
      <c r="G2462">
        <f>'19_Расчет_аналитики'!F2461*'01_Вводные'!$B$14</f>
        <v/>
      </c>
      <c r="H2462">
        <f>'19_Расчет_аналитики'!G2461*'01_Вводные'!$B$14</f>
        <v/>
      </c>
      <c r="I2462">
        <f>'19_Расчет_аналитики'!H2461*'01_Вводные'!$B$14</f>
        <v/>
      </c>
      <c r="J2462">
        <f>'19_Расчет_аналитики'!I2461*'01_Вводные'!$B$14</f>
        <v/>
      </c>
      <c r="K2462">
        <f>'19_Расчет_аналитики'!J2461*'01_Вводные'!$B$14</f>
        <v/>
      </c>
      <c r="L2462">
        <f>'19_Расчет_аналитики'!K2461*'01_Вводные'!$B$14</f>
        <v/>
      </c>
      <c r="M2462">
        <f>'19_Расчет_аналитики'!L2461*'01_Вводные'!$B$14</f>
        <v/>
      </c>
      <c r="N2462">
        <f>'19_Расчет_аналитики'!M2461*'01_Вводные'!$B$14</f>
        <v/>
      </c>
      <c r="O2462">
        <f>'19_Расчет_аналитики'!N2461*'01_Вводные'!$B$14</f>
        <v/>
      </c>
      <c r="P2462">
        <f>'19_Расчет_аналитики'!O2461*'01_Вводные'!$B$14</f>
        <v/>
      </c>
      <c r="Q2462">
        <f>'19_Расчет_аналитики'!P2461*'01_Вводные'!$B$14</f>
        <v/>
      </c>
      <c r="R2462">
        <f>'19_Расчет_аналитики'!Q2461*'01_Вводные'!$B$14</f>
        <v/>
      </c>
      <c r="S2462">
        <f>'19_Расчет_аналитики'!R2461*'01_Вводные'!$B$14</f>
        <v/>
      </c>
      <c r="T2462">
        <f>'19_Расчет_аналитики'!S2461*'01_Вводные'!$B$14</f>
        <v/>
      </c>
      <c r="U2462">
        <f>'19_Расчет_аналитики'!T2461*'01_Вводные'!$B$14</f>
        <v/>
      </c>
      <c r="V2462">
        <f>'19_Расчет_аналитики'!U2461*'01_Вводные'!$B$14</f>
        <v/>
      </c>
      <c r="W2462">
        <f>'19_Расчет_аналитики'!V2461*'01_Вводные'!$B$14</f>
        <v/>
      </c>
      <c r="X2462">
        <f>'19_Расчет_аналитики'!W2461*'01_Вводные'!$B$14</f>
        <v/>
      </c>
      <c r="Y2462">
        <f>'19_Расчет_аналитики'!X2461*'01_Вводные'!$B$14</f>
        <v/>
      </c>
      <c r="Z2462">
        <f>'19_Расчет_аналитики'!Y2461*'01_Вводные'!$B$14</f>
        <v/>
      </c>
      <c r="AA2462">
        <f>'19_Расчет_аналитики'!Z2461*'01_Вводные'!$B$14</f>
        <v/>
      </c>
      <c r="AB2462">
        <f>'19_Расчет_аналитики'!AA2461*'01_Вводные'!$B$14</f>
        <v/>
      </c>
      <c r="AC2462">
        <f>'19_Расчет_аналитики'!AB2461*'01_Вводные'!$B$14</f>
        <v/>
      </c>
      <c r="AD2462">
        <f>'19_Расчет_аналитики'!AC2461*'01_Вводные'!$B$14</f>
        <v/>
      </c>
      <c r="AE2462">
        <f>'19_Расчет_аналитики'!AD2461*'01_Вводные'!$B$14</f>
        <v/>
      </c>
      <c r="AF2462">
        <f>'19_Расчет_аналитики'!AE2461*'01_Вводные'!$B$14</f>
        <v/>
      </c>
      <c r="AG2462">
        <f>'19_Расчет_аналитики'!AF2461*'01_Вводные'!$B$14</f>
        <v/>
      </c>
      <c r="AH2462">
        <f>'19_Расчет_аналитики'!AG2461*'01_Вводные'!$B$14</f>
        <v/>
      </c>
      <c r="AI2462">
        <f>'19_Расчет_аналитики'!AH2461*'01_Вводные'!$B$14</f>
        <v/>
      </c>
      <c r="AJ2462">
        <f>'19_Расчет_аналитики'!AI2461*'01_Вводные'!$B$14</f>
        <v/>
      </c>
      <c r="AK2462">
        <f>'19_Расчет_аналитики'!AJ2461*'01_Вводные'!$B$14</f>
        <v/>
      </c>
      <c r="AL2462">
        <f>'19_Расчет_аналитики'!AK2461*'01_Вводные'!$B$14</f>
        <v/>
      </c>
      <c r="AM2462">
        <f>'19_Расчет_аналитики'!AL2461*'01_Вводные'!$B$14</f>
        <v/>
      </c>
      <c r="AN2462">
        <f>'19_Расчет_аналитики'!AM2461*'01_Вводные'!$B$14</f>
        <v/>
      </c>
      <c r="AO2462">
        <f>'19_Расчет_аналитики'!AN2461*'01_Вводные'!$B$14</f>
        <v/>
      </c>
      <c r="AP2462">
        <f>'19_Расчет_аналитики'!AO2461*'01_Вводные'!$B$14</f>
        <v/>
      </c>
      <c r="AQ2462">
        <f>'19_Расчет_аналитики'!AP2461*'01_Вводные'!$B$14</f>
        <v/>
      </c>
      <c r="AR2462">
        <f>'19_Расчет_аналитики'!AQ2461*'01_Вводные'!$B$14</f>
        <v/>
      </c>
      <c r="AS2462">
        <f>'19_Расчет_аналитики'!AR2461*'01_Вводные'!$B$14</f>
        <v/>
      </c>
      <c r="AT2462">
        <f>'19_Расчет_аналитики'!AS2461*'01_Вводные'!$B$14</f>
        <v/>
      </c>
      <c r="AU2462">
        <f>'19_Расчет_аналитики'!AT2461*'01_Вводные'!$B$14</f>
        <v/>
      </c>
      <c r="AV2462">
        <f>'19_Расчет_аналитики'!AU2461*'01_Вводные'!$B$14</f>
        <v/>
      </c>
      <c r="AW2462">
        <f>'19_Расчет_аналитики'!AV2461*'01_Вводные'!$B$14</f>
        <v/>
      </c>
      <c r="AX2462">
        <f>'19_Расчет_аналитики'!AW2461*'01_Вводные'!$B$14</f>
        <v/>
      </c>
      <c r="AY2462">
        <f>'19_Расчет_аналитики'!AX2461*'01_Вводные'!$B$14</f>
        <v/>
      </c>
      <c r="AZ2462">
        <f>'19_Расчет_аналитики'!AY2461*'01_Вводные'!$B$14</f>
        <v/>
      </c>
      <c r="BA2462">
        <f>'19_Расчет_аналитики'!AZ2461*'01_Вводные'!$B$14</f>
        <v/>
      </c>
      <c r="BB2462">
        <f>'19_Расчет_аналитики'!BA2461*'01_Вводные'!$B$14</f>
        <v/>
      </c>
      <c r="BC2462">
        <f>'19_Расчет_аналитики'!BB2461*'01_Вводные'!$B$14</f>
        <v/>
      </c>
      <c r="BD2462">
        <f>'19_Расчет_аналитики'!BC2461*'01_Вводные'!$B$14</f>
        <v/>
      </c>
      <c r="BE2462">
        <f>'19_Расчет_аналитики'!BD2461*'01_Вводные'!$B$14</f>
        <v/>
      </c>
      <c r="BF2462">
        <f>'19_Расчет_аналитики'!BE2461*'01_Вводные'!$B$14</f>
        <v/>
      </c>
      <c r="BG2462">
        <f>'19_Расчет_аналитики'!BF2461*'01_Вводные'!$B$14</f>
        <v/>
      </c>
      <c r="BH2462">
        <f>'19_Расчет_аналитики'!BG2461*'01_Вводные'!$B$14</f>
        <v/>
      </c>
      <c r="BI2462">
        <f>'19_Расчет_аналитики'!BH2461*'01_Вводные'!$B$14</f>
        <v/>
      </c>
      <c r="BJ2462">
        <f>'19_Расчет_аналитики'!BI2461*'01_Вводные'!$B$14</f>
        <v/>
      </c>
      <c r="BK2462">
        <f>'19_Расчет_аналитики'!BJ2461*'01_Вводные'!$B$14</f>
        <v/>
      </c>
      <c r="BL2462">
        <f>'19_Расчет_аналитики'!BK2461*'01_Вводные'!$B$14</f>
        <v/>
      </c>
      <c r="BM2462">
        <f>'19_Расчет_аналитики'!BL2461*'01_Вводные'!$B$14</f>
        <v/>
      </c>
      <c r="BN2462">
        <f>'19_Расчет_аналитики'!BM2461*'01_Вводные'!$B$14</f>
        <v/>
      </c>
      <c r="BO2462">
        <f>'19_Расчет_аналитики'!BN2461*'01_Вводные'!$B$14</f>
        <v/>
      </c>
    </row>
    <row r="2463">
      <c r="B2463">
        <f>'06_Сеть_и_дети'!B84</f>
        <v/>
      </c>
      <c r="C2463">
        <f>'06_Сеть_и_дети'!C84</f>
        <v/>
      </c>
      <c r="D2463">
        <f>'06_Сеть_и_дети'!D84</f>
        <v/>
      </c>
      <c r="E2463">
        <f>'19_Расчет_аналитики'!D2462*'01_Вводные'!$B$14</f>
        <v/>
      </c>
      <c r="F2463">
        <f>'19_Расчет_аналитики'!E2462*'01_Вводные'!$B$14</f>
        <v/>
      </c>
      <c r="G2463">
        <f>'19_Расчет_аналитики'!F2462*'01_Вводные'!$B$14</f>
        <v/>
      </c>
      <c r="H2463">
        <f>'19_Расчет_аналитики'!G2462*'01_Вводные'!$B$14</f>
        <v/>
      </c>
      <c r="I2463">
        <f>'19_Расчет_аналитики'!H2462*'01_Вводные'!$B$14</f>
        <v/>
      </c>
      <c r="J2463">
        <f>'19_Расчет_аналитики'!I2462*'01_Вводные'!$B$14</f>
        <v/>
      </c>
      <c r="K2463">
        <f>'19_Расчет_аналитики'!J2462*'01_Вводные'!$B$14</f>
        <v/>
      </c>
      <c r="L2463">
        <f>'19_Расчет_аналитики'!K2462*'01_Вводные'!$B$14</f>
        <v/>
      </c>
      <c r="M2463">
        <f>'19_Расчет_аналитики'!L2462*'01_Вводные'!$B$14</f>
        <v/>
      </c>
      <c r="N2463">
        <f>'19_Расчет_аналитики'!M2462*'01_Вводные'!$B$14</f>
        <v/>
      </c>
      <c r="O2463">
        <f>'19_Расчет_аналитики'!N2462*'01_Вводные'!$B$14</f>
        <v/>
      </c>
      <c r="P2463">
        <f>'19_Расчет_аналитики'!O2462*'01_Вводные'!$B$14</f>
        <v/>
      </c>
      <c r="Q2463">
        <f>'19_Расчет_аналитики'!P2462*'01_Вводные'!$B$14</f>
        <v/>
      </c>
      <c r="R2463">
        <f>'19_Расчет_аналитики'!Q2462*'01_Вводные'!$B$14</f>
        <v/>
      </c>
      <c r="S2463">
        <f>'19_Расчет_аналитики'!R2462*'01_Вводные'!$B$14</f>
        <v/>
      </c>
      <c r="T2463">
        <f>'19_Расчет_аналитики'!S2462*'01_Вводные'!$B$14</f>
        <v/>
      </c>
      <c r="U2463">
        <f>'19_Расчет_аналитики'!T2462*'01_Вводные'!$B$14</f>
        <v/>
      </c>
      <c r="V2463">
        <f>'19_Расчет_аналитики'!U2462*'01_Вводные'!$B$14</f>
        <v/>
      </c>
      <c r="W2463">
        <f>'19_Расчет_аналитики'!V2462*'01_Вводные'!$B$14</f>
        <v/>
      </c>
      <c r="X2463">
        <f>'19_Расчет_аналитики'!W2462*'01_Вводные'!$B$14</f>
        <v/>
      </c>
      <c r="Y2463">
        <f>'19_Расчет_аналитики'!X2462*'01_Вводные'!$B$14</f>
        <v/>
      </c>
      <c r="Z2463">
        <f>'19_Расчет_аналитики'!Y2462*'01_Вводные'!$B$14</f>
        <v/>
      </c>
      <c r="AA2463">
        <f>'19_Расчет_аналитики'!Z2462*'01_Вводные'!$B$14</f>
        <v/>
      </c>
      <c r="AB2463">
        <f>'19_Расчет_аналитики'!AA2462*'01_Вводные'!$B$14</f>
        <v/>
      </c>
      <c r="AC2463">
        <f>'19_Расчет_аналитики'!AB2462*'01_Вводные'!$B$14</f>
        <v/>
      </c>
      <c r="AD2463">
        <f>'19_Расчет_аналитики'!AC2462*'01_Вводные'!$B$14</f>
        <v/>
      </c>
      <c r="AE2463">
        <f>'19_Расчет_аналитики'!AD2462*'01_Вводные'!$B$14</f>
        <v/>
      </c>
      <c r="AF2463">
        <f>'19_Расчет_аналитики'!AE2462*'01_Вводные'!$B$14</f>
        <v/>
      </c>
      <c r="AG2463">
        <f>'19_Расчет_аналитики'!AF2462*'01_Вводные'!$B$14</f>
        <v/>
      </c>
      <c r="AH2463">
        <f>'19_Расчет_аналитики'!AG2462*'01_Вводные'!$B$14</f>
        <v/>
      </c>
      <c r="AI2463">
        <f>'19_Расчет_аналитики'!AH2462*'01_Вводные'!$B$14</f>
        <v/>
      </c>
      <c r="AJ2463">
        <f>'19_Расчет_аналитики'!AI2462*'01_Вводные'!$B$14</f>
        <v/>
      </c>
      <c r="AK2463">
        <f>'19_Расчет_аналитики'!AJ2462*'01_Вводные'!$B$14</f>
        <v/>
      </c>
      <c r="AL2463">
        <f>'19_Расчет_аналитики'!AK2462*'01_Вводные'!$B$14</f>
        <v/>
      </c>
      <c r="AM2463">
        <f>'19_Расчет_аналитики'!AL2462*'01_Вводные'!$B$14</f>
        <v/>
      </c>
      <c r="AN2463">
        <f>'19_Расчет_аналитики'!AM2462*'01_Вводные'!$B$14</f>
        <v/>
      </c>
      <c r="AO2463">
        <f>'19_Расчет_аналитики'!AN2462*'01_Вводные'!$B$14</f>
        <v/>
      </c>
      <c r="AP2463">
        <f>'19_Расчет_аналитики'!AO2462*'01_Вводные'!$B$14</f>
        <v/>
      </c>
      <c r="AQ2463">
        <f>'19_Расчет_аналитики'!AP2462*'01_Вводные'!$B$14</f>
        <v/>
      </c>
      <c r="AR2463">
        <f>'19_Расчет_аналитики'!AQ2462*'01_Вводные'!$B$14</f>
        <v/>
      </c>
      <c r="AS2463">
        <f>'19_Расчет_аналитики'!AR2462*'01_Вводные'!$B$14</f>
        <v/>
      </c>
      <c r="AT2463">
        <f>'19_Расчет_аналитики'!AS2462*'01_Вводные'!$B$14</f>
        <v/>
      </c>
      <c r="AU2463">
        <f>'19_Расчет_аналитики'!AT2462*'01_Вводные'!$B$14</f>
        <v/>
      </c>
      <c r="AV2463">
        <f>'19_Расчет_аналитики'!AU2462*'01_Вводные'!$B$14</f>
        <v/>
      </c>
      <c r="AW2463">
        <f>'19_Расчет_аналитики'!AV2462*'01_Вводные'!$B$14</f>
        <v/>
      </c>
      <c r="AX2463">
        <f>'19_Расчет_аналитики'!AW2462*'01_Вводные'!$B$14</f>
        <v/>
      </c>
      <c r="AY2463">
        <f>'19_Расчет_аналитики'!AX2462*'01_Вводные'!$B$14</f>
        <v/>
      </c>
      <c r="AZ2463">
        <f>'19_Расчет_аналитики'!AY2462*'01_Вводные'!$B$14</f>
        <v/>
      </c>
      <c r="BA2463">
        <f>'19_Расчет_аналитики'!AZ2462*'01_Вводные'!$B$14</f>
        <v/>
      </c>
      <c r="BB2463">
        <f>'19_Расчет_аналитики'!BA2462*'01_Вводные'!$B$14</f>
        <v/>
      </c>
      <c r="BC2463">
        <f>'19_Расчет_аналитики'!BB2462*'01_Вводные'!$B$14</f>
        <v/>
      </c>
      <c r="BD2463">
        <f>'19_Расчет_аналитики'!BC2462*'01_Вводные'!$B$14</f>
        <v/>
      </c>
      <c r="BE2463">
        <f>'19_Расчет_аналитики'!BD2462*'01_Вводные'!$B$14</f>
        <v/>
      </c>
      <c r="BF2463">
        <f>'19_Расчет_аналитики'!BE2462*'01_Вводные'!$B$14</f>
        <v/>
      </c>
      <c r="BG2463">
        <f>'19_Расчет_аналитики'!BF2462*'01_Вводные'!$B$14</f>
        <v/>
      </c>
      <c r="BH2463">
        <f>'19_Расчет_аналитики'!BG2462*'01_Вводные'!$B$14</f>
        <v/>
      </c>
      <c r="BI2463">
        <f>'19_Расчет_аналитики'!BH2462*'01_Вводные'!$B$14</f>
        <v/>
      </c>
      <c r="BJ2463">
        <f>'19_Расчет_аналитики'!BI2462*'01_Вводные'!$B$14</f>
        <v/>
      </c>
      <c r="BK2463">
        <f>'19_Расчет_аналитики'!BJ2462*'01_Вводные'!$B$14</f>
        <v/>
      </c>
      <c r="BL2463">
        <f>'19_Расчет_аналитики'!BK2462*'01_Вводные'!$B$14</f>
        <v/>
      </c>
      <c r="BM2463">
        <f>'19_Расчет_аналитики'!BL2462*'01_Вводные'!$B$14</f>
        <v/>
      </c>
      <c r="BN2463">
        <f>'19_Расчет_аналитики'!BM2462*'01_Вводные'!$B$14</f>
        <v/>
      </c>
      <c r="BO2463">
        <f>'19_Расчет_аналитики'!BN2462*'01_Вводные'!$B$14</f>
        <v/>
      </c>
    </row>
    <row r="2464">
      <c r="B2464">
        <f>'06_Сеть_и_дети'!B85</f>
        <v/>
      </c>
      <c r="C2464">
        <f>'06_Сеть_и_дети'!C85</f>
        <v/>
      </c>
      <c r="D2464">
        <f>'06_Сеть_и_дети'!D85</f>
        <v/>
      </c>
      <c r="E2464">
        <f>'06_Сеть_и_дети'!E85</f>
        <v/>
      </c>
      <c r="F2464">
        <f>'19_Расчет_аналитики'!E2463*'01_Вводные'!$B$14</f>
        <v/>
      </c>
      <c r="G2464">
        <f>'19_Расчет_аналитики'!F2463*'01_Вводные'!$B$14</f>
        <v/>
      </c>
      <c r="H2464">
        <f>'19_Расчет_аналитики'!G2463*'01_Вводные'!$B$14</f>
        <v/>
      </c>
      <c r="I2464">
        <f>'19_Расчет_аналитики'!H2463*'01_Вводные'!$B$14</f>
        <v/>
      </c>
      <c r="J2464">
        <f>'19_Расчет_аналитики'!I2463*'01_Вводные'!$B$14</f>
        <v/>
      </c>
      <c r="K2464">
        <f>'19_Расчет_аналитики'!J2463*'01_Вводные'!$B$14</f>
        <v/>
      </c>
      <c r="L2464">
        <f>'19_Расчет_аналитики'!K2463*'01_Вводные'!$B$14</f>
        <v/>
      </c>
      <c r="M2464">
        <f>'19_Расчет_аналитики'!L2463*'01_Вводные'!$B$14</f>
        <v/>
      </c>
      <c r="N2464">
        <f>'19_Расчет_аналитики'!M2463*'01_Вводные'!$B$14</f>
        <v/>
      </c>
      <c r="O2464">
        <f>'19_Расчет_аналитики'!N2463*'01_Вводные'!$B$14</f>
        <v/>
      </c>
      <c r="P2464">
        <f>'19_Расчет_аналитики'!O2463*'01_Вводные'!$B$14</f>
        <v/>
      </c>
      <c r="Q2464">
        <f>'19_Расчет_аналитики'!P2463*'01_Вводные'!$B$14</f>
        <v/>
      </c>
      <c r="R2464">
        <f>'19_Расчет_аналитики'!Q2463*'01_Вводные'!$B$14</f>
        <v/>
      </c>
      <c r="S2464">
        <f>'19_Расчет_аналитики'!R2463*'01_Вводные'!$B$14</f>
        <v/>
      </c>
      <c r="T2464">
        <f>'19_Расчет_аналитики'!S2463*'01_Вводные'!$B$14</f>
        <v/>
      </c>
      <c r="U2464">
        <f>'19_Расчет_аналитики'!T2463*'01_Вводные'!$B$14</f>
        <v/>
      </c>
      <c r="V2464">
        <f>'19_Расчет_аналитики'!U2463*'01_Вводные'!$B$14</f>
        <v/>
      </c>
      <c r="W2464">
        <f>'19_Расчет_аналитики'!V2463*'01_Вводные'!$B$14</f>
        <v/>
      </c>
      <c r="X2464">
        <f>'19_Расчет_аналитики'!W2463*'01_Вводные'!$B$14</f>
        <v/>
      </c>
      <c r="Y2464">
        <f>'19_Расчет_аналитики'!X2463*'01_Вводные'!$B$14</f>
        <v/>
      </c>
      <c r="Z2464">
        <f>'19_Расчет_аналитики'!Y2463*'01_Вводные'!$B$14</f>
        <v/>
      </c>
      <c r="AA2464">
        <f>'19_Расчет_аналитики'!Z2463*'01_Вводные'!$B$14</f>
        <v/>
      </c>
      <c r="AB2464">
        <f>'19_Расчет_аналитики'!AA2463*'01_Вводные'!$B$14</f>
        <v/>
      </c>
      <c r="AC2464">
        <f>'19_Расчет_аналитики'!AB2463*'01_Вводные'!$B$14</f>
        <v/>
      </c>
      <c r="AD2464">
        <f>'19_Расчет_аналитики'!AC2463*'01_Вводные'!$B$14</f>
        <v/>
      </c>
      <c r="AE2464">
        <f>'19_Расчет_аналитики'!AD2463*'01_Вводные'!$B$14</f>
        <v/>
      </c>
      <c r="AF2464">
        <f>'19_Расчет_аналитики'!AE2463*'01_Вводные'!$B$14</f>
        <v/>
      </c>
      <c r="AG2464">
        <f>'19_Расчет_аналитики'!AF2463*'01_Вводные'!$B$14</f>
        <v/>
      </c>
      <c r="AH2464">
        <f>'19_Расчет_аналитики'!AG2463*'01_Вводные'!$B$14</f>
        <v/>
      </c>
      <c r="AI2464">
        <f>'19_Расчет_аналитики'!AH2463*'01_Вводные'!$B$14</f>
        <v/>
      </c>
      <c r="AJ2464">
        <f>'19_Расчет_аналитики'!AI2463*'01_Вводные'!$B$14</f>
        <v/>
      </c>
      <c r="AK2464">
        <f>'19_Расчет_аналитики'!AJ2463*'01_Вводные'!$B$14</f>
        <v/>
      </c>
      <c r="AL2464">
        <f>'19_Расчет_аналитики'!AK2463*'01_Вводные'!$B$14</f>
        <v/>
      </c>
      <c r="AM2464">
        <f>'19_Расчет_аналитики'!AL2463*'01_Вводные'!$B$14</f>
        <v/>
      </c>
      <c r="AN2464">
        <f>'19_Расчет_аналитики'!AM2463*'01_Вводные'!$B$14</f>
        <v/>
      </c>
      <c r="AO2464">
        <f>'19_Расчет_аналитики'!AN2463*'01_Вводные'!$B$14</f>
        <v/>
      </c>
      <c r="AP2464">
        <f>'19_Расчет_аналитики'!AO2463*'01_Вводные'!$B$14</f>
        <v/>
      </c>
      <c r="AQ2464">
        <f>'19_Расчет_аналитики'!AP2463*'01_Вводные'!$B$14</f>
        <v/>
      </c>
      <c r="AR2464">
        <f>'19_Расчет_аналитики'!AQ2463*'01_Вводные'!$B$14</f>
        <v/>
      </c>
      <c r="AS2464">
        <f>'19_Расчет_аналитики'!AR2463*'01_Вводные'!$B$14</f>
        <v/>
      </c>
      <c r="AT2464">
        <f>'19_Расчет_аналитики'!AS2463*'01_Вводные'!$B$14</f>
        <v/>
      </c>
      <c r="AU2464">
        <f>'19_Расчет_аналитики'!AT2463*'01_Вводные'!$B$14</f>
        <v/>
      </c>
      <c r="AV2464">
        <f>'19_Расчет_аналитики'!AU2463*'01_Вводные'!$B$14</f>
        <v/>
      </c>
      <c r="AW2464">
        <f>'19_Расчет_аналитики'!AV2463*'01_Вводные'!$B$14</f>
        <v/>
      </c>
      <c r="AX2464">
        <f>'19_Расчет_аналитики'!AW2463*'01_Вводные'!$B$14</f>
        <v/>
      </c>
      <c r="AY2464">
        <f>'19_Расчет_аналитики'!AX2463*'01_Вводные'!$B$14</f>
        <v/>
      </c>
      <c r="AZ2464">
        <f>'19_Расчет_аналитики'!AY2463*'01_Вводные'!$B$14</f>
        <v/>
      </c>
      <c r="BA2464">
        <f>'19_Расчет_аналитики'!AZ2463*'01_Вводные'!$B$14</f>
        <v/>
      </c>
      <c r="BB2464">
        <f>'19_Расчет_аналитики'!BA2463*'01_Вводные'!$B$14</f>
        <v/>
      </c>
      <c r="BC2464">
        <f>'19_Расчет_аналитики'!BB2463*'01_Вводные'!$B$14</f>
        <v/>
      </c>
      <c r="BD2464">
        <f>'19_Расчет_аналитики'!BC2463*'01_Вводные'!$B$14</f>
        <v/>
      </c>
      <c r="BE2464">
        <f>'19_Расчет_аналитики'!BD2463*'01_Вводные'!$B$14</f>
        <v/>
      </c>
      <c r="BF2464">
        <f>'19_Расчет_аналитики'!BE2463*'01_Вводные'!$B$14</f>
        <v/>
      </c>
      <c r="BG2464">
        <f>'19_Расчет_аналитики'!BF2463*'01_Вводные'!$B$14</f>
        <v/>
      </c>
      <c r="BH2464">
        <f>'19_Расчет_аналитики'!BG2463*'01_Вводные'!$B$14</f>
        <v/>
      </c>
      <c r="BI2464">
        <f>'19_Расчет_аналитики'!BH2463*'01_Вводные'!$B$14</f>
        <v/>
      </c>
      <c r="BJ2464">
        <f>'19_Расчет_аналитики'!BI2463*'01_Вводные'!$B$14</f>
        <v/>
      </c>
      <c r="BK2464">
        <f>'19_Расчет_аналитики'!BJ2463*'01_Вводные'!$B$14</f>
        <v/>
      </c>
      <c r="BL2464">
        <f>'19_Расчет_аналитики'!BK2463*'01_Вводные'!$B$14</f>
        <v/>
      </c>
      <c r="BM2464">
        <f>'19_Расчет_аналитики'!BL2463*'01_Вводные'!$B$14</f>
        <v/>
      </c>
      <c r="BN2464">
        <f>'19_Расчет_аналитики'!BM2463*'01_Вводные'!$B$14</f>
        <v/>
      </c>
      <c r="BO2464">
        <f>'19_Расчет_аналитики'!BN2463*'01_Вводные'!$B$14</f>
        <v/>
      </c>
    </row>
    <row r="2465">
      <c r="B2465">
        <f>'06_Сеть_и_дети'!B86</f>
        <v/>
      </c>
      <c r="C2465">
        <f>'06_Сеть_и_дети'!C86</f>
        <v/>
      </c>
      <c r="D2465">
        <f>'06_Сеть_и_дети'!D86</f>
        <v/>
      </c>
      <c r="E2465">
        <f>'06_Сеть_и_дети'!E86</f>
        <v/>
      </c>
      <c r="F2465">
        <f>'06_Сеть_и_дети'!F86</f>
        <v/>
      </c>
      <c r="G2465">
        <f>'19_Расчет_аналитики'!F2464*'01_Вводные'!$B$14</f>
        <v/>
      </c>
      <c r="H2465">
        <f>'19_Расчет_аналитики'!G2464*'01_Вводные'!$B$14</f>
        <v/>
      </c>
      <c r="I2465">
        <f>'19_Расчет_аналитики'!H2464*'01_Вводные'!$B$14</f>
        <v/>
      </c>
      <c r="J2465">
        <f>'19_Расчет_аналитики'!I2464*'01_Вводные'!$B$14</f>
        <v/>
      </c>
      <c r="K2465">
        <f>'19_Расчет_аналитики'!J2464*'01_Вводные'!$B$14</f>
        <v/>
      </c>
      <c r="L2465">
        <f>'19_Расчет_аналитики'!K2464*'01_Вводные'!$B$14</f>
        <v/>
      </c>
      <c r="M2465">
        <f>'19_Расчет_аналитики'!L2464*'01_Вводные'!$B$14</f>
        <v/>
      </c>
      <c r="N2465">
        <f>'19_Расчет_аналитики'!M2464*'01_Вводные'!$B$14</f>
        <v/>
      </c>
      <c r="O2465">
        <f>'19_Расчет_аналитики'!N2464*'01_Вводные'!$B$14</f>
        <v/>
      </c>
      <c r="P2465">
        <f>'19_Расчет_аналитики'!O2464*'01_Вводные'!$B$14</f>
        <v/>
      </c>
      <c r="Q2465">
        <f>'19_Расчет_аналитики'!P2464*'01_Вводные'!$B$14</f>
        <v/>
      </c>
      <c r="R2465">
        <f>'19_Расчет_аналитики'!Q2464*'01_Вводные'!$B$14</f>
        <v/>
      </c>
      <c r="S2465">
        <f>'19_Расчет_аналитики'!R2464*'01_Вводные'!$B$14</f>
        <v/>
      </c>
      <c r="T2465">
        <f>'19_Расчет_аналитики'!S2464*'01_Вводные'!$B$14</f>
        <v/>
      </c>
      <c r="U2465">
        <f>'19_Расчет_аналитики'!T2464*'01_Вводные'!$B$14</f>
        <v/>
      </c>
      <c r="V2465">
        <f>'19_Расчет_аналитики'!U2464*'01_Вводные'!$B$14</f>
        <v/>
      </c>
      <c r="W2465">
        <f>'19_Расчет_аналитики'!V2464*'01_Вводные'!$B$14</f>
        <v/>
      </c>
      <c r="X2465">
        <f>'19_Расчет_аналитики'!W2464*'01_Вводные'!$B$14</f>
        <v/>
      </c>
      <c r="Y2465">
        <f>'19_Расчет_аналитики'!X2464*'01_Вводные'!$B$14</f>
        <v/>
      </c>
      <c r="Z2465">
        <f>'19_Расчет_аналитики'!Y2464*'01_Вводные'!$B$14</f>
        <v/>
      </c>
      <c r="AA2465">
        <f>'19_Расчет_аналитики'!Z2464*'01_Вводные'!$B$14</f>
        <v/>
      </c>
      <c r="AB2465">
        <f>'19_Расчет_аналитики'!AA2464*'01_Вводные'!$B$14</f>
        <v/>
      </c>
      <c r="AC2465">
        <f>'19_Расчет_аналитики'!AB2464*'01_Вводные'!$B$14</f>
        <v/>
      </c>
      <c r="AD2465">
        <f>'19_Расчет_аналитики'!AC2464*'01_Вводные'!$B$14</f>
        <v/>
      </c>
      <c r="AE2465">
        <f>'19_Расчет_аналитики'!AD2464*'01_Вводные'!$B$14</f>
        <v/>
      </c>
      <c r="AF2465">
        <f>'19_Расчет_аналитики'!AE2464*'01_Вводные'!$B$14</f>
        <v/>
      </c>
      <c r="AG2465">
        <f>'19_Расчет_аналитики'!AF2464*'01_Вводные'!$B$14</f>
        <v/>
      </c>
      <c r="AH2465">
        <f>'19_Расчет_аналитики'!AG2464*'01_Вводные'!$B$14</f>
        <v/>
      </c>
      <c r="AI2465">
        <f>'19_Расчет_аналитики'!AH2464*'01_Вводные'!$B$14</f>
        <v/>
      </c>
      <c r="AJ2465">
        <f>'19_Расчет_аналитики'!AI2464*'01_Вводные'!$B$14</f>
        <v/>
      </c>
      <c r="AK2465">
        <f>'19_Расчет_аналитики'!AJ2464*'01_Вводные'!$B$14</f>
        <v/>
      </c>
      <c r="AL2465">
        <f>'19_Расчет_аналитики'!AK2464*'01_Вводные'!$B$14</f>
        <v/>
      </c>
      <c r="AM2465">
        <f>'19_Расчет_аналитики'!AL2464*'01_Вводные'!$B$14</f>
        <v/>
      </c>
      <c r="AN2465">
        <f>'19_Расчет_аналитики'!AM2464*'01_Вводные'!$B$14</f>
        <v/>
      </c>
      <c r="AO2465">
        <f>'19_Расчет_аналитики'!AN2464*'01_Вводные'!$B$14</f>
        <v/>
      </c>
      <c r="AP2465">
        <f>'19_Расчет_аналитики'!AO2464*'01_Вводные'!$B$14</f>
        <v/>
      </c>
      <c r="AQ2465">
        <f>'19_Расчет_аналитики'!AP2464*'01_Вводные'!$B$14</f>
        <v/>
      </c>
      <c r="AR2465">
        <f>'19_Расчет_аналитики'!AQ2464*'01_Вводные'!$B$14</f>
        <v/>
      </c>
      <c r="AS2465">
        <f>'19_Расчет_аналитики'!AR2464*'01_Вводные'!$B$14</f>
        <v/>
      </c>
      <c r="AT2465">
        <f>'19_Расчет_аналитики'!AS2464*'01_Вводные'!$B$14</f>
        <v/>
      </c>
      <c r="AU2465">
        <f>'19_Расчет_аналитики'!AT2464*'01_Вводные'!$B$14</f>
        <v/>
      </c>
      <c r="AV2465">
        <f>'19_Расчет_аналитики'!AU2464*'01_Вводные'!$B$14</f>
        <v/>
      </c>
      <c r="AW2465">
        <f>'19_Расчет_аналитики'!AV2464*'01_Вводные'!$B$14</f>
        <v/>
      </c>
      <c r="AX2465">
        <f>'19_Расчет_аналитики'!AW2464*'01_Вводные'!$B$14</f>
        <v/>
      </c>
      <c r="AY2465">
        <f>'19_Расчет_аналитики'!AX2464*'01_Вводные'!$B$14</f>
        <v/>
      </c>
      <c r="AZ2465">
        <f>'19_Расчет_аналитики'!AY2464*'01_Вводные'!$B$14</f>
        <v/>
      </c>
      <c r="BA2465">
        <f>'19_Расчет_аналитики'!AZ2464*'01_Вводные'!$B$14</f>
        <v/>
      </c>
      <c r="BB2465">
        <f>'19_Расчет_аналитики'!BA2464*'01_Вводные'!$B$14</f>
        <v/>
      </c>
      <c r="BC2465">
        <f>'19_Расчет_аналитики'!BB2464*'01_Вводные'!$B$14</f>
        <v/>
      </c>
      <c r="BD2465">
        <f>'19_Расчет_аналитики'!BC2464*'01_Вводные'!$B$14</f>
        <v/>
      </c>
      <c r="BE2465">
        <f>'19_Расчет_аналитики'!BD2464*'01_Вводные'!$B$14</f>
        <v/>
      </c>
      <c r="BF2465">
        <f>'19_Расчет_аналитики'!BE2464*'01_Вводные'!$B$14</f>
        <v/>
      </c>
      <c r="BG2465">
        <f>'19_Расчет_аналитики'!BF2464*'01_Вводные'!$B$14</f>
        <v/>
      </c>
      <c r="BH2465">
        <f>'19_Расчет_аналитики'!BG2464*'01_Вводные'!$B$14</f>
        <v/>
      </c>
      <c r="BI2465">
        <f>'19_Расчет_аналитики'!BH2464*'01_Вводные'!$B$14</f>
        <v/>
      </c>
      <c r="BJ2465">
        <f>'19_Расчет_аналитики'!BI2464*'01_Вводные'!$B$14</f>
        <v/>
      </c>
      <c r="BK2465">
        <f>'19_Расчет_аналитики'!BJ2464*'01_Вводные'!$B$14</f>
        <v/>
      </c>
      <c r="BL2465">
        <f>'19_Расчет_аналитики'!BK2464*'01_Вводные'!$B$14</f>
        <v/>
      </c>
      <c r="BM2465">
        <f>'19_Расчет_аналитики'!BL2464*'01_Вводные'!$B$14</f>
        <v/>
      </c>
      <c r="BN2465">
        <f>'19_Расчет_аналитики'!BM2464*'01_Вводные'!$B$14</f>
        <v/>
      </c>
      <c r="BO2465">
        <f>'19_Расчет_аналитики'!BN2464*'01_Вводные'!$B$14</f>
        <v/>
      </c>
    </row>
    <row r="2466">
      <c r="B2466">
        <f>'06_Сеть_и_дети'!B87</f>
        <v/>
      </c>
      <c r="C2466">
        <f>'06_Сеть_и_дети'!C87</f>
        <v/>
      </c>
      <c r="D2466">
        <f>'06_Сеть_и_дети'!D87</f>
        <v/>
      </c>
      <c r="E2466">
        <f>'06_Сеть_и_дети'!E87</f>
        <v/>
      </c>
      <c r="F2466">
        <f>'06_Сеть_и_дети'!F87</f>
        <v/>
      </c>
      <c r="G2466">
        <f>'06_Сеть_и_дети'!G87</f>
        <v/>
      </c>
      <c r="H2466">
        <f>'19_Расчет_аналитики'!G2465*'01_Вводные'!$B$14</f>
        <v/>
      </c>
      <c r="I2466">
        <f>'19_Расчет_аналитики'!H2465*'01_Вводные'!$B$14</f>
        <v/>
      </c>
      <c r="J2466">
        <f>'19_Расчет_аналитики'!I2465*'01_Вводные'!$B$14</f>
        <v/>
      </c>
      <c r="K2466">
        <f>'19_Расчет_аналитики'!J2465*'01_Вводные'!$B$14</f>
        <v/>
      </c>
      <c r="L2466">
        <f>'19_Расчет_аналитики'!K2465*'01_Вводные'!$B$14</f>
        <v/>
      </c>
      <c r="M2466">
        <f>'19_Расчет_аналитики'!L2465*'01_Вводные'!$B$14</f>
        <v/>
      </c>
      <c r="N2466">
        <f>'19_Расчет_аналитики'!M2465*'01_Вводные'!$B$14</f>
        <v/>
      </c>
      <c r="O2466">
        <f>'19_Расчет_аналитики'!N2465*'01_Вводные'!$B$14</f>
        <v/>
      </c>
      <c r="P2466">
        <f>'19_Расчет_аналитики'!O2465*'01_Вводные'!$B$14</f>
        <v/>
      </c>
      <c r="Q2466">
        <f>'19_Расчет_аналитики'!P2465*'01_Вводные'!$B$14</f>
        <v/>
      </c>
      <c r="R2466">
        <f>'19_Расчет_аналитики'!Q2465*'01_Вводные'!$B$14</f>
        <v/>
      </c>
      <c r="S2466">
        <f>'19_Расчет_аналитики'!R2465*'01_Вводные'!$B$14</f>
        <v/>
      </c>
      <c r="T2466">
        <f>'19_Расчет_аналитики'!S2465*'01_Вводные'!$B$14</f>
        <v/>
      </c>
      <c r="U2466">
        <f>'19_Расчет_аналитики'!T2465*'01_Вводные'!$B$14</f>
        <v/>
      </c>
      <c r="V2466">
        <f>'19_Расчет_аналитики'!U2465*'01_Вводные'!$B$14</f>
        <v/>
      </c>
      <c r="W2466">
        <f>'19_Расчет_аналитики'!V2465*'01_Вводные'!$B$14</f>
        <v/>
      </c>
      <c r="X2466">
        <f>'19_Расчет_аналитики'!W2465*'01_Вводные'!$B$14</f>
        <v/>
      </c>
      <c r="Y2466">
        <f>'19_Расчет_аналитики'!X2465*'01_Вводные'!$B$14</f>
        <v/>
      </c>
      <c r="Z2466">
        <f>'19_Расчет_аналитики'!Y2465*'01_Вводные'!$B$14</f>
        <v/>
      </c>
      <c r="AA2466">
        <f>'19_Расчет_аналитики'!Z2465*'01_Вводные'!$B$14</f>
        <v/>
      </c>
      <c r="AB2466">
        <f>'19_Расчет_аналитики'!AA2465*'01_Вводные'!$B$14</f>
        <v/>
      </c>
      <c r="AC2466">
        <f>'19_Расчет_аналитики'!AB2465*'01_Вводные'!$B$14</f>
        <v/>
      </c>
      <c r="AD2466">
        <f>'19_Расчет_аналитики'!AC2465*'01_Вводные'!$B$14</f>
        <v/>
      </c>
      <c r="AE2466">
        <f>'19_Расчет_аналитики'!AD2465*'01_Вводные'!$B$14</f>
        <v/>
      </c>
      <c r="AF2466">
        <f>'19_Расчет_аналитики'!AE2465*'01_Вводные'!$B$14</f>
        <v/>
      </c>
      <c r="AG2466">
        <f>'19_Расчет_аналитики'!AF2465*'01_Вводные'!$B$14</f>
        <v/>
      </c>
      <c r="AH2466">
        <f>'19_Расчет_аналитики'!AG2465*'01_Вводные'!$B$14</f>
        <v/>
      </c>
      <c r="AI2466">
        <f>'19_Расчет_аналитики'!AH2465*'01_Вводные'!$B$14</f>
        <v/>
      </c>
      <c r="AJ2466">
        <f>'19_Расчет_аналитики'!AI2465*'01_Вводные'!$B$14</f>
        <v/>
      </c>
      <c r="AK2466">
        <f>'19_Расчет_аналитики'!AJ2465*'01_Вводные'!$B$14</f>
        <v/>
      </c>
      <c r="AL2466">
        <f>'19_Расчет_аналитики'!AK2465*'01_Вводные'!$B$14</f>
        <v/>
      </c>
      <c r="AM2466">
        <f>'19_Расчет_аналитики'!AL2465*'01_Вводные'!$B$14</f>
        <v/>
      </c>
      <c r="AN2466">
        <f>'19_Расчет_аналитики'!AM2465*'01_Вводные'!$B$14</f>
        <v/>
      </c>
      <c r="AO2466">
        <f>'19_Расчет_аналитики'!AN2465*'01_Вводные'!$B$14</f>
        <v/>
      </c>
      <c r="AP2466">
        <f>'19_Расчет_аналитики'!AO2465*'01_Вводные'!$B$14</f>
        <v/>
      </c>
      <c r="AQ2466">
        <f>'19_Расчет_аналитики'!AP2465*'01_Вводные'!$B$14</f>
        <v/>
      </c>
      <c r="AR2466">
        <f>'19_Расчет_аналитики'!AQ2465*'01_Вводные'!$B$14</f>
        <v/>
      </c>
      <c r="AS2466">
        <f>'19_Расчет_аналитики'!AR2465*'01_Вводные'!$B$14</f>
        <v/>
      </c>
      <c r="AT2466">
        <f>'19_Расчет_аналитики'!AS2465*'01_Вводные'!$B$14</f>
        <v/>
      </c>
      <c r="AU2466">
        <f>'19_Расчет_аналитики'!AT2465*'01_Вводные'!$B$14</f>
        <v/>
      </c>
      <c r="AV2466">
        <f>'19_Расчет_аналитики'!AU2465*'01_Вводные'!$B$14</f>
        <v/>
      </c>
      <c r="AW2466">
        <f>'19_Расчет_аналитики'!AV2465*'01_Вводные'!$B$14</f>
        <v/>
      </c>
      <c r="AX2466">
        <f>'19_Расчет_аналитики'!AW2465*'01_Вводные'!$B$14</f>
        <v/>
      </c>
      <c r="AY2466">
        <f>'19_Расчет_аналитики'!AX2465*'01_Вводные'!$B$14</f>
        <v/>
      </c>
      <c r="AZ2466">
        <f>'19_Расчет_аналитики'!AY2465*'01_Вводные'!$B$14</f>
        <v/>
      </c>
      <c r="BA2466">
        <f>'19_Расчет_аналитики'!AZ2465*'01_Вводные'!$B$14</f>
        <v/>
      </c>
      <c r="BB2466">
        <f>'19_Расчет_аналитики'!BA2465*'01_Вводные'!$B$14</f>
        <v/>
      </c>
      <c r="BC2466">
        <f>'19_Расчет_аналитики'!BB2465*'01_Вводные'!$B$14</f>
        <v/>
      </c>
      <c r="BD2466">
        <f>'19_Расчет_аналитики'!BC2465*'01_Вводные'!$B$14</f>
        <v/>
      </c>
      <c r="BE2466">
        <f>'19_Расчет_аналитики'!BD2465*'01_Вводные'!$B$14</f>
        <v/>
      </c>
      <c r="BF2466">
        <f>'19_Расчет_аналитики'!BE2465*'01_Вводные'!$B$14</f>
        <v/>
      </c>
      <c r="BG2466">
        <f>'19_Расчет_аналитики'!BF2465*'01_Вводные'!$B$14</f>
        <v/>
      </c>
      <c r="BH2466">
        <f>'19_Расчет_аналитики'!BG2465*'01_Вводные'!$B$14</f>
        <v/>
      </c>
      <c r="BI2466">
        <f>'19_Расчет_аналитики'!BH2465*'01_Вводные'!$B$14</f>
        <v/>
      </c>
      <c r="BJ2466">
        <f>'19_Расчет_аналитики'!BI2465*'01_Вводные'!$B$14</f>
        <v/>
      </c>
      <c r="BK2466">
        <f>'19_Расчет_аналитики'!BJ2465*'01_Вводные'!$B$14</f>
        <v/>
      </c>
      <c r="BL2466">
        <f>'19_Расчет_аналитики'!BK2465*'01_Вводные'!$B$14</f>
        <v/>
      </c>
      <c r="BM2466">
        <f>'19_Расчет_аналитики'!BL2465*'01_Вводные'!$B$14</f>
        <v/>
      </c>
      <c r="BN2466">
        <f>'19_Расчет_аналитики'!BM2465*'01_Вводные'!$B$14</f>
        <v/>
      </c>
      <c r="BO2466">
        <f>'19_Расчет_аналитики'!BN2465*'01_Вводные'!$B$14</f>
        <v/>
      </c>
    </row>
    <row r="2467">
      <c r="B2467">
        <f>'06_Сеть_и_дети'!B88</f>
        <v/>
      </c>
      <c r="C2467">
        <f>'06_Сеть_и_дети'!C88</f>
        <v/>
      </c>
      <c r="D2467">
        <f>'06_Сеть_и_дети'!D88</f>
        <v/>
      </c>
      <c r="E2467">
        <f>'06_Сеть_и_дети'!E88</f>
        <v/>
      </c>
      <c r="F2467">
        <f>'06_Сеть_и_дети'!F88</f>
        <v/>
      </c>
      <c r="G2467">
        <f>'06_Сеть_и_дети'!G88</f>
        <v/>
      </c>
      <c r="H2467">
        <f>'06_Сеть_и_дети'!H88</f>
        <v/>
      </c>
      <c r="I2467">
        <f>'19_Расчет_аналитики'!H2466*'01_Вводные'!$B$14</f>
        <v/>
      </c>
      <c r="J2467">
        <f>'19_Расчет_аналитики'!I2466*'01_Вводные'!$B$14</f>
        <v/>
      </c>
      <c r="K2467">
        <f>'19_Расчет_аналитики'!J2466*'01_Вводные'!$B$14</f>
        <v/>
      </c>
      <c r="L2467">
        <f>'19_Расчет_аналитики'!K2466*'01_Вводные'!$B$14</f>
        <v/>
      </c>
      <c r="M2467">
        <f>'19_Расчет_аналитики'!L2466*'01_Вводные'!$B$14</f>
        <v/>
      </c>
      <c r="N2467">
        <f>'19_Расчет_аналитики'!M2466*'01_Вводные'!$B$14</f>
        <v/>
      </c>
      <c r="O2467">
        <f>'19_Расчет_аналитики'!N2466*'01_Вводные'!$B$14</f>
        <v/>
      </c>
      <c r="P2467">
        <f>'19_Расчет_аналитики'!O2466*'01_Вводные'!$B$14</f>
        <v/>
      </c>
      <c r="Q2467">
        <f>'19_Расчет_аналитики'!P2466*'01_Вводные'!$B$14</f>
        <v/>
      </c>
      <c r="R2467">
        <f>'19_Расчет_аналитики'!Q2466*'01_Вводные'!$B$14</f>
        <v/>
      </c>
      <c r="S2467">
        <f>'19_Расчет_аналитики'!R2466*'01_Вводные'!$B$14</f>
        <v/>
      </c>
      <c r="T2467">
        <f>'19_Расчет_аналитики'!S2466*'01_Вводные'!$B$14</f>
        <v/>
      </c>
      <c r="U2467">
        <f>'19_Расчет_аналитики'!T2466*'01_Вводные'!$B$14</f>
        <v/>
      </c>
      <c r="V2467">
        <f>'19_Расчет_аналитики'!U2466*'01_Вводные'!$B$14</f>
        <v/>
      </c>
      <c r="W2467">
        <f>'19_Расчет_аналитики'!V2466*'01_Вводные'!$B$14</f>
        <v/>
      </c>
      <c r="X2467">
        <f>'19_Расчет_аналитики'!W2466*'01_Вводные'!$B$14</f>
        <v/>
      </c>
      <c r="Y2467">
        <f>'19_Расчет_аналитики'!X2466*'01_Вводные'!$B$14</f>
        <v/>
      </c>
      <c r="Z2467">
        <f>'19_Расчет_аналитики'!Y2466*'01_Вводные'!$B$14</f>
        <v/>
      </c>
      <c r="AA2467">
        <f>'19_Расчет_аналитики'!Z2466*'01_Вводные'!$B$14</f>
        <v/>
      </c>
      <c r="AB2467">
        <f>'19_Расчет_аналитики'!AA2466*'01_Вводные'!$B$14</f>
        <v/>
      </c>
      <c r="AC2467">
        <f>'19_Расчет_аналитики'!AB2466*'01_Вводные'!$B$14</f>
        <v/>
      </c>
      <c r="AD2467">
        <f>'19_Расчет_аналитики'!AC2466*'01_Вводные'!$B$14</f>
        <v/>
      </c>
      <c r="AE2467">
        <f>'19_Расчет_аналитики'!AD2466*'01_Вводные'!$B$14</f>
        <v/>
      </c>
      <c r="AF2467">
        <f>'19_Расчет_аналитики'!AE2466*'01_Вводные'!$B$14</f>
        <v/>
      </c>
      <c r="AG2467">
        <f>'19_Расчет_аналитики'!AF2466*'01_Вводные'!$B$14</f>
        <v/>
      </c>
      <c r="AH2467">
        <f>'19_Расчет_аналитики'!AG2466*'01_Вводные'!$B$14</f>
        <v/>
      </c>
      <c r="AI2467">
        <f>'19_Расчет_аналитики'!AH2466*'01_Вводные'!$B$14</f>
        <v/>
      </c>
      <c r="AJ2467">
        <f>'19_Расчет_аналитики'!AI2466*'01_Вводные'!$B$14</f>
        <v/>
      </c>
      <c r="AK2467">
        <f>'19_Расчет_аналитики'!AJ2466*'01_Вводные'!$B$14</f>
        <v/>
      </c>
      <c r="AL2467">
        <f>'19_Расчет_аналитики'!AK2466*'01_Вводные'!$B$14</f>
        <v/>
      </c>
      <c r="AM2467">
        <f>'19_Расчет_аналитики'!AL2466*'01_Вводные'!$B$14</f>
        <v/>
      </c>
      <c r="AN2467">
        <f>'19_Расчет_аналитики'!AM2466*'01_Вводные'!$B$14</f>
        <v/>
      </c>
      <c r="AO2467">
        <f>'19_Расчет_аналитики'!AN2466*'01_Вводные'!$B$14</f>
        <v/>
      </c>
      <c r="AP2467">
        <f>'19_Расчет_аналитики'!AO2466*'01_Вводные'!$B$14</f>
        <v/>
      </c>
      <c r="AQ2467">
        <f>'19_Расчет_аналитики'!AP2466*'01_Вводные'!$B$14</f>
        <v/>
      </c>
      <c r="AR2467">
        <f>'19_Расчет_аналитики'!AQ2466*'01_Вводные'!$B$14</f>
        <v/>
      </c>
      <c r="AS2467">
        <f>'19_Расчет_аналитики'!AR2466*'01_Вводные'!$B$14</f>
        <v/>
      </c>
      <c r="AT2467">
        <f>'19_Расчет_аналитики'!AS2466*'01_Вводные'!$B$14</f>
        <v/>
      </c>
      <c r="AU2467">
        <f>'19_Расчет_аналитики'!AT2466*'01_Вводные'!$B$14</f>
        <v/>
      </c>
      <c r="AV2467">
        <f>'19_Расчет_аналитики'!AU2466*'01_Вводные'!$B$14</f>
        <v/>
      </c>
      <c r="AW2467">
        <f>'19_Расчет_аналитики'!AV2466*'01_Вводные'!$B$14</f>
        <v/>
      </c>
      <c r="AX2467">
        <f>'19_Расчет_аналитики'!AW2466*'01_Вводные'!$B$14</f>
        <v/>
      </c>
      <c r="AY2467">
        <f>'19_Расчет_аналитики'!AX2466*'01_Вводные'!$B$14</f>
        <v/>
      </c>
      <c r="AZ2467">
        <f>'19_Расчет_аналитики'!AY2466*'01_Вводные'!$B$14</f>
        <v/>
      </c>
      <c r="BA2467">
        <f>'19_Расчет_аналитики'!AZ2466*'01_Вводные'!$B$14</f>
        <v/>
      </c>
      <c r="BB2467">
        <f>'19_Расчет_аналитики'!BA2466*'01_Вводные'!$B$14</f>
        <v/>
      </c>
      <c r="BC2467">
        <f>'19_Расчет_аналитики'!BB2466*'01_Вводные'!$B$14</f>
        <v/>
      </c>
      <c r="BD2467">
        <f>'19_Расчет_аналитики'!BC2466*'01_Вводные'!$B$14</f>
        <v/>
      </c>
      <c r="BE2467">
        <f>'19_Расчет_аналитики'!BD2466*'01_Вводные'!$B$14</f>
        <v/>
      </c>
      <c r="BF2467">
        <f>'19_Расчет_аналитики'!BE2466*'01_Вводные'!$B$14</f>
        <v/>
      </c>
      <c r="BG2467">
        <f>'19_Расчет_аналитики'!BF2466*'01_Вводные'!$B$14</f>
        <v/>
      </c>
      <c r="BH2467">
        <f>'19_Расчет_аналитики'!BG2466*'01_Вводные'!$B$14</f>
        <v/>
      </c>
      <c r="BI2467">
        <f>'19_Расчет_аналитики'!BH2466*'01_Вводные'!$B$14</f>
        <v/>
      </c>
      <c r="BJ2467">
        <f>'19_Расчет_аналитики'!BI2466*'01_Вводные'!$B$14</f>
        <v/>
      </c>
      <c r="BK2467">
        <f>'19_Расчет_аналитики'!BJ2466*'01_Вводные'!$B$14</f>
        <v/>
      </c>
      <c r="BL2467">
        <f>'19_Расчет_аналитики'!BK2466*'01_Вводные'!$B$14</f>
        <v/>
      </c>
      <c r="BM2467">
        <f>'19_Расчет_аналитики'!BL2466*'01_Вводные'!$B$14</f>
        <v/>
      </c>
      <c r="BN2467">
        <f>'19_Расчет_аналитики'!BM2466*'01_Вводные'!$B$14</f>
        <v/>
      </c>
      <c r="BO2467">
        <f>'19_Расчет_аналитики'!BN2466*'01_Вводные'!$B$14</f>
        <v/>
      </c>
    </row>
    <row r="2468">
      <c r="B2468">
        <f>'06_Сеть_и_дети'!B89</f>
        <v/>
      </c>
      <c r="C2468">
        <f>'06_Сеть_и_дети'!C89</f>
        <v/>
      </c>
      <c r="D2468">
        <f>'06_Сеть_и_дети'!D89</f>
        <v/>
      </c>
      <c r="E2468">
        <f>'06_Сеть_и_дети'!E89</f>
        <v/>
      </c>
      <c r="F2468">
        <f>'06_Сеть_и_дети'!F89</f>
        <v/>
      </c>
      <c r="G2468">
        <f>'06_Сеть_и_дети'!G89</f>
        <v/>
      </c>
      <c r="H2468">
        <f>'06_Сеть_и_дети'!H89</f>
        <v/>
      </c>
      <c r="I2468">
        <f>'06_Сеть_и_дети'!I89</f>
        <v/>
      </c>
      <c r="J2468">
        <f>'19_Расчет_аналитики'!I2467*'01_Вводные'!$B$14</f>
        <v/>
      </c>
      <c r="K2468">
        <f>'19_Расчет_аналитики'!J2467*'01_Вводные'!$B$14</f>
        <v/>
      </c>
      <c r="L2468">
        <f>'19_Расчет_аналитики'!K2467*'01_Вводные'!$B$14</f>
        <v/>
      </c>
      <c r="M2468">
        <f>'19_Расчет_аналитики'!L2467*'01_Вводные'!$B$14</f>
        <v/>
      </c>
      <c r="N2468">
        <f>'19_Расчет_аналитики'!M2467*'01_Вводные'!$B$14</f>
        <v/>
      </c>
      <c r="O2468">
        <f>'19_Расчет_аналитики'!N2467*'01_Вводные'!$B$14</f>
        <v/>
      </c>
      <c r="P2468">
        <f>'19_Расчет_аналитики'!O2467*'01_Вводные'!$B$14</f>
        <v/>
      </c>
      <c r="Q2468">
        <f>'19_Расчет_аналитики'!P2467*'01_Вводные'!$B$14</f>
        <v/>
      </c>
      <c r="R2468">
        <f>'19_Расчет_аналитики'!Q2467*'01_Вводные'!$B$14</f>
        <v/>
      </c>
      <c r="S2468">
        <f>'19_Расчет_аналитики'!R2467*'01_Вводные'!$B$14</f>
        <v/>
      </c>
      <c r="T2468">
        <f>'19_Расчет_аналитики'!S2467*'01_Вводные'!$B$14</f>
        <v/>
      </c>
      <c r="U2468">
        <f>'19_Расчет_аналитики'!T2467*'01_Вводные'!$B$14</f>
        <v/>
      </c>
      <c r="V2468">
        <f>'19_Расчет_аналитики'!U2467*'01_Вводные'!$B$14</f>
        <v/>
      </c>
      <c r="W2468">
        <f>'19_Расчет_аналитики'!V2467*'01_Вводные'!$B$14</f>
        <v/>
      </c>
      <c r="X2468">
        <f>'19_Расчет_аналитики'!W2467*'01_Вводные'!$B$14</f>
        <v/>
      </c>
      <c r="Y2468">
        <f>'19_Расчет_аналитики'!X2467*'01_Вводные'!$B$14</f>
        <v/>
      </c>
      <c r="Z2468">
        <f>'19_Расчет_аналитики'!Y2467*'01_Вводные'!$B$14</f>
        <v/>
      </c>
      <c r="AA2468">
        <f>'19_Расчет_аналитики'!Z2467*'01_Вводные'!$B$14</f>
        <v/>
      </c>
      <c r="AB2468">
        <f>'19_Расчет_аналитики'!AA2467*'01_Вводные'!$B$14</f>
        <v/>
      </c>
      <c r="AC2468">
        <f>'19_Расчет_аналитики'!AB2467*'01_Вводные'!$B$14</f>
        <v/>
      </c>
      <c r="AD2468">
        <f>'19_Расчет_аналитики'!AC2467*'01_Вводные'!$B$14</f>
        <v/>
      </c>
      <c r="AE2468">
        <f>'19_Расчет_аналитики'!AD2467*'01_Вводные'!$B$14</f>
        <v/>
      </c>
      <c r="AF2468">
        <f>'19_Расчет_аналитики'!AE2467*'01_Вводные'!$B$14</f>
        <v/>
      </c>
      <c r="AG2468">
        <f>'19_Расчет_аналитики'!AF2467*'01_Вводные'!$B$14</f>
        <v/>
      </c>
      <c r="AH2468">
        <f>'19_Расчет_аналитики'!AG2467*'01_Вводные'!$B$14</f>
        <v/>
      </c>
      <c r="AI2468">
        <f>'19_Расчет_аналитики'!AH2467*'01_Вводные'!$B$14</f>
        <v/>
      </c>
      <c r="AJ2468">
        <f>'19_Расчет_аналитики'!AI2467*'01_Вводные'!$B$14</f>
        <v/>
      </c>
      <c r="AK2468">
        <f>'19_Расчет_аналитики'!AJ2467*'01_Вводные'!$B$14</f>
        <v/>
      </c>
      <c r="AL2468">
        <f>'19_Расчет_аналитики'!AK2467*'01_Вводные'!$B$14</f>
        <v/>
      </c>
      <c r="AM2468">
        <f>'19_Расчет_аналитики'!AL2467*'01_Вводные'!$B$14</f>
        <v/>
      </c>
      <c r="AN2468">
        <f>'19_Расчет_аналитики'!AM2467*'01_Вводные'!$B$14</f>
        <v/>
      </c>
      <c r="AO2468">
        <f>'19_Расчет_аналитики'!AN2467*'01_Вводные'!$B$14</f>
        <v/>
      </c>
      <c r="AP2468">
        <f>'19_Расчет_аналитики'!AO2467*'01_Вводные'!$B$14</f>
        <v/>
      </c>
      <c r="AQ2468">
        <f>'19_Расчет_аналитики'!AP2467*'01_Вводные'!$B$14</f>
        <v/>
      </c>
      <c r="AR2468">
        <f>'19_Расчет_аналитики'!AQ2467*'01_Вводные'!$B$14</f>
        <v/>
      </c>
      <c r="AS2468">
        <f>'19_Расчет_аналитики'!AR2467*'01_Вводные'!$B$14</f>
        <v/>
      </c>
      <c r="AT2468">
        <f>'19_Расчет_аналитики'!AS2467*'01_Вводные'!$B$14</f>
        <v/>
      </c>
      <c r="AU2468">
        <f>'19_Расчет_аналитики'!AT2467*'01_Вводные'!$B$14</f>
        <v/>
      </c>
      <c r="AV2468">
        <f>'19_Расчет_аналитики'!AU2467*'01_Вводные'!$B$14</f>
        <v/>
      </c>
      <c r="AW2468">
        <f>'19_Расчет_аналитики'!AV2467*'01_Вводные'!$B$14</f>
        <v/>
      </c>
      <c r="AX2468">
        <f>'19_Расчет_аналитики'!AW2467*'01_Вводные'!$B$14</f>
        <v/>
      </c>
      <c r="AY2468">
        <f>'19_Расчет_аналитики'!AX2467*'01_Вводные'!$B$14</f>
        <v/>
      </c>
      <c r="AZ2468">
        <f>'19_Расчет_аналитики'!AY2467*'01_Вводные'!$B$14</f>
        <v/>
      </c>
      <c r="BA2468">
        <f>'19_Расчет_аналитики'!AZ2467*'01_Вводные'!$B$14</f>
        <v/>
      </c>
      <c r="BB2468">
        <f>'19_Расчет_аналитики'!BA2467*'01_Вводные'!$B$14</f>
        <v/>
      </c>
      <c r="BC2468">
        <f>'19_Расчет_аналитики'!BB2467*'01_Вводные'!$B$14</f>
        <v/>
      </c>
      <c r="BD2468">
        <f>'19_Расчет_аналитики'!BC2467*'01_Вводные'!$B$14</f>
        <v/>
      </c>
      <c r="BE2468">
        <f>'19_Расчет_аналитики'!BD2467*'01_Вводные'!$B$14</f>
        <v/>
      </c>
      <c r="BF2468">
        <f>'19_Расчет_аналитики'!BE2467*'01_Вводные'!$B$14</f>
        <v/>
      </c>
      <c r="BG2468">
        <f>'19_Расчет_аналитики'!BF2467*'01_Вводные'!$B$14</f>
        <v/>
      </c>
      <c r="BH2468">
        <f>'19_Расчет_аналитики'!BG2467*'01_Вводные'!$B$14</f>
        <v/>
      </c>
      <c r="BI2468">
        <f>'19_Расчет_аналитики'!BH2467*'01_Вводные'!$B$14</f>
        <v/>
      </c>
      <c r="BJ2468">
        <f>'19_Расчет_аналитики'!BI2467*'01_Вводные'!$B$14</f>
        <v/>
      </c>
      <c r="BK2468">
        <f>'19_Расчет_аналитики'!BJ2467*'01_Вводные'!$B$14</f>
        <v/>
      </c>
      <c r="BL2468">
        <f>'19_Расчет_аналитики'!BK2467*'01_Вводные'!$B$14</f>
        <v/>
      </c>
      <c r="BM2468">
        <f>'19_Расчет_аналитики'!BL2467*'01_Вводные'!$B$14</f>
        <v/>
      </c>
      <c r="BN2468">
        <f>'19_Расчет_аналитики'!BM2467*'01_Вводные'!$B$14</f>
        <v/>
      </c>
      <c r="BO2468">
        <f>'19_Расчет_аналитики'!BN2467*'01_Вводные'!$B$14</f>
        <v/>
      </c>
    </row>
    <row r="2469">
      <c r="B2469">
        <f>'06_Сеть_и_дети'!B90</f>
        <v/>
      </c>
      <c r="C2469">
        <f>'06_Сеть_и_дети'!C90</f>
        <v/>
      </c>
      <c r="D2469">
        <f>'06_Сеть_и_дети'!D90</f>
        <v/>
      </c>
      <c r="E2469">
        <f>'06_Сеть_и_дети'!E90</f>
        <v/>
      </c>
      <c r="F2469">
        <f>'06_Сеть_и_дети'!F90</f>
        <v/>
      </c>
      <c r="G2469">
        <f>'06_Сеть_и_дети'!G90</f>
        <v/>
      </c>
      <c r="H2469">
        <f>'06_Сеть_и_дети'!H90</f>
        <v/>
      </c>
      <c r="I2469">
        <f>'06_Сеть_и_дети'!I90</f>
        <v/>
      </c>
      <c r="J2469">
        <f>'06_Сеть_и_дети'!J90</f>
        <v/>
      </c>
      <c r="K2469">
        <f>'19_Расчет_аналитики'!J2468*'01_Вводные'!$B$14</f>
        <v/>
      </c>
      <c r="L2469">
        <f>'19_Расчет_аналитики'!K2468*'01_Вводные'!$B$14</f>
        <v/>
      </c>
      <c r="M2469">
        <f>'19_Расчет_аналитики'!L2468*'01_Вводные'!$B$14</f>
        <v/>
      </c>
      <c r="N2469">
        <f>'19_Расчет_аналитики'!M2468*'01_Вводные'!$B$14</f>
        <v/>
      </c>
      <c r="O2469">
        <f>'19_Расчет_аналитики'!N2468*'01_Вводные'!$B$14</f>
        <v/>
      </c>
      <c r="P2469">
        <f>'19_Расчет_аналитики'!O2468*'01_Вводные'!$B$14</f>
        <v/>
      </c>
      <c r="Q2469">
        <f>'19_Расчет_аналитики'!P2468*'01_Вводные'!$B$14</f>
        <v/>
      </c>
      <c r="R2469">
        <f>'19_Расчет_аналитики'!Q2468*'01_Вводные'!$B$14</f>
        <v/>
      </c>
      <c r="S2469">
        <f>'19_Расчет_аналитики'!R2468*'01_Вводные'!$B$14</f>
        <v/>
      </c>
      <c r="T2469">
        <f>'19_Расчет_аналитики'!S2468*'01_Вводные'!$B$14</f>
        <v/>
      </c>
      <c r="U2469">
        <f>'19_Расчет_аналитики'!T2468*'01_Вводные'!$B$14</f>
        <v/>
      </c>
      <c r="V2469">
        <f>'19_Расчет_аналитики'!U2468*'01_Вводные'!$B$14</f>
        <v/>
      </c>
      <c r="W2469">
        <f>'19_Расчет_аналитики'!V2468*'01_Вводные'!$B$14</f>
        <v/>
      </c>
      <c r="X2469">
        <f>'19_Расчет_аналитики'!W2468*'01_Вводные'!$B$14</f>
        <v/>
      </c>
      <c r="Y2469">
        <f>'19_Расчет_аналитики'!X2468*'01_Вводные'!$B$14</f>
        <v/>
      </c>
      <c r="Z2469">
        <f>'19_Расчет_аналитики'!Y2468*'01_Вводные'!$B$14</f>
        <v/>
      </c>
      <c r="AA2469">
        <f>'19_Расчет_аналитики'!Z2468*'01_Вводные'!$B$14</f>
        <v/>
      </c>
      <c r="AB2469">
        <f>'19_Расчет_аналитики'!AA2468*'01_Вводные'!$B$14</f>
        <v/>
      </c>
      <c r="AC2469">
        <f>'19_Расчет_аналитики'!AB2468*'01_Вводные'!$B$14</f>
        <v/>
      </c>
      <c r="AD2469">
        <f>'19_Расчет_аналитики'!AC2468*'01_Вводные'!$B$14</f>
        <v/>
      </c>
      <c r="AE2469">
        <f>'19_Расчет_аналитики'!AD2468*'01_Вводные'!$B$14</f>
        <v/>
      </c>
      <c r="AF2469">
        <f>'19_Расчет_аналитики'!AE2468*'01_Вводные'!$B$14</f>
        <v/>
      </c>
      <c r="AG2469">
        <f>'19_Расчет_аналитики'!AF2468*'01_Вводные'!$B$14</f>
        <v/>
      </c>
      <c r="AH2469">
        <f>'19_Расчет_аналитики'!AG2468*'01_Вводные'!$B$14</f>
        <v/>
      </c>
      <c r="AI2469">
        <f>'19_Расчет_аналитики'!AH2468*'01_Вводные'!$B$14</f>
        <v/>
      </c>
      <c r="AJ2469">
        <f>'19_Расчет_аналитики'!AI2468*'01_Вводные'!$B$14</f>
        <v/>
      </c>
      <c r="AK2469">
        <f>'19_Расчет_аналитики'!AJ2468*'01_Вводные'!$B$14</f>
        <v/>
      </c>
      <c r="AL2469">
        <f>'19_Расчет_аналитики'!AK2468*'01_Вводные'!$B$14</f>
        <v/>
      </c>
      <c r="AM2469">
        <f>'19_Расчет_аналитики'!AL2468*'01_Вводные'!$B$14</f>
        <v/>
      </c>
      <c r="AN2469">
        <f>'19_Расчет_аналитики'!AM2468*'01_Вводные'!$B$14</f>
        <v/>
      </c>
      <c r="AO2469">
        <f>'19_Расчет_аналитики'!AN2468*'01_Вводные'!$B$14</f>
        <v/>
      </c>
      <c r="AP2469">
        <f>'19_Расчет_аналитики'!AO2468*'01_Вводные'!$B$14</f>
        <v/>
      </c>
      <c r="AQ2469">
        <f>'19_Расчет_аналитики'!AP2468*'01_Вводные'!$B$14</f>
        <v/>
      </c>
      <c r="AR2469">
        <f>'19_Расчет_аналитики'!AQ2468*'01_Вводные'!$B$14</f>
        <v/>
      </c>
      <c r="AS2469">
        <f>'19_Расчет_аналитики'!AR2468*'01_Вводные'!$B$14</f>
        <v/>
      </c>
      <c r="AT2469">
        <f>'19_Расчет_аналитики'!AS2468*'01_Вводные'!$B$14</f>
        <v/>
      </c>
      <c r="AU2469">
        <f>'19_Расчет_аналитики'!AT2468*'01_Вводные'!$B$14</f>
        <v/>
      </c>
      <c r="AV2469">
        <f>'19_Расчет_аналитики'!AU2468*'01_Вводные'!$B$14</f>
        <v/>
      </c>
      <c r="AW2469">
        <f>'19_Расчет_аналитики'!AV2468*'01_Вводные'!$B$14</f>
        <v/>
      </c>
      <c r="AX2469">
        <f>'19_Расчет_аналитики'!AW2468*'01_Вводные'!$B$14</f>
        <v/>
      </c>
      <c r="AY2469">
        <f>'19_Расчет_аналитики'!AX2468*'01_Вводные'!$B$14</f>
        <v/>
      </c>
      <c r="AZ2469">
        <f>'19_Расчет_аналитики'!AY2468*'01_Вводные'!$B$14</f>
        <v/>
      </c>
      <c r="BA2469">
        <f>'19_Расчет_аналитики'!AZ2468*'01_Вводные'!$B$14</f>
        <v/>
      </c>
      <c r="BB2469">
        <f>'19_Расчет_аналитики'!BA2468*'01_Вводные'!$B$14</f>
        <v/>
      </c>
      <c r="BC2469">
        <f>'19_Расчет_аналитики'!BB2468*'01_Вводные'!$B$14</f>
        <v/>
      </c>
      <c r="BD2469">
        <f>'19_Расчет_аналитики'!BC2468*'01_Вводные'!$B$14</f>
        <v/>
      </c>
      <c r="BE2469">
        <f>'19_Расчет_аналитики'!BD2468*'01_Вводные'!$B$14</f>
        <v/>
      </c>
      <c r="BF2469">
        <f>'19_Расчет_аналитики'!BE2468*'01_Вводные'!$B$14</f>
        <v/>
      </c>
      <c r="BG2469">
        <f>'19_Расчет_аналитики'!BF2468*'01_Вводные'!$B$14</f>
        <v/>
      </c>
      <c r="BH2469">
        <f>'19_Расчет_аналитики'!BG2468*'01_Вводные'!$B$14</f>
        <v/>
      </c>
      <c r="BI2469">
        <f>'19_Расчет_аналитики'!BH2468*'01_Вводные'!$B$14</f>
        <v/>
      </c>
      <c r="BJ2469">
        <f>'19_Расчет_аналитики'!BI2468*'01_Вводные'!$B$14</f>
        <v/>
      </c>
      <c r="BK2469">
        <f>'19_Расчет_аналитики'!BJ2468*'01_Вводные'!$B$14</f>
        <v/>
      </c>
      <c r="BL2469">
        <f>'19_Расчет_аналитики'!BK2468*'01_Вводные'!$B$14</f>
        <v/>
      </c>
      <c r="BM2469">
        <f>'19_Расчет_аналитики'!BL2468*'01_Вводные'!$B$14</f>
        <v/>
      </c>
      <c r="BN2469">
        <f>'19_Расчет_аналитики'!BM2468*'01_Вводные'!$B$14</f>
        <v/>
      </c>
      <c r="BO2469">
        <f>'19_Расчет_аналитики'!BN2468*'01_Вводные'!$B$14</f>
        <v/>
      </c>
    </row>
    <row r="2470">
      <c r="B2470">
        <f>'06_Сеть_и_дети'!B91</f>
        <v/>
      </c>
      <c r="C2470">
        <f>'06_Сеть_и_дети'!C91</f>
        <v/>
      </c>
      <c r="D2470">
        <f>'06_Сеть_и_дети'!D91</f>
        <v/>
      </c>
      <c r="E2470">
        <f>'06_Сеть_и_дети'!E91</f>
        <v/>
      </c>
      <c r="F2470">
        <f>'06_Сеть_и_дети'!F91</f>
        <v/>
      </c>
      <c r="G2470">
        <f>'06_Сеть_и_дети'!G91</f>
        <v/>
      </c>
      <c r="H2470">
        <f>'06_Сеть_и_дети'!H91</f>
        <v/>
      </c>
      <c r="I2470">
        <f>'06_Сеть_и_дети'!I91</f>
        <v/>
      </c>
      <c r="J2470">
        <f>'06_Сеть_и_дети'!J91</f>
        <v/>
      </c>
      <c r="K2470">
        <f>'06_Сеть_и_дети'!K91</f>
        <v/>
      </c>
      <c r="L2470">
        <f>'19_Расчет_аналитики'!K2469*'01_Вводные'!$B$14</f>
        <v/>
      </c>
      <c r="M2470">
        <f>'19_Расчет_аналитики'!L2469*'01_Вводные'!$B$14</f>
        <v/>
      </c>
      <c r="N2470">
        <f>'19_Расчет_аналитики'!M2469*'01_Вводные'!$B$14</f>
        <v/>
      </c>
      <c r="O2470">
        <f>'19_Расчет_аналитики'!N2469*'01_Вводные'!$B$14</f>
        <v/>
      </c>
      <c r="P2470">
        <f>'19_Расчет_аналитики'!O2469*'01_Вводные'!$B$14</f>
        <v/>
      </c>
      <c r="Q2470">
        <f>'19_Расчет_аналитики'!P2469*'01_Вводные'!$B$14</f>
        <v/>
      </c>
      <c r="R2470">
        <f>'19_Расчет_аналитики'!Q2469*'01_Вводные'!$B$14</f>
        <v/>
      </c>
      <c r="S2470">
        <f>'19_Расчет_аналитики'!R2469*'01_Вводные'!$B$14</f>
        <v/>
      </c>
      <c r="T2470">
        <f>'19_Расчет_аналитики'!S2469*'01_Вводные'!$B$14</f>
        <v/>
      </c>
      <c r="U2470">
        <f>'19_Расчет_аналитики'!T2469*'01_Вводные'!$B$14</f>
        <v/>
      </c>
      <c r="V2470">
        <f>'19_Расчет_аналитики'!U2469*'01_Вводные'!$B$14</f>
        <v/>
      </c>
      <c r="W2470">
        <f>'19_Расчет_аналитики'!V2469*'01_Вводные'!$B$14</f>
        <v/>
      </c>
      <c r="X2470">
        <f>'19_Расчет_аналитики'!W2469*'01_Вводные'!$B$14</f>
        <v/>
      </c>
      <c r="Y2470">
        <f>'19_Расчет_аналитики'!X2469*'01_Вводные'!$B$14</f>
        <v/>
      </c>
      <c r="Z2470">
        <f>'19_Расчет_аналитики'!Y2469*'01_Вводные'!$B$14</f>
        <v/>
      </c>
      <c r="AA2470">
        <f>'19_Расчет_аналитики'!Z2469*'01_Вводные'!$B$14</f>
        <v/>
      </c>
      <c r="AB2470">
        <f>'19_Расчет_аналитики'!AA2469*'01_Вводные'!$B$14</f>
        <v/>
      </c>
      <c r="AC2470">
        <f>'19_Расчет_аналитики'!AB2469*'01_Вводные'!$B$14</f>
        <v/>
      </c>
      <c r="AD2470">
        <f>'19_Расчет_аналитики'!AC2469*'01_Вводные'!$B$14</f>
        <v/>
      </c>
      <c r="AE2470">
        <f>'19_Расчет_аналитики'!AD2469*'01_Вводные'!$B$14</f>
        <v/>
      </c>
      <c r="AF2470">
        <f>'19_Расчет_аналитики'!AE2469*'01_Вводные'!$B$14</f>
        <v/>
      </c>
      <c r="AG2470">
        <f>'19_Расчет_аналитики'!AF2469*'01_Вводные'!$B$14</f>
        <v/>
      </c>
      <c r="AH2470">
        <f>'19_Расчет_аналитики'!AG2469*'01_Вводные'!$B$14</f>
        <v/>
      </c>
      <c r="AI2470">
        <f>'19_Расчет_аналитики'!AH2469*'01_Вводные'!$B$14</f>
        <v/>
      </c>
      <c r="AJ2470">
        <f>'19_Расчет_аналитики'!AI2469*'01_Вводные'!$B$14</f>
        <v/>
      </c>
      <c r="AK2470">
        <f>'19_Расчет_аналитики'!AJ2469*'01_Вводные'!$B$14</f>
        <v/>
      </c>
      <c r="AL2470">
        <f>'19_Расчет_аналитики'!AK2469*'01_Вводные'!$B$14</f>
        <v/>
      </c>
      <c r="AM2470">
        <f>'19_Расчет_аналитики'!AL2469*'01_Вводные'!$B$14</f>
        <v/>
      </c>
      <c r="AN2470">
        <f>'19_Расчет_аналитики'!AM2469*'01_Вводные'!$B$14</f>
        <v/>
      </c>
      <c r="AO2470">
        <f>'19_Расчет_аналитики'!AN2469*'01_Вводные'!$B$14</f>
        <v/>
      </c>
      <c r="AP2470">
        <f>'19_Расчет_аналитики'!AO2469*'01_Вводные'!$B$14</f>
        <v/>
      </c>
      <c r="AQ2470">
        <f>'19_Расчет_аналитики'!AP2469*'01_Вводные'!$B$14</f>
        <v/>
      </c>
      <c r="AR2470">
        <f>'19_Расчет_аналитики'!AQ2469*'01_Вводные'!$B$14</f>
        <v/>
      </c>
      <c r="AS2470">
        <f>'19_Расчет_аналитики'!AR2469*'01_Вводные'!$B$14</f>
        <v/>
      </c>
      <c r="AT2470">
        <f>'19_Расчет_аналитики'!AS2469*'01_Вводные'!$B$14</f>
        <v/>
      </c>
      <c r="AU2470">
        <f>'19_Расчет_аналитики'!AT2469*'01_Вводные'!$B$14</f>
        <v/>
      </c>
      <c r="AV2470">
        <f>'19_Расчет_аналитики'!AU2469*'01_Вводные'!$B$14</f>
        <v/>
      </c>
      <c r="AW2470">
        <f>'19_Расчет_аналитики'!AV2469*'01_Вводные'!$B$14</f>
        <v/>
      </c>
      <c r="AX2470">
        <f>'19_Расчет_аналитики'!AW2469*'01_Вводные'!$B$14</f>
        <v/>
      </c>
      <c r="AY2470">
        <f>'19_Расчет_аналитики'!AX2469*'01_Вводные'!$B$14</f>
        <v/>
      </c>
      <c r="AZ2470">
        <f>'19_Расчет_аналитики'!AY2469*'01_Вводные'!$B$14</f>
        <v/>
      </c>
      <c r="BA2470">
        <f>'19_Расчет_аналитики'!AZ2469*'01_Вводные'!$B$14</f>
        <v/>
      </c>
      <c r="BB2470">
        <f>'19_Расчет_аналитики'!BA2469*'01_Вводные'!$B$14</f>
        <v/>
      </c>
      <c r="BC2470">
        <f>'19_Расчет_аналитики'!BB2469*'01_Вводные'!$B$14</f>
        <v/>
      </c>
      <c r="BD2470">
        <f>'19_Расчет_аналитики'!BC2469*'01_Вводные'!$B$14</f>
        <v/>
      </c>
      <c r="BE2470">
        <f>'19_Расчет_аналитики'!BD2469*'01_Вводные'!$B$14</f>
        <v/>
      </c>
      <c r="BF2470">
        <f>'19_Расчет_аналитики'!BE2469*'01_Вводные'!$B$14</f>
        <v/>
      </c>
      <c r="BG2470">
        <f>'19_Расчет_аналитики'!BF2469*'01_Вводные'!$B$14</f>
        <v/>
      </c>
      <c r="BH2470">
        <f>'19_Расчет_аналитики'!BG2469*'01_Вводные'!$B$14</f>
        <v/>
      </c>
      <c r="BI2470">
        <f>'19_Расчет_аналитики'!BH2469*'01_Вводные'!$B$14</f>
        <v/>
      </c>
      <c r="BJ2470">
        <f>'19_Расчет_аналитики'!BI2469*'01_Вводные'!$B$14</f>
        <v/>
      </c>
      <c r="BK2470">
        <f>'19_Расчет_аналитики'!BJ2469*'01_Вводные'!$B$14</f>
        <v/>
      </c>
      <c r="BL2470">
        <f>'19_Расчет_аналитики'!BK2469*'01_Вводные'!$B$14</f>
        <v/>
      </c>
      <c r="BM2470">
        <f>'19_Расчет_аналитики'!BL2469*'01_Вводные'!$B$14</f>
        <v/>
      </c>
      <c r="BN2470">
        <f>'19_Расчет_аналитики'!BM2469*'01_Вводные'!$B$14</f>
        <v/>
      </c>
      <c r="BO2470">
        <f>'19_Расчет_аналитики'!BN2469*'01_Вводные'!$B$14</f>
        <v/>
      </c>
    </row>
    <row r="2471">
      <c r="B2471">
        <f>'06_Сеть_и_дети'!B92</f>
        <v/>
      </c>
      <c r="C2471">
        <f>'06_Сеть_и_дети'!C92</f>
        <v/>
      </c>
      <c r="D2471">
        <f>'06_Сеть_и_дети'!D92</f>
        <v/>
      </c>
      <c r="E2471">
        <f>'06_Сеть_и_дети'!E92</f>
        <v/>
      </c>
      <c r="F2471">
        <f>'06_Сеть_и_дети'!F92</f>
        <v/>
      </c>
      <c r="G2471">
        <f>'06_Сеть_и_дети'!G92</f>
        <v/>
      </c>
      <c r="H2471">
        <f>'06_Сеть_и_дети'!H92</f>
        <v/>
      </c>
      <c r="I2471">
        <f>'06_Сеть_и_дети'!I92</f>
        <v/>
      </c>
      <c r="J2471">
        <f>'06_Сеть_и_дети'!J92</f>
        <v/>
      </c>
      <c r="K2471">
        <f>'06_Сеть_и_дети'!K92</f>
        <v/>
      </c>
      <c r="L2471">
        <f>'06_Сеть_и_дети'!L92</f>
        <v/>
      </c>
      <c r="M2471">
        <f>'19_Расчет_аналитики'!L2470*'01_Вводные'!$B$14</f>
        <v/>
      </c>
      <c r="N2471">
        <f>'19_Расчет_аналитики'!M2470*'01_Вводные'!$B$14</f>
        <v/>
      </c>
      <c r="O2471">
        <f>'19_Расчет_аналитики'!N2470*'01_Вводные'!$B$14</f>
        <v/>
      </c>
      <c r="P2471">
        <f>'19_Расчет_аналитики'!O2470*'01_Вводные'!$B$14</f>
        <v/>
      </c>
      <c r="Q2471">
        <f>'19_Расчет_аналитики'!P2470*'01_Вводные'!$B$14</f>
        <v/>
      </c>
      <c r="R2471">
        <f>'19_Расчет_аналитики'!Q2470*'01_Вводные'!$B$14</f>
        <v/>
      </c>
      <c r="S2471">
        <f>'19_Расчет_аналитики'!R2470*'01_Вводные'!$B$14</f>
        <v/>
      </c>
      <c r="T2471">
        <f>'19_Расчет_аналитики'!S2470*'01_Вводные'!$B$14</f>
        <v/>
      </c>
      <c r="U2471">
        <f>'19_Расчет_аналитики'!T2470*'01_Вводные'!$B$14</f>
        <v/>
      </c>
      <c r="V2471">
        <f>'19_Расчет_аналитики'!U2470*'01_Вводные'!$B$14</f>
        <v/>
      </c>
      <c r="W2471">
        <f>'19_Расчет_аналитики'!V2470*'01_Вводные'!$B$14</f>
        <v/>
      </c>
      <c r="X2471">
        <f>'19_Расчет_аналитики'!W2470*'01_Вводные'!$B$14</f>
        <v/>
      </c>
      <c r="Y2471">
        <f>'19_Расчет_аналитики'!X2470*'01_Вводные'!$B$14</f>
        <v/>
      </c>
      <c r="Z2471">
        <f>'19_Расчет_аналитики'!Y2470*'01_Вводные'!$B$14</f>
        <v/>
      </c>
      <c r="AA2471">
        <f>'19_Расчет_аналитики'!Z2470*'01_Вводные'!$B$14</f>
        <v/>
      </c>
      <c r="AB2471">
        <f>'19_Расчет_аналитики'!AA2470*'01_Вводные'!$B$14</f>
        <v/>
      </c>
      <c r="AC2471">
        <f>'19_Расчет_аналитики'!AB2470*'01_Вводные'!$B$14</f>
        <v/>
      </c>
      <c r="AD2471">
        <f>'19_Расчет_аналитики'!AC2470*'01_Вводные'!$B$14</f>
        <v/>
      </c>
      <c r="AE2471">
        <f>'19_Расчет_аналитики'!AD2470*'01_Вводные'!$B$14</f>
        <v/>
      </c>
      <c r="AF2471">
        <f>'19_Расчет_аналитики'!AE2470*'01_Вводные'!$B$14</f>
        <v/>
      </c>
      <c r="AG2471">
        <f>'19_Расчет_аналитики'!AF2470*'01_Вводные'!$B$14</f>
        <v/>
      </c>
      <c r="AH2471">
        <f>'19_Расчет_аналитики'!AG2470*'01_Вводные'!$B$14</f>
        <v/>
      </c>
      <c r="AI2471">
        <f>'19_Расчет_аналитики'!AH2470*'01_Вводные'!$B$14</f>
        <v/>
      </c>
      <c r="AJ2471">
        <f>'19_Расчет_аналитики'!AI2470*'01_Вводные'!$B$14</f>
        <v/>
      </c>
      <c r="AK2471">
        <f>'19_Расчет_аналитики'!AJ2470*'01_Вводные'!$B$14</f>
        <v/>
      </c>
      <c r="AL2471">
        <f>'19_Расчет_аналитики'!AK2470*'01_Вводные'!$B$14</f>
        <v/>
      </c>
      <c r="AM2471">
        <f>'19_Расчет_аналитики'!AL2470*'01_Вводные'!$B$14</f>
        <v/>
      </c>
      <c r="AN2471">
        <f>'19_Расчет_аналитики'!AM2470*'01_Вводные'!$B$14</f>
        <v/>
      </c>
      <c r="AO2471">
        <f>'19_Расчет_аналитики'!AN2470*'01_Вводные'!$B$14</f>
        <v/>
      </c>
      <c r="AP2471">
        <f>'19_Расчет_аналитики'!AO2470*'01_Вводные'!$B$14</f>
        <v/>
      </c>
      <c r="AQ2471">
        <f>'19_Расчет_аналитики'!AP2470*'01_Вводные'!$B$14</f>
        <v/>
      </c>
      <c r="AR2471">
        <f>'19_Расчет_аналитики'!AQ2470*'01_Вводные'!$B$14</f>
        <v/>
      </c>
      <c r="AS2471">
        <f>'19_Расчет_аналитики'!AR2470*'01_Вводные'!$B$14</f>
        <v/>
      </c>
      <c r="AT2471">
        <f>'19_Расчет_аналитики'!AS2470*'01_Вводные'!$B$14</f>
        <v/>
      </c>
      <c r="AU2471">
        <f>'19_Расчет_аналитики'!AT2470*'01_Вводные'!$B$14</f>
        <v/>
      </c>
      <c r="AV2471">
        <f>'19_Расчет_аналитики'!AU2470*'01_Вводные'!$B$14</f>
        <v/>
      </c>
      <c r="AW2471">
        <f>'19_Расчет_аналитики'!AV2470*'01_Вводные'!$B$14</f>
        <v/>
      </c>
      <c r="AX2471">
        <f>'19_Расчет_аналитики'!AW2470*'01_Вводные'!$B$14</f>
        <v/>
      </c>
      <c r="AY2471">
        <f>'19_Расчет_аналитики'!AX2470*'01_Вводные'!$B$14</f>
        <v/>
      </c>
      <c r="AZ2471">
        <f>'19_Расчет_аналитики'!AY2470*'01_Вводные'!$B$14</f>
        <v/>
      </c>
      <c r="BA2471">
        <f>'19_Расчет_аналитики'!AZ2470*'01_Вводные'!$B$14</f>
        <v/>
      </c>
      <c r="BB2471">
        <f>'19_Расчет_аналитики'!BA2470*'01_Вводные'!$B$14</f>
        <v/>
      </c>
      <c r="BC2471">
        <f>'19_Расчет_аналитики'!BB2470*'01_Вводные'!$B$14</f>
        <v/>
      </c>
      <c r="BD2471">
        <f>'19_Расчет_аналитики'!BC2470*'01_Вводные'!$B$14</f>
        <v/>
      </c>
      <c r="BE2471">
        <f>'19_Расчет_аналитики'!BD2470*'01_Вводные'!$B$14</f>
        <v/>
      </c>
      <c r="BF2471">
        <f>'19_Расчет_аналитики'!BE2470*'01_Вводные'!$B$14</f>
        <v/>
      </c>
      <c r="BG2471">
        <f>'19_Расчет_аналитики'!BF2470*'01_Вводные'!$B$14</f>
        <v/>
      </c>
      <c r="BH2471">
        <f>'19_Расчет_аналитики'!BG2470*'01_Вводные'!$B$14</f>
        <v/>
      </c>
      <c r="BI2471">
        <f>'19_Расчет_аналитики'!BH2470*'01_Вводные'!$B$14</f>
        <v/>
      </c>
      <c r="BJ2471">
        <f>'19_Расчет_аналитики'!BI2470*'01_Вводные'!$B$14</f>
        <v/>
      </c>
      <c r="BK2471">
        <f>'19_Расчет_аналитики'!BJ2470*'01_Вводные'!$B$14</f>
        <v/>
      </c>
      <c r="BL2471">
        <f>'19_Расчет_аналитики'!BK2470*'01_Вводные'!$B$14</f>
        <v/>
      </c>
      <c r="BM2471">
        <f>'19_Расчет_аналитики'!BL2470*'01_Вводные'!$B$14</f>
        <v/>
      </c>
      <c r="BN2471">
        <f>'19_Расчет_аналитики'!BM2470*'01_Вводные'!$B$14</f>
        <v/>
      </c>
      <c r="BO2471">
        <f>'19_Расчет_аналитики'!BN2470*'01_Вводные'!$B$14</f>
        <v/>
      </c>
    </row>
    <row r="2472">
      <c r="N2472">
        <f>'19_Расчет_аналитики'!M2471*'01_Вводные'!$B$14</f>
        <v/>
      </c>
      <c r="O2472">
        <f>'19_Расчет_аналитики'!N2471*'01_Вводные'!$B$14</f>
        <v/>
      </c>
      <c r="P2472">
        <f>'19_Расчет_аналитики'!O2471*'01_Вводные'!$B$14</f>
        <v/>
      </c>
      <c r="Q2472">
        <f>'19_Расчет_аналитики'!P2471*'01_Вводные'!$B$14</f>
        <v/>
      </c>
      <c r="R2472">
        <f>'19_Расчет_аналитики'!Q2471*'01_Вводные'!$B$14</f>
        <v/>
      </c>
      <c r="S2472">
        <f>'19_Расчет_аналитики'!R2471*'01_Вводные'!$B$14</f>
        <v/>
      </c>
      <c r="T2472">
        <f>'19_Расчет_аналитики'!S2471*'01_Вводные'!$B$14</f>
        <v/>
      </c>
      <c r="U2472">
        <f>'19_Расчет_аналитики'!T2471*'01_Вводные'!$B$14</f>
        <v/>
      </c>
      <c r="V2472">
        <f>'19_Расчет_аналитики'!U2471*'01_Вводные'!$B$14</f>
        <v/>
      </c>
      <c r="W2472">
        <f>'19_Расчет_аналитики'!V2471*'01_Вводные'!$B$14</f>
        <v/>
      </c>
      <c r="X2472">
        <f>'19_Расчет_аналитики'!W2471*'01_Вводные'!$B$14</f>
        <v/>
      </c>
      <c r="Y2472">
        <f>'19_Расчет_аналитики'!X2471*'01_Вводные'!$B$14</f>
        <v/>
      </c>
      <c r="Z2472">
        <f>'19_Расчет_аналитики'!Y2471*'01_Вводные'!$B$14</f>
        <v/>
      </c>
      <c r="AA2472">
        <f>'19_Расчет_аналитики'!Z2471*'01_Вводные'!$B$14</f>
        <v/>
      </c>
      <c r="AB2472">
        <f>'19_Расчет_аналитики'!AA2471*'01_Вводные'!$B$14</f>
        <v/>
      </c>
      <c r="AC2472">
        <f>'19_Расчет_аналитики'!AB2471*'01_Вводные'!$B$14</f>
        <v/>
      </c>
      <c r="AD2472">
        <f>'19_Расчет_аналитики'!AC2471*'01_Вводные'!$B$14</f>
        <v/>
      </c>
      <c r="AE2472">
        <f>'19_Расчет_аналитики'!AD2471*'01_Вводные'!$B$14</f>
        <v/>
      </c>
      <c r="AF2472">
        <f>'19_Расчет_аналитики'!AE2471*'01_Вводные'!$B$14</f>
        <v/>
      </c>
      <c r="AG2472">
        <f>'19_Расчет_аналитики'!AF2471*'01_Вводные'!$B$14</f>
        <v/>
      </c>
      <c r="AH2472">
        <f>'19_Расчет_аналитики'!AG2471*'01_Вводные'!$B$14</f>
        <v/>
      </c>
      <c r="AI2472">
        <f>'19_Расчет_аналитики'!AH2471*'01_Вводные'!$B$14</f>
        <v/>
      </c>
      <c r="AJ2472">
        <f>'19_Расчет_аналитики'!AI2471*'01_Вводные'!$B$14</f>
        <v/>
      </c>
      <c r="AK2472">
        <f>'19_Расчет_аналитики'!AJ2471*'01_Вводные'!$B$14</f>
        <v/>
      </c>
      <c r="AL2472">
        <f>'19_Расчет_аналитики'!AK2471*'01_Вводные'!$B$14</f>
        <v/>
      </c>
      <c r="AM2472">
        <f>'19_Расчет_аналитики'!AL2471*'01_Вводные'!$B$14</f>
        <v/>
      </c>
      <c r="AN2472">
        <f>'19_Расчет_аналитики'!AM2471*'01_Вводные'!$B$14</f>
        <v/>
      </c>
      <c r="AO2472">
        <f>'19_Расчет_аналитики'!AN2471*'01_Вводные'!$B$14</f>
        <v/>
      </c>
      <c r="AP2472">
        <f>'19_Расчет_аналитики'!AO2471*'01_Вводные'!$B$14</f>
        <v/>
      </c>
      <c r="AQ2472">
        <f>'19_Расчет_аналитики'!AP2471*'01_Вводные'!$B$14</f>
        <v/>
      </c>
      <c r="AR2472">
        <f>'19_Расчет_аналитики'!AQ2471*'01_Вводные'!$B$14</f>
        <v/>
      </c>
      <c r="AS2472">
        <f>'19_Расчет_аналитики'!AR2471*'01_Вводные'!$B$14</f>
        <v/>
      </c>
      <c r="AT2472">
        <f>'19_Расчет_аналитики'!AS2471*'01_Вводные'!$B$14</f>
        <v/>
      </c>
      <c r="AU2472">
        <f>'19_Расчет_аналитики'!AT2471*'01_Вводные'!$B$14</f>
        <v/>
      </c>
      <c r="AV2472">
        <f>'19_Расчет_аналитики'!AU2471*'01_Вводные'!$B$14</f>
        <v/>
      </c>
      <c r="AW2472">
        <f>'19_Расчет_аналитики'!AV2471*'01_Вводные'!$B$14</f>
        <v/>
      </c>
      <c r="AX2472">
        <f>'19_Расчет_аналитики'!AW2471*'01_Вводные'!$B$14</f>
        <v/>
      </c>
      <c r="AY2472">
        <f>'19_Расчет_аналитики'!AX2471*'01_Вводные'!$B$14</f>
        <v/>
      </c>
      <c r="AZ2472">
        <f>'19_Расчет_аналитики'!AY2471*'01_Вводные'!$B$14</f>
        <v/>
      </c>
      <c r="BA2472">
        <f>'19_Расчет_аналитики'!AZ2471*'01_Вводные'!$B$14</f>
        <v/>
      </c>
      <c r="BB2472">
        <f>'19_Расчет_аналитики'!BA2471*'01_Вводные'!$B$14</f>
        <v/>
      </c>
      <c r="BC2472">
        <f>'19_Расчет_аналитики'!BB2471*'01_Вводные'!$B$14</f>
        <v/>
      </c>
      <c r="BD2472">
        <f>'19_Расчет_аналитики'!BC2471*'01_Вводные'!$B$14</f>
        <v/>
      </c>
      <c r="BE2472">
        <f>'19_Расчет_аналитики'!BD2471*'01_Вводные'!$B$14</f>
        <v/>
      </c>
      <c r="BF2472">
        <f>'19_Расчет_аналитики'!BE2471*'01_Вводные'!$B$14</f>
        <v/>
      </c>
      <c r="BG2472">
        <f>'19_Расчет_аналитики'!BF2471*'01_Вводные'!$B$14</f>
        <v/>
      </c>
      <c r="BH2472">
        <f>'19_Расчет_аналитики'!BG2471*'01_Вводные'!$B$14</f>
        <v/>
      </c>
      <c r="BI2472">
        <f>'19_Расчет_аналитики'!BH2471*'01_Вводные'!$B$14</f>
        <v/>
      </c>
      <c r="BJ2472">
        <f>'19_Расчет_аналитики'!BI2471*'01_Вводные'!$B$14</f>
        <v/>
      </c>
      <c r="BK2472">
        <f>'19_Расчет_аналитики'!BJ2471*'01_Вводные'!$B$14</f>
        <v/>
      </c>
      <c r="BL2472">
        <f>'19_Расчет_аналитики'!BK2471*'01_Вводные'!$B$14</f>
        <v/>
      </c>
      <c r="BM2472">
        <f>'19_Расчет_аналитики'!BL2471*'01_Вводные'!$B$14</f>
        <v/>
      </c>
      <c r="BN2472">
        <f>'19_Расчет_аналитики'!BM2471*'01_Вводные'!$B$14</f>
        <v/>
      </c>
      <c r="BO2472">
        <f>'19_Расчет_аналитики'!BN2471*'01_Вводные'!$B$14</f>
        <v/>
      </c>
    </row>
    <row r="2473">
      <c r="N2473">
        <f>'06_Сеть_и_дети'!N94</f>
        <v/>
      </c>
      <c r="O2473">
        <f>'19_Расчет_аналитики'!N2472*'01_Вводные'!$B$14</f>
        <v/>
      </c>
      <c r="P2473">
        <f>'19_Расчет_аналитики'!O2472*'01_Вводные'!$B$14</f>
        <v/>
      </c>
      <c r="Q2473">
        <f>'19_Расчет_аналитики'!P2472*'01_Вводные'!$B$14</f>
        <v/>
      </c>
      <c r="R2473">
        <f>'19_Расчет_аналитики'!Q2472*'01_Вводные'!$B$14</f>
        <v/>
      </c>
      <c r="S2473">
        <f>'19_Расчет_аналитики'!R2472*'01_Вводные'!$B$14</f>
        <v/>
      </c>
      <c r="T2473">
        <f>'19_Расчет_аналитики'!S2472*'01_Вводные'!$B$14</f>
        <v/>
      </c>
      <c r="U2473">
        <f>'19_Расчет_аналитики'!T2472*'01_Вводные'!$B$14</f>
        <v/>
      </c>
      <c r="V2473">
        <f>'19_Расчет_аналитики'!U2472*'01_Вводные'!$B$14</f>
        <v/>
      </c>
      <c r="W2473">
        <f>'19_Расчет_аналитики'!V2472*'01_Вводные'!$B$14</f>
        <v/>
      </c>
      <c r="X2473">
        <f>'19_Расчет_аналитики'!W2472*'01_Вводные'!$B$14</f>
        <v/>
      </c>
      <c r="Y2473">
        <f>'19_Расчет_аналитики'!X2472*'01_Вводные'!$B$14</f>
        <v/>
      </c>
      <c r="Z2473">
        <f>'19_Расчет_аналитики'!Y2472*'01_Вводные'!$B$14</f>
        <v/>
      </c>
      <c r="AA2473">
        <f>'19_Расчет_аналитики'!Z2472*'01_Вводные'!$B$14</f>
        <v/>
      </c>
      <c r="AB2473">
        <f>'19_Расчет_аналитики'!AA2472*'01_Вводные'!$B$14</f>
        <v/>
      </c>
      <c r="AC2473">
        <f>'19_Расчет_аналитики'!AB2472*'01_Вводные'!$B$14</f>
        <v/>
      </c>
      <c r="AD2473">
        <f>'19_Расчет_аналитики'!AC2472*'01_Вводные'!$B$14</f>
        <v/>
      </c>
      <c r="AE2473">
        <f>'19_Расчет_аналитики'!AD2472*'01_Вводные'!$B$14</f>
        <v/>
      </c>
      <c r="AF2473">
        <f>'19_Расчет_аналитики'!AE2472*'01_Вводные'!$B$14</f>
        <v/>
      </c>
      <c r="AG2473">
        <f>'19_Расчет_аналитики'!AF2472*'01_Вводные'!$B$14</f>
        <v/>
      </c>
      <c r="AH2473">
        <f>'19_Расчет_аналитики'!AG2472*'01_Вводные'!$B$14</f>
        <v/>
      </c>
      <c r="AI2473">
        <f>'19_Расчет_аналитики'!AH2472*'01_Вводные'!$B$14</f>
        <v/>
      </c>
      <c r="AJ2473">
        <f>'19_Расчет_аналитики'!AI2472*'01_Вводные'!$B$14</f>
        <v/>
      </c>
      <c r="AK2473">
        <f>'19_Расчет_аналитики'!AJ2472*'01_Вводные'!$B$14</f>
        <v/>
      </c>
      <c r="AL2473">
        <f>'19_Расчет_аналитики'!AK2472*'01_Вводные'!$B$14</f>
        <v/>
      </c>
      <c r="AM2473">
        <f>'19_Расчет_аналитики'!AL2472*'01_Вводные'!$B$14</f>
        <v/>
      </c>
      <c r="AN2473">
        <f>'19_Расчет_аналитики'!AM2472*'01_Вводные'!$B$14</f>
        <v/>
      </c>
      <c r="AO2473">
        <f>'19_Расчет_аналитики'!AN2472*'01_Вводные'!$B$14</f>
        <v/>
      </c>
      <c r="AP2473">
        <f>'19_Расчет_аналитики'!AO2472*'01_Вводные'!$B$14</f>
        <v/>
      </c>
      <c r="AQ2473">
        <f>'19_Расчет_аналитики'!AP2472*'01_Вводные'!$B$14</f>
        <v/>
      </c>
      <c r="AR2473">
        <f>'19_Расчет_аналитики'!AQ2472*'01_Вводные'!$B$14</f>
        <v/>
      </c>
      <c r="AS2473">
        <f>'19_Расчет_аналитики'!AR2472*'01_Вводные'!$B$14</f>
        <v/>
      </c>
      <c r="AT2473">
        <f>'19_Расчет_аналитики'!AS2472*'01_Вводные'!$B$14</f>
        <v/>
      </c>
      <c r="AU2473">
        <f>'19_Расчет_аналитики'!AT2472*'01_Вводные'!$B$14</f>
        <v/>
      </c>
      <c r="AV2473">
        <f>'19_Расчет_аналитики'!AU2472*'01_Вводные'!$B$14</f>
        <v/>
      </c>
      <c r="AW2473">
        <f>'19_Расчет_аналитики'!AV2472*'01_Вводные'!$B$14</f>
        <v/>
      </c>
      <c r="AX2473">
        <f>'19_Расчет_аналитики'!AW2472*'01_Вводные'!$B$14</f>
        <v/>
      </c>
      <c r="AY2473">
        <f>'19_Расчет_аналитики'!AX2472*'01_Вводные'!$B$14</f>
        <v/>
      </c>
      <c r="AZ2473">
        <f>'19_Расчет_аналитики'!AY2472*'01_Вводные'!$B$14</f>
        <v/>
      </c>
      <c r="BA2473">
        <f>'19_Расчет_аналитики'!AZ2472*'01_Вводные'!$B$14</f>
        <v/>
      </c>
      <c r="BB2473">
        <f>'19_Расчет_аналитики'!BA2472*'01_Вводные'!$B$14</f>
        <v/>
      </c>
      <c r="BC2473">
        <f>'19_Расчет_аналитики'!BB2472*'01_Вводные'!$B$14</f>
        <v/>
      </c>
      <c r="BD2473">
        <f>'19_Расчет_аналитики'!BC2472*'01_Вводные'!$B$14</f>
        <v/>
      </c>
      <c r="BE2473">
        <f>'19_Расчет_аналитики'!BD2472*'01_Вводные'!$B$14</f>
        <v/>
      </c>
      <c r="BF2473">
        <f>'19_Расчет_аналитики'!BE2472*'01_Вводные'!$B$14</f>
        <v/>
      </c>
      <c r="BG2473">
        <f>'19_Расчет_аналитики'!BF2472*'01_Вводные'!$B$14</f>
        <v/>
      </c>
      <c r="BH2473">
        <f>'19_Расчет_аналитики'!BG2472*'01_Вводные'!$B$14</f>
        <v/>
      </c>
      <c r="BI2473">
        <f>'19_Расчет_аналитики'!BH2472*'01_Вводные'!$B$14</f>
        <v/>
      </c>
      <c r="BJ2473">
        <f>'19_Расчет_аналитики'!BI2472*'01_Вводные'!$B$14</f>
        <v/>
      </c>
      <c r="BK2473">
        <f>'19_Расчет_аналитики'!BJ2472*'01_Вводные'!$B$14</f>
        <v/>
      </c>
      <c r="BL2473">
        <f>'19_Расчет_аналитики'!BK2472*'01_Вводные'!$B$14</f>
        <v/>
      </c>
      <c r="BM2473">
        <f>'19_Расчет_аналитики'!BL2472*'01_Вводные'!$B$14</f>
        <v/>
      </c>
      <c r="BN2473">
        <f>'19_Расчет_аналитики'!BM2472*'01_Вводные'!$B$14</f>
        <v/>
      </c>
      <c r="BO2473">
        <f>'19_Расчет_аналитики'!BN2472*'01_Вводные'!$B$14</f>
        <v/>
      </c>
    </row>
    <row r="2474">
      <c r="N2474">
        <f>'06_Сеть_и_дети'!N95</f>
        <v/>
      </c>
      <c r="O2474">
        <f>'06_Сеть_и_дети'!O95</f>
        <v/>
      </c>
      <c r="P2474">
        <f>'19_Расчет_аналитики'!O2473*'01_Вводные'!$B$14</f>
        <v/>
      </c>
      <c r="Q2474">
        <f>'19_Расчет_аналитики'!P2473*'01_Вводные'!$B$14</f>
        <v/>
      </c>
      <c r="R2474">
        <f>'19_Расчет_аналитики'!Q2473*'01_Вводные'!$B$14</f>
        <v/>
      </c>
      <c r="S2474">
        <f>'19_Расчет_аналитики'!R2473*'01_Вводные'!$B$14</f>
        <v/>
      </c>
      <c r="T2474">
        <f>'19_Расчет_аналитики'!S2473*'01_Вводные'!$B$14</f>
        <v/>
      </c>
      <c r="U2474">
        <f>'19_Расчет_аналитики'!T2473*'01_Вводные'!$B$14</f>
        <v/>
      </c>
      <c r="V2474">
        <f>'19_Расчет_аналитики'!U2473*'01_Вводные'!$B$14</f>
        <v/>
      </c>
      <c r="W2474">
        <f>'19_Расчет_аналитики'!V2473*'01_Вводные'!$B$14</f>
        <v/>
      </c>
      <c r="X2474">
        <f>'19_Расчет_аналитики'!W2473*'01_Вводные'!$B$14</f>
        <v/>
      </c>
      <c r="Y2474">
        <f>'19_Расчет_аналитики'!X2473*'01_Вводные'!$B$14</f>
        <v/>
      </c>
      <c r="Z2474">
        <f>'19_Расчет_аналитики'!Y2473*'01_Вводные'!$B$14</f>
        <v/>
      </c>
      <c r="AA2474">
        <f>'19_Расчет_аналитики'!Z2473*'01_Вводные'!$B$14</f>
        <v/>
      </c>
      <c r="AB2474">
        <f>'19_Расчет_аналитики'!AA2473*'01_Вводные'!$B$14</f>
        <v/>
      </c>
      <c r="AC2474">
        <f>'19_Расчет_аналитики'!AB2473*'01_Вводные'!$B$14</f>
        <v/>
      </c>
      <c r="AD2474">
        <f>'19_Расчет_аналитики'!AC2473*'01_Вводные'!$B$14</f>
        <v/>
      </c>
      <c r="AE2474">
        <f>'19_Расчет_аналитики'!AD2473*'01_Вводные'!$B$14</f>
        <v/>
      </c>
      <c r="AF2474">
        <f>'19_Расчет_аналитики'!AE2473*'01_Вводные'!$B$14</f>
        <v/>
      </c>
      <c r="AG2474">
        <f>'19_Расчет_аналитики'!AF2473*'01_Вводные'!$B$14</f>
        <v/>
      </c>
      <c r="AH2474">
        <f>'19_Расчет_аналитики'!AG2473*'01_Вводные'!$B$14</f>
        <v/>
      </c>
      <c r="AI2474">
        <f>'19_Расчет_аналитики'!AH2473*'01_Вводные'!$B$14</f>
        <v/>
      </c>
      <c r="AJ2474">
        <f>'19_Расчет_аналитики'!AI2473*'01_Вводные'!$B$14</f>
        <v/>
      </c>
      <c r="AK2474">
        <f>'19_Расчет_аналитики'!AJ2473*'01_Вводные'!$B$14</f>
        <v/>
      </c>
      <c r="AL2474">
        <f>'19_Расчет_аналитики'!AK2473*'01_Вводные'!$B$14</f>
        <v/>
      </c>
      <c r="AM2474">
        <f>'19_Расчет_аналитики'!AL2473*'01_Вводные'!$B$14</f>
        <v/>
      </c>
      <c r="AN2474">
        <f>'19_Расчет_аналитики'!AM2473*'01_Вводные'!$B$14</f>
        <v/>
      </c>
      <c r="AO2474">
        <f>'19_Расчет_аналитики'!AN2473*'01_Вводные'!$B$14</f>
        <v/>
      </c>
      <c r="AP2474">
        <f>'19_Расчет_аналитики'!AO2473*'01_Вводные'!$B$14</f>
        <v/>
      </c>
      <c r="AQ2474">
        <f>'19_Расчет_аналитики'!AP2473*'01_Вводные'!$B$14</f>
        <v/>
      </c>
      <c r="AR2474">
        <f>'19_Расчет_аналитики'!AQ2473*'01_Вводные'!$B$14</f>
        <v/>
      </c>
      <c r="AS2474">
        <f>'19_Расчет_аналитики'!AR2473*'01_Вводные'!$B$14</f>
        <v/>
      </c>
      <c r="AT2474">
        <f>'19_Расчет_аналитики'!AS2473*'01_Вводные'!$B$14</f>
        <v/>
      </c>
      <c r="AU2474">
        <f>'19_Расчет_аналитики'!AT2473*'01_Вводные'!$B$14</f>
        <v/>
      </c>
      <c r="AV2474">
        <f>'19_Расчет_аналитики'!AU2473*'01_Вводные'!$B$14</f>
        <v/>
      </c>
      <c r="AW2474">
        <f>'19_Расчет_аналитики'!AV2473*'01_Вводные'!$B$14</f>
        <v/>
      </c>
      <c r="AX2474">
        <f>'19_Расчет_аналитики'!AW2473*'01_Вводные'!$B$14</f>
        <v/>
      </c>
      <c r="AY2474">
        <f>'19_Расчет_аналитики'!AX2473*'01_Вводные'!$B$14</f>
        <v/>
      </c>
      <c r="AZ2474">
        <f>'19_Расчет_аналитики'!AY2473*'01_Вводные'!$B$14</f>
        <v/>
      </c>
      <c r="BA2474">
        <f>'19_Расчет_аналитики'!AZ2473*'01_Вводные'!$B$14</f>
        <v/>
      </c>
      <c r="BB2474">
        <f>'19_Расчет_аналитики'!BA2473*'01_Вводные'!$B$14</f>
        <v/>
      </c>
      <c r="BC2474">
        <f>'19_Расчет_аналитики'!BB2473*'01_Вводные'!$B$14</f>
        <v/>
      </c>
      <c r="BD2474">
        <f>'19_Расчет_аналитики'!BC2473*'01_Вводные'!$B$14</f>
        <v/>
      </c>
      <c r="BE2474">
        <f>'19_Расчет_аналитики'!BD2473*'01_Вводные'!$B$14</f>
        <v/>
      </c>
      <c r="BF2474">
        <f>'19_Расчет_аналитики'!BE2473*'01_Вводные'!$B$14</f>
        <v/>
      </c>
      <c r="BG2474">
        <f>'19_Расчет_аналитики'!BF2473*'01_Вводные'!$B$14</f>
        <v/>
      </c>
      <c r="BH2474">
        <f>'19_Расчет_аналитики'!BG2473*'01_Вводные'!$B$14</f>
        <v/>
      </c>
      <c r="BI2474">
        <f>'19_Расчет_аналитики'!BH2473*'01_Вводные'!$B$14</f>
        <v/>
      </c>
      <c r="BJ2474">
        <f>'19_Расчет_аналитики'!BI2473*'01_Вводные'!$B$14</f>
        <v/>
      </c>
      <c r="BK2474">
        <f>'19_Расчет_аналитики'!BJ2473*'01_Вводные'!$B$14</f>
        <v/>
      </c>
      <c r="BL2474">
        <f>'19_Расчет_аналитики'!BK2473*'01_Вводные'!$B$14</f>
        <v/>
      </c>
      <c r="BM2474">
        <f>'19_Расчет_аналитики'!BL2473*'01_Вводные'!$B$14</f>
        <v/>
      </c>
      <c r="BN2474">
        <f>'19_Расчет_аналитики'!BM2473*'01_Вводные'!$B$14</f>
        <v/>
      </c>
      <c r="BO2474">
        <f>'19_Расчет_аналитики'!BN2473*'01_Вводные'!$B$14</f>
        <v/>
      </c>
    </row>
    <row r="2475">
      <c r="N2475">
        <f>'06_Сеть_и_дети'!N96</f>
        <v/>
      </c>
      <c r="O2475">
        <f>'06_Сеть_и_дети'!O96</f>
        <v/>
      </c>
      <c r="P2475">
        <f>'06_Сеть_и_дети'!P96</f>
        <v/>
      </c>
      <c r="Q2475">
        <f>'19_Расчет_аналитики'!P2474*'01_Вводные'!$B$14</f>
        <v/>
      </c>
      <c r="R2475">
        <f>'19_Расчет_аналитики'!Q2474*'01_Вводные'!$B$14</f>
        <v/>
      </c>
      <c r="S2475">
        <f>'19_Расчет_аналитики'!R2474*'01_Вводные'!$B$14</f>
        <v/>
      </c>
      <c r="T2475">
        <f>'19_Расчет_аналитики'!S2474*'01_Вводные'!$B$14</f>
        <v/>
      </c>
      <c r="U2475">
        <f>'19_Расчет_аналитики'!T2474*'01_Вводные'!$B$14</f>
        <v/>
      </c>
      <c r="V2475">
        <f>'19_Расчет_аналитики'!U2474*'01_Вводные'!$B$14</f>
        <v/>
      </c>
      <c r="W2475">
        <f>'19_Расчет_аналитики'!V2474*'01_Вводные'!$B$14</f>
        <v/>
      </c>
      <c r="X2475">
        <f>'19_Расчет_аналитики'!W2474*'01_Вводные'!$B$14</f>
        <v/>
      </c>
      <c r="Y2475">
        <f>'19_Расчет_аналитики'!X2474*'01_Вводные'!$B$14</f>
        <v/>
      </c>
      <c r="Z2475">
        <f>'19_Расчет_аналитики'!Y2474*'01_Вводные'!$B$14</f>
        <v/>
      </c>
      <c r="AA2475">
        <f>'19_Расчет_аналитики'!Z2474*'01_Вводные'!$B$14</f>
        <v/>
      </c>
      <c r="AB2475">
        <f>'19_Расчет_аналитики'!AA2474*'01_Вводные'!$B$14</f>
        <v/>
      </c>
      <c r="AC2475">
        <f>'19_Расчет_аналитики'!AB2474*'01_Вводные'!$B$14</f>
        <v/>
      </c>
      <c r="AD2475">
        <f>'19_Расчет_аналитики'!AC2474*'01_Вводные'!$B$14</f>
        <v/>
      </c>
      <c r="AE2475">
        <f>'19_Расчет_аналитики'!AD2474*'01_Вводные'!$B$14</f>
        <v/>
      </c>
      <c r="AF2475">
        <f>'19_Расчет_аналитики'!AE2474*'01_Вводные'!$B$14</f>
        <v/>
      </c>
      <c r="AG2475">
        <f>'19_Расчет_аналитики'!AF2474*'01_Вводные'!$B$14</f>
        <v/>
      </c>
      <c r="AH2475">
        <f>'19_Расчет_аналитики'!AG2474*'01_Вводные'!$B$14</f>
        <v/>
      </c>
      <c r="AI2475">
        <f>'19_Расчет_аналитики'!AH2474*'01_Вводные'!$B$14</f>
        <v/>
      </c>
      <c r="AJ2475">
        <f>'19_Расчет_аналитики'!AI2474*'01_Вводные'!$B$14</f>
        <v/>
      </c>
      <c r="AK2475">
        <f>'19_Расчет_аналитики'!AJ2474*'01_Вводные'!$B$14</f>
        <v/>
      </c>
      <c r="AL2475">
        <f>'19_Расчет_аналитики'!AK2474*'01_Вводные'!$B$14</f>
        <v/>
      </c>
      <c r="AM2475">
        <f>'19_Расчет_аналитики'!AL2474*'01_Вводные'!$B$14</f>
        <v/>
      </c>
      <c r="AN2475">
        <f>'19_Расчет_аналитики'!AM2474*'01_Вводные'!$B$14</f>
        <v/>
      </c>
      <c r="AO2475">
        <f>'19_Расчет_аналитики'!AN2474*'01_Вводные'!$B$14</f>
        <v/>
      </c>
      <c r="AP2475">
        <f>'19_Расчет_аналитики'!AO2474*'01_Вводные'!$B$14</f>
        <v/>
      </c>
      <c r="AQ2475">
        <f>'19_Расчет_аналитики'!AP2474*'01_Вводные'!$B$14</f>
        <v/>
      </c>
      <c r="AR2475">
        <f>'19_Расчет_аналитики'!AQ2474*'01_Вводные'!$B$14</f>
        <v/>
      </c>
      <c r="AS2475">
        <f>'19_Расчет_аналитики'!AR2474*'01_Вводные'!$B$14</f>
        <v/>
      </c>
      <c r="AT2475">
        <f>'19_Расчет_аналитики'!AS2474*'01_Вводные'!$B$14</f>
        <v/>
      </c>
      <c r="AU2475">
        <f>'19_Расчет_аналитики'!AT2474*'01_Вводные'!$B$14</f>
        <v/>
      </c>
      <c r="AV2475">
        <f>'19_Расчет_аналитики'!AU2474*'01_Вводные'!$B$14</f>
        <v/>
      </c>
      <c r="AW2475">
        <f>'19_Расчет_аналитики'!AV2474*'01_Вводные'!$B$14</f>
        <v/>
      </c>
      <c r="AX2475">
        <f>'19_Расчет_аналитики'!AW2474*'01_Вводные'!$B$14</f>
        <v/>
      </c>
      <c r="AY2475">
        <f>'19_Расчет_аналитики'!AX2474*'01_Вводные'!$B$14</f>
        <v/>
      </c>
      <c r="AZ2475">
        <f>'19_Расчет_аналитики'!AY2474*'01_Вводные'!$B$14</f>
        <v/>
      </c>
      <c r="BA2475">
        <f>'19_Расчет_аналитики'!AZ2474*'01_Вводные'!$B$14</f>
        <v/>
      </c>
      <c r="BB2475">
        <f>'19_Расчет_аналитики'!BA2474*'01_Вводные'!$B$14</f>
        <v/>
      </c>
      <c r="BC2475">
        <f>'19_Расчет_аналитики'!BB2474*'01_Вводные'!$B$14</f>
        <v/>
      </c>
      <c r="BD2475">
        <f>'19_Расчет_аналитики'!BC2474*'01_Вводные'!$B$14</f>
        <v/>
      </c>
      <c r="BE2475">
        <f>'19_Расчет_аналитики'!BD2474*'01_Вводные'!$B$14</f>
        <v/>
      </c>
      <c r="BF2475">
        <f>'19_Расчет_аналитики'!BE2474*'01_Вводные'!$B$14</f>
        <v/>
      </c>
      <c r="BG2475">
        <f>'19_Расчет_аналитики'!BF2474*'01_Вводные'!$B$14</f>
        <v/>
      </c>
      <c r="BH2475">
        <f>'19_Расчет_аналитики'!BG2474*'01_Вводные'!$B$14</f>
        <v/>
      </c>
      <c r="BI2475">
        <f>'19_Расчет_аналитики'!BH2474*'01_Вводные'!$B$14</f>
        <v/>
      </c>
      <c r="BJ2475">
        <f>'19_Расчет_аналитики'!BI2474*'01_Вводные'!$B$14</f>
        <v/>
      </c>
      <c r="BK2475">
        <f>'19_Расчет_аналитики'!BJ2474*'01_Вводные'!$B$14</f>
        <v/>
      </c>
      <c r="BL2475">
        <f>'19_Расчет_аналитики'!BK2474*'01_Вводные'!$B$14</f>
        <v/>
      </c>
      <c r="BM2475">
        <f>'19_Расчет_аналитики'!BL2474*'01_Вводные'!$B$14</f>
        <v/>
      </c>
      <c r="BN2475">
        <f>'19_Расчет_аналитики'!BM2474*'01_Вводные'!$B$14</f>
        <v/>
      </c>
      <c r="BO2475">
        <f>'19_Расчет_аналитики'!BN2474*'01_Вводные'!$B$14</f>
        <v/>
      </c>
    </row>
    <row r="2476">
      <c r="N2476">
        <f>'06_Сеть_и_дети'!N97</f>
        <v/>
      </c>
      <c r="O2476">
        <f>'06_Сеть_и_дети'!O97</f>
        <v/>
      </c>
      <c r="P2476">
        <f>'06_Сеть_и_дети'!P97</f>
        <v/>
      </c>
      <c r="Q2476">
        <f>'06_Сеть_и_дети'!Q97</f>
        <v/>
      </c>
      <c r="R2476">
        <f>'19_Расчет_аналитики'!Q2475*'01_Вводные'!$B$14</f>
        <v/>
      </c>
      <c r="S2476">
        <f>'19_Расчет_аналитики'!R2475*'01_Вводные'!$B$14</f>
        <v/>
      </c>
      <c r="T2476">
        <f>'19_Расчет_аналитики'!S2475*'01_Вводные'!$B$14</f>
        <v/>
      </c>
      <c r="U2476">
        <f>'19_Расчет_аналитики'!T2475*'01_Вводные'!$B$14</f>
        <v/>
      </c>
      <c r="V2476">
        <f>'19_Расчет_аналитики'!U2475*'01_Вводные'!$B$14</f>
        <v/>
      </c>
      <c r="W2476">
        <f>'19_Расчет_аналитики'!V2475*'01_Вводные'!$B$14</f>
        <v/>
      </c>
      <c r="X2476">
        <f>'19_Расчет_аналитики'!W2475*'01_Вводные'!$B$14</f>
        <v/>
      </c>
      <c r="Y2476">
        <f>'19_Расчет_аналитики'!X2475*'01_Вводные'!$B$14</f>
        <v/>
      </c>
      <c r="Z2476">
        <f>'19_Расчет_аналитики'!Y2475*'01_Вводные'!$B$14</f>
        <v/>
      </c>
      <c r="AA2476">
        <f>'19_Расчет_аналитики'!Z2475*'01_Вводные'!$B$14</f>
        <v/>
      </c>
      <c r="AB2476">
        <f>'19_Расчет_аналитики'!AA2475*'01_Вводные'!$B$14</f>
        <v/>
      </c>
      <c r="AC2476">
        <f>'19_Расчет_аналитики'!AB2475*'01_Вводные'!$B$14</f>
        <v/>
      </c>
      <c r="AD2476">
        <f>'19_Расчет_аналитики'!AC2475*'01_Вводные'!$B$14</f>
        <v/>
      </c>
      <c r="AE2476">
        <f>'19_Расчет_аналитики'!AD2475*'01_Вводные'!$B$14</f>
        <v/>
      </c>
      <c r="AF2476">
        <f>'19_Расчет_аналитики'!AE2475*'01_Вводные'!$B$14</f>
        <v/>
      </c>
      <c r="AG2476">
        <f>'19_Расчет_аналитики'!AF2475*'01_Вводные'!$B$14</f>
        <v/>
      </c>
      <c r="AH2476">
        <f>'19_Расчет_аналитики'!AG2475*'01_Вводные'!$B$14</f>
        <v/>
      </c>
      <c r="AI2476">
        <f>'19_Расчет_аналитики'!AH2475*'01_Вводные'!$B$14</f>
        <v/>
      </c>
      <c r="AJ2476">
        <f>'19_Расчет_аналитики'!AI2475*'01_Вводные'!$B$14</f>
        <v/>
      </c>
      <c r="AK2476">
        <f>'19_Расчет_аналитики'!AJ2475*'01_Вводные'!$B$14</f>
        <v/>
      </c>
      <c r="AL2476">
        <f>'19_Расчет_аналитики'!AK2475*'01_Вводные'!$B$14</f>
        <v/>
      </c>
      <c r="AM2476">
        <f>'19_Расчет_аналитики'!AL2475*'01_Вводные'!$B$14</f>
        <v/>
      </c>
      <c r="AN2476">
        <f>'19_Расчет_аналитики'!AM2475*'01_Вводные'!$B$14</f>
        <v/>
      </c>
      <c r="AO2476">
        <f>'19_Расчет_аналитики'!AN2475*'01_Вводные'!$B$14</f>
        <v/>
      </c>
      <c r="AP2476">
        <f>'19_Расчет_аналитики'!AO2475*'01_Вводные'!$B$14</f>
        <v/>
      </c>
      <c r="AQ2476">
        <f>'19_Расчет_аналитики'!AP2475*'01_Вводные'!$B$14</f>
        <v/>
      </c>
      <c r="AR2476">
        <f>'19_Расчет_аналитики'!AQ2475*'01_Вводные'!$B$14</f>
        <v/>
      </c>
      <c r="AS2476">
        <f>'19_Расчет_аналитики'!AR2475*'01_Вводные'!$B$14</f>
        <v/>
      </c>
      <c r="AT2476">
        <f>'19_Расчет_аналитики'!AS2475*'01_Вводные'!$B$14</f>
        <v/>
      </c>
      <c r="AU2476">
        <f>'19_Расчет_аналитики'!AT2475*'01_Вводные'!$B$14</f>
        <v/>
      </c>
      <c r="AV2476">
        <f>'19_Расчет_аналитики'!AU2475*'01_Вводные'!$B$14</f>
        <v/>
      </c>
      <c r="AW2476">
        <f>'19_Расчет_аналитики'!AV2475*'01_Вводные'!$B$14</f>
        <v/>
      </c>
      <c r="AX2476">
        <f>'19_Расчет_аналитики'!AW2475*'01_Вводные'!$B$14</f>
        <v/>
      </c>
      <c r="AY2476">
        <f>'19_Расчет_аналитики'!AX2475*'01_Вводные'!$B$14</f>
        <v/>
      </c>
      <c r="AZ2476">
        <f>'19_Расчет_аналитики'!AY2475*'01_Вводные'!$B$14</f>
        <v/>
      </c>
      <c r="BA2476">
        <f>'19_Расчет_аналитики'!AZ2475*'01_Вводные'!$B$14</f>
        <v/>
      </c>
      <c r="BB2476">
        <f>'19_Расчет_аналитики'!BA2475*'01_Вводные'!$B$14</f>
        <v/>
      </c>
      <c r="BC2476">
        <f>'19_Расчет_аналитики'!BB2475*'01_Вводные'!$B$14</f>
        <v/>
      </c>
      <c r="BD2476">
        <f>'19_Расчет_аналитики'!BC2475*'01_Вводные'!$B$14</f>
        <v/>
      </c>
      <c r="BE2476">
        <f>'19_Расчет_аналитики'!BD2475*'01_Вводные'!$B$14</f>
        <v/>
      </c>
      <c r="BF2476">
        <f>'19_Расчет_аналитики'!BE2475*'01_Вводные'!$B$14</f>
        <v/>
      </c>
      <c r="BG2476">
        <f>'19_Расчет_аналитики'!BF2475*'01_Вводные'!$B$14</f>
        <v/>
      </c>
      <c r="BH2476">
        <f>'19_Расчет_аналитики'!BG2475*'01_Вводные'!$B$14</f>
        <v/>
      </c>
      <c r="BI2476">
        <f>'19_Расчет_аналитики'!BH2475*'01_Вводные'!$B$14</f>
        <v/>
      </c>
      <c r="BJ2476">
        <f>'19_Расчет_аналитики'!BI2475*'01_Вводные'!$B$14</f>
        <v/>
      </c>
      <c r="BK2476">
        <f>'19_Расчет_аналитики'!BJ2475*'01_Вводные'!$B$14</f>
        <v/>
      </c>
      <c r="BL2476">
        <f>'19_Расчет_аналитики'!BK2475*'01_Вводные'!$B$14</f>
        <v/>
      </c>
      <c r="BM2476">
        <f>'19_Расчет_аналитики'!BL2475*'01_Вводные'!$B$14</f>
        <v/>
      </c>
      <c r="BN2476">
        <f>'19_Расчет_аналитики'!BM2475*'01_Вводные'!$B$14</f>
        <v/>
      </c>
      <c r="BO2476">
        <f>'19_Расчет_аналитики'!BN2475*'01_Вводные'!$B$14</f>
        <v/>
      </c>
    </row>
    <row r="2477">
      <c r="N2477">
        <f>'06_Сеть_и_дети'!N98</f>
        <v/>
      </c>
      <c r="O2477">
        <f>'06_Сеть_и_дети'!O98</f>
        <v/>
      </c>
      <c r="P2477">
        <f>'06_Сеть_и_дети'!P98</f>
        <v/>
      </c>
      <c r="Q2477">
        <f>'06_Сеть_и_дети'!Q98</f>
        <v/>
      </c>
      <c r="R2477">
        <f>'06_Сеть_и_дети'!R98</f>
        <v/>
      </c>
      <c r="S2477">
        <f>'19_Расчет_аналитики'!R2476*'01_Вводные'!$B$14</f>
        <v/>
      </c>
      <c r="T2477">
        <f>'19_Расчет_аналитики'!S2476*'01_Вводные'!$B$14</f>
        <v/>
      </c>
      <c r="U2477">
        <f>'19_Расчет_аналитики'!T2476*'01_Вводные'!$B$14</f>
        <v/>
      </c>
      <c r="V2477">
        <f>'19_Расчет_аналитики'!U2476*'01_Вводные'!$B$14</f>
        <v/>
      </c>
      <c r="W2477">
        <f>'19_Расчет_аналитики'!V2476*'01_Вводные'!$B$14</f>
        <v/>
      </c>
      <c r="X2477">
        <f>'19_Расчет_аналитики'!W2476*'01_Вводные'!$B$14</f>
        <v/>
      </c>
      <c r="Y2477">
        <f>'19_Расчет_аналитики'!X2476*'01_Вводные'!$B$14</f>
        <v/>
      </c>
      <c r="Z2477">
        <f>'19_Расчет_аналитики'!Y2476*'01_Вводные'!$B$14</f>
        <v/>
      </c>
      <c r="AA2477">
        <f>'19_Расчет_аналитики'!Z2476*'01_Вводные'!$B$14</f>
        <v/>
      </c>
      <c r="AB2477">
        <f>'19_Расчет_аналитики'!AA2476*'01_Вводные'!$B$14</f>
        <v/>
      </c>
      <c r="AC2477">
        <f>'19_Расчет_аналитики'!AB2476*'01_Вводные'!$B$14</f>
        <v/>
      </c>
      <c r="AD2477">
        <f>'19_Расчет_аналитики'!AC2476*'01_Вводные'!$B$14</f>
        <v/>
      </c>
      <c r="AE2477">
        <f>'19_Расчет_аналитики'!AD2476*'01_Вводные'!$B$14</f>
        <v/>
      </c>
      <c r="AF2477">
        <f>'19_Расчет_аналитики'!AE2476*'01_Вводные'!$B$14</f>
        <v/>
      </c>
      <c r="AG2477">
        <f>'19_Расчет_аналитики'!AF2476*'01_Вводные'!$B$14</f>
        <v/>
      </c>
      <c r="AH2477">
        <f>'19_Расчет_аналитики'!AG2476*'01_Вводные'!$B$14</f>
        <v/>
      </c>
      <c r="AI2477">
        <f>'19_Расчет_аналитики'!AH2476*'01_Вводные'!$B$14</f>
        <v/>
      </c>
      <c r="AJ2477">
        <f>'19_Расчет_аналитики'!AI2476*'01_Вводные'!$B$14</f>
        <v/>
      </c>
      <c r="AK2477">
        <f>'19_Расчет_аналитики'!AJ2476*'01_Вводные'!$B$14</f>
        <v/>
      </c>
      <c r="AL2477">
        <f>'19_Расчет_аналитики'!AK2476*'01_Вводные'!$B$14</f>
        <v/>
      </c>
      <c r="AM2477">
        <f>'19_Расчет_аналитики'!AL2476*'01_Вводные'!$B$14</f>
        <v/>
      </c>
      <c r="AN2477">
        <f>'19_Расчет_аналитики'!AM2476*'01_Вводные'!$B$14</f>
        <v/>
      </c>
      <c r="AO2477">
        <f>'19_Расчет_аналитики'!AN2476*'01_Вводные'!$B$14</f>
        <v/>
      </c>
      <c r="AP2477">
        <f>'19_Расчет_аналитики'!AO2476*'01_Вводные'!$B$14</f>
        <v/>
      </c>
      <c r="AQ2477">
        <f>'19_Расчет_аналитики'!AP2476*'01_Вводные'!$B$14</f>
        <v/>
      </c>
      <c r="AR2477">
        <f>'19_Расчет_аналитики'!AQ2476*'01_Вводные'!$B$14</f>
        <v/>
      </c>
      <c r="AS2477">
        <f>'19_Расчет_аналитики'!AR2476*'01_Вводные'!$B$14</f>
        <v/>
      </c>
      <c r="AT2477">
        <f>'19_Расчет_аналитики'!AS2476*'01_Вводные'!$B$14</f>
        <v/>
      </c>
      <c r="AU2477">
        <f>'19_Расчет_аналитики'!AT2476*'01_Вводные'!$B$14</f>
        <v/>
      </c>
      <c r="AV2477">
        <f>'19_Расчет_аналитики'!AU2476*'01_Вводные'!$B$14</f>
        <v/>
      </c>
      <c r="AW2477">
        <f>'19_Расчет_аналитики'!AV2476*'01_Вводные'!$B$14</f>
        <v/>
      </c>
      <c r="AX2477">
        <f>'19_Расчет_аналитики'!AW2476*'01_Вводные'!$B$14</f>
        <v/>
      </c>
      <c r="AY2477">
        <f>'19_Расчет_аналитики'!AX2476*'01_Вводные'!$B$14</f>
        <v/>
      </c>
      <c r="AZ2477">
        <f>'19_Расчет_аналитики'!AY2476*'01_Вводные'!$B$14</f>
        <v/>
      </c>
      <c r="BA2477">
        <f>'19_Расчет_аналитики'!AZ2476*'01_Вводные'!$B$14</f>
        <v/>
      </c>
      <c r="BB2477">
        <f>'19_Расчет_аналитики'!BA2476*'01_Вводные'!$B$14</f>
        <v/>
      </c>
      <c r="BC2477">
        <f>'19_Расчет_аналитики'!BB2476*'01_Вводные'!$B$14</f>
        <v/>
      </c>
      <c r="BD2477">
        <f>'19_Расчет_аналитики'!BC2476*'01_Вводные'!$B$14</f>
        <v/>
      </c>
      <c r="BE2477">
        <f>'19_Расчет_аналитики'!BD2476*'01_Вводные'!$B$14</f>
        <v/>
      </c>
      <c r="BF2477">
        <f>'19_Расчет_аналитики'!BE2476*'01_Вводные'!$B$14</f>
        <v/>
      </c>
      <c r="BG2477">
        <f>'19_Расчет_аналитики'!BF2476*'01_Вводные'!$B$14</f>
        <v/>
      </c>
      <c r="BH2477">
        <f>'19_Расчет_аналитики'!BG2476*'01_Вводные'!$B$14</f>
        <v/>
      </c>
      <c r="BI2477">
        <f>'19_Расчет_аналитики'!BH2476*'01_Вводные'!$B$14</f>
        <v/>
      </c>
      <c r="BJ2477">
        <f>'19_Расчет_аналитики'!BI2476*'01_Вводные'!$B$14</f>
        <v/>
      </c>
      <c r="BK2477">
        <f>'19_Расчет_аналитики'!BJ2476*'01_Вводные'!$B$14</f>
        <v/>
      </c>
      <c r="BL2477">
        <f>'19_Расчет_аналитики'!BK2476*'01_Вводные'!$B$14</f>
        <v/>
      </c>
      <c r="BM2477">
        <f>'19_Расчет_аналитики'!BL2476*'01_Вводные'!$B$14</f>
        <v/>
      </c>
      <c r="BN2477">
        <f>'19_Расчет_аналитики'!BM2476*'01_Вводные'!$B$14</f>
        <v/>
      </c>
      <c r="BO2477">
        <f>'19_Расчет_аналитики'!BN2476*'01_Вводные'!$B$14</f>
        <v/>
      </c>
    </row>
    <row r="2478">
      <c r="N2478">
        <f>'06_Сеть_и_дети'!N99</f>
        <v/>
      </c>
      <c r="O2478">
        <f>'06_Сеть_и_дети'!O99</f>
        <v/>
      </c>
      <c r="P2478">
        <f>'06_Сеть_и_дети'!P99</f>
        <v/>
      </c>
      <c r="Q2478">
        <f>'06_Сеть_и_дети'!Q99</f>
        <v/>
      </c>
      <c r="R2478">
        <f>'06_Сеть_и_дети'!R99</f>
        <v/>
      </c>
      <c r="S2478">
        <f>'06_Сеть_и_дети'!S99</f>
        <v/>
      </c>
      <c r="T2478">
        <f>'19_Расчет_аналитики'!S2477*'01_Вводные'!$B$14</f>
        <v/>
      </c>
      <c r="U2478">
        <f>'19_Расчет_аналитики'!T2477*'01_Вводные'!$B$14</f>
        <v/>
      </c>
      <c r="V2478">
        <f>'19_Расчет_аналитики'!U2477*'01_Вводные'!$B$14</f>
        <v/>
      </c>
      <c r="W2478">
        <f>'19_Расчет_аналитики'!V2477*'01_Вводные'!$B$14</f>
        <v/>
      </c>
      <c r="X2478">
        <f>'19_Расчет_аналитики'!W2477*'01_Вводные'!$B$14</f>
        <v/>
      </c>
      <c r="Y2478">
        <f>'19_Расчет_аналитики'!X2477*'01_Вводные'!$B$14</f>
        <v/>
      </c>
      <c r="Z2478">
        <f>'19_Расчет_аналитики'!Y2477*'01_Вводные'!$B$14</f>
        <v/>
      </c>
      <c r="AA2478">
        <f>'19_Расчет_аналитики'!Z2477*'01_Вводные'!$B$14</f>
        <v/>
      </c>
      <c r="AB2478">
        <f>'19_Расчет_аналитики'!AA2477*'01_Вводные'!$B$14</f>
        <v/>
      </c>
      <c r="AC2478">
        <f>'19_Расчет_аналитики'!AB2477*'01_Вводные'!$B$14</f>
        <v/>
      </c>
      <c r="AD2478">
        <f>'19_Расчет_аналитики'!AC2477*'01_Вводные'!$B$14</f>
        <v/>
      </c>
      <c r="AE2478">
        <f>'19_Расчет_аналитики'!AD2477*'01_Вводные'!$B$14</f>
        <v/>
      </c>
      <c r="AF2478">
        <f>'19_Расчет_аналитики'!AE2477*'01_Вводные'!$B$14</f>
        <v/>
      </c>
      <c r="AG2478">
        <f>'19_Расчет_аналитики'!AF2477*'01_Вводные'!$B$14</f>
        <v/>
      </c>
      <c r="AH2478">
        <f>'19_Расчет_аналитики'!AG2477*'01_Вводные'!$B$14</f>
        <v/>
      </c>
      <c r="AI2478">
        <f>'19_Расчет_аналитики'!AH2477*'01_Вводные'!$B$14</f>
        <v/>
      </c>
      <c r="AJ2478">
        <f>'19_Расчет_аналитики'!AI2477*'01_Вводные'!$B$14</f>
        <v/>
      </c>
      <c r="AK2478">
        <f>'19_Расчет_аналитики'!AJ2477*'01_Вводные'!$B$14</f>
        <v/>
      </c>
      <c r="AL2478">
        <f>'19_Расчет_аналитики'!AK2477*'01_Вводные'!$B$14</f>
        <v/>
      </c>
      <c r="AM2478">
        <f>'19_Расчет_аналитики'!AL2477*'01_Вводные'!$B$14</f>
        <v/>
      </c>
      <c r="AN2478">
        <f>'19_Расчет_аналитики'!AM2477*'01_Вводные'!$B$14</f>
        <v/>
      </c>
      <c r="AO2478">
        <f>'19_Расчет_аналитики'!AN2477*'01_Вводные'!$B$14</f>
        <v/>
      </c>
      <c r="AP2478">
        <f>'19_Расчет_аналитики'!AO2477*'01_Вводные'!$B$14</f>
        <v/>
      </c>
      <c r="AQ2478">
        <f>'19_Расчет_аналитики'!AP2477*'01_Вводные'!$B$14</f>
        <v/>
      </c>
      <c r="AR2478">
        <f>'19_Расчет_аналитики'!AQ2477*'01_Вводные'!$B$14</f>
        <v/>
      </c>
      <c r="AS2478">
        <f>'19_Расчет_аналитики'!AR2477*'01_Вводные'!$B$14</f>
        <v/>
      </c>
      <c r="AT2478">
        <f>'19_Расчет_аналитики'!AS2477*'01_Вводные'!$B$14</f>
        <v/>
      </c>
      <c r="AU2478">
        <f>'19_Расчет_аналитики'!AT2477*'01_Вводные'!$B$14</f>
        <v/>
      </c>
      <c r="AV2478">
        <f>'19_Расчет_аналитики'!AU2477*'01_Вводные'!$B$14</f>
        <v/>
      </c>
      <c r="AW2478">
        <f>'19_Расчет_аналитики'!AV2477*'01_Вводные'!$B$14</f>
        <v/>
      </c>
      <c r="AX2478">
        <f>'19_Расчет_аналитики'!AW2477*'01_Вводные'!$B$14</f>
        <v/>
      </c>
      <c r="AY2478">
        <f>'19_Расчет_аналитики'!AX2477*'01_Вводные'!$B$14</f>
        <v/>
      </c>
      <c r="AZ2478">
        <f>'19_Расчет_аналитики'!AY2477*'01_Вводные'!$B$14</f>
        <v/>
      </c>
      <c r="BA2478">
        <f>'19_Расчет_аналитики'!AZ2477*'01_Вводные'!$B$14</f>
        <v/>
      </c>
      <c r="BB2478">
        <f>'19_Расчет_аналитики'!BA2477*'01_Вводные'!$B$14</f>
        <v/>
      </c>
      <c r="BC2478">
        <f>'19_Расчет_аналитики'!BB2477*'01_Вводные'!$B$14</f>
        <v/>
      </c>
      <c r="BD2478">
        <f>'19_Расчет_аналитики'!BC2477*'01_Вводные'!$B$14</f>
        <v/>
      </c>
      <c r="BE2478">
        <f>'19_Расчет_аналитики'!BD2477*'01_Вводные'!$B$14</f>
        <v/>
      </c>
      <c r="BF2478">
        <f>'19_Расчет_аналитики'!BE2477*'01_Вводные'!$B$14</f>
        <v/>
      </c>
      <c r="BG2478">
        <f>'19_Расчет_аналитики'!BF2477*'01_Вводные'!$B$14</f>
        <v/>
      </c>
      <c r="BH2478">
        <f>'19_Расчет_аналитики'!BG2477*'01_Вводные'!$B$14</f>
        <v/>
      </c>
      <c r="BI2478">
        <f>'19_Расчет_аналитики'!BH2477*'01_Вводные'!$B$14</f>
        <v/>
      </c>
      <c r="BJ2478">
        <f>'19_Расчет_аналитики'!BI2477*'01_Вводные'!$B$14</f>
        <v/>
      </c>
      <c r="BK2478">
        <f>'19_Расчет_аналитики'!BJ2477*'01_Вводные'!$B$14</f>
        <v/>
      </c>
      <c r="BL2478">
        <f>'19_Расчет_аналитики'!BK2477*'01_Вводные'!$B$14</f>
        <v/>
      </c>
      <c r="BM2478">
        <f>'19_Расчет_аналитики'!BL2477*'01_Вводные'!$B$14</f>
        <v/>
      </c>
      <c r="BN2478">
        <f>'19_Расчет_аналитики'!BM2477*'01_Вводные'!$B$14</f>
        <v/>
      </c>
      <c r="BO2478">
        <f>'19_Расчет_аналитики'!BN2477*'01_Вводные'!$B$14</f>
        <v/>
      </c>
    </row>
    <row r="2479">
      <c r="N2479">
        <f>'06_Сеть_и_дети'!N100</f>
        <v/>
      </c>
      <c r="O2479">
        <f>'06_Сеть_и_дети'!O100</f>
        <v/>
      </c>
      <c r="P2479">
        <f>'06_Сеть_и_дети'!P100</f>
        <v/>
      </c>
      <c r="Q2479">
        <f>'06_Сеть_и_дети'!Q100</f>
        <v/>
      </c>
      <c r="R2479">
        <f>'06_Сеть_и_дети'!R100</f>
        <v/>
      </c>
      <c r="S2479">
        <f>'06_Сеть_и_дети'!S100</f>
        <v/>
      </c>
      <c r="T2479">
        <f>'06_Сеть_и_дети'!T100</f>
        <v/>
      </c>
      <c r="U2479">
        <f>'19_Расчет_аналитики'!T2478*'01_Вводные'!$B$14</f>
        <v/>
      </c>
      <c r="V2479">
        <f>'19_Расчет_аналитики'!U2478*'01_Вводные'!$B$14</f>
        <v/>
      </c>
      <c r="W2479">
        <f>'19_Расчет_аналитики'!V2478*'01_Вводные'!$B$14</f>
        <v/>
      </c>
      <c r="X2479">
        <f>'19_Расчет_аналитики'!W2478*'01_Вводные'!$B$14</f>
        <v/>
      </c>
      <c r="Y2479">
        <f>'19_Расчет_аналитики'!X2478*'01_Вводные'!$B$14</f>
        <v/>
      </c>
      <c r="Z2479">
        <f>'19_Расчет_аналитики'!Y2478*'01_Вводные'!$B$14</f>
        <v/>
      </c>
      <c r="AA2479">
        <f>'19_Расчет_аналитики'!Z2478*'01_Вводные'!$B$14</f>
        <v/>
      </c>
      <c r="AB2479">
        <f>'19_Расчет_аналитики'!AA2478*'01_Вводные'!$B$14</f>
        <v/>
      </c>
      <c r="AC2479">
        <f>'19_Расчет_аналитики'!AB2478*'01_Вводные'!$B$14</f>
        <v/>
      </c>
      <c r="AD2479">
        <f>'19_Расчет_аналитики'!AC2478*'01_Вводные'!$B$14</f>
        <v/>
      </c>
      <c r="AE2479">
        <f>'19_Расчет_аналитики'!AD2478*'01_Вводные'!$B$14</f>
        <v/>
      </c>
      <c r="AF2479">
        <f>'19_Расчет_аналитики'!AE2478*'01_Вводные'!$B$14</f>
        <v/>
      </c>
      <c r="AG2479">
        <f>'19_Расчет_аналитики'!AF2478*'01_Вводные'!$B$14</f>
        <v/>
      </c>
      <c r="AH2479">
        <f>'19_Расчет_аналитики'!AG2478*'01_Вводные'!$B$14</f>
        <v/>
      </c>
      <c r="AI2479">
        <f>'19_Расчет_аналитики'!AH2478*'01_Вводные'!$B$14</f>
        <v/>
      </c>
      <c r="AJ2479">
        <f>'19_Расчет_аналитики'!AI2478*'01_Вводные'!$B$14</f>
        <v/>
      </c>
      <c r="AK2479">
        <f>'19_Расчет_аналитики'!AJ2478*'01_Вводные'!$B$14</f>
        <v/>
      </c>
      <c r="AL2479">
        <f>'19_Расчет_аналитики'!AK2478*'01_Вводные'!$B$14</f>
        <v/>
      </c>
      <c r="AM2479">
        <f>'19_Расчет_аналитики'!AL2478*'01_Вводные'!$B$14</f>
        <v/>
      </c>
      <c r="AN2479">
        <f>'19_Расчет_аналитики'!AM2478*'01_Вводные'!$B$14</f>
        <v/>
      </c>
      <c r="AO2479">
        <f>'19_Расчет_аналитики'!AN2478*'01_Вводные'!$B$14</f>
        <v/>
      </c>
      <c r="AP2479">
        <f>'19_Расчет_аналитики'!AO2478*'01_Вводные'!$B$14</f>
        <v/>
      </c>
      <c r="AQ2479">
        <f>'19_Расчет_аналитики'!AP2478*'01_Вводные'!$B$14</f>
        <v/>
      </c>
      <c r="AR2479">
        <f>'19_Расчет_аналитики'!AQ2478*'01_Вводные'!$B$14</f>
        <v/>
      </c>
      <c r="AS2479">
        <f>'19_Расчет_аналитики'!AR2478*'01_Вводные'!$B$14</f>
        <v/>
      </c>
      <c r="AT2479">
        <f>'19_Расчет_аналитики'!AS2478*'01_Вводные'!$B$14</f>
        <v/>
      </c>
      <c r="AU2479">
        <f>'19_Расчет_аналитики'!AT2478*'01_Вводные'!$B$14</f>
        <v/>
      </c>
      <c r="AV2479">
        <f>'19_Расчет_аналитики'!AU2478*'01_Вводные'!$B$14</f>
        <v/>
      </c>
      <c r="AW2479">
        <f>'19_Расчет_аналитики'!AV2478*'01_Вводные'!$B$14</f>
        <v/>
      </c>
      <c r="AX2479">
        <f>'19_Расчет_аналитики'!AW2478*'01_Вводные'!$B$14</f>
        <v/>
      </c>
      <c r="AY2479">
        <f>'19_Расчет_аналитики'!AX2478*'01_Вводные'!$B$14</f>
        <v/>
      </c>
      <c r="AZ2479">
        <f>'19_Расчет_аналитики'!AY2478*'01_Вводные'!$B$14</f>
        <v/>
      </c>
      <c r="BA2479">
        <f>'19_Расчет_аналитики'!AZ2478*'01_Вводные'!$B$14</f>
        <v/>
      </c>
      <c r="BB2479">
        <f>'19_Расчет_аналитики'!BA2478*'01_Вводные'!$B$14</f>
        <v/>
      </c>
      <c r="BC2479">
        <f>'19_Расчет_аналитики'!BB2478*'01_Вводные'!$B$14</f>
        <v/>
      </c>
      <c r="BD2479">
        <f>'19_Расчет_аналитики'!BC2478*'01_Вводные'!$B$14</f>
        <v/>
      </c>
      <c r="BE2479">
        <f>'19_Расчет_аналитики'!BD2478*'01_Вводные'!$B$14</f>
        <v/>
      </c>
      <c r="BF2479">
        <f>'19_Расчет_аналитики'!BE2478*'01_Вводные'!$B$14</f>
        <v/>
      </c>
      <c r="BG2479">
        <f>'19_Расчет_аналитики'!BF2478*'01_Вводные'!$B$14</f>
        <v/>
      </c>
      <c r="BH2479">
        <f>'19_Расчет_аналитики'!BG2478*'01_Вводные'!$B$14</f>
        <v/>
      </c>
      <c r="BI2479">
        <f>'19_Расчет_аналитики'!BH2478*'01_Вводные'!$B$14</f>
        <v/>
      </c>
      <c r="BJ2479">
        <f>'19_Расчет_аналитики'!BI2478*'01_Вводные'!$B$14</f>
        <v/>
      </c>
      <c r="BK2479">
        <f>'19_Расчет_аналитики'!BJ2478*'01_Вводные'!$B$14</f>
        <v/>
      </c>
      <c r="BL2479">
        <f>'19_Расчет_аналитики'!BK2478*'01_Вводные'!$B$14</f>
        <v/>
      </c>
      <c r="BM2479">
        <f>'19_Расчет_аналитики'!BL2478*'01_Вводные'!$B$14</f>
        <v/>
      </c>
      <c r="BN2479">
        <f>'19_Расчет_аналитики'!BM2478*'01_Вводные'!$B$14</f>
        <v/>
      </c>
      <c r="BO2479">
        <f>'19_Расчет_аналитики'!BN2478*'01_Вводные'!$B$14</f>
        <v/>
      </c>
    </row>
    <row r="2480">
      <c r="N2480">
        <f>'06_Сеть_и_дети'!N101</f>
        <v/>
      </c>
      <c r="O2480">
        <f>'06_Сеть_и_дети'!O101</f>
        <v/>
      </c>
      <c r="P2480">
        <f>'06_Сеть_и_дети'!P101</f>
        <v/>
      </c>
      <c r="Q2480">
        <f>'06_Сеть_и_дети'!Q101</f>
        <v/>
      </c>
      <c r="R2480">
        <f>'06_Сеть_и_дети'!R101</f>
        <v/>
      </c>
      <c r="S2480">
        <f>'06_Сеть_и_дети'!S101</f>
        <v/>
      </c>
      <c r="T2480">
        <f>'06_Сеть_и_дети'!T101</f>
        <v/>
      </c>
      <c r="U2480">
        <f>'06_Сеть_и_дети'!U101</f>
        <v/>
      </c>
      <c r="V2480">
        <f>'19_Расчет_аналитики'!U2479*'01_Вводные'!$B$14</f>
        <v/>
      </c>
      <c r="W2480">
        <f>'19_Расчет_аналитики'!V2479*'01_Вводные'!$B$14</f>
        <v/>
      </c>
      <c r="X2480">
        <f>'19_Расчет_аналитики'!W2479*'01_Вводные'!$B$14</f>
        <v/>
      </c>
      <c r="Y2480">
        <f>'19_Расчет_аналитики'!X2479*'01_Вводные'!$B$14</f>
        <v/>
      </c>
      <c r="Z2480">
        <f>'19_Расчет_аналитики'!Y2479*'01_Вводные'!$B$14</f>
        <v/>
      </c>
      <c r="AA2480">
        <f>'19_Расчет_аналитики'!Z2479*'01_Вводные'!$B$14</f>
        <v/>
      </c>
      <c r="AB2480">
        <f>'19_Расчет_аналитики'!AA2479*'01_Вводные'!$B$14</f>
        <v/>
      </c>
      <c r="AC2480">
        <f>'19_Расчет_аналитики'!AB2479*'01_Вводные'!$B$14</f>
        <v/>
      </c>
      <c r="AD2480">
        <f>'19_Расчет_аналитики'!AC2479*'01_Вводные'!$B$14</f>
        <v/>
      </c>
      <c r="AE2480">
        <f>'19_Расчет_аналитики'!AD2479*'01_Вводные'!$B$14</f>
        <v/>
      </c>
      <c r="AF2480">
        <f>'19_Расчет_аналитики'!AE2479*'01_Вводные'!$B$14</f>
        <v/>
      </c>
      <c r="AG2480">
        <f>'19_Расчет_аналитики'!AF2479*'01_Вводные'!$B$14</f>
        <v/>
      </c>
      <c r="AH2480">
        <f>'19_Расчет_аналитики'!AG2479*'01_Вводные'!$B$14</f>
        <v/>
      </c>
      <c r="AI2480">
        <f>'19_Расчет_аналитики'!AH2479*'01_Вводные'!$B$14</f>
        <v/>
      </c>
      <c r="AJ2480">
        <f>'19_Расчет_аналитики'!AI2479*'01_Вводные'!$B$14</f>
        <v/>
      </c>
      <c r="AK2480">
        <f>'19_Расчет_аналитики'!AJ2479*'01_Вводные'!$B$14</f>
        <v/>
      </c>
      <c r="AL2480">
        <f>'19_Расчет_аналитики'!AK2479*'01_Вводные'!$B$14</f>
        <v/>
      </c>
      <c r="AM2480">
        <f>'19_Расчет_аналитики'!AL2479*'01_Вводные'!$B$14</f>
        <v/>
      </c>
      <c r="AN2480">
        <f>'19_Расчет_аналитики'!AM2479*'01_Вводные'!$B$14</f>
        <v/>
      </c>
      <c r="AO2480">
        <f>'19_Расчет_аналитики'!AN2479*'01_Вводные'!$B$14</f>
        <v/>
      </c>
      <c r="AP2480">
        <f>'19_Расчет_аналитики'!AO2479*'01_Вводные'!$B$14</f>
        <v/>
      </c>
      <c r="AQ2480">
        <f>'19_Расчет_аналитики'!AP2479*'01_Вводные'!$B$14</f>
        <v/>
      </c>
      <c r="AR2480">
        <f>'19_Расчет_аналитики'!AQ2479*'01_Вводные'!$B$14</f>
        <v/>
      </c>
      <c r="AS2480">
        <f>'19_Расчет_аналитики'!AR2479*'01_Вводные'!$B$14</f>
        <v/>
      </c>
      <c r="AT2480">
        <f>'19_Расчет_аналитики'!AS2479*'01_Вводные'!$B$14</f>
        <v/>
      </c>
      <c r="AU2480">
        <f>'19_Расчет_аналитики'!AT2479*'01_Вводные'!$B$14</f>
        <v/>
      </c>
      <c r="AV2480">
        <f>'19_Расчет_аналитики'!AU2479*'01_Вводные'!$B$14</f>
        <v/>
      </c>
      <c r="AW2480">
        <f>'19_Расчет_аналитики'!AV2479*'01_Вводные'!$B$14</f>
        <v/>
      </c>
      <c r="AX2480">
        <f>'19_Расчет_аналитики'!AW2479*'01_Вводные'!$B$14</f>
        <v/>
      </c>
      <c r="AY2480">
        <f>'19_Расчет_аналитики'!AX2479*'01_Вводные'!$B$14</f>
        <v/>
      </c>
      <c r="AZ2480">
        <f>'19_Расчет_аналитики'!AY2479*'01_Вводные'!$B$14</f>
        <v/>
      </c>
      <c r="BA2480">
        <f>'19_Расчет_аналитики'!AZ2479*'01_Вводные'!$B$14</f>
        <v/>
      </c>
      <c r="BB2480">
        <f>'19_Расчет_аналитики'!BA2479*'01_Вводные'!$B$14</f>
        <v/>
      </c>
      <c r="BC2480">
        <f>'19_Расчет_аналитики'!BB2479*'01_Вводные'!$B$14</f>
        <v/>
      </c>
      <c r="BD2480">
        <f>'19_Расчет_аналитики'!BC2479*'01_Вводные'!$B$14</f>
        <v/>
      </c>
      <c r="BE2480">
        <f>'19_Расчет_аналитики'!BD2479*'01_Вводные'!$B$14</f>
        <v/>
      </c>
      <c r="BF2480">
        <f>'19_Расчет_аналитики'!BE2479*'01_Вводные'!$B$14</f>
        <v/>
      </c>
      <c r="BG2480">
        <f>'19_Расчет_аналитики'!BF2479*'01_Вводные'!$B$14</f>
        <v/>
      </c>
      <c r="BH2480">
        <f>'19_Расчет_аналитики'!BG2479*'01_Вводные'!$B$14</f>
        <v/>
      </c>
      <c r="BI2480">
        <f>'19_Расчет_аналитики'!BH2479*'01_Вводные'!$B$14</f>
        <v/>
      </c>
      <c r="BJ2480">
        <f>'19_Расчет_аналитики'!BI2479*'01_Вводные'!$B$14</f>
        <v/>
      </c>
      <c r="BK2480">
        <f>'19_Расчет_аналитики'!BJ2479*'01_Вводные'!$B$14</f>
        <v/>
      </c>
      <c r="BL2480">
        <f>'19_Расчет_аналитики'!BK2479*'01_Вводные'!$B$14</f>
        <v/>
      </c>
      <c r="BM2480">
        <f>'19_Расчет_аналитики'!BL2479*'01_Вводные'!$B$14</f>
        <v/>
      </c>
      <c r="BN2480">
        <f>'19_Расчет_аналитики'!BM2479*'01_Вводные'!$B$14</f>
        <v/>
      </c>
      <c r="BO2480">
        <f>'19_Расчет_аналитики'!BN2479*'01_Вводные'!$B$14</f>
        <v/>
      </c>
    </row>
    <row r="2481">
      <c r="N2481">
        <f>'06_Сеть_и_дети'!N102</f>
        <v/>
      </c>
      <c r="O2481">
        <f>'06_Сеть_и_дети'!O102</f>
        <v/>
      </c>
      <c r="P2481">
        <f>'06_Сеть_и_дети'!P102</f>
        <v/>
      </c>
      <c r="Q2481">
        <f>'06_Сеть_и_дети'!Q102</f>
        <v/>
      </c>
      <c r="R2481">
        <f>'06_Сеть_и_дети'!R102</f>
        <v/>
      </c>
      <c r="S2481">
        <f>'06_Сеть_и_дети'!S102</f>
        <v/>
      </c>
      <c r="T2481">
        <f>'06_Сеть_и_дети'!T102</f>
        <v/>
      </c>
      <c r="U2481">
        <f>'06_Сеть_и_дети'!U102</f>
        <v/>
      </c>
      <c r="V2481">
        <f>'06_Сеть_и_дети'!V102</f>
        <v/>
      </c>
      <c r="W2481">
        <f>'19_Расчет_аналитики'!V2480*'01_Вводные'!$B$14</f>
        <v/>
      </c>
      <c r="X2481">
        <f>'19_Расчет_аналитики'!W2480*'01_Вводные'!$B$14</f>
        <v/>
      </c>
      <c r="Y2481">
        <f>'19_Расчет_аналитики'!X2480*'01_Вводные'!$B$14</f>
        <v/>
      </c>
      <c r="Z2481">
        <f>'19_Расчет_аналитики'!Y2480*'01_Вводные'!$B$14</f>
        <v/>
      </c>
      <c r="AA2481">
        <f>'19_Расчет_аналитики'!Z2480*'01_Вводные'!$B$14</f>
        <v/>
      </c>
      <c r="AB2481">
        <f>'19_Расчет_аналитики'!AA2480*'01_Вводные'!$B$14</f>
        <v/>
      </c>
      <c r="AC2481">
        <f>'19_Расчет_аналитики'!AB2480*'01_Вводные'!$B$14</f>
        <v/>
      </c>
      <c r="AD2481">
        <f>'19_Расчет_аналитики'!AC2480*'01_Вводные'!$B$14</f>
        <v/>
      </c>
      <c r="AE2481">
        <f>'19_Расчет_аналитики'!AD2480*'01_Вводные'!$B$14</f>
        <v/>
      </c>
      <c r="AF2481">
        <f>'19_Расчет_аналитики'!AE2480*'01_Вводные'!$B$14</f>
        <v/>
      </c>
      <c r="AG2481">
        <f>'19_Расчет_аналитики'!AF2480*'01_Вводные'!$B$14</f>
        <v/>
      </c>
      <c r="AH2481">
        <f>'19_Расчет_аналитики'!AG2480*'01_Вводные'!$B$14</f>
        <v/>
      </c>
      <c r="AI2481">
        <f>'19_Расчет_аналитики'!AH2480*'01_Вводные'!$B$14</f>
        <v/>
      </c>
      <c r="AJ2481">
        <f>'19_Расчет_аналитики'!AI2480*'01_Вводные'!$B$14</f>
        <v/>
      </c>
      <c r="AK2481">
        <f>'19_Расчет_аналитики'!AJ2480*'01_Вводные'!$B$14</f>
        <v/>
      </c>
      <c r="AL2481">
        <f>'19_Расчет_аналитики'!AK2480*'01_Вводные'!$B$14</f>
        <v/>
      </c>
      <c r="AM2481">
        <f>'19_Расчет_аналитики'!AL2480*'01_Вводные'!$B$14</f>
        <v/>
      </c>
      <c r="AN2481">
        <f>'19_Расчет_аналитики'!AM2480*'01_Вводные'!$B$14</f>
        <v/>
      </c>
      <c r="AO2481">
        <f>'19_Расчет_аналитики'!AN2480*'01_Вводные'!$B$14</f>
        <v/>
      </c>
      <c r="AP2481">
        <f>'19_Расчет_аналитики'!AO2480*'01_Вводные'!$B$14</f>
        <v/>
      </c>
      <c r="AQ2481">
        <f>'19_Расчет_аналитики'!AP2480*'01_Вводные'!$B$14</f>
        <v/>
      </c>
      <c r="AR2481">
        <f>'19_Расчет_аналитики'!AQ2480*'01_Вводные'!$B$14</f>
        <v/>
      </c>
      <c r="AS2481">
        <f>'19_Расчет_аналитики'!AR2480*'01_Вводные'!$B$14</f>
        <v/>
      </c>
      <c r="AT2481">
        <f>'19_Расчет_аналитики'!AS2480*'01_Вводные'!$B$14</f>
        <v/>
      </c>
      <c r="AU2481">
        <f>'19_Расчет_аналитики'!AT2480*'01_Вводные'!$B$14</f>
        <v/>
      </c>
      <c r="AV2481">
        <f>'19_Расчет_аналитики'!AU2480*'01_Вводные'!$B$14</f>
        <v/>
      </c>
      <c r="AW2481">
        <f>'19_Расчет_аналитики'!AV2480*'01_Вводные'!$B$14</f>
        <v/>
      </c>
      <c r="AX2481">
        <f>'19_Расчет_аналитики'!AW2480*'01_Вводные'!$B$14</f>
        <v/>
      </c>
      <c r="AY2481">
        <f>'19_Расчет_аналитики'!AX2480*'01_Вводные'!$B$14</f>
        <v/>
      </c>
      <c r="AZ2481">
        <f>'19_Расчет_аналитики'!AY2480*'01_Вводные'!$B$14</f>
        <v/>
      </c>
      <c r="BA2481">
        <f>'19_Расчет_аналитики'!AZ2480*'01_Вводные'!$B$14</f>
        <v/>
      </c>
      <c r="BB2481">
        <f>'19_Расчет_аналитики'!BA2480*'01_Вводные'!$B$14</f>
        <v/>
      </c>
      <c r="BC2481">
        <f>'19_Расчет_аналитики'!BB2480*'01_Вводные'!$B$14</f>
        <v/>
      </c>
      <c r="BD2481">
        <f>'19_Расчет_аналитики'!BC2480*'01_Вводные'!$B$14</f>
        <v/>
      </c>
      <c r="BE2481">
        <f>'19_Расчет_аналитики'!BD2480*'01_Вводные'!$B$14</f>
        <v/>
      </c>
      <c r="BF2481">
        <f>'19_Расчет_аналитики'!BE2480*'01_Вводные'!$B$14</f>
        <v/>
      </c>
      <c r="BG2481">
        <f>'19_Расчет_аналитики'!BF2480*'01_Вводные'!$B$14</f>
        <v/>
      </c>
      <c r="BH2481">
        <f>'19_Расчет_аналитики'!BG2480*'01_Вводные'!$B$14</f>
        <v/>
      </c>
      <c r="BI2481">
        <f>'19_Расчет_аналитики'!BH2480*'01_Вводные'!$B$14</f>
        <v/>
      </c>
      <c r="BJ2481">
        <f>'19_Расчет_аналитики'!BI2480*'01_Вводные'!$B$14</f>
        <v/>
      </c>
      <c r="BK2481">
        <f>'19_Расчет_аналитики'!BJ2480*'01_Вводные'!$B$14</f>
        <v/>
      </c>
      <c r="BL2481">
        <f>'19_Расчет_аналитики'!BK2480*'01_Вводные'!$B$14</f>
        <v/>
      </c>
      <c r="BM2481">
        <f>'19_Расчет_аналитики'!BL2480*'01_Вводные'!$B$14</f>
        <v/>
      </c>
      <c r="BN2481">
        <f>'19_Расчет_аналитики'!BM2480*'01_Вводные'!$B$14</f>
        <v/>
      </c>
      <c r="BO2481">
        <f>'19_Расчет_аналитики'!BN2480*'01_Вводные'!$B$14</f>
        <v/>
      </c>
    </row>
    <row r="2482">
      <c r="N2482">
        <f>'06_Сеть_и_дети'!N103</f>
        <v/>
      </c>
      <c r="O2482">
        <f>'06_Сеть_и_дети'!O103</f>
        <v/>
      </c>
      <c r="P2482">
        <f>'06_Сеть_и_дети'!P103</f>
        <v/>
      </c>
      <c r="Q2482">
        <f>'06_Сеть_и_дети'!Q103</f>
        <v/>
      </c>
      <c r="R2482">
        <f>'06_Сеть_и_дети'!R103</f>
        <v/>
      </c>
      <c r="S2482">
        <f>'06_Сеть_и_дети'!S103</f>
        <v/>
      </c>
      <c r="T2482">
        <f>'06_Сеть_и_дети'!T103</f>
        <v/>
      </c>
      <c r="U2482">
        <f>'06_Сеть_и_дети'!U103</f>
        <v/>
      </c>
      <c r="V2482">
        <f>'06_Сеть_и_дети'!V103</f>
        <v/>
      </c>
      <c r="W2482">
        <f>'06_Сеть_и_дети'!W103</f>
        <v/>
      </c>
      <c r="X2482">
        <f>'19_Расчет_аналитики'!W2481*'01_Вводные'!$B$14</f>
        <v/>
      </c>
      <c r="Y2482">
        <f>'19_Расчет_аналитики'!X2481*'01_Вводные'!$B$14</f>
        <v/>
      </c>
      <c r="Z2482">
        <f>'19_Расчет_аналитики'!Y2481*'01_Вводные'!$B$14</f>
        <v/>
      </c>
      <c r="AA2482">
        <f>'19_Расчет_аналитики'!Z2481*'01_Вводные'!$B$14</f>
        <v/>
      </c>
      <c r="AB2482">
        <f>'19_Расчет_аналитики'!AA2481*'01_Вводные'!$B$14</f>
        <v/>
      </c>
      <c r="AC2482">
        <f>'19_Расчет_аналитики'!AB2481*'01_Вводные'!$B$14</f>
        <v/>
      </c>
      <c r="AD2482">
        <f>'19_Расчет_аналитики'!AC2481*'01_Вводные'!$B$14</f>
        <v/>
      </c>
      <c r="AE2482">
        <f>'19_Расчет_аналитики'!AD2481*'01_Вводные'!$B$14</f>
        <v/>
      </c>
      <c r="AF2482">
        <f>'19_Расчет_аналитики'!AE2481*'01_Вводные'!$B$14</f>
        <v/>
      </c>
      <c r="AG2482">
        <f>'19_Расчет_аналитики'!AF2481*'01_Вводные'!$B$14</f>
        <v/>
      </c>
      <c r="AH2482">
        <f>'19_Расчет_аналитики'!AG2481*'01_Вводные'!$B$14</f>
        <v/>
      </c>
      <c r="AI2482">
        <f>'19_Расчет_аналитики'!AH2481*'01_Вводные'!$B$14</f>
        <v/>
      </c>
      <c r="AJ2482">
        <f>'19_Расчет_аналитики'!AI2481*'01_Вводные'!$B$14</f>
        <v/>
      </c>
      <c r="AK2482">
        <f>'19_Расчет_аналитики'!AJ2481*'01_Вводные'!$B$14</f>
        <v/>
      </c>
      <c r="AL2482">
        <f>'19_Расчет_аналитики'!AK2481*'01_Вводные'!$B$14</f>
        <v/>
      </c>
      <c r="AM2482">
        <f>'19_Расчет_аналитики'!AL2481*'01_Вводные'!$B$14</f>
        <v/>
      </c>
      <c r="AN2482">
        <f>'19_Расчет_аналитики'!AM2481*'01_Вводные'!$B$14</f>
        <v/>
      </c>
      <c r="AO2482">
        <f>'19_Расчет_аналитики'!AN2481*'01_Вводные'!$B$14</f>
        <v/>
      </c>
      <c r="AP2482">
        <f>'19_Расчет_аналитики'!AO2481*'01_Вводные'!$B$14</f>
        <v/>
      </c>
      <c r="AQ2482">
        <f>'19_Расчет_аналитики'!AP2481*'01_Вводные'!$B$14</f>
        <v/>
      </c>
      <c r="AR2482">
        <f>'19_Расчет_аналитики'!AQ2481*'01_Вводные'!$B$14</f>
        <v/>
      </c>
      <c r="AS2482">
        <f>'19_Расчет_аналитики'!AR2481*'01_Вводные'!$B$14</f>
        <v/>
      </c>
      <c r="AT2482">
        <f>'19_Расчет_аналитики'!AS2481*'01_Вводные'!$B$14</f>
        <v/>
      </c>
      <c r="AU2482">
        <f>'19_Расчет_аналитики'!AT2481*'01_Вводные'!$B$14</f>
        <v/>
      </c>
      <c r="AV2482">
        <f>'19_Расчет_аналитики'!AU2481*'01_Вводные'!$B$14</f>
        <v/>
      </c>
      <c r="AW2482">
        <f>'19_Расчет_аналитики'!AV2481*'01_Вводные'!$B$14</f>
        <v/>
      </c>
      <c r="AX2482">
        <f>'19_Расчет_аналитики'!AW2481*'01_Вводные'!$B$14</f>
        <v/>
      </c>
      <c r="AY2482">
        <f>'19_Расчет_аналитики'!AX2481*'01_Вводные'!$B$14</f>
        <v/>
      </c>
      <c r="AZ2482">
        <f>'19_Расчет_аналитики'!AY2481*'01_Вводные'!$B$14</f>
        <v/>
      </c>
      <c r="BA2482">
        <f>'19_Расчет_аналитики'!AZ2481*'01_Вводные'!$B$14</f>
        <v/>
      </c>
      <c r="BB2482">
        <f>'19_Расчет_аналитики'!BA2481*'01_Вводные'!$B$14</f>
        <v/>
      </c>
      <c r="BC2482">
        <f>'19_Расчет_аналитики'!BB2481*'01_Вводные'!$B$14</f>
        <v/>
      </c>
      <c r="BD2482">
        <f>'19_Расчет_аналитики'!BC2481*'01_Вводные'!$B$14</f>
        <v/>
      </c>
      <c r="BE2482">
        <f>'19_Расчет_аналитики'!BD2481*'01_Вводные'!$B$14</f>
        <v/>
      </c>
      <c r="BF2482">
        <f>'19_Расчет_аналитики'!BE2481*'01_Вводные'!$B$14</f>
        <v/>
      </c>
      <c r="BG2482">
        <f>'19_Расчет_аналитики'!BF2481*'01_Вводные'!$B$14</f>
        <v/>
      </c>
      <c r="BH2482">
        <f>'19_Расчет_аналитики'!BG2481*'01_Вводные'!$B$14</f>
        <v/>
      </c>
      <c r="BI2482">
        <f>'19_Расчет_аналитики'!BH2481*'01_Вводные'!$B$14</f>
        <v/>
      </c>
      <c r="BJ2482">
        <f>'19_Расчет_аналитики'!BI2481*'01_Вводные'!$B$14</f>
        <v/>
      </c>
      <c r="BK2482">
        <f>'19_Расчет_аналитики'!BJ2481*'01_Вводные'!$B$14</f>
        <v/>
      </c>
      <c r="BL2482">
        <f>'19_Расчет_аналитики'!BK2481*'01_Вводные'!$B$14</f>
        <v/>
      </c>
      <c r="BM2482">
        <f>'19_Расчет_аналитики'!BL2481*'01_Вводные'!$B$14</f>
        <v/>
      </c>
      <c r="BN2482">
        <f>'19_Расчет_аналитики'!BM2481*'01_Вводные'!$B$14</f>
        <v/>
      </c>
      <c r="BO2482">
        <f>'19_Расчет_аналитики'!BN2481*'01_Вводные'!$B$14</f>
        <v/>
      </c>
    </row>
    <row r="2483">
      <c r="N2483">
        <f>'06_Сеть_и_дети'!N104</f>
        <v/>
      </c>
      <c r="O2483">
        <f>'06_Сеть_и_дети'!O104</f>
        <v/>
      </c>
      <c r="P2483">
        <f>'06_Сеть_и_дети'!P104</f>
        <v/>
      </c>
      <c r="Q2483">
        <f>'06_Сеть_и_дети'!Q104</f>
        <v/>
      </c>
      <c r="R2483">
        <f>'06_Сеть_и_дети'!R104</f>
        <v/>
      </c>
      <c r="S2483">
        <f>'06_Сеть_и_дети'!S104</f>
        <v/>
      </c>
      <c r="T2483">
        <f>'06_Сеть_и_дети'!T104</f>
        <v/>
      </c>
      <c r="U2483">
        <f>'06_Сеть_и_дети'!U104</f>
        <v/>
      </c>
      <c r="V2483">
        <f>'06_Сеть_и_дети'!V104</f>
        <v/>
      </c>
      <c r="W2483">
        <f>'06_Сеть_и_дети'!W104</f>
        <v/>
      </c>
      <c r="X2483">
        <f>'06_Сеть_и_дети'!X104</f>
        <v/>
      </c>
      <c r="Y2483">
        <f>'19_Расчет_аналитики'!X2482*'01_Вводные'!$B$14</f>
        <v/>
      </c>
      <c r="Z2483">
        <f>'19_Расчет_аналитики'!Y2482*'01_Вводные'!$B$14</f>
        <v/>
      </c>
      <c r="AA2483">
        <f>'19_Расчет_аналитики'!Z2482*'01_Вводные'!$B$14</f>
        <v/>
      </c>
      <c r="AB2483">
        <f>'19_Расчет_аналитики'!AA2482*'01_Вводные'!$B$14</f>
        <v/>
      </c>
      <c r="AC2483">
        <f>'19_Расчет_аналитики'!AB2482*'01_Вводные'!$B$14</f>
        <v/>
      </c>
      <c r="AD2483">
        <f>'19_Расчет_аналитики'!AC2482*'01_Вводные'!$B$14</f>
        <v/>
      </c>
      <c r="AE2483">
        <f>'19_Расчет_аналитики'!AD2482*'01_Вводные'!$B$14</f>
        <v/>
      </c>
      <c r="AF2483">
        <f>'19_Расчет_аналитики'!AE2482*'01_Вводные'!$B$14</f>
        <v/>
      </c>
      <c r="AG2483">
        <f>'19_Расчет_аналитики'!AF2482*'01_Вводные'!$B$14</f>
        <v/>
      </c>
      <c r="AH2483">
        <f>'19_Расчет_аналитики'!AG2482*'01_Вводные'!$B$14</f>
        <v/>
      </c>
      <c r="AI2483">
        <f>'19_Расчет_аналитики'!AH2482*'01_Вводные'!$B$14</f>
        <v/>
      </c>
      <c r="AJ2483">
        <f>'19_Расчет_аналитики'!AI2482*'01_Вводные'!$B$14</f>
        <v/>
      </c>
      <c r="AK2483">
        <f>'19_Расчет_аналитики'!AJ2482*'01_Вводные'!$B$14</f>
        <v/>
      </c>
      <c r="AL2483">
        <f>'19_Расчет_аналитики'!AK2482*'01_Вводные'!$B$14</f>
        <v/>
      </c>
      <c r="AM2483">
        <f>'19_Расчет_аналитики'!AL2482*'01_Вводные'!$B$14</f>
        <v/>
      </c>
      <c r="AN2483">
        <f>'19_Расчет_аналитики'!AM2482*'01_Вводные'!$B$14</f>
        <v/>
      </c>
      <c r="AO2483">
        <f>'19_Расчет_аналитики'!AN2482*'01_Вводные'!$B$14</f>
        <v/>
      </c>
      <c r="AP2483">
        <f>'19_Расчет_аналитики'!AO2482*'01_Вводные'!$B$14</f>
        <v/>
      </c>
      <c r="AQ2483">
        <f>'19_Расчет_аналитики'!AP2482*'01_Вводные'!$B$14</f>
        <v/>
      </c>
      <c r="AR2483">
        <f>'19_Расчет_аналитики'!AQ2482*'01_Вводные'!$B$14</f>
        <v/>
      </c>
      <c r="AS2483">
        <f>'19_Расчет_аналитики'!AR2482*'01_Вводные'!$B$14</f>
        <v/>
      </c>
      <c r="AT2483">
        <f>'19_Расчет_аналитики'!AS2482*'01_Вводные'!$B$14</f>
        <v/>
      </c>
      <c r="AU2483">
        <f>'19_Расчет_аналитики'!AT2482*'01_Вводные'!$B$14</f>
        <v/>
      </c>
      <c r="AV2483">
        <f>'19_Расчет_аналитики'!AU2482*'01_Вводные'!$B$14</f>
        <v/>
      </c>
      <c r="AW2483">
        <f>'19_Расчет_аналитики'!AV2482*'01_Вводные'!$B$14</f>
        <v/>
      </c>
      <c r="AX2483">
        <f>'19_Расчет_аналитики'!AW2482*'01_Вводные'!$B$14</f>
        <v/>
      </c>
      <c r="AY2483">
        <f>'19_Расчет_аналитики'!AX2482*'01_Вводные'!$B$14</f>
        <v/>
      </c>
      <c r="AZ2483">
        <f>'19_Расчет_аналитики'!AY2482*'01_Вводные'!$B$14</f>
        <v/>
      </c>
      <c r="BA2483">
        <f>'19_Расчет_аналитики'!AZ2482*'01_Вводные'!$B$14</f>
        <v/>
      </c>
      <c r="BB2483">
        <f>'19_Расчет_аналитики'!BA2482*'01_Вводные'!$B$14</f>
        <v/>
      </c>
      <c r="BC2483">
        <f>'19_Расчет_аналитики'!BB2482*'01_Вводные'!$B$14</f>
        <v/>
      </c>
      <c r="BD2483">
        <f>'19_Расчет_аналитики'!BC2482*'01_Вводные'!$B$14</f>
        <v/>
      </c>
      <c r="BE2483">
        <f>'19_Расчет_аналитики'!BD2482*'01_Вводные'!$B$14</f>
        <v/>
      </c>
      <c r="BF2483">
        <f>'19_Расчет_аналитики'!BE2482*'01_Вводные'!$B$14</f>
        <v/>
      </c>
      <c r="BG2483">
        <f>'19_Расчет_аналитики'!BF2482*'01_Вводные'!$B$14</f>
        <v/>
      </c>
      <c r="BH2483">
        <f>'19_Расчет_аналитики'!BG2482*'01_Вводные'!$B$14</f>
        <v/>
      </c>
      <c r="BI2483">
        <f>'19_Расчет_аналитики'!BH2482*'01_Вводные'!$B$14</f>
        <v/>
      </c>
      <c r="BJ2483">
        <f>'19_Расчет_аналитики'!BI2482*'01_Вводные'!$B$14</f>
        <v/>
      </c>
      <c r="BK2483">
        <f>'19_Расчет_аналитики'!BJ2482*'01_Вводные'!$B$14</f>
        <v/>
      </c>
      <c r="BL2483">
        <f>'19_Расчет_аналитики'!BK2482*'01_Вводные'!$B$14</f>
        <v/>
      </c>
      <c r="BM2483">
        <f>'19_Расчет_аналитики'!BL2482*'01_Вводные'!$B$14</f>
        <v/>
      </c>
      <c r="BN2483">
        <f>'19_Расчет_аналитики'!BM2482*'01_Вводные'!$B$14</f>
        <v/>
      </c>
      <c r="BO2483">
        <f>'19_Расчет_аналитики'!BN2482*'01_Вводные'!$B$14</f>
        <v/>
      </c>
    </row>
    <row r="2484">
      <c r="N2484">
        <f>'06_Сеть_и_дети'!N105</f>
        <v/>
      </c>
      <c r="O2484">
        <f>'06_Сеть_и_дети'!O105</f>
        <v/>
      </c>
      <c r="P2484">
        <f>'06_Сеть_и_дети'!P105</f>
        <v/>
      </c>
      <c r="Q2484">
        <f>'06_Сеть_и_дети'!Q105</f>
        <v/>
      </c>
      <c r="R2484">
        <f>'06_Сеть_и_дети'!R105</f>
        <v/>
      </c>
      <c r="S2484">
        <f>'06_Сеть_и_дети'!S105</f>
        <v/>
      </c>
      <c r="T2484">
        <f>'06_Сеть_и_дети'!T105</f>
        <v/>
      </c>
      <c r="U2484">
        <f>'06_Сеть_и_дети'!U105</f>
        <v/>
      </c>
      <c r="V2484">
        <f>'06_Сеть_и_дети'!V105</f>
        <v/>
      </c>
      <c r="W2484">
        <f>'06_Сеть_и_дети'!W105</f>
        <v/>
      </c>
      <c r="X2484">
        <f>'06_Сеть_и_дети'!X105</f>
        <v/>
      </c>
      <c r="Y2484">
        <f>'06_Сеть_и_дети'!Y105</f>
        <v/>
      </c>
      <c r="Z2484">
        <f>SUM('19_Расчет_аналитики'!Y2483:Y2484)*'01_Вводные'!$B$14</f>
        <v/>
      </c>
      <c r="AA2484">
        <f>SUM('19_Расчет_аналитики'!Z2483:Z2484)*'01_Вводные'!$B$14</f>
        <v/>
      </c>
      <c r="AB2484">
        <f>SUM('19_Расчет_аналитики'!AA2483:AA2484)*'01_Вводные'!$B$14</f>
        <v/>
      </c>
      <c r="AC2484">
        <f>SUM('19_Расчет_аналитики'!AB2483:AB2484)*'01_Вводные'!$B$14</f>
        <v/>
      </c>
      <c r="AD2484">
        <f>SUM('19_Расчет_аналитики'!AC2483:AC2484)*'01_Вводные'!$B$14</f>
        <v/>
      </c>
      <c r="AE2484">
        <f>SUM('19_Расчет_аналитики'!AD2483:AD2484)*'01_Вводные'!$B$14</f>
        <v/>
      </c>
      <c r="AF2484">
        <f>SUM('19_Расчет_аналитики'!AE2483:AE2484)*'01_Вводные'!$B$14</f>
        <v/>
      </c>
      <c r="AG2484">
        <f>SUM('19_Расчет_аналитики'!AF2483:AF2484)*'01_Вводные'!$B$14</f>
        <v/>
      </c>
      <c r="AH2484">
        <f>SUM('19_Расчет_аналитики'!AG2483:AG2484)*'01_Вводные'!$B$14</f>
        <v/>
      </c>
      <c r="AI2484">
        <f>SUM('19_Расчет_аналитики'!AH2483:AH2484)*'01_Вводные'!$B$14</f>
        <v/>
      </c>
      <c r="AJ2484">
        <f>SUM('19_Расчет_аналитики'!AI2483:AI2484)*'01_Вводные'!$B$14</f>
        <v/>
      </c>
      <c r="AK2484">
        <f>SUM('19_Расчет_аналитики'!AJ2483:AJ2484)*'01_Вводные'!$B$14</f>
        <v/>
      </c>
      <c r="AL2484">
        <f>SUM('19_Расчет_аналитики'!AK2483:AK2484)*'01_Вводные'!$B$14</f>
        <v/>
      </c>
      <c r="AM2484">
        <f>SUM('19_Расчет_аналитики'!AL2483:AL2484)*'01_Вводные'!$B$14</f>
        <v/>
      </c>
      <c r="AN2484">
        <f>SUM('19_Расчет_аналитики'!AM2483:AM2484)*'01_Вводные'!$B$14</f>
        <v/>
      </c>
      <c r="AO2484">
        <f>SUM('19_Расчет_аналитики'!AN2483:AN2484)*'01_Вводные'!$B$14</f>
        <v/>
      </c>
      <c r="AP2484">
        <f>SUM('19_Расчет_аналитики'!AO2483:AO2484)*'01_Вводные'!$B$14</f>
        <v/>
      </c>
      <c r="AQ2484">
        <f>SUM('19_Расчет_аналитики'!AP2483:AP2484)*'01_Вводные'!$B$14</f>
        <v/>
      </c>
      <c r="AR2484">
        <f>SUM('19_Расчет_аналитики'!AQ2483:AQ2484)*'01_Вводные'!$B$14</f>
        <v/>
      </c>
      <c r="AS2484">
        <f>SUM('19_Расчет_аналитики'!AR2483:AR2484)*'01_Вводные'!$B$14</f>
        <v/>
      </c>
      <c r="AT2484">
        <f>SUM('19_Расчет_аналитики'!AS2483:AS2484)*'01_Вводные'!$B$14</f>
        <v/>
      </c>
      <c r="AU2484">
        <f>SUM('19_Расчет_аналитики'!AT2483:AT2484)*'01_Вводные'!$B$14</f>
        <v/>
      </c>
      <c r="AV2484">
        <f>SUM('19_Расчет_аналитики'!AU2483:AU2484)*'01_Вводные'!$B$14</f>
        <v/>
      </c>
      <c r="AW2484">
        <f>SUM('19_Расчет_аналитики'!AV2483:AV2484)*'01_Вводные'!$B$14</f>
        <v/>
      </c>
      <c r="AX2484">
        <f>SUM('19_Расчет_аналитики'!AW2483:AW2484)*'01_Вводные'!$B$14</f>
        <v/>
      </c>
      <c r="AY2484">
        <f>SUM('19_Расчет_аналитики'!AX2483:AX2484)*'01_Вводные'!$B$14</f>
        <v/>
      </c>
      <c r="AZ2484">
        <f>SUM('19_Расчет_аналитики'!AY2483:AY2484)*'01_Вводные'!$B$14</f>
        <v/>
      </c>
      <c r="BA2484">
        <f>SUM('19_Расчет_аналитики'!AZ2483:AZ2484)*'01_Вводные'!$B$14</f>
        <v/>
      </c>
      <c r="BB2484">
        <f>SUM('19_Расчет_аналитики'!BA2483:BA2484)*'01_Вводные'!$B$14</f>
        <v/>
      </c>
      <c r="BC2484">
        <f>SUM('19_Расчет_аналитики'!BB2483:BB2484)*'01_Вводные'!$B$14</f>
        <v/>
      </c>
      <c r="BD2484">
        <f>SUM('19_Расчет_аналитики'!BC2483:BC2484)*'01_Вводные'!$B$14</f>
        <v/>
      </c>
      <c r="BE2484">
        <f>SUM('19_Расчет_аналитики'!BD2483:BD2484)*'01_Вводные'!$B$14</f>
        <v/>
      </c>
      <c r="BF2484">
        <f>SUM('19_Расчет_аналитики'!BE2483:BE2484)*'01_Вводные'!$B$14</f>
        <v/>
      </c>
      <c r="BG2484">
        <f>SUM('19_Расчет_аналитики'!BF2483:BF2484)*'01_Вводные'!$B$14</f>
        <v/>
      </c>
      <c r="BH2484">
        <f>SUM('19_Расчет_аналитики'!BG2483:BG2484)*'01_Вводные'!$B$14</f>
        <v/>
      </c>
      <c r="BI2484">
        <f>SUM('19_Расчет_аналитики'!BH2483:BH2484)*'01_Вводные'!$B$14</f>
        <v/>
      </c>
      <c r="BJ2484">
        <f>SUM('19_Расчет_аналитики'!BI2483:BI2484)*'01_Вводные'!$B$14</f>
        <v/>
      </c>
      <c r="BK2484">
        <f>SUM('19_Расчет_аналитики'!BJ2483:BJ2484)*'01_Вводные'!$B$14</f>
        <v/>
      </c>
      <c r="BL2484">
        <f>SUM('19_Расчет_аналитики'!BK2483:BK2484)*'01_Вводные'!$B$14</f>
        <v/>
      </c>
      <c r="BM2484">
        <f>SUM('19_Расчет_аналитики'!BL2483:BL2484)*'01_Вводные'!$B$14</f>
        <v/>
      </c>
      <c r="BN2484">
        <f>SUM('19_Расчет_аналитики'!BM2483:BM2484)*'01_Вводные'!$B$14</f>
        <v/>
      </c>
      <c r="BO2484">
        <f>SUM('19_Расчет_аналитики'!BN2483:BN2484)*'01_Вводные'!$B$14</f>
        <v/>
      </c>
    </row>
    <row r="2485"/>
    <row r="2486"/>
    <row r="2487"/>
    <row r="2488">
      <c r="B2488">
        <f>IF(OR('19_Расчет_аналитики'!B2460=0,1&lt;='01_Вводные'!$B$297),0,'19_Расчет_аналитики'!B2460*IF('01_Вводные'!$B$239="Да",MeanMinAge01+'19_Расчет_аналитики'!B2583*SUMIF(ThresholdAge01,"&lt;"&amp;'19_Расчет_аналитики'!B2583,WeightedRevAge01)-SUMIF(ThresholdAge01,"&lt;"&amp;'19_Расчет_аналитики'!B2583,WeightedMinAge01),MAX(CapacityAge01*'01_Вводные'!$B$218*'19_Расчет_аналитики'!B2583,MeanMinAge01)))</f>
        <v/>
      </c>
      <c r="C2488">
        <f>IF(OR('19_Расчет_аналитики'!C2460=0,1&lt;='01_Вводные'!$B$297),0,'19_Расчет_аналитики'!C2460*IF('01_Вводные'!$B$239="Да",MeanMinAge01+'19_Расчет_аналитики'!C2583*SUMIF(ThresholdAge01,"&lt;"&amp;'19_Расчет_аналитики'!C2583,WeightedRevAge01)-SUMIF(ThresholdAge01,"&lt;"&amp;'19_Расчет_аналитики'!C2583,WeightedMinAge01),MAX(CapacityAge01*'01_Вводные'!$B$218*'19_Расчет_аналитики'!C2583,MeanMinAge01)))</f>
        <v/>
      </c>
      <c r="D2488">
        <f>IF(OR('19_Расчет_аналитики'!D2460=0,1&lt;='01_Вводные'!$B$297),0,'19_Расчет_аналитики'!D2460*IF('01_Вводные'!$B$239="Да",MeanMinAge01+'19_Расчет_аналитики'!D2583*SUMIF(ThresholdAge01,"&lt;"&amp;'19_Расчет_аналитики'!D2583,WeightedRevAge01)-SUMIF(ThresholdAge01,"&lt;"&amp;'19_Расчет_аналитики'!D2583,WeightedMinAge01),MAX(CapacityAge01*'01_Вводные'!$B$218*'19_Расчет_аналитики'!D2583,MeanMinAge01)))</f>
        <v/>
      </c>
      <c r="E2488">
        <f>IF(OR('19_Расчет_аналитики'!E2460=0,1&lt;='01_Вводные'!$B$297),0,'19_Расчет_аналитики'!E2460*IF('01_Вводные'!$B$239="Да",MeanMinAge01+'19_Расчет_аналитики'!E2583*SUMIF(ThresholdAge01,"&lt;"&amp;'19_Расчет_аналитики'!E2583,WeightedRevAge01)-SUMIF(ThresholdAge01,"&lt;"&amp;'19_Расчет_аналитики'!E2583,WeightedMinAge01),MAX(CapacityAge01*'01_Вводные'!$B$218*'19_Расчет_аналитики'!E2583,MeanMinAge01)))</f>
        <v/>
      </c>
      <c r="F2488">
        <f>IF(OR('19_Расчет_аналитики'!F2460=0,1&lt;='01_Вводные'!$B$297),0,'19_Расчет_аналитики'!F2460*IF('01_Вводные'!$B$239="Да",MeanMinAge01+'19_Расчет_аналитики'!F2583*SUMIF(ThresholdAge01,"&lt;"&amp;'19_Расчет_аналитики'!F2583,WeightedRevAge01)-SUMIF(ThresholdAge01,"&lt;"&amp;'19_Расчет_аналитики'!F2583,WeightedMinAge01),MAX(CapacityAge01*'01_Вводные'!$B$218*'19_Расчет_аналитики'!F2583,MeanMinAge01)))</f>
        <v/>
      </c>
      <c r="G2488">
        <f>IF(OR('19_Расчет_аналитики'!G2460=0,1&lt;='01_Вводные'!$B$297),0,'19_Расчет_аналитики'!G2460*IF('01_Вводные'!$B$239="Да",MeanMinAge01+'19_Расчет_аналитики'!G2583*SUMIF(ThresholdAge01,"&lt;"&amp;'19_Расчет_аналитики'!G2583,WeightedRevAge01)-SUMIF(ThresholdAge01,"&lt;"&amp;'19_Расчет_аналитики'!G2583,WeightedMinAge01),MAX(CapacityAge01*'01_Вводные'!$B$218*'19_Расчет_аналитики'!G2583,MeanMinAge01)))</f>
        <v/>
      </c>
      <c r="H2488">
        <f>IF(OR('19_Расчет_аналитики'!H2460=0,1&lt;='01_Вводные'!$B$297),0,'19_Расчет_аналитики'!H2460*IF('01_Вводные'!$B$239="Да",MeanMinAge01+'19_Расчет_аналитики'!H2583*SUMIF(ThresholdAge01,"&lt;"&amp;'19_Расчет_аналитики'!H2583,WeightedRevAge01)-SUMIF(ThresholdAge01,"&lt;"&amp;'19_Расчет_аналитики'!H2583,WeightedMinAge01),MAX(CapacityAge01*'01_Вводные'!$B$218*'19_Расчет_аналитики'!H2583,MeanMinAge01)))</f>
        <v/>
      </c>
      <c r="I2488">
        <f>IF(OR('19_Расчет_аналитики'!I2460=0,1&lt;='01_Вводные'!$B$297),0,'19_Расчет_аналитики'!I2460*IF('01_Вводные'!$B$239="Да",MeanMinAge01+'19_Расчет_аналитики'!I2583*SUMIF(ThresholdAge01,"&lt;"&amp;'19_Расчет_аналитики'!I2583,WeightedRevAge01)-SUMIF(ThresholdAge01,"&lt;"&amp;'19_Расчет_аналитики'!I2583,WeightedMinAge01),MAX(CapacityAge01*'01_Вводные'!$B$218*'19_Расчет_аналитики'!I2583,MeanMinAge01)))</f>
        <v/>
      </c>
      <c r="J2488">
        <f>IF(OR('19_Расчет_аналитики'!J2460=0,1&lt;='01_Вводные'!$B$297),0,'19_Расчет_аналитики'!J2460*IF('01_Вводные'!$B$239="Да",MeanMinAge01+'19_Расчет_аналитики'!J2583*SUMIF(ThresholdAge01,"&lt;"&amp;'19_Расчет_аналитики'!J2583,WeightedRevAge01)-SUMIF(ThresholdAge01,"&lt;"&amp;'19_Расчет_аналитики'!J2583,WeightedMinAge01),MAX(CapacityAge01*'01_Вводные'!$B$218*'19_Расчет_аналитики'!J2583,MeanMinAge01)))</f>
        <v/>
      </c>
      <c r="K2488">
        <f>IF(OR('19_Расчет_аналитики'!K2460=0,1&lt;='01_Вводные'!$B$297),0,'19_Расчет_аналитики'!K2460*IF('01_Вводные'!$B$239="Да",MeanMinAge01+'19_Расчет_аналитики'!K2583*SUMIF(ThresholdAge01,"&lt;"&amp;'19_Расчет_аналитики'!K2583,WeightedRevAge01)-SUMIF(ThresholdAge01,"&lt;"&amp;'19_Расчет_аналитики'!K2583,WeightedMinAge01),MAX(CapacityAge01*'01_Вводные'!$B$218*'19_Расчет_аналитики'!K2583,MeanMinAge01)))</f>
        <v/>
      </c>
      <c r="L2488">
        <f>IF(OR('19_Расчет_аналитики'!L2460=0,1&lt;='01_Вводные'!$B$297),0,'19_Расчет_аналитики'!L2460*IF('01_Вводные'!$B$239="Да",MeanMinAge01+'19_Расчет_аналитики'!L2583*SUMIF(ThresholdAge01,"&lt;"&amp;'19_Расчет_аналитики'!L2583,WeightedRevAge01)-SUMIF(ThresholdAge01,"&lt;"&amp;'19_Расчет_аналитики'!L2583,WeightedMinAge01),MAX(CapacityAge01*'01_Вводные'!$B$218*'19_Расчет_аналитики'!L2583,MeanMinAge01)))</f>
        <v/>
      </c>
      <c r="M2488">
        <f>IF(OR('19_Расчет_аналитики'!M2460=0,1&lt;='01_Вводные'!$B$297),0,'19_Расчет_аналитики'!M2460*IF('01_Вводные'!$B$239="Да",MeanMinAge01+'19_Расчет_аналитики'!M2583*SUMIF(ThresholdAge01,"&lt;"&amp;'19_Расчет_аналитики'!M2583,WeightedRevAge01)-SUMIF(ThresholdAge01,"&lt;"&amp;'19_Расчет_аналитики'!M2583,WeightedMinAge01),MAX(CapacityAge01*'01_Вводные'!$B$218*'19_Расчет_аналитики'!M2583,MeanMinAge01)))</f>
        <v/>
      </c>
      <c r="N2488">
        <f>IF(OR('19_Расчет_аналитики'!N2460=0,1&lt;='01_Вводные'!$B$297),0,'19_Расчет_аналитики'!N2460*IF('01_Вводные'!$B$239="Да",MeanMinAge01+'19_Расчет_аналитики'!N2583*SUMIF(ThresholdAge01,"&lt;"&amp;'19_Расчет_аналитики'!N2583,WeightedRevAge01)-SUMIF(ThresholdAge01,"&lt;"&amp;'19_Расчет_аналитики'!N2583,WeightedMinAge01),MAX(CapacityAge01*'01_Вводные'!$B$218*'19_Расчет_аналитики'!N2583,MeanMinAge01)))</f>
        <v/>
      </c>
      <c r="O2488">
        <f>IF(OR('19_Расчет_аналитики'!O2460=0,1&lt;='01_Вводные'!$B$297),0,'19_Расчет_аналитики'!O2460*IF('01_Вводные'!$B$239="Да",MeanMinAge01+'19_Расчет_аналитики'!O2583*SUMIF(ThresholdAge01,"&lt;"&amp;'19_Расчет_аналитики'!O2583,WeightedRevAge01)-SUMIF(ThresholdAge01,"&lt;"&amp;'19_Расчет_аналитики'!O2583,WeightedMinAge01),MAX(CapacityAge01*'01_Вводные'!$B$218*'19_Расчет_аналитики'!O2583,MeanMinAge01)))</f>
        <v/>
      </c>
      <c r="P2488">
        <f>IF(OR('19_Расчет_аналитики'!P2460=0,1&lt;='01_Вводные'!$B$297),0,'19_Расчет_аналитики'!P2460*IF('01_Вводные'!$B$239="Да",MeanMinAge01+'19_Расчет_аналитики'!P2583*SUMIF(ThresholdAge01,"&lt;"&amp;'19_Расчет_аналитики'!P2583,WeightedRevAge01)-SUMIF(ThresholdAge01,"&lt;"&amp;'19_Расчет_аналитики'!P2583,WeightedMinAge01),MAX(CapacityAge01*'01_Вводные'!$B$218*'19_Расчет_аналитики'!P2583,MeanMinAge01)))</f>
        <v/>
      </c>
      <c r="Q2488">
        <f>IF(OR('19_Расчет_аналитики'!Q2460=0,1&lt;='01_Вводные'!$B$297),0,'19_Расчет_аналитики'!Q2460*IF('01_Вводные'!$B$239="Да",MeanMinAge01+'19_Расчет_аналитики'!Q2583*SUMIF(ThresholdAge01,"&lt;"&amp;'19_Расчет_аналитики'!Q2583,WeightedRevAge01)-SUMIF(ThresholdAge01,"&lt;"&amp;'19_Расчет_аналитики'!Q2583,WeightedMinAge01),MAX(CapacityAge01*'01_Вводные'!$B$218*'19_Расчет_аналитики'!Q2583,MeanMinAge01)))</f>
        <v/>
      </c>
      <c r="R2488">
        <f>IF(OR('19_Расчет_аналитики'!R2460=0,1&lt;='01_Вводные'!$B$297),0,'19_Расчет_аналитики'!R2460*IF('01_Вводные'!$B$239="Да",MeanMinAge01+'19_Расчет_аналитики'!R2583*SUMIF(ThresholdAge01,"&lt;"&amp;'19_Расчет_аналитики'!R2583,WeightedRevAge01)-SUMIF(ThresholdAge01,"&lt;"&amp;'19_Расчет_аналитики'!R2583,WeightedMinAge01),MAX(CapacityAge01*'01_Вводные'!$B$218*'19_Расчет_аналитики'!R2583,MeanMinAge01)))</f>
        <v/>
      </c>
      <c r="S2488">
        <f>IF(OR('19_Расчет_аналитики'!S2460=0,1&lt;='01_Вводные'!$B$297),0,'19_Расчет_аналитики'!S2460*IF('01_Вводные'!$B$239="Да",MeanMinAge01+'19_Расчет_аналитики'!S2583*SUMIF(ThresholdAge01,"&lt;"&amp;'19_Расчет_аналитики'!S2583,WeightedRevAge01)-SUMIF(ThresholdAge01,"&lt;"&amp;'19_Расчет_аналитики'!S2583,WeightedMinAge01),MAX(CapacityAge01*'01_Вводные'!$B$218*'19_Расчет_аналитики'!S2583,MeanMinAge01)))</f>
        <v/>
      </c>
      <c r="T2488">
        <f>IF(OR('19_Расчет_аналитики'!T2460=0,1&lt;='01_Вводные'!$B$297),0,'19_Расчет_аналитики'!T2460*IF('01_Вводные'!$B$239="Да",MeanMinAge01+'19_Расчет_аналитики'!T2583*SUMIF(ThresholdAge01,"&lt;"&amp;'19_Расчет_аналитики'!T2583,WeightedRevAge01)-SUMIF(ThresholdAge01,"&lt;"&amp;'19_Расчет_аналитики'!T2583,WeightedMinAge01),MAX(CapacityAge01*'01_Вводные'!$B$218*'19_Расчет_аналитики'!T2583,MeanMinAge01)))</f>
        <v/>
      </c>
      <c r="U2488">
        <f>IF(OR('19_Расчет_аналитики'!U2460=0,1&lt;='01_Вводные'!$B$297),0,'19_Расчет_аналитики'!U2460*IF('01_Вводные'!$B$239="Да",MeanMinAge01+'19_Расчет_аналитики'!U2583*SUMIF(ThresholdAge01,"&lt;"&amp;'19_Расчет_аналитики'!U2583,WeightedRevAge01)-SUMIF(ThresholdAge01,"&lt;"&amp;'19_Расчет_аналитики'!U2583,WeightedMinAge01),MAX(CapacityAge01*'01_Вводные'!$B$218*'19_Расчет_аналитики'!U2583,MeanMinAge01)))</f>
        <v/>
      </c>
      <c r="V2488">
        <f>IF(OR('19_Расчет_аналитики'!V2460=0,1&lt;='01_Вводные'!$B$297),0,'19_Расчет_аналитики'!V2460*IF('01_Вводные'!$B$239="Да",MeanMinAge01+'19_Расчет_аналитики'!V2583*SUMIF(ThresholdAge01,"&lt;"&amp;'19_Расчет_аналитики'!V2583,WeightedRevAge01)-SUMIF(ThresholdAge01,"&lt;"&amp;'19_Расчет_аналитики'!V2583,WeightedMinAge01),MAX(CapacityAge01*'01_Вводные'!$B$218*'19_Расчет_аналитики'!V2583,MeanMinAge01)))</f>
        <v/>
      </c>
      <c r="W2488">
        <f>IF(OR('19_Расчет_аналитики'!W2460=0,1&lt;='01_Вводные'!$B$297),0,'19_Расчет_аналитики'!W2460*IF('01_Вводные'!$B$239="Да",MeanMinAge01+'19_Расчет_аналитики'!W2583*SUMIF(ThresholdAge01,"&lt;"&amp;'19_Расчет_аналитики'!W2583,WeightedRevAge01)-SUMIF(ThresholdAge01,"&lt;"&amp;'19_Расчет_аналитики'!W2583,WeightedMinAge01),MAX(CapacityAge01*'01_Вводные'!$B$218*'19_Расчет_аналитики'!W2583,MeanMinAge01)))</f>
        <v/>
      </c>
      <c r="X2488">
        <f>IF(OR('19_Расчет_аналитики'!X2460=0,1&lt;='01_Вводные'!$B$297),0,'19_Расчет_аналитики'!X2460*IF('01_Вводные'!$B$239="Да",MeanMinAge01+'19_Расчет_аналитики'!X2583*SUMIF(ThresholdAge01,"&lt;"&amp;'19_Расчет_аналитики'!X2583,WeightedRevAge01)-SUMIF(ThresholdAge01,"&lt;"&amp;'19_Расчет_аналитики'!X2583,WeightedMinAge01),MAX(CapacityAge01*'01_Вводные'!$B$218*'19_Расчет_аналитики'!X2583,MeanMinAge01)))</f>
        <v/>
      </c>
      <c r="Y2488">
        <f>IF(OR('19_Расчет_аналитики'!Y2460=0,1&lt;='01_Вводные'!$B$297),0,'19_Расчет_аналитики'!Y2460*IF('01_Вводные'!$B$239="Да",MeanMinAge01+'19_Расчет_аналитики'!Y2583*SUMIF(ThresholdAge01,"&lt;"&amp;'19_Расчет_аналитики'!Y2583,WeightedRevAge01)-SUMIF(ThresholdAge01,"&lt;"&amp;'19_Расчет_аналитики'!Y2583,WeightedMinAge01),MAX(CapacityAge01*'01_Вводные'!$B$218*'19_Расчет_аналитики'!Y2583,MeanMinAge01)))</f>
        <v/>
      </c>
      <c r="Z2488">
        <f>IF(OR('19_Расчет_аналитики'!Z2460=0,1&lt;='01_Вводные'!$B$297),0,'19_Расчет_аналитики'!Z2460*IF('01_Вводные'!$B$239="Да",MeanMinAge01+'19_Расчет_аналитики'!Z2583*SUMIF(ThresholdAge01,"&lt;"&amp;'19_Расчет_аналитики'!Z2583,WeightedRevAge01)-SUMIF(ThresholdAge01,"&lt;"&amp;'19_Расчет_аналитики'!Z2583,WeightedMinAge01),MAX(CapacityAge01*'01_Вводные'!$B$218*'19_Расчет_аналитики'!Z2583,MeanMinAge01)))</f>
        <v/>
      </c>
      <c r="AA2488">
        <f>IF(OR('19_Расчет_аналитики'!AA2460=0,1&lt;='01_Вводные'!$B$297),0,'19_Расчет_аналитики'!AA2460*IF('01_Вводные'!$B$239="Да",MeanMinAge01+'19_Расчет_аналитики'!AA2583*SUMIF(ThresholdAge01,"&lt;"&amp;'19_Расчет_аналитики'!AA2583,WeightedRevAge01)-SUMIF(ThresholdAge01,"&lt;"&amp;'19_Расчет_аналитики'!AA2583,WeightedMinAge01),MAX(CapacityAge01*'01_Вводные'!$B$218*'19_Расчет_аналитики'!AA2583,MeanMinAge01)))</f>
        <v/>
      </c>
      <c r="AB2488">
        <f>IF(OR('19_Расчет_аналитики'!AB2460=0,1&lt;='01_Вводные'!$B$297),0,'19_Расчет_аналитики'!AB2460*IF('01_Вводные'!$B$239="Да",MeanMinAge01+'19_Расчет_аналитики'!AB2583*SUMIF(ThresholdAge01,"&lt;"&amp;'19_Расчет_аналитики'!AB2583,WeightedRevAge01)-SUMIF(ThresholdAge01,"&lt;"&amp;'19_Расчет_аналитики'!AB2583,WeightedMinAge01),MAX(CapacityAge01*'01_Вводные'!$B$218*'19_Расчет_аналитики'!AB2583,MeanMinAge01)))</f>
        <v/>
      </c>
      <c r="AC2488">
        <f>IF(OR('19_Расчет_аналитики'!AC2460=0,1&lt;='01_Вводные'!$B$297),0,'19_Расчет_аналитики'!AC2460*IF('01_Вводные'!$B$239="Да",MeanMinAge01+'19_Расчет_аналитики'!AC2583*SUMIF(ThresholdAge01,"&lt;"&amp;'19_Расчет_аналитики'!AC2583,WeightedRevAge01)-SUMIF(ThresholdAge01,"&lt;"&amp;'19_Расчет_аналитики'!AC2583,WeightedMinAge01),MAX(CapacityAge01*'01_Вводные'!$B$218*'19_Расчет_аналитики'!AC2583,MeanMinAge01)))</f>
        <v/>
      </c>
      <c r="AD2488">
        <f>IF(OR('19_Расчет_аналитики'!AD2460=0,1&lt;='01_Вводные'!$B$297),0,'19_Расчет_аналитики'!AD2460*IF('01_Вводные'!$B$239="Да",MeanMinAge01+'19_Расчет_аналитики'!AD2583*SUMIF(ThresholdAge01,"&lt;"&amp;'19_Расчет_аналитики'!AD2583,WeightedRevAge01)-SUMIF(ThresholdAge01,"&lt;"&amp;'19_Расчет_аналитики'!AD2583,WeightedMinAge01),MAX(CapacityAge01*'01_Вводные'!$B$218*'19_Расчет_аналитики'!AD2583,MeanMinAge01)))</f>
        <v/>
      </c>
      <c r="AE2488">
        <f>IF(OR('19_Расчет_аналитики'!AE2460=0,1&lt;='01_Вводные'!$B$297),0,'19_Расчет_аналитики'!AE2460*IF('01_Вводные'!$B$239="Да",MeanMinAge01+'19_Расчет_аналитики'!AE2583*SUMIF(ThresholdAge01,"&lt;"&amp;'19_Расчет_аналитики'!AE2583,WeightedRevAge01)-SUMIF(ThresholdAge01,"&lt;"&amp;'19_Расчет_аналитики'!AE2583,WeightedMinAge01),MAX(CapacityAge01*'01_Вводные'!$B$218*'19_Расчет_аналитики'!AE2583,MeanMinAge01)))</f>
        <v/>
      </c>
      <c r="AF2488">
        <f>IF(OR('19_Расчет_аналитики'!AF2460=0,1&lt;='01_Вводные'!$B$297),0,'19_Расчет_аналитики'!AF2460*IF('01_Вводные'!$B$239="Да",MeanMinAge01+'19_Расчет_аналитики'!AF2583*SUMIF(ThresholdAge01,"&lt;"&amp;'19_Расчет_аналитики'!AF2583,WeightedRevAge01)-SUMIF(ThresholdAge01,"&lt;"&amp;'19_Расчет_аналитики'!AF2583,WeightedMinAge01),MAX(CapacityAge01*'01_Вводные'!$B$218*'19_Расчет_аналитики'!AF2583,MeanMinAge01)))</f>
        <v/>
      </c>
      <c r="AG2488">
        <f>IF(OR('19_Расчет_аналитики'!AG2460=0,1&lt;='01_Вводные'!$B$297),0,'19_Расчет_аналитики'!AG2460*IF('01_Вводные'!$B$239="Да",MeanMinAge01+'19_Расчет_аналитики'!AG2583*SUMIF(ThresholdAge01,"&lt;"&amp;'19_Расчет_аналитики'!AG2583,WeightedRevAge01)-SUMIF(ThresholdAge01,"&lt;"&amp;'19_Расчет_аналитики'!AG2583,WeightedMinAge01),MAX(CapacityAge01*'01_Вводные'!$B$218*'19_Расчет_аналитики'!AG2583,MeanMinAge01)))</f>
        <v/>
      </c>
      <c r="AH2488">
        <f>IF(OR('19_Расчет_аналитики'!AH2460=0,1&lt;='01_Вводные'!$B$297),0,'19_Расчет_аналитики'!AH2460*IF('01_Вводные'!$B$239="Да",MeanMinAge01+'19_Расчет_аналитики'!AH2583*SUMIF(ThresholdAge01,"&lt;"&amp;'19_Расчет_аналитики'!AH2583,WeightedRevAge01)-SUMIF(ThresholdAge01,"&lt;"&amp;'19_Расчет_аналитики'!AH2583,WeightedMinAge01),MAX(CapacityAge01*'01_Вводные'!$B$218*'19_Расчет_аналитики'!AH2583,MeanMinAge01)))</f>
        <v/>
      </c>
      <c r="AI2488">
        <f>IF(OR('19_Расчет_аналитики'!AI2460=0,1&lt;='01_Вводные'!$B$297),0,'19_Расчет_аналитики'!AI2460*IF('01_Вводные'!$B$239="Да",MeanMinAge01+'19_Расчет_аналитики'!AI2583*SUMIF(ThresholdAge01,"&lt;"&amp;'19_Расчет_аналитики'!AI2583,WeightedRevAge01)-SUMIF(ThresholdAge01,"&lt;"&amp;'19_Расчет_аналитики'!AI2583,WeightedMinAge01),MAX(CapacityAge01*'01_Вводные'!$B$218*'19_Расчет_аналитики'!AI2583,MeanMinAge01)))</f>
        <v/>
      </c>
      <c r="AJ2488">
        <f>IF(OR('19_Расчет_аналитики'!AJ2460=0,1&lt;='01_Вводные'!$B$297),0,'19_Расчет_аналитики'!AJ2460*IF('01_Вводные'!$B$239="Да",MeanMinAge01+'19_Расчет_аналитики'!AJ2583*SUMIF(ThresholdAge01,"&lt;"&amp;'19_Расчет_аналитики'!AJ2583,WeightedRevAge01)-SUMIF(ThresholdAge01,"&lt;"&amp;'19_Расчет_аналитики'!AJ2583,WeightedMinAge01),MAX(CapacityAge01*'01_Вводные'!$B$218*'19_Расчет_аналитики'!AJ2583,MeanMinAge01)))</f>
        <v/>
      </c>
      <c r="AK2488">
        <f>IF(OR('19_Расчет_аналитики'!AK2460=0,1&lt;='01_Вводные'!$B$297),0,'19_Расчет_аналитики'!AK2460*IF('01_Вводные'!$B$239="Да",MeanMinAge01+'19_Расчет_аналитики'!AK2583*SUMIF(ThresholdAge01,"&lt;"&amp;'19_Расчет_аналитики'!AK2583,WeightedRevAge01)-SUMIF(ThresholdAge01,"&lt;"&amp;'19_Расчет_аналитики'!AK2583,WeightedMinAge01),MAX(CapacityAge01*'01_Вводные'!$B$218*'19_Расчет_аналитики'!AK2583,MeanMinAge01)))</f>
        <v/>
      </c>
      <c r="AL2488">
        <f>IF(OR('19_Расчет_аналитики'!AL2460=0,1&lt;='01_Вводные'!$B$297),0,'19_Расчет_аналитики'!AL2460*IF('01_Вводные'!$B$239="Да",MeanMinAge01+'19_Расчет_аналитики'!AL2583*SUMIF(ThresholdAge01,"&lt;"&amp;'19_Расчет_аналитики'!AL2583,WeightedRevAge01)-SUMIF(ThresholdAge01,"&lt;"&amp;'19_Расчет_аналитики'!AL2583,WeightedMinAge01),MAX(CapacityAge01*'01_Вводные'!$B$218*'19_Расчет_аналитики'!AL2583,MeanMinAge01)))</f>
        <v/>
      </c>
      <c r="AM2488">
        <f>IF(OR('19_Расчет_аналитики'!AM2460=0,1&lt;='01_Вводные'!$B$297),0,'19_Расчет_аналитики'!AM2460*IF('01_Вводные'!$B$239="Да",MeanMinAge01+'19_Расчет_аналитики'!AM2583*SUMIF(ThresholdAge01,"&lt;"&amp;'19_Расчет_аналитики'!AM2583,WeightedRevAge01)-SUMIF(ThresholdAge01,"&lt;"&amp;'19_Расчет_аналитики'!AM2583,WeightedMinAge01),MAX(CapacityAge01*'01_Вводные'!$B$218*'19_Расчет_аналитики'!AM2583,MeanMinAge01)))</f>
        <v/>
      </c>
      <c r="AN2488">
        <f>IF(OR('19_Расчет_аналитики'!AN2460=0,1&lt;='01_Вводные'!$B$297),0,'19_Расчет_аналитики'!AN2460*IF('01_Вводные'!$B$239="Да",MeanMinAge01+'19_Расчет_аналитики'!AN2583*SUMIF(ThresholdAge01,"&lt;"&amp;'19_Расчет_аналитики'!AN2583,WeightedRevAge01)-SUMIF(ThresholdAge01,"&lt;"&amp;'19_Расчет_аналитики'!AN2583,WeightedMinAge01),MAX(CapacityAge01*'01_Вводные'!$B$218*'19_Расчет_аналитики'!AN2583,MeanMinAge01)))</f>
        <v/>
      </c>
      <c r="AO2488">
        <f>IF(OR('19_Расчет_аналитики'!AO2460=0,1&lt;='01_Вводные'!$B$297),0,'19_Расчет_аналитики'!AO2460*IF('01_Вводные'!$B$239="Да",MeanMinAge01+'19_Расчет_аналитики'!AO2583*SUMIF(ThresholdAge01,"&lt;"&amp;'19_Расчет_аналитики'!AO2583,WeightedRevAge01)-SUMIF(ThresholdAge01,"&lt;"&amp;'19_Расчет_аналитики'!AO2583,WeightedMinAge01),MAX(CapacityAge01*'01_Вводные'!$B$218*'19_Расчет_аналитики'!AO2583,MeanMinAge01)))</f>
        <v/>
      </c>
      <c r="AP2488">
        <f>IF(OR('19_Расчет_аналитики'!AP2460=0,1&lt;='01_Вводные'!$B$297),0,'19_Расчет_аналитики'!AP2460*IF('01_Вводные'!$B$239="Да",MeanMinAge01+'19_Расчет_аналитики'!AP2583*SUMIF(ThresholdAge01,"&lt;"&amp;'19_Расчет_аналитики'!AP2583,WeightedRevAge01)-SUMIF(ThresholdAge01,"&lt;"&amp;'19_Расчет_аналитики'!AP2583,WeightedMinAge01),MAX(CapacityAge01*'01_Вводные'!$B$218*'19_Расчет_аналитики'!AP2583,MeanMinAge01)))</f>
        <v/>
      </c>
      <c r="AQ2488">
        <f>IF(OR('19_Расчет_аналитики'!AQ2460=0,1&lt;='01_Вводные'!$B$297),0,'19_Расчет_аналитики'!AQ2460*IF('01_Вводные'!$B$239="Да",MeanMinAge01+'19_Расчет_аналитики'!AQ2583*SUMIF(ThresholdAge01,"&lt;"&amp;'19_Расчет_аналитики'!AQ2583,WeightedRevAge01)-SUMIF(ThresholdAge01,"&lt;"&amp;'19_Расчет_аналитики'!AQ2583,WeightedMinAge01),MAX(CapacityAge01*'01_Вводные'!$B$218*'19_Расчет_аналитики'!AQ2583,MeanMinAge01)))</f>
        <v/>
      </c>
      <c r="AR2488">
        <f>IF(OR('19_Расчет_аналитики'!AR2460=0,1&lt;='01_Вводные'!$B$297),0,'19_Расчет_аналитики'!AR2460*IF('01_Вводные'!$B$239="Да",MeanMinAge01+'19_Расчет_аналитики'!AR2583*SUMIF(ThresholdAge01,"&lt;"&amp;'19_Расчет_аналитики'!AR2583,WeightedRevAge01)-SUMIF(ThresholdAge01,"&lt;"&amp;'19_Расчет_аналитики'!AR2583,WeightedMinAge01),MAX(CapacityAge01*'01_Вводные'!$B$218*'19_Расчет_аналитики'!AR2583,MeanMinAge01)))</f>
        <v/>
      </c>
      <c r="AS2488">
        <f>IF(OR('19_Расчет_аналитики'!AS2460=0,1&lt;='01_Вводные'!$B$297),0,'19_Расчет_аналитики'!AS2460*IF('01_Вводные'!$B$239="Да",MeanMinAge01+'19_Расчет_аналитики'!AS2583*SUMIF(ThresholdAge01,"&lt;"&amp;'19_Расчет_аналитики'!AS2583,WeightedRevAge01)-SUMIF(ThresholdAge01,"&lt;"&amp;'19_Расчет_аналитики'!AS2583,WeightedMinAge01),MAX(CapacityAge01*'01_Вводные'!$B$218*'19_Расчет_аналитики'!AS2583,MeanMinAge01)))</f>
        <v/>
      </c>
      <c r="AT2488">
        <f>IF(OR('19_Расчет_аналитики'!AT2460=0,1&lt;='01_Вводные'!$B$297),0,'19_Расчет_аналитики'!AT2460*IF('01_Вводные'!$B$239="Да",MeanMinAge01+'19_Расчет_аналитики'!AT2583*SUMIF(ThresholdAge01,"&lt;"&amp;'19_Расчет_аналитики'!AT2583,WeightedRevAge01)-SUMIF(ThresholdAge01,"&lt;"&amp;'19_Расчет_аналитики'!AT2583,WeightedMinAge01),MAX(CapacityAge01*'01_Вводные'!$B$218*'19_Расчет_аналитики'!AT2583,MeanMinAge01)))</f>
        <v/>
      </c>
      <c r="AU2488">
        <f>IF(OR('19_Расчет_аналитики'!AU2460=0,1&lt;='01_Вводные'!$B$297),0,'19_Расчет_аналитики'!AU2460*IF('01_Вводные'!$B$239="Да",MeanMinAge01+'19_Расчет_аналитики'!AU2583*SUMIF(ThresholdAge01,"&lt;"&amp;'19_Расчет_аналитики'!AU2583,WeightedRevAge01)-SUMIF(ThresholdAge01,"&lt;"&amp;'19_Расчет_аналитики'!AU2583,WeightedMinAge01),MAX(CapacityAge01*'01_Вводные'!$B$218*'19_Расчет_аналитики'!AU2583,MeanMinAge01)))</f>
        <v/>
      </c>
      <c r="AV2488">
        <f>IF(OR('19_Расчет_аналитики'!AV2460=0,1&lt;='01_Вводные'!$B$297),0,'19_Расчет_аналитики'!AV2460*IF('01_Вводные'!$B$239="Да",MeanMinAge01+'19_Расчет_аналитики'!AV2583*SUMIF(ThresholdAge01,"&lt;"&amp;'19_Расчет_аналитики'!AV2583,WeightedRevAge01)-SUMIF(ThresholdAge01,"&lt;"&amp;'19_Расчет_аналитики'!AV2583,WeightedMinAge01),MAX(CapacityAge01*'01_Вводные'!$B$218*'19_Расчет_аналитики'!AV2583,MeanMinAge01)))</f>
        <v/>
      </c>
      <c r="AW2488">
        <f>IF(OR('19_Расчет_аналитики'!AW2460=0,1&lt;='01_Вводные'!$B$297),0,'19_Расчет_аналитики'!AW2460*IF('01_Вводные'!$B$239="Да",MeanMinAge01+'19_Расчет_аналитики'!AW2583*SUMIF(ThresholdAge01,"&lt;"&amp;'19_Расчет_аналитики'!AW2583,WeightedRevAge01)-SUMIF(ThresholdAge01,"&lt;"&amp;'19_Расчет_аналитики'!AW2583,WeightedMinAge01),MAX(CapacityAge01*'01_Вводные'!$B$218*'19_Расчет_аналитики'!AW2583,MeanMinAge01)))</f>
        <v/>
      </c>
      <c r="AX2488">
        <f>IF(OR('19_Расчет_аналитики'!AX2460=0,1&lt;='01_Вводные'!$B$297),0,'19_Расчет_аналитики'!AX2460*IF('01_Вводные'!$B$239="Да",MeanMinAge01+'19_Расчет_аналитики'!AX2583*SUMIF(ThresholdAge01,"&lt;"&amp;'19_Расчет_аналитики'!AX2583,WeightedRevAge01)-SUMIF(ThresholdAge01,"&lt;"&amp;'19_Расчет_аналитики'!AX2583,WeightedMinAge01),MAX(CapacityAge01*'01_Вводные'!$B$218*'19_Расчет_аналитики'!AX2583,MeanMinAge01)))</f>
        <v/>
      </c>
      <c r="AY2488">
        <f>IF(OR('19_Расчет_аналитики'!AY2460=0,1&lt;='01_Вводные'!$B$297),0,'19_Расчет_аналитики'!AY2460*IF('01_Вводные'!$B$239="Да",MeanMinAge01+'19_Расчет_аналитики'!AY2583*SUMIF(ThresholdAge01,"&lt;"&amp;'19_Расчет_аналитики'!AY2583,WeightedRevAge01)-SUMIF(ThresholdAge01,"&lt;"&amp;'19_Расчет_аналитики'!AY2583,WeightedMinAge01),MAX(CapacityAge01*'01_Вводные'!$B$218*'19_Расчет_аналитики'!AY2583,MeanMinAge01)))</f>
        <v/>
      </c>
      <c r="AZ2488">
        <f>IF(OR('19_Расчет_аналитики'!AZ2460=0,1&lt;='01_Вводные'!$B$297),0,'19_Расчет_аналитики'!AZ2460*IF('01_Вводные'!$B$239="Да",MeanMinAge01+'19_Расчет_аналитики'!AZ2583*SUMIF(ThresholdAge01,"&lt;"&amp;'19_Расчет_аналитики'!AZ2583,WeightedRevAge01)-SUMIF(ThresholdAge01,"&lt;"&amp;'19_Расчет_аналитики'!AZ2583,WeightedMinAge01),MAX(CapacityAge01*'01_Вводные'!$B$218*'19_Расчет_аналитики'!AZ2583,MeanMinAge01)))</f>
        <v/>
      </c>
      <c r="BA2488">
        <f>IF(OR('19_Расчет_аналитики'!BA2460=0,1&lt;='01_Вводные'!$B$297),0,'19_Расчет_аналитики'!BA2460*IF('01_Вводные'!$B$239="Да",MeanMinAge01+'19_Расчет_аналитики'!BA2583*SUMIF(ThresholdAge01,"&lt;"&amp;'19_Расчет_аналитики'!BA2583,WeightedRevAge01)-SUMIF(ThresholdAge01,"&lt;"&amp;'19_Расчет_аналитики'!BA2583,WeightedMinAge01),MAX(CapacityAge01*'01_Вводные'!$B$218*'19_Расчет_аналитики'!BA2583,MeanMinAge01)))</f>
        <v/>
      </c>
      <c r="BB2488">
        <f>IF(OR('19_Расчет_аналитики'!BB2460=0,1&lt;='01_Вводные'!$B$297),0,'19_Расчет_аналитики'!BB2460*IF('01_Вводные'!$B$239="Да",MeanMinAge01+'19_Расчет_аналитики'!BB2583*SUMIF(ThresholdAge01,"&lt;"&amp;'19_Расчет_аналитики'!BB2583,WeightedRevAge01)-SUMIF(ThresholdAge01,"&lt;"&amp;'19_Расчет_аналитики'!BB2583,WeightedMinAge01),MAX(CapacityAge01*'01_Вводные'!$B$218*'19_Расчет_аналитики'!BB2583,MeanMinAge01)))</f>
        <v/>
      </c>
      <c r="BC2488">
        <f>IF(OR('19_Расчет_аналитики'!BC2460=0,1&lt;='01_Вводные'!$B$297),0,'19_Расчет_аналитики'!BC2460*IF('01_Вводные'!$B$239="Да",MeanMinAge01+'19_Расчет_аналитики'!BC2583*SUMIF(ThresholdAge01,"&lt;"&amp;'19_Расчет_аналитики'!BC2583,WeightedRevAge01)-SUMIF(ThresholdAge01,"&lt;"&amp;'19_Расчет_аналитики'!BC2583,WeightedMinAge01),MAX(CapacityAge01*'01_Вводные'!$B$218*'19_Расчет_аналитики'!BC2583,MeanMinAge01)))</f>
        <v/>
      </c>
      <c r="BD2488">
        <f>IF(OR('19_Расчет_аналитики'!BD2460=0,1&lt;='01_Вводные'!$B$297),0,'19_Расчет_аналитики'!BD2460*IF('01_Вводные'!$B$239="Да",MeanMinAge01+'19_Расчет_аналитики'!BD2583*SUMIF(ThresholdAge01,"&lt;"&amp;'19_Расчет_аналитики'!BD2583,WeightedRevAge01)-SUMIF(ThresholdAge01,"&lt;"&amp;'19_Расчет_аналитики'!BD2583,WeightedMinAge01),MAX(CapacityAge01*'01_Вводные'!$B$218*'19_Расчет_аналитики'!BD2583,MeanMinAge01)))</f>
        <v/>
      </c>
      <c r="BE2488">
        <f>IF(OR('19_Расчет_аналитики'!BE2460=0,1&lt;='01_Вводные'!$B$297),0,'19_Расчет_аналитики'!BE2460*IF('01_Вводные'!$B$239="Да",MeanMinAge01+'19_Расчет_аналитики'!BE2583*SUMIF(ThresholdAge01,"&lt;"&amp;'19_Расчет_аналитики'!BE2583,WeightedRevAge01)-SUMIF(ThresholdAge01,"&lt;"&amp;'19_Расчет_аналитики'!BE2583,WeightedMinAge01),MAX(CapacityAge01*'01_Вводные'!$B$218*'19_Расчет_аналитики'!BE2583,MeanMinAge01)))</f>
        <v/>
      </c>
      <c r="BF2488">
        <f>IF(OR('19_Расчет_аналитики'!BF2460=0,1&lt;='01_Вводные'!$B$297),0,'19_Расчет_аналитики'!BF2460*IF('01_Вводные'!$B$239="Да",MeanMinAge01+'19_Расчет_аналитики'!BF2583*SUMIF(ThresholdAge01,"&lt;"&amp;'19_Расчет_аналитики'!BF2583,WeightedRevAge01)-SUMIF(ThresholdAge01,"&lt;"&amp;'19_Расчет_аналитики'!BF2583,WeightedMinAge01),MAX(CapacityAge01*'01_Вводные'!$B$218*'19_Расчет_аналитики'!BF2583,MeanMinAge01)))</f>
        <v/>
      </c>
      <c r="BG2488">
        <f>IF(OR('19_Расчет_аналитики'!BG2460=0,1&lt;='01_Вводные'!$B$297),0,'19_Расчет_аналитики'!BG2460*IF('01_Вводные'!$B$239="Да",MeanMinAge01+'19_Расчет_аналитики'!BG2583*SUMIF(ThresholdAge01,"&lt;"&amp;'19_Расчет_аналитики'!BG2583,WeightedRevAge01)-SUMIF(ThresholdAge01,"&lt;"&amp;'19_Расчет_аналитики'!BG2583,WeightedMinAge01),MAX(CapacityAge01*'01_Вводные'!$B$218*'19_Расчет_аналитики'!BG2583,MeanMinAge01)))</f>
        <v/>
      </c>
      <c r="BH2488">
        <f>IF(OR('19_Расчет_аналитики'!BH2460=0,1&lt;='01_Вводные'!$B$297),0,'19_Расчет_аналитики'!BH2460*IF('01_Вводные'!$B$239="Да",MeanMinAge01+'19_Расчет_аналитики'!BH2583*SUMIF(ThresholdAge01,"&lt;"&amp;'19_Расчет_аналитики'!BH2583,WeightedRevAge01)-SUMIF(ThresholdAge01,"&lt;"&amp;'19_Расчет_аналитики'!BH2583,WeightedMinAge01),MAX(CapacityAge01*'01_Вводные'!$B$218*'19_Расчет_аналитики'!BH2583,MeanMinAge01)))</f>
        <v/>
      </c>
      <c r="BI2488">
        <f>IF(OR('19_Расчет_аналитики'!BI2460=0,1&lt;='01_Вводные'!$B$297),0,'19_Расчет_аналитики'!BI2460*IF('01_Вводные'!$B$239="Да",MeanMinAge01+'19_Расчет_аналитики'!BI2583*SUMIF(ThresholdAge01,"&lt;"&amp;'19_Расчет_аналитики'!BI2583,WeightedRevAge01)-SUMIF(ThresholdAge01,"&lt;"&amp;'19_Расчет_аналитики'!BI2583,WeightedMinAge01),MAX(CapacityAge01*'01_Вводные'!$B$218*'19_Расчет_аналитики'!BI2583,MeanMinAge01)))</f>
        <v/>
      </c>
      <c r="BJ2488">
        <f>IF(OR('19_Расчет_аналитики'!BJ2460=0,1&lt;='01_Вводные'!$B$297),0,'19_Расчет_аналитики'!BJ2460*IF('01_Вводные'!$B$239="Да",MeanMinAge01+'19_Расчет_аналитики'!BJ2583*SUMIF(ThresholdAge01,"&lt;"&amp;'19_Расчет_аналитики'!BJ2583,WeightedRevAge01)-SUMIF(ThresholdAge01,"&lt;"&amp;'19_Расчет_аналитики'!BJ2583,WeightedMinAge01),MAX(CapacityAge01*'01_Вводные'!$B$218*'19_Расчет_аналитики'!BJ2583,MeanMinAge01)))</f>
        <v/>
      </c>
      <c r="BK2488">
        <f>IF(OR('19_Расчет_аналитики'!BK2460=0,1&lt;='01_Вводные'!$B$297),0,'19_Расчет_аналитики'!BK2460*IF('01_Вводные'!$B$239="Да",MeanMinAge01+'19_Расчет_аналитики'!BK2583*SUMIF(ThresholdAge01,"&lt;"&amp;'19_Расчет_аналитики'!BK2583,WeightedRevAge01)-SUMIF(ThresholdAge01,"&lt;"&amp;'19_Расчет_аналитики'!BK2583,WeightedMinAge01),MAX(CapacityAge01*'01_Вводные'!$B$218*'19_Расчет_аналитики'!BK2583,MeanMinAge01)))</f>
        <v/>
      </c>
      <c r="BL2488">
        <f>IF(OR('19_Расчет_аналитики'!BL2460=0,1&lt;='01_Вводные'!$B$297),0,'19_Расчет_аналитики'!BL2460*IF('01_Вводные'!$B$239="Да",MeanMinAge01+'19_Расчет_аналитики'!BL2583*SUMIF(ThresholdAge01,"&lt;"&amp;'19_Расчет_аналитики'!BL2583,WeightedRevAge01)-SUMIF(ThresholdAge01,"&lt;"&amp;'19_Расчет_аналитики'!BL2583,WeightedMinAge01),MAX(CapacityAge01*'01_Вводные'!$B$218*'19_Расчет_аналитики'!BL2583,MeanMinAge01)))</f>
        <v/>
      </c>
      <c r="BM2488">
        <f>IF(OR('19_Расчет_аналитики'!BM2460=0,1&lt;='01_Вводные'!$B$297),0,'19_Расчет_аналитики'!BM2460*IF('01_Вводные'!$B$239="Да",MeanMinAge01+'19_Расчет_аналитики'!BM2583*SUMIF(ThresholdAge01,"&lt;"&amp;'19_Расчет_аналитики'!BM2583,WeightedRevAge01)-SUMIF(ThresholdAge01,"&lt;"&amp;'19_Расчет_аналитики'!BM2583,WeightedMinAge01),MAX(CapacityAge01*'01_Вводные'!$B$218*'19_Расчет_аналитики'!BM2583,MeanMinAge01)))</f>
        <v/>
      </c>
      <c r="BN2488">
        <f>IF(OR('19_Расчет_аналитики'!BN2460=0,1&lt;='01_Вводные'!$B$297),0,'19_Расчет_аналитики'!BN2460*IF('01_Вводные'!$B$239="Да",MeanMinAge01+'19_Расчет_аналитики'!BN2583*SUMIF(ThresholdAge01,"&lt;"&amp;'19_Расчет_аналитики'!BN2583,WeightedRevAge01)-SUMIF(ThresholdAge01,"&lt;"&amp;'19_Расчет_аналитики'!BN2583,WeightedMinAge01),MAX(CapacityAge01*'01_Вводные'!$B$218*'19_Расчет_аналитики'!BN2583,MeanMinAge01)))</f>
        <v/>
      </c>
      <c r="BO2488">
        <f>IF(OR('19_Расчет_аналитики'!BO2460=0,1&lt;='01_Вводные'!$B$297),0,'19_Расчет_аналитики'!BO2460*IF('01_Вводные'!$B$239="Да",MeanMinAge01+'19_Расчет_аналитики'!BO2583*SUMIF(ThresholdAge01,"&lt;"&amp;'19_Расчет_аналитики'!BO2583,WeightedRevAge01)-SUMIF(ThresholdAge01,"&lt;"&amp;'19_Расчет_аналитики'!BO2583,WeightedMinAge01),MAX(CapacityAge01*'01_Вводные'!$B$218*'19_Расчет_аналитики'!BO2583,MeanMinAge01)))</f>
        <v/>
      </c>
    </row>
    <row r="2489">
      <c r="B2489">
        <f>IF(OR('06_Сеть_и_дети'!B82=0,2&lt;='01_Вводные'!$B$297),0,'06_Сеть_и_дети'!B82*IF('01_Вводные'!$B$239="Да",MeanMinAge02+'19_Расчет_аналитики'!B2583*SUMIF(ThresholdAge02,"&lt;"&amp;'19_Расчет_аналитики'!B2583,WeightedRevAge02)-SUMIF(ThresholdAge02,"&lt;"&amp;'19_Расчет_аналитики'!B2583,WeightedMinAge02),MAX(CapacityAge02*'01_Вводные'!$B$218*'19_Расчет_аналитики'!B2583,MeanMinAge02)))</f>
        <v/>
      </c>
      <c r="C2489">
        <f>IF(OR('19_Расчет_аналитики'!C2461=0,2&lt;='01_Вводные'!$B$297),0,'19_Расчет_аналитики'!C2461*IF('01_Вводные'!$B$239="Да",MeanMinAge02+'19_Расчет_аналитики'!C2583*SUMIF(ThresholdAge02,"&lt;"&amp;'19_Расчет_аналитики'!C2583,WeightedRevAge02)-SUMIF(ThresholdAge02,"&lt;"&amp;'19_Расчет_аналитики'!C2583,WeightedMinAge02),MAX(CapacityAge02*'01_Вводные'!$B$218*'19_Расчет_аналитики'!C2583,MeanMinAge02)))</f>
        <v/>
      </c>
      <c r="D2489">
        <f>IF(OR('19_Расчет_аналитики'!D2461=0,2&lt;='01_Вводные'!$B$297),0,'19_Расчет_аналитики'!D2461*IF('01_Вводные'!$B$239="Да",MeanMinAge02+'19_Расчет_аналитики'!D2583*SUMIF(ThresholdAge02,"&lt;"&amp;'19_Расчет_аналитики'!D2583,WeightedRevAge02)-SUMIF(ThresholdAge02,"&lt;"&amp;'19_Расчет_аналитики'!D2583,WeightedMinAge02),MAX(CapacityAge02*'01_Вводные'!$B$218*'19_Расчет_аналитики'!D2583,MeanMinAge02)))</f>
        <v/>
      </c>
      <c r="E2489">
        <f>IF(OR('19_Расчет_аналитики'!E2461=0,2&lt;='01_Вводные'!$B$297),0,'19_Расчет_аналитики'!E2461*IF('01_Вводные'!$B$239="Да",MeanMinAge02+'19_Расчет_аналитики'!E2583*SUMIF(ThresholdAge02,"&lt;"&amp;'19_Расчет_аналитики'!E2583,WeightedRevAge02)-SUMIF(ThresholdAge02,"&lt;"&amp;'19_Расчет_аналитики'!E2583,WeightedMinAge02),MAX(CapacityAge02*'01_Вводные'!$B$218*'19_Расчет_аналитики'!E2583,MeanMinAge02)))</f>
        <v/>
      </c>
      <c r="F2489">
        <f>IF(OR('19_Расчет_аналитики'!F2461=0,2&lt;='01_Вводные'!$B$297),0,'19_Расчет_аналитики'!F2461*IF('01_Вводные'!$B$239="Да",MeanMinAge02+'19_Расчет_аналитики'!F2583*SUMIF(ThresholdAge02,"&lt;"&amp;'19_Расчет_аналитики'!F2583,WeightedRevAge02)-SUMIF(ThresholdAge02,"&lt;"&amp;'19_Расчет_аналитики'!F2583,WeightedMinAge02),MAX(CapacityAge02*'01_Вводные'!$B$218*'19_Расчет_аналитики'!F2583,MeanMinAge02)))</f>
        <v/>
      </c>
      <c r="G2489">
        <f>IF(OR('19_Расчет_аналитики'!G2461=0,2&lt;='01_Вводные'!$B$297),0,'19_Расчет_аналитики'!G2461*IF('01_Вводные'!$B$239="Да",MeanMinAge02+'19_Расчет_аналитики'!G2583*SUMIF(ThresholdAge02,"&lt;"&amp;'19_Расчет_аналитики'!G2583,WeightedRevAge02)-SUMIF(ThresholdAge02,"&lt;"&amp;'19_Расчет_аналитики'!G2583,WeightedMinAge02),MAX(CapacityAge02*'01_Вводные'!$B$218*'19_Расчет_аналитики'!G2583,MeanMinAge02)))</f>
        <v/>
      </c>
      <c r="H2489">
        <f>IF(OR('19_Расчет_аналитики'!H2461=0,2&lt;='01_Вводные'!$B$297),0,'19_Расчет_аналитики'!H2461*IF('01_Вводные'!$B$239="Да",MeanMinAge02+'19_Расчет_аналитики'!H2583*SUMIF(ThresholdAge02,"&lt;"&amp;'19_Расчет_аналитики'!H2583,WeightedRevAge02)-SUMIF(ThresholdAge02,"&lt;"&amp;'19_Расчет_аналитики'!H2583,WeightedMinAge02),MAX(CapacityAge02*'01_Вводные'!$B$218*'19_Расчет_аналитики'!H2583,MeanMinAge02)))</f>
        <v/>
      </c>
      <c r="I2489">
        <f>IF(OR('19_Расчет_аналитики'!I2461=0,2&lt;='01_Вводные'!$B$297),0,'19_Расчет_аналитики'!I2461*IF('01_Вводные'!$B$239="Да",MeanMinAge02+'19_Расчет_аналитики'!I2583*SUMIF(ThresholdAge02,"&lt;"&amp;'19_Расчет_аналитики'!I2583,WeightedRevAge02)-SUMIF(ThresholdAge02,"&lt;"&amp;'19_Расчет_аналитики'!I2583,WeightedMinAge02),MAX(CapacityAge02*'01_Вводные'!$B$218*'19_Расчет_аналитики'!I2583,MeanMinAge02)))</f>
        <v/>
      </c>
      <c r="J2489">
        <f>IF(OR('19_Расчет_аналитики'!J2461=0,2&lt;='01_Вводные'!$B$297),0,'19_Расчет_аналитики'!J2461*IF('01_Вводные'!$B$239="Да",MeanMinAge02+'19_Расчет_аналитики'!J2583*SUMIF(ThresholdAge02,"&lt;"&amp;'19_Расчет_аналитики'!J2583,WeightedRevAge02)-SUMIF(ThresholdAge02,"&lt;"&amp;'19_Расчет_аналитики'!J2583,WeightedMinAge02),MAX(CapacityAge02*'01_Вводные'!$B$218*'19_Расчет_аналитики'!J2583,MeanMinAge02)))</f>
        <v/>
      </c>
      <c r="K2489">
        <f>IF(OR('19_Расчет_аналитики'!K2461=0,2&lt;='01_Вводные'!$B$297),0,'19_Расчет_аналитики'!K2461*IF('01_Вводные'!$B$239="Да",MeanMinAge02+'19_Расчет_аналитики'!K2583*SUMIF(ThresholdAge02,"&lt;"&amp;'19_Расчет_аналитики'!K2583,WeightedRevAge02)-SUMIF(ThresholdAge02,"&lt;"&amp;'19_Расчет_аналитики'!K2583,WeightedMinAge02),MAX(CapacityAge02*'01_Вводные'!$B$218*'19_Расчет_аналитики'!K2583,MeanMinAge02)))</f>
        <v/>
      </c>
      <c r="L2489">
        <f>IF(OR('19_Расчет_аналитики'!L2461=0,2&lt;='01_Вводные'!$B$297),0,'19_Расчет_аналитики'!L2461*IF('01_Вводные'!$B$239="Да",MeanMinAge02+'19_Расчет_аналитики'!L2583*SUMIF(ThresholdAge02,"&lt;"&amp;'19_Расчет_аналитики'!L2583,WeightedRevAge02)-SUMIF(ThresholdAge02,"&lt;"&amp;'19_Расчет_аналитики'!L2583,WeightedMinAge02),MAX(CapacityAge02*'01_Вводные'!$B$218*'19_Расчет_аналитики'!L2583,MeanMinAge02)))</f>
        <v/>
      </c>
      <c r="M2489">
        <f>IF(OR('19_Расчет_аналитики'!M2461=0,2&lt;='01_Вводные'!$B$297),0,'19_Расчет_аналитики'!M2461*IF('01_Вводные'!$B$239="Да",MeanMinAge02+'19_Расчет_аналитики'!M2583*SUMIF(ThresholdAge02,"&lt;"&amp;'19_Расчет_аналитики'!M2583,WeightedRevAge02)-SUMIF(ThresholdAge02,"&lt;"&amp;'19_Расчет_аналитики'!M2583,WeightedMinAge02),MAX(CapacityAge02*'01_Вводные'!$B$218*'19_Расчет_аналитики'!M2583,MeanMinAge02)))</f>
        <v/>
      </c>
      <c r="N2489">
        <f>IF(OR('19_Расчет_аналитики'!N2461=0,2&lt;='01_Вводные'!$B$297),0,'19_Расчет_аналитики'!N2461*IF('01_Вводные'!$B$239="Да",MeanMinAge02+'19_Расчет_аналитики'!N2583*SUMIF(ThresholdAge02,"&lt;"&amp;'19_Расчет_аналитики'!N2583,WeightedRevAge02)-SUMIF(ThresholdAge02,"&lt;"&amp;'19_Расчет_аналитики'!N2583,WeightedMinAge02),MAX(CapacityAge02*'01_Вводные'!$B$218*'19_Расчет_аналитики'!N2583,MeanMinAge02)))</f>
        <v/>
      </c>
      <c r="O2489">
        <f>IF(OR('19_Расчет_аналитики'!O2461=0,2&lt;='01_Вводные'!$B$297),0,'19_Расчет_аналитики'!O2461*IF('01_Вводные'!$B$239="Да",MeanMinAge02+'19_Расчет_аналитики'!O2583*SUMIF(ThresholdAge02,"&lt;"&amp;'19_Расчет_аналитики'!O2583,WeightedRevAge02)-SUMIF(ThresholdAge02,"&lt;"&amp;'19_Расчет_аналитики'!O2583,WeightedMinAge02),MAX(CapacityAge02*'01_Вводные'!$B$218*'19_Расчет_аналитики'!O2583,MeanMinAge02)))</f>
        <v/>
      </c>
      <c r="P2489">
        <f>IF(OR('19_Расчет_аналитики'!P2461=0,2&lt;='01_Вводные'!$B$297),0,'19_Расчет_аналитики'!P2461*IF('01_Вводные'!$B$239="Да",MeanMinAge02+'19_Расчет_аналитики'!P2583*SUMIF(ThresholdAge02,"&lt;"&amp;'19_Расчет_аналитики'!P2583,WeightedRevAge02)-SUMIF(ThresholdAge02,"&lt;"&amp;'19_Расчет_аналитики'!P2583,WeightedMinAge02),MAX(CapacityAge02*'01_Вводные'!$B$218*'19_Расчет_аналитики'!P2583,MeanMinAge02)))</f>
        <v/>
      </c>
      <c r="Q2489">
        <f>IF(OR('19_Расчет_аналитики'!Q2461=0,2&lt;='01_Вводные'!$B$297),0,'19_Расчет_аналитики'!Q2461*IF('01_Вводные'!$B$239="Да",MeanMinAge02+'19_Расчет_аналитики'!Q2583*SUMIF(ThresholdAge02,"&lt;"&amp;'19_Расчет_аналитики'!Q2583,WeightedRevAge02)-SUMIF(ThresholdAge02,"&lt;"&amp;'19_Расчет_аналитики'!Q2583,WeightedMinAge02),MAX(CapacityAge02*'01_Вводные'!$B$218*'19_Расчет_аналитики'!Q2583,MeanMinAge02)))</f>
        <v/>
      </c>
      <c r="R2489">
        <f>IF(OR('19_Расчет_аналитики'!R2461=0,2&lt;='01_Вводные'!$B$297),0,'19_Расчет_аналитики'!R2461*IF('01_Вводные'!$B$239="Да",MeanMinAge02+'19_Расчет_аналитики'!R2583*SUMIF(ThresholdAge02,"&lt;"&amp;'19_Расчет_аналитики'!R2583,WeightedRevAge02)-SUMIF(ThresholdAge02,"&lt;"&amp;'19_Расчет_аналитики'!R2583,WeightedMinAge02),MAX(CapacityAge02*'01_Вводные'!$B$218*'19_Расчет_аналитики'!R2583,MeanMinAge02)))</f>
        <v/>
      </c>
      <c r="S2489">
        <f>IF(OR('19_Расчет_аналитики'!S2461=0,2&lt;='01_Вводные'!$B$297),0,'19_Расчет_аналитики'!S2461*IF('01_Вводные'!$B$239="Да",MeanMinAge02+'19_Расчет_аналитики'!S2583*SUMIF(ThresholdAge02,"&lt;"&amp;'19_Расчет_аналитики'!S2583,WeightedRevAge02)-SUMIF(ThresholdAge02,"&lt;"&amp;'19_Расчет_аналитики'!S2583,WeightedMinAge02),MAX(CapacityAge02*'01_Вводные'!$B$218*'19_Расчет_аналитики'!S2583,MeanMinAge02)))</f>
        <v/>
      </c>
      <c r="T2489">
        <f>IF(OR('19_Расчет_аналитики'!T2461=0,2&lt;='01_Вводные'!$B$297),0,'19_Расчет_аналитики'!T2461*IF('01_Вводные'!$B$239="Да",MeanMinAge02+'19_Расчет_аналитики'!T2583*SUMIF(ThresholdAge02,"&lt;"&amp;'19_Расчет_аналитики'!T2583,WeightedRevAge02)-SUMIF(ThresholdAge02,"&lt;"&amp;'19_Расчет_аналитики'!T2583,WeightedMinAge02),MAX(CapacityAge02*'01_Вводные'!$B$218*'19_Расчет_аналитики'!T2583,MeanMinAge02)))</f>
        <v/>
      </c>
      <c r="U2489">
        <f>IF(OR('19_Расчет_аналитики'!U2461=0,2&lt;='01_Вводные'!$B$297),0,'19_Расчет_аналитики'!U2461*IF('01_Вводные'!$B$239="Да",MeanMinAge02+'19_Расчет_аналитики'!U2583*SUMIF(ThresholdAge02,"&lt;"&amp;'19_Расчет_аналитики'!U2583,WeightedRevAge02)-SUMIF(ThresholdAge02,"&lt;"&amp;'19_Расчет_аналитики'!U2583,WeightedMinAge02),MAX(CapacityAge02*'01_Вводные'!$B$218*'19_Расчет_аналитики'!U2583,MeanMinAge02)))</f>
        <v/>
      </c>
      <c r="V2489">
        <f>IF(OR('19_Расчет_аналитики'!V2461=0,2&lt;='01_Вводные'!$B$297),0,'19_Расчет_аналитики'!V2461*IF('01_Вводные'!$B$239="Да",MeanMinAge02+'19_Расчет_аналитики'!V2583*SUMIF(ThresholdAge02,"&lt;"&amp;'19_Расчет_аналитики'!V2583,WeightedRevAge02)-SUMIF(ThresholdAge02,"&lt;"&amp;'19_Расчет_аналитики'!V2583,WeightedMinAge02),MAX(CapacityAge02*'01_Вводные'!$B$218*'19_Расчет_аналитики'!V2583,MeanMinAge02)))</f>
        <v/>
      </c>
      <c r="W2489">
        <f>IF(OR('19_Расчет_аналитики'!W2461=0,2&lt;='01_Вводные'!$B$297),0,'19_Расчет_аналитики'!W2461*IF('01_Вводные'!$B$239="Да",MeanMinAge02+'19_Расчет_аналитики'!W2583*SUMIF(ThresholdAge02,"&lt;"&amp;'19_Расчет_аналитики'!W2583,WeightedRevAge02)-SUMIF(ThresholdAge02,"&lt;"&amp;'19_Расчет_аналитики'!W2583,WeightedMinAge02),MAX(CapacityAge02*'01_Вводные'!$B$218*'19_Расчет_аналитики'!W2583,MeanMinAge02)))</f>
        <v/>
      </c>
      <c r="X2489">
        <f>IF(OR('19_Расчет_аналитики'!X2461=0,2&lt;='01_Вводные'!$B$297),0,'19_Расчет_аналитики'!X2461*IF('01_Вводные'!$B$239="Да",MeanMinAge02+'19_Расчет_аналитики'!X2583*SUMIF(ThresholdAge02,"&lt;"&amp;'19_Расчет_аналитики'!X2583,WeightedRevAge02)-SUMIF(ThresholdAge02,"&lt;"&amp;'19_Расчет_аналитики'!X2583,WeightedMinAge02),MAX(CapacityAge02*'01_Вводные'!$B$218*'19_Расчет_аналитики'!X2583,MeanMinAge02)))</f>
        <v/>
      </c>
      <c r="Y2489">
        <f>IF(OR('19_Расчет_аналитики'!Y2461=0,2&lt;='01_Вводные'!$B$297),0,'19_Расчет_аналитики'!Y2461*IF('01_Вводные'!$B$239="Да",MeanMinAge02+'19_Расчет_аналитики'!Y2583*SUMIF(ThresholdAge02,"&lt;"&amp;'19_Расчет_аналитики'!Y2583,WeightedRevAge02)-SUMIF(ThresholdAge02,"&lt;"&amp;'19_Расчет_аналитики'!Y2583,WeightedMinAge02),MAX(CapacityAge02*'01_Вводные'!$B$218*'19_Расчет_аналитики'!Y2583,MeanMinAge02)))</f>
        <v/>
      </c>
      <c r="Z2489">
        <f>IF(OR('19_Расчет_аналитики'!Z2461=0,2&lt;='01_Вводные'!$B$297),0,'19_Расчет_аналитики'!Z2461*IF('01_Вводные'!$B$239="Да",MeanMinAge02+'19_Расчет_аналитики'!Z2583*SUMIF(ThresholdAge02,"&lt;"&amp;'19_Расчет_аналитики'!Z2583,WeightedRevAge02)-SUMIF(ThresholdAge02,"&lt;"&amp;'19_Расчет_аналитики'!Z2583,WeightedMinAge02),MAX(CapacityAge02*'01_Вводные'!$B$218*'19_Расчет_аналитики'!Z2583,MeanMinAge02)))</f>
        <v/>
      </c>
      <c r="AA2489">
        <f>IF(OR('19_Расчет_аналитики'!AA2461=0,2&lt;='01_Вводные'!$B$297),0,'19_Расчет_аналитики'!AA2461*IF('01_Вводные'!$B$239="Да",MeanMinAge02+'19_Расчет_аналитики'!AA2583*SUMIF(ThresholdAge02,"&lt;"&amp;'19_Расчет_аналитики'!AA2583,WeightedRevAge02)-SUMIF(ThresholdAge02,"&lt;"&amp;'19_Расчет_аналитики'!AA2583,WeightedMinAge02),MAX(CapacityAge02*'01_Вводные'!$B$218*'19_Расчет_аналитики'!AA2583,MeanMinAge02)))</f>
        <v/>
      </c>
      <c r="AB2489">
        <f>IF(OR('19_Расчет_аналитики'!AB2461=0,2&lt;='01_Вводные'!$B$297),0,'19_Расчет_аналитики'!AB2461*IF('01_Вводные'!$B$239="Да",MeanMinAge02+'19_Расчет_аналитики'!AB2583*SUMIF(ThresholdAge02,"&lt;"&amp;'19_Расчет_аналитики'!AB2583,WeightedRevAge02)-SUMIF(ThresholdAge02,"&lt;"&amp;'19_Расчет_аналитики'!AB2583,WeightedMinAge02),MAX(CapacityAge02*'01_Вводные'!$B$218*'19_Расчет_аналитики'!AB2583,MeanMinAge02)))</f>
        <v/>
      </c>
      <c r="AC2489">
        <f>IF(OR('19_Расчет_аналитики'!AC2461=0,2&lt;='01_Вводные'!$B$297),0,'19_Расчет_аналитики'!AC2461*IF('01_Вводные'!$B$239="Да",MeanMinAge02+'19_Расчет_аналитики'!AC2583*SUMIF(ThresholdAge02,"&lt;"&amp;'19_Расчет_аналитики'!AC2583,WeightedRevAge02)-SUMIF(ThresholdAge02,"&lt;"&amp;'19_Расчет_аналитики'!AC2583,WeightedMinAge02),MAX(CapacityAge02*'01_Вводные'!$B$218*'19_Расчет_аналитики'!AC2583,MeanMinAge02)))</f>
        <v/>
      </c>
      <c r="AD2489">
        <f>IF(OR('19_Расчет_аналитики'!AD2461=0,2&lt;='01_Вводные'!$B$297),0,'19_Расчет_аналитики'!AD2461*IF('01_Вводные'!$B$239="Да",MeanMinAge02+'19_Расчет_аналитики'!AD2583*SUMIF(ThresholdAge02,"&lt;"&amp;'19_Расчет_аналитики'!AD2583,WeightedRevAge02)-SUMIF(ThresholdAge02,"&lt;"&amp;'19_Расчет_аналитики'!AD2583,WeightedMinAge02),MAX(CapacityAge02*'01_Вводные'!$B$218*'19_Расчет_аналитики'!AD2583,MeanMinAge02)))</f>
        <v/>
      </c>
      <c r="AE2489">
        <f>IF(OR('19_Расчет_аналитики'!AE2461=0,2&lt;='01_Вводные'!$B$297),0,'19_Расчет_аналитики'!AE2461*IF('01_Вводные'!$B$239="Да",MeanMinAge02+'19_Расчет_аналитики'!AE2583*SUMIF(ThresholdAge02,"&lt;"&amp;'19_Расчет_аналитики'!AE2583,WeightedRevAge02)-SUMIF(ThresholdAge02,"&lt;"&amp;'19_Расчет_аналитики'!AE2583,WeightedMinAge02),MAX(CapacityAge02*'01_Вводные'!$B$218*'19_Расчет_аналитики'!AE2583,MeanMinAge02)))</f>
        <v/>
      </c>
      <c r="AF2489">
        <f>IF(OR('19_Расчет_аналитики'!AF2461=0,2&lt;='01_Вводные'!$B$297),0,'19_Расчет_аналитики'!AF2461*IF('01_Вводные'!$B$239="Да",MeanMinAge02+'19_Расчет_аналитики'!AF2583*SUMIF(ThresholdAge02,"&lt;"&amp;'19_Расчет_аналитики'!AF2583,WeightedRevAge02)-SUMIF(ThresholdAge02,"&lt;"&amp;'19_Расчет_аналитики'!AF2583,WeightedMinAge02),MAX(CapacityAge02*'01_Вводные'!$B$218*'19_Расчет_аналитики'!AF2583,MeanMinAge02)))</f>
        <v/>
      </c>
      <c r="AG2489">
        <f>IF(OR('19_Расчет_аналитики'!AG2461=0,2&lt;='01_Вводные'!$B$297),0,'19_Расчет_аналитики'!AG2461*IF('01_Вводные'!$B$239="Да",MeanMinAge02+'19_Расчет_аналитики'!AG2583*SUMIF(ThresholdAge02,"&lt;"&amp;'19_Расчет_аналитики'!AG2583,WeightedRevAge02)-SUMIF(ThresholdAge02,"&lt;"&amp;'19_Расчет_аналитики'!AG2583,WeightedMinAge02),MAX(CapacityAge02*'01_Вводные'!$B$218*'19_Расчет_аналитики'!AG2583,MeanMinAge02)))</f>
        <v/>
      </c>
      <c r="AH2489">
        <f>IF(OR('19_Расчет_аналитики'!AH2461=0,2&lt;='01_Вводные'!$B$297),0,'19_Расчет_аналитики'!AH2461*IF('01_Вводные'!$B$239="Да",MeanMinAge02+'19_Расчет_аналитики'!AH2583*SUMIF(ThresholdAge02,"&lt;"&amp;'19_Расчет_аналитики'!AH2583,WeightedRevAge02)-SUMIF(ThresholdAge02,"&lt;"&amp;'19_Расчет_аналитики'!AH2583,WeightedMinAge02),MAX(CapacityAge02*'01_Вводные'!$B$218*'19_Расчет_аналитики'!AH2583,MeanMinAge02)))</f>
        <v/>
      </c>
      <c r="AI2489">
        <f>IF(OR('19_Расчет_аналитики'!AI2461=0,2&lt;='01_Вводные'!$B$297),0,'19_Расчет_аналитики'!AI2461*IF('01_Вводные'!$B$239="Да",MeanMinAge02+'19_Расчет_аналитики'!AI2583*SUMIF(ThresholdAge02,"&lt;"&amp;'19_Расчет_аналитики'!AI2583,WeightedRevAge02)-SUMIF(ThresholdAge02,"&lt;"&amp;'19_Расчет_аналитики'!AI2583,WeightedMinAge02),MAX(CapacityAge02*'01_Вводные'!$B$218*'19_Расчет_аналитики'!AI2583,MeanMinAge02)))</f>
        <v/>
      </c>
      <c r="AJ2489">
        <f>IF(OR('19_Расчет_аналитики'!AJ2461=0,2&lt;='01_Вводные'!$B$297),0,'19_Расчет_аналитики'!AJ2461*IF('01_Вводные'!$B$239="Да",MeanMinAge02+'19_Расчет_аналитики'!AJ2583*SUMIF(ThresholdAge02,"&lt;"&amp;'19_Расчет_аналитики'!AJ2583,WeightedRevAge02)-SUMIF(ThresholdAge02,"&lt;"&amp;'19_Расчет_аналитики'!AJ2583,WeightedMinAge02),MAX(CapacityAge02*'01_Вводные'!$B$218*'19_Расчет_аналитики'!AJ2583,MeanMinAge02)))</f>
        <v/>
      </c>
      <c r="AK2489">
        <f>IF(OR('19_Расчет_аналитики'!AK2461=0,2&lt;='01_Вводные'!$B$297),0,'19_Расчет_аналитики'!AK2461*IF('01_Вводные'!$B$239="Да",MeanMinAge02+'19_Расчет_аналитики'!AK2583*SUMIF(ThresholdAge02,"&lt;"&amp;'19_Расчет_аналитики'!AK2583,WeightedRevAge02)-SUMIF(ThresholdAge02,"&lt;"&amp;'19_Расчет_аналитики'!AK2583,WeightedMinAge02),MAX(CapacityAge02*'01_Вводные'!$B$218*'19_Расчет_аналитики'!AK2583,MeanMinAge02)))</f>
        <v/>
      </c>
      <c r="AL2489">
        <f>IF(OR('19_Расчет_аналитики'!AL2461=0,2&lt;='01_Вводные'!$B$297),0,'19_Расчет_аналитики'!AL2461*IF('01_Вводные'!$B$239="Да",MeanMinAge02+'19_Расчет_аналитики'!AL2583*SUMIF(ThresholdAge02,"&lt;"&amp;'19_Расчет_аналитики'!AL2583,WeightedRevAge02)-SUMIF(ThresholdAge02,"&lt;"&amp;'19_Расчет_аналитики'!AL2583,WeightedMinAge02),MAX(CapacityAge02*'01_Вводные'!$B$218*'19_Расчет_аналитики'!AL2583,MeanMinAge02)))</f>
        <v/>
      </c>
      <c r="AM2489">
        <f>IF(OR('19_Расчет_аналитики'!AM2461=0,2&lt;='01_Вводные'!$B$297),0,'19_Расчет_аналитики'!AM2461*IF('01_Вводные'!$B$239="Да",MeanMinAge02+'19_Расчет_аналитики'!AM2583*SUMIF(ThresholdAge02,"&lt;"&amp;'19_Расчет_аналитики'!AM2583,WeightedRevAge02)-SUMIF(ThresholdAge02,"&lt;"&amp;'19_Расчет_аналитики'!AM2583,WeightedMinAge02),MAX(CapacityAge02*'01_Вводные'!$B$218*'19_Расчет_аналитики'!AM2583,MeanMinAge02)))</f>
        <v/>
      </c>
      <c r="AN2489">
        <f>IF(OR('19_Расчет_аналитики'!AN2461=0,2&lt;='01_Вводные'!$B$297),0,'19_Расчет_аналитики'!AN2461*IF('01_Вводные'!$B$239="Да",MeanMinAge02+'19_Расчет_аналитики'!AN2583*SUMIF(ThresholdAge02,"&lt;"&amp;'19_Расчет_аналитики'!AN2583,WeightedRevAge02)-SUMIF(ThresholdAge02,"&lt;"&amp;'19_Расчет_аналитики'!AN2583,WeightedMinAge02),MAX(CapacityAge02*'01_Вводные'!$B$218*'19_Расчет_аналитики'!AN2583,MeanMinAge02)))</f>
        <v/>
      </c>
      <c r="AO2489">
        <f>IF(OR('19_Расчет_аналитики'!AO2461=0,2&lt;='01_Вводные'!$B$297),0,'19_Расчет_аналитики'!AO2461*IF('01_Вводные'!$B$239="Да",MeanMinAge02+'19_Расчет_аналитики'!AO2583*SUMIF(ThresholdAge02,"&lt;"&amp;'19_Расчет_аналитики'!AO2583,WeightedRevAge02)-SUMIF(ThresholdAge02,"&lt;"&amp;'19_Расчет_аналитики'!AO2583,WeightedMinAge02),MAX(CapacityAge02*'01_Вводные'!$B$218*'19_Расчет_аналитики'!AO2583,MeanMinAge02)))</f>
        <v/>
      </c>
      <c r="AP2489">
        <f>IF(OR('19_Расчет_аналитики'!AP2461=0,2&lt;='01_Вводные'!$B$297),0,'19_Расчет_аналитики'!AP2461*IF('01_Вводные'!$B$239="Да",MeanMinAge02+'19_Расчет_аналитики'!AP2583*SUMIF(ThresholdAge02,"&lt;"&amp;'19_Расчет_аналитики'!AP2583,WeightedRevAge02)-SUMIF(ThresholdAge02,"&lt;"&amp;'19_Расчет_аналитики'!AP2583,WeightedMinAge02),MAX(CapacityAge02*'01_Вводные'!$B$218*'19_Расчет_аналитики'!AP2583,MeanMinAge02)))</f>
        <v/>
      </c>
      <c r="AQ2489">
        <f>IF(OR('19_Расчет_аналитики'!AQ2461=0,2&lt;='01_Вводные'!$B$297),0,'19_Расчет_аналитики'!AQ2461*IF('01_Вводные'!$B$239="Да",MeanMinAge02+'19_Расчет_аналитики'!AQ2583*SUMIF(ThresholdAge02,"&lt;"&amp;'19_Расчет_аналитики'!AQ2583,WeightedRevAge02)-SUMIF(ThresholdAge02,"&lt;"&amp;'19_Расчет_аналитики'!AQ2583,WeightedMinAge02),MAX(CapacityAge02*'01_Вводные'!$B$218*'19_Расчет_аналитики'!AQ2583,MeanMinAge02)))</f>
        <v/>
      </c>
      <c r="AR2489">
        <f>IF(OR('19_Расчет_аналитики'!AR2461=0,2&lt;='01_Вводные'!$B$297),0,'19_Расчет_аналитики'!AR2461*IF('01_Вводные'!$B$239="Да",MeanMinAge02+'19_Расчет_аналитики'!AR2583*SUMIF(ThresholdAge02,"&lt;"&amp;'19_Расчет_аналитики'!AR2583,WeightedRevAge02)-SUMIF(ThresholdAge02,"&lt;"&amp;'19_Расчет_аналитики'!AR2583,WeightedMinAge02),MAX(CapacityAge02*'01_Вводные'!$B$218*'19_Расчет_аналитики'!AR2583,MeanMinAge02)))</f>
        <v/>
      </c>
      <c r="AS2489">
        <f>IF(OR('19_Расчет_аналитики'!AS2461=0,2&lt;='01_Вводные'!$B$297),0,'19_Расчет_аналитики'!AS2461*IF('01_Вводные'!$B$239="Да",MeanMinAge02+'19_Расчет_аналитики'!AS2583*SUMIF(ThresholdAge02,"&lt;"&amp;'19_Расчет_аналитики'!AS2583,WeightedRevAge02)-SUMIF(ThresholdAge02,"&lt;"&amp;'19_Расчет_аналитики'!AS2583,WeightedMinAge02),MAX(CapacityAge02*'01_Вводные'!$B$218*'19_Расчет_аналитики'!AS2583,MeanMinAge02)))</f>
        <v/>
      </c>
      <c r="AT2489">
        <f>IF(OR('19_Расчет_аналитики'!AT2461=0,2&lt;='01_Вводные'!$B$297),0,'19_Расчет_аналитики'!AT2461*IF('01_Вводные'!$B$239="Да",MeanMinAge02+'19_Расчет_аналитики'!AT2583*SUMIF(ThresholdAge02,"&lt;"&amp;'19_Расчет_аналитики'!AT2583,WeightedRevAge02)-SUMIF(ThresholdAge02,"&lt;"&amp;'19_Расчет_аналитики'!AT2583,WeightedMinAge02),MAX(CapacityAge02*'01_Вводные'!$B$218*'19_Расчет_аналитики'!AT2583,MeanMinAge02)))</f>
        <v/>
      </c>
      <c r="AU2489">
        <f>IF(OR('19_Расчет_аналитики'!AU2461=0,2&lt;='01_Вводные'!$B$297),0,'19_Расчет_аналитики'!AU2461*IF('01_Вводные'!$B$239="Да",MeanMinAge02+'19_Расчет_аналитики'!AU2583*SUMIF(ThresholdAge02,"&lt;"&amp;'19_Расчет_аналитики'!AU2583,WeightedRevAge02)-SUMIF(ThresholdAge02,"&lt;"&amp;'19_Расчет_аналитики'!AU2583,WeightedMinAge02),MAX(CapacityAge02*'01_Вводные'!$B$218*'19_Расчет_аналитики'!AU2583,MeanMinAge02)))</f>
        <v/>
      </c>
      <c r="AV2489">
        <f>IF(OR('19_Расчет_аналитики'!AV2461=0,2&lt;='01_Вводные'!$B$297),0,'19_Расчет_аналитики'!AV2461*IF('01_Вводные'!$B$239="Да",MeanMinAge02+'19_Расчет_аналитики'!AV2583*SUMIF(ThresholdAge02,"&lt;"&amp;'19_Расчет_аналитики'!AV2583,WeightedRevAge02)-SUMIF(ThresholdAge02,"&lt;"&amp;'19_Расчет_аналитики'!AV2583,WeightedMinAge02),MAX(CapacityAge02*'01_Вводные'!$B$218*'19_Расчет_аналитики'!AV2583,MeanMinAge02)))</f>
        <v/>
      </c>
      <c r="AW2489">
        <f>IF(OR('19_Расчет_аналитики'!AW2461=0,2&lt;='01_Вводные'!$B$297),0,'19_Расчет_аналитики'!AW2461*IF('01_Вводные'!$B$239="Да",MeanMinAge02+'19_Расчет_аналитики'!AW2583*SUMIF(ThresholdAge02,"&lt;"&amp;'19_Расчет_аналитики'!AW2583,WeightedRevAge02)-SUMIF(ThresholdAge02,"&lt;"&amp;'19_Расчет_аналитики'!AW2583,WeightedMinAge02),MAX(CapacityAge02*'01_Вводные'!$B$218*'19_Расчет_аналитики'!AW2583,MeanMinAge02)))</f>
        <v/>
      </c>
      <c r="AX2489">
        <f>IF(OR('19_Расчет_аналитики'!AX2461=0,2&lt;='01_Вводные'!$B$297),0,'19_Расчет_аналитики'!AX2461*IF('01_Вводные'!$B$239="Да",MeanMinAge02+'19_Расчет_аналитики'!AX2583*SUMIF(ThresholdAge02,"&lt;"&amp;'19_Расчет_аналитики'!AX2583,WeightedRevAge02)-SUMIF(ThresholdAge02,"&lt;"&amp;'19_Расчет_аналитики'!AX2583,WeightedMinAge02),MAX(CapacityAge02*'01_Вводные'!$B$218*'19_Расчет_аналитики'!AX2583,MeanMinAge02)))</f>
        <v/>
      </c>
      <c r="AY2489">
        <f>IF(OR('19_Расчет_аналитики'!AY2461=0,2&lt;='01_Вводные'!$B$297),0,'19_Расчет_аналитики'!AY2461*IF('01_Вводные'!$B$239="Да",MeanMinAge02+'19_Расчет_аналитики'!AY2583*SUMIF(ThresholdAge02,"&lt;"&amp;'19_Расчет_аналитики'!AY2583,WeightedRevAge02)-SUMIF(ThresholdAge02,"&lt;"&amp;'19_Расчет_аналитики'!AY2583,WeightedMinAge02),MAX(CapacityAge02*'01_Вводные'!$B$218*'19_Расчет_аналитики'!AY2583,MeanMinAge02)))</f>
        <v/>
      </c>
      <c r="AZ2489">
        <f>IF(OR('19_Расчет_аналитики'!AZ2461=0,2&lt;='01_Вводные'!$B$297),0,'19_Расчет_аналитики'!AZ2461*IF('01_Вводные'!$B$239="Да",MeanMinAge02+'19_Расчет_аналитики'!AZ2583*SUMIF(ThresholdAge02,"&lt;"&amp;'19_Расчет_аналитики'!AZ2583,WeightedRevAge02)-SUMIF(ThresholdAge02,"&lt;"&amp;'19_Расчет_аналитики'!AZ2583,WeightedMinAge02),MAX(CapacityAge02*'01_Вводные'!$B$218*'19_Расчет_аналитики'!AZ2583,MeanMinAge02)))</f>
        <v/>
      </c>
      <c r="BA2489">
        <f>IF(OR('19_Расчет_аналитики'!BA2461=0,2&lt;='01_Вводные'!$B$297),0,'19_Расчет_аналитики'!BA2461*IF('01_Вводные'!$B$239="Да",MeanMinAge02+'19_Расчет_аналитики'!BA2583*SUMIF(ThresholdAge02,"&lt;"&amp;'19_Расчет_аналитики'!BA2583,WeightedRevAge02)-SUMIF(ThresholdAge02,"&lt;"&amp;'19_Расчет_аналитики'!BA2583,WeightedMinAge02),MAX(CapacityAge02*'01_Вводные'!$B$218*'19_Расчет_аналитики'!BA2583,MeanMinAge02)))</f>
        <v/>
      </c>
      <c r="BB2489">
        <f>IF(OR('19_Расчет_аналитики'!BB2461=0,2&lt;='01_Вводные'!$B$297),0,'19_Расчет_аналитики'!BB2461*IF('01_Вводные'!$B$239="Да",MeanMinAge02+'19_Расчет_аналитики'!BB2583*SUMIF(ThresholdAge02,"&lt;"&amp;'19_Расчет_аналитики'!BB2583,WeightedRevAge02)-SUMIF(ThresholdAge02,"&lt;"&amp;'19_Расчет_аналитики'!BB2583,WeightedMinAge02),MAX(CapacityAge02*'01_Вводные'!$B$218*'19_Расчет_аналитики'!BB2583,MeanMinAge02)))</f>
        <v/>
      </c>
      <c r="BC2489">
        <f>IF(OR('19_Расчет_аналитики'!BC2461=0,2&lt;='01_Вводные'!$B$297),0,'19_Расчет_аналитики'!BC2461*IF('01_Вводные'!$B$239="Да",MeanMinAge02+'19_Расчет_аналитики'!BC2583*SUMIF(ThresholdAge02,"&lt;"&amp;'19_Расчет_аналитики'!BC2583,WeightedRevAge02)-SUMIF(ThresholdAge02,"&lt;"&amp;'19_Расчет_аналитики'!BC2583,WeightedMinAge02),MAX(CapacityAge02*'01_Вводные'!$B$218*'19_Расчет_аналитики'!BC2583,MeanMinAge02)))</f>
        <v/>
      </c>
      <c r="BD2489">
        <f>IF(OR('19_Расчет_аналитики'!BD2461=0,2&lt;='01_Вводные'!$B$297),0,'19_Расчет_аналитики'!BD2461*IF('01_Вводные'!$B$239="Да",MeanMinAge02+'19_Расчет_аналитики'!BD2583*SUMIF(ThresholdAge02,"&lt;"&amp;'19_Расчет_аналитики'!BD2583,WeightedRevAge02)-SUMIF(ThresholdAge02,"&lt;"&amp;'19_Расчет_аналитики'!BD2583,WeightedMinAge02),MAX(CapacityAge02*'01_Вводные'!$B$218*'19_Расчет_аналитики'!BD2583,MeanMinAge02)))</f>
        <v/>
      </c>
      <c r="BE2489">
        <f>IF(OR('19_Расчет_аналитики'!BE2461=0,2&lt;='01_Вводные'!$B$297),0,'19_Расчет_аналитики'!BE2461*IF('01_Вводные'!$B$239="Да",MeanMinAge02+'19_Расчет_аналитики'!BE2583*SUMIF(ThresholdAge02,"&lt;"&amp;'19_Расчет_аналитики'!BE2583,WeightedRevAge02)-SUMIF(ThresholdAge02,"&lt;"&amp;'19_Расчет_аналитики'!BE2583,WeightedMinAge02),MAX(CapacityAge02*'01_Вводные'!$B$218*'19_Расчет_аналитики'!BE2583,MeanMinAge02)))</f>
        <v/>
      </c>
      <c r="BF2489">
        <f>IF(OR('19_Расчет_аналитики'!BF2461=0,2&lt;='01_Вводные'!$B$297),0,'19_Расчет_аналитики'!BF2461*IF('01_Вводные'!$B$239="Да",MeanMinAge02+'19_Расчет_аналитики'!BF2583*SUMIF(ThresholdAge02,"&lt;"&amp;'19_Расчет_аналитики'!BF2583,WeightedRevAge02)-SUMIF(ThresholdAge02,"&lt;"&amp;'19_Расчет_аналитики'!BF2583,WeightedMinAge02),MAX(CapacityAge02*'01_Вводные'!$B$218*'19_Расчет_аналитики'!BF2583,MeanMinAge02)))</f>
        <v/>
      </c>
      <c r="BG2489">
        <f>IF(OR('19_Расчет_аналитики'!BG2461=0,2&lt;='01_Вводные'!$B$297),0,'19_Расчет_аналитики'!BG2461*IF('01_Вводные'!$B$239="Да",MeanMinAge02+'19_Расчет_аналитики'!BG2583*SUMIF(ThresholdAge02,"&lt;"&amp;'19_Расчет_аналитики'!BG2583,WeightedRevAge02)-SUMIF(ThresholdAge02,"&lt;"&amp;'19_Расчет_аналитики'!BG2583,WeightedMinAge02),MAX(CapacityAge02*'01_Вводные'!$B$218*'19_Расчет_аналитики'!BG2583,MeanMinAge02)))</f>
        <v/>
      </c>
      <c r="BH2489">
        <f>IF(OR('19_Расчет_аналитики'!BH2461=0,2&lt;='01_Вводные'!$B$297),0,'19_Расчет_аналитики'!BH2461*IF('01_Вводные'!$B$239="Да",MeanMinAge02+'19_Расчет_аналитики'!BH2583*SUMIF(ThresholdAge02,"&lt;"&amp;'19_Расчет_аналитики'!BH2583,WeightedRevAge02)-SUMIF(ThresholdAge02,"&lt;"&amp;'19_Расчет_аналитики'!BH2583,WeightedMinAge02),MAX(CapacityAge02*'01_Вводные'!$B$218*'19_Расчет_аналитики'!BH2583,MeanMinAge02)))</f>
        <v/>
      </c>
      <c r="BI2489">
        <f>IF(OR('19_Расчет_аналитики'!BI2461=0,2&lt;='01_Вводные'!$B$297),0,'19_Расчет_аналитики'!BI2461*IF('01_Вводные'!$B$239="Да",MeanMinAge02+'19_Расчет_аналитики'!BI2583*SUMIF(ThresholdAge02,"&lt;"&amp;'19_Расчет_аналитики'!BI2583,WeightedRevAge02)-SUMIF(ThresholdAge02,"&lt;"&amp;'19_Расчет_аналитики'!BI2583,WeightedMinAge02),MAX(CapacityAge02*'01_Вводные'!$B$218*'19_Расчет_аналитики'!BI2583,MeanMinAge02)))</f>
        <v/>
      </c>
      <c r="BJ2489">
        <f>IF(OR('19_Расчет_аналитики'!BJ2461=0,2&lt;='01_Вводные'!$B$297),0,'19_Расчет_аналитики'!BJ2461*IF('01_Вводные'!$B$239="Да",MeanMinAge02+'19_Расчет_аналитики'!BJ2583*SUMIF(ThresholdAge02,"&lt;"&amp;'19_Расчет_аналитики'!BJ2583,WeightedRevAge02)-SUMIF(ThresholdAge02,"&lt;"&amp;'19_Расчет_аналитики'!BJ2583,WeightedMinAge02),MAX(CapacityAge02*'01_Вводные'!$B$218*'19_Расчет_аналитики'!BJ2583,MeanMinAge02)))</f>
        <v/>
      </c>
      <c r="BK2489">
        <f>IF(OR('19_Расчет_аналитики'!BK2461=0,2&lt;='01_Вводные'!$B$297),0,'19_Расчет_аналитики'!BK2461*IF('01_Вводные'!$B$239="Да",MeanMinAge02+'19_Расчет_аналитики'!BK2583*SUMIF(ThresholdAge02,"&lt;"&amp;'19_Расчет_аналитики'!BK2583,WeightedRevAge02)-SUMIF(ThresholdAge02,"&lt;"&amp;'19_Расчет_аналитики'!BK2583,WeightedMinAge02),MAX(CapacityAge02*'01_Вводные'!$B$218*'19_Расчет_аналитики'!BK2583,MeanMinAge02)))</f>
        <v/>
      </c>
      <c r="BL2489">
        <f>IF(OR('19_Расчет_аналитики'!BL2461=0,2&lt;='01_Вводные'!$B$297),0,'19_Расчет_аналитики'!BL2461*IF('01_Вводные'!$B$239="Да",MeanMinAge02+'19_Расчет_аналитики'!BL2583*SUMIF(ThresholdAge02,"&lt;"&amp;'19_Расчет_аналитики'!BL2583,WeightedRevAge02)-SUMIF(ThresholdAge02,"&lt;"&amp;'19_Расчет_аналитики'!BL2583,WeightedMinAge02),MAX(CapacityAge02*'01_Вводные'!$B$218*'19_Расчет_аналитики'!BL2583,MeanMinAge02)))</f>
        <v/>
      </c>
      <c r="BM2489">
        <f>IF(OR('19_Расчет_аналитики'!BM2461=0,2&lt;='01_Вводные'!$B$297),0,'19_Расчет_аналитики'!BM2461*IF('01_Вводные'!$B$239="Да",MeanMinAge02+'19_Расчет_аналитики'!BM2583*SUMIF(ThresholdAge02,"&lt;"&amp;'19_Расчет_аналитики'!BM2583,WeightedRevAge02)-SUMIF(ThresholdAge02,"&lt;"&amp;'19_Расчет_аналитики'!BM2583,WeightedMinAge02),MAX(CapacityAge02*'01_Вводные'!$B$218*'19_Расчет_аналитики'!BM2583,MeanMinAge02)))</f>
        <v/>
      </c>
      <c r="BN2489">
        <f>IF(OR('19_Расчет_аналитики'!BN2461=0,2&lt;='01_Вводные'!$B$297),0,'19_Расчет_аналитики'!BN2461*IF('01_Вводные'!$B$239="Да",MeanMinAge02+'19_Расчет_аналитики'!BN2583*SUMIF(ThresholdAge02,"&lt;"&amp;'19_Расчет_аналитики'!BN2583,WeightedRevAge02)-SUMIF(ThresholdAge02,"&lt;"&amp;'19_Расчет_аналитики'!BN2583,WeightedMinAge02),MAX(CapacityAge02*'01_Вводные'!$B$218*'19_Расчет_аналитики'!BN2583,MeanMinAge02)))</f>
        <v/>
      </c>
      <c r="BO2489">
        <f>IF(OR('19_Расчет_аналитики'!BO2461=0,2&lt;='01_Вводные'!$B$297),0,'19_Расчет_аналитики'!BO2461*IF('01_Вводные'!$B$239="Да",MeanMinAge02+'19_Расчет_аналитики'!BO2583*SUMIF(ThresholdAge02,"&lt;"&amp;'19_Расчет_аналитики'!BO2583,WeightedRevAge02)-SUMIF(ThresholdAge02,"&lt;"&amp;'19_Расчет_аналитики'!BO2583,WeightedMinAge02),MAX(CapacityAge02*'01_Вводные'!$B$218*'19_Расчет_аналитики'!BO2583,MeanMinAge02)))</f>
        <v/>
      </c>
    </row>
    <row r="2490">
      <c r="B2490">
        <f>IF(OR('06_Сеть_и_дети'!B83=0,3&lt;='01_Вводные'!$B$297),0,'06_Сеть_и_дети'!B83*IF('01_Вводные'!$B$239="Да",MeanMinAge03+'19_Расчет_аналитики'!B2583*SUMIF(ThresholdAge03,"&lt;"&amp;'19_Расчет_аналитики'!B2583,WeightedRevAge03)-SUMIF(ThresholdAge03,"&lt;"&amp;'19_Расчет_аналитики'!B2583,WeightedMinAge03),MAX(CapacityAge03*'01_Вводные'!$B$218*'19_Расчет_аналитики'!B2583,MeanMinAge03)))</f>
        <v/>
      </c>
      <c r="C2490">
        <f>IF(OR('06_Сеть_и_дети'!C83=0,3&lt;='01_Вводные'!$B$297),0,'06_Сеть_и_дети'!C83*IF('01_Вводные'!$B$239="Да",MeanMinAge03+'19_Расчет_аналитики'!C2583*SUMIF(ThresholdAge03,"&lt;"&amp;'19_Расчет_аналитики'!C2583,WeightedRevAge03)-SUMIF(ThresholdAge03,"&lt;"&amp;'19_Расчет_аналитики'!C2583,WeightedMinAge03),MAX(CapacityAge03*'01_Вводные'!$B$218*'19_Расчет_аналитики'!C2583,MeanMinAge03)))</f>
        <v/>
      </c>
      <c r="D2490">
        <f>IF(OR('19_Расчет_аналитики'!D2462=0,3&lt;='01_Вводные'!$B$297),0,'19_Расчет_аналитики'!D2462*IF('01_Вводные'!$B$239="Да",MeanMinAge03+'19_Расчет_аналитики'!D2583*SUMIF(ThresholdAge03,"&lt;"&amp;'19_Расчет_аналитики'!D2583,WeightedRevAge03)-SUMIF(ThresholdAge03,"&lt;"&amp;'19_Расчет_аналитики'!D2583,WeightedMinAge03),MAX(CapacityAge03*'01_Вводные'!$B$218*'19_Расчет_аналитики'!D2583,MeanMinAge03)))</f>
        <v/>
      </c>
      <c r="E2490">
        <f>IF(OR('19_Расчет_аналитики'!E2462=0,3&lt;='01_Вводные'!$B$297),0,'19_Расчет_аналитики'!E2462*IF('01_Вводные'!$B$239="Да",MeanMinAge03+'19_Расчет_аналитики'!E2583*SUMIF(ThresholdAge03,"&lt;"&amp;'19_Расчет_аналитики'!E2583,WeightedRevAge03)-SUMIF(ThresholdAge03,"&lt;"&amp;'19_Расчет_аналитики'!E2583,WeightedMinAge03),MAX(CapacityAge03*'01_Вводные'!$B$218*'19_Расчет_аналитики'!E2583,MeanMinAge03)))</f>
        <v/>
      </c>
      <c r="F2490">
        <f>IF(OR('19_Расчет_аналитики'!F2462=0,3&lt;='01_Вводные'!$B$297),0,'19_Расчет_аналитики'!F2462*IF('01_Вводные'!$B$239="Да",MeanMinAge03+'19_Расчет_аналитики'!F2583*SUMIF(ThresholdAge03,"&lt;"&amp;'19_Расчет_аналитики'!F2583,WeightedRevAge03)-SUMIF(ThresholdAge03,"&lt;"&amp;'19_Расчет_аналитики'!F2583,WeightedMinAge03),MAX(CapacityAge03*'01_Вводные'!$B$218*'19_Расчет_аналитики'!F2583,MeanMinAge03)))</f>
        <v/>
      </c>
      <c r="G2490">
        <f>IF(OR('19_Расчет_аналитики'!G2462=0,3&lt;='01_Вводные'!$B$297),0,'19_Расчет_аналитики'!G2462*IF('01_Вводные'!$B$239="Да",MeanMinAge03+'19_Расчет_аналитики'!G2583*SUMIF(ThresholdAge03,"&lt;"&amp;'19_Расчет_аналитики'!G2583,WeightedRevAge03)-SUMIF(ThresholdAge03,"&lt;"&amp;'19_Расчет_аналитики'!G2583,WeightedMinAge03),MAX(CapacityAge03*'01_Вводные'!$B$218*'19_Расчет_аналитики'!G2583,MeanMinAge03)))</f>
        <v/>
      </c>
      <c r="H2490">
        <f>IF(OR('19_Расчет_аналитики'!H2462=0,3&lt;='01_Вводные'!$B$297),0,'19_Расчет_аналитики'!H2462*IF('01_Вводные'!$B$239="Да",MeanMinAge03+'19_Расчет_аналитики'!H2583*SUMIF(ThresholdAge03,"&lt;"&amp;'19_Расчет_аналитики'!H2583,WeightedRevAge03)-SUMIF(ThresholdAge03,"&lt;"&amp;'19_Расчет_аналитики'!H2583,WeightedMinAge03),MAX(CapacityAge03*'01_Вводные'!$B$218*'19_Расчет_аналитики'!H2583,MeanMinAge03)))</f>
        <v/>
      </c>
      <c r="I2490">
        <f>IF(OR('19_Расчет_аналитики'!I2462=0,3&lt;='01_Вводные'!$B$297),0,'19_Расчет_аналитики'!I2462*IF('01_Вводные'!$B$239="Да",MeanMinAge03+'19_Расчет_аналитики'!I2583*SUMIF(ThresholdAge03,"&lt;"&amp;'19_Расчет_аналитики'!I2583,WeightedRevAge03)-SUMIF(ThresholdAge03,"&lt;"&amp;'19_Расчет_аналитики'!I2583,WeightedMinAge03),MAX(CapacityAge03*'01_Вводные'!$B$218*'19_Расчет_аналитики'!I2583,MeanMinAge03)))</f>
        <v/>
      </c>
      <c r="J2490">
        <f>IF(OR('19_Расчет_аналитики'!J2462=0,3&lt;='01_Вводные'!$B$297),0,'19_Расчет_аналитики'!J2462*IF('01_Вводные'!$B$239="Да",MeanMinAge03+'19_Расчет_аналитики'!J2583*SUMIF(ThresholdAge03,"&lt;"&amp;'19_Расчет_аналитики'!J2583,WeightedRevAge03)-SUMIF(ThresholdAge03,"&lt;"&amp;'19_Расчет_аналитики'!J2583,WeightedMinAge03),MAX(CapacityAge03*'01_Вводные'!$B$218*'19_Расчет_аналитики'!J2583,MeanMinAge03)))</f>
        <v/>
      </c>
      <c r="K2490">
        <f>IF(OR('19_Расчет_аналитики'!K2462=0,3&lt;='01_Вводные'!$B$297),0,'19_Расчет_аналитики'!K2462*IF('01_Вводные'!$B$239="Да",MeanMinAge03+'19_Расчет_аналитики'!K2583*SUMIF(ThresholdAge03,"&lt;"&amp;'19_Расчет_аналитики'!K2583,WeightedRevAge03)-SUMIF(ThresholdAge03,"&lt;"&amp;'19_Расчет_аналитики'!K2583,WeightedMinAge03),MAX(CapacityAge03*'01_Вводные'!$B$218*'19_Расчет_аналитики'!K2583,MeanMinAge03)))</f>
        <v/>
      </c>
      <c r="L2490">
        <f>IF(OR('19_Расчет_аналитики'!L2462=0,3&lt;='01_Вводные'!$B$297),0,'19_Расчет_аналитики'!L2462*IF('01_Вводные'!$B$239="Да",MeanMinAge03+'19_Расчет_аналитики'!L2583*SUMIF(ThresholdAge03,"&lt;"&amp;'19_Расчет_аналитики'!L2583,WeightedRevAge03)-SUMIF(ThresholdAge03,"&lt;"&amp;'19_Расчет_аналитики'!L2583,WeightedMinAge03),MAX(CapacityAge03*'01_Вводные'!$B$218*'19_Расчет_аналитики'!L2583,MeanMinAge03)))</f>
        <v/>
      </c>
      <c r="M2490">
        <f>IF(OR('19_Расчет_аналитики'!M2462=0,3&lt;='01_Вводные'!$B$297),0,'19_Расчет_аналитики'!M2462*IF('01_Вводные'!$B$239="Да",MeanMinAge03+'19_Расчет_аналитики'!M2583*SUMIF(ThresholdAge03,"&lt;"&amp;'19_Расчет_аналитики'!M2583,WeightedRevAge03)-SUMIF(ThresholdAge03,"&lt;"&amp;'19_Расчет_аналитики'!M2583,WeightedMinAge03),MAX(CapacityAge03*'01_Вводные'!$B$218*'19_Расчет_аналитики'!M2583,MeanMinAge03)))</f>
        <v/>
      </c>
      <c r="N2490">
        <f>IF(OR('19_Расчет_аналитики'!N2462=0,3&lt;='01_Вводные'!$B$297),0,'19_Расчет_аналитики'!N2462*IF('01_Вводные'!$B$239="Да",MeanMinAge03+'19_Расчет_аналитики'!N2583*SUMIF(ThresholdAge03,"&lt;"&amp;'19_Расчет_аналитики'!N2583,WeightedRevAge03)-SUMIF(ThresholdAge03,"&lt;"&amp;'19_Расчет_аналитики'!N2583,WeightedMinAge03),MAX(CapacityAge03*'01_Вводные'!$B$218*'19_Расчет_аналитики'!N2583,MeanMinAge03)))</f>
        <v/>
      </c>
      <c r="O2490">
        <f>IF(OR('19_Расчет_аналитики'!O2462=0,3&lt;='01_Вводные'!$B$297),0,'19_Расчет_аналитики'!O2462*IF('01_Вводные'!$B$239="Да",MeanMinAge03+'19_Расчет_аналитики'!O2583*SUMIF(ThresholdAge03,"&lt;"&amp;'19_Расчет_аналитики'!O2583,WeightedRevAge03)-SUMIF(ThresholdAge03,"&lt;"&amp;'19_Расчет_аналитики'!O2583,WeightedMinAge03),MAX(CapacityAge03*'01_Вводные'!$B$218*'19_Расчет_аналитики'!O2583,MeanMinAge03)))</f>
        <v/>
      </c>
      <c r="P2490">
        <f>IF(OR('19_Расчет_аналитики'!P2462=0,3&lt;='01_Вводные'!$B$297),0,'19_Расчет_аналитики'!P2462*IF('01_Вводные'!$B$239="Да",MeanMinAge03+'19_Расчет_аналитики'!P2583*SUMIF(ThresholdAge03,"&lt;"&amp;'19_Расчет_аналитики'!P2583,WeightedRevAge03)-SUMIF(ThresholdAge03,"&lt;"&amp;'19_Расчет_аналитики'!P2583,WeightedMinAge03),MAX(CapacityAge03*'01_Вводные'!$B$218*'19_Расчет_аналитики'!P2583,MeanMinAge03)))</f>
        <v/>
      </c>
      <c r="Q2490">
        <f>IF(OR('19_Расчет_аналитики'!Q2462=0,3&lt;='01_Вводные'!$B$297),0,'19_Расчет_аналитики'!Q2462*IF('01_Вводные'!$B$239="Да",MeanMinAge03+'19_Расчет_аналитики'!Q2583*SUMIF(ThresholdAge03,"&lt;"&amp;'19_Расчет_аналитики'!Q2583,WeightedRevAge03)-SUMIF(ThresholdAge03,"&lt;"&amp;'19_Расчет_аналитики'!Q2583,WeightedMinAge03),MAX(CapacityAge03*'01_Вводные'!$B$218*'19_Расчет_аналитики'!Q2583,MeanMinAge03)))</f>
        <v/>
      </c>
      <c r="R2490">
        <f>IF(OR('19_Расчет_аналитики'!R2462=0,3&lt;='01_Вводные'!$B$297),0,'19_Расчет_аналитики'!R2462*IF('01_Вводные'!$B$239="Да",MeanMinAge03+'19_Расчет_аналитики'!R2583*SUMIF(ThresholdAge03,"&lt;"&amp;'19_Расчет_аналитики'!R2583,WeightedRevAge03)-SUMIF(ThresholdAge03,"&lt;"&amp;'19_Расчет_аналитики'!R2583,WeightedMinAge03),MAX(CapacityAge03*'01_Вводные'!$B$218*'19_Расчет_аналитики'!R2583,MeanMinAge03)))</f>
        <v/>
      </c>
      <c r="S2490">
        <f>IF(OR('19_Расчет_аналитики'!S2462=0,3&lt;='01_Вводные'!$B$297),0,'19_Расчет_аналитики'!S2462*IF('01_Вводные'!$B$239="Да",MeanMinAge03+'19_Расчет_аналитики'!S2583*SUMIF(ThresholdAge03,"&lt;"&amp;'19_Расчет_аналитики'!S2583,WeightedRevAge03)-SUMIF(ThresholdAge03,"&lt;"&amp;'19_Расчет_аналитики'!S2583,WeightedMinAge03),MAX(CapacityAge03*'01_Вводные'!$B$218*'19_Расчет_аналитики'!S2583,MeanMinAge03)))</f>
        <v/>
      </c>
      <c r="T2490">
        <f>IF(OR('19_Расчет_аналитики'!T2462=0,3&lt;='01_Вводные'!$B$297),0,'19_Расчет_аналитики'!T2462*IF('01_Вводные'!$B$239="Да",MeanMinAge03+'19_Расчет_аналитики'!T2583*SUMIF(ThresholdAge03,"&lt;"&amp;'19_Расчет_аналитики'!T2583,WeightedRevAge03)-SUMIF(ThresholdAge03,"&lt;"&amp;'19_Расчет_аналитики'!T2583,WeightedMinAge03),MAX(CapacityAge03*'01_Вводные'!$B$218*'19_Расчет_аналитики'!T2583,MeanMinAge03)))</f>
        <v/>
      </c>
      <c r="U2490">
        <f>IF(OR('19_Расчет_аналитики'!U2462=0,3&lt;='01_Вводные'!$B$297),0,'19_Расчет_аналитики'!U2462*IF('01_Вводные'!$B$239="Да",MeanMinAge03+'19_Расчет_аналитики'!U2583*SUMIF(ThresholdAge03,"&lt;"&amp;'19_Расчет_аналитики'!U2583,WeightedRevAge03)-SUMIF(ThresholdAge03,"&lt;"&amp;'19_Расчет_аналитики'!U2583,WeightedMinAge03),MAX(CapacityAge03*'01_Вводные'!$B$218*'19_Расчет_аналитики'!U2583,MeanMinAge03)))</f>
        <v/>
      </c>
      <c r="V2490">
        <f>IF(OR('19_Расчет_аналитики'!V2462=0,3&lt;='01_Вводные'!$B$297),0,'19_Расчет_аналитики'!V2462*IF('01_Вводные'!$B$239="Да",MeanMinAge03+'19_Расчет_аналитики'!V2583*SUMIF(ThresholdAge03,"&lt;"&amp;'19_Расчет_аналитики'!V2583,WeightedRevAge03)-SUMIF(ThresholdAge03,"&lt;"&amp;'19_Расчет_аналитики'!V2583,WeightedMinAge03),MAX(CapacityAge03*'01_Вводные'!$B$218*'19_Расчет_аналитики'!V2583,MeanMinAge03)))</f>
        <v/>
      </c>
      <c r="W2490">
        <f>IF(OR('19_Расчет_аналитики'!W2462=0,3&lt;='01_Вводные'!$B$297),0,'19_Расчет_аналитики'!W2462*IF('01_Вводные'!$B$239="Да",MeanMinAge03+'19_Расчет_аналитики'!W2583*SUMIF(ThresholdAge03,"&lt;"&amp;'19_Расчет_аналитики'!W2583,WeightedRevAge03)-SUMIF(ThresholdAge03,"&lt;"&amp;'19_Расчет_аналитики'!W2583,WeightedMinAge03),MAX(CapacityAge03*'01_Вводные'!$B$218*'19_Расчет_аналитики'!W2583,MeanMinAge03)))</f>
        <v/>
      </c>
      <c r="X2490">
        <f>IF(OR('19_Расчет_аналитики'!X2462=0,3&lt;='01_Вводные'!$B$297),0,'19_Расчет_аналитики'!X2462*IF('01_Вводные'!$B$239="Да",MeanMinAge03+'19_Расчет_аналитики'!X2583*SUMIF(ThresholdAge03,"&lt;"&amp;'19_Расчет_аналитики'!X2583,WeightedRevAge03)-SUMIF(ThresholdAge03,"&lt;"&amp;'19_Расчет_аналитики'!X2583,WeightedMinAge03),MAX(CapacityAge03*'01_Вводные'!$B$218*'19_Расчет_аналитики'!X2583,MeanMinAge03)))</f>
        <v/>
      </c>
      <c r="Y2490">
        <f>IF(OR('19_Расчет_аналитики'!Y2462=0,3&lt;='01_Вводные'!$B$297),0,'19_Расчет_аналитики'!Y2462*IF('01_Вводные'!$B$239="Да",MeanMinAge03+'19_Расчет_аналитики'!Y2583*SUMIF(ThresholdAge03,"&lt;"&amp;'19_Расчет_аналитики'!Y2583,WeightedRevAge03)-SUMIF(ThresholdAge03,"&lt;"&amp;'19_Расчет_аналитики'!Y2583,WeightedMinAge03),MAX(CapacityAge03*'01_Вводные'!$B$218*'19_Расчет_аналитики'!Y2583,MeanMinAge03)))</f>
        <v/>
      </c>
      <c r="Z2490">
        <f>IF(OR('19_Расчет_аналитики'!Z2462=0,3&lt;='01_Вводные'!$B$297),0,'19_Расчет_аналитики'!Z2462*IF('01_Вводные'!$B$239="Да",MeanMinAge03+'19_Расчет_аналитики'!Z2583*SUMIF(ThresholdAge03,"&lt;"&amp;'19_Расчет_аналитики'!Z2583,WeightedRevAge03)-SUMIF(ThresholdAge03,"&lt;"&amp;'19_Расчет_аналитики'!Z2583,WeightedMinAge03),MAX(CapacityAge03*'01_Вводные'!$B$218*'19_Расчет_аналитики'!Z2583,MeanMinAge03)))</f>
        <v/>
      </c>
      <c r="AA2490">
        <f>IF(OR('19_Расчет_аналитики'!AA2462=0,3&lt;='01_Вводные'!$B$297),0,'19_Расчет_аналитики'!AA2462*IF('01_Вводные'!$B$239="Да",MeanMinAge03+'19_Расчет_аналитики'!AA2583*SUMIF(ThresholdAge03,"&lt;"&amp;'19_Расчет_аналитики'!AA2583,WeightedRevAge03)-SUMIF(ThresholdAge03,"&lt;"&amp;'19_Расчет_аналитики'!AA2583,WeightedMinAge03),MAX(CapacityAge03*'01_Вводные'!$B$218*'19_Расчет_аналитики'!AA2583,MeanMinAge03)))</f>
        <v/>
      </c>
      <c r="AB2490">
        <f>IF(OR('19_Расчет_аналитики'!AB2462=0,3&lt;='01_Вводные'!$B$297),0,'19_Расчет_аналитики'!AB2462*IF('01_Вводные'!$B$239="Да",MeanMinAge03+'19_Расчет_аналитики'!AB2583*SUMIF(ThresholdAge03,"&lt;"&amp;'19_Расчет_аналитики'!AB2583,WeightedRevAge03)-SUMIF(ThresholdAge03,"&lt;"&amp;'19_Расчет_аналитики'!AB2583,WeightedMinAge03),MAX(CapacityAge03*'01_Вводные'!$B$218*'19_Расчет_аналитики'!AB2583,MeanMinAge03)))</f>
        <v/>
      </c>
      <c r="AC2490">
        <f>IF(OR('19_Расчет_аналитики'!AC2462=0,3&lt;='01_Вводные'!$B$297),0,'19_Расчет_аналитики'!AC2462*IF('01_Вводные'!$B$239="Да",MeanMinAge03+'19_Расчет_аналитики'!AC2583*SUMIF(ThresholdAge03,"&lt;"&amp;'19_Расчет_аналитики'!AC2583,WeightedRevAge03)-SUMIF(ThresholdAge03,"&lt;"&amp;'19_Расчет_аналитики'!AC2583,WeightedMinAge03),MAX(CapacityAge03*'01_Вводные'!$B$218*'19_Расчет_аналитики'!AC2583,MeanMinAge03)))</f>
        <v/>
      </c>
      <c r="AD2490">
        <f>IF(OR('19_Расчет_аналитики'!AD2462=0,3&lt;='01_Вводные'!$B$297),0,'19_Расчет_аналитики'!AD2462*IF('01_Вводные'!$B$239="Да",MeanMinAge03+'19_Расчет_аналитики'!AD2583*SUMIF(ThresholdAge03,"&lt;"&amp;'19_Расчет_аналитики'!AD2583,WeightedRevAge03)-SUMIF(ThresholdAge03,"&lt;"&amp;'19_Расчет_аналитики'!AD2583,WeightedMinAge03),MAX(CapacityAge03*'01_Вводные'!$B$218*'19_Расчет_аналитики'!AD2583,MeanMinAge03)))</f>
        <v/>
      </c>
      <c r="AE2490">
        <f>IF(OR('19_Расчет_аналитики'!AE2462=0,3&lt;='01_Вводные'!$B$297),0,'19_Расчет_аналитики'!AE2462*IF('01_Вводные'!$B$239="Да",MeanMinAge03+'19_Расчет_аналитики'!AE2583*SUMIF(ThresholdAge03,"&lt;"&amp;'19_Расчет_аналитики'!AE2583,WeightedRevAge03)-SUMIF(ThresholdAge03,"&lt;"&amp;'19_Расчет_аналитики'!AE2583,WeightedMinAge03),MAX(CapacityAge03*'01_Вводные'!$B$218*'19_Расчет_аналитики'!AE2583,MeanMinAge03)))</f>
        <v/>
      </c>
      <c r="AF2490">
        <f>IF(OR('19_Расчет_аналитики'!AF2462=0,3&lt;='01_Вводные'!$B$297),0,'19_Расчет_аналитики'!AF2462*IF('01_Вводные'!$B$239="Да",MeanMinAge03+'19_Расчет_аналитики'!AF2583*SUMIF(ThresholdAge03,"&lt;"&amp;'19_Расчет_аналитики'!AF2583,WeightedRevAge03)-SUMIF(ThresholdAge03,"&lt;"&amp;'19_Расчет_аналитики'!AF2583,WeightedMinAge03),MAX(CapacityAge03*'01_Вводные'!$B$218*'19_Расчет_аналитики'!AF2583,MeanMinAge03)))</f>
        <v/>
      </c>
      <c r="AG2490">
        <f>IF(OR('19_Расчет_аналитики'!AG2462=0,3&lt;='01_Вводные'!$B$297),0,'19_Расчет_аналитики'!AG2462*IF('01_Вводные'!$B$239="Да",MeanMinAge03+'19_Расчет_аналитики'!AG2583*SUMIF(ThresholdAge03,"&lt;"&amp;'19_Расчет_аналитики'!AG2583,WeightedRevAge03)-SUMIF(ThresholdAge03,"&lt;"&amp;'19_Расчет_аналитики'!AG2583,WeightedMinAge03),MAX(CapacityAge03*'01_Вводные'!$B$218*'19_Расчет_аналитики'!AG2583,MeanMinAge03)))</f>
        <v/>
      </c>
      <c r="AH2490">
        <f>IF(OR('19_Расчет_аналитики'!AH2462=0,3&lt;='01_Вводные'!$B$297),0,'19_Расчет_аналитики'!AH2462*IF('01_Вводные'!$B$239="Да",MeanMinAge03+'19_Расчет_аналитики'!AH2583*SUMIF(ThresholdAge03,"&lt;"&amp;'19_Расчет_аналитики'!AH2583,WeightedRevAge03)-SUMIF(ThresholdAge03,"&lt;"&amp;'19_Расчет_аналитики'!AH2583,WeightedMinAge03),MAX(CapacityAge03*'01_Вводные'!$B$218*'19_Расчет_аналитики'!AH2583,MeanMinAge03)))</f>
        <v/>
      </c>
      <c r="AI2490">
        <f>IF(OR('19_Расчет_аналитики'!AI2462=0,3&lt;='01_Вводные'!$B$297),0,'19_Расчет_аналитики'!AI2462*IF('01_Вводные'!$B$239="Да",MeanMinAge03+'19_Расчет_аналитики'!AI2583*SUMIF(ThresholdAge03,"&lt;"&amp;'19_Расчет_аналитики'!AI2583,WeightedRevAge03)-SUMIF(ThresholdAge03,"&lt;"&amp;'19_Расчет_аналитики'!AI2583,WeightedMinAge03),MAX(CapacityAge03*'01_Вводные'!$B$218*'19_Расчет_аналитики'!AI2583,MeanMinAge03)))</f>
        <v/>
      </c>
      <c r="AJ2490">
        <f>IF(OR('19_Расчет_аналитики'!AJ2462=0,3&lt;='01_Вводные'!$B$297),0,'19_Расчет_аналитики'!AJ2462*IF('01_Вводные'!$B$239="Да",MeanMinAge03+'19_Расчет_аналитики'!AJ2583*SUMIF(ThresholdAge03,"&lt;"&amp;'19_Расчет_аналитики'!AJ2583,WeightedRevAge03)-SUMIF(ThresholdAge03,"&lt;"&amp;'19_Расчет_аналитики'!AJ2583,WeightedMinAge03),MAX(CapacityAge03*'01_Вводные'!$B$218*'19_Расчет_аналитики'!AJ2583,MeanMinAge03)))</f>
        <v/>
      </c>
      <c r="AK2490">
        <f>IF(OR('19_Расчет_аналитики'!AK2462=0,3&lt;='01_Вводные'!$B$297),0,'19_Расчет_аналитики'!AK2462*IF('01_Вводные'!$B$239="Да",MeanMinAge03+'19_Расчет_аналитики'!AK2583*SUMIF(ThresholdAge03,"&lt;"&amp;'19_Расчет_аналитики'!AK2583,WeightedRevAge03)-SUMIF(ThresholdAge03,"&lt;"&amp;'19_Расчет_аналитики'!AK2583,WeightedMinAge03),MAX(CapacityAge03*'01_Вводные'!$B$218*'19_Расчет_аналитики'!AK2583,MeanMinAge03)))</f>
        <v/>
      </c>
      <c r="AL2490">
        <f>IF(OR('19_Расчет_аналитики'!AL2462=0,3&lt;='01_Вводные'!$B$297),0,'19_Расчет_аналитики'!AL2462*IF('01_Вводные'!$B$239="Да",MeanMinAge03+'19_Расчет_аналитики'!AL2583*SUMIF(ThresholdAge03,"&lt;"&amp;'19_Расчет_аналитики'!AL2583,WeightedRevAge03)-SUMIF(ThresholdAge03,"&lt;"&amp;'19_Расчет_аналитики'!AL2583,WeightedMinAge03),MAX(CapacityAge03*'01_Вводные'!$B$218*'19_Расчет_аналитики'!AL2583,MeanMinAge03)))</f>
        <v/>
      </c>
      <c r="AM2490">
        <f>IF(OR('19_Расчет_аналитики'!AM2462=0,3&lt;='01_Вводные'!$B$297),0,'19_Расчет_аналитики'!AM2462*IF('01_Вводные'!$B$239="Да",MeanMinAge03+'19_Расчет_аналитики'!AM2583*SUMIF(ThresholdAge03,"&lt;"&amp;'19_Расчет_аналитики'!AM2583,WeightedRevAge03)-SUMIF(ThresholdAge03,"&lt;"&amp;'19_Расчет_аналитики'!AM2583,WeightedMinAge03),MAX(CapacityAge03*'01_Вводные'!$B$218*'19_Расчет_аналитики'!AM2583,MeanMinAge03)))</f>
        <v/>
      </c>
      <c r="AN2490">
        <f>IF(OR('19_Расчет_аналитики'!AN2462=0,3&lt;='01_Вводные'!$B$297),0,'19_Расчет_аналитики'!AN2462*IF('01_Вводные'!$B$239="Да",MeanMinAge03+'19_Расчет_аналитики'!AN2583*SUMIF(ThresholdAge03,"&lt;"&amp;'19_Расчет_аналитики'!AN2583,WeightedRevAge03)-SUMIF(ThresholdAge03,"&lt;"&amp;'19_Расчет_аналитики'!AN2583,WeightedMinAge03),MAX(CapacityAge03*'01_Вводные'!$B$218*'19_Расчет_аналитики'!AN2583,MeanMinAge03)))</f>
        <v/>
      </c>
      <c r="AO2490">
        <f>IF(OR('19_Расчет_аналитики'!AO2462=0,3&lt;='01_Вводные'!$B$297),0,'19_Расчет_аналитики'!AO2462*IF('01_Вводные'!$B$239="Да",MeanMinAge03+'19_Расчет_аналитики'!AO2583*SUMIF(ThresholdAge03,"&lt;"&amp;'19_Расчет_аналитики'!AO2583,WeightedRevAge03)-SUMIF(ThresholdAge03,"&lt;"&amp;'19_Расчет_аналитики'!AO2583,WeightedMinAge03),MAX(CapacityAge03*'01_Вводные'!$B$218*'19_Расчет_аналитики'!AO2583,MeanMinAge03)))</f>
        <v/>
      </c>
      <c r="AP2490">
        <f>IF(OR('19_Расчет_аналитики'!AP2462=0,3&lt;='01_Вводные'!$B$297),0,'19_Расчет_аналитики'!AP2462*IF('01_Вводные'!$B$239="Да",MeanMinAge03+'19_Расчет_аналитики'!AP2583*SUMIF(ThresholdAge03,"&lt;"&amp;'19_Расчет_аналитики'!AP2583,WeightedRevAge03)-SUMIF(ThresholdAge03,"&lt;"&amp;'19_Расчет_аналитики'!AP2583,WeightedMinAge03),MAX(CapacityAge03*'01_Вводные'!$B$218*'19_Расчет_аналитики'!AP2583,MeanMinAge03)))</f>
        <v/>
      </c>
      <c r="AQ2490">
        <f>IF(OR('19_Расчет_аналитики'!AQ2462=0,3&lt;='01_Вводные'!$B$297),0,'19_Расчет_аналитики'!AQ2462*IF('01_Вводные'!$B$239="Да",MeanMinAge03+'19_Расчет_аналитики'!AQ2583*SUMIF(ThresholdAge03,"&lt;"&amp;'19_Расчет_аналитики'!AQ2583,WeightedRevAge03)-SUMIF(ThresholdAge03,"&lt;"&amp;'19_Расчет_аналитики'!AQ2583,WeightedMinAge03),MAX(CapacityAge03*'01_Вводные'!$B$218*'19_Расчет_аналитики'!AQ2583,MeanMinAge03)))</f>
        <v/>
      </c>
      <c r="AR2490">
        <f>IF(OR('19_Расчет_аналитики'!AR2462=0,3&lt;='01_Вводные'!$B$297),0,'19_Расчет_аналитики'!AR2462*IF('01_Вводные'!$B$239="Да",MeanMinAge03+'19_Расчет_аналитики'!AR2583*SUMIF(ThresholdAge03,"&lt;"&amp;'19_Расчет_аналитики'!AR2583,WeightedRevAge03)-SUMIF(ThresholdAge03,"&lt;"&amp;'19_Расчет_аналитики'!AR2583,WeightedMinAge03),MAX(CapacityAge03*'01_Вводные'!$B$218*'19_Расчет_аналитики'!AR2583,MeanMinAge03)))</f>
        <v/>
      </c>
      <c r="AS2490">
        <f>IF(OR('19_Расчет_аналитики'!AS2462=0,3&lt;='01_Вводные'!$B$297),0,'19_Расчет_аналитики'!AS2462*IF('01_Вводные'!$B$239="Да",MeanMinAge03+'19_Расчет_аналитики'!AS2583*SUMIF(ThresholdAge03,"&lt;"&amp;'19_Расчет_аналитики'!AS2583,WeightedRevAge03)-SUMIF(ThresholdAge03,"&lt;"&amp;'19_Расчет_аналитики'!AS2583,WeightedMinAge03),MAX(CapacityAge03*'01_Вводные'!$B$218*'19_Расчет_аналитики'!AS2583,MeanMinAge03)))</f>
        <v/>
      </c>
      <c r="AT2490">
        <f>IF(OR('19_Расчет_аналитики'!AT2462=0,3&lt;='01_Вводные'!$B$297),0,'19_Расчет_аналитики'!AT2462*IF('01_Вводные'!$B$239="Да",MeanMinAge03+'19_Расчет_аналитики'!AT2583*SUMIF(ThresholdAge03,"&lt;"&amp;'19_Расчет_аналитики'!AT2583,WeightedRevAge03)-SUMIF(ThresholdAge03,"&lt;"&amp;'19_Расчет_аналитики'!AT2583,WeightedMinAge03),MAX(CapacityAge03*'01_Вводные'!$B$218*'19_Расчет_аналитики'!AT2583,MeanMinAge03)))</f>
        <v/>
      </c>
      <c r="AU2490">
        <f>IF(OR('19_Расчет_аналитики'!AU2462=0,3&lt;='01_Вводные'!$B$297),0,'19_Расчет_аналитики'!AU2462*IF('01_Вводные'!$B$239="Да",MeanMinAge03+'19_Расчет_аналитики'!AU2583*SUMIF(ThresholdAge03,"&lt;"&amp;'19_Расчет_аналитики'!AU2583,WeightedRevAge03)-SUMIF(ThresholdAge03,"&lt;"&amp;'19_Расчет_аналитики'!AU2583,WeightedMinAge03),MAX(CapacityAge03*'01_Вводные'!$B$218*'19_Расчет_аналитики'!AU2583,MeanMinAge03)))</f>
        <v/>
      </c>
      <c r="AV2490">
        <f>IF(OR('19_Расчет_аналитики'!AV2462=0,3&lt;='01_Вводные'!$B$297),0,'19_Расчет_аналитики'!AV2462*IF('01_Вводные'!$B$239="Да",MeanMinAge03+'19_Расчет_аналитики'!AV2583*SUMIF(ThresholdAge03,"&lt;"&amp;'19_Расчет_аналитики'!AV2583,WeightedRevAge03)-SUMIF(ThresholdAge03,"&lt;"&amp;'19_Расчет_аналитики'!AV2583,WeightedMinAge03),MAX(CapacityAge03*'01_Вводные'!$B$218*'19_Расчет_аналитики'!AV2583,MeanMinAge03)))</f>
        <v/>
      </c>
      <c r="AW2490">
        <f>IF(OR('19_Расчет_аналитики'!AW2462=0,3&lt;='01_Вводные'!$B$297),0,'19_Расчет_аналитики'!AW2462*IF('01_Вводные'!$B$239="Да",MeanMinAge03+'19_Расчет_аналитики'!AW2583*SUMIF(ThresholdAge03,"&lt;"&amp;'19_Расчет_аналитики'!AW2583,WeightedRevAge03)-SUMIF(ThresholdAge03,"&lt;"&amp;'19_Расчет_аналитики'!AW2583,WeightedMinAge03),MAX(CapacityAge03*'01_Вводные'!$B$218*'19_Расчет_аналитики'!AW2583,MeanMinAge03)))</f>
        <v/>
      </c>
      <c r="AX2490">
        <f>IF(OR('19_Расчет_аналитики'!AX2462=0,3&lt;='01_Вводные'!$B$297),0,'19_Расчет_аналитики'!AX2462*IF('01_Вводные'!$B$239="Да",MeanMinAge03+'19_Расчет_аналитики'!AX2583*SUMIF(ThresholdAge03,"&lt;"&amp;'19_Расчет_аналитики'!AX2583,WeightedRevAge03)-SUMIF(ThresholdAge03,"&lt;"&amp;'19_Расчет_аналитики'!AX2583,WeightedMinAge03),MAX(CapacityAge03*'01_Вводные'!$B$218*'19_Расчет_аналитики'!AX2583,MeanMinAge03)))</f>
        <v/>
      </c>
      <c r="AY2490">
        <f>IF(OR('19_Расчет_аналитики'!AY2462=0,3&lt;='01_Вводные'!$B$297),0,'19_Расчет_аналитики'!AY2462*IF('01_Вводные'!$B$239="Да",MeanMinAge03+'19_Расчет_аналитики'!AY2583*SUMIF(ThresholdAge03,"&lt;"&amp;'19_Расчет_аналитики'!AY2583,WeightedRevAge03)-SUMIF(ThresholdAge03,"&lt;"&amp;'19_Расчет_аналитики'!AY2583,WeightedMinAge03),MAX(CapacityAge03*'01_Вводные'!$B$218*'19_Расчет_аналитики'!AY2583,MeanMinAge03)))</f>
        <v/>
      </c>
      <c r="AZ2490">
        <f>IF(OR('19_Расчет_аналитики'!AZ2462=0,3&lt;='01_Вводные'!$B$297),0,'19_Расчет_аналитики'!AZ2462*IF('01_Вводные'!$B$239="Да",MeanMinAge03+'19_Расчет_аналитики'!AZ2583*SUMIF(ThresholdAge03,"&lt;"&amp;'19_Расчет_аналитики'!AZ2583,WeightedRevAge03)-SUMIF(ThresholdAge03,"&lt;"&amp;'19_Расчет_аналитики'!AZ2583,WeightedMinAge03),MAX(CapacityAge03*'01_Вводные'!$B$218*'19_Расчет_аналитики'!AZ2583,MeanMinAge03)))</f>
        <v/>
      </c>
      <c r="BA2490">
        <f>IF(OR('19_Расчет_аналитики'!BA2462=0,3&lt;='01_Вводные'!$B$297),0,'19_Расчет_аналитики'!BA2462*IF('01_Вводные'!$B$239="Да",MeanMinAge03+'19_Расчет_аналитики'!BA2583*SUMIF(ThresholdAge03,"&lt;"&amp;'19_Расчет_аналитики'!BA2583,WeightedRevAge03)-SUMIF(ThresholdAge03,"&lt;"&amp;'19_Расчет_аналитики'!BA2583,WeightedMinAge03),MAX(CapacityAge03*'01_Вводные'!$B$218*'19_Расчет_аналитики'!BA2583,MeanMinAge03)))</f>
        <v/>
      </c>
      <c r="BB2490">
        <f>IF(OR('19_Расчет_аналитики'!BB2462=0,3&lt;='01_Вводные'!$B$297),0,'19_Расчет_аналитики'!BB2462*IF('01_Вводные'!$B$239="Да",MeanMinAge03+'19_Расчет_аналитики'!BB2583*SUMIF(ThresholdAge03,"&lt;"&amp;'19_Расчет_аналитики'!BB2583,WeightedRevAge03)-SUMIF(ThresholdAge03,"&lt;"&amp;'19_Расчет_аналитики'!BB2583,WeightedMinAge03),MAX(CapacityAge03*'01_Вводные'!$B$218*'19_Расчет_аналитики'!BB2583,MeanMinAge03)))</f>
        <v/>
      </c>
      <c r="BC2490">
        <f>IF(OR('19_Расчет_аналитики'!BC2462=0,3&lt;='01_Вводные'!$B$297),0,'19_Расчет_аналитики'!BC2462*IF('01_Вводные'!$B$239="Да",MeanMinAge03+'19_Расчет_аналитики'!BC2583*SUMIF(ThresholdAge03,"&lt;"&amp;'19_Расчет_аналитики'!BC2583,WeightedRevAge03)-SUMIF(ThresholdAge03,"&lt;"&amp;'19_Расчет_аналитики'!BC2583,WeightedMinAge03),MAX(CapacityAge03*'01_Вводные'!$B$218*'19_Расчет_аналитики'!BC2583,MeanMinAge03)))</f>
        <v/>
      </c>
      <c r="BD2490">
        <f>IF(OR('19_Расчет_аналитики'!BD2462=0,3&lt;='01_Вводные'!$B$297),0,'19_Расчет_аналитики'!BD2462*IF('01_Вводные'!$B$239="Да",MeanMinAge03+'19_Расчет_аналитики'!BD2583*SUMIF(ThresholdAge03,"&lt;"&amp;'19_Расчет_аналитики'!BD2583,WeightedRevAge03)-SUMIF(ThresholdAge03,"&lt;"&amp;'19_Расчет_аналитики'!BD2583,WeightedMinAge03),MAX(CapacityAge03*'01_Вводные'!$B$218*'19_Расчет_аналитики'!BD2583,MeanMinAge03)))</f>
        <v/>
      </c>
      <c r="BE2490">
        <f>IF(OR('19_Расчет_аналитики'!BE2462=0,3&lt;='01_Вводные'!$B$297),0,'19_Расчет_аналитики'!BE2462*IF('01_Вводные'!$B$239="Да",MeanMinAge03+'19_Расчет_аналитики'!BE2583*SUMIF(ThresholdAge03,"&lt;"&amp;'19_Расчет_аналитики'!BE2583,WeightedRevAge03)-SUMIF(ThresholdAge03,"&lt;"&amp;'19_Расчет_аналитики'!BE2583,WeightedMinAge03),MAX(CapacityAge03*'01_Вводные'!$B$218*'19_Расчет_аналитики'!BE2583,MeanMinAge03)))</f>
        <v/>
      </c>
      <c r="BF2490">
        <f>IF(OR('19_Расчет_аналитики'!BF2462=0,3&lt;='01_Вводные'!$B$297),0,'19_Расчет_аналитики'!BF2462*IF('01_Вводные'!$B$239="Да",MeanMinAge03+'19_Расчет_аналитики'!BF2583*SUMIF(ThresholdAge03,"&lt;"&amp;'19_Расчет_аналитики'!BF2583,WeightedRevAge03)-SUMIF(ThresholdAge03,"&lt;"&amp;'19_Расчет_аналитики'!BF2583,WeightedMinAge03),MAX(CapacityAge03*'01_Вводные'!$B$218*'19_Расчет_аналитики'!BF2583,MeanMinAge03)))</f>
        <v/>
      </c>
      <c r="BG2490">
        <f>IF(OR('19_Расчет_аналитики'!BG2462=0,3&lt;='01_Вводные'!$B$297),0,'19_Расчет_аналитики'!BG2462*IF('01_Вводные'!$B$239="Да",MeanMinAge03+'19_Расчет_аналитики'!BG2583*SUMIF(ThresholdAge03,"&lt;"&amp;'19_Расчет_аналитики'!BG2583,WeightedRevAge03)-SUMIF(ThresholdAge03,"&lt;"&amp;'19_Расчет_аналитики'!BG2583,WeightedMinAge03),MAX(CapacityAge03*'01_Вводные'!$B$218*'19_Расчет_аналитики'!BG2583,MeanMinAge03)))</f>
        <v/>
      </c>
      <c r="BH2490">
        <f>IF(OR('19_Расчет_аналитики'!BH2462=0,3&lt;='01_Вводные'!$B$297),0,'19_Расчет_аналитики'!BH2462*IF('01_Вводные'!$B$239="Да",MeanMinAge03+'19_Расчет_аналитики'!BH2583*SUMIF(ThresholdAge03,"&lt;"&amp;'19_Расчет_аналитики'!BH2583,WeightedRevAge03)-SUMIF(ThresholdAge03,"&lt;"&amp;'19_Расчет_аналитики'!BH2583,WeightedMinAge03),MAX(CapacityAge03*'01_Вводные'!$B$218*'19_Расчет_аналитики'!BH2583,MeanMinAge03)))</f>
        <v/>
      </c>
      <c r="BI2490">
        <f>IF(OR('19_Расчет_аналитики'!BI2462=0,3&lt;='01_Вводные'!$B$297),0,'19_Расчет_аналитики'!BI2462*IF('01_Вводные'!$B$239="Да",MeanMinAge03+'19_Расчет_аналитики'!BI2583*SUMIF(ThresholdAge03,"&lt;"&amp;'19_Расчет_аналитики'!BI2583,WeightedRevAge03)-SUMIF(ThresholdAge03,"&lt;"&amp;'19_Расчет_аналитики'!BI2583,WeightedMinAge03),MAX(CapacityAge03*'01_Вводные'!$B$218*'19_Расчет_аналитики'!BI2583,MeanMinAge03)))</f>
        <v/>
      </c>
      <c r="BJ2490">
        <f>IF(OR('19_Расчет_аналитики'!BJ2462=0,3&lt;='01_Вводные'!$B$297),0,'19_Расчет_аналитики'!BJ2462*IF('01_Вводные'!$B$239="Да",MeanMinAge03+'19_Расчет_аналитики'!BJ2583*SUMIF(ThresholdAge03,"&lt;"&amp;'19_Расчет_аналитики'!BJ2583,WeightedRevAge03)-SUMIF(ThresholdAge03,"&lt;"&amp;'19_Расчет_аналитики'!BJ2583,WeightedMinAge03),MAX(CapacityAge03*'01_Вводные'!$B$218*'19_Расчет_аналитики'!BJ2583,MeanMinAge03)))</f>
        <v/>
      </c>
      <c r="BK2490">
        <f>IF(OR('19_Расчет_аналитики'!BK2462=0,3&lt;='01_Вводные'!$B$297),0,'19_Расчет_аналитики'!BK2462*IF('01_Вводные'!$B$239="Да",MeanMinAge03+'19_Расчет_аналитики'!BK2583*SUMIF(ThresholdAge03,"&lt;"&amp;'19_Расчет_аналитики'!BK2583,WeightedRevAge03)-SUMIF(ThresholdAge03,"&lt;"&amp;'19_Расчет_аналитики'!BK2583,WeightedMinAge03),MAX(CapacityAge03*'01_Вводные'!$B$218*'19_Расчет_аналитики'!BK2583,MeanMinAge03)))</f>
        <v/>
      </c>
      <c r="BL2490">
        <f>IF(OR('19_Расчет_аналитики'!BL2462=0,3&lt;='01_Вводные'!$B$297),0,'19_Расчет_аналитики'!BL2462*IF('01_Вводные'!$B$239="Да",MeanMinAge03+'19_Расчет_аналитики'!BL2583*SUMIF(ThresholdAge03,"&lt;"&amp;'19_Расчет_аналитики'!BL2583,WeightedRevAge03)-SUMIF(ThresholdAge03,"&lt;"&amp;'19_Расчет_аналитики'!BL2583,WeightedMinAge03),MAX(CapacityAge03*'01_Вводные'!$B$218*'19_Расчет_аналитики'!BL2583,MeanMinAge03)))</f>
        <v/>
      </c>
      <c r="BM2490">
        <f>IF(OR('19_Расчет_аналитики'!BM2462=0,3&lt;='01_Вводные'!$B$297),0,'19_Расчет_аналитики'!BM2462*IF('01_Вводные'!$B$239="Да",MeanMinAge03+'19_Расчет_аналитики'!BM2583*SUMIF(ThresholdAge03,"&lt;"&amp;'19_Расчет_аналитики'!BM2583,WeightedRevAge03)-SUMIF(ThresholdAge03,"&lt;"&amp;'19_Расчет_аналитики'!BM2583,WeightedMinAge03),MAX(CapacityAge03*'01_Вводные'!$B$218*'19_Расчет_аналитики'!BM2583,MeanMinAge03)))</f>
        <v/>
      </c>
      <c r="BN2490">
        <f>IF(OR('19_Расчет_аналитики'!BN2462=0,3&lt;='01_Вводные'!$B$297),0,'19_Расчет_аналитики'!BN2462*IF('01_Вводные'!$B$239="Да",MeanMinAge03+'19_Расчет_аналитики'!BN2583*SUMIF(ThresholdAge03,"&lt;"&amp;'19_Расчет_аналитики'!BN2583,WeightedRevAge03)-SUMIF(ThresholdAge03,"&lt;"&amp;'19_Расчет_аналитики'!BN2583,WeightedMinAge03),MAX(CapacityAge03*'01_Вводные'!$B$218*'19_Расчет_аналитики'!BN2583,MeanMinAge03)))</f>
        <v/>
      </c>
      <c r="BO2490">
        <f>IF(OR('19_Расчет_аналитики'!BO2462=0,3&lt;='01_Вводные'!$B$297),0,'19_Расчет_аналитики'!BO2462*IF('01_Вводные'!$B$239="Да",MeanMinAge03+'19_Расчет_аналитики'!BO2583*SUMIF(ThresholdAge03,"&lt;"&amp;'19_Расчет_аналитики'!BO2583,WeightedRevAge03)-SUMIF(ThresholdAge03,"&lt;"&amp;'19_Расчет_аналитики'!BO2583,WeightedMinAge03),MAX(CapacityAge03*'01_Вводные'!$B$218*'19_Расчет_аналитики'!BO2583,MeanMinAge03)))</f>
        <v/>
      </c>
    </row>
    <row r="2491">
      <c r="B2491">
        <f>IF(OR('06_Сеть_и_дети'!B84=0,4&lt;='01_Вводные'!$B$297),0,'06_Сеть_и_дети'!B84*IF('01_Вводные'!$B$239="Да",MeanMinAge04+'19_Расчет_аналитики'!B2583*SUMIF(ThresholdAge04,"&lt;"&amp;'19_Расчет_аналитики'!B2583,WeightedRevAge04)-SUMIF(ThresholdAge04,"&lt;"&amp;'19_Расчет_аналитики'!B2583,WeightedMinAge04),MAX(CapacityAge04*'01_Вводные'!$B$218*'19_Расчет_аналитики'!B2583,MeanMinAge04)))</f>
        <v/>
      </c>
      <c r="C2491">
        <f>IF(OR('06_Сеть_и_дети'!C84=0,4&lt;='01_Вводные'!$B$297),0,'06_Сеть_и_дети'!C84*IF('01_Вводные'!$B$239="Да",MeanMinAge04+'19_Расчет_аналитики'!C2583*SUMIF(ThresholdAge04,"&lt;"&amp;'19_Расчет_аналитики'!C2583,WeightedRevAge04)-SUMIF(ThresholdAge04,"&lt;"&amp;'19_Расчет_аналитики'!C2583,WeightedMinAge04),MAX(CapacityAge04*'01_Вводные'!$B$218*'19_Расчет_аналитики'!C2583,MeanMinAge04)))</f>
        <v/>
      </c>
      <c r="D2491">
        <f>IF(OR('06_Сеть_и_дети'!D84=0,4&lt;='01_Вводные'!$B$297),0,'06_Сеть_и_дети'!D84*IF('01_Вводные'!$B$239="Да",MeanMinAge04+'19_Расчет_аналитики'!D2583*SUMIF(ThresholdAge04,"&lt;"&amp;'19_Расчет_аналитики'!D2583,WeightedRevAge04)-SUMIF(ThresholdAge04,"&lt;"&amp;'19_Расчет_аналитики'!D2583,WeightedMinAge04),MAX(CapacityAge04*'01_Вводные'!$B$218*'19_Расчет_аналитики'!D2583,MeanMinAge04)))</f>
        <v/>
      </c>
      <c r="E2491">
        <f>IF(OR('19_Расчет_аналитики'!E2463=0,4&lt;='01_Вводные'!$B$297),0,'19_Расчет_аналитики'!E2463*IF('01_Вводные'!$B$239="Да",MeanMinAge04+'19_Расчет_аналитики'!E2583*SUMIF(ThresholdAge04,"&lt;"&amp;'19_Расчет_аналитики'!E2583,WeightedRevAge04)-SUMIF(ThresholdAge04,"&lt;"&amp;'19_Расчет_аналитики'!E2583,WeightedMinAge04),MAX(CapacityAge04*'01_Вводные'!$B$218*'19_Расчет_аналитики'!E2583,MeanMinAge04)))</f>
        <v/>
      </c>
      <c r="F2491">
        <f>IF(OR('19_Расчет_аналитики'!F2463=0,4&lt;='01_Вводные'!$B$297),0,'19_Расчет_аналитики'!F2463*IF('01_Вводные'!$B$239="Да",MeanMinAge04+'19_Расчет_аналитики'!F2583*SUMIF(ThresholdAge04,"&lt;"&amp;'19_Расчет_аналитики'!F2583,WeightedRevAge04)-SUMIF(ThresholdAge04,"&lt;"&amp;'19_Расчет_аналитики'!F2583,WeightedMinAge04),MAX(CapacityAge04*'01_Вводные'!$B$218*'19_Расчет_аналитики'!F2583,MeanMinAge04)))</f>
        <v/>
      </c>
      <c r="G2491">
        <f>IF(OR('19_Расчет_аналитики'!G2463=0,4&lt;='01_Вводные'!$B$297),0,'19_Расчет_аналитики'!G2463*IF('01_Вводные'!$B$239="Да",MeanMinAge04+'19_Расчет_аналитики'!G2583*SUMIF(ThresholdAge04,"&lt;"&amp;'19_Расчет_аналитики'!G2583,WeightedRevAge04)-SUMIF(ThresholdAge04,"&lt;"&amp;'19_Расчет_аналитики'!G2583,WeightedMinAge04),MAX(CapacityAge04*'01_Вводные'!$B$218*'19_Расчет_аналитики'!G2583,MeanMinAge04)))</f>
        <v/>
      </c>
      <c r="H2491">
        <f>IF(OR('19_Расчет_аналитики'!H2463=0,4&lt;='01_Вводные'!$B$297),0,'19_Расчет_аналитики'!H2463*IF('01_Вводные'!$B$239="Да",MeanMinAge04+'19_Расчет_аналитики'!H2583*SUMIF(ThresholdAge04,"&lt;"&amp;'19_Расчет_аналитики'!H2583,WeightedRevAge04)-SUMIF(ThresholdAge04,"&lt;"&amp;'19_Расчет_аналитики'!H2583,WeightedMinAge04),MAX(CapacityAge04*'01_Вводные'!$B$218*'19_Расчет_аналитики'!H2583,MeanMinAge04)))</f>
        <v/>
      </c>
      <c r="I2491">
        <f>IF(OR('19_Расчет_аналитики'!I2463=0,4&lt;='01_Вводные'!$B$297),0,'19_Расчет_аналитики'!I2463*IF('01_Вводные'!$B$239="Да",MeanMinAge04+'19_Расчет_аналитики'!I2583*SUMIF(ThresholdAge04,"&lt;"&amp;'19_Расчет_аналитики'!I2583,WeightedRevAge04)-SUMIF(ThresholdAge04,"&lt;"&amp;'19_Расчет_аналитики'!I2583,WeightedMinAge04),MAX(CapacityAge04*'01_Вводные'!$B$218*'19_Расчет_аналитики'!I2583,MeanMinAge04)))</f>
        <v/>
      </c>
      <c r="J2491">
        <f>IF(OR('19_Расчет_аналитики'!J2463=0,4&lt;='01_Вводные'!$B$297),0,'19_Расчет_аналитики'!J2463*IF('01_Вводные'!$B$239="Да",MeanMinAge04+'19_Расчет_аналитики'!J2583*SUMIF(ThresholdAge04,"&lt;"&amp;'19_Расчет_аналитики'!J2583,WeightedRevAge04)-SUMIF(ThresholdAge04,"&lt;"&amp;'19_Расчет_аналитики'!J2583,WeightedMinAge04),MAX(CapacityAge04*'01_Вводные'!$B$218*'19_Расчет_аналитики'!J2583,MeanMinAge04)))</f>
        <v/>
      </c>
      <c r="K2491">
        <f>IF(OR('19_Расчет_аналитики'!K2463=0,4&lt;='01_Вводные'!$B$297),0,'19_Расчет_аналитики'!K2463*IF('01_Вводные'!$B$239="Да",MeanMinAge04+'19_Расчет_аналитики'!K2583*SUMIF(ThresholdAge04,"&lt;"&amp;'19_Расчет_аналитики'!K2583,WeightedRevAge04)-SUMIF(ThresholdAge04,"&lt;"&amp;'19_Расчет_аналитики'!K2583,WeightedMinAge04),MAX(CapacityAge04*'01_Вводные'!$B$218*'19_Расчет_аналитики'!K2583,MeanMinAge04)))</f>
        <v/>
      </c>
      <c r="L2491">
        <f>IF(OR('19_Расчет_аналитики'!L2463=0,4&lt;='01_Вводные'!$B$297),0,'19_Расчет_аналитики'!L2463*IF('01_Вводные'!$B$239="Да",MeanMinAge04+'19_Расчет_аналитики'!L2583*SUMIF(ThresholdAge04,"&lt;"&amp;'19_Расчет_аналитики'!L2583,WeightedRevAge04)-SUMIF(ThresholdAge04,"&lt;"&amp;'19_Расчет_аналитики'!L2583,WeightedMinAge04),MAX(CapacityAge04*'01_Вводные'!$B$218*'19_Расчет_аналитики'!L2583,MeanMinAge04)))</f>
        <v/>
      </c>
      <c r="M2491">
        <f>IF(OR('19_Расчет_аналитики'!M2463=0,4&lt;='01_Вводные'!$B$297),0,'19_Расчет_аналитики'!M2463*IF('01_Вводные'!$B$239="Да",MeanMinAge04+'19_Расчет_аналитики'!M2583*SUMIF(ThresholdAge04,"&lt;"&amp;'19_Расчет_аналитики'!M2583,WeightedRevAge04)-SUMIF(ThresholdAge04,"&lt;"&amp;'19_Расчет_аналитики'!M2583,WeightedMinAge04),MAX(CapacityAge04*'01_Вводные'!$B$218*'19_Расчет_аналитики'!M2583,MeanMinAge04)))</f>
        <v/>
      </c>
      <c r="N2491">
        <f>IF(OR('19_Расчет_аналитики'!N2463=0,4&lt;='01_Вводные'!$B$297),0,'19_Расчет_аналитики'!N2463*IF('01_Вводные'!$B$239="Да",MeanMinAge04+'19_Расчет_аналитики'!N2583*SUMIF(ThresholdAge04,"&lt;"&amp;'19_Расчет_аналитики'!N2583,WeightedRevAge04)-SUMIF(ThresholdAge04,"&lt;"&amp;'19_Расчет_аналитики'!N2583,WeightedMinAge04),MAX(CapacityAge04*'01_Вводные'!$B$218*'19_Расчет_аналитики'!N2583,MeanMinAge04)))</f>
        <v/>
      </c>
      <c r="O2491">
        <f>IF(OR('19_Расчет_аналитики'!O2463=0,4&lt;='01_Вводные'!$B$297),0,'19_Расчет_аналитики'!O2463*IF('01_Вводные'!$B$239="Да",MeanMinAge04+'19_Расчет_аналитики'!O2583*SUMIF(ThresholdAge04,"&lt;"&amp;'19_Расчет_аналитики'!O2583,WeightedRevAge04)-SUMIF(ThresholdAge04,"&lt;"&amp;'19_Расчет_аналитики'!O2583,WeightedMinAge04),MAX(CapacityAge04*'01_Вводные'!$B$218*'19_Расчет_аналитики'!O2583,MeanMinAge04)))</f>
        <v/>
      </c>
      <c r="P2491">
        <f>IF(OR('19_Расчет_аналитики'!P2463=0,4&lt;='01_Вводные'!$B$297),0,'19_Расчет_аналитики'!P2463*IF('01_Вводные'!$B$239="Да",MeanMinAge04+'19_Расчет_аналитики'!P2583*SUMIF(ThresholdAge04,"&lt;"&amp;'19_Расчет_аналитики'!P2583,WeightedRevAge04)-SUMIF(ThresholdAge04,"&lt;"&amp;'19_Расчет_аналитики'!P2583,WeightedMinAge04),MAX(CapacityAge04*'01_Вводные'!$B$218*'19_Расчет_аналитики'!P2583,MeanMinAge04)))</f>
        <v/>
      </c>
      <c r="Q2491">
        <f>IF(OR('19_Расчет_аналитики'!Q2463=0,4&lt;='01_Вводные'!$B$297),0,'19_Расчет_аналитики'!Q2463*IF('01_Вводные'!$B$239="Да",MeanMinAge04+'19_Расчет_аналитики'!Q2583*SUMIF(ThresholdAge04,"&lt;"&amp;'19_Расчет_аналитики'!Q2583,WeightedRevAge04)-SUMIF(ThresholdAge04,"&lt;"&amp;'19_Расчет_аналитики'!Q2583,WeightedMinAge04),MAX(CapacityAge04*'01_Вводные'!$B$218*'19_Расчет_аналитики'!Q2583,MeanMinAge04)))</f>
        <v/>
      </c>
      <c r="R2491">
        <f>IF(OR('19_Расчет_аналитики'!R2463=0,4&lt;='01_Вводные'!$B$297),0,'19_Расчет_аналитики'!R2463*IF('01_Вводные'!$B$239="Да",MeanMinAge04+'19_Расчет_аналитики'!R2583*SUMIF(ThresholdAge04,"&lt;"&amp;'19_Расчет_аналитики'!R2583,WeightedRevAge04)-SUMIF(ThresholdAge04,"&lt;"&amp;'19_Расчет_аналитики'!R2583,WeightedMinAge04),MAX(CapacityAge04*'01_Вводные'!$B$218*'19_Расчет_аналитики'!R2583,MeanMinAge04)))</f>
        <v/>
      </c>
      <c r="S2491">
        <f>IF(OR('19_Расчет_аналитики'!S2463=0,4&lt;='01_Вводные'!$B$297),0,'19_Расчет_аналитики'!S2463*IF('01_Вводные'!$B$239="Да",MeanMinAge04+'19_Расчет_аналитики'!S2583*SUMIF(ThresholdAge04,"&lt;"&amp;'19_Расчет_аналитики'!S2583,WeightedRevAge04)-SUMIF(ThresholdAge04,"&lt;"&amp;'19_Расчет_аналитики'!S2583,WeightedMinAge04),MAX(CapacityAge04*'01_Вводные'!$B$218*'19_Расчет_аналитики'!S2583,MeanMinAge04)))</f>
        <v/>
      </c>
      <c r="T2491">
        <f>IF(OR('19_Расчет_аналитики'!T2463=0,4&lt;='01_Вводные'!$B$297),0,'19_Расчет_аналитики'!T2463*IF('01_Вводные'!$B$239="Да",MeanMinAge04+'19_Расчет_аналитики'!T2583*SUMIF(ThresholdAge04,"&lt;"&amp;'19_Расчет_аналитики'!T2583,WeightedRevAge04)-SUMIF(ThresholdAge04,"&lt;"&amp;'19_Расчет_аналитики'!T2583,WeightedMinAge04),MAX(CapacityAge04*'01_Вводные'!$B$218*'19_Расчет_аналитики'!T2583,MeanMinAge04)))</f>
        <v/>
      </c>
      <c r="U2491">
        <f>IF(OR('19_Расчет_аналитики'!U2463=0,4&lt;='01_Вводные'!$B$297),0,'19_Расчет_аналитики'!U2463*IF('01_Вводные'!$B$239="Да",MeanMinAge04+'19_Расчет_аналитики'!U2583*SUMIF(ThresholdAge04,"&lt;"&amp;'19_Расчет_аналитики'!U2583,WeightedRevAge04)-SUMIF(ThresholdAge04,"&lt;"&amp;'19_Расчет_аналитики'!U2583,WeightedMinAge04),MAX(CapacityAge04*'01_Вводные'!$B$218*'19_Расчет_аналитики'!U2583,MeanMinAge04)))</f>
        <v/>
      </c>
      <c r="V2491">
        <f>IF(OR('19_Расчет_аналитики'!V2463=0,4&lt;='01_Вводные'!$B$297),0,'19_Расчет_аналитики'!V2463*IF('01_Вводные'!$B$239="Да",MeanMinAge04+'19_Расчет_аналитики'!V2583*SUMIF(ThresholdAge04,"&lt;"&amp;'19_Расчет_аналитики'!V2583,WeightedRevAge04)-SUMIF(ThresholdAge04,"&lt;"&amp;'19_Расчет_аналитики'!V2583,WeightedMinAge04),MAX(CapacityAge04*'01_Вводные'!$B$218*'19_Расчет_аналитики'!V2583,MeanMinAge04)))</f>
        <v/>
      </c>
      <c r="W2491">
        <f>IF(OR('19_Расчет_аналитики'!W2463=0,4&lt;='01_Вводные'!$B$297),0,'19_Расчет_аналитики'!W2463*IF('01_Вводные'!$B$239="Да",MeanMinAge04+'19_Расчет_аналитики'!W2583*SUMIF(ThresholdAge04,"&lt;"&amp;'19_Расчет_аналитики'!W2583,WeightedRevAge04)-SUMIF(ThresholdAge04,"&lt;"&amp;'19_Расчет_аналитики'!W2583,WeightedMinAge04),MAX(CapacityAge04*'01_Вводные'!$B$218*'19_Расчет_аналитики'!W2583,MeanMinAge04)))</f>
        <v/>
      </c>
      <c r="X2491">
        <f>IF(OR('19_Расчет_аналитики'!X2463=0,4&lt;='01_Вводные'!$B$297),0,'19_Расчет_аналитики'!X2463*IF('01_Вводные'!$B$239="Да",MeanMinAge04+'19_Расчет_аналитики'!X2583*SUMIF(ThresholdAge04,"&lt;"&amp;'19_Расчет_аналитики'!X2583,WeightedRevAge04)-SUMIF(ThresholdAge04,"&lt;"&amp;'19_Расчет_аналитики'!X2583,WeightedMinAge04),MAX(CapacityAge04*'01_Вводные'!$B$218*'19_Расчет_аналитики'!X2583,MeanMinAge04)))</f>
        <v/>
      </c>
      <c r="Y2491">
        <f>IF(OR('19_Расчет_аналитики'!Y2463=0,4&lt;='01_Вводные'!$B$297),0,'19_Расчет_аналитики'!Y2463*IF('01_Вводные'!$B$239="Да",MeanMinAge04+'19_Расчет_аналитики'!Y2583*SUMIF(ThresholdAge04,"&lt;"&amp;'19_Расчет_аналитики'!Y2583,WeightedRevAge04)-SUMIF(ThresholdAge04,"&lt;"&amp;'19_Расчет_аналитики'!Y2583,WeightedMinAge04),MAX(CapacityAge04*'01_Вводные'!$B$218*'19_Расчет_аналитики'!Y2583,MeanMinAge04)))</f>
        <v/>
      </c>
      <c r="Z2491">
        <f>IF(OR('19_Расчет_аналитики'!Z2463=0,4&lt;='01_Вводные'!$B$297),0,'19_Расчет_аналитики'!Z2463*IF('01_Вводные'!$B$239="Да",MeanMinAge04+'19_Расчет_аналитики'!Z2583*SUMIF(ThresholdAge04,"&lt;"&amp;'19_Расчет_аналитики'!Z2583,WeightedRevAge04)-SUMIF(ThresholdAge04,"&lt;"&amp;'19_Расчет_аналитики'!Z2583,WeightedMinAge04),MAX(CapacityAge04*'01_Вводные'!$B$218*'19_Расчет_аналитики'!Z2583,MeanMinAge04)))</f>
        <v/>
      </c>
      <c r="AA2491">
        <f>IF(OR('19_Расчет_аналитики'!AA2463=0,4&lt;='01_Вводные'!$B$297),0,'19_Расчет_аналитики'!AA2463*IF('01_Вводные'!$B$239="Да",MeanMinAge04+'19_Расчет_аналитики'!AA2583*SUMIF(ThresholdAge04,"&lt;"&amp;'19_Расчет_аналитики'!AA2583,WeightedRevAge04)-SUMIF(ThresholdAge04,"&lt;"&amp;'19_Расчет_аналитики'!AA2583,WeightedMinAge04),MAX(CapacityAge04*'01_Вводные'!$B$218*'19_Расчет_аналитики'!AA2583,MeanMinAge04)))</f>
        <v/>
      </c>
      <c r="AB2491">
        <f>IF(OR('19_Расчет_аналитики'!AB2463=0,4&lt;='01_Вводные'!$B$297),0,'19_Расчет_аналитики'!AB2463*IF('01_Вводные'!$B$239="Да",MeanMinAge04+'19_Расчет_аналитики'!AB2583*SUMIF(ThresholdAge04,"&lt;"&amp;'19_Расчет_аналитики'!AB2583,WeightedRevAge04)-SUMIF(ThresholdAge04,"&lt;"&amp;'19_Расчет_аналитики'!AB2583,WeightedMinAge04),MAX(CapacityAge04*'01_Вводные'!$B$218*'19_Расчет_аналитики'!AB2583,MeanMinAge04)))</f>
        <v/>
      </c>
      <c r="AC2491">
        <f>IF(OR('19_Расчет_аналитики'!AC2463=0,4&lt;='01_Вводные'!$B$297),0,'19_Расчет_аналитики'!AC2463*IF('01_Вводные'!$B$239="Да",MeanMinAge04+'19_Расчет_аналитики'!AC2583*SUMIF(ThresholdAge04,"&lt;"&amp;'19_Расчет_аналитики'!AC2583,WeightedRevAge04)-SUMIF(ThresholdAge04,"&lt;"&amp;'19_Расчет_аналитики'!AC2583,WeightedMinAge04),MAX(CapacityAge04*'01_Вводные'!$B$218*'19_Расчет_аналитики'!AC2583,MeanMinAge04)))</f>
        <v/>
      </c>
      <c r="AD2491">
        <f>IF(OR('19_Расчет_аналитики'!AD2463=0,4&lt;='01_Вводные'!$B$297),0,'19_Расчет_аналитики'!AD2463*IF('01_Вводные'!$B$239="Да",MeanMinAge04+'19_Расчет_аналитики'!AD2583*SUMIF(ThresholdAge04,"&lt;"&amp;'19_Расчет_аналитики'!AD2583,WeightedRevAge04)-SUMIF(ThresholdAge04,"&lt;"&amp;'19_Расчет_аналитики'!AD2583,WeightedMinAge04),MAX(CapacityAge04*'01_Вводные'!$B$218*'19_Расчет_аналитики'!AD2583,MeanMinAge04)))</f>
        <v/>
      </c>
      <c r="AE2491">
        <f>IF(OR('19_Расчет_аналитики'!AE2463=0,4&lt;='01_Вводные'!$B$297),0,'19_Расчет_аналитики'!AE2463*IF('01_Вводные'!$B$239="Да",MeanMinAge04+'19_Расчет_аналитики'!AE2583*SUMIF(ThresholdAge04,"&lt;"&amp;'19_Расчет_аналитики'!AE2583,WeightedRevAge04)-SUMIF(ThresholdAge04,"&lt;"&amp;'19_Расчет_аналитики'!AE2583,WeightedMinAge04),MAX(CapacityAge04*'01_Вводные'!$B$218*'19_Расчет_аналитики'!AE2583,MeanMinAge04)))</f>
        <v/>
      </c>
      <c r="AF2491">
        <f>IF(OR('19_Расчет_аналитики'!AF2463=0,4&lt;='01_Вводные'!$B$297),0,'19_Расчет_аналитики'!AF2463*IF('01_Вводные'!$B$239="Да",MeanMinAge04+'19_Расчет_аналитики'!AF2583*SUMIF(ThresholdAge04,"&lt;"&amp;'19_Расчет_аналитики'!AF2583,WeightedRevAge04)-SUMIF(ThresholdAge04,"&lt;"&amp;'19_Расчет_аналитики'!AF2583,WeightedMinAge04),MAX(CapacityAge04*'01_Вводные'!$B$218*'19_Расчет_аналитики'!AF2583,MeanMinAge04)))</f>
        <v/>
      </c>
      <c r="AG2491">
        <f>IF(OR('19_Расчет_аналитики'!AG2463=0,4&lt;='01_Вводные'!$B$297),0,'19_Расчет_аналитики'!AG2463*IF('01_Вводные'!$B$239="Да",MeanMinAge04+'19_Расчет_аналитики'!AG2583*SUMIF(ThresholdAge04,"&lt;"&amp;'19_Расчет_аналитики'!AG2583,WeightedRevAge04)-SUMIF(ThresholdAge04,"&lt;"&amp;'19_Расчет_аналитики'!AG2583,WeightedMinAge04),MAX(CapacityAge04*'01_Вводные'!$B$218*'19_Расчет_аналитики'!AG2583,MeanMinAge04)))</f>
        <v/>
      </c>
      <c r="AH2491">
        <f>IF(OR('19_Расчет_аналитики'!AH2463=0,4&lt;='01_Вводные'!$B$297),0,'19_Расчет_аналитики'!AH2463*IF('01_Вводные'!$B$239="Да",MeanMinAge04+'19_Расчет_аналитики'!AH2583*SUMIF(ThresholdAge04,"&lt;"&amp;'19_Расчет_аналитики'!AH2583,WeightedRevAge04)-SUMIF(ThresholdAge04,"&lt;"&amp;'19_Расчет_аналитики'!AH2583,WeightedMinAge04),MAX(CapacityAge04*'01_Вводные'!$B$218*'19_Расчет_аналитики'!AH2583,MeanMinAge04)))</f>
        <v/>
      </c>
      <c r="AI2491">
        <f>IF(OR('19_Расчет_аналитики'!AI2463=0,4&lt;='01_Вводные'!$B$297),0,'19_Расчет_аналитики'!AI2463*IF('01_Вводные'!$B$239="Да",MeanMinAge04+'19_Расчет_аналитики'!AI2583*SUMIF(ThresholdAge04,"&lt;"&amp;'19_Расчет_аналитики'!AI2583,WeightedRevAge04)-SUMIF(ThresholdAge04,"&lt;"&amp;'19_Расчет_аналитики'!AI2583,WeightedMinAge04),MAX(CapacityAge04*'01_Вводные'!$B$218*'19_Расчет_аналитики'!AI2583,MeanMinAge04)))</f>
        <v/>
      </c>
      <c r="AJ2491">
        <f>IF(OR('19_Расчет_аналитики'!AJ2463=0,4&lt;='01_Вводные'!$B$297),0,'19_Расчет_аналитики'!AJ2463*IF('01_Вводные'!$B$239="Да",MeanMinAge04+'19_Расчет_аналитики'!AJ2583*SUMIF(ThresholdAge04,"&lt;"&amp;'19_Расчет_аналитики'!AJ2583,WeightedRevAge04)-SUMIF(ThresholdAge04,"&lt;"&amp;'19_Расчет_аналитики'!AJ2583,WeightedMinAge04),MAX(CapacityAge04*'01_Вводные'!$B$218*'19_Расчет_аналитики'!AJ2583,MeanMinAge04)))</f>
        <v/>
      </c>
      <c r="AK2491">
        <f>IF(OR('19_Расчет_аналитики'!AK2463=0,4&lt;='01_Вводные'!$B$297),0,'19_Расчет_аналитики'!AK2463*IF('01_Вводные'!$B$239="Да",MeanMinAge04+'19_Расчет_аналитики'!AK2583*SUMIF(ThresholdAge04,"&lt;"&amp;'19_Расчет_аналитики'!AK2583,WeightedRevAge04)-SUMIF(ThresholdAge04,"&lt;"&amp;'19_Расчет_аналитики'!AK2583,WeightedMinAge04),MAX(CapacityAge04*'01_Вводные'!$B$218*'19_Расчет_аналитики'!AK2583,MeanMinAge04)))</f>
        <v/>
      </c>
      <c r="AL2491">
        <f>IF(OR('19_Расчет_аналитики'!AL2463=0,4&lt;='01_Вводные'!$B$297),0,'19_Расчет_аналитики'!AL2463*IF('01_Вводные'!$B$239="Да",MeanMinAge04+'19_Расчет_аналитики'!AL2583*SUMIF(ThresholdAge04,"&lt;"&amp;'19_Расчет_аналитики'!AL2583,WeightedRevAge04)-SUMIF(ThresholdAge04,"&lt;"&amp;'19_Расчет_аналитики'!AL2583,WeightedMinAge04),MAX(CapacityAge04*'01_Вводные'!$B$218*'19_Расчет_аналитики'!AL2583,MeanMinAge04)))</f>
        <v/>
      </c>
      <c r="AM2491">
        <f>IF(OR('19_Расчет_аналитики'!AM2463=0,4&lt;='01_Вводные'!$B$297),0,'19_Расчет_аналитики'!AM2463*IF('01_Вводные'!$B$239="Да",MeanMinAge04+'19_Расчет_аналитики'!AM2583*SUMIF(ThresholdAge04,"&lt;"&amp;'19_Расчет_аналитики'!AM2583,WeightedRevAge04)-SUMIF(ThresholdAge04,"&lt;"&amp;'19_Расчет_аналитики'!AM2583,WeightedMinAge04),MAX(CapacityAge04*'01_Вводные'!$B$218*'19_Расчет_аналитики'!AM2583,MeanMinAge04)))</f>
        <v/>
      </c>
      <c r="AN2491">
        <f>IF(OR('19_Расчет_аналитики'!AN2463=0,4&lt;='01_Вводные'!$B$297),0,'19_Расчет_аналитики'!AN2463*IF('01_Вводные'!$B$239="Да",MeanMinAge04+'19_Расчет_аналитики'!AN2583*SUMIF(ThresholdAge04,"&lt;"&amp;'19_Расчет_аналитики'!AN2583,WeightedRevAge04)-SUMIF(ThresholdAge04,"&lt;"&amp;'19_Расчет_аналитики'!AN2583,WeightedMinAge04),MAX(CapacityAge04*'01_Вводные'!$B$218*'19_Расчет_аналитики'!AN2583,MeanMinAge04)))</f>
        <v/>
      </c>
      <c r="AO2491">
        <f>IF(OR('19_Расчет_аналитики'!AO2463=0,4&lt;='01_Вводные'!$B$297),0,'19_Расчет_аналитики'!AO2463*IF('01_Вводные'!$B$239="Да",MeanMinAge04+'19_Расчет_аналитики'!AO2583*SUMIF(ThresholdAge04,"&lt;"&amp;'19_Расчет_аналитики'!AO2583,WeightedRevAge04)-SUMIF(ThresholdAge04,"&lt;"&amp;'19_Расчет_аналитики'!AO2583,WeightedMinAge04),MAX(CapacityAge04*'01_Вводные'!$B$218*'19_Расчет_аналитики'!AO2583,MeanMinAge04)))</f>
        <v/>
      </c>
      <c r="AP2491">
        <f>IF(OR('19_Расчет_аналитики'!AP2463=0,4&lt;='01_Вводные'!$B$297),0,'19_Расчет_аналитики'!AP2463*IF('01_Вводные'!$B$239="Да",MeanMinAge04+'19_Расчет_аналитики'!AP2583*SUMIF(ThresholdAge04,"&lt;"&amp;'19_Расчет_аналитики'!AP2583,WeightedRevAge04)-SUMIF(ThresholdAge04,"&lt;"&amp;'19_Расчет_аналитики'!AP2583,WeightedMinAge04),MAX(CapacityAge04*'01_Вводные'!$B$218*'19_Расчет_аналитики'!AP2583,MeanMinAge04)))</f>
        <v/>
      </c>
      <c r="AQ2491">
        <f>IF(OR('19_Расчет_аналитики'!AQ2463=0,4&lt;='01_Вводные'!$B$297),0,'19_Расчет_аналитики'!AQ2463*IF('01_Вводные'!$B$239="Да",MeanMinAge04+'19_Расчет_аналитики'!AQ2583*SUMIF(ThresholdAge04,"&lt;"&amp;'19_Расчет_аналитики'!AQ2583,WeightedRevAge04)-SUMIF(ThresholdAge04,"&lt;"&amp;'19_Расчет_аналитики'!AQ2583,WeightedMinAge04),MAX(CapacityAge04*'01_Вводные'!$B$218*'19_Расчет_аналитики'!AQ2583,MeanMinAge04)))</f>
        <v/>
      </c>
      <c r="AR2491">
        <f>IF(OR('19_Расчет_аналитики'!AR2463=0,4&lt;='01_Вводные'!$B$297),0,'19_Расчет_аналитики'!AR2463*IF('01_Вводные'!$B$239="Да",MeanMinAge04+'19_Расчет_аналитики'!AR2583*SUMIF(ThresholdAge04,"&lt;"&amp;'19_Расчет_аналитики'!AR2583,WeightedRevAge04)-SUMIF(ThresholdAge04,"&lt;"&amp;'19_Расчет_аналитики'!AR2583,WeightedMinAge04),MAX(CapacityAge04*'01_Вводные'!$B$218*'19_Расчет_аналитики'!AR2583,MeanMinAge04)))</f>
        <v/>
      </c>
      <c r="AS2491">
        <f>IF(OR('19_Расчет_аналитики'!AS2463=0,4&lt;='01_Вводные'!$B$297),0,'19_Расчет_аналитики'!AS2463*IF('01_Вводные'!$B$239="Да",MeanMinAge04+'19_Расчет_аналитики'!AS2583*SUMIF(ThresholdAge04,"&lt;"&amp;'19_Расчет_аналитики'!AS2583,WeightedRevAge04)-SUMIF(ThresholdAge04,"&lt;"&amp;'19_Расчет_аналитики'!AS2583,WeightedMinAge04),MAX(CapacityAge04*'01_Вводные'!$B$218*'19_Расчет_аналитики'!AS2583,MeanMinAge04)))</f>
        <v/>
      </c>
      <c r="AT2491">
        <f>IF(OR('19_Расчет_аналитики'!AT2463=0,4&lt;='01_Вводные'!$B$297),0,'19_Расчет_аналитики'!AT2463*IF('01_Вводные'!$B$239="Да",MeanMinAge04+'19_Расчет_аналитики'!AT2583*SUMIF(ThresholdAge04,"&lt;"&amp;'19_Расчет_аналитики'!AT2583,WeightedRevAge04)-SUMIF(ThresholdAge04,"&lt;"&amp;'19_Расчет_аналитики'!AT2583,WeightedMinAge04),MAX(CapacityAge04*'01_Вводные'!$B$218*'19_Расчет_аналитики'!AT2583,MeanMinAge04)))</f>
        <v/>
      </c>
      <c r="AU2491">
        <f>IF(OR('19_Расчет_аналитики'!AU2463=0,4&lt;='01_Вводные'!$B$297),0,'19_Расчет_аналитики'!AU2463*IF('01_Вводные'!$B$239="Да",MeanMinAge04+'19_Расчет_аналитики'!AU2583*SUMIF(ThresholdAge04,"&lt;"&amp;'19_Расчет_аналитики'!AU2583,WeightedRevAge04)-SUMIF(ThresholdAge04,"&lt;"&amp;'19_Расчет_аналитики'!AU2583,WeightedMinAge04),MAX(CapacityAge04*'01_Вводные'!$B$218*'19_Расчет_аналитики'!AU2583,MeanMinAge04)))</f>
        <v/>
      </c>
      <c r="AV2491">
        <f>IF(OR('19_Расчет_аналитики'!AV2463=0,4&lt;='01_Вводные'!$B$297),0,'19_Расчет_аналитики'!AV2463*IF('01_Вводные'!$B$239="Да",MeanMinAge04+'19_Расчет_аналитики'!AV2583*SUMIF(ThresholdAge04,"&lt;"&amp;'19_Расчет_аналитики'!AV2583,WeightedRevAge04)-SUMIF(ThresholdAge04,"&lt;"&amp;'19_Расчет_аналитики'!AV2583,WeightedMinAge04),MAX(CapacityAge04*'01_Вводные'!$B$218*'19_Расчет_аналитики'!AV2583,MeanMinAge04)))</f>
        <v/>
      </c>
      <c r="AW2491">
        <f>IF(OR('19_Расчет_аналитики'!AW2463=0,4&lt;='01_Вводные'!$B$297),0,'19_Расчет_аналитики'!AW2463*IF('01_Вводные'!$B$239="Да",MeanMinAge04+'19_Расчет_аналитики'!AW2583*SUMIF(ThresholdAge04,"&lt;"&amp;'19_Расчет_аналитики'!AW2583,WeightedRevAge04)-SUMIF(ThresholdAge04,"&lt;"&amp;'19_Расчет_аналитики'!AW2583,WeightedMinAge04),MAX(CapacityAge04*'01_Вводные'!$B$218*'19_Расчет_аналитики'!AW2583,MeanMinAge04)))</f>
        <v/>
      </c>
      <c r="AX2491">
        <f>IF(OR('19_Расчет_аналитики'!AX2463=0,4&lt;='01_Вводные'!$B$297),0,'19_Расчет_аналитики'!AX2463*IF('01_Вводные'!$B$239="Да",MeanMinAge04+'19_Расчет_аналитики'!AX2583*SUMIF(ThresholdAge04,"&lt;"&amp;'19_Расчет_аналитики'!AX2583,WeightedRevAge04)-SUMIF(ThresholdAge04,"&lt;"&amp;'19_Расчет_аналитики'!AX2583,WeightedMinAge04),MAX(CapacityAge04*'01_Вводные'!$B$218*'19_Расчет_аналитики'!AX2583,MeanMinAge04)))</f>
        <v/>
      </c>
      <c r="AY2491">
        <f>IF(OR('19_Расчет_аналитики'!AY2463=0,4&lt;='01_Вводные'!$B$297),0,'19_Расчет_аналитики'!AY2463*IF('01_Вводные'!$B$239="Да",MeanMinAge04+'19_Расчет_аналитики'!AY2583*SUMIF(ThresholdAge04,"&lt;"&amp;'19_Расчет_аналитики'!AY2583,WeightedRevAge04)-SUMIF(ThresholdAge04,"&lt;"&amp;'19_Расчет_аналитики'!AY2583,WeightedMinAge04),MAX(CapacityAge04*'01_Вводные'!$B$218*'19_Расчет_аналитики'!AY2583,MeanMinAge04)))</f>
        <v/>
      </c>
      <c r="AZ2491">
        <f>IF(OR('19_Расчет_аналитики'!AZ2463=0,4&lt;='01_Вводные'!$B$297),0,'19_Расчет_аналитики'!AZ2463*IF('01_Вводные'!$B$239="Да",MeanMinAge04+'19_Расчет_аналитики'!AZ2583*SUMIF(ThresholdAge04,"&lt;"&amp;'19_Расчет_аналитики'!AZ2583,WeightedRevAge04)-SUMIF(ThresholdAge04,"&lt;"&amp;'19_Расчет_аналитики'!AZ2583,WeightedMinAge04),MAX(CapacityAge04*'01_Вводные'!$B$218*'19_Расчет_аналитики'!AZ2583,MeanMinAge04)))</f>
        <v/>
      </c>
      <c r="BA2491">
        <f>IF(OR('19_Расчет_аналитики'!BA2463=0,4&lt;='01_Вводные'!$B$297),0,'19_Расчет_аналитики'!BA2463*IF('01_Вводные'!$B$239="Да",MeanMinAge04+'19_Расчет_аналитики'!BA2583*SUMIF(ThresholdAge04,"&lt;"&amp;'19_Расчет_аналитики'!BA2583,WeightedRevAge04)-SUMIF(ThresholdAge04,"&lt;"&amp;'19_Расчет_аналитики'!BA2583,WeightedMinAge04),MAX(CapacityAge04*'01_Вводные'!$B$218*'19_Расчет_аналитики'!BA2583,MeanMinAge04)))</f>
        <v/>
      </c>
      <c r="BB2491">
        <f>IF(OR('19_Расчет_аналитики'!BB2463=0,4&lt;='01_Вводные'!$B$297),0,'19_Расчет_аналитики'!BB2463*IF('01_Вводные'!$B$239="Да",MeanMinAge04+'19_Расчет_аналитики'!BB2583*SUMIF(ThresholdAge04,"&lt;"&amp;'19_Расчет_аналитики'!BB2583,WeightedRevAge04)-SUMIF(ThresholdAge04,"&lt;"&amp;'19_Расчет_аналитики'!BB2583,WeightedMinAge04),MAX(CapacityAge04*'01_Вводные'!$B$218*'19_Расчет_аналитики'!BB2583,MeanMinAge04)))</f>
        <v/>
      </c>
      <c r="BC2491">
        <f>IF(OR('19_Расчет_аналитики'!BC2463=0,4&lt;='01_Вводные'!$B$297),0,'19_Расчет_аналитики'!BC2463*IF('01_Вводные'!$B$239="Да",MeanMinAge04+'19_Расчет_аналитики'!BC2583*SUMIF(ThresholdAge04,"&lt;"&amp;'19_Расчет_аналитики'!BC2583,WeightedRevAge04)-SUMIF(ThresholdAge04,"&lt;"&amp;'19_Расчет_аналитики'!BC2583,WeightedMinAge04),MAX(CapacityAge04*'01_Вводные'!$B$218*'19_Расчет_аналитики'!BC2583,MeanMinAge04)))</f>
        <v/>
      </c>
      <c r="BD2491">
        <f>IF(OR('19_Расчет_аналитики'!BD2463=0,4&lt;='01_Вводные'!$B$297),0,'19_Расчет_аналитики'!BD2463*IF('01_Вводные'!$B$239="Да",MeanMinAge04+'19_Расчет_аналитики'!BD2583*SUMIF(ThresholdAge04,"&lt;"&amp;'19_Расчет_аналитики'!BD2583,WeightedRevAge04)-SUMIF(ThresholdAge04,"&lt;"&amp;'19_Расчет_аналитики'!BD2583,WeightedMinAge04),MAX(CapacityAge04*'01_Вводные'!$B$218*'19_Расчет_аналитики'!BD2583,MeanMinAge04)))</f>
        <v/>
      </c>
      <c r="BE2491">
        <f>IF(OR('19_Расчет_аналитики'!BE2463=0,4&lt;='01_Вводные'!$B$297),0,'19_Расчет_аналитики'!BE2463*IF('01_Вводные'!$B$239="Да",MeanMinAge04+'19_Расчет_аналитики'!BE2583*SUMIF(ThresholdAge04,"&lt;"&amp;'19_Расчет_аналитики'!BE2583,WeightedRevAge04)-SUMIF(ThresholdAge04,"&lt;"&amp;'19_Расчет_аналитики'!BE2583,WeightedMinAge04),MAX(CapacityAge04*'01_Вводные'!$B$218*'19_Расчет_аналитики'!BE2583,MeanMinAge04)))</f>
        <v/>
      </c>
      <c r="BF2491">
        <f>IF(OR('19_Расчет_аналитики'!BF2463=0,4&lt;='01_Вводные'!$B$297),0,'19_Расчет_аналитики'!BF2463*IF('01_Вводные'!$B$239="Да",MeanMinAge04+'19_Расчет_аналитики'!BF2583*SUMIF(ThresholdAge04,"&lt;"&amp;'19_Расчет_аналитики'!BF2583,WeightedRevAge04)-SUMIF(ThresholdAge04,"&lt;"&amp;'19_Расчет_аналитики'!BF2583,WeightedMinAge04),MAX(CapacityAge04*'01_Вводные'!$B$218*'19_Расчет_аналитики'!BF2583,MeanMinAge04)))</f>
        <v/>
      </c>
      <c r="BG2491">
        <f>IF(OR('19_Расчет_аналитики'!BG2463=0,4&lt;='01_Вводные'!$B$297),0,'19_Расчет_аналитики'!BG2463*IF('01_Вводные'!$B$239="Да",MeanMinAge04+'19_Расчет_аналитики'!BG2583*SUMIF(ThresholdAge04,"&lt;"&amp;'19_Расчет_аналитики'!BG2583,WeightedRevAge04)-SUMIF(ThresholdAge04,"&lt;"&amp;'19_Расчет_аналитики'!BG2583,WeightedMinAge04),MAX(CapacityAge04*'01_Вводные'!$B$218*'19_Расчет_аналитики'!BG2583,MeanMinAge04)))</f>
        <v/>
      </c>
      <c r="BH2491">
        <f>IF(OR('19_Расчет_аналитики'!BH2463=0,4&lt;='01_Вводные'!$B$297),0,'19_Расчет_аналитики'!BH2463*IF('01_Вводные'!$B$239="Да",MeanMinAge04+'19_Расчет_аналитики'!BH2583*SUMIF(ThresholdAge04,"&lt;"&amp;'19_Расчет_аналитики'!BH2583,WeightedRevAge04)-SUMIF(ThresholdAge04,"&lt;"&amp;'19_Расчет_аналитики'!BH2583,WeightedMinAge04),MAX(CapacityAge04*'01_Вводные'!$B$218*'19_Расчет_аналитики'!BH2583,MeanMinAge04)))</f>
        <v/>
      </c>
      <c r="BI2491">
        <f>IF(OR('19_Расчет_аналитики'!BI2463=0,4&lt;='01_Вводные'!$B$297),0,'19_Расчет_аналитики'!BI2463*IF('01_Вводные'!$B$239="Да",MeanMinAge04+'19_Расчет_аналитики'!BI2583*SUMIF(ThresholdAge04,"&lt;"&amp;'19_Расчет_аналитики'!BI2583,WeightedRevAge04)-SUMIF(ThresholdAge04,"&lt;"&amp;'19_Расчет_аналитики'!BI2583,WeightedMinAge04),MAX(CapacityAge04*'01_Вводные'!$B$218*'19_Расчет_аналитики'!BI2583,MeanMinAge04)))</f>
        <v/>
      </c>
      <c r="BJ2491">
        <f>IF(OR('19_Расчет_аналитики'!BJ2463=0,4&lt;='01_Вводные'!$B$297),0,'19_Расчет_аналитики'!BJ2463*IF('01_Вводные'!$B$239="Да",MeanMinAge04+'19_Расчет_аналитики'!BJ2583*SUMIF(ThresholdAge04,"&lt;"&amp;'19_Расчет_аналитики'!BJ2583,WeightedRevAge04)-SUMIF(ThresholdAge04,"&lt;"&amp;'19_Расчет_аналитики'!BJ2583,WeightedMinAge04),MAX(CapacityAge04*'01_Вводные'!$B$218*'19_Расчет_аналитики'!BJ2583,MeanMinAge04)))</f>
        <v/>
      </c>
      <c r="BK2491">
        <f>IF(OR('19_Расчет_аналитики'!BK2463=0,4&lt;='01_Вводные'!$B$297),0,'19_Расчет_аналитики'!BK2463*IF('01_Вводные'!$B$239="Да",MeanMinAge04+'19_Расчет_аналитики'!BK2583*SUMIF(ThresholdAge04,"&lt;"&amp;'19_Расчет_аналитики'!BK2583,WeightedRevAge04)-SUMIF(ThresholdAge04,"&lt;"&amp;'19_Расчет_аналитики'!BK2583,WeightedMinAge04),MAX(CapacityAge04*'01_Вводные'!$B$218*'19_Расчет_аналитики'!BK2583,MeanMinAge04)))</f>
        <v/>
      </c>
      <c r="BL2491">
        <f>IF(OR('19_Расчет_аналитики'!BL2463=0,4&lt;='01_Вводные'!$B$297),0,'19_Расчет_аналитики'!BL2463*IF('01_Вводные'!$B$239="Да",MeanMinAge04+'19_Расчет_аналитики'!BL2583*SUMIF(ThresholdAge04,"&lt;"&amp;'19_Расчет_аналитики'!BL2583,WeightedRevAge04)-SUMIF(ThresholdAge04,"&lt;"&amp;'19_Расчет_аналитики'!BL2583,WeightedMinAge04),MAX(CapacityAge04*'01_Вводные'!$B$218*'19_Расчет_аналитики'!BL2583,MeanMinAge04)))</f>
        <v/>
      </c>
      <c r="BM2491">
        <f>IF(OR('19_Расчет_аналитики'!BM2463=0,4&lt;='01_Вводные'!$B$297),0,'19_Расчет_аналитики'!BM2463*IF('01_Вводные'!$B$239="Да",MeanMinAge04+'19_Расчет_аналитики'!BM2583*SUMIF(ThresholdAge04,"&lt;"&amp;'19_Расчет_аналитики'!BM2583,WeightedRevAge04)-SUMIF(ThresholdAge04,"&lt;"&amp;'19_Расчет_аналитики'!BM2583,WeightedMinAge04),MAX(CapacityAge04*'01_Вводные'!$B$218*'19_Расчет_аналитики'!BM2583,MeanMinAge04)))</f>
        <v/>
      </c>
      <c r="BN2491">
        <f>IF(OR('19_Расчет_аналитики'!BN2463=0,4&lt;='01_Вводные'!$B$297),0,'19_Расчет_аналитики'!BN2463*IF('01_Вводные'!$B$239="Да",MeanMinAge04+'19_Расчет_аналитики'!BN2583*SUMIF(ThresholdAge04,"&lt;"&amp;'19_Расчет_аналитики'!BN2583,WeightedRevAge04)-SUMIF(ThresholdAge04,"&lt;"&amp;'19_Расчет_аналитики'!BN2583,WeightedMinAge04),MAX(CapacityAge04*'01_Вводные'!$B$218*'19_Расчет_аналитики'!BN2583,MeanMinAge04)))</f>
        <v/>
      </c>
      <c r="BO2491">
        <f>IF(OR('19_Расчет_аналитики'!BO2463=0,4&lt;='01_Вводные'!$B$297),0,'19_Расчет_аналитики'!BO2463*IF('01_Вводные'!$B$239="Да",MeanMinAge04+'19_Расчет_аналитики'!BO2583*SUMIF(ThresholdAge04,"&lt;"&amp;'19_Расчет_аналитики'!BO2583,WeightedRevAge04)-SUMIF(ThresholdAge04,"&lt;"&amp;'19_Расчет_аналитики'!BO2583,WeightedMinAge04),MAX(CapacityAge04*'01_Вводные'!$B$218*'19_Расчет_аналитики'!BO2583,MeanMinAge04)))</f>
        <v/>
      </c>
    </row>
    <row r="2492">
      <c r="B2492">
        <f>IF(OR('06_Сеть_и_дети'!B85=0,5&lt;='01_Вводные'!$B$297),0,'06_Сеть_и_дети'!B85*IF('01_Вводные'!$B$239="Да",MeanMinAge05+'19_Расчет_аналитики'!B2583*SUMIF(ThresholdAge05,"&lt;"&amp;'19_Расчет_аналитики'!B2583,WeightedRevAge05)-SUMIF(ThresholdAge05,"&lt;"&amp;'19_Расчет_аналитики'!B2583,WeightedMinAge05),MAX(CapacityAge05*'01_Вводные'!$B$218*'19_Расчет_аналитики'!B2583,MeanMinAge05)))</f>
        <v/>
      </c>
      <c r="C2492">
        <f>IF(OR('06_Сеть_и_дети'!C85=0,5&lt;='01_Вводные'!$B$297),0,'06_Сеть_и_дети'!C85*IF('01_Вводные'!$B$239="Да",MeanMinAge05+'19_Расчет_аналитики'!C2583*SUMIF(ThresholdAge05,"&lt;"&amp;'19_Расчет_аналитики'!C2583,WeightedRevAge05)-SUMIF(ThresholdAge05,"&lt;"&amp;'19_Расчет_аналитики'!C2583,WeightedMinAge05),MAX(CapacityAge05*'01_Вводные'!$B$218*'19_Расчет_аналитики'!C2583,MeanMinAge05)))</f>
        <v/>
      </c>
      <c r="D2492">
        <f>IF(OR('06_Сеть_и_дети'!D85=0,5&lt;='01_Вводные'!$B$297),0,'06_Сеть_и_дети'!D85*IF('01_Вводные'!$B$239="Да",MeanMinAge05+'19_Расчет_аналитики'!D2583*SUMIF(ThresholdAge05,"&lt;"&amp;'19_Расчет_аналитики'!D2583,WeightedRevAge05)-SUMIF(ThresholdAge05,"&lt;"&amp;'19_Расчет_аналитики'!D2583,WeightedMinAge05),MAX(CapacityAge05*'01_Вводные'!$B$218*'19_Расчет_аналитики'!D2583,MeanMinAge05)))</f>
        <v/>
      </c>
      <c r="E2492">
        <f>IF(OR('06_Сеть_и_дети'!E85=0,5&lt;='01_Вводные'!$B$297),0,'06_Сеть_и_дети'!E85*IF('01_Вводные'!$B$239="Да",MeanMinAge05+'19_Расчет_аналитики'!E2583*SUMIF(ThresholdAge05,"&lt;"&amp;'19_Расчет_аналитики'!E2583,WeightedRevAge05)-SUMIF(ThresholdAge05,"&lt;"&amp;'19_Расчет_аналитики'!E2583,WeightedMinAge05),MAX(CapacityAge05*'01_Вводные'!$B$218*'19_Расчет_аналитики'!E2583,MeanMinAge05)))</f>
        <v/>
      </c>
      <c r="F2492">
        <f>IF(OR('19_Расчет_аналитики'!F2464=0,5&lt;='01_Вводные'!$B$297),0,'19_Расчет_аналитики'!F2464*IF('01_Вводные'!$B$239="Да",MeanMinAge05+'19_Расчет_аналитики'!F2583*SUMIF(ThresholdAge05,"&lt;"&amp;'19_Расчет_аналитики'!F2583,WeightedRevAge05)-SUMIF(ThresholdAge05,"&lt;"&amp;'19_Расчет_аналитики'!F2583,WeightedMinAge05),MAX(CapacityAge05*'01_Вводные'!$B$218*'19_Расчет_аналитики'!F2583,MeanMinAge05)))</f>
        <v/>
      </c>
      <c r="G2492">
        <f>IF(OR('19_Расчет_аналитики'!G2464=0,5&lt;='01_Вводные'!$B$297),0,'19_Расчет_аналитики'!G2464*IF('01_Вводные'!$B$239="Да",MeanMinAge05+'19_Расчет_аналитики'!G2583*SUMIF(ThresholdAge05,"&lt;"&amp;'19_Расчет_аналитики'!G2583,WeightedRevAge05)-SUMIF(ThresholdAge05,"&lt;"&amp;'19_Расчет_аналитики'!G2583,WeightedMinAge05),MAX(CapacityAge05*'01_Вводные'!$B$218*'19_Расчет_аналитики'!G2583,MeanMinAge05)))</f>
        <v/>
      </c>
      <c r="H2492">
        <f>IF(OR('19_Расчет_аналитики'!H2464=0,5&lt;='01_Вводные'!$B$297),0,'19_Расчет_аналитики'!H2464*IF('01_Вводные'!$B$239="Да",MeanMinAge05+'19_Расчет_аналитики'!H2583*SUMIF(ThresholdAge05,"&lt;"&amp;'19_Расчет_аналитики'!H2583,WeightedRevAge05)-SUMIF(ThresholdAge05,"&lt;"&amp;'19_Расчет_аналитики'!H2583,WeightedMinAge05),MAX(CapacityAge05*'01_Вводные'!$B$218*'19_Расчет_аналитики'!H2583,MeanMinAge05)))</f>
        <v/>
      </c>
      <c r="I2492">
        <f>IF(OR('19_Расчет_аналитики'!I2464=0,5&lt;='01_Вводные'!$B$297),0,'19_Расчет_аналитики'!I2464*IF('01_Вводные'!$B$239="Да",MeanMinAge05+'19_Расчет_аналитики'!I2583*SUMIF(ThresholdAge05,"&lt;"&amp;'19_Расчет_аналитики'!I2583,WeightedRevAge05)-SUMIF(ThresholdAge05,"&lt;"&amp;'19_Расчет_аналитики'!I2583,WeightedMinAge05),MAX(CapacityAge05*'01_Вводные'!$B$218*'19_Расчет_аналитики'!I2583,MeanMinAge05)))</f>
        <v/>
      </c>
      <c r="J2492">
        <f>IF(OR('19_Расчет_аналитики'!J2464=0,5&lt;='01_Вводные'!$B$297),0,'19_Расчет_аналитики'!J2464*IF('01_Вводные'!$B$239="Да",MeanMinAge05+'19_Расчет_аналитики'!J2583*SUMIF(ThresholdAge05,"&lt;"&amp;'19_Расчет_аналитики'!J2583,WeightedRevAge05)-SUMIF(ThresholdAge05,"&lt;"&amp;'19_Расчет_аналитики'!J2583,WeightedMinAge05),MAX(CapacityAge05*'01_Вводные'!$B$218*'19_Расчет_аналитики'!J2583,MeanMinAge05)))</f>
        <v/>
      </c>
      <c r="K2492">
        <f>IF(OR('19_Расчет_аналитики'!K2464=0,5&lt;='01_Вводные'!$B$297),0,'19_Расчет_аналитики'!K2464*IF('01_Вводные'!$B$239="Да",MeanMinAge05+'19_Расчет_аналитики'!K2583*SUMIF(ThresholdAge05,"&lt;"&amp;'19_Расчет_аналитики'!K2583,WeightedRevAge05)-SUMIF(ThresholdAge05,"&lt;"&amp;'19_Расчет_аналитики'!K2583,WeightedMinAge05),MAX(CapacityAge05*'01_Вводные'!$B$218*'19_Расчет_аналитики'!K2583,MeanMinAge05)))</f>
        <v/>
      </c>
      <c r="L2492">
        <f>IF(OR('19_Расчет_аналитики'!L2464=0,5&lt;='01_Вводные'!$B$297),0,'19_Расчет_аналитики'!L2464*IF('01_Вводные'!$B$239="Да",MeanMinAge05+'19_Расчет_аналитики'!L2583*SUMIF(ThresholdAge05,"&lt;"&amp;'19_Расчет_аналитики'!L2583,WeightedRevAge05)-SUMIF(ThresholdAge05,"&lt;"&amp;'19_Расчет_аналитики'!L2583,WeightedMinAge05),MAX(CapacityAge05*'01_Вводные'!$B$218*'19_Расчет_аналитики'!L2583,MeanMinAge05)))</f>
        <v/>
      </c>
      <c r="M2492">
        <f>IF(OR('19_Расчет_аналитики'!M2464=0,5&lt;='01_Вводные'!$B$297),0,'19_Расчет_аналитики'!M2464*IF('01_Вводные'!$B$239="Да",MeanMinAge05+'19_Расчет_аналитики'!M2583*SUMIF(ThresholdAge05,"&lt;"&amp;'19_Расчет_аналитики'!M2583,WeightedRevAge05)-SUMIF(ThresholdAge05,"&lt;"&amp;'19_Расчет_аналитики'!M2583,WeightedMinAge05),MAX(CapacityAge05*'01_Вводные'!$B$218*'19_Расчет_аналитики'!M2583,MeanMinAge05)))</f>
        <v/>
      </c>
      <c r="N2492">
        <f>IF(OR('19_Расчет_аналитики'!N2464=0,5&lt;='01_Вводные'!$B$297),0,'19_Расчет_аналитики'!N2464*IF('01_Вводные'!$B$239="Да",MeanMinAge05+'19_Расчет_аналитики'!N2583*SUMIF(ThresholdAge05,"&lt;"&amp;'19_Расчет_аналитики'!N2583,WeightedRevAge05)-SUMIF(ThresholdAge05,"&lt;"&amp;'19_Расчет_аналитики'!N2583,WeightedMinAge05),MAX(CapacityAge05*'01_Вводные'!$B$218*'19_Расчет_аналитики'!N2583,MeanMinAge05)))</f>
        <v/>
      </c>
      <c r="O2492">
        <f>IF(OR('19_Расчет_аналитики'!O2464=0,5&lt;='01_Вводные'!$B$297),0,'19_Расчет_аналитики'!O2464*IF('01_Вводные'!$B$239="Да",MeanMinAge05+'19_Расчет_аналитики'!O2583*SUMIF(ThresholdAge05,"&lt;"&amp;'19_Расчет_аналитики'!O2583,WeightedRevAge05)-SUMIF(ThresholdAge05,"&lt;"&amp;'19_Расчет_аналитики'!O2583,WeightedMinAge05),MAX(CapacityAge05*'01_Вводные'!$B$218*'19_Расчет_аналитики'!O2583,MeanMinAge05)))</f>
        <v/>
      </c>
      <c r="P2492">
        <f>IF(OR('19_Расчет_аналитики'!P2464=0,5&lt;='01_Вводные'!$B$297),0,'19_Расчет_аналитики'!P2464*IF('01_Вводные'!$B$239="Да",MeanMinAge05+'19_Расчет_аналитики'!P2583*SUMIF(ThresholdAge05,"&lt;"&amp;'19_Расчет_аналитики'!P2583,WeightedRevAge05)-SUMIF(ThresholdAge05,"&lt;"&amp;'19_Расчет_аналитики'!P2583,WeightedMinAge05),MAX(CapacityAge05*'01_Вводные'!$B$218*'19_Расчет_аналитики'!P2583,MeanMinAge05)))</f>
        <v/>
      </c>
      <c r="Q2492">
        <f>IF(OR('19_Расчет_аналитики'!Q2464=0,5&lt;='01_Вводные'!$B$297),0,'19_Расчет_аналитики'!Q2464*IF('01_Вводные'!$B$239="Да",MeanMinAge05+'19_Расчет_аналитики'!Q2583*SUMIF(ThresholdAge05,"&lt;"&amp;'19_Расчет_аналитики'!Q2583,WeightedRevAge05)-SUMIF(ThresholdAge05,"&lt;"&amp;'19_Расчет_аналитики'!Q2583,WeightedMinAge05),MAX(CapacityAge05*'01_Вводные'!$B$218*'19_Расчет_аналитики'!Q2583,MeanMinAge05)))</f>
        <v/>
      </c>
      <c r="R2492">
        <f>IF(OR('19_Расчет_аналитики'!R2464=0,5&lt;='01_Вводные'!$B$297),0,'19_Расчет_аналитики'!R2464*IF('01_Вводные'!$B$239="Да",MeanMinAge05+'19_Расчет_аналитики'!R2583*SUMIF(ThresholdAge05,"&lt;"&amp;'19_Расчет_аналитики'!R2583,WeightedRevAge05)-SUMIF(ThresholdAge05,"&lt;"&amp;'19_Расчет_аналитики'!R2583,WeightedMinAge05),MAX(CapacityAge05*'01_Вводные'!$B$218*'19_Расчет_аналитики'!R2583,MeanMinAge05)))</f>
        <v/>
      </c>
      <c r="S2492">
        <f>IF(OR('19_Расчет_аналитики'!S2464=0,5&lt;='01_Вводные'!$B$297),0,'19_Расчет_аналитики'!S2464*IF('01_Вводные'!$B$239="Да",MeanMinAge05+'19_Расчет_аналитики'!S2583*SUMIF(ThresholdAge05,"&lt;"&amp;'19_Расчет_аналитики'!S2583,WeightedRevAge05)-SUMIF(ThresholdAge05,"&lt;"&amp;'19_Расчет_аналитики'!S2583,WeightedMinAge05),MAX(CapacityAge05*'01_Вводные'!$B$218*'19_Расчет_аналитики'!S2583,MeanMinAge05)))</f>
        <v/>
      </c>
      <c r="T2492">
        <f>IF(OR('19_Расчет_аналитики'!T2464=0,5&lt;='01_Вводные'!$B$297),0,'19_Расчет_аналитики'!T2464*IF('01_Вводные'!$B$239="Да",MeanMinAge05+'19_Расчет_аналитики'!T2583*SUMIF(ThresholdAge05,"&lt;"&amp;'19_Расчет_аналитики'!T2583,WeightedRevAge05)-SUMIF(ThresholdAge05,"&lt;"&amp;'19_Расчет_аналитики'!T2583,WeightedMinAge05),MAX(CapacityAge05*'01_Вводные'!$B$218*'19_Расчет_аналитики'!T2583,MeanMinAge05)))</f>
        <v/>
      </c>
      <c r="U2492">
        <f>IF(OR('19_Расчет_аналитики'!U2464=0,5&lt;='01_Вводные'!$B$297),0,'19_Расчет_аналитики'!U2464*IF('01_Вводные'!$B$239="Да",MeanMinAge05+'19_Расчет_аналитики'!U2583*SUMIF(ThresholdAge05,"&lt;"&amp;'19_Расчет_аналитики'!U2583,WeightedRevAge05)-SUMIF(ThresholdAge05,"&lt;"&amp;'19_Расчет_аналитики'!U2583,WeightedMinAge05),MAX(CapacityAge05*'01_Вводные'!$B$218*'19_Расчет_аналитики'!U2583,MeanMinAge05)))</f>
        <v/>
      </c>
      <c r="V2492">
        <f>IF(OR('19_Расчет_аналитики'!V2464=0,5&lt;='01_Вводные'!$B$297),0,'19_Расчет_аналитики'!V2464*IF('01_Вводные'!$B$239="Да",MeanMinAge05+'19_Расчет_аналитики'!V2583*SUMIF(ThresholdAge05,"&lt;"&amp;'19_Расчет_аналитики'!V2583,WeightedRevAge05)-SUMIF(ThresholdAge05,"&lt;"&amp;'19_Расчет_аналитики'!V2583,WeightedMinAge05),MAX(CapacityAge05*'01_Вводные'!$B$218*'19_Расчет_аналитики'!V2583,MeanMinAge05)))</f>
        <v/>
      </c>
      <c r="W2492">
        <f>IF(OR('19_Расчет_аналитики'!W2464=0,5&lt;='01_Вводные'!$B$297),0,'19_Расчет_аналитики'!W2464*IF('01_Вводные'!$B$239="Да",MeanMinAge05+'19_Расчет_аналитики'!W2583*SUMIF(ThresholdAge05,"&lt;"&amp;'19_Расчет_аналитики'!W2583,WeightedRevAge05)-SUMIF(ThresholdAge05,"&lt;"&amp;'19_Расчет_аналитики'!W2583,WeightedMinAge05),MAX(CapacityAge05*'01_Вводные'!$B$218*'19_Расчет_аналитики'!W2583,MeanMinAge05)))</f>
        <v/>
      </c>
      <c r="X2492">
        <f>IF(OR('19_Расчет_аналитики'!X2464=0,5&lt;='01_Вводные'!$B$297),0,'19_Расчет_аналитики'!X2464*IF('01_Вводные'!$B$239="Да",MeanMinAge05+'19_Расчет_аналитики'!X2583*SUMIF(ThresholdAge05,"&lt;"&amp;'19_Расчет_аналитики'!X2583,WeightedRevAge05)-SUMIF(ThresholdAge05,"&lt;"&amp;'19_Расчет_аналитики'!X2583,WeightedMinAge05),MAX(CapacityAge05*'01_Вводные'!$B$218*'19_Расчет_аналитики'!X2583,MeanMinAge05)))</f>
        <v/>
      </c>
      <c r="Y2492">
        <f>IF(OR('19_Расчет_аналитики'!Y2464=0,5&lt;='01_Вводные'!$B$297),0,'19_Расчет_аналитики'!Y2464*IF('01_Вводные'!$B$239="Да",MeanMinAge05+'19_Расчет_аналитики'!Y2583*SUMIF(ThresholdAge05,"&lt;"&amp;'19_Расчет_аналитики'!Y2583,WeightedRevAge05)-SUMIF(ThresholdAge05,"&lt;"&amp;'19_Расчет_аналитики'!Y2583,WeightedMinAge05),MAX(CapacityAge05*'01_Вводные'!$B$218*'19_Расчет_аналитики'!Y2583,MeanMinAge05)))</f>
        <v/>
      </c>
      <c r="Z2492">
        <f>IF(OR('19_Расчет_аналитики'!Z2464=0,5&lt;='01_Вводные'!$B$297),0,'19_Расчет_аналитики'!Z2464*IF('01_Вводные'!$B$239="Да",MeanMinAge05+'19_Расчет_аналитики'!Z2583*SUMIF(ThresholdAge05,"&lt;"&amp;'19_Расчет_аналитики'!Z2583,WeightedRevAge05)-SUMIF(ThresholdAge05,"&lt;"&amp;'19_Расчет_аналитики'!Z2583,WeightedMinAge05),MAX(CapacityAge05*'01_Вводные'!$B$218*'19_Расчет_аналитики'!Z2583,MeanMinAge05)))</f>
        <v/>
      </c>
      <c r="AA2492">
        <f>IF(OR('19_Расчет_аналитики'!AA2464=0,5&lt;='01_Вводные'!$B$297),0,'19_Расчет_аналитики'!AA2464*IF('01_Вводные'!$B$239="Да",MeanMinAge05+'19_Расчет_аналитики'!AA2583*SUMIF(ThresholdAge05,"&lt;"&amp;'19_Расчет_аналитики'!AA2583,WeightedRevAge05)-SUMIF(ThresholdAge05,"&lt;"&amp;'19_Расчет_аналитики'!AA2583,WeightedMinAge05),MAX(CapacityAge05*'01_Вводные'!$B$218*'19_Расчет_аналитики'!AA2583,MeanMinAge05)))</f>
        <v/>
      </c>
      <c r="AB2492">
        <f>IF(OR('19_Расчет_аналитики'!AB2464=0,5&lt;='01_Вводные'!$B$297),0,'19_Расчет_аналитики'!AB2464*IF('01_Вводные'!$B$239="Да",MeanMinAge05+'19_Расчет_аналитики'!AB2583*SUMIF(ThresholdAge05,"&lt;"&amp;'19_Расчет_аналитики'!AB2583,WeightedRevAge05)-SUMIF(ThresholdAge05,"&lt;"&amp;'19_Расчет_аналитики'!AB2583,WeightedMinAge05),MAX(CapacityAge05*'01_Вводные'!$B$218*'19_Расчет_аналитики'!AB2583,MeanMinAge05)))</f>
        <v/>
      </c>
      <c r="AC2492">
        <f>IF(OR('19_Расчет_аналитики'!AC2464=0,5&lt;='01_Вводные'!$B$297),0,'19_Расчет_аналитики'!AC2464*IF('01_Вводные'!$B$239="Да",MeanMinAge05+'19_Расчет_аналитики'!AC2583*SUMIF(ThresholdAge05,"&lt;"&amp;'19_Расчет_аналитики'!AC2583,WeightedRevAge05)-SUMIF(ThresholdAge05,"&lt;"&amp;'19_Расчет_аналитики'!AC2583,WeightedMinAge05),MAX(CapacityAge05*'01_Вводные'!$B$218*'19_Расчет_аналитики'!AC2583,MeanMinAge05)))</f>
        <v/>
      </c>
      <c r="AD2492">
        <f>IF(OR('19_Расчет_аналитики'!AD2464=0,5&lt;='01_Вводные'!$B$297),0,'19_Расчет_аналитики'!AD2464*IF('01_Вводные'!$B$239="Да",MeanMinAge05+'19_Расчет_аналитики'!AD2583*SUMIF(ThresholdAge05,"&lt;"&amp;'19_Расчет_аналитики'!AD2583,WeightedRevAge05)-SUMIF(ThresholdAge05,"&lt;"&amp;'19_Расчет_аналитики'!AD2583,WeightedMinAge05),MAX(CapacityAge05*'01_Вводные'!$B$218*'19_Расчет_аналитики'!AD2583,MeanMinAge05)))</f>
        <v/>
      </c>
      <c r="AE2492">
        <f>IF(OR('19_Расчет_аналитики'!AE2464=0,5&lt;='01_Вводные'!$B$297),0,'19_Расчет_аналитики'!AE2464*IF('01_Вводные'!$B$239="Да",MeanMinAge05+'19_Расчет_аналитики'!AE2583*SUMIF(ThresholdAge05,"&lt;"&amp;'19_Расчет_аналитики'!AE2583,WeightedRevAge05)-SUMIF(ThresholdAge05,"&lt;"&amp;'19_Расчет_аналитики'!AE2583,WeightedMinAge05),MAX(CapacityAge05*'01_Вводные'!$B$218*'19_Расчет_аналитики'!AE2583,MeanMinAge05)))</f>
        <v/>
      </c>
      <c r="AF2492">
        <f>IF(OR('19_Расчет_аналитики'!AF2464=0,5&lt;='01_Вводные'!$B$297),0,'19_Расчет_аналитики'!AF2464*IF('01_Вводные'!$B$239="Да",MeanMinAge05+'19_Расчет_аналитики'!AF2583*SUMIF(ThresholdAge05,"&lt;"&amp;'19_Расчет_аналитики'!AF2583,WeightedRevAge05)-SUMIF(ThresholdAge05,"&lt;"&amp;'19_Расчет_аналитики'!AF2583,WeightedMinAge05),MAX(CapacityAge05*'01_Вводные'!$B$218*'19_Расчет_аналитики'!AF2583,MeanMinAge05)))</f>
        <v/>
      </c>
      <c r="AG2492">
        <f>IF(OR('19_Расчет_аналитики'!AG2464=0,5&lt;='01_Вводные'!$B$297),0,'19_Расчет_аналитики'!AG2464*IF('01_Вводные'!$B$239="Да",MeanMinAge05+'19_Расчет_аналитики'!AG2583*SUMIF(ThresholdAge05,"&lt;"&amp;'19_Расчет_аналитики'!AG2583,WeightedRevAge05)-SUMIF(ThresholdAge05,"&lt;"&amp;'19_Расчет_аналитики'!AG2583,WeightedMinAge05),MAX(CapacityAge05*'01_Вводные'!$B$218*'19_Расчет_аналитики'!AG2583,MeanMinAge05)))</f>
        <v/>
      </c>
      <c r="AH2492">
        <f>IF(OR('19_Расчет_аналитики'!AH2464=0,5&lt;='01_Вводные'!$B$297),0,'19_Расчет_аналитики'!AH2464*IF('01_Вводные'!$B$239="Да",MeanMinAge05+'19_Расчет_аналитики'!AH2583*SUMIF(ThresholdAge05,"&lt;"&amp;'19_Расчет_аналитики'!AH2583,WeightedRevAge05)-SUMIF(ThresholdAge05,"&lt;"&amp;'19_Расчет_аналитики'!AH2583,WeightedMinAge05),MAX(CapacityAge05*'01_Вводные'!$B$218*'19_Расчет_аналитики'!AH2583,MeanMinAge05)))</f>
        <v/>
      </c>
      <c r="AI2492">
        <f>IF(OR('19_Расчет_аналитики'!AI2464=0,5&lt;='01_Вводные'!$B$297),0,'19_Расчет_аналитики'!AI2464*IF('01_Вводные'!$B$239="Да",MeanMinAge05+'19_Расчет_аналитики'!AI2583*SUMIF(ThresholdAge05,"&lt;"&amp;'19_Расчет_аналитики'!AI2583,WeightedRevAge05)-SUMIF(ThresholdAge05,"&lt;"&amp;'19_Расчет_аналитики'!AI2583,WeightedMinAge05),MAX(CapacityAge05*'01_Вводные'!$B$218*'19_Расчет_аналитики'!AI2583,MeanMinAge05)))</f>
        <v/>
      </c>
      <c r="AJ2492">
        <f>IF(OR('19_Расчет_аналитики'!AJ2464=0,5&lt;='01_Вводные'!$B$297),0,'19_Расчет_аналитики'!AJ2464*IF('01_Вводные'!$B$239="Да",MeanMinAge05+'19_Расчет_аналитики'!AJ2583*SUMIF(ThresholdAge05,"&lt;"&amp;'19_Расчет_аналитики'!AJ2583,WeightedRevAge05)-SUMIF(ThresholdAge05,"&lt;"&amp;'19_Расчет_аналитики'!AJ2583,WeightedMinAge05),MAX(CapacityAge05*'01_Вводные'!$B$218*'19_Расчет_аналитики'!AJ2583,MeanMinAge05)))</f>
        <v/>
      </c>
      <c r="AK2492">
        <f>IF(OR('19_Расчет_аналитики'!AK2464=0,5&lt;='01_Вводные'!$B$297),0,'19_Расчет_аналитики'!AK2464*IF('01_Вводные'!$B$239="Да",MeanMinAge05+'19_Расчет_аналитики'!AK2583*SUMIF(ThresholdAge05,"&lt;"&amp;'19_Расчет_аналитики'!AK2583,WeightedRevAge05)-SUMIF(ThresholdAge05,"&lt;"&amp;'19_Расчет_аналитики'!AK2583,WeightedMinAge05),MAX(CapacityAge05*'01_Вводные'!$B$218*'19_Расчет_аналитики'!AK2583,MeanMinAge05)))</f>
        <v/>
      </c>
      <c r="AL2492">
        <f>IF(OR('19_Расчет_аналитики'!AL2464=0,5&lt;='01_Вводные'!$B$297),0,'19_Расчет_аналитики'!AL2464*IF('01_Вводные'!$B$239="Да",MeanMinAge05+'19_Расчет_аналитики'!AL2583*SUMIF(ThresholdAge05,"&lt;"&amp;'19_Расчет_аналитики'!AL2583,WeightedRevAge05)-SUMIF(ThresholdAge05,"&lt;"&amp;'19_Расчет_аналитики'!AL2583,WeightedMinAge05),MAX(CapacityAge05*'01_Вводные'!$B$218*'19_Расчет_аналитики'!AL2583,MeanMinAge05)))</f>
        <v/>
      </c>
      <c r="AM2492">
        <f>IF(OR('19_Расчет_аналитики'!AM2464=0,5&lt;='01_Вводные'!$B$297),0,'19_Расчет_аналитики'!AM2464*IF('01_Вводные'!$B$239="Да",MeanMinAge05+'19_Расчет_аналитики'!AM2583*SUMIF(ThresholdAge05,"&lt;"&amp;'19_Расчет_аналитики'!AM2583,WeightedRevAge05)-SUMIF(ThresholdAge05,"&lt;"&amp;'19_Расчет_аналитики'!AM2583,WeightedMinAge05),MAX(CapacityAge05*'01_Вводные'!$B$218*'19_Расчет_аналитики'!AM2583,MeanMinAge05)))</f>
        <v/>
      </c>
      <c r="AN2492">
        <f>IF(OR('19_Расчет_аналитики'!AN2464=0,5&lt;='01_Вводные'!$B$297),0,'19_Расчет_аналитики'!AN2464*IF('01_Вводные'!$B$239="Да",MeanMinAge05+'19_Расчет_аналитики'!AN2583*SUMIF(ThresholdAge05,"&lt;"&amp;'19_Расчет_аналитики'!AN2583,WeightedRevAge05)-SUMIF(ThresholdAge05,"&lt;"&amp;'19_Расчет_аналитики'!AN2583,WeightedMinAge05),MAX(CapacityAge05*'01_Вводные'!$B$218*'19_Расчет_аналитики'!AN2583,MeanMinAge05)))</f>
        <v/>
      </c>
      <c r="AO2492">
        <f>IF(OR('19_Расчет_аналитики'!AO2464=0,5&lt;='01_Вводные'!$B$297),0,'19_Расчет_аналитики'!AO2464*IF('01_Вводные'!$B$239="Да",MeanMinAge05+'19_Расчет_аналитики'!AO2583*SUMIF(ThresholdAge05,"&lt;"&amp;'19_Расчет_аналитики'!AO2583,WeightedRevAge05)-SUMIF(ThresholdAge05,"&lt;"&amp;'19_Расчет_аналитики'!AO2583,WeightedMinAge05),MAX(CapacityAge05*'01_Вводные'!$B$218*'19_Расчет_аналитики'!AO2583,MeanMinAge05)))</f>
        <v/>
      </c>
      <c r="AP2492">
        <f>IF(OR('19_Расчет_аналитики'!AP2464=0,5&lt;='01_Вводные'!$B$297),0,'19_Расчет_аналитики'!AP2464*IF('01_Вводные'!$B$239="Да",MeanMinAge05+'19_Расчет_аналитики'!AP2583*SUMIF(ThresholdAge05,"&lt;"&amp;'19_Расчет_аналитики'!AP2583,WeightedRevAge05)-SUMIF(ThresholdAge05,"&lt;"&amp;'19_Расчет_аналитики'!AP2583,WeightedMinAge05),MAX(CapacityAge05*'01_Вводные'!$B$218*'19_Расчет_аналитики'!AP2583,MeanMinAge05)))</f>
        <v/>
      </c>
      <c r="AQ2492">
        <f>IF(OR('19_Расчет_аналитики'!AQ2464=0,5&lt;='01_Вводные'!$B$297),0,'19_Расчет_аналитики'!AQ2464*IF('01_Вводные'!$B$239="Да",MeanMinAge05+'19_Расчет_аналитики'!AQ2583*SUMIF(ThresholdAge05,"&lt;"&amp;'19_Расчет_аналитики'!AQ2583,WeightedRevAge05)-SUMIF(ThresholdAge05,"&lt;"&amp;'19_Расчет_аналитики'!AQ2583,WeightedMinAge05),MAX(CapacityAge05*'01_Вводные'!$B$218*'19_Расчет_аналитики'!AQ2583,MeanMinAge05)))</f>
        <v/>
      </c>
      <c r="AR2492">
        <f>IF(OR('19_Расчет_аналитики'!AR2464=0,5&lt;='01_Вводные'!$B$297),0,'19_Расчет_аналитики'!AR2464*IF('01_Вводные'!$B$239="Да",MeanMinAge05+'19_Расчет_аналитики'!AR2583*SUMIF(ThresholdAge05,"&lt;"&amp;'19_Расчет_аналитики'!AR2583,WeightedRevAge05)-SUMIF(ThresholdAge05,"&lt;"&amp;'19_Расчет_аналитики'!AR2583,WeightedMinAge05),MAX(CapacityAge05*'01_Вводные'!$B$218*'19_Расчет_аналитики'!AR2583,MeanMinAge05)))</f>
        <v/>
      </c>
      <c r="AS2492">
        <f>IF(OR('19_Расчет_аналитики'!AS2464=0,5&lt;='01_Вводные'!$B$297),0,'19_Расчет_аналитики'!AS2464*IF('01_Вводные'!$B$239="Да",MeanMinAge05+'19_Расчет_аналитики'!AS2583*SUMIF(ThresholdAge05,"&lt;"&amp;'19_Расчет_аналитики'!AS2583,WeightedRevAge05)-SUMIF(ThresholdAge05,"&lt;"&amp;'19_Расчет_аналитики'!AS2583,WeightedMinAge05),MAX(CapacityAge05*'01_Вводные'!$B$218*'19_Расчет_аналитики'!AS2583,MeanMinAge05)))</f>
        <v/>
      </c>
      <c r="AT2492">
        <f>IF(OR('19_Расчет_аналитики'!AT2464=0,5&lt;='01_Вводные'!$B$297),0,'19_Расчет_аналитики'!AT2464*IF('01_Вводные'!$B$239="Да",MeanMinAge05+'19_Расчет_аналитики'!AT2583*SUMIF(ThresholdAge05,"&lt;"&amp;'19_Расчет_аналитики'!AT2583,WeightedRevAge05)-SUMIF(ThresholdAge05,"&lt;"&amp;'19_Расчет_аналитики'!AT2583,WeightedMinAge05),MAX(CapacityAge05*'01_Вводные'!$B$218*'19_Расчет_аналитики'!AT2583,MeanMinAge05)))</f>
        <v/>
      </c>
      <c r="AU2492">
        <f>IF(OR('19_Расчет_аналитики'!AU2464=0,5&lt;='01_Вводные'!$B$297),0,'19_Расчет_аналитики'!AU2464*IF('01_Вводные'!$B$239="Да",MeanMinAge05+'19_Расчет_аналитики'!AU2583*SUMIF(ThresholdAge05,"&lt;"&amp;'19_Расчет_аналитики'!AU2583,WeightedRevAge05)-SUMIF(ThresholdAge05,"&lt;"&amp;'19_Расчет_аналитики'!AU2583,WeightedMinAge05),MAX(CapacityAge05*'01_Вводные'!$B$218*'19_Расчет_аналитики'!AU2583,MeanMinAge05)))</f>
        <v/>
      </c>
      <c r="AV2492">
        <f>IF(OR('19_Расчет_аналитики'!AV2464=0,5&lt;='01_Вводные'!$B$297),0,'19_Расчет_аналитики'!AV2464*IF('01_Вводные'!$B$239="Да",MeanMinAge05+'19_Расчет_аналитики'!AV2583*SUMIF(ThresholdAge05,"&lt;"&amp;'19_Расчет_аналитики'!AV2583,WeightedRevAge05)-SUMIF(ThresholdAge05,"&lt;"&amp;'19_Расчет_аналитики'!AV2583,WeightedMinAge05),MAX(CapacityAge05*'01_Вводные'!$B$218*'19_Расчет_аналитики'!AV2583,MeanMinAge05)))</f>
        <v/>
      </c>
      <c r="AW2492">
        <f>IF(OR('19_Расчет_аналитики'!AW2464=0,5&lt;='01_Вводные'!$B$297),0,'19_Расчет_аналитики'!AW2464*IF('01_Вводные'!$B$239="Да",MeanMinAge05+'19_Расчет_аналитики'!AW2583*SUMIF(ThresholdAge05,"&lt;"&amp;'19_Расчет_аналитики'!AW2583,WeightedRevAge05)-SUMIF(ThresholdAge05,"&lt;"&amp;'19_Расчет_аналитики'!AW2583,WeightedMinAge05),MAX(CapacityAge05*'01_Вводные'!$B$218*'19_Расчет_аналитики'!AW2583,MeanMinAge05)))</f>
        <v/>
      </c>
      <c r="AX2492">
        <f>IF(OR('19_Расчет_аналитики'!AX2464=0,5&lt;='01_Вводные'!$B$297),0,'19_Расчет_аналитики'!AX2464*IF('01_Вводные'!$B$239="Да",MeanMinAge05+'19_Расчет_аналитики'!AX2583*SUMIF(ThresholdAge05,"&lt;"&amp;'19_Расчет_аналитики'!AX2583,WeightedRevAge05)-SUMIF(ThresholdAge05,"&lt;"&amp;'19_Расчет_аналитики'!AX2583,WeightedMinAge05),MAX(CapacityAge05*'01_Вводные'!$B$218*'19_Расчет_аналитики'!AX2583,MeanMinAge05)))</f>
        <v/>
      </c>
      <c r="AY2492">
        <f>IF(OR('19_Расчет_аналитики'!AY2464=0,5&lt;='01_Вводные'!$B$297),0,'19_Расчет_аналитики'!AY2464*IF('01_Вводные'!$B$239="Да",MeanMinAge05+'19_Расчет_аналитики'!AY2583*SUMIF(ThresholdAge05,"&lt;"&amp;'19_Расчет_аналитики'!AY2583,WeightedRevAge05)-SUMIF(ThresholdAge05,"&lt;"&amp;'19_Расчет_аналитики'!AY2583,WeightedMinAge05),MAX(CapacityAge05*'01_Вводные'!$B$218*'19_Расчет_аналитики'!AY2583,MeanMinAge05)))</f>
        <v/>
      </c>
      <c r="AZ2492">
        <f>IF(OR('19_Расчет_аналитики'!AZ2464=0,5&lt;='01_Вводные'!$B$297),0,'19_Расчет_аналитики'!AZ2464*IF('01_Вводные'!$B$239="Да",MeanMinAge05+'19_Расчет_аналитики'!AZ2583*SUMIF(ThresholdAge05,"&lt;"&amp;'19_Расчет_аналитики'!AZ2583,WeightedRevAge05)-SUMIF(ThresholdAge05,"&lt;"&amp;'19_Расчет_аналитики'!AZ2583,WeightedMinAge05),MAX(CapacityAge05*'01_Вводные'!$B$218*'19_Расчет_аналитики'!AZ2583,MeanMinAge05)))</f>
        <v/>
      </c>
      <c r="BA2492">
        <f>IF(OR('19_Расчет_аналитики'!BA2464=0,5&lt;='01_Вводные'!$B$297),0,'19_Расчет_аналитики'!BA2464*IF('01_Вводные'!$B$239="Да",MeanMinAge05+'19_Расчет_аналитики'!BA2583*SUMIF(ThresholdAge05,"&lt;"&amp;'19_Расчет_аналитики'!BA2583,WeightedRevAge05)-SUMIF(ThresholdAge05,"&lt;"&amp;'19_Расчет_аналитики'!BA2583,WeightedMinAge05),MAX(CapacityAge05*'01_Вводные'!$B$218*'19_Расчет_аналитики'!BA2583,MeanMinAge05)))</f>
        <v/>
      </c>
      <c r="BB2492">
        <f>IF(OR('19_Расчет_аналитики'!BB2464=0,5&lt;='01_Вводные'!$B$297),0,'19_Расчет_аналитики'!BB2464*IF('01_Вводные'!$B$239="Да",MeanMinAge05+'19_Расчет_аналитики'!BB2583*SUMIF(ThresholdAge05,"&lt;"&amp;'19_Расчет_аналитики'!BB2583,WeightedRevAge05)-SUMIF(ThresholdAge05,"&lt;"&amp;'19_Расчет_аналитики'!BB2583,WeightedMinAge05),MAX(CapacityAge05*'01_Вводные'!$B$218*'19_Расчет_аналитики'!BB2583,MeanMinAge05)))</f>
        <v/>
      </c>
      <c r="BC2492">
        <f>IF(OR('19_Расчет_аналитики'!BC2464=0,5&lt;='01_Вводные'!$B$297),0,'19_Расчет_аналитики'!BC2464*IF('01_Вводные'!$B$239="Да",MeanMinAge05+'19_Расчет_аналитики'!BC2583*SUMIF(ThresholdAge05,"&lt;"&amp;'19_Расчет_аналитики'!BC2583,WeightedRevAge05)-SUMIF(ThresholdAge05,"&lt;"&amp;'19_Расчет_аналитики'!BC2583,WeightedMinAge05),MAX(CapacityAge05*'01_Вводные'!$B$218*'19_Расчет_аналитики'!BC2583,MeanMinAge05)))</f>
        <v/>
      </c>
      <c r="BD2492">
        <f>IF(OR('19_Расчет_аналитики'!BD2464=0,5&lt;='01_Вводные'!$B$297),0,'19_Расчет_аналитики'!BD2464*IF('01_Вводные'!$B$239="Да",MeanMinAge05+'19_Расчет_аналитики'!BD2583*SUMIF(ThresholdAge05,"&lt;"&amp;'19_Расчет_аналитики'!BD2583,WeightedRevAge05)-SUMIF(ThresholdAge05,"&lt;"&amp;'19_Расчет_аналитики'!BD2583,WeightedMinAge05),MAX(CapacityAge05*'01_Вводные'!$B$218*'19_Расчет_аналитики'!BD2583,MeanMinAge05)))</f>
        <v/>
      </c>
      <c r="BE2492">
        <f>IF(OR('19_Расчет_аналитики'!BE2464=0,5&lt;='01_Вводные'!$B$297),0,'19_Расчет_аналитики'!BE2464*IF('01_Вводные'!$B$239="Да",MeanMinAge05+'19_Расчет_аналитики'!BE2583*SUMIF(ThresholdAge05,"&lt;"&amp;'19_Расчет_аналитики'!BE2583,WeightedRevAge05)-SUMIF(ThresholdAge05,"&lt;"&amp;'19_Расчет_аналитики'!BE2583,WeightedMinAge05),MAX(CapacityAge05*'01_Вводные'!$B$218*'19_Расчет_аналитики'!BE2583,MeanMinAge05)))</f>
        <v/>
      </c>
      <c r="BF2492">
        <f>IF(OR('19_Расчет_аналитики'!BF2464=0,5&lt;='01_Вводные'!$B$297),0,'19_Расчет_аналитики'!BF2464*IF('01_Вводные'!$B$239="Да",MeanMinAge05+'19_Расчет_аналитики'!BF2583*SUMIF(ThresholdAge05,"&lt;"&amp;'19_Расчет_аналитики'!BF2583,WeightedRevAge05)-SUMIF(ThresholdAge05,"&lt;"&amp;'19_Расчет_аналитики'!BF2583,WeightedMinAge05),MAX(CapacityAge05*'01_Вводные'!$B$218*'19_Расчет_аналитики'!BF2583,MeanMinAge05)))</f>
        <v/>
      </c>
      <c r="BG2492">
        <f>IF(OR('19_Расчет_аналитики'!BG2464=0,5&lt;='01_Вводные'!$B$297),0,'19_Расчет_аналитики'!BG2464*IF('01_Вводные'!$B$239="Да",MeanMinAge05+'19_Расчет_аналитики'!BG2583*SUMIF(ThresholdAge05,"&lt;"&amp;'19_Расчет_аналитики'!BG2583,WeightedRevAge05)-SUMIF(ThresholdAge05,"&lt;"&amp;'19_Расчет_аналитики'!BG2583,WeightedMinAge05),MAX(CapacityAge05*'01_Вводные'!$B$218*'19_Расчет_аналитики'!BG2583,MeanMinAge05)))</f>
        <v/>
      </c>
      <c r="BH2492">
        <f>IF(OR('19_Расчет_аналитики'!BH2464=0,5&lt;='01_Вводные'!$B$297),0,'19_Расчет_аналитики'!BH2464*IF('01_Вводные'!$B$239="Да",MeanMinAge05+'19_Расчет_аналитики'!BH2583*SUMIF(ThresholdAge05,"&lt;"&amp;'19_Расчет_аналитики'!BH2583,WeightedRevAge05)-SUMIF(ThresholdAge05,"&lt;"&amp;'19_Расчет_аналитики'!BH2583,WeightedMinAge05),MAX(CapacityAge05*'01_Вводные'!$B$218*'19_Расчет_аналитики'!BH2583,MeanMinAge05)))</f>
        <v/>
      </c>
      <c r="BI2492">
        <f>IF(OR('19_Расчет_аналитики'!BI2464=0,5&lt;='01_Вводные'!$B$297),0,'19_Расчет_аналитики'!BI2464*IF('01_Вводные'!$B$239="Да",MeanMinAge05+'19_Расчет_аналитики'!BI2583*SUMIF(ThresholdAge05,"&lt;"&amp;'19_Расчет_аналитики'!BI2583,WeightedRevAge05)-SUMIF(ThresholdAge05,"&lt;"&amp;'19_Расчет_аналитики'!BI2583,WeightedMinAge05),MAX(CapacityAge05*'01_Вводные'!$B$218*'19_Расчет_аналитики'!BI2583,MeanMinAge05)))</f>
        <v/>
      </c>
      <c r="BJ2492">
        <f>IF(OR('19_Расчет_аналитики'!BJ2464=0,5&lt;='01_Вводные'!$B$297),0,'19_Расчет_аналитики'!BJ2464*IF('01_Вводные'!$B$239="Да",MeanMinAge05+'19_Расчет_аналитики'!BJ2583*SUMIF(ThresholdAge05,"&lt;"&amp;'19_Расчет_аналитики'!BJ2583,WeightedRevAge05)-SUMIF(ThresholdAge05,"&lt;"&amp;'19_Расчет_аналитики'!BJ2583,WeightedMinAge05),MAX(CapacityAge05*'01_Вводные'!$B$218*'19_Расчет_аналитики'!BJ2583,MeanMinAge05)))</f>
        <v/>
      </c>
      <c r="BK2492">
        <f>IF(OR('19_Расчет_аналитики'!BK2464=0,5&lt;='01_Вводные'!$B$297),0,'19_Расчет_аналитики'!BK2464*IF('01_Вводные'!$B$239="Да",MeanMinAge05+'19_Расчет_аналитики'!BK2583*SUMIF(ThresholdAge05,"&lt;"&amp;'19_Расчет_аналитики'!BK2583,WeightedRevAge05)-SUMIF(ThresholdAge05,"&lt;"&amp;'19_Расчет_аналитики'!BK2583,WeightedMinAge05),MAX(CapacityAge05*'01_Вводные'!$B$218*'19_Расчет_аналитики'!BK2583,MeanMinAge05)))</f>
        <v/>
      </c>
      <c r="BL2492">
        <f>IF(OR('19_Расчет_аналитики'!BL2464=0,5&lt;='01_Вводные'!$B$297),0,'19_Расчет_аналитики'!BL2464*IF('01_Вводные'!$B$239="Да",MeanMinAge05+'19_Расчет_аналитики'!BL2583*SUMIF(ThresholdAge05,"&lt;"&amp;'19_Расчет_аналитики'!BL2583,WeightedRevAge05)-SUMIF(ThresholdAge05,"&lt;"&amp;'19_Расчет_аналитики'!BL2583,WeightedMinAge05),MAX(CapacityAge05*'01_Вводные'!$B$218*'19_Расчет_аналитики'!BL2583,MeanMinAge05)))</f>
        <v/>
      </c>
      <c r="BM2492">
        <f>IF(OR('19_Расчет_аналитики'!BM2464=0,5&lt;='01_Вводные'!$B$297),0,'19_Расчет_аналитики'!BM2464*IF('01_Вводные'!$B$239="Да",MeanMinAge05+'19_Расчет_аналитики'!BM2583*SUMIF(ThresholdAge05,"&lt;"&amp;'19_Расчет_аналитики'!BM2583,WeightedRevAge05)-SUMIF(ThresholdAge05,"&lt;"&amp;'19_Расчет_аналитики'!BM2583,WeightedMinAge05),MAX(CapacityAge05*'01_Вводные'!$B$218*'19_Расчет_аналитики'!BM2583,MeanMinAge05)))</f>
        <v/>
      </c>
      <c r="BN2492">
        <f>IF(OR('19_Расчет_аналитики'!BN2464=0,5&lt;='01_Вводные'!$B$297),0,'19_Расчет_аналитики'!BN2464*IF('01_Вводные'!$B$239="Да",MeanMinAge05+'19_Расчет_аналитики'!BN2583*SUMIF(ThresholdAge05,"&lt;"&amp;'19_Расчет_аналитики'!BN2583,WeightedRevAge05)-SUMIF(ThresholdAge05,"&lt;"&amp;'19_Расчет_аналитики'!BN2583,WeightedMinAge05),MAX(CapacityAge05*'01_Вводные'!$B$218*'19_Расчет_аналитики'!BN2583,MeanMinAge05)))</f>
        <v/>
      </c>
      <c r="BO2492">
        <f>IF(OR('19_Расчет_аналитики'!BO2464=0,5&lt;='01_Вводные'!$B$297),0,'19_Расчет_аналитики'!BO2464*IF('01_Вводные'!$B$239="Да",MeanMinAge05+'19_Расчет_аналитики'!BO2583*SUMIF(ThresholdAge05,"&lt;"&amp;'19_Расчет_аналитики'!BO2583,WeightedRevAge05)-SUMIF(ThresholdAge05,"&lt;"&amp;'19_Расчет_аналитики'!BO2583,WeightedMinAge05),MAX(CapacityAge05*'01_Вводные'!$B$218*'19_Расчет_аналитики'!BO2583,MeanMinAge05)))</f>
        <v/>
      </c>
    </row>
    <row r="2493">
      <c r="B2493">
        <f>IF(OR('06_Сеть_и_дети'!B86=0,6&lt;='01_Вводные'!$B$297),0,'06_Сеть_и_дети'!B86*IF('01_Вводные'!$B$239="Да",MeanMinAge06+'19_Расчет_аналитики'!B2583*SUMIF(ThresholdAge06,"&lt;"&amp;'19_Расчет_аналитики'!B2583,WeightedRevAge06)-SUMIF(ThresholdAge06,"&lt;"&amp;'19_Расчет_аналитики'!B2583,WeightedMinAge06),MAX(CapacityAge06*'01_Вводные'!$B$218*'19_Расчет_аналитики'!B2583,MeanMinAge06)))</f>
        <v/>
      </c>
      <c r="C2493">
        <f>IF(OR('06_Сеть_и_дети'!C86=0,6&lt;='01_Вводные'!$B$297),0,'06_Сеть_и_дети'!C86*IF('01_Вводные'!$B$239="Да",MeanMinAge06+'19_Расчет_аналитики'!C2583*SUMIF(ThresholdAge06,"&lt;"&amp;'19_Расчет_аналитики'!C2583,WeightedRevAge06)-SUMIF(ThresholdAge06,"&lt;"&amp;'19_Расчет_аналитики'!C2583,WeightedMinAge06),MAX(CapacityAge06*'01_Вводные'!$B$218*'19_Расчет_аналитики'!C2583,MeanMinAge06)))</f>
        <v/>
      </c>
      <c r="D2493">
        <f>IF(OR('06_Сеть_и_дети'!D86=0,6&lt;='01_Вводные'!$B$297),0,'06_Сеть_и_дети'!D86*IF('01_Вводные'!$B$239="Да",MeanMinAge06+'19_Расчет_аналитики'!D2583*SUMIF(ThresholdAge06,"&lt;"&amp;'19_Расчет_аналитики'!D2583,WeightedRevAge06)-SUMIF(ThresholdAge06,"&lt;"&amp;'19_Расчет_аналитики'!D2583,WeightedMinAge06),MAX(CapacityAge06*'01_Вводные'!$B$218*'19_Расчет_аналитики'!D2583,MeanMinAge06)))</f>
        <v/>
      </c>
      <c r="E2493">
        <f>IF(OR('06_Сеть_и_дети'!E86=0,6&lt;='01_Вводные'!$B$297),0,'06_Сеть_и_дети'!E86*IF('01_Вводные'!$B$239="Да",MeanMinAge06+'19_Расчет_аналитики'!E2583*SUMIF(ThresholdAge06,"&lt;"&amp;'19_Расчет_аналитики'!E2583,WeightedRevAge06)-SUMIF(ThresholdAge06,"&lt;"&amp;'19_Расчет_аналитики'!E2583,WeightedMinAge06),MAX(CapacityAge06*'01_Вводные'!$B$218*'19_Расчет_аналитики'!E2583,MeanMinAge06)))</f>
        <v/>
      </c>
      <c r="F2493">
        <f>IF(OR('06_Сеть_и_дети'!F86=0,6&lt;='01_Вводные'!$B$297),0,'06_Сеть_и_дети'!F86*IF('01_Вводные'!$B$239="Да",MeanMinAge06+'19_Расчет_аналитики'!F2583*SUMIF(ThresholdAge06,"&lt;"&amp;'19_Расчет_аналитики'!F2583,WeightedRevAge06)-SUMIF(ThresholdAge06,"&lt;"&amp;'19_Расчет_аналитики'!F2583,WeightedMinAge06),MAX(CapacityAge06*'01_Вводные'!$B$218*'19_Расчет_аналитики'!F2583,MeanMinAge06)))</f>
        <v/>
      </c>
      <c r="G2493">
        <f>IF(OR('19_Расчет_аналитики'!G2465=0,6&lt;='01_Вводные'!$B$297),0,'19_Расчет_аналитики'!G2465*IF('01_Вводные'!$B$239="Да",MeanMinAge06+'19_Расчет_аналитики'!G2583*SUMIF(ThresholdAge06,"&lt;"&amp;'19_Расчет_аналитики'!G2583,WeightedRevAge06)-SUMIF(ThresholdAge06,"&lt;"&amp;'19_Расчет_аналитики'!G2583,WeightedMinAge06),MAX(CapacityAge06*'01_Вводные'!$B$218*'19_Расчет_аналитики'!G2583,MeanMinAge06)))</f>
        <v/>
      </c>
      <c r="H2493">
        <f>IF(OR('19_Расчет_аналитики'!H2465=0,6&lt;='01_Вводные'!$B$297),0,'19_Расчет_аналитики'!H2465*IF('01_Вводные'!$B$239="Да",MeanMinAge06+'19_Расчет_аналитики'!H2583*SUMIF(ThresholdAge06,"&lt;"&amp;'19_Расчет_аналитики'!H2583,WeightedRevAge06)-SUMIF(ThresholdAge06,"&lt;"&amp;'19_Расчет_аналитики'!H2583,WeightedMinAge06),MAX(CapacityAge06*'01_Вводные'!$B$218*'19_Расчет_аналитики'!H2583,MeanMinAge06)))</f>
        <v/>
      </c>
      <c r="I2493">
        <f>IF(OR('19_Расчет_аналитики'!I2465=0,6&lt;='01_Вводные'!$B$297),0,'19_Расчет_аналитики'!I2465*IF('01_Вводные'!$B$239="Да",MeanMinAge06+'19_Расчет_аналитики'!I2583*SUMIF(ThresholdAge06,"&lt;"&amp;'19_Расчет_аналитики'!I2583,WeightedRevAge06)-SUMIF(ThresholdAge06,"&lt;"&amp;'19_Расчет_аналитики'!I2583,WeightedMinAge06),MAX(CapacityAge06*'01_Вводные'!$B$218*'19_Расчет_аналитики'!I2583,MeanMinAge06)))</f>
        <v/>
      </c>
      <c r="J2493">
        <f>IF(OR('19_Расчет_аналитики'!J2465=0,6&lt;='01_Вводные'!$B$297),0,'19_Расчет_аналитики'!J2465*IF('01_Вводные'!$B$239="Да",MeanMinAge06+'19_Расчет_аналитики'!J2583*SUMIF(ThresholdAge06,"&lt;"&amp;'19_Расчет_аналитики'!J2583,WeightedRevAge06)-SUMIF(ThresholdAge06,"&lt;"&amp;'19_Расчет_аналитики'!J2583,WeightedMinAge06),MAX(CapacityAge06*'01_Вводные'!$B$218*'19_Расчет_аналитики'!J2583,MeanMinAge06)))</f>
        <v/>
      </c>
      <c r="K2493">
        <f>IF(OR('19_Расчет_аналитики'!K2465=0,6&lt;='01_Вводные'!$B$297),0,'19_Расчет_аналитики'!K2465*IF('01_Вводные'!$B$239="Да",MeanMinAge06+'19_Расчет_аналитики'!K2583*SUMIF(ThresholdAge06,"&lt;"&amp;'19_Расчет_аналитики'!K2583,WeightedRevAge06)-SUMIF(ThresholdAge06,"&lt;"&amp;'19_Расчет_аналитики'!K2583,WeightedMinAge06),MAX(CapacityAge06*'01_Вводные'!$B$218*'19_Расчет_аналитики'!K2583,MeanMinAge06)))</f>
        <v/>
      </c>
      <c r="L2493">
        <f>IF(OR('19_Расчет_аналитики'!L2465=0,6&lt;='01_Вводные'!$B$297),0,'19_Расчет_аналитики'!L2465*IF('01_Вводные'!$B$239="Да",MeanMinAge06+'19_Расчет_аналитики'!L2583*SUMIF(ThresholdAge06,"&lt;"&amp;'19_Расчет_аналитики'!L2583,WeightedRevAge06)-SUMIF(ThresholdAge06,"&lt;"&amp;'19_Расчет_аналитики'!L2583,WeightedMinAge06),MAX(CapacityAge06*'01_Вводные'!$B$218*'19_Расчет_аналитики'!L2583,MeanMinAge06)))</f>
        <v/>
      </c>
      <c r="M2493">
        <f>IF(OR('19_Расчет_аналитики'!M2465=0,6&lt;='01_Вводные'!$B$297),0,'19_Расчет_аналитики'!M2465*IF('01_Вводные'!$B$239="Да",MeanMinAge06+'19_Расчет_аналитики'!M2583*SUMIF(ThresholdAge06,"&lt;"&amp;'19_Расчет_аналитики'!M2583,WeightedRevAge06)-SUMIF(ThresholdAge06,"&lt;"&amp;'19_Расчет_аналитики'!M2583,WeightedMinAge06),MAX(CapacityAge06*'01_Вводные'!$B$218*'19_Расчет_аналитики'!M2583,MeanMinAge06)))</f>
        <v/>
      </c>
      <c r="N2493">
        <f>IF(OR('19_Расчет_аналитики'!N2465=0,6&lt;='01_Вводные'!$B$297),0,'19_Расчет_аналитики'!N2465*IF('01_Вводные'!$B$239="Да",MeanMinAge06+'19_Расчет_аналитики'!N2583*SUMIF(ThresholdAge06,"&lt;"&amp;'19_Расчет_аналитики'!N2583,WeightedRevAge06)-SUMIF(ThresholdAge06,"&lt;"&amp;'19_Расчет_аналитики'!N2583,WeightedMinAge06),MAX(CapacityAge06*'01_Вводные'!$B$218*'19_Расчет_аналитики'!N2583,MeanMinAge06)))</f>
        <v/>
      </c>
      <c r="O2493">
        <f>IF(OR('19_Расчет_аналитики'!O2465=0,6&lt;='01_Вводные'!$B$297),0,'19_Расчет_аналитики'!O2465*IF('01_Вводные'!$B$239="Да",MeanMinAge06+'19_Расчет_аналитики'!O2583*SUMIF(ThresholdAge06,"&lt;"&amp;'19_Расчет_аналитики'!O2583,WeightedRevAge06)-SUMIF(ThresholdAge06,"&lt;"&amp;'19_Расчет_аналитики'!O2583,WeightedMinAge06),MAX(CapacityAge06*'01_Вводные'!$B$218*'19_Расчет_аналитики'!O2583,MeanMinAge06)))</f>
        <v/>
      </c>
      <c r="P2493">
        <f>IF(OR('19_Расчет_аналитики'!P2465=0,6&lt;='01_Вводные'!$B$297),0,'19_Расчет_аналитики'!P2465*IF('01_Вводные'!$B$239="Да",MeanMinAge06+'19_Расчет_аналитики'!P2583*SUMIF(ThresholdAge06,"&lt;"&amp;'19_Расчет_аналитики'!P2583,WeightedRevAge06)-SUMIF(ThresholdAge06,"&lt;"&amp;'19_Расчет_аналитики'!P2583,WeightedMinAge06),MAX(CapacityAge06*'01_Вводные'!$B$218*'19_Расчет_аналитики'!P2583,MeanMinAge06)))</f>
        <v/>
      </c>
      <c r="Q2493">
        <f>IF(OR('19_Расчет_аналитики'!Q2465=0,6&lt;='01_Вводные'!$B$297),0,'19_Расчет_аналитики'!Q2465*IF('01_Вводные'!$B$239="Да",MeanMinAge06+'19_Расчет_аналитики'!Q2583*SUMIF(ThresholdAge06,"&lt;"&amp;'19_Расчет_аналитики'!Q2583,WeightedRevAge06)-SUMIF(ThresholdAge06,"&lt;"&amp;'19_Расчет_аналитики'!Q2583,WeightedMinAge06),MAX(CapacityAge06*'01_Вводные'!$B$218*'19_Расчет_аналитики'!Q2583,MeanMinAge06)))</f>
        <v/>
      </c>
      <c r="R2493">
        <f>IF(OR('19_Расчет_аналитики'!R2465=0,6&lt;='01_Вводные'!$B$297),0,'19_Расчет_аналитики'!R2465*IF('01_Вводные'!$B$239="Да",MeanMinAge06+'19_Расчет_аналитики'!R2583*SUMIF(ThresholdAge06,"&lt;"&amp;'19_Расчет_аналитики'!R2583,WeightedRevAge06)-SUMIF(ThresholdAge06,"&lt;"&amp;'19_Расчет_аналитики'!R2583,WeightedMinAge06),MAX(CapacityAge06*'01_Вводные'!$B$218*'19_Расчет_аналитики'!R2583,MeanMinAge06)))</f>
        <v/>
      </c>
      <c r="S2493">
        <f>IF(OR('19_Расчет_аналитики'!S2465=0,6&lt;='01_Вводные'!$B$297),0,'19_Расчет_аналитики'!S2465*IF('01_Вводные'!$B$239="Да",MeanMinAge06+'19_Расчет_аналитики'!S2583*SUMIF(ThresholdAge06,"&lt;"&amp;'19_Расчет_аналитики'!S2583,WeightedRevAge06)-SUMIF(ThresholdAge06,"&lt;"&amp;'19_Расчет_аналитики'!S2583,WeightedMinAge06),MAX(CapacityAge06*'01_Вводные'!$B$218*'19_Расчет_аналитики'!S2583,MeanMinAge06)))</f>
        <v/>
      </c>
      <c r="T2493">
        <f>IF(OR('19_Расчет_аналитики'!T2465=0,6&lt;='01_Вводные'!$B$297),0,'19_Расчет_аналитики'!T2465*IF('01_Вводные'!$B$239="Да",MeanMinAge06+'19_Расчет_аналитики'!T2583*SUMIF(ThresholdAge06,"&lt;"&amp;'19_Расчет_аналитики'!T2583,WeightedRevAge06)-SUMIF(ThresholdAge06,"&lt;"&amp;'19_Расчет_аналитики'!T2583,WeightedMinAge06),MAX(CapacityAge06*'01_Вводные'!$B$218*'19_Расчет_аналитики'!T2583,MeanMinAge06)))</f>
        <v/>
      </c>
      <c r="U2493">
        <f>IF(OR('19_Расчет_аналитики'!U2465=0,6&lt;='01_Вводные'!$B$297),0,'19_Расчет_аналитики'!U2465*IF('01_Вводные'!$B$239="Да",MeanMinAge06+'19_Расчет_аналитики'!U2583*SUMIF(ThresholdAge06,"&lt;"&amp;'19_Расчет_аналитики'!U2583,WeightedRevAge06)-SUMIF(ThresholdAge06,"&lt;"&amp;'19_Расчет_аналитики'!U2583,WeightedMinAge06),MAX(CapacityAge06*'01_Вводные'!$B$218*'19_Расчет_аналитики'!U2583,MeanMinAge06)))</f>
        <v/>
      </c>
      <c r="V2493">
        <f>IF(OR('19_Расчет_аналитики'!V2465=0,6&lt;='01_Вводные'!$B$297),0,'19_Расчет_аналитики'!V2465*IF('01_Вводные'!$B$239="Да",MeanMinAge06+'19_Расчет_аналитики'!V2583*SUMIF(ThresholdAge06,"&lt;"&amp;'19_Расчет_аналитики'!V2583,WeightedRevAge06)-SUMIF(ThresholdAge06,"&lt;"&amp;'19_Расчет_аналитики'!V2583,WeightedMinAge06),MAX(CapacityAge06*'01_Вводные'!$B$218*'19_Расчет_аналитики'!V2583,MeanMinAge06)))</f>
        <v/>
      </c>
      <c r="W2493">
        <f>IF(OR('19_Расчет_аналитики'!W2465=0,6&lt;='01_Вводные'!$B$297),0,'19_Расчет_аналитики'!W2465*IF('01_Вводные'!$B$239="Да",MeanMinAge06+'19_Расчет_аналитики'!W2583*SUMIF(ThresholdAge06,"&lt;"&amp;'19_Расчет_аналитики'!W2583,WeightedRevAge06)-SUMIF(ThresholdAge06,"&lt;"&amp;'19_Расчет_аналитики'!W2583,WeightedMinAge06),MAX(CapacityAge06*'01_Вводные'!$B$218*'19_Расчет_аналитики'!W2583,MeanMinAge06)))</f>
        <v/>
      </c>
      <c r="X2493">
        <f>IF(OR('19_Расчет_аналитики'!X2465=0,6&lt;='01_Вводные'!$B$297),0,'19_Расчет_аналитики'!X2465*IF('01_Вводные'!$B$239="Да",MeanMinAge06+'19_Расчет_аналитики'!X2583*SUMIF(ThresholdAge06,"&lt;"&amp;'19_Расчет_аналитики'!X2583,WeightedRevAge06)-SUMIF(ThresholdAge06,"&lt;"&amp;'19_Расчет_аналитики'!X2583,WeightedMinAge06),MAX(CapacityAge06*'01_Вводные'!$B$218*'19_Расчет_аналитики'!X2583,MeanMinAge06)))</f>
        <v/>
      </c>
      <c r="Y2493">
        <f>IF(OR('19_Расчет_аналитики'!Y2465=0,6&lt;='01_Вводные'!$B$297),0,'19_Расчет_аналитики'!Y2465*IF('01_Вводные'!$B$239="Да",MeanMinAge06+'19_Расчет_аналитики'!Y2583*SUMIF(ThresholdAge06,"&lt;"&amp;'19_Расчет_аналитики'!Y2583,WeightedRevAge06)-SUMIF(ThresholdAge06,"&lt;"&amp;'19_Расчет_аналитики'!Y2583,WeightedMinAge06),MAX(CapacityAge06*'01_Вводные'!$B$218*'19_Расчет_аналитики'!Y2583,MeanMinAge06)))</f>
        <v/>
      </c>
      <c r="Z2493">
        <f>IF(OR('19_Расчет_аналитики'!Z2465=0,6&lt;='01_Вводные'!$B$297),0,'19_Расчет_аналитики'!Z2465*IF('01_Вводные'!$B$239="Да",MeanMinAge06+'19_Расчет_аналитики'!Z2583*SUMIF(ThresholdAge06,"&lt;"&amp;'19_Расчет_аналитики'!Z2583,WeightedRevAge06)-SUMIF(ThresholdAge06,"&lt;"&amp;'19_Расчет_аналитики'!Z2583,WeightedMinAge06),MAX(CapacityAge06*'01_Вводные'!$B$218*'19_Расчет_аналитики'!Z2583,MeanMinAge06)))</f>
        <v/>
      </c>
      <c r="AA2493">
        <f>IF(OR('19_Расчет_аналитики'!AA2465=0,6&lt;='01_Вводные'!$B$297),0,'19_Расчет_аналитики'!AA2465*IF('01_Вводные'!$B$239="Да",MeanMinAge06+'19_Расчет_аналитики'!AA2583*SUMIF(ThresholdAge06,"&lt;"&amp;'19_Расчет_аналитики'!AA2583,WeightedRevAge06)-SUMIF(ThresholdAge06,"&lt;"&amp;'19_Расчет_аналитики'!AA2583,WeightedMinAge06),MAX(CapacityAge06*'01_Вводные'!$B$218*'19_Расчет_аналитики'!AA2583,MeanMinAge06)))</f>
        <v/>
      </c>
      <c r="AB2493">
        <f>IF(OR('19_Расчет_аналитики'!AB2465=0,6&lt;='01_Вводные'!$B$297),0,'19_Расчет_аналитики'!AB2465*IF('01_Вводные'!$B$239="Да",MeanMinAge06+'19_Расчет_аналитики'!AB2583*SUMIF(ThresholdAge06,"&lt;"&amp;'19_Расчет_аналитики'!AB2583,WeightedRevAge06)-SUMIF(ThresholdAge06,"&lt;"&amp;'19_Расчет_аналитики'!AB2583,WeightedMinAge06),MAX(CapacityAge06*'01_Вводные'!$B$218*'19_Расчет_аналитики'!AB2583,MeanMinAge06)))</f>
        <v/>
      </c>
      <c r="AC2493">
        <f>IF(OR('19_Расчет_аналитики'!AC2465=0,6&lt;='01_Вводные'!$B$297),0,'19_Расчет_аналитики'!AC2465*IF('01_Вводные'!$B$239="Да",MeanMinAge06+'19_Расчет_аналитики'!AC2583*SUMIF(ThresholdAge06,"&lt;"&amp;'19_Расчет_аналитики'!AC2583,WeightedRevAge06)-SUMIF(ThresholdAge06,"&lt;"&amp;'19_Расчет_аналитики'!AC2583,WeightedMinAge06),MAX(CapacityAge06*'01_Вводные'!$B$218*'19_Расчет_аналитики'!AC2583,MeanMinAge06)))</f>
        <v/>
      </c>
      <c r="AD2493">
        <f>IF(OR('19_Расчет_аналитики'!AD2465=0,6&lt;='01_Вводные'!$B$297),0,'19_Расчет_аналитики'!AD2465*IF('01_Вводные'!$B$239="Да",MeanMinAge06+'19_Расчет_аналитики'!AD2583*SUMIF(ThresholdAge06,"&lt;"&amp;'19_Расчет_аналитики'!AD2583,WeightedRevAge06)-SUMIF(ThresholdAge06,"&lt;"&amp;'19_Расчет_аналитики'!AD2583,WeightedMinAge06),MAX(CapacityAge06*'01_Вводные'!$B$218*'19_Расчет_аналитики'!AD2583,MeanMinAge06)))</f>
        <v/>
      </c>
      <c r="AE2493">
        <f>IF(OR('19_Расчет_аналитики'!AE2465=0,6&lt;='01_Вводные'!$B$297),0,'19_Расчет_аналитики'!AE2465*IF('01_Вводные'!$B$239="Да",MeanMinAge06+'19_Расчет_аналитики'!AE2583*SUMIF(ThresholdAge06,"&lt;"&amp;'19_Расчет_аналитики'!AE2583,WeightedRevAge06)-SUMIF(ThresholdAge06,"&lt;"&amp;'19_Расчет_аналитики'!AE2583,WeightedMinAge06),MAX(CapacityAge06*'01_Вводные'!$B$218*'19_Расчет_аналитики'!AE2583,MeanMinAge06)))</f>
        <v/>
      </c>
      <c r="AF2493">
        <f>IF(OR('19_Расчет_аналитики'!AF2465=0,6&lt;='01_Вводные'!$B$297),0,'19_Расчет_аналитики'!AF2465*IF('01_Вводные'!$B$239="Да",MeanMinAge06+'19_Расчет_аналитики'!AF2583*SUMIF(ThresholdAge06,"&lt;"&amp;'19_Расчет_аналитики'!AF2583,WeightedRevAge06)-SUMIF(ThresholdAge06,"&lt;"&amp;'19_Расчет_аналитики'!AF2583,WeightedMinAge06),MAX(CapacityAge06*'01_Вводные'!$B$218*'19_Расчет_аналитики'!AF2583,MeanMinAge06)))</f>
        <v/>
      </c>
      <c r="AG2493">
        <f>IF(OR('19_Расчет_аналитики'!AG2465=0,6&lt;='01_Вводные'!$B$297),0,'19_Расчет_аналитики'!AG2465*IF('01_Вводные'!$B$239="Да",MeanMinAge06+'19_Расчет_аналитики'!AG2583*SUMIF(ThresholdAge06,"&lt;"&amp;'19_Расчет_аналитики'!AG2583,WeightedRevAge06)-SUMIF(ThresholdAge06,"&lt;"&amp;'19_Расчет_аналитики'!AG2583,WeightedMinAge06),MAX(CapacityAge06*'01_Вводные'!$B$218*'19_Расчет_аналитики'!AG2583,MeanMinAge06)))</f>
        <v/>
      </c>
      <c r="AH2493">
        <f>IF(OR('19_Расчет_аналитики'!AH2465=0,6&lt;='01_Вводные'!$B$297),0,'19_Расчет_аналитики'!AH2465*IF('01_Вводные'!$B$239="Да",MeanMinAge06+'19_Расчет_аналитики'!AH2583*SUMIF(ThresholdAge06,"&lt;"&amp;'19_Расчет_аналитики'!AH2583,WeightedRevAge06)-SUMIF(ThresholdAge06,"&lt;"&amp;'19_Расчет_аналитики'!AH2583,WeightedMinAge06),MAX(CapacityAge06*'01_Вводные'!$B$218*'19_Расчет_аналитики'!AH2583,MeanMinAge06)))</f>
        <v/>
      </c>
      <c r="AI2493">
        <f>IF(OR('19_Расчет_аналитики'!AI2465=0,6&lt;='01_Вводные'!$B$297),0,'19_Расчет_аналитики'!AI2465*IF('01_Вводные'!$B$239="Да",MeanMinAge06+'19_Расчет_аналитики'!AI2583*SUMIF(ThresholdAge06,"&lt;"&amp;'19_Расчет_аналитики'!AI2583,WeightedRevAge06)-SUMIF(ThresholdAge06,"&lt;"&amp;'19_Расчет_аналитики'!AI2583,WeightedMinAge06),MAX(CapacityAge06*'01_Вводные'!$B$218*'19_Расчет_аналитики'!AI2583,MeanMinAge06)))</f>
        <v/>
      </c>
      <c r="AJ2493">
        <f>IF(OR('19_Расчет_аналитики'!AJ2465=0,6&lt;='01_Вводные'!$B$297),0,'19_Расчет_аналитики'!AJ2465*IF('01_Вводные'!$B$239="Да",MeanMinAge06+'19_Расчет_аналитики'!AJ2583*SUMIF(ThresholdAge06,"&lt;"&amp;'19_Расчет_аналитики'!AJ2583,WeightedRevAge06)-SUMIF(ThresholdAge06,"&lt;"&amp;'19_Расчет_аналитики'!AJ2583,WeightedMinAge06),MAX(CapacityAge06*'01_Вводные'!$B$218*'19_Расчет_аналитики'!AJ2583,MeanMinAge06)))</f>
        <v/>
      </c>
      <c r="AK2493">
        <f>IF(OR('19_Расчет_аналитики'!AK2465=0,6&lt;='01_Вводные'!$B$297),0,'19_Расчет_аналитики'!AK2465*IF('01_Вводные'!$B$239="Да",MeanMinAge06+'19_Расчет_аналитики'!AK2583*SUMIF(ThresholdAge06,"&lt;"&amp;'19_Расчет_аналитики'!AK2583,WeightedRevAge06)-SUMIF(ThresholdAge06,"&lt;"&amp;'19_Расчет_аналитики'!AK2583,WeightedMinAge06),MAX(CapacityAge06*'01_Вводные'!$B$218*'19_Расчет_аналитики'!AK2583,MeanMinAge06)))</f>
        <v/>
      </c>
      <c r="AL2493">
        <f>IF(OR('19_Расчет_аналитики'!AL2465=0,6&lt;='01_Вводные'!$B$297),0,'19_Расчет_аналитики'!AL2465*IF('01_Вводные'!$B$239="Да",MeanMinAge06+'19_Расчет_аналитики'!AL2583*SUMIF(ThresholdAge06,"&lt;"&amp;'19_Расчет_аналитики'!AL2583,WeightedRevAge06)-SUMIF(ThresholdAge06,"&lt;"&amp;'19_Расчет_аналитики'!AL2583,WeightedMinAge06),MAX(CapacityAge06*'01_Вводные'!$B$218*'19_Расчет_аналитики'!AL2583,MeanMinAge06)))</f>
        <v/>
      </c>
      <c r="AM2493">
        <f>IF(OR('19_Расчет_аналитики'!AM2465=0,6&lt;='01_Вводные'!$B$297),0,'19_Расчет_аналитики'!AM2465*IF('01_Вводные'!$B$239="Да",MeanMinAge06+'19_Расчет_аналитики'!AM2583*SUMIF(ThresholdAge06,"&lt;"&amp;'19_Расчет_аналитики'!AM2583,WeightedRevAge06)-SUMIF(ThresholdAge06,"&lt;"&amp;'19_Расчет_аналитики'!AM2583,WeightedMinAge06),MAX(CapacityAge06*'01_Вводные'!$B$218*'19_Расчет_аналитики'!AM2583,MeanMinAge06)))</f>
        <v/>
      </c>
      <c r="AN2493">
        <f>IF(OR('19_Расчет_аналитики'!AN2465=0,6&lt;='01_Вводные'!$B$297),0,'19_Расчет_аналитики'!AN2465*IF('01_Вводные'!$B$239="Да",MeanMinAge06+'19_Расчет_аналитики'!AN2583*SUMIF(ThresholdAge06,"&lt;"&amp;'19_Расчет_аналитики'!AN2583,WeightedRevAge06)-SUMIF(ThresholdAge06,"&lt;"&amp;'19_Расчет_аналитики'!AN2583,WeightedMinAge06),MAX(CapacityAge06*'01_Вводные'!$B$218*'19_Расчет_аналитики'!AN2583,MeanMinAge06)))</f>
        <v/>
      </c>
      <c r="AO2493">
        <f>IF(OR('19_Расчет_аналитики'!AO2465=0,6&lt;='01_Вводные'!$B$297),0,'19_Расчет_аналитики'!AO2465*IF('01_Вводные'!$B$239="Да",MeanMinAge06+'19_Расчет_аналитики'!AO2583*SUMIF(ThresholdAge06,"&lt;"&amp;'19_Расчет_аналитики'!AO2583,WeightedRevAge06)-SUMIF(ThresholdAge06,"&lt;"&amp;'19_Расчет_аналитики'!AO2583,WeightedMinAge06),MAX(CapacityAge06*'01_Вводные'!$B$218*'19_Расчет_аналитики'!AO2583,MeanMinAge06)))</f>
        <v/>
      </c>
      <c r="AP2493">
        <f>IF(OR('19_Расчет_аналитики'!AP2465=0,6&lt;='01_Вводные'!$B$297),0,'19_Расчет_аналитики'!AP2465*IF('01_Вводные'!$B$239="Да",MeanMinAge06+'19_Расчет_аналитики'!AP2583*SUMIF(ThresholdAge06,"&lt;"&amp;'19_Расчет_аналитики'!AP2583,WeightedRevAge06)-SUMIF(ThresholdAge06,"&lt;"&amp;'19_Расчет_аналитики'!AP2583,WeightedMinAge06),MAX(CapacityAge06*'01_Вводные'!$B$218*'19_Расчет_аналитики'!AP2583,MeanMinAge06)))</f>
        <v/>
      </c>
      <c r="AQ2493">
        <f>IF(OR('19_Расчет_аналитики'!AQ2465=0,6&lt;='01_Вводные'!$B$297),0,'19_Расчет_аналитики'!AQ2465*IF('01_Вводные'!$B$239="Да",MeanMinAge06+'19_Расчет_аналитики'!AQ2583*SUMIF(ThresholdAge06,"&lt;"&amp;'19_Расчет_аналитики'!AQ2583,WeightedRevAge06)-SUMIF(ThresholdAge06,"&lt;"&amp;'19_Расчет_аналитики'!AQ2583,WeightedMinAge06),MAX(CapacityAge06*'01_Вводные'!$B$218*'19_Расчет_аналитики'!AQ2583,MeanMinAge06)))</f>
        <v/>
      </c>
      <c r="AR2493">
        <f>IF(OR('19_Расчет_аналитики'!AR2465=0,6&lt;='01_Вводные'!$B$297),0,'19_Расчет_аналитики'!AR2465*IF('01_Вводные'!$B$239="Да",MeanMinAge06+'19_Расчет_аналитики'!AR2583*SUMIF(ThresholdAge06,"&lt;"&amp;'19_Расчет_аналитики'!AR2583,WeightedRevAge06)-SUMIF(ThresholdAge06,"&lt;"&amp;'19_Расчет_аналитики'!AR2583,WeightedMinAge06),MAX(CapacityAge06*'01_Вводные'!$B$218*'19_Расчет_аналитики'!AR2583,MeanMinAge06)))</f>
        <v/>
      </c>
      <c r="AS2493">
        <f>IF(OR('19_Расчет_аналитики'!AS2465=0,6&lt;='01_Вводные'!$B$297),0,'19_Расчет_аналитики'!AS2465*IF('01_Вводные'!$B$239="Да",MeanMinAge06+'19_Расчет_аналитики'!AS2583*SUMIF(ThresholdAge06,"&lt;"&amp;'19_Расчет_аналитики'!AS2583,WeightedRevAge06)-SUMIF(ThresholdAge06,"&lt;"&amp;'19_Расчет_аналитики'!AS2583,WeightedMinAge06),MAX(CapacityAge06*'01_Вводные'!$B$218*'19_Расчет_аналитики'!AS2583,MeanMinAge06)))</f>
        <v/>
      </c>
      <c r="AT2493">
        <f>IF(OR('19_Расчет_аналитики'!AT2465=0,6&lt;='01_Вводные'!$B$297),0,'19_Расчет_аналитики'!AT2465*IF('01_Вводные'!$B$239="Да",MeanMinAge06+'19_Расчет_аналитики'!AT2583*SUMIF(ThresholdAge06,"&lt;"&amp;'19_Расчет_аналитики'!AT2583,WeightedRevAge06)-SUMIF(ThresholdAge06,"&lt;"&amp;'19_Расчет_аналитики'!AT2583,WeightedMinAge06),MAX(CapacityAge06*'01_Вводные'!$B$218*'19_Расчет_аналитики'!AT2583,MeanMinAge06)))</f>
        <v/>
      </c>
      <c r="AU2493">
        <f>IF(OR('19_Расчет_аналитики'!AU2465=0,6&lt;='01_Вводные'!$B$297),0,'19_Расчет_аналитики'!AU2465*IF('01_Вводные'!$B$239="Да",MeanMinAge06+'19_Расчет_аналитики'!AU2583*SUMIF(ThresholdAge06,"&lt;"&amp;'19_Расчет_аналитики'!AU2583,WeightedRevAge06)-SUMIF(ThresholdAge06,"&lt;"&amp;'19_Расчет_аналитики'!AU2583,WeightedMinAge06),MAX(CapacityAge06*'01_Вводные'!$B$218*'19_Расчет_аналитики'!AU2583,MeanMinAge06)))</f>
        <v/>
      </c>
      <c r="AV2493">
        <f>IF(OR('19_Расчет_аналитики'!AV2465=0,6&lt;='01_Вводные'!$B$297),0,'19_Расчет_аналитики'!AV2465*IF('01_Вводные'!$B$239="Да",MeanMinAge06+'19_Расчет_аналитики'!AV2583*SUMIF(ThresholdAge06,"&lt;"&amp;'19_Расчет_аналитики'!AV2583,WeightedRevAge06)-SUMIF(ThresholdAge06,"&lt;"&amp;'19_Расчет_аналитики'!AV2583,WeightedMinAge06),MAX(CapacityAge06*'01_Вводные'!$B$218*'19_Расчет_аналитики'!AV2583,MeanMinAge06)))</f>
        <v/>
      </c>
      <c r="AW2493">
        <f>IF(OR('19_Расчет_аналитики'!AW2465=0,6&lt;='01_Вводные'!$B$297),0,'19_Расчет_аналитики'!AW2465*IF('01_Вводные'!$B$239="Да",MeanMinAge06+'19_Расчет_аналитики'!AW2583*SUMIF(ThresholdAge06,"&lt;"&amp;'19_Расчет_аналитики'!AW2583,WeightedRevAge06)-SUMIF(ThresholdAge06,"&lt;"&amp;'19_Расчет_аналитики'!AW2583,WeightedMinAge06),MAX(CapacityAge06*'01_Вводные'!$B$218*'19_Расчет_аналитики'!AW2583,MeanMinAge06)))</f>
        <v/>
      </c>
      <c r="AX2493">
        <f>IF(OR('19_Расчет_аналитики'!AX2465=0,6&lt;='01_Вводные'!$B$297),0,'19_Расчет_аналитики'!AX2465*IF('01_Вводные'!$B$239="Да",MeanMinAge06+'19_Расчет_аналитики'!AX2583*SUMIF(ThresholdAge06,"&lt;"&amp;'19_Расчет_аналитики'!AX2583,WeightedRevAge06)-SUMIF(ThresholdAge06,"&lt;"&amp;'19_Расчет_аналитики'!AX2583,WeightedMinAge06),MAX(CapacityAge06*'01_Вводные'!$B$218*'19_Расчет_аналитики'!AX2583,MeanMinAge06)))</f>
        <v/>
      </c>
      <c r="AY2493">
        <f>IF(OR('19_Расчет_аналитики'!AY2465=0,6&lt;='01_Вводные'!$B$297),0,'19_Расчет_аналитики'!AY2465*IF('01_Вводные'!$B$239="Да",MeanMinAge06+'19_Расчет_аналитики'!AY2583*SUMIF(ThresholdAge06,"&lt;"&amp;'19_Расчет_аналитики'!AY2583,WeightedRevAge06)-SUMIF(ThresholdAge06,"&lt;"&amp;'19_Расчет_аналитики'!AY2583,WeightedMinAge06),MAX(CapacityAge06*'01_Вводные'!$B$218*'19_Расчет_аналитики'!AY2583,MeanMinAge06)))</f>
        <v/>
      </c>
      <c r="AZ2493">
        <f>IF(OR('19_Расчет_аналитики'!AZ2465=0,6&lt;='01_Вводные'!$B$297),0,'19_Расчет_аналитики'!AZ2465*IF('01_Вводные'!$B$239="Да",MeanMinAge06+'19_Расчет_аналитики'!AZ2583*SUMIF(ThresholdAge06,"&lt;"&amp;'19_Расчет_аналитики'!AZ2583,WeightedRevAge06)-SUMIF(ThresholdAge06,"&lt;"&amp;'19_Расчет_аналитики'!AZ2583,WeightedMinAge06),MAX(CapacityAge06*'01_Вводные'!$B$218*'19_Расчет_аналитики'!AZ2583,MeanMinAge06)))</f>
        <v/>
      </c>
      <c r="BA2493">
        <f>IF(OR('19_Расчет_аналитики'!BA2465=0,6&lt;='01_Вводные'!$B$297),0,'19_Расчет_аналитики'!BA2465*IF('01_Вводные'!$B$239="Да",MeanMinAge06+'19_Расчет_аналитики'!BA2583*SUMIF(ThresholdAge06,"&lt;"&amp;'19_Расчет_аналитики'!BA2583,WeightedRevAge06)-SUMIF(ThresholdAge06,"&lt;"&amp;'19_Расчет_аналитики'!BA2583,WeightedMinAge06),MAX(CapacityAge06*'01_Вводные'!$B$218*'19_Расчет_аналитики'!BA2583,MeanMinAge06)))</f>
        <v/>
      </c>
      <c r="BB2493">
        <f>IF(OR('19_Расчет_аналитики'!BB2465=0,6&lt;='01_Вводные'!$B$297),0,'19_Расчет_аналитики'!BB2465*IF('01_Вводные'!$B$239="Да",MeanMinAge06+'19_Расчет_аналитики'!BB2583*SUMIF(ThresholdAge06,"&lt;"&amp;'19_Расчет_аналитики'!BB2583,WeightedRevAge06)-SUMIF(ThresholdAge06,"&lt;"&amp;'19_Расчет_аналитики'!BB2583,WeightedMinAge06),MAX(CapacityAge06*'01_Вводные'!$B$218*'19_Расчет_аналитики'!BB2583,MeanMinAge06)))</f>
        <v/>
      </c>
      <c r="BC2493">
        <f>IF(OR('19_Расчет_аналитики'!BC2465=0,6&lt;='01_Вводные'!$B$297),0,'19_Расчет_аналитики'!BC2465*IF('01_Вводные'!$B$239="Да",MeanMinAge06+'19_Расчет_аналитики'!BC2583*SUMIF(ThresholdAge06,"&lt;"&amp;'19_Расчет_аналитики'!BC2583,WeightedRevAge06)-SUMIF(ThresholdAge06,"&lt;"&amp;'19_Расчет_аналитики'!BC2583,WeightedMinAge06),MAX(CapacityAge06*'01_Вводные'!$B$218*'19_Расчет_аналитики'!BC2583,MeanMinAge06)))</f>
        <v/>
      </c>
      <c r="BD2493">
        <f>IF(OR('19_Расчет_аналитики'!BD2465=0,6&lt;='01_Вводные'!$B$297),0,'19_Расчет_аналитики'!BD2465*IF('01_Вводные'!$B$239="Да",MeanMinAge06+'19_Расчет_аналитики'!BD2583*SUMIF(ThresholdAge06,"&lt;"&amp;'19_Расчет_аналитики'!BD2583,WeightedRevAge06)-SUMIF(ThresholdAge06,"&lt;"&amp;'19_Расчет_аналитики'!BD2583,WeightedMinAge06),MAX(CapacityAge06*'01_Вводные'!$B$218*'19_Расчет_аналитики'!BD2583,MeanMinAge06)))</f>
        <v/>
      </c>
      <c r="BE2493">
        <f>IF(OR('19_Расчет_аналитики'!BE2465=0,6&lt;='01_Вводные'!$B$297),0,'19_Расчет_аналитики'!BE2465*IF('01_Вводные'!$B$239="Да",MeanMinAge06+'19_Расчет_аналитики'!BE2583*SUMIF(ThresholdAge06,"&lt;"&amp;'19_Расчет_аналитики'!BE2583,WeightedRevAge06)-SUMIF(ThresholdAge06,"&lt;"&amp;'19_Расчет_аналитики'!BE2583,WeightedMinAge06),MAX(CapacityAge06*'01_Вводные'!$B$218*'19_Расчет_аналитики'!BE2583,MeanMinAge06)))</f>
        <v/>
      </c>
      <c r="BF2493">
        <f>IF(OR('19_Расчет_аналитики'!BF2465=0,6&lt;='01_Вводные'!$B$297),0,'19_Расчет_аналитики'!BF2465*IF('01_Вводные'!$B$239="Да",MeanMinAge06+'19_Расчет_аналитики'!BF2583*SUMIF(ThresholdAge06,"&lt;"&amp;'19_Расчет_аналитики'!BF2583,WeightedRevAge06)-SUMIF(ThresholdAge06,"&lt;"&amp;'19_Расчет_аналитики'!BF2583,WeightedMinAge06),MAX(CapacityAge06*'01_Вводные'!$B$218*'19_Расчет_аналитики'!BF2583,MeanMinAge06)))</f>
        <v/>
      </c>
      <c r="BG2493">
        <f>IF(OR('19_Расчет_аналитики'!BG2465=0,6&lt;='01_Вводные'!$B$297),0,'19_Расчет_аналитики'!BG2465*IF('01_Вводные'!$B$239="Да",MeanMinAge06+'19_Расчет_аналитики'!BG2583*SUMIF(ThresholdAge06,"&lt;"&amp;'19_Расчет_аналитики'!BG2583,WeightedRevAge06)-SUMIF(ThresholdAge06,"&lt;"&amp;'19_Расчет_аналитики'!BG2583,WeightedMinAge06),MAX(CapacityAge06*'01_Вводные'!$B$218*'19_Расчет_аналитики'!BG2583,MeanMinAge06)))</f>
        <v/>
      </c>
      <c r="BH2493">
        <f>IF(OR('19_Расчет_аналитики'!BH2465=0,6&lt;='01_Вводные'!$B$297),0,'19_Расчет_аналитики'!BH2465*IF('01_Вводные'!$B$239="Да",MeanMinAge06+'19_Расчет_аналитики'!BH2583*SUMIF(ThresholdAge06,"&lt;"&amp;'19_Расчет_аналитики'!BH2583,WeightedRevAge06)-SUMIF(ThresholdAge06,"&lt;"&amp;'19_Расчет_аналитики'!BH2583,WeightedMinAge06),MAX(CapacityAge06*'01_Вводные'!$B$218*'19_Расчет_аналитики'!BH2583,MeanMinAge06)))</f>
        <v/>
      </c>
      <c r="BI2493">
        <f>IF(OR('19_Расчет_аналитики'!BI2465=0,6&lt;='01_Вводные'!$B$297),0,'19_Расчет_аналитики'!BI2465*IF('01_Вводные'!$B$239="Да",MeanMinAge06+'19_Расчет_аналитики'!BI2583*SUMIF(ThresholdAge06,"&lt;"&amp;'19_Расчет_аналитики'!BI2583,WeightedRevAge06)-SUMIF(ThresholdAge06,"&lt;"&amp;'19_Расчет_аналитики'!BI2583,WeightedMinAge06),MAX(CapacityAge06*'01_Вводные'!$B$218*'19_Расчет_аналитики'!BI2583,MeanMinAge06)))</f>
        <v/>
      </c>
      <c r="BJ2493">
        <f>IF(OR('19_Расчет_аналитики'!BJ2465=0,6&lt;='01_Вводные'!$B$297),0,'19_Расчет_аналитики'!BJ2465*IF('01_Вводные'!$B$239="Да",MeanMinAge06+'19_Расчет_аналитики'!BJ2583*SUMIF(ThresholdAge06,"&lt;"&amp;'19_Расчет_аналитики'!BJ2583,WeightedRevAge06)-SUMIF(ThresholdAge06,"&lt;"&amp;'19_Расчет_аналитики'!BJ2583,WeightedMinAge06),MAX(CapacityAge06*'01_Вводные'!$B$218*'19_Расчет_аналитики'!BJ2583,MeanMinAge06)))</f>
        <v/>
      </c>
      <c r="BK2493">
        <f>IF(OR('19_Расчет_аналитики'!BK2465=0,6&lt;='01_Вводные'!$B$297),0,'19_Расчет_аналитики'!BK2465*IF('01_Вводные'!$B$239="Да",MeanMinAge06+'19_Расчет_аналитики'!BK2583*SUMIF(ThresholdAge06,"&lt;"&amp;'19_Расчет_аналитики'!BK2583,WeightedRevAge06)-SUMIF(ThresholdAge06,"&lt;"&amp;'19_Расчет_аналитики'!BK2583,WeightedMinAge06),MAX(CapacityAge06*'01_Вводные'!$B$218*'19_Расчет_аналитики'!BK2583,MeanMinAge06)))</f>
        <v/>
      </c>
      <c r="BL2493">
        <f>IF(OR('19_Расчет_аналитики'!BL2465=0,6&lt;='01_Вводные'!$B$297),0,'19_Расчет_аналитики'!BL2465*IF('01_Вводные'!$B$239="Да",MeanMinAge06+'19_Расчет_аналитики'!BL2583*SUMIF(ThresholdAge06,"&lt;"&amp;'19_Расчет_аналитики'!BL2583,WeightedRevAge06)-SUMIF(ThresholdAge06,"&lt;"&amp;'19_Расчет_аналитики'!BL2583,WeightedMinAge06),MAX(CapacityAge06*'01_Вводные'!$B$218*'19_Расчет_аналитики'!BL2583,MeanMinAge06)))</f>
        <v/>
      </c>
      <c r="BM2493">
        <f>IF(OR('19_Расчет_аналитики'!BM2465=0,6&lt;='01_Вводные'!$B$297),0,'19_Расчет_аналитики'!BM2465*IF('01_Вводные'!$B$239="Да",MeanMinAge06+'19_Расчет_аналитики'!BM2583*SUMIF(ThresholdAge06,"&lt;"&amp;'19_Расчет_аналитики'!BM2583,WeightedRevAge06)-SUMIF(ThresholdAge06,"&lt;"&amp;'19_Расчет_аналитики'!BM2583,WeightedMinAge06),MAX(CapacityAge06*'01_Вводные'!$B$218*'19_Расчет_аналитики'!BM2583,MeanMinAge06)))</f>
        <v/>
      </c>
      <c r="BN2493">
        <f>IF(OR('19_Расчет_аналитики'!BN2465=0,6&lt;='01_Вводные'!$B$297),0,'19_Расчет_аналитики'!BN2465*IF('01_Вводные'!$B$239="Да",MeanMinAge06+'19_Расчет_аналитики'!BN2583*SUMIF(ThresholdAge06,"&lt;"&amp;'19_Расчет_аналитики'!BN2583,WeightedRevAge06)-SUMIF(ThresholdAge06,"&lt;"&amp;'19_Расчет_аналитики'!BN2583,WeightedMinAge06),MAX(CapacityAge06*'01_Вводные'!$B$218*'19_Расчет_аналитики'!BN2583,MeanMinAge06)))</f>
        <v/>
      </c>
      <c r="BO2493">
        <f>IF(OR('19_Расчет_аналитики'!BO2465=0,6&lt;='01_Вводные'!$B$297),0,'19_Расчет_аналитики'!BO2465*IF('01_Вводные'!$B$239="Да",MeanMinAge06+'19_Расчет_аналитики'!BO2583*SUMIF(ThresholdAge06,"&lt;"&amp;'19_Расчет_аналитики'!BO2583,WeightedRevAge06)-SUMIF(ThresholdAge06,"&lt;"&amp;'19_Расчет_аналитики'!BO2583,WeightedMinAge06),MAX(CapacityAge06*'01_Вводные'!$B$218*'19_Расчет_аналитики'!BO2583,MeanMinAge06)))</f>
        <v/>
      </c>
    </row>
    <row r="2494">
      <c r="B2494">
        <f>IF(OR('06_Сеть_и_дети'!B87=0,7&lt;='01_Вводные'!$B$297),0,'06_Сеть_и_дети'!B87*IF('01_Вводные'!$B$239="Да",MeanMinAge07+'19_Расчет_аналитики'!B2583*SUMIF(ThresholdAge07,"&lt;"&amp;'19_Расчет_аналитики'!B2583,WeightedRevAge07)-SUMIF(ThresholdAge07,"&lt;"&amp;'19_Расчет_аналитики'!B2583,WeightedMinAge07),MAX(CapacityAge07*'01_Вводные'!$B$218*'19_Расчет_аналитики'!B2583,MeanMinAge07)))</f>
        <v/>
      </c>
      <c r="C2494">
        <f>IF(OR('06_Сеть_и_дети'!C87=0,7&lt;='01_Вводные'!$B$297),0,'06_Сеть_и_дети'!C87*IF('01_Вводные'!$B$239="Да",MeanMinAge07+'19_Расчет_аналитики'!C2583*SUMIF(ThresholdAge07,"&lt;"&amp;'19_Расчет_аналитики'!C2583,WeightedRevAge07)-SUMIF(ThresholdAge07,"&lt;"&amp;'19_Расчет_аналитики'!C2583,WeightedMinAge07),MAX(CapacityAge07*'01_Вводные'!$B$218*'19_Расчет_аналитики'!C2583,MeanMinAge07)))</f>
        <v/>
      </c>
      <c r="D2494">
        <f>IF(OR('06_Сеть_и_дети'!D87=0,7&lt;='01_Вводные'!$B$297),0,'06_Сеть_и_дети'!D87*IF('01_Вводные'!$B$239="Да",MeanMinAge07+'19_Расчет_аналитики'!D2583*SUMIF(ThresholdAge07,"&lt;"&amp;'19_Расчет_аналитики'!D2583,WeightedRevAge07)-SUMIF(ThresholdAge07,"&lt;"&amp;'19_Расчет_аналитики'!D2583,WeightedMinAge07),MAX(CapacityAge07*'01_Вводные'!$B$218*'19_Расчет_аналитики'!D2583,MeanMinAge07)))</f>
        <v/>
      </c>
      <c r="E2494">
        <f>IF(OR('06_Сеть_и_дети'!E87=0,7&lt;='01_Вводные'!$B$297),0,'06_Сеть_и_дети'!E87*IF('01_Вводные'!$B$239="Да",MeanMinAge07+'19_Расчет_аналитики'!E2583*SUMIF(ThresholdAge07,"&lt;"&amp;'19_Расчет_аналитики'!E2583,WeightedRevAge07)-SUMIF(ThresholdAge07,"&lt;"&amp;'19_Расчет_аналитики'!E2583,WeightedMinAge07),MAX(CapacityAge07*'01_Вводные'!$B$218*'19_Расчет_аналитики'!E2583,MeanMinAge07)))</f>
        <v/>
      </c>
      <c r="F2494">
        <f>IF(OR('06_Сеть_и_дети'!F87=0,7&lt;='01_Вводные'!$B$297),0,'06_Сеть_и_дети'!F87*IF('01_Вводные'!$B$239="Да",MeanMinAge07+'19_Расчет_аналитики'!F2583*SUMIF(ThresholdAge07,"&lt;"&amp;'19_Расчет_аналитики'!F2583,WeightedRevAge07)-SUMIF(ThresholdAge07,"&lt;"&amp;'19_Расчет_аналитики'!F2583,WeightedMinAge07),MAX(CapacityAge07*'01_Вводные'!$B$218*'19_Расчет_аналитики'!F2583,MeanMinAge07)))</f>
        <v/>
      </c>
      <c r="G2494">
        <f>IF(OR('06_Сеть_и_дети'!G87=0,7&lt;='01_Вводные'!$B$297),0,'06_Сеть_и_дети'!G87*IF('01_Вводные'!$B$239="Да",MeanMinAge07+'19_Расчет_аналитики'!G2583*SUMIF(ThresholdAge07,"&lt;"&amp;'19_Расчет_аналитики'!G2583,WeightedRevAge07)-SUMIF(ThresholdAge07,"&lt;"&amp;'19_Расчет_аналитики'!G2583,WeightedMinAge07),MAX(CapacityAge07*'01_Вводные'!$B$218*'19_Расчет_аналитики'!G2583,MeanMinAge07)))</f>
        <v/>
      </c>
      <c r="H2494">
        <f>IF(OR('19_Расчет_аналитики'!H2466=0,7&lt;='01_Вводные'!$B$297),0,'19_Расчет_аналитики'!H2466*IF('01_Вводные'!$B$239="Да",MeanMinAge07+'19_Расчет_аналитики'!H2583*SUMIF(ThresholdAge07,"&lt;"&amp;'19_Расчет_аналитики'!H2583,WeightedRevAge07)-SUMIF(ThresholdAge07,"&lt;"&amp;'19_Расчет_аналитики'!H2583,WeightedMinAge07),MAX(CapacityAge07*'01_Вводные'!$B$218*'19_Расчет_аналитики'!H2583,MeanMinAge07)))</f>
        <v/>
      </c>
      <c r="I2494">
        <f>IF(OR('19_Расчет_аналитики'!I2466=0,7&lt;='01_Вводные'!$B$297),0,'19_Расчет_аналитики'!I2466*IF('01_Вводные'!$B$239="Да",MeanMinAge07+'19_Расчет_аналитики'!I2583*SUMIF(ThresholdAge07,"&lt;"&amp;'19_Расчет_аналитики'!I2583,WeightedRevAge07)-SUMIF(ThresholdAge07,"&lt;"&amp;'19_Расчет_аналитики'!I2583,WeightedMinAge07),MAX(CapacityAge07*'01_Вводные'!$B$218*'19_Расчет_аналитики'!I2583,MeanMinAge07)))</f>
        <v/>
      </c>
      <c r="J2494">
        <f>IF(OR('19_Расчет_аналитики'!J2466=0,7&lt;='01_Вводные'!$B$297),0,'19_Расчет_аналитики'!J2466*IF('01_Вводные'!$B$239="Да",MeanMinAge07+'19_Расчет_аналитики'!J2583*SUMIF(ThresholdAge07,"&lt;"&amp;'19_Расчет_аналитики'!J2583,WeightedRevAge07)-SUMIF(ThresholdAge07,"&lt;"&amp;'19_Расчет_аналитики'!J2583,WeightedMinAge07),MAX(CapacityAge07*'01_Вводные'!$B$218*'19_Расчет_аналитики'!J2583,MeanMinAge07)))</f>
        <v/>
      </c>
      <c r="K2494">
        <f>IF(OR('19_Расчет_аналитики'!K2466=0,7&lt;='01_Вводные'!$B$297),0,'19_Расчет_аналитики'!K2466*IF('01_Вводные'!$B$239="Да",MeanMinAge07+'19_Расчет_аналитики'!K2583*SUMIF(ThresholdAge07,"&lt;"&amp;'19_Расчет_аналитики'!K2583,WeightedRevAge07)-SUMIF(ThresholdAge07,"&lt;"&amp;'19_Расчет_аналитики'!K2583,WeightedMinAge07),MAX(CapacityAge07*'01_Вводные'!$B$218*'19_Расчет_аналитики'!K2583,MeanMinAge07)))</f>
        <v/>
      </c>
      <c r="L2494">
        <f>IF(OR('19_Расчет_аналитики'!L2466=0,7&lt;='01_Вводные'!$B$297),0,'19_Расчет_аналитики'!L2466*IF('01_Вводные'!$B$239="Да",MeanMinAge07+'19_Расчет_аналитики'!L2583*SUMIF(ThresholdAge07,"&lt;"&amp;'19_Расчет_аналитики'!L2583,WeightedRevAge07)-SUMIF(ThresholdAge07,"&lt;"&amp;'19_Расчет_аналитики'!L2583,WeightedMinAge07),MAX(CapacityAge07*'01_Вводные'!$B$218*'19_Расчет_аналитики'!L2583,MeanMinAge07)))</f>
        <v/>
      </c>
      <c r="M2494">
        <f>IF(OR('19_Расчет_аналитики'!M2466=0,7&lt;='01_Вводные'!$B$297),0,'19_Расчет_аналитики'!M2466*IF('01_Вводные'!$B$239="Да",MeanMinAge07+'19_Расчет_аналитики'!M2583*SUMIF(ThresholdAge07,"&lt;"&amp;'19_Расчет_аналитики'!M2583,WeightedRevAge07)-SUMIF(ThresholdAge07,"&lt;"&amp;'19_Расчет_аналитики'!M2583,WeightedMinAge07),MAX(CapacityAge07*'01_Вводные'!$B$218*'19_Расчет_аналитики'!M2583,MeanMinAge07)))</f>
        <v/>
      </c>
      <c r="N2494">
        <f>IF(OR('19_Расчет_аналитики'!N2466=0,7&lt;='01_Вводные'!$B$297),0,'19_Расчет_аналитики'!N2466*IF('01_Вводные'!$B$239="Да",MeanMinAge07+'19_Расчет_аналитики'!N2583*SUMIF(ThresholdAge07,"&lt;"&amp;'19_Расчет_аналитики'!N2583,WeightedRevAge07)-SUMIF(ThresholdAge07,"&lt;"&amp;'19_Расчет_аналитики'!N2583,WeightedMinAge07),MAX(CapacityAge07*'01_Вводные'!$B$218*'19_Расчет_аналитики'!N2583,MeanMinAge07)))</f>
        <v/>
      </c>
      <c r="O2494">
        <f>IF(OR('19_Расчет_аналитики'!O2466=0,7&lt;='01_Вводные'!$B$297),0,'19_Расчет_аналитики'!O2466*IF('01_Вводные'!$B$239="Да",MeanMinAge07+'19_Расчет_аналитики'!O2583*SUMIF(ThresholdAge07,"&lt;"&amp;'19_Расчет_аналитики'!O2583,WeightedRevAge07)-SUMIF(ThresholdAge07,"&lt;"&amp;'19_Расчет_аналитики'!O2583,WeightedMinAge07),MAX(CapacityAge07*'01_Вводные'!$B$218*'19_Расчет_аналитики'!O2583,MeanMinAge07)))</f>
        <v/>
      </c>
      <c r="P2494">
        <f>IF(OR('19_Расчет_аналитики'!P2466=0,7&lt;='01_Вводные'!$B$297),0,'19_Расчет_аналитики'!P2466*IF('01_Вводные'!$B$239="Да",MeanMinAge07+'19_Расчет_аналитики'!P2583*SUMIF(ThresholdAge07,"&lt;"&amp;'19_Расчет_аналитики'!P2583,WeightedRevAge07)-SUMIF(ThresholdAge07,"&lt;"&amp;'19_Расчет_аналитики'!P2583,WeightedMinAge07),MAX(CapacityAge07*'01_Вводные'!$B$218*'19_Расчет_аналитики'!P2583,MeanMinAge07)))</f>
        <v/>
      </c>
      <c r="Q2494">
        <f>IF(OR('19_Расчет_аналитики'!Q2466=0,7&lt;='01_Вводные'!$B$297),0,'19_Расчет_аналитики'!Q2466*IF('01_Вводные'!$B$239="Да",MeanMinAge07+'19_Расчет_аналитики'!Q2583*SUMIF(ThresholdAge07,"&lt;"&amp;'19_Расчет_аналитики'!Q2583,WeightedRevAge07)-SUMIF(ThresholdAge07,"&lt;"&amp;'19_Расчет_аналитики'!Q2583,WeightedMinAge07),MAX(CapacityAge07*'01_Вводные'!$B$218*'19_Расчет_аналитики'!Q2583,MeanMinAge07)))</f>
        <v/>
      </c>
      <c r="R2494">
        <f>IF(OR('19_Расчет_аналитики'!R2466=0,7&lt;='01_Вводные'!$B$297),0,'19_Расчет_аналитики'!R2466*IF('01_Вводные'!$B$239="Да",MeanMinAge07+'19_Расчет_аналитики'!R2583*SUMIF(ThresholdAge07,"&lt;"&amp;'19_Расчет_аналитики'!R2583,WeightedRevAge07)-SUMIF(ThresholdAge07,"&lt;"&amp;'19_Расчет_аналитики'!R2583,WeightedMinAge07),MAX(CapacityAge07*'01_Вводные'!$B$218*'19_Расчет_аналитики'!R2583,MeanMinAge07)))</f>
        <v/>
      </c>
      <c r="S2494">
        <f>IF(OR('19_Расчет_аналитики'!S2466=0,7&lt;='01_Вводные'!$B$297),0,'19_Расчет_аналитики'!S2466*IF('01_Вводные'!$B$239="Да",MeanMinAge07+'19_Расчет_аналитики'!S2583*SUMIF(ThresholdAge07,"&lt;"&amp;'19_Расчет_аналитики'!S2583,WeightedRevAge07)-SUMIF(ThresholdAge07,"&lt;"&amp;'19_Расчет_аналитики'!S2583,WeightedMinAge07),MAX(CapacityAge07*'01_Вводные'!$B$218*'19_Расчет_аналитики'!S2583,MeanMinAge07)))</f>
        <v/>
      </c>
      <c r="T2494">
        <f>IF(OR('19_Расчет_аналитики'!T2466=0,7&lt;='01_Вводные'!$B$297),0,'19_Расчет_аналитики'!T2466*IF('01_Вводные'!$B$239="Да",MeanMinAge07+'19_Расчет_аналитики'!T2583*SUMIF(ThresholdAge07,"&lt;"&amp;'19_Расчет_аналитики'!T2583,WeightedRevAge07)-SUMIF(ThresholdAge07,"&lt;"&amp;'19_Расчет_аналитики'!T2583,WeightedMinAge07),MAX(CapacityAge07*'01_Вводные'!$B$218*'19_Расчет_аналитики'!T2583,MeanMinAge07)))</f>
        <v/>
      </c>
      <c r="U2494">
        <f>IF(OR('19_Расчет_аналитики'!U2466=0,7&lt;='01_Вводные'!$B$297),0,'19_Расчет_аналитики'!U2466*IF('01_Вводные'!$B$239="Да",MeanMinAge07+'19_Расчет_аналитики'!U2583*SUMIF(ThresholdAge07,"&lt;"&amp;'19_Расчет_аналитики'!U2583,WeightedRevAge07)-SUMIF(ThresholdAge07,"&lt;"&amp;'19_Расчет_аналитики'!U2583,WeightedMinAge07),MAX(CapacityAge07*'01_Вводные'!$B$218*'19_Расчет_аналитики'!U2583,MeanMinAge07)))</f>
        <v/>
      </c>
      <c r="V2494">
        <f>IF(OR('19_Расчет_аналитики'!V2466=0,7&lt;='01_Вводные'!$B$297),0,'19_Расчет_аналитики'!V2466*IF('01_Вводные'!$B$239="Да",MeanMinAge07+'19_Расчет_аналитики'!V2583*SUMIF(ThresholdAge07,"&lt;"&amp;'19_Расчет_аналитики'!V2583,WeightedRevAge07)-SUMIF(ThresholdAge07,"&lt;"&amp;'19_Расчет_аналитики'!V2583,WeightedMinAge07),MAX(CapacityAge07*'01_Вводные'!$B$218*'19_Расчет_аналитики'!V2583,MeanMinAge07)))</f>
        <v/>
      </c>
      <c r="W2494">
        <f>IF(OR('19_Расчет_аналитики'!W2466=0,7&lt;='01_Вводные'!$B$297),0,'19_Расчет_аналитики'!W2466*IF('01_Вводные'!$B$239="Да",MeanMinAge07+'19_Расчет_аналитики'!W2583*SUMIF(ThresholdAge07,"&lt;"&amp;'19_Расчет_аналитики'!W2583,WeightedRevAge07)-SUMIF(ThresholdAge07,"&lt;"&amp;'19_Расчет_аналитики'!W2583,WeightedMinAge07),MAX(CapacityAge07*'01_Вводные'!$B$218*'19_Расчет_аналитики'!W2583,MeanMinAge07)))</f>
        <v/>
      </c>
      <c r="X2494">
        <f>IF(OR('19_Расчет_аналитики'!X2466=0,7&lt;='01_Вводные'!$B$297),0,'19_Расчет_аналитики'!X2466*IF('01_Вводные'!$B$239="Да",MeanMinAge07+'19_Расчет_аналитики'!X2583*SUMIF(ThresholdAge07,"&lt;"&amp;'19_Расчет_аналитики'!X2583,WeightedRevAge07)-SUMIF(ThresholdAge07,"&lt;"&amp;'19_Расчет_аналитики'!X2583,WeightedMinAge07),MAX(CapacityAge07*'01_Вводные'!$B$218*'19_Расчет_аналитики'!X2583,MeanMinAge07)))</f>
        <v/>
      </c>
      <c r="Y2494">
        <f>IF(OR('19_Расчет_аналитики'!Y2466=0,7&lt;='01_Вводные'!$B$297),0,'19_Расчет_аналитики'!Y2466*IF('01_Вводные'!$B$239="Да",MeanMinAge07+'19_Расчет_аналитики'!Y2583*SUMIF(ThresholdAge07,"&lt;"&amp;'19_Расчет_аналитики'!Y2583,WeightedRevAge07)-SUMIF(ThresholdAge07,"&lt;"&amp;'19_Расчет_аналитики'!Y2583,WeightedMinAge07),MAX(CapacityAge07*'01_Вводные'!$B$218*'19_Расчет_аналитики'!Y2583,MeanMinAge07)))</f>
        <v/>
      </c>
      <c r="Z2494">
        <f>IF(OR('19_Расчет_аналитики'!Z2466=0,7&lt;='01_Вводные'!$B$297),0,'19_Расчет_аналитики'!Z2466*IF('01_Вводные'!$B$239="Да",MeanMinAge07+'19_Расчет_аналитики'!Z2583*SUMIF(ThresholdAge07,"&lt;"&amp;'19_Расчет_аналитики'!Z2583,WeightedRevAge07)-SUMIF(ThresholdAge07,"&lt;"&amp;'19_Расчет_аналитики'!Z2583,WeightedMinAge07),MAX(CapacityAge07*'01_Вводные'!$B$218*'19_Расчет_аналитики'!Z2583,MeanMinAge07)))</f>
        <v/>
      </c>
      <c r="AA2494">
        <f>IF(OR('19_Расчет_аналитики'!AA2466=0,7&lt;='01_Вводные'!$B$297),0,'19_Расчет_аналитики'!AA2466*IF('01_Вводные'!$B$239="Да",MeanMinAge07+'19_Расчет_аналитики'!AA2583*SUMIF(ThresholdAge07,"&lt;"&amp;'19_Расчет_аналитики'!AA2583,WeightedRevAge07)-SUMIF(ThresholdAge07,"&lt;"&amp;'19_Расчет_аналитики'!AA2583,WeightedMinAge07),MAX(CapacityAge07*'01_Вводные'!$B$218*'19_Расчет_аналитики'!AA2583,MeanMinAge07)))</f>
        <v/>
      </c>
      <c r="AB2494">
        <f>IF(OR('19_Расчет_аналитики'!AB2466=0,7&lt;='01_Вводные'!$B$297),0,'19_Расчет_аналитики'!AB2466*IF('01_Вводные'!$B$239="Да",MeanMinAge07+'19_Расчет_аналитики'!AB2583*SUMIF(ThresholdAge07,"&lt;"&amp;'19_Расчет_аналитики'!AB2583,WeightedRevAge07)-SUMIF(ThresholdAge07,"&lt;"&amp;'19_Расчет_аналитики'!AB2583,WeightedMinAge07),MAX(CapacityAge07*'01_Вводные'!$B$218*'19_Расчет_аналитики'!AB2583,MeanMinAge07)))</f>
        <v/>
      </c>
      <c r="AC2494">
        <f>IF(OR('19_Расчет_аналитики'!AC2466=0,7&lt;='01_Вводные'!$B$297),0,'19_Расчет_аналитики'!AC2466*IF('01_Вводные'!$B$239="Да",MeanMinAge07+'19_Расчет_аналитики'!AC2583*SUMIF(ThresholdAge07,"&lt;"&amp;'19_Расчет_аналитики'!AC2583,WeightedRevAge07)-SUMIF(ThresholdAge07,"&lt;"&amp;'19_Расчет_аналитики'!AC2583,WeightedMinAge07),MAX(CapacityAge07*'01_Вводные'!$B$218*'19_Расчет_аналитики'!AC2583,MeanMinAge07)))</f>
        <v/>
      </c>
      <c r="AD2494">
        <f>IF(OR('19_Расчет_аналитики'!AD2466=0,7&lt;='01_Вводные'!$B$297),0,'19_Расчет_аналитики'!AD2466*IF('01_Вводные'!$B$239="Да",MeanMinAge07+'19_Расчет_аналитики'!AD2583*SUMIF(ThresholdAge07,"&lt;"&amp;'19_Расчет_аналитики'!AD2583,WeightedRevAge07)-SUMIF(ThresholdAge07,"&lt;"&amp;'19_Расчет_аналитики'!AD2583,WeightedMinAge07),MAX(CapacityAge07*'01_Вводные'!$B$218*'19_Расчет_аналитики'!AD2583,MeanMinAge07)))</f>
        <v/>
      </c>
      <c r="AE2494">
        <f>IF(OR('19_Расчет_аналитики'!AE2466=0,7&lt;='01_Вводные'!$B$297),0,'19_Расчет_аналитики'!AE2466*IF('01_Вводные'!$B$239="Да",MeanMinAge07+'19_Расчет_аналитики'!AE2583*SUMIF(ThresholdAge07,"&lt;"&amp;'19_Расчет_аналитики'!AE2583,WeightedRevAge07)-SUMIF(ThresholdAge07,"&lt;"&amp;'19_Расчет_аналитики'!AE2583,WeightedMinAge07),MAX(CapacityAge07*'01_Вводные'!$B$218*'19_Расчет_аналитики'!AE2583,MeanMinAge07)))</f>
        <v/>
      </c>
      <c r="AF2494">
        <f>IF(OR('19_Расчет_аналитики'!AF2466=0,7&lt;='01_Вводные'!$B$297),0,'19_Расчет_аналитики'!AF2466*IF('01_Вводные'!$B$239="Да",MeanMinAge07+'19_Расчет_аналитики'!AF2583*SUMIF(ThresholdAge07,"&lt;"&amp;'19_Расчет_аналитики'!AF2583,WeightedRevAge07)-SUMIF(ThresholdAge07,"&lt;"&amp;'19_Расчет_аналитики'!AF2583,WeightedMinAge07),MAX(CapacityAge07*'01_Вводные'!$B$218*'19_Расчет_аналитики'!AF2583,MeanMinAge07)))</f>
        <v/>
      </c>
      <c r="AG2494">
        <f>IF(OR('19_Расчет_аналитики'!AG2466=0,7&lt;='01_Вводные'!$B$297),0,'19_Расчет_аналитики'!AG2466*IF('01_Вводные'!$B$239="Да",MeanMinAge07+'19_Расчет_аналитики'!AG2583*SUMIF(ThresholdAge07,"&lt;"&amp;'19_Расчет_аналитики'!AG2583,WeightedRevAge07)-SUMIF(ThresholdAge07,"&lt;"&amp;'19_Расчет_аналитики'!AG2583,WeightedMinAge07),MAX(CapacityAge07*'01_Вводные'!$B$218*'19_Расчет_аналитики'!AG2583,MeanMinAge07)))</f>
        <v/>
      </c>
      <c r="AH2494">
        <f>IF(OR('19_Расчет_аналитики'!AH2466=0,7&lt;='01_Вводные'!$B$297),0,'19_Расчет_аналитики'!AH2466*IF('01_Вводные'!$B$239="Да",MeanMinAge07+'19_Расчет_аналитики'!AH2583*SUMIF(ThresholdAge07,"&lt;"&amp;'19_Расчет_аналитики'!AH2583,WeightedRevAge07)-SUMIF(ThresholdAge07,"&lt;"&amp;'19_Расчет_аналитики'!AH2583,WeightedMinAge07),MAX(CapacityAge07*'01_Вводные'!$B$218*'19_Расчет_аналитики'!AH2583,MeanMinAge07)))</f>
        <v/>
      </c>
      <c r="AI2494">
        <f>IF(OR('19_Расчет_аналитики'!AI2466=0,7&lt;='01_Вводные'!$B$297),0,'19_Расчет_аналитики'!AI2466*IF('01_Вводные'!$B$239="Да",MeanMinAge07+'19_Расчет_аналитики'!AI2583*SUMIF(ThresholdAge07,"&lt;"&amp;'19_Расчет_аналитики'!AI2583,WeightedRevAge07)-SUMIF(ThresholdAge07,"&lt;"&amp;'19_Расчет_аналитики'!AI2583,WeightedMinAge07),MAX(CapacityAge07*'01_Вводные'!$B$218*'19_Расчет_аналитики'!AI2583,MeanMinAge07)))</f>
        <v/>
      </c>
      <c r="AJ2494">
        <f>IF(OR('19_Расчет_аналитики'!AJ2466=0,7&lt;='01_Вводные'!$B$297),0,'19_Расчет_аналитики'!AJ2466*IF('01_Вводные'!$B$239="Да",MeanMinAge07+'19_Расчет_аналитики'!AJ2583*SUMIF(ThresholdAge07,"&lt;"&amp;'19_Расчет_аналитики'!AJ2583,WeightedRevAge07)-SUMIF(ThresholdAge07,"&lt;"&amp;'19_Расчет_аналитики'!AJ2583,WeightedMinAge07),MAX(CapacityAge07*'01_Вводные'!$B$218*'19_Расчет_аналитики'!AJ2583,MeanMinAge07)))</f>
        <v/>
      </c>
      <c r="AK2494">
        <f>IF(OR('19_Расчет_аналитики'!AK2466=0,7&lt;='01_Вводные'!$B$297),0,'19_Расчет_аналитики'!AK2466*IF('01_Вводные'!$B$239="Да",MeanMinAge07+'19_Расчет_аналитики'!AK2583*SUMIF(ThresholdAge07,"&lt;"&amp;'19_Расчет_аналитики'!AK2583,WeightedRevAge07)-SUMIF(ThresholdAge07,"&lt;"&amp;'19_Расчет_аналитики'!AK2583,WeightedMinAge07),MAX(CapacityAge07*'01_Вводные'!$B$218*'19_Расчет_аналитики'!AK2583,MeanMinAge07)))</f>
        <v/>
      </c>
      <c r="AL2494">
        <f>IF(OR('19_Расчет_аналитики'!AL2466=0,7&lt;='01_Вводные'!$B$297),0,'19_Расчет_аналитики'!AL2466*IF('01_Вводные'!$B$239="Да",MeanMinAge07+'19_Расчет_аналитики'!AL2583*SUMIF(ThresholdAge07,"&lt;"&amp;'19_Расчет_аналитики'!AL2583,WeightedRevAge07)-SUMIF(ThresholdAge07,"&lt;"&amp;'19_Расчет_аналитики'!AL2583,WeightedMinAge07),MAX(CapacityAge07*'01_Вводные'!$B$218*'19_Расчет_аналитики'!AL2583,MeanMinAge07)))</f>
        <v/>
      </c>
      <c r="AM2494">
        <f>IF(OR('19_Расчет_аналитики'!AM2466=0,7&lt;='01_Вводные'!$B$297),0,'19_Расчет_аналитики'!AM2466*IF('01_Вводные'!$B$239="Да",MeanMinAge07+'19_Расчет_аналитики'!AM2583*SUMIF(ThresholdAge07,"&lt;"&amp;'19_Расчет_аналитики'!AM2583,WeightedRevAge07)-SUMIF(ThresholdAge07,"&lt;"&amp;'19_Расчет_аналитики'!AM2583,WeightedMinAge07),MAX(CapacityAge07*'01_Вводные'!$B$218*'19_Расчет_аналитики'!AM2583,MeanMinAge07)))</f>
        <v/>
      </c>
      <c r="AN2494">
        <f>IF(OR('19_Расчет_аналитики'!AN2466=0,7&lt;='01_Вводные'!$B$297),0,'19_Расчет_аналитики'!AN2466*IF('01_Вводные'!$B$239="Да",MeanMinAge07+'19_Расчет_аналитики'!AN2583*SUMIF(ThresholdAge07,"&lt;"&amp;'19_Расчет_аналитики'!AN2583,WeightedRevAge07)-SUMIF(ThresholdAge07,"&lt;"&amp;'19_Расчет_аналитики'!AN2583,WeightedMinAge07),MAX(CapacityAge07*'01_Вводные'!$B$218*'19_Расчет_аналитики'!AN2583,MeanMinAge07)))</f>
        <v/>
      </c>
      <c r="AO2494">
        <f>IF(OR('19_Расчет_аналитики'!AO2466=0,7&lt;='01_Вводные'!$B$297),0,'19_Расчет_аналитики'!AO2466*IF('01_Вводные'!$B$239="Да",MeanMinAge07+'19_Расчет_аналитики'!AO2583*SUMIF(ThresholdAge07,"&lt;"&amp;'19_Расчет_аналитики'!AO2583,WeightedRevAge07)-SUMIF(ThresholdAge07,"&lt;"&amp;'19_Расчет_аналитики'!AO2583,WeightedMinAge07),MAX(CapacityAge07*'01_Вводные'!$B$218*'19_Расчет_аналитики'!AO2583,MeanMinAge07)))</f>
        <v/>
      </c>
      <c r="AP2494">
        <f>IF(OR('19_Расчет_аналитики'!AP2466=0,7&lt;='01_Вводные'!$B$297),0,'19_Расчет_аналитики'!AP2466*IF('01_Вводные'!$B$239="Да",MeanMinAge07+'19_Расчет_аналитики'!AP2583*SUMIF(ThresholdAge07,"&lt;"&amp;'19_Расчет_аналитики'!AP2583,WeightedRevAge07)-SUMIF(ThresholdAge07,"&lt;"&amp;'19_Расчет_аналитики'!AP2583,WeightedMinAge07),MAX(CapacityAge07*'01_Вводные'!$B$218*'19_Расчет_аналитики'!AP2583,MeanMinAge07)))</f>
        <v/>
      </c>
      <c r="AQ2494">
        <f>IF(OR('19_Расчет_аналитики'!AQ2466=0,7&lt;='01_Вводные'!$B$297),0,'19_Расчет_аналитики'!AQ2466*IF('01_Вводные'!$B$239="Да",MeanMinAge07+'19_Расчет_аналитики'!AQ2583*SUMIF(ThresholdAge07,"&lt;"&amp;'19_Расчет_аналитики'!AQ2583,WeightedRevAge07)-SUMIF(ThresholdAge07,"&lt;"&amp;'19_Расчет_аналитики'!AQ2583,WeightedMinAge07),MAX(CapacityAge07*'01_Вводные'!$B$218*'19_Расчет_аналитики'!AQ2583,MeanMinAge07)))</f>
        <v/>
      </c>
      <c r="AR2494">
        <f>IF(OR('19_Расчет_аналитики'!AR2466=0,7&lt;='01_Вводные'!$B$297),0,'19_Расчет_аналитики'!AR2466*IF('01_Вводные'!$B$239="Да",MeanMinAge07+'19_Расчет_аналитики'!AR2583*SUMIF(ThresholdAge07,"&lt;"&amp;'19_Расчет_аналитики'!AR2583,WeightedRevAge07)-SUMIF(ThresholdAge07,"&lt;"&amp;'19_Расчет_аналитики'!AR2583,WeightedMinAge07),MAX(CapacityAge07*'01_Вводные'!$B$218*'19_Расчет_аналитики'!AR2583,MeanMinAge07)))</f>
        <v/>
      </c>
      <c r="AS2494">
        <f>IF(OR('19_Расчет_аналитики'!AS2466=0,7&lt;='01_Вводные'!$B$297),0,'19_Расчет_аналитики'!AS2466*IF('01_Вводные'!$B$239="Да",MeanMinAge07+'19_Расчет_аналитики'!AS2583*SUMIF(ThresholdAge07,"&lt;"&amp;'19_Расчет_аналитики'!AS2583,WeightedRevAge07)-SUMIF(ThresholdAge07,"&lt;"&amp;'19_Расчет_аналитики'!AS2583,WeightedMinAge07),MAX(CapacityAge07*'01_Вводные'!$B$218*'19_Расчет_аналитики'!AS2583,MeanMinAge07)))</f>
        <v/>
      </c>
      <c r="AT2494">
        <f>IF(OR('19_Расчет_аналитики'!AT2466=0,7&lt;='01_Вводные'!$B$297),0,'19_Расчет_аналитики'!AT2466*IF('01_Вводные'!$B$239="Да",MeanMinAge07+'19_Расчет_аналитики'!AT2583*SUMIF(ThresholdAge07,"&lt;"&amp;'19_Расчет_аналитики'!AT2583,WeightedRevAge07)-SUMIF(ThresholdAge07,"&lt;"&amp;'19_Расчет_аналитики'!AT2583,WeightedMinAge07),MAX(CapacityAge07*'01_Вводные'!$B$218*'19_Расчет_аналитики'!AT2583,MeanMinAge07)))</f>
        <v/>
      </c>
      <c r="AU2494">
        <f>IF(OR('19_Расчет_аналитики'!AU2466=0,7&lt;='01_Вводные'!$B$297),0,'19_Расчет_аналитики'!AU2466*IF('01_Вводные'!$B$239="Да",MeanMinAge07+'19_Расчет_аналитики'!AU2583*SUMIF(ThresholdAge07,"&lt;"&amp;'19_Расчет_аналитики'!AU2583,WeightedRevAge07)-SUMIF(ThresholdAge07,"&lt;"&amp;'19_Расчет_аналитики'!AU2583,WeightedMinAge07),MAX(CapacityAge07*'01_Вводные'!$B$218*'19_Расчет_аналитики'!AU2583,MeanMinAge07)))</f>
        <v/>
      </c>
      <c r="AV2494">
        <f>IF(OR('19_Расчет_аналитики'!AV2466=0,7&lt;='01_Вводные'!$B$297),0,'19_Расчет_аналитики'!AV2466*IF('01_Вводные'!$B$239="Да",MeanMinAge07+'19_Расчет_аналитики'!AV2583*SUMIF(ThresholdAge07,"&lt;"&amp;'19_Расчет_аналитики'!AV2583,WeightedRevAge07)-SUMIF(ThresholdAge07,"&lt;"&amp;'19_Расчет_аналитики'!AV2583,WeightedMinAge07),MAX(CapacityAge07*'01_Вводные'!$B$218*'19_Расчет_аналитики'!AV2583,MeanMinAge07)))</f>
        <v/>
      </c>
      <c r="AW2494">
        <f>IF(OR('19_Расчет_аналитики'!AW2466=0,7&lt;='01_Вводные'!$B$297),0,'19_Расчет_аналитики'!AW2466*IF('01_Вводные'!$B$239="Да",MeanMinAge07+'19_Расчет_аналитики'!AW2583*SUMIF(ThresholdAge07,"&lt;"&amp;'19_Расчет_аналитики'!AW2583,WeightedRevAge07)-SUMIF(ThresholdAge07,"&lt;"&amp;'19_Расчет_аналитики'!AW2583,WeightedMinAge07),MAX(CapacityAge07*'01_Вводные'!$B$218*'19_Расчет_аналитики'!AW2583,MeanMinAge07)))</f>
        <v/>
      </c>
      <c r="AX2494">
        <f>IF(OR('19_Расчет_аналитики'!AX2466=0,7&lt;='01_Вводные'!$B$297),0,'19_Расчет_аналитики'!AX2466*IF('01_Вводные'!$B$239="Да",MeanMinAge07+'19_Расчет_аналитики'!AX2583*SUMIF(ThresholdAge07,"&lt;"&amp;'19_Расчет_аналитики'!AX2583,WeightedRevAge07)-SUMIF(ThresholdAge07,"&lt;"&amp;'19_Расчет_аналитики'!AX2583,WeightedMinAge07),MAX(CapacityAge07*'01_Вводные'!$B$218*'19_Расчет_аналитики'!AX2583,MeanMinAge07)))</f>
        <v/>
      </c>
      <c r="AY2494">
        <f>IF(OR('19_Расчет_аналитики'!AY2466=0,7&lt;='01_Вводные'!$B$297),0,'19_Расчет_аналитики'!AY2466*IF('01_Вводные'!$B$239="Да",MeanMinAge07+'19_Расчет_аналитики'!AY2583*SUMIF(ThresholdAge07,"&lt;"&amp;'19_Расчет_аналитики'!AY2583,WeightedRevAge07)-SUMIF(ThresholdAge07,"&lt;"&amp;'19_Расчет_аналитики'!AY2583,WeightedMinAge07),MAX(CapacityAge07*'01_Вводные'!$B$218*'19_Расчет_аналитики'!AY2583,MeanMinAge07)))</f>
        <v/>
      </c>
      <c r="AZ2494">
        <f>IF(OR('19_Расчет_аналитики'!AZ2466=0,7&lt;='01_Вводные'!$B$297),0,'19_Расчет_аналитики'!AZ2466*IF('01_Вводные'!$B$239="Да",MeanMinAge07+'19_Расчет_аналитики'!AZ2583*SUMIF(ThresholdAge07,"&lt;"&amp;'19_Расчет_аналитики'!AZ2583,WeightedRevAge07)-SUMIF(ThresholdAge07,"&lt;"&amp;'19_Расчет_аналитики'!AZ2583,WeightedMinAge07),MAX(CapacityAge07*'01_Вводные'!$B$218*'19_Расчет_аналитики'!AZ2583,MeanMinAge07)))</f>
        <v/>
      </c>
      <c r="BA2494">
        <f>IF(OR('19_Расчет_аналитики'!BA2466=0,7&lt;='01_Вводные'!$B$297),0,'19_Расчет_аналитики'!BA2466*IF('01_Вводные'!$B$239="Да",MeanMinAge07+'19_Расчет_аналитики'!BA2583*SUMIF(ThresholdAge07,"&lt;"&amp;'19_Расчет_аналитики'!BA2583,WeightedRevAge07)-SUMIF(ThresholdAge07,"&lt;"&amp;'19_Расчет_аналитики'!BA2583,WeightedMinAge07),MAX(CapacityAge07*'01_Вводные'!$B$218*'19_Расчет_аналитики'!BA2583,MeanMinAge07)))</f>
        <v/>
      </c>
      <c r="BB2494">
        <f>IF(OR('19_Расчет_аналитики'!BB2466=0,7&lt;='01_Вводные'!$B$297),0,'19_Расчет_аналитики'!BB2466*IF('01_Вводные'!$B$239="Да",MeanMinAge07+'19_Расчет_аналитики'!BB2583*SUMIF(ThresholdAge07,"&lt;"&amp;'19_Расчет_аналитики'!BB2583,WeightedRevAge07)-SUMIF(ThresholdAge07,"&lt;"&amp;'19_Расчет_аналитики'!BB2583,WeightedMinAge07),MAX(CapacityAge07*'01_Вводные'!$B$218*'19_Расчет_аналитики'!BB2583,MeanMinAge07)))</f>
        <v/>
      </c>
      <c r="BC2494">
        <f>IF(OR('19_Расчет_аналитики'!BC2466=0,7&lt;='01_Вводные'!$B$297),0,'19_Расчет_аналитики'!BC2466*IF('01_Вводные'!$B$239="Да",MeanMinAge07+'19_Расчет_аналитики'!BC2583*SUMIF(ThresholdAge07,"&lt;"&amp;'19_Расчет_аналитики'!BC2583,WeightedRevAge07)-SUMIF(ThresholdAge07,"&lt;"&amp;'19_Расчет_аналитики'!BC2583,WeightedMinAge07),MAX(CapacityAge07*'01_Вводные'!$B$218*'19_Расчет_аналитики'!BC2583,MeanMinAge07)))</f>
        <v/>
      </c>
      <c r="BD2494">
        <f>IF(OR('19_Расчет_аналитики'!BD2466=0,7&lt;='01_Вводные'!$B$297),0,'19_Расчет_аналитики'!BD2466*IF('01_Вводные'!$B$239="Да",MeanMinAge07+'19_Расчет_аналитики'!BD2583*SUMIF(ThresholdAge07,"&lt;"&amp;'19_Расчет_аналитики'!BD2583,WeightedRevAge07)-SUMIF(ThresholdAge07,"&lt;"&amp;'19_Расчет_аналитики'!BD2583,WeightedMinAge07),MAX(CapacityAge07*'01_Вводные'!$B$218*'19_Расчет_аналитики'!BD2583,MeanMinAge07)))</f>
        <v/>
      </c>
      <c r="BE2494">
        <f>IF(OR('19_Расчет_аналитики'!BE2466=0,7&lt;='01_Вводные'!$B$297),0,'19_Расчет_аналитики'!BE2466*IF('01_Вводные'!$B$239="Да",MeanMinAge07+'19_Расчет_аналитики'!BE2583*SUMIF(ThresholdAge07,"&lt;"&amp;'19_Расчет_аналитики'!BE2583,WeightedRevAge07)-SUMIF(ThresholdAge07,"&lt;"&amp;'19_Расчет_аналитики'!BE2583,WeightedMinAge07),MAX(CapacityAge07*'01_Вводные'!$B$218*'19_Расчет_аналитики'!BE2583,MeanMinAge07)))</f>
        <v/>
      </c>
      <c r="BF2494">
        <f>IF(OR('19_Расчет_аналитики'!BF2466=0,7&lt;='01_Вводные'!$B$297),0,'19_Расчет_аналитики'!BF2466*IF('01_Вводные'!$B$239="Да",MeanMinAge07+'19_Расчет_аналитики'!BF2583*SUMIF(ThresholdAge07,"&lt;"&amp;'19_Расчет_аналитики'!BF2583,WeightedRevAge07)-SUMIF(ThresholdAge07,"&lt;"&amp;'19_Расчет_аналитики'!BF2583,WeightedMinAge07),MAX(CapacityAge07*'01_Вводные'!$B$218*'19_Расчет_аналитики'!BF2583,MeanMinAge07)))</f>
        <v/>
      </c>
      <c r="BG2494">
        <f>IF(OR('19_Расчет_аналитики'!BG2466=0,7&lt;='01_Вводные'!$B$297),0,'19_Расчет_аналитики'!BG2466*IF('01_Вводные'!$B$239="Да",MeanMinAge07+'19_Расчет_аналитики'!BG2583*SUMIF(ThresholdAge07,"&lt;"&amp;'19_Расчет_аналитики'!BG2583,WeightedRevAge07)-SUMIF(ThresholdAge07,"&lt;"&amp;'19_Расчет_аналитики'!BG2583,WeightedMinAge07),MAX(CapacityAge07*'01_Вводные'!$B$218*'19_Расчет_аналитики'!BG2583,MeanMinAge07)))</f>
        <v/>
      </c>
      <c r="BH2494">
        <f>IF(OR('19_Расчет_аналитики'!BH2466=0,7&lt;='01_Вводные'!$B$297),0,'19_Расчет_аналитики'!BH2466*IF('01_Вводные'!$B$239="Да",MeanMinAge07+'19_Расчет_аналитики'!BH2583*SUMIF(ThresholdAge07,"&lt;"&amp;'19_Расчет_аналитики'!BH2583,WeightedRevAge07)-SUMIF(ThresholdAge07,"&lt;"&amp;'19_Расчет_аналитики'!BH2583,WeightedMinAge07),MAX(CapacityAge07*'01_Вводные'!$B$218*'19_Расчет_аналитики'!BH2583,MeanMinAge07)))</f>
        <v/>
      </c>
      <c r="BI2494">
        <f>IF(OR('19_Расчет_аналитики'!BI2466=0,7&lt;='01_Вводные'!$B$297),0,'19_Расчет_аналитики'!BI2466*IF('01_Вводные'!$B$239="Да",MeanMinAge07+'19_Расчет_аналитики'!BI2583*SUMIF(ThresholdAge07,"&lt;"&amp;'19_Расчет_аналитики'!BI2583,WeightedRevAge07)-SUMIF(ThresholdAge07,"&lt;"&amp;'19_Расчет_аналитики'!BI2583,WeightedMinAge07),MAX(CapacityAge07*'01_Вводные'!$B$218*'19_Расчет_аналитики'!BI2583,MeanMinAge07)))</f>
        <v/>
      </c>
      <c r="BJ2494">
        <f>IF(OR('19_Расчет_аналитики'!BJ2466=0,7&lt;='01_Вводные'!$B$297),0,'19_Расчет_аналитики'!BJ2466*IF('01_Вводные'!$B$239="Да",MeanMinAge07+'19_Расчет_аналитики'!BJ2583*SUMIF(ThresholdAge07,"&lt;"&amp;'19_Расчет_аналитики'!BJ2583,WeightedRevAge07)-SUMIF(ThresholdAge07,"&lt;"&amp;'19_Расчет_аналитики'!BJ2583,WeightedMinAge07),MAX(CapacityAge07*'01_Вводные'!$B$218*'19_Расчет_аналитики'!BJ2583,MeanMinAge07)))</f>
        <v/>
      </c>
      <c r="BK2494">
        <f>IF(OR('19_Расчет_аналитики'!BK2466=0,7&lt;='01_Вводные'!$B$297),0,'19_Расчет_аналитики'!BK2466*IF('01_Вводные'!$B$239="Да",MeanMinAge07+'19_Расчет_аналитики'!BK2583*SUMIF(ThresholdAge07,"&lt;"&amp;'19_Расчет_аналитики'!BK2583,WeightedRevAge07)-SUMIF(ThresholdAge07,"&lt;"&amp;'19_Расчет_аналитики'!BK2583,WeightedMinAge07),MAX(CapacityAge07*'01_Вводные'!$B$218*'19_Расчет_аналитики'!BK2583,MeanMinAge07)))</f>
        <v/>
      </c>
      <c r="BL2494">
        <f>IF(OR('19_Расчет_аналитики'!BL2466=0,7&lt;='01_Вводные'!$B$297),0,'19_Расчет_аналитики'!BL2466*IF('01_Вводные'!$B$239="Да",MeanMinAge07+'19_Расчет_аналитики'!BL2583*SUMIF(ThresholdAge07,"&lt;"&amp;'19_Расчет_аналитики'!BL2583,WeightedRevAge07)-SUMIF(ThresholdAge07,"&lt;"&amp;'19_Расчет_аналитики'!BL2583,WeightedMinAge07),MAX(CapacityAge07*'01_Вводные'!$B$218*'19_Расчет_аналитики'!BL2583,MeanMinAge07)))</f>
        <v/>
      </c>
      <c r="BM2494">
        <f>IF(OR('19_Расчет_аналитики'!BM2466=0,7&lt;='01_Вводные'!$B$297),0,'19_Расчет_аналитики'!BM2466*IF('01_Вводные'!$B$239="Да",MeanMinAge07+'19_Расчет_аналитики'!BM2583*SUMIF(ThresholdAge07,"&lt;"&amp;'19_Расчет_аналитики'!BM2583,WeightedRevAge07)-SUMIF(ThresholdAge07,"&lt;"&amp;'19_Расчет_аналитики'!BM2583,WeightedMinAge07),MAX(CapacityAge07*'01_Вводные'!$B$218*'19_Расчет_аналитики'!BM2583,MeanMinAge07)))</f>
        <v/>
      </c>
      <c r="BN2494">
        <f>IF(OR('19_Расчет_аналитики'!BN2466=0,7&lt;='01_Вводные'!$B$297),0,'19_Расчет_аналитики'!BN2466*IF('01_Вводные'!$B$239="Да",MeanMinAge07+'19_Расчет_аналитики'!BN2583*SUMIF(ThresholdAge07,"&lt;"&amp;'19_Расчет_аналитики'!BN2583,WeightedRevAge07)-SUMIF(ThresholdAge07,"&lt;"&amp;'19_Расчет_аналитики'!BN2583,WeightedMinAge07),MAX(CapacityAge07*'01_Вводные'!$B$218*'19_Расчет_аналитики'!BN2583,MeanMinAge07)))</f>
        <v/>
      </c>
      <c r="BO2494">
        <f>IF(OR('19_Расчет_аналитики'!BO2466=0,7&lt;='01_Вводные'!$B$297),0,'19_Расчет_аналитики'!BO2466*IF('01_Вводные'!$B$239="Да",MeanMinAge07+'19_Расчет_аналитики'!BO2583*SUMIF(ThresholdAge07,"&lt;"&amp;'19_Расчет_аналитики'!BO2583,WeightedRevAge07)-SUMIF(ThresholdAge07,"&lt;"&amp;'19_Расчет_аналитики'!BO2583,WeightedMinAge07),MAX(CapacityAge07*'01_Вводные'!$B$218*'19_Расчет_аналитики'!BO2583,MeanMinAge07)))</f>
        <v/>
      </c>
    </row>
    <row r="2495">
      <c r="B2495">
        <f>IF(OR('06_Сеть_и_дети'!B88=0,8&lt;='01_Вводные'!$B$297),0,'06_Сеть_и_дети'!B88*IF('01_Вводные'!$B$239="Да",MeanMinAge08+'19_Расчет_аналитики'!B2583*SUMIF(ThresholdAge08,"&lt;"&amp;'19_Расчет_аналитики'!B2583,WeightedRevAge08)-SUMIF(ThresholdAge08,"&lt;"&amp;'19_Расчет_аналитики'!B2583,WeightedMinAge08),MAX(CapacityAge08*'01_Вводные'!$B$218*'19_Расчет_аналитики'!B2583,MeanMinAge08)))</f>
        <v/>
      </c>
      <c r="C2495">
        <f>IF(OR('06_Сеть_и_дети'!C88=0,8&lt;='01_Вводные'!$B$297),0,'06_Сеть_и_дети'!C88*IF('01_Вводные'!$B$239="Да",MeanMinAge08+'19_Расчет_аналитики'!C2583*SUMIF(ThresholdAge08,"&lt;"&amp;'19_Расчет_аналитики'!C2583,WeightedRevAge08)-SUMIF(ThresholdAge08,"&lt;"&amp;'19_Расчет_аналитики'!C2583,WeightedMinAge08),MAX(CapacityAge08*'01_Вводные'!$B$218*'19_Расчет_аналитики'!C2583,MeanMinAge08)))</f>
        <v/>
      </c>
      <c r="D2495">
        <f>IF(OR('06_Сеть_и_дети'!D88=0,8&lt;='01_Вводные'!$B$297),0,'06_Сеть_и_дети'!D88*IF('01_Вводные'!$B$239="Да",MeanMinAge08+'19_Расчет_аналитики'!D2583*SUMIF(ThresholdAge08,"&lt;"&amp;'19_Расчет_аналитики'!D2583,WeightedRevAge08)-SUMIF(ThresholdAge08,"&lt;"&amp;'19_Расчет_аналитики'!D2583,WeightedMinAge08),MAX(CapacityAge08*'01_Вводные'!$B$218*'19_Расчет_аналитики'!D2583,MeanMinAge08)))</f>
        <v/>
      </c>
      <c r="E2495">
        <f>IF(OR('06_Сеть_и_дети'!E88=0,8&lt;='01_Вводные'!$B$297),0,'06_Сеть_и_дети'!E88*IF('01_Вводные'!$B$239="Да",MeanMinAge08+'19_Расчет_аналитики'!E2583*SUMIF(ThresholdAge08,"&lt;"&amp;'19_Расчет_аналитики'!E2583,WeightedRevAge08)-SUMIF(ThresholdAge08,"&lt;"&amp;'19_Расчет_аналитики'!E2583,WeightedMinAge08),MAX(CapacityAge08*'01_Вводные'!$B$218*'19_Расчет_аналитики'!E2583,MeanMinAge08)))</f>
        <v/>
      </c>
      <c r="F2495">
        <f>IF(OR('06_Сеть_и_дети'!F88=0,8&lt;='01_Вводные'!$B$297),0,'06_Сеть_и_дети'!F88*IF('01_Вводные'!$B$239="Да",MeanMinAge08+'19_Расчет_аналитики'!F2583*SUMIF(ThresholdAge08,"&lt;"&amp;'19_Расчет_аналитики'!F2583,WeightedRevAge08)-SUMIF(ThresholdAge08,"&lt;"&amp;'19_Расчет_аналитики'!F2583,WeightedMinAge08),MAX(CapacityAge08*'01_Вводные'!$B$218*'19_Расчет_аналитики'!F2583,MeanMinAge08)))</f>
        <v/>
      </c>
      <c r="G2495">
        <f>IF(OR('06_Сеть_и_дети'!G88=0,8&lt;='01_Вводные'!$B$297),0,'06_Сеть_и_дети'!G88*IF('01_Вводные'!$B$239="Да",MeanMinAge08+'19_Расчет_аналитики'!G2583*SUMIF(ThresholdAge08,"&lt;"&amp;'19_Расчет_аналитики'!G2583,WeightedRevAge08)-SUMIF(ThresholdAge08,"&lt;"&amp;'19_Расчет_аналитики'!G2583,WeightedMinAge08),MAX(CapacityAge08*'01_Вводные'!$B$218*'19_Расчет_аналитики'!G2583,MeanMinAge08)))</f>
        <v/>
      </c>
      <c r="H2495">
        <f>IF(OR('06_Сеть_и_дети'!H88=0,8&lt;='01_Вводные'!$B$297),0,'06_Сеть_и_дети'!H88*IF('01_Вводные'!$B$239="Да",MeanMinAge08+'19_Расчет_аналитики'!H2583*SUMIF(ThresholdAge08,"&lt;"&amp;'19_Расчет_аналитики'!H2583,WeightedRevAge08)-SUMIF(ThresholdAge08,"&lt;"&amp;'19_Расчет_аналитики'!H2583,WeightedMinAge08),MAX(CapacityAge08*'01_Вводные'!$B$218*'19_Расчет_аналитики'!H2583,MeanMinAge08)))</f>
        <v/>
      </c>
      <c r="I2495">
        <f>IF(OR('19_Расчет_аналитики'!I2467=0,8&lt;='01_Вводные'!$B$297),0,'19_Расчет_аналитики'!I2467*IF('01_Вводные'!$B$239="Да",MeanMinAge08+'19_Расчет_аналитики'!I2583*SUMIF(ThresholdAge08,"&lt;"&amp;'19_Расчет_аналитики'!I2583,WeightedRevAge08)-SUMIF(ThresholdAge08,"&lt;"&amp;'19_Расчет_аналитики'!I2583,WeightedMinAge08),MAX(CapacityAge08*'01_Вводные'!$B$218*'19_Расчет_аналитики'!I2583,MeanMinAge08)))</f>
        <v/>
      </c>
      <c r="J2495">
        <f>IF(OR('19_Расчет_аналитики'!J2467=0,8&lt;='01_Вводные'!$B$297),0,'19_Расчет_аналитики'!J2467*IF('01_Вводные'!$B$239="Да",MeanMinAge08+'19_Расчет_аналитики'!J2583*SUMIF(ThresholdAge08,"&lt;"&amp;'19_Расчет_аналитики'!J2583,WeightedRevAge08)-SUMIF(ThresholdAge08,"&lt;"&amp;'19_Расчет_аналитики'!J2583,WeightedMinAge08),MAX(CapacityAge08*'01_Вводные'!$B$218*'19_Расчет_аналитики'!J2583,MeanMinAge08)))</f>
        <v/>
      </c>
      <c r="K2495">
        <f>IF(OR('19_Расчет_аналитики'!K2467=0,8&lt;='01_Вводные'!$B$297),0,'19_Расчет_аналитики'!K2467*IF('01_Вводные'!$B$239="Да",MeanMinAge08+'19_Расчет_аналитики'!K2583*SUMIF(ThresholdAge08,"&lt;"&amp;'19_Расчет_аналитики'!K2583,WeightedRevAge08)-SUMIF(ThresholdAge08,"&lt;"&amp;'19_Расчет_аналитики'!K2583,WeightedMinAge08),MAX(CapacityAge08*'01_Вводные'!$B$218*'19_Расчет_аналитики'!K2583,MeanMinAge08)))</f>
        <v/>
      </c>
      <c r="L2495">
        <f>IF(OR('19_Расчет_аналитики'!L2467=0,8&lt;='01_Вводные'!$B$297),0,'19_Расчет_аналитики'!L2467*IF('01_Вводные'!$B$239="Да",MeanMinAge08+'19_Расчет_аналитики'!L2583*SUMIF(ThresholdAge08,"&lt;"&amp;'19_Расчет_аналитики'!L2583,WeightedRevAge08)-SUMIF(ThresholdAge08,"&lt;"&amp;'19_Расчет_аналитики'!L2583,WeightedMinAge08),MAX(CapacityAge08*'01_Вводные'!$B$218*'19_Расчет_аналитики'!L2583,MeanMinAge08)))</f>
        <v/>
      </c>
      <c r="M2495">
        <f>IF(OR('19_Расчет_аналитики'!M2467=0,8&lt;='01_Вводные'!$B$297),0,'19_Расчет_аналитики'!M2467*IF('01_Вводные'!$B$239="Да",MeanMinAge08+'19_Расчет_аналитики'!M2583*SUMIF(ThresholdAge08,"&lt;"&amp;'19_Расчет_аналитики'!M2583,WeightedRevAge08)-SUMIF(ThresholdAge08,"&lt;"&amp;'19_Расчет_аналитики'!M2583,WeightedMinAge08),MAX(CapacityAge08*'01_Вводные'!$B$218*'19_Расчет_аналитики'!M2583,MeanMinAge08)))</f>
        <v/>
      </c>
      <c r="N2495">
        <f>IF(OR('19_Расчет_аналитики'!N2467=0,8&lt;='01_Вводные'!$B$297),0,'19_Расчет_аналитики'!N2467*IF('01_Вводные'!$B$239="Да",MeanMinAge08+'19_Расчет_аналитики'!N2583*SUMIF(ThresholdAge08,"&lt;"&amp;'19_Расчет_аналитики'!N2583,WeightedRevAge08)-SUMIF(ThresholdAge08,"&lt;"&amp;'19_Расчет_аналитики'!N2583,WeightedMinAge08),MAX(CapacityAge08*'01_Вводные'!$B$218*'19_Расчет_аналитики'!N2583,MeanMinAge08)))</f>
        <v/>
      </c>
      <c r="O2495">
        <f>IF(OR('19_Расчет_аналитики'!O2467=0,8&lt;='01_Вводные'!$B$297),0,'19_Расчет_аналитики'!O2467*IF('01_Вводные'!$B$239="Да",MeanMinAge08+'19_Расчет_аналитики'!O2583*SUMIF(ThresholdAge08,"&lt;"&amp;'19_Расчет_аналитики'!O2583,WeightedRevAge08)-SUMIF(ThresholdAge08,"&lt;"&amp;'19_Расчет_аналитики'!O2583,WeightedMinAge08),MAX(CapacityAge08*'01_Вводные'!$B$218*'19_Расчет_аналитики'!O2583,MeanMinAge08)))</f>
        <v/>
      </c>
      <c r="P2495">
        <f>IF(OR('19_Расчет_аналитики'!P2467=0,8&lt;='01_Вводные'!$B$297),0,'19_Расчет_аналитики'!P2467*IF('01_Вводные'!$B$239="Да",MeanMinAge08+'19_Расчет_аналитики'!P2583*SUMIF(ThresholdAge08,"&lt;"&amp;'19_Расчет_аналитики'!P2583,WeightedRevAge08)-SUMIF(ThresholdAge08,"&lt;"&amp;'19_Расчет_аналитики'!P2583,WeightedMinAge08),MAX(CapacityAge08*'01_Вводные'!$B$218*'19_Расчет_аналитики'!P2583,MeanMinAge08)))</f>
        <v/>
      </c>
      <c r="Q2495">
        <f>IF(OR('19_Расчет_аналитики'!Q2467=0,8&lt;='01_Вводные'!$B$297),0,'19_Расчет_аналитики'!Q2467*IF('01_Вводные'!$B$239="Да",MeanMinAge08+'19_Расчет_аналитики'!Q2583*SUMIF(ThresholdAge08,"&lt;"&amp;'19_Расчет_аналитики'!Q2583,WeightedRevAge08)-SUMIF(ThresholdAge08,"&lt;"&amp;'19_Расчет_аналитики'!Q2583,WeightedMinAge08),MAX(CapacityAge08*'01_Вводные'!$B$218*'19_Расчет_аналитики'!Q2583,MeanMinAge08)))</f>
        <v/>
      </c>
      <c r="R2495">
        <f>IF(OR('19_Расчет_аналитики'!R2467=0,8&lt;='01_Вводные'!$B$297),0,'19_Расчет_аналитики'!R2467*IF('01_Вводные'!$B$239="Да",MeanMinAge08+'19_Расчет_аналитики'!R2583*SUMIF(ThresholdAge08,"&lt;"&amp;'19_Расчет_аналитики'!R2583,WeightedRevAge08)-SUMIF(ThresholdAge08,"&lt;"&amp;'19_Расчет_аналитики'!R2583,WeightedMinAge08),MAX(CapacityAge08*'01_Вводные'!$B$218*'19_Расчет_аналитики'!R2583,MeanMinAge08)))</f>
        <v/>
      </c>
      <c r="S2495">
        <f>IF(OR('19_Расчет_аналитики'!S2467=0,8&lt;='01_Вводные'!$B$297),0,'19_Расчет_аналитики'!S2467*IF('01_Вводные'!$B$239="Да",MeanMinAge08+'19_Расчет_аналитики'!S2583*SUMIF(ThresholdAge08,"&lt;"&amp;'19_Расчет_аналитики'!S2583,WeightedRevAge08)-SUMIF(ThresholdAge08,"&lt;"&amp;'19_Расчет_аналитики'!S2583,WeightedMinAge08),MAX(CapacityAge08*'01_Вводные'!$B$218*'19_Расчет_аналитики'!S2583,MeanMinAge08)))</f>
        <v/>
      </c>
      <c r="T2495">
        <f>IF(OR('19_Расчет_аналитики'!T2467=0,8&lt;='01_Вводные'!$B$297),0,'19_Расчет_аналитики'!T2467*IF('01_Вводные'!$B$239="Да",MeanMinAge08+'19_Расчет_аналитики'!T2583*SUMIF(ThresholdAge08,"&lt;"&amp;'19_Расчет_аналитики'!T2583,WeightedRevAge08)-SUMIF(ThresholdAge08,"&lt;"&amp;'19_Расчет_аналитики'!T2583,WeightedMinAge08),MAX(CapacityAge08*'01_Вводные'!$B$218*'19_Расчет_аналитики'!T2583,MeanMinAge08)))</f>
        <v/>
      </c>
      <c r="U2495">
        <f>IF(OR('19_Расчет_аналитики'!U2467=0,8&lt;='01_Вводные'!$B$297),0,'19_Расчет_аналитики'!U2467*IF('01_Вводные'!$B$239="Да",MeanMinAge08+'19_Расчет_аналитики'!U2583*SUMIF(ThresholdAge08,"&lt;"&amp;'19_Расчет_аналитики'!U2583,WeightedRevAge08)-SUMIF(ThresholdAge08,"&lt;"&amp;'19_Расчет_аналитики'!U2583,WeightedMinAge08),MAX(CapacityAge08*'01_Вводные'!$B$218*'19_Расчет_аналитики'!U2583,MeanMinAge08)))</f>
        <v/>
      </c>
      <c r="V2495">
        <f>IF(OR('19_Расчет_аналитики'!V2467=0,8&lt;='01_Вводные'!$B$297),0,'19_Расчет_аналитики'!V2467*IF('01_Вводные'!$B$239="Да",MeanMinAge08+'19_Расчет_аналитики'!V2583*SUMIF(ThresholdAge08,"&lt;"&amp;'19_Расчет_аналитики'!V2583,WeightedRevAge08)-SUMIF(ThresholdAge08,"&lt;"&amp;'19_Расчет_аналитики'!V2583,WeightedMinAge08),MAX(CapacityAge08*'01_Вводные'!$B$218*'19_Расчет_аналитики'!V2583,MeanMinAge08)))</f>
        <v/>
      </c>
      <c r="W2495">
        <f>IF(OR('19_Расчет_аналитики'!W2467=0,8&lt;='01_Вводные'!$B$297),0,'19_Расчет_аналитики'!W2467*IF('01_Вводные'!$B$239="Да",MeanMinAge08+'19_Расчет_аналитики'!W2583*SUMIF(ThresholdAge08,"&lt;"&amp;'19_Расчет_аналитики'!W2583,WeightedRevAge08)-SUMIF(ThresholdAge08,"&lt;"&amp;'19_Расчет_аналитики'!W2583,WeightedMinAge08),MAX(CapacityAge08*'01_Вводные'!$B$218*'19_Расчет_аналитики'!W2583,MeanMinAge08)))</f>
        <v/>
      </c>
      <c r="X2495">
        <f>IF(OR('19_Расчет_аналитики'!X2467=0,8&lt;='01_Вводные'!$B$297),0,'19_Расчет_аналитики'!X2467*IF('01_Вводные'!$B$239="Да",MeanMinAge08+'19_Расчет_аналитики'!X2583*SUMIF(ThresholdAge08,"&lt;"&amp;'19_Расчет_аналитики'!X2583,WeightedRevAge08)-SUMIF(ThresholdAge08,"&lt;"&amp;'19_Расчет_аналитики'!X2583,WeightedMinAge08),MAX(CapacityAge08*'01_Вводные'!$B$218*'19_Расчет_аналитики'!X2583,MeanMinAge08)))</f>
        <v/>
      </c>
      <c r="Y2495">
        <f>IF(OR('19_Расчет_аналитики'!Y2467=0,8&lt;='01_Вводные'!$B$297),0,'19_Расчет_аналитики'!Y2467*IF('01_Вводные'!$B$239="Да",MeanMinAge08+'19_Расчет_аналитики'!Y2583*SUMIF(ThresholdAge08,"&lt;"&amp;'19_Расчет_аналитики'!Y2583,WeightedRevAge08)-SUMIF(ThresholdAge08,"&lt;"&amp;'19_Расчет_аналитики'!Y2583,WeightedMinAge08),MAX(CapacityAge08*'01_Вводные'!$B$218*'19_Расчет_аналитики'!Y2583,MeanMinAge08)))</f>
        <v/>
      </c>
      <c r="Z2495">
        <f>IF(OR('19_Расчет_аналитики'!Z2467=0,8&lt;='01_Вводные'!$B$297),0,'19_Расчет_аналитики'!Z2467*IF('01_Вводные'!$B$239="Да",MeanMinAge08+'19_Расчет_аналитики'!Z2583*SUMIF(ThresholdAge08,"&lt;"&amp;'19_Расчет_аналитики'!Z2583,WeightedRevAge08)-SUMIF(ThresholdAge08,"&lt;"&amp;'19_Расчет_аналитики'!Z2583,WeightedMinAge08),MAX(CapacityAge08*'01_Вводные'!$B$218*'19_Расчет_аналитики'!Z2583,MeanMinAge08)))</f>
        <v/>
      </c>
      <c r="AA2495">
        <f>IF(OR('19_Расчет_аналитики'!AA2467=0,8&lt;='01_Вводные'!$B$297),0,'19_Расчет_аналитики'!AA2467*IF('01_Вводные'!$B$239="Да",MeanMinAge08+'19_Расчет_аналитики'!AA2583*SUMIF(ThresholdAge08,"&lt;"&amp;'19_Расчет_аналитики'!AA2583,WeightedRevAge08)-SUMIF(ThresholdAge08,"&lt;"&amp;'19_Расчет_аналитики'!AA2583,WeightedMinAge08),MAX(CapacityAge08*'01_Вводные'!$B$218*'19_Расчет_аналитики'!AA2583,MeanMinAge08)))</f>
        <v/>
      </c>
      <c r="AB2495">
        <f>IF(OR('19_Расчет_аналитики'!AB2467=0,8&lt;='01_Вводные'!$B$297),0,'19_Расчет_аналитики'!AB2467*IF('01_Вводные'!$B$239="Да",MeanMinAge08+'19_Расчет_аналитики'!AB2583*SUMIF(ThresholdAge08,"&lt;"&amp;'19_Расчет_аналитики'!AB2583,WeightedRevAge08)-SUMIF(ThresholdAge08,"&lt;"&amp;'19_Расчет_аналитики'!AB2583,WeightedMinAge08),MAX(CapacityAge08*'01_Вводные'!$B$218*'19_Расчет_аналитики'!AB2583,MeanMinAge08)))</f>
        <v/>
      </c>
      <c r="AC2495">
        <f>IF(OR('19_Расчет_аналитики'!AC2467=0,8&lt;='01_Вводные'!$B$297),0,'19_Расчет_аналитики'!AC2467*IF('01_Вводные'!$B$239="Да",MeanMinAge08+'19_Расчет_аналитики'!AC2583*SUMIF(ThresholdAge08,"&lt;"&amp;'19_Расчет_аналитики'!AC2583,WeightedRevAge08)-SUMIF(ThresholdAge08,"&lt;"&amp;'19_Расчет_аналитики'!AC2583,WeightedMinAge08),MAX(CapacityAge08*'01_Вводные'!$B$218*'19_Расчет_аналитики'!AC2583,MeanMinAge08)))</f>
        <v/>
      </c>
      <c r="AD2495">
        <f>IF(OR('19_Расчет_аналитики'!AD2467=0,8&lt;='01_Вводные'!$B$297),0,'19_Расчет_аналитики'!AD2467*IF('01_Вводные'!$B$239="Да",MeanMinAge08+'19_Расчет_аналитики'!AD2583*SUMIF(ThresholdAge08,"&lt;"&amp;'19_Расчет_аналитики'!AD2583,WeightedRevAge08)-SUMIF(ThresholdAge08,"&lt;"&amp;'19_Расчет_аналитики'!AD2583,WeightedMinAge08),MAX(CapacityAge08*'01_Вводные'!$B$218*'19_Расчет_аналитики'!AD2583,MeanMinAge08)))</f>
        <v/>
      </c>
      <c r="AE2495">
        <f>IF(OR('19_Расчет_аналитики'!AE2467=0,8&lt;='01_Вводные'!$B$297),0,'19_Расчет_аналитики'!AE2467*IF('01_Вводные'!$B$239="Да",MeanMinAge08+'19_Расчет_аналитики'!AE2583*SUMIF(ThresholdAge08,"&lt;"&amp;'19_Расчет_аналитики'!AE2583,WeightedRevAge08)-SUMIF(ThresholdAge08,"&lt;"&amp;'19_Расчет_аналитики'!AE2583,WeightedMinAge08),MAX(CapacityAge08*'01_Вводные'!$B$218*'19_Расчет_аналитики'!AE2583,MeanMinAge08)))</f>
        <v/>
      </c>
      <c r="AF2495">
        <f>IF(OR('19_Расчет_аналитики'!AF2467=0,8&lt;='01_Вводные'!$B$297),0,'19_Расчет_аналитики'!AF2467*IF('01_Вводные'!$B$239="Да",MeanMinAge08+'19_Расчет_аналитики'!AF2583*SUMIF(ThresholdAge08,"&lt;"&amp;'19_Расчет_аналитики'!AF2583,WeightedRevAge08)-SUMIF(ThresholdAge08,"&lt;"&amp;'19_Расчет_аналитики'!AF2583,WeightedMinAge08),MAX(CapacityAge08*'01_Вводные'!$B$218*'19_Расчет_аналитики'!AF2583,MeanMinAge08)))</f>
        <v/>
      </c>
      <c r="AG2495">
        <f>IF(OR('19_Расчет_аналитики'!AG2467=0,8&lt;='01_Вводные'!$B$297),0,'19_Расчет_аналитики'!AG2467*IF('01_Вводные'!$B$239="Да",MeanMinAge08+'19_Расчет_аналитики'!AG2583*SUMIF(ThresholdAge08,"&lt;"&amp;'19_Расчет_аналитики'!AG2583,WeightedRevAge08)-SUMIF(ThresholdAge08,"&lt;"&amp;'19_Расчет_аналитики'!AG2583,WeightedMinAge08),MAX(CapacityAge08*'01_Вводные'!$B$218*'19_Расчет_аналитики'!AG2583,MeanMinAge08)))</f>
        <v/>
      </c>
      <c r="AH2495">
        <f>IF(OR('19_Расчет_аналитики'!AH2467=0,8&lt;='01_Вводные'!$B$297),0,'19_Расчет_аналитики'!AH2467*IF('01_Вводные'!$B$239="Да",MeanMinAge08+'19_Расчет_аналитики'!AH2583*SUMIF(ThresholdAge08,"&lt;"&amp;'19_Расчет_аналитики'!AH2583,WeightedRevAge08)-SUMIF(ThresholdAge08,"&lt;"&amp;'19_Расчет_аналитики'!AH2583,WeightedMinAge08),MAX(CapacityAge08*'01_Вводные'!$B$218*'19_Расчет_аналитики'!AH2583,MeanMinAge08)))</f>
        <v/>
      </c>
      <c r="AI2495">
        <f>IF(OR('19_Расчет_аналитики'!AI2467=0,8&lt;='01_Вводные'!$B$297),0,'19_Расчет_аналитики'!AI2467*IF('01_Вводные'!$B$239="Да",MeanMinAge08+'19_Расчет_аналитики'!AI2583*SUMIF(ThresholdAge08,"&lt;"&amp;'19_Расчет_аналитики'!AI2583,WeightedRevAge08)-SUMIF(ThresholdAge08,"&lt;"&amp;'19_Расчет_аналитики'!AI2583,WeightedMinAge08),MAX(CapacityAge08*'01_Вводные'!$B$218*'19_Расчет_аналитики'!AI2583,MeanMinAge08)))</f>
        <v/>
      </c>
      <c r="AJ2495">
        <f>IF(OR('19_Расчет_аналитики'!AJ2467=0,8&lt;='01_Вводные'!$B$297),0,'19_Расчет_аналитики'!AJ2467*IF('01_Вводные'!$B$239="Да",MeanMinAge08+'19_Расчет_аналитики'!AJ2583*SUMIF(ThresholdAge08,"&lt;"&amp;'19_Расчет_аналитики'!AJ2583,WeightedRevAge08)-SUMIF(ThresholdAge08,"&lt;"&amp;'19_Расчет_аналитики'!AJ2583,WeightedMinAge08),MAX(CapacityAge08*'01_Вводные'!$B$218*'19_Расчет_аналитики'!AJ2583,MeanMinAge08)))</f>
        <v/>
      </c>
      <c r="AK2495">
        <f>IF(OR('19_Расчет_аналитики'!AK2467=0,8&lt;='01_Вводные'!$B$297),0,'19_Расчет_аналитики'!AK2467*IF('01_Вводные'!$B$239="Да",MeanMinAge08+'19_Расчет_аналитики'!AK2583*SUMIF(ThresholdAge08,"&lt;"&amp;'19_Расчет_аналитики'!AK2583,WeightedRevAge08)-SUMIF(ThresholdAge08,"&lt;"&amp;'19_Расчет_аналитики'!AK2583,WeightedMinAge08),MAX(CapacityAge08*'01_Вводные'!$B$218*'19_Расчет_аналитики'!AK2583,MeanMinAge08)))</f>
        <v/>
      </c>
      <c r="AL2495">
        <f>IF(OR('19_Расчет_аналитики'!AL2467=0,8&lt;='01_Вводные'!$B$297),0,'19_Расчет_аналитики'!AL2467*IF('01_Вводные'!$B$239="Да",MeanMinAge08+'19_Расчет_аналитики'!AL2583*SUMIF(ThresholdAge08,"&lt;"&amp;'19_Расчет_аналитики'!AL2583,WeightedRevAge08)-SUMIF(ThresholdAge08,"&lt;"&amp;'19_Расчет_аналитики'!AL2583,WeightedMinAge08),MAX(CapacityAge08*'01_Вводные'!$B$218*'19_Расчет_аналитики'!AL2583,MeanMinAge08)))</f>
        <v/>
      </c>
      <c r="AM2495">
        <f>IF(OR('19_Расчет_аналитики'!AM2467=0,8&lt;='01_Вводные'!$B$297),0,'19_Расчет_аналитики'!AM2467*IF('01_Вводные'!$B$239="Да",MeanMinAge08+'19_Расчет_аналитики'!AM2583*SUMIF(ThresholdAge08,"&lt;"&amp;'19_Расчет_аналитики'!AM2583,WeightedRevAge08)-SUMIF(ThresholdAge08,"&lt;"&amp;'19_Расчет_аналитики'!AM2583,WeightedMinAge08),MAX(CapacityAge08*'01_Вводные'!$B$218*'19_Расчет_аналитики'!AM2583,MeanMinAge08)))</f>
        <v/>
      </c>
      <c r="AN2495">
        <f>IF(OR('19_Расчет_аналитики'!AN2467=0,8&lt;='01_Вводные'!$B$297),0,'19_Расчет_аналитики'!AN2467*IF('01_Вводные'!$B$239="Да",MeanMinAge08+'19_Расчет_аналитики'!AN2583*SUMIF(ThresholdAge08,"&lt;"&amp;'19_Расчет_аналитики'!AN2583,WeightedRevAge08)-SUMIF(ThresholdAge08,"&lt;"&amp;'19_Расчет_аналитики'!AN2583,WeightedMinAge08),MAX(CapacityAge08*'01_Вводные'!$B$218*'19_Расчет_аналитики'!AN2583,MeanMinAge08)))</f>
        <v/>
      </c>
      <c r="AO2495">
        <f>IF(OR('19_Расчет_аналитики'!AO2467=0,8&lt;='01_Вводные'!$B$297),0,'19_Расчет_аналитики'!AO2467*IF('01_Вводные'!$B$239="Да",MeanMinAge08+'19_Расчет_аналитики'!AO2583*SUMIF(ThresholdAge08,"&lt;"&amp;'19_Расчет_аналитики'!AO2583,WeightedRevAge08)-SUMIF(ThresholdAge08,"&lt;"&amp;'19_Расчет_аналитики'!AO2583,WeightedMinAge08),MAX(CapacityAge08*'01_Вводные'!$B$218*'19_Расчет_аналитики'!AO2583,MeanMinAge08)))</f>
        <v/>
      </c>
      <c r="AP2495">
        <f>IF(OR('19_Расчет_аналитики'!AP2467=0,8&lt;='01_Вводные'!$B$297),0,'19_Расчет_аналитики'!AP2467*IF('01_Вводные'!$B$239="Да",MeanMinAge08+'19_Расчет_аналитики'!AP2583*SUMIF(ThresholdAge08,"&lt;"&amp;'19_Расчет_аналитики'!AP2583,WeightedRevAge08)-SUMIF(ThresholdAge08,"&lt;"&amp;'19_Расчет_аналитики'!AP2583,WeightedMinAge08),MAX(CapacityAge08*'01_Вводные'!$B$218*'19_Расчет_аналитики'!AP2583,MeanMinAge08)))</f>
        <v/>
      </c>
      <c r="AQ2495">
        <f>IF(OR('19_Расчет_аналитики'!AQ2467=0,8&lt;='01_Вводные'!$B$297),0,'19_Расчет_аналитики'!AQ2467*IF('01_Вводные'!$B$239="Да",MeanMinAge08+'19_Расчет_аналитики'!AQ2583*SUMIF(ThresholdAge08,"&lt;"&amp;'19_Расчет_аналитики'!AQ2583,WeightedRevAge08)-SUMIF(ThresholdAge08,"&lt;"&amp;'19_Расчет_аналитики'!AQ2583,WeightedMinAge08),MAX(CapacityAge08*'01_Вводные'!$B$218*'19_Расчет_аналитики'!AQ2583,MeanMinAge08)))</f>
        <v/>
      </c>
      <c r="AR2495">
        <f>IF(OR('19_Расчет_аналитики'!AR2467=0,8&lt;='01_Вводные'!$B$297),0,'19_Расчет_аналитики'!AR2467*IF('01_Вводные'!$B$239="Да",MeanMinAge08+'19_Расчет_аналитики'!AR2583*SUMIF(ThresholdAge08,"&lt;"&amp;'19_Расчет_аналитики'!AR2583,WeightedRevAge08)-SUMIF(ThresholdAge08,"&lt;"&amp;'19_Расчет_аналитики'!AR2583,WeightedMinAge08),MAX(CapacityAge08*'01_Вводные'!$B$218*'19_Расчет_аналитики'!AR2583,MeanMinAge08)))</f>
        <v/>
      </c>
      <c r="AS2495">
        <f>IF(OR('19_Расчет_аналитики'!AS2467=0,8&lt;='01_Вводные'!$B$297),0,'19_Расчет_аналитики'!AS2467*IF('01_Вводные'!$B$239="Да",MeanMinAge08+'19_Расчет_аналитики'!AS2583*SUMIF(ThresholdAge08,"&lt;"&amp;'19_Расчет_аналитики'!AS2583,WeightedRevAge08)-SUMIF(ThresholdAge08,"&lt;"&amp;'19_Расчет_аналитики'!AS2583,WeightedMinAge08),MAX(CapacityAge08*'01_Вводные'!$B$218*'19_Расчет_аналитики'!AS2583,MeanMinAge08)))</f>
        <v/>
      </c>
      <c r="AT2495">
        <f>IF(OR('19_Расчет_аналитики'!AT2467=0,8&lt;='01_Вводные'!$B$297),0,'19_Расчет_аналитики'!AT2467*IF('01_Вводные'!$B$239="Да",MeanMinAge08+'19_Расчет_аналитики'!AT2583*SUMIF(ThresholdAge08,"&lt;"&amp;'19_Расчет_аналитики'!AT2583,WeightedRevAge08)-SUMIF(ThresholdAge08,"&lt;"&amp;'19_Расчет_аналитики'!AT2583,WeightedMinAge08),MAX(CapacityAge08*'01_Вводные'!$B$218*'19_Расчет_аналитики'!AT2583,MeanMinAge08)))</f>
        <v/>
      </c>
      <c r="AU2495">
        <f>IF(OR('19_Расчет_аналитики'!AU2467=0,8&lt;='01_Вводные'!$B$297),0,'19_Расчет_аналитики'!AU2467*IF('01_Вводные'!$B$239="Да",MeanMinAge08+'19_Расчет_аналитики'!AU2583*SUMIF(ThresholdAge08,"&lt;"&amp;'19_Расчет_аналитики'!AU2583,WeightedRevAge08)-SUMIF(ThresholdAge08,"&lt;"&amp;'19_Расчет_аналитики'!AU2583,WeightedMinAge08),MAX(CapacityAge08*'01_Вводные'!$B$218*'19_Расчет_аналитики'!AU2583,MeanMinAge08)))</f>
        <v/>
      </c>
      <c r="AV2495">
        <f>IF(OR('19_Расчет_аналитики'!AV2467=0,8&lt;='01_Вводные'!$B$297),0,'19_Расчет_аналитики'!AV2467*IF('01_Вводные'!$B$239="Да",MeanMinAge08+'19_Расчет_аналитики'!AV2583*SUMIF(ThresholdAge08,"&lt;"&amp;'19_Расчет_аналитики'!AV2583,WeightedRevAge08)-SUMIF(ThresholdAge08,"&lt;"&amp;'19_Расчет_аналитики'!AV2583,WeightedMinAge08),MAX(CapacityAge08*'01_Вводные'!$B$218*'19_Расчет_аналитики'!AV2583,MeanMinAge08)))</f>
        <v/>
      </c>
      <c r="AW2495">
        <f>IF(OR('19_Расчет_аналитики'!AW2467=0,8&lt;='01_Вводные'!$B$297),0,'19_Расчет_аналитики'!AW2467*IF('01_Вводные'!$B$239="Да",MeanMinAge08+'19_Расчет_аналитики'!AW2583*SUMIF(ThresholdAge08,"&lt;"&amp;'19_Расчет_аналитики'!AW2583,WeightedRevAge08)-SUMIF(ThresholdAge08,"&lt;"&amp;'19_Расчет_аналитики'!AW2583,WeightedMinAge08),MAX(CapacityAge08*'01_Вводные'!$B$218*'19_Расчет_аналитики'!AW2583,MeanMinAge08)))</f>
        <v/>
      </c>
      <c r="AX2495">
        <f>IF(OR('19_Расчет_аналитики'!AX2467=0,8&lt;='01_Вводные'!$B$297),0,'19_Расчет_аналитики'!AX2467*IF('01_Вводные'!$B$239="Да",MeanMinAge08+'19_Расчет_аналитики'!AX2583*SUMIF(ThresholdAge08,"&lt;"&amp;'19_Расчет_аналитики'!AX2583,WeightedRevAge08)-SUMIF(ThresholdAge08,"&lt;"&amp;'19_Расчет_аналитики'!AX2583,WeightedMinAge08),MAX(CapacityAge08*'01_Вводные'!$B$218*'19_Расчет_аналитики'!AX2583,MeanMinAge08)))</f>
        <v/>
      </c>
      <c r="AY2495">
        <f>IF(OR('19_Расчет_аналитики'!AY2467=0,8&lt;='01_Вводные'!$B$297),0,'19_Расчет_аналитики'!AY2467*IF('01_Вводные'!$B$239="Да",MeanMinAge08+'19_Расчет_аналитики'!AY2583*SUMIF(ThresholdAge08,"&lt;"&amp;'19_Расчет_аналитики'!AY2583,WeightedRevAge08)-SUMIF(ThresholdAge08,"&lt;"&amp;'19_Расчет_аналитики'!AY2583,WeightedMinAge08),MAX(CapacityAge08*'01_Вводные'!$B$218*'19_Расчет_аналитики'!AY2583,MeanMinAge08)))</f>
        <v/>
      </c>
      <c r="AZ2495">
        <f>IF(OR('19_Расчет_аналитики'!AZ2467=0,8&lt;='01_Вводные'!$B$297),0,'19_Расчет_аналитики'!AZ2467*IF('01_Вводные'!$B$239="Да",MeanMinAge08+'19_Расчет_аналитики'!AZ2583*SUMIF(ThresholdAge08,"&lt;"&amp;'19_Расчет_аналитики'!AZ2583,WeightedRevAge08)-SUMIF(ThresholdAge08,"&lt;"&amp;'19_Расчет_аналитики'!AZ2583,WeightedMinAge08),MAX(CapacityAge08*'01_Вводные'!$B$218*'19_Расчет_аналитики'!AZ2583,MeanMinAge08)))</f>
        <v/>
      </c>
      <c r="BA2495">
        <f>IF(OR('19_Расчет_аналитики'!BA2467=0,8&lt;='01_Вводные'!$B$297),0,'19_Расчет_аналитики'!BA2467*IF('01_Вводные'!$B$239="Да",MeanMinAge08+'19_Расчет_аналитики'!BA2583*SUMIF(ThresholdAge08,"&lt;"&amp;'19_Расчет_аналитики'!BA2583,WeightedRevAge08)-SUMIF(ThresholdAge08,"&lt;"&amp;'19_Расчет_аналитики'!BA2583,WeightedMinAge08),MAX(CapacityAge08*'01_Вводные'!$B$218*'19_Расчет_аналитики'!BA2583,MeanMinAge08)))</f>
        <v/>
      </c>
      <c r="BB2495">
        <f>IF(OR('19_Расчет_аналитики'!BB2467=0,8&lt;='01_Вводные'!$B$297),0,'19_Расчет_аналитики'!BB2467*IF('01_Вводные'!$B$239="Да",MeanMinAge08+'19_Расчет_аналитики'!BB2583*SUMIF(ThresholdAge08,"&lt;"&amp;'19_Расчет_аналитики'!BB2583,WeightedRevAge08)-SUMIF(ThresholdAge08,"&lt;"&amp;'19_Расчет_аналитики'!BB2583,WeightedMinAge08),MAX(CapacityAge08*'01_Вводные'!$B$218*'19_Расчет_аналитики'!BB2583,MeanMinAge08)))</f>
        <v/>
      </c>
      <c r="BC2495">
        <f>IF(OR('19_Расчет_аналитики'!BC2467=0,8&lt;='01_Вводные'!$B$297),0,'19_Расчет_аналитики'!BC2467*IF('01_Вводные'!$B$239="Да",MeanMinAge08+'19_Расчет_аналитики'!BC2583*SUMIF(ThresholdAge08,"&lt;"&amp;'19_Расчет_аналитики'!BC2583,WeightedRevAge08)-SUMIF(ThresholdAge08,"&lt;"&amp;'19_Расчет_аналитики'!BC2583,WeightedMinAge08),MAX(CapacityAge08*'01_Вводные'!$B$218*'19_Расчет_аналитики'!BC2583,MeanMinAge08)))</f>
        <v/>
      </c>
      <c r="BD2495">
        <f>IF(OR('19_Расчет_аналитики'!BD2467=0,8&lt;='01_Вводные'!$B$297),0,'19_Расчет_аналитики'!BD2467*IF('01_Вводные'!$B$239="Да",MeanMinAge08+'19_Расчет_аналитики'!BD2583*SUMIF(ThresholdAge08,"&lt;"&amp;'19_Расчет_аналитики'!BD2583,WeightedRevAge08)-SUMIF(ThresholdAge08,"&lt;"&amp;'19_Расчет_аналитики'!BD2583,WeightedMinAge08),MAX(CapacityAge08*'01_Вводные'!$B$218*'19_Расчет_аналитики'!BD2583,MeanMinAge08)))</f>
        <v/>
      </c>
      <c r="BE2495">
        <f>IF(OR('19_Расчет_аналитики'!BE2467=0,8&lt;='01_Вводные'!$B$297),0,'19_Расчет_аналитики'!BE2467*IF('01_Вводные'!$B$239="Да",MeanMinAge08+'19_Расчет_аналитики'!BE2583*SUMIF(ThresholdAge08,"&lt;"&amp;'19_Расчет_аналитики'!BE2583,WeightedRevAge08)-SUMIF(ThresholdAge08,"&lt;"&amp;'19_Расчет_аналитики'!BE2583,WeightedMinAge08),MAX(CapacityAge08*'01_Вводные'!$B$218*'19_Расчет_аналитики'!BE2583,MeanMinAge08)))</f>
        <v/>
      </c>
      <c r="BF2495">
        <f>IF(OR('19_Расчет_аналитики'!BF2467=0,8&lt;='01_Вводные'!$B$297),0,'19_Расчет_аналитики'!BF2467*IF('01_Вводные'!$B$239="Да",MeanMinAge08+'19_Расчет_аналитики'!BF2583*SUMIF(ThresholdAge08,"&lt;"&amp;'19_Расчет_аналитики'!BF2583,WeightedRevAge08)-SUMIF(ThresholdAge08,"&lt;"&amp;'19_Расчет_аналитики'!BF2583,WeightedMinAge08),MAX(CapacityAge08*'01_Вводные'!$B$218*'19_Расчет_аналитики'!BF2583,MeanMinAge08)))</f>
        <v/>
      </c>
      <c r="BG2495">
        <f>IF(OR('19_Расчет_аналитики'!BG2467=0,8&lt;='01_Вводные'!$B$297),0,'19_Расчет_аналитики'!BG2467*IF('01_Вводные'!$B$239="Да",MeanMinAge08+'19_Расчет_аналитики'!BG2583*SUMIF(ThresholdAge08,"&lt;"&amp;'19_Расчет_аналитики'!BG2583,WeightedRevAge08)-SUMIF(ThresholdAge08,"&lt;"&amp;'19_Расчет_аналитики'!BG2583,WeightedMinAge08),MAX(CapacityAge08*'01_Вводные'!$B$218*'19_Расчет_аналитики'!BG2583,MeanMinAge08)))</f>
        <v/>
      </c>
      <c r="BH2495">
        <f>IF(OR('19_Расчет_аналитики'!BH2467=0,8&lt;='01_Вводные'!$B$297),0,'19_Расчет_аналитики'!BH2467*IF('01_Вводные'!$B$239="Да",MeanMinAge08+'19_Расчет_аналитики'!BH2583*SUMIF(ThresholdAge08,"&lt;"&amp;'19_Расчет_аналитики'!BH2583,WeightedRevAge08)-SUMIF(ThresholdAge08,"&lt;"&amp;'19_Расчет_аналитики'!BH2583,WeightedMinAge08),MAX(CapacityAge08*'01_Вводные'!$B$218*'19_Расчет_аналитики'!BH2583,MeanMinAge08)))</f>
        <v/>
      </c>
      <c r="BI2495">
        <f>IF(OR('19_Расчет_аналитики'!BI2467=0,8&lt;='01_Вводные'!$B$297),0,'19_Расчет_аналитики'!BI2467*IF('01_Вводные'!$B$239="Да",MeanMinAge08+'19_Расчет_аналитики'!BI2583*SUMIF(ThresholdAge08,"&lt;"&amp;'19_Расчет_аналитики'!BI2583,WeightedRevAge08)-SUMIF(ThresholdAge08,"&lt;"&amp;'19_Расчет_аналитики'!BI2583,WeightedMinAge08),MAX(CapacityAge08*'01_Вводные'!$B$218*'19_Расчет_аналитики'!BI2583,MeanMinAge08)))</f>
        <v/>
      </c>
      <c r="BJ2495">
        <f>IF(OR('19_Расчет_аналитики'!BJ2467=0,8&lt;='01_Вводные'!$B$297),0,'19_Расчет_аналитики'!BJ2467*IF('01_Вводные'!$B$239="Да",MeanMinAge08+'19_Расчет_аналитики'!BJ2583*SUMIF(ThresholdAge08,"&lt;"&amp;'19_Расчет_аналитики'!BJ2583,WeightedRevAge08)-SUMIF(ThresholdAge08,"&lt;"&amp;'19_Расчет_аналитики'!BJ2583,WeightedMinAge08),MAX(CapacityAge08*'01_Вводные'!$B$218*'19_Расчет_аналитики'!BJ2583,MeanMinAge08)))</f>
        <v/>
      </c>
      <c r="BK2495">
        <f>IF(OR('19_Расчет_аналитики'!BK2467=0,8&lt;='01_Вводные'!$B$297),0,'19_Расчет_аналитики'!BK2467*IF('01_Вводные'!$B$239="Да",MeanMinAge08+'19_Расчет_аналитики'!BK2583*SUMIF(ThresholdAge08,"&lt;"&amp;'19_Расчет_аналитики'!BK2583,WeightedRevAge08)-SUMIF(ThresholdAge08,"&lt;"&amp;'19_Расчет_аналитики'!BK2583,WeightedMinAge08),MAX(CapacityAge08*'01_Вводные'!$B$218*'19_Расчет_аналитики'!BK2583,MeanMinAge08)))</f>
        <v/>
      </c>
      <c r="BL2495">
        <f>IF(OR('19_Расчет_аналитики'!BL2467=0,8&lt;='01_Вводные'!$B$297),0,'19_Расчет_аналитики'!BL2467*IF('01_Вводные'!$B$239="Да",MeanMinAge08+'19_Расчет_аналитики'!BL2583*SUMIF(ThresholdAge08,"&lt;"&amp;'19_Расчет_аналитики'!BL2583,WeightedRevAge08)-SUMIF(ThresholdAge08,"&lt;"&amp;'19_Расчет_аналитики'!BL2583,WeightedMinAge08),MAX(CapacityAge08*'01_Вводные'!$B$218*'19_Расчет_аналитики'!BL2583,MeanMinAge08)))</f>
        <v/>
      </c>
      <c r="BM2495">
        <f>IF(OR('19_Расчет_аналитики'!BM2467=0,8&lt;='01_Вводные'!$B$297),0,'19_Расчет_аналитики'!BM2467*IF('01_Вводные'!$B$239="Да",MeanMinAge08+'19_Расчет_аналитики'!BM2583*SUMIF(ThresholdAge08,"&lt;"&amp;'19_Расчет_аналитики'!BM2583,WeightedRevAge08)-SUMIF(ThresholdAge08,"&lt;"&amp;'19_Расчет_аналитики'!BM2583,WeightedMinAge08),MAX(CapacityAge08*'01_Вводные'!$B$218*'19_Расчет_аналитики'!BM2583,MeanMinAge08)))</f>
        <v/>
      </c>
      <c r="BN2495">
        <f>IF(OR('19_Расчет_аналитики'!BN2467=0,8&lt;='01_Вводные'!$B$297),0,'19_Расчет_аналитики'!BN2467*IF('01_Вводные'!$B$239="Да",MeanMinAge08+'19_Расчет_аналитики'!BN2583*SUMIF(ThresholdAge08,"&lt;"&amp;'19_Расчет_аналитики'!BN2583,WeightedRevAge08)-SUMIF(ThresholdAge08,"&lt;"&amp;'19_Расчет_аналитики'!BN2583,WeightedMinAge08),MAX(CapacityAge08*'01_Вводные'!$B$218*'19_Расчет_аналитики'!BN2583,MeanMinAge08)))</f>
        <v/>
      </c>
      <c r="BO2495">
        <f>IF(OR('19_Расчет_аналитики'!BO2467=0,8&lt;='01_Вводные'!$B$297),0,'19_Расчет_аналитики'!BO2467*IF('01_Вводные'!$B$239="Да",MeanMinAge08+'19_Расчет_аналитики'!BO2583*SUMIF(ThresholdAge08,"&lt;"&amp;'19_Расчет_аналитики'!BO2583,WeightedRevAge08)-SUMIF(ThresholdAge08,"&lt;"&amp;'19_Расчет_аналитики'!BO2583,WeightedMinAge08),MAX(CapacityAge08*'01_Вводные'!$B$218*'19_Расчет_аналитики'!BO2583,MeanMinAge08)))</f>
        <v/>
      </c>
    </row>
    <row r="2496">
      <c r="B2496">
        <f>IF(OR('06_Сеть_и_дети'!B89=0,9&lt;='01_Вводные'!$B$297),0,'06_Сеть_и_дети'!B89*IF('01_Вводные'!$B$239="Да",MeanMinAge09+'19_Расчет_аналитики'!B2583*SUMIF(ThresholdAge09,"&lt;"&amp;'19_Расчет_аналитики'!B2583,WeightedRevAge09)-SUMIF(ThresholdAge09,"&lt;"&amp;'19_Расчет_аналитики'!B2583,WeightedMinAge09),MAX(CapacityAge09*'01_Вводные'!$B$218*'19_Расчет_аналитики'!B2583,MeanMinAge09)))</f>
        <v/>
      </c>
      <c r="C2496">
        <f>IF(OR('06_Сеть_и_дети'!C89=0,9&lt;='01_Вводные'!$B$297),0,'06_Сеть_и_дети'!C89*IF('01_Вводные'!$B$239="Да",MeanMinAge09+'19_Расчет_аналитики'!C2583*SUMIF(ThresholdAge09,"&lt;"&amp;'19_Расчет_аналитики'!C2583,WeightedRevAge09)-SUMIF(ThresholdAge09,"&lt;"&amp;'19_Расчет_аналитики'!C2583,WeightedMinAge09),MAX(CapacityAge09*'01_Вводные'!$B$218*'19_Расчет_аналитики'!C2583,MeanMinAge09)))</f>
        <v/>
      </c>
      <c r="D2496">
        <f>IF(OR('06_Сеть_и_дети'!D89=0,9&lt;='01_Вводные'!$B$297),0,'06_Сеть_и_дети'!D89*IF('01_Вводные'!$B$239="Да",MeanMinAge09+'19_Расчет_аналитики'!D2583*SUMIF(ThresholdAge09,"&lt;"&amp;'19_Расчет_аналитики'!D2583,WeightedRevAge09)-SUMIF(ThresholdAge09,"&lt;"&amp;'19_Расчет_аналитики'!D2583,WeightedMinAge09),MAX(CapacityAge09*'01_Вводные'!$B$218*'19_Расчет_аналитики'!D2583,MeanMinAge09)))</f>
        <v/>
      </c>
      <c r="E2496">
        <f>IF(OR('06_Сеть_и_дети'!E89=0,9&lt;='01_Вводные'!$B$297),0,'06_Сеть_и_дети'!E89*IF('01_Вводные'!$B$239="Да",MeanMinAge09+'19_Расчет_аналитики'!E2583*SUMIF(ThresholdAge09,"&lt;"&amp;'19_Расчет_аналитики'!E2583,WeightedRevAge09)-SUMIF(ThresholdAge09,"&lt;"&amp;'19_Расчет_аналитики'!E2583,WeightedMinAge09),MAX(CapacityAge09*'01_Вводные'!$B$218*'19_Расчет_аналитики'!E2583,MeanMinAge09)))</f>
        <v/>
      </c>
      <c r="F2496">
        <f>IF(OR('06_Сеть_и_дети'!F89=0,9&lt;='01_Вводные'!$B$297),0,'06_Сеть_и_дети'!F89*IF('01_Вводные'!$B$239="Да",MeanMinAge09+'19_Расчет_аналитики'!F2583*SUMIF(ThresholdAge09,"&lt;"&amp;'19_Расчет_аналитики'!F2583,WeightedRevAge09)-SUMIF(ThresholdAge09,"&lt;"&amp;'19_Расчет_аналитики'!F2583,WeightedMinAge09),MAX(CapacityAge09*'01_Вводные'!$B$218*'19_Расчет_аналитики'!F2583,MeanMinAge09)))</f>
        <v/>
      </c>
      <c r="G2496">
        <f>IF(OR('06_Сеть_и_дети'!G89=0,9&lt;='01_Вводные'!$B$297),0,'06_Сеть_и_дети'!G89*IF('01_Вводные'!$B$239="Да",MeanMinAge09+'19_Расчет_аналитики'!G2583*SUMIF(ThresholdAge09,"&lt;"&amp;'19_Расчет_аналитики'!G2583,WeightedRevAge09)-SUMIF(ThresholdAge09,"&lt;"&amp;'19_Расчет_аналитики'!G2583,WeightedMinAge09),MAX(CapacityAge09*'01_Вводные'!$B$218*'19_Расчет_аналитики'!G2583,MeanMinAge09)))</f>
        <v/>
      </c>
      <c r="H2496">
        <f>IF(OR('06_Сеть_и_дети'!H89=0,9&lt;='01_Вводные'!$B$297),0,'06_Сеть_и_дети'!H89*IF('01_Вводные'!$B$239="Да",MeanMinAge09+'19_Расчет_аналитики'!H2583*SUMIF(ThresholdAge09,"&lt;"&amp;'19_Расчет_аналитики'!H2583,WeightedRevAge09)-SUMIF(ThresholdAge09,"&lt;"&amp;'19_Расчет_аналитики'!H2583,WeightedMinAge09),MAX(CapacityAge09*'01_Вводные'!$B$218*'19_Расчет_аналитики'!H2583,MeanMinAge09)))</f>
        <v/>
      </c>
      <c r="I2496">
        <f>IF(OR('06_Сеть_и_дети'!I89=0,9&lt;='01_Вводные'!$B$297),0,'06_Сеть_и_дети'!I89*IF('01_Вводные'!$B$239="Да",MeanMinAge09+'19_Расчет_аналитики'!I2583*SUMIF(ThresholdAge09,"&lt;"&amp;'19_Расчет_аналитики'!I2583,WeightedRevAge09)-SUMIF(ThresholdAge09,"&lt;"&amp;'19_Расчет_аналитики'!I2583,WeightedMinAge09),MAX(CapacityAge09*'01_Вводные'!$B$218*'19_Расчет_аналитики'!I2583,MeanMinAge09)))</f>
        <v/>
      </c>
      <c r="J2496">
        <f>IF(OR('19_Расчет_аналитики'!J2468=0,9&lt;='01_Вводные'!$B$297),0,'19_Расчет_аналитики'!J2468*IF('01_Вводные'!$B$239="Да",MeanMinAge09+'19_Расчет_аналитики'!J2583*SUMIF(ThresholdAge09,"&lt;"&amp;'19_Расчет_аналитики'!J2583,WeightedRevAge09)-SUMIF(ThresholdAge09,"&lt;"&amp;'19_Расчет_аналитики'!J2583,WeightedMinAge09),MAX(CapacityAge09*'01_Вводные'!$B$218*'19_Расчет_аналитики'!J2583,MeanMinAge09)))</f>
        <v/>
      </c>
      <c r="K2496">
        <f>IF(OR('19_Расчет_аналитики'!K2468=0,9&lt;='01_Вводные'!$B$297),0,'19_Расчет_аналитики'!K2468*IF('01_Вводные'!$B$239="Да",MeanMinAge09+'19_Расчет_аналитики'!K2583*SUMIF(ThresholdAge09,"&lt;"&amp;'19_Расчет_аналитики'!K2583,WeightedRevAge09)-SUMIF(ThresholdAge09,"&lt;"&amp;'19_Расчет_аналитики'!K2583,WeightedMinAge09),MAX(CapacityAge09*'01_Вводные'!$B$218*'19_Расчет_аналитики'!K2583,MeanMinAge09)))</f>
        <v/>
      </c>
      <c r="L2496">
        <f>IF(OR('19_Расчет_аналитики'!L2468=0,9&lt;='01_Вводные'!$B$297),0,'19_Расчет_аналитики'!L2468*IF('01_Вводные'!$B$239="Да",MeanMinAge09+'19_Расчет_аналитики'!L2583*SUMIF(ThresholdAge09,"&lt;"&amp;'19_Расчет_аналитики'!L2583,WeightedRevAge09)-SUMIF(ThresholdAge09,"&lt;"&amp;'19_Расчет_аналитики'!L2583,WeightedMinAge09),MAX(CapacityAge09*'01_Вводные'!$B$218*'19_Расчет_аналитики'!L2583,MeanMinAge09)))</f>
        <v/>
      </c>
      <c r="M2496">
        <f>IF(OR('19_Расчет_аналитики'!M2468=0,9&lt;='01_Вводные'!$B$297),0,'19_Расчет_аналитики'!M2468*IF('01_Вводные'!$B$239="Да",MeanMinAge09+'19_Расчет_аналитики'!M2583*SUMIF(ThresholdAge09,"&lt;"&amp;'19_Расчет_аналитики'!M2583,WeightedRevAge09)-SUMIF(ThresholdAge09,"&lt;"&amp;'19_Расчет_аналитики'!M2583,WeightedMinAge09),MAX(CapacityAge09*'01_Вводные'!$B$218*'19_Расчет_аналитики'!M2583,MeanMinAge09)))</f>
        <v/>
      </c>
      <c r="N2496">
        <f>IF(OR('19_Расчет_аналитики'!N2468=0,9&lt;='01_Вводные'!$B$297),0,'19_Расчет_аналитики'!N2468*IF('01_Вводные'!$B$239="Да",MeanMinAge09+'19_Расчет_аналитики'!N2583*SUMIF(ThresholdAge09,"&lt;"&amp;'19_Расчет_аналитики'!N2583,WeightedRevAge09)-SUMIF(ThresholdAge09,"&lt;"&amp;'19_Расчет_аналитики'!N2583,WeightedMinAge09),MAX(CapacityAge09*'01_Вводные'!$B$218*'19_Расчет_аналитики'!N2583,MeanMinAge09)))</f>
        <v/>
      </c>
      <c r="O2496">
        <f>IF(OR('19_Расчет_аналитики'!O2468=0,9&lt;='01_Вводные'!$B$297),0,'19_Расчет_аналитики'!O2468*IF('01_Вводные'!$B$239="Да",MeanMinAge09+'19_Расчет_аналитики'!O2583*SUMIF(ThresholdAge09,"&lt;"&amp;'19_Расчет_аналитики'!O2583,WeightedRevAge09)-SUMIF(ThresholdAge09,"&lt;"&amp;'19_Расчет_аналитики'!O2583,WeightedMinAge09),MAX(CapacityAge09*'01_Вводные'!$B$218*'19_Расчет_аналитики'!O2583,MeanMinAge09)))</f>
        <v/>
      </c>
      <c r="P2496">
        <f>IF(OR('19_Расчет_аналитики'!P2468=0,9&lt;='01_Вводные'!$B$297),0,'19_Расчет_аналитики'!P2468*IF('01_Вводные'!$B$239="Да",MeanMinAge09+'19_Расчет_аналитики'!P2583*SUMIF(ThresholdAge09,"&lt;"&amp;'19_Расчет_аналитики'!P2583,WeightedRevAge09)-SUMIF(ThresholdAge09,"&lt;"&amp;'19_Расчет_аналитики'!P2583,WeightedMinAge09),MAX(CapacityAge09*'01_Вводные'!$B$218*'19_Расчет_аналитики'!P2583,MeanMinAge09)))</f>
        <v/>
      </c>
      <c r="Q2496">
        <f>IF(OR('19_Расчет_аналитики'!Q2468=0,9&lt;='01_Вводные'!$B$297),0,'19_Расчет_аналитики'!Q2468*IF('01_Вводные'!$B$239="Да",MeanMinAge09+'19_Расчет_аналитики'!Q2583*SUMIF(ThresholdAge09,"&lt;"&amp;'19_Расчет_аналитики'!Q2583,WeightedRevAge09)-SUMIF(ThresholdAge09,"&lt;"&amp;'19_Расчет_аналитики'!Q2583,WeightedMinAge09),MAX(CapacityAge09*'01_Вводные'!$B$218*'19_Расчет_аналитики'!Q2583,MeanMinAge09)))</f>
        <v/>
      </c>
      <c r="R2496">
        <f>IF(OR('19_Расчет_аналитики'!R2468=0,9&lt;='01_Вводные'!$B$297),0,'19_Расчет_аналитики'!R2468*IF('01_Вводные'!$B$239="Да",MeanMinAge09+'19_Расчет_аналитики'!R2583*SUMIF(ThresholdAge09,"&lt;"&amp;'19_Расчет_аналитики'!R2583,WeightedRevAge09)-SUMIF(ThresholdAge09,"&lt;"&amp;'19_Расчет_аналитики'!R2583,WeightedMinAge09),MAX(CapacityAge09*'01_Вводные'!$B$218*'19_Расчет_аналитики'!R2583,MeanMinAge09)))</f>
        <v/>
      </c>
      <c r="S2496">
        <f>IF(OR('19_Расчет_аналитики'!S2468=0,9&lt;='01_Вводные'!$B$297),0,'19_Расчет_аналитики'!S2468*IF('01_Вводные'!$B$239="Да",MeanMinAge09+'19_Расчет_аналитики'!S2583*SUMIF(ThresholdAge09,"&lt;"&amp;'19_Расчет_аналитики'!S2583,WeightedRevAge09)-SUMIF(ThresholdAge09,"&lt;"&amp;'19_Расчет_аналитики'!S2583,WeightedMinAge09),MAX(CapacityAge09*'01_Вводные'!$B$218*'19_Расчет_аналитики'!S2583,MeanMinAge09)))</f>
        <v/>
      </c>
      <c r="T2496">
        <f>IF(OR('19_Расчет_аналитики'!T2468=0,9&lt;='01_Вводные'!$B$297),0,'19_Расчет_аналитики'!T2468*IF('01_Вводные'!$B$239="Да",MeanMinAge09+'19_Расчет_аналитики'!T2583*SUMIF(ThresholdAge09,"&lt;"&amp;'19_Расчет_аналитики'!T2583,WeightedRevAge09)-SUMIF(ThresholdAge09,"&lt;"&amp;'19_Расчет_аналитики'!T2583,WeightedMinAge09),MAX(CapacityAge09*'01_Вводные'!$B$218*'19_Расчет_аналитики'!T2583,MeanMinAge09)))</f>
        <v/>
      </c>
      <c r="U2496">
        <f>IF(OR('19_Расчет_аналитики'!U2468=0,9&lt;='01_Вводные'!$B$297),0,'19_Расчет_аналитики'!U2468*IF('01_Вводные'!$B$239="Да",MeanMinAge09+'19_Расчет_аналитики'!U2583*SUMIF(ThresholdAge09,"&lt;"&amp;'19_Расчет_аналитики'!U2583,WeightedRevAge09)-SUMIF(ThresholdAge09,"&lt;"&amp;'19_Расчет_аналитики'!U2583,WeightedMinAge09),MAX(CapacityAge09*'01_Вводные'!$B$218*'19_Расчет_аналитики'!U2583,MeanMinAge09)))</f>
        <v/>
      </c>
      <c r="V2496">
        <f>IF(OR('19_Расчет_аналитики'!V2468=0,9&lt;='01_Вводные'!$B$297),0,'19_Расчет_аналитики'!V2468*IF('01_Вводные'!$B$239="Да",MeanMinAge09+'19_Расчет_аналитики'!V2583*SUMIF(ThresholdAge09,"&lt;"&amp;'19_Расчет_аналитики'!V2583,WeightedRevAge09)-SUMIF(ThresholdAge09,"&lt;"&amp;'19_Расчет_аналитики'!V2583,WeightedMinAge09),MAX(CapacityAge09*'01_Вводные'!$B$218*'19_Расчет_аналитики'!V2583,MeanMinAge09)))</f>
        <v/>
      </c>
      <c r="W2496">
        <f>IF(OR('19_Расчет_аналитики'!W2468=0,9&lt;='01_Вводные'!$B$297),0,'19_Расчет_аналитики'!W2468*IF('01_Вводные'!$B$239="Да",MeanMinAge09+'19_Расчет_аналитики'!W2583*SUMIF(ThresholdAge09,"&lt;"&amp;'19_Расчет_аналитики'!W2583,WeightedRevAge09)-SUMIF(ThresholdAge09,"&lt;"&amp;'19_Расчет_аналитики'!W2583,WeightedMinAge09),MAX(CapacityAge09*'01_Вводные'!$B$218*'19_Расчет_аналитики'!W2583,MeanMinAge09)))</f>
        <v/>
      </c>
      <c r="X2496">
        <f>IF(OR('19_Расчет_аналитики'!X2468=0,9&lt;='01_Вводные'!$B$297),0,'19_Расчет_аналитики'!X2468*IF('01_Вводные'!$B$239="Да",MeanMinAge09+'19_Расчет_аналитики'!X2583*SUMIF(ThresholdAge09,"&lt;"&amp;'19_Расчет_аналитики'!X2583,WeightedRevAge09)-SUMIF(ThresholdAge09,"&lt;"&amp;'19_Расчет_аналитики'!X2583,WeightedMinAge09),MAX(CapacityAge09*'01_Вводные'!$B$218*'19_Расчет_аналитики'!X2583,MeanMinAge09)))</f>
        <v/>
      </c>
      <c r="Y2496">
        <f>IF(OR('19_Расчет_аналитики'!Y2468=0,9&lt;='01_Вводные'!$B$297),0,'19_Расчет_аналитики'!Y2468*IF('01_Вводные'!$B$239="Да",MeanMinAge09+'19_Расчет_аналитики'!Y2583*SUMIF(ThresholdAge09,"&lt;"&amp;'19_Расчет_аналитики'!Y2583,WeightedRevAge09)-SUMIF(ThresholdAge09,"&lt;"&amp;'19_Расчет_аналитики'!Y2583,WeightedMinAge09),MAX(CapacityAge09*'01_Вводные'!$B$218*'19_Расчет_аналитики'!Y2583,MeanMinAge09)))</f>
        <v/>
      </c>
      <c r="Z2496">
        <f>IF(OR('19_Расчет_аналитики'!Z2468=0,9&lt;='01_Вводные'!$B$297),0,'19_Расчет_аналитики'!Z2468*IF('01_Вводные'!$B$239="Да",MeanMinAge09+'19_Расчет_аналитики'!Z2583*SUMIF(ThresholdAge09,"&lt;"&amp;'19_Расчет_аналитики'!Z2583,WeightedRevAge09)-SUMIF(ThresholdAge09,"&lt;"&amp;'19_Расчет_аналитики'!Z2583,WeightedMinAge09),MAX(CapacityAge09*'01_Вводные'!$B$218*'19_Расчет_аналитики'!Z2583,MeanMinAge09)))</f>
        <v/>
      </c>
      <c r="AA2496">
        <f>IF(OR('19_Расчет_аналитики'!AA2468=0,9&lt;='01_Вводные'!$B$297),0,'19_Расчет_аналитики'!AA2468*IF('01_Вводные'!$B$239="Да",MeanMinAge09+'19_Расчет_аналитики'!AA2583*SUMIF(ThresholdAge09,"&lt;"&amp;'19_Расчет_аналитики'!AA2583,WeightedRevAge09)-SUMIF(ThresholdAge09,"&lt;"&amp;'19_Расчет_аналитики'!AA2583,WeightedMinAge09),MAX(CapacityAge09*'01_Вводные'!$B$218*'19_Расчет_аналитики'!AA2583,MeanMinAge09)))</f>
        <v/>
      </c>
      <c r="AB2496">
        <f>IF(OR('19_Расчет_аналитики'!AB2468=0,9&lt;='01_Вводные'!$B$297),0,'19_Расчет_аналитики'!AB2468*IF('01_Вводные'!$B$239="Да",MeanMinAge09+'19_Расчет_аналитики'!AB2583*SUMIF(ThresholdAge09,"&lt;"&amp;'19_Расчет_аналитики'!AB2583,WeightedRevAge09)-SUMIF(ThresholdAge09,"&lt;"&amp;'19_Расчет_аналитики'!AB2583,WeightedMinAge09),MAX(CapacityAge09*'01_Вводные'!$B$218*'19_Расчет_аналитики'!AB2583,MeanMinAge09)))</f>
        <v/>
      </c>
      <c r="AC2496">
        <f>IF(OR('19_Расчет_аналитики'!AC2468=0,9&lt;='01_Вводные'!$B$297),0,'19_Расчет_аналитики'!AC2468*IF('01_Вводные'!$B$239="Да",MeanMinAge09+'19_Расчет_аналитики'!AC2583*SUMIF(ThresholdAge09,"&lt;"&amp;'19_Расчет_аналитики'!AC2583,WeightedRevAge09)-SUMIF(ThresholdAge09,"&lt;"&amp;'19_Расчет_аналитики'!AC2583,WeightedMinAge09),MAX(CapacityAge09*'01_Вводные'!$B$218*'19_Расчет_аналитики'!AC2583,MeanMinAge09)))</f>
        <v/>
      </c>
      <c r="AD2496">
        <f>IF(OR('19_Расчет_аналитики'!AD2468=0,9&lt;='01_Вводные'!$B$297),0,'19_Расчет_аналитики'!AD2468*IF('01_Вводные'!$B$239="Да",MeanMinAge09+'19_Расчет_аналитики'!AD2583*SUMIF(ThresholdAge09,"&lt;"&amp;'19_Расчет_аналитики'!AD2583,WeightedRevAge09)-SUMIF(ThresholdAge09,"&lt;"&amp;'19_Расчет_аналитики'!AD2583,WeightedMinAge09),MAX(CapacityAge09*'01_Вводные'!$B$218*'19_Расчет_аналитики'!AD2583,MeanMinAge09)))</f>
        <v/>
      </c>
      <c r="AE2496">
        <f>IF(OR('19_Расчет_аналитики'!AE2468=0,9&lt;='01_Вводные'!$B$297),0,'19_Расчет_аналитики'!AE2468*IF('01_Вводные'!$B$239="Да",MeanMinAge09+'19_Расчет_аналитики'!AE2583*SUMIF(ThresholdAge09,"&lt;"&amp;'19_Расчет_аналитики'!AE2583,WeightedRevAge09)-SUMIF(ThresholdAge09,"&lt;"&amp;'19_Расчет_аналитики'!AE2583,WeightedMinAge09),MAX(CapacityAge09*'01_Вводные'!$B$218*'19_Расчет_аналитики'!AE2583,MeanMinAge09)))</f>
        <v/>
      </c>
      <c r="AF2496">
        <f>IF(OR('19_Расчет_аналитики'!AF2468=0,9&lt;='01_Вводные'!$B$297),0,'19_Расчет_аналитики'!AF2468*IF('01_Вводные'!$B$239="Да",MeanMinAge09+'19_Расчет_аналитики'!AF2583*SUMIF(ThresholdAge09,"&lt;"&amp;'19_Расчет_аналитики'!AF2583,WeightedRevAge09)-SUMIF(ThresholdAge09,"&lt;"&amp;'19_Расчет_аналитики'!AF2583,WeightedMinAge09),MAX(CapacityAge09*'01_Вводные'!$B$218*'19_Расчет_аналитики'!AF2583,MeanMinAge09)))</f>
        <v/>
      </c>
      <c r="AG2496">
        <f>IF(OR('19_Расчет_аналитики'!AG2468=0,9&lt;='01_Вводные'!$B$297),0,'19_Расчет_аналитики'!AG2468*IF('01_Вводные'!$B$239="Да",MeanMinAge09+'19_Расчет_аналитики'!AG2583*SUMIF(ThresholdAge09,"&lt;"&amp;'19_Расчет_аналитики'!AG2583,WeightedRevAge09)-SUMIF(ThresholdAge09,"&lt;"&amp;'19_Расчет_аналитики'!AG2583,WeightedMinAge09),MAX(CapacityAge09*'01_Вводные'!$B$218*'19_Расчет_аналитики'!AG2583,MeanMinAge09)))</f>
        <v/>
      </c>
      <c r="AH2496">
        <f>IF(OR('19_Расчет_аналитики'!AH2468=0,9&lt;='01_Вводные'!$B$297),0,'19_Расчет_аналитики'!AH2468*IF('01_Вводные'!$B$239="Да",MeanMinAge09+'19_Расчет_аналитики'!AH2583*SUMIF(ThresholdAge09,"&lt;"&amp;'19_Расчет_аналитики'!AH2583,WeightedRevAge09)-SUMIF(ThresholdAge09,"&lt;"&amp;'19_Расчет_аналитики'!AH2583,WeightedMinAge09),MAX(CapacityAge09*'01_Вводные'!$B$218*'19_Расчет_аналитики'!AH2583,MeanMinAge09)))</f>
        <v/>
      </c>
      <c r="AI2496">
        <f>IF(OR('19_Расчет_аналитики'!AI2468=0,9&lt;='01_Вводные'!$B$297),0,'19_Расчет_аналитики'!AI2468*IF('01_Вводные'!$B$239="Да",MeanMinAge09+'19_Расчет_аналитики'!AI2583*SUMIF(ThresholdAge09,"&lt;"&amp;'19_Расчет_аналитики'!AI2583,WeightedRevAge09)-SUMIF(ThresholdAge09,"&lt;"&amp;'19_Расчет_аналитики'!AI2583,WeightedMinAge09),MAX(CapacityAge09*'01_Вводные'!$B$218*'19_Расчет_аналитики'!AI2583,MeanMinAge09)))</f>
        <v/>
      </c>
      <c r="AJ2496">
        <f>IF(OR('19_Расчет_аналитики'!AJ2468=0,9&lt;='01_Вводные'!$B$297),0,'19_Расчет_аналитики'!AJ2468*IF('01_Вводные'!$B$239="Да",MeanMinAge09+'19_Расчет_аналитики'!AJ2583*SUMIF(ThresholdAge09,"&lt;"&amp;'19_Расчет_аналитики'!AJ2583,WeightedRevAge09)-SUMIF(ThresholdAge09,"&lt;"&amp;'19_Расчет_аналитики'!AJ2583,WeightedMinAge09),MAX(CapacityAge09*'01_Вводные'!$B$218*'19_Расчет_аналитики'!AJ2583,MeanMinAge09)))</f>
        <v/>
      </c>
      <c r="AK2496">
        <f>IF(OR('19_Расчет_аналитики'!AK2468=0,9&lt;='01_Вводные'!$B$297),0,'19_Расчет_аналитики'!AK2468*IF('01_Вводные'!$B$239="Да",MeanMinAge09+'19_Расчет_аналитики'!AK2583*SUMIF(ThresholdAge09,"&lt;"&amp;'19_Расчет_аналитики'!AK2583,WeightedRevAge09)-SUMIF(ThresholdAge09,"&lt;"&amp;'19_Расчет_аналитики'!AK2583,WeightedMinAge09),MAX(CapacityAge09*'01_Вводные'!$B$218*'19_Расчет_аналитики'!AK2583,MeanMinAge09)))</f>
        <v/>
      </c>
      <c r="AL2496">
        <f>IF(OR('19_Расчет_аналитики'!AL2468=0,9&lt;='01_Вводные'!$B$297),0,'19_Расчет_аналитики'!AL2468*IF('01_Вводные'!$B$239="Да",MeanMinAge09+'19_Расчет_аналитики'!AL2583*SUMIF(ThresholdAge09,"&lt;"&amp;'19_Расчет_аналитики'!AL2583,WeightedRevAge09)-SUMIF(ThresholdAge09,"&lt;"&amp;'19_Расчет_аналитики'!AL2583,WeightedMinAge09),MAX(CapacityAge09*'01_Вводные'!$B$218*'19_Расчет_аналитики'!AL2583,MeanMinAge09)))</f>
        <v/>
      </c>
      <c r="AM2496">
        <f>IF(OR('19_Расчет_аналитики'!AM2468=0,9&lt;='01_Вводные'!$B$297),0,'19_Расчет_аналитики'!AM2468*IF('01_Вводные'!$B$239="Да",MeanMinAge09+'19_Расчет_аналитики'!AM2583*SUMIF(ThresholdAge09,"&lt;"&amp;'19_Расчет_аналитики'!AM2583,WeightedRevAge09)-SUMIF(ThresholdAge09,"&lt;"&amp;'19_Расчет_аналитики'!AM2583,WeightedMinAge09),MAX(CapacityAge09*'01_Вводные'!$B$218*'19_Расчет_аналитики'!AM2583,MeanMinAge09)))</f>
        <v/>
      </c>
      <c r="AN2496">
        <f>IF(OR('19_Расчет_аналитики'!AN2468=0,9&lt;='01_Вводные'!$B$297),0,'19_Расчет_аналитики'!AN2468*IF('01_Вводные'!$B$239="Да",MeanMinAge09+'19_Расчет_аналитики'!AN2583*SUMIF(ThresholdAge09,"&lt;"&amp;'19_Расчет_аналитики'!AN2583,WeightedRevAge09)-SUMIF(ThresholdAge09,"&lt;"&amp;'19_Расчет_аналитики'!AN2583,WeightedMinAge09),MAX(CapacityAge09*'01_Вводные'!$B$218*'19_Расчет_аналитики'!AN2583,MeanMinAge09)))</f>
        <v/>
      </c>
      <c r="AO2496">
        <f>IF(OR('19_Расчет_аналитики'!AO2468=0,9&lt;='01_Вводные'!$B$297),0,'19_Расчет_аналитики'!AO2468*IF('01_Вводные'!$B$239="Да",MeanMinAge09+'19_Расчет_аналитики'!AO2583*SUMIF(ThresholdAge09,"&lt;"&amp;'19_Расчет_аналитики'!AO2583,WeightedRevAge09)-SUMIF(ThresholdAge09,"&lt;"&amp;'19_Расчет_аналитики'!AO2583,WeightedMinAge09),MAX(CapacityAge09*'01_Вводные'!$B$218*'19_Расчет_аналитики'!AO2583,MeanMinAge09)))</f>
        <v/>
      </c>
      <c r="AP2496">
        <f>IF(OR('19_Расчет_аналитики'!AP2468=0,9&lt;='01_Вводные'!$B$297),0,'19_Расчет_аналитики'!AP2468*IF('01_Вводные'!$B$239="Да",MeanMinAge09+'19_Расчет_аналитики'!AP2583*SUMIF(ThresholdAge09,"&lt;"&amp;'19_Расчет_аналитики'!AP2583,WeightedRevAge09)-SUMIF(ThresholdAge09,"&lt;"&amp;'19_Расчет_аналитики'!AP2583,WeightedMinAge09),MAX(CapacityAge09*'01_Вводные'!$B$218*'19_Расчет_аналитики'!AP2583,MeanMinAge09)))</f>
        <v/>
      </c>
      <c r="AQ2496">
        <f>IF(OR('19_Расчет_аналитики'!AQ2468=0,9&lt;='01_Вводные'!$B$297),0,'19_Расчет_аналитики'!AQ2468*IF('01_Вводные'!$B$239="Да",MeanMinAge09+'19_Расчет_аналитики'!AQ2583*SUMIF(ThresholdAge09,"&lt;"&amp;'19_Расчет_аналитики'!AQ2583,WeightedRevAge09)-SUMIF(ThresholdAge09,"&lt;"&amp;'19_Расчет_аналитики'!AQ2583,WeightedMinAge09),MAX(CapacityAge09*'01_Вводные'!$B$218*'19_Расчет_аналитики'!AQ2583,MeanMinAge09)))</f>
        <v/>
      </c>
      <c r="AR2496">
        <f>IF(OR('19_Расчет_аналитики'!AR2468=0,9&lt;='01_Вводные'!$B$297),0,'19_Расчет_аналитики'!AR2468*IF('01_Вводные'!$B$239="Да",MeanMinAge09+'19_Расчет_аналитики'!AR2583*SUMIF(ThresholdAge09,"&lt;"&amp;'19_Расчет_аналитики'!AR2583,WeightedRevAge09)-SUMIF(ThresholdAge09,"&lt;"&amp;'19_Расчет_аналитики'!AR2583,WeightedMinAge09),MAX(CapacityAge09*'01_Вводные'!$B$218*'19_Расчет_аналитики'!AR2583,MeanMinAge09)))</f>
        <v/>
      </c>
      <c r="AS2496">
        <f>IF(OR('19_Расчет_аналитики'!AS2468=0,9&lt;='01_Вводные'!$B$297),0,'19_Расчет_аналитики'!AS2468*IF('01_Вводные'!$B$239="Да",MeanMinAge09+'19_Расчет_аналитики'!AS2583*SUMIF(ThresholdAge09,"&lt;"&amp;'19_Расчет_аналитики'!AS2583,WeightedRevAge09)-SUMIF(ThresholdAge09,"&lt;"&amp;'19_Расчет_аналитики'!AS2583,WeightedMinAge09),MAX(CapacityAge09*'01_Вводные'!$B$218*'19_Расчет_аналитики'!AS2583,MeanMinAge09)))</f>
        <v/>
      </c>
      <c r="AT2496">
        <f>IF(OR('19_Расчет_аналитики'!AT2468=0,9&lt;='01_Вводные'!$B$297),0,'19_Расчет_аналитики'!AT2468*IF('01_Вводные'!$B$239="Да",MeanMinAge09+'19_Расчет_аналитики'!AT2583*SUMIF(ThresholdAge09,"&lt;"&amp;'19_Расчет_аналитики'!AT2583,WeightedRevAge09)-SUMIF(ThresholdAge09,"&lt;"&amp;'19_Расчет_аналитики'!AT2583,WeightedMinAge09),MAX(CapacityAge09*'01_Вводные'!$B$218*'19_Расчет_аналитики'!AT2583,MeanMinAge09)))</f>
        <v/>
      </c>
      <c r="AU2496">
        <f>IF(OR('19_Расчет_аналитики'!AU2468=0,9&lt;='01_Вводные'!$B$297),0,'19_Расчет_аналитики'!AU2468*IF('01_Вводные'!$B$239="Да",MeanMinAge09+'19_Расчет_аналитики'!AU2583*SUMIF(ThresholdAge09,"&lt;"&amp;'19_Расчет_аналитики'!AU2583,WeightedRevAge09)-SUMIF(ThresholdAge09,"&lt;"&amp;'19_Расчет_аналитики'!AU2583,WeightedMinAge09),MAX(CapacityAge09*'01_Вводные'!$B$218*'19_Расчет_аналитики'!AU2583,MeanMinAge09)))</f>
        <v/>
      </c>
      <c r="AV2496">
        <f>IF(OR('19_Расчет_аналитики'!AV2468=0,9&lt;='01_Вводные'!$B$297),0,'19_Расчет_аналитики'!AV2468*IF('01_Вводные'!$B$239="Да",MeanMinAge09+'19_Расчет_аналитики'!AV2583*SUMIF(ThresholdAge09,"&lt;"&amp;'19_Расчет_аналитики'!AV2583,WeightedRevAge09)-SUMIF(ThresholdAge09,"&lt;"&amp;'19_Расчет_аналитики'!AV2583,WeightedMinAge09),MAX(CapacityAge09*'01_Вводные'!$B$218*'19_Расчет_аналитики'!AV2583,MeanMinAge09)))</f>
        <v/>
      </c>
      <c r="AW2496">
        <f>IF(OR('19_Расчет_аналитики'!AW2468=0,9&lt;='01_Вводные'!$B$297),0,'19_Расчет_аналитики'!AW2468*IF('01_Вводные'!$B$239="Да",MeanMinAge09+'19_Расчет_аналитики'!AW2583*SUMIF(ThresholdAge09,"&lt;"&amp;'19_Расчет_аналитики'!AW2583,WeightedRevAge09)-SUMIF(ThresholdAge09,"&lt;"&amp;'19_Расчет_аналитики'!AW2583,WeightedMinAge09),MAX(CapacityAge09*'01_Вводные'!$B$218*'19_Расчет_аналитики'!AW2583,MeanMinAge09)))</f>
        <v/>
      </c>
      <c r="AX2496">
        <f>IF(OR('19_Расчет_аналитики'!AX2468=0,9&lt;='01_Вводные'!$B$297),0,'19_Расчет_аналитики'!AX2468*IF('01_Вводные'!$B$239="Да",MeanMinAge09+'19_Расчет_аналитики'!AX2583*SUMIF(ThresholdAge09,"&lt;"&amp;'19_Расчет_аналитики'!AX2583,WeightedRevAge09)-SUMIF(ThresholdAge09,"&lt;"&amp;'19_Расчет_аналитики'!AX2583,WeightedMinAge09),MAX(CapacityAge09*'01_Вводные'!$B$218*'19_Расчет_аналитики'!AX2583,MeanMinAge09)))</f>
        <v/>
      </c>
      <c r="AY2496">
        <f>IF(OR('19_Расчет_аналитики'!AY2468=0,9&lt;='01_Вводные'!$B$297),0,'19_Расчет_аналитики'!AY2468*IF('01_Вводные'!$B$239="Да",MeanMinAge09+'19_Расчет_аналитики'!AY2583*SUMIF(ThresholdAge09,"&lt;"&amp;'19_Расчет_аналитики'!AY2583,WeightedRevAge09)-SUMIF(ThresholdAge09,"&lt;"&amp;'19_Расчет_аналитики'!AY2583,WeightedMinAge09),MAX(CapacityAge09*'01_Вводные'!$B$218*'19_Расчет_аналитики'!AY2583,MeanMinAge09)))</f>
        <v/>
      </c>
      <c r="AZ2496">
        <f>IF(OR('19_Расчет_аналитики'!AZ2468=0,9&lt;='01_Вводные'!$B$297),0,'19_Расчет_аналитики'!AZ2468*IF('01_Вводные'!$B$239="Да",MeanMinAge09+'19_Расчет_аналитики'!AZ2583*SUMIF(ThresholdAge09,"&lt;"&amp;'19_Расчет_аналитики'!AZ2583,WeightedRevAge09)-SUMIF(ThresholdAge09,"&lt;"&amp;'19_Расчет_аналитики'!AZ2583,WeightedMinAge09),MAX(CapacityAge09*'01_Вводные'!$B$218*'19_Расчет_аналитики'!AZ2583,MeanMinAge09)))</f>
        <v/>
      </c>
      <c r="BA2496">
        <f>IF(OR('19_Расчет_аналитики'!BA2468=0,9&lt;='01_Вводные'!$B$297),0,'19_Расчет_аналитики'!BA2468*IF('01_Вводные'!$B$239="Да",MeanMinAge09+'19_Расчет_аналитики'!BA2583*SUMIF(ThresholdAge09,"&lt;"&amp;'19_Расчет_аналитики'!BA2583,WeightedRevAge09)-SUMIF(ThresholdAge09,"&lt;"&amp;'19_Расчет_аналитики'!BA2583,WeightedMinAge09),MAX(CapacityAge09*'01_Вводные'!$B$218*'19_Расчет_аналитики'!BA2583,MeanMinAge09)))</f>
        <v/>
      </c>
      <c r="BB2496">
        <f>IF(OR('19_Расчет_аналитики'!BB2468=0,9&lt;='01_Вводные'!$B$297),0,'19_Расчет_аналитики'!BB2468*IF('01_Вводные'!$B$239="Да",MeanMinAge09+'19_Расчет_аналитики'!BB2583*SUMIF(ThresholdAge09,"&lt;"&amp;'19_Расчет_аналитики'!BB2583,WeightedRevAge09)-SUMIF(ThresholdAge09,"&lt;"&amp;'19_Расчет_аналитики'!BB2583,WeightedMinAge09),MAX(CapacityAge09*'01_Вводные'!$B$218*'19_Расчет_аналитики'!BB2583,MeanMinAge09)))</f>
        <v/>
      </c>
      <c r="BC2496">
        <f>IF(OR('19_Расчет_аналитики'!BC2468=0,9&lt;='01_Вводные'!$B$297),0,'19_Расчет_аналитики'!BC2468*IF('01_Вводные'!$B$239="Да",MeanMinAge09+'19_Расчет_аналитики'!BC2583*SUMIF(ThresholdAge09,"&lt;"&amp;'19_Расчет_аналитики'!BC2583,WeightedRevAge09)-SUMIF(ThresholdAge09,"&lt;"&amp;'19_Расчет_аналитики'!BC2583,WeightedMinAge09),MAX(CapacityAge09*'01_Вводные'!$B$218*'19_Расчет_аналитики'!BC2583,MeanMinAge09)))</f>
        <v/>
      </c>
      <c r="BD2496">
        <f>IF(OR('19_Расчет_аналитики'!BD2468=0,9&lt;='01_Вводные'!$B$297),0,'19_Расчет_аналитики'!BD2468*IF('01_Вводные'!$B$239="Да",MeanMinAge09+'19_Расчет_аналитики'!BD2583*SUMIF(ThresholdAge09,"&lt;"&amp;'19_Расчет_аналитики'!BD2583,WeightedRevAge09)-SUMIF(ThresholdAge09,"&lt;"&amp;'19_Расчет_аналитики'!BD2583,WeightedMinAge09),MAX(CapacityAge09*'01_Вводные'!$B$218*'19_Расчет_аналитики'!BD2583,MeanMinAge09)))</f>
        <v/>
      </c>
      <c r="BE2496">
        <f>IF(OR('19_Расчет_аналитики'!BE2468=0,9&lt;='01_Вводные'!$B$297),0,'19_Расчет_аналитики'!BE2468*IF('01_Вводные'!$B$239="Да",MeanMinAge09+'19_Расчет_аналитики'!BE2583*SUMIF(ThresholdAge09,"&lt;"&amp;'19_Расчет_аналитики'!BE2583,WeightedRevAge09)-SUMIF(ThresholdAge09,"&lt;"&amp;'19_Расчет_аналитики'!BE2583,WeightedMinAge09),MAX(CapacityAge09*'01_Вводные'!$B$218*'19_Расчет_аналитики'!BE2583,MeanMinAge09)))</f>
        <v/>
      </c>
      <c r="BF2496">
        <f>IF(OR('19_Расчет_аналитики'!BF2468=0,9&lt;='01_Вводные'!$B$297),0,'19_Расчет_аналитики'!BF2468*IF('01_Вводные'!$B$239="Да",MeanMinAge09+'19_Расчет_аналитики'!BF2583*SUMIF(ThresholdAge09,"&lt;"&amp;'19_Расчет_аналитики'!BF2583,WeightedRevAge09)-SUMIF(ThresholdAge09,"&lt;"&amp;'19_Расчет_аналитики'!BF2583,WeightedMinAge09),MAX(CapacityAge09*'01_Вводные'!$B$218*'19_Расчет_аналитики'!BF2583,MeanMinAge09)))</f>
        <v/>
      </c>
      <c r="BG2496">
        <f>IF(OR('19_Расчет_аналитики'!BG2468=0,9&lt;='01_Вводные'!$B$297),0,'19_Расчет_аналитики'!BG2468*IF('01_Вводные'!$B$239="Да",MeanMinAge09+'19_Расчет_аналитики'!BG2583*SUMIF(ThresholdAge09,"&lt;"&amp;'19_Расчет_аналитики'!BG2583,WeightedRevAge09)-SUMIF(ThresholdAge09,"&lt;"&amp;'19_Расчет_аналитики'!BG2583,WeightedMinAge09),MAX(CapacityAge09*'01_Вводные'!$B$218*'19_Расчет_аналитики'!BG2583,MeanMinAge09)))</f>
        <v/>
      </c>
      <c r="BH2496">
        <f>IF(OR('19_Расчет_аналитики'!BH2468=0,9&lt;='01_Вводные'!$B$297),0,'19_Расчет_аналитики'!BH2468*IF('01_Вводные'!$B$239="Да",MeanMinAge09+'19_Расчет_аналитики'!BH2583*SUMIF(ThresholdAge09,"&lt;"&amp;'19_Расчет_аналитики'!BH2583,WeightedRevAge09)-SUMIF(ThresholdAge09,"&lt;"&amp;'19_Расчет_аналитики'!BH2583,WeightedMinAge09),MAX(CapacityAge09*'01_Вводные'!$B$218*'19_Расчет_аналитики'!BH2583,MeanMinAge09)))</f>
        <v/>
      </c>
      <c r="BI2496">
        <f>IF(OR('19_Расчет_аналитики'!BI2468=0,9&lt;='01_Вводные'!$B$297),0,'19_Расчет_аналитики'!BI2468*IF('01_Вводные'!$B$239="Да",MeanMinAge09+'19_Расчет_аналитики'!BI2583*SUMIF(ThresholdAge09,"&lt;"&amp;'19_Расчет_аналитики'!BI2583,WeightedRevAge09)-SUMIF(ThresholdAge09,"&lt;"&amp;'19_Расчет_аналитики'!BI2583,WeightedMinAge09),MAX(CapacityAge09*'01_Вводные'!$B$218*'19_Расчет_аналитики'!BI2583,MeanMinAge09)))</f>
        <v/>
      </c>
      <c r="BJ2496">
        <f>IF(OR('19_Расчет_аналитики'!BJ2468=0,9&lt;='01_Вводные'!$B$297),0,'19_Расчет_аналитики'!BJ2468*IF('01_Вводные'!$B$239="Да",MeanMinAge09+'19_Расчет_аналитики'!BJ2583*SUMIF(ThresholdAge09,"&lt;"&amp;'19_Расчет_аналитики'!BJ2583,WeightedRevAge09)-SUMIF(ThresholdAge09,"&lt;"&amp;'19_Расчет_аналитики'!BJ2583,WeightedMinAge09),MAX(CapacityAge09*'01_Вводные'!$B$218*'19_Расчет_аналитики'!BJ2583,MeanMinAge09)))</f>
        <v/>
      </c>
      <c r="BK2496">
        <f>IF(OR('19_Расчет_аналитики'!BK2468=0,9&lt;='01_Вводные'!$B$297),0,'19_Расчет_аналитики'!BK2468*IF('01_Вводные'!$B$239="Да",MeanMinAge09+'19_Расчет_аналитики'!BK2583*SUMIF(ThresholdAge09,"&lt;"&amp;'19_Расчет_аналитики'!BK2583,WeightedRevAge09)-SUMIF(ThresholdAge09,"&lt;"&amp;'19_Расчет_аналитики'!BK2583,WeightedMinAge09),MAX(CapacityAge09*'01_Вводные'!$B$218*'19_Расчет_аналитики'!BK2583,MeanMinAge09)))</f>
        <v/>
      </c>
      <c r="BL2496">
        <f>IF(OR('19_Расчет_аналитики'!BL2468=0,9&lt;='01_Вводные'!$B$297),0,'19_Расчет_аналитики'!BL2468*IF('01_Вводные'!$B$239="Да",MeanMinAge09+'19_Расчет_аналитики'!BL2583*SUMIF(ThresholdAge09,"&lt;"&amp;'19_Расчет_аналитики'!BL2583,WeightedRevAge09)-SUMIF(ThresholdAge09,"&lt;"&amp;'19_Расчет_аналитики'!BL2583,WeightedMinAge09),MAX(CapacityAge09*'01_Вводные'!$B$218*'19_Расчет_аналитики'!BL2583,MeanMinAge09)))</f>
        <v/>
      </c>
      <c r="BM2496">
        <f>IF(OR('19_Расчет_аналитики'!BM2468=0,9&lt;='01_Вводные'!$B$297),0,'19_Расчет_аналитики'!BM2468*IF('01_Вводные'!$B$239="Да",MeanMinAge09+'19_Расчет_аналитики'!BM2583*SUMIF(ThresholdAge09,"&lt;"&amp;'19_Расчет_аналитики'!BM2583,WeightedRevAge09)-SUMIF(ThresholdAge09,"&lt;"&amp;'19_Расчет_аналитики'!BM2583,WeightedMinAge09),MAX(CapacityAge09*'01_Вводные'!$B$218*'19_Расчет_аналитики'!BM2583,MeanMinAge09)))</f>
        <v/>
      </c>
      <c r="BN2496">
        <f>IF(OR('19_Расчет_аналитики'!BN2468=0,9&lt;='01_Вводные'!$B$297),0,'19_Расчет_аналитики'!BN2468*IF('01_Вводные'!$B$239="Да",MeanMinAge09+'19_Расчет_аналитики'!BN2583*SUMIF(ThresholdAge09,"&lt;"&amp;'19_Расчет_аналитики'!BN2583,WeightedRevAge09)-SUMIF(ThresholdAge09,"&lt;"&amp;'19_Расчет_аналитики'!BN2583,WeightedMinAge09),MAX(CapacityAge09*'01_Вводные'!$B$218*'19_Расчет_аналитики'!BN2583,MeanMinAge09)))</f>
        <v/>
      </c>
      <c r="BO2496">
        <f>IF(OR('19_Расчет_аналитики'!BO2468=0,9&lt;='01_Вводные'!$B$297),0,'19_Расчет_аналитики'!BO2468*IF('01_Вводные'!$B$239="Да",MeanMinAge09+'19_Расчет_аналитики'!BO2583*SUMIF(ThresholdAge09,"&lt;"&amp;'19_Расчет_аналитики'!BO2583,WeightedRevAge09)-SUMIF(ThresholdAge09,"&lt;"&amp;'19_Расчет_аналитики'!BO2583,WeightedMinAge09),MAX(CapacityAge09*'01_Вводные'!$B$218*'19_Расчет_аналитики'!BO2583,MeanMinAge09)))</f>
        <v/>
      </c>
    </row>
    <row r="2497">
      <c r="B2497">
        <f>IF(OR('06_Сеть_и_дети'!B90=0,10&lt;='01_Вводные'!$B$297),0,'06_Сеть_и_дети'!B90*IF('01_Вводные'!$B$239="Да",MeanMinAge10+'19_Расчет_аналитики'!B2583*SUMIF(ThresholdAge10,"&lt;"&amp;'19_Расчет_аналитики'!B2583,WeightedRevAge10)-SUMIF(ThresholdAge10,"&lt;"&amp;'19_Расчет_аналитики'!B2583,WeightedMinAge10),MAX(CapacityAge10*'01_Вводные'!$B$218*'19_Расчет_аналитики'!B2583,MeanMinAge10)))</f>
        <v/>
      </c>
      <c r="C2497">
        <f>IF(OR('06_Сеть_и_дети'!C90=0,10&lt;='01_Вводные'!$B$297),0,'06_Сеть_и_дети'!C90*IF('01_Вводные'!$B$239="Да",MeanMinAge10+'19_Расчет_аналитики'!C2583*SUMIF(ThresholdAge10,"&lt;"&amp;'19_Расчет_аналитики'!C2583,WeightedRevAge10)-SUMIF(ThresholdAge10,"&lt;"&amp;'19_Расчет_аналитики'!C2583,WeightedMinAge10),MAX(CapacityAge10*'01_Вводные'!$B$218*'19_Расчет_аналитики'!C2583,MeanMinAge10)))</f>
        <v/>
      </c>
      <c r="D2497">
        <f>IF(OR('06_Сеть_и_дети'!D90=0,10&lt;='01_Вводные'!$B$297),0,'06_Сеть_и_дети'!D90*IF('01_Вводные'!$B$239="Да",MeanMinAge10+'19_Расчет_аналитики'!D2583*SUMIF(ThresholdAge10,"&lt;"&amp;'19_Расчет_аналитики'!D2583,WeightedRevAge10)-SUMIF(ThresholdAge10,"&lt;"&amp;'19_Расчет_аналитики'!D2583,WeightedMinAge10),MAX(CapacityAge10*'01_Вводные'!$B$218*'19_Расчет_аналитики'!D2583,MeanMinAge10)))</f>
        <v/>
      </c>
      <c r="E2497">
        <f>IF(OR('06_Сеть_и_дети'!E90=0,10&lt;='01_Вводные'!$B$297),0,'06_Сеть_и_дети'!E90*IF('01_Вводные'!$B$239="Да",MeanMinAge10+'19_Расчет_аналитики'!E2583*SUMIF(ThresholdAge10,"&lt;"&amp;'19_Расчет_аналитики'!E2583,WeightedRevAge10)-SUMIF(ThresholdAge10,"&lt;"&amp;'19_Расчет_аналитики'!E2583,WeightedMinAge10),MAX(CapacityAge10*'01_Вводные'!$B$218*'19_Расчет_аналитики'!E2583,MeanMinAge10)))</f>
        <v/>
      </c>
      <c r="F2497">
        <f>IF(OR('06_Сеть_и_дети'!F90=0,10&lt;='01_Вводные'!$B$297),0,'06_Сеть_и_дети'!F90*IF('01_Вводные'!$B$239="Да",MeanMinAge10+'19_Расчет_аналитики'!F2583*SUMIF(ThresholdAge10,"&lt;"&amp;'19_Расчет_аналитики'!F2583,WeightedRevAge10)-SUMIF(ThresholdAge10,"&lt;"&amp;'19_Расчет_аналитики'!F2583,WeightedMinAge10),MAX(CapacityAge10*'01_Вводные'!$B$218*'19_Расчет_аналитики'!F2583,MeanMinAge10)))</f>
        <v/>
      </c>
      <c r="G2497">
        <f>IF(OR('06_Сеть_и_дети'!G90=0,10&lt;='01_Вводные'!$B$297),0,'06_Сеть_и_дети'!G90*IF('01_Вводные'!$B$239="Да",MeanMinAge10+'19_Расчет_аналитики'!G2583*SUMIF(ThresholdAge10,"&lt;"&amp;'19_Расчет_аналитики'!G2583,WeightedRevAge10)-SUMIF(ThresholdAge10,"&lt;"&amp;'19_Расчет_аналитики'!G2583,WeightedMinAge10),MAX(CapacityAge10*'01_Вводные'!$B$218*'19_Расчет_аналитики'!G2583,MeanMinAge10)))</f>
        <v/>
      </c>
      <c r="H2497">
        <f>IF(OR('06_Сеть_и_дети'!H90=0,10&lt;='01_Вводные'!$B$297),0,'06_Сеть_и_дети'!H90*IF('01_Вводные'!$B$239="Да",MeanMinAge10+'19_Расчет_аналитики'!H2583*SUMIF(ThresholdAge10,"&lt;"&amp;'19_Расчет_аналитики'!H2583,WeightedRevAge10)-SUMIF(ThresholdAge10,"&lt;"&amp;'19_Расчет_аналитики'!H2583,WeightedMinAge10),MAX(CapacityAge10*'01_Вводные'!$B$218*'19_Расчет_аналитики'!H2583,MeanMinAge10)))</f>
        <v/>
      </c>
      <c r="I2497">
        <f>IF(OR('06_Сеть_и_дети'!I90=0,10&lt;='01_Вводные'!$B$297),0,'06_Сеть_и_дети'!I90*IF('01_Вводные'!$B$239="Да",MeanMinAge10+'19_Расчет_аналитики'!I2583*SUMIF(ThresholdAge10,"&lt;"&amp;'19_Расчет_аналитики'!I2583,WeightedRevAge10)-SUMIF(ThresholdAge10,"&lt;"&amp;'19_Расчет_аналитики'!I2583,WeightedMinAge10),MAX(CapacityAge10*'01_Вводные'!$B$218*'19_Расчет_аналитики'!I2583,MeanMinAge10)))</f>
        <v/>
      </c>
      <c r="J2497">
        <f>IF(OR('06_Сеть_и_дети'!J90=0,10&lt;='01_Вводные'!$B$297),0,'06_Сеть_и_дети'!J90*IF('01_Вводные'!$B$239="Да",MeanMinAge10+'19_Расчет_аналитики'!J2583*SUMIF(ThresholdAge10,"&lt;"&amp;'19_Расчет_аналитики'!J2583,WeightedRevAge10)-SUMIF(ThresholdAge10,"&lt;"&amp;'19_Расчет_аналитики'!J2583,WeightedMinAge10),MAX(CapacityAge10*'01_Вводные'!$B$218*'19_Расчет_аналитики'!J2583,MeanMinAge10)))</f>
        <v/>
      </c>
      <c r="K2497">
        <f>IF(OR('19_Расчет_аналитики'!K2469=0,10&lt;='01_Вводные'!$B$297),0,'19_Расчет_аналитики'!K2469*IF('01_Вводные'!$B$239="Да",MeanMinAge10+'19_Расчет_аналитики'!K2583*SUMIF(ThresholdAge10,"&lt;"&amp;'19_Расчет_аналитики'!K2583,WeightedRevAge10)-SUMIF(ThresholdAge10,"&lt;"&amp;'19_Расчет_аналитики'!K2583,WeightedMinAge10),MAX(CapacityAge10*'01_Вводные'!$B$218*'19_Расчет_аналитики'!K2583,MeanMinAge10)))</f>
        <v/>
      </c>
      <c r="L2497">
        <f>IF(OR('19_Расчет_аналитики'!L2469=0,10&lt;='01_Вводные'!$B$297),0,'19_Расчет_аналитики'!L2469*IF('01_Вводные'!$B$239="Да",MeanMinAge10+'19_Расчет_аналитики'!L2583*SUMIF(ThresholdAge10,"&lt;"&amp;'19_Расчет_аналитики'!L2583,WeightedRevAge10)-SUMIF(ThresholdAge10,"&lt;"&amp;'19_Расчет_аналитики'!L2583,WeightedMinAge10),MAX(CapacityAge10*'01_Вводные'!$B$218*'19_Расчет_аналитики'!L2583,MeanMinAge10)))</f>
        <v/>
      </c>
      <c r="M2497">
        <f>IF(OR('19_Расчет_аналитики'!M2469=0,10&lt;='01_Вводные'!$B$297),0,'19_Расчет_аналитики'!M2469*IF('01_Вводные'!$B$239="Да",MeanMinAge10+'19_Расчет_аналитики'!M2583*SUMIF(ThresholdAge10,"&lt;"&amp;'19_Расчет_аналитики'!M2583,WeightedRevAge10)-SUMIF(ThresholdAge10,"&lt;"&amp;'19_Расчет_аналитики'!M2583,WeightedMinAge10),MAX(CapacityAge10*'01_Вводные'!$B$218*'19_Расчет_аналитики'!M2583,MeanMinAge10)))</f>
        <v/>
      </c>
      <c r="N2497">
        <f>IF(OR('19_Расчет_аналитики'!N2469=0,10&lt;='01_Вводные'!$B$297),0,'19_Расчет_аналитики'!N2469*IF('01_Вводные'!$B$239="Да",MeanMinAge10+'19_Расчет_аналитики'!N2583*SUMIF(ThresholdAge10,"&lt;"&amp;'19_Расчет_аналитики'!N2583,WeightedRevAge10)-SUMIF(ThresholdAge10,"&lt;"&amp;'19_Расчет_аналитики'!N2583,WeightedMinAge10),MAX(CapacityAge10*'01_Вводные'!$B$218*'19_Расчет_аналитики'!N2583,MeanMinAge10)))</f>
        <v/>
      </c>
      <c r="O2497">
        <f>IF(OR('19_Расчет_аналитики'!O2469=0,10&lt;='01_Вводные'!$B$297),0,'19_Расчет_аналитики'!O2469*IF('01_Вводные'!$B$239="Да",MeanMinAge10+'19_Расчет_аналитики'!O2583*SUMIF(ThresholdAge10,"&lt;"&amp;'19_Расчет_аналитики'!O2583,WeightedRevAge10)-SUMIF(ThresholdAge10,"&lt;"&amp;'19_Расчет_аналитики'!O2583,WeightedMinAge10),MAX(CapacityAge10*'01_Вводные'!$B$218*'19_Расчет_аналитики'!O2583,MeanMinAge10)))</f>
        <v/>
      </c>
      <c r="P2497">
        <f>IF(OR('19_Расчет_аналитики'!P2469=0,10&lt;='01_Вводные'!$B$297),0,'19_Расчет_аналитики'!P2469*IF('01_Вводные'!$B$239="Да",MeanMinAge10+'19_Расчет_аналитики'!P2583*SUMIF(ThresholdAge10,"&lt;"&amp;'19_Расчет_аналитики'!P2583,WeightedRevAge10)-SUMIF(ThresholdAge10,"&lt;"&amp;'19_Расчет_аналитики'!P2583,WeightedMinAge10),MAX(CapacityAge10*'01_Вводные'!$B$218*'19_Расчет_аналитики'!P2583,MeanMinAge10)))</f>
        <v/>
      </c>
      <c r="Q2497">
        <f>IF(OR('19_Расчет_аналитики'!Q2469=0,10&lt;='01_Вводные'!$B$297),0,'19_Расчет_аналитики'!Q2469*IF('01_Вводные'!$B$239="Да",MeanMinAge10+'19_Расчет_аналитики'!Q2583*SUMIF(ThresholdAge10,"&lt;"&amp;'19_Расчет_аналитики'!Q2583,WeightedRevAge10)-SUMIF(ThresholdAge10,"&lt;"&amp;'19_Расчет_аналитики'!Q2583,WeightedMinAge10),MAX(CapacityAge10*'01_Вводные'!$B$218*'19_Расчет_аналитики'!Q2583,MeanMinAge10)))</f>
        <v/>
      </c>
      <c r="R2497">
        <f>IF(OR('19_Расчет_аналитики'!R2469=0,10&lt;='01_Вводные'!$B$297),0,'19_Расчет_аналитики'!R2469*IF('01_Вводные'!$B$239="Да",MeanMinAge10+'19_Расчет_аналитики'!R2583*SUMIF(ThresholdAge10,"&lt;"&amp;'19_Расчет_аналитики'!R2583,WeightedRevAge10)-SUMIF(ThresholdAge10,"&lt;"&amp;'19_Расчет_аналитики'!R2583,WeightedMinAge10),MAX(CapacityAge10*'01_Вводные'!$B$218*'19_Расчет_аналитики'!R2583,MeanMinAge10)))</f>
        <v/>
      </c>
      <c r="S2497">
        <f>IF(OR('19_Расчет_аналитики'!S2469=0,10&lt;='01_Вводные'!$B$297),0,'19_Расчет_аналитики'!S2469*IF('01_Вводные'!$B$239="Да",MeanMinAge10+'19_Расчет_аналитики'!S2583*SUMIF(ThresholdAge10,"&lt;"&amp;'19_Расчет_аналитики'!S2583,WeightedRevAge10)-SUMIF(ThresholdAge10,"&lt;"&amp;'19_Расчет_аналитики'!S2583,WeightedMinAge10),MAX(CapacityAge10*'01_Вводные'!$B$218*'19_Расчет_аналитики'!S2583,MeanMinAge10)))</f>
        <v/>
      </c>
      <c r="T2497">
        <f>IF(OR('19_Расчет_аналитики'!T2469=0,10&lt;='01_Вводные'!$B$297),0,'19_Расчет_аналитики'!T2469*IF('01_Вводные'!$B$239="Да",MeanMinAge10+'19_Расчет_аналитики'!T2583*SUMIF(ThresholdAge10,"&lt;"&amp;'19_Расчет_аналитики'!T2583,WeightedRevAge10)-SUMIF(ThresholdAge10,"&lt;"&amp;'19_Расчет_аналитики'!T2583,WeightedMinAge10),MAX(CapacityAge10*'01_Вводные'!$B$218*'19_Расчет_аналитики'!T2583,MeanMinAge10)))</f>
        <v/>
      </c>
      <c r="U2497">
        <f>IF(OR('19_Расчет_аналитики'!U2469=0,10&lt;='01_Вводные'!$B$297),0,'19_Расчет_аналитики'!U2469*IF('01_Вводные'!$B$239="Да",MeanMinAge10+'19_Расчет_аналитики'!U2583*SUMIF(ThresholdAge10,"&lt;"&amp;'19_Расчет_аналитики'!U2583,WeightedRevAge10)-SUMIF(ThresholdAge10,"&lt;"&amp;'19_Расчет_аналитики'!U2583,WeightedMinAge10),MAX(CapacityAge10*'01_Вводные'!$B$218*'19_Расчет_аналитики'!U2583,MeanMinAge10)))</f>
        <v/>
      </c>
      <c r="V2497">
        <f>IF(OR('19_Расчет_аналитики'!V2469=0,10&lt;='01_Вводные'!$B$297),0,'19_Расчет_аналитики'!V2469*IF('01_Вводные'!$B$239="Да",MeanMinAge10+'19_Расчет_аналитики'!V2583*SUMIF(ThresholdAge10,"&lt;"&amp;'19_Расчет_аналитики'!V2583,WeightedRevAge10)-SUMIF(ThresholdAge10,"&lt;"&amp;'19_Расчет_аналитики'!V2583,WeightedMinAge10),MAX(CapacityAge10*'01_Вводные'!$B$218*'19_Расчет_аналитики'!V2583,MeanMinAge10)))</f>
        <v/>
      </c>
      <c r="W2497">
        <f>IF(OR('19_Расчет_аналитики'!W2469=0,10&lt;='01_Вводные'!$B$297),0,'19_Расчет_аналитики'!W2469*IF('01_Вводные'!$B$239="Да",MeanMinAge10+'19_Расчет_аналитики'!W2583*SUMIF(ThresholdAge10,"&lt;"&amp;'19_Расчет_аналитики'!W2583,WeightedRevAge10)-SUMIF(ThresholdAge10,"&lt;"&amp;'19_Расчет_аналитики'!W2583,WeightedMinAge10),MAX(CapacityAge10*'01_Вводные'!$B$218*'19_Расчет_аналитики'!W2583,MeanMinAge10)))</f>
        <v/>
      </c>
      <c r="X2497">
        <f>IF(OR('19_Расчет_аналитики'!X2469=0,10&lt;='01_Вводные'!$B$297),0,'19_Расчет_аналитики'!X2469*IF('01_Вводные'!$B$239="Да",MeanMinAge10+'19_Расчет_аналитики'!X2583*SUMIF(ThresholdAge10,"&lt;"&amp;'19_Расчет_аналитики'!X2583,WeightedRevAge10)-SUMIF(ThresholdAge10,"&lt;"&amp;'19_Расчет_аналитики'!X2583,WeightedMinAge10),MAX(CapacityAge10*'01_Вводные'!$B$218*'19_Расчет_аналитики'!X2583,MeanMinAge10)))</f>
        <v/>
      </c>
      <c r="Y2497">
        <f>IF(OR('19_Расчет_аналитики'!Y2469=0,10&lt;='01_Вводные'!$B$297),0,'19_Расчет_аналитики'!Y2469*IF('01_Вводные'!$B$239="Да",MeanMinAge10+'19_Расчет_аналитики'!Y2583*SUMIF(ThresholdAge10,"&lt;"&amp;'19_Расчет_аналитики'!Y2583,WeightedRevAge10)-SUMIF(ThresholdAge10,"&lt;"&amp;'19_Расчет_аналитики'!Y2583,WeightedMinAge10),MAX(CapacityAge10*'01_Вводные'!$B$218*'19_Расчет_аналитики'!Y2583,MeanMinAge10)))</f>
        <v/>
      </c>
      <c r="Z2497">
        <f>IF(OR('19_Расчет_аналитики'!Z2469=0,10&lt;='01_Вводные'!$B$297),0,'19_Расчет_аналитики'!Z2469*IF('01_Вводные'!$B$239="Да",MeanMinAge10+'19_Расчет_аналитики'!Z2583*SUMIF(ThresholdAge10,"&lt;"&amp;'19_Расчет_аналитики'!Z2583,WeightedRevAge10)-SUMIF(ThresholdAge10,"&lt;"&amp;'19_Расчет_аналитики'!Z2583,WeightedMinAge10),MAX(CapacityAge10*'01_Вводные'!$B$218*'19_Расчет_аналитики'!Z2583,MeanMinAge10)))</f>
        <v/>
      </c>
      <c r="AA2497">
        <f>IF(OR('19_Расчет_аналитики'!AA2469=0,10&lt;='01_Вводные'!$B$297),0,'19_Расчет_аналитики'!AA2469*IF('01_Вводные'!$B$239="Да",MeanMinAge10+'19_Расчет_аналитики'!AA2583*SUMIF(ThresholdAge10,"&lt;"&amp;'19_Расчет_аналитики'!AA2583,WeightedRevAge10)-SUMIF(ThresholdAge10,"&lt;"&amp;'19_Расчет_аналитики'!AA2583,WeightedMinAge10),MAX(CapacityAge10*'01_Вводные'!$B$218*'19_Расчет_аналитики'!AA2583,MeanMinAge10)))</f>
        <v/>
      </c>
      <c r="AB2497">
        <f>IF(OR('19_Расчет_аналитики'!AB2469=0,10&lt;='01_Вводные'!$B$297),0,'19_Расчет_аналитики'!AB2469*IF('01_Вводные'!$B$239="Да",MeanMinAge10+'19_Расчет_аналитики'!AB2583*SUMIF(ThresholdAge10,"&lt;"&amp;'19_Расчет_аналитики'!AB2583,WeightedRevAge10)-SUMIF(ThresholdAge10,"&lt;"&amp;'19_Расчет_аналитики'!AB2583,WeightedMinAge10),MAX(CapacityAge10*'01_Вводные'!$B$218*'19_Расчет_аналитики'!AB2583,MeanMinAge10)))</f>
        <v/>
      </c>
      <c r="AC2497">
        <f>IF(OR('19_Расчет_аналитики'!AC2469=0,10&lt;='01_Вводные'!$B$297),0,'19_Расчет_аналитики'!AC2469*IF('01_Вводные'!$B$239="Да",MeanMinAge10+'19_Расчет_аналитики'!AC2583*SUMIF(ThresholdAge10,"&lt;"&amp;'19_Расчет_аналитики'!AC2583,WeightedRevAge10)-SUMIF(ThresholdAge10,"&lt;"&amp;'19_Расчет_аналитики'!AC2583,WeightedMinAge10),MAX(CapacityAge10*'01_Вводные'!$B$218*'19_Расчет_аналитики'!AC2583,MeanMinAge10)))</f>
        <v/>
      </c>
      <c r="AD2497">
        <f>IF(OR('19_Расчет_аналитики'!AD2469=0,10&lt;='01_Вводные'!$B$297),0,'19_Расчет_аналитики'!AD2469*IF('01_Вводные'!$B$239="Да",MeanMinAge10+'19_Расчет_аналитики'!AD2583*SUMIF(ThresholdAge10,"&lt;"&amp;'19_Расчет_аналитики'!AD2583,WeightedRevAge10)-SUMIF(ThresholdAge10,"&lt;"&amp;'19_Расчет_аналитики'!AD2583,WeightedMinAge10),MAX(CapacityAge10*'01_Вводные'!$B$218*'19_Расчет_аналитики'!AD2583,MeanMinAge10)))</f>
        <v/>
      </c>
      <c r="AE2497">
        <f>IF(OR('19_Расчет_аналитики'!AE2469=0,10&lt;='01_Вводные'!$B$297),0,'19_Расчет_аналитики'!AE2469*IF('01_Вводные'!$B$239="Да",MeanMinAge10+'19_Расчет_аналитики'!AE2583*SUMIF(ThresholdAge10,"&lt;"&amp;'19_Расчет_аналитики'!AE2583,WeightedRevAge10)-SUMIF(ThresholdAge10,"&lt;"&amp;'19_Расчет_аналитики'!AE2583,WeightedMinAge10),MAX(CapacityAge10*'01_Вводные'!$B$218*'19_Расчет_аналитики'!AE2583,MeanMinAge10)))</f>
        <v/>
      </c>
      <c r="AF2497">
        <f>IF(OR('19_Расчет_аналитики'!AF2469=0,10&lt;='01_Вводные'!$B$297),0,'19_Расчет_аналитики'!AF2469*IF('01_Вводные'!$B$239="Да",MeanMinAge10+'19_Расчет_аналитики'!AF2583*SUMIF(ThresholdAge10,"&lt;"&amp;'19_Расчет_аналитики'!AF2583,WeightedRevAge10)-SUMIF(ThresholdAge10,"&lt;"&amp;'19_Расчет_аналитики'!AF2583,WeightedMinAge10),MAX(CapacityAge10*'01_Вводные'!$B$218*'19_Расчет_аналитики'!AF2583,MeanMinAge10)))</f>
        <v/>
      </c>
      <c r="AG2497">
        <f>IF(OR('19_Расчет_аналитики'!AG2469=0,10&lt;='01_Вводные'!$B$297),0,'19_Расчет_аналитики'!AG2469*IF('01_Вводные'!$B$239="Да",MeanMinAge10+'19_Расчет_аналитики'!AG2583*SUMIF(ThresholdAge10,"&lt;"&amp;'19_Расчет_аналитики'!AG2583,WeightedRevAge10)-SUMIF(ThresholdAge10,"&lt;"&amp;'19_Расчет_аналитики'!AG2583,WeightedMinAge10),MAX(CapacityAge10*'01_Вводные'!$B$218*'19_Расчет_аналитики'!AG2583,MeanMinAge10)))</f>
        <v/>
      </c>
      <c r="AH2497">
        <f>IF(OR('19_Расчет_аналитики'!AH2469=0,10&lt;='01_Вводные'!$B$297),0,'19_Расчет_аналитики'!AH2469*IF('01_Вводные'!$B$239="Да",MeanMinAge10+'19_Расчет_аналитики'!AH2583*SUMIF(ThresholdAge10,"&lt;"&amp;'19_Расчет_аналитики'!AH2583,WeightedRevAge10)-SUMIF(ThresholdAge10,"&lt;"&amp;'19_Расчет_аналитики'!AH2583,WeightedMinAge10),MAX(CapacityAge10*'01_Вводные'!$B$218*'19_Расчет_аналитики'!AH2583,MeanMinAge10)))</f>
        <v/>
      </c>
      <c r="AI2497">
        <f>IF(OR('19_Расчет_аналитики'!AI2469=0,10&lt;='01_Вводные'!$B$297),0,'19_Расчет_аналитики'!AI2469*IF('01_Вводные'!$B$239="Да",MeanMinAge10+'19_Расчет_аналитики'!AI2583*SUMIF(ThresholdAge10,"&lt;"&amp;'19_Расчет_аналитики'!AI2583,WeightedRevAge10)-SUMIF(ThresholdAge10,"&lt;"&amp;'19_Расчет_аналитики'!AI2583,WeightedMinAge10),MAX(CapacityAge10*'01_Вводные'!$B$218*'19_Расчет_аналитики'!AI2583,MeanMinAge10)))</f>
        <v/>
      </c>
      <c r="AJ2497">
        <f>IF(OR('19_Расчет_аналитики'!AJ2469=0,10&lt;='01_Вводные'!$B$297),0,'19_Расчет_аналитики'!AJ2469*IF('01_Вводные'!$B$239="Да",MeanMinAge10+'19_Расчет_аналитики'!AJ2583*SUMIF(ThresholdAge10,"&lt;"&amp;'19_Расчет_аналитики'!AJ2583,WeightedRevAge10)-SUMIF(ThresholdAge10,"&lt;"&amp;'19_Расчет_аналитики'!AJ2583,WeightedMinAge10),MAX(CapacityAge10*'01_Вводные'!$B$218*'19_Расчет_аналитики'!AJ2583,MeanMinAge10)))</f>
        <v/>
      </c>
      <c r="AK2497">
        <f>IF(OR('19_Расчет_аналитики'!AK2469=0,10&lt;='01_Вводные'!$B$297),0,'19_Расчет_аналитики'!AK2469*IF('01_Вводные'!$B$239="Да",MeanMinAge10+'19_Расчет_аналитики'!AK2583*SUMIF(ThresholdAge10,"&lt;"&amp;'19_Расчет_аналитики'!AK2583,WeightedRevAge10)-SUMIF(ThresholdAge10,"&lt;"&amp;'19_Расчет_аналитики'!AK2583,WeightedMinAge10),MAX(CapacityAge10*'01_Вводные'!$B$218*'19_Расчет_аналитики'!AK2583,MeanMinAge10)))</f>
        <v/>
      </c>
      <c r="AL2497">
        <f>IF(OR('19_Расчет_аналитики'!AL2469=0,10&lt;='01_Вводные'!$B$297),0,'19_Расчет_аналитики'!AL2469*IF('01_Вводные'!$B$239="Да",MeanMinAge10+'19_Расчет_аналитики'!AL2583*SUMIF(ThresholdAge10,"&lt;"&amp;'19_Расчет_аналитики'!AL2583,WeightedRevAge10)-SUMIF(ThresholdAge10,"&lt;"&amp;'19_Расчет_аналитики'!AL2583,WeightedMinAge10),MAX(CapacityAge10*'01_Вводные'!$B$218*'19_Расчет_аналитики'!AL2583,MeanMinAge10)))</f>
        <v/>
      </c>
      <c r="AM2497">
        <f>IF(OR('19_Расчет_аналитики'!AM2469=0,10&lt;='01_Вводные'!$B$297),0,'19_Расчет_аналитики'!AM2469*IF('01_Вводные'!$B$239="Да",MeanMinAge10+'19_Расчет_аналитики'!AM2583*SUMIF(ThresholdAge10,"&lt;"&amp;'19_Расчет_аналитики'!AM2583,WeightedRevAge10)-SUMIF(ThresholdAge10,"&lt;"&amp;'19_Расчет_аналитики'!AM2583,WeightedMinAge10),MAX(CapacityAge10*'01_Вводные'!$B$218*'19_Расчет_аналитики'!AM2583,MeanMinAge10)))</f>
        <v/>
      </c>
      <c r="AN2497">
        <f>IF(OR('19_Расчет_аналитики'!AN2469=0,10&lt;='01_Вводные'!$B$297),0,'19_Расчет_аналитики'!AN2469*IF('01_Вводные'!$B$239="Да",MeanMinAge10+'19_Расчет_аналитики'!AN2583*SUMIF(ThresholdAge10,"&lt;"&amp;'19_Расчет_аналитики'!AN2583,WeightedRevAge10)-SUMIF(ThresholdAge10,"&lt;"&amp;'19_Расчет_аналитики'!AN2583,WeightedMinAge10),MAX(CapacityAge10*'01_Вводные'!$B$218*'19_Расчет_аналитики'!AN2583,MeanMinAge10)))</f>
        <v/>
      </c>
      <c r="AO2497">
        <f>IF(OR('19_Расчет_аналитики'!AO2469=0,10&lt;='01_Вводные'!$B$297),0,'19_Расчет_аналитики'!AO2469*IF('01_Вводные'!$B$239="Да",MeanMinAge10+'19_Расчет_аналитики'!AO2583*SUMIF(ThresholdAge10,"&lt;"&amp;'19_Расчет_аналитики'!AO2583,WeightedRevAge10)-SUMIF(ThresholdAge10,"&lt;"&amp;'19_Расчет_аналитики'!AO2583,WeightedMinAge10),MAX(CapacityAge10*'01_Вводные'!$B$218*'19_Расчет_аналитики'!AO2583,MeanMinAge10)))</f>
        <v/>
      </c>
      <c r="AP2497">
        <f>IF(OR('19_Расчет_аналитики'!AP2469=0,10&lt;='01_Вводные'!$B$297),0,'19_Расчет_аналитики'!AP2469*IF('01_Вводные'!$B$239="Да",MeanMinAge10+'19_Расчет_аналитики'!AP2583*SUMIF(ThresholdAge10,"&lt;"&amp;'19_Расчет_аналитики'!AP2583,WeightedRevAge10)-SUMIF(ThresholdAge10,"&lt;"&amp;'19_Расчет_аналитики'!AP2583,WeightedMinAge10),MAX(CapacityAge10*'01_Вводные'!$B$218*'19_Расчет_аналитики'!AP2583,MeanMinAge10)))</f>
        <v/>
      </c>
      <c r="AQ2497">
        <f>IF(OR('19_Расчет_аналитики'!AQ2469=0,10&lt;='01_Вводные'!$B$297),0,'19_Расчет_аналитики'!AQ2469*IF('01_Вводные'!$B$239="Да",MeanMinAge10+'19_Расчет_аналитики'!AQ2583*SUMIF(ThresholdAge10,"&lt;"&amp;'19_Расчет_аналитики'!AQ2583,WeightedRevAge10)-SUMIF(ThresholdAge10,"&lt;"&amp;'19_Расчет_аналитики'!AQ2583,WeightedMinAge10),MAX(CapacityAge10*'01_Вводные'!$B$218*'19_Расчет_аналитики'!AQ2583,MeanMinAge10)))</f>
        <v/>
      </c>
      <c r="AR2497">
        <f>IF(OR('19_Расчет_аналитики'!AR2469=0,10&lt;='01_Вводные'!$B$297),0,'19_Расчет_аналитики'!AR2469*IF('01_Вводные'!$B$239="Да",MeanMinAge10+'19_Расчет_аналитики'!AR2583*SUMIF(ThresholdAge10,"&lt;"&amp;'19_Расчет_аналитики'!AR2583,WeightedRevAge10)-SUMIF(ThresholdAge10,"&lt;"&amp;'19_Расчет_аналитики'!AR2583,WeightedMinAge10),MAX(CapacityAge10*'01_Вводные'!$B$218*'19_Расчет_аналитики'!AR2583,MeanMinAge10)))</f>
        <v/>
      </c>
      <c r="AS2497">
        <f>IF(OR('19_Расчет_аналитики'!AS2469=0,10&lt;='01_Вводные'!$B$297),0,'19_Расчет_аналитики'!AS2469*IF('01_Вводные'!$B$239="Да",MeanMinAge10+'19_Расчет_аналитики'!AS2583*SUMIF(ThresholdAge10,"&lt;"&amp;'19_Расчет_аналитики'!AS2583,WeightedRevAge10)-SUMIF(ThresholdAge10,"&lt;"&amp;'19_Расчет_аналитики'!AS2583,WeightedMinAge10),MAX(CapacityAge10*'01_Вводные'!$B$218*'19_Расчет_аналитики'!AS2583,MeanMinAge10)))</f>
        <v/>
      </c>
      <c r="AT2497">
        <f>IF(OR('19_Расчет_аналитики'!AT2469=0,10&lt;='01_Вводные'!$B$297),0,'19_Расчет_аналитики'!AT2469*IF('01_Вводные'!$B$239="Да",MeanMinAge10+'19_Расчет_аналитики'!AT2583*SUMIF(ThresholdAge10,"&lt;"&amp;'19_Расчет_аналитики'!AT2583,WeightedRevAge10)-SUMIF(ThresholdAge10,"&lt;"&amp;'19_Расчет_аналитики'!AT2583,WeightedMinAge10),MAX(CapacityAge10*'01_Вводные'!$B$218*'19_Расчет_аналитики'!AT2583,MeanMinAge10)))</f>
        <v/>
      </c>
      <c r="AU2497">
        <f>IF(OR('19_Расчет_аналитики'!AU2469=0,10&lt;='01_Вводные'!$B$297),0,'19_Расчет_аналитики'!AU2469*IF('01_Вводные'!$B$239="Да",MeanMinAge10+'19_Расчет_аналитики'!AU2583*SUMIF(ThresholdAge10,"&lt;"&amp;'19_Расчет_аналитики'!AU2583,WeightedRevAge10)-SUMIF(ThresholdAge10,"&lt;"&amp;'19_Расчет_аналитики'!AU2583,WeightedMinAge10),MAX(CapacityAge10*'01_Вводные'!$B$218*'19_Расчет_аналитики'!AU2583,MeanMinAge10)))</f>
        <v/>
      </c>
      <c r="AV2497">
        <f>IF(OR('19_Расчет_аналитики'!AV2469=0,10&lt;='01_Вводные'!$B$297),0,'19_Расчет_аналитики'!AV2469*IF('01_Вводные'!$B$239="Да",MeanMinAge10+'19_Расчет_аналитики'!AV2583*SUMIF(ThresholdAge10,"&lt;"&amp;'19_Расчет_аналитики'!AV2583,WeightedRevAge10)-SUMIF(ThresholdAge10,"&lt;"&amp;'19_Расчет_аналитики'!AV2583,WeightedMinAge10),MAX(CapacityAge10*'01_Вводные'!$B$218*'19_Расчет_аналитики'!AV2583,MeanMinAge10)))</f>
        <v/>
      </c>
      <c r="AW2497">
        <f>IF(OR('19_Расчет_аналитики'!AW2469=0,10&lt;='01_Вводные'!$B$297),0,'19_Расчет_аналитики'!AW2469*IF('01_Вводные'!$B$239="Да",MeanMinAge10+'19_Расчет_аналитики'!AW2583*SUMIF(ThresholdAge10,"&lt;"&amp;'19_Расчет_аналитики'!AW2583,WeightedRevAge10)-SUMIF(ThresholdAge10,"&lt;"&amp;'19_Расчет_аналитики'!AW2583,WeightedMinAge10),MAX(CapacityAge10*'01_Вводные'!$B$218*'19_Расчет_аналитики'!AW2583,MeanMinAge10)))</f>
        <v/>
      </c>
      <c r="AX2497">
        <f>IF(OR('19_Расчет_аналитики'!AX2469=0,10&lt;='01_Вводные'!$B$297),0,'19_Расчет_аналитики'!AX2469*IF('01_Вводные'!$B$239="Да",MeanMinAge10+'19_Расчет_аналитики'!AX2583*SUMIF(ThresholdAge10,"&lt;"&amp;'19_Расчет_аналитики'!AX2583,WeightedRevAge10)-SUMIF(ThresholdAge10,"&lt;"&amp;'19_Расчет_аналитики'!AX2583,WeightedMinAge10),MAX(CapacityAge10*'01_Вводные'!$B$218*'19_Расчет_аналитики'!AX2583,MeanMinAge10)))</f>
        <v/>
      </c>
      <c r="AY2497">
        <f>IF(OR('19_Расчет_аналитики'!AY2469=0,10&lt;='01_Вводные'!$B$297),0,'19_Расчет_аналитики'!AY2469*IF('01_Вводные'!$B$239="Да",MeanMinAge10+'19_Расчет_аналитики'!AY2583*SUMIF(ThresholdAge10,"&lt;"&amp;'19_Расчет_аналитики'!AY2583,WeightedRevAge10)-SUMIF(ThresholdAge10,"&lt;"&amp;'19_Расчет_аналитики'!AY2583,WeightedMinAge10),MAX(CapacityAge10*'01_Вводные'!$B$218*'19_Расчет_аналитики'!AY2583,MeanMinAge10)))</f>
        <v/>
      </c>
      <c r="AZ2497">
        <f>IF(OR('19_Расчет_аналитики'!AZ2469=0,10&lt;='01_Вводные'!$B$297),0,'19_Расчет_аналитики'!AZ2469*IF('01_Вводные'!$B$239="Да",MeanMinAge10+'19_Расчет_аналитики'!AZ2583*SUMIF(ThresholdAge10,"&lt;"&amp;'19_Расчет_аналитики'!AZ2583,WeightedRevAge10)-SUMIF(ThresholdAge10,"&lt;"&amp;'19_Расчет_аналитики'!AZ2583,WeightedMinAge10),MAX(CapacityAge10*'01_Вводные'!$B$218*'19_Расчет_аналитики'!AZ2583,MeanMinAge10)))</f>
        <v/>
      </c>
      <c r="BA2497">
        <f>IF(OR('19_Расчет_аналитики'!BA2469=0,10&lt;='01_Вводные'!$B$297),0,'19_Расчет_аналитики'!BA2469*IF('01_Вводные'!$B$239="Да",MeanMinAge10+'19_Расчет_аналитики'!BA2583*SUMIF(ThresholdAge10,"&lt;"&amp;'19_Расчет_аналитики'!BA2583,WeightedRevAge10)-SUMIF(ThresholdAge10,"&lt;"&amp;'19_Расчет_аналитики'!BA2583,WeightedMinAge10),MAX(CapacityAge10*'01_Вводные'!$B$218*'19_Расчет_аналитики'!BA2583,MeanMinAge10)))</f>
        <v/>
      </c>
      <c r="BB2497">
        <f>IF(OR('19_Расчет_аналитики'!BB2469=0,10&lt;='01_Вводные'!$B$297),0,'19_Расчет_аналитики'!BB2469*IF('01_Вводные'!$B$239="Да",MeanMinAge10+'19_Расчет_аналитики'!BB2583*SUMIF(ThresholdAge10,"&lt;"&amp;'19_Расчет_аналитики'!BB2583,WeightedRevAge10)-SUMIF(ThresholdAge10,"&lt;"&amp;'19_Расчет_аналитики'!BB2583,WeightedMinAge10),MAX(CapacityAge10*'01_Вводные'!$B$218*'19_Расчет_аналитики'!BB2583,MeanMinAge10)))</f>
        <v/>
      </c>
      <c r="BC2497">
        <f>IF(OR('19_Расчет_аналитики'!BC2469=0,10&lt;='01_Вводные'!$B$297),0,'19_Расчет_аналитики'!BC2469*IF('01_Вводные'!$B$239="Да",MeanMinAge10+'19_Расчет_аналитики'!BC2583*SUMIF(ThresholdAge10,"&lt;"&amp;'19_Расчет_аналитики'!BC2583,WeightedRevAge10)-SUMIF(ThresholdAge10,"&lt;"&amp;'19_Расчет_аналитики'!BC2583,WeightedMinAge10),MAX(CapacityAge10*'01_Вводные'!$B$218*'19_Расчет_аналитики'!BC2583,MeanMinAge10)))</f>
        <v/>
      </c>
      <c r="BD2497">
        <f>IF(OR('19_Расчет_аналитики'!BD2469=0,10&lt;='01_Вводные'!$B$297),0,'19_Расчет_аналитики'!BD2469*IF('01_Вводные'!$B$239="Да",MeanMinAge10+'19_Расчет_аналитики'!BD2583*SUMIF(ThresholdAge10,"&lt;"&amp;'19_Расчет_аналитики'!BD2583,WeightedRevAge10)-SUMIF(ThresholdAge10,"&lt;"&amp;'19_Расчет_аналитики'!BD2583,WeightedMinAge10),MAX(CapacityAge10*'01_Вводные'!$B$218*'19_Расчет_аналитики'!BD2583,MeanMinAge10)))</f>
        <v/>
      </c>
      <c r="BE2497">
        <f>IF(OR('19_Расчет_аналитики'!BE2469=0,10&lt;='01_Вводные'!$B$297),0,'19_Расчет_аналитики'!BE2469*IF('01_Вводные'!$B$239="Да",MeanMinAge10+'19_Расчет_аналитики'!BE2583*SUMIF(ThresholdAge10,"&lt;"&amp;'19_Расчет_аналитики'!BE2583,WeightedRevAge10)-SUMIF(ThresholdAge10,"&lt;"&amp;'19_Расчет_аналитики'!BE2583,WeightedMinAge10),MAX(CapacityAge10*'01_Вводные'!$B$218*'19_Расчет_аналитики'!BE2583,MeanMinAge10)))</f>
        <v/>
      </c>
      <c r="BF2497">
        <f>IF(OR('19_Расчет_аналитики'!BF2469=0,10&lt;='01_Вводные'!$B$297),0,'19_Расчет_аналитики'!BF2469*IF('01_Вводные'!$B$239="Да",MeanMinAge10+'19_Расчет_аналитики'!BF2583*SUMIF(ThresholdAge10,"&lt;"&amp;'19_Расчет_аналитики'!BF2583,WeightedRevAge10)-SUMIF(ThresholdAge10,"&lt;"&amp;'19_Расчет_аналитики'!BF2583,WeightedMinAge10),MAX(CapacityAge10*'01_Вводные'!$B$218*'19_Расчет_аналитики'!BF2583,MeanMinAge10)))</f>
        <v/>
      </c>
      <c r="BG2497">
        <f>IF(OR('19_Расчет_аналитики'!BG2469=0,10&lt;='01_Вводные'!$B$297),0,'19_Расчет_аналитики'!BG2469*IF('01_Вводные'!$B$239="Да",MeanMinAge10+'19_Расчет_аналитики'!BG2583*SUMIF(ThresholdAge10,"&lt;"&amp;'19_Расчет_аналитики'!BG2583,WeightedRevAge10)-SUMIF(ThresholdAge10,"&lt;"&amp;'19_Расчет_аналитики'!BG2583,WeightedMinAge10),MAX(CapacityAge10*'01_Вводные'!$B$218*'19_Расчет_аналитики'!BG2583,MeanMinAge10)))</f>
        <v/>
      </c>
      <c r="BH2497">
        <f>IF(OR('19_Расчет_аналитики'!BH2469=0,10&lt;='01_Вводные'!$B$297),0,'19_Расчет_аналитики'!BH2469*IF('01_Вводные'!$B$239="Да",MeanMinAge10+'19_Расчет_аналитики'!BH2583*SUMIF(ThresholdAge10,"&lt;"&amp;'19_Расчет_аналитики'!BH2583,WeightedRevAge10)-SUMIF(ThresholdAge10,"&lt;"&amp;'19_Расчет_аналитики'!BH2583,WeightedMinAge10),MAX(CapacityAge10*'01_Вводные'!$B$218*'19_Расчет_аналитики'!BH2583,MeanMinAge10)))</f>
        <v/>
      </c>
      <c r="BI2497">
        <f>IF(OR('19_Расчет_аналитики'!BI2469=0,10&lt;='01_Вводные'!$B$297),0,'19_Расчет_аналитики'!BI2469*IF('01_Вводные'!$B$239="Да",MeanMinAge10+'19_Расчет_аналитики'!BI2583*SUMIF(ThresholdAge10,"&lt;"&amp;'19_Расчет_аналитики'!BI2583,WeightedRevAge10)-SUMIF(ThresholdAge10,"&lt;"&amp;'19_Расчет_аналитики'!BI2583,WeightedMinAge10),MAX(CapacityAge10*'01_Вводные'!$B$218*'19_Расчет_аналитики'!BI2583,MeanMinAge10)))</f>
        <v/>
      </c>
      <c r="BJ2497">
        <f>IF(OR('19_Расчет_аналитики'!BJ2469=0,10&lt;='01_Вводные'!$B$297),0,'19_Расчет_аналитики'!BJ2469*IF('01_Вводные'!$B$239="Да",MeanMinAge10+'19_Расчет_аналитики'!BJ2583*SUMIF(ThresholdAge10,"&lt;"&amp;'19_Расчет_аналитики'!BJ2583,WeightedRevAge10)-SUMIF(ThresholdAge10,"&lt;"&amp;'19_Расчет_аналитики'!BJ2583,WeightedMinAge10),MAX(CapacityAge10*'01_Вводные'!$B$218*'19_Расчет_аналитики'!BJ2583,MeanMinAge10)))</f>
        <v/>
      </c>
      <c r="BK2497">
        <f>IF(OR('19_Расчет_аналитики'!BK2469=0,10&lt;='01_Вводные'!$B$297),0,'19_Расчет_аналитики'!BK2469*IF('01_Вводные'!$B$239="Да",MeanMinAge10+'19_Расчет_аналитики'!BK2583*SUMIF(ThresholdAge10,"&lt;"&amp;'19_Расчет_аналитики'!BK2583,WeightedRevAge10)-SUMIF(ThresholdAge10,"&lt;"&amp;'19_Расчет_аналитики'!BK2583,WeightedMinAge10),MAX(CapacityAge10*'01_Вводные'!$B$218*'19_Расчет_аналитики'!BK2583,MeanMinAge10)))</f>
        <v/>
      </c>
      <c r="BL2497">
        <f>IF(OR('19_Расчет_аналитики'!BL2469=0,10&lt;='01_Вводные'!$B$297),0,'19_Расчет_аналитики'!BL2469*IF('01_Вводные'!$B$239="Да",MeanMinAge10+'19_Расчет_аналитики'!BL2583*SUMIF(ThresholdAge10,"&lt;"&amp;'19_Расчет_аналитики'!BL2583,WeightedRevAge10)-SUMIF(ThresholdAge10,"&lt;"&amp;'19_Расчет_аналитики'!BL2583,WeightedMinAge10),MAX(CapacityAge10*'01_Вводные'!$B$218*'19_Расчет_аналитики'!BL2583,MeanMinAge10)))</f>
        <v/>
      </c>
      <c r="BM2497">
        <f>IF(OR('19_Расчет_аналитики'!BM2469=0,10&lt;='01_Вводные'!$B$297),0,'19_Расчет_аналитики'!BM2469*IF('01_Вводные'!$B$239="Да",MeanMinAge10+'19_Расчет_аналитики'!BM2583*SUMIF(ThresholdAge10,"&lt;"&amp;'19_Расчет_аналитики'!BM2583,WeightedRevAge10)-SUMIF(ThresholdAge10,"&lt;"&amp;'19_Расчет_аналитики'!BM2583,WeightedMinAge10),MAX(CapacityAge10*'01_Вводные'!$B$218*'19_Расчет_аналитики'!BM2583,MeanMinAge10)))</f>
        <v/>
      </c>
      <c r="BN2497">
        <f>IF(OR('19_Расчет_аналитики'!BN2469=0,10&lt;='01_Вводные'!$B$297),0,'19_Расчет_аналитики'!BN2469*IF('01_Вводные'!$B$239="Да",MeanMinAge10+'19_Расчет_аналитики'!BN2583*SUMIF(ThresholdAge10,"&lt;"&amp;'19_Расчет_аналитики'!BN2583,WeightedRevAge10)-SUMIF(ThresholdAge10,"&lt;"&amp;'19_Расчет_аналитики'!BN2583,WeightedMinAge10),MAX(CapacityAge10*'01_Вводные'!$B$218*'19_Расчет_аналитики'!BN2583,MeanMinAge10)))</f>
        <v/>
      </c>
      <c r="BO2497">
        <f>IF(OR('19_Расчет_аналитики'!BO2469=0,10&lt;='01_Вводные'!$B$297),0,'19_Расчет_аналитики'!BO2469*IF('01_Вводные'!$B$239="Да",MeanMinAge10+'19_Расчет_аналитики'!BO2583*SUMIF(ThresholdAge10,"&lt;"&amp;'19_Расчет_аналитики'!BO2583,WeightedRevAge10)-SUMIF(ThresholdAge10,"&lt;"&amp;'19_Расчет_аналитики'!BO2583,WeightedMinAge10),MAX(CapacityAge10*'01_Вводные'!$B$218*'19_Расчет_аналитики'!BO2583,MeanMinAge10)))</f>
        <v/>
      </c>
    </row>
    <row r="2498">
      <c r="B2498">
        <f>IF(OR('06_Сеть_и_дети'!B91=0,11&lt;='01_Вводные'!$B$297),0,'06_Сеть_и_дети'!B91*IF('01_Вводные'!$B$239="Да",MeanMinAge11+'19_Расчет_аналитики'!B2583*SUMIF(ThresholdAge11,"&lt;"&amp;'19_Расчет_аналитики'!B2583,WeightedRevAge11)-SUMIF(ThresholdAge11,"&lt;"&amp;'19_Расчет_аналитики'!B2583,WeightedMinAge11),MAX(CapacityAge11*'01_Вводные'!$B$218*'19_Расчет_аналитики'!B2583,MeanMinAge11)))</f>
        <v/>
      </c>
      <c r="C2498">
        <f>IF(OR('06_Сеть_и_дети'!C91=0,11&lt;='01_Вводные'!$B$297),0,'06_Сеть_и_дети'!C91*IF('01_Вводные'!$B$239="Да",MeanMinAge11+'19_Расчет_аналитики'!C2583*SUMIF(ThresholdAge11,"&lt;"&amp;'19_Расчет_аналитики'!C2583,WeightedRevAge11)-SUMIF(ThresholdAge11,"&lt;"&amp;'19_Расчет_аналитики'!C2583,WeightedMinAge11),MAX(CapacityAge11*'01_Вводные'!$B$218*'19_Расчет_аналитики'!C2583,MeanMinAge11)))</f>
        <v/>
      </c>
      <c r="D2498">
        <f>IF(OR('06_Сеть_и_дети'!D91=0,11&lt;='01_Вводные'!$B$297),0,'06_Сеть_и_дети'!D91*IF('01_Вводные'!$B$239="Да",MeanMinAge11+'19_Расчет_аналитики'!D2583*SUMIF(ThresholdAge11,"&lt;"&amp;'19_Расчет_аналитики'!D2583,WeightedRevAge11)-SUMIF(ThresholdAge11,"&lt;"&amp;'19_Расчет_аналитики'!D2583,WeightedMinAge11),MAX(CapacityAge11*'01_Вводные'!$B$218*'19_Расчет_аналитики'!D2583,MeanMinAge11)))</f>
        <v/>
      </c>
      <c r="E2498">
        <f>IF(OR('06_Сеть_и_дети'!E91=0,11&lt;='01_Вводные'!$B$297),0,'06_Сеть_и_дети'!E91*IF('01_Вводные'!$B$239="Да",MeanMinAge11+'19_Расчет_аналитики'!E2583*SUMIF(ThresholdAge11,"&lt;"&amp;'19_Расчет_аналитики'!E2583,WeightedRevAge11)-SUMIF(ThresholdAge11,"&lt;"&amp;'19_Расчет_аналитики'!E2583,WeightedMinAge11),MAX(CapacityAge11*'01_Вводные'!$B$218*'19_Расчет_аналитики'!E2583,MeanMinAge11)))</f>
        <v/>
      </c>
      <c r="F2498">
        <f>IF(OR('06_Сеть_и_дети'!F91=0,11&lt;='01_Вводные'!$B$297),0,'06_Сеть_и_дети'!F91*IF('01_Вводные'!$B$239="Да",MeanMinAge11+'19_Расчет_аналитики'!F2583*SUMIF(ThresholdAge11,"&lt;"&amp;'19_Расчет_аналитики'!F2583,WeightedRevAge11)-SUMIF(ThresholdAge11,"&lt;"&amp;'19_Расчет_аналитики'!F2583,WeightedMinAge11),MAX(CapacityAge11*'01_Вводные'!$B$218*'19_Расчет_аналитики'!F2583,MeanMinAge11)))</f>
        <v/>
      </c>
      <c r="G2498">
        <f>IF(OR('06_Сеть_и_дети'!G91=0,11&lt;='01_Вводные'!$B$297),0,'06_Сеть_и_дети'!G91*IF('01_Вводные'!$B$239="Да",MeanMinAge11+'19_Расчет_аналитики'!G2583*SUMIF(ThresholdAge11,"&lt;"&amp;'19_Расчет_аналитики'!G2583,WeightedRevAge11)-SUMIF(ThresholdAge11,"&lt;"&amp;'19_Расчет_аналитики'!G2583,WeightedMinAge11),MAX(CapacityAge11*'01_Вводные'!$B$218*'19_Расчет_аналитики'!G2583,MeanMinAge11)))</f>
        <v/>
      </c>
      <c r="H2498">
        <f>IF(OR('06_Сеть_и_дети'!H91=0,11&lt;='01_Вводные'!$B$297),0,'06_Сеть_и_дети'!H91*IF('01_Вводные'!$B$239="Да",MeanMinAge11+'19_Расчет_аналитики'!H2583*SUMIF(ThresholdAge11,"&lt;"&amp;'19_Расчет_аналитики'!H2583,WeightedRevAge11)-SUMIF(ThresholdAge11,"&lt;"&amp;'19_Расчет_аналитики'!H2583,WeightedMinAge11),MAX(CapacityAge11*'01_Вводные'!$B$218*'19_Расчет_аналитики'!H2583,MeanMinAge11)))</f>
        <v/>
      </c>
      <c r="I2498">
        <f>IF(OR('06_Сеть_и_дети'!I91=0,11&lt;='01_Вводные'!$B$297),0,'06_Сеть_и_дети'!I91*IF('01_Вводные'!$B$239="Да",MeanMinAge11+'19_Расчет_аналитики'!I2583*SUMIF(ThresholdAge11,"&lt;"&amp;'19_Расчет_аналитики'!I2583,WeightedRevAge11)-SUMIF(ThresholdAge11,"&lt;"&amp;'19_Расчет_аналитики'!I2583,WeightedMinAge11),MAX(CapacityAge11*'01_Вводные'!$B$218*'19_Расчет_аналитики'!I2583,MeanMinAge11)))</f>
        <v/>
      </c>
      <c r="J2498">
        <f>IF(OR('06_Сеть_и_дети'!J91=0,11&lt;='01_Вводные'!$B$297),0,'06_Сеть_и_дети'!J91*IF('01_Вводные'!$B$239="Да",MeanMinAge11+'19_Расчет_аналитики'!J2583*SUMIF(ThresholdAge11,"&lt;"&amp;'19_Расчет_аналитики'!J2583,WeightedRevAge11)-SUMIF(ThresholdAge11,"&lt;"&amp;'19_Расчет_аналитики'!J2583,WeightedMinAge11),MAX(CapacityAge11*'01_Вводные'!$B$218*'19_Расчет_аналитики'!J2583,MeanMinAge11)))</f>
        <v/>
      </c>
      <c r="K2498">
        <f>IF(OR('06_Сеть_и_дети'!K91=0,11&lt;='01_Вводные'!$B$297),0,'06_Сеть_и_дети'!K91*IF('01_Вводные'!$B$239="Да",MeanMinAge11+'19_Расчет_аналитики'!K2583*SUMIF(ThresholdAge11,"&lt;"&amp;'19_Расчет_аналитики'!K2583,WeightedRevAge11)-SUMIF(ThresholdAge11,"&lt;"&amp;'19_Расчет_аналитики'!K2583,WeightedMinAge11),MAX(CapacityAge11*'01_Вводные'!$B$218*'19_Расчет_аналитики'!K2583,MeanMinAge11)))</f>
        <v/>
      </c>
      <c r="L2498">
        <f>IF(OR('19_Расчет_аналитики'!L2470=0,11&lt;='01_Вводные'!$B$297),0,'19_Расчет_аналитики'!L2470*IF('01_Вводные'!$B$239="Да",MeanMinAge11+'19_Расчет_аналитики'!L2583*SUMIF(ThresholdAge11,"&lt;"&amp;'19_Расчет_аналитики'!L2583,WeightedRevAge11)-SUMIF(ThresholdAge11,"&lt;"&amp;'19_Расчет_аналитики'!L2583,WeightedMinAge11),MAX(CapacityAge11*'01_Вводные'!$B$218*'19_Расчет_аналитики'!L2583,MeanMinAge11)))</f>
        <v/>
      </c>
      <c r="M2498">
        <f>IF(OR('19_Расчет_аналитики'!M2470=0,11&lt;='01_Вводные'!$B$297),0,'19_Расчет_аналитики'!M2470*IF('01_Вводные'!$B$239="Да",MeanMinAge11+'19_Расчет_аналитики'!M2583*SUMIF(ThresholdAge11,"&lt;"&amp;'19_Расчет_аналитики'!M2583,WeightedRevAge11)-SUMIF(ThresholdAge11,"&lt;"&amp;'19_Расчет_аналитики'!M2583,WeightedMinAge11),MAX(CapacityAge11*'01_Вводные'!$B$218*'19_Расчет_аналитики'!M2583,MeanMinAge11)))</f>
        <v/>
      </c>
      <c r="N2498">
        <f>IF(OR('19_Расчет_аналитики'!N2470=0,11&lt;='01_Вводные'!$B$297),0,'19_Расчет_аналитики'!N2470*IF('01_Вводные'!$B$239="Да",MeanMinAge11+'19_Расчет_аналитики'!N2583*SUMIF(ThresholdAge11,"&lt;"&amp;'19_Расчет_аналитики'!N2583,WeightedRevAge11)-SUMIF(ThresholdAge11,"&lt;"&amp;'19_Расчет_аналитики'!N2583,WeightedMinAge11),MAX(CapacityAge11*'01_Вводные'!$B$218*'19_Расчет_аналитики'!N2583,MeanMinAge11)))</f>
        <v/>
      </c>
      <c r="O2498">
        <f>IF(OR('19_Расчет_аналитики'!O2470=0,11&lt;='01_Вводные'!$B$297),0,'19_Расчет_аналитики'!O2470*IF('01_Вводные'!$B$239="Да",MeanMinAge11+'19_Расчет_аналитики'!O2583*SUMIF(ThresholdAge11,"&lt;"&amp;'19_Расчет_аналитики'!O2583,WeightedRevAge11)-SUMIF(ThresholdAge11,"&lt;"&amp;'19_Расчет_аналитики'!O2583,WeightedMinAge11),MAX(CapacityAge11*'01_Вводные'!$B$218*'19_Расчет_аналитики'!O2583,MeanMinAge11)))</f>
        <v/>
      </c>
      <c r="P2498">
        <f>IF(OR('19_Расчет_аналитики'!P2470=0,11&lt;='01_Вводные'!$B$297),0,'19_Расчет_аналитики'!P2470*IF('01_Вводные'!$B$239="Да",MeanMinAge11+'19_Расчет_аналитики'!P2583*SUMIF(ThresholdAge11,"&lt;"&amp;'19_Расчет_аналитики'!P2583,WeightedRevAge11)-SUMIF(ThresholdAge11,"&lt;"&amp;'19_Расчет_аналитики'!P2583,WeightedMinAge11),MAX(CapacityAge11*'01_Вводные'!$B$218*'19_Расчет_аналитики'!P2583,MeanMinAge11)))</f>
        <v/>
      </c>
      <c r="Q2498">
        <f>IF(OR('19_Расчет_аналитики'!Q2470=0,11&lt;='01_Вводные'!$B$297),0,'19_Расчет_аналитики'!Q2470*IF('01_Вводные'!$B$239="Да",MeanMinAge11+'19_Расчет_аналитики'!Q2583*SUMIF(ThresholdAge11,"&lt;"&amp;'19_Расчет_аналитики'!Q2583,WeightedRevAge11)-SUMIF(ThresholdAge11,"&lt;"&amp;'19_Расчет_аналитики'!Q2583,WeightedMinAge11),MAX(CapacityAge11*'01_Вводные'!$B$218*'19_Расчет_аналитики'!Q2583,MeanMinAge11)))</f>
        <v/>
      </c>
      <c r="R2498">
        <f>IF(OR('19_Расчет_аналитики'!R2470=0,11&lt;='01_Вводные'!$B$297),0,'19_Расчет_аналитики'!R2470*IF('01_Вводные'!$B$239="Да",MeanMinAge11+'19_Расчет_аналитики'!R2583*SUMIF(ThresholdAge11,"&lt;"&amp;'19_Расчет_аналитики'!R2583,WeightedRevAge11)-SUMIF(ThresholdAge11,"&lt;"&amp;'19_Расчет_аналитики'!R2583,WeightedMinAge11),MAX(CapacityAge11*'01_Вводные'!$B$218*'19_Расчет_аналитики'!R2583,MeanMinAge11)))</f>
        <v/>
      </c>
      <c r="S2498">
        <f>IF(OR('19_Расчет_аналитики'!S2470=0,11&lt;='01_Вводные'!$B$297),0,'19_Расчет_аналитики'!S2470*IF('01_Вводные'!$B$239="Да",MeanMinAge11+'19_Расчет_аналитики'!S2583*SUMIF(ThresholdAge11,"&lt;"&amp;'19_Расчет_аналитики'!S2583,WeightedRevAge11)-SUMIF(ThresholdAge11,"&lt;"&amp;'19_Расчет_аналитики'!S2583,WeightedMinAge11),MAX(CapacityAge11*'01_Вводные'!$B$218*'19_Расчет_аналитики'!S2583,MeanMinAge11)))</f>
        <v/>
      </c>
      <c r="T2498">
        <f>IF(OR('19_Расчет_аналитики'!T2470=0,11&lt;='01_Вводные'!$B$297),0,'19_Расчет_аналитики'!T2470*IF('01_Вводные'!$B$239="Да",MeanMinAge11+'19_Расчет_аналитики'!T2583*SUMIF(ThresholdAge11,"&lt;"&amp;'19_Расчет_аналитики'!T2583,WeightedRevAge11)-SUMIF(ThresholdAge11,"&lt;"&amp;'19_Расчет_аналитики'!T2583,WeightedMinAge11),MAX(CapacityAge11*'01_Вводные'!$B$218*'19_Расчет_аналитики'!T2583,MeanMinAge11)))</f>
        <v/>
      </c>
      <c r="U2498">
        <f>IF(OR('19_Расчет_аналитики'!U2470=0,11&lt;='01_Вводные'!$B$297),0,'19_Расчет_аналитики'!U2470*IF('01_Вводные'!$B$239="Да",MeanMinAge11+'19_Расчет_аналитики'!U2583*SUMIF(ThresholdAge11,"&lt;"&amp;'19_Расчет_аналитики'!U2583,WeightedRevAge11)-SUMIF(ThresholdAge11,"&lt;"&amp;'19_Расчет_аналитики'!U2583,WeightedMinAge11),MAX(CapacityAge11*'01_Вводные'!$B$218*'19_Расчет_аналитики'!U2583,MeanMinAge11)))</f>
        <v/>
      </c>
      <c r="V2498">
        <f>IF(OR('19_Расчет_аналитики'!V2470=0,11&lt;='01_Вводные'!$B$297),0,'19_Расчет_аналитики'!V2470*IF('01_Вводные'!$B$239="Да",MeanMinAge11+'19_Расчет_аналитики'!V2583*SUMIF(ThresholdAge11,"&lt;"&amp;'19_Расчет_аналитики'!V2583,WeightedRevAge11)-SUMIF(ThresholdAge11,"&lt;"&amp;'19_Расчет_аналитики'!V2583,WeightedMinAge11),MAX(CapacityAge11*'01_Вводные'!$B$218*'19_Расчет_аналитики'!V2583,MeanMinAge11)))</f>
        <v/>
      </c>
      <c r="W2498">
        <f>IF(OR('19_Расчет_аналитики'!W2470=0,11&lt;='01_Вводные'!$B$297),0,'19_Расчет_аналитики'!W2470*IF('01_Вводные'!$B$239="Да",MeanMinAge11+'19_Расчет_аналитики'!W2583*SUMIF(ThresholdAge11,"&lt;"&amp;'19_Расчет_аналитики'!W2583,WeightedRevAge11)-SUMIF(ThresholdAge11,"&lt;"&amp;'19_Расчет_аналитики'!W2583,WeightedMinAge11),MAX(CapacityAge11*'01_Вводные'!$B$218*'19_Расчет_аналитики'!W2583,MeanMinAge11)))</f>
        <v/>
      </c>
      <c r="X2498">
        <f>IF(OR('19_Расчет_аналитики'!X2470=0,11&lt;='01_Вводные'!$B$297),0,'19_Расчет_аналитики'!X2470*IF('01_Вводные'!$B$239="Да",MeanMinAge11+'19_Расчет_аналитики'!X2583*SUMIF(ThresholdAge11,"&lt;"&amp;'19_Расчет_аналитики'!X2583,WeightedRevAge11)-SUMIF(ThresholdAge11,"&lt;"&amp;'19_Расчет_аналитики'!X2583,WeightedMinAge11),MAX(CapacityAge11*'01_Вводные'!$B$218*'19_Расчет_аналитики'!X2583,MeanMinAge11)))</f>
        <v/>
      </c>
      <c r="Y2498">
        <f>IF(OR('19_Расчет_аналитики'!Y2470=0,11&lt;='01_Вводные'!$B$297),0,'19_Расчет_аналитики'!Y2470*IF('01_Вводные'!$B$239="Да",MeanMinAge11+'19_Расчет_аналитики'!Y2583*SUMIF(ThresholdAge11,"&lt;"&amp;'19_Расчет_аналитики'!Y2583,WeightedRevAge11)-SUMIF(ThresholdAge11,"&lt;"&amp;'19_Расчет_аналитики'!Y2583,WeightedMinAge11),MAX(CapacityAge11*'01_Вводные'!$B$218*'19_Расчет_аналитики'!Y2583,MeanMinAge11)))</f>
        <v/>
      </c>
      <c r="Z2498">
        <f>IF(OR('19_Расчет_аналитики'!Z2470=0,11&lt;='01_Вводные'!$B$297),0,'19_Расчет_аналитики'!Z2470*IF('01_Вводные'!$B$239="Да",MeanMinAge11+'19_Расчет_аналитики'!Z2583*SUMIF(ThresholdAge11,"&lt;"&amp;'19_Расчет_аналитики'!Z2583,WeightedRevAge11)-SUMIF(ThresholdAge11,"&lt;"&amp;'19_Расчет_аналитики'!Z2583,WeightedMinAge11),MAX(CapacityAge11*'01_Вводные'!$B$218*'19_Расчет_аналитики'!Z2583,MeanMinAge11)))</f>
        <v/>
      </c>
      <c r="AA2498">
        <f>IF(OR('19_Расчет_аналитики'!AA2470=0,11&lt;='01_Вводные'!$B$297),0,'19_Расчет_аналитики'!AA2470*IF('01_Вводные'!$B$239="Да",MeanMinAge11+'19_Расчет_аналитики'!AA2583*SUMIF(ThresholdAge11,"&lt;"&amp;'19_Расчет_аналитики'!AA2583,WeightedRevAge11)-SUMIF(ThresholdAge11,"&lt;"&amp;'19_Расчет_аналитики'!AA2583,WeightedMinAge11),MAX(CapacityAge11*'01_Вводные'!$B$218*'19_Расчет_аналитики'!AA2583,MeanMinAge11)))</f>
        <v/>
      </c>
      <c r="AB2498">
        <f>IF(OR('19_Расчет_аналитики'!AB2470=0,11&lt;='01_Вводные'!$B$297),0,'19_Расчет_аналитики'!AB2470*IF('01_Вводные'!$B$239="Да",MeanMinAge11+'19_Расчет_аналитики'!AB2583*SUMIF(ThresholdAge11,"&lt;"&amp;'19_Расчет_аналитики'!AB2583,WeightedRevAge11)-SUMIF(ThresholdAge11,"&lt;"&amp;'19_Расчет_аналитики'!AB2583,WeightedMinAge11),MAX(CapacityAge11*'01_Вводные'!$B$218*'19_Расчет_аналитики'!AB2583,MeanMinAge11)))</f>
        <v/>
      </c>
      <c r="AC2498">
        <f>IF(OR('19_Расчет_аналитики'!AC2470=0,11&lt;='01_Вводные'!$B$297),0,'19_Расчет_аналитики'!AC2470*IF('01_Вводные'!$B$239="Да",MeanMinAge11+'19_Расчет_аналитики'!AC2583*SUMIF(ThresholdAge11,"&lt;"&amp;'19_Расчет_аналитики'!AC2583,WeightedRevAge11)-SUMIF(ThresholdAge11,"&lt;"&amp;'19_Расчет_аналитики'!AC2583,WeightedMinAge11),MAX(CapacityAge11*'01_Вводные'!$B$218*'19_Расчет_аналитики'!AC2583,MeanMinAge11)))</f>
        <v/>
      </c>
      <c r="AD2498">
        <f>IF(OR('19_Расчет_аналитики'!AD2470=0,11&lt;='01_Вводные'!$B$297),0,'19_Расчет_аналитики'!AD2470*IF('01_Вводные'!$B$239="Да",MeanMinAge11+'19_Расчет_аналитики'!AD2583*SUMIF(ThresholdAge11,"&lt;"&amp;'19_Расчет_аналитики'!AD2583,WeightedRevAge11)-SUMIF(ThresholdAge11,"&lt;"&amp;'19_Расчет_аналитики'!AD2583,WeightedMinAge11),MAX(CapacityAge11*'01_Вводные'!$B$218*'19_Расчет_аналитики'!AD2583,MeanMinAge11)))</f>
        <v/>
      </c>
      <c r="AE2498">
        <f>IF(OR('19_Расчет_аналитики'!AE2470=0,11&lt;='01_Вводные'!$B$297),0,'19_Расчет_аналитики'!AE2470*IF('01_Вводные'!$B$239="Да",MeanMinAge11+'19_Расчет_аналитики'!AE2583*SUMIF(ThresholdAge11,"&lt;"&amp;'19_Расчет_аналитики'!AE2583,WeightedRevAge11)-SUMIF(ThresholdAge11,"&lt;"&amp;'19_Расчет_аналитики'!AE2583,WeightedMinAge11),MAX(CapacityAge11*'01_Вводные'!$B$218*'19_Расчет_аналитики'!AE2583,MeanMinAge11)))</f>
        <v/>
      </c>
      <c r="AF2498">
        <f>IF(OR('19_Расчет_аналитики'!AF2470=0,11&lt;='01_Вводные'!$B$297),0,'19_Расчет_аналитики'!AF2470*IF('01_Вводные'!$B$239="Да",MeanMinAge11+'19_Расчет_аналитики'!AF2583*SUMIF(ThresholdAge11,"&lt;"&amp;'19_Расчет_аналитики'!AF2583,WeightedRevAge11)-SUMIF(ThresholdAge11,"&lt;"&amp;'19_Расчет_аналитики'!AF2583,WeightedMinAge11),MAX(CapacityAge11*'01_Вводные'!$B$218*'19_Расчет_аналитики'!AF2583,MeanMinAge11)))</f>
        <v/>
      </c>
      <c r="AG2498">
        <f>IF(OR('19_Расчет_аналитики'!AG2470=0,11&lt;='01_Вводные'!$B$297),0,'19_Расчет_аналитики'!AG2470*IF('01_Вводные'!$B$239="Да",MeanMinAge11+'19_Расчет_аналитики'!AG2583*SUMIF(ThresholdAge11,"&lt;"&amp;'19_Расчет_аналитики'!AG2583,WeightedRevAge11)-SUMIF(ThresholdAge11,"&lt;"&amp;'19_Расчет_аналитики'!AG2583,WeightedMinAge11),MAX(CapacityAge11*'01_Вводные'!$B$218*'19_Расчет_аналитики'!AG2583,MeanMinAge11)))</f>
        <v/>
      </c>
      <c r="AH2498">
        <f>IF(OR('19_Расчет_аналитики'!AH2470=0,11&lt;='01_Вводные'!$B$297),0,'19_Расчет_аналитики'!AH2470*IF('01_Вводные'!$B$239="Да",MeanMinAge11+'19_Расчет_аналитики'!AH2583*SUMIF(ThresholdAge11,"&lt;"&amp;'19_Расчет_аналитики'!AH2583,WeightedRevAge11)-SUMIF(ThresholdAge11,"&lt;"&amp;'19_Расчет_аналитики'!AH2583,WeightedMinAge11),MAX(CapacityAge11*'01_Вводные'!$B$218*'19_Расчет_аналитики'!AH2583,MeanMinAge11)))</f>
        <v/>
      </c>
      <c r="AI2498">
        <f>IF(OR('19_Расчет_аналитики'!AI2470=0,11&lt;='01_Вводные'!$B$297),0,'19_Расчет_аналитики'!AI2470*IF('01_Вводные'!$B$239="Да",MeanMinAge11+'19_Расчет_аналитики'!AI2583*SUMIF(ThresholdAge11,"&lt;"&amp;'19_Расчет_аналитики'!AI2583,WeightedRevAge11)-SUMIF(ThresholdAge11,"&lt;"&amp;'19_Расчет_аналитики'!AI2583,WeightedMinAge11),MAX(CapacityAge11*'01_Вводные'!$B$218*'19_Расчет_аналитики'!AI2583,MeanMinAge11)))</f>
        <v/>
      </c>
      <c r="AJ2498">
        <f>IF(OR('19_Расчет_аналитики'!AJ2470=0,11&lt;='01_Вводные'!$B$297),0,'19_Расчет_аналитики'!AJ2470*IF('01_Вводные'!$B$239="Да",MeanMinAge11+'19_Расчет_аналитики'!AJ2583*SUMIF(ThresholdAge11,"&lt;"&amp;'19_Расчет_аналитики'!AJ2583,WeightedRevAge11)-SUMIF(ThresholdAge11,"&lt;"&amp;'19_Расчет_аналитики'!AJ2583,WeightedMinAge11),MAX(CapacityAge11*'01_Вводные'!$B$218*'19_Расчет_аналитики'!AJ2583,MeanMinAge11)))</f>
        <v/>
      </c>
      <c r="AK2498">
        <f>IF(OR('19_Расчет_аналитики'!AK2470=0,11&lt;='01_Вводные'!$B$297),0,'19_Расчет_аналитики'!AK2470*IF('01_Вводные'!$B$239="Да",MeanMinAge11+'19_Расчет_аналитики'!AK2583*SUMIF(ThresholdAge11,"&lt;"&amp;'19_Расчет_аналитики'!AK2583,WeightedRevAge11)-SUMIF(ThresholdAge11,"&lt;"&amp;'19_Расчет_аналитики'!AK2583,WeightedMinAge11),MAX(CapacityAge11*'01_Вводные'!$B$218*'19_Расчет_аналитики'!AK2583,MeanMinAge11)))</f>
        <v/>
      </c>
      <c r="AL2498">
        <f>IF(OR('19_Расчет_аналитики'!AL2470=0,11&lt;='01_Вводные'!$B$297),0,'19_Расчет_аналитики'!AL2470*IF('01_Вводные'!$B$239="Да",MeanMinAge11+'19_Расчет_аналитики'!AL2583*SUMIF(ThresholdAge11,"&lt;"&amp;'19_Расчет_аналитики'!AL2583,WeightedRevAge11)-SUMIF(ThresholdAge11,"&lt;"&amp;'19_Расчет_аналитики'!AL2583,WeightedMinAge11),MAX(CapacityAge11*'01_Вводные'!$B$218*'19_Расчет_аналитики'!AL2583,MeanMinAge11)))</f>
        <v/>
      </c>
      <c r="AM2498">
        <f>IF(OR('19_Расчет_аналитики'!AM2470=0,11&lt;='01_Вводные'!$B$297),0,'19_Расчет_аналитики'!AM2470*IF('01_Вводные'!$B$239="Да",MeanMinAge11+'19_Расчет_аналитики'!AM2583*SUMIF(ThresholdAge11,"&lt;"&amp;'19_Расчет_аналитики'!AM2583,WeightedRevAge11)-SUMIF(ThresholdAge11,"&lt;"&amp;'19_Расчет_аналитики'!AM2583,WeightedMinAge11),MAX(CapacityAge11*'01_Вводные'!$B$218*'19_Расчет_аналитики'!AM2583,MeanMinAge11)))</f>
        <v/>
      </c>
      <c r="AN2498">
        <f>IF(OR('19_Расчет_аналитики'!AN2470=0,11&lt;='01_Вводные'!$B$297),0,'19_Расчет_аналитики'!AN2470*IF('01_Вводные'!$B$239="Да",MeanMinAge11+'19_Расчет_аналитики'!AN2583*SUMIF(ThresholdAge11,"&lt;"&amp;'19_Расчет_аналитики'!AN2583,WeightedRevAge11)-SUMIF(ThresholdAge11,"&lt;"&amp;'19_Расчет_аналитики'!AN2583,WeightedMinAge11),MAX(CapacityAge11*'01_Вводные'!$B$218*'19_Расчет_аналитики'!AN2583,MeanMinAge11)))</f>
        <v/>
      </c>
      <c r="AO2498">
        <f>IF(OR('19_Расчет_аналитики'!AO2470=0,11&lt;='01_Вводные'!$B$297),0,'19_Расчет_аналитики'!AO2470*IF('01_Вводные'!$B$239="Да",MeanMinAge11+'19_Расчет_аналитики'!AO2583*SUMIF(ThresholdAge11,"&lt;"&amp;'19_Расчет_аналитики'!AO2583,WeightedRevAge11)-SUMIF(ThresholdAge11,"&lt;"&amp;'19_Расчет_аналитики'!AO2583,WeightedMinAge11),MAX(CapacityAge11*'01_Вводные'!$B$218*'19_Расчет_аналитики'!AO2583,MeanMinAge11)))</f>
        <v/>
      </c>
      <c r="AP2498">
        <f>IF(OR('19_Расчет_аналитики'!AP2470=0,11&lt;='01_Вводные'!$B$297),0,'19_Расчет_аналитики'!AP2470*IF('01_Вводные'!$B$239="Да",MeanMinAge11+'19_Расчет_аналитики'!AP2583*SUMIF(ThresholdAge11,"&lt;"&amp;'19_Расчет_аналитики'!AP2583,WeightedRevAge11)-SUMIF(ThresholdAge11,"&lt;"&amp;'19_Расчет_аналитики'!AP2583,WeightedMinAge11),MAX(CapacityAge11*'01_Вводные'!$B$218*'19_Расчет_аналитики'!AP2583,MeanMinAge11)))</f>
        <v/>
      </c>
      <c r="AQ2498">
        <f>IF(OR('19_Расчет_аналитики'!AQ2470=0,11&lt;='01_Вводные'!$B$297),0,'19_Расчет_аналитики'!AQ2470*IF('01_Вводные'!$B$239="Да",MeanMinAge11+'19_Расчет_аналитики'!AQ2583*SUMIF(ThresholdAge11,"&lt;"&amp;'19_Расчет_аналитики'!AQ2583,WeightedRevAge11)-SUMIF(ThresholdAge11,"&lt;"&amp;'19_Расчет_аналитики'!AQ2583,WeightedMinAge11),MAX(CapacityAge11*'01_Вводные'!$B$218*'19_Расчет_аналитики'!AQ2583,MeanMinAge11)))</f>
        <v/>
      </c>
      <c r="AR2498">
        <f>IF(OR('19_Расчет_аналитики'!AR2470=0,11&lt;='01_Вводные'!$B$297),0,'19_Расчет_аналитики'!AR2470*IF('01_Вводные'!$B$239="Да",MeanMinAge11+'19_Расчет_аналитики'!AR2583*SUMIF(ThresholdAge11,"&lt;"&amp;'19_Расчет_аналитики'!AR2583,WeightedRevAge11)-SUMIF(ThresholdAge11,"&lt;"&amp;'19_Расчет_аналитики'!AR2583,WeightedMinAge11),MAX(CapacityAge11*'01_Вводные'!$B$218*'19_Расчет_аналитики'!AR2583,MeanMinAge11)))</f>
        <v/>
      </c>
      <c r="AS2498">
        <f>IF(OR('19_Расчет_аналитики'!AS2470=0,11&lt;='01_Вводные'!$B$297),0,'19_Расчет_аналитики'!AS2470*IF('01_Вводные'!$B$239="Да",MeanMinAge11+'19_Расчет_аналитики'!AS2583*SUMIF(ThresholdAge11,"&lt;"&amp;'19_Расчет_аналитики'!AS2583,WeightedRevAge11)-SUMIF(ThresholdAge11,"&lt;"&amp;'19_Расчет_аналитики'!AS2583,WeightedMinAge11),MAX(CapacityAge11*'01_Вводные'!$B$218*'19_Расчет_аналитики'!AS2583,MeanMinAge11)))</f>
        <v/>
      </c>
      <c r="AT2498">
        <f>IF(OR('19_Расчет_аналитики'!AT2470=0,11&lt;='01_Вводные'!$B$297),0,'19_Расчет_аналитики'!AT2470*IF('01_Вводные'!$B$239="Да",MeanMinAge11+'19_Расчет_аналитики'!AT2583*SUMIF(ThresholdAge11,"&lt;"&amp;'19_Расчет_аналитики'!AT2583,WeightedRevAge11)-SUMIF(ThresholdAge11,"&lt;"&amp;'19_Расчет_аналитики'!AT2583,WeightedMinAge11),MAX(CapacityAge11*'01_Вводные'!$B$218*'19_Расчет_аналитики'!AT2583,MeanMinAge11)))</f>
        <v/>
      </c>
      <c r="AU2498">
        <f>IF(OR('19_Расчет_аналитики'!AU2470=0,11&lt;='01_Вводные'!$B$297),0,'19_Расчет_аналитики'!AU2470*IF('01_Вводные'!$B$239="Да",MeanMinAge11+'19_Расчет_аналитики'!AU2583*SUMIF(ThresholdAge11,"&lt;"&amp;'19_Расчет_аналитики'!AU2583,WeightedRevAge11)-SUMIF(ThresholdAge11,"&lt;"&amp;'19_Расчет_аналитики'!AU2583,WeightedMinAge11),MAX(CapacityAge11*'01_Вводные'!$B$218*'19_Расчет_аналитики'!AU2583,MeanMinAge11)))</f>
        <v/>
      </c>
      <c r="AV2498">
        <f>IF(OR('19_Расчет_аналитики'!AV2470=0,11&lt;='01_Вводные'!$B$297),0,'19_Расчет_аналитики'!AV2470*IF('01_Вводные'!$B$239="Да",MeanMinAge11+'19_Расчет_аналитики'!AV2583*SUMIF(ThresholdAge11,"&lt;"&amp;'19_Расчет_аналитики'!AV2583,WeightedRevAge11)-SUMIF(ThresholdAge11,"&lt;"&amp;'19_Расчет_аналитики'!AV2583,WeightedMinAge11),MAX(CapacityAge11*'01_Вводные'!$B$218*'19_Расчет_аналитики'!AV2583,MeanMinAge11)))</f>
        <v/>
      </c>
      <c r="AW2498">
        <f>IF(OR('19_Расчет_аналитики'!AW2470=0,11&lt;='01_Вводные'!$B$297),0,'19_Расчет_аналитики'!AW2470*IF('01_Вводные'!$B$239="Да",MeanMinAge11+'19_Расчет_аналитики'!AW2583*SUMIF(ThresholdAge11,"&lt;"&amp;'19_Расчет_аналитики'!AW2583,WeightedRevAge11)-SUMIF(ThresholdAge11,"&lt;"&amp;'19_Расчет_аналитики'!AW2583,WeightedMinAge11),MAX(CapacityAge11*'01_Вводные'!$B$218*'19_Расчет_аналитики'!AW2583,MeanMinAge11)))</f>
        <v/>
      </c>
      <c r="AX2498">
        <f>IF(OR('19_Расчет_аналитики'!AX2470=0,11&lt;='01_Вводные'!$B$297),0,'19_Расчет_аналитики'!AX2470*IF('01_Вводные'!$B$239="Да",MeanMinAge11+'19_Расчет_аналитики'!AX2583*SUMIF(ThresholdAge11,"&lt;"&amp;'19_Расчет_аналитики'!AX2583,WeightedRevAge11)-SUMIF(ThresholdAge11,"&lt;"&amp;'19_Расчет_аналитики'!AX2583,WeightedMinAge11),MAX(CapacityAge11*'01_Вводные'!$B$218*'19_Расчет_аналитики'!AX2583,MeanMinAge11)))</f>
        <v/>
      </c>
      <c r="AY2498">
        <f>IF(OR('19_Расчет_аналитики'!AY2470=0,11&lt;='01_Вводные'!$B$297),0,'19_Расчет_аналитики'!AY2470*IF('01_Вводные'!$B$239="Да",MeanMinAge11+'19_Расчет_аналитики'!AY2583*SUMIF(ThresholdAge11,"&lt;"&amp;'19_Расчет_аналитики'!AY2583,WeightedRevAge11)-SUMIF(ThresholdAge11,"&lt;"&amp;'19_Расчет_аналитики'!AY2583,WeightedMinAge11),MAX(CapacityAge11*'01_Вводные'!$B$218*'19_Расчет_аналитики'!AY2583,MeanMinAge11)))</f>
        <v/>
      </c>
      <c r="AZ2498">
        <f>IF(OR('19_Расчет_аналитики'!AZ2470=0,11&lt;='01_Вводные'!$B$297),0,'19_Расчет_аналитики'!AZ2470*IF('01_Вводные'!$B$239="Да",MeanMinAge11+'19_Расчет_аналитики'!AZ2583*SUMIF(ThresholdAge11,"&lt;"&amp;'19_Расчет_аналитики'!AZ2583,WeightedRevAge11)-SUMIF(ThresholdAge11,"&lt;"&amp;'19_Расчет_аналитики'!AZ2583,WeightedMinAge11),MAX(CapacityAge11*'01_Вводные'!$B$218*'19_Расчет_аналитики'!AZ2583,MeanMinAge11)))</f>
        <v/>
      </c>
      <c r="BA2498">
        <f>IF(OR('19_Расчет_аналитики'!BA2470=0,11&lt;='01_Вводные'!$B$297),0,'19_Расчет_аналитики'!BA2470*IF('01_Вводные'!$B$239="Да",MeanMinAge11+'19_Расчет_аналитики'!BA2583*SUMIF(ThresholdAge11,"&lt;"&amp;'19_Расчет_аналитики'!BA2583,WeightedRevAge11)-SUMIF(ThresholdAge11,"&lt;"&amp;'19_Расчет_аналитики'!BA2583,WeightedMinAge11),MAX(CapacityAge11*'01_Вводные'!$B$218*'19_Расчет_аналитики'!BA2583,MeanMinAge11)))</f>
        <v/>
      </c>
      <c r="BB2498">
        <f>IF(OR('19_Расчет_аналитики'!BB2470=0,11&lt;='01_Вводные'!$B$297),0,'19_Расчет_аналитики'!BB2470*IF('01_Вводные'!$B$239="Да",MeanMinAge11+'19_Расчет_аналитики'!BB2583*SUMIF(ThresholdAge11,"&lt;"&amp;'19_Расчет_аналитики'!BB2583,WeightedRevAge11)-SUMIF(ThresholdAge11,"&lt;"&amp;'19_Расчет_аналитики'!BB2583,WeightedMinAge11),MAX(CapacityAge11*'01_Вводные'!$B$218*'19_Расчет_аналитики'!BB2583,MeanMinAge11)))</f>
        <v/>
      </c>
      <c r="BC2498">
        <f>IF(OR('19_Расчет_аналитики'!BC2470=0,11&lt;='01_Вводные'!$B$297),0,'19_Расчет_аналитики'!BC2470*IF('01_Вводные'!$B$239="Да",MeanMinAge11+'19_Расчет_аналитики'!BC2583*SUMIF(ThresholdAge11,"&lt;"&amp;'19_Расчет_аналитики'!BC2583,WeightedRevAge11)-SUMIF(ThresholdAge11,"&lt;"&amp;'19_Расчет_аналитики'!BC2583,WeightedMinAge11),MAX(CapacityAge11*'01_Вводные'!$B$218*'19_Расчет_аналитики'!BC2583,MeanMinAge11)))</f>
        <v/>
      </c>
      <c r="BD2498">
        <f>IF(OR('19_Расчет_аналитики'!BD2470=0,11&lt;='01_Вводные'!$B$297),0,'19_Расчет_аналитики'!BD2470*IF('01_Вводные'!$B$239="Да",MeanMinAge11+'19_Расчет_аналитики'!BD2583*SUMIF(ThresholdAge11,"&lt;"&amp;'19_Расчет_аналитики'!BD2583,WeightedRevAge11)-SUMIF(ThresholdAge11,"&lt;"&amp;'19_Расчет_аналитики'!BD2583,WeightedMinAge11),MAX(CapacityAge11*'01_Вводные'!$B$218*'19_Расчет_аналитики'!BD2583,MeanMinAge11)))</f>
        <v/>
      </c>
      <c r="BE2498">
        <f>IF(OR('19_Расчет_аналитики'!BE2470=0,11&lt;='01_Вводные'!$B$297),0,'19_Расчет_аналитики'!BE2470*IF('01_Вводные'!$B$239="Да",MeanMinAge11+'19_Расчет_аналитики'!BE2583*SUMIF(ThresholdAge11,"&lt;"&amp;'19_Расчет_аналитики'!BE2583,WeightedRevAge11)-SUMIF(ThresholdAge11,"&lt;"&amp;'19_Расчет_аналитики'!BE2583,WeightedMinAge11),MAX(CapacityAge11*'01_Вводные'!$B$218*'19_Расчет_аналитики'!BE2583,MeanMinAge11)))</f>
        <v/>
      </c>
      <c r="BF2498">
        <f>IF(OR('19_Расчет_аналитики'!BF2470=0,11&lt;='01_Вводные'!$B$297),0,'19_Расчет_аналитики'!BF2470*IF('01_Вводные'!$B$239="Да",MeanMinAge11+'19_Расчет_аналитики'!BF2583*SUMIF(ThresholdAge11,"&lt;"&amp;'19_Расчет_аналитики'!BF2583,WeightedRevAge11)-SUMIF(ThresholdAge11,"&lt;"&amp;'19_Расчет_аналитики'!BF2583,WeightedMinAge11),MAX(CapacityAge11*'01_Вводные'!$B$218*'19_Расчет_аналитики'!BF2583,MeanMinAge11)))</f>
        <v/>
      </c>
      <c r="BG2498">
        <f>IF(OR('19_Расчет_аналитики'!BG2470=0,11&lt;='01_Вводные'!$B$297),0,'19_Расчет_аналитики'!BG2470*IF('01_Вводные'!$B$239="Да",MeanMinAge11+'19_Расчет_аналитики'!BG2583*SUMIF(ThresholdAge11,"&lt;"&amp;'19_Расчет_аналитики'!BG2583,WeightedRevAge11)-SUMIF(ThresholdAge11,"&lt;"&amp;'19_Расчет_аналитики'!BG2583,WeightedMinAge11),MAX(CapacityAge11*'01_Вводные'!$B$218*'19_Расчет_аналитики'!BG2583,MeanMinAge11)))</f>
        <v/>
      </c>
      <c r="BH2498">
        <f>IF(OR('19_Расчет_аналитики'!BH2470=0,11&lt;='01_Вводные'!$B$297),0,'19_Расчет_аналитики'!BH2470*IF('01_Вводные'!$B$239="Да",MeanMinAge11+'19_Расчет_аналитики'!BH2583*SUMIF(ThresholdAge11,"&lt;"&amp;'19_Расчет_аналитики'!BH2583,WeightedRevAge11)-SUMIF(ThresholdAge11,"&lt;"&amp;'19_Расчет_аналитики'!BH2583,WeightedMinAge11),MAX(CapacityAge11*'01_Вводные'!$B$218*'19_Расчет_аналитики'!BH2583,MeanMinAge11)))</f>
        <v/>
      </c>
      <c r="BI2498">
        <f>IF(OR('19_Расчет_аналитики'!BI2470=0,11&lt;='01_Вводные'!$B$297),0,'19_Расчет_аналитики'!BI2470*IF('01_Вводные'!$B$239="Да",MeanMinAge11+'19_Расчет_аналитики'!BI2583*SUMIF(ThresholdAge11,"&lt;"&amp;'19_Расчет_аналитики'!BI2583,WeightedRevAge11)-SUMIF(ThresholdAge11,"&lt;"&amp;'19_Расчет_аналитики'!BI2583,WeightedMinAge11),MAX(CapacityAge11*'01_Вводные'!$B$218*'19_Расчет_аналитики'!BI2583,MeanMinAge11)))</f>
        <v/>
      </c>
      <c r="BJ2498">
        <f>IF(OR('19_Расчет_аналитики'!BJ2470=0,11&lt;='01_Вводные'!$B$297),0,'19_Расчет_аналитики'!BJ2470*IF('01_Вводные'!$B$239="Да",MeanMinAge11+'19_Расчет_аналитики'!BJ2583*SUMIF(ThresholdAge11,"&lt;"&amp;'19_Расчет_аналитики'!BJ2583,WeightedRevAge11)-SUMIF(ThresholdAge11,"&lt;"&amp;'19_Расчет_аналитики'!BJ2583,WeightedMinAge11),MAX(CapacityAge11*'01_Вводные'!$B$218*'19_Расчет_аналитики'!BJ2583,MeanMinAge11)))</f>
        <v/>
      </c>
      <c r="BK2498">
        <f>IF(OR('19_Расчет_аналитики'!BK2470=0,11&lt;='01_Вводные'!$B$297),0,'19_Расчет_аналитики'!BK2470*IF('01_Вводные'!$B$239="Да",MeanMinAge11+'19_Расчет_аналитики'!BK2583*SUMIF(ThresholdAge11,"&lt;"&amp;'19_Расчет_аналитики'!BK2583,WeightedRevAge11)-SUMIF(ThresholdAge11,"&lt;"&amp;'19_Расчет_аналитики'!BK2583,WeightedMinAge11),MAX(CapacityAge11*'01_Вводные'!$B$218*'19_Расчет_аналитики'!BK2583,MeanMinAge11)))</f>
        <v/>
      </c>
      <c r="BL2498">
        <f>IF(OR('19_Расчет_аналитики'!BL2470=0,11&lt;='01_Вводные'!$B$297),0,'19_Расчет_аналитики'!BL2470*IF('01_Вводные'!$B$239="Да",MeanMinAge11+'19_Расчет_аналитики'!BL2583*SUMIF(ThresholdAge11,"&lt;"&amp;'19_Расчет_аналитики'!BL2583,WeightedRevAge11)-SUMIF(ThresholdAge11,"&lt;"&amp;'19_Расчет_аналитики'!BL2583,WeightedMinAge11),MAX(CapacityAge11*'01_Вводные'!$B$218*'19_Расчет_аналитики'!BL2583,MeanMinAge11)))</f>
        <v/>
      </c>
      <c r="BM2498">
        <f>IF(OR('19_Расчет_аналитики'!BM2470=0,11&lt;='01_Вводные'!$B$297),0,'19_Расчет_аналитики'!BM2470*IF('01_Вводные'!$B$239="Да",MeanMinAge11+'19_Расчет_аналитики'!BM2583*SUMIF(ThresholdAge11,"&lt;"&amp;'19_Расчет_аналитики'!BM2583,WeightedRevAge11)-SUMIF(ThresholdAge11,"&lt;"&amp;'19_Расчет_аналитики'!BM2583,WeightedMinAge11),MAX(CapacityAge11*'01_Вводные'!$B$218*'19_Расчет_аналитики'!BM2583,MeanMinAge11)))</f>
        <v/>
      </c>
      <c r="BN2498">
        <f>IF(OR('19_Расчет_аналитики'!BN2470=0,11&lt;='01_Вводные'!$B$297),0,'19_Расчет_аналитики'!BN2470*IF('01_Вводные'!$B$239="Да",MeanMinAge11+'19_Расчет_аналитики'!BN2583*SUMIF(ThresholdAge11,"&lt;"&amp;'19_Расчет_аналитики'!BN2583,WeightedRevAge11)-SUMIF(ThresholdAge11,"&lt;"&amp;'19_Расчет_аналитики'!BN2583,WeightedMinAge11),MAX(CapacityAge11*'01_Вводные'!$B$218*'19_Расчет_аналитики'!BN2583,MeanMinAge11)))</f>
        <v/>
      </c>
      <c r="BO2498">
        <f>IF(OR('19_Расчет_аналитики'!BO2470=0,11&lt;='01_Вводные'!$B$297),0,'19_Расчет_аналитики'!BO2470*IF('01_Вводные'!$B$239="Да",MeanMinAge11+'19_Расчет_аналитики'!BO2583*SUMIF(ThresholdAge11,"&lt;"&amp;'19_Расчет_аналитики'!BO2583,WeightedRevAge11)-SUMIF(ThresholdAge11,"&lt;"&amp;'19_Расчет_аналитики'!BO2583,WeightedMinAge11),MAX(CapacityAge11*'01_Вводные'!$B$218*'19_Расчет_аналитики'!BO2583,MeanMinAge11)))</f>
        <v/>
      </c>
    </row>
    <row r="2499">
      <c r="B2499">
        <f>IF(OR('06_Сеть_и_дети'!B92=0,12&lt;='01_Вводные'!$B$297),0,'06_Сеть_и_дети'!B92*IF('01_Вводные'!$B$239="Да",MeanMinAge12+'19_Расчет_аналитики'!B2583*SUMIF(ThresholdAge12,"&lt;"&amp;'19_Расчет_аналитики'!B2583,WeightedRevAge12)-SUMIF(ThresholdAge12,"&lt;"&amp;'19_Расчет_аналитики'!B2583,WeightedMinAge12),MAX(CapacityAge12*'01_Вводные'!$B$218*'19_Расчет_аналитики'!B2583,MeanMinAge12)))</f>
        <v/>
      </c>
      <c r="C2499">
        <f>IF(OR('06_Сеть_и_дети'!C92=0,12&lt;='01_Вводные'!$B$297),0,'06_Сеть_и_дети'!C92*IF('01_Вводные'!$B$239="Да",MeanMinAge12+'19_Расчет_аналитики'!C2583*SUMIF(ThresholdAge12,"&lt;"&amp;'19_Расчет_аналитики'!C2583,WeightedRevAge12)-SUMIF(ThresholdAge12,"&lt;"&amp;'19_Расчет_аналитики'!C2583,WeightedMinAge12),MAX(CapacityAge12*'01_Вводные'!$B$218*'19_Расчет_аналитики'!C2583,MeanMinAge12)))</f>
        <v/>
      </c>
      <c r="D2499">
        <f>IF(OR('06_Сеть_и_дети'!D92=0,12&lt;='01_Вводные'!$B$297),0,'06_Сеть_и_дети'!D92*IF('01_Вводные'!$B$239="Да",MeanMinAge12+'19_Расчет_аналитики'!D2583*SUMIF(ThresholdAge12,"&lt;"&amp;'19_Расчет_аналитики'!D2583,WeightedRevAge12)-SUMIF(ThresholdAge12,"&lt;"&amp;'19_Расчет_аналитики'!D2583,WeightedMinAge12),MAX(CapacityAge12*'01_Вводные'!$B$218*'19_Расчет_аналитики'!D2583,MeanMinAge12)))</f>
        <v/>
      </c>
      <c r="E2499">
        <f>IF(OR('06_Сеть_и_дети'!E92=0,12&lt;='01_Вводные'!$B$297),0,'06_Сеть_и_дети'!E92*IF('01_Вводные'!$B$239="Да",MeanMinAge12+'19_Расчет_аналитики'!E2583*SUMIF(ThresholdAge12,"&lt;"&amp;'19_Расчет_аналитики'!E2583,WeightedRevAge12)-SUMIF(ThresholdAge12,"&lt;"&amp;'19_Расчет_аналитики'!E2583,WeightedMinAge12),MAX(CapacityAge12*'01_Вводные'!$B$218*'19_Расчет_аналитики'!E2583,MeanMinAge12)))</f>
        <v/>
      </c>
      <c r="F2499">
        <f>IF(OR('06_Сеть_и_дети'!F92=0,12&lt;='01_Вводные'!$B$297),0,'06_Сеть_и_дети'!F92*IF('01_Вводные'!$B$239="Да",MeanMinAge12+'19_Расчет_аналитики'!F2583*SUMIF(ThresholdAge12,"&lt;"&amp;'19_Расчет_аналитики'!F2583,WeightedRevAge12)-SUMIF(ThresholdAge12,"&lt;"&amp;'19_Расчет_аналитики'!F2583,WeightedMinAge12),MAX(CapacityAge12*'01_Вводные'!$B$218*'19_Расчет_аналитики'!F2583,MeanMinAge12)))</f>
        <v/>
      </c>
      <c r="G2499">
        <f>IF(OR('06_Сеть_и_дети'!G92=0,12&lt;='01_Вводные'!$B$297),0,'06_Сеть_и_дети'!G92*IF('01_Вводные'!$B$239="Да",MeanMinAge12+'19_Расчет_аналитики'!G2583*SUMIF(ThresholdAge12,"&lt;"&amp;'19_Расчет_аналитики'!G2583,WeightedRevAge12)-SUMIF(ThresholdAge12,"&lt;"&amp;'19_Расчет_аналитики'!G2583,WeightedMinAge12),MAX(CapacityAge12*'01_Вводные'!$B$218*'19_Расчет_аналитики'!G2583,MeanMinAge12)))</f>
        <v/>
      </c>
      <c r="H2499">
        <f>IF(OR('06_Сеть_и_дети'!H92=0,12&lt;='01_Вводные'!$B$297),0,'06_Сеть_и_дети'!H92*IF('01_Вводные'!$B$239="Да",MeanMinAge12+'19_Расчет_аналитики'!H2583*SUMIF(ThresholdAge12,"&lt;"&amp;'19_Расчет_аналитики'!H2583,WeightedRevAge12)-SUMIF(ThresholdAge12,"&lt;"&amp;'19_Расчет_аналитики'!H2583,WeightedMinAge12),MAX(CapacityAge12*'01_Вводные'!$B$218*'19_Расчет_аналитики'!H2583,MeanMinAge12)))</f>
        <v/>
      </c>
      <c r="I2499">
        <f>IF(OR('06_Сеть_и_дети'!I92=0,12&lt;='01_Вводные'!$B$297),0,'06_Сеть_и_дети'!I92*IF('01_Вводные'!$B$239="Да",MeanMinAge12+'19_Расчет_аналитики'!I2583*SUMIF(ThresholdAge12,"&lt;"&amp;'19_Расчет_аналитики'!I2583,WeightedRevAge12)-SUMIF(ThresholdAge12,"&lt;"&amp;'19_Расчет_аналитики'!I2583,WeightedMinAge12),MAX(CapacityAge12*'01_Вводные'!$B$218*'19_Расчет_аналитики'!I2583,MeanMinAge12)))</f>
        <v/>
      </c>
      <c r="J2499">
        <f>IF(OR('06_Сеть_и_дети'!J92=0,12&lt;='01_Вводные'!$B$297),0,'06_Сеть_и_дети'!J92*IF('01_Вводные'!$B$239="Да",MeanMinAge12+'19_Расчет_аналитики'!J2583*SUMIF(ThresholdAge12,"&lt;"&amp;'19_Расчет_аналитики'!J2583,WeightedRevAge12)-SUMIF(ThresholdAge12,"&lt;"&amp;'19_Расчет_аналитики'!J2583,WeightedMinAge12),MAX(CapacityAge12*'01_Вводные'!$B$218*'19_Расчет_аналитики'!J2583,MeanMinAge12)))</f>
        <v/>
      </c>
      <c r="K2499">
        <f>IF(OR('06_Сеть_и_дети'!K92=0,12&lt;='01_Вводные'!$B$297),0,'06_Сеть_и_дети'!K92*IF('01_Вводные'!$B$239="Да",MeanMinAge12+'19_Расчет_аналитики'!K2583*SUMIF(ThresholdAge12,"&lt;"&amp;'19_Расчет_аналитики'!K2583,WeightedRevAge12)-SUMIF(ThresholdAge12,"&lt;"&amp;'19_Расчет_аналитики'!K2583,WeightedMinAge12),MAX(CapacityAge12*'01_Вводные'!$B$218*'19_Расчет_аналитики'!K2583,MeanMinAge12)))</f>
        <v/>
      </c>
      <c r="L2499">
        <f>IF(OR('06_Сеть_и_дети'!L92=0,12&lt;='01_Вводные'!$B$297),0,'06_Сеть_и_дети'!L92*IF('01_Вводные'!$B$239="Да",MeanMinAge12+'19_Расчет_аналитики'!L2583*SUMIF(ThresholdAge12,"&lt;"&amp;'19_Расчет_аналитики'!L2583,WeightedRevAge12)-SUMIF(ThresholdAge12,"&lt;"&amp;'19_Расчет_аналитики'!L2583,WeightedMinAge12),MAX(CapacityAge12*'01_Вводные'!$B$218*'19_Расчет_аналитики'!L2583,MeanMinAge12)))</f>
        <v/>
      </c>
      <c r="M2499">
        <f>IF(OR('19_Расчет_аналитики'!M2471=0,12&lt;='01_Вводные'!$B$297),0,'19_Расчет_аналитики'!M2471*IF('01_Вводные'!$B$239="Да",MeanMinAge12+'19_Расчет_аналитики'!M2583*SUMIF(ThresholdAge12,"&lt;"&amp;'19_Расчет_аналитики'!M2583,WeightedRevAge12)-SUMIF(ThresholdAge12,"&lt;"&amp;'19_Расчет_аналитики'!M2583,WeightedMinAge12),MAX(CapacityAge12*'01_Вводные'!$B$218*'19_Расчет_аналитики'!M2583,MeanMinAge12)))</f>
        <v/>
      </c>
      <c r="N2499">
        <f>IF(OR('19_Расчет_аналитики'!N2471=0,12&lt;='01_Вводные'!$B$297),0,'19_Расчет_аналитики'!N2471*IF('01_Вводные'!$B$239="Да",MeanMinAge12+'19_Расчет_аналитики'!N2583*SUMIF(ThresholdAge12,"&lt;"&amp;'19_Расчет_аналитики'!N2583,WeightedRevAge12)-SUMIF(ThresholdAge12,"&lt;"&amp;'19_Расчет_аналитики'!N2583,WeightedMinAge12),MAX(CapacityAge12*'01_Вводные'!$B$218*'19_Расчет_аналитики'!N2583,MeanMinAge12)))</f>
        <v/>
      </c>
      <c r="O2499">
        <f>IF(OR('19_Расчет_аналитики'!O2471=0,12&lt;='01_Вводные'!$B$297),0,'19_Расчет_аналитики'!O2471*IF('01_Вводные'!$B$239="Да",MeanMinAge12+'19_Расчет_аналитики'!O2583*SUMIF(ThresholdAge12,"&lt;"&amp;'19_Расчет_аналитики'!O2583,WeightedRevAge12)-SUMIF(ThresholdAge12,"&lt;"&amp;'19_Расчет_аналитики'!O2583,WeightedMinAge12),MAX(CapacityAge12*'01_Вводные'!$B$218*'19_Расчет_аналитики'!O2583,MeanMinAge12)))</f>
        <v/>
      </c>
      <c r="P2499">
        <f>IF(OR('19_Расчет_аналитики'!P2471=0,12&lt;='01_Вводные'!$B$297),0,'19_Расчет_аналитики'!P2471*IF('01_Вводные'!$B$239="Да",MeanMinAge12+'19_Расчет_аналитики'!P2583*SUMIF(ThresholdAge12,"&lt;"&amp;'19_Расчет_аналитики'!P2583,WeightedRevAge12)-SUMIF(ThresholdAge12,"&lt;"&amp;'19_Расчет_аналитики'!P2583,WeightedMinAge12),MAX(CapacityAge12*'01_Вводные'!$B$218*'19_Расчет_аналитики'!P2583,MeanMinAge12)))</f>
        <v/>
      </c>
      <c r="Q2499">
        <f>IF(OR('19_Расчет_аналитики'!Q2471=0,12&lt;='01_Вводные'!$B$297),0,'19_Расчет_аналитики'!Q2471*IF('01_Вводные'!$B$239="Да",MeanMinAge12+'19_Расчет_аналитики'!Q2583*SUMIF(ThresholdAge12,"&lt;"&amp;'19_Расчет_аналитики'!Q2583,WeightedRevAge12)-SUMIF(ThresholdAge12,"&lt;"&amp;'19_Расчет_аналитики'!Q2583,WeightedMinAge12),MAX(CapacityAge12*'01_Вводные'!$B$218*'19_Расчет_аналитики'!Q2583,MeanMinAge12)))</f>
        <v/>
      </c>
      <c r="R2499">
        <f>IF(OR('19_Расчет_аналитики'!R2471=0,12&lt;='01_Вводные'!$B$297),0,'19_Расчет_аналитики'!R2471*IF('01_Вводные'!$B$239="Да",MeanMinAge12+'19_Расчет_аналитики'!R2583*SUMIF(ThresholdAge12,"&lt;"&amp;'19_Расчет_аналитики'!R2583,WeightedRevAge12)-SUMIF(ThresholdAge12,"&lt;"&amp;'19_Расчет_аналитики'!R2583,WeightedMinAge12),MAX(CapacityAge12*'01_Вводные'!$B$218*'19_Расчет_аналитики'!R2583,MeanMinAge12)))</f>
        <v/>
      </c>
      <c r="S2499">
        <f>IF(OR('19_Расчет_аналитики'!S2471=0,12&lt;='01_Вводные'!$B$297),0,'19_Расчет_аналитики'!S2471*IF('01_Вводные'!$B$239="Да",MeanMinAge12+'19_Расчет_аналитики'!S2583*SUMIF(ThresholdAge12,"&lt;"&amp;'19_Расчет_аналитики'!S2583,WeightedRevAge12)-SUMIF(ThresholdAge12,"&lt;"&amp;'19_Расчет_аналитики'!S2583,WeightedMinAge12),MAX(CapacityAge12*'01_Вводные'!$B$218*'19_Расчет_аналитики'!S2583,MeanMinAge12)))</f>
        <v/>
      </c>
      <c r="T2499">
        <f>IF(OR('19_Расчет_аналитики'!T2471=0,12&lt;='01_Вводные'!$B$297),0,'19_Расчет_аналитики'!T2471*IF('01_Вводные'!$B$239="Да",MeanMinAge12+'19_Расчет_аналитики'!T2583*SUMIF(ThresholdAge12,"&lt;"&amp;'19_Расчет_аналитики'!T2583,WeightedRevAge12)-SUMIF(ThresholdAge12,"&lt;"&amp;'19_Расчет_аналитики'!T2583,WeightedMinAge12),MAX(CapacityAge12*'01_Вводные'!$B$218*'19_Расчет_аналитики'!T2583,MeanMinAge12)))</f>
        <v/>
      </c>
      <c r="U2499">
        <f>IF(OR('19_Расчет_аналитики'!U2471=0,12&lt;='01_Вводные'!$B$297),0,'19_Расчет_аналитики'!U2471*IF('01_Вводные'!$B$239="Да",MeanMinAge12+'19_Расчет_аналитики'!U2583*SUMIF(ThresholdAge12,"&lt;"&amp;'19_Расчет_аналитики'!U2583,WeightedRevAge12)-SUMIF(ThresholdAge12,"&lt;"&amp;'19_Расчет_аналитики'!U2583,WeightedMinAge12),MAX(CapacityAge12*'01_Вводные'!$B$218*'19_Расчет_аналитики'!U2583,MeanMinAge12)))</f>
        <v/>
      </c>
      <c r="V2499">
        <f>IF(OR('19_Расчет_аналитики'!V2471=0,12&lt;='01_Вводные'!$B$297),0,'19_Расчет_аналитики'!V2471*IF('01_Вводные'!$B$239="Да",MeanMinAge12+'19_Расчет_аналитики'!V2583*SUMIF(ThresholdAge12,"&lt;"&amp;'19_Расчет_аналитики'!V2583,WeightedRevAge12)-SUMIF(ThresholdAge12,"&lt;"&amp;'19_Расчет_аналитики'!V2583,WeightedMinAge12),MAX(CapacityAge12*'01_Вводные'!$B$218*'19_Расчет_аналитики'!V2583,MeanMinAge12)))</f>
        <v/>
      </c>
      <c r="W2499">
        <f>IF(OR('19_Расчет_аналитики'!W2471=0,12&lt;='01_Вводные'!$B$297),0,'19_Расчет_аналитики'!W2471*IF('01_Вводные'!$B$239="Да",MeanMinAge12+'19_Расчет_аналитики'!W2583*SUMIF(ThresholdAge12,"&lt;"&amp;'19_Расчет_аналитики'!W2583,WeightedRevAge12)-SUMIF(ThresholdAge12,"&lt;"&amp;'19_Расчет_аналитики'!W2583,WeightedMinAge12),MAX(CapacityAge12*'01_Вводные'!$B$218*'19_Расчет_аналитики'!W2583,MeanMinAge12)))</f>
        <v/>
      </c>
      <c r="X2499">
        <f>IF(OR('19_Расчет_аналитики'!X2471=0,12&lt;='01_Вводные'!$B$297),0,'19_Расчет_аналитики'!X2471*IF('01_Вводные'!$B$239="Да",MeanMinAge12+'19_Расчет_аналитики'!X2583*SUMIF(ThresholdAge12,"&lt;"&amp;'19_Расчет_аналитики'!X2583,WeightedRevAge12)-SUMIF(ThresholdAge12,"&lt;"&amp;'19_Расчет_аналитики'!X2583,WeightedMinAge12),MAX(CapacityAge12*'01_Вводные'!$B$218*'19_Расчет_аналитики'!X2583,MeanMinAge12)))</f>
        <v/>
      </c>
      <c r="Y2499">
        <f>IF(OR('19_Расчет_аналитики'!Y2471=0,12&lt;='01_Вводные'!$B$297),0,'19_Расчет_аналитики'!Y2471*IF('01_Вводные'!$B$239="Да",MeanMinAge12+'19_Расчет_аналитики'!Y2583*SUMIF(ThresholdAge12,"&lt;"&amp;'19_Расчет_аналитики'!Y2583,WeightedRevAge12)-SUMIF(ThresholdAge12,"&lt;"&amp;'19_Расчет_аналитики'!Y2583,WeightedMinAge12),MAX(CapacityAge12*'01_Вводные'!$B$218*'19_Расчет_аналитики'!Y2583,MeanMinAge12)))</f>
        <v/>
      </c>
      <c r="Z2499">
        <f>IF(OR('19_Расчет_аналитики'!Z2471=0,12&lt;='01_Вводные'!$B$297),0,'19_Расчет_аналитики'!Z2471*IF('01_Вводные'!$B$239="Да",MeanMinAge12+'19_Расчет_аналитики'!Z2583*SUMIF(ThresholdAge12,"&lt;"&amp;'19_Расчет_аналитики'!Z2583,WeightedRevAge12)-SUMIF(ThresholdAge12,"&lt;"&amp;'19_Расчет_аналитики'!Z2583,WeightedMinAge12),MAX(CapacityAge12*'01_Вводные'!$B$218*'19_Расчет_аналитики'!Z2583,MeanMinAge12)))</f>
        <v/>
      </c>
      <c r="AA2499">
        <f>IF(OR('19_Расчет_аналитики'!AA2471=0,12&lt;='01_Вводные'!$B$297),0,'19_Расчет_аналитики'!AA2471*IF('01_Вводные'!$B$239="Да",MeanMinAge12+'19_Расчет_аналитики'!AA2583*SUMIF(ThresholdAge12,"&lt;"&amp;'19_Расчет_аналитики'!AA2583,WeightedRevAge12)-SUMIF(ThresholdAge12,"&lt;"&amp;'19_Расчет_аналитики'!AA2583,WeightedMinAge12),MAX(CapacityAge12*'01_Вводные'!$B$218*'19_Расчет_аналитики'!AA2583,MeanMinAge12)))</f>
        <v/>
      </c>
      <c r="AB2499">
        <f>IF(OR('19_Расчет_аналитики'!AB2471=0,12&lt;='01_Вводные'!$B$297),0,'19_Расчет_аналитики'!AB2471*IF('01_Вводные'!$B$239="Да",MeanMinAge12+'19_Расчет_аналитики'!AB2583*SUMIF(ThresholdAge12,"&lt;"&amp;'19_Расчет_аналитики'!AB2583,WeightedRevAge12)-SUMIF(ThresholdAge12,"&lt;"&amp;'19_Расчет_аналитики'!AB2583,WeightedMinAge12),MAX(CapacityAge12*'01_Вводные'!$B$218*'19_Расчет_аналитики'!AB2583,MeanMinAge12)))</f>
        <v/>
      </c>
      <c r="AC2499">
        <f>IF(OR('19_Расчет_аналитики'!AC2471=0,12&lt;='01_Вводные'!$B$297),0,'19_Расчет_аналитики'!AC2471*IF('01_Вводные'!$B$239="Да",MeanMinAge12+'19_Расчет_аналитики'!AC2583*SUMIF(ThresholdAge12,"&lt;"&amp;'19_Расчет_аналитики'!AC2583,WeightedRevAge12)-SUMIF(ThresholdAge12,"&lt;"&amp;'19_Расчет_аналитики'!AC2583,WeightedMinAge12),MAX(CapacityAge12*'01_Вводные'!$B$218*'19_Расчет_аналитики'!AC2583,MeanMinAge12)))</f>
        <v/>
      </c>
      <c r="AD2499">
        <f>IF(OR('19_Расчет_аналитики'!AD2471=0,12&lt;='01_Вводные'!$B$297),0,'19_Расчет_аналитики'!AD2471*IF('01_Вводные'!$B$239="Да",MeanMinAge12+'19_Расчет_аналитики'!AD2583*SUMIF(ThresholdAge12,"&lt;"&amp;'19_Расчет_аналитики'!AD2583,WeightedRevAge12)-SUMIF(ThresholdAge12,"&lt;"&amp;'19_Расчет_аналитики'!AD2583,WeightedMinAge12),MAX(CapacityAge12*'01_Вводные'!$B$218*'19_Расчет_аналитики'!AD2583,MeanMinAge12)))</f>
        <v/>
      </c>
      <c r="AE2499">
        <f>IF(OR('19_Расчет_аналитики'!AE2471=0,12&lt;='01_Вводные'!$B$297),0,'19_Расчет_аналитики'!AE2471*IF('01_Вводные'!$B$239="Да",MeanMinAge12+'19_Расчет_аналитики'!AE2583*SUMIF(ThresholdAge12,"&lt;"&amp;'19_Расчет_аналитики'!AE2583,WeightedRevAge12)-SUMIF(ThresholdAge12,"&lt;"&amp;'19_Расчет_аналитики'!AE2583,WeightedMinAge12),MAX(CapacityAge12*'01_Вводные'!$B$218*'19_Расчет_аналитики'!AE2583,MeanMinAge12)))</f>
        <v/>
      </c>
      <c r="AF2499">
        <f>IF(OR('19_Расчет_аналитики'!AF2471=0,12&lt;='01_Вводные'!$B$297),0,'19_Расчет_аналитики'!AF2471*IF('01_Вводные'!$B$239="Да",MeanMinAge12+'19_Расчет_аналитики'!AF2583*SUMIF(ThresholdAge12,"&lt;"&amp;'19_Расчет_аналитики'!AF2583,WeightedRevAge12)-SUMIF(ThresholdAge12,"&lt;"&amp;'19_Расчет_аналитики'!AF2583,WeightedMinAge12),MAX(CapacityAge12*'01_Вводные'!$B$218*'19_Расчет_аналитики'!AF2583,MeanMinAge12)))</f>
        <v/>
      </c>
      <c r="AG2499">
        <f>IF(OR('19_Расчет_аналитики'!AG2471=0,12&lt;='01_Вводные'!$B$297),0,'19_Расчет_аналитики'!AG2471*IF('01_Вводные'!$B$239="Да",MeanMinAge12+'19_Расчет_аналитики'!AG2583*SUMIF(ThresholdAge12,"&lt;"&amp;'19_Расчет_аналитики'!AG2583,WeightedRevAge12)-SUMIF(ThresholdAge12,"&lt;"&amp;'19_Расчет_аналитики'!AG2583,WeightedMinAge12),MAX(CapacityAge12*'01_Вводные'!$B$218*'19_Расчет_аналитики'!AG2583,MeanMinAge12)))</f>
        <v/>
      </c>
      <c r="AH2499">
        <f>IF(OR('19_Расчет_аналитики'!AH2471=0,12&lt;='01_Вводные'!$B$297),0,'19_Расчет_аналитики'!AH2471*IF('01_Вводные'!$B$239="Да",MeanMinAge12+'19_Расчет_аналитики'!AH2583*SUMIF(ThresholdAge12,"&lt;"&amp;'19_Расчет_аналитики'!AH2583,WeightedRevAge12)-SUMIF(ThresholdAge12,"&lt;"&amp;'19_Расчет_аналитики'!AH2583,WeightedMinAge12),MAX(CapacityAge12*'01_Вводные'!$B$218*'19_Расчет_аналитики'!AH2583,MeanMinAge12)))</f>
        <v/>
      </c>
      <c r="AI2499">
        <f>IF(OR('19_Расчет_аналитики'!AI2471=0,12&lt;='01_Вводные'!$B$297),0,'19_Расчет_аналитики'!AI2471*IF('01_Вводные'!$B$239="Да",MeanMinAge12+'19_Расчет_аналитики'!AI2583*SUMIF(ThresholdAge12,"&lt;"&amp;'19_Расчет_аналитики'!AI2583,WeightedRevAge12)-SUMIF(ThresholdAge12,"&lt;"&amp;'19_Расчет_аналитики'!AI2583,WeightedMinAge12),MAX(CapacityAge12*'01_Вводные'!$B$218*'19_Расчет_аналитики'!AI2583,MeanMinAge12)))</f>
        <v/>
      </c>
      <c r="AJ2499">
        <f>IF(OR('19_Расчет_аналитики'!AJ2471=0,12&lt;='01_Вводные'!$B$297),0,'19_Расчет_аналитики'!AJ2471*IF('01_Вводные'!$B$239="Да",MeanMinAge12+'19_Расчет_аналитики'!AJ2583*SUMIF(ThresholdAge12,"&lt;"&amp;'19_Расчет_аналитики'!AJ2583,WeightedRevAge12)-SUMIF(ThresholdAge12,"&lt;"&amp;'19_Расчет_аналитики'!AJ2583,WeightedMinAge12),MAX(CapacityAge12*'01_Вводные'!$B$218*'19_Расчет_аналитики'!AJ2583,MeanMinAge12)))</f>
        <v/>
      </c>
      <c r="AK2499">
        <f>IF(OR('19_Расчет_аналитики'!AK2471=0,12&lt;='01_Вводные'!$B$297),0,'19_Расчет_аналитики'!AK2471*IF('01_Вводные'!$B$239="Да",MeanMinAge12+'19_Расчет_аналитики'!AK2583*SUMIF(ThresholdAge12,"&lt;"&amp;'19_Расчет_аналитики'!AK2583,WeightedRevAge12)-SUMIF(ThresholdAge12,"&lt;"&amp;'19_Расчет_аналитики'!AK2583,WeightedMinAge12),MAX(CapacityAge12*'01_Вводные'!$B$218*'19_Расчет_аналитики'!AK2583,MeanMinAge12)))</f>
        <v/>
      </c>
      <c r="AL2499">
        <f>IF(OR('19_Расчет_аналитики'!AL2471=0,12&lt;='01_Вводные'!$B$297),0,'19_Расчет_аналитики'!AL2471*IF('01_Вводные'!$B$239="Да",MeanMinAge12+'19_Расчет_аналитики'!AL2583*SUMIF(ThresholdAge12,"&lt;"&amp;'19_Расчет_аналитики'!AL2583,WeightedRevAge12)-SUMIF(ThresholdAge12,"&lt;"&amp;'19_Расчет_аналитики'!AL2583,WeightedMinAge12),MAX(CapacityAge12*'01_Вводные'!$B$218*'19_Расчет_аналитики'!AL2583,MeanMinAge12)))</f>
        <v/>
      </c>
      <c r="AM2499">
        <f>IF(OR('19_Расчет_аналитики'!AM2471=0,12&lt;='01_Вводные'!$B$297),0,'19_Расчет_аналитики'!AM2471*IF('01_Вводные'!$B$239="Да",MeanMinAge12+'19_Расчет_аналитики'!AM2583*SUMIF(ThresholdAge12,"&lt;"&amp;'19_Расчет_аналитики'!AM2583,WeightedRevAge12)-SUMIF(ThresholdAge12,"&lt;"&amp;'19_Расчет_аналитики'!AM2583,WeightedMinAge12),MAX(CapacityAge12*'01_Вводные'!$B$218*'19_Расчет_аналитики'!AM2583,MeanMinAge12)))</f>
        <v/>
      </c>
      <c r="AN2499">
        <f>IF(OR('19_Расчет_аналитики'!AN2471=0,12&lt;='01_Вводные'!$B$297),0,'19_Расчет_аналитики'!AN2471*IF('01_Вводные'!$B$239="Да",MeanMinAge12+'19_Расчет_аналитики'!AN2583*SUMIF(ThresholdAge12,"&lt;"&amp;'19_Расчет_аналитики'!AN2583,WeightedRevAge12)-SUMIF(ThresholdAge12,"&lt;"&amp;'19_Расчет_аналитики'!AN2583,WeightedMinAge12),MAX(CapacityAge12*'01_Вводные'!$B$218*'19_Расчет_аналитики'!AN2583,MeanMinAge12)))</f>
        <v/>
      </c>
      <c r="AO2499">
        <f>IF(OR('19_Расчет_аналитики'!AO2471=0,12&lt;='01_Вводные'!$B$297),0,'19_Расчет_аналитики'!AO2471*IF('01_Вводные'!$B$239="Да",MeanMinAge12+'19_Расчет_аналитики'!AO2583*SUMIF(ThresholdAge12,"&lt;"&amp;'19_Расчет_аналитики'!AO2583,WeightedRevAge12)-SUMIF(ThresholdAge12,"&lt;"&amp;'19_Расчет_аналитики'!AO2583,WeightedMinAge12),MAX(CapacityAge12*'01_Вводные'!$B$218*'19_Расчет_аналитики'!AO2583,MeanMinAge12)))</f>
        <v/>
      </c>
      <c r="AP2499">
        <f>IF(OR('19_Расчет_аналитики'!AP2471=0,12&lt;='01_Вводные'!$B$297),0,'19_Расчет_аналитики'!AP2471*IF('01_Вводные'!$B$239="Да",MeanMinAge12+'19_Расчет_аналитики'!AP2583*SUMIF(ThresholdAge12,"&lt;"&amp;'19_Расчет_аналитики'!AP2583,WeightedRevAge12)-SUMIF(ThresholdAge12,"&lt;"&amp;'19_Расчет_аналитики'!AP2583,WeightedMinAge12),MAX(CapacityAge12*'01_Вводные'!$B$218*'19_Расчет_аналитики'!AP2583,MeanMinAge12)))</f>
        <v/>
      </c>
      <c r="AQ2499">
        <f>IF(OR('19_Расчет_аналитики'!AQ2471=0,12&lt;='01_Вводные'!$B$297),0,'19_Расчет_аналитики'!AQ2471*IF('01_Вводные'!$B$239="Да",MeanMinAge12+'19_Расчет_аналитики'!AQ2583*SUMIF(ThresholdAge12,"&lt;"&amp;'19_Расчет_аналитики'!AQ2583,WeightedRevAge12)-SUMIF(ThresholdAge12,"&lt;"&amp;'19_Расчет_аналитики'!AQ2583,WeightedMinAge12),MAX(CapacityAge12*'01_Вводные'!$B$218*'19_Расчет_аналитики'!AQ2583,MeanMinAge12)))</f>
        <v/>
      </c>
      <c r="AR2499">
        <f>IF(OR('19_Расчет_аналитики'!AR2471=0,12&lt;='01_Вводные'!$B$297),0,'19_Расчет_аналитики'!AR2471*IF('01_Вводные'!$B$239="Да",MeanMinAge12+'19_Расчет_аналитики'!AR2583*SUMIF(ThresholdAge12,"&lt;"&amp;'19_Расчет_аналитики'!AR2583,WeightedRevAge12)-SUMIF(ThresholdAge12,"&lt;"&amp;'19_Расчет_аналитики'!AR2583,WeightedMinAge12),MAX(CapacityAge12*'01_Вводные'!$B$218*'19_Расчет_аналитики'!AR2583,MeanMinAge12)))</f>
        <v/>
      </c>
      <c r="AS2499">
        <f>IF(OR('19_Расчет_аналитики'!AS2471=0,12&lt;='01_Вводные'!$B$297),0,'19_Расчет_аналитики'!AS2471*IF('01_Вводные'!$B$239="Да",MeanMinAge12+'19_Расчет_аналитики'!AS2583*SUMIF(ThresholdAge12,"&lt;"&amp;'19_Расчет_аналитики'!AS2583,WeightedRevAge12)-SUMIF(ThresholdAge12,"&lt;"&amp;'19_Расчет_аналитики'!AS2583,WeightedMinAge12),MAX(CapacityAge12*'01_Вводные'!$B$218*'19_Расчет_аналитики'!AS2583,MeanMinAge12)))</f>
        <v/>
      </c>
      <c r="AT2499">
        <f>IF(OR('19_Расчет_аналитики'!AT2471=0,12&lt;='01_Вводные'!$B$297),0,'19_Расчет_аналитики'!AT2471*IF('01_Вводные'!$B$239="Да",MeanMinAge12+'19_Расчет_аналитики'!AT2583*SUMIF(ThresholdAge12,"&lt;"&amp;'19_Расчет_аналитики'!AT2583,WeightedRevAge12)-SUMIF(ThresholdAge12,"&lt;"&amp;'19_Расчет_аналитики'!AT2583,WeightedMinAge12),MAX(CapacityAge12*'01_Вводные'!$B$218*'19_Расчет_аналитики'!AT2583,MeanMinAge12)))</f>
        <v/>
      </c>
      <c r="AU2499">
        <f>IF(OR('19_Расчет_аналитики'!AU2471=0,12&lt;='01_Вводные'!$B$297),0,'19_Расчет_аналитики'!AU2471*IF('01_Вводные'!$B$239="Да",MeanMinAge12+'19_Расчет_аналитики'!AU2583*SUMIF(ThresholdAge12,"&lt;"&amp;'19_Расчет_аналитики'!AU2583,WeightedRevAge12)-SUMIF(ThresholdAge12,"&lt;"&amp;'19_Расчет_аналитики'!AU2583,WeightedMinAge12),MAX(CapacityAge12*'01_Вводные'!$B$218*'19_Расчет_аналитики'!AU2583,MeanMinAge12)))</f>
        <v/>
      </c>
      <c r="AV2499">
        <f>IF(OR('19_Расчет_аналитики'!AV2471=0,12&lt;='01_Вводные'!$B$297),0,'19_Расчет_аналитики'!AV2471*IF('01_Вводные'!$B$239="Да",MeanMinAge12+'19_Расчет_аналитики'!AV2583*SUMIF(ThresholdAge12,"&lt;"&amp;'19_Расчет_аналитики'!AV2583,WeightedRevAge12)-SUMIF(ThresholdAge12,"&lt;"&amp;'19_Расчет_аналитики'!AV2583,WeightedMinAge12),MAX(CapacityAge12*'01_Вводные'!$B$218*'19_Расчет_аналитики'!AV2583,MeanMinAge12)))</f>
        <v/>
      </c>
      <c r="AW2499">
        <f>IF(OR('19_Расчет_аналитики'!AW2471=0,12&lt;='01_Вводные'!$B$297),0,'19_Расчет_аналитики'!AW2471*IF('01_Вводные'!$B$239="Да",MeanMinAge12+'19_Расчет_аналитики'!AW2583*SUMIF(ThresholdAge12,"&lt;"&amp;'19_Расчет_аналитики'!AW2583,WeightedRevAge12)-SUMIF(ThresholdAge12,"&lt;"&amp;'19_Расчет_аналитики'!AW2583,WeightedMinAge12),MAX(CapacityAge12*'01_Вводные'!$B$218*'19_Расчет_аналитики'!AW2583,MeanMinAge12)))</f>
        <v/>
      </c>
      <c r="AX2499">
        <f>IF(OR('19_Расчет_аналитики'!AX2471=0,12&lt;='01_Вводные'!$B$297),0,'19_Расчет_аналитики'!AX2471*IF('01_Вводные'!$B$239="Да",MeanMinAge12+'19_Расчет_аналитики'!AX2583*SUMIF(ThresholdAge12,"&lt;"&amp;'19_Расчет_аналитики'!AX2583,WeightedRevAge12)-SUMIF(ThresholdAge12,"&lt;"&amp;'19_Расчет_аналитики'!AX2583,WeightedMinAge12),MAX(CapacityAge12*'01_Вводные'!$B$218*'19_Расчет_аналитики'!AX2583,MeanMinAge12)))</f>
        <v/>
      </c>
      <c r="AY2499">
        <f>IF(OR('19_Расчет_аналитики'!AY2471=0,12&lt;='01_Вводные'!$B$297),0,'19_Расчет_аналитики'!AY2471*IF('01_Вводные'!$B$239="Да",MeanMinAge12+'19_Расчет_аналитики'!AY2583*SUMIF(ThresholdAge12,"&lt;"&amp;'19_Расчет_аналитики'!AY2583,WeightedRevAge12)-SUMIF(ThresholdAge12,"&lt;"&amp;'19_Расчет_аналитики'!AY2583,WeightedMinAge12),MAX(CapacityAge12*'01_Вводные'!$B$218*'19_Расчет_аналитики'!AY2583,MeanMinAge12)))</f>
        <v/>
      </c>
      <c r="AZ2499">
        <f>IF(OR('19_Расчет_аналитики'!AZ2471=0,12&lt;='01_Вводные'!$B$297),0,'19_Расчет_аналитики'!AZ2471*IF('01_Вводные'!$B$239="Да",MeanMinAge12+'19_Расчет_аналитики'!AZ2583*SUMIF(ThresholdAge12,"&lt;"&amp;'19_Расчет_аналитики'!AZ2583,WeightedRevAge12)-SUMIF(ThresholdAge12,"&lt;"&amp;'19_Расчет_аналитики'!AZ2583,WeightedMinAge12),MAX(CapacityAge12*'01_Вводные'!$B$218*'19_Расчет_аналитики'!AZ2583,MeanMinAge12)))</f>
        <v/>
      </c>
      <c r="BA2499">
        <f>IF(OR('19_Расчет_аналитики'!BA2471=0,12&lt;='01_Вводные'!$B$297),0,'19_Расчет_аналитики'!BA2471*IF('01_Вводные'!$B$239="Да",MeanMinAge12+'19_Расчет_аналитики'!BA2583*SUMIF(ThresholdAge12,"&lt;"&amp;'19_Расчет_аналитики'!BA2583,WeightedRevAge12)-SUMIF(ThresholdAge12,"&lt;"&amp;'19_Расчет_аналитики'!BA2583,WeightedMinAge12),MAX(CapacityAge12*'01_Вводные'!$B$218*'19_Расчет_аналитики'!BA2583,MeanMinAge12)))</f>
        <v/>
      </c>
      <c r="BB2499">
        <f>IF(OR('19_Расчет_аналитики'!BB2471=0,12&lt;='01_Вводные'!$B$297),0,'19_Расчет_аналитики'!BB2471*IF('01_Вводные'!$B$239="Да",MeanMinAge12+'19_Расчет_аналитики'!BB2583*SUMIF(ThresholdAge12,"&lt;"&amp;'19_Расчет_аналитики'!BB2583,WeightedRevAge12)-SUMIF(ThresholdAge12,"&lt;"&amp;'19_Расчет_аналитики'!BB2583,WeightedMinAge12),MAX(CapacityAge12*'01_Вводные'!$B$218*'19_Расчет_аналитики'!BB2583,MeanMinAge12)))</f>
        <v/>
      </c>
      <c r="BC2499">
        <f>IF(OR('19_Расчет_аналитики'!BC2471=0,12&lt;='01_Вводные'!$B$297),0,'19_Расчет_аналитики'!BC2471*IF('01_Вводные'!$B$239="Да",MeanMinAge12+'19_Расчет_аналитики'!BC2583*SUMIF(ThresholdAge12,"&lt;"&amp;'19_Расчет_аналитики'!BC2583,WeightedRevAge12)-SUMIF(ThresholdAge12,"&lt;"&amp;'19_Расчет_аналитики'!BC2583,WeightedMinAge12),MAX(CapacityAge12*'01_Вводные'!$B$218*'19_Расчет_аналитики'!BC2583,MeanMinAge12)))</f>
        <v/>
      </c>
      <c r="BD2499">
        <f>IF(OR('19_Расчет_аналитики'!BD2471=0,12&lt;='01_Вводные'!$B$297),0,'19_Расчет_аналитики'!BD2471*IF('01_Вводные'!$B$239="Да",MeanMinAge12+'19_Расчет_аналитики'!BD2583*SUMIF(ThresholdAge12,"&lt;"&amp;'19_Расчет_аналитики'!BD2583,WeightedRevAge12)-SUMIF(ThresholdAge12,"&lt;"&amp;'19_Расчет_аналитики'!BD2583,WeightedMinAge12),MAX(CapacityAge12*'01_Вводные'!$B$218*'19_Расчет_аналитики'!BD2583,MeanMinAge12)))</f>
        <v/>
      </c>
      <c r="BE2499">
        <f>IF(OR('19_Расчет_аналитики'!BE2471=0,12&lt;='01_Вводные'!$B$297),0,'19_Расчет_аналитики'!BE2471*IF('01_Вводные'!$B$239="Да",MeanMinAge12+'19_Расчет_аналитики'!BE2583*SUMIF(ThresholdAge12,"&lt;"&amp;'19_Расчет_аналитики'!BE2583,WeightedRevAge12)-SUMIF(ThresholdAge12,"&lt;"&amp;'19_Расчет_аналитики'!BE2583,WeightedMinAge12),MAX(CapacityAge12*'01_Вводные'!$B$218*'19_Расчет_аналитики'!BE2583,MeanMinAge12)))</f>
        <v/>
      </c>
      <c r="BF2499">
        <f>IF(OR('19_Расчет_аналитики'!BF2471=0,12&lt;='01_Вводные'!$B$297),0,'19_Расчет_аналитики'!BF2471*IF('01_Вводные'!$B$239="Да",MeanMinAge12+'19_Расчет_аналитики'!BF2583*SUMIF(ThresholdAge12,"&lt;"&amp;'19_Расчет_аналитики'!BF2583,WeightedRevAge12)-SUMIF(ThresholdAge12,"&lt;"&amp;'19_Расчет_аналитики'!BF2583,WeightedMinAge12),MAX(CapacityAge12*'01_Вводные'!$B$218*'19_Расчет_аналитики'!BF2583,MeanMinAge12)))</f>
        <v/>
      </c>
      <c r="BG2499">
        <f>IF(OR('19_Расчет_аналитики'!BG2471=0,12&lt;='01_Вводные'!$B$297),0,'19_Расчет_аналитики'!BG2471*IF('01_Вводные'!$B$239="Да",MeanMinAge12+'19_Расчет_аналитики'!BG2583*SUMIF(ThresholdAge12,"&lt;"&amp;'19_Расчет_аналитики'!BG2583,WeightedRevAge12)-SUMIF(ThresholdAge12,"&lt;"&amp;'19_Расчет_аналитики'!BG2583,WeightedMinAge12),MAX(CapacityAge12*'01_Вводные'!$B$218*'19_Расчет_аналитики'!BG2583,MeanMinAge12)))</f>
        <v/>
      </c>
      <c r="BH2499">
        <f>IF(OR('19_Расчет_аналитики'!BH2471=0,12&lt;='01_Вводные'!$B$297),0,'19_Расчет_аналитики'!BH2471*IF('01_Вводные'!$B$239="Да",MeanMinAge12+'19_Расчет_аналитики'!BH2583*SUMIF(ThresholdAge12,"&lt;"&amp;'19_Расчет_аналитики'!BH2583,WeightedRevAge12)-SUMIF(ThresholdAge12,"&lt;"&amp;'19_Расчет_аналитики'!BH2583,WeightedMinAge12),MAX(CapacityAge12*'01_Вводные'!$B$218*'19_Расчет_аналитики'!BH2583,MeanMinAge12)))</f>
        <v/>
      </c>
      <c r="BI2499">
        <f>IF(OR('19_Расчет_аналитики'!BI2471=0,12&lt;='01_Вводные'!$B$297),0,'19_Расчет_аналитики'!BI2471*IF('01_Вводные'!$B$239="Да",MeanMinAge12+'19_Расчет_аналитики'!BI2583*SUMIF(ThresholdAge12,"&lt;"&amp;'19_Расчет_аналитики'!BI2583,WeightedRevAge12)-SUMIF(ThresholdAge12,"&lt;"&amp;'19_Расчет_аналитики'!BI2583,WeightedMinAge12),MAX(CapacityAge12*'01_Вводные'!$B$218*'19_Расчет_аналитики'!BI2583,MeanMinAge12)))</f>
        <v/>
      </c>
      <c r="BJ2499">
        <f>IF(OR('19_Расчет_аналитики'!BJ2471=0,12&lt;='01_Вводные'!$B$297),0,'19_Расчет_аналитики'!BJ2471*IF('01_Вводные'!$B$239="Да",MeanMinAge12+'19_Расчет_аналитики'!BJ2583*SUMIF(ThresholdAge12,"&lt;"&amp;'19_Расчет_аналитики'!BJ2583,WeightedRevAge12)-SUMIF(ThresholdAge12,"&lt;"&amp;'19_Расчет_аналитики'!BJ2583,WeightedMinAge12),MAX(CapacityAge12*'01_Вводные'!$B$218*'19_Расчет_аналитики'!BJ2583,MeanMinAge12)))</f>
        <v/>
      </c>
      <c r="BK2499">
        <f>IF(OR('19_Расчет_аналитики'!BK2471=0,12&lt;='01_Вводные'!$B$297),0,'19_Расчет_аналитики'!BK2471*IF('01_Вводные'!$B$239="Да",MeanMinAge12+'19_Расчет_аналитики'!BK2583*SUMIF(ThresholdAge12,"&lt;"&amp;'19_Расчет_аналитики'!BK2583,WeightedRevAge12)-SUMIF(ThresholdAge12,"&lt;"&amp;'19_Расчет_аналитики'!BK2583,WeightedMinAge12),MAX(CapacityAge12*'01_Вводные'!$B$218*'19_Расчет_аналитики'!BK2583,MeanMinAge12)))</f>
        <v/>
      </c>
      <c r="BL2499">
        <f>IF(OR('19_Расчет_аналитики'!BL2471=0,12&lt;='01_Вводные'!$B$297),0,'19_Расчет_аналитики'!BL2471*IF('01_Вводные'!$B$239="Да",MeanMinAge12+'19_Расчет_аналитики'!BL2583*SUMIF(ThresholdAge12,"&lt;"&amp;'19_Расчет_аналитики'!BL2583,WeightedRevAge12)-SUMIF(ThresholdAge12,"&lt;"&amp;'19_Расчет_аналитики'!BL2583,WeightedMinAge12),MAX(CapacityAge12*'01_Вводные'!$B$218*'19_Расчет_аналитики'!BL2583,MeanMinAge12)))</f>
        <v/>
      </c>
      <c r="BM2499">
        <f>IF(OR('19_Расчет_аналитики'!BM2471=0,12&lt;='01_Вводные'!$B$297),0,'19_Расчет_аналитики'!BM2471*IF('01_Вводные'!$B$239="Да",MeanMinAge12+'19_Расчет_аналитики'!BM2583*SUMIF(ThresholdAge12,"&lt;"&amp;'19_Расчет_аналитики'!BM2583,WeightedRevAge12)-SUMIF(ThresholdAge12,"&lt;"&amp;'19_Расчет_аналитики'!BM2583,WeightedMinAge12),MAX(CapacityAge12*'01_Вводные'!$B$218*'19_Расчет_аналитики'!BM2583,MeanMinAge12)))</f>
        <v/>
      </c>
      <c r="BN2499">
        <f>IF(OR('19_Расчет_аналитики'!BN2471=0,12&lt;='01_Вводные'!$B$297),0,'19_Расчет_аналитики'!BN2471*IF('01_Вводные'!$B$239="Да",MeanMinAge12+'19_Расчет_аналитики'!BN2583*SUMIF(ThresholdAge12,"&lt;"&amp;'19_Расчет_аналитики'!BN2583,WeightedRevAge12)-SUMIF(ThresholdAge12,"&lt;"&amp;'19_Расчет_аналитики'!BN2583,WeightedMinAge12),MAX(CapacityAge12*'01_Вводные'!$B$218*'19_Расчет_аналитики'!BN2583,MeanMinAge12)))</f>
        <v/>
      </c>
      <c r="BO2499">
        <f>IF(OR('19_Расчет_аналитики'!BO2471=0,12&lt;='01_Вводные'!$B$297),0,'19_Расчет_аналитики'!BO2471*IF('01_Вводные'!$B$239="Да",MeanMinAge12+'19_Расчет_аналитики'!BO2583*SUMIF(ThresholdAge12,"&lt;"&amp;'19_Расчет_аналитики'!BO2583,WeightedRevAge12)-SUMIF(ThresholdAge12,"&lt;"&amp;'19_Расчет_аналитики'!BO2583,WeightedMinAge12),MAX(CapacityAge12*'01_Вводные'!$B$218*'19_Расчет_аналитики'!BO2583,MeanMinAge12)))</f>
        <v/>
      </c>
    </row>
    <row r="2500">
      <c r="B2500">
        <f>IF(OR('06_Сеть_и_дети'!B93=0,13&lt;='01_Вводные'!$B$297),0,'06_Сеть_и_дети'!B93*IF('01_Вводные'!$B$239="Да",MeanMinAge13+'19_Расчет_аналитики'!B2583*SUMIF(ThresholdAge13,"&lt;"&amp;'19_Расчет_аналитики'!B2583,WeightedRevAge13)-SUMIF(ThresholdAge13,"&lt;"&amp;'19_Расчет_аналитики'!B2583,WeightedMinAge13),MAX(CapacityAge13*'01_Вводные'!$B$218*'19_Расчет_аналитики'!B2583,MeanMinAge13)))</f>
        <v/>
      </c>
      <c r="C2500">
        <f>IF(OR('06_Сеть_и_дети'!C93=0,13&lt;='01_Вводные'!$B$297),0,'06_Сеть_и_дети'!C93*IF('01_Вводные'!$B$239="Да",MeanMinAge13+'19_Расчет_аналитики'!C2583*SUMIF(ThresholdAge13,"&lt;"&amp;'19_Расчет_аналитики'!C2583,WeightedRevAge13)-SUMIF(ThresholdAge13,"&lt;"&amp;'19_Расчет_аналитики'!C2583,WeightedMinAge13),MAX(CapacityAge13*'01_Вводные'!$B$218*'19_Расчет_аналитики'!C2583,MeanMinAge13)))</f>
        <v/>
      </c>
      <c r="D2500">
        <f>IF(OR('06_Сеть_и_дети'!D93=0,13&lt;='01_Вводные'!$B$297),0,'06_Сеть_и_дети'!D93*IF('01_Вводные'!$B$239="Да",MeanMinAge13+'19_Расчет_аналитики'!D2583*SUMIF(ThresholdAge13,"&lt;"&amp;'19_Расчет_аналитики'!D2583,WeightedRevAge13)-SUMIF(ThresholdAge13,"&lt;"&amp;'19_Расчет_аналитики'!D2583,WeightedMinAge13),MAX(CapacityAge13*'01_Вводные'!$B$218*'19_Расчет_аналитики'!D2583,MeanMinAge13)))</f>
        <v/>
      </c>
      <c r="E2500">
        <f>IF(OR('06_Сеть_и_дети'!E93=0,13&lt;='01_Вводные'!$B$297),0,'06_Сеть_и_дети'!E93*IF('01_Вводные'!$B$239="Да",MeanMinAge13+'19_Расчет_аналитики'!E2583*SUMIF(ThresholdAge13,"&lt;"&amp;'19_Расчет_аналитики'!E2583,WeightedRevAge13)-SUMIF(ThresholdAge13,"&lt;"&amp;'19_Расчет_аналитики'!E2583,WeightedMinAge13),MAX(CapacityAge13*'01_Вводные'!$B$218*'19_Расчет_аналитики'!E2583,MeanMinAge13)))</f>
        <v/>
      </c>
      <c r="F2500">
        <f>IF(OR('06_Сеть_и_дети'!F93=0,13&lt;='01_Вводные'!$B$297),0,'06_Сеть_и_дети'!F93*IF('01_Вводные'!$B$239="Да",MeanMinAge13+'19_Расчет_аналитики'!F2583*SUMIF(ThresholdAge13,"&lt;"&amp;'19_Расчет_аналитики'!F2583,WeightedRevAge13)-SUMIF(ThresholdAge13,"&lt;"&amp;'19_Расчет_аналитики'!F2583,WeightedMinAge13),MAX(CapacityAge13*'01_Вводные'!$B$218*'19_Расчет_аналитики'!F2583,MeanMinAge13)))</f>
        <v/>
      </c>
      <c r="G2500">
        <f>IF(OR('06_Сеть_и_дети'!G93=0,13&lt;='01_Вводные'!$B$297),0,'06_Сеть_и_дети'!G93*IF('01_Вводные'!$B$239="Да",MeanMinAge13+'19_Расчет_аналитики'!G2583*SUMIF(ThresholdAge13,"&lt;"&amp;'19_Расчет_аналитики'!G2583,WeightedRevAge13)-SUMIF(ThresholdAge13,"&lt;"&amp;'19_Расчет_аналитики'!G2583,WeightedMinAge13),MAX(CapacityAge13*'01_Вводные'!$B$218*'19_Расчет_аналитики'!G2583,MeanMinAge13)))</f>
        <v/>
      </c>
      <c r="H2500">
        <f>IF(OR('06_Сеть_и_дети'!H93=0,13&lt;='01_Вводные'!$B$297),0,'06_Сеть_и_дети'!H93*IF('01_Вводные'!$B$239="Да",MeanMinAge13+'19_Расчет_аналитики'!H2583*SUMIF(ThresholdAge13,"&lt;"&amp;'19_Расчет_аналитики'!H2583,WeightedRevAge13)-SUMIF(ThresholdAge13,"&lt;"&amp;'19_Расчет_аналитики'!H2583,WeightedMinAge13),MAX(CapacityAge13*'01_Вводные'!$B$218*'19_Расчет_аналитики'!H2583,MeanMinAge13)))</f>
        <v/>
      </c>
      <c r="I2500">
        <f>IF(OR('06_Сеть_и_дети'!I93=0,13&lt;='01_Вводные'!$B$297),0,'06_Сеть_и_дети'!I93*IF('01_Вводные'!$B$239="Да",MeanMinAge13+'19_Расчет_аналитики'!I2583*SUMIF(ThresholdAge13,"&lt;"&amp;'19_Расчет_аналитики'!I2583,WeightedRevAge13)-SUMIF(ThresholdAge13,"&lt;"&amp;'19_Расчет_аналитики'!I2583,WeightedMinAge13),MAX(CapacityAge13*'01_Вводные'!$B$218*'19_Расчет_аналитики'!I2583,MeanMinAge13)))</f>
        <v/>
      </c>
      <c r="J2500">
        <f>IF(OR('06_Сеть_и_дети'!J93=0,13&lt;='01_Вводные'!$B$297),0,'06_Сеть_и_дети'!J93*IF('01_Вводные'!$B$239="Да",MeanMinAge13+'19_Расчет_аналитики'!J2583*SUMIF(ThresholdAge13,"&lt;"&amp;'19_Расчет_аналитики'!J2583,WeightedRevAge13)-SUMIF(ThresholdAge13,"&lt;"&amp;'19_Расчет_аналитики'!J2583,WeightedMinAge13),MAX(CapacityAge13*'01_Вводные'!$B$218*'19_Расчет_аналитики'!J2583,MeanMinAge13)))</f>
        <v/>
      </c>
      <c r="K2500">
        <f>IF(OR('06_Сеть_и_дети'!K93=0,13&lt;='01_Вводные'!$B$297),0,'06_Сеть_и_дети'!K93*IF('01_Вводные'!$B$239="Да",MeanMinAge13+'19_Расчет_аналитики'!K2583*SUMIF(ThresholdAge13,"&lt;"&amp;'19_Расчет_аналитики'!K2583,WeightedRevAge13)-SUMIF(ThresholdAge13,"&lt;"&amp;'19_Расчет_аналитики'!K2583,WeightedMinAge13),MAX(CapacityAge13*'01_Вводные'!$B$218*'19_Расчет_аналитики'!K2583,MeanMinAge13)))</f>
        <v/>
      </c>
      <c r="L2500">
        <f>IF(OR('06_Сеть_и_дети'!L93=0,13&lt;='01_Вводные'!$B$297),0,'06_Сеть_и_дети'!L93*IF('01_Вводные'!$B$239="Да",MeanMinAge13+'19_Расчет_аналитики'!L2583*SUMIF(ThresholdAge13,"&lt;"&amp;'19_Расчет_аналитики'!L2583,WeightedRevAge13)-SUMIF(ThresholdAge13,"&lt;"&amp;'19_Расчет_аналитики'!L2583,WeightedMinAge13),MAX(CapacityAge13*'01_Вводные'!$B$218*'19_Расчет_аналитики'!L2583,MeanMinAge13)))</f>
        <v/>
      </c>
      <c r="M2500">
        <f>IF(OR('06_Сеть_и_дети'!M93=0,13&lt;='01_Вводные'!$B$297),0,'06_Сеть_и_дети'!M93*IF('01_Вводные'!$B$239="Да",MeanMinAge13+'19_Расчет_аналитики'!M2583*SUMIF(ThresholdAge13,"&lt;"&amp;'19_Расчет_аналитики'!M2583,WeightedRevAge13)-SUMIF(ThresholdAge13,"&lt;"&amp;'19_Расчет_аналитики'!M2583,WeightedMinAge13),MAX(CapacityAge13*'01_Вводные'!$B$218*'19_Расчет_аналитики'!M2583,MeanMinAge13)))</f>
        <v/>
      </c>
      <c r="N2500">
        <f>IF(OR('19_Расчет_аналитики'!N2472=0,13&lt;='01_Вводные'!$B$297),0,'19_Расчет_аналитики'!N2472*IF('01_Вводные'!$B$239="Да",MeanMinAge13+'19_Расчет_аналитики'!N2583*SUMIF(ThresholdAge13,"&lt;"&amp;'19_Расчет_аналитики'!N2583,WeightedRevAge13)-SUMIF(ThresholdAge13,"&lt;"&amp;'19_Расчет_аналитики'!N2583,WeightedMinAge13),MAX(CapacityAge13*'01_Вводные'!$B$218*'19_Расчет_аналитики'!N2583,MeanMinAge13)))</f>
        <v/>
      </c>
      <c r="O2500">
        <f>IF(OR('19_Расчет_аналитики'!O2472=0,13&lt;='01_Вводные'!$B$297),0,'19_Расчет_аналитики'!O2472*IF('01_Вводные'!$B$239="Да",MeanMinAge13+'19_Расчет_аналитики'!O2583*SUMIF(ThresholdAge13,"&lt;"&amp;'19_Расчет_аналитики'!O2583,WeightedRevAge13)-SUMIF(ThresholdAge13,"&lt;"&amp;'19_Расчет_аналитики'!O2583,WeightedMinAge13),MAX(CapacityAge13*'01_Вводные'!$B$218*'19_Расчет_аналитики'!O2583,MeanMinAge13)))</f>
        <v/>
      </c>
      <c r="P2500">
        <f>IF(OR('19_Расчет_аналитики'!P2472=0,13&lt;='01_Вводные'!$B$297),0,'19_Расчет_аналитики'!P2472*IF('01_Вводные'!$B$239="Да",MeanMinAge13+'19_Расчет_аналитики'!P2583*SUMIF(ThresholdAge13,"&lt;"&amp;'19_Расчет_аналитики'!P2583,WeightedRevAge13)-SUMIF(ThresholdAge13,"&lt;"&amp;'19_Расчет_аналитики'!P2583,WeightedMinAge13),MAX(CapacityAge13*'01_Вводные'!$B$218*'19_Расчет_аналитики'!P2583,MeanMinAge13)))</f>
        <v/>
      </c>
      <c r="Q2500">
        <f>IF(OR('19_Расчет_аналитики'!Q2472=0,13&lt;='01_Вводные'!$B$297),0,'19_Расчет_аналитики'!Q2472*IF('01_Вводные'!$B$239="Да",MeanMinAge13+'19_Расчет_аналитики'!Q2583*SUMIF(ThresholdAge13,"&lt;"&amp;'19_Расчет_аналитики'!Q2583,WeightedRevAge13)-SUMIF(ThresholdAge13,"&lt;"&amp;'19_Расчет_аналитики'!Q2583,WeightedMinAge13),MAX(CapacityAge13*'01_Вводные'!$B$218*'19_Расчет_аналитики'!Q2583,MeanMinAge13)))</f>
        <v/>
      </c>
      <c r="R2500">
        <f>IF(OR('19_Расчет_аналитики'!R2472=0,13&lt;='01_Вводные'!$B$297),0,'19_Расчет_аналитики'!R2472*IF('01_Вводные'!$B$239="Да",MeanMinAge13+'19_Расчет_аналитики'!R2583*SUMIF(ThresholdAge13,"&lt;"&amp;'19_Расчет_аналитики'!R2583,WeightedRevAge13)-SUMIF(ThresholdAge13,"&lt;"&amp;'19_Расчет_аналитики'!R2583,WeightedMinAge13),MAX(CapacityAge13*'01_Вводные'!$B$218*'19_Расчет_аналитики'!R2583,MeanMinAge13)))</f>
        <v/>
      </c>
      <c r="S2500">
        <f>IF(OR('19_Расчет_аналитики'!S2472=0,13&lt;='01_Вводные'!$B$297),0,'19_Расчет_аналитики'!S2472*IF('01_Вводные'!$B$239="Да",MeanMinAge13+'19_Расчет_аналитики'!S2583*SUMIF(ThresholdAge13,"&lt;"&amp;'19_Расчет_аналитики'!S2583,WeightedRevAge13)-SUMIF(ThresholdAge13,"&lt;"&amp;'19_Расчет_аналитики'!S2583,WeightedMinAge13),MAX(CapacityAge13*'01_Вводные'!$B$218*'19_Расчет_аналитики'!S2583,MeanMinAge13)))</f>
        <v/>
      </c>
      <c r="T2500">
        <f>IF(OR('19_Расчет_аналитики'!T2472=0,13&lt;='01_Вводные'!$B$297),0,'19_Расчет_аналитики'!T2472*IF('01_Вводные'!$B$239="Да",MeanMinAge13+'19_Расчет_аналитики'!T2583*SUMIF(ThresholdAge13,"&lt;"&amp;'19_Расчет_аналитики'!T2583,WeightedRevAge13)-SUMIF(ThresholdAge13,"&lt;"&amp;'19_Расчет_аналитики'!T2583,WeightedMinAge13),MAX(CapacityAge13*'01_Вводные'!$B$218*'19_Расчет_аналитики'!T2583,MeanMinAge13)))</f>
        <v/>
      </c>
      <c r="U2500">
        <f>IF(OR('19_Расчет_аналитики'!U2472=0,13&lt;='01_Вводные'!$B$297),0,'19_Расчет_аналитики'!U2472*IF('01_Вводные'!$B$239="Да",MeanMinAge13+'19_Расчет_аналитики'!U2583*SUMIF(ThresholdAge13,"&lt;"&amp;'19_Расчет_аналитики'!U2583,WeightedRevAge13)-SUMIF(ThresholdAge13,"&lt;"&amp;'19_Расчет_аналитики'!U2583,WeightedMinAge13),MAX(CapacityAge13*'01_Вводные'!$B$218*'19_Расчет_аналитики'!U2583,MeanMinAge13)))</f>
        <v/>
      </c>
      <c r="V2500">
        <f>IF(OR('19_Расчет_аналитики'!V2472=0,13&lt;='01_Вводные'!$B$297),0,'19_Расчет_аналитики'!V2472*IF('01_Вводные'!$B$239="Да",MeanMinAge13+'19_Расчет_аналитики'!V2583*SUMIF(ThresholdAge13,"&lt;"&amp;'19_Расчет_аналитики'!V2583,WeightedRevAge13)-SUMIF(ThresholdAge13,"&lt;"&amp;'19_Расчет_аналитики'!V2583,WeightedMinAge13),MAX(CapacityAge13*'01_Вводные'!$B$218*'19_Расчет_аналитики'!V2583,MeanMinAge13)))</f>
        <v/>
      </c>
      <c r="W2500">
        <f>IF(OR('19_Расчет_аналитики'!W2472=0,13&lt;='01_Вводные'!$B$297),0,'19_Расчет_аналитики'!W2472*IF('01_Вводные'!$B$239="Да",MeanMinAge13+'19_Расчет_аналитики'!W2583*SUMIF(ThresholdAge13,"&lt;"&amp;'19_Расчет_аналитики'!W2583,WeightedRevAge13)-SUMIF(ThresholdAge13,"&lt;"&amp;'19_Расчет_аналитики'!W2583,WeightedMinAge13),MAX(CapacityAge13*'01_Вводные'!$B$218*'19_Расчет_аналитики'!W2583,MeanMinAge13)))</f>
        <v/>
      </c>
      <c r="X2500">
        <f>IF(OR('19_Расчет_аналитики'!X2472=0,13&lt;='01_Вводные'!$B$297),0,'19_Расчет_аналитики'!X2472*IF('01_Вводные'!$B$239="Да",MeanMinAge13+'19_Расчет_аналитики'!X2583*SUMIF(ThresholdAge13,"&lt;"&amp;'19_Расчет_аналитики'!X2583,WeightedRevAge13)-SUMIF(ThresholdAge13,"&lt;"&amp;'19_Расчет_аналитики'!X2583,WeightedMinAge13),MAX(CapacityAge13*'01_Вводные'!$B$218*'19_Расчет_аналитики'!X2583,MeanMinAge13)))</f>
        <v/>
      </c>
      <c r="Y2500">
        <f>IF(OR('19_Расчет_аналитики'!Y2472=0,13&lt;='01_Вводные'!$B$297),0,'19_Расчет_аналитики'!Y2472*IF('01_Вводные'!$B$239="Да",MeanMinAge13+'19_Расчет_аналитики'!Y2583*SUMIF(ThresholdAge13,"&lt;"&amp;'19_Расчет_аналитики'!Y2583,WeightedRevAge13)-SUMIF(ThresholdAge13,"&lt;"&amp;'19_Расчет_аналитики'!Y2583,WeightedMinAge13),MAX(CapacityAge13*'01_Вводные'!$B$218*'19_Расчет_аналитики'!Y2583,MeanMinAge13)))</f>
        <v/>
      </c>
      <c r="Z2500">
        <f>IF(OR('19_Расчет_аналитики'!Z2472=0,13&lt;='01_Вводные'!$B$297),0,'19_Расчет_аналитики'!Z2472*IF('01_Вводные'!$B$239="Да",MeanMinAge13+'19_Расчет_аналитики'!Z2583*SUMIF(ThresholdAge13,"&lt;"&amp;'19_Расчет_аналитики'!Z2583,WeightedRevAge13)-SUMIF(ThresholdAge13,"&lt;"&amp;'19_Расчет_аналитики'!Z2583,WeightedMinAge13),MAX(CapacityAge13*'01_Вводные'!$B$218*'19_Расчет_аналитики'!Z2583,MeanMinAge13)))</f>
        <v/>
      </c>
      <c r="AA2500">
        <f>IF(OR('19_Расчет_аналитики'!AA2472=0,13&lt;='01_Вводные'!$B$297),0,'19_Расчет_аналитики'!AA2472*IF('01_Вводные'!$B$239="Да",MeanMinAge13+'19_Расчет_аналитики'!AA2583*SUMIF(ThresholdAge13,"&lt;"&amp;'19_Расчет_аналитики'!AA2583,WeightedRevAge13)-SUMIF(ThresholdAge13,"&lt;"&amp;'19_Расчет_аналитики'!AA2583,WeightedMinAge13),MAX(CapacityAge13*'01_Вводные'!$B$218*'19_Расчет_аналитики'!AA2583,MeanMinAge13)))</f>
        <v/>
      </c>
      <c r="AB2500">
        <f>IF(OR('19_Расчет_аналитики'!AB2472=0,13&lt;='01_Вводные'!$B$297),0,'19_Расчет_аналитики'!AB2472*IF('01_Вводные'!$B$239="Да",MeanMinAge13+'19_Расчет_аналитики'!AB2583*SUMIF(ThresholdAge13,"&lt;"&amp;'19_Расчет_аналитики'!AB2583,WeightedRevAge13)-SUMIF(ThresholdAge13,"&lt;"&amp;'19_Расчет_аналитики'!AB2583,WeightedMinAge13),MAX(CapacityAge13*'01_Вводные'!$B$218*'19_Расчет_аналитики'!AB2583,MeanMinAge13)))</f>
        <v/>
      </c>
      <c r="AC2500">
        <f>IF(OR('19_Расчет_аналитики'!AC2472=0,13&lt;='01_Вводные'!$B$297),0,'19_Расчет_аналитики'!AC2472*IF('01_Вводные'!$B$239="Да",MeanMinAge13+'19_Расчет_аналитики'!AC2583*SUMIF(ThresholdAge13,"&lt;"&amp;'19_Расчет_аналитики'!AC2583,WeightedRevAge13)-SUMIF(ThresholdAge13,"&lt;"&amp;'19_Расчет_аналитики'!AC2583,WeightedMinAge13),MAX(CapacityAge13*'01_Вводные'!$B$218*'19_Расчет_аналитики'!AC2583,MeanMinAge13)))</f>
        <v/>
      </c>
      <c r="AD2500">
        <f>IF(OR('19_Расчет_аналитики'!AD2472=0,13&lt;='01_Вводные'!$B$297),0,'19_Расчет_аналитики'!AD2472*IF('01_Вводные'!$B$239="Да",MeanMinAge13+'19_Расчет_аналитики'!AD2583*SUMIF(ThresholdAge13,"&lt;"&amp;'19_Расчет_аналитики'!AD2583,WeightedRevAge13)-SUMIF(ThresholdAge13,"&lt;"&amp;'19_Расчет_аналитики'!AD2583,WeightedMinAge13),MAX(CapacityAge13*'01_Вводные'!$B$218*'19_Расчет_аналитики'!AD2583,MeanMinAge13)))</f>
        <v/>
      </c>
      <c r="AE2500">
        <f>IF(OR('19_Расчет_аналитики'!AE2472=0,13&lt;='01_Вводные'!$B$297),0,'19_Расчет_аналитики'!AE2472*IF('01_Вводные'!$B$239="Да",MeanMinAge13+'19_Расчет_аналитики'!AE2583*SUMIF(ThresholdAge13,"&lt;"&amp;'19_Расчет_аналитики'!AE2583,WeightedRevAge13)-SUMIF(ThresholdAge13,"&lt;"&amp;'19_Расчет_аналитики'!AE2583,WeightedMinAge13),MAX(CapacityAge13*'01_Вводные'!$B$218*'19_Расчет_аналитики'!AE2583,MeanMinAge13)))</f>
        <v/>
      </c>
      <c r="AF2500">
        <f>IF(OR('19_Расчет_аналитики'!AF2472=0,13&lt;='01_Вводные'!$B$297),0,'19_Расчет_аналитики'!AF2472*IF('01_Вводные'!$B$239="Да",MeanMinAge13+'19_Расчет_аналитики'!AF2583*SUMIF(ThresholdAge13,"&lt;"&amp;'19_Расчет_аналитики'!AF2583,WeightedRevAge13)-SUMIF(ThresholdAge13,"&lt;"&amp;'19_Расчет_аналитики'!AF2583,WeightedMinAge13),MAX(CapacityAge13*'01_Вводные'!$B$218*'19_Расчет_аналитики'!AF2583,MeanMinAge13)))</f>
        <v/>
      </c>
      <c r="AG2500">
        <f>IF(OR('19_Расчет_аналитики'!AG2472=0,13&lt;='01_Вводные'!$B$297),0,'19_Расчет_аналитики'!AG2472*IF('01_Вводные'!$B$239="Да",MeanMinAge13+'19_Расчет_аналитики'!AG2583*SUMIF(ThresholdAge13,"&lt;"&amp;'19_Расчет_аналитики'!AG2583,WeightedRevAge13)-SUMIF(ThresholdAge13,"&lt;"&amp;'19_Расчет_аналитики'!AG2583,WeightedMinAge13),MAX(CapacityAge13*'01_Вводные'!$B$218*'19_Расчет_аналитики'!AG2583,MeanMinAge13)))</f>
        <v/>
      </c>
      <c r="AH2500">
        <f>IF(OR('19_Расчет_аналитики'!AH2472=0,13&lt;='01_Вводные'!$B$297),0,'19_Расчет_аналитики'!AH2472*IF('01_Вводные'!$B$239="Да",MeanMinAge13+'19_Расчет_аналитики'!AH2583*SUMIF(ThresholdAge13,"&lt;"&amp;'19_Расчет_аналитики'!AH2583,WeightedRevAge13)-SUMIF(ThresholdAge13,"&lt;"&amp;'19_Расчет_аналитики'!AH2583,WeightedMinAge13),MAX(CapacityAge13*'01_Вводные'!$B$218*'19_Расчет_аналитики'!AH2583,MeanMinAge13)))</f>
        <v/>
      </c>
      <c r="AI2500">
        <f>IF(OR('19_Расчет_аналитики'!AI2472=0,13&lt;='01_Вводные'!$B$297),0,'19_Расчет_аналитики'!AI2472*IF('01_Вводные'!$B$239="Да",MeanMinAge13+'19_Расчет_аналитики'!AI2583*SUMIF(ThresholdAge13,"&lt;"&amp;'19_Расчет_аналитики'!AI2583,WeightedRevAge13)-SUMIF(ThresholdAge13,"&lt;"&amp;'19_Расчет_аналитики'!AI2583,WeightedMinAge13),MAX(CapacityAge13*'01_Вводные'!$B$218*'19_Расчет_аналитики'!AI2583,MeanMinAge13)))</f>
        <v/>
      </c>
      <c r="AJ2500">
        <f>IF(OR('19_Расчет_аналитики'!AJ2472=0,13&lt;='01_Вводные'!$B$297),0,'19_Расчет_аналитики'!AJ2472*IF('01_Вводные'!$B$239="Да",MeanMinAge13+'19_Расчет_аналитики'!AJ2583*SUMIF(ThresholdAge13,"&lt;"&amp;'19_Расчет_аналитики'!AJ2583,WeightedRevAge13)-SUMIF(ThresholdAge13,"&lt;"&amp;'19_Расчет_аналитики'!AJ2583,WeightedMinAge13),MAX(CapacityAge13*'01_Вводные'!$B$218*'19_Расчет_аналитики'!AJ2583,MeanMinAge13)))</f>
        <v/>
      </c>
      <c r="AK2500">
        <f>IF(OR('19_Расчет_аналитики'!AK2472=0,13&lt;='01_Вводные'!$B$297),0,'19_Расчет_аналитики'!AK2472*IF('01_Вводные'!$B$239="Да",MeanMinAge13+'19_Расчет_аналитики'!AK2583*SUMIF(ThresholdAge13,"&lt;"&amp;'19_Расчет_аналитики'!AK2583,WeightedRevAge13)-SUMIF(ThresholdAge13,"&lt;"&amp;'19_Расчет_аналитики'!AK2583,WeightedMinAge13),MAX(CapacityAge13*'01_Вводные'!$B$218*'19_Расчет_аналитики'!AK2583,MeanMinAge13)))</f>
        <v/>
      </c>
      <c r="AL2500">
        <f>IF(OR('19_Расчет_аналитики'!AL2472=0,13&lt;='01_Вводные'!$B$297),0,'19_Расчет_аналитики'!AL2472*IF('01_Вводные'!$B$239="Да",MeanMinAge13+'19_Расчет_аналитики'!AL2583*SUMIF(ThresholdAge13,"&lt;"&amp;'19_Расчет_аналитики'!AL2583,WeightedRevAge13)-SUMIF(ThresholdAge13,"&lt;"&amp;'19_Расчет_аналитики'!AL2583,WeightedMinAge13),MAX(CapacityAge13*'01_Вводные'!$B$218*'19_Расчет_аналитики'!AL2583,MeanMinAge13)))</f>
        <v/>
      </c>
      <c r="AM2500">
        <f>IF(OR('19_Расчет_аналитики'!AM2472=0,13&lt;='01_Вводные'!$B$297),0,'19_Расчет_аналитики'!AM2472*IF('01_Вводные'!$B$239="Да",MeanMinAge13+'19_Расчет_аналитики'!AM2583*SUMIF(ThresholdAge13,"&lt;"&amp;'19_Расчет_аналитики'!AM2583,WeightedRevAge13)-SUMIF(ThresholdAge13,"&lt;"&amp;'19_Расчет_аналитики'!AM2583,WeightedMinAge13),MAX(CapacityAge13*'01_Вводные'!$B$218*'19_Расчет_аналитики'!AM2583,MeanMinAge13)))</f>
        <v/>
      </c>
      <c r="AN2500">
        <f>IF(OR('19_Расчет_аналитики'!AN2472=0,13&lt;='01_Вводные'!$B$297),0,'19_Расчет_аналитики'!AN2472*IF('01_Вводные'!$B$239="Да",MeanMinAge13+'19_Расчет_аналитики'!AN2583*SUMIF(ThresholdAge13,"&lt;"&amp;'19_Расчет_аналитики'!AN2583,WeightedRevAge13)-SUMIF(ThresholdAge13,"&lt;"&amp;'19_Расчет_аналитики'!AN2583,WeightedMinAge13),MAX(CapacityAge13*'01_Вводные'!$B$218*'19_Расчет_аналитики'!AN2583,MeanMinAge13)))</f>
        <v/>
      </c>
      <c r="AO2500">
        <f>IF(OR('19_Расчет_аналитики'!AO2472=0,13&lt;='01_Вводные'!$B$297),0,'19_Расчет_аналитики'!AO2472*IF('01_Вводные'!$B$239="Да",MeanMinAge13+'19_Расчет_аналитики'!AO2583*SUMIF(ThresholdAge13,"&lt;"&amp;'19_Расчет_аналитики'!AO2583,WeightedRevAge13)-SUMIF(ThresholdAge13,"&lt;"&amp;'19_Расчет_аналитики'!AO2583,WeightedMinAge13),MAX(CapacityAge13*'01_Вводные'!$B$218*'19_Расчет_аналитики'!AO2583,MeanMinAge13)))</f>
        <v/>
      </c>
      <c r="AP2500">
        <f>IF(OR('19_Расчет_аналитики'!AP2472=0,13&lt;='01_Вводные'!$B$297),0,'19_Расчет_аналитики'!AP2472*IF('01_Вводные'!$B$239="Да",MeanMinAge13+'19_Расчет_аналитики'!AP2583*SUMIF(ThresholdAge13,"&lt;"&amp;'19_Расчет_аналитики'!AP2583,WeightedRevAge13)-SUMIF(ThresholdAge13,"&lt;"&amp;'19_Расчет_аналитики'!AP2583,WeightedMinAge13),MAX(CapacityAge13*'01_Вводные'!$B$218*'19_Расчет_аналитики'!AP2583,MeanMinAge13)))</f>
        <v/>
      </c>
      <c r="AQ2500">
        <f>IF(OR('19_Расчет_аналитики'!AQ2472=0,13&lt;='01_Вводные'!$B$297),0,'19_Расчет_аналитики'!AQ2472*IF('01_Вводные'!$B$239="Да",MeanMinAge13+'19_Расчет_аналитики'!AQ2583*SUMIF(ThresholdAge13,"&lt;"&amp;'19_Расчет_аналитики'!AQ2583,WeightedRevAge13)-SUMIF(ThresholdAge13,"&lt;"&amp;'19_Расчет_аналитики'!AQ2583,WeightedMinAge13),MAX(CapacityAge13*'01_Вводные'!$B$218*'19_Расчет_аналитики'!AQ2583,MeanMinAge13)))</f>
        <v/>
      </c>
      <c r="AR2500">
        <f>IF(OR('19_Расчет_аналитики'!AR2472=0,13&lt;='01_Вводные'!$B$297),0,'19_Расчет_аналитики'!AR2472*IF('01_Вводные'!$B$239="Да",MeanMinAge13+'19_Расчет_аналитики'!AR2583*SUMIF(ThresholdAge13,"&lt;"&amp;'19_Расчет_аналитики'!AR2583,WeightedRevAge13)-SUMIF(ThresholdAge13,"&lt;"&amp;'19_Расчет_аналитики'!AR2583,WeightedMinAge13),MAX(CapacityAge13*'01_Вводные'!$B$218*'19_Расчет_аналитики'!AR2583,MeanMinAge13)))</f>
        <v/>
      </c>
      <c r="AS2500">
        <f>IF(OR('19_Расчет_аналитики'!AS2472=0,13&lt;='01_Вводные'!$B$297),0,'19_Расчет_аналитики'!AS2472*IF('01_Вводные'!$B$239="Да",MeanMinAge13+'19_Расчет_аналитики'!AS2583*SUMIF(ThresholdAge13,"&lt;"&amp;'19_Расчет_аналитики'!AS2583,WeightedRevAge13)-SUMIF(ThresholdAge13,"&lt;"&amp;'19_Расчет_аналитики'!AS2583,WeightedMinAge13),MAX(CapacityAge13*'01_Вводные'!$B$218*'19_Расчет_аналитики'!AS2583,MeanMinAge13)))</f>
        <v/>
      </c>
      <c r="AT2500">
        <f>IF(OR('19_Расчет_аналитики'!AT2472=0,13&lt;='01_Вводные'!$B$297),0,'19_Расчет_аналитики'!AT2472*IF('01_Вводные'!$B$239="Да",MeanMinAge13+'19_Расчет_аналитики'!AT2583*SUMIF(ThresholdAge13,"&lt;"&amp;'19_Расчет_аналитики'!AT2583,WeightedRevAge13)-SUMIF(ThresholdAge13,"&lt;"&amp;'19_Расчет_аналитики'!AT2583,WeightedMinAge13),MAX(CapacityAge13*'01_Вводные'!$B$218*'19_Расчет_аналитики'!AT2583,MeanMinAge13)))</f>
        <v/>
      </c>
      <c r="AU2500">
        <f>IF(OR('19_Расчет_аналитики'!AU2472=0,13&lt;='01_Вводные'!$B$297),0,'19_Расчет_аналитики'!AU2472*IF('01_Вводные'!$B$239="Да",MeanMinAge13+'19_Расчет_аналитики'!AU2583*SUMIF(ThresholdAge13,"&lt;"&amp;'19_Расчет_аналитики'!AU2583,WeightedRevAge13)-SUMIF(ThresholdAge13,"&lt;"&amp;'19_Расчет_аналитики'!AU2583,WeightedMinAge13),MAX(CapacityAge13*'01_Вводные'!$B$218*'19_Расчет_аналитики'!AU2583,MeanMinAge13)))</f>
        <v/>
      </c>
      <c r="AV2500">
        <f>IF(OR('19_Расчет_аналитики'!AV2472=0,13&lt;='01_Вводные'!$B$297),0,'19_Расчет_аналитики'!AV2472*IF('01_Вводные'!$B$239="Да",MeanMinAge13+'19_Расчет_аналитики'!AV2583*SUMIF(ThresholdAge13,"&lt;"&amp;'19_Расчет_аналитики'!AV2583,WeightedRevAge13)-SUMIF(ThresholdAge13,"&lt;"&amp;'19_Расчет_аналитики'!AV2583,WeightedMinAge13),MAX(CapacityAge13*'01_Вводные'!$B$218*'19_Расчет_аналитики'!AV2583,MeanMinAge13)))</f>
        <v/>
      </c>
      <c r="AW2500">
        <f>IF(OR('19_Расчет_аналитики'!AW2472=0,13&lt;='01_Вводные'!$B$297),0,'19_Расчет_аналитики'!AW2472*IF('01_Вводные'!$B$239="Да",MeanMinAge13+'19_Расчет_аналитики'!AW2583*SUMIF(ThresholdAge13,"&lt;"&amp;'19_Расчет_аналитики'!AW2583,WeightedRevAge13)-SUMIF(ThresholdAge13,"&lt;"&amp;'19_Расчет_аналитики'!AW2583,WeightedMinAge13),MAX(CapacityAge13*'01_Вводные'!$B$218*'19_Расчет_аналитики'!AW2583,MeanMinAge13)))</f>
        <v/>
      </c>
      <c r="AX2500">
        <f>IF(OR('19_Расчет_аналитики'!AX2472=0,13&lt;='01_Вводные'!$B$297),0,'19_Расчет_аналитики'!AX2472*IF('01_Вводные'!$B$239="Да",MeanMinAge13+'19_Расчет_аналитики'!AX2583*SUMIF(ThresholdAge13,"&lt;"&amp;'19_Расчет_аналитики'!AX2583,WeightedRevAge13)-SUMIF(ThresholdAge13,"&lt;"&amp;'19_Расчет_аналитики'!AX2583,WeightedMinAge13),MAX(CapacityAge13*'01_Вводные'!$B$218*'19_Расчет_аналитики'!AX2583,MeanMinAge13)))</f>
        <v/>
      </c>
      <c r="AY2500">
        <f>IF(OR('19_Расчет_аналитики'!AY2472=0,13&lt;='01_Вводные'!$B$297),0,'19_Расчет_аналитики'!AY2472*IF('01_Вводные'!$B$239="Да",MeanMinAge13+'19_Расчет_аналитики'!AY2583*SUMIF(ThresholdAge13,"&lt;"&amp;'19_Расчет_аналитики'!AY2583,WeightedRevAge13)-SUMIF(ThresholdAge13,"&lt;"&amp;'19_Расчет_аналитики'!AY2583,WeightedMinAge13),MAX(CapacityAge13*'01_Вводные'!$B$218*'19_Расчет_аналитики'!AY2583,MeanMinAge13)))</f>
        <v/>
      </c>
      <c r="AZ2500">
        <f>IF(OR('19_Расчет_аналитики'!AZ2472=0,13&lt;='01_Вводные'!$B$297),0,'19_Расчет_аналитики'!AZ2472*IF('01_Вводные'!$B$239="Да",MeanMinAge13+'19_Расчет_аналитики'!AZ2583*SUMIF(ThresholdAge13,"&lt;"&amp;'19_Расчет_аналитики'!AZ2583,WeightedRevAge13)-SUMIF(ThresholdAge13,"&lt;"&amp;'19_Расчет_аналитики'!AZ2583,WeightedMinAge13),MAX(CapacityAge13*'01_Вводные'!$B$218*'19_Расчет_аналитики'!AZ2583,MeanMinAge13)))</f>
        <v/>
      </c>
      <c r="BA2500">
        <f>IF(OR('19_Расчет_аналитики'!BA2472=0,13&lt;='01_Вводные'!$B$297),0,'19_Расчет_аналитики'!BA2472*IF('01_Вводные'!$B$239="Да",MeanMinAge13+'19_Расчет_аналитики'!BA2583*SUMIF(ThresholdAge13,"&lt;"&amp;'19_Расчет_аналитики'!BA2583,WeightedRevAge13)-SUMIF(ThresholdAge13,"&lt;"&amp;'19_Расчет_аналитики'!BA2583,WeightedMinAge13),MAX(CapacityAge13*'01_Вводные'!$B$218*'19_Расчет_аналитики'!BA2583,MeanMinAge13)))</f>
        <v/>
      </c>
      <c r="BB2500">
        <f>IF(OR('19_Расчет_аналитики'!BB2472=0,13&lt;='01_Вводные'!$B$297),0,'19_Расчет_аналитики'!BB2472*IF('01_Вводные'!$B$239="Да",MeanMinAge13+'19_Расчет_аналитики'!BB2583*SUMIF(ThresholdAge13,"&lt;"&amp;'19_Расчет_аналитики'!BB2583,WeightedRevAge13)-SUMIF(ThresholdAge13,"&lt;"&amp;'19_Расчет_аналитики'!BB2583,WeightedMinAge13),MAX(CapacityAge13*'01_Вводные'!$B$218*'19_Расчет_аналитики'!BB2583,MeanMinAge13)))</f>
        <v/>
      </c>
      <c r="BC2500">
        <f>IF(OR('19_Расчет_аналитики'!BC2472=0,13&lt;='01_Вводные'!$B$297),0,'19_Расчет_аналитики'!BC2472*IF('01_Вводные'!$B$239="Да",MeanMinAge13+'19_Расчет_аналитики'!BC2583*SUMIF(ThresholdAge13,"&lt;"&amp;'19_Расчет_аналитики'!BC2583,WeightedRevAge13)-SUMIF(ThresholdAge13,"&lt;"&amp;'19_Расчет_аналитики'!BC2583,WeightedMinAge13),MAX(CapacityAge13*'01_Вводные'!$B$218*'19_Расчет_аналитики'!BC2583,MeanMinAge13)))</f>
        <v/>
      </c>
      <c r="BD2500">
        <f>IF(OR('19_Расчет_аналитики'!BD2472=0,13&lt;='01_Вводные'!$B$297),0,'19_Расчет_аналитики'!BD2472*IF('01_Вводные'!$B$239="Да",MeanMinAge13+'19_Расчет_аналитики'!BD2583*SUMIF(ThresholdAge13,"&lt;"&amp;'19_Расчет_аналитики'!BD2583,WeightedRevAge13)-SUMIF(ThresholdAge13,"&lt;"&amp;'19_Расчет_аналитики'!BD2583,WeightedMinAge13),MAX(CapacityAge13*'01_Вводные'!$B$218*'19_Расчет_аналитики'!BD2583,MeanMinAge13)))</f>
        <v/>
      </c>
      <c r="BE2500">
        <f>IF(OR('19_Расчет_аналитики'!BE2472=0,13&lt;='01_Вводные'!$B$297),0,'19_Расчет_аналитики'!BE2472*IF('01_Вводные'!$B$239="Да",MeanMinAge13+'19_Расчет_аналитики'!BE2583*SUMIF(ThresholdAge13,"&lt;"&amp;'19_Расчет_аналитики'!BE2583,WeightedRevAge13)-SUMIF(ThresholdAge13,"&lt;"&amp;'19_Расчет_аналитики'!BE2583,WeightedMinAge13),MAX(CapacityAge13*'01_Вводные'!$B$218*'19_Расчет_аналитики'!BE2583,MeanMinAge13)))</f>
        <v/>
      </c>
      <c r="BF2500">
        <f>IF(OR('19_Расчет_аналитики'!BF2472=0,13&lt;='01_Вводные'!$B$297),0,'19_Расчет_аналитики'!BF2472*IF('01_Вводные'!$B$239="Да",MeanMinAge13+'19_Расчет_аналитики'!BF2583*SUMIF(ThresholdAge13,"&lt;"&amp;'19_Расчет_аналитики'!BF2583,WeightedRevAge13)-SUMIF(ThresholdAge13,"&lt;"&amp;'19_Расчет_аналитики'!BF2583,WeightedMinAge13),MAX(CapacityAge13*'01_Вводные'!$B$218*'19_Расчет_аналитики'!BF2583,MeanMinAge13)))</f>
        <v/>
      </c>
      <c r="BG2500">
        <f>IF(OR('19_Расчет_аналитики'!BG2472=0,13&lt;='01_Вводные'!$B$297),0,'19_Расчет_аналитики'!BG2472*IF('01_Вводные'!$B$239="Да",MeanMinAge13+'19_Расчет_аналитики'!BG2583*SUMIF(ThresholdAge13,"&lt;"&amp;'19_Расчет_аналитики'!BG2583,WeightedRevAge13)-SUMIF(ThresholdAge13,"&lt;"&amp;'19_Расчет_аналитики'!BG2583,WeightedMinAge13),MAX(CapacityAge13*'01_Вводные'!$B$218*'19_Расчет_аналитики'!BG2583,MeanMinAge13)))</f>
        <v/>
      </c>
      <c r="BH2500">
        <f>IF(OR('19_Расчет_аналитики'!BH2472=0,13&lt;='01_Вводные'!$B$297),0,'19_Расчет_аналитики'!BH2472*IF('01_Вводные'!$B$239="Да",MeanMinAge13+'19_Расчет_аналитики'!BH2583*SUMIF(ThresholdAge13,"&lt;"&amp;'19_Расчет_аналитики'!BH2583,WeightedRevAge13)-SUMIF(ThresholdAge13,"&lt;"&amp;'19_Расчет_аналитики'!BH2583,WeightedMinAge13),MAX(CapacityAge13*'01_Вводные'!$B$218*'19_Расчет_аналитики'!BH2583,MeanMinAge13)))</f>
        <v/>
      </c>
      <c r="BI2500">
        <f>IF(OR('19_Расчет_аналитики'!BI2472=0,13&lt;='01_Вводные'!$B$297),0,'19_Расчет_аналитики'!BI2472*IF('01_Вводные'!$B$239="Да",MeanMinAge13+'19_Расчет_аналитики'!BI2583*SUMIF(ThresholdAge13,"&lt;"&amp;'19_Расчет_аналитики'!BI2583,WeightedRevAge13)-SUMIF(ThresholdAge13,"&lt;"&amp;'19_Расчет_аналитики'!BI2583,WeightedMinAge13),MAX(CapacityAge13*'01_Вводные'!$B$218*'19_Расчет_аналитики'!BI2583,MeanMinAge13)))</f>
        <v/>
      </c>
      <c r="BJ2500">
        <f>IF(OR('19_Расчет_аналитики'!BJ2472=0,13&lt;='01_Вводные'!$B$297),0,'19_Расчет_аналитики'!BJ2472*IF('01_Вводные'!$B$239="Да",MeanMinAge13+'19_Расчет_аналитики'!BJ2583*SUMIF(ThresholdAge13,"&lt;"&amp;'19_Расчет_аналитики'!BJ2583,WeightedRevAge13)-SUMIF(ThresholdAge13,"&lt;"&amp;'19_Расчет_аналитики'!BJ2583,WeightedMinAge13),MAX(CapacityAge13*'01_Вводные'!$B$218*'19_Расчет_аналитики'!BJ2583,MeanMinAge13)))</f>
        <v/>
      </c>
      <c r="BK2500">
        <f>IF(OR('19_Расчет_аналитики'!BK2472=0,13&lt;='01_Вводные'!$B$297),0,'19_Расчет_аналитики'!BK2472*IF('01_Вводные'!$B$239="Да",MeanMinAge13+'19_Расчет_аналитики'!BK2583*SUMIF(ThresholdAge13,"&lt;"&amp;'19_Расчет_аналитики'!BK2583,WeightedRevAge13)-SUMIF(ThresholdAge13,"&lt;"&amp;'19_Расчет_аналитики'!BK2583,WeightedMinAge13),MAX(CapacityAge13*'01_Вводные'!$B$218*'19_Расчет_аналитики'!BK2583,MeanMinAge13)))</f>
        <v/>
      </c>
      <c r="BL2500">
        <f>IF(OR('19_Расчет_аналитики'!BL2472=0,13&lt;='01_Вводные'!$B$297),0,'19_Расчет_аналитики'!BL2472*IF('01_Вводные'!$B$239="Да",MeanMinAge13+'19_Расчет_аналитики'!BL2583*SUMIF(ThresholdAge13,"&lt;"&amp;'19_Расчет_аналитики'!BL2583,WeightedRevAge13)-SUMIF(ThresholdAge13,"&lt;"&amp;'19_Расчет_аналитики'!BL2583,WeightedMinAge13),MAX(CapacityAge13*'01_Вводные'!$B$218*'19_Расчет_аналитики'!BL2583,MeanMinAge13)))</f>
        <v/>
      </c>
      <c r="BM2500">
        <f>IF(OR('19_Расчет_аналитики'!BM2472=0,13&lt;='01_Вводные'!$B$297),0,'19_Расчет_аналитики'!BM2472*IF('01_Вводные'!$B$239="Да",MeanMinAge13+'19_Расчет_аналитики'!BM2583*SUMIF(ThresholdAge13,"&lt;"&amp;'19_Расчет_аналитики'!BM2583,WeightedRevAge13)-SUMIF(ThresholdAge13,"&lt;"&amp;'19_Расчет_аналитики'!BM2583,WeightedMinAge13),MAX(CapacityAge13*'01_Вводные'!$B$218*'19_Расчет_аналитики'!BM2583,MeanMinAge13)))</f>
        <v/>
      </c>
      <c r="BN2500">
        <f>IF(OR('19_Расчет_аналитики'!BN2472=0,13&lt;='01_Вводные'!$B$297),0,'19_Расчет_аналитики'!BN2472*IF('01_Вводные'!$B$239="Да",MeanMinAge13+'19_Расчет_аналитики'!BN2583*SUMIF(ThresholdAge13,"&lt;"&amp;'19_Расчет_аналитики'!BN2583,WeightedRevAge13)-SUMIF(ThresholdAge13,"&lt;"&amp;'19_Расчет_аналитики'!BN2583,WeightedMinAge13),MAX(CapacityAge13*'01_Вводные'!$B$218*'19_Расчет_аналитики'!BN2583,MeanMinAge13)))</f>
        <v/>
      </c>
      <c r="BO2500">
        <f>IF(OR('19_Расчет_аналитики'!BO2472=0,13&lt;='01_Вводные'!$B$297),0,'19_Расчет_аналитики'!BO2472*IF('01_Вводные'!$B$239="Да",MeanMinAge13+'19_Расчет_аналитики'!BO2583*SUMIF(ThresholdAge13,"&lt;"&amp;'19_Расчет_аналитики'!BO2583,WeightedRevAge13)-SUMIF(ThresholdAge13,"&lt;"&amp;'19_Расчет_аналитики'!BO2583,WeightedMinAge13),MAX(CapacityAge13*'01_Вводные'!$B$218*'19_Расчет_аналитики'!BO2583,MeanMinAge13)))</f>
        <v/>
      </c>
    </row>
    <row r="2501">
      <c r="B2501">
        <f>IF(OR('06_Сеть_и_дети'!B94=0,14&lt;='01_Вводные'!$B$297),0,'06_Сеть_и_дети'!B94*IF('01_Вводные'!$B$239="Да",MeanMinAge14+'19_Расчет_аналитики'!B2583*SUMIF(ThresholdAge14,"&lt;"&amp;'19_Расчет_аналитики'!B2583,WeightedRevAge14)-SUMIF(ThresholdAge14,"&lt;"&amp;'19_Расчет_аналитики'!B2583,WeightedMinAge14),MAX(CapacityAge14*'01_Вводные'!$B$218*'19_Расчет_аналитики'!B2583,MeanMinAge14)))</f>
        <v/>
      </c>
      <c r="C2501">
        <f>IF(OR('06_Сеть_и_дети'!C94=0,14&lt;='01_Вводные'!$B$297),0,'06_Сеть_и_дети'!C94*IF('01_Вводные'!$B$239="Да",MeanMinAge14+'19_Расчет_аналитики'!C2583*SUMIF(ThresholdAge14,"&lt;"&amp;'19_Расчет_аналитики'!C2583,WeightedRevAge14)-SUMIF(ThresholdAge14,"&lt;"&amp;'19_Расчет_аналитики'!C2583,WeightedMinAge14),MAX(CapacityAge14*'01_Вводные'!$B$218*'19_Расчет_аналитики'!C2583,MeanMinAge14)))</f>
        <v/>
      </c>
      <c r="D2501">
        <f>IF(OR('06_Сеть_и_дети'!D94=0,14&lt;='01_Вводные'!$B$297),0,'06_Сеть_и_дети'!D94*IF('01_Вводные'!$B$239="Да",MeanMinAge14+'19_Расчет_аналитики'!D2583*SUMIF(ThresholdAge14,"&lt;"&amp;'19_Расчет_аналитики'!D2583,WeightedRevAge14)-SUMIF(ThresholdAge14,"&lt;"&amp;'19_Расчет_аналитики'!D2583,WeightedMinAge14),MAX(CapacityAge14*'01_Вводные'!$B$218*'19_Расчет_аналитики'!D2583,MeanMinAge14)))</f>
        <v/>
      </c>
      <c r="E2501">
        <f>IF(OR('06_Сеть_и_дети'!E94=0,14&lt;='01_Вводные'!$B$297),0,'06_Сеть_и_дети'!E94*IF('01_Вводные'!$B$239="Да",MeanMinAge14+'19_Расчет_аналитики'!E2583*SUMIF(ThresholdAge14,"&lt;"&amp;'19_Расчет_аналитики'!E2583,WeightedRevAge14)-SUMIF(ThresholdAge14,"&lt;"&amp;'19_Расчет_аналитики'!E2583,WeightedMinAge14),MAX(CapacityAge14*'01_Вводные'!$B$218*'19_Расчет_аналитики'!E2583,MeanMinAge14)))</f>
        <v/>
      </c>
      <c r="F2501">
        <f>IF(OR('06_Сеть_и_дети'!F94=0,14&lt;='01_Вводные'!$B$297),0,'06_Сеть_и_дети'!F94*IF('01_Вводные'!$B$239="Да",MeanMinAge14+'19_Расчет_аналитики'!F2583*SUMIF(ThresholdAge14,"&lt;"&amp;'19_Расчет_аналитики'!F2583,WeightedRevAge14)-SUMIF(ThresholdAge14,"&lt;"&amp;'19_Расчет_аналитики'!F2583,WeightedMinAge14),MAX(CapacityAge14*'01_Вводные'!$B$218*'19_Расчет_аналитики'!F2583,MeanMinAge14)))</f>
        <v/>
      </c>
      <c r="G2501">
        <f>IF(OR('06_Сеть_и_дети'!G94=0,14&lt;='01_Вводные'!$B$297),0,'06_Сеть_и_дети'!G94*IF('01_Вводные'!$B$239="Да",MeanMinAge14+'19_Расчет_аналитики'!G2583*SUMIF(ThresholdAge14,"&lt;"&amp;'19_Расчет_аналитики'!G2583,WeightedRevAge14)-SUMIF(ThresholdAge14,"&lt;"&amp;'19_Расчет_аналитики'!G2583,WeightedMinAge14),MAX(CapacityAge14*'01_Вводные'!$B$218*'19_Расчет_аналитики'!G2583,MeanMinAge14)))</f>
        <v/>
      </c>
      <c r="H2501">
        <f>IF(OR('06_Сеть_и_дети'!H94=0,14&lt;='01_Вводные'!$B$297),0,'06_Сеть_и_дети'!H94*IF('01_Вводные'!$B$239="Да",MeanMinAge14+'19_Расчет_аналитики'!H2583*SUMIF(ThresholdAge14,"&lt;"&amp;'19_Расчет_аналитики'!H2583,WeightedRevAge14)-SUMIF(ThresholdAge14,"&lt;"&amp;'19_Расчет_аналитики'!H2583,WeightedMinAge14),MAX(CapacityAge14*'01_Вводные'!$B$218*'19_Расчет_аналитики'!H2583,MeanMinAge14)))</f>
        <v/>
      </c>
      <c r="I2501">
        <f>IF(OR('06_Сеть_и_дети'!I94=0,14&lt;='01_Вводные'!$B$297),0,'06_Сеть_и_дети'!I94*IF('01_Вводные'!$B$239="Да",MeanMinAge14+'19_Расчет_аналитики'!I2583*SUMIF(ThresholdAge14,"&lt;"&amp;'19_Расчет_аналитики'!I2583,WeightedRevAge14)-SUMIF(ThresholdAge14,"&lt;"&amp;'19_Расчет_аналитики'!I2583,WeightedMinAge14),MAX(CapacityAge14*'01_Вводные'!$B$218*'19_Расчет_аналитики'!I2583,MeanMinAge14)))</f>
        <v/>
      </c>
      <c r="J2501">
        <f>IF(OR('06_Сеть_и_дети'!J94=0,14&lt;='01_Вводные'!$B$297),0,'06_Сеть_и_дети'!J94*IF('01_Вводные'!$B$239="Да",MeanMinAge14+'19_Расчет_аналитики'!J2583*SUMIF(ThresholdAge14,"&lt;"&amp;'19_Расчет_аналитики'!J2583,WeightedRevAge14)-SUMIF(ThresholdAge14,"&lt;"&amp;'19_Расчет_аналитики'!J2583,WeightedMinAge14),MAX(CapacityAge14*'01_Вводные'!$B$218*'19_Расчет_аналитики'!J2583,MeanMinAge14)))</f>
        <v/>
      </c>
      <c r="K2501">
        <f>IF(OR('06_Сеть_и_дети'!K94=0,14&lt;='01_Вводные'!$B$297),0,'06_Сеть_и_дети'!K94*IF('01_Вводные'!$B$239="Да",MeanMinAge14+'19_Расчет_аналитики'!K2583*SUMIF(ThresholdAge14,"&lt;"&amp;'19_Расчет_аналитики'!K2583,WeightedRevAge14)-SUMIF(ThresholdAge14,"&lt;"&amp;'19_Расчет_аналитики'!K2583,WeightedMinAge14),MAX(CapacityAge14*'01_Вводные'!$B$218*'19_Расчет_аналитики'!K2583,MeanMinAge14)))</f>
        <v/>
      </c>
      <c r="L2501">
        <f>IF(OR('06_Сеть_и_дети'!L94=0,14&lt;='01_Вводные'!$B$297),0,'06_Сеть_и_дети'!L94*IF('01_Вводные'!$B$239="Да",MeanMinAge14+'19_Расчет_аналитики'!L2583*SUMIF(ThresholdAge14,"&lt;"&amp;'19_Расчет_аналитики'!L2583,WeightedRevAge14)-SUMIF(ThresholdAge14,"&lt;"&amp;'19_Расчет_аналитики'!L2583,WeightedMinAge14),MAX(CapacityAge14*'01_Вводные'!$B$218*'19_Расчет_аналитики'!L2583,MeanMinAge14)))</f>
        <v/>
      </c>
      <c r="M2501">
        <f>IF(OR('06_Сеть_и_дети'!M94=0,14&lt;='01_Вводные'!$B$297),0,'06_Сеть_и_дети'!M94*IF('01_Вводные'!$B$239="Да",MeanMinAge14+'19_Расчет_аналитики'!M2583*SUMIF(ThresholdAge14,"&lt;"&amp;'19_Расчет_аналитики'!M2583,WeightedRevAge14)-SUMIF(ThresholdAge14,"&lt;"&amp;'19_Расчет_аналитики'!M2583,WeightedMinAge14),MAX(CapacityAge14*'01_Вводные'!$B$218*'19_Расчет_аналитики'!M2583,MeanMinAge14)))</f>
        <v/>
      </c>
      <c r="N2501">
        <f>IF(OR('06_Сеть_и_дети'!N94=0,14&lt;='01_Вводные'!$B$297),0,'06_Сеть_и_дети'!N94*IF('01_Вводные'!$B$239="Да",MeanMinAge14+'19_Расчет_аналитики'!N2583*SUMIF(ThresholdAge14,"&lt;"&amp;'19_Расчет_аналитики'!N2583,WeightedRevAge14)-SUMIF(ThresholdAge14,"&lt;"&amp;'19_Расчет_аналитики'!N2583,WeightedMinAge14),MAX(CapacityAge14*'01_Вводные'!$B$218*'19_Расчет_аналитики'!N2583,MeanMinAge14)))</f>
        <v/>
      </c>
      <c r="O2501">
        <f>IF(OR('19_Расчет_аналитики'!O2473=0,14&lt;='01_Вводные'!$B$297),0,'19_Расчет_аналитики'!O2473*IF('01_Вводные'!$B$239="Да",MeanMinAge14+'19_Расчет_аналитики'!O2583*SUMIF(ThresholdAge14,"&lt;"&amp;'19_Расчет_аналитики'!O2583,WeightedRevAge14)-SUMIF(ThresholdAge14,"&lt;"&amp;'19_Расчет_аналитики'!O2583,WeightedMinAge14),MAX(CapacityAge14*'01_Вводные'!$B$218*'19_Расчет_аналитики'!O2583,MeanMinAge14)))</f>
        <v/>
      </c>
      <c r="P2501">
        <f>IF(OR('19_Расчет_аналитики'!P2473=0,14&lt;='01_Вводные'!$B$297),0,'19_Расчет_аналитики'!P2473*IF('01_Вводные'!$B$239="Да",MeanMinAge14+'19_Расчет_аналитики'!P2583*SUMIF(ThresholdAge14,"&lt;"&amp;'19_Расчет_аналитики'!P2583,WeightedRevAge14)-SUMIF(ThresholdAge14,"&lt;"&amp;'19_Расчет_аналитики'!P2583,WeightedMinAge14),MAX(CapacityAge14*'01_Вводные'!$B$218*'19_Расчет_аналитики'!P2583,MeanMinAge14)))</f>
        <v/>
      </c>
      <c r="Q2501">
        <f>IF(OR('19_Расчет_аналитики'!Q2473=0,14&lt;='01_Вводные'!$B$297),0,'19_Расчет_аналитики'!Q2473*IF('01_Вводные'!$B$239="Да",MeanMinAge14+'19_Расчет_аналитики'!Q2583*SUMIF(ThresholdAge14,"&lt;"&amp;'19_Расчет_аналитики'!Q2583,WeightedRevAge14)-SUMIF(ThresholdAge14,"&lt;"&amp;'19_Расчет_аналитики'!Q2583,WeightedMinAge14),MAX(CapacityAge14*'01_Вводные'!$B$218*'19_Расчет_аналитики'!Q2583,MeanMinAge14)))</f>
        <v/>
      </c>
      <c r="R2501">
        <f>IF(OR('19_Расчет_аналитики'!R2473=0,14&lt;='01_Вводные'!$B$297),0,'19_Расчет_аналитики'!R2473*IF('01_Вводные'!$B$239="Да",MeanMinAge14+'19_Расчет_аналитики'!R2583*SUMIF(ThresholdAge14,"&lt;"&amp;'19_Расчет_аналитики'!R2583,WeightedRevAge14)-SUMIF(ThresholdAge14,"&lt;"&amp;'19_Расчет_аналитики'!R2583,WeightedMinAge14),MAX(CapacityAge14*'01_Вводные'!$B$218*'19_Расчет_аналитики'!R2583,MeanMinAge14)))</f>
        <v/>
      </c>
      <c r="S2501">
        <f>IF(OR('19_Расчет_аналитики'!S2473=0,14&lt;='01_Вводные'!$B$297),0,'19_Расчет_аналитики'!S2473*IF('01_Вводные'!$B$239="Да",MeanMinAge14+'19_Расчет_аналитики'!S2583*SUMIF(ThresholdAge14,"&lt;"&amp;'19_Расчет_аналитики'!S2583,WeightedRevAge14)-SUMIF(ThresholdAge14,"&lt;"&amp;'19_Расчет_аналитики'!S2583,WeightedMinAge14),MAX(CapacityAge14*'01_Вводные'!$B$218*'19_Расчет_аналитики'!S2583,MeanMinAge14)))</f>
        <v/>
      </c>
      <c r="T2501">
        <f>IF(OR('19_Расчет_аналитики'!T2473=0,14&lt;='01_Вводные'!$B$297),0,'19_Расчет_аналитики'!T2473*IF('01_Вводные'!$B$239="Да",MeanMinAge14+'19_Расчет_аналитики'!T2583*SUMIF(ThresholdAge14,"&lt;"&amp;'19_Расчет_аналитики'!T2583,WeightedRevAge14)-SUMIF(ThresholdAge14,"&lt;"&amp;'19_Расчет_аналитики'!T2583,WeightedMinAge14),MAX(CapacityAge14*'01_Вводные'!$B$218*'19_Расчет_аналитики'!T2583,MeanMinAge14)))</f>
        <v/>
      </c>
      <c r="U2501">
        <f>IF(OR('19_Расчет_аналитики'!U2473=0,14&lt;='01_Вводные'!$B$297),0,'19_Расчет_аналитики'!U2473*IF('01_Вводные'!$B$239="Да",MeanMinAge14+'19_Расчет_аналитики'!U2583*SUMIF(ThresholdAge14,"&lt;"&amp;'19_Расчет_аналитики'!U2583,WeightedRevAge14)-SUMIF(ThresholdAge14,"&lt;"&amp;'19_Расчет_аналитики'!U2583,WeightedMinAge14),MAX(CapacityAge14*'01_Вводные'!$B$218*'19_Расчет_аналитики'!U2583,MeanMinAge14)))</f>
        <v/>
      </c>
      <c r="V2501">
        <f>IF(OR('19_Расчет_аналитики'!V2473=0,14&lt;='01_Вводные'!$B$297),0,'19_Расчет_аналитики'!V2473*IF('01_Вводные'!$B$239="Да",MeanMinAge14+'19_Расчет_аналитики'!V2583*SUMIF(ThresholdAge14,"&lt;"&amp;'19_Расчет_аналитики'!V2583,WeightedRevAge14)-SUMIF(ThresholdAge14,"&lt;"&amp;'19_Расчет_аналитики'!V2583,WeightedMinAge14),MAX(CapacityAge14*'01_Вводные'!$B$218*'19_Расчет_аналитики'!V2583,MeanMinAge14)))</f>
        <v/>
      </c>
      <c r="W2501">
        <f>IF(OR('19_Расчет_аналитики'!W2473=0,14&lt;='01_Вводные'!$B$297),0,'19_Расчет_аналитики'!W2473*IF('01_Вводные'!$B$239="Да",MeanMinAge14+'19_Расчет_аналитики'!W2583*SUMIF(ThresholdAge14,"&lt;"&amp;'19_Расчет_аналитики'!W2583,WeightedRevAge14)-SUMIF(ThresholdAge14,"&lt;"&amp;'19_Расчет_аналитики'!W2583,WeightedMinAge14),MAX(CapacityAge14*'01_Вводные'!$B$218*'19_Расчет_аналитики'!W2583,MeanMinAge14)))</f>
        <v/>
      </c>
      <c r="X2501">
        <f>IF(OR('19_Расчет_аналитики'!X2473=0,14&lt;='01_Вводные'!$B$297),0,'19_Расчет_аналитики'!X2473*IF('01_Вводные'!$B$239="Да",MeanMinAge14+'19_Расчет_аналитики'!X2583*SUMIF(ThresholdAge14,"&lt;"&amp;'19_Расчет_аналитики'!X2583,WeightedRevAge14)-SUMIF(ThresholdAge14,"&lt;"&amp;'19_Расчет_аналитики'!X2583,WeightedMinAge14),MAX(CapacityAge14*'01_Вводные'!$B$218*'19_Расчет_аналитики'!X2583,MeanMinAge14)))</f>
        <v/>
      </c>
      <c r="Y2501">
        <f>IF(OR('19_Расчет_аналитики'!Y2473=0,14&lt;='01_Вводные'!$B$297),0,'19_Расчет_аналитики'!Y2473*IF('01_Вводные'!$B$239="Да",MeanMinAge14+'19_Расчет_аналитики'!Y2583*SUMIF(ThresholdAge14,"&lt;"&amp;'19_Расчет_аналитики'!Y2583,WeightedRevAge14)-SUMIF(ThresholdAge14,"&lt;"&amp;'19_Расчет_аналитики'!Y2583,WeightedMinAge14),MAX(CapacityAge14*'01_Вводные'!$B$218*'19_Расчет_аналитики'!Y2583,MeanMinAge14)))</f>
        <v/>
      </c>
      <c r="Z2501">
        <f>IF(OR('19_Расчет_аналитики'!Z2473=0,14&lt;='01_Вводные'!$B$297),0,'19_Расчет_аналитики'!Z2473*IF('01_Вводные'!$B$239="Да",MeanMinAge14+'19_Расчет_аналитики'!Z2583*SUMIF(ThresholdAge14,"&lt;"&amp;'19_Расчет_аналитики'!Z2583,WeightedRevAge14)-SUMIF(ThresholdAge14,"&lt;"&amp;'19_Расчет_аналитики'!Z2583,WeightedMinAge14),MAX(CapacityAge14*'01_Вводные'!$B$218*'19_Расчет_аналитики'!Z2583,MeanMinAge14)))</f>
        <v/>
      </c>
      <c r="AA2501">
        <f>IF(OR('19_Расчет_аналитики'!AA2473=0,14&lt;='01_Вводные'!$B$297),0,'19_Расчет_аналитики'!AA2473*IF('01_Вводные'!$B$239="Да",MeanMinAge14+'19_Расчет_аналитики'!AA2583*SUMIF(ThresholdAge14,"&lt;"&amp;'19_Расчет_аналитики'!AA2583,WeightedRevAge14)-SUMIF(ThresholdAge14,"&lt;"&amp;'19_Расчет_аналитики'!AA2583,WeightedMinAge14),MAX(CapacityAge14*'01_Вводные'!$B$218*'19_Расчет_аналитики'!AA2583,MeanMinAge14)))</f>
        <v/>
      </c>
      <c r="AB2501">
        <f>IF(OR('19_Расчет_аналитики'!AB2473=0,14&lt;='01_Вводные'!$B$297),0,'19_Расчет_аналитики'!AB2473*IF('01_Вводные'!$B$239="Да",MeanMinAge14+'19_Расчет_аналитики'!AB2583*SUMIF(ThresholdAge14,"&lt;"&amp;'19_Расчет_аналитики'!AB2583,WeightedRevAge14)-SUMIF(ThresholdAge14,"&lt;"&amp;'19_Расчет_аналитики'!AB2583,WeightedMinAge14),MAX(CapacityAge14*'01_Вводные'!$B$218*'19_Расчет_аналитики'!AB2583,MeanMinAge14)))</f>
        <v/>
      </c>
      <c r="AC2501">
        <f>IF(OR('19_Расчет_аналитики'!AC2473=0,14&lt;='01_Вводные'!$B$297),0,'19_Расчет_аналитики'!AC2473*IF('01_Вводные'!$B$239="Да",MeanMinAge14+'19_Расчет_аналитики'!AC2583*SUMIF(ThresholdAge14,"&lt;"&amp;'19_Расчет_аналитики'!AC2583,WeightedRevAge14)-SUMIF(ThresholdAge14,"&lt;"&amp;'19_Расчет_аналитики'!AC2583,WeightedMinAge14),MAX(CapacityAge14*'01_Вводные'!$B$218*'19_Расчет_аналитики'!AC2583,MeanMinAge14)))</f>
        <v/>
      </c>
      <c r="AD2501">
        <f>IF(OR('19_Расчет_аналитики'!AD2473=0,14&lt;='01_Вводные'!$B$297),0,'19_Расчет_аналитики'!AD2473*IF('01_Вводные'!$B$239="Да",MeanMinAge14+'19_Расчет_аналитики'!AD2583*SUMIF(ThresholdAge14,"&lt;"&amp;'19_Расчет_аналитики'!AD2583,WeightedRevAge14)-SUMIF(ThresholdAge14,"&lt;"&amp;'19_Расчет_аналитики'!AD2583,WeightedMinAge14),MAX(CapacityAge14*'01_Вводные'!$B$218*'19_Расчет_аналитики'!AD2583,MeanMinAge14)))</f>
        <v/>
      </c>
      <c r="AE2501">
        <f>IF(OR('19_Расчет_аналитики'!AE2473=0,14&lt;='01_Вводные'!$B$297),0,'19_Расчет_аналитики'!AE2473*IF('01_Вводные'!$B$239="Да",MeanMinAge14+'19_Расчет_аналитики'!AE2583*SUMIF(ThresholdAge14,"&lt;"&amp;'19_Расчет_аналитики'!AE2583,WeightedRevAge14)-SUMIF(ThresholdAge14,"&lt;"&amp;'19_Расчет_аналитики'!AE2583,WeightedMinAge14),MAX(CapacityAge14*'01_Вводные'!$B$218*'19_Расчет_аналитики'!AE2583,MeanMinAge14)))</f>
        <v/>
      </c>
      <c r="AF2501">
        <f>IF(OR('19_Расчет_аналитики'!AF2473=0,14&lt;='01_Вводные'!$B$297),0,'19_Расчет_аналитики'!AF2473*IF('01_Вводные'!$B$239="Да",MeanMinAge14+'19_Расчет_аналитики'!AF2583*SUMIF(ThresholdAge14,"&lt;"&amp;'19_Расчет_аналитики'!AF2583,WeightedRevAge14)-SUMIF(ThresholdAge14,"&lt;"&amp;'19_Расчет_аналитики'!AF2583,WeightedMinAge14),MAX(CapacityAge14*'01_Вводные'!$B$218*'19_Расчет_аналитики'!AF2583,MeanMinAge14)))</f>
        <v/>
      </c>
      <c r="AG2501">
        <f>IF(OR('19_Расчет_аналитики'!AG2473=0,14&lt;='01_Вводные'!$B$297),0,'19_Расчет_аналитики'!AG2473*IF('01_Вводные'!$B$239="Да",MeanMinAge14+'19_Расчет_аналитики'!AG2583*SUMIF(ThresholdAge14,"&lt;"&amp;'19_Расчет_аналитики'!AG2583,WeightedRevAge14)-SUMIF(ThresholdAge14,"&lt;"&amp;'19_Расчет_аналитики'!AG2583,WeightedMinAge14),MAX(CapacityAge14*'01_Вводные'!$B$218*'19_Расчет_аналитики'!AG2583,MeanMinAge14)))</f>
        <v/>
      </c>
      <c r="AH2501">
        <f>IF(OR('19_Расчет_аналитики'!AH2473=0,14&lt;='01_Вводные'!$B$297),0,'19_Расчет_аналитики'!AH2473*IF('01_Вводные'!$B$239="Да",MeanMinAge14+'19_Расчет_аналитики'!AH2583*SUMIF(ThresholdAge14,"&lt;"&amp;'19_Расчет_аналитики'!AH2583,WeightedRevAge14)-SUMIF(ThresholdAge14,"&lt;"&amp;'19_Расчет_аналитики'!AH2583,WeightedMinAge14),MAX(CapacityAge14*'01_Вводные'!$B$218*'19_Расчет_аналитики'!AH2583,MeanMinAge14)))</f>
        <v/>
      </c>
      <c r="AI2501">
        <f>IF(OR('19_Расчет_аналитики'!AI2473=0,14&lt;='01_Вводные'!$B$297),0,'19_Расчет_аналитики'!AI2473*IF('01_Вводные'!$B$239="Да",MeanMinAge14+'19_Расчет_аналитики'!AI2583*SUMIF(ThresholdAge14,"&lt;"&amp;'19_Расчет_аналитики'!AI2583,WeightedRevAge14)-SUMIF(ThresholdAge14,"&lt;"&amp;'19_Расчет_аналитики'!AI2583,WeightedMinAge14),MAX(CapacityAge14*'01_Вводные'!$B$218*'19_Расчет_аналитики'!AI2583,MeanMinAge14)))</f>
        <v/>
      </c>
      <c r="AJ2501">
        <f>IF(OR('19_Расчет_аналитики'!AJ2473=0,14&lt;='01_Вводные'!$B$297),0,'19_Расчет_аналитики'!AJ2473*IF('01_Вводные'!$B$239="Да",MeanMinAge14+'19_Расчет_аналитики'!AJ2583*SUMIF(ThresholdAge14,"&lt;"&amp;'19_Расчет_аналитики'!AJ2583,WeightedRevAge14)-SUMIF(ThresholdAge14,"&lt;"&amp;'19_Расчет_аналитики'!AJ2583,WeightedMinAge14),MAX(CapacityAge14*'01_Вводные'!$B$218*'19_Расчет_аналитики'!AJ2583,MeanMinAge14)))</f>
        <v/>
      </c>
      <c r="AK2501">
        <f>IF(OR('19_Расчет_аналитики'!AK2473=0,14&lt;='01_Вводные'!$B$297),0,'19_Расчет_аналитики'!AK2473*IF('01_Вводные'!$B$239="Да",MeanMinAge14+'19_Расчет_аналитики'!AK2583*SUMIF(ThresholdAge14,"&lt;"&amp;'19_Расчет_аналитики'!AK2583,WeightedRevAge14)-SUMIF(ThresholdAge14,"&lt;"&amp;'19_Расчет_аналитики'!AK2583,WeightedMinAge14),MAX(CapacityAge14*'01_Вводные'!$B$218*'19_Расчет_аналитики'!AK2583,MeanMinAge14)))</f>
        <v/>
      </c>
      <c r="AL2501">
        <f>IF(OR('19_Расчет_аналитики'!AL2473=0,14&lt;='01_Вводные'!$B$297),0,'19_Расчет_аналитики'!AL2473*IF('01_Вводные'!$B$239="Да",MeanMinAge14+'19_Расчет_аналитики'!AL2583*SUMIF(ThresholdAge14,"&lt;"&amp;'19_Расчет_аналитики'!AL2583,WeightedRevAge14)-SUMIF(ThresholdAge14,"&lt;"&amp;'19_Расчет_аналитики'!AL2583,WeightedMinAge14),MAX(CapacityAge14*'01_Вводные'!$B$218*'19_Расчет_аналитики'!AL2583,MeanMinAge14)))</f>
        <v/>
      </c>
      <c r="AM2501">
        <f>IF(OR('19_Расчет_аналитики'!AM2473=0,14&lt;='01_Вводные'!$B$297),0,'19_Расчет_аналитики'!AM2473*IF('01_Вводные'!$B$239="Да",MeanMinAge14+'19_Расчет_аналитики'!AM2583*SUMIF(ThresholdAge14,"&lt;"&amp;'19_Расчет_аналитики'!AM2583,WeightedRevAge14)-SUMIF(ThresholdAge14,"&lt;"&amp;'19_Расчет_аналитики'!AM2583,WeightedMinAge14),MAX(CapacityAge14*'01_Вводные'!$B$218*'19_Расчет_аналитики'!AM2583,MeanMinAge14)))</f>
        <v/>
      </c>
      <c r="AN2501">
        <f>IF(OR('19_Расчет_аналитики'!AN2473=0,14&lt;='01_Вводные'!$B$297),0,'19_Расчет_аналитики'!AN2473*IF('01_Вводные'!$B$239="Да",MeanMinAge14+'19_Расчет_аналитики'!AN2583*SUMIF(ThresholdAge14,"&lt;"&amp;'19_Расчет_аналитики'!AN2583,WeightedRevAge14)-SUMIF(ThresholdAge14,"&lt;"&amp;'19_Расчет_аналитики'!AN2583,WeightedMinAge14),MAX(CapacityAge14*'01_Вводные'!$B$218*'19_Расчет_аналитики'!AN2583,MeanMinAge14)))</f>
        <v/>
      </c>
      <c r="AO2501">
        <f>IF(OR('19_Расчет_аналитики'!AO2473=0,14&lt;='01_Вводные'!$B$297),0,'19_Расчет_аналитики'!AO2473*IF('01_Вводные'!$B$239="Да",MeanMinAge14+'19_Расчет_аналитики'!AO2583*SUMIF(ThresholdAge14,"&lt;"&amp;'19_Расчет_аналитики'!AO2583,WeightedRevAge14)-SUMIF(ThresholdAge14,"&lt;"&amp;'19_Расчет_аналитики'!AO2583,WeightedMinAge14),MAX(CapacityAge14*'01_Вводные'!$B$218*'19_Расчет_аналитики'!AO2583,MeanMinAge14)))</f>
        <v/>
      </c>
      <c r="AP2501">
        <f>IF(OR('19_Расчет_аналитики'!AP2473=0,14&lt;='01_Вводные'!$B$297),0,'19_Расчет_аналитики'!AP2473*IF('01_Вводные'!$B$239="Да",MeanMinAge14+'19_Расчет_аналитики'!AP2583*SUMIF(ThresholdAge14,"&lt;"&amp;'19_Расчет_аналитики'!AP2583,WeightedRevAge14)-SUMIF(ThresholdAge14,"&lt;"&amp;'19_Расчет_аналитики'!AP2583,WeightedMinAge14),MAX(CapacityAge14*'01_Вводные'!$B$218*'19_Расчет_аналитики'!AP2583,MeanMinAge14)))</f>
        <v/>
      </c>
      <c r="AQ2501">
        <f>IF(OR('19_Расчет_аналитики'!AQ2473=0,14&lt;='01_Вводные'!$B$297),0,'19_Расчет_аналитики'!AQ2473*IF('01_Вводные'!$B$239="Да",MeanMinAge14+'19_Расчет_аналитики'!AQ2583*SUMIF(ThresholdAge14,"&lt;"&amp;'19_Расчет_аналитики'!AQ2583,WeightedRevAge14)-SUMIF(ThresholdAge14,"&lt;"&amp;'19_Расчет_аналитики'!AQ2583,WeightedMinAge14),MAX(CapacityAge14*'01_Вводные'!$B$218*'19_Расчет_аналитики'!AQ2583,MeanMinAge14)))</f>
        <v/>
      </c>
      <c r="AR2501">
        <f>IF(OR('19_Расчет_аналитики'!AR2473=0,14&lt;='01_Вводные'!$B$297),0,'19_Расчет_аналитики'!AR2473*IF('01_Вводные'!$B$239="Да",MeanMinAge14+'19_Расчет_аналитики'!AR2583*SUMIF(ThresholdAge14,"&lt;"&amp;'19_Расчет_аналитики'!AR2583,WeightedRevAge14)-SUMIF(ThresholdAge14,"&lt;"&amp;'19_Расчет_аналитики'!AR2583,WeightedMinAge14),MAX(CapacityAge14*'01_Вводные'!$B$218*'19_Расчет_аналитики'!AR2583,MeanMinAge14)))</f>
        <v/>
      </c>
      <c r="AS2501">
        <f>IF(OR('19_Расчет_аналитики'!AS2473=0,14&lt;='01_Вводные'!$B$297),0,'19_Расчет_аналитики'!AS2473*IF('01_Вводные'!$B$239="Да",MeanMinAge14+'19_Расчет_аналитики'!AS2583*SUMIF(ThresholdAge14,"&lt;"&amp;'19_Расчет_аналитики'!AS2583,WeightedRevAge14)-SUMIF(ThresholdAge14,"&lt;"&amp;'19_Расчет_аналитики'!AS2583,WeightedMinAge14),MAX(CapacityAge14*'01_Вводные'!$B$218*'19_Расчет_аналитики'!AS2583,MeanMinAge14)))</f>
        <v/>
      </c>
      <c r="AT2501">
        <f>IF(OR('19_Расчет_аналитики'!AT2473=0,14&lt;='01_Вводные'!$B$297),0,'19_Расчет_аналитики'!AT2473*IF('01_Вводные'!$B$239="Да",MeanMinAge14+'19_Расчет_аналитики'!AT2583*SUMIF(ThresholdAge14,"&lt;"&amp;'19_Расчет_аналитики'!AT2583,WeightedRevAge14)-SUMIF(ThresholdAge14,"&lt;"&amp;'19_Расчет_аналитики'!AT2583,WeightedMinAge14),MAX(CapacityAge14*'01_Вводные'!$B$218*'19_Расчет_аналитики'!AT2583,MeanMinAge14)))</f>
        <v/>
      </c>
      <c r="AU2501">
        <f>IF(OR('19_Расчет_аналитики'!AU2473=0,14&lt;='01_Вводные'!$B$297),0,'19_Расчет_аналитики'!AU2473*IF('01_Вводные'!$B$239="Да",MeanMinAge14+'19_Расчет_аналитики'!AU2583*SUMIF(ThresholdAge14,"&lt;"&amp;'19_Расчет_аналитики'!AU2583,WeightedRevAge14)-SUMIF(ThresholdAge14,"&lt;"&amp;'19_Расчет_аналитики'!AU2583,WeightedMinAge14),MAX(CapacityAge14*'01_Вводные'!$B$218*'19_Расчет_аналитики'!AU2583,MeanMinAge14)))</f>
        <v/>
      </c>
      <c r="AV2501">
        <f>IF(OR('19_Расчет_аналитики'!AV2473=0,14&lt;='01_Вводные'!$B$297),0,'19_Расчет_аналитики'!AV2473*IF('01_Вводные'!$B$239="Да",MeanMinAge14+'19_Расчет_аналитики'!AV2583*SUMIF(ThresholdAge14,"&lt;"&amp;'19_Расчет_аналитики'!AV2583,WeightedRevAge14)-SUMIF(ThresholdAge14,"&lt;"&amp;'19_Расчет_аналитики'!AV2583,WeightedMinAge14),MAX(CapacityAge14*'01_Вводные'!$B$218*'19_Расчет_аналитики'!AV2583,MeanMinAge14)))</f>
        <v/>
      </c>
      <c r="AW2501">
        <f>IF(OR('19_Расчет_аналитики'!AW2473=0,14&lt;='01_Вводные'!$B$297),0,'19_Расчет_аналитики'!AW2473*IF('01_Вводные'!$B$239="Да",MeanMinAge14+'19_Расчет_аналитики'!AW2583*SUMIF(ThresholdAge14,"&lt;"&amp;'19_Расчет_аналитики'!AW2583,WeightedRevAge14)-SUMIF(ThresholdAge14,"&lt;"&amp;'19_Расчет_аналитики'!AW2583,WeightedMinAge14),MAX(CapacityAge14*'01_Вводные'!$B$218*'19_Расчет_аналитики'!AW2583,MeanMinAge14)))</f>
        <v/>
      </c>
      <c r="AX2501">
        <f>IF(OR('19_Расчет_аналитики'!AX2473=0,14&lt;='01_Вводные'!$B$297),0,'19_Расчет_аналитики'!AX2473*IF('01_Вводные'!$B$239="Да",MeanMinAge14+'19_Расчет_аналитики'!AX2583*SUMIF(ThresholdAge14,"&lt;"&amp;'19_Расчет_аналитики'!AX2583,WeightedRevAge14)-SUMIF(ThresholdAge14,"&lt;"&amp;'19_Расчет_аналитики'!AX2583,WeightedMinAge14),MAX(CapacityAge14*'01_Вводные'!$B$218*'19_Расчет_аналитики'!AX2583,MeanMinAge14)))</f>
        <v/>
      </c>
      <c r="AY2501">
        <f>IF(OR('19_Расчет_аналитики'!AY2473=0,14&lt;='01_Вводные'!$B$297),0,'19_Расчет_аналитики'!AY2473*IF('01_Вводные'!$B$239="Да",MeanMinAge14+'19_Расчет_аналитики'!AY2583*SUMIF(ThresholdAge14,"&lt;"&amp;'19_Расчет_аналитики'!AY2583,WeightedRevAge14)-SUMIF(ThresholdAge14,"&lt;"&amp;'19_Расчет_аналитики'!AY2583,WeightedMinAge14),MAX(CapacityAge14*'01_Вводные'!$B$218*'19_Расчет_аналитики'!AY2583,MeanMinAge14)))</f>
        <v/>
      </c>
      <c r="AZ2501">
        <f>IF(OR('19_Расчет_аналитики'!AZ2473=0,14&lt;='01_Вводные'!$B$297),0,'19_Расчет_аналитики'!AZ2473*IF('01_Вводные'!$B$239="Да",MeanMinAge14+'19_Расчет_аналитики'!AZ2583*SUMIF(ThresholdAge14,"&lt;"&amp;'19_Расчет_аналитики'!AZ2583,WeightedRevAge14)-SUMIF(ThresholdAge14,"&lt;"&amp;'19_Расчет_аналитики'!AZ2583,WeightedMinAge14),MAX(CapacityAge14*'01_Вводные'!$B$218*'19_Расчет_аналитики'!AZ2583,MeanMinAge14)))</f>
        <v/>
      </c>
      <c r="BA2501">
        <f>IF(OR('19_Расчет_аналитики'!BA2473=0,14&lt;='01_Вводные'!$B$297),0,'19_Расчет_аналитики'!BA2473*IF('01_Вводные'!$B$239="Да",MeanMinAge14+'19_Расчет_аналитики'!BA2583*SUMIF(ThresholdAge14,"&lt;"&amp;'19_Расчет_аналитики'!BA2583,WeightedRevAge14)-SUMIF(ThresholdAge14,"&lt;"&amp;'19_Расчет_аналитики'!BA2583,WeightedMinAge14),MAX(CapacityAge14*'01_Вводные'!$B$218*'19_Расчет_аналитики'!BA2583,MeanMinAge14)))</f>
        <v/>
      </c>
      <c r="BB2501">
        <f>IF(OR('19_Расчет_аналитики'!BB2473=0,14&lt;='01_Вводные'!$B$297),0,'19_Расчет_аналитики'!BB2473*IF('01_Вводные'!$B$239="Да",MeanMinAge14+'19_Расчет_аналитики'!BB2583*SUMIF(ThresholdAge14,"&lt;"&amp;'19_Расчет_аналитики'!BB2583,WeightedRevAge14)-SUMIF(ThresholdAge14,"&lt;"&amp;'19_Расчет_аналитики'!BB2583,WeightedMinAge14),MAX(CapacityAge14*'01_Вводные'!$B$218*'19_Расчет_аналитики'!BB2583,MeanMinAge14)))</f>
        <v/>
      </c>
      <c r="BC2501">
        <f>IF(OR('19_Расчет_аналитики'!BC2473=0,14&lt;='01_Вводные'!$B$297),0,'19_Расчет_аналитики'!BC2473*IF('01_Вводные'!$B$239="Да",MeanMinAge14+'19_Расчет_аналитики'!BC2583*SUMIF(ThresholdAge14,"&lt;"&amp;'19_Расчет_аналитики'!BC2583,WeightedRevAge14)-SUMIF(ThresholdAge14,"&lt;"&amp;'19_Расчет_аналитики'!BC2583,WeightedMinAge14),MAX(CapacityAge14*'01_Вводные'!$B$218*'19_Расчет_аналитики'!BC2583,MeanMinAge14)))</f>
        <v/>
      </c>
      <c r="BD2501">
        <f>IF(OR('19_Расчет_аналитики'!BD2473=0,14&lt;='01_Вводные'!$B$297),0,'19_Расчет_аналитики'!BD2473*IF('01_Вводные'!$B$239="Да",MeanMinAge14+'19_Расчет_аналитики'!BD2583*SUMIF(ThresholdAge14,"&lt;"&amp;'19_Расчет_аналитики'!BD2583,WeightedRevAge14)-SUMIF(ThresholdAge14,"&lt;"&amp;'19_Расчет_аналитики'!BD2583,WeightedMinAge14),MAX(CapacityAge14*'01_Вводные'!$B$218*'19_Расчет_аналитики'!BD2583,MeanMinAge14)))</f>
        <v/>
      </c>
      <c r="BE2501">
        <f>IF(OR('19_Расчет_аналитики'!BE2473=0,14&lt;='01_Вводные'!$B$297),0,'19_Расчет_аналитики'!BE2473*IF('01_Вводные'!$B$239="Да",MeanMinAge14+'19_Расчет_аналитики'!BE2583*SUMIF(ThresholdAge14,"&lt;"&amp;'19_Расчет_аналитики'!BE2583,WeightedRevAge14)-SUMIF(ThresholdAge14,"&lt;"&amp;'19_Расчет_аналитики'!BE2583,WeightedMinAge14),MAX(CapacityAge14*'01_Вводные'!$B$218*'19_Расчет_аналитики'!BE2583,MeanMinAge14)))</f>
        <v/>
      </c>
      <c r="BF2501">
        <f>IF(OR('19_Расчет_аналитики'!BF2473=0,14&lt;='01_Вводные'!$B$297),0,'19_Расчет_аналитики'!BF2473*IF('01_Вводные'!$B$239="Да",MeanMinAge14+'19_Расчет_аналитики'!BF2583*SUMIF(ThresholdAge14,"&lt;"&amp;'19_Расчет_аналитики'!BF2583,WeightedRevAge14)-SUMIF(ThresholdAge14,"&lt;"&amp;'19_Расчет_аналитики'!BF2583,WeightedMinAge14),MAX(CapacityAge14*'01_Вводные'!$B$218*'19_Расчет_аналитики'!BF2583,MeanMinAge14)))</f>
        <v/>
      </c>
      <c r="BG2501">
        <f>IF(OR('19_Расчет_аналитики'!BG2473=0,14&lt;='01_Вводные'!$B$297),0,'19_Расчет_аналитики'!BG2473*IF('01_Вводные'!$B$239="Да",MeanMinAge14+'19_Расчет_аналитики'!BG2583*SUMIF(ThresholdAge14,"&lt;"&amp;'19_Расчет_аналитики'!BG2583,WeightedRevAge14)-SUMIF(ThresholdAge14,"&lt;"&amp;'19_Расчет_аналитики'!BG2583,WeightedMinAge14),MAX(CapacityAge14*'01_Вводные'!$B$218*'19_Расчет_аналитики'!BG2583,MeanMinAge14)))</f>
        <v/>
      </c>
      <c r="BH2501">
        <f>IF(OR('19_Расчет_аналитики'!BH2473=0,14&lt;='01_Вводные'!$B$297),0,'19_Расчет_аналитики'!BH2473*IF('01_Вводные'!$B$239="Да",MeanMinAge14+'19_Расчет_аналитики'!BH2583*SUMIF(ThresholdAge14,"&lt;"&amp;'19_Расчет_аналитики'!BH2583,WeightedRevAge14)-SUMIF(ThresholdAge14,"&lt;"&amp;'19_Расчет_аналитики'!BH2583,WeightedMinAge14),MAX(CapacityAge14*'01_Вводные'!$B$218*'19_Расчет_аналитики'!BH2583,MeanMinAge14)))</f>
        <v/>
      </c>
      <c r="BI2501">
        <f>IF(OR('19_Расчет_аналитики'!BI2473=0,14&lt;='01_Вводные'!$B$297),0,'19_Расчет_аналитики'!BI2473*IF('01_Вводные'!$B$239="Да",MeanMinAge14+'19_Расчет_аналитики'!BI2583*SUMIF(ThresholdAge14,"&lt;"&amp;'19_Расчет_аналитики'!BI2583,WeightedRevAge14)-SUMIF(ThresholdAge14,"&lt;"&amp;'19_Расчет_аналитики'!BI2583,WeightedMinAge14),MAX(CapacityAge14*'01_Вводные'!$B$218*'19_Расчет_аналитики'!BI2583,MeanMinAge14)))</f>
        <v/>
      </c>
      <c r="BJ2501">
        <f>IF(OR('19_Расчет_аналитики'!BJ2473=0,14&lt;='01_Вводные'!$B$297),0,'19_Расчет_аналитики'!BJ2473*IF('01_Вводные'!$B$239="Да",MeanMinAge14+'19_Расчет_аналитики'!BJ2583*SUMIF(ThresholdAge14,"&lt;"&amp;'19_Расчет_аналитики'!BJ2583,WeightedRevAge14)-SUMIF(ThresholdAge14,"&lt;"&amp;'19_Расчет_аналитики'!BJ2583,WeightedMinAge14),MAX(CapacityAge14*'01_Вводные'!$B$218*'19_Расчет_аналитики'!BJ2583,MeanMinAge14)))</f>
        <v/>
      </c>
      <c r="BK2501">
        <f>IF(OR('19_Расчет_аналитики'!BK2473=0,14&lt;='01_Вводные'!$B$297),0,'19_Расчет_аналитики'!BK2473*IF('01_Вводные'!$B$239="Да",MeanMinAge14+'19_Расчет_аналитики'!BK2583*SUMIF(ThresholdAge14,"&lt;"&amp;'19_Расчет_аналитики'!BK2583,WeightedRevAge14)-SUMIF(ThresholdAge14,"&lt;"&amp;'19_Расчет_аналитики'!BK2583,WeightedMinAge14),MAX(CapacityAge14*'01_Вводные'!$B$218*'19_Расчет_аналитики'!BK2583,MeanMinAge14)))</f>
        <v/>
      </c>
      <c r="BL2501">
        <f>IF(OR('19_Расчет_аналитики'!BL2473=0,14&lt;='01_Вводные'!$B$297),0,'19_Расчет_аналитики'!BL2473*IF('01_Вводные'!$B$239="Да",MeanMinAge14+'19_Расчет_аналитики'!BL2583*SUMIF(ThresholdAge14,"&lt;"&amp;'19_Расчет_аналитики'!BL2583,WeightedRevAge14)-SUMIF(ThresholdAge14,"&lt;"&amp;'19_Расчет_аналитики'!BL2583,WeightedMinAge14),MAX(CapacityAge14*'01_Вводные'!$B$218*'19_Расчет_аналитики'!BL2583,MeanMinAge14)))</f>
        <v/>
      </c>
      <c r="BM2501">
        <f>IF(OR('19_Расчет_аналитики'!BM2473=0,14&lt;='01_Вводные'!$B$297),0,'19_Расчет_аналитики'!BM2473*IF('01_Вводные'!$B$239="Да",MeanMinAge14+'19_Расчет_аналитики'!BM2583*SUMIF(ThresholdAge14,"&lt;"&amp;'19_Расчет_аналитики'!BM2583,WeightedRevAge14)-SUMIF(ThresholdAge14,"&lt;"&amp;'19_Расчет_аналитики'!BM2583,WeightedMinAge14),MAX(CapacityAge14*'01_Вводные'!$B$218*'19_Расчет_аналитики'!BM2583,MeanMinAge14)))</f>
        <v/>
      </c>
      <c r="BN2501">
        <f>IF(OR('19_Расчет_аналитики'!BN2473=0,14&lt;='01_Вводные'!$B$297),0,'19_Расчет_аналитики'!BN2473*IF('01_Вводные'!$B$239="Да",MeanMinAge14+'19_Расчет_аналитики'!BN2583*SUMIF(ThresholdAge14,"&lt;"&amp;'19_Расчет_аналитики'!BN2583,WeightedRevAge14)-SUMIF(ThresholdAge14,"&lt;"&amp;'19_Расчет_аналитики'!BN2583,WeightedMinAge14),MAX(CapacityAge14*'01_Вводные'!$B$218*'19_Расчет_аналитики'!BN2583,MeanMinAge14)))</f>
        <v/>
      </c>
      <c r="BO2501">
        <f>IF(OR('19_Расчет_аналитики'!BO2473=0,14&lt;='01_Вводные'!$B$297),0,'19_Расчет_аналитики'!BO2473*IF('01_Вводные'!$B$239="Да",MeanMinAge14+'19_Расчет_аналитики'!BO2583*SUMIF(ThresholdAge14,"&lt;"&amp;'19_Расчет_аналитики'!BO2583,WeightedRevAge14)-SUMIF(ThresholdAge14,"&lt;"&amp;'19_Расчет_аналитики'!BO2583,WeightedMinAge14),MAX(CapacityAge14*'01_Вводные'!$B$218*'19_Расчет_аналитики'!BO2583,MeanMinAge14)))</f>
        <v/>
      </c>
    </row>
    <row r="2502">
      <c r="B2502">
        <f>IF(OR('06_Сеть_и_дети'!B95=0,15&lt;='01_Вводные'!$B$297),0,'06_Сеть_и_дети'!B95*IF('01_Вводные'!$B$239="Да",MeanMinAge15+'19_Расчет_аналитики'!B2583*SUMIF(ThresholdAge15,"&lt;"&amp;'19_Расчет_аналитики'!B2583,WeightedRevAge15)-SUMIF(ThresholdAge15,"&lt;"&amp;'19_Расчет_аналитики'!B2583,WeightedMinAge15),MAX(CapacityAge15*'01_Вводные'!$B$218*'19_Расчет_аналитики'!B2583,MeanMinAge15)))</f>
        <v/>
      </c>
      <c r="C2502">
        <f>IF(OR('06_Сеть_и_дети'!C95=0,15&lt;='01_Вводные'!$B$297),0,'06_Сеть_и_дети'!C95*IF('01_Вводные'!$B$239="Да",MeanMinAge15+'19_Расчет_аналитики'!C2583*SUMIF(ThresholdAge15,"&lt;"&amp;'19_Расчет_аналитики'!C2583,WeightedRevAge15)-SUMIF(ThresholdAge15,"&lt;"&amp;'19_Расчет_аналитики'!C2583,WeightedMinAge15),MAX(CapacityAge15*'01_Вводные'!$B$218*'19_Расчет_аналитики'!C2583,MeanMinAge15)))</f>
        <v/>
      </c>
      <c r="D2502">
        <f>IF(OR('06_Сеть_и_дети'!D95=0,15&lt;='01_Вводные'!$B$297),0,'06_Сеть_и_дети'!D95*IF('01_Вводные'!$B$239="Да",MeanMinAge15+'19_Расчет_аналитики'!D2583*SUMIF(ThresholdAge15,"&lt;"&amp;'19_Расчет_аналитики'!D2583,WeightedRevAge15)-SUMIF(ThresholdAge15,"&lt;"&amp;'19_Расчет_аналитики'!D2583,WeightedMinAge15),MAX(CapacityAge15*'01_Вводные'!$B$218*'19_Расчет_аналитики'!D2583,MeanMinAge15)))</f>
        <v/>
      </c>
      <c r="E2502">
        <f>IF(OR('06_Сеть_и_дети'!E95=0,15&lt;='01_Вводные'!$B$297),0,'06_Сеть_и_дети'!E95*IF('01_Вводные'!$B$239="Да",MeanMinAge15+'19_Расчет_аналитики'!E2583*SUMIF(ThresholdAge15,"&lt;"&amp;'19_Расчет_аналитики'!E2583,WeightedRevAge15)-SUMIF(ThresholdAge15,"&lt;"&amp;'19_Расчет_аналитики'!E2583,WeightedMinAge15),MAX(CapacityAge15*'01_Вводные'!$B$218*'19_Расчет_аналитики'!E2583,MeanMinAge15)))</f>
        <v/>
      </c>
      <c r="F2502">
        <f>IF(OR('06_Сеть_и_дети'!F95=0,15&lt;='01_Вводные'!$B$297),0,'06_Сеть_и_дети'!F95*IF('01_Вводные'!$B$239="Да",MeanMinAge15+'19_Расчет_аналитики'!F2583*SUMIF(ThresholdAge15,"&lt;"&amp;'19_Расчет_аналитики'!F2583,WeightedRevAge15)-SUMIF(ThresholdAge15,"&lt;"&amp;'19_Расчет_аналитики'!F2583,WeightedMinAge15),MAX(CapacityAge15*'01_Вводные'!$B$218*'19_Расчет_аналитики'!F2583,MeanMinAge15)))</f>
        <v/>
      </c>
      <c r="G2502">
        <f>IF(OR('06_Сеть_и_дети'!G95=0,15&lt;='01_Вводные'!$B$297),0,'06_Сеть_и_дети'!G95*IF('01_Вводные'!$B$239="Да",MeanMinAge15+'19_Расчет_аналитики'!G2583*SUMIF(ThresholdAge15,"&lt;"&amp;'19_Расчет_аналитики'!G2583,WeightedRevAge15)-SUMIF(ThresholdAge15,"&lt;"&amp;'19_Расчет_аналитики'!G2583,WeightedMinAge15),MAX(CapacityAge15*'01_Вводные'!$B$218*'19_Расчет_аналитики'!G2583,MeanMinAge15)))</f>
        <v/>
      </c>
      <c r="H2502">
        <f>IF(OR('06_Сеть_и_дети'!H95=0,15&lt;='01_Вводные'!$B$297),0,'06_Сеть_и_дети'!H95*IF('01_Вводные'!$B$239="Да",MeanMinAge15+'19_Расчет_аналитики'!H2583*SUMIF(ThresholdAge15,"&lt;"&amp;'19_Расчет_аналитики'!H2583,WeightedRevAge15)-SUMIF(ThresholdAge15,"&lt;"&amp;'19_Расчет_аналитики'!H2583,WeightedMinAge15),MAX(CapacityAge15*'01_Вводные'!$B$218*'19_Расчет_аналитики'!H2583,MeanMinAge15)))</f>
        <v/>
      </c>
      <c r="I2502">
        <f>IF(OR('06_Сеть_и_дети'!I95=0,15&lt;='01_Вводные'!$B$297),0,'06_Сеть_и_дети'!I95*IF('01_Вводные'!$B$239="Да",MeanMinAge15+'19_Расчет_аналитики'!I2583*SUMIF(ThresholdAge15,"&lt;"&amp;'19_Расчет_аналитики'!I2583,WeightedRevAge15)-SUMIF(ThresholdAge15,"&lt;"&amp;'19_Расчет_аналитики'!I2583,WeightedMinAge15),MAX(CapacityAge15*'01_Вводные'!$B$218*'19_Расчет_аналитики'!I2583,MeanMinAge15)))</f>
        <v/>
      </c>
      <c r="J2502">
        <f>IF(OR('06_Сеть_и_дети'!J95=0,15&lt;='01_Вводные'!$B$297),0,'06_Сеть_и_дети'!J95*IF('01_Вводные'!$B$239="Да",MeanMinAge15+'19_Расчет_аналитики'!J2583*SUMIF(ThresholdAge15,"&lt;"&amp;'19_Расчет_аналитики'!J2583,WeightedRevAge15)-SUMIF(ThresholdAge15,"&lt;"&amp;'19_Расчет_аналитики'!J2583,WeightedMinAge15),MAX(CapacityAge15*'01_Вводные'!$B$218*'19_Расчет_аналитики'!J2583,MeanMinAge15)))</f>
        <v/>
      </c>
      <c r="K2502">
        <f>IF(OR('06_Сеть_и_дети'!K95=0,15&lt;='01_Вводные'!$B$297),0,'06_Сеть_и_дети'!K95*IF('01_Вводные'!$B$239="Да",MeanMinAge15+'19_Расчет_аналитики'!K2583*SUMIF(ThresholdAge15,"&lt;"&amp;'19_Расчет_аналитики'!K2583,WeightedRevAge15)-SUMIF(ThresholdAge15,"&lt;"&amp;'19_Расчет_аналитики'!K2583,WeightedMinAge15),MAX(CapacityAge15*'01_Вводные'!$B$218*'19_Расчет_аналитики'!K2583,MeanMinAge15)))</f>
        <v/>
      </c>
      <c r="L2502">
        <f>IF(OR('06_Сеть_и_дети'!L95=0,15&lt;='01_Вводные'!$B$297),0,'06_Сеть_и_дети'!L95*IF('01_Вводные'!$B$239="Да",MeanMinAge15+'19_Расчет_аналитики'!L2583*SUMIF(ThresholdAge15,"&lt;"&amp;'19_Расчет_аналитики'!L2583,WeightedRevAge15)-SUMIF(ThresholdAge15,"&lt;"&amp;'19_Расчет_аналитики'!L2583,WeightedMinAge15),MAX(CapacityAge15*'01_Вводные'!$B$218*'19_Расчет_аналитики'!L2583,MeanMinAge15)))</f>
        <v/>
      </c>
      <c r="M2502">
        <f>IF(OR('06_Сеть_и_дети'!M95=0,15&lt;='01_Вводные'!$B$297),0,'06_Сеть_и_дети'!M95*IF('01_Вводные'!$B$239="Да",MeanMinAge15+'19_Расчет_аналитики'!M2583*SUMIF(ThresholdAge15,"&lt;"&amp;'19_Расчет_аналитики'!M2583,WeightedRevAge15)-SUMIF(ThresholdAge15,"&lt;"&amp;'19_Расчет_аналитики'!M2583,WeightedMinAge15),MAX(CapacityAge15*'01_Вводные'!$B$218*'19_Расчет_аналитики'!M2583,MeanMinAge15)))</f>
        <v/>
      </c>
      <c r="N2502">
        <f>IF(OR('06_Сеть_и_дети'!N95=0,15&lt;='01_Вводные'!$B$297),0,'06_Сеть_и_дети'!N95*IF('01_Вводные'!$B$239="Да",MeanMinAge15+'19_Расчет_аналитики'!N2583*SUMIF(ThresholdAge15,"&lt;"&amp;'19_Расчет_аналитики'!N2583,WeightedRevAge15)-SUMIF(ThresholdAge15,"&lt;"&amp;'19_Расчет_аналитики'!N2583,WeightedMinAge15),MAX(CapacityAge15*'01_Вводные'!$B$218*'19_Расчет_аналитики'!N2583,MeanMinAge15)))</f>
        <v/>
      </c>
      <c r="O2502">
        <f>IF(OR('06_Сеть_и_дети'!O95=0,15&lt;='01_Вводные'!$B$297),0,'06_Сеть_и_дети'!O95*IF('01_Вводные'!$B$239="Да",MeanMinAge15+'19_Расчет_аналитики'!O2583*SUMIF(ThresholdAge15,"&lt;"&amp;'19_Расчет_аналитики'!O2583,WeightedRevAge15)-SUMIF(ThresholdAge15,"&lt;"&amp;'19_Расчет_аналитики'!O2583,WeightedMinAge15),MAX(CapacityAge15*'01_Вводные'!$B$218*'19_Расчет_аналитики'!O2583,MeanMinAge15)))</f>
        <v/>
      </c>
      <c r="P2502">
        <f>IF(OR('19_Расчет_аналитики'!P2474=0,15&lt;='01_Вводные'!$B$297),0,'19_Расчет_аналитики'!P2474*IF('01_Вводные'!$B$239="Да",MeanMinAge15+'19_Расчет_аналитики'!P2583*SUMIF(ThresholdAge15,"&lt;"&amp;'19_Расчет_аналитики'!P2583,WeightedRevAge15)-SUMIF(ThresholdAge15,"&lt;"&amp;'19_Расчет_аналитики'!P2583,WeightedMinAge15),MAX(CapacityAge15*'01_Вводные'!$B$218*'19_Расчет_аналитики'!P2583,MeanMinAge15)))</f>
        <v/>
      </c>
      <c r="Q2502">
        <f>IF(OR('19_Расчет_аналитики'!Q2474=0,15&lt;='01_Вводные'!$B$297),0,'19_Расчет_аналитики'!Q2474*IF('01_Вводные'!$B$239="Да",MeanMinAge15+'19_Расчет_аналитики'!Q2583*SUMIF(ThresholdAge15,"&lt;"&amp;'19_Расчет_аналитики'!Q2583,WeightedRevAge15)-SUMIF(ThresholdAge15,"&lt;"&amp;'19_Расчет_аналитики'!Q2583,WeightedMinAge15),MAX(CapacityAge15*'01_Вводные'!$B$218*'19_Расчет_аналитики'!Q2583,MeanMinAge15)))</f>
        <v/>
      </c>
      <c r="R2502">
        <f>IF(OR('19_Расчет_аналитики'!R2474=0,15&lt;='01_Вводные'!$B$297),0,'19_Расчет_аналитики'!R2474*IF('01_Вводные'!$B$239="Да",MeanMinAge15+'19_Расчет_аналитики'!R2583*SUMIF(ThresholdAge15,"&lt;"&amp;'19_Расчет_аналитики'!R2583,WeightedRevAge15)-SUMIF(ThresholdAge15,"&lt;"&amp;'19_Расчет_аналитики'!R2583,WeightedMinAge15),MAX(CapacityAge15*'01_Вводные'!$B$218*'19_Расчет_аналитики'!R2583,MeanMinAge15)))</f>
        <v/>
      </c>
      <c r="S2502">
        <f>IF(OR('19_Расчет_аналитики'!S2474=0,15&lt;='01_Вводные'!$B$297),0,'19_Расчет_аналитики'!S2474*IF('01_Вводные'!$B$239="Да",MeanMinAge15+'19_Расчет_аналитики'!S2583*SUMIF(ThresholdAge15,"&lt;"&amp;'19_Расчет_аналитики'!S2583,WeightedRevAge15)-SUMIF(ThresholdAge15,"&lt;"&amp;'19_Расчет_аналитики'!S2583,WeightedMinAge15),MAX(CapacityAge15*'01_Вводные'!$B$218*'19_Расчет_аналитики'!S2583,MeanMinAge15)))</f>
        <v/>
      </c>
      <c r="T2502">
        <f>IF(OR('19_Расчет_аналитики'!T2474=0,15&lt;='01_Вводные'!$B$297),0,'19_Расчет_аналитики'!T2474*IF('01_Вводные'!$B$239="Да",MeanMinAge15+'19_Расчет_аналитики'!T2583*SUMIF(ThresholdAge15,"&lt;"&amp;'19_Расчет_аналитики'!T2583,WeightedRevAge15)-SUMIF(ThresholdAge15,"&lt;"&amp;'19_Расчет_аналитики'!T2583,WeightedMinAge15),MAX(CapacityAge15*'01_Вводные'!$B$218*'19_Расчет_аналитики'!T2583,MeanMinAge15)))</f>
        <v/>
      </c>
      <c r="U2502">
        <f>IF(OR('19_Расчет_аналитики'!U2474=0,15&lt;='01_Вводные'!$B$297),0,'19_Расчет_аналитики'!U2474*IF('01_Вводные'!$B$239="Да",MeanMinAge15+'19_Расчет_аналитики'!U2583*SUMIF(ThresholdAge15,"&lt;"&amp;'19_Расчет_аналитики'!U2583,WeightedRevAge15)-SUMIF(ThresholdAge15,"&lt;"&amp;'19_Расчет_аналитики'!U2583,WeightedMinAge15),MAX(CapacityAge15*'01_Вводные'!$B$218*'19_Расчет_аналитики'!U2583,MeanMinAge15)))</f>
        <v/>
      </c>
      <c r="V2502">
        <f>IF(OR('19_Расчет_аналитики'!V2474=0,15&lt;='01_Вводные'!$B$297),0,'19_Расчет_аналитики'!V2474*IF('01_Вводные'!$B$239="Да",MeanMinAge15+'19_Расчет_аналитики'!V2583*SUMIF(ThresholdAge15,"&lt;"&amp;'19_Расчет_аналитики'!V2583,WeightedRevAge15)-SUMIF(ThresholdAge15,"&lt;"&amp;'19_Расчет_аналитики'!V2583,WeightedMinAge15),MAX(CapacityAge15*'01_Вводные'!$B$218*'19_Расчет_аналитики'!V2583,MeanMinAge15)))</f>
        <v/>
      </c>
      <c r="W2502">
        <f>IF(OR('19_Расчет_аналитики'!W2474=0,15&lt;='01_Вводные'!$B$297),0,'19_Расчет_аналитики'!W2474*IF('01_Вводные'!$B$239="Да",MeanMinAge15+'19_Расчет_аналитики'!W2583*SUMIF(ThresholdAge15,"&lt;"&amp;'19_Расчет_аналитики'!W2583,WeightedRevAge15)-SUMIF(ThresholdAge15,"&lt;"&amp;'19_Расчет_аналитики'!W2583,WeightedMinAge15),MAX(CapacityAge15*'01_Вводные'!$B$218*'19_Расчет_аналитики'!W2583,MeanMinAge15)))</f>
        <v/>
      </c>
      <c r="X2502">
        <f>IF(OR('19_Расчет_аналитики'!X2474=0,15&lt;='01_Вводные'!$B$297),0,'19_Расчет_аналитики'!X2474*IF('01_Вводные'!$B$239="Да",MeanMinAge15+'19_Расчет_аналитики'!X2583*SUMIF(ThresholdAge15,"&lt;"&amp;'19_Расчет_аналитики'!X2583,WeightedRevAge15)-SUMIF(ThresholdAge15,"&lt;"&amp;'19_Расчет_аналитики'!X2583,WeightedMinAge15),MAX(CapacityAge15*'01_Вводные'!$B$218*'19_Расчет_аналитики'!X2583,MeanMinAge15)))</f>
        <v/>
      </c>
      <c r="Y2502">
        <f>IF(OR('19_Расчет_аналитики'!Y2474=0,15&lt;='01_Вводные'!$B$297),0,'19_Расчет_аналитики'!Y2474*IF('01_Вводные'!$B$239="Да",MeanMinAge15+'19_Расчет_аналитики'!Y2583*SUMIF(ThresholdAge15,"&lt;"&amp;'19_Расчет_аналитики'!Y2583,WeightedRevAge15)-SUMIF(ThresholdAge15,"&lt;"&amp;'19_Расчет_аналитики'!Y2583,WeightedMinAge15),MAX(CapacityAge15*'01_Вводные'!$B$218*'19_Расчет_аналитики'!Y2583,MeanMinAge15)))</f>
        <v/>
      </c>
      <c r="Z2502">
        <f>IF(OR('19_Расчет_аналитики'!Z2474=0,15&lt;='01_Вводные'!$B$297),0,'19_Расчет_аналитики'!Z2474*IF('01_Вводные'!$B$239="Да",MeanMinAge15+'19_Расчет_аналитики'!Z2583*SUMIF(ThresholdAge15,"&lt;"&amp;'19_Расчет_аналитики'!Z2583,WeightedRevAge15)-SUMIF(ThresholdAge15,"&lt;"&amp;'19_Расчет_аналитики'!Z2583,WeightedMinAge15),MAX(CapacityAge15*'01_Вводные'!$B$218*'19_Расчет_аналитики'!Z2583,MeanMinAge15)))</f>
        <v/>
      </c>
      <c r="AA2502">
        <f>IF(OR('19_Расчет_аналитики'!AA2474=0,15&lt;='01_Вводные'!$B$297),0,'19_Расчет_аналитики'!AA2474*IF('01_Вводные'!$B$239="Да",MeanMinAge15+'19_Расчет_аналитики'!AA2583*SUMIF(ThresholdAge15,"&lt;"&amp;'19_Расчет_аналитики'!AA2583,WeightedRevAge15)-SUMIF(ThresholdAge15,"&lt;"&amp;'19_Расчет_аналитики'!AA2583,WeightedMinAge15),MAX(CapacityAge15*'01_Вводные'!$B$218*'19_Расчет_аналитики'!AA2583,MeanMinAge15)))</f>
        <v/>
      </c>
      <c r="AB2502">
        <f>IF(OR('19_Расчет_аналитики'!AB2474=0,15&lt;='01_Вводные'!$B$297),0,'19_Расчет_аналитики'!AB2474*IF('01_Вводные'!$B$239="Да",MeanMinAge15+'19_Расчет_аналитики'!AB2583*SUMIF(ThresholdAge15,"&lt;"&amp;'19_Расчет_аналитики'!AB2583,WeightedRevAge15)-SUMIF(ThresholdAge15,"&lt;"&amp;'19_Расчет_аналитики'!AB2583,WeightedMinAge15),MAX(CapacityAge15*'01_Вводные'!$B$218*'19_Расчет_аналитики'!AB2583,MeanMinAge15)))</f>
        <v/>
      </c>
      <c r="AC2502">
        <f>IF(OR('19_Расчет_аналитики'!AC2474=0,15&lt;='01_Вводные'!$B$297),0,'19_Расчет_аналитики'!AC2474*IF('01_Вводные'!$B$239="Да",MeanMinAge15+'19_Расчет_аналитики'!AC2583*SUMIF(ThresholdAge15,"&lt;"&amp;'19_Расчет_аналитики'!AC2583,WeightedRevAge15)-SUMIF(ThresholdAge15,"&lt;"&amp;'19_Расчет_аналитики'!AC2583,WeightedMinAge15),MAX(CapacityAge15*'01_Вводные'!$B$218*'19_Расчет_аналитики'!AC2583,MeanMinAge15)))</f>
        <v/>
      </c>
      <c r="AD2502">
        <f>IF(OR('19_Расчет_аналитики'!AD2474=0,15&lt;='01_Вводные'!$B$297),0,'19_Расчет_аналитики'!AD2474*IF('01_Вводные'!$B$239="Да",MeanMinAge15+'19_Расчет_аналитики'!AD2583*SUMIF(ThresholdAge15,"&lt;"&amp;'19_Расчет_аналитики'!AD2583,WeightedRevAge15)-SUMIF(ThresholdAge15,"&lt;"&amp;'19_Расчет_аналитики'!AD2583,WeightedMinAge15),MAX(CapacityAge15*'01_Вводные'!$B$218*'19_Расчет_аналитики'!AD2583,MeanMinAge15)))</f>
        <v/>
      </c>
      <c r="AE2502">
        <f>IF(OR('19_Расчет_аналитики'!AE2474=0,15&lt;='01_Вводные'!$B$297),0,'19_Расчет_аналитики'!AE2474*IF('01_Вводные'!$B$239="Да",MeanMinAge15+'19_Расчет_аналитики'!AE2583*SUMIF(ThresholdAge15,"&lt;"&amp;'19_Расчет_аналитики'!AE2583,WeightedRevAge15)-SUMIF(ThresholdAge15,"&lt;"&amp;'19_Расчет_аналитики'!AE2583,WeightedMinAge15),MAX(CapacityAge15*'01_Вводные'!$B$218*'19_Расчет_аналитики'!AE2583,MeanMinAge15)))</f>
        <v/>
      </c>
      <c r="AF2502">
        <f>IF(OR('19_Расчет_аналитики'!AF2474=0,15&lt;='01_Вводные'!$B$297),0,'19_Расчет_аналитики'!AF2474*IF('01_Вводные'!$B$239="Да",MeanMinAge15+'19_Расчет_аналитики'!AF2583*SUMIF(ThresholdAge15,"&lt;"&amp;'19_Расчет_аналитики'!AF2583,WeightedRevAge15)-SUMIF(ThresholdAge15,"&lt;"&amp;'19_Расчет_аналитики'!AF2583,WeightedMinAge15),MAX(CapacityAge15*'01_Вводные'!$B$218*'19_Расчет_аналитики'!AF2583,MeanMinAge15)))</f>
        <v/>
      </c>
      <c r="AG2502">
        <f>IF(OR('19_Расчет_аналитики'!AG2474=0,15&lt;='01_Вводные'!$B$297),0,'19_Расчет_аналитики'!AG2474*IF('01_Вводные'!$B$239="Да",MeanMinAge15+'19_Расчет_аналитики'!AG2583*SUMIF(ThresholdAge15,"&lt;"&amp;'19_Расчет_аналитики'!AG2583,WeightedRevAge15)-SUMIF(ThresholdAge15,"&lt;"&amp;'19_Расчет_аналитики'!AG2583,WeightedMinAge15),MAX(CapacityAge15*'01_Вводные'!$B$218*'19_Расчет_аналитики'!AG2583,MeanMinAge15)))</f>
        <v/>
      </c>
      <c r="AH2502">
        <f>IF(OR('19_Расчет_аналитики'!AH2474=0,15&lt;='01_Вводные'!$B$297),0,'19_Расчет_аналитики'!AH2474*IF('01_Вводные'!$B$239="Да",MeanMinAge15+'19_Расчет_аналитики'!AH2583*SUMIF(ThresholdAge15,"&lt;"&amp;'19_Расчет_аналитики'!AH2583,WeightedRevAge15)-SUMIF(ThresholdAge15,"&lt;"&amp;'19_Расчет_аналитики'!AH2583,WeightedMinAge15),MAX(CapacityAge15*'01_Вводные'!$B$218*'19_Расчет_аналитики'!AH2583,MeanMinAge15)))</f>
        <v/>
      </c>
      <c r="AI2502">
        <f>IF(OR('19_Расчет_аналитики'!AI2474=0,15&lt;='01_Вводные'!$B$297),0,'19_Расчет_аналитики'!AI2474*IF('01_Вводные'!$B$239="Да",MeanMinAge15+'19_Расчет_аналитики'!AI2583*SUMIF(ThresholdAge15,"&lt;"&amp;'19_Расчет_аналитики'!AI2583,WeightedRevAge15)-SUMIF(ThresholdAge15,"&lt;"&amp;'19_Расчет_аналитики'!AI2583,WeightedMinAge15),MAX(CapacityAge15*'01_Вводные'!$B$218*'19_Расчет_аналитики'!AI2583,MeanMinAge15)))</f>
        <v/>
      </c>
      <c r="AJ2502">
        <f>IF(OR('19_Расчет_аналитики'!AJ2474=0,15&lt;='01_Вводные'!$B$297),0,'19_Расчет_аналитики'!AJ2474*IF('01_Вводные'!$B$239="Да",MeanMinAge15+'19_Расчет_аналитики'!AJ2583*SUMIF(ThresholdAge15,"&lt;"&amp;'19_Расчет_аналитики'!AJ2583,WeightedRevAge15)-SUMIF(ThresholdAge15,"&lt;"&amp;'19_Расчет_аналитики'!AJ2583,WeightedMinAge15),MAX(CapacityAge15*'01_Вводные'!$B$218*'19_Расчет_аналитики'!AJ2583,MeanMinAge15)))</f>
        <v/>
      </c>
      <c r="AK2502">
        <f>IF(OR('19_Расчет_аналитики'!AK2474=0,15&lt;='01_Вводные'!$B$297),0,'19_Расчет_аналитики'!AK2474*IF('01_Вводные'!$B$239="Да",MeanMinAge15+'19_Расчет_аналитики'!AK2583*SUMIF(ThresholdAge15,"&lt;"&amp;'19_Расчет_аналитики'!AK2583,WeightedRevAge15)-SUMIF(ThresholdAge15,"&lt;"&amp;'19_Расчет_аналитики'!AK2583,WeightedMinAge15),MAX(CapacityAge15*'01_Вводные'!$B$218*'19_Расчет_аналитики'!AK2583,MeanMinAge15)))</f>
        <v/>
      </c>
      <c r="AL2502">
        <f>IF(OR('19_Расчет_аналитики'!AL2474=0,15&lt;='01_Вводные'!$B$297),0,'19_Расчет_аналитики'!AL2474*IF('01_Вводные'!$B$239="Да",MeanMinAge15+'19_Расчет_аналитики'!AL2583*SUMIF(ThresholdAge15,"&lt;"&amp;'19_Расчет_аналитики'!AL2583,WeightedRevAge15)-SUMIF(ThresholdAge15,"&lt;"&amp;'19_Расчет_аналитики'!AL2583,WeightedMinAge15),MAX(CapacityAge15*'01_Вводные'!$B$218*'19_Расчет_аналитики'!AL2583,MeanMinAge15)))</f>
        <v/>
      </c>
      <c r="AM2502">
        <f>IF(OR('19_Расчет_аналитики'!AM2474=0,15&lt;='01_Вводные'!$B$297),0,'19_Расчет_аналитики'!AM2474*IF('01_Вводные'!$B$239="Да",MeanMinAge15+'19_Расчет_аналитики'!AM2583*SUMIF(ThresholdAge15,"&lt;"&amp;'19_Расчет_аналитики'!AM2583,WeightedRevAge15)-SUMIF(ThresholdAge15,"&lt;"&amp;'19_Расчет_аналитики'!AM2583,WeightedMinAge15),MAX(CapacityAge15*'01_Вводные'!$B$218*'19_Расчет_аналитики'!AM2583,MeanMinAge15)))</f>
        <v/>
      </c>
      <c r="AN2502">
        <f>IF(OR('19_Расчет_аналитики'!AN2474=0,15&lt;='01_Вводные'!$B$297),0,'19_Расчет_аналитики'!AN2474*IF('01_Вводные'!$B$239="Да",MeanMinAge15+'19_Расчет_аналитики'!AN2583*SUMIF(ThresholdAge15,"&lt;"&amp;'19_Расчет_аналитики'!AN2583,WeightedRevAge15)-SUMIF(ThresholdAge15,"&lt;"&amp;'19_Расчет_аналитики'!AN2583,WeightedMinAge15),MAX(CapacityAge15*'01_Вводные'!$B$218*'19_Расчет_аналитики'!AN2583,MeanMinAge15)))</f>
        <v/>
      </c>
      <c r="AO2502">
        <f>IF(OR('19_Расчет_аналитики'!AO2474=0,15&lt;='01_Вводные'!$B$297),0,'19_Расчет_аналитики'!AO2474*IF('01_Вводные'!$B$239="Да",MeanMinAge15+'19_Расчет_аналитики'!AO2583*SUMIF(ThresholdAge15,"&lt;"&amp;'19_Расчет_аналитики'!AO2583,WeightedRevAge15)-SUMIF(ThresholdAge15,"&lt;"&amp;'19_Расчет_аналитики'!AO2583,WeightedMinAge15),MAX(CapacityAge15*'01_Вводные'!$B$218*'19_Расчет_аналитики'!AO2583,MeanMinAge15)))</f>
        <v/>
      </c>
      <c r="AP2502">
        <f>IF(OR('19_Расчет_аналитики'!AP2474=0,15&lt;='01_Вводные'!$B$297),0,'19_Расчет_аналитики'!AP2474*IF('01_Вводные'!$B$239="Да",MeanMinAge15+'19_Расчет_аналитики'!AP2583*SUMIF(ThresholdAge15,"&lt;"&amp;'19_Расчет_аналитики'!AP2583,WeightedRevAge15)-SUMIF(ThresholdAge15,"&lt;"&amp;'19_Расчет_аналитики'!AP2583,WeightedMinAge15),MAX(CapacityAge15*'01_Вводные'!$B$218*'19_Расчет_аналитики'!AP2583,MeanMinAge15)))</f>
        <v/>
      </c>
      <c r="AQ2502">
        <f>IF(OR('19_Расчет_аналитики'!AQ2474=0,15&lt;='01_Вводные'!$B$297),0,'19_Расчет_аналитики'!AQ2474*IF('01_Вводные'!$B$239="Да",MeanMinAge15+'19_Расчет_аналитики'!AQ2583*SUMIF(ThresholdAge15,"&lt;"&amp;'19_Расчет_аналитики'!AQ2583,WeightedRevAge15)-SUMIF(ThresholdAge15,"&lt;"&amp;'19_Расчет_аналитики'!AQ2583,WeightedMinAge15),MAX(CapacityAge15*'01_Вводные'!$B$218*'19_Расчет_аналитики'!AQ2583,MeanMinAge15)))</f>
        <v/>
      </c>
      <c r="AR2502">
        <f>IF(OR('19_Расчет_аналитики'!AR2474=0,15&lt;='01_Вводные'!$B$297),0,'19_Расчет_аналитики'!AR2474*IF('01_Вводные'!$B$239="Да",MeanMinAge15+'19_Расчет_аналитики'!AR2583*SUMIF(ThresholdAge15,"&lt;"&amp;'19_Расчет_аналитики'!AR2583,WeightedRevAge15)-SUMIF(ThresholdAge15,"&lt;"&amp;'19_Расчет_аналитики'!AR2583,WeightedMinAge15),MAX(CapacityAge15*'01_Вводные'!$B$218*'19_Расчет_аналитики'!AR2583,MeanMinAge15)))</f>
        <v/>
      </c>
      <c r="AS2502">
        <f>IF(OR('19_Расчет_аналитики'!AS2474=0,15&lt;='01_Вводные'!$B$297),0,'19_Расчет_аналитики'!AS2474*IF('01_Вводные'!$B$239="Да",MeanMinAge15+'19_Расчет_аналитики'!AS2583*SUMIF(ThresholdAge15,"&lt;"&amp;'19_Расчет_аналитики'!AS2583,WeightedRevAge15)-SUMIF(ThresholdAge15,"&lt;"&amp;'19_Расчет_аналитики'!AS2583,WeightedMinAge15),MAX(CapacityAge15*'01_Вводные'!$B$218*'19_Расчет_аналитики'!AS2583,MeanMinAge15)))</f>
        <v/>
      </c>
      <c r="AT2502">
        <f>IF(OR('19_Расчет_аналитики'!AT2474=0,15&lt;='01_Вводные'!$B$297),0,'19_Расчет_аналитики'!AT2474*IF('01_Вводные'!$B$239="Да",MeanMinAge15+'19_Расчет_аналитики'!AT2583*SUMIF(ThresholdAge15,"&lt;"&amp;'19_Расчет_аналитики'!AT2583,WeightedRevAge15)-SUMIF(ThresholdAge15,"&lt;"&amp;'19_Расчет_аналитики'!AT2583,WeightedMinAge15),MAX(CapacityAge15*'01_Вводные'!$B$218*'19_Расчет_аналитики'!AT2583,MeanMinAge15)))</f>
        <v/>
      </c>
      <c r="AU2502">
        <f>IF(OR('19_Расчет_аналитики'!AU2474=0,15&lt;='01_Вводные'!$B$297),0,'19_Расчет_аналитики'!AU2474*IF('01_Вводные'!$B$239="Да",MeanMinAge15+'19_Расчет_аналитики'!AU2583*SUMIF(ThresholdAge15,"&lt;"&amp;'19_Расчет_аналитики'!AU2583,WeightedRevAge15)-SUMIF(ThresholdAge15,"&lt;"&amp;'19_Расчет_аналитики'!AU2583,WeightedMinAge15),MAX(CapacityAge15*'01_Вводные'!$B$218*'19_Расчет_аналитики'!AU2583,MeanMinAge15)))</f>
        <v/>
      </c>
      <c r="AV2502">
        <f>IF(OR('19_Расчет_аналитики'!AV2474=0,15&lt;='01_Вводные'!$B$297),0,'19_Расчет_аналитики'!AV2474*IF('01_Вводные'!$B$239="Да",MeanMinAge15+'19_Расчет_аналитики'!AV2583*SUMIF(ThresholdAge15,"&lt;"&amp;'19_Расчет_аналитики'!AV2583,WeightedRevAge15)-SUMIF(ThresholdAge15,"&lt;"&amp;'19_Расчет_аналитики'!AV2583,WeightedMinAge15),MAX(CapacityAge15*'01_Вводные'!$B$218*'19_Расчет_аналитики'!AV2583,MeanMinAge15)))</f>
        <v/>
      </c>
      <c r="AW2502">
        <f>IF(OR('19_Расчет_аналитики'!AW2474=0,15&lt;='01_Вводные'!$B$297),0,'19_Расчет_аналитики'!AW2474*IF('01_Вводные'!$B$239="Да",MeanMinAge15+'19_Расчет_аналитики'!AW2583*SUMIF(ThresholdAge15,"&lt;"&amp;'19_Расчет_аналитики'!AW2583,WeightedRevAge15)-SUMIF(ThresholdAge15,"&lt;"&amp;'19_Расчет_аналитики'!AW2583,WeightedMinAge15),MAX(CapacityAge15*'01_Вводные'!$B$218*'19_Расчет_аналитики'!AW2583,MeanMinAge15)))</f>
        <v/>
      </c>
      <c r="AX2502">
        <f>IF(OR('19_Расчет_аналитики'!AX2474=0,15&lt;='01_Вводные'!$B$297),0,'19_Расчет_аналитики'!AX2474*IF('01_Вводные'!$B$239="Да",MeanMinAge15+'19_Расчет_аналитики'!AX2583*SUMIF(ThresholdAge15,"&lt;"&amp;'19_Расчет_аналитики'!AX2583,WeightedRevAge15)-SUMIF(ThresholdAge15,"&lt;"&amp;'19_Расчет_аналитики'!AX2583,WeightedMinAge15),MAX(CapacityAge15*'01_Вводные'!$B$218*'19_Расчет_аналитики'!AX2583,MeanMinAge15)))</f>
        <v/>
      </c>
      <c r="AY2502">
        <f>IF(OR('19_Расчет_аналитики'!AY2474=0,15&lt;='01_Вводные'!$B$297),0,'19_Расчет_аналитики'!AY2474*IF('01_Вводные'!$B$239="Да",MeanMinAge15+'19_Расчет_аналитики'!AY2583*SUMIF(ThresholdAge15,"&lt;"&amp;'19_Расчет_аналитики'!AY2583,WeightedRevAge15)-SUMIF(ThresholdAge15,"&lt;"&amp;'19_Расчет_аналитики'!AY2583,WeightedMinAge15),MAX(CapacityAge15*'01_Вводные'!$B$218*'19_Расчет_аналитики'!AY2583,MeanMinAge15)))</f>
        <v/>
      </c>
      <c r="AZ2502">
        <f>IF(OR('19_Расчет_аналитики'!AZ2474=0,15&lt;='01_Вводные'!$B$297),0,'19_Расчет_аналитики'!AZ2474*IF('01_Вводные'!$B$239="Да",MeanMinAge15+'19_Расчет_аналитики'!AZ2583*SUMIF(ThresholdAge15,"&lt;"&amp;'19_Расчет_аналитики'!AZ2583,WeightedRevAge15)-SUMIF(ThresholdAge15,"&lt;"&amp;'19_Расчет_аналитики'!AZ2583,WeightedMinAge15),MAX(CapacityAge15*'01_Вводные'!$B$218*'19_Расчет_аналитики'!AZ2583,MeanMinAge15)))</f>
        <v/>
      </c>
      <c r="BA2502">
        <f>IF(OR('19_Расчет_аналитики'!BA2474=0,15&lt;='01_Вводные'!$B$297),0,'19_Расчет_аналитики'!BA2474*IF('01_Вводные'!$B$239="Да",MeanMinAge15+'19_Расчет_аналитики'!BA2583*SUMIF(ThresholdAge15,"&lt;"&amp;'19_Расчет_аналитики'!BA2583,WeightedRevAge15)-SUMIF(ThresholdAge15,"&lt;"&amp;'19_Расчет_аналитики'!BA2583,WeightedMinAge15),MAX(CapacityAge15*'01_Вводные'!$B$218*'19_Расчет_аналитики'!BA2583,MeanMinAge15)))</f>
        <v/>
      </c>
      <c r="BB2502">
        <f>IF(OR('19_Расчет_аналитики'!BB2474=0,15&lt;='01_Вводные'!$B$297),0,'19_Расчет_аналитики'!BB2474*IF('01_Вводные'!$B$239="Да",MeanMinAge15+'19_Расчет_аналитики'!BB2583*SUMIF(ThresholdAge15,"&lt;"&amp;'19_Расчет_аналитики'!BB2583,WeightedRevAge15)-SUMIF(ThresholdAge15,"&lt;"&amp;'19_Расчет_аналитики'!BB2583,WeightedMinAge15),MAX(CapacityAge15*'01_Вводные'!$B$218*'19_Расчет_аналитики'!BB2583,MeanMinAge15)))</f>
        <v/>
      </c>
      <c r="BC2502">
        <f>IF(OR('19_Расчет_аналитики'!BC2474=0,15&lt;='01_Вводные'!$B$297),0,'19_Расчет_аналитики'!BC2474*IF('01_Вводные'!$B$239="Да",MeanMinAge15+'19_Расчет_аналитики'!BC2583*SUMIF(ThresholdAge15,"&lt;"&amp;'19_Расчет_аналитики'!BC2583,WeightedRevAge15)-SUMIF(ThresholdAge15,"&lt;"&amp;'19_Расчет_аналитики'!BC2583,WeightedMinAge15),MAX(CapacityAge15*'01_Вводные'!$B$218*'19_Расчет_аналитики'!BC2583,MeanMinAge15)))</f>
        <v/>
      </c>
      <c r="BD2502">
        <f>IF(OR('19_Расчет_аналитики'!BD2474=0,15&lt;='01_Вводные'!$B$297),0,'19_Расчет_аналитики'!BD2474*IF('01_Вводные'!$B$239="Да",MeanMinAge15+'19_Расчет_аналитики'!BD2583*SUMIF(ThresholdAge15,"&lt;"&amp;'19_Расчет_аналитики'!BD2583,WeightedRevAge15)-SUMIF(ThresholdAge15,"&lt;"&amp;'19_Расчет_аналитики'!BD2583,WeightedMinAge15),MAX(CapacityAge15*'01_Вводные'!$B$218*'19_Расчет_аналитики'!BD2583,MeanMinAge15)))</f>
        <v/>
      </c>
      <c r="BE2502">
        <f>IF(OR('19_Расчет_аналитики'!BE2474=0,15&lt;='01_Вводные'!$B$297),0,'19_Расчет_аналитики'!BE2474*IF('01_Вводные'!$B$239="Да",MeanMinAge15+'19_Расчет_аналитики'!BE2583*SUMIF(ThresholdAge15,"&lt;"&amp;'19_Расчет_аналитики'!BE2583,WeightedRevAge15)-SUMIF(ThresholdAge15,"&lt;"&amp;'19_Расчет_аналитики'!BE2583,WeightedMinAge15),MAX(CapacityAge15*'01_Вводные'!$B$218*'19_Расчет_аналитики'!BE2583,MeanMinAge15)))</f>
        <v/>
      </c>
      <c r="BF2502">
        <f>IF(OR('19_Расчет_аналитики'!BF2474=0,15&lt;='01_Вводные'!$B$297),0,'19_Расчет_аналитики'!BF2474*IF('01_Вводные'!$B$239="Да",MeanMinAge15+'19_Расчет_аналитики'!BF2583*SUMIF(ThresholdAge15,"&lt;"&amp;'19_Расчет_аналитики'!BF2583,WeightedRevAge15)-SUMIF(ThresholdAge15,"&lt;"&amp;'19_Расчет_аналитики'!BF2583,WeightedMinAge15),MAX(CapacityAge15*'01_Вводные'!$B$218*'19_Расчет_аналитики'!BF2583,MeanMinAge15)))</f>
        <v/>
      </c>
      <c r="BG2502">
        <f>IF(OR('19_Расчет_аналитики'!BG2474=0,15&lt;='01_Вводные'!$B$297),0,'19_Расчет_аналитики'!BG2474*IF('01_Вводные'!$B$239="Да",MeanMinAge15+'19_Расчет_аналитики'!BG2583*SUMIF(ThresholdAge15,"&lt;"&amp;'19_Расчет_аналитики'!BG2583,WeightedRevAge15)-SUMIF(ThresholdAge15,"&lt;"&amp;'19_Расчет_аналитики'!BG2583,WeightedMinAge15),MAX(CapacityAge15*'01_Вводные'!$B$218*'19_Расчет_аналитики'!BG2583,MeanMinAge15)))</f>
        <v/>
      </c>
      <c r="BH2502">
        <f>IF(OR('19_Расчет_аналитики'!BH2474=0,15&lt;='01_Вводные'!$B$297),0,'19_Расчет_аналитики'!BH2474*IF('01_Вводные'!$B$239="Да",MeanMinAge15+'19_Расчет_аналитики'!BH2583*SUMIF(ThresholdAge15,"&lt;"&amp;'19_Расчет_аналитики'!BH2583,WeightedRevAge15)-SUMIF(ThresholdAge15,"&lt;"&amp;'19_Расчет_аналитики'!BH2583,WeightedMinAge15),MAX(CapacityAge15*'01_Вводные'!$B$218*'19_Расчет_аналитики'!BH2583,MeanMinAge15)))</f>
        <v/>
      </c>
      <c r="BI2502">
        <f>IF(OR('19_Расчет_аналитики'!BI2474=0,15&lt;='01_Вводные'!$B$297),0,'19_Расчет_аналитики'!BI2474*IF('01_Вводные'!$B$239="Да",MeanMinAge15+'19_Расчет_аналитики'!BI2583*SUMIF(ThresholdAge15,"&lt;"&amp;'19_Расчет_аналитики'!BI2583,WeightedRevAge15)-SUMIF(ThresholdAge15,"&lt;"&amp;'19_Расчет_аналитики'!BI2583,WeightedMinAge15),MAX(CapacityAge15*'01_Вводные'!$B$218*'19_Расчет_аналитики'!BI2583,MeanMinAge15)))</f>
        <v/>
      </c>
      <c r="BJ2502">
        <f>IF(OR('19_Расчет_аналитики'!BJ2474=0,15&lt;='01_Вводные'!$B$297),0,'19_Расчет_аналитики'!BJ2474*IF('01_Вводные'!$B$239="Да",MeanMinAge15+'19_Расчет_аналитики'!BJ2583*SUMIF(ThresholdAge15,"&lt;"&amp;'19_Расчет_аналитики'!BJ2583,WeightedRevAge15)-SUMIF(ThresholdAge15,"&lt;"&amp;'19_Расчет_аналитики'!BJ2583,WeightedMinAge15),MAX(CapacityAge15*'01_Вводные'!$B$218*'19_Расчет_аналитики'!BJ2583,MeanMinAge15)))</f>
        <v/>
      </c>
      <c r="BK2502">
        <f>IF(OR('19_Расчет_аналитики'!BK2474=0,15&lt;='01_Вводные'!$B$297),0,'19_Расчет_аналитики'!BK2474*IF('01_Вводные'!$B$239="Да",MeanMinAge15+'19_Расчет_аналитики'!BK2583*SUMIF(ThresholdAge15,"&lt;"&amp;'19_Расчет_аналитики'!BK2583,WeightedRevAge15)-SUMIF(ThresholdAge15,"&lt;"&amp;'19_Расчет_аналитики'!BK2583,WeightedMinAge15),MAX(CapacityAge15*'01_Вводные'!$B$218*'19_Расчет_аналитики'!BK2583,MeanMinAge15)))</f>
        <v/>
      </c>
      <c r="BL2502">
        <f>IF(OR('19_Расчет_аналитики'!BL2474=0,15&lt;='01_Вводные'!$B$297),0,'19_Расчет_аналитики'!BL2474*IF('01_Вводные'!$B$239="Да",MeanMinAge15+'19_Расчет_аналитики'!BL2583*SUMIF(ThresholdAge15,"&lt;"&amp;'19_Расчет_аналитики'!BL2583,WeightedRevAge15)-SUMIF(ThresholdAge15,"&lt;"&amp;'19_Расчет_аналитики'!BL2583,WeightedMinAge15),MAX(CapacityAge15*'01_Вводные'!$B$218*'19_Расчет_аналитики'!BL2583,MeanMinAge15)))</f>
        <v/>
      </c>
      <c r="BM2502">
        <f>IF(OR('19_Расчет_аналитики'!BM2474=0,15&lt;='01_Вводные'!$B$297),0,'19_Расчет_аналитики'!BM2474*IF('01_Вводные'!$B$239="Да",MeanMinAge15+'19_Расчет_аналитики'!BM2583*SUMIF(ThresholdAge15,"&lt;"&amp;'19_Расчет_аналитики'!BM2583,WeightedRevAge15)-SUMIF(ThresholdAge15,"&lt;"&amp;'19_Расчет_аналитики'!BM2583,WeightedMinAge15),MAX(CapacityAge15*'01_Вводные'!$B$218*'19_Расчет_аналитики'!BM2583,MeanMinAge15)))</f>
        <v/>
      </c>
      <c r="BN2502">
        <f>IF(OR('19_Расчет_аналитики'!BN2474=0,15&lt;='01_Вводные'!$B$297),0,'19_Расчет_аналитики'!BN2474*IF('01_Вводные'!$B$239="Да",MeanMinAge15+'19_Расчет_аналитики'!BN2583*SUMIF(ThresholdAge15,"&lt;"&amp;'19_Расчет_аналитики'!BN2583,WeightedRevAge15)-SUMIF(ThresholdAge15,"&lt;"&amp;'19_Расчет_аналитики'!BN2583,WeightedMinAge15),MAX(CapacityAge15*'01_Вводные'!$B$218*'19_Расчет_аналитики'!BN2583,MeanMinAge15)))</f>
        <v/>
      </c>
      <c r="BO2502">
        <f>IF(OR('19_Расчет_аналитики'!BO2474=0,15&lt;='01_Вводные'!$B$297),0,'19_Расчет_аналитики'!BO2474*IF('01_Вводные'!$B$239="Да",MeanMinAge15+'19_Расчет_аналитики'!BO2583*SUMIF(ThresholdAge15,"&lt;"&amp;'19_Расчет_аналитики'!BO2583,WeightedRevAge15)-SUMIF(ThresholdAge15,"&lt;"&amp;'19_Расчет_аналитики'!BO2583,WeightedMinAge15),MAX(CapacityAge15*'01_Вводные'!$B$218*'19_Расчет_аналитики'!BO2583,MeanMinAge15)))</f>
        <v/>
      </c>
    </row>
    <row r="2503">
      <c r="B2503">
        <f>IF(OR('06_Сеть_и_дети'!B96=0,16&lt;='01_Вводные'!$B$297),0,'06_Сеть_и_дети'!B96*IF('01_Вводные'!$B$239="Да",MeanMinAge16+'19_Расчет_аналитики'!B2583*SUMIF(ThresholdAge16,"&lt;"&amp;'19_Расчет_аналитики'!B2583,WeightedRevAge16)-SUMIF(ThresholdAge16,"&lt;"&amp;'19_Расчет_аналитики'!B2583,WeightedMinAge16),MAX(CapacityAge16*'01_Вводные'!$B$218*'19_Расчет_аналитики'!B2583,MeanMinAge16)))</f>
        <v/>
      </c>
      <c r="C2503">
        <f>IF(OR('06_Сеть_и_дети'!C96=0,16&lt;='01_Вводные'!$B$297),0,'06_Сеть_и_дети'!C96*IF('01_Вводные'!$B$239="Да",MeanMinAge16+'19_Расчет_аналитики'!C2583*SUMIF(ThresholdAge16,"&lt;"&amp;'19_Расчет_аналитики'!C2583,WeightedRevAge16)-SUMIF(ThresholdAge16,"&lt;"&amp;'19_Расчет_аналитики'!C2583,WeightedMinAge16),MAX(CapacityAge16*'01_Вводные'!$B$218*'19_Расчет_аналитики'!C2583,MeanMinAge16)))</f>
        <v/>
      </c>
      <c r="D2503">
        <f>IF(OR('06_Сеть_и_дети'!D96=0,16&lt;='01_Вводные'!$B$297),0,'06_Сеть_и_дети'!D96*IF('01_Вводные'!$B$239="Да",MeanMinAge16+'19_Расчет_аналитики'!D2583*SUMIF(ThresholdAge16,"&lt;"&amp;'19_Расчет_аналитики'!D2583,WeightedRevAge16)-SUMIF(ThresholdAge16,"&lt;"&amp;'19_Расчет_аналитики'!D2583,WeightedMinAge16),MAX(CapacityAge16*'01_Вводные'!$B$218*'19_Расчет_аналитики'!D2583,MeanMinAge16)))</f>
        <v/>
      </c>
      <c r="E2503">
        <f>IF(OR('06_Сеть_и_дети'!E96=0,16&lt;='01_Вводные'!$B$297),0,'06_Сеть_и_дети'!E96*IF('01_Вводные'!$B$239="Да",MeanMinAge16+'19_Расчет_аналитики'!E2583*SUMIF(ThresholdAge16,"&lt;"&amp;'19_Расчет_аналитики'!E2583,WeightedRevAge16)-SUMIF(ThresholdAge16,"&lt;"&amp;'19_Расчет_аналитики'!E2583,WeightedMinAge16),MAX(CapacityAge16*'01_Вводные'!$B$218*'19_Расчет_аналитики'!E2583,MeanMinAge16)))</f>
        <v/>
      </c>
      <c r="F2503">
        <f>IF(OR('06_Сеть_и_дети'!F96=0,16&lt;='01_Вводные'!$B$297),0,'06_Сеть_и_дети'!F96*IF('01_Вводные'!$B$239="Да",MeanMinAge16+'19_Расчет_аналитики'!F2583*SUMIF(ThresholdAge16,"&lt;"&amp;'19_Расчет_аналитики'!F2583,WeightedRevAge16)-SUMIF(ThresholdAge16,"&lt;"&amp;'19_Расчет_аналитики'!F2583,WeightedMinAge16),MAX(CapacityAge16*'01_Вводные'!$B$218*'19_Расчет_аналитики'!F2583,MeanMinAge16)))</f>
        <v/>
      </c>
      <c r="G2503">
        <f>IF(OR('06_Сеть_и_дети'!G96=0,16&lt;='01_Вводные'!$B$297),0,'06_Сеть_и_дети'!G96*IF('01_Вводные'!$B$239="Да",MeanMinAge16+'19_Расчет_аналитики'!G2583*SUMIF(ThresholdAge16,"&lt;"&amp;'19_Расчет_аналитики'!G2583,WeightedRevAge16)-SUMIF(ThresholdAge16,"&lt;"&amp;'19_Расчет_аналитики'!G2583,WeightedMinAge16),MAX(CapacityAge16*'01_Вводные'!$B$218*'19_Расчет_аналитики'!G2583,MeanMinAge16)))</f>
        <v/>
      </c>
      <c r="H2503">
        <f>IF(OR('06_Сеть_и_дети'!H96=0,16&lt;='01_Вводные'!$B$297),0,'06_Сеть_и_дети'!H96*IF('01_Вводные'!$B$239="Да",MeanMinAge16+'19_Расчет_аналитики'!H2583*SUMIF(ThresholdAge16,"&lt;"&amp;'19_Расчет_аналитики'!H2583,WeightedRevAge16)-SUMIF(ThresholdAge16,"&lt;"&amp;'19_Расчет_аналитики'!H2583,WeightedMinAge16),MAX(CapacityAge16*'01_Вводные'!$B$218*'19_Расчет_аналитики'!H2583,MeanMinAge16)))</f>
        <v/>
      </c>
      <c r="I2503">
        <f>IF(OR('06_Сеть_и_дети'!I96=0,16&lt;='01_Вводные'!$B$297),0,'06_Сеть_и_дети'!I96*IF('01_Вводные'!$B$239="Да",MeanMinAge16+'19_Расчет_аналитики'!I2583*SUMIF(ThresholdAge16,"&lt;"&amp;'19_Расчет_аналитики'!I2583,WeightedRevAge16)-SUMIF(ThresholdAge16,"&lt;"&amp;'19_Расчет_аналитики'!I2583,WeightedMinAge16),MAX(CapacityAge16*'01_Вводные'!$B$218*'19_Расчет_аналитики'!I2583,MeanMinAge16)))</f>
        <v/>
      </c>
      <c r="J2503">
        <f>IF(OR('06_Сеть_и_дети'!J96=0,16&lt;='01_Вводные'!$B$297),0,'06_Сеть_и_дети'!J96*IF('01_Вводные'!$B$239="Да",MeanMinAge16+'19_Расчет_аналитики'!J2583*SUMIF(ThresholdAge16,"&lt;"&amp;'19_Расчет_аналитики'!J2583,WeightedRevAge16)-SUMIF(ThresholdAge16,"&lt;"&amp;'19_Расчет_аналитики'!J2583,WeightedMinAge16),MAX(CapacityAge16*'01_Вводные'!$B$218*'19_Расчет_аналитики'!J2583,MeanMinAge16)))</f>
        <v/>
      </c>
      <c r="K2503">
        <f>IF(OR('06_Сеть_и_дети'!K96=0,16&lt;='01_Вводные'!$B$297),0,'06_Сеть_и_дети'!K96*IF('01_Вводные'!$B$239="Да",MeanMinAge16+'19_Расчет_аналитики'!K2583*SUMIF(ThresholdAge16,"&lt;"&amp;'19_Расчет_аналитики'!K2583,WeightedRevAge16)-SUMIF(ThresholdAge16,"&lt;"&amp;'19_Расчет_аналитики'!K2583,WeightedMinAge16),MAX(CapacityAge16*'01_Вводные'!$B$218*'19_Расчет_аналитики'!K2583,MeanMinAge16)))</f>
        <v/>
      </c>
      <c r="L2503">
        <f>IF(OR('06_Сеть_и_дети'!L96=0,16&lt;='01_Вводные'!$B$297),0,'06_Сеть_и_дети'!L96*IF('01_Вводные'!$B$239="Да",MeanMinAge16+'19_Расчет_аналитики'!L2583*SUMIF(ThresholdAge16,"&lt;"&amp;'19_Расчет_аналитики'!L2583,WeightedRevAge16)-SUMIF(ThresholdAge16,"&lt;"&amp;'19_Расчет_аналитики'!L2583,WeightedMinAge16),MAX(CapacityAge16*'01_Вводные'!$B$218*'19_Расчет_аналитики'!L2583,MeanMinAge16)))</f>
        <v/>
      </c>
      <c r="M2503">
        <f>IF(OR('06_Сеть_и_дети'!M96=0,16&lt;='01_Вводные'!$B$297),0,'06_Сеть_и_дети'!M96*IF('01_Вводные'!$B$239="Да",MeanMinAge16+'19_Расчет_аналитики'!M2583*SUMIF(ThresholdAge16,"&lt;"&amp;'19_Расчет_аналитики'!M2583,WeightedRevAge16)-SUMIF(ThresholdAge16,"&lt;"&amp;'19_Расчет_аналитики'!M2583,WeightedMinAge16),MAX(CapacityAge16*'01_Вводные'!$B$218*'19_Расчет_аналитики'!M2583,MeanMinAge16)))</f>
        <v/>
      </c>
      <c r="N2503">
        <f>IF(OR('06_Сеть_и_дети'!N96=0,16&lt;='01_Вводные'!$B$297),0,'06_Сеть_и_дети'!N96*IF('01_Вводные'!$B$239="Да",MeanMinAge16+'19_Расчет_аналитики'!N2583*SUMIF(ThresholdAge16,"&lt;"&amp;'19_Расчет_аналитики'!N2583,WeightedRevAge16)-SUMIF(ThresholdAge16,"&lt;"&amp;'19_Расчет_аналитики'!N2583,WeightedMinAge16),MAX(CapacityAge16*'01_Вводные'!$B$218*'19_Расчет_аналитики'!N2583,MeanMinAge16)))</f>
        <v/>
      </c>
      <c r="O2503">
        <f>IF(OR('06_Сеть_и_дети'!O96=0,16&lt;='01_Вводные'!$B$297),0,'06_Сеть_и_дети'!O96*IF('01_Вводные'!$B$239="Да",MeanMinAge16+'19_Расчет_аналитики'!O2583*SUMIF(ThresholdAge16,"&lt;"&amp;'19_Расчет_аналитики'!O2583,WeightedRevAge16)-SUMIF(ThresholdAge16,"&lt;"&amp;'19_Расчет_аналитики'!O2583,WeightedMinAge16),MAX(CapacityAge16*'01_Вводные'!$B$218*'19_Расчет_аналитики'!O2583,MeanMinAge16)))</f>
        <v/>
      </c>
      <c r="P2503">
        <f>IF(OR('06_Сеть_и_дети'!P96=0,16&lt;='01_Вводные'!$B$297),0,'06_Сеть_и_дети'!P96*IF('01_Вводные'!$B$239="Да",MeanMinAge16+'19_Расчет_аналитики'!P2583*SUMIF(ThresholdAge16,"&lt;"&amp;'19_Расчет_аналитики'!P2583,WeightedRevAge16)-SUMIF(ThresholdAge16,"&lt;"&amp;'19_Расчет_аналитики'!P2583,WeightedMinAge16),MAX(CapacityAge16*'01_Вводные'!$B$218*'19_Расчет_аналитики'!P2583,MeanMinAge16)))</f>
        <v/>
      </c>
      <c r="Q2503">
        <f>IF(OR('19_Расчет_аналитики'!Q2475=0,16&lt;='01_Вводные'!$B$297),0,'19_Расчет_аналитики'!Q2475*IF('01_Вводные'!$B$239="Да",MeanMinAge16+'19_Расчет_аналитики'!Q2583*SUMIF(ThresholdAge16,"&lt;"&amp;'19_Расчет_аналитики'!Q2583,WeightedRevAge16)-SUMIF(ThresholdAge16,"&lt;"&amp;'19_Расчет_аналитики'!Q2583,WeightedMinAge16),MAX(CapacityAge16*'01_Вводные'!$B$218*'19_Расчет_аналитики'!Q2583,MeanMinAge16)))</f>
        <v/>
      </c>
      <c r="R2503">
        <f>IF(OR('19_Расчет_аналитики'!R2475=0,16&lt;='01_Вводные'!$B$297),0,'19_Расчет_аналитики'!R2475*IF('01_Вводные'!$B$239="Да",MeanMinAge16+'19_Расчет_аналитики'!R2583*SUMIF(ThresholdAge16,"&lt;"&amp;'19_Расчет_аналитики'!R2583,WeightedRevAge16)-SUMIF(ThresholdAge16,"&lt;"&amp;'19_Расчет_аналитики'!R2583,WeightedMinAge16),MAX(CapacityAge16*'01_Вводные'!$B$218*'19_Расчет_аналитики'!R2583,MeanMinAge16)))</f>
        <v/>
      </c>
      <c r="S2503">
        <f>IF(OR('19_Расчет_аналитики'!S2475=0,16&lt;='01_Вводные'!$B$297),0,'19_Расчет_аналитики'!S2475*IF('01_Вводные'!$B$239="Да",MeanMinAge16+'19_Расчет_аналитики'!S2583*SUMIF(ThresholdAge16,"&lt;"&amp;'19_Расчет_аналитики'!S2583,WeightedRevAge16)-SUMIF(ThresholdAge16,"&lt;"&amp;'19_Расчет_аналитики'!S2583,WeightedMinAge16),MAX(CapacityAge16*'01_Вводные'!$B$218*'19_Расчет_аналитики'!S2583,MeanMinAge16)))</f>
        <v/>
      </c>
      <c r="T2503">
        <f>IF(OR('19_Расчет_аналитики'!T2475=0,16&lt;='01_Вводные'!$B$297),0,'19_Расчет_аналитики'!T2475*IF('01_Вводные'!$B$239="Да",MeanMinAge16+'19_Расчет_аналитики'!T2583*SUMIF(ThresholdAge16,"&lt;"&amp;'19_Расчет_аналитики'!T2583,WeightedRevAge16)-SUMIF(ThresholdAge16,"&lt;"&amp;'19_Расчет_аналитики'!T2583,WeightedMinAge16),MAX(CapacityAge16*'01_Вводные'!$B$218*'19_Расчет_аналитики'!T2583,MeanMinAge16)))</f>
        <v/>
      </c>
      <c r="U2503">
        <f>IF(OR('19_Расчет_аналитики'!U2475=0,16&lt;='01_Вводные'!$B$297),0,'19_Расчет_аналитики'!U2475*IF('01_Вводные'!$B$239="Да",MeanMinAge16+'19_Расчет_аналитики'!U2583*SUMIF(ThresholdAge16,"&lt;"&amp;'19_Расчет_аналитики'!U2583,WeightedRevAge16)-SUMIF(ThresholdAge16,"&lt;"&amp;'19_Расчет_аналитики'!U2583,WeightedMinAge16),MAX(CapacityAge16*'01_Вводные'!$B$218*'19_Расчет_аналитики'!U2583,MeanMinAge16)))</f>
        <v/>
      </c>
      <c r="V2503">
        <f>IF(OR('19_Расчет_аналитики'!V2475=0,16&lt;='01_Вводные'!$B$297),0,'19_Расчет_аналитики'!V2475*IF('01_Вводные'!$B$239="Да",MeanMinAge16+'19_Расчет_аналитики'!V2583*SUMIF(ThresholdAge16,"&lt;"&amp;'19_Расчет_аналитики'!V2583,WeightedRevAge16)-SUMIF(ThresholdAge16,"&lt;"&amp;'19_Расчет_аналитики'!V2583,WeightedMinAge16),MAX(CapacityAge16*'01_Вводные'!$B$218*'19_Расчет_аналитики'!V2583,MeanMinAge16)))</f>
        <v/>
      </c>
      <c r="W2503">
        <f>IF(OR('19_Расчет_аналитики'!W2475=0,16&lt;='01_Вводные'!$B$297),0,'19_Расчет_аналитики'!W2475*IF('01_Вводные'!$B$239="Да",MeanMinAge16+'19_Расчет_аналитики'!W2583*SUMIF(ThresholdAge16,"&lt;"&amp;'19_Расчет_аналитики'!W2583,WeightedRevAge16)-SUMIF(ThresholdAge16,"&lt;"&amp;'19_Расчет_аналитики'!W2583,WeightedMinAge16),MAX(CapacityAge16*'01_Вводные'!$B$218*'19_Расчет_аналитики'!W2583,MeanMinAge16)))</f>
        <v/>
      </c>
      <c r="X2503">
        <f>IF(OR('19_Расчет_аналитики'!X2475=0,16&lt;='01_Вводные'!$B$297),0,'19_Расчет_аналитики'!X2475*IF('01_Вводные'!$B$239="Да",MeanMinAge16+'19_Расчет_аналитики'!X2583*SUMIF(ThresholdAge16,"&lt;"&amp;'19_Расчет_аналитики'!X2583,WeightedRevAge16)-SUMIF(ThresholdAge16,"&lt;"&amp;'19_Расчет_аналитики'!X2583,WeightedMinAge16),MAX(CapacityAge16*'01_Вводные'!$B$218*'19_Расчет_аналитики'!X2583,MeanMinAge16)))</f>
        <v/>
      </c>
      <c r="Y2503">
        <f>IF(OR('19_Расчет_аналитики'!Y2475=0,16&lt;='01_Вводные'!$B$297),0,'19_Расчет_аналитики'!Y2475*IF('01_Вводные'!$B$239="Да",MeanMinAge16+'19_Расчет_аналитики'!Y2583*SUMIF(ThresholdAge16,"&lt;"&amp;'19_Расчет_аналитики'!Y2583,WeightedRevAge16)-SUMIF(ThresholdAge16,"&lt;"&amp;'19_Расчет_аналитики'!Y2583,WeightedMinAge16),MAX(CapacityAge16*'01_Вводные'!$B$218*'19_Расчет_аналитики'!Y2583,MeanMinAge16)))</f>
        <v/>
      </c>
      <c r="Z2503">
        <f>IF(OR('19_Расчет_аналитики'!Z2475=0,16&lt;='01_Вводные'!$B$297),0,'19_Расчет_аналитики'!Z2475*IF('01_Вводные'!$B$239="Да",MeanMinAge16+'19_Расчет_аналитики'!Z2583*SUMIF(ThresholdAge16,"&lt;"&amp;'19_Расчет_аналитики'!Z2583,WeightedRevAge16)-SUMIF(ThresholdAge16,"&lt;"&amp;'19_Расчет_аналитики'!Z2583,WeightedMinAge16),MAX(CapacityAge16*'01_Вводные'!$B$218*'19_Расчет_аналитики'!Z2583,MeanMinAge16)))</f>
        <v/>
      </c>
      <c r="AA2503">
        <f>IF(OR('19_Расчет_аналитики'!AA2475=0,16&lt;='01_Вводные'!$B$297),0,'19_Расчет_аналитики'!AA2475*IF('01_Вводные'!$B$239="Да",MeanMinAge16+'19_Расчет_аналитики'!AA2583*SUMIF(ThresholdAge16,"&lt;"&amp;'19_Расчет_аналитики'!AA2583,WeightedRevAge16)-SUMIF(ThresholdAge16,"&lt;"&amp;'19_Расчет_аналитики'!AA2583,WeightedMinAge16),MAX(CapacityAge16*'01_Вводные'!$B$218*'19_Расчет_аналитики'!AA2583,MeanMinAge16)))</f>
        <v/>
      </c>
      <c r="AB2503">
        <f>IF(OR('19_Расчет_аналитики'!AB2475=0,16&lt;='01_Вводные'!$B$297),0,'19_Расчет_аналитики'!AB2475*IF('01_Вводные'!$B$239="Да",MeanMinAge16+'19_Расчет_аналитики'!AB2583*SUMIF(ThresholdAge16,"&lt;"&amp;'19_Расчет_аналитики'!AB2583,WeightedRevAge16)-SUMIF(ThresholdAge16,"&lt;"&amp;'19_Расчет_аналитики'!AB2583,WeightedMinAge16),MAX(CapacityAge16*'01_Вводные'!$B$218*'19_Расчет_аналитики'!AB2583,MeanMinAge16)))</f>
        <v/>
      </c>
      <c r="AC2503">
        <f>IF(OR('19_Расчет_аналитики'!AC2475=0,16&lt;='01_Вводные'!$B$297),0,'19_Расчет_аналитики'!AC2475*IF('01_Вводные'!$B$239="Да",MeanMinAge16+'19_Расчет_аналитики'!AC2583*SUMIF(ThresholdAge16,"&lt;"&amp;'19_Расчет_аналитики'!AC2583,WeightedRevAge16)-SUMIF(ThresholdAge16,"&lt;"&amp;'19_Расчет_аналитики'!AC2583,WeightedMinAge16),MAX(CapacityAge16*'01_Вводные'!$B$218*'19_Расчет_аналитики'!AC2583,MeanMinAge16)))</f>
        <v/>
      </c>
      <c r="AD2503">
        <f>IF(OR('19_Расчет_аналитики'!AD2475=0,16&lt;='01_Вводные'!$B$297),0,'19_Расчет_аналитики'!AD2475*IF('01_Вводные'!$B$239="Да",MeanMinAge16+'19_Расчет_аналитики'!AD2583*SUMIF(ThresholdAge16,"&lt;"&amp;'19_Расчет_аналитики'!AD2583,WeightedRevAge16)-SUMIF(ThresholdAge16,"&lt;"&amp;'19_Расчет_аналитики'!AD2583,WeightedMinAge16),MAX(CapacityAge16*'01_Вводные'!$B$218*'19_Расчет_аналитики'!AD2583,MeanMinAge16)))</f>
        <v/>
      </c>
      <c r="AE2503">
        <f>IF(OR('19_Расчет_аналитики'!AE2475=0,16&lt;='01_Вводные'!$B$297),0,'19_Расчет_аналитики'!AE2475*IF('01_Вводные'!$B$239="Да",MeanMinAge16+'19_Расчет_аналитики'!AE2583*SUMIF(ThresholdAge16,"&lt;"&amp;'19_Расчет_аналитики'!AE2583,WeightedRevAge16)-SUMIF(ThresholdAge16,"&lt;"&amp;'19_Расчет_аналитики'!AE2583,WeightedMinAge16),MAX(CapacityAge16*'01_Вводные'!$B$218*'19_Расчет_аналитики'!AE2583,MeanMinAge16)))</f>
        <v/>
      </c>
      <c r="AF2503">
        <f>IF(OR('19_Расчет_аналитики'!AF2475=0,16&lt;='01_Вводные'!$B$297),0,'19_Расчет_аналитики'!AF2475*IF('01_Вводные'!$B$239="Да",MeanMinAge16+'19_Расчет_аналитики'!AF2583*SUMIF(ThresholdAge16,"&lt;"&amp;'19_Расчет_аналитики'!AF2583,WeightedRevAge16)-SUMIF(ThresholdAge16,"&lt;"&amp;'19_Расчет_аналитики'!AF2583,WeightedMinAge16),MAX(CapacityAge16*'01_Вводные'!$B$218*'19_Расчет_аналитики'!AF2583,MeanMinAge16)))</f>
        <v/>
      </c>
      <c r="AG2503">
        <f>IF(OR('19_Расчет_аналитики'!AG2475=0,16&lt;='01_Вводные'!$B$297),0,'19_Расчет_аналитики'!AG2475*IF('01_Вводные'!$B$239="Да",MeanMinAge16+'19_Расчет_аналитики'!AG2583*SUMIF(ThresholdAge16,"&lt;"&amp;'19_Расчет_аналитики'!AG2583,WeightedRevAge16)-SUMIF(ThresholdAge16,"&lt;"&amp;'19_Расчет_аналитики'!AG2583,WeightedMinAge16),MAX(CapacityAge16*'01_Вводные'!$B$218*'19_Расчет_аналитики'!AG2583,MeanMinAge16)))</f>
        <v/>
      </c>
      <c r="AH2503">
        <f>IF(OR('19_Расчет_аналитики'!AH2475=0,16&lt;='01_Вводные'!$B$297),0,'19_Расчет_аналитики'!AH2475*IF('01_Вводные'!$B$239="Да",MeanMinAge16+'19_Расчет_аналитики'!AH2583*SUMIF(ThresholdAge16,"&lt;"&amp;'19_Расчет_аналитики'!AH2583,WeightedRevAge16)-SUMIF(ThresholdAge16,"&lt;"&amp;'19_Расчет_аналитики'!AH2583,WeightedMinAge16),MAX(CapacityAge16*'01_Вводные'!$B$218*'19_Расчет_аналитики'!AH2583,MeanMinAge16)))</f>
        <v/>
      </c>
      <c r="AI2503">
        <f>IF(OR('19_Расчет_аналитики'!AI2475=0,16&lt;='01_Вводные'!$B$297),0,'19_Расчет_аналитики'!AI2475*IF('01_Вводные'!$B$239="Да",MeanMinAge16+'19_Расчет_аналитики'!AI2583*SUMIF(ThresholdAge16,"&lt;"&amp;'19_Расчет_аналитики'!AI2583,WeightedRevAge16)-SUMIF(ThresholdAge16,"&lt;"&amp;'19_Расчет_аналитики'!AI2583,WeightedMinAge16),MAX(CapacityAge16*'01_Вводные'!$B$218*'19_Расчет_аналитики'!AI2583,MeanMinAge16)))</f>
        <v/>
      </c>
      <c r="AJ2503">
        <f>IF(OR('19_Расчет_аналитики'!AJ2475=0,16&lt;='01_Вводные'!$B$297),0,'19_Расчет_аналитики'!AJ2475*IF('01_Вводные'!$B$239="Да",MeanMinAge16+'19_Расчет_аналитики'!AJ2583*SUMIF(ThresholdAge16,"&lt;"&amp;'19_Расчет_аналитики'!AJ2583,WeightedRevAge16)-SUMIF(ThresholdAge16,"&lt;"&amp;'19_Расчет_аналитики'!AJ2583,WeightedMinAge16),MAX(CapacityAge16*'01_Вводные'!$B$218*'19_Расчет_аналитики'!AJ2583,MeanMinAge16)))</f>
        <v/>
      </c>
      <c r="AK2503">
        <f>IF(OR('19_Расчет_аналитики'!AK2475=0,16&lt;='01_Вводные'!$B$297),0,'19_Расчет_аналитики'!AK2475*IF('01_Вводные'!$B$239="Да",MeanMinAge16+'19_Расчет_аналитики'!AK2583*SUMIF(ThresholdAge16,"&lt;"&amp;'19_Расчет_аналитики'!AK2583,WeightedRevAge16)-SUMIF(ThresholdAge16,"&lt;"&amp;'19_Расчет_аналитики'!AK2583,WeightedMinAge16),MAX(CapacityAge16*'01_Вводные'!$B$218*'19_Расчет_аналитики'!AK2583,MeanMinAge16)))</f>
        <v/>
      </c>
      <c r="AL2503">
        <f>IF(OR('19_Расчет_аналитики'!AL2475=0,16&lt;='01_Вводные'!$B$297),0,'19_Расчет_аналитики'!AL2475*IF('01_Вводные'!$B$239="Да",MeanMinAge16+'19_Расчет_аналитики'!AL2583*SUMIF(ThresholdAge16,"&lt;"&amp;'19_Расчет_аналитики'!AL2583,WeightedRevAge16)-SUMIF(ThresholdAge16,"&lt;"&amp;'19_Расчет_аналитики'!AL2583,WeightedMinAge16),MAX(CapacityAge16*'01_Вводные'!$B$218*'19_Расчет_аналитики'!AL2583,MeanMinAge16)))</f>
        <v/>
      </c>
      <c r="AM2503">
        <f>IF(OR('19_Расчет_аналитики'!AM2475=0,16&lt;='01_Вводные'!$B$297),0,'19_Расчет_аналитики'!AM2475*IF('01_Вводные'!$B$239="Да",MeanMinAge16+'19_Расчет_аналитики'!AM2583*SUMIF(ThresholdAge16,"&lt;"&amp;'19_Расчет_аналитики'!AM2583,WeightedRevAge16)-SUMIF(ThresholdAge16,"&lt;"&amp;'19_Расчет_аналитики'!AM2583,WeightedMinAge16),MAX(CapacityAge16*'01_Вводные'!$B$218*'19_Расчет_аналитики'!AM2583,MeanMinAge16)))</f>
        <v/>
      </c>
      <c r="AN2503">
        <f>IF(OR('19_Расчет_аналитики'!AN2475=0,16&lt;='01_Вводные'!$B$297),0,'19_Расчет_аналитики'!AN2475*IF('01_Вводные'!$B$239="Да",MeanMinAge16+'19_Расчет_аналитики'!AN2583*SUMIF(ThresholdAge16,"&lt;"&amp;'19_Расчет_аналитики'!AN2583,WeightedRevAge16)-SUMIF(ThresholdAge16,"&lt;"&amp;'19_Расчет_аналитики'!AN2583,WeightedMinAge16),MAX(CapacityAge16*'01_Вводные'!$B$218*'19_Расчет_аналитики'!AN2583,MeanMinAge16)))</f>
        <v/>
      </c>
      <c r="AO2503">
        <f>IF(OR('19_Расчет_аналитики'!AO2475=0,16&lt;='01_Вводные'!$B$297),0,'19_Расчет_аналитики'!AO2475*IF('01_Вводные'!$B$239="Да",MeanMinAge16+'19_Расчет_аналитики'!AO2583*SUMIF(ThresholdAge16,"&lt;"&amp;'19_Расчет_аналитики'!AO2583,WeightedRevAge16)-SUMIF(ThresholdAge16,"&lt;"&amp;'19_Расчет_аналитики'!AO2583,WeightedMinAge16),MAX(CapacityAge16*'01_Вводные'!$B$218*'19_Расчет_аналитики'!AO2583,MeanMinAge16)))</f>
        <v/>
      </c>
      <c r="AP2503">
        <f>IF(OR('19_Расчет_аналитики'!AP2475=0,16&lt;='01_Вводные'!$B$297),0,'19_Расчет_аналитики'!AP2475*IF('01_Вводные'!$B$239="Да",MeanMinAge16+'19_Расчет_аналитики'!AP2583*SUMIF(ThresholdAge16,"&lt;"&amp;'19_Расчет_аналитики'!AP2583,WeightedRevAge16)-SUMIF(ThresholdAge16,"&lt;"&amp;'19_Расчет_аналитики'!AP2583,WeightedMinAge16),MAX(CapacityAge16*'01_Вводные'!$B$218*'19_Расчет_аналитики'!AP2583,MeanMinAge16)))</f>
        <v/>
      </c>
      <c r="AQ2503">
        <f>IF(OR('19_Расчет_аналитики'!AQ2475=0,16&lt;='01_Вводные'!$B$297),0,'19_Расчет_аналитики'!AQ2475*IF('01_Вводные'!$B$239="Да",MeanMinAge16+'19_Расчет_аналитики'!AQ2583*SUMIF(ThresholdAge16,"&lt;"&amp;'19_Расчет_аналитики'!AQ2583,WeightedRevAge16)-SUMIF(ThresholdAge16,"&lt;"&amp;'19_Расчет_аналитики'!AQ2583,WeightedMinAge16),MAX(CapacityAge16*'01_Вводные'!$B$218*'19_Расчет_аналитики'!AQ2583,MeanMinAge16)))</f>
        <v/>
      </c>
      <c r="AR2503">
        <f>IF(OR('19_Расчет_аналитики'!AR2475=0,16&lt;='01_Вводные'!$B$297),0,'19_Расчет_аналитики'!AR2475*IF('01_Вводные'!$B$239="Да",MeanMinAge16+'19_Расчет_аналитики'!AR2583*SUMIF(ThresholdAge16,"&lt;"&amp;'19_Расчет_аналитики'!AR2583,WeightedRevAge16)-SUMIF(ThresholdAge16,"&lt;"&amp;'19_Расчет_аналитики'!AR2583,WeightedMinAge16),MAX(CapacityAge16*'01_Вводные'!$B$218*'19_Расчет_аналитики'!AR2583,MeanMinAge16)))</f>
        <v/>
      </c>
      <c r="AS2503">
        <f>IF(OR('19_Расчет_аналитики'!AS2475=0,16&lt;='01_Вводные'!$B$297),0,'19_Расчет_аналитики'!AS2475*IF('01_Вводные'!$B$239="Да",MeanMinAge16+'19_Расчет_аналитики'!AS2583*SUMIF(ThresholdAge16,"&lt;"&amp;'19_Расчет_аналитики'!AS2583,WeightedRevAge16)-SUMIF(ThresholdAge16,"&lt;"&amp;'19_Расчет_аналитики'!AS2583,WeightedMinAge16),MAX(CapacityAge16*'01_Вводные'!$B$218*'19_Расчет_аналитики'!AS2583,MeanMinAge16)))</f>
        <v/>
      </c>
      <c r="AT2503">
        <f>IF(OR('19_Расчет_аналитики'!AT2475=0,16&lt;='01_Вводные'!$B$297),0,'19_Расчет_аналитики'!AT2475*IF('01_Вводные'!$B$239="Да",MeanMinAge16+'19_Расчет_аналитики'!AT2583*SUMIF(ThresholdAge16,"&lt;"&amp;'19_Расчет_аналитики'!AT2583,WeightedRevAge16)-SUMIF(ThresholdAge16,"&lt;"&amp;'19_Расчет_аналитики'!AT2583,WeightedMinAge16),MAX(CapacityAge16*'01_Вводные'!$B$218*'19_Расчет_аналитики'!AT2583,MeanMinAge16)))</f>
        <v/>
      </c>
      <c r="AU2503">
        <f>IF(OR('19_Расчет_аналитики'!AU2475=0,16&lt;='01_Вводные'!$B$297),0,'19_Расчет_аналитики'!AU2475*IF('01_Вводные'!$B$239="Да",MeanMinAge16+'19_Расчет_аналитики'!AU2583*SUMIF(ThresholdAge16,"&lt;"&amp;'19_Расчет_аналитики'!AU2583,WeightedRevAge16)-SUMIF(ThresholdAge16,"&lt;"&amp;'19_Расчет_аналитики'!AU2583,WeightedMinAge16),MAX(CapacityAge16*'01_Вводные'!$B$218*'19_Расчет_аналитики'!AU2583,MeanMinAge16)))</f>
        <v/>
      </c>
      <c r="AV2503">
        <f>IF(OR('19_Расчет_аналитики'!AV2475=0,16&lt;='01_Вводные'!$B$297),0,'19_Расчет_аналитики'!AV2475*IF('01_Вводные'!$B$239="Да",MeanMinAge16+'19_Расчет_аналитики'!AV2583*SUMIF(ThresholdAge16,"&lt;"&amp;'19_Расчет_аналитики'!AV2583,WeightedRevAge16)-SUMIF(ThresholdAge16,"&lt;"&amp;'19_Расчет_аналитики'!AV2583,WeightedMinAge16),MAX(CapacityAge16*'01_Вводные'!$B$218*'19_Расчет_аналитики'!AV2583,MeanMinAge16)))</f>
        <v/>
      </c>
      <c r="AW2503">
        <f>IF(OR('19_Расчет_аналитики'!AW2475=0,16&lt;='01_Вводные'!$B$297),0,'19_Расчет_аналитики'!AW2475*IF('01_Вводные'!$B$239="Да",MeanMinAge16+'19_Расчет_аналитики'!AW2583*SUMIF(ThresholdAge16,"&lt;"&amp;'19_Расчет_аналитики'!AW2583,WeightedRevAge16)-SUMIF(ThresholdAge16,"&lt;"&amp;'19_Расчет_аналитики'!AW2583,WeightedMinAge16),MAX(CapacityAge16*'01_Вводные'!$B$218*'19_Расчет_аналитики'!AW2583,MeanMinAge16)))</f>
        <v/>
      </c>
      <c r="AX2503">
        <f>IF(OR('19_Расчет_аналитики'!AX2475=0,16&lt;='01_Вводные'!$B$297),0,'19_Расчет_аналитики'!AX2475*IF('01_Вводные'!$B$239="Да",MeanMinAge16+'19_Расчет_аналитики'!AX2583*SUMIF(ThresholdAge16,"&lt;"&amp;'19_Расчет_аналитики'!AX2583,WeightedRevAge16)-SUMIF(ThresholdAge16,"&lt;"&amp;'19_Расчет_аналитики'!AX2583,WeightedMinAge16),MAX(CapacityAge16*'01_Вводные'!$B$218*'19_Расчет_аналитики'!AX2583,MeanMinAge16)))</f>
        <v/>
      </c>
      <c r="AY2503">
        <f>IF(OR('19_Расчет_аналитики'!AY2475=0,16&lt;='01_Вводные'!$B$297),0,'19_Расчет_аналитики'!AY2475*IF('01_Вводные'!$B$239="Да",MeanMinAge16+'19_Расчет_аналитики'!AY2583*SUMIF(ThresholdAge16,"&lt;"&amp;'19_Расчет_аналитики'!AY2583,WeightedRevAge16)-SUMIF(ThresholdAge16,"&lt;"&amp;'19_Расчет_аналитики'!AY2583,WeightedMinAge16),MAX(CapacityAge16*'01_Вводные'!$B$218*'19_Расчет_аналитики'!AY2583,MeanMinAge16)))</f>
        <v/>
      </c>
      <c r="AZ2503">
        <f>IF(OR('19_Расчет_аналитики'!AZ2475=0,16&lt;='01_Вводные'!$B$297),0,'19_Расчет_аналитики'!AZ2475*IF('01_Вводные'!$B$239="Да",MeanMinAge16+'19_Расчет_аналитики'!AZ2583*SUMIF(ThresholdAge16,"&lt;"&amp;'19_Расчет_аналитики'!AZ2583,WeightedRevAge16)-SUMIF(ThresholdAge16,"&lt;"&amp;'19_Расчет_аналитики'!AZ2583,WeightedMinAge16),MAX(CapacityAge16*'01_Вводные'!$B$218*'19_Расчет_аналитики'!AZ2583,MeanMinAge16)))</f>
        <v/>
      </c>
      <c r="BA2503">
        <f>IF(OR('19_Расчет_аналитики'!BA2475=0,16&lt;='01_Вводные'!$B$297),0,'19_Расчет_аналитики'!BA2475*IF('01_Вводные'!$B$239="Да",MeanMinAge16+'19_Расчет_аналитики'!BA2583*SUMIF(ThresholdAge16,"&lt;"&amp;'19_Расчет_аналитики'!BA2583,WeightedRevAge16)-SUMIF(ThresholdAge16,"&lt;"&amp;'19_Расчет_аналитики'!BA2583,WeightedMinAge16),MAX(CapacityAge16*'01_Вводные'!$B$218*'19_Расчет_аналитики'!BA2583,MeanMinAge16)))</f>
        <v/>
      </c>
      <c r="BB2503">
        <f>IF(OR('19_Расчет_аналитики'!BB2475=0,16&lt;='01_Вводные'!$B$297),0,'19_Расчет_аналитики'!BB2475*IF('01_Вводные'!$B$239="Да",MeanMinAge16+'19_Расчет_аналитики'!BB2583*SUMIF(ThresholdAge16,"&lt;"&amp;'19_Расчет_аналитики'!BB2583,WeightedRevAge16)-SUMIF(ThresholdAge16,"&lt;"&amp;'19_Расчет_аналитики'!BB2583,WeightedMinAge16),MAX(CapacityAge16*'01_Вводные'!$B$218*'19_Расчет_аналитики'!BB2583,MeanMinAge16)))</f>
        <v/>
      </c>
      <c r="BC2503">
        <f>IF(OR('19_Расчет_аналитики'!BC2475=0,16&lt;='01_Вводные'!$B$297),0,'19_Расчет_аналитики'!BC2475*IF('01_Вводные'!$B$239="Да",MeanMinAge16+'19_Расчет_аналитики'!BC2583*SUMIF(ThresholdAge16,"&lt;"&amp;'19_Расчет_аналитики'!BC2583,WeightedRevAge16)-SUMIF(ThresholdAge16,"&lt;"&amp;'19_Расчет_аналитики'!BC2583,WeightedMinAge16),MAX(CapacityAge16*'01_Вводные'!$B$218*'19_Расчет_аналитики'!BC2583,MeanMinAge16)))</f>
        <v/>
      </c>
      <c r="BD2503">
        <f>IF(OR('19_Расчет_аналитики'!BD2475=0,16&lt;='01_Вводные'!$B$297),0,'19_Расчет_аналитики'!BD2475*IF('01_Вводные'!$B$239="Да",MeanMinAge16+'19_Расчет_аналитики'!BD2583*SUMIF(ThresholdAge16,"&lt;"&amp;'19_Расчет_аналитики'!BD2583,WeightedRevAge16)-SUMIF(ThresholdAge16,"&lt;"&amp;'19_Расчет_аналитики'!BD2583,WeightedMinAge16),MAX(CapacityAge16*'01_Вводные'!$B$218*'19_Расчет_аналитики'!BD2583,MeanMinAge16)))</f>
        <v/>
      </c>
      <c r="BE2503">
        <f>IF(OR('19_Расчет_аналитики'!BE2475=0,16&lt;='01_Вводные'!$B$297),0,'19_Расчет_аналитики'!BE2475*IF('01_Вводные'!$B$239="Да",MeanMinAge16+'19_Расчет_аналитики'!BE2583*SUMIF(ThresholdAge16,"&lt;"&amp;'19_Расчет_аналитики'!BE2583,WeightedRevAge16)-SUMIF(ThresholdAge16,"&lt;"&amp;'19_Расчет_аналитики'!BE2583,WeightedMinAge16),MAX(CapacityAge16*'01_Вводные'!$B$218*'19_Расчет_аналитики'!BE2583,MeanMinAge16)))</f>
        <v/>
      </c>
      <c r="BF2503">
        <f>IF(OR('19_Расчет_аналитики'!BF2475=0,16&lt;='01_Вводные'!$B$297),0,'19_Расчет_аналитики'!BF2475*IF('01_Вводные'!$B$239="Да",MeanMinAge16+'19_Расчет_аналитики'!BF2583*SUMIF(ThresholdAge16,"&lt;"&amp;'19_Расчет_аналитики'!BF2583,WeightedRevAge16)-SUMIF(ThresholdAge16,"&lt;"&amp;'19_Расчет_аналитики'!BF2583,WeightedMinAge16),MAX(CapacityAge16*'01_Вводные'!$B$218*'19_Расчет_аналитики'!BF2583,MeanMinAge16)))</f>
        <v/>
      </c>
      <c r="BG2503">
        <f>IF(OR('19_Расчет_аналитики'!BG2475=0,16&lt;='01_Вводные'!$B$297),0,'19_Расчет_аналитики'!BG2475*IF('01_Вводные'!$B$239="Да",MeanMinAge16+'19_Расчет_аналитики'!BG2583*SUMIF(ThresholdAge16,"&lt;"&amp;'19_Расчет_аналитики'!BG2583,WeightedRevAge16)-SUMIF(ThresholdAge16,"&lt;"&amp;'19_Расчет_аналитики'!BG2583,WeightedMinAge16),MAX(CapacityAge16*'01_Вводные'!$B$218*'19_Расчет_аналитики'!BG2583,MeanMinAge16)))</f>
        <v/>
      </c>
      <c r="BH2503">
        <f>IF(OR('19_Расчет_аналитики'!BH2475=0,16&lt;='01_Вводные'!$B$297),0,'19_Расчет_аналитики'!BH2475*IF('01_Вводные'!$B$239="Да",MeanMinAge16+'19_Расчет_аналитики'!BH2583*SUMIF(ThresholdAge16,"&lt;"&amp;'19_Расчет_аналитики'!BH2583,WeightedRevAge16)-SUMIF(ThresholdAge16,"&lt;"&amp;'19_Расчет_аналитики'!BH2583,WeightedMinAge16),MAX(CapacityAge16*'01_Вводные'!$B$218*'19_Расчет_аналитики'!BH2583,MeanMinAge16)))</f>
        <v/>
      </c>
      <c r="BI2503">
        <f>IF(OR('19_Расчет_аналитики'!BI2475=0,16&lt;='01_Вводные'!$B$297),0,'19_Расчет_аналитики'!BI2475*IF('01_Вводные'!$B$239="Да",MeanMinAge16+'19_Расчет_аналитики'!BI2583*SUMIF(ThresholdAge16,"&lt;"&amp;'19_Расчет_аналитики'!BI2583,WeightedRevAge16)-SUMIF(ThresholdAge16,"&lt;"&amp;'19_Расчет_аналитики'!BI2583,WeightedMinAge16),MAX(CapacityAge16*'01_Вводные'!$B$218*'19_Расчет_аналитики'!BI2583,MeanMinAge16)))</f>
        <v/>
      </c>
      <c r="BJ2503">
        <f>IF(OR('19_Расчет_аналитики'!BJ2475=0,16&lt;='01_Вводные'!$B$297),0,'19_Расчет_аналитики'!BJ2475*IF('01_Вводные'!$B$239="Да",MeanMinAge16+'19_Расчет_аналитики'!BJ2583*SUMIF(ThresholdAge16,"&lt;"&amp;'19_Расчет_аналитики'!BJ2583,WeightedRevAge16)-SUMIF(ThresholdAge16,"&lt;"&amp;'19_Расчет_аналитики'!BJ2583,WeightedMinAge16),MAX(CapacityAge16*'01_Вводные'!$B$218*'19_Расчет_аналитики'!BJ2583,MeanMinAge16)))</f>
        <v/>
      </c>
      <c r="BK2503">
        <f>IF(OR('19_Расчет_аналитики'!BK2475=0,16&lt;='01_Вводные'!$B$297),0,'19_Расчет_аналитики'!BK2475*IF('01_Вводные'!$B$239="Да",MeanMinAge16+'19_Расчет_аналитики'!BK2583*SUMIF(ThresholdAge16,"&lt;"&amp;'19_Расчет_аналитики'!BK2583,WeightedRevAge16)-SUMIF(ThresholdAge16,"&lt;"&amp;'19_Расчет_аналитики'!BK2583,WeightedMinAge16),MAX(CapacityAge16*'01_Вводные'!$B$218*'19_Расчет_аналитики'!BK2583,MeanMinAge16)))</f>
        <v/>
      </c>
      <c r="BL2503">
        <f>IF(OR('19_Расчет_аналитики'!BL2475=0,16&lt;='01_Вводные'!$B$297),0,'19_Расчет_аналитики'!BL2475*IF('01_Вводные'!$B$239="Да",MeanMinAge16+'19_Расчет_аналитики'!BL2583*SUMIF(ThresholdAge16,"&lt;"&amp;'19_Расчет_аналитики'!BL2583,WeightedRevAge16)-SUMIF(ThresholdAge16,"&lt;"&amp;'19_Расчет_аналитики'!BL2583,WeightedMinAge16),MAX(CapacityAge16*'01_Вводные'!$B$218*'19_Расчет_аналитики'!BL2583,MeanMinAge16)))</f>
        <v/>
      </c>
      <c r="BM2503">
        <f>IF(OR('19_Расчет_аналитики'!BM2475=0,16&lt;='01_Вводные'!$B$297),0,'19_Расчет_аналитики'!BM2475*IF('01_Вводные'!$B$239="Да",MeanMinAge16+'19_Расчет_аналитики'!BM2583*SUMIF(ThresholdAge16,"&lt;"&amp;'19_Расчет_аналитики'!BM2583,WeightedRevAge16)-SUMIF(ThresholdAge16,"&lt;"&amp;'19_Расчет_аналитики'!BM2583,WeightedMinAge16),MAX(CapacityAge16*'01_Вводные'!$B$218*'19_Расчет_аналитики'!BM2583,MeanMinAge16)))</f>
        <v/>
      </c>
      <c r="BN2503">
        <f>IF(OR('19_Расчет_аналитики'!BN2475=0,16&lt;='01_Вводные'!$B$297),0,'19_Расчет_аналитики'!BN2475*IF('01_Вводные'!$B$239="Да",MeanMinAge16+'19_Расчет_аналитики'!BN2583*SUMIF(ThresholdAge16,"&lt;"&amp;'19_Расчет_аналитики'!BN2583,WeightedRevAge16)-SUMIF(ThresholdAge16,"&lt;"&amp;'19_Расчет_аналитики'!BN2583,WeightedMinAge16),MAX(CapacityAge16*'01_Вводные'!$B$218*'19_Расчет_аналитики'!BN2583,MeanMinAge16)))</f>
        <v/>
      </c>
      <c r="BO2503">
        <f>IF(OR('19_Расчет_аналитики'!BO2475=0,16&lt;='01_Вводные'!$B$297),0,'19_Расчет_аналитики'!BO2475*IF('01_Вводные'!$B$239="Да",MeanMinAge16+'19_Расчет_аналитики'!BO2583*SUMIF(ThresholdAge16,"&lt;"&amp;'19_Расчет_аналитики'!BO2583,WeightedRevAge16)-SUMIF(ThresholdAge16,"&lt;"&amp;'19_Расчет_аналитики'!BO2583,WeightedMinAge16),MAX(CapacityAge16*'01_Вводные'!$B$218*'19_Расчет_аналитики'!BO2583,MeanMinAge16)))</f>
        <v/>
      </c>
    </row>
    <row r="2504">
      <c r="B2504">
        <f>IF(OR('06_Сеть_и_дети'!B97=0,17&lt;='01_Вводные'!$B$297),0,'06_Сеть_и_дети'!B97*IF('01_Вводные'!$B$239="Да",MeanMinAge17+'19_Расчет_аналитики'!B2583*SUMIF(ThresholdAge17,"&lt;"&amp;'19_Расчет_аналитики'!B2583,WeightedRevAge17)-SUMIF(ThresholdAge17,"&lt;"&amp;'19_Расчет_аналитики'!B2583,WeightedMinAge17),MAX(CapacityAge17*'01_Вводные'!$B$218*'19_Расчет_аналитики'!B2583,MeanMinAge17)))</f>
        <v/>
      </c>
      <c r="C2504">
        <f>IF(OR('06_Сеть_и_дети'!C97=0,17&lt;='01_Вводные'!$B$297),0,'06_Сеть_и_дети'!C97*IF('01_Вводные'!$B$239="Да",MeanMinAge17+'19_Расчет_аналитики'!C2583*SUMIF(ThresholdAge17,"&lt;"&amp;'19_Расчет_аналитики'!C2583,WeightedRevAge17)-SUMIF(ThresholdAge17,"&lt;"&amp;'19_Расчет_аналитики'!C2583,WeightedMinAge17),MAX(CapacityAge17*'01_Вводные'!$B$218*'19_Расчет_аналитики'!C2583,MeanMinAge17)))</f>
        <v/>
      </c>
      <c r="D2504">
        <f>IF(OR('06_Сеть_и_дети'!D97=0,17&lt;='01_Вводные'!$B$297),0,'06_Сеть_и_дети'!D97*IF('01_Вводные'!$B$239="Да",MeanMinAge17+'19_Расчет_аналитики'!D2583*SUMIF(ThresholdAge17,"&lt;"&amp;'19_Расчет_аналитики'!D2583,WeightedRevAge17)-SUMIF(ThresholdAge17,"&lt;"&amp;'19_Расчет_аналитики'!D2583,WeightedMinAge17),MAX(CapacityAge17*'01_Вводные'!$B$218*'19_Расчет_аналитики'!D2583,MeanMinAge17)))</f>
        <v/>
      </c>
      <c r="E2504">
        <f>IF(OR('06_Сеть_и_дети'!E97=0,17&lt;='01_Вводные'!$B$297),0,'06_Сеть_и_дети'!E97*IF('01_Вводные'!$B$239="Да",MeanMinAge17+'19_Расчет_аналитики'!E2583*SUMIF(ThresholdAge17,"&lt;"&amp;'19_Расчет_аналитики'!E2583,WeightedRevAge17)-SUMIF(ThresholdAge17,"&lt;"&amp;'19_Расчет_аналитики'!E2583,WeightedMinAge17),MAX(CapacityAge17*'01_Вводные'!$B$218*'19_Расчет_аналитики'!E2583,MeanMinAge17)))</f>
        <v/>
      </c>
      <c r="F2504">
        <f>IF(OR('06_Сеть_и_дети'!F97=0,17&lt;='01_Вводные'!$B$297),0,'06_Сеть_и_дети'!F97*IF('01_Вводные'!$B$239="Да",MeanMinAge17+'19_Расчет_аналитики'!F2583*SUMIF(ThresholdAge17,"&lt;"&amp;'19_Расчет_аналитики'!F2583,WeightedRevAge17)-SUMIF(ThresholdAge17,"&lt;"&amp;'19_Расчет_аналитики'!F2583,WeightedMinAge17),MAX(CapacityAge17*'01_Вводные'!$B$218*'19_Расчет_аналитики'!F2583,MeanMinAge17)))</f>
        <v/>
      </c>
      <c r="G2504">
        <f>IF(OR('06_Сеть_и_дети'!G97=0,17&lt;='01_Вводные'!$B$297),0,'06_Сеть_и_дети'!G97*IF('01_Вводные'!$B$239="Да",MeanMinAge17+'19_Расчет_аналитики'!G2583*SUMIF(ThresholdAge17,"&lt;"&amp;'19_Расчет_аналитики'!G2583,WeightedRevAge17)-SUMIF(ThresholdAge17,"&lt;"&amp;'19_Расчет_аналитики'!G2583,WeightedMinAge17),MAX(CapacityAge17*'01_Вводные'!$B$218*'19_Расчет_аналитики'!G2583,MeanMinAge17)))</f>
        <v/>
      </c>
      <c r="H2504">
        <f>IF(OR('06_Сеть_и_дети'!H97=0,17&lt;='01_Вводные'!$B$297),0,'06_Сеть_и_дети'!H97*IF('01_Вводные'!$B$239="Да",MeanMinAge17+'19_Расчет_аналитики'!H2583*SUMIF(ThresholdAge17,"&lt;"&amp;'19_Расчет_аналитики'!H2583,WeightedRevAge17)-SUMIF(ThresholdAge17,"&lt;"&amp;'19_Расчет_аналитики'!H2583,WeightedMinAge17),MAX(CapacityAge17*'01_Вводные'!$B$218*'19_Расчет_аналитики'!H2583,MeanMinAge17)))</f>
        <v/>
      </c>
      <c r="I2504">
        <f>IF(OR('06_Сеть_и_дети'!I97=0,17&lt;='01_Вводные'!$B$297),0,'06_Сеть_и_дети'!I97*IF('01_Вводные'!$B$239="Да",MeanMinAge17+'19_Расчет_аналитики'!I2583*SUMIF(ThresholdAge17,"&lt;"&amp;'19_Расчет_аналитики'!I2583,WeightedRevAge17)-SUMIF(ThresholdAge17,"&lt;"&amp;'19_Расчет_аналитики'!I2583,WeightedMinAge17),MAX(CapacityAge17*'01_Вводные'!$B$218*'19_Расчет_аналитики'!I2583,MeanMinAge17)))</f>
        <v/>
      </c>
      <c r="J2504">
        <f>IF(OR('06_Сеть_и_дети'!J97=0,17&lt;='01_Вводные'!$B$297),0,'06_Сеть_и_дети'!J97*IF('01_Вводные'!$B$239="Да",MeanMinAge17+'19_Расчет_аналитики'!J2583*SUMIF(ThresholdAge17,"&lt;"&amp;'19_Расчет_аналитики'!J2583,WeightedRevAge17)-SUMIF(ThresholdAge17,"&lt;"&amp;'19_Расчет_аналитики'!J2583,WeightedMinAge17),MAX(CapacityAge17*'01_Вводные'!$B$218*'19_Расчет_аналитики'!J2583,MeanMinAge17)))</f>
        <v/>
      </c>
      <c r="K2504">
        <f>IF(OR('06_Сеть_и_дети'!K97=0,17&lt;='01_Вводные'!$B$297),0,'06_Сеть_и_дети'!K97*IF('01_Вводные'!$B$239="Да",MeanMinAge17+'19_Расчет_аналитики'!K2583*SUMIF(ThresholdAge17,"&lt;"&amp;'19_Расчет_аналитики'!K2583,WeightedRevAge17)-SUMIF(ThresholdAge17,"&lt;"&amp;'19_Расчет_аналитики'!K2583,WeightedMinAge17),MAX(CapacityAge17*'01_Вводные'!$B$218*'19_Расчет_аналитики'!K2583,MeanMinAge17)))</f>
        <v/>
      </c>
      <c r="L2504">
        <f>IF(OR('06_Сеть_и_дети'!L97=0,17&lt;='01_Вводные'!$B$297),0,'06_Сеть_и_дети'!L97*IF('01_Вводные'!$B$239="Да",MeanMinAge17+'19_Расчет_аналитики'!L2583*SUMIF(ThresholdAge17,"&lt;"&amp;'19_Расчет_аналитики'!L2583,WeightedRevAge17)-SUMIF(ThresholdAge17,"&lt;"&amp;'19_Расчет_аналитики'!L2583,WeightedMinAge17),MAX(CapacityAge17*'01_Вводные'!$B$218*'19_Расчет_аналитики'!L2583,MeanMinAge17)))</f>
        <v/>
      </c>
      <c r="M2504">
        <f>IF(OR('06_Сеть_и_дети'!M97=0,17&lt;='01_Вводные'!$B$297),0,'06_Сеть_и_дети'!M97*IF('01_Вводные'!$B$239="Да",MeanMinAge17+'19_Расчет_аналитики'!M2583*SUMIF(ThresholdAge17,"&lt;"&amp;'19_Расчет_аналитики'!M2583,WeightedRevAge17)-SUMIF(ThresholdAge17,"&lt;"&amp;'19_Расчет_аналитики'!M2583,WeightedMinAge17),MAX(CapacityAge17*'01_Вводные'!$B$218*'19_Расчет_аналитики'!M2583,MeanMinAge17)))</f>
        <v/>
      </c>
      <c r="N2504">
        <f>IF(OR('06_Сеть_и_дети'!N97=0,17&lt;='01_Вводные'!$B$297),0,'06_Сеть_и_дети'!N97*IF('01_Вводные'!$B$239="Да",MeanMinAge17+'19_Расчет_аналитики'!N2583*SUMIF(ThresholdAge17,"&lt;"&amp;'19_Расчет_аналитики'!N2583,WeightedRevAge17)-SUMIF(ThresholdAge17,"&lt;"&amp;'19_Расчет_аналитики'!N2583,WeightedMinAge17),MAX(CapacityAge17*'01_Вводные'!$B$218*'19_Расчет_аналитики'!N2583,MeanMinAge17)))</f>
        <v/>
      </c>
      <c r="O2504">
        <f>IF(OR('06_Сеть_и_дети'!O97=0,17&lt;='01_Вводные'!$B$297),0,'06_Сеть_и_дети'!O97*IF('01_Вводные'!$B$239="Да",MeanMinAge17+'19_Расчет_аналитики'!O2583*SUMIF(ThresholdAge17,"&lt;"&amp;'19_Расчет_аналитики'!O2583,WeightedRevAge17)-SUMIF(ThresholdAge17,"&lt;"&amp;'19_Расчет_аналитики'!O2583,WeightedMinAge17),MAX(CapacityAge17*'01_Вводные'!$B$218*'19_Расчет_аналитики'!O2583,MeanMinAge17)))</f>
        <v/>
      </c>
      <c r="P2504">
        <f>IF(OR('06_Сеть_и_дети'!P97=0,17&lt;='01_Вводные'!$B$297),0,'06_Сеть_и_дети'!P97*IF('01_Вводные'!$B$239="Да",MeanMinAge17+'19_Расчет_аналитики'!P2583*SUMIF(ThresholdAge17,"&lt;"&amp;'19_Расчет_аналитики'!P2583,WeightedRevAge17)-SUMIF(ThresholdAge17,"&lt;"&amp;'19_Расчет_аналитики'!P2583,WeightedMinAge17),MAX(CapacityAge17*'01_Вводные'!$B$218*'19_Расчет_аналитики'!P2583,MeanMinAge17)))</f>
        <v/>
      </c>
      <c r="Q2504">
        <f>IF(OR('06_Сеть_и_дети'!Q97=0,17&lt;='01_Вводные'!$B$297),0,'06_Сеть_и_дети'!Q97*IF('01_Вводные'!$B$239="Да",MeanMinAge17+'19_Расчет_аналитики'!Q2583*SUMIF(ThresholdAge17,"&lt;"&amp;'19_Расчет_аналитики'!Q2583,WeightedRevAge17)-SUMIF(ThresholdAge17,"&lt;"&amp;'19_Расчет_аналитики'!Q2583,WeightedMinAge17),MAX(CapacityAge17*'01_Вводные'!$B$218*'19_Расчет_аналитики'!Q2583,MeanMinAge17)))</f>
        <v/>
      </c>
      <c r="R2504">
        <f>IF(OR('19_Расчет_аналитики'!R2476=0,17&lt;='01_Вводные'!$B$297),0,'19_Расчет_аналитики'!R2476*IF('01_Вводные'!$B$239="Да",MeanMinAge17+'19_Расчет_аналитики'!R2583*SUMIF(ThresholdAge17,"&lt;"&amp;'19_Расчет_аналитики'!R2583,WeightedRevAge17)-SUMIF(ThresholdAge17,"&lt;"&amp;'19_Расчет_аналитики'!R2583,WeightedMinAge17),MAX(CapacityAge17*'01_Вводные'!$B$218*'19_Расчет_аналитики'!R2583,MeanMinAge17)))</f>
        <v/>
      </c>
      <c r="S2504">
        <f>IF(OR('19_Расчет_аналитики'!S2476=0,17&lt;='01_Вводные'!$B$297),0,'19_Расчет_аналитики'!S2476*IF('01_Вводные'!$B$239="Да",MeanMinAge17+'19_Расчет_аналитики'!S2583*SUMIF(ThresholdAge17,"&lt;"&amp;'19_Расчет_аналитики'!S2583,WeightedRevAge17)-SUMIF(ThresholdAge17,"&lt;"&amp;'19_Расчет_аналитики'!S2583,WeightedMinAge17),MAX(CapacityAge17*'01_Вводные'!$B$218*'19_Расчет_аналитики'!S2583,MeanMinAge17)))</f>
        <v/>
      </c>
      <c r="T2504">
        <f>IF(OR('19_Расчет_аналитики'!T2476=0,17&lt;='01_Вводные'!$B$297),0,'19_Расчет_аналитики'!T2476*IF('01_Вводные'!$B$239="Да",MeanMinAge17+'19_Расчет_аналитики'!T2583*SUMIF(ThresholdAge17,"&lt;"&amp;'19_Расчет_аналитики'!T2583,WeightedRevAge17)-SUMIF(ThresholdAge17,"&lt;"&amp;'19_Расчет_аналитики'!T2583,WeightedMinAge17),MAX(CapacityAge17*'01_Вводные'!$B$218*'19_Расчет_аналитики'!T2583,MeanMinAge17)))</f>
        <v/>
      </c>
      <c r="U2504">
        <f>IF(OR('19_Расчет_аналитики'!U2476=0,17&lt;='01_Вводные'!$B$297),0,'19_Расчет_аналитики'!U2476*IF('01_Вводные'!$B$239="Да",MeanMinAge17+'19_Расчет_аналитики'!U2583*SUMIF(ThresholdAge17,"&lt;"&amp;'19_Расчет_аналитики'!U2583,WeightedRevAge17)-SUMIF(ThresholdAge17,"&lt;"&amp;'19_Расчет_аналитики'!U2583,WeightedMinAge17),MAX(CapacityAge17*'01_Вводные'!$B$218*'19_Расчет_аналитики'!U2583,MeanMinAge17)))</f>
        <v/>
      </c>
      <c r="V2504">
        <f>IF(OR('19_Расчет_аналитики'!V2476=0,17&lt;='01_Вводные'!$B$297),0,'19_Расчет_аналитики'!V2476*IF('01_Вводные'!$B$239="Да",MeanMinAge17+'19_Расчет_аналитики'!V2583*SUMIF(ThresholdAge17,"&lt;"&amp;'19_Расчет_аналитики'!V2583,WeightedRevAge17)-SUMIF(ThresholdAge17,"&lt;"&amp;'19_Расчет_аналитики'!V2583,WeightedMinAge17),MAX(CapacityAge17*'01_Вводные'!$B$218*'19_Расчет_аналитики'!V2583,MeanMinAge17)))</f>
        <v/>
      </c>
      <c r="W2504">
        <f>IF(OR('19_Расчет_аналитики'!W2476=0,17&lt;='01_Вводные'!$B$297),0,'19_Расчет_аналитики'!W2476*IF('01_Вводные'!$B$239="Да",MeanMinAge17+'19_Расчет_аналитики'!W2583*SUMIF(ThresholdAge17,"&lt;"&amp;'19_Расчет_аналитики'!W2583,WeightedRevAge17)-SUMIF(ThresholdAge17,"&lt;"&amp;'19_Расчет_аналитики'!W2583,WeightedMinAge17),MAX(CapacityAge17*'01_Вводные'!$B$218*'19_Расчет_аналитики'!W2583,MeanMinAge17)))</f>
        <v/>
      </c>
      <c r="X2504">
        <f>IF(OR('19_Расчет_аналитики'!X2476=0,17&lt;='01_Вводные'!$B$297),0,'19_Расчет_аналитики'!X2476*IF('01_Вводные'!$B$239="Да",MeanMinAge17+'19_Расчет_аналитики'!X2583*SUMIF(ThresholdAge17,"&lt;"&amp;'19_Расчет_аналитики'!X2583,WeightedRevAge17)-SUMIF(ThresholdAge17,"&lt;"&amp;'19_Расчет_аналитики'!X2583,WeightedMinAge17),MAX(CapacityAge17*'01_Вводные'!$B$218*'19_Расчет_аналитики'!X2583,MeanMinAge17)))</f>
        <v/>
      </c>
      <c r="Y2504">
        <f>IF(OR('19_Расчет_аналитики'!Y2476=0,17&lt;='01_Вводные'!$B$297),0,'19_Расчет_аналитики'!Y2476*IF('01_Вводные'!$B$239="Да",MeanMinAge17+'19_Расчет_аналитики'!Y2583*SUMIF(ThresholdAge17,"&lt;"&amp;'19_Расчет_аналитики'!Y2583,WeightedRevAge17)-SUMIF(ThresholdAge17,"&lt;"&amp;'19_Расчет_аналитики'!Y2583,WeightedMinAge17),MAX(CapacityAge17*'01_Вводные'!$B$218*'19_Расчет_аналитики'!Y2583,MeanMinAge17)))</f>
        <v/>
      </c>
      <c r="Z2504">
        <f>IF(OR('19_Расчет_аналитики'!Z2476=0,17&lt;='01_Вводные'!$B$297),0,'19_Расчет_аналитики'!Z2476*IF('01_Вводные'!$B$239="Да",MeanMinAge17+'19_Расчет_аналитики'!Z2583*SUMIF(ThresholdAge17,"&lt;"&amp;'19_Расчет_аналитики'!Z2583,WeightedRevAge17)-SUMIF(ThresholdAge17,"&lt;"&amp;'19_Расчет_аналитики'!Z2583,WeightedMinAge17),MAX(CapacityAge17*'01_Вводные'!$B$218*'19_Расчет_аналитики'!Z2583,MeanMinAge17)))</f>
        <v/>
      </c>
      <c r="AA2504">
        <f>IF(OR('19_Расчет_аналитики'!AA2476=0,17&lt;='01_Вводные'!$B$297),0,'19_Расчет_аналитики'!AA2476*IF('01_Вводные'!$B$239="Да",MeanMinAge17+'19_Расчет_аналитики'!AA2583*SUMIF(ThresholdAge17,"&lt;"&amp;'19_Расчет_аналитики'!AA2583,WeightedRevAge17)-SUMIF(ThresholdAge17,"&lt;"&amp;'19_Расчет_аналитики'!AA2583,WeightedMinAge17),MAX(CapacityAge17*'01_Вводные'!$B$218*'19_Расчет_аналитики'!AA2583,MeanMinAge17)))</f>
        <v/>
      </c>
      <c r="AB2504">
        <f>IF(OR('19_Расчет_аналитики'!AB2476=0,17&lt;='01_Вводные'!$B$297),0,'19_Расчет_аналитики'!AB2476*IF('01_Вводные'!$B$239="Да",MeanMinAge17+'19_Расчет_аналитики'!AB2583*SUMIF(ThresholdAge17,"&lt;"&amp;'19_Расчет_аналитики'!AB2583,WeightedRevAge17)-SUMIF(ThresholdAge17,"&lt;"&amp;'19_Расчет_аналитики'!AB2583,WeightedMinAge17),MAX(CapacityAge17*'01_Вводные'!$B$218*'19_Расчет_аналитики'!AB2583,MeanMinAge17)))</f>
        <v/>
      </c>
      <c r="AC2504">
        <f>IF(OR('19_Расчет_аналитики'!AC2476=0,17&lt;='01_Вводные'!$B$297),0,'19_Расчет_аналитики'!AC2476*IF('01_Вводные'!$B$239="Да",MeanMinAge17+'19_Расчет_аналитики'!AC2583*SUMIF(ThresholdAge17,"&lt;"&amp;'19_Расчет_аналитики'!AC2583,WeightedRevAge17)-SUMIF(ThresholdAge17,"&lt;"&amp;'19_Расчет_аналитики'!AC2583,WeightedMinAge17),MAX(CapacityAge17*'01_Вводные'!$B$218*'19_Расчет_аналитики'!AC2583,MeanMinAge17)))</f>
        <v/>
      </c>
      <c r="AD2504">
        <f>IF(OR('19_Расчет_аналитики'!AD2476=0,17&lt;='01_Вводные'!$B$297),0,'19_Расчет_аналитики'!AD2476*IF('01_Вводные'!$B$239="Да",MeanMinAge17+'19_Расчет_аналитики'!AD2583*SUMIF(ThresholdAge17,"&lt;"&amp;'19_Расчет_аналитики'!AD2583,WeightedRevAge17)-SUMIF(ThresholdAge17,"&lt;"&amp;'19_Расчет_аналитики'!AD2583,WeightedMinAge17),MAX(CapacityAge17*'01_Вводные'!$B$218*'19_Расчет_аналитики'!AD2583,MeanMinAge17)))</f>
        <v/>
      </c>
      <c r="AE2504">
        <f>IF(OR('19_Расчет_аналитики'!AE2476=0,17&lt;='01_Вводные'!$B$297),0,'19_Расчет_аналитики'!AE2476*IF('01_Вводные'!$B$239="Да",MeanMinAge17+'19_Расчет_аналитики'!AE2583*SUMIF(ThresholdAge17,"&lt;"&amp;'19_Расчет_аналитики'!AE2583,WeightedRevAge17)-SUMIF(ThresholdAge17,"&lt;"&amp;'19_Расчет_аналитики'!AE2583,WeightedMinAge17),MAX(CapacityAge17*'01_Вводные'!$B$218*'19_Расчет_аналитики'!AE2583,MeanMinAge17)))</f>
        <v/>
      </c>
      <c r="AF2504">
        <f>IF(OR('19_Расчет_аналитики'!AF2476=0,17&lt;='01_Вводные'!$B$297),0,'19_Расчет_аналитики'!AF2476*IF('01_Вводные'!$B$239="Да",MeanMinAge17+'19_Расчет_аналитики'!AF2583*SUMIF(ThresholdAge17,"&lt;"&amp;'19_Расчет_аналитики'!AF2583,WeightedRevAge17)-SUMIF(ThresholdAge17,"&lt;"&amp;'19_Расчет_аналитики'!AF2583,WeightedMinAge17),MAX(CapacityAge17*'01_Вводные'!$B$218*'19_Расчет_аналитики'!AF2583,MeanMinAge17)))</f>
        <v/>
      </c>
      <c r="AG2504">
        <f>IF(OR('19_Расчет_аналитики'!AG2476=0,17&lt;='01_Вводные'!$B$297),0,'19_Расчет_аналитики'!AG2476*IF('01_Вводные'!$B$239="Да",MeanMinAge17+'19_Расчет_аналитики'!AG2583*SUMIF(ThresholdAge17,"&lt;"&amp;'19_Расчет_аналитики'!AG2583,WeightedRevAge17)-SUMIF(ThresholdAge17,"&lt;"&amp;'19_Расчет_аналитики'!AG2583,WeightedMinAge17),MAX(CapacityAge17*'01_Вводные'!$B$218*'19_Расчет_аналитики'!AG2583,MeanMinAge17)))</f>
        <v/>
      </c>
      <c r="AH2504">
        <f>IF(OR('19_Расчет_аналитики'!AH2476=0,17&lt;='01_Вводные'!$B$297),0,'19_Расчет_аналитики'!AH2476*IF('01_Вводные'!$B$239="Да",MeanMinAge17+'19_Расчет_аналитики'!AH2583*SUMIF(ThresholdAge17,"&lt;"&amp;'19_Расчет_аналитики'!AH2583,WeightedRevAge17)-SUMIF(ThresholdAge17,"&lt;"&amp;'19_Расчет_аналитики'!AH2583,WeightedMinAge17),MAX(CapacityAge17*'01_Вводные'!$B$218*'19_Расчет_аналитики'!AH2583,MeanMinAge17)))</f>
        <v/>
      </c>
      <c r="AI2504">
        <f>IF(OR('19_Расчет_аналитики'!AI2476=0,17&lt;='01_Вводные'!$B$297),0,'19_Расчет_аналитики'!AI2476*IF('01_Вводные'!$B$239="Да",MeanMinAge17+'19_Расчет_аналитики'!AI2583*SUMIF(ThresholdAge17,"&lt;"&amp;'19_Расчет_аналитики'!AI2583,WeightedRevAge17)-SUMIF(ThresholdAge17,"&lt;"&amp;'19_Расчет_аналитики'!AI2583,WeightedMinAge17),MAX(CapacityAge17*'01_Вводные'!$B$218*'19_Расчет_аналитики'!AI2583,MeanMinAge17)))</f>
        <v/>
      </c>
      <c r="AJ2504">
        <f>IF(OR('19_Расчет_аналитики'!AJ2476=0,17&lt;='01_Вводные'!$B$297),0,'19_Расчет_аналитики'!AJ2476*IF('01_Вводные'!$B$239="Да",MeanMinAge17+'19_Расчет_аналитики'!AJ2583*SUMIF(ThresholdAge17,"&lt;"&amp;'19_Расчет_аналитики'!AJ2583,WeightedRevAge17)-SUMIF(ThresholdAge17,"&lt;"&amp;'19_Расчет_аналитики'!AJ2583,WeightedMinAge17),MAX(CapacityAge17*'01_Вводные'!$B$218*'19_Расчет_аналитики'!AJ2583,MeanMinAge17)))</f>
        <v/>
      </c>
      <c r="AK2504">
        <f>IF(OR('19_Расчет_аналитики'!AK2476=0,17&lt;='01_Вводные'!$B$297),0,'19_Расчет_аналитики'!AK2476*IF('01_Вводные'!$B$239="Да",MeanMinAge17+'19_Расчет_аналитики'!AK2583*SUMIF(ThresholdAge17,"&lt;"&amp;'19_Расчет_аналитики'!AK2583,WeightedRevAge17)-SUMIF(ThresholdAge17,"&lt;"&amp;'19_Расчет_аналитики'!AK2583,WeightedMinAge17),MAX(CapacityAge17*'01_Вводные'!$B$218*'19_Расчет_аналитики'!AK2583,MeanMinAge17)))</f>
        <v/>
      </c>
      <c r="AL2504">
        <f>IF(OR('19_Расчет_аналитики'!AL2476=0,17&lt;='01_Вводные'!$B$297),0,'19_Расчет_аналитики'!AL2476*IF('01_Вводные'!$B$239="Да",MeanMinAge17+'19_Расчет_аналитики'!AL2583*SUMIF(ThresholdAge17,"&lt;"&amp;'19_Расчет_аналитики'!AL2583,WeightedRevAge17)-SUMIF(ThresholdAge17,"&lt;"&amp;'19_Расчет_аналитики'!AL2583,WeightedMinAge17),MAX(CapacityAge17*'01_Вводные'!$B$218*'19_Расчет_аналитики'!AL2583,MeanMinAge17)))</f>
        <v/>
      </c>
      <c r="AM2504">
        <f>IF(OR('19_Расчет_аналитики'!AM2476=0,17&lt;='01_Вводные'!$B$297),0,'19_Расчет_аналитики'!AM2476*IF('01_Вводные'!$B$239="Да",MeanMinAge17+'19_Расчет_аналитики'!AM2583*SUMIF(ThresholdAge17,"&lt;"&amp;'19_Расчет_аналитики'!AM2583,WeightedRevAge17)-SUMIF(ThresholdAge17,"&lt;"&amp;'19_Расчет_аналитики'!AM2583,WeightedMinAge17),MAX(CapacityAge17*'01_Вводные'!$B$218*'19_Расчет_аналитики'!AM2583,MeanMinAge17)))</f>
        <v/>
      </c>
      <c r="AN2504">
        <f>IF(OR('19_Расчет_аналитики'!AN2476=0,17&lt;='01_Вводные'!$B$297),0,'19_Расчет_аналитики'!AN2476*IF('01_Вводные'!$B$239="Да",MeanMinAge17+'19_Расчет_аналитики'!AN2583*SUMIF(ThresholdAge17,"&lt;"&amp;'19_Расчет_аналитики'!AN2583,WeightedRevAge17)-SUMIF(ThresholdAge17,"&lt;"&amp;'19_Расчет_аналитики'!AN2583,WeightedMinAge17),MAX(CapacityAge17*'01_Вводные'!$B$218*'19_Расчет_аналитики'!AN2583,MeanMinAge17)))</f>
        <v/>
      </c>
      <c r="AO2504">
        <f>IF(OR('19_Расчет_аналитики'!AO2476=0,17&lt;='01_Вводные'!$B$297),0,'19_Расчет_аналитики'!AO2476*IF('01_Вводные'!$B$239="Да",MeanMinAge17+'19_Расчет_аналитики'!AO2583*SUMIF(ThresholdAge17,"&lt;"&amp;'19_Расчет_аналитики'!AO2583,WeightedRevAge17)-SUMIF(ThresholdAge17,"&lt;"&amp;'19_Расчет_аналитики'!AO2583,WeightedMinAge17),MAX(CapacityAge17*'01_Вводные'!$B$218*'19_Расчет_аналитики'!AO2583,MeanMinAge17)))</f>
        <v/>
      </c>
      <c r="AP2504">
        <f>IF(OR('19_Расчет_аналитики'!AP2476=0,17&lt;='01_Вводные'!$B$297),0,'19_Расчет_аналитики'!AP2476*IF('01_Вводные'!$B$239="Да",MeanMinAge17+'19_Расчет_аналитики'!AP2583*SUMIF(ThresholdAge17,"&lt;"&amp;'19_Расчет_аналитики'!AP2583,WeightedRevAge17)-SUMIF(ThresholdAge17,"&lt;"&amp;'19_Расчет_аналитики'!AP2583,WeightedMinAge17),MAX(CapacityAge17*'01_Вводные'!$B$218*'19_Расчет_аналитики'!AP2583,MeanMinAge17)))</f>
        <v/>
      </c>
      <c r="AQ2504">
        <f>IF(OR('19_Расчет_аналитики'!AQ2476=0,17&lt;='01_Вводные'!$B$297),0,'19_Расчет_аналитики'!AQ2476*IF('01_Вводные'!$B$239="Да",MeanMinAge17+'19_Расчет_аналитики'!AQ2583*SUMIF(ThresholdAge17,"&lt;"&amp;'19_Расчет_аналитики'!AQ2583,WeightedRevAge17)-SUMIF(ThresholdAge17,"&lt;"&amp;'19_Расчет_аналитики'!AQ2583,WeightedMinAge17),MAX(CapacityAge17*'01_Вводные'!$B$218*'19_Расчет_аналитики'!AQ2583,MeanMinAge17)))</f>
        <v/>
      </c>
      <c r="AR2504">
        <f>IF(OR('19_Расчет_аналитики'!AR2476=0,17&lt;='01_Вводные'!$B$297),0,'19_Расчет_аналитики'!AR2476*IF('01_Вводные'!$B$239="Да",MeanMinAge17+'19_Расчет_аналитики'!AR2583*SUMIF(ThresholdAge17,"&lt;"&amp;'19_Расчет_аналитики'!AR2583,WeightedRevAge17)-SUMIF(ThresholdAge17,"&lt;"&amp;'19_Расчет_аналитики'!AR2583,WeightedMinAge17),MAX(CapacityAge17*'01_Вводные'!$B$218*'19_Расчет_аналитики'!AR2583,MeanMinAge17)))</f>
        <v/>
      </c>
      <c r="AS2504">
        <f>IF(OR('19_Расчет_аналитики'!AS2476=0,17&lt;='01_Вводные'!$B$297),0,'19_Расчет_аналитики'!AS2476*IF('01_Вводные'!$B$239="Да",MeanMinAge17+'19_Расчет_аналитики'!AS2583*SUMIF(ThresholdAge17,"&lt;"&amp;'19_Расчет_аналитики'!AS2583,WeightedRevAge17)-SUMIF(ThresholdAge17,"&lt;"&amp;'19_Расчет_аналитики'!AS2583,WeightedMinAge17),MAX(CapacityAge17*'01_Вводные'!$B$218*'19_Расчет_аналитики'!AS2583,MeanMinAge17)))</f>
        <v/>
      </c>
      <c r="AT2504">
        <f>IF(OR('19_Расчет_аналитики'!AT2476=0,17&lt;='01_Вводные'!$B$297),0,'19_Расчет_аналитики'!AT2476*IF('01_Вводные'!$B$239="Да",MeanMinAge17+'19_Расчет_аналитики'!AT2583*SUMIF(ThresholdAge17,"&lt;"&amp;'19_Расчет_аналитики'!AT2583,WeightedRevAge17)-SUMIF(ThresholdAge17,"&lt;"&amp;'19_Расчет_аналитики'!AT2583,WeightedMinAge17),MAX(CapacityAge17*'01_Вводные'!$B$218*'19_Расчет_аналитики'!AT2583,MeanMinAge17)))</f>
        <v/>
      </c>
      <c r="AU2504">
        <f>IF(OR('19_Расчет_аналитики'!AU2476=0,17&lt;='01_Вводные'!$B$297),0,'19_Расчет_аналитики'!AU2476*IF('01_Вводные'!$B$239="Да",MeanMinAge17+'19_Расчет_аналитики'!AU2583*SUMIF(ThresholdAge17,"&lt;"&amp;'19_Расчет_аналитики'!AU2583,WeightedRevAge17)-SUMIF(ThresholdAge17,"&lt;"&amp;'19_Расчет_аналитики'!AU2583,WeightedMinAge17),MAX(CapacityAge17*'01_Вводные'!$B$218*'19_Расчет_аналитики'!AU2583,MeanMinAge17)))</f>
        <v/>
      </c>
      <c r="AV2504">
        <f>IF(OR('19_Расчет_аналитики'!AV2476=0,17&lt;='01_Вводные'!$B$297),0,'19_Расчет_аналитики'!AV2476*IF('01_Вводные'!$B$239="Да",MeanMinAge17+'19_Расчет_аналитики'!AV2583*SUMIF(ThresholdAge17,"&lt;"&amp;'19_Расчет_аналитики'!AV2583,WeightedRevAge17)-SUMIF(ThresholdAge17,"&lt;"&amp;'19_Расчет_аналитики'!AV2583,WeightedMinAge17),MAX(CapacityAge17*'01_Вводные'!$B$218*'19_Расчет_аналитики'!AV2583,MeanMinAge17)))</f>
        <v/>
      </c>
      <c r="AW2504">
        <f>IF(OR('19_Расчет_аналитики'!AW2476=0,17&lt;='01_Вводные'!$B$297),0,'19_Расчет_аналитики'!AW2476*IF('01_Вводные'!$B$239="Да",MeanMinAge17+'19_Расчет_аналитики'!AW2583*SUMIF(ThresholdAge17,"&lt;"&amp;'19_Расчет_аналитики'!AW2583,WeightedRevAge17)-SUMIF(ThresholdAge17,"&lt;"&amp;'19_Расчет_аналитики'!AW2583,WeightedMinAge17),MAX(CapacityAge17*'01_Вводные'!$B$218*'19_Расчет_аналитики'!AW2583,MeanMinAge17)))</f>
        <v/>
      </c>
      <c r="AX2504">
        <f>IF(OR('19_Расчет_аналитики'!AX2476=0,17&lt;='01_Вводные'!$B$297),0,'19_Расчет_аналитики'!AX2476*IF('01_Вводные'!$B$239="Да",MeanMinAge17+'19_Расчет_аналитики'!AX2583*SUMIF(ThresholdAge17,"&lt;"&amp;'19_Расчет_аналитики'!AX2583,WeightedRevAge17)-SUMIF(ThresholdAge17,"&lt;"&amp;'19_Расчет_аналитики'!AX2583,WeightedMinAge17),MAX(CapacityAge17*'01_Вводные'!$B$218*'19_Расчет_аналитики'!AX2583,MeanMinAge17)))</f>
        <v/>
      </c>
      <c r="AY2504">
        <f>IF(OR('19_Расчет_аналитики'!AY2476=0,17&lt;='01_Вводные'!$B$297),0,'19_Расчет_аналитики'!AY2476*IF('01_Вводные'!$B$239="Да",MeanMinAge17+'19_Расчет_аналитики'!AY2583*SUMIF(ThresholdAge17,"&lt;"&amp;'19_Расчет_аналитики'!AY2583,WeightedRevAge17)-SUMIF(ThresholdAge17,"&lt;"&amp;'19_Расчет_аналитики'!AY2583,WeightedMinAge17),MAX(CapacityAge17*'01_Вводные'!$B$218*'19_Расчет_аналитики'!AY2583,MeanMinAge17)))</f>
        <v/>
      </c>
      <c r="AZ2504">
        <f>IF(OR('19_Расчет_аналитики'!AZ2476=0,17&lt;='01_Вводные'!$B$297),0,'19_Расчет_аналитики'!AZ2476*IF('01_Вводные'!$B$239="Да",MeanMinAge17+'19_Расчет_аналитики'!AZ2583*SUMIF(ThresholdAge17,"&lt;"&amp;'19_Расчет_аналитики'!AZ2583,WeightedRevAge17)-SUMIF(ThresholdAge17,"&lt;"&amp;'19_Расчет_аналитики'!AZ2583,WeightedMinAge17),MAX(CapacityAge17*'01_Вводные'!$B$218*'19_Расчет_аналитики'!AZ2583,MeanMinAge17)))</f>
        <v/>
      </c>
      <c r="BA2504">
        <f>IF(OR('19_Расчет_аналитики'!BA2476=0,17&lt;='01_Вводные'!$B$297),0,'19_Расчет_аналитики'!BA2476*IF('01_Вводные'!$B$239="Да",MeanMinAge17+'19_Расчет_аналитики'!BA2583*SUMIF(ThresholdAge17,"&lt;"&amp;'19_Расчет_аналитики'!BA2583,WeightedRevAge17)-SUMIF(ThresholdAge17,"&lt;"&amp;'19_Расчет_аналитики'!BA2583,WeightedMinAge17),MAX(CapacityAge17*'01_Вводные'!$B$218*'19_Расчет_аналитики'!BA2583,MeanMinAge17)))</f>
        <v/>
      </c>
      <c r="BB2504">
        <f>IF(OR('19_Расчет_аналитики'!BB2476=0,17&lt;='01_Вводные'!$B$297),0,'19_Расчет_аналитики'!BB2476*IF('01_Вводные'!$B$239="Да",MeanMinAge17+'19_Расчет_аналитики'!BB2583*SUMIF(ThresholdAge17,"&lt;"&amp;'19_Расчет_аналитики'!BB2583,WeightedRevAge17)-SUMIF(ThresholdAge17,"&lt;"&amp;'19_Расчет_аналитики'!BB2583,WeightedMinAge17),MAX(CapacityAge17*'01_Вводные'!$B$218*'19_Расчет_аналитики'!BB2583,MeanMinAge17)))</f>
        <v/>
      </c>
      <c r="BC2504">
        <f>IF(OR('19_Расчет_аналитики'!BC2476=0,17&lt;='01_Вводные'!$B$297),0,'19_Расчет_аналитики'!BC2476*IF('01_Вводные'!$B$239="Да",MeanMinAge17+'19_Расчет_аналитики'!BC2583*SUMIF(ThresholdAge17,"&lt;"&amp;'19_Расчет_аналитики'!BC2583,WeightedRevAge17)-SUMIF(ThresholdAge17,"&lt;"&amp;'19_Расчет_аналитики'!BC2583,WeightedMinAge17),MAX(CapacityAge17*'01_Вводные'!$B$218*'19_Расчет_аналитики'!BC2583,MeanMinAge17)))</f>
        <v/>
      </c>
      <c r="BD2504">
        <f>IF(OR('19_Расчет_аналитики'!BD2476=0,17&lt;='01_Вводные'!$B$297),0,'19_Расчет_аналитики'!BD2476*IF('01_Вводные'!$B$239="Да",MeanMinAge17+'19_Расчет_аналитики'!BD2583*SUMIF(ThresholdAge17,"&lt;"&amp;'19_Расчет_аналитики'!BD2583,WeightedRevAge17)-SUMIF(ThresholdAge17,"&lt;"&amp;'19_Расчет_аналитики'!BD2583,WeightedMinAge17),MAX(CapacityAge17*'01_Вводные'!$B$218*'19_Расчет_аналитики'!BD2583,MeanMinAge17)))</f>
        <v/>
      </c>
      <c r="BE2504">
        <f>IF(OR('19_Расчет_аналитики'!BE2476=0,17&lt;='01_Вводные'!$B$297),0,'19_Расчет_аналитики'!BE2476*IF('01_Вводные'!$B$239="Да",MeanMinAge17+'19_Расчет_аналитики'!BE2583*SUMIF(ThresholdAge17,"&lt;"&amp;'19_Расчет_аналитики'!BE2583,WeightedRevAge17)-SUMIF(ThresholdAge17,"&lt;"&amp;'19_Расчет_аналитики'!BE2583,WeightedMinAge17),MAX(CapacityAge17*'01_Вводные'!$B$218*'19_Расчет_аналитики'!BE2583,MeanMinAge17)))</f>
        <v/>
      </c>
      <c r="BF2504">
        <f>IF(OR('19_Расчет_аналитики'!BF2476=0,17&lt;='01_Вводные'!$B$297),0,'19_Расчет_аналитики'!BF2476*IF('01_Вводные'!$B$239="Да",MeanMinAge17+'19_Расчет_аналитики'!BF2583*SUMIF(ThresholdAge17,"&lt;"&amp;'19_Расчет_аналитики'!BF2583,WeightedRevAge17)-SUMIF(ThresholdAge17,"&lt;"&amp;'19_Расчет_аналитики'!BF2583,WeightedMinAge17),MAX(CapacityAge17*'01_Вводные'!$B$218*'19_Расчет_аналитики'!BF2583,MeanMinAge17)))</f>
        <v/>
      </c>
      <c r="BG2504">
        <f>IF(OR('19_Расчет_аналитики'!BG2476=0,17&lt;='01_Вводные'!$B$297),0,'19_Расчет_аналитики'!BG2476*IF('01_Вводные'!$B$239="Да",MeanMinAge17+'19_Расчет_аналитики'!BG2583*SUMIF(ThresholdAge17,"&lt;"&amp;'19_Расчет_аналитики'!BG2583,WeightedRevAge17)-SUMIF(ThresholdAge17,"&lt;"&amp;'19_Расчет_аналитики'!BG2583,WeightedMinAge17),MAX(CapacityAge17*'01_Вводные'!$B$218*'19_Расчет_аналитики'!BG2583,MeanMinAge17)))</f>
        <v/>
      </c>
      <c r="BH2504">
        <f>IF(OR('19_Расчет_аналитики'!BH2476=0,17&lt;='01_Вводные'!$B$297),0,'19_Расчет_аналитики'!BH2476*IF('01_Вводные'!$B$239="Да",MeanMinAge17+'19_Расчет_аналитики'!BH2583*SUMIF(ThresholdAge17,"&lt;"&amp;'19_Расчет_аналитики'!BH2583,WeightedRevAge17)-SUMIF(ThresholdAge17,"&lt;"&amp;'19_Расчет_аналитики'!BH2583,WeightedMinAge17),MAX(CapacityAge17*'01_Вводные'!$B$218*'19_Расчет_аналитики'!BH2583,MeanMinAge17)))</f>
        <v/>
      </c>
      <c r="BI2504">
        <f>IF(OR('19_Расчет_аналитики'!BI2476=0,17&lt;='01_Вводные'!$B$297),0,'19_Расчет_аналитики'!BI2476*IF('01_Вводные'!$B$239="Да",MeanMinAge17+'19_Расчет_аналитики'!BI2583*SUMIF(ThresholdAge17,"&lt;"&amp;'19_Расчет_аналитики'!BI2583,WeightedRevAge17)-SUMIF(ThresholdAge17,"&lt;"&amp;'19_Расчет_аналитики'!BI2583,WeightedMinAge17),MAX(CapacityAge17*'01_Вводные'!$B$218*'19_Расчет_аналитики'!BI2583,MeanMinAge17)))</f>
        <v/>
      </c>
      <c r="BJ2504">
        <f>IF(OR('19_Расчет_аналитики'!BJ2476=0,17&lt;='01_Вводные'!$B$297),0,'19_Расчет_аналитики'!BJ2476*IF('01_Вводные'!$B$239="Да",MeanMinAge17+'19_Расчет_аналитики'!BJ2583*SUMIF(ThresholdAge17,"&lt;"&amp;'19_Расчет_аналитики'!BJ2583,WeightedRevAge17)-SUMIF(ThresholdAge17,"&lt;"&amp;'19_Расчет_аналитики'!BJ2583,WeightedMinAge17),MAX(CapacityAge17*'01_Вводные'!$B$218*'19_Расчет_аналитики'!BJ2583,MeanMinAge17)))</f>
        <v/>
      </c>
      <c r="BK2504">
        <f>IF(OR('19_Расчет_аналитики'!BK2476=0,17&lt;='01_Вводные'!$B$297),0,'19_Расчет_аналитики'!BK2476*IF('01_Вводные'!$B$239="Да",MeanMinAge17+'19_Расчет_аналитики'!BK2583*SUMIF(ThresholdAge17,"&lt;"&amp;'19_Расчет_аналитики'!BK2583,WeightedRevAge17)-SUMIF(ThresholdAge17,"&lt;"&amp;'19_Расчет_аналитики'!BK2583,WeightedMinAge17),MAX(CapacityAge17*'01_Вводные'!$B$218*'19_Расчет_аналитики'!BK2583,MeanMinAge17)))</f>
        <v/>
      </c>
      <c r="BL2504">
        <f>IF(OR('19_Расчет_аналитики'!BL2476=0,17&lt;='01_Вводные'!$B$297),0,'19_Расчет_аналитики'!BL2476*IF('01_Вводные'!$B$239="Да",MeanMinAge17+'19_Расчет_аналитики'!BL2583*SUMIF(ThresholdAge17,"&lt;"&amp;'19_Расчет_аналитики'!BL2583,WeightedRevAge17)-SUMIF(ThresholdAge17,"&lt;"&amp;'19_Расчет_аналитики'!BL2583,WeightedMinAge17),MAX(CapacityAge17*'01_Вводные'!$B$218*'19_Расчет_аналитики'!BL2583,MeanMinAge17)))</f>
        <v/>
      </c>
      <c r="BM2504">
        <f>IF(OR('19_Расчет_аналитики'!BM2476=0,17&lt;='01_Вводные'!$B$297),0,'19_Расчет_аналитики'!BM2476*IF('01_Вводные'!$B$239="Да",MeanMinAge17+'19_Расчет_аналитики'!BM2583*SUMIF(ThresholdAge17,"&lt;"&amp;'19_Расчет_аналитики'!BM2583,WeightedRevAge17)-SUMIF(ThresholdAge17,"&lt;"&amp;'19_Расчет_аналитики'!BM2583,WeightedMinAge17),MAX(CapacityAge17*'01_Вводные'!$B$218*'19_Расчет_аналитики'!BM2583,MeanMinAge17)))</f>
        <v/>
      </c>
      <c r="BN2504">
        <f>IF(OR('19_Расчет_аналитики'!BN2476=0,17&lt;='01_Вводные'!$B$297),0,'19_Расчет_аналитики'!BN2476*IF('01_Вводные'!$B$239="Да",MeanMinAge17+'19_Расчет_аналитики'!BN2583*SUMIF(ThresholdAge17,"&lt;"&amp;'19_Расчет_аналитики'!BN2583,WeightedRevAge17)-SUMIF(ThresholdAge17,"&lt;"&amp;'19_Расчет_аналитики'!BN2583,WeightedMinAge17),MAX(CapacityAge17*'01_Вводные'!$B$218*'19_Расчет_аналитики'!BN2583,MeanMinAge17)))</f>
        <v/>
      </c>
      <c r="BO2504">
        <f>IF(OR('19_Расчет_аналитики'!BO2476=0,17&lt;='01_Вводные'!$B$297),0,'19_Расчет_аналитики'!BO2476*IF('01_Вводные'!$B$239="Да",MeanMinAge17+'19_Расчет_аналитики'!BO2583*SUMIF(ThresholdAge17,"&lt;"&amp;'19_Расчет_аналитики'!BO2583,WeightedRevAge17)-SUMIF(ThresholdAge17,"&lt;"&amp;'19_Расчет_аналитики'!BO2583,WeightedMinAge17),MAX(CapacityAge17*'01_Вводные'!$B$218*'19_Расчет_аналитики'!BO2583,MeanMinAge17)))</f>
        <v/>
      </c>
    </row>
    <row r="2505">
      <c r="B2505">
        <f>IF(OR('06_Сеть_и_дети'!B98=0,18&lt;='01_Вводные'!$B$297),0,'06_Сеть_и_дети'!B98*IF('01_Вводные'!$B$239="Да",MeanMinAge18+'19_Расчет_аналитики'!B2583*SUMIF(ThresholdAge18,"&lt;"&amp;'19_Расчет_аналитики'!B2583,WeightedRevAge18)-SUMIF(ThresholdAge18,"&lt;"&amp;'19_Расчет_аналитики'!B2583,WeightedMinAge18),MAX(CapacityAge18*'01_Вводные'!$B$218*'19_Расчет_аналитики'!B2583,MeanMinAge18)))</f>
        <v/>
      </c>
      <c r="C2505">
        <f>IF(OR('06_Сеть_и_дети'!C98=0,18&lt;='01_Вводные'!$B$297),0,'06_Сеть_и_дети'!C98*IF('01_Вводные'!$B$239="Да",MeanMinAge18+'19_Расчет_аналитики'!C2583*SUMIF(ThresholdAge18,"&lt;"&amp;'19_Расчет_аналитики'!C2583,WeightedRevAge18)-SUMIF(ThresholdAge18,"&lt;"&amp;'19_Расчет_аналитики'!C2583,WeightedMinAge18),MAX(CapacityAge18*'01_Вводные'!$B$218*'19_Расчет_аналитики'!C2583,MeanMinAge18)))</f>
        <v/>
      </c>
      <c r="D2505">
        <f>IF(OR('06_Сеть_и_дети'!D98=0,18&lt;='01_Вводные'!$B$297),0,'06_Сеть_и_дети'!D98*IF('01_Вводные'!$B$239="Да",MeanMinAge18+'19_Расчет_аналитики'!D2583*SUMIF(ThresholdAge18,"&lt;"&amp;'19_Расчет_аналитики'!D2583,WeightedRevAge18)-SUMIF(ThresholdAge18,"&lt;"&amp;'19_Расчет_аналитики'!D2583,WeightedMinAge18),MAX(CapacityAge18*'01_Вводные'!$B$218*'19_Расчет_аналитики'!D2583,MeanMinAge18)))</f>
        <v/>
      </c>
      <c r="E2505">
        <f>IF(OR('06_Сеть_и_дети'!E98=0,18&lt;='01_Вводные'!$B$297),0,'06_Сеть_и_дети'!E98*IF('01_Вводные'!$B$239="Да",MeanMinAge18+'19_Расчет_аналитики'!E2583*SUMIF(ThresholdAge18,"&lt;"&amp;'19_Расчет_аналитики'!E2583,WeightedRevAge18)-SUMIF(ThresholdAge18,"&lt;"&amp;'19_Расчет_аналитики'!E2583,WeightedMinAge18),MAX(CapacityAge18*'01_Вводные'!$B$218*'19_Расчет_аналитики'!E2583,MeanMinAge18)))</f>
        <v/>
      </c>
      <c r="F2505">
        <f>IF(OR('06_Сеть_и_дети'!F98=0,18&lt;='01_Вводные'!$B$297),0,'06_Сеть_и_дети'!F98*IF('01_Вводные'!$B$239="Да",MeanMinAge18+'19_Расчет_аналитики'!F2583*SUMIF(ThresholdAge18,"&lt;"&amp;'19_Расчет_аналитики'!F2583,WeightedRevAge18)-SUMIF(ThresholdAge18,"&lt;"&amp;'19_Расчет_аналитики'!F2583,WeightedMinAge18),MAX(CapacityAge18*'01_Вводные'!$B$218*'19_Расчет_аналитики'!F2583,MeanMinAge18)))</f>
        <v/>
      </c>
      <c r="G2505">
        <f>IF(OR('06_Сеть_и_дети'!G98=0,18&lt;='01_Вводные'!$B$297),0,'06_Сеть_и_дети'!G98*IF('01_Вводные'!$B$239="Да",MeanMinAge18+'19_Расчет_аналитики'!G2583*SUMIF(ThresholdAge18,"&lt;"&amp;'19_Расчет_аналитики'!G2583,WeightedRevAge18)-SUMIF(ThresholdAge18,"&lt;"&amp;'19_Расчет_аналитики'!G2583,WeightedMinAge18),MAX(CapacityAge18*'01_Вводные'!$B$218*'19_Расчет_аналитики'!G2583,MeanMinAge18)))</f>
        <v/>
      </c>
      <c r="H2505">
        <f>IF(OR('06_Сеть_и_дети'!H98=0,18&lt;='01_Вводные'!$B$297),0,'06_Сеть_и_дети'!H98*IF('01_Вводные'!$B$239="Да",MeanMinAge18+'19_Расчет_аналитики'!H2583*SUMIF(ThresholdAge18,"&lt;"&amp;'19_Расчет_аналитики'!H2583,WeightedRevAge18)-SUMIF(ThresholdAge18,"&lt;"&amp;'19_Расчет_аналитики'!H2583,WeightedMinAge18),MAX(CapacityAge18*'01_Вводные'!$B$218*'19_Расчет_аналитики'!H2583,MeanMinAge18)))</f>
        <v/>
      </c>
      <c r="I2505">
        <f>IF(OR('06_Сеть_и_дети'!I98=0,18&lt;='01_Вводные'!$B$297),0,'06_Сеть_и_дети'!I98*IF('01_Вводные'!$B$239="Да",MeanMinAge18+'19_Расчет_аналитики'!I2583*SUMIF(ThresholdAge18,"&lt;"&amp;'19_Расчет_аналитики'!I2583,WeightedRevAge18)-SUMIF(ThresholdAge18,"&lt;"&amp;'19_Расчет_аналитики'!I2583,WeightedMinAge18),MAX(CapacityAge18*'01_Вводные'!$B$218*'19_Расчет_аналитики'!I2583,MeanMinAge18)))</f>
        <v/>
      </c>
      <c r="J2505">
        <f>IF(OR('06_Сеть_и_дети'!J98=0,18&lt;='01_Вводные'!$B$297),0,'06_Сеть_и_дети'!J98*IF('01_Вводные'!$B$239="Да",MeanMinAge18+'19_Расчет_аналитики'!J2583*SUMIF(ThresholdAge18,"&lt;"&amp;'19_Расчет_аналитики'!J2583,WeightedRevAge18)-SUMIF(ThresholdAge18,"&lt;"&amp;'19_Расчет_аналитики'!J2583,WeightedMinAge18),MAX(CapacityAge18*'01_Вводные'!$B$218*'19_Расчет_аналитики'!J2583,MeanMinAge18)))</f>
        <v/>
      </c>
      <c r="K2505">
        <f>IF(OR('06_Сеть_и_дети'!K98=0,18&lt;='01_Вводные'!$B$297),0,'06_Сеть_и_дети'!K98*IF('01_Вводные'!$B$239="Да",MeanMinAge18+'19_Расчет_аналитики'!K2583*SUMIF(ThresholdAge18,"&lt;"&amp;'19_Расчет_аналитики'!K2583,WeightedRevAge18)-SUMIF(ThresholdAge18,"&lt;"&amp;'19_Расчет_аналитики'!K2583,WeightedMinAge18),MAX(CapacityAge18*'01_Вводные'!$B$218*'19_Расчет_аналитики'!K2583,MeanMinAge18)))</f>
        <v/>
      </c>
      <c r="L2505">
        <f>IF(OR('06_Сеть_и_дети'!L98=0,18&lt;='01_Вводные'!$B$297),0,'06_Сеть_и_дети'!L98*IF('01_Вводные'!$B$239="Да",MeanMinAge18+'19_Расчет_аналитики'!L2583*SUMIF(ThresholdAge18,"&lt;"&amp;'19_Расчет_аналитики'!L2583,WeightedRevAge18)-SUMIF(ThresholdAge18,"&lt;"&amp;'19_Расчет_аналитики'!L2583,WeightedMinAge18),MAX(CapacityAge18*'01_Вводные'!$B$218*'19_Расчет_аналитики'!L2583,MeanMinAge18)))</f>
        <v/>
      </c>
      <c r="M2505">
        <f>IF(OR('06_Сеть_и_дети'!M98=0,18&lt;='01_Вводные'!$B$297),0,'06_Сеть_и_дети'!M98*IF('01_Вводные'!$B$239="Да",MeanMinAge18+'19_Расчет_аналитики'!M2583*SUMIF(ThresholdAge18,"&lt;"&amp;'19_Расчет_аналитики'!M2583,WeightedRevAge18)-SUMIF(ThresholdAge18,"&lt;"&amp;'19_Расчет_аналитики'!M2583,WeightedMinAge18),MAX(CapacityAge18*'01_Вводные'!$B$218*'19_Расчет_аналитики'!M2583,MeanMinAge18)))</f>
        <v/>
      </c>
      <c r="N2505">
        <f>IF(OR('06_Сеть_и_дети'!N98=0,18&lt;='01_Вводные'!$B$297),0,'06_Сеть_и_дети'!N98*IF('01_Вводные'!$B$239="Да",MeanMinAge18+'19_Расчет_аналитики'!N2583*SUMIF(ThresholdAge18,"&lt;"&amp;'19_Расчет_аналитики'!N2583,WeightedRevAge18)-SUMIF(ThresholdAge18,"&lt;"&amp;'19_Расчет_аналитики'!N2583,WeightedMinAge18),MAX(CapacityAge18*'01_Вводные'!$B$218*'19_Расчет_аналитики'!N2583,MeanMinAge18)))</f>
        <v/>
      </c>
      <c r="O2505">
        <f>IF(OR('06_Сеть_и_дети'!O98=0,18&lt;='01_Вводные'!$B$297),0,'06_Сеть_и_дети'!O98*IF('01_Вводные'!$B$239="Да",MeanMinAge18+'19_Расчет_аналитики'!O2583*SUMIF(ThresholdAge18,"&lt;"&amp;'19_Расчет_аналитики'!O2583,WeightedRevAge18)-SUMIF(ThresholdAge18,"&lt;"&amp;'19_Расчет_аналитики'!O2583,WeightedMinAge18),MAX(CapacityAge18*'01_Вводные'!$B$218*'19_Расчет_аналитики'!O2583,MeanMinAge18)))</f>
        <v/>
      </c>
      <c r="P2505">
        <f>IF(OR('06_Сеть_и_дети'!P98=0,18&lt;='01_Вводные'!$B$297),0,'06_Сеть_и_дети'!P98*IF('01_Вводные'!$B$239="Да",MeanMinAge18+'19_Расчет_аналитики'!P2583*SUMIF(ThresholdAge18,"&lt;"&amp;'19_Расчет_аналитики'!P2583,WeightedRevAge18)-SUMIF(ThresholdAge18,"&lt;"&amp;'19_Расчет_аналитики'!P2583,WeightedMinAge18),MAX(CapacityAge18*'01_Вводные'!$B$218*'19_Расчет_аналитики'!P2583,MeanMinAge18)))</f>
        <v/>
      </c>
      <c r="Q2505">
        <f>IF(OR('06_Сеть_и_дети'!Q98=0,18&lt;='01_Вводные'!$B$297),0,'06_Сеть_и_дети'!Q98*IF('01_Вводные'!$B$239="Да",MeanMinAge18+'19_Расчет_аналитики'!Q2583*SUMIF(ThresholdAge18,"&lt;"&amp;'19_Расчет_аналитики'!Q2583,WeightedRevAge18)-SUMIF(ThresholdAge18,"&lt;"&amp;'19_Расчет_аналитики'!Q2583,WeightedMinAge18),MAX(CapacityAge18*'01_Вводные'!$B$218*'19_Расчет_аналитики'!Q2583,MeanMinAge18)))</f>
        <v/>
      </c>
      <c r="R2505">
        <f>IF(OR('06_Сеть_и_дети'!R98=0,18&lt;='01_Вводные'!$B$297),0,'06_Сеть_и_дети'!R98*IF('01_Вводные'!$B$239="Да",MeanMinAge18+'19_Расчет_аналитики'!R2583*SUMIF(ThresholdAge18,"&lt;"&amp;'19_Расчет_аналитики'!R2583,WeightedRevAge18)-SUMIF(ThresholdAge18,"&lt;"&amp;'19_Расчет_аналитики'!R2583,WeightedMinAge18),MAX(CapacityAge18*'01_Вводные'!$B$218*'19_Расчет_аналитики'!R2583,MeanMinAge18)))</f>
        <v/>
      </c>
      <c r="S2505">
        <f>IF(OR('19_Расчет_аналитики'!S2477=0,18&lt;='01_Вводные'!$B$297),0,'19_Расчет_аналитики'!S2477*IF('01_Вводные'!$B$239="Да",MeanMinAge18+'19_Расчет_аналитики'!S2583*SUMIF(ThresholdAge18,"&lt;"&amp;'19_Расчет_аналитики'!S2583,WeightedRevAge18)-SUMIF(ThresholdAge18,"&lt;"&amp;'19_Расчет_аналитики'!S2583,WeightedMinAge18),MAX(CapacityAge18*'01_Вводные'!$B$218*'19_Расчет_аналитики'!S2583,MeanMinAge18)))</f>
        <v/>
      </c>
      <c r="T2505">
        <f>IF(OR('19_Расчет_аналитики'!T2477=0,18&lt;='01_Вводные'!$B$297),0,'19_Расчет_аналитики'!T2477*IF('01_Вводные'!$B$239="Да",MeanMinAge18+'19_Расчет_аналитики'!T2583*SUMIF(ThresholdAge18,"&lt;"&amp;'19_Расчет_аналитики'!T2583,WeightedRevAge18)-SUMIF(ThresholdAge18,"&lt;"&amp;'19_Расчет_аналитики'!T2583,WeightedMinAge18),MAX(CapacityAge18*'01_Вводные'!$B$218*'19_Расчет_аналитики'!T2583,MeanMinAge18)))</f>
        <v/>
      </c>
      <c r="U2505">
        <f>IF(OR('19_Расчет_аналитики'!U2477=0,18&lt;='01_Вводные'!$B$297),0,'19_Расчет_аналитики'!U2477*IF('01_Вводные'!$B$239="Да",MeanMinAge18+'19_Расчет_аналитики'!U2583*SUMIF(ThresholdAge18,"&lt;"&amp;'19_Расчет_аналитики'!U2583,WeightedRevAge18)-SUMIF(ThresholdAge18,"&lt;"&amp;'19_Расчет_аналитики'!U2583,WeightedMinAge18),MAX(CapacityAge18*'01_Вводные'!$B$218*'19_Расчет_аналитики'!U2583,MeanMinAge18)))</f>
        <v/>
      </c>
      <c r="V2505">
        <f>IF(OR('19_Расчет_аналитики'!V2477=0,18&lt;='01_Вводные'!$B$297),0,'19_Расчет_аналитики'!V2477*IF('01_Вводные'!$B$239="Да",MeanMinAge18+'19_Расчет_аналитики'!V2583*SUMIF(ThresholdAge18,"&lt;"&amp;'19_Расчет_аналитики'!V2583,WeightedRevAge18)-SUMIF(ThresholdAge18,"&lt;"&amp;'19_Расчет_аналитики'!V2583,WeightedMinAge18),MAX(CapacityAge18*'01_Вводные'!$B$218*'19_Расчет_аналитики'!V2583,MeanMinAge18)))</f>
        <v/>
      </c>
      <c r="W2505">
        <f>IF(OR('19_Расчет_аналитики'!W2477=0,18&lt;='01_Вводные'!$B$297),0,'19_Расчет_аналитики'!W2477*IF('01_Вводные'!$B$239="Да",MeanMinAge18+'19_Расчет_аналитики'!W2583*SUMIF(ThresholdAge18,"&lt;"&amp;'19_Расчет_аналитики'!W2583,WeightedRevAge18)-SUMIF(ThresholdAge18,"&lt;"&amp;'19_Расчет_аналитики'!W2583,WeightedMinAge18),MAX(CapacityAge18*'01_Вводные'!$B$218*'19_Расчет_аналитики'!W2583,MeanMinAge18)))</f>
        <v/>
      </c>
      <c r="X2505">
        <f>IF(OR('19_Расчет_аналитики'!X2477=0,18&lt;='01_Вводные'!$B$297),0,'19_Расчет_аналитики'!X2477*IF('01_Вводные'!$B$239="Да",MeanMinAge18+'19_Расчет_аналитики'!X2583*SUMIF(ThresholdAge18,"&lt;"&amp;'19_Расчет_аналитики'!X2583,WeightedRevAge18)-SUMIF(ThresholdAge18,"&lt;"&amp;'19_Расчет_аналитики'!X2583,WeightedMinAge18),MAX(CapacityAge18*'01_Вводные'!$B$218*'19_Расчет_аналитики'!X2583,MeanMinAge18)))</f>
        <v/>
      </c>
      <c r="Y2505">
        <f>IF(OR('19_Расчет_аналитики'!Y2477=0,18&lt;='01_Вводные'!$B$297),0,'19_Расчет_аналитики'!Y2477*IF('01_Вводные'!$B$239="Да",MeanMinAge18+'19_Расчет_аналитики'!Y2583*SUMIF(ThresholdAge18,"&lt;"&amp;'19_Расчет_аналитики'!Y2583,WeightedRevAge18)-SUMIF(ThresholdAge18,"&lt;"&amp;'19_Расчет_аналитики'!Y2583,WeightedMinAge18),MAX(CapacityAge18*'01_Вводные'!$B$218*'19_Расчет_аналитики'!Y2583,MeanMinAge18)))</f>
        <v/>
      </c>
      <c r="Z2505">
        <f>IF(OR('19_Расчет_аналитики'!Z2477=0,18&lt;='01_Вводные'!$B$297),0,'19_Расчет_аналитики'!Z2477*IF('01_Вводные'!$B$239="Да",MeanMinAge18+'19_Расчет_аналитики'!Z2583*SUMIF(ThresholdAge18,"&lt;"&amp;'19_Расчет_аналитики'!Z2583,WeightedRevAge18)-SUMIF(ThresholdAge18,"&lt;"&amp;'19_Расчет_аналитики'!Z2583,WeightedMinAge18),MAX(CapacityAge18*'01_Вводные'!$B$218*'19_Расчет_аналитики'!Z2583,MeanMinAge18)))</f>
        <v/>
      </c>
      <c r="AA2505">
        <f>IF(OR('19_Расчет_аналитики'!AA2477=0,18&lt;='01_Вводные'!$B$297),0,'19_Расчет_аналитики'!AA2477*IF('01_Вводные'!$B$239="Да",MeanMinAge18+'19_Расчет_аналитики'!AA2583*SUMIF(ThresholdAge18,"&lt;"&amp;'19_Расчет_аналитики'!AA2583,WeightedRevAge18)-SUMIF(ThresholdAge18,"&lt;"&amp;'19_Расчет_аналитики'!AA2583,WeightedMinAge18),MAX(CapacityAge18*'01_Вводные'!$B$218*'19_Расчет_аналитики'!AA2583,MeanMinAge18)))</f>
        <v/>
      </c>
      <c r="AB2505">
        <f>IF(OR('19_Расчет_аналитики'!AB2477=0,18&lt;='01_Вводные'!$B$297),0,'19_Расчет_аналитики'!AB2477*IF('01_Вводные'!$B$239="Да",MeanMinAge18+'19_Расчет_аналитики'!AB2583*SUMIF(ThresholdAge18,"&lt;"&amp;'19_Расчет_аналитики'!AB2583,WeightedRevAge18)-SUMIF(ThresholdAge18,"&lt;"&amp;'19_Расчет_аналитики'!AB2583,WeightedMinAge18),MAX(CapacityAge18*'01_Вводные'!$B$218*'19_Расчет_аналитики'!AB2583,MeanMinAge18)))</f>
        <v/>
      </c>
      <c r="AC2505">
        <f>IF(OR('19_Расчет_аналитики'!AC2477=0,18&lt;='01_Вводные'!$B$297),0,'19_Расчет_аналитики'!AC2477*IF('01_Вводные'!$B$239="Да",MeanMinAge18+'19_Расчет_аналитики'!AC2583*SUMIF(ThresholdAge18,"&lt;"&amp;'19_Расчет_аналитики'!AC2583,WeightedRevAge18)-SUMIF(ThresholdAge18,"&lt;"&amp;'19_Расчет_аналитики'!AC2583,WeightedMinAge18),MAX(CapacityAge18*'01_Вводные'!$B$218*'19_Расчет_аналитики'!AC2583,MeanMinAge18)))</f>
        <v/>
      </c>
      <c r="AD2505">
        <f>IF(OR('19_Расчет_аналитики'!AD2477=0,18&lt;='01_Вводные'!$B$297),0,'19_Расчет_аналитики'!AD2477*IF('01_Вводные'!$B$239="Да",MeanMinAge18+'19_Расчет_аналитики'!AD2583*SUMIF(ThresholdAge18,"&lt;"&amp;'19_Расчет_аналитики'!AD2583,WeightedRevAge18)-SUMIF(ThresholdAge18,"&lt;"&amp;'19_Расчет_аналитики'!AD2583,WeightedMinAge18),MAX(CapacityAge18*'01_Вводные'!$B$218*'19_Расчет_аналитики'!AD2583,MeanMinAge18)))</f>
        <v/>
      </c>
      <c r="AE2505">
        <f>IF(OR('19_Расчет_аналитики'!AE2477=0,18&lt;='01_Вводные'!$B$297),0,'19_Расчет_аналитики'!AE2477*IF('01_Вводные'!$B$239="Да",MeanMinAge18+'19_Расчет_аналитики'!AE2583*SUMIF(ThresholdAge18,"&lt;"&amp;'19_Расчет_аналитики'!AE2583,WeightedRevAge18)-SUMIF(ThresholdAge18,"&lt;"&amp;'19_Расчет_аналитики'!AE2583,WeightedMinAge18),MAX(CapacityAge18*'01_Вводные'!$B$218*'19_Расчет_аналитики'!AE2583,MeanMinAge18)))</f>
        <v/>
      </c>
      <c r="AF2505">
        <f>IF(OR('19_Расчет_аналитики'!AF2477=0,18&lt;='01_Вводные'!$B$297),0,'19_Расчет_аналитики'!AF2477*IF('01_Вводные'!$B$239="Да",MeanMinAge18+'19_Расчет_аналитики'!AF2583*SUMIF(ThresholdAge18,"&lt;"&amp;'19_Расчет_аналитики'!AF2583,WeightedRevAge18)-SUMIF(ThresholdAge18,"&lt;"&amp;'19_Расчет_аналитики'!AF2583,WeightedMinAge18),MAX(CapacityAge18*'01_Вводные'!$B$218*'19_Расчет_аналитики'!AF2583,MeanMinAge18)))</f>
        <v/>
      </c>
      <c r="AG2505">
        <f>IF(OR('19_Расчет_аналитики'!AG2477=0,18&lt;='01_Вводные'!$B$297),0,'19_Расчет_аналитики'!AG2477*IF('01_Вводные'!$B$239="Да",MeanMinAge18+'19_Расчет_аналитики'!AG2583*SUMIF(ThresholdAge18,"&lt;"&amp;'19_Расчет_аналитики'!AG2583,WeightedRevAge18)-SUMIF(ThresholdAge18,"&lt;"&amp;'19_Расчет_аналитики'!AG2583,WeightedMinAge18),MAX(CapacityAge18*'01_Вводные'!$B$218*'19_Расчет_аналитики'!AG2583,MeanMinAge18)))</f>
        <v/>
      </c>
      <c r="AH2505">
        <f>IF(OR('19_Расчет_аналитики'!AH2477=0,18&lt;='01_Вводные'!$B$297),0,'19_Расчет_аналитики'!AH2477*IF('01_Вводные'!$B$239="Да",MeanMinAge18+'19_Расчет_аналитики'!AH2583*SUMIF(ThresholdAge18,"&lt;"&amp;'19_Расчет_аналитики'!AH2583,WeightedRevAge18)-SUMIF(ThresholdAge18,"&lt;"&amp;'19_Расчет_аналитики'!AH2583,WeightedMinAge18),MAX(CapacityAge18*'01_Вводные'!$B$218*'19_Расчет_аналитики'!AH2583,MeanMinAge18)))</f>
        <v/>
      </c>
      <c r="AI2505">
        <f>IF(OR('19_Расчет_аналитики'!AI2477=0,18&lt;='01_Вводные'!$B$297),0,'19_Расчет_аналитики'!AI2477*IF('01_Вводные'!$B$239="Да",MeanMinAge18+'19_Расчет_аналитики'!AI2583*SUMIF(ThresholdAge18,"&lt;"&amp;'19_Расчет_аналитики'!AI2583,WeightedRevAge18)-SUMIF(ThresholdAge18,"&lt;"&amp;'19_Расчет_аналитики'!AI2583,WeightedMinAge18),MAX(CapacityAge18*'01_Вводные'!$B$218*'19_Расчет_аналитики'!AI2583,MeanMinAge18)))</f>
        <v/>
      </c>
      <c r="AJ2505">
        <f>IF(OR('19_Расчет_аналитики'!AJ2477=0,18&lt;='01_Вводные'!$B$297),0,'19_Расчет_аналитики'!AJ2477*IF('01_Вводные'!$B$239="Да",MeanMinAge18+'19_Расчет_аналитики'!AJ2583*SUMIF(ThresholdAge18,"&lt;"&amp;'19_Расчет_аналитики'!AJ2583,WeightedRevAge18)-SUMIF(ThresholdAge18,"&lt;"&amp;'19_Расчет_аналитики'!AJ2583,WeightedMinAge18),MAX(CapacityAge18*'01_Вводные'!$B$218*'19_Расчет_аналитики'!AJ2583,MeanMinAge18)))</f>
        <v/>
      </c>
      <c r="AK2505">
        <f>IF(OR('19_Расчет_аналитики'!AK2477=0,18&lt;='01_Вводные'!$B$297),0,'19_Расчет_аналитики'!AK2477*IF('01_Вводные'!$B$239="Да",MeanMinAge18+'19_Расчет_аналитики'!AK2583*SUMIF(ThresholdAge18,"&lt;"&amp;'19_Расчет_аналитики'!AK2583,WeightedRevAge18)-SUMIF(ThresholdAge18,"&lt;"&amp;'19_Расчет_аналитики'!AK2583,WeightedMinAge18),MAX(CapacityAge18*'01_Вводные'!$B$218*'19_Расчет_аналитики'!AK2583,MeanMinAge18)))</f>
        <v/>
      </c>
      <c r="AL2505">
        <f>IF(OR('19_Расчет_аналитики'!AL2477=0,18&lt;='01_Вводные'!$B$297),0,'19_Расчет_аналитики'!AL2477*IF('01_Вводные'!$B$239="Да",MeanMinAge18+'19_Расчет_аналитики'!AL2583*SUMIF(ThresholdAge18,"&lt;"&amp;'19_Расчет_аналитики'!AL2583,WeightedRevAge18)-SUMIF(ThresholdAge18,"&lt;"&amp;'19_Расчет_аналитики'!AL2583,WeightedMinAge18),MAX(CapacityAge18*'01_Вводные'!$B$218*'19_Расчет_аналитики'!AL2583,MeanMinAge18)))</f>
        <v/>
      </c>
      <c r="AM2505">
        <f>IF(OR('19_Расчет_аналитики'!AM2477=0,18&lt;='01_Вводные'!$B$297),0,'19_Расчет_аналитики'!AM2477*IF('01_Вводные'!$B$239="Да",MeanMinAge18+'19_Расчет_аналитики'!AM2583*SUMIF(ThresholdAge18,"&lt;"&amp;'19_Расчет_аналитики'!AM2583,WeightedRevAge18)-SUMIF(ThresholdAge18,"&lt;"&amp;'19_Расчет_аналитики'!AM2583,WeightedMinAge18),MAX(CapacityAge18*'01_Вводные'!$B$218*'19_Расчет_аналитики'!AM2583,MeanMinAge18)))</f>
        <v/>
      </c>
      <c r="AN2505">
        <f>IF(OR('19_Расчет_аналитики'!AN2477=0,18&lt;='01_Вводные'!$B$297),0,'19_Расчет_аналитики'!AN2477*IF('01_Вводные'!$B$239="Да",MeanMinAge18+'19_Расчет_аналитики'!AN2583*SUMIF(ThresholdAge18,"&lt;"&amp;'19_Расчет_аналитики'!AN2583,WeightedRevAge18)-SUMIF(ThresholdAge18,"&lt;"&amp;'19_Расчет_аналитики'!AN2583,WeightedMinAge18),MAX(CapacityAge18*'01_Вводные'!$B$218*'19_Расчет_аналитики'!AN2583,MeanMinAge18)))</f>
        <v/>
      </c>
      <c r="AO2505">
        <f>IF(OR('19_Расчет_аналитики'!AO2477=0,18&lt;='01_Вводные'!$B$297),0,'19_Расчет_аналитики'!AO2477*IF('01_Вводные'!$B$239="Да",MeanMinAge18+'19_Расчет_аналитики'!AO2583*SUMIF(ThresholdAge18,"&lt;"&amp;'19_Расчет_аналитики'!AO2583,WeightedRevAge18)-SUMIF(ThresholdAge18,"&lt;"&amp;'19_Расчет_аналитики'!AO2583,WeightedMinAge18),MAX(CapacityAge18*'01_Вводные'!$B$218*'19_Расчет_аналитики'!AO2583,MeanMinAge18)))</f>
        <v/>
      </c>
      <c r="AP2505">
        <f>IF(OR('19_Расчет_аналитики'!AP2477=0,18&lt;='01_Вводные'!$B$297),0,'19_Расчет_аналитики'!AP2477*IF('01_Вводные'!$B$239="Да",MeanMinAge18+'19_Расчет_аналитики'!AP2583*SUMIF(ThresholdAge18,"&lt;"&amp;'19_Расчет_аналитики'!AP2583,WeightedRevAge18)-SUMIF(ThresholdAge18,"&lt;"&amp;'19_Расчет_аналитики'!AP2583,WeightedMinAge18),MAX(CapacityAge18*'01_Вводные'!$B$218*'19_Расчет_аналитики'!AP2583,MeanMinAge18)))</f>
        <v/>
      </c>
      <c r="AQ2505">
        <f>IF(OR('19_Расчет_аналитики'!AQ2477=0,18&lt;='01_Вводные'!$B$297),0,'19_Расчет_аналитики'!AQ2477*IF('01_Вводные'!$B$239="Да",MeanMinAge18+'19_Расчет_аналитики'!AQ2583*SUMIF(ThresholdAge18,"&lt;"&amp;'19_Расчет_аналитики'!AQ2583,WeightedRevAge18)-SUMIF(ThresholdAge18,"&lt;"&amp;'19_Расчет_аналитики'!AQ2583,WeightedMinAge18),MAX(CapacityAge18*'01_Вводные'!$B$218*'19_Расчет_аналитики'!AQ2583,MeanMinAge18)))</f>
        <v/>
      </c>
      <c r="AR2505">
        <f>IF(OR('19_Расчет_аналитики'!AR2477=0,18&lt;='01_Вводные'!$B$297),0,'19_Расчет_аналитики'!AR2477*IF('01_Вводные'!$B$239="Да",MeanMinAge18+'19_Расчет_аналитики'!AR2583*SUMIF(ThresholdAge18,"&lt;"&amp;'19_Расчет_аналитики'!AR2583,WeightedRevAge18)-SUMIF(ThresholdAge18,"&lt;"&amp;'19_Расчет_аналитики'!AR2583,WeightedMinAge18),MAX(CapacityAge18*'01_Вводные'!$B$218*'19_Расчет_аналитики'!AR2583,MeanMinAge18)))</f>
        <v/>
      </c>
      <c r="AS2505">
        <f>IF(OR('19_Расчет_аналитики'!AS2477=0,18&lt;='01_Вводные'!$B$297),0,'19_Расчет_аналитики'!AS2477*IF('01_Вводные'!$B$239="Да",MeanMinAge18+'19_Расчет_аналитики'!AS2583*SUMIF(ThresholdAge18,"&lt;"&amp;'19_Расчет_аналитики'!AS2583,WeightedRevAge18)-SUMIF(ThresholdAge18,"&lt;"&amp;'19_Расчет_аналитики'!AS2583,WeightedMinAge18),MAX(CapacityAge18*'01_Вводные'!$B$218*'19_Расчет_аналитики'!AS2583,MeanMinAge18)))</f>
        <v/>
      </c>
      <c r="AT2505">
        <f>IF(OR('19_Расчет_аналитики'!AT2477=0,18&lt;='01_Вводные'!$B$297),0,'19_Расчет_аналитики'!AT2477*IF('01_Вводные'!$B$239="Да",MeanMinAge18+'19_Расчет_аналитики'!AT2583*SUMIF(ThresholdAge18,"&lt;"&amp;'19_Расчет_аналитики'!AT2583,WeightedRevAge18)-SUMIF(ThresholdAge18,"&lt;"&amp;'19_Расчет_аналитики'!AT2583,WeightedMinAge18),MAX(CapacityAge18*'01_Вводные'!$B$218*'19_Расчет_аналитики'!AT2583,MeanMinAge18)))</f>
        <v/>
      </c>
      <c r="AU2505">
        <f>IF(OR('19_Расчет_аналитики'!AU2477=0,18&lt;='01_Вводные'!$B$297),0,'19_Расчет_аналитики'!AU2477*IF('01_Вводные'!$B$239="Да",MeanMinAge18+'19_Расчет_аналитики'!AU2583*SUMIF(ThresholdAge18,"&lt;"&amp;'19_Расчет_аналитики'!AU2583,WeightedRevAge18)-SUMIF(ThresholdAge18,"&lt;"&amp;'19_Расчет_аналитики'!AU2583,WeightedMinAge18),MAX(CapacityAge18*'01_Вводные'!$B$218*'19_Расчет_аналитики'!AU2583,MeanMinAge18)))</f>
        <v/>
      </c>
      <c r="AV2505">
        <f>IF(OR('19_Расчет_аналитики'!AV2477=0,18&lt;='01_Вводные'!$B$297),0,'19_Расчет_аналитики'!AV2477*IF('01_Вводные'!$B$239="Да",MeanMinAge18+'19_Расчет_аналитики'!AV2583*SUMIF(ThresholdAge18,"&lt;"&amp;'19_Расчет_аналитики'!AV2583,WeightedRevAge18)-SUMIF(ThresholdAge18,"&lt;"&amp;'19_Расчет_аналитики'!AV2583,WeightedMinAge18),MAX(CapacityAge18*'01_Вводные'!$B$218*'19_Расчет_аналитики'!AV2583,MeanMinAge18)))</f>
        <v/>
      </c>
      <c r="AW2505">
        <f>IF(OR('19_Расчет_аналитики'!AW2477=0,18&lt;='01_Вводные'!$B$297),0,'19_Расчет_аналитики'!AW2477*IF('01_Вводные'!$B$239="Да",MeanMinAge18+'19_Расчет_аналитики'!AW2583*SUMIF(ThresholdAge18,"&lt;"&amp;'19_Расчет_аналитики'!AW2583,WeightedRevAge18)-SUMIF(ThresholdAge18,"&lt;"&amp;'19_Расчет_аналитики'!AW2583,WeightedMinAge18),MAX(CapacityAge18*'01_Вводные'!$B$218*'19_Расчет_аналитики'!AW2583,MeanMinAge18)))</f>
        <v/>
      </c>
      <c r="AX2505">
        <f>IF(OR('19_Расчет_аналитики'!AX2477=0,18&lt;='01_Вводные'!$B$297),0,'19_Расчет_аналитики'!AX2477*IF('01_Вводные'!$B$239="Да",MeanMinAge18+'19_Расчет_аналитики'!AX2583*SUMIF(ThresholdAge18,"&lt;"&amp;'19_Расчет_аналитики'!AX2583,WeightedRevAge18)-SUMIF(ThresholdAge18,"&lt;"&amp;'19_Расчет_аналитики'!AX2583,WeightedMinAge18),MAX(CapacityAge18*'01_Вводные'!$B$218*'19_Расчет_аналитики'!AX2583,MeanMinAge18)))</f>
        <v/>
      </c>
      <c r="AY2505">
        <f>IF(OR('19_Расчет_аналитики'!AY2477=0,18&lt;='01_Вводные'!$B$297),0,'19_Расчет_аналитики'!AY2477*IF('01_Вводные'!$B$239="Да",MeanMinAge18+'19_Расчет_аналитики'!AY2583*SUMIF(ThresholdAge18,"&lt;"&amp;'19_Расчет_аналитики'!AY2583,WeightedRevAge18)-SUMIF(ThresholdAge18,"&lt;"&amp;'19_Расчет_аналитики'!AY2583,WeightedMinAge18),MAX(CapacityAge18*'01_Вводные'!$B$218*'19_Расчет_аналитики'!AY2583,MeanMinAge18)))</f>
        <v/>
      </c>
      <c r="AZ2505">
        <f>IF(OR('19_Расчет_аналитики'!AZ2477=0,18&lt;='01_Вводные'!$B$297),0,'19_Расчет_аналитики'!AZ2477*IF('01_Вводные'!$B$239="Да",MeanMinAge18+'19_Расчет_аналитики'!AZ2583*SUMIF(ThresholdAge18,"&lt;"&amp;'19_Расчет_аналитики'!AZ2583,WeightedRevAge18)-SUMIF(ThresholdAge18,"&lt;"&amp;'19_Расчет_аналитики'!AZ2583,WeightedMinAge18),MAX(CapacityAge18*'01_Вводные'!$B$218*'19_Расчет_аналитики'!AZ2583,MeanMinAge18)))</f>
        <v/>
      </c>
      <c r="BA2505">
        <f>IF(OR('19_Расчет_аналитики'!BA2477=0,18&lt;='01_Вводные'!$B$297),0,'19_Расчет_аналитики'!BA2477*IF('01_Вводные'!$B$239="Да",MeanMinAge18+'19_Расчет_аналитики'!BA2583*SUMIF(ThresholdAge18,"&lt;"&amp;'19_Расчет_аналитики'!BA2583,WeightedRevAge18)-SUMIF(ThresholdAge18,"&lt;"&amp;'19_Расчет_аналитики'!BA2583,WeightedMinAge18),MAX(CapacityAge18*'01_Вводные'!$B$218*'19_Расчет_аналитики'!BA2583,MeanMinAge18)))</f>
        <v/>
      </c>
      <c r="BB2505">
        <f>IF(OR('19_Расчет_аналитики'!BB2477=0,18&lt;='01_Вводные'!$B$297),0,'19_Расчет_аналитики'!BB2477*IF('01_Вводные'!$B$239="Да",MeanMinAge18+'19_Расчет_аналитики'!BB2583*SUMIF(ThresholdAge18,"&lt;"&amp;'19_Расчет_аналитики'!BB2583,WeightedRevAge18)-SUMIF(ThresholdAge18,"&lt;"&amp;'19_Расчет_аналитики'!BB2583,WeightedMinAge18),MAX(CapacityAge18*'01_Вводные'!$B$218*'19_Расчет_аналитики'!BB2583,MeanMinAge18)))</f>
        <v/>
      </c>
      <c r="BC2505">
        <f>IF(OR('19_Расчет_аналитики'!BC2477=0,18&lt;='01_Вводные'!$B$297),0,'19_Расчет_аналитики'!BC2477*IF('01_Вводные'!$B$239="Да",MeanMinAge18+'19_Расчет_аналитики'!BC2583*SUMIF(ThresholdAge18,"&lt;"&amp;'19_Расчет_аналитики'!BC2583,WeightedRevAge18)-SUMIF(ThresholdAge18,"&lt;"&amp;'19_Расчет_аналитики'!BC2583,WeightedMinAge18),MAX(CapacityAge18*'01_Вводные'!$B$218*'19_Расчет_аналитики'!BC2583,MeanMinAge18)))</f>
        <v/>
      </c>
      <c r="BD2505">
        <f>IF(OR('19_Расчет_аналитики'!BD2477=0,18&lt;='01_Вводные'!$B$297),0,'19_Расчет_аналитики'!BD2477*IF('01_Вводные'!$B$239="Да",MeanMinAge18+'19_Расчет_аналитики'!BD2583*SUMIF(ThresholdAge18,"&lt;"&amp;'19_Расчет_аналитики'!BD2583,WeightedRevAge18)-SUMIF(ThresholdAge18,"&lt;"&amp;'19_Расчет_аналитики'!BD2583,WeightedMinAge18),MAX(CapacityAge18*'01_Вводные'!$B$218*'19_Расчет_аналитики'!BD2583,MeanMinAge18)))</f>
        <v/>
      </c>
      <c r="BE2505">
        <f>IF(OR('19_Расчет_аналитики'!BE2477=0,18&lt;='01_Вводные'!$B$297),0,'19_Расчет_аналитики'!BE2477*IF('01_Вводные'!$B$239="Да",MeanMinAge18+'19_Расчет_аналитики'!BE2583*SUMIF(ThresholdAge18,"&lt;"&amp;'19_Расчет_аналитики'!BE2583,WeightedRevAge18)-SUMIF(ThresholdAge18,"&lt;"&amp;'19_Расчет_аналитики'!BE2583,WeightedMinAge18),MAX(CapacityAge18*'01_Вводные'!$B$218*'19_Расчет_аналитики'!BE2583,MeanMinAge18)))</f>
        <v/>
      </c>
      <c r="BF2505">
        <f>IF(OR('19_Расчет_аналитики'!BF2477=0,18&lt;='01_Вводные'!$B$297),0,'19_Расчет_аналитики'!BF2477*IF('01_Вводные'!$B$239="Да",MeanMinAge18+'19_Расчет_аналитики'!BF2583*SUMIF(ThresholdAge18,"&lt;"&amp;'19_Расчет_аналитики'!BF2583,WeightedRevAge18)-SUMIF(ThresholdAge18,"&lt;"&amp;'19_Расчет_аналитики'!BF2583,WeightedMinAge18),MAX(CapacityAge18*'01_Вводные'!$B$218*'19_Расчет_аналитики'!BF2583,MeanMinAge18)))</f>
        <v/>
      </c>
      <c r="BG2505">
        <f>IF(OR('19_Расчет_аналитики'!BG2477=0,18&lt;='01_Вводные'!$B$297),0,'19_Расчет_аналитики'!BG2477*IF('01_Вводные'!$B$239="Да",MeanMinAge18+'19_Расчет_аналитики'!BG2583*SUMIF(ThresholdAge18,"&lt;"&amp;'19_Расчет_аналитики'!BG2583,WeightedRevAge18)-SUMIF(ThresholdAge18,"&lt;"&amp;'19_Расчет_аналитики'!BG2583,WeightedMinAge18),MAX(CapacityAge18*'01_Вводные'!$B$218*'19_Расчет_аналитики'!BG2583,MeanMinAge18)))</f>
        <v/>
      </c>
      <c r="BH2505">
        <f>IF(OR('19_Расчет_аналитики'!BH2477=0,18&lt;='01_Вводные'!$B$297),0,'19_Расчет_аналитики'!BH2477*IF('01_Вводные'!$B$239="Да",MeanMinAge18+'19_Расчет_аналитики'!BH2583*SUMIF(ThresholdAge18,"&lt;"&amp;'19_Расчет_аналитики'!BH2583,WeightedRevAge18)-SUMIF(ThresholdAge18,"&lt;"&amp;'19_Расчет_аналитики'!BH2583,WeightedMinAge18),MAX(CapacityAge18*'01_Вводные'!$B$218*'19_Расчет_аналитики'!BH2583,MeanMinAge18)))</f>
        <v/>
      </c>
      <c r="BI2505">
        <f>IF(OR('19_Расчет_аналитики'!BI2477=0,18&lt;='01_Вводные'!$B$297),0,'19_Расчет_аналитики'!BI2477*IF('01_Вводные'!$B$239="Да",MeanMinAge18+'19_Расчет_аналитики'!BI2583*SUMIF(ThresholdAge18,"&lt;"&amp;'19_Расчет_аналитики'!BI2583,WeightedRevAge18)-SUMIF(ThresholdAge18,"&lt;"&amp;'19_Расчет_аналитики'!BI2583,WeightedMinAge18),MAX(CapacityAge18*'01_Вводные'!$B$218*'19_Расчет_аналитики'!BI2583,MeanMinAge18)))</f>
        <v/>
      </c>
      <c r="BJ2505">
        <f>IF(OR('19_Расчет_аналитики'!BJ2477=0,18&lt;='01_Вводные'!$B$297),0,'19_Расчет_аналитики'!BJ2477*IF('01_Вводные'!$B$239="Да",MeanMinAge18+'19_Расчет_аналитики'!BJ2583*SUMIF(ThresholdAge18,"&lt;"&amp;'19_Расчет_аналитики'!BJ2583,WeightedRevAge18)-SUMIF(ThresholdAge18,"&lt;"&amp;'19_Расчет_аналитики'!BJ2583,WeightedMinAge18),MAX(CapacityAge18*'01_Вводные'!$B$218*'19_Расчет_аналитики'!BJ2583,MeanMinAge18)))</f>
        <v/>
      </c>
      <c r="BK2505">
        <f>IF(OR('19_Расчет_аналитики'!BK2477=0,18&lt;='01_Вводные'!$B$297),0,'19_Расчет_аналитики'!BK2477*IF('01_Вводные'!$B$239="Да",MeanMinAge18+'19_Расчет_аналитики'!BK2583*SUMIF(ThresholdAge18,"&lt;"&amp;'19_Расчет_аналитики'!BK2583,WeightedRevAge18)-SUMIF(ThresholdAge18,"&lt;"&amp;'19_Расчет_аналитики'!BK2583,WeightedMinAge18),MAX(CapacityAge18*'01_Вводные'!$B$218*'19_Расчет_аналитики'!BK2583,MeanMinAge18)))</f>
        <v/>
      </c>
      <c r="BL2505">
        <f>IF(OR('19_Расчет_аналитики'!BL2477=0,18&lt;='01_Вводные'!$B$297),0,'19_Расчет_аналитики'!BL2477*IF('01_Вводные'!$B$239="Да",MeanMinAge18+'19_Расчет_аналитики'!BL2583*SUMIF(ThresholdAge18,"&lt;"&amp;'19_Расчет_аналитики'!BL2583,WeightedRevAge18)-SUMIF(ThresholdAge18,"&lt;"&amp;'19_Расчет_аналитики'!BL2583,WeightedMinAge18),MAX(CapacityAge18*'01_Вводные'!$B$218*'19_Расчет_аналитики'!BL2583,MeanMinAge18)))</f>
        <v/>
      </c>
      <c r="BM2505">
        <f>IF(OR('19_Расчет_аналитики'!BM2477=0,18&lt;='01_Вводные'!$B$297),0,'19_Расчет_аналитики'!BM2477*IF('01_Вводные'!$B$239="Да",MeanMinAge18+'19_Расчет_аналитики'!BM2583*SUMIF(ThresholdAge18,"&lt;"&amp;'19_Расчет_аналитики'!BM2583,WeightedRevAge18)-SUMIF(ThresholdAge18,"&lt;"&amp;'19_Расчет_аналитики'!BM2583,WeightedMinAge18),MAX(CapacityAge18*'01_Вводные'!$B$218*'19_Расчет_аналитики'!BM2583,MeanMinAge18)))</f>
        <v/>
      </c>
      <c r="BN2505">
        <f>IF(OR('19_Расчет_аналитики'!BN2477=0,18&lt;='01_Вводные'!$B$297),0,'19_Расчет_аналитики'!BN2477*IF('01_Вводные'!$B$239="Да",MeanMinAge18+'19_Расчет_аналитики'!BN2583*SUMIF(ThresholdAge18,"&lt;"&amp;'19_Расчет_аналитики'!BN2583,WeightedRevAge18)-SUMIF(ThresholdAge18,"&lt;"&amp;'19_Расчет_аналитики'!BN2583,WeightedMinAge18),MAX(CapacityAge18*'01_Вводные'!$B$218*'19_Расчет_аналитики'!BN2583,MeanMinAge18)))</f>
        <v/>
      </c>
      <c r="BO2505">
        <f>IF(OR('19_Расчет_аналитики'!BO2477=0,18&lt;='01_Вводные'!$B$297),0,'19_Расчет_аналитики'!BO2477*IF('01_Вводные'!$B$239="Да",MeanMinAge18+'19_Расчет_аналитики'!BO2583*SUMIF(ThresholdAge18,"&lt;"&amp;'19_Расчет_аналитики'!BO2583,WeightedRevAge18)-SUMIF(ThresholdAge18,"&lt;"&amp;'19_Расчет_аналитики'!BO2583,WeightedMinAge18),MAX(CapacityAge18*'01_Вводные'!$B$218*'19_Расчет_аналитики'!BO2583,MeanMinAge18)))</f>
        <v/>
      </c>
    </row>
    <row r="2506">
      <c r="B2506">
        <f>IF(OR('06_Сеть_и_дети'!B99=0,19&lt;='01_Вводные'!$B$297),0,'06_Сеть_и_дети'!B99*IF('01_Вводные'!$B$239="Да",MeanMinAge19+'19_Расчет_аналитики'!B2583*SUMIF(ThresholdAge19,"&lt;"&amp;'19_Расчет_аналитики'!B2583,WeightedRevAge19)-SUMIF(ThresholdAge19,"&lt;"&amp;'19_Расчет_аналитики'!B2583,WeightedMinAge19),MAX(CapacityAge19*'01_Вводные'!$B$218*'19_Расчет_аналитики'!B2583,MeanMinAge19)))</f>
        <v/>
      </c>
      <c r="C2506">
        <f>IF(OR('06_Сеть_и_дети'!C99=0,19&lt;='01_Вводные'!$B$297),0,'06_Сеть_и_дети'!C99*IF('01_Вводные'!$B$239="Да",MeanMinAge19+'19_Расчет_аналитики'!C2583*SUMIF(ThresholdAge19,"&lt;"&amp;'19_Расчет_аналитики'!C2583,WeightedRevAge19)-SUMIF(ThresholdAge19,"&lt;"&amp;'19_Расчет_аналитики'!C2583,WeightedMinAge19),MAX(CapacityAge19*'01_Вводные'!$B$218*'19_Расчет_аналитики'!C2583,MeanMinAge19)))</f>
        <v/>
      </c>
      <c r="D2506">
        <f>IF(OR('06_Сеть_и_дети'!D99=0,19&lt;='01_Вводные'!$B$297),0,'06_Сеть_и_дети'!D99*IF('01_Вводные'!$B$239="Да",MeanMinAge19+'19_Расчет_аналитики'!D2583*SUMIF(ThresholdAge19,"&lt;"&amp;'19_Расчет_аналитики'!D2583,WeightedRevAge19)-SUMIF(ThresholdAge19,"&lt;"&amp;'19_Расчет_аналитики'!D2583,WeightedMinAge19),MAX(CapacityAge19*'01_Вводные'!$B$218*'19_Расчет_аналитики'!D2583,MeanMinAge19)))</f>
        <v/>
      </c>
      <c r="E2506">
        <f>IF(OR('06_Сеть_и_дети'!E99=0,19&lt;='01_Вводные'!$B$297),0,'06_Сеть_и_дети'!E99*IF('01_Вводные'!$B$239="Да",MeanMinAge19+'19_Расчет_аналитики'!E2583*SUMIF(ThresholdAge19,"&lt;"&amp;'19_Расчет_аналитики'!E2583,WeightedRevAge19)-SUMIF(ThresholdAge19,"&lt;"&amp;'19_Расчет_аналитики'!E2583,WeightedMinAge19),MAX(CapacityAge19*'01_Вводные'!$B$218*'19_Расчет_аналитики'!E2583,MeanMinAge19)))</f>
        <v/>
      </c>
      <c r="F2506">
        <f>IF(OR('06_Сеть_и_дети'!F99=0,19&lt;='01_Вводные'!$B$297),0,'06_Сеть_и_дети'!F99*IF('01_Вводные'!$B$239="Да",MeanMinAge19+'19_Расчет_аналитики'!F2583*SUMIF(ThresholdAge19,"&lt;"&amp;'19_Расчет_аналитики'!F2583,WeightedRevAge19)-SUMIF(ThresholdAge19,"&lt;"&amp;'19_Расчет_аналитики'!F2583,WeightedMinAge19),MAX(CapacityAge19*'01_Вводные'!$B$218*'19_Расчет_аналитики'!F2583,MeanMinAge19)))</f>
        <v/>
      </c>
      <c r="G2506">
        <f>IF(OR('06_Сеть_и_дети'!G99=0,19&lt;='01_Вводные'!$B$297),0,'06_Сеть_и_дети'!G99*IF('01_Вводные'!$B$239="Да",MeanMinAge19+'19_Расчет_аналитики'!G2583*SUMIF(ThresholdAge19,"&lt;"&amp;'19_Расчет_аналитики'!G2583,WeightedRevAge19)-SUMIF(ThresholdAge19,"&lt;"&amp;'19_Расчет_аналитики'!G2583,WeightedMinAge19),MAX(CapacityAge19*'01_Вводные'!$B$218*'19_Расчет_аналитики'!G2583,MeanMinAge19)))</f>
        <v/>
      </c>
      <c r="H2506">
        <f>IF(OR('06_Сеть_и_дети'!H99=0,19&lt;='01_Вводные'!$B$297),0,'06_Сеть_и_дети'!H99*IF('01_Вводные'!$B$239="Да",MeanMinAge19+'19_Расчет_аналитики'!H2583*SUMIF(ThresholdAge19,"&lt;"&amp;'19_Расчет_аналитики'!H2583,WeightedRevAge19)-SUMIF(ThresholdAge19,"&lt;"&amp;'19_Расчет_аналитики'!H2583,WeightedMinAge19),MAX(CapacityAge19*'01_Вводные'!$B$218*'19_Расчет_аналитики'!H2583,MeanMinAge19)))</f>
        <v/>
      </c>
      <c r="I2506">
        <f>IF(OR('06_Сеть_и_дети'!I99=0,19&lt;='01_Вводные'!$B$297),0,'06_Сеть_и_дети'!I99*IF('01_Вводные'!$B$239="Да",MeanMinAge19+'19_Расчет_аналитики'!I2583*SUMIF(ThresholdAge19,"&lt;"&amp;'19_Расчет_аналитики'!I2583,WeightedRevAge19)-SUMIF(ThresholdAge19,"&lt;"&amp;'19_Расчет_аналитики'!I2583,WeightedMinAge19),MAX(CapacityAge19*'01_Вводные'!$B$218*'19_Расчет_аналитики'!I2583,MeanMinAge19)))</f>
        <v/>
      </c>
      <c r="J2506">
        <f>IF(OR('06_Сеть_и_дети'!J99=0,19&lt;='01_Вводные'!$B$297),0,'06_Сеть_и_дети'!J99*IF('01_Вводные'!$B$239="Да",MeanMinAge19+'19_Расчет_аналитики'!J2583*SUMIF(ThresholdAge19,"&lt;"&amp;'19_Расчет_аналитики'!J2583,WeightedRevAge19)-SUMIF(ThresholdAge19,"&lt;"&amp;'19_Расчет_аналитики'!J2583,WeightedMinAge19),MAX(CapacityAge19*'01_Вводные'!$B$218*'19_Расчет_аналитики'!J2583,MeanMinAge19)))</f>
        <v/>
      </c>
      <c r="K2506">
        <f>IF(OR('06_Сеть_и_дети'!K99=0,19&lt;='01_Вводные'!$B$297),0,'06_Сеть_и_дети'!K99*IF('01_Вводные'!$B$239="Да",MeanMinAge19+'19_Расчет_аналитики'!K2583*SUMIF(ThresholdAge19,"&lt;"&amp;'19_Расчет_аналитики'!K2583,WeightedRevAge19)-SUMIF(ThresholdAge19,"&lt;"&amp;'19_Расчет_аналитики'!K2583,WeightedMinAge19),MAX(CapacityAge19*'01_Вводные'!$B$218*'19_Расчет_аналитики'!K2583,MeanMinAge19)))</f>
        <v/>
      </c>
      <c r="L2506">
        <f>IF(OR('06_Сеть_и_дети'!L99=0,19&lt;='01_Вводные'!$B$297),0,'06_Сеть_и_дети'!L99*IF('01_Вводные'!$B$239="Да",MeanMinAge19+'19_Расчет_аналитики'!L2583*SUMIF(ThresholdAge19,"&lt;"&amp;'19_Расчет_аналитики'!L2583,WeightedRevAge19)-SUMIF(ThresholdAge19,"&lt;"&amp;'19_Расчет_аналитики'!L2583,WeightedMinAge19),MAX(CapacityAge19*'01_Вводные'!$B$218*'19_Расчет_аналитики'!L2583,MeanMinAge19)))</f>
        <v/>
      </c>
      <c r="M2506">
        <f>IF(OR('06_Сеть_и_дети'!M99=0,19&lt;='01_Вводные'!$B$297),0,'06_Сеть_и_дети'!M99*IF('01_Вводные'!$B$239="Да",MeanMinAge19+'19_Расчет_аналитики'!M2583*SUMIF(ThresholdAge19,"&lt;"&amp;'19_Расчет_аналитики'!M2583,WeightedRevAge19)-SUMIF(ThresholdAge19,"&lt;"&amp;'19_Расчет_аналитики'!M2583,WeightedMinAge19),MAX(CapacityAge19*'01_Вводные'!$B$218*'19_Расчет_аналитики'!M2583,MeanMinAge19)))</f>
        <v/>
      </c>
      <c r="N2506">
        <f>IF(OR('06_Сеть_и_дети'!N99=0,19&lt;='01_Вводные'!$B$297),0,'06_Сеть_и_дети'!N99*IF('01_Вводные'!$B$239="Да",MeanMinAge19+'19_Расчет_аналитики'!N2583*SUMIF(ThresholdAge19,"&lt;"&amp;'19_Расчет_аналитики'!N2583,WeightedRevAge19)-SUMIF(ThresholdAge19,"&lt;"&amp;'19_Расчет_аналитики'!N2583,WeightedMinAge19),MAX(CapacityAge19*'01_Вводные'!$B$218*'19_Расчет_аналитики'!N2583,MeanMinAge19)))</f>
        <v/>
      </c>
      <c r="O2506">
        <f>IF(OR('06_Сеть_и_дети'!O99=0,19&lt;='01_Вводные'!$B$297),0,'06_Сеть_и_дети'!O99*IF('01_Вводные'!$B$239="Да",MeanMinAge19+'19_Расчет_аналитики'!O2583*SUMIF(ThresholdAge19,"&lt;"&amp;'19_Расчет_аналитики'!O2583,WeightedRevAge19)-SUMIF(ThresholdAge19,"&lt;"&amp;'19_Расчет_аналитики'!O2583,WeightedMinAge19),MAX(CapacityAge19*'01_Вводные'!$B$218*'19_Расчет_аналитики'!O2583,MeanMinAge19)))</f>
        <v/>
      </c>
      <c r="P2506">
        <f>IF(OR('06_Сеть_и_дети'!P99=0,19&lt;='01_Вводные'!$B$297),0,'06_Сеть_и_дети'!P99*IF('01_Вводные'!$B$239="Да",MeanMinAge19+'19_Расчет_аналитики'!P2583*SUMIF(ThresholdAge19,"&lt;"&amp;'19_Расчет_аналитики'!P2583,WeightedRevAge19)-SUMIF(ThresholdAge19,"&lt;"&amp;'19_Расчет_аналитики'!P2583,WeightedMinAge19),MAX(CapacityAge19*'01_Вводные'!$B$218*'19_Расчет_аналитики'!P2583,MeanMinAge19)))</f>
        <v/>
      </c>
      <c r="Q2506">
        <f>IF(OR('06_Сеть_и_дети'!Q99=0,19&lt;='01_Вводные'!$B$297),0,'06_Сеть_и_дети'!Q99*IF('01_Вводные'!$B$239="Да",MeanMinAge19+'19_Расчет_аналитики'!Q2583*SUMIF(ThresholdAge19,"&lt;"&amp;'19_Расчет_аналитики'!Q2583,WeightedRevAge19)-SUMIF(ThresholdAge19,"&lt;"&amp;'19_Расчет_аналитики'!Q2583,WeightedMinAge19),MAX(CapacityAge19*'01_Вводные'!$B$218*'19_Расчет_аналитики'!Q2583,MeanMinAge19)))</f>
        <v/>
      </c>
      <c r="R2506">
        <f>IF(OR('06_Сеть_и_дети'!R99=0,19&lt;='01_Вводные'!$B$297),0,'06_Сеть_и_дети'!R99*IF('01_Вводные'!$B$239="Да",MeanMinAge19+'19_Расчет_аналитики'!R2583*SUMIF(ThresholdAge19,"&lt;"&amp;'19_Расчет_аналитики'!R2583,WeightedRevAge19)-SUMIF(ThresholdAge19,"&lt;"&amp;'19_Расчет_аналитики'!R2583,WeightedMinAge19),MAX(CapacityAge19*'01_Вводные'!$B$218*'19_Расчет_аналитики'!R2583,MeanMinAge19)))</f>
        <v/>
      </c>
      <c r="S2506">
        <f>IF(OR('06_Сеть_и_дети'!S99=0,19&lt;='01_Вводные'!$B$297),0,'06_Сеть_и_дети'!S99*IF('01_Вводные'!$B$239="Да",MeanMinAge19+'19_Расчет_аналитики'!S2583*SUMIF(ThresholdAge19,"&lt;"&amp;'19_Расчет_аналитики'!S2583,WeightedRevAge19)-SUMIF(ThresholdAge19,"&lt;"&amp;'19_Расчет_аналитики'!S2583,WeightedMinAge19),MAX(CapacityAge19*'01_Вводные'!$B$218*'19_Расчет_аналитики'!S2583,MeanMinAge19)))</f>
        <v/>
      </c>
      <c r="T2506">
        <f>IF(OR('19_Расчет_аналитики'!T2478=0,19&lt;='01_Вводные'!$B$297),0,'19_Расчет_аналитики'!T2478*IF('01_Вводные'!$B$239="Да",MeanMinAge19+'19_Расчет_аналитики'!T2583*SUMIF(ThresholdAge19,"&lt;"&amp;'19_Расчет_аналитики'!T2583,WeightedRevAge19)-SUMIF(ThresholdAge19,"&lt;"&amp;'19_Расчет_аналитики'!T2583,WeightedMinAge19),MAX(CapacityAge19*'01_Вводные'!$B$218*'19_Расчет_аналитики'!T2583,MeanMinAge19)))</f>
        <v/>
      </c>
      <c r="U2506">
        <f>IF(OR('19_Расчет_аналитики'!U2478=0,19&lt;='01_Вводные'!$B$297),0,'19_Расчет_аналитики'!U2478*IF('01_Вводные'!$B$239="Да",MeanMinAge19+'19_Расчет_аналитики'!U2583*SUMIF(ThresholdAge19,"&lt;"&amp;'19_Расчет_аналитики'!U2583,WeightedRevAge19)-SUMIF(ThresholdAge19,"&lt;"&amp;'19_Расчет_аналитики'!U2583,WeightedMinAge19),MAX(CapacityAge19*'01_Вводные'!$B$218*'19_Расчет_аналитики'!U2583,MeanMinAge19)))</f>
        <v/>
      </c>
      <c r="V2506">
        <f>IF(OR('19_Расчет_аналитики'!V2478=0,19&lt;='01_Вводные'!$B$297),0,'19_Расчет_аналитики'!V2478*IF('01_Вводные'!$B$239="Да",MeanMinAge19+'19_Расчет_аналитики'!V2583*SUMIF(ThresholdAge19,"&lt;"&amp;'19_Расчет_аналитики'!V2583,WeightedRevAge19)-SUMIF(ThresholdAge19,"&lt;"&amp;'19_Расчет_аналитики'!V2583,WeightedMinAge19),MAX(CapacityAge19*'01_Вводные'!$B$218*'19_Расчет_аналитики'!V2583,MeanMinAge19)))</f>
        <v/>
      </c>
      <c r="W2506">
        <f>IF(OR('19_Расчет_аналитики'!W2478=0,19&lt;='01_Вводные'!$B$297),0,'19_Расчет_аналитики'!W2478*IF('01_Вводные'!$B$239="Да",MeanMinAge19+'19_Расчет_аналитики'!W2583*SUMIF(ThresholdAge19,"&lt;"&amp;'19_Расчет_аналитики'!W2583,WeightedRevAge19)-SUMIF(ThresholdAge19,"&lt;"&amp;'19_Расчет_аналитики'!W2583,WeightedMinAge19),MAX(CapacityAge19*'01_Вводные'!$B$218*'19_Расчет_аналитики'!W2583,MeanMinAge19)))</f>
        <v/>
      </c>
      <c r="X2506">
        <f>IF(OR('19_Расчет_аналитики'!X2478=0,19&lt;='01_Вводные'!$B$297),0,'19_Расчет_аналитики'!X2478*IF('01_Вводные'!$B$239="Да",MeanMinAge19+'19_Расчет_аналитики'!X2583*SUMIF(ThresholdAge19,"&lt;"&amp;'19_Расчет_аналитики'!X2583,WeightedRevAge19)-SUMIF(ThresholdAge19,"&lt;"&amp;'19_Расчет_аналитики'!X2583,WeightedMinAge19),MAX(CapacityAge19*'01_Вводные'!$B$218*'19_Расчет_аналитики'!X2583,MeanMinAge19)))</f>
        <v/>
      </c>
      <c r="Y2506">
        <f>IF(OR('19_Расчет_аналитики'!Y2478=0,19&lt;='01_Вводные'!$B$297),0,'19_Расчет_аналитики'!Y2478*IF('01_Вводные'!$B$239="Да",MeanMinAge19+'19_Расчет_аналитики'!Y2583*SUMIF(ThresholdAge19,"&lt;"&amp;'19_Расчет_аналитики'!Y2583,WeightedRevAge19)-SUMIF(ThresholdAge19,"&lt;"&amp;'19_Расчет_аналитики'!Y2583,WeightedMinAge19),MAX(CapacityAge19*'01_Вводные'!$B$218*'19_Расчет_аналитики'!Y2583,MeanMinAge19)))</f>
        <v/>
      </c>
      <c r="Z2506">
        <f>IF(OR('19_Расчет_аналитики'!Z2478=0,19&lt;='01_Вводные'!$B$297),0,'19_Расчет_аналитики'!Z2478*IF('01_Вводные'!$B$239="Да",MeanMinAge19+'19_Расчет_аналитики'!Z2583*SUMIF(ThresholdAge19,"&lt;"&amp;'19_Расчет_аналитики'!Z2583,WeightedRevAge19)-SUMIF(ThresholdAge19,"&lt;"&amp;'19_Расчет_аналитики'!Z2583,WeightedMinAge19),MAX(CapacityAge19*'01_Вводные'!$B$218*'19_Расчет_аналитики'!Z2583,MeanMinAge19)))</f>
        <v/>
      </c>
      <c r="AA2506">
        <f>IF(OR('19_Расчет_аналитики'!AA2478=0,19&lt;='01_Вводные'!$B$297),0,'19_Расчет_аналитики'!AA2478*IF('01_Вводные'!$B$239="Да",MeanMinAge19+'19_Расчет_аналитики'!AA2583*SUMIF(ThresholdAge19,"&lt;"&amp;'19_Расчет_аналитики'!AA2583,WeightedRevAge19)-SUMIF(ThresholdAge19,"&lt;"&amp;'19_Расчет_аналитики'!AA2583,WeightedMinAge19),MAX(CapacityAge19*'01_Вводные'!$B$218*'19_Расчет_аналитики'!AA2583,MeanMinAge19)))</f>
        <v/>
      </c>
      <c r="AB2506">
        <f>IF(OR('19_Расчет_аналитики'!AB2478=0,19&lt;='01_Вводные'!$B$297),0,'19_Расчет_аналитики'!AB2478*IF('01_Вводные'!$B$239="Да",MeanMinAge19+'19_Расчет_аналитики'!AB2583*SUMIF(ThresholdAge19,"&lt;"&amp;'19_Расчет_аналитики'!AB2583,WeightedRevAge19)-SUMIF(ThresholdAge19,"&lt;"&amp;'19_Расчет_аналитики'!AB2583,WeightedMinAge19),MAX(CapacityAge19*'01_Вводные'!$B$218*'19_Расчет_аналитики'!AB2583,MeanMinAge19)))</f>
        <v/>
      </c>
      <c r="AC2506">
        <f>IF(OR('19_Расчет_аналитики'!AC2478=0,19&lt;='01_Вводные'!$B$297),0,'19_Расчет_аналитики'!AC2478*IF('01_Вводные'!$B$239="Да",MeanMinAge19+'19_Расчет_аналитики'!AC2583*SUMIF(ThresholdAge19,"&lt;"&amp;'19_Расчет_аналитики'!AC2583,WeightedRevAge19)-SUMIF(ThresholdAge19,"&lt;"&amp;'19_Расчет_аналитики'!AC2583,WeightedMinAge19),MAX(CapacityAge19*'01_Вводные'!$B$218*'19_Расчет_аналитики'!AC2583,MeanMinAge19)))</f>
        <v/>
      </c>
      <c r="AD2506">
        <f>IF(OR('19_Расчет_аналитики'!AD2478=0,19&lt;='01_Вводные'!$B$297),0,'19_Расчет_аналитики'!AD2478*IF('01_Вводные'!$B$239="Да",MeanMinAge19+'19_Расчет_аналитики'!AD2583*SUMIF(ThresholdAge19,"&lt;"&amp;'19_Расчет_аналитики'!AD2583,WeightedRevAge19)-SUMIF(ThresholdAge19,"&lt;"&amp;'19_Расчет_аналитики'!AD2583,WeightedMinAge19),MAX(CapacityAge19*'01_Вводные'!$B$218*'19_Расчет_аналитики'!AD2583,MeanMinAge19)))</f>
        <v/>
      </c>
      <c r="AE2506">
        <f>IF(OR('19_Расчет_аналитики'!AE2478=0,19&lt;='01_Вводные'!$B$297),0,'19_Расчет_аналитики'!AE2478*IF('01_Вводные'!$B$239="Да",MeanMinAge19+'19_Расчет_аналитики'!AE2583*SUMIF(ThresholdAge19,"&lt;"&amp;'19_Расчет_аналитики'!AE2583,WeightedRevAge19)-SUMIF(ThresholdAge19,"&lt;"&amp;'19_Расчет_аналитики'!AE2583,WeightedMinAge19),MAX(CapacityAge19*'01_Вводные'!$B$218*'19_Расчет_аналитики'!AE2583,MeanMinAge19)))</f>
        <v/>
      </c>
      <c r="AF2506">
        <f>IF(OR('19_Расчет_аналитики'!AF2478=0,19&lt;='01_Вводные'!$B$297),0,'19_Расчет_аналитики'!AF2478*IF('01_Вводные'!$B$239="Да",MeanMinAge19+'19_Расчет_аналитики'!AF2583*SUMIF(ThresholdAge19,"&lt;"&amp;'19_Расчет_аналитики'!AF2583,WeightedRevAge19)-SUMIF(ThresholdAge19,"&lt;"&amp;'19_Расчет_аналитики'!AF2583,WeightedMinAge19),MAX(CapacityAge19*'01_Вводные'!$B$218*'19_Расчет_аналитики'!AF2583,MeanMinAge19)))</f>
        <v/>
      </c>
      <c r="AG2506">
        <f>IF(OR('19_Расчет_аналитики'!AG2478=0,19&lt;='01_Вводные'!$B$297),0,'19_Расчет_аналитики'!AG2478*IF('01_Вводные'!$B$239="Да",MeanMinAge19+'19_Расчет_аналитики'!AG2583*SUMIF(ThresholdAge19,"&lt;"&amp;'19_Расчет_аналитики'!AG2583,WeightedRevAge19)-SUMIF(ThresholdAge19,"&lt;"&amp;'19_Расчет_аналитики'!AG2583,WeightedMinAge19),MAX(CapacityAge19*'01_Вводные'!$B$218*'19_Расчет_аналитики'!AG2583,MeanMinAge19)))</f>
        <v/>
      </c>
      <c r="AH2506">
        <f>IF(OR('19_Расчет_аналитики'!AH2478=0,19&lt;='01_Вводные'!$B$297),0,'19_Расчет_аналитики'!AH2478*IF('01_Вводные'!$B$239="Да",MeanMinAge19+'19_Расчет_аналитики'!AH2583*SUMIF(ThresholdAge19,"&lt;"&amp;'19_Расчет_аналитики'!AH2583,WeightedRevAge19)-SUMIF(ThresholdAge19,"&lt;"&amp;'19_Расчет_аналитики'!AH2583,WeightedMinAge19),MAX(CapacityAge19*'01_Вводные'!$B$218*'19_Расчет_аналитики'!AH2583,MeanMinAge19)))</f>
        <v/>
      </c>
      <c r="AI2506">
        <f>IF(OR('19_Расчет_аналитики'!AI2478=0,19&lt;='01_Вводные'!$B$297),0,'19_Расчет_аналитики'!AI2478*IF('01_Вводные'!$B$239="Да",MeanMinAge19+'19_Расчет_аналитики'!AI2583*SUMIF(ThresholdAge19,"&lt;"&amp;'19_Расчет_аналитики'!AI2583,WeightedRevAge19)-SUMIF(ThresholdAge19,"&lt;"&amp;'19_Расчет_аналитики'!AI2583,WeightedMinAge19),MAX(CapacityAge19*'01_Вводные'!$B$218*'19_Расчет_аналитики'!AI2583,MeanMinAge19)))</f>
        <v/>
      </c>
      <c r="AJ2506">
        <f>IF(OR('19_Расчет_аналитики'!AJ2478=0,19&lt;='01_Вводные'!$B$297),0,'19_Расчет_аналитики'!AJ2478*IF('01_Вводные'!$B$239="Да",MeanMinAge19+'19_Расчет_аналитики'!AJ2583*SUMIF(ThresholdAge19,"&lt;"&amp;'19_Расчет_аналитики'!AJ2583,WeightedRevAge19)-SUMIF(ThresholdAge19,"&lt;"&amp;'19_Расчет_аналитики'!AJ2583,WeightedMinAge19),MAX(CapacityAge19*'01_Вводные'!$B$218*'19_Расчет_аналитики'!AJ2583,MeanMinAge19)))</f>
        <v/>
      </c>
      <c r="AK2506">
        <f>IF(OR('19_Расчет_аналитики'!AK2478=0,19&lt;='01_Вводные'!$B$297),0,'19_Расчет_аналитики'!AK2478*IF('01_Вводные'!$B$239="Да",MeanMinAge19+'19_Расчет_аналитики'!AK2583*SUMIF(ThresholdAge19,"&lt;"&amp;'19_Расчет_аналитики'!AK2583,WeightedRevAge19)-SUMIF(ThresholdAge19,"&lt;"&amp;'19_Расчет_аналитики'!AK2583,WeightedMinAge19),MAX(CapacityAge19*'01_Вводные'!$B$218*'19_Расчет_аналитики'!AK2583,MeanMinAge19)))</f>
        <v/>
      </c>
      <c r="AL2506">
        <f>IF(OR('19_Расчет_аналитики'!AL2478=0,19&lt;='01_Вводные'!$B$297),0,'19_Расчет_аналитики'!AL2478*IF('01_Вводные'!$B$239="Да",MeanMinAge19+'19_Расчет_аналитики'!AL2583*SUMIF(ThresholdAge19,"&lt;"&amp;'19_Расчет_аналитики'!AL2583,WeightedRevAge19)-SUMIF(ThresholdAge19,"&lt;"&amp;'19_Расчет_аналитики'!AL2583,WeightedMinAge19),MAX(CapacityAge19*'01_Вводные'!$B$218*'19_Расчет_аналитики'!AL2583,MeanMinAge19)))</f>
        <v/>
      </c>
      <c r="AM2506">
        <f>IF(OR('19_Расчет_аналитики'!AM2478=0,19&lt;='01_Вводные'!$B$297),0,'19_Расчет_аналитики'!AM2478*IF('01_Вводные'!$B$239="Да",MeanMinAge19+'19_Расчет_аналитики'!AM2583*SUMIF(ThresholdAge19,"&lt;"&amp;'19_Расчет_аналитики'!AM2583,WeightedRevAge19)-SUMIF(ThresholdAge19,"&lt;"&amp;'19_Расчет_аналитики'!AM2583,WeightedMinAge19),MAX(CapacityAge19*'01_Вводные'!$B$218*'19_Расчет_аналитики'!AM2583,MeanMinAge19)))</f>
        <v/>
      </c>
      <c r="AN2506">
        <f>IF(OR('19_Расчет_аналитики'!AN2478=0,19&lt;='01_Вводные'!$B$297),0,'19_Расчет_аналитики'!AN2478*IF('01_Вводные'!$B$239="Да",MeanMinAge19+'19_Расчет_аналитики'!AN2583*SUMIF(ThresholdAge19,"&lt;"&amp;'19_Расчет_аналитики'!AN2583,WeightedRevAge19)-SUMIF(ThresholdAge19,"&lt;"&amp;'19_Расчет_аналитики'!AN2583,WeightedMinAge19),MAX(CapacityAge19*'01_Вводные'!$B$218*'19_Расчет_аналитики'!AN2583,MeanMinAge19)))</f>
        <v/>
      </c>
      <c r="AO2506">
        <f>IF(OR('19_Расчет_аналитики'!AO2478=0,19&lt;='01_Вводные'!$B$297),0,'19_Расчет_аналитики'!AO2478*IF('01_Вводные'!$B$239="Да",MeanMinAge19+'19_Расчет_аналитики'!AO2583*SUMIF(ThresholdAge19,"&lt;"&amp;'19_Расчет_аналитики'!AO2583,WeightedRevAge19)-SUMIF(ThresholdAge19,"&lt;"&amp;'19_Расчет_аналитики'!AO2583,WeightedMinAge19),MAX(CapacityAge19*'01_Вводные'!$B$218*'19_Расчет_аналитики'!AO2583,MeanMinAge19)))</f>
        <v/>
      </c>
      <c r="AP2506">
        <f>IF(OR('19_Расчет_аналитики'!AP2478=0,19&lt;='01_Вводные'!$B$297),0,'19_Расчет_аналитики'!AP2478*IF('01_Вводные'!$B$239="Да",MeanMinAge19+'19_Расчет_аналитики'!AP2583*SUMIF(ThresholdAge19,"&lt;"&amp;'19_Расчет_аналитики'!AP2583,WeightedRevAge19)-SUMIF(ThresholdAge19,"&lt;"&amp;'19_Расчет_аналитики'!AP2583,WeightedMinAge19),MAX(CapacityAge19*'01_Вводные'!$B$218*'19_Расчет_аналитики'!AP2583,MeanMinAge19)))</f>
        <v/>
      </c>
      <c r="AQ2506">
        <f>IF(OR('19_Расчет_аналитики'!AQ2478=0,19&lt;='01_Вводные'!$B$297),0,'19_Расчет_аналитики'!AQ2478*IF('01_Вводные'!$B$239="Да",MeanMinAge19+'19_Расчет_аналитики'!AQ2583*SUMIF(ThresholdAge19,"&lt;"&amp;'19_Расчет_аналитики'!AQ2583,WeightedRevAge19)-SUMIF(ThresholdAge19,"&lt;"&amp;'19_Расчет_аналитики'!AQ2583,WeightedMinAge19),MAX(CapacityAge19*'01_Вводные'!$B$218*'19_Расчет_аналитики'!AQ2583,MeanMinAge19)))</f>
        <v/>
      </c>
      <c r="AR2506">
        <f>IF(OR('19_Расчет_аналитики'!AR2478=0,19&lt;='01_Вводные'!$B$297),0,'19_Расчет_аналитики'!AR2478*IF('01_Вводные'!$B$239="Да",MeanMinAge19+'19_Расчет_аналитики'!AR2583*SUMIF(ThresholdAge19,"&lt;"&amp;'19_Расчет_аналитики'!AR2583,WeightedRevAge19)-SUMIF(ThresholdAge19,"&lt;"&amp;'19_Расчет_аналитики'!AR2583,WeightedMinAge19),MAX(CapacityAge19*'01_Вводные'!$B$218*'19_Расчет_аналитики'!AR2583,MeanMinAge19)))</f>
        <v/>
      </c>
      <c r="AS2506">
        <f>IF(OR('19_Расчет_аналитики'!AS2478=0,19&lt;='01_Вводные'!$B$297),0,'19_Расчет_аналитики'!AS2478*IF('01_Вводные'!$B$239="Да",MeanMinAge19+'19_Расчет_аналитики'!AS2583*SUMIF(ThresholdAge19,"&lt;"&amp;'19_Расчет_аналитики'!AS2583,WeightedRevAge19)-SUMIF(ThresholdAge19,"&lt;"&amp;'19_Расчет_аналитики'!AS2583,WeightedMinAge19),MAX(CapacityAge19*'01_Вводные'!$B$218*'19_Расчет_аналитики'!AS2583,MeanMinAge19)))</f>
        <v/>
      </c>
      <c r="AT2506">
        <f>IF(OR('19_Расчет_аналитики'!AT2478=0,19&lt;='01_Вводные'!$B$297),0,'19_Расчет_аналитики'!AT2478*IF('01_Вводные'!$B$239="Да",MeanMinAge19+'19_Расчет_аналитики'!AT2583*SUMIF(ThresholdAge19,"&lt;"&amp;'19_Расчет_аналитики'!AT2583,WeightedRevAge19)-SUMIF(ThresholdAge19,"&lt;"&amp;'19_Расчет_аналитики'!AT2583,WeightedMinAge19),MAX(CapacityAge19*'01_Вводные'!$B$218*'19_Расчет_аналитики'!AT2583,MeanMinAge19)))</f>
        <v/>
      </c>
      <c r="AU2506">
        <f>IF(OR('19_Расчет_аналитики'!AU2478=0,19&lt;='01_Вводные'!$B$297),0,'19_Расчет_аналитики'!AU2478*IF('01_Вводные'!$B$239="Да",MeanMinAge19+'19_Расчет_аналитики'!AU2583*SUMIF(ThresholdAge19,"&lt;"&amp;'19_Расчет_аналитики'!AU2583,WeightedRevAge19)-SUMIF(ThresholdAge19,"&lt;"&amp;'19_Расчет_аналитики'!AU2583,WeightedMinAge19),MAX(CapacityAge19*'01_Вводные'!$B$218*'19_Расчет_аналитики'!AU2583,MeanMinAge19)))</f>
        <v/>
      </c>
      <c r="AV2506">
        <f>IF(OR('19_Расчет_аналитики'!AV2478=0,19&lt;='01_Вводные'!$B$297),0,'19_Расчет_аналитики'!AV2478*IF('01_Вводные'!$B$239="Да",MeanMinAge19+'19_Расчет_аналитики'!AV2583*SUMIF(ThresholdAge19,"&lt;"&amp;'19_Расчет_аналитики'!AV2583,WeightedRevAge19)-SUMIF(ThresholdAge19,"&lt;"&amp;'19_Расчет_аналитики'!AV2583,WeightedMinAge19),MAX(CapacityAge19*'01_Вводные'!$B$218*'19_Расчет_аналитики'!AV2583,MeanMinAge19)))</f>
        <v/>
      </c>
      <c r="AW2506">
        <f>IF(OR('19_Расчет_аналитики'!AW2478=0,19&lt;='01_Вводные'!$B$297),0,'19_Расчет_аналитики'!AW2478*IF('01_Вводные'!$B$239="Да",MeanMinAge19+'19_Расчет_аналитики'!AW2583*SUMIF(ThresholdAge19,"&lt;"&amp;'19_Расчет_аналитики'!AW2583,WeightedRevAge19)-SUMIF(ThresholdAge19,"&lt;"&amp;'19_Расчет_аналитики'!AW2583,WeightedMinAge19),MAX(CapacityAge19*'01_Вводные'!$B$218*'19_Расчет_аналитики'!AW2583,MeanMinAge19)))</f>
        <v/>
      </c>
      <c r="AX2506">
        <f>IF(OR('19_Расчет_аналитики'!AX2478=0,19&lt;='01_Вводные'!$B$297),0,'19_Расчет_аналитики'!AX2478*IF('01_Вводные'!$B$239="Да",MeanMinAge19+'19_Расчет_аналитики'!AX2583*SUMIF(ThresholdAge19,"&lt;"&amp;'19_Расчет_аналитики'!AX2583,WeightedRevAge19)-SUMIF(ThresholdAge19,"&lt;"&amp;'19_Расчет_аналитики'!AX2583,WeightedMinAge19),MAX(CapacityAge19*'01_Вводные'!$B$218*'19_Расчет_аналитики'!AX2583,MeanMinAge19)))</f>
        <v/>
      </c>
      <c r="AY2506">
        <f>IF(OR('19_Расчет_аналитики'!AY2478=0,19&lt;='01_Вводные'!$B$297),0,'19_Расчет_аналитики'!AY2478*IF('01_Вводные'!$B$239="Да",MeanMinAge19+'19_Расчет_аналитики'!AY2583*SUMIF(ThresholdAge19,"&lt;"&amp;'19_Расчет_аналитики'!AY2583,WeightedRevAge19)-SUMIF(ThresholdAge19,"&lt;"&amp;'19_Расчет_аналитики'!AY2583,WeightedMinAge19),MAX(CapacityAge19*'01_Вводные'!$B$218*'19_Расчет_аналитики'!AY2583,MeanMinAge19)))</f>
        <v/>
      </c>
      <c r="AZ2506">
        <f>IF(OR('19_Расчет_аналитики'!AZ2478=0,19&lt;='01_Вводные'!$B$297),0,'19_Расчет_аналитики'!AZ2478*IF('01_Вводные'!$B$239="Да",MeanMinAge19+'19_Расчет_аналитики'!AZ2583*SUMIF(ThresholdAge19,"&lt;"&amp;'19_Расчет_аналитики'!AZ2583,WeightedRevAge19)-SUMIF(ThresholdAge19,"&lt;"&amp;'19_Расчет_аналитики'!AZ2583,WeightedMinAge19),MAX(CapacityAge19*'01_Вводные'!$B$218*'19_Расчет_аналитики'!AZ2583,MeanMinAge19)))</f>
        <v/>
      </c>
      <c r="BA2506">
        <f>IF(OR('19_Расчет_аналитики'!BA2478=0,19&lt;='01_Вводные'!$B$297),0,'19_Расчет_аналитики'!BA2478*IF('01_Вводные'!$B$239="Да",MeanMinAge19+'19_Расчет_аналитики'!BA2583*SUMIF(ThresholdAge19,"&lt;"&amp;'19_Расчет_аналитики'!BA2583,WeightedRevAge19)-SUMIF(ThresholdAge19,"&lt;"&amp;'19_Расчет_аналитики'!BA2583,WeightedMinAge19),MAX(CapacityAge19*'01_Вводные'!$B$218*'19_Расчет_аналитики'!BA2583,MeanMinAge19)))</f>
        <v/>
      </c>
      <c r="BB2506">
        <f>IF(OR('19_Расчет_аналитики'!BB2478=0,19&lt;='01_Вводные'!$B$297),0,'19_Расчет_аналитики'!BB2478*IF('01_Вводные'!$B$239="Да",MeanMinAge19+'19_Расчет_аналитики'!BB2583*SUMIF(ThresholdAge19,"&lt;"&amp;'19_Расчет_аналитики'!BB2583,WeightedRevAge19)-SUMIF(ThresholdAge19,"&lt;"&amp;'19_Расчет_аналитики'!BB2583,WeightedMinAge19),MAX(CapacityAge19*'01_Вводные'!$B$218*'19_Расчет_аналитики'!BB2583,MeanMinAge19)))</f>
        <v/>
      </c>
      <c r="BC2506">
        <f>IF(OR('19_Расчет_аналитики'!BC2478=0,19&lt;='01_Вводные'!$B$297),0,'19_Расчет_аналитики'!BC2478*IF('01_Вводные'!$B$239="Да",MeanMinAge19+'19_Расчет_аналитики'!BC2583*SUMIF(ThresholdAge19,"&lt;"&amp;'19_Расчет_аналитики'!BC2583,WeightedRevAge19)-SUMIF(ThresholdAge19,"&lt;"&amp;'19_Расчет_аналитики'!BC2583,WeightedMinAge19),MAX(CapacityAge19*'01_Вводные'!$B$218*'19_Расчет_аналитики'!BC2583,MeanMinAge19)))</f>
        <v/>
      </c>
      <c r="BD2506">
        <f>IF(OR('19_Расчет_аналитики'!BD2478=0,19&lt;='01_Вводные'!$B$297),0,'19_Расчет_аналитики'!BD2478*IF('01_Вводные'!$B$239="Да",MeanMinAge19+'19_Расчет_аналитики'!BD2583*SUMIF(ThresholdAge19,"&lt;"&amp;'19_Расчет_аналитики'!BD2583,WeightedRevAge19)-SUMIF(ThresholdAge19,"&lt;"&amp;'19_Расчет_аналитики'!BD2583,WeightedMinAge19),MAX(CapacityAge19*'01_Вводные'!$B$218*'19_Расчет_аналитики'!BD2583,MeanMinAge19)))</f>
        <v/>
      </c>
      <c r="BE2506">
        <f>IF(OR('19_Расчет_аналитики'!BE2478=0,19&lt;='01_Вводные'!$B$297),0,'19_Расчет_аналитики'!BE2478*IF('01_Вводные'!$B$239="Да",MeanMinAge19+'19_Расчет_аналитики'!BE2583*SUMIF(ThresholdAge19,"&lt;"&amp;'19_Расчет_аналитики'!BE2583,WeightedRevAge19)-SUMIF(ThresholdAge19,"&lt;"&amp;'19_Расчет_аналитики'!BE2583,WeightedMinAge19),MAX(CapacityAge19*'01_Вводные'!$B$218*'19_Расчет_аналитики'!BE2583,MeanMinAge19)))</f>
        <v/>
      </c>
      <c r="BF2506">
        <f>IF(OR('19_Расчет_аналитики'!BF2478=0,19&lt;='01_Вводные'!$B$297),0,'19_Расчет_аналитики'!BF2478*IF('01_Вводные'!$B$239="Да",MeanMinAge19+'19_Расчет_аналитики'!BF2583*SUMIF(ThresholdAge19,"&lt;"&amp;'19_Расчет_аналитики'!BF2583,WeightedRevAge19)-SUMIF(ThresholdAge19,"&lt;"&amp;'19_Расчет_аналитики'!BF2583,WeightedMinAge19),MAX(CapacityAge19*'01_Вводные'!$B$218*'19_Расчет_аналитики'!BF2583,MeanMinAge19)))</f>
        <v/>
      </c>
      <c r="BG2506">
        <f>IF(OR('19_Расчет_аналитики'!BG2478=0,19&lt;='01_Вводные'!$B$297),0,'19_Расчет_аналитики'!BG2478*IF('01_Вводные'!$B$239="Да",MeanMinAge19+'19_Расчет_аналитики'!BG2583*SUMIF(ThresholdAge19,"&lt;"&amp;'19_Расчет_аналитики'!BG2583,WeightedRevAge19)-SUMIF(ThresholdAge19,"&lt;"&amp;'19_Расчет_аналитики'!BG2583,WeightedMinAge19),MAX(CapacityAge19*'01_Вводные'!$B$218*'19_Расчет_аналитики'!BG2583,MeanMinAge19)))</f>
        <v/>
      </c>
      <c r="BH2506">
        <f>IF(OR('19_Расчет_аналитики'!BH2478=0,19&lt;='01_Вводные'!$B$297),0,'19_Расчет_аналитики'!BH2478*IF('01_Вводные'!$B$239="Да",MeanMinAge19+'19_Расчет_аналитики'!BH2583*SUMIF(ThresholdAge19,"&lt;"&amp;'19_Расчет_аналитики'!BH2583,WeightedRevAge19)-SUMIF(ThresholdAge19,"&lt;"&amp;'19_Расчет_аналитики'!BH2583,WeightedMinAge19),MAX(CapacityAge19*'01_Вводные'!$B$218*'19_Расчет_аналитики'!BH2583,MeanMinAge19)))</f>
        <v/>
      </c>
      <c r="BI2506">
        <f>IF(OR('19_Расчет_аналитики'!BI2478=0,19&lt;='01_Вводные'!$B$297),0,'19_Расчет_аналитики'!BI2478*IF('01_Вводные'!$B$239="Да",MeanMinAge19+'19_Расчет_аналитики'!BI2583*SUMIF(ThresholdAge19,"&lt;"&amp;'19_Расчет_аналитики'!BI2583,WeightedRevAge19)-SUMIF(ThresholdAge19,"&lt;"&amp;'19_Расчет_аналитики'!BI2583,WeightedMinAge19),MAX(CapacityAge19*'01_Вводные'!$B$218*'19_Расчет_аналитики'!BI2583,MeanMinAge19)))</f>
        <v/>
      </c>
      <c r="BJ2506">
        <f>IF(OR('19_Расчет_аналитики'!BJ2478=0,19&lt;='01_Вводные'!$B$297),0,'19_Расчет_аналитики'!BJ2478*IF('01_Вводные'!$B$239="Да",MeanMinAge19+'19_Расчет_аналитики'!BJ2583*SUMIF(ThresholdAge19,"&lt;"&amp;'19_Расчет_аналитики'!BJ2583,WeightedRevAge19)-SUMIF(ThresholdAge19,"&lt;"&amp;'19_Расчет_аналитики'!BJ2583,WeightedMinAge19),MAX(CapacityAge19*'01_Вводные'!$B$218*'19_Расчет_аналитики'!BJ2583,MeanMinAge19)))</f>
        <v/>
      </c>
      <c r="BK2506">
        <f>IF(OR('19_Расчет_аналитики'!BK2478=0,19&lt;='01_Вводные'!$B$297),0,'19_Расчет_аналитики'!BK2478*IF('01_Вводные'!$B$239="Да",MeanMinAge19+'19_Расчет_аналитики'!BK2583*SUMIF(ThresholdAge19,"&lt;"&amp;'19_Расчет_аналитики'!BK2583,WeightedRevAge19)-SUMIF(ThresholdAge19,"&lt;"&amp;'19_Расчет_аналитики'!BK2583,WeightedMinAge19),MAX(CapacityAge19*'01_Вводные'!$B$218*'19_Расчет_аналитики'!BK2583,MeanMinAge19)))</f>
        <v/>
      </c>
      <c r="BL2506">
        <f>IF(OR('19_Расчет_аналитики'!BL2478=0,19&lt;='01_Вводные'!$B$297),0,'19_Расчет_аналитики'!BL2478*IF('01_Вводные'!$B$239="Да",MeanMinAge19+'19_Расчет_аналитики'!BL2583*SUMIF(ThresholdAge19,"&lt;"&amp;'19_Расчет_аналитики'!BL2583,WeightedRevAge19)-SUMIF(ThresholdAge19,"&lt;"&amp;'19_Расчет_аналитики'!BL2583,WeightedMinAge19),MAX(CapacityAge19*'01_Вводные'!$B$218*'19_Расчет_аналитики'!BL2583,MeanMinAge19)))</f>
        <v/>
      </c>
      <c r="BM2506">
        <f>IF(OR('19_Расчет_аналитики'!BM2478=0,19&lt;='01_Вводные'!$B$297),0,'19_Расчет_аналитики'!BM2478*IF('01_Вводные'!$B$239="Да",MeanMinAge19+'19_Расчет_аналитики'!BM2583*SUMIF(ThresholdAge19,"&lt;"&amp;'19_Расчет_аналитики'!BM2583,WeightedRevAge19)-SUMIF(ThresholdAge19,"&lt;"&amp;'19_Расчет_аналитики'!BM2583,WeightedMinAge19),MAX(CapacityAge19*'01_Вводные'!$B$218*'19_Расчет_аналитики'!BM2583,MeanMinAge19)))</f>
        <v/>
      </c>
      <c r="BN2506">
        <f>IF(OR('19_Расчет_аналитики'!BN2478=0,19&lt;='01_Вводные'!$B$297),0,'19_Расчет_аналитики'!BN2478*IF('01_Вводные'!$B$239="Да",MeanMinAge19+'19_Расчет_аналитики'!BN2583*SUMIF(ThresholdAge19,"&lt;"&amp;'19_Расчет_аналитики'!BN2583,WeightedRevAge19)-SUMIF(ThresholdAge19,"&lt;"&amp;'19_Расчет_аналитики'!BN2583,WeightedMinAge19),MAX(CapacityAge19*'01_Вводные'!$B$218*'19_Расчет_аналитики'!BN2583,MeanMinAge19)))</f>
        <v/>
      </c>
      <c r="BO2506">
        <f>IF(OR('19_Расчет_аналитики'!BO2478=0,19&lt;='01_Вводные'!$B$297),0,'19_Расчет_аналитики'!BO2478*IF('01_Вводные'!$B$239="Да",MeanMinAge19+'19_Расчет_аналитики'!BO2583*SUMIF(ThresholdAge19,"&lt;"&amp;'19_Расчет_аналитики'!BO2583,WeightedRevAge19)-SUMIF(ThresholdAge19,"&lt;"&amp;'19_Расчет_аналитики'!BO2583,WeightedMinAge19),MAX(CapacityAge19*'01_Вводные'!$B$218*'19_Расчет_аналитики'!BO2583,MeanMinAge19)))</f>
        <v/>
      </c>
    </row>
    <row r="2507">
      <c r="B2507">
        <f>IF(OR('06_Сеть_и_дети'!B100=0,20&lt;='01_Вводные'!$B$297),0,'06_Сеть_и_дети'!B100*IF('01_Вводные'!$B$239="Да",MeanMinAge20+'19_Расчет_аналитики'!B2583*SUMIF(ThresholdAge20,"&lt;"&amp;'19_Расчет_аналитики'!B2583,WeightedRevAge20)-SUMIF(ThresholdAge20,"&lt;"&amp;'19_Расчет_аналитики'!B2583,WeightedMinAge20),MAX(CapacityAge20*'01_Вводные'!$B$218*'19_Расчет_аналитики'!B2583,MeanMinAge20)))</f>
        <v/>
      </c>
      <c r="C2507">
        <f>IF(OR('06_Сеть_и_дети'!C100=0,20&lt;='01_Вводные'!$B$297),0,'06_Сеть_и_дети'!C100*IF('01_Вводные'!$B$239="Да",MeanMinAge20+'19_Расчет_аналитики'!C2583*SUMIF(ThresholdAge20,"&lt;"&amp;'19_Расчет_аналитики'!C2583,WeightedRevAge20)-SUMIF(ThresholdAge20,"&lt;"&amp;'19_Расчет_аналитики'!C2583,WeightedMinAge20),MAX(CapacityAge20*'01_Вводные'!$B$218*'19_Расчет_аналитики'!C2583,MeanMinAge20)))</f>
        <v/>
      </c>
      <c r="D2507">
        <f>IF(OR('06_Сеть_и_дети'!D100=0,20&lt;='01_Вводные'!$B$297),0,'06_Сеть_и_дети'!D100*IF('01_Вводные'!$B$239="Да",MeanMinAge20+'19_Расчет_аналитики'!D2583*SUMIF(ThresholdAge20,"&lt;"&amp;'19_Расчет_аналитики'!D2583,WeightedRevAge20)-SUMIF(ThresholdAge20,"&lt;"&amp;'19_Расчет_аналитики'!D2583,WeightedMinAge20),MAX(CapacityAge20*'01_Вводные'!$B$218*'19_Расчет_аналитики'!D2583,MeanMinAge20)))</f>
        <v/>
      </c>
      <c r="E2507">
        <f>IF(OR('06_Сеть_и_дети'!E100=0,20&lt;='01_Вводные'!$B$297),0,'06_Сеть_и_дети'!E100*IF('01_Вводные'!$B$239="Да",MeanMinAge20+'19_Расчет_аналитики'!E2583*SUMIF(ThresholdAge20,"&lt;"&amp;'19_Расчет_аналитики'!E2583,WeightedRevAge20)-SUMIF(ThresholdAge20,"&lt;"&amp;'19_Расчет_аналитики'!E2583,WeightedMinAge20),MAX(CapacityAge20*'01_Вводные'!$B$218*'19_Расчет_аналитики'!E2583,MeanMinAge20)))</f>
        <v/>
      </c>
      <c r="F2507">
        <f>IF(OR('06_Сеть_и_дети'!F100=0,20&lt;='01_Вводные'!$B$297),0,'06_Сеть_и_дети'!F100*IF('01_Вводные'!$B$239="Да",MeanMinAge20+'19_Расчет_аналитики'!F2583*SUMIF(ThresholdAge20,"&lt;"&amp;'19_Расчет_аналитики'!F2583,WeightedRevAge20)-SUMIF(ThresholdAge20,"&lt;"&amp;'19_Расчет_аналитики'!F2583,WeightedMinAge20),MAX(CapacityAge20*'01_Вводные'!$B$218*'19_Расчет_аналитики'!F2583,MeanMinAge20)))</f>
        <v/>
      </c>
      <c r="G2507">
        <f>IF(OR('06_Сеть_и_дети'!G100=0,20&lt;='01_Вводные'!$B$297),0,'06_Сеть_и_дети'!G100*IF('01_Вводные'!$B$239="Да",MeanMinAge20+'19_Расчет_аналитики'!G2583*SUMIF(ThresholdAge20,"&lt;"&amp;'19_Расчет_аналитики'!G2583,WeightedRevAge20)-SUMIF(ThresholdAge20,"&lt;"&amp;'19_Расчет_аналитики'!G2583,WeightedMinAge20),MAX(CapacityAge20*'01_Вводные'!$B$218*'19_Расчет_аналитики'!G2583,MeanMinAge20)))</f>
        <v/>
      </c>
      <c r="H2507">
        <f>IF(OR('06_Сеть_и_дети'!H100=0,20&lt;='01_Вводные'!$B$297),0,'06_Сеть_и_дети'!H100*IF('01_Вводные'!$B$239="Да",MeanMinAge20+'19_Расчет_аналитики'!H2583*SUMIF(ThresholdAge20,"&lt;"&amp;'19_Расчет_аналитики'!H2583,WeightedRevAge20)-SUMIF(ThresholdAge20,"&lt;"&amp;'19_Расчет_аналитики'!H2583,WeightedMinAge20),MAX(CapacityAge20*'01_Вводные'!$B$218*'19_Расчет_аналитики'!H2583,MeanMinAge20)))</f>
        <v/>
      </c>
      <c r="I2507">
        <f>IF(OR('06_Сеть_и_дети'!I100=0,20&lt;='01_Вводные'!$B$297),0,'06_Сеть_и_дети'!I100*IF('01_Вводные'!$B$239="Да",MeanMinAge20+'19_Расчет_аналитики'!I2583*SUMIF(ThresholdAge20,"&lt;"&amp;'19_Расчет_аналитики'!I2583,WeightedRevAge20)-SUMIF(ThresholdAge20,"&lt;"&amp;'19_Расчет_аналитики'!I2583,WeightedMinAge20),MAX(CapacityAge20*'01_Вводные'!$B$218*'19_Расчет_аналитики'!I2583,MeanMinAge20)))</f>
        <v/>
      </c>
      <c r="J2507">
        <f>IF(OR('06_Сеть_и_дети'!J100=0,20&lt;='01_Вводные'!$B$297),0,'06_Сеть_и_дети'!J100*IF('01_Вводные'!$B$239="Да",MeanMinAge20+'19_Расчет_аналитики'!J2583*SUMIF(ThresholdAge20,"&lt;"&amp;'19_Расчет_аналитики'!J2583,WeightedRevAge20)-SUMIF(ThresholdAge20,"&lt;"&amp;'19_Расчет_аналитики'!J2583,WeightedMinAge20),MAX(CapacityAge20*'01_Вводные'!$B$218*'19_Расчет_аналитики'!J2583,MeanMinAge20)))</f>
        <v/>
      </c>
      <c r="K2507">
        <f>IF(OR('06_Сеть_и_дети'!K100=0,20&lt;='01_Вводные'!$B$297),0,'06_Сеть_и_дети'!K100*IF('01_Вводные'!$B$239="Да",MeanMinAge20+'19_Расчет_аналитики'!K2583*SUMIF(ThresholdAge20,"&lt;"&amp;'19_Расчет_аналитики'!K2583,WeightedRevAge20)-SUMIF(ThresholdAge20,"&lt;"&amp;'19_Расчет_аналитики'!K2583,WeightedMinAge20),MAX(CapacityAge20*'01_Вводные'!$B$218*'19_Расчет_аналитики'!K2583,MeanMinAge20)))</f>
        <v/>
      </c>
      <c r="L2507">
        <f>IF(OR('06_Сеть_и_дети'!L100=0,20&lt;='01_Вводные'!$B$297),0,'06_Сеть_и_дети'!L100*IF('01_Вводные'!$B$239="Да",MeanMinAge20+'19_Расчет_аналитики'!L2583*SUMIF(ThresholdAge20,"&lt;"&amp;'19_Расчет_аналитики'!L2583,WeightedRevAge20)-SUMIF(ThresholdAge20,"&lt;"&amp;'19_Расчет_аналитики'!L2583,WeightedMinAge20),MAX(CapacityAge20*'01_Вводные'!$B$218*'19_Расчет_аналитики'!L2583,MeanMinAge20)))</f>
        <v/>
      </c>
      <c r="M2507">
        <f>IF(OR('06_Сеть_и_дети'!M100=0,20&lt;='01_Вводные'!$B$297),0,'06_Сеть_и_дети'!M100*IF('01_Вводные'!$B$239="Да",MeanMinAge20+'19_Расчет_аналитики'!M2583*SUMIF(ThresholdAge20,"&lt;"&amp;'19_Расчет_аналитики'!M2583,WeightedRevAge20)-SUMIF(ThresholdAge20,"&lt;"&amp;'19_Расчет_аналитики'!M2583,WeightedMinAge20),MAX(CapacityAge20*'01_Вводные'!$B$218*'19_Расчет_аналитики'!M2583,MeanMinAge20)))</f>
        <v/>
      </c>
      <c r="N2507">
        <f>IF(OR('06_Сеть_и_дети'!N100=0,20&lt;='01_Вводные'!$B$297),0,'06_Сеть_и_дети'!N100*IF('01_Вводные'!$B$239="Да",MeanMinAge20+'19_Расчет_аналитики'!N2583*SUMIF(ThresholdAge20,"&lt;"&amp;'19_Расчет_аналитики'!N2583,WeightedRevAge20)-SUMIF(ThresholdAge20,"&lt;"&amp;'19_Расчет_аналитики'!N2583,WeightedMinAge20),MAX(CapacityAge20*'01_Вводные'!$B$218*'19_Расчет_аналитики'!N2583,MeanMinAge20)))</f>
        <v/>
      </c>
      <c r="O2507">
        <f>IF(OR('06_Сеть_и_дети'!O100=0,20&lt;='01_Вводные'!$B$297),0,'06_Сеть_и_дети'!O100*IF('01_Вводные'!$B$239="Да",MeanMinAge20+'19_Расчет_аналитики'!O2583*SUMIF(ThresholdAge20,"&lt;"&amp;'19_Расчет_аналитики'!O2583,WeightedRevAge20)-SUMIF(ThresholdAge20,"&lt;"&amp;'19_Расчет_аналитики'!O2583,WeightedMinAge20),MAX(CapacityAge20*'01_Вводные'!$B$218*'19_Расчет_аналитики'!O2583,MeanMinAge20)))</f>
        <v/>
      </c>
      <c r="P2507">
        <f>IF(OR('06_Сеть_и_дети'!P100=0,20&lt;='01_Вводные'!$B$297),0,'06_Сеть_и_дети'!P100*IF('01_Вводные'!$B$239="Да",MeanMinAge20+'19_Расчет_аналитики'!P2583*SUMIF(ThresholdAge20,"&lt;"&amp;'19_Расчет_аналитики'!P2583,WeightedRevAge20)-SUMIF(ThresholdAge20,"&lt;"&amp;'19_Расчет_аналитики'!P2583,WeightedMinAge20),MAX(CapacityAge20*'01_Вводные'!$B$218*'19_Расчет_аналитики'!P2583,MeanMinAge20)))</f>
        <v/>
      </c>
      <c r="Q2507">
        <f>IF(OR('06_Сеть_и_дети'!Q100=0,20&lt;='01_Вводные'!$B$297),0,'06_Сеть_и_дети'!Q100*IF('01_Вводные'!$B$239="Да",MeanMinAge20+'19_Расчет_аналитики'!Q2583*SUMIF(ThresholdAge20,"&lt;"&amp;'19_Расчет_аналитики'!Q2583,WeightedRevAge20)-SUMIF(ThresholdAge20,"&lt;"&amp;'19_Расчет_аналитики'!Q2583,WeightedMinAge20),MAX(CapacityAge20*'01_Вводные'!$B$218*'19_Расчет_аналитики'!Q2583,MeanMinAge20)))</f>
        <v/>
      </c>
      <c r="R2507">
        <f>IF(OR('06_Сеть_и_дети'!R100=0,20&lt;='01_Вводные'!$B$297),0,'06_Сеть_и_дети'!R100*IF('01_Вводные'!$B$239="Да",MeanMinAge20+'19_Расчет_аналитики'!R2583*SUMIF(ThresholdAge20,"&lt;"&amp;'19_Расчет_аналитики'!R2583,WeightedRevAge20)-SUMIF(ThresholdAge20,"&lt;"&amp;'19_Расчет_аналитики'!R2583,WeightedMinAge20),MAX(CapacityAge20*'01_Вводные'!$B$218*'19_Расчет_аналитики'!R2583,MeanMinAge20)))</f>
        <v/>
      </c>
      <c r="S2507">
        <f>IF(OR('06_Сеть_и_дети'!S100=0,20&lt;='01_Вводные'!$B$297),0,'06_Сеть_и_дети'!S100*IF('01_Вводные'!$B$239="Да",MeanMinAge20+'19_Расчет_аналитики'!S2583*SUMIF(ThresholdAge20,"&lt;"&amp;'19_Расчет_аналитики'!S2583,WeightedRevAge20)-SUMIF(ThresholdAge20,"&lt;"&amp;'19_Расчет_аналитики'!S2583,WeightedMinAge20),MAX(CapacityAge20*'01_Вводные'!$B$218*'19_Расчет_аналитики'!S2583,MeanMinAge20)))</f>
        <v/>
      </c>
      <c r="T2507">
        <f>IF(OR('06_Сеть_и_дети'!T100=0,20&lt;='01_Вводные'!$B$297),0,'06_Сеть_и_дети'!T100*IF('01_Вводные'!$B$239="Да",MeanMinAge20+'19_Расчет_аналитики'!T2583*SUMIF(ThresholdAge20,"&lt;"&amp;'19_Расчет_аналитики'!T2583,WeightedRevAge20)-SUMIF(ThresholdAge20,"&lt;"&amp;'19_Расчет_аналитики'!T2583,WeightedMinAge20),MAX(CapacityAge20*'01_Вводные'!$B$218*'19_Расчет_аналитики'!T2583,MeanMinAge20)))</f>
        <v/>
      </c>
      <c r="U2507">
        <f>IF(OR('19_Расчет_аналитики'!U2479=0,20&lt;='01_Вводные'!$B$297),0,'19_Расчет_аналитики'!U2479*IF('01_Вводные'!$B$239="Да",MeanMinAge20+'19_Расчет_аналитики'!U2583*SUMIF(ThresholdAge20,"&lt;"&amp;'19_Расчет_аналитики'!U2583,WeightedRevAge20)-SUMIF(ThresholdAge20,"&lt;"&amp;'19_Расчет_аналитики'!U2583,WeightedMinAge20),MAX(CapacityAge20*'01_Вводные'!$B$218*'19_Расчет_аналитики'!U2583,MeanMinAge20)))</f>
        <v/>
      </c>
      <c r="V2507">
        <f>IF(OR('19_Расчет_аналитики'!V2479=0,20&lt;='01_Вводные'!$B$297),0,'19_Расчет_аналитики'!V2479*IF('01_Вводные'!$B$239="Да",MeanMinAge20+'19_Расчет_аналитики'!V2583*SUMIF(ThresholdAge20,"&lt;"&amp;'19_Расчет_аналитики'!V2583,WeightedRevAge20)-SUMIF(ThresholdAge20,"&lt;"&amp;'19_Расчет_аналитики'!V2583,WeightedMinAge20),MAX(CapacityAge20*'01_Вводные'!$B$218*'19_Расчет_аналитики'!V2583,MeanMinAge20)))</f>
        <v/>
      </c>
      <c r="W2507">
        <f>IF(OR('19_Расчет_аналитики'!W2479=0,20&lt;='01_Вводные'!$B$297),0,'19_Расчет_аналитики'!W2479*IF('01_Вводные'!$B$239="Да",MeanMinAge20+'19_Расчет_аналитики'!W2583*SUMIF(ThresholdAge20,"&lt;"&amp;'19_Расчет_аналитики'!W2583,WeightedRevAge20)-SUMIF(ThresholdAge20,"&lt;"&amp;'19_Расчет_аналитики'!W2583,WeightedMinAge20),MAX(CapacityAge20*'01_Вводные'!$B$218*'19_Расчет_аналитики'!W2583,MeanMinAge20)))</f>
        <v/>
      </c>
      <c r="X2507">
        <f>IF(OR('19_Расчет_аналитики'!X2479=0,20&lt;='01_Вводные'!$B$297),0,'19_Расчет_аналитики'!X2479*IF('01_Вводные'!$B$239="Да",MeanMinAge20+'19_Расчет_аналитики'!X2583*SUMIF(ThresholdAge20,"&lt;"&amp;'19_Расчет_аналитики'!X2583,WeightedRevAge20)-SUMIF(ThresholdAge20,"&lt;"&amp;'19_Расчет_аналитики'!X2583,WeightedMinAge20),MAX(CapacityAge20*'01_Вводные'!$B$218*'19_Расчет_аналитики'!X2583,MeanMinAge20)))</f>
        <v/>
      </c>
      <c r="Y2507">
        <f>IF(OR('19_Расчет_аналитики'!Y2479=0,20&lt;='01_Вводные'!$B$297),0,'19_Расчет_аналитики'!Y2479*IF('01_Вводные'!$B$239="Да",MeanMinAge20+'19_Расчет_аналитики'!Y2583*SUMIF(ThresholdAge20,"&lt;"&amp;'19_Расчет_аналитики'!Y2583,WeightedRevAge20)-SUMIF(ThresholdAge20,"&lt;"&amp;'19_Расчет_аналитики'!Y2583,WeightedMinAge20),MAX(CapacityAge20*'01_Вводные'!$B$218*'19_Расчет_аналитики'!Y2583,MeanMinAge20)))</f>
        <v/>
      </c>
      <c r="Z2507">
        <f>IF(OR('19_Расчет_аналитики'!Z2479=0,20&lt;='01_Вводные'!$B$297),0,'19_Расчет_аналитики'!Z2479*IF('01_Вводные'!$B$239="Да",MeanMinAge20+'19_Расчет_аналитики'!Z2583*SUMIF(ThresholdAge20,"&lt;"&amp;'19_Расчет_аналитики'!Z2583,WeightedRevAge20)-SUMIF(ThresholdAge20,"&lt;"&amp;'19_Расчет_аналитики'!Z2583,WeightedMinAge20),MAX(CapacityAge20*'01_Вводные'!$B$218*'19_Расчет_аналитики'!Z2583,MeanMinAge20)))</f>
        <v/>
      </c>
      <c r="AA2507">
        <f>IF(OR('19_Расчет_аналитики'!AA2479=0,20&lt;='01_Вводные'!$B$297),0,'19_Расчет_аналитики'!AA2479*IF('01_Вводные'!$B$239="Да",MeanMinAge20+'19_Расчет_аналитики'!AA2583*SUMIF(ThresholdAge20,"&lt;"&amp;'19_Расчет_аналитики'!AA2583,WeightedRevAge20)-SUMIF(ThresholdAge20,"&lt;"&amp;'19_Расчет_аналитики'!AA2583,WeightedMinAge20),MAX(CapacityAge20*'01_Вводные'!$B$218*'19_Расчет_аналитики'!AA2583,MeanMinAge20)))</f>
        <v/>
      </c>
      <c r="AB2507">
        <f>IF(OR('19_Расчет_аналитики'!AB2479=0,20&lt;='01_Вводные'!$B$297),0,'19_Расчет_аналитики'!AB2479*IF('01_Вводные'!$B$239="Да",MeanMinAge20+'19_Расчет_аналитики'!AB2583*SUMIF(ThresholdAge20,"&lt;"&amp;'19_Расчет_аналитики'!AB2583,WeightedRevAge20)-SUMIF(ThresholdAge20,"&lt;"&amp;'19_Расчет_аналитики'!AB2583,WeightedMinAge20),MAX(CapacityAge20*'01_Вводные'!$B$218*'19_Расчет_аналитики'!AB2583,MeanMinAge20)))</f>
        <v/>
      </c>
      <c r="AC2507">
        <f>IF(OR('19_Расчет_аналитики'!AC2479=0,20&lt;='01_Вводные'!$B$297),0,'19_Расчет_аналитики'!AC2479*IF('01_Вводные'!$B$239="Да",MeanMinAge20+'19_Расчет_аналитики'!AC2583*SUMIF(ThresholdAge20,"&lt;"&amp;'19_Расчет_аналитики'!AC2583,WeightedRevAge20)-SUMIF(ThresholdAge20,"&lt;"&amp;'19_Расчет_аналитики'!AC2583,WeightedMinAge20),MAX(CapacityAge20*'01_Вводные'!$B$218*'19_Расчет_аналитики'!AC2583,MeanMinAge20)))</f>
        <v/>
      </c>
      <c r="AD2507">
        <f>IF(OR('19_Расчет_аналитики'!AD2479=0,20&lt;='01_Вводные'!$B$297),0,'19_Расчет_аналитики'!AD2479*IF('01_Вводные'!$B$239="Да",MeanMinAge20+'19_Расчет_аналитики'!AD2583*SUMIF(ThresholdAge20,"&lt;"&amp;'19_Расчет_аналитики'!AD2583,WeightedRevAge20)-SUMIF(ThresholdAge20,"&lt;"&amp;'19_Расчет_аналитики'!AD2583,WeightedMinAge20),MAX(CapacityAge20*'01_Вводные'!$B$218*'19_Расчет_аналитики'!AD2583,MeanMinAge20)))</f>
        <v/>
      </c>
      <c r="AE2507">
        <f>IF(OR('19_Расчет_аналитики'!AE2479=0,20&lt;='01_Вводные'!$B$297),0,'19_Расчет_аналитики'!AE2479*IF('01_Вводные'!$B$239="Да",MeanMinAge20+'19_Расчет_аналитики'!AE2583*SUMIF(ThresholdAge20,"&lt;"&amp;'19_Расчет_аналитики'!AE2583,WeightedRevAge20)-SUMIF(ThresholdAge20,"&lt;"&amp;'19_Расчет_аналитики'!AE2583,WeightedMinAge20),MAX(CapacityAge20*'01_Вводные'!$B$218*'19_Расчет_аналитики'!AE2583,MeanMinAge20)))</f>
        <v/>
      </c>
      <c r="AF2507">
        <f>IF(OR('19_Расчет_аналитики'!AF2479=0,20&lt;='01_Вводные'!$B$297),0,'19_Расчет_аналитики'!AF2479*IF('01_Вводные'!$B$239="Да",MeanMinAge20+'19_Расчет_аналитики'!AF2583*SUMIF(ThresholdAge20,"&lt;"&amp;'19_Расчет_аналитики'!AF2583,WeightedRevAge20)-SUMIF(ThresholdAge20,"&lt;"&amp;'19_Расчет_аналитики'!AF2583,WeightedMinAge20),MAX(CapacityAge20*'01_Вводные'!$B$218*'19_Расчет_аналитики'!AF2583,MeanMinAge20)))</f>
        <v/>
      </c>
      <c r="AG2507">
        <f>IF(OR('19_Расчет_аналитики'!AG2479=0,20&lt;='01_Вводные'!$B$297),0,'19_Расчет_аналитики'!AG2479*IF('01_Вводные'!$B$239="Да",MeanMinAge20+'19_Расчет_аналитики'!AG2583*SUMIF(ThresholdAge20,"&lt;"&amp;'19_Расчет_аналитики'!AG2583,WeightedRevAge20)-SUMIF(ThresholdAge20,"&lt;"&amp;'19_Расчет_аналитики'!AG2583,WeightedMinAge20),MAX(CapacityAge20*'01_Вводные'!$B$218*'19_Расчет_аналитики'!AG2583,MeanMinAge20)))</f>
        <v/>
      </c>
      <c r="AH2507">
        <f>IF(OR('19_Расчет_аналитики'!AH2479=0,20&lt;='01_Вводные'!$B$297),0,'19_Расчет_аналитики'!AH2479*IF('01_Вводные'!$B$239="Да",MeanMinAge20+'19_Расчет_аналитики'!AH2583*SUMIF(ThresholdAge20,"&lt;"&amp;'19_Расчет_аналитики'!AH2583,WeightedRevAge20)-SUMIF(ThresholdAge20,"&lt;"&amp;'19_Расчет_аналитики'!AH2583,WeightedMinAge20),MAX(CapacityAge20*'01_Вводные'!$B$218*'19_Расчет_аналитики'!AH2583,MeanMinAge20)))</f>
        <v/>
      </c>
      <c r="AI2507">
        <f>IF(OR('19_Расчет_аналитики'!AI2479=0,20&lt;='01_Вводные'!$B$297),0,'19_Расчет_аналитики'!AI2479*IF('01_Вводные'!$B$239="Да",MeanMinAge20+'19_Расчет_аналитики'!AI2583*SUMIF(ThresholdAge20,"&lt;"&amp;'19_Расчет_аналитики'!AI2583,WeightedRevAge20)-SUMIF(ThresholdAge20,"&lt;"&amp;'19_Расчет_аналитики'!AI2583,WeightedMinAge20),MAX(CapacityAge20*'01_Вводные'!$B$218*'19_Расчет_аналитики'!AI2583,MeanMinAge20)))</f>
        <v/>
      </c>
      <c r="AJ2507">
        <f>IF(OR('19_Расчет_аналитики'!AJ2479=0,20&lt;='01_Вводные'!$B$297),0,'19_Расчет_аналитики'!AJ2479*IF('01_Вводные'!$B$239="Да",MeanMinAge20+'19_Расчет_аналитики'!AJ2583*SUMIF(ThresholdAge20,"&lt;"&amp;'19_Расчет_аналитики'!AJ2583,WeightedRevAge20)-SUMIF(ThresholdAge20,"&lt;"&amp;'19_Расчет_аналитики'!AJ2583,WeightedMinAge20),MAX(CapacityAge20*'01_Вводные'!$B$218*'19_Расчет_аналитики'!AJ2583,MeanMinAge20)))</f>
        <v/>
      </c>
      <c r="AK2507">
        <f>IF(OR('19_Расчет_аналитики'!AK2479=0,20&lt;='01_Вводные'!$B$297),0,'19_Расчет_аналитики'!AK2479*IF('01_Вводные'!$B$239="Да",MeanMinAge20+'19_Расчет_аналитики'!AK2583*SUMIF(ThresholdAge20,"&lt;"&amp;'19_Расчет_аналитики'!AK2583,WeightedRevAge20)-SUMIF(ThresholdAge20,"&lt;"&amp;'19_Расчет_аналитики'!AK2583,WeightedMinAge20),MAX(CapacityAge20*'01_Вводные'!$B$218*'19_Расчет_аналитики'!AK2583,MeanMinAge20)))</f>
        <v/>
      </c>
      <c r="AL2507">
        <f>IF(OR('19_Расчет_аналитики'!AL2479=0,20&lt;='01_Вводные'!$B$297),0,'19_Расчет_аналитики'!AL2479*IF('01_Вводные'!$B$239="Да",MeanMinAge20+'19_Расчет_аналитики'!AL2583*SUMIF(ThresholdAge20,"&lt;"&amp;'19_Расчет_аналитики'!AL2583,WeightedRevAge20)-SUMIF(ThresholdAge20,"&lt;"&amp;'19_Расчет_аналитики'!AL2583,WeightedMinAge20),MAX(CapacityAge20*'01_Вводные'!$B$218*'19_Расчет_аналитики'!AL2583,MeanMinAge20)))</f>
        <v/>
      </c>
      <c r="AM2507">
        <f>IF(OR('19_Расчет_аналитики'!AM2479=0,20&lt;='01_Вводные'!$B$297),0,'19_Расчет_аналитики'!AM2479*IF('01_Вводные'!$B$239="Да",MeanMinAge20+'19_Расчет_аналитики'!AM2583*SUMIF(ThresholdAge20,"&lt;"&amp;'19_Расчет_аналитики'!AM2583,WeightedRevAge20)-SUMIF(ThresholdAge20,"&lt;"&amp;'19_Расчет_аналитики'!AM2583,WeightedMinAge20),MAX(CapacityAge20*'01_Вводные'!$B$218*'19_Расчет_аналитики'!AM2583,MeanMinAge20)))</f>
        <v/>
      </c>
      <c r="AN2507">
        <f>IF(OR('19_Расчет_аналитики'!AN2479=0,20&lt;='01_Вводные'!$B$297),0,'19_Расчет_аналитики'!AN2479*IF('01_Вводные'!$B$239="Да",MeanMinAge20+'19_Расчет_аналитики'!AN2583*SUMIF(ThresholdAge20,"&lt;"&amp;'19_Расчет_аналитики'!AN2583,WeightedRevAge20)-SUMIF(ThresholdAge20,"&lt;"&amp;'19_Расчет_аналитики'!AN2583,WeightedMinAge20),MAX(CapacityAge20*'01_Вводные'!$B$218*'19_Расчет_аналитики'!AN2583,MeanMinAge20)))</f>
        <v/>
      </c>
      <c r="AO2507">
        <f>IF(OR('19_Расчет_аналитики'!AO2479=0,20&lt;='01_Вводные'!$B$297),0,'19_Расчет_аналитики'!AO2479*IF('01_Вводные'!$B$239="Да",MeanMinAge20+'19_Расчет_аналитики'!AO2583*SUMIF(ThresholdAge20,"&lt;"&amp;'19_Расчет_аналитики'!AO2583,WeightedRevAge20)-SUMIF(ThresholdAge20,"&lt;"&amp;'19_Расчет_аналитики'!AO2583,WeightedMinAge20),MAX(CapacityAge20*'01_Вводные'!$B$218*'19_Расчет_аналитики'!AO2583,MeanMinAge20)))</f>
        <v/>
      </c>
      <c r="AP2507">
        <f>IF(OR('19_Расчет_аналитики'!AP2479=0,20&lt;='01_Вводные'!$B$297),0,'19_Расчет_аналитики'!AP2479*IF('01_Вводные'!$B$239="Да",MeanMinAge20+'19_Расчет_аналитики'!AP2583*SUMIF(ThresholdAge20,"&lt;"&amp;'19_Расчет_аналитики'!AP2583,WeightedRevAge20)-SUMIF(ThresholdAge20,"&lt;"&amp;'19_Расчет_аналитики'!AP2583,WeightedMinAge20),MAX(CapacityAge20*'01_Вводные'!$B$218*'19_Расчет_аналитики'!AP2583,MeanMinAge20)))</f>
        <v/>
      </c>
      <c r="AQ2507">
        <f>IF(OR('19_Расчет_аналитики'!AQ2479=0,20&lt;='01_Вводные'!$B$297),0,'19_Расчет_аналитики'!AQ2479*IF('01_Вводные'!$B$239="Да",MeanMinAge20+'19_Расчет_аналитики'!AQ2583*SUMIF(ThresholdAge20,"&lt;"&amp;'19_Расчет_аналитики'!AQ2583,WeightedRevAge20)-SUMIF(ThresholdAge20,"&lt;"&amp;'19_Расчет_аналитики'!AQ2583,WeightedMinAge20),MAX(CapacityAge20*'01_Вводные'!$B$218*'19_Расчет_аналитики'!AQ2583,MeanMinAge20)))</f>
        <v/>
      </c>
      <c r="AR2507">
        <f>IF(OR('19_Расчет_аналитики'!AR2479=0,20&lt;='01_Вводные'!$B$297),0,'19_Расчет_аналитики'!AR2479*IF('01_Вводные'!$B$239="Да",MeanMinAge20+'19_Расчет_аналитики'!AR2583*SUMIF(ThresholdAge20,"&lt;"&amp;'19_Расчет_аналитики'!AR2583,WeightedRevAge20)-SUMIF(ThresholdAge20,"&lt;"&amp;'19_Расчет_аналитики'!AR2583,WeightedMinAge20),MAX(CapacityAge20*'01_Вводные'!$B$218*'19_Расчет_аналитики'!AR2583,MeanMinAge20)))</f>
        <v/>
      </c>
      <c r="AS2507">
        <f>IF(OR('19_Расчет_аналитики'!AS2479=0,20&lt;='01_Вводные'!$B$297),0,'19_Расчет_аналитики'!AS2479*IF('01_Вводные'!$B$239="Да",MeanMinAge20+'19_Расчет_аналитики'!AS2583*SUMIF(ThresholdAge20,"&lt;"&amp;'19_Расчет_аналитики'!AS2583,WeightedRevAge20)-SUMIF(ThresholdAge20,"&lt;"&amp;'19_Расчет_аналитики'!AS2583,WeightedMinAge20),MAX(CapacityAge20*'01_Вводные'!$B$218*'19_Расчет_аналитики'!AS2583,MeanMinAge20)))</f>
        <v/>
      </c>
      <c r="AT2507">
        <f>IF(OR('19_Расчет_аналитики'!AT2479=0,20&lt;='01_Вводные'!$B$297),0,'19_Расчет_аналитики'!AT2479*IF('01_Вводные'!$B$239="Да",MeanMinAge20+'19_Расчет_аналитики'!AT2583*SUMIF(ThresholdAge20,"&lt;"&amp;'19_Расчет_аналитики'!AT2583,WeightedRevAge20)-SUMIF(ThresholdAge20,"&lt;"&amp;'19_Расчет_аналитики'!AT2583,WeightedMinAge20),MAX(CapacityAge20*'01_Вводные'!$B$218*'19_Расчет_аналитики'!AT2583,MeanMinAge20)))</f>
        <v/>
      </c>
      <c r="AU2507">
        <f>IF(OR('19_Расчет_аналитики'!AU2479=0,20&lt;='01_Вводные'!$B$297),0,'19_Расчет_аналитики'!AU2479*IF('01_Вводные'!$B$239="Да",MeanMinAge20+'19_Расчет_аналитики'!AU2583*SUMIF(ThresholdAge20,"&lt;"&amp;'19_Расчет_аналитики'!AU2583,WeightedRevAge20)-SUMIF(ThresholdAge20,"&lt;"&amp;'19_Расчет_аналитики'!AU2583,WeightedMinAge20),MAX(CapacityAge20*'01_Вводные'!$B$218*'19_Расчет_аналитики'!AU2583,MeanMinAge20)))</f>
        <v/>
      </c>
      <c r="AV2507">
        <f>IF(OR('19_Расчет_аналитики'!AV2479=0,20&lt;='01_Вводные'!$B$297),0,'19_Расчет_аналитики'!AV2479*IF('01_Вводные'!$B$239="Да",MeanMinAge20+'19_Расчет_аналитики'!AV2583*SUMIF(ThresholdAge20,"&lt;"&amp;'19_Расчет_аналитики'!AV2583,WeightedRevAge20)-SUMIF(ThresholdAge20,"&lt;"&amp;'19_Расчет_аналитики'!AV2583,WeightedMinAge20),MAX(CapacityAge20*'01_Вводные'!$B$218*'19_Расчет_аналитики'!AV2583,MeanMinAge20)))</f>
        <v/>
      </c>
      <c r="AW2507">
        <f>IF(OR('19_Расчет_аналитики'!AW2479=0,20&lt;='01_Вводные'!$B$297),0,'19_Расчет_аналитики'!AW2479*IF('01_Вводные'!$B$239="Да",MeanMinAge20+'19_Расчет_аналитики'!AW2583*SUMIF(ThresholdAge20,"&lt;"&amp;'19_Расчет_аналитики'!AW2583,WeightedRevAge20)-SUMIF(ThresholdAge20,"&lt;"&amp;'19_Расчет_аналитики'!AW2583,WeightedMinAge20),MAX(CapacityAge20*'01_Вводные'!$B$218*'19_Расчет_аналитики'!AW2583,MeanMinAge20)))</f>
        <v/>
      </c>
      <c r="AX2507">
        <f>IF(OR('19_Расчет_аналитики'!AX2479=0,20&lt;='01_Вводные'!$B$297),0,'19_Расчет_аналитики'!AX2479*IF('01_Вводные'!$B$239="Да",MeanMinAge20+'19_Расчет_аналитики'!AX2583*SUMIF(ThresholdAge20,"&lt;"&amp;'19_Расчет_аналитики'!AX2583,WeightedRevAge20)-SUMIF(ThresholdAge20,"&lt;"&amp;'19_Расчет_аналитики'!AX2583,WeightedMinAge20),MAX(CapacityAge20*'01_Вводные'!$B$218*'19_Расчет_аналитики'!AX2583,MeanMinAge20)))</f>
        <v/>
      </c>
      <c r="AY2507">
        <f>IF(OR('19_Расчет_аналитики'!AY2479=0,20&lt;='01_Вводные'!$B$297),0,'19_Расчет_аналитики'!AY2479*IF('01_Вводные'!$B$239="Да",MeanMinAge20+'19_Расчет_аналитики'!AY2583*SUMIF(ThresholdAge20,"&lt;"&amp;'19_Расчет_аналитики'!AY2583,WeightedRevAge20)-SUMIF(ThresholdAge20,"&lt;"&amp;'19_Расчет_аналитики'!AY2583,WeightedMinAge20),MAX(CapacityAge20*'01_Вводные'!$B$218*'19_Расчет_аналитики'!AY2583,MeanMinAge20)))</f>
        <v/>
      </c>
      <c r="AZ2507">
        <f>IF(OR('19_Расчет_аналитики'!AZ2479=0,20&lt;='01_Вводные'!$B$297),0,'19_Расчет_аналитики'!AZ2479*IF('01_Вводные'!$B$239="Да",MeanMinAge20+'19_Расчет_аналитики'!AZ2583*SUMIF(ThresholdAge20,"&lt;"&amp;'19_Расчет_аналитики'!AZ2583,WeightedRevAge20)-SUMIF(ThresholdAge20,"&lt;"&amp;'19_Расчет_аналитики'!AZ2583,WeightedMinAge20),MAX(CapacityAge20*'01_Вводные'!$B$218*'19_Расчет_аналитики'!AZ2583,MeanMinAge20)))</f>
        <v/>
      </c>
      <c r="BA2507">
        <f>IF(OR('19_Расчет_аналитики'!BA2479=0,20&lt;='01_Вводные'!$B$297),0,'19_Расчет_аналитики'!BA2479*IF('01_Вводные'!$B$239="Да",MeanMinAge20+'19_Расчет_аналитики'!BA2583*SUMIF(ThresholdAge20,"&lt;"&amp;'19_Расчет_аналитики'!BA2583,WeightedRevAge20)-SUMIF(ThresholdAge20,"&lt;"&amp;'19_Расчет_аналитики'!BA2583,WeightedMinAge20),MAX(CapacityAge20*'01_Вводные'!$B$218*'19_Расчет_аналитики'!BA2583,MeanMinAge20)))</f>
        <v/>
      </c>
      <c r="BB2507">
        <f>IF(OR('19_Расчет_аналитики'!BB2479=0,20&lt;='01_Вводные'!$B$297),0,'19_Расчет_аналитики'!BB2479*IF('01_Вводные'!$B$239="Да",MeanMinAge20+'19_Расчет_аналитики'!BB2583*SUMIF(ThresholdAge20,"&lt;"&amp;'19_Расчет_аналитики'!BB2583,WeightedRevAge20)-SUMIF(ThresholdAge20,"&lt;"&amp;'19_Расчет_аналитики'!BB2583,WeightedMinAge20),MAX(CapacityAge20*'01_Вводные'!$B$218*'19_Расчет_аналитики'!BB2583,MeanMinAge20)))</f>
        <v/>
      </c>
      <c r="BC2507">
        <f>IF(OR('19_Расчет_аналитики'!BC2479=0,20&lt;='01_Вводные'!$B$297),0,'19_Расчет_аналитики'!BC2479*IF('01_Вводные'!$B$239="Да",MeanMinAge20+'19_Расчет_аналитики'!BC2583*SUMIF(ThresholdAge20,"&lt;"&amp;'19_Расчет_аналитики'!BC2583,WeightedRevAge20)-SUMIF(ThresholdAge20,"&lt;"&amp;'19_Расчет_аналитики'!BC2583,WeightedMinAge20),MAX(CapacityAge20*'01_Вводные'!$B$218*'19_Расчет_аналитики'!BC2583,MeanMinAge20)))</f>
        <v/>
      </c>
      <c r="BD2507">
        <f>IF(OR('19_Расчет_аналитики'!BD2479=0,20&lt;='01_Вводные'!$B$297),0,'19_Расчет_аналитики'!BD2479*IF('01_Вводные'!$B$239="Да",MeanMinAge20+'19_Расчет_аналитики'!BD2583*SUMIF(ThresholdAge20,"&lt;"&amp;'19_Расчет_аналитики'!BD2583,WeightedRevAge20)-SUMIF(ThresholdAge20,"&lt;"&amp;'19_Расчет_аналитики'!BD2583,WeightedMinAge20),MAX(CapacityAge20*'01_Вводные'!$B$218*'19_Расчет_аналитики'!BD2583,MeanMinAge20)))</f>
        <v/>
      </c>
      <c r="BE2507">
        <f>IF(OR('19_Расчет_аналитики'!BE2479=0,20&lt;='01_Вводные'!$B$297),0,'19_Расчет_аналитики'!BE2479*IF('01_Вводные'!$B$239="Да",MeanMinAge20+'19_Расчет_аналитики'!BE2583*SUMIF(ThresholdAge20,"&lt;"&amp;'19_Расчет_аналитики'!BE2583,WeightedRevAge20)-SUMIF(ThresholdAge20,"&lt;"&amp;'19_Расчет_аналитики'!BE2583,WeightedMinAge20),MAX(CapacityAge20*'01_Вводные'!$B$218*'19_Расчет_аналитики'!BE2583,MeanMinAge20)))</f>
        <v/>
      </c>
      <c r="BF2507">
        <f>IF(OR('19_Расчет_аналитики'!BF2479=0,20&lt;='01_Вводные'!$B$297),0,'19_Расчет_аналитики'!BF2479*IF('01_Вводные'!$B$239="Да",MeanMinAge20+'19_Расчет_аналитики'!BF2583*SUMIF(ThresholdAge20,"&lt;"&amp;'19_Расчет_аналитики'!BF2583,WeightedRevAge20)-SUMIF(ThresholdAge20,"&lt;"&amp;'19_Расчет_аналитики'!BF2583,WeightedMinAge20),MAX(CapacityAge20*'01_Вводные'!$B$218*'19_Расчет_аналитики'!BF2583,MeanMinAge20)))</f>
        <v/>
      </c>
      <c r="BG2507">
        <f>IF(OR('19_Расчет_аналитики'!BG2479=0,20&lt;='01_Вводные'!$B$297),0,'19_Расчет_аналитики'!BG2479*IF('01_Вводные'!$B$239="Да",MeanMinAge20+'19_Расчет_аналитики'!BG2583*SUMIF(ThresholdAge20,"&lt;"&amp;'19_Расчет_аналитики'!BG2583,WeightedRevAge20)-SUMIF(ThresholdAge20,"&lt;"&amp;'19_Расчет_аналитики'!BG2583,WeightedMinAge20),MAX(CapacityAge20*'01_Вводные'!$B$218*'19_Расчет_аналитики'!BG2583,MeanMinAge20)))</f>
        <v/>
      </c>
      <c r="BH2507">
        <f>IF(OR('19_Расчет_аналитики'!BH2479=0,20&lt;='01_Вводные'!$B$297),0,'19_Расчет_аналитики'!BH2479*IF('01_Вводные'!$B$239="Да",MeanMinAge20+'19_Расчет_аналитики'!BH2583*SUMIF(ThresholdAge20,"&lt;"&amp;'19_Расчет_аналитики'!BH2583,WeightedRevAge20)-SUMIF(ThresholdAge20,"&lt;"&amp;'19_Расчет_аналитики'!BH2583,WeightedMinAge20),MAX(CapacityAge20*'01_Вводные'!$B$218*'19_Расчет_аналитики'!BH2583,MeanMinAge20)))</f>
        <v/>
      </c>
      <c r="BI2507">
        <f>IF(OR('19_Расчет_аналитики'!BI2479=0,20&lt;='01_Вводные'!$B$297),0,'19_Расчет_аналитики'!BI2479*IF('01_Вводные'!$B$239="Да",MeanMinAge20+'19_Расчет_аналитики'!BI2583*SUMIF(ThresholdAge20,"&lt;"&amp;'19_Расчет_аналитики'!BI2583,WeightedRevAge20)-SUMIF(ThresholdAge20,"&lt;"&amp;'19_Расчет_аналитики'!BI2583,WeightedMinAge20),MAX(CapacityAge20*'01_Вводные'!$B$218*'19_Расчет_аналитики'!BI2583,MeanMinAge20)))</f>
        <v/>
      </c>
      <c r="BJ2507">
        <f>IF(OR('19_Расчет_аналитики'!BJ2479=0,20&lt;='01_Вводные'!$B$297),0,'19_Расчет_аналитики'!BJ2479*IF('01_Вводные'!$B$239="Да",MeanMinAge20+'19_Расчет_аналитики'!BJ2583*SUMIF(ThresholdAge20,"&lt;"&amp;'19_Расчет_аналитики'!BJ2583,WeightedRevAge20)-SUMIF(ThresholdAge20,"&lt;"&amp;'19_Расчет_аналитики'!BJ2583,WeightedMinAge20),MAX(CapacityAge20*'01_Вводные'!$B$218*'19_Расчет_аналитики'!BJ2583,MeanMinAge20)))</f>
        <v/>
      </c>
      <c r="BK2507">
        <f>IF(OR('19_Расчет_аналитики'!BK2479=0,20&lt;='01_Вводные'!$B$297),0,'19_Расчет_аналитики'!BK2479*IF('01_Вводные'!$B$239="Да",MeanMinAge20+'19_Расчет_аналитики'!BK2583*SUMIF(ThresholdAge20,"&lt;"&amp;'19_Расчет_аналитики'!BK2583,WeightedRevAge20)-SUMIF(ThresholdAge20,"&lt;"&amp;'19_Расчет_аналитики'!BK2583,WeightedMinAge20),MAX(CapacityAge20*'01_Вводные'!$B$218*'19_Расчет_аналитики'!BK2583,MeanMinAge20)))</f>
        <v/>
      </c>
      <c r="BL2507">
        <f>IF(OR('19_Расчет_аналитики'!BL2479=0,20&lt;='01_Вводные'!$B$297),0,'19_Расчет_аналитики'!BL2479*IF('01_Вводные'!$B$239="Да",MeanMinAge20+'19_Расчет_аналитики'!BL2583*SUMIF(ThresholdAge20,"&lt;"&amp;'19_Расчет_аналитики'!BL2583,WeightedRevAge20)-SUMIF(ThresholdAge20,"&lt;"&amp;'19_Расчет_аналитики'!BL2583,WeightedMinAge20),MAX(CapacityAge20*'01_Вводные'!$B$218*'19_Расчет_аналитики'!BL2583,MeanMinAge20)))</f>
        <v/>
      </c>
      <c r="BM2507">
        <f>IF(OR('19_Расчет_аналитики'!BM2479=0,20&lt;='01_Вводные'!$B$297),0,'19_Расчет_аналитики'!BM2479*IF('01_Вводные'!$B$239="Да",MeanMinAge20+'19_Расчет_аналитики'!BM2583*SUMIF(ThresholdAge20,"&lt;"&amp;'19_Расчет_аналитики'!BM2583,WeightedRevAge20)-SUMIF(ThresholdAge20,"&lt;"&amp;'19_Расчет_аналитики'!BM2583,WeightedMinAge20),MAX(CapacityAge20*'01_Вводные'!$B$218*'19_Расчет_аналитики'!BM2583,MeanMinAge20)))</f>
        <v/>
      </c>
      <c r="BN2507">
        <f>IF(OR('19_Расчет_аналитики'!BN2479=0,20&lt;='01_Вводные'!$B$297),0,'19_Расчет_аналитики'!BN2479*IF('01_Вводные'!$B$239="Да",MeanMinAge20+'19_Расчет_аналитики'!BN2583*SUMIF(ThresholdAge20,"&lt;"&amp;'19_Расчет_аналитики'!BN2583,WeightedRevAge20)-SUMIF(ThresholdAge20,"&lt;"&amp;'19_Расчет_аналитики'!BN2583,WeightedMinAge20),MAX(CapacityAge20*'01_Вводные'!$B$218*'19_Расчет_аналитики'!BN2583,MeanMinAge20)))</f>
        <v/>
      </c>
      <c r="BO2507">
        <f>IF(OR('19_Расчет_аналитики'!BO2479=0,20&lt;='01_Вводные'!$B$297),0,'19_Расчет_аналитики'!BO2479*IF('01_Вводные'!$B$239="Да",MeanMinAge20+'19_Расчет_аналитики'!BO2583*SUMIF(ThresholdAge20,"&lt;"&amp;'19_Расчет_аналитики'!BO2583,WeightedRevAge20)-SUMIF(ThresholdAge20,"&lt;"&amp;'19_Расчет_аналитики'!BO2583,WeightedMinAge20),MAX(CapacityAge20*'01_Вводные'!$B$218*'19_Расчет_аналитики'!BO2583,MeanMinAge20)))</f>
        <v/>
      </c>
    </row>
    <row r="2508">
      <c r="B2508">
        <f>IF(OR('06_Сеть_и_дети'!B101=0,21&lt;='01_Вводные'!$B$297),0,'06_Сеть_и_дети'!B101*IF('01_Вводные'!$B$239="Да",MeanMinAge21+'19_Расчет_аналитики'!B2583*SUMIF(ThresholdAge21,"&lt;"&amp;'19_Расчет_аналитики'!B2583,WeightedRevAge21)-SUMIF(ThresholdAge21,"&lt;"&amp;'19_Расчет_аналитики'!B2583,WeightedMinAge21),MAX(CapacityAge21*'01_Вводные'!$B$218*'19_Расчет_аналитики'!B2583,MeanMinAge21)))</f>
        <v/>
      </c>
      <c r="C2508">
        <f>IF(OR('06_Сеть_и_дети'!C101=0,21&lt;='01_Вводные'!$B$297),0,'06_Сеть_и_дети'!C101*IF('01_Вводные'!$B$239="Да",MeanMinAge21+'19_Расчет_аналитики'!C2583*SUMIF(ThresholdAge21,"&lt;"&amp;'19_Расчет_аналитики'!C2583,WeightedRevAge21)-SUMIF(ThresholdAge21,"&lt;"&amp;'19_Расчет_аналитики'!C2583,WeightedMinAge21),MAX(CapacityAge21*'01_Вводные'!$B$218*'19_Расчет_аналитики'!C2583,MeanMinAge21)))</f>
        <v/>
      </c>
      <c r="D2508">
        <f>IF(OR('06_Сеть_и_дети'!D101=0,21&lt;='01_Вводные'!$B$297),0,'06_Сеть_и_дети'!D101*IF('01_Вводные'!$B$239="Да",MeanMinAge21+'19_Расчет_аналитики'!D2583*SUMIF(ThresholdAge21,"&lt;"&amp;'19_Расчет_аналитики'!D2583,WeightedRevAge21)-SUMIF(ThresholdAge21,"&lt;"&amp;'19_Расчет_аналитики'!D2583,WeightedMinAge21),MAX(CapacityAge21*'01_Вводные'!$B$218*'19_Расчет_аналитики'!D2583,MeanMinAge21)))</f>
        <v/>
      </c>
      <c r="E2508">
        <f>IF(OR('06_Сеть_и_дети'!E101=0,21&lt;='01_Вводные'!$B$297),0,'06_Сеть_и_дети'!E101*IF('01_Вводные'!$B$239="Да",MeanMinAge21+'19_Расчет_аналитики'!E2583*SUMIF(ThresholdAge21,"&lt;"&amp;'19_Расчет_аналитики'!E2583,WeightedRevAge21)-SUMIF(ThresholdAge21,"&lt;"&amp;'19_Расчет_аналитики'!E2583,WeightedMinAge21),MAX(CapacityAge21*'01_Вводные'!$B$218*'19_Расчет_аналитики'!E2583,MeanMinAge21)))</f>
        <v/>
      </c>
      <c r="F2508">
        <f>IF(OR('06_Сеть_и_дети'!F101=0,21&lt;='01_Вводные'!$B$297),0,'06_Сеть_и_дети'!F101*IF('01_Вводные'!$B$239="Да",MeanMinAge21+'19_Расчет_аналитики'!F2583*SUMIF(ThresholdAge21,"&lt;"&amp;'19_Расчет_аналитики'!F2583,WeightedRevAge21)-SUMIF(ThresholdAge21,"&lt;"&amp;'19_Расчет_аналитики'!F2583,WeightedMinAge21),MAX(CapacityAge21*'01_Вводные'!$B$218*'19_Расчет_аналитики'!F2583,MeanMinAge21)))</f>
        <v/>
      </c>
      <c r="G2508">
        <f>IF(OR('06_Сеть_и_дети'!G101=0,21&lt;='01_Вводные'!$B$297),0,'06_Сеть_и_дети'!G101*IF('01_Вводные'!$B$239="Да",MeanMinAge21+'19_Расчет_аналитики'!G2583*SUMIF(ThresholdAge21,"&lt;"&amp;'19_Расчет_аналитики'!G2583,WeightedRevAge21)-SUMIF(ThresholdAge21,"&lt;"&amp;'19_Расчет_аналитики'!G2583,WeightedMinAge21),MAX(CapacityAge21*'01_Вводные'!$B$218*'19_Расчет_аналитики'!G2583,MeanMinAge21)))</f>
        <v/>
      </c>
      <c r="H2508">
        <f>IF(OR('06_Сеть_и_дети'!H101=0,21&lt;='01_Вводные'!$B$297),0,'06_Сеть_и_дети'!H101*IF('01_Вводные'!$B$239="Да",MeanMinAge21+'19_Расчет_аналитики'!H2583*SUMIF(ThresholdAge21,"&lt;"&amp;'19_Расчет_аналитики'!H2583,WeightedRevAge21)-SUMIF(ThresholdAge21,"&lt;"&amp;'19_Расчет_аналитики'!H2583,WeightedMinAge21),MAX(CapacityAge21*'01_Вводные'!$B$218*'19_Расчет_аналитики'!H2583,MeanMinAge21)))</f>
        <v/>
      </c>
      <c r="I2508">
        <f>IF(OR('06_Сеть_и_дети'!I101=0,21&lt;='01_Вводные'!$B$297),0,'06_Сеть_и_дети'!I101*IF('01_Вводные'!$B$239="Да",MeanMinAge21+'19_Расчет_аналитики'!I2583*SUMIF(ThresholdAge21,"&lt;"&amp;'19_Расчет_аналитики'!I2583,WeightedRevAge21)-SUMIF(ThresholdAge21,"&lt;"&amp;'19_Расчет_аналитики'!I2583,WeightedMinAge21),MAX(CapacityAge21*'01_Вводные'!$B$218*'19_Расчет_аналитики'!I2583,MeanMinAge21)))</f>
        <v/>
      </c>
      <c r="J2508">
        <f>IF(OR('06_Сеть_и_дети'!J101=0,21&lt;='01_Вводные'!$B$297),0,'06_Сеть_и_дети'!J101*IF('01_Вводные'!$B$239="Да",MeanMinAge21+'19_Расчет_аналитики'!J2583*SUMIF(ThresholdAge21,"&lt;"&amp;'19_Расчет_аналитики'!J2583,WeightedRevAge21)-SUMIF(ThresholdAge21,"&lt;"&amp;'19_Расчет_аналитики'!J2583,WeightedMinAge21),MAX(CapacityAge21*'01_Вводные'!$B$218*'19_Расчет_аналитики'!J2583,MeanMinAge21)))</f>
        <v/>
      </c>
      <c r="K2508">
        <f>IF(OR('06_Сеть_и_дети'!K101=0,21&lt;='01_Вводные'!$B$297),0,'06_Сеть_и_дети'!K101*IF('01_Вводные'!$B$239="Да",MeanMinAge21+'19_Расчет_аналитики'!K2583*SUMIF(ThresholdAge21,"&lt;"&amp;'19_Расчет_аналитики'!K2583,WeightedRevAge21)-SUMIF(ThresholdAge21,"&lt;"&amp;'19_Расчет_аналитики'!K2583,WeightedMinAge21),MAX(CapacityAge21*'01_Вводные'!$B$218*'19_Расчет_аналитики'!K2583,MeanMinAge21)))</f>
        <v/>
      </c>
      <c r="L2508">
        <f>IF(OR('06_Сеть_и_дети'!L101=0,21&lt;='01_Вводные'!$B$297),0,'06_Сеть_и_дети'!L101*IF('01_Вводные'!$B$239="Да",MeanMinAge21+'19_Расчет_аналитики'!L2583*SUMIF(ThresholdAge21,"&lt;"&amp;'19_Расчет_аналитики'!L2583,WeightedRevAge21)-SUMIF(ThresholdAge21,"&lt;"&amp;'19_Расчет_аналитики'!L2583,WeightedMinAge21),MAX(CapacityAge21*'01_Вводные'!$B$218*'19_Расчет_аналитики'!L2583,MeanMinAge21)))</f>
        <v/>
      </c>
      <c r="M2508">
        <f>IF(OR('06_Сеть_и_дети'!M101=0,21&lt;='01_Вводные'!$B$297),0,'06_Сеть_и_дети'!M101*IF('01_Вводные'!$B$239="Да",MeanMinAge21+'19_Расчет_аналитики'!M2583*SUMIF(ThresholdAge21,"&lt;"&amp;'19_Расчет_аналитики'!M2583,WeightedRevAge21)-SUMIF(ThresholdAge21,"&lt;"&amp;'19_Расчет_аналитики'!M2583,WeightedMinAge21),MAX(CapacityAge21*'01_Вводные'!$B$218*'19_Расчет_аналитики'!M2583,MeanMinAge21)))</f>
        <v/>
      </c>
      <c r="N2508">
        <f>IF(OR('06_Сеть_и_дети'!N101=0,21&lt;='01_Вводные'!$B$297),0,'06_Сеть_и_дети'!N101*IF('01_Вводные'!$B$239="Да",MeanMinAge21+'19_Расчет_аналитики'!N2583*SUMIF(ThresholdAge21,"&lt;"&amp;'19_Расчет_аналитики'!N2583,WeightedRevAge21)-SUMIF(ThresholdAge21,"&lt;"&amp;'19_Расчет_аналитики'!N2583,WeightedMinAge21),MAX(CapacityAge21*'01_Вводные'!$B$218*'19_Расчет_аналитики'!N2583,MeanMinAge21)))</f>
        <v/>
      </c>
      <c r="O2508">
        <f>IF(OR('06_Сеть_и_дети'!O101=0,21&lt;='01_Вводные'!$B$297),0,'06_Сеть_и_дети'!O101*IF('01_Вводные'!$B$239="Да",MeanMinAge21+'19_Расчет_аналитики'!O2583*SUMIF(ThresholdAge21,"&lt;"&amp;'19_Расчет_аналитики'!O2583,WeightedRevAge21)-SUMIF(ThresholdAge21,"&lt;"&amp;'19_Расчет_аналитики'!O2583,WeightedMinAge21),MAX(CapacityAge21*'01_Вводные'!$B$218*'19_Расчет_аналитики'!O2583,MeanMinAge21)))</f>
        <v/>
      </c>
      <c r="P2508">
        <f>IF(OR('06_Сеть_и_дети'!P101=0,21&lt;='01_Вводные'!$B$297),0,'06_Сеть_и_дети'!P101*IF('01_Вводные'!$B$239="Да",MeanMinAge21+'19_Расчет_аналитики'!P2583*SUMIF(ThresholdAge21,"&lt;"&amp;'19_Расчет_аналитики'!P2583,WeightedRevAge21)-SUMIF(ThresholdAge21,"&lt;"&amp;'19_Расчет_аналитики'!P2583,WeightedMinAge21),MAX(CapacityAge21*'01_Вводные'!$B$218*'19_Расчет_аналитики'!P2583,MeanMinAge21)))</f>
        <v/>
      </c>
      <c r="Q2508">
        <f>IF(OR('06_Сеть_и_дети'!Q101=0,21&lt;='01_Вводные'!$B$297),0,'06_Сеть_и_дети'!Q101*IF('01_Вводные'!$B$239="Да",MeanMinAge21+'19_Расчет_аналитики'!Q2583*SUMIF(ThresholdAge21,"&lt;"&amp;'19_Расчет_аналитики'!Q2583,WeightedRevAge21)-SUMIF(ThresholdAge21,"&lt;"&amp;'19_Расчет_аналитики'!Q2583,WeightedMinAge21),MAX(CapacityAge21*'01_Вводные'!$B$218*'19_Расчет_аналитики'!Q2583,MeanMinAge21)))</f>
        <v/>
      </c>
      <c r="R2508">
        <f>IF(OR('06_Сеть_и_дети'!R101=0,21&lt;='01_Вводные'!$B$297),0,'06_Сеть_и_дети'!R101*IF('01_Вводные'!$B$239="Да",MeanMinAge21+'19_Расчет_аналитики'!R2583*SUMIF(ThresholdAge21,"&lt;"&amp;'19_Расчет_аналитики'!R2583,WeightedRevAge21)-SUMIF(ThresholdAge21,"&lt;"&amp;'19_Расчет_аналитики'!R2583,WeightedMinAge21),MAX(CapacityAge21*'01_Вводные'!$B$218*'19_Расчет_аналитики'!R2583,MeanMinAge21)))</f>
        <v/>
      </c>
      <c r="S2508">
        <f>IF(OR('06_Сеть_и_дети'!S101=0,21&lt;='01_Вводные'!$B$297),0,'06_Сеть_и_дети'!S101*IF('01_Вводные'!$B$239="Да",MeanMinAge21+'19_Расчет_аналитики'!S2583*SUMIF(ThresholdAge21,"&lt;"&amp;'19_Расчет_аналитики'!S2583,WeightedRevAge21)-SUMIF(ThresholdAge21,"&lt;"&amp;'19_Расчет_аналитики'!S2583,WeightedMinAge21),MAX(CapacityAge21*'01_Вводные'!$B$218*'19_Расчет_аналитики'!S2583,MeanMinAge21)))</f>
        <v/>
      </c>
      <c r="T2508">
        <f>IF(OR('06_Сеть_и_дети'!T101=0,21&lt;='01_Вводные'!$B$297),0,'06_Сеть_и_дети'!T101*IF('01_Вводные'!$B$239="Да",MeanMinAge21+'19_Расчет_аналитики'!T2583*SUMIF(ThresholdAge21,"&lt;"&amp;'19_Расчет_аналитики'!T2583,WeightedRevAge21)-SUMIF(ThresholdAge21,"&lt;"&amp;'19_Расчет_аналитики'!T2583,WeightedMinAge21),MAX(CapacityAge21*'01_Вводные'!$B$218*'19_Расчет_аналитики'!T2583,MeanMinAge21)))</f>
        <v/>
      </c>
      <c r="U2508">
        <f>IF(OR('06_Сеть_и_дети'!U101=0,21&lt;='01_Вводные'!$B$297),0,'06_Сеть_и_дети'!U101*IF('01_Вводные'!$B$239="Да",MeanMinAge21+'19_Расчет_аналитики'!U2583*SUMIF(ThresholdAge21,"&lt;"&amp;'19_Расчет_аналитики'!U2583,WeightedRevAge21)-SUMIF(ThresholdAge21,"&lt;"&amp;'19_Расчет_аналитики'!U2583,WeightedMinAge21),MAX(CapacityAge21*'01_Вводные'!$B$218*'19_Расчет_аналитики'!U2583,MeanMinAge21)))</f>
        <v/>
      </c>
      <c r="V2508">
        <f>IF(OR('19_Расчет_аналитики'!V2480=0,21&lt;='01_Вводные'!$B$297),0,'19_Расчет_аналитики'!V2480*IF('01_Вводные'!$B$239="Да",MeanMinAge21+'19_Расчет_аналитики'!V2583*SUMIF(ThresholdAge21,"&lt;"&amp;'19_Расчет_аналитики'!V2583,WeightedRevAge21)-SUMIF(ThresholdAge21,"&lt;"&amp;'19_Расчет_аналитики'!V2583,WeightedMinAge21),MAX(CapacityAge21*'01_Вводные'!$B$218*'19_Расчет_аналитики'!V2583,MeanMinAge21)))</f>
        <v/>
      </c>
      <c r="W2508">
        <f>IF(OR('19_Расчет_аналитики'!W2480=0,21&lt;='01_Вводные'!$B$297),0,'19_Расчет_аналитики'!W2480*IF('01_Вводные'!$B$239="Да",MeanMinAge21+'19_Расчет_аналитики'!W2583*SUMIF(ThresholdAge21,"&lt;"&amp;'19_Расчет_аналитики'!W2583,WeightedRevAge21)-SUMIF(ThresholdAge21,"&lt;"&amp;'19_Расчет_аналитики'!W2583,WeightedMinAge21),MAX(CapacityAge21*'01_Вводные'!$B$218*'19_Расчет_аналитики'!W2583,MeanMinAge21)))</f>
        <v/>
      </c>
      <c r="X2508">
        <f>IF(OR('19_Расчет_аналитики'!X2480=0,21&lt;='01_Вводные'!$B$297),0,'19_Расчет_аналитики'!X2480*IF('01_Вводные'!$B$239="Да",MeanMinAge21+'19_Расчет_аналитики'!X2583*SUMIF(ThresholdAge21,"&lt;"&amp;'19_Расчет_аналитики'!X2583,WeightedRevAge21)-SUMIF(ThresholdAge21,"&lt;"&amp;'19_Расчет_аналитики'!X2583,WeightedMinAge21),MAX(CapacityAge21*'01_Вводные'!$B$218*'19_Расчет_аналитики'!X2583,MeanMinAge21)))</f>
        <v/>
      </c>
      <c r="Y2508">
        <f>IF(OR('19_Расчет_аналитики'!Y2480=0,21&lt;='01_Вводные'!$B$297),0,'19_Расчет_аналитики'!Y2480*IF('01_Вводные'!$B$239="Да",MeanMinAge21+'19_Расчет_аналитики'!Y2583*SUMIF(ThresholdAge21,"&lt;"&amp;'19_Расчет_аналитики'!Y2583,WeightedRevAge21)-SUMIF(ThresholdAge21,"&lt;"&amp;'19_Расчет_аналитики'!Y2583,WeightedMinAge21),MAX(CapacityAge21*'01_Вводные'!$B$218*'19_Расчет_аналитики'!Y2583,MeanMinAge21)))</f>
        <v/>
      </c>
      <c r="Z2508">
        <f>IF(OR('19_Расчет_аналитики'!Z2480=0,21&lt;='01_Вводные'!$B$297),0,'19_Расчет_аналитики'!Z2480*IF('01_Вводные'!$B$239="Да",MeanMinAge21+'19_Расчет_аналитики'!Z2583*SUMIF(ThresholdAge21,"&lt;"&amp;'19_Расчет_аналитики'!Z2583,WeightedRevAge21)-SUMIF(ThresholdAge21,"&lt;"&amp;'19_Расчет_аналитики'!Z2583,WeightedMinAge21),MAX(CapacityAge21*'01_Вводные'!$B$218*'19_Расчет_аналитики'!Z2583,MeanMinAge21)))</f>
        <v/>
      </c>
      <c r="AA2508">
        <f>IF(OR('19_Расчет_аналитики'!AA2480=0,21&lt;='01_Вводные'!$B$297),0,'19_Расчет_аналитики'!AA2480*IF('01_Вводные'!$B$239="Да",MeanMinAge21+'19_Расчет_аналитики'!AA2583*SUMIF(ThresholdAge21,"&lt;"&amp;'19_Расчет_аналитики'!AA2583,WeightedRevAge21)-SUMIF(ThresholdAge21,"&lt;"&amp;'19_Расчет_аналитики'!AA2583,WeightedMinAge21),MAX(CapacityAge21*'01_Вводные'!$B$218*'19_Расчет_аналитики'!AA2583,MeanMinAge21)))</f>
        <v/>
      </c>
      <c r="AB2508">
        <f>IF(OR('19_Расчет_аналитики'!AB2480=0,21&lt;='01_Вводные'!$B$297),0,'19_Расчет_аналитики'!AB2480*IF('01_Вводные'!$B$239="Да",MeanMinAge21+'19_Расчет_аналитики'!AB2583*SUMIF(ThresholdAge21,"&lt;"&amp;'19_Расчет_аналитики'!AB2583,WeightedRevAge21)-SUMIF(ThresholdAge21,"&lt;"&amp;'19_Расчет_аналитики'!AB2583,WeightedMinAge21),MAX(CapacityAge21*'01_Вводные'!$B$218*'19_Расчет_аналитики'!AB2583,MeanMinAge21)))</f>
        <v/>
      </c>
      <c r="AC2508">
        <f>IF(OR('19_Расчет_аналитики'!AC2480=0,21&lt;='01_Вводные'!$B$297),0,'19_Расчет_аналитики'!AC2480*IF('01_Вводные'!$B$239="Да",MeanMinAge21+'19_Расчет_аналитики'!AC2583*SUMIF(ThresholdAge21,"&lt;"&amp;'19_Расчет_аналитики'!AC2583,WeightedRevAge21)-SUMIF(ThresholdAge21,"&lt;"&amp;'19_Расчет_аналитики'!AC2583,WeightedMinAge21),MAX(CapacityAge21*'01_Вводные'!$B$218*'19_Расчет_аналитики'!AC2583,MeanMinAge21)))</f>
        <v/>
      </c>
      <c r="AD2508">
        <f>IF(OR('19_Расчет_аналитики'!AD2480=0,21&lt;='01_Вводные'!$B$297),0,'19_Расчет_аналитики'!AD2480*IF('01_Вводные'!$B$239="Да",MeanMinAge21+'19_Расчет_аналитики'!AD2583*SUMIF(ThresholdAge21,"&lt;"&amp;'19_Расчет_аналитики'!AD2583,WeightedRevAge21)-SUMIF(ThresholdAge21,"&lt;"&amp;'19_Расчет_аналитики'!AD2583,WeightedMinAge21),MAX(CapacityAge21*'01_Вводные'!$B$218*'19_Расчет_аналитики'!AD2583,MeanMinAge21)))</f>
        <v/>
      </c>
      <c r="AE2508">
        <f>IF(OR('19_Расчет_аналитики'!AE2480=0,21&lt;='01_Вводные'!$B$297),0,'19_Расчет_аналитики'!AE2480*IF('01_Вводные'!$B$239="Да",MeanMinAge21+'19_Расчет_аналитики'!AE2583*SUMIF(ThresholdAge21,"&lt;"&amp;'19_Расчет_аналитики'!AE2583,WeightedRevAge21)-SUMIF(ThresholdAge21,"&lt;"&amp;'19_Расчет_аналитики'!AE2583,WeightedMinAge21),MAX(CapacityAge21*'01_Вводные'!$B$218*'19_Расчет_аналитики'!AE2583,MeanMinAge21)))</f>
        <v/>
      </c>
      <c r="AF2508">
        <f>IF(OR('19_Расчет_аналитики'!AF2480=0,21&lt;='01_Вводные'!$B$297),0,'19_Расчет_аналитики'!AF2480*IF('01_Вводные'!$B$239="Да",MeanMinAge21+'19_Расчет_аналитики'!AF2583*SUMIF(ThresholdAge21,"&lt;"&amp;'19_Расчет_аналитики'!AF2583,WeightedRevAge21)-SUMIF(ThresholdAge21,"&lt;"&amp;'19_Расчет_аналитики'!AF2583,WeightedMinAge21),MAX(CapacityAge21*'01_Вводные'!$B$218*'19_Расчет_аналитики'!AF2583,MeanMinAge21)))</f>
        <v/>
      </c>
      <c r="AG2508">
        <f>IF(OR('19_Расчет_аналитики'!AG2480=0,21&lt;='01_Вводные'!$B$297),0,'19_Расчет_аналитики'!AG2480*IF('01_Вводные'!$B$239="Да",MeanMinAge21+'19_Расчет_аналитики'!AG2583*SUMIF(ThresholdAge21,"&lt;"&amp;'19_Расчет_аналитики'!AG2583,WeightedRevAge21)-SUMIF(ThresholdAge21,"&lt;"&amp;'19_Расчет_аналитики'!AG2583,WeightedMinAge21),MAX(CapacityAge21*'01_Вводные'!$B$218*'19_Расчет_аналитики'!AG2583,MeanMinAge21)))</f>
        <v/>
      </c>
      <c r="AH2508">
        <f>IF(OR('19_Расчет_аналитики'!AH2480=0,21&lt;='01_Вводные'!$B$297),0,'19_Расчет_аналитики'!AH2480*IF('01_Вводные'!$B$239="Да",MeanMinAge21+'19_Расчет_аналитики'!AH2583*SUMIF(ThresholdAge21,"&lt;"&amp;'19_Расчет_аналитики'!AH2583,WeightedRevAge21)-SUMIF(ThresholdAge21,"&lt;"&amp;'19_Расчет_аналитики'!AH2583,WeightedMinAge21),MAX(CapacityAge21*'01_Вводные'!$B$218*'19_Расчет_аналитики'!AH2583,MeanMinAge21)))</f>
        <v/>
      </c>
      <c r="AI2508">
        <f>IF(OR('19_Расчет_аналитики'!AI2480=0,21&lt;='01_Вводные'!$B$297),0,'19_Расчет_аналитики'!AI2480*IF('01_Вводные'!$B$239="Да",MeanMinAge21+'19_Расчет_аналитики'!AI2583*SUMIF(ThresholdAge21,"&lt;"&amp;'19_Расчет_аналитики'!AI2583,WeightedRevAge21)-SUMIF(ThresholdAge21,"&lt;"&amp;'19_Расчет_аналитики'!AI2583,WeightedMinAge21),MAX(CapacityAge21*'01_Вводные'!$B$218*'19_Расчет_аналитики'!AI2583,MeanMinAge21)))</f>
        <v/>
      </c>
      <c r="AJ2508">
        <f>IF(OR('19_Расчет_аналитики'!AJ2480=0,21&lt;='01_Вводные'!$B$297),0,'19_Расчет_аналитики'!AJ2480*IF('01_Вводные'!$B$239="Да",MeanMinAge21+'19_Расчет_аналитики'!AJ2583*SUMIF(ThresholdAge21,"&lt;"&amp;'19_Расчет_аналитики'!AJ2583,WeightedRevAge21)-SUMIF(ThresholdAge21,"&lt;"&amp;'19_Расчет_аналитики'!AJ2583,WeightedMinAge21),MAX(CapacityAge21*'01_Вводные'!$B$218*'19_Расчет_аналитики'!AJ2583,MeanMinAge21)))</f>
        <v/>
      </c>
      <c r="AK2508">
        <f>IF(OR('19_Расчет_аналитики'!AK2480=0,21&lt;='01_Вводные'!$B$297),0,'19_Расчет_аналитики'!AK2480*IF('01_Вводные'!$B$239="Да",MeanMinAge21+'19_Расчет_аналитики'!AK2583*SUMIF(ThresholdAge21,"&lt;"&amp;'19_Расчет_аналитики'!AK2583,WeightedRevAge21)-SUMIF(ThresholdAge21,"&lt;"&amp;'19_Расчет_аналитики'!AK2583,WeightedMinAge21),MAX(CapacityAge21*'01_Вводные'!$B$218*'19_Расчет_аналитики'!AK2583,MeanMinAge21)))</f>
        <v/>
      </c>
      <c r="AL2508">
        <f>IF(OR('19_Расчет_аналитики'!AL2480=0,21&lt;='01_Вводные'!$B$297),0,'19_Расчет_аналитики'!AL2480*IF('01_Вводные'!$B$239="Да",MeanMinAge21+'19_Расчет_аналитики'!AL2583*SUMIF(ThresholdAge21,"&lt;"&amp;'19_Расчет_аналитики'!AL2583,WeightedRevAge21)-SUMIF(ThresholdAge21,"&lt;"&amp;'19_Расчет_аналитики'!AL2583,WeightedMinAge21),MAX(CapacityAge21*'01_Вводные'!$B$218*'19_Расчет_аналитики'!AL2583,MeanMinAge21)))</f>
        <v/>
      </c>
      <c r="AM2508">
        <f>IF(OR('19_Расчет_аналитики'!AM2480=0,21&lt;='01_Вводные'!$B$297),0,'19_Расчет_аналитики'!AM2480*IF('01_Вводные'!$B$239="Да",MeanMinAge21+'19_Расчет_аналитики'!AM2583*SUMIF(ThresholdAge21,"&lt;"&amp;'19_Расчет_аналитики'!AM2583,WeightedRevAge21)-SUMIF(ThresholdAge21,"&lt;"&amp;'19_Расчет_аналитики'!AM2583,WeightedMinAge21),MAX(CapacityAge21*'01_Вводные'!$B$218*'19_Расчет_аналитики'!AM2583,MeanMinAge21)))</f>
        <v/>
      </c>
      <c r="AN2508">
        <f>IF(OR('19_Расчет_аналитики'!AN2480=0,21&lt;='01_Вводные'!$B$297),0,'19_Расчет_аналитики'!AN2480*IF('01_Вводные'!$B$239="Да",MeanMinAge21+'19_Расчет_аналитики'!AN2583*SUMIF(ThresholdAge21,"&lt;"&amp;'19_Расчет_аналитики'!AN2583,WeightedRevAge21)-SUMIF(ThresholdAge21,"&lt;"&amp;'19_Расчет_аналитики'!AN2583,WeightedMinAge21),MAX(CapacityAge21*'01_Вводные'!$B$218*'19_Расчет_аналитики'!AN2583,MeanMinAge21)))</f>
        <v/>
      </c>
      <c r="AO2508">
        <f>IF(OR('19_Расчет_аналитики'!AO2480=0,21&lt;='01_Вводные'!$B$297),0,'19_Расчет_аналитики'!AO2480*IF('01_Вводные'!$B$239="Да",MeanMinAge21+'19_Расчет_аналитики'!AO2583*SUMIF(ThresholdAge21,"&lt;"&amp;'19_Расчет_аналитики'!AO2583,WeightedRevAge21)-SUMIF(ThresholdAge21,"&lt;"&amp;'19_Расчет_аналитики'!AO2583,WeightedMinAge21),MAX(CapacityAge21*'01_Вводные'!$B$218*'19_Расчет_аналитики'!AO2583,MeanMinAge21)))</f>
        <v/>
      </c>
      <c r="AP2508">
        <f>IF(OR('19_Расчет_аналитики'!AP2480=0,21&lt;='01_Вводные'!$B$297),0,'19_Расчет_аналитики'!AP2480*IF('01_Вводные'!$B$239="Да",MeanMinAge21+'19_Расчет_аналитики'!AP2583*SUMIF(ThresholdAge21,"&lt;"&amp;'19_Расчет_аналитики'!AP2583,WeightedRevAge21)-SUMIF(ThresholdAge21,"&lt;"&amp;'19_Расчет_аналитики'!AP2583,WeightedMinAge21),MAX(CapacityAge21*'01_Вводные'!$B$218*'19_Расчет_аналитики'!AP2583,MeanMinAge21)))</f>
        <v/>
      </c>
      <c r="AQ2508">
        <f>IF(OR('19_Расчет_аналитики'!AQ2480=0,21&lt;='01_Вводные'!$B$297),0,'19_Расчет_аналитики'!AQ2480*IF('01_Вводные'!$B$239="Да",MeanMinAge21+'19_Расчет_аналитики'!AQ2583*SUMIF(ThresholdAge21,"&lt;"&amp;'19_Расчет_аналитики'!AQ2583,WeightedRevAge21)-SUMIF(ThresholdAge21,"&lt;"&amp;'19_Расчет_аналитики'!AQ2583,WeightedMinAge21),MAX(CapacityAge21*'01_Вводные'!$B$218*'19_Расчет_аналитики'!AQ2583,MeanMinAge21)))</f>
        <v/>
      </c>
      <c r="AR2508">
        <f>IF(OR('19_Расчет_аналитики'!AR2480=0,21&lt;='01_Вводные'!$B$297),0,'19_Расчет_аналитики'!AR2480*IF('01_Вводные'!$B$239="Да",MeanMinAge21+'19_Расчет_аналитики'!AR2583*SUMIF(ThresholdAge21,"&lt;"&amp;'19_Расчет_аналитики'!AR2583,WeightedRevAge21)-SUMIF(ThresholdAge21,"&lt;"&amp;'19_Расчет_аналитики'!AR2583,WeightedMinAge21),MAX(CapacityAge21*'01_Вводные'!$B$218*'19_Расчет_аналитики'!AR2583,MeanMinAge21)))</f>
        <v/>
      </c>
      <c r="AS2508">
        <f>IF(OR('19_Расчет_аналитики'!AS2480=0,21&lt;='01_Вводные'!$B$297),0,'19_Расчет_аналитики'!AS2480*IF('01_Вводные'!$B$239="Да",MeanMinAge21+'19_Расчет_аналитики'!AS2583*SUMIF(ThresholdAge21,"&lt;"&amp;'19_Расчет_аналитики'!AS2583,WeightedRevAge21)-SUMIF(ThresholdAge21,"&lt;"&amp;'19_Расчет_аналитики'!AS2583,WeightedMinAge21),MAX(CapacityAge21*'01_Вводные'!$B$218*'19_Расчет_аналитики'!AS2583,MeanMinAge21)))</f>
        <v/>
      </c>
      <c r="AT2508">
        <f>IF(OR('19_Расчет_аналитики'!AT2480=0,21&lt;='01_Вводные'!$B$297),0,'19_Расчет_аналитики'!AT2480*IF('01_Вводные'!$B$239="Да",MeanMinAge21+'19_Расчет_аналитики'!AT2583*SUMIF(ThresholdAge21,"&lt;"&amp;'19_Расчет_аналитики'!AT2583,WeightedRevAge21)-SUMIF(ThresholdAge21,"&lt;"&amp;'19_Расчет_аналитики'!AT2583,WeightedMinAge21),MAX(CapacityAge21*'01_Вводные'!$B$218*'19_Расчет_аналитики'!AT2583,MeanMinAge21)))</f>
        <v/>
      </c>
      <c r="AU2508">
        <f>IF(OR('19_Расчет_аналитики'!AU2480=0,21&lt;='01_Вводные'!$B$297),0,'19_Расчет_аналитики'!AU2480*IF('01_Вводные'!$B$239="Да",MeanMinAge21+'19_Расчет_аналитики'!AU2583*SUMIF(ThresholdAge21,"&lt;"&amp;'19_Расчет_аналитики'!AU2583,WeightedRevAge21)-SUMIF(ThresholdAge21,"&lt;"&amp;'19_Расчет_аналитики'!AU2583,WeightedMinAge21),MAX(CapacityAge21*'01_Вводные'!$B$218*'19_Расчет_аналитики'!AU2583,MeanMinAge21)))</f>
        <v/>
      </c>
      <c r="AV2508">
        <f>IF(OR('19_Расчет_аналитики'!AV2480=0,21&lt;='01_Вводные'!$B$297),0,'19_Расчет_аналитики'!AV2480*IF('01_Вводные'!$B$239="Да",MeanMinAge21+'19_Расчет_аналитики'!AV2583*SUMIF(ThresholdAge21,"&lt;"&amp;'19_Расчет_аналитики'!AV2583,WeightedRevAge21)-SUMIF(ThresholdAge21,"&lt;"&amp;'19_Расчет_аналитики'!AV2583,WeightedMinAge21),MAX(CapacityAge21*'01_Вводные'!$B$218*'19_Расчет_аналитики'!AV2583,MeanMinAge21)))</f>
        <v/>
      </c>
      <c r="AW2508">
        <f>IF(OR('19_Расчет_аналитики'!AW2480=0,21&lt;='01_Вводные'!$B$297),0,'19_Расчет_аналитики'!AW2480*IF('01_Вводные'!$B$239="Да",MeanMinAge21+'19_Расчет_аналитики'!AW2583*SUMIF(ThresholdAge21,"&lt;"&amp;'19_Расчет_аналитики'!AW2583,WeightedRevAge21)-SUMIF(ThresholdAge21,"&lt;"&amp;'19_Расчет_аналитики'!AW2583,WeightedMinAge21),MAX(CapacityAge21*'01_Вводные'!$B$218*'19_Расчет_аналитики'!AW2583,MeanMinAge21)))</f>
        <v/>
      </c>
      <c r="AX2508">
        <f>IF(OR('19_Расчет_аналитики'!AX2480=0,21&lt;='01_Вводные'!$B$297),0,'19_Расчет_аналитики'!AX2480*IF('01_Вводные'!$B$239="Да",MeanMinAge21+'19_Расчет_аналитики'!AX2583*SUMIF(ThresholdAge21,"&lt;"&amp;'19_Расчет_аналитики'!AX2583,WeightedRevAge21)-SUMIF(ThresholdAge21,"&lt;"&amp;'19_Расчет_аналитики'!AX2583,WeightedMinAge21),MAX(CapacityAge21*'01_Вводные'!$B$218*'19_Расчет_аналитики'!AX2583,MeanMinAge21)))</f>
        <v/>
      </c>
      <c r="AY2508">
        <f>IF(OR('19_Расчет_аналитики'!AY2480=0,21&lt;='01_Вводные'!$B$297),0,'19_Расчет_аналитики'!AY2480*IF('01_Вводные'!$B$239="Да",MeanMinAge21+'19_Расчет_аналитики'!AY2583*SUMIF(ThresholdAge21,"&lt;"&amp;'19_Расчет_аналитики'!AY2583,WeightedRevAge21)-SUMIF(ThresholdAge21,"&lt;"&amp;'19_Расчет_аналитики'!AY2583,WeightedMinAge21),MAX(CapacityAge21*'01_Вводные'!$B$218*'19_Расчет_аналитики'!AY2583,MeanMinAge21)))</f>
        <v/>
      </c>
      <c r="AZ2508">
        <f>IF(OR('19_Расчет_аналитики'!AZ2480=0,21&lt;='01_Вводные'!$B$297),0,'19_Расчет_аналитики'!AZ2480*IF('01_Вводные'!$B$239="Да",MeanMinAge21+'19_Расчет_аналитики'!AZ2583*SUMIF(ThresholdAge21,"&lt;"&amp;'19_Расчет_аналитики'!AZ2583,WeightedRevAge21)-SUMIF(ThresholdAge21,"&lt;"&amp;'19_Расчет_аналитики'!AZ2583,WeightedMinAge21),MAX(CapacityAge21*'01_Вводные'!$B$218*'19_Расчет_аналитики'!AZ2583,MeanMinAge21)))</f>
        <v/>
      </c>
      <c r="BA2508">
        <f>IF(OR('19_Расчет_аналитики'!BA2480=0,21&lt;='01_Вводные'!$B$297),0,'19_Расчет_аналитики'!BA2480*IF('01_Вводные'!$B$239="Да",MeanMinAge21+'19_Расчет_аналитики'!BA2583*SUMIF(ThresholdAge21,"&lt;"&amp;'19_Расчет_аналитики'!BA2583,WeightedRevAge21)-SUMIF(ThresholdAge21,"&lt;"&amp;'19_Расчет_аналитики'!BA2583,WeightedMinAge21),MAX(CapacityAge21*'01_Вводные'!$B$218*'19_Расчет_аналитики'!BA2583,MeanMinAge21)))</f>
        <v/>
      </c>
      <c r="BB2508">
        <f>IF(OR('19_Расчет_аналитики'!BB2480=0,21&lt;='01_Вводные'!$B$297),0,'19_Расчет_аналитики'!BB2480*IF('01_Вводные'!$B$239="Да",MeanMinAge21+'19_Расчет_аналитики'!BB2583*SUMIF(ThresholdAge21,"&lt;"&amp;'19_Расчет_аналитики'!BB2583,WeightedRevAge21)-SUMIF(ThresholdAge21,"&lt;"&amp;'19_Расчет_аналитики'!BB2583,WeightedMinAge21),MAX(CapacityAge21*'01_Вводные'!$B$218*'19_Расчет_аналитики'!BB2583,MeanMinAge21)))</f>
        <v/>
      </c>
      <c r="BC2508">
        <f>IF(OR('19_Расчет_аналитики'!BC2480=0,21&lt;='01_Вводные'!$B$297),0,'19_Расчет_аналитики'!BC2480*IF('01_Вводные'!$B$239="Да",MeanMinAge21+'19_Расчет_аналитики'!BC2583*SUMIF(ThresholdAge21,"&lt;"&amp;'19_Расчет_аналитики'!BC2583,WeightedRevAge21)-SUMIF(ThresholdAge21,"&lt;"&amp;'19_Расчет_аналитики'!BC2583,WeightedMinAge21),MAX(CapacityAge21*'01_Вводные'!$B$218*'19_Расчет_аналитики'!BC2583,MeanMinAge21)))</f>
        <v/>
      </c>
      <c r="BD2508">
        <f>IF(OR('19_Расчет_аналитики'!BD2480=0,21&lt;='01_Вводные'!$B$297),0,'19_Расчет_аналитики'!BD2480*IF('01_Вводные'!$B$239="Да",MeanMinAge21+'19_Расчет_аналитики'!BD2583*SUMIF(ThresholdAge21,"&lt;"&amp;'19_Расчет_аналитики'!BD2583,WeightedRevAge21)-SUMIF(ThresholdAge21,"&lt;"&amp;'19_Расчет_аналитики'!BD2583,WeightedMinAge21),MAX(CapacityAge21*'01_Вводные'!$B$218*'19_Расчет_аналитики'!BD2583,MeanMinAge21)))</f>
        <v/>
      </c>
      <c r="BE2508">
        <f>IF(OR('19_Расчет_аналитики'!BE2480=0,21&lt;='01_Вводные'!$B$297),0,'19_Расчет_аналитики'!BE2480*IF('01_Вводные'!$B$239="Да",MeanMinAge21+'19_Расчет_аналитики'!BE2583*SUMIF(ThresholdAge21,"&lt;"&amp;'19_Расчет_аналитики'!BE2583,WeightedRevAge21)-SUMIF(ThresholdAge21,"&lt;"&amp;'19_Расчет_аналитики'!BE2583,WeightedMinAge21),MAX(CapacityAge21*'01_Вводные'!$B$218*'19_Расчет_аналитики'!BE2583,MeanMinAge21)))</f>
        <v/>
      </c>
      <c r="BF2508">
        <f>IF(OR('19_Расчет_аналитики'!BF2480=0,21&lt;='01_Вводные'!$B$297),0,'19_Расчет_аналитики'!BF2480*IF('01_Вводные'!$B$239="Да",MeanMinAge21+'19_Расчет_аналитики'!BF2583*SUMIF(ThresholdAge21,"&lt;"&amp;'19_Расчет_аналитики'!BF2583,WeightedRevAge21)-SUMIF(ThresholdAge21,"&lt;"&amp;'19_Расчет_аналитики'!BF2583,WeightedMinAge21),MAX(CapacityAge21*'01_Вводные'!$B$218*'19_Расчет_аналитики'!BF2583,MeanMinAge21)))</f>
        <v/>
      </c>
      <c r="BG2508">
        <f>IF(OR('19_Расчет_аналитики'!BG2480=0,21&lt;='01_Вводные'!$B$297),0,'19_Расчет_аналитики'!BG2480*IF('01_Вводные'!$B$239="Да",MeanMinAge21+'19_Расчет_аналитики'!BG2583*SUMIF(ThresholdAge21,"&lt;"&amp;'19_Расчет_аналитики'!BG2583,WeightedRevAge21)-SUMIF(ThresholdAge21,"&lt;"&amp;'19_Расчет_аналитики'!BG2583,WeightedMinAge21),MAX(CapacityAge21*'01_Вводные'!$B$218*'19_Расчет_аналитики'!BG2583,MeanMinAge21)))</f>
        <v/>
      </c>
      <c r="BH2508">
        <f>IF(OR('19_Расчет_аналитики'!BH2480=0,21&lt;='01_Вводные'!$B$297),0,'19_Расчет_аналитики'!BH2480*IF('01_Вводные'!$B$239="Да",MeanMinAge21+'19_Расчет_аналитики'!BH2583*SUMIF(ThresholdAge21,"&lt;"&amp;'19_Расчет_аналитики'!BH2583,WeightedRevAge21)-SUMIF(ThresholdAge21,"&lt;"&amp;'19_Расчет_аналитики'!BH2583,WeightedMinAge21),MAX(CapacityAge21*'01_Вводные'!$B$218*'19_Расчет_аналитики'!BH2583,MeanMinAge21)))</f>
        <v/>
      </c>
      <c r="BI2508">
        <f>IF(OR('19_Расчет_аналитики'!BI2480=0,21&lt;='01_Вводные'!$B$297),0,'19_Расчет_аналитики'!BI2480*IF('01_Вводные'!$B$239="Да",MeanMinAge21+'19_Расчет_аналитики'!BI2583*SUMIF(ThresholdAge21,"&lt;"&amp;'19_Расчет_аналитики'!BI2583,WeightedRevAge21)-SUMIF(ThresholdAge21,"&lt;"&amp;'19_Расчет_аналитики'!BI2583,WeightedMinAge21),MAX(CapacityAge21*'01_Вводные'!$B$218*'19_Расчет_аналитики'!BI2583,MeanMinAge21)))</f>
        <v/>
      </c>
      <c r="BJ2508">
        <f>IF(OR('19_Расчет_аналитики'!BJ2480=0,21&lt;='01_Вводные'!$B$297),0,'19_Расчет_аналитики'!BJ2480*IF('01_Вводные'!$B$239="Да",MeanMinAge21+'19_Расчет_аналитики'!BJ2583*SUMIF(ThresholdAge21,"&lt;"&amp;'19_Расчет_аналитики'!BJ2583,WeightedRevAge21)-SUMIF(ThresholdAge21,"&lt;"&amp;'19_Расчет_аналитики'!BJ2583,WeightedMinAge21),MAX(CapacityAge21*'01_Вводные'!$B$218*'19_Расчет_аналитики'!BJ2583,MeanMinAge21)))</f>
        <v/>
      </c>
      <c r="BK2508">
        <f>IF(OR('19_Расчет_аналитики'!BK2480=0,21&lt;='01_Вводные'!$B$297),0,'19_Расчет_аналитики'!BK2480*IF('01_Вводные'!$B$239="Да",MeanMinAge21+'19_Расчет_аналитики'!BK2583*SUMIF(ThresholdAge21,"&lt;"&amp;'19_Расчет_аналитики'!BK2583,WeightedRevAge21)-SUMIF(ThresholdAge21,"&lt;"&amp;'19_Расчет_аналитики'!BK2583,WeightedMinAge21),MAX(CapacityAge21*'01_Вводные'!$B$218*'19_Расчет_аналитики'!BK2583,MeanMinAge21)))</f>
        <v/>
      </c>
      <c r="BL2508">
        <f>IF(OR('19_Расчет_аналитики'!BL2480=0,21&lt;='01_Вводные'!$B$297),0,'19_Расчет_аналитики'!BL2480*IF('01_Вводные'!$B$239="Да",MeanMinAge21+'19_Расчет_аналитики'!BL2583*SUMIF(ThresholdAge21,"&lt;"&amp;'19_Расчет_аналитики'!BL2583,WeightedRevAge21)-SUMIF(ThresholdAge21,"&lt;"&amp;'19_Расчет_аналитики'!BL2583,WeightedMinAge21),MAX(CapacityAge21*'01_Вводные'!$B$218*'19_Расчет_аналитики'!BL2583,MeanMinAge21)))</f>
        <v/>
      </c>
      <c r="BM2508">
        <f>IF(OR('19_Расчет_аналитики'!BM2480=0,21&lt;='01_Вводные'!$B$297),0,'19_Расчет_аналитики'!BM2480*IF('01_Вводные'!$B$239="Да",MeanMinAge21+'19_Расчет_аналитики'!BM2583*SUMIF(ThresholdAge21,"&lt;"&amp;'19_Расчет_аналитики'!BM2583,WeightedRevAge21)-SUMIF(ThresholdAge21,"&lt;"&amp;'19_Расчет_аналитики'!BM2583,WeightedMinAge21),MAX(CapacityAge21*'01_Вводные'!$B$218*'19_Расчет_аналитики'!BM2583,MeanMinAge21)))</f>
        <v/>
      </c>
      <c r="BN2508">
        <f>IF(OR('19_Расчет_аналитики'!BN2480=0,21&lt;='01_Вводные'!$B$297),0,'19_Расчет_аналитики'!BN2480*IF('01_Вводные'!$B$239="Да",MeanMinAge21+'19_Расчет_аналитики'!BN2583*SUMIF(ThresholdAge21,"&lt;"&amp;'19_Расчет_аналитики'!BN2583,WeightedRevAge21)-SUMIF(ThresholdAge21,"&lt;"&amp;'19_Расчет_аналитики'!BN2583,WeightedMinAge21),MAX(CapacityAge21*'01_Вводные'!$B$218*'19_Расчет_аналитики'!BN2583,MeanMinAge21)))</f>
        <v/>
      </c>
      <c r="BO2508">
        <f>IF(OR('19_Расчет_аналитики'!BO2480=0,21&lt;='01_Вводные'!$B$297),0,'19_Расчет_аналитики'!BO2480*IF('01_Вводные'!$B$239="Да",MeanMinAge21+'19_Расчет_аналитики'!BO2583*SUMIF(ThresholdAge21,"&lt;"&amp;'19_Расчет_аналитики'!BO2583,WeightedRevAge21)-SUMIF(ThresholdAge21,"&lt;"&amp;'19_Расчет_аналитики'!BO2583,WeightedMinAge21),MAX(CapacityAge21*'01_Вводные'!$B$218*'19_Расчет_аналитики'!BO2583,MeanMinAge21)))</f>
        <v/>
      </c>
    </row>
    <row r="2509">
      <c r="B2509">
        <f>IF(OR('06_Сеть_и_дети'!B102=0,22&lt;='01_Вводные'!$B$297),0,'06_Сеть_и_дети'!B102*IF('01_Вводные'!$B$239="Да",MeanMinAge22+'19_Расчет_аналитики'!B2583*SUMIF(ThresholdAge22,"&lt;"&amp;'19_Расчет_аналитики'!B2583,WeightedRevAge22)-SUMIF(ThresholdAge22,"&lt;"&amp;'19_Расчет_аналитики'!B2583,WeightedMinAge22),MAX(CapacityAge22*'01_Вводные'!$B$218*'19_Расчет_аналитики'!B2583,MeanMinAge22)))</f>
        <v/>
      </c>
      <c r="C2509">
        <f>IF(OR('06_Сеть_и_дети'!C102=0,22&lt;='01_Вводные'!$B$297),0,'06_Сеть_и_дети'!C102*IF('01_Вводные'!$B$239="Да",MeanMinAge22+'19_Расчет_аналитики'!C2583*SUMIF(ThresholdAge22,"&lt;"&amp;'19_Расчет_аналитики'!C2583,WeightedRevAge22)-SUMIF(ThresholdAge22,"&lt;"&amp;'19_Расчет_аналитики'!C2583,WeightedMinAge22),MAX(CapacityAge22*'01_Вводные'!$B$218*'19_Расчет_аналитики'!C2583,MeanMinAge22)))</f>
        <v/>
      </c>
      <c r="D2509">
        <f>IF(OR('06_Сеть_и_дети'!D102=0,22&lt;='01_Вводные'!$B$297),0,'06_Сеть_и_дети'!D102*IF('01_Вводные'!$B$239="Да",MeanMinAge22+'19_Расчет_аналитики'!D2583*SUMIF(ThresholdAge22,"&lt;"&amp;'19_Расчет_аналитики'!D2583,WeightedRevAge22)-SUMIF(ThresholdAge22,"&lt;"&amp;'19_Расчет_аналитики'!D2583,WeightedMinAge22),MAX(CapacityAge22*'01_Вводные'!$B$218*'19_Расчет_аналитики'!D2583,MeanMinAge22)))</f>
        <v/>
      </c>
      <c r="E2509">
        <f>IF(OR('06_Сеть_и_дети'!E102=0,22&lt;='01_Вводные'!$B$297),0,'06_Сеть_и_дети'!E102*IF('01_Вводные'!$B$239="Да",MeanMinAge22+'19_Расчет_аналитики'!E2583*SUMIF(ThresholdAge22,"&lt;"&amp;'19_Расчет_аналитики'!E2583,WeightedRevAge22)-SUMIF(ThresholdAge22,"&lt;"&amp;'19_Расчет_аналитики'!E2583,WeightedMinAge22),MAX(CapacityAge22*'01_Вводные'!$B$218*'19_Расчет_аналитики'!E2583,MeanMinAge22)))</f>
        <v/>
      </c>
      <c r="F2509">
        <f>IF(OR('06_Сеть_и_дети'!F102=0,22&lt;='01_Вводные'!$B$297),0,'06_Сеть_и_дети'!F102*IF('01_Вводные'!$B$239="Да",MeanMinAge22+'19_Расчет_аналитики'!F2583*SUMIF(ThresholdAge22,"&lt;"&amp;'19_Расчет_аналитики'!F2583,WeightedRevAge22)-SUMIF(ThresholdAge22,"&lt;"&amp;'19_Расчет_аналитики'!F2583,WeightedMinAge22),MAX(CapacityAge22*'01_Вводные'!$B$218*'19_Расчет_аналитики'!F2583,MeanMinAge22)))</f>
        <v/>
      </c>
      <c r="G2509">
        <f>IF(OR('06_Сеть_и_дети'!G102=0,22&lt;='01_Вводные'!$B$297),0,'06_Сеть_и_дети'!G102*IF('01_Вводные'!$B$239="Да",MeanMinAge22+'19_Расчет_аналитики'!G2583*SUMIF(ThresholdAge22,"&lt;"&amp;'19_Расчет_аналитики'!G2583,WeightedRevAge22)-SUMIF(ThresholdAge22,"&lt;"&amp;'19_Расчет_аналитики'!G2583,WeightedMinAge22),MAX(CapacityAge22*'01_Вводные'!$B$218*'19_Расчет_аналитики'!G2583,MeanMinAge22)))</f>
        <v/>
      </c>
      <c r="H2509">
        <f>IF(OR('06_Сеть_и_дети'!H102=0,22&lt;='01_Вводные'!$B$297),0,'06_Сеть_и_дети'!H102*IF('01_Вводные'!$B$239="Да",MeanMinAge22+'19_Расчет_аналитики'!H2583*SUMIF(ThresholdAge22,"&lt;"&amp;'19_Расчет_аналитики'!H2583,WeightedRevAge22)-SUMIF(ThresholdAge22,"&lt;"&amp;'19_Расчет_аналитики'!H2583,WeightedMinAge22),MAX(CapacityAge22*'01_Вводные'!$B$218*'19_Расчет_аналитики'!H2583,MeanMinAge22)))</f>
        <v/>
      </c>
      <c r="I2509">
        <f>IF(OR('06_Сеть_и_дети'!I102=0,22&lt;='01_Вводные'!$B$297),0,'06_Сеть_и_дети'!I102*IF('01_Вводные'!$B$239="Да",MeanMinAge22+'19_Расчет_аналитики'!I2583*SUMIF(ThresholdAge22,"&lt;"&amp;'19_Расчет_аналитики'!I2583,WeightedRevAge22)-SUMIF(ThresholdAge22,"&lt;"&amp;'19_Расчет_аналитики'!I2583,WeightedMinAge22),MAX(CapacityAge22*'01_Вводные'!$B$218*'19_Расчет_аналитики'!I2583,MeanMinAge22)))</f>
        <v/>
      </c>
      <c r="J2509">
        <f>IF(OR('06_Сеть_и_дети'!J102=0,22&lt;='01_Вводные'!$B$297),0,'06_Сеть_и_дети'!J102*IF('01_Вводные'!$B$239="Да",MeanMinAge22+'19_Расчет_аналитики'!J2583*SUMIF(ThresholdAge22,"&lt;"&amp;'19_Расчет_аналитики'!J2583,WeightedRevAge22)-SUMIF(ThresholdAge22,"&lt;"&amp;'19_Расчет_аналитики'!J2583,WeightedMinAge22),MAX(CapacityAge22*'01_Вводные'!$B$218*'19_Расчет_аналитики'!J2583,MeanMinAge22)))</f>
        <v/>
      </c>
      <c r="K2509">
        <f>IF(OR('06_Сеть_и_дети'!K102=0,22&lt;='01_Вводные'!$B$297),0,'06_Сеть_и_дети'!K102*IF('01_Вводные'!$B$239="Да",MeanMinAge22+'19_Расчет_аналитики'!K2583*SUMIF(ThresholdAge22,"&lt;"&amp;'19_Расчет_аналитики'!K2583,WeightedRevAge22)-SUMIF(ThresholdAge22,"&lt;"&amp;'19_Расчет_аналитики'!K2583,WeightedMinAge22),MAX(CapacityAge22*'01_Вводные'!$B$218*'19_Расчет_аналитики'!K2583,MeanMinAge22)))</f>
        <v/>
      </c>
      <c r="L2509">
        <f>IF(OR('06_Сеть_и_дети'!L102=0,22&lt;='01_Вводные'!$B$297),0,'06_Сеть_и_дети'!L102*IF('01_Вводные'!$B$239="Да",MeanMinAge22+'19_Расчет_аналитики'!L2583*SUMIF(ThresholdAge22,"&lt;"&amp;'19_Расчет_аналитики'!L2583,WeightedRevAge22)-SUMIF(ThresholdAge22,"&lt;"&amp;'19_Расчет_аналитики'!L2583,WeightedMinAge22),MAX(CapacityAge22*'01_Вводные'!$B$218*'19_Расчет_аналитики'!L2583,MeanMinAge22)))</f>
        <v/>
      </c>
      <c r="M2509">
        <f>IF(OR('06_Сеть_и_дети'!M102=0,22&lt;='01_Вводные'!$B$297),0,'06_Сеть_и_дети'!M102*IF('01_Вводные'!$B$239="Да",MeanMinAge22+'19_Расчет_аналитики'!M2583*SUMIF(ThresholdAge22,"&lt;"&amp;'19_Расчет_аналитики'!M2583,WeightedRevAge22)-SUMIF(ThresholdAge22,"&lt;"&amp;'19_Расчет_аналитики'!M2583,WeightedMinAge22),MAX(CapacityAge22*'01_Вводные'!$B$218*'19_Расчет_аналитики'!M2583,MeanMinAge22)))</f>
        <v/>
      </c>
      <c r="N2509">
        <f>IF(OR('06_Сеть_и_дети'!N102=0,22&lt;='01_Вводные'!$B$297),0,'06_Сеть_и_дети'!N102*IF('01_Вводные'!$B$239="Да",MeanMinAge22+'19_Расчет_аналитики'!N2583*SUMIF(ThresholdAge22,"&lt;"&amp;'19_Расчет_аналитики'!N2583,WeightedRevAge22)-SUMIF(ThresholdAge22,"&lt;"&amp;'19_Расчет_аналитики'!N2583,WeightedMinAge22),MAX(CapacityAge22*'01_Вводные'!$B$218*'19_Расчет_аналитики'!N2583,MeanMinAge22)))</f>
        <v/>
      </c>
      <c r="O2509">
        <f>IF(OR('06_Сеть_и_дети'!O102=0,22&lt;='01_Вводные'!$B$297),0,'06_Сеть_и_дети'!O102*IF('01_Вводные'!$B$239="Да",MeanMinAge22+'19_Расчет_аналитики'!O2583*SUMIF(ThresholdAge22,"&lt;"&amp;'19_Расчет_аналитики'!O2583,WeightedRevAge22)-SUMIF(ThresholdAge22,"&lt;"&amp;'19_Расчет_аналитики'!O2583,WeightedMinAge22),MAX(CapacityAge22*'01_Вводные'!$B$218*'19_Расчет_аналитики'!O2583,MeanMinAge22)))</f>
        <v/>
      </c>
      <c r="P2509">
        <f>IF(OR('06_Сеть_и_дети'!P102=0,22&lt;='01_Вводные'!$B$297),0,'06_Сеть_и_дети'!P102*IF('01_Вводные'!$B$239="Да",MeanMinAge22+'19_Расчет_аналитики'!P2583*SUMIF(ThresholdAge22,"&lt;"&amp;'19_Расчет_аналитики'!P2583,WeightedRevAge22)-SUMIF(ThresholdAge22,"&lt;"&amp;'19_Расчет_аналитики'!P2583,WeightedMinAge22),MAX(CapacityAge22*'01_Вводные'!$B$218*'19_Расчет_аналитики'!P2583,MeanMinAge22)))</f>
        <v/>
      </c>
      <c r="Q2509">
        <f>IF(OR('06_Сеть_и_дети'!Q102=0,22&lt;='01_Вводные'!$B$297),0,'06_Сеть_и_дети'!Q102*IF('01_Вводные'!$B$239="Да",MeanMinAge22+'19_Расчет_аналитики'!Q2583*SUMIF(ThresholdAge22,"&lt;"&amp;'19_Расчет_аналитики'!Q2583,WeightedRevAge22)-SUMIF(ThresholdAge22,"&lt;"&amp;'19_Расчет_аналитики'!Q2583,WeightedMinAge22),MAX(CapacityAge22*'01_Вводные'!$B$218*'19_Расчет_аналитики'!Q2583,MeanMinAge22)))</f>
        <v/>
      </c>
      <c r="R2509">
        <f>IF(OR('06_Сеть_и_дети'!R102=0,22&lt;='01_Вводные'!$B$297),0,'06_Сеть_и_дети'!R102*IF('01_Вводные'!$B$239="Да",MeanMinAge22+'19_Расчет_аналитики'!R2583*SUMIF(ThresholdAge22,"&lt;"&amp;'19_Расчет_аналитики'!R2583,WeightedRevAge22)-SUMIF(ThresholdAge22,"&lt;"&amp;'19_Расчет_аналитики'!R2583,WeightedMinAge22),MAX(CapacityAge22*'01_Вводные'!$B$218*'19_Расчет_аналитики'!R2583,MeanMinAge22)))</f>
        <v/>
      </c>
      <c r="S2509">
        <f>IF(OR('06_Сеть_и_дети'!S102=0,22&lt;='01_Вводные'!$B$297),0,'06_Сеть_и_дети'!S102*IF('01_Вводные'!$B$239="Да",MeanMinAge22+'19_Расчет_аналитики'!S2583*SUMIF(ThresholdAge22,"&lt;"&amp;'19_Расчет_аналитики'!S2583,WeightedRevAge22)-SUMIF(ThresholdAge22,"&lt;"&amp;'19_Расчет_аналитики'!S2583,WeightedMinAge22),MAX(CapacityAge22*'01_Вводные'!$B$218*'19_Расчет_аналитики'!S2583,MeanMinAge22)))</f>
        <v/>
      </c>
      <c r="T2509">
        <f>IF(OR('06_Сеть_и_дети'!T102=0,22&lt;='01_Вводные'!$B$297),0,'06_Сеть_и_дети'!T102*IF('01_Вводные'!$B$239="Да",MeanMinAge22+'19_Расчет_аналитики'!T2583*SUMIF(ThresholdAge22,"&lt;"&amp;'19_Расчет_аналитики'!T2583,WeightedRevAge22)-SUMIF(ThresholdAge22,"&lt;"&amp;'19_Расчет_аналитики'!T2583,WeightedMinAge22),MAX(CapacityAge22*'01_Вводные'!$B$218*'19_Расчет_аналитики'!T2583,MeanMinAge22)))</f>
        <v/>
      </c>
      <c r="U2509">
        <f>IF(OR('06_Сеть_и_дети'!U102=0,22&lt;='01_Вводные'!$B$297),0,'06_Сеть_и_дети'!U102*IF('01_Вводные'!$B$239="Да",MeanMinAge22+'19_Расчет_аналитики'!U2583*SUMIF(ThresholdAge22,"&lt;"&amp;'19_Расчет_аналитики'!U2583,WeightedRevAge22)-SUMIF(ThresholdAge22,"&lt;"&amp;'19_Расчет_аналитики'!U2583,WeightedMinAge22),MAX(CapacityAge22*'01_Вводные'!$B$218*'19_Расчет_аналитики'!U2583,MeanMinAge22)))</f>
        <v/>
      </c>
      <c r="V2509">
        <f>IF(OR('06_Сеть_и_дети'!V102=0,22&lt;='01_Вводные'!$B$297),0,'06_Сеть_и_дети'!V102*IF('01_Вводные'!$B$239="Да",MeanMinAge22+'19_Расчет_аналитики'!V2583*SUMIF(ThresholdAge22,"&lt;"&amp;'19_Расчет_аналитики'!V2583,WeightedRevAge22)-SUMIF(ThresholdAge22,"&lt;"&amp;'19_Расчет_аналитики'!V2583,WeightedMinAge22),MAX(CapacityAge22*'01_Вводные'!$B$218*'19_Расчет_аналитики'!V2583,MeanMinAge22)))</f>
        <v/>
      </c>
      <c r="W2509">
        <f>IF(OR('19_Расчет_аналитики'!W2481=0,22&lt;='01_Вводные'!$B$297),0,'19_Расчет_аналитики'!W2481*IF('01_Вводные'!$B$239="Да",MeanMinAge22+'19_Расчет_аналитики'!W2583*SUMIF(ThresholdAge22,"&lt;"&amp;'19_Расчет_аналитики'!W2583,WeightedRevAge22)-SUMIF(ThresholdAge22,"&lt;"&amp;'19_Расчет_аналитики'!W2583,WeightedMinAge22),MAX(CapacityAge22*'01_Вводные'!$B$218*'19_Расчет_аналитики'!W2583,MeanMinAge22)))</f>
        <v/>
      </c>
      <c r="X2509">
        <f>IF(OR('19_Расчет_аналитики'!X2481=0,22&lt;='01_Вводные'!$B$297),0,'19_Расчет_аналитики'!X2481*IF('01_Вводные'!$B$239="Да",MeanMinAge22+'19_Расчет_аналитики'!X2583*SUMIF(ThresholdAge22,"&lt;"&amp;'19_Расчет_аналитики'!X2583,WeightedRevAge22)-SUMIF(ThresholdAge22,"&lt;"&amp;'19_Расчет_аналитики'!X2583,WeightedMinAge22),MAX(CapacityAge22*'01_Вводные'!$B$218*'19_Расчет_аналитики'!X2583,MeanMinAge22)))</f>
        <v/>
      </c>
      <c r="Y2509">
        <f>IF(OR('19_Расчет_аналитики'!Y2481=0,22&lt;='01_Вводные'!$B$297),0,'19_Расчет_аналитики'!Y2481*IF('01_Вводные'!$B$239="Да",MeanMinAge22+'19_Расчет_аналитики'!Y2583*SUMIF(ThresholdAge22,"&lt;"&amp;'19_Расчет_аналитики'!Y2583,WeightedRevAge22)-SUMIF(ThresholdAge22,"&lt;"&amp;'19_Расчет_аналитики'!Y2583,WeightedMinAge22),MAX(CapacityAge22*'01_Вводные'!$B$218*'19_Расчет_аналитики'!Y2583,MeanMinAge22)))</f>
        <v/>
      </c>
      <c r="Z2509">
        <f>IF(OR('19_Расчет_аналитики'!Z2481=0,22&lt;='01_Вводные'!$B$297),0,'19_Расчет_аналитики'!Z2481*IF('01_Вводные'!$B$239="Да",MeanMinAge22+'19_Расчет_аналитики'!Z2583*SUMIF(ThresholdAge22,"&lt;"&amp;'19_Расчет_аналитики'!Z2583,WeightedRevAge22)-SUMIF(ThresholdAge22,"&lt;"&amp;'19_Расчет_аналитики'!Z2583,WeightedMinAge22),MAX(CapacityAge22*'01_Вводные'!$B$218*'19_Расчет_аналитики'!Z2583,MeanMinAge22)))</f>
        <v/>
      </c>
      <c r="AA2509">
        <f>IF(OR('19_Расчет_аналитики'!AA2481=0,22&lt;='01_Вводные'!$B$297),0,'19_Расчет_аналитики'!AA2481*IF('01_Вводные'!$B$239="Да",MeanMinAge22+'19_Расчет_аналитики'!AA2583*SUMIF(ThresholdAge22,"&lt;"&amp;'19_Расчет_аналитики'!AA2583,WeightedRevAge22)-SUMIF(ThresholdAge22,"&lt;"&amp;'19_Расчет_аналитики'!AA2583,WeightedMinAge22),MAX(CapacityAge22*'01_Вводные'!$B$218*'19_Расчет_аналитики'!AA2583,MeanMinAge22)))</f>
        <v/>
      </c>
      <c r="AB2509">
        <f>IF(OR('19_Расчет_аналитики'!AB2481=0,22&lt;='01_Вводные'!$B$297),0,'19_Расчет_аналитики'!AB2481*IF('01_Вводные'!$B$239="Да",MeanMinAge22+'19_Расчет_аналитики'!AB2583*SUMIF(ThresholdAge22,"&lt;"&amp;'19_Расчет_аналитики'!AB2583,WeightedRevAge22)-SUMIF(ThresholdAge22,"&lt;"&amp;'19_Расчет_аналитики'!AB2583,WeightedMinAge22),MAX(CapacityAge22*'01_Вводные'!$B$218*'19_Расчет_аналитики'!AB2583,MeanMinAge22)))</f>
        <v/>
      </c>
      <c r="AC2509">
        <f>IF(OR('19_Расчет_аналитики'!AC2481=0,22&lt;='01_Вводные'!$B$297),0,'19_Расчет_аналитики'!AC2481*IF('01_Вводные'!$B$239="Да",MeanMinAge22+'19_Расчет_аналитики'!AC2583*SUMIF(ThresholdAge22,"&lt;"&amp;'19_Расчет_аналитики'!AC2583,WeightedRevAge22)-SUMIF(ThresholdAge22,"&lt;"&amp;'19_Расчет_аналитики'!AC2583,WeightedMinAge22),MAX(CapacityAge22*'01_Вводные'!$B$218*'19_Расчет_аналитики'!AC2583,MeanMinAge22)))</f>
        <v/>
      </c>
      <c r="AD2509">
        <f>IF(OR('19_Расчет_аналитики'!AD2481=0,22&lt;='01_Вводные'!$B$297),0,'19_Расчет_аналитики'!AD2481*IF('01_Вводные'!$B$239="Да",MeanMinAge22+'19_Расчет_аналитики'!AD2583*SUMIF(ThresholdAge22,"&lt;"&amp;'19_Расчет_аналитики'!AD2583,WeightedRevAge22)-SUMIF(ThresholdAge22,"&lt;"&amp;'19_Расчет_аналитики'!AD2583,WeightedMinAge22),MAX(CapacityAge22*'01_Вводные'!$B$218*'19_Расчет_аналитики'!AD2583,MeanMinAge22)))</f>
        <v/>
      </c>
      <c r="AE2509">
        <f>IF(OR('19_Расчет_аналитики'!AE2481=0,22&lt;='01_Вводные'!$B$297),0,'19_Расчет_аналитики'!AE2481*IF('01_Вводные'!$B$239="Да",MeanMinAge22+'19_Расчет_аналитики'!AE2583*SUMIF(ThresholdAge22,"&lt;"&amp;'19_Расчет_аналитики'!AE2583,WeightedRevAge22)-SUMIF(ThresholdAge22,"&lt;"&amp;'19_Расчет_аналитики'!AE2583,WeightedMinAge22),MAX(CapacityAge22*'01_Вводные'!$B$218*'19_Расчет_аналитики'!AE2583,MeanMinAge22)))</f>
        <v/>
      </c>
      <c r="AF2509">
        <f>IF(OR('19_Расчет_аналитики'!AF2481=0,22&lt;='01_Вводные'!$B$297),0,'19_Расчет_аналитики'!AF2481*IF('01_Вводные'!$B$239="Да",MeanMinAge22+'19_Расчет_аналитики'!AF2583*SUMIF(ThresholdAge22,"&lt;"&amp;'19_Расчет_аналитики'!AF2583,WeightedRevAge22)-SUMIF(ThresholdAge22,"&lt;"&amp;'19_Расчет_аналитики'!AF2583,WeightedMinAge22),MAX(CapacityAge22*'01_Вводные'!$B$218*'19_Расчет_аналитики'!AF2583,MeanMinAge22)))</f>
        <v/>
      </c>
      <c r="AG2509">
        <f>IF(OR('19_Расчет_аналитики'!AG2481=0,22&lt;='01_Вводные'!$B$297),0,'19_Расчет_аналитики'!AG2481*IF('01_Вводные'!$B$239="Да",MeanMinAge22+'19_Расчет_аналитики'!AG2583*SUMIF(ThresholdAge22,"&lt;"&amp;'19_Расчет_аналитики'!AG2583,WeightedRevAge22)-SUMIF(ThresholdAge22,"&lt;"&amp;'19_Расчет_аналитики'!AG2583,WeightedMinAge22),MAX(CapacityAge22*'01_Вводные'!$B$218*'19_Расчет_аналитики'!AG2583,MeanMinAge22)))</f>
        <v/>
      </c>
      <c r="AH2509">
        <f>IF(OR('19_Расчет_аналитики'!AH2481=0,22&lt;='01_Вводные'!$B$297),0,'19_Расчет_аналитики'!AH2481*IF('01_Вводные'!$B$239="Да",MeanMinAge22+'19_Расчет_аналитики'!AH2583*SUMIF(ThresholdAge22,"&lt;"&amp;'19_Расчет_аналитики'!AH2583,WeightedRevAge22)-SUMIF(ThresholdAge22,"&lt;"&amp;'19_Расчет_аналитики'!AH2583,WeightedMinAge22),MAX(CapacityAge22*'01_Вводные'!$B$218*'19_Расчет_аналитики'!AH2583,MeanMinAge22)))</f>
        <v/>
      </c>
      <c r="AI2509">
        <f>IF(OR('19_Расчет_аналитики'!AI2481=0,22&lt;='01_Вводные'!$B$297),0,'19_Расчет_аналитики'!AI2481*IF('01_Вводные'!$B$239="Да",MeanMinAge22+'19_Расчет_аналитики'!AI2583*SUMIF(ThresholdAge22,"&lt;"&amp;'19_Расчет_аналитики'!AI2583,WeightedRevAge22)-SUMIF(ThresholdAge22,"&lt;"&amp;'19_Расчет_аналитики'!AI2583,WeightedMinAge22),MAX(CapacityAge22*'01_Вводные'!$B$218*'19_Расчет_аналитики'!AI2583,MeanMinAge22)))</f>
        <v/>
      </c>
      <c r="AJ2509">
        <f>IF(OR('19_Расчет_аналитики'!AJ2481=0,22&lt;='01_Вводные'!$B$297),0,'19_Расчет_аналитики'!AJ2481*IF('01_Вводные'!$B$239="Да",MeanMinAge22+'19_Расчет_аналитики'!AJ2583*SUMIF(ThresholdAge22,"&lt;"&amp;'19_Расчет_аналитики'!AJ2583,WeightedRevAge22)-SUMIF(ThresholdAge22,"&lt;"&amp;'19_Расчет_аналитики'!AJ2583,WeightedMinAge22),MAX(CapacityAge22*'01_Вводные'!$B$218*'19_Расчет_аналитики'!AJ2583,MeanMinAge22)))</f>
        <v/>
      </c>
      <c r="AK2509">
        <f>IF(OR('19_Расчет_аналитики'!AK2481=0,22&lt;='01_Вводные'!$B$297),0,'19_Расчет_аналитики'!AK2481*IF('01_Вводные'!$B$239="Да",MeanMinAge22+'19_Расчет_аналитики'!AK2583*SUMIF(ThresholdAge22,"&lt;"&amp;'19_Расчет_аналитики'!AK2583,WeightedRevAge22)-SUMIF(ThresholdAge22,"&lt;"&amp;'19_Расчет_аналитики'!AK2583,WeightedMinAge22),MAX(CapacityAge22*'01_Вводные'!$B$218*'19_Расчет_аналитики'!AK2583,MeanMinAge22)))</f>
        <v/>
      </c>
      <c r="AL2509">
        <f>IF(OR('19_Расчет_аналитики'!AL2481=0,22&lt;='01_Вводные'!$B$297),0,'19_Расчет_аналитики'!AL2481*IF('01_Вводные'!$B$239="Да",MeanMinAge22+'19_Расчет_аналитики'!AL2583*SUMIF(ThresholdAge22,"&lt;"&amp;'19_Расчет_аналитики'!AL2583,WeightedRevAge22)-SUMIF(ThresholdAge22,"&lt;"&amp;'19_Расчет_аналитики'!AL2583,WeightedMinAge22),MAX(CapacityAge22*'01_Вводные'!$B$218*'19_Расчет_аналитики'!AL2583,MeanMinAge22)))</f>
        <v/>
      </c>
      <c r="AM2509">
        <f>IF(OR('19_Расчет_аналитики'!AM2481=0,22&lt;='01_Вводные'!$B$297),0,'19_Расчет_аналитики'!AM2481*IF('01_Вводные'!$B$239="Да",MeanMinAge22+'19_Расчет_аналитики'!AM2583*SUMIF(ThresholdAge22,"&lt;"&amp;'19_Расчет_аналитики'!AM2583,WeightedRevAge22)-SUMIF(ThresholdAge22,"&lt;"&amp;'19_Расчет_аналитики'!AM2583,WeightedMinAge22),MAX(CapacityAge22*'01_Вводные'!$B$218*'19_Расчет_аналитики'!AM2583,MeanMinAge22)))</f>
        <v/>
      </c>
      <c r="AN2509">
        <f>IF(OR('19_Расчет_аналитики'!AN2481=0,22&lt;='01_Вводные'!$B$297),0,'19_Расчет_аналитики'!AN2481*IF('01_Вводные'!$B$239="Да",MeanMinAge22+'19_Расчет_аналитики'!AN2583*SUMIF(ThresholdAge22,"&lt;"&amp;'19_Расчет_аналитики'!AN2583,WeightedRevAge22)-SUMIF(ThresholdAge22,"&lt;"&amp;'19_Расчет_аналитики'!AN2583,WeightedMinAge22),MAX(CapacityAge22*'01_Вводные'!$B$218*'19_Расчет_аналитики'!AN2583,MeanMinAge22)))</f>
        <v/>
      </c>
      <c r="AO2509">
        <f>IF(OR('19_Расчет_аналитики'!AO2481=0,22&lt;='01_Вводные'!$B$297),0,'19_Расчет_аналитики'!AO2481*IF('01_Вводные'!$B$239="Да",MeanMinAge22+'19_Расчет_аналитики'!AO2583*SUMIF(ThresholdAge22,"&lt;"&amp;'19_Расчет_аналитики'!AO2583,WeightedRevAge22)-SUMIF(ThresholdAge22,"&lt;"&amp;'19_Расчет_аналитики'!AO2583,WeightedMinAge22),MAX(CapacityAge22*'01_Вводные'!$B$218*'19_Расчет_аналитики'!AO2583,MeanMinAge22)))</f>
        <v/>
      </c>
      <c r="AP2509">
        <f>IF(OR('19_Расчет_аналитики'!AP2481=0,22&lt;='01_Вводные'!$B$297),0,'19_Расчет_аналитики'!AP2481*IF('01_Вводные'!$B$239="Да",MeanMinAge22+'19_Расчет_аналитики'!AP2583*SUMIF(ThresholdAge22,"&lt;"&amp;'19_Расчет_аналитики'!AP2583,WeightedRevAge22)-SUMIF(ThresholdAge22,"&lt;"&amp;'19_Расчет_аналитики'!AP2583,WeightedMinAge22),MAX(CapacityAge22*'01_Вводные'!$B$218*'19_Расчет_аналитики'!AP2583,MeanMinAge22)))</f>
        <v/>
      </c>
      <c r="AQ2509">
        <f>IF(OR('19_Расчет_аналитики'!AQ2481=0,22&lt;='01_Вводные'!$B$297),0,'19_Расчет_аналитики'!AQ2481*IF('01_Вводные'!$B$239="Да",MeanMinAge22+'19_Расчет_аналитики'!AQ2583*SUMIF(ThresholdAge22,"&lt;"&amp;'19_Расчет_аналитики'!AQ2583,WeightedRevAge22)-SUMIF(ThresholdAge22,"&lt;"&amp;'19_Расчет_аналитики'!AQ2583,WeightedMinAge22),MAX(CapacityAge22*'01_Вводные'!$B$218*'19_Расчет_аналитики'!AQ2583,MeanMinAge22)))</f>
        <v/>
      </c>
      <c r="AR2509">
        <f>IF(OR('19_Расчет_аналитики'!AR2481=0,22&lt;='01_Вводные'!$B$297),0,'19_Расчет_аналитики'!AR2481*IF('01_Вводные'!$B$239="Да",MeanMinAge22+'19_Расчет_аналитики'!AR2583*SUMIF(ThresholdAge22,"&lt;"&amp;'19_Расчет_аналитики'!AR2583,WeightedRevAge22)-SUMIF(ThresholdAge22,"&lt;"&amp;'19_Расчет_аналитики'!AR2583,WeightedMinAge22),MAX(CapacityAge22*'01_Вводные'!$B$218*'19_Расчет_аналитики'!AR2583,MeanMinAge22)))</f>
        <v/>
      </c>
      <c r="AS2509">
        <f>IF(OR('19_Расчет_аналитики'!AS2481=0,22&lt;='01_Вводные'!$B$297),0,'19_Расчет_аналитики'!AS2481*IF('01_Вводные'!$B$239="Да",MeanMinAge22+'19_Расчет_аналитики'!AS2583*SUMIF(ThresholdAge22,"&lt;"&amp;'19_Расчет_аналитики'!AS2583,WeightedRevAge22)-SUMIF(ThresholdAge22,"&lt;"&amp;'19_Расчет_аналитики'!AS2583,WeightedMinAge22),MAX(CapacityAge22*'01_Вводные'!$B$218*'19_Расчет_аналитики'!AS2583,MeanMinAge22)))</f>
        <v/>
      </c>
      <c r="AT2509">
        <f>IF(OR('19_Расчет_аналитики'!AT2481=0,22&lt;='01_Вводные'!$B$297),0,'19_Расчет_аналитики'!AT2481*IF('01_Вводные'!$B$239="Да",MeanMinAge22+'19_Расчет_аналитики'!AT2583*SUMIF(ThresholdAge22,"&lt;"&amp;'19_Расчет_аналитики'!AT2583,WeightedRevAge22)-SUMIF(ThresholdAge22,"&lt;"&amp;'19_Расчет_аналитики'!AT2583,WeightedMinAge22),MAX(CapacityAge22*'01_Вводные'!$B$218*'19_Расчет_аналитики'!AT2583,MeanMinAge22)))</f>
        <v/>
      </c>
      <c r="AU2509">
        <f>IF(OR('19_Расчет_аналитики'!AU2481=0,22&lt;='01_Вводные'!$B$297),0,'19_Расчет_аналитики'!AU2481*IF('01_Вводные'!$B$239="Да",MeanMinAge22+'19_Расчет_аналитики'!AU2583*SUMIF(ThresholdAge22,"&lt;"&amp;'19_Расчет_аналитики'!AU2583,WeightedRevAge22)-SUMIF(ThresholdAge22,"&lt;"&amp;'19_Расчет_аналитики'!AU2583,WeightedMinAge22),MAX(CapacityAge22*'01_Вводные'!$B$218*'19_Расчет_аналитики'!AU2583,MeanMinAge22)))</f>
        <v/>
      </c>
      <c r="AV2509">
        <f>IF(OR('19_Расчет_аналитики'!AV2481=0,22&lt;='01_Вводные'!$B$297),0,'19_Расчет_аналитики'!AV2481*IF('01_Вводные'!$B$239="Да",MeanMinAge22+'19_Расчет_аналитики'!AV2583*SUMIF(ThresholdAge22,"&lt;"&amp;'19_Расчет_аналитики'!AV2583,WeightedRevAge22)-SUMIF(ThresholdAge22,"&lt;"&amp;'19_Расчет_аналитики'!AV2583,WeightedMinAge22),MAX(CapacityAge22*'01_Вводные'!$B$218*'19_Расчет_аналитики'!AV2583,MeanMinAge22)))</f>
        <v/>
      </c>
      <c r="AW2509">
        <f>IF(OR('19_Расчет_аналитики'!AW2481=0,22&lt;='01_Вводные'!$B$297),0,'19_Расчет_аналитики'!AW2481*IF('01_Вводные'!$B$239="Да",MeanMinAge22+'19_Расчет_аналитики'!AW2583*SUMIF(ThresholdAge22,"&lt;"&amp;'19_Расчет_аналитики'!AW2583,WeightedRevAge22)-SUMIF(ThresholdAge22,"&lt;"&amp;'19_Расчет_аналитики'!AW2583,WeightedMinAge22),MAX(CapacityAge22*'01_Вводные'!$B$218*'19_Расчет_аналитики'!AW2583,MeanMinAge22)))</f>
        <v/>
      </c>
      <c r="AX2509">
        <f>IF(OR('19_Расчет_аналитики'!AX2481=0,22&lt;='01_Вводные'!$B$297),0,'19_Расчет_аналитики'!AX2481*IF('01_Вводные'!$B$239="Да",MeanMinAge22+'19_Расчет_аналитики'!AX2583*SUMIF(ThresholdAge22,"&lt;"&amp;'19_Расчет_аналитики'!AX2583,WeightedRevAge22)-SUMIF(ThresholdAge22,"&lt;"&amp;'19_Расчет_аналитики'!AX2583,WeightedMinAge22),MAX(CapacityAge22*'01_Вводные'!$B$218*'19_Расчет_аналитики'!AX2583,MeanMinAge22)))</f>
        <v/>
      </c>
      <c r="AY2509">
        <f>IF(OR('19_Расчет_аналитики'!AY2481=0,22&lt;='01_Вводные'!$B$297),0,'19_Расчет_аналитики'!AY2481*IF('01_Вводные'!$B$239="Да",MeanMinAge22+'19_Расчет_аналитики'!AY2583*SUMIF(ThresholdAge22,"&lt;"&amp;'19_Расчет_аналитики'!AY2583,WeightedRevAge22)-SUMIF(ThresholdAge22,"&lt;"&amp;'19_Расчет_аналитики'!AY2583,WeightedMinAge22),MAX(CapacityAge22*'01_Вводные'!$B$218*'19_Расчет_аналитики'!AY2583,MeanMinAge22)))</f>
        <v/>
      </c>
      <c r="AZ2509">
        <f>IF(OR('19_Расчет_аналитики'!AZ2481=0,22&lt;='01_Вводные'!$B$297),0,'19_Расчет_аналитики'!AZ2481*IF('01_Вводные'!$B$239="Да",MeanMinAge22+'19_Расчет_аналитики'!AZ2583*SUMIF(ThresholdAge22,"&lt;"&amp;'19_Расчет_аналитики'!AZ2583,WeightedRevAge22)-SUMIF(ThresholdAge22,"&lt;"&amp;'19_Расчет_аналитики'!AZ2583,WeightedMinAge22),MAX(CapacityAge22*'01_Вводные'!$B$218*'19_Расчет_аналитики'!AZ2583,MeanMinAge22)))</f>
        <v/>
      </c>
      <c r="BA2509">
        <f>IF(OR('19_Расчет_аналитики'!BA2481=0,22&lt;='01_Вводные'!$B$297),0,'19_Расчет_аналитики'!BA2481*IF('01_Вводные'!$B$239="Да",MeanMinAge22+'19_Расчет_аналитики'!BA2583*SUMIF(ThresholdAge22,"&lt;"&amp;'19_Расчет_аналитики'!BA2583,WeightedRevAge22)-SUMIF(ThresholdAge22,"&lt;"&amp;'19_Расчет_аналитики'!BA2583,WeightedMinAge22),MAX(CapacityAge22*'01_Вводные'!$B$218*'19_Расчет_аналитики'!BA2583,MeanMinAge22)))</f>
        <v/>
      </c>
      <c r="BB2509">
        <f>IF(OR('19_Расчет_аналитики'!BB2481=0,22&lt;='01_Вводные'!$B$297),0,'19_Расчет_аналитики'!BB2481*IF('01_Вводные'!$B$239="Да",MeanMinAge22+'19_Расчет_аналитики'!BB2583*SUMIF(ThresholdAge22,"&lt;"&amp;'19_Расчет_аналитики'!BB2583,WeightedRevAge22)-SUMIF(ThresholdAge22,"&lt;"&amp;'19_Расчет_аналитики'!BB2583,WeightedMinAge22),MAX(CapacityAge22*'01_Вводные'!$B$218*'19_Расчет_аналитики'!BB2583,MeanMinAge22)))</f>
        <v/>
      </c>
      <c r="BC2509">
        <f>IF(OR('19_Расчет_аналитики'!BC2481=0,22&lt;='01_Вводные'!$B$297),0,'19_Расчет_аналитики'!BC2481*IF('01_Вводные'!$B$239="Да",MeanMinAge22+'19_Расчет_аналитики'!BC2583*SUMIF(ThresholdAge22,"&lt;"&amp;'19_Расчет_аналитики'!BC2583,WeightedRevAge22)-SUMIF(ThresholdAge22,"&lt;"&amp;'19_Расчет_аналитики'!BC2583,WeightedMinAge22),MAX(CapacityAge22*'01_Вводные'!$B$218*'19_Расчет_аналитики'!BC2583,MeanMinAge22)))</f>
        <v/>
      </c>
      <c r="BD2509">
        <f>IF(OR('19_Расчет_аналитики'!BD2481=0,22&lt;='01_Вводные'!$B$297),0,'19_Расчет_аналитики'!BD2481*IF('01_Вводные'!$B$239="Да",MeanMinAge22+'19_Расчет_аналитики'!BD2583*SUMIF(ThresholdAge22,"&lt;"&amp;'19_Расчет_аналитики'!BD2583,WeightedRevAge22)-SUMIF(ThresholdAge22,"&lt;"&amp;'19_Расчет_аналитики'!BD2583,WeightedMinAge22),MAX(CapacityAge22*'01_Вводные'!$B$218*'19_Расчет_аналитики'!BD2583,MeanMinAge22)))</f>
        <v/>
      </c>
      <c r="BE2509">
        <f>IF(OR('19_Расчет_аналитики'!BE2481=0,22&lt;='01_Вводные'!$B$297),0,'19_Расчет_аналитики'!BE2481*IF('01_Вводные'!$B$239="Да",MeanMinAge22+'19_Расчет_аналитики'!BE2583*SUMIF(ThresholdAge22,"&lt;"&amp;'19_Расчет_аналитики'!BE2583,WeightedRevAge22)-SUMIF(ThresholdAge22,"&lt;"&amp;'19_Расчет_аналитики'!BE2583,WeightedMinAge22),MAX(CapacityAge22*'01_Вводные'!$B$218*'19_Расчет_аналитики'!BE2583,MeanMinAge22)))</f>
        <v/>
      </c>
      <c r="BF2509">
        <f>IF(OR('19_Расчет_аналитики'!BF2481=0,22&lt;='01_Вводные'!$B$297),0,'19_Расчет_аналитики'!BF2481*IF('01_Вводные'!$B$239="Да",MeanMinAge22+'19_Расчет_аналитики'!BF2583*SUMIF(ThresholdAge22,"&lt;"&amp;'19_Расчет_аналитики'!BF2583,WeightedRevAge22)-SUMIF(ThresholdAge22,"&lt;"&amp;'19_Расчет_аналитики'!BF2583,WeightedMinAge22),MAX(CapacityAge22*'01_Вводные'!$B$218*'19_Расчет_аналитики'!BF2583,MeanMinAge22)))</f>
        <v/>
      </c>
      <c r="BG2509">
        <f>IF(OR('19_Расчет_аналитики'!BG2481=0,22&lt;='01_Вводные'!$B$297),0,'19_Расчет_аналитики'!BG2481*IF('01_Вводные'!$B$239="Да",MeanMinAge22+'19_Расчет_аналитики'!BG2583*SUMIF(ThresholdAge22,"&lt;"&amp;'19_Расчет_аналитики'!BG2583,WeightedRevAge22)-SUMIF(ThresholdAge22,"&lt;"&amp;'19_Расчет_аналитики'!BG2583,WeightedMinAge22),MAX(CapacityAge22*'01_Вводные'!$B$218*'19_Расчет_аналитики'!BG2583,MeanMinAge22)))</f>
        <v/>
      </c>
      <c r="BH2509">
        <f>IF(OR('19_Расчет_аналитики'!BH2481=0,22&lt;='01_Вводные'!$B$297),0,'19_Расчет_аналитики'!BH2481*IF('01_Вводные'!$B$239="Да",MeanMinAge22+'19_Расчет_аналитики'!BH2583*SUMIF(ThresholdAge22,"&lt;"&amp;'19_Расчет_аналитики'!BH2583,WeightedRevAge22)-SUMIF(ThresholdAge22,"&lt;"&amp;'19_Расчет_аналитики'!BH2583,WeightedMinAge22),MAX(CapacityAge22*'01_Вводные'!$B$218*'19_Расчет_аналитики'!BH2583,MeanMinAge22)))</f>
        <v/>
      </c>
      <c r="BI2509">
        <f>IF(OR('19_Расчет_аналитики'!BI2481=0,22&lt;='01_Вводные'!$B$297),0,'19_Расчет_аналитики'!BI2481*IF('01_Вводные'!$B$239="Да",MeanMinAge22+'19_Расчет_аналитики'!BI2583*SUMIF(ThresholdAge22,"&lt;"&amp;'19_Расчет_аналитики'!BI2583,WeightedRevAge22)-SUMIF(ThresholdAge22,"&lt;"&amp;'19_Расчет_аналитики'!BI2583,WeightedMinAge22),MAX(CapacityAge22*'01_Вводные'!$B$218*'19_Расчет_аналитики'!BI2583,MeanMinAge22)))</f>
        <v/>
      </c>
      <c r="BJ2509">
        <f>IF(OR('19_Расчет_аналитики'!BJ2481=0,22&lt;='01_Вводные'!$B$297),0,'19_Расчет_аналитики'!BJ2481*IF('01_Вводные'!$B$239="Да",MeanMinAge22+'19_Расчет_аналитики'!BJ2583*SUMIF(ThresholdAge22,"&lt;"&amp;'19_Расчет_аналитики'!BJ2583,WeightedRevAge22)-SUMIF(ThresholdAge22,"&lt;"&amp;'19_Расчет_аналитики'!BJ2583,WeightedMinAge22),MAX(CapacityAge22*'01_Вводные'!$B$218*'19_Расчет_аналитики'!BJ2583,MeanMinAge22)))</f>
        <v/>
      </c>
      <c r="BK2509">
        <f>IF(OR('19_Расчет_аналитики'!BK2481=0,22&lt;='01_Вводные'!$B$297),0,'19_Расчет_аналитики'!BK2481*IF('01_Вводные'!$B$239="Да",MeanMinAge22+'19_Расчет_аналитики'!BK2583*SUMIF(ThresholdAge22,"&lt;"&amp;'19_Расчет_аналитики'!BK2583,WeightedRevAge22)-SUMIF(ThresholdAge22,"&lt;"&amp;'19_Расчет_аналитики'!BK2583,WeightedMinAge22),MAX(CapacityAge22*'01_Вводные'!$B$218*'19_Расчет_аналитики'!BK2583,MeanMinAge22)))</f>
        <v/>
      </c>
      <c r="BL2509">
        <f>IF(OR('19_Расчет_аналитики'!BL2481=0,22&lt;='01_Вводные'!$B$297),0,'19_Расчет_аналитики'!BL2481*IF('01_Вводные'!$B$239="Да",MeanMinAge22+'19_Расчет_аналитики'!BL2583*SUMIF(ThresholdAge22,"&lt;"&amp;'19_Расчет_аналитики'!BL2583,WeightedRevAge22)-SUMIF(ThresholdAge22,"&lt;"&amp;'19_Расчет_аналитики'!BL2583,WeightedMinAge22),MAX(CapacityAge22*'01_Вводные'!$B$218*'19_Расчет_аналитики'!BL2583,MeanMinAge22)))</f>
        <v/>
      </c>
      <c r="BM2509">
        <f>IF(OR('19_Расчет_аналитики'!BM2481=0,22&lt;='01_Вводные'!$B$297),0,'19_Расчет_аналитики'!BM2481*IF('01_Вводные'!$B$239="Да",MeanMinAge22+'19_Расчет_аналитики'!BM2583*SUMIF(ThresholdAge22,"&lt;"&amp;'19_Расчет_аналитики'!BM2583,WeightedRevAge22)-SUMIF(ThresholdAge22,"&lt;"&amp;'19_Расчет_аналитики'!BM2583,WeightedMinAge22),MAX(CapacityAge22*'01_Вводные'!$B$218*'19_Расчет_аналитики'!BM2583,MeanMinAge22)))</f>
        <v/>
      </c>
      <c r="BN2509">
        <f>IF(OR('19_Расчет_аналитики'!BN2481=0,22&lt;='01_Вводные'!$B$297),0,'19_Расчет_аналитики'!BN2481*IF('01_Вводные'!$B$239="Да",MeanMinAge22+'19_Расчет_аналитики'!BN2583*SUMIF(ThresholdAge22,"&lt;"&amp;'19_Расчет_аналитики'!BN2583,WeightedRevAge22)-SUMIF(ThresholdAge22,"&lt;"&amp;'19_Расчет_аналитики'!BN2583,WeightedMinAge22),MAX(CapacityAge22*'01_Вводные'!$B$218*'19_Расчет_аналитики'!BN2583,MeanMinAge22)))</f>
        <v/>
      </c>
      <c r="BO2509">
        <f>IF(OR('19_Расчет_аналитики'!BO2481=0,22&lt;='01_Вводные'!$B$297),0,'19_Расчет_аналитики'!BO2481*IF('01_Вводные'!$B$239="Да",MeanMinAge22+'19_Расчет_аналитики'!BO2583*SUMIF(ThresholdAge22,"&lt;"&amp;'19_Расчет_аналитики'!BO2583,WeightedRevAge22)-SUMIF(ThresholdAge22,"&lt;"&amp;'19_Расчет_аналитики'!BO2583,WeightedMinAge22),MAX(CapacityAge22*'01_Вводные'!$B$218*'19_Расчет_аналитики'!BO2583,MeanMinAge22)))</f>
        <v/>
      </c>
    </row>
    <row r="2510">
      <c r="B2510">
        <f>IF(OR('06_Сеть_и_дети'!B103=0,23&lt;='01_Вводные'!$B$297),0,'06_Сеть_и_дети'!B103*IF('01_Вводные'!$B$239="Да",MeanMinAge23+'19_Расчет_аналитики'!B2583*SUMIF(ThresholdAge23,"&lt;"&amp;'19_Расчет_аналитики'!B2583,WeightedRevAge23)-SUMIF(ThresholdAge23,"&lt;"&amp;'19_Расчет_аналитики'!B2583,WeightedMinAge23),MAX(CapacityAge23*'01_Вводные'!$B$218*'19_Расчет_аналитики'!B2583,MeanMinAge23)))</f>
        <v/>
      </c>
      <c r="C2510">
        <f>IF(OR('06_Сеть_и_дети'!C103=0,23&lt;='01_Вводные'!$B$297),0,'06_Сеть_и_дети'!C103*IF('01_Вводные'!$B$239="Да",MeanMinAge23+'19_Расчет_аналитики'!C2583*SUMIF(ThresholdAge23,"&lt;"&amp;'19_Расчет_аналитики'!C2583,WeightedRevAge23)-SUMIF(ThresholdAge23,"&lt;"&amp;'19_Расчет_аналитики'!C2583,WeightedMinAge23),MAX(CapacityAge23*'01_Вводные'!$B$218*'19_Расчет_аналитики'!C2583,MeanMinAge23)))</f>
        <v/>
      </c>
      <c r="D2510">
        <f>IF(OR('06_Сеть_и_дети'!D103=0,23&lt;='01_Вводные'!$B$297),0,'06_Сеть_и_дети'!D103*IF('01_Вводные'!$B$239="Да",MeanMinAge23+'19_Расчет_аналитики'!D2583*SUMIF(ThresholdAge23,"&lt;"&amp;'19_Расчет_аналитики'!D2583,WeightedRevAge23)-SUMIF(ThresholdAge23,"&lt;"&amp;'19_Расчет_аналитики'!D2583,WeightedMinAge23),MAX(CapacityAge23*'01_Вводные'!$B$218*'19_Расчет_аналитики'!D2583,MeanMinAge23)))</f>
        <v/>
      </c>
      <c r="E2510">
        <f>IF(OR('06_Сеть_и_дети'!E103=0,23&lt;='01_Вводные'!$B$297),0,'06_Сеть_и_дети'!E103*IF('01_Вводные'!$B$239="Да",MeanMinAge23+'19_Расчет_аналитики'!E2583*SUMIF(ThresholdAge23,"&lt;"&amp;'19_Расчет_аналитики'!E2583,WeightedRevAge23)-SUMIF(ThresholdAge23,"&lt;"&amp;'19_Расчет_аналитики'!E2583,WeightedMinAge23),MAX(CapacityAge23*'01_Вводные'!$B$218*'19_Расчет_аналитики'!E2583,MeanMinAge23)))</f>
        <v/>
      </c>
      <c r="F2510">
        <f>IF(OR('06_Сеть_и_дети'!F103=0,23&lt;='01_Вводные'!$B$297),0,'06_Сеть_и_дети'!F103*IF('01_Вводные'!$B$239="Да",MeanMinAge23+'19_Расчет_аналитики'!F2583*SUMIF(ThresholdAge23,"&lt;"&amp;'19_Расчет_аналитики'!F2583,WeightedRevAge23)-SUMIF(ThresholdAge23,"&lt;"&amp;'19_Расчет_аналитики'!F2583,WeightedMinAge23),MAX(CapacityAge23*'01_Вводные'!$B$218*'19_Расчет_аналитики'!F2583,MeanMinAge23)))</f>
        <v/>
      </c>
      <c r="G2510">
        <f>IF(OR('06_Сеть_и_дети'!G103=0,23&lt;='01_Вводные'!$B$297),0,'06_Сеть_и_дети'!G103*IF('01_Вводные'!$B$239="Да",MeanMinAge23+'19_Расчет_аналитики'!G2583*SUMIF(ThresholdAge23,"&lt;"&amp;'19_Расчет_аналитики'!G2583,WeightedRevAge23)-SUMIF(ThresholdAge23,"&lt;"&amp;'19_Расчет_аналитики'!G2583,WeightedMinAge23),MAX(CapacityAge23*'01_Вводные'!$B$218*'19_Расчет_аналитики'!G2583,MeanMinAge23)))</f>
        <v/>
      </c>
      <c r="H2510">
        <f>IF(OR('06_Сеть_и_дети'!H103=0,23&lt;='01_Вводные'!$B$297),0,'06_Сеть_и_дети'!H103*IF('01_Вводные'!$B$239="Да",MeanMinAge23+'19_Расчет_аналитики'!H2583*SUMIF(ThresholdAge23,"&lt;"&amp;'19_Расчет_аналитики'!H2583,WeightedRevAge23)-SUMIF(ThresholdAge23,"&lt;"&amp;'19_Расчет_аналитики'!H2583,WeightedMinAge23),MAX(CapacityAge23*'01_Вводные'!$B$218*'19_Расчет_аналитики'!H2583,MeanMinAge23)))</f>
        <v/>
      </c>
      <c r="I2510">
        <f>IF(OR('06_Сеть_и_дети'!I103=0,23&lt;='01_Вводные'!$B$297),0,'06_Сеть_и_дети'!I103*IF('01_Вводные'!$B$239="Да",MeanMinAge23+'19_Расчет_аналитики'!I2583*SUMIF(ThresholdAge23,"&lt;"&amp;'19_Расчет_аналитики'!I2583,WeightedRevAge23)-SUMIF(ThresholdAge23,"&lt;"&amp;'19_Расчет_аналитики'!I2583,WeightedMinAge23),MAX(CapacityAge23*'01_Вводные'!$B$218*'19_Расчет_аналитики'!I2583,MeanMinAge23)))</f>
        <v/>
      </c>
      <c r="J2510">
        <f>IF(OR('06_Сеть_и_дети'!J103=0,23&lt;='01_Вводные'!$B$297),0,'06_Сеть_и_дети'!J103*IF('01_Вводные'!$B$239="Да",MeanMinAge23+'19_Расчет_аналитики'!J2583*SUMIF(ThresholdAge23,"&lt;"&amp;'19_Расчет_аналитики'!J2583,WeightedRevAge23)-SUMIF(ThresholdAge23,"&lt;"&amp;'19_Расчет_аналитики'!J2583,WeightedMinAge23),MAX(CapacityAge23*'01_Вводные'!$B$218*'19_Расчет_аналитики'!J2583,MeanMinAge23)))</f>
        <v/>
      </c>
      <c r="K2510">
        <f>IF(OR('06_Сеть_и_дети'!K103=0,23&lt;='01_Вводные'!$B$297),0,'06_Сеть_и_дети'!K103*IF('01_Вводные'!$B$239="Да",MeanMinAge23+'19_Расчет_аналитики'!K2583*SUMIF(ThresholdAge23,"&lt;"&amp;'19_Расчет_аналитики'!K2583,WeightedRevAge23)-SUMIF(ThresholdAge23,"&lt;"&amp;'19_Расчет_аналитики'!K2583,WeightedMinAge23),MAX(CapacityAge23*'01_Вводные'!$B$218*'19_Расчет_аналитики'!K2583,MeanMinAge23)))</f>
        <v/>
      </c>
      <c r="L2510">
        <f>IF(OR('06_Сеть_и_дети'!L103=0,23&lt;='01_Вводные'!$B$297),0,'06_Сеть_и_дети'!L103*IF('01_Вводные'!$B$239="Да",MeanMinAge23+'19_Расчет_аналитики'!L2583*SUMIF(ThresholdAge23,"&lt;"&amp;'19_Расчет_аналитики'!L2583,WeightedRevAge23)-SUMIF(ThresholdAge23,"&lt;"&amp;'19_Расчет_аналитики'!L2583,WeightedMinAge23),MAX(CapacityAge23*'01_Вводные'!$B$218*'19_Расчет_аналитики'!L2583,MeanMinAge23)))</f>
        <v/>
      </c>
      <c r="M2510">
        <f>IF(OR('06_Сеть_и_дети'!M103=0,23&lt;='01_Вводные'!$B$297),0,'06_Сеть_и_дети'!M103*IF('01_Вводные'!$B$239="Да",MeanMinAge23+'19_Расчет_аналитики'!M2583*SUMIF(ThresholdAge23,"&lt;"&amp;'19_Расчет_аналитики'!M2583,WeightedRevAge23)-SUMIF(ThresholdAge23,"&lt;"&amp;'19_Расчет_аналитики'!M2583,WeightedMinAge23),MAX(CapacityAge23*'01_Вводные'!$B$218*'19_Расчет_аналитики'!M2583,MeanMinAge23)))</f>
        <v/>
      </c>
      <c r="N2510">
        <f>IF(OR('06_Сеть_и_дети'!N103=0,23&lt;='01_Вводные'!$B$297),0,'06_Сеть_и_дети'!N103*IF('01_Вводные'!$B$239="Да",MeanMinAge23+'19_Расчет_аналитики'!N2583*SUMIF(ThresholdAge23,"&lt;"&amp;'19_Расчет_аналитики'!N2583,WeightedRevAge23)-SUMIF(ThresholdAge23,"&lt;"&amp;'19_Расчет_аналитики'!N2583,WeightedMinAge23),MAX(CapacityAge23*'01_Вводные'!$B$218*'19_Расчет_аналитики'!N2583,MeanMinAge23)))</f>
        <v/>
      </c>
      <c r="O2510">
        <f>IF(OR('06_Сеть_и_дети'!O103=0,23&lt;='01_Вводные'!$B$297),0,'06_Сеть_и_дети'!O103*IF('01_Вводные'!$B$239="Да",MeanMinAge23+'19_Расчет_аналитики'!O2583*SUMIF(ThresholdAge23,"&lt;"&amp;'19_Расчет_аналитики'!O2583,WeightedRevAge23)-SUMIF(ThresholdAge23,"&lt;"&amp;'19_Расчет_аналитики'!O2583,WeightedMinAge23),MAX(CapacityAge23*'01_Вводные'!$B$218*'19_Расчет_аналитики'!O2583,MeanMinAge23)))</f>
        <v/>
      </c>
      <c r="P2510">
        <f>IF(OR('06_Сеть_и_дети'!P103=0,23&lt;='01_Вводные'!$B$297),0,'06_Сеть_и_дети'!P103*IF('01_Вводные'!$B$239="Да",MeanMinAge23+'19_Расчет_аналитики'!P2583*SUMIF(ThresholdAge23,"&lt;"&amp;'19_Расчет_аналитики'!P2583,WeightedRevAge23)-SUMIF(ThresholdAge23,"&lt;"&amp;'19_Расчет_аналитики'!P2583,WeightedMinAge23),MAX(CapacityAge23*'01_Вводные'!$B$218*'19_Расчет_аналитики'!P2583,MeanMinAge23)))</f>
        <v/>
      </c>
      <c r="Q2510">
        <f>IF(OR('06_Сеть_и_дети'!Q103=0,23&lt;='01_Вводные'!$B$297),0,'06_Сеть_и_дети'!Q103*IF('01_Вводные'!$B$239="Да",MeanMinAge23+'19_Расчет_аналитики'!Q2583*SUMIF(ThresholdAge23,"&lt;"&amp;'19_Расчет_аналитики'!Q2583,WeightedRevAge23)-SUMIF(ThresholdAge23,"&lt;"&amp;'19_Расчет_аналитики'!Q2583,WeightedMinAge23),MAX(CapacityAge23*'01_Вводные'!$B$218*'19_Расчет_аналитики'!Q2583,MeanMinAge23)))</f>
        <v/>
      </c>
      <c r="R2510">
        <f>IF(OR('06_Сеть_и_дети'!R103=0,23&lt;='01_Вводные'!$B$297),0,'06_Сеть_и_дети'!R103*IF('01_Вводные'!$B$239="Да",MeanMinAge23+'19_Расчет_аналитики'!R2583*SUMIF(ThresholdAge23,"&lt;"&amp;'19_Расчет_аналитики'!R2583,WeightedRevAge23)-SUMIF(ThresholdAge23,"&lt;"&amp;'19_Расчет_аналитики'!R2583,WeightedMinAge23),MAX(CapacityAge23*'01_Вводные'!$B$218*'19_Расчет_аналитики'!R2583,MeanMinAge23)))</f>
        <v/>
      </c>
      <c r="S2510">
        <f>IF(OR('06_Сеть_и_дети'!S103=0,23&lt;='01_Вводные'!$B$297),0,'06_Сеть_и_дети'!S103*IF('01_Вводные'!$B$239="Да",MeanMinAge23+'19_Расчет_аналитики'!S2583*SUMIF(ThresholdAge23,"&lt;"&amp;'19_Расчет_аналитики'!S2583,WeightedRevAge23)-SUMIF(ThresholdAge23,"&lt;"&amp;'19_Расчет_аналитики'!S2583,WeightedMinAge23),MAX(CapacityAge23*'01_Вводные'!$B$218*'19_Расчет_аналитики'!S2583,MeanMinAge23)))</f>
        <v/>
      </c>
      <c r="T2510">
        <f>IF(OR('06_Сеть_и_дети'!T103=0,23&lt;='01_Вводные'!$B$297),0,'06_Сеть_и_дети'!T103*IF('01_Вводные'!$B$239="Да",MeanMinAge23+'19_Расчет_аналитики'!T2583*SUMIF(ThresholdAge23,"&lt;"&amp;'19_Расчет_аналитики'!T2583,WeightedRevAge23)-SUMIF(ThresholdAge23,"&lt;"&amp;'19_Расчет_аналитики'!T2583,WeightedMinAge23),MAX(CapacityAge23*'01_Вводные'!$B$218*'19_Расчет_аналитики'!T2583,MeanMinAge23)))</f>
        <v/>
      </c>
      <c r="U2510">
        <f>IF(OR('06_Сеть_и_дети'!U103=0,23&lt;='01_Вводные'!$B$297),0,'06_Сеть_и_дети'!U103*IF('01_Вводные'!$B$239="Да",MeanMinAge23+'19_Расчет_аналитики'!U2583*SUMIF(ThresholdAge23,"&lt;"&amp;'19_Расчет_аналитики'!U2583,WeightedRevAge23)-SUMIF(ThresholdAge23,"&lt;"&amp;'19_Расчет_аналитики'!U2583,WeightedMinAge23),MAX(CapacityAge23*'01_Вводные'!$B$218*'19_Расчет_аналитики'!U2583,MeanMinAge23)))</f>
        <v/>
      </c>
      <c r="V2510">
        <f>IF(OR('06_Сеть_и_дети'!V103=0,23&lt;='01_Вводные'!$B$297),0,'06_Сеть_и_дети'!V103*IF('01_Вводные'!$B$239="Да",MeanMinAge23+'19_Расчет_аналитики'!V2583*SUMIF(ThresholdAge23,"&lt;"&amp;'19_Расчет_аналитики'!V2583,WeightedRevAge23)-SUMIF(ThresholdAge23,"&lt;"&amp;'19_Расчет_аналитики'!V2583,WeightedMinAge23),MAX(CapacityAge23*'01_Вводные'!$B$218*'19_Расчет_аналитики'!V2583,MeanMinAge23)))</f>
        <v/>
      </c>
      <c r="W2510">
        <f>IF(OR('06_Сеть_и_дети'!W103=0,23&lt;='01_Вводные'!$B$297),0,'06_Сеть_и_дети'!W103*IF('01_Вводные'!$B$239="Да",MeanMinAge23+'19_Расчет_аналитики'!W2583*SUMIF(ThresholdAge23,"&lt;"&amp;'19_Расчет_аналитики'!W2583,WeightedRevAge23)-SUMIF(ThresholdAge23,"&lt;"&amp;'19_Расчет_аналитики'!W2583,WeightedMinAge23),MAX(CapacityAge23*'01_Вводные'!$B$218*'19_Расчет_аналитики'!W2583,MeanMinAge23)))</f>
        <v/>
      </c>
      <c r="X2510">
        <f>IF(OR('19_Расчет_аналитики'!X2482=0,23&lt;='01_Вводные'!$B$297),0,'19_Расчет_аналитики'!X2482*IF('01_Вводные'!$B$239="Да",MeanMinAge23+'19_Расчет_аналитики'!X2583*SUMIF(ThresholdAge23,"&lt;"&amp;'19_Расчет_аналитики'!X2583,WeightedRevAge23)-SUMIF(ThresholdAge23,"&lt;"&amp;'19_Расчет_аналитики'!X2583,WeightedMinAge23),MAX(CapacityAge23*'01_Вводные'!$B$218*'19_Расчет_аналитики'!X2583,MeanMinAge23)))</f>
        <v/>
      </c>
      <c r="Y2510">
        <f>IF(OR('19_Расчет_аналитики'!Y2482=0,23&lt;='01_Вводные'!$B$297),0,'19_Расчет_аналитики'!Y2482*IF('01_Вводные'!$B$239="Да",MeanMinAge23+'19_Расчет_аналитики'!Y2583*SUMIF(ThresholdAge23,"&lt;"&amp;'19_Расчет_аналитики'!Y2583,WeightedRevAge23)-SUMIF(ThresholdAge23,"&lt;"&amp;'19_Расчет_аналитики'!Y2583,WeightedMinAge23),MAX(CapacityAge23*'01_Вводные'!$B$218*'19_Расчет_аналитики'!Y2583,MeanMinAge23)))</f>
        <v/>
      </c>
      <c r="Z2510">
        <f>IF(OR('19_Расчет_аналитики'!Z2482=0,23&lt;='01_Вводные'!$B$297),0,'19_Расчет_аналитики'!Z2482*IF('01_Вводные'!$B$239="Да",MeanMinAge23+'19_Расчет_аналитики'!Z2583*SUMIF(ThresholdAge23,"&lt;"&amp;'19_Расчет_аналитики'!Z2583,WeightedRevAge23)-SUMIF(ThresholdAge23,"&lt;"&amp;'19_Расчет_аналитики'!Z2583,WeightedMinAge23),MAX(CapacityAge23*'01_Вводные'!$B$218*'19_Расчет_аналитики'!Z2583,MeanMinAge23)))</f>
        <v/>
      </c>
      <c r="AA2510">
        <f>IF(OR('19_Расчет_аналитики'!AA2482=0,23&lt;='01_Вводные'!$B$297),0,'19_Расчет_аналитики'!AA2482*IF('01_Вводные'!$B$239="Да",MeanMinAge23+'19_Расчет_аналитики'!AA2583*SUMIF(ThresholdAge23,"&lt;"&amp;'19_Расчет_аналитики'!AA2583,WeightedRevAge23)-SUMIF(ThresholdAge23,"&lt;"&amp;'19_Расчет_аналитики'!AA2583,WeightedMinAge23),MAX(CapacityAge23*'01_Вводные'!$B$218*'19_Расчет_аналитики'!AA2583,MeanMinAge23)))</f>
        <v/>
      </c>
      <c r="AB2510">
        <f>IF(OR('19_Расчет_аналитики'!AB2482=0,23&lt;='01_Вводные'!$B$297),0,'19_Расчет_аналитики'!AB2482*IF('01_Вводные'!$B$239="Да",MeanMinAge23+'19_Расчет_аналитики'!AB2583*SUMIF(ThresholdAge23,"&lt;"&amp;'19_Расчет_аналитики'!AB2583,WeightedRevAge23)-SUMIF(ThresholdAge23,"&lt;"&amp;'19_Расчет_аналитики'!AB2583,WeightedMinAge23),MAX(CapacityAge23*'01_Вводные'!$B$218*'19_Расчет_аналитики'!AB2583,MeanMinAge23)))</f>
        <v/>
      </c>
      <c r="AC2510">
        <f>IF(OR('19_Расчет_аналитики'!AC2482=0,23&lt;='01_Вводные'!$B$297),0,'19_Расчет_аналитики'!AC2482*IF('01_Вводные'!$B$239="Да",MeanMinAge23+'19_Расчет_аналитики'!AC2583*SUMIF(ThresholdAge23,"&lt;"&amp;'19_Расчет_аналитики'!AC2583,WeightedRevAge23)-SUMIF(ThresholdAge23,"&lt;"&amp;'19_Расчет_аналитики'!AC2583,WeightedMinAge23),MAX(CapacityAge23*'01_Вводные'!$B$218*'19_Расчет_аналитики'!AC2583,MeanMinAge23)))</f>
        <v/>
      </c>
      <c r="AD2510">
        <f>IF(OR('19_Расчет_аналитики'!AD2482=0,23&lt;='01_Вводные'!$B$297),0,'19_Расчет_аналитики'!AD2482*IF('01_Вводные'!$B$239="Да",MeanMinAge23+'19_Расчет_аналитики'!AD2583*SUMIF(ThresholdAge23,"&lt;"&amp;'19_Расчет_аналитики'!AD2583,WeightedRevAge23)-SUMIF(ThresholdAge23,"&lt;"&amp;'19_Расчет_аналитики'!AD2583,WeightedMinAge23),MAX(CapacityAge23*'01_Вводные'!$B$218*'19_Расчет_аналитики'!AD2583,MeanMinAge23)))</f>
        <v/>
      </c>
      <c r="AE2510">
        <f>IF(OR('19_Расчет_аналитики'!AE2482=0,23&lt;='01_Вводные'!$B$297),0,'19_Расчет_аналитики'!AE2482*IF('01_Вводные'!$B$239="Да",MeanMinAge23+'19_Расчет_аналитики'!AE2583*SUMIF(ThresholdAge23,"&lt;"&amp;'19_Расчет_аналитики'!AE2583,WeightedRevAge23)-SUMIF(ThresholdAge23,"&lt;"&amp;'19_Расчет_аналитики'!AE2583,WeightedMinAge23),MAX(CapacityAge23*'01_Вводные'!$B$218*'19_Расчет_аналитики'!AE2583,MeanMinAge23)))</f>
        <v/>
      </c>
      <c r="AF2510">
        <f>IF(OR('19_Расчет_аналитики'!AF2482=0,23&lt;='01_Вводные'!$B$297),0,'19_Расчет_аналитики'!AF2482*IF('01_Вводные'!$B$239="Да",MeanMinAge23+'19_Расчет_аналитики'!AF2583*SUMIF(ThresholdAge23,"&lt;"&amp;'19_Расчет_аналитики'!AF2583,WeightedRevAge23)-SUMIF(ThresholdAge23,"&lt;"&amp;'19_Расчет_аналитики'!AF2583,WeightedMinAge23),MAX(CapacityAge23*'01_Вводные'!$B$218*'19_Расчет_аналитики'!AF2583,MeanMinAge23)))</f>
        <v/>
      </c>
      <c r="AG2510">
        <f>IF(OR('19_Расчет_аналитики'!AG2482=0,23&lt;='01_Вводные'!$B$297),0,'19_Расчет_аналитики'!AG2482*IF('01_Вводные'!$B$239="Да",MeanMinAge23+'19_Расчет_аналитики'!AG2583*SUMIF(ThresholdAge23,"&lt;"&amp;'19_Расчет_аналитики'!AG2583,WeightedRevAge23)-SUMIF(ThresholdAge23,"&lt;"&amp;'19_Расчет_аналитики'!AG2583,WeightedMinAge23),MAX(CapacityAge23*'01_Вводные'!$B$218*'19_Расчет_аналитики'!AG2583,MeanMinAge23)))</f>
        <v/>
      </c>
      <c r="AH2510">
        <f>IF(OR('19_Расчет_аналитики'!AH2482=0,23&lt;='01_Вводные'!$B$297),0,'19_Расчет_аналитики'!AH2482*IF('01_Вводные'!$B$239="Да",MeanMinAge23+'19_Расчет_аналитики'!AH2583*SUMIF(ThresholdAge23,"&lt;"&amp;'19_Расчет_аналитики'!AH2583,WeightedRevAge23)-SUMIF(ThresholdAge23,"&lt;"&amp;'19_Расчет_аналитики'!AH2583,WeightedMinAge23),MAX(CapacityAge23*'01_Вводные'!$B$218*'19_Расчет_аналитики'!AH2583,MeanMinAge23)))</f>
        <v/>
      </c>
      <c r="AI2510">
        <f>IF(OR('19_Расчет_аналитики'!AI2482=0,23&lt;='01_Вводные'!$B$297),0,'19_Расчет_аналитики'!AI2482*IF('01_Вводные'!$B$239="Да",MeanMinAge23+'19_Расчет_аналитики'!AI2583*SUMIF(ThresholdAge23,"&lt;"&amp;'19_Расчет_аналитики'!AI2583,WeightedRevAge23)-SUMIF(ThresholdAge23,"&lt;"&amp;'19_Расчет_аналитики'!AI2583,WeightedMinAge23),MAX(CapacityAge23*'01_Вводные'!$B$218*'19_Расчет_аналитики'!AI2583,MeanMinAge23)))</f>
        <v/>
      </c>
      <c r="AJ2510">
        <f>IF(OR('19_Расчет_аналитики'!AJ2482=0,23&lt;='01_Вводные'!$B$297),0,'19_Расчет_аналитики'!AJ2482*IF('01_Вводные'!$B$239="Да",MeanMinAge23+'19_Расчет_аналитики'!AJ2583*SUMIF(ThresholdAge23,"&lt;"&amp;'19_Расчет_аналитики'!AJ2583,WeightedRevAge23)-SUMIF(ThresholdAge23,"&lt;"&amp;'19_Расчет_аналитики'!AJ2583,WeightedMinAge23),MAX(CapacityAge23*'01_Вводные'!$B$218*'19_Расчет_аналитики'!AJ2583,MeanMinAge23)))</f>
        <v/>
      </c>
      <c r="AK2510">
        <f>IF(OR('19_Расчет_аналитики'!AK2482=0,23&lt;='01_Вводные'!$B$297),0,'19_Расчет_аналитики'!AK2482*IF('01_Вводные'!$B$239="Да",MeanMinAge23+'19_Расчет_аналитики'!AK2583*SUMIF(ThresholdAge23,"&lt;"&amp;'19_Расчет_аналитики'!AK2583,WeightedRevAge23)-SUMIF(ThresholdAge23,"&lt;"&amp;'19_Расчет_аналитики'!AK2583,WeightedMinAge23),MAX(CapacityAge23*'01_Вводные'!$B$218*'19_Расчет_аналитики'!AK2583,MeanMinAge23)))</f>
        <v/>
      </c>
      <c r="AL2510">
        <f>IF(OR('19_Расчет_аналитики'!AL2482=0,23&lt;='01_Вводные'!$B$297),0,'19_Расчет_аналитики'!AL2482*IF('01_Вводные'!$B$239="Да",MeanMinAge23+'19_Расчет_аналитики'!AL2583*SUMIF(ThresholdAge23,"&lt;"&amp;'19_Расчет_аналитики'!AL2583,WeightedRevAge23)-SUMIF(ThresholdAge23,"&lt;"&amp;'19_Расчет_аналитики'!AL2583,WeightedMinAge23),MAX(CapacityAge23*'01_Вводные'!$B$218*'19_Расчет_аналитики'!AL2583,MeanMinAge23)))</f>
        <v/>
      </c>
      <c r="AM2510">
        <f>IF(OR('19_Расчет_аналитики'!AM2482=0,23&lt;='01_Вводные'!$B$297),0,'19_Расчет_аналитики'!AM2482*IF('01_Вводные'!$B$239="Да",MeanMinAge23+'19_Расчет_аналитики'!AM2583*SUMIF(ThresholdAge23,"&lt;"&amp;'19_Расчет_аналитики'!AM2583,WeightedRevAge23)-SUMIF(ThresholdAge23,"&lt;"&amp;'19_Расчет_аналитики'!AM2583,WeightedMinAge23),MAX(CapacityAge23*'01_Вводные'!$B$218*'19_Расчет_аналитики'!AM2583,MeanMinAge23)))</f>
        <v/>
      </c>
      <c r="AN2510">
        <f>IF(OR('19_Расчет_аналитики'!AN2482=0,23&lt;='01_Вводные'!$B$297),0,'19_Расчет_аналитики'!AN2482*IF('01_Вводные'!$B$239="Да",MeanMinAge23+'19_Расчет_аналитики'!AN2583*SUMIF(ThresholdAge23,"&lt;"&amp;'19_Расчет_аналитики'!AN2583,WeightedRevAge23)-SUMIF(ThresholdAge23,"&lt;"&amp;'19_Расчет_аналитики'!AN2583,WeightedMinAge23),MAX(CapacityAge23*'01_Вводные'!$B$218*'19_Расчет_аналитики'!AN2583,MeanMinAge23)))</f>
        <v/>
      </c>
      <c r="AO2510">
        <f>IF(OR('19_Расчет_аналитики'!AO2482=0,23&lt;='01_Вводные'!$B$297),0,'19_Расчет_аналитики'!AO2482*IF('01_Вводные'!$B$239="Да",MeanMinAge23+'19_Расчет_аналитики'!AO2583*SUMIF(ThresholdAge23,"&lt;"&amp;'19_Расчет_аналитики'!AO2583,WeightedRevAge23)-SUMIF(ThresholdAge23,"&lt;"&amp;'19_Расчет_аналитики'!AO2583,WeightedMinAge23),MAX(CapacityAge23*'01_Вводные'!$B$218*'19_Расчет_аналитики'!AO2583,MeanMinAge23)))</f>
        <v/>
      </c>
      <c r="AP2510">
        <f>IF(OR('19_Расчет_аналитики'!AP2482=0,23&lt;='01_Вводные'!$B$297),0,'19_Расчет_аналитики'!AP2482*IF('01_Вводные'!$B$239="Да",MeanMinAge23+'19_Расчет_аналитики'!AP2583*SUMIF(ThresholdAge23,"&lt;"&amp;'19_Расчет_аналитики'!AP2583,WeightedRevAge23)-SUMIF(ThresholdAge23,"&lt;"&amp;'19_Расчет_аналитики'!AP2583,WeightedMinAge23),MAX(CapacityAge23*'01_Вводные'!$B$218*'19_Расчет_аналитики'!AP2583,MeanMinAge23)))</f>
        <v/>
      </c>
      <c r="AQ2510">
        <f>IF(OR('19_Расчет_аналитики'!AQ2482=0,23&lt;='01_Вводные'!$B$297),0,'19_Расчет_аналитики'!AQ2482*IF('01_Вводные'!$B$239="Да",MeanMinAge23+'19_Расчет_аналитики'!AQ2583*SUMIF(ThresholdAge23,"&lt;"&amp;'19_Расчет_аналитики'!AQ2583,WeightedRevAge23)-SUMIF(ThresholdAge23,"&lt;"&amp;'19_Расчет_аналитики'!AQ2583,WeightedMinAge23),MAX(CapacityAge23*'01_Вводные'!$B$218*'19_Расчет_аналитики'!AQ2583,MeanMinAge23)))</f>
        <v/>
      </c>
      <c r="AR2510">
        <f>IF(OR('19_Расчет_аналитики'!AR2482=0,23&lt;='01_Вводные'!$B$297),0,'19_Расчет_аналитики'!AR2482*IF('01_Вводные'!$B$239="Да",MeanMinAge23+'19_Расчет_аналитики'!AR2583*SUMIF(ThresholdAge23,"&lt;"&amp;'19_Расчет_аналитики'!AR2583,WeightedRevAge23)-SUMIF(ThresholdAge23,"&lt;"&amp;'19_Расчет_аналитики'!AR2583,WeightedMinAge23),MAX(CapacityAge23*'01_Вводные'!$B$218*'19_Расчет_аналитики'!AR2583,MeanMinAge23)))</f>
        <v/>
      </c>
      <c r="AS2510">
        <f>IF(OR('19_Расчет_аналитики'!AS2482=0,23&lt;='01_Вводные'!$B$297),0,'19_Расчет_аналитики'!AS2482*IF('01_Вводные'!$B$239="Да",MeanMinAge23+'19_Расчет_аналитики'!AS2583*SUMIF(ThresholdAge23,"&lt;"&amp;'19_Расчет_аналитики'!AS2583,WeightedRevAge23)-SUMIF(ThresholdAge23,"&lt;"&amp;'19_Расчет_аналитики'!AS2583,WeightedMinAge23),MAX(CapacityAge23*'01_Вводные'!$B$218*'19_Расчет_аналитики'!AS2583,MeanMinAge23)))</f>
        <v/>
      </c>
      <c r="AT2510">
        <f>IF(OR('19_Расчет_аналитики'!AT2482=0,23&lt;='01_Вводные'!$B$297),0,'19_Расчет_аналитики'!AT2482*IF('01_Вводные'!$B$239="Да",MeanMinAge23+'19_Расчет_аналитики'!AT2583*SUMIF(ThresholdAge23,"&lt;"&amp;'19_Расчет_аналитики'!AT2583,WeightedRevAge23)-SUMIF(ThresholdAge23,"&lt;"&amp;'19_Расчет_аналитики'!AT2583,WeightedMinAge23),MAX(CapacityAge23*'01_Вводные'!$B$218*'19_Расчет_аналитики'!AT2583,MeanMinAge23)))</f>
        <v/>
      </c>
      <c r="AU2510">
        <f>IF(OR('19_Расчет_аналитики'!AU2482=0,23&lt;='01_Вводные'!$B$297),0,'19_Расчет_аналитики'!AU2482*IF('01_Вводные'!$B$239="Да",MeanMinAge23+'19_Расчет_аналитики'!AU2583*SUMIF(ThresholdAge23,"&lt;"&amp;'19_Расчет_аналитики'!AU2583,WeightedRevAge23)-SUMIF(ThresholdAge23,"&lt;"&amp;'19_Расчет_аналитики'!AU2583,WeightedMinAge23),MAX(CapacityAge23*'01_Вводные'!$B$218*'19_Расчет_аналитики'!AU2583,MeanMinAge23)))</f>
        <v/>
      </c>
      <c r="AV2510">
        <f>IF(OR('19_Расчет_аналитики'!AV2482=0,23&lt;='01_Вводные'!$B$297),0,'19_Расчет_аналитики'!AV2482*IF('01_Вводные'!$B$239="Да",MeanMinAge23+'19_Расчет_аналитики'!AV2583*SUMIF(ThresholdAge23,"&lt;"&amp;'19_Расчет_аналитики'!AV2583,WeightedRevAge23)-SUMIF(ThresholdAge23,"&lt;"&amp;'19_Расчет_аналитики'!AV2583,WeightedMinAge23),MAX(CapacityAge23*'01_Вводные'!$B$218*'19_Расчет_аналитики'!AV2583,MeanMinAge23)))</f>
        <v/>
      </c>
      <c r="AW2510">
        <f>IF(OR('19_Расчет_аналитики'!AW2482=0,23&lt;='01_Вводные'!$B$297),0,'19_Расчет_аналитики'!AW2482*IF('01_Вводные'!$B$239="Да",MeanMinAge23+'19_Расчет_аналитики'!AW2583*SUMIF(ThresholdAge23,"&lt;"&amp;'19_Расчет_аналитики'!AW2583,WeightedRevAge23)-SUMIF(ThresholdAge23,"&lt;"&amp;'19_Расчет_аналитики'!AW2583,WeightedMinAge23),MAX(CapacityAge23*'01_Вводные'!$B$218*'19_Расчет_аналитики'!AW2583,MeanMinAge23)))</f>
        <v/>
      </c>
      <c r="AX2510">
        <f>IF(OR('19_Расчет_аналитики'!AX2482=0,23&lt;='01_Вводные'!$B$297),0,'19_Расчет_аналитики'!AX2482*IF('01_Вводные'!$B$239="Да",MeanMinAge23+'19_Расчет_аналитики'!AX2583*SUMIF(ThresholdAge23,"&lt;"&amp;'19_Расчет_аналитики'!AX2583,WeightedRevAge23)-SUMIF(ThresholdAge23,"&lt;"&amp;'19_Расчет_аналитики'!AX2583,WeightedMinAge23),MAX(CapacityAge23*'01_Вводные'!$B$218*'19_Расчет_аналитики'!AX2583,MeanMinAge23)))</f>
        <v/>
      </c>
      <c r="AY2510">
        <f>IF(OR('19_Расчет_аналитики'!AY2482=0,23&lt;='01_Вводные'!$B$297),0,'19_Расчет_аналитики'!AY2482*IF('01_Вводные'!$B$239="Да",MeanMinAge23+'19_Расчет_аналитики'!AY2583*SUMIF(ThresholdAge23,"&lt;"&amp;'19_Расчет_аналитики'!AY2583,WeightedRevAge23)-SUMIF(ThresholdAge23,"&lt;"&amp;'19_Расчет_аналитики'!AY2583,WeightedMinAge23),MAX(CapacityAge23*'01_Вводные'!$B$218*'19_Расчет_аналитики'!AY2583,MeanMinAge23)))</f>
        <v/>
      </c>
      <c r="AZ2510">
        <f>IF(OR('19_Расчет_аналитики'!AZ2482=0,23&lt;='01_Вводные'!$B$297),0,'19_Расчет_аналитики'!AZ2482*IF('01_Вводные'!$B$239="Да",MeanMinAge23+'19_Расчет_аналитики'!AZ2583*SUMIF(ThresholdAge23,"&lt;"&amp;'19_Расчет_аналитики'!AZ2583,WeightedRevAge23)-SUMIF(ThresholdAge23,"&lt;"&amp;'19_Расчет_аналитики'!AZ2583,WeightedMinAge23),MAX(CapacityAge23*'01_Вводные'!$B$218*'19_Расчет_аналитики'!AZ2583,MeanMinAge23)))</f>
        <v/>
      </c>
      <c r="BA2510">
        <f>IF(OR('19_Расчет_аналитики'!BA2482=0,23&lt;='01_Вводные'!$B$297),0,'19_Расчет_аналитики'!BA2482*IF('01_Вводные'!$B$239="Да",MeanMinAge23+'19_Расчет_аналитики'!BA2583*SUMIF(ThresholdAge23,"&lt;"&amp;'19_Расчет_аналитики'!BA2583,WeightedRevAge23)-SUMIF(ThresholdAge23,"&lt;"&amp;'19_Расчет_аналитики'!BA2583,WeightedMinAge23),MAX(CapacityAge23*'01_Вводные'!$B$218*'19_Расчет_аналитики'!BA2583,MeanMinAge23)))</f>
        <v/>
      </c>
      <c r="BB2510">
        <f>IF(OR('19_Расчет_аналитики'!BB2482=0,23&lt;='01_Вводные'!$B$297),0,'19_Расчет_аналитики'!BB2482*IF('01_Вводные'!$B$239="Да",MeanMinAge23+'19_Расчет_аналитики'!BB2583*SUMIF(ThresholdAge23,"&lt;"&amp;'19_Расчет_аналитики'!BB2583,WeightedRevAge23)-SUMIF(ThresholdAge23,"&lt;"&amp;'19_Расчет_аналитики'!BB2583,WeightedMinAge23),MAX(CapacityAge23*'01_Вводные'!$B$218*'19_Расчет_аналитики'!BB2583,MeanMinAge23)))</f>
        <v/>
      </c>
      <c r="BC2510">
        <f>IF(OR('19_Расчет_аналитики'!BC2482=0,23&lt;='01_Вводные'!$B$297),0,'19_Расчет_аналитики'!BC2482*IF('01_Вводные'!$B$239="Да",MeanMinAge23+'19_Расчет_аналитики'!BC2583*SUMIF(ThresholdAge23,"&lt;"&amp;'19_Расчет_аналитики'!BC2583,WeightedRevAge23)-SUMIF(ThresholdAge23,"&lt;"&amp;'19_Расчет_аналитики'!BC2583,WeightedMinAge23),MAX(CapacityAge23*'01_Вводные'!$B$218*'19_Расчет_аналитики'!BC2583,MeanMinAge23)))</f>
        <v/>
      </c>
      <c r="BD2510">
        <f>IF(OR('19_Расчет_аналитики'!BD2482=0,23&lt;='01_Вводные'!$B$297),0,'19_Расчет_аналитики'!BD2482*IF('01_Вводные'!$B$239="Да",MeanMinAge23+'19_Расчет_аналитики'!BD2583*SUMIF(ThresholdAge23,"&lt;"&amp;'19_Расчет_аналитики'!BD2583,WeightedRevAge23)-SUMIF(ThresholdAge23,"&lt;"&amp;'19_Расчет_аналитики'!BD2583,WeightedMinAge23),MAX(CapacityAge23*'01_Вводные'!$B$218*'19_Расчет_аналитики'!BD2583,MeanMinAge23)))</f>
        <v/>
      </c>
      <c r="BE2510">
        <f>IF(OR('19_Расчет_аналитики'!BE2482=0,23&lt;='01_Вводные'!$B$297),0,'19_Расчет_аналитики'!BE2482*IF('01_Вводные'!$B$239="Да",MeanMinAge23+'19_Расчет_аналитики'!BE2583*SUMIF(ThresholdAge23,"&lt;"&amp;'19_Расчет_аналитики'!BE2583,WeightedRevAge23)-SUMIF(ThresholdAge23,"&lt;"&amp;'19_Расчет_аналитики'!BE2583,WeightedMinAge23),MAX(CapacityAge23*'01_Вводные'!$B$218*'19_Расчет_аналитики'!BE2583,MeanMinAge23)))</f>
        <v/>
      </c>
      <c r="BF2510">
        <f>IF(OR('19_Расчет_аналитики'!BF2482=0,23&lt;='01_Вводные'!$B$297),0,'19_Расчет_аналитики'!BF2482*IF('01_Вводные'!$B$239="Да",MeanMinAge23+'19_Расчет_аналитики'!BF2583*SUMIF(ThresholdAge23,"&lt;"&amp;'19_Расчет_аналитики'!BF2583,WeightedRevAge23)-SUMIF(ThresholdAge23,"&lt;"&amp;'19_Расчет_аналитики'!BF2583,WeightedMinAge23),MAX(CapacityAge23*'01_Вводные'!$B$218*'19_Расчет_аналитики'!BF2583,MeanMinAge23)))</f>
        <v/>
      </c>
      <c r="BG2510">
        <f>IF(OR('19_Расчет_аналитики'!BG2482=0,23&lt;='01_Вводные'!$B$297),0,'19_Расчет_аналитики'!BG2482*IF('01_Вводные'!$B$239="Да",MeanMinAge23+'19_Расчет_аналитики'!BG2583*SUMIF(ThresholdAge23,"&lt;"&amp;'19_Расчет_аналитики'!BG2583,WeightedRevAge23)-SUMIF(ThresholdAge23,"&lt;"&amp;'19_Расчет_аналитики'!BG2583,WeightedMinAge23),MAX(CapacityAge23*'01_Вводные'!$B$218*'19_Расчет_аналитики'!BG2583,MeanMinAge23)))</f>
        <v/>
      </c>
      <c r="BH2510">
        <f>IF(OR('19_Расчет_аналитики'!BH2482=0,23&lt;='01_Вводные'!$B$297),0,'19_Расчет_аналитики'!BH2482*IF('01_Вводные'!$B$239="Да",MeanMinAge23+'19_Расчет_аналитики'!BH2583*SUMIF(ThresholdAge23,"&lt;"&amp;'19_Расчет_аналитики'!BH2583,WeightedRevAge23)-SUMIF(ThresholdAge23,"&lt;"&amp;'19_Расчет_аналитики'!BH2583,WeightedMinAge23),MAX(CapacityAge23*'01_Вводные'!$B$218*'19_Расчет_аналитики'!BH2583,MeanMinAge23)))</f>
        <v/>
      </c>
      <c r="BI2510">
        <f>IF(OR('19_Расчет_аналитики'!BI2482=0,23&lt;='01_Вводные'!$B$297),0,'19_Расчет_аналитики'!BI2482*IF('01_Вводные'!$B$239="Да",MeanMinAge23+'19_Расчет_аналитики'!BI2583*SUMIF(ThresholdAge23,"&lt;"&amp;'19_Расчет_аналитики'!BI2583,WeightedRevAge23)-SUMIF(ThresholdAge23,"&lt;"&amp;'19_Расчет_аналитики'!BI2583,WeightedMinAge23),MAX(CapacityAge23*'01_Вводные'!$B$218*'19_Расчет_аналитики'!BI2583,MeanMinAge23)))</f>
        <v/>
      </c>
      <c r="BJ2510">
        <f>IF(OR('19_Расчет_аналитики'!BJ2482=0,23&lt;='01_Вводные'!$B$297),0,'19_Расчет_аналитики'!BJ2482*IF('01_Вводные'!$B$239="Да",MeanMinAge23+'19_Расчет_аналитики'!BJ2583*SUMIF(ThresholdAge23,"&lt;"&amp;'19_Расчет_аналитики'!BJ2583,WeightedRevAge23)-SUMIF(ThresholdAge23,"&lt;"&amp;'19_Расчет_аналитики'!BJ2583,WeightedMinAge23),MAX(CapacityAge23*'01_Вводные'!$B$218*'19_Расчет_аналитики'!BJ2583,MeanMinAge23)))</f>
        <v/>
      </c>
      <c r="BK2510">
        <f>IF(OR('19_Расчет_аналитики'!BK2482=0,23&lt;='01_Вводные'!$B$297),0,'19_Расчет_аналитики'!BK2482*IF('01_Вводные'!$B$239="Да",MeanMinAge23+'19_Расчет_аналитики'!BK2583*SUMIF(ThresholdAge23,"&lt;"&amp;'19_Расчет_аналитики'!BK2583,WeightedRevAge23)-SUMIF(ThresholdAge23,"&lt;"&amp;'19_Расчет_аналитики'!BK2583,WeightedMinAge23),MAX(CapacityAge23*'01_Вводные'!$B$218*'19_Расчет_аналитики'!BK2583,MeanMinAge23)))</f>
        <v/>
      </c>
      <c r="BL2510">
        <f>IF(OR('19_Расчет_аналитики'!BL2482=0,23&lt;='01_Вводные'!$B$297),0,'19_Расчет_аналитики'!BL2482*IF('01_Вводные'!$B$239="Да",MeanMinAge23+'19_Расчет_аналитики'!BL2583*SUMIF(ThresholdAge23,"&lt;"&amp;'19_Расчет_аналитики'!BL2583,WeightedRevAge23)-SUMIF(ThresholdAge23,"&lt;"&amp;'19_Расчет_аналитики'!BL2583,WeightedMinAge23),MAX(CapacityAge23*'01_Вводные'!$B$218*'19_Расчет_аналитики'!BL2583,MeanMinAge23)))</f>
        <v/>
      </c>
      <c r="BM2510">
        <f>IF(OR('19_Расчет_аналитики'!BM2482=0,23&lt;='01_Вводные'!$B$297),0,'19_Расчет_аналитики'!BM2482*IF('01_Вводные'!$B$239="Да",MeanMinAge23+'19_Расчет_аналитики'!BM2583*SUMIF(ThresholdAge23,"&lt;"&amp;'19_Расчет_аналитики'!BM2583,WeightedRevAge23)-SUMIF(ThresholdAge23,"&lt;"&amp;'19_Расчет_аналитики'!BM2583,WeightedMinAge23),MAX(CapacityAge23*'01_Вводные'!$B$218*'19_Расчет_аналитики'!BM2583,MeanMinAge23)))</f>
        <v/>
      </c>
      <c r="BN2510">
        <f>IF(OR('19_Расчет_аналитики'!BN2482=0,23&lt;='01_Вводные'!$B$297),0,'19_Расчет_аналитики'!BN2482*IF('01_Вводные'!$B$239="Да",MeanMinAge23+'19_Расчет_аналитики'!BN2583*SUMIF(ThresholdAge23,"&lt;"&amp;'19_Расчет_аналитики'!BN2583,WeightedRevAge23)-SUMIF(ThresholdAge23,"&lt;"&amp;'19_Расчет_аналитики'!BN2583,WeightedMinAge23),MAX(CapacityAge23*'01_Вводные'!$B$218*'19_Расчет_аналитики'!BN2583,MeanMinAge23)))</f>
        <v/>
      </c>
      <c r="BO2510">
        <f>IF(OR('19_Расчет_аналитики'!BO2482=0,23&lt;='01_Вводные'!$B$297),0,'19_Расчет_аналитики'!BO2482*IF('01_Вводные'!$B$239="Да",MeanMinAge23+'19_Расчет_аналитики'!BO2583*SUMIF(ThresholdAge23,"&lt;"&amp;'19_Расчет_аналитики'!BO2583,WeightedRevAge23)-SUMIF(ThresholdAge23,"&lt;"&amp;'19_Расчет_аналитики'!BO2583,WeightedMinAge23),MAX(CapacityAge23*'01_Вводные'!$B$218*'19_Расчет_аналитики'!BO2583,MeanMinAge23)))</f>
        <v/>
      </c>
    </row>
    <row r="2511">
      <c r="B2511">
        <f>IF(OR('06_Сеть_и_дети'!B104=0,24&lt;='01_Вводные'!$B$297),0,'06_Сеть_и_дети'!B104*IF('01_Вводные'!$B$239="Да",MeanMinAge24+'19_Расчет_аналитики'!B2583*SUMIF(ThresholdAge24,"&lt;"&amp;'19_Расчет_аналитики'!B2583,WeightedRevAge24)-SUMIF(ThresholdAge24,"&lt;"&amp;'19_Расчет_аналитики'!B2583,WeightedMinAge24),MAX(CapacityAge24*'01_Вводные'!$B$218*'19_Расчет_аналитики'!B2583,MeanMinAge24)))</f>
        <v/>
      </c>
      <c r="C2511">
        <f>IF(OR('06_Сеть_и_дети'!C104=0,24&lt;='01_Вводные'!$B$297),0,'06_Сеть_и_дети'!C104*IF('01_Вводные'!$B$239="Да",MeanMinAge24+'19_Расчет_аналитики'!C2583*SUMIF(ThresholdAge24,"&lt;"&amp;'19_Расчет_аналитики'!C2583,WeightedRevAge24)-SUMIF(ThresholdAge24,"&lt;"&amp;'19_Расчет_аналитики'!C2583,WeightedMinAge24),MAX(CapacityAge24*'01_Вводные'!$B$218*'19_Расчет_аналитики'!C2583,MeanMinAge24)))</f>
        <v/>
      </c>
      <c r="D2511">
        <f>IF(OR('06_Сеть_и_дети'!D104=0,24&lt;='01_Вводные'!$B$297),0,'06_Сеть_и_дети'!D104*IF('01_Вводные'!$B$239="Да",MeanMinAge24+'19_Расчет_аналитики'!D2583*SUMIF(ThresholdAge24,"&lt;"&amp;'19_Расчет_аналитики'!D2583,WeightedRevAge24)-SUMIF(ThresholdAge24,"&lt;"&amp;'19_Расчет_аналитики'!D2583,WeightedMinAge24),MAX(CapacityAge24*'01_Вводные'!$B$218*'19_Расчет_аналитики'!D2583,MeanMinAge24)))</f>
        <v/>
      </c>
      <c r="E2511">
        <f>IF(OR('06_Сеть_и_дети'!E104=0,24&lt;='01_Вводные'!$B$297),0,'06_Сеть_и_дети'!E104*IF('01_Вводные'!$B$239="Да",MeanMinAge24+'19_Расчет_аналитики'!E2583*SUMIF(ThresholdAge24,"&lt;"&amp;'19_Расчет_аналитики'!E2583,WeightedRevAge24)-SUMIF(ThresholdAge24,"&lt;"&amp;'19_Расчет_аналитики'!E2583,WeightedMinAge24),MAX(CapacityAge24*'01_Вводные'!$B$218*'19_Расчет_аналитики'!E2583,MeanMinAge24)))</f>
        <v/>
      </c>
      <c r="F2511">
        <f>IF(OR('06_Сеть_и_дети'!F104=0,24&lt;='01_Вводные'!$B$297),0,'06_Сеть_и_дети'!F104*IF('01_Вводные'!$B$239="Да",MeanMinAge24+'19_Расчет_аналитики'!F2583*SUMIF(ThresholdAge24,"&lt;"&amp;'19_Расчет_аналитики'!F2583,WeightedRevAge24)-SUMIF(ThresholdAge24,"&lt;"&amp;'19_Расчет_аналитики'!F2583,WeightedMinAge24),MAX(CapacityAge24*'01_Вводные'!$B$218*'19_Расчет_аналитики'!F2583,MeanMinAge24)))</f>
        <v/>
      </c>
      <c r="G2511">
        <f>IF(OR('06_Сеть_и_дети'!G104=0,24&lt;='01_Вводные'!$B$297),0,'06_Сеть_и_дети'!G104*IF('01_Вводные'!$B$239="Да",MeanMinAge24+'19_Расчет_аналитики'!G2583*SUMIF(ThresholdAge24,"&lt;"&amp;'19_Расчет_аналитики'!G2583,WeightedRevAge24)-SUMIF(ThresholdAge24,"&lt;"&amp;'19_Расчет_аналитики'!G2583,WeightedMinAge24),MAX(CapacityAge24*'01_Вводные'!$B$218*'19_Расчет_аналитики'!G2583,MeanMinAge24)))</f>
        <v/>
      </c>
      <c r="H2511">
        <f>IF(OR('06_Сеть_и_дети'!H104=0,24&lt;='01_Вводные'!$B$297),0,'06_Сеть_и_дети'!H104*IF('01_Вводные'!$B$239="Да",MeanMinAge24+'19_Расчет_аналитики'!H2583*SUMIF(ThresholdAge24,"&lt;"&amp;'19_Расчет_аналитики'!H2583,WeightedRevAge24)-SUMIF(ThresholdAge24,"&lt;"&amp;'19_Расчет_аналитики'!H2583,WeightedMinAge24),MAX(CapacityAge24*'01_Вводные'!$B$218*'19_Расчет_аналитики'!H2583,MeanMinAge24)))</f>
        <v/>
      </c>
      <c r="I2511">
        <f>IF(OR('06_Сеть_и_дети'!I104=0,24&lt;='01_Вводные'!$B$297),0,'06_Сеть_и_дети'!I104*IF('01_Вводные'!$B$239="Да",MeanMinAge24+'19_Расчет_аналитики'!I2583*SUMIF(ThresholdAge24,"&lt;"&amp;'19_Расчет_аналитики'!I2583,WeightedRevAge24)-SUMIF(ThresholdAge24,"&lt;"&amp;'19_Расчет_аналитики'!I2583,WeightedMinAge24),MAX(CapacityAge24*'01_Вводные'!$B$218*'19_Расчет_аналитики'!I2583,MeanMinAge24)))</f>
        <v/>
      </c>
      <c r="J2511">
        <f>IF(OR('06_Сеть_и_дети'!J104=0,24&lt;='01_Вводные'!$B$297),0,'06_Сеть_и_дети'!J104*IF('01_Вводные'!$B$239="Да",MeanMinAge24+'19_Расчет_аналитики'!J2583*SUMIF(ThresholdAge24,"&lt;"&amp;'19_Расчет_аналитики'!J2583,WeightedRevAge24)-SUMIF(ThresholdAge24,"&lt;"&amp;'19_Расчет_аналитики'!J2583,WeightedMinAge24),MAX(CapacityAge24*'01_Вводные'!$B$218*'19_Расчет_аналитики'!J2583,MeanMinAge24)))</f>
        <v/>
      </c>
      <c r="K2511">
        <f>IF(OR('06_Сеть_и_дети'!K104=0,24&lt;='01_Вводные'!$B$297),0,'06_Сеть_и_дети'!K104*IF('01_Вводные'!$B$239="Да",MeanMinAge24+'19_Расчет_аналитики'!K2583*SUMIF(ThresholdAge24,"&lt;"&amp;'19_Расчет_аналитики'!K2583,WeightedRevAge24)-SUMIF(ThresholdAge24,"&lt;"&amp;'19_Расчет_аналитики'!K2583,WeightedMinAge24),MAX(CapacityAge24*'01_Вводные'!$B$218*'19_Расчет_аналитики'!K2583,MeanMinAge24)))</f>
        <v/>
      </c>
      <c r="L2511">
        <f>IF(OR('06_Сеть_и_дети'!L104=0,24&lt;='01_Вводные'!$B$297),0,'06_Сеть_и_дети'!L104*IF('01_Вводные'!$B$239="Да",MeanMinAge24+'19_Расчет_аналитики'!L2583*SUMIF(ThresholdAge24,"&lt;"&amp;'19_Расчет_аналитики'!L2583,WeightedRevAge24)-SUMIF(ThresholdAge24,"&lt;"&amp;'19_Расчет_аналитики'!L2583,WeightedMinAge24),MAX(CapacityAge24*'01_Вводные'!$B$218*'19_Расчет_аналитики'!L2583,MeanMinAge24)))</f>
        <v/>
      </c>
      <c r="M2511">
        <f>IF(OR('06_Сеть_и_дети'!M104=0,24&lt;='01_Вводные'!$B$297),0,'06_Сеть_и_дети'!M104*IF('01_Вводные'!$B$239="Да",MeanMinAge24+'19_Расчет_аналитики'!M2583*SUMIF(ThresholdAge24,"&lt;"&amp;'19_Расчет_аналитики'!M2583,WeightedRevAge24)-SUMIF(ThresholdAge24,"&lt;"&amp;'19_Расчет_аналитики'!M2583,WeightedMinAge24),MAX(CapacityAge24*'01_Вводные'!$B$218*'19_Расчет_аналитики'!M2583,MeanMinAge24)))</f>
        <v/>
      </c>
      <c r="N2511">
        <f>IF(OR('06_Сеть_и_дети'!N104=0,24&lt;='01_Вводные'!$B$297),0,'06_Сеть_и_дети'!N104*IF('01_Вводные'!$B$239="Да",MeanMinAge24+'19_Расчет_аналитики'!N2583*SUMIF(ThresholdAge24,"&lt;"&amp;'19_Расчет_аналитики'!N2583,WeightedRevAge24)-SUMIF(ThresholdAge24,"&lt;"&amp;'19_Расчет_аналитики'!N2583,WeightedMinAge24),MAX(CapacityAge24*'01_Вводные'!$B$218*'19_Расчет_аналитики'!N2583,MeanMinAge24)))</f>
        <v/>
      </c>
      <c r="O2511">
        <f>IF(OR('06_Сеть_и_дети'!O104=0,24&lt;='01_Вводные'!$B$297),0,'06_Сеть_и_дети'!O104*IF('01_Вводные'!$B$239="Да",MeanMinAge24+'19_Расчет_аналитики'!O2583*SUMIF(ThresholdAge24,"&lt;"&amp;'19_Расчет_аналитики'!O2583,WeightedRevAge24)-SUMIF(ThresholdAge24,"&lt;"&amp;'19_Расчет_аналитики'!O2583,WeightedMinAge24),MAX(CapacityAge24*'01_Вводные'!$B$218*'19_Расчет_аналитики'!O2583,MeanMinAge24)))</f>
        <v/>
      </c>
      <c r="P2511">
        <f>IF(OR('06_Сеть_и_дети'!P104=0,24&lt;='01_Вводные'!$B$297),0,'06_Сеть_и_дети'!P104*IF('01_Вводные'!$B$239="Да",MeanMinAge24+'19_Расчет_аналитики'!P2583*SUMIF(ThresholdAge24,"&lt;"&amp;'19_Расчет_аналитики'!P2583,WeightedRevAge24)-SUMIF(ThresholdAge24,"&lt;"&amp;'19_Расчет_аналитики'!P2583,WeightedMinAge24),MAX(CapacityAge24*'01_Вводные'!$B$218*'19_Расчет_аналитики'!P2583,MeanMinAge24)))</f>
        <v/>
      </c>
      <c r="Q2511">
        <f>IF(OR('06_Сеть_и_дети'!Q104=0,24&lt;='01_Вводные'!$B$297),0,'06_Сеть_и_дети'!Q104*IF('01_Вводные'!$B$239="Да",MeanMinAge24+'19_Расчет_аналитики'!Q2583*SUMIF(ThresholdAge24,"&lt;"&amp;'19_Расчет_аналитики'!Q2583,WeightedRevAge24)-SUMIF(ThresholdAge24,"&lt;"&amp;'19_Расчет_аналитики'!Q2583,WeightedMinAge24),MAX(CapacityAge24*'01_Вводные'!$B$218*'19_Расчет_аналитики'!Q2583,MeanMinAge24)))</f>
        <v/>
      </c>
      <c r="R2511">
        <f>IF(OR('06_Сеть_и_дети'!R104=0,24&lt;='01_Вводные'!$B$297),0,'06_Сеть_и_дети'!R104*IF('01_Вводные'!$B$239="Да",MeanMinAge24+'19_Расчет_аналитики'!R2583*SUMIF(ThresholdAge24,"&lt;"&amp;'19_Расчет_аналитики'!R2583,WeightedRevAge24)-SUMIF(ThresholdAge24,"&lt;"&amp;'19_Расчет_аналитики'!R2583,WeightedMinAge24),MAX(CapacityAge24*'01_Вводные'!$B$218*'19_Расчет_аналитики'!R2583,MeanMinAge24)))</f>
        <v/>
      </c>
      <c r="S2511">
        <f>IF(OR('06_Сеть_и_дети'!S104=0,24&lt;='01_Вводные'!$B$297),0,'06_Сеть_и_дети'!S104*IF('01_Вводные'!$B$239="Да",MeanMinAge24+'19_Расчет_аналитики'!S2583*SUMIF(ThresholdAge24,"&lt;"&amp;'19_Расчет_аналитики'!S2583,WeightedRevAge24)-SUMIF(ThresholdAge24,"&lt;"&amp;'19_Расчет_аналитики'!S2583,WeightedMinAge24),MAX(CapacityAge24*'01_Вводные'!$B$218*'19_Расчет_аналитики'!S2583,MeanMinAge24)))</f>
        <v/>
      </c>
      <c r="T2511">
        <f>IF(OR('06_Сеть_и_дети'!T104=0,24&lt;='01_Вводные'!$B$297),0,'06_Сеть_и_дети'!T104*IF('01_Вводные'!$B$239="Да",MeanMinAge24+'19_Расчет_аналитики'!T2583*SUMIF(ThresholdAge24,"&lt;"&amp;'19_Расчет_аналитики'!T2583,WeightedRevAge24)-SUMIF(ThresholdAge24,"&lt;"&amp;'19_Расчет_аналитики'!T2583,WeightedMinAge24),MAX(CapacityAge24*'01_Вводные'!$B$218*'19_Расчет_аналитики'!T2583,MeanMinAge24)))</f>
        <v/>
      </c>
      <c r="U2511">
        <f>IF(OR('06_Сеть_и_дети'!U104=0,24&lt;='01_Вводные'!$B$297),0,'06_Сеть_и_дети'!U104*IF('01_Вводные'!$B$239="Да",MeanMinAge24+'19_Расчет_аналитики'!U2583*SUMIF(ThresholdAge24,"&lt;"&amp;'19_Расчет_аналитики'!U2583,WeightedRevAge24)-SUMIF(ThresholdAge24,"&lt;"&amp;'19_Расчет_аналитики'!U2583,WeightedMinAge24),MAX(CapacityAge24*'01_Вводные'!$B$218*'19_Расчет_аналитики'!U2583,MeanMinAge24)))</f>
        <v/>
      </c>
      <c r="V2511">
        <f>IF(OR('06_Сеть_и_дети'!V104=0,24&lt;='01_Вводные'!$B$297),0,'06_Сеть_и_дети'!V104*IF('01_Вводные'!$B$239="Да",MeanMinAge24+'19_Расчет_аналитики'!V2583*SUMIF(ThresholdAge24,"&lt;"&amp;'19_Расчет_аналитики'!V2583,WeightedRevAge24)-SUMIF(ThresholdAge24,"&lt;"&amp;'19_Расчет_аналитики'!V2583,WeightedMinAge24),MAX(CapacityAge24*'01_Вводные'!$B$218*'19_Расчет_аналитики'!V2583,MeanMinAge24)))</f>
        <v/>
      </c>
      <c r="W2511">
        <f>IF(OR('06_Сеть_и_дети'!W104=0,24&lt;='01_Вводные'!$B$297),0,'06_Сеть_и_дети'!W104*IF('01_Вводные'!$B$239="Да",MeanMinAge24+'19_Расчет_аналитики'!W2583*SUMIF(ThresholdAge24,"&lt;"&amp;'19_Расчет_аналитики'!W2583,WeightedRevAge24)-SUMIF(ThresholdAge24,"&lt;"&amp;'19_Расчет_аналитики'!W2583,WeightedMinAge24),MAX(CapacityAge24*'01_Вводные'!$B$218*'19_Расчет_аналитики'!W2583,MeanMinAge24)))</f>
        <v/>
      </c>
      <c r="X2511">
        <f>IF(OR('06_Сеть_и_дети'!X104=0,24&lt;='01_Вводные'!$B$297),0,'06_Сеть_и_дети'!X104*IF('01_Вводные'!$B$239="Да",MeanMinAge24+'19_Расчет_аналитики'!X2583*SUMIF(ThresholdAge24,"&lt;"&amp;'19_Расчет_аналитики'!X2583,WeightedRevAge24)-SUMIF(ThresholdAge24,"&lt;"&amp;'19_Расчет_аналитики'!X2583,WeightedMinAge24),MAX(CapacityAge24*'01_Вводные'!$B$218*'19_Расчет_аналитики'!X2583,MeanMinAge24)))</f>
        <v/>
      </c>
      <c r="Y2511">
        <f>IF(OR('19_Расчет_аналитики'!Y2483=0,24&lt;='01_Вводные'!$B$297),0,'19_Расчет_аналитики'!Y2483*IF('01_Вводные'!$B$239="Да",MeanMinAge24+'19_Расчет_аналитики'!Y2583*SUMIF(ThresholdAge24,"&lt;"&amp;'19_Расчет_аналитики'!Y2583,WeightedRevAge24)-SUMIF(ThresholdAge24,"&lt;"&amp;'19_Расчет_аналитики'!Y2583,WeightedMinAge24),MAX(CapacityAge24*'01_Вводные'!$B$218*'19_Расчет_аналитики'!Y2583,MeanMinAge24)))</f>
        <v/>
      </c>
      <c r="Z2511">
        <f>IF(OR('19_Расчет_аналитики'!Z2483=0,24&lt;='01_Вводные'!$B$297),0,'19_Расчет_аналитики'!Z2483*IF('01_Вводные'!$B$239="Да",MeanMinAge24+'19_Расчет_аналитики'!Z2583*SUMIF(ThresholdAge24,"&lt;"&amp;'19_Расчет_аналитики'!Z2583,WeightedRevAge24)-SUMIF(ThresholdAge24,"&lt;"&amp;'19_Расчет_аналитики'!Z2583,WeightedMinAge24),MAX(CapacityAge24*'01_Вводные'!$B$218*'19_Расчет_аналитики'!Z2583,MeanMinAge24)))</f>
        <v/>
      </c>
      <c r="AA2511">
        <f>IF(OR('19_Расчет_аналитики'!AA2483=0,24&lt;='01_Вводные'!$B$297),0,'19_Расчет_аналитики'!AA2483*IF('01_Вводные'!$B$239="Да",MeanMinAge24+'19_Расчет_аналитики'!AA2583*SUMIF(ThresholdAge24,"&lt;"&amp;'19_Расчет_аналитики'!AA2583,WeightedRevAge24)-SUMIF(ThresholdAge24,"&lt;"&amp;'19_Расчет_аналитики'!AA2583,WeightedMinAge24),MAX(CapacityAge24*'01_Вводные'!$B$218*'19_Расчет_аналитики'!AA2583,MeanMinAge24)))</f>
        <v/>
      </c>
      <c r="AB2511">
        <f>IF(OR('19_Расчет_аналитики'!AB2483=0,24&lt;='01_Вводные'!$B$297),0,'19_Расчет_аналитики'!AB2483*IF('01_Вводные'!$B$239="Да",MeanMinAge24+'19_Расчет_аналитики'!AB2583*SUMIF(ThresholdAge24,"&lt;"&amp;'19_Расчет_аналитики'!AB2583,WeightedRevAge24)-SUMIF(ThresholdAge24,"&lt;"&amp;'19_Расчет_аналитики'!AB2583,WeightedMinAge24),MAX(CapacityAge24*'01_Вводные'!$B$218*'19_Расчет_аналитики'!AB2583,MeanMinAge24)))</f>
        <v/>
      </c>
      <c r="AC2511">
        <f>IF(OR('19_Расчет_аналитики'!AC2483=0,24&lt;='01_Вводные'!$B$297),0,'19_Расчет_аналитики'!AC2483*IF('01_Вводные'!$B$239="Да",MeanMinAge24+'19_Расчет_аналитики'!AC2583*SUMIF(ThresholdAge24,"&lt;"&amp;'19_Расчет_аналитики'!AC2583,WeightedRevAge24)-SUMIF(ThresholdAge24,"&lt;"&amp;'19_Расчет_аналитики'!AC2583,WeightedMinAge24),MAX(CapacityAge24*'01_Вводные'!$B$218*'19_Расчет_аналитики'!AC2583,MeanMinAge24)))</f>
        <v/>
      </c>
      <c r="AD2511">
        <f>IF(OR('19_Расчет_аналитики'!AD2483=0,24&lt;='01_Вводные'!$B$297),0,'19_Расчет_аналитики'!AD2483*IF('01_Вводные'!$B$239="Да",MeanMinAge24+'19_Расчет_аналитики'!AD2583*SUMIF(ThresholdAge24,"&lt;"&amp;'19_Расчет_аналитики'!AD2583,WeightedRevAge24)-SUMIF(ThresholdAge24,"&lt;"&amp;'19_Расчет_аналитики'!AD2583,WeightedMinAge24),MAX(CapacityAge24*'01_Вводные'!$B$218*'19_Расчет_аналитики'!AD2583,MeanMinAge24)))</f>
        <v/>
      </c>
      <c r="AE2511">
        <f>IF(OR('19_Расчет_аналитики'!AE2483=0,24&lt;='01_Вводные'!$B$297),0,'19_Расчет_аналитики'!AE2483*IF('01_Вводные'!$B$239="Да",MeanMinAge24+'19_Расчет_аналитики'!AE2583*SUMIF(ThresholdAge24,"&lt;"&amp;'19_Расчет_аналитики'!AE2583,WeightedRevAge24)-SUMIF(ThresholdAge24,"&lt;"&amp;'19_Расчет_аналитики'!AE2583,WeightedMinAge24),MAX(CapacityAge24*'01_Вводные'!$B$218*'19_Расчет_аналитики'!AE2583,MeanMinAge24)))</f>
        <v/>
      </c>
      <c r="AF2511">
        <f>IF(OR('19_Расчет_аналитики'!AF2483=0,24&lt;='01_Вводные'!$B$297),0,'19_Расчет_аналитики'!AF2483*IF('01_Вводные'!$B$239="Да",MeanMinAge24+'19_Расчет_аналитики'!AF2583*SUMIF(ThresholdAge24,"&lt;"&amp;'19_Расчет_аналитики'!AF2583,WeightedRevAge24)-SUMIF(ThresholdAge24,"&lt;"&amp;'19_Расчет_аналитики'!AF2583,WeightedMinAge24),MAX(CapacityAge24*'01_Вводные'!$B$218*'19_Расчет_аналитики'!AF2583,MeanMinAge24)))</f>
        <v/>
      </c>
      <c r="AG2511">
        <f>IF(OR('19_Расчет_аналитики'!AG2483=0,24&lt;='01_Вводные'!$B$297),0,'19_Расчет_аналитики'!AG2483*IF('01_Вводные'!$B$239="Да",MeanMinAge24+'19_Расчет_аналитики'!AG2583*SUMIF(ThresholdAge24,"&lt;"&amp;'19_Расчет_аналитики'!AG2583,WeightedRevAge24)-SUMIF(ThresholdAge24,"&lt;"&amp;'19_Расчет_аналитики'!AG2583,WeightedMinAge24),MAX(CapacityAge24*'01_Вводные'!$B$218*'19_Расчет_аналитики'!AG2583,MeanMinAge24)))</f>
        <v/>
      </c>
      <c r="AH2511">
        <f>IF(OR('19_Расчет_аналитики'!AH2483=0,24&lt;='01_Вводные'!$B$297),0,'19_Расчет_аналитики'!AH2483*IF('01_Вводные'!$B$239="Да",MeanMinAge24+'19_Расчет_аналитики'!AH2583*SUMIF(ThresholdAge24,"&lt;"&amp;'19_Расчет_аналитики'!AH2583,WeightedRevAge24)-SUMIF(ThresholdAge24,"&lt;"&amp;'19_Расчет_аналитики'!AH2583,WeightedMinAge24),MAX(CapacityAge24*'01_Вводные'!$B$218*'19_Расчет_аналитики'!AH2583,MeanMinAge24)))</f>
        <v/>
      </c>
      <c r="AI2511">
        <f>IF(OR('19_Расчет_аналитики'!AI2483=0,24&lt;='01_Вводные'!$B$297),0,'19_Расчет_аналитики'!AI2483*IF('01_Вводные'!$B$239="Да",MeanMinAge24+'19_Расчет_аналитики'!AI2583*SUMIF(ThresholdAge24,"&lt;"&amp;'19_Расчет_аналитики'!AI2583,WeightedRevAge24)-SUMIF(ThresholdAge24,"&lt;"&amp;'19_Расчет_аналитики'!AI2583,WeightedMinAge24),MAX(CapacityAge24*'01_Вводные'!$B$218*'19_Расчет_аналитики'!AI2583,MeanMinAge24)))</f>
        <v/>
      </c>
      <c r="AJ2511">
        <f>IF(OR('19_Расчет_аналитики'!AJ2483=0,24&lt;='01_Вводные'!$B$297),0,'19_Расчет_аналитики'!AJ2483*IF('01_Вводные'!$B$239="Да",MeanMinAge24+'19_Расчет_аналитики'!AJ2583*SUMIF(ThresholdAge24,"&lt;"&amp;'19_Расчет_аналитики'!AJ2583,WeightedRevAge24)-SUMIF(ThresholdAge24,"&lt;"&amp;'19_Расчет_аналитики'!AJ2583,WeightedMinAge24),MAX(CapacityAge24*'01_Вводные'!$B$218*'19_Расчет_аналитики'!AJ2583,MeanMinAge24)))</f>
        <v/>
      </c>
      <c r="AK2511">
        <f>IF(OR('19_Расчет_аналитики'!AK2483=0,24&lt;='01_Вводные'!$B$297),0,'19_Расчет_аналитики'!AK2483*IF('01_Вводные'!$B$239="Да",MeanMinAge24+'19_Расчет_аналитики'!AK2583*SUMIF(ThresholdAge24,"&lt;"&amp;'19_Расчет_аналитики'!AK2583,WeightedRevAge24)-SUMIF(ThresholdAge24,"&lt;"&amp;'19_Расчет_аналитики'!AK2583,WeightedMinAge24),MAX(CapacityAge24*'01_Вводные'!$B$218*'19_Расчет_аналитики'!AK2583,MeanMinAge24)))</f>
        <v/>
      </c>
      <c r="AL2511">
        <f>IF(OR('19_Расчет_аналитики'!AL2483=0,24&lt;='01_Вводные'!$B$297),0,'19_Расчет_аналитики'!AL2483*IF('01_Вводные'!$B$239="Да",MeanMinAge24+'19_Расчет_аналитики'!AL2583*SUMIF(ThresholdAge24,"&lt;"&amp;'19_Расчет_аналитики'!AL2583,WeightedRevAge24)-SUMIF(ThresholdAge24,"&lt;"&amp;'19_Расчет_аналитики'!AL2583,WeightedMinAge24),MAX(CapacityAge24*'01_Вводные'!$B$218*'19_Расчет_аналитики'!AL2583,MeanMinAge24)))</f>
        <v/>
      </c>
      <c r="AM2511">
        <f>IF(OR('19_Расчет_аналитики'!AM2483=0,24&lt;='01_Вводные'!$B$297),0,'19_Расчет_аналитики'!AM2483*IF('01_Вводные'!$B$239="Да",MeanMinAge24+'19_Расчет_аналитики'!AM2583*SUMIF(ThresholdAge24,"&lt;"&amp;'19_Расчет_аналитики'!AM2583,WeightedRevAge24)-SUMIF(ThresholdAge24,"&lt;"&amp;'19_Расчет_аналитики'!AM2583,WeightedMinAge24),MAX(CapacityAge24*'01_Вводные'!$B$218*'19_Расчет_аналитики'!AM2583,MeanMinAge24)))</f>
        <v/>
      </c>
      <c r="AN2511">
        <f>IF(OR('19_Расчет_аналитики'!AN2483=0,24&lt;='01_Вводные'!$B$297),0,'19_Расчет_аналитики'!AN2483*IF('01_Вводные'!$B$239="Да",MeanMinAge24+'19_Расчет_аналитики'!AN2583*SUMIF(ThresholdAge24,"&lt;"&amp;'19_Расчет_аналитики'!AN2583,WeightedRevAge24)-SUMIF(ThresholdAge24,"&lt;"&amp;'19_Расчет_аналитики'!AN2583,WeightedMinAge24),MAX(CapacityAge24*'01_Вводные'!$B$218*'19_Расчет_аналитики'!AN2583,MeanMinAge24)))</f>
        <v/>
      </c>
      <c r="AO2511">
        <f>IF(OR('19_Расчет_аналитики'!AO2483=0,24&lt;='01_Вводные'!$B$297),0,'19_Расчет_аналитики'!AO2483*IF('01_Вводные'!$B$239="Да",MeanMinAge24+'19_Расчет_аналитики'!AO2583*SUMIF(ThresholdAge24,"&lt;"&amp;'19_Расчет_аналитики'!AO2583,WeightedRevAge24)-SUMIF(ThresholdAge24,"&lt;"&amp;'19_Расчет_аналитики'!AO2583,WeightedMinAge24),MAX(CapacityAge24*'01_Вводные'!$B$218*'19_Расчет_аналитики'!AO2583,MeanMinAge24)))</f>
        <v/>
      </c>
      <c r="AP2511">
        <f>IF(OR('19_Расчет_аналитики'!AP2483=0,24&lt;='01_Вводные'!$B$297),0,'19_Расчет_аналитики'!AP2483*IF('01_Вводные'!$B$239="Да",MeanMinAge24+'19_Расчет_аналитики'!AP2583*SUMIF(ThresholdAge24,"&lt;"&amp;'19_Расчет_аналитики'!AP2583,WeightedRevAge24)-SUMIF(ThresholdAge24,"&lt;"&amp;'19_Расчет_аналитики'!AP2583,WeightedMinAge24),MAX(CapacityAge24*'01_Вводные'!$B$218*'19_Расчет_аналитики'!AP2583,MeanMinAge24)))</f>
        <v/>
      </c>
      <c r="AQ2511">
        <f>IF(OR('19_Расчет_аналитики'!AQ2483=0,24&lt;='01_Вводные'!$B$297),0,'19_Расчет_аналитики'!AQ2483*IF('01_Вводные'!$B$239="Да",MeanMinAge24+'19_Расчет_аналитики'!AQ2583*SUMIF(ThresholdAge24,"&lt;"&amp;'19_Расчет_аналитики'!AQ2583,WeightedRevAge24)-SUMIF(ThresholdAge24,"&lt;"&amp;'19_Расчет_аналитики'!AQ2583,WeightedMinAge24),MAX(CapacityAge24*'01_Вводные'!$B$218*'19_Расчет_аналитики'!AQ2583,MeanMinAge24)))</f>
        <v/>
      </c>
      <c r="AR2511">
        <f>IF(OR('19_Расчет_аналитики'!AR2483=0,24&lt;='01_Вводные'!$B$297),0,'19_Расчет_аналитики'!AR2483*IF('01_Вводные'!$B$239="Да",MeanMinAge24+'19_Расчет_аналитики'!AR2583*SUMIF(ThresholdAge24,"&lt;"&amp;'19_Расчет_аналитики'!AR2583,WeightedRevAge24)-SUMIF(ThresholdAge24,"&lt;"&amp;'19_Расчет_аналитики'!AR2583,WeightedMinAge24),MAX(CapacityAge24*'01_Вводные'!$B$218*'19_Расчет_аналитики'!AR2583,MeanMinAge24)))</f>
        <v/>
      </c>
      <c r="AS2511">
        <f>IF(OR('19_Расчет_аналитики'!AS2483=0,24&lt;='01_Вводные'!$B$297),0,'19_Расчет_аналитики'!AS2483*IF('01_Вводные'!$B$239="Да",MeanMinAge24+'19_Расчет_аналитики'!AS2583*SUMIF(ThresholdAge24,"&lt;"&amp;'19_Расчет_аналитики'!AS2583,WeightedRevAge24)-SUMIF(ThresholdAge24,"&lt;"&amp;'19_Расчет_аналитики'!AS2583,WeightedMinAge24),MAX(CapacityAge24*'01_Вводные'!$B$218*'19_Расчет_аналитики'!AS2583,MeanMinAge24)))</f>
        <v/>
      </c>
      <c r="AT2511">
        <f>IF(OR('19_Расчет_аналитики'!AT2483=0,24&lt;='01_Вводные'!$B$297),0,'19_Расчет_аналитики'!AT2483*IF('01_Вводные'!$B$239="Да",MeanMinAge24+'19_Расчет_аналитики'!AT2583*SUMIF(ThresholdAge24,"&lt;"&amp;'19_Расчет_аналитики'!AT2583,WeightedRevAge24)-SUMIF(ThresholdAge24,"&lt;"&amp;'19_Расчет_аналитики'!AT2583,WeightedMinAge24),MAX(CapacityAge24*'01_Вводные'!$B$218*'19_Расчет_аналитики'!AT2583,MeanMinAge24)))</f>
        <v/>
      </c>
      <c r="AU2511">
        <f>IF(OR('19_Расчет_аналитики'!AU2483=0,24&lt;='01_Вводные'!$B$297),0,'19_Расчет_аналитики'!AU2483*IF('01_Вводные'!$B$239="Да",MeanMinAge24+'19_Расчет_аналитики'!AU2583*SUMIF(ThresholdAge24,"&lt;"&amp;'19_Расчет_аналитики'!AU2583,WeightedRevAge24)-SUMIF(ThresholdAge24,"&lt;"&amp;'19_Расчет_аналитики'!AU2583,WeightedMinAge24),MAX(CapacityAge24*'01_Вводные'!$B$218*'19_Расчет_аналитики'!AU2583,MeanMinAge24)))</f>
        <v/>
      </c>
      <c r="AV2511">
        <f>IF(OR('19_Расчет_аналитики'!AV2483=0,24&lt;='01_Вводные'!$B$297),0,'19_Расчет_аналитики'!AV2483*IF('01_Вводные'!$B$239="Да",MeanMinAge24+'19_Расчет_аналитики'!AV2583*SUMIF(ThresholdAge24,"&lt;"&amp;'19_Расчет_аналитики'!AV2583,WeightedRevAge24)-SUMIF(ThresholdAge24,"&lt;"&amp;'19_Расчет_аналитики'!AV2583,WeightedMinAge24),MAX(CapacityAge24*'01_Вводные'!$B$218*'19_Расчет_аналитики'!AV2583,MeanMinAge24)))</f>
        <v/>
      </c>
      <c r="AW2511">
        <f>IF(OR('19_Расчет_аналитики'!AW2483=0,24&lt;='01_Вводные'!$B$297),0,'19_Расчет_аналитики'!AW2483*IF('01_Вводные'!$B$239="Да",MeanMinAge24+'19_Расчет_аналитики'!AW2583*SUMIF(ThresholdAge24,"&lt;"&amp;'19_Расчет_аналитики'!AW2583,WeightedRevAge24)-SUMIF(ThresholdAge24,"&lt;"&amp;'19_Расчет_аналитики'!AW2583,WeightedMinAge24),MAX(CapacityAge24*'01_Вводные'!$B$218*'19_Расчет_аналитики'!AW2583,MeanMinAge24)))</f>
        <v/>
      </c>
      <c r="AX2511">
        <f>IF(OR('19_Расчет_аналитики'!AX2483=0,24&lt;='01_Вводные'!$B$297),0,'19_Расчет_аналитики'!AX2483*IF('01_Вводные'!$B$239="Да",MeanMinAge24+'19_Расчет_аналитики'!AX2583*SUMIF(ThresholdAge24,"&lt;"&amp;'19_Расчет_аналитики'!AX2583,WeightedRevAge24)-SUMIF(ThresholdAge24,"&lt;"&amp;'19_Расчет_аналитики'!AX2583,WeightedMinAge24),MAX(CapacityAge24*'01_Вводные'!$B$218*'19_Расчет_аналитики'!AX2583,MeanMinAge24)))</f>
        <v/>
      </c>
      <c r="AY2511">
        <f>IF(OR('19_Расчет_аналитики'!AY2483=0,24&lt;='01_Вводные'!$B$297),0,'19_Расчет_аналитики'!AY2483*IF('01_Вводные'!$B$239="Да",MeanMinAge24+'19_Расчет_аналитики'!AY2583*SUMIF(ThresholdAge24,"&lt;"&amp;'19_Расчет_аналитики'!AY2583,WeightedRevAge24)-SUMIF(ThresholdAge24,"&lt;"&amp;'19_Расчет_аналитики'!AY2583,WeightedMinAge24),MAX(CapacityAge24*'01_Вводные'!$B$218*'19_Расчет_аналитики'!AY2583,MeanMinAge24)))</f>
        <v/>
      </c>
      <c r="AZ2511">
        <f>IF(OR('19_Расчет_аналитики'!AZ2483=0,24&lt;='01_Вводные'!$B$297),0,'19_Расчет_аналитики'!AZ2483*IF('01_Вводные'!$B$239="Да",MeanMinAge24+'19_Расчет_аналитики'!AZ2583*SUMIF(ThresholdAge24,"&lt;"&amp;'19_Расчет_аналитики'!AZ2583,WeightedRevAge24)-SUMIF(ThresholdAge24,"&lt;"&amp;'19_Расчет_аналитики'!AZ2583,WeightedMinAge24),MAX(CapacityAge24*'01_Вводные'!$B$218*'19_Расчет_аналитики'!AZ2583,MeanMinAge24)))</f>
        <v/>
      </c>
      <c r="BA2511">
        <f>IF(OR('19_Расчет_аналитики'!BA2483=0,24&lt;='01_Вводные'!$B$297),0,'19_Расчет_аналитики'!BA2483*IF('01_Вводные'!$B$239="Да",MeanMinAge24+'19_Расчет_аналитики'!BA2583*SUMIF(ThresholdAge24,"&lt;"&amp;'19_Расчет_аналитики'!BA2583,WeightedRevAge24)-SUMIF(ThresholdAge24,"&lt;"&amp;'19_Расчет_аналитики'!BA2583,WeightedMinAge24),MAX(CapacityAge24*'01_Вводные'!$B$218*'19_Расчет_аналитики'!BA2583,MeanMinAge24)))</f>
        <v/>
      </c>
      <c r="BB2511">
        <f>IF(OR('19_Расчет_аналитики'!BB2483=0,24&lt;='01_Вводные'!$B$297),0,'19_Расчет_аналитики'!BB2483*IF('01_Вводные'!$B$239="Да",MeanMinAge24+'19_Расчет_аналитики'!BB2583*SUMIF(ThresholdAge24,"&lt;"&amp;'19_Расчет_аналитики'!BB2583,WeightedRevAge24)-SUMIF(ThresholdAge24,"&lt;"&amp;'19_Расчет_аналитики'!BB2583,WeightedMinAge24),MAX(CapacityAge24*'01_Вводные'!$B$218*'19_Расчет_аналитики'!BB2583,MeanMinAge24)))</f>
        <v/>
      </c>
      <c r="BC2511">
        <f>IF(OR('19_Расчет_аналитики'!BC2483=0,24&lt;='01_Вводные'!$B$297),0,'19_Расчет_аналитики'!BC2483*IF('01_Вводные'!$B$239="Да",MeanMinAge24+'19_Расчет_аналитики'!BC2583*SUMIF(ThresholdAge24,"&lt;"&amp;'19_Расчет_аналитики'!BC2583,WeightedRevAge24)-SUMIF(ThresholdAge24,"&lt;"&amp;'19_Расчет_аналитики'!BC2583,WeightedMinAge24),MAX(CapacityAge24*'01_Вводные'!$B$218*'19_Расчет_аналитики'!BC2583,MeanMinAge24)))</f>
        <v/>
      </c>
      <c r="BD2511">
        <f>IF(OR('19_Расчет_аналитики'!BD2483=0,24&lt;='01_Вводные'!$B$297),0,'19_Расчет_аналитики'!BD2483*IF('01_Вводные'!$B$239="Да",MeanMinAge24+'19_Расчет_аналитики'!BD2583*SUMIF(ThresholdAge24,"&lt;"&amp;'19_Расчет_аналитики'!BD2583,WeightedRevAge24)-SUMIF(ThresholdAge24,"&lt;"&amp;'19_Расчет_аналитики'!BD2583,WeightedMinAge24),MAX(CapacityAge24*'01_Вводные'!$B$218*'19_Расчет_аналитики'!BD2583,MeanMinAge24)))</f>
        <v/>
      </c>
      <c r="BE2511">
        <f>IF(OR('19_Расчет_аналитики'!BE2483=0,24&lt;='01_Вводные'!$B$297),0,'19_Расчет_аналитики'!BE2483*IF('01_Вводные'!$B$239="Да",MeanMinAge24+'19_Расчет_аналитики'!BE2583*SUMIF(ThresholdAge24,"&lt;"&amp;'19_Расчет_аналитики'!BE2583,WeightedRevAge24)-SUMIF(ThresholdAge24,"&lt;"&amp;'19_Расчет_аналитики'!BE2583,WeightedMinAge24),MAX(CapacityAge24*'01_Вводные'!$B$218*'19_Расчет_аналитики'!BE2583,MeanMinAge24)))</f>
        <v/>
      </c>
      <c r="BF2511">
        <f>IF(OR('19_Расчет_аналитики'!BF2483=0,24&lt;='01_Вводные'!$B$297),0,'19_Расчет_аналитики'!BF2483*IF('01_Вводные'!$B$239="Да",MeanMinAge24+'19_Расчет_аналитики'!BF2583*SUMIF(ThresholdAge24,"&lt;"&amp;'19_Расчет_аналитики'!BF2583,WeightedRevAge24)-SUMIF(ThresholdAge24,"&lt;"&amp;'19_Расчет_аналитики'!BF2583,WeightedMinAge24),MAX(CapacityAge24*'01_Вводные'!$B$218*'19_Расчет_аналитики'!BF2583,MeanMinAge24)))</f>
        <v/>
      </c>
      <c r="BG2511">
        <f>IF(OR('19_Расчет_аналитики'!BG2483=0,24&lt;='01_Вводные'!$B$297),0,'19_Расчет_аналитики'!BG2483*IF('01_Вводные'!$B$239="Да",MeanMinAge24+'19_Расчет_аналитики'!BG2583*SUMIF(ThresholdAge24,"&lt;"&amp;'19_Расчет_аналитики'!BG2583,WeightedRevAge24)-SUMIF(ThresholdAge24,"&lt;"&amp;'19_Расчет_аналитики'!BG2583,WeightedMinAge24),MAX(CapacityAge24*'01_Вводные'!$B$218*'19_Расчет_аналитики'!BG2583,MeanMinAge24)))</f>
        <v/>
      </c>
      <c r="BH2511">
        <f>IF(OR('19_Расчет_аналитики'!BH2483=0,24&lt;='01_Вводные'!$B$297),0,'19_Расчет_аналитики'!BH2483*IF('01_Вводные'!$B$239="Да",MeanMinAge24+'19_Расчет_аналитики'!BH2583*SUMIF(ThresholdAge24,"&lt;"&amp;'19_Расчет_аналитики'!BH2583,WeightedRevAge24)-SUMIF(ThresholdAge24,"&lt;"&amp;'19_Расчет_аналитики'!BH2583,WeightedMinAge24),MAX(CapacityAge24*'01_Вводные'!$B$218*'19_Расчет_аналитики'!BH2583,MeanMinAge24)))</f>
        <v/>
      </c>
      <c r="BI2511">
        <f>IF(OR('19_Расчет_аналитики'!BI2483=0,24&lt;='01_Вводные'!$B$297),0,'19_Расчет_аналитики'!BI2483*IF('01_Вводные'!$B$239="Да",MeanMinAge24+'19_Расчет_аналитики'!BI2583*SUMIF(ThresholdAge24,"&lt;"&amp;'19_Расчет_аналитики'!BI2583,WeightedRevAge24)-SUMIF(ThresholdAge24,"&lt;"&amp;'19_Расчет_аналитики'!BI2583,WeightedMinAge24),MAX(CapacityAge24*'01_Вводные'!$B$218*'19_Расчет_аналитики'!BI2583,MeanMinAge24)))</f>
        <v/>
      </c>
      <c r="BJ2511">
        <f>IF(OR('19_Расчет_аналитики'!BJ2483=0,24&lt;='01_Вводные'!$B$297),0,'19_Расчет_аналитики'!BJ2483*IF('01_Вводные'!$B$239="Да",MeanMinAge24+'19_Расчет_аналитики'!BJ2583*SUMIF(ThresholdAge24,"&lt;"&amp;'19_Расчет_аналитики'!BJ2583,WeightedRevAge24)-SUMIF(ThresholdAge24,"&lt;"&amp;'19_Расчет_аналитики'!BJ2583,WeightedMinAge24),MAX(CapacityAge24*'01_Вводные'!$B$218*'19_Расчет_аналитики'!BJ2583,MeanMinAge24)))</f>
        <v/>
      </c>
      <c r="BK2511">
        <f>IF(OR('19_Расчет_аналитики'!BK2483=0,24&lt;='01_Вводные'!$B$297),0,'19_Расчет_аналитики'!BK2483*IF('01_Вводные'!$B$239="Да",MeanMinAge24+'19_Расчет_аналитики'!BK2583*SUMIF(ThresholdAge24,"&lt;"&amp;'19_Расчет_аналитики'!BK2583,WeightedRevAge24)-SUMIF(ThresholdAge24,"&lt;"&amp;'19_Расчет_аналитики'!BK2583,WeightedMinAge24),MAX(CapacityAge24*'01_Вводные'!$B$218*'19_Расчет_аналитики'!BK2583,MeanMinAge24)))</f>
        <v/>
      </c>
      <c r="BL2511">
        <f>IF(OR('19_Расчет_аналитики'!BL2483=0,24&lt;='01_Вводные'!$B$297),0,'19_Расчет_аналитики'!BL2483*IF('01_Вводные'!$B$239="Да",MeanMinAge24+'19_Расчет_аналитики'!BL2583*SUMIF(ThresholdAge24,"&lt;"&amp;'19_Расчет_аналитики'!BL2583,WeightedRevAge24)-SUMIF(ThresholdAge24,"&lt;"&amp;'19_Расчет_аналитики'!BL2583,WeightedMinAge24),MAX(CapacityAge24*'01_Вводные'!$B$218*'19_Расчет_аналитики'!BL2583,MeanMinAge24)))</f>
        <v/>
      </c>
      <c r="BM2511">
        <f>IF(OR('19_Расчет_аналитики'!BM2483=0,24&lt;='01_Вводные'!$B$297),0,'19_Расчет_аналитики'!BM2483*IF('01_Вводные'!$B$239="Да",MeanMinAge24+'19_Расчет_аналитики'!BM2583*SUMIF(ThresholdAge24,"&lt;"&amp;'19_Расчет_аналитики'!BM2583,WeightedRevAge24)-SUMIF(ThresholdAge24,"&lt;"&amp;'19_Расчет_аналитики'!BM2583,WeightedMinAge24),MAX(CapacityAge24*'01_Вводные'!$B$218*'19_Расчет_аналитики'!BM2583,MeanMinAge24)))</f>
        <v/>
      </c>
      <c r="BN2511">
        <f>IF(OR('19_Расчет_аналитики'!BN2483=0,24&lt;='01_Вводные'!$B$297),0,'19_Расчет_аналитики'!BN2483*IF('01_Вводные'!$B$239="Да",MeanMinAge24+'19_Расчет_аналитики'!BN2583*SUMIF(ThresholdAge24,"&lt;"&amp;'19_Расчет_аналитики'!BN2583,WeightedRevAge24)-SUMIF(ThresholdAge24,"&lt;"&amp;'19_Расчет_аналитики'!BN2583,WeightedMinAge24),MAX(CapacityAge24*'01_Вводные'!$B$218*'19_Расчет_аналитики'!BN2583,MeanMinAge24)))</f>
        <v/>
      </c>
      <c r="BO2511">
        <f>IF(OR('19_Расчет_аналитики'!BO2483=0,24&lt;='01_Вводные'!$B$297),0,'19_Расчет_аналитики'!BO2483*IF('01_Вводные'!$B$239="Да",MeanMinAge24+'19_Расчет_аналитики'!BO2583*SUMIF(ThresholdAge24,"&lt;"&amp;'19_Расчет_аналитики'!BO2583,WeightedRevAge24)-SUMIF(ThresholdAge24,"&lt;"&amp;'19_Расчет_аналитики'!BO2583,WeightedMinAge24),MAX(CapacityAge24*'01_Вводные'!$B$218*'19_Расчет_аналитики'!BO2583,MeanMinAge24)))</f>
        <v/>
      </c>
    </row>
    <row r="2512">
      <c r="B2512">
        <f>IF(OR('06_Сеть_и_дети'!B105=0,25&lt;='01_Вводные'!$B$297),0,'06_Сеть_и_дети'!B105*IF('01_Вводные'!$B$239="Да",MeanMinAge25+'19_Расчет_аналитики'!B2583*SUMIF(ThresholdAge25,"&lt;"&amp;'19_Расчет_аналитики'!B2583,WeightedRevAge25)-SUMIF(ThresholdAge25,"&lt;"&amp;'19_Расчет_аналитики'!B2583,WeightedMinAge25),MAX(CapacityAge25*'01_Вводные'!$B$218*'19_Расчет_аналитики'!B2583,MeanMinAge25)))</f>
        <v/>
      </c>
      <c r="C2512">
        <f>IF(OR('06_Сеть_и_дети'!C105=0,25&lt;='01_Вводные'!$B$297),0,'06_Сеть_и_дети'!C105*IF('01_Вводные'!$B$239="Да",MeanMinAge25+'19_Расчет_аналитики'!C2583*SUMIF(ThresholdAge25,"&lt;"&amp;'19_Расчет_аналитики'!C2583,WeightedRevAge25)-SUMIF(ThresholdAge25,"&lt;"&amp;'19_Расчет_аналитики'!C2583,WeightedMinAge25),MAX(CapacityAge25*'01_Вводные'!$B$218*'19_Расчет_аналитики'!C2583,MeanMinAge25)))</f>
        <v/>
      </c>
      <c r="D2512">
        <f>IF(OR('06_Сеть_и_дети'!D105=0,25&lt;='01_Вводные'!$B$297),0,'06_Сеть_и_дети'!D105*IF('01_Вводные'!$B$239="Да",MeanMinAge25+'19_Расчет_аналитики'!D2583*SUMIF(ThresholdAge25,"&lt;"&amp;'19_Расчет_аналитики'!D2583,WeightedRevAge25)-SUMIF(ThresholdAge25,"&lt;"&amp;'19_Расчет_аналитики'!D2583,WeightedMinAge25),MAX(CapacityAge25*'01_Вводные'!$B$218*'19_Расчет_аналитики'!D2583,MeanMinAge25)))</f>
        <v/>
      </c>
      <c r="E2512">
        <f>IF(OR('06_Сеть_и_дети'!E105=0,25&lt;='01_Вводные'!$B$297),0,'06_Сеть_и_дети'!E105*IF('01_Вводные'!$B$239="Да",MeanMinAge25+'19_Расчет_аналитики'!E2583*SUMIF(ThresholdAge25,"&lt;"&amp;'19_Расчет_аналитики'!E2583,WeightedRevAge25)-SUMIF(ThresholdAge25,"&lt;"&amp;'19_Расчет_аналитики'!E2583,WeightedMinAge25),MAX(CapacityAge25*'01_Вводные'!$B$218*'19_Расчет_аналитики'!E2583,MeanMinAge25)))</f>
        <v/>
      </c>
      <c r="F2512">
        <f>IF(OR('06_Сеть_и_дети'!F105=0,25&lt;='01_Вводные'!$B$297),0,'06_Сеть_и_дети'!F105*IF('01_Вводные'!$B$239="Да",MeanMinAge25+'19_Расчет_аналитики'!F2583*SUMIF(ThresholdAge25,"&lt;"&amp;'19_Расчет_аналитики'!F2583,WeightedRevAge25)-SUMIF(ThresholdAge25,"&lt;"&amp;'19_Расчет_аналитики'!F2583,WeightedMinAge25),MAX(CapacityAge25*'01_Вводные'!$B$218*'19_Расчет_аналитики'!F2583,MeanMinAge25)))</f>
        <v/>
      </c>
      <c r="G2512">
        <f>IF(OR('06_Сеть_и_дети'!G105=0,25&lt;='01_Вводные'!$B$297),0,'06_Сеть_и_дети'!G105*IF('01_Вводные'!$B$239="Да",MeanMinAge25+'19_Расчет_аналитики'!G2583*SUMIF(ThresholdAge25,"&lt;"&amp;'19_Расчет_аналитики'!G2583,WeightedRevAge25)-SUMIF(ThresholdAge25,"&lt;"&amp;'19_Расчет_аналитики'!G2583,WeightedMinAge25),MAX(CapacityAge25*'01_Вводные'!$B$218*'19_Расчет_аналитики'!G2583,MeanMinAge25)))</f>
        <v/>
      </c>
      <c r="H2512">
        <f>IF(OR('06_Сеть_и_дети'!H105=0,25&lt;='01_Вводные'!$B$297),0,'06_Сеть_и_дети'!H105*IF('01_Вводные'!$B$239="Да",MeanMinAge25+'19_Расчет_аналитики'!H2583*SUMIF(ThresholdAge25,"&lt;"&amp;'19_Расчет_аналитики'!H2583,WeightedRevAge25)-SUMIF(ThresholdAge25,"&lt;"&amp;'19_Расчет_аналитики'!H2583,WeightedMinAge25),MAX(CapacityAge25*'01_Вводные'!$B$218*'19_Расчет_аналитики'!H2583,MeanMinAge25)))</f>
        <v/>
      </c>
      <c r="I2512">
        <f>IF(OR('06_Сеть_и_дети'!I105=0,25&lt;='01_Вводные'!$B$297),0,'06_Сеть_и_дети'!I105*IF('01_Вводные'!$B$239="Да",MeanMinAge25+'19_Расчет_аналитики'!I2583*SUMIF(ThresholdAge25,"&lt;"&amp;'19_Расчет_аналитики'!I2583,WeightedRevAge25)-SUMIF(ThresholdAge25,"&lt;"&amp;'19_Расчет_аналитики'!I2583,WeightedMinAge25),MAX(CapacityAge25*'01_Вводные'!$B$218*'19_Расчет_аналитики'!I2583,MeanMinAge25)))</f>
        <v/>
      </c>
      <c r="J2512">
        <f>IF(OR('06_Сеть_и_дети'!J105=0,25&lt;='01_Вводные'!$B$297),0,'06_Сеть_и_дети'!J105*IF('01_Вводные'!$B$239="Да",MeanMinAge25+'19_Расчет_аналитики'!J2583*SUMIF(ThresholdAge25,"&lt;"&amp;'19_Расчет_аналитики'!J2583,WeightedRevAge25)-SUMIF(ThresholdAge25,"&lt;"&amp;'19_Расчет_аналитики'!J2583,WeightedMinAge25),MAX(CapacityAge25*'01_Вводные'!$B$218*'19_Расчет_аналитики'!J2583,MeanMinAge25)))</f>
        <v/>
      </c>
      <c r="K2512">
        <f>IF(OR('06_Сеть_и_дети'!K105=0,25&lt;='01_Вводные'!$B$297),0,'06_Сеть_и_дети'!K105*IF('01_Вводные'!$B$239="Да",MeanMinAge25+'19_Расчет_аналитики'!K2583*SUMIF(ThresholdAge25,"&lt;"&amp;'19_Расчет_аналитики'!K2583,WeightedRevAge25)-SUMIF(ThresholdAge25,"&lt;"&amp;'19_Расчет_аналитики'!K2583,WeightedMinAge25),MAX(CapacityAge25*'01_Вводные'!$B$218*'19_Расчет_аналитики'!K2583,MeanMinAge25)))</f>
        <v/>
      </c>
      <c r="L2512">
        <f>IF(OR('06_Сеть_и_дети'!L105=0,25&lt;='01_Вводные'!$B$297),0,'06_Сеть_и_дети'!L105*IF('01_Вводные'!$B$239="Да",MeanMinAge25+'19_Расчет_аналитики'!L2583*SUMIF(ThresholdAge25,"&lt;"&amp;'19_Расчет_аналитики'!L2583,WeightedRevAge25)-SUMIF(ThresholdAge25,"&lt;"&amp;'19_Расчет_аналитики'!L2583,WeightedMinAge25),MAX(CapacityAge25*'01_Вводные'!$B$218*'19_Расчет_аналитики'!L2583,MeanMinAge25)))</f>
        <v/>
      </c>
      <c r="M2512">
        <f>IF(OR('06_Сеть_и_дети'!M105=0,25&lt;='01_Вводные'!$B$297),0,'06_Сеть_и_дети'!M105*IF('01_Вводные'!$B$239="Да",MeanMinAge25+'19_Расчет_аналитики'!M2583*SUMIF(ThresholdAge25,"&lt;"&amp;'19_Расчет_аналитики'!M2583,WeightedRevAge25)-SUMIF(ThresholdAge25,"&lt;"&amp;'19_Расчет_аналитики'!M2583,WeightedMinAge25),MAX(CapacityAge25*'01_Вводные'!$B$218*'19_Расчет_аналитики'!M2583,MeanMinAge25)))</f>
        <v/>
      </c>
      <c r="N2512">
        <f>IF(OR('06_Сеть_и_дети'!N105=0,25&lt;='01_Вводные'!$B$297),0,'06_Сеть_и_дети'!N105*IF('01_Вводные'!$B$239="Да",MeanMinAge25+'19_Расчет_аналитики'!N2583*SUMIF(ThresholdAge25,"&lt;"&amp;'19_Расчет_аналитики'!N2583,WeightedRevAge25)-SUMIF(ThresholdAge25,"&lt;"&amp;'19_Расчет_аналитики'!N2583,WeightedMinAge25),MAX(CapacityAge25*'01_Вводные'!$B$218*'19_Расчет_аналитики'!N2583,MeanMinAge25)))</f>
        <v/>
      </c>
      <c r="O2512">
        <f>IF(OR('06_Сеть_и_дети'!O105=0,25&lt;='01_Вводные'!$B$297),0,'06_Сеть_и_дети'!O105*IF('01_Вводные'!$B$239="Да",MeanMinAge25+'19_Расчет_аналитики'!O2583*SUMIF(ThresholdAge25,"&lt;"&amp;'19_Расчет_аналитики'!O2583,WeightedRevAge25)-SUMIF(ThresholdAge25,"&lt;"&amp;'19_Расчет_аналитики'!O2583,WeightedMinAge25),MAX(CapacityAge25*'01_Вводные'!$B$218*'19_Расчет_аналитики'!O2583,MeanMinAge25)))</f>
        <v/>
      </c>
      <c r="P2512">
        <f>IF(OR('06_Сеть_и_дети'!P105=0,25&lt;='01_Вводные'!$B$297),0,'06_Сеть_и_дети'!P105*IF('01_Вводные'!$B$239="Да",MeanMinAge25+'19_Расчет_аналитики'!P2583*SUMIF(ThresholdAge25,"&lt;"&amp;'19_Расчет_аналитики'!P2583,WeightedRevAge25)-SUMIF(ThresholdAge25,"&lt;"&amp;'19_Расчет_аналитики'!P2583,WeightedMinAge25),MAX(CapacityAge25*'01_Вводные'!$B$218*'19_Расчет_аналитики'!P2583,MeanMinAge25)))</f>
        <v/>
      </c>
      <c r="Q2512">
        <f>IF(OR('06_Сеть_и_дети'!Q105=0,25&lt;='01_Вводные'!$B$297),0,'06_Сеть_и_дети'!Q105*IF('01_Вводные'!$B$239="Да",MeanMinAge25+'19_Расчет_аналитики'!Q2583*SUMIF(ThresholdAge25,"&lt;"&amp;'19_Расчет_аналитики'!Q2583,WeightedRevAge25)-SUMIF(ThresholdAge25,"&lt;"&amp;'19_Расчет_аналитики'!Q2583,WeightedMinAge25),MAX(CapacityAge25*'01_Вводные'!$B$218*'19_Расчет_аналитики'!Q2583,MeanMinAge25)))</f>
        <v/>
      </c>
      <c r="R2512">
        <f>IF(OR('06_Сеть_и_дети'!R105=0,25&lt;='01_Вводные'!$B$297),0,'06_Сеть_и_дети'!R105*IF('01_Вводные'!$B$239="Да",MeanMinAge25+'19_Расчет_аналитики'!R2583*SUMIF(ThresholdAge25,"&lt;"&amp;'19_Расчет_аналитики'!R2583,WeightedRevAge25)-SUMIF(ThresholdAge25,"&lt;"&amp;'19_Расчет_аналитики'!R2583,WeightedMinAge25),MAX(CapacityAge25*'01_Вводные'!$B$218*'19_Расчет_аналитики'!R2583,MeanMinAge25)))</f>
        <v/>
      </c>
      <c r="S2512">
        <f>IF(OR('06_Сеть_и_дети'!S105=0,25&lt;='01_Вводные'!$B$297),0,'06_Сеть_и_дети'!S105*IF('01_Вводные'!$B$239="Да",MeanMinAge25+'19_Расчет_аналитики'!S2583*SUMIF(ThresholdAge25,"&lt;"&amp;'19_Расчет_аналитики'!S2583,WeightedRevAge25)-SUMIF(ThresholdAge25,"&lt;"&amp;'19_Расчет_аналитики'!S2583,WeightedMinAge25),MAX(CapacityAge25*'01_Вводные'!$B$218*'19_Расчет_аналитики'!S2583,MeanMinAge25)))</f>
        <v/>
      </c>
      <c r="T2512">
        <f>IF(OR('06_Сеть_и_дети'!T105=0,25&lt;='01_Вводные'!$B$297),0,'06_Сеть_и_дети'!T105*IF('01_Вводные'!$B$239="Да",MeanMinAge25+'19_Расчет_аналитики'!T2583*SUMIF(ThresholdAge25,"&lt;"&amp;'19_Расчет_аналитики'!T2583,WeightedRevAge25)-SUMIF(ThresholdAge25,"&lt;"&amp;'19_Расчет_аналитики'!T2583,WeightedMinAge25),MAX(CapacityAge25*'01_Вводные'!$B$218*'19_Расчет_аналитики'!T2583,MeanMinAge25)))</f>
        <v/>
      </c>
      <c r="U2512">
        <f>IF(OR('06_Сеть_и_дети'!U105=0,25&lt;='01_Вводные'!$B$297),0,'06_Сеть_и_дети'!U105*IF('01_Вводные'!$B$239="Да",MeanMinAge25+'19_Расчет_аналитики'!U2583*SUMIF(ThresholdAge25,"&lt;"&amp;'19_Расчет_аналитики'!U2583,WeightedRevAge25)-SUMIF(ThresholdAge25,"&lt;"&amp;'19_Расчет_аналитики'!U2583,WeightedMinAge25),MAX(CapacityAge25*'01_Вводные'!$B$218*'19_Расчет_аналитики'!U2583,MeanMinAge25)))</f>
        <v/>
      </c>
      <c r="V2512">
        <f>IF(OR('06_Сеть_и_дети'!V105=0,25&lt;='01_Вводные'!$B$297),0,'06_Сеть_и_дети'!V105*IF('01_Вводные'!$B$239="Да",MeanMinAge25+'19_Расчет_аналитики'!V2583*SUMIF(ThresholdAge25,"&lt;"&amp;'19_Расчет_аналитики'!V2583,WeightedRevAge25)-SUMIF(ThresholdAge25,"&lt;"&amp;'19_Расчет_аналитики'!V2583,WeightedMinAge25),MAX(CapacityAge25*'01_Вводные'!$B$218*'19_Расчет_аналитики'!V2583,MeanMinAge25)))</f>
        <v/>
      </c>
      <c r="W2512">
        <f>IF(OR('06_Сеть_и_дети'!W105=0,25&lt;='01_Вводные'!$B$297),0,'06_Сеть_и_дети'!W105*IF('01_Вводные'!$B$239="Да",MeanMinAge25+'19_Расчет_аналитики'!W2583*SUMIF(ThresholdAge25,"&lt;"&amp;'19_Расчет_аналитики'!W2583,WeightedRevAge25)-SUMIF(ThresholdAge25,"&lt;"&amp;'19_Расчет_аналитики'!W2583,WeightedMinAge25),MAX(CapacityAge25*'01_Вводные'!$B$218*'19_Расчет_аналитики'!W2583,MeanMinAge25)))</f>
        <v/>
      </c>
      <c r="X2512">
        <f>IF(OR('06_Сеть_и_дети'!X105=0,25&lt;='01_Вводные'!$B$297),0,'06_Сеть_и_дети'!X105*IF('01_Вводные'!$B$239="Да",MeanMinAge25+'19_Расчет_аналитики'!X2583*SUMIF(ThresholdAge25,"&lt;"&amp;'19_Расчет_аналитики'!X2583,WeightedRevAge25)-SUMIF(ThresholdAge25,"&lt;"&amp;'19_Расчет_аналитики'!X2583,WeightedMinAge25),MAX(CapacityAge25*'01_Вводные'!$B$218*'19_Расчет_аналитики'!X2583,MeanMinAge25)))</f>
        <v/>
      </c>
      <c r="Y2512">
        <f>IF(OR('06_Сеть_и_дети'!Y105=0,25&lt;='01_Вводные'!$B$297),0,'06_Сеть_и_дети'!Y105*IF('01_Вводные'!$B$239="Да",MeanMinAge25+'19_Расчет_аналитики'!Y2583*SUMIF(ThresholdAge25,"&lt;"&amp;'19_Расчет_аналитики'!Y2583,WeightedRevAge25)-SUMIF(ThresholdAge25,"&lt;"&amp;'19_Расчет_аналитики'!Y2583,WeightedMinAge25),MAX(CapacityAge25*'01_Вводные'!$B$218*'19_Расчет_аналитики'!Y2583,MeanMinAge25)))</f>
        <v/>
      </c>
      <c r="Z2512">
        <f>IF(OR('19_Расчет_аналитики'!Z2484=0,25&lt;='01_Вводные'!$B$297),0,'19_Расчет_аналитики'!Z2484*IF('01_Вводные'!$B$239="Да",MeanMinAge25+'19_Расчет_аналитики'!Z2583*SUMIF(ThresholdAge25,"&lt;"&amp;'19_Расчет_аналитики'!Z2583,WeightedRevAge25)-SUMIF(ThresholdAge25,"&lt;"&amp;'19_Расчет_аналитики'!Z2583,WeightedMinAge25),MAX(CapacityAge25*'01_Вводные'!$B$218*'19_Расчет_аналитики'!Z2583,MeanMinAge25)))</f>
        <v/>
      </c>
      <c r="AA2512">
        <f>IF(OR('19_Расчет_аналитики'!AA2484=0,25&lt;='01_Вводные'!$B$297),0,'19_Расчет_аналитики'!AA2484*IF('01_Вводные'!$B$239="Да",MeanMinAge25+'19_Расчет_аналитики'!AA2583*SUMIF(ThresholdAge25,"&lt;"&amp;'19_Расчет_аналитики'!AA2583,WeightedRevAge25)-SUMIF(ThresholdAge25,"&lt;"&amp;'19_Расчет_аналитики'!AA2583,WeightedMinAge25),MAX(CapacityAge25*'01_Вводные'!$B$218*'19_Расчет_аналитики'!AA2583,MeanMinAge25)))</f>
        <v/>
      </c>
      <c r="AB2512">
        <f>IF(OR('19_Расчет_аналитики'!AB2484=0,25&lt;='01_Вводные'!$B$297),0,'19_Расчет_аналитики'!AB2484*IF('01_Вводные'!$B$239="Да",MeanMinAge25+'19_Расчет_аналитики'!AB2583*SUMIF(ThresholdAge25,"&lt;"&amp;'19_Расчет_аналитики'!AB2583,WeightedRevAge25)-SUMIF(ThresholdAge25,"&lt;"&amp;'19_Расчет_аналитики'!AB2583,WeightedMinAge25),MAX(CapacityAge25*'01_Вводные'!$B$218*'19_Расчет_аналитики'!AB2583,MeanMinAge25)))</f>
        <v/>
      </c>
      <c r="AC2512">
        <f>IF(OR('19_Расчет_аналитики'!AC2484=0,25&lt;='01_Вводные'!$B$297),0,'19_Расчет_аналитики'!AC2484*IF('01_Вводные'!$B$239="Да",MeanMinAge25+'19_Расчет_аналитики'!AC2583*SUMIF(ThresholdAge25,"&lt;"&amp;'19_Расчет_аналитики'!AC2583,WeightedRevAge25)-SUMIF(ThresholdAge25,"&lt;"&amp;'19_Расчет_аналитики'!AC2583,WeightedMinAge25),MAX(CapacityAge25*'01_Вводные'!$B$218*'19_Расчет_аналитики'!AC2583,MeanMinAge25)))</f>
        <v/>
      </c>
      <c r="AD2512">
        <f>IF(OR('19_Расчет_аналитики'!AD2484=0,25&lt;='01_Вводные'!$B$297),0,'19_Расчет_аналитики'!AD2484*IF('01_Вводные'!$B$239="Да",MeanMinAge25+'19_Расчет_аналитики'!AD2583*SUMIF(ThresholdAge25,"&lt;"&amp;'19_Расчет_аналитики'!AD2583,WeightedRevAge25)-SUMIF(ThresholdAge25,"&lt;"&amp;'19_Расчет_аналитики'!AD2583,WeightedMinAge25),MAX(CapacityAge25*'01_Вводные'!$B$218*'19_Расчет_аналитики'!AD2583,MeanMinAge25)))</f>
        <v/>
      </c>
      <c r="AE2512">
        <f>IF(OR('19_Расчет_аналитики'!AE2484=0,25&lt;='01_Вводные'!$B$297),0,'19_Расчет_аналитики'!AE2484*IF('01_Вводные'!$B$239="Да",MeanMinAge25+'19_Расчет_аналитики'!AE2583*SUMIF(ThresholdAge25,"&lt;"&amp;'19_Расчет_аналитики'!AE2583,WeightedRevAge25)-SUMIF(ThresholdAge25,"&lt;"&amp;'19_Расчет_аналитики'!AE2583,WeightedMinAge25),MAX(CapacityAge25*'01_Вводные'!$B$218*'19_Расчет_аналитики'!AE2583,MeanMinAge25)))</f>
        <v/>
      </c>
      <c r="AF2512">
        <f>IF(OR('19_Расчет_аналитики'!AF2484=0,25&lt;='01_Вводные'!$B$297),0,'19_Расчет_аналитики'!AF2484*IF('01_Вводные'!$B$239="Да",MeanMinAge25+'19_Расчет_аналитики'!AF2583*SUMIF(ThresholdAge25,"&lt;"&amp;'19_Расчет_аналитики'!AF2583,WeightedRevAge25)-SUMIF(ThresholdAge25,"&lt;"&amp;'19_Расчет_аналитики'!AF2583,WeightedMinAge25),MAX(CapacityAge25*'01_Вводные'!$B$218*'19_Расчет_аналитики'!AF2583,MeanMinAge25)))</f>
        <v/>
      </c>
      <c r="AG2512">
        <f>IF(OR('19_Расчет_аналитики'!AG2484=0,25&lt;='01_Вводные'!$B$297),0,'19_Расчет_аналитики'!AG2484*IF('01_Вводные'!$B$239="Да",MeanMinAge25+'19_Расчет_аналитики'!AG2583*SUMIF(ThresholdAge25,"&lt;"&amp;'19_Расчет_аналитики'!AG2583,WeightedRevAge25)-SUMIF(ThresholdAge25,"&lt;"&amp;'19_Расчет_аналитики'!AG2583,WeightedMinAge25),MAX(CapacityAge25*'01_Вводные'!$B$218*'19_Расчет_аналитики'!AG2583,MeanMinAge25)))</f>
        <v/>
      </c>
      <c r="AH2512">
        <f>IF(OR('19_Расчет_аналитики'!AH2484=0,25&lt;='01_Вводные'!$B$297),0,'19_Расчет_аналитики'!AH2484*IF('01_Вводные'!$B$239="Да",MeanMinAge25+'19_Расчет_аналитики'!AH2583*SUMIF(ThresholdAge25,"&lt;"&amp;'19_Расчет_аналитики'!AH2583,WeightedRevAge25)-SUMIF(ThresholdAge25,"&lt;"&amp;'19_Расчет_аналитики'!AH2583,WeightedMinAge25),MAX(CapacityAge25*'01_Вводные'!$B$218*'19_Расчет_аналитики'!AH2583,MeanMinAge25)))</f>
        <v/>
      </c>
      <c r="AI2512">
        <f>IF(OR('19_Расчет_аналитики'!AI2484=0,25&lt;='01_Вводные'!$B$297),0,'19_Расчет_аналитики'!AI2484*IF('01_Вводные'!$B$239="Да",MeanMinAge25+'19_Расчет_аналитики'!AI2583*SUMIF(ThresholdAge25,"&lt;"&amp;'19_Расчет_аналитики'!AI2583,WeightedRevAge25)-SUMIF(ThresholdAge25,"&lt;"&amp;'19_Расчет_аналитики'!AI2583,WeightedMinAge25),MAX(CapacityAge25*'01_Вводные'!$B$218*'19_Расчет_аналитики'!AI2583,MeanMinAge25)))</f>
        <v/>
      </c>
      <c r="AJ2512">
        <f>IF(OR('19_Расчет_аналитики'!AJ2484=0,25&lt;='01_Вводные'!$B$297),0,'19_Расчет_аналитики'!AJ2484*IF('01_Вводные'!$B$239="Да",MeanMinAge25+'19_Расчет_аналитики'!AJ2583*SUMIF(ThresholdAge25,"&lt;"&amp;'19_Расчет_аналитики'!AJ2583,WeightedRevAge25)-SUMIF(ThresholdAge25,"&lt;"&amp;'19_Расчет_аналитики'!AJ2583,WeightedMinAge25),MAX(CapacityAge25*'01_Вводные'!$B$218*'19_Расчет_аналитики'!AJ2583,MeanMinAge25)))</f>
        <v/>
      </c>
      <c r="AK2512">
        <f>IF(OR('19_Расчет_аналитики'!AK2484=0,25&lt;='01_Вводные'!$B$297),0,'19_Расчет_аналитики'!AK2484*IF('01_Вводные'!$B$239="Да",MeanMinAge25+'19_Расчет_аналитики'!AK2583*SUMIF(ThresholdAge25,"&lt;"&amp;'19_Расчет_аналитики'!AK2583,WeightedRevAge25)-SUMIF(ThresholdAge25,"&lt;"&amp;'19_Расчет_аналитики'!AK2583,WeightedMinAge25),MAX(CapacityAge25*'01_Вводные'!$B$218*'19_Расчет_аналитики'!AK2583,MeanMinAge25)))</f>
        <v/>
      </c>
      <c r="AL2512">
        <f>IF(OR('19_Расчет_аналитики'!AL2484=0,25&lt;='01_Вводные'!$B$297),0,'19_Расчет_аналитики'!AL2484*IF('01_Вводные'!$B$239="Да",MeanMinAge25+'19_Расчет_аналитики'!AL2583*SUMIF(ThresholdAge25,"&lt;"&amp;'19_Расчет_аналитики'!AL2583,WeightedRevAge25)-SUMIF(ThresholdAge25,"&lt;"&amp;'19_Расчет_аналитики'!AL2583,WeightedMinAge25),MAX(CapacityAge25*'01_Вводные'!$B$218*'19_Расчет_аналитики'!AL2583,MeanMinAge25)))</f>
        <v/>
      </c>
      <c r="AM2512">
        <f>IF(OR('19_Расчет_аналитики'!AM2484=0,25&lt;='01_Вводные'!$B$297),0,'19_Расчет_аналитики'!AM2484*IF('01_Вводные'!$B$239="Да",MeanMinAge25+'19_Расчет_аналитики'!AM2583*SUMIF(ThresholdAge25,"&lt;"&amp;'19_Расчет_аналитики'!AM2583,WeightedRevAge25)-SUMIF(ThresholdAge25,"&lt;"&amp;'19_Расчет_аналитики'!AM2583,WeightedMinAge25),MAX(CapacityAge25*'01_Вводные'!$B$218*'19_Расчет_аналитики'!AM2583,MeanMinAge25)))</f>
        <v/>
      </c>
      <c r="AN2512">
        <f>IF(OR('19_Расчет_аналитики'!AN2484=0,25&lt;='01_Вводные'!$B$297),0,'19_Расчет_аналитики'!AN2484*IF('01_Вводные'!$B$239="Да",MeanMinAge25+'19_Расчет_аналитики'!AN2583*SUMIF(ThresholdAge25,"&lt;"&amp;'19_Расчет_аналитики'!AN2583,WeightedRevAge25)-SUMIF(ThresholdAge25,"&lt;"&amp;'19_Расчет_аналитики'!AN2583,WeightedMinAge25),MAX(CapacityAge25*'01_Вводные'!$B$218*'19_Расчет_аналитики'!AN2583,MeanMinAge25)))</f>
        <v/>
      </c>
      <c r="AO2512">
        <f>IF(OR('19_Расчет_аналитики'!AO2484=0,25&lt;='01_Вводные'!$B$297),0,'19_Расчет_аналитики'!AO2484*IF('01_Вводные'!$B$239="Да",MeanMinAge25+'19_Расчет_аналитики'!AO2583*SUMIF(ThresholdAge25,"&lt;"&amp;'19_Расчет_аналитики'!AO2583,WeightedRevAge25)-SUMIF(ThresholdAge25,"&lt;"&amp;'19_Расчет_аналитики'!AO2583,WeightedMinAge25),MAX(CapacityAge25*'01_Вводные'!$B$218*'19_Расчет_аналитики'!AO2583,MeanMinAge25)))</f>
        <v/>
      </c>
      <c r="AP2512">
        <f>IF(OR('19_Расчет_аналитики'!AP2484=0,25&lt;='01_Вводные'!$B$297),0,'19_Расчет_аналитики'!AP2484*IF('01_Вводные'!$B$239="Да",MeanMinAge25+'19_Расчет_аналитики'!AP2583*SUMIF(ThresholdAge25,"&lt;"&amp;'19_Расчет_аналитики'!AP2583,WeightedRevAge25)-SUMIF(ThresholdAge25,"&lt;"&amp;'19_Расчет_аналитики'!AP2583,WeightedMinAge25),MAX(CapacityAge25*'01_Вводные'!$B$218*'19_Расчет_аналитики'!AP2583,MeanMinAge25)))</f>
        <v/>
      </c>
      <c r="AQ2512">
        <f>IF(OR('19_Расчет_аналитики'!AQ2484=0,25&lt;='01_Вводные'!$B$297),0,'19_Расчет_аналитики'!AQ2484*IF('01_Вводные'!$B$239="Да",MeanMinAge25+'19_Расчет_аналитики'!AQ2583*SUMIF(ThresholdAge25,"&lt;"&amp;'19_Расчет_аналитики'!AQ2583,WeightedRevAge25)-SUMIF(ThresholdAge25,"&lt;"&amp;'19_Расчет_аналитики'!AQ2583,WeightedMinAge25),MAX(CapacityAge25*'01_Вводные'!$B$218*'19_Расчет_аналитики'!AQ2583,MeanMinAge25)))</f>
        <v/>
      </c>
      <c r="AR2512">
        <f>IF(OR('19_Расчет_аналитики'!AR2484=0,25&lt;='01_Вводные'!$B$297),0,'19_Расчет_аналитики'!AR2484*IF('01_Вводные'!$B$239="Да",MeanMinAge25+'19_Расчет_аналитики'!AR2583*SUMIF(ThresholdAge25,"&lt;"&amp;'19_Расчет_аналитики'!AR2583,WeightedRevAge25)-SUMIF(ThresholdAge25,"&lt;"&amp;'19_Расчет_аналитики'!AR2583,WeightedMinAge25),MAX(CapacityAge25*'01_Вводные'!$B$218*'19_Расчет_аналитики'!AR2583,MeanMinAge25)))</f>
        <v/>
      </c>
      <c r="AS2512">
        <f>IF(OR('19_Расчет_аналитики'!AS2484=0,25&lt;='01_Вводные'!$B$297),0,'19_Расчет_аналитики'!AS2484*IF('01_Вводные'!$B$239="Да",MeanMinAge25+'19_Расчет_аналитики'!AS2583*SUMIF(ThresholdAge25,"&lt;"&amp;'19_Расчет_аналитики'!AS2583,WeightedRevAge25)-SUMIF(ThresholdAge25,"&lt;"&amp;'19_Расчет_аналитики'!AS2583,WeightedMinAge25),MAX(CapacityAge25*'01_Вводные'!$B$218*'19_Расчет_аналитики'!AS2583,MeanMinAge25)))</f>
        <v/>
      </c>
      <c r="AT2512">
        <f>IF(OR('19_Расчет_аналитики'!AT2484=0,25&lt;='01_Вводные'!$B$297),0,'19_Расчет_аналитики'!AT2484*IF('01_Вводные'!$B$239="Да",MeanMinAge25+'19_Расчет_аналитики'!AT2583*SUMIF(ThresholdAge25,"&lt;"&amp;'19_Расчет_аналитики'!AT2583,WeightedRevAge25)-SUMIF(ThresholdAge25,"&lt;"&amp;'19_Расчет_аналитики'!AT2583,WeightedMinAge25),MAX(CapacityAge25*'01_Вводные'!$B$218*'19_Расчет_аналитики'!AT2583,MeanMinAge25)))</f>
        <v/>
      </c>
      <c r="AU2512">
        <f>IF(OR('19_Расчет_аналитики'!AU2484=0,25&lt;='01_Вводные'!$B$297),0,'19_Расчет_аналитики'!AU2484*IF('01_Вводные'!$B$239="Да",MeanMinAge25+'19_Расчет_аналитики'!AU2583*SUMIF(ThresholdAge25,"&lt;"&amp;'19_Расчет_аналитики'!AU2583,WeightedRevAge25)-SUMIF(ThresholdAge25,"&lt;"&amp;'19_Расчет_аналитики'!AU2583,WeightedMinAge25),MAX(CapacityAge25*'01_Вводные'!$B$218*'19_Расчет_аналитики'!AU2583,MeanMinAge25)))</f>
        <v/>
      </c>
      <c r="AV2512">
        <f>IF(OR('19_Расчет_аналитики'!AV2484=0,25&lt;='01_Вводные'!$B$297),0,'19_Расчет_аналитики'!AV2484*IF('01_Вводные'!$B$239="Да",MeanMinAge25+'19_Расчет_аналитики'!AV2583*SUMIF(ThresholdAge25,"&lt;"&amp;'19_Расчет_аналитики'!AV2583,WeightedRevAge25)-SUMIF(ThresholdAge25,"&lt;"&amp;'19_Расчет_аналитики'!AV2583,WeightedMinAge25),MAX(CapacityAge25*'01_Вводные'!$B$218*'19_Расчет_аналитики'!AV2583,MeanMinAge25)))</f>
        <v/>
      </c>
      <c r="AW2512">
        <f>IF(OR('19_Расчет_аналитики'!AW2484=0,25&lt;='01_Вводные'!$B$297),0,'19_Расчет_аналитики'!AW2484*IF('01_Вводные'!$B$239="Да",MeanMinAge25+'19_Расчет_аналитики'!AW2583*SUMIF(ThresholdAge25,"&lt;"&amp;'19_Расчет_аналитики'!AW2583,WeightedRevAge25)-SUMIF(ThresholdAge25,"&lt;"&amp;'19_Расчет_аналитики'!AW2583,WeightedMinAge25),MAX(CapacityAge25*'01_Вводные'!$B$218*'19_Расчет_аналитики'!AW2583,MeanMinAge25)))</f>
        <v/>
      </c>
      <c r="AX2512">
        <f>IF(OR('19_Расчет_аналитики'!AX2484=0,25&lt;='01_Вводные'!$B$297),0,'19_Расчет_аналитики'!AX2484*IF('01_Вводные'!$B$239="Да",MeanMinAge25+'19_Расчет_аналитики'!AX2583*SUMIF(ThresholdAge25,"&lt;"&amp;'19_Расчет_аналитики'!AX2583,WeightedRevAge25)-SUMIF(ThresholdAge25,"&lt;"&amp;'19_Расчет_аналитики'!AX2583,WeightedMinAge25),MAX(CapacityAge25*'01_Вводные'!$B$218*'19_Расчет_аналитики'!AX2583,MeanMinAge25)))</f>
        <v/>
      </c>
      <c r="AY2512">
        <f>IF(OR('19_Расчет_аналитики'!AY2484=0,25&lt;='01_Вводные'!$B$297),0,'19_Расчет_аналитики'!AY2484*IF('01_Вводные'!$B$239="Да",MeanMinAge25+'19_Расчет_аналитики'!AY2583*SUMIF(ThresholdAge25,"&lt;"&amp;'19_Расчет_аналитики'!AY2583,WeightedRevAge25)-SUMIF(ThresholdAge25,"&lt;"&amp;'19_Расчет_аналитики'!AY2583,WeightedMinAge25),MAX(CapacityAge25*'01_Вводные'!$B$218*'19_Расчет_аналитики'!AY2583,MeanMinAge25)))</f>
        <v/>
      </c>
      <c r="AZ2512">
        <f>IF(OR('19_Расчет_аналитики'!AZ2484=0,25&lt;='01_Вводные'!$B$297),0,'19_Расчет_аналитики'!AZ2484*IF('01_Вводные'!$B$239="Да",MeanMinAge25+'19_Расчет_аналитики'!AZ2583*SUMIF(ThresholdAge25,"&lt;"&amp;'19_Расчет_аналитики'!AZ2583,WeightedRevAge25)-SUMIF(ThresholdAge25,"&lt;"&amp;'19_Расчет_аналитики'!AZ2583,WeightedMinAge25),MAX(CapacityAge25*'01_Вводные'!$B$218*'19_Расчет_аналитики'!AZ2583,MeanMinAge25)))</f>
        <v/>
      </c>
      <c r="BA2512">
        <f>IF(OR('19_Расчет_аналитики'!BA2484=0,25&lt;='01_Вводные'!$B$297),0,'19_Расчет_аналитики'!BA2484*IF('01_Вводные'!$B$239="Да",MeanMinAge25+'19_Расчет_аналитики'!BA2583*SUMIF(ThresholdAge25,"&lt;"&amp;'19_Расчет_аналитики'!BA2583,WeightedRevAge25)-SUMIF(ThresholdAge25,"&lt;"&amp;'19_Расчет_аналитики'!BA2583,WeightedMinAge25),MAX(CapacityAge25*'01_Вводные'!$B$218*'19_Расчет_аналитики'!BA2583,MeanMinAge25)))</f>
        <v/>
      </c>
      <c r="BB2512">
        <f>IF(OR('19_Расчет_аналитики'!BB2484=0,25&lt;='01_Вводные'!$B$297),0,'19_Расчет_аналитики'!BB2484*IF('01_Вводные'!$B$239="Да",MeanMinAge25+'19_Расчет_аналитики'!BB2583*SUMIF(ThresholdAge25,"&lt;"&amp;'19_Расчет_аналитики'!BB2583,WeightedRevAge25)-SUMIF(ThresholdAge25,"&lt;"&amp;'19_Расчет_аналитики'!BB2583,WeightedMinAge25),MAX(CapacityAge25*'01_Вводные'!$B$218*'19_Расчет_аналитики'!BB2583,MeanMinAge25)))</f>
        <v/>
      </c>
      <c r="BC2512">
        <f>IF(OR('19_Расчет_аналитики'!BC2484=0,25&lt;='01_Вводные'!$B$297),0,'19_Расчет_аналитики'!BC2484*IF('01_Вводные'!$B$239="Да",MeanMinAge25+'19_Расчет_аналитики'!BC2583*SUMIF(ThresholdAge25,"&lt;"&amp;'19_Расчет_аналитики'!BC2583,WeightedRevAge25)-SUMIF(ThresholdAge25,"&lt;"&amp;'19_Расчет_аналитики'!BC2583,WeightedMinAge25),MAX(CapacityAge25*'01_Вводные'!$B$218*'19_Расчет_аналитики'!BC2583,MeanMinAge25)))</f>
        <v/>
      </c>
      <c r="BD2512">
        <f>IF(OR('19_Расчет_аналитики'!BD2484=0,25&lt;='01_Вводные'!$B$297),0,'19_Расчет_аналитики'!BD2484*IF('01_Вводные'!$B$239="Да",MeanMinAge25+'19_Расчет_аналитики'!BD2583*SUMIF(ThresholdAge25,"&lt;"&amp;'19_Расчет_аналитики'!BD2583,WeightedRevAge25)-SUMIF(ThresholdAge25,"&lt;"&amp;'19_Расчет_аналитики'!BD2583,WeightedMinAge25),MAX(CapacityAge25*'01_Вводные'!$B$218*'19_Расчет_аналитики'!BD2583,MeanMinAge25)))</f>
        <v/>
      </c>
      <c r="BE2512">
        <f>IF(OR('19_Расчет_аналитики'!BE2484=0,25&lt;='01_Вводные'!$B$297),0,'19_Расчет_аналитики'!BE2484*IF('01_Вводные'!$B$239="Да",MeanMinAge25+'19_Расчет_аналитики'!BE2583*SUMIF(ThresholdAge25,"&lt;"&amp;'19_Расчет_аналитики'!BE2583,WeightedRevAge25)-SUMIF(ThresholdAge25,"&lt;"&amp;'19_Расчет_аналитики'!BE2583,WeightedMinAge25),MAX(CapacityAge25*'01_Вводные'!$B$218*'19_Расчет_аналитики'!BE2583,MeanMinAge25)))</f>
        <v/>
      </c>
      <c r="BF2512">
        <f>IF(OR('19_Расчет_аналитики'!BF2484=0,25&lt;='01_Вводные'!$B$297),0,'19_Расчет_аналитики'!BF2484*IF('01_Вводные'!$B$239="Да",MeanMinAge25+'19_Расчет_аналитики'!BF2583*SUMIF(ThresholdAge25,"&lt;"&amp;'19_Расчет_аналитики'!BF2583,WeightedRevAge25)-SUMIF(ThresholdAge25,"&lt;"&amp;'19_Расчет_аналитики'!BF2583,WeightedMinAge25),MAX(CapacityAge25*'01_Вводные'!$B$218*'19_Расчет_аналитики'!BF2583,MeanMinAge25)))</f>
        <v/>
      </c>
      <c r="BG2512">
        <f>IF(OR('19_Расчет_аналитики'!BG2484=0,25&lt;='01_Вводные'!$B$297),0,'19_Расчет_аналитики'!BG2484*IF('01_Вводные'!$B$239="Да",MeanMinAge25+'19_Расчет_аналитики'!BG2583*SUMIF(ThresholdAge25,"&lt;"&amp;'19_Расчет_аналитики'!BG2583,WeightedRevAge25)-SUMIF(ThresholdAge25,"&lt;"&amp;'19_Расчет_аналитики'!BG2583,WeightedMinAge25),MAX(CapacityAge25*'01_Вводные'!$B$218*'19_Расчет_аналитики'!BG2583,MeanMinAge25)))</f>
        <v/>
      </c>
      <c r="BH2512">
        <f>IF(OR('19_Расчет_аналитики'!BH2484=0,25&lt;='01_Вводные'!$B$297),0,'19_Расчет_аналитики'!BH2484*IF('01_Вводные'!$B$239="Да",MeanMinAge25+'19_Расчет_аналитики'!BH2583*SUMIF(ThresholdAge25,"&lt;"&amp;'19_Расчет_аналитики'!BH2583,WeightedRevAge25)-SUMIF(ThresholdAge25,"&lt;"&amp;'19_Расчет_аналитики'!BH2583,WeightedMinAge25),MAX(CapacityAge25*'01_Вводные'!$B$218*'19_Расчет_аналитики'!BH2583,MeanMinAge25)))</f>
        <v/>
      </c>
      <c r="BI2512">
        <f>IF(OR('19_Расчет_аналитики'!BI2484=0,25&lt;='01_Вводные'!$B$297),0,'19_Расчет_аналитики'!BI2484*IF('01_Вводные'!$B$239="Да",MeanMinAge25+'19_Расчет_аналитики'!BI2583*SUMIF(ThresholdAge25,"&lt;"&amp;'19_Расчет_аналитики'!BI2583,WeightedRevAge25)-SUMIF(ThresholdAge25,"&lt;"&amp;'19_Расчет_аналитики'!BI2583,WeightedMinAge25),MAX(CapacityAge25*'01_Вводные'!$B$218*'19_Расчет_аналитики'!BI2583,MeanMinAge25)))</f>
        <v/>
      </c>
      <c r="BJ2512">
        <f>IF(OR('19_Расчет_аналитики'!BJ2484=0,25&lt;='01_Вводные'!$B$297),0,'19_Расчет_аналитики'!BJ2484*IF('01_Вводные'!$B$239="Да",MeanMinAge25+'19_Расчет_аналитики'!BJ2583*SUMIF(ThresholdAge25,"&lt;"&amp;'19_Расчет_аналитики'!BJ2583,WeightedRevAge25)-SUMIF(ThresholdAge25,"&lt;"&amp;'19_Расчет_аналитики'!BJ2583,WeightedMinAge25),MAX(CapacityAge25*'01_Вводные'!$B$218*'19_Расчет_аналитики'!BJ2583,MeanMinAge25)))</f>
        <v/>
      </c>
      <c r="BK2512">
        <f>IF(OR('19_Расчет_аналитики'!BK2484=0,25&lt;='01_Вводные'!$B$297),0,'19_Расчет_аналитики'!BK2484*IF('01_Вводные'!$B$239="Да",MeanMinAge25+'19_Расчет_аналитики'!BK2583*SUMIF(ThresholdAge25,"&lt;"&amp;'19_Расчет_аналитики'!BK2583,WeightedRevAge25)-SUMIF(ThresholdAge25,"&lt;"&amp;'19_Расчет_аналитики'!BK2583,WeightedMinAge25),MAX(CapacityAge25*'01_Вводные'!$B$218*'19_Расчет_аналитики'!BK2583,MeanMinAge25)))</f>
        <v/>
      </c>
      <c r="BL2512">
        <f>IF(OR('19_Расчет_аналитики'!BL2484=0,25&lt;='01_Вводные'!$B$297),0,'19_Расчет_аналитики'!BL2484*IF('01_Вводные'!$B$239="Да",MeanMinAge25+'19_Расчет_аналитики'!BL2583*SUMIF(ThresholdAge25,"&lt;"&amp;'19_Расчет_аналитики'!BL2583,WeightedRevAge25)-SUMIF(ThresholdAge25,"&lt;"&amp;'19_Расчет_аналитики'!BL2583,WeightedMinAge25),MAX(CapacityAge25*'01_Вводные'!$B$218*'19_Расчет_аналитики'!BL2583,MeanMinAge25)))</f>
        <v/>
      </c>
      <c r="BM2512">
        <f>IF(OR('19_Расчет_аналитики'!BM2484=0,25&lt;='01_Вводные'!$B$297),0,'19_Расчет_аналитики'!BM2484*IF('01_Вводные'!$B$239="Да",MeanMinAge25+'19_Расчет_аналитики'!BM2583*SUMIF(ThresholdAge25,"&lt;"&amp;'19_Расчет_аналитики'!BM2583,WeightedRevAge25)-SUMIF(ThresholdAge25,"&lt;"&amp;'19_Расчет_аналитики'!BM2583,WeightedMinAge25),MAX(CapacityAge25*'01_Вводные'!$B$218*'19_Расчет_аналитики'!BM2583,MeanMinAge25)))</f>
        <v/>
      </c>
      <c r="BN2512">
        <f>IF(OR('19_Расчет_аналитики'!BN2484=0,25&lt;='01_Вводные'!$B$297),0,'19_Расчет_аналитики'!BN2484*IF('01_Вводные'!$B$239="Да",MeanMinAge25+'19_Расчет_аналитики'!BN2583*SUMIF(ThresholdAge25,"&lt;"&amp;'19_Расчет_аналитики'!BN2583,WeightedRevAge25)-SUMIF(ThresholdAge25,"&lt;"&amp;'19_Расчет_аналитики'!BN2583,WeightedMinAge25),MAX(CapacityAge25*'01_Вводные'!$B$218*'19_Расчет_аналитики'!BN2583,MeanMinAge25)))</f>
        <v/>
      </c>
      <c r="BO2512">
        <f>IF(OR('19_Расчет_аналитики'!BO2484=0,25&lt;='01_Вводные'!$B$297),0,'19_Расчет_аналитики'!BO2484*IF('01_Вводные'!$B$239="Да",MeanMinAge25+'19_Расчет_аналитики'!BO2583*SUMIF(ThresholdAge25,"&lt;"&amp;'19_Расчет_аналитики'!BO2583,WeightedRevAge25)-SUMIF(ThresholdAge25,"&lt;"&amp;'19_Расчет_аналитики'!BO2583,WeightedMinAge25),MAX(CapacityAge25*'01_Вводные'!$B$218*'19_Расчет_аналитики'!BO2583,MeanMinAge25)))</f>
        <v/>
      </c>
    </row>
    <row r="2513"/>
    <row r="2514"/>
    <row r="2515"/>
    <row r="2516">
      <c r="B2516">
        <f>IF(OR(('19_Расчет_аналитики'!B2432-'19_Расчет_аналитики'!B2460)=0,1&lt;='01_Вводные'!$B$297),0,('19_Расчет_аналитики'!B2432-'19_Расчет_аналитики'!B2460)*IF('01_Вводные'!$B$239="Да",MeanMinAge01+'19_Расчет_аналитики'!B2584*SUMIF(ThresholdAge01,"&lt;"&amp;'19_Расчет_аналитики'!B2584,WeightedRevAge01)-SUMIF(ThresholdAge01,"&lt;"&amp;'19_Расчет_аналитики'!B2584,WeightedMinAge01),MAX(CapacityAge01*'01_Вводные'!$B$218*'19_Расчет_аналитики'!B2584,MeanMinAge01)))</f>
        <v/>
      </c>
      <c r="C2516">
        <f>IF(OR(('19_Расчет_аналитики'!C2432-'19_Расчет_аналитики'!C2460)=0,1&lt;='01_Вводные'!$B$297),0,('19_Расчет_аналитики'!C2432-'19_Расчет_аналитики'!C2460)*IF('01_Вводные'!$B$239="Да",MeanMinAge01+'19_Расчет_аналитики'!C2584*SUMIF(ThresholdAge01,"&lt;"&amp;'19_Расчет_аналитики'!C2584,WeightedRevAge01)-SUMIF(ThresholdAge01,"&lt;"&amp;'19_Расчет_аналитики'!C2584,WeightedMinAge01),MAX(CapacityAge01*'01_Вводные'!$B$218*'19_Расчет_аналитики'!C2584,MeanMinAge01)))</f>
        <v/>
      </c>
      <c r="D2516">
        <f>IF(OR(('19_Расчет_аналитики'!D2432-'19_Расчет_аналитики'!D2460)=0,1&lt;='01_Вводные'!$B$297),0,('19_Расчет_аналитики'!D2432-'19_Расчет_аналитики'!D2460)*IF('01_Вводные'!$B$239="Да",MeanMinAge01+'19_Расчет_аналитики'!D2584*SUMIF(ThresholdAge01,"&lt;"&amp;'19_Расчет_аналитики'!D2584,WeightedRevAge01)-SUMIF(ThresholdAge01,"&lt;"&amp;'19_Расчет_аналитики'!D2584,WeightedMinAge01),MAX(CapacityAge01*'01_Вводные'!$B$218*'19_Расчет_аналитики'!D2584,MeanMinAge01)))</f>
        <v/>
      </c>
      <c r="E2516">
        <f>IF(OR(('19_Расчет_аналитики'!E2432-'19_Расчет_аналитики'!E2460)=0,1&lt;='01_Вводные'!$B$297),0,('19_Расчет_аналитики'!E2432-'19_Расчет_аналитики'!E2460)*IF('01_Вводные'!$B$239="Да",MeanMinAge01+'19_Расчет_аналитики'!E2584*SUMIF(ThresholdAge01,"&lt;"&amp;'19_Расчет_аналитики'!E2584,WeightedRevAge01)-SUMIF(ThresholdAge01,"&lt;"&amp;'19_Расчет_аналитики'!E2584,WeightedMinAge01),MAX(CapacityAge01*'01_Вводные'!$B$218*'19_Расчет_аналитики'!E2584,MeanMinAge01)))</f>
        <v/>
      </c>
      <c r="F2516">
        <f>IF(OR(('19_Расчет_аналитики'!F2432-'19_Расчет_аналитики'!F2460)=0,1&lt;='01_Вводные'!$B$297),0,('19_Расчет_аналитики'!F2432-'19_Расчет_аналитики'!F2460)*IF('01_Вводные'!$B$239="Да",MeanMinAge01+'19_Расчет_аналитики'!F2584*SUMIF(ThresholdAge01,"&lt;"&amp;'19_Расчет_аналитики'!F2584,WeightedRevAge01)-SUMIF(ThresholdAge01,"&lt;"&amp;'19_Расчет_аналитики'!F2584,WeightedMinAge01),MAX(CapacityAge01*'01_Вводные'!$B$218*'19_Расчет_аналитики'!F2584,MeanMinAge01)))</f>
        <v/>
      </c>
      <c r="G2516">
        <f>IF(OR(('19_Расчет_аналитики'!G2432-'19_Расчет_аналитики'!G2460)=0,1&lt;='01_Вводные'!$B$297),0,('19_Расчет_аналитики'!G2432-'19_Расчет_аналитики'!G2460)*IF('01_Вводные'!$B$239="Да",MeanMinAge01+'19_Расчет_аналитики'!G2584*SUMIF(ThresholdAge01,"&lt;"&amp;'19_Расчет_аналитики'!G2584,WeightedRevAge01)-SUMIF(ThresholdAge01,"&lt;"&amp;'19_Расчет_аналитики'!G2584,WeightedMinAge01),MAX(CapacityAge01*'01_Вводные'!$B$218*'19_Расчет_аналитики'!G2584,MeanMinAge01)))</f>
        <v/>
      </c>
      <c r="H2516">
        <f>IF(OR(('19_Расчет_аналитики'!H2432-'19_Расчет_аналитики'!H2460)=0,1&lt;='01_Вводные'!$B$297),0,('19_Расчет_аналитики'!H2432-'19_Расчет_аналитики'!H2460)*IF('01_Вводные'!$B$239="Да",MeanMinAge01+'19_Расчет_аналитики'!H2584*SUMIF(ThresholdAge01,"&lt;"&amp;'19_Расчет_аналитики'!H2584,WeightedRevAge01)-SUMIF(ThresholdAge01,"&lt;"&amp;'19_Расчет_аналитики'!H2584,WeightedMinAge01),MAX(CapacityAge01*'01_Вводные'!$B$218*'19_Расчет_аналитики'!H2584,MeanMinAge01)))</f>
        <v/>
      </c>
      <c r="I2516">
        <f>IF(OR(('19_Расчет_аналитики'!I2432-'19_Расчет_аналитики'!I2460)=0,1&lt;='01_Вводные'!$B$297),0,('19_Расчет_аналитики'!I2432-'19_Расчет_аналитики'!I2460)*IF('01_Вводные'!$B$239="Да",MeanMinAge01+'19_Расчет_аналитики'!I2584*SUMIF(ThresholdAge01,"&lt;"&amp;'19_Расчет_аналитики'!I2584,WeightedRevAge01)-SUMIF(ThresholdAge01,"&lt;"&amp;'19_Расчет_аналитики'!I2584,WeightedMinAge01),MAX(CapacityAge01*'01_Вводные'!$B$218*'19_Расчет_аналитики'!I2584,MeanMinAge01)))</f>
        <v/>
      </c>
      <c r="J2516">
        <f>IF(OR(('19_Расчет_аналитики'!J2432-'19_Расчет_аналитики'!J2460)=0,1&lt;='01_Вводные'!$B$297),0,('19_Расчет_аналитики'!J2432-'19_Расчет_аналитики'!J2460)*IF('01_Вводные'!$B$239="Да",MeanMinAge01+'19_Расчет_аналитики'!J2584*SUMIF(ThresholdAge01,"&lt;"&amp;'19_Расчет_аналитики'!J2584,WeightedRevAge01)-SUMIF(ThresholdAge01,"&lt;"&amp;'19_Расчет_аналитики'!J2584,WeightedMinAge01),MAX(CapacityAge01*'01_Вводные'!$B$218*'19_Расчет_аналитики'!J2584,MeanMinAge01)))</f>
        <v/>
      </c>
      <c r="K2516">
        <f>IF(OR(('19_Расчет_аналитики'!K2432-'19_Расчет_аналитики'!K2460)=0,1&lt;='01_Вводные'!$B$297),0,('19_Расчет_аналитики'!K2432-'19_Расчет_аналитики'!K2460)*IF('01_Вводные'!$B$239="Да",MeanMinAge01+'19_Расчет_аналитики'!K2584*SUMIF(ThresholdAge01,"&lt;"&amp;'19_Расчет_аналитики'!K2584,WeightedRevAge01)-SUMIF(ThresholdAge01,"&lt;"&amp;'19_Расчет_аналитики'!K2584,WeightedMinAge01),MAX(CapacityAge01*'01_Вводные'!$B$218*'19_Расчет_аналитики'!K2584,MeanMinAge01)))</f>
        <v/>
      </c>
      <c r="L2516">
        <f>IF(OR(('19_Расчет_аналитики'!L2432-'19_Расчет_аналитики'!L2460)=0,1&lt;='01_Вводные'!$B$297),0,('19_Расчет_аналитики'!L2432-'19_Расчет_аналитики'!L2460)*IF('01_Вводные'!$B$239="Да",MeanMinAge01+'19_Расчет_аналитики'!L2584*SUMIF(ThresholdAge01,"&lt;"&amp;'19_Расчет_аналитики'!L2584,WeightedRevAge01)-SUMIF(ThresholdAge01,"&lt;"&amp;'19_Расчет_аналитики'!L2584,WeightedMinAge01),MAX(CapacityAge01*'01_Вводные'!$B$218*'19_Расчет_аналитики'!L2584,MeanMinAge01)))</f>
        <v/>
      </c>
      <c r="M2516">
        <f>IF(OR(('19_Расчет_аналитики'!M2432-'19_Расчет_аналитики'!M2460)=0,1&lt;='01_Вводные'!$B$297),0,('19_Расчет_аналитики'!M2432-'19_Расчет_аналитики'!M2460)*IF('01_Вводные'!$B$239="Да",MeanMinAge01+'19_Расчет_аналитики'!M2584*SUMIF(ThresholdAge01,"&lt;"&amp;'19_Расчет_аналитики'!M2584,WeightedRevAge01)-SUMIF(ThresholdAge01,"&lt;"&amp;'19_Расчет_аналитики'!M2584,WeightedMinAge01),MAX(CapacityAge01*'01_Вводные'!$B$218*'19_Расчет_аналитики'!M2584,MeanMinAge01)))</f>
        <v/>
      </c>
      <c r="N2516">
        <f>IF(OR(('19_Расчет_аналитики'!N2432-'19_Расчет_аналитики'!N2460)=0,1&lt;='01_Вводные'!$B$297),0,('19_Расчет_аналитики'!N2432-'19_Расчет_аналитики'!N2460)*IF('01_Вводные'!$B$239="Да",MeanMinAge01+'19_Расчет_аналитики'!N2584*SUMIF(ThresholdAge01,"&lt;"&amp;'19_Расчет_аналитики'!N2584,WeightedRevAge01)-SUMIF(ThresholdAge01,"&lt;"&amp;'19_Расчет_аналитики'!N2584,WeightedMinAge01),MAX(CapacityAge01*'01_Вводные'!$B$218*'19_Расчет_аналитики'!N2584,MeanMinAge01)))</f>
        <v/>
      </c>
      <c r="O2516">
        <f>IF(OR(('19_Расчет_аналитики'!O2432-'19_Расчет_аналитики'!O2460)=0,1&lt;='01_Вводные'!$B$297),0,('19_Расчет_аналитики'!O2432-'19_Расчет_аналитики'!O2460)*IF('01_Вводные'!$B$239="Да",MeanMinAge01+'19_Расчет_аналитики'!O2584*SUMIF(ThresholdAge01,"&lt;"&amp;'19_Расчет_аналитики'!O2584,WeightedRevAge01)-SUMIF(ThresholdAge01,"&lt;"&amp;'19_Расчет_аналитики'!O2584,WeightedMinAge01),MAX(CapacityAge01*'01_Вводные'!$B$218*'19_Расчет_аналитики'!O2584,MeanMinAge01)))</f>
        <v/>
      </c>
      <c r="P2516">
        <f>IF(OR(('19_Расчет_аналитики'!P2432-'19_Расчет_аналитики'!P2460)=0,1&lt;='01_Вводные'!$B$297),0,('19_Расчет_аналитики'!P2432-'19_Расчет_аналитики'!P2460)*IF('01_Вводные'!$B$239="Да",MeanMinAge01+'19_Расчет_аналитики'!P2584*SUMIF(ThresholdAge01,"&lt;"&amp;'19_Расчет_аналитики'!P2584,WeightedRevAge01)-SUMIF(ThresholdAge01,"&lt;"&amp;'19_Расчет_аналитики'!P2584,WeightedMinAge01),MAX(CapacityAge01*'01_Вводные'!$B$218*'19_Расчет_аналитики'!P2584,MeanMinAge01)))</f>
        <v/>
      </c>
      <c r="Q2516">
        <f>IF(OR(('19_Расчет_аналитики'!Q2432-'19_Расчет_аналитики'!Q2460)=0,1&lt;='01_Вводные'!$B$297),0,('19_Расчет_аналитики'!Q2432-'19_Расчет_аналитики'!Q2460)*IF('01_Вводные'!$B$239="Да",MeanMinAge01+'19_Расчет_аналитики'!Q2584*SUMIF(ThresholdAge01,"&lt;"&amp;'19_Расчет_аналитики'!Q2584,WeightedRevAge01)-SUMIF(ThresholdAge01,"&lt;"&amp;'19_Расчет_аналитики'!Q2584,WeightedMinAge01),MAX(CapacityAge01*'01_Вводные'!$B$218*'19_Расчет_аналитики'!Q2584,MeanMinAge01)))</f>
        <v/>
      </c>
      <c r="R2516">
        <f>IF(OR(('19_Расчет_аналитики'!R2432-'19_Расчет_аналитики'!R2460)=0,1&lt;='01_Вводные'!$B$297),0,('19_Расчет_аналитики'!R2432-'19_Расчет_аналитики'!R2460)*IF('01_Вводные'!$B$239="Да",MeanMinAge01+'19_Расчет_аналитики'!R2584*SUMIF(ThresholdAge01,"&lt;"&amp;'19_Расчет_аналитики'!R2584,WeightedRevAge01)-SUMIF(ThresholdAge01,"&lt;"&amp;'19_Расчет_аналитики'!R2584,WeightedMinAge01),MAX(CapacityAge01*'01_Вводные'!$B$218*'19_Расчет_аналитики'!R2584,MeanMinAge01)))</f>
        <v/>
      </c>
      <c r="S2516">
        <f>IF(OR(('19_Расчет_аналитики'!S2432-'19_Расчет_аналитики'!S2460)=0,1&lt;='01_Вводные'!$B$297),0,('19_Расчет_аналитики'!S2432-'19_Расчет_аналитики'!S2460)*IF('01_Вводные'!$B$239="Да",MeanMinAge01+'19_Расчет_аналитики'!S2584*SUMIF(ThresholdAge01,"&lt;"&amp;'19_Расчет_аналитики'!S2584,WeightedRevAge01)-SUMIF(ThresholdAge01,"&lt;"&amp;'19_Расчет_аналитики'!S2584,WeightedMinAge01),MAX(CapacityAge01*'01_Вводные'!$B$218*'19_Расчет_аналитики'!S2584,MeanMinAge01)))</f>
        <v/>
      </c>
      <c r="T2516">
        <f>IF(OR(('19_Расчет_аналитики'!T2432-'19_Расчет_аналитики'!T2460)=0,1&lt;='01_Вводные'!$B$297),0,('19_Расчет_аналитики'!T2432-'19_Расчет_аналитики'!T2460)*IF('01_Вводные'!$B$239="Да",MeanMinAge01+'19_Расчет_аналитики'!T2584*SUMIF(ThresholdAge01,"&lt;"&amp;'19_Расчет_аналитики'!T2584,WeightedRevAge01)-SUMIF(ThresholdAge01,"&lt;"&amp;'19_Расчет_аналитики'!T2584,WeightedMinAge01),MAX(CapacityAge01*'01_Вводные'!$B$218*'19_Расчет_аналитики'!T2584,MeanMinAge01)))</f>
        <v/>
      </c>
      <c r="U2516">
        <f>IF(OR(('19_Расчет_аналитики'!U2432-'19_Расчет_аналитики'!U2460)=0,1&lt;='01_Вводные'!$B$297),0,('19_Расчет_аналитики'!U2432-'19_Расчет_аналитики'!U2460)*IF('01_Вводные'!$B$239="Да",MeanMinAge01+'19_Расчет_аналитики'!U2584*SUMIF(ThresholdAge01,"&lt;"&amp;'19_Расчет_аналитики'!U2584,WeightedRevAge01)-SUMIF(ThresholdAge01,"&lt;"&amp;'19_Расчет_аналитики'!U2584,WeightedMinAge01),MAX(CapacityAge01*'01_Вводные'!$B$218*'19_Расчет_аналитики'!U2584,MeanMinAge01)))</f>
        <v/>
      </c>
      <c r="V2516">
        <f>IF(OR(('19_Расчет_аналитики'!V2432-'19_Расчет_аналитики'!V2460)=0,1&lt;='01_Вводные'!$B$297),0,('19_Расчет_аналитики'!V2432-'19_Расчет_аналитики'!V2460)*IF('01_Вводные'!$B$239="Да",MeanMinAge01+'19_Расчет_аналитики'!V2584*SUMIF(ThresholdAge01,"&lt;"&amp;'19_Расчет_аналитики'!V2584,WeightedRevAge01)-SUMIF(ThresholdAge01,"&lt;"&amp;'19_Расчет_аналитики'!V2584,WeightedMinAge01),MAX(CapacityAge01*'01_Вводные'!$B$218*'19_Расчет_аналитики'!V2584,MeanMinAge01)))</f>
        <v/>
      </c>
      <c r="W2516">
        <f>IF(OR(('19_Расчет_аналитики'!W2432-'19_Расчет_аналитики'!W2460)=0,1&lt;='01_Вводные'!$B$297),0,('19_Расчет_аналитики'!W2432-'19_Расчет_аналитики'!W2460)*IF('01_Вводные'!$B$239="Да",MeanMinAge01+'19_Расчет_аналитики'!W2584*SUMIF(ThresholdAge01,"&lt;"&amp;'19_Расчет_аналитики'!W2584,WeightedRevAge01)-SUMIF(ThresholdAge01,"&lt;"&amp;'19_Расчет_аналитики'!W2584,WeightedMinAge01),MAX(CapacityAge01*'01_Вводные'!$B$218*'19_Расчет_аналитики'!W2584,MeanMinAge01)))</f>
        <v/>
      </c>
      <c r="X2516">
        <f>IF(OR(('19_Расчет_аналитики'!X2432-'19_Расчет_аналитики'!X2460)=0,1&lt;='01_Вводные'!$B$297),0,('19_Расчет_аналитики'!X2432-'19_Расчет_аналитики'!X2460)*IF('01_Вводные'!$B$239="Да",MeanMinAge01+'19_Расчет_аналитики'!X2584*SUMIF(ThresholdAge01,"&lt;"&amp;'19_Расчет_аналитики'!X2584,WeightedRevAge01)-SUMIF(ThresholdAge01,"&lt;"&amp;'19_Расчет_аналитики'!X2584,WeightedMinAge01),MAX(CapacityAge01*'01_Вводные'!$B$218*'19_Расчет_аналитики'!X2584,MeanMinAge01)))</f>
        <v/>
      </c>
      <c r="Y2516">
        <f>IF(OR(('19_Расчет_аналитики'!Y2432-'19_Расчет_аналитики'!Y2460)=0,1&lt;='01_Вводные'!$B$297),0,('19_Расчет_аналитики'!Y2432-'19_Расчет_аналитики'!Y2460)*IF('01_Вводные'!$B$239="Да",MeanMinAge01+'19_Расчет_аналитики'!Y2584*SUMIF(ThresholdAge01,"&lt;"&amp;'19_Расчет_аналитики'!Y2584,WeightedRevAge01)-SUMIF(ThresholdAge01,"&lt;"&amp;'19_Расчет_аналитики'!Y2584,WeightedMinAge01),MAX(CapacityAge01*'01_Вводные'!$B$218*'19_Расчет_аналитики'!Y2584,MeanMinAge01)))</f>
        <v/>
      </c>
      <c r="Z2516">
        <f>IF(OR(('19_Расчет_аналитики'!Z2432-'19_Расчет_аналитики'!Z2460)=0,1&lt;='01_Вводные'!$B$297),0,('19_Расчет_аналитики'!Z2432-'19_Расчет_аналитики'!Z2460)*IF('01_Вводные'!$B$239="Да",MeanMinAge01+'19_Расчет_аналитики'!Z2584*SUMIF(ThresholdAge01,"&lt;"&amp;'19_Расчет_аналитики'!Z2584,WeightedRevAge01)-SUMIF(ThresholdAge01,"&lt;"&amp;'19_Расчет_аналитики'!Z2584,WeightedMinAge01),MAX(CapacityAge01*'01_Вводные'!$B$218*'19_Расчет_аналитики'!Z2584,MeanMinAge01)))</f>
        <v/>
      </c>
      <c r="AA2516">
        <f>IF(OR(('19_Расчет_аналитики'!AA2432-'19_Расчет_аналитики'!AA2460)=0,1&lt;='01_Вводные'!$B$297),0,('19_Расчет_аналитики'!AA2432-'19_Расчет_аналитики'!AA2460)*IF('01_Вводные'!$B$239="Да",MeanMinAge01+'19_Расчет_аналитики'!AA2584*SUMIF(ThresholdAge01,"&lt;"&amp;'19_Расчет_аналитики'!AA2584,WeightedRevAge01)-SUMIF(ThresholdAge01,"&lt;"&amp;'19_Расчет_аналитики'!AA2584,WeightedMinAge01),MAX(CapacityAge01*'01_Вводные'!$B$218*'19_Расчет_аналитики'!AA2584,MeanMinAge01)))</f>
        <v/>
      </c>
      <c r="AB2516">
        <f>IF(OR(('19_Расчет_аналитики'!AB2432-'19_Расчет_аналитики'!AB2460)=0,1&lt;='01_Вводные'!$B$297),0,('19_Расчет_аналитики'!AB2432-'19_Расчет_аналитики'!AB2460)*IF('01_Вводные'!$B$239="Да",MeanMinAge01+'19_Расчет_аналитики'!AB2584*SUMIF(ThresholdAge01,"&lt;"&amp;'19_Расчет_аналитики'!AB2584,WeightedRevAge01)-SUMIF(ThresholdAge01,"&lt;"&amp;'19_Расчет_аналитики'!AB2584,WeightedMinAge01),MAX(CapacityAge01*'01_Вводные'!$B$218*'19_Расчет_аналитики'!AB2584,MeanMinAge01)))</f>
        <v/>
      </c>
      <c r="AC2516">
        <f>IF(OR(('19_Расчет_аналитики'!AC2432-'19_Расчет_аналитики'!AC2460)=0,1&lt;='01_Вводные'!$B$297),0,('19_Расчет_аналитики'!AC2432-'19_Расчет_аналитики'!AC2460)*IF('01_Вводные'!$B$239="Да",MeanMinAge01+'19_Расчет_аналитики'!AC2584*SUMIF(ThresholdAge01,"&lt;"&amp;'19_Расчет_аналитики'!AC2584,WeightedRevAge01)-SUMIF(ThresholdAge01,"&lt;"&amp;'19_Расчет_аналитики'!AC2584,WeightedMinAge01),MAX(CapacityAge01*'01_Вводные'!$B$218*'19_Расчет_аналитики'!AC2584,MeanMinAge01)))</f>
        <v/>
      </c>
      <c r="AD2516">
        <f>IF(OR(('19_Расчет_аналитики'!AD2432-'19_Расчет_аналитики'!AD2460)=0,1&lt;='01_Вводные'!$B$297),0,('19_Расчет_аналитики'!AD2432-'19_Расчет_аналитики'!AD2460)*IF('01_Вводные'!$B$239="Да",MeanMinAge01+'19_Расчет_аналитики'!AD2584*SUMIF(ThresholdAge01,"&lt;"&amp;'19_Расчет_аналитики'!AD2584,WeightedRevAge01)-SUMIF(ThresholdAge01,"&lt;"&amp;'19_Расчет_аналитики'!AD2584,WeightedMinAge01),MAX(CapacityAge01*'01_Вводные'!$B$218*'19_Расчет_аналитики'!AD2584,MeanMinAge01)))</f>
        <v/>
      </c>
      <c r="AE2516">
        <f>IF(OR(('19_Расчет_аналитики'!AE2432-'19_Расчет_аналитики'!AE2460)=0,1&lt;='01_Вводные'!$B$297),0,('19_Расчет_аналитики'!AE2432-'19_Расчет_аналитики'!AE2460)*IF('01_Вводные'!$B$239="Да",MeanMinAge01+'19_Расчет_аналитики'!AE2584*SUMIF(ThresholdAge01,"&lt;"&amp;'19_Расчет_аналитики'!AE2584,WeightedRevAge01)-SUMIF(ThresholdAge01,"&lt;"&amp;'19_Расчет_аналитики'!AE2584,WeightedMinAge01),MAX(CapacityAge01*'01_Вводные'!$B$218*'19_Расчет_аналитики'!AE2584,MeanMinAge01)))</f>
        <v/>
      </c>
      <c r="AF2516">
        <f>IF(OR(('19_Расчет_аналитики'!AF2432-'19_Расчет_аналитики'!AF2460)=0,1&lt;='01_Вводные'!$B$297),0,('19_Расчет_аналитики'!AF2432-'19_Расчет_аналитики'!AF2460)*IF('01_Вводные'!$B$239="Да",MeanMinAge01+'19_Расчет_аналитики'!AF2584*SUMIF(ThresholdAge01,"&lt;"&amp;'19_Расчет_аналитики'!AF2584,WeightedRevAge01)-SUMIF(ThresholdAge01,"&lt;"&amp;'19_Расчет_аналитики'!AF2584,WeightedMinAge01),MAX(CapacityAge01*'01_Вводные'!$B$218*'19_Расчет_аналитики'!AF2584,MeanMinAge01)))</f>
        <v/>
      </c>
      <c r="AG2516">
        <f>IF(OR(('19_Расчет_аналитики'!AG2432-'19_Расчет_аналитики'!AG2460)=0,1&lt;='01_Вводные'!$B$297),0,('19_Расчет_аналитики'!AG2432-'19_Расчет_аналитики'!AG2460)*IF('01_Вводные'!$B$239="Да",MeanMinAge01+'19_Расчет_аналитики'!AG2584*SUMIF(ThresholdAge01,"&lt;"&amp;'19_Расчет_аналитики'!AG2584,WeightedRevAge01)-SUMIF(ThresholdAge01,"&lt;"&amp;'19_Расчет_аналитики'!AG2584,WeightedMinAge01),MAX(CapacityAge01*'01_Вводные'!$B$218*'19_Расчет_аналитики'!AG2584,MeanMinAge01)))</f>
        <v/>
      </c>
      <c r="AH2516">
        <f>IF(OR(('19_Расчет_аналитики'!AH2432-'19_Расчет_аналитики'!AH2460)=0,1&lt;='01_Вводные'!$B$297),0,('19_Расчет_аналитики'!AH2432-'19_Расчет_аналитики'!AH2460)*IF('01_Вводные'!$B$239="Да",MeanMinAge01+'19_Расчет_аналитики'!AH2584*SUMIF(ThresholdAge01,"&lt;"&amp;'19_Расчет_аналитики'!AH2584,WeightedRevAge01)-SUMIF(ThresholdAge01,"&lt;"&amp;'19_Расчет_аналитики'!AH2584,WeightedMinAge01),MAX(CapacityAge01*'01_Вводные'!$B$218*'19_Расчет_аналитики'!AH2584,MeanMinAge01)))</f>
        <v/>
      </c>
      <c r="AI2516">
        <f>IF(OR(('19_Расчет_аналитики'!AI2432-'19_Расчет_аналитики'!AI2460)=0,1&lt;='01_Вводные'!$B$297),0,('19_Расчет_аналитики'!AI2432-'19_Расчет_аналитики'!AI2460)*IF('01_Вводные'!$B$239="Да",MeanMinAge01+'19_Расчет_аналитики'!AI2584*SUMIF(ThresholdAge01,"&lt;"&amp;'19_Расчет_аналитики'!AI2584,WeightedRevAge01)-SUMIF(ThresholdAge01,"&lt;"&amp;'19_Расчет_аналитики'!AI2584,WeightedMinAge01),MAX(CapacityAge01*'01_Вводные'!$B$218*'19_Расчет_аналитики'!AI2584,MeanMinAge01)))</f>
        <v/>
      </c>
      <c r="AJ2516">
        <f>IF(OR(('19_Расчет_аналитики'!AJ2432-'19_Расчет_аналитики'!AJ2460)=0,1&lt;='01_Вводные'!$B$297),0,('19_Расчет_аналитики'!AJ2432-'19_Расчет_аналитики'!AJ2460)*IF('01_Вводные'!$B$239="Да",MeanMinAge01+'19_Расчет_аналитики'!AJ2584*SUMIF(ThresholdAge01,"&lt;"&amp;'19_Расчет_аналитики'!AJ2584,WeightedRevAge01)-SUMIF(ThresholdAge01,"&lt;"&amp;'19_Расчет_аналитики'!AJ2584,WeightedMinAge01),MAX(CapacityAge01*'01_Вводные'!$B$218*'19_Расчет_аналитики'!AJ2584,MeanMinAge01)))</f>
        <v/>
      </c>
      <c r="AK2516">
        <f>IF(OR(('19_Расчет_аналитики'!AK2432-'19_Расчет_аналитики'!AK2460)=0,1&lt;='01_Вводные'!$B$297),0,('19_Расчет_аналитики'!AK2432-'19_Расчет_аналитики'!AK2460)*IF('01_Вводные'!$B$239="Да",MeanMinAge01+'19_Расчет_аналитики'!AK2584*SUMIF(ThresholdAge01,"&lt;"&amp;'19_Расчет_аналитики'!AK2584,WeightedRevAge01)-SUMIF(ThresholdAge01,"&lt;"&amp;'19_Расчет_аналитики'!AK2584,WeightedMinAge01),MAX(CapacityAge01*'01_Вводные'!$B$218*'19_Расчет_аналитики'!AK2584,MeanMinAge01)))</f>
        <v/>
      </c>
      <c r="AL2516">
        <f>IF(OR(('19_Расчет_аналитики'!AL2432-'19_Расчет_аналитики'!AL2460)=0,1&lt;='01_Вводные'!$B$297),0,('19_Расчет_аналитики'!AL2432-'19_Расчет_аналитики'!AL2460)*IF('01_Вводные'!$B$239="Да",MeanMinAge01+'19_Расчет_аналитики'!AL2584*SUMIF(ThresholdAge01,"&lt;"&amp;'19_Расчет_аналитики'!AL2584,WeightedRevAge01)-SUMIF(ThresholdAge01,"&lt;"&amp;'19_Расчет_аналитики'!AL2584,WeightedMinAge01),MAX(CapacityAge01*'01_Вводные'!$B$218*'19_Расчет_аналитики'!AL2584,MeanMinAge01)))</f>
        <v/>
      </c>
      <c r="AM2516">
        <f>IF(OR(('19_Расчет_аналитики'!AM2432-'19_Расчет_аналитики'!AM2460)=0,1&lt;='01_Вводные'!$B$297),0,('19_Расчет_аналитики'!AM2432-'19_Расчет_аналитики'!AM2460)*IF('01_Вводные'!$B$239="Да",MeanMinAge01+'19_Расчет_аналитики'!AM2584*SUMIF(ThresholdAge01,"&lt;"&amp;'19_Расчет_аналитики'!AM2584,WeightedRevAge01)-SUMIF(ThresholdAge01,"&lt;"&amp;'19_Расчет_аналитики'!AM2584,WeightedMinAge01),MAX(CapacityAge01*'01_Вводные'!$B$218*'19_Расчет_аналитики'!AM2584,MeanMinAge01)))</f>
        <v/>
      </c>
      <c r="AN2516">
        <f>IF(OR(('19_Расчет_аналитики'!AN2432-'19_Расчет_аналитики'!AN2460)=0,1&lt;='01_Вводные'!$B$297),0,('19_Расчет_аналитики'!AN2432-'19_Расчет_аналитики'!AN2460)*IF('01_Вводные'!$B$239="Да",MeanMinAge01+'19_Расчет_аналитики'!AN2584*SUMIF(ThresholdAge01,"&lt;"&amp;'19_Расчет_аналитики'!AN2584,WeightedRevAge01)-SUMIF(ThresholdAge01,"&lt;"&amp;'19_Расчет_аналитики'!AN2584,WeightedMinAge01),MAX(CapacityAge01*'01_Вводные'!$B$218*'19_Расчет_аналитики'!AN2584,MeanMinAge01)))</f>
        <v/>
      </c>
      <c r="AO2516">
        <f>IF(OR(('19_Расчет_аналитики'!AO2432-'19_Расчет_аналитики'!AO2460)=0,1&lt;='01_Вводные'!$B$297),0,('19_Расчет_аналитики'!AO2432-'19_Расчет_аналитики'!AO2460)*IF('01_Вводные'!$B$239="Да",MeanMinAge01+'19_Расчет_аналитики'!AO2584*SUMIF(ThresholdAge01,"&lt;"&amp;'19_Расчет_аналитики'!AO2584,WeightedRevAge01)-SUMIF(ThresholdAge01,"&lt;"&amp;'19_Расчет_аналитики'!AO2584,WeightedMinAge01),MAX(CapacityAge01*'01_Вводные'!$B$218*'19_Расчет_аналитики'!AO2584,MeanMinAge01)))</f>
        <v/>
      </c>
      <c r="AP2516">
        <f>IF(OR(('19_Расчет_аналитики'!AP2432-'19_Расчет_аналитики'!AP2460)=0,1&lt;='01_Вводные'!$B$297),0,('19_Расчет_аналитики'!AP2432-'19_Расчет_аналитики'!AP2460)*IF('01_Вводные'!$B$239="Да",MeanMinAge01+'19_Расчет_аналитики'!AP2584*SUMIF(ThresholdAge01,"&lt;"&amp;'19_Расчет_аналитики'!AP2584,WeightedRevAge01)-SUMIF(ThresholdAge01,"&lt;"&amp;'19_Расчет_аналитики'!AP2584,WeightedMinAge01),MAX(CapacityAge01*'01_Вводные'!$B$218*'19_Расчет_аналитики'!AP2584,MeanMinAge01)))</f>
        <v/>
      </c>
      <c r="AQ2516">
        <f>IF(OR(('19_Расчет_аналитики'!AQ2432-'19_Расчет_аналитики'!AQ2460)=0,1&lt;='01_Вводные'!$B$297),0,('19_Расчет_аналитики'!AQ2432-'19_Расчет_аналитики'!AQ2460)*IF('01_Вводные'!$B$239="Да",MeanMinAge01+'19_Расчет_аналитики'!AQ2584*SUMIF(ThresholdAge01,"&lt;"&amp;'19_Расчет_аналитики'!AQ2584,WeightedRevAge01)-SUMIF(ThresholdAge01,"&lt;"&amp;'19_Расчет_аналитики'!AQ2584,WeightedMinAge01),MAX(CapacityAge01*'01_Вводные'!$B$218*'19_Расчет_аналитики'!AQ2584,MeanMinAge01)))</f>
        <v/>
      </c>
      <c r="AR2516">
        <f>IF(OR(('19_Расчет_аналитики'!AR2432-'19_Расчет_аналитики'!AR2460)=0,1&lt;='01_Вводные'!$B$297),0,('19_Расчет_аналитики'!AR2432-'19_Расчет_аналитики'!AR2460)*IF('01_Вводные'!$B$239="Да",MeanMinAge01+'19_Расчет_аналитики'!AR2584*SUMIF(ThresholdAge01,"&lt;"&amp;'19_Расчет_аналитики'!AR2584,WeightedRevAge01)-SUMIF(ThresholdAge01,"&lt;"&amp;'19_Расчет_аналитики'!AR2584,WeightedMinAge01),MAX(CapacityAge01*'01_Вводные'!$B$218*'19_Расчет_аналитики'!AR2584,MeanMinAge01)))</f>
        <v/>
      </c>
      <c r="AS2516">
        <f>IF(OR(('19_Расчет_аналитики'!AS2432-'19_Расчет_аналитики'!AS2460)=0,1&lt;='01_Вводные'!$B$297),0,('19_Расчет_аналитики'!AS2432-'19_Расчет_аналитики'!AS2460)*IF('01_Вводные'!$B$239="Да",MeanMinAge01+'19_Расчет_аналитики'!AS2584*SUMIF(ThresholdAge01,"&lt;"&amp;'19_Расчет_аналитики'!AS2584,WeightedRevAge01)-SUMIF(ThresholdAge01,"&lt;"&amp;'19_Расчет_аналитики'!AS2584,WeightedMinAge01),MAX(CapacityAge01*'01_Вводные'!$B$218*'19_Расчет_аналитики'!AS2584,MeanMinAge01)))</f>
        <v/>
      </c>
      <c r="AT2516">
        <f>IF(OR(('19_Расчет_аналитики'!AT2432-'19_Расчет_аналитики'!AT2460)=0,1&lt;='01_Вводные'!$B$297),0,('19_Расчет_аналитики'!AT2432-'19_Расчет_аналитики'!AT2460)*IF('01_Вводные'!$B$239="Да",MeanMinAge01+'19_Расчет_аналитики'!AT2584*SUMIF(ThresholdAge01,"&lt;"&amp;'19_Расчет_аналитики'!AT2584,WeightedRevAge01)-SUMIF(ThresholdAge01,"&lt;"&amp;'19_Расчет_аналитики'!AT2584,WeightedMinAge01),MAX(CapacityAge01*'01_Вводные'!$B$218*'19_Расчет_аналитики'!AT2584,MeanMinAge01)))</f>
        <v/>
      </c>
      <c r="AU2516">
        <f>IF(OR(('19_Расчет_аналитики'!AU2432-'19_Расчет_аналитики'!AU2460)=0,1&lt;='01_Вводные'!$B$297),0,('19_Расчет_аналитики'!AU2432-'19_Расчет_аналитики'!AU2460)*IF('01_Вводные'!$B$239="Да",MeanMinAge01+'19_Расчет_аналитики'!AU2584*SUMIF(ThresholdAge01,"&lt;"&amp;'19_Расчет_аналитики'!AU2584,WeightedRevAge01)-SUMIF(ThresholdAge01,"&lt;"&amp;'19_Расчет_аналитики'!AU2584,WeightedMinAge01),MAX(CapacityAge01*'01_Вводные'!$B$218*'19_Расчет_аналитики'!AU2584,MeanMinAge01)))</f>
        <v/>
      </c>
      <c r="AV2516">
        <f>IF(OR(('19_Расчет_аналитики'!AV2432-'19_Расчет_аналитики'!AV2460)=0,1&lt;='01_Вводные'!$B$297),0,('19_Расчет_аналитики'!AV2432-'19_Расчет_аналитики'!AV2460)*IF('01_Вводные'!$B$239="Да",MeanMinAge01+'19_Расчет_аналитики'!AV2584*SUMIF(ThresholdAge01,"&lt;"&amp;'19_Расчет_аналитики'!AV2584,WeightedRevAge01)-SUMIF(ThresholdAge01,"&lt;"&amp;'19_Расчет_аналитики'!AV2584,WeightedMinAge01),MAX(CapacityAge01*'01_Вводные'!$B$218*'19_Расчет_аналитики'!AV2584,MeanMinAge01)))</f>
        <v/>
      </c>
      <c r="AW2516">
        <f>IF(OR(('19_Расчет_аналитики'!AW2432-'19_Расчет_аналитики'!AW2460)=0,1&lt;='01_Вводные'!$B$297),0,('19_Расчет_аналитики'!AW2432-'19_Расчет_аналитики'!AW2460)*IF('01_Вводные'!$B$239="Да",MeanMinAge01+'19_Расчет_аналитики'!AW2584*SUMIF(ThresholdAge01,"&lt;"&amp;'19_Расчет_аналитики'!AW2584,WeightedRevAge01)-SUMIF(ThresholdAge01,"&lt;"&amp;'19_Расчет_аналитики'!AW2584,WeightedMinAge01),MAX(CapacityAge01*'01_Вводные'!$B$218*'19_Расчет_аналитики'!AW2584,MeanMinAge01)))</f>
        <v/>
      </c>
      <c r="AX2516">
        <f>IF(OR(('19_Расчет_аналитики'!AX2432-'19_Расчет_аналитики'!AX2460)=0,1&lt;='01_Вводные'!$B$297),0,('19_Расчет_аналитики'!AX2432-'19_Расчет_аналитики'!AX2460)*IF('01_Вводные'!$B$239="Да",MeanMinAge01+'19_Расчет_аналитики'!AX2584*SUMIF(ThresholdAge01,"&lt;"&amp;'19_Расчет_аналитики'!AX2584,WeightedRevAge01)-SUMIF(ThresholdAge01,"&lt;"&amp;'19_Расчет_аналитики'!AX2584,WeightedMinAge01),MAX(CapacityAge01*'01_Вводные'!$B$218*'19_Расчет_аналитики'!AX2584,MeanMinAge01)))</f>
        <v/>
      </c>
      <c r="AY2516">
        <f>IF(OR(('19_Расчет_аналитики'!AY2432-'19_Расчет_аналитики'!AY2460)=0,1&lt;='01_Вводные'!$B$297),0,('19_Расчет_аналитики'!AY2432-'19_Расчет_аналитики'!AY2460)*IF('01_Вводные'!$B$239="Да",MeanMinAge01+'19_Расчет_аналитики'!AY2584*SUMIF(ThresholdAge01,"&lt;"&amp;'19_Расчет_аналитики'!AY2584,WeightedRevAge01)-SUMIF(ThresholdAge01,"&lt;"&amp;'19_Расчет_аналитики'!AY2584,WeightedMinAge01),MAX(CapacityAge01*'01_Вводные'!$B$218*'19_Расчет_аналитики'!AY2584,MeanMinAge01)))</f>
        <v/>
      </c>
      <c r="AZ2516">
        <f>IF(OR(('19_Расчет_аналитики'!AZ2432-'19_Расчет_аналитики'!AZ2460)=0,1&lt;='01_Вводные'!$B$297),0,('19_Расчет_аналитики'!AZ2432-'19_Расчет_аналитики'!AZ2460)*IF('01_Вводные'!$B$239="Да",MeanMinAge01+'19_Расчет_аналитики'!AZ2584*SUMIF(ThresholdAge01,"&lt;"&amp;'19_Расчет_аналитики'!AZ2584,WeightedRevAge01)-SUMIF(ThresholdAge01,"&lt;"&amp;'19_Расчет_аналитики'!AZ2584,WeightedMinAge01),MAX(CapacityAge01*'01_Вводные'!$B$218*'19_Расчет_аналитики'!AZ2584,MeanMinAge01)))</f>
        <v/>
      </c>
      <c r="BA2516">
        <f>IF(OR(('19_Расчет_аналитики'!BA2432-'19_Расчет_аналитики'!BA2460)=0,1&lt;='01_Вводные'!$B$297),0,('19_Расчет_аналитики'!BA2432-'19_Расчет_аналитики'!BA2460)*IF('01_Вводные'!$B$239="Да",MeanMinAge01+'19_Расчет_аналитики'!BA2584*SUMIF(ThresholdAge01,"&lt;"&amp;'19_Расчет_аналитики'!BA2584,WeightedRevAge01)-SUMIF(ThresholdAge01,"&lt;"&amp;'19_Расчет_аналитики'!BA2584,WeightedMinAge01),MAX(CapacityAge01*'01_Вводные'!$B$218*'19_Расчет_аналитики'!BA2584,MeanMinAge01)))</f>
        <v/>
      </c>
      <c r="BB2516">
        <f>IF(OR(('19_Расчет_аналитики'!BB2432-'19_Расчет_аналитики'!BB2460)=0,1&lt;='01_Вводные'!$B$297),0,('19_Расчет_аналитики'!BB2432-'19_Расчет_аналитики'!BB2460)*IF('01_Вводные'!$B$239="Да",MeanMinAge01+'19_Расчет_аналитики'!BB2584*SUMIF(ThresholdAge01,"&lt;"&amp;'19_Расчет_аналитики'!BB2584,WeightedRevAge01)-SUMIF(ThresholdAge01,"&lt;"&amp;'19_Расчет_аналитики'!BB2584,WeightedMinAge01),MAX(CapacityAge01*'01_Вводные'!$B$218*'19_Расчет_аналитики'!BB2584,MeanMinAge01)))</f>
        <v/>
      </c>
      <c r="BC2516">
        <f>IF(OR(('19_Расчет_аналитики'!BC2432-'19_Расчет_аналитики'!BC2460)=0,1&lt;='01_Вводные'!$B$297),0,('19_Расчет_аналитики'!BC2432-'19_Расчет_аналитики'!BC2460)*IF('01_Вводные'!$B$239="Да",MeanMinAge01+'19_Расчет_аналитики'!BC2584*SUMIF(ThresholdAge01,"&lt;"&amp;'19_Расчет_аналитики'!BC2584,WeightedRevAge01)-SUMIF(ThresholdAge01,"&lt;"&amp;'19_Расчет_аналитики'!BC2584,WeightedMinAge01),MAX(CapacityAge01*'01_Вводные'!$B$218*'19_Расчет_аналитики'!BC2584,MeanMinAge01)))</f>
        <v/>
      </c>
      <c r="BD2516">
        <f>IF(OR(('19_Расчет_аналитики'!BD2432-'19_Расчет_аналитики'!BD2460)=0,1&lt;='01_Вводные'!$B$297),0,('19_Расчет_аналитики'!BD2432-'19_Расчет_аналитики'!BD2460)*IF('01_Вводные'!$B$239="Да",MeanMinAge01+'19_Расчет_аналитики'!BD2584*SUMIF(ThresholdAge01,"&lt;"&amp;'19_Расчет_аналитики'!BD2584,WeightedRevAge01)-SUMIF(ThresholdAge01,"&lt;"&amp;'19_Расчет_аналитики'!BD2584,WeightedMinAge01),MAX(CapacityAge01*'01_Вводные'!$B$218*'19_Расчет_аналитики'!BD2584,MeanMinAge01)))</f>
        <v/>
      </c>
      <c r="BE2516">
        <f>IF(OR(('19_Расчет_аналитики'!BE2432-'19_Расчет_аналитики'!BE2460)=0,1&lt;='01_Вводные'!$B$297),0,('19_Расчет_аналитики'!BE2432-'19_Расчет_аналитики'!BE2460)*IF('01_Вводные'!$B$239="Да",MeanMinAge01+'19_Расчет_аналитики'!BE2584*SUMIF(ThresholdAge01,"&lt;"&amp;'19_Расчет_аналитики'!BE2584,WeightedRevAge01)-SUMIF(ThresholdAge01,"&lt;"&amp;'19_Расчет_аналитики'!BE2584,WeightedMinAge01),MAX(CapacityAge01*'01_Вводные'!$B$218*'19_Расчет_аналитики'!BE2584,MeanMinAge01)))</f>
        <v/>
      </c>
      <c r="BF2516">
        <f>IF(OR(('19_Расчет_аналитики'!BF2432-'19_Расчет_аналитики'!BF2460)=0,1&lt;='01_Вводные'!$B$297),0,('19_Расчет_аналитики'!BF2432-'19_Расчет_аналитики'!BF2460)*IF('01_Вводные'!$B$239="Да",MeanMinAge01+'19_Расчет_аналитики'!BF2584*SUMIF(ThresholdAge01,"&lt;"&amp;'19_Расчет_аналитики'!BF2584,WeightedRevAge01)-SUMIF(ThresholdAge01,"&lt;"&amp;'19_Расчет_аналитики'!BF2584,WeightedMinAge01),MAX(CapacityAge01*'01_Вводные'!$B$218*'19_Расчет_аналитики'!BF2584,MeanMinAge01)))</f>
        <v/>
      </c>
      <c r="BG2516">
        <f>IF(OR(('19_Расчет_аналитики'!BG2432-'19_Расчет_аналитики'!BG2460)=0,1&lt;='01_Вводные'!$B$297),0,('19_Расчет_аналитики'!BG2432-'19_Расчет_аналитики'!BG2460)*IF('01_Вводные'!$B$239="Да",MeanMinAge01+'19_Расчет_аналитики'!BG2584*SUMIF(ThresholdAge01,"&lt;"&amp;'19_Расчет_аналитики'!BG2584,WeightedRevAge01)-SUMIF(ThresholdAge01,"&lt;"&amp;'19_Расчет_аналитики'!BG2584,WeightedMinAge01),MAX(CapacityAge01*'01_Вводные'!$B$218*'19_Расчет_аналитики'!BG2584,MeanMinAge01)))</f>
        <v/>
      </c>
      <c r="BH2516">
        <f>IF(OR(('19_Расчет_аналитики'!BH2432-'19_Расчет_аналитики'!BH2460)=0,1&lt;='01_Вводные'!$B$297),0,('19_Расчет_аналитики'!BH2432-'19_Расчет_аналитики'!BH2460)*IF('01_Вводные'!$B$239="Да",MeanMinAge01+'19_Расчет_аналитики'!BH2584*SUMIF(ThresholdAge01,"&lt;"&amp;'19_Расчет_аналитики'!BH2584,WeightedRevAge01)-SUMIF(ThresholdAge01,"&lt;"&amp;'19_Расчет_аналитики'!BH2584,WeightedMinAge01),MAX(CapacityAge01*'01_Вводные'!$B$218*'19_Расчет_аналитики'!BH2584,MeanMinAge01)))</f>
        <v/>
      </c>
      <c r="BI2516">
        <f>IF(OR(('19_Расчет_аналитики'!BI2432-'19_Расчет_аналитики'!BI2460)=0,1&lt;='01_Вводные'!$B$297),0,('19_Расчет_аналитики'!BI2432-'19_Расчет_аналитики'!BI2460)*IF('01_Вводные'!$B$239="Да",MeanMinAge01+'19_Расчет_аналитики'!BI2584*SUMIF(ThresholdAge01,"&lt;"&amp;'19_Расчет_аналитики'!BI2584,WeightedRevAge01)-SUMIF(ThresholdAge01,"&lt;"&amp;'19_Расчет_аналитики'!BI2584,WeightedMinAge01),MAX(CapacityAge01*'01_Вводные'!$B$218*'19_Расчет_аналитики'!BI2584,MeanMinAge01)))</f>
        <v/>
      </c>
      <c r="BJ2516">
        <f>IF(OR(('19_Расчет_аналитики'!BJ2432-'19_Расчет_аналитики'!BJ2460)=0,1&lt;='01_Вводные'!$B$297),0,('19_Расчет_аналитики'!BJ2432-'19_Расчет_аналитики'!BJ2460)*IF('01_Вводные'!$B$239="Да",MeanMinAge01+'19_Расчет_аналитики'!BJ2584*SUMIF(ThresholdAge01,"&lt;"&amp;'19_Расчет_аналитики'!BJ2584,WeightedRevAge01)-SUMIF(ThresholdAge01,"&lt;"&amp;'19_Расчет_аналитики'!BJ2584,WeightedMinAge01),MAX(CapacityAge01*'01_Вводные'!$B$218*'19_Расчет_аналитики'!BJ2584,MeanMinAge01)))</f>
        <v/>
      </c>
      <c r="BK2516">
        <f>IF(OR(('19_Расчет_аналитики'!BK2432-'19_Расчет_аналитики'!BK2460)=0,1&lt;='01_Вводные'!$B$297),0,('19_Расчет_аналитики'!BK2432-'19_Расчет_аналитики'!BK2460)*IF('01_Вводные'!$B$239="Да",MeanMinAge01+'19_Расчет_аналитики'!BK2584*SUMIF(ThresholdAge01,"&lt;"&amp;'19_Расчет_аналитики'!BK2584,WeightedRevAge01)-SUMIF(ThresholdAge01,"&lt;"&amp;'19_Расчет_аналитики'!BK2584,WeightedMinAge01),MAX(CapacityAge01*'01_Вводные'!$B$218*'19_Расчет_аналитики'!BK2584,MeanMinAge01)))</f>
        <v/>
      </c>
      <c r="BL2516">
        <f>IF(OR(('19_Расчет_аналитики'!BL2432-'19_Расчет_аналитики'!BL2460)=0,1&lt;='01_Вводные'!$B$297),0,('19_Расчет_аналитики'!BL2432-'19_Расчет_аналитики'!BL2460)*IF('01_Вводные'!$B$239="Да",MeanMinAge01+'19_Расчет_аналитики'!BL2584*SUMIF(ThresholdAge01,"&lt;"&amp;'19_Расчет_аналитики'!BL2584,WeightedRevAge01)-SUMIF(ThresholdAge01,"&lt;"&amp;'19_Расчет_аналитики'!BL2584,WeightedMinAge01),MAX(CapacityAge01*'01_Вводные'!$B$218*'19_Расчет_аналитики'!BL2584,MeanMinAge01)))</f>
        <v/>
      </c>
      <c r="BM2516">
        <f>IF(OR(('19_Расчет_аналитики'!BM2432-'19_Расчет_аналитики'!BM2460)=0,1&lt;='01_Вводные'!$B$297),0,('19_Расчет_аналитики'!BM2432-'19_Расчет_аналитики'!BM2460)*IF('01_Вводные'!$B$239="Да",MeanMinAge01+'19_Расчет_аналитики'!BM2584*SUMIF(ThresholdAge01,"&lt;"&amp;'19_Расчет_аналитики'!BM2584,WeightedRevAge01)-SUMIF(ThresholdAge01,"&lt;"&amp;'19_Расчет_аналитики'!BM2584,WeightedMinAge01),MAX(CapacityAge01*'01_Вводные'!$B$218*'19_Расчет_аналитики'!BM2584,MeanMinAge01)))</f>
        <v/>
      </c>
      <c r="BN2516">
        <f>IF(OR(('19_Расчет_аналитики'!BN2432-'19_Расчет_аналитики'!BN2460)=0,1&lt;='01_Вводные'!$B$297),0,('19_Расчет_аналитики'!BN2432-'19_Расчет_аналитики'!BN2460)*IF('01_Вводные'!$B$239="Да",MeanMinAge01+'19_Расчет_аналитики'!BN2584*SUMIF(ThresholdAge01,"&lt;"&amp;'19_Расчет_аналитики'!BN2584,WeightedRevAge01)-SUMIF(ThresholdAge01,"&lt;"&amp;'19_Расчет_аналитики'!BN2584,WeightedMinAge01),MAX(CapacityAge01*'01_Вводные'!$B$218*'19_Расчет_аналитики'!BN2584,MeanMinAge01)))</f>
        <v/>
      </c>
      <c r="BO2516">
        <f>IF(OR(('19_Расчет_аналитики'!BO2432-'19_Расчет_аналитики'!BO2460)=0,1&lt;='01_Вводные'!$B$297),0,('19_Расчет_аналитики'!BO2432-'19_Расчет_аналитики'!BO2460)*IF('01_Вводные'!$B$239="Да",MeanMinAge01+'19_Расчет_аналитики'!BO2584*SUMIF(ThresholdAge01,"&lt;"&amp;'19_Расчет_аналитики'!BO2584,WeightedRevAge01)-SUMIF(ThresholdAge01,"&lt;"&amp;'19_Расчет_аналитики'!BO2584,WeightedMinAge01),MAX(CapacityAge01*'01_Вводные'!$B$218*'19_Расчет_аналитики'!BO2584,MeanMinAge01)))</f>
        <v/>
      </c>
    </row>
    <row r="2517">
      <c r="B2517">
        <f>IF(OR(('06_Сеть_и_дети'!B54-'06_Сеть_и_дети'!B82)=0,2&lt;='01_Вводные'!$B$297),0,('06_Сеть_и_дети'!B54-'06_Сеть_и_дети'!B82)*IF('01_Вводные'!$B$239="Да",MeanMinAge02+'19_Расчет_аналитики'!B2584*SUMIF(ThresholdAge02,"&lt;"&amp;'19_Расчет_аналитики'!B2584,WeightedRevAge02)-SUMIF(ThresholdAge02,"&lt;"&amp;'19_Расчет_аналитики'!B2584,WeightedMinAge02),MAX(CapacityAge02*'01_Вводные'!$B$218*'19_Расчет_аналитики'!B2584,MeanMinAge02)))</f>
        <v/>
      </c>
      <c r="C2517">
        <f>IF(OR(('19_Расчет_аналитики'!C2433-'19_Расчет_аналитики'!C2461)=0,2&lt;='01_Вводные'!$B$297),0,('19_Расчет_аналитики'!C2433-'19_Расчет_аналитики'!C2461)*IF('01_Вводные'!$B$239="Да",MeanMinAge02+'19_Расчет_аналитики'!C2584*SUMIF(ThresholdAge02,"&lt;"&amp;'19_Расчет_аналитики'!C2584,WeightedRevAge02)-SUMIF(ThresholdAge02,"&lt;"&amp;'19_Расчет_аналитики'!C2584,WeightedMinAge02),MAX(CapacityAge02*'01_Вводные'!$B$218*'19_Расчет_аналитики'!C2584,MeanMinAge02)))</f>
        <v/>
      </c>
      <c r="D2517">
        <f>IF(OR(('19_Расчет_аналитики'!D2433-'19_Расчет_аналитики'!D2461)=0,2&lt;='01_Вводные'!$B$297),0,('19_Расчет_аналитики'!D2433-'19_Расчет_аналитики'!D2461)*IF('01_Вводные'!$B$239="Да",MeanMinAge02+'19_Расчет_аналитики'!D2584*SUMIF(ThresholdAge02,"&lt;"&amp;'19_Расчет_аналитики'!D2584,WeightedRevAge02)-SUMIF(ThresholdAge02,"&lt;"&amp;'19_Расчет_аналитики'!D2584,WeightedMinAge02),MAX(CapacityAge02*'01_Вводные'!$B$218*'19_Расчет_аналитики'!D2584,MeanMinAge02)))</f>
        <v/>
      </c>
      <c r="E2517">
        <f>IF(OR(('19_Расчет_аналитики'!E2433-'19_Расчет_аналитики'!E2461)=0,2&lt;='01_Вводные'!$B$297),0,('19_Расчет_аналитики'!E2433-'19_Расчет_аналитики'!E2461)*IF('01_Вводные'!$B$239="Да",MeanMinAge02+'19_Расчет_аналитики'!E2584*SUMIF(ThresholdAge02,"&lt;"&amp;'19_Расчет_аналитики'!E2584,WeightedRevAge02)-SUMIF(ThresholdAge02,"&lt;"&amp;'19_Расчет_аналитики'!E2584,WeightedMinAge02),MAX(CapacityAge02*'01_Вводные'!$B$218*'19_Расчет_аналитики'!E2584,MeanMinAge02)))</f>
        <v/>
      </c>
      <c r="F2517">
        <f>IF(OR(('19_Расчет_аналитики'!F2433-'19_Расчет_аналитики'!F2461)=0,2&lt;='01_Вводные'!$B$297),0,('19_Расчет_аналитики'!F2433-'19_Расчет_аналитики'!F2461)*IF('01_Вводные'!$B$239="Да",MeanMinAge02+'19_Расчет_аналитики'!F2584*SUMIF(ThresholdAge02,"&lt;"&amp;'19_Расчет_аналитики'!F2584,WeightedRevAge02)-SUMIF(ThresholdAge02,"&lt;"&amp;'19_Расчет_аналитики'!F2584,WeightedMinAge02),MAX(CapacityAge02*'01_Вводные'!$B$218*'19_Расчет_аналитики'!F2584,MeanMinAge02)))</f>
        <v/>
      </c>
      <c r="G2517">
        <f>IF(OR(('19_Расчет_аналитики'!G2433-'19_Расчет_аналитики'!G2461)=0,2&lt;='01_Вводные'!$B$297),0,('19_Расчет_аналитики'!G2433-'19_Расчет_аналитики'!G2461)*IF('01_Вводные'!$B$239="Да",MeanMinAge02+'19_Расчет_аналитики'!G2584*SUMIF(ThresholdAge02,"&lt;"&amp;'19_Расчет_аналитики'!G2584,WeightedRevAge02)-SUMIF(ThresholdAge02,"&lt;"&amp;'19_Расчет_аналитики'!G2584,WeightedMinAge02),MAX(CapacityAge02*'01_Вводные'!$B$218*'19_Расчет_аналитики'!G2584,MeanMinAge02)))</f>
        <v/>
      </c>
      <c r="H2517">
        <f>IF(OR(('19_Расчет_аналитики'!H2433-'19_Расчет_аналитики'!H2461)=0,2&lt;='01_Вводные'!$B$297),0,('19_Расчет_аналитики'!H2433-'19_Расчет_аналитики'!H2461)*IF('01_Вводные'!$B$239="Да",MeanMinAge02+'19_Расчет_аналитики'!H2584*SUMIF(ThresholdAge02,"&lt;"&amp;'19_Расчет_аналитики'!H2584,WeightedRevAge02)-SUMIF(ThresholdAge02,"&lt;"&amp;'19_Расчет_аналитики'!H2584,WeightedMinAge02),MAX(CapacityAge02*'01_Вводные'!$B$218*'19_Расчет_аналитики'!H2584,MeanMinAge02)))</f>
        <v/>
      </c>
      <c r="I2517">
        <f>IF(OR(('19_Расчет_аналитики'!I2433-'19_Расчет_аналитики'!I2461)=0,2&lt;='01_Вводные'!$B$297),0,('19_Расчет_аналитики'!I2433-'19_Расчет_аналитики'!I2461)*IF('01_Вводные'!$B$239="Да",MeanMinAge02+'19_Расчет_аналитики'!I2584*SUMIF(ThresholdAge02,"&lt;"&amp;'19_Расчет_аналитики'!I2584,WeightedRevAge02)-SUMIF(ThresholdAge02,"&lt;"&amp;'19_Расчет_аналитики'!I2584,WeightedMinAge02),MAX(CapacityAge02*'01_Вводные'!$B$218*'19_Расчет_аналитики'!I2584,MeanMinAge02)))</f>
        <v/>
      </c>
      <c r="J2517">
        <f>IF(OR(('19_Расчет_аналитики'!J2433-'19_Расчет_аналитики'!J2461)=0,2&lt;='01_Вводные'!$B$297),0,('19_Расчет_аналитики'!J2433-'19_Расчет_аналитики'!J2461)*IF('01_Вводные'!$B$239="Да",MeanMinAge02+'19_Расчет_аналитики'!J2584*SUMIF(ThresholdAge02,"&lt;"&amp;'19_Расчет_аналитики'!J2584,WeightedRevAge02)-SUMIF(ThresholdAge02,"&lt;"&amp;'19_Расчет_аналитики'!J2584,WeightedMinAge02),MAX(CapacityAge02*'01_Вводные'!$B$218*'19_Расчет_аналитики'!J2584,MeanMinAge02)))</f>
        <v/>
      </c>
      <c r="K2517">
        <f>IF(OR(('19_Расчет_аналитики'!K2433-'19_Расчет_аналитики'!K2461)=0,2&lt;='01_Вводные'!$B$297),0,('19_Расчет_аналитики'!K2433-'19_Расчет_аналитики'!K2461)*IF('01_Вводные'!$B$239="Да",MeanMinAge02+'19_Расчет_аналитики'!K2584*SUMIF(ThresholdAge02,"&lt;"&amp;'19_Расчет_аналитики'!K2584,WeightedRevAge02)-SUMIF(ThresholdAge02,"&lt;"&amp;'19_Расчет_аналитики'!K2584,WeightedMinAge02),MAX(CapacityAge02*'01_Вводные'!$B$218*'19_Расчет_аналитики'!K2584,MeanMinAge02)))</f>
        <v/>
      </c>
      <c r="L2517">
        <f>IF(OR(('19_Расчет_аналитики'!L2433-'19_Расчет_аналитики'!L2461)=0,2&lt;='01_Вводные'!$B$297),0,('19_Расчет_аналитики'!L2433-'19_Расчет_аналитики'!L2461)*IF('01_Вводные'!$B$239="Да",MeanMinAge02+'19_Расчет_аналитики'!L2584*SUMIF(ThresholdAge02,"&lt;"&amp;'19_Расчет_аналитики'!L2584,WeightedRevAge02)-SUMIF(ThresholdAge02,"&lt;"&amp;'19_Расчет_аналитики'!L2584,WeightedMinAge02),MAX(CapacityAge02*'01_Вводные'!$B$218*'19_Расчет_аналитики'!L2584,MeanMinAge02)))</f>
        <v/>
      </c>
      <c r="M2517">
        <f>IF(OR(('19_Расчет_аналитики'!M2433-'19_Расчет_аналитики'!M2461)=0,2&lt;='01_Вводные'!$B$297),0,('19_Расчет_аналитики'!M2433-'19_Расчет_аналитики'!M2461)*IF('01_Вводные'!$B$239="Да",MeanMinAge02+'19_Расчет_аналитики'!M2584*SUMIF(ThresholdAge02,"&lt;"&amp;'19_Расчет_аналитики'!M2584,WeightedRevAge02)-SUMIF(ThresholdAge02,"&lt;"&amp;'19_Расчет_аналитики'!M2584,WeightedMinAge02),MAX(CapacityAge02*'01_Вводные'!$B$218*'19_Расчет_аналитики'!M2584,MeanMinAge02)))</f>
        <v/>
      </c>
      <c r="N2517">
        <f>IF(OR(('19_Расчет_аналитики'!N2433-'19_Расчет_аналитики'!N2461)=0,2&lt;='01_Вводные'!$B$297),0,('19_Расчет_аналитики'!N2433-'19_Расчет_аналитики'!N2461)*IF('01_Вводные'!$B$239="Да",MeanMinAge02+'19_Расчет_аналитики'!N2584*SUMIF(ThresholdAge02,"&lt;"&amp;'19_Расчет_аналитики'!N2584,WeightedRevAge02)-SUMIF(ThresholdAge02,"&lt;"&amp;'19_Расчет_аналитики'!N2584,WeightedMinAge02),MAX(CapacityAge02*'01_Вводные'!$B$218*'19_Расчет_аналитики'!N2584,MeanMinAge02)))</f>
        <v/>
      </c>
      <c r="O2517">
        <f>IF(OR(('19_Расчет_аналитики'!O2433-'19_Расчет_аналитики'!O2461)=0,2&lt;='01_Вводные'!$B$297),0,('19_Расчет_аналитики'!O2433-'19_Расчет_аналитики'!O2461)*IF('01_Вводные'!$B$239="Да",MeanMinAge02+'19_Расчет_аналитики'!O2584*SUMIF(ThresholdAge02,"&lt;"&amp;'19_Расчет_аналитики'!O2584,WeightedRevAge02)-SUMIF(ThresholdAge02,"&lt;"&amp;'19_Расчет_аналитики'!O2584,WeightedMinAge02),MAX(CapacityAge02*'01_Вводные'!$B$218*'19_Расчет_аналитики'!O2584,MeanMinAge02)))</f>
        <v/>
      </c>
      <c r="P2517">
        <f>IF(OR(('19_Расчет_аналитики'!P2433-'19_Расчет_аналитики'!P2461)=0,2&lt;='01_Вводные'!$B$297),0,('19_Расчет_аналитики'!P2433-'19_Расчет_аналитики'!P2461)*IF('01_Вводные'!$B$239="Да",MeanMinAge02+'19_Расчет_аналитики'!P2584*SUMIF(ThresholdAge02,"&lt;"&amp;'19_Расчет_аналитики'!P2584,WeightedRevAge02)-SUMIF(ThresholdAge02,"&lt;"&amp;'19_Расчет_аналитики'!P2584,WeightedMinAge02),MAX(CapacityAge02*'01_Вводные'!$B$218*'19_Расчет_аналитики'!P2584,MeanMinAge02)))</f>
        <v/>
      </c>
      <c r="Q2517">
        <f>IF(OR(('19_Расчет_аналитики'!Q2433-'19_Расчет_аналитики'!Q2461)=0,2&lt;='01_Вводные'!$B$297),0,('19_Расчет_аналитики'!Q2433-'19_Расчет_аналитики'!Q2461)*IF('01_Вводные'!$B$239="Да",MeanMinAge02+'19_Расчет_аналитики'!Q2584*SUMIF(ThresholdAge02,"&lt;"&amp;'19_Расчет_аналитики'!Q2584,WeightedRevAge02)-SUMIF(ThresholdAge02,"&lt;"&amp;'19_Расчет_аналитики'!Q2584,WeightedMinAge02),MAX(CapacityAge02*'01_Вводные'!$B$218*'19_Расчет_аналитики'!Q2584,MeanMinAge02)))</f>
        <v/>
      </c>
      <c r="R2517">
        <f>IF(OR(('19_Расчет_аналитики'!R2433-'19_Расчет_аналитики'!R2461)=0,2&lt;='01_Вводные'!$B$297),0,('19_Расчет_аналитики'!R2433-'19_Расчет_аналитики'!R2461)*IF('01_Вводные'!$B$239="Да",MeanMinAge02+'19_Расчет_аналитики'!R2584*SUMIF(ThresholdAge02,"&lt;"&amp;'19_Расчет_аналитики'!R2584,WeightedRevAge02)-SUMIF(ThresholdAge02,"&lt;"&amp;'19_Расчет_аналитики'!R2584,WeightedMinAge02),MAX(CapacityAge02*'01_Вводные'!$B$218*'19_Расчет_аналитики'!R2584,MeanMinAge02)))</f>
        <v/>
      </c>
      <c r="S2517">
        <f>IF(OR(('19_Расчет_аналитики'!S2433-'19_Расчет_аналитики'!S2461)=0,2&lt;='01_Вводные'!$B$297),0,('19_Расчет_аналитики'!S2433-'19_Расчет_аналитики'!S2461)*IF('01_Вводные'!$B$239="Да",MeanMinAge02+'19_Расчет_аналитики'!S2584*SUMIF(ThresholdAge02,"&lt;"&amp;'19_Расчет_аналитики'!S2584,WeightedRevAge02)-SUMIF(ThresholdAge02,"&lt;"&amp;'19_Расчет_аналитики'!S2584,WeightedMinAge02),MAX(CapacityAge02*'01_Вводные'!$B$218*'19_Расчет_аналитики'!S2584,MeanMinAge02)))</f>
        <v/>
      </c>
      <c r="T2517">
        <f>IF(OR(('19_Расчет_аналитики'!T2433-'19_Расчет_аналитики'!T2461)=0,2&lt;='01_Вводные'!$B$297),0,('19_Расчет_аналитики'!T2433-'19_Расчет_аналитики'!T2461)*IF('01_Вводные'!$B$239="Да",MeanMinAge02+'19_Расчет_аналитики'!T2584*SUMIF(ThresholdAge02,"&lt;"&amp;'19_Расчет_аналитики'!T2584,WeightedRevAge02)-SUMIF(ThresholdAge02,"&lt;"&amp;'19_Расчет_аналитики'!T2584,WeightedMinAge02),MAX(CapacityAge02*'01_Вводные'!$B$218*'19_Расчет_аналитики'!T2584,MeanMinAge02)))</f>
        <v/>
      </c>
      <c r="U2517">
        <f>IF(OR(('19_Расчет_аналитики'!U2433-'19_Расчет_аналитики'!U2461)=0,2&lt;='01_Вводные'!$B$297),0,('19_Расчет_аналитики'!U2433-'19_Расчет_аналитики'!U2461)*IF('01_Вводные'!$B$239="Да",MeanMinAge02+'19_Расчет_аналитики'!U2584*SUMIF(ThresholdAge02,"&lt;"&amp;'19_Расчет_аналитики'!U2584,WeightedRevAge02)-SUMIF(ThresholdAge02,"&lt;"&amp;'19_Расчет_аналитики'!U2584,WeightedMinAge02),MAX(CapacityAge02*'01_Вводные'!$B$218*'19_Расчет_аналитики'!U2584,MeanMinAge02)))</f>
        <v/>
      </c>
      <c r="V2517">
        <f>IF(OR(('19_Расчет_аналитики'!V2433-'19_Расчет_аналитики'!V2461)=0,2&lt;='01_Вводные'!$B$297),0,('19_Расчет_аналитики'!V2433-'19_Расчет_аналитики'!V2461)*IF('01_Вводные'!$B$239="Да",MeanMinAge02+'19_Расчет_аналитики'!V2584*SUMIF(ThresholdAge02,"&lt;"&amp;'19_Расчет_аналитики'!V2584,WeightedRevAge02)-SUMIF(ThresholdAge02,"&lt;"&amp;'19_Расчет_аналитики'!V2584,WeightedMinAge02),MAX(CapacityAge02*'01_Вводные'!$B$218*'19_Расчет_аналитики'!V2584,MeanMinAge02)))</f>
        <v/>
      </c>
      <c r="W2517">
        <f>IF(OR(('19_Расчет_аналитики'!W2433-'19_Расчет_аналитики'!W2461)=0,2&lt;='01_Вводные'!$B$297),0,('19_Расчет_аналитики'!W2433-'19_Расчет_аналитики'!W2461)*IF('01_Вводные'!$B$239="Да",MeanMinAge02+'19_Расчет_аналитики'!W2584*SUMIF(ThresholdAge02,"&lt;"&amp;'19_Расчет_аналитики'!W2584,WeightedRevAge02)-SUMIF(ThresholdAge02,"&lt;"&amp;'19_Расчет_аналитики'!W2584,WeightedMinAge02),MAX(CapacityAge02*'01_Вводные'!$B$218*'19_Расчет_аналитики'!W2584,MeanMinAge02)))</f>
        <v/>
      </c>
      <c r="X2517">
        <f>IF(OR(('19_Расчет_аналитики'!X2433-'19_Расчет_аналитики'!X2461)=0,2&lt;='01_Вводные'!$B$297),0,('19_Расчет_аналитики'!X2433-'19_Расчет_аналитики'!X2461)*IF('01_Вводные'!$B$239="Да",MeanMinAge02+'19_Расчет_аналитики'!X2584*SUMIF(ThresholdAge02,"&lt;"&amp;'19_Расчет_аналитики'!X2584,WeightedRevAge02)-SUMIF(ThresholdAge02,"&lt;"&amp;'19_Расчет_аналитики'!X2584,WeightedMinAge02),MAX(CapacityAge02*'01_Вводные'!$B$218*'19_Расчет_аналитики'!X2584,MeanMinAge02)))</f>
        <v/>
      </c>
      <c r="Y2517">
        <f>IF(OR(('19_Расчет_аналитики'!Y2433-'19_Расчет_аналитики'!Y2461)=0,2&lt;='01_Вводные'!$B$297),0,('19_Расчет_аналитики'!Y2433-'19_Расчет_аналитики'!Y2461)*IF('01_Вводные'!$B$239="Да",MeanMinAge02+'19_Расчет_аналитики'!Y2584*SUMIF(ThresholdAge02,"&lt;"&amp;'19_Расчет_аналитики'!Y2584,WeightedRevAge02)-SUMIF(ThresholdAge02,"&lt;"&amp;'19_Расчет_аналитики'!Y2584,WeightedMinAge02),MAX(CapacityAge02*'01_Вводные'!$B$218*'19_Расчет_аналитики'!Y2584,MeanMinAge02)))</f>
        <v/>
      </c>
      <c r="Z2517">
        <f>IF(OR(('19_Расчет_аналитики'!Z2433-'19_Расчет_аналитики'!Z2461)=0,2&lt;='01_Вводные'!$B$297),0,('19_Расчет_аналитики'!Z2433-'19_Расчет_аналитики'!Z2461)*IF('01_Вводные'!$B$239="Да",MeanMinAge02+'19_Расчет_аналитики'!Z2584*SUMIF(ThresholdAge02,"&lt;"&amp;'19_Расчет_аналитики'!Z2584,WeightedRevAge02)-SUMIF(ThresholdAge02,"&lt;"&amp;'19_Расчет_аналитики'!Z2584,WeightedMinAge02),MAX(CapacityAge02*'01_Вводные'!$B$218*'19_Расчет_аналитики'!Z2584,MeanMinAge02)))</f>
        <v/>
      </c>
      <c r="AA2517">
        <f>IF(OR(('19_Расчет_аналитики'!AA2433-'19_Расчет_аналитики'!AA2461)=0,2&lt;='01_Вводные'!$B$297),0,('19_Расчет_аналитики'!AA2433-'19_Расчет_аналитики'!AA2461)*IF('01_Вводные'!$B$239="Да",MeanMinAge02+'19_Расчет_аналитики'!AA2584*SUMIF(ThresholdAge02,"&lt;"&amp;'19_Расчет_аналитики'!AA2584,WeightedRevAge02)-SUMIF(ThresholdAge02,"&lt;"&amp;'19_Расчет_аналитики'!AA2584,WeightedMinAge02),MAX(CapacityAge02*'01_Вводные'!$B$218*'19_Расчет_аналитики'!AA2584,MeanMinAge02)))</f>
        <v/>
      </c>
      <c r="AB2517">
        <f>IF(OR(('19_Расчет_аналитики'!AB2433-'19_Расчет_аналитики'!AB2461)=0,2&lt;='01_Вводные'!$B$297),0,('19_Расчет_аналитики'!AB2433-'19_Расчет_аналитики'!AB2461)*IF('01_Вводные'!$B$239="Да",MeanMinAge02+'19_Расчет_аналитики'!AB2584*SUMIF(ThresholdAge02,"&lt;"&amp;'19_Расчет_аналитики'!AB2584,WeightedRevAge02)-SUMIF(ThresholdAge02,"&lt;"&amp;'19_Расчет_аналитики'!AB2584,WeightedMinAge02),MAX(CapacityAge02*'01_Вводные'!$B$218*'19_Расчет_аналитики'!AB2584,MeanMinAge02)))</f>
        <v/>
      </c>
      <c r="AC2517">
        <f>IF(OR(('19_Расчет_аналитики'!AC2433-'19_Расчет_аналитики'!AC2461)=0,2&lt;='01_Вводные'!$B$297),0,('19_Расчет_аналитики'!AC2433-'19_Расчет_аналитики'!AC2461)*IF('01_Вводные'!$B$239="Да",MeanMinAge02+'19_Расчет_аналитики'!AC2584*SUMIF(ThresholdAge02,"&lt;"&amp;'19_Расчет_аналитики'!AC2584,WeightedRevAge02)-SUMIF(ThresholdAge02,"&lt;"&amp;'19_Расчет_аналитики'!AC2584,WeightedMinAge02),MAX(CapacityAge02*'01_Вводные'!$B$218*'19_Расчет_аналитики'!AC2584,MeanMinAge02)))</f>
        <v/>
      </c>
      <c r="AD2517">
        <f>IF(OR(('19_Расчет_аналитики'!AD2433-'19_Расчет_аналитики'!AD2461)=0,2&lt;='01_Вводные'!$B$297),0,('19_Расчет_аналитики'!AD2433-'19_Расчет_аналитики'!AD2461)*IF('01_Вводные'!$B$239="Да",MeanMinAge02+'19_Расчет_аналитики'!AD2584*SUMIF(ThresholdAge02,"&lt;"&amp;'19_Расчет_аналитики'!AD2584,WeightedRevAge02)-SUMIF(ThresholdAge02,"&lt;"&amp;'19_Расчет_аналитики'!AD2584,WeightedMinAge02),MAX(CapacityAge02*'01_Вводные'!$B$218*'19_Расчет_аналитики'!AD2584,MeanMinAge02)))</f>
        <v/>
      </c>
      <c r="AE2517">
        <f>IF(OR(('19_Расчет_аналитики'!AE2433-'19_Расчет_аналитики'!AE2461)=0,2&lt;='01_Вводные'!$B$297),0,('19_Расчет_аналитики'!AE2433-'19_Расчет_аналитики'!AE2461)*IF('01_Вводные'!$B$239="Да",MeanMinAge02+'19_Расчет_аналитики'!AE2584*SUMIF(ThresholdAge02,"&lt;"&amp;'19_Расчет_аналитики'!AE2584,WeightedRevAge02)-SUMIF(ThresholdAge02,"&lt;"&amp;'19_Расчет_аналитики'!AE2584,WeightedMinAge02),MAX(CapacityAge02*'01_Вводные'!$B$218*'19_Расчет_аналитики'!AE2584,MeanMinAge02)))</f>
        <v/>
      </c>
      <c r="AF2517">
        <f>IF(OR(('19_Расчет_аналитики'!AF2433-'19_Расчет_аналитики'!AF2461)=0,2&lt;='01_Вводные'!$B$297),0,('19_Расчет_аналитики'!AF2433-'19_Расчет_аналитики'!AF2461)*IF('01_Вводные'!$B$239="Да",MeanMinAge02+'19_Расчет_аналитики'!AF2584*SUMIF(ThresholdAge02,"&lt;"&amp;'19_Расчет_аналитики'!AF2584,WeightedRevAge02)-SUMIF(ThresholdAge02,"&lt;"&amp;'19_Расчет_аналитики'!AF2584,WeightedMinAge02),MAX(CapacityAge02*'01_Вводные'!$B$218*'19_Расчет_аналитики'!AF2584,MeanMinAge02)))</f>
        <v/>
      </c>
      <c r="AG2517">
        <f>IF(OR(('19_Расчет_аналитики'!AG2433-'19_Расчет_аналитики'!AG2461)=0,2&lt;='01_Вводные'!$B$297),0,('19_Расчет_аналитики'!AG2433-'19_Расчет_аналитики'!AG2461)*IF('01_Вводные'!$B$239="Да",MeanMinAge02+'19_Расчет_аналитики'!AG2584*SUMIF(ThresholdAge02,"&lt;"&amp;'19_Расчет_аналитики'!AG2584,WeightedRevAge02)-SUMIF(ThresholdAge02,"&lt;"&amp;'19_Расчет_аналитики'!AG2584,WeightedMinAge02),MAX(CapacityAge02*'01_Вводные'!$B$218*'19_Расчет_аналитики'!AG2584,MeanMinAge02)))</f>
        <v/>
      </c>
      <c r="AH2517">
        <f>IF(OR(('19_Расчет_аналитики'!AH2433-'19_Расчет_аналитики'!AH2461)=0,2&lt;='01_Вводные'!$B$297),0,('19_Расчет_аналитики'!AH2433-'19_Расчет_аналитики'!AH2461)*IF('01_Вводные'!$B$239="Да",MeanMinAge02+'19_Расчет_аналитики'!AH2584*SUMIF(ThresholdAge02,"&lt;"&amp;'19_Расчет_аналитики'!AH2584,WeightedRevAge02)-SUMIF(ThresholdAge02,"&lt;"&amp;'19_Расчет_аналитики'!AH2584,WeightedMinAge02),MAX(CapacityAge02*'01_Вводные'!$B$218*'19_Расчет_аналитики'!AH2584,MeanMinAge02)))</f>
        <v/>
      </c>
      <c r="AI2517">
        <f>IF(OR(('19_Расчет_аналитики'!AI2433-'19_Расчет_аналитики'!AI2461)=0,2&lt;='01_Вводные'!$B$297),0,('19_Расчет_аналитики'!AI2433-'19_Расчет_аналитики'!AI2461)*IF('01_Вводные'!$B$239="Да",MeanMinAge02+'19_Расчет_аналитики'!AI2584*SUMIF(ThresholdAge02,"&lt;"&amp;'19_Расчет_аналитики'!AI2584,WeightedRevAge02)-SUMIF(ThresholdAge02,"&lt;"&amp;'19_Расчет_аналитики'!AI2584,WeightedMinAge02),MAX(CapacityAge02*'01_Вводные'!$B$218*'19_Расчет_аналитики'!AI2584,MeanMinAge02)))</f>
        <v/>
      </c>
      <c r="AJ2517">
        <f>IF(OR(('19_Расчет_аналитики'!AJ2433-'19_Расчет_аналитики'!AJ2461)=0,2&lt;='01_Вводные'!$B$297),0,('19_Расчет_аналитики'!AJ2433-'19_Расчет_аналитики'!AJ2461)*IF('01_Вводные'!$B$239="Да",MeanMinAge02+'19_Расчет_аналитики'!AJ2584*SUMIF(ThresholdAge02,"&lt;"&amp;'19_Расчет_аналитики'!AJ2584,WeightedRevAge02)-SUMIF(ThresholdAge02,"&lt;"&amp;'19_Расчет_аналитики'!AJ2584,WeightedMinAge02),MAX(CapacityAge02*'01_Вводные'!$B$218*'19_Расчет_аналитики'!AJ2584,MeanMinAge02)))</f>
        <v/>
      </c>
      <c r="AK2517">
        <f>IF(OR(('19_Расчет_аналитики'!AK2433-'19_Расчет_аналитики'!AK2461)=0,2&lt;='01_Вводные'!$B$297),0,('19_Расчет_аналитики'!AK2433-'19_Расчет_аналитики'!AK2461)*IF('01_Вводные'!$B$239="Да",MeanMinAge02+'19_Расчет_аналитики'!AK2584*SUMIF(ThresholdAge02,"&lt;"&amp;'19_Расчет_аналитики'!AK2584,WeightedRevAge02)-SUMIF(ThresholdAge02,"&lt;"&amp;'19_Расчет_аналитики'!AK2584,WeightedMinAge02),MAX(CapacityAge02*'01_Вводные'!$B$218*'19_Расчет_аналитики'!AK2584,MeanMinAge02)))</f>
        <v/>
      </c>
      <c r="AL2517">
        <f>IF(OR(('19_Расчет_аналитики'!AL2433-'19_Расчет_аналитики'!AL2461)=0,2&lt;='01_Вводные'!$B$297),0,('19_Расчет_аналитики'!AL2433-'19_Расчет_аналитики'!AL2461)*IF('01_Вводные'!$B$239="Да",MeanMinAge02+'19_Расчет_аналитики'!AL2584*SUMIF(ThresholdAge02,"&lt;"&amp;'19_Расчет_аналитики'!AL2584,WeightedRevAge02)-SUMIF(ThresholdAge02,"&lt;"&amp;'19_Расчет_аналитики'!AL2584,WeightedMinAge02),MAX(CapacityAge02*'01_Вводные'!$B$218*'19_Расчет_аналитики'!AL2584,MeanMinAge02)))</f>
        <v/>
      </c>
      <c r="AM2517">
        <f>IF(OR(('19_Расчет_аналитики'!AM2433-'19_Расчет_аналитики'!AM2461)=0,2&lt;='01_Вводные'!$B$297),0,('19_Расчет_аналитики'!AM2433-'19_Расчет_аналитики'!AM2461)*IF('01_Вводные'!$B$239="Да",MeanMinAge02+'19_Расчет_аналитики'!AM2584*SUMIF(ThresholdAge02,"&lt;"&amp;'19_Расчет_аналитики'!AM2584,WeightedRevAge02)-SUMIF(ThresholdAge02,"&lt;"&amp;'19_Расчет_аналитики'!AM2584,WeightedMinAge02),MAX(CapacityAge02*'01_Вводные'!$B$218*'19_Расчет_аналитики'!AM2584,MeanMinAge02)))</f>
        <v/>
      </c>
      <c r="AN2517">
        <f>IF(OR(('19_Расчет_аналитики'!AN2433-'19_Расчет_аналитики'!AN2461)=0,2&lt;='01_Вводные'!$B$297),0,('19_Расчет_аналитики'!AN2433-'19_Расчет_аналитики'!AN2461)*IF('01_Вводные'!$B$239="Да",MeanMinAge02+'19_Расчет_аналитики'!AN2584*SUMIF(ThresholdAge02,"&lt;"&amp;'19_Расчет_аналитики'!AN2584,WeightedRevAge02)-SUMIF(ThresholdAge02,"&lt;"&amp;'19_Расчет_аналитики'!AN2584,WeightedMinAge02),MAX(CapacityAge02*'01_Вводные'!$B$218*'19_Расчет_аналитики'!AN2584,MeanMinAge02)))</f>
        <v/>
      </c>
      <c r="AO2517">
        <f>IF(OR(('19_Расчет_аналитики'!AO2433-'19_Расчет_аналитики'!AO2461)=0,2&lt;='01_Вводные'!$B$297),0,('19_Расчет_аналитики'!AO2433-'19_Расчет_аналитики'!AO2461)*IF('01_Вводные'!$B$239="Да",MeanMinAge02+'19_Расчет_аналитики'!AO2584*SUMIF(ThresholdAge02,"&lt;"&amp;'19_Расчет_аналитики'!AO2584,WeightedRevAge02)-SUMIF(ThresholdAge02,"&lt;"&amp;'19_Расчет_аналитики'!AO2584,WeightedMinAge02),MAX(CapacityAge02*'01_Вводные'!$B$218*'19_Расчет_аналитики'!AO2584,MeanMinAge02)))</f>
        <v/>
      </c>
      <c r="AP2517">
        <f>IF(OR(('19_Расчет_аналитики'!AP2433-'19_Расчет_аналитики'!AP2461)=0,2&lt;='01_Вводные'!$B$297),0,('19_Расчет_аналитики'!AP2433-'19_Расчет_аналитики'!AP2461)*IF('01_Вводные'!$B$239="Да",MeanMinAge02+'19_Расчет_аналитики'!AP2584*SUMIF(ThresholdAge02,"&lt;"&amp;'19_Расчет_аналитики'!AP2584,WeightedRevAge02)-SUMIF(ThresholdAge02,"&lt;"&amp;'19_Расчет_аналитики'!AP2584,WeightedMinAge02),MAX(CapacityAge02*'01_Вводные'!$B$218*'19_Расчет_аналитики'!AP2584,MeanMinAge02)))</f>
        <v/>
      </c>
      <c r="AQ2517">
        <f>IF(OR(('19_Расчет_аналитики'!AQ2433-'19_Расчет_аналитики'!AQ2461)=0,2&lt;='01_Вводные'!$B$297),0,('19_Расчет_аналитики'!AQ2433-'19_Расчет_аналитики'!AQ2461)*IF('01_Вводные'!$B$239="Да",MeanMinAge02+'19_Расчет_аналитики'!AQ2584*SUMIF(ThresholdAge02,"&lt;"&amp;'19_Расчет_аналитики'!AQ2584,WeightedRevAge02)-SUMIF(ThresholdAge02,"&lt;"&amp;'19_Расчет_аналитики'!AQ2584,WeightedMinAge02),MAX(CapacityAge02*'01_Вводные'!$B$218*'19_Расчет_аналитики'!AQ2584,MeanMinAge02)))</f>
        <v/>
      </c>
      <c r="AR2517">
        <f>IF(OR(('19_Расчет_аналитики'!AR2433-'19_Расчет_аналитики'!AR2461)=0,2&lt;='01_Вводные'!$B$297),0,('19_Расчет_аналитики'!AR2433-'19_Расчет_аналитики'!AR2461)*IF('01_Вводные'!$B$239="Да",MeanMinAge02+'19_Расчет_аналитики'!AR2584*SUMIF(ThresholdAge02,"&lt;"&amp;'19_Расчет_аналитики'!AR2584,WeightedRevAge02)-SUMIF(ThresholdAge02,"&lt;"&amp;'19_Расчет_аналитики'!AR2584,WeightedMinAge02),MAX(CapacityAge02*'01_Вводные'!$B$218*'19_Расчет_аналитики'!AR2584,MeanMinAge02)))</f>
        <v/>
      </c>
      <c r="AS2517">
        <f>IF(OR(('19_Расчет_аналитики'!AS2433-'19_Расчет_аналитики'!AS2461)=0,2&lt;='01_Вводные'!$B$297),0,('19_Расчет_аналитики'!AS2433-'19_Расчет_аналитики'!AS2461)*IF('01_Вводные'!$B$239="Да",MeanMinAge02+'19_Расчет_аналитики'!AS2584*SUMIF(ThresholdAge02,"&lt;"&amp;'19_Расчет_аналитики'!AS2584,WeightedRevAge02)-SUMIF(ThresholdAge02,"&lt;"&amp;'19_Расчет_аналитики'!AS2584,WeightedMinAge02),MAX(CapacityAge02*'01_Вводные'!$B$218*'19_Расчет_аналитики'!AS2584,MeanMinAge02)))</f>
        <v/>
      </c>
      <c r="AT2517">
        <f>IF(OR(('19_Расчет_аналитики'!AT2433-'19_Расчет_аналитики'!AT2461)=0,2&lt;='01_Вводные'!$B$297),0,('19_Расчет_аналитики'!AT2433-'19_Расчет_аналитики'!AT2461)*IF('01_Вводные'!$B$239="Да",MeanMinAge02+'19_Расчет_аналитики'!AT2584*SUMIF(ThresholdAge02,"&lt;"&amp;'19_Расчет_аналитики'!AT2584,WeightedRevAge02)-SUMIF(ThresholdAge02,"&lt;"&amp;'19_Расчет_аналитики'!AT2584,WeightedMinAge02),MAX(CapacityAge02*'01_Вводные'!$B$218*'19_Расчет_аналитики'!AT2584,MeanMinAge02)))</f>
        <v/>
      </c>
      <c r="AU2517">
        <f>IF(OR(('19_Расчет_аналитики'!AU2433-'19_Расчет_аналитики'!AU2461)=0,2&lt;='01_Вводные'!$B$297),0,('19_Расчет_аналитики'!AU2433-'19_Расчет_аналитики'!AU2461)*IF('01_Вводные'!$B$239="Да",MeanMinAge02+'19_Расчет_аналитики'!AU2584*SUMIF(ThresholdAge02,"&lt;"&amp;'19_Расчет_аналитики'!AU2584,WeightedRevAge02)-SUMIF(ThresholdAge02,"&lt;"&amp;'19_Расчет_аналитики'!AU2584,WeightedMinAge02),MAX(CapacityAge02*'01_Вводные'!$B$218*'19_Расчет_аналитики'!AU2584,MeanMinAge02)))</f>
        <v/>
      </c>
      <c r="AV2517">
        <f>IF(OR(('19_Расчет_аналитики'!AV2433-'19_Расчет_аналитики'!AV2461)=0,2&lt;='01_Вводные'!$B$297),0,('19_Расчет_аналитики'!AV2433-'19_Расчет_аналитики'!AV2461)*IF('01_Вводные'!$B$239="Да",MeanMinAge02+'19_Расчет_аналитики'!AV2584*SUMIF(ThresholdAge02,"&lt;"&amp;'19_Расчет_аналитики'!AV2584,WeightedRevAge02)-SUMIF(ThresholdAge02,"&lt;"&amp;'19_Расчет_аналитики'!AV2584,WeightedMinAge02),MAX(CapacityAge02*'01_Вводные'!$B$218*'19_Расчет_аналитики'!AV2584,MeanMinAge02)))</f>
        <v/>
      </c>
      <c r="AW2517">
        <f>IF(OR(('19_Расчет_аналитики'!AW2433-'19_Расчет_аналитики'!AW2461)=0,2&lt;='01_Вводные'!$B$297),0,('19_Расчет_аналитики'!AW2433-'19_Расчет_аналитики'!AW2461)*IF('01_Вводные'!$B$239="Да",MeanMinAge02+'19_Расчет_аналитики'!AW2584*SUMIF(ThresholdAge02,"&lt;"&amp;'19_Расчет_аналитики'!AW2584,WeightedRevAge02)-SUMIF(ThresholdAge02,"&lt;"&amp;'19_Расчет_аналитики'!AW2584,WeightedMinAge02),MAX(CapacityAge02*'01_Вводные'!$B$218*'19_Расчет_аналитики'!AW2584,MeanMinAge02)))</f>
        <v/>
      </c>
      <c r="AX2517">
        <f>IF(OR(('19_Расчет_аналитики'!AX2433-'19_Расчет_аналитики'!AX2461)=0,2&lt;='01_Вводные'!$B$297),0,('19_Расчет_аналитики'!AX2433-'19_Расчет_аналитики'!AX2461)*IF('01_Вводные'!$B$239="Да",MeanMinAge02+'19_Расчет_аналитики'!AX2584*SUMIF(ThresholdAge02,"&lt;"&amp;'19_Расчет_аналитики'!AX2584,WeightedRevAge02)-SUMIF(ThresholdAge02,"&lt;"&amp;'19_Расчет_аналитики'!AX2584,WeightedMinAge02),MAX(CapacityAge02*'01_Вводные'!$B$218*'19_Расчет_аналитики'!AX2584,MeanMinAge02)))</f>
        <v/>
      </c>
      <c r="AY2517">
        <f>IF(OR(('19_Расчет_аналитики'!AY2433-'19_Расчет_аналитики'!AY2461)=0,2&lt;='01_Вводные'!$B$297),0,('19_Расчет_аналитики'!AY2433-'19_Расчет_аналитики'!AY2461)*IF('01_Вводные'!$B$239="Да",MeanMinAge02+'19_Расчет_аналитики'!AY2584*SUMIF(ThresholdAge02,"&lt;"&amp;'19_Расчет_аналитики'!AY2584,WeightedRevAge02)-SUMIF(ThresholdAge02,"&lt;"&amp;'19_Расчет_аналитики'!AY2584,WeightedMinAge02),MAX(CapacityAge02*'01_Вводные'!$B$218*'19_Расчет_аналитики'!AY2584,MeanMinAge02)))</f>
        <v/>
      </c>
      <c r="AZ2517">
        <f>IF(OR(('19_Расчет_аналитики'!AZ2433-'19_Расчет_аналитики'!AZ2461)=0,2&lt;='01_Вводные'!$B$297),0,('19_Расчет_аналитики'!AZ2433-'19_Расчет_аналитики'!AZ2461)*IF('01_Вводные'!$B$239="Да",MeanMinAge02+'19_Расчет_аналитики'!AZ2584*SUMIF(ThresholdAge02,"&lt;"&amp;'19_Расчет_аналитики'!AZ2584,WeightedRevAge02)-SUMIF(ThresholdAge02,"&lt;"&amp;'19_Расчет_аналитики'!AZ2584,WeightedMinAge02),MAX(CapacityAge02*'01_Вводные'!$B$218*'19_Расчет_аналитики'!AZ2584,MeanMinAge02)))</f>
        <v/>
      </c>
      <c r="BA2517">
        <f>IF(OR(('19_Расчет_аналитики'!BA2433-'19_Расчет_аналитики'!BA2461)=0,2&lt;='01_Вводные'!$B$297),0,('19_Расчет_аналитики'!BA2433-'19_Расчет_аналитики'!BA2461)*IF('01_Вводные'!$B$239="Да",MeanMinAge02+'19_Расчет_аналитики'!BA2584*SUMIF(ThresholdAge02,"&lt;"&amp;'19_Расчет_аналитики'!BA2584,WeightedRevAge02)-SUMIF(ThresholdAge02,"&lt;"&amp;'19_Расчет_аналитики'!BA2584,WeightedMinAge02),MAX(CapacityAge02*'01_Вводные'!$B$218*'19_Расчет_аналитики'!BA2584,MeanMinAge02)))</f>
        <v/>
      </c>
      <c r="BB2517">
        <f>IF(OR(('19_Расчет_аналитики'!BB2433-'19_Расчет_аналитики'!BB2461)=0,2&lt;='01_Вводные'!$B$297),0,('19_Расчет_аналитики'!BB2433-'19_Расчет_аналитики'!BB2461)*IF('01_Вводные'!$B$239="Да",MeanMinAge02+'19_Расчет_аналитики'!BB2584*SUMIF(ThresholdAge02,"&lt;"&amp;'19_Расчет_аналитики'!BB2584,WeightedRevAge02)-SUMIF(ThresholdAge02,"&lt;"&amp;'19_Расчет_аналитики'!BB2584,WeightedMinAge02),MAX(CapacityAge02*'01_Вводные'!$B$218*'19_Расчет_аналитики'!BB2584,MeanMinAge02)))</f>
        <v/>
      </c>
      <c r="BC2517">
        <f>IF(OR(('19_Расчет_аналитики'!BC2433-'19_Расчет_аналитики'!BC2461)=0,2&lt;='01_Вводные'!$B$297),0,('19_Расчет_аналитики'!BC2433-'19_Расчет_аналитики'!BC2461)*IF('01_Вводные'!$B$239="Да",MeanMinAge02+'19_Расчет_аналитики'!BC2584*SUMIF(ThresholdAge02,"&lt;"&amp;'19_Расчет_аналитики'!BC2584,WeightedRevAge02)-SUMIF(ThresholdAge02,"&lt;"&amp;'19_Расчет_аналитики'!BC2584,WeightedMinAge02),MAX(CapacityAge02*'01_Вводные'!$B$218*'19_Расчет_аналитики'!BC2584,MeanMinAge02)))</f>
        <v/>
      </c>
      <c r="BD2517">
        <f>IF(OR(('19_Расчет_аналитики'!BD2433-'19_Расчет_аналитики'!BD2461)=0,2&lt;='01_Вводные'!$B$297),0,('19_Расчет_аналитики'!BD2433-'19_Расчет_аналитики'!BD2461)*IF('01_Вводные'!$B$239="Да",MeanMinAge02+'19_Расчет_аналитики'!BD2584*SUMIF(ThresholdAge02,"&lt;"&amp;'19_Расчет_аналитики'!BD2584,WeightedRevAge02)-SUMIF(ThresholdAge02,"&lt;"&amp;'19_Расчет_аналитики'!BD2584,WeightedMinAge02),MAX(CapacityAge02*'01_Вводные'!$B$218*'19_Расчет_аналитики'!BD2584,MeanMinAge02)))</f>
        <v/>
      </c>
      <c r="BE2517">
        <f>IF(OR(('19_Расчет_аналитики'!BE2433-'19_Расчет_аналитики'!BE2461)=0,2&lt;='01_Вводные'!$B$297),0,('19_Расчет_аналитики'!BE2433-'19_Расчет_аналитики'!BE2461)*IF('01_Вводные'!$B$239="Да",MeanMinAge02+'19_Расчет_аналитики'!BE2584*SUMIF(ThresholdAge02,"&lt;"&amp;'19_Расчет_аналитики'!BE2584,WeightedRevAge02)-SUMIF(ThresholdAge02,"&lt;"&amp;'19_Расчет_аналитики'!BE2584,WeightedMinAge02),MAX(CapacityAge02*'01_Вводные'!$B$218*'19_Расчет_аналитики'!BE2584,MeanMinAge02)))</f>
        <v/>
      </c>
      <c r="BF2517">
        <f>IF(OR(('19_Расчет_аналитики'!BF2433-'19_Расчет_аналитики'!BF2461)=0,2&lt;='01_Вводные'!$B$297),0,('19_Расчет_аналитики'!BF2433-'19_Расчет_аналитики'!BF2461)*IF('01_Вводные'!$B$239="Да",MeanMinAge02+'19_Расчет_аналитики'!BF2584*SUMIF(ThresholdAge02,"&lt;"&amp;'19_Расчет_аналитики'!BF2584,WeightedRevAge02)-SUMIF(ThresholdAge02,"&lt;"&amp;'19_Расчет_аналитики'!BF2584,WeightedMinAge02),MAX(CapacityAge02*'01_Вводные'!$B$218*'19_Расчет_аналитики'!BF2584,MeanMinAge02)))</f>
        <v/>
      </c>
      <c r="BG2517">
        <f>IF(OR(('19_Расчет_аналитики'!BG2433-'19_Расчет_аналитики'!BG2461)=0,2&lt;='01_Вводные'!$B$297),0,('19_Расчет_аналитики'!BG2433-'19_Расчет_аналитики'!BG2461)*IF('01_Вводные'!$B$239="Да",MeanMinAge02+'19_Расчет_аналитики'!BG2584*SUMIF(ThresholdAge02,"&lt;"&amp;'19_Расчет_аналитики'!BG2584,WeightedRevAge02)-SUMIF(ThresholdAge02,"&lt;"&amp;'19_Расчет_аналитики'!BG2584,WeightedMinAge02),MAX(CapacityAge02*'01_Вводные'!$B$218*'19_Расчет_аналитики'!BG2584,MeanMinAge02)))</f>
        <v/>
      </c>
      <c r="BH2517">
        <f>IF(OR(('19_Расчет_аналитики'!BH2433-'19_Расчет_аналитики'!BH2461)=0,2&lt;='01_Вводные'!$B$297),0,('19_Расчет_аналитики'!BH2433-'19_Расчет_аналитики'!BH2461)*IF('01_Вводные'!$B$239="Да",MeanMinAge02+'19_Расчет_аналитики'!BH2584*SUMIF(ThresholdAge02,"&lt;"&amp;'19_Расчет_аналитики'!BH2584,WeightedRevAge02)-SUMIF(ThresholdAge02,"&lt;"&amp;'19_Расчет_аналитики'!BH2584,WeightedMinAge02),MAX(CapacityAge02*'01_Вводные'!$B$218*'19_Расчет_аналитики'!BH2584,MeanMinAge02)))</f>
        <v/>
      </c>
      <c r="BI2517">
        <f>IF(OR(('19_Расчет_аналитики'!BI2433-'19_Расчет_аналитики'!BI2461)=0,2&lt;='01_Вводные'!$B$297),0,('19_Расчет_аналитики'!BI2433-'19_Расчет_аналитики'!BI2461)*IF('01_Вводные'!$B$239="Да",MeanMinAge02+'19_Расчет_аналитики'!BI2584*SUMIF(ThresholdAge02,"&lt;"&amp;'19_Расчет_аналитики'!BI2584,WeightedRevAge02)-SUMIF(ThresholdAge02,"&lt;"&amp;'19_Расчет_аналитики'!BI2584,WeightedMinAge02),MAX(CapacityAge02*'01_Вводные'!$B$218*'19_Расчет_аналитики'!BI2584,MeanMinAge02)))</f>
        <v/>
      </c>
      <c r="BJ2517">
        <f>IF(OR(('19_Расчет_аналитики'!BJ2433-'19_Расчет_аналитики'!BJ2461)=0,2&lt;='01_Вводные'!$B$297),0,('19_Расчет_аналитики'!BJ2433-'19_Расчет_аналитики'!BJ2461)*IF('01_Вводные'!$B$239="Да",MeanMinAge02+'19_Расчет_аналитики'!BJ2584*SUMIF(ThresholdAge02,"&lt;"&amp;'19_Расчет_аналитики'!BJ2584,WeightedRevAge02)-SUMIF(ThresholdAge02,"&lt;"&amp;'19_Расчет_аналитики'!BJ2584,WeightedMinAge02),MAX(CapacityAge02*'01_Вводные'!$B$218*'19_Расчет_аналитики'!BJ2584,MeanMinAge02)))</f>
        <v/>
      </c>
      <c r="BK2517">
        <f>IF(OR(('19_Расчет_аналитики'!BK2433-'19_Расчет_аналитики'!BK2461)=0,2&lt;='01_Вводные'!$B$297),0,('19_Расчет_аналитики'!BK2433-'19_Расчет_аналитики'!BK2461)*IF('01_Вводные'!$B$239="Да",MeanMinAge02+'19_Расчет_аналитики'!BK2584*SUMIF(ThresholdAge02,"&lt;"&amp;'19_Расчет_аналитики'!BK2584,WeightedRevAge02)-SUMIF(ThresholdAge02,"&lt;"&amp;'19_Расчет_аналитики'!BK2584,WeightedMinAge02),MAX(CapacityAge02*'01_Вводные'!$B$218*'19_Расчет_аналитики'!BK2584,MeanMinAge02)))</f>
        <v/>
      </c>
      <c r="BL2517">
        <f>IF(OR(('19_Расчет_аналитики'!BL2433-'19_Расчет_аналитики'!BL2461)=0,2&lt;='01_Вводные'!$B$297),0,('19_Расчет_аналитики'!BL2433-'19_Расчет_аналитики'!BL2461)*IF('01_Вводные'!$B$239="Да",MeanMinAge02+'19_Расчет_аналитики'!BL2584*SUMIF(ThresholdAge02,"&lt;"&amp;'19_Расчет_аналитики'!BL2584,WeightedRevAge02)-SUMIF(ThresholdAge02,"&lt;"&amp;'19_Расчет_аналитики'!BL2584,WeightedMinAge02),MAX(CapacityAge02*'01_Вводные'!$B$218*'19_Расчет_аналитики'!BL2584,MeanMinAge02)))</f>
        <v/>
      </c>
      <c r="BM2517">
        <f>IF(OR(('19_Расчет_аналитики'!BM2433-'19_Расчет_аналитики'!BM2461)=0,2&lt;='01_Вводные'!$B$297),0,('19_Расчет_аналитики'!BM2433-'19_Расчет_аналитики'!BM2461)*IF('01_Вводные'!$B$239="Да",MeanMinAge02+'19_Расчет_аналитики'!BM2584*SUMIF(ThresholdAge02,"&lt;"&amp;'19_Расчет_аналитики'!BM2584,WeightedRevAge02)-SUMIF(ThresholdAge02,"&lt;"&amp;'19_Расчет_аналитики'!BM2584,WeightedMinAge02),MAX(CapacityAge02*'01_Вводные'!$B$218*'19_Расчет_аналитики'!BM2584,MeanMinAge02)))</f>
        <v/>
      </c>
      <c r="BN2517">
        <f>IF(OR(('19_Расчет_аналитики'!BN2433-'19_Расчет_аналитики'!BN2461)=0,2&lt;='01_Вводные'!$B$297),0,('19_Расчет_аналитики'!BN2433-'19_Расчет_аналитики'!BN2461)*IF('01_Вводные'!$B$239="Да",MeanMinAge02+'19_Расчет_аналитики'!BN2584*SUMIF(ThresholdAge02,"&lt;"&amp;'19_Расчет_аналитики'!BN2584,WeightedRevAge02)-SUMIF(ThresholdAge02,"&lt;"&amp;'19_Расчет_аналитики'!BN2584,WeightedMinAge02),MAX(CapacityAge02*'01_Вводные'!$B$218*'19_Расчет_аналитики'!BN2584,MeanMinAge02)))</f>
        <v/>
      </c>
      <c r="BO2517">
        <f>IF(OR(('19_Расчет_аналитики'!BO2433-'19_Расчет_аналитики'!BO2461)=0,2&lt;='01_Вводные'!$B$297),0,('19_Расчет_аналитики'!BO2433-'19_Расчет_аналитики'!BO2461)*IF('01_Вводные'!$B$239="Да",MeanMinAge02+'19_Расчет_аналитики'!BO2584*SUMIF(ThresholdAge02,"&lt;"&amp;'19_Расчет_аналитики'!BO2584,WeightedRevAge02)-SUMIF(ThresholdAge02,"&lt;"&amp;'19_Расчет_аналитики'!BO2584,WeightedMinAge02),MAX(CapacityAge02*'01_Вводные'!$B$218*'19_Расчет_аналитики'!BO2584,MeanMinAge02)))</f>
        <v/>
      </c>
    </row>
    <row r="2518">
      <c r="B2518">
        <f>IF(OR(('06_Сеть_и_дети'!B55-'06_Сеть_и_дети'!B83)=0,3&lt;='01_Вводные'!$B$297),0,('06_Сеть_и_дети'!B55-'06_Сеть_и_дети'!B83)*IF('01_Вводные'!$B$239="Да",MeanMinAge03+'19_Расчет_аналитики'!B2584*SUMIF(ThresholdAge03,"&lt;"&amp;'19_Расчет_аналитики'!B2584,WeightedRevAge03)-SUMIF(ThresholdAge03,"&lt;"&amp;'19_Расчет_аналитики'!B2584,WeightedMinAge03),MAX(CapacityAge03*'01_Вводные'!$B$218*'19_Расчет_аналитики'!B2584,MeanMinAge03)))</f>
        <v/>
      </c>
      <c r="C2518">
        <f>IF(OR(('06_Сеть_и_дети'!C55-'06_Сеть_и_дети'!C83)=0,3&lt;='01_Вводные'!$B$297),0,('06_Сеть_и_дети'!C55-'06_Сеть_и_дети'!C83)*IF('01_Вводные'!$B$239="Да",MeanMinAge03+'19_Расчет_аналитики'!C2584*SUMIF(ThresholdAge03,"&lt;"&amp;'19_Расчет_аналитики'!C2584,WeightedRevAge03)-SUMIF(ThresholdAge03,"&lt;"&amp;'19_Расчет_аналитики'!C2584,WeightedMinAge03),MAX(CapacityAge03*'01_Вводные'!$B$218*'19_Расчет_аналитики'!C2584,MeanMinAge03)))</f>
        <v/>
      </c>
      <c r="D2518">
        <f>IF(OR(('19_Расчет_аналитики'!D2434-'19_Расчет_аналитики'!D2462)=0,3&lt;='01_Вводные'!$B$297),0,('19_Расчет_аналитики'!D2434-'19_Расчет_аналитики'!D2462)*IF('01_Вводные'!$B$239="Да",MeanMinAge03+'19_Расчет_аналитики'!D2584*SUMIF(ThresholdAge03,"&lt;"&amp;'19_Расчет_аналитики'!D2584,WeightedRevAge03)-SUMIF(ThresholdAge03,"&lt;"&amp;'19_Расчет_аналитики'!D2584,WeightedMinAge03),MAX(CapacityAge03*'01_Вводные'!$B$218*'19_Расчет_аналитики'!D2584,MeanMinAge03)))</f>
        <v/>
      </c>
      <c r="E2518">
        <f>IF(OR(('19_Расчет_аналитики'!E2434-'19_Расчет_аналитики'!E2462)=0,3&lt;='01_Вводные'!$B$297),0,('19_Расчет_аналитики'!E2434-'19_Расчет_аналитики'!E2462)*IF('01_Вводные'!$B$239="Да",MeanMinAge03+'19_Расчет_аналитики'!E2584*SUMIF(ThresholdAge03,"&lt;"&amp;'19_Расчет_аналитики'!E2584,WeightedRevAge03)-SUMIF(ThresholdAge03,"&lt;"&amp;'19_Расчет_аналитики'!E2584,WeightedMinAge03),MAX(CapacityAge03*'01_Вводные'!$B$218*'19_Расчет_аналитики'!E2584,MeanMinAge03)))</f>
        <v/>
      </c>
      <c r="F2518">
        <f>IF(OR(('19_Расчет_аналитики'!F2434-'19_Расчет_аналитики'!F2462)=0,3&lt;='01_Вводные'!$B$297),0,('19_Расчет_аналитики'!F2434-'19_Расчет_аналитики'!F2462)*IF('01_Вводные'!$B$239="Да",MeanMinAge03+'19_Расчет_аналитики'!F2584*SUMIF(ThresholdAge03,"&lt;"&amp;'19_Расчет_аналитики'!F2584,WeightedRevAge03)-SUMIF(ThresholdAge03,"&lt;"&amp;'19_Расчет_аналитики'!F2584,WeightedMinAge03),MAX(CapacityAge03*'01_Вводные'!$B$218*'19_Расчет_аналитики'!F2584,MeanMinAge03)))</f>
        <v/>
      </c>
      <c r="G2518">
        <f>IF(OR(('19_Расчет_аналитики'!G2434-'19_Расчет_аналитики'!G2462)=0,3&lt;='01_Вводные'!$B$297),0,('19_Расчет_аналитики'!G2434-'19_Расчет_аналитики'!G2462)*IF('01_Вводные'!$B$239="Да",MeanMinAge03+'19_Расчет_аналитики'!G2584*SUMIF(ThresholdAge03,"&lt;"&amp;'19_Расчет_аналитики'!G2584,WeightedRevAge03)-SUMIF(ThresholdAge03,"&lt;"&amp;'19_Расчет_аналитики'!G2584,WeightedMinAge03),MAX(CapacityAge03*'01_Вводные'!$B$218*'19_Расчет_аналитики'!G2584,MeanMinAge03)))</f>
        <v/>
      </c>
      <c r="H2518">
        <f>IF(OR(('19_Расчет_аналитики'!H2434-'19_Расчет_аналитики'!H2462)=0,3&lt;='01_Вводные'!$B$297),0,('19_Расчет_аналитики'!H2434-'19_Расчет_аналитики'!H2462)*IF('01_Вводные'!$B$239="Да",MeanMinAge03+'19_Расчет_аналитики'!H2584*SUMIF(ThresholdAge03,"&lt;"&amp;'19_Расчет_аналитики'!H2584,WeightedRevAge03)-SUMIF(ThresholdAge03,"&lt;"&amp;'19_Расчет_аналитики'!H2584,WeightedMinAge03),MAX(CapacityAge03*'01_Вводные'!$B$218*'19_Расчет_аналитики'!H2584,MeanMinAge03)))</f>
        <v/>
      </c>
      <c r="I2518">
        <f>IF(OR(('19_Расчет_аналитики'!I2434-'19_Расчет_аналитики'!I2462)=0,3&lt;='01_Вводные'!$B$297),0,('19_Расчет_аналитики'!I2434-'19_Расчет_аналитики'!I2462)*IF('01_Вводные'!$B$239="Да",MeanMinAge03+'19_Расчет_аналитики'!I2584*SUMIF(ThresholdAge03,"&lt;"&amp;'19_Расчет_аналитики'!I2584,WeightedRevAge03)-SUMIF(ThresholdAge03,"&lt;"&amp;'19_Расчет_аналитики'!I2584,WeightedMinAge03),MAX(CapacityAge03*'01_Вводные'!$B$218*'19_Расчет_аналитики'!I2584,MeanMinAge03)))</f>
        <v/>
      </c>
      <c r="J2518">
        <f>IF(OR(('19_Расчет_аналитики'!J2434-'19_Расчет_аналитики'!J2462)=0,3&lt;='01_Вводные'!$B$297),0,('19_Расчет_аналитики'!J2434-'19_Расчет_аналитики'!J2462)*IF('01_Вводные'!$B$239="Да",MeanMinAge03+'19_Расчет_аналитики'!J2584*SUMIF(ThresholdAge03,"&lt;"&amp;'19_Расчет_аналитики'!J2584,WeightedRevAge03)-SUMIF(ThresholdAge03,"&lt;"&amp;'19_Расчет_аналитики'!J2584,WeightedMinAge03),MAX(CapacityAge03*'01_Вводные'!$B$218*'19_Расчет_аналитики'!J2584,MeanMinAge03)))</f>
        <v/>
      </c>
      <c r="K2518">
        <f>IF(OR(('19_Расчет_аналитики'!K2434-'19_Расчет_аналитики'!K2462)=0,3&lt;='01_Вводные'!$B$297),0,('19_Расчет_аналитики'!K2434-'19_Расчет_аналитики'!K2462)*IF('01_Вводные'!$B$239="Да",MeanMinAge03+'19_Расчет_аналитики'!K2584*SUMIF(ThresholdAge03,"&lt;"&amp;'19_Расчет_аналитики'!K2584,WeightedRevAge03)-SUMIF(ThresholdAge03,"&lt;"&amp;'19_Расчет_аналитики'!K2584,WeightedMinAge03),MAX(CapacityAge03*'01_Вводные'!$B$218*'19_Расчет_аналитики'!K2584,MeanMinAge03)))</f>
        <v/>
      </c>
      <c r="L2518">
        <f>IF(OR(('19_Расчет_аналитики'!L2434-'19_Расчет_аналитики'!L2462)=0,3&lt;='01_Вводные'!$B$297),0,('19_Расчет_аналитики'!L2434-'19_Расчет_аналитики'!L2462)*IF('01_Вводные'!$B$239="Да",MeanMinAge03+'19_Расчет_аналитики'!L2584*SUMIF(ThresholdAge03,"&lt;"&amp;'19_Расчет_аналитики'!L2584,WeightedRevAge03)-SUMIF(ThresholdAge03,"&lt;"&amp;'19_Расчет_аналитики'!L2584,WeightedMinAge03),MAX(CapacityAge03*'01_Вводные'!$B$218*'19_Расчет_аналитики'!L2584,MeanMinAge03)))</f>
        <v/>
      </c>
      <c r="M2518">
        <f>IF(OR(('19_Расчет_аналитики'!M2434-'19_Расчет_аналитики'!M2462)=0,3&lt;='01_Вводные'!$B$297),0,('19_Расчет_аналитики'!M2434-'19_Расчет_аналитики'!M2462)*IF('01_Вводные'!$B$239="Да",MeanMinAge03+'19_Расчет_аналитики'!M2584*SUMIF(ThresholdAge03,"&lt;"&amp;'19_Расчет_аналитики'!M2584,WeightedRevAge03)-SUMIF(ThresholdAge03,"&lt;"&amp;'19_Расчет_аналитики'!M2584,WeightedMinAge03),MAX(CapacityAge03*'01_Вводные'!$B$218*'19_Расчет_аналитики'!M2584,MeanMinAge03)))</f>
        <v/>
      </c>
      <c r="N2518">
        <f>IF(OR(('19_Расчет_аналитики'!N2434-'19_Расчет_аналитики'!N2462)=0,3&lt;='01_Вводные'!$B$297),0,('19_Расчет_аналитики'!N2434-'19_Расчет_аналитики'!N2462)*IF('01_Вводные'!$B$239="Да",MeanMinAge03+'19_Расчет_аналитики'!N2584*SUMIF(ThresholdAge03,"&lt;"&amp;'19_Расчет_аналитики'!N2584,WeightedRevAge03)-SUMIF(ThresholdAge03,"&lt;"&amp;'19_Расчет_аналитики'!N2584,WeightedMinAge03),MAX(CapacityAge03*'01_Вводные'!$B$218*'19_Расчет_аналитики'!N2584,MeanMinAge03)))</f>
        <v/>
      </c>
      <c r="O2518">
        <f>IF(OR(('19_Расчет_аналитики'!O2434-'19_Расчет_аналитики'!O2462)=0,3&lt;='01_Вводные'!$B$297),0,('19_Расчет_аналитики'!O2434-'19_Расчет_аналитики'!O2462)*IF('01_Вводные'!$B$239="Да",MeanMinAge03+'19_Расчет_аналитики'!O2584*SUMIF(ThresholdAge03,"&lt;"&amp;'19_Расчет_аналитики'!O2584,WeightedRevAge03)-SUMIF(ThresholdAge03,"&lt;"&amp;'19_Расчет_аналитики'!O2584,WeightedMinAge03),MAX(CapacityAge03*'01_Вводные'!$B$218*'19_Расчет_аналитики'!O2584,MeanMinAge03)))</f>
        <v/>
      </c>
      <c r="P2518">
        <f>IF(OR(('19_Расчет_аналитики'!P2434-'19_Расчет_аналитики'!P2462)=0,3&lt;='01_Вводные'!$B$297),0,('19_Расчет_аналитики'!P2434-'19_Расчет_аналитики'!P2462)*IF('01_Вводные'!$B$239="Да",MeanMinAge03+'19_Расчет_аналитики'!P2584*SUMIF(ThresholdAge03,"&lt;"&amp;'19_Расчет_аналитики'!P2584,WeightedRevAge03)-SUMIF(ThresholdAge03,"&lt;"&amp;'19_Расчет_аналитики'!P2584,WeightedMinAge03),MAX(CapacityAge03*'01_Вводные'!$B$218*'19_Расчет_аналитики'!P2584,MeanMinAge03)))</f>
        <v/>
      </c>
      <c r="Q2518">
        <f>IF(OR(('19_Расчет_аналитики'!Q2434-'19_Расчет_аналитики'!Q2462)=0,3&lt;='01_Вводные'!$B$297),0,('19_Расчет_аналитики'!Q2434-'19_Расчет_аналитики'!Q2462)*IF('01_Вводные'!$B$239="Да",MeanMinAge03+'19_Расчет_аналитики'!Q2584*SUMIF(ThresholdAge03,"&lt;"&amp;'19_Расчет_аналитики'!Q2584,WeightedRevAge03)-SUMIF(ThresholdAge03,"&lt;"&amp;'19_Расчет_аналитики'!Q2584,WeightedMinAge03),MAX(CapacityAge03*'01_Вводные'!$B$218*'19_Расчет_аналитики'!Q2584,MeanMinAge03)))</f>
        <v/>
      </c>
      <c r="R2518">
        <f>IF(OR(('19_Расчет_аналитики'!R2434-'19_Расчет_аналитики'!R2462)=0,3&lt;='01_Вводные'!$B$297),0,('19_Расчет_аналитики'!R2434-'19_Расчет_аналитики'!R2462)*IF('01_Вводные'!$B$239="Да",MeanMinAge03+'19_Расчет_аналитики'!R2584*SUMIF(ThresholdAge03,"&lt;"&amp;'19_Расчет_аналитики'!R2584,WeightedRevAge03)-SUMIF(ThresholdAge03,"&lt;"&amp;'19_Расчет_аналитики'!R2584,WeightedMinAge03),MAX(CapacityAge03*'01_Вводные'!$B$218*'19_Расчет_аналитики'!R2584,MeanMinAge03)))</f>
        <v/>
      </c>
      <c r="S2518">
        <f>IF(OR(('19_Расчет_аналитики'!S2434-'19_Расчет_аналитики'!S2462)=0,3&lt;='01_Вводные'!$B$297),0,('19_Расчет_аналитики'!S2434-'19_Расчет_аналитики'!S2462)*IF('01_Вводные'!$B$239="Да",MeanMinAge03+'19_Расчет_аналитики'!S2584*SUMIF(ThresholdAge03,"&lt;"&amp;'19_Расчет_аналитики'!S2584,WeightedRevAge03)-SUMIF(ThresholdAge03,"&lt;"&amp;'19_Расчет_аналитики'!S2584,WeightedMinAge03),MAX(CapacityAge03*'01_Вводные'!$B$218*'19_Расчет_аналитики'!S2584,MeanMinAge03)))</f>
        <v/>
      </c>
      <c r="T2518">
        <f>IF(OR(('19_Расчет_аналитики'!T2434-'19_Расчет_аналитики'!T2462)=0,3&lt;='01_Вводные'!$B$297),0,('19_Расчет_аналитики'!T2434-'19_Расчет_аналитики'!T2462)*IF('01_Вводные'!$B$239="Да",MeanMinAge03+'19_Расчет_аналитики'!T2584*SUMIF(ThresholdAge03,"&lt;"&amp;'19_Расчет_аналитики'!T2584,WeightedRevAge03)-SUMIF(ThresholdAge03,"&lt;"&amp;'19_Расчет_аналитики'!T2584,WeightedMinAge03),MAX(CapacityAge03*'01_Вводные'!$B$218*'19_Расчет_аналитики'!T2584,MeanMinAge03)))</f>
        <v/>
      </c>
      <c r="U2518">
        <f>IF(OR(('19_Расчет_аналитики'!U2434-'19_Расчет_аналитики'!U2462)=0,3&lt;='01_Вводные'!$B$297),0,('19_Расчет_аналитики'!U2434-'19_Расчет_аналитики'!U2462)*IF('01_Вводные'!$B$239="Да",MeanMinAge03+'19_Расчет_аналитики'!U2584*SUMIF(ThresholdAge03,"&lt;"&amp;'19_Расчет_аналитики'!U2584,WeightedRevAge03)-SUMIF(ThresholdAge03,"&lt;"&amp;'19_Расчет_аналитики'!U2584,WeightedMinAge03),MAX(CapacityAge03*'01_Вводные'!$B$218*'19_Расчет_аналитики'!U2584,MeanMinAge03)))</f>
        <v/>
      </c>
      <c r="V2518">
        <f>IF(OR(('19_Расчет_аналитики'!V2434-'19_Расчет_аналитики'!V2462)=0,3&lt;='01_Вводные'!$B$297),0,('19_Расчет_аналитики'!V2434-'19_Расчет_аналитики'!V2462)*IF('01_Вводные'!$B$239="Да",MeanMinAge03+'19_Расчет_аналитики'!V2584*SUMIF(ThresholdAge03,"&lt;"&amp;'19_Расчет_аналитики'!V2584,WeightedRevAge03)-SUMIF(ThresholdAge03,"&lt;"&amp;'19_Расчет_аналитики'!V2584,WeightedMinAge03),MAX(CapacityAge03*'01_Вводные'!$B$218*'19_Расчет_аналитики'!V2584,MeanMinAge03)))</f>
        <v/>
      </c>
      <c r="W2518">
        <f>IF(OR(('19_Расчет_аналитики'!W2434-'19_Расчет_аналитики'!W2462)=0,3&lt;='01_Вводные'!$B$297),0,('19_Расчет_аналитики'!W2434-'19_Расчет_аналитики'!W2462)*IF('01_Вводные'!$B$239="Да",MeanMinAge03+'19_Расчет_аналитики'!W2584*SUMIF(ThresholdAge03,"&lt;"&amp;'19_Расчет_аналитики'!W2584,WeightedRevAge03)-SUMIF(ThresholdAge03,"&lt;"&amp;'19_Расчет_аналитики'!W2584,WeightedMinAge03),MAX(CapacityAge03*'01_Вводные'!$B$218*'19_Расчет_аналитики'!W2584,MeanMinAge03)))</f>
        <v/>
      </c>
      <c r="X2518">
        <f>IF(OR(('19_Расчет_аналитики'!X2434-'19_Расчет_аналитики'!X2462)=0,3&lt;='01_Вводные'!$B$297),0,('19_Расчет_аналитики'!X2434-'19_Расчет_аналитики'!X2462)*IF('01_Вводные'!$B$239="Да",MeanMinAge03+'19_Расчет_аналитики'!X2584*SUMIF(ThresholdAge03,"&lt;"&amp;'19_Расчет_аналитики'!X2584,WeightedRevAge03)-SUMIF(ThresholdAge03,"&lt;"&amp;'19_Расчет_аналитики'!X2584,WeightedMinAge03),MAX(CapacityAge03*'01_Вводные'!$B$218*'19_Расчет_аналитики'!X2584,MeanMinAge03)))</f>
        <v/>
      </c>
      <c r="Y2518">
        <f>IF(OR(('19_Расчет_аналитики'!Y2434-'19_Расчет_аналитики'!Y2462)=0,3&lt;='01_Вводные'!$B$297),0,('19_Расчет_аналитики'!Y2434-'19_Расчет_аналитики'!Y2462)*IF('01_Вводные'!$B$239="Да",MeanMinAge03+'19_Расчет_аналитики'!Y2584*SUMIF(ThresholdAge03,"&lt;"&amp;'19_Расчет_аналитики'!Y2584,WeightedRevAge03)-SUMIF(ThresholdAge03,"&lt;"&amp;'19_Расчет_аналитики'!Y2584,WeightedMinAge03),MAX(CapacityAge03*'01_Вводные'!$B$218*'19_Расчет_аналитики'!Y2584,MeanMinAge03)))</f>
        <v/>
      </c>
      <c r="Z2518">
        <f>IF(OR(('19_Расчет_аналитики'!Z2434-'19_Расчет_аналитики'!Z2462)=0,3&lt;='01_Вводные'!$B$297),0,('19_Расчет_аналитики'!Z2434-'19_Расчет_аналитики'!Z2462)*IF('01_Вводные'!$B$239="Да",MeanMinAge03+'19_Расчет_аналитики'!Z2584*SUMIF(ThresholdAge03,"&lt;"&amp;'19_Расчет_аналитики'!Z2584,WeightedRevAge03)-SUMIF(ThresholdAge03,"&lt;"&amp;'19_Расчет_аналитики'!Z2584,WeightedMinAge03),MAX(CapacityAge03*'01_Вводные'!$B$218*'19_Расчет_аналитики'!Z2584,MeanMinAge03)))</f>
        <v/>
      </c>
      <c r="AA2518">
        <f>IF(OR(('19_Расчет_аналитики'!AA2434-'19_Расчет_аналитики'!AA2462)=0,3&lt;='01_Вводные'!$B$297),0,('19_Расчет_аналитики'!AA2434-'19_Расчет_аналитики'!AA2462)*IF('01_Вводные'!$B$239="Да",MeanMinAge03+'19_Расчет_аналитики'!AA2584*SUMIF(ThresholdAge03,"&lt;"&amp;'19_Расчет_аналитики'!AA2584,WeightedRevAge03)-SUMIF(ThresholdAge03,"&lt;"&amp;'19_Расчет_аналитики'!AA2584,WeightedMinAge03),MAX(CapacityAge03*'01_Вводные'!$B$218*'19_Расчет_аналитики'!AA2584,MeanMinAge03)))</f>
        <v/>
      </c>
      <c r="AB2518">
        <f>IF(OR(('19_Расчет_аналитики'!AB2434-'19_Расчет_аналитики'!AB2462)=0,3&lt;='01_Вводные'!$B$297),0,('19_Расчет_аналитики'!AB2434-'19_Расчет_аналитики'!AB2462)*IF('01_Вводные'!$B$239="Да",MeanMinAge03+'19_Расчет_аналитики'!AB2584*SUMIF(ThresholdAge03,"&lt;"&amp;'19_Расчет_аналитики'!AB2584,WeightedRevAge03)-SUMIF(ThresholdAge03,"&lt;"&amp;'19_Расчет_аналитики'!AB2584,WeightedMinAge03),MAX(CapacityAge03*'01_Вводные'!$B$218*'19_Расчет_аналитики'!AB2584,MeanMinAge03)))</f>
        <v/>
      </c>
      <c r="AC2518">
        <f>IF(OR(('19_Расчет_аналитики'!AC2434-'19_Расчет_аналитики'!AC2462)=0,3&lt;='01_Вводные'!$B$297),0,('19_Расчет_аналитики'!AC2434-'19_Расчет_аналитики'!AC2462)*IF('01_Вводные'!$B$239="Да",MeanMinAge03+'19_Расчет_аналитики'!AC2584*SUMIF(ThresholdAge03,"&lt;"&amp;'19_Расчет_аналитики'!AC2584,WeightedRevAge03)-SUMIF(ThresholdAge03,"&lt;"&amp;'19_Расчет_аналитики'!AC2584,WeightedMinAge03),MAX(CapacityAge03*'01_Вводные'!$B$218*'19_Расчет_аналитики'!AC2584,MeanMinAge03)))</f>
        <v/>
      </c>
      <c r="AD2518">
        <f>IF(OR(('19_Расчет_аналитики'!AD2434-'19_Расчет_аналитики'!AD2462)=0,3&lt;='01_Вводные'!$B$297),0,('19_Расчет_аналитики'!AD2434-'19_Расчет_аналитики'!AD2462)*IF('01_Вводные'!$B$239="Да",MeanMinAge03+'19_Расчет_аналитики'!AD2584*SUMIF(ThresholdAge03,"&lt;"&amp;'19_Расчет_аналитики'!AD2584,WeightedRevAge03)-SUMIF(ThresholdAge03,"&lt;"&amp;'19_Расчет_аналитики'!AD2584,WeightedMinAge03),MAX(CapacityAge03*'01_Вводные'!$B$218*'19_Расчет_аналитики'!AD2584,MeanMinAge03)))</f>
        <v/>
      </c>
      <c r="AE2518">
        <f>IF(OR(('19_Расчет_аналитики'!AE2434-'19_Расчет_аналитики'!AE2462)=0,3&lt;='01_Вводные'!$B$297),0,('19_Расчет_аналитики'!AE2434-'19_Расчет_аналитики'!AE2462)*IF('01_Вводные'!$B$239="Да",MeanMinAge03+'19_Расчет_аналитики'!AE2584*SUMIF(ThresholdAge03,"&lt;"&amp;'19_Расчет_аналитики'!AE2584,WeightedRevAge03)-SUMIF(ThresholdAge03,"&lt;"&amp;'19_Расчет_аналитики'!AE2584,WeightedMinAge03),MAX(CapacityAge03*'01_Вводные'!$B$218*'19_Расчет_аналитики'!AE2584,MeanMinAge03)))</f>
        <v/>
      </c>
      <c r="AF2518">
        <f>IF(OR(('19_Расчет_аналитики'!AF2434-'19_Расчет_аналитики'!AF2462)=0,3&lt;='01_Вводные'!$B$297),0,('19_Расчет_аналитики'!AF2434-'19_Расчет_аналитики'!AF2462)*IF('01_Вводные'!$B$239="Да",MeanMinAge03+'19_Расчет_аналитики'!AF2584*SUMIF(ThresholdAge03,"&lt;"&amp;'19_Расчет_аналитики'!AF2584,WeightedRevAge03)-SUMIF(ThresholdAge03,"&lt;"&amp;'19_Расчет_аналитики'!AF2584,WeightedMinAge03),MAX(CapacityAge03*'01_Вводные'!$B$218*'19_Расчет_аналитики'!AF2584,MeanMinAge03)))</f>
        <v/>
      </c>
      <c r="AG2518">
        <f>IF(OR(('19_Расчет_аналитики'!AG2434-'19_Расчет_аналитики'!AG2462)=0,3&lt;='01_Вводные'!$B$297),0,('19_Расчет_аналитики'!AG2434-'19_Расчет_аналитики'!AG2462)*IF('01_Вводные'!$B$239="Да",MeanMinAge03+'19_Расчет_аналитики'!AG2584*SUMIF(ThresholdAge03,"&lt;"&amp;'19_Расчет_аналитики'!AG2584,WeightedRevAge03)-SUMIF(ThresholdAge03,"&lt;"&amp;'19_Расчет_аналитики'!AG2584,WeightedMinAge03),MAX(CapacityAge03*'01_Вводные'!$B$218*'19_Расчет_аналитики'!AG2584,MeanMinAge03)))</f>
        <v/>
      </c>
      <c r="AH2518">
        <f>IF(OR(('19_Расчет_аналитики'!AH2434-'19_Расчет_аналитики'!AH2462)=0,3&lt;='01_Вводные'!$B$297),0,('19_Расчет_аналитики'!AH2434-'19_Расчет_аналитики'!AH2462)*IF('01_Вводные'!$B$239="Да",MeanMinAge03+'19_Расчет_аналитики'!AH2584*SUMIF(ThresholdAge03,"&lt;"&amp;'19_Расчет_аналитики'!AH2584,WeightedRevAge03)-SUMIF(ThresholdAge03,"&lt;"&amp;'19_Расчет_аналитики'!AH2584,WeightedMinAge03),MAX(CapacityAge03*'01_Вводные'!$B$218*'19_Расчет_аналитики'!AH2584,MeanMinAge03)))</f>
        <v/>
      </c>
      <c r="AI2518">
        <f>IF(OR(('19_Расчет_аналитики'!AI2434-'19_Расчет_аналитики'!AI2462)=0,3&lt;='01_Вводные'!$B$297),0,('19_Расчет_аналитики'!AI2434-'19_Расчет_аналитики'!AI2462)*IF('01_Вводные'!$B$239="Да",MeanMinAge03+'19_Расчет_аналитики'!AI2584*SUMIF(ThresholdAge03,"&lt;"&amp;'19_Расчет_аналитики'!AI2584,WeightedRevAge03)-SUMIF(ThresholdAge03,"&lt;"&amp;'19_Расчет_аналитики'!AI2584,WeightedMinAge03),MAX(CapacityAge03*'01_Вводные'!$B$218*'19_Расчет_аналитики'!AI2584,MeanMinAge03)))</f>
        <v/>
      </c>
      <c r="AJ2518">
        <f>IF(OR(('19_Расчет_аналитики'!AJ2434-'19_Расчет_аналитики'!AJ2462)=0,3&lt;='01_Вводные'!$B$297),0,('19_Расчет_аналитики'!AJ2434-'19_Расчет_аналитики'!AJ2462)*IF('01_Вводные'!$B$239="Да",MeanMinAge03+'19_Расчет_аналитики'!AJ2584*SUMIF(ThresholdAge03,"&lt;"&amp;'19_Расчет_аналитики'!AJ2584,WeightedRevAge03)-SUMIF(ThresholdAge03,"&lt;"&amp;'19_Расчет_аналитики'!AJ2584,WeightedMinAge03),MAX(CapacityAge03*'01_Вводные'!$B$218*'19_Расчет_аналитики'!AJ2584,MeanMinAge03)))</f>
        <v/>
      </c>
      <c r="AK2518">
        <f>IF(OR(('19_Расчет_аналитики'!AK2434-'19_Расчет_аналитики'!AK2462)=0,3&lt;='01_Вводные'!$B$297),0,('19_Расчет_аналитики'!AK2434-'19_Расчет_аналитики'!AK2462)*IF('01_Вводные'!$B$239="Да",MeanMinAge03+'19_Расчет_аналитики'!AK2584*SUMIF(ThresholdAge03,"&lt;"&amp;'19_Расчет_аналитики'!AK2584,WeightedRevAge03)-SUMIF(ThresholdAge03,"&lt;"&amp;'19_Расчет_аналитики'!AK2584,WeightedMinAge03),MAX(CapacityAge03*'01_Вводные'!$B$218*'19_Расчет_аналитики'!AK2584,MeanMinAge03)))</f>
        <v/>
      </c>
      <c r="AL2518">
        <f>IF(OR(('19_Расчет_аналитики'!AL2434-'19_Расчет_аналитики'!AL2462)=0,3&lt;='01_Вводные'!$B$297),0,('19_Расчет_аналитики'!AL2434-'19_Расчет_аналитики'!AL2462)*IF('01_Вводные'!$B$239="Да",MeanMinAge03+'19_Расчет_аналитики'!AL2584*SUMIF(ThresholdAge03,"&lt;"&amp;'19_Расчет_аналитики'!AL2584,WeightedRevAge03)-SUMIF(ThresholdAge03,"&lt;"&amp;'19_Расчет_аналитики'!AL2584,WeightedMinAge03),MAX(CapacityAge03*'01_Вводные'!$B$218*'19_Расчет_аналитики'!AL2584,MeanMinAge03)))</f>
        <v/>
      </c>
      <c r="AM2518">
        <f>IF(OR(('19_Расчет_аналитики'!AM2434-'19_Расчет_аналитики'!AM2462)=0,3&lt;='01_Вводные'!$B$297),0,('19_Расчет_аналитики'!AM2434-'19_Расчет_аналитики'!AM2462)*IF('01_Вводные'!$B$239="Да",MeanMinAge03+'19_Расчет_аналитики'!AM2584*SUMIF(ThresholdAge03,"&lt;"&amp;'19_Расчет_аналитики'!AM2584,WeightedRevAge03)-SUMIF(ThresholdAge03,"&lt;"&amp;'19_Расчет_аналитики'!AM2584,WeightedMinAge03),MAX(CapacityAge03*'01_Вводные'!$B$218*'19_Расчет_аналитики'!AM2584,MeanMinAge03)))</f>
        <v/>
      </c>
      <c r="AN2518">
        <f>IF(OR(('19_Расчет_аналитики'!AN2434-'19_Расчет_аналитики'!AN2462)=0,3&lt;='01_Вводные'!$B$297),0,('19_Расчет_аналитики'!AN2434-'19_Расчет_аналитики'!AN2462)*IF('01_Вводные'!$B$239="Да",MeanMinAge03+'19_Расчет_аналитики'!AN2584*SUMIF(ThresholdAge03,"&lt;"&amp;'19_Расчет_аналитики'!AN2584,WeightedRevAge03)-SUMIF(ThresholdAge03,"&lt;"&amp;'19_Расчет_аналитики'!AN2584,WeightedMinAge03),MAX(CapacityAge03*'01_Вводные'!$B$218*'19_Расчет_аналитики'!AN2584,MeanMinAge03)))</f>
        <v/>
      </c>
      <c r="AO2518">
        <f>IF(OR(('19_Расчет_аналитики'!AO2434-'19_Расчет_аналитики'!AO2462)=0,3&lt;='01_Вводные'!$B$297),0,('19_Расчет_аналитики'!AO2434-'19_Расчет_аналитики'!AO2462)*IF('01_Вводные'!$B$239="Да",MeanMinAge03+'19_Расчет_аналитики'!AO2584*SUMIF(ThresholdAge03,"&lt;"&amp;'19_Расчет_аналитики'!AO2584,WeightedRevAge03)-SUMIF(ThresholdAge03,"&lt;"&amp;'19_Расчет_аналитики'!AO2584,WeightedMinAge03),MAX(CapacityAge03*'01_Вводные'!$B$218*'19_Расчет_аналитики'!AO2584,MeanMinAge03)))</f>
        <v/>
      </c>
      <c r="AP2518">
        <f>IF(OR(('19_Расчет_аналитики'!AP2434-'19_Расчет_аналитики'!AP2462)=0,3&lt;='01_Вводные'!$B$297),0,('19_Расчет_аналитики'!AP2434-'19_Расчет_аналитики'!AP2462)*IF('01_Вводные'!$B$239="Да",MeanMinAge03+'19_Расчет_аналитики'!AP2584*SUMIF(ThresholdAge03,"&lt;"&amp;'19_Расчет_аналитики'!AP2584,WeightedRevAge03)-SUMIF(ThresholdAge03,"&lt;"&amp;'19_Расчет_аналитики'!AP2584,WeightedMinAge03),MAX(CapacityAge03*'01_Вводные'!$B$218*'19_Расчет_аналитики'!AP2584,MeanMinAge03)))</f>
        <v/>
      </c>
      <c r="AQ2518">
        <f>IF(OR(('19_Расчет_аналитики'!AQ2434-'19_Расчет_аналитики'!AQ2462)=0,3&lt;='01_Вводные'!$B$297),0,('19_Расчет_аналитики'!AQ2434-'19_Расчет_аналитики'!AQ2462)*IF('01_Вводные'!$B$239="Да",MeanMinAge03+'19_Расчет_аналитики'!AQ2584*SUMIF(ThresholdAge03,"&lt;"&amp;'19_Расчет_аналитики'!AQ2584,WeightedRevAge03)-SUMIF(ThresholdAge03,"&lt;"&amp;'19_Расчет_аналитики'!AQ2584,WeightedMinAge03),MAX(CapacityAge03*'01_Вводные'!$B$218*'19_Расчет_аналитики'!AQ2584,MeanMinAge03)))</f>
        <v/>
      </c>
      <c r="AR2518">
        <f>IF(OR(('19_Расчет_аналитики'!AR2434-'19_Расчет_аналитики'!AR2462)=0,3&lt;='01_Вводные'!$B$297),0,('19_Расчет_аналитики'!AR2434-'19_Расчет_аналитики'!AR2462)*IF('01_Вводные'!$B$239="Да",MeanMinAge03+'19_Расчет_аналитики'!AR2584*SUMIF(ThresholdAge03,"&lt;"&amp;'19_Расчет_аналитики'!AR2584,WeightedRevAge03)-SUMIF(ThresholdAge03,"&lt;"&amp;'19_Расчет_аналитики'!AR2584,WeightedMinAge03),MAX(CapacityAge03*'01_Вводные'!$B$218*'19_Расчет_аналитики'!AR2584,MeanMinAge03)))</f>
        <v/>
      </c>
      <c r="AS2518">
        <f>IF(OR(('19_Расчет_аналитики'!AS2434-'19_Расчет_аналитики'!AS2462)=0,3&lt;='01_Вводные'!$B$297),0,('19_Расчет_аналитики'!AS2434-'19_Расчет_аналитики'!AS2462)*IF('01_Вводные'!$B$239="Да",MeanMinAge03+'19_Расчет_аналитики'!AS2584*SUMIF(ThresholdAge03,"&lt;"&amp;'19_Расчет_аналитики'!AS2584,WeightedRevAge03)-SUMIF(ThresholdAge03,"&lt;"&amp;'19_Расчет_аналитики'!AS2584,WeightedMinAge03),MAX(CapacityAge03*'01_Вводные'!$B$218*'19_Расчет_аналитики'!AS2584,MeanMinAge03)))</f>
        <v/>
      </c>
      <c r="AT2518">
        <f>IF(OR(('19_Расчет_аналитики'!AT2434-'19_Расчет_аналитики'!AT2462)=0,3&lt;='01_Вводные'!$B$297),0,('19_Расчет_аналитики'!AT2434-'19_Расчет_аналитики'!AT2462)*IF('01_Вводные'!$B$239="Да",MeanMinAge03+'19_Расчет_аналитики'!AT2584*SUMIF(ThresholdAge03,"&lt;"&amp;'19_Расчет_аналитики'!AT2584,WeightedRevAge03)-SUMIF(ThresholdAge03,"&lt;"&amp;'19_Расчет_аналитики'!AT2584,WeightedMinAge03),MAX(CapacityAge03*'01_Вводные'!$B$218*'19_Расчет_аналитики'!AT2584,MeanMinAge03)))</f>
        <v/>
      </c>
      <c r="AU2518">
        <f>IF(OR(('19_Расчет_аналитики'!AU2434-'19_Расчет_аналитики'!AU2462)=0,3&lt;='01_Вводные'!$B$297),0,('19_Расчет_аналитики'!AU2434-'19_Расчет_аналитики'!AU2462)*IF('01_Вводные'!$B$239="Да",MeanMinAge03+'19_Расчет_аналитики'!AU2584*SUMIF(ThresholdAge03,"&lt;"&amp;'19_Расчет_аналитики'!AU2584,WeightedRevAge03)-SUMIF(ThresholdAge03,"&lt;"&amp;'19_Расчет_аналитики'!AU2584,WeightedMinAge03),MAX(CapacityAge03*'01_Вводные'!$B$218*'19_Расчет_аналитики'!AU2584,MeanMinAge03)))</f>
        <v/>
      </c>
      <c r="AV2518">
        <f>IF(OR(('19_Расчет_аналитики'!AV2434-'19_Расчет_аналитики'!AV2462)=0,3&lt;='01_Вводные'!$B$297),0,('19_Расчет_аналитики'!AV2434-'19_Расчет_аналитики'!AV2462)*IF('01_Вводные'!$B$239="Да",MeanMinAge03+'19_Расчет_аналитики'!AV2584*SUMIF(ThresholdAge03,"&lt;"&amp;'19_Расчет_аналитики'!AV2584,WeightedRevAge03)-SUMIF(ThresholdAge03,"&lt;"&amp;'19_Расчет_аналитики'!AV2584,WeightedMinAge03),MAX(CapacityAge03*'01_Вводные'!$B$218*'19_Расчет_аналитики'!AV2584,MeanMinAge03)))</f>
        <v/>
      </c>
      <c r="AW2518">
        <f>IF(OR(('19_Расчет_аналитики'!AW2434-'19_Расчет_аналитики'!AW2462)=0,3&lt;='01_Вводные'!$B$297),0,('19_Расчет_аналитики'!AW2434-'19_Расчет_аналитики'!AW2462)*IF('01_Вводные'!$B$239="Да",MeanMinAge03+'19_Расчет_аналитики'!AW2584*SUMIF(ThresholdAge03,"&lt;"&amp;'19_Расчет_аналитики'!AW2584,WeightedRevAge03)-SUMIF(ThresholdAge03,"&lt;"&amp;'19_Расчет_аналитики'!AW2584,WeightedMinAge03),MAX(CapacityAge03*'01_Вводные'!$B$218*'19_Расчет_аналитики'!AW2584,MeanMinAge03)))</f>
        <v/>
      </c>
      <c r="AX2518">
        <f>IF(OR(('19_Расчет_аналитики'!AX2434-'19_Расчет_аналитики'!AX2462)=0,3&lt;='01_Вводные'!$B$297),0,('19_Расчет_аналитики'!AX2434-'19_Расчет_аналитики'!AX2462)*IF('01_Вводные'!$B$239="Да",MeanMinAge03+'19_Расчет_аналитики'!AX2584*SUMIF(ThresholdAge03,"&lt;"&amp;'19_Расчет_аналитики'!AX2584,WeightedRevAge03)-SUMIF(ThresholdAge03,"&lt;"&amp;'19_Расчет_аналитики'!AX2584,WeightedMinAge03),MAX(CapacityAge03*'01_Вводные'!$B$218*'19_Расчет_аналитики'!AX2584,MeanMinAge03)))</f>
        <v/>
      </c>
      <c r="AY2518">
        <f>IF(OR(('19_Расчет_аналитики'!AY2434-'19_Расчет_аналитики'!AY2462)=0,3&lt;='01_Вводные'!$B$297),0,('19_Расчет_аналитики'!AY2434-'19_Расчет_аналитики'!AY2462)*IF('01_Вводные'!$B$239="Да",MeanMinAge03+'19_Расчет_аналитики'!AY2584*SUMIF(ThresholdAge03,"&lt;"&amp;'19_Расчет_аналитики'!AY2584,WeightedRevAge03)-SUMIF(ThresholdAge03,"&lt;"&amp;'19_Расчет_аналитики'!AY2584,WeightedMinAge03),MAX(CapacityAge03*'01_Вводные'!$B$218*'19_Расчет_аналитики'!AY2584,MeanMinAge03)))</f>
        <v/>
      </c>
      <c r="AZ2518">
        <f>IF(OR(('19_Расчет_аналитики'!AZ2434-'19_Расчет_аналитики'!AZ2462)=0,3&lt;='01_Вводные'!$B$297),0,('19_Расчет_аналитики'!AZ2434-'19_Расчет_аналитики'!AZ2462)*IF('01_Вводные'!$B$239="Да",MeanMinAge03+'19_Расчет_аналитики'!AZ2584*SUMIF(ThresholdAge03,"&lt;"&amp;'19_Расчет_аналитики'!AZ2584,WeightedRevAge03)-SUMIF(ThresholdAge03,"&lt;"&amp;'19_Расчет_аналитики'!AZ2584,WeightedMinAge03),MAX(CapacityAge03*'01_Вводные'!$B$218*'19_Расчет_аналитики'!AZ2584,MeanMinAge03)))</f>
        <v/>
      </c>
      <c r="BA2518">
        <f>IF(OR(('19_Расчет_аналитики'!BA2434-'19_Расчет_аналитики'!BA2462)=0,3&lt;='01_Вводные'!$B$297),0,('19_Расчет_аналитики'!BA2434-'19_Расчет_аналитики'!BA2462)*IF('01_Вводные'!$B$239="Да",MeanMinAge03+'19_Расчет_аналитики'!BA2584*SUMIF(ThresholdAge03,"&lt;"&amp;'19_Расчет_аналитики'!BA2584,WeightedRevAge03)-SUMIF(ThresholdAge03,"&lt;"&amp;'19_Расчет_аналитики'!BA2584,WeightedMinAge03),MAX(CapacityAge03*'01_Вводные'!$B$218*'19_Расчет_аналитики'!BA2584,MeanMinAge03)))</f>
        <v/>
      </c>
      <c r="BB2518">
        <f>IF(OR(('19_Расчет_аналитики'!BB2434-'19_Расчет_аналитики'!BB2462)=0,3&lt;='01_Вводные'!$B$297),0,('19_Расчет_аналитики'!BB2434-'19_Расчет_аналитики'!BB2462)*IF('01_Вводные'!$B$239="Да",MeanMinAge03+'19_Расчет_аналитики'!BB2584*SUMIF(ThresholdAge03,"&lt;"&amp;'19_Расчет_аналитики'!BB2584,WeightedRevAge03)-SUMIF(ThresholdAge03,"&lt;"&amp;'19_Расчет_аналитики'!BB2584,WeightedMinAge03),MAX(CapacityAge03*'01_Вводные'!$B$218*'19_Расчет_аналитики'!BB2584,MeanMinAge03)))</f>
        <v/>
      </c>
      <c r="BC2518">
        <f>IF(OR(('19_Расчет_аналитики'!BC2434-'19_Расчет_аналитики'!BC2462)=0,3&lt;='01_Вводные'!$B$297),0,('19_Расчет_аналитики'!BC2434-'19_Расчет_аналитики'!BC2462)*IF('01_Вводные'!$B$239="Да",MeanMinAge03+'19_Расчет_аналитики'!BC2584*SUMIF(ThresholdAge03,"&lt;"&amp;'19_Расчет_аналитики'!BC2584,WeightedRevAge03)-SUMIF(ThresholdAge03,"&lt;"&amp;'19_Расчет_аналитики'!BC2584,WeightedMinAge03),MAX(CapacityAge03*'01_Вводные'!$B$218*'19_Расчет_аналитики'!BC2584,MeanMinAge03)))</f>
        <v/>
      </c>
      <c r="BD2518">
        <f>IF(OR(('19_Расчет_аналитики'!BD2434-'19_Расчет_аналитики'!BD2462)=0,3&lt;='01_Вводные'!$B$297),0,('19_Расчет_аналитики'!BD2434-'19_Расчет_аналитики'!BD2462)*IF('01_Вводные'!$B$239="Да",MeanMinAge03+'19_Расчет_аналитики'!BD2584*SUMIF(ThresholdAge03,"&lt;"&amp;'19_Расчет_аналитики'!BD2584,WeightedRevAge03)-SUMIF(ThresholdAge03,"&lt;"&amp;'19_Расчет_аналитики'!BD2584,WeightedMinAge03),MAX(CapacityAge03*'01_Вводные'!$B$218*'19_Расчет_аналитики'!BD2584,MeanMinAge03)))</f>
        <v/>
      </c>
      <c r="BE2518">
        <f>IF(OR(('19_Расчет_аналитики'!BE2434-'19_Расчет_аналитики'!BE2462)=0,3&lt;='01_Вводные'!$B$297),0,('19_Расчет_аналитики'!BE2434-'19_Расчет_аналитики'!BE2462)*IF('01_Вводные'!$B$239="Да",MeanMinAge03+'19_Расчет_аналитики'!BE2584*SUMIF(ThresholdAge03,"&lt;"&amp;'19_Расчет_аналитики'!BE2584,WeightedRevAge03)-SUMIF(ThresholdAge03,"&lt;"&amp;'19_Расчет_аналитики'!BE2584,WeightedMinAge03),MAX(CapacityAge03*'01_Вводные'!$B$218*'19_Расчет_аналитики'!BE2584,MeanMinAge03)))</f>
        <v/>
      </c>
      <c r="BF2518">
        <f>IF(OR(('19_Расчет_аналитики'!BF2434-'19_Расчет_аналитики'!BF2462)=0,3&lt;='01_Вводные'!$B$297),0,('19_Расчет_аналитики'!BF2434-'19_Расчет_аналитики'!BF2462)*IF('01_Вводные'!$B$239="Да",MeanMinAge03+'19_Расчет_аналитики'!BF2584*SUMIF(ThresholdAge03,"&lt;"&amp;'19_Расчет_аналитики'!BF2584,WeightedRevAge03)-SUMIF(ThresholdAge03,"&lt;"&amp;'19_Расчет_аналитики'!BF2584,WeightedMinAge03),MAX(CapacityAge03*'01_Вводные'!$B$218*'19_Расчет_аналитики'!BF2584,MeanMinAge03)))</f>
        <v/>
      </c>
      <c r="BG2518">
        <f>IF(OR(('19_Расчет_аналитики'!BG2434-'19_Расчет_аналитики'!BG2462)=0,3&lt;='01_Вводные'!$B$297),0,('19_Расчет_аналитики'!BG2434-'19_Расчет_аналитики'!BG2462)*IF('01_Вводные'!$B$239="Да",MeanMinAge03+'19_Расчет_аналитики'!BG2584*SUMIF(ThresholdAge03,"&lt;"&amp;'19_Расчет_аналитики'!BG2584,WeightedRevAge03)-SUMIF(ThresholdAge03,"&lt;"&amp;'19_Расчет_аналитики'!BG2584,WeightedMinAge03),MAX(CapacityAge03*'01_Вводные'!$B$218*'19_Расчет_аналитики'!BG2584,MeanMinAge03)))</f>
        <v/>
      </c>
      <c r="BH2518">
        <f>IF(OR(('19_Расчет_аналитики'!BH2434-'19_Расчет_аналитики'!BH2462)=0,3&lt;='01_Вводные'!$B$297),0,('19_Расчет_аналитики'!BH2434-'19_Расчет_аналитики'!BH2462)*IF('01_Вводные'!$B$239="Да",MeanMinAge03+'19_Расчет_аналитики'!BH2584*SUMIF(ThresholdAge03,"&lt;"&amp;'19_Расчет_аналитики'!BH2584,WeightedRevAge03)-SUMIF(ThresholdAge03,"&lt;"&amp;'19_Расчет_аналитики'!BH2584,WeightedMinAge03),MAX(CapacityAge03*'01_Вводные'!$B$218*'19_Расчет_аналитики'!BH2584,MeanMinAge03)))</f>
        <v/>
      </c>
      <c r="BI2518">
        <f>IF(OR(('19_Расчет_аналитики'!BI2434-'19_Расчет_аналитики'!BI2462)=0,3&lt;='01_Вводные'!$B$297),0,('19_Расчет_аналитики'!BI2434-'19_Расчет_аналитики'!BI2462)*IF('01_Вводные'!$B$239="Да",MeanMinAge03+'19_Расчет_аналитики'!BI2584*SUMIF(ThresholdAge03,"&lt;"&amp;'19_Расчет_аналитики'!BI2584,WeightedRevAge03)-SUMIF(ThresholdAge03,"&lt;"&amp;'19_Расчет_аналитики'!BI2584,WeightedMinAge03),MAX(CapacityAge03*'01_Вводные'!$B$218*'19_Расчет_аналитики'!BI2584,MeanMinAge03)))</f>
        <v/>
      </c>
      <c r="BJ2518">
        <f>IF(OR(('19_Расчет_аналитики'!BJ2434-'19_Расчет_аналитики'!BJ2462)=0,3&lt;='01_Вводные'!$B$297),0,('19_Расчет_аналитики'!BJ2434-'19_Расчет_аналитики'!BJ2462)*IF('01_Вводные'!$B$239="Да",MeanMinAge03+'19_Расчет_аналитики'!BJ2584*SUMIF(ThresholdAge03,"&lt;"&amp;'19_Расчет_аналитики'!BJ2584,WeightedRevAge03)-SUMIF(ThresholdAge03,"&lt;"&amp;'19_Расчет_аналитики'!BJ2584,WeightedMinAge03),MAX(CapacityAge03*'01_Вводные'!$B$218*'19_Расчет_аналитики'!BJ2584,MeanMinAge03)))</f>
        <v/>
      </c>
      <c r="BK2518">
        <f>IF(OR(('19_Расчет_аналитики'!BK2434-'19_Расчет_аналитики'!BK2462)=0,3&lt;='01_Вводные'!$B$297),0,('19_Расчет_аналитики'!BK2434-'19_Расчет_аналитики'!BK2462)*IF('01_Вводные'!$B$239="Да",MeanMinAge03+'19_Расчет_аналитики'!BK2584*SUMIF(ThresholdAge03,"&lt;"&amp;'19_Расчет_аналитики'!BK2584,WeightedRevAge03)-SUMIF(ThresholdAge03,"&lt;"&amp;'19_Расчет_аналитики'!BK2584,WeightedMinAge03),MAX(CapacityAge03*'01_Вводные'!$B$218*'19_Расчет_аналитики'!BK2584,MeanMinAge03)))</f>
        <v/>
      </c>
      <c r="BL2518">
        <f>IF(OR(('19_Расчет_аналитики'!BL2434-'19_Расчет_аналитики'!BL2462)=0,3&lt;='01_Вводные'!$B$297),0,('19_Расчет_аналитики'!BL2434-'19_Расчет_аналитики'!BL2462)*IF('01_Вводные'!$B$239="Да",MeanMinAge03+'19_Расчет_аналитики'!BL2584*SUMIF(ThresholdAge03,"&lt;"&amp;'19_Расчет_аналитики'!BL2584,WeightedRevAge03)-SUMIF(ThresholdAge03,"&lt;"&amp;'19_Расчет_аналитики'!BL2584,WeightedMinAge03),MAX(CapacityAge03*'01_Вводные'!$B$218*'19_Расчет_аналитики'!BL2584,MeanMinAge03)))</f>
        <v/>
      </c>
      <c r="BM2518">
        <f>IF(OR(('19_Расчет_аналитики'!BM2434-'19_Расчет_аналитики'!BM2462)=0,3&lt;='01_Вводные'!$B$297),0,('19_Расчет_аналитики'!BM2434-'19_Расчет_аналитики'!BM2462)*IF('01_Вводные'!$B$239="Да",MeanMinAge03+'19_Расчет_аналитики'!BM2584*SUMIF(ThresholdAge03,"&lt;"&amp;'19_Расчет_аналитики'!BM2584,WeightedRevAge03)-SUMIF(ThresholdAge03,"&lt;"&amp;'19_Расчет_аналитики'!BM2584,WeightedMinAge03),MAX(CapacityAge03*'01_Вводные'!$B$218*'19_Расчет_аналитики'!BM2584,MeanMinAge03)))</f>
        <v/>
      </c>
      <c r="BN2518">
        <f>IF(OR(('19_Расчет_аналитики'!BN2434-'19_Расчет_аналитики'!BN2462)=0,3&lt;='01_Вводные'!$B$297),0,('19_Расчет_аналитики'!BN2434-'19_Расчет_аналитики'!BN2462)*IF('01_Вводные'!$B$239="Да",MeanMinAge03+'19_Расчет_аналитики'!BN2584*SUMIF(ThresholdAge03,"&lt;"&amp;'19_Расчет_аналитики'!BN2584,WeightedRevAge03)-SUMIF(ThresholdAge03,"&lt;"&amp;'19_Расчет_аналитики'!BN2584,WeightedMinAge03),MAX(CapacityAge03*'01_Вводные'!$B$218*'19_Расчет_аналитики'!BN2584,MeanMinAge03)))</f>
        <v/>
      </c>
      <c r="BO2518">
        <f>IF(OR(('19_Расчет_аналитики'!BO2434-'19_Расчет_аналитики'!BO2462)=0,3&lt;='01_Вводные'!$B$297),0,('19_Расчет_аналитики'!BO2434-'19_Расчет_аналитики'!BO2462)*IF('01_Вводные'!$B$239="Да",MeanMinAge03+'19_Расчет_аналитики'!BO2584*SUMIF(ThresholdAge03,"&lt;"&amp;'19_Расчет_аналитики'!BO2584,WeightedRevAge03)-SUMIF(ThresholdAge03,"&lt;"&amp;'19_Расчет_аналитики'!BO2584,WeightedMinAge03),MAX(CapacityAge03*'01_Вводные'!$B$218*'19_Расчет_аналитики'!BO2584,MeanMinAge03)))</f>
        <v/>
      </c>
    </row>
    <row r="2519">
      <c r="B2519">
        <f>IF(OR(('06_Сеть_и_дети'!B56-'06_Сеть_и_дети'!B84)=0,4&lt;='01_Вводные'!$B$297),0,('06_Сеть_и_дети'!B56-'06_Сеть_и_дети'!B84)*IF('01_Вводные'!$B$239="Да",MeanMinAge04+'19_Расчет_аналитики'!B2584*SUMIF(ThresholdAge04,"&lt;"&amp;'19_Расчет_аналитики'!B2584,WeightedRevAge04)-SUMIF(ThresholdAge04,"&lt;"&amp;'19_Расчет_аналитики'!B2584,WeightedMinAge04),MAX(CapacityAge04*'01_Вводные'!$B$218*'19_Расчет_аналитики'!B2584,MeanMinAge04)))</f>
        <v/>
      </c>
      <c r="C2519">
        <f>IF(OR(('06_Сеть_и_дети'!C56-'06_Сеть_и_дети'!C84)=0,4&lt;='01_Вводные'!$B$297),0,('06_Сеть_и_дети'!C56-'06_Сеть_и_дети'!C84)*IF('01_Вводные'!$B$239="Да",MeanMinAge04+'19_Расчет_аналитики'!C2584*SUMIF(ThresholdAge04,"&lt;"&amp;'19_Расчет_аналитики'!C2584,WeightedRevAge04)-SUMIF(ThresholdAge04,"&lt;"&amp;'19_Расчет_аналитики'!C2584,WeightedMinAge04),MAX(CapacityAge04*'01_Вводные'!$B$218*'19_Расчет_аналитики'!C2584,MeanMinAge04)))</f>
        <v/>
      </c>
      <c r="D2519">
        <f>IF(OR(('06_Сеть_и_дети'!D56-'06_Сеть_и_дети'!D84)=0,4&lt;='01_Вводные'!$B$297),0,('06_Сеть_и_дети'!D56-'06_Сеть_и_дети'!D84)*IF('01_Вводные'!$B$239="Да",MeanMinAge04+'19_Расчет_аналитики'!D2584*SUMIF(ThresholdAge04,"&lt;"&amp;'19_Расчет_аналитики'!D2584,WeightedRevAge04)-SUMIF(ThresholdAge04,"&lt;"&amp;'19_Расчет_аналитики'!D2584,WeightedMinAge04),MAX(CapacityAge04*'01_Вводные'!$B$218*'19_Расчет_аналитики'!D2584,MeanMinAge04)))</f>
        <v/>
      </c>
      <c r="E2519">
        <f>IF(OR(('19_Расчет_аналитики'!E2435-'19_Расчет_аналитики'!E2463)=0,4&lt;='01_Вводные'!$B$297),0,('19_Расчет_аналитики'!E2435-'19_Расчет_аналитики'!E2463)*IF('01_Вводные'!$B$239="Да",MeanMinAge04+'19_Расчет_аналитики'!E2584*SUMIF(ThresholdAge04,"&lt;"&amp;'19_Расчет_аналитики'!E2584,WeightedRevAge04)-SUMIF(ThresholdAge04,"&lt;"&amp;'19_Расчет_аналитики'!E2584,WeightedMinAge04),MAX(CapacityAge04*'01_Вводные'!$B$218*'19_Расчет_аналитики'!E2584,MeanMinAge04)))</f>
        <v/>
      </c>
      <c r="F2519">
        <f>IF(OR(('19_Расчет_аналитики'!F2435-'19_Расчет_аналитики'!F2463)=0,4&lt;='01_Вводные'!$B$297),0,('19_Расчет_аналитики'!F2435-'19_Расчет_аналитики'!F2463)*IF('01_Вводные'!$B$239="Да",MeanMinAge04+'19_Расчет_аналитики'!F2584*SUMIF(ThresholdAge04,"&lt;"&amp;'19_Расчет_аналитики'!F2584,WeightedRevAge04)-SUMIF(ThresholdAge04,"&lt;"&amp;'19_Расчет_аналитики'!F2584,WeightedMinAge04),MAX(CapacityAge04*'01_Вводные'!$B$218*'19_Расчет_аналитики'!F2584,MeanMinAge04)))</f>
        <v/>
      </c>
      <c r="G2519">
        <f>IF(OR(('19_Расчет_аналитики'!G2435-'19_Расчет_аналитики'!G2463)=0,4&lt;='01_Вводные'!$B$297),0,('19_Расчет_аналитики'!G2435-'19_Расчет_аналитики'!G2463)*IF('01_Вводные'!$B$239="Да",MeanMinAge04+'19_Расчет_аналитики'!G2584*SUMIF(ThresholdAge04,"&lt;"&amp;'19_Расчет_аналитики'!G2584,WeightedRevAge04)-SUMIF(ThresholdAge04,"&lt;"&amp;'19_Расчет_аналитики'!G2584,WeightedMinAge04),MAX(CapacityAge04*'01_Вводные'!$B$218*'19_Расчет_аналитики'!G2584,MeanMinAge04)))</f>
        <v/>
      </c>
      <c r="H2519">
        <f>IF(OR(('19_Расчет_аналитики'!H2435-'19_Расчет_аналитики'!H2463)=0,4&lt;='01_Вводные'!$B$297),0,('19_Расчет_аналитики'!H2435-'19_Расчет_аналитики'!H2463)*IF('01_Вводные'!$B$239="Да",MeanMinAge04+'19_Расчет_аналитики'!H2584*SUMIF(ThresholdAge04,"&lt;"&amp;'19_Расчет_аналитики'!H2584,WeightedRevAge04)-SUMIF(ThresholdAge04,"&lt;"&amp;'19_Расчет_аналитики'!H2584,WeightedMinAge04),MAX(CapacityAge04*'01_Вводные'!$B$218*'19_Расчет_аналитики'!H2584,MeanMinAge04)))</f>
        <v/>
      </c>
      <c r="I2519">
        <f>IF(OR(('19_Расчет_аналитики'!I2435-'19_Расчет_аналитики'!I2463)=0,4&lt;='01_Вводные'!$B$297),0,('19_Расчет_аналитики'!I2435-'19_Расчет_аналитики'!I2463)*IF('01_Вводные'!$B$239="Да",MeanMinAge04+'19_Расчет_аналитики'!I2584*SUMIF(ThresholdAge04,"&lt;"&amp;'19_Расчет_аналитики'!I2584,WeightedRevAge04)-SUMIF(ThresholdAge04,"&lt;"&amp;'19_Расчет_аналитики'!I2584,WeightedMinAge04),MAX(CapacityAge04*'01_Вводные'!$B$218*'19_Расчет_аналитики'!I2584,MeanMinAge04)))</f>
        <v/>
      </c>
      <c r="J2519">
        <f>IF(OR(('19_Расчет_аналитики'!J2435-'19_Расчет_аналитики'!J2463)=0,4&lt;='01_Вводные'!$B$297),0,('19_Расчет_аналитики'!J2435-'19_Расчет_аналитики'!J2463)*IF('01_Вводные'!$B$239="Да",MeanMinAge04+'19_Расчет_аналитики'!J2584*SUMIF(ThresholdAge04,"&lt;"&amp;'19_Расчет_аналитики'!J2584,WeightedRevAge04)-SUMIF(ThresholdAge04,"&lt;"&amp;'19_Расчет_аналитики'!J2584,WeightedMinAge04),MAX(CapacityAge04*'01_Вводные'!$B$218*'19_Расчет_аналитики'!J2584,MeanMinAge04)))</f>
        <v/>
      </c>
      <c r="K2519">
        <f>IF(OR(('19_Расчет_аналитики'!K2435-'19_Расчет_аналитики'!K2463)=0,4&lt;='01_Вводные'!$B$297),0,('19_Расчет_аналитики'!K2435-'19_Расчет_аналитики'!K2463)*IF('01_Вводные'!$B$239="Да",MeanMinAge04+'19_Расчет_аналитики'!K2584*SUMIF(ThresholdAge04,"&lt;"&amp;'19_Расчет_аналитики'!K2584,WeightedRevAge04)-SUMIF(ThresholdAge04,"&lt;"&amp;'19_Расчет_аналитики'!K2584,WeightedMinAge04),MAX(CapacityAge04*'01_Вводные'!$B$218*'19_Расчет_аналитики'!K2584,MeanMinAge04)))</f>
        <v/>
      </c>
      <c r="L2519">
        <f>IF(OR(('19_Расчет_аналитики'!L2435-'19_Расчет_аналитики'!L2463)=0,4&lt;='01_Вводные'!$B$297),0,('19_Расчет_аналитики'!L2435-'19_Расчет_аналитики'!L2463)*IF('01_Вводные'!$B$239="Да",MeanMinAge04+'19_Расчет_аналитики'!L2584*SUMIF(ThresholdAge04,"&lt;"&amp;'19_Расчет_аналитики'!L2584,WeightedRevAge04)-SUMIF(ThresholdAge04,"&lt;"&amp;'19_Расчет_аналитики'!L2584,WeightedMinAge04),MAX(CapacityAge04*'01_Вводные'!$B$218*'19_Расчет_аналитики'!L2584,MeanMinAge04)))</f>
        <v/>
      </c>
      <c r="M2519">
        <f>IF(OR(('19_Расчет_аналитики'!M2435-'19_Расчет_аналитики'!M2463)=0,4&lt;='01_Вводные'!$B$297),0,('19_Расчет_аналитики'!M2435-'19_Расчет_аналитики'!M2463)*IF('01_Вводные'!$B$239="Да",MeanMinAge04+'19_Расчет_аналитики'!M2584*SUMIF(ThresholdAge04,"&lt;"&amp;'19_Расчет_аналитики'!M2584,WeightedRevAge04)-SUMIF(ThresholdAge04,"&lt;"&amp;'19_Расчет_аналитики'!M2584,WeightedMinAge04),MAX(CapacityAge04*'01_Вводные'!$B$218*'19_Расчет_аналитики'!M2584,MeanMinAge04)))</f>
        <v/>
      </c>
      <c r="N2519">
        <f>IF(OR(('19_Расчет_аналитики'!N2435-'19_Расчет_аналитики'!N2463)=0,4&lt;='01_Вводные'!$B$297),0,('19_Расчет_аналитики'!N2435-'19_Расчет_аналитики'!N2463)*IF('01_Вводные'!$B$239="Да",MeanMinAge04+'19_Расчет_аналитики'!N2584*SUMIF(ThresholdAge04,"&lt;"&amp;'19_Расчет_аналитики'!N2584,WeightedRevAge04)-SUMIF(ThresholdAge04,"&lt;"&amp;'19_Расчет_аналитики'!N2584,WeightedMinAge04),MAX(CapacityAge04*'01_Вводные'!$B$218*'19_Расчет_аналитики'!N2584,MeanMinAge04)))</f>
        <v/>
      </c>
      <c r="O2519">
        <f>IF(OR(('19_Расчет_аналитики'!O2435-'19_Расчет_аналитики'!O2463)=0,4&lt;='01_Вводные'!$B$297),0,('19_Расчет_аналитики'!O2435-'19_Расчет_аналитики'!O2463)*IF('01_Вводные'!$B$239="Да",MeanMinAge04+'19_Расчет_аналитики'!O2584*SUMIF(ThresholdAge04,"&lt;"&amp;'19_Расчет_аналитики'!O2584,WeightedRevAge04)-SUMIF(ThresholdAge04,"&lt;"&amp;'19_Расчет_аналитики'!O2584,WeightedMinAge04),MAX(CapacityAge04*'01_Вводные'!$B$218*'19_Расчет_аналитики'!O2584,MeanMinAge04)))</f>
        <v/>
      </c>
      <c r="P2519">
        <f>IF(OR(('19_Расчет_аналитики'!P2435-'19_Расчет_аналитики'!P2463)=0,4&lt;='01_Вводные'!$B$297),0,('19_Расчет_аналитики'!P2435-'19_Расчет_аналитики'!P2463)*IF('01_Вводные'!$B$239="Да",MeanMinAge04+'19_Расчет_аналитики'!P2584*SUMIF(ThresholdAge04,"&lt;"&amp;'19_Расчет_аналитики'!P2584,WeightedRevAge04)-SUMIF(ThresholdAge04,"&lt;"&amp;'19_Расчет_аналитики'!P2584,WeightedMinAge04),MAX(CapacityAge04*'01_Вводные'!$B$218*'19_Расчет_аналитики'!P2584,MeanMinAge04)))</f>
        <v/>
      </c>
      <c r="Q2519">
        <f>IF(OR(('19_Расчет_аналитики'!Q2435-'19_Расчет_аналитики'!Q2463)=0,4&lt;='01_Вводные'!$B$297),0,('19_Расчет_аналитики'!Q2435-'19_Расчет_аналитики'!Q2463)*IF('01_Вводные'!$B$239="Да",MeanMinAge04+'19_Расчет_аналитики'!Q2584*SUMIF(ThresholdAge04,"&lt;"&amp;'19_Расчет_аналитики'!Q2584,WeightedRevAge04)-SUMIF(ThresholdAge04,"&lt;"&amp;'19_Расчет_аналитики'!Q2584,WeightedMinAge04),MAX(CapacityAge04*'01_Вводные'!$B$218*'19_Расчет_аналитики'!Q2584,MeanMinAge04)))</f>
        <v/>
      </c>
      <c r="R2519">
        <f>IF(OR(('19_Расчет_аналитики'!R2435-'19_Расчет_аналитики'!R2463)=0,4&lt;='01_Вводные'!$B$297),0,('19_Расчет_аналитики'!R2435-'19_Расчет_аналитики'!R2463)*IF('01_Вводные'!$B$239="Да",MeanMinAge04+'19_Расчет_аналитики'!R2584*SUMIF(ThresholdAge04,"&lt;"&amp;'19_Расчет_аналитики'!R2584,WeightedRevAge04)-SUMIF(ThresholdAge04,"&lt;"&amp;'19_Расчет_аналитики'!R2584,WeightedMinAge04),MAX(CapacityAge04*'01_Вводные'!$B$218*'19_Расчет_аналитики'!R2584,MeanMinAge04)))</f>
        <v/>
      </c>
      <c r="S2519">
        <f>IF(OR(('19_Расчет_аналитики'!S2435-'19_Расчет_аналитики'!S2463)=0,4&lt;='01_Вводные'!$B$297),0,('19_Расчет_аналитики'!S2435-'19_Расчет_аналитики'!S2463)*IF('01_Вводные'!$B$239="Да",MeanMinAge04+'19_Расчет_аналитики'!S2584*SUMIF(ThresholdAge04,"&lt;"&amp;'19_Расчет_аналитики'!S2584,WeightedRevAge04)-SUMIF(ThresholdAge04,"&lt;"&amp;'19_Расчет_аналитики'!S2584,WeightedMinAge04),MAX(CapacityAge04*'01_Вводные'!$B$218*'19_Расчет_аналитики'!S2584,MeanMinAge04)))</f>
        <v/>
      </c>
      <c r="T2519">
        <f>IF(OR(('19_Расчет_аналитики'!T2435-'19_Расчет_аналитики'!T2463)=0,4&lt;='01_Вводные'!$B$297),0,('19_Расчет_аналитики'!T2435-'19_Расчет_аналитики'!T2463)*IF('01_Вводные'!$B$239="Да",MeanMinAge04+'19_Расчет_аналитики'!T2584*SUMIF(ThresholdAge04,"&lt;"&amp;'19_Расчет_аналитики'!T2584,WeightedRevAge04)-SUMIF(ThresholdAge04,"&lt;"&amp;'19_Расчет_аналитики'!T2584,WeightedMinAge04),MAX(CapacityAge04*'01_Вводные'!$B$218*'19_Расчет_аналитики'!T2584,MeanMinAge04)))</f>
        <v/>
      </c>
      <c r="U2519">
        <f>IF(OR(('19_Расчет_аналитики'!U2435-'19_Расчет_аналитики'!U2463)=0,4&lt;='01_Вводные'!$B$297),0,('19_Расчет_аналитики'!U2435-'19_Расчет_аналитики'!U2463)*IF('01_Вводные'!$B$239="Да",MeanMinAge04+'19_Расчет_аналитики'!U2584*SUMIF(ThresholdAge04,"&lt;"&amp;'19_Расчет_аналитики'!U2584,WeightedRevAge04)-SUMIF(ThresholdAge04,"&lt;"&amp;'19_Расчет_аналитики'!U2584,WeightedMinAge04),MAX(CapacityAge04*'01_Вводные'!$B$218*'19_Расчет_аналитики'!U2584,MeanMinAge04)))</f>
        <v/>
      </c>
      <c r="V2519">
        <f>IF(OR(('19_Расчет_аналитики'!V2435-'19_Расчет_аналитики'!V2463)=0,4&lt;='01_Вводные'!$B$297),0,('19_Расчет_аналитики'!V2435-'19_Расчет_аналитики'!V2463)*IF('01_Вводные'!$B$239="Да",MeanMinAge04+'19_Расчет_аналитики'!V2584*SUMIF(ThresholdAge04,"&lt;"&amp;'19_Расчет_аналитики'!V2584,WeightedRevAge04)-SUMIF(ThresholdAge04,"&lt;"&amp;'19_Расчет_аналитики'!V2584,WeightedMinAge04),MAX(CapacityAge04*'01_Вводные'!$B$218*'19_Расчет_аналитики'!V2584,MeanMinAge04)))</f>
        <v/>
      </c>
      <c r="W2519">
        <f>IF(OR(('19_Расчет_аналитики'!W2435-'19_Расчет_аналитики'!W2463)=0,4&lt;='01_Вводные'!$B$297),0,('19_Расчет_аналитики'!W2435-'19_Расчет_аналитики'!W2463)*IF('01_Вводные'!$B$239="Да",MeanMinAge04+'19_Расчет_аналитики'!W2584*SUMIF(ThresholdAge04,"&lt;"&amp;'19_Расчет_аналитики'!W2584,WeightedRevAge04)-SUMIF(ThresholdAge04,"&lt;"&amp;'19_Расчет_аналитики'!W2584,WeightedMinAge04),MAX(CapacityAge04*'01_Вводные'!$B$218*'19_Расчет_аналитики'!W2584,MeanMinAge04)))</f>
        <v/>
      </c>
      <c r="X2519">
        <f>IF(OR(('19_Расчет_аналитики'!X2435-'19_Расчет_аналитики'!X2463)=0,4&lt;='01_Вводные'!$B$297),0,('19_Расчет_аналитики'!X2435-'19_Расчет_аналитики'!X2463)*IF('01_Вводные'!$B$239="Да",MeanMinAge04+'19_Расчет_аналитики'!X2584*SUMIF(ThresholdAge04,"&lt;"&amp;'19_Расчет_аналитики'!X2584,WeightedRevAge04)-SUMIF(ThresholdAge04,"&lt;"&amp;'19_Расчет_аналитики'!X2584,WeightedMinAge04),MAX(CapacityAge04*'01_Вводные'!$B$218*'19_Расчет_аналитики'!X2584,MeanMinAge04)))</f>
        <v/>
      </c>
      <c r="Y2519">
        <f>IF(OR(('19_Расчет_аналитики'!Y2435-'19_Расчет_аналитики'!Y2463)=0,4&lt;='01_Вводные'!$B$297),0,('19_Расчет_аналитики'!Y2435-'19_Расчет_аналитики'!Y2463)*IF('01_Вводные'!$B$239="Да",MeanMinAge04+'19_Расчет_аналитики'!Y2584*SUMIF(ThresholdAge04,"&lt;"&amp;'19_Расчет_аналитики'!Y2584,WeightedRevAge04)-SUMIF(ThresholdAge04,"&lt;"&amp;'19_Расчет_аналитики'!Y2584,WeightedMinAge04),MAX(CapacityAge04*'01_Вводные'!$B$218*'19_Расчет_аналитики'!Y2584,MeanMinAge04)))</f>
        <v/>
      </c>
      <c r="Z2519">
        <f>IF(OR(('19_Расчет_аналитики'!Z2435-'19_Расчет_аналитики'!Z2463)=0,4&lt;='01_Вводные'!$B$297),0,('19_Расчет_аналитики'!Z2435-'19_Расчет_аналитики'!Z2463)*IF('01_Вводные'!$B$239="Да",MeanMinAge04+'19_Расчет_аналитики'!Z2584*SUMIF(ThresholdAge04,"&lt;"&amp;'19_Расчет_аналитики'!Z2584,WeightedRevAge04)-SUMIF(ThresholdAge04,"&lt;"&amp;'19_Расчет_аналитики'!Z2584,WeightedMinAge04),MAX(CapacityAge04*'01_Вводные'!$B$218*'19_Расчет_аналитики'!Z2584,MeanMinAge04)))</f>
        <v/>
      </c>
      <c r="AA2519">
        <f>IF(OR(('19_Расчет_аналитики'!AA2435-'19_Расчет_аналитики'!AA2463)=0,4&lt;='01_Вводные'!$B$297),0,('19_Расчет_аналитики'!AA2435-'19_Расчет_аналитики'!AA2463)*IF('01_Вводные'!$B$239="Да",MeanMinAge04+'19_Расчет_аналитики'!AA2584*SUMIF(ThresholdAge04,"&lt;"&amp;'19_Расчет_аналитики'!AA2584,WeightedRevAge04)-SUMIF(ThresholdAge04,"&lt;"&amp;'19_Расчет_аналитики'!AA2584,WeightedMinAge04),MAX(CapacityAge04*'01_Вводные'!$B$218*'19_Расчет_аналитики'!AA2584,MeanMinAge04)))</f>
        <v/>
      </c>
      <c r="AB2519">
        <f>IF(OR(('19_Расчет_аналитики'!AB2435-'19_Расчет_аналитики'!AB2463)=0,4&lt;='01_Вводные'!$B$297),0,('19_Расчет_аналитики'!AB2435-'19_Расчет_аналитики'!AB2463)*IF('01_Вводные'!$B$239="Да",MeanMinAge04+'19_Расчет_аналитики'!AB2584*SUMIF(ThresholdAge04,"&lt;"&amp;'19_Расчет_аналитики'!AB2584,WeightedRevAge04)-SUMIF(ThresholdAge04,"&lt;"&amp;'19_Расчет_аналитики'!AB2584,WeightedMinAge04),MAX(CapacityAge04*'01_Вводные'!$B$218*'19_Расчет_аналитики'!AB2584,MeanMinAge04)))</f>
        <v/>
      </c>
      <c r="AC2519">
        <f>IF(OR(('19_Расчет_аналитики'!AC2435-'19_Расчет_аналитики'!AC2463)=0,4&lt;='01_Вводные'!$B$297),0,('19_Расчет_аналитики'!AC2435-'19_Расчет_аналитики'!AC2463)*IF('01_Вводные'!$B$239="Да",MeanMinAge04+'19_Расчет_аналитики'!AC2584*SUMIF(ThresholdAge04,"&lt;"&amp;'19_Расчет_аналитики'!AC2584,WeightedRevAge04)-SUMIF(ThresholdAge04,"&lt;"&amp;'19_Расчет_аналитики'!AC2584,WeightedMinAge04),MAX(CapacityAge04*'01_Вводные'!$B$218*'19_Расчет_аналитики'!AC2584,MeanMinAge04)))</f>
        <v/>
      </c>
      <c r="AD2519">
        <f>IF(OR(('19_Расчет_аналитики'!AD2435-'19_Расчет_аналитики'!AD2463)=0,4&lt;='01_Вводные'!$B$297),0,('19_Расчет_аналитики'!AD2435-'19_Расчет_аналитики'!AD2463)*IF('01_Вводные'!$B$239="Да",MeanMinAge04+'19_Расчет_аналитики'!AD2584*SUMIF(ThresholdAge04,"&lt;"&amp;'19_Расчет_аналитики'!AD2584,WeightedRevAge04)-SUMIF(ThresholdAge04,"&lt;"&amp;'19_Расчет_аналитики'!AD2584,WeightedMinAge04),MAX(CapacityAge04*'01_Вводные'!$B$218*'19_Расчет_аналитики'!AD2584,MeanMinAge04)))</f>
        <v/>
      </c>
      <c r="AE2519">
        <f>IF(OR(('19_Расчет_аналитики'!AE2435-'19_Расчет_аналитики'!AE2463)=0,4&lt;='01_Вводные'!$B$297),0,('19_Расчет_аналитики'!AE2435-'19_Расчет_аналитики'!AE2463)*IF('01_Вводные'!$B$239="Да",MeanMinAge04+'19_Расчет_аналитики'!AE2584*SUMIF(ThresholdAge04,"&lt;"&amp;'19_Расчет_аналитики'!AE2584,WeightedRevAge04)-SUMIF(ThresholdAge04,"&lt;"&amp;'19_Расчет_аналитики'!AE2584,WeightedMinAge04),MAX(CapacityAge04*'01_Вводные'!$B$218*'19_Расчет_аналитики'!AE2584,MeanMinAge04)))</f>
        <v/>
      </c>
      <c r="AF2519">
        <f>IF(OR(('19_Расчет_аналитики'!AF2435-'19_Расчет_аналитики'!AF2463)=0,4&lt;='01_Вводные'!$B$297),0,('19_Расчет_аналитики'!AF2435-'19_Расчет_аналитики'!AF2463)*IF('01_Вводные'!$B$239="Да",MeanMinAge04+'19_Расчет_аналитики'!AF2584*SUMIF(ThresholdAge04,"&lt;"&amp;'19_Расчет_аналитики'!AF2584,WeightedRevAge04)-SUMIF(ThresholdAge04,"&lt;"&amp;'19_Расчет_аналитики'!AF2584,WeightedMinAge04),MAX(CapacityAge04*'01_Вводные'!$B$218*'19_Расчет_аналитики'!AF2584,MeanMinAge04)))</f>
        <v/>
      </c>
      <c r="AG2519">
        <f>IF(OR(('19_Расчет_аналитики'!AG2435-'19_Расчет_аналитики'!AG2463)=0,4&lt;='01_Вводные'!$B$297),0,('19_Расчет_аналитики'!AG2435-'19_Расчет_аналитики'!AG2463)*IF('01_Вводные'!$B$239="Да",MeanMinAge04+'19_Расчет_аналитики'!AG2584*SUMIF(ThresholdAge04,"&lt;"&amp;'19_Расчет_аналитики'!AG2584,WeightedRevAge04)-SUMIF(ThresholdAge04,"&lt;"&amp;'19_Расчет_аналитики'!AG2584,WeightedMinAge04),MAX(CapacityAge04*'01_Вводные'!$B$218*'19_Расчет_аналитики'!AG2584,MeanMinAge04)))</f>
        <v/>
      </c>
      <c r="AH2519">
        <f>IF(OR(('19_Расчет_аналитики'!AH2435-'19_Расчет_аналитики'!AH2463)=0,4&lt;='01_Вводные'!$B$297),0,('19_Расчет_аналитики'!AH2435-'19_Расчет_аналитики'!AH2463)*IF('01_Вводные'!$B$239="Да",MeanMinAge04+'19_Расчет_аналитики'!AH2584*SUMIF(ThresholdAge04,"&lt;"&amp;'19_Расчет_аналитики'!AH2584,WeightedRevAge04)-SUMIF(ThresholdAge04,"&lt;"&amp;'19_Расчет_аналитики'!AH2584,WeightedMinAge04),MAX(CapacityAge04*'01_Вводные'!$B$218*'19_Расчет_аналитики'!AH2584,MeanMinAge04)))</f>
        <v/>
      </c>
      <c r="AI2519">
        <f>IF(OR(('19_Расчет_аналитики'!AI2435-'19_Расчет_аналитики'!AI2463)=0,4&lt;='01_Вводные'!$B$297),0,('19_Расчет_аналитики'!AI2435-'19_Расчет_аналитики'!AI2463)*IF('01_Вводные'!$B$239="Да",MeanMinAge04+'19_Расчет_аналитики'!AI2584*SUMIF(ThresholdAge04,"&lt;"&amp;'19_Расчет_аналитики'!AI2584,WeightedRevAge04)-SUMIF(ThresholdAge04,"&lt;"&amp;'19_Расчет_аналитики'!AI2584,WeightedMinAge04),MAX(CapacityAge04*'01_Вводные'!$B$218*'19_Расчет_аналитики'!AI2584,MeanMinAge04)))</f>
        <v/>
      </c>
      <c r="AJ2519">
        <f>IF(OR(('19_Расчет_аналитики'!AJ2435-'19_Расчет_аналитики'!AJ2463)=0,4&lt;='01_Вводные'!$B$297),0,('19_Расчет_аналитики'!AJ2435-'19_Расчет_аналитики'!AJ2463)*IF('01_Вводные'!$B$239="Да",MeanMinAge04+'19_Расчет_аналитики'!AJ2584*SUMIF(ThresholdAge04,"&lt;"&amp;'19_Расчет_аналитики'!AJ2584,WeightedRevAge04)-SUMIF(ThresholdAge04,"&lt;"&amp;'19_Расчет_аналитики'!AJ2584,WeightedMinAge04),MAX(CapacityAge04*'01_Вводные'!$B$218*'19_Расчет_аналитики'!AJ2584,MeanMinAge04)))</f>
        <v/>
      </c>
      <c r="AK2519">
        <f>IF(OR(('19_Расчет_аналитики'!AK2435-'19_Расчет_аналитики'!AK2463)=0,4&lt;='01_Вводные'!$B$297),0,('19_Расчет_аналитики'!AK2435-'19_Расчет_аналитики'!AK2463)*IF('01_Вводные'!$B$239="Да",MeanMinAge04+'19_Расчет_аналитики'!AK2584*SUMIF(ThresholdAge04,"&lt;"&amp;'19_Расчет_аналитики'!AK2584,WeightedRevAge04)-SUMIF(ThresholdAge04,"&lt;"&amp;'19_Расчет_аналитики'!AK2584,WeightedMinAge04),MAX(CapacityAge04*'01_Вводные'!$B$218*'19_Расчет_аналитики'!AK2584,MeanMinAge04)))</f>
        <v/>
      </c>
      <c r="AL2519">
        <f>IF(OR(('19_Расчет_аналитики'!AL2435-'19_Расчет_аналитики'!AL2463)=0,4&lt;='01_Вводные'!$B$297),0,('19_Расчет_аналитики'!AL2435-'19_Расчет_аналитики'!AL2463)*IF('01_Вводные'!$B$239="Да",MeanMinAge04+'19_Расчет_аналитики'!AL2584*SUMIF(ThresholdAge04,"&lt;"&amp;'19_Расчет_аналитики'!AL2584,WeightedRevAge04)-SUMIF(ThresholdAge04,"&lt;"&amp;'19_Расчет_аналитики'!AL2584,WeightedMinAge04),MAX(CapacityAge04*'01_Вводные'!$B$218*'19_Расчет_аналитики'!AL2584,MeanMinAge04)))</f>
        <v/>
      </c>
      <c r="AM2519">
        <f>IF(OR(('19_Расчет_аналитики'!AM2435-'19_Расчет_аналитики'!AM2463)=0,4&lt;='01_Вводные'!$B$297),0,('19_Расчет_аналитики'!AM2435-'19_Расчет_аналитики'!AM2463)*IF('01_Вводные'!$B$239="Да",MeanMinAge04+'19_Расчет_аналитики'!AM2584*SUMIF(ThresholdAge04,"&lt;"&amp;'19_Расчет_аналитики'!AM2584,WeightedRevAge04)-SUMIF(ThresholdAge04,"&lt;"&amp;'19_Расчет_аналитики'!AM2584,WeightedMinAge04),MAX(CapacityAge04*'01_Вводные'!$B$218*'19_Расчет_аналитики'!AM2584,MeanMinAge04)))</f>
        <v/>
      </c>
      <c r="AN2519">
        <f>IF(OR(('19_Расчет_аналитики'!AN2435-'19_Расчет_аналитики'!AN2463)=0,4&lt;='01_Вводные'!$B$297),0,('19_Расчет_аналитики'!AN2435-'19_Расчет_аналитики'!AN2463)*IF('01_Вводные'!$B$239="Да",MeanMinAge04+'19_Расчет_аналитики'!AN2584*SUMIF(ThresholdAge04,"&lt;"&amp;'19_Расчет_аналитики'!AN2584,WeightedRevAge04)-SUMIF(ThresholdAge04,"&lt;"&amp;'19_Расчет_аналитики'!AN2584,WeightedMinAge04),MAX(CapacityAge04*'01_Вводные'!$B$218*'19_Расчет_аналитики'!AN2584,MeanMinAge04)))</f>
        <v/>
      </c>
      <c r="AO2519">
        <f>IF(OR(('19_Расчет_аналитики'!AO2435-'19_Расчет_аналитики'!AO2463)=0,4&lt;='01_Вводные'!$B$297),0,('19_Расчет_аналитики'!AO2435-'19_Расчет_аналитики'!AO2463)*IF('01_Вводные'!$B$239="Да",MeanMinAge04+'19_Расчет_аналитики'!AO2584*SUMIF(ThresholdAge04,"&lt;"&amp;'19_Расчет_аналитики'!AO2584,WeightedRevAge04)-SUMIF(ThresholdAge04,"&lt;"&amp;'19_Расчет_аналитики'!AO2584,WeightedMinAge04),MAX(CapacityAge04*'01_Вводные'!$B$218*'19_Расчет_аналитики'!AO2584,MeanMinAge04)))</f>
        <v/>
      </c>
      <c r="AP2519">
        <f>IF(OR(('19_Расчет_аналитики'!AP2435-'19_Расчет_аналитики'!AP2463)=0,4&lt;='01_Вводные'!$B$297),0,('19_Расчет_аналитики'!AP2435-'19_Расчет_аналитики'!AP2463)*IF('01_Вводные'!$B$239="Да",MeanMinAge04+'19_Расчет_аналитики'!AP2584*SUMIF(ThresholdAge04,"&lt;"&amp;'19_Расчет_аналитики'!AP2584,WeightedRevAge04)-SUMIF(ThresholdAge04,"&lt;"&amp;'19_Расчет_аналитики'!AP2584,WeightedMinAge04),MAX(CapacityAge04*'01_Вводные'!$B$218*'19_Расчет_аналитики'!AP2584,MeanMinAge04)))</f>
        <v/>
      </c>
      <c r="AQ2519">
        <f>IF(OR(('19_Расчет_аналитики'!AQ2435-'19_Расчет_аналитики'!AQ2463)=0,4&lt;='01_Вводные'!$B$297),0,('19_Расчет_аналитики'!AQ2435-'19_Расчет_аналитики'!AQ2463)*IF('01_Вводные'!$B$239="Да",MeanMinAge04+'19_Расчет_аналитики'!AQ2584*SUMIF(ThresholdAge04,"&lt;"&amp;'19_Расчет_аналитики'!AQ2584,WeightedRevAge04)-SUMIF(ThresholdAge04,"&lt;"&amp;'19_Расчет_аналитики'!AQ2584,WeightedMinAge04),MAX(CapacityAge04*'01_Вводные'!$B$218*'19_Расчет_аналитики'!AQ2584,MeanMinAge04)))</f>
        <v/>
      </c>
      <c r="AR2519">
        <f>IF(OR(('19_Расчет_аналитики'!AR2435-'19_Расчет_аналитики'!AR2463)=0,4&lt;='01_Вводные'!$B$297),0,('19_Расчет_аналитики'!AR2435-'19_Расчет_аналитики'!AR2463)*IF('01_Вводные'!$B$239="Да",MeanMinAge04+'19_Расчет_аналитики'!AR2584*SUMIF(ThresholdAge04,"&lt;"&amp;'19_Расчет_аналитики'!AR2584,WeightedRevAge04)-SUMIF(ThresholdAge04,"&lt;"&amp;'19_Расчет_аналитики'!AR2584,WeightedMinAge04),MAX(CapacityAge04*'01_Вводные'!$B$218*'19_Расчет_аналитики'!AR2584,MeanMinAge04)))</f>
        <v/>
      </c>
      <c r="AS2519">
        <f>IF(OR(('19_Расчет_аналитики'!AS2435-'19_Расчет_аналитики'!AS2463)=0,4&lt;='01_Вводные'!$B$297),0,('19_Расчет_аналитики'!AS2435-'19_Расчет_аналитики'!AS2463)*IF('01_Вводные'!$B$239="Да",MeanMinAge04+'19_Расчет_аналитики'!AS2584*SUMIF(ThresholdAge04,"&lt;"&amp;'19_Расчет_аналитики'!AS2584,WeightedRevAge04)-SUMIF(ThresholdAge04,"&lt;"&amp;'19_Расчет_аналитики'!AS2584,WeightedMinAge04),MAX(CapacityAge04*'01_Вводные'!$B$218*'19_Расчет_аналитики'!AS2584,MeanMinAge04)))</f>
        <v/>
      </c>
      <c r="AT2519">
        <f>IF(OR(('19_Расчет_аналитики'!AT2435-'19_Расчет_аналитики'!AT2463)=0,4&lt;='01_Вводные'!$B$297),0,('19_Расчет_аналитики'!AT2435-'19_Расчет_аналитики'!AT2463)*IF('01_Вводные'!$B$239="Да",MeanMinAge04+'19_Расчет_аналитики'!AT2584*SUMIF(ThresholdAge04,"&lt;"&amp;'19_Расчет_аналитики'!AT2584,WeightedRevAge04)-SUMIF(ThresholdAge04,"&lt;"&amp;'19_Расчет_аналитики'!AT2584,WeightedMinAge04),MAX(CapacityAge04*'01_Вводные'!$B$218*'19_Расчет_аналитики'!AT2584,MeanMinAge04)))</f>
        <v/>
      </c>
      <c r="AU2519">
        <f>IF(OR(('19_Расчет_аналитики'!AU2435-'19_Расчет_аналитики'!AU2463)=0,4&lt;='01_Вводные'!$B$297),0,('19_Расчет_аналитики'!AU2435-'19_Расчет_аналитики'!AU2463)*IF('01_Вводные'!$B$239="Да",MeanMinAge04+'19_Расчет_аналитики'!AU2584*SUMIF(ThresholdAge04,"&lt;"&amp;'19_Расчет_аналитики'!AU2584,WeightedRevAge04)-SUMIF(ThresholdAge04,"&lt;"&amp;'19_Расчет_аналитики'!AU2584,WeightedMinAge04),MAX(CapacityAge04*'01_Вводные'!$B$218*'19_Расчет_аналитики'!AU2584,MeanMinAge04)))</f>
        <v/>
      </c>
      <c r="AV2519">
        <f>IF(OR(('19_Расчет_аналитики'!AV2435-'19_Расчет_аналитики'!AV2463)=0,4&lt;='01_Вводные'!$B$297),0,('19_Расчет_аналитики'!AV2435-'19_Расчет_аналитики'!AV2463)*IF('01_Вводные'!$B$239="Да",MeanMinAge04+'19_Расчет_аналитики'!AV2584*SUMIF(ThresholdAge04,"&lt;"&amp;'19_Расчет_аналитики'!AV2584,WeightedRevAge04)-SUMIF(ThresholdAge04,"&lt;"&amp;'19_Расчет_аналитики'!AV2584,WeightedMinAge04),MAX(CapacityAge04*'01_Вводные'!$B$218*'19_Расчет_аналитики'!AV2584,MeanMinAge04)))</f>
        <v/>
      </c>
      <c r="AW2519">
        <f>IF(OR(('19_Расчет_аналитики'!AW2435-'19_Расчет_аналитики'!AW2463)=0,4&lt;='01_Вводные'!$B$297),0,('19_Расчет_аналитики'!AW2435-'19_Расчет_аналитики'!AW2463)*IF('01_Вводные'!$B$239="Да",MeanMinAge04+'19_Расчет_аналитики'!AW2584*SUMIF(ThresholdAge04,"&lt;"&amp;'19_Расчет_аналитики'!AW2584,WeightedRevAge04)-SUMIF(ThresholdAge04,"&lt;"&amp;'19_Расчет_аналитики'!AW2584,WeightedMinAge04),MAX(CapacityAge04*'01_Вводные'!$B$218*'19_Расчет_аналитики'!AW2584,MeanMinAge04)))</f>
        <v/>
      </c>
      <c r="AX2519">
        <f>IF(OR(('19_Расчет_аналитики'!AX2435-'19_Расчет_аналитики'!AX2463)=0,4&lt;='01_Вводные'!$B$297),0,('19_Расчет_аналитики'!AX2435-'19_Расчет_аналитики'!AX2463)*IF('01_Вводные'!$B$239="Да",MeanMinAge04+'19_Расчет_аналитики'!AX2584*SUMIF(ThresholdAge04,"&lt;"&amp;'19_Расчет_аналитики'!AX2584,WeightedRevAge04)-SUMIF(ThresholdAge04,"&lt;"&amp;'19_Расчет_аналитики'!AX2584,WeightedMinAge04),MAX(CapacityAge04*'01_Вводные'!$B$218*'19_Расчет_аналитики'!AX2584,MeanMinAge04)))</f>
        <v/>
      </c>
      <c r="AY2519">
        <f>IF(OR(('19_Расчет_аналитики'!AY2435-'19_Расчет_аналитики'!AY2463)=0,4&lt;='01_Вводные'!$B$297),0,('19_Расчет_аналитики'!AY2435-'19_Расчет_аналитики'!AY2463)*IF('01_Вводные'!$B$239="Да",MeanMinAge04+'19_Расчет_аналитики'!AY2584*SUMIF(ThresholdAge04,"&lt;"&amp;'19_Расчет_аналитики'!AY2584,WeightedRevAge04)-SUMIF(ThresholdAge04,"&lt;"&amp;'19_Расчет_аналитики'!AY2584,WeightedMinAge04),MAX(CapacityAge04*'01_Вводные'!$B$218*'19_Расчет_аналитики'!AY2584,MeanMinAge04)))</f>
        <v/>
      </c>
      <c r="AZ2519">
        <f>IF(OR(('19_Расчет_аналитики'!AZ2435-'19_Расчет_аналитики'!AZ2463)=0,4&lt;='01_Вводные'!$B$297),0,('19_Расчет_аналитики'!AZ2435-'19_Расчет_аналитики'!AZ2463)*IF('01_Вводные'!$B$239="Да",MeanMinAge04+'19_Расчет_аналитики'!AZ2584*SUMIF(ThresholdAge04,"&lt;"&amp;'19_Расчет_аналитики'!AZ2584,WeightedRevAge04)-SUMIF(ThresholdAge04,"&lt;"&amp;'19_Расчет_аналитики'!AZ2584,WeightedMinAge04),MAX(CapacityAge04*'01_Вводные'!$B$218*'19_Расчет_аналитики'!AZ2584,MeanMinAge04)))</f>
        <v/>
      </c>
      <c r="BA2519">
        <f>IF(OR(('19_Расчет_аналитики'!BA2435-'19_Расчет_аналитики'!BA2463)=0,4&lt;='01_Вводные'!$B$297),0,('19_Расчет_аналитики'!BA2435-'19_Расчет_аналитики'!BA2463)*IF('01_Вводные'!$B$239="Да",MeanMinAge04+'19_Расчет_аналитики'!BA2584*SUMIF(ThresholdAge04,"&lt;"&amp;'19_Расчет_аналитики'!BA2584,WeightedRevAge04)-SUMIF(ThresholdAge04,"&lt;"&amp;'19_Расчет_аналитики'!BA2584,WeightedMinAge04),MAX(CapacityAge04*'01_Вводные'!$B$218*'19_Расчет_аналитики'!BA2584,MeanMinAge04)))</f>
        <v/>
      </c>
      <c r="BB2519">
        <f>IF(OR(('19_Расчет_аналитики'!BB2435-'19_Расчет_аналитики'!BB2463)=0,4&lt;='01_Вводные'!$B$297),0,('19_Расчет_аналитики'!BB2435-'19_Расчет_аналитики'!BB2463)*IF('01_Вводные'!$B$239="Да",MeanMinAge04+'19_Расчет_аналитики'!BB2584*SUMIF(ThresholdAge04,"&lt;"&amp;'19_Расчет_аналитики'!BB2584,WeightedRevAge04)-SUMIF(ThresholdAge04,"&lt;"&amp;'19_Расчет_аналитики'!BB2584,WeightedMinAge04),MAX(CapacityAge04*'01_Вводные'!$B$218*'19_Расчет_аналитики'!BB2584,MeanMinAge04)))</f>
        <v/>
      </c>
      <c r="BC2519">
        <f>IF(OR(('19_Расчет_аналитики'!BC2435-'19_Расчет_аналитики'!BC2463)=0,4&lt;='01_Вводные'!$B$297),0,('19_Расчет_аналитики'!BC2435-'19_Расчет_аналитики'!BC2463)*IF('01_Вводные'!$B$239="Да",MeanMinAge04+'19_Расчет_аналитики'!BC2584*SUMIF(ThresholdAge04,"&lt;"&amp;'19_Расчет_аналитики'!BC2584,WeightedRevAge04)-SUMIF(ThresholdAge04,"&lt;"&amp;'19_Расчет_аналитики'!BC2584,WeightedMinAge04),MAX(CapacityAge04*'01_Вводные'!$B$218*'19_Расчет_аналитики'!BC2584,MeanMinAge04)))</f>
        <v/>
      </c>
      <c r="BD2519">
        <f>IF(OR(('19_Расчет_аналитики'!BD2435-'19_Расчет_аналитики'!BD2463)=0,4&lt;='01_Вводные'!$B$297),0,('19_Расчет_аналитики'!BD2435-'19_Расчет_аналитики'!BD2463)*IF('01_Вводные'!$B$239="Да",MeanMinAge04+'19_Расчет_аналитики'!BD2584*SUMIF(ThresholdAge04,"&lt;"&amp;'19_Расчет_аналитики'!BD2584,WeightedRevAge04)-SUMIF(ThresholdAge04,"&lt;"&amp;'19_Расчет_аналитики'!BD2584,WeightedMinAge04),MAX(CapacityAge04*'01_Вводные'!$B$218*'19_Расчет_аналитики'!BD2584,MeanMinAge04)))</f>
        <v/>
      </c>
      <c r="BE2519">
        <f>IF(OR(('19_Расчет_аналитики'!BE2435-'19_Расчет_аналитики'!BE2463)=0,4&lt;='01_Вводные'!$B$297),0,('19_Расчет_аналитики'!BE2435-'19_Расчет_аналитики'!BE2463)*IF('01_Вводные'!$B$239="Да",MeanMinAge04+'19_Расчет_аналитики'!BE2584*SUMIF(ThresholdAge04,"&lt;"&amp;'19_Расчет_аналитики'!BE2584,WeightedRevAge04)-SUMIF(ThresholdAge04,"&lt;"&amp;'19_Расчет_аналитики'!BE2584,WeightedMinAge04),MAX(CapacityAge04*'01_Вводные'!$B$218*'19_Расчет_аналитики'!BE2584,MeanMinAge04)))</f>
        <v/>
      </c>
      <c r="BF2519">
        <f>IF(OR(('19_Расчет_аналитики'!BF2435-'19_Расчет_аналитики'!BF2463)=0,4&lt;='01_Вводные'!$B$297),0,('19_Расчет_аналитики'!BF2435-'19_Расчет_аналитики'!BF2463)*IF('01_Вводные'!$B$239="Да",MeanMinAge04+'19_Расчет_аналитики'!BF2584*SUMIF(ThresholdAge04,"&lt;"&amp;'19_Расчет_аналитики'!BF2584,WeightedRevAge04)-SUMIF(ThresholdAge04,"&lt;"&amp;'19_Расчет_аналитики'!BF2584,WeightedMinAge04),MAX(CapacityAge04*'01_Вводные'!$B$218*'19_Расчет_аналитики'!BF2584,MeanMinAge04)))</f>
        <v/>
      </c>
      <c r="BG2519">
        <f>IF(OR(('19_Расчет_аналитики'!BG2435-'19_Расчет_аналитики'!BG2463)=0,4&lt;='01_Вводные'!$B$297),0,('19_Расчет_аналитики'!BG2435-'19_Расчет_аналитики'!BG2463)*IF('01_Вводные'!$B$239="Да",MeanMinAge04+'19_Расчет_аналитики'!BG2584*SUMIF(ThresholdAge04,"&lt;"&amp;'19_Расчет_аналитики'!BG2584,WeightedRevAge04)-SUMIF(ThresholdAge04,"&lt;"&amp;'19_Расчет_аналитики'!BG2584,WeightedMinAge04),MAX(CapacityAge04*'01_Вводные'!$B$218*'19_Расчет_аналитики'!BG2584,MeanMinAge04)))</f>
        <v/>
      </c>
      <c r="BH2519">
        <f>IF(OR(('19_Расчет_аналитики'!BH2435-'19_Расчет_аналитики'!BH2463)=0,4&lt;='01_Вводные'!$B$297),0,('19_Расчет_аналитики'!BH2435-'19_Расчет_аналитики'!BH2463)*IF('01_Вводные'!$B$239="Да",MeanMinAge04+'19_Расчет_аналитики'!BH2584*SUMIF(ThresholdAge04,"&lt;"&amp;'19_Расчет_аналитики'!BH2584,WeightedRevAge04)-SUMIF(ThresholdAge04,"&lt;"&amp;'19_Расчет_аналитики'!BH2584,WeightedMinAge04),MAX(CapacityAge04*'01_Вводные'!$B$218*'19_Расчет_аналитики'!BH2584,MeanMinAge04)))</f>
        <v/>
      </c>
      <c r="BI2519">
        <f>IF(OR(('19_Расчет_аналитики'!BI2435-'19_Расчет_аналитики'!BI2463)=0,4&lt;='01_Вводные'!$B$297),0,('19_Расчет_аналитики'!BI2435-'19_Расчет_аналитики'!BI2463)*IF('01_Вводные'!$B$239="Да",MeanMinAge04+'19_Расчет_аналитики'!BI2584*SUMIF(ThresholdAge04,"&lt;"&amp;'19_Расчет_аналитики'!BI2584,WeightedRevAge04)-SUMIF(ThresholdAge04,"&lt;"&amp;'19_Расчет_аналитики'!BI2584,WeightedMinAge04),MAX(CapacityAge04*'01_Вводные'!$B$218*'19_Расчет_аналитики'!BI2584,MeanMinAge04)))</f>
        <v/>
      </c>
      <c r="BJ2519">
        <f>IF(OR(('19_Расчет_аналитики'!BJ2435-'19_Расчет_аналитики'!BJ2463)=0,4&lt;='01_Вводные'!$B$297),0,('19_Расчет_аналитики'!BJ2435-'19_Расчет_аналитики'!BJ2463)*IF('01_Вводные'!$B$239="Да",MeanMinAge04+'19_Расчет_аналитики'!BJ2584*SUMIF(ThresholdAge04,"&lt;"&amp;'19_Расчет_аналитики'!BJ2584,WeightedRevAge04)-SUMIF(ThresholdAge04,"&lt;"&amp;'19_Расчет_аналитики'!BJ2584,WeightedMinAge04),MAX(CapacityAge04*'01_Вводные'!$B$218*'19_Расчет_аналитики'!BJ2584,MeanMinAge04)))</f>
        <v/>
      </c>
      <c r="BK2519">
        <f>IF(OR(('19_Расчет_аналитики'!BK2435-'19_Расчет_аналитики'!BK2463)=0,4&lt;='01_Вводные'!$B$297),0,('19_Расчет_аналитики'!BK2435-'19_Расчет_аналитики'!BK2463)*IF('01_Вводные'!$B$239="Да",MeanMinAge04+'19_Расчет_аналитики'!BK2584*SUMIF(ThresholdAge04,"&lt;"&amp;'19_Расчет_аналитики'!BK2584,WeightedRevAge04)-SUMIF(ThresholdAge04,"&lt;"&amp;'19_Расчет_аналитики'!BK2584,WeightedMinAge04),MAX(CapacityAge04*'01_Вводные'!$B$218*'19_Расчет_аналитики'!BK2584,MeanMinAge04)))</f>
        <v/>
      </c>
      <c r="BL2519">
        <f>IF(OR(('19_Расчет_аналитики'!BL2435-'19_Расчет_аналитики'!BL2463)=0,4&lt;='01_Вводные'!$B$297),0,('19_Расчет_аналитики'!BL2435-'19_Расчет_аналитики'!BL2463)*IF('01_Вводные'!$B$239="Да",MeanMinAge04+'19_Расчет_аналитики'!BL2584*SUMIF(ThresholdAge04,"&lt;"&amp;'19_Расчет_аналитики'!BL2584,WeightedRevAge04)-SUMIF(ThresholdAge04,"&lt;"&amp;'19_Расчет_аналитики'!BL2584,WeightedMinAge04),MAX(CapacityAge04*'01_Вводные'!$B$218*'19_Расчет_аналитики'!BL2584,MeanMinAge04)))</f>
        <v/>
      </c>
      <c r="BM2519">
        <f>IF(OR(('19_Расчет_аналитики'!BM2435-'19_Расчет_аналитики'!BM2463)=0,4&lt;='01_Вводные'!$B$297),0,('19_Расчет_аналитики'!BM2435-'19_Расчет_аналитики'!BM2463)*IF('01_Вводные'!$B$239="Да",MeanMinAge04+'19_Расчет_аналитики'!BM2584*SUMIF(ThresholdAge04,"&lt;"&amp;'19_Расчет_аналитики'!BM2584,WeightedRevAge04)-SUMIF(ThresholdAge04,"&lt;"&amp;'19_Расчет_аналитики'!BM2584,WeightedMinAge04),MAX(CapacityAge04*'01_Вводные'!$B$218*'19_Расчет_аналитики'!BM2584,MeanMinAge04)))</f>
        <v/>
      </c>
      <c r="BN2519">
        <f>IF(OR(('19_Расчет_аналитики'!BN2435-'19_Расчет_аналитики'!BN2463)=0,4&lt;='01_Вводные'!$B$297),0,('19_Расчет_аналитики'!BN2435-'19_Расчет_аналитики'!BN2463)*IF('01_Вводные'!$B$239="Да",MeanMinAge04+'19_Расчет_аналитики'!BN2584*SUMIF(ThresholdAge04,"&lt;"&amp;'19_Расчет_аналитики'!BN2584,WeightedRevAge04)-SUMIF(ThresholdAge04,"&lt;"&amp;'19_Расчет_аналитики'!BN2584,WeightedMinAge04),MAX(CapacityAge04*'01_Вводные'!$B$218*'19_Расчет_аналитики'!BN2584,MeanMinAge04)))</f>
        <v/>
      </c>
      <c r="BO2519">
        <f>IF(OR(('19_Расчет_аналитики'!BO2435-'19_Расчет_аналитики'!BO2463)=0,4&lt;='01_Вводные'!$B$297),0,('19_Расчет_аналитики'!BO2435-'19_Расчет_аналитики'!BO2463)*IF('01_Вводные'!$B$239="Да",MeanMinAge04+'19_Расчет_аналитики'!BO2584*SUMIF(ThresholdAge04,"&lt;"&amp;'19_Расчет_аналитики'!BO2584,WeightedRevAge04)-SUMIF(ThresholdAge04,"&lt;"&amp;'19_Расчет_аналитики'!BO2584,WeightedMinAge04),MAX(CapacityAge04*'01_Вводные'!$B$218*'19_Расчет_аналитики'!BO2584,MeanMinAge04)))</f>
        <v/>
      </c>
    </row>
    <row r="2520">
      <c r="B2520">
        <f>IF(OR(('06_Сеть_и_дети'!B57-'06_Сеть_и_дети'!B85)=0,5&lt;='01_Вводные'!$B$297),0,('06_Сеть_и_дети'!B57-'06_Сеть_и_дети'!B85)*IF('01_Вводные'!$B$239="Да",MeanMinAge05+'19_Расчет_аналитики'!B2584*SUMIF(ThresholdAge05,"&lt;"&amp;'19_Расчет_аналитики'!B2584,WeightedRevAge05)-SUMIF(ThresholdAge05,"&lt;"&amp;'19_Расчет_аналитики'!B2584,WeightedMinAge05),MAX(CapacityAge05*'01_Вводные'!$B$218*'19_Расчет_аналитики'!B2584,MeanMinAge05)))</f>
        <v/>
      </c>
      <c r="C2520">
        <f>IF(OR(('06_Сеть_и_дети'!C57-'06_Сеть_и_дети'!C85)=0,5&lt;='01_Вводные'!$B$297),0,('06_Сеть_и_дети'!C57-'06_Сеть_и_дети'!C85)*IF('01_Вводные'!$B$239="Да",MeanMinAge05+'19_Расчет_аналитики'!C2584*SUMIF(ThresholdAge05,"&lt;"&amp;'19_Расчет_аналитики'!C2584,WeightedRevAge05)-SUMIF(ThresholdAge05,"&lt;"&amp;'19_Расчет_аналитики'!C2584,WeightedMinAge05),MAX(CapacityAge05*'01_Вводные'!$B$218*'19_Расчет_аналитики'!C2584,MeanMinAge05)))</f>
        <v/>
      </c>
      <c r="D2520">
        <f>IF(OR(('06_Сеть_и_дети'!D57-'06_Сеть_и_дети'!D85)=0,5&lt;='01_Вводные'!$B$297),0,('06_Сеть_и_дети'!D57-'06_Сеть_и_дети'!D85)*IF('01_Вводные'!$B$239="Да",MeanMinAge05+'19_Расчет_аналитики'!D2584*SUMIF(ThresholdAge05,"&lt;"&amp;'19_Расчет_аналитики'!D2584,WeightedRevAge05)-SUMIF(ThresholdAge05,"&lt;"&amp;'19_Расчет_аналитики'!D2584,WeightedMinAge05),MAX(CapacityAge05*'01_Вводные'!$B$218*'19_Расчет_аналитики'!D2584,MeanMinAge05)))</f>
        <v/>
      </c>
      <c r="E2520">
        <f>IF(OR(('06_Сеть_и_дети'!E57-'06_Сеть_и_дети'!E85)=0,5&lt;='01_Вводные'!$B$297),0,('06_Сеть_и_дети'!E57-'06_Сеть_и_дети'!E85)*IF('01_Вводные'!$B$239="Да",MeanMinAge05+'19_Расчет_аналитики'!E2584*SUMIF(ThresholdAge05,"&lt;"&amp;'19_Расчет_аналитики'!E2584,WeightedRevAge05)-SUMIF(ThresholdAge05,"&lt;"&amp;'19_Расчет_аналитики'!E2584,WeightedMinAge05),MAX(CapacityAge05*'01_Вводные'!$B$218*'19_Расчет_аналитики'!E2584,MeanMinAge05)))</f>
        <v/>
      </c>
      <c r="F2520">
        <f>IF(OR(('19_Расчет_аналитики'!F2436-'19_Расчет_аналитики'!F2464)=0,5&lt;='01_Вводные'!$B$297),0,('19_Расчет_аналитики'!F2436-'19_Расчет_аналитики'!F2464)*IF('01_Вводные'!$B$239="Да",MeanMinAge05+'19_Расчет_аналитики'!F2584*SUMIF(ThresholdAge05,"&lt;"&amp;'19_Расчет_аналитики'!F2584,WeightedRevAge05)-SUMIF(ThresholdAge05,"&lt;"&amp;'19_Расчет_аналитики'!F2584,WeightedMinAge05),MAX(CapacityAge05*'01_Вводные'!$B$218*'19_Расчет_аналитики'!F2584,MeanMinAge05)))</f>
        <v/>
      </c>
      <c r="G2520">
        <f>IF(OR(('19_Расчет_аналитики'!G2436-'19_Расчет_аналитики'!G2464)=0,5&lt;='01_Вводные'!$B$297),0,('19_Расчет_аналитики'!G2436-'19_Расчет_аналитики'!G2464)*IF('01_Вводные'!$B$239="Да",MeanMinAge05+'19_Расчет_аналитики'!G2584*SUMIF(ThresholdAge05,"&lt;"&amp;'19_Расчет_аналитики'!G2584,WeightedRevAge05)-SUMIF(ThresholdAge05,"&lt;"&amp;'19_Расчет_аналитики'!G2584,WeightedMinAge05),MAX(CapacityAge05*'01_Вводные'!$B$218*'19_Расчет_аналитики'!G2584,MeanMinAge05)))</f>
        <v/>
      </c>
      <c r="H2520">
        <f>IF(OR(('19_Расчет_аналитики'!H2436-'19_Расчет_аналитики'!H2464)=0,5&lt;='01_Вводные'!$B$297),0,('19_Расчет_аналитики'!H2436-'19_Расчет_аналитики'!H2464)*IF('01_Вводные'!$B$239="Да",MeanMinAge05+'19_Расчет_аналитики'!H2584*SUMIF(ThresholdAge05,"&lt;"&amp;'19_Расчет_аналитики'!H2584,WeightedRevAge05)-SUMIF(ThresholdAge05,"&lt;"&amp;'19_Расчет_аналитики'!H2584,WeightedMinAge05),MAX(CapacityAge05*'01_Вводные'!$B$218*'19_Расчет_аналитики'!H2584,MeanMinAge05)))</f>
        <v/>
      </c>
      <c r="I2520">
        <f>IF(OR(('19_Расчет_аналитики'!I2436-'19_Расчет_аналитики'!I2464)=0,5&lt;='01_Вводные'!$B$297),0,('19_Расчет_аналитики'!I2436-'19_Расчет_аналитики'!I2464)*IF('01_Вводные'!$B$239="Да",MeanMinAge05+'19_Расчет_аналитики'!I2584*SUMIF(ThresholdAge05,"&lt;"&amp;'19_Расчет_аналитики'!I2584,WeightedRevAge05)-SUMIF(ThresholdAge05,"&lt;"&amp;'19_Расчет_аналитики'!I2584,WeightedMinAge05),MAX(CapacityAge05*'01_Вводные'!$B$218*'19_Расчет_аналитики'!I2584,MeanMinAge05)))</f>
        <v/>
      </c>
      <c r="J2520">
        <f>IF(OR(('19_Расчет_аналитики'!J2436-'19_Расчет_аналитики'!J2464)=0,5&lt;='01_Вводные'!$B$297),0,('19_Расчет_аналитики'!J2436-'19_Расчет_аналитики'!J2464)*IF('01_Вводные'!$B$239="Да",MeanMinAge05+'19_Расчет_аналитики'!J2584*SUMIF(ThresholdAge05,"&lt;"&amp;'19_Расчет_аналитики'!J2584,WeightedRevAge05)-SUMIF(ThresholdAge05,"&lt;"&amp;'19_Расчет_аналитики'!J2584,WeightedMinAge05),MAX(CapacityAge05*'01_Вводные'!$B$218*'19_Расчет_аналитики'!J2584,MeanMinAge05)))</f>
        <v/>
      </c>
      <c r="K2520">
        <f>IF(OR(('19_Расчет_аналитики'!K2436-'19_Расчет_аналитики'!K2464)=0,5&lt;='01_Вводные'!$B$297),0,('19_Расчет_аналитики'!K2436-'19_Расчет_аналитики'!K2464)*IF('01_Вводные'!$B$239="Да",MeanMinAge05+'19_Расчет_аналитики'!K2584*SUMIF(ThresholdAge05,"&lt;"&amp;'19_Расчет_аналитики'!K2584,WeightedRevAge05)-SUMIF(ThresholdAge05,"&lt;"&amp;'19_Расчет_аналитики'!K2584,WeightedMinAge05),MAX(CapacityAge05*'01_Вводные'!$B$218*'19_Расчет_аналитики'!K2584,MeanMinAge05)))</f>
        <v/>
      </c>
      <c r="L2520">
        <f>IF(OR(('19_Расчет_аналитики'!L2436-'19_Расчет_аналитики'!L2464)=0,5&lt;='01_Вводные'!$B$297),0,('19_Расчет_аналитики'!L2436-'19_Расчет_аналитики'!L2464)*IF('01_Вводные'!$B$239="Да",MeanMinAge05+'19_Расчет_аналитики'!L2584*SUMIF(ThresholdAge05,"&lt;"&amp;'19_Расчет_аналитики'!L2584,WeightedRevAge05)-SUMIF(ThresholdAge05,"&lt;"&amp;'19_Расчет_аналитики'!L2584,WeightedMinAge05),MAX(CapacityAge05*'01_Вводные'!$B$218*'19_Расчет_аналитики'!L2584,MeanMinAge05)))</f>
        <v/>
      </c>
      <c r="M2520">
        <f>IF(OR(('19_Расчет_аналитики'!M2436-'19_Расчет_аналитики'!M2464)=0,5&lt;='01_Вводные'!$B$297),0,('19_Расчет_аналитики'!M2436-'19_Расчет_аналитики'!M2464)*IF('01_Вводные'!$B$239="Да",MeanMinAge05+'19_Расчет_аналитики'!M2584*SUMIF(ThresholdAge05,"&lt;"&amp;'19_Расчет_аналитики'!M2584,WeightedRevAge05)-SUMIF(ThresholdAge05,"&lt;"&amp;'19_Расчет_аналитики'!M2584,WeightedMinAge05),MAX(CapacityAge05*'01_Вводные'!$B$218*'19_Расчет_аналитики'!M2584,MeanMinAge05)))</f>
        <v/>
      </c>
      <c r="N2520">
        <f>IF(OR(('19_Расчет_аналитики'!N2436-'19_Расчет_аналитики'!N2464)=0,5&lt;='01_Вводные'!$B$297),0,('19_Расчет_аналитики'!N2436-'19_Расчет_аналитики'!N2464)*IF('01_Вводные'!$B$239="Да",MeanMinAge05+'19_Расчет_аналитики'!N2584*SUMIF(ThresholdAge05,"&lt;"&amp;'19_Расчет_аналитики'!N2584,WeightedRevAge05)-SUMIF(ThresholdAge05,"&lt;"&amp;'19_Расчет_аналитики'!N2584,WeightedMinAge05),MAX(CapacityAge05*'01_Вводные'!$B$218*'19_Расчет_аналитики'!N2584,MeanMinAge05)))</f>
        <v/>
      </c>
      <c r="O2520">
        <f>IF(OR(('19_Расчет_аналитики'!O2436-'19_Расчет_аналитики'!O2464)=0,5&lt;='01_Вводные'!$B$297),0,('19_Расчет_аналитики'!O2436-'19_Расчет_аналитики'!O2464)*IF('01_Вводные'!$B$239="Да",MeanMinAge05+'19_Расчет_аналитики'!O2584*SUMIF(ThresholdAge05,"&lt;"&amp;'19_Расчет_аналитики'!O2584,WeightedRevAge05)-SUMIF(ThresholdAge05,"&lt;"&amp;'19_Расчет_аналитики'!O2584,WeightedMinAge05),MAX(CapacityAge05*'01_Вводные'!$B$218*'19_Расчет_аналитики'!O2584,MeanMinAge05)))</f>
        <v/>
      </c>
      <c r="P2520">
        <f>IF(OR(('19_Расчет_аналитики'!P2436-'19_Расчет_аналитики'!P2464)=0,5&lt;='01_Вводные'!$B$297),0,('19_Расчет_аналитики'!P2436-'19_Расчет_аналитики'!P2464)*IF('01_Вводные'!$B$239="Да",MeanMinAge05+'19_Расчет_аналитики'!P2584*SUMIF(ThresholdAge05,"&lt;"&amp;'19_Расчет_аналитики'!P2584,WeightedRevAge05)-SUMIF(ThresholdAge05,"&lt;"&amp;'19_Расчет_аналитики'!P2584,WeightedMinAge05),MAX(CapacityAge05*'01_Вводные'!$B$218*'19_Расчет_аналитики'!P2584,MeanMinAge05)))</f>
        <v/>
      </c>
      <c r="Q2520">
        <f>IF(OR(('19_Расчет_аналитики'!Q2436-'19_Расчет_аналитики'!Q2464)=0,5&lt;='01_Вводные'!$B$297),0,('19_Расчет_аналитики'!Q2436-'19_Расчет_аналитики'!Q2464)*IF('01_Вводные'!$B$239="Да",MeanMinAge05+'19_Расчет_аналитики'!Q2584*SUMIF(ThresholdAge05,"&lt;"&amp;'19_Расчет_аналитики'!Q2584,WeightedRevAge05)-SUMIF(ThresholdAge05,"&lt;"&amp;'19_Расчет_аналитики'!Q2584,WeightedMinAge05),MAX(CapacityAge05*'01_Вводные'!$B$218*'19_Расчет_аналитики'!Q2584,MeanMinAge05)))</f>
        <v/>
      </c>
      <c r="R2520">
        <f>IF(OR(('19_Расчет_аналитики'!R2436-'19_Расчет_аналитики'!R2464)=0,5&lt;='01_Вводные'!$B$297),0,('19_Расчет_аналитики'!R2436-'19_Расчет_аналитики'!R2464)*IF('01_Вводные'!$B$239="Да",MeanMinAge05+'19_Расчет_аналитики'!R2584*SUMIF(ThresholdAge05,"&lt;"&amp;'19_Расчет_аналитики'!R2584,WeightedRevAge05)-SUMIF(ThresholdAge05,"&lt;"&amp;'19_Расчет_аналитики'!R2584,WeightedMinAge05),MAX(CapacityAge05*'01_Вводные'!$B$218*'19_Расчет_аналитики'!R2584,MeanMinAge05)))</f>
        <v/>
      </c>
      <c r="S2520">
        <f>IF(OR(('19_Расчет_аналитики'!S2436-'19_Расчет_аналитики'!S2464)=0,5&lt;='01_Вводные'!$B$297),0,('19_Расчет_аналитики'!S2436-'19_Расчет_аналитики'!S2464)*IF('01_Вводные'!$B$239="Да",MeanMinAge05+'19_Расчет_аналитики'!S2584*SUMIF(ThresholdAge05,"&lt;"&amp;'19_Расчет_аналитики'!S2584,WeightedRevAge05)-SUMIF(ThresholdAge05,"&lt;"&amp;'19_Расчет_аналитики'!S2584,WeightedMinAge05),MAX(CapacityAge05*'01_Вводные'!$B$218*'19_Расчет_аналитики'!S2584,MeanMinAge05)))</f>
        <v/>
      </c>
      <c r="T2520">
        <f>IF(OR(('19_Расчет_аналитики'!T2436-'19_Расчет_аналитики'!T2464)=0,5&lt;='01_Вводные'!$B$297),0,('19_Расчет_аналитики'!T2436-'19_Расчет_аналитики'!T2464)*IF('01_Вводные'!$B$239="Да",MeanMinAge05+'19_Расчет_аналитики'!T2584*SUMIF(ThresholdAge05,"&lt;"&amp;'19_Расчет_аналитики'!T2584,WeightedRevAge05)-SUMIF(ThresholdAge05,"&lt;"&amp;'19_Расчет_аналитики'!T2584,WeightedMinAge05),MAX(CapacityAge05*'01_Вводные'!$B$218*'19_Расчет_аналитики'!T2584,MeanMinAge05)))</f>
        <v/>
      </c>
      <c r="U2520">
        <f>IF(OR(('19_Расчет_аналитики'!U2436-'19_Расчет_аналитики'!U2464)=0,5&lt;='01_Вводные'!$B$297),0,('19_Расчет_аналитики'!U2436-'19_Расчет_аналитики'!U2464)*IF('01_Вводные'!$B$239="Да",MeanMinAge05+'19_Расчет_аналитики'!U2584*SUMIF(ThresholdAge05,"&lt;"&amp;'19_Расчет_аналитики'!U2584,WeightedRevAge05)-SUMIF(ThresholdAge05,"&lt;"&amp;'19_Расчет_аналитики'!U2584,WeightedMinAge05),MAX(CapacityAge05*'01_Вводные'!$B$218*'19_Расчет_аналитики'!U2584,MeanMinAge05)))</f>
        <v/>
      </c>
      <c r="V2520">
        <f>IF(OR(('19_Расчет_аналитики'!V2436-'19_Расчет_аналитики'!V2464)=0,5&lt;='01_Вводные'!$B$297),0,('19_Расчет_аналитики'!V2436-'19_Расчет_аналитики'!V2464)*IF('01_Вводные'!$B$239="Да",MeanMinAge05+'19_Расчет_аналитики'!V2584*SUMIF(ThresholdAge05,"&lt;"&amp;'19_Расчет_аналитики'!V2584,WeightedRevAge05)-SUMIF(ThresholdAge05,"&lt;"&amp;'19_Расчет_аналитики'!V2584,WeightedMinAge05),MAX(CapacityAge05*'01_Вводные'!$B$218*'19_Расчет_аналитики'!V2584,MeanMinAge05)))</f>
        <v/>
      </c>
      <c r="W2520">
        <f>IF(OR(('19_Расчет_аналитики'!W2436-'19_Расчет_аналитики'!W2464)=0,5&lt;='01_Вводные'!$B$297),0,('19_Расчет_аналитики'!W2436-'19_Расчет_аналитики'!W2464)*IF('01_Вводные'!$B$239="Да",MeanMinAge05+'19_Расчет_аналитики'!W2584*SUMIF(ThresholdAge05,"&lt;"&amp;'19_Расчет_аналитики'!W2584,WeightedRevAge05)-SUMIF(ThresholdAge05,"&lt;"&amp;'19_Расчет_аналитики'!W2584,WeightedMinAge05),MAX(CapacityAge05*'01_Вводные'!$B$218*'19_Расчет_аналитики'!W2584,MeanMinAge05)))</f>
        <v/>
      </c>
      <c r="X2520">
        <f>IF(OR(('19_Расчет_аналитики'!X2436-'19_Расчет_аналитики'!X2464)=0,5&lt;='01_Вводные'!$B$297),0,('19_Расчет_аналитики'!X2436-'19_Расчет_аналитики'!X2464)*IF('01_Вводные'!$B$239="Да",MeanMinAge05+'19_Расчет_аналитики'!X2584*SUMIF(ThresholdAge05,"&lt;"&amp;'19_Расчет_аналитики'!X2584,WeightedRevAge05)-SUMIF(ThresholdAge05,"&lt;"&amp;'19_Расчет_аналитики'!X2584,WeightedMinAge05),MAX(CapacityAge05*'01_Вводные'!$B$218*'19_Расчет_аналитики'!X2584,MeanMinAge05)))</f>
        <v/>
      </c>
      <c r="Y2520">
        <f>IF(OR(('19_Расчет_аналитики'!Y2436-'19_Расчет_аналитики'!Y2464)=0,5&lt;='01_Вводные'!$B$297),0,('19_Расчет_аналитики'!Y2436-'19_Расчет_аналитики'!Y2464)*IF('01_Вводные'!$B$239="Да",MeanMinAge05+'19_Расчет_аналитики'!Y2584*SUMIF(ThresholdAge05,"&lt;"&amp;'19_Расчет_аналитики'!Y2584,WeightedRevAge05)-SUMIF(ThresholdAge05,"&lt;"&amp;'19_Расчет_аналитики'!Y2584,WeightedMinAge05),MAX(CapacityAge05*'01_Вводные'!$B$218*'19_Расчет_аналитики'!Y2584,MeanMinAge05)))</f>
        <v/>
      </c>
      <c r="Z2520">
        <f>IF(OR(('19_Расчет_аналитики'!Z2436-'19_Расчет_аналитики'!Z2464)=0,5&lt;='01_Вводные'!$B$297),0,('19_Расчет_аналитики'!Z2436-'19_Расчет_аналитики'!Z2464)*IF('01_Вводные'!$B$239="Да",MeanMinAge05+'19_Расчет_аналитики'!Z2584*SUMIF(ThresholdAge05,"&lt;"&amp;'19_Расчет_аналитики'!Z2584,WeightedRevAge05)-SUMIF(ThresholdAge05,"&lt;"&amp;'19_Расчет_аналитики'!Z2584,WeightedMinAge05),MAX(CapacityAge05*'01_Вводные'!$B$218*'19_Расчет_аналитики'!Z2584,MeanMinAge05)))</f>
        <v/>
      </c>
      <c r="AA2520">
        <f>IF(OR(('19_Расчет_аналитики'!AA2436-'19_Расчет_аналитики'!AA2464)=0,5&lt;='01_Вводные'!$B$297),0,('19_Расчет_аналитики'!AA2436-'19_Расчет_аналитики'!AA2464)*IF('01_Вводные'!$B$239="Да",MeanMinAge05+'19_Расчет_аналитики'!AA2584*SUMIF(ThresholdAge05,"&lt;"&amp;'19_Расчет_аналитики'!AA2584,WeightedRevAge05)-SUMIF(ThresholdAge05,"&lt;"&amp;'19_Расчет_аналитики'!AA2584,WeightedMinAge05),MAX(CapacityAge05*'01_Вводные'!$B$218*'19_Расчет_аналитики'!AA2584,MeanMinAge05)))</f>
        <v/>
      </c>
      <c r="AB2520">
        <f>IF(OR(('19_Расчет_аналитики'!AB2436-'19_Расчет_аналитики'!AB2464)=0,5&lt;='01_Вводные'!$B$297),0,('19_Расчет_аналитики'!AB2436-'19_Расчет_аналитики'!AB2464)*IF('01_Вводные'!$B$239="Да",MeanMinAge05+'19_Расчет_аналитики'!AB2584*SUMIF(ThresholdAge05,"&lt;"&amp;'19_Расчет_аналитики'!AB2584,WeightedRevAge05)-SUMIF(ThresholdAge05,"&lt;"&amp;'19_Расчет_аналитики'!AB2584,WeightedMinAge05),MAX(CapacityAge05*'01_Вводные'!$B$218*'19_Расчет_аналитики'!AB2584,MeanMinAge05)))</f>
        <v/>
      </c>
      <c r="AC2520">
        <f>IF(OR(('19_Расчет_аналитики'!AC2436-'19_Расчет_аналитики'!AC2464)=0,5&lt;='01_Вводные'!$B$297),0,('19_Расчет_аналитики'!AC2436-'19_Расчет_аналитики'!AC2464)*IF('01_Вводные'!$B$239="Да",MeanMinAge05+'19_Расчет_аналитики'!AC2584*SUMIF(ThresholdAge05,"&lt;"&amp;'19_Расчет_аналитики'!AC2584,WeightedRevAge05)-SUMIF(ThresholdAge05,"&lt;"&amp;'19_Расчет_аналитики'!AC2584,WeightedMinAge05),MAX(CapacityAge05*'01_Вводные'!$B$218*'19_Расчет_аналитики'!AC2584,MeanMinAge05)))</f>
        <v/>
      </c>
      <c r="AD2520">
        <f>IF(OR(('19_Расчет_аналитики'!AD2436-'19_Расчет_аналитики'!AD2464)=0,5&lt;='01_Вводные'!$B$297),0,('19_Расчет_аналитики'!AD2436-'19_Расчет_аналитики'!AD2464)*IF('01_Вводные'!$B$239="Да",MeanMinAge05+'19_Расчет_аналитики'!AD2584*SUMIF(ThresholdAge05,"&lt;"&amp;'19_Расчет_аналитики'!AD2584,WeightedRevAge05)-SUMIF(ThresholdAge05,"&lt;"&amp;'19_Расчет_аналитики'!AD2584,WeightedMinAge05),MAX(CapacityAge05*'01_Вводные'!$B$218*'19_Расчет_аналитики'!AD2584,MeanMinAge05)))</f>
        <v/>
      </c>
      <c r="AE2520">
        <f>IF(OR(('19_Расчет_аналитики'!AE2436-'19_Расчет_аналитики'!AE2464)=0,5&lt;='01_Вводные'!$B$297),0,('19_Расчет_аналитики'!AE2436-'19_Расчет_аналитики'!AE2464)*IF('01_Вводные'!$B$239="Да",MeanMinAge05+'19_Расчет_аналитики'!AE2584*SUMIF(ThresholdAge05,"&lt;"&amp;'19_Расчет_аналитики'!AE2584,WeightedRevAge05)-SUMIF(ThresholdAge05,"&lt;"&amp;'19_Расчет_аналитики'!AE2584,WeightedMinAge05),MAX(CapacityAge05*'01_Вводные'!$B$218*'19_Расчет_аналитики'!AE2584,MeanMinAge05)))</f>
        <v/>
      </c>
      <c r="AF2520">
        <f>IF(OR(('19_Расчет_аналитики'!AF2436-'19_Расчет_аналитики'!AF2464)=0,5&lt;='01_Вводные'!$B$297),0,('19_Расчет_аналитики'!AF2436-'19_Расчет_аналитики'!AF2464)*IF('01_Вводные'!$B$239="Да",MeanMinAge05+'19_Расчет_аналитики'!AF2584*SUMIF(ThresholdAge05,"&lt;"&amp;'19_Расчет_аналитики'!AF2584,WeightedRevAge05)-SUMIF(ThresholdAge05,"&lt;"&amp;'19_Расчет_аналитики'!AF2584,WeightedMinAge05),MAX(CapacityAge05*'01_Вводные'!$B$218*'19_Расчет_аналитики'!AF2584,MeanMinAge05)))</f>
        <v/>
      </c>
      <c r="AG2520">
        <f>IF(OR(('19_Расчет_аналитики'!AG2436-'19_Расчет_аналитики'!AG2464)=0,5&lt;='01_Вводные'!$B$297),0,('19_Расчет_аналитики'!AG2436-'19_Расчет_аналитики'!AG2464)*IF('01_Вводные'!$B$239="Да",MeanMinAge05+'19_Расчет_аналитики'!AG2584*SUMIF(ThresholdAge05,"&lt;"&amp;'19_Расчет_аналитики'!AG2584,WeightedRevAge05)-SUMIF(ThresholdAge05,"&lt;"&amp;'19_Расчет_аналитики'!AG2584,WeightedMinAge05),MAX(CapacityAge05*'01_Вводные'!$B$218*'19_Расчет_аналитики'!AG2584,MeanMinAge05)))</f>
        <v/>
      </c>
      <c r="AH2520">
        <f>IF(OR(('19_Расчет_аналитики'!AH2436-'19_Расчет_аналитики'!AH2464)=0,5&lt;='01_Вводные'!$B$297),0,('19_Расчет_аналитики'!AH2436-'19_Расчет_аналитики'!AH2464)*IF('01_Вводные'!$B$239="Да",MeanMinAge05+'19_Расчет_аналитики'!AH2584*SUMIF(ThresholdAge05,"&lt;"&amp;'19_Расчет_аналитики'!AH2584,WeightedRevAge05)-SUMIF(ThresholdAge05,"&lt;"&amp;'19_Расчет_аналитики'!AH2584,WeightedMinAge05),MAX(CapacityAge05*'01_Вводные'!$B$218*'19_Расчет_аналитики'!AH2584,MeanMinAge05)))</f>
        <v/>
      </c>
      <c r="AI2520">
        <f>IF(OR(('19_Расчет_аналитики'!AI2436-'19_Расчет_аналитики'!AI2464)=0,5&lt;='01_Вводные'!$B$297),0,('19_Расчет_аналитики'!AI2436-'19_Расчет_аналитики'!AI2464)*IF('01_Вводные'!$B$239="Да",MeanMinAge05+'19_Расчет_аналитики'!AI2584*SUMIF(ThresholdAge05,"&lt;"&amp;'19_Расчет_аналитики'!AI2584,WeightedRevAge05)-SUMIF(ThresholdAge05,"&lt;"&amp;'19_Расчет_аналитики'!AI2584,WeightedMinAge05),MAX(CapacityAge05*'01_Вводные'!$B$218*'19_Расчет_аналитики'!AI2584,MeanMinAge05)))</f>
        <v/>
      </c>
      <c r="AJ2520">
        <f>IF(OR(('19_Расчет_аналитики'!AJ2436-'19_Расчет_аналитики'!AJ2464)=0,5&lt;='01_Вводные'!$B$297),0,('19_Расчет_аналитики'!AJ2436-'19_Расчет_аналитики'!AJ2464)*IF('01_Вводные'!$B$239="Да",MeanMinAge05+'19_Расчет_аналитики'!AJ2584*SUMIF(ThresholdAge05,"&lt;"&amp;'19_Расчет_аналитики'!AJ2584,WeightedRevAge05)-SUMIF(ThresholdAge05,"&lt;"&amp;'19_Расчет_аналитики'!AJ2584,WeightedMinAge05),MAX(CapacityAge05*'01_Вводные'!$B$218*'19_Расчет_аналитики'!AJ2584,MeanMinAge05)))</f>
        <v/>
      </c>
      <c r="AK2520">
        <f>IF(OR(('19_Расчет_аналитики'!AK2436-'19_Расчет_аналитики'!AK2464)=0,5&lt;='01_Вводные'!$B$297),0,('19_Расчет_аналитики'!AK2436-'19_Расчет_аналитики'!AK2464)*IF('01_Вводные'!$B$239="Да",MeanMinAge05+'19_Расчет_аналитики'!AK2584*SUMIF(ThresholdAge05,"&lt;"&amp;'19_Расчет_аналитики'!AK2584,WeightedRevAge05)-SUMIF(ThresholdAge05,"&lt;"&amp;'19_Расчет_аналитики'!AK2584,WeightedMinAge05),MAX(CapacityAge05*'01_Вводные'!$B$218*'19_Расчет_аналитики'!AK2584,MeanMinAge05)))</f>
        <v/>
      </c>
      <c r="AL2520">
        <f>IF(OR(('19_Расчет_аналитики'!AL2436-'19_Расчет_аналитики'!AL2464)=0,5&lt;='01_Вводные'!$B$297),0,('19_Расчет_аналитики'!AL2436-'19_Расчет_аналитики'!AL2464)*IF('01_Вводные'!$B$239="Да",MeanMinAge05+'19_Расчет_аналитики'!AL2584*SUMIF(ThresholdAge05,"&lt;"&amp;'19_Расчет_аналитики'!AL2584,WeightedRevAge05)-SUMIF(ThresholdAge05,"&lt;"&amp;'19_Расчет_аналитики'!AL2584,WeightedMinAge05),MAX(CapacityAge05*'01_Вводные'!$B$218*'19_Расчет_аналитики'!AL2584,MeanMinAge05)))</f>
        <v/>
      </c>
      <c r="AM2520">
        <f>IF(OR(('19_Расчет_аналитики'!AM2436-'19_Расчет_аналитики'!AM2464)=0,5&lt;='01_Вводные'!$B$297),0,('19_Расчет_аналитики'!AM2436-'19_Расчет_аналитики'!AM2464)*IF('01_Вводные'!$B$239="Да",MeanMinAge05+'19_Расчет_аналитики'!AM2584*SUMIF(ThresholdAge05,"&lt;"&amp;'19_Расчет_аналитики'!AM2584,WeightedRevAge05)-SUMIF(ThresholdAge05,"&lt;"&amp;'19_Расчет_аналитики'!AM2584,WeightedMinAge05),MAX(CapacityAge05*'01_Вводные'!$B$218*'19_Расчет_аналитики'!AM2584,MeanMinAge05)))</f>
        <v/>
      </c>
      <c r="AN2520">
        <f>IF(OR(('19_Расчет_аналитики'!AN2436-'19_Расчет_аналитики'!AN2464)=0,5&lt;='01_Вводные'!$B$297),0,('19_Расчет_аналитики'!AN2436-'19_Расчет_аналитики'!AN2464)*IF('01_Вводные'!$B$239="Да",MeanMinAge05+'19_Расчет_аналитики'!AN2584*SUMIF(ThresholdAge05,"&lt;"&amp;'19_Расчет_аналитики'!AN2584,WeightedRevAge05)-SUMIF(ThresholdAge05,"&lt;"&amp;'19_Расчет_аналитики'!AN2584,WeightedMinAge05),MAX(CapacityAge05*'01_Вводные'!$B$218*'19_Расчет_аналитики'!AN2584,MeanMinAge05)))</f>
        <v/>
      </c>
      <c r="AO2520">
        <f>IF(OR(('19_Расчет_аналитики'!AO2436-'19_Расчет_аналитики'!AO2464)=0,5&lt;='01_Вводные'!$B$297),0,('19_Расчет_аналитики'!AO2436-'19_Расчет_аналитики'!AO2464)*IF('01_Вводные'!$B$239="Да",MeanMinAge05+'19_Расчет_аналитики'!AO2584*SUMIF(ThresholdAge05,"&lt;"&amp;'19_Расчет_аналитики'!AO2584,WeightedRevAge05)-SUMIF(ThresholdAge05,"&lt;"&amp;'19_Расчет_аналитики'!AO2584,WeightedMinAge05),MAX(CapacityAge05*'01_Вводные'!$B$218*'19_Расчет_аналитики'!AO2584,MeanMinAge05)))</f>
        <v/>
      </c>
      <c r="AP2520">
        <f>IF(OR(('19_Расчет_аналитики'!AP2436-'19_Расчет_аналитики'!AP2464)=0,5&lt;='01_Вводные'!$B$297),0,('19_Расчет_аналитики'!AP2436-'19_Расчет_аналитики'!AP2464)*IF('01_Вводные'!$B$239="Да",MeanMinAge05+'19_Расчет_аналитики'!AP2584*SUMIF(ThresholdAge05,"&lt;"&amp;'19_Расчет_аналитики'!AP2584,WeightedRevAge05)-SUMIF(ThresholdAge05,"&lt;"&amp;'19_Расчет_аналитики'!AP2584,WeightedMinAge05),MAX(CapacityAge05*'01_Вводные'!$B$218*'19_Расчет_аналитики'!AP2584,MeanMinAge05)))</f>
        <v/>
      </c>
      <c r="AQ2520">
        <f>IF(OR(('19_Расчет_аналитики'!AQ2436-'19_Расчет_аналитики'!AQ2464)=0,5&lt;='01_Вводные'!$B$297),0,('19_Расчет_аналитики'!AQ2436-'19_Расчет_аналитики'!AQ2464)*IF('01_Вводные'!$B$239="Да",MeanMinAge05+'19_Расчет_аналитики'!AQ2584*SUMIF(ThresholdAge05,"&lt;"&amp;'19_Расчет_аналитики'!AQ2584,WeightedRevAge05)-SUMIF(ThresholdAge05,"&lt;"&amp;'19_Расчет_аналитики'!AQ2584,WeightedMinAge05),MAX(CapacityAge05*'01_Вводные'!$B$218*'19_Расчет_аналитики'!AQ2584,MeanMinAge05)))</f>
        <v/>
      </c>
      <c r="AR2520">
        <f>IF(OR(('19_Расчет_аналитики'!AR2436-'19_Расчет_аналитики'!AR2464)=0,5&lt;='01_Вводные'!$B$297),0,('19_Расчет_аналитики'!AR2436-'19_Расчет_аналитики'!AR2464)*IF('01_Вводные'!$B$239="Да",MeanMinAge05+'19_Расчет_аналитики'!AR2584*SUMIF(ThresholdAge05,"&lt;"&amp;'19_Расчет_аналитики'!AR2584,WeightedRevAge05)-SUMIF(ThresholdAge05,"&lt;"&amp;'19_Расчет_аналитики'!AR2584,WeightedMinAge05),MAX(CapacityAge05*'01_Вводные'!$B$218*'19_Расчет_аналитики'!AR2584,MeanMinAge05)))</f>
        <v/>
      </c>
      <c r="AS2520">
        <f>IF(OR(('19_Расчет_аналитики'!AS2436-'19_Расчет_аналитики'!AS2464)=0,5&lt;='01_Вводные'!$B$297),0,('19_Расчет_аналитики'!AS2436-'19_Расчет_аналитики'!AS2464)*IF('01_Вводные'!$B$239="Да",MeanMinAge05+'19_Расчет_аналитики'!AS2584*SUMIF(ThresholdAge05,"&lt;"&amp;'19_Расчет_аналитики'!AS2584,WeightedRevAge05)-SUMIF(ThresholdAge05,"&lt;"&amp;'19_Расчет_аналитики'!AS2584,WeightedMinAge05),MAX(CapacityAge05*'01_Вводные'!$B$218*'19_Расчет_аналитики'!AS2584,MeanMinAge05)))</f>
        <v/>
      </c>
      <c r="AT2520">
        <f>IF(OR(('19_Расчет_аналитики'!AT2436-'19_Расчет_аналитики'!AT2464)=0,5&lt;='01_Вводные'!$B$297),0,('19_Расчет_аналитики'!AT2436-'19_Расчет_аналитики'!AT2464)*IF('01_Вводные'!$B$239="Да",MeanMinAge05+'19_Расчет_аналитики'!AT2584*SUMIF(ThresholdAge05,"&lt;"&amp;'19_Расчет_аналитики'!AT2584,WeightedRevAge05)-SUMIF(ThresholdAge05,"&lt;"&amp;'19_Расчет_аналитики'!AT2584,WeightedMinAge05),MAX(CapacityAge05*'01_Вводные'!$B$218*'19_Расчет_аналитики'!AT2584,MeanMinAge05)))</f>
        <v/>
      </c>
      <c r="AU2520">
        <f>IF(OR(('19_Расчет_аналитики'!AU2436-'19_Расчет_аналитики'!AU2464)=0,5&lt;='01_Вводные'!$B$297),0,('19_Расчет_аналитики'!AU2436-'19_Расчет_аналитики'!AU2464)*IF('01_Вводные'!$B$239="Да",MeanMinAge05+'19_Расчет_аналитики'!AU2584*SUMIF(ThresholdAge05,"&lt;"&amp;'19_Расчет_аналитики'!AU2584,WeightedRevAge05)-SUMIF(ThresholdAge05,"&lt;"&amp;'19_Расчет_аналитики'!AU2584,WeightedMinAge05),MAX(CapacityAge05*'01_Вводные'!$B$218*'19_Расчет_аналитики'!AU2584,MeanMinAge05)))</f>
        <v/>
      </c>
      <c r="AV2520">
        <f>IF(OR(('19_Расчет_аналитики'!AV2436-'19_Расчет_аналитики'!AV2464)=0,5&lt;='01_Вводные'!$B$297),0,('19_Расчет_аналитики'!AV2436-'19_Расчет_аналитики'!AV2464)*IF('01_Вводные'!$B$239="Да",MeanMinAge05+'19_Расчет_аналитики'!AV2584*SUMIF(ThresholdAge05,"&lt;"&amp;'19_Расчет_аналитики'!AV2584,WeightedRevAge05)-SUMIF(ThresholdAge05,"&lt;"&amp;'19_Расчет_аналитики'!AV2584,WeightedMinAge05),MAX(CapacityAge05*'01_Вводные'!$B$218*'19_Расчет_аналитики'!AV2584,MeanMinAge05)))</f>
        <v/>
      </c>
      <c r="AW2520">
        <f>IF(OR(('19_Расчет_аналитики'!AW2436-'19_Расчет_аналитики'!AW2464)=0,5&lt;='01_Вводные'!$B$297),0,('19_Расчет_аналитики'!AW2436-'19_Расчет_аналитики'!AW2464)*IF('01_Вводные'!$B$239="Да",MeanMinAge05+'19_Расчет_аналитики'!AW2584*SUMIF(ThresholdAge05,"&lt;"&amp;'19_Расчет_аналитики'!AW2584,WeightedRevAge05)-SUMIF(ThresholdAge05,"&lt;"&amp;'19_Расчет_аналитики'!AW2584,WeightedMinAge05),MAX(CapacityAge05*'01_Вводные'!$B$218*'19_Расчет_аналитики'!AW2584,MeanMinAge05)))</f>
        <v/>
      </c>
      <c r="AX2520">
        <f>IF(OR(('19_Расчет_аналитики'!AX2436-'19_Расчет_аналитики'!AX2464)=0,5&lt;='01_Вводные'!$B$297),0,('19_Расчет_аналитики'!AX2436-'19_Расчет_аналитики'!AX2464)*IF('01_Вводные'!$B$239="Да",MeanMinAge05+'19_Расчет_аналитики'!AX2584*SUMIF(ThresholdAge05,"&lt;"&amp;'19_Расчет_аналитики'!AX2584,WeightedRevAge05)-SUMIF(ThresholdAge05,"&lt;"&amp;'19_Расчет_аналитики'!AX2584,WeightedMinAge05),MAX(CapacityAge05*'01_Вводные'!$B$218*'19_Расчет_аналитики'!AX2584,MeanMinAge05)))</f>
        <v/>
      </c>
      <c r="AY2520">
        <f>IF(OR(('19_Расчет_аналитики'!AY2436-'19_Расчет_аналитики'!AY2464)=0,5&lt;='01_Вводные'!$B$297),0,('19_Расчет_аналитики'!AY2436-'19_Расчет_аналитики'!AY2464)*IF('01_Вводные'!$B$239="Да",MeanMinAge05+'19_Расчет_аналитики'!AY2584*SUMIF(ThresholdAge05,"&lt;"&amp;'19_Расчет_аналитики'!AY2584,WeightedRevAge05)-SUMIF(ThresholdAge05,"&lt;"&amp;'19_Расчет_аналитики'!AY2584,WeightedMinAge05),MAX(CapacityAge05*'01_Вводные'!$B$218*'19_Расчет_аналитики'!AY2584,MeanMinAge05)))</f>
        <v/>
      </c>
      <c r="AZ2520">
        <f>IF(OR(('19_Расчет_аналитики'!AZ2436-'19_Расчет_аналитики'!AZ2464)=0,5&lt;='01_Вводные'!$B$297),0,('19_Расчет_аналитики'!AZ2436-'19_Расчет_аналитики'!AZ2464)*IF('01_Вводные'!$B$239="Да",MeanMinAge05+'19_Расчет_аналитики'!AZ2584*SUMIF(ThresholdAge05,"&lt;"&amp;'19_Расчет_аналитики'!AZ2584,WeightedRevAge05)-SUMIF(ThresholdAge05,"&lt;"&amp;'19_Расчет_аналитики'!AZ2584,WeightedMinAge05),MAX(CapacityAge05*'01_Вводные'!$B$218*'19_Расчет_аналитики'!AZ2584,MeanMinAge05)))</f>
        <v/>
      </c>
      <c r="BA2520">
        <f>IF(OR(('19_Расчет_аналитики'!BA2436-'19_Расчет_аналитики'!BA2464)=0,5&lt;='01_Вводные'!$B$297),0,('19_Расчет_аналитики'!BA2436-'19_Расчет_аналитики'!BA2464)*IF('01_Вводные'!$B$239="Да",MeanMinAge05+'19_Расчет_аналитики'!BA2584*SUMIF(ThresholdAge05,"&lt;"&amp;'19_Расчет_аналитики'!BA2584,WeightedRevAge05)-SUMIF(ThresholdAge05,"&lt;"&amp;'19_Расчет_аналитики'!BA2584,WeightedMinAge05),MAX(CapacityAge05*'01_Вводные'!$B$218*'19_Расчет_аналитики'!BA2584,MeanMinAge05)))</f>
        <v/>
      </c>
      <c r="BB2520">
        <f>IF(OR(('19_Расчет_аналитики'!BB2436-'19_Расчет_аналитики'!BB2464)=0,5&lt;='01_Вводные'!$B$297),0,('19_Расчет_аналитики'!BB2436-'19_Расчет_аналитики'!BB2464)*IF('01_Вводные'!$B$239="Да",MeanMinAge05+'19_Расчет_аналитики'!BB2584*SUMIF(ThresholdAge05,"&lt;"&amp;'19_Расчет_аналитики'!BB2584,WeightedRevAge05)-SUMIF(ThresholdAge05,"&lt;"&amp;'19_Расчет_аналитики'!BB2584,WeightedMinAge05),MAX(CapacityAge05*'01_Вводные'!$B$218*'19_Расчет_аналитики'!BB2584,MeanMinAge05)))</f>
        <v/>
      </c>
      <c r="BC2520">
        <f>IF(OR(('19_Расчет_аналитики'!BC2436-'19_Расчет_аналитики'!BC2464)=0,5&lt;='01_Вводные'!$B$297),0,('19_Расчет_аналитики'!BC2436-'19_Расчет_аналитики'!BC2464)*IF('01_Вводные'!$B$239="Да",MeanMinAge05+'19_Расчет_аналитики'!BC2584*SUMIF(ThresholdAge05,"&lt;"&amp;'19_Расчет_аналитики'!BC2584,WeightedRevAge05)-SUMIF(ThresholdAge05,"&lt;"&amp;'19_Расчет_аналитики'!BC2584,WeightedMinAge05),MAX(CapacityAge05*'01_Вводные'!$B$218*'19_Расчет_аналитики'!BC2584,MeanMinAge05)))</f>
        <v/>
      </c>
      <c r="BD2520">
        <f>IF(OR(('19_Расчет_аналитики'!BD2436-'19_Расчет_аналитики'!BD2464)=0,5&lt;='01_Вводные'!$B$297),0,('19_Расчет_аналитики'!BD2436-'19_Расчет_аналитики'!BD2464)*IF('01_Вводные'!$B$239="Да",MeanMinAge05+'19_Расчет_аналитики'!BD2584*SUMIF(ThresholdAge05,"&lt;"&amp;'19_Расчет_аналитики'!BD2584,WeightedRevAge05)-SUMIF(ThresholdAge05,"&lt;"&amp;'19_Расчет_аналитики'!BD2584,WeightedMinAge05),MAX(CapacityAge05*'01_Вводные'!$B$218*'19_Расчет_аналитики'!BD2584,MeanMinAge05)))</f>
        <v/>
      </c>
      <c r="BE2520">
        <f>IF(OR(('19_Расчет_аналитики'!BE2436-'19_Расчет_аналитики'!BE2464)=0,5&lt;='01_Вводные'!$B$297),0,('19_Расчет_аналитики'!BE2436-'19_Расчет_аналитики'!BE2464)*IF('01_Вводные'!$B$239="Да",MeanMinAge05+'19_Расчет_аналитики'!BE2584*SUMIF(ThresholdAge05,"&lt;"&amp;'19_Расчет_аналитики'!BE2584,WeightedRevAge05)-SUMIF(ThresholdAge05,"&lt;"&amp;'19_Расчет_аналитики'!BE2584,WeightedMinAge05),MAX(CapacityAge05*'01_Вводные'!$B$218*'19_Расчет_аналитики'!BE2584,MeanMinAge05)))</f>
        <v/>
      </c>
      <c r="BF2520">
        <f>IF(OR(('19_Расчет_аналитики'!BF2436-'19_Расчет_аналитики'!BF2464)=0,5&lt;='01_Вводные'!$B$297),0,('19_Расчет_аналитики'!BF2436-'19_Расчет_аналитики'!BF2464)*IF('01_Вводные'!$B$239="Да",MeanMinAge05+'19_Расчет_аналитики'!BF2584*SUMIF(ThresholdAge05,"&lt;"&amp;'19_Расчет_аналитики'!BF2584,WeightedRevAge05)-SUMIF(ThresholdAge05,"&lt;"&amp;'19_Расчет_аналитики'!BF2584,WeightedMinAge05),MAX(CapacityAge05*'01_Вводные'!$B$218*'19_Расчет_аналитики'!BF2584,MeanMinAge05)))</f>
        <v/>
      </c>
      <c r="BG2520">
        <f>IF(OR(('19_Расчет_аналитики'!BG2436-'19_Расчет_аналитики'!BG2464)=0,5&lt;='01_Вводные'!$B$297),0,('19_Расчет_аналитики'!BG2436-'19_Расчет_аналитики'!BG2464)*IF('01_Вводные'!$B$239="Да",MeanMinAge05+'19_Расчет_аналитики'!BG2584*SUMIF(ThresholdAge05,"&lt;"&amp;'19_Расчет_аналитики'!BG2584,WeightedRevAge05)-SUMIF(ThresholdAge05,"&lt;"&amp;'19_Расчет_аналитики'!BG2584,WeightedMinAge05),MAX(CapacityAge05*'01_Вводные'!$B$218*'19_Расчет_аналитики'!BG2584,MeanMinAge05)))</f>
        <v/>
      </c>
      <c r="BH2520">
        <f>IF(OR(('19_Расчет_аналитики'!BH2436-'19_Расчет_аналитики'!BH2464)=0,5&lt;='01_Вводные'!$B$297),0,('19_Расчет_аналитики'!BH2436-'19_Расчет_аналитики'!BH2464)*IF('01_Вводные'!$B$239="Да",MeanMinAge05+'19_Расчет_аналитики'!BH2584*SUMIF(ThresholdAge05,"&lt;"&amp;'19_Расчет_аналитики'!BH2584,WeightedRevAge05)-SUMIF(ThresholdAge05,"&lt;"&amp;'19_Расчет_аналитики'!BH2584,WeightedMinAge05),MAX(CapacityAge05*'01_Вводные'!$B$218*'19_Расчет_аналитики'!BH2584,MeanMinAge05)))</f>
        <v/>
      </c>
      <c r="BI2520">
        <f>IF(OR(('19_Расчет_аналитики'!BI2436-'19_Расчет_аналитики'!BI2464)=0,5&lt;='01_Вводные'!$B$297),0,('19_Расчет_аналитики'!BI2436-'19_Расчет_аналитики'!BI2464)*IF('01_Вводные'!$B$239="Да",MeanMinAge05+'19_Расчет_аналитики'!BI2584*SUMIF(ThresholdAge05,"&lt;"&amp;'19_Расчет_аналитики'!BI2584,WeightedRevAge05)-SUMIF(ThresholdAge05,"&lt;"&amp;'19_Расчет_аналитики'!BI2584,WeightedMinAge05),MAX(CapacityAge05*'01_Вводные'!$B$218*'19_Расчет_аналитики'!BI2584,MeanMinAge05)))</f>
        <v/>
      </c>
      <c r="BJ2520">
        <f>IF(OR(('19_Расчет_аналитики'!BJ2436-'19_Расчет_аналитики'!BJ2464)=0,5&lt;='01_Вводные'!$B$297),0,('19_Расчет_аналитики'!BJ2436-'19_Расчет_аналитики'!BJ2464)*IF('01_Вводные'!$B$239="Да",MeanMinAge05+'19_Расчет_аналитики'!BJ2584*SUMIF(ThresholdAge05,"&lt;"&amp;'19_Расчет_аналитики'!BJ2584,WeightedRevAge05)-SUMIF(ThresholdAge05,"&lt;"&amp;'19_Расчет_аналитики'!BJ2584,WeightedMinAge05),MAX(CapacityAge05*'01_Вводные'!$B$218*'19_Расчет_аналитики'!BJ2584,MeanMinAge05)))</f>
        <v/>
      </c>
      <c r="BK2520">
        <f>IF(OR(('19_Расчет_аналитики'!BK2436-'19_Расчет_аналитики'!BK2464)=0,5&lt;='01_Вводные'!$B$297),0,('19_Расчет_аналитики'!BK2436-'19_Расчет_аналитики'!BK2464)*IF('01_Вводные'!$B$239="Да",MeanMinAge05+'19_Расчет_аналитики'!BK2584*SUMIF(ThresholdAge05,"&lt;"&amp;'19_Расчет_аналитики'!BK2584,WeightedRevAge05)-SUMIF(ThresholdAge05,"&lt;"&amp;'19_Расчет_аналитики'!BK2584,WeightedMinAge05),MAX(CapacityAge05*'01_Вводные'!$B$218*'19_Расчет_аналитики'!BK2584,MeanMinAge05)))</f>
        <v/>
      </c>
      <c r="BL2520">
        <f>IF(OR(('19_Расчет_аналитики'!BL2436-'19_Расчет_аналитики'!BL2464)=0,5&lt;='01_Вводные'!$B$297),0,('19_Расчет_аналитики'!BL2436-'19_Расчет_аналитики'!BL2464)*IF('01_Вводные'!$B$239="Да",MeanMinAge05+'19_Расчет_аналитики'!BL2584*SUMIF(ThresholdAge05,"&lt;"&amp;'19_Расчет_аналитики'!BL2584,WeightedRevAge05)-SUMIF(ThresholdAge05,"&lt;"&amp;'19_Расчет_аналитики'!BL2584,WeightedMinAge05),MAX(CapacityAge05*'01_Вводные'!$B$218*'19_Расчет_аналитики'!BL2584,MeanMinAge05)))</f>
        <v/>
      </c>
      <c r="BM2520">
        <f>IF(OR(('19_Расчет_аналитики'!BM2436-'19_Расчет_аналитики'!BM2464)=0,5&lt;='01_Вводные'!$B$297),0,('19_Расчет_аналитики'!BM2436-'19_Расчет_аналитики'!BM2464)*IF('01_Вводные'!$B$239="Да",MeanMinAge05+'19_Расчет_аналитики'!BM2584*SUMIF(ThresholdAge05,"&lt;"&amp;'19_Расчет_аналитики'!BM2584,WeightedRevAge05)-SUMIF(ThresholdAge05,"&lt;"&amp;'19_Расчет_аналитики'!BM2584,WeightedMinAge05),MAX(CapacityAge05*'01_Вводные'!$B$218*'19_Расчет_аналитики'!BM2584,MeanMinAge05)))</f>
        <v/>
      </c>
      <c r="BN2520">
        <f>IF(OR(('19_Расчет_аналитики'!BN2436-'19_Расчет_аналитики'!BN2464)=0,5&lt;='01_Вводные'!$B$297),0,('19_Расчет_аналитики'!BN2436-'19_Расчет_аналитики'!BN2464)*IF('01_Вводные'!$B$239="Да",MeanMinAge05+'19_Расчет_аналитики'!BN2584*SUMIF(ThresholdAge05,"&lt;"&amp;'19_Расчет_аналитики'!BN2584,WeightedRevAge05)-SUMIF(ThresholdAge05,"&lt;"&amp;'19_Расчет_аналитики'!BN2584,WeightedMinAge05),MAX(CapacityAge05*'01_Вводные'!$B$218*'19_Расчет_аналитики'!BN2584,MeanMinAge05)))</f>
        <v/>
      </c>
      <c r="BO2520">
        <f>IF(OR(('19_Расчет_аналитики'!BO2436-'19_Расчет_аналитики'!BO2464)=0,5&lt;='01_Вводные'!$B$297),0,('19_Расчет_аналитики'!BO2436-'19_Расчет_аналитики'!BO2464)*IF('01_Вводные'!$B$239="Да",MeanMinAge05+'19_Расчет_аналитики'!BO2584*SUMIF(ThresholdAge05,"&lt;"&amp;'19_Расчет_аналитики'!BO2584,WeightedRevAge05)-SUMIF(ThresholdAge05,"&lt;"&amp;'19_Расчет_аналитики'!BO2584,WeightedMinAge05),MAX(CapacityAge05*'01_Вводные'!$B$218*'19_Расчет_аналитики'!BO2584,MeanMinAge05)))</f>
        <v/>
      </c>
    </row>
    <row r="2521">
      <c r="B2521">
        <f>IF(OR(('06_Сеть_и_дети'!B58-'06_Сеть_и_дети'!B86)=0,6&lt;='01_Вводные'!$B$297),0,('06_Сеть_и_дети'!B58-'06_Сеть_и_дети'!B86)*IF('01_Вводные'!$B$239="Да",MeanMinAge06+'19_Расчет_аналитики'!B2584*SUMIF(ThresholdAge06,"&lt;"&amp;'19_Расчет_аналитики'!B2584,WeightedRevAge06)-SUMIF(ThresholdAge06,"&lt;"&amp;'19_Расчет_аналитики'!B2584,WeightedMinAge06),MAX(CapacityAge06*'01_Вводные'!$B$218*'19_Расчет_аналитики'!B2584,MeanMinAge06)))</f>
        <v/>
      </c>
      <c r="C2521">
        <f>IF(OR(('06_Сеть_и_дети'!C58-'06_Сеть_и_дети'!C86)=0,6&lt;='01_Вводные'!$B$297),0,('06_Сеть_и_дети'!C58-'06_Сеть_и_дети'!C86)*IF('01_Вводные'!$B$239="Да",MeanMinAge06+'19_Расчет_аналитики'!C2584*SUMIF(ThresholdAge06,"&lt;"&amp;'19_Расчет_аналитики'!C2584,WeightedRevAge06)-SUMIF(ThresholdAge06,"&lt;"&amp;'19_Расчет_аналитики'!C2584,WeightedMinAge06),MAX(CapacityAge06*'01_Вводные'!$B$218*'19_Расчет_аналитики'!C2584,MeanMinAge06)))</f>
        <v/>
      </c>
      <c r="D2521">
        <f>IF(OR(('06_Сеть_и_дети'!D58-'06_Сеть_и_дети'!D86)=0,6&lt;='01_Вводные'!$B$297),0,('06_Сеть_и_дети'!D58-'06_Сеть_и_дети'!D86)*IF('01_Вводные'!$B$239="Да",MeanMinAge06+'19_Расчет_аналитики'!D2584*SUMIF(ThresholdAge06,"&lt;"&amp;'19_Расчет_аналитики'!D2584,WeightedRevAge06)-SUMIF(ThresholdAge06,"&lt;"&amp;'19_Расчет_аналитики'!D2584,WeightedMinAge06),MAX(CapacityAge06*'01_Вводные'!$B$218*'19_Расчет_аналитики'!D2584,MeanMinAge06)))</f>
        <v/>
      </c>
      <c r="E2521">
        <f>IF(OR(('06_Сеть_и_дети'!E58-'06_Сеть_и_дети'!E86)=0,6&lt;='01_Вводные'!$B$297),0,('06_Сеть_и_дети'!E58-'06_Сеть_и_дети'!E86)*IF('01_Вводные'!$B$239="Да",MeanMinAge06+'19_Расчет_аналитики'!E2584*SUMIF(ThresholdAge06,"&lt;"&amp;'19_Расчет_аналитики'!E2584,WeightedRevAge06)-SUMIF(ThresholdAge06,"&lt;"&amp;'19_Расчет_аналитики'!E2584,WeightedMinAge06),MAX(CapacityAge06*'01_Вводные'!$B$218*'19_Расчет_аналитики'!E2584,MeanMinAge06)))</f>
        <v/>
      </c>
      <c r="F2521">
        <f>IF(OR(('06_Сеть_и_дети'!F58-'06_Сеть_и_дети'!F86)=0,6&lt;='01_Вводные'!$B$297),0,('06_Сеть_и_дети'!F58-'06_Сеть_и_дети'!F86)*IF('01_Вводные'!$B$239="Да",MeanMinAge06+'19_Расчет_аналитики'!F2584*SUMIF(ThresholdAge06,"&lt;"&amp;'19_Расчет_аналитики'!F2584,WeightedRevAge06)-SUMIF(ThresholdAge06,"&lt;"&amp;'19_Расчет_аналитики'!F2584,WeightedMinAge06),MAX(CapacityAge06*'01_Вводные'!$B$218*'19_Расчет_аналитики'!F2584,MeanMinAge06)))</f>
        <v/>
      </c>
      <c r="G2521">
        <f>IF(OR(('19_Расчет_аналитики'!G2437-'19_Расчет_аналитики'!G2465)=0,6&lt;='01_Вводные'!$B$297),0,('19_Расчет_аналитики'!G2437-'19_Расчет_аналитики'!G2465)*IF('01_Вводные'!$B$239="Да",MeanMinAge06+'19_Расчет_аналитики'!G2584*SUMIF(ThresholdAge06,"&lt;"&amp;'19_Расчет_аналитики'!G2584,WeightedRevAge06)-SUMIF(ThresholdAge06,"&lt;"&amp;'19_Расчет_аналитики'!G2584,WeightedMinAge06),MAX(CapacityAge06*'01_Вводные'!$B$218*'19_Расчет_аналитики'!G2584,MeanMinAge06)))</f>
        <v/>
      </c>
      <c r="H2521">
        <f>IF(OR(('19_Расчет_аналитики'!H2437-'19_Расчет_аналитики'!H2465)=0,6&lt;='01_Вводные'!$B$297),0,('19_Расчет_аналитики'!H2437-'19_Расчет_аналитики'!H2465)*IF('01_Вводные'!$B$239="Да",MeanMinAge06+'19_Расчет_аналитики'!H2584*SUMIF(ThresholdAge06,"&lt;"&amp;'19_Расчет_аналитики'!H2584,WeightedRevAge06)-SUMIF(ThresholdAge06,"&lt;"&amp;'19_Расчет_аналитики'!H2584,WeightedMinAge06),MAX(CapacityAge06*'01_Вводные'!$B$218*'19_Расчет_аналитики'!H2584,MeanMinAge06)))</f>
        <v/>
      </c>
      <c r="I2521">
        <f>IF(OR(('19_Расчет_аналитики'!I2437-'19_Расчет_аналитики'!I2465)=0,6&lt;='01_Вводные'!$B$297),0,('19_Расчет_аналитики'!I2437-'19_Расчет_аналитики'!I2465)*IF('01_Вводные'!$B$239="Да",MeanMinAge06+'19_Расчет_аналитики'!I2584*SUMIF(ThresholdAge06,"&lt;"&amp;'19_Расчет_аналитики'!I2584,WeightedRevAge06)-SUMIF(ThresholdAge06,"&lt;"&amp;'19_Расчет_аналитики'!I2584,WeightedMinAge06),MAX(CapacityAge06*'01_Вводные'!$B$218*'19_Расчет_аналитики'!I2584,MeanMinAge06)))</f>
        <v/>
      </c>
      <c r="J2521">
        <f>IF(OR(('19_Расчет_аналитики'!J2437-'19_Расчет_аналитики'!J2465)=0,6&lt;='01_Вводные'!$B$297),0,('19_Расчет_аналитики'!J2437-'19_Расчет_аналитики'!J2465)*IF('01_Вводные'!$B$239="Да",MeanMinAge06+'19_Расчет_аналитики'!J2584*SUMIF(ThresholdAge06,"&lt;"&amp;'19_Расчет_аналитики'!J2584,WeightedRevAge06)-SUMIF(ThresholdAge06,"&lt;"&amp;'19_Расчет_аналитики'!J2584,WeightedMinAge06),MAX(CapacityAge06*'01_Вводные'!$B$218*'19_Расчет_аналитики'!J2584,MeanMinAge06)))</f>
        <v/>
      </c>
      <c r="K2521">
        <f>IF(OR(('19_Расчет_аналитики'!K2437-'19_Расчет_аналитики'!K2465)=0,6&lt;='01_Вводные'!$B$297),0,('19_Расчет_аналитики'!K2437-'19_Расчет_аналитики'!K2465)*IF('01_Вводные'!$B$239="Да",MeanMinAge06+'19_Расчет_аналитики'!K2584*SUMIF(ThresholdAge06,"&lt;"&amp;'19_Расчет_аналитики'!K2584,WeightedRevAge06)-SUMIF(ThresholdAge06,"&lt;"&amp;'19_Расчет_аналитики'!K2584,WeightedMinAge06),MAX(CapacityAge06*'01_Вводные'!$B$218*'19_Расчет_аналитики'!K2584,MeanMinAge06)))</f>
        <v/>
      </c>
      <c r="L2521">
        <f>IF(OR(('19_Расчет_аналитики'!L2437-'19_Расчет_аналитики'!L2465)=0,6&lt;='01_Вводные'!$B$297),0,('19_Расчет_аналитики'!L2437-'19_Расчет_аналитики'!L2465)*IF('01_Вводные'!$B$239="Да",MeanMinAge06+'19_Расчет_аналитики'!L2584*SUMIF(ThresholdAge06,"&lt;"&amp;'19_Расчет_аналитики'!L2584,WeightedRevAge06)-SUMIF(ThresholdAge06,"&lt;"&amp;'19_Расчет_аналитики'!L2584,WeightedMinAge06),MAX(CapacityAge06*'01_Вводные'!$B$218*'19_Расчет_аналитики'!L2584,MeanMinAge06)))</f>
        <v/>
      </c>
      <c r="M2521">
        <f>IF(OR(('19_Расчет_аналитики'!M2437-'19_Расчет_аналитики'!M2465)=0,6&lt;='01_Вводные'!$B$297),0,('19_Расчет_аналитики'!M2437-'19_Расчет_аналитики'!M2465)*IF('01_Вводные'!$B$239="Да",MeanMinAge06+'19_Расчет_аналитики'!M2584*SUMIF(ThresholdAge06,"&lt;"&amp;'19_Расчет_аналитики'!M2584,WeightedRevAge06)-SUMIF(ThresholdAge06,"&lt;"&amp;'19_Расчет_аналитики'!M2584,WeightedMinAge06),MAX(CapacityAge06*'01_Вводные'!$B$218*'19_Расчет_аналитики'!M2584,MeanMinAge06)))</f>
        <v/>
      </c>
      <c r="N2521">
        <f>IF(OR(('19_Расчет_аналитики'!N2437-'19_Расчет_аналитики'!N2465)=0,6&lt;='01_Вводные'!$B$297),0,('19_Расчет_аналитики'!N2437-'19_Расчет_аналитики'!N2465)*IF('01_Вводные'!$B$239="Да",MeanMinAge06+'19_Расчет_аналитики'!N2584*SUMIF(ThresholdAge06,"&lt;"&amp;'19_Расчет_аналитики'!N2584,WeightedRevAge06)-SUMIF(ThresholdAge06,"&lt;"&amp;'19_Расчет_аналитики'!N2584,WeightedMinAge06),MAX(CapacityAge06*'01_Вводные'!$B$218*'19_Расчет_аналитики'!N2584,MeanMinAge06)))</f>
        <v/>
      </c>
      <c r="O2521">
        <f>IF(OR(('19_Расчет_аналитики'!O2437-'19_Расчет_аналитики'!O2465)=0,6&lt;='01_Вводные'!$B$297),0,('19_Расчет_аналитики'!O2437-'19_Расчет_аналитики'!O2465)*IF('01_Вводные'!$B$239="Да",MeanMinAge06+'19_Расчет_аналитики'!O2584*SUMIF(ThresholdAge06,"&lt;"&amp;'19_Расчет_аналитики'!O2584,WeightedRevAge06)-SUMIF(ThresholdAge06,"&lt;"&amp;'19_Расчет_аналитики'!O2584,WeightedMinAge06),MAX(CapacityAge06*'01_Вводные'!$B$218*'19_Расчет_аналитики'!O2584,MeanMinAge06)))</f>
        <v/>
      </c>
      <c r="P2521">
        <f>IF(OR(('19_Расчет_аналитики'!P2437-'19_Расчет_аналитики'!P2465)=0,6&lt;='01_Вводные'!$B$297),0,('19_Расчет_аналитики'!P2437-'19_Расчет_аналитики'!P2465)*IF('01_Вводные'!$B$239="Да",MeanMinAge06+'19_Расчет_аналитики'!P2584*SUMIF(ThresholdAge06,"&lt;"&amp;'19_Расчет_аналитики'!P2584,WeightedRevAge06)-SUMIF(ThresholdAge06,"&lt;"&amp;'19_Расчет_аналитики'!P2584,WeightedMinAge06),MAX(CapacityAge06*'01_Вводные'!$B$218*'19_Расчет_аналитики'!P2584,MeanMinAge06)))</f>
        <v/>
      </c>
      <c r="Q2521">
        <f>IF(OR(('19_Расчет_аналитики'!Q2437-'19_Расчет_аналитики'!Q2465)=0,6&lt;='01_Вводные'!$B$297),0,('19_Расчет_аналитики'!Q2437-'19_Расчет_аналитики'!Q2465)*IF('01_Вводные'!$B$239="Да",MeanMinAge06+'19_Расчет_аналитики'!Q2584*SUMIF(ThresholdAge06,"&lt;"&amp;'19_Расчет_аналитики'!Q2584,WeightedRevAge06)-SUMIF(ThresholdAge06,"&lt;"&amp;'19_Расчет_аналитики'!Q2584,WeightedMinAge06),MAX(CapacityAge06*'01_Вводные'!$B$218*'19_Расчет_аналитики'!Q2584,MeanMinAge06)))</f>
        <v/>
      </c>
      <c r="R2521">
        <f>IF(OR(('19_Расчет_аналитики'!R2437-'19_Расчет_аналитики'!R2465)=0,6&lt;='01_Вводные'!$B$297),0,('19_Расчет_аналитики'!R2437-'19_Расчет_аналитики'!R2465)*IF('01_Вводные'!$B$239="Да",MeanMinAge06+'19_Расчет_аналитики'!R2584*SUMIF(ThresholdAge06,"&lt;"&amp;'19_Расчет_аналитики'!R2584,WeightedRevAge06)-SUMIF(ThresholdAge06,"&lt;"&amp;'19_Расчет_аналитики'!R2584,WeightedMinAge06),MAX(CapacityAge06*'01_Вводные'!$B$218*'19_Расчет_аналитики'!R2584,MeanMinAge06)))</f>
        <v/>
      </c>
      <c r="S2521">
        <f>IF(OR(('19_Расчет_аналитики'!S2437-'19_Расчет_аналитики'!S2465)=0,6&lt;='01_Вводные'!$B$297),0,('19_Расчет_аналитики'!S2437-'19_Расчет_аналитики'!S2465)*IF('01_Вводные'!$B$239="Да",MeanMinAge06+'19_Расчет_аналитики'!S2584*SUMIF(ThresholdAge06,"&lt;"&amp;'19_Расчет_аналитики'!S2584,WeightedRevAge06)-SUMIF(ThresholdAge06,"&lt;"&amp;'19_Расчет_аналитики'!S2584,WeightedMinAge06),MAX(CapacityAge06*'01_Вводные'!$B$218*'19_Расчет_аналитики'!S2584,MeanMinAge06)))</f>
        <v/>
      </c>
      <c r="T2521">
        <f>IF(OR(('19_Расчет_аналитики'!T2437-'19_Расчет_аналитики'!T2465)=0,6&lt;='01_Вводные'!$B$297),0,('19_Расчет_аналитики'!T2437-'19_Расчет_аналитики'!T2465)*IF('01_Вводные'!$B$239="Да",MeanMinAge06+'19_Расчет_аналитики'!T2584*SUMIF(ThresholdAge06,"&lt;"&amp;'19_Расчет_аналитики'!T2584,WeightedRevAge06)-SUMIF(ThresholdAge06,"&lt;"&amp;'19_Расчет_аналитики'!T2584,WeightedMinAge06),MAX(CapacityAge06*'01_Вводные'!$B$218*'19_Расчет_аналитики'!T2584,MeanMinAge06)))</f>
        <v/>
      </c>
      <c r="U2521">
        <f>IF(OR(('19_Расчет_аналитики'!U2437-'19_Расчет_аналитики'!U2465)=0,6&lt;='01_Вводные'!$B$297),0,('19_Расчет_аналитики'!U2437-'19_Расчет_аналитики'!U2465)*IF('01_Вводные'!$B$239="Да",MeanMinAge06+'19_Расчет_аналитики'!U2584*SUMIF(ThresholdAge06,"&lt;"&amp;'19_Расчет_аналитики'!U2584,WeightedRevAge06)-SUMIF(ThresholdAge06,"&lt;"&amp;'19_Расчет_аналитики'!U2584,WeightedMinAge06),MAX(CapacityAge06*'01_Вводные'!$B$218*'19_Расчет_аналитики'!U2584,MeanMinAge06)))</f>
        <v/>
      </c>
      <c r="V2521">
        <f>IF(OR(('19_Расчет_аналитики'!V2437-'19_Расчет_аналитики'!V2465)=0,6&lt;='01_Вводные'!$B$297),0,('19_Расчет_аналитики'!V2437-'19_Расчет_аналитики'!V2465)*IF('01_Вводные'!$B$239="Да",MeanMinAge06+'19_Расчет_аналитики'!V2584*SUMIF(ThresholdAge06,"&lt;"&amp;'19_Расчет_аналитики'!V2584,WeightedRevAge06)-SUMIF(ThresholdAge06,"&lt;"&amp;'19_Расчет_аналитики'!V2584,WeightedMinAge06),MAX(CapacityAge06*'01_Вводные'!$B$218*'19_Расчет_аналитики'!V2584,MeanMinAge06)))</f>
        <v/>
      </c>
      <c r="W2521">
        <f>IF(OR(('19_Расчет_аналитики'!W2437-'19_Расчет_аналитики'!W2465)=0,6&lt;='01_Вводные'!$B$297),0,('19_Расчет_аналитики'!W2437-'19_Расчет_аналитики'!W2465)*IF('01_Вводные'!$B$239="Да",MeanMinAge06+'19_Расчет_аналитики'!W2584*SUMIF(ThresholdAge06,"&lt;"&amp;'19_Расчет_аналитики'!W2584,WeightedRevAge06)-SUMIF(ThresholdAge06,"&lt;"&amp;'19_Расчет_аналитики'!W2584,WeightedMinAge06),MAX(CapacityAge06*'01_Вводные'!$B$218*'19_Расчет_аналитики'!W2584,MeanMinAge06)))</f>
        <v/>
      </c>
      <c r="X2521">
        <f>IF(OR(('19_Расчет_аналитики'!X2437-'19_Расчет_аналитики'!X2465)=0,6&lt;='01_Вводные'!$B$297),0,('19_Расчет_аналитики'!X2437-'19_Расчет_аналитики'!X2465)*IF('01_Вводные'!$B$239="Да",MeanMinAge06+'19_Расчет_аналитики'!X2584*SUMIF(ThresholdAge06,"&lt;"&amp;'19_Расчет_аналитики'!X2584,WeightedRevAge06)-SUMIF(ThresholdAge06,"&lt;"&amp;'19_Расчет_аналитики'!X2584,WeightedMinAge06),MAX(CapacityAge06*'01_Вводные'!$B$218*'19_Расчет_аналитики'!X2584,MeanMinAge06)))</f>
        <v/>
      </c>
      <c r="Y2521">
        <f>IF(OR(('19_Расчет_аналитики'!Y2437-'19_Расчет_аналитики'!Y2465)=0,6&lt;='01_Вводные'!$B$297),0,('19_Расчет_аналитики'!Y2437-'19_Расчет_аналитики'!Y2465)*IF('01_Вводные'!$B$239="Да",MeanMinAge06+'19_Расчет_аналитики'!Y2584*SUMIF(ThresholdAge06,"&lt;"&amp;'19_Расчет_аналитики'!Y2584,WeightedRevAge06)-SUMIF(ThresholdAge06,"&lt;"&amp;'19_Расчет_аналитики'!Y2584,WeightedMinAge06),MAX(CapacityAge06*'01_Вводные'!$B$218*'19_Расчет_аналитики'!Y2584,MeanMinAge06)))</f>
        <v/>
      </c>
      <c r="Z2521">
        <f>IF(OR(('19_Расчет_аналитики'!Z2437-'19_Расчет_аналитики'!Z2465)=0,6&lt;='01_Вводные'!$B$297),0,('19_Расчет_аналитики'!Z2437-'19_Расчет_аналитики'!Z2465)*IF('01_Вводные'!$B$239="Да",MeanMinAge06+'19_Расчет_аналитики'!Z2584*SUMIF(ThresholdAge06,"&lt;"&amp;'19_Расчет_аналитики'!Z2584,WeightedRevAge06)-SUMIF(ThresholdAge06,"&lt;"&amp;'19_Расчет_аналитики'!Z2584,WeightedMinAge06),MAX(CapacityAge06*'01_Вводные'!$B$218*'19_Расчет_аналитики'!Z2584,MeanMinAge06)))</f>
        <v/>
      </c>
      <c r="AA2521">
        <f>IF(OR(('19_Расчет_аналитики'!AA2437-'19_Расчет_аналитики'!AA2465)=0,6&lt;='01_Вводные'!$B$297),0,('19_Расчет_аналитики'!AA2437-'19_Расчет_аналитики'!AA2465)*IF('01_Вводные'!$B$239="Да",MeanMinAge06+'19_Расчет_аналитики'!AA2584*SUMIF(ThresholdAge06,"&lt;"&amp;'19_Расчет_аналитики'!AA2584,WeightedRevAge06)-SUMIF(ThresholdAge06,"&lt;"&amp;'19_Расчет_аналитики'!AA2584,WeightedMinAge06),MAX(CapacityAge06*'01_Вводные'!$B$218*'19_Расчет_аналитики'!AA2584,MeanMinAge06)))</f>
        <v/>
      </c>
      <c r="AB2521">
        <f>IF(OR(('19_Расчет_аналитики'!AB2437-'19_Расчет_аналитики'!AB2465)=0,6&lt;='01_Вводные'!$B$297),0,('19_Расчет_аналитики'!AB2437-'19_Расчет_аналитики'!AB2465)*IF('01_Вводные'!$B$239="Да",MeanMinAge06+'19_Расчет_аналитики'!AB2584*SUMIF(ThresholdAge06,"&lt;"&amp;'19_Расчет_аналитики'!AB2584,WeightedRevAge06)-SUMIF(ThresholdAge06,"&lt;"&amp;'19_Расчет_аналитики'!AB2584,WeightedMinAge06),MAX(CapacityAge06*'01_Вводные'!$B$218*'19_Расчет_аналитики'!AB2584,MeanMinAge06)))</f>
        <v/>
      </c>
      <c r="AC2521">
        <f>IF(OR(('19_Расчет_аналитики'!AC2437-'19_Расчет_аналитики'!AC2465)=0,6&lt;='01_Вводные'!$B$297),0,('19_Расчет_аналитики'!AC2437-'19_Расчет_аналитики'!AC2465)*IF('01_Вводные'!$B$239="Да",MeanMinAge06+'19_Расчет_аналитики'!AC2584*SUMIF(ThresholdAge06,"&lt;"&amp;'19_Расчет_аналитики'!AC2584,WeightedRevAge06)-SUMIF(ThresholdAge06,"&lt;"&amp;'19_Расчет_аналитики'!AC2584,WeightedMinAge06),MAX(CapacityAge06*'01_Вводные'!$B$218*'19_Расчет_аналитики'!AC2584,MeanMinAge06)))</f>
        <v/>
      </c>
      <c r="AD2521">
        <f>IF(OR(('19_Расчет_аналитики'!AD2437-'19_Расчет_аналитики'!AD2465)=0,6&lt;='01_Вводные'!$B$297),0,('19_Расчет_аналитики'!AD2437-'19_Расчет_аналитики'!AD2465)*IF('01_Вводные'!$B$239="Да",MeanMinAge06+'19_Расчет_аналитики'!AD2584*SUMIF(ThresholdAge06,"&lt;"&amp;'19_Расчет_аналитики'!AD2584,WeightedRevAge06)-SUMIF(ThresholdAge06,"&lt;"&amp;'19_Расчет_аналитики'!AD2584,WeightedMinAge06),MAX(CapacityAge06*'01_Вводные'!$B$218*'19_Расчет_аналитики'!AD2584,MeanMinAge06)))</f>
        <v/>
      </c>
      <c r="AE2521">
        <f>IF(OR(('19_Расчет_аналитики'!AE2437-'19_Расчет_аналитики'!AE2465)=0,6&lt;='01_Вводные'!$B$297),0,('19_Расчет_аналитики'!AE2437-'19_Расчет_аналитики'!AE2465)*IF('01_Вводные'!$B$239="Да",MeanMinAge06+'19_Расчет_аналитики'!AE2584*SUMIF(ThresholdAge06,"&lt;"&amp;'19_Расчет_аналитики'!AE2584,WeightedRevAge06)-SUMIF(ThresholdAge06,"&lt;"&amp;'19_Расчет_аналитики'!AE2584,WeightedMinAge06),MAX(CapacityAge06*'01_Вводные'!$B$218*'19_Расчет_аналитики'!AE2584,MeanMinAge06)))</f>
        <v/>
      </c>
      <c r="AF2521">
        <f>IF(OR(('19_Расчет_аналитики'!AF2437-'19_Расчет_аналитики'!AF2465)=0,6&lt;='01_Вводные'!$B$297),0,('19_Расчет_аналитики'!AF2437-'19_Расчет_аналитики'!AF2465)*IF('01_Вводные'!$B$239="Да",MeanMinAge06+'19_Расчет_аналитики'!AF2584*SUMIF(ThresholdAge06,"&lt;"&amp;'19_Расчет_аналитики'!AF2584,WeightedRevAge06)-SUMIF(ThresholdAge06,"&lt;"&amp;'19_Расчет_аналитики'!AF2584,WeightedMinAge06),MAX(CapacityAge06*'01_Вводные'!$B$218*'19_Расчет_аналитики'!AF2584,MeanMinAge06)))</f>
        <v/>
      </c>
      <c r="AG2521">
        <f>IF(OR(('19_Расчет_аналитики'!AG2437-'19_Расчет_аналитики'!AG2465)=0,6&lt;='01_Вводные'!$B$297),0,('19_Расчет_аналитики'!AG2437-'19_Расчет_аналитики'!AG2465)*IF('01_Вводные'!$B$239="Да",MeanMinAge06+'19_Расчет_аналитики'!AG2584*SUMIF(ThresholdAge06,"&lt;"&amp;'19_Расчет_аналитики'!AG2584,WeightedRevAge06)-SUMIF(ThresholdAge06,"&lt;"&amp;'19_Расчет_аналитики'!AG2584,WeightedMinAge06),MAX(CapacityAge06*'01_Вводные'!$B$218*'19_Расчет_аналитики'!AG2584,MeanMinAge06)))</f>
        <v/>
      </c>
      <c r="AH2521">
        <f>IF(OR(('19_Расчет_аналитики'!AH2437-'19_Расчет_аналитики'!AH2465)=0,6&lt;='01_Вводные'!$B$297),0,('19_Расчет_аналитики'!AH2437-'19_Расчет_аналитики'!AH2465)*IF('01_Вводные'!$B$239="Да",MeanMinAge06+'19_Расчет_аналитики'!AH2584*SUMIF(ThresholdAge06,"&lt;"&amp;'19_Расчет_аналитики'!AH2584,WeightedRevAge06)-SUMIF(ThresholdAge06,"&lt;"&amp;'19_Расчет_аналитики'!AH2584,WeightedMinAge06),MAX(CapacityAge06*'01_Вводные'!$B$218*'19_Расчет_аналитики'!AH2584,MeanMinAge06)))</f>
        <v/>
      </c>
      <c r="AI2521">
        <f>IF(OR(('19_Расчет_аналитики'!AI2437-'19_Расчет_аналитики'!AI2465)=0,6&lt;='01_Вводные'!$B$297),0,('19_Расчет_аналитики'!AI2437-'19_Расчет_аналитики'!AI2465)*IF('01_Вводные'!$B$239="Да",MeanMinAge06+'19_Расчет_аналитики'!AI2584*SUMIF(ThresholdAge06,"&lt;"&amp;'19_Расчет_аналитики'!AI2584,WeightedRevAge06)-SUMIF(ThresholdAge06,"&lt;"&amp;'19_Расчет_аналитики'!AI2584,WeightedMinAge06),MAX(CapacityAge06*'01_Вводные'!$B$218*'19_Расчет_аналитики'!AI2584,MeanMinAge06)))</f>
        <v/>
      </c>
      <c r="AJ2521">
        <f>IF(OR(('19_Расчет_аналитики'!AJ2437-'19_Расчет_аналитики'!AJ2465)=0,6&lt;='01_Вводные'!$B$297),0,('19_Расчет_аналитики'!AJ2437-'19_Расчет_аналитики'!AJ2465)*IF('01_Вводные'!$B$239="Да",MeanMinAge06+'19_Расчет_аналитики'!AJ2584*SUMIF(ThresholdAge06,"&lt;"&amp;'19_Расчет_аналитики'!AJ2584,WeightedRevAge06)-SUMIF(ThresholdAge06,"&lt;"&amp;'19_Расчет_аналитики'!AJ2584,WeightedMinAge06),MAX(CapacityAge06*'01_Вводные'!$B$218*'19_Расчет_аналитики'!AJ2584,MeanMinAge06)))</f>
        <v/>
      </c>
      <c r="AK2521">
        <f>IF(OR(('19_Расчет_аналитики'!AK2437-'19_Расчет_аналитики'!AK2465)=0,6&lt;='01_Вводные'!$B$297),0,('19_Расчет_аналитики'!AK2437-'19_Расчет_аналитики'!AK2465)*IF('01_Вводные'!$B$239="Да",MeanMinAge06+'19_Расчет_аналитики'!AK2584*SUMIF(ThresholdAge06,"&lt;"&amp;'19_Расчет_аналитики'!AK2584,WeightedRevAge06)-SUMIF(ThresholdAge06,"&lt;"&amp;'19_Расчет_аналитики'!AK2584,WeightedMinAge06),MAX(CapacityAge06*'01_Вводные'!$B$218*'19_Расчет_аналитики'!AK2584,MeanMinAge06)))</f>
        <v/>
      </c>
      <c r="AL2521">
        <f>IF(OR(('19_Расчет_аналитики'!AL2437-'19_Расчет_аналитики'!AL2465)=0,6&lt;='01_Вводные'!$B$297),0,('19_Расчет_аналитики'!AL2437-'19_Расчет_аналитики'!AL2465)*IF('01_Вводные'!$B$239="Да",MeanMinAge06+'19_Расчет_аналитики'!AL2584*SUMIF(ThresholdAge06,"&lt;"&amp;'19_Расчет_аналитики'!AL2584,WeightedRevAge06)-SUMIF(ThresholdAge06,"&lt;"&amp;'19_Расчет_аналитики'!AL2584,WeightedMinAge06),MAX(CapacityAge06*'01_Вводные'!$B$218*'19_Расчет_аналитики'!AL2584,MeanMinAge06)))</f>
        <v/>
      </c>
      <c r="AM2521">
        <f>IF(OR(('19_Расчет_аналитики'!AM2437-'19_Расчет_аналитики'!AM2465)=0,6&lt;='01_Вводные'!$B$297),0,('19_Расчет_аналитики'!AM2437-'19_Расчет_аналитики'!AM2465)*IF('01_Вводные'!$B$239="Да",MeanMinAge06+'19_Расчет_аналитики'!AM2584*SUMIF(ThresholdAge06,"&lt;"&amp;'19_Расчет_аналитики'!AM2584,WeightedRevAge06)-SUMIF(ThresholdAge06,"&lt;"&amp;'19_Расчет_аналитики'!AM2584,WeightedMinAge06),MAX(CapacityAge06*'01_Вводные'!$B$218*'19_Расчет_аналитики'!AM2584,MeanMinAge06)))</f>
        <v/>
      </c>
      <c r="AN2521">
        <f>IF(OR(('19_Расчет_аналитики'!AN2437-'19_Расчет_аналитики'!AN2465)=0,6&lt;='01_Вводные'!$B$297),0,('19_Расчет_аналитики'!AN2437-'19_Расчет_аналитики'!AN2465)*IF('01_Вводные'!$B$239="Да",MeanMinAge06+'19_Расчет_аналитики'!AN2584*SUMIF(ThresholdAge06,"&lt;"&amp;'19_Расчет_аналитики'!AN2584,WeightedRevAge06)-SUMIF(ThresholdAge06,"&lt;"&amp;'19_Расчет_аналитики'!AN2584,WeightedMinAge06),MAX(CapacityAge06*'01_Вводные'!$B$218*'19_Расчет_аналитики'!AN2584,MeanMinAge06)))</f>
        <v/>
      </c>
      <c r="AO2521">
        <f>IF(OR(('19_Расчет_аналитики'!AO2437-'19_Расчет_аналитики'!AO2465)=0,6&lt;='01_Вводные'!$B$297),0,('19_Расчет_аналитики'!AO2437-'19_Расчет_аналитики'!AO2465)*IF('01_Вводные'!$B$239="Да",MeanMinAge06+'19_Расчет_аналитики'!AO2584*SUMIF(ThresholdAge06,"&lt;"&amp;'19_Расчет_аналитики'!AO2584,WeightedRevAge06)-SUMIF(ThresholdAge06,"&lt;"&amp;'19_Расчет_аналитики'!AO2584,WeightedMinAge06),MAX(CapacityAge06*'01_Вводные'!$B$218*'19_Расчет_аналитики'!AO2584,MeanMinAge06)))</f>
        <v/>
      </c>
      <c r="AP2521">
        <f>IF(OR(('19_Расчет_аналитики'!AP2437-'19_Расчет_аналитики'!AP2465)=0,6&lt;='01_Вводные'!$B$297),0,('19_Расчет_аналитики'!AP2437-'19_Расчет_аналитики'!AP2465)*IF('01_Вводные'!$B$239="Да",MeanMinAge06+'19_Расчет_аналитики'!AP2584*SUMIF(ThresholdAge06,"&lt;"&amp;'19_Расчет_аналитики'!AP2584,WeightedRevAge06)-SUMIF(ThresholdAge06,"&lt;"&amp;'19_Расчет_аналитики'!AP2584,WeightedMinAge06),MAX(CapacityAge06*'01_Вводные'!$B$218*'19_Расчет_аналитики'!AP2584,MeanMinAge06)))</f>
        <v/>
      </c>
      <c r="AQ2521">
        <f>IF(OR(('19_Расчет_аналитики'!AQ2437-'19_Расчет_аналитики'!AQ2465)=0,6&lt;='01_Вводные'!$B$297),0,('19_Расчет_аналитики'!AQ2437-'19_Расчет_аналитики'!AQ2465)*IF('01_Вводные'!$B$239="Да",MeanMinAge06+'19_Расчет_аналитики'!AQ2584*SUMIF(ThresholdAge06,"&lt;"&amp;'19_Расчет_аналитики'!AQ2584,WeightedRevAge06)-SUMIF(ThresholdAge06,"&lt;"&amp;'19_Расчет_аналитики'!AQ2584,WeightedMinAge06),MAX(CapacityAge06*'01_Вводные'!$B$218*'19_Расчет_аналитики'!AQ2584,MeanMinAge06)))</f>
        <v/>
      </c>
      <c r="AR2521">
        <f>IF(OR(('19_Расчет_аналитики'!AR2437-'19_Расчет_аналитики'!AR2465)=0,6&lt;='01_Вводные'!$B$297),0,('19_Расчет_аналитики'!AR2437-'19_Расчет_аналитики'!AR2465)*IF('01_Вводные'!$B$239="Да",MeanMinAge06+'19_Расчет_аналитики'!AR2584*SUMIF(ThresholdAge06,"&lt;"&amp;'19_Расчет_аналитики'!AR2584,WeightedRevAge06)-SUMIF(ThresholdAge06,"&lt;"&amp;'19_Расчет_аналитики'!AR2584,WeightedMinAge06),MAX(CapacityAge06*'01_Вводные'!$B$218*'19_Расчет_аналитики'!AR2584,MeanMinAge06)))</f>
        <v/>
      </c>
      <c r="AS2521">
        <f>IF(OR(('19_Расчет_аналитики'!AS2437-'19_Расчет_аналитики'!AS2465)=0,6&lt;='01_Вводные'!$B$297),0,('19_Расчет_аналитики'!AS2437-'19_Расчет_аналитики'!AS2465)*IF('01_Вводные'!$B$239="Да",MeanMinAge06+'19_Расчет_аналитики'!AS2584*SUMIF(ThresholdAge06,"&lt;"&amp;'19_Расчет_аналитики'!AS2584,WeightedRevAge06)-SUMIF(ThresholdAge06,"&lt;"&amp;'19_Расчет_аналитики'!AS2584,WeightedMinAge06),MAX(CapacityAge06*'01_Вводные'!$B$218*'19_Расчет_аналитики'!AS2584,MeanMinAge06)))</f>
        <v/>
      </c>
      <c r="AT2521">
        <f>IF(OR(('19_Расчет_аналитики'!AT2437-'19_Расчет_аналитики'!AT2465)=0,6&lt;='01_Вводные'!$B$297),0,('19_Расчет_аналитики'!AT2437-'19_Расчет_аналитики'!AT2465)*IF('01_Вводные'!$B$239="Да",MeanMinAge06+'19_Расчет_аналитики'!AT2584*SUMIF(ThresholdAge06,"&lt;"&amp;'19_Расчет_аналитики'!AT2584,WeightedRevAge06)-SUMIF(ThresholdAge06,"&lt;"&amp;'19_Расчет_аналитики'!AT2584,WeightedMinAge06),MAX(CapacityAge06*'01_Вводные'!$B$218*'19_Расчет_аналитики'!AT2584,MeanMinAge06)))</f>
        <v/>
      </c>
      <c r="AU2521">
        <f>IF(OR(('19_Расчет_аналитики'!AU2437-'19_Расчет_аналитики'!AU2465)=0,6&lt;='01_Вводные'!$B$297),0,('19_Расчет_аналитики'!AU2437-'19_Расчет_аналитики'!AU2465)*IF('01_Вводные'!$B$239="Да",MeanMinAge06+'19_Расчет_аналитики'!AU2584*SUMIF(ThresholdAge06,"&lt;"&amp;'19_Расчет_аналитики'!AU2584,WeightedRevAge06)-SUMIF(ThresholdAge06,"&lt;"&amp;'19_Расчет_аналитики'!AU2584,WeightedMinAge06),MAX(CapacityAge06*'01_Вводные'!$B$218*'19_Расчет_аналитики'!AU2584,MeanMinAge06)))</f>
        <v/>
      </c>
      <c r="AV2521">
        <f>IF(OR(('19_Расчет_аналитики'!AV2437-'19_Расчет_аналитики'!AV2465)=0,6&lt;='01_Вводные'!$B$297),0,('19_Расчет_аналитики'!AV2437-'19_Расчет_аналитики'!AV2465)*IF('01_Вводные'!$B$239="Да",MeanMinAge06+'19_Расчет_аналитики'!AV2584*SUMIF(ThresholdAge06,"&lt;"&amp;'19_Расчет_аналитики'!AV2584,WeightedRevAge06)-SUMIF(ThresholdAge06,"&lt;"&amp;'19_Расчет_аналитики'!AV2584,WeightedMinAge06),MAX(CapacityAge06*'01_Вводные'!$B$218*'19_Расчет_аналитики'!AV2584,MeanMinAge06)))</f>
        <v/>
      </c>
      <c r="AW2521">
        <f>IF(OR(('19_Расчет_аналитики'!AW2437-'19_Расчет_аналитики'!AW2465)=0,6&lt;='01_Вводные'!$B$297),0,('19_Расчет_аналитики'!AW2437-'19_Расчет_аналитики'!AW2465)*IF('01_Вводные'!$B$239="Да",MeanMinAge06+'19_Расчет_аналитики'!AW2584*SUMIF(ThresholdAge06,"&lt;"&amp;'19_Расчет_аналитики'!AW2584,WeightedRevAge06)-SUMIF(ThresholdAge06,"&lt;"&amp;'19_Расчет_аналитики'!AW2584,WeightedMinAge06),MAX(CapacityAge06*'01_Вводные'!$B$218*'19_Расчет_аналитики'!AW2584,MeanMinAge06)))</f>
        <v/>
      </c>
      <c r="AX2521">
        <f>IF(OR(('19_Расчет_аналитики'!AX2437-'19_Расчет_аналитики'!AX2465)=0,6&lt;='01_Вводные'!$B$297),0,('19_Расчет_аналитики'!AX2437-'19_Расчет_аналитики'!AX2465)*IF('01_Вводные'!$B$239="Да",MeanMinAge06+'19_Расчет_аналитики'!AX2584*SUMIF(ThresholdAge06,"&lt;"&amp;'19_Расчет_аналитики'!AX2584,WeightedRevAge06)-SUMIF(ThresholdAge06,"&lt;"&amp;'19_Расчет_аналитики'!AX2584,WeightedMinAge06),MAX(CapacityAge06*'01_Вводные'!$B$218*'19_Расчет_аналитики'!AX2584,MeanMinAge06)))</f>
        <v/>
      </c>
      <c r="AY2521">
        <f>IF(OR(('19_Расчет_аналитики'!AY2437-'19_Расчет_аналитики'!AY2465)=0,6&lt;='01_Вводные'!$B$297),0,('19_Расчет_аналитики'!AY2437-'19_Расчет_аналитики'!AY2465)*IF('01_Вводные'!$B$239="Да",MeanMinAge06+'19_Расчет_аналитики'!AY2584*SUMIF(ThresholdAge06,"&lt;"&amp;'19_Расчет_аналитики'!AY2584,WeightedRevAge06)-SUMIF(ThresholdAge06,"&lt;"&amp;'19_Расчет_аналитики'!AY2584,WeightedMinAge06),MAX(CapacityAge06*'01_Вводные'!$B$218*'19_Расчет_аналитики'!AY2584,MeanMinAge06)))</f>
        <v/>
      </c>
      <c r="AZ2521">
        <f>IF(OR(('19_Расчет_аналитики'!AZ2437-'19_Расчет_аналитики'!AZ2465)=0,6&lt;='01_Вводные'!$B$297),0,('19_Расчет_аналитики'!AZ2437-'19_Расчет_аналитики'!AZ2465)*IF('01_Вводные'!$B$239="Да",MeanMinAge06+'19_Расчет_аналитики'!AZ2584*SUMIF(ThresholdAge06,"&lt;"&amp;'19_Расчет_аналитики'!AZ2584,WeightedRevAge06)-SUMIF(ThresholdAge06,"&lt;"&amp;'19_Расчет_аналитики'!AZ2584,WeightedMinAge06),MAX(CapacityAge06*'01_Вводные'!$B$218*'19_Расчет_аналитики'!AZ2584,MeanMinAge06)))</f>
        <v/>
      </c>
      <c r="BA2521">
        <f>IF(OR(('19_Расчет_аналитики'!BA2437-'19_Расчет_аналитики'!BA2465)=0,6&lt;='01_Вводные'!$B$297),0,('19_Расчет_аналитики'!BA2437-'19_Расчет_аналитики'!BA2465)*IF('01_Вводные'!$B$239="Да",MeanMinAge06+'19_Расчет_аналитики'!BA2584*SUMIF(ThresholdAge06,"&lt;"&amp;'19_Расчет_аналитики'!BA2584,WeightedRevAge06)-SUMIF(ThresholdAge06,"&lt;"&amp;'19_Расчет_аналитики'!BA2584,WeightedMinAge06),MAX(CapacityAge06*'01_Вводные'!$B$218*'19_Расчет_аналитики'!BA2584,MeanMinAge06)))</f>
        <v/>
      </c>
      <c r="BB2521">
        <f>IF(OR(('19_Расчет_аналитики'!BB2437-'19_Расчет_аналитики'!BB2465)=0,6&lt;='01_Вводные'!$B$297),0,('19_Расчет_аналитики'!BB2437-'19_Расчет_аналитики'!BB2465)*IF('01_Вводные'!$B$239="Да",MeanMinAge06+'19_Расчет_аналитики'!BB2584*SUMIF(ThresholdAge06,"&lt;"&amp;'19_Расчет_аналитики'!BB2584,WeightedRevAge06)-SUMIF(ThresholdAge06,"&lt;"&amp;'19_Расчет_аналитики'!BB2584,WeightedMinAge06),MAX(CapacityAge06*'01_Вводные'!$B$218*'19_Расчет_аналитики'!BB2584,MeanMinAge06)))</f>
        <v/>
      </c>
      <c r="BC2521">
        <f>IF(OR(('19_Расчет_аналитики'!BC2437-'19_Расчет_аналитики'!BC2465)=0,6&lt;='01_Вводные'!$B$297),0,('19_Расчет_аналитики'!BC2437-'19_Расчет_аналитики'!BC2465)*IF('01_Вводные'!$B$239="Да",MeanMinAge06+'19_Расчет_аналитики'!BC2584*SUMIF(ThresholdAge06,"&lt;"&amp;'19_Расчет_аналитики'!BC2584,WeightedRevAge06)-SUMIF(ThresholdAge06,"&lt;"&amp;'19_Расчет_аналитики'!BC2584,WeightedMinAge06),MAX(CapacityAge06*'01_Вводные'!$B$218*'19_Расчет_аналитики'!BC2584,MeanMinAge06)))</f>
        <v/>
      </c>
      <c r="BD2521">
        <f>IF(OR(('19_Расчет_аналитики'!BD2437-'19_Расчет_аналитики'!BD2465)=0,6&lt;='01_Вводные'!$B$297),0,('19_Расчет_аналитики'!BD2437-'19_Расчет_аналитики'!BD2465)*IF('01_Вводные'!$B$239="Да",MeanMinAge06+'19_Расчет_аналитики'!BD2584*SUMIF(ThresholdAge06,"&lt;"&amp;'19_Расчет_аналитики'!BD2584,WeightedRevAge06)-SUMIF(ThresholdAge06,"&lt;"&amp;'19_Расчет_аналитики'!BD2584,WeightedMinAge06),MAX(CapacityAge06*'01_Вводные'!$B$218*'19_Расчет_аналитики'!BD2584,MeanMinAge06)))</f>
        <v/>
      </c>
      <c r="BE2521">
        <f>IF(OR(('19_Расчет_аналитики'!BE2437-'19_Расчет_аналитики'!BE2465)=0,6&lt;='01_Вводные'!$B$297),0,('19_Расчет_аналитики'!BE2437-'19_Расчет_аналитики'!BE2465)*IF('01_Вводные'!$B$239="Да",MeanMinAge06+'19_Расчет_аналитики'!BE2584*SUMIF(ThresholdAge06,"&lt;"&amp;'19_Расчет_аналитики'!BE2584,WeightedRevAge06)-SUMIF(ThresholdAge06,"&lt;"&amp;'19_Расчет_аналитики'!BE2584,WeightedMinAge06),MAX(CapacityAge06*'01_Вводные'!$B$218*'19_Расчет_аналитики'!BE2584,MeanMinAge06)))</f>
        <v/>
      </c>
      <c r="BF2521">
        <f>IF(OR(('19_Расчет_аналитики'!BF2437-'19_Расчет_аналитики'!BF2465)=0,6&lt;='01_Вводные'!$B$297),0,('19_Расчет_аналитики'!BF2437-'19_Расчет_аналитики'!BF2465)*IF('01_Вводные'!$B$239="Да",MeanMinAge06+'19_Расчет_аналитики'!BF2584*SUMIF(ThresholdAge06,"&lt;"&amp;'19_Расчет_аналитики'!BF2584,WeightedRevAge06)-SUMIF(ThresholdAge06,"&lt;"&amp;'19_Расчет_аналитики'!BF2584,WeightedMinAge06),MAX(CapacityAge06*'01_Вводные'!$B$218*'19_Расчет_аналитики'!BF2584,MeanMinAge06)))</f>
        <v/>
      </c>
      <c r="BG2521">
        <f>IF(OR(('19_Расчет_аналитики'!BG2437-'19_Расчет_аналитики'!BG2465)=0,6&lt;='01_Вводные'!$B$297),0,('19_Расчет_аналитики'!BG2437-'19_Расчет_аналитики'!BG2465)*IF('01_Вводные'!$B$239="Да",MeanMinAge06+'19_Расчет_аналитики'!BG2584*SUMIF(ThresholdAge06,"&lt;"&amp;'19_Расчет_аналитики'!BG2584,WeightedRevAge06)-SUMIF(ThresholdAge06,"&lt;"&amp;'19_Расчет_аналитики'!BG2584,WeightedMinAge06),MAX(CapacityAge06*'01_Вводные'!$B$218*'19_Расчет_аналитики'!BG2584,MeanMinAge06)))</f>
        <v/>
      </c>
      <c r="BH2521">
        <f>IF(OR(('19_Расчет_аналитики'!BH2437-'19_Расчет_аналитики'!BH2465)=0,6&lt;='01_Вводные'!$B$297),0,('19_Расчет_аналитики'!BH2437-'19_Расчет_аналитики'!BH2465)*IF('01_Вводные'!$B$239="Да",MeanMinAge06+'19_Расчет_аналитики'!BH2584*SUMIF(ThresholdAge06,"&lt;"&amp;'19_Расчет_аналитики'!BH2584,WeightedRevAge06)-SUMIF(ThresholdAge06,"&lt;"&amp;'19_Расчет_аналитики'!BH2584,WeightedMinAge06),MAX(CapacityAge06*'01_Вводные'!$B$218*'19_Расчет_аналитики'!BH2584,MeanMinAge06)))</f>
        <v/>
      </c>
      <c r="BI2521">
        <f>IF(OR(('19_Расчет_аналитики'!BI2437-'19_Расчет_аналитики'!BI2465)=0,6&lt;='01_Вводные'!$B$297),0,('19_Расчет_аналитики'!BI2437-'19_Расчет_аналитики'!BI2465)*IF('01_Вводные'!$B$239="Да",MeanMinAge06+'19_Расчет_аналитики'!BI2584*SUMIF(ThresholdAge06,"&lt;"&amp;'19_Расчет_аналитики'!BI2584,WeightedRevAge06)-SUMIF(ThresholdAge06,"&lt;"&amp;'19_Расчет_аналитики'!BI2584,WeightedMinAge06),MAX(CapacityAge06*'01_Вводные'!$B$218*'19_Расчет_аналитики'!BI2584,MeanMinAge06)))</f>
        <v/>
      </c>
      <c r="BJ2521">
        <f>IF(OR(('19_Расчет_аналитики'!BJ2437-'19_Расчет_аналитики'!BJ2465)=0,6&lt;='01_Вводные'!$B$297),0,('19_Расчет_аналитики'!BJ2437-'19_Расчет_аналитики'!BJ2465)*IF('01_Вводные'!$B$239="Да",MeanMinAge06+'19_Расчет_аналитики'!BJ2584*SUMIF(ThresholdAge06,"&lt;"&amp;'19_Расчет_аналитики'!BJ2584,WeightedRevAge06)-SUMIF(ThresholdAge06,"&lt;"&amp;'19_Расчет_аналитики'!BJ2584,WeightedMinAge06),MAX(CapacityAge06*'01_Вводные'!$B$218*'19_Расчет_аналитики'!BJ2584,MeanMinAge06)))</f>
        <v/>
      </c>
      <c r="BK2521">
        <f>IF(OR(('19_Расчет_аналитики'!BK2437-'19_Расчет_аналитики'!BK2465)=0,6&lt;='01_Вводные'!$B$297),0,('19_Расчет_аналитики'!BK2437-'19_Расчет_аналитики'!BK2465)*IF('01_Вводные'!$B$239="Да",MeanMinAge06+'19_Расчет_аналитики'!BK2584*SUMIF(ThresholdAge06,"&lt;"&amp;'19_Расчет_аналитики'!BK2584,WeightedRevAge06)-SUMIF(ThresholdAge06,"&lt;"&amp;'19_Расчет_аналитики'!BK2584,WeightedMinAge06),MAX(CapacityAge06*'01_Вводные'!$B$218*'19_Расчет_аналитики'!BK2584,MeanMinAge06)))</f>
        <v/>
      </c>
      <c r="BL2521">
        <f>IF(OR(('19_Расчет_аналитики'!BL2437-'19_Расчет_аналитики'!BL2465)=0,6&lt;='01_Вводные'!$B$297),0,('19_Расчет_аналитики'!BL2437-'19_Расчет_аналитики'!BL2465)*IF('01_Вводные'!$B$239="Да",MeanMinAge06+'19_Расчет_аналитики'!BL2584*SUMIF(ThresholdAge06,"&lt;"&amp;'19_Расчет_аналитики'!BL2584,WeightedRevAge06)-SUMIF(ThresholdAge06,"&lt;"&amp;'19_Расчет_аналитики'!BL2584,WeightedMinAge06),MAX(CapacityAge06*'01_Вводные'!$B$218*'19_Расчет_аналитики'!BL2584,MeanMinAge06)))</f>
        <v/>
      </c>
      <c r="BM2521">
        <f>IF(OR(('19_Расчет_аналитики'!BM2437-'19_Расчет_аналитики'!BM2465)=0,6&lt;='01_Вводные'!$B$297),0,('19_Расчет_аналитики'!BM2437-'19_Расчет_аналитики'!BM2465)*IF('01_Вводные'!$B$239="Да",MeanMinAge06+'19_Расчет_аналитики'!BM2584*SUMIF(ThresholdAge06,"&lt;"&amp;'19_Расчет_аналитики'!BM2584,WeightedRevAge06)-SUMIF(ThresholdAge06,"&lt;"&amp;'19_Расчет_аналитики'!BM2584,WeightedMinAge06),MAX(CapacityAge06*'01_Вводные'!$B$218*'19_Расчет_аналитики'!BM2584,MeanMinAge06)))</f>
        <v/>
      </c>
      <c r="BN2521">
        <f>IF(OR(('19_Расчет_аналитики'!BN2437-'19_Расчет_аналитики'!BN2465)=0,6&lt;='01_Вводные'!$B$297),0,('19_Расчет_аналитики'!BN2437-'19_Расчет_аналитики'!BN2465)*IF('01_Вводные'!$B$239="Да",MeanMinAge06+'19_Расчет_аналитики'!BN2584*SUMIF(ThresholdAge06,"&lt;"&amp;'19_Расчет_аналитики'!BN2584,WeightedRevAge06)-SUMIF(ThresholdAge06,"&lt;"&amp;'19_Расчет_аналитики'!BN2584,WeightedMinAge06),MAX(CapacityAge06*'01_Вводные'!$B$218*'19_Расчет_аналитики'!BN2584,MeanMinAge06)))</f>
        <v/>
      </c>
      <c r="BO2521">
        <f>IF(OR(('19_Расчет_аналитики'!BO2437-'19_Расчет_аналитики'!BO2465)=0,6&lt;='01_Вводные'!$B$297),0,('19_Расчет_аналитики'!BO2437-'19_Расчет_аналитики'!BO2465)*IF('01_Вводные'!$B$239="Да",MeanMinAge06+'19_Расчет_аналитики'!BO2584*SUMIF(ThresholdAge06,"&lt;"&amp;'19_Расчет_аналитики'!BO2584,WeightedRevAge06)-SUMIF(ThresholdAge06,"&lt;"&amp;'19_Расчет_аналитики'!BO2584,WeightedMinAge06),MAX(CapacityAge06*'01_Вводные'!$B$218*'19_Расчет_аналитики'!BO2584,MeanMinAge06)))</f>
        <v/>
      </c>
    </row>
    <row r="2522">
      <c r="B2522">
        <f>IF(OR(('06_Сеть_и_дети'!B59-'06_Сеть_и_дети'!B87)=0,7&lt;='01_Вводные'!$B$297),0,('06_Сеть_и_дети'!B59-'06_Сеть_и_дети'!B87)*IF('01_Вводные'!$B$239="Да",MeanMinAge07+'19_Расчет_аналитики'!B2584*SUMIF(ThresholdAge07,"&lt;"&amp;'19_Расчет_аналитики'!B2584,WeightedRevAge07)-SUMIF(ThresholdAge07,"&lt;"&amp;'19_Расчет_аналитики'!B2584,WeightedMinAge07),MAX(CapacityAge07*'01_Вводные'!$B$218*'19_Расчет_аналитики'!B2584,MeanMinAge07)))</f>
        <v/>
      </c>
      <c r="C2522">
        <f>IF(OR(('06_Сеть_и_дети'!C59-'06_Сеть_и_дети'!C87)=0,7&lt;='01_Вводные'!$B$297),0,('06_Сеть_и_дети'!C59-'06_Сеть_и_дети'!C87)*IF('01_Вводные'!$B$239="Да",MeanMinAge07+'19_Расчет_аналитики'!C2584*SUMIF(ThresholdAge07,"&lt;"&amp;'19_Расчет_аналитики'!C2584,WeightedRevAge07)-SUMIF(ThresholdAge07,"&lt;"&amp;'19_Расчет_аналитики'!C2584,WeightedMinAge07),MAX(CapacityAge07*'01_Вводные'!$B$218*'19_Расчет_аналитики'!C2584,MeanMinAge07)))</f>
        <v/>
      </c>
      <c r="D2522">
        <f>IF(OR(('06_Сеть_и_дети'!D59-'06_Сеть_и_дети'!D87)=0,7&lt;='01_Вводные'!$B$297),0,('06_Сеть_и_дети'!D59-'06_Сеть_и_дети'!D87)*IF('01_Вводные'!$B$239="Да",MeanMinAge07+'19_Расчет_аналитики'!D2584*SUMIF(ThresholdAge07,"&lt;"&amp;'19_Расчет_аналитики'!D2584,WeightedRevAge07)-SUMIF(ThresholdAge07,"&lt;"&amp;'19_Расчет_аналитики'!D2584,WeightedMinAge07),MAX(CapacityAge07*'01_Вводные'!$B$218*'19_Расчет_аналитики'!D2584,MeanMinAge07)))</f>
        <v/>
      </c>
      <c r="E2522">
        <f>IF(OR(('06_Сеть_и_дети'!E59-'06_Сеть_и_дети'!E87)=0,7&lt;='01_Вводные'!$B$297),0,('06_Сеть_и_дети'!E59-'06_Сеть_и_дети'!E87)*IF('01_Вводные'!$B$239="Да",MeanMinAge07+'19_Расчет_аналитики'!E2584*SUMIF(ThresholdAge07,"&lt;"&amp;'19_Расчет_аналитики'!E2584,WeightedRevAge07)-SUMIF(ThresholdAge07,"&lt;"&amp;'19_Расчет_аналитики'!E2584,WeightedMinAge07),MAX(CapacityAge07*'01_Вводные'!$B$218*'19_Расчет_аналитики'!E2584,MeanMinAge07)))</f>
        <v/>
      </c>
      <c r="F2522">
        <f>IF(OR(('06_Сеть_и_дети'!F59-'06_Сеть_и_дети'!F87)=0,7&lt;='01_Вводные'!$B$297),0,('06_Сеть_и_дети'!F59-'06_Сеть_и_дети'!F87)*IF('01_Вводные'!$B$239="Да",MeanMinAge07+'19_Расчет_аналитики'!F2584*SUMIF(ThresholdAge07,"&lt;"&amp;'19_Расчет_аналитики'!F2584,WeightedRevAge07)-SUMIF(ThresholdAge07,"&lt;"&amp;'19_Расчет_аналитики'!F2584,WeightedMinAge07),MAX(CapacityAge07*'01_Вводные'!$B$218*'19_Расчет_аналитики'!F2584,MeanMinAge07)))</f>
        <v/>
      </c>
      <c r="G2522">
        <f>IF(OR(('06_Сеть_и_дети'!G59-'06_Сеть_и_дети'!G87)=0,7&lt;='01_Вводные'!$B$297),0,('06_Сеть_и_дети'!G59-'06_Сеть_и_дети'!G87)*IF('01_Вводные'!$B$239="Да",MeanMinAge07+'19_Расчет_аналитики'!G2584*SUMIF(ThresholdAge07,"&lt;"&amp;'19_Расчет_аналитики'!G2584,WeightedRevAge07)-SUMIF(ThresholdAge07,"&lt;"&amp;'19_Расчет_аналитики'!G2584,WeightedMinAge07),MAX(CapacityAge07*'01_Вводные'!$B$218*'19_Расчет_аналитики'!G2584,MeanMinAge07)))</f>
        <v/>
      </c>
      <c r="H2522">
        <f>IF(OR(('19_Расчет_аналитики'!H2438-'19_Расчет_аналитики'!H2466)=0,7&lt;='01_Вводные'!$B$297),0,('19_Расчет_аналитики'!H2438-'19_Расчет_аналитики'!H2466)*IF('01_Вводные'!$B$239="Да",MeanMinAge07+'19_Расчет_аналитики'!H2584*SUMIF(ThresholdAge07,"&lt;"&amp;'19_Расчет_аналитики'!H2584,WeightedRevAge07)-SUMIF(ThresholdAge07,"&lt;"&amp;'19_Расчет_аналитики'!H2584,WeightedMinAge07),MAX(CapacityAge07*'01_Вводные'!$B$218*'19_Расчет_аналитики'!H2584,MeanMinAge07)))</f>
        <v/>
      </c>
      <c r="I2522">
        <f>IF(OR(('19_Расчет_аналитики'!I2438-'19_Расчет_аналитики'!I2466)=0,7&lt;='01_Вводные'!$B$297),0,('19_Расчет_аналитики'!I2438-'19_Расчет_аналитики'!I2466)*IF('01_Вводные'!$B$239="Да",MeanMinAge07+'19_Расчет_аналитики'!I2584*SUMIF(ThresholdAge07,"&lt;"&amp;'19_Расчет_аналитики'!I2584,WeightedRevAge07)-SUMIF(ThresholdAge07,"&lt;"&amp;'19_Расчет_аналитики'!I2584,WeightedMinAge07),MAX(CapacityAge07*'01_Вводные'!$B$218*'19_Расчет_аналитики'!I2584,MeanMinAge07)))</f>
        <v/>
      </c>
      <c r="J2522">
        <f>IF(OR(('19_Расчет_аналитики'!J2438-'19_Расчет_аналитики'!J2466)=0,7&lt;='01_Вводные'!$B$297),0,('19_Расчет_аналитики'!J2438-'19_Расчет_аналитики'!J2466)*IF('01_Вводные'!$B$239="Да",MeanMinAge07+'19_Расчет_аналитики'!J2584*SUMIF(ThresholdAge07,"&lt;"&amp;'19_Расчет_аналитики'!J2584,WeightedRevAge07)-SUMIF(ThresholdAge07,"&lt;"&amp;'19_Расчет_аналитики'!J2584,WeightedMinAge07),MAX(CapacityAge07*'01_Вводные'!$B$218*'19_Расчет_аналитики'!J2584,MeanMinAge07)))</f>
        <v/>
      </c>
      <c r="K2522">
        <f>IF(OR(('19_Расчет_аналитики'!K2438-'19_Расчет_аналитики'!K2466)=0,7&lt;='01_Вводные'!$B$297),0,('19_Расчет_аналитики'!K2438-'19_Расчет_аналитики'!K2466)*IF('01_Вводные'!$B$239="Да",MeanMinAge07+'19_Расчет_аналитики'!K2584*SUMIF(ThresholdAge07,"&lt;"&amp;'19_Расчет_аналитики'!K2584,WeightedRevAge07)-SUMIF(ThresholdAge07,"&lt;"&amp;'19_Расчет_аналитики'!K2584,WeightedMinAge07),MAX(CapacityAge07*'01_Вводные'!$B$218*'19_Расчет_аналитики'!K2584,MeanMinAge07)))</f>
        <v/>
      </c>
      <c r="L2522">
        <f>IF(OR(('19_Расчет_аналитики'!L2438-'19_Расчет_аналитики'!L2466)=0,7&lt;='01_Вводные'!$B$297),0,('19_Расчет_аналитики'!L2438-'19_Расчет_аналитики'!L2466)*IF('01_Вводные'!$B$239="Да",MeanMinAge07+'19_Расчет_аналитики'!L2584*SUMIF(ThresholdAge07,"&lt;"&amp;'19_Расчет_аналитики'!L2584,WeightedRevAge07)-SUMIF(ThresholdAge07,"&lt;"&amp;'19_Расчет_аналитики'!L2584,WeightedMinAge07),MAX(CapacityAge07*'01_Вводные'!$B$218*'19_Расчет_аналитики'!L2584,MeanMinAge07)))</f>
        <v/>
      </c>
      <c r="M2522">
        <f>IF(OR(('19_Расчет_аналитики'!M2438-'19_Расчет_аналитики'!M2466)=0,7&lt;='01_Вводные'!$B$297),0,('19_Расчет_аналитики'!M2438-'19_Расчет_аналитики'!M2466)*IF('01_Вводные'!$B$239="Да",MeanMinAge07+'19_Расчет_аналитики'!M2584*SUMIF(ThresholdAge07,"&lt;"&amp;'19_Расчет_аналитики'!M2584,WeightedRevAge07)-SUMIF(ThresholdAge07,"&lt;"&amp;'19_Расчет_аналитики'!M2584,WeightedMinAge07),MAX(CapacityAge07*'01_Вводные'!$B$218*'19_Расчет_аналитики'!M2584,MeanMinAge07)))</f>
        <v/>
      </c>
      <c r="N2522">
        <f>IF(OR(('19_Расчет_аналитики'!N2438-'19_Расчет_аналитики'!N2466)=0,7&lt;='01_Вводные'!$B$297),0,('19_Расчет_аналитики'!N2438-'19_Расчет_аналитики'!N2466)*IF('01_Вводные'!$B$239="Да",MeanMinAge07+'19_Расчет_аналитики'!N2584*SUMIF(ThresholdAge07,"&lt;"&amp;'19_Расчет_аналитики'!N2584,WeightedRevAge07)-SUMIF(ThresholdAge07,"&lt;"&amp;'19_Расчет_аналитики'!N2584,WeightedMinAge07),MAX(CapacityAge07*'01_Вводные'!$B$218*'19_Расчет_аналитики'!N2584,MeanMinAge07)))</f>
        <v/>
      </c>
      <c r="O2522">
        <f>IF(OR(('19_Расчет_аналитики'!O2438-'19_Расчет_аналитики'!O2466)=0,7&lt;='01_Вводные'!$B$297),0,('19_Расчет_аналитики'!O2438-'19_Расчет_аналитики'!O2466)*IF('01_Вводные'!$B$239="Да",MeanMinAge07+'19_Расчет_аналитики'!O2584*SUMIF(ThresholdAge07,"&lt;"&amp;'19_Расчет_аналитики'!O2584,WeightedRevAge07)-SUMIF(ThresholdAge07,"&lt;"&amp;'19_Расчет_аналитики'!O2584,WeightedMinAge07),MAX(CapacityAge07*'01_Вводные'!$B$218*'19_Расчет_аналитики'!O2584,MeanMinAge07)))</f>
        <v/>
      </c>
      <c r="P2522">
        <f>IF(OR(('19_Расчет_аналитики'!P2438-'19_Расчет_аналитики'!P2466)=0,7&lt;='01_Вводные'!$B$297),0,('19_Расчет_аналитики'!P2438-'19_Расчет_аналитики'!P2466)*IF('01_Вводные'!$B$239="Да",MeanMinAge07+'19_Расчет_аналитики'!P2584*SUMIF(ThresholdAge07,"&lt;"&amp;'19_Расчет_аналитики'!P2584,WeightedRevAge07)-SUMIF(ThresholdAge07,"&lt;"&amp;'19_Расчет_аналитики'!P2584,WeightedMinAge07),MAX(CapacityAge07*'01_Вводные'!$B$218*'19_Расчет_аналитики'!P2584,MeanMinAge07)))</f>
        <v/>
      </c>
      <c r="Q2522">
        <f>IF(OR(('19_Расчет_аналитики'!Q2438-'19_Расчет_аналитики'!Q2466)=0,7&lt;='01_Вводные'!$B$297),0,('19_Расчет_аналитики'!Q2438-'19_Расчет_аналитики'!Q2466)*IF('01_Вводные'!$B$239="Да",MeanMinAge07+'19_Расчет_аналитики'!Q2584*SUMIF(ThresholdAge07,"&lt;"&amp;'19_Расчет_аналитики'!Q2584,WeightedRevAge07)-SUMIF(ThresholdAge07,"&lt;"&amp;'19_Расчет_аналитики'!Q2584,WeightedMinAge07),MAX(CapacityAge07*'01_Вводные'!$B$218*'19_Расчет_аналитики'!Q2584,MeanMinAge07)))</f>
        <v/>
      </c>
      <c r="R2522">
        <f>IF(OR(('19_Расчет_аналитики'!R2438-'19_Расчет_аналитики'!R2466)=0,7&lt;='01_Вводные'!$B$297),0,('19_Расчет_аналитики'!R2438-'19_Расчет_аналитики'!R2466)*IF('01_Вводные'!$B$239="Да",MeanMinAge07+'19_Расчет_аналитики'!R2584*SUMIF(ThresholdAge07,"&lt;"&amp;'19_Расчет_аналитики'!R2584,WeightedRevAge07)-SUMIF(ThresholdAge07,"&lt;"&amp;'19_Расчет_аналитики'!R2584,WeightedMinAge07),MAX(CapacityAge07*'01_Вводные'!$B$218*'19_Расчет_аналитики'!R2584,MeanMinAge07)))</f>
        <v/>
      </c>
      <c r="S2522">
        <f>IF(OR(('19_Расчет_аналитики'!S2438-'19_Расчет_аналитики'!S2466)=0,7&lt;='01_Вводные'!$B$297),0,('19_Расчет_аналитики'!S2438-'19_Расчет_аналитики'!S2466)*IF('01_Вводные'!$B$239="Да",MeanMinAge07+'19_Расчет_аналитики'!S2584*SUMIF(ThresholdAge07,"&lt;"&amp;'19_Расчет_аналитики'!S2584,WeightedRevAge07)-SUMIF(ThresholdAge07,"&lt;"&amp;'19_Расчет_аналитики'!S2584,WeightedMinAge07),MAX(CapacityAge07*'01_Вводные'!$B$218*'19_Расчет_аналитики'!S2584,MeanMinAge07)))</f>
        <v/>
      </c>
      <c r="T2522">
        <f>IF(OR(('19_Расчет_аналитики'!T2438-'19_Расчет_аналитики'!T2466)=0,7&lt;='01_Вводные'!$B$297),0,('19_Расчет_аналитики'!T2438-'19_Расчет_аналитики'!T2466)*IF('01_Вводные'!$B$239="Да",MeanMinAge07+'19_Расчет_аналитики'!T2584*SUMIF(ThresholdAge07,"&lt;"&amp;'19_Расчет_аналитики'!T2584,WeightedRevAge07)-SUMIF(ThresholdAge07,"&lt;"&amp;'19_Расчет_аналитики'!T2584,WeightedMinAge07),MAX(CapacityAge07*'01_Вводные'!$B$218*'19_Расчет_аналитики'!T2584,MeanMinAge07)))</f>
        <v/>
      </c>
      <c r="U2522">
        <f>IF(OR(('19_Расчет_аналитики'!U2438-'19_Расчет_аналитики'!U2466)=0,7&lt;='01_Вводные'!$B$297),0,('19_Расчет_аналитики'!U2438-'19_Расчет_аналитики'!U2466)*IF('01_Вводные'!$B$239="Да",MeanMinAge07+'19_Расчет_аналитики'!U2584*SUMIF(ThresholdAge07,"&lt;"&amp;'19_Расчет_аналитики'!U2584,WeightedRevAge07)-SUMIF(ThresholdAge07,"&lt;"&amp;'19_Расчет_аналитики'!U2584,WeightedMinAge07),MAX(CapacityAge07*'01_Вводные'!$B$218*'19_Расчет_аналитики'!U2584,MeanMinAge07)))</f>
        <v/>
      </c>
      <c r="V2522">
        <f>IF(OR(('19_Расчет_аналитики'!V2438-'19_Расчет_аналитики'!V2466)=0,7&lt;='01_Вводные'!$B$297),0,('19_Расчет_аналитики'!V2438-'19_Расчет_аналитики'!V2466)*IF('01_Вводные'!$B$239="Да",MeanMinAge07+'19_Расчет_аналитики'!V2584*SUMIF(ThresholdAge07,"&lt;"&amp;'19_Расчет_аналитики'!V2584,WeightedRevAge07)-SUMIF(ThresholdAge07,"&lt;"&amp;'19_Расчет_аналитики'!V2584,WeightedMinAge07),MAX(CapacityAge07*'01_Вводные'!$B$218*'19_Расчет_аналитики'!V2584,MeanMinAge07)))</f>
        <v/>
      </c>
      <c r="W2522">
        <f>IF(OR(('19_Расчет_аналитики'!W2438-'19_Расчет_аналитики'!W2466)=0,7&lt;='01_Вводные'!$B$297),0,('19_Расчет_аналитики'!W2438-'19_Расчет_аналитики'!W2466)*IF('01_Вводные'!$B$239="Да",MeanMinAge07+'19_Расчет_аналитики'!W2584*SUMIF(ThresholdAge07,"&lt;"&amp;'19_Расчет_аналитики'!W2584,WeightedRevAge07)-SUMIF(ThresholdAge07,"&lt;"&amp;'19_Расчет_аналитики'!W2584,WeightedMinAge07),MAX(CapacityAge07*'01_Вводные'!$B$218*'19_Расчет_аналитики'!W2584,MeanMinAge07)))</f>
        <v/>
      </c>
      <c r="X2522">
        <f>IF(OR(('19_Расчет_аналитики'!X2438-'19_Расчет_аналитики'!X2466)=0,7&lt;='01_Вводные'!$B$297),0,('19_Расчет_аналитики'!X2438-'19_Расчет_аналитики'!X2466)*IF('01_Вводные'!$B$239="Да",MeanMinAge07+'19_Расчет_аналитики'!X2584*SUMIF(ThresholdAge07,"&lt;"&amp;'19_Расчет_аналитики'!X2584,WeightedRevAge07)-SUMIF(ThresholdAge07,"&lt;"&amp;'19_Расчет_аналитики'!X2584,WeightedMinAge07),MAX(CapacityAge07*'01_Вводные'!$B$218*'19_Расчет_аналитики'!X2584,MeanMinAge07)))</f>
        <v/>
      </c>
      <c r="Y2522">
        <f>IF(OR(('19_Расчет_аналитики'!Y2438-'19_Расчет_аналитики'!Y2466)=0,7&lt;='01_Вводные'!$B$297),0,('19_Расчет_аналитики'!Y2438-'19_Расчет_аналитики'!Y2466)*IF('01_Вводные'!$B$239="Да",MeanMinAge07+'19_Расчет_аналитики'!Y2584*SUMIF(ThresholdAge07,"&lt;"&amp;'19_Расчет_аналитики'!Y2584,WeightedRevAge07)-SUMIF(ThresholdAge07,"&lt;"&amp;'19_Расчет_аналитики'!Y2584,WeightedMinAge07),MAX(CapacityAge07*'01_Вводные'!$B$218*'19_Расчет_аналитики'!Y2584,MeanMinAge07)))</f>
        <v/>
      </c>
      <c r="Z2522">
        <f>IF(OR(('19_Расчет_аналитики'!Z2438-'19_Расчет_аналитики'!Z2466)=0,7&lt;='01_Вводные'!$B$297),0,('19_Расчет_аналитики'!Z2438-'19_Расчет_аналитики'!Z2466)*IF('01_Вводные'!$B$239="Да",MeanMinAge07+'19_Расчет_аналитики'!Z2584*SUMIF(ThresholdAge07,"&lt;"&amp;'19_Расчет_аналитики'!Z2584,WeightedRevAge07)-SUMIF(ThresholdAge07,"&lt;"&amp;'19_Расчет_аналитики'!Z2584,WeightedMinAge07),MAX(CapacityAge07*'01_Вводные'!$B$218*'19_Расчет_аналитики'!Z2584,MeanMinAge07)))</f>
        <v/>
      </c>
      <c r="AA2522">
        <f>IF(OR(('19_Расчет_аналитики'!AA2438-'19_Расчет_аналитики'!AA2466)=0,7&lt;='01_Вводные'!$B$297),0,('19_Расчет_аналитики'!AA2438-'19_Расчет_аналитики'!AA2466)*IF('01_Вводные'!$B$239="Да",MeanMinAge07+'19_Расчет_аналитики'!AA2584*SUMIF(ThresholdAge07,"&lt;"&amp;'19_Расчет_аналитики'!AA2584,WeightedRevAge07)-SUMIF(ThresholdAge07,"&lt;"&amp;'19_Расчет_аналитики'!AA2584,WeightedMinAge07),MAX(CapacityAge07*'01_Вводные'!$B$218*'19_Расчет_аналитики'!AA2584,MeanMinAge07)))</f>
        <v/>
      </c>
      <c r="AB2522">
        <f>IF(OR(('19_Расчет_аналитики'!AB2438-'19_Расчет_аналитики'!AB2466)=0,7&lt;='01_Вводные'!$B$297),0,('19_Расчет_аналитики'!AB2438-'19_Расчет_аналитики'!AB2466)*IF('01_Вводные'!$B$239="Да",MeanMinAge07+'19_Расчет_аналитики'!AB2584*SUMIF(ThresholdAge07,"&lt;"&amp;'19_Расчет_аналитики'!AB2584,WeightedRevAge07)-SUMIF(ThresholdAge07,"&lt;"&amp;'19_Расчет_аналитики'!AB2584,WeightedMinAge07),MAX(CapacityAge07*'01_Вводные'!$B$218*'19_Расчет_аналитики'!AB2584,MeanMinAge07)))</f>
        <v/>
      </c>
      <c r="AC2522">
        <f>IF(OR(('19_Расчет_аналитики'!AC2438-'19_Расчет_аналитики'!AC2466)=0,7&lt;='01_Вводные'!$B$297),0,('19_Расчет_аналитики'!AC2438-'19_Расчет_аналитики'!AC2466)*IF('01_Вводные'!$B$239="Да",MeanMinAge07+'19_Расчет_аналитики'!AC2584*SUMIF(ThresholdAge07,"&lt;"&amp;'19_Расчет_аналитики'!AC2584,WeightedRevAge07)-SUMIF(ThresholdAge07,"&lt;"&amp;'19_Расчет_аналитики'!AC2584,WeightedMinAge07),MAX(CapacityAge07*'01_Вводные'!$B$218*'19_Расчет_аналитики'!AC2584,MeanMinAge07)))</f>
        <v/>
      </c>
      <c r="AD2522">
        <f>IF(OR(('19_Расчет_аналитики'!AD2438-'19_Расчет_аналитики'!AD2466)=0,7&lt;='01_Вводные'!$B$297),0,('19_Расчет_аналитики'!AD2438-'19_Расчет_аналитики'!AD2466)*IF('01_Вводные'!$B$239="Да",MeanMinAge07+'19_Расчет_аналитики'!AD2584*SUMIF(ThresholdAge07,"&lt;"&amp;'19_Расчет_аналитики'!AD2584,WeightedRevAge07)-SUMIF(ThresholdAge07,"&lt;"&amp;'19_Расчет_аналитики'!AD2584,WeightedMinAge07),MAX(CapacityAge07*'01_Вводные'!$B$218*'19_Расчет_аналитики'!AD2584,MeanMinAge07)))</f>
        <v/>
      </c>
      <c r="AE2522">
        <f>IF(OR(('19_Расчет_аналитики'!AE2438-'19_Расчет_аналитики'!AE2466)=0,7&lt;='01_Вводные'!$B$297),0,('19_Расчет_аналитики'!AE2438-'19_Расчет_аналитики'!AE2466)*IF('01_Вводные'!$B$239="Да",MeanMinAge07+'19_Расчет_аналитики'!AE2584*SUMIF(ThresholdAge07,"&lt;"&amp;'19_Расчет_аналитики'!AE2584,WeightedRevAge07)-SUMIF(ThresholdAge07,"&lt;"&amp;'19_Расчет_аналитики'!AE2584,WeightedMinAge07),MAX(CapacityAge07*'01_Вводные'!$B$218*'19_Расчет_аналитики'!AE2584,MeanMinAge07)))</f>
        <v/>
      </c>
      <c r="AF2522">
        <f>IF(OR(('19_Расчет_аналитики'!AF2438-'19_Расчет_аналитики'!AF2466)=0,7&lt;='01_Вводные'!$B$297),0,('19_Расчет_аналитики'!AF2438-'19_Расчет_аналитики'!AF2466)*IF('01_Вводные'!$B$239="Да",MeanMinAge07+'19_Расчет_аналитики'!AF2584*SUMIF(ThresholdAge07,"&lt;"&amp;'19_Расчет_аналитики'!AF2584,WeightedRevAge07)-SUMIF(ThresholdAge07,"&lt;"&amp;'19_Расчет_аналитики'!AF2584,WeightedMinAge07),MAX(CapacityAge07*'01_Вводные'!$B$218*'19_Расчет_аналитики'!AF2584,MeanMinAge07)))</f>
        <v/>
      </c>
      <c r="AG2522">
        <f>IF(OR(('19_Расчет_аналитики'!AG2438-'19_Расчет_аналитики'!AG2466)=0,7&lt;='01_Вводные'!$B$297),0,('19_Расчет_аналитики'!AG2438-'19_Расчет_аналитики'!AG2466)*IF('01_Вводные'!$B$239="Да",MeanMinAge07+'19_Расчет_аналитики'!AG2584*SUMIF(ThresholdAge07,"&lt;"&amp;'19_Расчет_аналитики'!AG2584,WeightedRevAge07)-SUMIF(ThresholdAge07,"&lt;"&amp;'19_Расчет_аналитики'!AG2584,WeightedMinAge07),MAX(CapacityAge07*'01_Вводные'!$B$218*'19_Расчет_аналитики'!AG2584,MeanMinAge07)))</f>
        <v/>
      </c>
      <c r="AH2522">
        <f>IF(OR(('19_Расчет_аналитики'!AH2438-'19_Расчет_аналитики'!AH2466)=0,7&lt;='01_Вводные'!$B$297),0,('19_Расчет_аналитики'!AH2438-'19_Расчет_аналитики'!AH2466)*IF('01_Вводные'!$B$239="Да",MeanMinAge07+'19_Расчет_аналитики'!AH2584*SUMIF(ThresholdAge07,"&lt;"&amp;'19_Расчет_аналитики'!AH2584,WeightedRevAge07)-SUMIF(ThresholdAge07,"&lt;"&amp;'19_Расчет_аналитики'!AH2584,WeightedMinAge07),MAX(CapacityAge07*'01_Вводные'!$B$218*'19_Расчет_аналитики'!AH2584,MeanMinAge07)))</f>
        <v/>
      </c>
      <c r="AI2522">
        <f>IF(OR(('19_Расчет_аналитики'!AI2438-'19_Расчет_аналитики'!AI2466)=0,7&lt;='01_Вводные'!$B$297),0,('19_Расчет_аналитики'!AI2438-'19_Расчет_аналитики'!AI2466)*IF('01_Вводные'!$B$239="Да",MeanMinAge07+'19_Расчет_аналитики'!AI2584*SUMIF(ThresholdAge07,"&lt;"&amp;'19_Расчет_аналитики'!AI2584,WeightedRevAge07)-SUMIF(ThresholdAge07,"&lt;"&amp;'19_Расчет_аналитики'!AI2584,WeightedMinAge07),MAX(CapacityAge07*'01_Вводные'!$B$218*'19_Расчет_аналитики'!AI2584,MeanMinAge07)))</f>
        <v/>
      </c>
      <c r="AJ2522">
        <f>IF(OR(('19_Расчет_аналитики'!AJ2438-'19_Расчет_аналитики'!AJ2466)=0,7&lt;='01_Вводные'!$B$297),0,('19_Расчет_аналитики'!AJ2438-'19_Расчет_аналитики'!AJ2466)*IF('01_Вводные'!$B$239="Да",MeanMinAge07+'19_Расчет_аналитики'!AJ2584*SUMIF(ThresholdAge07,"&lt;"&amp;'19_Расчет_аналитики'!AJ2584,WeightedRevAge07)-SUMIF(ThresholdAge07,"&lt;"&amp;'19_Расчет_аналитики'!AJ2584,WeightedMinAge07),MAX(CapacityAge07*'01_Вводные'!$B$218*'19_Расчет_аналитики'!AJ2584,MeanMinAge07)))</f>
        <v/>
      </c>
      <c r="AK2522">
        <f>IF(OR(('19_Расчет_аналитики'!AK2438-'19_Расчет_аналитики'!AK2466)=0,7&lt;='01_Вводные'!$B$297),0,('19_Расчет_аналитики'!AK2438-'19_Расчет_аналитики'!AK2466)*IF('01_Вводные'!$B$239="Да",MeanMinAge07+'19_Расчет_аналитики'!AK2584*SUMIF(ThresholdAge07,"&lt;"&amp;'19_Расчет_аналитики'!AK2584,WeightedRevAge07)-SUMIF(ThresholdAge07,"&lt;"&amp;'19_Расчет_аналитики'!AK2584,WeightedMinAge07),MAX(CapacityAge07*'01_Вводные'!$B$218*'19_Расчет_аналитики'!AK2584,MeanMinAge07)))</f>
        <v/>
      </c>
      <c r="AL2522">
        <f>IF(OR(('19_Расчет_аналитики'!AL2438-'19_Расчет_аналитики'!AL2466)=0,7&lt;='01_Вводные'!$B$297),0,('19_Расчет_аналитики'!AL2438-'19_Расчет_аналитики'!AL2466)*IF('01_Вводные'!$B$239="Да",MeanMinAge07+'19_Расчет_аналитики'!AL2584*SUMIF(ThresholdAge07,"&lt;"&amp;'19_Расчет_аналитики'!AL2584,WeightedRevAge07)-SUMIF(ThresholdAge07,"&lt;"&amp;'19_Расчет_аналитики'!AL2584,WeightedMinAge07),MAX(CapacityAge07*'01_Вводные'!$B$218*'19_Расчет_аналитики'!AL2584,MeanMinAge07)))</f>
        <v/>
      </c>
      <c r="AM2522">
        <f>IF(OR(('19_Расчет_аналитики'!AM2438-'19_Расчет_аналитики'!AM2466)=0,7&lt;='01_Вводные'!$B$297),0,('19_Расчет_аналитики'!AM2438-'19_Расчет_аналитики'!AM2466)*IF('01_Вводные'!$B$239="Да",MeanMinAge07+'19_Расчет_аналитики'!AM2584*SUMIF(ThresholdAge07,"&lt;"&amp;'19_Расчет_аналитики'!AM2584,WeightedRevAge07)-SUMIF(ThresholdAge07,"&lt;"&amp;'19_Расчет_аналитики'!AM2584,WeightedMinAge07),MAX(CapacityAge07*'01_Вводные'!$B$218*'19_Расчет_аналитики'!AM2584,MeanMinAge07)))</f>
        <v/>
      </c>
      <c r="AN2522">
        <f>IF(OR(('19_Расчет_аналитики'!AN2438-'19_Расчет_аналитики'!AN2466)=0,7&lt;='01_Вводные'!$B$297),0,('19_Расчет_аналитики'!AN2438-'19_Расчет_аналитики'!AN2466)*IF('01_Вводные'!$B$239="Да",MeanMinAge07+'19_Расчет_аналитики'!AN2584*SUMIF(ThresholdAge07,"&lt;"&amp;'19_Расчет_аналитики'!AN2584,WeightedRevAge07)-SUMIF(ThresholdAge07,"&lt;"&amp;'19_Расчет_аналитики'!AN2584,WeightedMinAge07),MAX(CapacityAge07*'01_Вводные'!$B$218*'19_Расчет_аналитики'!AN2584,MeanMinAge07)))</f>
        <v/>
      </c>
      <c r="AO2522">
        <f>IF(OR(('19_Расчет_аналитики'!AO2438-'19_Расчет_аналитики'!AO2466)=0,7&lt;='01_Вводные'!$B$297),0,('19_Расчет_аналитики'!AO2438-'19_Расчет_аналитики'!AO2466)*IF('01_Вводные'!$B$239="Да",MeanMinAge07+'19_Расчет_аналитики'!AO2584*SUMIF(ThresholdAge07,"&lt;"&amp;'19_Расчет_аналитики'!AO2584,WeightedRevAge07)-SUMIF(ThresholdAge07,"&lt;"&amp;'19_Расчет_аналитики'!AO2584,WeightedMinAge07),MAX(CapacityAge07*'01_Вводные'!$B$218*'19_Расчет_аналитики'!AO2584,MeanMinAge07)))</f>
        <v/>
      </c>
      <c r="AP2522">
        <f>IF(OR(('19_Расчет_аналитики'!AP2438-'19_Расчет_аналитики'!AP2466)=0,7&lt;='01_Вводные'!$B$297),0,('19_Расчет_аналитики'!AP2438-'19_Расчет_аналитики'!AP2466)*IF('01_Вводные'!$B$239="Да",MeanMinAge07+'19_Расчет_аналитики'!AP2584*SUMIF(ThresholdAge07,"&lt;"&amp;'19_Расчет_аналитики'!AP2584,WeightedRevAge07)-SUMIF(ThresholdAge07,"&lt;"&amp;'19_Расчет_аналитики'!AP2584,WeightedMinAge07),MAX(CapacityAge07*'01_Вводные'!$B$218*'19_Расчет_аналитики'!AP2584,MeanMinAge07)))</f>
        <v/>
      </c>
      <c r="AQ2522">
        <f>IF(OR(('19_Расчет_аналитики'!AQ2438-'19_Расчет_аналитики'!AQ2466)=0,7&lt;='01_Вводные'!$B$297),0,('19_Расчет_аналитики'!AQ2438-'19_Расчет_аналитики'!AQ2466)*IF('01_Вводные'!$B$239="Да",MeanMinAge07+'19_Расчет_аналитики'!AQ2584*SUMIF(ThresholdAge07,"&lt;"&amp;'19_Расчет_аналитики'!AQ2584,WeightedRevAge07)-SUMIF(ThresholdAge07,"&lt;"&amp;'19_Расчет_аналитики'!AQ2584,WeightedMinAge07),MAX(CapacityAge07*'01_Вводные'!$B$218*'19_Расчет_аналитики'!AQ2584,MeanMinAge07)))</f>
        <v/>
      </c>
      <c r="AR2522">
        <f>IF(OR(('19_Расчет_аналитики'!AR2438-'19_Расчет_аналитики'!AR2466)=0,7&lt;='01_Вводные'!$B$297),0,('19_Расчет_аналитики'!AR2438-'19_Расчет_аналитики'!AR2466)*IF('01_Вводные'!$B$239="Да",MeanMinAge07+'19_Расчет_аналитики'!AR2584*SUMIF(ThresholdAge07,"&lt;"&amp;'19_Расчет_аналитики'!AR2584,WeightedRevAge07)-SUMIF(ThresholdAge07,"&lt;"&amp;'19_Расчет_аналитики'!AR2584,WeightedMinAge07),MAX(CapacityAge07*'01_Вводные'!$B$218*'19_Расчет_аналитики'!AR2584,MeanMinAge07)))</f>
        <v/>
      </c>
      <c r="AS2522">
        <f>IF(OR(('19_Расчет_аналитики'!AS2438-'19_Расчет_аналитики'!AS2466)=0,7&lt;='01_Вводные'!$B$297),0,('19_Расчет_аналитики'!AS2438-'19_Расчет_аналитики'!AS2466)*IF('01_Вводные'!$B$239="Да",MeanMinAge07+'19_Расчет_аналитики'!AS2584*SUMIF(ThresholdAge07,"&lt;"&amp;'19_Расчет_аналитики'!AS2584,WeightedRevAge07)-SUMIF(ThresholdAge07,"&lt;"&amp;'19_Расчет_аналитики'!AS2584,WeightedMinAge07),MAX(CapacityAge07*'01_Вводные'!$B$218*'19_Расчет_аналитики'!AS2584,MeanMinAge07)))</f>
        <v/>
      </c>
      <c r="AT2522">
        <f>IF(OR(('19_Расчет_аналитики'!AT2438-'19_Расчет_аналитики'!AT2466)=0,7&lt;='01_Вводные'!$B$297),0,('19_Расчет_аналитики'!AT2438-'19_Расчет_аналитики'!AT2466)*IF('01_Вводные'!$B$239="Да",MeanMinAge07+'19_Расчет_аналитики'!AT2584*SUMIF(ThresholdAge07,"&lt;"&amp;'19_Расчет_аналитики'!AT2584,WeightedRevAge07)-SUMIF(ThresholdAge07,"&lt;"&amp;'19_Расчет_аналитики'!AT2584,WeightedMinAge07),MAX(CapacityAge07*'01_Вводные'!$B$218*'19_Расчет_аналитики'!AT2584,MeanMinAge07)))</f>
        <v/>
      </c>
      <c r="AU2522">
        <f>IF(OR(('19_Расчет_аналитики'!AU2438-'19_Расчет_аналитики'!AU2466)=0,7&lt;='01_Вводные'!$B$297),0,('19_Расчет_аналитики'!AU2438-'19_Расчет_аналитики'!AU2466)*IF('01_Вводные'!$B$239="Да",MeanMinAge07+'19_Расчет_аналитики'!AU2584*SUMIF(ThresholdAge07,"&lt;"&amp;'19_Расчет_аналитики'!AU2584,WeightedRevAge07)-SUMIF(ThresholdAge07,"&lt;"&amp;'19_Расчет_аналитики'!AU2584,WeightedMinAge07),MAX(CapacityAge07*'01_Вводные'!$B$218*'19_Расчет_аналитики'!AU2584,MeanMinAge07)))</f>
        <v/>
      </c>
      <c r="AV2522">
        <f>IF(OR(('19_Расчет_аналитики'!AV2438-'19_Расчет_аналитики'!AV2466)=0,7&lt;='01_Вводные'!$B$297),0,('19_Расчет_аналитики'!AV2438-'19_Расчет_аналитики'!AV2466)*IF('01_Вводные'!$B$239="Да",MeanMinAge07+'19_Расчет_аналитики'!AV2584*SUMIF(ThresholdAge07,"&lt;"&amp;'19_Расчет_аналитики'!AV2584,WeightedRevAge07)-SUMIF(ThresholdAge07,"&lt;"&amp;'19_Расчет_аналитики'!AV2584,WeightedMinAge07),MAX(CapacityAge07*'01_Вводные'!$B$218*'19_Расчет_аналитики'!AV2584,MeanMinAge07)))</f>
        <v/>
      </c>
      <c r="AW2522">
        <f>IF(OR(('19_Расчет_аналитики'!AW2438-'19_Расчет_аналитики'!AW2466)=0,7&lt;='01_Вводные'!$B$297),0,('19_Расчет_аналитики'!AW2438-'19_Расчет_аналитики'!AW2466)*IF('01_Вводные'!$B$239="Да",MeanMinAge07+'19_Расчет_аналитики'!AW2584*SUMIF(ThresholdAge07,"&lt;"&amp;'19_Расчет_аналитики'!AW2584,WeightedRevAge07)-SUMIF(ThresholdAge07,"&lt;"&amp;'19_Расчет_аналитики'!AW2584,WeightedMinAge07),MAX(CapacityAge07*'01_Вводные'!$B$218*'19_Расчет_аналитики'!AW2584,MeanMinAge07)))</f>
        <v/>
      </c>
      <c r="AX2522">
        <f>IF(OR(('19_Расчет_аналитики'!AX2438-'19_Расчет_аналитики'!AX2466)=0,7&lt;='01_Вводные'!$B$297),0,('19_Расчет_аналитики'!AX2438-'19_Расчет_аналитики'!AX2466)*IF('01_Вводные'!$B$239="Да",MeanMinAge07+'19_Расчет_аналитики'!AX2584*SUMIF(ThresholdAge07,"&lt;"&amp;'19_Расчет_аналитики'!AX2584,WeightedRevAge07)-SUMIF(ThresholdAge07,"&lt;"&amp;'19_Расчет_аналитики'!AX2584,WeightedMinAge07),MAX(CapacityAge07*'01_Вводные'!$B$218*'19_Расчет_аналитики'!AX2584,MeanMinAge07)))</f>
        <v/>
      </c>
      <c r="AY2522">
        <f>IF(OR(('19_Расчет_аналитики'!AY2438-'19_Расчет_аналитики'!AY2466)=0,7&lt;='01_Вводные'!$B$297),0,('19_Расчет_аналитики'!AY2438-'19_Расчет_аналитики'!AY2466)*IF('01_Вводные'!$B$239="Да",MeanMinAge07+'19_Расчет_аналитики'!AY2584*SUMIF(ThresholdAge07,"&lt;"&amp;'19_Расчет_аналитики'!AY2584,WeightedRevAge07)-SUMIF(ThresholdAge07,"&lt;"&amp;'19_Расчет_аналитики'!AY2584,WeightedMinAge07),MAX(CapacityAge07*'01_Вводные'!$B$218*'19_Расчет_аналитики'!AY2584,MeanMinAge07)))</f>
        <v/>
      </c>
      <c r="AZ2522">
        <f>IF(OR(('19_Расчет_аналитики'!AZ2438-'19_Расчет_аналитики'!AZ2466)=0,7&lt;='01_Вводные'!$B$297),0,('19_Расчет_аналитики'!AZ2438-'19_Расчет_аналитики'!AZ2466)*IF('01_Вводные'!$B$239="Да",MeanMinAge07+'19_Расчет_аналитики'!AZ2584*SUMIF(ThresholdAge07,"&lt;"&amp;'19_Расчет_аналитики'!AZ2584,WeightedRevAge07)-SUMIF(ThresholdAge07,"&lt;"&amp;'19_Расчет_аналитики'!AZ2584,WeightedMinAge07),MAX(CapacityAge07*'01_Вводные'!$B$218*'19_Расчет_аналитики'!AZ2584,MeanMinAge07)))</f>
        <v/>
      </c>
      <c r="BA2522">
        <f>IF(OR(('19_Расчет_аналитики'!BA2438-'19_Расчет_аналитики'!BA2466)=0,7&lt;='01_Вводные'!$B$297),0,('19_Расчет_аналитики'!BA2438-'19_Расчет_аналитики'!BA2466)*IF('01_Вводные'!$B$239="Да",MeanMinAge07+'19_Расчет_аналитики'!BA2584*SUMIF(ThresholdAge07,"&lt;"&amp;'19_Расчет_аналитики'!BA2584,WeightedRevAge07)-SUMIF(ThresholdAge07,"&lt;"&amp;'19_Расчет_аналитики'!BA2584,WeightedMinAge07),MAX(CapacityAge07*'01_Вводные'!$B$218*'19_Расчет_аналитики'!BA2584,MeanMinAge07)))</f>
        <v/>
      </c>
      <c r="BB2522">
        <f>IF(OR(('19_Расчет_аналитики'!BB2438-'19_Расчет_аналитики'!BB2466)=0,7&lt;='01_Вводные'!$B$297),0,('19_Расчет_аналитики'!BB2438-'19_Расчет_аналитики'!BB2466)*IF('01_Вводные'!$B$239="Да",MeanMinAge07+'19_Расчет_аналитики'!BB2584*SUMIF(ThresholdAge07,"&lt;"&amp;'19_Расчет_аналитики'!BB2584,WeightedRevAge07)-SUMIF(ThresholdAge07,"&lt;"&amp;'19_Расчет_аналитики'!BB2584,WeightedMinAge07),MAX(CapacityAge07*'01_Вводные'!$B$218*'19_Расчет_аналитики'!BB2584,MeanMinAge07)))</f>
        <v/>
      </c>
      <c r="BC2522">
        <f>IF(OR(('19_Расчет_аналитики'!BC2438-'19_Расчет_аналитики'!BC2466)=0,7&lt;='01_Вводные'!$B$297),0,('19_Расчет_аналитики'!BC2438-'19_Расчет_аналитики'!BC2466)*IF('01_Вводные'!$B$239="Да",MeanMinAge07+'19_Расчет_аналитики'!BC2584*SUMIF(ThresholdAge07,"&lt;"&amp;'19_Расчет_аналитики'!BC2584,WeightedRevAge07)-SUMIF(ThresholdAge07,"&lt;"&amp;'19_Расчет_аналитики'!BC2584,WeightedMinAge07),MAX(CapacityAge07*'01_Вводные'!$B$218*'19_Расчет_аналитики'!BC2584,MeanMinAge07)))</f>
        <v/>
      </c>
      <c r="BD2522">
        <f>IF(OR(('19_Расчет_аналитики'!BD2438-'19_Расчет_аналитики'!BD2466)=0,7&lt;='01_Вводные'!$B$297),0,('19_Расчет_аналитики'!BD2438-'19_Расчет_аналитики'!BD2466)*IF('01_Вводные'!$B$239="Да",MeanMinAge07+'19_Расчет_аналитики'!BD2584*SUMIF(ThresholdAge07,"&lt;"&amp;'19_Расчет_аналитики'!BD2584,WeightedRevAge07)-SUMIF(ThresholdAge07,"&lt;"&amp;'19_Расчет_аналитики'!BD2584,WeightedMinAge07),MAX(CapacityAge07*'01_Вводные'!$B$218*'19_Расчет_аналитики'!BD2584,MeanMinAge07)))</f>
        <v/>
      </c>
      <c r="BE2522">
        <f>IF(OR(('19_Расчет_аналитики'!BE2438-'19_Расчет_аналитики'!BE2466)=0,7&lt;='01_Вводные'!$B$297),0,('19_Расчет_аналитики'!BE2438-'19_Расчет_аналитики'!BE2466)*IF('01_Вводные'!$B$239="Да",MeanMinAge07+'19_Расчет_аналитики'!BE2584*SUMIF(ThresholdAge07,"&lt;"&amp;'19_Расчет_аналитики'!BE2584,WeightedRevAge07)-SUMIF(ThresholdAge07,"&lt;"&amp;'19_Расчет_аналитики'!BE2584,WeightedMinAge07),MAX(CapacityAge07*'01_Вводные'!$B$218*'19_Расчет_аналитики'!BE2584,MeanMinAge07)))</f>
        <v/>
      </c>
      <c r="BF2522">
        <f>IF(OR(('19_Расчет_аналитики'!BF2438-'19_Расчет_аналитики'!BF2466)=0,7&lt;='01_Вводные'!$B$297),0,('19_Расчет_аналитики'!BF2438-'19_Расчет_аналитики'!BF2466)*IF('01_Вводные'!$B$239="Да",MeanMinAge07+'19_Расчет_аналитики'!BF2584*SUMIF(ThresholdAge07,"&lt;"&amp;'19_Расчет_аналитики'!BF2584,WeightedRevAge07)-SUMIF(ThresholdAge07,"&lt;"&amp;'19_Расчет_аналитики'!BF2584,WeightedMinAge07),MAX(CapacityAge07*'01_Вводные'!$B$218*'19_Расчет_аналитики'!BF2584,MeanMinAge07)))</f>
        <v/>
      </c>
      <c r="BG2522">
        <f>IF(OR(('19_Расчет_аналитики'!BG2438-'19_Расчет_аналитики'!BG2466)=0,7&lt;='01_Вводные'!$B$297),0,('19_Расчет_аналитики'!BG2438-'19_Расчет_аналитики'!BG2466)*IF('01_Вводные'!$B$239="Да",MeanMinAge07+'19_Расчет_аналитики'!BG2584*SUMIF(ThresholdAge07,"&lt;"&amp;'19_Расчет_аналитики'!BG2584,WeightedRevAge07)-SUMIF(ThresholdAge07,"&lt;"&amp;'19_Расчет_аналитики'!BG2584,WeightedMinAge07),MAX(CapacityAge07*'01_Вводные'!$B$218*'19_Расчет_аналитики'!BG2584,MeanMinAge07)))</f>
        <v/>
      </c>
      <c r="BH2522">
        <f>IF(OR(('19_Расчет_аналитики'!BH2438-'19_Расчет_аналитики'!BH2466)=0,7&lt;='01_Вводные'!$B$297),0,('19_Расчет_аналитики'!BH2438-'19_Расчет_аналитики'!BH2466)*IF('01_Вводные'!$B$239="Да",MeanMinAge07+'19_Расчет_аналитики'!BH2584*SUMIF(ThresholdAge07,"&lt;"&amp;'19_Расчет_аналитики'!BH2584,WeightedRevAge07)-SUMIF(ThresholdAge07,"&lt;"&amp;'19_Расчет_аналитики'!BH2584,WeightedMinAge07),MAX(CapacityAge07*'01_Вводные'!$B$218*'19_Расчет_аналитики'!BH2584,MeanMinAge07)))</f>
        <v/>
      </c>
      <c r="BI2522">
        <f>IF(OR(('19_Расчет_аналитики'!BI2438-'19_Расчет_аналитики'!BI2466)=0,7&lt;='01_Вводные'!$B$297),0,('19_Расчет_аналитики'!BI2438-'19_Расчет_аналитики'!BI2466)*IF('01_Вводные'!$B$239="Да",MeanMinAge07+'19_Расчет_аналитики'!BI2584*SUMIF(ThresholdAge07,"&lt;"&amp;'19_Расчет_аналитики'!BI2584,WeightedRevAge07)-SUMIF(ThresholdAge07,"&lt;"&amp;'19_Расчет_аналитики'!BI2584,WeightedMinAge07),MAX(CapacityAge07*'01_Вводные'!$B$218*'19_Расчет_аналитики'!BI2584,MeanMinAge07)))</f>
        <v/>
      </c>
      <c r="BJ2522">
        <f>IF(OR(('19_Расчет_аналитики'!BJ2438-'19_Расчет_аналитики'!BJ2466)=0,7&lt;='01_Вводные'!$B$297),0,('19_Расчет_аналитики'!BJ2438-'19_Расчет_аналитики'!BJ2466)*IF('01_Вводные'!$B$239="Да",MeanMinAge07+'19_Расчет_аналитики'!BJ2584*SUMIF(ThresholdAge07,"&lt;"&amp;'19_Расчет_аналитики'!BJ2584,WeightedRevAge07)-SUMIF(ThresholdAge07,"&lt;"&amp;'19_Расчет_аналитики'!BJ2584,WeightedMinAge07),MAX(CapacityAge07*'01_Вводные'!$B$218*'19_Расчет_аналитики'!BJ2584,MeanMinAge07)))</f>
        <v/>
      </c>
      <c r="BK2522">
        <f>IF(OR(('19_Расчет_аналитики'!BK2438-'19_Расчет_аналитики'!BK2466)=0,7&lt;='01_Вводные'!$B$297),0,('19_Расчет_аналитики'!BK2438-'19_Расчет_аналитики'!BK2466)*IF('01_Вводные'!$B$239="Да",MeanMinAge07+'19_Расчет_аналитики'!BK2584*SUMIF(ThresholdAge07,"&lt;"&amp;'19_Расчет_аналитики'!BK2584,WeightedRevAge07)-SUMIF(ThresholdAge07,"&lt;"&amp;'19_Расчет_аналитики'!BK2584,WeightedMinAge07),MAX(CapacityAge07*'01_Вводные'!$B$218*'19_Расчет_аналитики'!BK2584,MeanMinAge07)))</f>
        <v/>
      </c>
      <c r="BL2522">
        <f>IF(OR(('19_Расчет_аналитики'!BL2438-'19_Расчет_аналитики'!BL2466)=0,7&lt;='01_Вводные'!$B$297),0,('19_Расчет_аналитики'!BL2438-'19_Расчет_аналитики'!BL2466)*IF('01_Вводные'!$B$239="Да",MeanMinAge07+'19_Расчет_аналитики'!BL2584*SUMIF(ThresholdAge07,"&lt;"&amp;'19_Расчет_аналитики'!BL2584,WeightedRevAge07)-SUMIF(ThresholdAge07,"&lt;"&amp;'19_Расчет_аналитики'!BL2584,WeightedMinAge07),MAX(CapacityAge07*'01_Вводные'!$B$218*'19_Расчет_аналитики'!BL2584,MeanMinAge07)))</f>
        <v/>
      </c>
      <c r="BM2522">
        <f>IF(OR(('19_Расчет_аналитики'!BM2438-'19_Расчет_аналитики'!BM2466)=0,7&lt;='01_Вводные'!$B$297),0,('19_Расчет_аналитики'!BM2438-'19_Расчет_аналитики'!BM2466)*IF('01_Вводные'!$B$239="Да",MeanMinAge07+'19_Расчет_аналитики'!BM2584*SUMIF(ThresholdAge07,"&lt;"&amp;'19_Расчет_аналитики'!BM2584,WeightedRevAge07)-SUMIF(ThresholdAge07,"&lt;"&amp;'19_Расчет_аналитики'!BM2584,WeightedMinAge07),MAX(CapacityAge07*'01_Вводные'!$B$218*'19_Расчет_аналитики'!BM2584,MeanMinAge07)))</f>
        <v/>
      </c>
      <c r="BN2522">
        <f>IF(OR(('19_Расчет_аналитики'!BN2438-'19_Расчет_аналитики'!BN2466)=0,7&lt;='01_Вводные'!$B$297),0,('19_Расчет_аналитики'!BN2438-'19_Расчет_аналитики'!BN2466)*IF('01_Вводные'!$B$239="Да",MeanMinAge07+'19_Расчет_аналитики'!BN2584*SUMIF(ThresholdAge07,"&lt;"&amp;'19_Расчет_аналитики'!BN2584,WeightedRevAge07)-SUMIF(ThresholdAge07,"&lt;"&amp;'19_Расчет_аналитики'!BN2584,WeightedMinAge07),MAX(CapacityAge07*'01_Вводные'!$B$218*'19_Расчет_аналитики'!BN2584,MeanMinAge07)))</f>
        <v/>
      </c>
      <c r="BO2522">
        <f>IF(OR(('19_Расчет_аналитики'!BO2438-'19_Расчет_аналитики'!BO2466)=0,7&lt;='01_Вводные'!$B$297),0,('19_Расчет_аналитики'!BO2438-'19_Расчет_аналитики'!BO2466)*IF('01_Вводные'!$B$239="Да",MeanMinAge07+'19_Расчет_аналитики'!BO2584*SUMIF(ThresholdAge07,"&lt;"&amp;'19_Расчет_аналитики'!BO2584,WeightedRevAge07)-SUMIF(ThresholdAge07,"&lt;"&amp;'19_Расчет_аналитики'!BO2584,WeightedMinAge07),MAX(CapacityAge07*'01_Вводные'!$B$218*'19_Расчет_аналитики'!BO2584,MeanMinAge07)))</f>
        <v/>
      </c>
    </row>
    <row r="2523">
      <c r="B2523">
        <f>IF(OR(('06_Сеть_и_дети'!B60-'06_Сеть_и_дети'!B88)=0,8&lt;='01_Вводные'!$B$297),0,('06_Сеть_и_дети'!B60-'06_Сеть_и_дети'!B88)*IF('01_Вводные'!$B$239="Да",MeanMinAge08+'19_Расчет_аналитики'!B2584*SUMIF(ThresholdAge08,"&lt;"&amp;'19_Расчет_аналитики'!B2584,WeightedRevAge08)-SUMIF(ThresholdAge08,"&lt;"&amp;'19_Расчет_аналитики'!B2584,WeightedMinAge08),MAX(CapacityAge08*'01_Вводные'!$B$218*'19_Расчет_аналитики'!B2584,MeanMinAge08)))</f>
        <v/>
      </c>
      <c r="C2523">
        <f>IF(OR(('06_Сеть_и_дети'!C60-'06_Сеть_и_дети'!C88)=0,8&lt;='01_Вводные'!$B$297),0,('06_Сеть_и_дети'!C60-'06_Сеть_и_дети'!C88)*IF('01_Вводные'!$B$239="Да",MeanMinAge08+'19_Расчет_аналитики'!C2584*SUMIF(ThresholdAge08,"&lt;"&amp;'19_Расчет_аналитики'!C2584,WeightedRevAge08)-SUMIF(ThresholdAge08,"&lt;"&amp;'19_Расчет_аналитики'!C2584,WeightedMinAge08),MAX(CapacityAge08*'01_Вводные'!$B$218*'19_Расчет_аналитики'!C2584,MeanMinAge08)))</f>
        <v/>
      </c>
      <c r="D2523">
        <f>IF(OR(('06_Сеть_и_дети'!D60-'06_Сеть_и_дети'!D88)=0,8&lt;='01_Вводные'!$B$297),0,('06_Сеть_и_дети'!D60-'06_Сеть_и_дети'!D88)*IF('01_Вводные'!$B$239="Да",MeanMinAge08+'19_Расчет_аналитики'!D2584*SUMIF(ThresholdAge08,"&lt;"&amp;'19_Расчет_аналитики'!D2584,WeightedRevAge08)-SUMIF(ThresholdAge08,"&lt;"&amp;'19_Расчет_аналитики'!D2584,WeightedMinAge08),MAX(CapacityAge08*'01_Вводные'!$B$218*'19_Расчет_аналитики'!D2584,MeanMinAge08)))</f>
        <v/>
      </c>
      <c r="E2523">
        <f>IF(OR(('06_Сеть_и_дети'!E60-'06_Сеть_и_дети'!E88)=0,8&lt;='01_Вводные'!$B$297),0,('06_Сеть_и_дети'!E60-'06_Сеть_и_дети'!E88)*IF('01_Вводные'!$B$239="Да",MeanMinAge08+'19_Расчет_аналитики'!E2584*SUMIF(ThresholdAge08,"&lt;"&amp;'19_Расчет_аналитики'!E2584,WeightedRevAge08)-SUMIF(ThresholdAge08,"&lt;"&amp;'19_Расчет_аналитики'!E2584,WeightedMinAge08),MAX(CapacityAge08*'01_Вводные'!$B$218*'19_Расчет_аналитики'!E2584,MeanMinAge08)))</f>
        <v/>
      </c>
      <c r="F2523">
        <f>IF(OR(('06_Сеть_и_дети'!F60-'06_Сеть_и_дети'!F88)=0,8&lt;='01_Вводные'!$B$297),0,('06_Сеть_и_дети'!F60-'06_Сеть_и_дети'!F88)*IF('01_Вводные'!$B$239="Да",MeanMinAge08+'19_Расчет_аналитики'!F2584*SUMIF(ThresholdAge08,"&lt;"&amp;'19_Расчет_аналитики'!F2584,WeightedRevAge08)-SUMIF(ThresholdAge08,"&lt;"&amp;'19_Расчет_аналитики'!F2584,WeightedMinAge08),MAX(CapacityAge08*'01_Вводные'!$B$218*'19_Расчет_аналитики'!F2584,MeanMinAge08)))</f>
        <v/>
      </c>
      <c r="G2523">
        <f>IF(OR(('06_Сеть_и_дети'!G60-'06_Сеть_и_дети'!G88)=0,8&lt;='01_Вводные'!$B$297),0,('06_Сеть_и_дети'!G60-'06_Сеть_и_дети'!G88)*IF('01_Вводные'!$B$239="Да",MeanMinAge08+'19_Расчет_аналитики'!G2584*SUMIF(ThresholdAge08,"&lt;"&amp;'19_Расчет_аналитики'!G2584,WeightedRevAge08)-SUMIF(ThresholdAge08,"&lt;"&amp;'19_Расчет_аналитики'!G2584,WeightedMinAge08),MAX(CapacityAge08*'01_Вводные'!$B$218*'19_Расчет_аналитики'!G2584,MeanMinAge08)))</f>
        <v/>
      </c>
      <c r="H2523">
        <f>IF(OR(('06_Сеть_и_дети'!H60-'06_Сеть_и_дети'!H88)=0,8&lt;='01_Вводные'!$B$297),0,('06_Сеть_и_дети'!H60-'06_Сеть_и_дети'!H88)*IF('01_Вводные'!$B$239="Да",MeanMinAge08+'19_Расчет_аналитики'!H2584*SUMIF(ThresholdAge08,"&lt;"&amp;'19_Расчет_аналитики'!H2584,WeightedRevAge08)-SUMIF(ThresholdAge08,"&lt;"&amp;'19_Расчет_аналитики'!H2584,WeightedMinAge08),MAX(CapacityAge08*'01_Вводные'!$B$218*'19_Расчет_аналитики'!H2584,MeanMinAge08)))</f>
        <v/>
      </c>
      <c r="I2523">
        <f>IF(OR(('19_Расчет_аналитики'!I2439-'19_Расчет_аналитики'!I2467)=0,8&lt;='01_Вводные'!$B$297),0,('19_Расчет_аналитики'!I2439-'19_Расчет_аналитики'!I2467)*IF('01_Вводные'!$B$239="Да",MeanMinAge08+'19_Расчет_аналитики'!I2584*SUMIF(ThresholdAge08,"&lt;"&amp;'19_Расчет_аналитики'!I2584,WeightedRevAge08)-SUMIF(ThresholdAge08,"&lt;"&amp;'19_Расчет_аналитики'!I2584,WeightedMinAge08),MAX(CapacityAge08*'01_Вводные'!$B$218*'19_Расчет_аналитики'!I2584,MeanMinAge08)))</f>
        <v/>
      </c>
      <c r="J2523">
        <f>IF(OR(('19_Расчет_аналитики'!J2439-'19_Расчет_аналитики'!J2467)=0,8&lt;='01_Вводные'!$B$297),0,('19_Расчет_аналитики'!J2439-'19_Расчет_аналитики'!J2467)*IF('01_Вводные'!$B$239="Да",MeanMinAge08+'19_Расчет_аналитики'!J2584*SUMIF(ThresholdAge08,"&lt;"&amp;'19_Расчет_аналитики'!J2584,WeightedRevAge08)-SUMIF(ThresholdAge08,"&lt;"&amp;'19_Расчет_аналитики'!J2584,WeightedMinAge08),MAX(CapacityAge08*'01_Вводные'!$B$218*'19_Расчет_аналитики'!J2584,MeanMinAge08)))</f>
        <v/>
      </c>
      <c r="K2523">
        <f>IF(OR(('19_Расчет_аналитики'!K2439-'19_Расчет_аналитики'!K2467)=0,8&lt;='01_Вводные'!$B$297),0,('19_Расчет_аналитики'!K2439-'19_Расчет_аналитики'!K2467)*IF('01_Вводные'!$B$239="Да",MeanMinAge08+'19_Расчет_аналитики'!K2584*SUMIF(ThresholdAge08,"&lt;"&amp;'19_Расчет_аналитики'!K2584,WeightedRevAge08)-SUMIF(ThresholdAge08,"&lt;"&amp;'19_Расчет_аналитики'!K2584,WeightedMinAge08),MAX(CapacityAge08*'01_Вводные'!$B$218*'19_Расчет_аналитики'!K2584,MeanMinAge08)))</f>
        <v/>
      </c>
      <c r="L2523">
        <f>IF(OR(('19_Расчет_аналитики'!L2439-'19_Расчет_аналитики'!L2467)=0,8&lt;='01_Вводные'!$B$297),0,('19_Расчет_аналитики'!L2439-'19_Расчет_аналитики'!L2467)*IF('01_Вводные'!$B$239="Да",MeanMinAge08+'19_Расчет_аналитики'!L2584*SUMIF(ThresholdAge08,"&lt;"&amp;'19_Расчет_аналитики'!L2584,WeightedRevAge08)-SUMIF(ThresholdAge08,"&lt;"&amp;'19_Расчет_аналитики'!L2584,WeightedMinAge08),MAX(CapacityAge08*'01_Вводные'!$B$218*'19_Расчет_аналитики'!L2584,MeanMinAge08)))</f>
        <v/>
      </c>
      <c r="M2523">
        <f>IF(OR(('19_Расчет_аналитики'!M2439-'19_Расчет_аналитики'!M2467)=0,8&lt;='01_Вводные'!$B$297),0,('19_Расчет_аналитики'!M2439-'19_Расчет_аналитики'!M2467)*IF('01_Вводные'!$B$239="Да",MeanMinAge08+'19_Расчет_аналитики'!M2584*SUMIF(ThresholdAge08,"&lt;"&amp;'19_Расчет_аналитики'!M2584,WeightedRevAge08)-SUMIF(ThresholdAge08,"&lt;"&amp;'19_Расчет_аналитики'!M2584,WeightedMinAge08),MAX(CapacityAge08*'01_Вводные'!$B$218*'19_Расчет_аналитики'!M2584,MeanMinAge08)))</f>
        <v/>
      </c>
      <c r="N2523">
        <f>IF(OR(('19_Расчет_аналитики'!N2439-'19_Расчет_аналитики'!N2467)=0,8&lt;='01_Вводные'!$B$297),0,('19_Расчет_аналитики'!N2439-'19_Расчет_аналитики'!N2467)*IF('01_Вводные'!$B$239="Да",MeanMinAge08+'19_Расчет_аналитики'!N2584*SUMIF(ThresholdAge08,"&lt;"&amp;'19_Расчет_аналитики'!N2584,WeightedRevAge08)-SUMIF(ThresholdAge08,"&lt;"&amp;'19_Расчет_аналитики'!N2584,WeightedMinAge08),MAX(CapacityAge08*'01_Вводные'!$B$218*'19_Расчет_аналитики'!N2584,MeanMinAge08)))</f>
        <v/>
      </c>
      <c r="O2523">
        <f>IF(OR(('19_Расчет_аналитики'!O2439-'19_Расчет_аналитики'!O2467)=0,8&lt;='01_Вводные'!$B$297),0,('19_Расчет_аналитики'!O2439-'19_Расчет_аналитики'!O2467)*IF('01_Вводные'!$B$239="Да",MeanMinAge08+'19_Расчет_аналитики'!O2584*SUMIF(ThresholdAge08,"&lt;"&amp;'19_Расчет_аналитики'!O2584,WeightedRevAge08)-SUMIF(ThresholdAge08,"&lt;"&amp;'19_Расчет_аналитики'!O2584,WeightedMinAge08),MAX(CapacityAge08*'01_Вводные'!$B$218*'19_Расчет_аналитики'!O2584,MeanMinAge08)))</f>
        <v/>
      </c>
      <c r="P2523">
        <f>IF(OR(('19_Расчет_аналитики'!P2439-'19_Расчет_аналитики'!P2467)=0,8&lt;='01_Вводные'!$B$297),0,('19_Расчет_аналитики'!P2439-'19_Расчет_аналитики'!P2467)*IF('01_Вводные'!$B$239="Да",MeanMinAge08+'19_Расчет_аналитики'!P2584*SUMIF(ThresholdAge08,"&lt;"&amp;'19_Расчет_аналитики'!P2584,WeightedRevAge08)-SUMIF(ThresholdAge08,"&lt;"&amp;'19_Расчет_аналитики'!P2584,WeightedMinAge08),MAX(CapacityAge08*'01_Вводные'!$B$218*'19_Расчет_аналитики'!P2584,MeanMinAge08)))</f>
        <v/>
      </c>
      <c r="Q2523">
        <f>IF(OR(('19_Расчет_аналитики'!Q2439-'19_Расчет_аналитики'!Q2467)=0,8&lt;='01_Вводные'!$B$297),0,('19_Расчет_аналитики'!Q2439-'19_Расчет_аналитики'!Q2467)*IF('01_Вводные'!$B$239="Да",MeanMinAge08+'19_Расчет_аналитики'!Q2584*SUMIF(ThresholdAge08,"&lt;"&amp;'19_Расчет_аналитики'!Q2584,WeightedRevAge08)-SUMIF(ThresholdAge08,"&lt;"&amp;'19_Расчет_аналитики'!Q2584,WeightedMinAge08),MAX(CapacityAge08*'01_Вводные'!$B$218*'19_Расчет_аналитики'!Q2584,MeanMinAge08)))</f>
        <v/>
      </c>
      <c r="R2523">
        <f>IF(OR(('19_Расчет_аналитики'!R2439-'19_Расчет_аналитики'!R2467)=0,8&lt;='01_Вводные'!$B$297),0,('19_Расчет_аналитики'!R2439-'19_Расчет_аналитики'!R2467)*IF('01_Вводные'!$B$239="Да",MeanMinAge08+'19_Расчет_аналитики'!R2584*SUMIF(ThresholdAge08,"&lt;"&amp;'19_Расчет_аналитики'!R2584,WeightedRevAge08)-SUMIF(ThresholdAge08,"&lt;"&amp;'19_Расчет_аналитики'!R2584,WeightedMinAge08),MAX(CapacityAge08*'01_Вводные'!$B$218*'19_Расчет_аналитики'!R2584,MeanMinAge08)))</f>
        <v/>
      </c>
      <c r="S2523">
        <f>IF(OR(('19_Расчет_аналитики'!S2439-'19_Расчет_аналитики'!S2467)=0,8&lt;='01_Вводные'!$B$297),0,('19_Расчет_аналитики'!S2439-'19_Расчет_аналитики'!S2467)*IF('01_Вводные'!$B$239="Да",MeanMinAge08+'19_Расчет_аналитики'!S2584*SUMIF(ThresholdAge08,"&lt;"&amp;'19_Расчет_аналитики'!S2584,WeightedRevAge08)-SUMIF(ThresholdAge08,"&lt;"&amp;'19_Расчет_аналитики'!S2584,WeightedMinAge08),MAX(CapacityAge08*'01_Вводные'!$B$218*'19_Расчет_аналитики'!S2584,MeanMinAge08)))</f>
        <v/>
      </c>
      <c r="T2523">
        <f>IF(OR(('19_Расчет_аналитики'!T2439-'19_Расчет_аналитики'!T2467)=0,8&lt;='01_Вводные'!$B$297),0,('19_Расчет_аналитики'!T2439-'19_Расчет_аналитики'!T2467)*IF('01_Вводные'!$B$239="Да",MeanMinAge08+'19_Расчет_аналитики'!T2584*SUMIF(ThresholdAge08,"&lt;"&amp;'19_Расчет_аналитики'!T2584,WeightedRevAge08)-SUMIF(ThresholdAge08,"&lt;"&amp;'19_Расчет_аналитики'!T2584,WeightedMinAge08),MAX(CapacityAge08*'01_Вводные'!$B$218*'19_Расчет_аналитики'!T2584,MeanMinAge08)))</f>
        <v/>
      </c>
      <c r="U2523">
        <f>IF(OR(('19_Расчет_аналитики'!U2439-'19_Расчет_аналитики'!U2467)=0,8&lt;='01_Вводные'!$B$297),0,('19_Расчет_аналитики'!U2439-'19_Расчет_аналитики'!U2467)*IF('01_Вводные'!$B$239="Да",MeanMinAge08+'19_Расчет_аналитики'!U2584*SUMIF(ThresholdAge08,"&lt;"&amp;'19_Расчет_аналитики'!U2584,WeightedRevAge08)-SUMIF(ThresholdAge08,"&lt;"&amp;'19_Расчет_аналитики'!U2584,WeightedMinAge08),MAX(CapacityAge08*'01_Вводные'!$B$218*'19_Расчет_аналитики'!U2584,MeanMinAge08)))</f>
        <v/>
      </c>
      <c r="V2523">
        <f>IF(OR(('19_Расчет_аналитики'!V2439-'19_Расчет_аналитики'!V2467)=0,8&lt;='01_Вводные'!$B$297),0,('19_Расчет_аналитики'!V2439-'19_Расчет_аналитики'!V2467)*IF('01_Вводные'!$B$239="Да",MeanMinAge08+'19_Расчет_аналитики'!V2584*SUMIF(ThresholdAge08,"&lt;"&amp;'19_Расчет_аналитики'!V2584,WeightedRevAge08)-SUMIF(ThresholdAge08,"&lt;"&amp;'19_Расчет_аналитики'!V2584,WeightedMinAge08),MAX(CapacityAge08*'01_Вводные'!$B$218*'19_Расчет_аналитики'!V2584,MeanMinAge08)))</f>
        <v/>
      </c>
      <c r="W2523">
        <f>IF(OR(('19_Расчет_аналитики'!W2439-'19_Расчет_аналитики'!W2467)=0,8&lt;='01_Вводные'!$B$297),0,('19_Расчет_аналитики'!W2439-'19_Расчет_аналитики'!W2467)*IF('01_Вводные'!$B$239="Да",MeanMinAge08+'19_Расчет_аналитики'!W2584*SUMIF(ThresholdAge08,"&lt;"&amp;'19_Расчет_аналитики'!W2584,WeightedRevAge08)-SUMIF(ThresholdAge08,"&lt;"&amp;'19_Расчет_аналитики'!W2584,WeightedMinAge08),MAX(CapacityAge08*'01_Вводные'!$B$218*'19_Расчет_аналитики'!W2584,MeanMinAge08)))</f>
        <v/>
      </c>
      <c r="X2523">
        <f>IF(OR(('19_Расчет_аналитики'!X2439-'19_Расчет_аналитики'!X2467)=0,8&lt;='01_Вводные'!$B$297),0,('19_Расчет_аналитики'!X2439-'19_Расчет_аналитики'!X2467)*IF('01_Вводные'!$B$239="Да",MeanMinAge08+'19_Расчет_аналитики'!X2584*SUMIF(ThresholdAge08,"&lt;"&amp;'19_Расчет_аналитики'!X2584,WeightedRevAge08)-SUMIF(ThresholdAge08,"&lt;"&amp;'19_Расчет_аналитики'!X2584,WeightedMinAge08),MAX(CapacityAge08*'01_Вводные'!$B$218*'19_Расчет_аналитики'!X2584,MeanMinAge08)))</f>
        <v/>
      </c>
      <c r="Y2523">
        <f>IF(OR(('19_Расчет_аналитики'!Y2439-'19_Расчет_аналитики'!Y2467)=0,8&lt;='01_Вводные'!$B$297),0,('19_Расчет_аналитики'!Y2439-'19_Расчет_аналитики'!Y2467)*IF('01_Вводные'!$B$239="Да",MeanMinAge08+'19_Расчет_аналитики'!Y2584*SUMIF(ThresholdAge08,"&lt;"&amp;'19_Расчет_аналитики'!Y2584,WeightedRevAge08)-SUMIF(ThresholdAge08,"&lt;"&amp;'19_Расчет_аналитики'!Y2584,WeightedMinAge08),MAX(CapacityAge08*'01_Вводные'!$B$218*'19_Расчет_аналитики'!Y2584,MeanMinAge08)))</f>
        <v/>
      </c>
      <c r="Z2523">
        <f>IF(OR(('19_Расчет_аналитики'!Z2439-'19_Расчет_аналитики'!Z2467)=0,8&lt;='01_Вводные'!$B$297),0,('19_Расчет_аналитики'!Z2439-'19_Расчет_аналитики'!Z2467)*IF('01_Вводные'!$B$239="Да",MeanMinAge08+'19_Расчет_аналитики'!Z2584*SUMIF(ThresholdAge08,"&lt;"&amp;'19_Расчет_аналитики'!Z2584,WeightedRevAge08)-SUMIF(ThresholdAge08,"&lt;"&amp;'19_Расчет_аналитики'!Z2584,WeightedMinAge08),MAX(CapacityAge08*'01_Вводные'!$B$218*'19_Расчет_аналитики'!Z2584,MeanMinAge08)))</f>
        <v/>
      </c>
      <c r="AA2523">
        <f>IF(OR(('19_Расчет_аналитики'!AA2439-'19_Расчет_аналитики'!AA2467)=0,8&lt;='01_Вводные'!$B$297),0,('19_Расчет_аналитики'!AA2439-'19_Расчет_аналитики'!AA2467)*IF('01_Вводные'!$B$239="Да",MeanMinAge08+'19_Расчет_аналитики'!AA2584*SUMIF(ThresholdAge08,"&lt;"&amp;'19_Расчет_аналитики'!AA2584,WeightedRevAge08)-SUMIF(ThresholdAge08,"&lt;"&amp;'19_Расчет_аналитики'!AA2584,WeightedMinAge08),MAX(CapacityAge08*'01_Вводные'!$B$218*'19_Расчет_аналитики'!AA2584,MeanMinAge08)))</f>
        <v/>
      </c>
      <c r="AB2523">
        <f>IF(OR(('19_Расчет_аналитики'!AB2439-'19_Расчет_аналитики'!AB2467)=0,8&lt;='01_Вводные'!$B$297),0,('19_Расчет_аналитики'!AB2439-'19_Расчет_аналитики'!AB2467)*IF('01_Вводные'!$B$239="Да",MeanMinAge08+'19_Расчет_аналитики'!AB2584*SUMIF(ThresholdAge08,"&lt;"&amp;'19_Расчет_аналитики'!AB2584,WeightedRevAge08)-SUMIF(ThresholdAge08,"&lt;"&amp;'19_Расчет_аналитики'!AB2584,WeightedMinAge08),MAX(CapacityAge08*'01_Вводные'!$B$218*'19_Расчет_аналитики'!AB2584,MeanMinAge08)))</f>
        <v/>
      </c>
      <c r="AC2523">
        <f>IF(OR(('19_Расчет_аналитики'!AC2439-'19_Расчет_аналитики'!AC2467)=0,8&lt;='01_Вводные'!$B$297),0,('19_Расчет_аналитики'!AC2439-'19_Расчет_аналитики'!AC2467)*IF('01_Вводные'!$B$239="Да",MeanMinAge08+'19_Расчет_аналитики'!AC2584*SUMIF(ThresholdAge08,"&lt;"&amp;'19_Расчет_аналитики'!AC2584,WeightedRevAge08)-SUMIF(ThresholdAge08,"&lt;"&amp;'19_Расчет_аналитики'!AC2584,WeightedMinAge08),MAX(CapacityAge08*'01_Вводные'!$B$218*'19_Расчет_аналитики'!AC2584,MeanMinAge08)))</f>
        <v/>
      </c>
      <c r="AD2523">
        <f>IF(OR(('19_Расчет_аналитики'!AD2439-'19_Расчет_аналитики'!AD2467)=0,8&lt;='01_Вводные'!$B$297),0,('19_Расчет_аналитики'!AD2439-'19_Расчет_аналитики'!AD2467)*IF('01_Вводные'!$B$239="Да",MeanMinAge08+'19_Расчет_аналитики'!AD2584*SUMIF(ThresholdAge08,"&lt;"&amp;'19_Расчет_аналитики'!AD2584,WeightedRevAge08)-SUMIF(ThresholdAge08,"&lt;"&amp;'19_Расчет_аналитики'!AD2584,WeightedMinAge08),MAX(CapacityAge08*'01_Вводные'!$B$218*'19_Расчет_аналитики'!AD2584,MeanMinAge08)))</f>
        <v/>
      </c>
      <c r="AE2523">
        <f>IF(OR(('19_Расчет_аналитики'!AE2439-'19_Расчет_аналитики'!AE2467)=0,8&lt;='01_Вводные'!$B$297),0,('19_Расчет_аналитики'!AE2439-'19_Расчет_аналитики'!AE2467)*IF('01_Вводные'!$B$239="Да",MeanMinAge08+'19_Расчет_аналитики'!AE2584*SUMIF(ThresholdAge08,"&lt;"&amp;'19_Расчет_аналитики'!AE2584,WeightedRevAge08)-SUMIF(ThresholdAge08,"&lt;"&amp;'19_Расчет_аналитики'!AE2584,WeightedMinAge08),MAX(CapacityAge08*'01_Вводные'!$B$218*'19_Расчет_аналитики'!AE2584,MeanMinAge08)))</f>
        <v/>
      </c>
      <c r="AF2523">
        <f>IF(OR(('19_Расчет_аналитики'!AF2439-'19_Расчет_аналитики'!AF2467)=0,8&lt;='01_Вводные'!$B$297),0,('19_Расчет_аналитики'!AF2439-'19_Расчет_аналитики'!AF2467)*IF('01_Вводные'!$B$239="Да",MeanMinAge08+'19_Расчет_аналитики'!AF2584*SUMIF(ThresholdAge08,"&lt;"&amp;'19_Расчет_аналитики'!AF2584,WeightedRevAge08)-SUMIF(ThresholdAge08,"&lt;"&amp;'19_Расчет_аналитики'!AF2584,WeightedMinAge08),MAX(CapacityAge08*'01_Вводные'!$B$218*'19_Расчет_аналитики'!AF2584,MeanMinAge08)))</f>
        <v/>
      </c>
      <c r="AG2523">
        <f>IF(OR(('19_Расчет_аналитики'!AG2439-'19_Расчет_аналитики'!AG2467)=0,8&lt;='01_Вводные'!$B$297),0,('19_Расчет_аналитики'!AG2439-'19_Расчет_аналитики'!AG2467)*IF('01_Вводные'!$B$239="Да",MeanMinAge08+'19_Расчет_аналитики'!AG2584*SUMIF(ThresholdAge08,"&lt;"&amp;'19_Расчет_аналитики'!AG2584,WeightedRevAge08)-SUMIF(ThresholdAge08,"&lt;"&amp;'19_Расчет_аналитики'!AG2584,WeightedMinAge08),MAX(CapacityAge08*'01_Вводные'!$B$218*'19_Расчет_аналитики'!AG2584,MeanMinAge08)))</f>
        <v/>
      </c>
      <c r="AH2523">
        <f>IF(OR(('19_Расчет_аналитики'!AH2439-'19_Расчет_аналитики'!AH2467)=0,8&lt;='01_Вводные'!$B$297),0,('19_Расчет_аналитики'!AH2439-'19_Расчет_аналитики'!AH2467)*IF('01_Вводные'!$B$239="Да",MeanMinAge08+'19_Расчет_аналитики'!AH2584*SUMIF(ThresholdAge08,"&lt;"&amp;'19_Расчет_аналитики'!AH2584,WeightedRevAge08)-SUMIF(ThresholdAge08,"&lt;"&amp;'19_Расчет_аналитики'!AH2584,WeightedMinAge08),MAX(CapacityAge08*'01_Вводные'!$B$218*'19_Расчет_аналитики'!AH2584,MeanMinAge08)))</f>
        <v/>
      </c>
      <c r="AI2523">
        <f>IF(OR(('19_Расчет_аналитики'!AI2439-'19_Расчет_аналитики'!AI2467)=0,8&lt;='01_Вводные'!$B$297),0,('19_Расчет_аналитики'!AI2439-'19_Расчет_аналитики'!AI2467)*IF('01_Вводные'!$B$239="Да",MeanMinAge08+'19_Расчет_аналитики'!AI2584*SUMIF(ThresholdAge08,"&lt;"&amp;'19_Расчет_аналитики'!AI2584,WeightedRevAge08)-SUMIF(ThresholdAge08,"&lt;"&amp;'19_Расчет_аналитики'!AI2584,WeightedMinAge08),MAX(CapacityAge08*'01_Вводные'!$B$218*'19_Расчет_аналитики'!AI2584,MeanMinAge08)))</f>
        <v/>
      </c>
      <c r="AJ2523">
        <f>IF(OR(('19_Расчет_аналитики'!AJ2439-'19_Расчет_аналитики'!AJ2467)=0,8&lt;='01_Вводные'!$B$297),0,('19_Расчет_аналитики'!AJ2439-'19_Расчет_аналитики'!AJ2467)*IF('01_Вводные'!$B$239="Да",MeanMinAge08+'19_Расчет_аналитики'!AJ2584*SUMIF(ThresholdAge08,"&lt;"&amp;'19_Расчет_аналитики'!AJ2584,WeightedRevAge08)-SUMIF(ThresholdAge08,"&lt;"&amp;'19_Расчет_аналитики'!AJ2584,WeightedMinAge08),MAX(CapacityAge08*'01_Вводные'!$B$218*'19_Расчет_аналитики'!AJ2584,MeanMinAge08)))</f>
        <v/>
      </c>
      <c r="AK2523">
        <f>IF(OR(('19_Расчет_аналитики'!AK2439-'19_Расчет_аналитики'!AK2467)=0,8&lt;='01_Вводные'!$B$297),0,('19_Расчет_аналитики'!AK2439-'19_Расчет_аналитики'!AK2467)*IF('01_Вводные'!$B$239="Да",MeanMinAge08+'19_Расчет_аналитики'!AK2584*SUMIF(ThresholdAge08,"&lt;"&amp;'19_Расчет_аналитики'!AK2584,WeightedRevAge08)-SUMIF(ThresholdAge08,"&lt;"&amp;'19_Расчет_аналитики'!AK2584,WeightedMinAge08),MAX(CapacityAge08*'01_Вводные'!$B$218*'19_Расчет_аналитики'!AK2584,MeanMinAge08)))</f>
        <v/>
      </c>
      <c r="AL2523">
        <f>IF(OR(('19_Расчет_аналитики'!AL2439-'19_Расчет_аналитики'!AL2467)=0,8&lt;='01_Вводные'!$B$297),0,('19_Расчет_аналитики'!AL2439-'19_Расчет_аналитики'!AL2467)*IF('01_Вводные'!$B$239="Да",MeanMinAge08+'19_Расчет_аналитики'!AL2584*SUMIF(ThresholdAge08,"&lt;"&amp;'19_Расчет_аналитики'!AL2584,WeightedRevAge08)-SUMIF(ThresholdAge08,"&lt;"&amp;'19_Расчет_аналитики'!AL2584,WeightedMinAge08),MAX(CapacityAge08*'01_Вводные'!$B$218*'19_Расчет_аналитики'!AL2584,MeanMinAge08)))</f>
        <v/>
      </c>
      <c r="AM2523">
        <f>IF(OR(('19_Расчет_аналитики'!AM2439-'19_Расчет_аналитики'!AM2467)=0,8&lt;='01_Вводные'!$B$297),0,('19_Расчет_аналитики'!AM2439-'19_Расчет_аналитики'!AM2467)*IF('01_Вводные'!$B$239="Да",MeanMinAge08+'19_Расчет_аналитики'!AM2584*SUMIF(ThresholdAge08,"&lt;"&amp;'19_Расчет_аналитики'!AM2584,WeightedRevAge08)-SUMIF(ThresholdAge08,"&lt;"&amp;'19_Расчет_аналитики'!AM2584,WeightedMinAge08),MAX(CapacityAge08*'01_Вводные'!$B$218*'19_Расчет_аналитики'!AM2584,MeanMinAge08)))</f>
        <v/>
      </c>
      <c r="AN2523">
        <f>IF(OR(('19_Расчет_аналитики'!AN2439-'19_Расчет_аналитики'!AN2467)=0,8&lt;='01_Вводные'!$B$297),0,('19_Расчет_аналитики'!AN2439-'19_Расчет_аналитики'!AN2467)*IF('01_Вводные'!$B$239="Да",MeanMinAge08+'19_Расчет_аналитики'!AN2584*SUMIF(ThresholdAge08,"&lt;"&amp;'19_Расчет_аналитики'!AN2584,WeightedRevAge08)-SUMIF(ThresholdAge08,"&lt;"&amp;'19_Расчет_аналитики'!AN2584,WeightedMinAge08),MAX(CapacityAge08*'01_Вводные'!$B$218*'19_Расчет_аналитики'!AN2584,MeanMinAge08)))</f>
        <v/>
      </c>
      <c r="AO2523">
        <f>IF(OR(('19_Расчет_аналитики'!AO2439-'19_Расчет_аналитики'!AO2467)=0,8&lt;='01_Вводные'!$B$297),0,('19_Расчет_аналитики'!AO2439-'19_Расчет_аналитики'!AO2467)*IF('01_Вводные'!$B$239="Да",MeanMinAge08+'19_Расчет_аналитики'!AO2584*SUMIF(ThresholdAge08,"&lt;"&amp;'19_Расчет_аналитики'!AO2584,WeightedRevAge08)-SUMIF(ThresholdAge08,"&lt;"&amp;'19_Расчет_аналитики'!AO2584,WeightedMinAge08),MAX(CapacityAge08*'01_Вводные'!$B$218*'19_Расчет_аналитики'!AO2584,MeanMinAge08)))</f>
        <v/>
      </c>
      <c r="AP2523">
        <f>IF(OR(('19_Расчет_аналитики'!AP2439-'19_Расчет_аналитики'!AP2467)=0,8&lt;='01_Вводные'!$B$297),0,('19_Расчет_аналитики'!AP2439-'19_Расчет_аналитики'!AP2467)*IF('01_Вводные'!$B$239="Да",MeanMinAge08+'19_Расчет_аналитики'!AP2584*SUMIF(ThresholdAge08,"&lt;"&amp;'19_Расчет_аналитики'!AP2584,WeightedRevAge08)-SUMIF(ThresholdAge08,"&lt;"&amp;'19_Расчет_аналитики'!AP2584,WeightedMinAge08),MAX(CapacityAge08*'01_Вводные'!$B$218*'19_Расчет_аналитики'!AP2584,MeanMinAge08)))</f>
        <v/>
      </c>
      <c r="AQ2523">
        <f>IF(OR(('19_Расчет_аналитики'!AQ2439-'19_Расчет_аналитики'!AQ2467)=0,8&lt;='01_Вводные'!$B$297),0,('19_Расчет_аналитики'!AQ2439-'19_Расчет_аналитики'!AQ2467)*IF('01_Вводные'!$B$239="Да",MeanMinAge08+'19_Расчет_аналитики'!AQ2584*SUMIF(ThresholdAge08,"&lt;"&amp;'19_Расчет_аналитики'!AQ2584,WeightedRevAge08)-SUMIF(ThresholdAge08,"&lt;"&amp;'19_Расчет_аналитики'!AQ2584,WeightedMinAge08),MAX(CapacityAge08*'01_Вводные'!$B$218*'19_Расчет_аналитики'!AQ2584,MeanMinAge08)))</f>
        <v/>
      </c>
      <c r="AR2523">
        <f>IF(OR(('19_Расчет_аналитики'!AR2439-'19_Расчет_аналитики'!AR2467)=0,8&lt;='01_Вводные'!$B$297),0,('19_Расчет_аналитики'!AR2439-'19_Расчет_аналитики'!AR2467)*IF('01_Вводные'!$B$239="Да",MeanMinAge08+'19_Расчет_аналитики'!AR2584*SUMIF(ThresholdAge08,"&lt;"&amp;'19_Расчет_аналитики'!AR2584,WeightedRevAge08)-SUMIF(ThresholdAge08,"&lt;"&amp;'19_Расчет_аналитики'!AR2584,WeightedMinAge08),MAX(CapacityAge08*'01_Вводные'!$B$218*'19_Расчет_аналитики'!AR2584,MeanMinAge08)))</f>
        <v/>
      </c>
      <c r="AS2523">
        <f>IF(OR(('19_Расчет_аналитики'!AS2439-'19_Расчет_аналитики'!AS2467)=0,8&lt;='01_Вводные'!$B$297),0,('19_Расчет_аналитики'!AS2439-'19_Расчет_аналитики'!AS2467)*IF('01_Вводные'!$B$239="Да",MeanMinAge08+'19_Расчет_аналитики'!AS2584*SUMIF(ThresholdAge08,"&lt;"&amp;'19_Расчет_аналитики'!AS2584,WeightedRevAge08)-SUMIF(ThresholdAge08,"&lt;"&amp;'19_Расчет_аналитики'!AS2584,WeightedMinAge08),MAX(CapacityAge08*'01_Вводные'!$B$218*'19_Расчет_аналитики'!AS2584,MeanMinAge08)))</f>
        <v/>
      </c>
      <c r="AT2523">
        <f>IF(OR(('19_Расчет_аналитики'!AT2439-'19_Расчет_аналитики'!AT2467)=0,8&lt;='01_Вводные'!$B$297),0,('19_Расчет_аналитики'!AT2439-'19_Расчет_аналитики'!AT2467)*IF('01_Вводные'!$B$239="Да",MeanMinAge08+'19_Расчет_аналитики'!AT2584*SUMIF(ThresholdAge08,"&lt;"&amp;'19_Расчет_аналитики'!AT2584,WeightedRevAge08)-SUMIF(ThresholdAge08,"&lt;"&amp;'19_Расчет_аналитики'!AT2584,WeightedMinAge08),MAX(CapacityAge08*'01_Вводные'!$B$218*'19_Расчет_аналитики'!AT2584,MeanMinAge08)))</f>
        <v/>
      </c>
      <c r="AU2523">
        <f>IF(OR(('19_Расчет_аналитики'!AU2439-'19_Расчет_аналитики'!AU2467)=0,8&lt;='01_Вводные'!$B$297),0,('19_Расчет_аналитики'!AU2439-'19_Расчет_аналитики'!AU2467)*IF('01_Вводные'!$B$239="Да",MeanMinAge08+'19_Расчет_аналитики'!AU2584*SUMIF(ThresholdAge08,"&lt;"&amp;'19_Расчет_аналитики'!AU2584,WeightedRevAge08)-SUMIF(ThresholdAge08,"&lt;"&amp;'19_Расчет_аналитики'!AU2584,WeightedMinAge08),MAX(CapacityAge08*'01_Вводные'!$B$218*'19_Расчет_аналитики'!AU2584,MeanMinAge08)))</f>
        <v/>
      </c>
      <c r="AV2523">
        <f>IF(OR(('19_Расчет_аналитики'!AV2439-'19_Расчет_аналитики'!AV2467)=0,8&lt;='01_Вводные'!$B$297),0,('19_Расчет_аналитики'!AV2439-'19_Расчет_аналитики'!AV2467)*IF('01_Вводные'!$B$239="Да",MeanMinAge08+'19_Расчет_аналитики'!AV2584*SUMIF(ThresholdAge08,"&lt;"&amp;'19_Расчет_аналитики'!AV2584,WeightedRevAge08)-SUMIF(ThresholdAge08,"&lt;"&amp;'19_Расчет_аналитики'!AV2584,WeightedMinAge08),MAX(CapacityAge08*'01_Вводные'!$B$218*'19_Расчет_аналитики'!AV2584,MeanMinAge08)))</f>
        <v/>
      </c>
      <c r="AW2523">
        <f>IF(OR(('19_Расчет_аналитики'!AW2439-'19_Расчет_аналитики'!AW2467)=0,8&lt;='01_Вводные'!$B$297),0,('19_Расчет_аналитики'!AW2439-'19_Расчет_аналитики'!AW2467)*IF('01_Вводные'!$B$239="Да",MeanMinAge08+'19_Расчет_аналитики'!AW2584*SUMIF(ThresholdAge08,"&lt;"&amp;'19_Расчет_аналитики'!AW2584,WeightedRevAge08)-SUMIF(ThresholdAge08,"&lt;"&amp;'19_Расчет_аналитики'!AW2584,WeightedMinAge08),MAX(CapacityAge08*'01_Вводные'!$B$218*'19_Расчет_аналитики'!AW2584,MeanMinAge08)))</f>
        <v/>
      </c>
      <c r="AX2523">
        <f>IF(OR(('19_Расчет_аналитики'!AX2439-'19_Расчет_аналитики'!AX2467)=0,8&lt;='01_Вводные'!$B$297),0,('19_Расчет_аналитики'!AX2439-'19_Расчет_аналитики'!AX2467)*IF('01_Вводные'!$B$239="Да",MeanMinAge08+'19_Расчет_аналитики'!AX2584*SUMIF(ThresholdAge08,"&lt;"&amp;'19_Расчет_аналитики'!AX2584,WeightedRevAge08)-SUMIF(ThresholdAge08,"&lt;"&amp;'19_Расчет_аналитики'!AX2584,WeightedMinAge08),MAX(CapacityAge08*'01_Вводные'!$B$218*'19_Расчет_аналитики'!AX2584,MeanMinAge08)))</f>
        <v/>
      </c>
      <c r="AY2523">
        <f>IF(OR(('19_Расчет_аналитики'!AY2439-'19_Расчет_аналитики'!AY2467)=0,8&lt;='01_Вводные'!$B$297),0,('19_Расчет_аналитики'!AY2439-'19_Расчет_аналитики'!AY2467)*IF('01_Вводные'!$B$239="Да",MeanMinAge08+'19_Расчет_аналитики'!AY2584*SUMIF(ThresholdAge08,"&lt;"&amp;'19_Расчет_аналитики'!AY2584,WeightedRevAge08)-SUMIF(ThresholdAge08,"&lt;"&amp;'19_Расчет_аналитики'!AY2584,WeightedMinAge08),MAX(CapacityAge08*'01_Вводные'!$B$218*'19_Расчет_аналитики'!AY2584,MeanMinAge08)))</f>
        <v/>
      </c>
      <c r="AZ2523">
        <f>IF(OR(('19_Расчет_аналитики'!AZ2439-'19_Расчет_аналитики'!AZ2467)=0,8&lt;='01_Вводные'!$B$297),0,('19_Расчет_аналитики'!AZ2439-'19_Расчет_аналитики'!AZ2467)*IF('01_Вводные'!$B$239="Да",MeanMinAge08+'19_Расчет_аналитики'!AZ2584*SUMIF(ThresholdAge08,"&lt;"&amp;'19_Расчет_аналитики'!AZ2584,WeightedRevAge08)-SUMIF(ThresholdAge08,"&lt;"&amp;'19_Расчет_аналитики'!AZ2584,WeightedMinAge08),MAX(CapacityAge08*'01_Вводные'!$B$218*'19_Расчет_аналитики'!AZ2584,MeanMinAge08)))</f>
        <v/>
      </c>
      <c r="BA2523">
        <f>IF(OR(('19_Расчет_аналитики'!BA2439-'19_Расчет_аналитики'!BA2467)=0,8&lt;='01_Вводные'!$B$297),0,('19_Расчет_аналитики'!BA2439-'19_Расчет_аналитики'!BA2467)*IF('01_Вводные'!$B$239="Да",MeanMinAge08+'19_Расчет_аналитики'!BA2584*SUMIF(ThresholdAge08,"&lt;"&amp;'19_Расчет_аналитики'!BA2584,WeightedRevAge08)-SUMIF(ThresholdAge08,"&lt;"&amp;'19_Расчет_аналитики'!BA2584,WeightedMinAge08),MAX(CapacityAge08*'01_Вводные'!$B$218*'19_Расчет_аналитики'!BA2584,MeanMinAge08)))</f>
        <v/>
      </c>
      <c r="BB2523">
        <f>IF(OR(('19_Расчет_аналитики'!BB2439-'19_Расчет_аналитики'!BB2467)=0,8&lt;='01_Вводные'!$B$297),0,('19_Расчет_аналитики'!BB2439-'19_Расчет_аналитики'!BB2467)*IF('01_Вводные'!$B$239="Да",MeanMinAge08+'19_Расчет_аналитики'!BB2584*SUMIF(ThresholdAge08,"&lt;"&amp;'19_Расчет_аналитики'!BB2584,WeightedRevAge08)-SUMIF(ThresholdAge08,"&lt;"&amp;'19_Расчет_аналитики'!BB2584,WeightedMinAge08),MAX(CapacityAge08*'01_Вводные'!$B$218*'19_Расчет_аналитики'!BB2584,MeanMinAge08)))</f>
        <v/>
      </c>
      <c r="BC2523">
        <f>IF(OR(('19_Расчет_аналитики'!BC2439-'19_Расчет_аналитики'!BC2467)=0,8&lt;='01_Вводные'!$B$297),0,('19_Расчет_аналитики'!BC2439-'19_Расчет_аналитики'!BC2467)*IF('01_Вводные'!$B$239="Да",MeanMinAge08+'19_Расчет_аналитики'!BC2584*SUMIF(ThresholdAge08,"&lt;"&amp;'19_Расчет_аналитики'!BC2584,WeightedRevAge08)-SUMIF(ThresholdAge08,"&lt;"&amp;'19_Расчет_аналитики'!BC2584,WeightedMinAge08),MAX(CapacityAge08*'01_Вводные'!$B$218*'19_Расчет_аналитики'!BC2584,MeanMinAge08)))</f>
        <v/>
      </c>
      <c r="BD2523">
        <f>IF(OR(('19_Расчет_аналитики'!BD2439-'19_Расчет_аналитики'!BD2467)=0,8&lt;='01_Вводные'!$B$297),0,('19_Расчет_аналитики'!BD2439-'19_Расчет_аналитики'!BD2467)*IF('01_Вводные'!$B$239="Да",MeanMinAge08+'19_Расчет_аналитики'!BD2584*SUMIF(ThresholdAge08,"&lt;"&amp;'19_Расчет_аналитики'!BD2584,WeightedRevAge08)-SUMIF(ThresholdAge08,"&lt;"&amp;'19_Расчет_аналитики'!BD2584,WeightedMinAge08),MAX(CapacityAge08*'01_Вводные'!$B$218*'19_Расчет_аналитики'!BD2584,MeanMinAge08)))</f>
        <v/>
      </c>
      <c r="BE2523">
        <f>IF(OR(('19_Расчет_аналитики'!BE2439-'19_Расчет_аналитики'!BE2467)=0,8&lt;='01_Вводные'!$B$297),0,('19_Расчет_аналитики'!BE2439-'19_Расчет_аналитики'!BE2467)*IF('01_Вводные'!$B$239="Да",MeanMinAge08+'19_Расчет_аналитики'!BE2584*SUMIF(ThresholdAge08,"&lt;"&amp;'19_Расчет_аналитики'!BE2584,WeightedRevAge08)-SUMIF(ThresholdAge08,"&lt;"&amp;'19_Расчет_аналитики'!BE2584,WeightedMinAge08),MAX(CapacityAge08*'01_Вводные'!$B$218*'19_Расчет_аналитики'!BE2584,MeanMinAge08)))</f>
        <v/>
      </c>
      <c r="BF2523">
        <f>IF(OR(('19_Расчет_аналитики'!BF2439-'19_Расчет_аналитики'!BF2467)=0,8&lt;='01_Вводные'!$B$297),0,('19_Расчет_аналитики'!BF2439-'19_Расчет_аналитики'!BF2467)*IF('01_Вводные'!$B$239="Да",MeanMinAge08+'19_Расчет_аналитики'!BF2584*SUMIF(ThresholdAge08,"&lt;"&amp;'19_Расчет_аналитики'!BF2584,WeightedRevAge08)-SUMIF(ThresholdAge08,"&lt;"&amp;'19_Расчет_аналитики'!BF2584,WeightedMinAge08),MAX(CapacityAge08*'01_Вводные'!$B$218*'19_Расчет_аналитики'!BF2584,MeanMinAge08)))</f>
        <v/>
      </c>
      <c r="BG2523">
        <f>IF(OR(('19_Расчет_аналитики'!BG2439-'19_Расчет_аналитики'!BG2467)=0,8&lt;='01_Вводные'!$B$297),0,('19_Расчет_аналитики'!BG2439-'19_Расчет_аналитики'!BG2467)*IF('01_Вводные'!$B$239="Да",MeanMinAge08+'19_Расчет_аналитики'!BG2584*SUMIF(ThresholdAge08,"&lt;"&amp;'19_Расчет_аналитики'!BG2584,WeightedRevAge08)-SUMIF(ThresholdAge08,"&lt;"&amp;'19_Расчет_аналитики'!BG2584,WeightedMinAge08),MAX(CapacityAge08*'01_Вводные'!$B$218*'19_Расчет_аналитики'!BG2584,MeanMinAge08)))</f>
        <v/>
      </c>
      <c r="BH2523">
        <f>IF(OR(('19_Расчет_аналитики'!BH2439-'19_Расчет_аналитики'!BH2467)=0,8&lt;='01_Вводные'!$B$297),0,('19_Расчет_аналитики'!BH2439-'19_Расчет_аналитики'!BH2467)*IF('01_Вводные'!$B$239="Да",MeanMinAge08+'19_Расчет_аналитики'!BH2584*SUMIF(ThresholdAge08,"&lt;"&amp;'19_Расчет_аналитики'!BH2584,WeightedRevAge08)-SUMIF(ThresholdAge08,"&lt;"&amp;'19_Расчет_аналитики'!BH2584,WeightedMinAge08),MAX(CapacityAge08*'01_Вводные'!$B$218*'19_Расчет_аналитики'!BH2584,MeanMinAge08)))</f>
        <v/>
      </c>
      <c r="BI2523">
        <f>IF(OR(('19_Расчет_аналитики'!BI2439-'19_Расчет_аналитики'!BI2467)=0,8&lt;='01_Вводные'!$B$297),0,('19_Расчет_аналитики'!BI2439-'19_Расчет_аналитики'!BI2467)*IF('01_Вводные'!$B$239="Да",MeanMinAge08+'19_Расчет_аналитики'!BI2584*SUMIF(ThresholdAge08,"&lt;"&amp;'19_Расчет_аналитики'!BI2584,WeightedRevAge08)-SUMIF(ThresholdAge08,"&lt;"&amp;'19_Расчет_аналитики'!BI2584,WeightedMinAge08),MAX(CapacityAge08*'01_Вводные'!$B$218*'19_Расчет_аналитики'!BI2584,MeanMinAge08)))</f>
        <v/>
      </c>
      <c r="BJ2523">
        <f>IF(OR(('19_Расчет_аналитики'!BJ2439-'19_Расчет_аналитики'!BJ2467)=0,8&lt;='01_Вводные'!$B$297),0,('19_Расчет_аналитики'!BJ2439-'19_Расчет_аналитики'!BJ2467)*IF('01_Вводные'!$B$239="Да",MeanMinAge08+'19_Расчет_аналитики'!BJ2584*SUMIF(ThresholdAge08,"&lt;"&amp;'19_Расчет_аналитики'!BJ2584,WeightedRevAge08)-SUMIF(ThresholdAge08,"&lt;"&amp;'19_Расчет_аналитики'!BJ2584,WeightedMinAge08),MAX(CapacityAge08*'01_Вводные'!$B$218*'19_Расчет_аналитики'!BJ2584,MeanMinAge08)))</f>
        <v/>
      </c>
      <c r="BK2523">
        <f>IF(OR(('19_Расчет_аналитики'!BK2439-'19_Расчет_аналитики'!BK2467)=0,8&lt;='01_Вводные'!$B$297),0,('19_Расчет_аналитики'!BK2439-'19_Расчет_аналитики'!BK2467)*IF('01_Вводные'!$B$239="Да",MeanMinAge08+'19_Расчет_аналитики'!BK2584*SUMIF(ThresholdAge08,"&lt;"&amp;'19_Расчет_аналитики'!BK2584,WeightedRevAge08)-SUMIF(ThresholdAge08,"&lt;"&amp;'19_Расчет_аналитики'!BK2584,WeightedMinAge08),MAX(CapacityAge08*'01_Вводные'!$B$218*'19_Расчет_аналитики'!BK2584,MeanMinAge08)))</f>
        <v/>
      </c>
      <c r="BL2523">
        <f>IF(OR(('19_Расчет_аналитики'!BL2439-'19_Расчет_аналитики'!BL2467)=0,8&lt;='01_Вводные'!$B$297),0,('19_Расчет_аналитики'!BL2439-'19_Расчет_аналитики'!BL2467)*IF('01_Вводные'!$B$239="Да",MeanMinAge08+'19_Расчет_аналитики'!BL2584*SUMIF(ThresholdAge08,"&lt;"&amp;'19_Расчет_аналитики'!BL2584,WeightedRevAge08)-SUMIF(ThresholdAge08,"&lt;"&amp;'19_Расчет_аналитики'!BL2584,WeightedMinAge08),MAX(CapacityAge08*'01_Вводные'!$B$218*'19_Расчет_аналитики'!BL2584,MeanMinAge08)))</f>
        <v/>
      </c>
      <c r="BM2523">
        <f>IF(OR(('19_Расчет_аналитики'!BM2439-'19_Расчет_аналитики'!BM2467)=0,8&lt;='01_Вводные'!$B$297),0,('19_Расчет_аналитики'!BM2439-'19_Расчет_аналитики'!BM2467)*IF('01_Вводные'!$B$239="Да",MeanMinAge08+'19_Расчет_аналитики'!BM2584*SUMIF(ThresholdAge08,"&lt;"&amp;'19_Расчет_аналитики'!BM2584,WeightedRevAge08)-SUMIF(ThresholdAge08,"&lt;"&amp;'19_Расчет_аналитики'!BM2584,WeightedMinAge08),MAX(CapacityAge08*'01_Вводные'!$B$218*'19_Расчет_аналитики'!BM2584,MeanMinAge08)))</f>
        <v/>
      </c>
      <c r="BN2523">
        <f>IF(OR(('19_Расчет_аналитики'!BN2439-'19_Расчет_аналитики'!BN2467)=0,8&lt;='01_Вводные'!$B$297),0,('19_Расчет_аналитики'!BN2439-'19_Расчет_аналитики'!BN2467)*IF('01_Вводные'!$B$239="Да",MeanMinAge08+'19_Расчет_аналитики'!BN2584*SUMIF(ThresholdAge08,"&lt;"&amp;'19_Расчет_аналитики'!BN2584,WeightedRevAge08)-SUMIF(ThresholdAge08,"&lt;"&amp;'19_Расчет_аналитики'!BN2584,WeightedMinAge08),MAX(CapacityAge08*'01_Вводные'!$B$218*'19_Расчет_аналитики'!BN2584,MeanMinAge08)))</f>
        <v/>
      </c>
      <c r="BO2523">
        <f>IF(OR(('19_Расчет_аналитики'!BO2439-'19_Расчет_аналитики'!BO2467)=0,8&lt;='01_Вводные'!$B$297),0,('19_Расчет_аналитики'!BO2439-'19_Расчет_аналитики'!BO2467)*IF('01_Вводные'!$B$239="Да",MeanMinAge08+'19_Расчет_аналитики'!BO2584*SUMIF(ThresholdAge08,"&lt;"&amp;'19_Расчет_аналитики'!BO2584,WeightedRevAge08)-SUMIF(ThresholdAge08,"&lt;"&amp;'19_Расчет_аналитики'!BO2584,WeightedMinAge08),MAX(CapacityAge08*'01_Вводные'!$B$218*'19_Расчет_аналитики'!BO2584,MeanMinAge08)))</f>
        <v/>
      </c>
    </row>
    <row r="2524">
      <c r="B2524">
        <f>IF(OR(('06_Сеть_и_дети'!B61-'06_Сеть_и_дети'!B89)=0,9&lt;='01_Вводные'!$B$297),0,('06_Сеть_и_дети'!B61-'06_Сеть_и_дети'!B89)*IF('01_Вводные'!$B$239="Да",MeanMinAge09+'19_Расчет_аналитики'!B2584*SUMIF(ThresholdAge09,"&lt;"&amp;'19_Расчет_аналитики'!B2584,WeightedRevAge09)-SUMIF(ThresholdAge09,"&lt;"&amp;'19_Расчет_аналитики'!B2584,WeightedMinAge09),MAX(CapacityAge09*'01_Вводные'!$B$218*'19_Расчет_аналитики'!B2584,MeanMinAge09)))</f>
        <v/>
      </c>
      <c r="C2524">
        <f>IF(OR(('06_Сеть_и_дети'!C61-'06_Сеть_и_дети'!C89)=0,9&lt;='01_Вводные'!$B$297),0,('06_Сеть_и_дети'!C61-'06_Сеть_и_дети'!C89)*IF('01_Вводные'!$B$239="Да",MeanMinAge09+'19_Расчет_аналитики'!C2584*SUMIF(ThresholdAge09,"&lt;"&amp;'19_Расчет_аналитики'!C2584,WeightedRevAge09)-SUMIF(ThresholdAge09,"&lt;"&amp;'19_Расчет_аналитики'!C2584,WeightedMinAge09),MAX(CapacityAge09*'01_Вводные'!$B$218*'19_Расчет_аналитики'!C2584,MeanMinAge09)))</f>
        <v/>
      </c>
      <c r="D2524">
        <f>IF(OR(('06_Сеть_и_дети'!D61-'06_Сеть_и_дети'!D89)=0,9&lt;='01_Вводные'!$B$297),0,('06_Сеть_и_дети'!D61-'06_Сеть_и_дети'!D89)*IF('01_Вводные'!$B$239="Да",MeanMinAge09+'19_Расчет_аналитики'!D2584*SUMIF(ThresholdAge09,"&lt;"&amp;'19_Расчет_аналитики'!D2584,WeightedRevAge09)-SUMIF(ThresholdAge09,"&lt;"&amp;'19_Расчет_аналитики'!D2584,WeightedMinAge09),MAX(CapacityAge09*'01_Вводные'!$B$218*'19_Расчет_аналитики'!D2584,MeanMinAge09)))</f>
        <v/>
      </c>
      <c r="E2524">
        <f>IF(OR(('06_Сеть_и_дети'!E61-'06_Сеть_и_дети'!E89)=0,9&lt;='01_Вводные'!$B$297),0,('06_Сеть_и_дети'!E61-'06_Сеть_и_дети'!E89)*IF('01_Вводные'!$B$239="Да",MeanMinAge09+'19_Расчет_аналитики'!E2584*SUMIF(ThresholdAge09,"&lt;"&amp;'19_Расчет_аналитики'!E2584,WeightedRevAge09)-SUMIF(ThresholdAge09,"&lt;"&amp;'19_Расчет_аналитики'!E2584,WeightedMinAge09),MAX(CapacityAge09*'01_Вводные'!$B$218*'19_Расчет_аналитики'!E2584,MeanMinAge09)))</f>
        <v/>
      </c>
      <c r="F2524">
        <f>IF(OR(('06_Сеть_и_дети'!F61-'06_Сеть_и_дети'!F89)=0,9&lt;='01_Вводные'!$B$297),0,('06_Сеть_и_дети'!F61-'06_Сеть_и_дети'!F89)*IF('01_Вводные'!$B$239="Да",MeanMinAge09+'19_Расчет_аналитики'!F2584*SUMIF(ThresholdAge09,"&lt;"&amp;'19_Расчет_аналитики'!F2584,WeightedRevAge09)-SUMIF(ThresholdAge09,"&lt;"&amp;'19_Расчет_аналитики'!F2584,WeightedMinAge09),MAX(CapacityAge09*'01_Вводные'!$B$218*'19_Расчет_аналитики'!F2584,MeanMinAge09)))</f>
        <v/>
      </c>
      <c r="G2524">
        <f>IF(OR(('06_Сеть_и_дети'!G61-'06_Сеть_и_дети'!G89)=0,9&lt;='01_Вводные'!$B$297),0,('06_Сеть_и_дети'!G61-'06_Сеть_и_дети'!G89)*IF('01_Вводные'!$B$239="Да",MeanMinAge09+'19_Расчет_аналитики'!G2584*SUMIF(ThresholdAge09,"&lt;"&amp;'19_Расчет_аналитики'!G2584,WeightedRevAge09)-SUMIF(ThresholdAge09,"&lt;"&amp;'19_Расчет_аналитики'!G2584,WeightedMinAge09),MAX(CapacityAge09*'01_Вводные'!$B$218*'19_Расчет_аналитики'!G2584,MeanMinAge09)))</f>
        <v/>
      </c>
      <c r="H2524">
        <f>IF(OR(('06_Сеть_и_дети'!H61-'06_Сеть_и_дети'!H89)=0,9&lt;='01_Вводные'!$B$297),0,('06_Сеть_и_дети'!H61-'06_Сеть_и_дети'!H89)*IF('01_Вводные'!$B$239="Да",MeanMinAge09+'19_Расчет_аналитики'!H2584*SUMIF(ThresholdAge09,"&lt;"&amp;'19_Расчет_аналитики'!H2584,WeightedRevAge09)-SUMIF(ThresholdAge09,"&lt;"&amp;'19_Расчет_аналитики'!H2584,WeightedMinAge09),MAX(CapacityAge09*'01_Вводные'!$B$218*'19_Расчет_аналитики'!H2584,MeanMinAge09)))</f>
        <v/>
      </c>
      <c r="I2524">
        <f>IF(OR(('06_Сеть_и_дети'!I61-'06_Сеть_и_дети'!I89)=0,9&lt;='01_Вводные'!$B$297),0,('06_Сеть_и_дети'!I61-'06_Сеть_и_дети'!I89)*IF('01_Вводные'!$B$239="Да",MeanMinAge09+'19_Расчет_аналитики'!I2584*SUMIF(ThresholdAge09,"&lt;"&amp;'19_Расчет_аналитики'!I2584,WeightedRevAge09)-SUMIF(ThresholdAge09,"&lt;"&amp;'19_Расчет_аналитики'!I2584,WeightedMinAge09),MAX(CapacityAge09*'01_Вводные'!$B$218*'19_Расчет_аналитики'!I2584,MeanMinAge09)))</f>
        <v/>
      </c>
      <c r="J2524">
        <f>IF(OR(('19_Расчет_аналитики'!J2440-'19_Расчет_аналитики'!J2468)=0,9&lt;='01_Вводные'!$B$297),0,('19_Расчет_аналитики'!J2440-'19_Расчет_аналитики'!J2468)*IF('01_Вводные'!$B$239="Да",MeanMinAge09+'19_Расчет_аналитики'!J2584*SUMIF(ThresholdAge09,"&lt;"&amp;'19_Расчет_аналитики'!J2584,WeightedRevAge09)-SUMIF(ThresholdAge09,"&lt;"&amp;'19_Расчет_аналитики'!J2584,WeightedMinAge09),MAX(CapacityAge09*'01_Вводные'!$B$218*'19_Расчет_аналитики'!J2584,MeanMinAge09)))</f>
        <v/>
      </c>
      <c r="K2524">
        <f>IF(OR(('19_Расчет_аналитики'!K2440-'19_Расчет_аналитики'!K2468)=0,9&lt;='01_Вводные'!$B$297),0,('19_Расчет_аналитики'!K2440-'19_Расчет_аналитики'!K2468)*IF('01_Вводные'!$B$239="Да",MeanMinAge09+'19_Расчет_аналитики'!K2584*SUMIF(ThresholdAge09,"&lt;"&amp;'19_Расчет_аналитики'!K2584,WeightedRevAge09)-SUMIF(ThresholdAge09,"&lt;"&amp;'19_Расчет_аналитики'!K2584,WeightedMinAge09),MAX(CapacityAge09*'01_Вводные'!$B$218*'19_Расчет_аналитики'!K2584,MeanMinAge09)))</f>
        <v/>
      </c>
      <c r="L2524">
        <f>IF(OR(('19_Расчет_аналитики'!L2440-'19_Расчет_аналитики'!L2468)=0,9&lt;='01_Вводные'!$B$297),0,('19_Расчет_аналитики'!L2440-'19_Расчет_аналитики'!L2468)*IF('01_Вводные'!$B$239="Да",MeanMinAge09+'19_Расчет_аналитики'!L2584*SUMIF(ThresholdAge09,"&lt;"&amp;'19_Расчет_аналитики'!L2584,WeightedRevAge09)-SUMIF(ThresholdAge09,"&lt;"&amp;'19_Расчет_аналитики'!L2584,WeightedMinAge09),MAX(CapacityAge09*'01_Вводные'!$B$218*'19_Расчет_аналитики'!L2584,MeanMinAge09)))</f>
        <v/>
      </c>
      <c r="M2524">
        <f>IF(OR(('19_Расчет_аналитики'!M2440-'19_Расчет_аналитики'!M2468)=0,9&lt;='01_Вводные'!$B$297),0,('19_Расчет_аналитики'!M2440-'19_Расчет_аналитики'!M2468)*IF('01_Вводные'!$B$239="Да",MeanMinAge09+'19_Расчет_аналитики'!M2584*SUMIF(ThresholdAge09,"&lt;"&amp;'19_Расчет_аналитики'!M2584,WeightedRevAge09)-SUMIF(ThresholdAge09,"&lt;"&amp;'19_Расчет_аналитики'!M2584,WeightedMinAge09),MAX(CapacityAge09*'01_Вводные'!$B$218*'19_Расчет_аналитики'!M2584,MeanMinAge09)))</f>
        <v/>
      </c>
      <c r="N2524">
        <f>IF(OR(('19_Расчет_аналитики'!N2440-'19_Расчет_аналитики'!N2468)=0,9&lt;='01_Вводные'!$B$297),0,('19_Расчет_аналитики'!N2440-'19_Расчет_аналитики'!N2468)*IF('01_Вводные'!$B$239="Да",MeanMinAge09+'19_Расчет_аналитики'!N2584*SUMIF(ThresholdAge09,"&lt;"&amp;'19_Расчет_аналитики'!N2584,WeightedRevAge09)-SUMIF(ThresholdAge09,"&lt;"&amp;'19_Расчет_аналитики'!N2584,WeightedMinAge09),MAX(CapacityAge09*'01_Вводные'!$B$218*'19_Расчет_аналитики'!N2584,MeanMinAge09)))</f>
        <v/>
      </c>
      <c r="O2524">
        <f>IF(OR(('19_Расчет_аналитики'!O2440-'19_Расчет_аналитики'!O2468)=0,9&lt;='01_Вводные'!$B$297),0,('19_Расчет_аналитики'!O2440-'19_Расчет_аналитики'!O2468)*IF('01_Вводные'!$B$239="Да",MeanMinAge09+'19_Расчет_аналитики'!O2584*SUMIF(ThresholdAge09,"&lt;"&amp;'19_Расчет_аналитики'!O2584,WeightedRevAge09)-SUMIF(ThresholdAge09,"&lt;"&amp;'19_Расчет_аналитики'!O2584,WeightedMinAge09),MAX(CapacityAge09*'01_Вводные'!$B$218*'19_Расчет_аналитики'!O2584,MeanMinAge09)))</f>
        <v/>
      </c>
      <c r="P2524">
        <f>IF(OR(('19_Расчет_аналитики'!P2440-'19_Расчет_аналитики'!P2468)=0,9&lt;='01_Вводные'!$B$297),0,('19_Расчет_аналитики'!P2440-'19_Расчет_аналитики'!P2468)*IF('01_Вводные'!$B$239="Да",MeanMinAge09+'19_Расчет_аналитики'!P2584*SUMIF(ThresholdAge09,"&lt;"&amp;'19_Расчет_аналитики'!P2584,WeightedRevAge09)-SUMIF(ThresholdAge09,"&lt;"&amp;'19_Расчет_аналитики'!P2584,WeightedMinAge09),MAX(CapacityAge09*'01_Вводные'!$B$218*'19_Расчет_аналитики'!P2584,MeanMinAge09)))</f>
        <v/>
      </c>
      <c r="Q2524">
        <f>IF(OR(('19_Расчет_аналитики'!Q2440-'19_Расчет_аналитики'!Q2468)=0,9&lt;='01_Вводные'!$B$297),0,('19_Расчет_аналитики'!Q2440-'19_Расчет_аналитики'!Q2468)*IF('01_Вводные'!$B$239="Да",MeanMinAge09+'19_Расчет_аналитики'!Q2584*SUMIF(ThresholdAge09,"&lt;"&amp;'19_Расчет_аналитики'!Q2584,WeightedRevAge09)-SUMIF(ThresholdAge09,"&lt;"&amp;'19_Расчет_аналитики'!Q2584,WeightedMinAge09),MAX(CapacityAge09*'01_Вводные'!$B$218*'19_Расчет_аналитики'!Q2584,MeanMinAge09)))</f>
        <v/>
      </c>
      <c r="R2524">
        <f>IF(OR(('19_Расчет_аналитики'!R2440-'19_Расчет_аналитики'!R2468)=0,9&lt;='01_Вводные'!$B$297),0,('19_Расчет_аналитики'!R2440-'19_Расчет_аналитики'!R2468)*IF('01_Вводные'!$B$239="Да",MeanMinAge09+'19_Расчет_аналитики'!R2584*SUMIF(ThresholdAge09,"&lt;"&amp;'19_Расчет_аналитики'!R2584,WeightedRevAge09)-SUMIF(ThresholdAge09,"&lt;"&amp;'19_Расчет_аналитики'!R2584,WeightedMinAge09),MAX(CapacityAge09*'01_Вводные'!$B$218*'19_Расчет_аналитики'!R2584,MeanMinAge09)))</f>
        <v/>
      </c>
      <c r="S2524">
        <f>IF(OR(('19_Расчет_аналитики'!S2440-'19_Расчет_аналитики'!S2468)=0,9&lt;='01_Вводные'!$B$297),0,('19_Расчет_аналитики'!S2440-'19_Расчет_аналитики'!S2468)*IF('01_Вводные'!$B$239="Да",MeanMinAge09+'19_Расчет_аналитики'!S2584*SUMIF(ThresholdAge09,"&lt;"&amp;'19_Расчет_аналитики'!S2584,WeightedRevAge09)-SUMIF(ThresholdAge09,"&lt;"&amp;'19_Расчет_аналитики'!S2584,WeightedMinAge09),MAX(CapacityAge09*'01_Вводные'!$B$218*'19_Расчет_аналитики'!S2584,MeanMinAge09)))</f>
        <v/>
      </c>
      <c r="T2524">
        <f>IF(OR(('19_Расчет_аналитики'!T2440-'19_Расчет_аналитики'!T2468)=0,9&lt;='01_Вводные'!$B$297),0,('19_Расчет_аналитики'!T2440-'19_Расчет_аналитики'!T2468)*IF('01_Вводные'!$B$239="Да",MeanMinAge09+'19_Расчет_аналитики'!T2584*SUMIF(ThresholdAge09,"&lt;"&amp;'19_Расчет_аналитики'!T2584,WeightedRevAge09)-SUMIF(ThresholdAge09,"&lt;"&amp;'19_Расчет_аналитики'!T2584,WeightedMinAge09),MAX(CapacityAge09*'01_Вводные'!$B$218*'19_Расчет_аналитики'!T2584,MeanMinAge09)))</f>
        <v/>
      </c>
      <c r="U2524">
        <f>IF(OR(('19_Расчет_аналитики'!U2440-'19_Расчет_аналитики'!U2468)=0,9&lt;='01_Вводные'!$B$297),0,('19_Расчет_аналитики'!U2440-'19_Расчет_аналитики'!U2468)*IF('01_Вводные'!$B$239="Да",MeanMinAge09+'19_Расчет_аналитики'!U2584*SUMIF(ThresholdAge09,"&lt;"&amp;'19_Расчет_аналитики'!U2584,WeightedRevAge09)-SUMIF(ThresholdAge09,"&lt;"&amp;'19_Расчет_аналитики'!U2584,WeightedMinAge09),MAX(CapacityAge09*'01_Вводные'!$B$218*'19_Расчет_аналитики'!U2584,MeanMinAge09)))</f>
        <v/>
      </c>
      <c r="V2524">
        <f>IF(OR(('19_Расчет_аналитики'!V2440-'19_Расчет_аналитики'!V2468)=0,9&lt;='01_Вводные'!$B$297),0,('19_Расчет_аналитики'!V2440-'19_Расчет_аналитики'!V2468)*IF('01_Вводные'!$B$239="Да",MeanMinAge09+'19_Расчет_аналитики'!V2584*SUMIF(ThresholdAge09,"&lt;"&amp;'19_Расчет_аналитики'!V2584,WeightedRevAge09)-SUMIF(ThresholdAge09,"&lt;"&amp;'19_Расчет_аналитики'!V2584,WeightedMinAge09),MAX(CapacityAge09*'01_Вводные'!$B$218*'19_Расчет_аналитики'!V2584,MeanMinAge09)))</f>
        <v/>
      </c>
      <c r="W2524">
        <f>IF(OR(('19_Расчет_аналитики'!W2440-'19_Расчет_аналитики'!W2468)=0,9&lt;='01_Вводные'!$B$297),0,('19_Расчет_аналитики'!W2440-'19_Расчет_аналитики'!W2468)*IF('01_Вводные'!$B$239="Да",MeanMinAge09+'19_Расчет_аналитики'!W2584*SUMIF(ThresholdAge09,"&lt;"&amp;'19_Расчет_аналитики'!W2584,WeightedRevAge09)-SUMIF(ThresholdAge09,"&lt;"&amp;'19_Расчет_аналитики'!W2584,WeightedMinAge09),MAX(CapacityAge09*'01_Вводные'!$B$218*'19_Расчет_аналитики'!W2584,MeanMinAge09)))</f>
        <v/>
      </c>
      <c r="X2524">
        <f>IF(OR(('19_Расчет_аналитики'!X2440-'19_Расчет_аналитики'!X2468)=0,9&lt;='01_Вводные'!$B$297),0,('19_Расчет_аналитики'!X2440-'19_Расчет_аналитики'!X2468)*IF('01_Вводные'!$B$239="Да",MeanMinAge09+'19_Расчет_аналитики'!X2584*SUMIF(ThresholdAge09,"&lt;"&amp;'19_Расчет_аналитики'!X2584,WeightedRevAge09)-SUMIF(ThresholdAge09,"&lt;"&amp;'19_Расчет_аналитики'!X2584,WeightedMinAge09),MAX(CapacityAge09*'01_Вводные'!$B$218*'19_Расчет_аналитики'!X2584,MeanMinAge09)))</f>
        <v/>
      </c>
      <c r="Y2524">
        <f>IF(OR(('19_Расчет_аналитики'!Y2440-'19_Расчет_аналитики'!Y2468)=0,9&lt;='01_Вводные'!$B$297),0,('19_Расчет_аналитики'!Y2440-'19_Расчет_аналитики'!Y2468)*IF('01_Вводные'!$B$239="Да",MeanMinAge09+'19_Расчет_аналитики'!Y2584*SUMIF(ThresholdAge09,"&lt;"&amp;'19_Расчет_аналитики'!Y2584,WeightedRevAge09)-SUMIF(ThresholdAge09,"&lt;"&amp;'19_Расчет_аналитики'!Y2584,WeightedMinAge09),MAX(CapacityAge09*'01_Вводные'!$B$218*'19_Расчет_аналитики'!Y2584,MeanMinAge09)))</f>
        <v/>
      </c>
      <c r="Z2524">
        <f>IF(OR(('19_Расчет_аналитики'!Z2440-'19_Расчет_аналитики'!Z2468)=0,9&lt;='01_Вводные'!$B$297),0,('19_Расчет_аналитики'!Z2440-'19_Расчет_аналитики'!Z2468)*IF('01_Вводные'!$B$239="Да",MeanMinAge09+'19_Расчет_аналитики'!Z2584*SUMIF(ThresholdAge09,"&lt;"&amp;'19_Расчет_аналитики'!Z2584,WeightedRevAge09)-SUMIF(ThresholdAge09,"&lt;"&amp;'19_Расчет_аналитики'!Z2584,WeightedMinAge09),MAX(CapacityAge09*'01_Вводные'!$B$218*'19_Расчет_аналитики'!Z2584,MeanMinAge09)))</f>
        <v/>
      </c>
      <c r="AA2524">
        <f>IF(OR(('19_Расчет_аналитики'!AA2440-'19_Расчет_аналитики'!AA2468)=0,9&lt;='01_Вводные'!$B$297),0,('19_Расчет_аналитики'!AA2440-'19_Расчет_аналитики'!AA2468)*IF('01_Вводные'!$B$239="Да",MeanMinAge09+'19_Расчет_аналитики'!AA2584*SUMIF(ThresholdAge09,"&lt;"&amp;'19_Расчет_аналитики'!AA2584,WeightedRevAge09)-SUMIF(ThresholdAge09,"&lt;"&amp;'19_Расчет_аналитики'!AA2584,WeightedMinAge09),MAX(CapacityAge09*'01_Вводные'!$B$218*'19_Расчет_аналитики'!AA2584,MeanMinAge09)))</f>
        <v/>
      </c>
      <c r="AB2524">
        <f>IF(OR(('19_Расчет_аналитики'!AB2440-'19_Расчет_аналитики'!AB2468)=0,9&lt;='01_Вводные'!$B$297),0,('19_Расчет_аналитики'!AB2440-'19_Расчет_аналитики'!AB2468)*IF('01_Вводные'!$B$239="Да",MeanMinAge09+'19_Расчет_аналитики'!AB2584*SUMIF(ThresholdAge09,"&lt;"&amp;'19_Расчет_аналитики'!AB2584,WeightedRevAge09)-SUMIF(ThresholdAge09,"&lt;"&amp;'19_Расчет_аналитики'!AB2584,WeightedMinAge09),MAX(CapacityAge09*'01_Вводные'!$B$218*'19_Расчет_аналитики'!AB2584,MeanMinAge09)))</f>
        <v/>
      </c>
      <c r="AC2524">
        <f>IF(OR(('19_Расчет_аналитики'!AC2440-'19_Расчет_аналитики'!AC2468)=0,9&lt;='01_Вводные'!$B$297),0,('19_Расчет_аналитики'!AC2440-'19_Расчет_аналитики'!AC2468)*IF('01_Вводные'!$B$239="Да",MeanMinAge09+'19_Расчет_аналитики'!AC2584*SUMIF(ThresholdAge09,"&lt;"&amp;'19_Расчет_аналитики'!AC2584,WeightedRevAge09)-SUMIF(ThresholdAge09,"&lt;"&amp;'19_Расчет_аналитики'!AC2584,WeightedMinAge09),MAX(CapacityAge09*'01_Вводные'!$B$218*'19_Расчет_аналитики'!AC2584,MeanMinAge09)))</f>
        <v/>
      </c>
      <c r="AD2524">
        <f>IF(OR(('19_Расчет_аналитики'!AD2440-'19_Расчет_аналитики'!AD2468)=0,9&lt;='01_Вводные'!$B$297),0,('19_Расчет_аналитики'!AD2440-'19_Расчет_аналитики'!AD2468)*IF('01_Вводные'!$B$239="Да",MeanMinAge09+'19_Расчет_аналитики'!AD2584*SUMIF(ThresholdAge09,"&lt;"&amp;'19_Расчет_аналитики'!AD2584,WeightedRevAge09)-SUMIF(ThresholdAge09,"&lt;"&amp;'19_Расчет_аналитики'!AD2584,WeightedMinAge09),MAX(CapacityAge09*'01_Вводные'!$B$218*'19_Расчет_аналитики'!AD2584,MeanMinAge09)))</f>
        <v/>
      </c>
      <c r="AE2524">
        <f>IF(OR(('19_Расчет_аналитики'!AE2440-'19_Расчет_аналитики'!AE2468)=0,9&lt;='01_Вводные'!$B$297),0,('19_Расчет_аналитики'!AE2440-'19_Расчет_аналитики'!AE2468)*IF('01_Вводные'!$B$239="Да",MeanMinAge09+'19_Расчет_аналитики'!AE2584*SUMIF(ThresholdAge09,"&lt;"&amp;'19_Расчет_аналитики'!AE2584,WeightedRevAge09)-SUMIF(ThresholdAge09,"&lt;"&amp;'19_Расчет_аналитики'!AE2584,WeightedMinAge09),MAX(CapacityAge09*'01_Вводные'!$B$218*'19_Расчет_аналитики'!AE2584,MeanMinAge09)))</f>
        <v/>
      </c>
      <c r="AF2524">
        <f>IF(OR(('19_Расчет_аналитики'!AF2440-'19_Расчет_аналитики'!AF2468)=0,9&lt;='01_Вводные'!$B$297),0,('19_Расчет_аналитики'!AF2440-'19_Расчет_аналитики'!AF2468)*IF('01_Вводные'!$B$239="Да",MeanMinAge09+'19_Расчет_аналитики'!AF2584*SUMIF(ThresholdAge09,"&lt;"&amp;'19_Расчет_аналитики'!AF2584,WeightedRevAge09)-SUMIF(ThresholdAge09,"&lt;"&amp;'19_Расчет_аналитики'!AF2584,WeightedMinAge09),MAX(CapacityAge09*'01_Вводные'!$B$218*'19_Расчет_аналитики'!AF2584,MeanMinAge09)))</f>
        <v/>
      </c>
      <c r="AG2524">
        <f>IF(OR(('19_Расчет_аналитики'!AG2440-'19_Расчет_аналитики'!AG2468)=0,9&lt;='01_Вводные'!$B$297),0,('19_Расчет_аналитики'!AG2440-'19_Расчет_аналитики'!AG2468)*IF('01_Вводные'!$B$239="Да",MeanMinAge09+'19_Расчет_аналитики'!AG2584*SUMIF(ThresholdAge09,"&lt;"&amp;'19_Расчет_аналитики'!AG2584,WeightedRevAge09)-SUMIF(ThresholdAge09,"&lt;"&amp;'19_Расчет_аналитики'!AG2584,WeightedMinAge09),MAX(CapacityAge09*'01_Вводные'!$B$218*'19_Расчет_аналитики'!AG2584,MeanMinAge09)))</f>
        <v/>
      </c>
      <c r="AH2524">
        <f>IF(OR(('19_Расчет_аналитики'!AH2440-'19_Расчет_аналитики'!AH2468)=0,9&lt;='01_Вводные'!$B$297),0,('19_Расчет_аналитики'!AH2440-'19_Расчет_аналитики'!AH2468)*IF('01_Вводные'!$B$239="Да",MeanMinAge09+'19_Расчет_аналитики'!AH2584*SUMIF(ThresholdAge09,"&lt;"&amp;'19_Расчет_аналитики'!AH2584,WeightedRevAge09)-SUMIF(ThresholdAge09,"&lt;"&amp;'19_Расчет_аналитики'!AH2584,WeightedMinAge09),MAX(CapacityAge09*'01_Вводные'!$B$218*'19_Расчет_аналитики'!AH2584,MeanMinAge09)))</f>
        <v/>
      </c>
      <c r="AI2524">
        <f>IF(OR(('19_Расчет_аналитики'!AI2440-'19_Расчет_аналитики'!AI2468)=0,9&lt;='01_Вводные'!$B$297),0,('19_Расчет_аналитики'!AI2440-'19_Расчет_аналитики'!AI2468)*IF('01_Вводные'!$B$239="Да",MeanMinAge09+'19_Расчет_аналитики'!AI2584*SUMIF(ThresholdAge09,"&lt;"&amp;'19_Расчет_аналитики'!AI2584,WeightedRevAge09)-SUMIF(ThresholdAge09,"&lt;"&amp;'19_Расчет_аналитики'!AI2584,WeightedMinAge09),MAX(CapacityAge09*'01_Вводные'!$B$218*'19_Расчет_аналитики'!AI2584,MeanMinAge09)))</f>
        <v/>
      </c>
      <c r="AJ2524">
        <f>IF(OR(('19_Расчет_аналитики'!AJ2440-'19_Расчет_аналитики'!AJ2468)=0,9&lt;='01_Вводные'!$B$297),0,('19_Расчет_аналитики'!AJ2440-'19_Расчет_аналитики'!AJ2468)*IF('01_Вводные'!$B$239="Да",MeanMinAge09+'19_Расчет_аналитики'!AJ2584*SUMIF(ThresholdAge09,"&lt;"&amp;'19_Расчет_аналитики'!AJ2584,WeightedRevAge09)-SUMIF(ThresholdAge09,"&lt;"&amp;'19_Расчет_аналитики'!AJ2584,WeightedMinAge09),MAX(CapacityAge09*'01_Вводные'!$B$218*'19_Расчет_аналитики'!AJ2584,MeanMinAge09)))</f>
        <v/>
      </c>
      <c r="AK2524">
        <f>IF(OR(('19_Расчет_аналитики'!AK2440-'19_Расчет_аналитики'!AK2468)=0,9&lt;='01_Вводные'!$B$297),0,('19_Расчет_аналитики'!AK2440-'19_Расчет_аналитики'!AK2468)*IF('01_Вводные'!$B$239="Да",MeanMinAge09+'19_Расчет_аналитики'!AK2584*SUMIF(ThresholdAge09,"&lt;"&amp;'19_Расчет_аналитики'!AK2584,WeightedRevAge09)-SUMIF(ThresholdAge09,"&lt;"&amp;'19_Расчет_аналитики'!AK2584,WeightedMinAge09),MAX(CapacityAge09*'01_Вводные'!$B$218*'19_Расчет_аналитики'!AK2584,MeanMinAge09)))</f>
        <v/>
      </c>
      <c r="AL2524">
        <f>IF(OR(('19_Расчет_аналитики'!AL2440-'19_Расчет_аналитики'!AL2468)=0,9&lt;='01_Вводные'!$B$297),0,('19_Расчет_аналитики'!AL2440-'19_Расчет_аналитики'!AL2468)*IF('01_Вводные'!$B$239="Да",MeanMinAge09+'19_Расчет_аналитики'!AL2584*SUMIF(ThresholdAge09,"&lt;"&amp;'19_Расчет_аналитики'!AL2584,WeightedRevAge09)-SUMIF(ThresholdAge09,"&lt;"&amp;'19_Расчет_аналитики'!AL2584,WeightedMinAge09),MAX(CapacityAge09*'01_Вводные'!$B$218*'19_Расчет_аналитики'!AL2584,MeanMinAge09)))</f>
        <v/>
      </c>
      <c r="AM2524">
        <f>IF(OR(('19_Расчет_аналитики'!AM2440-'19_Расчет_аналитики'!AM2468)=0,9&lt;='01_Вводные'!$B$297),0,('19_Расчет_аналитики'!AM2440-'19_Расчет_аналитики'!AM2468)*IF('01_Вводные'!$B$239="Да",MeanMinAge09+'19_Расчет_аналитики'!AM2584*SUMIF(ThresholdAge09,"&lt;"&amp;'19_Расчет_аналитики'!AM2584,WeightedRevAge09)-SUMIF(ThresholdAge09,"&lt;"&amp;'19_Расчет_аналитики'!AM2584,WeightedMinAge09),MAX(CapacityAge09*'01_Вводные'!$B$218*'19_Расчет_аналитики'!AM2584,MeanMinAge09)))</f>
        <v/>
      </c>
      <c r="AN2524">
        <f>IF(OR(('19_Расчет_аналитики'!AN2440-'19_Расчет_аналитики'!AN2468)=0,9&lt;='01_Вводные'!$B$297),0,('19_Расчет_аналитики'!AN2440-'19_Расчет_аналитики'!AN2468)*IF('01_Вводные'!$B$239="Да",MeanMinAge09+'19_Расчет_аналитики'!AN2584*SUMIF(ThresholdAge09,"&lt;"&amp;'19_Расчет_аналитики'!AN2584,WeightedRevAge09)-SUMIF(ThresholdAge09,"&lt;"&amp;'19_Расчет_аналитики'!AN2584,WeightedMinAge09),MAX(CapacityAge09*'01_Вводные'!$B$218*'19_Расчет_аналитики'!AN2584,MeanMinAge09)))</f>
        <v/>
      </c>
      <c r="AO2524">
        <f>IF(OR(('19_Расчет_аналитики'!AO2440-'19_Расчет_аналитики'!AO2468)=0,9&lt;='01_Вводные'!$B$297),0,('19_Расчет_аналитики'!AO2440-'19_Расчет_аналитики'!AO2468)*IF('01_Вводные'!$B$239="Да",MeanMinAge09+'19_Расчет_аналитики'!AO2584*SUMIF(ThresholdAge09,"&lt;"&amp;'19_Расчет_аналитики'!AO2584,WeightedRevAge09)-SUMIF(ThresholdAge09,"&lt;"&amp;'19_Расчет_аналитики'!AO2584,WeightedMinAge09),MAX(CapacityAge09*'01_Вводные'!$B$218*'19_Расчет_аналитики'!AO2584,MeanMinAge09)))</f>
        <v/>
      </c>
      <c r="AP2524">
        <f>IF(OR(('19_Расчет_аналитики'!AP2440-'19_Расчет_аналитики'!AP2468)=0,9&lt;='01_Вводные'!$B$297),0,('19_Расчет_аналитики'!AP2440-'19_Расчет_аналитики'!AP2468)*IF('01_Вводные'!$B$239="Да",MeanMinAge09+'19_Расчет_аналитики'!AP2584*SUMIF(ThresholdAge09,"&lt;"&amp;'19_Расчет_аналитики'!AP2584,WeightedRevAge09)-SUMIF(ThresholdAge09,"&lt;"&amp;'19_Расчет_аналитики'!AP2584,WeightedMinAge09),MAX(CapacityAge09*'01_Вводные'!$B$218*'19_Расчет_аналитики'!AP2584,MeanMinAge09)))</f>
        <v/>
      </c>
      <c r="AQ2524">
        <f>IF(OR(('19_Расчет_аналитики'!AQ2440-'19_Расчет_аналитики'!AQ2468)=0,9&lt;='01_Вводные'!$B$297),0,('19_Расчет_аналитики'!AQ2440-'19_Расчет_аналитики'!AQ2468)*IF('01_Вводные'!$B$239="Да",MeanMinAge09+'19_Расчет_аналитики'!AQ2584*SUMIF(ThresholdAge09,"&lt;"&amp;'19_Расчет_аналитики'!AQ2584,WeightedRevAge09)-SUMIF(ThresholdAge09,"&lt;"&amp;'19_Расчет_аналитики'!AQ2584,WeightedMinAge09),MAX(CapacityAge09*'01_Вводные'!$B$218*'19_Расчет_аналитики'!AQ2584,MeanMinAge09)))</f>
        <v/>
      </c>
      <c r="AR2524">
        <f>IF(OR(('19_Расчет_аналитики'!AR2440-'19_Расчет_аналитики'!AR2468)=0,9&lt;='01_Вводные'!$B$297),0,('19_Расчет_аналитики'!AR2440-'19_Расчет_аналитики'!AR2468)*IF('01_Вводные'!$B$239="Да",MeanMinAge09+'19_Расчет_аналитики'!AR2584*SUMIF(ThresholdAge09,"&lt;"&amp;'19_Расчет_аналитики'!AR2584,WeightedRevAge09)-SUMIF(ThresholdAge09,"&lt;"&amp;'19_Расчет_аналитики'!AR2584,WeightedMinAge09),MAX(CapacityAge09*'01_Вводные'!$B$218*'19_Расчет_аналитики'!AR2584,MeanMinAge09)))</f>
        <v/>
      </c>
      <c r="AS2524">
        <f>IF(OR(('19_Расчет_аналитики'!AS2440-'19_Расчет_аналитики'!AS2468)=0,9&lt;='01_Вводные'!$B$297),0,('19_Расчет_аналитики'!AS2440-'19_Расчет_аналитики'!AS2468)*IF('01_Вводные'!$B$239="Да",MeanMinAge09+'19_Расчет_аналитики'!AS2584*SUMIF(ThresholdAge09,"&lt;"&amp;'19_Расчет_аналитики'!AS2584,WeightedRevAge09)-SUMIF(ThresholdAge09,"&lt;"&amp;'19_Расчет_аналитики'!AS2584,WeightedMinAge09),MAX(CapacityAge09*'01_Вводные'!$B$218*'19_Расчет_аналитики'!AS2584,MeanMinAge09)))</f>
        <v/>
      </c>
      <c r="AT2524">
        <f>IF(OR(('19_Расчет_аналитики'!AT2440-'19_Расчет_аналитики'!AT2468)=0,9&lt;='01_Вводные'!$B$297),0,('19_Расчет_аналитики'!AT2440-'19_Расчет_аналитики'!AT2468)*IF('01_Вводные'!$B$239="Да",MeanMinAge09+'19_Расчет_аналитики'!AT2584*SUMIF(ThresholdAge09,"&lt;"&amp;'19_Расчет_аналитики'!AT2584,WeightedRevAge09)-SUMIF(ThresholdAge09,"&lt;"&amp;'19_Расчет_аналитики'!AT2584,WeightedMinAge09),MAX(CapacityAge09*'01_Вводные'!$B$218*'19_Расчет_аналитики'!AT2584,MeanMinAge09)))</f>
        <v/>
      </c>
      <c r="AU2524">
        <f>IF(OR(('19_Расчет_аналитики'!AU2440-'19_Расчет_аналитики'!AU2468)=0,9&lt;='01_Вводные'!$B$297),0,('19_Расчет_аналитики'!AU2440-'19_Расчет_аналитики'!AU2468)*IF('01_Вводные'!$B$239="Да",MeanMinAge09+'19_Расчет_аналитики'!AU2584*SUMIF(ThresholdAge09,"&lt;"&amp;'19_Расчет_аналитики'!AU2584,WeightedRevAge09)-SUMIF(ThresholdAge09,"&lt;"&amp;'19_Расчет_аналитики'!AU2584,WeightedMinAge09),MAX(CapacityAge09*'01_Вводные'!$B$218*'19_Расчет_аналитики'!AU2584,MeanMinAge09)))</f>
        <v/>
      </c>
      <c r="AV2524">
        <f>IF(OR(('19_Расчет_аналитики'!AV2440-'19_Расчет_аналитики'!AV2468)=0,9&lt;='01_Вводные'!$B$297),0,('19_Расчет_аналитики'!AV2440-'19_Расчет_аналитики'!AV2468)*IF('01_Вводные'!$B$239="Да",MeanMinAge09+'19_Расчет_аналитики'!AV2584*SUMIF(ThresholdAge09,"&lt;"&amp;'19_Расчет_аналитики'!AV2584,WeightedRevAge09)-SUMIF(ThresholdAge09,"&lt;"&amp;'19_Расчет_аналитики'!AV2584,WeightedMinAge09),MAX(CapacityAge09*'01_Вводные'!$B$218*'19_Расчет_аналитики'!AV2584,MeanMinAge09)))</f>
        <v/>
      </c>
      <c r="AW2524">
        <f>IF(OR(('19_Расчет_аналитики'!AW2440-'19_Расчет_аналитики'!AW2468)=0,9&lt;='01_Вводные'!$B$297),0,('19_Расчет_аналитики'!AW2440-'19_Расчет_аналитики'!AW2468)*IF('01_Вводные'!$B$239="Да",MeanMinAge09+'19_Расчет_аналитики'!AW2584*SUMIF(ThresholdAge09,"&lt;"&amp;'19_Расчет_аналитики'!AW2584,WeightedRevAge09)-SUMIF(ThresholdAge09,"&lt;"&amp;'19_Расчет_аналитики'!AW2584,WeightedMinAge09),MAX(CapacityAge09*'01_Вводные'!$B$218*'19_Расчет_аналитики'!AW2584,MeanMinAge09)))</f>
        <v/>
      </c>
      <c r="AX2524">
        <f>IF(OR(('19_Расчет_аналитики'!AX2440-'19_Расчет_аналитики'!AX2468)=0,9&lt;='01_Вводные'!$B$297),0,('19_Расчет_аналитики'!AX2440-'19_Расчет_аналитики'!AX2468)*IF('01_Вводные'!$B$239="Да",MeanMinAge09+'19_Расчет_аналитики'!AX2584*SUMIF(ThresholdAge09,"&lt;"&amp;'19_Расчет_аналитики'!AX2584,WeightedRevAge09)-SUMIF(ThresholdAge09,"&lt;"&amp;'19_Расчет_аналитики'!AX2584,WeightedMinAge09),MAX(CapacityAge09*'01_Вводные'!$B$218*'19_Расчет_аналитики'!AX2584,MeanMinAge09)))</f>
        <v/>
      </c>
      <c r="AY2524">
        <f>IF(OR(('19_Расчет_аналитики'!AY2440-'19_Расчет_аналитики'!AY2468)=0,9&lt;='01_Вводные'!$B$297),0,('19_Расчет_аналитики'!AY2440-'19_Расчет_аналитики'!AY2468)*IF('01_Вводные'!$B$239="Да",MeanMinAge09+'19_Расчет_аналитики'!AY2584*SUMIF(ThresholdAge09,"&lt;"&amp;'19_Расчет_аналитики'!AY2584,WeightedRevAge09)-SUMIF(ThresholdAge09,"&lt;"&amp;'19_Расчет_аналитики'!AY2584,WeightedMinAge09),MAX(CapacityAge09*'01_Вводные'!$B$218*'19_Расчет_аналитики'!AY2584,MeanMinAge09)))</f>
        <v/>
      </c>
      <c r="AZ2524">
        <f>IF(OR(('19_Расчет_аналитики'!AZ2440-'19_Расчет_аналитики'!AZ2468)=0,9&lt;='01_Вводные'!$B$297),0,('19_Расчет_аналитики'!AZ2440-'19_Расчет_аналитики'!AZ2468)*IF('01_Вводные'!$B$239="Да",MeanMinAge09+'19_Расчет_аналитики'!AZ2584*SUMIF(ThresholdAge09,"&lt;"&amp;'19_Расчет_аналитики'!AZ2584,WeightedRevAge09)-SUMIF(ThresholdAge09,"&lt;"&amp;'19_Расчет_аналитики'!AZ2584,WeightedMinAge09),MAX(CapacityAge09*'01_Вводные'!$B$218*'19_Расчет_аналитики'!AZ2584,MeanMinAge09)))</f>
        <v/>
      </c>
      <c r="BA2524">
        <f>IF(OR(('19_Расчет_аналитики'!BA2440-'19_Расчет_аналитики'!BA2468)=0,9&lt;='01_Вводные'!$B$297),0,('19_Расчет_аналитики'!BA2440-'19_Расчет_аналитики'!BA2468)*IF('01_Вводные'!$B$239="Да",MeanMinAge09+'19_Расчет_аналитики'!BA2584*SUMIF(ThresholdAge09,"&lt;"&amp;'19_Расчет_аналитики'!BA2584,WeightedRevAge09)-SUMIF(ThresholdAge09,"&lt;"&amp;'19_Расчет_аналитики'!BA2584,WeightedMinAge09),MAX(CapacityAge09*'01_Вводные'!$B$218*'19_Расчет_аналитики'!BA2584,MeanMinAge09)))</f>
        <v/>
      </c>
      <c r="BB2524">
        <f>IF(OR(('19_Расчет_аналитики'!BB2440-'19_Расчет_аналитики'!BB2468)=0,9&lt;='01_Вводные'!$B$297),0,('19_Расчет_аналитики'!BB2440-'19_Расчет_аналитики'!BB2468)*IF('01_Вводные'!$B$239="Да",MeanMinAge09+'19_Расчет_аналитики'!BB2584*SUMIF(ThresholdAge09,"&lt;"&amp;'19_Расчет_аналитики'!BB2584,WeightedRevAge09)-SUMIF(ThresholdAge09,"&lt;"&amp;'19_Расчет_аналитики'!BB2584,WeightedMinAge09),MAX(CapacityAge09*'01_Вводные'!$B$218*'19_Расчет_аналитики'!BB2584,MeanMinAge09)))</f>
        <v/>
      </c>
      <c r="BC2524">
        <f>IF(OR(('19_Расчет_аналитики'!BC2440-'19_Расчет_аналитики'!BC2468)=0,9&lt;='01_Вводные'!$B$297),0,('19_Расчет_аналитики'!BC2440-'19_Расчет_аналитики'!BC2468)*IF('01_Вводные'!$B$239="Да",MeanMinAge09+'19_Расчет_аналитики'!BC2584*SUMIF(ThresholdAge09,"&lt;"&amp;'19_Расчет_аналитики'!BC2584,WeightedRevAge09)-SUMIF(ThresholdAge09,"&lt;"&amp;'19_Расчет_аналитики'!BC2584,WeightedMinAge09),MAX(CapacityAge09*'01_Вводные'!$B$218*'19_Расчет_аналитики'!BC2584,MeanMinAge09)))</f>
        <v/>
      </c>
      <c r="BD2524">
        <f>IF(OR(('19_Расчет_аналитики'!BD2440-'19_Расчет_аналитики'!BD2468)=0,9&lt;='01_Вводные'!$B$297),0,('19_Расчет_аналитики'!BD2440-'19_Расчет_аналитики'!BD2468)*IF('01_Вводные'!$B$239="Да",MeanMinAge09+'19_Расчет_аналитики'!BD2584*SUMIF(ThresholdAge09,"&lt;"&amp;'19_Расчет_аналитики'!BD2584,WeightedRevAge09)-SUMIF(ThresholdAge09,"&lt;"&amp;'19_Расчет_аналитики'!BD2584,WeightedMinAge09),MAX(CapacityAge09*'01_Вводные'!$B$218*'19_Расчет_аналитики'!BD2584,MeanMinAge09)))</f>
        <v/>
      </c>
      <c r="BE2524">
        <f>IF(OR(('19_Расчет_аналитики'!BE2440-'19_Расчет_аналитики'!BE2468)=0,9&lt;='01_Вводные'!$B$297),0,('19_Расчет_аналитики'!BE2440-'19_Расчет_аналитики'!BE2468)*IF('01_Вводные'!$B$239="Да",MeanMinAge09+'19_Расчет_аналитики'!BE2584*SUMIF(ThresholdAge09,"&lt;"&amp;'19_Расчет_аналитики'!BE2584,WeightedRevAge09)-SUMIF(ThresholdAge09,"&lt;"&amp;'19_Расчет_аналитики'!BE2584,WeightedMinAge09),MAX(CapacityAge09*'01_Вводные'!$B$218*'19_Расчет_аналитики'!BE2584,MeanMinAge09)))</f>
        <v/>
      </c>
      <c r="BF2524">
        <f>IF(OR(('19_Расчет_аналитики'!BF2440-'19_Расчет_аналитики'!BF2468)=0,9&lt;='01_Вводные'!$B$297),0,('19_Расчет_аналитики'!BF2440-'19_Расчет_аналитики'!BF2468)*IF('01_Вводные'!$B$239="Да",MeanMinAge09+'19_Расчет_аналитики'!BF2584*SUMIF(ThresholdAge09,"&lt;"&amp;'19_Расчет_аналитики'!BF2584,WeightedRevAge09)-SUMIF(ThresholdAge09,"&lt;"&amp;'19_Расчет_аналитики'!BF2584,WeightedMinAge09),MAX(CapacityAge09*'01_Вводные'!$B$218*'19_Расчет_аналитики'!BF2584,MeanMinAge09)))</f>
        <v/>
      </c>
      <c r="BG2524">
        <f>IF(OR(('19_Расчет_аналитики'!BG2440-'19_Расчет_аналитики'!BG2468)=0,9&lt;='01_Вводные'!$B$297),0,('19_Расчет_аналитики'!BG2440-'19_Расчет_аналитики'!BG2468)*IF('01_Вводные'!$B$239="Да",MeanMinAge09+'19_Расчет_аналитики'!BG2584*SUMIF(ThresholdAge09,"&lt;"&amp;'19_Расчет_аналитики'!BG2584,WeightedRevAge09)-SUMIF(ThresholdAge09,"&lt;"&amp;'19_Расчет_аналитики'!BG2584,WeightedMinAge09),MAX(CapacityAge09*'01_Вводные'!$B$218*'19_Расчет_аналитики'!BG2584,MeanMinAge09)))</f>
        <v/>
      </c>
      <c r="BH2524">
        <f>IF(OR(('19_Расчет_аналитики'!BH2440-'19_Расчет_аналитики'!BH2468)=0,9&lt;='01_Вводные'!$B$297),0,('19_Расчет_аналитики'!BH2440-'19_Расчет_аналитики'!BH2468)*IF('01_Вводные'!$B$239="Да",MeanMinAge09+'19_Расчет_аналитики'!BH2584*SUMIF(ThresholdAge09,"&lt;"&amp;'19_Расчет_аналитики'!BH2584,WeightedRevAge09)-SUMIF(ThresholdAge09,"&lt;"&amp;'19_Расчет_аналитики'!BH2584,WeightedMinAge09),MAX(CapacityAge09*'01_Вводные'!$B$218*'19_Расчет_аналитики'!BH2584,MeanMinAge09)))</f>
        <v/>
      </c>
      <c r="BI2524">
        <f>IF(OR(('19_Расчет_аналитики'!BI2440-'19_Расчет_аналитики'!BI2468)=0,9&lt;='01_Вводные'!$B$297),0,('19_Расчет_аналитики'!BI2440-'19_Расчет_аналитики'!BI2468)*IF('01_Вводные'!$B$239="Да",MeanMinAge09+'19_Расчет_аналитики'!BI2584*SUMIF(ThresholdAge09,"&lt;"&amp;'19_Расчет_аналитики'!BI2584,WeightedRevAge09)-SUMIF(ThresholdAge09,"&lt;"&amp;'19_Расчет_аналитики'!BI2584,WeightedMinAge09),MAX(CapacityAge09*'01_Вводные'!$B$218*'19_Расчет_аналитики'!BI2584,MeanMinAge09)))</f>
        <v/>
      </c>
      <c r="BJ2524">
        <f>IF(OR(('19_Расчет_аналитики'!BJ2440-'19_Расчет_аналитики'!BJ2468)=0,9&lt;='01_Вводные'!$B$297),0,('19_Расчет_аналитики'!BJ2440-'19_Расчет_аналитики'!BJ2468)*IF('01_Вводные'!$B$239="Да",MeanMinAge09+'19_Расчет_аналитики'!BJ2584*SUMIF(ThresholdAge09,"&lt;"&amp;'19_Расчет_аналитики'!BJ2584,WeightedRevAge09)-SUMIF(ThresholdAge09,"&lt;"&amp;'19_Расчет_аналитики'!BJ2584,WeightedMinAge09),MAX(CapacityAge09*'01_Вводные'!$B$218*'19_Расчет_аналитики'!BJ2584,MeanMinAge09)))</f>
        <v/>
      </c>
      <c r="BK2524">
        <f>IF(OR(('19_Расчет_аналитики'!BK2440-'19_Расчет_аналитики'!BK2468)=0,9&lt;='01_Вводные'!$B$297),0,('19_Расчет_аналитики'!BK2440-'19_Расчет_аналитики'!BK2468)*IF('01_Вводные'!$B$239="Да",MeanMinAge09+'19_Расчет_аналитики'!BK2584*SUMIF(ThresholdAge09,"&lt;"&amp;'19_Расчет_аналитики'!BK2584,WeightedRevAge09)-SUMIF(ThresholdAge09,"&lt;"&amp;'19_Расчет_аналитики'!BK2584,WeightedMinAge09),MAX(CapacityAge09*'01_Вводные'!$B$218*'19_Расчет_аналитики'!BK2584,MeanMinAge09)))</f>
        <v/>
      </c>
      <c r="BL2524">
        <f>IF(OR(('19_Расчет_аналитики'!BL2440-'19_Расчет_аналитики'!BL2468)=0,9&lt;='01_Вводные'!$B$297),0,('19_Расчет_аналитики'!BL2440-'19_Расчет_аналитики'!BL2468)*IF('01_Вводные'!$B$239="Да",MeanMinAge09+'19_Расчет_аналитики'!BL2584*SUMIF(ThresholdAge09,"&lt;"&amp;'19_Расчет_аналитики'!BL2584,WeightedRevAge09)-SUMIF(ThresholdAge09,"&lt;"&amp;'19_Расчет_аналитики'!BL2584,WeightedMinAge09),MAX(CapacityAge09*'01_Вводные'!$B$218*'19_Расчет_аналитики'!BL2584,MeanMinAge09)))</f>
        <v/>
      </c>
      <c r="BM2524">
        <f>IF(OR(('19_Расчет_аналитики'!BM2440-'19_Расчет_аналитики'!BM2468)=0,9&lt;='01_Вводные'!$B$297),0,('19_Расчет_аналитики'!BM2440-'19_Расчет_аналитики'!BM2468)*IF('01_Вводные'!$B$239="Да",MeanMinAge09+'19_Расчет_аналитики'!BM2584*SUMIF(ThresholdAge09,"&lt;"&amp;'19_Расчет_аналитики'!BM2584,WeightedRevAge09)-SUMIF(ThresholdAge09,"&lt;"&amp;'19_Расчет_аналитики'!BM2584,WeightedMinAge09),MAX(CapacityAge09*'01_Вводные'!$B$218*'19_Расчет_аналитики'!BM2584,MeanMinAge09)))</f>
        <v/>
      </c>
      <c r="BN2524">
        <f>IF(OR(('19_Расчет_аналитики'!BN2440-'19_Расчет_аналитики'!BN2468)=0,9&lt;='01_Вводные'!$B$297),0,('19_Расчет_аналитики'!BN2440-'19_Расчет_аналитики'!BN2468)*IF('01_Вводные'!$B$239="Да",MeanMinAge09+'19_Расчет_аналитики'!BN2584*SUMIF(ThresholdAge09,"&lt;"&amp;'19_Расчет_аналитики'!BN2584,WeightedRevAge09)-SUMIF(ThresholdAge09,"&lt;"&amp;'19_Расчет_аналитики'!BN2584,WeightedMinAge09),MAX(CapacityAge09*'01_Вводные'!$B$218*'19_Расчет_аналитики'!BN2584,MeanMinAge09)))</f>
        <v/>
      </c>
      <c r="BO2524">
        <f>IF(OR(('19_Расчет_аналитики'!BO2440-'19_Расчет_аналитики'!BO2468)=0,9&lt;='01_Вводные'!$B$297),0,('19_Расчет_аналитики'!BO2440-'19_Расчет_аналитики'!BO2468)*IF('01_Вводные'!$B$239="Да",MeanMinAge09+'19_Расчет_аналитики'!BO2584*SUMIF(ThresholdAge09,"&lt;"&amp;'19_Расчет_аналитики'!BO2584,WeightedRevAge09)-SUMIF(ThresholdAge09,"&lt;"&amp;'19_Расчет_аналитики'!BO2584,WeightedMinAge09),MAX(CapacityAge09*'01_Вводные'!$B$218*'19_Расчет_аналитики'!BO2584,MeanMinAge09)))</f>
        <v/>
      </c>
    </row>
    <row r="2525">
      <c r="B2525">
        <f>IF(OR(('06_Сеть_и_дети'!B62-'06_Сеть_и_дети'!B90)=0,10&lt;='01_Вводные'!$B$297),0,('06_Сеть_и_дети'!B62-'06_Сеть_и_дети'!B90)*IF('01_Вводные'!$B$239="Да",MeanMinAge10+'19_Расчет_аналитики'!B2584*SUMIF(ThresholdAge10,"&lt;"&amp;'19_Расчет_аналитики'!B2584,WeightedRevAge10)-SUMIF(ThresholdAge10,"&lt;"&amp;'19_Расчет_аналитики'!B2584,WeightedMinAge10),MAX(CapacityAge10*'01_Вводные'!$B$218*'19_Расчет_аналитики'!B2584,MeanMinAge10)))</f>
        <v/>
      </c>
      <c r="C2525">
        <f>IF(OR(('06_Сеть_и_дети'!C62-'06_Сеть_и_дети'!C90)=0,10&lt;='01_Вводные'!$B$297),0,('06_Сеть_и_дети'!C62-'06_Сеть_и_дети'!C90)*IF('01_Вводные'!$B$239="Да",MeanMinAge10+'19_Расчет_аналитики'!C2584*SUMIF(ThresholdAge10,"&lt;"&amp;'19_Расчет_аналитики'!C2584,WeightedRevAge10)-SUMIF(ThresholdAge10,"&lt;"&amp;'19_Расчет_аналитики'!C2584,WeightedMinAge10),MAX(CapacityAge10*'01_Вводные'!$B$218*'19_Расчет_аналитики'!C2584,MeanMinAge10)))</f>
        <v/>
      </c>
      <c r="D2525">
        <f>IF(OR(('06_Сеть_и_дети'!D62-'06_Сеть_и_дети'!D90)=0,10&lt;='01_Вводные'!$B$297),0,('06_Сеть_и_дети'!D62-'06_Сеть_и_дети'!D90)*IF('01_Вводные'!$B$239="Да",MeanMinAge10+'19_Расчет_аналитики'!D2584*SUMIF(ThresholdAge10,"&lt;"&amp;'19_Расчет_аналитики'!D2584,WeightedRevAge10)-SUMIF(ThresholdAge10,"&lt;"&amp;'19_Расчет_аналитики'!D2584,WeightedMinAge10),MAX(CapacityAge10*'01_Вводные'!$B$218*'19_Расчет_аналитики'!D2584,MeanMinAge10)))</f>
        <v/>
      </c>
      <c r="E2525">
        <f>IF(OR(('06_Сеть_и_дети'!E62-'06_Сеть_и_дети'!E90)=0,10&lt;='01_Вводные'!$B$297),0,('06_Сеть_и_дети'!E62-'06_Сеть_и_дети'!E90)*IF('01_Вводные'!$B$239="Да",MeanMinAge10+'19_Расчет_аналитики'!E2584*SUMIF(ThresholdAge10,"&lt;"&amp;'19_Расчет_аналитики'!E2584,WeightedRevAge10)-SUMIF(ThresholdAge10,"&lt;"&amp;'19_Расчет_аналитики'!E2584,WeightedMinAge10),MAX(CapacityAge10*'01_Вводные'!$B$218*'19_Расчет_аналитики'!E2584,MeanMinAge10)))</f>
        <v/>
      </c>
      <c r="F2525">
        <f>IF(OR(('06_Сеть_и_дети'!F62-'06_Сеть_и_дети'!F90)=0,10&lt;='01_Вводные'!$B$297),0,('06_Сеть_и_дети'!F62-'06_Сеть_и_дети'!F90)*IF('01_Вводные'!$B$239="Да",MeanMinAge10+'19_Расчет_аналитики'!F2584*SUMIF(ThresholdAge10,"&lt;"&amp;'19_Расчет_аналитики'!F2584,WeightedRevAge10)-SUMIF(ThresholdAge10,"&lt;"&amp;'19_Расчет_аналитики'!F2584,WeightedMinAge10),MAX(CapacityAge10*'01_Вводные'!$B$218*'19_Расчет_аналитики'!F2584,MeanMinAge10)))</f>
        <v/>
      </c>
      <c r="G2525">
        <f>IF(OR(('06_Сеть_и_дети'!G62-'06_Сеть_и_дети'!G90)=0,10&lt;='01_Вводные'!$B$297),0,('06_Сеть_и_дети'!G62-'06_Сеть_и_дети'!G90)*IF('01_Вводные'!$B$239="Да",MeanMinAge10+'19_Расчет_аналитики'!G2584*SUMIF(ThresholdAge10,"&lt;"&amp;'19_Расчет_аналитики'!G2584,WeightedRevAge10)-SUMIF(ThresholdAge10,"&lt;"&amp;'19_Расчет_аналитики'!G2584,WeightedMinAge10),MAX(CapacityAge10*'01_Вводные'!$B$218*'19_Расчет_аналитики'!G2584,MeanMinAge10)))</f>
        <v/>
      </c>
      <c r="H2525">
        <f>IF(OR(('06_Сеть_и_дети'!H62-'06_Сеть_и_дети'!H90)=0,10&lt;='01_Вводные'!$B$297),0,('06_Сеть_и_дети'!H62-'06_Сеть_и_дети'!H90)*IF('01_Вводные'!$B$239="Да",MeanMinAge10+'19_Расчет_аналитики'!H2584*SUMIF(ThresholdAge10,"&lt;"&amp;'19_Расчет_аналитики'!H2584,WeightedRevAge10)-SUMIF(ThresholdAge10,"&lt;"&amp;'19_Расчет_аналитики'!H2584,WeightedMinAge10),MAX(CapacityAge10*'01_Вводные'!$B$218*'19_Расчет_аналитики'!H2584,MeanMinAge10)))</f>
        <v/>
      </c>
      <c r="I2525">
        <f>IF(OR(('06_Сеть_и_дети'!I62-'06_Сеть_и_дети'!I90)=0,10&lt;='01_Вводные'!$B$297),0,('06_Сеть_и_дети'!I62-'06_Сеть_и_дети'!I90)*IF('01_Вводные'!$B$239="Да",MeanMinAge10+'19_Расчет_аналитики'!I2584*SUMIF(ThresholdAge10,"&lt;"&amp;'19_Расчет_аналитики'!I2584,WeightedRevAge10)-SUMIF(ThresholdAge10,"&lt;"&amp;'19_Расчет_аналитики'!I2584,WeightedMinAge10),MAX(CapacityAge10*'01_Вводные'!$B$218*'19_Расчет_аналитики'!I2584,MeanMinAge10)))</f>
        <v/>
      </c>
      <c r="J2525">
        <f>IF(OR(('06_Сеть_и_дети'!J62-'06_Сеть_и_дети'!J90)=0,10&lt;='01_Вводные'!$B$297),0,('06_Сеть_и_дети'!J62-'06_Сеть_и_дети'!J90)*IF('01_Вводные'!$B$239="Да",MeanMinAge10+'19_Расчет_аналитики'!J2584*SUMIF(ThresholdAge10,"&lt;"&amp;'19_Расчет_аналитики'!J2584,WeightedRevAge10)-SUMIF(ThresholdAge10,"&lt;"&amp;'19_Расчет_аналитики'!J2584,WeightedMinAge10),MAX(CapacityAge10*'01_Вводные'!$B$218*'19_Расчет_аналитики'!J2584,MeanMinAge10)))</f>
        <v/>
      </c>
      <c r="K2525">
        <f>IF(OR(('19_Расчет_аналитики'!K2441-'19_Расчет_аналитики'!K2469)=0,10&lt;='01_Вводные'!$B$297),0,('19_Расчет_аналитики'!K2441-'19_Расчет_аналитики'!K2469)*IF('01_Вводные'!$B$239="Да",MeanMinAge10+'19_Расчет_аналитики'!K2584*SUMIF(ThresholdAge10,"&lt;"&amp;'19_Расчет_аналитики'!K2584,WeightedRevAge10)-SUMIF(ThresholdAge10,"&lt;"&amp;'19_Расчет_аналитики'!K2584,WeightedMinAge10),MAX(CapacityAge10*'01_Вводные'!$B$218*'19_Расчет_аналитики'!K2584,MeanMinAge10)))</f>
        <v/>
      </c>
      <c r="L2525">
        <f>IF(OR(('19_Расчет_аналитики'!L2441-'19_Расчет_аналитики'!L2469)=0,10&lt;='01_Вводные'!$B$297),0,('19_Расчет_аналитики'!L2441-'19_Расчет_аналитики'!L2469)*IF('01_Вводные'!$B$239="Да",MeanMinAge10+'19_Расчет_аналитики'!L2584*SUMIF(ThresholdAge10,"&lt;"&amp;'19_Расчет_аналитики'!L2584,WeightedRevAge10)-SUMIF(ThresholdAge10,"&lt;"&amp;'19_Расчет_аналитики'!L2584,WeightedMinAge10),MAX(CapacityAge10*'01_Вводные'!$B$218*'19_Расчет_аналитики'!L2584,MeanMinAge10)))</f>
        <v/>
      </c>
      <c r="M2525">
        <f>IF(OR(('19_Расчет_аналитики'!M2441-'19_Расчет_аналитики'!M2469)=0,10&lt;='01_Вводные'!$B$297),0,('19_Расчет_аналитики'!M2441-'19_Расчет_аналитики'!M2469)*IF('01_Вводные'!$B$239="Да",MeanMinAge10+'19_Расчет_аналитики'!M2584*SUMIF(ThresholdAge10,"&lt;"&amp;'19_Расчет_аналитики'!M2584,WeightedRevAge10)-SUMIF(ThresholdAge10,"&lt;"&amp;'19_Расчет_аналитики'!M2584,WeightedMinAge10),MAX(CapacityAge10*'01_Вводные'!$B$218*'19_Расчет_аналитики'!M2584,MeanMinAge10)))</f>
        <v/>
      </c>
      <c r="N2525">
        <f>IF(OR(('19_Расчет_аналитики'!N2441-'19_Расчет_аналитики'!N2469)=0,10&lt;='01_Вводные'!$B$297),0,('19_Расчет_аналитики'!N2441-'19_Расчет_аналитики'!N2469)*IF('01_Вводные'!$B$239="Да",MeanMinAge10+'19_Расчет_аналитики'!N2584*SUMIF(ThresholdAge10,"&lt;"&amp;'19_Расчет_аналитики'!N2584,WeightedRevAge10)-SUMIF(ThresholdAge10,"&lt;"&amp;'19_Расчет_аналитики'!N2584,WeightedMinAge10),MAX(CapacityAge10*'01_Вводные'!$B$218*'19_Расчет_аналитики'!N2584,MeanMinAge10)))</f>
        <v/>
      </c>
      <c r="O2525">
        <f>IF(OR(('19_Расчет_аналитики'!O2441-'19_Расчет_аналитики'!O2469)=0,10&lt;='01_Вводные'!$B$297),0,('19_Расчет_аналитики'!O2441-'19_Расчет_аналитики'!O2469)*IF('01_Вводные'!$B$239="Да",MeanMinAge10+'19_Расчет_аналитики'!O2584*SUMIF(ThresholdAge10,"&lt;"&amp;'19_Расчет_аналитики'!O2584,WeightedRevAge10)-SUMIF(ThresholdAge10,"&lt;"&amp;'19_Расчет_аналитики'!O2584,WeightedMinAge10),MAX(CapacityAge10*'01_Вводные'!$B$218*'19_Расчет_аналитики'!O2584,MeanMinAge10)))</f>
        <v/>
      </c>
      <c r="P2525">
        <f>IF(OR(('19_Расчет_аналитики'!P2441-'19_Расчет_аналитики'!P2469)=0,10&lt;='01_Вводные'!$B$297),0,('19_Расчет_аналитики'!P2441-'19_Расчет_аналитики'!P2469)*IF('01_Вводные'!$B$239="Да",MeanMinAge10+'19_Расчет_аналитики'!P2584*SUMIF(ThresholdAge10,"&lt;"&amp;'19_Расчет_аналитики'!P2584,WeightedRevAge10)-SUMIF(ThresholdAge10,"&lt;"&amp;'19_Расчет_аналитики'!P2584,WeightedMinAge10),MAX(CapacityAge10*'01_Вводные'!$B$218*'19_Расчет_аналитики'!P2584,MeanMinAge10)))</f>
        <v/>
      </c>
      <c r="Q2525">
        <f>IF(OR(('19_Расчет_аналитики'!Q2441-'19_Расчет_аналитики'!Q2469)=0,10&lt;='01_Вводные'!$B$297),0,('19_Расчет_аналитики'!Q2441-'19_Расчет_аналитики'!Q2469)*IF('01_Вводные'!$B$239="Да",MeanMinAge10+'19_Расчет_аналитики'!Q2584*SUMIF(ThresholdAge10,"&lt;"&amp;'19_Расчет_аналитики'!Q2584,WeightedRevAge10)-SUMIF(ThresholdAge10,"&lt;"&amp;'19_Расчет_аналитики'!Q2584,WeightedMinAge10),MAX(CapacityAge10*'01_Вводные'!$B$218*'19_Расчет_аналитики'!Q2584,MeanMinAge10)))</f>
        <v/>
      </c>
      <c r="R2525">
        <f>IF(OR(('19_Расчет_аналитики'!R2441-'19_Расчет_аналитики'!R2469)=0,10&lt;='01_Вводные'!$B$297),0,('19_Расчет_аналитики'!R2441-'19_Расчет_аналитики'!R2469)*IF('01_Вводные'!$B$239="Да",MeanMinAge10+'19_Расчет_аналитики'!R2584*SUMIF(ThresholdAge10,"&lt;"&amp;'19_Расчет_аналитики'!R2584,WeightedRevAge10)-SUMIF(ThresholdAge10,"&lt;"&amp;'19_Расчет_аналитики'!R2584,WeightedMinAge10),MAX(CapacityAge10*'01_Вводные'!$B$218*'19_Расчет_аналитики'!R2584,MeanMinAge10)))</f>
        <v/>
      </c>
      <c r="S2525">
        <f>IF(OR(('19_Расчет_аналитики'!S2441-'19_Расчет_аналитики'!S2469)=0,10&lt;='01_Вводные'!$B$297),0,('19_Расчет_аналитики'!S2441-'19_Расчет_аналитики'!S2469)*IF('01_Вводные'!$B$239="Да",MeanMinAge10+'19_Расчет_аналитики'!S2584*SUMIF(ThresholdAge10,"&lt;"&amp;'19_Расчет_аналитики'!S2584,WeightedRevAge10)-SUMIF(ThresholdAge10,"&lt;"&amp;'19_Расчет_аналитики'!S2584,WeightedMinAge10),MAX(CapacityAge10*'01_Вводные'!$B$218*'19_Расчет_аналитики'!S2584,MeanMinAge10)))</f>
        <v/>
      </c>
      <c r="T2525">
        <f>IF(OR(('19_Расчет_аналитики'!T2441-'19_Расчет_аналитики'!T2469)=0,10&lt;='01_Вводные'!$B$297),0,('19_Расчет_аналитики'!T2441-'19_Расчет_аналитики'!T2469)*IF('01_Вводные'!$B$239="Да",MeanMinAge10+'19_Расчет_аналитики'!T2584*SUMIF(ThresholdAge10,"&lt;"&amp;'19_Расчет_аналитики'!T2584,WeightedRevAge10)-SUMIF(ThresholdAge10,"&lt;"&amp;'19_Расчет_аналитики'!T2584,WeightedMinAge10),MAX(CapacityAge10*'01_Вводные'!$B$218*'19_Расчет_аналитики'!T2584,MeanMinAge10)))</f>
        <v/>
      </c>
      <c r="U2525">
        <f>IF(OR(('19_Расчет_аналитики'!U2441-'19_Расчет_аналитики'!U2469)=0,10&lt;='01_Вводные'!$B$297),0,('19_Расчет_аналитики'!U2441-'19_Расчет_аналитики'!U2469)*IF('01_Вводные'!$B$239="Да",MeanMinAge10+'19_Расчет_аналитики'!U2584*SUMIF(ThresholdAge10,"&lt;"&amp;'19_Расчет_аналитики'!U2584,WeightedRevAge10)-SUMIF(ThresholdAge10,"&lt;"&amp;'19_Расчет_аналитики'!U2584,WeightedMinAge10),MAX(CapacityAge10*'01_Вводные'!$B$218*'19_Расчет_аналитики'!U2584,MeanMinAge10)))</f>
        <v/>
      </c>
      <c r="V2525">
        <f>IF(OR(('19_Расчет_аналитики'!V2441-'19_Расчет_аналитики'!V2469)=0,10&lt;='01_Вводные'!$B$297),0,('19_Расчет_аналитики'!V2441-'19_Расчет_аналитики'!V2469)*IF('01_Вводные'!$B$239="Да",MeanMinAge10+'19_Расчет_аналитики'!V2584*SUMIF(ThresholdAge10,"&lt;"&amp;'19_Расчет_аналитики'!V2584,WeightedRevAge10)-SUMIF(ThresholdAge10,"&lt;"&amp;'19_Расчет_аналитики'!V2584,WeightedMinAge10),MAX(CapacityAge10*'01_Вводные'!$B$218*'19_Расчет_аналитики'!V2584,MeanMinAge10)))</f>
        <v/>
      </c>
      <c r="W2525">
        <f>IF(OR(('19_Расчет_аналитики'!W2441-'19_Расчет_аналитики'!W2469)=0,10&lt;='01_Вводные'!$B$297),0,('19_Расчет_аналитики'!W2441-'19_Расчет_аналитики'!W2469)*IF('01_Вводные'!$B$239="Да",MeanMinAge10+'19_Расчет_аналитики'!W2584*SUMIF(ThresholdAge10,"&lt;"&amp;'19_Расчет_аналитики'!W2584,WeightedRevAge10)-SUMIF(ThresholdAge10,"&lt;"&amp;'19_Расчет_аналитики'!W2584,WeightedMinAge10),MAX(CapacityAge10*'01_Вводные'!$B$218*'19_Расчет_аналитики'!W2584,MeanMinAge10)))</f>
        <v/>
      </c>
      <c r="X2525">
        <f>IF(OR(('19_Расчет_аналитики'!X2441-'19_Расчет_аналитики'!X2469)=0,10&lt;='01_Вводные'!$B$297),0,('19_Расчет_аналитики'!X2441-'19_Расчет_аналитики'!X2469)*IF('01_Вводные'!$B$239="Да",MeanMinAge10+'19_Расчет_аналитики'!X2584*SUMIF(ThresholdAge10,"&lt;"&amp;'19_Расчет_аналитики'!X2584,WeightedRevAge10)-SUMIF(ThresholdAge10,"&lt;"&amp;'19_Расчет_аналитики'!X2584,WeightedMinAge10),MAX(CapacityAge10*'01_Вводные'!$B$218*'19_Расчет_аналитики'!X2584,MeanMinAge10)))</f>
        <v/>
      </c>
      <c r="Y2525">
        <f>IF(OR(('19_Расчет_аналитики'!Y2441-'19_Расчет_аналитики'!Y2469)=0,10&lt;='01_Вводные'!$B$297),0,('19_Расчет_аналитики'!Y2441-'19_Расчет_аналитики'!Y2469)*IF('01_Вводные'!$B$239="Да",MeanMinAge10+'19_Расчет_аналитики'!Y2584*SUMIF(ThresholdAge10,"&lt;"&amp;'19_Расчет_аналитики'!Y2584,WeightedRevAge10)-SUMIF(ThresholdAge10,"&lt;"&amp;'19_Расчет_аналитики'!Y2584,WeightedMinAge10),MAX(CapacityAge10*'01_Вводные'!$B$218*'19_Расчет_аналитики'!Y2584,MeanMinAge10)))</f>
        <v/>
      </c>
      <c r="Z2525">
        <f>IF(OR(('19_Расчет_аналитики'!Z2441-'19_Расчет_аналитики'!Z2469)=0,10&lt;='01_Вводные'!$B$297),0,('19_Расчет_аналитики'!Z2441-'19_Расчет_аналитики'!Z2469)*IF('01_Вводные'!$B$239="Да",MeanMinAge10+'19_Расчет_аналитики'!Z2584*SUMIF(ThresholdAge10,"&lt;"&amp;'19_Расчет_аналитики'!Z2584,WeightedRevAge10)-SUMIF(ThresholdAge10,"&lt;"&amp;'19_Расчет_аналитики'!Z2584,WeightedMinAge10),MAX(CapacityAge10*'01_Вводные'!$B$218*'19_Расчет_аналитики'!Z2584,MeanMinAge10)))</f>
        <v/>
      </c>
      <c r="AA2525">
        <f>IF(OR(('19_Расчет_аналитики'!AA2441-'19_Расчет_аналитики'!AA2469)=0,10&lt;='01_Вводные'!$B$297),0,('19_Расчет_аналитики'!AA2441-'19_Расчет_аналитики'!AA2469)*IF('01_Вводные'!$B$239="Да",MeanMinAge10+'19_Расчет_аналитики'!AA2584*SUMIF(ThresholdAge10,"&lt;"&amp;'19_Расчет_аналитики'!AA2584,WeightedRevAge10)-SUMIF(ThresholdAge10,"&lt;"&amp;'19_Расчет_аналитики'!AA2584,WeightedMinAge10),MAX(CapacityAge10*'01_Вводные'!$B$218*'19_Расчет_аналитики'!AA2584,MeanMinAge10)))</f>
        <v/>
      </c>
      <c r="AB2525">
        <f>IF(OR(('19_Расчет_аналитики'!AB2441-'19_Расчет_аналитики'!AB2469)=0,10&lt;='01_Вводные'!$B$297),0,('19_Расчет_аналитики'!AB2441-'19_Расчет_аналитики'!AB2469)*IF('01_Вводные'!$B$239="Да",MeanMinAge10+'19_Расчет_аналитики'!AB2584*SUMIF(ThresholdAge10,"&lt;"&amp;'19_Расчет_аналитики'!AB2584,WeightedRevAge10)-SUMIF(ThresholdAge10,"&lt;"&amp;'19_Расчет_аналитики'!AB2584,WeightedMinAge10),MAX(CapacityAge10*'01_Вводные'!$B$218*'19_Расчет_аналитики'!AB2584,MeanMinAge10)))</f>
        <v/>
      </c>
      <c r="AC2525">
        <f>IF(OR(('19_Расчет_аналитики'!AC2441-'19_Расчет_аналитики'!AC2469)=0,10&lt;='01_Вводные'!$B$297),0,('19_Расчет_аналитики'!AC2441-'19_Расчет_аналитики'!AC2469)*IF('01_Вводные'!$B$239="Да",MeanMinAge10+'19_Расчет_аналитики'!AC2584*SUMIF(ThresholdAge10,"&lt;"&amp;'19_Расчет_аналитики'!AC2584,WeightedRevAge10)-SUMIF(ThresholdAge10,"&lt;"&amp;'19_Расчет_аналитики'!AC2584,WeightedMinAge10),MAX(CapacityAge10*'01_Вводные'!$B$218*'19_Расчет_аналитики'!AC2584,MeanMinAge10)))</f>
        <v/>
      </c>
      <c r="AD2525">
        <f>IF(OR(('19_Расчет_аналитики'!AD2441-'19_Расчет_аналитики'!AD2469)=0,10&lt;='01_Вводные'!$B$297),0,('19_Расчет_аналитики'!AD2441-'19_Расчет_аналитики'!AD2469)*IF('01_Вводные'!$B$239="Да",MeanMinAge10+'19_Расчет_аналитики'!AD2584*SUMIF(ThresholdAge10,"&lt;"&amp;'19_Расчет_аналитики'!AD2584,WeightedRevAge10)-SUMIF(ThresholdAge10,"&lt;"&amp;'19_Расчет_аналитики'!AD2584,WeightedMinAge10),MAX(CapacityAge10*'01_Вводные'!$B$218*'19_Расчет_аналитики'!AD2584,MeanMinAge10)))</f>
        <v/>
      </c>
      <c r="AE2525">
        <f>IF(OR(('19_Расчет_аналитики'!AE2441-'19_Расчет_аналитики'!AE2469)=0,10&lt;='01_Вводные'!$B$297),0,('19_Расчет_аналитики'!AE2441-'19_Расчет_аналитики'!AE2469)*IF('01_Вводные'!$B$239="Да",MeanMinAge10+'19_Расчет_аналитики'!AE2584*SUMIF(ThresholdAge10,"&lt;"&amp;'19_Расчет_аналитики'!AE2584,WeightedRevAge10)-SUMIF(ThresholdAge10,"&lt;"&amp;'19_Расчет_аналитики'!AE2584,WeightedMinAge10),MAX(CapacityAge10*'01_Вводные'!$B$218*'19_Расчет_аналитики'!AE2584,MeanMinAge10)))</f>
        <v/>
      </c>
      <c r="AF2525">
        <f>IF(OR(('19_Расчет_аналитики'!AF2441-'19_Расчет_аналитики'!AF2469)=0,10&lt;='01_Вводные'!$B$297),0,('19_Расчет_аналитики'!AF2441-'19_Расчет_аналитики'!AF2469)*IF('01_Вводные'!$B$239="Да",MeanMinAge10+'19_Расчет_аналитики'!AF2584*SUMIF(ThresholdAge10,"&lt;"&amp;'19_Расчет_аналитики'!AF2584,WeightedRevAge10)-SUMIF(ThresholdAge10,"&lt;"&amp;'19_Расчет_аналитики'!AF2584,WeightedMinAge10),MAX(CapacityAge10*'01_Вводные'!$B$218*'19_Расчет_аналитики'!AF2584,MeanMinAge10)))</f>
        <v/>
      </c>
      <c r="AG2525">
        <f>IF(OR(('19_Расчет_аналитики'!AG2441-'19_Расчет_аналитики'!AG2469)=0,10&lt;='01_Вводные'!$B$297),0,('19_Расчет_аналитики'!AG2441-'19_Расчет_аналитики'!AG2469)*IF('01_Вводные'!$B$239="Да",MeanMinAge10+'19_Расчет_аналитики'!AG2584*SUMIF(ThresholdAge10,"&lt;"&amp;'19_Расчет_аналитики'!AG2584,WeightedRevAge10)-SUMIF(ThresholdAge10,"&lt;"&amp;'19_Расчет_аналитики'!AG2584,WeightedMinAge10),MAX(CapacityAge10*'01_Вводные'!$B$218*'19_Расчет_аналитики'!AG2584,MeanMinAge10)))</f>
        <v/>
      </c>
      <c r="AH2525">
        <f>IF(OR(('19_Расчет_аналитики'!AH2441-'19_Расчет_аналитики'!AH2469)=0,10&lt;='01_Вводные'!$B$297),0,('19_Расчет_аналитики'!AH2441-'19_Расчет_аналитики'!AH2469)*IF('01_Вводные'!$B$239="Да",MeanMinAge10+'19_Расчет_аналитики'!AH2584*SUMIF(ThresholdAge10,"&lt;"&amp;'19_Расчет_аналитики'!AH2584,WeightedRevAge10)-SUMIF(ThresholdAge10,"&lt;"&amp;'19_Расчет_аналитики'!AH2584,WeightedMinAge10),MAX(CapacityAge10*'01_Вводные'!$B$218*'19_Расчет_аналитики'!AH2584,MeanMinAge10)))</f>
        <v/>
      </c>
      <c r="AI2525">
        <f>IF(OR(('19_Расчет_аналитики'!AI2441-'19_Расчет_аналитики'!AI2469)=0,10&lt;='01_Вводные'!$B$297),0,('19_Расчет_аналитики'!AI2441-'19_Расчет_аналитики'!AI2469)*IF('01_Вводные'!$B$239="Да",MeanMinAge10+'19_Расчет_аналитики'!AI2584*SUMIF(ThresholdAge10,"&lt;"&amp;'19_Расчет_аналитики'!AI2584,WeightedRevAge10)-SUMIF(ThresholdAge10,"&lt;"&amp;'19_Расчет_аналитики'!AI2584,WeightedMinAge10),MAX(CapacityAge10*'01_Вводные'!$B$218*'19_Расчет_аналитики'!AI2584,MeanMinAge10)))</f>
        <v/>
      </c>
      <c r="AJ2525">
        <f>IF(OR(('19_Расчет_аналитики'!AJ2441-'19_Расчет_аналитики'!AJ2469)=0,10&lt;='01_Вводные'!$B$297),0,('19_Расчет_аналитики'!AJ2441-'19_Расчет_аналитики'!AJ2469)*IF('01_Вводные'!$B$239="Да",MeanMinAge10+'19_Расчет_аналитики'!AJ2584*SUMIF(ThresholdAge10,"&lt;"&amp;'19_Расчет_аналитики'!AJ2584,WeightedRevAge10)-SUMIF(ThresholdAge10,"&lt;"&amp;'19_Расчет_аналитики'!AJ2584,WeightedMinAge10),MAX(CapacityAge10*'01_Вводные'!$B$218*'19_Расчет_аналитики'!AJ2584,MeanMinAge10)))</f>
        <v/>
      </c>
      <c r="AK2525">
        <f>IF(OR(('19_Расчет_аналитики'!AK2441-'19_Расчет_аналитики'!AK2469)=0,10&lt;='01_Вводные'!$B$297),0,('19_Расчет_аналитики'!AK2441-'19_Расчет_аналитики'!AK2469)*IF('01_Вводные'!$B$239="Да",MeanMinAge10+'19_Расчет_аналитики'!AK2584*SUMIF(ThresholdAge10,"&lt;"&amp;'19_Расчет_аналитики'!AK2584,WeightedRevAge10)-SUMIF(ThresholdAge10,"&lt;"&amp;'19_Расчет_аналитики'!AK2584,WeightedMinAge10),MAX(CapacityAge10*'01_Вводные'!$B$218*'19_Расчет_аналитики'!AK2584,MeanMinAge10)))</f>
        <v/>
      </c>
      <c r="AL2525">
        <f>IF(OR(('19_Расчет_аналитики'!AL2441-'19_Расчет_аналитики'!AL2469)=0,10&lt;='01_Вводные'!$B$297),0,('19_Расчет_аналитики'!AL2441-'19_Расчет_аналитики'!AL2469)*IF('01_Вводные'!$B$239="Да",MeanMinAge10+'19_Расчет_аналитики'!AL2584*SUMIF(ThresholdAge10,"&lt;"&amp;'19_Расчет_аналитики'!AL2584,WeightedRevAge10)-SUMIF(ThresholdAge10,"&lt;"&amp;'19_Расчет_аналитики'!AL2584,WeightedMinAge10),MAX(CapacityAge10*'01_Вводные'!$B$218*'19_Расчет_аналитики'!AL2584,MeanMinAge10)))</f>
        <v/>
      </c>
      <c r="AM2525">
        <f>IF(OR(('19_Расчет_аналитики'!AM2441-'19_Расчет_аналитики'!AM2469)=0,10&lt;='01_Вводные'!$B$297),0,('19_Расчет_аналитики'!AM2441-'19_Расчет_аналитики'!AM2469)*IF('01_Вводные'!$B$239="Да",MeanMinAge10+'19_Расчет_аналитики'!AM2584*SUMIF(ThresholdAge10,"&lt;"&amp;'19_Расчет_аналитики'!AM2584,WeightedRevAge10)-SUMIF(ThresholdAge10,"&lt;"&amp;'19_Расчет_аналитики'!AM2584,WeightedMinAge10),MAX(CapacityAge10*'01_Вводные'!$B$218*'19_Расчет_аналитики'!AM2584,MeanMinAge10)))</f>
        <v/>
      </c>
      <c r="AN2525">
        <f>IF(OR(('19_Расчет_аналитики'!AN2441-'19_Расчет_аналитики'!AN2469)=0,10&lt;='01_Вводные'!$B$297),0,('19_Расчет_аналитики'!AN2441-'19_Расчет_аналитики'!AN2469)*IF('01_Вводные'!$B$239="Да",MeanMinAge10+'19_Расчет_аналитики'!AN2584*SUMIF(ThresholdAge10,"&lt;"&amp;'19_Расчет_аналитики'!AN2584,WeightedRevAge10)-SUMIF(ThresholdAge10,"&lt;"&amp;'19_Расчет_аналитики'!AN2584,WeightedMinAge10),MAX(CapacityAge10*'01_Вводные'!$B$218*'19_Расчет_аналитики'!AN2584,MeanMinAge10)))</f>
        <v/>
      </c>
      <c r="AO2525">
        <f>IF(OR(('19_Расчет_аналитики'!AO2441-'19_Расчет_аналитики'!AO2469)=0,10&lt;='01_Вводные'!$B$297),0,('19_Расчет_аналитики'!AO2441-'19_Расчет_аналитики'!AO2469)*IF('01_Вводные'!$B$239="Да",MeanMinAge10+'19_Расчет_аналитики'!AO2584*SUMIF(ThresholdAge10,"&lt;"&amp;'19_Расчет_аналитики'!AO2584,WeightedRevAge10)-SUMIF(ThresholdAge10,"&lt;"&amp;'19_Расчет_аналитики'!AO2584,WeightedMinAge10),MAX(CapacityAge10*'01_Вводные'!$B$218*'19_Расчет_аналитики'!AO2584,MeanMinAge10)))</f>
        <v/>
      </c>
      <c r="AP2525">
        <f>IF(OR(('19_Расчет_аналитики'!AP2441-'19_Расчет_аналитики'!AP2469)=0,10&lt;='01_Вводные'!$B$297),0,('19_Расчет_аналитики'!AP2441-'19_Расчет_аналитики'!AP2469)*IF('01_Вводные'!$B$239="Да",MeanMinAge10+'19_Расчет_аналитики'!AP2584*SUMIF(ThresholdAge10,"&lt;"&amp;'19_Расчет_аналитики'!AP2584,WeightedRevAge10)-SUMIF(ThresholdAge10,"&lt;"&amp;'19_Расчет_аналитики'!AP2584,WeightedMinAge10),MAX(CapacityAge10*'01_Вводные'!$B$218*'19_Расчет_аналитики'!AP2584,MeanMinAge10)))</f>
        <v/>
      </c>
      <c r="AQ2525">
        <f>IF(OR(('19_Расчет_аналитики'!AQ2441-'19_Расчет_аналитики'!AQ2469)=0,10&lt;='01_Вводные'!$B$297),0,('19_Расчет_аналитики'!AQ2441-'19_Расчет_аналитики'!AQ2469)*IF('01_Вводные'!$B$239="Да",MeanMinAge10+'19_Расчет_аналитики'!AQ2584*SUMIF(ThresholdAge10,"&lt;"&amp;'19_Расчет_аналитики'!AQ2584,WeightedRevAge10)-SUMIF(ThresholdAge10,"&lt;"&amp;'19_Расчет_аналитики'!AQ2584,WeightedMinAge10),MAX(CapacityAge10*'01_Вводные'!$B$218*'19_Расчет_аналитики'!AQ2584,MeanMinAge10)))</f>
        <v/>
      </c>
      <c r="AR2525">
        <f>IF(OR(('19_Расчет_аналитики'!AR2441-'19_Расчет_аналитики'!AR2469)=0,10&lt;='01_Вводные'!$B$297),0,('19_Расчет_аналитики'!AR2441-'19_Расчет_аналитики'!AR2469)*IF('01_Вводные'!$B$239="Да",MeanMinAge10+'19_Расчет_аналитики'!AR2584*SUMIF(ThresholdAge10,"&lt;"&amp;'19_Расчет_аналитики'!AR2584,WeightedRevAge10)-SUMIF(ThresholdAge10,"&lt;"&amp;'19_Расчет_аналитики'!AR2584,WeightedMinAge10),MAX(CapacityAge10*'01_Вводные'!$B$218*'19_Расчет_аналитики'!AR2584,MeanMinAge10)))</f>
        <v/>
      </c>
      <c r="AS2525">
        <f>IF(OR(('19_Расчет_аналитики'!AS2441-'19_Расчет_аналитики'!AS2469)=0,10&lt;='01_Вводные'!$B$297),0,('19_Расчет_аналитики'!AS2441-'19_Расчет_аналитики'!AS2469)*IF('01_Вводные'!$B$239="Да",MeanMinAge10+'19_Расчет_аналитики'!AS2584*SUMIF(ThresholdAge10,"&lt;"&amp;'19_Расчет_аналитики'!AS2584,WeightedRevAge10)-SUMIF(ThresholdAge10,"&lt;"&amp;'19_Расчет_аналитики'!AS2584,WeightedMinAge10),MAX(CapacityAge10*'01_Вводные'!$B$218*'19_Расчет_аналитики'!AS2584,MeanMinAge10)))</f>
        <v/>
      </c>
      <c r="AT2525">
        <f>IF(OR(('19_Расчет_аналитики'!AT2441-'19_Расчет_аналитики'!AT2469)=0,10&lt;='01_Вводные'!$B$297),0,('19_Расчет_аналитики'!AT2441-'19_Расчет_аналитики'!AT2469)*IF('01_Вводные'!$B$239="Да",MeanMinAge10+'19_Расчет_аналитики'!AT2584*SUMIF(ThresholdAge10,"&lt;"&amp;'19_Расчет_аналитики'!AT2584,WeightedRevAge10)-SUMIF(ThresholdAge10,"&lt;"&amp;'19_Расчет_аналитики'!AT2584,WeightedMinAge10),MAX(CapacityAge10*'01_Вводные'!$B$218*'19_Расчет_аналитики'!AT2584,MeanMinAge10)))</f>
        <v/>
      </c>
      <c r="AU2525">
        <f>IF(OR(('19_Расчет_аналитики'!AU2441-'19_Расчет_аналитики'!AU2469)=0,10&lt;='01_Вводные'!$B$297),0,('19_Расчет_аналитики'!AU2441-'19_Расчет_аналитики'!AU2469)*IF('01_Вводные'!$B$239="Да",MeanMinAge10+'19_Расчет_аналитики'!AU2584*SUMIF(ThresholdAge10,"&lt;"&amp;'19_Расчет_аналитики'!AU2584,WeightedRevAge10)-SUMIF(ThresholdAge10,"&lt;"&amp;'19_Расчет_аналитики'!AU2584,WeightedMinAge10),MAX(CapacityAge10*'01_Вводные'!$B$218*'19_Расчет_аналитики'!AU2584,MeanMinAge10)))</f>
        <v/>
      </c>
      <c r="AV2525">
        <f>IF(OR(('19_Расчет_аналитики'!AV2441-'19_Расчет_аналитики'!AV2469)=0,10&lt;='01_Вводные'!$B$297),0,('19_Расчет_аналитики'!AV2441-'19_Расчет_аналитики'!AV2469)*IF('01_Вводные'!$B$239="Да",MeanMinAge10+'19_Расчет_аналитики'!AV2584*SUMIF(ThresholdAge10,"&lt;"&amp;'19_Расчет_аналитики'!AV2584,WeightedRevAge10)-SUMIF(ThresholdAge10,"&lt;"&amp;'19_Расчет_аналитики'!AV2584,WeightedMinAge10),MAX(CapacityAge10*'01_Вводные'!$B$218*'19_Расчет_аналитики'!AV2584,MeanMinAge10)))</f>
        <v/>
      </c>
      <c r="AW2525">
        <f>IF(OR(('19_Расчет_аналитики'!AW2441-'19_Расчет_аналитики'!AW2469)=0,10&lt;='01_Вводные'!$B$297),0,('19_Расчет_аналитики'!AW2441-'19_Расчет_аналитики'!AW2469)*IF('01_Вводные'!$B$239="Да",MeanMinAge10+'19_Расчет_аналитики'!AW2584*SUMIF(ThresholdAge10,"&lt;"&amp;'19_Расчет_аналитики'!AW2584,WeightedRevAge10)-SUMIF(ThresholdAge10,"&lt;"&amp;'19_Расчет_аналитики'!AW2584,WeightedMinAge10),MAX(CapacityAge10*'01_Вводные'!$B$218*'19_Расчет_аналитики'!AW2584,MeanMinAge10)))</f>
        <v/>
      </c>
      <c r="AX2525">
        <f>IF(OR(('19_Расчет_аналитики'!AX2441-'19_Расчет_аналитики'!AX2469)=0,10&lt;='01_Вводные'!$B$297),0,('19_Расчет_аналитики'!AX2441-'19_Расчет_аналитики'!AX2469)*IF('01_Вводные'!$B$239="Да",MeanMinAge10+'19_Расчет_аналитики'!AX2584*SUMIF(ThresholdAge10,"&lt;"&amp;'19_Расчет_аналитики'!AX2584,WeightedRevAge10)-SUMIF(ThresholdAge10,"&lt;"&amp;'19_Расчет_аналитики'!AX2584,WeightedMinAge10),MAX(CapacityAge10*'01_Вводные'!$B$218*'19_Расчет_аналитики'!AX2584,MeanMinAge10)))</f>
        <v/>
      </c>
      <c r="AY2525">
        <f>IF(OR(('19_Расчет_аналитики'!AY2441-'19_Расчет_аналитики'!AY2469)=0,10&lt;='01_Вводные'!$B$297),0,('19_Расчет_аналитики'!AY2441-'19_Расчет_аналитики'!AY2469)*IF('01_Вводные'!$B$239="Да",MeanMinAge10+'19_Расчет_аналитики'!AY2584*SUMIF(ThresholdAge10,"&lt;"&amp;'19_Расчет_аналитики'!AY2584,WeightedRevAge10)-SUMIF(ThresholdAge10,"&lt;"&amp;'19_Расчет_аналитики'!AY2584,WeightedMinAge10),MAX(CapacityAge10*'01_Вводные'!$B$218*'19_Расчет_аналитики'!AY2584,MeanMinAge10)))</f>
        <v/>
      </c>
      <c r="AZ2525">
        <f>IF(OR(('19_Расчет_аналитики'!AZ2441-'19_Расчет_аналитики'!AZ2469)=0,10&lt;='01_Вводные'!$B$297),0,('19_Расчет_аналитики'!AZ2441-'19_Расчет_аналитики'!AZ2469)*IF('01_Вводные'!$B$239="Да",MeanMinAge10+'19_Расчет_аналитики'!AZ2584*SUMIF(ThresholdAge10,"&lt;"&amp;'19_Расчет_аналитики'!AZ2584,WeightedRevAge10)-SUMIF(ThresholdAge10,"&lt;"&amp;'19_Расчет_аналитики'!AZ2584,WeightedMinAge10),MAX(CapacityAge10*'01_Вводные'!$B$218*'19_Расчет_аналитики'!AZ2584,MeanMinAge10)))</f>
        <v/>
      </c>
      <c r="BA2525">
        <f>IF(OR(('19_Расчет_аналитики'!BA2441-'19_Расчет_аналитики'!BA2469)=0,10&lt;='01_Вводные'!$B$297),0,('19_Расчет_аналитики'!BA2441-'19_Расчет_аналитики'!BA2469)*IF('01_Вводные'!$B$239="Да",MeanMinAge10+'19_Расчет_аналитики'!BA2584*SUMIF(ThresholdAge10,"&lt;"&amp;'19_Расчет_аналитики'!BA2584,WeightedRevAge10)-SUMIF(ThresholdAge10,"&lt;"&amp;'19_Расчет_аналитики'!BA2584,WeightedMinAge10),MAX(CapacityAge10*'01_Вводные'!$B$218*'19_Расчет_аналитики'!BA2584,MeanMinAge10)))</f>
        <v/>
      </c>
      <c r="BB2525">
        <f>IF(OR(('19_Расчет_аналитики'!BB2441-'19_Расчет_аналитики'!BB2469)=0,10&lt;='01_Вводные'!$B$297),0,('19_Расчет_аналитики'!BB2441-'19_Расчет_аналитики'!BB2469)*IF('01_Вводные'!$B$239="Да",MeanMinAge10+'19_Расчет_аналитики'!BB2584*SUMIF(ThresholdAge10,"&lt;"&amp;'19_Расчет_аналитики'!BB2584,WeightedRevAge10)-SUMIF(ThresholdAge10,"&lt;"&amp;'19_Расчет_аналитики'!BB2584,WeightedMinAge10),MAX(CapacityAge10*'01_Вводные'!$B$218*'19_Расчет_аналитики'!BB2584,MeanMinAge10)))</f>
        <v/>
      </c>
      <c r="BC2525">
        <f>IF(OR(('19_Расчет_аналитики'!BC2441-'19_Расчет_аналитики'!BC2469)=0,10&lt;='01_Вводные'!$B$297),0,('19_Расчет_аналитики'!BC2441-'19_Расчет_аналитики'!BC2469)*IF('01_Вводные'!$B$239="Да",MeanMinAge10+'19_Расчет_аналитики'!BC2584*SUMIF(ThresholdAge10,"&lt;"&amp;'19_Расчет_аналитики'!BC2584,WeightedRevAge10)-SUMIF(ThresholdAge10,"&lt;"&amp;'19_Расчет_аналитики'!BC2584,WeightedMinAge10),MAX(CapacityAge10*'01_Вводные'!$B$218*'19_Расчет_аналитики'!BC2584,MeanMinAge10)))</f>
        <v/>
      </c>
      <c r="BD2525">
        <f>IF(OR(('19_Расчет_аналитики'!BD2441-'19_Расчет_аналитики'!BD2469)=0,10&lt;='01_Вводные'!$B$297),0,('19_Расчет_аналитики'!BD2441-'19_Расчет_аналитики'!BD2469)*IF('01_Вводные'!$B$239="Да",MeanMinAge10+'19_Расчет_аналитики'!BD2584*SUMIF(ThresholdAge10,"&lt;"&amp;'19_Расчет_аналитики'!BD2584,WeightedRevAge10)-SUMIF(ThresholdAge10,"&lt;"&amp;'19_Расчет_аналитики'!BD2584,WeightedMinAge10),MAX(CapacityAge10*'01_Вводные'!$B$218*'19_Расчет_аналитики'!BD2584,MeanMinAge10)))</f>
        <v/>
      </c>
      <c r="BE2525">
        <f>IF(OR(('19_Расчет_аналитики'!BE2441-'19_Расчет_аналитики'!BE2469)=0,10&lt;='01_Вводные'!$B$297),0,('19_Расчет_аналитики'!BE2441-'19_Расчет_аналитики'!BE2469)*IF('01_Вводные'!$B$239="Да",MeanMinAge10+'19_Расчет_аналитики'!BE2584*SUMIF(ThresholdAge10,"&lt;"&amp;'19_Расчет_аналитики'!BE2584,WeightedRevAge10)-SUMIF(ThresholdAge10,"&lt;"&amp;'19_Расчет_аналитики'!BE2584,WeightedMinAge10),MAX(CapacityAge10*'01_Вводные'!$B$218*'19_Расчет_аналитики'!BE2584,MeanMinAge10)))</f>
        <v/>
      </c>
      <c r="BF2525">
        <f>IF(OR(('19_Расчет_аналитики'!BF2441-'19_Расчет_аналитики'!BF2469)=0,10&lt;='01_Вводные'!$B$297),0,('19_Расчет_аналитики'!BF2441-'19_Расчет_аналитики'!BF2469)*IF('01_Вводные'!$B$239="Да",MeanMinAge10+'19_Расчет_аналитики'!BF2584*SUMIF(ThresholdAge10,"&lt;"&amp;'19_Расчет_аналитики'!BF2584,WeightedRevAge10)-SUMIF(ThresholdAge10,"&lt;"&amp;'19_Расчет_аналитики'!BF2584,WeightedMinAge10),MAX(CapacityAge10*'01_Вводные'!$B$218*'19_Расчет_аналитики'!BF2584,MeanMinAge10)))</f>
        <v/>
      </c>
      <c r="BG2525">
        <f>IF(OR(('19_Расчет_аналитики'!BG2441-'19_Расчет_аналитики'!BG2469)=0,10&lt;='01_Вводные'!$B$297),0,('19_Расчет_аналитики'!BG2441-'19_Расчет_аналитики'!BG2469)*IF('01_Вводные'!$B$239="Да",MeanMinAge10+'19_Расчет_аналитики'!BG2584*SUMIF(ThresholdAge10,"&lt;"&amp;'19_Расчет_аналитики'!BG2584,WeightedRevAge10)-SUMIF(ThresholdAge10,"&lt;"&amp;'19_Расчет_аналитики'!BG2584,WeightedMinAge10),MAX(CapacityAge10*'01_Вводные'!$B$218*'19_Расчет_аналитики'!BG2584,MeanMinAge10)))</f>
        <v/>
      </c>
      <c r="BH2525">
        <f>IF(OR(('19_Расчет_аналитики'!BH2441-'19_Расчет_аналитики'!BH2469)=0,10&lt;='01_Вводные'!$B$297),0,('19_Расчет_аналитики'!BH2441-'19_Расчет_аналитики'!BH2469)*IF('01_Вводные'!$B$239="Да",MeanMinAge10+'19_Расчет_аналитики'!BH2584*SUMIF(ThresholdAge10,"&lt;"&amp;'19_Расчет_аналитики'!BH2584,WeightedRevAge10)-SUMIF(ThresholdAge10,"&lt;"&amp;'19_Расчет_аналитики'!BH2584,WeightedMinAge10),MAX(CapacityAge10*'01_Вводные'!$B$218*'19_Расчет_аналитики'!BH2584,MeanMinAge10)))</f>
        <v/>
      </c>
      <c r="BI2525">
        <f>IF(OR(('19_Расчет_аналитики'!BI2441-'19_Расчет_аналитики'!BI2469)=0,10&lt;='01_Вводные'!$B$297),0,('19_Расчет_аналитики'!BI2441-'19_Расчет_аналитики'!BI2469)*IF('01_Вводные'!$B$239="Да",MeanMinAge10+'19_Расчет_аналитики'!BI2584*SUMIF(ThresholdAge10,"&lt;"&amp;'19_Расчет_аналитики'!BI2584,WeightedRevAge10)-SUMIF(ThresholdAge10,"&lt;"&amp;'19_Расчет_аналитики'!BI2584,WeightedMinAge10),MAX(CapacityAge10*'01_Вводные'!$B$218*'19_Расчет_аналитики'!BI2584,MeanMinAge10)))</f>
        <v/>
      </c>
      <c r="BJ2525">
        <f>IF(OR(('19_Расчет_аналитики'!BJ2441-'19_Расчет_аналитики'!BJ2469)=0,10&lt;='01_Вводные'!$B$297),0,('19_Расчет_аналитики'!BJ2441-'19_Расчет_аналитики'!BJ2469)*IF('01_Вводные'!$B$239="Да",MeanMinAge10+'19_Расчет_аналитики'!BJ2584*SUMIF(ThresholdAge10,"&lt;"&amp;'19_Расчет_аналитики'!BJ2584,WeightedRevAge10)-SUMIF(ThresholdAge10,"&lt;"&amp;'19_Расчет_аналитики'!BJ2584,WeightedMinAge10),MAX(CapacityAge10*'01_Вводные'!$B$218*'19_Расчет_аналитики'!BJ2584,MeanMinAge10)))</f>
        <v/>
      </c>
      <c r="BK2525">
        <f>IF(OR(('19_Расчет_аналитики'!BK2441-'19_Расчет_аналитики'!BK2469)=0,10&lt;='01_Вводные'!$B$297),0,('19_Расчет_аналитики'!BK2441-'19_Расчет_аналитики'!BK2469)*IF('01_Вводные'!$B$239="Да",MeanMinAge10+'19_Расчет_аналитики'!BK2584*SUMIF(ThresholdAge10,"&lt;"&amp;'19_Расчет_аналитики'!BK2584,WeightedRevAge10)-SUMIF(ThresholdAge10,"&lt;"&amp;'19_Расчет_аналитики'!BK2584,WeightedMinAge10),MAX(CapacityAge10*'01_Вводные'!$B$218*'19_Расчет_аналитики'!BK2584,MeanMinAge10)))</f>
        <v/>
      </c>
      <c r="BL2525">
        <f>IF(OR(('19_Расчет_аналитики'!BL2441-'19_Расчет_аналитики'!BL2469)=0,10&lt;='01_Вводные'!$B$297),0,('19_Расчет_аналитики'!BL2441-'19_Расчет_аналитики'!BL2469)*IF('01_Вводные'!$B$239="Да",MeanMinAge10+'19_Расчет_аналитики'!BL2584*SUMIF(ThresholdAge10,"&lt;"&amp;'19_Расчет_аналитики'!BL2584,WeightedRevAge10)-SUMIF(ThresholdAge10,"&lt;"&amp;'19_Расчет_аналитики'!BL2584,WeightedMinAge10),MAX(CapacityAge10*'01_Вводные'!$B$218*'19_Расчет_аналитики'!BL2584,MeanMinAge10)))</f>
        <v/>
      </c>
      <c r="BM2525">
        <f>IF(OR(('19_Расчет_аналитики'!BM2441-'19_Расчет_аналитики'!BM2469)=0,10&lt;='01_Вводные'!$B$297),0,('19_Расчет_аналитики'!BM2441-'19_Расчет_аналитики'!BM2469)*IF('01_Вводные'!$B$239="Да",MeanMinAge10+'19_Расчет_аналитики'!BM2584*SUMIF(ThresholdAge10,"&lt;"&amp;'19_Расчет_аналитики'!BM2584,WeightedRevAge10)-SUMIF(ThresholdAge10,"&lt;"&amp;'19_Расчет_аналитики'!BM2584,WeightedMinAge10),MAX(CapacityAge10*'01_Вводные'!$B$218*'19_Расчет_аналитики'!BM2584,MeanMinAge10)))</f>
        <v/>
      </c>
      <c r="BN2525">
        <f>IF(OR(('19_Расчет_аналитики'!BN2441-'19_Расчет_аналитики'!BN2469)=0,10&lt;='01_Вводные'!$B$297),0,('19_Расчет_аналитики'!BN2441-'19_Расчет_аналитики'!BN2469)*IF('01_Вводные'!$B$239="Да",MeanMinAge10+'19_Расчет_аналитики'!BN2584*SUMIF(ThresholdAge10,"&lt;"&amp;'19_Расчет_аналитики'!BN2584,WeightedRevAge10)-SUMIF(ThresholdAge10,"&lt;"&amp;'19_Расчет_аналитики'!BN2584,WeightedMinAge10),MAX(CapacityAge10*'01_Вводные'!$B$218*'19_Расчет_аналитики'!BN2584,MeanMinAge10)))</f>
        <v/>
      </c>
      <c r="BO2525">
        <f>IF(OR(('19_Расчет_аналитики'!BO2441-'19_Расчет_аналитики'!BO2469)=0,10&lt;='01_Вводные'!$B$297),0,('19_Расчет_аналитики'!BO2441-'19_Расчет_аналитики'!BO2469)*IF('01_Вводные'!$B$239="Да",MeanMinAge10+'19_Расчет_аналитики'!BO2584*SUMIF(ThresholdAge10,"&lt;"&amp;'19_Расчет_аналитики'!BO2584,WeightedRevAge10)-SUMIF(ThresholdAge10,"&lt;"&amp;'19_Расчет_аналитики'!BO2584,WeightedMinAge10),MAX(CapacityAge10*'01_Вводные'!$B$218*'19_Расчет_аналитики'!BO2584,MeanMinAge10)))</f>
        <v/>
      </c>
    </row>
    <row r="2526">
      <c r="B2526">
        <f>IF(OR(('06_Сеть_и_дети'!B63-'06_Сеть_и_дети'!B91)=0,11&lt;='01_Вводные'!$B$297),0,('06_Сеть_и_дети'!B63-'06_Сеть_и_дети'!B91)*IF('01_Вводные'!$B$239="Да",MeanMinAge11+'19_Расчет_аналитики'!B2584*SUMIF(ThresholdAge11,"&lt;"&amp;'19_Расчет_аналитики'!B2584,WeightedRevAge11)-SUMIF(ThresholdAge11,"&lt;"&amp;'19_Расчет_аналитики'!B2584,WeightedMinAge11),MAX(CapacityAge11*'01_Вводные'!$B$218*'19_Расчет_аналитики'!B2584,MeanMinAge11)))</f>
        <v/>
      </c>
      <c r="C2526">
        <f>IF(OR(('06_Сеть_и_дети'!C63-'06_Сеть_и_дети'!C91)=0,11&lt;='01_Вводные'!$B$297),0,('06_Сеть_и_дети'!C63-'06_Сеть_и_дети'!C91)*IF('01_Вводные'!$B$239="Да",MeanMinAge11+'19_Расчет_аналитики'!C2584*SUMIF(ThresholdAge11,"&lt;"&amp;'19_Расчет_аналитики'!C2584,WeightedRevAge11)-SUMIF(ThresholdAge11,"&lt;"&amp;'19_Расчет_аналитики'!C2584,WeightedMinAge11),MAX(CapacityAge11*'01_Вводные'!$B$218*'19_Расчет_аналитики'!C2584,MeanMinAge11)))</f>
        <v/>
      </c>
      <c r="D2526">
        <f>IF(OR(('06_Сеть_и_дети'!D63-'06_Сеть_и_дети'!D91)=0,11&lt;='01_Вводные'!$B$297),0,('06_Сеть_и_дети'!D63-'06_Сеть_и_дети'!D91)*IF('01_Вводные'!$B$239="Да",MeanMinAge11+'19_Расчет_аналитики'!D2584*SUMIF(ThresholdAge11,"&lt;"&amp;'19_Расчет_аналитики'!D2584,WeightedRevAge11)-SUMIF(ThresholdAge11,"&lt;"&amp;'19_Расчет_аналитики'!D2584,WeightedMinAge11),MAX(CapacityAge11*'01_Вводные'!$B$218*'19_Расчет_аналитики'!D2584,MeanMinAge11)))</f>
        <v/>
      </c>
      <c r="E2526">
        <f>IF(OR(('06_Сеть_и_дети'!E63-'06_Сеть_и_дети'!E91)=0,11&lt;='01_Вводные'!$B$297),0,('06_Сеть_и_дети'!E63-'06_Сеть_и_дети'!E91)*IF('01_Вводные'!$B$239="Да",MeanMinAge11+'19_Расчет_аналитики'!E2584*SUMIF(ThresholdAge11,"&lt;"&amp;'19_Расчет_аналитики'!E2584,WeightedRevAge11)-SUMIF(ThresholdAge11,"&lt;"&amp;'19_Расчет_аналитики'!E2584,WeightedMinAge11),MAX(CapacityAge11*'01_Вводные'!$B$218*'19_Расчет_аналитики'!E2584,MeanMinAge11)))</f>
        <v/>
      </c>
      <c r="F2526">
        <f>IF(OR(('06_Сеть_и_дети'!F63-'06_Сеть_и_дети'!F91)=0,11&lt;='01_Вводные'!$B$297),0,('06_Сеть_и_дети'!F63-'06_Сеть_и_дети'!F91)*IF('01_Вводные'!$B$239="Да",MeanMinAge11+'19_Расчет_аналитики'!F2584*SUMIF(ThresholdAge11,"&lt;"&amp;'19_Расчет_аналитики'!F2584,WeightedRevAge11)-SUMIF(ThresholdAge11,"&lt;"&amp;'19_Расчет_аналитики'!F2584,WeightedMinAge11),MAX(CapacityAge11*'01_Вводные'!$B$218*'19_Расчет_аналитики'!F2584,MeanMinAge11)))</f>
        <v/>
      </c>
      <c r="G2526">
        <f>IF(OR(('06_Сеть_и_дети'!G63-'06_Сеть_и_дети'!G91)=0,11&lt;='01_Вводные'!$B$297),0,('06_Сеть_и_дети'!G63-'06_Сеть_и_дети'!G91)*IF('01_Вводные'!$B$239="Да",MeanMinAge11+'19_Расчет_аналитики'!G2584*SUMIF(ThresholdAge11,"&lt;"&amp;'19_Расчет_аналитики'!G2584,WeightedRevAge11)-SUMIF(ThresholdAge11,"&lt;"&amp;'19_Расчет_аналитики'!G2584,WeightedMinAge11),MAX(CapacityAge11*'01_Вводные'!$B$218*'19_Расчет_аналитики'!G2584,MeanMinAge11)))</f>
        <v/>
      </c>
      <c r="H2526">
        <f>IF(OR(('06_Сеть_и_дети'!H63-'06_Сеть_и_дети'!H91)=0,11&lt;='01_Вводные'!$B$297),0,('06_Сеть_и_дети'!H63-'06_Сеть_и_дети'!H91)*IF('01_Вводные'!$B$239="Да",MeanMinAge11+'19_Расчет_аналитики'!H2584*SUMIF(ThresholdAge11,"&lt;"&amp;'19_Расчет_аналитики'!H2584,WeightedRevAge11)-SUMIF(ThresholdAge11,"&lt;"&amp;'19_Расчет_аналитики'!H2584,WeightedMinAge11),MAX(CapacityAge11*'01_Вводные'!$B$218*'19_Расчет_аналитики'!H2584,MeanMinAge11)))</f>
        <v/>
      </c>
      <c r="I2526">
        <f>IF(OR(('06_Сеть_и_дети'!I63-'06_Сеть_и_дети'!I91)=0,11&lt;='01_Вводные'!$B$297),0,('06_Сеть_и_дети'!I63-'06_Сеть_и_дети'!I91)*IF('01_Вводные'!$B$239="Да",MeanMinAge11+'19_Расчет_аналитики'!I2584*SUMIF(ThresholdAge11,"&lt;"&amp;'19_Расчет_аналитики'!I2584,WeightedRevAge11)-SUMIF(ThresholdAge11,"&lt;"&amp;'19_Расчет_аналитики'!I2584,WeightedMinAge11),MAX(CapacityAge11*'01_Вводные'!$B$218*'19_Расчет_аналитики'!I2584,MeanMinAge11)))</f>
        <v/>
      </c>
      <c r="J2526">
        <f>IF(OR(('06_Сеть_и_дети'!J63-'06_Сеть_и_дети'!J91)=0,11&lt;='01_Вводные'!$B$297),0,('06_Сеть_и_дети'!J63-'06_Сеть_и_дети'!J91)*IF('01_Вводные'!$B$239="Да",MeanMinAge11+'19_Расчет_аналитики'!J2584*SUMIF(ThresholdAge11,"&lt;"&amp;'19_Расчет_аналитики'!J2584,WeightedRevAge11)-SUMIF(ThresholdAge11,"&lt;"&amp;'19_Расчет_аналитики'!J2584,WeightedMinAge11),MAX(CapacityAge11*'01_Вводные'!$B$218*'19_Расчет_аналитики'!J2584,MeanMinAge11)))</f>
        <v/>
      </c>
      <c r="K2526">
        <f>IF(OR(('06_Сеть_и_дети'!K63-'06_Сеть_и_дети'!K91)=0,11&lt;='01_Вводные'!$B$297),0,('06_Сеть_и_дети'!K63-'06_Сеть_и_дети'!K91)*IF('01_Вводные'!$B$239="Да",MeanMinAge11+'19_Расчет_аналитики'!K2584*SUMIF(ThresholdAge11,"&lt;"&amp;'19_Расчет_аналитики'!K2584,WeightedRevAge11)-SUMIF(ThresholdAge11,"&lt;"&amp;'19_Расчет_аналитики'!K2584,WeightedMinAge11),MAX(CapacityAge11*'01_Вводные'!$B$218*'19_Расчет_аналитики'!K2584,MeanMinAge11)))</f>
        <v/>
      </c>
      <c r="L2526">
        <f>IF(OR(('19_Расчет_аналитики'!L2442-'19_Расчет_аналитики'!L2470)=0,11&lt;='01_Вводные'!$B$297),0,('19_Расчет_аналитики'!L2442-'19_Расчет_аналитики'!L2470)*IF('01_Вводные'!$B$239="Да",MeanMinAge11+'19_Расчет_аналитики'!L2584*SUMIF(ThresholdAge11,"&lt;"&amp;'19_Расчет_аналитики'!L2584,WeightedRevAge11)-SUMIF(ThresholdAge11,"&lt;"&amp;'19_Расчет_аналитики'!L2584,WeightedMinAge11),MAX(CapacityAge11*'01_Вводные'!$B$218*'19_Расчет_аналитики'!L2584,MeanMinAge11)))</f>
        <v/>
      </c>
      <c r="M2526">
        <f>IF(OR(('19_Расчет_аналитики'!M2442-'19_Расчет_аналитики'!M2470)=0,11&lt;='01_Вводные'!$B$297),0,('19_Расчет_аналитики'!M2442-'19_Расчет_аналитики'!M2470)*IF('01_Вводные'!$B$239="Да",MeanMinAge11+'19_Расчет_аналитики'!M2584*SUMIF(ThresholdAge11,"&lt;"&amp;'19_Расчет_аналитики'!M2584,WeightedRevAge11)-SUMIF(ThresholdAge11,"&lt;"&amp;'19_Расчет_аналитики'!M2584,WeightedMinAge11),MAX(CapacityAge11*'01_Вводные'!$B$218*'19_Расчет_аналитики'!M2584,MeanMinAge11)))</f>
        <v/>
      </c>
      <c r="N2526">
        <f>IF(OR(('19_Расчет_аналитики'!N2442-'19_Расчет_аналитики'!N2470)=0,11&lt;='01_Вводные'!$B$297),0,('19_Расчет_аналитики'!N2442-'19_Расчет_аналитики'!N2470)*IF('01_Вводные'!$B$239="Да",MeanMinAge11+'19_Расчет_аналитики'!N2584*SUMIF(ThresholdAge11,"&lt;"&amp;'19_Расчет_аналитики'!N2584,WeightedRevAge11)-SUMIF(ThresholdAge11,"&lt;"&amp;'19_Расчет_аналитики'!N2584,WeightedMinAge11),MAX(CapacityAge11*'01_Вводные'!$B$218*'19_Расчет_аналитики'!N2584,MeanMinAge11)))</f>
        <v/>
      </c>
      <c r="O2526">
        <f>IF(OR(('19_Расчет_аналитики'!O2442-'19_Расчет_аналитики'!O2470)=0,11&lt;='01_Вводные'!$B$297),0,('19_Расчет_аналитики'!O2442-'19_Расчет_аналитики'!O2470)*IF('01_Вводные'!$B$239="Да",MeanMinAge11+'19_Расчет_аналитики'!O2584*SUMIF(ThresholdAge11,"&lt;"&amp;'19_Расчет_аналитики'!O2584,WeightedRevAge11)-SUMIF(ThresholdAge11,"&lt;"&amp;'19_Расчет_аналитики'!O2584,WeightedMinAge11),MAX(CapacityAge11*'01_Вводные'!$B$218*'19_Расчет_аналитики'!O2584,MeanMinAge11)))</f>
        <v/>
      </c>
      <c r="P2526">
        <f>IF(OR(('19_Расчет_аналитики'!P2442-'19_Расчет_аналитики'!P2470)=0,11&lt;='01_Вводные'!$B$297),0,('19_Расчет_аналитики'!P2442-'19_Расчет_аналитики'!P2470)*IF('01_Вводные'!$B$239="Да",MeanMinAge11+'19_Расчет_аналитики'!P2584*SUMIF(ThresholdAge11,"&lt;"&amp;'19_Расчет_аналитики'!P2584,WeightedRevAge11)-SUMIF(ThresholdAge11,"&lt;"&amp;'19_Расчет_аналитики'!P2584,WeightedMinAge11),MAX(CapacityAge11*'01_Вводные'!$B$218*'19_Расчет_аналитики'!P2584,MeanMinAge11)))</f>
        <v/>
      </c>
      <c r="Q2526">
        <f>IF(OR(('19_Расчет_аналитики'!Q2442-'19_Расчет_аналитики'!Q2470)=0,11&lt;='01_Вводные'!$B$297),0,('19_Расчет_аналитики'!Q2442-'19_Расчет_аналитики'!Q2470)*IF('01_Вводные'!$B$239="Да",MeanMinAge11+'19_Расчет_аналитики'!Q2584*SUMIF(ThresholdAge11,"&lt;"&amp;'19_Расчет_аналитики'!Q2584,WeightedRevAge11)-SUMIF(ThresholdAge11,"&lt;"&amp;'19_Расчет_аналитики'!Q2584,WeightedMinAge11),MAX(CapacityAge11*'01_Вводные'!$B$218*'19_Расчет_аналитики'!Q2584,MeanMinAge11)))</f>
        <v/>
      </c>
      <c r="R2526">
        <f>IF(OR(('19_Расчет_аналитики'!R2442-'19_Расчет_аналитики'!R2470)=0,11&lt;='01_Вводные'!$B$297),0,('19_Расчет_аналитики'!R2442-'19_Расчет_аналитики'!R2470)*IF('01_Вводные'!$B$239="Да",MeanMinAge11+'19_Расчет_аналитики'!R2584*SUMIF(ThresholdAge11,"&lt;"&amp;'19_Расчет_аналитики'!R2584,WeightedRevAge11)-SUMIF(ThresholdAge11,"&lt;"&amp;'19_Расчет_аналитики'!R2584,WeightedMinAge11),MAX(CapacityAge11*'01_Вводные'!$B$218*'19_Расчет_аналитики'!R2584,MeanMinAge11)))</f>
        <v/>
      </c>
      <c r="S2526">
        <f>IF(OR(('19_Расчет_аналитики'!S2442-'19_Расчет_аналитики'!S2470)=0,11&lt;='01_Вводные'!$B$297),0,('19_Расчет_аналитики'!S2442-'19_Расчет_аналитики'!S2470)*IF('01_Вводные'!$B$239="Да",MeanMinAge11+'19_Расчет_аналитики'!S2584*SUMIF(ThresholdAge11,"&lt;"&amp;'19_Расчет_аналитики'!S2584,WeightedRevAge11)-SUMIF(ThresholdAge11,"&lt;"&amp;'19_Расчет_аналитики'!S2584,WeightedMinAge11),MAX(CapacityAge11*'01_Вводные'!$B$218*'19_Расчет_аналитики'!S2584,MeanMinAge11)))</f>
        <v/>
      </c>
      <c r="T2526">
        <f>IF(OR(('19_Расчет_аналитики'!T2442-'19_Расчет_аналитики'!T2470)=0,11&lt;='01_Вводные'!$B$297),0,('19_Расчет_аналитики'!T2442-'19_Расчет_аналитики'!T2470)*IF('01_Вводные'!$B$239="Да",MeanMinAge11+'19_Расчет_аналитики'!T2584*SUMIF(ThresholdAge11,"&lt;"&amp;'19_Расчет_аналитики'!T2584,WeightedRevAge11)-SUMIF(ThresholdAge11,"&lt;"&amp;'19_Расчет_аналитики'!T2584,WeightedMinAge11),MAX(CapacityAge11*'01_Вводные'!$B$218*'19_Расчет_аналитики'!T2584,MeanMinAge11)))</f>
        <v/>
      </c>
      <c r="U2526">
        <f>IF(OR(('19_Расчет_аналитики'!U2442-'19_Расчет_аналитики'!U2470)=0,11&lt;='01_Вводные'!$B$297),0,('19_Расчет_аналитики'!U2442-'19_Расчет_аналитики'!U2470)*IF('01_Вводные'!$B$239="Да",MeanMinAge11+'19_Расчет_аналитики'!U2584*SUMIF(ThresholdAge11,"&lt;"&amp;'19_Расчет_аналитики'!U2584,WeightedRevAge11)-SUMIF(ThresholdAge11,"&lt;"&amp;'19_Расчет_аналитики'!U2584,WeightedMinAge11),MAX(CapacityAge11*'01_Вводные'!$B$218*'19_Расчет_аналитики'!U2584,MeanMinAge11)))</f>
        <v/>
      </c>
      <c r="V2526">
        <f>IF(OR(('19_Расчет_аналитики'!V2442-'19_Расчет_аналитики'!V2470)=0,11&lt;='01_Вводные'!$B$297),0,('19_Расчет_аналитики'!V2442-'19_Расчет_аналитики'!V2470)*IF('01_Вводные'!$B$239="Да",MeanMinAge11+'19_Расчет_аналитики'!V2584*SUMIF(ThresholdAge11,"&lt;"&amp;'19_Расчет_аналитики'!V2584,WeightedRevAge11)-SUMIF(ThresholdAge11,"&lt;"&amp;'19_Расчет_аналитики'!V2584,WeightedMinAge11),MAX(CapacityAge11*'01_Вводные'!$B$218*'19_Расчет_аналитики'!V2584,MeanMinAge11)))</f>
        <v/>
      </c>
      <c r="W2526">
        <f>IF(OR(('19_Расчет_аналитики'!W2442-'19_Расчет_аналитики'!W2470)=0,11&lt;='01_Вводные'!$B$297),0,('19_Расчет_аналитики'!W2442-'19_Расчет_аналитики'!W2470)*IF('01_Вводные'!$B$239="Да",MeanMinAge11+'19_Расчет_аналитики'!W2584*SUMIF(ThresholdAge11,"&lt;"&amp;'19_Расчет_аналитики'!W2584,WeightedRevAge11)-SUMIF(ThresholdAge11,"&lt;"&amp;'19_Расчет_аналитики'!W2584,WeightedMinAge11),MAX(CapacityAge11*'01_Вводные'!$B$218*'19_Расчет_аналитики'!W2584,MeanMinAge11)))</f>
        <v/>
      </c>
      <c r="X2526">
        <f>IF(OR(('19_Расчет_аналитики'!X2442-'19_Расчет_аналитики'!X2470)=0,11&lt;='01_Вводные'!$B$297),0,('19_Расчет_аналитики'!X2442-'19_Расчет_аналитики'!X2470)*IF('01_Вводные'!$B$239="Да",MeanMinAge11+'19_Расчет_аналитики'!X2584*SUMIF(ThresholdAge11,"&lt;"&amp;'19_Расчет_аналитики'!X2584,WeightedRevAge11)-SUMIF(ThresholdAge11,"&lt;"&amp;'19_Расчет_аналитики'!X2584,WeightedMinAge11),MAX(CapacityAge11*'01_Вводные'!$B$218*'19_Расчет_аналитики'!X2584,MeanMinAge11)))</f>
        <v/>
      </c>
      <c r="Y2526">
        <f>IF(OR(('19_Расчет_аналитики'!Y2442-'19_Расчет_аналитики'!Y2470)=0,11&lt;='01_Вводные'!$B$297),0,('19_Расчет_аналитики'!Y2442-'19_Расчет_аналитики'!Y2470)*IF('01_Вводные'!$B$239="Да",MeanMinAge11+'19_Расчет_аналитики'!Y2584*SUMIF(ThresholdAge11,"&lt;"&amp;'19_Расчет_аналитики'!Y2584,WeightedRevAge11)-SUMIF(ThresholdAge11,"&lt;"&amp;'19_Расчет_аналитики'!Y2584,WeightedMinAge11),MAX(CapacityAge11*'01_Вводные'!$B$218*'19_Расчет_аналитики'!Y2584,MeanMinAge11)))</f>
        <v/>
      </c>
      <c r="Z2526">
        <f>IF(OR(('19_Расчет_аналитики'!Z2442-'19_Расчет_аналитики'!Z2470)=0,11&lt;='01_Вводные'!$B$297),0,('19_Расчет_аналитики'!Z2442-'19_Расчет_аналитики'!Z2470)*IF('01_Вводные'!$B$239="Да",MeanMinAge11+'19_Расчет_аналитики'!Z2584*SUMIF(ThresholdAge11,"&lt;"&amp;'19_Расчет_аналитики'!Z2584,WeightedRevAge11)-SUMIF(ThresholdAge11,"&lt;"&amp;'19_Расчет_аналитики'!Z2584,WeightedMinAge11),MAX(CapacityAge11*'01_Вводные'!$B$218*'19_Расчет_аналитики'!Z2584,MeanMinAge11)))</f>
        <v/>
      </c>
      <c r="AA2526">
        <f>IF(OR(('19_Расчет_аналитики'!AA2442-'19_Расчет_аналитики'!AA2470)=0,11&lt;='01_Вводные'!$B$297),0,('19_Расчет_аналитики'!AA2442-'19_Расчет_аналитики'!AA2470)*IF('01_Вводные'!$B$239="Да",MeanMinAge11+'19_Расчет_аналитики'!AA2584*SUMIF(ThresholdAge11,"&lt;"&amp;'19_Расчет_аналитики'!AA2584,WeightedRevAge11)-SUMIF(ThresholdAge11,"&lt;"&amp;'19_Расчет_аналитики'!AA2584,WeightedMinAge11),MAX(CapacityAge11*'01_Вводные'!$B$218*'19_Расчет_аналитики'!AA2584,MeanMinAge11)))</f>
        <v/>
      </c>
      <c r="AB2526">
        <f>IF(OR(('19_Расчет_аналитики'!AB2442-'19_Расчет_аналитики'!AB2470)=0,11&lt;='01_Вводные'!$B$297),0,('19_Расчет_аналитики'!AB2442-'19_Расчет_аналитики'!AB2470)*IF('01_Вводные'!$B$239="Да",MeanMinAge11+'19_Расчет_аналитики'!AB2584*SUMIF(ThresholdAge11,"&lt;"&amp;'19_Расчет_аналитики'!AB2584,WeightedRevAge11)-SUMIF(ThresholdAge11,"&lt;"&amp;'19_Расчет_аналитики'!AB2584,WeightedMinAge11),MAX(CapacityAge11*'01_Вводные'!$B$218*'19_Расчет_аналитики'!AB2584,MeanMinAge11)))</f>
        <v/>
      </c>
      <c r="AC2526">
        <f>IF(OR(('19_Расчет_аналитики'!AC2442-'19_Расчет_аналитики'!AC2470)=0,11&lt;='01_Вводные'!$B$297),0,('19_Расчет_аналитики'!AC2442-'19_Расчет_аналитики'!AC2470)*IF('01_Вводные'!$B$239="Да",MeanMinAge11+'19_Расчет_аналитики'!AC2584*SUMIF(ThresholdAge11,"&lt;"&amp;'19_Расчет_аналитики'!AC2584,WeightedRevAge11)-SUMIF(ThresholdAge11,"&lt;"&amp;'19_Расчет_аналитики'!AC2584,WeightedMinAge11),MAX(CapacityAge11*'01_Вводные'!$B$218*'19_Расчет_аналитики'!AC2584,MeanMinAge11)))</f>
        <v/>
      </c>
      <c r="AD2526">
        <f>IF(OR(('19_Расчет_аналитики'!AD2442-'19_Расчет_аналитики'!AD2470)=0,11&lt;='01_Вводные'!$B$297),0,('19_Расчет_аналитики'!AD2442-'19_Расчет_аналитики'!AD2470)*IF('01_Вводные'!$B$239="Да",MeanMinAge11+'19_Расчет_аналитики'!AD2584*SUMIF(ThresholdAge11,"&lt;"&amp;'19_Расчет_аналитики'!AD2584,WeightedRevAge11)-SUMIF(ThresholdAge11,"&lt;"&amp;'19_Расчет_аналитики'!AD2584,WeightedMinAge11),MAX(CapacityAge11*'01_Вводные'!$B$218*'19_Расчет_аналитики'!AD2584,MeanMinAge11)))</f>
        <v/>
      </c>
      <c r="AE2526">
        <f>IF(OR(('19_Расчет_аналитики'!AE2442-'19_Расчет_аналитики'!AE2470)=0,11&lt;='01_Вводные'!$B$297),0,('19_Расчет_аналитики'!AE2442-'19_Расчет_аналитики'!AE2470)*IF('01_Вводные'!$B$239="Да",MeanMinAge11+'19_Расчет_аналитики'!AE2584*SUMIF(ThresholdAge11,"&lt;"&amp;'19_Расчет_аналитики'!AE2584,WeightedRevAge11)-SUMIF(ThresholdAge11,"&lt;"&amp;'19_Расчет_аналитики'!AE2584,WeightedMinAge11),MAX(CapacityAge11*'01_Вводные'!$B$218*'19_Расчет_аналитики'!AE2584,MeanMinAge11)))</f>
        <v/>
      </c>
      <c r="AF2526">
        <f>IF(OR(('19_Расчет_аналитики'!AF2442-'19_Расчет_аналитики'!AF2470)=0,11&lt;='01_Вводные'!$B$297),0,('19_Расчет_аналитики'!AF2442-'19_Расчет_аналитики'!AF2470)*IF('01_Вводные'!$B$239="Да",MeanMinAge11+'19_Расчет_аналитики'!AF2584*SUMIF(ThresholdAge11,"&lt;"&amp;'19_Расчет_аналитики'!AF2584,WeightedRevAge11)-SUMIF(ThresholdAge11,"&lt;"&amp;'19_Расчет_аналитики'!AF2584,WeightedMinAge11),MAX(CapacityAge11*'01_Вводные'!$B$218*'19_Расчет_аналитики'!AF2584,MeanMinAge11)))</f>
        <v/>
      </c>
      <c r="AG2526">
        <f>IF(OR(('19_Расчет_аналитики'!AG2442-'19_Расчет_аналитики'!AG2470)=0,11&lt;='01_Вводные'!$B$297),0,('19_Расчет_аналитики'!AG2442-'19_Расчет_аналитики'!AG2470)*IF('01_Вводные'!$B$239="Да",MeanMinAge11+'19_Расчет_аналитики'!AG2584*SUMIF(ThresholdAge11,"&lt;"&amp;'19_Расчет_аналитики'!AG2584,WeightedRevAge11)-SUMIF(ThresholdAge11,"&lt;"&amp;'19_Расчет_аналитики'!AG2584,WeightedMinAge11),MAX(CapacityAge11*'01_Вводные'!$B$218*'19_Расчет_аналитики'!AG2584,MeanMinAge11)))</f>
        <v/>
      </c>
      <c r="AH2526">
        <f>IF(OR(('19_Расчет_аналитики'!AH2442-'19_Расчет_аналитики'!AH2470)=0,11&lt;='01_Вводные'!$B$297),0,('19_Расчет_аналитики'!AH2442-'19_Расчет_аналитики'!AH2470)*IF('01_Вводные'!$B$239="Да",MeanMinAge11+'19_Расчет_аналитики'!AH2584*SUMIF(ThresholdAge11,"&lt;"&amp;'19_Расчет_аналитики'!AH2584,WeightedRevAge11)-SUMIF(ThresholdAge11,"&lt;"&amp;'19_Расчет_аналитики'!AH2584,WeightedMinAge11),MAX(CapacityAge11*'01_Вводные'!$B$218*'19_Расчет_аналитики'!AH2584,MeanMinAge11)))</f>
        <v/>
      </c>
      <c r="AI2526">
        <f>IF(OR(('19_Расчет_аналитики'!AI2442-'19_Расчет_аналитики'!AI2470)=0,11&lt;='01_Вводные'!$B$297),0,('19_Расчет_аналитики'!AI2442-'19_Расчет_аналитики'!AI2470)*IF('01_Вводные'!$B$239="Да",MeanMinAge11+'19_Расчет_аналитики'!AI2584*SUMIF(ThresholdAge11,"&lt;"&amp;'19_Расчет_аналитики'!AI2584,WeightedRevAge11)-SUMIF(ThresholdAge11,"&lt;"&amp;'19_Расчет_аналитики'!AI2584,WeightedMinAge11),MAX(CapacityAge11*'01_Вводные'!$B$218*'19_Расчет_аналитики'!AI2584,MeanMinAge11)))</f>
        <v/>
      </c>
      <c r="AJ2526">
        <f>IF(OR(('19_Расчет_аналитики'!AJ2442-'19_Расчет_аналитики'!AJ2470)=0,11&lt;='01_Вводные'!$B$297),0,('19_Расчет_аналитики'!AJ2442-'19_Расчет_аналитики'!AJ2470)*IF('01_Вводные'!$B$239="Да",MeanMinAge11+'19_Расчет_аналитики'!AJ2584*SUMIF(ThresholdAge11,"&lt;"&amp;'19_Расчет_аналитики'!AJ2584,WeightedRevAge11)-SUMIF(ThresholdAge11,"&lt;"&amp;'19_Расчет_аналитики'!AJ2584,WeightedMinAge11),MAX(CapacityAge11*'01_Вводные'!$B$218*'19_Расчет_аналитики'!AJ2584,MeanMinAge11)))</f>
        <v/>
      </c>
      <c r="AK2526">
        <f>IF(OR(('19_Расчет_аналитики'!AK2442-'19_Расчет_аналитики'!AK2470)=0,11&lt;='01_Вводные'!$B$297),0,('19_Расчет_аналитики'!AK2442-'19_Расчет_аналитики'!AK2470)*IF('01_Вводные'!$B$239="Да",MeanMinAge11+'19_Расчет_аналитики'!AK2584*SUMIF(ThresholdAge11,"&lt;"&amp;'19_Расчет_аналитики'!AK2584,WeightedRevAge11)-SUMIF(ThresholdAge11,"&lt;"&amp;'19_Расчет_аналитики'!AK2584,WeightedMinAge11),MAX(CapacityAge11*'01_Вводные'!$B$218*'19_Расчет_аналитики'!AK2584,MeanMinAge11)))</f>
        <v/>
      </c>
      <c r="AL2526">
        <f>IF(OR(('19_Расчет_аналитики'!AL2442-'19_Расчет_аналитики'!AL2470)=0,11&lt;='01_Вводные'!$B$297),0,('19_Расчет_аналитики'!AL2442-'19_Расчет_аналитики'!AL2470)*IF('01_Вводные'!$B$239="Да",MeanMinAge11+'19_Расчет_аналитики'!AL2584*SUMIF(ThresholdAge11,"&lt;"&amp;'19_Расчет_аналитики'!AL2584,WeightedRevAge11)-SUMIF(ThresholdAge11,"&lt;"&amp;'19_Расчет_аналитики'!AL2584,WeightedMinAge11),MAX(CapacityAge11*'01_Вводные'!$B$218*'19_Расчет_аналитики'!AL2584,MeanMinAge11)))</f>
        <v/>
      </c>
      <c r="AM2526">
        <f>IF(OR(('19_Расчет_аналитики'!AM2442-'19_Расчет_аналитики'!AM2470)=0,11&lt;='01_Вводные'!$B$297),0,('19_Расчет_аналитики'!AM2442-'19_Расчет_аналитики'!AM2470)*IF('01_Вводные'!$B$239="Да",MeanMinAge11+'19_Расчет_аналитики'!AM2584*SUMIF(ThresholdAge11,"&lt;"&amp;'19_Расчет_аналитики'!AM2584,WeightedRevAge11)-SUMIF(ThresholdAge11,"&lt;"&amp;'19_Расчет_аналитики'!AM2584,WeightedMinAge11),MAX(CapacityAge11*'01_Вводные'!$B$218*'19_Расчет_аналитики'!AM2584,MeanMinAge11)))</f>
        <v/>
      </c>
      <c r="AN2526">
        <f>IF(OR(('19_Расчет_аналитики'!AN2442-'19_Расчет_аналитики'!AN2470)=0,11&lt;='01_Вводные'!$B$297),0,('19_Расчет_аналитики'!AN2442-'19_Расчет_аналитики'!AN2470)*IF('01_Вводные'!$B$239="Да",MeanMinAge11+'19_Расчет_аналитики'!AN2584*SUMIF(ThresholdAge11,"&lt;"&amp;'19_Расчет_аналитики'!AN2584,WeightedRevAge11)-SUMIF(ThresholdAge11,"&lt;"&amp;'19_Расчет_аналитики'!AN2584,WeightedMinAge11),MAX(CapacityAge11*'01_Вводные'!$B$218*'19_Расчет_аналитики'!AN2584,MeanMinAge11)))</f>
        <v/>
      </c>
      <c r="AO2526">
        <f>IF(OR(('19_Расчет_аналитики'!AO2442-'19_Расчет_аналитики'!AO2470)=0,11&lt;='01_Вводные'!$B$297),0,('19_Расчет_аналитики'!AO2442-'19_Расчет_аналитики'!AO2470)*IF('01_Вводные'!$B$239="Да",MeanMinAge11+'19_Расчет_аналитики'!AO2584*SUMIF(ThresholdAge11,"&lt;"&amp;'19_Расчет_аналитики'!AO2584,WeightedRevAge11)-SUMIF(ThresholdAge11,"&lt;"&amp;'19_Расчет_аналитики'!AO2584,WeightedMinAge11),MAX(CapacityAge11*'01_Вводные'!$B$218*'19_Расчет_аналитики'!AO2584,MeanMinAge11)))</f>
        <v/>
      </c>
      <c r="AP2526">
        <f>IF(OR(('19_Расчет_аналитики'!AP2442-'19_Расчет_аналитики'!AP2470)=0,11&lt;='01_Вводные'!$B$297),0,('19_Расчет_аналитики'!AP2442-'19_Расчет_аналитики'!AP2470)*IF('01_Вводные'!$B$239="Да",MeanMinAge11+'19_Расчет_аналитики'!AP2584*SUMIF(ThresholdAge11,"&lt;"&amp;'19_Расчет_аналитики'!AP2584,WeightedRevAge11)-SUMIF(ThresholdAge11,"&lt;"&amp;'19_Расчет_аналитики'!AP2584,WeightedMinAge11),MAX(CapacityAge11*'01_Вводные'!$B$218*'19_Расчет_аналитики'!AP2584,MeanMinAge11)))</f>
        <v/>
      </c>
      <c r="AQ2526">
        <f>IF(OR(('19_Расчет_аналитики'!AQ2442-'19_Расчет_аналитики'!AQ2470)=0,11&lt;='01_Вводные'!$B$297),0,('19_Расчет_аналитики'!AQ2442-'19_Расчет_аналитики'!AQ2470)*IF('01_Вводные'!$B$239="Да",MeanMinAge11+'19_Расчет_аналитики'!AQ2584*SUMIF(ThresholdAge11,"&lt;"&amp;'19_Расчет_аналитики'!AQ2584,WeightedRevAge11)-SUMIF(ThresholdAge11,"&lt;"&amp;'19_Расчет_аналитики'!AQ2584,WeightedMinAge11),MAX(CapacityAge11*'01_Вводные'!$B$218*'19_Расчет_аналитики'!AQ2584,MeanMinAge11)))</f>
        <v/>
      </c>
      <c r="AR2526">
        <f>IF(OR(('19_Расчет_аналитики'!AR2442-'19_Расчет_аналитики'!AR2470)=0,11&lt;='01_Вводные'!$B$297),0,('19_Расчет_аналитики'!AR2442-'19_Расчет_аналитики'!AR2470)*IF('01_Вводные'!$B$239="Да",MeanMinAge11+'19_Расчет_аналитики'!AR2584*SUMIF(ThresholdAge11,"&lt;"&amp;'19_Расчет_аналитики'!AR2584,WeightedRevAge11)-SUMIF(ThresholdAge11,"&lt;"&amp;'19_Расчет_аналитики'!AR2584,WeightedMinAge11),MAX(CapacityAge11*'01_Вводные'!$B$218*'19_Расчет_аналитики'!AR2584,MeanMinAge11)))</f>
        <v/>
      </c>
      <c r="AS2526">
        <f>IF(OR(('19_Расчет_аналитики'!AS2442-'19_Расчет_аналитики'!AS2470)=0,11&lt;='01_Вводные'!$B$297),0,('19_Расчет_аналитики'!AS2442-'19_Расчет_аналитики'!AS2470)*IF('01_Вводные'!$B$239="Да",MeanMinAge11+'19_Расчет_аналитики'!AS2584*SUMIF(ThresholdAge11,"&lt;"&amp;'19_Расчет_аналитики'!AS2584,WeightedRevAge11)-SUMIF(ThresholdAge11,"&lt;"&amp;'19_Расчет_аналитики'!AS2584,WeightedMinAge11),MAX(CapacityAge11*'01_Вводные'!$B$218*'19_Расчет_аналитики'!AS2584,MeanMinAge11)))</f>
        <v/>
      </c>
      <c r="AT2526">
        <f>IF(OR(('19_Расчет_аналитики'!AT2442-'19_Расчет_аналитики'!AT2470)=0,11&lt;='01_Вводные'!$B$297),0,('19_Расчет_аналитики'!AT2442-'19_Расчет_аналитики'!AT2470)*IF('01_Вводные'!$B$239="Да",MeanMinAge11+'19_Расчет_аналитики'!AT2584*SUMIF(ThresholdAge11,"&lt;"&amp;'19_Расчет_аналитики'!AT2584,WeightedRevAge11)-SUMIF(ThresholdAge11,"&lt;"&amp;'19_Расчет_аналитики'!AT2584,WeightedMinAge11),MAX(CapacityAge11*'01_Вводные'!$B$218*'19_Расчет_аналитики'!AT2584,MeanMinAge11)))</f>
        <v/>
      </c>
      <c r="AU2526">
        <f>IF(OR(('19_Расчет_аналитики'!AU2442-'19_Расчет_аналитики'!AU2470)=0,11&lt;='01_Вводные'!$B$297),0,('19_Расчет_аналитики'!AU2442-'19_Расчет_аналитики'!AU2470)*IF('01_Вводные'!$B$239="Да",MeanMinAge11+'19_Расчет_аналитики'!AU2584*SUMIF(ThresholdAge11,"&lt;"&amp;'19_Расчет_аналитики'!AU2584,WeightedRevAge11)-SUMIF(ThresholdAge11,"&lt;"&amp;'19_Расчет_аналитики'!AU2584,WeightedMinAge11),MAX(CapacityAge11*'01_Вводные'!$B$218*'19_Расчет_аналитики'!AU2584,MeanMinAge11)))</f>
        <v/>
      </c>
      <c r="AV2526">
        <f>IF(OR(('19_Расчет_аналитики'!AV2442-'19_Расчет_аналитики'!AV2470)=0,11&lt;='01_Вводные'!$B$297),0,('19_Расчет_аналитики'!AV2442-'19_Расчет_аналитики'!AV2470)*IF('01_Вводные'!$B$239="Да",MeanMinAge11+'19_Расчет_аналитики'!AV2584*SUMIF(ThresholdAge11,"&lt;"&amp;'19_Расчет_аналитики'!AV2584,WeightedRevAge11)-SUMIF(ThresholdAge11,"&lt;"&amp;'19_Расчет_аналитики'!AV2584,WeightedMinAge11),MAX(CapacityAge11*'01_Вводные'!$B$218*'19_Расчет_аналитики'!AV2584,MeanMinAge11)))</f>
        <v/>
      </c>
      <c r="AW2526">
        <f>IF(OR(('19_Расчет_аналитики'!AW2442-'19_Расчет_аналитики'!AW2470)=0,11&lt;='01_Вводные'!$B$297),0,('19_Расчет_аналитики'!AW2442-'19_Расчет_аналитики'!AW2470)*IF('01_Вводные'!$B$239="Да",MeanMinAge11+'19_Расчет_аналитики'!AW2584*SUMIF(ThresholdAge11,"&lt;"&amp;'19_Расчет_аналитики'!AW2584,WeightedRevAge11)-SUMIF(ThresholdAge11,"&lt;"&amp;'19_Расчет_аналитики'!AW2584,WeightedMinAge11),MAX(CapacityAge11*'01_Вводные'!$B$218*'19_Расчет_аналитики'!AW2584,MeanMinAge11)))</f>
        <v/>
      </c>
      <c r="AX2526">
        <f>IF(OR(('19_Расчет_аналитики'!AX2442-'19_Расчет_аналитики'!AX2470)=0,11&lt;='01_Вводные'!$B$297),0,('19_Расчет_аналитики'!AX2442-'19_Расчет_аналитики'!AX2470)*IF('01_Вводные'!$B$239="Да",MeanMinAge11+'19_Расчет_аналитики'!AX2584*SUMIF(ThresholdAge11,"&lt;"&amp;'19_Расчет_аналитики'!AX2584,WeightedRevAge11)-SUMIF(ThresholdAge11,"&lt;"&amp;'19_Расчет_аналитики'!AX2584,WeightedMinAge11),MAX(CapacityAge11*'01_Вводные'!$B$218*'19_Расчет_аналитики'!AX2584,MeanMinAge11)))</f>
        <v/>
      </c>
      <c r="AY2526">
        <f>IF(OR(('19_Расчет_аналитики'!AY2442-'19_Расчет_аналитики'!AY2470)=0,11&lt;='01_Вводные'!$B$297),0,('19_Расчет_аналитики'!AY2442-'19_Расчет_аналитики'!AY2470)*IF('01_Вводные'!$B$239="Да",MeanMinAge11+'19_Расчет_аналитики'!AY2584*SUMIF(ThresholdAge11,"&lt;"&amp;'19_Расчет_аналитики'!AY2584,WeightedRevAge11)-SUMIF(ThresholdAge11,"&lt;"&amp;'19_Расчет_аналитики'!AY2584,WeightedMinAge11),MAX(CapacityAge11*'01_Вводные'!$B$218*'19_Расчет_аналитики'!AY2584,MeanMinAge11)))</f>
        <v/>
      </c>
      <c r="AZ2526">
        <f>IF(OR(('19_Расчет_аналитики'!AZ2442-'19_Расчет_аналитики'!AZ2470)=0,11&lt;='01_Вводные'!$B$297),0,('19_Расчет_аналитики'!AZ2442-'19_Расчет_аналитики'!AZ2470)*IF('01_Вводные'!$B$239="Да",MeanMinAge11+'19_Расчет_аналитики'!AZ2584*SUMIF(ThresholdAge11,"&lt;"&amp;'19_Расчет_аналитики'!AZ2584,WeightedRevAge11)-SUMIF(ThresholdAge11,"&lt;"&amp;'19_Расчет_аналитики'!AZ2584,WeightedMinAge11),MAX(CapacityAge11*'01_Вводные'!$B$218*'19_Расчет_аналитики'!AZ2584,MeanMinAge11)))</f>
        <v/>
      </c>
      <c r="BA2526">
        <f>IF(OR(('19_Расчет_аналитики'!BA2442-'19_Расчет_аналитики'!BA2470)=0,11&lt;='01_Вводные'!$B$297),0,('19_Расчет_аналитики'!BA2442-'19_Расчет_аналитики'!BA2470)*IF('01_Вводные'!$B$239="Да",MeanMinAge11+'19_Расчет_аналитики'!BA2584*SUMIF(ThresholdAge11,"&lt;"&amp;'19_Расчет_аналитики'!BA2584,WeightedRevAge11)-SUMIF(ThresholdAge11,"&lt;"&amp;'19_Расчет_аналитики'!BA2584,WeightedMinAge11),MAX(CapacityAge11*'01_Вводные'!$B$218*'19_Расчет_аналитики'!BA2584,MeanMinAge11)))</f>
        <v/>
      </c>
      <c r="BB2526">
        <f>IF(OR(('19_Расчет_аналитики'!BB2442-'19_Расчет_аналитики'!BB2470)=0,11&lt;='01_Вводные'!$B$297),0,('19_Расчет_аналитики'!BB2442-'19_Расчет_аналитики'!BB2470)*IF('01_Вводные'!$B$239="Да",MeanMinAge11+'19_Расчет_аналитики'!BB2584*SUMIF(ThresholdAge11,"&lt;"&amp;'19_Расчет_аналитики'!BB2584,WeightedRevAge11)-SUMIF(ThresholdAge11,"&lt;"&amp;'19_Расчет_аналитики'!BB2584,WeightedMinAge11),MAX(CapacityAge11*'01_Вводные'!$B$218*'19_Расчет_аналитики'!BB2584,MeanMinAge11)))</f>
        <v/>
      </c>
      <c r="BC2526">
        <f>IF(OR(('19_Расчет_аналитики'!BC2442-'19_Расчет_аналитики'!BC2470)=0,11&lt;='01_Вводные'!$B$297),0,('19_Расчет_аналитики'!BC2442-'19_Расчет_аналитики'!BC2470)*IF('01_Вводные'!$B$239="Да",MeanMinAge11+'19_Расчет_аналитики'!BC2584*SUMIF(ThresholdAge11,"&lt;"&amp;'19_Расчет_аналитики'!BC2584,WeightedRevAge11)-SUMIF(ThresholdAge11,"&lt;"&amp;'19_Расчет_аналитики'!BC2584,WeightedMinAge11),MAX(CapacityAge11*'01_Вводные'!$B$218*'19_Расчет_аналитики'!BC2584,MeanMinAge11)))</f>
        <v/>
      </c>
      <c r="BD2526">
        <f>IF(OR(('19_Расчет_аналитики'!BD2442-'19_Расчет_аналитики'!BD2470)=0,11&lt;='01_Вводные'!$B$297),0,('19_Расчет_аналитики'!BD2442-'19_Расчет_аналитики'!BD2470)*IF('01_Вводные'!$B$239="Да",MeanMinAge11+'19_Расчет_аналитики'!BD2584*SUMIF(ThresholdAge11,"&lt;"&amp;'19_Расчет_аналитики'!BD2584,WeightedRevAge11)-SUMIF(ThresholdAge11,"&lt;"&amp;'19_Расчет_аналитики'!BD2584,WeightedMinAge11),MAX(CapacityAge11*'01_Вводные'!$B$218*'19_Расчет_аналитики'!BD2584,MeanMinAge11)))</f>
        <v/>
      </c>
      <c r="BE2526">
        <f>IF(OR(('19_Расчет_аналитики'!BE2442-'19_Расчет_аналитики'!BE2470)=0,11&lt;='01_Вводные'!$B$297),0,('19_Расчет_аналитики'!BE2442-'19_Расчет_аналитики'!BE2470)*IF('01_Вводные'!$B$239="Да",MeanMinAge11+'19_Расчет_аналитики'!BE2584*SUMIF(ThresholdAge11,"&lt;"&amp;'19_Расчет_аналитики'!BE2584,WeightedRevAge11)-SUMIF(ThresholdAge11,"&lt;"&amp;'19_Расчет_аналитики'!BE2584,WeightedMinAge11),MAX(CapacityAge11*'01_Вводные'!$B$218*'19_Расчет_аналитики'!BE2584,MeanMinAge11)))</f>
        <v/>
      </c>
      <c r="BF2526">
        <f>IF(OR(('19_Расчет_аналитики'!BF2442-'19_Расчет_аналитики'!BF2470)=0,11&lt;='01_Вводные'!$B$297),0,('19_Расчет_аналитики'!BF2442-'19_Расчет_аналитики'!BF2470)*IF('01_Вводные'!$B$239="Да",MeanMinAge11+'19_Расчет_аналитики'!BF2584*SUMIF(ThresholdAge11,"&lt;"&amp;'19_Расчет_аналитики'!BF2584,WeightedRevAge11)-SUMIF(ThresholdAge11,"&lt;"&amp;'19_Расчет_аналитики'!BF2584,WeightedMinAge11),MAX(CapacityAge11*'01_Вводные'!$B$218*'19_Расчет_аналитики'!BF2584,MeanMinAge11)))</f>
        <v/>
      </c>
      <c r="BG2526">
        <f>IF(OR(('19_Расчет_аналитики'!BG2442-'19_Расчет_аналитики'!BG2470)=0,11&lt;='01_Вводные'!$B$297),0,('19_Расчет_аналитики'!BG2442-'19_Расчет_аналитики'!BG2470)*IF('01_Вводные'!$B$239="Да",MeanMinAge11+'19_Расчет_аналитики'!BG2584*SUMIF(ThresholdAge11,"&lt;"&amp;'19_Расчет_аналитики'!BG2584,WeightedRevAge11)-SUMIF(ThresholdAge11,"&lt;"&amp;'19_Расчет_аналитики'!BG2584,WeightedMinAge11),MAX(CapacityAge11*'01_Вводные'!$B$218*'19_Расчет_аналитики'!BG2584,MeanMinAge11)))</f>
        <v/>
      </c>
      <c r="BH2526">
        <f>IF(OR(('19_Расчет_аналитики'!BH2442-'19_Расчет_аналитики'!BH2470)=0,11&lt;='01_Вводные'!$B$297),0,('19_Расчет_аналитики'!BH2442-'19_Расчет_аналитики'!BH2470)*IF('01_Вводные'!$B$239="Да",MeanMinAge11+'19_Расчет_аналитики'!BH2584*SUMIF(ThresholdAge11,"&lt;"&amp;'19_Расчет_аналитики'!BH2584,WeightedRevAge11)-SUMIF(ThresholdAge11,"&lt;"&amp;'19_Расчет_аналитики'!BH2584,WeightedMinAge11),MAX(CapacityAge11*'01_Вводные'!$B$218*'19_Расчет_аналитики'!BH2584,MeanMinAge11)))</f>
        <v/>
      </c>
      <c r="BI2526">
        <f>IF(OR(('19_Расчет_аналитики'!BI2442-'19_Расчет_аналитики'!BI2470)=0,11&lt;='01_Вводные'!$B$297),0,('19_Расчет_аналитики'!BI2442-'19_Расчет_аналитики'!BI2470)*IF('01_Вводные'!$B$239="Да",MeanMinAge11+'19_Расчет_аналитики'!BI2584*SUMIF(ThresholdAge11,"&lt;"&amp;'19_Расчет_аналитики'!BI2584,WeightedRevAge11)-SUMIF(ThresholdAge11,"&lt;"&amp;'19_Расчет_аналитики'!BI2584,WeightedMinAge11),MAX(CapacityAge11*'01_Вводные'!$B$218*'19_Расчет_аналитики'!BI2584,MeanMinAge11)))</f>
        <v/>
      </c>
      <c r="BJ2526">
        <f>IF(OR(('19_Расчет_аналитики'!BJ2442-'19_Расчет_аналитики'!BJ2470)=0,11&lt;='01_Вводные'!$B$297),0,('19_Расчет_аналитики'!BJ2442-'19_Расчет_аналитики'!BJ2470)*IF('01_Вводные'!$B$239="Да",MeanMinAge11+'19_Расчет_аналитики'!BJ2584*SUMIF(ThresholdAge11,"&lt;"&amp;'19_Расчет_аналитики'!BJ2584,WeightedRevAge11)-SUMIF(ThresholdAge11,"&lt;"&amp;'19_Расчет_аналитики'!BJ2584,WeightedMinAge11),MAX(CapacityAge11*'01_Вводные'!$B$218*'19_Расчет_аналитики'!BJ2584,MeanMinAge11)))</f>
        <v/>
      </c>
      <c r="BK2526">
        <f>IF(OR(('19_Расчет_аналитики'!BK2442-'19_Расчет_аналитики'!BK2470)=0,11&lt;='01_Вводные'!$B$297),0,('19_Расчет_аналитики'!BK2442-'19_Расчет_аналитики'!BK2470)*IF('01_Вводные'!$B$239="Да",MeanMinAge11+'19_Расчет_аналитики'!BK2584*SUMIF(ThresholdAge11,"&lt;"&amp;'19_Расчет_аналитики'!BK2584,WeightedRevAge11)-SUMIF(ThresholdAge11,"&lt;"&amp;'19_Расчет_аналитики'!BK2584,WeightedMinAge11),MAX(CapacityAge11*'01_Вводные'!$B$218*'19_Расчет_аналитики'!BK2584,MeanMinAge11)))</f>
        <v/>
      </c>
      <c r="BL2526">
        <f>IF(OR(('19_Расчет_аналитики'!BL2442-'19_Расчет_аналитики'!BL2470)=0,11&lt;='01_Вводные'!$B$297),0,('19_Расчет_аналитики'!BL2442-'19_Расчет_аналитики'!BL2470)*IF('01_Вводные'!$B$239="Да",MeanMinAge11+'19_Расчет_аналитики'!BL2584*SUMIF(ThresholdAge11,"&lt;"&amp;'19_Расчет_аналитики'!BL2584,WeightedRevAge11)-SUMIF(ThresholdAge11,"&lt;"&amp;'19_Расчет_аналитики'!BL2584,WeightedMinAge11),MAX(CapacityAge11*'01_Вводные'!$B$218*'19_Расчет_аналитики'!BL2584,MeanMinAge11)))</f>
        <v/>
      </c>
      <c r="BM2526">
        <f>IF(OR(('19_Расчет_аналитики'!BM2442-'19_Расчет_аналитики'!BM2470)=0,11&lt;='01_Вводные'!$B$297),0,('19_Расчет_аналитики'!BM2442-'19_Расчет_аналитики'!BM2470)*IF('01_Вводные'!$B$239="Да",MeanMinAge11+'19_Расчет_аналитики'!BM2584*SUMIF(ThresholdAge11,"&lt;"&amp;'19_Расчет_аналитики'!BM2584,WeightedRevAge11)-SUMIF(ThresholdAge11,"&lt;"&amp;'19_Расчет_аналитики'!BM2584,WeightedMinAge11),MAX(CapacityAge11*'01_Вводные'!$B$218*'19_Расчет_аналитики'!BM2584,MeanMinAge11)))</f>
        <v/>
      </c>
      <c r="BN2526">
        <f>IF(OR(('19_Расчет_аналитики'!BN2442-'19_Расчет_аналитики'!BN2470)=0,11&lt;='01_Вводные'!$B$297),0,('19_Расчет_аналитики'!BN2442-'19_Расчет_аналитики'!BN2470)*IF('01_Вводные'!$B$239="Да",MeanMinAge11+'19_Расчет_аналитики'!BN2584*SUMIF(ThresholdAge11,"&lt;"&amp;'19_Расчет_аналитики'!BN2584,WeightedRevAge11)-SUMIF(ThresholdAge11,"&lt;"&amp;'19_Расчет_аналитики'!BN2584,WeightedMinAge11),MAX(CapacityAge11*'01_Вводные'!$B$218*'19_Расчет_аналитики'!BN2584,MeanMinAge11)))</f>
        <v/>
      </c>
      <c r="BO2526">
        <f>IF(OR(('19_Расчет_аналитики'!BO2442-'19_Расчет_аналитики'!BO2470)=0,11&lt;='01_Вводные'!$B$297),0,('19_Расчет_аналитики'!BO2442-'19_Расчет_аналитики'!BO2470)*IF('01_Вводные'!$B$239="Да",MeanMinAge11+'19_Расчет_аналитики'!BO2584*SUMIF(ThresholdAge11,"&lt;"&amp;'19_Расчет_аналитики'!BO2584,WeightedRevAge11)-SUMIF(ThresholdAge11,"&lt;"&amp;'19_Расчет_аналитики'!BO2584,WeightedMinAge11),MAX(CapacityAge11*'01_Вводные'!$B$218*'19_Расчет_аналитики'!BO2584,MeanMinAge11)))</f>
        <v/>
      </c>
    </row>
    <row r="2527">
      <c r="B2527">
        <f>IF(OR(('06_Сеть_и_дети'!B64-'06_Сеть_и_дети'!B92)=0,12&lt;='01_Вводные'!$B$297),0,('06_Сеть_и_дети'!B64-'06_Сеть_и_дети'!B92)*IF('01_Вводные'!$B$239="Да",MeanMinAge12+'19_Расчет_аналитики'!B2584*SUMIF(ThresholdAge12,"&lt;"&amp;'19_Расчет_аналитики'!B2584,WeightedRevAge12)-SUMIF(ThresholdAge12,"&lt;"&amp;'19_Расчет_аналитики'!B2584,WeightedMinAge12),MAX(CapacityAge12*'01_Вводные'!$B$218*'19_Расчет_аналитики'!B2584,MeanMinAge12)))</f>
        <v/>
      </c>
      <c r="C2527">
        <f>IF(OR(('06_Сеть_и_дети'!C64-'06_Сеть_и_дети'!C92)=0,12&lt;='01_Вводные'!$B$297),0,('06_Сеть_и_дети'!C64-'06_Сеть_и_дети'!C92)*IF('01_Вводные'!$B$239="Да",MeanMinAge12+'19_Расчет_аналитики'!C2584*SUMIF(ThresholdAge12,"&lt;"&amp;'19_Расчет_аналитики'!C2584,WeightedRevAge12)-SUMIF(ThresholdAge12,"&lt;"&amp;'19_Расчет_аналитики'!C2584,WeightedMinAge12),MAX(CapacityAge12*'01_Вводные'!$B$218*'19_Расчет_аналитики'!C2584,MeanMinAge12)))</f>
        <v/>
      </c>
      <c r="D2527">
        <f>IF(OR(('06_Сеть_и_дети'!D64-'06_Сеть_и_дети'!D92)=0,12&lt;='01_Вводные'!$B$297),0,('06_Сеть_и_дети'!D64-'06_Сеть_и_дети'!D92)*IF('01_Вводные'!$B$239="Да",MeanMinAge12+'19_Расчет_аналитики'!D2584*SUMIF(ThresholdAge12,"&lt;"&amp;'19_Расчет_аналитики'!D2584,WeightedRevAge12)-SUMIF(ThresholdAge12,"&lt;"&amp;'19_Расчет_аналитики'!D2584,WeightedMinAge12),MAX(CapacityAge12*'01_Вводные'!$B$218*'19_Расчет_аналитики'!D2584,MeanMinAge12)))</f>
        <v/>
      </c>
      <c r="E2527">
        <f>IF(OR(('06_Сеть_и_дети'!E64-'06_Сеть_и_дети'!E92)=0,12&lt;='01_Вводные'!$B$297),0,('06_Сеть_и_дети'!E64-'06_Сеть_и_дети'!E92)*IF('01_Вводные'!$B$239="Да",MeanMinAge12+'19_Расчет_аналитики'!E2584*SUMIF(ThresholdAge12,"&lt;"&amp;'19_Расчет_аналитики'!E2584,WeightedRevAge12)-SUMIF(ThresholdAge12,"&lt;"&amp;'19_Расчет_аналитики'!E2584,WeightedMinAge12),MAX(CapacityAge12*'01_Вводные'!$B$218*'19_Расчет_аналитики'!E2584,MeanMinAge12)))</f>
        <v/>
      </c>
      <c r="F2527">
        <f>IF(OR(('06_Сеть_и_дети'!F64-'06_Сеть_и_дети'!F92)=0,12&lt;='01_Вводные'!$B$297),0,('06_Сеть_и_дети'!F64-'06_Сеть_и_дети'!F92)*IF('01_Вводные'!$B$239="Да",MeanMinAge12+'19_Расчет_аналитики'!F2584*SUMIF(ThresholdAge12,"&lt;"&amp;'19_Расчет_аналитики'!F2584,WeightedRevAge12)-SUMIF(ThresholdAge12,"&lt;"&amp;'19_Расчет_аналитики'!F2584,WeightedMinAge12),MAX(CapacityAge12*'01_Вводные'!$B$218*'19_Расчет_аналитики'!F2584,MeanMinAge12)))</f>
        <v/>
      </c>
      <c r="G2527">
        <f>IF(OR(('06_Сеть_и_дети'!G64-'06_Сеть_и_дети'!G92)=0,12&lt;='01_Вводные'!$B$297),0,('06_Сеть_и_дети'!G64-'06_Сеть_и_дети'!G92)*IF('01_Вводные'!$B$239="Да",MeanMinAge12+'19_Расчет_аналитики'!G2584*SUMIF(ThresholdAge12,"&lt;"&amp;'19_Расчет_аналитики'!G2584,WeightedRevAge12)-SUMIF(ThresholdAge12,"&lt;"&amp;'19_Расчет_аналитики'!G2584,WeightedMinAge12),MAX(CapacityAge12*'01_Вводные'!$B$218*'19_Расчет_аналитики'!G2584,MeanMinAge12)))</f>
        <v/>
      </c>
      <c r="H2527">
        <f>IF(OR(('06_Сеть_и_дети'!H64-'06_Сеть_и_дети'!H92)=0,12&lt;='01_Вводные'!$B$297),0,('06_Сеть_и_дети'!H64-'06_Сеть_и_дети'!H92)*IF('01_Вводные'!$B$239="Да",MeanMinAge12+'19_Расчет_аналитики'!H2584*SUMIF(ThresholdAge12,"&lt;"&amp;'19_Расчет_аналитики'!H2584,WeightedRevAge12)-SUMIF(ThresholdAge12,"&lt;"&amp;'19_Расчет_аналитики'!H2584,WeightedMinAge12),MAX(CapacityAge12*'01_Вводные'!$B$218*'19_Расчет_аналитики'!H2584,MeanMinAge12)))</f>
        <v/>
      </c>
      <c r="I2527">
        <f>IF(OR(('06_Сеть_и_дети'!I64-'06_Сеть_и_дети'!I92)=0,12&lt;='01_Вводные'!$B$297),0,('06_Сеть_и_дети'!I64-'06_Сеть_и_дети'!I92)*IF('01_Вводные'!$B$239="Да",MeanMinAge12+'19_Расчет_аналитики'!I2584*SUMIF(ThresholdAge12,"&lt;"&amp;'19_Расчет_аналитики'!I2584,WeightedRevAge12)-SUMIF(ThresholdAge12,"&lt;"&amp;'19_Расчет_аналитики'!I2584,WeightedMinAge12),MAX(CapacityAge12*'01_Вводные'!$B$218*'19_Расчет_аналитики'!I2584,MeanMinAge12)))</f>
        <v/>
      </c>
      <c r="J2527">
        <f>IF(OR(('06_Сеть_и_дети'!J64-'06_Сеть_и_дети'!J92)=0,12&lt;='01_Вводные'!$B$297),0,('06_Сеть_и_дети'!J64-'06_Сеть_и_дети'!J92)*IF('01_Вводные'!$B$239="Да",MeanMinAge12+'19_Расчет_аналитики'!J2584*SUMIF(ThresholdAge12,"&lt;"&amp;'19_Расчет_аналитики'!J2584,WeightedRevAge12)-SUMIF(ThresholdAge12,"&lt;"&amp;'19_Расчет_аналитики'!J2584,WeightedMinAge12),MAX(CapacityAge12*'01_Вводные'!$B$218*'19_Расчет_аналитики'!J2584,MeanMinAge12)))</f>
        <v/>
      </c>
      <c r="K2527">
        <f>IF(OR(('06_Сеть_и_дети'!K64-'06_Сеть_и_дети'!K92)=0,12&lt;='01_Вводные'!$B$297),0,('06_Сеть_и_дети'!K64-'06_Сеть_и_дети'!K92)*IF('01_Вводные'!$B$239="Да",MeanMinAge12+'19_Расчет_аналитики'!K2584*SUMIF(ThresholdAge12,"&lt;"&amp;'19_Расчет_аналитики'!K2584,WeightedRevAge12)-SUMIF(ThresholdAge12,"&lt;"&amp;'19_Расчет_аналитики'!K2584,WeightedMinAge12),MAX(CapacityAge12*'01_Вводные'!$B$218*'19_Расчет_аналитики'!K2584,MeanMinAge12)))</f>
        <v/>
      </c>
      <c r="L2527">
        <f>IF(OR(('06_Сеть_и_дети'!L64-'06_Сеть_и_дети'!L92)=0,12&lt;='01_Вводные'!$B$297),0,('06_Сеть_и_дети'!L64-'06_Сеть_и_дети'!L92)*IF('01_Вводные'!$B$239="Да",MeanMinAge12+'19_Расчет_аналитики'!L2584*SUMIF(ThresholdAge12,"&lt;"&amp;'19_Расчет_аналитики'!L2584,WeightedRevAge12)-SUMIF(ThresholdAge12,"&lt;"&amp;'19_Расчет_аналитики'!L2584,WeightedMinAge12),MAX(CapacityAge12*'01_Вводные'!$B$218*'19_Расчет_аналитики'!L2584,MeanMinAge12)))</f>
        <v/>
      </c>
      <c r="M2527">
        <f>IF(OR(('19_Расчет_аналитики'!M2443-'19_Расчет_аналитики'!M2471)=0,12&lt;='01_Вводные'!$B$297),0,('19_Расчет_аналитики'!M2443-'19_Расчет_аналитики'!M2471)*IF('01_Вводные'!$B$239="Да",MeanMinAge12+'19_Расчет_аналитики'!M2584*SUMIF(ThresholdAge12,"&lt;"&amp;'19_Расчет_аналитики'!M2584,WeightedRevAge12)-SUMIF(ThresholdAge12,"&lt;"&amp;'19_Расчет_аналитики'!M2584,WeightedMinAge12),MAX(CapacityAge12*'01_Вводные'!$B$218*'19_Расчет_аналитики'!M2584,MeanMinAge12)))</f>
        <v/>
      </c>
      <c r="N2527">
        <f>IF(OR(('19_Расчет_аналитики'!N2443-'19_Расчет_аналитики'!N2471)=0,12&lt;='01_Вводные'!$B$297),0,('19_Расчет_аналитики'!N2443-'19_Расчет_аналитики'!N2471)*IF('01_Вводные'!$B$239="Да",MeanMinAge12+'19_Расчет_аналитики'!N2584*SUMIF(ThresholdAge12,"&lt;"&amp;'19_Расчет_аналитики'!N2584,WeightedRevAge12)-SUMIF(ThresholdAge12,"&lt;"&amp;'19_Расчет_аналитики'!N2584,WeightedMinAge12),MAX(CapacityAge12*'01_Вводные'!$B$218*'19_Расчет_аналитики'!N2584,MeanMinAge12)))</f>
        <v/>
      </c>
      <c r="O2527">
        <f>IF(OR(('19_Расчет_аналитики'!O2443-'19_Расчет_аналитики'!O2471)=0,12&lt;='01_Вводные'!$B$297),0,('19_Расчет_аналитики'!O2443-'19_Расчет_аналитики'!O2471)*IF('01_Вводные'!$B$239="Да",MeanMinAge12+'19_Расчет_аналитики'!O2584*SUMIF(ThresholdAge12,"&lt;"&amp;'19_Расчет_аналитики'!O2584,WeightedRevAge12)-SUMIF(ThresholdAge12,"&lt;"&amp;'19_Расчет_аналитики'!O2584,WeightedMinAge12),MAX(CapacityAge12*'01_Вводные'!$B$218*'19_Расчет_аналитики'!O2584,MeanMinAge12)))</f>
        <v/>
      </c>
      <c r="P2527">
        <f>IF(OR(('19_Расчет_аналитики'!P2443-'19_Расчет_аналитики'!P2471)=0,12&lt;='01_Вводные'!$B$297),0,('19_Расчет_аналитики'!P2443-'19_Расчет_аналитики'!P2471)*IF('01_Вводные'!$B$239="Да",MeanMinAge12+'19_Расчет_аналитики'!P2584*SUMIF(ThresholdAge12,"&lt;"&amp;'19_Расчет_аналитики'!P2584,WeightedRevAge12)-SUMIF(ThresholdAge12,"&lt;"&amp;'19_Расчет_аналитики'!P2584,WeightedMinAge12),MAX(CapacityAge12*'01_Вводные'!$B$218*'19_Расчет_аналитики'!P2584,MeanMinAge12)))</f>
        <v/>
      </c>
      <c r="Q2527">
        <f>IF(OR(('19_Расчет_аналитики'!Q2443-'19_Расчет_аналитики'!Q2471)=0,12&lt;='01_Вводные'!$B$297),0,('19_Расчет_аналитики'!Q2443-'19_Расчет_аналитики'!Q2471)*IF('01_Вводные'!$B$239="Да",MeanMinAge12+'19_Расчет_аналитики'!Q2584*SUMIF(ThresholdAge12,"&lt;"&amp;'19_Расчет_аналитики'!Q2584,WeightedRevAge12)-SUMIF(ThresholdAge12,"&lt;"&amp;'19_Расчет_аналитики'!Q2584,WeightedMinAge12),MAX(CapacityAge12*'01_Вводные'!$B$218*'19_Расчет_аналитики'!Q2584,MeanMinAge12)))</f>
        <v/>
      </c>
      <c r="R2527">
        <f>IF(OR(('19_Расчет_аналитики'!R2443-'19_Расчет_аналитики'!R2471)=0,12&lt;='01_Вводные'!$B$297),0,('19_Расчет_аналитики'!R2443-'19_Расчет_аналитики'!R2471)*IF('01_Вводные'!$B$239="Да",MeanMinAge12+'19_Расчет_аналитики'!R2584*SUMIF(ThresholdAge12,"&lt;"&amp;'19_Расчет_аналитики'!R2584,WeightedRevAge12)-SUMIF(ThresholdAge12,"&lt;"&amp;'19_Расчет_аналитики'!R2584,WeightedMinAge12),MAX(CapacityAge12*'01_Вводные'!$B$218*'19_Расчет_аналитики'!R2584,MeanMinAge12)))</f>
        <v/>
      </c>
      <c r="S2527">
        <f>IF(OR(('19_Расчет_аналитики'!S2443-'19_Расчет_аналитики'!S2471)=0,12&lt;='01_Вводные'!$B$297),0,('19_Расчет_аналитики'!S2443-'19_Расчет_аналитики'!S2471)*IF('01_Вводные'!$B$239="Да",MeanMinAge12+'19_Расчет_аналитики'!S2584*SUMIF(ThresholdAge12,"&lt;"&amp;'19_Расчет_аналитики'!S2584,WeightedRevAge12)-SUMIF(ThresholdAge12,"&lt;"&amp;'19_Расчет_аналитики'!S2584,WeightedMinAge12),MAX(CapacityAge12*'01_Вводные'!$B$218*'19_Расчет_аналитики'!S2584,MeanMinAge12)))</f>
        <v/>
      </c>
      <c r="T2527">
        <f>IF(OR(('19_Расчет_аналитики'!T2443-'19_Расчет_аналитики'!T2471)=0,12&lt;='01_Вводные'!$B$297),0,('19_Расчет_аналитики'!T2443-'19_Расчет_аналитики'!T2471)*IF('01_Вводные'!$B$239="Да",MeanMinAge12+'19_Расчет_аналитики'!T2584*SUMIF(ThresholdAge12,"&lt;"&amp;'19_Расчет_аналитики'!T2584,WeightedRevAge12)-SUMIF(ThresholdAge12,"&lt;"&amp;'19_Расчет_аналитики'!T2584,WeightedMinAge12),MAX(CapacityAge12*'01_Вводные'!$B$218*'19_Расчет_аналитики'!T2584,MeanMinAge12)))</f>
        <v/>
      </c>
      <c r="U2527">
        <f>IF(OR(('19_Расчет_аналитики'!U2443-'19_Расчет_аналитики'!U2471)=0,12&lt;='01_Вводные'!$B$297),0,('19_Расчет_аналитики'!U2443-'19_Расчет_аналитики'!U2471)*IF('01_Вводные'!$B$239="Да",MeanMinAge12+'19_Расчет_аналитики'!U2584*SUMIF(ThresholdAge12,"&lt;"&amp;'19_Расчет_аналитики'!U2584,WeightedRevAge12)-SUMIF(ThresholdAge12,"&lt;"&amp;'19_Расчет_аналитики'!U2584,WeightedMinAge12),MAX(CapacityAge12*'01_Вводные'!$B$218*'19_Расчет_аналитики'!U2584,MeanMinAge12)))</f>
        <v/>
      </c>
      <c r="V2527">
        <f>IF(OR(('19_Расчет_аналитики'!V2443-'19_Расчет_аналитики'!V2471)=0,12&lt;='01_Вводные'!$B$297),0,('19_Расчет_аналитики'!V2443-'19_Расчет_аналитики'!V2471)*IF('01_Вводные'!$B$239="Да",MeanMinAge12+'19_Расчет_аналитики'!V2584*SUMIF(ThresholdAge12,"&lt;"&amp;'19_Расчет_аналитики'!V2584,WeightedRevAge12)-SUMIF(ThresholdAge12,"&lt;"&amp;'19_Расчет_аналитики'!V2584,WeightedMinAge12),MAX(CapacityAge12*'01_Вводные'!$B$218*'19_Расчет_аналитики'!V2584,MeanMinAge12)))</f>
        <v/>
      </c>
      <c r="W2527">
        <f>IF(OR(('19_Расчет_аналитики'!W2443-'19_Расчет_аналитики'!W2471)=0,12&lt;='01_Вводные'!$B$297),0,('19_Расчет_аналитики'!W2443-'19_Расчет_аналитики'!W2471)*IF('01_Вводные'!$B$239="Да",MeanMinAge12+'19_Расчет_аналитики'!W2584*SUMIF(ThresholdAge12,"&lt;"&amp;'19_Расчет_аналитики'!W2584,WeightedRevAge12)-SUMIF(ThresholdAge12,"&lt;"&amp;'19_Расчет_аналитики'!W2584,WeightedMinAge12),MAX(CapacityAge12*'01_Вводные'!$B$218*'19_Расчет_аналитики'!W2584,MeanMinAge12)))</f>
        <v/>
      </c>
      <c r="X2527">
        <f>IF(OR(('19_Расчет_аналитики'!X2443-'19_Расчет_аналитики'!X2471)=0,12&lt;='01_Вводные'!$B$297),0,('19_Расчет_аналитики'!X2443-'19_Расчет_аналитики'!X2471)*IF('01_Вводные'!$B$239="Да",MeanMinAge12+'19_Расчет_аналитики'!X2584*SUMIF(ThresholdAge12,"&lt;"&amp;'19_Расчет_аналитики'!X2584,WeightedRevAge12)-SUMIF(ThresholdAge12,"&lt;"&amp;'19_Расчет_аналитики'!X2584,WeightedMinAge12),MAX(CapacityAge12*'01_Вводные'!$B$218*'19_Расчет_аналитики'!X2584,MeanMinAge12)))</f>
        <v/>
      </c>
      <c r="Y2527">
        <f>IF(OR(('19_Расчет_аналитики'!Y2443-'19_Расчет_аналитики'!Y2471)=0,12&lt;='01_Вводные'!$B$297),0,('19_Расчет_аналитики'!Y2443-'19_Расчет_аналитики'!Y2471)*IF('01_Вводные'!$B$239="Да",MeanMinAge12+'19_Расчет_аналитики'!Y2584*SUMIF(ThresholdAge12,"&lt;"&amp;'19_Расчет_аналитики'!Y2584,WeightedRevAge12)-SUMIF(ThresholdAge12,"&lt;"&amp;'19_Расчет_аналитики'!Y2584,WeightedMinAge12),MAX(CapacityAge12*'01_Вводные'!$B$218*'19_Расчет_аналитики'!Y2584,MeanMinAge12)))</f>
        <v/>
      </c>
      <c r="Z2527">
        <f>IF(OR(('19_Расчет_аналитики'!Z2443-'19_Расчет_аналитики'!Z2471)=0,12&lt;='01_Вводные'!$B$297),0,('19_Расчет_аналитики'!Z2443-'19_Расчет_аналитики'!Z2471)*IF('01_Вводные'!$B$239="Да",MeanMinAge12+'19_Расчет_аналитики'!Z2584*SUMIF(ThresholdAge12,"&lt;"&amp;'19_Расчет_аналитики'!Z2584,WeightedRevAge12)-SUMIF(ThresholdAge12,"&lt;"&amp;'19_Расчет_аналитики'!Z2584,WeightedMinAge12),MAX(CapacityAge12*'01_Вводные'!$B$218*'19_Расчет_аналитики'!Z2584,MeanMinAge12)))</f>
        <v/>
      </c>
      <c r="AA2527">
        <f>IF(OR(('19_Расчет_аналитики'!AA2443-'19_Расчет_аналитики'!AA2471)=0,12&lt;='01_Вводные'!$B$297),0,('19_Расчет_аналитики'!AA2443-'19_Расчет_аналитики'!AA2471)*IF('01_Вводные'!$B$239="Да",MeanMinAge12+'19_Расчет_аналитики'!AA2584*SUMIF(ThresholdAge12,"&lt;"&amp;'19_Расчет_аналитики'!AA2584,WeightedRevAge12)-SUMIF(ThresholdAge12,"&lt;"&amp;'19_Расчет_аналитики'!AA2584,WeightedMinAge12),MAX(CapacityAge12*'01_Вводные'!$B$218*'19_Расчет_аналитики'!AA2584,MeanMinAge12)))</f>
        <v/>
      </c>
      <c r="AB2527">
        <f>IF(OR(('19_Расчет_аналитики'!AB2443-'19_Расчет_аналитики'!AB2471)=0,12&lt;='01_Вводные'!$B$297),0,('19_Расчет_аналитики'!AB2443-'19_Расчет_аналитики'!AB2471)*IF('01_Вводные'!$B$239="Да",MeanMinAge12+'19_Расчет_аналитики'!AB2584*SUMIF(ThresholdAge12,"&lt;"&amp;'19_Расчет_аналитики'!AB2584,WeightedRevAge12)-SUMIF(ThresholdAge12,"&lt;"&amp;'19_Расчет_аналитики'!AB2584,WeightedMinAge12),MAX(CapacityAge12*'01_Вводные'!$B$218*'19_Расчет_аналитики'!AB2584,MeanMinAge12)))</f>
        <v/>
      </c>
      <c r="AC2527">
        <f>IF(OR(('19_Расчет_аналитики'!AC2443-'19_Расчет_аналитики'!AC2471)=0,12&lt;='01_Вводные'!$B$297),0,('19_Расчет_аналитики'!AC2443-'19_Расчет_аналитики'!AC2471)*IF('01_Вводные'!$B$239="Да",MeanMinAge12+'19_Расчет_аналитики'!AC2584*SUMIF(ThresholdAge12,"&lt;"&amp;'19_Расчет_аналитики'!AC2584,WeightedRevAge12)-SUMIF(ThresholdAge12,"&lt;"&amp;'19_Расчет_аналитики'!AC2584,WeightedMinAge12),MAX(CapacityAge12*'01_Вводные'!$B$218*'19_Расчет_аналитики'!AC2584,MeanMinAge12)))</f>
        <v/>
      </c>
      <c r="AD2527">
        <f>IF(OR(('19_Расчет_аналитики'!AD2443-'19_Расчет_аналитики'!AD2471)=0,12&lt;='01_Вводные'!$B$297),0,('19_Расчет_аналитики'!AD2443-'19_Расчет_аналитики'!AD2471)*IF('01_Вводные'!$B$239="Да",MeanMinAge12+'19_Расчет_аналитики'!AD2584*SUMIF(ThresholdAge12,"&lt;"&amp;'19_Расчет_аналитики'!AD2584,WeightedRevAge12)-SUMIF(ThresholdAge12,"&lt;"&amp;'19_Расчет_аналитики'!AD2584,WeightedMinAge12),MAX(CapacityAge12*'01_Вводные'!$B$218*'19_Расчет_аналитики'!AD2584,MeanMinAge12)))</f>
        <v/>
      </c>
      <c r="AE2527">
        <f>IF(OR(('19_Расчет_аналитики'!AE2443-'19_Расчет_аналитики'!AE2471)=0,12&lt;='01_Вводные'!$B$297),0,('19_Расчет_аналитики'!AE2443-'19_Расчет_аналитики'!AE2471)*IF('01_Вводные'!$B$239="Да",MeanMinAge12+'19_Расчет_аналитики'!AE2584*SUMIF(ThresholdAge12,"&lt;"&amp;'19_Расчет_аналитики'!AE2584,WeightedRevAge12)-SUMIF(ThresholdAge12,"&lt;"&amp;'19_Расчет_аналитики'!AE2584,WeightedMinAge12),MAX(CapacityAge12*'01_Вводные'!$B$218*'19_Расчет_аналитики'!AE2584,MeanMinAge12)))</f>
        <v/>
      </c>
      <c r="AF2527">
        <f>IF(OR(('19_Расчет_аналитики'!AF2443-'19_Расчет_аналитики'!AF2471)=0,12&lt;='01_Вводные'!$B$297),0,('19_Расчет_аналитики'!AF2443-'19_Расчет_аналитики'!AF2471)*IF('01_Вводные'!$B$239="Да",MeanMinAge12+'19_Расчет_аналитики'!AF2584*SUMIF(ThresholdAge12,"&lt;"&amp;'19_Расчет_аналитики'!AF2584,WeightedRevAge12)-SUMIF(ThresholdAge12,"&lt;"&amp;'19_Расчет_аналитики'!AF2584,WeightedMinAge12),MAX(CapacityAge12*'01_Вводные'!$B$218*'19_Расчет_аналитики'!AF2584,MeanMinAge12)))</f>
        <v/>
      </c>
      <c r="AG2527">
        <f>IF(OR(('19_Расчет_аналитики'!AG2443-'19_Расчет_аналитики'!AG2471)=0,12&lt;='01_Вводные'!$B$297),0,('19_Расчет_аналитики'!AG2443-'19_Расчет_аналитики'!AG2471)*IF('01_Вводные'!$B$239="Да",MeanMinAge12+'19_Расчет_аналитики'!AG2584*SUMIF(ThresholdAge12,"&lt;"&amp;'19_Расчет_аналитики'!AG2584,WeightedRevAge12)-SUMIF(ThresholdAge12,"&lt;"&amp;'19_Расчет_аналитики'!AG2584,WeightedMinAge12),MAX(CapacityAge12*'01_Вводные'!$B$218*'19_Расчет_аналитики'!AG2584,MeanMinAge12)))</f>
        <v/>
      </c>
      <c r="AH2527">
        <f>IF(OR(('19_Расчет_аналитики'!AH2443-'19_Расчет_аналитики'!AH2471)=0,12&lt;='01_Вводные'!$B$297),0,('19_Расчет_аналитики'!AH2443-'19_Расчет_аналитики'!AH2471)*IF('01_Вводные'!$B$239="Да",MeanMinAge12+'19_Расчет_аналитики'!AH2584*SUMIF(ThresholdAge12,"&lt;"&amp;'19_Расчет_аналитики'!AH2584,WeightedRevAge12)-SUMIF(ThresholdAge12,"&lt;"&amp;'19_Расчет_аналитики'!AH2584,WeightedMinAge12),MAX(CapacityAge12*'01_Вводные'!$B$218*'19_Расчет_аналитики'!AH2584,MeanMinAge12)))</f>
        <v/>
      </c>
      <c r="AI2527">
        <f>IF(OR(('19_Расчет_аналитики'!AI2443-'19_Расчет_аналитики'!AI2471)=0,12&lt;='01_Вводные'!$B$297),0,('19_Расчет_аналитики'!AI2443-'19_Расчет_аналитики'!AI2471)*IF('01_Вводные'!$B$239="Да",MeanMinAge12+'19_Расчет_аналитики'!AI2584*SUMIF(ThresholdAge12,"&lt;"&amp;'19_Расчет_аналитики'!AI2584,WeightedRevAge12)-SUMIF(ThresholdAge12,"&lt;"&amp;'19_Расчет_аналитики'!AI2584,WeightedMinAge12),MAX(CapacityAge12*'01_Вводные'!$B$218*'19_Расчет_аналитики'!AI2584,MeanMinAge12)))</f>
        <v/>
      </c>
      <c r="AJ2527">
        <f>IF(OR(('19_Расчет_аналитики'!AJ2443-'19_Расчет_аналитики'!AJ2471)=0,12&lt;='01_Вводные'!$B$297),0,('19_Расчет_аналитики'!AJ2443-'19_Расчет_аналитики'!AJ2471)*IF('01_Вводные'!$B$239="Да",MeanMinAge12+'19_Расчет_аналитики'!AJ2584*SUMIF(ThresholdAge12,"&lt;"&amp;'19_Расчет_аналитики'!AJ2584,WeightedRevAge12)-SUMIF(ThresholdAge12,"&lt;"&amp;'19_Расчет_аналитики'!AJ2584,WeightedMinAge12),MAX(CapacityAge12*'01_Вводные'!$B$218*'19_Расчет_аналитики'!AJ2584,MeanMinAge12)))</f>
        <v/>
      </c>
      <c r="AK2527">
        <f>IF(OR(('19_Расчет_аналитики'!AK2443-'19_Расчет_аналитики'!AK2471)=0,12&lt;='01_Вводные'!$B$297),0,('19_Расчет_аналитики'!AK2443-'19_Расчет_аналитики'!AK2471)*IF('01_Вводные'!$B$239="Да",MeanMinAge12+'19_Расчет_аналитики'!AK2584*SUMIF(ThresholdAge12,"&lt;"&amp;'19_Расчет_аналитики'!AK2584,WeightedRevAge12)-SUMIF(ThresholdAge12,"&lt;"&amp;'19_Расчет_аналитики'!AK2584,WeightedMinAge12),MAX(CapacityAge12*'01_Вводные'!$B$218*'19_Расчет_аналитики'!AK2584,MeanMinAge12)))</f>
        <v/>
      </c>
      <c r="AL2527">
        <f>IF(OR(('19_Расчет_аналитики'!AL2443-'19_Расчет_аналитики'!AL2471)=0,12&lt;='01_Вводные'!$B$297),0,('19_Расчет_аналитики'!AL2443-'19_Расчет_аналитики'!AL2471)*IF('01_Вводные'!$B$239="Да",MeanMinAge12+'19_Расчет_аналитики'!AL2584*SUMIF(ThresholdAge12,"&lt;"&amp;'19_Расчет_аналитики'!AL2584,WeightedRevAge12)-SUMIF(ThresholdAge12,"&lt;"&amp;'19_Расчет_аналитики'!AL2584,WeightedMinAge12),MAX(CapacityAge12*'01_Вводные'!$B$218*'19_Расчет_аналитики'!AL2584,MeanMinAge12)))</f>
        <v/>
      </c>
      <c r="AM2527">
        <f>IF(OR(('19_Расчет_аналитики'!AM2443-'19_Расчет_аналитики'!AM2471)=0,12&lt;='01_Вводные'!$B$297),0,('19_Расчет_аналитики'!AM2443-'19_Расчет_аналитики'!AM2471)*IF('01_Вводные'!$B$239="Да",MeanMinAge12+'19_Расчет_аналитики'!AM2584*SUMIF(ThresholdAge12,"&lt;"&amp;'19_Расчет_аналитики'!AM2584,WeightedRevAge12)-SUMIF(ThresholdAge12,"&lt;"&amp;'19_Расчет_аналитики'!AM2584,WeightedMinAge12),MAX(CapacityAge12*'01_Вводные'!$B$218*'19_Расчет_аналитики'!AM2584,MeanMinAge12)))</f>
        <v/>
      </c>
      <c r="AN2527">
        <f>IF(OR(('19_Расчет_аналитики'!AN2443-'19_Расчет_аналитики'!AN2471)=0,12&lt;='01_Вводные'!$B$297),0,('19_Расчет_аналитики'!AN2443-'19_Расчет_аналитики'!AN2471)*IF('01_Вводные'!$B$239="Да",MeanMinAge12+'19_Расчет_аналитики'!AN2584*SUMIF(ThresholdAge12,"&lt;"&amp;'19_Расчет_аналитики'!AN2584,WeightedRevAge12)-SUMIF(ThresholdAge12,"&lt;"&amp;'19_Расчет_аналитики'!AN2584,WeightedMinAge12),MAX(CapacityAge12*'01_Вводные'!$B$218*'19_Расчет_аналитики'!AN2584,MeanMinAge12)))</f>
        <v/>
      </c>
      <c r="AO2527">
        <f>IF(OR(('19_Расчет_аналитики'!AO2443-'19_Расчет_аналитики'!AO2471)=0,12&lt;='01_Вводные'!$B$297),0,('19_Расчет_аналитики'!AO2443-'19_Расчет_аналитики'!AO2471)*IF('01_Вводные'!$B$239="Да",MeanMinAge12+'19_Расчет_аналитики'!AO2584*SUMIF(ThresholdAge12,"&lt;"&amp;'19_Расчет_аналитики'!AO2584,WeightedRevAge12)-SUMIF(ThresholdAge12,"&lt;"&amp;'19_Расчет_аналитики'!AO2584,WeightedMinAge12),MAX(CapacityAge12*'01_Вводные'!$B$218*'19_Расчет_аналитики'!AO2584,MeanMinAge12)))</f>
        <v/>
      </c>
      <c r="AP2527">
        <f>IF(OR(('19_Расчет_аналитики'!AP2443-'19_Расчет_аналитики'!AP2471)=0,12&lt;='01_Вводные'!$B$297),0,('19_Расчет_аналитики'!AP2443-'19_Расчет_аналитики'!AP2471)*IF('01_Вводные'!$B$239="Да",MeanMinAge12+'19_Расчет_аналитики'!AP2584*SUMIF(ThresholdAge12,"&lt;"&amp;'19_Расчет_аналитики'!AP2584,WeightedRevAge12)-SUMIF(ThresholdAge12,"&lt;"&amp;'19_Расчет_аналитики'!AP2584,WeightedMinAge12),MAX(CapacityAge12*'01_Вводные'!$B$218*'19_Расчет_аналитики'!AP2584,MeanMinAge12)))</f>
        <v/>
      </c>
      <c r="AQ2527">
        <f>IF(OR(('19_Расчет_аналитики'!AQ2443-'19_Расчет_аналитики'!AQ2471)=0,12&lt;='01_Вводные'!$B$297),0,('19_Расчет_аналитики'!AQ2443-'19_Расчет_аналитики'!AQ2471)*IF('01_Вводные'!$B$239="Да",MeanMinAge12+'19_Расчет_аналитики'!AQ2584*SUMIF(ThresholdAge12,"&lt;"&amp;'19_Расчет_аналитики'!AQ2584,WeightedRevAge12)-SUMIF(ThresholdAge12,"&lt;"&amp;'19_Расчет_аналитики'!AQ2584,WeightedMinAge12),MAX(CapacityAge12*'01_Вводные'!$B$218*'19_Расчет_аналитики'!AQ2584,MeanMinAge12)))</f>
        <v/>
      </c>
      <c r="AR2527">
        <f>IF(OR(('19_Расчет_аналитики'!AR2443-'19_Расчет_аналитики'!AR2471)=0,12&lt;='01_Вводные'!$B$297),0,('19_Расчет_аналитики'!AR2443-'19_Расчет_аналитики'!AR2471)*IF('01_Вводные'!$B$239="Да",MeanMinAge12+'19_Расчет_аналитики'!AR2584*SUMIF(ThresholdAge12,"&lt;"&amp;'19_Расчет_аналитики'!AR2584,WeightedRevAge12)-SUMIF(ThresholdAge12,"&lt;"&amp;'19_Расчет_аналитики'!AR2584,WeightedMinAge12),MAX(CapacityAge12*'01_Вводные'!$B$218*'19_Расчет_аналитики'!AR2584,MeanMinAge12)))</f>
        <v/>
      </c>
      <c r="AS2527">
        <f>IF(OR(('19_Расчет_аналитики'!AS2443-'19_Расчет_аналитики'!AS2471)=0,12&lt;='01_Вводные'!$B$297),0,('19_Расчет_аналитики'!AS2443-'19_Расчет_аналитики'!AS2471)*IF('01_Вводные'!$B$239="Да",MeanMinAge12+'19_Расчет_аналитики'!AS2584*SUMIF(ThresholdAge12,"&lt;"&amp;'19_Расчет_аналитики'!AS2584,WeightedRevAge12)-SUMIF(ThresholdAge12,"&lt;"&amp;'19_Расчет_аналитики'!AS2584,WeightedMinAge12),MAX(CapacityAge12*'01_Вводные'!$B$218*'19_Расчет_аналитики'!AS2584,MeanMinAge12)))</f>
        <v/>
      </c>
      <c r="AT2527">
        <f>IF(OR(('19_Расчет_аналитики'!AT2443-'19_Расчет_аналитики'!AT2471)=0,12&lt;='01_Вводные'!$B$297),0,('19_Расчет_аналитики'!AT2443-'19_Расчет_аналитики'!AT2471)*IF('01_Вводные'!$B$239="Да",MeanMinAge12+'19_Расчет_аналитики'!AT2584*SUMIF(ThresholdAge12,"&lt;"&amp;'19_Расчет_аналитики'!AT2584,WeightedRevAge12)-SUMIF(ThresholdAge12,"&lt;"&amp;'19_Расчет_аналитики'!AT2584,WeightedMinAge12),MAX(CapacityAge12*'01_Вводные'!$B$218*'19_Расчет_аналитики'!AT2584,MeanMinAge12)))</f>
        <v/>
      </c>
      <c r="AU2527">
        <f>IF(OR(('19_Расчет_аналитики'!AU2443-'19_Расчет_аналитики'!AU2471)=0,12&lt;='01_Вводные'!$B$297),0,('19_Расчет_аналитики'!AU2443-'19_Расчет_аналитики'!AU2471)*IF('01_Вводные'!$B$239="Да",MeanMinAge12+'19_Расчет_аналитики'!AU2584*SUMIF(ThresholdAge12,"&lt;"&amp;'19_Расчет_аналитики'!AU2584,WeightedRevAge12)-SUMIF(ThresholdAge12,"&lt;"&amp;'19_Расчет_аналитики'!AU2584,WeightedMinAge12),MAX(CapacityAge12*'01_Вводные'!$B$218*'19_Расчет_аналитики'!AU2584,MeanMinAge12)))</f>
        <v/>
      </c>
      <c r="AV2527">
        <f>IF(OR(('19_Расчет_аналитики'!AV2443-'19_Расчет_аналитики'!AV2471)=0,12&lt;='01_Вводные'!$B$297),0,('19_Расчет_аналитики'!AV2443-'19_Расчет_аналитики'!AV2471)*IF('01_Вводные'!$B$239="Да",MeanMinAge12+'19_Расчет_аналитики'!AV2584*SUMIF(ThresholdAge12,"&lt;"&amp;'19_Расчет_аналитики'!AV2584,WeightedRevAge12)-SUMIF(ThresholdAge12,"&lt;"&amp;'19_Расчет_аналитики'!AV2584,WeightedMinAge12),MAX(CapacityAge12*'01_Вводные'!$B$218*'19_Расчет_аналитики'!AV2584,MeanMinAge12)))</f>
        <v/>
      </c>
      <c r="AW2527">
        <f>IF(OR(('19_Расчет_аналитики'!AW2443-'19_Расчет_аналитики'!AW2471)=0,12&lt;='01_Вводные'!$B$297),0,('19_Расчет_аналитики'!AW2443-'19_Расчет_аналитики'!AW2471)*IF('01_Вводные'!$B$239="Да",MeanMinAge12+'19_Расчет_аналитики'!AW2584*SUMIF(ThresholdAge12,"&lt;"&amp;'19_Расчет_аналитики'!AW2584,WeightedRevAge12)-SUMIF(ThresholdAge12,"&lt;"&amp;'19_Расчет_аналитики'!AW2584,WeightedMinAge12),MAX(CapacityAge12*'01_Вводные'!$B$218*'19_Расчет_аналитики'!AW2584,MeanMinAge12)))</f>
        <v/>
      </c>
      <c r="AX2527">
        <f>IF(OR(('19_Расчет_аналитики'!AX2443-'19_Расчет_аналитики'!AX2471)=0,12&lt;='01_Вводные'!$B$297),0,('19_Расчет_аналитики'!AX2443-'19_Расчет_аналитики'!AX2471)*IF('01_Вводные'!$B$239="Да",MeanMinAge12+'19_Расчет_аналитики'!AX2584*SUMIF(ThresholdAge12,"&lt;"&amp;'19_Расчет_аналитики'!AX2584,WeightedRevAge12)-SUMIF(ThresholdAge12,"&lt;"&amp;'19_Расчет_аналитики'!AX2584,WeightedMinAge12),MAX(CapacityAge12*'01_Вводные'!$B$218*'19_Расчет_аналитики'!AX2584,MeanMinAge12)))</f>
        <v/>
      </c>
      <c r="AY2527">
        <f>IF(OR(('19_Расчет_аналитики'!AY2443-'19_Расчет_аналитики'!AY2471)=0,12&lt;='01_Вводные'!$B$297),0,('19_Расчет_аналитики'!AY2443-'19_Расчет_аналитики'!AY2471)*IF('01_Вводные'!$B$239="Да",MeanMinAge12+'19_Расчет_аналитики'!AY2584*SUMIF(ThresholdAge12,"&lt;"&amp;'19_Расчет_аналитики'!AY2584,WeightedRevAge12)-SUMIF(ThresholdAge12,"&lt;"&amp;'19_Расчет_аналитики'!AY2584,WeightedMinAge12),MAX(CapacityAge12*'01_Вводные'!$B$218*'19_Расчет_аналитики'!AY2584,MeanMinAge12)))</f>
        <v/>
      </c>
      <c r="AZ2527">
        <f>IF(OR(('19_Расчет_аналитики'!AZ2443-'19_Расчет_аналитики'!AZ2471)=0,12&lt;='01_Вводные'!$B$297),0,('19_Расчет_аналитики'!AZ2443-'19_Расчет_аналитики'!AZ2471)*IF('01_Вводные'!$B$239="Да",MeanMinAge12+'19_Расчет_аналитики'!AZ2584*SUMIF(ThresholdAge12,"&lt;"&amp;'19_Расчет_аналитики'!AZ2584,WeightedRevAge12)-SUMIF(ThresholdAge12,"&lt;"&amp;'19_Расчет_аналитики'!AZ2584,WeightedMinAge12),MAX(CapacityAge12*'01_Вводные'!$B$218*'19_Расчет_аналитики'!AZ2584,MeanMinAge12)))</f>
        <v/>
      </c>
      <c r="BA2527">
        <f>IF(OR(('19_Расчет_аналитики'!BA2443-'19_Расчет_аналитики'!BA2471)=0,12&lt;='01_Вводные'!$B$297),0,('19_Расчет_аналитики'!BA2443-'19_Расчет_аналитики'!BA2471)*IF('01_Вводные'!$B$239="Да",MeanMinAge12+'19_Расчет_аналитики'!BA2584*SUMIF(ThresholdAge12,"&lt;"&amp;'19_Расчет_аналитики'!BA2584,WeightedRevAge12)-SUMIF(ThresholdAge12,"&lt;"&amp;'19_Расчет_аналитики'!BA2584,WeightedMinAge12),MAX(CapacityAge12*'01_Вводные'!$B$218*'19_Расчет_аналитики'!BA2584,MeanMinAge12)))</f>
        <v/>
      </c>
      <c r="BB2527">
        <f>IF(OR(('19_Расчет_аналитики'!BB2443-'19_Расчет_аналитики'!BB2471)=0,12&lt;='01_Вводные'!$B$297),0,('19_Расчет_аналитики'!BB2443-'19_Расчет_аналитики'!BB2471)*IF('01_Вводные'!$B$239="Да",MeanMinAge12+'19_Расчет_аналитики'!BB2584*SUMIF(ThresholdAge12,"&lt;"&amp;'19_Расчет_аналитики'!BB2584,WeightedRevAge12)-SUMIF(ThresholdAge12,"&lt;"&amp;'19_Расчет_аналитики'!BB2584,WeightedMinAge12),MAX(CapacityAge12*'01_Вводные'!$B$218*'19_Расчет_аналитики'!BB2584,MeanMinAge12)))</f>
        <v/>
      </c>
      <c r="BC2527">
        <f>IF(OR(('19_Расчет_аналитики'!BC2443-'19_Расчет_аналитики'!BC2471)=0,12&lt;='01_Вводные'!$B$297),0,('19_Расчет_аналитики'!BC2443-'19_Расчет_аналитики'!BC2471)*IF('01_Вводные'!$B$239="Да",MeanMinAge12+'19_Расчет_аналитики'!BC2584*SUMIF(ThresholdAge12,"&lt;"&amp;'19_Расчет_аналитики'!BC2584,WeightedRevAge12)-SUMIF(ThresholdAge12,"&lt;"&amp;'19_Расчет_аналитики'!BC2584,WeightedMinAge12),MAX(CapacityAge12*'01_Вводные'!$B$218*'19_Расчет_аналитики'!BC2584,MeanMinAge12)))</f>
        <v/>
      </c>
      <c r="BD2527">
        <f>IF(OR(('19_Расчет_аналитики'!BD2443-'19_Расчет_аналитики'!BD2471)=0,12&lt;='01_Вводные'!$B$297),0,('19_Расчет_аналитики'!BD2443-'19_Расчет_аналитики'!BD2471)*IF('01_Вводные'!$B$239="Да",MeanMinAge12+'19_Расчет_аналитики'!BD2584*SUMIF(ThresholdAge12,"&lt;"&amp;'19_Расчет_аналитики'!BD2584,WeightedRevAge12)-SUMIF(ThresholdAge12,"&lt;"&amp;'19_Расчет_аналитики'!BD2584,WeightedMinAge12),MAX(CapacityAge12*'01_Вводные'!$B$218*'19_Расчет_аналитики'!BD2584,MeanMinAge12)))</f>
        <v/>
      </c>
      <c r="BE2527">
        <f>IF(OR(('19_Расчет_аналитики'!BE2443-'19_Расчет_аналитики'!BE2471)=0,12&lt;='01_Вводные'!$B$297),0,('19_Расчет_аналитики'!BE2443-'19_Расчет_аналитики'!BE2471)*IF('01_Вводные'!$B$239="Да",MeanMinAge12+'19_Расчет_аналитики'!BE2584*SUMIF(ThresholdAge12,"&lt;"&amp;'19_Расчет_аналитики'!BE2584,WeightedRevAge12)-SUMIF(ThresholdAge12,"&lt;"&amp;'19_Расчет_аналитики'!BE2584,WeightedMinAge12),MAX(CapacityAge12*'01_Вводные'!$B$218*'19_Расчет_аналитики'!BE2584,MeanMinAge12)))</f>
        <v/>
      </c>
      <c r="BF2527">
        <f>IF(OR(('19_Расчет_аналитики'!BF2443-'19_Расчет_аналитики'!BF2471)=0,12&lt;='01_Вводные'!$B$297),0,('19_Расчет_аналитики'!BF2443-'19_Расчет_аналитики'!BF2471)*IF('01_Вводные'!$B$239="Да",MeanMinAge12+'19_Расчет_аналитики'!BF2584*SUMIF(ThresholdAge12,"&lt;"&amp;'19_Расчет_аналитики'!BF2584,WeightedRevAge12)-SUMIF(ThresholdAge12,"&lt;"&amp;'19_Расчет_аналитики'!BF2584,WeightedMinAge12),MAX(CapacityAge12*'01_Вводные'!$B$218*'19_Расчет_аналитики'!BF2584,MeanMinAge12)))</f>
        <v/>
      </c>
      <c r="BG2527">
        <f>IF(OR(('19_Расчет_аналитики'!BG2443-'19_Расчет_аналитики'!BG2471)=0,12&lt;='01_Вводные'!$B$297),0,('19_Расчет_аналитики'!BG2443-'19_Расчет_аналитики'!BG2471)*IF('01_Вводные'!$B$239="Да",MeanMinAge12+'19_Расчет_аналитики'!BG2584*SUMIF(ThresholdAge12,"&lt;"&amp;'19_Расчет_аналитики'!BG2584,WeightedRevAge12)-SUMIF(ThresholdAge12,"&lt;"&amp;'19_Расчет_аналитики'!BG2584,WeightedMinAge12),MAX(CapacityAge12*'01_Вводные'!$B$218*'19_Расчет_аналитики'!BG2584,MeanMinAge12)))</f>
        <v/>
      </c>
      <c r="BH2527">
        <f>IF(OR(('19_Расчет_аналитики'!BH2443-'19_Расчет_аналитики'!BH2471)=0,12&lt;='01_Вводные'!$B$297),0,('19_Расчет_аналитики'!BH2443-'19_Расчет_аналитики'!BH2471)*IF('01_Вводные'!$B$239="Да",MeanMinAge12+'19_Расчет_аналитики'!BH2584*SUMIF(ThresholdAge12,"&lt;"&amp;'19_Расчет_аналитики'!BH2584,WeightedRevAge12)-SUMIF(ThresholdAge12,"&lt;"&amp;'19_Расчет_аналитики'!BH2584,WeightedMinAge12),MAX(CapacityAge12*'01_Вводные'!$B$218*'19_Расчет_аналитики'!BH2584,MeanMinAge12)))</f>
        <v/>
      </c>
      <c r="BI2527">
        <f>IF(OR(('19_Расчет_аналитики'!BI2443-'19_Расчет_аналитики'!BI2471)=0,12&lt;='01_Вводные'!$B$297),0,('19_Расчет_аналитики'!BI2443-'19_Расчет_аналитики'!BI2471)*IF('01_Вводные'!$B$239="Да",MeanMinAge12+'19_Расчет_аналитики'!BI2584*SUMIF(ThresholdAge12,"&lt;"&amp;'19_Расчет_аналитики'!BI2584,WeightedRevAge12)-SUMIF(ThresholdAge12,"&lt;"&amp;'19_Расчет_аналитики'!BI2584,WeightedMinAge12),MAX(CapacityAge12*'01_Вводные'!$B$218*'19_Расчет_аналитики'!BI2584,MeanMinAge12)))</f>
        <v/>
      </c>
      <c r="BJ2527">
        <f>IF(OR(('19_Расчет_аналитики'!BJ2443-'19_Расчет_аналитики'!BJ2471)=0,12&lt;='01_Вводные'!$B$297),0,('19_Расчет_аналитики'!BJ2443-'19_Расчет_аналитики'!BJ2471)*IF('01_Вводные'!$B$239="Да",MeanMinAge12+'19_Расчет_аналитики'!BJ2584*SUMIF(ThresholdAge12,"&lt;"&amp;'19_Расчет_аналитики'!BJ2584,WeightedRevAge12)-SUMIF(ThresholdAge12,"&lt;"&amp;'19_Расчет_аналитики'!BJ2584,WeightedMinAge12),MAX(CapacityAge12*'01_Вводные'!$B$218*'19_Расчет_аналитики'!BJ2584,MeanMinAge12)))</f>
        <v/>
      </c>
      <c r="BK2527">
        <f>IF(OR(('19_Расчет_аналитики'!BK2443-'19_Расчет_аналитики'!BK2471)=0,12&lt;='01_Вводные'!$B$297),0,('19_Расчет_аналитики'!BK2443-'19_Расчет_аналитики'!BK2471)*IF('01_Вводные'!$B$239="Да",MeanMinAge12+'19_Расчет_аналитики'!BK2584*SUMIF(ThresholdAge12,"&lt;"&amp;'19_Расчет_аналитики'!BK2584,WeightedRevAge12)-SUMIF(ThresholdAge12,"&lt;"&amp;'19_Расчет_аналитики'!BK2584,WeightedMinAge12),MAX(CapacityAge12*'01_Вводные'!$B$218*'19_Расчет_аналитики'!BK2584,MeanMinAge12)))</f>
        <v/>
      </c>
      <c r="BL2527">
        <f>IF(OR(('19_Расчет_аналитики'!BL2443-'19_Расчет_аналитики'!BL2471)=0,12&lt;='01_Вводные'!$B$297),0,('19_Расчет_аналитики'!BL2443-'19_Расчет_аналитики'!BL2471)*IF('01_Вводные'!$B$239="Да",MeanMinAge12+'19_Расчет_аналитики'!BL2584*SUMIF(ThresholdAge12,"&lt;"&amp;'19_Расчет_аналитики'!BL2584,WeightedRevAge12)-SUMIF(ThresholdAge12,"&lt;"&amp;'19_Расчет_аналитики'!BL2584,WeightedMinAge12),MAX(CapacityAge12*'01_Вводные'!$B$218*'19_Расчет_аналитики'!BL2584,MeanMinAge12)))</f>
        <v/>
      </c>
      <c r="BM2527">
        <f>IF(OR(('19_Расчет_аналитики'!BM2443-'19_Расчет_аналитики'!BM2471)=0,12&lt;='01_Вводные'!$B$297),0,('19_Расчет_аналитики'!BM2443-'19_Расчет_аналитики'!BM2471)*IF('01_Вводные'!$B$239="Да",MeanMinAge12+'19_Расчет_аналитики'!BM2584*SUMIF(ThresholdAge12,"&lt;"&amp;'19_Расчет_аналитики'!BM2584,WeightedRevAge12)-SUMIF(ThresholdAge12,"&lt;"&amp;'19_Расчет_аналитики'!BM2584,WeightedMinAge12),MAX(CapacityAge12*'01_Вводные'!$B$218*'19_Расчет_аналитики'!BM2584,MeanMinAge12)))</f>
        <v/>
      </c>
      <c r="BN2527">
        <f>IF(OR(('19_Расчет_аналитики'!BN2443-'19_Расчет_аналитики'!BN2471)=0,12&lt;='01_Вводные'!$B$297),0,('19_Расчет_аналитики'!BN2443-'19_Расчет_аналитики'!BN2471)*IF('01_Вводные'!$B$239="Да",MeanMinAge12+'19_Расчет_аналитики'!BN2584*SUMIF(ThresholdAge12,"&lt;"&amp;'19_Расчет_аналитики'!BN2584,WeightedRevAge12)-SUMIF(ThresholdAge12,"&lt;"&amp;'19_Расчет_аналитики'!BN2584,WeightedMinAge12),MAX(CapacityAge12*'01_Вводные'!$B$218*'19_Расчет_аналитики'!BN2584,MeanMinAge12)))</f>
        <v/>
      </c>
      <c r="BO2527">
        <f>IF(OR(('19_Расчет_аналитики'!BO2443-'19_Расчет_аналитики'!BO2471)=0,12&lt;='01_Вводные'!$B$297),0,('19_Расчет_аналитики'!BO2443-'19_Расчет_аналитики'!BO2471)*IF('01_Вводные'!$B$239="Да",MeanMinAge12+'19_Расчет_аналитики'!BO2584*SUMIF(ThresholdAge12,"&lt;"&amp;'19_Расчет_аналитики'!BO2584,WeightedRevAge12)-SUMIF(ThresholdAge12,"&lt;"&amp;'19_Расчет_аналитики'!BO2584,WeightedMinAge12),MAX(CapacityAge12*'01_Вводные'!$B$218*'19_Расчет_аналитики'!BO2584,MeanMinAge12)))</f>
        <v/>
      </c>
    </row>
    <row r="2528">
      <c r="B2528">
        <f>IF(OR(('06_Сеть_и_дети'!B65-'06_Сеть_и_дети'!B93)=0,13&lt;='01_Вводные'!$B$297),0,('06_Сеть_и_дети'!B65-'06_Сеть_и_дети'!B93)*IF('01_Вводные'!$B$239="Да",MeanMinAge13+'19_Расчет_аналитики'!B2584*SUMIF(ThresholdAge13,"&lt;"&amp;'19_Расчет_аналитики'!B2584,WeightedRevAge13)-SUMIF(ThresholdAge13,"&lt;"&amp;'19_Расчет_аналитики'!B2584,WeightedMinAge13),MAX(CapacityAge13*'01_Вводные'!$B$218*'19_Расчет_аналитики'!B2584,MeanMinAge13)))</f>
        <v/>
      </c>
      <c r="C2528">
        <f>IF(OR(('06_Сеть_и_дети'!C65-'06_Сеть_и_дети'!C93)=0,13&lt;='01_Вводные'!$B$297),0,('06_Сеть_и_дети'!C65-'06_Сеть_и_дети'!C93)*IF('01_Вводные'!$B$239="Да",MeanMinAge13+'19_Расчет_аналитики'!C2584*SUMIF(ThresholdAge13,"&lt;"&amp;'19_Расчет_аналитики'!C2584,WeightedRevAge13)-SUMIF(ThresholdAge13,"&lt;"&amp;'19_Расчет_аналитики'!C2584,WeightedMinAge13),MAX(CapacityAge13*'01_Вводные'!$B$218*'19_Расчет_аналитики'!C2584,MeanMinAge13)))</f>
        <v/>
      </c>
      <c r="D2528">
        <f>IF(OR(('06_Сеть_и_дети'!D65-'06_Сеть_и_дети'!D93)=0,13&lt;='01_Вводные'!$B$297),0,('06_Сеть_и_дети'!D65-'06_Сеть_и_дети'!D93)*IF('01_Вводные'!$B$239="Да",MeanMinAge13+'19_Расчет_аналитики'!D2584*SUMIF(ThresholdAge13,"&lt;"&amp;'19_Расчет_аналитики'!D2584,WeightedRevAge13)-SUMIF(ThresholdAge13,"&lt;"&amp;'19_Расчет_аналитики'!D2584,WeightedMinAge13),MAX(CapacityAge13*'01_Вводные'!$B$218*'19_Расчет_аналитики'!D2584,MeanMinAge13)))</f>
        <v/>
      </c>
      <c r="E2528">
        <f>IF(OR(('06_Сеть_и_дети'!E65-'06_Сеть_и_дети'!E93)=0,13&lt;='01_Вводные'!$B$297),0,('06_Сеть_и_дети'!E65-'06_Сеть_и_дети'!E93)*IF('01_Вводные'!$B$239="Да",MeanMinAge13+'19_Расчет_аналитики'!E2584*SUMIF(ThresholdAge13,"&lt;"&amp;'19_Расчет_аналитики'!E2584,WeightedRevAge13)-SUMIF(ThresholdAge13,"&lt;"&amp;'19_Расчет_аналитики'!E2584,WeightedMinAge13),MAX(CapacityAge13*'01_Вводные'!$B$218*'19_Расчет_аналитики'!E2584,MeanMinAge13)))</f>
        <v/>
      </c>
      <c r="F2528">
        <f>IF(OR(('06_Сеть_и_дети'!F65-'06_Сеть_и_дети'!F93)=0,13&lt;='01_Вводные'!$B$297),0,('06_Сеть_и_дети'!F65-'06_Сеть_и_дети'!F93)*IF('01_Вводные'!$B$239="Да",MeanMinAge13+'19_Расчет_аналитики'!F2584*SUMIF(ThresholdAge13,"&lt;"&amp;'19_Расчет_аналитики'!F2584,WeightedRevAge13)-SUMIF(ThresholdAge13,"&lt;"&amp;'19_Расчет_аналитики'!F2584,WeightedMinAge13),MAX(CapacityAge13*'01_Вводные'!$B$218*'19_Расчет_аналитики'!F2584,MeanMinAge13)))</f>
        <v/>
      </c>
      <c r="G2528">
        <f>IF(OR(('06_Сеть_и_дети'!G65-'06_Сеть_и_дети'!G93)=0,13&lt;='01_Вводные'!$B$297),0,('06_Сеть_и_дети'!G65-'06_Сеть_и_дети'!G93)*IF('01_Вводные'!$B$239="Да",MeanMinAge13+'19_Расчет_аналитики'!G2584*SUMIF(ThresholdAge13,"&lt;"&amp;'19_Расчет_аналитики'!G2584,WeightedRevAge13)-SUMIF(ThresholdAge13,"&lt;"&amp;'19_Расчет_аналитики'!G2584,WeightedMinAge13),MAX(CapacityAge13*'01_Вводные'!$B$218*'19_Расчет_аналитики'!G2584,MeanMinAge13)))</f>
        <v/>
      </c>
      <c r="H2528">
        <f>IF(OR(('06_Сеть_и_дети'!H65-'06_Сеть_и_дети'!H93)=0,13&lt;='01_Вводные'!$B$297),0,('06_Сеть_и_дети'!H65-'06_Сеть_и_дети'!H93)*IF('01_Вводные'!$B$239="Да",MeanMinAge13+'19_Расчет_аналитики'!H2584*SUMIF(ThresholdAge13,"&lt;"&amp;'19_Расчет_аналитики'!H2584,WeightedRevAge13)-SUMIF(ThresholdAge13,"&lt;"&amp;'19_Расчет_аналитики'!H2584,WeightedMinAge13),MAX(CapacityAge13*'01_Вводные'!$B$218*'19_Расчет_аналитики'!H2584,MeanMinAge13)))</f>
        <v/>
      </c>
      <c r="I2528">
        <f>IF(OR(('06_Сеть_и_дети'!I65-'06_Сеть_и_дети'!I93)=0,13&lt;='01_Вводные'!$B$297),0,('06_Сеть_и_дети'!I65-'06_Сеть_и_дети'!I93)*IF('01_Вводные'!$B$239="Да",MeanMinAge13+'19_Расчет_аналитики'!I2584*SUMIF(ThresholdAge13,"&lt;"&amp;'19_Расчет_аналитики'!I2584,WeightedRevAge13)-SUMIF(ThresholdAge13,"&lt;"&amp;'19_Расчет_аналитики'!I2584,WeightedMinAge13),MAX(CapacityAge13*'01_Вводные'!$B$218*'19_Расчет_аналитики'!I2584,MeanMinAge13)))</f>
        <v/>
      </c>
      <c r="J2528">
        <f>IF(OR(('06_Сеть_и_дети'!J65-'06_Сеть_и_дети'!J93)=0,13&lt;='01_Вводные'!$B$297),0,('06_Сеть_и_дети'!J65-'06_Сеть_и_дети'!J93)*IF('01_Вводные'!$B$239="Да",MeanMinAge13+'19_Расчет_аналитики'!J2584*SUMIF(ThresholdAge13,"&lt;"&amp;'19_Расчет_аналитики'!J2584,WeightedRevAge13)-SUMIF(ThresholdAge13,"&lt;"&amp;'19_Расчет_аналитики'!J2584,WeightedMinAge13),MAX(CapacityAge13*'01_Вводные'!$B$218*'19_Расчет_аналитики'!J2584,MeanMinAge13)))</f>
        <v/>
      </c>
      <c r="K2528">
        <f>IF(OR(('06_Сеть_и_дети'!K65-'06_Сеть_и_дети'!K93)=0,13&lt;='01_Вводные'!$B$297),0,('06_Сеть_и_дети'!K65-'06_Сеть_и_дети'!K93)*IF('01_Вводные'!$B$239="Да",MeanMinAge13+'19_Расчет_аналитики'!K2584*SUMIF(ThresholdAge13,"&lt;"&amp;'19_Расчет_аналитики'!K2584,WeightedRevAge13)-SUMIF(ThresholdAge13,"&lt;"&amp;'19_Расчет_аналитики'!K2584,WeightedMinAge13),MAX(CapacityAge13*'01_Вводные'!$B$218*'19_Расчет_аналитики'!K2584,MeanMinAge13)))</f>
        <v/>
      </c>
      <c r="L2528">
        <f>IF(OR(('06_Сеть_и_дети'!L65-'06_Сеть_и_дети'!L93)=0,13&lt;='01_Вводные'!$B$297),0,('06_Сеть_и_дети'!L65-'06_Сеть_и_дети'!L93)*IF('01_Вводные'!$B$239="Да",MeanMinAge13+'19_Расчет_аналитики'!L2584*SUMIF(ThresholdAge13,"&lt;"&amp;'19_Расчет_аналитики'!L2584,WeightedRevAge13)-SUMIF(ThresholdAge13,"&lt;"&amp;'19_Расчет_аналитики'!L2584,WeightedMinAge13),MAX(CapacityAge13*'01_Вводные'!$B$218*'19_Расчет_аналитики'!L2584,MeanMinAge13)))</f>
        <v/>
      </c>
      <c r="M2528">
        <f>IF(OR(('06_Сеть_и_дети'!M65-'06_Сеть_и_дети'!M93)=0,13&lt;='01_Вводные'!$B$297),0,('06_Сеть_и_дети'!M65-'06_Сеть_и_дети'!M93)*IF('01_Вводные'!$B$239="Да",MeanMinAge13+'19_Расчет_аналитики'!M2584*SUMIF(ThresholdAge13,"&lt;"&amp;'19_Расчет_аналитики'!M2584,WeightedRevAge13)-SUMIF(ThresholdAge13,"&lt;"&amp;'19_Расчет_аналитики'!M2584,WeightedMinAge13),MAX(CapacityAge13*'01_Вводные'!$B$218*'19_Расчет_аналитики'!M2584,MeanMinAge13)))</f>
        <v/>
      </c>
      <c r="N2528">
        <f>IF(OR(('19_Расчет_аналитики'!N2444-'19_Расчет_аналитики'!N2472)=0,13&lt;='01_Вводные'!$B$297),0,('19_Расчет_аналитики'!N2444-'19_Расчет_аналитики'!N2472)*IF('01_Вводные'!$B$239="Да",MeanMinAge13+'19_Расчет_аналитики'!N2584*SUMIF(ThresholdAge13,"&lt;"&amp;'19_Расчет_аналитики'!N2584,WeightedRevAge13)-SUMIF(ThresholdAge13,"&lt;"&amp;'19_Расчет_аналитики'!N2584,WeightedMinAge13),MAX(CapacityAge13*'01_Вводные'!$B$218*'19_Расчет_аналитики'!N2584,MeanMinAge13)))</f>
        <v/>
      </c>
      <c r="O2528">
        <f>IF(OR(('19_Расчет_аналитики'!O2444-'19_Расчет_аналитики'!O2472)=0,13&lt;='01_Вводные'!$B$297),0,('19_Расчет_аналитики'!O2444-'19_Расчет_аналитики'!O2472)*IF('01_Вводные'!$B$239="Да",MeanMinAge13+'19_Расчет_аналитики'!O2584*SUMIF(ThresholdAge13,"&lt;"&amp;'19_Расчет_аналитики'!O2584,WeightedRevAge13)-SUMIF(ThresholdAge13,"&lt;"&amp;'19_Расчет_аналитики'!O2584,WeightedMinAge13),MAX(CapacityAge13*'01_Вводные'!$B$218*'19_Расчет_аналитики'!O2584,MeanMinAge13)))</f>
        <v/>
      </c>
      <c r="P2528">
        <f>IF(OR(('19_Расчет_аналитики'!P2444-'19_Расчет_аналитики'!P2472)=0,13&lt;='01_Вводные'!$B$297),0,('19_Расчет_аналитики'!P2444-'19_Расчет_аналитики'!P2472)*IF('01_Вводные'!$B$239="Да",MeanMinAge13+'19_Расчет_аналитики'!P2584*SUMIF(ThresholdAge13,"&lt;"&amp;'19_Расчет_аналитики'!P2584,WeightedRevAge13)-SUMIF(ThresholdAge13,"&lt;"&amp;'19_Расчет_аналитики'!P2584,WeightedMinAge13),MAX(CapacityAge13*'01_Вводные'!$B$218*'19_Расчет_аналитики'!P2584,MeanMinAge13)))</f>
        <v/>
      </c>
      <c r="Q2528">
        <f>IF(OR(('19_Расчет_аналитики'!Q2444-'19_Расчет_аналитики'!Q2472)=0,13&lt;='01_Вводные'!$B$297),0,('19_Расчет_аналитики'!Q2444-'19_Расчет_аналитики'!Q2472)*IF('01_Вводные'!$B$239="Да",MeanMinAge13+'19_Расчет_аналитики'!Q2584*SUMIF(ThresholdAge13,"&lt;"&amp;'19_Расчет_аналитики'!Q2584,WeightedRevAge13)-SUMIF(ThresholdAge13,"&lt;"&amp;'19_Расчет_аналитики'!Q2584,WeightedMinAge13),MAX(CapacityAge13*'01_Вводные'!$B$218*'19_Расчет_аналитики'!Q2584,MeanMinAge13)))</f>
        <v/>
      </c>
      <c r="R2528">
        <f>IF(OR(('19_Расчет_аналитики'!R2444-'19_Расчет_аналитики'!R2472)=0,13&lt;='01_Вводные'!$B$297),0,('19_Расчет_аналитики'!R2444-'19_Расчет_аналитики'!R2472)*IF('01_Вводные'!$B$239="Да",MeanMinAge13+'19_Расчет_аналитики'!R2584*SUMIF(ThresholdAge13,"&lt;"&amp;'19_Расчет_аналитики'!R2584,WeightedRevAge13)-SUMIF(ThresholdAge13,"&lt;"&amp;'19_Расчет_аналитики'!R2584,WeightedMinAge13),MAX(CapacityAge13*'01_Вводные'!$B$218*'19_Расчет_аналитики'!R2584,MeanMinAge13)))</f>
        <v/>
      </c>
      <c r="S2528">
        <f>IF(OR(('19_Расчет_аналитики'!S2444-'19_Расчет_аналитики'!S2472)=0,13&lt;='01_Вводные'!$B$297),0,('19_Расчет_аналитики'!S2444-'19_Расчет_аналитики'!S2472)*IF('01_Вводные'!$B$239="Да",MeanMinAge13+'19_Расчет_аналитики'!S2584*SUMIF(ThresholdAge13,"&lt;"&amp;'19_Расчет_аналитики'!S2584,WeightedRevAge13)-SUMIF(ThresholdAge13,"&lt;"&amp;'19_Расчет_аналитики'!S2584,WeightedMinAge13),MAX(CapacityAge13*'01_Вводные'!$B$218*'19_Расчет_аналитики'!S2584,MeanMinAge13)))</f>
        <v/>
      </c>
      <c r="T2528">
        <f>IF(OR(('19_Расчет_аналитики'!T2444-'19_Расчет_аналитики'!T2472)=0,13&lt;='01_Вводные'!$B$297),0,('19_Расчет_аналитики'!T2444-'19_Расчет_аналитики'!T2472)*IF('01_Вводные'!$B$239="Да",MeanMinAge13+'19_Расчет_аналитики'!T2584*SUMIF(ThresholdAge13,"&lt;"&amp;'19_Расчет_аналитики'!T2584,WeightedRevAge13)-SUMIF(ThresholdAge13,"&lt;"&amp;'19_Расчет_аналитики'!T2584,WeightedMinAge13),MAX(CapacityAge13*'01_Вводные'!$B$218*'19_Расчет_аналитики'!T2584,MeanMinAge13)))</f>
        <v/>
      </c>
      <c r="U2528">
        <f>IF(OR(('19_Расчет_аналитики'!U2444-'19_Расчет_аналитики'!U2472)=0,13&lt;='01_Вводные'!$B$297),0,('19_Расчет_аналитики'!U2444-'19_Расчет_аналитики'!U2472)*IF('01_Вводные'!$B$239="Да",MeanMinAge13+'19_Расчет_аналитики'!U2584*SUMIF(ThresholdAge13,"&lt;"&amp;'19_Расчет_аналитики'!U2584,WeightedRevAge13)-SUMIF(ThresholdAge13,"&lt;"&amp;'19_Расчет_аналитики'!U2584,WeightedMinAge13),MAX(CapacityAge13*'01_Вводные'!$B$218*'19_Расчет_аналитики'!U2584,MeanMinAge13)))</f>
        <v/>
      </c>
      <c r="V2528">
        <f>IF(OR(('19_Расчет_аналитики'!V2444-'19_Расчет_аналитики'!V2472)=0,13&lt;='01_Вводные'!$B$297),0,('19_Расчет_аналитики'!V2444-'19_Расчет_аналитики'!V2472)*IF('01_Вводные'!$B$239="Да",MeanMinAge13+'19_Расчет_аналитики'!V2584*SUMIF(ThresholdAge13,"&lt;"&amp;'19_Расчет_аналитики'!V2584,WeightedRevAge13)-SUMIF(ThresholdAge13,"&lt;"&amp;'19_Расчет_аналитики'!V2584,WeightedMinAge13),MAX(CapacityAge13*'01_Вводные'!$B$218*'19_Расчет_аналитики'!V2584,MeanMinAge13)))</f>
        <v/>
      </c>
      <c r="W2528">
        <f>IF(OR(('19_Расчет_аналитики'!W2444-'19_Расчет_аналитики'!W2472)=0,13&lt;='01_Вводные'!$B$297),0,('19_Расчет_аналитики'!W2444-'19_Расчет_аналитики'!W2472)*IF('01_Вводные'!$B$239="Да",MeanMinAge13+'19_Расчет_аналитики'!W2584*SUMIF(ThresholdAge13,"&lt;"&amp;'19_Расчет_аналитики'!W2584,WeightedRevAge13)-SUMIF(ThresholdAge13,"&lt;"&amp;'19_Расчет_аналитики'!W2584,WeightedMinAge13),MAX(CapacityAge13*'01_Вводные'!$B$218*'19_Расчет_аналитики'!W2584,MeanMinAge13)))</f>
        <v/>
      </c>
      <c r="X2528">
        <f>IF(OR(('19_Расчет_аналитики'!X2444-'19_Расчет_аналитики'!X2472)=0,13&lt;='01_Вводные'!$B$297),0,('19_Расчет_аналитики'!X2444-'19_Расчет_аналитики'!X2472)*IF('01_Вводные'!$B$239="Да",MeanMinAge13+'19_Расчет_аналитики'!X2584*SUMIF(ThresholdAge13,"&lt;"&amp;'19_Расчет_аналитики'!X2584,WeightedRevAge13)-SUMIF(ThresholdAge13,"&lt;"&amp;'19_Расчет_аналитики'!X2584,WeightedMinAge13),MAX(CapacityAge13*'01_Вводные'!$B$218*'19_Расчет_аналитики'!X2584,MeanMinAge13)))</f>
        <v/>
      </c>
      <c r="Y2528">
        <f>IF(OR(('19_Расчет_аналитики'!Y2444-'19_Расчет_аналитики'!Y2472)=0,13&lt;='01_Вводные'!$B$297),0,('19_Расчет_аналитики'!Y2444-'19_Расчет_аналитики'!Y2472)*IF('01_Вводные'!$B$239="Да",MeanMinAge13+'19_Расчет_аналитики'!Y2584*SUMIF(ThresholdAge13,"&lt;"&amp;'19_Расчет_аналитики'!Y2584,WeightedRevAge13)-SUMIF(ThresholdAge13,"&lt;"&amp;'19_Расчет_аналитики'!Y2584,WeightedMinAge13),MAX(CapacityAge13*'01_Вводные'!$B$218*'19_Расчет_аналитики'!Y2584,MeanMinAge13)))</f>
        <v/>
      </c>
      <c r="Z2528">
        <f>IF(OR(('19_Расчет_аналитики'!Z2444-'19_Расчет_аналитики'!Z2472)=0,13&lt;='01_Вводные'!$B$297),0,('19_Расчет_аналитики'!Z2444-'19_Расчет_аналитики'!Z2472)*IF('01_Вводные'!$B$239="Да",MeanMinAge13+'19_Расчет_аналитики'!Z2584*SUMIF(ThresholdAge13,"&lt;"&amp;'19_Расчет_аналитики'!Z2584,WeightedRevAge13)-SUMIF(ThresholdAge13,"&lt;"&amp;'19_Расчет_аналитики'!Z2584,WeightedMinAge13),MAX(CapacityAge13*'01_Вводные'!$B$218*'19_Расчет_аналитики'!Z2584,MeanMinAge13)))</f>
        <v/>
      </c>
      <c r="AA2528">
        <f>IF(OR(('19_Расчет_аналитики'!AA2444-'19_Расчет_аналитики'!AA2472)=0,13&lt;='01_Вводные'!$B$297),0,('19_Расчет_аналитики'!AA2444-'19_Расчет_аналитики'!AA2472)*IF('01_Вводные'!$B$239="Да",MeanMinAge13+'19_Расчет_аналитики'!AA2584*SUMIF(ThresholdAge13,"&lt;"&amp;'19_Расчет_аналитики'!AA2584,WeightedRevAge13)-SUMIF(ThresholdAge13,"&lt;"&amp;'19_Расчет_аналитики'!AA2584,WeightedMinAge13),MAX(CapacityAge13*'01_Вводные'!$B$218*'19_Расчет_аналитики'!AA2584,MeanMinAge13)))</f>
        <v/>
      </c>
      <c r="AB2528">
        <f>IF(OR(('19_Расчет_аналитики'!AB2444-'19_Расчет_аналитики'!AB2472)=0,13&lt;='01_Вводные'!$B$297),0,('19_Расчет_аналитики'!AB2444-'19_Расчет_аналитики'!AB2472)*IF('01_Вводные'!$B$239="Да",MeanMinAge13+'19_Расчет_аналитики'!AB2584*SUMIF(ThresholdAge13,"&lt;"&amp;'19_Расчет_аналитики'!AB2584,WeightedRevAge13)-SUMIF(ThresholdAge13,"&lt;"&amp;'19_Расчет_аналитики'!AB2584,WeightedMinAge13),MAX(CapacityAge13*'01_Вводные'!$B$218*'19_Расчет_аналитики'!AB2584,MeanMinAge13)))</f>
        <v/>
      </c>
      <c r="AC2528">
        <f>IF(OR(('19_Расчет_аналитики'!AC2444-'19_Расчет_аналитики'!AC2472)=0,13&lt;='01_Вводные'!$B$297),0,('19_Расчет_аналитики'!AC2444-'19_Расчет_аналитики'!AC2472)*IF('01_Вводные'!$B$239="Да",MeanMinAge13+'19_Расчет_аналитики'!AC2584*SUMIF(ThresholdAge13,"&lt;"&amp;'19_Расчет_аналитики'!AC2584,WeightedRevAge13)-SUMIF(ThresholdAge13,"&lt;"&amp;'19_Расчет_аналитики'!AC2584,WeightedMinAge13),MAX(CapacityAge13*'01_Вводные'!$B$218*'19_Расчет_аналитики'!AC2584,MeanMinAge13)))</f>
        <v/>
      </c>
      <c r="AD2528">
        <f>IF(OR(('19_Расчет_аналитики'!AD2444-'19_Расчет_аналитики'!AD2472)=0,13&lt;='01_Вводные'!$B$297),0,('19_Расчет_аналитики'!AD2444-'19_Расчет_аналитики'!AD2472)*IF('01_Вводные'!$B$239="Да",MeanMinAge13+'19_Расчет_аналитики'!AD2584*SUMIF(ThresholdAge13,"&lt;"&amp;'19_Расчет_аналитики'!AD2584,WeightedRevAge13)-SUMIF(ThresholdAge13,"&lt;"&amp;'19_Расчет_аналитики'!AD2584,WeightedMinAge13),MAX(CapacityAge13*'01_Вводные'!$B$218*'19_Расчет_аналитики'!AD2584,MeanMinAge13)))</f>
        <v/>
      </c>
      <c r="AE2528">
        <f>IF(OR(('19_Расчет_аналитики'!AE2444-'19_Расчет_аналитики'!AE2472)=0,13&lt;='01_Вводные'!$B$297),0,('19_Расчет_аналитики'!AE2444-'19_Расчет_аналитики'!AE2472)*IF('01_Вводные'!$B$239="Да",MeanMinAge13+'19_Расчет_аналитики'!AE2584*SUMIF(ThresholdAge13,"&lt;"&amp;'19_Расчет_аналитики'!AE2584,WeightedRevAge13)-SUMIF(ThresholdAge13,"&lt;"&amp;'19_Расчет_аналитики'!AE2584,WeightedMinAge13),MAX(CapacityAge13*'01_Вводные'!$B$218*'19_Расчет_аналитики'!AE2584,MeanMinAge13)))</f>
        <v/>
      </c>
      <c r="AF2528">
        <f>IF(OR(('19_Расчет_аналитики'!AF2444-'19_Расчет_аналитики'!AF2472)=0,13&lt;='01_Вводные'!$B$297),0,('19_Расчет_аналитики'!AF2444-'19_Расчет_аналитики'!AF2472)*IF('01_Вводные'!$B$239="Да",MeanMinAge13+'19_Расчет_аналитики'!AF2584*SUMIF(ThresholdAge13,"&lt;"&amp;'19_Расчет_аналитики'!AF2584,WeightedRevAge13)-SUMIF(ThresholdAge13,"&lt;"&amp;'19_Расчет_аналитики'!AF2584,WeightedMinAge13),MAX(CapacityAge13*'01_Вводные'!$B$218*'19_Расчет_аналитики'!AF2584,MeanMinAge13)))</f>
        <v/>
      </c>
      <c r="AG2528">
        <f>IF(OR(('19_Расчет_аналитики'!AG2444-'19_Расчет_аналитики'!AG2472)=0,13&lt;='01_Вводные'!$B$297),0,('19_Расчет_аналитики'!AG2444-'19_Расчет_аналитики'!AG2472)*IF('01_Вводные'!$B$239="Да",MeanMinAge13+'19_Расчет_аналитики'!AG2584*SUMIF(ThresholdAge13,"&lt;"&amp;'19_Расчет_аналитики'!AG2584,WeightedRevAge13)-SUMIF(ThresholdAge13,"&lt;"&amp;'19_Расчет_аналитики'!AG2584,WeightedMinAge13),MAX(CapacityAge13*'01_Вводные'!$B$218*'19_Расчет_аналитики'!AG2584,MeanMinAge13)))</f>
        <v/>
      </c>
      <c r="AH2528">
        <f>IF(OR(('19_Расчет_аналитики'!AH2444-'19_Расчет_аналитики'!AH2472)=0,13&lt;='01_Вводные'!$B$297),0,('19_Расчет_аналитики'!AH2444-'19_Расчет_аналитики'!AH2472)*IF('01_Вводные'!$B$239="Да",MeanMinAge13+'19_Расчет_аналитики'!AH2584*SUMIF(ThresholdAge13,"&lt;"&amp;'19_Расчет_аналитики'!AH2584,WeightedRevAge13)-SUMIF(ThresholdAge13,"&lt;"&amp;'19_Расчет_аналитики'!AH2584,WeightedMinAge13),MAX(CapacityAge13*'01_Вводные'!$B$218*'19_Расчет_аналитики'!AH2584,MeanMinAge13)))</f>
        <v/>
      </c>
      <c r="AI2528">
        <f>IF(OR(('19_Расчет_аналитики'!AI2444-'19_Расчет_аналитики'!AI2472)=0,13&lt;='01_Вводные'!$B$297),0,('19_Расчет_аналитики'!AI2444-'19_Расчет_аналитики'!AI2472)*IF('01_Вводные'!$B$239="Да",MeanMinAge13+'19_Расчет_аналитики'!AI2584*SUMIF(ThresholdAge13,"&lt;"&amp;'19_Расчет_аналитики'!AI2584,WeightedRevAge13)-SUMIF(ThresholdAge13,"&lt;"&amp;'19_Расчет_аналитики'!AI2584,WeightedMinAge13),MAX(CapacityAge13*'01_Вводные'!$B$218*'19_Расчет_аналитики'!AI2584,MeanMinAge13)))</f>
        <v/>
      </c>
      <c r="AJ2528">
        <f>IF(OR(('19_Расчет_аналитики'!AJ2444-'19_Расчет_аналитики'!AJ2472)=0,13&lt;='01_Вводные'!$B$297),0,('19_Расчет_аналитики'!AJ2444-'19_Расчет_аналитики'!AJ2472)*IF('01_Вводные'!$B$239="Да",MeanMinAge13+'19_Расчет_аналитики'!AJ2584*SUMIF(ThresholdAge13,"&lt;"&amp;'19_Расчет_аналитики'!AJ2584,WeightedRevAge13)-SUMIF(ThresholdAge13,"&lt;"&amp;'19_Расчет_аналитики'!AJ2584,WeightedMinAge13),MAX(CapacityAge13*'01_Вводные'!$B$218*'19_Расчет_аналитики'!AJ2584,MeanMinAge13)))</f>
        <v/>
      </c>
      <c r="AK2528">
        <f>IF(OR(('19_Расчет_аналитики'!AK2444-'19_Расчет_аналитики'!AK2472)=0,13&lt;='01_Вводные'!$B$297),0,('19_Расчет_аналитики'!AK2444-'19_Расчет_аналитики'!AK2472)*IF('01_Вводные'!$B$239="Да",MeanMinAge13+'19_Расчет_аналитики'!AK2584*SUMIF(ThresholdAge13,"&lt;"&amp;'19_Расчет_аналитики'!AK2584,WeightedRevAge13)-SUMIF(ThresholdAge13,"&lt;"&amp;'19_Расчет_аналитики'!AK2584,WeightedMinAge13),MAX(CapacityAge13*'01_Вводные'!$B$218*'19_Расчет_аналитики'!AK2584,MeanMinAge13)))</f>
        <v/>
      </c>
      <c r="AL2528">
        <f>IF(OR(('19_Расчет_аналитики'!AL2444-'19_Расчет_аналитики'!AL2472)=0,13&lt;='01_Вводные'!$B$297),0,('19_Расчет_аналитики'!AL2444-'19_Расчет_аналитики'!AL2472)*IF('01_Вводные'!$B$239="Да",MeanMinAge13+'19_Расчет_аналитики'!AL2584*SUMIF(ThresholdAge13,"&lt;"&amp;'19_Расчет_аналитики'!AL2584,WeightedRevAge13)-SUMIF(ThresholdAge13,"&lt;"&amp;'19_Расчет_аналитики'!AL2584,WeightedMinAge13),MAX(CapacityAge13*'01_Вводные'!$B$218*'19_Расчет_аналитики'!AL2584,MeanMinAge13)))</f>
        <v/>
      </c>
      <c r="AM2528">
        <f>IF(OR(('19_Расчет_аналитики'!AM2444-'19_Расчет_аналитики'!AM2472)=0,13&lt;='01_Вводные'!$B$297),0,('19_Расчет_аналитики'!AM2444-'19_Расчет_аналитики'!AM2472)*IF('01_Вводные'!$B$239="Да",MeanMinAge13+'19_Расчет_аналитики'!AM2584*SUMIF(ThresholdAge13,"&lt;"&amp;'19_Расчет_аналитики'!AM2584,WeightedRevAge13)-SUMIF(ThresholdAge13,"&lt;"&amp;'19_Расчет_аналитики'!AM2584,WeightedMinAge13),MAX(CapacityAge13*'01_Вводные'!$B$218*'19_Расчет_аналитики'!AM2584,MeanMinAge13)))</f>
        <v/>
      </c>
      <c r="AN2528">
        <f>IF(OR(('19_Расчет_аналитики'!AN2444-'19_Расчет_аналитики'!AN2472)=0,13&lt;='01_Вводные'!$B$297),0,('19_Расчет_аналитики'!AN2444-'19_Расчет_аналитики'!AN2472)*IF('01_Вводные'!$B$239="Да",MeanMinAge13+'19_Расчет_аналитики'!AN2584*SUMIF(ThresholdAge13,"&lt;"&amp;'19_Расчет_аналитики'!AN2584,WeightedRevAge13)-SUMIF(ThresholdAge13,"&lt;"&amp;'19_Расчет_аналитики'!AN2584,WeightedMinAge13),MAX(CapacityAge13*'01_Вводные'!$B$218*'19_Расчет_аналитики'!AN2584,MeanMinAge13)))</f>
        <v/>
      </c>
      <c r="AO2528">
        <f>IF(OR(('19_Расчет_аналитики'!AO2444-'19_Расчет_аналитики'!AO2472)=0,13&lt;='01_Вводные'!$B$297),0,('19_Расчет_аналитики'!AO2444-'19_Расчет_аналитики'!AO2472)*IF('01_Вводные'!$B$239="Да",MeanMinAge13+'19_Расчет_аналитики'!AO2584*SUMIF(ThresholdAge13,"&lt;"&amp;'19_Расчет_аналитики'!AO2584,WeightedRevAge13)-SUMIF(ThresholdAge13,"&lt;"&amp;'19_Расчет_аналитики'!AO2584,WeightedMinAge13),MAX(CapacityAge13*'01_Вводные'!$B$218*'19_Расчет_аналитики'!AO2584,MeanMinAge13)))</f>
        <v/>
      </c>
      <c r="AP2528">
        <f>IF(OR(('19_Расчет_аналитики'!AP2444-'19_Расчет_аналитики'!AP2472)=0,13&lt;='01_Вводные'!$B$297),0,('19_Расчет_аналитики'!AP2444-'19_Расчет_аналитики'!AP2472)*IF('01_Вводные'!$B$239="Да",MeanMinAge13+'19_Расчет_аналитики'!AP2584*SUMIF(ThresholdAge13,"&lt;"&amp;'19_Расчет_аналитики'!AP2584,WeightedRevAge13)-SUMIF(ThresholdAge13,"&lt;"&amp;'19_Расчет_аналитики'!AP2584,WeightedMinAge13),MAX(CapacityAge13*'01_Вводные'!$B$218*'19_Расчет_аналитики'!AP2584,MeanMinAge13)))</f>
        <v/>
      </c>
      <c r="AQ2528">
        <f>IF(OR(('19_Расчет_аналитики'!AQ2444-'19_Расчет_аналитики'!AQ2472)=0,13&lt;='01_Вводные'!$B$297),0,('19_Расчет_аналитики'!AQ2444-'19_Расчет_аналитики'!AQ2472)*IF('01_Вводные'!$B$239="Да",MeanMinAge13+'19_Расчет_аналитики'!AQ2584*SUMIF(ThresholdAge13,"&lt;"&amp;'19_Расчет_аналитики'!AQ2584,WeightedRevAge13)-SUMIF(ThresholdAge13,"&lt;"&amp;'19_Расчет_аналитики'!AQ2584,WeightedMinAge13),MAX(CapacityAge13*'01_Вводные'!$B$218*'19_Расчет_аналитики'!AQ2584,MeanMinAge13)))</f>
        <v/>
      </c>
      <c r="AR2528">
        <f>IF(OR(('19_Расчет_аналитики'!AR2444-'19_Расчет_аналитики'!AR2472)=0,13&lt;='01_Вводные'!$B$297),0,('19_Расчет_аналитики'!AR2444-'19_Расчет_аналитики'!AR2472)*IF('01_Вводные'!$B$239="Да",MeanMinAge13+'19_Расчет_аналитики'!AR2584*SUMIF(ThresholdAge13,"&lt;"&amp;'19_Расчет_аналитики'!AR2584,WeightedRevAge13)-SUMIF(ThresholdAge13,"&lt;"&amp;'19_Расчет_аналитики'!AR2584,WeightedMinAge13),MAX(CapacityAge13*'01_Вводные'!$B$218*'19_Расчет_аналитики'!AR2584,MeanMinAge13)))</f>
        <v/>
      </c>
      <c r="AS2528">
        <f>IF(OR(('19_Расчет_аналитики'!AS2444-'19_Расчет_аналитики'!AS2472)=0,13&lt;='01_Вводные'!$B$297),0,('19_Расчет_аналитики'!AS2444-'19_Расчет_аналитики'!AS2472)*IF('01_Вводные'!$B$239="Да",MeanMinAge13+'19_Расчет_аналитики'!AS2584*SUMIF(ThresholdAge13,"&lt;"&amp;'19_Расчет_аналитики'!AS2584,WeightedRevAge13)-SUMIF(ThresholdAge13,"&lt;"&amp;'19_Расчет_аналитики'!AS2584,WeightedMinAge13),MAX(CapacityAge13*'01_Вводные'!$B$218*'19_Расчет_аналитики'!AS2584,MeanMinAge13)))</f>
        <v/>
      </c>
      <c r="AT2528">
        <f>IF(OR(('19_Расчет_аналитики'!AT2444-'19_Расчет_аналитики'!AT2472)=0,13&lt;='01_Вводные'!$B$297),0,('19_Расчет_аналитики'!AT2444-'19_Расчет_аналитики'!AT2472)*IF('01_Вводные'!$B$239="Да",MeanMinAge13+'19_Расчет_аналитики'!AT2584*SUMIF(ThresholdAge13,"&lt;"&amp;'19_Расчет_аналитики'!AT2584,WeightedRevAge13)-SUMIF(ThresholdAge13,"&lt;"&amp;'19_Расчет_аналитики'!AT2584,WeightedMinAge13),MAX(CapacityAge13*'01_Вводные'!$B$218*'19_Расчет_аналитики'!AT2584,MeanMinAge13)))</f>
        <v/>
      </c>
      <c r="AU2528">
        <f>IF(OR(('19_Расчет_аналитики'!AU2444-'19_Расчет_аналитики'!AU2472)=0,13&lt;='01_Вводные'!$B$297),0,('19_Расчет_аналитики'!AU2444-'19_Расчет_аналитики'!AU2472)*IF('01_Вводные'!$B$239="Да",MeanMinAge13+'19_Расчет_аналитики'!AU2584*SUMIF(ThresholdAge13,"&lt;"&amp;'19_Расчет_аналитики'!AU2584,WeightedRevAge13)-SUMIF(ThresholdAge13,"&lt;"&amp;'19_Расчет_аналитики'!AU2584,WeightedMinAge13),MAX(CapacityAge13*'01_Вводные'!$B$218*'19_Расчет_аналитики'!AU2584,MeanMinAge13)))</f>
        <v/>
      </c>
      <c r="AV2528">
        <f>IF(OR(('19_Расчет_аналитики'!AV2444-'19_Расчет_аналитики'!AV2472)=0,13&lt;='01_Вводные'!$B$297),0,('19_Расчет_аналитики'!AV2444-'19_Расчет_аналитики'!AV2472)*IF('01_Вводные'!$B$239="Да",MeanMinAge13+'19_Расчет_аналитики'!AV2584*SUMIF(ThresholdAge13,"&lt;"&amp;'19_Расчет_аналитики'!AV2584,WeightedRevAge13)-SUMIF(ThresholdAge13,"&lt;"&amp;'19_Расчет_аналитики'!AV2584,WeightedMinAge13),MAX(CapacityAge13*'01_Вводные'!$B$218*'19_Расчет_аналитики'!AV2584,MeanMinAge13)))</f>
        <v/>
      </c>
      <c r="AW2528">
        <f>IF(OR(('19_Расчет_аналитики'!AW2444-'19_Расчет_аналитики'!AW2472)=0,13&lt;='01_Вводные'!$B$297),0,('19_Расчет_аналитики'!AW2444-'19_Расчет_аналитики'!AW2472)*IF('01_Вводные'!$B$239="Да",MeanMinAge13+'19_Расчет_аналитики'!AW2584*SUMIF(ThresholdAge13,"&lt;"&amp;'19_Расчет_аналитики'!AW2584,WeightedRevAge13)-SUMIF(ThresholdAge13,"&lt;"&amp;'19_Расчет_аналитики'!AW2584,WeightedMinAge13),MAX(CapacityAge13*'01_Вводные'!$B$218*'19_Расчет_аналитики'!AW2584,MeanMinAge13)))</f>
        <v/>
      </c>
      <c r="AX2528">
        <f>IF(OR(('19_Расчет_аналитики'!AX2444-'19_Расчет_аналитики'!AX2472)=0,13&lt;='01_Вводные'!$B$297),0,('19_Расчет_аналитики'!AX2444-'19_Расчет_аналитики'!AX2472)*IF('01_Вводные'!$B$239="Да",MeanMinAge13+'19_Расчет_аналитики'!AX2584*SUMIF(ThresholdAge13,"&lt;"&amp;'19_Расчет_аналитики'!AX2584,WeightedRevAge13)-SUMIF(ThresholdAge13,"&lt;"&amp;'19_Расчет_аналитики'!AX2584,WeightedMinAge13),MAX(CapacityAge13*'01_Вводные'!$B$218*'19_Расчет_аналитики'!AX2584,MeanMinAge13)))</f>
        <v/>
      </c>
      <c r="AY2528">
        <f>IF(OR(('19_Расчет_аналитики'!AY2444-'19_Расчет_аналитики'!AY2472)=0,13&lt;='01_Вводные'!$B$297),0,('19_Расчет_аналитики'!AY2444-'19_Расчет_аналитики'!AY2472)*IF('01_Вводные'!$B$239="Да",MeanMinAge13+'19_Расчет_аналитики'!AY2584*SUMIF(ThresholdAge13,"&lt;"&amp;'19_Расчет_аналитики'!AY2584,WeightedRevAge13)-SUMIF(ThresholdAge13,"&lt;"&amp;'19_Расчет_аналитики'!AY2584,WeightedMinAge13),MAX(CapacityAge13*'01_Вводные'!$B$218*'19_Расчет_аналитики'!AY2584,MeanMinAge13)))</f>
        <v/>
      </c>
      <c r="AZ2528">
        <f>IF(OR(('19_Расчет_аналитики'!AZ2444-'19_Расчет_аналитики'!AZ2472)=0,13&lt;='01_Вводные'!$B$297),0,('19_Расчет_аналитики'!AZ2444-'19_Расчет_аналитики'!AZ2472)*IF('01_Вводные'!$B$239="Да",MeanMinAge13+'19_Расчет_аналитики'!AZ2584*SUMIF(ThresholdAge13,"&lt;"&amp;'19_Расчет_аналитики'!AZ2584,WeightedRevAge13)-SUMIF(ThresholdAge13,"&lt;"&amp;'19_Расчет_аналитики'!AZ2584,WeightedMinAge13),MAX(CapacityAge13*'01_Вводные'!$B$218*'19_Расчет_аналитики'!AZ2584,MeanMinAge13)))</f>
        <v/>
      </c>
      <c r="BA2528">
        <f>IF(OR(('19_Расчет_аналитики'!BA2444-'19_Расчет_аналитики'!BA2472)=0,13&lt;='01_Вводные'!$B$297),0,('19_Расчет_аналитики'!BA2444-'19_Расчет_аналитики'!BA2472)*IF('01_Вводные'!$B$239="Да",MeanMinAge13+'19_Расчет_аналитики'!BA2584*SUMIF(ThresholdAge13,"&lt;"&amp;'19_Расчет_аналитики'!BA2584,WeightedRevAge13)-SUMIF(ThresholdAge13,"&lt;"&amp;'19_Расчет_аналитики'!BA2584,WeightedMinAge13),MAX(CapacityAge13*'01_Вводные'!$B$218*'19_Расчет_аналитики'!BA2584,MeanMinAge13)))</f>
        <v/>
      </c>
      <c r="BB2528">
        <f>IF(OR(('19_Расчет_аналитики'!BB2444-'19_Расчет_аналитики'!BB2472)=0,13&lt;='01_Вводные'!$B$297),0,('19_Расчет_аналитики'!BB2444-'19_Расчет_аналитики'!BB2472)*IF('01_Вводные'!$B$239="Да",MeanMinAge13+'19_Расчет_аналитики'!BB2584*SUMIF(ThresholdAge13,"&lt;"&amp;'19_Расчет_аналитики'!BB2584,WeightedRevAge13)-SUMIF(ThresholdAge13,"&lt;"&amp;'19_Расчет_аналитики'!BB2584,WeightedMinAge13),MAX(CapacityAge13*'01_Вводные'!$B$218*'19_Расчет_аналитики'!BB2584,MeanMinAge13)))</f>
        <v/>
      </c>
      <c r="BC2528">
        <f>IF(OR(('19_Расчет_аналитики'!BC2444-'19_Расчет_аналитики'!BC2472)=0,13&lt;='01_Вводные'!$B$297),0,('19_Расчет_аналитики'!BC2444-'19_Расчет_аналитики'!BC2472)*IF('01_Вводные'!$B$239="Да",MeanMinAge13+'19_Расчет_аналитики'!BC2584*SUMIF(ThresholdAge13,"&lt;"&amp;'19_Расчет_аналитики'!BC2584,WeightedRevAge13)-SUMIF(ThresholdAge13,"&lt;"&amp;'19_Расчет_аналитики'!BC2584,WeightedMinAge13),MAX(CapacityAge13*'01_Вводные'!$B$218*'19_Расчет_аналитики'!BC2584,MeanMinAge13)))</f>
        <v/>
      </c>
      <c r="BD2528">
        <f>IF(OR(('19_Расчет_аналитики'!BD2444-'19_Расчет_аналитики'!BD2472)=0,13&lt;='01_Вводные'!$B$297),0,('19_Расчет_аналитики'!BD2444-'19_Расчет_аналитики'!BD2472)*IF('01_Вводные'!$B$239="Да",MeanMinAge13+'19_Расчет_аналитики'!BD2584*SUMIF(ThresholdAge13,"&lt;"&amp;'19_Расчет_аналитики'!BD2584,WeightedRevAge13)-SUMIF(ThresholdAge13,"&lt;"&amp;'19_Расчет_аналитики'!BD2584,WeightedMinAge13),MAX(CapacityAge13*'01_Вводные'!$B$218*'19_Расчет_аналитики'!BD2584,MeanMinAge13)))</f>
        <v/>
      </c>
      <c r="BE2528">
        <f>IF(OR(('19_Расчет_аналитики'!BE2444-'19_Расчет_аналитики'!BE2472)=0,13&lt;='01_Вводные'!$B$297),0,('19_Расчет_аналитики'!BE2444-'19_Расчет_аналитики'!BE2472)*IF('01_Вводные'!$B$239="Да",MeanMinAge13+'19_Расчет_аналитики'!BE2584*SUMIF(ThresholdAge13,"&lt;"&amp;'19_Расчет_аналитики'!BE2584,WeightedRevAge13)-SUMIF(ThresholdAge13,"&lt;"&amp;'19_Расчет_аналитики'!BE2584,WeightedMinAge13),MAX(CapacityAge13*'01_Вводные'!$B$218*'19_Расчет_аналитики'!BE2584,MeanMinAge13)))</f>
        <v/>
      </c>
      <c r="BF2528">
        <f>IF(OR(('19_Расчет_аналитики'!BF2444-'19_Расчет_аналитики'!BF2472)=0,13&lt;='01_Вводные'!$B$297),0,('19_Расчет_аналитики'!BF2444-'19_Расчет_аналитики'!BF2472)*IF('01_Вводные'!$B$239="Да",MeanMinAge13+'19_Расчет_аналитики'!BF2584*SUMIF(ThresholdAge13,"&lt;"&amp;'19_Расчет_аналитики'!BF2584,WeightedRevAge13)-SUMIF(ThresholdAge13,"&lt;"&amp;'19_Расчет_аналитики'!BF2584,WeightedMinAge13),MAX(CapacityAge13*'01_Вводные'!$B$218*'19_Расчет_аналитики'!BF2584,MeanMinAge13)))</f>
        <v/>
      </c>
      <c r="BG2528">
        <f>IF(OR(('19_Расчет_аналитики'!BG2444-'19_Расчет_аналитики'!BG2472)=0,13&lt;='01_Вводные'!$B$297),0,('19_Расчет_аналитики'!BG2444-'19_Расчет_аналитики'!BG2472)*IF('01_Вводные'!$B$239="Да",MeanMinAge13+'19_Расчет_аналитики'!BG2584*SUMIF(ThresholdAge13,"&lt;"&amp;'19_Расчет_аналитики'!BG2584,WeightedRevAge13)-SUMIF(ThresholdAge13,"&lt;"&amp;'19_Расчет_аналитики'!BG2584,WeightedMinAge13),MAX(CapacityAge13*'01_Вводные'!$B$218*'19_Расчет_аналитики'!BG2584,MeanMinAge13)))</f>
        <v/>
      </c>
      <c r="BH2528">
        <f>IF(OR(('19_Расчет_аналитики'!BH2444-'19_Расчет_аналитики'!BH2472)=0,13&lt;='01_Вводные'!$B$297),0,('19_Расчет_аналитики'!BH2444-'19_Расчет_аналитики'!BH2472)*IF('01_Вводные'!$B$239="Да",MeanMinAge13+'19_Расчет_аналитики'!BH2584*SUMIF(ThresholdAge13,"&lt;"&amp;'19_Расчет_аналитики'!BH2584,WeightedRevAge13)-SUMIF(ThresholdAge13,"&lt;"&amp;'19_Расчет_аналитики'!BH2584,WeightedMinAge13),MAX(CapacityAge13*'01_Вводные'!$B$218*'19_Расчет_аналитики'!BH2584,MeanMinAge13)))</f>
        <v/>
      </c>
      <c r="BI2528">
        <f>IF(OR(('19_Расчет_аналитики'!BI2444-'19_Расчет_аналитики'!BI2472)=0,13&lt;='01_Вводные'!$B$297),0,('19_Расчет_аналитики'!BI2444-'19_Расчет_аналитики'!BI2472)*IF('01_Вводные'!$B$239="Да",MeanMinAge13+'19_Расчет_аналитики'!BI2584*SUMIF(ThresholdAge13,"&lt;"&amp;'19_Расчет_аналитики'!BI2584,WeightedRevAge13)-SUMIF(ThresholdAge13,"&lt;"&amp;'19_Расчет_аналитики'!BI2584,WeightedMinAge13),MAX(CapacityAge13*'01_Вводные'!$B$218*'19_Расчет_аналитики'!BI2584,MeanMinAge13)))</f>
        <v/>
      </c>
      <c r="BJ2528">
        <f>IF(OR(('19_Расчет_аналитики'!BJ2444-'19_Расчет_аналитики'!BJ2472)=0,13&lt;='01_Вводные'!$B$297),0,('19_Расчет_аналитики'!BJ2444-'19_Расчет_аналитики'!BJ2472)*IF('01_Вводные'!$B$239="Да",MeanMinAge13+'19_Расчет_аналитики'!BJ2584*SUMIF(ThresholdAge13,"&lt;"&amp;'19_Расчет_аналитики'!BJ2584,WeightedRevAge13)-SUMIF(ThresholdAge13,"&lt;"&amp;'19_Расчет_аналитики'!BJ2584,WeightedMinAge13),MAX(CapacityAge13*'01_Вводные'!$B$218*'19_Расчет_аналитики'!BJ2584,MeanMinAge13)))</f>
        <v/>
      </c>
      <c r="BK2528">
        <f>IF(OR(('19_Расчет_аналитики'!BK2444-'19_Расчет_аналитики'!BK2472)=0,13&lt;='01_Вводные'!$B$297),0,('19_Расчет_аналитики'!BK2444-'19_Расчет_аналитики'!BK2472)*IF('01_Вводные'!$B$239="Да",MeanMinAge13+'19_Расчет_аналитики'!BK2584*SUMIF(ThresholdAge13,"&lt;"&amp;'19_Расчет_аналитики'!BK2584,WeightedRevAge13)-SUMIF(ThresholdAge13,"&lt;"&amp;'19_Расчет_аналитики'!BK2584,WeightedMinAge13),MAX(CapacityAge13*'01_Вводные'!$B$218*'19_Расчет_аналитики'!BK2584,MeanMinAge13)))</f>
        <v/>
      </c>
      <c r="BL2528">
        <f>IF(OR(('19_Расчет_аналитики'!BL2444-'19_Расчет_аналитики'!BL2472)=0,13&lt;='01_Вводные'!$B$297),0,('19_Расчет_аналитики'!BL2444-'19_Расчет_аналитики'!BL2472)*IF('01_Вводные'!$B$239="Да",MeanMinAge13+'19_Расчет_аналитики'!BL2584*SUMIF(ThresholdAge13,"&lt;"&amp;'19_Расчет_аналитики'!BL2584,WeightedRevAge13)-SUMIF(ThresholdAge13,"&lt;"&amp;'19_Расчет_аналитики'!BL2584,WeightedMinAge13),MAX(CapacityAge13*'01_Вводные'!$B$218*'19_Расчет_аналитики'!BL2584,MeanMinAge13)))</f>
        <v/>
      </c>
      <c r="BM2528">
        <f>IF(OR(('19_Расчет_аналитики'!BM2444-'19_Расчет_аналитики'!BM2472)=0,13&lt;='01_Вводные'!$B$297),0,('19_Расчет_аналитики'!BM2444-'19_Расчет_аналитики'!BM2472)*IF('01_Вводные'!$B$239="Да",MeanMinAge13+'19_Расчет_аналитики'!BM2584*SUMIF(ThresholdAge13,"&lt;"&amp;'19_Расчет_аналитики'!BM2584,WeightedRevAge13)-SUMIF(ThresholdAge13,"&lt;"&amp;'19_Расчет_аналитики'!BM2584,WeightedMinAge13),MAX(CapacityAge13*'01_Вводные'!$B$218*'19_Расчет_аналитики'!BM2584,MeanMinAge13)))</f>
        <v/>
      </c>
      <c r="BN2528">
        <f>IF(OR(('19_Расчет_аналитики'!BN2444-'19_Расчет_аналитики'!BN2472)=0,13&lt;='01_Вводные'!$B$297),0,('19_Расчет_аналитики'!BN2444-'19_Расчет_аналитики'!BN2472)*IF('01_Вводные'!$B$239="Да",MeanMinAge13+'19_Расчет_аналитики'!BN2584*SUMIF(ThresholdAge13,"&lt;"&amp;'19_Расчет_аналитики'!BN2584,WeightedRevAge13)-SUMIF(ThresholdAge13,"&lt;"&amp;'19_Расчет_аналитики'!BN2584,WeightedMinAge13),MAX(CapacityAge13*'01_Вводные'!$B$218*'19_Расчет_аналитики'!BN2584,MeanMinAge13)))</f>
        <v/>
      </c>
      <c r="BO2528">
        <f>IF(OR(('19_Расчет_аналитики'!BO2444-'19_Расчет_аналитики'!BO2472)=0,13&lt;='01_Вводные'!$B$297),0,('19_Расчет_аналитики'!BO2444-'19_Расчет_аналитики'!BO2472)*IF('01_Вводные'!$B$239="Да",MeanMinAge13+'19_Расчет_аналитики'!BO2584*SUMIF(ThresholdAge13,"&lt;"&amp;'19_Расчет_аналитики'!BO2584,WeightedRevAge13)-SUMIF(ThresholdAge13,"&lt;"&amp;'19_Расчет_аналитики'!BO2584,WeightedMinAge13),MAX(CapacityAge13*'01_Вводные'!$B$218*'19_Расчет_аналитики'!BO2584,MeanMinAge13)))</f>
        <v/>
      </c>
    </row>
    <row r="2529">
      <c r="B2529">
        <f>IF(OR(('06_Сеть_и_дети'!B66-'06_Сеть_и_дети'!B94)=0,14&lt;='01_Вводные'!$B$297),0,('06_Сеть_и_дети'!B66-'06_Сеть_и_дети'!B94)*IF('01_Вводные'!$B$239="Да",MeanMinAge14+'19_Расчет_аналитики'!B2584*SUMIF(ThresholdAge14,"&lt;"&amp;'19_Расчет_аналитики'!B2584,WeightedRevAge14)-SUMIF(ThresholdAge14,"&lt;"&amp;'19_Расчет_аналитики'!B2584,WeightedMinAge14),MAX(CapacityAge14*'01_Вводные'!$B$218*'19_Расчет_аналитики'!B2584,MeanMinAge14)))</f>
        <v/>
      </c>
      <c r="C2529">
        <f>IF(OR(('06_Сеть_и_дети'!C66-'06_Сеть_и_дети'!C94)=0,14&lt;='01_Вводные'!$B$297),0,('06_Сеть_и_дети'!C66-'06_Сеть_и_дети'!C94)*IF('01_Вводные'!$B$239="Да",MeanMinAge14+'19_Расчет_аналитики'!C2584*SUMIF(ThresholdAge14,"&lt;"&amp;'19_Расчет_аналитики'!C2584,WeightedRevAge14)-SUMIF(ThresholdAge14,"&lt;"&amp;'19_Расчет_аналитики'!C2584,WeightedMinAge14),MAX(CapacityAge14*'01_Вводные'!$B$218*'19_Расчет_аналитики'!C2584,MeanMinAge14)))</f>
        <v/>
      </c>
      <c r="D2529">
        <f>IF(OR(('06_Сеть_и_дети'!D66-'06_Сеть_и_дети'!D94)=0,14&lt;='01_Вводные'!$B$297),0,('06_Сеть_и_дети'!D66-'06_Сеть_и_дети'!D94)*IF('01_Вводные'!$B$239="Да",MeanMinAge14+'19_Расчет_аналитики'!D2584*SUMIF(ThresholdAge14,"&lt;"&amp;'19_Расчет_аналитики'!D2584,WeightedRevAge14)-SUMIF(ThresholdAge14,"&lt;"&amp;'19_Расчет_аналитики'!D2584,WeightedMinAge14),MAX(CapacityAge14*'01_Вводные'!$B$218*'19_Расчет_аналитики'!D2584,MeanMinAge14)))</f>
        <v/>
      </c>
      <c r="E2529">
        <f>IF(OR(('06_Сеть_и_дети'!E66-'06_Сеть_и_дети'!E94)=0,14&lt;='01_Вводные'!$B$297),0,('06_Сеть_и_дети'!E66-'06_Сеть_и_дети'!E94)*IF('01_Вводные'!$B$239="Да",MeanMinAge14+'19_Расчет_аналитики'!E2584*SUMIF(ThresholdAge14,"&lt;"&amp;'19_Расчет_аналитики'!E2584,WeightedRevAge14)-SUMIF(ThresholdAge14,"&lt;"&amp;'19_Расчет_аналитики'!E2584,WeightedMinAge14),MAX(CapacityAge14*'01_Вводные'!$B$218*'19_Расчет_аналитики'!E2584,MeanMinAge14)))</f>
        <v/>
      </c>
      <c r="F2529">
        <f>IF(OR(('06_Сеть_и_дети'!F66-'06_Сеть_и_дети'!F94)=0,14&lt;='01_Вводные'!$B$297),0,('06_Сеть_и_дети'!F66-'06_Сеть_и_дети'!F94)*IF('01_Вводные'!$B$239="Да",MeanMinAge14+'19_Расчет_аналитики'!F2584*SUMIF(ThresholdAge14,"&lt;"&amp;'19_Расчет_аналитики'!F2584,WeightedRevAge14)-SUMIF(ThresholdAge14,"&lt;"&amp;'19_Расчет_аналитики'!F2584,WeightedMinAge14),MAX(CapacityAge14*'01_Вводные'!$B$218*'19_Расчет_аналитики'!F2584,MeanMinAge14)))</f>
        <v/>
      </c>
      <c r="G2529">
        <f>IF(OR(('06_Сеть_и_дети'!G66-'06_Сеть_и_дети'!G94)=0,14&lt;='01_Вводные'!$B$297),0,('06_Сеть_и_дети'!G66-'06_Сеть_и_дети'!G94)*IF('01_Вводные'!$B$239="Да",MeanMinAge14+'19_Расчет_аналитики'!G2584*SUMIF(ThresholdAge14,"&lt;"&amp;'19_Расчет_аналитики'!G2584,WeightedRevAge14)-SUMIF(ThresholdAge14,"&lt;"&amp;'19_Расчет_аналитики'!G2584,WeightedMinAge14),MAX(CapacityAge14*'01_Вводные'!$B$218*'19_Расчет_аналитики'!G2584,MeanMinAge14)))</f>
        <v/>
      </c>
      <c r="H2529">
        <f>IF(OR(('06_Сеть_и_дети'!H66-'06_Сеть_и_дети'!H94)=0,14&lt;='01_Вводные'!$B$297),0,('06_Сеть_и_дети'!H66-'06_Сеть_и_дети'!H94)*IF('01_Вводные'!$B$239="Да",MeanMinAge14+'19_Расчет_аналитики'!H2584*SUMIF(ThresholdAge14,"&lt;"&amp;'19_Расчет_аналитики'!H2584,WeightedRevAge14)-SUMIF(ThresholdAge14,"&lt;"&amp;'19_Расчет_аналитики'!H2584,WeightedMinAge14),MAX(CapacityAge14*'01_Вводные'!$B$218*'19_Расчет_аналитики'!H2584,MeanMinAge14)))</f>
        <v/>
      </c>
      <c r="I2529">
        <f>IF(OR(('06_Сеть_и_дети'!I66-'06_Сеть_и_дети'!I94)=0,14&lt;='01_Вводные'!$B$297),0,('06_Сеть_и_дети'!I66-'06_Сеть_и_дети'!I94)*IF('01_Вводные'!$B$239="Да",MeanMinAge14+'19_Расчет_аналитики'!I2584*SUMIF(ThresholdAge14,"&lt;"&amp;'19_Расчет_аналитики'!I2584,WeightedRevAge14)-SUMIF(ThresholdAge14,"&lt;"&amp;'19_Расчет_аналитики'!I2584,WeightedMinAge14),MAX(CapacityAge14*'01_Вводные'!$B$218*'19_Расчет_аналитики'!I2584,MeanMinAge14)))</f>
        <v/>
      </c>
      <c r="J2529">
        <f>IF(OR(('06_Сеть_и_дети'!J66-'06_Сеть_и_дети'!J94)=0,14&lt;='01_Вводные'!$B$297),0,('06_Сеть_и_дети'!J66-'06_Сеть_и_дети'!J94)*IF('01_Вводные'!$B$239="Да",MeanMinAge14+'19_Расчет_аналитики'!J2584*SUMIF(ThresholdAge14,"&lt;"&amp;'19_Расчет_аналитики'!J2584,WeightedRevAge14)-SUMIF(ThresholdAge14,"&lt;"&amp;'19_Расчет_аналитики'!J2584,WeightedMinAge14),MAX(CapacityAge14*'01_Вводные'!$B$218*'19_Расчет_аналитики'!J2584,MeanMinAge14)))</f>
        <v/>
      </c>
      <c r="K2529">
        <f>IF(OR(('06_Сеть_и_дети'!K66-'06_Сеть_и_дети'!K94)=0,14&lt;='01_Вводные'!$B$297),0,('06_Сеть_и_дети'!K66-'06_Сеть_и_дети'!K94)*IF('01_Вводные'!$B$239="Да",MeanMinAge14+'19_Расчет_аналитики'!K2584*SUMIF(ThresholdAge14,"&lt;"&amp;'19_Расчет_аналитики'!K2584,WeightedRevAge14)-SUMIF(ThresholdAge14,"&lt;"&amp;'19_Расчет_аналитики'!K2584,WeightedMinAge14),MAX(CapacityAge14*'01_Вводные'!$B$218*'19_Расчет_аналитики'!K2584,MeanMinAge14)))</f>
        <v/>
      </c>
      <c r="L2529">
        <f>IF(OR(('06_Сеть_и_дети'!L66-'06_Сеть_и_дети'!L94)=0,14&lt;='01_Вводные'!$B$297),0,('06_Сеть_и_дети'!L66-'06_Сеть_и_дети'!L94)*IF('01_Вводные'!$B$239="Да",MeanMinAge14+'19_Расчет_аналитики'!L2584*SUMIF(ThresholdAge14,"&lt;"&amp;'19_Расчет_аналитики'!L2584,WeightedRevAge14)-SUMIF(ThresholdAge14,"&lt;"&amp;'19_Расчет_аналитики'!L2584,WeightedMinAge14),MAX(CapacityAge14*'01_Вводные'!$B$218*'19_Расчет_аналитики'!L2584,MeanMinAge14)))</f>
        <v/>
      </c>
      <c r="M2529">
        <f>IF(OR(('06_Сеть_и_дети'!M66-'06_Сеть_и_дети'!M94)=0,14&lt;='01_Вводные'!$B$297),0,('06_Сеть_и_дети'!M66-'06_Сеть_и_дети'!M94)*IF('01_Вводные'!$B$239="Да",MeanMinAge14+'19_Расчет_аналитики'!M2584*SUMIF(ThresholdAge14,"&lt;"&amp;'19_Расчет_аналитики'!M2584,WeightedRevAge14)-SUMIF(ThresholdAge14,"&lt;"&amp;'19_Расчет_аналитики'!M2584,WeightedMinAge14),MAX(CapacityAge14*'01_Вводные'!$B$218*'19_Расчет_аналитики'!M2584,MeanMinAge14)))</f>
        <v/>
      </c>
      <c r="N2529">
        <f>IF(OR(('06_Сеть_и_дети'!N66-'06_Сеть_и_дети'!N94)=0,14&lt;='01_Вводные'!$B$297),0,('06_Сеть_и_дети'!N66-'06_Сеть_и_дети'!N94)*IF('01_Вводные'!$B$239="Да",MeanMinAge14+'19_Расчет_аналитики'!N2584*SUMIF(ThresholdAge14,"&lt;"&amp;'19_Расчет_аналитики'!N2584,WeightedRevAge14)-SUMIF(ThresholdAge14,"&lt;"&amp;'19_Расчет_аналитики'!N2584,WeightedMinAge14),MAX(CapacityAge14*'01_Вводные'!$B$218*'19_Расчет_аналитики'!N2584,MeanMinAge14)))</f>
        <v/>
      </c>
      <c r="O2529">
        <f>IF(OR(('19_Расчет_аналитики'!O2445-'19_Расчет_аналитики'!O2473)=0,14&lt;='01_Вводные'!$B$297),0,('19_Расчет_аналитики'!O2445-'19_Расчет_аналитики'!O2473)*IF('01_Вводные'!$B$239="Да",MeanMinAge14+'19_Расчет_аналитики'!O2584*SUMIF(ThresholdAge14,"&lt;"&amp;'19_Расчет_аналитики'!O2584,WeightedRevAge14)-SUMIF(ThresholdAge14,"&lt;"&amp;'19_Расчет_аналитики'!O2584,WeightedMinAge14),MAX(CapacityAge14*'01_Вводные'!$B$218*'19_Расчет_аналитики'!O2584,MeanMinAge14)))</f>
        <v/>
      </c>
      <c r="P2529">
        <f>IF(OR(('19_Расчет_аналитики'!P2445-'19_Расчет_аналитики'!P2473)=0,14&lt;='01_Вводные'!$B$297),0,('19_Расчет_аналитики'!P2445-'19_Расчет_аналитики'!P2473)*IF('01_Вводные'!$B$239="Да",MeanMinAge14+'19_Расчет_аналитики'!P2584*SUMIF(ThresholdAge14,"&lt;"&amp;'19_Расчет_аналитики'!P2584,WeightedRevAge14)-SUMIF(ThresholdAge14,"&lt;"&amp;'19_Расчет_аналитики'!P2584,WeightedMinAge14),MAX(CapacityAge14*'01_Вводные'!$B$218*'19_Расчет_аналитики'!P2584,MeanMinAge14)))</f>
        <v/>
      </c>
      <c r="Q2529">
        <f>IF(OR(('19_Расчет_аналитики'!Q2445-'19_Расчет_аналитики'!Q2473)=0,14&lt;='01_Вводные'!$B$297),0,('19_Расчет_аналитики'!Q2445-'19_Расчет_аналитики'!Q2473)*IF('01_Вводные'!$B$239="Да",MeanMinAge14+'19_Расчет_аналитики'!Q2584*SUMIF(ThresholdAge14,"&lt;"&amp;'19_Расчет_аналитики'!Q2584,WeightedRevAge14)-SUMIF(ThresholdAge14,"&lt;"&amp;'19_Расчет_аналитики'!Q2584,WeightedMinAge14),MAX(CapacityAge14*'01_Вводные'!$B$218*'19_Расчет_аналитики'!Q2584,MeanMinAge14)))</f>
        <v/>
      </c>
      <c r="R2529">
        <f>IF(OR(('19_Расчет_аналитики'!R2445-'19_Расчет_аналитики'!R2473)=0,14&lt;='01_Вводные'!$B$297),0,('19_Расчет_аналитики'!R2445-'19_Расчет_аналитики'!R2473)*IF('01_Вводные'!$B$239="Да",MeanMinAge14+'19_Расчет_аналитики'!R2584*SUMIF(ThresholdAge14,"&lt;"&amp;'19_Расчет_аналитики'!R2584,WeightedRevAge14)-SUMIF(ThresholdAge14,"&lt;"&amp;'19_Расчет_аналитики'!R2584,WeightedMinAge14),MAX(CapacityAge14*'01_Вводные'!$B$218*'19_Расчет_аналитики'!R2584,MeanMinAge14)))</f>
        <v/>
      </c>
      <c r="S2529">
        <f>IF(OR(('19_Расчет_аналитики'!S2445-'19_Расчет_аналитики'!S2473)=0,14&lt;='01_Вводные'!$B$297),0,('19_Расчет_аналитики'!S2445-'19_Расчет_аналитики'!S2473)*IF('01_Вводные'!$B$239="Да",MeanMinAge14+'19_Расчет_аналитики'!S2584*SUMIF(ThresholdAge14,"&lt;"&amp;'19_Расчет_аналитики'!S2584,WeightedRevAge14)-SUMIF(ThresholdAge14,"&lt;"&amp;'19_Расчет_аналитики'!S2584,WeightedMinAge14),MAX(CapacityAge14*'01_Вводные'!$B$218*'19_Расчет_аналитики'!S2584,MeanMinAge14)))</f>
        <v/>
      </c>
      <c r="T2529">
        <f>IF(OR(('19_Расчет_аналитики'!T2445-'19_Расчет_аналитики'!T2473)=0,14&lt;='01_Вводные'!$B$297),0,('19_Расчет_аналитики'!T2445-'19_Расчет_аналитики'!T2473)*IF('01_Вводные'!$B$239="Да",MeanMinAge14+'19_Расчет_аналитики'!T2584*SUMIF(ThresholdAge14,"&lt;"&amp;'19_Расчет_аналитики'!T2584,WeightedRevAge14)-SUMIF(ThresholdAge14,"&lt;"&amp;'19_Расчет_аналитики'!T2584,WeightedMinAge14),MAX(CapacityAge14*'01_Вводные'!$B$218*'19_Расчет_аналитики'!T2584,MeanMinAge14)))</f>
        <v/>
      </c>
      <c r="U2529">
        <f>IF(OR(('19_Расчет_аналитики'!U2445-'19_Расчет_аналитики'!U2473)=0,14&lt;='01_Вводные'!$B$297),0,('19_Расчет_аналитики'!U2445-'19_Расчет_аналитики'!U2473)*IF('01_Вводные'!$B$239="Да",MeanMinAge14+'19_Расчет_аналитики'!U2584*SUMIF(ThresholdAge14,"&lt;"&amp;'19_Расчет_аналитики'!U2584,WeightedRevAge14)-SUMIF(ThresholdAge14,"&lt;"&amp;'19_Расчет_аналитики'!U2584,WeightedMinAge14),MAX(CapacityAge14*'01_Вводные'!$B$218*'19_Расчет_аналитики'!U2584,MeanMinAge14)))</f>
        <v/>
      </c>
      <c r="V2529">
        <f>IF(OR(('19_Расчет_аналитики'!V2445-'19_Расчет_аналитики'!V2473)=0,14&lt;='01_Вводные'!$B$297),0,('19_Расчет_аналитики'!V2445-'19_Расчет_аналитики'!V2473)*IF('01_Вводные'!$B$239="Да",MeanMinAge14+'19_Расчет_аналитики'!V2584*SUMIF(ThresholdAge14,"&lt;"&amp;'19_Расчет_аналитики'!V2584,WeightedRevAge14)-SUMIF(ThresholdAge14,"&lt;"&amp;'19_Расчет_аналитики'!V2584,WeightedMinAge14),MAX(CapacityAge14*'01_Вводные'!$B$218*'19_Расчет_аналитики'!V2584,MeanMinAge14)))</f>
        <v/>
      </c>
      <c r="W2529">
        <f>IF(OR(('19_Расчет_аналитики'!W2445-'19_Расчет_аналитики'!W2473)=0,14&lt;='01_Вводные'!$B$297),0,('19_Расчет_аналитики'!W2445-'19_Расчет_аналитики'!W2473)*IF('01_Вводные'!$B$239="Да",MeanMinAge14+'19_Расчет_аналитики'!W2584*SUMIF(ThresholdAge14,"&lt;"&amp;'19_Расчет_аналитики'!W2584,WeightedRevAge14)-SUMIF(ThresholdAge14,"&lt;"&amp;'19_Расчет_аналитики'!W2584,WeightedMinAge14),MAX(CapacityAge14*'01_Вводные'!$B$218*'19_Расчет_аналитики'!W2584,MeanMinAge14)))</f>
        <v/>
      </c>
      <c r="X2529">
        <f>IF(OR(('19_Расчет_аналитики'!X2445-'19_Расчет_аналитики'!X2473)=0,14&lt;='01_Вводные'!$B$297),0,('19_Расчет_аналитики'!X2445-'19_Расчет_аналитики'!X2473)*IF('01_Вводные'!$B$239="Да",MeanMinAge14+'19_Расчет_аналитики'!X2584*SUMIF(ThresholdAge14,"&lt;"&amp;'19_Расчет_аналитики'!X2584,WeightedRevAge14)-SUMIF(ThresholdAge14,"&lt;"&amp;'19_Расчет_аналитики'!X2584,WeightedMinAge14),MAX(CapacityAge14*'01_Вводные'!$B$218*'19_Расчет_аналитики'!X2584,MeanMinAge14)))</f>
        <v/>
      </c>
      <c r="Y2529">
        <f>IF(OR(('19_Расчет_аналитики'!Y2445-'19_Расчет_аналитики'!Y2473)=0,14&lt;='01_Вводные'!$B$297),0,('19_Расчет_аналитики'!Y2445-'19_Расчет_аналитики'!Y2473)*IF('01_Вводные'!$B$239="Да",MeanMinAge14+'19_Расчет_аналитики'!Y2584*SUMIF(ThresholdAge14,"&lt;"&amp;'19_Расчет_аналитики'!Y2584,WeightedRevAge14)-SUMIF(ThresholdAge14,"&lt;"&amp;'19_Расчет_аналитики'!Y2584,WeightedMinAge14),MAX(CapacityAge14*'01_Вводные'!$B$218*'19_Расчет_аналитики'!Y2584,MeanMinAge14)))</f>
        <v/>
      </c>
      <c r="Z2529">
        <f>IF(OR(('19_Расчет_аналитики'!Z2445-'19_Расчет_аналитики'!Z2473)=0,14&lt;='01_Вводные'!$B$297),0,('19_Расчет_аналитики'!Z2445-'19_Расчет_аналитики'!Z2473)*IF('01_Вводные'!$B$239="Да",MeanMinAge14+'19_Расчет_аналитики'!Z2584*SUMIF(ThresholdAge14,"&lt;"&amp;'19_Расчет_аналитики'!Z2584,WeightedRevAge14)-SUMIF(ThresholdAge14,"&lt;"&amp;'19_Расчет_аналитики'!Z2584,WeightedMinAge14),MAX(CapacityAge14*'01_Вводные'!$B$218*'19_Расчет_аналитики'!Z2584,MeanMinAge14)))</f>
        <v/>
      </c>
      <c r="AA2529">
        <f>IF(OR(('19_Расчет_аналитики'!AA2445-'19_Расчет_аналитики'!AA2473)=0,14&lt;='01_Вводные'!$B$297),0,('19_Расчет_аналитики'!AA2445-'19_Расчет_аналитики'!AA2473)*IF('01_Вводные'!$B$239="Да",MeanMinAge14+'19_Расчет_аналитики'!AA2584*SUMIF(ThresholdAge14,"&lt;"&amp;'19_Расчет_аналитики'!AA2584,WeightedRevAge14)-SUMIF(ThresholdAge14,"&lt;"&amp;'19_Расчет_аналитики'!AA2584,WeightedMinAge14),MAX(CapacityAge14*'01_Вводные'!$B$218*'19_Расчет_аналитики'!AA2584,MeanMinAge14)))</f>
        <v/>
      </c>
      <c r="AB2529">
        <f>IF(OR(('19_Расчет_аналитики'!AB2445-'19_Расчет_аналитики'!AB2473)=0,14&lt;='01_Вводные'!$B$297),0,('19_Расчет_аналитики'!AB2445-'19_Расчет_аналитики'!AB2473)*IF('01_Вводные'!$B$239="Да",MeanMinAge14+'19_Расчет_аналитики'!AB2584*SUMIF(ThresholdAge14,"&lt;"&amp;'19_Расчет_аналитики'!AB2584,WeightedRevAge14)-SUMIF(ThresholdAge14,"&lt;"&amp;'19_Расчет_аналитики'!AB2584,WeightedMinAge14),MAX(CapacityAge14*'01_Вводные'!$B$218*'19_Расчет_аналитики'!AB2584,MeanMinAge14)))</f>
        <v/>
      </c>
      <c r="AC2529">
        <f>IF(OR(('19_Расчет_аналитики'!AC2445-'19_Расчет_аналитики'!AC2473)=0,14&lt;='01_Вводные'!$B$297),0,('19_Расчет_аналитики'!AC2445-'19_Расчет_аналитики'!AC2473)*IF('01_Вводные'!$B$239="Да",MeanMinAge14+'19_Расчет_аналитики'!AC2584*SUMIF(ThresholdAge14,"&lt;"&amp;'19_Расчет_аналитики'!AC2584,WeightedRevAge14)-SUMIF(ThresholdAge14,"&lt;"&amp;'19_Расчет_аналитики'!AC2584,WeightedMinAge14),MAX(CapacityAge14*'01_Вводные'!$B$218*'19_Расчет_аналитики'!AC2584,MeanMinAge14)))</f>
        <v/>
      </c>
      <c r="AD2529">
        <f>IF(OR(('19_Расчет_аналитики'!AD2445-'19_Расчет_аналитики'!AD2473)=0,14&lt;='01_Вводные'!$B$297),0,('19_Расчет_аналитики'!AD2445-'19_Расчет_аналитики'!AD2473)*IF('01_Вводные'!$B$239="Да",MeanMinAge14+'19_Расчет_аналитики'!AD2584*SUMIF(ThresholdAge14,"&lt;"&amp;'19_Расчет_аналитики'!AD2584,WeightedRevAge14)-SUMIF(ThresholdAge14,"&lt;"&amp;'19_Расчет_аналитики'!AD2584,WeightedMinAge14),MAX(CapacityAge14*'01_Вводные'!$B$218*'19_Расчет_аналитики'!AD2584,MeanMinAge14)))</f>
        <v/>
      </c>
      <c r="AE2529">
        <f>IF(OR(('19_Расчет_аналитики'!AE2445-'19_Расчет_аналитики'!AE2473)=0,14&lt;='01_Вводные'!$B$297),0,('19_Расчет_аналитики'!AE2445-'19_Расчет_аналитики'!AE2473)*IF('01_Вводные'!$B$239="Да",MeanMinAge14+'19_Расчет_аналитики'!AE2584*SUMIF(ThresholdAge14,"&lt;"&amp;'19_Расчет_аналитики'!AE2584,WeightedRevAge14)-SUMIF(ThresholdAge14,"&lt;"&amp;'19_Расчет_аналитики'!AE2584,WeightedMinAge14),MAX(CapacityAge14*'01_Вводные'!$B$218*'19_Расчет_аналитики'!AE2584,MeanMinAge14)))</f>
        <v/>
      </c>
      <c r="AF2529">
        <f>IF(OR(('19_Расчет_аналитики'!AF2445-'19_Расчет_аналитики'!AF2473)=0,14&lt;='01_Вводные'!$B$297),0,('19_Расчет_аналитики'!AF2445-'19_Расчет_аналитики'!AF2473)*IF('01_Вводные'!$B$239="Да",MeanMinAge14+'19_Расчет_аналитики'!AF2584*SUMIF(ThresholdAge14,"&lt;"&amp;'19_Расчет_аналитики'!AF2584,WeightedRevAge14)-SUMIF(ThresholdAge14,"&lt;"&amp;'19_Расчет_аналитики'!AF2584,WeightedMinAge14),MAX(CapacityAge14*'01_Вводные'!$B$218*'19_Расчет_аналитики'!AF2584,MeanMinAge14)))</f>
        <v/>
      </c>
      <c r="AG2529">
        <f>IF(OR(('19_Расчет_аналитики'!AG2445-'19_Расчет_аналитики'!AG2473)=0,14&lt;='01_Вводные'!$B$297),0,('19_Расчет_аналитики'!AG2445-'19_Расчет_аналитики'!AG2473)*IF('01_Вводные'!$B$239="Да",MeanMinAge14+'19_Расчет_аналитики'!AG2584*SUMIF(ThresholdAge14,"&lt;"&amp;'19_Расчет_аналитики'!AG2584,WeightedRevAge14)-SUMIF(ThresholdAge14,"&lt;"&amp;'19_Расчет_аналитики'!AG2584,WeightedMinAge14),MAX(CapacityAge14*'01_Вводные'!$B$218*'19_Расчет_аналитики'!AG2584,MeanMinAge14)))</f>
        <v/>
      </c>
      <c r="AH2529">
        <f>IF(OR(('19_Расчет_аналитики'!AH2445-'19_Расчет_аналитики'!AH2473)=0,14&lt;='01_Вводные'!$B$297),0,('19_Расчет_аналитики'!AH2445-'19_Расчет_аналитики'!AH2473)*IF('01_Вводные'!$B$239="Да",MeanMinAge14+'19_Расчет_аналитики'!AH2584*SUMIF(ThresholdAge14,"&lt;"&amp;'19_Расчет_аналитики'!AH2584,WeightedRevAge14)-SUMIF(ThresholdAge14,"&lt;"&amp;'19_Расчет_аналитики'!AH2584,WeightedMinAge14),MAX(CapacityAge14*'01_Вводные'!$B$218*'19_Расчет_аналитики'!AH2584,MeanMinAge14)))</f>
        <v/>
      </c>
      <c r="AI2529">
        <f>IF(OR(('19_Расчет_аналитики'!AI2445-'19_Расчет_аналитики'!AI2473)=0,14&lt;='01_Вводные'!$B$297),0,('19_Расчет_аналитики'!AI2445-'19_Расчет_аналитики'!AI2473)*IF('01_Вводные'!$B$239="Да",MeanMinAge14+'19_Расчет_аналитики'!AI2584*SUMIF(ThresholdAge14,"&lt;"&amp;'19_Расчет_аналитики'!AI2584,WeightedRevAge14)-SUMIF(ThresholdAge14,"&lt;"&amp;'19_Расчет_аналитики'!AI2584,WeightedMinAge14),MAX(CapacityAge14*'01_Вводные'!$B$218*'19_Расчет_аналитики'!AI2584,MeanMinAge14)))</f>
        <v/>
      </c>
      <c r="AJ2529">
        <f>IF(OR(('19_Расчет_аналитики'!AJ2445-'19_Расчет_аналитики'!AJ2473)=0,14&lt;='01_Вводные'!$B$297),0,('19_Расчет_аналитики'!AJ2445-'19_Расчет_аналитики'!AJ2473)*IF('01_Вводные'!$B$239="Да",MeanMinAge14+'19_Расчет_аналитики'!AJ2584*SUMIF(ThresholdAge14,"&lt;"&amp;'19_Расчет_аналитики'!AJ2584,WeightedRevAge14)-SUMIF(ThresholdAge14,"&lt;"&amp;'19_Расчет_аналитики'!AJ2584,WeightedMinAge14),MAX(CapacityAge14*'01_Вводные'!$B$218*'19_Расчет_аналитики'!AJ2584,MeanMinAge14)))</f>
        <v/>
      </c>
      <c r="AK2529">
        <f>IF(OR(('19_Расчет_аналитики'!AK2445-'19_Расчет_аналитики'!AK2473)=0,14&lt;='01_Вводные'!$B$297),0,('19_Расчет_аналитики'!AK2445-'19_Расчет_аналитики'!AK2473)*IF('01_Вводные'!$B$239="Да",MeanMinAge14+'19_Расчет_аналитики'!AK2584*SUMIF(ThresholdAge14,"&lt;"&amp;'19_Расчет_аналитики'!AK2584,WeightedRevAge14)-SUMIF(ThresholdAge14,"&lt;"&amp;'19_Расчет_аналитики'!AK2584,WeightedMinAge14),MAX(CapacityAge14*'01_Вводные'!$B$218*'19_Расчет_аналитики'!AK2584,MeanMinAge14)))</f>
        <v/>
      </c>
      <c r="AL2529">
        <f>IF(OR(('19_Расчет_аналитики'!AL2445-'19_Расчет_аналитики'!AL2473)=0,14&lt;='01_Вводные'!$B$297),0,('19_Расчет_аналитики'!AL2445-'19_Расчет_аналитики'!AL2473)*IF('01_Вводные'!$B$239="Да",MeanMinAge14+'19_Расчет_аналитики'!AL2584*SUMIF(ThresholdAge14,"&lt;"&amp;'19_Расчет_аналитики'!AL2584,WeightedRevAge14)-SUMIF(ThresholdAge14,"&lt;"&amp;'19_Расчет_аналитики'!AL2584,WeightedMinAge14),MAX(CapacityAge14*'01_Вводные'!$B$218*'19_Расчет_аналитики'!AL2584,MeanMinAge14)))</f>
        <v/>
      </c>
      <c r="AM2529">
        <f>IF(OR(('19_Расчет_аналитики'!AM2445-'19_Расчет_аналитики'!AM2473)=0,14&lt;='01_Вводные'!$B$297),0,('19_Расчет_аналитики'!AM2445-'19_Расчет_аналитики'!AM2473)*IF('01_Вводные'!$B$239="Да",MeanMinAge14+'19_Расчет_аналитики'!AM2584*SUMIF(ThresholdAge14,"&lt;"&amp;'19_Расчет_аналитики'!AM2584,WeightedRevAge14)-SUMIF(ThresholdAge14,"&lt;"&amp;'19_Расчет_аналитики'!AM2584,WeightedMinAge14),MAX(CapacityAge14*'01_Вводные'!$B$218*'19_Расчет_аналитики'!AM2584,MeanMinAge14)))</f>
        <v/>
      </c>
      <c r="AN2529">
        <f>IF(OR(('19_Расчет_аналитики'!AN2445-'19_Расчет_аналитики'!AN2473)=0,14&lt;='01_Вводные'!$B$297),0,('19_Расчет_аналитики'!AN2445-'19_Расчет_аналитики'!AN2473)*IF('01_Вводные'!$B$239="Да",MeanMinAge14+'19_Расчет_аналитики'!AN2584*SUMIF(ThresholdAge14,"&lt;"&amp;'19_Расчет_аналитики'!AN2584,WeightedRevAge14)-SUMIF(ThresholdAge14,"&lt;"&amp;'19_Расчет_аналитики'!AN2584,WeightedMinAge14),MAX(CapacityAge14*'01_Вводные'!$B$218*'19_Расчет_аналитики'!AN2584,MeanMinAge14)))</f>
        <v/>
      </c>
      <c r="AO2529">
        <f>IF(OR(('19_Расчет_аналитики'!AO2445-'19_Расчет_аналитики'!AO2473)=0,14&lt;='01_Вводные'!$B$297),0,('19_Расчет_аналитики'!AO2445-'19_Расчет_аналитики'!AO2473)*IF('01_Вводные'!$B$239="Да",MeanMinAge14+'19_Расчет_аналитики'!AO2584*SUMIF(ThresholdAge14,"&lt;"&amp;'19_Расчет_аналитики'!AO2584,WeightedRevAge14)-SUMIF(ThresholdAge14,"&lt;"&amp;'19_Расчет_аналитики'!AO2584,WeightedMinAge14),MAX(CapacityAge14*'01_Вводные'!$B$218*'19_Расчет_аналитики'!AO2584,MeanMinAge14)))</f>
        <v/>
      </c>
      <c r="AP2529">
        <f>IF(OR(('19_Расчет_аналитики'!AP2445-'19_Расчет_аналитики'!AP2473)=0,14&lt;='01_Вводные'!$B$297),0,('19_Расчет_аналитики'!AP2445-'19_Расчет_аналитики'!AP2473)*IF('01_Вводные'!$B$239="Да",MeanMinAge14+'19_Расчет_аналитики'!AP2584*SUMIF(ThresholdAge14,"&lt;"&amp;'19_Расчет_аналитики'!AP2584,WeightedRevAge14)-SUMIF(ThresholdAge14,"&lt;"&amp;'19_Расчет_аналитики'!AP2584,WeightedMinAge14),MAX(CapacityAge14*'01_Вводные'!$B$218*'19_Расчет_аналитики'!AP2584,MeanMinAge14)))</f>
        <v/>
      </c>
      <c r="AQ2529">
        <f>IF(OR(('19_Расчет_аналитики'!AQ2445-'19_Расчет_аналитики'!AQ2473)=0,14&lt;='01_Вводные'!$B$297),0,('19_Расчет_аналитики'!AQ2445-'19_Расчет_аналитики'!AQ2473)*IF('01_Вводные'!$B$239="Да",MeanMinAge14+'19_Расчет_аналитики'!AQ2584*SUMIF(ThresholdAge14,"&lt;"&amp;'19_Расчет_аналитики'!AQ2584,WeightedRevAge14)-SUMIF(ThresholdAge14,"&lt;"&amp;'19_Расчет_аналитики'!AQ2584,WeightedMinAge14),MAX(CapacityAge14*'01_Вводные'!$B$218*'19_Расчет_аналитики'!AQ2584,MeanMinAge14)))</f>
        <v/>
      </c>
      <c r="AR2529">
        <f>IF(OR(('19_Расчет_аналитики'!AR2445-'19_Расчет_аналитики'!AR2473)=0,14&lt;='01_Вводные'!$B$297),0,('19_Расчет_аналитики'!AR2445-'19_Расчет_аналитики'!AR2473)*IF('01_Вводные'!$B$239="Да",MeanMinAge14+'19_Расчет_аналитики'!AR2584*SUMIF(ThresholdAge14,"&lt;"&amp;'19_Расчет_аналитики'!AR2584,WeightedRevAge14)-SUMIF(ThresholdAge14,"&lt;"&amp;'19_Расчет_аналитики'!AR2584,WeightedMinAge14),MAX(CapacityAge14*'01_Вводные'!$B$218*'19_Расчет_аналитики'!AR2584,MeanMinAge14)))</f>
        <v/>
      </c>
      <c r="AS2529">
        <f>IF(OR(('19_Расчет_аналитики'!AS2445-'19_Расчет_аналитики'!AS2473)=0,14&lt;='01_Вводные'!$B$297),0,('19_Расчет_аналитики'!AS2445-'19_Расчет_аналитики'!AS2473)*IF('01_Вводные'!$B$239="Да",MeanMinAge14+'19_Расчет_аналитики'!AS2584*SUMIF(ThresholdAge14,"&lt;"&amp;'19_Расчет_аналитики'!AS2584,WeightedRevAge14)-SUMIF(ThresholdAge14,"&lt;"&amp;'19_Расчет_аналитики'!AS2584,WeightedMinAge14),MAX(CapacityAge14*'01_Вводные'!$B$218*'19_Расчет_аналитики'!AS2584,MeanMinAge14)))</f>
        <v/>
      </c>
      <c r="AT2529">
        <f>IF(OR(('19_Расчет_аналитики'!AT2445-'19_Расчет_аналитики'!AT2473)=0,14&lt;='01_Вводные'!$B$297),0,('19_Расчет_аналитики'!AT2445-'19_Расчет_аналитики'!AT2473)*IF('01_Вводные'!$B$239="Да",MeanMinAge14+'19_Расчет_аналитики'!AT2584*SUMIF(ThresholdAge14,"&lt;"&amp;'19_Расчет_аналитики'!AT2584,WeightedRevAge14)-SUMIF(ThresholdAge14,"&lt;"&amp;'19_Расчет_аналитики'!AT2584,WeightedMinAge14),MAX(CapacityAge14*'01_Вводные'!$B$218*'19_Расчет_аналитики'!AT2584,MeanMinAge14)))</f>
        <v/>
      </c>
      <c r="AU2529">
        <f>IF(OR(('19_Расчет_аналитики'!AU2445-'19_Расчет_аналитики'!AU2473)=0,14&lt;='01_Вводные'!$B$297),0,('19_Расчет_аналитики'!AU2445-'19_Расчет_аналитики'!AU2473)*IF('01_Вводные'!$B$239="Да",MeanMinAge14+'19_Расчет_аналитики'!AU2584*SUMIF(ThresholdAge14,"&lt;"&amp;'19_Расчет_аналитики'!AU2584,WeightedRevAge14)-SUMIF(ThresholdAge14,"&lt;"&amp;'19_Расчет_аналитики'!AU2584,WeightedMinAge14),MAX(CapacityAge14*'01_Вводные'!$B$218*'19_Расчет_аналитики'!AU2584,MeanMinAge14)))</f>
        <v/>
      </c>
      <c r="AV2529">
        <f>IF(OR(('19_Расчет_аналитики'!AV2445-'19_Расчет_аналитики'!AV2473)=0,14&lt;='01_Вводные'!$B$297),0,('19_Расчет_аналитики'!AV2445-'19_Расчет_аналитики'!AV2473)*IF('01_Вводные'!$B$239="Да",MeanMinAge14+'19_Расчет_аналитики'!AV2584*SUMIF(ThresholdAge14,"&lt;"&amp;'19_Расчет_аналитики'!AV2584,WeightedRevAge14)-SUMIF(ThresholdAge14,"&lt;"&amp;'19_Расчет_аналитики'!AV2584,WeightedMinAge14),MAX(CapacityAge14*'01_Вводные'!$B$218*'19_Расчет_аналитики'!AV2584,MeanMinAge14)))</f>
        <v/>
      </c>
      <c r="AW2529">
        <f>IF(OR(('19_Расчет_аналитики'!AW2445-'19_Расчет_аналитики'!AW2473)=0,14&lt;='01_Вводные'!$B$297),0,('19_Расчет_аналитики'!AW2445-'19_Расчет_аналитики'!AW2473)*IF('01_Вводные'!$B$239="Да",MeanMinAge14+'19_Расчет_аналитики'!AW2584*SUMIF(ThresholdAge14,"&lt;"&amp;'19_Расчет_аналитики'!AW2584,WeightedRevAge14)-SUMIF(ThresholdAge14,"&lt;"&amp;'19_Расчет_аналитики'!AW2584,WeightedMinAge14),MAX(CapacityAge14*'01_Вводные'!$B$218*'19_Расчет_аналитики'!AW2584,MeanMinAge14)))</f>
        <v/>
      </c>
      <c r="AX2529">
        <f>IF(OR(('19_Расчет_аналитики'!AX2445-'19_Расчет_аналитики'!AX2473)=0,14&lt;='01_Вводные'!$B$297),0,('19_Расчет_аналитики'!AX2445-'19_Расчет_аналитики'!AX2473)*IF('01_Вводные'!$B$239="Да",MeanMinAge14+'19_Расчет_аналитики'!AX2584*SUMIF(ThresholdAge14,"&lt;"&amp;'19_Расчет_аналитики'!AX2584,WeightedRevAge14)-SUMIF(ThresholdAge14,"&lt;"&amp;'19_Расчет_аналитики'!AX2584,WeightedMinAge14),MAX(CapacityAge14*'01_Вводные'!$B$218*'19_Расчет_аналитики'!AX2584,MeanMinAge14)))</f>
        <v/>
      </c>
      <c r="AY2529">
        <f>IF(OR(('19_Расчет_аналитики'!AY2445-'19_Расчет_аналитики'!AY2473)=0,14&lt;='01_Вводные'!$B$297),0,('19_Расчет_аналитики'!AY2445-'19_Расчет_аналитики'!AY2473)*IF('01_Вводные'!$B$239="Да",MeanMinAge14+'19_Расчет_аналитики'!AY2584*SUMIF(ThresholdAge14,"&lt;"&amp;'19_Расчет_аналитики'!AY2584,WeightedRevAge14)-SUMIF(ThresholdAge14,"&lt;"&amp;'19_Расчет_аналитики'!AY2584,WeightedMinAge14),MAX(CapacityAge14*'01_Вводные'!$B$218*'19_Расчет_аналитики'!AY2584,MeanMinAge14)))</f>
        <v/>
      </c>
      <c r="AZ2529">
        <f>IF(OR(('19_Расчет_аналитики'!AZ2445-'19_Расчет_аналитики'!AZ2473)=0,14&lt;='01_Вводные'!$B$297),0,('19_Расчет_аналитики'!AZ2445-'19_Расчет_аналитики'!AZ2473)*IF('01_Вводные'!$B$239="Да",MeanMinAge14+'19_Расчет_аналитики'!AZ2584*SUMIF(ThresholdAge14,"&lt;"&amp;'19_Расчет_аналитики'!AZ2584,WeightedRevAge14)-SUMIF(ThresholdAge14,"&lt;"&amp;'19_Расчет_аналитики'!AZ2584,WeightedMinAge14),MAX(CapacityAge14*'01_Вводные'!$B$218*'19_Расчет_аналитики'!AZ2584,MeanMinAge14)))</f>
        <v/>
      </c>
      <c r="BA2529">
        <f>IF(OR(('19_Расчет_аналитики'!BA2445-'19_Расчет_аналитики'!BA2473)=0,14&lt;='01_Вводные'!$B$297),0,('19_Расчет_аналитики'!BA2445-'19_Расчет_аналитики'!BA2473)*IF('01_Вводные'!$B$239="Да",MeanMinAge14+'19_Расчет_аналитики'!BA2584*SUMIF(ThresholdAge14,"&lt;"&amp;'19_Расчет_аналитики'!BA2584,WeightedRevAge14)-SUMIF(ThresholdAge14,"&lt;"&amp;'19_Расчет_аналитики'!BA2584,WeightedMinAge14),MAX(CapacityAge14*'01_Вводные'!$B$218*'19_Расчет_аналитики'!BA2584,MeanMinAge14)))</f>
        <v/>
      </c>
      <c r="BB2529">
        <f>IF(OR(('19_Расчет_аналитики'!BB2445-'19_Расчет_аналитики'!BB2473)=0,14&lt;='01_Вводные'!$B$297),0,('19_Расчет_аналитики'!BB2445-'19_Расчет_аналитики'!BB2473)*IF('01_Вводные'!$B$239="Да",MeanMinAge14+'19_Расчет_аналитики'!BB2584*SUMIF(ThresholdAge14,"&lt;"&amp;'19_Расчет_аналитики'!BB2584,WeightedRevAge14)-SUMIF(ThresholdAge14,"&lt;"&amp;'19_Расчет_аналитики'!BB2584,WeightedMinAge14),MAX(CapacityAge14*'01_Вводные'!$B$218*'19_Расчет_аналитики'!BB2584,MeanMinAge14)))</f>
        <v/>
      </c>
      <c r="BC2529">
        <f>IF(OR(('19_Расчет_аналитики'!BC2445-'19_Расчет_аналитики'!BC2473)=0,14&lt;='01_Вводные'!$B$297),0,('19_Расчет_аналитики'!BC2445-'19_Расчет_аналитики'!BC2473)*IF('01_Вводные'!$B$239="Да",MeanMinAge14+'19_Расчет_аналитики'!BC2584*SUMIF(ThresholdAge14,"&lt;"&amp;'19_Расчет_аналитики'!BC2584,WeightedRevAge14)-SUMIF(ThresholdAge14,"&lt;"&amp;'19_Расчет_аналитики'!BC2584,WeightedMinAge14),MAX(CapacityAge14*'01_Вводные'!$B$218*'19_Расчет_аналитики'!BC2584,MeanMinAge14)))</f>
        <v/>
      </c>
      <c r="BD2529">
        <f>IF(OR(('19_Расчет_аналитики'!BD2445-'19_Расчет_аналитики'!BD2473)=0,14&lt;='01_Вводные'!$B$297),0,('19_Расчет_аналитики'!BD2445-'19_Расчет_аналитики'!BD2473)*IF('01_Вводные'!$B$239="Да",MeanMinAge14+'19_Расчет_аналитики'!BD2584*SUMIF(ThresholdAge14,"&lt;"&amp;'19_Расчет_аналитики'!BD2584,WeightedRevAge14)-SUMIF(ThresholdAge14,"&lt;"&amp;'19_Расчет_аналитики'!BD2584,WeightedMinAge14),MAX(CapacityAge14*'01_Вводные'!$B$218*'19_Расчет_аналитики'!BD2584,MeanMinAge14)))</f>
        <v/>
      </c>
      <c r="BE2529">
        <f>IF(OR(('19_Расчет_аналитики'!BE2445-'19_Расчет_аналитики'!BE2473)=0,14&lt;='01_Вводные'!$B$297),0,('19_Расчет_аналитики'!BE2445-'19_Расчет_аналитики'!BE2473)*IF('01_Вводные'!$B$239="Да",MeanMinAge14+'19_Расчет_аналитики'!BE2584*SUMIF(ThresholdAge14,"&lt;"&amp;'19_Расчет_аналитики'!BE2584,WeightedRevAge14)-SUMIF(ThresholdAge14,"&lt;"&amp;'19_Расчет_аналитики'!BE2584,WeightedMinAge14),MAX(CapacityAge14*'01_Вводные'!$B$218*'19_Расчет_аналитики'!BE2584,MeanMinAge14)))</f>
        <v/>
      </c>
      <c r="BF2529">
        <f>IF(OR(('19_Расчет_аналитики'!BF2445-'19_Расчет_аналитики'!BF2473)=0,14&lt;='01_Вводные'!$B$297),0,('19_Расчет_аналитики'!BF2445-'19_Расчет_аналитики'!BF2473)*IF('01_Вводные'!$B$239="Да",MeanMinAge14+'19_Расчет_аналитики'!BF2584*SUMIF(ThresholdAge14,"&lt;"&amp;'19_Расчет_аналитики'!BF2584,WeightedRevAge14)-SUMIF(ThresholdAge14,"&lt;"&amp;'19_Расчет_аналитики'!BF2584,WeightedMinAge14),MAX(CapacityAge14*'01_Вводные'!$B$218*'19_Расчет_аналитики'!BF2584,MeanMinAge14)))</f>
        <v/>
      </c>
      <c r="BG2529">
        <f>IF(OR(('19_Расчет_аналитики'!BG2445-'19_Расчет_аналитики'!BG2473)=0,14&lt;='01_Вводные'!$B$297),0,('19_Расчет_аналитики'!BG2445-'19_Расчет_аналитики'!BG2473)*IF('01_Вводные'!$B$239="Да",MeanMinAge14+'19_Расчет_аналитики'!BG2584*SUMIF(ThresholdAge14,"&lt;"&amp;'19_Расчет_аналитики'!BG2584,WeightedRevAge14)-SUMIF(ThresholdAge14,"&lt;"&amp;'19_Расчет_аналитики'!BG2584,WeightedMinAge14),MAX(CapacityAge14*'01_Вводные'!$B$218*'19_Расчет_аналитики'!BG2584,MeanMinAge14)))</f>
        <v/>
      </c>
      <c r="BH2529">
        <f>IF(OR(('19_Расчет_аналитики'!BH2445-'19_Расчет_аналитики'!BH2473)=0,14&lt;='01_Вводные'!$B$297),0,('19_Расчет_аналитики'!BH2445-'19_Расчет_аналитики'!BH2473)*IF('01_Вводные'!$B$239="Да",MeanMinAge14+'19_Расчет_аналитики'!BH2584*SUMIF(ThresholdAge14,"&lt;"&amp;'19_Расчет_аналитики'!BH2584,WeightedRevAge14)-SUMIF(ThresholdAge14,"&lt;"&amp;'19_Расчет_аналитики'!BH2584,WeightedMinAge14),MAX(CapacityAge14*'01_Вводные'!$B$218*'19_Расчет_аналитики'!BH2584,MeanMinAge14)))</f>
        <v/>
      </c>
      <c r="BI2529">
        <f>IF(OR(('19_Расчет_аналитики'!BI2445-'19_Расчет_аналитики'!BI2473)=0,14&lt;='01_Вводные'!$B$297),0,('19_Расчет_аналитики'!BI2445-'19_Расчет_аналитики'!BI2473)*IF('01_Вводные'!$B$239="Да",MeanMinAge14+'19_Расчет_аналитики'!BI2584*SUMIF(ThresholdAge14,"&lt;"&amp;'19_Расчет_аналитики'!BI2584,WeightedRevAge14)-SUMIF(ThresholdAge14,"&lt;"&amp;'19_Расчет_аналитики'!BI2584,WeightedMinAge14),MAX(CapacityAge14*'01_Вводные'!$B$218*'19_Расчет_аналитики'!BI2584,MeanMinAge14)))</f>
        <v/>
      </c>
      <c r="BJ2529">
        <f>IF(OR(('19_Расчет_аналитики'!BJ2445-'19_Расчет_аналитики'!BJ2473)=0,14&lt;='01_Вводные'!$B$297),0,('19_Расчет_аналитики'!BJ2445-'19_Расчет_аналитики'!BJ2473)*IF('01_Вводные'!$B$239="Да",MeanMinAge14+'19_Расчет_аналитики'!BJ2584*SUMIF(ThresholdAge14,"&lt;"&amp;'19_Расчет_аналитики'!BJ2584,WeightedRevAge14)-SUMIF(ThresholdAge14,"&lt;"&amp;'19_Расчет_аналитики'!BJ2584,WeightedMinAge14),MAX(CapacityAge14*'01_Вводные'!$B$218*'19_Расчет_аналитики'!BJ2584,MeanMinAge14)))</f>
        <v/>
      </c>
      <c r="BK2529">
        <f>IF(OR(('19_Расчет_аналитики'!BK2445-'19_Расчет_аналитики'!BK2473)=0,14&lt;='01_Вводные'!$B$297),0,('19_Расчет_аналитики'!BK2445-'19_Расчет_аналитики'!BK2473)*IF('01_Вводные'!$B$239="Да",MeanMinAge14+'19_Расчет_аналитики'!BK2584*SUMIF(ThresholdAge14,"&lt;"&amp;'19_Расчет_аналитики'!BK2584,WeightedRevAge14)-SUMIF(ThresholdAge14,"&lt;"&amp;'19_Расчет_аналитики'!BK2584,WeightedMinAge14),MAX(CapacityAge14*'01_Вводные'!$B$218*'19_Расчет_аналитики'!BK2584,MeanMinAge14)))</f>
        <v/>
      </c>
      <c r="BL2529">
        <f>IF(OR(('19_Расчет_аналитики'!BL2445-'19_Расчет_аналитики'!BL2473)=0,14&lt;='01_Вводные'!$B$297),0,('19_Расчет_аналитики'!BL2445-'19_Расчет_аналитики'!BL2473)*IF('01_Вводные'!$B$239="Да",MeanMinAge14+'19_Расчет_аналитики'!BL2584*SUMIF(ThresholdAge14,"&lt;"&amp;'19_Расчет_аналитики'!BL2584,WeightedRevAge14)-SUMIF(ThresholdAge14,"&lt;"&amp;'19_Расчет_аналитики'!BL2584,WeightedMinAge14),MAX(CapacityAge14*'01_Вводные'!$B$218*'19_Расчет_аналитики'!BL2584,MeanMinAge14)))</f>
        <v/>
      </c>
      <c r="BM2529">
        <f>IF(OR(('19_Расчет_аналитики'!BM2445-'19_Расчет_аналитики'!BM2473)=0,14&lt;='01_Вводные'!$B$297),0,('19_Расчет_аналитики'!BM2445-'19_Расчет_аналитики'!BM2473)*IF('01_Вводные'!$B$239="Да",MeanMinAge14+'19_Расчет_аналитики'!BM2584*SUMIF(ThresholdAge14,"&lt;"&amp;'19_Расчет_аналитики'!BM2584,WeightedRevAge14)-SUMIF(ThresholdAge14,"&lt;"&amp;'19_Расчет_аналитики'!BM2584,WeightedMinAge14),MAX(CapacityAge14*'01_Вводные'!$B$218*'19_Расчет_аналитики'!BM2584,MeanMinAge14)))</f>
        <v/>
      </c>
      <c r="BN2529">
        <f>IF(OR(('19_Расчет_аналитики'!BN2445-'19_Расчет_аналитики'!BN2473)=0,14&lt;='01_Вводные'!$B$297),0,('19_Расчет_аналитики'!BN2445-'19_Расчет_аналитики'!BN2473)*IF('01_Вводные'!$B$239="Да",MeanMinAge14+'19_Расчет_аналитики'!BN2584*SUMIF(ThresholdAge14,"&lt;"&amp;'19_Расчет_аналитики'!BN2584,WeightedRevAge14)-SUMIF(ThresholdAge14,"&lt;"&amp;'19_Расчет_аналитики'!BN2584,WeightedMinAge14),MAX(CapacityAge14*'01_Вводные'!$B$218*'19_Расчет_аналитики'!BN2584,MeanMinAge14)))</f>
        <v/>
      </c>
      <c r="BO2529">
        <f>IF(OR(('19_Расчет_аналитики'!BO2445-'19_Расчет_аналитики'!BO2473)=0,14&lt;='01_Вводные'!$B$297),0,('19_Расчет_аналитики'!BO2445-'19_Расчет_аналитики'!BO2473)*IF('01_Вводные'!$B$239="Да",MeanMinAge14+'19_Расчет_аналитики'!BO2584*SUMIF(ThresholdAge14,"&lt;"&amp;'19_Расчет_аналитики'!BO2584,WeightedRevAge14)-SUMIF(ThresholdAge14,"&lt;"&amp;'19_Расчет_аналитики'!BO2584,WeightedMinAge14),MAX(CapacityAge14*'01_Вводные'!$B$218*'19_Расчет_аналитики'!BO2584,MeanMinAge14)))</f>
        <v/>
      </c>
    </row>
    <row r="2530">
      <c r="B2530">
        <f>IF(OR(('06_Сеть_и_дети'!B67-'06_Сеть_и_дети'!B95)=0,15&lt;='01_Вводные'!$B$297),0,('06_Сеть_и_дети'!B67-'06_Сеть_и_дети'!B95)*IF('01_Вводные'!$B$239="Да",MeanMinAge15+'19_Расчет_аналитики'!B2584*SUMIF(ThresholdAge15,"&lt;"&amp;'19_Расчет_аналитики'!B2584,WeightedRevAge15)-SUMIF(ThresholdAge15,"&lt;"&amp;'19_Расчет_аналитики'!B2584,WeightedMinAge15),MAX(CapacityAge15*'01_Вводные'!$B$218*'19_Расчет_аналитики'!B2584,MeanMinAge15)))</f>
        <v/>
      </c>
      <c r="C2530">
        <f>IF(OR(('06_Сеть_и_дети'!C67-'06_Сеть_и_дети'!C95)=0,15&lt;='01_Вводные'!$B$297),0,('06_Сеть_и_дети'!C67-'06_Сеть_и_дети'!C95)*IF('01_Вводные'!$B$239="Да",MeanMinAge15+'19_Расчет_аналитики'!C2584*SUMIF(ThresholdAge15,"&lt;"&amp;'19_Расчет_аналитики'!C2584,WeightedRevAge15)-SUMIF(ThresholdAge15,"&lt;"&amp;'19_Расчет_аналитики'!C2584,WeightedMinAge15),MAX(CapacityAge15*'01_Вводные'!$B$218*'19_Расчет_аналитики'!C2584,MeanMinAge15)))</f>
        <v/>
      </c>
      <c r="D2530">
        <f>IF(OR(('06_Сеть_и_дети'!D67-'06_Сеть_и_дети'!D95)=0,15&lt;='01_Вводные'!$B$297),0,('06_Сеть_и_дети'!D67-'06_Сеть_и_дети'!D95)*IF('01_Вводные'!$B$239="Да",MeanMinAge15+'19_Расчет_аналитики'!D2584*SUMIF(ThresholdAge15,"&lt;"&amp;'19_Расчет_аналитики'!D2584,WeightedRevAge15)-SUMIF(ThresholdAge15,"&lt;"&amp;'19_Расчет_аналитики'!D2584,WeightedMinAge15),MAX(CapacityAge15*'01_Вводные'!$B$218*'19_Расчет_аналитики'!D2584,MeanMinAge15)))</f>
        <v/>
      </c>
      <c r="E2530">
        <f>IF(OR(('06_Сеть_и_дети'!E67-'06_Сеть_и_дети'!E95)=0,15&lt;='01_Вводные'!$B$297),0,('06_Сеть_и_дети'!E67-'06_Сеть_и_дети'!E95)*IF('01_Вводные'!$B$239="Да",MeanMinAge15+'19_Расчет_аналитики'!E2584*SUMIF(ThresholdAge15,"&lt;"&amp;'19_Расчет_аналитики'!E2584,WeightedRevAge15)-SUMIF(ThresholdAge15,"&lt;"&amp;'19_Расчет_аналитики'!E2584,WeightedMinAge15),MAX(CapacityAge15*'01_Вводные'!$B$218*'19_Расчет_аналитики'!E2584,MeanMinAge15)))</f>
        <v/>
      </c>
      <c r="F2530">
        <f>IF(OR(('06_Сеть_и_дети'!F67-'06_Сеть_и_дети'!F95)=0,15&lt;='01_Вводные'!$B$297),0,('06_Сеть_и_дети'!F67-'06_Сеть_и_дети'!F95)*IF('01_Вводные'!$B$239="Да",MeanMinAge15+'19_Расчет_аналитики'!F2584*SUMIF(ThresholdAge15,"&lt;"&amp;'19_Расчет_аналитики'!F2584,WeightedRevAge15)-SUMIF(ThresholdAge15,"&lt;"&amp;'19_Расчет_аналитики'!F2584,WeightedMinAge15),MAX(CapacityAge15*'01_Вводные'!$B$218*'19_Расчет_аналитики'!F2584,MeanMinAge15)))</f>
        <v/>
      </c>
      <c r="G2530">
        <f>IF(OR(('06_Сеть_и_дети'!G67-'06_Сеть_и_дети'!G95)=0,15&lt;='01_Вводные'!$B$297),0,('06_Сеть_и_дети'!G67-'06_Сеть_и_дети'!G95)*IF('01_Вводные'!$B$239="Да",MeanMinAge15+'19_Расчет_аналитики'!G2584*SUMIF(ThresholdAge15,"&lt;"&amp;'19_Расчет_аналитики'!G2584,WeightedRevAge15)-SUMIF(ThresholdAge15,"&lt;"&amp;'19_Расчет_аналитики'!G2584,WeightedMinAge15),MAX(CapacityAge15*'01_Вводные'!$B$218*'19_Расчет_аналитики'!G2584,MeanMinAge15)))</f>
        <v/>
      </c>
      <c r="H2530">
        <f>IF(OR(('06_Сеть_и_дети'!H67-'06_Сеть_и_дети'!H95)=0,15&lt;='01_Вводные'!$B$297),0,('06_Сеть_и_дети'!H67-'06_Сеть_и_дети'!H95)*IF('01_Вводные'!$B$239="Да",MeanMinAge15+'19_Расчет_аналитики'!H2584*SUMIF(ThresholdAge15,"&lt;"&amp;'19_Расчет_аналитики'!H2584,WeightedRevAge15)-SUMIF(ThresholdAge15,"&lt;"&amp;'19_Расчет_аналитики'!H2584,WeightedMinAge15),MAX(CapacityAge15*'01_Вводные'!$B$218*'19_Расчет_аналитики'!H2584,MeanMinAge15)))</f>
        <v/>
      </c>
      <c r="I2530">
        <f>IF(OR(('06_Сеть_и_дети'!I67-'06_Сеть_и_дети'!I95)=0,15&lt;='01_Вводные'!$B$297),0,('06_Сеть_и_дети'!I67-'06_Сеть_и_дети'!I95)*IF('01_Вводные'!$B$239="Да",MeanMinAge15+'19_Расчет_аналитики'!I2584*SUMIF(ThresholdAge15,"&lt;"&amp;'19_Расчет_аналитики'!I2584,WeightedRevAge15)-SUMIF(ThresholdAge15,"&lt;"&amp;'19_Расчет_аналитики'!I2584,WeightedMinAge15),MAX(CapacityAge15*'01_Вводные'!$B$218*'19_Расчет_аналитики'!I2584,MeanMinAge15)))</f>
        <v/>
      </c>
      <c r="J2530">
        <f>IF(OR(('06_Сеть_и_дети'!J67-'06_Сеть_и_дети'!J95)=0,15&lt;='01_Вводные'!$B$297),0,('06_Сеть_и_дети'!J67-'06_Сеть_и_дети'!J95)*IF('01_Вводные'!$B$239="Да",MeanMinAge15+'19_Расчет_аналитики'!J2584*SUMIF(ThresholdAge15,"&lt;"&amp;'19_Расчет_аналитики'!J2584,WeightedRevAge15)-SUMIF(ThresholdAge15,"&lt;"&amp;'19_Расчет_аналитики'!J2584,WeightedMinAge15),MAX(CapacityAge15*'01_Вводные'!$B$218*'19_Расчет_аналитики'!J2584,MeanMinAge15)))</f>
        <v/>
      </c>
      <c r="K2530">
        <f>IF(OR(('06_Сеть_и_дети'!K67-'06_Сеть_и_дети'!K95)=0,15&lt;='01_Вводные'!$B$297),0,('06_Сеть_и_дети'!K67-'06_Сеть_и_дети'!K95)*IF('01_Вводные'!$B$239="Да",MeanMinAge15+'19_Расчет_аналитики'!K2584*SUMIF(ThresholdAge15,"&lt;"&amp;'19_Расчет_аналитики'!K2584,WeightedRevAge15)-SUMIF(ThresholdAge15,"&lt;"&amp;'19_Расчет_аналитики'!K2584,WeightedMinAge15),MAX(CapacityAge15*'01_Вводные'!$B$218*'19_Расчет_аналитики'!K2584,MeanMinAge15)))</f>
        <v/>
      </c>
      <c r="L2530">
        <f>IF(OR(('06_Сеть_и_дети'!L67-'06_Сеть_и_дети'!L95)=0,15&lt;='01_Вводные'!$B$297),0,('06_Сеть_и_дети'!L67-'06_Сеть_и_дети'!L95)*IF('01_Вводные'!$B$239="Да",MeanMinAge15+'19_Расчет_аналитики'!L2584*SUMIF(ThresholdAge15,"&lt;"&amp;'19_Расчет_аналитики'!L2584,WeightedRevAge15)-SUMIF(ThresholdAge15,"&lt;"&amp;'19_Расчет_аналитики'!L2584,WeightedMinAge15),MAX(CapacityAge15*'01_Вводные'!$B$218*'19_Расчет_аналитики'!L2584,MeanMinAge15)))</f>
        <v/>
      </c>
      <c r="M2530">
        <f>IF(OR(('06_Сеть_и_дети'!M67-'06_Сеть_и_дети'!M95)=0,15&lt;='01_Вводные'!$B$297),0,('06_Сеть_и_дети'!M67-'06_Сеть_и_дети'!M95)*IF('01_Вводные'!$B$239="Да",MeanMinAge15+'19_Расчет_аналитики'!M2584*SUMIF(ThresholdAge15,"&lt;"&amp;'19_Расчет_аналитики'!M2584,WeightedRevAge15)-SUMIF(ThresholdAge15,"&lt;"&amp;'19_Расчет_аналитики'!M2584,WeightedMinAge15),MAX(CapacityAge15*'01_Вводные'!$B$218*'19_Расчет_аналитики'!M2584,MeanMinAge15)))</f>
        <v/>
      </c>
      <c r="N2530">
        <f>IF(OR(('06_Сеть_и_дети'!N67-'06_Сеть_и_дети'!N95)=0,15&lt;='01_Вводные'!$B$297),0,('06_Сеть_и_дети'!N67-'06_Сеть_и_дети'!N95)*IF('01_Вводные'!$B$239="Да",MeanMinAge15+'19_Расчет_аналитики'!N2584*SUMIF(ThresholdAge15,"&lt;"&amp;'19_Расчет_аналитики'!N2584,WeightedRevAge15)-SUMIF(ThresholdAge15,"&lt;"&amp;'19_Расчет_аналитики'!N2584,WeightedMinAge15),MAX(CapacityAge15*'01_Вводные'!$B$218*'19_Расчет_аналитики'!N2584,MeanMinAge15)))</f>
        <v/>
      </c>
      <c r="O2530">
        <f>IF(OR(('06_Сеть_и_дети'!O67-'06_Сеть_и_дети'!O95)=0,15&lt;='01_Вводные'!$B$297),0,('06_Сеть_и_дети'!O67-'06_Сеть_и_дети'!O95)*IF('01_Вводные'!$B$239="Да",MeanMinAge15+'19_Расчет_аналитики'!O2584*SUMIF(ThresholdAge15,"&lt;"&amp;'19_Расчет_аналитики'!O2584,WeightedRevAge15)-SUMIF(ThresholdAge15,"&lt;"&amp;'19_Расчет_аналитики'!O2584,WeightedMinAge15),MAX(CapacityAge15*'01_Вводные'!$B$218*'19_Расчет_аналитики'!O2584,MeanMinAge15)))</f>
        <v/>
      </c>
      <c r="P2530">
        <f>IF(OR(('19_Расчет_аналитики'!P2446-'19_Расчет_аналитики'!P2474)=0,15&lt;='01_Вводные'!$B$297),0,('19_Расчет_аналитики'!P2446-'19_Расчет_аналитики'!P2474)*IF('01_Вводные'!$B$239="Да",MeanMinAge15+'19_Расчет_аналитики'!P2584*SUMIF(ThresholdAge15,"&lt;"&amp;'19_Расчет_аналитики'!P2584,WeightedRevAge15)-SUMIF(ThresholdAge15,"&lt;"&amp;'19_Расчет_аналитики'!P2584,WeightedMinAge15),MAX(CapacityAge15*'01_Вводные'!$B$218*'19_Расчет_аналитики'!P2584,MeanMinAge15)))</f>
        <v/>
      </c>
      <c r="Q2530">
        <f>IF(OR(('19_Расчет_аналитики'!Q2446-'19_Расчет_аналитики'!Q2474)=0,15&lt;='01_Вводные'!$B$297),0,('19_Расчет_аналитики'!Q2446-'19_Расчет_аналитики'!Q2474)*IF('01_Вводные'!$B$239="Да",MeanMinAge15+'19_Расчет_аналитики'!Q2584*SUMIF(ThresholdAge15,"&lt;"&amp;'19_Расчет_аналитики'!Q2584,WeightedRevAge15)-SUMIF(ThresholdAge15,"&lt;"&amp;'19_Расчет_аналитики'!Q2584,WeightedMinAge15),MAX(CapacityAge15*'01_Вводные'!$B$218*'19_Расчет_аналитики'!Q2584,MeanMinAge15)))</f>
        <v/>
      </c>
      <c r="R2530">
        <f>IF(OR(('19_Расчет_аналитики'!R2446-'19_Расчет_аналитики'!R2474)=0,15&lt;='01_Вводные'!$B$297),0,('19_Расчет_аналитики'!R2446-'19_Расчет_аналитики'!R2474)*IF('01_Вводные'!$B$239="Да",MeanMinAge15+'19_Расчет_аналитики'!R2584*SUMIF(ThresholdAge15,"&lt;"&amp;'19_Расчет_аналитики'!R2584,WeightedRevAge15)-SUMIF(ThresholdAge15,"&lt;"&amp;'19_Расчет_аналитики'!R2584,WeightedMinAge15),MAX(CapacityAge15*'01_Вводные'!$B$218*'19_Расчет_аналитики'!R2584,MeanMinAge15)))</f>
        <v/>
      </c>
      <c r="S2530">
        <f>IF(OR(('19_Расчет_аналитики'!S2446-'19_Расчет_аналитики'!S2474)=0,15&lt;='01_Вводные'!$B$297),0,('19_Расчет_аналитики'!S2446-'19_Расчет_аналитики'!S2474)*IF('01_Вводные'!$B$239="Да",MeanMinAge15+'19_Расчет_аналитики'!S2584*SUMIF(ThresholdAge15,"&lt;"&amp;'19_Расчет_аналитики'!S2584,WeightedRevAge15)-SUMIF(ThresholdAge15,"&lt;"&amp;'19_Расчет_аналитики'!S2584,WeightedMinAge15),MAX(CapacityAge15*'01_Вводные'!$B$218*'19_Расчет_аналитики'!S2584,MeanMinAge15)))</f>
        <v/>
      </c>
      <c r="T2530">
        <f>IF(OR(('19_Расчет_аналитики'!T2446-'19_Расчет_аналитики'!T2474)=0,15&lt;='01_Вводные'!$B$297),0,('19_Расчет_аналитики'!T2446-'19_Расчет_аналитики'!T2474)*IF('01_Вводные'!$B$239="Да",MeanMinAge15+'19_Расчет_аналитики'!T2584*SUMIF(ThresholdAge15,"&lt;"&amp;'19_Расчет_аналитики'!T2584,WeightedRevAge15)-SUMIF(ThresholdAge15,"&lt;"&amp;'19_Расчет_аналитики'!T2584,WeightedMinAge15),MAX(CapacityAge15*'01_Вводные'!$B$218*'19_Расчет_аналитики'!T2584,MeanMinAge15)))</f>
        <v/>
      </c>
      <c r="U2530">
        <f>IF(OR(('19_Расчет_аналитики'!U2446-'19_Расчет_аналитики'!U2474)=0,15&lt;='01_Вводные'!$B$297),0,('19_Расчет_аналитики'!U2446-'19_Расчет_аналитики'!U2474)*IF('01_Вводные'!$B$239="Да",MeanMinAge15+'19_Расчет_аналитики'!U2584*SUMIF(ThresholdAge15,"&lt;"&amp;'19_Расчет_аналитики'!U2584,WeightedRevAge15)-SUMIF(ThresholdAge15,"&lt;"&amp;'19_Расчет_аналитики'!U2584,WeightedMinAge15),MAX(CapacityAge15*'01_Вводные'!$B$218*'19_Расчет_аналитики'!U2584,MeanMinAge15)))</f>
        <v/>
      </c>
      <c r="V2530">
        <f>IF(OR(('19_Расчет_аналитики'!V2446-'19_Расчет_аналитики'!V2474)=0,15&lt;='01_Вводные'!$B$297),0,('19_Расчет_аналитики'!V2446-'19_Расчет_аналитики'!V2474)*IF('01_Вводные'!$B$239="Да",MeanMinAge15+'19_Расчет_аналитики'!V2584*SUMIF(ThresholdAge15,"&lt;"&amp;'19_Расчет_аналитики'!V2584,WeightedRevAge15)-SUMIF(ThresholdAge15,"&lt;"&amp;'19_Расчет_аналитики'!V2584,WeightedMinAge15),MAX(CapacityAge15*'01_Вводные'!$B$218*'19_Расчет_аналитики'!V2584,MeanMinAge15)))</f>
        <v/>
      </c>
      <c r="W2530">
        <f>IF(OR(('19_Расчет_аналитики'!W2446-'19_Расчет_аналитики'!W2474)=0,15&lt;='01_Вводные'!$B$297),0,('19_Расчет_аналитики'!W2446-'19_Расчет_аналитики'!W2474)*IF('01_Вводные'!$B$239="Да",MeanMinAge15+'19_Расчет_аналитики'!W2584*SUMIF(ThresholdAge15,"&lt;"&amp;'19_Расчет_аналитики'!W2584,WeightedRevAge15)-SUMIF(ThresholdAge15,"&lt;"&amp;'19_Расчет_аналитики'!W2584,WeightedMinAge15),MAX(CapacityAge15*'01_Вводные'!$B$218*'19_Расчет_аналитики'!W2584,MeanMinAge15)))</f>
        <v/>
      </c>
      <c r="X2530">
        <f>IF(OR(('19_Расчет_аналитики'!X2446-'19_Расчет_аналитики'!X2474)=0,15&lt;='01_Вводные'!$B$297),0,('19_Расчет_аналитики'!X2446-'19_Расчет_аналитики'!X2474)*IF('01_Вводные'!$B$239="Да",MeanMinAge15+'19_Расчет_аналитики'!X2584*SUMIF(ThresholdAge15,"&lt;"&amp;'19_Расчет_аналитики'!X2584,WeightedRevAge15)-SUMIF(ThresholdAge15,"&lt;"&amp;'19_Расчет_аналитики'!X2584,WeightedMinAge15),MAX(CapacityAge15*'01_Вводные'!$B$218*'19_Расчет_аналитики'!X2584,MeanMinAge15)))</f>
        <v/>
      </c>
      <c r="Y2530">
        <f>IF(OR(('19_Расчет_аналитики'!Y2446-'19_Расчет_аналитики'!Y2474)=0,15&lt;='01_Вводные'!$B$297),0,('19_Расчет_аналитики'!Y2446-'19_Расчет_аналитики'!Y2474)*IF('01_Вводные'!$B$239="Да",MeanMinAge15+'19_Расчет_аналитики'!Y2584*SUMIF(ThresholdAge15,"&lt;"&amp;'19_Расчет_аналитики'!Y2584,WeightedRevAge15)-SUMIF(ThresholdAge15,"&lt;"&amp;'19_Расчет_аналитики'!Y2584,WeightedMinAge15),MAX(CapacityAge15*'01_Вводные'!$B$218*'19_Расчет_аналитики'!Y2584,MeanMinAge15)))</f>
        <v/>
      </c>
      <c r="Z2530">
        <f>IF(OR(('19_Расчет_аналитики'!Z2446-'19_Расчет_аналитики'!Z2474)=0,15&lt;='01_Вводные'!$B$297),0,('19_Расчет_аналитики'!Z2446-'19_Расчет_аналитики'!Z2474)*IF('01_Вводные'!$B$239="Да",MeanMinAge15+'19_Расчет_аналитики'!Z2584*SUMIF(ThresholdAge15,"&lt;"&amp;'19_Расчет_аналитики'!Z2584,WeightedRevAge15)-SUMIF(ThresholdAge15,"&lt;"&amp;'19_Расчет_аналитики'!Z2584,WeightedMinAge15),MAX(CapacityAge15*'01_Вводные'!$B$218*'19_Расчет_аналитики'!Z2584,MeanMinAge15)))</f>
        <v/>
      </c>
      <c r="AA2530">
        <f>IF(OR(('19_Расчет_аналитики'!AA2446-'19_Расчет_аналитики'!AA2474)=0,15&lt;='01_Вводные'!$B$297),0,('19_Расчет_аналитики'!AA2446-'19_Расчет_аналитики'!AA2474)*IF('01_Вводные'!$B$239="Да",MeanMinAge15+'19_Расчет_аналитики'!AA2584*SUMIF(ThresholdAge15,"&lt;"&amp;'19_Расчет_аналитики'!AA2584,WeightedRevAge15)-SUMIF(ThresholdAge15,"&lt;"&amp;'19_Расчет_аналитики'!AA2584,WeightedMinAge15),MAX(CapacityAge15*'01_Вводные'!$B$218*'19_Расчет_аналитики'!AA2584,MeanMinAge15)))</f>
        <v/>
      </c>
      <c r="AB2530">
        <f>IF(OR(('19_Расчет_аналитики'!AB2446-'19_Расчет_аналитики'!AB2474)=0,15&lt;='01_Вводные'!$B$297),0,('19_Расчет_аналитики'!AB2446-'19_Расчет_аналитики'!AB2474)*IF('01_Вводные'!$B$239="Да",MeanMinAge15+'19_Расчет_аналитики'!AB2584*SUMIF(ThresholdAge15,"&lt;"&amp;'19_Расчет_аналитики'!AB2584,WeightedRevAge15)-SUMIF(ThresholdAge15,"&lt;"&amp;'19_Расчет_аналитики'!AB2584,WeightedMinAge15),MAX(CapacityAge15*'01_Вводные'!$B$218*'19_Расчет_аналитики'!AB2584,MeanMinAge15)))</f>
        <v/>
      </c>
      <c r="AC2530">
        <f>IF(OR(('19_Расчет_аналитики'!AC2446-'19_Расчет_аналитики'!AC2474)=0,15&lt;='01_Вводные'!$B$297),0,('19_Расчет_аналитики'!AC2446-'19_Расчет_аналитики'!AC2474)*IF('01_Вводные'!$B$239="Да",MeanMinAge15+'19_Расчет_аналитики'!AC2584*SUMIF(ThresholdAge15,"&lt;"&amp;'19_Расчет_аналитики'!AC2584,WeightedRevAge15)-SUMIF(ThresholdAge15,"&lt;"&amp;'19_Расчет_аналитики'!AC2584,WeightedMinAge15),MAX(CapacityAge15*'01_Вводные'!$B$218*'19_Расчет_аналитики'!AC2584,MeanMinAge15)))</f>
        <v/>
      </c>
      <c r="AD2530">
        <f>IF(OR(('19_Расчет_аналитики'!AD2446-'19_Расчет_аналитики'!AD2474)=0,15&lt;='01_Вводные'!$B$297),0,('19_Расчет_аналитики'!AD2446-'19_Расчет_аналитики'!AD2474)*IF('01_Вводные'!$B$239="Да",MeanMinAge15+'19_Расчет_аналитики'!AD2584*SUMIF(ThresholdAge15,"&lt;"&amp;'19_Расчет_аналитики'!AD2584,WeightedRevAge15)-SUMIF(ThresholdAge15,"&lt;"&amp;'19_Расчет_аналитики'!AD2584,WeightedMinAge15),MAX(CapacityAge15*'01_Вводные'!$B$218*'19_Расчет_аналитики'!AD2584,MeanMinAge15)))</f>
        <v/>
      </c>
      <c r="AE2530">
        <f>IF(OR(('19_Расчет_аналитики'!AE2446-'19_Расчет_аналитики'!AE2474)=0,15&lt;='01_Вводные'!$B$297),0,('19_Расчет_аналитики'!AE2446-'19_Расчет_аналитики'!AE2474)*IF('01_Вводные'!$B$239="Да",MeanMinAge15+'19_Расчет_аналитики'!AE2584*SUMIF(ThresholdAge15,"&lt;"&amp;'19_Расчет_аналитики'!AE2584,WeightedRevAge15)-SUMIF(ThresholdAge15,"&lt;"&amp;'19_Расчет_аналитики'!AE2584,WeightedMinAge15),MAX(CapacityAge15*'01_Вводные'!$B$218*'19_Расчет_аналитики'!AE2584,MeanMinAge15)))</f>
        <v/>
      </c>
      <c r="AF2530">
        <f>IF(OR(('19_Расчет_аналитики'!AF2446-'19_Расчет_аналитики'!AF2474)=0,15&lt;='01_Вводные'!$B$297),0,('19_Расчет_аналитики'!AF2446-'19_Расчет_аналитики'!AF2474)*IF('01_Вводные'!$B$239="Да",MeanMinAge15+'19_Расчет_аналитики'!AF2584*SUMIF(ThresholdAge15,"&lt;"&amp;'19_Расчет_аналитики'!AF2584,WeightedRevAge15)-SUMIF(ThresholdAge15,"&lt;"&amp;'19_Расчет_аналитики'!AF2584,WeightedMinAge15),MAX(CapacityAge15*'01_Вводные'!$B$218*'19_Расчет_аналитики'!AF2584,MeanMinAge15)))</f>
        <v/>
      </c>
      <c r="AG2530">
        <f>IF(OR(('19_Расчет_аналитики'!AG2446-'19_Расчет_аналитики'!AG2474)=0,15&lt;='01_Вводные'!$B$297),0,('19_Расчет_аналитики'!AG2446-'19_Расчет_аналитики'!AG2474)*IF('01_Вводные'!$B$239="Да",MeanMinAge15+'19_Расчет_аналитики'!AG2584*SUMIF(ThresholdAge15,"&lt;"&amp;'19_Расчет_аналитики'!AG2584,WeightedRevAge15)-SUMIF(ThresholdAge15,"&lt;"&amp;'19_Расчет_аналитики'!AG2584,WeightedMinAge15),MAX(CapacityAge15*'01_Вводные'!$B$218*'19_Расчет_аналитики'!AG2584,MeanMinAge15)))</f>
        <v/>
      </c>
      <c r="AH2530">
        <f>IF(OR(('19_Расчет_аналитики'!AH2446-'19_Расчет_аналитики'!AH2474)=0,15&lt;='01_Вводные'!$B$297),0,('19_Расчет_аналитики'!AH2446-'19_Расчет_аналитики'!AH2474)*IF('01_Вводные'!$B$239="Да",MeanMinAge15+'19_Расчет_аналитики'!AH2584*SUMIF(ThresholdAge15,"&lt;"&amp;'19_Расчет_аналитики'!AH2584,WeightedRevAge15)-SUMIF(ThresholdAge15,"&lt;"&amp;'19_Расчет_аналитики'!AH2584,WeightedMinAge15),MAX(CapacityAge15*'01_Вводные'!$B$218*'19_Расчет_аналитики'!AH2584,MeanMinAge15)))</f>
        <v/>
      </c>
      <c r="AI2530">
        <f>IF(OR(('19_Расчет_аналитики'!AI2446-'19_Расчет_аналитики'!AI2474)=0,15&lt;='01_Вводные'!$B$297),0,('19_Расчет_аналитики'!AI2446-'19_Расчет_аналитики'!AI2474)*IF('01_Вводные'!$B$239="Да",MeanMinAge15+'19_Расчет_аналитики'!AI2584*SUMIF(ThresholdAge15,"&lt;"&amp;'19_Расчет_аналитики'!AI2584,WeightedRevAge15)-SUMIF(ThresholdAge15,"&lt;"&amp;'19_Расчет_аналитики'!AI2584,WeightedMinAge15),MAX(CapacityAge15*'01_Вводные'!$B$218*'19_Расчет_аналитики'!AI2584,MeanMinAge15)))</f>
        <v/>
      </c>
      <c r="AJ2530">
        <f>IF(OR(('19_Расчет_аналитики'!AJ2446-'19_Расчет_аналитики'!AJ2474)=0,15&lt;='01_Вводные'!$B$297),0,('19_Расчет_аналитики'!AJ2446-'19_Расчет_аналитики'!AJ2474)*IF('01_Вводные'!$B$239="Да",MeanMinAge15+'19_Расчет_аналитики'!AJ2584*SUMIF(ThresholdAge15,"&lt;"&amp;'19_Расчет_аналитики'!AJ2584,WeightedRevAge15)-SUMIF(ThresholdAge15,"&lt;"&amp;'19_Расчет_аналитики'!AJ2584,WeightedMinAge15),MAX(CapacityAge15*'01_Вводные'!$B$218*'19_Расчет_аналитики'!AJ2584,MeanMinAge15)))</f>
        <v/>
      </c>
      <c r="AK2530">
        <f>IF(OR(('19_Расчет_аналитики'!AK2446-'19_Расчет_аналитики'!AK2474)=0,15&lt;='01_Вводные'!$B$297),0,('19_Расчет_аналитики'!AK2446-'19_Расчет_аналитики'!AK2474)*IF('01_Вводные'!$B$239="Да",MeanMinAge15+'19_Расчет_аналитики'!AK2584*SUMIF(ThresholdAge15,"&lt;"&amp;'19_Расчет_аналитики'!AK2584,WeightedRevAge15)-SUMIF(ThresholdAge15,"&lt;"&amp;'19_Расчет_аналитики'!AK2584,WeightedMinAge15),MAX(CapacityAge15*'01_Вводные'!$B$218*'19_Расчет_аналитики'!AK2584,MeanMinAge15)))</f>
        <v/>
      </c>
      <c r="AL2530">
        <f>IF(OR(('19_Расчет_аналитики'!AL2446-'19_Расчет_аналитики'!AL2474)=0,15&lt;='01_Вводные'!$B$297),0,('19_Расчет_аналитики'!AL2446-'19_Расчет_аналитики'!AL2474)*IF('01_Вводные'!$B$239="Да",MeanMinAge15+'19_Расчет_аналитики'!AL2584*SUMIF(ThresholdAge15,"&lt;"&amp;'19_Расчет_аналитики'!AL2584,WeightedRevAge15)-SUMIF(ThresholdAge15,"&lt;"&amp;'19_Расчет_аналитики'!AL2584,WeightedMinAge15),MAX(CapacityAge15*'01_Вводные'!$B$218*'19_Расчет_аналитики'!AL2584,MeanMinAge15)))</f>
        <v/>
      </c>
      <c r="AM2530">
        <f>IF(OR(('19_Расчет_аналитики'!AM2446-'19_Расчет_аналитики'!AM2474)=0,15&lt;='01_Вводные'!$B$297),0,('19_Расчет_аналитики'!AM2446-'19_Расчет_аналитики'!AM2474)*IF('01_Вводные'!$B$239="Да",MeanMinAge15+'19_Расчет_аналитики'!AM2584*SUMIF(ThresholdAge15,"&lt;"&amp;'19_Расчет_аналитики'!AM2584,WeightedRevAge15)-SUMIF(ThresholdAge15,"&lt;"&amp;'19_Расчет_аналитики'!AM2584,WeightedMinAge15),MAX(CapacityAge15*'01_Вводные'!$B$218*'19_Расчет_аналитики'!AM2584,MeanMinAge15)))</f>
        <v/>
      </c>
      <c r="AN2530">
        <f>IF(OR(('19_Расчет_аналитики'!AN2446-'19_Расчет_аналитики'!AN2474)=0,15&lt;='01_Вводные'!$B$297),0,('19_Расчет_аналитики'!AN2446-'19_Расчет_аналитики'!AN2474)*IF('01_Вводные'!$B$239="Да",MeanMinAge15+'19_Расчет_аналитики'!AN2584*SUMIF(ThresholdAge15,"&lt;"&amp;'19_Расчет_аналитики'!AN2584,WeightedRevAge15)-SUMIF(ThresholdAge15,"&lt;"&amp;'19_Расчет_аналитики'!AN2584,WeightedMinAge15),MAX(CapacityAge15*'01_Вводные'!$B$218*'19_Расчет_аналитики'!AN2584,MeanMinAge15)))</f>
        <v/>
      </c>
      <c r="AO2530">
        <f>IF(OR(('19_Расчет_аналитики'!AO2446-'19_Расчет_аналитики'!AO2474)=0,15&lt;='01_Вводные'!$B$297),0,('19_Расчет_аналитики'!AO2446-'19_Расчет_аналитики'!AO2474)*IF('01_Вводные'!$B$239="Да",MeanMinAge15+'19_Расчет_аналитики'!AO2584*SUMIF(ThresholdAge15,"&lt;"&amp;'19_Расчет_аналитики'!AO2584,WeightedRevAge15)-SUMIF(ThresholdAge15,"&lt;"&amp;'19_Расчет_аналитики'!AO2584,WeightedMinAge15),MAX(CapacityAge15*'01_Вводные'!$B$218*'19_Расчет_аналитики'!AO2584,MeanMinAge15)))</f>
        <v/>
      </c>
      <c r="AP2530">
        <f>IF(OR(('19_Расчет_аналитики'!AP2446-'19_Расчет_аналитики'!AP2474)=0,15&lt;='01_Вводные'!$B$297),0,('19_Расчет_аналитики'!AP2446-'19_Расчет_аналитики'!AP2474)*IF('01_Вводные'!$B$239="Да",MeanMinAge15+'19_Расчет_аналитики'!AP2584*SUMIF(ThresholdAge15,"&lt;"&amp;'19_Расчет_аналитики'!AP2584,WeightedRevAge15)-SUMIF(ThresholdAge15,"&lt;"&amp;'19_Расчет_аналитики'!AP2584,WeightedMinAge15),MAX(CapacityAge15*'01_Вводные'!$B$218*'19_Расчет_аналитики'!AP2584,MeanMinAge15)))</f>
        <v/>
      </c>
      <c r="AQ2530">
        <f>IF(OR(('19_Расчет_аналитики'!AQ2446-'19_Расчет_аналитики'!AQ2474)=0,15&lt;='01_Вводные'!$B$297),0,('19_Расчет_аналитики'!AQ2446-'19_Расчет_аналитики'!AQ2474)*IF('01_Вводные'!$B$239="Да",MeanMinAge15+'19_Расчет_аналитики'!AQ2584*SUMIF(ThresholdAge15,"&lt;"&amp;'19_Расчет_аналитики'!AQ2584,WeightedRevAge15)-SUMIF(ThresholdAge15,"&lt;"&amp;'19_Расчет_аналитики'!AQ2584,WeightedMinAge15),MAX(CapacityAge15*'01_Вводные'!$B$218*'19_Расчет_аналитики'!AQ2584,MeanMinAge15)))</f>
        <v/>
      </c>
      <c r="AR2530">
        <f>IF(OR(('19_Расчет_аналитики'!AR2446-'19_Расчет_аналитики'!AR2474)=0,15&lt;='01_Вводные'!$B$297),0,('19_Расчет_аналитики'!AR2446-'19_Расчет_аналитики'!AR2474)*IF('01_Вводные'!$B$239="Да",MeanMinAge15+'19_Расчет_аналитики'!AR2584*SUMIF(ThresholdAge15,"&lt;"&amp;'19_Расчет_аналитики'!AR2584,WeightedRevAge15)-SUMIF(ThresholdAge15,"&lt;"&amp;'19_Расчет_аналитики'!AR2584,WeightedMinAge15),MAX(CapacityAge15*'01_Вводные'!$B$218*'19_Расчет_аналитики'!AR2584,MeanMinAge15)))</f>
        <v/>
      </c>
      <c r="AS2530">
        <f>IF(OR(('19_Расчет_аналитики'!AS2446-'19_Расчет_аналитики'!AS2474)=0,15&lt;='01_Вводные'!$B$297),0,('19_Расчет_аналитики'!AS2446-'19_Расчет_аналитики'!AS2474)*IF('01_Вводные'!$B$239="Да",MeanMinAge15+'19_Расчет_аналитики'!AS2584*SUMIF(ThresholdAge15,"&lt;"&amp;'19_Расчет_аналитики'!AS2584,WeightedRevAge15)-SUMIF(ThresholdAge15,"&lt;"&amp;'19_Расчет_аналитики'!AS2584,WeightedMinAge15),MAX(CapacityAge15*'01_Вводные'!$B$218*'19_Расчет_аналитики'!AS2584,MeanMinAge15)))</f>
        <v/>
      </c>
      <c r="AT2530">
        <f>IF(OR(('19_Расчет_аналитики'!AT2446-'19_Расчет_аналитики'!AT2474)=0,15&lt;='01_Вводные'!$B$297),0,('19_Расчет_аналитики'!AT2446-'19_Расчет_аналитики'!AT2474)*IF('01_Вводные'!$B$239="Да",MeanMinAge15+'19_Расчет_аналитики'!AT2584*SUMIF(ThresholdAge15,"&lt;"&amp;'19_Расчет_аналитики'!AT2584,WeightedRevAge15)-SUMIF(ThresholdAge15,"&lt;"&amp;'19_Расчет_аналитики'!AT2584,WeightedMinAge15),MAX(CapacityAge15*'01_Вводные'!$B$218*'19_Расчет_аналитики'!AT2584,MeanMinAge15)))</f>
        <v/>
      </c>
      <c r="AU2530">
        <f>IF(OR(('19_Расчет_аналитики'!AU2446-'19_Расчет_аналитики'!AU2474)=0,15&lt;='01_Вводные'!$B$297),0,('19_Расчет_аналитики'!AU2446-'19_Расчет_аналитики'!AU2474)*IF('01_Вводные'!$B$239="Да",MeanMinAge15+'19_Расчет_аналитики'!AU2584*SUMIF(ThresholdAge15,"&lt;"&amp;'19_Расчет_аналитики'!AU2584,WeightedRevAge15)-SUMIF(ThresholdAge15,"&lt;"&amp;'19_Расчет_аналитики'!AU2584,WeightedMinAge15),MAX(CapacityAge15*'01_Вводные'!$B$218*'19_Расчет_аналитики'!AU2584,MeanMinAge15)))</f>
        <v/>
      </c>
      <c r="AV2530">
        <f>IF(OR(('19_Расчет_аналитики'!AV2446-'19_Расчет_аналитики'!AV2474)=0,15&lt;='01_Вводные'!$B$297),0,('19_Расчет_аналитики'!AV2446-'19_Расчет_аналитики'!AV2474)*IF('01_Вводные'!$B$239="Да",MeanMinAge15+'19_Расчет_аналитики'!AV2584*SUMIF(ThresholdAge15,"&lt;"&amp;'19_Расчет_аналитики'!AV2584,WeightedRevAge15)-SUMIF(ThresholdAge15,"&lt;"&amp;'19_Расчет_аналитики'!AV2584,WeightedMinAge15),MAX(CapacityAge15*'01_Вводные'!$B$218*'19_Расчет_аналитики'!AV2584,MeanMinAge15)))</f>
        <v/>
      </c>
      <c r="AW2530">
        <f>IF(OR(('19_Расчет_аналитики'!AW2446-'19_Расчет_аналитики'!AW2474)=0,15&lt;='01_Вводные'!$B$297),0,('19_Расчет_аналитики'!AW2446-'19_Расчет_аналитики'!AW2474)*IF('01_Вводные'!$B$239="Да",MeanMinAge15+'19_Расчет_аналитики'!AW2584*SUMIF(ThresholdAge15,"&lt;"&amp;'19_Расчет_аналитики'!AW2584,WeightedRevAge15)-SUMIF(ThresholdAge15,"&lt;"&amp;'19_Расчет_аналитики'!AW2584,WeightedMinAge15),MAX(CapacityAge15*'01_Вводные'!$B$218*'19_Расчет_аналитики'!AW2584,MeanMinAge15)))</f>
        <v/>
      </c>
      <c r="AX2530">
        <f>IF(OR(('19_Расчет_аналитики'!AX2446-'19_Расчет_аналитики'!AX2474)=0,15&lt;='01_Вводные'!$B$297),0,('19_Расчет_аналитики'!AX2446-'19_Расчет_аналитики'!AX2474)*IF('01_Вводные'!$B$239="Да",MeanMinAge15+'19_Расчет_аналитики'!AX2584*SUMIF(ThresholdAge15,"&lt;"&amp;'19_Расчет_аналитики'!AX2584,WeightedRevAge15)-SUMIF(ThresholdAge15,"&lt;"&amp;'19_Расчет_аналитики'!AX2584,WeightedMinAge15),MAX(CapacityAge15*'01_Вводные'!$B$218*'19_Расчет_аналитики'!AX2584,MeanMinAge15)))</f>
        <v/>
      </c>
      <c r="AY2530">
        <f>IF(OR(('19_Расчет_аналитики'!AY2446-'19_Расчет_аналитики'!AY2474)=0,15&lt;='01_Вводные'!$B$297),0,('19_Расчет_аналитики'!AY2446-'19_Расчет_аналитики'!AY2474)*IF('01_Вводные'!$B$239="Да",MeanMinAge15+'19_Расчет_аналитики'!AY2584*SUMIF(ThresholdAge15,"&lt;"&amp;'19_Расчет_аналитики'!AY2584,WeightedRevAge15)-SUMIF(ThresholdAge15,"&lt;"&amp;'19_Расчет_аналитики'!AY2584,WeightedMinAge15),MAX(CapacityAge15*'01_Вводные'!$B$218*'19_Расчет_аналитики'!AY2584,MeanMinAge15)))</f>
        <v/>
      </c>
      <c r="AZ2530">
        <f>IF(OR(('19_Расчет_аналитики'!AZ2446-'19_Расчет_аналитики'!AZ2474)=0,15&lt;='01_Вводные'!$B$297),0,('19_Расчет_аналитики'!AZ2446-'19_Расчет_аналитики'!AZ2474)*IF('01_Вводные'!$B$239="Да",MeanMinAge15+'19_Расчет_аналитики'!AZ2584*SUMIF(ThresholdAge15,"&lt;"&amp;'19_Расчет_аналитики'!AZ2584,WeightedRevAge15)-SUMIF(ThresholdAge15,"&lt;"&amp;'19_Расчет_аналитики'!AZ2584,WeightedMinAge15),MAX(CapacityAge15*'01_Вводные'!$B$218*'19_Расчет_аналитики'!AZ2584,MeanMinAge15)))</f>
        <v/>
      </c>
      <c r="BA2530">
        <f>IF(OR(('19_Расчет_аналитики'!BA2446-'19_Расчет_аналитики'!BA2474)=0,15&lt;='01_Вводные'!$B$297),0,('19_Расчет_аналитики'!BA2446-'19_Расчет_аналитики'!BA2474)*IF('01_Вводные'!$B$239="Да",MeanMinAge15+'19_Расчет_аналитики'!BA2584*SUMIF(ThresholdAge15,"&lt;"&amp;'19_Расчет_аналитики'!BA2584,WeightedRevAge15)-SUMIF(ThresholdAge15,"&lt;"&amp;'19_Расчет_аналитики'!BA2584,WeightedMinAge15),MAX(CapacityAge15*'01_Вводные'!$B$218*'19_Расчет_аналитики'!BA2584,MeanMinAge15)))</f>
        <v/>
      </c>
      <c r="BB2530">
        <f>IF(OR(('19_Расчет_аналитики'!BB2446-'19_Расчет_аналитики'!BB2474)=0,15&lt;='01_Вводные'!$B$297),0,('19_Расчет_аналитики'!BB2446-'19_Расчет_аналитики'!BB2474)*IF('01_Вводные'!$B$239="Да",MeanMinAge15+'19_Расчет_аналитики'!BB2584*SUMIF(ThresholdAge15,"&lt;"&amp;'19_Расчет_аналитики'!BB2584,WeightedRevAge15)-SUMIF(ThresholdAge15,"&lt;"&amp;'19_Расчет_аналитики'!BB2584,WeightedMinAge15),MAX(CapacityAge15*'01_Вводные'!$B$218*'19_Расчет_аналитики'!BB2584,MeanMinAge15)))</f>
        <v/>
      </c>
      <c r="BC2530">
        <f>IF(OR(('19_Расчет_аналитики'!BC2446-'19_Расчет_аналитики'!BC2474)=0,15&lt;='01_Вводные'!$B$297),0,('19_Расчет_аналитики'!BC2446-'19_Расчет_аналитики'!BC2474)*IF('01_Вводные'!$B$239="Да",MeanMinAge15+'19_Расчет_аналитики'!BC2584*SUMIF(ThresholdAge15,"&lt;"&amp;'19_Расчет_аналитики'!BC2584,WeightedRevAge15)-SUMIF(ThresholdAge15,"&lt;"&amp;'19_Расчет_аналитики'!BC2584,WeightedMinAge15),MAX(CapacityAge15*'01_Вводные'!$B$218*'19_Расчет_аналитики'!BC2584,MeanMinAge15)))</f>
        <v/>
      </c>
      <c r="BD2530">
        <f>IF(OR(('19_Расчет_аналитики'!BD2446-'19_Расчет_аналитики'!BD2474)=0,15&lt;='01_Вводные'!$B$297),0,('19_Расчет_аналитики'!BD2446-'19_Расчет_аналитики'!BD2474)*IF('01_Вводные'!$B$239="Да",MeanMinAge15+'19_Расчет_аналитики'!BD2584*SUMIF(ThresholdAge15,"&lt;"&amp;'19_Расчет_аналитики'!BD2584,WeightedRevAge15)-SUMIF(ThresholdAge15,"&lt;"&amp;'19_Расчет_аналитики'!BD2584,WeightedMinAge15),MAX(CapacityAge15*'01_Вводные'!$B$218*'19_Расчет_аналитики'!BD2584,MeanMinAge15)))</f>
        <v/>
      </c>
      <c r="BE2530">
        <f>IF(OR(('19_Расчет_аналитики'!BE2446-'19_Расчет_аналитики'!BE2474)=0,15&lt;='01_Вводные'!$B$297),0,('19_Расчет_аналитики'!BE2446-'19_Расчет_аналитики'!BE2474)*IF('01_Вводные'!$B$239="Да",MeanMinAge15+'19_Расчет_аналитики'!BE2584*SUMIF(ThresholdAge15,"&lt;"&amp;'19_Расчет_аналитики'!BE2584,WeightedRevAge15)-SUMIF(ThresholdAge15,"&lt;"&amp;'19_Расчет_аналитики'!BE2584,WeightedMinAge15),MAX(CapacityAge15*'01_Вводные'!$B$218*'19_Расчет_аналитики'!BE2584,MeanMinAge15)))</f>
        <v/>
      </c>
      <c r="BF2530">
        <f>IF(OR(('19_Расчет_аналитики'!BF2446-'19_Расчет_аналитики'!BF2474)=0,15&lt;='01_Вводные'!$B$297),0,('19_Расчет_аналитики'!BF2446-'19_Расчет_аналитики'!BF2474)*IF('01_Вводные'!$B$239="Да",MeanMinAge15+'19_Расчет_аналитики'!BF2584*SUMIF(ThresholdAge15,"&lt;"&amp;'19_Расчет_аналитики'!BF2584,WeightedRevAge15)-SUMIF(ThresholdAge15,"&lt;"&amp;'19_Расчет_аналитики'!BF2584,WeightedMinAge15),MAX(CapacityAge15*'01_Вводные'!$B$218*'19_Расчет_аналитики'!BF2584,MeanMinAge15)))</f>
        <v/>
      </c>
      <c r="BG2530">
        <f>IF(OR(('19_Расчет_аналитики'!BG2446-'19_Расчет_аналитики'!BG2474)=0,15&lt;='01_Вводные'!$B$297),0,('19_Расчет_аналитики'!BG2446-'19_Расчет_аналитики'!BG2474)*IF('01_Вводные'!$B$239="Да",MeanMinAge15+'19_Расчет_аналитики'!BG2584*SUMIF(ThresholdAge15,"&lt;"&amp;'19_Расчет_аналитики'!BG2584,WeightedRevAge15)-SUMIF(ThresholdAge15,"&lt;"&amp;'19_Расчет_аналитики'!BG2584,WeightedMinAge15),MAX(CapacityAge15*'01_Вводные'!$B$218*'19_Расчет_аналитики'!BG2584,MeanMinAge15)))</f>
        <v/>
      </c>
      <c r="BH2530">
        <f>IF(OR(('19_Расчет_аналитики'!BH2446-'19_Расчет_аналитики'!BH2474)=0,15&lt;='01_Вводные'!$B$297),0,('19_Расчет_аналитики'!BH2446-'19_Расчет_аналитики'!BH2474)*IF('01_Вводные'!$B$239="Да",MeanMinAge15+'19_Расчет_аналитики'!BH2584*SUMIF(ThresholdAge15,"&lt;"&amp;'19_Расчет_аналитики'!BH2584,WeightedRevAge15)-SUMIF(ThresholdAge15,"&lt;"&amp;'19_Расчет_аналитики'!BH2584,WeightedMinAge15),MAX(CapacityAge15*'01_Вводные'!$B$218*'19_Расчет_аналитики'!BH2584,MeanMinAge15)))</f>
        <v/>
      </c>
      <c r="BI2530">
        <f>IF(OR(('19_Расчет_аналитики'!BI2446-'19_Расчет_аналитики'!BI2474)=0,15&lt;='01_Вводные'!$B$297),0,('19_Расчет_аналитики'!BI2446-'19_Расчет_аналитики'!BI2474)*IF('01_Вводные'!$B$239="Да",MeanMinAge15+'19_Расчет_аналитики'!BI2584*SUMIF(ThresholdAge15,"&lt;"&amp;'19_Расчет_аналитики'!BI2584,WeightedRevAge15)-SUMIF(ThresholdAge15,"&lt;"&amp;'19_Расчет_аналитики'!BI2584,WeightedMinAge15),MAX(CapacityAge15*'01_Вводные'!$B$218*'19_Расчет_аналитики'!BI2584,MeanMinAge15)))</f>
        <v/>
      </c>
      <c r="BJ2530">
        <f>IF(OR(('19_Расчет_аналитики'!BJ2446-'19_Расчет_аналитики'!BJ2474)=0,15&lt;='01_Вводные'!$B$297),0,('19_Расчет_аналитики'!BJ2446-'19_Расчет_аналитики'!BJ2474)*IF('01_Вводные'!$B$239="Да",MeanMinAge15+'19_Расчет_аналитики'!BJ2584*SUMIF(ThresholdAge15,"&lt;"&amp;'19_Расчет_аналитики'!BJ2584,WeightedRevAge15)-SUMIF(ThresholdAge15,"&lt;"&amp;'19_Расчет_аналитики'!BJ2584,WeightedMinAge15),MAX(CapacityAge15*'01_Вводные'!$B$218*'19_Расчет_аналитики'!BJ2584,MeanMinAge15)))</f>
        <v/>
      </c>
      <c r="BK2530">
        <f>IF(OR(('19_Расчет_аналитики'!BK2446-'19_Расчет_аналитики'!BK2474)=0,15&lt;='01_Вводные'!$B$297),0,('19_Расчет_аналитики'!BK2446-'19_Расчет_аналитики'!BK2474)*IF('01_Вводные'!$B$239="Да",MeanMinAge15+'19_Расчет_аналитики'!BK2584*SUMIF(ThresholdAge15,"&lt;"&amp;'19_Расчет_аналитики'!BK2584,WeightedRevAge15)-SUMIF(ThresholdAge15,"&lt;"&amp;'19_Расчет_аналитики'!BK2584,WeightedMinAge15),MAX(CapacityAge15*'01_Вводные'!$B$218*'19_Расчет_аналитики'!BK2584,MeanMinAge15)))</f>
        <v/>
      </c>
      <c r="BL2530">
        <f>IF(OR(('19_Расчет_аналитики'!BL2446-'19_Расчет_аналитики'!BL2474)=0,15&lt;='01_Вводные'!$B$297),0,('19_Расчет_аналитики'!BL2446-'19_Расчет_аналитики'!BL2474)*IF('01_Вводные'!$B$239="Да",MeanMinAge15+'19_Расчет_аналитики'!BL2584*SUMIF(ThresholdAge15,"&lt;"&amp;'19_Расчет_аналитики'!BL2584,WeightedRevAge15)-SUMIF(ThresholdAge15,"&lt;"&amp;'19_Расчет_аналитики'!BL2584,WeightedMinAge15),MAX(CapacityAge15*'01_Вводные'!$B$218*'19_Расчет_аналитики'!BL2584,MeanMinAge15)))</f>
        <v/>
      </c>
      <c r="BM2530">
        <f>IF(OR(('19_Расчет_аналитики'!BM2446-'19_Расчет_аналитики'!BM2474)=0,15&lt;='01_Вводные'!$B$297),0,('19_Расчет_аналитики'!BM2446-'19_Расчет_аналитики'!BM2474)*IF('01_Вводные'!$B$239="Да",MeanMinAge15+'19_Расчет_аналитики'!BM2584*SUMIF(ThresholdAge15,"&lt;"&amp;'19_Расчет_аналитики'!BM2584,WeightedRevAge15)-SUMIF(ThresholdAge15,"&lt;"&amp;'19_Расчет_аналитики'!BM2584,WeightedMinAge15),MAX(CapacityAge15*'01_Вводные'!$B$218*'19_Расчет_аналитики'!BM2584,MeanMinAge15)))</f>
        <v/>
      </c>
      <c r="BN2530">
        <f>IF(OR(('19_Расчет_аналитики'!BN2446-'19_Расчет_аналитики'!BN2474)=0,15&lt;='01_Вводные'!$B$297),0,('19_Расчет_аналитики'!BN2446-'19_Расчет_аналитики'!BN2474)*IF('01_Вводные'!$B$239="Да",MeanMinAge15+'19_Расчет_аналитики'!BN2584*SUMIF(ThresholdAge15,"&lt;"&amp;'19_Расчет_аналитики'!BN2584,WeightedRevAge15)-SUMIF(ThresholdAge15,"&lt;"&amp;'19_Расчет_аналитики'!BN2584,WeightedMinAge15),MAX(CapacityAge15*'01_Вводные'!$B$218*'19_Расчет_аналитики'!BN2584,MeanMinAge15)))</f>
        <v/>
      </c>
      <c r="BO2530">
        <f>IF(OR(('19_Расчет_аналитики'!BO2446-'19_Расчет_аналитики'!BO2474)=0,15&lt;='01_Вводные'!$B$297),0,('19_Расчет_аналитики'!BO2446-'19_Расчет_аналитики'!BO2474)*IF('01_Вводные'!$B$239="Да",MeanMinAge15+'19_Расчет_аналитики'!BO2584*SUMIF(ThresholdAge15,"&lt;"&amp;'19_Расчет_аналитики'!BO2584,WeightedRevAge15)-SUMIF(ThresholdAge15,"&lt;"&amp;'19_Расчет_аналитики'!BO2584,WeightedMinAge15),MAX(CapacityAge15*'01_Вводные'!$B$218*'19_Расчет_аналитики'!BO2584,MeanMinAge15)))</f>
        <v/>
      </c>
    </row>
    <row r="2531">
      <c r="B2531">
        <f>IF(OR(('06_Сеть_и_дети'!B68-'06_Сеть_и_дети'!B96)=0,16&lt;='01_Вводные'!$B$297),0,('06_Сеть_и_дети'!B68-'06_Сеть_и_дети'!B96)*IF('01_Вводные'!$B$239="Да",MeanMinAge16+'19_Расчет_аналитики'!B2584*SUMIF(ThresholdAge16,"&lt;"&amp;'19_Расчет_аналитики'!B2584,WeightedRevAge16)-SUMIF(ThresholdAge16,"&lt;"&amp;'19_Расчет_аналитики'!B2584,WeightedMinAge16),MAX(CapacityAge16*'01_Вводные'!$B$218*'19_Расчет_аналитики'!B2584,MeanMinAge16)))</f>
        <v/>
      </c>
      <c r="C2531">
        <f>IF(OR(('06_Сеть_и_дети'!C68-'06_Сеть_и_дети'!C96)=0,16&lt;='01_Вводные'!$B$297),0,('06_Сеть_и_дети'!C68-'06_Сеть_и_дети'!C96)*IF('01_Вводные'!$B$239="Да",MeanMinAge16+'19_Расчет_аналитики'!C2584*SUMIF(ThresholdAge16,"&lt;"&amp;'19_Расчет_аналитики'!C2584,WeightedRevAge16)-SUMIF(ThresholdAge16,"&lt;"&amp;'19_Расчет_аналитики'!C2584,WeightedMinAge16),MAX(CapacityAge16*'01_Вводные'!$B$218*'19_Расчет_аналитики'!C2584,MeanMinAge16)))</f>
        <v/>
      </c>
      <c r="D2531">
        <f>IF(OR(('06_Сеть_и_дети'!D68-'06_Сеть_и_дети'!D96)=0,16&lt;='01_Вводные'!$B$297),0,('06_Сеть_и_дети'!D68-'06_Сеть_и_дети'!D96)*IF('01_Вводные'!$B$239="Да",MeanMinAge16+'19_Расчет_аналитики'!D2584*SUMIF(ThresholdAge16,"&lt;"&amp;'19_Расчет_аналитики'!D2584,WeightedRevAge16)-SUMIF(ThresholdAge16,"&lt;"&amp;'19_Расчет_аналитики'!D2584,WeightedMinAge16),MAX(CapacityAge16*'01_Вводные'!$B$218*'19_Расчет_аналитики'!D2584,MeanMinAge16)))</f>
        <v/>
      </c>
      <c r="E2531">
        <f>IF(OR(('06_Сеть_и_дети'!E68-'06_Сеть_и_дети'!E96)=0,16&lt;='01_Вводные'!$B$297),0,('06_Сеть_и_дети'!E68-'06_Сеть_и_дети'!E96)*IF('01_Вводные'!$B$239="Да",MeanMinAge16+'19_Расчет_аналитики'!E2584*SUMIF(ThresholdAge16,"&lt;"&amp;'19_Расчет_аналитики'!E2584,WeightedRevAge16)-SUMIF(ThresholdAge16,"&lt;"&amp;'19_Расчет_аналитики'!E2584,WeightedMinAge16),MAX(CapacityAge16*'01_Вводные'!$B$218*'19_Расчет_аналитики'!E2584,MeanMinAge16)))</f>
        <v/>
      </c>
      <c r="F2531">
        <f>IF(OR(('06_Сеть_и_дети'!F68-'06_Сеть_и_дети'!F96)=0,16&lt;='01_Вводные'!$B$297),0,('06_Сеть_и_дети'!F68-'06_Сеть_и_дети'!F96)*IF('01_Вводные'!$B$239="Да",MeanMinAge16+'19_Расчет_аналитики'!F2584*SUMIF(ThresholdAge16,"&lt;"&amp;'19_Расчет_аналитики'!F2584,WeightedRevAge16)-SUMIF(ThresholdAge16,"&lt;"&amp;'19_Расчет_аналитики'!F2584,WeightedMinAge16),MAX(CapacityAge16*'01_Вводные'!$B$218*'19_Расчет_аналитики'!F2584,MeanMinAge16)))</f>
        <v/>
      </c>
      <c r="G2531">
        <f>IF(OR(('06_Сеть_и_дети'!G68-'06_Сеть_и_дети'!G96)=0,16&lt;='01_Вводные'!$B$297),0,('06_Сеть_и_дети'!G68-'06_Сеть_и_дети'!G96)*IF('01_Вводные'!$B$239="Да",MeanMinAge16+'19_Расчет_аналитики'!G2584*SUMIF(ThresholdAge16,"&lt;"&amp;'19_Расчет_аналитики'!G2584,WeightedRevAge16)-SUMIF(ThresholdAge16,"&lt;"&amp;'19_Расчет_аналитики'!G2584,WeightedMinAge16),MAX(CapacityAge16*'01_Вводные'!$B$218*'19_Расчет_аналитики'!G2584,MeanMinAge16)))</f>
        <v/>
      </c>
      <c r="H2531">
        <f>IF(OR(('06_Сеть_и_дети'!H68-'06_Сеть_и_дети'!H96)=0,16&lt;='01_Вводные'!$B$297),0,('06_Сеть_и_дети'!H68-'06_Сеть_и_дети'!H96)*IF('01_Вводные'!$B$239="Да",MeanMinAge16+'19_Расчет_аналитики'!H2584*SUMIF(ThresholdAge16,"&lt;"&amp;'19_Расчет_аналитики'!H2584,WeightedRevAge16)-SUMIF(ThresholdAge16,"&lt;"&amp;'19_Расчет_аналитики'!H2584,WeightedMinAge16),MAX(CapacityAge16*'01_Вводные'!$B$218*'19_Расчет_аналитики'!H2584,MeanMinAge16)))</f>
        <v/>
      </c>
      <c r="I2531">
        <f>IF(OR(('06_Сеть_и_дети'!I68-'06_Сеть_и_дети'!I96)=0,16&lt;='01_Вводные'!$B$297),0,('06_Сеть_и_дети'!I68-'06_Сеть_и_дети'!I96)*IF('01_Вводные'!$B$239="Да",MeanMinAge16+'19_Расчет_аналитики'!I2584*SUMIF(ThresholdAge16,"&lt;"&amp;'19_Расчет_аналитики'!I2584,WeightedRevAge16)-SUMIF(ThresholdAge16,"&lt;"&amp;'19_Расчет_аналитики'!I2584,WeightedMinAge16),MAX(CapacityAge16*'01_Вводные'!$B$218*'19_Расчет_аналитики'!I2584,MeanMinAge16)))</f>
        <v/>
      </c>
      <c r="J2531">
        <f>IF(OR(('06_Сеть_и_дети'!J68-'06_Сеть_и_дети'!J96)=0,16&lt;='01_Вводные'!$B$297),0,('06_Сеть_и_дети'!J68-'06_Сеть_и_дети'!J96)*IF('01_Вводные'!$B$239="Да",MeanMinAge16+'19_Расчет_аналитики'!J2584*SUMIF(ThresholdAge16,"&lt;"&amp;'19_Расчет_аналитики'!J2584,WeightedRevAge16)-SUMIF(ThresholdAge16,"&lt;"&amp;'19_Расчет_аналитики'!J2584,WeightedMinAge16),MAX(CapacityAge16*'01_Вводные'!$B$218*'19_Расчет_аналитики'!J2584,MeanMinAge16)))</f>
        <v/>
      </c>
      <c r="K2531">
        <f>IF(OR(('06_Сеть_и_дети'!K68-'06_Сеть_и_дети'!K96)=0,16&lt;='01_Вводные'!$B$297),0,('06_Сеть_и_дети'!K68-'06_Сеть_и_дети'!K96)*IF('01_Вводные'!$B$239="Да",MeanMinAge16+'19_Расчет_аналитики'!K2584*SUMIF(ThresholdAge16,"&lt;"&amp;'19_Расчет_аналитики'!K2584,WeightedRevAge16)-SUMIF(ThresholdAge16,"&lt;"&amp;'19_Расчет_аналитики'!K2584,WeightedMinAge16),MAX(CapacityAge16*'01_Вводные'!$B$218*'19_Расчет_аналитики'!K2584,MeanMinAge16)))</f>
        <v/>
      </c>
      <c r="L2531">
        <f>IF(OR(('06_Сеть_и_дети'!L68-'06_Сеть_и_дети'!L96)=0,16&lt;='01_Вводные'!$B$297),0,('06_Сеть_и_дети'!L68-'06_Сеть_и_дети'!L96)*IF('01_Вводные'!$B$239="Да",MeanMinAge16+'19_Расчет_аналитики'!L2584*SUMIF(ThresholdAge16,"&lt;"&amp;'19_Расчет_аналитики'!L2584,WeightedRevAge16)-SUMIF(ThresholdAge16,"&lt;"&amp;'19_Расчет_аналитики'!L2584,WeightedMinAge16),MAX(CapacityAge16*'01_Вводные'!$B$218*'19_Расчет_аналитики'!L2584,MeanMinAge16)))</f>
        <v/>
      </c>
      <c r="M2531">
        <f>IF(OR(('06_Сеть_и_дети'!M68-'06_Сеть_и_дети'!M96)=0,16&lt;='01_Вводные'!$B$297),0,('06_Сеть_и_дети'!M68-'06_Сеть_и_дети'!M96)*IF('01_Вводные'!$B$239="Да",MeanMinAge16+'19_Расчет_аналитики'!M2584*SUMIF(ThresholdAge16,"&lt;"&amp;'19_Расчет_аналитики'!M2584,WeightedRevAge16)-SUMIF(ThresholdAge16,"&lt;"&amp;'19_Расчет_аналитики'!M2584,WeightedMinAge16),MAX(CapacityAge16*'01_Вводные'!$B$218*'19_Расчет_аналитики'!M2584,MeanMinAge16)))</f>
        <v/>
      </c>
      <c r="N2531">
        <f>IF(OR(('06_Сеть_и_дети'!N68-'06_Сеть_и_дети'!N96)=0,16&lt;='01_Вводные'!$B$297),0,('06_Сеть_и_дети'!N68-'06_Сеть_и_дети'!N96)*IF('01_Вводные'!$B$239="Да",MeanMinAge16+'19_Расчет_аналитики'!N2584*SUMIF(ThresholdAge16,"&lt;"&amp;'19_Расчет_аналитики'!N2584,WeightedRevAge16)-SUMIF(ThresholdAge16,"&lt;"&amp;'19_Расчет_аналитики'!N2584,WeightedMinAge16),MAX(CapacityAge16*'01_Вводные'!$B$218*'19_Расчет_аналитики'!N2584,MeanMinAge16)))</f>
        <v/>
      </c>
      <c r="O2531">
        <f>IF(OR(('06_Сеть_и_дети'!O68-'06_Сеть_и_дети'!O96)=0,16&lt;='01_Вводные'!$B$297),0,('06_Сеть_и_дети'!O68-'06_Сеть_и_дети'!O96)*IF('01_Вводные'!$B$239="Да",MeanMinAge16+'19_Расчет_аналитики'!O2584*SUMIF(ThresholdAge16,"&lt;"&amp;'19_Расчет_аналитики'!O2584,WeightedRevAge16)-SUMIF(ThresholdAge16,"&lt;"&amp;'19_Расчет_аналитики'!O2584,WeightedMinAge16),MAX(CapacityAge16*'01_Вводные'!$B$218*'19_Расчет_аналитики'!O2584,MeanMinAge16)))</f>
        <v/>
      </c>
      <c r="P2531">
        <f>IF(OR(('06_Сеть_и_дети'!P68-'06_Сеть_и_дети'!P96)=0,16&lt;='01_Вводные'!$B$297),0,('06_Сеть_и_дети'!P68-'06_Сеть_и_дети'!P96)*IF('01_Вводные'!$B$239="Да",MeanMinAge16+'19_Расчет_аналитики'!P2584*SUMIF(ThresholdAge16,"&lt;"&amp;'19_Расчет_аналитики'!P2584,WeightedRevAge16)-SUMIF(ThresholdAge16,"&lt;"&amp;'19_Расчет_аналитики'!P2584,WeightedMinAge16),MAX(CapacityAge16*'01_Вводные'!$B$218*'19_Расчет_аналитики'!P2584,MeanMinAge16)))</f>
        <v/>
      </c>
      <c r="Q2531">
        <f>IF(OR(('19_Расчет_аналитики'!Q2447-'19_Расчет_аналитики'!Q2475)=0,16&lt;='01_Вводные'!$B$297),0,('19_Расчет_аналитики'!Q2447-'19_Расчет_аналитики'!Q2475)*IF('01_Вводные'!$B$239="Да",MeanMinAge16+'19_Расчет_аналитики'!Q2584*SUMIF(ThresholdAge16,"&lt;"&amp;'19_Расчет_аналитики'!Q2584,WeightedRevAge16)-SUMIF(ThresholdAge16,"&lt;"&amp;'19_Расчет_аналитики'!Q2584,WeightedMinAge16),MAX(CapacityAge16*'01_Вводные'!$B$218*'19_Расчет_аналитики'!Q2584,MeanMinAge16)))</f>
        <v/>
      </c>
      <c r="R2531">
        <f>IF(OR(('19_Расчет_аналитики'!R2447-'19_Расчет_аналитики'!R2475)=0,16&lt;='01_Вводные'!$B$297),0,('19_Расчет_аналитики'!R2447-'19_Расчет_аналитики'!R2475)*IF('01_Вводные'!$B$239="Да",MeanMinAge16+'19_Расчет_аналитики'!R2584*SUMIF(ThresholdAge16,"&lt;"&amp;'19_Расчет_аналитики'!R2584,WeightedRevAge16)-SUMIF(ThresholdAge16,"&lt;"&amp;'19_Расчет_аналитики'!R2584,WeightedMinAge16),MAX(CapacityAge16*'01_Вводные'!$B$218*'19_Расчет_аналитики'!R2584,MeanMinAge16)))</f>
        <v/>
      </c>
      <c r="S2531">
        <f>IF(OR(('19_Расчет_аналитики'!S2447-'19_Расчет_аналитики'!S2475)=0,16&lt;='01_Вводные'!$B$297),0,('19_Расчет_аналитики'!S2447-'19_Расчет_аналитики'!S2475)*IF('01_Вводные'!$B$239="Да",MeanMinAge16+'19_Расчет_аналитики'!S2584*SUMIF(ThresholdAge16,"&lt;"&amp;'19_Расчет_аналитики'!S2584,WeightedRevAge16)-SUMIF(ThresholdAge16,"&lt;"&amp;'19_Расчет_аналитики'!S2584,WeightedMinAge16),MAX(CapacityAge16*'01_Вводные'!$B$218*'19_Расчет_аналитики'!S2584,MeanMinAge16)))</f>
        <v/>
      </c>
      <c r="T2531">
        <f>IF(OR(('19_Расчет_аналитики'!T2447-'19_Расчет_аналитики'!T2475)=0,16&lt;='01_Вводные'!$B$297),0,('19_Расчет_аналитики'!T2447-'19_Расчет_аналитики'!T2475)*IF('01_Вводные'!$B$239="Да",MeanMinAge16+'19_Расчет_аналитики'!T2584*SUMIF(ThresholdAge16,"&lt;"&amp;'19_Расчет_аналитики'!T2584,WeightedRevAge16)-SUMIF(ThresholdAge16,"&lt;"&amp;'19_Расчет_аналитики'!T2584,WeightedMinAge16),MAX(CapacityAge16*'01_Вводные'!$B$218*'19_Расчет_аналитики'!T2584,MeanMinAge16)))</f>
        <v/>
      </c>
      <c r="U2531">
        <f>IF(OR(('19_Расчет_аналитики'!U2447-'19_Расчет_аналитики'!U2475)=0,16&lt;='01_Вводные'!$B$297),0,('19_Расчет_аналитики'!U2447-'19_Расчет_аналитики'!U2475)*IF('01_Вводные'!$B$239="Да",MeanMinAge16+'19_Расчет_аналитики'!U2584*SUMIF(ThresholdAge16,"&lt;"&amp;'19_Расчет_аналитики'!U2584,WeightedRevAge16)-SUMIF(ThresholdAge16,"&lt;"&amp;'19_Расчет_аналитики'!U2584,WeightedMinAge16),MAX(CapacityAge16*'01_Вводные'!$B$218*'19_Расчет_аналитики'!U2584,MeanMinAge16)))</f>
        <v/>
      </c>
      <c r="V2531">
        <f>IF(OR(('19_Расчет_аналитики'!V2447-'19_Расчет_аналитики'!V2475)=0,16&lt;='01_Вводные'!$B$297),0,('19_Расчет_аналитики'!V2447-'19_Расчет_аналитики'!V2475)*IF('01_Вводные'!$B$239="Да",MeanMinAge16+'19_Расчет_аналитики'!V2584*SUMIF(ThresholdAge16,"&lt;"&amp;'19_Расчет_аналитики'!V2584,WeightedRevAge16)-SUMIF(ThresholdAge16,"&lt;"&amp;'19_Расчет_аналитики'!V2584,WeightedMinAge16),MAX(CapacityAge16*'01_Вводные'!$B$218*'19_Расчет_аналитики'!V2584,MeanMinAge16)))</f>
        <v/>
      </c>
      <c r="W2531">
        <f>IF(OR(('19_Расчет_аналитики'!W2447-'19_Расчет_аналитики'!W2475)=0,16&lt;='01_Вводные'!$B$297),0,('19_Расчет_аналитики'!W2447-'19_Расчет_аналитики'!W2475)*IF('01_Вводные'!$B$239="Да",MeanMinAge16+'19_Расчет_аналитики'!W2584*SUMIF(ThresholdAge16,"&lt;"&amp;'19_Расчет_аналитики'!W2584,WeightedRevAge16)-SUMIF(ThresholdAge16,"&lt;"&amp;'19_Расчет_аналитики'!W2584,WeightedMinAge16),MAX(CapacityAge16*'01_Вводные'!$B$218*'19_Расчет_аналитики'!W2584,MeanMinAge16)))</f>
        <v/>
      </c>
      <c r="X2531">
        <f>IF(OR(('19_Расчет_аналитики'!X2447-'19_Расчет_аналитики'!X2475)=0,16&lt;='01_Вводные'!$B$297),0,('19_Расчет_аналитики'!X2447-'19_Расчет_аналитики'!X2475)*IF('01_Вводные'!$B$239="Да",MeanMinAge16+'19_Расчет_аналитики'!X2584*SUMIF(ThresholdAge16,"&lt;"&amp;'19_Расчет_аналитики'!X2584,WeightedRevAge16)-SUMIF(ThresholdAge16,"&lt;"&amp;'19_Расчет_аналитики'!X2584,WeightedMinAge16),MAX(CapacityAge16*'01_Вводные'!$B$218*'19_Расчет_аналитики'!X2584,MeanMinAge16)))</f>
        <v/>
      </c>
      <c r="Y2531">
        <f>IF(OR(('19_Расчет_аналитики'!Y2447-'19_Расчет_аналитики'!Y2475)=0,16&lt;='01_Вводные'!$B$297),0,('19_Расчет_аналитики'!Y2447-'19_Расчет_аналитики'!Y2475)*IF('01_Вводные'!$B$239="Да",MeanMinAge16+'19_Расчет_аналитики'!Y2584*SUMIF(ThresholdAge16,"&lt;"&amp;'19_Расчет_аналитики'!Y2584,WeightedRevAge16)-SUMIF(ThresholdAge16,"&lt;"&amp;'19_Расчет_аналитики'!Y2584,WeightedMinAge16),MAX(CapacityAge16*'01_Вводные'!$B$218*'19_Расчет_аналитики'!Y2584,MeanMinAge16)))</f>
        <v/>
      </c>
      <c r="Z2531">
        <f>IF(OR(('19_Расчет_аналитики'!Z2447-'19_Расчет_аналитики'!Z2475)=0,16&lt;='01_Вводные'!$B$297),0,('19_Расчет_аналитики'!Z2447-'19_Расчет_аналитики'!Z2475)*IF('01_Вводные'!$B$239="Да",MeanMinAge16+'19_Расчет_аналитики'!Z2584*SUMIF(ThresholdAge16,"&lt;"&amp;'19_Расчет_аналитики'!Z2584,WeightedRevAge16)-SUMIF(ThresholdAge16,"&lt;"&amp;'19_Расчет_аналитики'!Z2584,WeightedMinAge16),MAX(CapacityAge16*'01_Вводные'!$B$218*'19_Расчет_аналитики'!Z2584,MeanMinAge16)))</f>
        <v/>
      </c>
      <c r="AA2531">
        <f>IF(OR(('19_Расчет_аналитики'!AA2447-'19_Расчет_аналитики'!AA2475)=0,16&lt;='01_Вводные'!$B$297),0,('19_Расчет_аналитики'!AA2447-'19_Расчет_аналитики'!AA2475)*IF('01_Вводные'!$B$239="Да",MeanMinAge16+'19_Расчет_аналитики'!AA2584*SUMIF(ThresholdAge16,"&lt;"&amp;'19_Расчет_аналитики'!AA2584,WeightedRevAge16)-SUMIF(ThresholdAge16,"&lt;"&amp;'19_Расчет_аналитики'!AA2584,WeightedMinAge16),MAX(CapacityAge16*'01_Вводные'!$B$218*'19_Расчет_аналитики'!AA2584,MeanMinAge16)))</f>
        <v/>
      </c>
      <c r="AB2531">
        <f>IF(OR(('19_Расчет_аналитики'!AB2447-'19_Расчет_аналитики'!AB2475)=0,16&lt;='01_Вводные'!$B$297),0,('19_Расчет_аналитики'!AB2447-'19_Расчет_аналитики'!AB2475)*IF('01_Вводные'!$B$239="Да",MeanMinAge16+'19_Расчет_аналитики'!AB2584*SUMIF(ThresholdAge16,"&lt;"&amp;'19_Расчет_аналитики'!AB2584,WeightedRevAge16)-SUMIF(ThresholdAge16,"&lt;"&amp;'19_Расчет_аналитики'!AB2584,WeightedMinAge16),MAX(CapacityAge16*'01_Вводные'!$B$218*'19_Расчет_аналитики'!AB2584,MeanMinAge16)))</f>
        <v/>
      </c>
      <c r="AC2531">
        <f>IF(OR(('19_Расчет_аналитики'!AC2447-'19_Расчет_аналитики'!AC2475)=0,16&lt;='01_Вводные'!$B$297),0,('19_Расчет_аналитики'!AC2447-'19_Расчет_аналитики'!AC2475)*IF('01_Вводные'!$B$239="Да",MeanMinAge16+'19_Расчет_аналитики'!AC2584*SUMIF(ThresholdAge16,"&lt;"&amp;'19_Расчет_аналитики'!AC2584,WeightedRevAge16)-SUMIF(ThresholdAge16,"&lt;"&amp;'19_Расчет_аналитики'!AC2584,WeightedMinAge16),MAX(CapacityAge16*'01_Вводные'!$B$218*'19_Расчет_аналитики'!AC2584,MeanMinAge16)))</f>
        <v/>
      </c>
      <c r="AD2531">
        <f>IF(OR(('19_Расчет_аналитики'!AD2447-'19_Расчет_аналитики'!AD2475)=0,16&lt;='01_Вводные'!$B$297),0,('19_Расчет_аналитики'!AD2447-'19_Расчет_аналитики'!AD2475)*IF('01_Вводные'!$B$239="Да",MeanMinAge16+'19_Расчет_аналитики'!AD2584*SUMIF(ThresholdAge16,"&lt;"&amp;'19_Расчет_аналитики'!AD2584,WeightedRevAge16)-SUMIF(ThresholdAge16,"&lt;"&amp;'19_Расчет_аналитики'!AD2584,WeightedMinAge16),MAX(CapacityAge16*'01_Вводные'!$B$218*'19_Расчет_аналитики'!AD2584,MeanMinAge16)))</f>
        <v/>
      </c>
      <c r="AE2531">
        <f>IF(OR(('19_Расчет_аналитики'!AE2447-'19_Расчет_аналитики'!AE2475)=0,16&lt;='01_Вводные'!$B$297),0,('19_Расчет_аналитики'!AE2447-'19_Расчет_аналитики'!AE2475)*IF('01_Вводные'!$B$239="Да",MeanMinAge16+'19_Расчет_аналитики'!AE2584*SUMIF(ThresholdAge16,"&lt;"&amp;'19_Расчет_аналитики'!AE2584,WeightedRevAge16)-SUMIF(ThresholdAge16,"&lt;"&amp;'19_Расчет_аналитики'!AE2584,WeightedMinAge16),MAX(CapacityAge16*'01_Вводные'!$B$218*'19_Расчет_аналитики'!AE2584,MeanMinAge16)))</f>
        <v/>
      </c>
      <c r="AF2531">
        <f>IF(OR(('19_Расчет_аналитики'!AF2447-'19_Расчет_аналитики'!AF2475)=0,16&lt;='01_Вводные'!$B$297),0,('19_Расчет_аналитики'!AF2447-'19_Расчет_аналитики'!AF2475)*IF('01_Вводные'!$B$239="Да",MeanMinAge16+'19_Расчет_аналитики'!AF2584*SUMIF(ThresholdAge16,"&lt;"&amp;'19_Расчет_аналитики'!AF2584,WeightedRevAge16)-SUMIF(ThresholdAge16,"&lt;"&amp;'19_Расчет_аналитики'!AF2584,WeightedMinAge16),MAX(CapacityAge16*'01_Вводные'!$B$218*'19_Расчет_аналитики'!AF2584,MeanMinAge16)))</f>
        <v/>
      </c>
      <c r="AG2531">
        <f>IF(OR(('19_Расчет_аналитики'!AG2447-'19_Расчет_аналитики'!AG2475)=0,16&lt;='01_Вводные'!$B$297),0,('19_Расчет_аналитики'!AG2447-'19_Расчет_аналитики'!AG2475)*IF('01_Вводные'!$B$239="Да",MeanMinAge16+'19_Расчет_аналитики'!AG2584*SUMIF(ThresholdAge16,"&lt;"&amp;'19_Расчет_аналитики'!AG2584,WeightedRevAge16)-SUMIF(ThresholdAge16,"&lt;"&amp;'19_Расчет_аналитики'!AG2584,WeightedMinAge16),MAX(CapacityAge16*'01_Вводные'!$B$218*'19_Расчет_аналитики'!AG2584,MeanMinAge16)))</f>
        <v/>
      </c>
      <c r="AH2531">
        <f>IF(OR(('19_Расчет_аналитики'!AH2447-'19_Расчет_аналитики'!AH2475)=0,16&lt;='01_Вводные'!$B$297),0,('19_Расчет_аналитики'!AH2447-'19_Расчет_аналитики'!AH2475)*IF('01_Вводные'!$B$239="Да",MeanMinAge16+'19_Расчет_аналитики'!AH2584*SUMIF(ThresholdAge16,"&lt;"&amp;'19_Расчет_аналитики'!AH2584,WeightedRevAge16)-SUMIF(ThresholdAge16,"&lt;"&amp;'19_Расчет_аналитики'!AH2584,WeightedMinAge16),MAX(CapacityAge16*'01_Вводные'!$B$218*'19_Расчет_аналитики'!AH2584,MeanMinAge16)))</f>
        <v/>
      </c>
      <c r="AI2531">
        <f>IF(OR(('19_Расчет_аналитики'!AI2447-'19_Расчет_аналитики'!AI2475)=0,16&lt;='01_Вводные'!$B$297),0,('19_Расчет_аналитики'!AI2447-'19_Расчет_аналитики'!AI2475)*IF('01_Вводные'!$B$239="Да",MeanMinAge16+'19_Расчет_аналитики'!AI2584*SUMIF(ThresholdAge16,"&lt;"&amp;'19_Расчет_аналитики'!AI2584,WeightedRevAge16)-SUMIF(ThresholdAge16,"&lt;"&amp;'19_Расчет_аналитики'!AI2584,WeightedMinAge16),MAX(CapacityAge16*'01_Вводные'!$B$218*'19_Расчет_аналитики'!AI2584,MeanMinAge16)))</f>
        <v/>
      </c>
      <c r="AJ2531">
        <f>IF(OR(('19_Расчет_аналитики'!AJ2447-'19_Расчет_аналитики'!AJ2475)=0,16&lt;='01_Вводные'!$B$297),0,('19_Расчет_аналитики'!AJ2447-'19_Расчет_аналитики'!AJ2475)*IF('01_Вводные'!$B$239="Да",MeanMinAge16+'19_Расчет_аналитики'!AJ2584*SUMIF(ThresholdAge16,"&lt;"&amp;'19_Расчет_аналитики'!AJ2584,WeightedRevAge16)-SUMIF(ThresholdAge16,"&lt;"&amp;'19_Расчет_аналитики'!AJ2584,WeightedMinAge16),MAX(CapacityAge16*'01_Вводные'!$B$218*'19_Расчет_аналитики'!AJ2584,MeanMinAge16)))</f>
        <v/>
      </c>
      <c r="AK2531">
        <f>IF(OR(('19_Расчет_аналитики'!AK2447-'19_Расчет_аналитики'!AK2475)=0,16&lt;='01_Вводные'!$B$297),0,('19_Расчет_аналитики'!AK2447-'19_Расчет_аналитики'!AK2475)*IF('01_Вводные'!$B$239="Да",MeanMinAge16+'19_Расчет_аналитики'!AK2584*SUMIF(ThresholdAge16,"&lt;"&amp;'19_Расчет_аналитики'!AK2584,WeightedRevAge16)-SUMIF(ThresholdAge16,"&lt;"&amp;'19_Расчет_аналитики'!AK2584,WeightedMinAge16),MAX(CapacityAge16*'01_Вводные'!$B$218*'19_Расчет_аналитики'!AK2584,MeanMinAge16)))</f>
        <v/>
      </c>
      <c r="AL2531">
        <f>IF(OR(('19_Расчет_аналитики'!AL2447-'19_Расчет_аналитики'!AL2475)=0,16&lt;='01_Вводные'!$B$297),0,('19_Расчет_аналитики'!AL2447-'19_Расчет_аналитики'!AL2475)*IF('01_Вводные'!$B$239="Да",MeanMinAge16+'19_Расчет_аналитики'!AL2584*SUMIF(ThresholdAge16,"&lt;"&amp;'19_Расчет_аналитики'!AL2584,WeightedRevAge16)-SUMIF(ThresholdAge16,"&lt;"&amp;'19_Расчет_аналитики'!AL2584,WeightedMinAge16),MAX(CapacityAge16*'01_Вводные'!$B$218*'19_Расчет_аналитики'!AL2584,MeanMinAge16)))</f>
        <v/>
      </c>
      <c r="AM2531">
        <f>IF(OR(('19_Расчет_аналитики'!AM2447-'19_Расчет_аналитики'!AM2475)=0,16&lt;='01_Вводные'!$B$297),0,('19_Расчет_аналитики'!AM2447-'19_Расчет_аналитики'!AM2475)*IF('01_Вводные'!$B$239="Да",MeanMinAge16+'19_Расчет_аналитики'!AM2584*SUMIF(ThresholdAge16,"&lt;"&amp;'19_Расчет_аналитики'!AM2584,WeightedRevAge16)-SUMIF(ThresholdAge16,"&lt;"&amp;'19_Расчет_аналитики'!AM2584,WeightedMinAge16),MAX(CapacityAge16*'01_Вводные'!$B$218*'19_Расчет_аналитики'!AM2584,MeanMinAge16)))</f>
        <v/>
      </c>
      <c r="AN2531">
        <f>IF(OR(('19_Расчет_аналитики'!AN2447-'19_Расчет_аналитики'!AN2475)=0,16&lt;='01_Вводные'!$B$297),0,('19_Расчет_аналитики'!AN2447-'19_Расчет_аналитики'!AN2475)*IF('01_Вводные'!$B$239="Да",MeanMinAge16+'19_Расчет_аналитики'!AN2584*SUMIF(ThresholdAge16,"&lt;"&amp;'19_Расчет_аналитики'!AN2584,WeightedRevAge16)-SUMIF(ThresholdAge16,"&lt;"&amp;'19_Расчет_аналитики'!AN2584,WeightedMinAge16),MAX(CapacityAge16*'01_Вводные'!$B$218*'19_Расчет_аналитики'!AN2584,MeanMinAge16)))</f>
        <v/>
      </c>
      <c r="AO2531">
        <f>IF(OR(('19_Расчет_аналитики'!AO2447-'19_Расчет_аналитики'!AO2475)=0,16&lt;='01_Вводные'!$B$297),0,('19_Расчет_аналитики'!AO2447-'19_Расчет_аналитики'!AO2475)*IF('01_Вводные'!$B$239="Да",MeanMinAge16+'19_Расчет_аналитики'!AO2584*SUMIF(ThresholdAge16,"&lt;"&amp;'19_Расчет_аналитики'!AO2584,WeightedRevAge16)-SUMIF(ThresholdAge16,"&lt;"&amp;'19_Расчет_аналитики'!AO2584,WeightedMinAge16),MAX(CapacityAge16*'01_Вводные'!$B$218*'19_Расчет_аналитики'!AO2584,MeanMinAge16)))</f>
        <v/>
      </c>
      <c r="AP2531">
        <f>IF(OR(('19_Расчет_аналитики'!AP2447-'19_Расчет_аналитики'!AP2475)=0,16&lt;='01_Вводные'!$B$297),0,('19_Расчет_аналитики'!AP2447-'19_Расчет_аналитики'!AP2475)*IF('01_Вводные'!$B$239="Да",MeanMinAge16+'19_Расчет_аналитики'!AP2584*SUMIF(ThresholdAge16,"&lt;"&amp;'19_Расчет_аналитики'!AP2584,WeightedRevAge16)-SUMIF(ThresholdAge16,"&lt;"&amp;'19_Расчет_аналитики'!AP2584,WeightedMinAge16),MAX(CapacityAge16*'01_Вводные'!$B$218*'19_Расчет_аналитики'!AP2584,MeanMinAge16)))</f>
        <v/>
      </c>
      <c r="AQ2531">
        <f>IF(OR(('19_Расчет_аналитики'!AQ2447-'19_Расчет_аналитики'!AQ2475)=0,16&lt;='01_Вводные'!$B$297),0,('19_Расчет_аналитики'!AQ2447-'19_Расчет_аналитики'!AQ2475)*IF('01_Вводные'!$B$239="Да",MeanMinAge16+'19_Расчет_аналитики'!AQ2584*SUMIF(ThresholdAge16,"&lt;"&amp;'19_Расчет_аналитики'!AQ2584,WeightedRevAge16)-SUMIF(ThresholdAge16,"&lt;"&amp;'19_Расчет_аналитики'!AQ2584,WeightedMinAge16),MAX(CapacityAge16*'01_Вводные'!$B$218*'19_Расчет_аналитики'!AQ2584,MeanMinAge16)))</f>
        <v/>
      </c>
      <c r="AR2531">
        <f>IF(OR(('19_Расчет_аналитики'!AR2447-'19_Расчет_аналитики'!AR2475)=0,16&lt;='01_Вводные'!$B$297),0,('19_Расчет_аналитики'!AR2447-'19_Расчет_аналитики'!AR2475)*IF('01_Вводные'!$B$239="Да",MeanMinAge16+'19_Расчет_аналитики'!AR2584*SUMIF(ThresholdAge16,"&lt;"&amp;'19_Расчет_аналитики'!AR2584,WeightedRevAge16)-SUMIF(ThresholdAge16,"&lt;"&amp;'19_Расчет_аналитики'!AR2584,WeightedMinAge16),MAX(CapacityAge16*'01_Вводные'!$B$218*'19_Расчет_аналитики'!AR2584,MeanMinAge16)))</f>
        <v/>
      </c>
      <c r="AS2531">
        <f>IF(OR(('19_Расчет_аналитики'!AS2447-'19_Расчет_аналитики'!AS2475)=0,16&lt;='01_Вводные'!$B$297),0,('19_Расчет_аналитики'!AS2447-'19_Расчет_аналитики'!AS2475)*IF('01_Вводные'!$B$239="Да",MeanMinAge16+'19_Расчет_аналитики'!AS2584*SUMIF(ThresholdAge16,"&lt;"&amp;'19_Расчет_аналитики'!AS2584,WeightedRevAge16)-SUMIF(ThresholdAge16,"&lt;"&amp;'19_Расчет_аналитики'!AS2584,WeightedMinAge16),MAX(CapacityAge16*'01_Вводные'!$B$218*'19_Расчет_аналитики'!AS2584,MeanMinAge16)))</f>
        <v/>
      </c>
      <c r="AT2531">
        <f>IF(OR(('19_Расчет_аналитики'!AT2447-'19_Расчет_аналитики'!AT2475)=0,16&lt;='01_Вводные'!$B$297),0,('19_Расчет_аналитики'!AT2447-'19_Расчет_аналитики'!AT2475)*IF('01_Вводные'!$B$239="Да",MeanMinAge16+'19_Расчет_аналитики'!AT2584*SUMIF(ThresholdAge16,"&lt;"&amp;'19_Расчет_аналитики'!AT2584,WeightedRevAge16)-SUMIF(ThresholdAge16,"&lt;"&amp;'19_Расчет_аналитики'!AT2584,WeightedMinAge16),MAX(CapacityAge16*'01_Вводные'!$B$218*'19_Расчет_аналитики'!AT2584,MeanMinAge16)))</f>
        <v/>
      </c>
      <c r="AU2531">
        <f>IF(OR(('19_Расчет_аналитики'!AU2447-'19_Расчет_аналитики'!AU2475)=0,16&lt;='01_Вводные'!$B$297),0,('19_Расчет_аналитики'!AU2447-'19_Расчет_аналитики'!AU2475)*IF('01_Вводные'!$B$239="Да",MeanMinAge16+'19_Расчет_аналитики'!AU2584*SUMIF(ThresholdAge16,"&lt;"&amp;'19_Расчет_аналитики'!AU2584,WeightedRevAge16)-SUMIF(ThresholdAge16,"&lt;"&amp;'19_Расчет_аналитики'!AU2584,WeightedMinAge16),MAX(CapacityAge16*'01_Вводные'!$B$218*'19_Расчет_аналитики'!AU2584,MeanMinAge16)))</f>
        <v/>
      </c>
      <c r="AV2531">
        <f>IF(OR(('19_Расчет_аналитики'!AV2447-'19_Расчет_аналитики'!AV2475)=0,16&lt;='01_Вводные'!$B$297),0,('19_Расчет_аналитики'!AV2447-'19_Расчет_аналитики'!AV2475)*IF('01_Вводные'!$B$239="Да",MeanMinAge16+'19_Расчет_аналитики'!AV2584*SUMIF(ThresholdAge16,"&lt;"&amp;'19_Расчет_аналитики'!AV2584,WeightedRevAge16)-SUMIF(ThresholdAge16,"&lt;"&amp;'19_Расчет_аналитики'!AV2584,WeightedMinAge16),MAX(CapacityAge16*'01_Вводные'!$B$218*'19_Расчет_аналитики'!AV2584,MeanMinAge16)))</f>
        <v/>
      </c>
      <c r="AW2531">
        <f>IF(OR(('19_Расчет_аналитики'!AW2447-'19_Расчет_аналитики'!AW2475)=0,16&lt;='01_Вводные'!$B$297),0,('19_Расчет_аналитики'!AW2447-'19_Расчет_аналитики'!AW2475)*IF('01_Вводные'!$B$239="Да",MeanMinAge16+'19_Расчет_аналитики'!AW2584*SUMIF(ThresholdAge16,"&lt;"&amp;'19_Расчет_аналитики'!AW2584,WeightedRevAge16)-SUMIF(ThresholdAge16,"&lt;"&amp;'19_Расчет_аналитики'!AW2584,WeightedMinAge16),MAX(CapacityAge16*'01_Вводные'!$B$218*'19_Расчет_аналитики'!AW2584,MeanMinAge16)))</f>
        <v/>
      </c>
      <c r="AX2531">
        <f>IF(OR(('19_Расчет_аналитики'!AX2447-'19_Расчет_аналитики'!AX2475)=0,16&lt;='01_Вводные'!$B$297),0,('19_Расчет_аналитики'!AX2447-'19_Расчет_аналитики'!AX2475)*IF('01_Вводные'!$B$239="Да",MeanMinAge16+'19_Расчет_аналитики'!AX2584*SUMIF(ThresholdAge16,"&lt;"&amp;'19_Расчет_аналитики'!AX2584,WeightedRevAge16)-SUMIF(ThresholdAge16,"&lt;"&amp;'19_Расчет_аналитики'!AX2584,WeightedMinAge16),MAX(CapacityAge16*'01_Вводные'!$B$218*'19_Расчет_аналитики'!AX2584,MeanMinAge16)))</f>
        <v/>
      </c>
      <c r="AY2531">
        <f>IF(OR(('19_Расчет_аналитики'!AY2447-'19_Расчет_аналитики'!AY2475)=0,16&lt;='01_Вводные'!$B$297),0,('19_Расчет_аналитики'!AY2447-'19_Расчет_аналитики'!AY2475)*IF('01_Вводные'!$B$239="Да",MeanMinAge16+'19_Расчет_аналитики'!AY2584*SUMIF(ThresholdAge16,"&lt;"&amp;'19_Расчет_аналитики'!AY2584,WeightedRevAge16)-SUMIF(ThresholdAge16,"&lt;"&amp;'19_Расчет_аналитики'!AY2584,WeightedMinAge16),MAX(CapacityAge16*'01_Вводные'!$B$218*'19_Расчет_аналитики'!AY2584,MeanMinAge16)))</f>
        <v/>
      </c>
      <c r="AZ2531">
        <f>IF(OR(('19_Расчет_аналитики'!AZ2447-'19_Расчет_аналитики'!AZ2475)=0,16&lt;='01_Вводные'!$B$297),0,('19_Расчет_аналитики'!AZ2447-'19_Расчет_аналитики'!AZ2475)*IF('01_Вводные'!$B$239="Да",MeanMinAge16+'19_Расчет_аналитики'!AZ2584*SUMIF(ThresholdAge16,"&lt;"&amp;'19_Расчет_аналитики'!AZ2584,WeightedRevAge16)-SUMIF(ThresholdAge16,"&lt;"&amp;'19_Расчет_аналитики'!AZ2584,WeightedMinAge16),MAX(CapacityAge16*'01_Вводные'!$B$218*'19_Расчет_аналитики'!AZ2584,MeanMinAge16)))</f>
        <v/>
      </c>
      <c r="BA2531">
        <f>IF(OR(('19_Расчет_аналитики'!BA2447-'19_Расчет_аналитики'!BA2475)=0,16&lt;='01_Вводные'!$B$297),0,('19_Расчет_аналитики'!BA2447-'19_Расчет_аналитики'!BA2475)*IF('01_Вводные'!$B$239="Да",MeanMinAge16+'19_Расчет_аналитики'!BA2584*SUMIF(ThresholdAge16,"&lt;"&amp;'19_Расчет_аналитики'!BA2584,WeightedRevAge16)-SUMIF(ThresholdAge16,"&lt;"&amp;'19_Расчет_аналитики'!BA2584,WeightedMinAge16),MAX(CapacityAge16*'01_Вводные'!$B$218*'19_Расчет_аналитики'!BA2584,MeanMinAge16)))</f>
        <v/>
      </c>
      <c r="BB2531">
        <f>IF(OR(('19_Расчет_аналитики'!BB2447-'19_Расчет_аналитики'!BB2475)=0,16&lt;='01_Вводные'!$B$297),0,('19_Расчет_аналитики'!BB2447-'19_Расчет_аналитики'!BB2475)*IF('01_Вводные'!$B$239="Да",MeanMinAge16+'19_Расчет_аналитики'!BB2584*SUMIF(ThresholdAge16,"&lt;"&amp;'19_Расчет_аналитики'!BB2584,WeightedRevAge16)-SUMIF(ThresholdAge16,"&lt;"&amp;'19_Расчет_аналитики'!BB2584,WeightedMinAge16),MAX(CapacityAge16*'01_Вводные'!$B$218*'19_Расчет_аналитики'!BB2584,MeanMinAge16)))</f>
        <v/>
      </c>
      <c r="BC2531">
        <f>IF(OR(('19_Расчет_аналитики'!BC2447-'19_Расчет_аналитики'!BC2475)=0,16&lt;='01_Вводные'!$B$297),0,('19_Расчет_аналитики'!BC2447-'19_Расчет_аналитики'!BC2475)*IF('01_Вводные'!$B$239="Да",MeanMinAge16+'19_Расчет_аналитики'!BC2584*SUMIF(ThresholdAge16,"&lt;"&amp;'19_Расчет_аналитики'!BC2584,WeightedRevAge16)-SUMIF(ThresholdAge16,"&lt;"&amp;'19_Расчет_аналитики'!BC2584,WeightedMinAge16),MAX(CapacityAge16*'01_Вводные'!$B$218*'19_Расчет_аналитики'!BC2584,MeanMinAge16)))</f>
        <v/>
      </c>
      <c r="BD2531">
        <f>IF(OR(('19_Расчет_аналитики'!BD2447-'19_Расчет_аналитики'!BD2475)=0,16&lt;='01_Вводные'!$B$297),0,('19_Расчет_аналитики'!BD2447-'19_Расчет_аналитики'!BD2475)*IF('01_Вводные'!$B$239="Да",MeanMinAge16+'19_Расчет_аналитики'!BD2584*SUMIF(ThresholdAge16,"&lt;"&amp;'19_Расчет_аналитики'!BD2584,WeightedRevAge16)-SUMIF(ThresholdAge16,"&lt;"&amp;'19_Расчет_аналитики'!BD2584,WeightedMinAge16),MAX(CapacityAge16*'01_Вводные'!$B$218*'19_Расчет_аналитики'!BD2584,MeanMinAge16)))</f>
        <v/>
      </c>
      <c r="BE2531">
        <f>IF(OR(('19_Расчет_аналитики'!BE2447-'19_Расчет_аналитики'!BE2475)=0,16&lt;='01_Вводные'!$B$297),0,('19_Расчет_аналитики'!BE2447-'19_Расчет_аналитики'!BE2475)*IF('01_Вводные'!$B$239="Да",MeanMinAge16+'19_Расчет_аналитики'!BE2584*SUMIF(ThresholdAge16,"&lt;"&amp;'19_Расчет_аналитики'!BE2584,WeightedRevAge16)-SUMIF(ThresholdAge16,"&lt;"&amp;'19_Расчет_аналитики'!BE2584,WeightedMinAge16),MAX(CapacityAge16*'01_Вводные'!$B$218*'19_Расчет_аналитики'!BE2584,MeanMinAge16)))</f>
        <v/>
      </c>
      <c r="BF2531">
        <f>IF(OR(('19_Расчет_аналитики'!BF2447-'19_Расчет_аналитики'!BF2475)=0,16&lt;='01_Вводные'!$B$297),0,('19_Расчет_аналитики'!BF2447-'19_Расчет_аналитики'!BF2475)*IF('01_Вводные'!$B$239="Да",MeanMinAge16+'19_Расчет_аналитики'!BF2584*SUMIF(ThresholdAge16,"&lt;"&amp;'19_Расчет_аналитики'!BF2584,WeightedRevAge16)-SUMIF(ThresholdAge16,"&lt;"&amp;'19_Расчет_аналитики'!BF2584,WeightedMinAge16),MAX(CapacityAge16*'01_Вводные'!$B$218*'19_Расчет_аналитики'!BF2584,MeanMinAge16)))</f>
        <v/>
      </c>
      <c r="BG2531">
        <f>IF(OR(('19_Расчет_аналитики'!BG2447-'19_Расчет_аналитики'!BG2475)=0,16&lt;='01_Вводные'!$B$297),0,('19_Расчет_аналитики'!BG2447-'19_Расчет_аналитики'!BG2475)*IF('01_Вводные'!$B$239="Да",MeanMinAge16+'19_Расчет_аналитики'!BG2584*SUMIF(ThresholdAge16,"&lt;"&amp;'19_Расчет_аналитики'!BG2584,WeightedRevAge16)-SUMIF(ThresholdAge16,"&lt;"&amp;'19_Расчет_аналитики'!BG2584,WeightedMinAge16),MAX(CapacityAge16*'01_Вводные'!$B$218*'19_Расчет_аналитики'!BG2584,MeanMinAge16)))</f>
        <v/>
      </c>
      <c r="BH2531">
        <f>IF(OR(('19_Расчет_аналитики'!BH2447-'19_Расчет_аналитики'!BH2475)=0,16&lt;='01_Вводные'!$B$297),0,('19_Расчет_аналитики'!BH2447-'19_Расчет_аналитики'!BH2475)*IF('01_Вводные'!$B$239="Да",MeanMinAge16+'19_Расчет_аналитики'!BH2584*SUMIF(ThresholdAge16,"&lt;"&amp;'19_Расчет_аналитики'!BH2584,WeightedRevAge16)-SUMIF(ThresholdAge16,"&lt;"&amp;'19_Расчет_аналитики'!BH2584,WeightedMinAge16),MAX(CapacityAge16*'01_Вводные'!$B$218*'19_Расчет_аналитики'!BH2584,MeanMinAge16)))</f>
        <v/>
      </c>
      <c r="BI2531">
        <f>IF(OR(('19_Расчет_аналитики'!BI2447-'19_Расчет_аналитики'!BI2475)=0,16&lt;='01_Вводные'!$B$297),0,('19_Расчет_аналитики'!BI2447-'19_Расчет_аналитики'!BI2475)*IF('01_Вводные'!$B$239="Да",MeanMinAge16+'19_Расчет_аналитики'!BI2584*SUMIF(ThresholdAge16,"&lt;"&amp;'19_Расчет_аналитики'!BI2584,WeightedRevAge16)-SUMIF(ThresholdAge16,"&lt;"&amp;'19_Расчет_аналитики'!BI2584,WeightedMinAge16),MAX(CapacityAge16*'01_Вводные'!$B$218*'19_Расчет_аналитики'!BI2584,MeanMinAge16)))</f>
        <v/>
      </c>
      <c r="BJ2531">
        <f>IF(OR(('19_Расчет_аналитики'!BJ2447-'19_Расчет_аналитики'!BJ2475)=0,16&lt;='01_Вводные'!$B$297),0,('19_Расчет_аналитики'!BJ2447-'19_Расчет_аналитики'!BJ2475)*IF('01_Вводные'!$B$239="Да",MeanMinAge16+'19_Расчет_аналитики'!BJ2584*SUMIF(ThresholdAge16,"&lt;"&amp;'19_Расчет_аналитики'!BJ2584,WeightedRevAge16)-SUMIF(ThresholdAge16,"&lt;"&amp;'19_Расчет_аналитики'!BJ2584,WeightedMinAge16),MAX(CapacityAge16*'01_Вводные'!$B$218*'19_Расчет_аналитики'!BJ2584,MeanMinAge16)))</f>
        <v/>
      </c>
      <c r="BK2531">
        <f>IF(OR(('19_Расчет_аналитики'!BK2447-'19_Расчет_аналитики'!BK2475)=0,16&lt;='01_Вводные'!$B$297),0,('19_Расчет_аналитики'!BK2447-'19_Расчет_аналитики'!BK2475)*IF('01_Вводные'!$B$239="Да",MeanMinAge16+'19_Расчет_аналитики'!BK2584*SUMIF(ThresholdAge16,"&lt;"&amp;'19_Расчет_аналитики'!BK2584,WeightedRevAge16)-SUMIF(ThresholdAge16,"&lt;"&amp;'19_Расчет_аналитики'!BK2584,WeightedMinAge16),MAX(CapacityAge16*'01_Вводные'!$B$218*'19_Расчет_аналитики'!BK2584,MeanMinAge16)))</f>
        <v/>
      </c>
      <c r="BL2531">
        <f>IF(OR(('19_Расчет_аналитики'!BL2447-'19_Расчет_аналитики'!BL2475)=0,16&lt;='01_Вводные'!$B$297),0,('19_Расчет_аналитики'!BL2447-'19_Расчет_аналитики'!BL2475)*IF('01_Вводные'!$B$239="Да",MeanMinAge16+'19_Расчет_аналитики'!BL2584*SUMIF(ThresholdAge16,"&lt;"&amp;'19_Расчет_аналитики'!BL2584,WeightedRevAge16)-SUMIF(ThresholdAge16,"&lt;"&amp;'19_Расчет_аналитики'!BL2584,WeightedMinAge16),MAX(CapacityAge16*'01_Вводные'!$B$218*'19_Расчет_аналитики'!BL2584,MeanMinAge16)))</f>
        <v/>
      </c>
      <c r="BM2531">
        <f>IF(OR(('19_Расчет_аналитики'!BM2447-'19_Расчет_аналитики'!BM2475)=0,16&lt;='01_Вводные'!$B$297),0,('19_Расчет_аналитики'!BM2447-'19_Расчет_аналитики'!BM2475)*IF('01_Вводные'!$B$239="Да",MeanMinAge16+'19_Расчет_аналитики'!BM2584*SUMIF(ThresholdAge16,"&lt;"&amp;'19_Расчет_аналитики'!BM2584,WeightedRevAge16)-SUMIF(ThresholdAge16,"&lt;"&amp;'19_Расчет_аналитики'!BM2584,WeightedMinAge16),MAX(CapacityAge16*'01_Вводные'!$B$218*'19_Расчет_аналитики'!BM2584,MeanMinAge16)))</f>
        <v/>
      </c>
      <c r="BN2531">
        <f>IF(OR(('19_Расчет_аналитики'!BN2447-'19_Расчет_аналитики'!BN2475)=0,16&lt;='01_Вводные'!$B$297),0,('19_Расчет_аналитики'!BN2447-'19_Расчет_аналитики'!BN2475)*IF('01_Вводные'!$B$239="Да",MeanMinAge16+'19_Расчет_аналитики'!BN2584*SUMIF(ThresholdAge16,"&lt;"&amp;'19_Расчет_аналитики'!BN2584,WeightedRevAge16)-SUMIF(ThresholdAge16,"&lt;"&amp;'19_Расчет_аналитики'!BN2584,WeightedMinAge16),MAX(CapacityAge16*'01_Вводные'!$B$218*'19_Расчет_аналитики'!BN2584,MeanMinAge16)))</f>
        <v/>
      </c>
      <c r="BO2531">
        <f>IF(OR(('19_Расчет_аналитики'!BO2447-'19_Расчет_аналитики'!BO2475)=0,16&lt;='01_Вводные'!$B$297),0,('19_Расчет_аналитики'!BO2447-'19_Расчет_аналитики'!BO2475)*IF('01_Вводные'!$B$239="Да",MeanMinAge16+'19_Расчет_аналитики'!BO2584*SUMIF(ThresholdAge16,"&lt;"&amp;'19_Расчет_аналитики'!BO2584,WeightedRevAge16)-SUMIF(ThresholdAge16,"&lt;"&amp;'19_Расчет_аналитики'!BO2584,WeightedMinAge16),MAX(CapacityAge16*'01_Вводные'!$B$218*'19_Расчет_аналитики'!BO2584,MeanMinAge16)))</f>
        <v/>
      </c>
    </row>
    <row r="2532">
      <c r="B2532">
        <f>IF(OR(('06_Сеть_и_дети'!B69-'06_Сеть_и_дети'!B97)=0,17&lt;='01_Вводные'!$B$297),0,('06_Сеть_и_дети'!B69-'06_Сеть_и_дети'!B97)*IF('01_Вводные'!$B$239="Да",MeanMinAge17+'19_Расчет_аналитики'!B2584*SUMIF(ThresholdAge17,"&lt;"&amp;'19_Расчет_аналитики'!B2584,WeightedRevAge17)-SUMIF(ThresholdAge17,"&lt;"&amp;'19_Расчет_аналитики'!B2584,WeightedMinAge17),MAX(CapacityAge17*'01_Вводные'!$B$218*'19_Расчет_аналитики'!B2584,MeanMinAge17)))</f>
        <v/>
      </c>
      <c r="C2532">
        <f>IF(OR(('06_Сеть_и_дети'!C69-'06_Сеть_и_дети'!C97)=0,17&lt;='01_Вводные'!$B$297),0,('06_Сеть_и_дети'!C69-'06_Сеть_и_дети'!C97)*IF('01_Вводные'!$B$239="Да",MeanMinAge17+'19_Расчет_аналитики'!C2584*SUMIF(ThresholdAge17,"&lt;"&amp;'19_Расчет_аналитики'!C2584,WeightedRevAge17)-SUMIF(ThresholdAge17,"&lt;"&amp;'19_Расчет_аналитики'!C2584,WeightedMinAge17),MAX(CapacityAge17*'01_Вводные'!$B$218*'19_Расчет_аналитики'!C2584,MeanMinAge17)))</f>
        <v/>
      </c>
      <c r="D2532">
        <f>IF(OR(('06_Сеть_и_дети'!D69-'06_Сеть_и_дети'!D97)=0,17&lt;='01_Вводные'!$B$297),0,('06_Сеть_и_дети'!D69-'06_Сеть_и_дети'!D97)*IF('01_Вводные'!$B$239="Да",MeanMinAge17+'19_Расчет_аналитики'!D2584*SUMIF(ThresholdAge17,"&lt;"&amp;'19_Расчет_аналитики'!D2584,WeightedRevAge17)-SUMIF(ThresholdAge17,"&lt;"&amp;'19_Расчет_аналитики'!D2584,WeightedMinAge17),MAX(CapacityAge17*'01_Вводные'!$B$218*'19_Расчет_аналитики'!D2584,MeanMinAge17)))</f>
        <v/>
      </c>
      <c r="E2532">
        <f>IF(OR(('06_Сеть_и_дети'!E69-'06_Сеть_и_дети'!E97)=0,17&lt;='01_Вводные'!$B$297),0,('06_Сеть_и_дети'!E69-'06_Сеть_и_дети'!E97)*IF('01_Вводные'!$B$239="Да",MeanMinAge17+'19_Расчет_аналитики'!E2584*SUMIF(ThresholdAge17,"&lt;"&amp;'19_Расчет_аналитики'!E2584,WeightedRevAge17)-SUMIF(ThresholdAge17,"&lt;"&amp;'19_Расчет_аналитики'!E2584,WeightedMinAge17),MAX(CapacityAge17*'01_Вводные'!$B$218*'19_Расчет_аналитики'!E2584,MeanMinAge17)))</f>
        <v/>
      </c>
      <c r="F2532">
        <f>IF(OR(('06_Сеть_и_дети'!F69-'06_Сеть_и_дети'!F97)=0,17&lt;='01_Вводные'!$B$297),0,('06_Сеть_и_дети'!F69-'06_Сеть_и_дети'!F97)*IF('01_Вводные'!$B$239="Да",MeanMinAge17+'19_Расчет_аналитики'!F2584*SUMIF(ThresholdAge17,"&lt;"&amp;'19_Расчет_аналитики'!F2584,WeightedRevAge17)-SUMIF(ThresholdAge17,"&lt;"&amp;'19_Расчет_аналитики'!F2584,WeightedMinAge17),MAX(CapacityAge17*'01_Вводные'!$B$218*'19_Расчет_аналитики'!F2584,MeanMinAge17)))</f>
        <v/>
      </c>
      <c r="G2532">
        <f>IF(OR(('06_Сеть_и_дети'!G69-'06_Сеть_и_дети'!G97)=0,17&lt;='01_Вводные'!$B$297),0,('06_Сеть_и_дети'!G69-'06_Сеть_и_дети'!G97)*IF('01_Вводные'!$B$239="Да",MeanMinAge17+'19_Расчет_аналитики'!G2584*SUMIF(ThresholdAge17,"&lt;"&amp;'19_Расчет_аналитики'!G2584,WeightedRevAge17)-SUMIF(ThresholdAge17,"&lt;"&amp;'19_Расчет_аналитики'!G2584,WeightedMinAge17),MAX(CapacityAge17*'01_Вводные'!$B$218*'19_Расчет_аналитики'!G2584,MeanMinAge17)))</f>
        <v/>
      </c>
      <c r="H2532">
        <f>IF(OR(('06_Сеть_и_дети'!H69-'06_Сеть_и_дети'!H97)=0,17&lt;='01_Вводные'!$B$297),0,('06_Сеть_и_дети'!H69-'06_Сеть_и_дети'!H97)*IF('01_Вводные'!$B$239="Да",MeanMinAge17+'19_Расчет_аналитики'!H2584*SUMIF(ThresholdAge17,"&lt;"&amp;'19_Расчет_аналитики'!H2584,WeightedRevAge17)-SUMIF(ThresholdAge17,"&lt;"&amp;'19_Расчет_аналитики'!H2584,WeightedMinAge17),MAX(CapacityAge17*'01_Вводные'!$B$218*'19_Расчет_аналитики'!H2584,MeanMinAge17)))</f>
        <v/>
      </c>
      <c r="I2532">
        <f>IF(OR(('06_Сеть_и_дети'!I69-'06_Сеть_и_дети'!I97)=0,17&lt;='01_Вводные'!$B$297),0,('06_Сеть_и_дети'!I69-'06_Сеть_и_дети'!I97)*IF('01_Вводные'!$B$239="Да",MeanMinAge17+'19_Расчет_аналитики'!I2584*SUMIF(ThresholdAge17,"&lt;"&amp;'19_Расчет_аналитики'!I2584,WeightedRevAge17)-SUMIF(ThresholdAge17,"&lt;"&amp;'19_Расчет_аналитики'!I2584,WeightedMinAge17),MAX(CapacityAge17*'01_Вводные'!$B$218*'19_Расчет_аналитики'!I2584,MeanMinAge17)))</f>
        <v/>
      </c>
      <c r="J2532">
        <f>IF(OR(('06_Сеть_и_дети'!J69-'06_Сеть_и_дети'!J97)=0,17&lt;='01_Вводные'!$B$297),0,('06_Сеть_и_дети'!J69-'06_Сеть_и_дети'!J97)*IF('01_Вводные'!$B$239="Да",MeanMinAge17+'19_Расчет_аналитики'!J2584*SUMIF(ThresholdAge17,"&lt;"&amp;'19_Расчет_аналитики'!J2584,WeightedRevAge17)-SUMIF(ThresholdAge17,"&lt;"&amp;'19_Расчет_аналитики'!J2584,WeightedMinAge17),MAX(CapacityAge17*'01_Вводные'!$B$218*'19_Расчет_аналитики'!J2584,MeanMinAge17)))</f>
        <v/>
      </c>
      <c r="K2532">
        <f>IF(OR(('06_Сеть_и_дети'!K69-'06_Сеть_и_дети'!K97)=0,17&lt;='01_Вводные'!$B$297),0,('06_Сеть_и_дети'!K69-'06_Сеть_и_дети'!K97)*IF('01_Вводные'!$B$239="Да",MeanMinAge17+'19_Расчет_аналитики'!K2584*SUMIF(ThresholdAge17,"&lt;"&amp;'19_Расчет_аналитики'!K2584,WeightedRevAge17)-SUMIF(ThresholdAge17,"&lt;"&amp;'19_Расчет_аналитики'!K2584,WeightedMinAge17),MAX(CapacityAge17*'01_Вводные'!$B$218*'19_Расчет_аналитики'!K2584,MeanMinAge17)))</f>
        <v/>
      </c>
      <c r="L2532">
        <f>IF(OR(('06_Сеть_и_дети'!L69-'06_Сеть_и_дети'!L97)=0,17&lt;='01_Вводные'!$B$297),0,('06_Сеть_и_дети'!L69-'06_Сеть_и_дети'!L97)*IF('01_Вводные'!$B$239="Да",MeanMinAge17+'19_Расчет_аналитики'!L2584*SUMIF(ThresholdAge17,"&lt;"&amp;'19_Расчет_аналитики'!L2584,WeightedRevAge17)-SUMIF(ThresholdAge17,"&lt;"&amp;'19_Расчет_аналитики'!L2584,WeightedMinAge17),MAX(CapacityAge17*'01_Вводные'!$B$218*'19_Расчет_аналитики'!L2584,MeanMinAge17)))</f>
        <v/>
      </c>
      <c r="M2532">
        <f>IF(OR(('06_Сеть_и_дети'!M69-'06_Сеть_и_дети'!M97)=0,17&lt;='01_Вводные'!$B$297),0,('06_Сеть_и_дети'!M69-'06_Сеть_и_дети'!M97)*IF('01_Вводные'!$B$239="Да",MeanMinAge17+'19_Расчет_аналитики'!M2584*SUMIF(ThresholdAge17,"&lt;"&amp;'19_Расчет_аналитики'!M2584,WeightedRevAge17)-SUMIF(ThresholdAge17,"&lt;"&amp;'19_Расчет_аналитики'!M2584,WeightedMinAge17),MAX(CapacityAge17*'01_Вводные'!$B$218*'19_Расчет_аналитики'!M2584,MeanMinAge17)))</f>
        <v/>
      </c>
      <c r="N2532">
        <f>IF(OR(('06_Сеть_и_дети'!N69-'06_Сеть_и_дети'!N97)=0,17&lt;='01_Вводные'!$B$297),0,('06_Сеть_и_дети'!N69-'06_Сеть_и_дети'!N97)*IF('01_Вводные'!$B$239="Да",MeanMinAge17+'19_Расчет_аналитики'!N2584*SUMIF(ThresholdAge17,"&lt;"&amp;'19_Расчет_аналитики'!N2584,WeightedRevAge17)-SUMIF(ThresholdAge17,"&lt;"&amp;'19_Расчет_аналитики'!N2584,WeightedMinAge17),MAX(CapacityAge17*'01_Вводные'!$B$218*'19_Расчет_аналитики'!N2584,MeanMinAge17)))</f>
        <v/>
      </c>
      <c r="O2532">
        <f>IF(OR(('06_Сеть_и_дети'!O69-'06_Сеть_и_дети'!O97)=0,17&lt;='01_Вводные'!$B$297),0,('06_Сеть_и_дети'!O69-'06_Сеть_и_дети'!O97)*IF('01_Вводные'!$B$239="Да",MeanMinAge17+'19_Расчет_аналитики'!O2584*SUMIF(ThresholdAge17,"&lt;"&amp;'19_Расчет_аналитики'!O2584,WeightedRevAge17)-SUMIF(ThresholdAge17,"&lt;"&amp;'19_Расчет_аналитики'!O2584,WeightedMinAge17),MAX(CapacityAge17*'01_Вводные'!$B$218*'19_Расчет_аналитики'!O2584,MeanMinAge17)))</f>
        <v/>
      </c>
      <c r="P2532">
        <f>IF(OR(('06_Сеть_и_дети'!P69-'06_Сеть_и_дети'!P97)=0,17&lt;='01_Вводные'!$B$297),0,('06_Сеть_и_дети'!P69-'06_Сеть_и_дети'!P97)*IF('01_Вводные'!$B$239="Да",MeanMinAge17+'19_Расчет_аналитики'!P2584*SUMIF(ThresholdAge17,"&lt;"&amp;'19_Расчет_аналитики'!P2584,WeightedRevAge17)-SUMIF(ThresholdAge17,"&lt;"&amp;'19_Расчет_аналитики'!P2584,WeightedMinAge17),MAX(CapacityAge17*'01_Вводные'!$B$218*'19_Расчет_аналитики'!P2584,MeanMinAge17)))</f>
        <v/>
      </c>
      <c r="Q2532">
        <f>IF(OR(('06_Сеть_и_дети'!Q69-'06_Сеть_и_дети'!Q97)=0,17&lt;='01_Вводные'!$B$297),0,('06_Сеть_и_дети'!Q69-'06_Сеть_и_дети'!Q97)*IF('01_Вводные'!$B$239="Да",MeanMinAge17+'19_Расчет_аналитики'!Q2584*SUMIF(ThresholdAge17,"&lt;"&amp;'19_Расчет_аналитики'!Q2584,WeightedRevAge17)-SUMIF(ThresholdAge17,"&lt;"&amp;'19_Расчет_аналитики'!Q2584,WeightedMinAge17),MAX(CapacityAge17*'01_Вводные'!$B$218*'19_Расчет_аналитики'!Q2584,MeanMinAge17)))</f>
        <v/>
      </c>
      <c r="R2532">
        <f>IF(OR(('19_Расчет_аналитики'!R2448-'19_Расчет_аналитики'!R2476)=0,17&lt;='01_Вводные'!$B$297),0,('19_Расчет_аналитики'!R2448-'19_Расчет_аналитики'!R2476)*IF('01_Вводные'!$B$239="Да",MeanMinAge17+'19_Расчет_аналитики'!R2584*SUMIF(ThresholdAge17,"&lt;"&amp;'19_Расчет_аналитики'!R2584,WeightedRevAge17)-SUMIF(ThresholdAge17,"&lt;"&amp;'19_Расчет_аналитики'!R2584,WeightedMinAge17),MAX(CapacityAge17*'01_Вводные'!$B$218*'19_Расчет_аналитики'!R2584,MeanMinAge17)))</f>
        <v/>
      </c>
      <c r="S2532">
        <f>IF(OR(('19_Расчет_аналитики'!S2448-'19_Расчет_аналитики'!S2476)=0,17&lt;='01_Вводные'!$B$297),0,('19_Расчет_аналитики'!S2448-'19_Расчет_аналитики'!S2476)*IF('01_Вводные'!$B$239="Да",MeanMinAge17+'19_Расчет_аналитики'!S2584*SUMIF(ThresholdAge17,"&lt;"&amp;'19_Расчет_аналитики'!S2584,WeightedRevAge17)-SUMIF(ThresholdAge17,"&lt;"&amp;'19_Расчет_аналитики'!S2584,WeightedMinAge17),MAX(CapacityAge17*'01_Вводные'!$B$218*'19_Расчет_аналитики'!S2584,MeanMinAge17)))</f>
        <v/>
      </c>
      <c r="T2532">
        <f>IF(OR(('19_Расчет_аналитики'!T2448-'19_Расчет_аналитики'!T2476)=0,17&lt;='01_Вводные'!$B$297),0,('19_Расчет_аналитики'!T2448-'19_Расчет_аналитики'!T2476)*IF('01_Вводные'!$B$239="Да",MeanMinAge17+'19_Расчет_аналитики'!T2584*SUMIF(ThresholdAge17,"&lt;"&amp;'19_Расчет_аналитики'!T2584,WeightedRevAge17)-SUMIF(ThresholdAge17,"&lt;"&amp;'19_Расчет_аналитики'!T2584,WeightedMinAge17),MAX(CapacityAge17*'01_Вводные'!$B$218*'19_Расчет_аналитики'!T2584,MeanMinAge17)))</f>
        <v/>
      </c>
      <c r="U2532">
        <f>IF(OR(('19_Расчет_аналитики'!U2448-'19_Расчет_аналитики'!U2476)=0,17&lt;='01_Вводные'!$B$297),0,('19_Расчет_аналитики'!U2448-'19_Расчет_аналитики'!U2476)*IF('01_Вводные'!$B$239="Да",MeanMinAge17+'19_Расчет_аналитики'!U2584*SUMIF(ThresholdAge17,"&lt;"&amp;'19_Расчет_аналитики'!U2584,WeightedRevAge17)-SUMIF(ThresholdAge17,"&lt;"&amp;'19_Расчет_аналитики'!U2584,WeightedMinAge17),MAX(CapacityAge17*'01_Вводные'!$B$218*'19_Расчет_аналитики'!U2584,MeanMinAge17)))</f>
        <v/>
      </c>
      <c r="V2532">
        <f>IF(OR(('19_Расчет_аналитики'!V2448-'19_Расчет_аналитики'!V2476)=0,17&lt;='01_Вводные'!$B$297),0,('19_Расчет_аналитики'!V2448-'19_Расчет_аналитики'!V2476)*IF('01_Вводные'!$B$239="Да",MeanMinAge17+'19_Расчет_аналитики'!V2584*SUMIF(ThresholdAge17,"&lt;"&amp;'19_Расчет_аналитики'!V2584,WeightedRevAge17)-SUMIF(ThresholdAge17,"&lt;"&amp;'19_Расчет_аналитики'!V2584,WeightedMinAge17),MAX(CapacityAge17*'01_Вводные'!$B$218*'19_Расчет_аналитики'!V2584,MeanMinAge17)))</f>
        <v/>
      </c>
      <c r="W2532">
        <f>IF(OR(('19_Расчет_аналитики'!W2448-'19_Расчет_аналитики'!W2476)=0,17&lt;='01_Вводные'!$B$297),0,('19_Расчет_аналитики'!W2448-'19_Расчет_аналитики'!W2476)*IF('01_Вводные'!$B$239="Да",MeanMinAge17+'19_Расчет_аналитики'!W2584*SUMIF(ThresholdAge17,"&lt;"&amp;'19_Расчет_аналитики'!W2584,WeightedRevAge17)-SUMIF(ThresholdAge17,"&lt;"&amp;'19_Расчет_аналитики'!W2584,WeightedMinAge17),MAX(CapacityAge17*'01_Вводные'!$B$218*'19_Расчет_аналитики'!W2584,MeanMinAge17)))</f>
        <v/>
      </c>
      <c r="X2532">
        <f>IF(OR(('19_Расчет_аналитики'!X2448-'19_Расчет_аналитики'!X2476)=0,17&lt;='01_Вводные'!$B$297),0,('19_Расчет_аналитики'!X2448-'19_Расчет_аналитики'!X2476)*IF('01_Вводные'!$B$239="Да",MeanMinAge17+'19_Расчет_аналитики'!X2584*SUMIF(ThresholdAge17,"&lt;"&amp;'19_Расчет_аналитики'!X2584,WeightedRevAge17)-SUMIF(ThresholdAge17,"&lt;"&amp;'19_Расчет_аналитики'!X2584,WeightedMinAge17),MAX(CapacityAge17*'01_Вводные'!$B$218*'19_Расчет_аналитики'!X2584,MeanMinAge17)))</f>
        <v/>
      </c>
      <c r="Y2532">
        <f>IF(OR(('19_Расчет_аналитики'!Y2448-'19_Расчет_аналитики'!Y2476)=0,17&lt;='01_Вводные'!$B$297),0,('19_Расчет_аналитики'!Y2448-'19_Расчет_аналитики'!Y2476)*IF('01_Вводные'!$B$239="Да",MeanMinAge17+'19_Расчет_аналитики'!Y2584*SUMIF(ThresholdAge17,"&lt;"&amp;'19_Расчет_аналитики'!Y2584,WeightedRevAge17)-SUMIF(ThresholdAge17,"&lt;"&amp;'19_Расчет_аналитики'!Y2584,WeightedMinAge17),MAX(CapacityAge17*'01_Вводные'!$B$218*'19_Расчет_аналитики'!Y2584,MeanMinAge17)))</f>
        <v/>
      </c>
      <c r="Z2532">
        <f>IF(OR(('19_Расчет_аналитики'!Z2448-'19_Расчет_аналитики'!Z2476)=0,17&lt;='01_Вводные'!$B$297),0,('19_Расчет_аналитики'!Z2448-'19_Расчет_аналитики'!Z2476)*IF('01_Вводные'!$B$239="Да",MeanMinAge17+'19_Расчет_аналитики'!Z2584*SUMIF(ThresholdAge17,"&lt;"&amp;'19_Расчет_аналитики'!Z2584,WeightedRevAge17)-SUMIF(ThresholdAge17,"&lt;"&amp;'19_Расчет_аналитики'!Z2584,WeightedMinAge17),MAX(CapacityAge17*'01_Вводные'!$B$218*'19_Расчет_аналитики'!Z2584,MeanMinAge17)))</f>
        <v/>
      </c>
      <c r="AA2532">
        <f>IF(OR(('19_Расчет_аналитики'!AA2448-'19_Расчет_аналитики'!AA2476)=0,17&lt;='01_Вводные'!$B$297),0,('19_Расчет_аналитики'!AA2448-'19_Расчет_аналитики'!AA2476)*IF('01_Вводные'!$B$239="Да",MeanMinAge17+'19_Расчет_аналитики'!AA2584*SUMIF(ThresholdAge17,"&lt;"&amp;'19_Расчет_аналитики'!AA2584,WeightedRevAge17)-SUMIF(ThresholdAge17,"&lt;"&amp;'19_Расчет_аналитики'!AA2584,WeightedMinAge17),MAX(CapacityAge17*'01_Вводные'!$B$218*'19_Расчет_аналитики'!AA2584,MeanMinAge17)))</f>
        <v/>
      </c>
      <c r="AB2532">
        <f>IF(OR(('19_Расчет_аналитики'!AB2448-'19_Расчет_аналитики'!AB2476)=0,17&lt;='01_Вводные'!$B$297),0,('19_Расчет_аналитики'!AB2448-'19_Расчет_аналитики'!AB2476)*IF('01_Вводные'!$B$239="Да",MeanMinAge17+'19_Расчет_аналитики'!AB2584*SUMIF(ThresholdAge17,"&lt;"&amp;'19_Расчет_аналитики'!AB2584,WeightedRevAge17)-SUMIF(ThresholdAge17,"&lt;"&amp;'19_Расчет_аналитики'!AB2584,WeightedMinAge17),MAX(CapacityAge17*'01_Вводные'!$B$218*'19_Расчет_аналитики'!AB2584,MeanMinAge17)))</f>
        <v/>
      </c>
      <c r="AC2532">
        <f>IF(OR(('19_Расчет_аналитики'!AC2448-'19_Расчет_аналитики'!AC2476)=0,17&lt;='01_Вводные'!$B$297),0,('19_Расчет_аналитики'!AC2448-'19_Расчет_аналитики'!AC2476)*IF('01_Вводные'!$B$239="Да",MeanMinAge17+'19_Расчет_аналитики'!AC2584*SUMIF(ThresholdAge17,"&lt;"&amp;'19_Расчет_аналитики'!AC2584,WeightedRevAge17)-SUMIF(ThresholdAge17,"&lt;"&amp;'19_Расчет_аналитики'!AC2584,WeightedMinAge17),MAX(CapacityAge17*'01_Вводные'!$B$218*'19_Расчет_аналитики'!AC2584,MeanMinAge17)))</f>
        <v/>
      </c>
      <c r="AD2532">
        <f>IF(OR(('19_Расчет_аналитики'!AD2448-'19_Расчет_аналитики'!AD2476)=0,17&lt;='01_Вводные'!$B$297),0,('19_Расчет_аналитики'!AD2448-'19_Расчет_аналитики'!AD2476)*IF('01_Вводные'!$B$239="Да",MeanMinAge17+'19_Расчет_аналитики'!AD2584*SUMIF(ThresholdAge17,"&lt;"&amp;'19_Расчет_аналитики'!AD2584,WeightedRevAge17)-SUMIF(ThresholdAge17,"&lt;"&amp;'19_Расчет_аналитики'!AD2584,WeightedMinAge17),MAX(CapacityAge17*'01_Вводные'!$B$218*'19_Расчет_аналитики'!AD2584,MeanMinAge17)))</f>
        <v/>
      </c>
      <c r="AE2532">
        <f>IF(OR(('19_Расчет_аналитики'!AE2448-'19_Расчет_аналитики'!AE2476)=0,17&lt;='01_Вводные'!$B$297),0,('19_Расчет_аналитики'!AE2448-'19_Расчет_аналитики'!AE2476)*IF('01_Вводные'!$B$239="Да",MeanMinAge17+'19_Расчет_аналитики'!AE2584*SUMIF(ThresholdAge17,"&lt;"&amp;'19_Расчет_аналитики'!AE2584,WeightedRevAge17)-SUMIF(ThresholdAge17,"&lt;"&amp;'19_Расчет_аналитики'!AE2584,WeightedMinAge17),MAX(CapacityAge17*'01_Вводные'!$B$218*'19_Расчет_аналитики'!AE2584,MeanMinAge17)))</f>
        <v/>
      </c>
      <c r="AF2532">
        <f>IF(OR(('19_Расчет_аналитики'!AF2448-'19_Расчет_аналитики'!AF2476)=0,17&lt;='01_Вводные'!$B$297),0,('19_Расчет_аналитики'!AF2448-'19_Расчет_аналитики'!AF2476)*IF('01_Вводные'!$B$239="Да",MeanMinAge17+'19_Расчет_аналитики'!AF2584*SUMIF(ThresholdAge17,"&lt;"&amp;'19_Расчет_аналитики'!AF2584,WeightedRevAge17)-SUMIF(ThresholdAge17,"&lt;"&amp;'19_Расчет_аналитики'!AF2584,WeightedMinAge17),MAX(CapacityAge17*'01_Вводные'!$B$218*'19_Расчет_аналитики'!AF2584,MeanMinAge17)))</f>
        <v/>
      </c>
      <c r="AG2532">
        <f>IF(OR(('19_Расчет_аналитики'!AG2448-'19_Расчет_аналитики'!AG2476)=0,17&lt;='01_Вводные'!$B$297),0,('19_Расчет_аналитики'!AG2448-'19_Расчет_аналитики'!AG2476)*IF('01_Вводные'!$B$239="Да",MeanMinAge17+'19_Расчет_аналитики'!AG2584*SUMIF(ThresholdAge17,"&lt;"&amp;'19_Расчет_аналитики'!AG2584,WeightedRevAge17)-SUMIF(ThresholdAge17,"&lt;"&amp;'19_Расчет_аналитики'!AG2584,WeightedMinAge17),MAX(CapacityAge17*'01_Вводные'!$B$218*'19_Расчет_аналитики'!AG2584,MeanMinAge17)))</f>
        <v/>
      </c>
      <c r="AH2532">
        <f>IF(OR(('19_Расчет_аналитики'!AH2448-'19_Расчет_аналитики'!AH2476)=0,17&lt;='01_Вводные'!$B$297),0,('19_Расчет_аналитики'!AH2448-'19_Расчет_аналитики'!AH2476)*IF('01_Вводные'!$B$239="Да",MeanMinAge17+'19_Расчет_аналитики'!AH2584*SUMIF(ThresholdAge17,"&lt;"&amp;'19_Расчет_аналитики'!AH2584,WeightedRevAge17)-SUMIF(ThresholdAge17,"&lt;"&amp;'19_Расчет_аналитики'!AH2584,WeightedMinAge17),MAX(CapacityAge17*'01_Вводные'!$B$218*'19_Расчет_аналитики'!AH2584,MeanMinAge17)))</f>
        <v/>
      </c>
      <c r="AI2532">
        <f>IF(OR(('19_Расчет_аналитики'!AI2448-'19_Расчет_аналитики'!AI2476)=0,17&lt;='01_Вводные'!$B$297),0,('19_Расчет_аналитики'!AI2448-'19_Расчет_аналитики'!AI2476)*IF('01_Вводные'!$B$239="Да",MeanMinAge17+'19_Расчет_аналитики'!AI2584*SUMIF(ThresholdAge17,"&lt;"&amp;'19_Расчет_аналитики'!AI2584,WeightedRevAge17)-SUMIF(ThresholdAge17,"&lt;"&amp;'19_Расчет_аналитики'!AI2584,WeightedMinAge17),MAX(CapacityAge17*'01_Вводные'!$B$218*'19_Расчет_аналитики'!AI2584,MeanMinAge17)))</f>
        <v/>
      </c>
      <c r="AJ2532">
        <f>IF(OR(('19_Расчет_аналитики'!AJ2448-'19_Расчет_аналитики'!AJ2476)=0,17&lt;='01_Вводные'!$B$297),0,('19_Расчет_аналитики'!AJ2448-'19_Расчет_аналитики'!AJ2476)*IF('01_Вводные'!$B$239="Да",MeanMinAge17+'19_Расчет_аналитики'!AJ2584*SUMIF(ThresholdAge17,"&lt;"&amp;'19_Расчет_аналитики'!AJ2584,WeightedRevAge17)-SUMIF(ThresholdAge17,"&lt;"&amp;'19_Расчет_аналитики'!AJ2584,WeightedMinAge17),MAX(CapacityAge17*'01_Вводные'!$B$218*'19_Расчет_аналитики'!AJ2584,MeanMinAge17)))</f>
        <v/>
      </c>
      <c r="AK2532">
        <f>IF(OR(('19_Расчет_аналитики'!AK2448-'19_Расчет_аналитики'!AK2476)=0,17&lt;='01_Вводные'!$B$297),0,('19_Расчет_аналитики'!AK2448-'19_Расчет_аналитики'!AK2476)*IF('01_Вводные'!$B$239="Да",MeanMinAge17+'19_Расчет_аналитики'!AK2584*SUMIF(ThresholdAge17,"&lt;"&amp;'19_Расчет_аналитики'!AK2584,WeightedRevAge17)-SUMIF(ThresholdAge17,"&lt;"&amp;'19_Расчет_аналитики'!AK2584,WeightedMinAge17),MAX(CapacityAge17*'01_Вводные'!$B$218*'19_Расчет_аналитики'!AK2584,MeanMinAge17)))</f>
        <v/>
      </c>
      <c r="AL2532">
        <f>IF(OR(('19_Расчет_аналитики'!AL2448-'19_Расчет_аналитики'!AL2476)=0,17&lt;='01_Вводные'!$B$297),0,('19_Расчет_аналитики'!AL2448-'19_Расчет_аналитики'!AL2476)*IF('01_Вводные'!$B$239="Да",MeanMinAge17+'19_Расчет_аналитики'!AL2584*SUMIF(ThresholdAge17,"&lt;"&amp;'19_Расчет_аналитики'!AL2584,WeightedRevAge17)-SUMIF(ThresholdAge17,"&lt;"&amp;'19_Расчет_аналитики'!AL2584,WeightedMinAge17),MAX(CapacityAge17*'01_Вводные'!$B$218*'19_Расчет_аналитики'!AL2584,MeanMinAge17)))</f>
        <v/>
      </c>
      <c r="AM2532">
        <f>IF(OR(('19_Расчет_аналитики'!AM2448-'19_Расчет_аналитики'!AM2476)=0,17&lt;='01_Вводные'!$B$297),0,('19_Расчет_аналитики'!AM2448-'19_Расчет_аналитики'!AM2476)*IF('01_Вводные'!$B$239="Да",MeanMinAge17+'19_Расчет_аналитики'!AM2584*SUMIF(ThresholdAge17,"&lt;"&amp;'19_Расчет_аналитики'!AM2584,WeightedRevAge17)-SUMIF(ThresholdAge17,"&lt;"&amp;'19_Расчет_аналитики'!AM2584,WeightedMinAge17),MAX(CapacityAge17*'01_Вводные'!$B$218*'19_Расчет_аналитики'!AM2584,MeanMinAge17)))</f>
        <v/>
      </c>
      <c r="AN2532">
        <f>IF(OR(('19_Расчет_аналитики'!AN2448-'19_Расчет_аналитики'!AN2476)=0,17&lt;='01_Вводные'!$B$297),0,('19_Расчет_аналитики'!AN2448-'19_Расчет_аналитики'!AN2476)*IF('01_Вводные'!$B$239="Да",MeanMinAge17+'19_Расчет_аналитики'!AN2584*SUMIF(ThresholdAge17,"&lt;"&amp;'19_Расчет_аналитики'!AN2584,WeightedRevAge17)-SUMIF(ThresholdAge17,"&lt;"&amp;'19_Расчет_аналитики'!AN2584,WeightedMinAge17),MAX(CapacityAge17*'01_Вводные'!$B$218*'19_Расчет_аналитики'!AN2584,MeanMinAge17)))</f>
        <v/>
      </c>
      <c r="AO2532">
        <f>IF(OR(('19_Расчет_аналитики'!AO2448-'19_Расчет_аналитики'!AO2476)=0,17&lt;='01_Вводные'!$B$297),0,('19_Расчет_аналитики'!AO2448-'19_Расчет_аналитики'!AO2476)*IF('01_Вводные'!$B$239="Да",MeanMinAge17+'19_Расчет_аналитики'!AO2584*SUMIF(ThresholdAge17,"&lt;"&amp;'19_Расчет_аналитики'!AO2584,WeightedRevAge17)-SUMIF(ThresholdAge17,"&lt;"&amp;'19_Расчет_аналитики'!AO2584,WeightedMinAge17),MAX(CapacityAge17*'01_Вводные'!$B$218*'19_Расчет_аналитики'!AO2584,MeanMinAge17)))</f>
        <v/>
      </c>
      <c r="AP2532">
        <f>IF(OR(('19_Расчет_аналитики'!AP2448-'19_Расчет_аналитики'!AP2476)=0,17&lt;='01_Вводные'!$B$297),0,('19_Расчет_аналитики'!AP2448-'19_Расчет_аналитики'!AP2476)*IF('01_Вводные'!$B$239="Да",MeanMinAge17+'19_Расчет_аналитики'!AP2584*SUMIF(ThresholdAge17,"&lt;"&amp;'19_Расчет_аналитики'!AP2584,WeightedRevAge17)-SUMIF(ThresholdAge17,"&lt;"&amp;'19_Расчет_аналитики'!AP2584,WeightedMinAge17),MAX(CapacityAge17*'01_Вводные'!$B$218*'19_Расчет_аналитики'!AP2584,MeanMinAge17)))</f>
        <v/>
      </c>
      <c r="AQ2532">
        <f>IF(OR(('19_Расчет_аналитики'!AQ2448-'19_Расчет_аналитики'!AQ2476)=0,17&lt;='01_Вводные'!$B$297),0,('19_Расчет_аналитики'!AQ2448-'19_Расчет_аналитики'!AQ2476)*IF('01_Вводные'!$B$239="Да",MeanMinAge17+'19_Расчет_аналитики'!AQ2584*SUMIF(ThresholdAge17,"&lt;"&amp;'19_Расчет_аналитики'!AQ2584,WeightedRevAge17)-SUMIF(ThresholdAge17,"&lt;"&amp;'19_Расчет_аналитики'!AQ2584,WeightedMinAge17),MAX(CapacityAge17*'01_Вводные'!$B$218*'19_Расчет_аналитики'!AQ2584,MeanMinAge17)))</f>
        <v/>
      </c>
      <c r="AR2532">
        <f>IF(OR(('19_Расчет_аналитики'!AR2448-'19_Расчет_аналитики'!AR2476)=0,17&lt;='01_Вводные'!$B$297),0,('19_Расчет_аналитики'!AR2448-'19_Расчет_аналитики'!AR2476)*IF('01_Вводные'!$B$239="Да",MeanMinAge17+'19_Расчет_аналитики'!AR2584*SUMIF(ThresholdAge17,"&lt;"&amp;'19_Расчет_аналитики'!AR2584,WeightedRevAge17)-SUMIF(ThresholdAge17,"&lt;"&amp;'19_Расчет_аналитики'!AR2584,WeightedMinAge17),MAX(CapacityAge17*'01_Вводные'!$B$218*'19_Расчет_аналитики'!AR2584,MeanMinAge17)))</f>
        <v/>
      </c>
      <c r="AS2532">
        <f>IF(OR(('19_Расчет_аналитики'!AS2448-'19_Расчет_аналитики'!AS2476)=0,17&lt;='01_Вводные'!$B$297),0,('19_Расчет_аналитики'!AS2448-'19_Расчет_аналитики'!AS2476)*IF('01_Вводные'!$B$239="Да",MeanMinAge17+'19_Расчет_аналитики'!AS2584*SUMIF(ThresholdAge17,"&lt;"&amp;'19_Расчет_аналитики'!AS2584,WeightedRevAge17)-SUMIF(ThresholdAge17,"&lt;"&amp;'19_Расчет_аналитики'!AS2584,WeightedMinAge17),MAX(CapacityAge17*'01_Вводные'!$B$218*'19_Расчет_аналитики'!AS2584,MeanMinAge17)))</f>
        <v/>
      </c>
      <c r="AT2532">
        <f>IF(OR(('19_Расчет_аналитики'!AT2448-'19_Расчет_аналитики'!AT2476)=0,17&lt;='01_Вводные'!$B$297),0,('19_Расчет_аналитики'!AT2448-'19_Расчет_аналитики'!AT2476)*IF('01_Вводные'!$B$239="Да",MeanMinAge17+'19_Расчет_аналитики'!AT2584*SUMIF(ThresholdAge17,"&lt;"&amp;'19_Расчет_аналитики'!AT2584,WeightedRevAge17)-SUMIF(ThresholdAge17,"&lt;"&amp;'19_Расчет_аналитики'!AT2584,WeightedMinAge17),MAX(CapacityAge17*'01_Вводные'!$B$218*'19_Расчет_аналитики'!AT2584,MeanMinAge17)))</f>
        <v/>
      </c>
      <c r="AU2532">
        <f>IF(OR(('19_Расчет_аналитики'!AU2448-'19_Расчет_аналитики'!AU2476)=0,17&lt;='01_Вводные'!$B$297),0,('19_Расчет_аналитики'!AU2448-'19_Расчет_аналитики'!AU2476)*IF('01_Вводные'!$B$239="Да",MeanMinAge17+'19_Расчет_аналитики'!AU2584*SUMIF(ThresholdAge17,"&lt;"&amp;'19_Расчет_аналитики'!AU2584,WeightedRevAge17)-SUMIF(ThresholdAge17,"&lt;"&amp;'19_Расчет_аналитики'!AU2584,WeightedMinAge17),MAX(CapacityAge17*'01_Вводные'!$B$218*'19_Расчет_аналитики'!AU2584,MeanMinAge17)))</f>
        <v/>
      </c>
      <c r="AV2532">
        <f>IF(OR(('19_Расчет_аналитики'!AV2448-'19_Расчет_аналитики'!AV2476)=0,17&lt;='01_Вводные'!$B$297),0,('19_Расчет_аналитики'!AV2448-'19_Расчет_аналитики'!AV2476)*IF('01_Вводные'!$B$239="Да",MeanMinAge17+'19_Расчет_аналитики'!AV2584*SUMIF(ThresholdAge17,"&lt;"&amp;'19_Расчет_аналитики'!AV2584,WeightedRevAge17)-SUMIF(ThresholdAge17,"&lt;"&amp;'19_Расчет_аналитики'!AV2584,WeightedMinAge17),MAX(CapacityAge17*'01_Вводные'!$B$218*'19_Расчет_аналитики'!AV2584,MeanMinAge17)))</f>
        <v/>
      </c>
      <c r="AW2532">
        <f>IF(OR(('19_Расчет_аналитики'!AW2448-'19_Расчет_аналитики'!AW2476)=0,17&lt;='01_Вводные'!$B$297),0,('19_Расчет_аналитики'!AW2448-'19_Расчет_аналитики'!AW2476)*IF('01_Вводные'!$B$239="Да",MeanMinAge17+'19_Расчет_аналитики'!AW2584*SUMIF(ThresholdAge17,"&lt;"&amp;'19_Расчет_аналитики'!AW2584,WeightedRevAge17)-SUMIF(ThresholdAge17,"&lt;"&amp;'19_Расчет_аналитики'!AW2584,WeightedMinAge17),MAX(CapacityAge17*'01_Вводные'!$B$218*'19_Расчет_аналитики'!AW2584,MeanMinAge17)))</f>
        <v/>
      </c>
      <c r="AX2532">
        <f>IF(OR(('19_Расчет_аналитики'!AX2448-'19_Расчет_аналитики'!AX2476)=0,17&lt;='01_Вводные'!$B$297),0,('19_Расчет_аналитики'!AX2448-'19_Расчет_аналитики'!AX2476)*IF('01_Вводные'!$B$239="Да",MeanMinAge17+'19_Расчет_аналитики'!AX2584*SUMIF(ThresholdAge17,"&lt;"&amp;'19_Расчет_аналитики'!AX2584,WeightedRevAge17)-SUMIF(ThresholdAge17,"&lt;"&amp;'19_Расчет_аналитики'!AX2584,WeightedMinAge17),MAX(CapacityAge17*'01_Вводные'!$B$218*'19_Расчет_аналитики'!AX2584,MeanMinAge17)))</f>
        <v/>
      </c>
      <c r="AY2532">
        <f>IF(OR(('19_Расчет_аналитики'!AY2448-'19_Расчет_аналитики'!AY2476)=0,17&lt;='01_Вводные'!$B$297),0,('19_Расчет_аналитики'!AY2448-'19_Расчет_аналитики'!AY2476)*IF('01_Вводные'!$B$239="Да",MeanMinAge17+'19_Расчет_аналитики'!AY2584*SUMIF(ThresholdAge17,"&lt;"&amp;'19_Расчет_аналитики'!AY2584,WeightedRevAge17)-SUMIF(ThresholdAge17,"&lt;"&amp;'19_Расчет_аналитики'!AY2584,WeightedMinAge17),MAX(CapacityAge17*'01_Вводные'!$B$218*'19_Расчет_аналитики'!AY2584,MeanMinAge17)))</f>
        <v/>
      </c>
      <c r="AZ2532">
        <f>IF(OR(('19_Расчет_аналитики'!AZ2448-'19_Расчет_аналитики'!AZ2476)=0,17&lt;='01_Вводные'!$B$297),0,('19_Расчет_аналитики'!AZ2448-'19_Расчет_аналитики'!AZ2476)*IF('01_Вводные'!$B$239="Да",MeanMinAge17+'19_Расчет_аналитики'!AZ2584*SUMIF(ThresholdAge17,"&lt;"&amp;'19_Расчет_аналитики'!AZ2584,WeightedRevAge17)-SUMIF(ThresholdAge17,"&lt;"&amp;'19_Расчет_аналитики'!AZ2584,WeightedMinAge17),MAX(CapacityAge17*'01_Вводные'!$B$218*'19_Расчет_аналитики'!AZ2584,MeanMinAge17)))</f>
        <v/>
      </c>
      <c r="BA2532">
        <f>IF(OR(('19_Расчет_аналитики'!BA2448-'19_Расчет_аналитики'!BA2476)=0,17&lt;='01_Вводные'!$B$297),0,('19_Расчет_аналитики'!BA2448-'19_Расчет_аналитики'!BA2476)*IF('01_Вводные'!$B$239="Да",MeanMinAge17+'19_Расчет_аналитики'!BA2584*SUMIF(ThresholdAge17,"&lt;"&amp;'19_Расчет_аналитики'!BA2584,WeightedRevAge17)-SUMIF(ThresholdAge17,"&lt;"&amp;'19_Расчет_аналитики'!BA2584,WeightedMinAge17),MAX(CapacityAge17*'01_Вводные'!$B$218*'19_Расчет_аналитики'!BA2584,MeanMinAge17)))</f>
        <v/>
      </c>
      <c r="BB2532">
        <f>IF(OR(('19_Расчет_аналитики'!BB2448-'19_Расчет_аналитики'!BB2476)=0,17&lt;='01_Вводные'!$B$297),0,('19_Расчет_аналитики'!BB2448-'19_Расчет_аналитики'!BB2476)*IF('01_Вводные'!$B$239="Да",MeanMinAge17+'19_Расчет_аналитики'!BB2584*SUMIF(ThresholdAge17,"&lt;"&amp;'19_Расчет_аналитики'!BB2584,WeightedRevAge17)-SUMIF(ThresholdAge17,"&lt;"&amp;'19_Расчет_аналитики'!BB2584,WeightedMinAge17),MAX(CapacityAge17*'01_Вводные'!$B$218*'19_Расчет_аналитики'!BB2584,MeanMinAge17)))</f>
        <v/>
      </c>
      <c r="BC2532">
        <f>IF(OR(('19_Расчет_аналитики'!BC2448-'19_Расчет_аналитики'!BC2476)=0,17&lt;='01_Вводные'!$B$297),0,('19_Расчет_аналитики'!BC2448-'19_Расчет_аналитики'!BC2476)*IF('01_Вводные'!$B$239="Да",MeanMinAge17+'19_Расчет_аналитики'!BC2584*SUMIF(ThresholdAge17,"&lt;"&amp;'19_Расчет_аналитики'!BC2584,WeightedRevAge17)-SUMIF(ThresholdAge17,"&lt;"&amp;'19_Расчет_аналитики'!BC2584,WeightedMinAge17),MAX(CapacityAge17*'01_Вводные'!$B$218*'19_Расчет_аналитики'!BC2584,MeanMinAge17)))</f>
        <v/>
      </c>
      <c r="BD2532">
        <f>IF(OR(('19_Расчет_аналитики'!BD2448-'19_Расчет_аналитики'!BD2476)=0,17&lt;='01_Вводные'!$B$297),0,('19_Расчет_аналитики'!BD2448-'19_Расчет_аналитики'!BD2476)*IF('01_Вводные'!$B$239="Да",MeanMinAge17+'19_Расчет_аналитики'!BD2584*SUMIF(ThresholdAge17,"&lt;"&amp;'19_Расчет_аналитики'!BD2584,WeightedRevAge17)-SUMIF(ThresholdAge17,"&lt;"&amp;'19_Расчет_аналитики'!BD2584,WeightedMinAge17),MAX(CapacityAge17*'01_Вводные'!$B$218*'19_Расчет_аналитики'!BD2584,MeanMinAge17)))</f>
        <v/>
      </c>
      <c r="BE2532">
        <f>IF(OR(('19_Расчет_аналитики'!BE2448-'19_Расчет_аналитики'!BE2476)=0,17&lt;='01_Вводные'!$B$297),0,('19_Расчет_аналитики'!BE2448-'19_Расчет_аналитики'!BE2476)*IF('01_Вводные'!$B$239="Да",MeanMinAge17+'19_Расчет_аналитики'!BE2584*SUMIF(ThresholdAge17,"&lt;"&amp;'19_Расчет_аналитики'!BE2584,WeightedRevAge17)-SUMIF(ThresholdAge17,"&lt;"&amp;'19_Расчет_аналитики'!BE2584,WeightedMinAge17),MAX(CapacityAge17*'01_Вводные'!$B$218*'19_Расчет_аналитики'!BE2584,MeanMinAge17)))</f>
        <v/>
      </c>
      <c r="BF2532">
        <f>IF(OR(('19_Расчет_аналитики'!BF2448-'19_Расчет_аналитики'!BF2476)=0,17&lt;='01_Вводные'!$B$297),0,('19_Расчет_аналитики'!BF2448-'19_Расчет_аналитики'!BF2476)*IF('01_Вводные'!$B$239="Да",MeanMinAge17+'19_Расчет_аналитики'!BF2584*SUMIF(ThresholdAge17,"&lt;"&amp;'19_Расчет_аналитики'!BF2584,WeightedRevAge17)-SUMIF(ThresholdAge17,"&lt;"&amp;'19_Расчет_аналитики'!BF2584,WeightedMinAge17),MAX(CapacityAge17*'01_Вводные'!$B$218*'19_Расчет_аналитики'!BF2584,MeanMinAge17)))</f>
        <v/>
      </c>
      <c r="BG2532">
        <f>IF(OR(('19_Расчет_аналитики'!BG2448-'19_Расчет_аналитики'!BG2476)=0,17&lt;='01_Вводные'!$B$297),0,('19_Расчет_аналитики'!BG2448-'19_Расчет_аналитики'!BG2476)*IF('01_Вводные'!$B$239="Да",MeanMinAge17+'19_Расчет_аналитики'!BG2584*SUMIF(ThresholdAge17,"&lt;"&amp;'19_Расчет_аналитики'!BG2584,WeightedRevAge17)-SUMIF(ThresholdAge17,"&lt;"&amp;'19_Расчет_аналитики'!BG2584,WeightedMinAge17),MAX(CapacityAge17*'01_Вводные'!$B$218*'19_Расчет_аналитики'!BG2584,MeanMinAge17)))</f>
        <v/>
      </c>
      <c r="BH2532">
        <f>IF(OR(('19_Расчет_аналитики'!BH2448-'19_Расчет_аналитики'!BH2476)=0,17&lt;='01_Вводные'!$B$297),0,('19_Расчет_аналитики'!BH2448-'19_Расчет_аналитики'!BH2476)*IF('01_Вводные'!$B$239="Да",MeanMinAge17+'19_Расчет_аналитики'!BH2584*SUMIF(ThresholdAge17,"&lt;"&amp;'19_Расчет_аналитики'!BH2584,WeightedRevAge17)-SUMIF(ThresholdAge17,"&lt;"&amp;'19_Расчет_аналитики'!BH2584,WeightedMinAge17),MAX(CapacityAge17*'01_Вводные'!$B$218*'19_Расчет_аналитики'!BH2584,MeanMinAge17)))</f>
        <v/>
      </c>
      <c r="BI2532">
        <f>IF(OR(('19_Расчет_аналитики'!BI2448-'19_Расчет_аналитики'!BI2476)=0,17&lt;='01_Вводные'!$B$297),0,('19_Расчет_аналитики'!BI2448-'19_Расчет_аналитики'!BI2476)*IF('01_Вводные'!$B$239="Да",MeanMinAge17+'19_Расчет_аналитики'!BI2584*SUMIF(ThresholdAge17,"&lt;"&amp;'19_Расчет_аналитики'!BI2584,WeightedRevAge17)-SUMIF(ThresholdAge17,"&lt;"&amp;'19_Расчет_аналитики'!BI2584,WeightedMinAge17),MAX(CapacityAge17*'01_Вводные'!$B$218*'19_Расчет_аналитики'!BI2584,MeanMinAge17)))</f>
        <v/>
      </c>
      <c r="BJ2532">
        <f>IF(OR(('19_Расчет_аналитики'!BJ2448-'19_Расчет_аналитики'!BJ2476)=0,17&lt;='01_Вводные'!$B$297),0,('19_Расчет_аналитики'!BJ2448-'19_Расчет_аналитики'!BJ2476)*IF('01_Вводные'!$B$239="Да",MeanMinAge17+'19_Расчет_аналитики'!BJ2584*SUMIF(ThresholdAge17,"&lt;"&amp;'19_Расчет_аналитики'!BJ2584,WeightedRevAge17)-SUMIF(ThresholdAge17,"&lt;"&amp;'19_Расчет_аналитики'!BJ2584,WeightedMinAge17),MAX(CapacityAge17*'01_Вводные'!$B$218*'19_Расчет_аналитики'!BJ2584,MeanMinAge17)))</f>
        <v/>
      </c>
      <c r="BK2532">
        <f>IF(OR(('19_Расчет_аналитики'!BK2448-'19_Расчет_аналитики'!BK2476)=0,17&lt;='01_Вводные'!$B$297),0,('19_Расчет_аналитики'!BK2448-'19_Расчет_аналитики'!BK2476)*IF('01_Вводные'!$B$239="Да",MeanMinAge17+'19_Расчет_аналитики'!BK2584*SUMIF(ThresholdAge17,"&lt;"&amp;'19_Расчет_аналитики'!BK2584,WeightedRevAge17)-SUMIF(ThresholdAge17,"&lt;"&amp;'19_Расчет_аналитики'!BK2584,WeightedMinAge17),MAX(CapacityAge17*'01_Вводные'!$B$218*'19_Расчет_аналитики'!BK2584,MeanMinAge17)))</f>
        <v/>
      </c>
      <c r="BL2532">
        <f>IF(OR(('19_Расчет_аналитики'!BL2448-'19_Расчет_аналитики'!BL2476)=0,17&lt;='01_Вводные'!$B$297),0,('19_Расчет_аналитики'!BL2448-'19_Расчет_аналитики'!BL2476)*IF('01_Вводные'!$B$239="Да",MeanMinAge17+'19_Расчет_аналитики'!BL2584*SUMIF(ThresholdAge17,"&lt;"&amp;'19_Расчет_аналитики'!BL2584,WeightedRevAge17)-SUMIF(ThresholdAge17,"&lt;"&amp;'19_Расчет_аналитики'!BL2584,WeightedMinAge17),MAX(CapacityAge17*'01_Вводные'!$B$218*'19_Расчет_аналитики'!BL2584,MeanMinAge17)))</f>
        <v/>
      </c>
      <c r="BM2532">
        <f>IF(OR(('19_Расчет_аналитики'!BM2448-'19_Расчет_аналитики'!BM2476)=0,17&lt;='01_Вводные'!$B$297),0,('19_Расчет_аналитики'!BM2448-'19_Расчет_аналитики'!BM2476)*IF('01_Вводные'!$B$239="Да",MeanMinAge17+'19_Расчет_аналитики'!BM2584*SUMIF(ThresholdAge17,"&lt;"&amp;'19_Расчет_аналитики'!BM2584,WeightedRevAge17)-SUMIF(ThresholdAge17,"&lt;"&amp;'19_Расчет_аналитики'!BM2584,WeightedMinAge17),MAX(CapacityAge17*'01_Вводные'!$B$218*'19_Расчет_аналитики'!BM2584,MeanMinAge17)))</f>
        <v/>
      </c>
      <c r="BN2532">
        <f>IF(OR(('19_Расчет_аналитики'!BN2448-'19_Расчет_аналитики'!BN2476)=0,17&lt;='01_Вводные'!$B$297),0,('19_Расчет_аналитики'!BN2448-'19_Расчет_аналитики'!BN2476)*IF('01_Вводные'!$B$239="Да",MeanMinAge17+'19_Расчет_аналитики'!BN2584*SUMIF(ThresholdAge17,"&lt;"&amp;'19_Расчет_аналитики'!BN2584,WeightedRevAge17)-SUMIF(ThresholdAge17,"&lt;"&amp;'19_Расчет_аналитики'!BN2584,WeightedMinAge17),MAX(CapacityAge17*'01_Вводные'!$B$218*'19_Расчет_аналитики'!BN2584,MeanMinAge17)))</f>
        <v/>
      </c>
      <c r="BO2532">
        <f>IF(OR(('19_Расчет_аналитики'!BO2448-'19_Расчет_аналитики'!BO2476)=0,17&lt;='01_Вводные'!$B$297),0,('19_Расчет_аналитики'!BO2448-'19_Расчет_аналитики'!BO2476)*IF('01_Вводные'!$B$239="Да",MeanMinAge17+'19_Расчет_аналитики'!BO2584*SUMIF(ThresholdAge17,"&lt;"&amp;'19_Расчет_аналитики'!BO2584,WeightedRevAge17)-SUMIF(ThresholdAge17,"&lt;"&amp;'19_Расчет_аналитики'!BO2584,WeightedMinAge17),MAX(CapacityAge17*'01_Вводные'!$B$218*'19_Расчет_аналитики'!BO2584,MeanMinAge17)))</f>
        <v/>
      </c>
    </row>
    <row r="2533">
      <c r="B2533">
        <f>IF(OR(('06_Сеть_и_дети'!B70-'06_Сеть_и_дети'!B98)=0,18&lt;='01_Вводные'!$B$297),0,('06_Сеть_и_дети'!B70-'06_Сеть_и_дети'!B98)*IF('01_Вводные'!$B$239="Да",MeanMinAge18+'19_Расчет_аналитики'!B2584*SUMIF(ThresholdAge18,"&lt;"&amp;'19_Расчет_аналитики'!B2584,WeightedRevAge18)-SUMIF(ThresholdAge18,"&lt;"&amp;'19_Расчет_аналитики'!B2584,WeightedMinAge18),MAX(CapacityAge18*'01_Вводные'!$B$218*'19_Расчет_аналитики'!B2584,MeanMinAge18)))</f>
        <v/>
      </c>
      <c r="C2533">
        <f>IF(OR(('06_Сеть_и_дети'!C70-'06_Сеть_и_дети'!C98)=0,18&lt;='01_Вводные'!$B$297),0,('06_Сеть_и_дети'!C70-'06_Сеть_и_дети'!C98)*IF('01_Вводные'!$B$239="Да",MeanMinAge18+'19_Расчет_аналитики'!C2584*SUMIF(ThresholdAge18,"&lt;"&amp;'19_Расчет_аналитики'!C2584,WeightedRevAge18)-SUMIF(ThresholdAge18,"&lt;"&amp;'19_Расчет_аналитики'!C2584,WeightedMinAge18),MAX(CapacityAge18*'01_Вводные'!$B$218*'19_Расчет_аналитики'!C2584,MeanMinAge18)))</f>
        <v/>
      </c>
      <c r="D2533">
        <f>IF(OR(('06_Сеть_и_дети'!D70-'06_Сеть_и_дети'!D98)=0,18&lt;='01_Вводные'!$B$297),0,('06_Сеть_и_дети'!D70-'06_Сеть_и_дети'!D98)*IF('01_Вводные'!$B$239="Да",MeanMinAge18+'19_Расчет_аналитики'!D2584*SUMIF(ThresholdAge18,"&lt;"&amp;'19_Расчет_аналитики'!D2584,WeightedRevAge18)-SUMIF(ThresholdAge18,"&lt;"&amp;'19_Расчет_аналитики'!D2584,WeightedMinAge18),MAX(CapacityAge18*'01_Вводные'!$B$218*'19_Расчет_аналитики'!D2584,MeanMinAge18)))</f>
        <v/>
      </c>
      <c r="E2533">
        <f>IF(OR(('06_Сеть_и_дети'!E70-'06_Сеть_и_дети'!E98)=0,18&lt;='01_Вводные'!$B$297),0,('06_Сеть_и_дети'!E70-'06_Сеть_и_дети'!E98)*IF('01_Вводные'!$B$239="Да",MeanMinAge18+'19_Расчет_аналитики'!E2584*SUMIF(ThresholdAge18,"&lt;"&amp;'19_Расчет_аналитики'!E2584,WeightedRevAge18)-SUMIF(ThresholdAge18,"&lt;"&amp;'19_Расчет_аналитики'!E2584,WeightedMinAge18),MAX(CapacityAge18*'01_Вводные'!$B$218*'19_Расчет_аналитики'!E2584,MeanMinAge18)))</f>
        <v/>
      </c>
      <c r="F2533">
        <f>IF(OR(('06_Сеть_и_дети'!F70-'06_Сеть_и_дети'!F98)=0,18&lt;='01_Вводные'!$B$297),0,('06_Сеть_и_дети'!F70-'06_Сеть_и_дети'!F98)*IF('01_Вводные'!$B$239="Да",MeanMinAge18+'19_Расчет_аналитики'!F2584*SUMIF(ThresholdAge18,"&lt;"&amp;'19_Расчет_аналитики'!F2584,WeightedRevAge18)-SUMIF(ThresholdAge18,"&lt;"&amp;'19_Расчет_аналитики'!F2584,WeightedMinAge18),MAX(CapacityAge18*'01_Вводные'!$B$218*'19_Расчет_аналитики'!F2584,MeanMinAge18)))</f>
        <v/>
      </c>
      <c r="G2533">
        <f>IF(OR(('06_Сеть_и_дети'!G70-'06_Сеть_и_дети'!G98)=0,18&lt;='01_Вводные'!$B$297),0,('06_Сеть_и_дети'!G70-'06_Сеть_и_дети'!G98)*IF('01_Вводные'!$B$239="Да",MeanMinAge18+'19_Расчет_аналитики'!G2584*SUMIF(ThresholdAge18,"&lt;"&amp;'19_Расчет_аналитики'!G2584,WeightedRevAge18)-SUMIF(ThresholdAge18,"&lt;"&amp;'19_Расчет_аналитики'!G2584,WeightedMinAge18),MAX(CapacityAge18*'01_Вводные'!$B$218*'19_Расчет_аналитики'!G2584,MeanMinAge18)))</f>
        <v/>
      </c>
      <c r="H2533">
        <f>IF(OR(('06_Сеть_и_дети'!H70-'06_Сеть_и_дети'!H98)=0,18&lt;='01_Вводные'!$B$297),0,('06_Сеть_и_дети'!H70-'06_Сеть_и_дети'!H98)*IF('01_Вводные'!$B$239="Да",MeanMinAge18+'19_Расчет_аналитики'!H2584*SUMIF(ThresholdAge18,"&lt;"&amp;'19_Расчет_аналитики'!H2584,WeightedRevAge18)-SUMIF(ThresholdAge18,"&lt;"&amp;'19_Расчет_аналитики'!H2584,WeightedMinAge18),MAX(CapacityAge18*'01_Вводные'!$B$218*'19_Расчет_аналитики'!H2584,MeanMinAge18)))</f>
        <v/>
      </c>
      <c r="I2533">
        <f>IF(OR(('06_Сеть_и_дети'!I70-'06_Сеть_и_дети'!I98)=0,18&lt;='01_Вводные'!$B$297),0,('06_Сеть_и_дети'!I70-'06_Сеть_и_дети'!I98)*IF('01_Вводные'!$B$239="Да",MeanMinAge18+'19_Расчет_аналитики'!I2584*SUMIF(ThresholdAge18,"&lt;"&amp;'19_Расчет_аналитики'!I2584,WeightedRevAge18)-SUMIF(ThresholdAge18,"&lt;"&amp;'19_Расчет_аналитики'!I2584,WeightedMinAge18),MAX(CapacityAge18*'01_Вводные'!$B$218*'19_Расчет_аналитики'!I2584,MeanMinAge18)))</f>
        <v/>
      </c>
      <c r="J2533">
        <f>IF(OR(('06_Сеть_и_дети'!J70-'06_Сеть_и_дети'!J98)=0,18&lt;='01_Вводные'!$B$297),0,('06_Сеть_и_дети'!J70-'06_Сеть_и_дети'!J98)*IF('01_Вводные'!$B$239="Да",MeanMinAge18+'19_Расчет_аналитики'!J2584*SUMIF(ThresholdAge18,"&lt;"&amp;'19_Расчет_аналитики'!J2584,WeightedRevAge18)-SUMIF(ThresholdAge18,"&lt;"&amp;'19_Расчет_аналитики'!J2584,WeightedMinAge18),MAX(CapacityAge18*'01_Вводные'!$B$218*'19_Расчет_аналитики'!J2584,MeanMinAge18)))</f>
        <v/>
      </c>
      <c r="K2533">
        <f>IF(OR(('06_Сеть_и_дети'!K70-'06_Сеть_и_дети'!K98)=0,18&lt;='01_Вводные'!$B$297),0,('06_Сеть_и_дети'!K70-'06_Сеть_и_дети'!K98)*IF('01_Вводные'!$B$239="Да",MeanMinAge18+'19_Расчет_аналитики'!K2584*SUMIF(ThresholdAge18,"&lt;"&amp;'19_Расчет_аналитики'!K2584,WeightedRevAge18)-SUMIF(ThresholdAge18,"&lt;"&amp;'19_Расчет_аналитики'!K2584,WeightedMinAge18),MAX(CapacityAge18*'01_Вводные'!$B$218*'19_Расчет_аналитики'!K2584,MeanMinAge18)))</f>
        <v/>
      </c>
      <c r="L2533">
        <f>IF(OR(('06_Сеть_и_дети'!L70-'06_Сеть_и_дети'!L98)=0,18&lt;='01_Вводные'!$B$297),0,('06_Сеть_и_дети'!L70-'06_Сеть_и_дети'!L98)*IF('01_Вводные'!$B$239="Да",MeanMinAge18+'19_Расчет_аналитики'!L2584*SUMIF(ThresholdAge18,"&lt;"&amp;'19_Расчет_аналитики'!L2584,WeightedRevAge18)-SUMIF(ThresholdAge18,"&lt;"&amp;'19_Расчет_аналитики'!L2584,WeightedMinAge18),MAX(CapacityAge18*'01_Вводные'!$B$218*'19_Расчет_аналитики'!L2584,MeanMinAge18)))</f>
        <v/>
      </c>
      <c r="M2533">
        <f>IF(OR(('06_Сеть_и_дети'!M70-'06_Сеть_и_дети'!M98)=0,18&lt;='01_Вводные'!$B$297),0,('06_Сеть_и_дети'!M70-'06_Сеть_и_дети'!M98)*IF('01_Вводные'!$B$239="Да",MeanMinAge18+'19_Расчет_аналитики'!M2584*SUMIF(ThresholdAge18,"&lt;"&amp;'19_Расчет_аналитики'!M2584,WeightedRevAge18)-SUMIF(ThresholdAge18,"&lt;"&amp;'19_Расчет_аналитики'!M2584,WeightedMinAge18),MAX(CapacityAge18*'01_Вводные'!$B$218*'19_Расчет_аналитики'!M2584,MeanMinAge18)))</f>
        <v/>
      </c>
      <c r="N2533">
        <f>IF(OR(('06_Сеть_и_дети'!N70-'06_Сеть_и_дети'!N98)=0,18&lt;='01_Вводные'!$B$297),0,('06_Сеть_и_дети'!N70-'06_Сеть_и_дети'!N98)*IF('01_Вводные'!$B$239="Да",MeanMinAge18+'19_Расчет_аналитики'!N2584*SUMIF(ThresholdAge18,"&lt;"&amp;'19_Расчет_аналитики'!N2584,WeightedRevAge18)-SUMIF(ThresholdAge18,"&lt;"&amp;'19_Расчет_аналитики'!N2584,WeightedMinAge18),MAX(CapacityAge18*'01_Вводные'!$B$218*'19_Расчет_аналитики'!N2584,MeanMinAge18)))</f>
        <v/>
      </c>
      <c r="O2533">
        <f>IF(OR(('06_Сеть_и_дети'!O70-'06_Сеть_и_дети'!O98)=0,18&lt;='01_Вводные'!$B$297),0,('06_Сеть_и_дети'!O70-'06_Сеть_и_дети'!O98)*IF('01_Вводные'!$B$239="Да",MeanMinAge18+'19_Расчет_аналитики'!O2584*SUMIF(ThresholdAge18,"&lt;"&amp;'19_Расчет_аналитики'!O2584,WeightedRevAge18)-SUMIF(ThresholdAge18,"&lt;"&amp;'19_Расчет_аналитики'!O2584,WeightedMinAge18),MAX(CapacityAge18*'01_Вводные'!$B$218*'19_Расчет_аналитики'!O2584,MeanMinAge18)))</f>
        <v/>
      </c>
      <c r="P2533">
        <f>IF(OR(('06_Сеть_и_дети'!P70-'06_Сеть_и_дети'!P98)=0,18&lt;='01_Вводные'!$B$297),0,('06_Сеть_и_дети'!P70-'06_Сеть_и_дети'!P98)*IF('01_Вводные'!$B$239="Да",MeanMinAge18+'19_Расчет_аналитики'!P2584*SUMIF(ThresholdAge18,"&lt;"&amp;'19_Расчет_аналитики'!P2584,WeightedRevAge18)-SUMIF(ThresholdAge18,"&lt;"&amp;'19_Расчет_аналитики'!P2584,WeightedMinAge18),MAX(CapacityAge18*'01_Вводные'!$B$218*'19_Расчет_аналитики'!P2584,MeanMinAge18)))</f>
        <v/>
      </c>
      <c r="Q2533">
        <f>IF(OR(('06_Сеть_и_дети'!Q70-'06_Сеть_и_дети'!Q98)=0,18&lt;='01_Вводные'!$B$297),0,('06_Сеть_и_дети'!Q70-'06_Сеть_и_дети'!Q98)*IF('01_Вводные'!$B$239="Да",MeanMinAge18+'19_Расчет_аналитики'!Q2584*SUMIF(ThresholdAge18,"&lt;"&amp;'19_Расчет_аналитики'!Q2584,WeightedRevAge18)-SUMIF(ThresholdAge18,"&lt;"&amp;'19_Расчет_аналитики'!Q2584,WeightedMinAge18),MAX(CapacityAge18*'01_Вводные'!$B$218*'19_Расчет_аналитики'!Q2584,MeanMinAge18)))</f>
        <v/>
      </c>
      <c r="R2533">
        <f>IF(OR(('06_Сеть_и_дети'!R70-'06_Сеть_и_дети'!R98)=0,18&lt;='01_Вводные'!$B$297),0,('06_Сеть_и_дети'!R70-'06_Сеть_и_дети'!R98)*IF('01_Вводные'!$B$239="Да",MeanMinAge18+'19_Расчет_аналитики'!R2584*SUMIF(ThresholdAge18,"&lt;"&amp;'19_Расчет_аналитики'!R2584,WeightedRevAge18)-SUMIF(ThresholdAge18,"&lt;"&amp;'19_Расчет_аналитики'!R2584,WeightedMinAge18),MAX(CapacityAge18*'01_Вводные'!$B$218*'19_Расчет_аналитики'!R2584,MeanMinAge18)))</f>
        <v/>
      </c>
      <c r="S2533">
        <f>IF(OR(('19_Расчет_аналитики'!S2449-'19_Расчет_аналитики'!S2477)=0,18&lt;='01_Вводные'!$B$297),0,('19_Расчет_аналитики'!S2449-'19_Расчет_аналитики'!S2477)*IF('01_Вводные'!$B$239="Да",MeanMinAge18+'19_Расчет_аналитики'!S2584*SUMIF(ThresholdAge18,"&lt;"&amp;'19_Расчет_аналитики'!S2584,WeightedRevAge18)-SUMIF(ThresholdAge18,"&lt;"&amp;'19_Расчет_аналитики'!S2584,WeightedMinAge18),MAX(CapacityAge18*'01_Вводные'!$B$218*'19_Расчет_аналитики'!S2584,MeanMinAge18)))</f>
        <v/>
      </c>
      <c r="T2533">
        <f>IF(OR(('19_Расчет_аналитики'!T2449-'19_Расчет_аналитики'!T2477)=0,18&lt;='01_Вводные'!$B$297),0,('19_Расчет_аналитики'!T2449-'19_Расчет_аналитики'!T2477)*IF('01_Вводные'!$B$239="Да",MeanMinAge18+'19_Расчет_аналитики'!T2584*SUMIF(ThresholdAge18,"&lt;"&amp;'19_Расчет_аналитики'!T2584,WeightedRevAge18)-SUMIF(ThresholdAge18,"&lt;"&amp;'19_Расчет_аналитики'!T2584,WeightedMinAge18),MAX(CapacityAge18*'01_Вводные'!$B$218*'19_Расчет_аналитики'!T2584,MeanMinAge18)))</f>
        <v/>
      </c>
      <c r="U2533">
        <f>IF(OR(('19_Расчет_аналитики'!U2449-'19_Расчет_аналитики'!U2477)=0,18&lt;='01_Вводные'!$B$297),0,('19_Расчет_аналитики'!U2449-'19_Расчет_аналитики'!U2477)*IF('01_Вводные'!$B$239="Да",MeanMinAge18+'19_Расчет_аналитики'!U2584*SUMIF(ThresholdAge18,"&lt;"&amp;'19_Расчет_аналитики'!U2584,WeightedRevAge18)-SUMIF(ThresholdAge18,"&lt;"&amp;'19_Расчет_аналитики'!U2584,WeightedMinAge18),MAX(CapacityAge18*'01_Вводные'!$B$218*'19_Расчет_аналитики'!U2584,MeanMinAge18)))</f>
        <v/>
      </c>
      <c r="V2533">
        <f>IF(OR(('19_Расчет_аналитики'!V2449-'19_Расчет_аналитики'!V2477)=0,18&lt;='01_Вводные'!$B$297),0,('19_Расчет_аналитики'!V2449-'19_Расчет_аналитики'!V2477)*IF('01_Вводные'!$B$239="Да",MeanMinAge18+'19_Расчет_аналитики'!V2584*SUMIF(ThresholdAge18,"&lt;"&amp;'19_Расчет_аналитики'!V2584,WeightedRevAge18)-SUMIF(ThresholdAge18,"&lt;"&amp;'19_Расчет_аналитики'!V2584,WeightedMinAge18),MAX(CapacityAge18*'01_Вводные'!$B$218*'19_Расчет_аналитики'!V2584,MeanMinAge18)))</f>
        <v/>
      </c>
      <c r="W2533">
        <f>IF(OR(('19_Расчет_аналитики'!W2449-'19_Расчет_аналитики'!W2477)=0,18&lt;='01_Вводные'!$B$297),0,('19_Расчет_аналитики'!W2449-'19_Расчет_аналитики'!W2477)*IF('01_Вводные'!$B$239="Да",MeanMinAge18+'19_Расчет_аналитики'!W2584*SUMIF(ThresholdAge18,"&lt;"&amp;'19_Расчет_аналитики'!W2584,WeightedRevAge18)-SUMIF(ThresholdAge18,"&lt;"&amp;'19_Расчет_аналитики'!W2584,WeightedMinAge18),MAX(CapacityAge18*'01_Вводные'!$B$218*'19_Расчет_аналитики'!W2584,MeanMinAge18)))</f>
        <v/>
      </c>
      <c r="X2533">
        <f>IF(OR(('19_Расчет_аналитики'!X2449-'19_Расчет_аналитики'!X2477)=0,18&lt;='01_Вводные'!$B$297),0,('19_Расчет_аналитики'!X2449-'19_Расчет_аналитики'!X2477)*IF('01_Вводные'!$B$239="Да",MeanMinAge18+'19_Расчет_аналитики'!X2584*SUMIF(ThresholdAge18,"&lt;"&amp;'19_Расчет_аналитики'!X2584,WeightedRevAge18)-SUMIF(ThresholdAge18,"&lt;"&amp;'19_Расчет_аналитики'!X2584,WeightedMinAge18),MAX(CapacityAge18*'01_Вводные'!$B$218*'19_Расчет_аналитики'!X2584,MeanMinAge18)))</f>
        <v/>
      </c>
      <c r="Y2533">
        <f>IF(OR(('19_Расчет_аналитики'!Y2449-'19_Расчет_аналитики'!Y2477)=0,18&lt;='01_Вводные'!$B$297),0,('19_Расчет_аналитики'!Y2449-'19_Расчет_аналитики'!Y2477)*IF('01_Вводные'!$B$239="Да",MeanMinAge18+'19_Расчет_аналитики'!Y2584*SUMIF(ThresholdAge18,"&lt;"&amp;'19_Расчет_аналитики'!Y2584,WeightedRevAge18)-SUMIF(ThresholdAge18,"&lt;"&amp;'19_Расчет_аналитики'!Y2584,WeightedMinAge18),MAX(CapacityAge18*'01_Вводные'!$B$218*'19_Расчет_аналитики'!Y2584,MeanMinAge18)))</f>
        <v/>
      </c>
      <c r="Z2533">
        <f>IF(OR(('19_Расчет_аналитики'!Z2449-'19_Расчет_аналитики'!Z2477)=0,18&lt;='01_Вводные'!$B$297),0,('19_Расчет_аналитики'!Z2449-'19_Расчет_аналитики'!Z2477)*IF('01_Вводные'!$B$239="Да",MeanMinAge18+'19_Расчет_аналитики'!Z2584*SUMIF(ThresholdAge18,"&lt;"&amp;'19_Расчет_аналитики'!Z2584,WeightedRevAge18)-SUMIF(ThresholdAge18,"&lt;"&amp;'19_Расчет_аналитики'!Z2584,WeightedMinAge18),MAX(CapacityAge18*'01_Вводные'!$B$218*'19_Расчет_аналитики'!Z2584,MeanMinAge18)))</f>
        <v/>
      </c>
      <c r="AA2533">
        <f>IF(OR(('19_Расчет_аналитики'!AA2449-'19_Расчет_аналитики'!AA2477)=0,18&lt;='01_Вводные'!$B$297),0,('19_Расчет_аналитики'!AA2449-'19_Расчет_аналитики'!AA2477)*IF('01_Вводные'!$B$239="Да",MeanMinAge18+'19_Расчет_аналитики'!AA2584*SUMIF(ThresholdAge18,"&lt;"&amp;'19_Расчет_аналитики'!AA2584,WeightedRevAge18)-SUMIF(ThresholdAge18,"&lt;"&amp;'19_Расчет_аналитики'!AA2584,WeightedMinAge18),MAX(CapacityAge18*'01_Вводные'!$B$218*'19_Расчет_аналитики'!AA2584,MeanMinAge18)))</f>
        <v/>
      </c>
      <c r="AB2533">
        <f>IF(OR(('19_Расчет_аналитики'!AB2449-'19_Расчет_аналитики'!AB2477)=0,18&lt;='01_Вводные'!$B$297),0,('19_Расчет_аналитики'!AB2449-'19_Расчет_аналитики'!AB2477)*IF('01_Вводные'!$B$239="Да",MeanMinAge18+'19_Расчет_аналитики'!AB2584*SUMIF(ThresholdAge18,"&lt;"&amp;'19_Расчет_аналитики'!AB2584,WeightedRevAge18)-SUMIF(ThresholdAge18,"&lt;"&amp;'19_Расчет_аналитики'!AB2584,WeightedMinAge18),MAX(CapacityAge18*'01_Вводные'!$B$218*'19_Расчет_аналитики'!AB2584,MeanMinAge18)))</f>
        <v/>
      </c>
      <c r="AC2533">
        <f>IF(OR(('19_Расчет_аналитики'!AC2449-'19_Расчет_аналитики'!AC2477)=0,18&lt;='01_Вводные'!$B$297),0,('19_Расчет_аналитики'!AC2449-'19_Расчет_аналитики'!AC2477)*IF('01_Вводные'!$B$239="Да",MeanMinAge18+'19_Расчет_аналитики'!AC2584*SUMIF(ThresholdAge18,"&lt;"&amp;'19_Расчет_аналитики'!AC2584,WeightedRevAge18)-SUMIF(ThresholdAge18,"&lt;"&amp;'19_Расчет_аналитики'!AC2584,WeightedMinAge18),MAX(CapacityAge18*'01_Вводные'!$B$218*'19_Расчет_аналитики'!AC2584,MeanMinAge18)))</f>
        <v/>
      </c>
      <c r="AD2533">
        <f>IF(OR(('19_Расчет_аналитики'!AD2449-'19_Расчет_аналитики'!AD2477)=0,18&lt;='01_Вводные'!$B$297),0,('19_Расчет_аналитики'!AD2449-'19_Расчет_аналитики'!AD2477)*IF('01_Вводные'!$B$239="Да",MeanMinAge18+'19_Расчет_аналитики'!AD2584*SUMIF(ThresholdAge18,"&lt;"&amp;'19_Расчет_аналитики'!AD2584,WeightedRevAge18)-SUMIF(ThresholdAge18,"&lt;"&amp;'19_Расчет_аналитики'!AD2584,WeightedMinAge18),MAX(CapacityAge18*'01_Вводные'!$B$218*'19_Расчет_аналитики'!AD2584,MeanMinAge18)))</f>
        <v/>
      </c>
      <c r="AE2533">
        <f>IF(OR(('19_Расчет_аналитики'!AE2449-'19_Расчет_аналитики'!AE2477)=0,18&lt;='01_Вводные'!$B$297),0,('19_Расчет_аналитики'!AE2449-'19_Расчет_аналитики'!AE2477)*IF('01_Вводные'!$B$239="Да",MeanMinAge18+'19_Расчет_аналитики'!AE2584*SUMIF(ThresholdAge18,"&lt;"&amp;'19_Расчет_аналитики'!AE2584,WeightedRevAge18)-SUMIF(ThresholdAge18,"&lt;"&amp;'19_Расчет_аналитики'!AE2584,WeightedMinAge18),MAX(CapacityAge18*'01_Вводные'!$B$218*'19_Расчет_аналитики'!AE2584,MeanMinAge18)))</f>
        <v/>
      </c>
      <c r="AF2533">
        <f>IF(OR(('19_Расчет_аналитики'!AF2449-'19_Расчет_аналитики'!AF2477)=0,18&lt;='01_Вводные'!$B$297),0,('19_Расчет_аналитики'!AF2449-'19_Расчет_аналитики'!AF2477)*IF('01_Вводные'!$B$239="Да",MeanMinAge18+'19_Расчет_аналитики'!AF2584*SUMIF(ThresholdAge18,"&lt;"&amp;'19_Расчет_аналитики'!AF2584,WeightedRevAge18)-SUMIF(ThresholdAge18,"&lt;"&amp;'19_Расчет_аналитики'!AF2584,WeightedMinAge18),MAX(CapacityAge18*'01_Вводные'!$B$218*'19_Расчет_аналитики'!AF2584,MeanMinAge18)))</f>
        <v/>
      </c>
      <c r="AG2533">
        <f>IF(OR(('19_Расчет_аналитики'!AG2449-'19_Расчет_аналитики'!AG2477)=0,18&lt;='01_Вводные'!$B$297),0,('19_Расчет_аналитики'!AG2449-'19_Расчет_аналитики'!AG2477)*IF('01_Вводные'!$B$239="Да",MeanMinAge18+'19_Расчет_аналитики'!AG2584*SUMIF(ThresholdAge18,"&lt;"&amp;'19_Расчет_аналитики'!AG2584,WeightedRevAge18)-SUMIF(ThresholdAge18,"&lt;"&amp;'19_Расчет_аналитики'!AG2584,WeightedMinAge18),MAX(CapacityAge18*'01_Вводные'!$B$218*'19_Расчет_аналитики'!AG2584,MeanMinAge18)))</f>
        <v/>
      </c>
      <c r="AH2533">
        <f>IF(OR(('19_Расчет_аналитики'!AH2449-'19_Расчет_аналитики'!AH2477)=0,18&lt;='01_Вводные'!$B$297),0,('19_Расчет_аналитики'!AH2449-'19_Расчет_аналитики'!AH2477)*IF('01_Вводные'!$B$239="Да",MeanMinAge18+'19_Расчет_аналитики'!AH2584*SUMIF(ThresholdAge18,"&lt;"&amp;'19_Расчет_аналитики'!AH2584,WeightedRevAge18)-SUMIF(ThresholdAge18,"&lt;"&amp;'19_Расчет_аналитики'!AH2584,WeightedMinAge18),MAX(CapacityAge18*'01_Вводные'!$B$218*'19_Расчет_аналитики'!AH2584,MeanMinAge18)))</f>
        <v/>
      </c>
      <c r="AI2533">
        <f>IF(OR(('19_Расчет_аналитики'!AI2449-'19_Расчет_аналитики'!AI2477)=0,18&lt;='01_Вводные'!$B$297),0,('19_Расчет_аналитики'!AI2449-'19_Расчет_аналитики'!AI2477)*IF('01_Вводные'!$B$239="Да",MeanMinAge18+'19_Расчет_аналитики'!AI2584*SUMIF(ThresholdAge18,"&lt;"&amp;'19_Расчет_аналитики'!AI2584,WeightedRevAge18)-SUMIF(ThresholdAge18,"&lt;"&amp;'19_Расчет_аналитики'!AI2584,WeightedMinAge18),MAX(CapacityAge18*'01_Вводные'!$B$218*'19_Расчет_аналитики'!AI2584,MeanMinAge18)))</f>
        <v/>
      </c>
      <c r="AJ2533">
        <f>IF(OR(('19_Расчет_аналитики'!AJ2449-'19_Расчет_аналитики'!AJ2477)=0,18&lt;='01_Вводные'!$B$297),0,('19_Расчет_аналитики'!AJ2449-'19_Расчет_аналитики'!AJ2477)*IF('01_Вводные'!$B$239="Да",MeanMinAge18+'19_Расчет_аналитики'!AJ2584*SUMIF(ThresholdAge18,"&lt;"&amp;'19_Расчет_аналитики'!AJ2584,WeightedRevAge18)-SUMIF(ThresholdAge18,"&lt;"&amp;'19_Расчет_аналитики'!AJ2584,WeightedMinAge18),MAX(CapacityAge18*'01_Вводные'!$B$218*'19_Расчет_аналитики'!AJ2584,MeanMinAge18)))</f>
        <v/>
      </c>
      <c r="AK2533">
        <f>IF(OR(('19_Расчет_аналитики'!AK2449-'19_Расчет_аналитики'!AK2477)=0,18&lt;='01_Вводные'!$B$297),0,('19_Расчет_аналитики'!AK2449-'19_Расчет_аналитики'!AK2477)*IF('01_Вводные'!$B$239="Да",MeanMinAge18+'19_Расчет_аналитики'!AK2584*SUMIF(ThresholdAge18,"&lt;"&amp;'19_Расчет_аналитики'!AK2584,WeightedRevAge18)-SUMIF(ThresholdAge18,"&lt;"&amp;'19_Расчет_аналитики'!AK2584,WeightedMinAge18),MAX(CapacityAge18*'01_Вводные'!$B$218*'19_Расчет_аналитики'!AK2584,MeanMinAge18)))</f>
        <v/>
      </c>
      <c r="AL2533">
        <f>IF(OR(('19_Расчет_аналитики'!AL2449-'19_Расчет_аналитики'!AL2477)=0,18&lt;='01_Вводные'!$B$297),0,('19_Расчет_аналитики'!AL2449-'19_Расчет_аналитики'!AL2477)*IF('01_Вводные'!$B$239="Да",MeanMinAge18+'19_Расчет_аналитики'!AL2584*SUMIF(ThresholdAge18,"&lt;"&amp;'19_Расчет_аналитики'!AL2584,WeightedRevAge18)-SUMIF(ThresholdAge18,"&lt;"&amp;'19_Расчет_аналитики'!AL2584,WeightedMinAge18),MAX(CapacityAge18*'01_Вводные'!$B$218*'19_Расчет_аналитики'!AL2584,MeanMinAge18)))</f>
        <v/>
      </c>
      <c r="AM2533">
        <f>IF(OR(('19_Расчет_аналитики'!AM2449-'19_Расчет_аналитики'!AM2477)=0,18&lt;='01_Вводные'!$B$297),0,('19_Расчет_аналитики'!AM2449-'19_Расчет_аналитики'!AM2477)*IF('01_Вводные'!$B$239="Да",MeanMinAge18+'19_Расчет_аналитики'!AM2584*SUMIF(ThresholdAge18,"&lt;"&amp;'19_Расчет_аналитики'!AM2584,WeightedRevAge18)-SUMIF(ThresholdAge18,"&lt;"&amp;'19_Расчет_аналитики'!AM2584,WeightedMinAge18),MAX(CapacityAge18*'01_Вводные'!$B$218*'19_Расчет_аналитики'!AM2584,MeanMinAge18)))</f>
        <v/>
      </c>
      <c r="AN2533">
        <f>IF(OR(('19_Расчет_аналитики'!AN2449-'19_Расчет_аналитики'!AN2477)=0,18&lt;='01_Вводные'!$B$297),0,('19_Расчет_аналитики'!AN2449-'19_Расчет_аналитики'!AN2477)*IF('01_Вводные'!$B$239="Да",MeanMinAge18+'19_Расчет_аналитики'!AN2584*SUMIF(ThresholdAge18,"&lt;"&amp;'19_Расчет_аналитики'!AN2584,WeightedRevAge18)-SUMIF(ThresholdAge18,"&lt;"&amp;'19_Расчет_аналитики'!AN2584,WeightedMinAge18),MAX(CapacityAge18*'01_Вводные'!$B$218*'19_Расчет_аналитики'!AN2584,MeanMinAge18)))</f>
        <v/>
      </c>
      <c r="AO2533">
        <f>IF(OR(('19_Расчет_аналитики'!AO2449-'19_Расчет_аналитики'!AO2477)=0,18&lt;='01_Вводные'!$B$297),0,('19_Расчет_аналитики'!AO2449-'19_Расчет_аналитики'!AO2477)*IF('01_Вводные'!$B$239="Да",MeanMinAge18+'19_Расчет_аналитики'!AO2584*SUMIF(ThresholdAge18,"&lt;"&amp;'19_Расчет_аналитики'!AO2584,WeightedRevAge18)-SUMIF(ThresholdAge18,"&lt;"&amp;'19_Расчет_аналитики'!AO2584,WeightedMinAge18),MAX(CapacityAge18*'01_Вводные'!$B$218*'19_Расчет_аналитики'!AO2584,MeanMinAge18)))</f>
        <v/>
      </c>
      <c r="AP2533">
        <f>IF(OR(('19_Расчет_аналитики'!AP2449-'19_Расчет_аналитики'!AP2477)=0,18&lt;='01_Вводные'!$B$297),0,('19_Расчет_аналитики'!AP2449-'19_Расчет_аналитики'!AP2477)*IF('01_Вводные'!$B$239="Да",MeanMinAge18+'19_Расчет_аналитики'!AP2584*SUMIF(ThresholdAge18,"&lt;"&amp;'19_Расчет_аналитики'!AP2584,WeightedRevAge18)-SUMIF(ThresholdAge18,"&lt;"&amp;'19_Расчет_аналитики'!AP2584,WeightedMinAge18),MAX(CapacityAge18*'01_Вводные'!$B$218*'19_Расчет_аналитики'!AP2584,MeanMinAge18)))</f>
        <v/>
      </c>
      <c r="AQ2533">
        <f>IF(OR(('19_Расчет_аналитики'!AQ2449-'19_Расчет_аналитики'!AQ2477)=0,18&lt;='01_Вводные'!$B$297),0,('19_Расчет_аналитики'!AQ2449-'19_Расчет_аналитики'!AQ2477)*IF('01_Вводные'!$B$239="Да",MeanMinAge18+'19_Расчет_аналитики'!AQ2584*SUMIF(ThresholdAge18,"&lt;"&amp;'19_Расчет_аналитики'!AQ2584,WeightedRevAge18)-SUMIF(ThresholdAge18,"&lt;"&amp;'19_Расчет_аналитики'!AQ2584,WeightedMinAge18),MAX(CapacityAge18*'01_Вводные'!$B$218*'19_Расчет_аналитики'!AQ2584,MeanMinAge18)))</f>
        <v/>
      </c>
      <c r="AR2533">
        <f>IF(OR(('19_Расчет_аналитики'!AR2449-'19_Расчет_аналитики'!AR2477)=0,18&lt;='01_Вводные'!$B$297),0,('19_Расчет_аналитики'!AR2449-'19_Расчет_аналитики'!AR2477)*IF('01_Вводные'!$B$239="Да",MeanMinAge18+'19_Расчет_аналитики'!AR2584*SUMIF(ThresholdAge18,"&lt;"&amp;'19_Расчет_аналитики'!AR2584,WeightedRevAge18)-SUMIF(ThresholdAge18,"&lt;"&amp;'19_Расчет_аналитики'!AR2584,WeightedMinAge18),MAX(CapacityAge18*'01_Вводные'!$B$218*'19_Расчет_аналитики'!AR2584,MeanMinAge18)))</f>
        <v/>
      </c>
      <c r="AS2533">
        <f>IF(OR(('19_Расчет_аналитики'!AS2449-'19_Расчет_аналитики'!AS2477)=0,18&lt;='01_Вводные'!$B$297),0,('19_Расчет_аналитики'!AS2449-'19_Расчет_аналитики'!AS2477)*IF('01_Вводные'!$B$239="Да",MeanMinAge18+'19_Расчет_аналитики'!AS2584*SUMIF(ThresholdAge18,"&lt;"&amp;'19_Расчет_аналитики'!AS2584,WeightedRevAge18)-SUMIF(ThresholdAge18,"&lt;"&amp;'19_Расчет_аналитики'!AS2584,WeightedMinAge18),MAX(CapacityAge18*'01_Вводные'!$B$218*'19_Расчет_аналитики'!AS2584,MeanMinAge18)))</f>
        <v/>
      </c>
      <c r="AT2533">
        <f>IF(OR(('19_Расчет_аналитики'!AT2449-'19_Расчет_аналитики'!AT2477)=0,18&lt;='01_Вводные'!$B$297),0,('19_Расчет_аналитики'!AT2449-'19_Расчет_аналитики'!AT2477)*IF('01_Вводные'!$B$239="Да",MeanMinAge18+'19_Расчет_аналитики'!AT2584*SUMIF(ThresholdAge18,"&lt;"&amp;'19_Расчет_аналитики'!AT2584,WeightedRevAge18)-SUMIF(ThresholdAge18,"&lt;"&amp;'19_Расчет_аналитики'!AT2584,WeightedMinAge18),MAX(CapacityAge18*'01_Вводные'!$B$218*'19_Расчет_аналитики'!AT2584,MeanMinAge18)))</f>
        <v/>
      </c>
      <c r="AU2533">
        <f>IF(OR(('19_Расчет_аналитики'!AU2449-'19_Расчет_аналитики'!AU2477)=0,18&lt;='01_Вводные'!$B$297),0,('19_Расчет_аналитики'!AU2449-'19_Расчет_аналитики'!AU2477)*IF('01_Вводные'!$B$239="Да",MeanMinAge18+'19_Расчет_аналитики'!AU2584*SUMIF(ThresholdAge18,"&lt;"&amp;'19_Расчет_аналитики'!AU2584,WeightedRevAge18)-SUMIF(ThresholdAge18,"&lt;"&amp;'19_Расчет_аналитики'!AU2584,WeightedMinAge18),MAX(CapacityAge18*'01_Вводные'!$B$218*'19_Расчет_аналитики'!AU2584,MeanMinAge18)))</f>
        <v/>
      </c>
      <c r="AV2533">
        <f>IF(OR(('19_Расчет_аналитики'!AV2449-'19_Расчет_аналитики'!AV2477)=0,18&lt;='01_Вводные'!$B$297),0,('19_Расчет_аналитики'!AV2449-'19_Расчет_аналитики'!AV2477)*IF('01_Вводные'!$B$239="Да",MeanMinAge18+'19_Расчет_аналитики'!AV2584*SUMIF(ThresholdAge18,"&lt;"&amp;'19_Расчет_аналитики'!AV2584,WeightedRevAge18)-SUMIF(ThresholdAge18,"&lt;"&amp;'19_Расчет_аналитики'!AV2584,WeightedMinAge18),MAX(CapacityAge18*'01_Вводные'!$B$218*'19_Расчет_аналитики'!AV2584,MeanMinAge18)))</f>
        <v/>
      </c>
      <c r="AW2533">
        <f>IF(OR(('19_Расчет_аналитики'!AW2449-'19_Расчет_аналитики'!AW2477)=0,18&lt;='01_Вводные'!$B$297),0,('19_Расчет_аналитики'!AW2449-'19_Расчет_аналитики'!AW2477)*IF('01_Вводные'!$B$239="Да",MeanMinAge18+'19_Расчет_аналитики'!AW2584*SUMIF(ThresholdAge18,"&lt;"&amp;'19_Расчет_аналитики'!AW2584,WeightedRevAge18)-SUMIF(ThresholdAge18,"&lt;"&amp;'19_Расчет_аналитики'!AW2584,WeightedMinAge18),MAX(CapacityAge18*'01_Вводные'!$B$218*'19_Расчет_аналитики'!AW2584,MeanMinAge18)))</f>
        <v/>
      </c>
      <c r="AX2533">
        <f>IF(OR(('19_Расчет_аналитики'!AX2449-'19_Расчет_аналитики'!AX2477)=0,18&lt;='01_Вводные'!$B$297),0,('19_Расчет_аналитики'!AX2449-'19_Расчет_аналитики'!AX2477)*IF('01_Вводные'!$B$239="Да",MeanMinAge18+'19_Расчет_аналитики'!AX2584*SUMIF(ThresholdAge18,"&lt;"&amp;'19_Расчет_аналитики'!AX2584,WeightedRevAge18)-SUMIF(ThresholdAge18,"&lt;"&amp;'19_Расчет_аналитики'!AX2584,WeightedMinAge18),MAX(CapacityAge18*'01_Вводные'!$B$218*'19_Расчет_аналитики'!AX2584,MeanMinAge18)))</f>
        <v/>
      </c>
      <c r="AY2533">
        <f>IF(OR(('19_Расчет_аналитики'!AY2449-'19_Расчет_аналитики'!AY2477)=0,18&lt;='01_Вводные'!$B$297),0,('19_Расчет_аналитики'!AY2449-'19_Расчет_аналитики'!AY2477)*IF('01_Вводные'!$B$239="Да",MeanMinAge18+'19_Расчет_аналитики'!AY2584*SUMIF(ThresholdAge18,"&lt;"&amp;'19_Расчет_аналитики'!AY2584,WeightedRevAge18)-SUMIF(ThresholdAge18,"&lt;"&amp;'19_Расчет_аналитики'!AY2584,WeightedMinAge18),MAX(CapacityAge18*'01_Вводные'!$B$218*'19_Расчет_аналитики'!AY2584,MeanMinAge18)))</f>
        <v/>
      </c>
      <c r="AZ2533">
        <f>IF(OR(('19_Расчет_аналитики'!AZ2449-'19_Расчет_аналитики'!AZ2477)=0,18&lt;='01_Вводные'!$B$297),0,('19_Расчет_аналитики'!AZ2449-'19_Расчет_аналитики'!AZ2477)*IF('01_Вводные'!$B$239="Да",MeanMinAge18+'19_Расчет_аналитики'!AZ2584*SUMIF(ThresholdAge18,"&lt;"&amp;'19_Расчет_аналитики'!AZ2584,WeightedRevAge18)-SUMIF(ThresholdAge18,"&lt;"&amp;'19_Расчет_аналитики'!AZ2584,WeightedMinAge18),MAX(CapacityAge18*'01_Вводные'!$B$218*'19_Расчет_аналитики'!AZ2584,MeanMinAge18)))</f>
        <v/>
      </c>
      <c r="BA2533">
        <f>IF(OR(('19_Расчет_аналитики'!BA2449-'19_Расчет_аналитики'!BA2477)=0,18&lt;='01_Вводные'!$B$297),0,('19_Расчет_аналитики'!BA2449-'19_Расчет_аналитики'!BA2477)*IF('01_Вводные'!$B$239="Да",MeanMinAge18+'19_Расчет_аналитики'!BA2584*SUMIF(ThresholdAge18,"&lt;"&amp;'19_Расчет_аналитики'!BA2584,WeightedRevAge18)-SUMIF(ThresholdAge18,"&lt;"&amp;'19_Расчет_аналитики'!BA2584,WeightedMinAge18),MAX(CapacityAge18*'01_Вводные'!$B$218*'19_Расчет_аналитики'!BA2584,MeanMinAge18)))</f>
        <v/>
      </c>
      <c r="BB2533">
        <f>IF(OR(('19_Расчет_аналитики'!BB2449-'19_Расчет_аналитики'!BB2477)=0,18&lt;='01_Вводные'!$B$297),0,('19_Расчет_аналитики'!BB2449-'19_Расчет_аналитики'!BB2477)*IF('01_Вводные'!$B$239="Да",MeanMinAge18+'19_Расчет_аналитики'!BB2584*SUMIF(ThresholdAge18,"&lt;"&amp;'19_Расчет_аналитики'!BB2584,WeightedRevAge18)-SUMIF(ThresholdAge18,"&lt;"&amp;'19_Расчет_аналитики'!BB2584,WeightedMinAge18),MAX(CapacityAge18*'01_Вводные'!$B$218*'19_Расчет_аналитики'!BB2584,MeanMinAge18)))</f>
        <v/>
      </c>
      <c r="BC2533">
        <f>IF(OR(('19_Расчет_аналитики'!BC2449-'19_Расчет_аналитики'!BC2477)=0,18&lt;='01_Вводные'!$B$297),0,('19_Расчет_аналитики'!BC2449-'19_Расчет_аналитики'!BC2477)*IF('01_Вводные'!$B$239="Да",MeanMinAge18+'19_Расчет_аналитики'!BC2584*SUMIF(ThresholdAge18,"&lt;"&amp;'19_Расчет_аналитики'!BC2584,WeightedRevAge18)-SUMIF(ThresholdAge18,"&lt;"&amp;'19_Расчет_аналитики'!BC2584,WeightedMinAge18),MAX(CapacityAge18*'01_Вводные'!$B$218*'19_Расчет_аналитики'!BC2584,MeanMinAge18)))</f>
        <v/>
      </c>
      <c r="BD2533">
        <f>IF(OR(('19_Расчет_аналитики'!BD2449-'19_Расчет_аналитики'!BD2477)=0,18&lt;='01_Вводные'!$B$297),0,('19_Расчет_аналитики'!BD2449-'19_Расчет_аналитики'!BD2477)*IF('01_Вводные'!$B$239="Да",MeanMinAge18+'19_Расчет_аналитики'!BD2584*SUMIF(ThresholdAge18,"&lt;"&amp;'19_Расчет_аналитики'!BD2584,WeightedRevAge18)-SUMIF(ThresholdAge18,"&lt;"&amp;'19_Расчет_аналитики'!BD2584,WeightedMinAge18),MAX(CapacityAge18*'01_Вводные'!$B$218*'19_Расчет_аналитики'!BD2584,MeanMinAge18)))</f>
        <v/>
      </c>
      <c r="BE2533">
        <f>IF(OR(('19_Расчет_аналитики'!BE2449-'19_Расчет_аналитики'!BE2477)=0,18&lt;='01_Вводные'!$B$297),0,('19_Расчет_аналитики'!BE2449-'19_Расчет_аналитики'!BE2477)*IF('01_Вводные'!$B$239="Да",MeanMinAge18+'19_Расчет_аналитики'!BE2584*SUMIF(ThresholdAge18,"&lt;"&amp;'19_Расчет_аналитики'!BE2584,WeightedRevAge18)-SUMIF(ThresholdAge18,"&lt;"&amp;'19_Расчет_аналитики'!BE2584,WeightedMinAge18),MAX(CapacityAge18*'01_Вводные'!$B$218*'19_Расчет_аналитики'!BE2584,MeanMinAge18)))</f>
        <v/>
      </c>
      <c r="BF2533">
        <f>IF(OR(('19_Расчет_аналитики'!BF2449-'19_Расчет_аналитики'!BF2477)=0,18&lt;='01_Вводные'!$B$297),0,('19_Расчет_аналитики'!BF2449-'19_Расчет_аналитики'!BF2477)*IF('01_Вводные'!$B$239="Да",MeanMinAge18+'19_Расчет_аналитики'!BF2584*SUMIF(ThresholdAge18,"&lt;"&amp;'19_Расчет_аналитики'!BF2584,WeightedRevAge18)-SUMIF(ThresholdAge18,"&lt;"&amp;'19_Расчет_аналитики'!BF2584,WeightedMinAge18),MAX(CapacityAge18*'01_Вводные'!$B$218*'19_Расчет_аналитики'!BF2584,MeanMinAge18)))</f>
        <v/>
      </c>
      <c r="BG2533">
        <f>IF(OR(('19_Расчет_аналитики'!BG2449-'19_Расчет_аналитики'!BG2477)=0,18&lt;='01_Вводные'!$B$297),0,('19_Расчет_аналитики'!BG2449-'19_Расчет_аналитики'!BG2477)*IF('01_Вводные'!$B$239="Да",MeanMinAge18+'19_Расчет_аналитики'!BG2584*SUMIF(ThresholdAge18,"&lt;"&amp;'19_Расчет_аналитики'!BG2584,WeightedRevAge18)-SUMIF(ThresholdAge18,"&lt;"&amp;'19_Расчет_аналитики'!BG2584,WeightedMinAge18),MAX(CapacityAge18*'01_Вводные'!$B$218*'19_Расчет_аналитики'!BG2584,MeanMinAge18)))</f>
        <v/>
      </c>
      <c r="BH2533">
        <f>IF(OR(('19_Расчет_аналитики'!BH2449-'19_Расчет_аналитики'!BH2477)=0,18&lt;='01_Вводные'!$B$297),0,('19_Расчет_аналитики'!BH2449-'19_Расчет_аналитики'!BH2477)*IF('01_Вводные'!$B$239="Да",MeanMinAge18+'19_Расчет_аналитики'!BH2584*SUMIF(ThresholdAge18,"&lt;"&amp;'19_Расчет_аналитики'!BH2584,WeightedRevAge18)-SUMIF(ThresholdAge18,"&lt;"&amp;'19_Расчет_аналитики'!BH2584,WeightedMinAge18),MAX(CapacityAge18*'01_Вводные'!$B$218*'19_Расчет_аналитики'!BH2584,MeanMinAge18)))</f>
        <v/>
      </c>
      <c r="BI2533">
        <f>IF(OR(('19_Расчет_аналитики'!BI2449-'19_Расчет_аналитики'!BI2477)=0,18&lt;='01_Вводные'!$B$297),0,('19_Расчет_аналитики'!BI2449-'19_Расчет_аналитики'!BI2477)*IF('01_Вводные'!$B$239="Да",MeanMinAge18+'19_Расчет_аналитики'!BI2584*SUMIF(ThresholdAge18,"&lt;"&amp;'19_Расчет_аналитики'!BI2584,WeightedRevAge18)-SUMIF(ThresholdAge18,"&lt;"&amp;'19_Расчет_аналитики'!BI2584,WeightedMinAge18),MAX(CapacityAge18*'01_Вводные'!$B$218*'19_Расчет_аналитики'!BI2584,MeanMinAge18)))</f>
        <v/>
      </c>
      <c r="BJ2533">
        <f>IF(OR(('19_Расчет_аналитики'!BJ2449-'19_Расчет_аналитики'!BJ2477)=0,18&lt;='01_Вводные'!$B$297),0,('19_Расчет_аналитики'!BJ2449-'19_Расчет_аналитики'!BJ2477)*IF('01_Вводные'!$B$239="Да",MeanMinAge18+'19_Расчет_аналитики'!BJ2584*SUMIF(ThresholdAge18,"&lt;"&amp;'19_Расчет_аналитики'!BJ2584,WeightedRevAge18)-SUMIF(ThresholdAge18,"&lt;"&amp;'19_Расчет_аналитики'!BJ2584,WeightedMinAge18),MAX(CapacityAge18*'01_Вводные'!$B$218*'19_Расчет_аналитики'!BJ2584,MeanMinAge18)))</f>
        <v/>
      </c>
      <c r="BK2533">
        <f>IF(OR(('19_Расчет_аналитики'!BK2449-'19_Расчет_аналитики'!BK2477)=0,18&lt;='01_Вводные'!$B$297),0,('19_Расчет_аналитики'!BK2449-'19_Расчет_аналитики'!BK2477)*IF('01_Вводные'!$B$239="Да",MeanMinAge18+'19_Расчет_аналитики'!BK2584*SUMIF(ThresholdAge18,"&lt;"&amp;'19_Расчет_аналитики'!BK2584,WeightedRevAge18)-SUMIF(ThresholdAge18,"&lt;"&amp;'19_Расчет_аналитики'!BK2584,WeightedMinAge18),MAX(CapacityAge18*'01_Вводные'!$B$218*'19_Расчет_аналитики'!BK2584,MeanMinAge18)))</f>
        <v/>
      </c>
      <c r="BL2533">
        <f>IF(OR(('19_Расчет_аналитики'!BL2449-'19_Расчет_аналитики'!BL2477)=0,18&lt;='01_Вводные'!$B$297),0,('19_Расчет_аналитики'!BL2449-'19_Расчет_аналитики'!BL2477)*IF('01_Вводные'!$B$239="Да",MeanMinAge18+'19_Расчет_аналитики'!BL2584*SUMIF(ThresholdAge18,"&lt;"&amp;'19_Расчет_аналитики'!BL2584,WeightedRevAge18)-SUMIF(ThresholdAge18,"&lt;"&amp;'19_Расчет_аналитики'!BL2584,WeightedMinAge18),MAX(CapacityAge18*'01_Вводные'!$B$218*'19_Расчет_аналитики'!BL2584,MeanMinAge18)))</f>
        <v/>
      </c>
      <c r="BM2533">
        <f>IF(OR(('19_Расчет_аналитики'!BM2449-'19_Расчет_аналитики'!BM2477)=0,18&lt;='01_Вводные'!$B$297),0,('19_Расчет_аналитики'!BM2449-'19_Расчет_аналитики'!BM2477)*IF('01_Вводные'!$B$239="Да",MeanMinAge18+'19_Расчет_аналитики'!BM2584*SUMIF(ThresholdAge18,"&lt;"&amp;'19_Расчет_аналитики'!BM2584,WeightedRevAge18)-SUMIF(ThresholdAge18,"&lt;"&amp;'19_Расчет_аналитики'!BM2584,WeightedMinAge18),MAX(CapacityAge18*'01_Вводные'!$B$218*'19_Расчет_аналитики'!BM2584,MeanMinAge18)))</f>
        <v/>
      </c>
      <c r="BN2533">
        <f>IF(OR(('19_Расчет_аналитики'!BN2449-'19_Расчет_аналитики'!BN2477)=0,18&lt;='01_Вводные'!$B$297),0,('19_Расчет_аналитики'!BN2449-'19_Расчет_аналитики'!BN2477)*IF('01_Вводные'!$B$239="Да",MeanMinAge18+'19_Расчет_аналитики'!BN2584*SUMIF(ThresholdAge18,"&lt;"&amp;'19_Расчет_аналитики'!BN2584,WeightedRevAge18)-SUMIF(ThresholdAge18,"&lt;"&amp;'19_Расчет_аналитики'!BN2584,WeightedMinAge18),MAX(CapacityAge18*'01_Вводные'!$B$218*'19_Расчет_аналитики'!BN2584,MeanMinAge18)))</f>
        <v/>
      </c>
      <c r="BO2533">
        <f>IF(OR(('19_Расчет_аналитики'!BO2449-'19_Расчет_аналитики'!BO2477)=0,18&lt;='01_Вводные'!$B$297),0,('19_Расчет_аналитики'!BO2449-'19_Расчет_аналитики'!BO2477)*IF('01_Вводные'!$B$239="Да",MeanMinAge18+'19_Расчет_аналитики'!BO2584*SUMIF(ThresholdAge18,"&lt;"&amp;'19_Расчет_аналитики'!BO2584,WeightedRevAge18)-SUMIF(ThresholdAge18,"&lt;"&amp;'19_Расчет_аналитики'!BO2584,WeightedMinAge18),MAX(CapacityAge18*'01_Вводные'!$B$218*'19_Расчет_аналитики'!BO2584,MeanMinAge18)))</f>
        <v/>
      </c>
    </row>
    <row r="2534">
      <c r="B2534">
        <f>IF(OR(('06_Сеть_и_дети'!B71-'06_Сеть_и_дети'!B99)=0,19&lt;='01_Вводные'!$B$297),0,('06_Сеть_и_дети'!B71-'06_Сеть_и_дети'!B99)*IF('01_Вводные'!$B$239="Да",MeanMinAge19+'19_Расчет_аналитики'!B2584*SUMIF(ThresholdAge19,"&lt;"&amp;'19_Расчет_аналитики'!B2584,WeightedRevAge19)-SUMIF(ThresholdAge19,"&lt;"&amp;'19_Расчет_аналитики'!B2584,WeightedMinAge19),MAX(CapacityAge19*'01_Вводные'!$B$218*'19_Расчет_аналитики'!B2584,MeanMinAge19)))</f>
        <v/>
      </c>
      <c r="C2534">
        <f>IF(OR(('06_Сеть_и_дети'!C71-'06_Сеть_и_дети'!C99)=0,19&lt;='01_Вводные'!$B$297),0,('06_Сеть_и_дети'!C71-'06_Сеть_и_дети'!C99)*IF('01_Вводные'!$B$239="Да",MeanMinAge19+'19_Расчет_аналитики'!C2584*SUMIF(ThresholdAge19,"&lt;"&amp;'19_Расчет_аналитики'!C2584,WeightedRevAge19)-SUMIF(ThresholdAge19,"&lt;"&amp;'19_Расчет_аналитики'!C2584,WeightedMinAge19),MAX(CapacityAge19*'01_Вводные'!$B$218*'19_Расчет_аналитики'!C2584,MeanMinAge19)))</f>
        <v/>
      </c>
      <c r="D2534">
        <f>IF(OR(('06_Сеть_и_дети'!D71-'06_Сеть_и_дети'!D99)=0,19&lt;='01_Вводные'!$B$297),0,('06_Сеть_и_дети'!D71-'06_Сеть_и_дети'!D99)*IF('01_Вводные'!$B$239="Да",MeanMinAge19+'19_Расчет_аналитики'!D2584*SUMIF(ThresholdAge19,"&lt;"&amp;'19_Расчет_аналитики'!D2584,WeightedRevAge19)-SUMIF(ThresholdAge19,"&lt;"&amp;'19_Расчет_аналитики'!D2584,WeightedMinAge19),MAX(CapacityAge19*'01_Вводные'!$B$218*'19_Расчет_аналитики'!D2584,MeanMinAge19)))</f>
        <v/>
      </c>
      <c r="E2534">
        <f>IF(OR(('06_Сеть_и_дети'!E71-'06_Сеть_и_дети'!E99)=0,19&lt;='01_Вводные'!$B$297),0,('06_Сеть_и_дети'!E71-'06_Сеть_и_дети'!E99)*IF('01_Вводные'!$B$239="Да",MeanMinAge19+'19_Расчет_аналитики'!E2584*SUMIF(ThresholdAge19,"&lt;"&amp;'19_Расчет_аналитики'!E2584,WeightedRevAge19)-SUMIF(ThresholdAge19,"&lt;"&amp;'19_Расчет_аналитики'!E2584,WeightedMinAge19),MAX(CapacityAge19*'01_Вводные'!$B$218*'19_Расчет_аналитики'!E2584,MeanMinAge19)))</f>
        <v/>
      </c>
      <c r="F2534">
        <f>IF(OR(('06_Сеть_и_дети'!F71-'06_Сеть_и_дети'!F99)=0,19&lt;='01_Вводные'!$B$297),0,('06_Сеть_и_дети'!F71-'06_Сеть_и_дети'!F99)*IF('01_Вводные'!$B$239="Да",MeanMinAge19+'19_Расчет_аналитики'!F2584*SUMIF(ThresholdAge19,"&lt;"&amp;'19_Расчет_аналитики'!F2584,WeightedRevAge19)-SUMIF(ThresholdAge19,"&lt;"&amp;'19_Расчет_аналитики'!F2584,WeightedMinAge19),MAX(CapacityAge19*'01_Вводные'!$B$218*'19_Расчет_аналитики'!F2584,MeanMinAge19)))</f>
        <v/>
      </c>
      <c r="G2534">
        <f>IF(OR(('06_Сеть_и_дети'!G71-'06_Сеть_и_дети'!G99)=0,19&lt;='01_Вводные'!$B$297),0,('06_Сеть_и_дети'!G71-'06_Сеть_и_дети'!G99)*IF('01_Вводные'!$B$239="Да",MeanMinAge19+'19_Расчет_аналитики'!G2584*SUMIF(ThresholdAge19,"&lt;"&amp;'19_Расчет_аналитики'!G2584,WeightedRevAge19)-SUMIF(ThresholdAge19,"&lt;"&amp;'19_Расчет_аналитики'!G2584,WeightedMinAge19),MAX(CapacityAge19*'01_Вводные'!$B$218*'19_Расчет_аналитики'!G2584,MeanMinAge19)))</f>
        <v/>
      </c>
      <c r="H2534">
        <f>IF(OR(('06_Сеть_и_дети'!H71-'06_Сеть_и_дети'!H99)=0,19&lt;='01_Вводные'!$B$297),0,('06_Сеть_и_дети'!H71-'06_Сеть_и_дети'!H99)*IF('01_Вводные'!$B$239="Да",MeanMinAge19+'19_Расчет_аналитики'!H2584*SUMIF(ThresholdAge19,"&lt;"&amp;'19_Расчет_аналитики'!H2584,WeightedRevAge19)-SUMIF(ThresholdAge19,"&lt;"&amp;'19_Расчет_аналитики'!H2584,WeightedMinAge19),MAX(CapacityAge19*'01_Вводные'!$B$218*'19_Расчет_аналитики'!H2584,MeanMinAge19)))</f>
        <v/>
      </c>
      <c r="I2534">
        <f>IF(OR(('06_Сеть_и_дети'!I71-'06_Сеть_и_дети'!I99)=0,19&lt;='01_Вводные'!$B$297),0,('06_Сеть_и_дети'!I71-'06_Сеть_и_дети'!I99)*IF('01_Вводные'!$B$239="Да",MeanMinAge19+'19_Расчет_аналитики'!I2584*SUMIF(ThresholdAge19,"&lt;"&amp;'19_Расчет_аналитики'!I2584,WeightedRevAge19)-SUMIF(ThresholdAge19,"&lt;"&amp;'19_Расчет_аналитики'!I2584,WeightedMinAge19),MAX(CapacityAge19*'01_Вводные'!$B$218*'19_Расчет_аналитики'!I2584,MeanMinAge19)))</f>
        <v/>
      </c>
      <c r="J2534">
        <f>IF(OR(('06_Сеть_и_дети'!J71-'06_Сеть_и_дети'!J99)=0,19&lt;='01_Вводные'!$B$297),0,('06_Сеть_и_дети'!J71-'06_Сеть_и_дети'!J99)*IF('01_Вводные'!$B$239="Да",MeanMinAge19+'19_Расчет_аналитики'!J2584*SUMIF(ThresholdAge19,"&lt;"&amp;'19_Расчет_аналитики'!J2584,WeightedRevAge19)-SUMIF(ThresholdAge19,"&lt;"&amp;'19_Расчет_аналитики'!J2584,WeightedMinAge19),MAX(CapacityAge19*'01_Вводные'!$B$218*'19_Расчет_аналитики'!J2584,MeanMinAge19)))</f>
        <v/>
      </c>
      <c r="K2534">
        <f>IF(OR(('06_Сеть_и_дети'!K71-'06_Сеть_и_дети'!K99)=0,19&lt;='01_Вводные'!$B$297),0,('06_Сеть_и_дети'!K71-'06_Сеть_и_дети'!K99)*IF('01_Вводные'!$B$239="Да",MeanMinAge19+'19_Расчет_аналитики'!K2584*SUMIF(ThresholdAge19,"&lt;"&amp;'19_Расчет_аналитики'!K2584,WeightedRevAge19)-SUMIF(ThresholdAge19,"&lt;"&amp;'19_Расчет_аналитики'!K2584,WeightedMinAge19),MAX(CapacityAge19*'01_Вводные'!$B$218*'19_Расчет_аналитики'!K2584,MeanMinAge19)))</f>
        <v/>
      </c>
      <c r="L2534">
        <f>IF(OR(('06_Сеть_и_дети'!L71-'06_Сеть_и_дети'!L99)=0,19&lt;='01_Вводные'!$B$297),0,('06_Сеть_и_дети'!L71-'06_Сеть_и_дети'!L99)*IF('01_Вводные'!$B$239="Да",MeanMinAge19+'19_Расчет_аналитики'!L2584*SUMIF(ThresholdAge19,"&lt;"&amp;'19_Расчет_аналитики'!L2584,WeightedRevAge19)-SUMIF(ThresholdAge19,"&lt;"&amp;'19_Расчет_аналитики'!L2584,WeightedMinAge19),MAX(CapacityAge19*'01_Вводные'!$B$218*'19_Расчет_аналитики'!L2584,MeanMinAge19)))</f>
        <v/>
      </c>
      <c r="M2534">
        <f>IF(OR(('06_Сеть_и_дети'!M71-'06_Сеть_и_дети'!M99)=0,19&lt;='01_Вводные'!$B$297),0,('06_Сеть_и_дети'!M71-'06_Сеть_и_дети'!M99)*IF('01_Вводные'!$B$239="Да",MeanMinAge19+'19_Расчет_аналитики'!M2584*SUMIF(ThresholdAge19,"&lt;"&amp;'19_Расчет_аналитики'!M2584,WeightedRevAge19)-SUMIF(ThresholdAge19,"&lt;"&amp;'19_Расчет_аналитики'!M2584,WeightedMinAge19),MAX(CapacityAge19*'01_Вводные'!$B$218*'19_Расчет_аналитики'!M2584,MeanMinAge19)))</f>
        <v/>
      </c>
      <c r="N2534">
        <f>IF(OR(('06_Сеть_и_дети'!N71-'06_Сеть_и_дети'!N99)=0,19&lt;='01_Вводные'!$B$297),0,('06_Сеть_и_дети'!N71-'06_Сеть_и_дети'!N99)*IF('01_Вводные'!$B$239="Да",MeanMinAge19+'19_Расчет_аналитики'!N2584*SUMIF(ThresholdAge19,"&lt;"&amp;'19_Расчет_аналитики'!N2584,WeightedRevAge19)-SUMIF(ThresholdAge19,"&lt;"&amp;'19_Расчет_аналитики'!N2584,WeightedMinAge19),MAX(CapacityAge19*'01_Вводные'!$B$218*'19_Расчет_аналитики'!N2584,MeanMinAge19)))</f>
        <v/>
      </c>
      <c r="O2534">
        <f>IF(OR(('06_Сеть_и_дети'!O71-'06_Сеть_и_дети'!O99)=0,19&lt;='01_Вводные'!$B$297),0,('06_Сеть_и_дети'!O71-'06_Сеть_и_дети'!O99)*IF('01_Вводные'!$B$239="Да",MeanMinAge19+'19_Расчет_аналитики'!O2584*SUMIF(ThresholdAge19,"&lt;"&amp;'19_Расчет_аналитики'!O2584,WeightedRevAge19)-SUMIF(ThresholdAge19,"&lt;"&amp;'19_Расчет_аналитики'!O2584,WeightedMinAge19),MAX(CapacityAge19*'01_Вводные'!$B$218*'19_Расчет_аналитики'!O2584,MeanMinAge19)))</f>
        <v/>
      </c>
      <c r="P2534">
        <f>IF(OR(('06_Сеть_и_дети'!P71-'06_Сеть_и_дети'!P99)=0,19&lt;='01_Вводные'!$B$297),0,('06_Сеть_и_дети'!P71-'06_Сеть_и_дети'!P99)*IF('01_Вводные'!$B$239="Да",MeanMinAge19+'19_Расчет_аналитики'!P2584*SUMIF(ThresholdAge19,"&lt;"&amp;'19_Расчет_аналитики'!P2584,WeightedRevAge19)-SUMIF(ThresholdAge19,"&lt;"&amp;'19_Расчет_аналитики'!P2584,WeightedMinAge19),MAX(CapacityAge19*'01_Вводные'!$B$218*'19_Расчет_аналитики'!P2584,MeanMinAge19)))</f>
        <v/>
      </c>
      <c r="Q2534">
        <f>IF(OR(('06_Сеть_и_дети'!Q71-'06_Сеть_и_дети'!Q99)=0,19&lt;='01_Вводные'!$B$297),0,('06_Сеть_и_дети'!Q71-'06_Сеть_и_дети'!Q99)*IF('01_Вводные'!$B$239="Да",MeanMinAge19+'19_Расчет_аналитики'!Q2584*SUMIF(ThresholdAge19,"&lt;"&amp;'19_Расчет_аналитики'!Q2584,WeightedRevAge19)-SUMIF(ThresholdAge19,"&lt;"&amp;'19_Расчет_аналитики'!Q2584,WeightedMinAge19),MAX(CapacityAge19*'01_Вводные'!$B$218*'19_Расчет_аналитики'!Q2584,MeanMinAge19)))</f>
        <v/>
      </c>
      <c r="R2534">
        <f>IF(OR(('06_Сеть_и_дети'!R71-'06_Сеть_и_дети'!R99)=0,19&lt;='01_Вводные'!$B$297),0,('06_Сеть_и_дети'!R71-'06_Сеть_и_дети'!R99)*IF('01_Вводные'!$B$239="Да",MeanMinAge19+'19_Расчет_аналитики'!R2584*SUMIF(ThresholdAge19,"&lt;"&amp;'19_Расчет_аналитики'!R2584,WeightedRevAge19)-SUMIF(ThresholdAge19,"&lt;"&amp;'19_Расчет_аналитики'!R2584,WeightedMinAge19),MAX(CapacityAge19*'01_Вводные'!$B$218*'19_Расчет_аналитики'!R2584,MeanMinAge19)))</f>
        <v/>
      </c>
      <c r="S2534">
        <f>IF(OR(('06_Сеть_и_дети'!S71-'06_Сеть_и_дети'!S99)=0,19&lt;='01_Вводные'!$B$297),0,('06_Сеть_и_дети'!S71-'06_Сеть_и_дети'!S99)*IF('01_Вводные'!$B$239="Да",MeanMinAge19+'19_Расчет_аналитики'!S2584*SUMIF(ThresholdAge19,"&lt;"&amp;'19_Расчет_аналитики'!S2584,WeightedRevAge19)-SUMIF(ThresholdAge19,"&lt;"&amp;'19_Расчет_аналитики'!S2584,WeightedMinAge19),MAX(CapacityAge19*'01_Вводные'!$B$218*'19_Расчет_аналитики'!S2584,MeanMinAge19)))</f>
        <v/>
      </c>
      <c r="T2534">
        <f>IF(OR(('19_Расчет_аналитики'!T2450-'19_Расчет_аналитики'!T2478)=0,19&lt;='01_Вводные'!$B$297),0,('19_Расчет_аналитики'!T2450-'19_Расчет_аналитики'!T2478)*IF('01_Вводные'!$B$239="Да",MeanMinAge19+'19_Расчет_аналитики'!T2584*SUMIF(ThresholdAge19,"&lt;"&amp;'19_Расчет_аналитики'!T2584,WeightedRevAge19)-SUMIF(ThresholdAge19,"&lt;"&amp;'19_Расчет_аналитики'!T2584,WeightedMinAge19),MAX(CapacityAge19*'01_Вводные'!$B$218*'19_Расчет_аналитики'!T2584,MeanMinAge19)))</f>
        <v/>
      </c>
      <c r="U2534">
        <f>IF(OR(('19_Расчет_аналитики'!U2450-'19_Расчет_аналитики'!U2478)=0,19&lt;='01_Вводные'!$B$297),0,('19_Расчет_аналитики'!U2450-'19_Расчет_аналитики'!U2478)*IF('01_Вводные'!$B$239="Да",MeanMinAge19+'19_Расчет_аналитики'!U2584*SUMIF(ThresholdAge19,"&lt;"&amp;'19_Расчет_аналитики'!U2584,WeightedRevAge19)-SUMIF(ThresholdAge19,"&lt;"&amp;'19_Расчет_аналитики'!U2584,WeightedMinAge19),MAX(CapacityAge19*'01_Вводные'!$B$218*'19_Расчет_аналитики'!U2584,MeanMinAge19)))</f>
        <v/>
      </c>
      <c r="V2534">
        <f>IF(OR(('19_Расчет_аналитики'!V2450-'19_Расчет_аналитики'!V2478)=0,19&lt;='01_Вводные'!$B$297),0,('19_Расчет_аналитики'!V2450-'19_Расчет_аналитики'!V2478)*IF('01_Вводные'!$B$239="Да",MeanMinAge19+'19_Расчет_аналитики'!V2584*SUMIF(ThresholdAge19,"&lt;"&amp;'19_Расчет_аналитики'!V2584,WeightedRevAge19)-SUMIF(ThresholdAge19,"&lt;"&amp;'19_Расчет_аналитики'!V2584,WeightedMinAge19),MAX(CapacityAge19*'01_Вводные'!$B$218*'19_Расчет_аналитики'!V2584,MeanMinAge19)))</f>
        <v/>
      </c>
      <c r="W2534">
        <f>IF(OR(('19_Расчет_аналитики'!W2450-'19_Расчет_аналитики'!W2478)=0,19&lt;='01_Вводные'!$B$297),0,('19_Расчет_аналитики'!W2450-'19_Расчет_аналитики'!W2478)*IF('01_Вводные'!$B$239="Да",MeanMinAge19+'19_Расчет_аналитики'!W2584*SUMIF(ThresholdAge19,"&lt;"&amp;'19_Расчет_аналитики'!W2584,WeightedRevAge19)-SUMIF(ThresholdAge19,"&lt;"&amp;'19_Расчет_аналитики'!W2584,WeightedMinAge19),MAX(CapacityAge19*'01_Вводные'!$B$218*'19_Расчет_аналитики'!W2584,MeanMinAge19)))</f>
        <v/>
      </c>
      <c r="X2534">
        <f>IF(OR(('19_Расчет_аналитики'!X2450-'19_Расчет_аналитики'!X2478)=0,19&lt;='01_Вводные'!$B$297),0,('19_Расчет_аналитики'!X2450-'19_Расчет_аналитики'!X2478)*IF('01_Вводные'!$B$239="Да",MeanMinAge19+'19_Расчет_аналитики'!X2584*SUMIF(ThresholdAge19,"&lt;"&amp;'19_Расчет_аналитики'!X2584,WeightedRevAge19)-SUMIF(ThresholdAge19,"&lt;"&amp;'19_Расчет_аналитики'!X2584,WeightedMinAge19),MAX(CapacityAge19*'01_Вводные'!$B$218*'19_Расчет_аналитики'!X2584,MeanMinAge19)))</f>
        <v/>
      </c>
      <c r="Y2534">
        <f>IF(OR(('19_Расчет_аналитики'!Y2450-'19_Расчет_аналитики'!Y2478)=0,19&lt;='01_Вводные'!$B$297),0,('19_Расчет_аналитики'!Y2450-'19_Расчет_аналитики'!Y2478)*IF('01_Вводные'!$B$239="Да",MeanMinAge19+'19_Расчет_аналитики'!Y2584*SUMIF(ThresholdAge19,"&lt;"&amp;'19_Расчет_аналитики'!Y2584,WeightedRevAge19)-SUMIF(ThresholdAge19,"&lt;"&amp;'19_Расчет_аналитики'!Y2584,WeightedMinAge19),MAX(CapacityAge19*'01_Вводные'!$B$218*'19_Расчет_аналитики'!Y2584,MeanMinAge19)))</f>
        <v/>
      </c>
      <c r="Z2534">
        <f>IF(OR(('19_Расчет_аналитики'!Z2450-'19_Расчет_аналитики'!Z2478)=0,19&lt;='01_Вводные'!$B$297),0,('19_Расчет_аналитики'!Z2450-'19_Расчет_аналитики'!Z2478)*IF('01_Вводные'!$B$239="Да",MeanMinAge19+'19_Расчет_аналитики'!Z2584*SUMIF(ThresholdAge19,"&lt;"&amp;'19_Расчет_аналитики'!Z2584,WeightedRevAge19)-SUMIF(ThresholdAge19,"&lt;"&amp;'19_Расчет_аналитики'!Z2584,WeightedMinAge19),MAX(CapacityAge19*'01_Вводные'!$B$218*'19_Расчет_аналитики'!Z2584,MeanMinAge19)))</f>
        <v/>
      </c>
      <c r="AA2534">
        <f>IF(OR(('19_Расчет_аналитики'!AA2450-'19_Расчет_аналитики'!AA2478)=0,19&lt;='01_Вводные'!$B$297),0,('19_Расчет_аналитики'!AA2450-'19_Расчет_аналитики'!AA2478)*IF('01_Вводные'!$B$239="Да",MeanMinAge19+'19_Расчет_аналитики'!AA2584*SUMIF(ThresholdAge19,"&lt;"&amp;'19_Расчет_аналитики'!AA2584,WeightedRevAge19)-SUMIF(ThresholdAge19,"&lt;"&amp;'19_Расчет_аналитики'!AA2584,WeightedMinAge19),MAX(CapacityAge19*'01_Вводные'!$B$218*'19_Расчет_аналитики'!AA2584,MeanMinAge19)))</f>
        <v/>
      </c>
      <c r="AB2534">
        <f>IF(OR(('19_Расчет_аналитики'!AB2450-'19_Расчет_аналитики'!AB2478)=0,19&lt;='01_Вводные'!$B$297),0,('19_Расчет_аналитики'!AB2450-'19_Расчет_аналитики'!AB2478)*IF('01_Вводные'!$B$239="Да",MeanMinAge19+'19_Расчет_аналитики'!AB2584*SUMIF(ThresholdAge19,"&lt;"&amp;'19_Расчет_аналитики'!AB2584,WeightedRevAge19)-SUMIF(ThresholdAge19,"&lt;"&amp;'19_Расчет_аналитики'!AB2584,WeightedMinAge19),MAX(CapacityAge19*'01_Вводные'!$B$218*'19_Расчет_аналитики'!AB2584,MeanMinAge19)))</f>
        <v/>
      </c>
      <c r="AC2534">
        <f>IF(OR(('19_Расчет_аналитики'!AC2450-'19_Расчет_аналитики'!AC2478)=0,19&lt;='01_Вводные'!$B$297),0,('19_Расчет_аналитики'!AC2450-'19_Расчет_аналитики'!AC2478)*IF('01_Вводные'!$B$239="Да",MeanMinAge19+'19_Расчет_аналитики'!AC2584*SUMIF(ThresholdAge19,"&lt;"&amp;'19_Расчет_аналитики'!AC2584,WeightedRevAge19)-SUMIF(ThresholdAge19,"&lt;"&amp;'19_Расчет_аналитики'!AC2584,WeightedMinAge19),MAX(CapacityAge19*'01_Вводные'!$B$218*'19_Расчет_аналитики'!AC2584,MeanMinAge19)))</f>
        <v/>
      </c>
      <c r="AD2534">
        <f>IF(OR(('19_Расчет_аналитики'!AD2450-'19_Расчет_аналитики'!AD2478)=0,19&lt;='01_Вводные'!$B$297),0,('19_Расчет_аналитики'!AD2450-'19_Расчет_аналитики'!AD2478)*IF('01_Вводные'!$B$239="Да",MeanMinAge19+'19_Расчет_аналитики'!AD2584*SUMIF(ThresholdAge19,"&lt;"&amp;'19_Расчет_аналитики'!AD2584,WeightedRevAge19)-SUMIF(ThresholdAge19,"&lt;"&amp;'19_Расчет_аналитики'!AD2584,WeightedMinAge19),MAX(CapacityAge19*'01_Вводные'!$B$218*'19_Расчет_аналитики'!AD2584,MeanMinAge19)))</f>
        <v/>
      </c>
      <c r="AE2534">
        <f>IF(OR(('19_Расчет_аналитики'!AE2450-'19_Расчет_аналитики'!AE2478)=0,19&lt;='01_Вводные'!$B$297),0,('19_Расчет_аналитики'!AE2450-'19_Расчет_аналитики'!AE2478)*IF('01_Вводные'!$B$239="Да",MeanMinAge19+'19_Расчет_аналитики'!AE2584*SUMIF(ThresholdAge19,"&lt;"&amp;'19_Расчет_аналитики'!AE2584,WeightedRevAge19)-SUMIF(ThresholdAge19,"&lt;"&amp;'19_Расчет_аналитики'!AE2584,WeightedMinAge19),MAX(CapacityAge19*'01_Вводные'!$B$218*'19_Расчет_аналитики'!AE2584,MeanMinAge19)))</f>
        <v/>
      </c>
      <c r="AF2534">
        <f>IF(OR(('19_Расчет_аналитики'!AF2450-'19_Расчет_аналитики'!AF2478)=0,19&lt;='01_Вводные'!$B$297),0,('19_Расчет_аналитики'!AF2450-'19_Расчет_аналитики'!AF2478)*IF('01_Вводные'!$B$239="Да",MeanMinAge19+'19_Расчет_аналитики'!AF2584*SUMIF(ThresholdAge19,"&lt;"&amp;'19_Расчет_аналитики'!AF2584,WeightedRevAge19)-SUMIF(ThresholdAge19,"&lt;"&amp;'19_Расчет_аналитики'!AF2584,WeightedMinAge19),MAX(CapacityAge19*'01_Вводные'!$B$218*'19_Расчет_аналитики'!AF2584,MeanMinAge19)))</f>
        <v/>
      </c>
      <c r="AG2534">
        <f>IF(OR(('19_Расчет_аналитики'!AG2450-'19_Расчет_аналитики'!AG2478)=0,19&lt;='01_Вводные'!$B$297),0,('19_Расчет_аналитики'!AG2450-'19_Расчет_аналитики'!AG2478)*IF('01_Вводные'!$B$239="Да",MeanMinAge19+'19_Расчет_аналитики'!AG2584*SUMIF(ThresholdAge19,"&lt;"&amp;'19_Расчет_аналитики'!AG2584,WeightedRevAge19)-SUMIF(ThresholdAge19,"&lt;"&amp;'19_Расчет_аналитики'!AG2584,WeightedMinAge19),MAX(CapacityAge19*'01_Вводные'!$B$218*'19_Расчет_аналитики'!AG2584,MeanMinAge19)))</f>
        <v/>
      </c>
      <c r="AH2534">
        <f>IF(OR(('19_Расчет_аналитики'!AH2450-'19_Расчет_аналитики'!AH2478)=0,19&lt;='01_Вводные'!$B$297),0,('19_Расчет_аналитики'!AH2450-'19_Расчет_аналитики'!AH2478)*IF('01_Вводные'!$B$239="Да",MeanMinAge19+'19_Расчет_аналитики'!AH2584*SUMIF(ThresholdAge19,"&lt;"&amp;'19_Расчет_аналитики'!AH2584,WeightedRevAge19)-SUMIF(ThresholdAge19,"&lt;"&amp;'19_Расчет_аналитики'!AH2584,WeightedMinAge19),MAX(CapacityAge19*'01_Вводные'!$B$218*'19_Расчет_аналитики'!AH2584,MeanMinAge19)))</f>
        <v/>
      </c>
      <c r="AI2534">
        <f>IF(OR(('19_Расчет_аналитики'!AI2450-'19_Расчет_аналитики'!AI2478)=0,19&lt;='01_Вводные'!$B$297),0,('19_Расчет_аналитики'!AI2450-'19_Расчет_аналитики'!AI2478)*IF('01_Вводные'!$B$239="Да",MeanMinAge19+'19_Расчет_аналитики'!AI2584*SUMIF(ThresholdAge19,"&lt;"&amp;'19_Расчет_аналитики'!AI2584,WeightedRevAge19)-SUMIF(ThresholdAge19,"&lt;"&amp;'19_Расчет_аналитики'!AI2584,WeightedMinAge19),MAX(CapacityAge19*'01_Вводные'!$B$218*'19_Расчет_аналитики'!AI2584,MeanMinAge19)))</f>
        <v/>
      </c>
      <c r="AJ2534">
        <f>IF(OR(('19_Расчет_аналитики'!AJ2450-'19_Расчет_аналитики'!AJ2478)=0,19&lt;='01_Вводные'!$B$297),0,('19_Расчет_аналитики'!AJ2450-'19_Расчет_аналитики'!AJ2478)*IF('01_Вводные'!$B$239="Да",MeanMinAge19+'19_Расчет_аналитики'!AJ2584*SUMIF(ThresholdAge19,"&lt;"&amp;'19_Расчет_аналитики'!AJ2584,WeightedRevAge19)-SUMIF(ThresholdAge19,"&lt;"&amp;'19_Расчет_аналитики'!AJ2584,WeightedMinAge19),MAX(CapacityAge19*'01_Вводные'!$B$218*'19_Расчет_аналитики'!AJ2584,MeanMinAge19)))</f>
        <v/>
      </c>
      <c r="AK2534">
        <f>IF(OR(('19_Расчет_аналитики'!AK2450-'19_Расчет_аналитики'!AK2478)=0,19&lt;='01_Вводные'!$B$297),0,('19_Расчет_аналитики'!AK2450-'19_Расчет_аналитики'!AK2478)*IF('01_Вводные'!$B$239="Да",MeanMinAge19+'19_Расчет_аналитики'!AK2584*SUMIF(ThresholdAge19,"&lt;"&amp;'19_Расчет_аналитики'!AK2584,WeightedRevAge19)-SUMIF(ThresholdAge19,"&lt;"&amp;'19_Расчет_аналитики'!AK2584,WeightedMinAge19),MAX(CapacityAge19*'01_Вводные'!$B$218*'19_Расчет_аналитики'!AK2584,MeanMinAge19)))</f>
        <v/>
      </c>
      <c r="AL2534">
        <f>IF(OR(('19_Расчет_аналитики'!AL2450-'19_Расчет_аналитики'!AL2478)=0,19&lt;='01_Вводные'!$B$297),0,('19_Расчет_аналитики'!AL2450-'19_Расчет_аналитики'!AL2478)*IF('01_Вводные'!$B$239="Да",MeanMinAge19+'19_Расчет_аналитики'!AL2584*SUMIF(ThresholdAge19,"&lt;"&amp;'19_Расчет_аналитики'!AL2584,WeightedRevAge19)-SUMIF(ThresholdAge19,"&lt;"&amp;'19_Расчет_аналитики'!AL2584,WeightedMinAge19),MAX(CapacityAge19*'01_Вводные'!$B$218*'19_Расчет_аналитики'!AL2584,MeanMinAge19)))</f>
        <v/>
      </c>
      <c r="AM2534">
        <f>IF(OR(('19_Расчет_аналитики'!AM2450-'19_Расчет_аналитики'!AM2478)=0,19&lt;='01_Вводные'!$B$297),0,('19_Расчет_аналитики'!AM2450-'19_Расчет_аналитики'!AM2478)*IF('01_Вводные'!$B$239="Да",MeanMinAge19+'19_Расчет_аналитики'!AM2584*SUMIF(ThresholdAge19,"&lt;"&amp;'19_Расчет_аналитики'!AM2584,WeightedRevAge19)-SUMIF(ThresholdAge19,"&lt;"&amp;'19_Расчет_аналитики'!AM2584,WeightedMinAge19),MAX(CapacityAge19*'01_Вводные'!$B$218*'19_Расчет_аналитики'!AM2584,MeanMinAge19)))</f>
        <v/>
      </c>
      <c r="AN2534">
        <f>IF(OR(('19_Расчет_аналитики'!AN2450-'19_Расчет_аналитики'!AN2478)=0,19&lt;='01_Вводные'!$B$297),0,('19_Расчет_аналитики'!AN2450-'19_Расчет_аналитики'!AN2478)*IF('01_Вводные'!$B$239="Да",MeanMinAge19+'19_Расчет_аналитики'!AN2584*SUMIF(ThresholdAge19,"&lt;"&amp;'19_Расчет_аналитики'!AN2584,WeightedRevAge19)-SUMIF(ThresholdAge19,"&lt;"&amp;'19_Расчет_аналитики'!AN2584,WeightedMinAge19),MAX(CapacityAge19*'01_Вводные'!$B$218*'19_Расчет_аналитики'!AN2584,MeanMinAge19)))</f>
        <v/>
      </c>
      <c r="AO2534">
        <f>IF(OR(('19_Расчет_аналитики'!AO2450-'19_Расчет_аналитики'!AO2478)=0,19&lt;='01_Вводные'!$B$297),0,('19_Расчет_аналитики'!AO2450-'19_Расчет_аналитики'!AO2478)*IF('01_Вводные'!$B$239="Да",MeanMinAge19+'19_Расчет_аналитики'!AO2584*SUMIF(ThresholdAge19,"&lt;"&amp;'19_Расчет_аналитики'!AO2584,WeightedRevAge19)-SUMIF(ThresholdAge19,"&lt;"&amp;'19_Расчет_аналитики'!AO2584,WeightedMinAge19),MAX(CapacityAge19*'01_Вводные'!$B$218*'19_Расчет_аналитики'!AO2584,MeanMinAge19)))</f>
        <v/>
      </c>
      <c r="AP2534">
        <f>IF(OR(('19_Расчет_аналитики'!AP2450-'19_Расчет_аналитики'!AP2478)=0,19&lt;='01_Вводные'!$B$297),0,('19_Расчет_аналитики'!AP2450-'19_Расчет_аналитики'!AP2478)*IF('01_Вводные'!$B$239="Да",MeanMinAge19+'19_Расчет_аналитики'!AP2584*SUMIF(ThresholdAge19,"&lt;"&amp;'19_Расчет_аналитики'!AP2584,WeightedRevAge19)-SUMIF(ThresholdAge19,"&lt;"&amp;'19_Расчет_аналитики'!AP2584,WeightedMinAge19),MAX(CapacityAge19*'01_Вводные'!$B$218*'19_Расчет_аналитики'!AP2584,MeanMinAge19)))</f>
        <v/>
      </c>
      <c r="AQ2534">
        <f>IF(OR(('19_Расчет_аналитики'!AQ2450-'19_Расчет_аналитики'!AQ2478)=0,19&lt;='01_Вводные'!$B$297),0,('19_Расчет_аналитики'!AQ2450-'19_Расчет_аналитики'!AQ2478)*IF('01_Вводные'!$B$239="Да",MeanMinAge19+'19_Расчет_аналитики'!AQ2584*SUMIF(ThresholdAge19,"&lt;"&amp;'19_Расчет_аналитики'!AQ2584,WeightedRevAge19)-SUMIF(ThresholdAge19,"&lt;"&amp;'19_Расчет_аналитики'!AQ2584,WeightedMinAge19),MAX(CapacityAge19*'01_Вводные'!$B$218*'19_Расчет_аналитики'!AQ2584,MeanMinAge19)))</f>
        <v/>
      </c>
      <c r="AR2534">
        <f>IF(OR(('19_Расчет_аналитики'!AR2450-'19_Расчет_аналитики'!AR2478)=0,19&lt;='01_Вводные'!$B$297),0,('19_Расчет_аналитики'!AR2450-'19_Расчет_аналитики'!AR2478)*IF('01_Вводные'!$B$239="Да",MeanMinAge19+'19_Расчет_аналитики'!AR2584*SUMIF(ThresholdAge19,"&lt;"&amp;'19_Расчет_аналитики'!AR2584,WeightedRevAge19)-SUMIF(ThresholdAge19,"&lt;"&amp;'19_Расчет_аналитики'!AR2584,WeightedMinAge19),MAX(CapacityAge19*'01_Вводные'!$B$218*'19_Расчет_аналитики'!AR2584,MeanMinAge19)))</f>
        <v/>
      </c>
      <c r="AS2534">
        <f>IF(OR(('19_Расчет_аналитики'!AS2450-'19_Расчет_аналитики'!AS2478)=0,19&lt;='01_Вводные'!$B$297),0,('19_Расчет_аналитики'!AS2450-'19_Расчет_аналитики'!AS2478)*IF('01_Вводные'!$B$239="Да",MeanMinAge19+'19_Расчет_аналитики'!AS2584*SUMIF(ThresholdAge19,"&lt;"&amp;'19_Расчет_аналитики'!AS2584,WeightedRevAge19)-SUMIF(ThresholdAge19,"&lt;"&amp;'19_Расчет_аналитики'!AS2584,WeightedMinAge19),MAX(CapacityAge19*'01_Вводные'!$B$218*'19_Расчет_аналитики'!AS2584,MeanMinAge19)))</f>
        <v/>
      </c>
      <c r="AT2534">
        <f>IF(OR(('19_Расчет_аналитики'!AT2450-'19_Расчет_аналитики'!AT2478)=0,19&lt;='01_Вводные'!$B$297),0,('19_Расчет_аналитики'!AT2450-'19_Расчет_аналитики'!AT2478)*IF('01_Вводные'!$B$239="Да",MeanMinAge19+'19_Расчет_аналитики'!AT2584*SUMIF(ThresholdAge19,"&lt;"&amp;'19_Расчет_аналитики'!AT2584,WeightedRevAge19)-SUMIF(ThresholdAge19,"&lt;"&amp;'19_Расчет_аналитики'!AT2584,WeightedMinAge19),MAX(CapacityAge19*'01_Вводные'!$B$218*'19_Расчет_аналитики'!AT2584,MeanMinAge19)))</f>
        <v/>
      </c>
      <c r="AU2534">
        <f>IF(OR(('19_Расчет_аналитики'!AU2450-'19_Расчет_аналитики'!AU2478)=0,19&lt;='01_Вводные'!$B$297),0,('19_Расчет_аналитики'!AU2450-'19_Расчет_аналитики'!AU2478)*IF('01_Вводные'!$B$239="Да",MeanMinAge19+'19_Расчет_аналитики'!AU2584*SUMIF(ThresholdAge19,"&lt;"&amp;'19_Расчет_аналитики'!AU2584,WeightedRevAge19)-SUMIF(ThresholdAge19,"&lt;"&amp;'19_Расчет_аналитики'!AU2584,WeightedMinAge19),MAX(CapacityAge19*'01_Вводные'!$B$218*'19_Расчет_аналитики'!AU2584,MeanMinAge19)))</f>
        <v/>
      </c>
      <c r="AV2534">
        <f>IF(OR(('19_Расчет_аналитики'!AV2450-'19_Расчет_аналитики'!AV2478)=0,19&lt;='01_Вводные'!$B$297),0,('19_Расчет_аналитики'!AV2450-'19_Расчет_аналитики'!AV2478)*IF('01_Вводные'!$B$239="Да",MeanMinAge19+'19_Расчет_аналитики'!AV2584*SUMIF(ThresholdAge19,"&lt;"&amp;'19_Расчет_аналитики'!AV2584,WeightedRevAge19)-SUMIF(ThresholdAge19,"&lt;"&amp;'19_Расчет_аналитики'!AV2584,WeightedMinAge19),MAX(CapacityAge19*'01_Вводные'!$B$218*'19_Расчет_аналитики'!AV2584,MeanMinAge19)))</f>
        <v/>
      </c>
      <c r="AW2534">
        <f>IF(OR(('19_Расчет_аналитики'!AW2450-'19_Расчет_аналитики'!AW2478)=0,19&lt;='01_Вводные'!$B$297),0,('19_Расчет_аналитики'!AW2450-'19_Расчет_аналитики'!AW2478)*IF('01_Вводные'!$B$239="Да",MeanMinAge19+'19_Расчет_аналитики'!AW2584*SUMIF(ThresholdAge19,"&lt;"&amp;'19_Расчет_аналитики'!AW2584,WeightedRevAge19)-SUMIF(ThresholdAge19,"&lt;"&amp;'19_Расчет_аналитики'!AW2584,WeightedMinAge19),MAX(CapacityAge19*'01_Вводные'!$B$218*'19_Расчет_аналитики'!AW2584,MeanMinAge19)))</f>
        <v/>
      </c>
      <c r="AX2534">
        <f>IF(OR(('19_Расчет_аналитики'!AX2450-'19_Расчет_аналитики'!AX2478)=0,19&lt;='01_Вводные'!$B$297),0,('19_Расчет_аналитики'!AX2450-'19_Расчет_аналитики'!AX2478)*IF('01_Вводные'!$B$239="Да",MeanMinAge19+'19_Расчет_аналитики'!AX2584*SUMIF(ThresholdAge19,"&lt;"&amp;'19_Расчет_аналитики'!AX2584,WeightedRevAge19)-SUMIF(ThresholdAge19,"&lt;"&amp;'19_Расчет_аналитики'!AX2584,WeightedMinAge19),MAX(CapacityAge19*'01_Вводные'!$B$218*'19_Расчет_аналитики'!AX2584,MeanMinAge19)))</f>
        <v/>
      </c>
      <c r="AY2534">
        <f>IF(OR(('19_Расчет_аналитики'!AY2450-'19_Расчет_аналитики'!AY2478)=0,19&lt;='01_Вводные'!$B$297),0,('19_Расчет_аналитики'!AY2450-'19_Расчет_аналитики'!AY2478)*IF('01_Вводные'!$B$239="Да",MeanMinAge19+'19_Расчет_аналитики'!AY2584*SUMIF(ThresholdAge19,"&lt;"&amp;'19_Расчет_аналитики'!AY2584,WeightedRevAge19)-SUMIF(ThresholdAge19,"&lt;"&amp;'19_Расчет_аналитики'!AY2584,WeightedMinAge19),MAX(CapacityAge19*'01_Вводные'!$B$218*'19_Расчет_аналитики'!AY2584,MeanMinAge19)))</f>
        <v/>
      </c>
      <c r="AZ2534">
        <f>IF(OR(('19_Расчет_аналитики'!AZ2450-'19_Расчет_аналитики'!AZ2478)=0,19&lt;='01_Вводные'!$B$297),0,('19_Расчет_аналитики'!AZ2450-'19_Расчет_аналитики'!AZ2478)*IF('01_Вводные'!$B$239="Да",MeanMinAge19+'19_Расчет_аналитики'!AZ2584*SUMIF(ThresholdAge19,"&lt;"&amp;'19_Расчет_аналитики'!AZ2584,WeightedRevAge19)-SUMIF(ThresholdAge19,"&lt;"&amp;'19_Расчет_аналитики'!AZ2584,WeightedMinAge19),MAX(CapacityAge19*'01_Вводные'!$B$218*'19_Расчет_аналитики'!AZ2584,MeanMinAge19)))</f>
        <v/>
      </c>
      <c r="BA2534">
        <f>IF(OR(('19_Расчет_аналитики'!BA2450-'19_Расчет_аналитики'!BA2478)=0,19&lt;='01_Вводные'!$B$297),0,('19_Расчет_аналитики'!BA2450-'19_Расчет_аналитики'!BA2478)*IF('01_Вводные'!$B$239="Да",MeanMinAge19+'19_Расчет_аналитики'!BA2584*SUMIF(ThresholdAge19,"&lt;"&amp;'19_Расчет_аналитики'!BA2584,WeightedRevAge19)-SUMIF(ThresholdAge19,"&lt;"&amp;'19_Расчет_аналитики'!BA2584,WeightedMinAge19),MAX(CapacityAge19*'01_Вводные'!$B$218*'19_Расчет_аналитики'!BA2584,MeanMinAge19)))</f>
        <v/>
      </c>
      <c r="BB2534">
        <f>IF(OR(('19_Расчет_аналитики'!BB2450-'19_Расчет_аналитики'!BB2478)=0,19&lt;='01_Вводные'!$B$297),0,('19_Расчет_аналитики'!BB2450-'19_Расчет_аналитики'!BB2478)*IF('01_Вводные'!$B$239="Да",MeanMinAge19+'19_Расчет_аналитики'!BB2584*SUMIF(ThresholdAge19,"&lt;"&amp;'19_Расчет_аналитики'!BB2584,WeightedRevAge19)-SUMIF(ThresholdAge19,"&lt;"&amp;'19_Расчет_аналитики'!BB2584,WeightedMinAge19),MAX(CapacityAge19*'01_Вводные'!$B$218*'19_Расчет_аналитики'!BB2584,MeanMinAge19)))</f>
        <v/>
      </c>
      <c r="BC2534">
        <f>IF(OR(('19_Расчет_аналитики'!BC2450-'19_Расчет_аналитики'!BC2478)=0,19&lt;='01_Вводные'!$B$297),0,('19_Расчет_аналитики'!BC2450-'19_Расчет_аналитики'!BC2478)*IF('01_Вводные'!$B$239="Да",MeanMinAge19+'19_Расчет_аналитики'!BC2584*SUMIF(ThresholdAge19,"&lt;"&amp;'19_Расчет_аналитики'!BC2584,WeightedRevAge19)-SUMIF(ThresholdAge19,"&lt;"&amp;'19_Расчет_аналитики'!BC2584,WeightedMinAge19),MAX(CapacityAge19*'01_Вводные'!$B$218*'19_Расчет_аналитики'!BC2584,MeanMinAge19)))</f>
        <v/>
      </c>
      <c r="BD2534">
        <f>IF(OR(('19_Расчет_аналитики'!BD2450-'19_Расчет_аналитики'!BD2478)=0,19&lt;='01_Вводные'!$B$297),0,('19_Расчет_аналитики'!BD2450-'19_Расчет_аналитики'!BD2478)*IF('01_Вводные'!$B$239="Да",MeanMinAge19+'19_Расчет_аналитики'!BD2584*SUMIF(ThresholdAge19,"&lt;"&amp;'19_Расчет_аналитики'!BD2584,WeightedRevAge19)-SUMIF(ThresholdAge19,"&lt;"&amp;'19_Расчет_аналитики'!BD2584,WeightedMinAge19),MAX(CapacityAge19*'01_Вводные'!$B$218*'19_Расчет_аналитики'!BD2584,MeanMinAge19)))</f>
        <v/>
      </c>
      <c r="BE2534">
        <f>IF(OR(('19_Расчет_аналитики'!BE2450-'19_Расчет_аналитики'!BE2478)=0,19&lt;='01_Вводные'!$B$297),0,('19_Расчет_аналитики'!BE2450-'19_Расчет_аналитики'!BE2478)*IF('01_Вводные'!$B$239="Да",MeanMinAge19+'19_Расчет_аналитики'!BE2584*SUMIF(ThresholdAge19,"&lt;"&amp;'19_Расчет_аналитики'!BE2584,WeightedRevAge19)-SUMIF(ThresholdAge19,"&lt;"&amp;'19_Расчет_аналитики'!BE2584,WeightedMinAge19),MAX(CapacityAge19*'01_Вводные'!$B$218*'19_Расчет_аналитики'!BE2584,MeanMinAge19)))</f>
        <v/>
      </c>
      <c r="BF2534">
        <f>IF(OR(('19_Расчет_аналитики'!BF2450-'19_Расчет_аналитики'!BF2478)=0,19&lt;='01_Вводные'!$B$297),0,('19_Расчет_аналитики'!BF2450-'19_Расчет_аналитики'!BF2478)*IF('01_Вводные'!$B$239="Да",MeanMinAge19+'19_Расчет_аналитики'!BF2584*SUMIF(ThresholdAge19,"&lt;"&amp;'19_Расчет_аналитики'!BF2584,WeightedRevAge19)-SUMIF(ThresholdAge19,"&lt;"&amp;'19_Расчет_аналитики'!BF2584,WeightedMinAge19),MAX(CapacityAge19*'01_Вводные'!$B$218*'19_Расчет_аналитики'!BF2584,MeanMinAge19)))</f>
        <v/>
      </c>
      <c r="BG2534">
        <f>IF(OR(('19_Расчет_аналитики'!BG2450-'19_Расчет_аналитики'!BG2478)=0,19&lt;='01_Вводные'!$B$297),0,('19_Расчет_аналитики'!BG2450-'19_Расчет_аналитики'!BG2478)*IF('01_Вводные'!$B$239="Да",MeanMinAge19+'19_Расчет_аналитики'!BG2584*SUMIF(ThresholdAge19,"&lt;"&amp;'19_Расчет_аналитики'!BG2584,WeightedRevAge19)-SUMIF(ThresholdAge19,"&lt;"&amp;'19_Расчет_аналитики'!BG2584,WeightedMinAge19),MAX(CapacityAge19*'01_Вводные'!$B$218*'19_Расчет_аналитики'!BG2584,MeanMinAge19)))</f>
        <v/>
      </c>
      <c r="BH2534">
        <f>IF(OR(('19_Расчет_аналитики'!BH2450-'19_Расчет_аналитики'!BH2478)=0,19&lt;='01_Вводные'!$B$297),0,('19_Расчет_аналитики'!BH2450-'19_Расчет_аналитики'!BH2478)*IF('01_Вводные'!$B$239="Да",MeanMinAge19+'19_Расчет_аналитики'!BH2584*SUMIF(ThresholdAge19,"&lt;"&amp;'19_Расчет_аналитики'!BH2584,WeightedRevAge19)-SUMIF(ThresholdAge19,"&lt;"&amp;'19_Расчет_аналитики'!BH2584,WeightedMinAge19),MAX(CapacityAge19*'01_Вводные'!$B$218*'19_Расчет_аналитики'!BH2584,MeanMinAge19)))</f>
        <v/>
      </c>
      <c r="BI2534">
        <f>IF(OR(('19_Расчет_аналитики'!BI2450-'19_Расчет_аналитики'!BI2478)=0,19&lt;='01_Вводные'!$B$297),0,('19_Расчет_аналитики'!BI2450-'19_Расчет_аналитики'!BI2478)*IF('01_Вводные'!$B$239="Да",MeanMinAge19+'19_Расчет_аналитики'!BI2584*SUMIF(ThresholdAge19,"&lt;"&amp;'19_Расчет_аналитики'!BI2584,WeightedRevAge19)-SUMIF(ThresholdAge19,"&lt;"&amp;'19_Расчет_аналитики'!BI2584,WeightedMinAge19),MAX(CapacityAge19*'01_Вводные'!$B$218*'19_Расчет_аналитики'!BI2584,MeanMinAge19)))</f>
        <v/>
      </c>
      <c r="BJ2534">
        <f>IF(OR(('19_Расчет_аналитики'!BJ2450-'19_Расчет_аналитики'!BJ2478)=0,19&lt;='01_Вводные'!$B$297),0,('19_Расчет_аналитики'!BJ2450-'19_Расчет_аналитики'!BJ2478)*IF('01_Вводные'!$B$239="Да",MeanMinAge19+'19_Расчет_аналитики'!BJ2584*SUMIF(ThresholdAge19,"&lt;"&amp;'19_Расчет_аналитики'!BJ2584,WeightedRevAge19)-SUMIF(ThresholdAge19,"&lt;"&amp;'19_Расчет_аналитики'!BJ2584,WeightedMinAge19),MAX(CapacityAge19*'01_Вводные'!$B$218*'19_Расчет_аналитики'!BJ2584,MeanMinAge19)))</f>
        <v/>
      </c>
      <c r="BK2534">
        <f>IF(OR(('19_Расчет_аналитики'!BK2450-'19_Расчет_аналитики'!BK2478)=0,19&lt;='01_Вводные'!$B$297),0,('19_Расчет_аналитики'!BK2450-'19_Расчет_аналитики'!BK2478)*IF('01_Вводные'!$B$239="Да",MeanMinAge19+'19_Расчет_аналитики'!BK2584*SUMIF(ThresholdAge19,"&lt;"&amp;'19_Расчет_аналитики'!BK2584,WeightedRevAge19)-SUMIF(ThresholdAge19,"&lt;"&amp;'19_Расчет_аналитики'!BK2584,WeightedMinAge19),MAX(CapacityAge19*'01_Вводные'!$B$218*'19_Расчет_аналитики'!BK2584,MeanMinAge19)))</f>
        <v/>
      </c>
      <c r="BL2534">
        <f>IF(OR(('19_Расчет_аналитики'!BL2450-'19_Расчет_аналитики'!BL2478)=0,19&lt;='01_Вводные'!$B$297),0,('19_Расчет_аналитики'!BL2450-'19_Расчет_аналитики'!BL2478)*IF('01_Вводные'!$B$239="Да",MeanMinAge19+'19_Расчет_аналитики'!BL2584*SUMIF(ThresholdAge19,"&lt;"&amp;'19_Расчет_аналитики'!BL2584,WeightedRevAge19)-SUMIF(ThresholdAge19,"&lt;"&amp;'19_Расчет_аналитики'!BL2584,WeightedMinAge19),MAX(CapacityAge19*'01_Вводные'!$B$218*'19_Расчет_аналитики'!BL2584,MeanMinAge19)))</f>
        <v/>
      </c>
      <c r="BM2534">
        <f>IF(OR(('19_Расчет_аналитики'!BM2450-'19_Расчет_аналитики'!BM2478)=0,19&lt;='01_Вводные'!$B$297),0,('19_Расчет_аналитики'!BM2450-'19_Расчет_аналитики'!BM2478)*IF('01_Вводные'!$B$239="Да",MeanMinAge19+'19_Расчет_аналитики'!BM2584*SUMIF(ThresholdAge19,"&lt;"&amp;'19_Расчет_аналитики'!BM2584,WeightedRevAge19)-SUMIF(ThresholdAge19,"&lt;"&amp;'19_Расчет_аналитики'!BM2584,WeightedMinAge19),MAX(CapacityAge19*'01_Вводные'!$B$218*'19_Расчет_аналитики'!BM2584,MeanMinAge19)))</f>
        <v/>
      </c>
      <c r="BN2534">
        <f>IF(OR(('19_Расчет_аналитики'!BN2450-'19_Расчет_аналитики'!BN2478)=0,19&lt;='01_Вводные'!$B$297),0,('19_Расчет_аналитики'!BN2450-'19_Расчет_аналитики'!BN2478)*IF('01_Вводные'!$B$239="Да",MeanMinAge19+'19_Расчет_аналитики'!BN2584*SUMIF(ThresholdAge19,"&lt;"&amp;'19_Расчет_аналитики'!BN2584,WeightedRevAge19)-SUMIF(ThresholdAge19,"&lt;"&amp;'19_Расчет_аналитики'!BN2584,WeightedMinAge19),MAX(CapacityAge19*'01_Вводные'!$B$218*'19_Расчет_аналитики'!BN2584,MeanMinAge19)))</f>
        <v/>
      </c>
      <c r="BO2534">
        <f>IF(OR(('19_Расчет_аналитики'!BO2450-'19_Расчет_аналитики'!BO2478)=0,19&lt;='01_Вводные'!$B$297),0,('19_Расчет_аналитики'!BO2450-'19_Расчет_аналитики'!BO2478)*IF('01_Вводные'!$B$239="Да",MeanMinAge19+'19_Расчет_аналитики'!BO2584*SUMIF(ThresholdAge19,"&lt;"&amp;'19_Расчет_аналитики'!BO2584,WeightedRevAge19)-SUMIF(ThresholdAge19,"&lt;"&amp;'19_Расчет_аналитики'!BO2584,WeightedMinAge19),MAX(CapacityAge19*'01_Вводные'!$B$218*'19_Расчет_аналитики'!BO2584,MeanMinAge19)))</f>
        <v/>
      </c>
    </row>
    <row r="2535">
      <c r="B2535">
        <f>IF(OR(('06_Сеть_и_дети'!B72-'06_Сеть_и_дети'!B100)=0,20&lt;='01_Вводные'!$B$297),0,('06_Сеть_и_дети'!B72-'06_Сеть_и_дети'!B100)*IF('01_Вводные'!$B$239="Да",MeanMinAge20+'19_Расчет_аналитики'!B2584*SUMIF(ThresholdAge20,"&lt;"&amp;'19_Расчет_аналитики'!B2584,WeightedRevAge20)-SUMIF(ThresholdAge20,"&lt;"&amp;'19_Расчет_аналитики'!B2584,WeightedMinAge20),MAX(CapacityAge20*'01_Вводные'!$B$218*'19_Расчет_аналитики'!B2584,MeanMinAge20)))</f>
        <v/>
      </c>
      <c r="C2535">
        <f>IF(OR(('06_Сеть_и_дети'!C72-'06_Сеть_и_дети'!C100)=0,20&lt;='01_Вводные'!$B$297),0,('06_Сеть_и_дети'!C72-'06_Сеть_и_дети'!C100)*IF('01_Вводные'!$B$239="Да",MeanMinAge20+'19_Расчет_аналитики'!C2584*SUMIF(ThresholdAge20,"&lt;"&amp;'19_Расчет_аналитики'!C2584,WeightedRevAge20)-SUMIF(ThresholdAge20,"&lt;"&amp;'19_Расчет_аналитики'!C2584,WeightedMinAge20),MAX(CapacityAge20*'01_Вводные'!$B$218*'19_Расчет_аналитики'!C2584,MeanMinAge20)))</f>
        <v/>
      </c>
      <c r="D2535">
        <f>IF(OR(('06_Сеть_и_дети'!D72-'06_Сеть_и_дети'!D100)=0,20&lt;='01_Вводные'!$B$297),0,('06_Сеть_и_дети'!D72-'06_Сеть_и_дети'!D100)*IF('01_Вводные'!$B$239="Да",MeanMinAge20+'19_Расчет_аналитики'!D2584*SUMIF(ThresholdAge20,"&lt;"&amp;'19_Расчет_аналитики'!D2584,WeightedRevAge20)-SUMIF(ThresholdAge20,"&lt;"&amp;'19_Расчет_аналитики'!D2584,WeightedMinAge20),MAX(CapacityAge20*'01_Вводные'!$B$218*'19_Расчет_аналитики'!D2584,MeanMinAge20)))</f>
        <v/>
      </c>
      <c r="E2535">
        <f>IF(OR(('06_Сеть_и_дети'!E72-'06_Сеть_и_дети'!E100)=0,20&lt;='01_Вводные'!$B$297),0,('06_Сеть_и_дети'!E72-'06_Сеть_и_дети'!E100)*IF('01_Вводные'!$B$239="Да",MeanMinAge20+'19_Расчет_аналитики'!E2584*SUMIF(ThresholdAge20,"&lt;"&amp;'19_Расчет_аналитики'!E2584,WeightedRevAge20)-SUMIF(ThresholdAge20,"&lt;"&amp;'19_Расчет_аналитики'!E2584,WeightedMinAge20),MAX(CapacityAge20*'01_Вводные'!$B$218*'19_Расчет_аналитики'!E2584,MeanMinAge20)))</f>
        <v/>
      </c>
      <c r="F2535">
        <f>IF(OR(('06_Сеть_и_дети'!F72-'06_Сеть_и_дети'!F100)=0,20&lt;='01_Вводные'!$B$297),0,('06_Сеть_и_дети'!F72-'06_Сеть_и_дети'!F100)*IF('01_Вводные'!$B$239="Да",MeanMinAge20+'19_Расчет_аналитики'!F2584*SUMIF(ThresholdAge20,"&lt;"&amp;'19_Расчет_аналитики'!F2584,WeightedRevAge20)-SUMIF(ThresholdAge20,"&lt;"&amp;'19_Расчет_аналитики'!F2584,WeightedMinAge20),MAX(CapacityAge20*'01_Вводные'!$B$218*'19_Расчет_аналитики'!F2584,MeanMinAge20)))</f>
        <v/>
      </c>
      <c r="G2535">
        <f>IF(OR(('06_Сеть_и_дети'!G72-'06_Сеть_и_дети'!G100)=0,20&lt;='01_Вводные'!$B$297),0,('06_Сеть_и_дети'!G72-'06_Сеть_и_дети'!G100)*IF('01_Вводные'!$B$239="Да",MeanMinAge20+'19_Расчет_аналитики'!G2584*SUMIF(ThresholdAge20,"&lt;"&amp;'19_Расчет_аналитики'!G2584,WeightedRevAge20)-SUMIF(ThresholdAge20,"&lt;"&amp;'19_Расчет_аналитики'!G2584,WeightedMinAge20),MAX(CapacityAge20*'01_Вводные'!$B$218*'19_Расчет_аналитики'!G2584,MeanMinAge20)))</f>
        <v/>
      </c>
      <c r="H2535">
        <f>IF(OR(('06_Сеть_и_дети'!H72-'06_Сеть_и_дети'!H100)=0,20&lt;='01_Вводные'!$B$297),0,('06_Сеть_и_дети'!H72-'06_Сеть_и_дети'!H100)*IF('01_Вводные'!$B$239="Да",MeanMinAge20+'19_Расчет_аналитики'!H2584*SUMIF(ThresholdAge20,"&lt;"&amp;'19_Расчет_аналитики'!H2584,WeightedRevAge20)-SUMIF(ThresholdAge20,"&lt;"&amp;'19_Расчет_аналитики'!H2584,WeightedMinAge20),MAX(CapacityAge20*'01_Вводные'!$B$218*'19_Расчет_аналитики'!H2584,MeanMinAge20)))</f>
        <v/>
      </c>
      <c r="I2535">
        <f>IF(OR(('06_Сеть_и_дети'!I72-'06_Сеть_и_дети'!I100)=0,20&lt;='01_Вводные'!$B$297),0,('06_Сеть_и_дети'!I72-'06_Сеть_и_дети'!I100)*IF('01_Вводные'!$B$239="Да",MeanMinAge20+'19_Расчет_аналитики'!I2584*SUMIF(ThresholdAge20,"&lt;"&amp;'19_Расчет_аналитики'!I2584,WeightedRevAge20)-SUMIF(ThresholdAge20,"&lt;"&amp;'19_Расчет_аналитики'!I2584,WeightedMinAge20),MAX(CapacityAge20*'01_Вводные'!$B$218*'19_Расчет_аналитики'!I2584,MeanMinAge20)))</f>
        <v/>
      </c>
      <c r="J2535">
        <f>IF(OR(('06_Сеть_и_дети'!J72-'06_Сеть_и_дети'!J100)=0,20&lt;='01_Вводные'!$B$297),0,('06_Сеть_и_дети'!J72-'06_Сеть_и_дети'!J100)*IF('01_Вводные'!$B$239="Да",MeanMinAge20+'19_Расчет_аналитики'!J2584*SUMIF(ThresholdAge20,"&lt;"&amp;'19_Расчет_аналитики'!J2584,WeightedRevAge20)-SUMIF(ThresholdAge20,"&lt;"&amp;'19_Расчет_аналитики'!J2584,WeightedMinAge20),MAX(CapacityAge20*'01_Вводные'!$B$218*'19_Расчет_аналитики'!J2584,MeanMinAge20)))</f>
        <v/>
      </c>
      <c r="K2535">
        <f>IF(OR(('06_Сеть_и_дети'!K72-'06_Сеть_и_дети'!K100)=0,20&lt;='01_Вводные'!$B$297),0,('06_Сеть_и_дети'!K72-'06_Сеть_и_дети'!K100)*IF('01_Вводные'!$B$239="Да",MeanMinAge20+'19_Расчет_аналитики'!K2584*SUMIF(ThresholdAge20,"&lt;"&amp;'19_Расчет_аналитики'!K2584,WeightedRevAge20)-SUMIF(ThresholdAge20,"&lt;"&amp;'19_Расчет_аналитики'!K2584,WeightedMinAge20),MAX(CapacityAge20*'01_Вводные'!$B$218*'19_Расчет_аналитики'!K2584,MeanMinAge20)))</f>
        <v/>
      </c>
      <c r="L2535">
        <f>IF(OR(('06_Сеть_и_дети'!L72-'06_Сеть_и_дети'!L100)=0,20&lt;='01_Вводные'!$B$297),0,('06_Сеть_и_дети'!L72-'06_Сеть_и_дети'!L100)*IF('01_Вводные'!$B$239="Да",MeanMinAge20+'19_Расчет_аналитики'!L2584*SUMIF(ThresholdAge20,"&lt;"&amp;'19_Расчет_аналитики'!L2584,WeightedRevAge20)-SUMIF(ThresholdAge20,"&lt;"&amp;'19_Расчет_аналитики'!L2584,WeightedMinAge20),MAX(CapacityAge20*'01_Вводные'!$B$218*'19_Расчет_аналитики'!L2584,MeanMinAge20)))</f>
        <v/>
      </c>
      <c r="M2535">
        <f>IF(OR(('06_Сеть_и_дети'!M72-'06_Сеть_и_дети'!M100)=0,20&lt;='01_Вводные'!$B$297),0,('06_Сеть_и_дети'!M72-'06_Сеть_и_дети'!M100)*IF('01_Вводные'!$B$239="Да",MeanMinAge20+'19_Расчет_аналитики'!M2584*SUMIF(ThresholdAge20,"&lt;"&amp;'19_Расчет_аналитики'!M2584,WeightedRevAge20)-SUMIF(ThresholdAge20,"&lt;"&amp;'19_Расчет_аналитики'!M2584,WeightedMinAge20),MAX(CapacityAge20*'01_Вводные'!$B$218*'19_Расчет_аналитики'!M2584,MeanMinAge20)))</f>
        <v/>
      </c>
      <c r="N2535">
        <f>IF(OR(('06_Сеть_и_дети'!N72-'06_Сеть_и_дети'!N100)=0,20&lt;='01_Вводные'!$B$297),0,('06_Сеть_и_дети'!N72-'06_Сеть_и_дети'!N100)*IF('01_Вводные'!$B$239="Да",MeanMinAge20+'19_Расчет_аналитики'!N2584*SUMIF(ThresholdAge20,"&lt;"&amp;'19_Расчет_аналитики'!N2584,WeightedRevAge20)-SUMIF(ThresholdAge20,"&lt;"&amp;'19_Расчет_аналитики'!N2584,WeightedMinAge20),MAX(CapacityAge20*'01_Вводные'!$B$218*'19_Расчет_аналитики'!N2584,MeanMinAge20)))</f>
        <v/>
      </c>
      <c r="O2535">
        <f>IF(OR(('06_Сеть_и_дети'!O72-'06_Сеть_и_дети'!O100)=0,20&lt;='01_Вводные'!$B$297),0,('06_Сеть_и_дети'!O72-'06_Сеть_и_дети'!O100)*IF('01_Вводные'!$B$239="Да",MeanMinAge20+'19_Расчет_аналитики'!O2584*SUMIF(ThresholdAge20,"&lt;"&amp;'19_Расчет_аналитики'!O2584,WeightedRevAge20)-SUMIF(ThresholdAge20,"&lt;"&amp;'19_Расчет_аналитики'!O2584,WeightedMinAge20),MAX(CapacityAge20*'01_Вводные'!$B$218*'19_Расчет_аналитики'!O2584,MeanMinAge20)))</f>
        <v/>
      </c>
      <c r="P2535">
        <f>IF(OR(('06_Сеть_и_дети'!P72-'06_Сеть_и_дети'!P100)=0,20&lt;='01_Вводные'!$B$297),0,('06_Сеть_и_дети'!P72-'06_Сеть_и_дети'!P100)*IF('01_Вводные'!$B$239="Да",MeanMinAge20+'19_Расчет_аналитики'!P2584*SUMIF(ThresholdAge20,"&lt;"&amp;'19_Расчет_аналитики'!P2584,WeightedRevAge20)-SUMIF(ThresholdAge20,"&lt;"&amp;'19_Расчет_аналитики'!P2584,WeightedMinAge20),MAX(CapacityAge20*'01_Вводные'!$B$218*'19_Расчет_аналитики'!P2584,MeanMinAge20)))</f>
        <v/>
      </c>
      <c r="Q2535">
        <f>IF(OR(('06_Сеть_и_дети'!Q72-'06_Сеть_и_дети'!Q100)=0,20&lt;='01_Вводные'!$B$297),0,('06_Сеть_и_дети'!Q72-'06_Сеть_и_дети'!Q100)*IF('01_Вводные'!$B$239="Да",MeanMinAge20+'19_Расчет_аналитики'!Q2584*SUMIF(ThresholdAge20,"&lt;"&amp;'19_Расчет_аналитики'!Q2584,WeightedRevAge20)-SUMIF(ThresholdAge20,"&lt;"&amp;'19_Расчет_аналитики'!Q2584,WeightedMinAge20),MAX(CapacityAge20*'01_Вводные'!$B$218*'19_Расчет_аналитики'!Q2584,MeanMinAge20)))</f>
        <v/>
      </c>
      <c r="R2535">
        <f>IF(OR(('06_Сеть_и_дети'!R72-'06_Сеть_и_дети'!R100)=0,20&lt;='01_Вводные'!$B$297),0,('06_Сеть_и_дети'!R72-'06_Сеть_и_дети'!R100)*IF('01_Вводные'!$B$239="Да",MeanMinAge20+'19_Расчет_аналитики'!R2584*SUMIF(ThresholdAge20,"&lt;"&amp;'19_Расчет_аналитики'!R2584,WeightedRevAge20)-SUMIF(ThresholdAge20,"&lt;"&amp;'19_Расчет_аналитики'!R2584,WeightedMinAge20),MAX(CapacityAge20*'01_Вводные'!$B$218*'19_Расчет_аналитики'!R2584,MeanMinAge20)))</f>
        <v/>
      </c>
      <c r="S2535">
        <f>IF(OR(('06_Сеть_и_дети'!S72-'06_Сеть_и_дети'!S100)=0,20&lt;='01_Вводные'!$B$297),0,('06_Сеть_и_дети'!S72-'06_Сеть_и_дети'!S100)*IF('01_Вводные'!$B$239="Да",MeanMinAge20+'19_Расчет_аналитики'!S2584*SUMIF(ThresholdAge20,"&lt;"&amp;'19_Расчет_аналитики'!S2584,WeightedRevAge20)-SUMIF(ThresholdAge20,"&lt;"&amp;'19_Расчет_аналитики'!S2584,WeightedMinAge20),MAX(CapacityAge20*'01_Вводные'!$B$218*'19_Расчет_аналитики'!S2584,MeanMinAge20)))</f>
        <v/>
      </c>
      <c r="T2535">
        <f>IF(OR(('06_Сеть_и_дети'!T72-'06_Сеть_и_дети'!T100)=0,20&lt;='01_Вводные'!$B$297),0,('06_Сеть_и_дети'!T72-'06_Сеть_и_дети'!T100)*IF('01_Вводные'!$B$239="Да",MeanMinAge20+'19_Расчет_аналитики'!T2584*SUMIF(ThresholdAge20,"&lt;"&amp;'19_Расчет_аналитики'!T2584,WeightedRevAge20)-SUMIF(ThresholdAge20,"&lt;"&amp;'19_Расчет_аналитики'!T2584,WeightedMinAge20),MAX(CapacityAge20*'01_Вводные'!$B$218*'19_Расчет_аналитики'!T2584,MeanMinAge20)))</f>
        <v/>
      </c>
      <c r="U2535">
        <f>IF(OR(('19_Расчет_аналитики'!U2451-'19_Расчет_аналитики'!U2479)=0,20&lt;='01_Вводные'!$B$297),0,('19_Расчет_аналитики'!U2451-'19_Расчет_аналитики'!U2479)*IF('01_Вводные'!$B$239="Да",MeanMinAge20+'19_Расчет_аналитики'!U2584*SUMIF(ThresholdAge20,"&lt;"&amp;'19_Расчет_аналитики'!U2584,WeightedRevAge20)-SUMIF(ThresholdAge20,"&lt;"&amp;'19_Расчет_аналитики'!U2584,WeightedMinAge20),MAX(CapacityAge20*'01_Вводные'!$B$218*'19_Расчет_аналитики'!U2584,MeanMinAge20)))</f>
        <v/>
      </c>
      <c r="V2535">
        <f>IF(OR(('19_Расчет_аналитики'!V2451-'19_Расчет_аналитики'!V2479)=0,20&lt;='01_Вводные'!$B$297),0,('19_Расчет_аналитики'!V2451-'19_Расчет_аналитики'!V2479)*IF('01_Вводные'!$B$239="Да",MeanMinAge20+'19_Расчет_аналитики'!V2584*SUMIF(ThresholdAge20,"&lt;"&amp;'19_Расчет_аналитики'!V2584,WeightedRevAge20)-SUMIF(ThresholdAge20,"&lt;"&amp;'19_Расчет_аналитики'!V2584,WeightedMinAge20),MAX(CapacityAge20*'01_Вводные'!$B$218*'19_Расчет_аналитики'!V2584,MeanMinAge20)))</f>
        <v/>
      </c>
      <c r="W2535">
        <f>IF(OR(('19_Расчет_аналитики'!W2451-'19_Расчет_аналитики'!W2479)=0,20&lt;='01_Вводные'!$B$297),0,('19_Расчет_аналитики'!W2451-'19_Расчет_аналитики'!W2479)*IF('01_Вводные'!$B$239="Да",MeanMinAge20+'19_Расчет_аналитики'!W2584*SUMIF(ThresholdAge20,"&lt;"&amp;'19_Расчет_аналитики'!W2584,WeightedRevAge20)-SUMIF(ThresholdAge20,"&lt;"&amp;'19_Расчет_аналитики'!W2584,WeightedMinAge20),MAX(CapacityAge20*'01_Вводные'!$B$218*'19_Расчет_аналитики'!W2584,MeanMinAge20)))</f>
        <v/>
      </c>
      <c r="X2535">
        <f>IF(OR(('19_Расчет_аналитики'!X2451-'19_Расчет_аналитики'!X2479)=0,20&lt;='01_Вводные'!$B$297),0,('19_Расчет_аналитики'!X2451-'19_Расчет_аналитики'!X2479)*IF('01_Вводные'!$B$239="Да",MeanMinAge20+'19_Расчет_аналитики'!X2584*SUMIF(ThresholdAge20,"&lt;"&amp;'19_Расчет_аналитики'!X2584,WeightedRevAge20)-SUMIF(ThresholdAge20,"&lt;"&amp;'19_Расчет_аналитики'!X2584,WeightedMinAge20),MAX(CapacityAge20*'01_Вводные'!$B$218*'19_Расчет_аналитики'!X2584,MeanMinAge20)))</f>
        <v/>
      </c>
      <c r="Y2535">
        <f>IF(OR(('19_Расчет_аналитики'!Y2451-'19_Расчет_аналитики'!Y2479)=0,20&lt;='01_Вводные'!$B$297),0,('19_Расчет_аналитики'!Y2451-'19_Расчет_аналитики'!Y2479)*IF('01_Вводные'!$B$239="Да",MeanMinAge20+'19_Расчет_аналитики'!Y2584*SUMIF(ThresholdAge20,"&lt;"&amp;'19_Расчет_аналитики'!Y2584,WeightedRevAge20)-SUMIF(ThresholdAge20,"&lt;"&amp;'19_Расчет_аналитики'!Y2584,WeightedMinAge20),MAX(CapacityAge20*'01_Вводные'!$B$218*'19_Расчет_аналитики'!Y2584,MeanMinAge20)))</f>
        <v/>
      </c>
      <c r="Z2535">
        <f>IF(OR(('19_Расчет_аналитики'!Z2451-'19_Расчет_аналитики'!Z2479)=0,20&lt;='01_Вводные'!$B$297),0,('19_Расчет_аналитики'!Z2451-'19_Расчет_аналитики'!Z2479)*IF('01_Вводные'!$B$239="Да",MeanMinAge20+'19_Расчет_аналитики'!Z2584*SUMIF(ThresholdAge20,"&lt;"&amp;'19_Расчет_аналитики'!Z2584,WeightedRevAge20)-SUMIF(ThresholdAge20,"&lt;"&amp;'19_Расчет_аналитики'!Z2584,WeightedMinAge20),MAX(CapacityAge20*'01_Вводные'!$B$218*'19_Расчет_аналитики'!Z2584,MeanMinAge20)))</f>
        <v/>
      </c>
      <c r="AA2535">
        <f>IF(OR(('19_Расчет_аналитики'!AA2451-'19_Расчет_аналитики'!AA2479)=0,20&lt;='01_Вводные'!$B$297),0,('19_Расчет_аналитики'!AA2451-'19_Расчет_аналитики'!AA2479)*IF('01_Вводные'!$B$239="Да",MeanMinAge20+'19_Расчет_аналитики'!AA2584*SUMIF(ThresholdAge20,"&lt;"&amp;'19_Расчет_аналитики'!AA2584,WeightedRevAge20)-SUMIF(ThresholdAge20,"&lt;"&amp;'19_Расчет_аналитики'!AA2584,WeightedMinAge20),MAX(CapacityAge20*'01_Вводные'!$B$218*'19_Расчет_аналитики'!AA2584,MeanMinAge20)))</f>
        <v/>
      </c>
      <c r="AB2535">
        <f>IF(OR(('19_Расчет_аналитики'!AB2451-'19_Расчет_аналитики'!AB2479)=0,20&lt;='01_Вводные'!$B$297),0,('19_Расчет_аналитики'!AB2451-'19_Расчет_аналитики'!AB2479)*IF('01_Вводные'!$B$239="Да",MeanMinAge20+'19_Расчет_аналитики'!AB2584*SUMIF(ThresholdAge20,"&lt;"&amp;'19_Расчет_аналитики'!AB2584,WeightedRevAge20)-SUMIF(ThresholdAge20,"&lt;"&amp;'19_Расчет_аналитики'!AB2584,WeightedMinAge20),MAX(CapacityAge20*'01_Вводные'!$B$218*'19_Расчет_аналитики'!AB2584,MeanMinAge20)))</f>
        <v/>
      </c>
      <c r="AC2535">
        <f>IF(OR(('19_Расчет_аналитики'!AC2451-'19_Расчет_аналитики'!AC2479)=0,20&lt;='01_Вводные'!$B$297),0,('19_Расчет_аналитики'!AC2451-'19_Расчет_аналитики'!AC2479)*IF('01_Вводные'!$B$239="Да",MeanMinAge20+'19_Расчет_аналитики'!AC2584*SUMIF(ThresholdAge20,"&lt;"&amp;'19_Расчет_аналитики'!AC2584,WeightedRevAge20)-SUMIF(ThresholdAge20,"&lt;"&amp;'19_Расчет_аналитики'!AC2584,WeightedMinAge20),MAX(CapacityAge20*'01_Вводные'!$B$218*'19_Расчет_аналитики'!AC2584,MeanMinAge20)))</f>
        <v/>
      </c>
      <c r="AD2535">
        <f>IF(OR(('19_Расчет_аналитики'!AD2451-'19_Расчет_аналитики'!AD2479)=0,20&lt;='01_Вводные'!$B$297),0,('19_Расчет_аналитики'!AD2451-'19_Расчет_аналитики'!AD2479)*IF('01_Вводные'!$B$239="Да",MeanMinAge20+'19_Расчет_аналитики'!AD2584*SUMIF(ThresholdAge20,"&lt;"&amp;'19_Расчет_аналитики'!AD2584,WeightedRevAge20)-SUMIF(ThresholdAge20,"&lt;"&amp;'19_Расчет_аналитики'!AD2584,WeightedMinAge20),MAX(CapacityAge20*'01_Вводные'!$B$218*'19_Расчет_аналитики'!AD2584,MeanMinAge20)))</f>
        <v/>
      </c>
      <c r="AE2535">
        <f>IF(OR(('19_Расчет_аналитики'!AE2451-'19_Расчет_аналитики'!AE2479)=0,20&lt;='01_Вводные'!$B$297),0,('19_Расчет_аналитики'!AE2451-'19_Расчет_аналитики'!AE2479)*IF('01_Вводные'!$B$239="Да",MeanMinAge20+'19_Расчет_аналитики'!AE2584*SUMIF(ThresholdAge20,"&lt;"&amp;'19_Расчет_аналитики'!AE2584,WeightedRevAge20)-SUMIF(ThresholdAge20,"&lt;"&amp;'19_Расчет_аналитики'!AE2584,WeightedMinAge20),MAX(CapacityAge20*'01_Вводные'!$B$218*'19_Расчет_аналитики'!AE2584,MeanMinAge20)))</f>
        <v/>
      </c>
      <c r="AF2535">
        <f>IF(OR(('19_Расчет_аналитики'!AF2451-'19_Расчет_аналитики'!AF2479)=0,20&lt;='01_Вводные'!$B$297),0,('19_Расчет_аналитики'!AF2451-'19_Расчет_аналитики'!AF2479)*IF('01_Вводные'!$B$239="Да",MeanMinAge20+'19_Расчет_аналитики'!AF2584*SUMIF(ThresholdAge20,"&lt;"&amp;'19_Расчет_аналитики'!AF2584,WeightedRevAge20)-SUMIF(ThresholdAge20,"&lt;"&amp;'19_Расчет_аналитики'!AF2584,WeightedMinAge20),MAX(CapacityAge20*'01_Вводные'!$B$218*'19_Расчет_аналитики'!AF2584,MeanMinAge20)))</f>
        <v/>
      </c>
      <c r="AG2535">
        <f>IF(OR(('19_Расчет_аналитики'!AG2451-'19_Расчет_аналитики'!AG2479)=0,20&lt;='01_Вводные'!$B$297),0,('19_Расчет_аналитики'!AG2451-'19_Расчет_аналитики'!AG2479)*IF('01_Вводные'!$B$239="Да",MeanMinAge20+'19_Расчет_аналитики'!AG2584*SUMIF(ThresholdAge20,"&lt;"&amp;'19_Расчет_аналитики'!AG2584,WeightedRevAge20)-SUMIF(ThresholdAge20,"&lt;"&amp;'19_Расчет_аналитики'!AG2584,WeightedMinAge20),MAX(CapacityAge20*'01_Вводные'!$B$218*'19_Расчет_аналитики'!AG2584,MeanMinAge20)))</f>
        <v/>
      </c>
      <c r="AH2535">
        <f>IF(OR(('19_Расчет_аналитики'!AH2451-'19_Расчет_аналитики'!AH2479)=0,20&lt;='01_Вводные'!$B$297),0,('19_Расчет_аналитики'!AH2451-'19_Расчет_аналитики'!AH2479)*IF('01_Вводные'!$B$239="Да",MeanMinAge20+'19_Расчет_аналитики'!AH2584*SUMIF(ThresholdAge20,"&lt;"&amp;'19_Расчет_аналитики'!AH2584,WeightedRevAge20)-SUMIF(ThresholdAge20,"&lt;"&amp;'19_Расчет_аналитики'!AH2584,WeightedMinAge20),MAX(CapacityAge20*'01_Вводные'!$B$218*'19_Расчет_аналитики'!AH2584,MeanMinAge20)))</f>
        <v/>
      </c>
      <c r="AI2535">
        <f>IF(OR(('19_Расчет_аналитики'!AI2451-'19_Расчет_аналитики'!AI2479)=0,20&lt;='01_Вводные'!$B$297),0,('19_Расчет_аналитики'!AI2451-'19_Расчет_аналитики'!AI2479)*IF('01_Вводные'!$B$239="Да",MeanMinAge20+'19_Расчет_аналитики'!AI2584*SUMIF(ThresholdAge20,"&lt;"&amp;'19_Расчет_аналитики'!AI2584,WeightedRevAge20)-SUMIF(ThresholdAge20,"&lt;"&amp;'19_Расчет_аналитики'!AI2584,WeightedMinAge20),MAX(CapacityAge20*'01_Вводные'!$B$218*'19_Расчет_аналитики'!AI2584,MeanMinAge20)))</f>
        <v/>
      </c>
      <c r="AJ2535">
        <f>IF(OR(('19_Расчет_аналитики'!AJ2451-'19_Расчет_аналитики'!AJ2479)=0,20&lt;='01_Вводные'!$B$297),0,('19_Расчет_аналитики'!AJ2451-'19_Расчет_аналитики'!AJ2479)*IF('01_Вводные'!$B$239="Да",MeanMinAge20+'19_Расчет_аналитики'!AJ2584*SUMIF(ThresholdAge20,"&lt;"&amp;'19_Расчет_аналитики'!AJ2584,WeightedRevAge20)-SUMIF(ThresholdAge20,"&lt;"&amp;'19_Расчет_аналитики'!AJ2584,WeightedMinAge20),MAX(CapacityAge20*'01_Вводные'!$B$218*'19_Расчет_аналитики'!AJ2584,MeanMinAge20)))</f>
        <v/>
      </c>
      <c r="AK2535">
        <f>IF(OR(('19_Расчет_аналитики'!AK2451-'19_Расчет_аналитики'!AK2479)=0,20&lt;='01_Вводные'!$B$297),0,('19_Расчет_аналитики'!AK2451-'19_Расчет_аналитики'!AK2479)*IF('01_Вводные'!$B$239="Да",MeanMinAge20+'19_Расчет_аналитики'!AK2584*SUMIF(ThresholdAge20,"&lt;"&amp;'19_Расчет_аналитики'!AK2584,WeightedRevAge20)-SUMIF(ThresholdAge20,"&lt;"&amp;'19_Расчет_аналитики'!AK2584,WeightedMinAge20),MAX(CapacityAge20*'01_Вводные'!$B$218*'19_Расчет_аналитики'!AK2584,MeanMinAge20)))</f>
        <v/>
      </c>
      <c r="AL2535">
        <f>IF(OR(('19_Расчет_аналитики'!AL2451-'19_Расчет_аналитики'!AL2479)=0,20&lt;='01_Вводные'!$B$297),0,('19_Расчет_аналитики'!AL2451-'19_Расчет_аналитики'!AL2479)*IF('01_Вводные'!$B$239="Да",MeanMinAge20+'19_Расчет_аналитики'!AL2584*SUMIF(ThresholdAge20,"&lt;"&amp;'19_Расчет_аналитики'!AL2584,WeightedRevAge20)-SUMIF(ThresholdAge20,"&lt;"&amp;'19_Расчет_аналитики'!AL2584,WeightedMinAge20),MAX(CapacityAge20*'01_Вводные'!$B$218*'19_Расчет_аналитики'!AL2584,MeanMinAge20)))</f>
        <v/>
      </c>
      <c r="AM2535">
        <f>IF(OR(('19_Расчет_аналитики'!AM2451-'19_Расчет_аналитики'!AM2479)=0,20&lt;='01_Вводные'!$B$297),0,('19_Расчет_аналитики'!AM2451-'19_Расчет_аналитики'!AM2479)*IF('01_Вводные'!$B$239="Да",MeanMinAge20+'19_Расчет_аналитики'!AM2584*SUMIF(ThresholdAge20,"&lt;"&amp;'19_Расчет_аналитики'!AM2584,WeightedRevAge20)-SUMIF(ThresholdAge20,"&lt;"&amp;'19_Расчет_аналитики'!AM2584,WeightedMinAge20),MAX(CapacityAge20*'01_Вводные'!$B$218*'19_Расчет_аналитики'!AM2584,MeanMinAge20)))</f>
        <v/>
      </c>
      <c r="AN2535">
        <f>IF(OR(('19_Расчет_аналитики'!AN2451-'19_Расчет_аналитики'!AN2479)=0,20&lt;='01_Вводные'!$B$297),0,('19_Расчет_аналитики'!AN2451-'19_Расчет_аналитики'!AN2479)*IF('01_Вводные'!$B$239="Да",MeanMinAge20+'19_Расчет_аналитики'!AN2584*SUMIF(ThresholdAge20,"&lt;"&amp;'19_Расчет_аналитики'!AN2584,WeightedRevAge20)-SUMIF(ThresholdAge20,"&lt;"&amp;'19_Расчет_аналитики'!AN2584,WeightedMinAge20),MAX(CapacityAge20*'01_Вводные'!$B$218*'19_Расчет_аналитики'!AN2584,MeanMinAge20)))</f>
        <v/>
      </c>
      <c r="AO2535">
        <f>IF(OR(('19_Расчет_аналитики'!AO2451-'19_Расчет_аналитики'!AO2479)=0,20&lt;='01_Вводные'!$B$297),0,('19_Расчет_аналитики'!AO2451-'19_Расчет_аналитики'!AO2479)*IF('01_Вводные'!$B$239="Да",MeanMinAge20+'19_Расчет_аналитики'!AO2584*SUMIF(ThresholdAge20,"&lt;"&amp;'19_Расчет_аналитики'!AO2584,WeightedRevAge20)-SUMIF(ThresholdAge20,"&lt;"&amp;'19_Расчет_аналитики'!AO2584,WeightedMinAge20),MAX(CapacityAge20*'01_Вводные'!$B$218*'19_Расчет_аналитики'!AO2584,MeanMinAge20)))</f>
        <v/>
      </c>
      <c r="AP2535">
        <f>IF(OR(('19_Расчет_аналитики'!AP2451-'19_Расчет_аналитики'!AP2479)=0,20&lt;='01_Вводные'!$B$297),0,('19_Расчет_аналитики'!AP2451-'19_Расчет_аналитики'!AP2479)*IF('01_Вводные'!$B$239="Да",MeanMinAge20+'19_Расчет_аналитики'!AP2584*SUMIF(ThresholdAge20,"&lt;"&amp;'19_Расчет_аналитики'!AP2584,WeightedRevAge20)-SUMIF(ThresholdAge20,"&lt;"&amp;'19_Расчет_аналитики'!AP2584,WeightedMinAge20),MAX(CapacityAge20*'01_Вводные'!$B$218*'19_Расчет_аналитики'!AP2584,MeanMinAge20)))</f>
        <v/>
      </c>
      <c r="AQ2535">
        <f>IF(OR(('19_Расчет_аналитики'!AQ2451-'19_Расчет_аналитики'!AQ2479)=0,20&lt;='01_Вводные'!$B$297),0,('19_Расчет_аналитики'!AQ2451-'19_Расчет_аналитики'!AQ2479)*IF('01_Вводные'!$B$239="Да",MeanMinAge20+'19_Расчет_аналитики'!AQ2584*SUMIF(ThresholdAge20,"&lt;"&amp;'19_Расчет_аналитики'!AQ2584,WeightedRevAge20)-SUMIF(ThresholdAge20,"&lt;"&amp;'19_Расчет_аналитики'!AQ2584,WeightedMinAge20),MAX(CapacityAge20*'01_Вводные'!$B$218*'19_Расчет_аналитики'!AQ2584,MeanMinAge20)))</f>
        <v/>
      </c>
      <c r="AR2535">
        <f>IF(OR(('19_Расчет_аналитики'!AR2451-'19_Расчет_аналитики'!AR2479)=0,20&lt;='01_Вводные'!$B$297),0,('19_Расчет_аналитики'!AR2451-'19_Расчет_аналитики'!AR2479)*IF('01_Вводные'!$B$239="Да",MeanMinAge20+'19_Расчет_аналитики'!AR2584*SUMIF(ThresholdAge20,"&lt;"&amp;'19_Расчет_аналитики'!AR2584,WeightedRevAge20)-SUMIF(ThresholdAge20,"&lt;"&amp;'19_Расчет_аналитики'!AR2584,WeightedMinAge20),MAX(CapacityAge20*'01_Вводные'!$B$218*'19_Расчет_аналитики'!AR2584,MeanMinAge20)))</f>
        <v/>
      </c>
      <c r="AS2535">
        <f>IF(OR(('19_Расчет_аналитики'!AS2451-'19_Расчет_аналитики'!AS2479)=0,20&lt;='01_Вводные'!$B$297),0,('19_Расчет_аналитики'!AS2451-'19_Расчет_аналитики'!AS2479)*IF('01_Вводные'!$B$239="Да",MeanMinAge20+'19_Расчет_аналитики'!AS2584*SUMIF(ThresholdAge20,"&lt;"&amp;'19_Расчет_аналитики'!AS2584,WeightedRevAge20)-SUMIF(ThresholdAge20,"&lt;"&amp;'19_Расчет_аналитики'!AS2584,WeightedMinAge20),MAX(CapacityAge20*'01_Вводные'!$B$218*'19_Расчет_аналитики'!AS2584,MeanMinAge20)))</f>
        <v/>
      </c>
      <c r="AT2535">
        <f>IF(OR(('19_Расчет_аналитики'!AT2451-'19_Расчет_аналитики'!AT2479)=0,20&lt;='01_Вводные'!$B$297),0,('19_Расчет_аналитики'!AT2451-'19_Расчет_аналитики'!AT2479)*IF('01_Вводные'!$B$239="Да",MeanMinAge20+'19_Расчет_аналитики'!AT2584*SUMIF(ThresholdAge20,"&lt;"&amp;'19_Расчет_аналитики'!AT2584,WeightedRevAge20)-SUMIF(ThresholdAge20,"&lt;"&amp;'19_Расчет_аналитики'!AT2584,WeightedMinAge20),MAX(CapacityAge20*'01_Вводные'!$B$218*'19_Расчет_аналитики'!AT2584,MeanMinAge20)))</f>
        <v/>
      </c>
      <c r="AU2535">
        <f>IF(OR(('19_Расчет_аналитики'!AU2451-'19_Расчет_аналитики'!AU2479)=0,20&lt;='01_Вводные'!$B$297),0,('19_Расчет_аналитики'!AU2451-'19_Расчет_аналитики'!AU2479)*IF('01_Вводные'!$B$239="Да",MeanMinAge20+'19_Расчет_аналитики'!AU2584*SUMIF(ThresholdAge20,"&lt;"&amp;'19_Расчет_аналитики'!AU2584,WeightedRevAge20)-SUMIF(ThresholdAge20,"&lt;"&amp;'19_Расчет_аналитики'!AU2584,WeightedMinAge20),MAX(CapacityAge20*'01_Вводные'!$B$218*'19_Расчет_аналитики'!AU2584,MeanMinAge20)))</f>
        <v/>
      </c>
      <c r="AV2535">
        <f>IF(OR(('19_Расчет_аналитики'!AV2451-'19_Расчет_аналитики'!AV2479)=0,20&lt;='01_Вводные'!$B$297),0,('19_Расчет_аналитики'!AV2451-'19_Расчет_аналитики'!AV2479)*IF('01_Вводные'!$B$239="Да",MeanMinAge20+'19_Расчет_аналитики'!AV2584*SUMIF(ThresholdAge20,"&lt;"&amp;'19_Расчет_аналитики'!AV2584,WeightedRevAge20)-SUMIF(ThresholdAge20,"&lt;"&amp;'19_Расчет_аналитики'!AV2584,WeightedMinAge20),MAX(CapacityAge20*'01_Вводные'!$B$218*'19_Расчет_аналитики'!AV2584,MeanMinAge20)))</f>
        <v/>
      </c>
      <c r="AW2535">
        <f>IF(OR(('19_Расчет_аналитики'!AW2451-'19_Расчет_аналитики'!AW2479)=0,20&lt;='01_Вводные'!$B$297),0,('19_Расчет_аналитики'!AW2451-'19_Расчет_аналитики'!AW2479)*IF('01_Вводные'!$B$239="Да",MeanMinAge20+'19_Расчет_аналитики'!AW2584*SUMIF(ThresholdAge20,"&lt;"&amp;'19_Расчет_аналитики'!AW2584,WeightedRevAge20)-SUMIF(ThresholdAge20,"&lt;"&amp;'19_Расчет_аналитики'!AW2584,WeightedMinAge20),MAX(CapacityAge20*'01_Вводные'!$B$218*'19_Расчет_аналитики'!AW2584,MeanMinAge20)))</f>
        <v/>
      </c>
      <c r="AX2535">
        <f>IF(OR(('19_Расчет_аналитики'!AX2451-'19_Расчет_аналитики'!AX2479)=0,20&lt;='01_Вводные'!$B$297),0,('19_Расчет_аналитики'!AX2451-'19_Расчет_аналитики'!AX2479)*IF('01_Вводные'!$B$239="Да",MeanMinAge20+'19_Расчет_аналитики'!AX2584*SUMIF(ThresholdAge20,"&lt;"&amp;'19_Расчет_аналитики'!AX2584,WeightedRevAge20)-SUMIF(ThresholdAge20,"&lt;"&amp;'19_Расчет_аналитики'!AX2584,WeightedMinAge20),MAX(CapacityAge20*'01_Вводные'!$B$218*'19_Расчет_аналитики'!AX2584,MeanMinAge20)))</f>
        <v/>
      </c>
      <c r="AY2535">
        <f>IF(OR(('19_Расчет_аналитики'!AY2451-'19_Расчет_аналитики'!AY2479)=0,20&lt;='01_Вводные'!$B$297),0,('19_Расчет_аналитики'!AY2451-'19_Расчет_аналитики'!AY2479)*IF('01_Вводные'!$B$239="Да",MeanMinAge20+'19_Расчет_аналитики'!AY2584*SUMIF(ThresholdAge20,"&lt;"&amp;'19_Расчет_аналитики'!AY2584,WeightedRevAge20)-SUMIF(ThresholdAge20,"&lt;"&amp;'19_Расчет_аналитики'!AY2584,WeightedMinAge20),MAX(CapacityAge20*'01_Вводные'!$B$218*'19_Расчет_аналитики'!AY2584,MeanMinAge20)))</f>
        <v/>
      </c>
      <c r="AZ2535">
        <f>IF(OR(('19_Расчет_аналитики'!AZ2451-'19_Расчет_аналитики'!AZ2479)=0,20&lt;='01_Вводные'!$B$297),0,('19_Расчет_аналитики'!AZ2451-'19_Расчет_аналитики'!AZ2479)*IF('01_Вводные'!$B$239="Да",MeanMinAge20+'19_Расчет_аналитики'!AZ2584*SUMIF(ThresholdAge20,"&lt;"&amp;'19_Расчет_аналитики'!AZ2584,WeightedRevAge20)-SUMIF(ThresholdAge20,"&lt;"&amp;'19_Расчет_аналитики'!AZ2584,WeightedMinAge20),MAX(CapacityAge20*'01_Вводные'!$B$218*'19_Расчет_аналитики'!AZ2584,MeanMinAge20)))</f>
        <v/>
      </c>
      <c r="BA2535">
        <f>IF(OR(('19_Расчет_аналитики'!BA2451-'19_Расчет_аналитики'!BA2479)=0,20&lt;='01_Вводные'!$B$297),0,('19_Расчет_аналитики'!BA2451-'19_Расчет_аналитики'!BA2479)*IF('01_Вводные'!$B$239="Да",MeanMinAge20+'19_Расчет_аналитики'!BA2584*SUMIF(ThresholdAge20,"&lt;"&amp;'19_Расчет_аналитики'!BA2584,WeightedRevAge20)-SUMIF(ThresholdAge20,"&lt;"&amp;'19_Расчет_аналитики'!BA2584,WeightedMinAge20),MAX(CapacityAge20*'01_Вводные'!$B$218*'19_Расчет_аналитики'!BA2584,MeanMinAge20)))</f>
        <v/>
      </c>
      <c r="BB2535">
        <f>IF(OR(('19_Расчет_аналитики'!BB2451-'19_Расчет_аналитики'!BB2479)=0,20&lt;='01_Вводные'!$B$297),0,('19_Расчет_аналитики'!BB2451-'19_Расчет_аналитики'!BB2479)*IF('01_Вводные'!$B$239="Да",MeanMinAge20+'19_Расчет_аналитики'!BB2584*SUMIF(ThresholdAge20,"&lt;"&amp;'19_Расчет_аналитики'!BB2584,WeightedRevAge20)-SUMIF(ThresholdAge20,"&lt;"&amp;'19_Расчет_аналитики'!BB2584,WeightedMinAge20),MAX(CapacityAge20*'01_Вводные'!$B$218*'19_Расчет_аналитики'!BB2584,MeanMinAge20)))</f>
        <v/>
      </c>
      <c r="BC2535">
        <f>IF(OR(('19_Расчет_аналитики'!BC2451-'19_Расчет_аналитики'!BC2479)=0,20&lt;='01_Вводные'!$B$297),0,('19_Расчет_аналитики'!BC2451-'19_Расчет_аналитики'!BC2479)*IF('01_Вводные'!$B$239="Да",MeanMinAge20+'19_Расчет_аналитики'!BC2584*SUMIF(ThresholdAge20,"&lt;"&amp;'19_Расчет_аналитики'!BC2584,WeightedRevAge20)-SUMIF(ThresholdAge20,"&lt;"&amp;'19_Расчет_аналитики'!BC2584,WeightedMinAge20),MAX(CapacityAge20*'01_Вводные'!$B$218*'19_Расчет_аналитики'!BC2584,MeanMinAge20)))</f>
        <v/>
      </c>
      <c r="BD2535">
        <f>IF(OR(('19_Расчет_аналитики'!BD2451-'19_Расчет_аналитики'!BD2479)=0,20&lt;='01_Вводные'!$B$297),0,('19_Расчет_аналитики'!BD2451-'19_Расчет_аналитики'!BD2479)*IF('01_Вводные'!$B$239="Да",MeanMinAge20+'19_Расчет_аналитики'!BD2584*SUMIF(ThresholdAge20,"&lt;"&amp;'19_Расчет_аналитики'!BD2584,WeightedRevAge20)-SUMIF(ThresholdAge20,"&lt;"&amp;'19_Расчет_аналитики'!BD2584,WeightedMinAge20),MAX(CapacityAge20*'01_Вводные'!$B$218*'19_Расчет_аналитики'!BD2584,MeanMinAge20)))</f>
        <v/>
      </c>
      <c r="BE2535">
        <f>IF(OR(('19_Расчет_аналитики'!BE2451-'19_Расчет_аналитики'!BE2479)=0,20&lt;='01_Вводные'!$B$297),0,('19_Расчет_аналитики'!BE2451-'19_Расчет_аналитики'!BE2479)*IF('01_Вводные'!$B$239="Да",MeanMinAge20+'19_Расчет_аналитики'!BE2584*SUMIF(ThresholdAge20,"&lt;"&amp;'19_Расчет_аналитики'!BE2584,WeightedRevAge20)-SUMIF(ThresholdAge20,"&lt;"&amp;'19_Расчет_аналитики'!BE2584,WeightedMinAge20),MAX(CapacityAge20*'01_Вводные'!$B$218*'19_Расчет_аналитики'!BE2584,MeanMinAge20)))</f>
        <v/>
      </c>
      <c r="BF2535">
        <f>IF(OR(('19_Расчет_аналитики'!BF2451-'19_Расчет_аналитики'!BF2479)=0,20&lt;='01_Вводные'!$B$297),0,('19_Расчет_аналитики'!BF2451-'19_Расчет_аналитики'!BF2479)*IF('01_Вводные'!$B$239="Да",MeanMinAge20+'19_Расчет_аналитики'!BF2584*SUMIF(ThresholdAge20,"&lt;"&amp;'19_Расчет_аналитики'!BF2584,WeightedRevAge20)-SUMIF(ThresholdAge20,"&lt;"&amp;'19_Расчет_аналитики'!BF2584,WeightedMinAge20),MAX(CapacityAge20*'01_Вводные'!$B$218*'19_Расчет_аналитики'!BF2584,MeanMinAge20)))</f>
        <v/>
      </c>
      <c r="BG2535">
        <f>IF(OR(('19_Расчет_аналитики'!BG2451-'19_Расчет_аналитики'!BG2479)=0,20&lt;='01_Вводные'!$B$297),0,('19_Расчет_аналитики'!BG2451-'19_Расчет_аналитики'!BG2479)*IF('01_Вводные'!$B$239="Да",MeanMinAge20+'19_Расчет_аналитики'!BG2584*SUMIF(ThresholdAge20,"&lt;"&amp;'19_Расчет_аналитики'!BG2584,WeightedRevAge20)-SUMIF(ThresholdAge20,"&lt;"&amp;'19_Расчет_аналитики'!BG2584,WeightedMinAge20),MAX(CapacityAge20*'01_Вводные'!$B$218*'19_Расчет_аналитики'!BG2584,MeanMinAge20)))</f>
        <v/>
      </c>
      <c r="BH2535">
        <f>IF(OR(('19_Расчет_аналитики'!BH2451-'19_Расчет_аналитики'!BH2479)=0,20&lt;='01_Вводные'!$B$297),0,('19_Расчет_аналитики'!BH2451-'19_Расчет_аналитики'!BH2479)*IF('01_Вводные'!$B$239="Да",MeanMinAge20+'19_Расчет_аналитики'!BH2584*SUMIF(ThresholdAge20,"&lt;"&amp;'19_Расчет_аналитики'!BH2584,WeightedRevAge20)-SUMIF(ThresholdAge20,"&lt;"&amp;'19_Расчет_аналитики'!BH2584,WeightedMinAge20),MAX(CapacityAge20*'01_Вводные'!$B$218*'19_Расчет_аналитики'!BH2584,MeanMinAge20)))</f>
        <v/>
      </c>
      <c r="BI2535">
        <f>IF(OR(('19_Расчет_аналитики'!BI2451-'19_Расчет_аналитики'!BI2479)=0,20&lt;='01_Вводные'!$B$297),0,('19_Расчет_аналитики'!BI2451-'19_Расчет_аналитики'!BI2479)*IF('01_Вводные'!$B$239="Да",MeanMinAge20+'19_Расчет_аналитики'!BI2584*SUMIF(ThresholdAge20,"&lt;"&amp;'19_Расчет_аналитики'!BI2584,WeightedRevAge20)-SUMIF(ThresholdAge20,"&lt;"&amp;'19_Расчет_аналитики'!BI2584,WeightedMinAge20),MAX(CapacityAge20*'01_Вводные'!$B$218*'19_Расчет_аналитики'!BI2584,MeanMinAge20)))</f>
        <v/>
      </c>
      <c r="BJ2535">
        <f>IF(OR(('19_Расчет_аналитики'!BJ2451-'19_Расчет_аналитики'!BJ2479)=0,20&lt;='01_Вводные'!$B$297),0,('19_Расчет_аналитики'!BJ2451-'19_Расчет_аналитики'!BJ2479)*IF('01_Вводные'!$B$239="Да",MeanMinAge20+'19_Расчет_аналитики'!BJ2584*SUMIF(ThresholdAge20,"&lt;"&amp;'19_Расчет_аналитики'!BJ2584,WeightedRevAge20)-SUMIF(ThresholdAge20,"&lt;"&amp;'19_Расчет_аналитики'!BJ2584,WeightedMinAge20),MAX(CapacityAge20*'01_Вводные'!$B$218*'19_Расчет_аналитики'!BJ2584,MeanMinAge20)))</f>
        <v/>
      </c>
      <c r="BK2535">
        <f>IF(OR(('19_Расчет_аналитики'!BK2451-'19_Расчет_аналитики'!BK2479)=0,20&lt;='01_Вводные'!$B$297),0,('19_Расчет_аналитики'!BK2451-'19_Расчет_аналитики'!BK2479)*IF('01_Вводные'!$B$239="Да",MeanMinAge20+'19_Расчет_аналитики'!BK2584*SUMIF(ThresholdAge20,"&lt;"&amp;'19_Расчет_аналитики'!BK2584,WeightedRevAge20)-SUMIF(ThresholdAge20,"&lt;"&amp;'19_Расчет_аналитики'!BK2584,WeightedMinAge20),MAX(CapacityAge20*'01_Вводные'!$B$218*'19_Расчет_аналитики'!BK2584,MeanMinAge20)))</f>
        <v/>
      </c>
      <c r="BL2535">
        <f>IF(OR(('19_Расчет_аналитики'!BL2451-'19_Расчет_аналитики'!BL2479)=0,20&lt;='01_Вводные'!$B$297),0,('19_Расчет_аналитики'!BL2451-'19_Расчет_аналитики'!BL2479)*IF('01_Вводные'!$B$239="Да",MeanMinAge20+'19_Расчет_аналитики'!BL2584*SUMIF(ThresholdAge20,"&lt;"&amp;'19_Расчет_аналитики'!BL2584,WeightedRevAge20)-SUMIF(ThresholdAge20,"&lt;"&amp;'19_Расчет_аналитики'!BL2584,WeightedMinAge20),MAX(CapacityAge20*'01_Вводные'!$B$218*'19_Расчет_аналитики'!BL2584,MeanMinAge20)))</f>
        <v/>
      </c>
      <c r="BM2535">
        <f>IF(OR(('19_Расчет_аналитики'!BM2451-'19_Расчет_аналитики'!BM2479)=0,20&lt;='01_Вводные'!$B$297),0,('19_Расчет_аналитики'!BM2451-'19_Расчет_аналитики'!BM2479)*IF('01_Вводные'!$B$239="Да",MeanMinAge20+'19_Расчет_аналитики'!BM2584*SUMIF(ThresholdAge20,"&lt;"&amp;'19_Расчет_аналитики'!BM2584,WeightedRevAge20)-SUMIF(ThresholdAge20,"&lt;"&amp;'19_Расчет_аналитики'!BM2584,WeightedMinAge20),MAX(CapacityAge20*'01_Вводные'!$B$218*'19_Расчет_аналитики'!BM2584,MeanMinAge20)))</f>
        <v/>
      </c>
      <c r="BN2535">
        <f>IF(OR(('19_Расчет_аналитики'!BN2451-'19_Расчет_аналитики'!BN2479)=0,20&lt;='01_Вводные'!$B$297),0,('19_Расчет_аналитики'!BN2451-'19_Расчет_аналитики'!BN2479)*IF('01_Вводные'!$B$239="Да",MeanMinAge20+'19_Расчет_аналитики'!BN2584*SUMIF(ThresholdAge20,"&lt;"&amp;'19_Расчет_аналитики'!BN2584,WeightedRevAge20)-SUMIF(ThresholdAge20,"&lt;"&amp;'19_Расчет_аналитики'!BN2584,WeightedMinAge20),MAX(CapacityAge20*'01_Вводные'!$B$218*'19_Расчет_аналитики'!BN2584,MeanMinAge20)))</f>
        <v/>
      </c>
      <c r="BO2535">
        <f>IF(OR(('19_Расчет_аналитики'!BO2451-'19_Расчет_аналитики'!BO2479)=0,20&lt;='01_Вводные'!$B$297),0,('19_Расчет_аналитики'!BO2451-'19_Расчет_аналитики'!BO2479)*IF('01_Вводные'!$B$239="Да",MeanMinAge20+'19_Расчет_аналитики'!BO2584*SUMIF(ThresholdAge20,"&lt;"&amp;'19_Расчет_аналитики'!BO2584,WeightedRevAge20)-SUMIF(ThresholdAge20,"&lt;"&amp;'19_Расчет_аналитики'!BO2584,WeightedMinAge20),MAX(CapacityAge20*'01_Вводные'!$B$218*'19_Расчет_аналитики'!BO2584,MeanMinAge20)))</f>
        <v/>
      </c>
    </row>
    <row r="2536">
      <c r="B2536">
        <f>IF(OR(('06_Сеть_и_дети'!B73-'06_Сеть_и_дети'!B101)=0,21&lt;='01_Вводные'!$B$297),0,('06_Сеть_и_дети'!B73-'06_Сеть_и_дети'!B101)*IF('01_Вводные'!$B$239="Да",MeanMinAge21+'19_Расчет_аналитики'!B2584*SUMIF(ThresholdAge21,"&lt;"&amp;'19_Расчет_аналитики'!B2584,WeightedRevAge21)-SUMIF(ThresholdAge21,"&lt;"&amp;'19_Расчет_аналитики'!B2584,WeightedMinAge21),MAX(CapacityAge21*'01_Вводные'!$B$218*'19_Расчет_аналитики'!B2584,MeanMinAge21)))</f>
        <v/>
      </c>
      <c r="C2536">
        <f>IF(OR(('06_Сеть_и_дети'!C73-'06_Сеть_и_дети'!C101)=0,21&lt;='01_Вводные'!$B$297),0,('06_Сеть_и_дети'!C73-'06_Сеть_и_дети'!C101)*IF('01_Вводные'!$B$239="Да",MeanMinAge21+'19_Расчет_аналитики'!C2584*SUMIF(ThresholdAge21,"&lt;"&amp;'19_Расчет_аналитики'!C2584,WeightedRevAge21)-SUMIF(ThresholdAge21,"&lt;"&amp;'19_Расчет_аналитики'!C2584,WeightedMinAge21),MAX(CapacityAge21*'01_Вводные'!$B$218*'19_Расчет_аналитики'!C2584,MeanMinAge21)))</f>
        <v/>
      </c>
      <c r="D2536">
        <f>IF(OR(('06_Сеть_и_дети'!D73-'06_Сеть_и_дети'!D101)=0,21&lt;='01_Вводные'!$B$297),0,('06_Сеть_и_дети'!D73-'06_Сеть_и_дети'!D101)*IF('01_Вводные'!$B$239="Да",MeanMinAge21+'19_Расчет_аналитики'!D2584*SUMIF(ThresholdAge21,"&lt;"&amp;'19_Расчет_аналитики'!D2584,WeightedRevAge21)-SUMIF(ThresholdAge21,"&lt;"&amp;'19_Расчет_аналитики'!D2584,WeightedMinAge21),MAX(CapacityAge21*'01_Вводные'!$B$218*'19_Расчет_аналитики'!D2584,MeanMinAge21)))</f>
        <v/>
      </c>
      <c r="E2536">
        <f>IF(OR(('06_Сеть_и_дети'!E73-'06_Сеть_и_дети'!E101)=0,21&lt;='01_Вводные'!$B$297),0,('06_Сеть_и_дети'!E73-'06_Сеть_и_дети'!E101)*IF('01_Вводные'!$B$239="Да",MeanMinAge21+'19_Расчет_аналитики'!E2584*SUMIF(ThresholdAge21,"&lt;"&amp;'19_Расчет_аналитики'!E2584,WeightedRevAge21)-SUMIF(ThresholdAge21,"&lt;"&amp;'19_Расчет_аналитики'!E2584,WeightedMinAge21),MAX(CapacityAge21*'01_Вводные'!$B$218*'19_Расчет_аналитики'!E2584,MeanMinAge21)))</f>
        <v/>
      </c>
      <c r="F2536">
        <f>IF(OR(('06_Сеть_и_дети'!F73-'06_Сеть_и_дети'!F101)=0,21&lt;='01_Вводные'!$B$297),0,('06_Сеть_и_дети'!F73-'06_Сеть_и_дети'!F101)*IF('01_Вводные'!$B$239="Да",MeanMinAge21+'19_Расчет_аналитики'!F2584*SUMIF(ThresholdAge21,"&lt;"&amp;'19_Расчет_аналитики'!F2584,WeightedRevAge21)-SUMIF(ThresholdAge21,"&lt;"&amp;'19_Расчет_аналитики'!F2584,WeightedMinAge21),MAX(CapacityAge21*'01_Вводные'!$B$218*'19_Расчет_аналитики'!F2584,MeanMinAge21)))</f>
        <v/>
      </c>
      <c r="G2536">
        <f>IF(OR(('06_Сеть_и_дети'!G73-'06_Сеть_и_дети'!G101)=0,21&lt;='01_Вводные'!$B$297),0,('06_Сеть_и_дети'!G73-'06_Сеть_и_дети'!G101)*IF('01_Вводные'!$B$239="Да",MeanMinAge21+'19_Расчет_аналитики'!G2584*SUMIF(ThresholdAge21,"&lt;"&amp;'19_Расчет_аналитики'!G2584,WeightedRevAge21)-SUMIF(ThresholdAge21,"&lt;"&amp;'19_Расчет_аналитики'!G2584,WeightedMinAge21),MAX(CapacityAge21*'01_Вводные'!$B$218*'19_Расчет_аналитики'!G2584,MeanMinAge21)))</f>
        <v/>
      </c>
      <c r="H2536">
        <f>IF(OR(('06_Сеть_и_дети'!H73-'06_Сеть_и_дети'!H101)=0,21&lt;='01_Вводные'!$B$297),0,('06_Сеть_и_дети'!H73-'06_Сеть_и_дети'!H101)*IF('01_Вводные'!$B$239="Да",MeanMinAge21+'19_Расчет_аналитики'!H2584*SUMIF(ThresholdAge21,"&lt;"&amp;'19_Расчет_аналитики'!H2584,WeightedRevAge21)-SUMIF(ThresholdAge21,"&lt;"&amp;'19_Расчет_аналитики'!H2584,WeightedMinAge21),MAX(CapacityAge21*'01_Вводные'!$B$218*'19_Расчет_аналитики'!H2584,MeanMinAge21)))</f>
        <v/>
      </c>
      <c r="I2536">
        <f>IF(OR(('06_Сеть_и_дети'!I73-'06_Сеть_и_дети'!I101)=0,21&lt;='01_Вводные'!$B$297),0,('06_Сеть_и_дети'!I73-'06_Сеть_и_дети'!I101)*IF('01_Вводные'!$B$239="Да",MeanMinAge21+'19_Расчет_аналитики'!I2584*SUMIF(ThresholdAge21,"&lt;"&amp;'19_Расчет_аналитики'!I2584,WeightedRevAge21)-SUMIF(ThresholdAge21,"&lt;"&amp;'19_Расчет_аналитики'!I2584,WeightedMinAge21),MAX(CapacityAge21*'01_Вводные'!$B$218*'19_Расчет_аналитики'!I2584,MeanMinAge21)))</f>
        <v/>
      </c>
      <c r="J2536">
        <f>IF(OR(('06_Сеть_и_дети'!J73-'06_Сеть_и_дети'!J101)=0,21&lt;='01_Вводные'!$B$297),0,('06_Сеть_и_дети'!J73-'06_Сеть_и_дети'!J101)*IF('01_Вводные'!$B$239="Да",MeanMinAge21+'19_Расчет_аналитики'!J2584*SUMIF(ThresholdAge21,"&lt;"&amp;'19_Расчет_аналитики'!J2584,WeightedRevAge21)-SUMIF(ThresholdAge21,"&lt;"&amp;'19_Расчет_аналитики'!J2584,WeightedMinAge21),MAX(CapacityAge21*'01_Вводные'!$B$218*'19_Расчет_аналитики'!J2584,MeanMinAge21)))</f>
        <v/>
      </c>
      <c r="K2536">
        <f>IF(OR(('06_Сеть_и_дети'!K73-'06_Сеть_и_дети'!K101)=0,21&lt;='01_Вводные'!$B$297),0,('06_Сеть_и_дети'!K73-'06_Сеть_и_дети'!K101)*IF('01_Вводные'!$B$239="Да",MeanMinAge21+'19_Расчет_аналитики'!K2584*SUMIF(ThresholdAge21,"&lt;"&amp;'19_Расчет_аналитики'!K2584,WeightedRevAge21)-SUMIF(ThresholdAge21,"&lt;"&amp;'19_Расчет_аналитики'!K2584,WeightedMinAge21),MAX(CapacityAge21*'01_Вводные'!$B$218*'19_Расчет_аналитики'!K2584,MeanMinAge21)))</f>
        <v/>
      </c>
      <c r="L2536">
        <f>IF(OR(('06_Сеть_и_дети'!L73-'06_Сеть_и_дети'!L101)=0,21&lt;='01_Вводные'!$B$297),0,('06_Сеть_и_дети'!L73-'06_Сеть_и_дети'!L101)*IF('01_Вводные'!$B$239="Да",MeanMinAge21+'19_Расчет_аналитики'!L2584*SUMIF(ThresholdAge21,"&lt;"&amp;'19_Расчет_аналитики'!L2584,WeightedRevAge21)-SUMIF(ThresholdAge21,"&lt;"&amp;'19_Расчет_аналитики'!L2584,WeightedMinAge21),MAX(CapacityAge21*'01_Вводные'!$B$218*'19_Расчет_аналитики'!L2584,MeanMinAge21)))</f>
        <v/>
      </c>
      <c r="M2536">
        <f>IF(OR(('06_Сеть_и_дети'!M73-'06_Сеть_и_дети'!M101)=0,21&lt;='01_Вводные'!$B$297),0,('06_Сеть_и_дети'!M73-'06_Сеть_и_дети'!M101)*IF('01_Вводные'!$B$239="Да",MeanMinAge21+'19_Расчет_аналитики'!M2584*SUMIF(ThresholdAge21,"&lt;"&amp;'19_Расчет_аналитики'!M2584,WeightedRevAge21)-SUMIF(ThresholdAge21,"&lt;"&amp;'19_Расчет_аналитики'!M2584,WeightedMinAge21),MAX(CapacityAge21*'01_Вводные'!$B$218*'19_Расчет_аналитики'!M2584,MeanMinAge21)))</f>
        <v/>
      </c>
      <c r="N2536">
        <f>IF(OR(('06_Сеть_и_дети'!N73-'06_Сеть_и_дети'!N101)=0,21&lt;='01_Вводные'!$B$297),0,('06_Сеть_и_дети'!N73-'06_Сеть_и_дети'!N101)*IF('01_Вводные'!$B$239="Да",MeanMinAge21+'19_Расчет_аналитики'!N2584*SUMIF(ThresholdAge21,"&lt;"&amp;'19_Расчет_аналитики'!N2584,WeightedRevAge21)-SUMIF(ThresholdAge21,"&lt;"&amp;'19_Расчет_аналитики'!N2584,WeightedMinAge21),MAX(CapacityAge21*'01_Вводные'!$B$218*'19_Расчет_аналитики'!N2584,MeanMinAge21)))</f>
        <v/>
      </c>
      <c r="O2536">
        <f>IF(OR(('06_Сеть_и_дети'!O73-'06_Сеть_и_дети'!O101)=0,21&lt;='01_Вводные'!$B$297),0,('06_Сеть_и_дети'!O73-'06_Сеть_и_дети'!O101)*IF('01_Вводные'!$B$239="Да",MeanMinAge21+'19_Расчет_аналитики'!O2584*SUMIF(ThresholdAge21,"&lt;"&amp;'19_Расчет_аналитики'!O2584,WeightedRevAge21)-SUMIF(ThresholdAge21,"&lt;"&amp;'19_Расчет_аналитики'!O2584,WeightedMinAge21),MAX(CapacityAge21*'01_Вводные'!$B$218*'19_Расчет_аналитики'!O2584,MeanMinAge21)))</f>
        <v/>
      </c>
      <c r="P2536">
        <f>IF(OR(('06_Сеть_и_дети'!P73-'06_Сеть_и_дети'!P101)=0,21&lt;='01_Вводные'!$B$297),0,('06_Сеть_и_дети'!P73-'06_Сеть_и_дети'!P101)*IF('01_Вводные'!$B$239="Да",MeanMinAge21+'19_Расчет_аналитики'!P2584*SUMIF(ThresholdAge21,"&lt;"&amp;'19_Расчет_аналитики'!P2584,WeightedRevAge21)-SUMIF(ThresholdAge21,"&lt;"&amp;'19_Расчет_аналитики'!P2584,WeightedMinAge21),MAX(CapacityAge21*'01_Вводные'!$B$218*'19_Расчет_аналитики'!P2584,MeanMinAge21)))</f>
        <v/>
      </c>
      <c r="Q2536">
        <f>IF(OR(('06_Сеть_и_дети'!Q73-'06_Сеть_и_дети'!Q101)=0,21&lt;='01_Вводные'!$B$297),0,('06_Сеть_и_дети'!Q73-'06_Сеть_и_дети'!Q101)*IF('01_Вводные'!$B$239="Да",MeanMinAge21+'19_Расчет_аналитики'!Q2584*SUMIF(ThresholdAge21,"&lt;"&amp;'19_Расчет_аналитики'!Q2584,WeightedRevAge21)-SUMIF(ThresholdAge21,"&lt;"&amp;'19_Расчет_аналитики'!Q2584,WeightedMinAge21),MAX(CapacityAge21*'01_Вводные'!$B$218*'19_Расчет_аналитики'!Q2584,MeanMinAge21)))</f>
        <v/>
      </c>
      <c r="R2536">
        <f>IF(OR(('06_Сеть_и_дети'!R73-'06_Сеть_и_дети'!R101)=0,21&lt;='01_Вводные'!$B$297),0,('06_Сеть_и_дети'!R73-'06_Сеть_и_дети'!R101)*IF('01_Вводные'!$B$239="Да",MeanMinAge21+'19_Расчет_аналитики'!R2584*SUMIF(ThresholdAge21,"&lt;"&amp;'19_Расчет_аналитики'!R2584,WeightedRevAge21)-SUMIF(ThresholdAge21,"&lt;"&amp;'19_Расчет_аналитики'!R2584,WeightedMinAge21),MAX(CapacityAge21*'01_Вводные'!$B$218*'19_Расчет_аналитики'!R2584,MeanMinAge21)))</f>
        <v/>
      </c>
      <c r="S2536">
        <f>IF(OR(('06_Сеть_и_дети'!S73-'06_Сеть_и_дети'!S101)=0,21&lt;='01_Вводные'!$B$297),0,('06_Сеть_и_дети'!S73-'06_Сеть_и_дети'!S101)*IF('01_Вводные'!$B$239="Да",MeanMinAge21+'19_Расчет_аналитики'!S2584*SUMIF(ThresholdAge21,"&lt;"&amp;'19_Расчет_аналитики'!S2584,WeightedRevAge21)-SUMIF(ThresholdAge21,"&lt;"&amp;'19_Расчет_аналитики'!S2584,WeightedMinAge21),MAX(CapacityAge21*'01_Вводные'!$B$218*'19_Расчет_аналитики'!S2584,MeanMinAge21)))</f>
        <v/>
      </c>
      <c r="T2536">
        <f>IF(OR(('06_Сеть_и_дети'!T73-'06_Сеть_и_дети'!T101)=0,21&lt;='01_Вводные'!$B$297),0,('06_Сеть_и_дети'!T73-'06_Сеть_и_дети'!T101)*IF('01_Вводные'!$B$239="Да",MeanMinAge21+'19_Расчет_аналитики'!T2584*SUMIF(ThresholdAge21,"&lt;"&amp;'19_Расчет_аналитики'!T2584,WeightedRevAge21)-SUMIF(ThresholdAge21,"&lt;"&amp;'19_Расчет_аналитики'!T2584,WeightedMinAge21),MAX(CapacityAge21*'01_Вводные'!$B$218*'19_Расчет_аналитики'!T2584,MeanMinAge21)))</f>
        <v/>
      </c>
      <c r="U2536">
        <f>IF(OR(('06_Сеть_и_дети'!U73-'06_Сеть_и_дети'!U101)=0,21&lt;='01_Вводные'!$B$297),0,('06_Сеть_и_дети'!U73-'06_Сеть_и_дети'!U101)*IF('01_Вводные'!$B$239="Да",MeanMinAge21+'19_Расчет_аналитики'!U2584*SUMIF(ThresholdAge21,"&lt;"&amp;'19_Расчет_аналитики'!U2584,WeightedRevAge21)-SUMIF(ThresholdAge21,"&lt;"&amp;'19_Расчет_аналитики'!U2584,WeightedMinAge21),MAX(CapacityAge21*'01_Вводные'!$B$218*'19_Расчет_аналитики'!U2584,MeanMinAge21)))</f>
        <v/>
      </c>
      <c r="V2536">
        <f>IF(OR(('19_Расчет_аналитики'!V2452-'19_Расчет_аналитики'!V2480)=0,21&lt;='01_Вводные'!$B$297),0,('19_Расчет_аналитики'!V2452-'19_Расчет_аналитики'!V2480)*IF('01_Вводные'!$B$239="Да",MeanMinAge21+'19_Расчет_аналитики'!V2584*SUMIF(ThresholdAge21,"&lt;"&amp;'19_Расчет_аналитики'!V2584,WeightedRevAge21)-SUMIF(ThresholdAge21,"&lt;"&amp;'19_Расчет_аналитики'!V2584,WeightedMinAge21),MAX(CapacityAge21*'01_Вводные'!$B$218*'19_Расчет_аналитики'!V2584,MeanMinAge21)))</f>
        <v/>
      </c>
      <c r="W2536">
        <f>IF(OR(('19_Расчет_аналитики'!W2452-'19_Расчет_аналитики'!W2480)=0,21&lt;='01_Вводные'!$B$297),0,('19_Расчет_аналитики'!W2452-'19_Расчет_аналитики'!W2480)*IF('01_Вводные'!$B$239="Да",MeanMinAge21+'19_Расчет_аналитики'!W2584*SUMIF(ThresholdAge21,"&lt;"&amp;'19_Расчет_аналитики'!W2584,WeightedRevAge21)-SUMIF(ThresholdAge21,"&lt;"&amp;'19_Расчет_аналитики'!W2584,WeightedMinAge21),MAX(CapacityAge21*'01_Вводные'!$B$218*'19_Расчет_аналитики'!W2584,MeanMinAge21)))</f>
        <v/>
      </c>
      <c r="X2536">
        <f>IF(OR(('19_Расчет_аналитики'!X2452-'19_Расчет_аналитики'!X2480)=0,21&lt;='01_Вводные'!$B$297),0,('19_Расчет_аналитики'!X2452-'19_Расчет_аналитики'!X2480)*IF('01_Вводные'!$B$239="Да",MeanMinAge21+'19_Расчет_аналитики'!X2584*SUMIF(ThresholdAge21,"&lt;"&amp;'19_Расчет_аналитики'!X2584,WeightedRevAge21)-SUMIF(ThresholdAge21,"&lt;"&amp;'19_Расчет_аналитики'!X2584,WeightedMinAge21),MAX(CapacityAge21*'01_Вводные'!$B$218*'19_Расчет_аналитики'!X2584,MeanMinAge21)))</f>
        <v/>
      </c>
      <c r="Y2536">
        <f>IF(OR(('19_Расчет_аналитики'!Y2452-'19_Расчет_аналитики'!Y2480)=0,21&lt;='01_Вводные'!$B$297),0,('19_Расчет_аналитики'!Y2452-'19_Расчет_аналитики'!Y2480)*IF('01_Вводные'!$B$239="Да",MeanMinAge21+'19_Расчет_аналитики'!Y2584*SUMIF(ThresholdAge21,"&lt;"&amp;'19_Расчет_аналитики'!Y2584,WeightedRevAge21)-SUMIF(ThresholdAge21,"&lt;"&amp;'19_Расчет_аналитики'!Y2584,WeightedMinAge21),MAX(CapacityAge21*'01_Вводные'!$B$218*'19_Расчет_аналитики'!Y2584,MeanMinAge21)))</f>
        <v/>
      </c>
      <c r="Z2536">
        <f>IF(OR(('19_Расчет_аналитики'!Z2452-'19_Расчет_аналитики'!Z2480)=0,21&lt;='01_Вводные'!$B$297),0,('19_Расчет_аналитики'!Z2452-'19_Расчет_аналитики'!Z2480)*IF('01_Вводные'!$B$239="Да",MeanMinAge21+'19_Расчет_аналитики'!Z2584*SUMIF(ThresholdAge21,"&lt;"&amp;'19_Расчет_аналитики'!Z2584,WeightedRevAge21)-SUMIF(ThresholdAge21,"&lt;"&amp;'19_Расчет_аналитики'!Z2584,WeightedMinAge21),MAX(CapacityAge21*'01_Вводные'!$B$218*'19_Расчет_аналитики'!Z2584,MeanMinAge21)))</f>
        <v/>
      </c>
      <c r="AA2536">
        <f>IF(OR(('19_Расчет_аналитики'!AA2452-'19_Расчет_аналитики'!AA2480)=0,21&lt;='01_Вводные'!$B$297),0,('19_Расчет_аналитики'!AA2452-'19_Расчет_аналитики'!AA2480)*IF('01_Вводные'!$B$239="Да",MeanMinAge21+'19_Расчет_аналитики'!AA2584*SUMIF(ThresholdAge21,"&lt;"&amp;'19_Расчет_аналитики'!AA2584,WeightedRevAge21)-SUMIF(ThresholdAge21,"&lt;"&amp;'19_Расчет_аналитики'!AA2584,WeightedMinAge21),MAX(CapacityAge21*'01_Вводные'!$B$218*'19_Расчет_аналитики'!AA2584,MeanMinAge21)))</f>
        <v/>
      </c>
      <c r="AB2536">
        <f>IF(OR(('19_Расчет_аналитики'!AB2452-'19_Расчет_аналитики'!AB2480)=0,21&lt;='01_Вводные'!$B$297),0,('19_Расчет_аналитики'!AB2452-'19_Расчет_аналитики'!AB2480)*IF('01_Вводные'!$B$239="Да",MeanMinAge21+'19_Расчет_аналитики'!AB2584*SUMIF(ThresholdAge21,"&lt;"&amp;'19_Расчет_аналитики'!AB2584,WeightedRevAge21)-SUMIF(ThresholdAge21,"&lt;"&amp;'19_Расчет_аналитики'!AB2584,WeightedMinAge21),MAX(CapacityAge21*'01_Вводные'!$B$218*'19_Расчет_аналитики'!AB2584,MeanMinAge21)))</f>
        <v/>
      </c>
      <c r="AC2536">
        <f>IF(OR(('19_Расчет_аналитики'!AC2452-'19_Расчет_аналитики'!AC2480)=0,21&lt;='01_Вводные'!$B$297),0,('19_Расчет_аналитики'!AC2452-'19_Расчет_аналитики'!AC2480)*IF('01_Вводные'!$B$239="Да",MeanMinAge21+'19_Расчет_аналитики'!AC2584*SUMIF(ThresholdAge21,"&lt;"&amp;'19_Расчет_аналитики'!AC2584,WeightedRevAge21)-SUMIF(ThresholdAge21,"&lt;"&amp;'19_Расчет_аналитики'!AC2584,WeightedMinAge21),MAX(CapacityAge21*'01_Вводные'!$B$218*'19_Расчет_аналитики'!AC2584,MeanMinAge21)))</f>
        <v/>
      </c>
      <c r="AD2536">
        <f>IF(OR(('19_Расчет_аналитики'!AD2452-'19_Расчет_аналитики'!AD2480)=0,21&lt;='01_Вводные'!$B$297),0,('19_Расчет_аналитики'!AD2452-'19_Расчет_аналитики'!AD2480)*IF('01_Вводные'!$B$239="Да",MeanMinAge21+'19_Расчет_аналитики'!AD2584*SUMIF(ThresholdAge21,"&lt;"&amp;'19_Расчет_аналитики'!AD2584,WeightedRevAge21)-SUMIF(ThresholdAge21,"&lt;"&amp;'19_Расчет_аналитики'!AD2584,WeightedMinAge21),MAX(CapacityAge21*'01_Вводные'!$B$218*'19_Расчет_аналитики'!AD2584,MeanMinAge21)))</f>
        <v/>
      </c>
      <c r="AE2536">
        <f>IF(OR(('19_Расчет_аналитики'!AE2452-'19_Расчет_аналитики'!AE2480)=0,21&lt;='01_Вводные'!$B$297),0,('19_Расчет_аналитики'!AE2452-'19_Расчет_аналитики'!AE2480)*IF('01_Вводные'!$B$239="Да",MeanMinAge21+'19_Расчет_аналитики'!AE2584*SUMIF(ThresholdAge21,"&lt;"&amp;'19_Расчет_аналитики'!AE2584,WeightedRevAge21)-SUMIF(ThresholdAge21,"&lt;"&amp;'19_Расчет_аналитики'!AE2584,WeightedMinAge21),MAX(CapacityAge21*'01_Вводные'!$B$218*'19_Расчет_аналитики'!AE2584,MeanMinAge21)))</f>
        <v/>
      </c>
      <c r="AF2536">
        <f>IF(OR(('19_Расчет_аналитики'!AF2452-'19_Расчет_аналитики'!AF2480)=0,21&lt;='01_Вводные'!$B$297),0,('19_Расчет_аналитики'!AF2452-'19_Расчет_аналитики'!AF2480)*IF('01_Вводные'!$B$239="Да",MeanMinAge21+'19_Расчет_аналитики'!AF2584*SUMIF(ThresholdAge21,"&lt;"&amp;'19_Расчет_аналитики'!AF2584,WeightedRevAge21)-SUMIF(ThresholdAge21,"&lt;"&amp;'19_Расчет_аналитики'!AF2584,WeightedMinAge21),MAX(CapacityAge21*'01_Вводные'!$B$218*'19_Расчет_аналитики'!AF2584,MeanMinAge21)))</f>
        <v/>
      </c>
      <c r="AG2536">
        <f>IF(OR(('19_Расчет_аналитики'!AG2452-'19_Расчет_аналитики'!AG2480)=0,21&lt;='01_Вводные'!$B$297),0,('19_Расчет_аналитики'!AG2452-'19_Расчет_аналитики'!AG2480)*IF('01_Вводные'!$B$239="Да",MeanMinAge21+'19_Расчет_аналитики'!AG2584*SUMIF(ThresholdAge21,"&lt;"&amp;'19_Расчет_аналитики'!AG2584,WeightedRevAge21)-SUMIF(ThresholdAge21,"&lt;"&amp;'19_Расчет_аналитики'!AG2584,WeightedMinAge21),MAX(CapacityAge21*'01_Вводные'!$B$218*'19_Расчет_аналитики'!AG2584,MeanMinAge21)))</f>
        <v/>
      </c>
      <c r="AH2536">
        <f>IF(OR(('19_Расчет_аналитики'!AH2452-'19_Расчет_аналитики'!AH2480)=0,21&lt;='01_Вводные'!$B$297),0,('19_Расчет_аналитики'!AH2452-'19_Расчет_аналитики'!AH2480)*IF('01_Вводные'!$B$239="Да",MeanMinAge21+'19_Расчет_аналитики'!AH2584*SUMIF(ThresholdAge21,"&lt;"&amp;'19_Расчет_аналитики'!AH2584,WeightedRevAge21)-SUMIF(ThresholdAge21,"&lt;"&amp;'19_Расчет_аналитики'!AH2584,WeightedMinAge21),MAX(CapacityAge21*'01_Вводные'!$B$218*'19_Расчет_аналитики'!AH2584,MeanMinAge21)))</f>
        <v/>
      </c>
      <c r="AI2536">
        <f>IF(OR(('19_Расчет_аналитики'!AI2452-'19_Расчет_аналитики'!AI2480)=0,21&lt;='01_Вводные'!$B$297),0,('19_Расчет_аналитики'!AI2452-'19_Расчет_аналитики'!AI2480)*IF('01_Вводные'!$B$239="Да",MeanMinAge21+'19_Расчет_аналитики'!AI2584*SUMIF(ThresholdAge21,"&lt;"&amp;'19_Расчет_аналитики'!AI2584,WeightedRevAge21)-SUMIF(ThresholdAge21,"&lt;"&amp;'19_Расчет_аналитики'!AI2584,WeightedMinAge21),MAX(CapacityAge21*'01_Вводные'!$B$218*'19_Расчет_аналитики'!AI2584,MeanMinAge21)))</f>
        <v/>
      </c>
      <c r="AJ2536">
        <f>IF(OR(('19_Расчет_аналитики'!AJ2452-'19_Расчет_аналитики'!AJ2480)=0,21&lt;='01_Вводные'!$B$297),0,('19_Расчет_аналитики'!AJ2452-'19_Расчет_аналитики'!AJ2480)*IF('01_Вводные'!$B$239="Да",MeanMinAge21+'19_Расчет_аналитики'!AJ2584*SUMIF(ThresholdAge21,"&lt;"&amp;'19_Расчет_аналитики'!AJ2584,WeightedRevAge21)-SUMIF(ThresholdAge21,"&lt;"&amp;'19_Расчет_аналитики'!AJ2584,WeightedMinAge21),MAX(CapacityAge21*'01_Вводные'!$B$218*'19_Расчет_аналитики'!AJ2584,MeanMinAge21)))</f>
        <v/>
      </c>
      <c r="AK2536">
        <f>IF(OR(('19_Расчет_аналитики'!AK2452-'19_Расчет_аналитики'!AK2480)=0,21&lt;='01_Вводные'!$B$297),0,('19_Расчет_аналитики'!AK2452-'19_Расчет_аналитики'!AK2480)*IF('01_Вводные'!$B$239="Да",MeanMinAge21+'19_Расчет_аналитики'!AK2584*SUMIF(ThresholdAge21,"&lt;"&amp;'19_Расчет_аналитики'!AK2584,WeightedRevAge21)-SUMIF(ThresholdAge21,"&lt;"&amp;'19_Расчет_аналитики'!AK2584,WeightedMinAge21),MAX(CapacityAge21*'01_Вводные'!$B$218*'19_Расчет_аналитики'!AK2584,MeanMinAge21)))</f>
        <v/>
      </c>
      <c r="AL2536">
        <f>IF(OR(('19_Расчет_аналитики'!AL2452-'19_Расчет_аналитики'!AL2480)=0,21&lt;='01_Вводные'!$B$297),0,('19_Расчет_аналитики'!AL2452-'19_Расчет_аналитики'!AL2480)*IF('01_Вводные'!$B$239="Да",MeanMinAge21+'19_Расчет_аналитики'!AL2584*SUMIF(ThresholdAge21,"&lt;"&amp;'19_Расчет_аналитики'!AL2584,WeightedRevAge21)-SUMIF(ThresholdAge21,"&lt;"&amp;'19_Расчет_аналитики'!AL2584,WeightedMinAge21),MAX(CapacityAge21*'01_Вводные'!$B$218*'19_Расчет_аналитики'!AL2584,MeanMinAge21)))</f>
        <v/>
      </c>
      <c r="AM2536">
        <f>IF(OR(('19_Расчет_аналитики'!AM2452-'19_Расчет_аналитики'!AM2480)=0,21&lt;='01_Вводные'!$B$297),0,('19_Расчет_аналитики'!AM2452-'19_Расчет_аналитики'!AM2480)*IF('01_Вводные'!$B$239="Да",MeanMinAge21+'19_Расчет_аналитики'!AM2584*SUMIF(ThresholdAge21,"&lt;"&amp;'19_Расчет_аналитики'!AM2584,WeightedRevAge21)-SUMIF(ThresholdAge21,"&lt;"&amp;'19_Расчет_аналитики'!AM2584,WeightedMinAge21),MAX(CapacityAge21*'01_Вводные'!$B$218*'19_Расчет_аналитики'!AM2584,MeanMinAge21)))</f>
        <v/>
      </c>
      <c r="AN2536">
        <f>IF(OR(('19_Расчет_аналитики'!AN2452-'19_Расчет_аналитики'!AN2480)=0,21&lt;='01_Вводные'!$B$297),0,('19_Расчет_аналитики'!AN2452-'19_Расчет_аналитики'!AN2480)*IF('01_Вводные'!$B$239="Да",MeanMinAge21+'19_Расчет_аналитики'!AN2584*SUMIF(ThresholdAge21,"&lt;"&amp;'19_Расчет_аналитики'!AN2584,WeightedRevAge21)-SUMIF(ThresholdAge21,"&lt;"&amp;'19_Расчет_аналитики'!AN2584,WeightedMinAge21),MAX(CapacityAge21*'01_Вводные'!$B$218*'19_Расчет_аналитики'!AN2584,MeanMinAge21)))</f>
        <v/>
      </c>
      <c r="AO2536">
        <f>IF(OR(('19_Расчет_аналитики'!AO2452-'19_Расчет_аналитики'!AO2480)=0,21&lt;='01_Вводные'!$B$297),0,('19_Расчет_аналитики'!AO2452-'19_Расчет_аналитики'!AO2480)*IF('01_Вводные'!$B$239="Да",MeanMinAge21+'19_Расчет_аналитики'!AO2584*SUMIF(ThresholdAge21,"&lt;"&amp;'19_Расчет_аналитики'!AO2584,WeightedRevAge21)-SUMIF(ThresholdAge21,"&lt;"&amp;'19_Расчет_аналитики'!AO2584,WeightedMinAge21),MAX(CapacityAge21*'01_Вводные'!$B$218*'19_Расчет_аналитики'!AO2584,MeanMinAge21)))</f>
        <v/>
      </c>
      <c r="AP2536">
        <f>IF(OR(('19_Расчет_аналитики'!AP2452-'19_Расчет_аналитики'!AP2480)=0,21&lt;='01_Вводные'!$B$297),0,('19_Расчет_аналитики'!AP2452-'19_Расчет_аналитики'!AP2480)*IF('01_Вводные'!$B$239="Да",MeanMinAge21+'19_Расчет_аналитики'!AP2584*SUMIF(ThresholdAge21,"&lt;"&amp;'19_Расчет_аналитики'!AP2584,WeightedRevAge21)-SUMIF(ThresholdAge21,"&lt;"&amp;'19_Расчет_аналитики'!AP2584,WeightedMinAge21),MAX(CapacityAge21*'01_Вводные'!$B$218*'19_Расчет_аналитики'!AP2584,MeanMinAge21)))</f>
        <v/>
      </c>
      <c r="AQ2536">
        <f>IF(OR(('19_Расчет_аналитики'!AQ2452-'19_Расчет_аналитики'!AQ2480)=0,21&lt;='01_Вводные'!$B$297),0,('19_Расчет_аналитики'!AQ2452-'19_Расчет_аналитики'!AQ2480)*IF('01_Вводные'!$B$239="Да",MeanMinAge21+'19_Расчет_аналитики'!AQ2584*SUMIF(ThresholdAge21,"&lt;"&amp;'19_Расчет_аналитики'!AQ2584,WeightedRevAge21)-SUMIF(ThresholdAge21,"&lt;"&amp;'19_Расчет_аналитики'!AQ2584,WeightedMinAge21),MAX(CapacityAge21*'01_Вводные'!$B$218*'19_Расчет_аналитики'!AQ2584,MeanMinAge21)))</f>
        <v/>
      </c>
      <c r="AR2536">
        <f>IF(OR(('19_Расчет_аналитики'!AR2452-'19_Расчет_аналитики'!AR2480)=0,21&lt;='01_Вводные'!$B$297),0,('19_Расчет_аналитики'!AR2452-'19_Расчет_аналитики'!AR2480)*IF('01_Вводные'!$B$239="Да",MeanMinAge21+'19_Расчет_аналитики'!AR2584*SUMIF(ThresholdAge21,"&lt;"&amp;'19_Расчет_аналитики'!AR2584,WeightedRevAge21)-SUMIF(ThresholdAge21,"&lt;"&amp;'19_Расчет_аналитики'!AR2584,WeightedMinAge21),MAX(CapacityAge21*'01_Вводные'!$B$218*'19_Расчет_аналитики'!AR2584,MeanMinAge21)))</f>
        <v/>
      </c>
      <c r="AS2536">
        <f>IF(OR(('19_Расчет_аналитики'!AS2452-'19_Расчет_аналитики'!AS2480)=0,21&lt;='01_Вводные'!$B$297),0,('19_Расчет_аналитики'!AS2452-'19_Расчет_аналитики'!AS2480)*IF('01_Вводные'!$B$239="Да",MeanMinAge21+'19_Расчет_аналитики'!AS2584*SUMIF(ThresholdAge21,"&lt;"&amp;'19_Расчет_аналитики'!AS2584,WeightedRevAge21)-SUMIF(ThresholdAge21,"&lt;"&amp;'19_Расчет_аналитики'!AS2584,WeightedMinAge21),MAX(CapacityAge21*'01_Вводные'!$B$218*'19_Расчет_аналитики'!AS2584,MeanMinAge21)))</f>
        <v/>
      </c>
      <c r="AT2536">
        <f>IF(OR(('19_Расчет_аналитики'!AT2452-'19_Расчет_аналитики'!AT2480)=0,21&lt;='01_Вводные'!$B$297),0,('19_Расчет_аналитики'!AT2452-'19_Расчет_аналитики'!AT2480)*IF('01_Вводные'!$B$239="Да",MeanMinAge21+'19_Расчет_аналитики'!AT2584*SUMIF(ThresholdAge21,"&lt;"&amp;'19_Расчет_аналитики'!AT2584,WeightedRevAge21)-SUMIF(ThresholdAge21,"&lt;"&amp;'19_Расчет_аналитики'!AT2584,WeightedMinAge21),MAX(CapacityAge21*'01_Вводные'!$B$218*'19_Расчет_аналитики'!AT2584,MeanMinAge21)))</f>
        <v/>
      </c>
      <c r="AU2536">
        <f>IF(OR(('19_Расчет_аналитики'!AU2452-'19_Расчет_аналитики'!AU2480)=0,21&lt;='01_Вводные'!$B$297),0,('19_Расчет_аналитики'!AU2452-'19_Расчет_аналитики'!AU2480)*IF('01_Вводные'!$B$239="Да",MeanMinAge21+'19_Расчет_аналитики'!AU2584*SUMIF(ThresholdAge21,"&lt;"&amp;'19_Расчет_аналитики'!AU2584,WeightedRevAge21)-SUMIF(ThresholdAge21,"&lt;"&amp;'19_Расчет_аналитики'!AU2584,WeightedMinAge21),MAX(CapacityAge21*'01_Вводные'!$B$218*'19_Расчет_аналитики'!AU2584,MeanMinAge21)))</f>
        <v/>
      </c>
      <c r="AV2536">
        <f>IF(OR(('19_Расчет_аналитики'!AV2452-'19_Расчет_аналитики'!AV2480)=0,21&lt;='01_Вводные'!$B$297),0,('19_Расчет_аналитики'!AV2452-'19_Расчет_аналитики'!AV2480)*IF('01_Вводные'!$B$239="Да",MeanMinAge21+'19_Расчет_аналитики'!AV2584*SUMIF(ThresholdAge21,"&lt;"&amp;'19_Расчет_аналитики'!AV2584,WeightedRevAge21)-SUMIF(ThresholdAge21,"&lt;"&amp;'19_Расчет_аналитики'!AV2584,WeightedMinAge21),MAX(CapacityAge21*'01_Вводные'!$B$218*'19_Расчет_аналитики'!AV2584,MeanMinAge21)))</f>
        <v/>
      </c>
      <c r="AW2536">
        <f>IF(OR(('19_Расчет_аналитики'!AW2452-'19_Расчет_аналитики'!AW2480)=0,21&lt;='01_Вводные'!$B$297),0,('19_Расчет_аналитики'!AW2452-'19_Расчет_аналитики'!AW2480)*IF('01_Вводные'!$B$239="Да",MeanMinAge21+'19_Расчет_аналитики'!AW2584*SUMIF(ThresholdAge21,"&lt;"&amp;'19_Расчет_аналитики'!AW2584,WeightedRevAge21)-SUMIF(ThresholdAge21,"&lt;"&amp;'19_Расчет_аналитики'!AW2584,WeightedMinAge21),MAX(CapacityAge21*'01_Вводные'!$B$218*'19_Расчет_аналитики'!AW2584,MeanMinAge21)))</f>
        <v/>
      </c>
      <c r="AX2536">
        <f>IF(OR(('19_Расчет_аналитики'!AX2452-'19_Расчет_аналитики'!AX2480)=0,21&lt;='01_Вводные'!$B$297),0,('19_Расчет_аналитики'!AX2452-'19_Расчет_аналитики'!AX2480)*IF('01_Вводные'!$B$239="Да",MeanMinAge21+'19_Расчет_аналитики'!AX2584*SUMIF(ThresholdAge21,"&lt;"&amp;'19_Расчет_аналитики'!AX2584,WeightedRevAge21)-SUMIF(ThresholdAge21,"&lt;"&amp;'19_Расчет_аналитики'!AX2584,WeightedMinAge21),MAX(CapacityAge21*'01_Вводные'!$B$218*'19_Расчет_аналитики'!AX2584,MeanMinAge21)))</f>
        <v/>
      </c>
      <c r="AY2536">
        <f>IF(OR(('19_Расчет_аналитики'!AY2452-'19_Расчет_аналитики'!AY2480)=0,21&lt;='01_Вводные'!$B$297),0,('19_Расчет_аналитики'!AY2452-'19_Расчет_аналитики'!AY2480)*IF('01_Вводные'!$B$239="Да",MeanMinAge21+'19_Расчет_аналитики'!AY2584*SUMIF(ThresholdAge21,"&lt;"&amp;'19_Расчет_аналитики'!AY2584,WeightedRevAge21)-SUMIF(ThresholdAge21,"&lt;"&amp;'19_Расчет_аналитики'!AY2584,WeightedMinAge21),MAX(CapacityAge21*'01_Вводные'!$B$218*'19_Расчет_аналитики'!AY2584,MeanMinAge21)))</f>
        <v/>
      </c>
      <c r="AZ2536">
        <f>IF(OR(('19_Расчет_аналитики'!AZ2452-'19_Расчет_аналитики'!AZ2480)=0,21&lt;='01_Вводные'!$B$297),0,('19_Расчет_аналитики'!AZ2452-'19_Расчет_аналитики'!AZ2480)*IF('01_Вводные'!$B$239="Да",MeanMinAge21+'19_Расчет_аналитики'!AZ2584*SUMIF(ThresholdAge21,"&lt;"&amp;'19_Расчет_аналитики'!AZ2584,WeightedRevAge21)-SUMIF(ThresholdAge21,"&lt;"&amp;'19_Расчет_аналитики'!AZ2584,WeightedMinAge21),MAX(CapacityAge21*'01_Вводные'!$B$218*'19_Расчет_аналитики'!AZ2584,MeanMinAge21)))</f>
        <v/>
      </c>
      <c r="BA2536">
        <f>IF(OR(('19_Расчет_аналитики'!BA2452-'19_Расчет_аналитики'!BA2480)=0,21&lt;='01_Вводные'!$B$297),0,('19_Расчет_аналитики'!BA2452-'19_Расчет_аналитики'!BA2480)*IF('01_Вводные'!$B$239="Да",MeanMinAge21+'19_Расчет_аналитики'!BA2584*SUMIF(ThresholdAge21,"&lt;"&amp;'19_Расчет_аналитики'!BA2584,WeightedRevAge21)-SUMIF(ThresholdAge21,"&lt;"&amp;'19_Расчет_аналитики'!BA2584,WeightedMinAge21),MAX(CapacityAge21*'01_Вводные'!$B$218*'19_Расчет_аналитики'!BA2584,MeanMinAge21)))</f>
        <v/>
      </c>
      <c r="BB2536">
        <f>IF(OR(('19_Расчет_аналитики'!BB2452-'19_Расчет_аналитики'!BB2480)=0,21&lt;='01_Вводные'!$B$297),0,('19_Расчет_аналитики'!BB2452-'19_Расчет_аналитики'!BB2480)*IF('01_Вводные'!$B$239="Да",MeanMinAge21+'19_Расчет_аналитики'!BB2584*SUMIF(ThresholdAge21,"&lt;"&amp;'19_Расчет_аналитики'!BB2584,WeightedRevAge21)-SUMIF(ThresholdAge21,"&lt;"&amp;'19_Расчет_аналитики'!BB2584,WeightedMinAge21),MAX(CapacityAge21*'01_Вводные'!$B$218*'19_Расчет_аналитики'!BB2584,MeanMinAge21)))</f>
        <v/>
      </c>
      <c r="BC2536">
        <f>IF(OR(('19_Расчет_аналитики'!BC2452-'19_Расчет_аналитики'!BC2480)=0,21&lt;='01_Вводные'!$B$297),0,('19_Расчет_аналитики'!BC2452-'19_Расчет_аналитики'!BC2480)*IF('01_Вводные'!$B$239="Да",MeanMinAge21+'19_Расчет_аналитики'!BC2584*SUMIF(ThresholdAge21,"&lt;"&amp;'19_Расчет_аналитики'!BC2584,WeightedRevAge21)-SUMIF(ThresholdAge21,"&lt;"&amp;'19_Расчет_аналитики'!BC2584,WeightedMinAge21),MAX(CapacityAge21*'01_Вводные'!$B$218*'19_Расчет_аналитики'!BC2584,MeanMinAge21)))</f>
        <v/>
      </c>
      <c r="BD2536">
        <f>IF(OR(('19_Расчет_аналитики'!BD2452-'19_Расчет_аналитики'!BD2480)=0,21&lt;='01_Вводные'!$B$297),0,('19_Расчет_аналитики'!BD2452-'19_Расчет_аналитики'!BD2480)*IF('01_Вводные'!$B$239="Да",MeanMinAge21+'19_Расчет_аналитики'!BD2584*SUMIF(ThresholdAge21,"&lt;"&amp;'19_Расчет_аналитики'!BD2584,WeightedRevAge21)-SUMIF(ThresholdAge21,"&lt;"&amp;'19_Расчет_аналитики'!BD2584,WeightedMinAge21),MAX(CapacityAge21*'01_Вводные'!$B$218*'19_Расчет_аналитики'!BD2584,MeanMinAge21)))</f>
        <v/>
      </c>
      <c r="BE2536">
        <f>IF(OR(('19_Расчет_аналитики'!BE2452-'19_Расчет_аналитики'!BE2480)=0,21&lt;='01_Вводные'!$B$297),0,('19_Расчет_аналитики'!BE2452-'19_Расчет_аналитики'!BE2480)*IF('01_Вводные'!$B$239="Да",MeanMinAge21+'19_Расчет_аналитики'!BE2584*SUMIF(ThresholdAge21,"&lt;"&amp;'19_Расчет_аналитики'!BE2584,WeightedRevAge21)-SUMIF(ThresholdAge21,"&lt;"&amp;'19_Расчет_аналитики'!BE2584,WeightedMinAge21),MAX(CapacityAge21*'01_Вводные'!$B$218*'19_Расчет_аналитики'!BE2584,MeanMinAge21)))</f>
        <v/>
      </c>
      <c r="BF2536">
        <f>IF(OR(('19_Расчет_аналитики'!BF2452-'19_Расчет_аналитики'!BF2480)=0,21&lt;='01_Вводные'!$B$297),0,('19_Расчет_аналитики'!BF2452-'19_Расчет_аналитики'!BF2480)*IF('01_Вводные'!$B$239="Да",MeanMinAge21+'19_Расчет_аналитики'!BF2584*SUMIF(ThresholdAge21,"&lt;"&amp;'19_Расчет_аналитики'!BF2584,WeightedRevAge21)-SUMIF(ThresholdAge21,"&lt;"&amp;'19_Расчет_аналитики'!BF2584,WeightedMinAge21),MAX(CapacityAge21*'01_Вводные'!$B$218*'19_Расчет_аналитики'!BF2584,MeanMinAge21)))</f>
        <v/>
      </c>
      <c r="BG2536">
        <f>IF(OR(('19_Расчет_аналитики'!BG2452-'19_Расчет_аналитики'!BG2480)=0,21&lt;='01_Вводные'!$B$297),0,('19_Расчет_аналитики'!BG2452-'19_Расчет_аналитики'!BG2480)*IF('01_Вводные'!$B$239="Да",MeanMinAge21+'19_Расчет_аналитики'!BG2584*SUMIF(ThresholdAge21,"&lt;"&amp;'19_Расчет_аналитики'!BG2584,WeightedRevAge21)-SUMIF(ThresholdAge21,"&lt;"&amp;'19_Расчет_аналитики'!BG2584,WeightedMinAge21),MAX(CapacityAge21*'01_Вводные'!$B$218*'19_Расчет_аналитики'!BG2584,MeanMinAge21)))</f>
        <v/>
      </c>
      <c r="BH2536">
        <f>IF(OR(('19_Расчет_аналитики'!BH2452-'19_Расчет_аналитики'!BH2480)=0,21&lt;='01_Вводные'!$B$297),0,('19_Расчет_аналитики'!BH2452-'19_Расчет_аналитики'!BH2480)*IF('01_Вводные'!$B$239="Да",MeanMinAge21+'19_Расчет_аналитики'!BH2584*SUMIF(ThresholdAge21,"&lt;"&amp;'19_Расчет_аналитики'!BH2584,WeightedRevAge21)-SUMIF(ThresholdAge21,"&lt;"&amp;'19_Расчет_аналитики'!BH2584,WeightedMinAge21),MAX(CapacityAge21*'01_Вводные'!$B$218*'19_Расчет_аналитики'!BH2584,MeanMinAge21)))</f>
        <v/>
      </c>
      <c r="BI2536">
        <f>IF(OR(('19_Расчет_аналитики'!BI2452-'19_Расчет_аналитики'!BI2480)=0,21&lt;='01_Вводные'!$B$297),0,('19_Расчет_аналитики'!BI2452-'19_Расчет_аналитики'!BI2480)*IF('01_Вводные'!$B$239="Да",MeanMinAge21+'19_Расчет_аналитики'!BI2584*SUMIF(ThresholdAge21,"&lt;"&amp;'19_Расчет_аналитики'!BI2584,WeightedRevAge21)-SUMIF(ThresholdAge21,"&lt;"&amp;'19_Расчет_аналитики'!BI2584,WeightedMinAge21),MAX(CapacityAge21*'01_Вводные'!$B$218*'19_Расчет_аналитики'!BI2584,MeanMinAge21)))</f>
        <v/>
      </c>
      <c r="BJ2536">
        <f>IF(OR(('19_Расчет_аналитики'!BJ2452-'19_Расчет_аналитики'!BJ2480)=0,21&lt;='01_Вводные'!$B$297),0,('19_Расчет_аналитики'!BJ2452-'19_Расчет_аналитики'!BJ2480)*IF('01_Вводные'!$B$239="Да",MeanMinAge21+'19_Расчет_аналитики'!BJ2584*SUMIF(ThresholdAge21,"&lt;"&amp;'19_Расчет_аналитики'!BJ2584,WeightedRevAge21)-SUMIF(ThresholdAge21,"&lt;"&amp;'19_Расчет_аналитики'!BJ2584,WeightedMinAge21),MAX(CapacityAge21*'01_Вводные'!$B$218*'19_Расчет_аналитики'!BJ2584,MeanMinAge21)))</f>
        <v/>
      </c>
      <c r="BK2536">
        <f>IF(OR(('19_Расчет_аналитики'!BK2452-'19_Расчет_аналитики'!BK2480)=0,21&lt;='01_Вводные'!$B$297),0,('19_Расчет_аналитики'!BK2452-'19_Расчет_аналитики'!BK2480)*IF('01_Вводные'!$B$239="Да",MeanMinAge21+'19_Расчет_аналитики'!BK2584*SUMIF(ThresholdAge21,"&lt;"&amp;'19_Расчет_аналитики'!BK2584,WeightedRevAge21)-SUMIF(ThresholdAge21,"&lt;"&amp;'19_Расчет_аналитики'!BK2584,WeightedMinAge21),MAX(CapacityAge21*'01_Вводные'!$B$218*'19_Расчет_аналитики'!BK2584,MeanMinAge21)))</f>
        <v/>
      </c>
      <c r="BL2536">
        <f>IF(OR(('19_Расчет_аналитики'!BL2452-'19_Расчет_аналитики'!BL2480)=0,21&lt;='01_Вводные'!$B$297),0,('19_Расчет_аналитики'!BL2452-'19_Расчет_аналитики'!BL2480)*IF('01_Вводные'!$B$239="Да",MeanMinAge21+'19_Расчет_аналитики'!BL2584*SUMIF(ThresholdAge21,"&lt;"&amp;'19_Расчет_аналитики'!BL2584,WeightedRevAge21)-SUMIF(ThresholdAge21,"&lt;"&amp;'19_Расчет_аналитики'!BL2584,WeightedMinAge21),MAX(CapacityAge21*'01_Вводные'!$B$218*'19_Расчет_аналитики'!BL2584,MeanMinAge21)))</f>
        <v/>
      </c>
      <c r="BM2536">
        <f>IF(OR(('19_Расчет_аналитики'!BM2452-'19_Расчет_аналитики'!BM2480)=0,21&lt;='01_Вводные'!$B$297),0,('19_Расчет_аналитики'!BM2452-'19_Расчет_аналитики'!BM2480)*IF('01_Вводные'!$B$239="Да",MeanMinAge21+'19_Расчет_аналитики'!BM2584*SUMIF(ThresholdAge21,"&lt;"&amp;'19_Расчет_аналитики'!BM2584,WeightedRevAge21)-SUMIF(ThresholdAge21,"&lt;"&amp;'19_Расчет_аналитики'!BM2584,WeightedMinAge21),MAX(CapacityAge21*'01_Вводные'!$B$218*'19_Расчет_аналитики'!BM2584,MeanMinAge21)))</f>
        <v/>
      </c>
      <c r="BN2536">
        <f>IF(OR(('19_Расчет_аналитики'!BN2452-'19_Расчет_аналитики'!BN2480)=0,21&lt;='01_Вводные'!$B$297),0,('19_Расчет_аналитики'!BN2452-'19_Расчет_аналитики'!BN2480)*IF('01_Вводные'!$B$239="Да",MeanMinAge21+'19_Расчет_аналитики'!BN2584*SUMIF(ThresholdAge21,"&lt;"&amp;'19_Расчет_аналитики'!BN2584,WeightedRevAge21)-SUMIF(ThresholdAge21,"&lt;"&amp;'19_Расчет_аналитики'!BN2584,WeightedMinAge21),MAX(CapacityAge21*'01_Вводные'!$B$218*'19_Расчет_аналитики'!BN2584,MeanMinAge21)))</f>
        <v/>
      </c>
      <c r="BO2536">
        <f>IF(OR(('19_Расчет_аналитики'!BO2452-'19_Расчет_аналитики'!BO2480)=0,21&lt;='01_Вводные'!$B$297),0,('19_Расчет_аналитики'!BO2452-'19_Расчет_аналитики'!BO2480)*IF('01_Вводные'!$B$239="Да",MeanMinAge21+'19_Расчет_аналитики'!BO2584*SUMIF(ThresholdAge21,"&lt;"&amp;'19_Расчет_аналитики'!BO2584,WeightedRevAge21)-SUMIF(ThresholdAge21,"&lt;"&amp;'19_Расчет_аналитики'!BO2584,WeightedMinAge21),MAX(CapacityAge21*'01_Вводные'!$B$218*'19_Расчет_аналитики'!BO2584,MeanMinAge21)))</f>
        <v/>
      </c>
    </row>
    <row r="2537">
      <c r="B2537">
        <f>IF(OR(('06_Сеть_и_дети'!B74-'06_Сеть_и_дети'!B102)=0,22&lt;='01_Вводные'!$B$297),0,('06_Сеть_и_дети'!B74-'06_Сеть_и_дети'!B102)*IF('01_Вводные'!$B$239="Да",MeanMinAge22+'19_Расчет_аналитики'!B2584*SUMIF(ThresholdAge22,"&lt;"&amp;'19_Расчет_аналитики'!B2584,WeightedRevAge22)-SUMIF(ThresholdAge22,"&lt;"&amp;'19_Расчет_аналитики'!B2584,WeightedMinAge22),MAX(CapacityAge22*'01_Вводные'!$B$218*'19_Расчет_аналитики'!B2584,MeanMinAge22)))</f>
        <v/>
      </c>
      <c r="C2537">
        <f>IF(OR(('06_Сеть_и_дети'!C74-'06_Сеть_и_дети'!C102)=0,22&lt;='01_Вводные'!$B$297),0,('06_Сеть_и_дети'!C74-'06_Сеть_и_дети'!C102)*IF('01_Вводные'!$B$239="Да",MeanMinAge22+'19_Расчет_аналитики'!C2584*SUMIF(ThresholdAge22,"&lt;"&amp;'19_Расчет_аналитики'!C2584,WeightedRevAge22)-SUMIF(ThresholdAge22,"&lt;"&amp;'19_Расчет_аналитики'!C2584,WeightedMinAge22),MAX(CapacityAge22*'01_Вводные'!$B$218*'19_Расчет_аналитики'!C2584,MeanMinAge22)))</f>
        <v/>
      </c>
      <c r="D2537">
        <f>IF(OR(('06_Сеть_и_дети'!D74-'06_Сеть_и_дети'!D102)=0,22&lt;='01_Вводные'!$B$297),0,('06_Сеть_и_дети'!D74-'06_Сеть_и_дети'!D102)*IF('01_Вводные'!$B$239="Да",MeanMinAge22+'19_Расчет_аналитики'!D2584*SUMIF(ThresholdAge22,"&lt;"&amp;'19_Расчет_аналитики'!D2584,WeightedRevAge22)-SUMIF(ThresholdAge22,"&lt;"&amp;'19_Расчет_аналитики'!D2584,WeightedMinAge22),MAX(CapacityAge22*'01_Вводные'!$B$218*'19_Расчет_аналитики'!D2584,MeanMinAge22)))</f>
        <v/>
      </c>
      <c r="E2537">
        <f>IF(OR(('06_Сеть_и_дети'!E74-'06_Сеть_и_дети'!E102)=0,22&lt;='01_Вводные'!$B$297),0,('06_Сеть_и_дети'!E74-'06_Сеть_и_дети'!E102)*IF('01_Вводные'!$B$239="Да",MeanMinAge22+'19_Расчет_аналитики'!E2584*SUMIF(ThresholdAge22,"&lt;"&amp;'19_Расчет_аналитики'!E2584,WeightedRevAge22)-SUMIF(ThresholdAge22,"&lt;"&amp;'19_Расчет_аналитики'!E2584,WeightedMinAge22),MAX(CapacityAge22*'01_Вводные'!$B$218*'19_Расчет_аналитики'!E2584,MeanMinAge22)))</f>
        <v/>
      </c>
      <c r="F2537">
        <f>IF(OR(('06_Сеть_и_дети'!F74-'06_Сеть_и_дети'!F102)=0,22&lt;='01_Вводные'!$B$297),0,('06_Сеть_и_дети'!F74-'06_Сеть_и_дети'!F102)*IF('01_Вводные'!$B$239="Да",MeanMinAge22+'19_Расчет_аналитики'!F2584*SUMIF(ThresholdAge22,"&lt;"&amp;'19_Расчет_аналитики'!F2584,WeightedRevAge22)-SUMIF(ThresholdAge22,"&lt;"&amp;'19_Расчет_аналитики'!F2584,WeightedMinAge22),MAX(CapacityAge22*'01_Вводные'!$B$218*'19_Расчет_аналитики'!F2584,MeanMinAge22)))</f>
        <v/>
      </c>
      <c r="G2537">
        <f>IF(OR(('06_Сеть_и_дети'!G74-'06_Сеть_и_дети'!G102)=0,22&lt;='01_Вводные'!$B$297),0,('06_Сеть_и_дети'!G74-'06_Сеть_и_дети'!G102)*IF('01_Вводные'!$B$239="Да",MeanMinAge22+'19_Расчет_аналитики'!G2584*SUMIF(ThresholdAge22,"&lt;"&amp;'19_Расчет_аналитики'!G2584,WeightedRevAge22)-SUMIF(ThresholdAge22,"&lt;"&amp;'19_Расчет_аналитики'!G2584,WeightedMinAge22),MAX(CapacityAge22*'01_Вводные'!$B$218*'19_Расчет_аналитики'!G2584,MeanMinAge22)))</f>
        <v/>
      </c>
      <c r="H2537">
        <f>IF(OR(('06_Сеть_и_дети'!H74-'06_Сеть_и_дети'!H102)=0,22&lt;='01_Вводные'!$B$297),0,('06_Сеть_и_дети'!H74-'06_Сеть_и_дети'!H102)*IF('01_Вводные'!$B$239="Да",MeanMinAge22+'19_Расчет_аналитики'!H2584*SUMIF(ThresholdAge22,"&lt;"&amp;'19_Расчет_аналитики'!H2584,WeightedRevAge22)-SUMIF(ThresholdAge22,"&lt;"&amp;'19_Расчет_аналитики'!H2584,WeightedMinAge22),MAX(CapacityAge22*'01_Вводные'!$B$218*'19_Расчет_аналитики'!H2584,MeanMinAge22)))</f>
        <v/>
      </c>
      <c r="I2537">
        <f>IF(OR(('06_Сеть_и_дети'!I74-'06_Сеть_и_дети'!I102)=0,22&lt;='01_Вводные'!$B$297),0,('06_Сеть_и_дети'!I74-'06_Сеть_и_дети'!I102)*IF('01_Вводные'!$B$239="Да",MeanMinAge22+'19_Расчет_аналитики'!I2584*SUMIF(ThresholdAge22,"&lt;"&amp;'19_Расчет_аналитики'!I2584,WeightedRevAge22)-SUMIF(ThresholdAge22,"&lt;"&amp;'19_Расчет_аналитики'!I2584,WeightedMinAge22),MAX(CapacityAge22*'01_Вводные'!$B$218*'19_Расчет_аналитики'!I2584,MeanMinAge22)))</f>
        <v/>
      </c>
      <c r="J2537">
        <f>IF(OR(('06_Сеть_и_дети'!J74-'06_Сеть_и_дети'!J102)=0,22&lt;='01_Вводные'!$B$297),0,('06_Сеть_и_дети'!J74-'06_Сеть_и_дети'!J102)*IF('01_Вводные'!$B$239="Да",MeanMinAge22+'19_Расчет_аналитики'!J2584*SUMIF(ThresholdAge22,"&lt;"&amp;'19_Расчет_аналитики'!J2584,WeightedRevAge22)-SUMIF(ThresholdAge22,"&lt;"&amp;'19_Расчет_аналитики'!J2584,WeightedMinAge22),MAX(CapacityAge22*'01_Вводные'!$B$218*'19_Расчет_аналитики'!J2584,MeanMinAge22)))</f>
        <v/>
      </c>
      <c r="K2537">
        <f>IF(OR(('06_Сеть_и_дети'!K74-'06_Сеть_и_дети'!K102)=0,22&lt;='01_Вводные'!$B$297),0,('06_Сеть_и_дети'!K74-'06_Сеть_и_дети'!K102)*IF('01_Вводные'!$B$239="Да",MeanMinAge22+'19_Расчет_аналитики'!K2584*SUMIF(ThresholdAge22,"&lt;"&amp;'19_Расчет_аналитики'!K2584,WeightedRevAge22)-SUMIF(ThresholdAge22,"&lt;"&amp;'19_Расчет_аналитики'!K2584,WeightedMinAge22),MAX(CapacityAge22*'01_Вводные'!$B$218*'19_Расчет_аналитики'!K2584,MeanMinAge22)))</f>
        <v/>
      </c>
      <c r="L2537">
        <f>IF(OR(('06_Сеть_и_дети'!L74-'06_Сеть_и_дети'!L102)=0,22&lt;='01_Вводные'!$B$297),0,('06_Сеть_и_дети'!L74-'06_Сеть_и_дети'!L102)*IF('01_Вводные'!$B$239="Да",MeanMinAge22+'19_Расчет_аналитики'!L2584*SUMIF(ThresholdAge22,"&lt;"&amp;'19_Расчет_аналитики'!L2584,WeightedRevAge22)-SUMIF(ThresholdAge22,"&lt;"&amp;'19_Расчет_аналитики'!L2584,WeightedMinAge22),MAX(CapacityAge22*'01_Вводные'!$B$218*'19_Расчет_аналитики'!L2584,MeanMinAge22)))</f>
        <v/>
      </c>
      <c r="M2537">
        <f>IF(OR(('06_Сеть_и_дети'!M74-'06_Сеть_и_дети'!M102)=0,22&lt;='01_Вводные'!$B$297),0,('06_Сеть_и_дети'!M74-'06_Сеть_и_дети'!M102)*IF('01_Вводные'!$B$239="Да",MeanMinAge22+'19_Расчет_аналитики'!M2584*SUMIF(ThresholdAge22,"&lt;"&amp;'19_Расчет_аналитики'!M2584,WeightedRevAge22)-SUMIF(ThresholdAge22,"&lt;"&amp;'19_Расчет_аналитики'!M2584,WeightedMinAge22),MAX(CapacityAge22*'01_Вводные'!$B$218*'19_Расчет_аналитики'!M2584,MeanMinAge22)))</f>
        <v/>
      </c>
      <c r="N2537">
        <f>IF(OR(('06_Сеть_и_дети'!N74-'06_Сеть_и_дети'!N102)=0,22&lt;='01_Вводные'!$B$297),0,('06_Сеть_и_дети'!N74-'06_Сеть_и_дети'!N102)*IF('01_Вводные'!$B$239="Да",MeanMinAge22+'19_Расчет_аналитики'!N2584*SUMIF(ThresholdAge22,"&lt;"&amp;'19_Расчет_аналитики'!N2584,WeightedRevAge22)-SUMIF(ThresholdAge22,"&lt;"&amp;'19_Расчет_аналитики'!N2584,WeightedMinAge22),MAX(CapacityAge22*'01_Вводные'!$B$218*'19_Расчет_аналитики'!N2584,MeanMinAge22)))</f>
        <v/>
      </c>
      <c r="O2537">
        <f>IF(OR(('06_Сеть_и_дети'!O74-'06_Сеть_и_дети'!O102)=0,22&lt;='01_Вводные'!$B$297),0,('06_Сеть_и_дети'!O74-'06_Сеть_и_дети'!O102)*IF('01_Вводные'!$B$239="Да",MeanMinAge22+'19_Расчет_аналитики'!O2584*SUMIF(ThresholdAge22,"&lt;"&amp;'19_Расчет_аналитики'!O2584,WeightedRevAge22)-SUMIF(ThresholdAge22,"&lt;"&amp;'19_Расчет_аналитики'!O2584,WeightedMinAge22),MAX(CapacityAge22*'01_Вводные'!$B$218*'19_Расчет_аналитики'!O2584,MeanMinAge22)))</f>
        <v/>
      </c>
      <c r="P2537">
        <f>IF(OR(('06_Сеть_и_дети'!P74-'06_Сеть_и_дети'!P102)=0,22&lt;='01_Вводные'!$B$297),0,('06_Сеть_и_дети'!P74-'06_Сеть_и_дети'!P102)*IF('01_Вводные'!$B$239="Да",MeanMinAge22+'19_Расчет_аналитики'!P2584*SUMIF(ThresholdAge22,"&lt;"&amp;'19_Расчет_аналитики'!P2584,WeightedRevAge22)-SUMIF(ThresholdAge22,"&lt;"&amp;'19_Расчет_аналитики'!P2584,WeightedMinAge22),MAX(CapacityAge22*'01_Вводные'!$B$218*'19_Расчет_аналитики'!P2584,MeanMinAge22)))</f>
        <v/>
      </c>
      <c r="Q2537">
        <f>IF(OR(('06_Сеть_и_дети'!Q74-'06_Сеть_и_дети'!Q102)=0,22&lt;='01_Вводные'!$B$297),0,('06_Сеть_и_дети'!Q74-'06_Сеть_и_дети'!Q102)*IF('01_Вводные'!$B$239="Да",MeanMinAge22+'19_Расчет_аналитики'!Q2584*SUMIF(ThresholdAge22,"&lt;"&amp;'19_Расчет_аналитики'!Q2584,WeightedRevAge22)-SUMIF(ThresholdAge22,"&lt;"&amp;'19_Расчет_аналитики'!Q2584,WeightedMinAge22),MAX(CapacityAge22*'01_Вводные'!$B$218*'19_Расчет_аналитики'!Q2584,MeanMinAge22)))</f>
        <v/>
      </c>
      <c r="R2537">
        <f>IF(OR(('06_Сеть_и_дети'!R74-'06_Сеть_и_дети'!R102)=0,22&lt;='01_Вводные'!$B$297),0,('06_Сеть_и_дети'!R74-'06_Сеть_и_дети'!R102)*IF('01_Вводные'!$B$239="Да",MeanMinAge22+'19_Расчет_аналитики'!R2584*SUMIF(ThresholdAge22,"&lt;"&amp;'19_Расчет_аналитики'!R2584,WeightedRevAge22)-SUMIF(ThresholdAge22,"&lt;"&amp;'19_Расчет_аналитики'!R2584,WeightedMinAge22),MAX(CapacityAge22*'01_Вводные'!$B$218*'19_Расчет_аналитики'!R2584,MeanMinAge22)))</f>
        <v/>
      </c>
      <c r="S2537">
        <f>IF(OR(('06_Сеть_и_дети'!S74-'06_Сеть_и_дети'!S102)=0,22&lt;='01_Вводные'!$B$297),0,('06_Сеть_и_дети'!S74-'06_Сеть_и_дети'!S102)*IF('01_Вводные'!$B$239="Да",MeanMinAge22+'19_Расчет_аналитики'!S2584*SUMIF(ThresholdAge22,"&lt;"&amp;'19_Расчет_аналитики'!S2584,WeightedRevAge22)-SUMIF(ThresholdAge22,"&lt;"&amp;'19_Расчет_аналитики'!S2584,WeightedMinAge22),MAX(CapacityAge22*'01_Вводные'!$B$218*'19_Расчет_аналитики'!S2584,MeanMinAge22)))</f>
        <v/>
      </c>
      <c r="T2537">
        <f>IF(OR(('06_Сеть_и_дети'!T74-'06_Сеть_и_дети'!T102)=0,22&lt;='01_Вводные'!$B$297),0,('06_Сеть_и_дети'!T74-'06_Сеть_и_дети'!T102)*IF('01_Вводные'!$B$239="Да",MeanMinAge22+'19_Расчет_аналитики'!T2584*SUMIF(ThresholdAge22,"&lt;"&amp;'19_Расчет_аналитики'!T2584,WeightedRevAge22)-SUMIF(ThresholdAge22,"&lt;"&amp;'19_Расчет_аналитики'!T2584,WeightedMinAge22),MAX(CapacityAge22*'01_Вводные'!$B$218*'19_Расчет_аналитики'!T2584,MeanMinAge22)))</f>
        <v/>
      </c>
      <c r="U2537">
        <f>IF(OR(('06_Сеть_и_дети'!U74-'06_Сеть_и_дети'!U102)=0,22&lt;='01_Вводные'!$B$297),0,('06_Сеть_и_дети'!U74-'06_Сеть_и_дети'!U102)*IF('01_Вводные'!$B$239="Да",MeanMinAge22+'19_Расчет_аналитики'!U2584*SUMIF(ThresholdAge22,"&lt;"&amp;'19_Расчет_аналитики'!U2584,WeightedRevAge22)-SUMIF(ThresholdAge22,"&lt;"&amp;'19_Расчет_аналитики'!U2584,WeightedMinAge22),MAX(CapacityAge22*'01_Вводные'!$B$218*'19_Расчет_аналитики'!U2584,MeanMinAge22)))</f>
        <v/>
      </c>
      <c r="V2537">
        <f>IF(OR(('06_Сеть_и_дети'!V74-'06_Сеть_и_дети'!V102)=0,22&lt;='01_Вводные'!$B$297),0,('06_Сеть_и_дети'!V74-'06_Сеть_и_дети'!V102)*IF('01_Вводные'!$B$239="Да",MeanMinAge22+'19_Расчет_аналитики'!V2584*SUMIF(ThresholdAge22,"&lt;"&amp;'19_Расчет_аналитики'!V2584,WeightedRevAge22)-SUMIF(ThresholdAge22,"&lt;"&amp;'19_Расчет_аналитики'!V2584,WeightedMinAge22),MAX(CapacityAge22*'01_Вводные'!$B$218*'19_Расчет_аналитики'!V2584,MeanMinAge22)))</f>
        <v/>
      </c>
      <c r="W2537">
        <f>IF(OR(('19_Расчет_аналитики'!W2453-'19_Расчет_аналитики'!W2481)=0,22&lt;='01_Вводные'!$B$297),0,('19_Расчет_аналитики'!W2453-'19_Расчет_аналитики'!W2481)*IF('01_Вводные'!$B$239="Да",MeanMinAge22+'19_Расчет_аналитики'!W2584*SUMIF(ThresholdAge22,"&lt;"&amp;'19_Расчет_аналитики'!W2584,WeightedRevAge22)-SUMIF(ThresholdAge22,"&lt;"&amp;'19_Расчет_аналитики'!W2584,WeightedMinAge22),MAX(CapacityAge22*'01_Вводные'!$B$218*'19_Расчет_аналитики'!W2584,MeanMinAge22)))</f>
        <v/>
      </c>
      <c r="X2537">
        <f>IF(OR(('19_Расчет_аналитики'!X2453-'19_Расчет_аналитики'!X2481)=0,22&lt;='01_Вводные'!$B$297),0,('19_Расчет_аналитики'!X2453-'19_Расчет_аналитики'!X2481)*IF('01_Вводные'!$B$239="Да",MeanMinAge22+'19_Расчет_аналитики'!X2584*SUMIF(ThresholdAge22,"&lt;"&amp;'19_Расчет_аналитики'!X2584,WeightedRevAge22)-SUMIF(ThresholdAge22,"&lt;"&amp;'19_Расчет_аналитики'!X2584,WeightedMinAge22),MAX(CapacityAge22*'01_Вводные'!$B$218*'19_Расчет_аналитики'!X2584,MeanMinAge22)))</f>
        <v/>
      </c>
      <c r="Y2537">
        <f>IF(OR(('19_Расчет_аналитики'!Y2453-'19_Расчет_аналитики'!Y2481)=0,22&lt;='01_Вводные'!$B$297),0,('19_Расчет_аналитики'!Y2453-'19_Расчет_аналитики'!Y2481)*IF('01_Вводные'!$B$239="Да",MeanMinAge22+'19_Расчет_аналитики'!Y2584*SUMIF(ThresholdAge22,"&lt;"&amp;'19_Расчет_аналитики'!Y2584,WeightedRevAge22)-SUMIF(ThresholdAge22,"&lt;"&amp;'19_Расчет_аналитики'!Y2584,WeightedMinAge22),MAX(CapacityAge22*'01_Вводные'!$B$218*'19_Расчет_аналитики'!Y2584,MeanMinAge22)))</f>
        <v/>
      </c>
      <c r="Z2537">
        <f>IF(OR(('19_Расчет_аналитики'!Z2453-'19_Расчет_аналитики'!Z2481)=0,22&lt;='01_Вводные'!$B$297),0,('19_Расчет_аналитики'!Z2453-'19_Расчет_аналитики'!Z2481)*IF('01_Вводные'!$B$239="Да",MeanMinAge22+'19_Расчет_аналитики'!Z2584*SUMIF(ThresholdAge22,"&lt;"&amp;'19_Расчет_аналитики'!Z2584,WeightedRevAge22)-SUMIF(ThresholdAge22,"&lt;"&amp;'19_Расчет_аналитики'!Z2584,WeightedMinAge22),MAX(CapacityAge22*'01_Вводные'!$B$218*'19_Расчет_аналитики'!Z2584,MeanMinAge22)))</f>
        <v/>
      </c>
      <c r="AA2537">
        <f>IF(OR(('19_Расчет_аналитики'!AA2453-'19_Расчет_аналитики'!AA2481)=0,22&lt;='01_Вводные'!$B$297),0,('19_Расчет_аналитики'!AA2453-'19_Расчет_аналитики'!AA2481)*IF('01_Вводные'!$B$239="Да",MeanMinAge22+'19_Расчет_аналитики'!AA2584*SUMIF(ThresholdAge22,"&lt;"&amp;'19_Расчет_аналитики'!AA2584,WeightedRevAge22)-SUMIF(ThresholdAge22,"&lt;"&amp;'19_Расчет_аналитики'!AA2584,WeightedMinAge22),MAX(CapacityAge22*'01_Вводные'!$B$218*'19_Расчет_аналитики'!AA2584,MeanMinAge22)))</f>
        <v/>
      </c>
      <c r="AB2537">
        <f>IF(OR(('19_Расчет_аналитики'!AB2453-'19_Расчет_аналитики'!AB2481)=0,22&lt;='01_Вводные'!$B$297),0,('19_Расчет_аналитики'!AB2453-'19_Расчет_аналитики'!AB2481)*IF('01_Вводные'!$B$239="Да",MeanMinAge22+'19_Расчет_аналитики'!AB2584*SUMIF(ThresholdAge22,"&lt;"&amp;'19_Расчет_аналитики'!AB2584,WeightedRevAge22)-SUMIF(ThresholdAge22,"&lt;"&amp;'19_Расчет_аналитики'!AB2584,WeightedMinAge22),MAX(CapacityAge22*'01_Вводные'!$B$218*'19_Расчет_аналитики'!AB2584,MeanMinAge22)))</f>
        <v/>
      </c>
      <c r="AC2537">
        <f>IF(OR(('19_Расчет_аналитики'!AC2453-'19_Расчет_аналитики'!AC2481)=0,22&lt;='01_Вводные'!$B$297),0,('19_Расчет_аналитики'!AC2453-'19_Расчет_аналитики'!AC2481)*IF('01_Вводные'!$B$239="Да",MeanMinAge22+'19_Расчет_аналитики'!AC2584*SUMIF(ThresholdAge22,"&lt;"&amp;'19_Расчет_аналитики'!AC2584,WeightedRevAge22)-SUMIF(ThresholdAge22,"&lt;"&amp;'19_Расчет_аналитики'!AC2584,WeightedMinAge22),MAX(CapacityAge22*'01_Вводные'!$B$218*'19_Расчет_аналитики'!AC2584,MeanMinAge22)))</f>
        <v/>
      </c>
      <c r="AD2537">
        <f>IF(OR(('19_Расчет_аналитики'!AD2453-'19_Расчет_аналитики'!AD2481)=0,22&lt;='01_Вводные'!$B$297),0,('19_Расчет_аналитики'!AD2453-'19_Расчет_аналитики'!AD2481)*IF('01_Вводные'!$B$239="Да",MeanMinAge22+'19_Расчет_аналитики'!AD2584*SUMIF(ThresholdAge22,"&lt;"&amp;'19_Расчет_аналитики'!AD2584,WeightedRevAge22)-SUMIF(ThresholdAge22,"&lt;"&amp;'19_Расчет_аналитики'!AD2584,WeightedMinAge22),MAX(CapacityAge22*'01_Вводные'!$B$218*'19_Расчет_аналитики'!AD2584,MeanMinAge22)))</f>
        <v/>
      </c>
      <c r="AE2537">
        <f>IF(OR(('19_Расчет_аналитики'!AE2453-'19_Расчет_аналитики'!AE2481)=0,22&lt;='01_Вводные'!$B$297),0,('19_Расчет_аналитики'!AE2453-'19_Расчет_аналитики'!AE2481)*IF('01_Вводные'!$B$239="Да",MeanMinAge22+'19_Расчет_аналитики'!AE2584*SUMIF(ThresholdAge22,"&lt;"&amp;'19_Расчет_аналитики'!AE2584,WeightedRevAge22)-SUMIF(ThresholdAge22,"&lt;"&amp;'19_Расчет_аналитики'!AE2584,WeightedMinAge22),MAX(CapacityAge22*'01_Вводные'!$B$218*'19_Расчет_аналитики'!AE2584,MeanMinAge22)))</f>
        <v/>
      </c>
      <c r="AF2537">
        <f>IF(OR(('19_Расчет_аналитики'!AF2453-'19_Расчет_аналитики'!AF2481)=0,22&lt;='01_Вводные'!$B$297),0,('19_Расчет_аналитики'!AF2453-'19_Расчет_аналитики'!AF2481)*IF('01_Вводные'!$B$239="Да",MeanMinAge22+'19_Расчет_аналитики'!AF2584*SUMIF(ThresholdAge22,"&lt;"&amp;'19_Расчет_аналитики'!AF2584,WeightedRevAge22)-SUMIF(ThresholdAge22,"&lt;"&amp;'19_Расчет_аналитики'!AF2584,WeightedMinAge22),MAX(CapacityAge22*'01_Вводные'!$B$218*'19_Расчет_аналитики'!AF2584,MeanMinAge22)))</f>
        <v/>
      </c>
      <c r="AG2537">
        <f>IF(OR(('19_Расчет_аналитики'!AG2453-'19_Расчет_аналитики'!AG2481)=0,22&lt;='01_Вводные'!$B$297),0,('19_Расчет_аналитики'!AG2453-'19_Расчет_аналитики'!AG2481)*IF('01_Вводные'!$B$239="Да",MeanMinAge22+'19_Расчет_аналитики'!AG2584*SUMIF(ThresholdAge22,"&lt;"&amp;'19_Расчет_аналитики'!AG2584,WeightedRevAge22)-SUMIF(ThresholdAge22,"&lt;"&amp;'19_Расчет_аналитики'!AG2584,WeightedMinAge22),MAX(CapacityAge22*'01_Вводные'!$B$218*'19_Расчет_аналитики'!AG2584,MeanMinAge22)))</f>
        <v/>
      </c>
      <c r="AH2537">
        <f>IF(OR(('19_Расчет_аналитики'!AH2453-'19_Расчет_аналитики'!AH2481)=0,22&lt;='01_Вводные'!$B$297),0,('19_Расчет_аналитики'!AH2453-'19_Расчет_аналитики'!AH2481)*IF('01_Вводные'!$B$239="Да",MeanMinAge22+'19_Расчет_аналитики'!AH2584*SUMIF(ThresholdAge22,"&lt;"&amp;'19_Расчет_аналитики'!AH2584,WeightedRevAge22)-SUMIF(ThresholdAge22,"&lt;"&amp;'19_Расчет_аналитики'!AH2584,WeightedMinAge22),MAX(CapacityAge22*'01_Вводные'!$B$218*'19_Расчет_аналитики'!AH2584,MeanMinAge22)))</f>
        <v/>
      </c>
      <c r="AI2537">
        <f>IF(OR(('19_Расчет_аналитики'!AI2453-'19_Расчет_аналитики'!AI2481)=0,22&lt;='01_Вводные'!$B$297),0,('19_Расчет_аналитики'!AI2453-'19_Расчет_аналитики'!AI2481)*IF('01_Вводные'!$B$239="Да",MeanMinAge22+'19_Расчет_аналитики'!AI2584*SUMIF(ThresholdAge22,"&lt;"&amp;'19_Расчет_аналитики'!AI2584,WeightedRevAge22)-SUMIF(ThresholdAge22,"&lt;"&amp;'19_Расчет_аналитики'!AI2584,WeightedMinAge22),MAX(CapacityAge22*'01_Вводные'!$B$218*'19_Расчет_аналитики'!AI2584,MeanMinAge22)))</f>
        <v/>
      </c>
      <c r="AJ2537">
        <f>IF(OR(('19_Расчет_аналитики'!AJ2453-'19_Расчет_аналитики'!AJ2481)=0,22&lt;='01_Вводные'!$B$297),0,('19_Расчет_аналитики'!AJ2453-'19_Расчет_аналитики'!AJ2481)*IF('01_Вводные'!$B$239="Да",MeanMinAge22+'19_Расчет_аналитики'!AJ2584*SUMIF(ThresholdAge22,"&lt;"&amp;'19_Расчет_аналитики'!AJ2584,WeightedRevAge22)-SUMIF(ThresholdAge22,"&lt;"&amp;'19_Расчет_аналитики'!AJ2584,WeightedMinAge22),MAX(CapacityAge22*'01_Вводные'!$B$218*'19_Расчет_аналитики'!AJ2584,MeanMinAge22)))</f>
        <v/>
      </c>
      <c r="AK2537">
        <f>IF(OR(('19_Расчет_аналитики'!AK2453-'19_Расчет_аналитики'!AK2481)=0,22&lt;='01_Вводные'!$B$297),0,('19_Расчет_аналитики'!AK2453-'19_Расчет_аналитики'!AK2481)*IF('01_Вводные'!$B$239="Да",MeanMinAge22+'19_Расчет_аналитики'!AK2584*SUMIF(ThresholdAge22,"&lt;"&amp;'19_Расчет_аналитики'!AK2584,WeightedRevAge22)-SUMIF(ThresholdAge22,"&lt;"&amp;'19_Расчет_аналитики'!AK2584,WeightedMinAge22),MAX(CapacityAge22*'01_Вводные'!$B$218*'19_Расчет_аналитики'!AK2584,MeanMinAge22)))</f>
        <v/>
      </c>
      <c r="AL2537">
        <f>IF(OR(('19_Расчет_аналитики'!AL2453-'19_Расчет_аналитики'!AL2481)=0,22&lt;='01_Вводные'!$B$297),0,('19_Расчет_аналитики'!AL2453-'19_Расчет_аналитики'!AL2481)*IF('01_Вводные'!$B$239="Да",MeanMinAge22+'19_Расчет_аналитики'!AL2584*SUMIF(ThresholdAge22,"&lt;"&amp;'19_Расчет_аналитики'!AL2584,WeightedRevAge22)-SUMIF(ThresholdAge22,"&lt;"&amp;'19_Расчет_аналитики'!AL2584,WeightedMinAge22),MAX(CapacityAge22*'01_Вводные'!$B$218*'19_Расчет_аналитики'!AL2584,MeanMinAge22)))</f>
        <v/>
      </c>
      <c r="AM2537">
        <f>IF(OR(('19_Расчет_аналитики'!AM2453-'19_Расчет_аналитики'!AM2481)=0,22&lt;='01_Вводные'!$B$297),0,('19_Расчет_аналитики'!AM2453-'19_Расчет_аналитики'!AM2481)*IF('01_Вводные'!$B$239="Да",MeanMinAge22+'19_Расчет_аналитики'!AM2584*SUMIF(ThresholdAge22,"&lt;"&amp;'19_Расчет_аналитики'!AM2584,WeightedRevAge22)-SUMIF(ThresholdAge22,"&lt;"&amp;'19_Расчет_аналитики'!AM2584,WeightedMinAge22),MAX(CapacityAge22*'01_Вводные'!$B$218*'19_Расчет_аналитики'!AM2584,MeanMinAge22)))</f>
        <v/>
      </c>
      <c r="AN2537">
        <f>IF(OR(('19_Расчет_аналитики'!AN2453-'19_Расчет_аналитики'!AN2481)=0,22&lt;='01_Вводные'!$B$297),0,('19_Расчет_аналитики'!AN2453-'19_Расчет_аналитики'!AN2481)*IF('01_Вводные'!$B$239="Да",MeanMinAge22+'19_Расчет_аналитики'!AN2584*SUMIF(ThresholdAge22,"&lt;"&amp;'19_Расчет_аналитики'!AN2584,WeightedRevAge22)-SUMIF(ThresholdAge22,"&lt;"&amp;'19_Расчет_аналитики'!AN2584,WeightedMinAge22),MAX(CapacityAge22*'01_Вводные'!$B$218*'19_Расчет_аналитики'!AN2584,MeanMinAge22)))</f>
        <v/>
      </c>
      <c r="AO2537">
        <f>IF(OR(('19_Расчет_аналитики'!AO2453-'19_Расчет_аналитики'!AO2481)=0,22&lt;='01_Вводные'!$B$297),0,('19_Расчет_аналитики'!AO2453-'19_Расчет_аналитики'!AO2481)*IF('01_Вводные'!$B$239="Да",MeanMinAge22+'19_Расчет_аналитики'!AO2584*SUMIF(ThresholdAge22,"&lt;"&amp;'19_Расчет_аналитики'!AO2584,WeightedRevAge22)-SUMIF(ThresholdAge22,"&lt;"&amp;'19_Расчет_аналитики'!AO2584,WeightedMinAge22),MAX(CapacityAge22*'01_Вводные'!$B$218*'19_Расчет_аналитики'!AO2584,MeanMinAge22)))</f>
        <v/>
      </c>
      <c r="AP2537">
        <f>IF(OR(('19_Расчет_аналитики'!AP2453-'19_Расчет_аналитики'!AP2481)=0,22&lt;='01_Вводные'!$B$297),0,('19_Расчет_аналитики'!AP2453-'19_Расчет_аналитики'!AP2481)*IF('01_Вводные'!$B$239="Да",MeanMinAge22+'19_Расчет_аналитики'!AP2584*SUMIF(ThresholdAge22,"&lt;"&amp;'19_Расчет_аналитики'!AP2584,WeightedRevAge22)-SUMIF(ThresholdAge22,"&lt;"&amp;'19_Расчет_аналитики'!AP2584,WeightedMinAge22),MAX(CapacityAge22*'01_Вводные'!$B$218*'19_Расчет_аналитики'!AP2584,MeanMinAge22)))</f>
        <v/>
      </c>
      <c r="AQ2537">
        <f>IF(OR(('19_Расчет_аналитики'!AQ2453-'19_Расчет_аналитики'!AQ2481)=0,22&lt;='01_Вводные'!$B$297),0,('19_Расчет_аналитики'!AQ2453-'19_Расчет_аналитики'!AQ2481)*IF('01_Вводные'!$B$239="Да",MeanMinAge22+'19_Расчет_аналитики'!AQ2584*SUMIF(ThresholdAge22,"&lt;"&amp;'19_Расчет_аналитики'!AQ2584,WeightedRevAge22)-SUMIF(ThresholdAge22,"&lt;"&amp;'19_Расчет_аналитики'!AQ2584,WeightedMinAge22),MAX(CapacityAge22*'01_Вводные'!$B$218*'19_Расчет_аналитики'!AQ2584,MeanMinAge22)))</f>
        <v/>
      </c>
      <c r="AR2537">
        <f>IF(OR(('19_Расчет_аналитики'!AR2453-'19_Расчет_аналитики'!AR2481)=0,22&lt;='01_Вводные'!$B$297),0,('19_Расчет_аналитики'!AR2453-'19_Расчет_аналитики'!AR2481)*IF('01_Вводные'!$B$239="Да",MeanMinAge22+'19_Расчет_аналитики'!AR2584*SUMIF(ThresholdAge22,"&lt;"&amp;'19_Расчет_аналитики'!AR2584,WeightedRevAge22)-SUMIF(ThresholdAge22,"&lt;"&amp;'19_Расчет_аналитики'!AR2584,WeightedMinAge22),MAX(CapacityAge22*'01_Вводные'!$B$218*'19_Расчет_аналитики'!AR2584,MeanMinAge22)))</f>
        <v/>
      </c>
      <c r="AS2537">
        <f>IF(OR(('19_Расчет_аналитики'!AS2453-'19_Расчет_аналитики'!AS2481)=0,22&lt;='01_Вводные'!$B$297),0,('19_Расчет_аналитики'!AS2453-'19_Расчет_аналитики'!AS2481)*IF('01_Вводные'!$B$239="Да",MeanMinAge22+'19_Расчет_аналитики'!AS2584*SUMIF(ThresholdAge22,"&lt;"&amp;'19_Расчет_аналитики'!AS2584,WeightedRevAge22)-SUMIF(ThresholdAge22,"&lt;"&amp;'19_Расчет_аналитики'!AS2584,WeightedMinAge22),MAX(CapacityAge22*'01_Вводные'!$B$218*'19_Расчет_аналитики'!AS2584,MeanMinAge22)))</f>
        <v/>
      </c>
      <c r="AT2537">
        <f>IF(OR(('19_Расчет_аналитики'!AT2453-'19_Расчет_аналитики'!AT2481)=0,22&lt;='01_Вводные'!$B$297),0,('19_Расчет_аналитики'!AT2453-'19_Расчет_аналитики'!AT2481)*IF('01_Вводные'!$B$239="Да",MeanMinAge22+'19_Расчет_аналитики'!AT2584*SUMIF(ThresholdAge22,"&lt;"&amp;'19_Расчет_аналитики'!AT2584,WeightedRevAge22)-SUMIF(ThresholdAge22,"&lt;"&amp;'19_Расчет_аналитики'!AT2584,WeightedMinAge22),MAX(CapacityAge22*'01_Вводные'!$B$218*'19_Расчет_аналитики'!AT2584,MeanMinAge22)))</f>
        <v/>
      </c>
      <c r="AU2537">
        <f>IF(OR(('19_Расчет_аналитики'!AU2453-'19_Расчет_аналитики'!AU2481)=0,22&lt;='01_Вводные'!$B$297),0,('19_Расчет_аналитики'!AU2453-'19_Расчет_аналитики'!AU2481)*IF('01_Вводные'!$B$239="Да",MeanMinAge22+'19_Расчет_аналитики'!AU2584*SUMIF(ThresholdAge22,"&lt;"&amp;'19_Расчет_аналитики'!AU2584,WeightedRevAge22)-SUMIF(ThresholdAge22,"&lt;"&amp;'19_Расчет_аналитики'!AU2584,WeightedMinAge22),MAX(CapacityAge22*'01_Вводные'!$B$218*'19_Расчет_аналитики'!AU2584,MeanMinAge22)))</f>
        <v/>
      </c>
      <c r="AV2537">
        <f>IF(OR(('19_Расчет_аналитики'!AV2453-'19_Расчет_аналитики'!AV2481)=0,22&lt;='01_Вводные'!$B$297),0,('19_Расчет_аналитики'!AV2453-'19_Расчет_аналитики'!AV2481)*IF('01_Вводные'!$B$239="Да",MeanMinAge22+'19_Расчет_аналитики'!AV2584*SUMIF(ThresholdAge22,"&lt;"&amp;'19_Расчет_аналитики'!AV2584,WeightedRevAge22)-SUMIF(ThresholdAge22,"&lt;"&amp;'19_Расчет_аналитики'!AV2584,WeightedMinAge22),MAX(CapacityAge22*'01_Вводные'!$B$218*'19_Расчет_аналитики'!AV2584,MeanMinAge22)))</f>
        <v/>
      </c>
      <c r="AW2537">
        <f>IF(OR(('19_Расчет_аналитики'!AW2453-'19_Расчет_аналитики'!AW2481)=0,22&lt;='01_Вводные'!$B$297),0,('19_Расчет_аналитики'!AW2453-'19_Расчет_аналитики'!AW2481)*IF('01_Вводные'!$B$239="Да",MeanMinAge22+'19_Расчет_аналитики'!AW2584*SUMIF(ThresholdAge22,"&lt;"&amp;'19_Расчет_аналитики'!AW2584,WeightedRevAge22)-SUMIF(ThresholdAge22,"&lt;"&amp;'19_Расчет_аналитики'!AW2584,WeightedMinAge22),MAX(CapacityAge22*'01_Вводные'!$B$218*'19_Расчет_аналитики'!AW2584,MeanMinAge22)))</f>
        <v/>
      </c>
      <c r="AX2537">
        <f>IF(OR(('19_Расчет_аналитики'!AX2453-'19_Расчет_аналитики'!AX2481)=0,22&lt;='01_Вводные'!$B$297),0,('19_Расчет_аналитики'!AX2453-'19_Расчет_аналитики'!AX2481)*IF('01_Вводные'!$B$239="Да",MeanMinAge22+'19_Расчет_аналитики'!AX2584*SUMIF(ThresholdAge22,"&lt;"&amp;'19_Расчет_аналитики'!AX2584,WeightedRevAge22)-SUMIF(ThresholdAge22,"&lt;"&amp;'19_Расчет_аналитики'!AX2584,WeightedMinAge22),MAX(CapacityAge22*'01_Вводные'!$B$218*'19_Расчет_аналитики'!AX2584,MeanMinAge22)))</f>
        <v/>
      </c>
      <c r="AY2537">
        <f>IF(OR(('19_Расчет_аналитики'!AY2453-'19_Расчет_аналитики'!AY2481)=0,22&lt;='01_Вводные'!$B$297),0,('19_Расчет_аналитики'!AY2453-'19_Расчет_аналитики'!AY2481)*IF('01_Вводные'!$B$239="Да",MeanMinAge22+'19_Расчет_аналитики'!AY2584*SUMIF(ThresholdAge22,"&lt;"&amp;'19_Расчет_аналитики'!AY2584,WeightedRevAge22)-SUMIF(ThresholdAge22,"&lt;"&amp;'19_Расчет_аналитики'!AY2584,WeightedMinAge22),MAX(CapacityAge22*'01_Вводные'!$B$218*'19_Расчет_аналитики'!AY2584,MeanMinAge22)))</f>
        <v/>
      </c>
      <c r="AZ2537">
        <f>IF(OR(('19_Расчет_аналитики'!AZ2453-'19_Расчет_аналитики'!AZ2481)=0,22&lt;='01_Вводные'!$B$297),0,('19_Расчет_аналитики'!AZ2453-'19_Расчет_аналитики'!AZ2481)*IF('01_Вводные'!$B$239="Да",MeanMinAge22+'19_Расчет_аналитики'!AZ2584*SUMIF(ThresholdAge22,"&lt;"&amp;'19_Расчет_аналитики'!AZ2584,WeightedRevAge22)-SUMIF(ThresholdAge22,"&lt;"&amp;'19_Расчет_аналитики'!AZ2584,WeightedMinAge22),MAX(CapacityAge22*'01_Вводные'!$B$218*'19_Расчет_аналитики'!AZ2584,MeanMinAge22)))</f>
        <v/>
      </c>
      <c r="BA2537">
        <f>IF(OR(('19_Расчет_аналитики'!BA2453-'19_Расчет_аналитики'!BA2481)=0,22&lt;='01_Вводные'!$B$297),0,('19_Расчет_аналитики'!BA2453-'19_Расчет_аналитики'!BA2481)*IF('01_Вводные'!$B$239="Да",MeanMinAge22+'19_Расчет_аналитики'!BA2584*SUMIF(ThresholdAge22,"&lt;"&amp;'19_Расчет_аналитики'!BA2584,WeightedRevAge22)-SUMIF(ThresholdAge22,"&lt;"&amp;'19_Расчет_аналитики'!BA2584,WeightedMinAge22),MAX(CapacityAge22*'01_Вводные'!$B$218*'19_Расчет_аналитики'!BA2584,MeanMinAge22)))</f>
        <v/>
      </c>
      <c r="BB2537">
        <f>IF(OR(('19_Расчет_аналитики'!BB2453-'19_Расчет_аналитики'!BB2481)=0,22&lt;='01_Вводные'!$B$297),0,('19_Расчет_аналитики'!BB2453-'19_Расчет_аналитики'!BB2481)*IF('01_Вводные'!$B$239="Да",MeanMinAge22+'19_Расчет_аналитики'!BB2584*SUMIF(ThresholdAge22,"&lt;"&amp;'19_Расчет_аналитики'!BB2584,WeightedRevAge22)-SUMIF(ThresholdAge22,"&lt;"&amp;'19_Расчет_аналитики'!BB2584,WeightedMinAge22),MAX(CapacityAge22*'01_Вводные'!$B$218*'19_Расчет_аналитики'!BB2584,MeanMinAge22)))</f>
        <v/>
      </c>
      <c r="BC2537">
        <f>IF(OR(('19_Расчет_аналитики'!BC2453-'19_Расчет_аналитики'!BC2481)=0,22&lt;='01_Вводные'!$B$297),0,('19_Расчет_аналитики'!BC2453-'19_Расчет_аналитики'!BC2481)*IF('01_Вводные'!$B$239="Да",MeanMinAge22+'19_Расчет_аналитики'!BC2584*SUMIF(ThresholdAge22,"&lt;"&amp;'19_Расчет_аналитики'!BC2584,WeightedRevAge22)-SUMIF(ThresholdAge22,"&lt;"&amp;'19_Расчет_аналитики'!BC2584,WeightedMinAge22),MAX(CapacityAge22*'01_Вводные'!$B$218*'19_Расчет_аналитики'!BC2584,MeanMinAge22)))</f>
        <v/>
      </c>
      <c r="BD2537">
        <f>IF(OR(('19_Расчет_аналитики'!BD2453-'19_Расчет_аналитики'!BD2481)=0,22&lt;='01_Вводные'!$B$297),0,('19_Расчет_аналитики'!BD2453-'19_Расчет_аналитики'!BD2481)*IF('01_Вводные'!$B$239="Да",MeanMinAge22+'19_Расчет_аналитики'!BD2584*SUMIF(ThresholdAge22,"&lt;"&amp;'19_Расчет_аналитики'!BD2584,WeightedRevAge22)-SUMIF(ThresholdAge22,"&lt;"&amp;'19_Расчет_аналитики'!BD2584,WeightedMinAge22),MAX(CapacityAge22*'01_Вводные'!$B$218*'19_Расчет_аналитики'!BD2584,MeanMinAge22)))</f>
        <v/>
      </c>
      <c r="BE2537">
        <f>IF(OR(('19_Расчет_аналитики'!BE2453-'19_Расчет_аналитики'!BE2481)=0,22&lt;='01_Вводные'!$B$297),0,('19_Расчет_аналитики'!BE2453-'19_Расчет_аналитики'!BE2481)*IF('01_Вводные'!$B$239="Да",MeanMinAge22+'19_Расчет_аналитики'!BE2584*SUMIF(ThresholdAge22,"&lt;"&amp;'19_Расчет_аналитики'!BE2584,WeightedRevAge22)-SUMIF(ThresholdAge22,"&lt;"&amp;'19_Расчет_аналитики'!BE2584,WeightedMinAge22),MAX(CapacityAge22*'01_Вводные'!$B$218*'19_Расчет_аналитики'!BE2584,MeanMinAge22)))</f>
        <v/>
      </c>
      <c r="BF2537">
        <f>IF(OR(('19_Расчет_аналитики'!BF2453-'19_Расчет_аналитики'!BF2481)=0,22&lt;='01_Вводные'!$B$297),0,('19_Расчет_аналитики'!BF2453-'19_Расчет_аналитики'!BF2481)*IF('01_Вводные'!$B$239="Да",MeanMinAge22+'19_Расчет_аналитики'!BF2584*SUMIF(ThresholdAge22,"&lt;"&amp;'19_Расчет_аналитики'!BF2584,WeightedRevAge22)-SUMIF(ThresholdAge22,"&lt;"&amp;'19_Расчет_аналитики'!BF2584,WeightedMinAge22),MAX(CapacityAge22*'01_Вводные'!$B$218*'19_Расчет_аналитики'!BF2584,MeanMinAge22)))</f>
        <v/>
      </c>
      <c r="BG2537">
        <f>IF(OR(('19_Расчет_аналитики'!BG2453-'19_Расчет_аналитики'!BG2481)=0,22&lt;='01_Вводные'!$B$297),0,('19_Расчет_аналитики'!BG2453-'19_Расчет_аналитики'!BG2481)*IF('01_Вводные'!$B$239="Да",MeanMinAge22+'19_Расчет_аналитики'!BG2584*SUMIF(ThresholdAge22,"&lt;"&amp;'19_Расчет_аналитики'!BG2584,WeightedRevAge22)-SUMIF(ThresholdAge22,"&lt;"&amp;'19_Расчет_аналитики'!BG2584,WeightedMinAge22),MAX(CapacityAge22*'01_Вводные'!$B$218*'19_Расчет_аналитики'!BG2584,MeanMinAge22)))</f>
        <v/>
      </c>
      <c r="BH2537">
        <f>IF(OR(('19_Расчет_аналитики'!BH2453-'19_Расчет_аналитики'!BH2481)=0,22&lt;='01_Вводные'!$B$297),0,('19_Расчет_аналитики'!BH2453-'19_Расчет_аналитики'!BH2481)*IF('01_Вводные'!$B$239="Да",MeanMinAge22+'19_Расчет_аналитики'!BH2584*SUMIF(ThresholdAge22,"&lt;"&amp;'19_Расчет_аналитики'!BH2584,WeightedRevAge22)-SUMIF(ThresholdAge22,"&lt;"&amp;'19_Расчет_аналитики'!BH2584,WeightedMinAge22),MAX(CapacityAge22*'01_Вводные'!$B$218*'19_Расчет_аналитики'!BH2584,MeanMinAge22)))</f>
        <v/>
      </c>
      <c r="BI2537">
        <f>IF(OR(('19_Расчет_аналитики'!BI2453-'19_Расчет_аналитики'!BI2481)=0,22&lt;='01_Вводные'!$B$297),0,('19_Расчет_аналитики'!BI2453-'19_Расчет_аналитики'!BI2481)*IF('01_Вводные'!$B$239="Да",MeanMinAge22+'19_Расчет_аналитики'!BI2584*SUMIF(ThresholdAge22,"&lt;"&amp;'19_Расчет_аналитики'!BI2584,WeightedRevAge22)-SUMIF(ThresholdAge22,"&lt;"&amp;'19_Расчет_аналитики'!BI2584,WeightedMinAge22),MAX(CapacityAge22*'01_Вводные'!$B$218*'19_Расчет_аналитики'!BI2584,MeanMinAge22)))</f>
        <v/>
      </c>
      <c r="BJ2537">
        <f>IF(OR(('19_Расчет_аналитики'!BJ2453-'19_Расчет_аналитики'!BJ2481)=0,22&lt;='01_Вводные'!$B$297),0,('19_Расчет_аналитики'!BJ2453-'19_Расчет_аналитики'!BJ2481)*IF('01_Вводные'!$B$239="Да",MeanMinAge22+'19_Расчет_аналитики'!BJ2584*SUMIF(ThresholdAge22,"&lt;"&amp;'19_Расчет_аналитики'!BJ2584,WeightedRevAge22)-SUMIF(ThresholdAge22,"&lt;"&amp;'19_Расчет_аналитики'!BJ2584,WeightedMinAge22),MAX(CapacityAge22*'01_Вводные'!$B$218*'19_Расчет_аналитики'!BJ2584,MeanMinAge22)))</f>
        <v/>
      </c>
      <c r="BK2537">
        <f>IF(OR(('19_Расчет_аналитики'!BK2453-'19_Расчет_аналитики'!BK2481)=0,22&lt;='01_Вводные'!$B$297),0,('19_Расчет_аналитики'!BK2453-'19_Расчет_аналитики'!BK2481)*IF('01_Вводные'!$B$239="Да",MeanMinAge22+'19_Расчет_аналитики'!BK2584*SUMIF(ThresholdAge22,"&lt;"&amp;'19_Расчет_аналитики'!BK2584,WeightedRevAge22)-SUMIF(ThresholdAge22,"&lt;"&amp;'19_Расчет_аналитики'!BK2584,WeightedMinAge22),MAX(CapacityAge22*'01_Вводные'!$B$218*'19_Расчет_аналитики'!BK2584,MeanMinAge22)))</f>
        <v/>
      </c>
      <c r="BL2537">
        <f>IF(OR(('19_Расчет_аналитики'!BL2453-'19_Расчет_аналитики'!BL2481)=0,22&lt;='01_Вводные'!$B$297),0,('19_Расчет_аналитики'!BL2453-'19_Расчет_аналитики'!BL2481)*IF('01_Вводные'!$B$239="Да",MeanMinAge22+'19_Расчет_аналитики'!BL2584*SUMIF(ThresholdAge22,"&lt;"&amp;'19_Расчет_аналитики'!BL2584,WeightedRevAge22)-SUMIF(ThresholdAge22,"&lt;"&amp;'19_Расчет_аналитики'!BL2584,WeightedMinAge22),MAX(CapacityAge22*'01_Вводные'!$B$218*'19_Расчет_аналитики'!BL2584,MeanMinAge22)))</f>
        <v/>
      </c>
      <c r="BM2537">
        <f>IF(OR(('19_Расчет_аналитики'!BM2453-'19_Расчет_аналитики'!BM2481)=0,22&lt;='01_Вводные'!$B$297),0,('19_Расчет_аналитики'!BM2453-'19_Расчет_аналитики'!BM2481)*IF('01_Вводные'!$B$239="Да",MeanMinAge22+'19_Расчет_аналитики'!BM2584*SUMIF(ThresholdAge22,"&lt;"&amp;'19_Расчет_аналитики'!BM2584,WeightedRevAge22)-SUMIF(ThresholdAge22,"&lt;"&amp;'19_Расчет_аналитики'!BM2584,WeightedMinAge22),MAX(CapacityAge22*'01_Вводные'!$B$218*'19_Расчет_аналитики'!BM2584,MeanMinAge22)))</f>
        <v/>
      </c>
      <c r="BN2537">
        <f>IF(OR(('19_Расчет_аналитики'!BN2453-'19_Расчет_аналитики'!BN2481)=0,22&lt;='01_Вводные'!$B$297),0,('19_Расчет_аналитики'!BN2453-'19_Расчет_аналитики'!BN2481)*IF('01_Вводные'!$B$239="Да",MeanMinAge22+'19_Расчет_аналитики'!BN2584*SUMIF(ThresholdAge22,"&lt;"&amp;'19_Расчет_аналитики'!BN2584,WeightedRevAge22)-SUMIF(ThresholdAge22,"&lt;"&amp;'19_Расчет_аналитики'!BN2584,WeightedMinAge22),MAX(CapacityAge22*'01_Вводные'!$B$218*'19_Расчет_аналитики'!BN2584,MeanMinAge22)))</f>
        <v/>
      </c>
      <c r="BO2537">
        <f>IF(OR(('19_Расчет_аналитики'!BO2453-'19_Расчет_аналитики'!BO2481)=0,22&lt;='01_Вводные'!$B$297),0,('19_Расчет_аналитики'!BO2453-'19_Расчет_аналитики'!BO2481)*IF('01_Вводные'!$B$239="Да",MeanMinAge22+'19_Расчет_аналитики'!BO2584*SUMIF(ThresholdAge22,"&lt;"&amp;'19_Расчет_аналитики'!BO2584,WeightedRevAge22)-SUMIF(ThresholdAge22,"&lt;"&amp;'19_Расчет_аналитики'!BO2584,WeightedMinAge22),MAX(CapacityAge22*'01_Вводные'!$B$218*'19_Расчет_аналитики'!BO2584,MeanMinAge22)))</f>
        <v/>
      </c>
    </row>
    <row r="2538">
      <c r="B2538">
        <f>IF(OR(('06_Сеть_и_дети'!B75-'06_Сеть_и_дети'!B103)=0,23&lt;='01_Вводные'!$B$297),0,('06_Сеть_и_дети'!B75-'06_Сеть_и_дети'!B103)*IF('01_Вводные'!$B$239="Да",MeanMinAge23+'19_Расчет_аналитики'!B2584*SUMIF(ThresholdAge23,"&lt;"&amp;'19_Расчет_аналитики'!B2584,WeightedRevAge23)-SUMIF(ThresholdAge23,"&lt;"&amp;'19_Расчет_аналитики'!B2584,WeightedMinAge23),MAX(CapacityAge23*'01_Вводные'!$B$218*'19_Расчет_аналитики'!B2584,MeanMinAge23)))</f>
        <v/>
      </c>
      <c r="C2538">
        <f>IF(OR(('06_Сеть_и_дети'!C75-'06_Сеть_и_дети'!C103)=0,23&lt;='01_Вводные'!$B$297),0,('06_Сеть_и_дети'!C75-'06_Сеть_и_дети'!C103)*IF('01_Вводные'!$B$239="Да",MeanMinAge23+'19_Расчет_аналитики'!C2584*SUMIF(ThresholdAge23,"&lt;"&amp;'19_Расчет_аналитики'!C2584,WeightedRevAge23)-SUMIF(ThresholdAge23,"&lt;"&amp;'19_Расчет_аналитики'!C2584,WeightedMinAge23),MAX(CapacityAge23*'01_Вводные'!$B$218*'19_Расчет_аналитики'!C2584,MeanMinAge23)))</f>
        <v/>
      </c>
      <c r="D2538">
        <f>IF(OR(('06_Сеть_и_дети'!D75-'06_Сеть_и_дети'!D103)=0,23&lt;='01_Вводные'!$B$297),0,('06_Сеть_и_дети'!D75-'06_Сеть_и_дети'!D103)*IF('01_Вводные'!$B$239="Да",MeanMinAge23+'19_Расчет_аналитики'!D2584*SUMIF(ThresholdAge23,"&lt;"&amp;'19_Расчет_аналитики'!D2584,WeightedRevAge23)-SUMIF(ThresholdAge23,"&lt;"&amp;'19_Расчет_аналитики'!D2584,WeightedMinAge23),MAX(CapacityAge23*'01_Вводные'!$B$218*'19_Расчет_аналитики'!D2584,MeanMinAge23)))</f>
        <v/>
      </c>
      <c r="E2538">
        <f>IF(OR(('06_Сеть_и_дети'!E75-'06_Сеть_и_дети'!E103)=0,23&lt;='01_Вводные'!$B$297),0,('06_Сеть_и_дети'!E75-'06_Сеть_и_дети'!E103)*IF('01_Вводные'!$B$239="Да",MeanMinAge23+'19_Расчет_аналитики'!E2584*SUMIF(ThresholdAge23,"&lt;"&amp;'19_Расчет_аналитики'!E2584,WeightedRevAge23)-SUMIF(ThresholdAge23,"&lt;"&amp;'19_Расчет_аналитики'!E2584,WeightedMinAge23),MAX(CapacityAge23*'01_Вводные'!$B$218*'19_Расчет_аналитики'!E2584,MeanMinAge23)))</f>
        <v/>
      </c>
      <c r="F2538">
        <f>IF(OR(('06_Сеть_и_дети'!F75-'06_Сеть_и_дети'!F103)=0,23&lt;='01_Вводные'!$B$297),0,('06_Сеть_и_дети'!F75-'06_Сеть_и_дети'!F103)*IF('01_Вводные'!$B$239="Да",MeanMinAge23+'19_Расчет_аналитики'!F2584*SUMIF(ThresholdAge23,"&lt;"&amp;'19_Расчет_аналитики'!F2584,WeightedRevAge23)-SUMIF(ThresholdAge23,"&lt;"&amp;'19_Расчет_аналитики'!F2584,WeightedMinAge23),MAX(CapacityAge23*'01_Вводные'!$B$218*'19_Расчет_аналитики'!F2584,MeanMinAge23)))</f>
        <v/>
      </c>
      <c r="G2538">
        <f>IF(OR(('06_Сеть_и_дети'!G75-'06_Сеть_и_дети'!G103)=0,23&lt;='01_Вводные'!$B$297),0,('06_Сеть_и_дети'!G75-'06_Сеть_и_дети'!G103)*IF('01_Вводные'!$B$239="Да",MeanMinAge23+'19_Расчет_аналитики'!G2584*SUMIF(ThresholdAge23,"&lt;"&amp;'19_Расчет_аналитики'!G2584,WeightedRevAge23)-SUMIF(ThresholdAge23,"&lt;"&amp;'19_Расчет_аналитики'!G2584,WeightedMinAge23),MAX(CapacityAge23*'01_Вводные'!$B$218*'19_Расчет_аналитики'!G2584,MeanMinAge23)))</f>
        <v/>
      </c>
      <c r="H2538">
        <f>IF(OR(('06_Сеть_и_дети'!H75-'06_Сеть_и_дети'!H103)=0,23&lt;='01_Вводные'!$B$297),0,('06_Сеть_и_дети'!H75-'06_Сеть_и_дети'!H103)*IF('01_Вводные'!$B$239="Да",MeanMinAge23+'19_Расчет_аналитики'!H2584*SUMIF(ThresholdAge23,"&lt;"&amp;'19_Расчет_аналитики'!H2584,WeightedRevAge23)-SUMIF(ThresholdAge23,"&lt;"&amp;'19_Расчет_аналитики'!H2584,WeightedMinAge23),MAX(CapacityAge23*'01_Вводные'!$B$218*'19_Расчет_аналитики'!H2584,MeanMinAge23)))</f>
        <v/>
      </c>
      <c r="I2538">
        <f>IF(OR(('06_Сеть_и_дети'!I75-'06_Сеть_и_дети'!I103)=0,23&lt;='01_Вводные'!$B$297),0,('06_Сеть_и_дети'!I75-'06_Сеть_и_дети'!I103)*IF('01_Вводные'!$B$239="Да",MeanMinAge23+'19_Расчет_аналитики'!I2584*SUMIF(ThresholdAge23,"&lt;"&amp;'19_Расчет_аналитики'!I2584,WeightedRevAge23)-SUMIF(ThresholdAge23,"&lt;"&amp;'19_Расчет_аналитики'!I2584,WeightedMinAge23),MAX(CapacityAge23*'01_Вводные'!$B$218*'19_Расчет_аналитики'!I2584,MeanMinAge23)))</f>
        <v/>
      </c>
      <c r="J2538">
        <f>IF(OR(('06_Сеть_и_дети'!J75-'06_Сеть_и_дети'!J103)=0,23&lt;='01_Вводные'!$B$297),0,('06_Сеть_и_дети'!J75-'06_Сеть_и_дети'!J103)*IF('01_Вводные'!$B$239="Да",MeanMinAge23+'19_Расчет_аналитики'!J2584*SUMIF(ThresholdAge23,"&lt;"&amp;'19_Расчет_аналитики'!J2584,WeightedRevAge23)-SUMIF(ThresholdAge23,"&lt;"&amp;'19_Расчет_аналитики'!J2584,WeightedMinAge23),MAX(CapacityAge23*'01_Вводные'!$B$218*'19_Расчет_аналитики'!J2584,MeanMinAge23)))</f>
        <v/>
      </c>
      <c r="K2538">
        <f>IF(OR(('06_Сеть_и_дети'!K75-'06_Сеть_и_дети'!K103)=0,23&lt;='01_Вводные'!$B$297),0,('06_Сеть_и_дети'!K75-'06_Сеть_и_дети'!K103)*IF('01_Вводные'!$B$239="Да",MeanMinAge23+'19_Расчет_аналитики'!K2584*SUMIF(ThresholdAge23,"&lt;"&amp;'19_Расчет_аналитики'!K2584,WeightedRevAge23)-SUMIF(ThresholdAge23,"&lt;"&amp;'19_Расчет_аналитики'!K2584,WeightedMinAge23),MAX(CapacityAge23*'01_Вводные'!$B$218*'19_Расчет_аналитики'!K2584,MeanMinAge23)))</f>
        <v/>
      </c>
      <c r="L2538">
        <f>IF(OR(('06_Сеть_и_дети'!L75-'06_Сеть_и_дети'!L103)=0,23&lt;='01_Вводные'!$B$297),0,('06_Сеть_и_дети'!L75-'06_Сеть_и_дети'!L103)*IF('01_Вводные'!$B$239="Да",MeanMinAge23+'19_Расчет_аналитики'!L2584*SUMIF(ThresholdAge23,"&lt;"&amp;'19_Расчет_аналитики'!L2584,WeightedRevAge23)-SUMIF(ThresholdAge23,"&lt;"&amp;'19_Расчет_аналитики'!L2584,WeightedMinAge23),MAX(CapacityAge23*'01_Вводные'!$B$218*'19_Расчет_аналитики'!L2584,MeanMinAge23)))</f>
        <v/>
      </c>
      <c r="M2538">
        <f>IF(OR(('06_Сеть_и_дети'!M75-'06_Сеть_и_дети'!M103)=0,23&lt;='01_Вводные'!$B$297),0,('06_Сеть_и_дети'!M75-'06_Сеть_и_дети'!M103)*IF('01_Вводные'!$B$239="Да",MeanMinAge23+'19_Расчет_аналитики'!M2584*SUMIF(ThresholdAge23,"&lt;"&amp;'19_Расчет_аналитики'!M2584,WeightedRevAge23)-SUMIF(ThresholdAge23,"&lt;"&amp;'19_Расчет_аналитики'!M2584,WeightedMinAge23),MAX(CapacityAge23*'01_Вводные'!$B$218*'19_Расчет_аналитики'!M2584,MeanMinAge23)))</f>
        <v/>
      </c>
      <c r="N2538">
        <f>IF(OR(('06_Сеть_и_дети'!N75-'06_Сеть_и_дети'!N103)=0,23&lt;='01_Вводные'!$B$297),0,('06_Сеть_и_дети'!N75-'06_Сеть_и_дети'!N103)*IF('01_Вводные'!$B$239="Да",MeanMinAge23+'19_Расчет_аналитики'!N2584*SUMIF(ThresholdAge23,"&lt;"&amp;'19_Расчет_аналитики'!N2584,WeightedRevAge23)-SUMIF(ThresholdAge23,"&lt;"&amp;'19_Расчет_аналитики'!N2584,WeightedMinAge23),MAX(CapacityAge23*'01_Вводные'!$B$218*'19_Расчет_аналитики'!N2584,MeanMinAge23)))</f>
        <v/>
      </c>
      <c r="O2538">
        <f>IF(OR(('06_Сеть_и_дети'!O75-'06_Сеть_и_дети'!O103)=0,23&lt;='01_Вводные'!$B$297),0,('06_Сеть_и_дети'!O75-'06_Сеть_и_дети'!O103)*IF('01_Вводные'!$B$239="Да",MeanMinAge23+'19_Расчет_аналитики'!O2584*SUMIF(ThresholdAge23,"&lt;"&amp;'19_Расчет_аналитики'!O2584,WeightedRevAge23)-SUMIF(ThresholdAge23,"&lt;"&amp;'19_Расчет_аналитики'!O2584,WeightedMinAge23),MAX(CapacityAge23*'01_Вводные'!$B$218*'19_Расчет_аналитики'!O2584,MeanMinAge23)))</f>
        <v/>
      </c>
      <c r="P2538">
        <f>IF(OR(('06_Сеть_и_дети'!P75-'06_Сеть_и_дети'!P103)=0,23&lt;='01_Вводные'!$B$297),0,('06_Сеть_и_дети'!P75-'06_Сеть_и_дети'!P103)*IF('01_Вводные'!$B$239="Да",MeanMinAge23+'19_Расчет_аналитики'!P2584*SUMIF(ThresholdAge23,"&lt;"&amp;'19_Расчет_аналитики'!P2584,WeightedRevAge23)-SUMIF(ThresholdAge23,"&lt;"&amp;'19_Расчет_аналитики'!P2584,WeightedMinAge23),MAX(CapacityAge23*'01_Вводные'!$B$218*'19_Расчет_аналитики'!P2584,MeanMinAge23)))</f>
        <v/>
      </c>
      <c r="Q2538">
        <f>IF(OR(('06_Сеть_и_дети'!Q75-'06_Сеть_и_дети'!Q103)=0,23&lt;='01_Вводные'!$B$297),0,('06_Сеть_и_дети'!Q75-'06_Сеть_и_дети'!Q103)*IF('01_Вводные'!$B$239="Да",MeanMinAge23+'19_Расчет_аналитики'!Q2584*SUMIF(ThresholdAge23,"&lt;"&amp;'19_Расчет_аналитики'!Q2584,WeightedRevAge23)-SUMIF(ThresholdAge23,"&lt;"&amp;'19_Расчет_аналитики'!Q2584,WeightedMinAge23),MAX(CapacityAge23*'01_Вводные'!$B$218*'19_Расчет_аналитики'!Q2584,MeanMinAge23)))</f>
        <v/>
      </c>
      <c r="R2538">
        <f>IF(OR(('06_Сеть_и_дети'!R75-'06_Сеть_и_дети'!R103)=0,23&lt;='01_Вводные'!$B$297),0,('06_Сеть_и_дети'!R75-'06_Сеть_и_дети'!R103)*IF('01_Вводные'!$B$239="Да",MeanMinAge23+'19_Расчет_аналитики'!R2584*SUMIF(ThresholdAge23,"&lt;"&amp;'19_Расчет_аналитики'!R2584,WeightedRevAge23)-SUMIF(ThresholdAge23,"&lt;"&amp;'19_Расчет_аналитики'!R2584,WeightedMinAge23),MAX(CapacityAge23*'01_Вводные'!$B$218*'19_Расчет_аналитики'!R2584,MeanMinAge23)))</f>
        <v/>
      </c>
      <c r="S2538">
        <f>IF(OR(('06_Сеть_и_дети'!S75-'06_Сеть_и_дети'!S103)=0,23&lt;='01_Вводные'!$B$297),0,('06_Сеть_и_дети'!S75-'06_Сеть_и_дети'!S103)*IF('01_Вводные'!$B$239="Да",MeanMinAge23+'19_Расчет_аналитики'!S2584*SUMIF(ThresholdAge23,"&lt;"&amp;'19_Расчет_аналитики'!S2584,WeightedRevAge23)-SUMIF(ThresholdAge23,"&lt;"&amp;'19_Расчет_аналитики'!S2584,WeightedMinAge23),MAX(CapacityAge23*'01_Вводные'!$B$218*'19_Расчет_аналитики'!S2584,MeanMinAge23)))</f>
        <v/>
      </c>
      <c r="T2538">
        <f>IF(OR(('06_Сеть_и_дети'!T75-'06_Сеть_и_дети'!T103)=0,23&lt;='01_Вводные'!$B$297),0,('06_Сеть_и_дети'!T75-'06_Сеть_и_дети'!T103)*IF('01_Вводные'!$B$239="Да",MeanMinAge23+'19_Расчет_аналитики'!T2584*SUMIF(ThresholdAge23,"&lt;"&amp;'19_Расчет_аналитики'!T2584,WeightedRevAge23)-SUMIF(ThresholdAge23,"&lt;"&amp;'19_Расчет_аналитики'!T2584,WeightedMinAge23),MAX(CapacityAge23*'01_Вводные'!$B$218*'19_Расчет_аналитики'!T2584,MeanMinAge23)))</f>
        <v/>
      </c>
      <c r="U2538">
        <f>IF(OR(('06_Сеть_и_дети'!U75-'06_Сеть_и_дети'!U103)=0,23&lt;='01_Вводные'!$B$297),0,('06_Сеть_и_дети'!U75-'06_Сеть_и_дети'!U103)*IF('01_Вводные'!$B$239="Да",MeanMinAge23+'19_Расчет_аналитики'!U2584*SUMIF(ThresholdAge23,"&lt;"&amp;'19_Расчет_аналитики'!U2584,WeightedRevAge23)-SUMIF(ThresholdAge23,"&lt;"&amp;'19_Расчет_аналитики'!U2584,WeightedMinAge23),MAX(CapacityAge23*'01_Вводные'!$B$218*'19_Расчет_аналитики'!U2584,MeanMinAge23)))</f>
        <v/>
      </c>
      <c r="V2538">
        <f>IF(OR(('06_Сеть_и_дети'!V75-'06_Сеть_и_дети'!V103)=0,23&lt;='01_Вводные'!$B$297),0,('06_Сеть_и_дети'!V75-'06_Сеть_и_дети'!V103)*IF('01_Вводные'!$B$239="Да",MeanMinAge23+'19_Расчет_аналитики'!V2584*SUMIF(ThresholdAge23,"&lt;"&amp;'19_Расчет_аналитики'!V2584,WeightedRevAge23)-SUMIF(ThresholdAge23,"&lt;"&amp;'19_Расчет_аналитики'!V2584,WeightedMinAge23),MAX(CapacityAge23*'01_Вводные'!$B$218*'19_Расчет_аналитики'!V2584,MeanMinAge23)))</f>
        <v/>
      </c>
      <c r="W2538">
        <f>IF(OR(('06_Сеть_и_дети'!W75-'06_Сеть_и_дети'!W103)=0,23&lt;='01_Вводные'!$B$297),0,('06_Сеть_и_дети'!W75-'06_Сеть_и_дети'!W103)*IF('01_Вводные'!$B$239="Да",MeanMinAge23+'19_Расчет_аналитики'!W2584*SUMIF(ThresholdAge23,"&lt;"&amp;'19_Расчет_аналитики'!W2584,WeightedRevAge23)-SUMIF(ThresholdAge23,"&lt;"&amp;'19_Расчет_аналитики'!W2584,WeightedMinAge23),MAX(CapacityAge23*'01_Вводные'!$B$218*'19_Расчет_аналитики'!W2584,MeanMinAge23)))</f>
        <v/>
      </c>
      <c r="X2538">
        <f>IF(OR(('19_Расчет_аналитики'!X2454-'19_Расчет_аналитики'!X2482)=0,23&lt;='01_Вводные'!$B$297),0,('19_Расчет_аналитики'!X2454-'19_Расчет_аналитики'!X2482)*IF('01_Вводные'!$B$239="Да",MeanMinAge23+'19_Расчет_аналитики'!X2584*SUMIF(ThresholdAge23,"&lt;"&amp;'19_Расчет_аналитики'!X2584,WeightedRevAge23)-SUMIF(ThresholdAge23,"&lt;"&amp;'19_Расчет_аналитики'!X2584,WeightedMinAge23),MAX(CapacityAge23*'01_Вводные'!$B$218*'19_Расчет_аналитики'!X2584,MeanMinAge23)))</f>
        <v/>
      </c>
      <c r="Y2538">
        <f>IF(OR(('19_Расчет_аналитики'!Y2454-'19_Расчет_аналитики'!Y2482)=0,23&lt;='01_Вводные'!$B$297),0,('19_Расчет_аналитики'!Y2454-'19_Расчет_аналитики'!Y2482)*IF('01_Вводные'!$B$239="Да",MeanMinAge23+'19_Расчет_аналитики'!Y2584*SUMIF(ThresholdAge23,"&lt;"&amp;'19_Расчет_аналитики'!Y2584,WeightedRevAge23)-SUMIF(ThresholdAge23,"&lt;"&amp;'19_Расчет_аналитики'!Y2584,WeightedMinAge23),MAX(CapacityAge23*'01_Вводные'!$B$218*'19_Расчет_аналитики'!Y2584,MeanMinAge23)))</f>
        <v/>
      </c>
      <c r="Z2538">
        <f>IF(OR(('19_Расчет_аналитики'!Z2454-'19_Расчет_аналитики'!Z2482)=0,23&lt;='01_Вводные'!$B$297),0,('19_Расчет_аналитики'!Z2454-'19_Расчет_аналитики'!Z2482)*IF('01_Вводные'!$B$239="Да",MeanMinAge23+'19_Расчет_аналитики'!Z2584*SUMIF(ThresholdAge23,"&lt;"&amp;'19_Расчет_аналитики'!Z2584,WeightedRevAge23)-SUMIF(ThresholdAge23,"&lt;"&amp;'19_Расчет_аналитики'!Z2584,WeightedMinAge23),MAX(CapacityAge23*'01_Вводные'!$B$218*'19_Расчет_аналитики'!Z2584,MeanMinAge23)))</f>
        <v/>
      </c>
      <c r="AA2538">
        <f>IF(OR(('19_Расчет_аналитики'!AA2454-'19_Расчет_аналитики'!AA2482)=0,23&lt;='01_Вводные'!$B$297),0,('19_Расчет_аналитики'!AA2454-'19_Расчет_аналитики'!AA2482)*IF('01_Вводные'!$B$239="Да",MeanMinAge23+'19_Расчет_аналитики'!AA2584*SUMIF(ThresholdAge23,"&lt;"&amp;'19_Расчет_аналитики'!AA2584,WeightedRevAge23)-SUMIF(ThresholdAge23,"&lt;"&amp;'19_Расчет_аналитики'!AA2584,WeightedMinAge23),MAX(CapacityAge23*'01_Вводные'!$B$218*'19_Расчет_аналитики'!AA2584,MeanMinAge23)))</f>
        <v/>
      </c>
      <c r="AB2538">
        <f>IF(OR(('19_Расчет_аналитики'!AB2454-'19_Расчет_аналитики'!AB2482)=0,23&lt;='01_Вводные'!$B$297),0,('19_Расчет_аналитики'!AB2454-'19_Расчет_аналитики'!AB2482)*IF('01_Вводные'!$B$239="Да",MeanMinAge23+'19_Расчет_аналитики'!AB2584*SUMIF(ThresholdAge23,"&lt;"&amp;'19_Расчет_аналитики'!AB2584,WeightedRevAge23)-SUMIF(ThresholdAge23,"&lt;"&amp;'19_Расчет_аналитики'!AB2584,WeightedMinAge23),MAX(CapacityAge23*'01_Вводные'!$B$218*'19_Расчет_аналитики'!AB2584,MeanMinAge23)))</f>
        <v/>
      </c>
      <c r="AC2538">
        <f>IF(OR(('19_Расчет_аналитики'!AC2454-'19_Расчет_аналитики'!AC2482)=0,23&lt;='01_Вводные'!$B$297),0,('19_Расчет_аналитики'!AC2454-'19_Расчет_аналитики'!AC2482)*IF('01_Вводные'!$B$239="Да",MeanMinAge23+'19_Расчет_аналитики'!AC2584*SUMIF(ThresholdAge23,"&lt;"&amp;'19_Расчет_аналитики'!AC2584,WeightedRevAge23)-SUMIF(ThresholdAge23,"&lt;"&amp;'19_Расчет_аналитики'!AC2584,WeightedMinAge23),MAX(CapacityAge23*'01_Вводные'!$B$218*'19_Расчет_аналитики'!AC2584,MeanMinAge23)))</f>
        <v/>
      </c>
      <c r="AD2538">
        <f>IF(OR(('19_Расчет_аналитики'!AD2454-'19_Расчет_аналитики'!AD2482)=0,23&lt;='01_Вводные'!$B$297),0,('19_Расчет_аналитики'!AD2454-'19_Расчет_аналитики'!AD2482)*IF('01_Вводные'!$B$239="Да",MeanMinAge23+'19_Расчет_аналитики'!AD2584*SUMIF(ThresholdAge23,"&lt;"&amp;'19_Расчет_аналитики'!AD2584,WeightedRevAge23)-SUMIF(ThresholdAge23,"&lt;"&amp;'19_Расчет_аналитики'!AD2584,WeightedMinAge23),MAX(CapacityAge23*'01_Вводные'!$B$218*'19_Расчет_аналитики'!AD2584,MeanMinAge23)))</f>
        <v/>
      </c>
      <c r="AE2538">
        <f>IF(OR(('19_Расчет_аналитики'!AE2454-'19_Расчет_аналитики'!AE2482)=0,23&lt;='01_Вводные'!$B$297),0,('19_Расчет_аналитики'!AE2454-'19_Расчет_аналитики'!AE2482)*IF('01_Вводные'!$B$239="Да",MeanMinAge23+'19_Расчет_аналитики'!AE2584*SUMIF(ThresholdAge23,"&lt;"&amp;'19_Расчет_аналитики'!AE2584,WeightedRevAge23)-SUMIF(ThresholdAge23,"&lt;"&amp;'19_Расчет_аналитики'!AE2584,WeightedMinAge23),MAX(CapacityAge23*'01_Вводные'!$B$218*'19_Расчет_аналитики'!AE2584,MeanMinAge23)))</f>
        <v/>
      </c>
      <c r="AF2538">
        <f>IF(OR(('19_Расчет_аналитики'!AF2454-'19_Расчет_аналитики'!AF2482)=0,23&lt;='01_Вводные'!$B$297),0,('19_Расчет_аналитики'!AF2454-'19_Расчет_аналитики'!AF2482)*IF('01_Вводные'!$B$239="Да",MeanMinAge23+'19_Расчет_аналитики'!AF2584*SUMIF(ThresholdAge23,"&lt;"&amp;'19_Расчет_аналитики'!AF2584,WeightedRevAge23)-SUMIF(ThresholdAge23,"&lt;"&amp;'19_Расчет_аналитики'!AF2584,WeightedMinAge23),MAX(CapacityAge23*'01_Вводные'!$B$218*'19_Расчет_аналитики'!AF2584,MeanMinAge23)))</f>
        <v/>
      </c>
      <c r="AG2538">
        <f>IF(OR(('19_Расчет_аналитики'!AG2454-'19_Расчет_аналитики'!AG2482)=0,23&lt;='01_Вводные'!$B$297),0,('19_Расчет_аналитики'!AG2454-'19_Расчет_аналитики'!AG2482)*IF('01_Вводные'!$B$239="Да",MeanMinAge23+'19_Расчет_аналитики'!AG2584*SUMIF(ThresholdAge23,"&lt;"&amp;'19_Расчет_аналитики'!AG2584,WeightedRevAge23)-SUMIF(ThresholdAge23,"&lt;"&amp;'19_Расчет_аналитики'!AG2584,WeightedMinAge23),MAX(CapacityAge23*'01_Вводные'!$B$218*'19_Расчет_аналитики'!AG2584,MeanMinAge23)))</f>
        <v/>
      </c>
      <c r="AH2538">
        <f>IF(OR(('19_Расчет_аналитики'!AH2454-'19_Расчет_аналитики'!AH2482)=0,23&lt;='01_Вводные'!$B$297),0,('19_Расчет_аналитики'!AH2454-'19_Расчет_аналитики'!AH2482)*IF('01_Вводные'!$B$239="Да",MeanMinAge23+'19_Расчет_аналитики'!AH2584*SUMIF(ThresholdAge23,"&lt;"&amp;'19_Расчет_аналитики'!AH2584,WeightedRevAge23)-SUMIF(ThresholdAge23,"&lt;"&amp;'19_Расчет_аналитики'!AH2584,WeightedMinAge23),MAX(CapacityAge23*'01_Вводные'!$B$218*'19_Расчет_аналитики'!AH2584,MeanMinAge23)))</f>
        <v/>
      </c>
      <c r="AI2538">
        <f>IF(OR(('19_Расчет_аналитики'!AI2454-'19_Расчет_аналитики'!AI2482)=0,23&lt;='01_Вводные'!$B$297),0,('19_Расчет_аналитики'!AI2454-'19_Расчет_аналитики'!AI2482)*IF('01_Вводные'!$B$239="Да",MeanMinAge23+'19_Расчет_аналитики'!AI2584*SUMIF(ThresholdAge23,"&lt;"&amp;'19_Расчет_аналитики'!AI2584,WeightedRevAge23)-SUMIF(ThresholdAge23,"&lt;"&amp;'19_Расчет_аналитики'!AI2584,WeightedMinAge23),MAX(CapacityAge23*'01_Вводные'!$B$218*'19_Расчет_аналитики'!AI2584,MeanMinAge23)))</f>
        <v/>
      </c>
      <c r="AJ2538">
        <f>IF(OR(('19_Расчет_аналитики'!AJ2454-'19_Расчет_аналитики'!AJ2482)=0,23&lt;='01_Вводные'!$B$297),0,('19_Расчет_аналитики'!AJ2454-'19_Расчет_аналитики'!AJ2482)*IF('01_Вводные'!$B$239="Да",MeanMinAge23+'19_Расчет_аналитики'!AJ2584*SUMIF(ThresholdAge23,"&lt;"&amp;'19_Расчет_аналитики'!AJ2584,WeightedRevAge23)-SUMIF(ThresholdAge23,"&lt;"&amp;'19_Расчет_аналитики'!AJ2584,WeightedMinAge23),MAX(CapacityAge23*'01_Вводные'!$B$218*'19_Расчет_аналитики'!AJ2584,MeanMinAge23)))</f>
        <v/>
      </c>
      <c r="AK2538">
        <f>IF(OR(('19_Расчет_аналитики'!AK2454-'19_Расчет_аналитики'!AK2482)=0,23&lt;='01_Вводные'!$B$297),0,('19_Расчет_аналитики'!AK2454-'19_Расчет_аналитики'!AK2482)*IF('01_Вводные'!$B$239="Да",MeanMinAge23+'19_Расчет_аналитики'!AK2584*SUMIF(ThresholdAge23,"&lt;"&amp;'19_Расчет_аналитики'!AK2584,WeightedRevAge23)-SUMIF(ThresholdAge23,"&lt;"&amp;'19_Расчет_аналитики'!AK2584,WeightedMinAge23),MAX(CapacityAge23*'01_Вводные'!$B$218*'19_Расчет_аналитики'!AK2584,MeanMinAge23)))</f>
        <v/>
      </c>
      <c r="AL2538">
        <f>IF(OR(('19_Расчет_аналитики'!AL2454-'19_Расчет_аналитики'!AL2482)=0,23&lt;='01_Вводные'!$B$297),0,('19_Расчет_аналитики'!AL2454-'19_Расчет_аналитики'!AL2482)*IF('01_Вводные'!$B$239="Да",MeanMinAge23+'19_Расчет_аналитики'!AL2584*SUMIF(ThresholdAge23,"&lt;"&amp;'19_Расчет_аналитики'!AL2584,WeightedRevAge23)-SUMIF(ThresholdAge23,"&lt;"&amp;'19_Расчет_аналитики'!AL2584,WeightedMinAge23),MAX(CapacityAge23*'01_Вводные'!$B$218*'19_Расчет_аналитики'!AL2584,MeanMinAge23)))</f>
        <v/>
      </c>
      <c r="AM2538">
        <f>IF(OR(('19_Расчет_аналитики'!AM2454-'19_Расчет_аналитики'!AM2482)=0,23&lt;='01_Вводные'!$B$297),0,('19_Расчет_аналитики'!AM2454-'19_Расчет_аналитики'!AM2482)*IF('01_Вводные'!$B$239="Да",MeanMinAge23+'19_Расчет_аналитики'!AM2584*SUMIF(ThresholdAge23,"&lt;"&amp;'19_Расчет_аналитики'!AM2584,WeightedRevAge23)-SUMIF(ThresholdAge23,"&lt;"&amp;'19_Расчет_аналитики'!AM2584,WeightedMinAge23),MAX(CapacityAge23*'01_Вводные'!$B$218*'19_Расчет_аналитики'!AM2584,MeanMinAge23)))</f>
        <v/>
      </c>
      <c r="AN2538">
        <f>IF(OR(('19_Расчет_аналитики'!AN2454-'19_Расчет_аналитики'!AN2482)=0,23&lt;='01_Вводные'!$B$297),0,('19_Расчет_аналитики'!AN2454-'19_Расчет_аналитики'!AN2482)*IF('01_Вводные'!$B$239="Да",MeanMinAge23+'19_Расчет_аналитики'!AN2584*SUMIF(ThresholdAge23,"&lt;"&amp;'19_Расчет_аналитики'!AN2584,WeightedRevAge23)-SUMIF(ThresholdAge23,"&lt;"&amp;'19_Расчет_аналитики'!AN2584,WeightedMinAge23),MAX(CapacityAge23*'01_Вводные'!$B$218*'19_Расчет_аналитики'!AN2584,MeanMinAge23)))</f>
        <v/>
      </c>
      <c r="AO2538">
        <f>IF(OR(('19_Расчет_аналитики'!AO2454-'19_Расчет_аналитики'!AO2482)=0,23&lt;='01_Вводные'!$B$297),0,('19_Расчет_аналитики'!AO2454-'19_Расчет_аналитики'!AO2482)*IF('01_Вводные'!$B$239="Да",MeanMinAge23+'19_Расчет_аналитики'!AO2584*SUMIF(ThresholdAge23,"&lt;"&amp;'19_Расчет_аналитики'!AO2584,WeightedRevAge23)-SUMIF(ThresholdAge23,"&lt;"&amp;'19_Расчет_аналитики'!AO2584,WeightedMinAge23),MAX(CapacityAge23*'01_Вводные'!$B$218*'19_Расчет_аналитики'!AO2584,MeanMinAge23)))</f>
        <v/>
      </c>
      <c r="AP2538">
        <f>IF(OR(('19_Расчет_аналитики'!AP2454-'19_Расчет_аналитики'!AP2482)=0,23&lt;='01_Вводные'!$B$297),0,('19_Расчет_аналитики'!AP2454-'19_Расчет_аналитики'!AP2482)*IF('01_Вводные'!$B$239="Да",MeanMinAge23+'19_Расчет_аналитики'!AP2584*SUMIF(ThresholdAge23,"&lt;"&amp;'19_Расчет_аналитики'!AP2584,WeightedRevAge23)-SUMIF(ThresholdAge23,"&lt;"&amp;'19_Расчет_аналитики'!AP2584,WeightedMinAge23),MAX(CapacityAge23*'01_Вводные'!$B$218*'19_Расчет_аналитики'!AP2584,MeanMinAge23)))</f>
        <v/>
      </c>
      <c r="AQ2538">
        <f>IF(OR(('19_Расчет_аналитики'!AQ2454-'19_Расчет_аналитики'!AQ2482)=0,23&lt;='01_Вводные'!$B$297),0,('19_Расчет_аналитики'!AQ2454-'19_Расчет_аналитики'!AQ2482)*IF('01_Вводные'!$B$239="Да",MeanMinAge23+'19_Расчет_аналитики'!AQ2584*SUMIF(ThresholdAge23,"&lt;"&amp;'19_Расчет_аналитики'!AQ2584,WeightedRevAge23)-SUMIF(ThresholdAge23,"&lt;"&amp;'19_Расчет_аналитики'!AQ2584,WeightedMinAge23),MAX(CapacityAge23*'01_Вводные'!$B$218*'19_Расчет_аналитики'!AQ2584,MeanMinAge23)))</f>
        <v/>
      </c>
      <c r="AR2538">
        <f>IF(OR(('19_Расчет_аналитики'!AR2454-'19_Расчет_аналитики'!AR2482)=0,23&lt;='01_Вводные'!$B$297),0,('19_Расчет_аналитики'!AR2454-'19_Расчет_аналитики'!AR2482)*IF('01_Вводные'!$B$239="Да",MeanMinAge23+'19_Расчет_аналитики'!AR2584*SUMIF(ThresholdAge23,"&lt;"&amp;'19_Расчет_аналитики'!AR2584,WeightedRevAge23)-SUMIF(ThresholdAge23,"&lt;"&amp;'19_Расчет_аналитики'!AR2584,WeightedMinAge23),MAX(CapacityAge23*'01_Вводные'!$B$218*'19_Расчет_аналитики'!AR2584,MeanMinAge23)))</f>
        <v/>
      </c>
      <c r="AS2538">
        <f>IF(OR(('19_Расчет_аналитики'!AS2454-'19_Расчет_аналитики'!AS2482)=0,23&lt;='01_Вводные'!$B$297),0,('19_Расчет_аналитики'!AS2454-'19_Расчет_аналитики'!AS2482)*IF('01_Вводные'!$B$239="Да",MeanMinAge23+'19_Расчет_аналитики'!AS2584*SUMIF(ThresholdAge23,"&lt;"&amp;'19_Расчет_аналитики'!AS2584,WeightedRevAge23)-SUMIF(ThresholdAge23,"&lt;"&amp;'19_Расчет_аналитики'!AS2584,WeightedMinAge23),MAX(CapacityAge23*'01_Вводные'!$B$218*'19_Расчет_аналитики'!AS2584,MeanMinAge23)))</f>
        <v/>
      </c>
      <c r="AT2538">
        <f>IF(OR(('19_Расчет_аналитики'!AT2454-'19_Расчет_аналитики'!AT2482)=0,23&lt;='01_Вводные'!$B$297),0,('19_Расчет_аналитики'!AT2454-'19_Расчет_аналитики'!AT2482)*IF('01_Вводные'!$B$239="Да",MeanMinAge23+'19_Расчет_аналитики'!AT2584*SUMIF(ThresholdAge23,"&lt;"&amp;'19_Расчет_аналитики'!AT2584,WeightedRevAge23)-SUMIF(ThresholdAge23,"&lt;"&amp;'19_Расчет_аналитики'!AT2584,WeightedMinAge23),MAX(CapacityAge23*'01_Вводные'!$B$218*'19_Расчет_аналитики'!AT2584,MeanMinAge23)))</f>
        <v/>
      </c>
      <c r="AU2538">
        <f>IF(OR(('19_Расчет_аналитики'!AU2454-'19_Расчет_аналитики'!AU2482)=0,23&lt;='01_Вводные'!$B$297),0,('19_Расчет_аналитики'!AU2454-'19_Расчет_аналитики'!AU2482)*IF('01_Вводные'!$B$239="Да",MeanMinAge23+'19_Расчет_аналитики'!AU2584*SUMIF(ThresholdAge23,"&lt;"&amp;'19_Расчет_аналитики'!AU2584,WeightedRevAge23)-SUMIF(ThresholdAge23,"&lt;"&amp;'19_Расчет_аналитики'!AU2584,WeightedMinAge23),MAX(CapacityAge23*'01_Вводные'!$B$218*'19_Расчет_аналитики'!AU2584,MeanMinAge23)))</f>
        <v/>
      </c>
      <c r="AV2538">
        <f>IF(OR(('19_Расчет_аналитики'!AV2454-'19_Расчет_аналитики'!AV2482)=0,23&lt;='01_Вводные'!$B$297),0,('19_Расчет_аналитики'!AV2454-'19_Расчет_аналитики'!AV2482)*IF('01_Вводные'!$B$239="Да",MeanMinAge23+'19_Расчет_аналитики'!AV2584*SUMIF(ThresholdAge23,"&lt;"&amp;'19_Расчет_аналитики'!AV2584,WeightedRevAge23)-SUMIF(ThresholdAge23,"&lt;"&amp;'19_Расчет_аналитики'!AV2584,WeightedMinAge23),MAX(CapacityAge23*'01_Вводные'!$B$218*'19_Расчет_аналитики'!AV2584,MeanMinAge23)))</f>
        <v/>
      </c>
      <c r="AW2538">
        <f>IF(OR(('19_Расчет_аналитики'!AW2454-'19_Расчет_аналитики'!AW2482)=0,23&lt;='01_Вводные'!$B$297),0,('19_Расчет_аналитики'!AW2454-'19_Расчет_аналитики'!AW2482)*IF('01_Вводные'!$B$239="Да",MeanMinAge23+'19_Расчет_аналитики'!AW2584*SUMIF(ThresholdAge23,"&lt;"&amp;'19_Расчет_аналитики'!AW2584,WeightedRevAge23)-SUMIF(ThresholdAge23,"&lt;"&amp;'19_Расчет_аналитики'!AW2584,WeightedMinAge23),MAX(CapacityAge23*'01_Вводные'!$B$218*'19_Расчет_аналитики'!AW2584,MeanMinAge23)))</f>
        <v/>
      </c>
      <c r="AX2538">
        <f>IF(OR(('19_Расчет_аналитики'!AX2454-'19_Расчет_аналитики'!AX2482)=0,23&lt;='01_Вводные'!$B$297),0,('19_Расчет_аналитики'!AX2454-'19_Расчет_аналитики'!AX2482)*IF('01_Вводные'!$B$239="Да",MeanMinAge23+'19_Расчет_аналитики'!AX2584*SUMIF(ThresholdAge23,"&lt;"&amp;'19_Расчет_аналитики'!AX2584,WeightedRevAge23)-SUMIF(ThresholdAge23,"&lt;"&amp;'19_Расчет_аналитики'!AX2584,WeightedMinAge23),MAX(CapacityAge23*'01_Вводные'!$B$218*'19_Расчет_аналитики'!AX2584,MeanMinAge23)))</f>
        <v/>
      </c>
      <c r="AY2538">
        <f>IF(OR(('19_Расчет_аналитики'!AY2454-'19_Расчет_аналитики'!AY2482)=0,23&lt;='01_Вводные'!$B$297),0,('19_Расчет_аналитики'!AY2454-'19_Расчет_аналитики'!AY2482)*IF('01_Вводные'!$B$239="Да",MeanMinAge23+'19_Расчет_аналитики'!AY2584*SUMIF(ThresholdAge23,"&lt;"&amp;'19_Расчет_аналитики'!AY2584,WeightedRevAge23)-SUMIF(ThresholdAge23,"&lt;"&amp;'19_Расчет_аналитики'!AY2584,WeightedMinAge23),MAX(CapacityAge23*'01_Вводные'!$B$218*'19_Расчет_аналитики'!AY2584,MeanMinAge23)))</f>
        <v/>
      </c>
      <c r="AZ2538">
        <f>IF(OR(('19_Расчет_аналитики'!AZ2454-'19_Расчет_аналитики'!AZ2482)=0,23&lt;='01_Вводные'!$B$297),0,('19_Расчет_аналитики'!AZ2454-'19_Расчет_аналитики'!AZ2482)*IF('01_Вводные'!$B$239="Да",MeanMinAge23+'19_Расчет_аналитики'!AZ2584*SUMIF(ThresholdAge23,"&lt;"&amp;'19_Расчет_аналитики'!AZ2584,WeightedRevAge23)-SUMIF(ThresholdAge23,"&lt;"&amp;'19_Расчет_аналитики'!AZ2584,WeightedMinAge23),MAX(CapacityAge23*'01_Вводные'!$B$218*'19_Расчет_аналитики'!AZ2584,MeanMinAge23)))</f>
        <v/>
      </c>
      <c r="BA2538">
        <f>IF(OR(('19_Расчет_аналитики'!BA2454-'19_Расчет_аналитики'!BA2482)=0,23&lt;='01_Вводные'!$B$297),0,('19_Расчет_аналитики'!BA2454-'19_Расчет_аналитики'!BA2482)*IF('01_Вводные'!$B$239="Да",MeanMinAge23+'19_Расчет_аналитики'!BA2584*SUMIF(ThresholdAge23,"&lt;"&amp;'19_Расчет_аналитики'!BA2584,WeightedRevAge23)-SUMIF(ThresholdAge23,"&lt;"&amp;'19_Расчет_аналитики'!BA2584,WeightedMinAge23),MAX(CapacityAge23*'01_Вводные'!$B$218*'19_Расчет_аналитики'!BA2584,MeanMinAge23)))</f>
        <v/>
      </c>
      <c r="BB2538">
        <f>IF(OR(('19_Расчет_аналитики'!BB2454-'19_Расчет_аналитики'!BB2482)=0,23&lt;='01_Вводные'!$B$297),0,('19_Расчет_аналитики'!BB2454-'19_Расчет_аналитики'!BB2482)*IF('01_Вводные'!$B$239="Да",MeanMinAge23+'19_Расчет_аналитики'!BB2584*SUMIF(ThresholdAge23,"&lt;"&amp;'19_Расчет_аналитики'!BB2584,WeightedRevAge23)-SUMIF(ThresholdAge23,"&lt;"&amp;'19_Расчет_аналитики'!BB2584,WeightedMinAge23),MAX(CapacityAge23*'01_Вводные'!$B$218*'19_Расчет_аналитики'!BB2584,MeanMinAge23)))</f>
        <v/>
      </c>
      <c r="BC2538">
        <f>IF(OR(('19_Расчет_аналитики'!BC2454-'19_Расчет_аналитики'!BC2482)=0,23&lt;='01_Вводные'!$B$297),0,('19_Расчет_аналитики'!BC2454-'19_Расчет_аналитики'!BC2482)*IF('01_Вводные'!$B$239="Да",MeanMinAge23+'19_Расчет_аналитики'!BC2584*SUMIF(ThresholdAge23,"&lt;"&amp;'19_Расчет_аналитики'!BC2584,WeightedRevAge23)-SUMIF(ThresholdAge23,"&lt;"&amp;'19_Расчет_аналитики'!BC2584,WeightedMinAge23),MAX(CapacityAge23*'01_Вводные'!$B$218*'19_Расчет_аналитики'!BC2584,MeanMinAge23)))</f>
        <v/>
      </c>
      <c r="BD2538">
        <f>IF(OR(('19_Расчет_аналитики'!BD2454-'19_Расчет_аналитики'!BD2482)=0,23&lt;='01_Вводные'!$B$297),0,('19_Расчет_аналитики'!BD2454-'19_Расчет_аналитики'!BD2482)*IF('01_Вводные'!$B$239="Да",MeanMinAge23+'19_Расчет_аналитики'!BD2584*SUMIF(ThresholdAge23,"&lt;"&amp;'19_Расчет_аналитики'!BD2584,WeightedRevAge23)-SUMIF(ThresholdAge23,"&lt;"&amp;'19_Расчет_аналитики'!BD2584,WeightedMinAge23),MAX(CapacityAge23*'01_Вводные'!$B$218*'19_Расчет_аналитики'!BD2584,MeanMinAge23)))</f>
        <v/>
      </c>
      <c r="BE2538">
        <f>IF(OR(('19_Расчет_аналитики'!BE2454-'19_Расчет_аналитики'!BE2482)=0,23&lt;='01_Вводные'!$B$297),0,('19_Расчет_аналитики'!BE2454-'19_Расчет_аналитики'!BE2482)*IF('01_Вводные'!$B$239="Да",MeanMinAge23+'19_Расчет_аналитики'!BE2584*SUMIF(ThresholdAge23,"&lt;"&amp;'19_Расчет_аналитики'!BE2584,WeightedRevAge23)-SUMIF(ThresholdAge23,"&lt;"&amp;'19_Расчет_аналитики'!BE2584,WeightedMinAge23),MAX(CapacityAge23*'01_Вводные'!$B$218*'19_Расчет_аналитики'!BE2584,MeanMinAge23)))</f>
        <v/>
      </c>
      <c r="BF2538">
        <f>IF(OR(('19_Расчет_аналитики'!BF2454-'19_Расчет_аналитики'!BF2482)=0,23&lt;='01_Вводные'!$B$297),0,('19_Расчет_аналитики'!BF2454-'19_Расчет_аналитики'!BF2482)*IF('01_Вводные'!$B$239="Да",MeanMinAge23+'19_Расчет_аналитики'!BF2584*SUMIF(ThresholdAge23,"&lt;"&amp;'19_Расчет_аналитики'!BF2584,WeightedRevAge23)-SUMIF(ThresholdAge23,"&lt;"&amp;'19_Расчет_аналитики'!BF2584,WeightedMinAge23),MAX(CapacityAge23*'01_Вводные'!$B$218*'19_Расчет_аналитики'!BF2584,MeanMinAge23)))</f>
        <v/>
      </c>
      <c r="BG2538">
        <f>IF(OR(('19_Расчет_аналитики'!BG2454-'19_Расчет_аналитики'!BG2482)=0,23&lt;='01_Вводные'!$B$297),0,('19_Расчет_аналитики'!BG2454-'19_Расчет_аналитики'!BG2482)*IF('01_Вводные'!$B$239="Да",MeanMinAge23+'19_Расчет_аналитики'!BG2584*SUMIF(ThresholdAge23,"&lt;"&amp;'19_Расчет_аналитики'!BG2584,WeightedRevAge23)-SUMIF(ThresholdAge23,"&lt;"&amp;'19_Расчет_аналитики'!BG2584,WeightedMinAge23),MAX(CapacityAge23*'01_Вводные'!$B$218*'19_Расчет_аналитики'!BG2584,MeanMinAge23)))</f>
        <v/>
      </c>
      <c r="BH2538">
        <f>IF(OR(('19_Расчет_аналитики'!BH2454-'19_Расчет_аналитики'!BH2482)=0,23&lt;='01_Вводные'!$B$297),0,('19_Расчет_аналитики'!BH2454-'19_Расчет_аналитики'!BH2482)*IF('01_Вводные'!$B$239="Да",MeanMinAge23+'19_Расчет_аналитики'!BH2584*SUMIF(ThresholdAge23,"&lt;"&amp;'19_Расчет_аналитики'!BH2584,WeightedRevAge23)-SUMIF(ThresholdAge23,"&lt;"&amp;'19_Расчет_аналитики'!BH2584,WeightedMinAge23),MAX(CapacityAge23*'01_Вводные'!$B$218*'19_Расчет_аналитики'!BH2584,MeanMinAge23)))</f>
        <v/>
      </c>
      <c r="BI2538">
        <f>IF(OR(('19_Расчет_аналитики'!BI2454-'19_Расчет_аналитики'!BI2482)=0,23&lt;='01_Вводные'!$B$297),0,('19_Расчет_аналитики'!BI2454-'19_Расчет_аналитики'!BI2482)*IF('01_Вводные'!$B$239="Да",MeanMinAge23+'19_Расчет_аналитики'!BI2584*SUMIF(ThresholdAge23,"&lt;"&amp;'19_Расчет_аналитики'!BI2584,WeightedRevAge23)-SUMIF(ThresholdAge23,"&lt;"&amp;'19_Расчет_аналитики'!BI2584,WeightedMinAge23),MAX(CapacityAge23*'01_Вводные'!$B$218*'19_Расчет_аналитики'!BI2584,MeanMinAge23)))</f>
        <v/>
      </c>
      <c r="BJ2538">
        <f>IF(OR(('19_Расчет_аналитики'!BJ2454-'19_Расчет_аналитики'!BJ2482)=0,23&lt;='01_Вводные'!$B$297),0,('19_Расчет_аналитики'!BJ2454-'19_Расчет_аналитики'!BJ2482)*IF('01_Вводные'!$B$239="Да",MeanMinAge23+'19_Расчет_аналитики'!BJ2584*SUMIF(ThresholdAge23,"&lt;"&amp;'19_Расчет_аналитики'!BJ2584,WeightedRevAge23)-SUMIF(ThresholdAge23,"&lt;"&amp;'19_Расчет_аналитики'!BJ2584,WeightedMinAge23),MAX(CapacityAge23*'01_Вводные'!$B$218*'19_Расчет_аналитики'!BJ2584,MeanMinAge23)))</f>
        <v/>
      </c>
      <c r="BK2538">
        <f>IF(OR(('19_Расчет_аналитики'!BK2454-'19_Расчет_аналитики'!BK2482)=0,23&lt;='01_Вводные'!$B$297),0,('19_Расчет_аналитики'!BK2454-'19_Расчет_аналитики'!BK2482)*IF('01_Вводные'!$B$239="Да",MeanMinAge23+'19_Расчет_аналитики'!BK2584*SUMIF(ThresholdAge23,"&lt;"&amp;'19_Расчет_аналитики'!BK2584,WeightedRevAge23)-SUMIF(ThresholdAge23,"&lt;"&amp;'19_Расчет_аналитики'!BK2584,WeightedMinAge23),MAX(CapacityAge23*'01_Вводные'!$B$218*'19_Расчет_аналитики'!BK2584,MeanMinAge23)))</f>
        <v/>
      </c>
      <c r="BL2538">
        <f>IF(OR(('19_Расчет_аналитики'!BL2454-'19_Расчет_аналитики'!BL2482)=0,23&lt;='01_Вводные'!$B$297),0,('19_Расчет_аналитики'!BL2454-'19_Расчет_аналитики'!BL2482)*IF('01_Вводные'!$B$239="Да",MeanMinAge23+'19_Расчет_аналитики'!BL2584*SUMIF(ThresholdAge23,"&lt;"&amp;'19_Расчет_аналитики'!BL2584,WeightedRevAge23)-SUMIF(ThresholdAge23,"&lt;"&amp;'19_Расчет_аналитики'!BL2584,WeightedMinAge23),MAX(CapacityAge23*'01_Вводные'!$B$218*'19_Расчет_аналитики'!BL2584,MeanMinAge23)))</f>
        <v/>
      </c>
      <c r="BM2538">
        <f>IF(OR(('19_Расчет_аналитики'!BM2454-'19_Расчет_аналитики'!BM2482)=0,23&lt;='01_Вводные'!$B$297),0,('19_Расчет_аналитики'!BM2454-'19_Расчет_аналитики'!BM2482)*IF('01_Вводные'!$B$239="Да",MeanMinAge23+'19_Расчет_аналитики'!BM2584*SUMIF(ThresholdAge23,"&lt;"&amp;'19_Расчет_аналитики'!BM2584,WeightedRevAge23)-SUMIF(ThresholdAge23,"&lt;"&amp;'19_Расчет_аналитики'!BM2584,WeightedMinAge23),MAX(CapacityAge23*'01_Вводные'!$B$218*'19_Расчет_аналитики'!BM2584,MeanMinAge23)))</f>
        <v/>
      </c>
      <c r="BN2538">
        <f>IF(OR(('19_Расчет_аналитики'!BN2454-'19_Расчет_аналитики'!BN2482)=0,23&lt;='01_Вводные'!$B$297),0,('19_Расчет_аналитики'!BN2454-'19_Расчет_аналитики'!BN2482)*IF('01_Вводные'!$B$239="Да",MeanMinAge23+'19_Расчет_аналитики'!BN2584*SUMIF(ThresholdAge23,"&lt;"&amp;'19_Расчет_аналитики'!BN2584,WeightedRevAge23)-SUMIF(ThresholdAge23,"&lt;"&amp;'19_Расчет_аналитики'!BN2584,WeightedMinAge23),MAX(CapacityAge23*'01_Вводные'!$B$218*'19_Расчет_аналитики'!BN2584,MeanMinAge23)))</f>
        <v/>
      </c>
      <c r="BO2538">
        <f>IF(OR(('19_Расчет_аналитики'!BO2454-'19_Расчет_аналитики'!BO2482)=0,23&lt;='01_Вводные'!$B$297),0,('19_Расчет_аналитики'!BO2454-'19_Расчет_аналитики'!BO2482)*IF('01_Вводные'!$B$239="Да",MeanMinAge23+'19_Расчет_аналитики'!BO2584*SUMIF(ThresholdAge23,"&lt;"&amp;'19_Расчет_аналитики'!BO2584,WeightedRevAge23)-SUMIF(ThresholdAge23,"&lt;"&amp;'19_Расчет_аналитики'!BO2584,WeightedMinAge23),MAX(CapacityAge23*'01_Вводные'!$B$218*'19_Расчет_аналитики'!BO2584,MeanMinAge23)))</f>
        <v/>
      </c>
    </row>
    <row r="2539">
      <c r="B2539">
        <f>IF(OR(('06_Сеть_и_дети'!B76-'06_Сеть_и_дети'!B104)=0,24&lt;='01_Вводные'!$B$297),0,('06_Сеть_и_дети'!B76-'06_Сеть_и_дети'!B104)*IF('01_Вводные'!$B$239="Да",MeanMinAge24+'19_Расчет_аналитики'!B2584*SUMIF(ThresholdAge24,"&lt;"&amp;'19_Расчет_аналитики'!B2584,WeightedRevAge24)-SUMIF(ThresholdAge24,"&lt;"&amp;'19_Расчет_аналитики'!B2584,WeightedMinAge24),MAX(CapacityAge24*'01_Вводные'!$B$218*'19_Расчет_аналитики'!B2584,MeanMinAge24)))</f>
        <v/>
      </c>
      <c r="C2539">
        <f>IF(OR(('06_Сеть_и_дети'!C76-'06_Сеть_и_дети'!C104)=0,24&lt;='01_Вводные'!$B$297),0,('06_Сеть_и_дети'!C76-'06_Сеть_и_дети'!C104)*IF('01_Вводные'!$B$239="Да",MeanMinAge24+'19_Расчет_аналитики'!C2584*SUMIF(ThresholdAge24,"&lt;"&amp;'19_Расчет_аналитики'!C2584,WeightedRevAge24)-SUMIF(ThresholdAge24,"&lt;"&amp;'19_Расчет_аналитики'!C2584,WeightedMinAge24),MAX(CapacityAge24*'01_Вводные'!$B$218*'19_Расчет_аналитики'!C2584,MeanMinAge24)))</f>
        <v/>
      </c>
      <c r="D2539">
        <f>IF(OR(('06_Сеть_и_дети'!D76-'06_Сеть_и_дети'!D104)=0,24&lt;='01_Вводные'!$B$297),0,('06_Сеть_и_дети'!D76-'06_Сеть_и_дети'!D104)*IF('01_Вводные'!$B$239="Да",MeanMinAge24+'19_Расчет_аналитики'!D2584*SUMIF(ThresholdAge24,"&lt;"&amp;'19_Расчет_аналитики'!D2584,WeightedRevAge24)-SUMIF(ThresholdAge24,"&lt;"&amp;'19_Расчет_аналитики'!D2584,WeightedMinAge24),MAX(CapacityAge24*'01_Вводные'!$B$218*'19_Расчет_аналитики'!D2584,MeanMinAge24)))</f>
        <v/>
      </c>
      <c r="E2539">
        <f>IF(OR(('06_Сеть_и_дети'!E76-'06_Сеть_и_дети'!E104)=0,24&lt;='01_Вводные'!$B$297),0,('06_Сеть_и_дети'!E76-'06_Сеть_и_дети'!E104)*IF('01_Вводные'!$B$239="Да",MeanMinAge24+'19_Расчет_аналитики'!E2584*SUMIF(ThresholdAge24,"&lt;"&amp;'19_Расчет_аналитики'!E2584,WeightedRevAge24)-SUMIF(ThresholdAge24,"&lt;"&amp;'19_Расчет_аналитики'!E2584,WeightedMinAge24),MAX(CapacityAge24*'01_Вводные'!$B$218*'19_Расчет_аналитики'!E2584,MeanMinAge24)))</f>
        <v/>
      </c>
      <c r="F2539">
        <f>IF(OR(('06_Сеть_и_дети'!F76-'06_Сеть_и_дети'!F104)=0,24&lt;='01_Вводные'!$B$297),0,('06_Сеть_и_дети'!F76-'06_Сеть_и_дети'!F104)*IF('01_Вводные'!$B$239="Да",MeanMinAge24+'19_Расчет_аналитики'!F2584*SUMIF(ThresholdAge24,"&lt;"&amp;'19_Расчет_аналитики'!F2584,WeightedRevAge24)-SUMIF(ThresholdAge24,"&lt;"&amp;'19_Расчет_аналитики'!F2584,WeightedMinAge24),MAX(CapacityAge24*'01_Вводные'!$B$218*'19_Расчет_аналитики'!F2584,MeanMinAge24)))</f>
        <v/>
      </c>
      <c r="G2539">
        <f>IF(OR(('06_Сеть_и_дети'!G76-'06_Сеть_и_дети'!G104)=0,24&lt;='01_Вводные'!$B$297),0,('06_Сеть_и_дети'!G76-'06_Сеть_и_дети'!G104)*IF('01_Вводные'!$B$239="Да",MeanMinAge24+'19_Расчет_аналитики'!G2584*SUMIF(ThresholdAge24,"&lt;"&amp;'19_Расчет_аналитики'!G2584,WeightedRevAge24)-SUMIF(ThresholdAge24,"&lt;"&amp;'19_Расчет_аналитики'!G2584,WeightedMinAge24),MAX(CapacityAge24*'01_Вводные'!$B$218*'19_Расчет_аналитики'!G2584,MeanMinAge24)))</f>
        <v/>
      </c>
      <c r="H2539">
        <f>IF(OR(('06_Сеть_и_дети'!H76-'06_Сеть_и_дети'!H104)=0,24&lt;='01_Вводные'!$B$297),0,('06_Сеть_и_дети'!H76-'06_Сеть_и_дети'!H104)*IF('01_Вводные'!$B$239="Да",MeanMinAge24+'19_Расчет_аналитики'!H2584*SUMIF(ThresholdAge24,"&lt;"&amp;'19_Расчет_аналитики'!H2584,WeightedRevAge24)-SUMIF(ThresholdAge24,"&lt;"&amp;'19_Расчет_аналитики'!H2584,WeightedMinAge24),MAX(CapacityAge24*'01_Вводные'!$B$218*'19_Расчет_аналитики'!H2584,MeanMinAge24)))</f>
        <v/>
      </c>
      <c r="I2539">
        <f>IF(OR(('06_Сеть_и_дети'!I76-'06_Сеть_и_дети'!I104)=0,24&lt;='01_Вводные'!$B$297),0,('06_Сеть_и_дети'!I76-'06_Сеть_и_дети'!I104)*IF('01_Вводные'!$B$239="Да",MeanMinAge24+'19_Расчет_аналитики'!I2584*SUMIF(ThresholdAge24,"&lt;"&amp;'19_Расчет_аналитики'!I2584,WeightedRevAge24)-SUMIF(ThresholdAge24,"&lt;"&amp;'19_Расчет_аналитики'!I2584,WeightedMinAge24),MAX(CapacityAge24*'01_Вводные'!$B$218*'19_Расчет_аналитики'!I2584,MeanMinAge24)))</f>
        <v/>
      </c>
      <c r="J2539">
        <f>IF(OR(('06_Сеть_и_дети'!J76-'06_Сеть_и_дети'!J104)=0,24&lt;='01_Вводные'!$B$297),0,('06_Сеть_и_дети'!J76-'06_Сеть_и_дети'!J104)*IF('01_Вводные'!$B$239="Да",MeanMinAge24+'19_Расчет_аналитики'!J2584*SUMIF(ThresholdAge24,"&lt;"&amp;'19_Расчет_аналитики'!J2584,WeightedRevAge24)-SUMIF(ThresholdAge24,"&lt;"&amp;'19_Расчет_аналитики'!J2584,WeightedMinAge24),MAX(CapacityAge24*'01_Вводные'!$B$218*'19_Расчет_аналитики'!J2584,MeanMinAge24)))</f>
        <v/>
      </c>
      <c r="K2539">
        <f>IF(OR(('06_Сеть_и_дети'!K76-'06_Сеть_и_дети'!K104)=0,24&lt;='01_Вводные'!$B$297),0,('06_Сеть_и_дети'!K76-'06_Сеть_и_дети'!K104)*IF('01_Вводные'!$B$239="Да",MeanMinAge24+'19_Расчет_аналитики'!K2584*SUMIF(ThresholdAge24,"&lt;"&amp;'19_Расчет_аналитики'!K2584,WeightedRevAge24)-SUMIF(ThresholdAge24,"&lt;"&amp;'19_Расчет_аналитики'!K2584,WeightedMinAge24),MAX(CapacityAge24*'01_Вводные'!$B$218*'19_Расчет_аналитики'!K2584,MeanMinAge24)))</f>
        <v/>
      </c>
      <c r="L2539">
        <f>IF(OR(('06_Сеть_и_дети'!L76-'06_Сеть_и_дети'!L104)=0,24&lt;='01_Вводные'!$B$297),0,('06_Сеть_и_дети'!L76-'06_Сеть_и_дети'!L104)*IF('01_Вводные'!$B$239="Да",MeanMinAge24+'19_Расчет_аналитики'!L2584*SUMIF(ThresholdAge24,"&lt;"&amp;'19_Расчет_аналитики'!L2584,WeightedRevAge24)-SUMIF(ThresholdAge24,"&lt;"&amp;'19_Расчет_аналитики'!L2584,WeightedMinAge24),MAX(CapacityAge24*'01_Вводные'!$B$218*'19_Расчет_аналитики'!L2584,MeanMinAge24)))</f>
        <v/>
      </c>
      <c r="M2539">
        <f>IF(OR(('06_Сеть_и_дети'!M76-'06_Сеть_и_дети'!M104)=0,24&lt;='01_Вводные'!$B$297),0,('06_Сеть_и_дети'!M76-'06_Сеть_и_дети'!M104)*IF('01_Вводные'!$B$239="Да",MeanMinAge24+'19_Расчет_аналитики'!M2584*SUMIF(ThresholdAge24,"&lt;"&amp;'19_Расчет_аналитики'!M2584,WeightedRevAge24)-SUMIF(ThresholdAge24,"&lt;"&amp;'19_Расчет_аналитики'!M2584,WeightedMinAge24),MAX(CapacityAge24*'01_Вводные'!$B$218*'19_Расчет_аналитики'!M2584,MeanMinAge24)))</f>
        <v/>
      </c>
      <c r="N2539">
        <f>IF(OR(('06_Сеть_и_дети'!N76-'06_Сеть_и_дети'!N104)=0,24&lt;='01_Вводные'!$B$297),0,('06_Сеть_и_дети'!N76-'06_Сеть_и_дети'!N104)*IF('01_Вводные'!$B$239="Да",MeanMinAge24+'19_Расчет_аналитики'!N2584*SUMIF(ThresholdAge24,"&lt;"&amp;'19_Расчет_аналитики'!N2584,WeightedRevAge24)-SUMIF(ThresholdAge24,"&lt;"&amp;'19_Расчет_аналитики'!N2584,WeightedMinAge24),MAX(CapacityAge24*'01_Вводные'!$B$218*'19_Расчет_аналитики'!N2584,MeanMinAge24)))</f>
        <v/>
      </c>
      <c r="O2539">
        <f>IF(OR(('06_Сеть_и_дети'!O76-'06_Сеть_и_дети'!O104)=0,24&lt;='01_Вводные'!$B$297),0,('06_Сеть_и_дети'!O76-'06_Сеть_и_дети'!O104)*IF('01_Вводные'!$B$239="Да",MeanMinAge24+'19_Расчет_аналитики'!O2584*SUMIF(ThresholdAge24,"&lt;"&amp;'19_Расчет_аналитики'!O2584,WeightedRevAge24)-SUMIF(ThresholdAge24,"&lt;"&amp;'19_Расчет_аналитики'!O2584,WeightedMinAge24),MAX(CapacityAge24*'01_Вводные'!$B$218*'19_Расчет_аналитики'!O2584,MeanMinAge24)))</f>
        <v/>
      </c>
      <c r="P2539">
        <f>IF(OR(('06_Сеть_и_дети'!P76-'06_Сеть_и_дети'!P104)=0,24&lt;='01_Вводные'!$B$297),0,('06_Сеть_и_дети'!P76-'06_Сеть_и_дети'!P104)*IF('01_Вводные'!$B$239="Да",MeanMinAge24+'19_Расчет_аналитики'!P2584*SUMIF(ThresholdAge24,"&lt;"&amp;'19_Расчет_аналитики'!P2584,WeightedRevAge24)-SUMIF(ThresholdAge24,"&lt;"&amp;'19_Расчет_аналитики'!P2584,WeightedMinAge24),MAX(CapacityAge24*'01_Вводные'!$B$218*'19_Расчет_аналитики'!P2584,MeanMinAge24)))</f>
        <v/>
      </c>
      <c r="Q2539">
        <f>IF(OR(('06_Сеть_и_дети'!Q76-'06_Сеть_и_дети'!Q104)=0,24&lt;='01_Вводные'!$B$297),0,('06_Сеть_и_дети'!Q76-'06_Сеть_и_дети'!Q104)*IF('01_Вводные'!$B$239="Да",MeanMinAge24+'19_Расчет_аналитики'!Q2584*SUMIF(ThresholdAge24,"&lt;"&amp;'19_Расчет_аналитики'!Q2584,WeightedRevAge24)-SUMIF(ThresholdAge24,"&lt;"&amp;'19_Расчет_аналитики'!Q2584,WeightedMinAge24),MAX(CapacityAge24*'01_Вводные'!$B$218*'19_Расчет_аналитики'!Q2584,MeanMinAge24)))</f>
        <v/>
      </c>
      <c r="R2539">
        <f>IF(OR(('06_Сеть_и_дети'!R76-'06_Сеть_и_дети'!R104)=0,24&lt;='01_Вводные'!$B$297),0,('06_Сеть_и_дети'!R76-'06_Сеть_и_дети'!R104)*IF('01_Вводные'!$B$239="Да",MeanMinAge24+'19_Расчет_аналитики'!R2584*SUMIF(ThresholdAge24,"&lt;"&amp;'19_Расчет_аналитики'!R2584,WeightedRevAge24)-SUMIF(ThresholdAge24,"&lt;"&amp;'19_Расчет_аналитики'!R2584,WeightedMinAge24),MAX(CapacityAge24*'01_Вводные'!$B$218*'19_Расчет_аналитики'!R2584,MeanMinAge24)))</f>
        <v/>
      </c>
      <c r="S2539">
        <f>IF(OR(('06_Сеть_и_дети'!S76-'06_Сеть_и_дети'!S104)=0,24&lt;='01_Вводные'!$B$297),0,('06_Сеть_и_дети'!S76-'06_Сеть_и_дети'!S104)*IF('01_Вводные'!$B$239="Да",MeanMinAge24+'19_Расчет_аналитики'!S2584*SUMIF(ThresholdAge24,"&lt;"&amp;'19_Расчет_аналитики'!S2584,WeightedRevAge24)-SUMIF(ThresholdAge24,"&lt;"&amp;'19_Расчет_аналитики'!S2584,WeightedMinAge24),MAX(CapacityAge24*'01_Вводные'!$B$218*'19_Расчет_аналитики'!S2584,MeanMinAge24)))</f>
        <v/>
      </c>
      <c r="T2539">
        <f>IF(OR(('06_Сеть_и_дети'!T76-'06_Сеть_и_дети'!T104)=0,24&lt;='01_Вводные'!$B$297),0,('06_Сеть_и_дети'!T76-'06_Сеть_и_дети'!T104)*IF('01_Вводные'!$B$239="Да",MeanMinAge24+'19_Расчет_аналитики'!T2584*SUMIF(ThresholdAge24,"&lt;"&amp;'19_Расчет_аналитики'!T2584,WeightedRevAge24)-SUMIF(ThresholdAge24,"&lt;"&amp;'19_Расчет_аналитики'!T2584,WeightedMinAge24),MAX(CapacityAge24*'01_Вводные'!$B$218*'19_Расчет_аналитики'!T2584,MeanMinAge24)))</f>
        <v/>
      </c>
      <c r="U2539">
        <f>IF(OR(('06_Сеть_и_дети'!U76-'06_Сеть_и_дети'!U104)=0,24&lt;='01_Вводные'!$B$297),0,('06_Сеть_и_дети'!U76-'06_Сеть_и_дети'!U104)*IF('01_Вводные'!$B$239="Да",MeanMinAge24+'19_Расчет_аналитики'!U2584*SUMIF(ThresholdAge24,"&lt;"&amp;'19_Расчет_аналитики'!U2584,WeightedRevAge24)-SUMIF(ThresholdAge24,"&lt;"&amp;'19_Расчет_аналитики'!U2584,WeightedMinAge24),MAX(CapacityAge24*'01_Вводные'!$B$218*'19_Расчет_аналитики'!U2584,MeanMinAge24)))</f>
        <v/>
      </c>
      <c r="V2539">
        <f>IF(OR(('06_Сеть_и_дети'!V76-'06_Сеть_и_дети'!V104)=0,24&lt;='01_Вводные'!$B$297),0,('06_Сеть_и_дети'!V76-'06_Сеть_и_дети'!V104)*IF('01_Вводные'!$B$239="Да",MeanMinAge24+'19_Расчет_аналитики'!V2584*SUMIF(ThresholdAge24,"&lt;"&amp;'19_Расчет_аналитики'!V2584,WeightedRevAge24)-SUMIF(ThresholdAge24,"&lt;"&amp;'19_Расчет_аналитики'!V2584,WeightedMinAge24),MAX(CapacityAge24*'01_Вводные'!$B$218*'19_Расчет_аналитики'!V2584,MeanMinAge24)))</f>
        <v/>
      </c>
      <c r="W2539">
        <f>IF(OR(('06_Сеть_и_дети'!W76-'06_Сеть_и_дети'!W104)=0,24&lt;='01_Вводные'!$B$297),0,('06_Сеть_и_дети'!W76-'06_Сеть_и_дети'!W104)*IF('01_Вводные'!$B$239="Да",MeanMinAge24+'19_Расчет_аналитики'!W2584*SUMIF(ThresholdAge24,"&lt;"&amp;'19_Расчет_аналитики'!W2584,WeightedRevAge24)-SUMIF(ThresholdAge24,"&lt;"&amp;'19_Расчет_аналитики'!W2584,WeightedMinAge24),MAX(CapacityAge24*'01_Вводные'!$B$218*'19_Расчет_аналитики'!W2584,MeanMinAge24)))</f>
        <v/>
      </c>
      <c r="X2539">
        <f>IF(OR(('06_Сеть_и_дети'!X76-'06_Сеть_и_дети'!X104)=0,24&lt;='01_Вводные'!$B$297),0,('06_Сеть_и_дети'!X76-'06_Сеть_и_дети'!X104)*IF('01_Вводные'!$B$239="Да",MeanMinAge24+'19_Расчет_аналитики'!X2584*SUMIF(ThresholdAge24,"&lt;"&amp;'19_Расчет_аналитики'!X2584,WeightedRevAge24)-SUMIF(ThresholdAge24,"&lt;"&amp;'19_Расчет_аналитики'!X2584,WeightedMinAge24),MAX(CapacityAge24*'01_Вводные'!$B$218*'19_Расчет_аналитики'!X2584,MeanMinAge24)))</f>
        <v/>
      </c>
      <c r="Y2539">
        <f>IF(OR(('19_Расчет_аналитики'!Y2455-'19_Расчет_аналитики'!Y2483)=0,24&lt;='01_Вводные'!$B$297),0,('19_Расчет_аналитики'!Y2455-'19_Расчет_аналитики'!Y2483)*IF('01_Вводные'!$B$239="Да",MeanMinAge24+'19_Расчет_аналитики'!Y2584*SUMIF(ThresholdAge24,"&lt;"&amp;'19_Расчет_аналитики'!Y2584,WeightedRevAge24)-SUMIF(ThresholdAge24,"&lt;"&amp;'19_Расчет_аналитики'!Y2584,WeightedMinAge24),MAX(CapacityAge24*'01_Вводные'!$B$218*'19_Расчет_аналитики'!Y2584,MeanMinAge24)))</f>
        <v/>
      </c>
      <c r="Z2539">
        <f>IF(OR(('19_Расчет_аналитики'!Z2455-'19_Расчет_аналитики'!Z2483)=0,24&lt;='01_Вводные'!$B$297),0,('19_Расчет_аналитики'!Z2455-'19_Расчет_аналитики'!Z2483)*IF('01_Вводные'!$B$239="Да",MeanMinAge24+'19_Расчет_аналитики'!Z2584*SUMIF(ThresholdAge24,"&lt;"&amp;'19_Расчет_аналитики'!Z2584,WeightedRevAge24)-SUMIF(ThresholdAge24,"&lt;"&amp;'19_Расчет_аналитики'!Z2584,WeightedMinAge24),MAX(CapacityAge24*'01_Вводные'!$B$218*'19_Расчет_аналитики'!Z2584,MeanMinAge24)))</f>
        <v/>
      </c>
      <c r="AA2539">
        <f>IF(OR(('19_Расчет_аналитики'!AA2455-'19_Расчет_аналитики'!AA2483)=0,24&lt;='01_Вводные'!$B$297),0,('19_Расчет_аналитики'!AA2455-'19_Расчет_аналитики'!AA2483)*IF('01_Вводные'!$B$239="Да",MeanMinAge24+'19_Расчет_аналитики'!AA2584*SUMIF(ThresholdAge24,"&lt;"&amp;'19_Расчет_аналитики'!AA2584,WeightedRevAge24)-SUMIF(ThresholdAge24,"&lt;"&amp;'19_Расчет_аналитики'!AA2584,WeightedMinAge24),MAX(CapacityAge24*'01_Вводные'!$B$218*'19_Расчет_аналитики'!AA2584,MeanMinAge24)))</f>
        <v/>
      </c>
      <c r="AB2539">
        <f>IF(OR(('19_Расчет_аналитики'!AB2455-'19_Расчет_аналитики'!AB2483)=0,24&lt;='01_Вводные'!$B$297),0,('19_Расчет_аналитики'!AB2455-'19_Расчет_аналитики'!AB2483)*IF('01_Вводные'!$B$239="Да",MeanMinAge24+'19_Расчет_аналитики'!AB2584*SUMIF(ThresholdAge24,"&lt;"&amp;'19_Расчет_аналитики'!AB2584,WeightedRevAge24)-SUMIF(ThresholdAge24,"&lt;"&amp;'19_Расчет_аналитики'!AB2584,WeightedMinAge24),MAX(CapacityAge24*'01_Вводные'!$B$218*'19_Расчет_аналитики'!AB2584,MeanMinAge24)))</f>
        <v/>
      </c>
      <c r="AC2539">
        <f>IF(OR(('19_Расчет_аналитики'!AC2455-'19_Расчет_аналитики'!AC2483)=0,24&lt;='01_Вводные'!$B$297),0,('19_Расчет_аналитики'!AC2455-'19_Расчет_аналитики'!AC2483)*IF('01_Вводные'!$B$239="Да",MeanMinAge24+'19_Расчет_аналитики'!AC2584*SUMIF(ThresholdAge24,"&lt;"&amp;'19_Расчет_аналитики'!AC2584,WeightedRevAge24)-SUMIF(ThresholdAge24,"&lt;"&amp;'19_Расчет_аналитики'!AC2584,WeightedMinAge24),MAX(CapacityAge24*'01_Вводные'!$B$218*'19_Расчет_аналитики'!AC2584,MeanMinAge24)))</f>
        <v/>
      </c>
      <c r="AD2539">
        <f>IF(OR(('19_Расчет_аналитики'!AD2455-'19_Расчет_аналитики'!AD2483)=0,24&lt;='01_Вводные'!$B$297),0,('19_Расчет_аналитики'!AD2455-'19_Расчет_аналитики'!AD2483)*IF('01_Вводные'!$B$239="Да",MeanMinAge24+'19_Расчет_аналитики'!AD2584*SUMIF(ThresholdAge24,"&lt;"&amp;'19_Расчет_аналитики'!AD2584,WeightedRevAge24)-SUMIF(ThresholdAge24,"&lt;"&amp;'19_Расчет_аналитики'!AD2584,WeightedMinAge24),MAX(CapacityAge24*'01_Вводные'!$B$218*'19_Расчет_аналитики'!AD2584,MeanMinAge24)))</f>
        <v/>
      </c>
      <c r="AE2539">
        <f>IF(OR(('19_Расчет_аналитики'!AE2455-'19_Расчет_аналитики'!AE2483)=0,24&lt;='01_Вводные'!$B$297),0,('19_Расчет_аналитики'!AE2455-'19_Расчет_аналитики'!AE2483)*IF('01_Вводные'!$B$239="Да",MeanMinAge24+'19_Расчет_аналитики'!AE2584*SUMIF(ThresholdAge24,"&lt;"&amp;'19_Расчет_аналитики'!AE2584,WeightedRevAge24)-SUMIF(ThresholdAge24,"&lt;"&amp;'19_Расчет_аналитики'!AE2584,WeightedMinAge24),MAX(CapacityAge24*'01_Вводные'!$B$218*'19_Расчет_аналитики'!AE2584,MeanMinAge24)))</f>
        <v/>
      </c>
      <c r="AF2539">
        <f>IF(OR(('19_Расчет_аналитики'!AF2455-'19_Расчет_аналитики'!AF2483)=0,24&lt;='01_Вводные'!$B$297),0,('19_Расчет_аналитики'!AF2455-'19_Расчет_аналитики'!AF2483)*IF('01_Вводные'!$B$239="Да",MeanMinAge24+'19_Расчет_аналитики'!AF2584*SUMIF(ThresholdAge24,"&lt;"&amp;'19_Расчет_аналитики'!AF2584,WeightedRevAge24)-SUMIF(ThresholdAge24,"&lt;"&amp;'19_Расчет_аналитики'!AF2584,WeightedMinAge24),MAX(CapacityAge24*'01_Вводные'!$B$218*'19_Расчет_аналитики'!AF2584,MeanMinAge24)))</f>
        <v/>
      </c>
      <c r="AG2539">
        <f>IF(OR(('19_Расчет_аналитики'!AG2455-'19_Расчет_аналитики'!AG2483)=0,24&lt;='01_Вводные'!$B$297),0,('19_Расчет_аналитики'!AG2455-'19_Расчет_аналитики'!AG2483)*IF('01_Вводные'!$B$239="Да",MeanMinAge24+'19_Расчет_аналитики'!AG2584*SUMIF(ThresholdAge24,"&lt;"&amp;'19_Расчет_аналитики'!AG2584,WeightedRevAge24)-SUMIF(ThresholdAge24,"&lt;"&amp;'19_Расчет_аналитики'!AG2584,WeightedMinAge24),MAX(CapacityAge24*'01_Вводные'!$B$218*'19_Расчет_аналитики'!AG2584,MeanMinAge24)))</f>
        <v/>
      </c>
      <c r="AH2539">
        <f>IF(OR(('19_Расчет_аналитики'!AH2455-'19_Расчет_аналитики'!AH2483)=0,24&lt;='01_Вводные'!$B$297),0,('19_Расчет_аналитики'!AH2455-'19_Расчет_аналитики'!AH2483)*IF('01_Вводные'!$B$239="Да",MeanMinAge24+'19_Расчет_аналитики'!AH2584*SUMIF(ThresholdAge24,"&lt;"&amp;'19_Расчет_аналитики'!AH2584,WeightedRevAge24)-SUMIF(ThresholdAge24,"&lt;"&amp;'19_Расчет_аналитики'!AH2584,WeightedMinAge24),MAX(CapacityAge24*'01_Вводные'!$B$218*'19_Расчет_аналитики'!AH2584,MeanMinAge24)))</f>
        <v/>
      </c>
      <c r="AI2539">
        <f>IF(OR(('19_Расчет_аналитики'!AI2455-'19_Расчет_аналитики'!AI2483)=0,24&lt;='01_Вводные'!$B$297),0,('19_Расчет_аналитики'!AI2455-'19_Расчет_аналитики'!AI2483)*IF('01_Вводные'!$B$239="Да",MeanMinAge24+'19_Расчет_аналитики'!AI2584*SUMIF(ThresholdAge24,"&lt;"&amp;'19_Расчет_аналитики'!AI2584,WeightedRevAge24)-SUMIF(ThresholdAge24,"&lt;"&amp;'19_Расчет_аналитики'!AI2584,WeightedMinAge24),MAX(CapacityAge24*'01_Вводные'!$B$218*'19_Расчет_аналитики'!AI2584,MeanMinAge24)))</f>
        <v/>
      </c>
      <c r="AJ2539">
        <f>IF(OR(('19_Расчет_аналитики'!AJ2455-'19_Расчет_аналитики'!AJ2483)=0,24&lt;='01_Вводные'!$B$297),0,('19_Расчет_аналитики'!AJ2455-'19_Расчет_аналитики'!AJ2483)*IF('01_Вводные'!$B$239="Да",MeanMinAge24+'19_Расчет_аналитики'!AJ2584*SUMIF(ThresholdAge24,"&lt;"&amp;'19_Расчет_аналитики'!AJ2584,WeightedRevAge24)-SUMIF(ThresholdAge24,"&lt;"&amp;'19_Расчет_аналитики'!AJ2584,WeightedMinAge24),MAX(CapacityAge24*'01_Вводные'!$B$218*'19_Расчет_аналитики'!AJ2584,MeanMinAge24)))</f>
        <v/>
      </c>
      <c r="AK2539">
        <f>IF(OR(('19_Расчет_аналитики'!AK2455-'19_Расчет_аналитики'!AK2483)=0,24&lt;='01_Вводные'!$B$297),0,('19_Расчет_аналитики'!AK2455-'19_Расчет_аналитики'!AK2483)*IF('01_Вводные'!$B$239="Да",MeanMinAge24+'19_Расчет_аналитики'!AK2584*SUMIF(ThresholdAge24,"&lt;"&amp;'19_Расчет_аналитики'!AK2584,WeightedRevAge24)-SUMIF(ThresholdAge24,"&lt;"&amp;'19_Расчет_аналитики'!AK2584,WeightedMinAge24),MAX(CapacityAge24*'01_Вводные'!$B$218*'19_Расчет_аналитики'!AK2584,MeanMinAge24)))</f>
        <v/>
      </c>
      <c r="AL2539">
        <f>IF(OR(('19_Расчет_аналитики'!AL2455-'19_Расчет_аналитики'!AL2483)=0,24&lt;='01_Вводные'!$B$297),0,('19_Расчет_аналитики'!AL2455-'19_Расчет_аналитики'!AL2483)*IF('01_Вводные'!$B$239="Да",MeanMinAge24+'19_Расчет_аналитики'!AL2584*SUMIF(ThresholdAge24,"&lt;"&amp;'19_Расчет_аналитики'!AL2584,WeightedRevAge24)-SUMIF(ThresholdAge24,"&lt;"&amp;'19_Расчет_аналитики'!AL2584,WeightedMinAge24),MAX(CapacityAge24*'01_Вводные'!$B$218*'19_Расчет_аналитики'!AL2584,MeanMinAge24)))</f>
        <v/>
      </c>
      <c r="AM2539">
        <f>IF(OR(('19_Расчет_аналитики'!AM2455-'19_Расчет_аналитики'!AM2483)=0,24&lt;='01_Вводные'!$B$297),0,('19_Расчет_аналитики'!AM2455-'19_Расчет_аналитики'!AM2483)*IF('01_Вводные'!$B$239="Да",MeanMinAge24+'19_Расчет_аналитики'!AM2584*SUMIF(ThresholdAge24,"&lt;"&amp;'19_Расчет_аналитики'!AM2584,WeightedRevAge24)-SUMIF(ThresholdAge24,"&lt;"&amp;'19_Расчет_аналитики'!AM2584,WeightedMinAge24),MAX(CapacityAge24*'01_Вводные'!$B$218*'19_Расчет_аналитики'!AM2584,MeanMinAge24)))</f>
        <v/>
      </c>
      <c r="AN2539">
        <f>IF(OR(('19_Расчет_аналитики'!AN2455-'19_Расчет_аналитики'!AN2483)=0,24&lt;='01_Вводные'!$B$297),0,('19_Расчет_аналитики'!AN2455-'19_Расчет_аналитики'!AN2483)*IF('01_Вводные'!$B$239="Да",MeanMinAge24+'19_Расчет_аналитики'!AN2584*SUMIF(ThresholdAge24,"&lt;"&amp;'19_Расчет_аналитики'!AN2584,WeightedRevAge24)-SUMIF(ThresholdAge24,"&lt;"&amp;'19_Расчет_аналитики'!AN2584,WeightedMinAge24),MAX(CapacityAge24*'01_Вводные'!$B$218*'19_Расчет_аналитики'!AN2584,MeanMinAge24)))</f>
        <v/>
      </c>
      <c r="AO2539">
        <f>IF(OR(('19_Расчет_аналитики'!AO2455-'19_Расчет_аналитики'!AO2483)=0,24&lt;='01_Вводные'!$B$297),0,('19_Расчет_аналитики'!AO2455-'19_Расчет_аналитики'!AO2483)*IF('01_Вводные'!$B$239="Да",MeanMinAge24+'19_Расчет_аналитики'!AO2584*SUMIF(ThresholdAge24,"&lt;"&amp;'19_Расчет_аналитики'!AO2584,WeightedRevAge24)-SUMIF(ThresholdAge24,"&lt;"&amp;'19_Расчет_аналитики'!AO2584,WeightedMinAge24),MAX(CapacityAge24*'01_Вводные'!$B$218*'19_Расчет_аналитики'!AO2584,MeanMinAge24)))</f>
        <v/>
      </c>
      <c r="AP2539">
        <f>IF(OR(('19_Расчет_аналитики'!AP2455-'19_Расчет_аналитики'!AP2483)=0,24&lt;='01_Вводные'!$B$297),0,('19_Расчет_аналитики'!AP2455-'19_Расчет_аналитики'!AP2483)*IF('01_Вводные'!$B$239="Да",MeanMinAge24+'19_Расчет_аналитики'!AP2584*SUMIF(ThresholdAge24,"&lt;"&amp;'19_Расчет_аналитики'!AP2584,WeightedRevAge24)-SUMIF(ThresholdAge24,"&lt;"&amp;'19_Расчет_аналитики'!AP2584,WeightedMinAge24),MAX(CapacityAge24*'01_Вводные'!$B$218*'19_Расчет_аналитики'!AP2584,MeanMinAge24)))</f>
        <v/>
      </c>
      <c r="AQ2539">
        <f>IF(OR(('19_Расчет_аналитики'!AQ2455-'19_Расчет_аналитики'!AQ2483)=0,24&lt;='01_Вводные'!$B$297),0,('19_Расчет_аналитики'!AQ2455-'19_Расчет_аналитики'!AQ2483)*IF('01_Вводные'!$B$239="Да",MeanMinAge24+'19_Расчет_аналитики'!AQ2584*SUMIF(ThresholdAge24,"&lt;"&amp;'19_Расчет_аналитики'!AQ2584,WeightedRevAge24)-SUMIF(ThresholdAge24,"&lt;"&amp;'19_Расчет_аналитики'!AQ2584,WeightedMinAge24),MAX(CapacityAge24*'01_Вводные'!$B$218*'19_Расчет_аналитики'!AQ2584,MeanMinAge24)))</f>
        <v/>
      </c>
      <c r="AR2539">
        <f>IF(OR(('19_Расчет_аналитики'!AR2455-'19_Расчет_аналитики'!AR2483)=0,24&lt;='01_Вводные'!$B$297),0,('19_Расчет_аналитики'!AR2455-'19_Расчет_аналитики'!AR2483)*IF('01_Вводные'!$B$239="Да",MeanMinAge24+'19_Расчет_аналитики'!AR2584*SUMIF(ThresholdAge24,"&lt;"&amp;'19_Расчет_аналитики'!AR2584,WeightedRevAge24)-SUMIF(ThresholdAge24,"&lt;"&amp;'19_Расчет_аналитики'!AR2584,WeightedMinAge24),MAX(CapacityAge24*'01_Вводные'!$B$218*'19_Расчет_аналитики'!AR2584,MeanMinAge24)))</f>
        <v/>
      </c>
      <c r="AS2539">
        <f>IF(OR(('19_Расчет_аналитики'!AS2455-'19_Расчет_аналитики'!AS2483)=0,24&lt;='01_Вводные'!$B$297),0,('19_Расчет_аналитики'!AS2455-'19_Расчет_аналитики'!AS2483)*IF('01_Вводные'!$B$239="Да",MeanMinAge24+'19_Расчет_аналитики'!AS2584*SUMIF(ThresholdAge24,"&lt;"&amp;'19_Расчет_аналитики'!AS2584,WeightedRevAge24)-SUMIF(ThresholdAge24,"&lt;"&amp;'19_Расчет_аналитики'!AS2584,WeightedMinAge24),MAX(CapacityAge24*'01_Вводные'!$B$218*'19_Расчет_аналитики'!AS2584,MeanMinAge24)))</f>
        <v/>
      </c>
      <c r="AT2539">
        <f>IF(OR(('19_Расчет_аналитики'!AT2455-'19_Расчет_аналитики'!AT2483)=0,24&lt;='01_Вводные'!$B$297),0,('19_Расчет_аналитики'!AT2455-'19_Расчет_аналитики'!AT2483)*IF('01_Вводные'!$B$239="Да",MeanMinAge24+'19_Расчет_аналитики'!AT2584*SUMIF(ThresholdAge24,"&lt;"&amp;'19_Расчет_аналитики'!AT2584,WeightedRevAge24)-SUMIF(ThresholdAge24,"&lt;"&amp;'19_Расчет_аналитики'!AT2584,WeightedMinAge24),MAX(CapacityAge24*'01_Вводные'!$B$218*'19_Расчет_аналитики'!AT2584,MeanMinAge24)))</f>
        <v/>
      </c>
      <c r="AU2539">
        <f>IF(OR(('19_Расчет_аналитики'!AU2455-'19_Расчет_аналитики'!AU2483)=0,24&lt;='01_Вводные'!$B$297),0,('19_Расчет_аналитики'!AU2455-'19_Расчет_аналитики'!AU2483)*IF('01_Вводные'!$B$239="Да",MeanMinAge24+'19_Расчет_аналитики'!AU2584*SUMIF(ThresholdAge24,"&lt;"&amp;'19_Расчет_аналитики'!AU2584,WeightedRevAge24)-SUMIF(ThresholdAge24,"&lt;"&amp;'19_Расчет_аналитики'!AU2584,WeightedMinAge24),MAX(CapacityAge24*'01_Вводные'!$B$218*'19_Расчет_аналитики'!AU2584,MeanMinAge24)))</f>
        <v/>
      </c>
      <c r="AV2539">
        <f>IF(OR(('19_Расчет_аналитики'!AV2455-'19_Расчет_аналитики'!AV2483)=0,24&lt;='01_Вводные'!$B$297),0,('19_Расчет_аналитики'!AV2455-'19_Расчет_аналитики'!AV2483)*IF('01_Вводные'!$B$239="Да",MeanMinAge24+'19_Расчет_аналитики'!AV2584*SUMIF(ThresholdAge24,"&lt;"&amp;'19_Расчет_аналитики'!AV2584,WeightedRevAge24)-SUMIF(ThresholdAge24,"&lt;"&amp;'19_Расчет_аналитики'!AV2584,WeightedMinAge24),MAX(CapacityAge24*'01_Вводные'!$B$218*'19_Расчет_аналитики'!AV2584,MeanMinAge24)))</f>
        <v/>
      </c>
      <c r="AW2539">
        <f>IF(OR(('19_Расчет_аналитики'!AW2455-'19_Расчет_аналитики'!AW2483)=0,24&lt;='01_Вводные'!$B$297),0,('19_Расчет_аналитики'!AW2455-'19_Расчет_аналитики'!AW2483)*IF('01_Вводные'!$B$239="Да",MeanMinAge24+'19_Расчет_аналитики'!AW2584*SUMIF(ThresholdAge24,"&lt;"&amp;'19_Расчет_аналитики'!AW2584,WeightedRevAge24)-SUMIF(ThresholdAge24,"&lt;"&amp;'19_Расчет_аналитики'!AW2584,WeightedMinAge24),MAX(CapacityAge24*'01_Вводные'!$B$218*'19_Расчет_аналитики'!AW2584,MeanMinAge24)))</f>
        <v/>
      </c>
      <c r="AX2539">
        <f>IF(OR(('19_Расчет_аналитики'!AX2455-'19_Расчет_аналитики'!AX2483)=0,24&lt;='01_Вводные'!$B$297),0,('19_Расчет_аналитики'!AX2455-'19_Расчет_аналитики'!AX2483)*IF('01_Вводные'!$B$239="Да",MeanMinAge24+'19_Расчет_аналитики'!AX2584*SUMIF(ThresholdAge24,"&lt;"&amp;'19_Расчет_аналитики'!AX2584,WeightedRevAge24)-SUMIF(ThresholdAge24,"&lt;"&amp;'19_Расчет_аналитики'!AX2584,WeightedMinAge24),MAX(CapacityAge24*'01_Вводные'!$B$218*'19_Расчет_аналитики'!AX2584,MeanMinAge24)))</f>
        <v/>
      </c>
      <c r="AY2539">
        <f>IF(OR(('19_Расчет_аналитики'!AY2455-'19_Расчет_аналитики'!AY2483)=0,24&lt;='01_Вводные'!$B$297),0,('19_Расчет_аналитики'!AY2455-'19_Расчет_аналитики'!AY2483)*IF('01_Вводные'!$B$239="Да",MeanMinAge24+'19_Расчет_аналитики'!AY2584*SUMIF(ThresholdAge24,"&lt;"&amp;'19_Расчет_аналитики'!AY2584,WeightedRevAge24)-SUMIF(ThresholdAge24,"&lt;"&amp;'19_Расчет_аналитики'!AY2584,WeightedMinAge24),MAX(CapacityAge24*'01_Вводные'!$B$218*'19_Расчет_аналитики'!AY2584,MeanMinAge24)))</f>
        <v/>
      </c>
      <c r="AZ2539">
        <f>IF(OR(('19_Расчет_аналитики'!AZ2455-'19_Расчет_аналитики'!AZ2483)=0,24&lt;='01_Вводные'!$B$297),0,('19_Расчет_аналитики'!AZ2455-'19_Расчет_аналитики'!AZ2483)*IF('01_Вводные'!$B$239="Да",MeanMinAge24+'19_Расчет_аналитики'!AZ2584*SUMIF(ThresholdAge24,"&lt;"&amp;'19_Расчет_аналитики'!AZ2584,WeightedRevAge24)-SUMIF(ThresholdAge24,"&lt;"&amp;'19_Расчет_аналитики'!AZ2584,WeightedMinAge24),MAX(CapacityAge24*'01_Вводные'!$B$218*'19_Расчет_аналитики'!AZ2584,MeanMinAge24)))</f>
        <v/>
      </c>
      <c r="BA2539">
        <f>IF(OR(('19_Расчет_аналитики'!BA2455-'19_Расчет_аналитики'!BA2483)=0,24&lt;='01_Вводные'!$B$297),0,('19_Расчет_аналитики'!BA2455-'19_Расчет_аналитики'!BA2483)*IF('01_Вводные'!$B$239="Да",MeanMinAge24+'19_Расчет_аналитики'!BA2584*SUMIF(ThresholdAge24,"&lt;"&amp;'19_Расчет_аналитики'!BA2584,WeightedRevAge24)-SUMIF(ThresholdAge24,"&lt;"&amp;'19_Расчет_аналитики'!BA2584,WeightedMinAge24),MAX(CapacityAge24*'01_Вводные'!$B$218*'19_Расчет_аналитики'!BA2584,MeanMinAge24)))</f>
        <v/>
      </c>
      <c r="BB2539">
        <f>IF(OR(('19_Расчет_аналитики'!BB2455-'19_Расчет_аналитики'!BB2483)=0,24&lt;='01_Вводные'!$B$297),0,('19_Расчет_аналитики'!BB2455-'19_Расчет_аналитики'!BB2483)*IF('01_Вводные'!$B$239="Да",MeanMinAge24+'19_Расчет_аналитики'!BB2584*SUMIF(ThresholdAge24,"&lt;"&amp;'19_Расчет_аналитики'!BB2584,WeightedRevAge24)-SUMIF(ThresholdAge24,"&lt;"&amp;'19_Расчет_аналитики'!BB2584,WeightedMinAge24),MAX(CapacityAge24*'01_Вводные'!$B$218*'19_Расчет_аналитики'!BB2584,MeanMinAge24)))</f>
        <v/>
      </c>
      <c r="BC2539">
        <f>IF(OR(('19_Расчет_аналитики'!BC2455-'19_Расчет_аналитики'!BC2483)=0,24&lt;='01_Вводные'!$B$297),0,('19_Расчет_аналитики'!BC2455-'19_Расчет_аналитики'!BC2483)*IF('01_Вводные'!$B$239="Да",MeanMinAge24+'19_Расчет_аналитики'!BC2584*SUMIF(ThresholdAge24,"&lt;"&amp;'19_Расчет_аналитики'!BC2584,WeightedRevAge24)-SUMIF(ThresholdAge24,"&lt;"&amp;'19_Расчет_аналитики'!BC2584,WeightedMinAge24),MAX(CapacityAge24*'01_Вводные'!$B$218*'19_Расчет_аналитики'!BC2584,MeanMinAge24)))</f>
        <v/>
      </c>
      <c r="BD2539">
        <f>IF(OR(('19_Расчет_аналитики'!BD2455-'19_Расчет_аналитики'!BD2483)=0,24&lt;='01_Вводные'!$B$297),0,('19_Расчет_аналитики'!BD2455-'19_Расчет_аналитики'!BD2483)*IF('01_Вводные'!$B$239="Да",MeanMinAge24+'19_Расчет_аналитики'!BD2584*SUMIF(ThresholdAge24,"&lt;"&amp;'19_Расчет_аналитики'!BD2584,WeightedRevAge24)-SUMIF(ThresholdAge24,"&lt;"&amp;'19_Расчет_аналитики'!BD2584,WeightedMinAge24),MAX(CapacityAge24*'01_Вводные'!$B$218*'19_Расчет_аналитики'!BD2584,MeanMinAge24)))</f>
        <v/>
      </c>
      <c r="BE2539">
        <f>IF(OR(('19_Расчет_аналитики'!BE2455-'19_Расчет_аналитики'!BE2483)=0,24&lt;='01_Вводные'!$B$297),0,('19_Расчет_аналитики'!BE2455-'19_Расчет_аналитики'!BE2483)*IF('01_Вводные'!$B$239="Да",MeanMinAge24+'19_Расчет_аналитики'!BE2584*SUMIF(ThresholdAge24,"&lt;"&amp;'19_Расчет_аналитики'!BE2584,WeightedRevAge24)-SUMIF(ThresholdAge24,"&lt;"&amp;'19_Расчет_аналитики'!BE2584,WeightedMinAge24),MAX(CapacityAge24*'01_Вводные'!$B$218*'19_Расчет_аналитики'!BE2584,MeanMinAge24)))</f>
        <v/>
      </c>
      <c r="BF2539">
        <f>IF(OR(('19_Расчет_аналитики'!BF2455-'19_Расчет_аналитики'!BF2483)=0,24&lt;='01_Вводные'!$B$297),0,('19_Расчет_аналитики'!BF2455-'19_Расчет_аналитики'!BF2483)*IF('01_Вводные'!$B$239="Да",MeanMinAge24+'19_Расчет_аналитики'!BF2584*SUMIF(ThresholdAge24,"&lt;"&amp;'19_Расчет_аналитики'!BF2584,WeightedRevAge24)-SUMIF(ThresholdAge24,"&lt;"&amp;'19_Расчет_аналитики'!BF2584,WeightedMinAge24),MAX(CapacityAge24*'01_Вводные'!$B$218*'19_Расчет_аналитики'!BF2584,MeanMinAge24)))</f>
        <v/>
      </c>
      <c r="BG2539">
        <f>IF(OR(('19_Расчет_аналитики'!BG2455-'19_Расчет_аналитики'!BG2483)=0,24&lt;='01_Вводные'!$B$297),0,('19_Расчет_аналитики'!BG2455-'19_Расчет_аналитики'!BG2483)*IF('01_Вводные'!$B$239="Да",MeanMinAge24+'19_Расчет_аналитики'!BG2584*SUMIF(ThresholdAge24,"&lt;"&amp;'19_Расчет_аналитики'!BG2584,WeightedRevAge24)-SUMIF(ThresholdAge24,"&lt;"&amp;'19_Расчет_аналитики'!BG2584,WeightedMinAge24),MAX(CapacityAge24*'01_Вводные'!$B$218*'19_Расчет_аналитики'!BG2584,MeanMinAge24)))</f>
        <v/>
      </c>
      <c r="BH2539">
        <f>IF(OR(('19_Расчет_аналитики'!BH2455-'19_Расчет_аналитики'!BH2483)=0,24&lt;='01_Вводные'!$B$297),0,('19_Расчет_аналитики'!BH2455-'19_Расчет_аналитики'!BH2483)*IF('01_Вводные'!$B$239="Да",MeanMinAge24+'19_Расчет_аналитики'!BH2584*SUMIF(ThresholdAge24,"&lt;"&amp;'19_Расчет_аналитики'!BH2584,WeightedRevAge24)-SUMIF(ThresholdAge24,"&lt;"&amp;'19_Расчет_аналитики'!BH2584,WeightedMinAge24),MAX(CapacityAge24*'01_Вводные'!$B$218*'19_Расчет_аналитики'!BH2584,MeanMinAge24)))</f>
        <v/>
      </c>
      <c r="BI2539">
        <f>IF(OR(('19_Расчет_аналитики'!BI2455-'19_Расчет_аналитики'!BI2483)=0,24&lt;='01_Вводные'!$B$297),0,('19_Расчет_аналитики'!BI2455-'19_Расчет_аналитики'!BI2483)*IF('01_Вводные'!$B$239="Да",MeanMinAge24+'19_Расчет_аналитики'!BI2584*SUMIF(ThresholdAge24,"&lt;"&amp;'19_Расчет_аналитики'!BI2584,WeightedRevAge24)-SUMIF(ThresholdAge24,"&lt;"&amp;'19_Расчет_аналитики'!BI2584,WeightedMinAge24),MAX(CapacityAge24*'01_Вводные'!$B$218*'19_Расчет_аналитики'!BI2584,MeanMinAge24)))</f>
        <v/>
      </c>
      <c r="BJ2539">
        <f>IF(OR(('19_Расчет_аналитики'!BJ2455-'19_Расчет_аналитики'!BJ2483)=0,24&lt;='01_Вводные'!$B$297),0,('19_Расчет_аналитики'!BJ2455-'19_Расчет_аналитики'!BJ2483)*IF('01_Вводные'!$B$239="Да",MeanMinAge24+'19_Расчет_аналитики'!BJ2584*SUMIF(ThresholdAge24,"&lt;"&amp;'19_Расчет_аналитики'!BJ2584,WeightedRevAge24)-SUMIF(ThresholdAge24,"&lt;"&amp;'19_Расчет_аналитики'!BJ2584,WeightedMinAge24),MAX(CapacityAge24*'01_Вводные'!$B$218*'19_Расчет_аналитики'!BJ2584,MeanMinAge24)))</f>
        <v/>
      </c>
      <c r="BK2539">
        <f>IF(OR(('19_Расчет_аналитики'!BK2455-'19_Расчет_аналитики'!BK2483)=0,24&lt;='01_Вводные'!$B$297),0,('19_Расчет_аналитики'!BK2455-'19_Расчет_аналитики'!BK2483)*IF('01_Вводные'!$B$239="Да",MeanMinAge24+'19_Расчет_аналитики'!BK2584*SUMIF(ThresholdAge24,"&lt;"&amp;'19_Расчет_аналитики'!BK2584,WeightedRevAge24)-SUMIF(ThresholdAge24,"&lt;"&amp;'19_Расчет_аналитики'!BK2584,WeightedMinAge24),MAX(CapacityAge24*'01_Вводные'!$B$218*'19_Расчет_аналитики'!BK2584,MeanMinAge24)))</f>
        <v/>
      </c>
      <c r="BL2539">
        <f>IF(OR(('19_Расчет_аналитики'!BL2455-'19_Расчет_аналитики'!BL2483)=0,24&lt;='01_Вводные'!$B$297),0,('19_Расчет_аналитики'!BL2455-'19_Расчет_аналитики'!BL2483)*IF('01_Вводные'!$B$239="Да",MeanMinAge24+'19_Расчет_аналитики'!BL2584*SUMIF(ThresholdAge24,"&lt;"&amp;'19_Расчет_аналитики'!BL2584,WeightedRevAge24)-SUMIF(ThresholdAge24,"&lt;"&amp;'19_Расчет_аналитики'!BL2584,WeightedMinAge24),MAX(CapacityAge24*'01_Вводные'!$B$218*'19_Расчет_аналитики'!BL2584,MeanMinAge24)))</f>
        <v/>
      </c>
      <c r="BM2539">
        <f>IF(OR(('19_Расчет_аналитики'!BM2455-'19_Расчет_аналитики'!BM2483)=0,24&lt;='01_Вводные'!$B$297),0,('19_Расчет_аналитики'!BM2455-'19_Расчет_аналитики'!BM2483)*IF('01_Вводные'!$B$239="Да",MeanMinAge24+'19_Расчет_аналитики'!BM2584*SUMIF(ThresholdAge24,"&lt;"&amp;'19_Расчет_аналитики'!BM2584,WeightedRevAge24)-SUMIF(ThresholdAge24,"&lt;"&amp;'19_Расчет_аналитики'!BM2584,WeightedMinAge24),MAX(CapacityAge24*'01_Вводные'!$B$218*'19_Расчет_аналитики'!BM2584,MeanMinAge24)))</f>
        <v/>
      </c>
      <c r="BN2539">
        <f>IF(OR(('19_Расчет_аналитики'!BN2455-'19_Расчет_аналитики'!BN2483)=0,24&lt;='01_Вводные'!$B$297),0,('19_Расчет_аналитики'!BN2455-'19_Расчет_аналитики'!BN2483)*IF('01_Вводные'!$B$239="Да",MeanMinAge24+'19_Расчет_аналитики'!BN2584*SUMIF(ThresholdAge24,"&lt;"&amp;'19_Расчет_аналитики'!BN2584,WeightedRevAge24)-SUMIF(ThresholdAge24,"&lt;"&amp;'19_Расчет_аналитики'!BN2584,WeightedMinAge24),MAX(CapacityAge24*'01_Вводные'!$B$218*'19_Расчет_аналитики'!BN2584,MeanMinAge24)))</f>
        <v/>
      </c>
      <c r="BO2539">
        <f>IF(OR(('19_Расчет_аналитики'!BO2455-'19_Расчет_аналитики'!BO2483)=0,24&lt;='01_Вводные'!$B$297),0,('19_Расчет_аналитики'!BO2455-'19_Расчет_аналитики'!BO2483)*IF('01_Вводные'!$B$239="Да",MeanMinAge24+'19_Расчет_аналитики'!BO2584*SUMIF(ThresholdAge24,"&lt;"&amp;'19_Расчет_аналитики'!BO2584,WeightedRevAge24)-SUMIF(ThresholdAge24,"&lt;"&amp;'19_Расчет_аналитики'!BO2584,WeightedMinAge24),MAX(CapacityAge24*'01_Вводные'!$B$218*'19_Расчет_аналитики'!BO2584,MeanMinAge24)))</f>
        <v/>
      </c>
    </row>
    <row r="2540">
      <c r="B2540">
        <f>IF(OR(('06_Сеть_и_дети'!B77-'06_Сеть_и_дети'!B105)=0,25&lt;='01_Вводные'!$B$297),0,('06_Сеть_и_дети'!B77-'06_Сеть_и_дети'!B105)*IF('01_Вводные'!$B$239="Да",MeanMinAge25+'19_Расчет_аналитики'!B2584*SUMIF(ThresholdAge25,"&lt;"&amp;'19_Расчет_аналитики'!B2584,WeightedRevAge25)-SUMIF(ThresholdAge25,"&lt;"&amp;'19_Расчет_аналитики'!B2584,WeightedMinAge25),MAX(CapacityAge25*'01_Вводные'!$B$218*'19_Расчет_аналитики'!B2584,MeanMinAge25)))</f>
        <v/>
      </c>
      <c r="C2540">
        <f>IF(OR(('06_Сеть_и_дети'!C77-'06_Сеть_и_дети'!C105)=0,25&lt;='01_Вводные'!$B$297),0,('06_Сеть_и_дети'!C77-'06_Сеть_и_дети'!C105)*IF('01_Вводные'!$B$239="Да",MeanMinAge25+'19_Расчет_аналитики'!C2584*SUMIF(ThresholdAge25,"&lt;"&amp;'19_Расчет_аналитики'!C2584,WeightedRevAge25)-SUMIF(ThresholdAge25,"&lt;"&amp;'19_Расчет_аналитики'!C2584,WeightedMinAge25),MAX(CapacityAge25*'01_Вводные'!$B$218*'19_Расчет_аналитики'!C2584,MeanMinAge25)))</f>
        <v/>
      </c>
      <c r="D2540">
        <f>IF(OR(('06_Сеть_и_дети'!D77-'06_Сеть_и_дети'!D105)=0,25&lt;='01_Вводные'!$B$297),0,('06_Сеть_и_дети'!D77-'06_Сеть_и_дети'!D105)*IF('01_Вводные'!$B$239="Да",MeanMinAge25+'19_Расчет_аналитики'!D2584*SUMIF(ThresholdAge25,"&lt;"&amp;'19_Расчет_аналитики'!D2584,WeightedRevAge25)-SUMIF(ThresholdAge25,"&lt;"&amp;'19_Расчет_аналитики'!D2584,WeightedMinAge25),MAX(CapacityAge25*'01_Вводные'!$B$218*'19_Расчет_аналитики'!D2584,MeanMinAge25)))</f>
        <v/>
      </c>
      <c r="E2540">
        <f>IF(OR(('06_Сеть_и_дети'!E77-'06_Сеть_и_дети'!E105)=0,25&lt;='01_Вводные'!$B$297),0,('06_Сеть_и_дети'!E77-'06_Сеть_и_дети'!E105)*IF('01_Вводные'!$B$239="Да",MeanMinAge25+'19_Расчет_аналитики'!E2584*SUMIF(ThresholdAge25,"&lt;"&amp;'19_Расчет_аналитики'!E2584,WeightedRevAge25)-SUMIF(ThresholdAge25,"&lt;"&amp;'19_Расчет_аналитики'!E2584,WeightedMinAge25),MAX(CapacityAge25*'01_Вводные'!$B$218*'19_Расчет_аналитики'!E2584,MeanMinAge25)))</f>
        <v/>
      </c>
      <c r="F2540">
        <f>IF(OR(('06_Сеть_и_дети'!F77-'06_Сеть_и_дети'!F105)=0,25&lt;='01_Вводные'!$B$297),0,('06_Сеть_и_дети'!F77-'06_Сеть_и_дети'!F105)*IF('01_Вводные'!$B$239="Да",MeanMinAge25+'19_Расчет_аналитики'!F2584*SUMIF(ThresholdAge25,"&lt;"&amp;'19_Расчет_аналитики'!F2584,WeightedRevAge25)-SUMIF(ThresholdAge25,"&lt;"&amp;'19_Расчет_аналитики'!F2584,WeightedMinAge25),MAX(CapacityAge25*'01_Вводные'!$B$218*'19_Расчет_аналитики'!F2584,MeanMinAge25)))</f>
        <v/>
      </c>
      <c r="G2540">
        <f>IF(OR(('06_Сеть_и_дети'!G77-'06_Сеть_и_дети'!G105)=0,25&lt;='01_Вводные'!$B$297),0,('06_Сеть_и_дети'!G77-'06_Сеть_и_дети'!G105)*IF('01_Вводные'!$B$239="Да",MeanMinAge25+'19_Расчет_аналитики'!G2584*SUMIF(ThresholdAge25,"&lt;"&amp;'19_Расчет_аналитики'!G2584,WeightedRevAge25)-SUMIF(ThresholdAge25,"&lt;"&amp;'19_Расчет_аналитики'!G2584,WeightedMinAge25),MAX(CapacityAge25*'01_Вводные'!$B$218*'19_Расчет_аналитики'!G2584,MeanMinAge25)))</f>
        <v/>
      </c>
      <c r="H2540">
        <f>IF(OR(('06_Сеть_и_дети'!H77-'06_Сеть_и_дети'!H105)=0,25&lt;='01_Вводные'!$B$297),0,('06_Сеть_и_дети'!H77-'06_Сеть_и_дети'!H105)*IF('01_Вводные'!$B$239="Да",MeanMinAge25+'19_Расчет_аналитики'!H2584*SUMIF(ThresholdAge25,"&lt;"&amp;'19_Расчет_аналитики'!H2584,WeightedRevAge25)-SUMIF(ThresholdAge25,"&lt;"&amp;'19_Расчет_аналитики'!H2584,WeightedMinAge25),MAX(CapacityAge25*'01_Вводные'!$B$218*'19_Расчет_аналитики'!H2584,MeanMinAge25)))</f>
        <v/>
      </c>
      <c r="I2540">
        <f>IF(OR(('06_Сеть_и_дети'!I77-'06_Сеть_и_дети'!I105)=0,25&lt;='01_Вводные'!$B$297),0,('06_Сеть_и_дети'!I77-'06_Сеть_и_дети'!I105)*IF('01_Вводные'!$B$239="Да",MeanMinAge25+'19_Расчет_аналитики'!I2584*SUMIF(ThresholdAge25,"&lt;"&amp;'19_Расчет_аналитики'!I2584,WeightedRevAge25)-SUMIF(ThresholdAge25,"&lt;"&amp;'19_Расчет_аналитики'!I2584,WeightedMinAge25),MAX(CapacityAge25*'01_Вводные'!$B$218*'19_Расчет_аналитики'!I2584,MeanMinAge25)))</f>
        <v/>
      </c>
      <c r="J2540">
        <f>IF(OR(('06_Сеть_и_дети'!J77-'06_Сеть_и_дети'!J105)=0,25&lt;='01_Вводные'!$B$297),0,('06_Сеть_и_дети'!J77-'06_Сеть_и_дети'!J105)*IF('01_Вводные'!$B$239="Да",MeanMinAge25+'19_Расчет_аналитики'!J2584*SUMIF(ThresholdAge25,"&lt;"&amp;'19_Расчет_аналитики'!J2584,WeightedRevAge25)-SUMIF(ThresholdAge25,"&lt;"&amp;'19_Расчет_аналитики'!J2584,WeightedMinAge25),MAX(CapacityAge25*'01_Вводные'!$B$218*'19_Расчет_аналитики'!J2584,MeanMinAge25)))</f>
        <v/>
      </c>
      <c r="K2540">
        <f>IF(OR(('06_Сеть_и_дети'!K77-'06_Сеть_и_дети'!K105)=0,25&lt;='01_Вводные'!$B$297),0,('06_Сеть_и_дети'!K77-'06_Сеть_и_дети'!K105)*IF('01_Вводные'!$B$239="Да",MeanMinAge25+'19_Расчет_аналитики'!K2584*SUMIF(ThresholdAge25,"&lt;"&amp;'19_Расчет_аналитики'!K2584,WeightedRevAge25)-SUMIF(ThresholdAge25,"&lt;"&amp;'19_Расчет_аналитики'!K2584,WeightedMinAge25),MAX(CapacityAge25*'01_Вводные'!$B$218*'19_Расчет_аналитики'!K2584,MeanMinAge25)))</f>
        <v/>
      </c>
      <c r="L2540">
        <f>IF(OR(('06_Сеть_и_дети'!L77-'06_Сеть_и_дети'!L105)=0,25&lt;='01_Вводные'!$B$297),0,('06_Сеть_и_дети'!L77-'06_Сеть_и_дети'!L105)*IF('01_Вводные'!$B$239="Да",MeanMinAge25+'19_Расчет_аналитики'!L2584*SUMIF(ThresholdAge25,"&lt;"&amp;'19_Расчет_аналитики'!L2584,WeightedRevAge25)-SUMIF(ThresholdAge25,"&lt;"&amp;'19_Расчет_аналитики'!L2584,WeightedMinAge25),MAX(CapacityAge25*'01_Вводные'!$B$218*'19_Расчет_аналитики'!L2584,MeanMinAge25)))</f>
        <v/>
      </c>
      <c r="M2540">
        <f>IF(OR(('06_Сеть_и_дети'!M77-'06_Сеть_и_дети'!M105)=0,25&lt;='01_Вводные'!$B$297),0,('06_Сеть_и_дети'!M77-'06_Сеть_и_дети'!M105)*IF('01_Вводные'!$B$239="Да",MeanMinAge25+'19_Расчет_аналитики'!M2584*SUMIF(ThresholdAge25,"&lt;"&amp;'19_Расчет_аналитики'!M2584,WeightedRevAge25)-SUMIF(ThresholdAge25,"&lt;"&amp;'19_Расчет_аналитики'!M2584,WeightedMinAge25),MAX(CapacityAge25*'01_Вводные'!$B$218*'19_Расчет_аналитики'!M2584,MeanMinAge25)))</f>
        <v/>
      </c>
      <c r="N2540">
        <f>IF(OR(('06_Сеть_и_дети'!N77-'06_Сеть_и_дети'!N105)=0,25&lt;='01_Вводные'!$B$297),0,('06_Сеть_и_дети'!N77-'06_Сеть_и_дети'!N105)*IF('01_Вводные'!$B$239="Да",MeanMinAge25+'19_Расчет_аналитики'!N2584*SUMIF(ThresholdAge25,"&lt;"&amp;'19_Расчет_аналитики'!N2584,WeightedRevAge25)-SUMIF(ThresholdAge25,"&lt;"&amp;'19_Расчет_аналитики'!N2584,WeightedMinAge25),MAX(CapacityAge25*'01_Вводные'!$B$218*'19_Расчет_аналитики'!N2584,MeanMinAge25)))</f>
        <v/>
      </c>
      <c r="O2540">
        <f>IF(OR(('06_Сеть_и_дети'!O77-'06_Сеть_и_дети'!O105)=0,25&lt;='01_Вводные'!$B$297),0,('06_Сеть_и_дети'!O77-'06_Сеть_и_дети'!O105)*IF('01_Вводные'!$B$239="Да",MeanMinAge25+'19_Расчет_аналитики'!O2584*SUMIF(ThresholdAge25,"&lt;"&amp;'19_Расчет_аналитики'!O2584,WeightedRevAge25)-SUMIF(ThresholdAge25,"&lt;"&amp;'19_Расчет_аналитики'!O2584,WeightedMinAge25),MAX(CapacityAge25*'01_Вводные'!$B$218*'19_Расчет_аналитики'!O2584,MeanMinAge25)))</f>
        <v/>
      </c>
      <c r="P2540">
        <f>IF(OR(('06_Сеть_и_дети'!P77-'06_Сеть_и_дети'!P105)=0,25&lt;='01_Вводные'!$B$297),0,('06_Сеть_и_дети'!P77-'06_Сеть_и_дети'!P105)*IF('01_Вводные'!$B$239="Да",MeanMinAge25+'19_Расчет_аналитики'!P2584*SUMIF(ThresholdAge25,"&lt;"&amp;'19_Расчет_аналитики'!P2584,WeightedRevAge25)-SUMIF(ThresholdAge25,"&lt;"&amp;'19_Расчет_аналитики'!P2584,WeightedMinAge25),MAX(CapacityAge25*'01_Вводные'!$B$218*'19_Расчет_аналитики'!P2584,MeanMinAge25)))</f>
        <v/>
      </c>
      <c r="Q2540">
        <f>IF(OR(('06_Сеть_и_дети'!Q77-'06_Сеть_и_дети'!Q105)=0,25&lt;='01_Вводные'!$B$297),0,('06_Сеть_и_дети'!Q77-'06_Сеть_и_дети'!Q105)*IF('01_Вводные'!$B$239="Да",MeanMinAge25+'19_Расчет_аналитики'!Q2584*SUMIF(ThresholdAge25,"&lt;"&amp;'19_Расчет_аналитики'!Q2584,WeightedRevAge25)-SUMIF(ThresholdAge25,"&lt;"&amp;'19_Расчет_аналитики'!Q2584,WeightedMinAge25),MAX(CapacityAge25*'01_Вводные'!$B$218*'19_Расчет_аналитики'!Q2584,MeanMinAge25)))</f>
        <v/>
      </c>
      <c r="R2540">
        <f>IF(OR(('06_Сеть_и_дети'!R77-'06_Сеть_и_дети'!R105)=0,25&lt;='01_Вводные'!$B$297),0,('06_Сеть_и_дети'!R77-'06_Сеть_и_дети'!R105)*IF('01_Вводные'!$B$239="Да",MeanMinAge25+'19_Расчет_аналитики'!R2584*SUMIF(ThresholdAge25,"&lt;"&amp;'19_Расчет_аналитики'!R2584,WeightedRevAge25)-SUMIF(ThresholdAge25,"&lt;"&amp;'19_Расчет_аналитики'!R2584,WeightedMinAge25),MAX(CapacityAge25*'01_Вводные'!$B$218*'19_Расчет_аналитики'!R2584,MeanMinAge25)))</f>
        <v/>
      </c>
      <c r="S2540">
        <f>IF(OR(('06_Сеть_и_дети'!S77-'06_Сеть_и_дети'!S105)=0,25&lt;='01_Вводные'!$B$297),0,('06_Сеть_и_дети'!S77-'06_Сеть_и_дети'!S105)*IF('01_Вводные'!$B$239="Да",MeanMinAge25+'19_Расчет_аналитики'!S2584*SUMIF(ThresholdAge25,"&lt;"&amp;'19_Расчет_аналитики'!S2584,WeightedRevAge25)-SUMIF(ThresholdAge25,"&lt;"&amp;'19_Расчет_аналитики'!S2584,WeightedMinAge25),MAX(CapacityAge25*'01_Вводные'!$B$218*'19_Расчет_аналитики'!S2584,MeanMinAge25)))</f>
        <v/>
      </c>
      <c r="T2540">
        <f>IF(OR(('06_Сеть_и_дети'!T77-'06_Сеть_и_дети'!T105)=0,25&lt;='01_Вводные'!$B$297),0,('06_Сеть_и_дети'!T77-'06_Сеть_и_дети'!T105)*IF('01_Вводные'!$B$239="Да",MeanMinAge25+'19_Расчет_аналитики'!T2584*SUMIF(ThresholdAge25,"&lt;"&amp;'19_Расчет_аналитики'!T2584,WeightedRevAge25)-SUMIF(ThresholdAge25,"&lt;"&amp;'19_Расчет_аналитики'!T2584,WeightedMinAge25),MAX(CapacityAge25*'01_Вводные'!$B$218*'19_Расчет_аналитики'!T2584,MeanMinAge25)))</f>
        <v/>
      </c>
      <c r="U2540">
        <f>IF(OR(('06_Сеть_и_дети'!U77-'06_Сеть_и_дети'!U105)=0,25&lt;='01_Вводные'!$B$297),0,('06_Сеть_и_дети'!U77-'06_Сеть_и_дети'!U105)*IF('01_Вводные'!$B$239="Да",MeanMinAge25+'19_Расчет_аналитики'!U2584*SUMIF(ThresholdAge25,"&lt;"&amp;'19_Расчет_аналитики'!U2584,WeightedRevAge25)-SUMIF(ThresholdAge25,"&lt;"&amp;'19_Расчет_аналитики'!U2584,WeightedMinAge25),MAX(CapacityAge25*'01_Вводные'!$B$218*'19_Расчет_аналитики'!U2584,MeanMinAge25)))</f>
        <v/>
      </c>
      <c r="V2540">
        <f>IF(OR(('06_Сеть_и_дети'!V77-'06_Сеть_и_дети'!V105)=0,25&lt;='01_Вводные'!$B$297),0,('06_Сеть_и_дети'!V77-'06_Сеть_и_дети'!V105)*IF('01_Вводные'!$B$239="Да",MeanMinAge25+'19_Расчет_аналитики'!V2584*SUMIF(ThresholdAge25,"&lt;"&amp;'19_Расчет_аналитики'!V2584,WeightedRevAge25)-SUMIF(ThresholdAge25,"&lt;"&amp;'19_Расчет_аналитики'!V2584,WeightedMinAge25),MAX(CapacityAge25*'01_Вводные'!$B$218*'19_Расчет_аналитики'!V2584,MeanMinAge25)))</f>
        <v/>
      </c>
      <c r="W2540">
        <f>IF(OR(('06_Сеть_и_дети'!W77-'06_Сеть_и_дети'!W105)=0,25&lt;='01_Вводные'!$B$297),0,('06_Сеть_и_дети'!W77-'06_Сеть_и_дети'!W105)*IF('01_Вводные'!$B$239="Да",MeanMinAge25+'19_Расчет_аналитики'!W2584*SUMIF(ThresholdAge25,"&lt;"&amp;'19_Расчет_аналитики'!W2584,WeightedRevAge25)-SUMIF(ThresholdAge25,"&lt;"&amp;'19_Расчет_аналитики'!W2584,WeightedMinAge25),MAX(CapacityAge25*'01_Вводные'!$B$218*'19_Расчет_аналитики'!W2584,MeanMinAge25)))</f>
        <v/>
      </c>
      <c r="X2540">
        <f>IF(OR(('06_Сеть_и_дети'!X77-'06_Сеть_и_дети'!X105)=0,25&lt;='01_Вводные'!$B$297),0,('06_Сеть_и_дети'!X77-'06_Сеть_и_дети'!X105)*IF('01_Вводные'!$B$239="Да",MeanMinAge25+'19_Расчет_аналитики'!X2584*SUMIF(ThresholdAge25,"&lt;"&amp;'19_Расчет_аналитики'!X2584,WeightedRevAge25)-SUMIF(ThresholdAge25,"&lt;"&amp;'19_Расчет_аналитики'!X2584,WeightedMinAge25),MAX(CapacityAge25*'01_Вводные'!$B$218*'19_Расчет_аналитики'!X2584,MeanMinAge25)))</f>
        <v/>
      </c>
      <c r="Y2540">
        <f>IF(OR(('06_Сеть_и_дети'!Y77-'06_Сеть_и_дети'!Y105)=0,25&lt;='01_Вводные'!$B$297),0,('06_Сеть_и_дети'!Y77-'06_Сеть_и_дети'!Y105)*IF('01_Вводные'!$B$239="Да",MeanMinAge25+'19_Расчет_аналитики'!Y2584*SUMIF(ThresholdAge25,"&lt;"&amp;'19_Расчет_аналитики'!Y2584,WeightedRevAge25)-SUMIF(ThresholdAge25,"&lt;"&amp;'19_Расчет_аналитики'!Y2584,WeightedMinAge25),MAX(CapacityAge25*'01_Вводные'!$B$218*'19_Расчет_аналитики'!Y2584,MeanMinAge25)))</f>
        <v/>
      </c>
      <c r="Z2540">
        <f>IF(OR(('19_Расчет_аналитики'!Z2456-'19_Расчет_аналитики'!Z2484)=0,25&lt;='01_Вводные'!$B$297),0,('19_Расчет_аналитики'!Z2456-'19_Расчет_аналитики'!Z2484)*IF('01_Вводные'!$B$239="Да",MeanMinAge25+'19_Расчет_аналитики'!Z2584*SUMIF(ThresholdAge25,"&lt;"&amp;'19_Расчет_аналитики'!Z2584,WeightedRevAge25)-SUMIF(ThresholdAge25,"&lt;"&amp;'19_Расчет_аналитики'!Z2584,WeightedMinAge25),MAX(CapacityAge25*'01_Вводные'!$B$218*'19_Расчет_аналитики'!Z2584,MeanMinAge25)))</f>
        <v/>
      </c>
      <c r="AA2540">
        <f>IF(OR(('19_Расчет_аналитики'!AA2456-'19_Расчет_аналитики'!AA2484)=0,25&lt;='01_Вводные'!$B$297),0,('19_Расчет_аналитики'!AA2456-'19_Расчет_аналитики'!AA2484)*IF('01_Вводные'!$B$239="Да",MeanMinAge25+'19_Расчет_аналитики'!AA2584*SUMIF(ThresholdAge25,"&lt;"&amp;'19_Расчет_аналитики'!AA2584,WeightedRevAge25)-SUMIF(ThresholdAge25,"&lt;"&amp;'19_Расчет_аналитики'!AA2584,WeightedMinAge25),MAX(CapacityAge25*'01_Вводные'!$B$218*'19_Расчет_аналитики'!AA2584,MeanMinAge25)))</f>
        <v/>
      </c>
      <c r="AB2540">
        <f>IF(OR(('19_Расчет_аналитики'!AB2456-'19_Расчет_аналитики'!AB2484)=0,25&lt;='01_Вводные'!$B$297),0,('19_Расчет_аналитики'!AB2456-'19_Расчет_аналитики'!AB2484)*IF('01_Вводные'!$B$239="Да",MeanMinAge25+'19_Расчет_аналитики'!AB2584*SUMIF(ThresholdAge25,"&lt;"&amp;'19_Расчет_аналитики'!AB2584,WeightedRevAge25)-SUMIF(ThresholdAge25,"&lt;"&amp;'19_Расчет_аналитики'!AB2584,WeightedMinAge25),MAX(CapacityAge25*'01_Вводные'!$B$218*'19_Расчет_аналитики'!AB2584,MeanMinAge25)))</f>
        <v/>
      </c>
      <c r="AC2540">
        <f>IF(OR(('19_Расчет_аналитики'!AC2456-'19_Расчет_аналитики'!AC2484)=0,25&lt;='01_Вводные'!$B$297),0,('19_Расчет_аналитики'!AC2456-'19_Расчет_аналитики'!AC2484)*IF('01_Вводные'!$B$239="Да",MeanMinAge25+'19_Расчет_аналитики'!AC2584*SUMIF(ThresholdAge25,"&lt;"&amp;'19_Расчет_аналитики'!AC2584,WeightedRevAge25)-SUMIF(ThresholdAge25,"&lt;"&amp;'19_Расчет_аналитики'!AC2584,WeightedMinAge25),MAX(CapacityAge25*'01_Вводные'!$B$218*'19_Расчет_аналитики'!AC2584,MeanMinAge25)))</f>
        <v/>
      </c>
      <c r="AD2540">
        <f>IF(OR(('19_Расчет_аналитики'!AD2456-'19_Расчет_аналитики'!AD2484)=0,25&lt;='01_Вводные'!$B$297),0,('19_Расчет_аналитики'!AD2456-'19_Расчет_аналитики'!AD2484)*IF('01_Вводные'!$B$239="Да",MeanMinAge25+'19_Расчет_аналитики'!AD2584*SUMIF(ThresholdAge25,"&lt;"&amp;'19_Расчет_аналитики'!AD2584,WeightedRevAge25)-SUMIF(ThresholdAge25,"&lt;"&amp;'19_Расчет_аналитики'!AD2584,WeightedMinAge25),MAX(CapacityAge25*'01_Вводные'!$B$218*'19_Расчет_аналитики'!AD2584,MeanMinAge25)))</f>
        <v/>
      </c>
      <c r="AE2540">
        <f>IF(OR(('19_Расчет_аналитики'!AE2456-'19_Расчет_аналитики'!AE2484)=0,25&lt;='01_Вводные'!$B$297),0,('19_Расчет_аналитики'!AE2456-'19_Расчет_аналитики'!AE2484)*IF('01_Вводные'!$B$239="Да",MeanMinAge25+'19_Расчет_аналитики'!AE2584*SUMIF(ThresholdAge25,"&lt;"&amp;'19_Расчет_аналитики'!AE2584,WeightedRevAge25)-SUMIF(ThresholdAge25,"&lt;"&amp;'19_Расчет_аналитики'!AE2584,WeightedMinAge25),MAX(CapacityAge25*'01_Вводные'!$B$218*'19_Расчет_аналитики'!AE2584,MeanMinAge25)))</f>
        <v/>
      </c>
      <c r="AF2540">
        <f>IF(OR(('19_Расчет_аналитики'!AF2456-'19_Расчет_аналитики'!AF2484)=0,25&lt;='01_Вводные'!$B$297),0,('19_Расчет_аналитики'!AF2456-'19_Расчет_аналитики'!AF2484)*IF('01_Вводные'!$B$239="Да",MeanMinAge25+'19_Расчет_аналитики'!AF2584*SUMIF(ThresholdAge25,"&lt;"&amp;'19_Расчет_аналитики'!AF2584,WeightedRevAge25)-SUMIF(ThresholdAge25,"&lt;"&amp;'19_Расчет_аналитики'!AF2584,WeightedMinAge25),MAX(CapacityAge25*'01_Вводные'!$B$218*'19_Расчет_аналитики'!AF2584,MeanMinAge25)))</f>
        <v/>
      </c>
      <c r="AG2540">
        <f>IF(OR(('19_Расчет_аналитики'!AG2456-'19_Расчет_аналитики'!AG2484)=0,25&lt;='01_Вводные'!$B$297),0,('19_Расчет_аналитики'!AG2456-'19_Расчет_аналитики'!AG2484)*IF('01_Вводные'!$B$239="Да",MeanMinAge25+'19_Расчет_аналитики'!AG2584*SUMIF(ThresholdAge25,"&lt;"&amp;'19_Расчет_аналитики'!AG2584,WeightedRevAge25)-SUMIF(ThresholdAge25,"&lt;"&amp;'19_Расчет_аналитики'!AG2584,WeightedMinAge25),MAX(CapacityAge25*'01_Вводные'!$B$218*'19_Расчет_аналитики'!AG2584,MeanMinAge25)))</f>
        <v/>
      </c>
      <c r="AH2540">
        <f>IF(OR(('19_Расчет_аналитики'!AH2456-'19_Расчет_аналитики'!AH2484)=0,25&lt;='01_Вводные'!$B$297),0,('19_Расчет_аналитики'!AH2456-'19_Расчет_аналитики'!AH2484)*IF('01_Вводные'!$B$239="Да",MeanMinAge25+'19_Расчет_аналитики'!AH2584*SUMIF(ThresholdAge25,"&lt;"&amp;'19_Расчет_аналитики'!AH2584,WeightedRevAge25)-SUMIF(ThresholdAge25,"&lt;"&amp;'19_Расчет_аналитики'!AH2584,WeightedMinAge25),MAX(CapacityAge25*'01_Вводные'!$B$218*'19_Расчет_аналитики'!AH2584,MeanMinAge25)))</f>
        <v/>
      </c>
      <c r="AI2540">
        <f>IF(OR(('19_Расчет_аналитики'!AI2456-'19_Расчет_аналитики'!AI2484)=0,25&lt;='01_Вводные'!$B$297),0,('19_Расчет_аналитики'!AI2456-'19_Расчет_аналитики'!AI2484)*IF('01_Вводные'!$B$239="Да",MeanMinAge25+'19_Расчет_аналитики'!AI2584*SUMIF(ThresholdAge25,"&lt;"&amp;'19_Расчет_аналитики'!AI2584,WeightedRevAge25)-SUMIF(ThresholdAge25,"&lt;"&amp;'19_Расчет_аналитики'!AI2584,WeightedMinAge25),MAX(CapacityAge25*'01_Вводные'!$B$218*'19_Расчет_аналитики'!AI2584,MeanMinAge25)))</f>
        <v/>
      </c>
      <c r="AJ2540">
        <f>IF(OR(('19_Расчет_аналитики'!AJ2456-'19_Расчет_аналитики'!AJ2484)=0,25&lt;='01_Вводные'!$B$297),0,('19_Расчет_аналитики'!AJ2456-'19_Расчет_аналитики'!AJ2484)*IF('01_Вводные'!$B$239="Да",MeanMinAge25+'19_Расчет_аналитики'!AJ2584*SUMIF(ThresholdAge25,"&lt;"&amp;'19_Расчет_аналитики'!AJ2584,WeightedRevAge25)-SUMIF(ThresholdAge25,"&lt;"&amp;'19_Расчет_аналитики'!AJ2584,WeightedMinAge25),MAX(CapacityAge25*'01_Вводные'!$B$218*'19_Расчет_аналитики'!AJ2584,MeanMinAge25)))</f>
        <v/>
      </c>
      <c r="AK2540">
        <f>IF(OR(('19_Расчет_аналитики'!AK2456-'19_Расчет_аналитики'!AK2484)=0,25&lt;='01_Вводные'!$B$297),0,('19_Расчет_аналитики'!AK2456-'19_Расчет_аналитики'!AK2484)*IF('01_Вводные'!$B$239="Да",MeanMinAge25+'19_Расчет_аналитики'!AK2584*SUMIF(ThresholdAge25,"&lt;"&amp;'19_Расчет_аналитики'!AK2584,WeightedRevAge25)-SUMIF(ThresholdAge25,"&lt;"&amp;'19_Расчет_аналитики'!AK2584,WeightedMinAge25),MAX(CapacityAge25*'01_Вводные'!$B$218*'19_Расчет_аналитики'!AK2584,MeanMinAge25)))</f>
        <v/>
      </c>
      <c r="AL2540">
        <f>IF(OR(('19_Расчет_аналитики'!AL2456-'19_Расчет_аналитики'!AL2484)=0,25&lt;='01_Вводные'!$B$297),0,('19_Расчет_аналитики'!AL2456-'19_Расчет_аналитики'!AL2484)*IF('01_Вводные'!$B$239="Да",MeanMinAge25+'19_Расчет_аналитики'!AL2584*SUMIF(ThresholdAge25,"&lt;"&amp;'19_Расчет_аналитики'!AL2584,WeightedRevAge25)-SUMIF(ThresholdAge25,"&lt;"&amp;'19_Расчет_аналитики'!AL2584,WeightedMinAge25),MAX(CapacityAge25*'01_Вводные'!$B$218*'19_Расчет_аналитики'!AL2584,MeanMinAge25)))</f>
        <v/>
      </c>
      <c r="AM2540">
        <f>IF(OR(('19_Расчет_аналитики'!AM2456-'19_Расчет_аналитики'!AM2484)=0,25&lt;='01_Вводные'!$B$297),0,('19_Расчет_аналитики'!AM2456-'19_Расчет_аналитики'!AM2484)*IF('01_Вводные'!$B$239="Да",MeanMinAge25+'19_Расчет_аналитики'!AM2584*SUMIF(ThresholdAge25,"&lt;"&amp;'19_Расчет_аналитики'!AM2584,WeightedRevAge25)-SUMIF(ThresholdAge25,"&lt;"&amp;'19_Расчет_аналитики'!AM2584,WeightedMinAge25),MAX(CapacityAge25*'01_Вводные'!$B$218*'19_Расчет_аналитики'!AM2584,MeanMinAge25)))</f>
        <v/>
      </c>
      <c r="AN2540">
        <f>IF(OR(('19_Расчет_аналитики'!AN2456-'19_Расчет_аналитики'!AN2484)=0,25&lt;='01_Вводные'!$B$297),0,('19_Расчет_аналитики'!AN2456-'19_Расчет_аналитики'!AN2484)*IF('01_Вводные'!$B$239="Да",MeanMinAge25+'19_Расчет_аналитики'!AN2584*SUMIF(ThresholdAge25,"&lt;"&amp;'19_Расчет_аналитики'!AN2584,WeightedRevAge25)-SUMIF(ThresholdAge25,"&lt;"&amp;'19_Расчет_аналитики'!AN2584,WeightedMinAge25),MAX(CapacityAge25*'01_Вводные'!$B$218*'19_Расчет_аналитики'!AN2584,MeanMinAge25)))</f>
        <v/>
      </c>
      <c r="AO2540">
        <f>IF(OR(('19_Расчет_аналитики'!AO2456-'19_Расчет_аналитики'!AO2484)=0,25&lt;='01_Вводные'!$B$297),0,('19_Расчет_аналитики'!AO2456-'19_Расчет_аналитики'!AO2484)*IF('01_Вводные'!$B$239="Да",MeanMinAge25+'19_Расчет_аналитики'!AO2584*SUMIF(ThresholdAge25,"&lt;"&amp;'19_Расчет_аналитики'!AO2584,WeightedRevAge25)-SUMIF(ThresholdAge25,"&lt;"&amp;'19_Расчет_аналитики'!AO2584,WeightedMinAge25),MAX(CapacityAge25*'01_Вводные'!$B$218*'19_Расчет_аналитики'!AO2584,MeanMinAge25)))</f>
        <v/>
      </c>
      <c r="AP2540">
        <f>IF(OR(('19_Расчет_аналитики'!AP2456-'19_Расчет_аналитики'!AP2484)=0,25&lt;='01_Вводные'!$B$297),0,('19_Расчет_аналитики'!AP2456-'19_Расчет_аналитики'!AP2484)*IF('01_Вводные'!$B$239="Да",MeanMinAge25+'19_Расчет_аналитики'!AP2584*SUMIF(ThresholdAge25,"&lt;"&amp;'19_Расчет_аналитики'!AP2584,WeightedRevAge25)-SUMIF(ThresholdAge25,"&lt;"&amp;'19_Расчет_аналитики'!AP2584,WeightedMinAge25),MAX(CapacityAge25*'01_Вводные'!$B$218*'19_Расчет_аналитики'!AP2584,MeanMinAge25)))</f>
        <v/>
      </c>
      <c r="AQ2540">
        <f>IF(OR(('19_Расчет_аналитики'!AQ2456-'19_Расчет_аналитики'!AQ2484)=0,25&lt;='01_Вводные'!$B$297),0,('19_Расчет_аналитики'!AQ2456-'19_Расчет_аналитики'!AQ2484)*IF('01_Вводные'!$B$239="Да",MeanMinAge25+'19_Расчет_аналитики'!AQ2584*SUMIF(ThresholdAge25,"&lt;"&amp;'19_Расчет_аналитики'!AQ2584,WeightedRevAge25)-SUMIF(ThresholdAge25,"&lt;"&amp;'19_Расчет_аналитики'!AQ2584,WeightedMinAge25),MAX(CapacityAge25*'01_Вводные'!$B$218*'19_Расчет_аналитики'!AQ2584,MeanMinAge25)))</f>
        <v/>
      </c>
      <c r="AR2540">
        <f>IF(OR(('19_Расчет_аналитики'!AR2456-'19_Расчет_аналитики'!AR2484)=0,25&lt;='01_Вводные'!$B$297),0,('19_Расчет_аналитики'!AR2456-'19_Расчет_аналитики'!AR2484)*IF('01_Вводные'!$B$239="Да",MeanMinAge25+'19_Расчет_аналитики'!AR2584*SUMIF(ThresholdAge25,"&lt;"&amp;'19_Расчет_аналитики'!AR2584,WeightedRevAge25)-SUMIF(ThresholdAge25,"&lt;"&amp;'19_Расчет_аналитики'!AR2584,WeightedMinAge25),MAX(CapacityAge25*'01_Вводные'!$B$218*'19_Расчет_аналитики'!AR2584,MeanMinAge25)))</f>
        <v/>
      </c>
      <c r="AS2540">
        <f>IF(OR(('19_Расчет_аналитики'!AS2456-'19_Расчет_аналитики'!AS2484)=0,25&lt;='01_Вводные'!$B$297),0,('19_Расчет_аналитики'!AS2456-'19_Расчет_аналитики'!AS2484)*IF('01_Вводные'!$B$239="Да",MeanMinAge25+'19_Расчет_аналитики'!AS2584*SUMIF(ThresholdAge25,"&lt;"&amp;'19_Расчет_аналитики'!AS2584,WeightedRevAge25)-SUMIF(ThresholdAge25,"&lt;"&amp;'19_Расчет_аналитики'!AS2584,WeightedMinAge25),MAX(CapacityAge25*'01_Вводные'!$B$218*'19_Расчет_аналитики'!AS2584,MeanMinAge25)))</f>
        <v/>
      </c>
      <c r="AT2540">
        <f>IF(OR(('19_Расчет_аналитики'!AT2456-'19_Расчет_аналитики'!AT2484)=0,25&lt;='01_Вводные'!$B$297),0,('19_Расчет_аналитики'!AT2456-'19_Расчет_аналитики'!AT2484)*IF('01_Вводные'!$B$239="Да",MeanMinAge25+'19_Расчет_аналитики'!AT2584*SUMIF(ThresholdAge25,"&lt;"&amp;'19_Расчет_аналитики'!AT2584,WeightedRevAge25)-SUMIF(ThresholdAge25,"&lt;"&amp;'19_Расчет_аналитики'!AT2584,WeightedMinAge25),MAX(CapacityAge25*'01_Вводные'!$B$218*'19_Расчет_аналитики'!AT2584,MeanMinAge25)))</f>
        <v/>
      </c>
      <c r="AU2540">
        <f>IF(OR(('19_Расчет_аналитики'!AU2456-'19_Расчет_аналитики'!AU2484)=0,25&lt;='01_Вводные'!$B$297),0,('19_Расчет_аналитики'!AU2456-'19_Расчет_аналитики'!AU2484)*IF('01_Вводные'!$B$239="Да",MeanMinAge25+'19_Расчет_аналитики'!AU2584*SUMIF(ThresholdAge25,"&lt;"&amp;'19_Расчет_аналитики'!AU2584,WeightedRevAge25)-SUMIF(ThresholdAge25,"&lt;"&amp;'19_Расчет_аналитики'!AU2584,WeightedMinAge25),MAX(CapacityAge25*'01_Вводные'!$B$218*'19_Расчет_аналитики'!AU2584,MeanMinAge25)))</f>
        <v/>
      </c>
      <c r="AV2540">
        <f>IF(OR(('19_Расчет_аналитики'!AV2456-'19_Расчет_аналитики'!AV2484)=0,25&lt;='01_Вводные'!$B$297),0,('19_Расчет_аналитики'!AV2456-'19_Расчет_аналитики'!AV2484)*IF('01_Вводные'!$B$239="Да",MeanMinAge25+'19_Расчет_аналитики'!AV2584*SUMIF(ThresholdAge25,"&lt;"&amp;'19_Расчет_аналитики'!AV2584,WeightedRevAge25)-SUMIF(ThresholdAge25,"&lt;"&amp;'19_Расчет_аналитики'!AV2584,WeightedMinAge25),MAX(CapacityAge25*'01_Вводные'!$B$218*'19_Расчет_аналитики'!AV2584,MeanMinAge25)))</f>
        <v/>
      </c>
      <c r="AW2540">
        <f>IF(OR(('19_Расчет_аналитики'!AW2456-'19_Расчет_аналитики'!AW2484)=0,25&lt;='01_Вводные'!$B$297),0,('19_Расчет_аналитики'!AW2456-'19_Расчет_аналитики'!AW2484)*IF('01_Вводные'!$B$239="Да",MeanMinAge25+'19_Расчет_аналитики'!AW2584*SUMIF(ThresholdAge25,"&lt;"&amp;'19_Расчет_аналитики'!AW2584,WeightedRevAge25)-SUMIF(ThresholdAge25,"&lt;"&amp;'19_Расчет_аналитики'!AW2584,WeightedMinAge25),MAX(CapacityAge25*'01_Вводные'!$B$218*'19_Расчет_аналитики'!AW2584,MeanMinAge25)))</f>
        <v/>
      </c>
      <c r="AX2540">
        <f>IF(OR(('19_Расчет_аналитики'!AX2456-'19_Расчет_аналитики'!AX2484)=0,25&lt;='01_Вводные'!$B$297),0,('19_Расчет_аналитики'!AX2456-'19_Расчет_аналитики'!AX2484)*IF('01_Вводные'!$B$239="Да",MeanMinAge25+'19_Расчет_аналитики'!AX2584*SUMIF(ThresholdAge25,"&lt;"&amp;'19_Расчет_аналитики'!AX2584,WeightedRevAge25)-SUMIF(ThresholdAge25,"&lt;"&amp;'19_Расчет_аналитики'!AX2584,WeightedMinAge25),MAX(CapacityAge25*'01_Вводные'!$B$218*'19_Расчет_аналитики'!AX2584,MeanMinAge25)))</f>
        <v/>
      </c>
      <c r="AY2540">
        <f>IF(OR(('19_Расчет_аналитики'!AY2456-'19_Расчет_аналитики'!AY2484)=0,25&lt;='01_Вводные'!$B$297),0,('19_Расчет_аналитики'!AY2456-'19_Расчет_аналитики'!AY2484)*IF('01_Вводные'!$B$239="Да",MeanMinAge25+'19_Расчет_аналитики'!AY2584*SUMIF(ThresholdAge25,"&lt;"&amp;'19_Расчет_аналитики'!AY2584,WeightedRevAge25)-SUMIF(ThresholdAge25,"&lt;"&amp;'19_Расчет_аналитики'!AY2584,WeightedMinAge25),MAX(CapacityAge25*'01_Вводные'!$B$218*'19_Расчет_аналитики'!AY2584,MeanMinAge25)))</f>
        <v/>
      </c>
      <c r="AZ2540">
        <f>IF(OR(('19_Расчет_аналитики'!AZ2456-'19_Расчет_аналитики'!AZ2484)=0,25&lt;='01_Вводные'!$B$297),0,('19_Расчет_аналитики'!AZ2456-'19_Расчет_аналитики'!AZ2484)*IF('01_Вводные'!$B$239="Да",MeanMinAge25+'19_Расчет_аналитики'!AZ2584*SUMIF(ThresholdAge25,"&lt;"&amp;'19_Расчет_аналитики'!AZ2584,WeightedRevAge25)-SUMIF(ThresholdAge25,"&lt;"&amp;'19_Расчет_аналитики'!AZ2584,WeightedMinAge25),MAX(CapacityAge25*'01_Вводные'!$B$218*'19_Расчет_аналитики'!AZ2584,MeanMinAge25)))</f>
        <v/>
      </c>
      <c r="BA2540">
        <f>IF(OR(('19_Расчет_аналитики'!BA2456-'19_Расчет_аналитики'!BA2484)=0,25&lt;='01_Вводные'!$B$297),0,('19_Расчет_аналитики'!BA2456-'19_Расчет_аналитики'!BA2484)*IF('01_Вводные'!$B$239="Да",MeanMinAge25+'19_Расчет_аналитики'!BA2584*SUMIF(ThresholdAge25,"&lt;"&amp;'19_Расчет_аналитики'!BA2584,WeightedRevAge25)-SUMIF(ThresholdAge25,"&lt;"&amp;'19_Расчет_аналитики'!BA2584,WeightedMinAge25),MAX(CapacityAge25*'01_Вводные'!$B$218*'19_Расчет_аналитики'!BA2584,MeanMinAge25)))</f>
        <v/>
      </c>
      <c r="BB2540">
        <f>IF(OR(('19_Расчет_аналитики'!BB2456-'19_Расчет_аналитики'!BB2484)=0,25&lt;='01_Вводные'!$B$297),0,('19_Расчет_аналитики'!BB2456-'19_Расчет_аналитики'!BB2484)*IF('01_Вводные'!$B$239="Да",MeanMinAge25+'19_Расчет_аналитики'!BB2584*SUMIF(ThresholdAge25,"&lt;"&amp;'19_Расчет_аналитики'!BB2584,WeightedRevAge25)-SUMIF(ThresholdAge25,"&lt;"&amp;'19_Расчет_аналитики'!BB2584,WeightedMinAge25),MAX(CapacityAge25*'01_Вводные'!$B$218*'19_Расчет_аналитики'!BB2584,MeanMinAge25)))</f>
        <v/>
      </c>
      <c r="BC2540">
        <f>IF(OR(('19_Расчет_аналитики'!BC2456-'19_Расчет_аналитики'!BC2484)=0,25&lt;='01_Вводные'!$B$297),0,('19_Расчет_аналитики'!BC2456-'19_Расчет_аналитики'!BC2484)*IF('01_Вводные'!$B$239="Да",MeanMinAge25+'19_Расчет_аналитики'!BC2584*SUMIF(ThresholdAge25,"&lt;"&amp;'19_Расчет_аналитики'!BC2584,WeightedRevAge25)-SUMIF(ThresholdAge25,"&lt;"&amp;'19_Расчет_аналитики'!BC2584,WeightedMinAge25),MAX(CapacityAge25*'01_Вводные'!$B$218*'19_Расчет_аналитики'!BC2584,MeanMinAge25)))</f>
        <v/>
      </c>
      <c r="BD2540">
        <f>IF(OR(('19_Расчет_аналитики'!BD2456-'19_Расчет_аналитики'!BD2484)=0,25&lt;='01_Вводные'!$B$297),0,('19_Расчет_аналитики'!BD2456-'19_Расчет_аналитики'!BD2484)*IF('01_Вводные'!$B$239="Да",MeanMinAge25+'19_Расчет_аналитики'!BD2584*SUMIF(ThresholdAge25,"&lt;"&amp;'19_Расчет_аналитики'!BD2584,WeightedRevAge25)-SUMIF(ThresholdAge25,"&lt;"&amp;'19_Расчет_аналитики'!BD2584,WeightedMinAge25),MAX(CapacityAge25*'01_Вводные'!$B$218*'19_Расчет_аналитики'!BD2584,MeanMinAge25)))</f>
        <v/>
      </c>
      <c r="BE2540">
        <f>IF(OR(('19_Расчет_аналитики'!BE2456-'19_Расчет_аналитики'!BE2484)=0,25&lt;='01_Вводные'!$B$297),0,('19_Расчет_аналитики'!BE2456-'19_Расчет_аналитики'!BE2484)*IF('01_Вводные'!$B$239="Да",MeanMinAge25+'19_Расчет_аналитики'!BE2584*SUMIF(ThresholdAge25,"&lt;"&amp;'19_Расчет_аналитики'!BE2584,WeightedRevAge25)-SUMIF(ThresholdAge25,"&lt;"&amp;'19_Расчет_аналитики'!BE2584,WeightedMinAge25),MAX(CapacityAge25*'01_Вводные'!$B$218*'19_Расчет_аналитики'!BE2584,MeanMinAge25)))</f>
        <v/>
      </c>
      <c r="BF2540">
        <f>IF(OR(('19_Расчет_аналитики'!BF2456-'19_Расчет_аналитики'!BF2484)=0,25&lt;='01_Вводные'!$B$297),0,('19_Расчет_аналитики'!BF2456-'19_Расчет_аналитики'!BF2484)*IF('01_Вводные'!$B$239="Да",MeanMinAge25+'19_Расчет_аналитики'!BF2584*SUMIF(ThresholdAge25,"&lt;"&amp;'19_Расчет_аналитики'!BF2584,WeightedRevAge25)-SUMIF(ThresholdAge25,"&lt;"&amp;'19_Расчет_аналитики'!BF2584,WeightedMinAge25),MAX(CapacityAge25*'01_Вводные'!$B$218*'19_Расчет_аналитики'!BF2584,MeanMinAge25)))</f>
        <v/>
      </c>
      <c r="BG2540">
        <f>IF(OR(('19_Расчет_аналитики'!BG2456-'19_Расчет_аналитики'!BG2484)=0,25&lt;='01_Вводные'!$B$297),0,('19_Расчет_аналитики'!BG2456-'19_Расчет_аналитики'!BG2484)*IF('01_Вводные'!$B$239="Да",MeanMinAge25+'19_Расчет_аналитики'!BG2584*SUMIF(ThresholdAge25,"&lt;"&amp;'19_Расчет_аналитики'!BG2584,WeightedRevAge25)-SUMIF(ThresholdAge25,"&lt;"&amp;'19_Расчет_аналитики'!BG2584,WeightedMinAge25),MAX(CapacityAge25*'01_Вводные'!$B$218*'19_Расчет_аналитики'!BG2584,MeanMinAge25)))</f>
        <v/>
      </c>
      <c r="BH2540">
        <f>IF(OR(('19_Расчет_аналитики'!BH2456-'19_Расчет_аналитики'!BH2484)=0,25&lt;='01_Вводные'!$B$297),0,('19_Расчет_аналитики'!BH2456-'19_Расчет_аналитики'!BH2484)*IF('01_Вводные'!$B$239="Да",MeanMinAge25+'19_Расчет_аналитики'!BH2584*SUMIF(ThresholdAge25,"&lt;"&amp;'19_Расчет_аналитики'!BH2584,WeightedRevAge25)-SUMIF(ThresholdAge25,"&lt;"&amp;'19_Расчет_аналитики'!BH2584,WeightedMinAge25),MAX(CapacityAge25*'01_Вводные'!$B$218*'19_Расчет_аналитики'!BH2584,MeanMinAge25)))</f>
        <v/>
      </c>
      <c r="BI2540">
        <f>IF(OR(('19_Расчет_аналитики'!BI2456-'19_Расчет_аналитики'!BI2484)=0,25&lt;='01_Вводные'!$B$297),0,('19_Расчет_аналитики'!BI2456-'19_Расчет_аналитики'!BI2484)*IF('01_Вводные'!$B$239="Да",MeanMinAge25+'19_Расчет_аналитики'!BI2584*SUMIF(ThresholdAge25,"&lt;"&amp;'19_Расчет_аналитики'!BI2584,WeightedRevAge25)-SUMIF(ThresholdAge25,"&lt;"&amp;'19_Расчет_аналитики'!BI2584,WeightedMinAge25),MAX(CapacityAge25*'01_Вводные'!$B$218*'19_Расчет_аналитики'!BI2584,MeanMinAge25)))</f>
        <v/>
      </c>
      <c r="BJ2540">
        <f>IF(OR(('19_Расчет_аналитики'!BJ2456-'19_Расчет_аналитики'!BJ2484)=0,25&lt;='01_Вводные'!$B$297),0,('19_Расчет_аналитики'!BJ2456-'19_Расчет_аналитики'!BJ2484)*IF('01_Вводные'!$B$239="Да",MeanMinAge25+'19_Расчет_аналитики'!BJ2584*SUMIF(ThresholdAge25,"&lt;"&amp;'19_Расчет_аналитики'!BJ2584,WeightedRevAge25)-SUMIF(ThresholdAge25,"&lt;"&amp;'19_Расчет_аналитики'!BJ2584,WeightedMinAge25),MAX(CapacityAge25*'01_Вводные'!$B$218*'19_Расчет_аналитики'!BJ2584,MeanMinAge25)))</f>
        <v/>
      </c>
      <c r="BK2540">
        <f>IF(OR(('19_Расчет_аналитики'!BK2456-'19_Расчет_аналитики'!BK2484)=0,25&lt;='01_Вводные'!$B$297),0,('19_Расчет_аналитики'!BK2456-'19_Расчет_аналитики'!BK2484)*IF('01_Вводные'!$B$239="Да",MeanMinAge25+'19_Расчет_аналитики'!BK2584*SUMIF(ThresholdAge25,"&lt;"&amp;'19_Расчет_аналитики'!BK2584,WeightedRevAge25)-SUMIF(ThresholdAge25,"&lt;"&amp;'19_Расчет_аналитики'!BK2584,WeightedMinAge25),MAX(CapacityAge25*'01_Вводные'!$B$218*'19_Расчет_аналитики'!BK2584,MeanMinAge25)))</f>
        <v/>
      </c>
      <c r="BL2540">
        <f>IF(OR(('19_Расчет_аналитики'!BL2456-'19_Расчет_аналитики'!BL2484)=0,25&lt;='01_Вводные'!$B$297),0,('19_Расчет_аналитики'!BL2456-'19_Расчет_аналитики'!BL2484)*IF('01_Вводные'!$B$239="Да",MeanMinAge25+'19_Расчет_аналитики'!BL2584*SUMIF(ThresholdAge25,"&lt;"&amp;'19_Расчет_аналитики'!BL2584,WeightedRevAge25)-SUMIF(ThresholdAge25,"&lt;"&amp;'19_Расчет_аналитики'!BL2584,WeightedMinAge25),MAX(CapacityAge25*'01_Вводные'!$B$218*'19_Расчет_аналитики'!BL2584,MeanMinAge25)))</f>
        <v/>
      </c>
      <c r="BM2540">
        <f>IF(OR(('19_Расчет_аналитики'!BM2456-'19_Расчет_аналитики'!BM2484)=0,25&lt;='01_Вводные'!$B$297),0,('19_Расчет_аналитики'!BM2456-'19_Расчет_аналитики'!BM2484)*IF('01_Вводные'!$B$239="Да",MeanMinAge25+'19_Расчет_аналитики'!BM2584*SUMIF(ThresholdAge25,"&lt;"&amp;'19_Расчет_аналитики'!BM2584,WeightedRevAge25)-SUMIF(ThresholdAge25,"&lt;"&amp;'19_Расчет_аналитики'!BM2584,WeightedMinAge25),MAX(CapacityAge25*'01_Вводные'!$B$218*'19_Расчет_аналитики'!BM2584,MeanMinAge25)))</f>
        <v/>
      </c>
      <c r="BN2540">
        <f>IF(OR(('19_Расчет_аналитики'!BN2456-'19_Расчет_аналитики'!BN2484)=0,25&lt;='01_Вводные'!$B$297),0,('19_Расчет_аналитики'!BN2456-'19_Расчет_аналитики'!BN2484)*IF('01_Вводные'!$B$239="Да",MeanMinAge25+'19_Расчет_аналитики'!BN2584*SUMIF(ThresholdAge25,"&lt;"&amp;'19_Расчет_аналитики'!BN2584,WeightedRevAge25)-SUMIF(ThresholdAge25,"&lt;"&amp;'19_Расчет_аналитики'!BN2584,WeightedMinAge25),MAX(CapacityAge25*'01_Вводные'!$B$218*'19_Расчет_аналитики'!BN2584,MeanMinAge25)))</f>
        <v/>
      </c>
      <c r="BO2540">
        <f>IF(OR(('19_Расчет_аналитики'!BO2456-'19_Расчет_аналитики'!BO2484)=0,25&lt;='01_Вводные'!$B$297),0,('19_Расчет_аналитики'!BO2456-'19_Расчет_аналитики'!BO2484)*IF('01_Вводные'!$B$239="Да",MeanMinAge25+'19_Расчет_аналитики'!BO2584*SUMIF(ThresholdAge25,"&lt;"&amp;'19_Расчет_аналитики'!BO2584,WeightedRevAge25)-SUMIF(ThresholdAge25,"&lt;"&amp;'19_Расчет_аналитики'!BO2584,WeightedMinAge25),MAX(CapacityAge25*'01_Вводные'!$B$218*'19_Расчет_аналитики'!BO2584,MeanMinAge25)))</f>
        <v/>
      </c>
    </row>
    <row r="2541"/>
    <row r="2542"/>
    <row r="2543"/>
    <row r="2544">
      <c r="B2544">
        <f>IF(IF('01_Вводные'!$B$296="Новый сезон",FALSE,FALSE),'19_Расчет_аналитики'!B2432*CapacityAge01*'19_Расчет_аналитики'!$F$2235,0)</f>
        <v/>
      </c>
      <c r="C2544">
        <f>IF(IF('01_Вводные'!$B$296="Новый сезон",FALSE,FALSE),'19_Расчет_аналитики'!C2432*CapacityAge01*'19_Расчет_аналитики'!$F$2235,0)</f>
        <v/>
      </c>
      <c r="D2544">
        <f>IF(IF('01_Вводные'!$B$296="Новый сезон",FALSE,FALSE),'19_Расчет_аналитики'!D2432*CapacityAge01*'19_Расчет_аналитики'!$F$2235,0)</f>
        <v/>
      </c>
      <c r="E2544">
        <f>IF(IF('01_Вводные'!$B$296="Новый сезон",FALSE,FALSE),'19_Расчет_аналитики'!E2432*CapacityAge01*'19_Расчет_аналитики'!$F$2235,0)</f>
        <v/>
      </c>
      <c r="F2544">
        <f>IF(IF('01_Вводные'!$B$296="Новый сезон",FALSE,FALSE),'19_Расчет_аналитики'!F2432*CapacityAge01*'19_Расчет_аналитики'!$F$2235,0)</f>
        <v/>
      </c>
      <c r="G2544">
        <f>IF(IF('01_Вводные'!$B$296="Новый сезон",FALSE,FALSE),'19_Расчет_аналитики'!G2432*CapacityAge01*'19_Расчет_аналитики'!$F$2235,0)</f>
        <v/>
      </c>
      <c r="H2544">
        <f>IF(IF('01_Вводные'!$B$296="Новый сезон",FALSE,FALSE),'19_Расчет_аналитики'!H2432*CapacityAge01*'19_Расчет_аналитики'!$F$2235,0)</f>
        <v/>
      </c>
      <c r="I2544">
        <f>IF(IF('01_Вводные'!$B$296="Новый сезон",FALSE,FALSE),'19_Расчет_аналитики'!I2432*CapacityAge01*'19_Расчет_аналитики'!$F$2235,0)</f>
        <v/>
      </c>
      <c r="J2544">
        <f>IF(IF('01_Вводные'!$B$296="Новый сезон",FALSE,FALSE),'19_Расчет_аналитики'!J2432*CapacityAge01*'19_Расчет_аналитики'!$F$2235,0)</f>
        <v/>
      </c>
      <c r="K2544">
        <f>IF(IF('01_Вводные'!$B$296="Новый сезон",FALSE,FALSE),'19_Расчет_аналитики'!K2432*CapacityAge01*'19_Расчет_аналитики'!$F$2235,0)</f>
        <v/>
      </c>
      <c r="L2544">
        <f>IF(IF('01_Вводные'!$B$296="Новый сезон",FALSE,FALSE),'19_Расчет_аналитики'!L2432*CapacityAge01*'19_Расчет_аналитики'!$F$2235,0)</f>
        <v/>
      </c>
      <c r="M2544">
        <f>IF(IF('01_Вводные'!$B$296="Новый сезон",FALSE,FALSE),'19_Расчет_аналитики'!M2432*CapacityAge01*'19_Расчет_аналитики'!$F$2235,0)</f>
        <v/>
      </c>
      <c r="N2544">
        <f>IF(IF('01_Вводные'!$B$296="Новый сезон",FALSE,FALSE),'19_Расчет_аналитики'!N2432*CapacityAge01*'19_Расчет_аналитики'!$F$2235,0)</f>
        <v/>
      </c>
      <c r="O2544">
        <f>IF(IF('01_Вводные'!$B$296="Новый сезон",FALSE,FALSE),'19_Расчет_аналитики'!O2432*CapacityAge01*'19_Расчет_аналитики'!$F$2235,0)</f>
        <v/>
      </c>
      <c r="P2544">
        <f>IF(IF('01_Вводные'!$B$296="Новый сезон",FALSE,FALSE),'19_Расчет_аналитики'!P2432*CapacityAge01*'19_Расчет_аналитики'!$F$2235,0)</f>
        <v/>
      </c>
      <c r="Q2544">
        <f>IF(IF('01_Вводные'!$B$296="Новый сезон",FALSE,FALSE),'19_Расчет_аналитики'!Q2432*CapacityAge01*'19_Расчет_аналитики'!$F$2235,0)</f>
        <v/>
      </c>
      <c r="R2544">
        <f>IF(IF('01_Вводные'!$B$296="Новый сезон",FALSE,FALSE),'19_Расчет_аналитики'!R2432*CapacityAge01*'19_Расчет_аналитики'!$F$2235,0)</f>
        <v/>
      </c>
      <c r="S2544">
        <f>IF(IF('01_Вводные'!$B$296="Новый сезон",FALSE,FALSE),'19_Расчет_аналитики'!S2432*CapacityAge01*'19_Расчет_аналитики'!$F$2235,0)</f>
        <v/>
      </c>
      <c r="T2544">
        <f>IF(IF('01_Вводные'!$B$296="Новый сезон",FALSE,FALSE),'19_Расчет_аналитики'!T2432*CapacityAge01*'19_Расчет_аналитики'!$F$2235,0)</f>
        <v/>
      </c>
      <c r="U2544">
        <f>IF(IF('01_Вводные'!$B$296="Новый сезон",FALSE,FALSE),'19_Расчет_аналитики'!U2432*CapacityAge01*'19_Расчет_аналитики'!$F$2235,0)</f>
        <v/>
      </c>
      <c r="V2544">
        <f>IF(IF('01_Вводные'!$B$296="Новый сезон",FALSE,FALSE),'19_Расчет_аналитики'!V2432*CapacityAge01*'19_Расчет_аналитики'!$F$2235,0)</f>
        <v/>
      </c>
      <c r="W2544">
        <f>IF(IF('01_Вводные'!$B$296="Новый сезон",FALSE,FALSE),'19_Расчет_аналитики'!W2432*CapacityAge01*'19_Расчет_аналитики'!$F$2235,0)</f>
        <v/>
      </c>
      <c r="X2544">
        <f>IF(IF('01_Вводные'!$B$296="Новый сезон",FALSE,FALSE),'19_Расчет_аналитики'!X2432*CapacityAge01*'19_Расчет_аналитики'!$F$2235,0)</f>
        <v/>
      </c>
      <c r="Y2544">
        <f>IF(IF('01_Вводные'!$B$296="Новый сезон",FALSE,FALSE),'19_Расчет_аналитики'!Y2432*CapacityAge01*'19_Расчет_аналитики'!$F$2235,0)</f>
        <v/>
      </c>
      <c r="Z2544">
        <f>IF(IF('01_Вводные'!$B$296="Новый сезон",FALSE,FALSE),'19_Расчет_аналитики'!Z2432*CapacityAge01*'19_Расчет_аналитики'!$F$2235,0)</f>
        <v/>
      </c>
      <c r="AA2544">
        <f>IF(IF('01_Вводные'!$B$296="Новый сезон",FALSE,FALSE),'19_Расчет_аналитики'!AA2432*CapacityAge01*'19_Расчет_аналитики'!$F$2235,0)</f>
        <v/>
      </c>
      <c r="AB2544">
        <f>IF(IF('01_Вводные'!$B$296="Новый сезон",FALSE,FALSE),'19_Расчет_аналитики'!AB2432*CapacityAge01*'19_Расчет_аналитики'!$F$2235,0)</f>
        <v/>
      </c>
      <c r="AC2544">
        <f>IF(IF('01_Вводные'!$B$296="Новый сезон",FALSE,FALSE),'19_Расчет_аналитики'!AC2432*CapacityAge01*'19_Расчет_аналитики'!$F$2235,0)</f>
        <v/>
      </c>
      <c r="AD2544">
        <f>IF(IF('01_Вводные'!$B$296="Новый сезон",FALSE,FALSE),'19_Расчет_аналитики'!AD2432*CapacityAge01*'19_Расчет_аналитики'!$F$2235,0)</f>
        <v/>
      </c>
      <c r="AE2544">
        <f>IF(IF('01_Вводные'!$B$296="Новый сезон",FALSE,FALSE),'19_Расчет_аналитики'!AE2432*CapacityAge01*'19_Расчет_аналитики'!$F$2235,0)</f>
        <v/>
      </c>
      <c r="AF2544">
        <f>IF(IF('01_Вводные'!$B$296="Новый сезон",FALSE,FALSE),'19_Расчет_аналитики'!AF2432*CapacityAge01*'19_Расчет_аналитики'!$F$2235,0)</f>
        <v/>
      </c>
      <c r="AG2544">
        <f>IF(IF('01_Вводные'!$B$296="Новый сезон",FALSE,FALSE),'19_Расчет_аналитики'!AG2432*CapacityAge01*'19_Расчет_аналитики'!$F$2235,0)</f>
        <v/>
      </c>
      <c r="AH2544">
        <f>IF(IF('01_Вводные'!$B$296="Новый сезон",FALSE,FALSE),'19_Расчет_аналитики'!AH2432*CapacityAge01*'19_Расчет_аналитики'!$F$2235,0)</f>
        <v/>
      </c>
      <c r="AI2544">
        <f>IF(IF('01_Вводные'!$B$296="Новый сезон",FALSE,FALSE),'19_Расчет_аналитики'!AI2432*CapacityAge01*'19_Расчет_аналитики'!$F$2235,0)</f>
        <v/>
      </c>
      <c r="AJ2544">
        <f>IF(IF('01_Вводные'!$B$296="Новый сезон",FALSE,FALSE),'19_Расчет_аналитики'!AJ2432*CapacityAge01*'19_Расчет_аналитики'!$F$2235,0)</f>
        <v/>
      </c>
      <c r="AK2544">
        <f>IF(IF('01_Вводные'!$B$296="Новый сезон",FALSE,FALSE),'19_Расчет_аналитики'!AK2432*CapacityAge01*'19_Расчет_аналитики'!$F$2235,0)</f>
        <v/>
      </c>
      <c r="AL2544">
        <f>IF(IF('01_Вводные'!$B$296="Новый сезон",FALSE,FALSE),'19_Расчет_аналитики'!AL2432*CapacityAge01*'19_Расчет_аналитики'!$F$2235,0)</f>
        <v/>
      </c>
      <c r="AM2544">
        <f>IF(IF('01_Вводные'!$B$296="Новый сезон",FALSE,FALSE),'19_Расчет_аналитики'!AM2432*CapacityAge01*'19_Расчет_аналитики'!$F$2235,0)</f>
        <v/>
      </c>
      <c r="AN2544">
        <f>IF(IF('01_Вводные'!$B$296="Новый сезон",FALSE,FALSE),'19_Расчет_аналитики'!AN2432*CapacityAge01*'19_Расчет_аналитики'!$F$2235,0)</f>
        <v/>
      </c>
      <c r="AO2544">
        <f>IF(IF('01_Вводные'!$B$296="Новый сезон",FALSE,FALSE),'19_Расчет_аналитики'!AO2432*CapacityAge01*'19_Расчет_аналитики'!$F$2235,0)</f>
        <v/>
      </c>
      <c r="AP2544">
        <f>IF(IF('01_Вводные'!$B$296="Новый сезон",FALSE,FALSE),'19_Расчет_аналитики'!AP2432*CapacityAge01*'19_Расчет_аналитики'!$F$2235,0)</f>
        <v/>
      </c>
      <c r="AQ2544">
        <f>IF(IF('01_Вводные'!$B$296="Новый сезон",FALSE,FALSE),'19_Расчет_аналитики'!AQ2432*CapacityAge01*'19_Расчет_аналитики'!$F$2235,0)</f>
        <v/>
      </c>
      <c r="AR2544">
        <f>IF(IF('01_Вводные'!$B$296="Новый сезон",FALSE,FALSE),'19_Расчет_аналитики'!AR2432*CapacityAge01*'19_Расчет_аналитики'!$F$2235,0)</f>
        <v/>
      </c>
      <c r="AS2544">
        <f>IF(IF('01_Вводные'!$B$296="Новый сезон",FALSE,FALSE),'19_Расчет_аналитики'!AS2432*CapacityAge01*'19_Расчет_аналитики'!$F$2235,0)</f>
        <v/>
      </c>
      <c r="AT2544">
        <f>IF(IF('01_Вводные'!$B$296="Новый сезон",FALSE,FALSE),'19_Расчет_аналитики'!AT2432*CapacityAge01*'19_Расчет_аналитики'!$F$2235,0)</f>
        <v/>
      </c>
      <c r="AU2544">
        <f>IF(IF('01_Вводные'!$B$296="Новый сезон",FALSE,FALSE),'19_Расчет_аналитики'!AU2432*CapacityAge01*'19_Расчет_аналитики'!$F$2235,0)</f>
        <v/>
      </c>
      <c r="AV2544">
        <f>IF(IF('01_Вводные'!$B$296="Новый сезон",FALSE,FALSE),'19_Расчет_аналитики'!AV2432*CapacityAge01*'19_Расчет_аналитики'!$F$2235,0)</f>
        <v/>
      </c>
      <c r="AW2544">
        <f>IF(IF('01_Вводные'!$B$296="Новый сезон",FALSE,FALSE),'19_Расчет_аналитики'!AW2432*CapacityAge01*'19_Расчет_аналитики'!$F$2235,0)</f>
        <v/>
      </c>
      <c r="AX2544">
        <f>IF(IF('01_Вводные'!$B$296="Новый сезон",FALSE,FALSE),'19_Расчет_аналитики'!AX2432*CapacityAge01*'19_Расчет_аналитики'!$F$2235,0)</f>
        <v/>
      </c>
      <c r="AY2544">
        <f>IF(IF('01_Вводные'!$B$296="Новый сезон",FALSE,FALSE),'19_Расчет_аналитики'!AY2432*CapacityAge01*'19_Расчет_аналитики'!$F$2235,0)</f>
        <v/>
      </c>
      <c r="AZ2544">
        <f>IF(IF('01_Вводные'!$B$296="Новый сезон",FALSE,FALSE),'19_Расчет_аналитики'!AZ2432*CapacityAge01*'19_Расчет_аналитики'!$F$2235,0)</f>
        <v/>
      </c>
      <c r="BA2544">
        <f>IF(IF('01_Вводные'!$B$296="Новый сезон",FALSE,FALSE),'19_Расчет_аналитики'!BA2432*CapacityAge01*'19_Расчет_аналитики'!$F$2235,0)</f>
        <v/>
      </c>
      <c r="BB2544">
        <f>IF(IF('01_Вводные'!$B$296="Новый сезон",FALSE,FALSE),'19_Расчет_аналитики'!BB2432*CapacityAge01*'19_Расчет_аналитики'!$F$2235,0)</f>
        <v/>
      </c>
      <c r="BC2544">
        <f>IF(IF('01_Вводные'!$B$296="Новый сезон",FALSE,FALSE),'19_Расчет_аналитики'!BC2432*CapacityAge01*'19_Расчет_аналитики'!$F$2235,0)</f>
        <v/>
      </c>
      <c r="BD2544">
        <f>IF(IF('01_Вводные'!$B$296="Новый сезон",FALSE,FALSE),'19_Расчет_аналитики'!BD2432*CapacityAge01*'19_Расчет_аналитики'!$F$2235,0)</f>
        <v/>
      </c>
      <c r="BE2544">
        <f>IF(IF('01_Вводные'!$B$296="Новый сезон",FALSE,FALSE),'19_Расчет_аналитики'!BE2432*CapacityAge01*'19_Расчет_аналитики'!$F$2235,0)</f>
        <v/>
      </c>
      <c r="BF2544">
        <f>IF(IF('01_Вводные'!$B$296="Новый сезон",FALSE,FALSE),'19_Расчет_аналитики'!BF2432*CapacityAge01*'19_Расчет_аналитики'!$F$2235,0)</f>
        <v/>
      </c>
      <c r="BG2544">
        <f>IF(IF('01_Вводные'!$B$296="Новый сезон",FALSE,FALSE),'19_Расчет_аналитики'!BG2432*CapacityAge01*'19_Расчет_аналитики'!$F$2235,0)</f>
        <v/>
      </c>
      <c r="BH2544">
        <f>IF(IF('01_Вводные'!$B$296="Новый сезон",FALSE,FALSE),'19_Расчет_аналитики'!BH2432*CapacityAge01*'19_Расчет_аналитики'!$F$2235,0)</f>
        <v/>
      </c>
      <c r="BI2544">
        <f>IF(IF('01_Вводные'!$B$296="Новый сезон",FALSE,FALSE),'19_Расчет_аналитики'!BI2432*CapacityAge01*'19_Расчет_аналитики'!$F$2235,0)</f>
        <v/>
      </c>
      <c r="BJ2544">
        <f>IF(IF('01_Вводные'!$B$296="Новый сезон",FALSE,FALSE),'19_Расчет_аналитики'!BJ2432*CapacityAge01*'19_Расчет_аналитики'!$F$2235,0)</f>
        <v/>
      </c>
      <c r="BK2544">
        <f>IF(IF('01_Вводные'!$B$296="Новый сезон",FALSE,FALSE),'19_Расчет_аналитики'!BK2432*CapacityAge01*'19_Расчет_аналитики'!$F$2235,0)</f>
        <v/>
      </c>
      <c r="BL2544">
        <f>IF(IF('01_Вводные'!$B$296="Новый сезон",FALSE,FALSE),'19_Расчет_аналитики'!BL2432*CapacityAge01*'19_Расчет_аналитики'!$F$2235,0)</f>
        <v/>
      </c>
      <c r="BM2544">
        <f>IF(IF('01_Вводные'!$B$296="Новый сезон",FALSE,FALSE),'19_Расчет_аналитики'!BM2432*CapacityAge01*'19_Расчет_аналитики'!$F$2235,0)</f>
        <v/>
      </c>
      <c r="BN2544">
        <f>IF(IF('01_Вводные'!$B$296="Новый сезон",FALSE,FALSE),'19_Расчет_аналитики'!BN2432*CapacityAge01*'19_Расчет_аналитики'!$F$2235,0)</f>
        <v/>
      </c>
      <c r="BO2544">
        <f>IF(IF('01_Вводные'!$B$296="Новый сезон",FALSE,FALSE),'19_Расчет_аналитики'!BO2432*CapacityAge01*'19_Расчет_аналитики'!$F$2235,0)</f>
        <v/>
      </c>
    </row>
    <row r="2545">
      <c r="B2545">
        <f>IF(IF('01_Вводные'!$B$296="Новый сезон",FALSE,FALSE),'06_Сеть_и_дети'!B54*CapacityAge02*'19_Расчет_аналитики'!$F$2235,0)</f>
        <v/>
      </c>
      <c r="C2545">
        <f>IF(IF('01_Вводные'!$B$296="Новый сезон",FALSE,FALSE),'19_Расчет_аналитики'!C2433*CapacityAge02*'19_Расчет_аналитики'!$F$2235,0)</f>
        <v/>
      </c>
      <c r="D2545">
        <f>IF(IF('01_Вводные'!$B$296="Новый сезон",FALSE,FALSE),'19_Расчет_аналитики'!D2433*CapacityAge02*'19_Расчет_аналитики'!$F$2235,0)</f>
        <v/>
      </c>
      <c r="E2545">
        <f>IF(IF('01_Вводные'!$B$296="Новый сезон",FALSE,FALSE),'19_Расчет_аналитики'!E2433*CapacityAge02*'19_Расчет_аналитики'!$F$2235,0)</f>
        <v/>
      </c>
      <c r="F2545">
        <f>IF(IF('01_Вводные'!$B$296="Новый сезон",FALSE,FALSE),'19_Расчет_аналитики'!F2433*CapacityAge02*'19_Расчет_аналитики'!$F$2235,0)</f>
        <v/>
      </c>
      <c r="G2545">
        <f>IF(IF('01_Вводные'!$B$296="Новый сезон",FALSE,FALSE),'19_Расчет_аналитики'!G2433*CapacityAge02*'19_Расчет_аналитики'!$F$2235,0)</f>
        <v/>
      </c>
      <c r="H2545">
        <f>IF(IF('01_Вводные'!$B$296="Новый сезон",FALSE,FALSE),'19_Расчет_аналитики'!H2433*CapacityAge02*'19_Расчет_аналитики'!$F$2235,0)</f>
        <v/>
      </c>
      <c r="I2545">
        <f>IF(IF('01_Вводные'!$B$296="Новый сезон",FALSE,FALSE),'19_Расчет_аналитики'!I2433*CapacityAge02*'19_Расчет_аналитики'!$F$2235,0)</f>
        <v/>
      </c>
      <c r="J2545">
        <f>IF(IF('01_Вводные'!$B$296="Новый сезон",FALSE,FALSE),'19_Расчет_аналитики'!J2433*CapacityAge02*'19_Расчет_аналитики'!$F$2235,0)</f>
        <v/>
      </c>
      <c r="K2545">
        <f>IF(IF('01_Вводные'!$B$296="Новый сезон",FALSE,FALSE),'19_Расчет_аналитики'!K2433*CapacityAge02*'19_Расчет_аналитики'!$F$2235,0)</f>
        <v/>
      </c>
      <c r="L2545">
        <f>IF(IF('01_Вводные'!$B$296="Новый сезон",FALSE,FALSE),'19_Расчет_аналитики'!L2433*CapacityAge02*'19_Расчет_аналитики'!$F$2235,0)</f>
        <v/>
      </c>
      <c r="M2545">
        <f>IF(IF('01_Вводные'!$B$296="Новый сезон",FALSE,FALSE),'19_Расчет_аналитики'!M2433*CapacityAge02*'19_Расчет_аналитики'!$F$2235,0)</f>
        <v/>
      </c>
      <c r="N2545">
        <f>IF(IF('01_Вводные'!$B$296="Новый сезон",FALSE,FALSE),'19_Расчет_аналитики'!N2433*CapacityAge02*'19_Расчет_аналитики'!$F$2235,0)</f>
        <v/>
      </c>
      <c r="O2545">
        <f>IF(IF('01_Вводные'!$B$296="Новый сезон",FALSE,FALSE),'19_Расчет_аналитики'!O2433*CapacityAge02*'19_Расчет_аналитики'!$F$2235,0)</f>
        <v/>
      </c>
      <c r="P2545">
        <f>IF(IF('01_Вводные'!$B$296="Новый сезон",FALSE,FALSE),'19_Расчет_аналитики'!P2433*CapacityAge02*'19_Расчет_аналитики'!$F$2235,0)</f>
        <v/>
      </c>
      <c r="Q2545">
        <f>IF(IF('01_Вводные'!$B$296="Новый сезон",FALSE,FALSE),'19_Расчет_аналитики'!Q2433*CapacityAge02*'19_Расчет_аналитики'!$F$2235,0)</f>
        <v/>
      </c>
      <c r="R2545">
        <f>IF(IF('01_Вводные'!$B$296="Новый сезон",FALSE,FALSE),'19_Расчет_аналитики'!R2433*CapacityAge02*'19_Расчет_аналитики'!$F$2235,0)</f>
        <v/>
      </c>
      <c r="S2545">
        <f>IF(IF('01_Вводные'!$B$296="Новый сезон",FALSE,FALSE),'19_Расчет_аналитики'!S2433*CapacityAge02*'19_Расчет_аналитики'!$F$2235,0)</f>
        <v/>
      </c>
      <c r="T2545">
        <f>IF(IF('01_Вводные'!$B$296="Новый сезон",FALSE,FALSE),'19_Расчет_аналитики'!T2433*CapacityAge02*'19_Расчет_аналитики'!$F$2235,0)</f>
        <v/>
      </c>
      <c r="U2545">
        <f>IF(IF('01_Вводные'!$B$296="Новый сезон",FALSE,FALSE),'19_Расчет_аналитики'!U2433*CapacityAge02*'19_Расчет_аналитики'!$F$2235,0)</f>
        <v/>
      </c>
      <c r="V2545">
        <f>IF(IF('01_Вводные'!$B$296="Новый сезон",FALSE,FALSE),'19_Расчет_аналитики'!V2433*CapacityAge02*'19_Расчет_аналитики'!$F$2235,0)</f>
        <v/>
      </c>
      <c r="W2545">
        <f>IF(IF('01_Вводные'!$B$296="Новый сезон",FALSE,FALSE),'19_Расчет_аналитики'!W2433*CapacityAge02*'19_Расчет_аналитики'!$F$2235,0)</f>
        <v/>
      </c>
      <c r="X2545">
        <f>IF(IF('01_Вводные'!$B$296="Новый сезон",FALSE,FALSE),'19_Расчет_аналитики'!X2433*CapacityAge02*'19_Расчет_аналитики'!$F$2235,0)</f>
        <v/>
      </c>
      <c r="Y2545">
        <f>IF(IF('01_Вводные'!$B$296="Новый сезон",FALSE,FALSE),'19_Расчет_аналитики'!Y2433*CapacityAge02*'19_Расчет_аналитики'!$F$2235,0)</f>
        <v/>
      </c>
      <c r="Z2545">
        <f>IF(IF('01_Вводные'!$B$296="Новый сезон",FALSE,FALSE),'19_Расчет_аналитики'!Z2433*CapacityAge02*'19_Расчет_аналитики'!$F$2235,0)</f>
        <v/>
      </c>
      <c r="AA2545">
        <f>IF(IF('01_Вводные'!$B$296="Новый сезон",FALSE,FALSE),'19_Расчет_аналитики'!AA2433*CapacityAge02*'19_Расчет_аналитики'!$F$2235,0)</f>
        <v/>
      </c>
      <c r="AB2545">
        <f>IF(IF('01_Вводные'!$B$296="Новый сезон",FALSE,FALSE),'19_Расчет_аналитики'!AB2433*CapacityAge02*'19_Расчет_аналитики'!$F$2235,0)</f>
        <v/>
      </c>
      <c r="AC2545">
        <f>IF(IF('01_Вводные'!$B$296="Новый сезон",FALSE,FALSE),'19_Расчет_аналитики'!AC2433*CapacityAge02*'19_Расчет_аналитики'!$F$2235,0)</f>
        <v/>
      </c>
      <c r="AD2545">
        <f>IF(IF('01_Вводные'!$B$296="Новый сезон",FALSE,FALSE),'19_Расчет_аналитики'!AD2433*CapacityAge02*'19_Расчет_аналитики'!$F$2235,0)</f>
        <v/>
      </c>
      <c r="AE2545">
        <f>IF(IF('01_Вводные'!$B$296="Новый сезон",FALSE,FALSE),'19_Расчет_аналитики'!AE2433*CapacityAge02*'19_Расчет_аналитики'!$F$2235,0)</f>
        <v/>
      </c>
      <c r="AF2545">
        <f>IF(IF('01_Вводные'!$B$296="Новый сезон",FALSE,FALSE),'19_Расчет_аналитики'!AF2433*CapacityAge02*'19_Расчет_аналитики'!$F$2235,0)</f>
        <v/>
      </c>
      <c r="AG2545">
        <f>IF(IF('01_Вводные'!$B$296="Новый сезон",FALSE,FALSE),'19_Расчет_аналитики'!AG2433*CapacityAge02*'19_Расчет_аналитики'!$F$2235,0)</f>
        <v/>
      </c>
      <c r="AH2545">
        <f>IF(IF('01_Вводные'!$B$296="Новый сезон",FALSE,FALSE),'19_Расчет_аналитики'!AH2433*CapacityAge02*'19_Расчет_аналитики'!$F$2235,0)</f>
        <v/>
      </c>
      <c r="AI2545">
        <f>IF(IF('01_Вводные'!$B$296="Новый сезон",FALSE,FALSE),'19_Расчет_аналитики'!AI2433*CapacityAge02*'19_Расчет_аналитики'!$F$2235,0)</f>
        <v/>
      </c>
      <c r="AJ2545">
        <f>IF(IF('01_Вводные'!$B$296="Новый сезон",FALSE,FALSE),'19_Расчет_аналитики'!AJ2433*CapacityAge02*'19_Расчет_аналитики'!$F$2235,0)</f>
        <v/>
      </c>
      <c r="AK2545">
        <f>IF(IF('01_Вводные'!$B$296="Новый сезон",FALSE,FALSE),'19_Расчет_аналитики'!AK2433*CapacityAge02*'19_Расчет_аналитики'!$F$2235,0)</f>
        <v/>
      </c>
      <c r="AL2545">
        <f>IF(IF('01_Вводные'!$B$296="Новый сезон",FALSE,FALSE),'19_Расчет_аналитики'!AL2433*CapacityAge02*'19_Расчет_аналитики'!$F$2235,0)</f>
        <v/>
      </c>
      <c r="AM2545">
        <f>IF(IF('01_Вводные'!$B$296="Новый сезон",FALSE,FALSE),'19_Расчет_аналитики'!AM2433*CapacityAge02*'19_Расчет_аналитики'!$F$2235,0)</f>
        <v/>
      </c>
      <c r="AN2545">
        <f>IF(IF('01_Вводные'!$B$296="Новый сезон",FALSE,FALSE),'19_Расчет_аналитики'!AN2433*CapacityAge02*'19_Расчет_аналитики'!$F$2235,0)</f>
        <v/>
      </c>
      <c r="AO2545">
        <f>IF(IF('01_Вводные'!$B$296="Новый сезон",FALSE,FALSE),'19_Расчет_аналитики'!AO2433*CapacityAge02*'19_Расчет_аналитики'!$F$2235,0)</f>
        <v/>
      </c>
      <c r="AP2545">
        <f>IF(IF('01_Вводные'!$B$296="Новый сезон",FALSE,FALSE),'19_Расчет_аналитики'!AP2433*CapacityAge02*'19_Расчет_аналитики'!$F$2235,0)</f>
        <v/>
      </c>
      <c r="AQ2545">
        <f>IF(IF('01_Вводные'!$B$296="Новый сезон",FALSE,FALSE),'19_Расчет_аналитики'!AQ2433*CapacityAge02*'19_Расчет_аналитики'!$F$2235,0)</f>
        <v/>
      </c>
      <c r="AR2545">
        <f>IF(IF('01_Вводные'!$B$296="Новый сезон",FALSE,FALSE),'19_Расчет_аналитики'!AR2433*CapacityAge02*'19_Расчет_аналитики'!$F$2235,0)</f>
        <v/>
      </c>
      <c r="AS2545">
        <f>IF(IF('01_Вводные'!$B$296="Новый сезон",FALSE,FALSE),'19_Расчет_аналитики'!AS2433*CapacityAge02*'19_Расчет_аналитики'!$F$2235,0)</f>
        <v/>
      </c>
      <c r="AT2545">
        <f>IF(IF('01_Вводные'!$B$296="Новый сезон",FALSE,FALSE),'19_Расчет_аналитики'!AT2433*CapacityAge02*'19_Расчет_аналитики'!$F$2235,0)</f>
        <v/>
      </c>
      <c r="AU2545">
        <f>IF(IF('01_Вводные'!$B$296="Новый сезон",FALSE,FALSE),'19_Расчет_аналитики'!AU2433*CapacityAge02*'19_Расчет_аналитики'!$F$2235,0)</f>
        <v/>
      </c>
      <c r="AV2545">
        <f>IF(IF('01_Вводные'!$B$296="Новый сезон",FALSE,FALSE),'19_Расчет_аналитики'!AV2433*CapacityAge02*'19_Расчет_аналитики'!$F$2235,0)</f>
        <v/>
      </c>
      <c r="AW2545">
        <f>IF(IF('01_Вводные'!$B$296="Новый сезон",FALSE,FALSE),'19_Расчет_аналитики'!AW2433*CapacityAge02*'19_Расчет_аналитики'!$F$2235,0)</f>
        <v/>
      </c>
      <c r="AX2545">
        <f>IF(IF('01_Вводные'!$B$296="Новый сезон",FALSE,FALSE),'19_Расчет_аналитики'!AX2433*CapacityAge02*'19_Расчет_аналитики'!$F$2235,0)</f>
        <v/>
      </c>
      <c r="AY2545">
        <f>IF(IF('01_Вводные'!$B$296="Новый сезон",FALSE,FALSE),'19_Расчет_аналитики'!AY2433*CapacityAge02*'19_Расчет_аналитики'!$F$2235,0)</f>
        <v/>
      </c>
      <c r="AZ2545">
        <f>IF(IF('01_Вводные'!$B$296="Новый сезон",FALSE,FALSE),'19_Расчет_аналитики'!AZ2433*CapacityAge02*'19_Расчет_аналитики'!$F$2235,0)</f>
        <v/>
      </c>
      <c r="BA2545">
        <f>IF(IF('01_Вводные'!$B$296="Новый сезон",FALSE,FALSE),'19_Расчет_аналитики'!BA2433*CapacityAge02*'19_Расчет_аналитики'!$F$2235,0)</f>
        <v/>
      </c>
      <c r="BB2545">
        <f>IF(IF('01_Вводные'!$B$296="Новый сезон",FALSE,FALSE),'19_Расчет_аналитики'!BB2433*CapacityAge02*'19_Расчет_аналитики'!$F$2235,0)</f>
        <v/>
      </c>
      <c r="BC2545">
        <f>IF(IF('01_Вводные'!$B$296="Новый сезон",FALSE,FALSE),'19_Расчет_аналитики'!BC2433*CapacityAge02*'19_Расчет_аналитики'!$F$2235,0)</f>
        <v/>
      </c>
      <c r="BD2545">
        <f>IF(IF('01_Вводные'!$B$296="Новый сезон",FALSE,FALSE),'19_Расчет_аналитики'!BD2433*CapacityAge02*'19_Расчет_аналитики'!$F$2235,0)</f>
        <v/>
      </c>
      <c r="BE2545">
        <f>IF(IF('01_Вводные'!$B$296="Новый сезон",FALSE,FALSE),'19_Расчет_аналитики'!BE2433*CapacityAge02*'19_Расчет_аналитики'!$F$2235,0)</f>
        <v/>
      </c>
      <c r="BF2545">
        <f>IF(IF('01_Вводные'!$B$296="Новый сезон",FALSE,FALSE),'19_Расчет_аналитики'!BF2433*CapacityAge02*'19_Расчет_аналитики'!$F$2235,0)</f>
        <v/>
      </c>
      <c r="BG2545">
        <f>IF(IF('01_Вводные'!$B$296="Новый сезон",FALSE,FALSE),'19_Расчет_аналитики'!BG2433*CapacityAge02*'19_Расчет_аналитики'!$F$2235,0)</f>
        <v/>
      </c>
      <c r="BH2545">
        <f>IF(IF('01_Вводные'!$B$296="Новый сезон",FALSE,FALSE),'19_Расчет_аналитики'!BH2433*CapacityAge02*'19_Расчет_аналитики'!$F$2235,0)</f>
        <v/>
      </c>
      <c r="BI2545">
        <f>IF(IF('01_Вводные'!$B$296="Новый сезон",FALSE,FALSE),'19_Расчет_аналитики'!BI2433*CapacityAge02*'19_Расчет_аналитики'!$F$2235,0)</f>
        <v/>
      </c>
      <c r="BJ2545">
        <f>IF(IF('01_Вводные'!$B$296="Новый сезон",FALSE,FALSE),'19_Расчет_аналитики'!BJ2433*CapacityAge02*'19_Расчет_аналитики'!$F$2235,0)</f>
        <v/>
      </c>
      <c r="BK2545">
        <f>IF(IF('01_Вводные'!$B$296="Новый сезон",FALSE,FALSE),'19_Расчет_аналитики'!BK2433*CapacityAge02*'19_Расчет_аналитики'!$F$2235,0)</f>
        <v/>
      </c>
      <c r="BL2545">
        <f>IF(IF('01_Вводные'!$B$296="Новый сезон",FALSE,FALSE),'19_Расчет_аналитики'!BL2433*CapacityAge02*'19_Расчет_аналитики'!$F$2235,0)</f>
        <v/>
      </c>
      <c r="BM2545">
        <f>IF(IF('01_Вводные'!$B$296="Новый сезон",FALSE,FALSE),'19_Расчет_аналитики'!BM2433*CapacityAge02*'19_Расчет_аналитики'!$F$2235,0)</f>
        <v/>
      </c>
      <c r="BN2545">
        <f>IF(IF('01_Вводные'!$B$296="Новый сезон",FALSE,FALSE),'19_Расчет_аналитики'!BN2433*CapacityAge02*'19_Расчет_аналитики'!$F$2235,0)</f>
        <v/>
      </c>
      <c r="BO2545">
        <f>IF(IF('01_Вводные'!$B$296="Новый сезон",FALSE,FALSE),'19_Расчет_аналитики'!BO2433*CapacityAge02*'19_Расчет_аналитики'!$F$2235,0)</f>
        <v/>
      </c>
    </row>
    <row r="2546">
      <c r="B2546">
        <f>IF(IF('01_Вводные'!$B$296="Новый сезон",FALSE,FALSE),'06_Сеть_и_дети'!B55*CapacityAge03*'19_Расчет_аналитики'!$F$2235,0)</f>
        <v/>
      </c>
      <c r="C2546">
        <f>IF(IF('01_Вводные'!$B$296="Новый сезон",FALSE,FALSE),'06_Сеть_и_дети'!C55*CapacityAge03*'19_Расчет_аналитики'!$F$2235,0)</f>
        <v/>
      </c>
      <c r="D2546">
        <f>IF(IF('01_Вводные'!$B$296="Новый сезон",FALSE,FALSE),'19_Расчет_аналитики'!D2434*CapacityAge03*'19_Расчет_аналитики'!$F$2235,0)</f>
        <v/>
      </c>
      <c r="E2546">
        <f>IF(IF('01_Вводные'!$B$296="Новый сезон",FALSE,FALSE),'19_Расчет_аналитики'!E2434*CapacityAge03*'19_Расчет_аналитики'!$F$2235,0)</f>
        <v/>
      </c>
      <c r="F2546">
        <f>IF(IF('01_Вводные'!$B$296="Новый сезон",FALSE,FALSE),'19_Расчет_аналитики'!F2434*CapacityAge03*'19_Расчет_аналитики'!$F$2235,0)</f>
        <v/>
      </c>
      <c r="G2546">
        <f>IF(IF('01_Вводные'!$B$296="Новый сезон",FALSE,FALSE),'19_Расчет_аналитики'!G2434*CapacityAge03*'19_Расчет_аналитики'!$F$2235,0)</f>
        <v/>
      </c>
      <c r="H2546">
        <f>IF(IF('01_Вводные'!$B$296="Новый сезон",FALSE,FALSE),'19_Расчет_аналитики'!H2434*CapacityAge03*'19_Расчет_аналитики'!$F$2235,0)</f>
        <v/>
      </c>
      <c r="I2546">
        <f>IF(IF('01_Вводные'!$B$296="Новый сезон",FALSE,FALSE),'19_Расчет_аналитики'!I2434*CapacityAge03*'19_Расчет_аналитики'!$F$2235,0)</f>
        <v/>
      </c>
      <c r="J2546">
        <f>IF(IF('01_Вводные'!$B$296="Новый сезон",FALSE,FALSE),'19_Расчет_аналитики'!J2434*CapacityAge03*'19_Расчет_аналитики'!$F$2235,0)</f>
        <v/>
      </c>
      <c r="K2546">
        <f>IF(IF('01_Вводные'!$B$296="Новый сезон",FALSE,FALSE),'19_Расчет_аналитики'!K2434*CapacityAge03*'19_Расчет_аналитики'!$F$2235,0)</f>
        <v/>
      </c>
      <c r="L2546">
        <f>IF(IF('01_Вводные'!$B$296="Новый сезон",FALSE,FALSE),'19_Расчет_аналитики'!L2434*CapacityAge03*'19_Расчет_аналитики'!$F$2235,0)</f>
        <v/>
      </c>
      <c r="M2546">
        <f>IF(IF('01_Вводные'!$B$296="Новый сезон",FALSE,FALSE),'19_Расчет_аналитики'!M2434*CapacityAge03*'19_Расчет_аналитики'!$F$2235,0)</f>
        <v/>
      </c>
      <c r="N2546">
        <f>IF(IF('01_Вводные'!$B$296="Новый сезон",FALSE,FALSE),'19_Расчет_аналитики'!N2434*CapacityAge03*'19_Расчет_аналитики'!$F$2235,0)</f>
        <v/>
      </c>
      <c r="O2546">
        <f>IF(IF('01_Вводные'!$B$296="Новый сезон",FALSE,FALSE),'19_Расчет_аналитики'!O2434*CapacityAge03*'19_Расчет_аналитики'!$F$2235,0)</f>
        <v/>
      </c>
      <c r="P2546">
        <f>IF(IF('01_Вводные'!$B$296="Новый сезон",FALSE,FALSE),'19_Расчет_аналитики'!P2434*CapacityAge03*'19_Расчет_аналитики'!$F$2235,0)</f>
        <v/>
      </c>
      <c r="Q2546">
        <f>IF(IF('01_Вводные'!$B$296="Новый сезон",FALSE,FALSE),'19_Расчет_аналитики'!Q2434*CapacityAge03*'19_Расчет_аналитики'!$F$2235,0)</f>
        <v/>
      </c>
      <c r="R2546">
        <f>IF(IF('01_Вводные'!$B$296="Новый сезон",FALSE,FALSE),'19_Расчет_аналитики'!R2434*CapacityAge03*'19_Расчет_аналитики'!$F$2235,0)</f>
        <v/>
      </c>
      <c r="S2546">
        <f>IF(IF('01_Вводные'!$B$296="Новый сезон",FALSE,FALSE),'19_Расчет_аналитики'!S2434*CapacityAge03*'19_Расчет_аналитики'!$F$2235,0)</f>
        <v/>
      </c>
      <c r="T2546">
        <f>IF(IF('01_Вводные'!$B$296="Новый сезон",FALSE,FALSE),'19_Расчет_аналитики'!T2434*CapacityAge03*'19_Расчет_аналитики'!$F$2235,0)</f>
        <v/>
      </c>
      <c r="U2546">
        <f>IF(IF('01_Вводные'!$B$296="Новый сезон",FALSE,FALSE),'19_Расчет_аналитики'!U2434*CapacityAge03*'19_Расчет_аналитики'!$F$2235,0)</f>
        <v/>
      </c>
      <c r="V2546">
        <f>IF(IF('01_Вводные'!$B$296="Новый сезон",FALSE,FALSE),'19_Расчет_аналитики'!V2434*CapacityAge03*'19_Расчет_аналитики'!$F$2235,0)</f>
        <v/>
      </c>
      <c r="W2546">
        <f>IF(IF('01_Вводные'!$B$296="Новый сезон",FALSE,FALSE),'19_Расчет_аналитики'!W2434*CapacityAge03*'19_Расчет_аналитики'!$F$2235,0)</f>
        <v/>
      </c>
      <c r="X2546">
        <f>IF(IF('01_Вводные'!$B$296="Новый сезон",FALSE,FALSE),'19_Расчет_аналитики'!X2434*CapacityAge03*'19_Расчет_аналитики'!$F$2235,0)</f>
        <v/>
      </c>
      <c r="Y2546">
        <f>IF(IF('01_Вводные'!$B$296="Новый сезон",FALSE,FALSE),'19_Расчет_аналитики'!Y2434*CapacityAge03*'19_Расчет_аналитики'!$F$2235,0)</f>
        <v/>
      </c>
      <c r="Z2546">
        <f>IF(IF('01_Вводные'!$B$296="Новый сезон",FALSE,FALSE),'19_Расчет_аналитики'!Z2434*CapacityAge03*'19_Расчет_аналитики'!$F$2235,0)</f>
        <v/>
      </c>
      <c r="AA2546">
        <f>IF(IF('01_Вводные'!$B$296="Новый сезон",FALSE,FALSE),'19_Расчет_аналитики'!AA2434*CapacityAge03*'19_Расчет_аналитики'!$F$2235,0)</f>
        <v/>
      </c>
      <c r="AB2546">
        <f>IF(IF('01_Вводные'!$B$296="Новый сезон",FALSE,FALSE),'19_Расчет_аналитики'!AB2434*CapacityAge03*'19_Расчет_аналитики'!$F$2235,0)</f>
        <v/>
      </c>
      <c r="AC2546">
        <f>IF(IF('01_Вводные'!$B$296="Новый сезон",FALSE,FALSE),'19_Расчет_аналитики'!AC2434*CapacityAge03*'19_Расчет_аналитики'!$F$2235,0)</f>
        <v/>
      </c>
      <c r="AD2546">
        <f>IF(IF('01_Вводные'!$B$296="Новый сезон",FALSE,FALSE),'19_Расчет_аналитики'!AD2434*CapacityAge03*'19_Расчет_аналитики'!$F$2235,0)</f>
        <v/>
      </c>
      <c r="AE2546">
        <f>IF(IF('01_Вводные'!$B$296="Новый сезон",FALSE,FALSE),'19_Расчет_аналитики'!AE2434*CapacityAge03*'19_Расчет_аналитики'!$F$2235,0)</f>
        <v/>
      </c>
      <c r="AF2546">
        <f>IF(IF('01_Вводные'!$B$296="Новый сезон",FALSE,FALSE),'19_Расчет_аналитики'!AF2434*CapacityAge03*'19_Расчет_аналитики'!$F$2235,0)</f>
        <v/>
      </c>
      <c r="AG2546">
        <f>IF(IF('01_Вводные'!$B$296="Новый сезон",FALSE,FALSE),'19_Расчет_аналитики'!AG2434*CapacityAge03*'19_Расчет_аналитики'!$F$2235,0)</f>
        <v/>
      </c>
      <c r="AH2546">
        <f>IF(IF('01_Вводные'!$B$296="Новый сезон",FALSE,FALSE),'19_Расчет_аналитики'!AH2434*CapacityAge03*'19_Расчет_аналитики'!$F$2235,0)</f>
        <v/>
      </c>
      <c r="AI2546">
        <f>IF(IF('01_Вводные'!$B$296="Новый сезон",FALSE,FALSE),'19_Расчет_аналитики'!AI2434*CapacityAge03*'19_Расчет_аналитики'!$F$2235,0)</f>
        <v/>
      </c>
      <c r="AJ2546">
        <f>IF(IF('01_Вводные'!$B$296="Новый сезон",FALSE,FALSE),'19_Расчет_аналитики'!AJ2434*CapacityAge03*'19_Расчет_аналитики'!$F$2235,0)</f>
        <v/>
      </c>
      <c r="AK2546">
        <f>IF(IF('01_Вводные'!$B$296="Новый сезон",FALSE,FALSE),'19_Расчет_аналитики'!AK2434*CapacityAge03*'19_Расчет_аналитики'!$F$2235,0)</f>
        <v/>
      </c>
      <c r="AL2546">
        <f>IF(IF('01_Вводные'!$B$296="Новый сезон",FALSE,FALSE),'19_Расчет_аналитики'!AL2434*CapacityAge03*'19_Расчет_аналитики'!$F$2235,0)</f>
        <v/>
      </c>
      <c r="AM2546">
        <f>IF(IF('01_Вводные'!$B$296="Новый сезон",FALSE,FALSE),'19_Расчет_аналитики'!AM2434*CapacityAge03*'19_Расчет_аналитики'!$F$2235,0)</f>
        <v/>
      </c>
      <c r="AN2546">
        <f>IF(IF('01_Вводные'!$B$296="Новый сезон",FALSE,FALSE),'19_Расчет_аналитики'!AN2434*CapacityAge03*'19_Расчет_аналитики'!$F$2235,0)</f>
        <v/>
      </c>
      <c r="AO2546">
        <f>IF(IF('01_Вводные'!$B$296="Новый сезон",FALSE,FALSE),'19_Расчет_аналитики'!AO2434*CapacityAge03*'19_Расчет_аналитики'!$F$2235,0)</f>
        <v/>
      </c>
      <c r="AP2546">
        <f>IF(IF('01_Вводные'!$B$296="Новый сезон",FALSE,FALSE),'19_Расчет_аналитики'!AP2434*CapacityAge03*'19_Расчет_аналитики'!$F$2235,0)</f>
        <v/>
      </c>
      <c r="AQ2546">
        <f>IF(IF('01_Вводные'!$B$296="Новый сезон",FALSE,FALSE),'19_Расчет_аналитики'!AQ2434*CapacityAge03*'19_Расчет_аналитики'!$F$2235,0)</f>
        <v/>
      </c>
      <c r="AR2546">
        <f>IF(IF('01_Вводные'!$B$296="Новый сезон",FALSE,FALSE),'19_Расчет_аналитики'!AR2434*CapacityAge03*'19_Расчет_аналитики'!$F$2235,0)</f>
        <v/>
      </c>
      <c r="AS2546">
        <f>IF(IF('01_Вводные'!$B$296="Новый сезон",FALSE,FALSE),'19_Расчет_аналитики'!AS2434*CapacityAge03*'19_Расчет_аналитики'!$F$2235,0)</f>
        <v/>
      </c>
      <c r="AT2546">
        <f>IF(IF('01_Вводные'!$B$296="Новый сезон",FALSE,FALSE),'19_Расчет_аналитики'!AT2434*CapacityAge03*'19_Расчет_аналитики'!$F$2235,0)</f>
        <v/>
      </c>
      <c r="AU2546">
        <f>IF(IF('01_Вводные'!$B$296="Новый сезон",FALSE,FALSE),'19_Расчет_аналитики'!AU2434*CapacityAge03*'19_Расчет_аналитики'!$F$2235,0)</f>
        <v/>
      </c>
      <c r="AV2546">
        <f>IF(IF('01_Вводные'!$B$296="Новый сезон",FALSE,FALSE),'19_Расчет_аналитики'!AV2434*CapacityAge03*'19_Расчет_аналитики'!$F$2235,0)</f>
        <v/>
      </c>
      <c r="AW2546">
        <f>IF(IF('01_Вводные'!$B$296="Новый сезон",FALSE,FALSE),'19_Расчет_аналитики'!AW2434*CapacityAge03*'19_Расчет_аналитики'!$F$2235,0)</f>
        <v/>
      </c>
      <c r="AX2546">
        <f>IF(IF('01_Вводные'!$B$296="Новый сезон",FALSE,FALSE),'19_Расчет_аналитики'!AX2434*CapacityAge03*'19_Расчет_аналитики'!$F$2235,0)</f>
        <v/>
      </c>
      <c r="AY2546">
        <f>IF(IF('01_Вводные'!$B$296="Новый сезон",FALSE,FALSE),'19_Расчет_аналитики'!AY2434*CapacityAge03*'19_Расчет_аналитики'!$F$2235,0)</f>
        <v/>
      </c>
      <c r="AZ2546">
        <f>IF(IF('01_Вводные'!$B$296="Новый сезон",FALSE,FALSE),'19_Расчет_аналитики'!AZ2434*CapacityAge03*'19_Расчет_аналитики'!$F$2235,0)</f>
        <v/>
      </c>
      <c r="BA2546">
        <f>IF(IF('01_Вводные'!$B$296="Новый сезон",FALSE,FALSE),'19_Расчет_аналитики'!BA2434*CapacityAge03*'19_Расчет_аналитики'!$F$2235,0)</f>
        <v/>
      </c>
      <c r="BB2546">
        <f>IF(IF('01_Вводные'!$B$296="Новый сезон",FALSE,FALSE),'19_Расчет_аналитики'!BB2434*CapacityAge03*'19_Расчет_аналитики'!$F$2235,0)</f>
        <v/>
      </c>
      <c r="BC2546">
        <f>IF(IF('01_Вводные'!$B$296="Новый сезон",FALSE,FALSE),'19_Расчет_аналитики'!BC2434*CapacityAge03*'19_Расчет_аналитики'!$F$2235,0)</f>
        <v/>
      </c>
      <c r="BD2546">
        <f>IF(IF('01_Вводные'!$B$296="Новый сезон",FALSE,FALSE),'19_Расчет_аналитики'!BD2434*CapacityAge03*'19_Расчет_аналитики'!$F$2235,0)</f>
        <v/>
      </c>
      <c r="BE2546">
        <f>IF(IF('01_Вводные'!$B$296="Новый сезон",FALSE,FALSE),'19_Расчет_аналитики'!BE2434*CapacityAge03*'19_Расчет_аналитики'!$F$2235,0)</f>
        <v/>
      </c>
      <c r="BF2546">
        <f>IF(IF('01_Вводные'!$B$296="Новый сезон",FALSE,FALSE),'19_Расчет_аналитики'!BF2434*CapacityAge03*'19_Расчет_аналитики'!$F$2235,0)</f>
        <v/>
      </c>
      <c r="BG2546">
        <f>IF(IF('01_Вводные'!$B$296="Новый сезон",FALSE,FALSE),'19_Расчет_аналитики'!BG2434*CapacityAge03*'19_Расчет_аналитики'!$F$2235,0)</f>
        <v/>
      </c>
      <c r="BH2546">
        <f>IF(IF('01_Вводные'!$B$296="Новый сезон",FALSE,FALSE),'19_Расчет_аналитики'!BH2434*CapacityAge03*'19_Расчет_аналитики'!$F$2235,0)</f>
        <v/>
      </c>
      <c r="BI2546">
        <f>IF(IF('01_Вводные'!$B$296="Новый сезон",FALSE,FALSE),'19_Расчет_аналитики'!BI2434*CapacityAge03*'19_Расчет_аналитики'!$F$2235,0)</f>
        <v/>
      </c>
      <c r="BJ2546">
        <f>IF(IF('01_Вводные'!$B$296="Новый сезон",FALSE,FALSE),'19_Расчет_аналитики'!BJ2434*CapacityAge03*'19_Расчет_аналитики'!$F$2235,0)</f>
        <v/>
      </c>
      <c r="BK2546">
        <f>IF(IF('01_Вводные'!$B$296="Новый сезон",FALSE,FALSE),'19_Расчет_аналитики'!BK2434*CapacityAge03*'19_Расчет_аналитики'!$F$2235,0)</f>
        <v/>
      </c>
      <c r="BL2546">
        <f>IF(IF('01_Вводные'!$B$296="Новый сезон",FALSE,FALSE),'19_Расчет_аналитики'!BL2434*CapacityAge03*'19_Расчет_аналитики'!$F$2235,0)</f>
        <v/>
      </c>
      <c r="BM2546">
        <f>IF(IF('01_Вводные'!$B$296="Новый сезон",FALSE,FALSE),'19_Расчет_аналитики'!BM2434*CapacityAge03*'19_Расчет_аналитики'!$F$2235,0)</f>
        <v/>
      </c>
      <c r="BN2546">
        <f>IF(IF('01_Вводные'!$B$296="Новый сезон",FALSE,FALSE),'19_Расчет_аналитики'!BN2434*CapacityAge03*'19_Расчет_аналитики'!$F$2235,0)</f>
        <v/>
      </c>
      <c r="BO2546">
        <f>IF(IF('01_Вводные'!$B$296="Новый сезон",FALSE,FALSE),'19_Расчет_аналитики'!BO2434*CapacityAge03*'19_Расчет_аналитики'!$F$2235,0)</f>
        <v/>
      </c>
    </row>
    <row r="2547">
      <c r="B2547">
        <f>IF(IF('01_Вводные'!$B$296="Новый сезон",FALSE,FALSE),'06_Сеть_и_дети'!B56*CapacityAge04*'19_Расчет_аналитики'!$F$2235,0)</f>
        <v/>
      </c>
      <c r="C2547">
        <f>IF(IF('01_Вводные'!$B$296="Новый сезон",FALSE,FALSE),'06_Сеть_и_дети'!C56*CapacityAge04*'19_Расчет_аналитики'!$F$2235,0)</f>
        <v/>
      </c>
      <c r="D2547">
        <f>IF(IF('01_Вводные'!$B$296="Новый сезон",FALSE,FALSE),'06_Сеть_и_дети'!D56*CapacityAge04*'19_Расчет_аналитики'!$F$2235,0)</f>
        <v/>
      </c>
      <c r="E2547">
        <f>IF(IF('01_Вводные'!$B$296="Новый сезон",FALSE,FALSE),'19_Расчет_аналитики'!E2435*CapacityAge04*'19_Расчет_аналитики'!$F$2235,0)</f>
        <v/>
      </c>
      <c r="F2547">
        <f>IF(IF('01_Вводные'!$B$296="Новый сезон",FALSE,FALSE),'19_Расчет_аналитики'!F2435*CapacityAge04*'19_Расчет_аналитики'!$F$2235,0)</f>
        <v/>
      </c>
      <c r="G2547">
        <f>IF(IF('01_Вводные'!$B$296="Новый сезон",FALSE,FALSE),'19_Расчет_аналитики'!G2435*CapacityAge04*'19_Расчет_аналитики'!$F$2235,0)</f>
        <v/>
      </c>
      <c r="H2547">
        <f>IF(IF('01_Вводные'!$B$296="Новый сезон",FALSE,FALSE),'19_Расчет_аналитики'!H2435*CapacityAge04*'19_Расчет_аналитики'!$F$2235,0)</f>
        <v/>
      </c>
      <c r="I2547">
        <f>IF(IF('01_Вводные'!$B$296="Новый сезон",FALSE,FALSE),'19_Расчет_аналитики'!I2435*CapacityAge04*'19_Расчет_аналитики'!$F$2235,0)</f>
        <v/>
      </c>
      <c r="J2547">
        <f>IF(IF('01_Вводные'!$B$296="Новый сезон",FALSE,FALSE),'19_Расчет_аналитики'!J2435*CapacityAge04*'19_Расчет_аналитики'!$F$2235,0)</f>
        <v/>
      </c>
      <c r="K2547">
        <f>IF(IF('01_Вводные'!$B$296="Новый сезон",FALSE,FALSE),'19_Расчет_аналитики'!K2435*CapacityAge04*'19_Расчет_аналитики'!$F$2235,0)</f>
        <v/>
      </c>
      <c r="L2547">
        <f>IF(IF('01_Вводные'!$B$296="Новый сезон",FALSE,FALSE),'19_Расчет_аналитики'!L2435*CapacityAge04*'19_Расчет_аналитики'!$F$2235,0)</f>
        <v/>
      </c>
      <c r="M2547">
        <f>IF(IF('01_Вводные'!$B$296="Новый сезон",FALSE,FALSE),'19_Расчет_аналитики'!M2435*CapacityAge04*'19_Расчет_аналитики'!$F$2235,0)</f>
        <v/>
      </c>
      <c r="N2547">
        <f>IF(IF('01_Вводные'!$B$296="Новый сезон",FALSE,FALSE),'19_Расчет_аналитики'!N2435*CapacityAge04*'19_Расчет_аналитики'!$F$2235,0)</f>
        <v/>
      </c>
      <c r="O2547">
        <f>IF(IF('01_Вводные'!$B$296="Новый сезон",FALSE,FALSE),'19_Расчет_аналитики'!O2435*CapacityAge04*'19_Расчет_аналитики'!$F$2235,0)</f>
        <v/>
      </c>
      <c r="P2547">
        <f>IF(IF('01_Вводные'!$B$296="Новый сезон",FALSE,FALSE),'19_Расчет_аналитики'!P2435*CapacityAge04*'19_Расчет_аналитики'!$F$2235,0)</f>
        <v/>
      </c>
      <c r="Q2547">
        <f>IF(IF('01_Вводные'!$B$296="Новый сезон",FALSE,FALSE),'19_Расчет_аналитики'!Q2435*CapacityAge04*'19_Расчет_аналитики'!$F$2235,0)</f>
        <v/>
      </c>
      <c r="R2547">
        <f>IF(IF('01_Вводные'!$B$296="Новый сезон",FALSE,FALSE),'19_Расчет_аналитики'!R2435*CapacityAge04*'19_Расчет_аналитики'!$F$2235,0)</f>
        <v/>
      </c>
      <c r="S2547">
        <f>IF(IF('01_Вводные'!$B$296="Новый сезон",FALSE,FALSE),'19_Расчет_аналитики'!S2435*CapacityAge04*'19_Расчет_аналитики'!$F$2235,0)</f>
        <v/>
      </c>
      <c r="T2547">
        <f>IF(IF('01_Вводные'!$B$296="Новый сезон",FALSE,FALSE),'19_Расчет_аналитики'!T2435*CapacityAge04*'19_Расчет_аналитики'!$F$2235,0)</f>
        <v/>
      </c>
      <c r="U2547">
        <f>IF(IF('01_Вводные'!$B$296="Новый сезон",FALSE,FALSE),'19_Расчет_аналитики'!U2435*CapacityAge04*'19_Расчет_аналитики'!$F$2235,0)</f>
        <v/>
      </c>
      <c r="V2547">
        <f>IF(IF('01_Вводные'!$B$296="Новый сезон",FALSE,FALSE),'19_Расчет_аналитики'!V2435*CapacityAge04*'19_Расчет_аналитики'!$F$2235,0)</f>
        <v/>
      </c>
      <c r="W2547">
        <f>IF(IF('01_Вводные'!$B$296="Новый сезон",FALSE,FALSE),'19_Расчет_аналитики'!W2435*CapacityAge04*'19_Расчет_аналитики'!$F$2235,0)</f>
        <v/>
      </c>
      <c r="X2547">
        <f>IF(IF('01_Вводные'!$B$296="Новый сезон",FALSE,FALSE),'19_Расчет_аналитики'!X2435*CapacityAge04*'19_Расчет_аналитики'!$F$2235,0)</f>
        <v/>
      </c>
      <c r="Y2547">
        <f>IF(IF('01_Вводные'!$B$296="Новый сезон",FALSE,FALSE),'19_Расчет_аналитики'!Y2435*CapacityAge04*'19_Расчет_аналитики'!$F$2235,0)</f>
        <v/>
      </c>
      <c r="Z2547">
        <f>IF(IF('01_Вводные'!$B$296="Новый сезон",FALSE,FALSE),'19_Расчет_аналитики'!Z2435*CapacityAge04*'19_Расчет_аналитики'!$F$2235,0)</f>
        <v/>
      </c>
      <c r="AA2547">
        <f>IF(IF('01_Вводные'!$B$296="Новый сезон",FALSE,FALSE),'19_Расчет_аналитики'!AA2435*CapacityAge04*'19_Расчет_аналитики'!$F$2235,0)</f>
        <v/>
      </c>
      <c r="AB2547">
        <f>IF(IF('01_Вводные'!$B$296="Новый сезон",FALSE,FALSE),'19_Расчет_аналитики'!AB2435*CapacityAge04*'19_Расчет_аналитики'!$F$2235,0)</f>
        <v/>
      </c>
      <c r="AC2547">
        <f>IF(IF('01_Вводные'!$B$296="Новый сезон",FALSE,FALSE),'19_Расчет_аналитики'!AC2435*CapacityAge04*'19_Расчет_аналитики'!$F$2235,0)</f>
        <v/>
      </c>
      <c r="AD2547">
        <f>IF(IF('01_Вводные'!$B$296="Новый сезон",FALSE,FALSE),'19_Расчет_аналитики'!AD2435*CapacityAge04*'19_Расчет_аналитики'!$F$2235,0)</f>
        <v/>
      </c>
      <c r="AE2547">
        <f>IF(IF('01_Вводные'!$B$296="Новый сезон",FALSE,FALSE),'19_Расчет_аналитики'!AE2435*CapacityAge04*'19_Расчет_аналитики'!$F$2235,0)</f>
        <v/>
      </c>
      <c r="AF2547">
        <f>IF(IF('01_Вводные'!$B$296="Новый сезон",FALSE,FALSE),'19_Расчет_аналитики'!AF2435*CapacityAge04*'19_Расчет_аналитики'!$F$2235,0)</f>
        <v/>
      </c>
      <c r="AG2547">
        <f>IF(IF('01_Вводные'!$B$296="Новый сезон",FALSE,FALSE),'19_Расчет_аналитики'!AG2435*CapacityAge04*'19_Расчет_аналитики'!$F$2235,0)</f>
        <v/>
      </c>
      <c r="AH2547">
        <f>IF(IF('01_Вводные'!$B$296="Новый сезон",FALSE,FALSE),'19_Расчет_аналитики'!AH2435*CapacityAge04*'19_Расчет_аналитики'!$F$2235,0)</f>
        <v/>
      </c>
      <c r="AI2547">
        <f>IF(IF('01_Вводные'!$B$296="Новый сезон",FALSE,FALSE),'19_Расчет_аналитики'!AI2435*CapacityAge04*'19_Расчет_аналитики'!$F$2235,0)</f>
        <v/>
      </c>
      <c r="AJ2547">
        <f>IF(IF('01_Вводные'!$B$296="Новый сезон",FALSE,FALSE),'19_Расчет_аналитики'!AJ2435*CapacityAge04*'19_Расчет_аналитики'!$F$2235,0)</f>
        <v/>
      </c>
      <c r="AK2547">
        <f>IF(IF('01_Вводные'!$B$296="Новый сезон",FALSE,FALSE),'19_Расчет_аналитики'!AK2435*CapacityAge04*'19_Расчет_аналитики'!$F$2235,0)</f>
        <v/>
      </c>
      <c r="AL2547">
        <f>IF(IF('01_Вводные'!$B$296="Новый сезон",FALSE,FALSE),'19_Расчет_аналитики'!AL2435*CapacityAge04*'19_Расчет_аналитики'!$F$2235,0)</f>
        <v/>
      </c>
      <c r="AM2547">
        <f>IF(IF('01_Вводные'!$B$296="Новый сезон",FALSE,FALSE),'19_Расчет_аналитики'!AM2435*CapacityAge04*'19_Расчет_аналитики'!$F$2235,0)</f>
        <v/>
      </c>
      <c r="AN2547">
        <f>IF(IF('01_Вводные'!$B$296="Новый сезон",FALSE,FALSE),'19_Расчет_аналитики'!AN2435*CapacityAge04*'19_Расчет_аналитики'!$F$2235,0)</f>
        <v/>
      </c>
      <c r="AO2547">
        <f>IF(IF('01_Вводные'!$B$296="Новый сезон",FALSE,FALSE),'19_Расчет_аналитики'!AO2435*CapacityAge04*'19_Расчет_аналитики'!$F$2235,0)</f>
        <v/>
      </c>
      <c r="AP2547">
        <f>IF(IF('01_Вводные'!$B$296="Новый сезон",FALSE,FALSE),'19_Расчет_аналитики'!AP2435*CapacityAge04*'19_Расчет_аналитики'!$F$2235,0)</f>
        <v/>
      </c>
      <c r="AQ2547">
        <f>IF(IF('01_Вводные'!$B$296="Новый сезон",FALSE,FALSE),'19_Расчет_аналитики'!AQ2435*CapacityAge04*'19_Расчет_аналитики'!$F$2235,0)</f>
        <v/>
      </c>
      <c r="AR2547">
        <f>IF(IF('01_Вводные'!$B$296="Новый сезон",FALSE,FALSE),'19_Расчет_аналитики'!AR2435*CapacityAge04*'19_Расчет_аналитики'!$F$2235,0)</f>
        <v/>
      </c>
      <c r="AS2547">
        <f>IF(IF('01_Вводные'!$B$296="Новый сезон",FALSE,FALSE),'19_Расчет_аналитики'!AS2435*CapacityAge04*'19_Расчет_аналитики'!$F$2235,0)</f>
        <v/>
      </c>
      <c r="AT2547">
        <f>IF(IF('01_Вводные'!$B$296="Новый сезон",FALSE,FALSE),'19_Расчет_аналитики'!AT2435*CapacityAge04*'19_Расчет_аналитики'!$F$2235,0)</f>
        <v/>
      </c>
      <c r="AU2547">
        <f>IF(IF('01_Вводные'!$B$296="Новый сезон",FALSE,FALSE),'19_Расчет_аналитики'!AU2435*CapacityAge04*'19_Расчет_аналитики'!$F$2235,0)</f>
        <v/>
      </c>
      <c r="AV2547">
        <f>IF(IF('01_Вводные'!$B$296="Новый сезон",FALSE,FALSE),'19_Расчет_аналитики'!AV2435*CapacityAge04*'19_Расчет_аналитики'!$F$2235,0)</f>
        <v/>
      </c>
      <c r="AW2547">
        <f>IF(IF('01_Вводные'!$B$296="Новый сезон",FALSE,FALSE),'19_Расчет_аналитики'!AW2435*CapacityAge04*'19_Расчет_аналитики'!$F$2235,0)</f>
        <v/>
      </c>
      <c r="AX2547">
        <f>IF(IF('01_Вводные'!$B$296="Новый сезон",FALSE,FALSE),'19_Расчет_аналитики'!AX2435*CapacityAge04*'19_Расчет_аналитики'!$F$2235,0)</f>
        <v/>
      </c>
      <c r="AY2547">
        <f>IF(IF('01_Вводные'!$B$296="Новый сезон",FALSE,FALSE),'19_Расчет_аналитики'!AY2435*CapacityAge04*'19_Расчет_аналитики'!$F$2235,0)</f>
        <v/>
      </c>
      <c r="AZ2547">
        <f>IF(IF('01_Вводные'!$B$296="Новый сезон",FALSE,FALSE),'19_Расчет_аналитики'!AZ2435*CapacityAge04*'19_Расчет_аналитики'!$F$2235,0)</f>
        <v/>
      </c>
      <c r="BA2547">
        <f>IF(IF('01_Вводные'!$B$296="Новый сезон",FALSE,FALSE),'19_Расчет_аналитики'!BA2435*CapacityAge04*'19_Расчет_аналитики'!$F$2235,0)</f>
        <v/>
      </c>
      <c r="BB2547">
        <f>IF(IF('01_Вводные'!$B$296="Новый сезон",FALSE,FALSE),'19_Расчет_аналитики'!BB2435*CapacityAge04*'19_Расчет_аналитики'!$F$2235,0)</f>
        <v/>
      </c>
      <c r="BC2547">
        <f>IF(IF('01_Вводные'!$B$296="Новый сезон",FALSE,FALSE),'19_Расчет_аналитики'!BC2435*CapacityAge04*'19_Расчет_аналитики'!$F$2235,0)</f>
        <v/>
      </c>
      <c r="BD2547">
        <f>IF(IF('01_Вводные'!$B$296="Новый сезон",FALSE,FALSE),'19_Расчет_аналитики'!BD2435*CapacityAge04*'19_Расчет_аналитики'!$F$2235,0)</f>
        <v/>
      </c>
      <c r="BE2547">
        <f>IF(IF('01_Вводные'!$B$296="Новый сезон",FALSE,FALSE),'19_Расчет_аналитики'!BE2435*CapacityAge04*'19_Расчет_аналитики'!$F$2235,0)</f>
        <v/>
      </c>
      <c r="BF2547">
        <f>IF(IF('01_Вводные'!$B$296="Новый сезон",FALSE,FALSE),'19_Расчет_аналитики'!BF2435*CapacityAge04*'19_Расчет_аналитики'!$F$2235,0)</f>
        <v/>
      </c>
      <c r="BG2547">
        <f>IF(IF('01_Вводные'!$B$296="Новый сезон",FALSE,FALSE),'19_Расчет_аналитики'!BG2435*CapacityAge04*'19_Расчет_аналитики'!$F$2235,0)</f>
        <v/>
      </c>
      <c r="BH2547">
        <f>IF(IF('01_Вводные'!$B$296="Новый сезон",FALSE,FALSE),'19_Расчет_аналитики'!BH2435*CapacityAge04*'19_Расчет_аналитики'!$F$2235,0)</f>
        <v/>
      </c>
      <c r="BI2547">
        <f>IF(IF('01_Вводные'!$B$296="Новый сезон",FALSE,FALSE),'19_Расчет_аналитики'!BI2435*CapacityAge04*'19_Расчет_аналитики'!$F$2235,0)</f>
        <v/>
      </c>
      <c r="BJ2547">
        <f>IF(IF('01_Вводные'!$B$296="Новый сезон",FALSE,FALSE),'19_Расчет_аналитики'!BJ2435*CapacityAge04*'19_Расчет_аналитики'!$F$2235,0)</f>
        <v/>
      </c>
      <c r="BK2547">
        <f>IF(IF('01_Вводные'!$B$296="Новый сезон",FALSE,FALSE),'19_Расчет_аналитики'!BK2435*CapacityAge04*'19_Расчет_аналитики'!$F$2235,0)</f>
        <v/>
      </c>
      <c r="BL2547">
        <f>IF(IF('01_Вводные'!$B$296="Новый сезон",FALSE,FALSE),'19_Расчет_аналитики'!BL2435*CapacityAge04*'19_Расчет_аналитики'!$F$2235,0)</f>
        <v/>
      </c>
      <c r="BM2547">
        <f>IF(IF('01_Вводные'!$B$296="Новый сезон",FALSE,FALSE),'19_Расчет_аналитики'!BM2435*CapacityAge04*'19_Расчет_аналитики'!$F$2235,0)</f>
        <v/>
      </c>
      <c r="BN2547">
        <f>IF(IF('01_Вводные'!$B$296="Новый сезон",FALSE,FALSE),'19_Расчет_аналитики'!BN2435*CapacityAge04*'19_Расчет_аналитики'!$F$2235,0)</f>
        <v/>
      </c>
      <c r="BO2547">
        <f>IF(IF('01_Вводные'!$B$296="Новый сезон",FALSE,FALSE),'19_Расчет_аналитики'!BO2435*CapacityAge04*'19_Расчет_аналитики'!$F$2235,0)</f>
        <v/>
      </c>
    </row>
    <row r="2548">
      <c r="B2548">
        <f>IF(IF('01_Вводные'!$B$296="Новый сезон",5-1&gt;MOD(MONTH('06_Сеть_и_дети'!B$3)-9,12),FALSE),'06_Сеть_и_дети'!B57*CapacityAge05*'19_Расчет_аналитики'!$F$2235,0)</f>
        <v/>
      </c>
      <c r="C2548">
        <f>IF(IF('01_Вводные'!$B$296="Новый сезон",5-1&gt;MOD(MONTH('06_Сеть_и_дети'!C$3)-9,12),FALSE),'06_Сеть_и_дети'!C57*CapacityAge05*'19_Расчет_аналитики'!$F$2235,0)</f>
        <v/>
      </c>
      <c r="D2548">
        <f>IF(IF('01_Вводные'!$B$296="Новый сезон",5-1&gt;MOD(MONTH('06_Сеть_и_дети'!D$3)-9,12),FALSE),'06_Сеть_и_дети'!D57*CapacityAge05*'19_Расчет_аналитики'!$F$2235,0)</f>
        <v/>
      </c>
      <c r="E2548">
        <f>IF(IF('01_Вводные'!$B$296="Новый сезон",5-1&gt;MOD(MONTH('06_Сеть_и_дети'!E$3)-9,12),FALSE),'06_Сеть_и_дети'!E57*CapacityAge05*'19_Расчет_аналитики'!$F$2235,0)</f>
        <v/>
      </c>
      <c r="F2548">
        <f>IF(IF('01_Вводные'!$B$296="Новый сезон",5-1&gt;MOD(MONTH('06_Сеть_и_дети'!F$3)-9,12),FALSE),'19_Расчет_аналитики'!F2436*CapacityAge05*'19_Расчет_аналитики'!$F$2235,0)</f>
        <v/>
      </c>
      <c r="G2548">
        <f>IF(IF('01_Вводные'!$B$296="Новый сезон",5-1&gt;MOD(MONTH('06_Сеть_и_дети'!G$3)-9,12),FALSE),'19_Расчет_аналитики'!G2436*CapacityAge05*'19_Расчет_аналитики'!$F$2235,0)</f>
        <v/>
      </c>
      <c r="H2548">
        <f>IF(IF('01_Вводные'!$B$296="Новый сезон",5-1&gt;MOD(MONTH('06_Сеть_и_дети'!H$3)-9,12),FALSE),'19_Расчет_аналитики'!H2436*CapacityAge05*'19_Расчет_аналитики'!$F$2235,0)</f>
        <v/>
      </c>
      <c r="I2548">
        <f>IF(IF('01_Вводные'!$B$296="Новый сезон",5-1&gt;MOD(MONTH('06_Сеть_и_дети'!I$3)-9,12),FALSE),'19_Расчет_аналитики'!I2436*CapacityAge05*'19_Расчет_аналитики'!$F$2235,0)</f>
        <v/>
      </c>
      <c r="J2548">
        <f>IF(IF('01_Вводные'!$B$296="Новый сезон",5-1&gt;MOD(MONTH('06_Сеть_и_дети'!J$3)-9,12),FALSE),'19_Расчет_аналитики'!J2436*CapacityAge05*'19_Расчет_аналитики'!$F$2235,0)</f>
        <v/>
      </c>
      <c r="K2548">
        <f>IF(IF('01_Вводные'!$B$296="Новый сезон",5-1&gt;MOD(MONTH('06_Сеть_и_дети'!K$3)-9,12),FALSE),'19_Расчет_аналитики'!K2436*CapacityAge05*'19_Расчет_аналитики'!$F$2235,0)</f>
        <v/>
      </c>
      <c r="L2548">
        <f>IF(IF('01_Вводные'!$B$296="Новый сезон",5-1&gt;MOD(MONTH('06_Сеть_и_дети'!L$3)-9,12),FALSE),'19_Расчет_аналитики'!L2436*CapacityAge05*'19_Расчет_аналитики'!$F$2235,0)</f>
        <v/>
      </c>
      <c r="M2548">
        <f>IF(IF('01_Вводные'!$B$296="Новый сезон",5-1&gt;MOD(MONTH('06_Сеть_и_дети'!M$3)-9,12),FALSE),'19_Расчет_аналитики'!M2436*CapacityAge05*'19_Расчет_аналитики'!$F$2235,0)</f>
        <v/>
      </c>
      <c r="N2548">
        <f>IF(IF('01_Вводные'!$B$296="Новый сезон",5-1&gt;MOD(MONTH('06_Сеть_и_дети'!N$3)-9,12),FALSE),'19_Расчет_аналитики'!N2436*CapacityAge05*'19_Расчет_аналитики'!$F$2235,0)</f>
        <v/>
      </c>
      <c r="O2548">
        <f>IF(IF('01_Вводные'!$B$296="Новый сезон",5-1&gt;MOD(MONTH('06_Сеть_и_дети'!O$3)-9,12),FALSE),'19_Расчет_аналитики'!O2436*CapacityAge05*'19_Расчет_аналитики'!$F$2235,0)</f>
        <v/>
      </c>
      <c r="P2548">
        <f>IF(IF('01_Вводные'!$B$296="Новый сезон",5-1&gt;MOD(MONTH('06_Сеть_и_дети'!P$3)-9,12),FALSE),'19_Расчет_аналитики'!P2436*CapacityAge05*'19_Расчет_аналитики'!$F$2235,0)</f>
        <v/>
      </c>
      <c r="Q2548">
        <f>IF(IF('01_Вводные'!$B$296="Новый сезон",5-1&gt;MOD(MONTH('06_Сеть_и_дети'!Q$3)-9,12),FALSE),'19_Расчет_аналитики'!Q2436*CapacityAge05*'19_Расчет_аналитики'!$F$2235,0)</f>
        <v/>
      </c>
      <c r="R2548">
        <f>IF(IF('01_Вводные'!$B$296="Новый сезон",5-1&gt;MOD(MONTH('06_Сеть_и_дети'!R$3)-9,12),FALSE),'19_Расчет_аналитики'!R2436*CapacityAge05*'19_Расчет_аналитики'!$F$2235,0)</f>
        <v/>
      </c>
      <c r="S2548">
        <f>IF(IF('01_Вводные'!$B$296="Новый сезон",5-1&gt;MOD(MONTH('06_Сеть_и_дети'!S$3)-9,12),FALSE),'19_Расчет_аналитики'!S2436*CapacityAge05*'19_Расчет_аналитики'!$F$2235,0)</f>
        <v/>
      </c>
      <c r="T2548">
        <f>IF(IF('01_Вводные'!$B$296="Новый сезон",5-1&gt;MOD(MONTH('06_Сеть_и_дети'!T$3)-9,12),FALSE),'19_Расчет_аналитики'!T2436*CapacityAge05*'19_Расчет_аналитики'!$F$2235,0)</f>
        <v/>
      </c>
      <c r="U2548">
        <f>IF(IF('01_Вводные'!$B$296="Новый сезон",5-1&gt;MOD(MONTH('06_Сеть_и_дети'!U$3)-9,12),FALSE),'19_Расчет_аналитики'!U2436*CapacityAge05*'19_Расчет_аналитики'!$F$2235,0)</f>
        <v/>
      </c>
      <c r="V2548">
        <f>IF(IF('01_Вводные'!$B$296="Новый сезон",5-1&gt;MOD(MONTH('06_Сеть_и_дети'!V$3)-9,12),FALSE),'19_Расчет_аналитики'!V2436*CapacityAge05*'19_Расчет_аналитики'!$F$2235,0)</f>
        <v/>
      </c>
      <c r="W2548">
        <f>IF(IF('01_Вводные'!$B$296="Новый сезон",5-1&gt;MOD(MONTH('06_Сеть_и_дети'!W$3)-9,12),FALSE),'19_Расчет_аналитики'!W2436*CapacityAge05*'19_Расчет_аналитики'!$F$2235,0)</f>
        <v/>
      </c>
      <c r="X2548">
        <f>IF(IF('01_Вводные'!$B$296="Новый сезон",5-1&gt;MOD(MONTH('06_Сеть_и_дети'!X$3)-9,12),FALSE),'19_Расчет_аналитики'!X2436*CapacityAge05*'19_Расчет_аналитики'!$F$2235,0)</f>
        <v/>
      </c>
      <c r="Y2548">
        <f>IF(IF('01_Вводные'!$B$296="Новый сезон",5-1&gt;MOD(MONTH('06_Сеть_и_дети'!Y$3)-9,12),FALSE),'19_Расчет_аналитики'!Y2436*CapacityAge05*'19_Расчет_аналитики'!$F$2235,0)</f>
        <v/>
      </c>
      <c r="Z2548">
        <f>IF(IF('01_Вводные'!$B$296="Новый сезон",5-1&gt;MOD(MONTH('06_Сеть_и_дети'!Z$3)-9,12),FALSE),'19_Расчет_аналитики'!Z2436*CapacityAge05*'19_Расчет_аналитики'!$F$2235,0)</f>
        <v/>
      </c>
      <c r="AA2548">
        <f>IF(IF('01_Вводные'!$B$296="Новый сезон",5-1&gt;MOD(MONTH('06_Сеть_и_дети'!AA$3)-9,12),FALSE),'19_Расчет_аналитики'!AA2436*CapacityAge05*'19_Расчет_аналитики'!$F$2235,0)</f>
        <v/>
      </c>
      <c r="AB2548">
        <f>IF(IF('01_Вводные'!$B$296="Новый сезон",5-1&gt;MOD(MONTH('06_Сеть_и_дети'!AB$3)-9,12),FALSE),'19_Расчет_аналитики'!AB2436*CapacityAge05*'19_Расчет_аналитики'!$F$2235,0)</f>
        <v/>
      </c>
      <c r="AC2548">
        <f>IF(IF('01_Вводные'!$B$296="Новый сезон",5-1&gt;MOD(MONTH('06_Сеть_и_дети'!AC$3)-9,12),FALSE),'19_Расчет_аналитики'!AC2436*CapacityAge05*'19_Расчет_аналитики'!$F$2235,0)</f>
        <v/>
      </c>
      <c r="AD2548">
        <f>IF(IF('01_Вводные'!$B$296="Новый сезон",5-1&gt;MOD(MONTH('06_Сеть_и_дети'!AD$3)-9,12),FALSE),'19_Расчет_аналитики'!AD2436*CapacityAge05*'19_Расчет_аналитики'!$F$2235,0)</f>
        <v/>
      </c>
      <c r="AE2548">
        <f>IF(IF('01_Вводные'!$B$296="Новый сезон",5-1&gt;MOD(MONTH('06_Сеть_и_дети'!AE$3)-9,12),FALSE),'19_Расчет_аналитики'!AE2436*CapacityAge05*'19_Расчет_аналитики'!$F$2235,0)</f>
        <v/>
      </c>
      <c r="AF2548">
        <f>IF(IF('01_Вводные'!$B$296="Новый сезон",5-1&gt;MOD(MONTH('06_Сеть_и_дети'!AF$3)-9,12),FALSE),'19_Расчет_аналитики'!AF2436*CapacityAge05*'19_Расчет_аналитики'!$F$2235,0)</f>
        <v/>
      </c>
      <c r="AG2548">
        <f>IF(IF('01_Вводные'!$B$296="Новый сезон",5-1&gt;MOD(MONTH('06_Сеть_и_дети'!AG$3)-9,12),FALSE),'19_Расчет_аналитики'!AG2436*CapacityAge05*'19_Расчет_аналитики'!$F$2235,0)</f>
        <v/>
      </c>
      <c r="AH2548">
        <f>IF(IF('01_Вводные'!$B$296="Новый сезон",5-1&gt;MOD(MONTH('06_Сеть_и_дети'!AH$3)-9,12),FALSE),'19_Расчет_аналитики'!AH2436*CapacityAge05*'19_Расчет_аналитики'!$F$2235,0)</f>
        <v/>
      </c>
      <c r="AI2548">
        <f>IF(IF('01_Вводные'!$B$296="Новый сезон",5-1&gt;MOD(MONTH('06_Сеть_и_дети'!AI$3)-9,12),FALSE),'19_Расчет_аналитики'!AI2436*CapacityAge05*'19_Расчет_аналитики'!$F$2235,0)</f>
        <v/>
      </c>
      <c r="AJ2548">
        <f>IF(IF('01_Вводные'!$B$296="Новый сезон",5-1&gt;MOD(MONTH('06_Сеть_и_дети'!AJ$3)-9,12),FALSE),'19_Расчет_аналитики'!AJ2436*CapacityAge05*'19_Расчет_аналитики'!$F$2235,0)</f>
        <v/>
      </c>
      <c r="AK2548">
        <f>IF(IF('01_Вводные'!$B$296="Новый сезон",5-1&gt;MOD(MONTH('06_Сеть_и_дети'!AK$3)-9,12),FALSE),'19_Расчет_аналитики'!AK2436*CapacityAge05*'19_Расчет_аналитики'!$F$2235,0)</f>
        <v/>
      </c>
      <c r="AL2548">
        <f>IF(IF('01_Вводные'!$B$296="Новый сезон",5-1&gt;MOD(MONTH('06_Сеть_и_дети'!AL$3)-9,12),FALSE),'19_Расчет_аналитики'!AL2436*CapacityAge05*'19_Расчет_аналитики'!$F$2235,0)</f>
        <v/>
      </c>
      <c r="AM2548">
        <f>IF(IF('01_Вводные'!$B$296="Новый сезон",5-1&gt;MOD(MONTH('06_Сеть_и_дети'!AM$3)-9,12),FALSE),'19_Расчет_аналитики'!AM2436*CapacityAge05*'19_Расчет_аналитики'!$F$2235,0)</f>
        <v/>
      </c>
      <c r="AN2548">
        <f>IF(IF('01_Вводные'!$B$296="Новый сезон",5-1&gt;MOD(MONTH('06_Сеть_и_дети'!AN$3)-9,12),FALSE),'19_Расчет_аналитики'!AN2436*CapacityAge05*'19_Расчет_аналитики'!$F$2235,0)</f>
        <v/>
      </c>
      <c r="AO2548">
        <f>IF(IF('01_Вводные'!$B$296="Новый сезон",5-1&gt;MOD(MONTH('06_Сеть_и_дети'!AO$3)-9,12),FALSE),'19_Расчет_аналитики'!AO2436*CapacityAge05*'19_Расчет_аналитики'!$F$2235,0)</f>
        <v/>
      </c>
      <c r="AP2548">
        <f>IF(IF('01_Вводные'!$B$296="Новый сезон",5-1&gt;MOD(MONTH('06_Сеть_и_дети'!AP$3)-9,12),FALSE),'19_Расчет_аналитики'!AP2436*CapacityAge05*'19_Расчет_аналитики'!$F$2235,0)</f>
        <v/>
      </c>
      <c r="AQ2548">
        <f>IF(IF('01_Вводные'!$B$296="Новый сезон",5-1&gt;MOD(MONTH('06_Сеть_и_дети'!AQ$3)-9,12),FALSE),'19_Расчет_аналитики'!AQ2436*CapacityAge05*'19_Расчет_аналитики'!$F$2235,0)</f>
        <v/>
      </c>
      <c r="AR2548">
        <f>IF(IF('01_Вводные'!$B$296="Новый сезон",5-1&gt;MOD(MONTH('06_Сеть_и_дети'!AR$3)-9,12),FALSE),'19_Расчет_аналитики'!AR2436*CapacityAge05*'19_Расчет_аналитики'!$F$2235,0)</f>
        <v/>
      </c>
      <c r="AS2548">
        <f>IF(IF('01_Вводные'!$B$296="Новый сезон",5-1&gt;MOD(MONTH('06_Сеть_и_дети'!AS$3)-9,12),FALSE),'19_Расчет_аналитики'!AS2436*CapacityAge05*'19_Расчет_аналитики'!$F$2235,0)</f>
        <v/>
      </c>
      <c r="AT2548">
        <f>IF(IF('01_Вводные'!$B$296="Новый сезон",5-1&gt;MOD(MONTH('06_Сеть_и_дети'!AT$3)-9,12),FALSE),'19_Расчет_аналитики'!AT2436*CapacityAge05*'19_Расчет_аналитики'!$F$2235,0)</f>
        <v/>
      </c>
      <c r="AU2548">
        <f>IF(IF('01_Вводные'!$B$296="Новый сезон",5-1&gt;MOD(MONTH('06_Сеть_и_дети'!AU$3)-9,12),FALSE),'19_Расчет_аналитики'!AU2436*CapacityAge05*'19_Расчет_аналитики'!$F$2235,0)</f>
        <v/>
      </c>
      <c r="AV2548">
        <f>IF(IF('01_Вводные'!$B$296="Новый сезон",5-1&gt;MOD(MONTH('06_Сеть_и_дети'!AV$3)-9,12),FALSE),'19_Расчет_аналитики'!AV2436*CapacityAge05*'19_Расчет_аналитики'!$F$2235,0)</f>
        <v/>
      </c>
      <c r="AW2548">
        <f>IF(IF('01_Вводные'!$B$296="Новый сезон",5-1&gt;MOD(MONTH('06_Сеть_и_дети'!AW$3)-9,12),FALSE),'19_Расчет_аналитики'!AW2436*CapacityAge05*'19_Расчет_аналитики'!$F$2235,0)</f>
        <v/>
      </c>
      <c r="AX2548">
        <f>IF(IF('01_Вводные'!$B$296="Новый сезон",5-1&gt;MOD(MONTH('06_Сеть_и_дети'!AX$3)-9,12),FALSE),'19_Расчет_аналитики'!AX2436*CapacityAge05*'19_Расчет_аналитики'!$F$2235,0)</f>
        <v/>
      </c>
      <c r="AY2548">
        <f>IF(IF('01_Вводные'!$B$296="Новый сезон",5-1&gt;MOD(MONTH('06_Сеть_и_дети'!AY$3)-9,12),FALSE),'19_Расчет_аналитики'!AY2436*CapacityAge05*'19_Расчет_аналитики'!$F$2235,0)</f>
        <v/>
      </c>
      <c r="AZ2548">
        <f>IF(IF('01_Вводные'!$B$296="Новый сезон",5-1&gt;MOD(MONTH('06_Сеть_и_дети'!AZ$3)-9,12),FALSE),'19_Расчет_аналитики'!AZ2436*CapacityAge05*'19_Расчет_аналитики'!$F$2235,0)</f>
        <v/>
      </c>
      <c r="BA2548">
        <f>IF(IF('01_Вводные'!$B$296="Новый сезон",5-1&gt;MOD(MONTH('06_Сеть_и_дети'!BA$3)-9,12),FALSE),'19_Расчет_аналитики'!BA2436*CapacityAge05*'19_Расчет_аналитики'!$F$2235,0)</f>
        <v/>
      </c>
      <c r="BB2548">
        <f>IF(IF('01_Вводные'!$B$296="Новый сезон",5-1&gt;MOD(MONTH('06_Сеть_и_дети'!BB$3)-9,12),FALSE),'19_Расчет_аналитики'!BB2436*CapacityAge05*'19_Расчет_аналитики'!$F$2235,0)</f>
        <v/>
      </c>
      <c r="BC2548">
        <f>IF(IF('01_Вводные'!$B$296="Новый сезон",5-1&gt;MOD(MONTH('06_Сеть_и_дети'!BC$3)-9,12),FALSE),'19_Расчет_аналитики'!BC2436*CapacityAge05*'19_Расчет_аналитики'!$F$2235,0)</f>
        <v/>
      </c>
      <c r="BD2548">
        <f>IF(IF('01_Вводные'!$B$296="Новый сезон",5-1&gt;MOD(MONTH('06_Сеть_и_дети'!BD$3)-9,12),FALSE),'19_Расчет_аналитики'!BD2436*CapacityAge05*'19_Расчет_аналитики'!$F$2235,0)</f>
        <v/>
      </c>
      <c r="BE2548">
        <f>IF(IF('01_Вводные'!$B$296="Новый сезон",5-1&gt;MOD(MONTH('06_Сеть_и_дети'!BE$3)-9,12),FALSE),'19_Расчет_аналитики'!BE2436*CapacityAge05*'19_Расчет_аналитики'!$F$2235,0)</f>
        <v/>
      </c>
      <c r="BF2548">
        <f>IF(IF('01_Вводные'!$B$296="Новый сезон",5-1&gt;MOD(MONTH('06_Сеть_и_дети'!BF$3)-9,12),FALSE),'19_Расчет_аналитики'!BF2436*CapacityAge05*'19_Расчет_аналитики'!$F$2235,0)</f>
        <v/>
      </c>
      <c r="BG2548">
        <f>IF(IF('01_Вводные'!$B$296="Новый сезон",5-1&gt;MOD(MONTH('06_Сеть_и_дети'!BG$3)-9,12),FALSE),'19_Расчет_аналитики'!BG2436*CapacityAge05*'19_Расчет_аналитики'!$F$2235,0)</f>
        <v/>
      </c>
      <c r="BH2548">
        <f>IF(IF('01_Вводные'!$B$296="Новый сезон",5-1&gt;MOD(MONTH('06_Сеть_и_дети'!BH$3)-9,12),FALSE),'19_Расчет_аналитики'!BH2436*CapacityAge05*'19_Расчет_аналитики'!$F$2235,0)</f>
        <v/>
      </c>
      <c r="BI2548">
        <f>IF(IF('01_Вводные'!$B$296="Новый сезон",5-1&gt;MOD(MONTH('06_Сеть_и_дети'!BI$3)-9,12),FALSE),'19_Расчет_аналитики'!BI2436*CapacityAge05*'19_Расчет_аналитики'!$F$2235,0)</f>
        <v/>
      </c>
      <c r="BJ2548">
        <f>IF(IF('01_Вводные'!$B$296="Новый сезон",5-1&gt;MOD(MONTH('06_Сеть_и_дети'!BJ$3)-9,12),FALSE),'19_Расчет_аналитики'!BJ2436*CapacityAge05*'19_Расчет_аналитики'!$F$2235,0)</f>
        <v/>
      </c>
      <c r="BK2548">
        <f>IF(IF('01_Вводные'!$B$296="Новый сезон",5-1&gt;MOD(MONTH('06_Сеть_и_дети'!BK$3)-9,12),FALSE),'19_Расчет_аналитики'!BK2436*CapacityAge05*'19_Расчет_аналитики'!$F$2235,0)</f>
        <v/>
      </c>
      <c r="BL2548">
        <f>IF(IF('01_Вводные'!$B$296="Новый сезон",5-1&gt;MOD(MONTH('06_Сеть_и_дети'!BL$3)-9,12),FALSE),'19_Расчет_аналитики'!BL2436*CapacityAge05*'19_Расчет_аналитики'!$F$2235,0)</f>
        <v/>
      </c>
      <c r="BM2548">
        <f>IF(IF('01_Вводные'!$B$296="Новый сезон",5-1&gt;MOD(MONTH('06_Сеть_и_дети'!BM$3)-9,12),FALSE),'19_Расчет_аналитики'!BM2436*CapacityAge05*'19_Расчет_аналитики'!$F$2235,0)</f>
        <v/>
      </c>
      <c r="BN2548">
        <f>IF(IF('01_Вводные'!$B$296="Новый сезон",5-1&gt;MOD(MONTH('06_Сеть_и_дети'!BN$3)-9,12),FALSE),'19_Расчет_аналитики'!BN2436*CapacityAge05*'19_Расчет_аналитики'!$F$2235,0)</f>
        <v/>
      </c>
      <c r="BO2548">
        <f>IF(IF('01_Вводные'!$B$296="Новый сезон",5-1&gt;MOD(MONTH('06_Сеть_и_дети'!BO$3)-9,12),FALSE),'19_Расчет_аналитики'!BO2436*CapacityAge05*'19_Расчет_аналитики'!$F$2235,0)</f>
        <v/>
      </c>
    </row>
    <row r="2549">
      <c r="B2549">
        <f>IF(IF('01_Вводные'!$B$296="Новый сезон",6-1&gt;MOD(MONTH('06_Сеть_и_дети'!B$3)-9,12),FALSE),'06_Сеть_и_дети'!B58*CapacityAge06*'19_Расчет_аналитики'!$F$2235,0)</f>
        <v/>
      </c>
      <c r="C2549">
        <f>IF(IF('01_Вводные'!$B$296="Новый сезон",6-1&gt;MOD(MONTH('06_Сеть_и_дети'!C$3)-9,12),FALSE),'06_Сеть_и_дети'!C58*CapacityAge06*'19_Расчет_аналитики'!$F$2235,0)</f>
        <v/>
      </c>
      <c r="D2549">
        <f>IF(IF('01_Вводные'!$B$296="Новый сезон",6-1&gt;MOD(MONTH('06_Сеть_и_дети'!D$3)-9,12),FALSE),'06_Сеть_и_дети'!D58*CapacityAge06*'19_Расчет_аналитики'!$F$2235,0)</f>
        <v/>
      </c>
      <c r="E2549">
        <f>IF(IF('01_Вводные'!$B$296="Новый сезон",6-1&gt;MOD(MONTH('06_Сеть_и_дети'!E$3)-9,12),FALSE),'06_Сеть_и_дети'!E58*CapacityAge06*'19_Расчет_аналитики'!$F$2235,0)</f>
        <v/>
      </c>
      <c r="F2549">
        <f>IF(IF('01_Вводные'!$B$296="Новый сезон",6-1&gt;MOD(MONTH('06_Сеть_и_дети'!F$3)-9,12),FALSE),'06_Сеть_и_дети'!F58*CapacityAge06*'19_Расчет_аналитики'!$F$2235,0)</f>
        <v/>
      </c>
      <c r="G2549">
        <f>IF(IF('01_Вводные'!$B$296="Новый сезон",6-1&gt;MOD(MONTH('06_Сеть_и_дети'!G$3)-9,12),FALSE),'19_Расчет_аналитики'!G2437*CapacityAge06*'19_Расчет_аналитики'!$F$2235,0)</f>
        <v/>
      </c>
      <c r="H2549">
        <f>IF(IF('01_Вводные'!$B$296="Новый сезон",6-1&gt;MOD(MONTH('06_Сеть_и_дети'!H$3)-9,12),FALSE),'19_Расчет_аналитики'!H2437*CapacityAge06*'19_Расчет_аналитики'!$F$2235,0)</f>
        <v/>
      </c>
      <c r="I2549">
        <f>IF(IF('01_Вводные'!$B$296="Новый сезон",6-1&gt;MOD(MONTH('06_Сеть_и_дети'!I$3)-9,12),FALSE),'19_Расчет_аналитики'!I2437*CapacityAge06*'19_Расчет_аналитики'!$F$2235,0)</f>
        <v/>
      </c>
      <c r="J2549">
        <f>IF(IF('01_Вводные'!$B$296="Новый сезон",6-1&gt;MOD(MONTH('06_Сеть_и_дети'!J$3)-9,12),FALSE),'19_Расчет_аналитики'!J2437*CapacityAge06*'19_Расчет_аналитики'!$F$2235,0)</f>
        <v/>
      </c>
      <c r="K2549">
        <f>IF(IF('01_Вводные'!$B$296="Новый сезон",6-1&gt;MOD(MONTH('06_Сеть_и_дети'!K$3)-9,12),FALSE),'19_Расчет_аналитики'!K2437*CapacityAge06*'19_Расчет_аналитики'!$F$2235,0)</f>
        <v/>
      </c>
      <c r="L2549">
        <f>IF(IF('01_Вводные'!$B$296="Новый сезон",6-1&gt;MOD(MONTH('06_Сеть_и_дети'!L$3)-9,12),FALSE),'19_Расчет_аналитики'!L2437*CapacityAge06*'19_Расчет_аналитики'!$F$2235,0)</f>
        <v/>
      </c>
      <c r="M2549">
        <f>IF(IF('01_Вводные'!$B$296="Новый сезон",6-1&gt;MOD(MONTH('06_Сеть_и_дети'!M$3)-9,12),FALSE),'19_Расчет_аналитики'!M2437*CapacityAge06*'19_Расчет_аналитики'!$F$2235,0)</f>
        <v/>
      </c>
      <c r="N2549">
        <f>IF(IF('01_Вводные'!$B$296="Новый сезон",6-1&gt;MOD(MONTH('06_Сеть_и_дети'!N$3)-9,12),FALSE),'19_Расчет_аналитики'!N2437*CapacityAge06*'19_Расчет_аналитики'!$F$2235,0)</f>
        <v/>
      </c>
      <c r="O2549">
        <f>IF(IF('01_Вводные'!$B$296="Новый сезон",6-1&gt;MOD(MONTH('06_Сеть_и_дети'!O$3)-9,12),FALSE),'19_Расчет_аналитики'!O2437*CapacityAge06*'19_Расчет_аналитики'!$F$2235,0)</f>
        <v/>
      </c>
      <c r="P2549">
        <f>IF(IF('01_Вводные'!$B$296="Новый сезон",6-1&gt;MOD(MONTH('06_Сеть_и_дети'!P$3)-9,12),FALSE),'19_Расчет_аналитики'!P2437*CapacityAge06*'19_Расчет_аналитики'!$F$2235,0)</f>
        <v/>
      </c>
      <c r="Q2549">
        <f>IF(IF('01_Вводные'!$B$296="Новый сезон",6-1&gt;MOD(MONTH('06_Сеть_и_дети'!Q$3)-9,12),FALSE),'19_Расчет_аналитики'!Q2437*CapacityAge06*'19_Расчет_аналитики'!$F$2235,0)</f>
        <v/>
      </c>
      <c r="R2549">
        <f>IF(IF('01_Вводные'!$B$296="Новый сезон",6-1&gt;MOD(MONTH('06_Сеть_и_дети'!R$3)-9,12),FALSE),'19_Расчет_аналитики'!R2437*CapacityAge06*'19_Расчет_аналитики'!$F$2235,0)</f>
        <v/>
      </c>
      <c r="S2549">
        <f>IF(IF('01_Вводные'!$B$296="Новый сезон",6-1&gt;MOD(MONTH('06_Сеть_и_дети'!S$3)-9,12),FALSE),'19_Расчет_аналитики'!S2437*CapacityAge06*'19_Расчет_аналитики'!$F$2235,0)</f>
        <v/>
      </c>
      <c r="T2549">
        <f>IF(IF('01_Вводные'!$B$296="Новый сезон",6-1&gt;MOD(MONTH('06_Сеть_и_дети'!T$3)-9,12),FALSE),'19_Расчет_аналитики'!T2437*CapacityAge06*'19_Расчет_аналитики'!$F$2235,0)</f>
        <v/>
      </c>
      <c r="U2549">
        <f>IF(IF('01_Вводные'!$B$296="Новый сезон",6-1&gt;MOD(MONTH('06_Сеть_и_дети'!U$3)-9,12),FALSE),'19_Расчет_аналитики'!U2437*CapacityAge06*'19_Расчет_аналитики'!$F$2235,0)</f>
        <v/>
      </c>
      <c r="V2549">
        <f>IF(IF('01_Вводные'!$B$296="Новый сезон",6-1&gt;MOD(MONTH('06_Сеть_и_дети'!V$3)-9,12),FALSE),'19_Расчет_аналитики'!V2437*CapacityAge06*'19_Расчет_аналитики'!$F$2235,0)</f>
        <v/>
      </c>
      <c r="W2549">
        <f>IF(IF('01_Вводные'!$B$296="Новый сезон",6-1&gt;MOD(MONTH('06_Сеть_и_дети'!W$3)-9,12),FALSE),'19_Расчет_аналитики'!W2437*CapacityAge06*'19_Расчет_аналитики'!$F$2235,0)</f>
        <v/>
      </c>
      <c r="X2549">
        <f>IF(IF('01_Вводные'!$B$296="Новый сезон",6-1&gt;MOD(MONTH('06_Сеть_и_дети'!X$3)-9,12),FALSE),'19_Расчет_аналитики'!X2437*CapacityAge06*'19_Расчет_аналитики'!$F$2235,0)</f>
        <v/>
      </c>
      <c r="Y2549">
        <f>IF(IF('01_Вводные'!$B$296="Новый сезон",6-1&gt;MOD(MONTH('06_Сеть_и_дети'!Y$3)-9,12),FALSE),'19_Расчет_аналитики'!Y2437*CapacityAge06*'19_Расчет_аналитики'!$F$2235,0)</f>
        <v/>
      </c>
      <c r="Z2549">
        <f>IF(IF('01_Вводные'!$B$296="Новый сезон",6-1&gt;MOD(MONTH('06_Сеть_и_дети'!Z$3)-9,12),FALSE),'19_Расчет_аналитики'!Z2437*CapacityAge06*'19_Расчет_аналитики'!$F$2235,0)</f>
        <v/>
      </c>
      <c r="AA2549">
        <f>IF(IF('01_Вводные'!$B$296="Новый сезон",6-1&gt;MOD(MONTH('06_Сеть_и_дети'!AA$3)-9,12),FALSE),'19_Расчет_аналитики'!AA2437*CapacityAge06*'19_Расчет_аналитики'!$F$2235,0)</f>
        <v/>
      </c>
      <c r="AB2549">
        <f>IF(IF('01_Вводные'!$B$296="Новый сезон",6-1&gt;MOD(MONTH('06_Сеть_и_дети'!AB$3)-9,12),FALSE),'19_Расчет_аналитики'!AB2437*CapacityAge06*'19_Расчет_аналитики'!$F$2235,0)</f>
        <v/>
      </c>
      <c r="AC2549">
        <f>IF(IF('01_Вводные'!$B$296="Новый сезон",6-1&gt;MOD(MONTH('06_Сеть_и_дети'!AC$3)-9,12),FALSE),'19_Расчет_аналитики'!AC2437*CapacityAge06*'19_Расчет_аналитики'!$F$2235,0)</f>
        <v/>
      </c>
      <c r="AD2549">
        <f>IF(IF('01_Вводные'!$B$296="Новый сезон",6-1&gt;MOD(MONTH('06_Сеть_и_дети'!AD$3)-9,12),FALSE),'19_Расчет_аналитики'!AD2437*CapacityAge06*'19_Расчет_аналитики'!$F$2235,0)</f>
        <v/>
      </c>
      <c r="AE2549">
        <f>IF(IF('01_Вводные'!$B$296="Новый сезон",6-1&gt;MOD(MONTH('06_Сеть_и_дети'!AE$3)-9,12),FALSE),'19_Расчет_аналитики'!AE2437*CapacityAge06*'19_Расчет_аналитики'!$F$2235,0)</f>
        <v/>
      </c>
      <c r="AF2549">
        <f>IF(IF('01_Вводные'!$B$296="Новый сезон",6-1&gt;MOD(MONTH('06_Сеть_и_дети'!AF$3)-9,12),FALSE),'19_Расчет_аналитики'!AF2437*CapacityAge06*'19_Расчет_аналитики'!$F$2235,0)</f>
        <v/>
      </c>
      <c r="AG2549">
        <f>IF(IF('01_Вводные'!$B$296="Новый сезон",6-1&gt;MOD(MONTH('06_Сеть_и_дети'!AG$3)-9,12),FALSE),'19_Расчет_аналитики'!AG2437*CapacityAge06*'19_Расчет_аналитики'!$F$2235,0)</f>
        <v/>
      </c>
      <c r="AH2549">
        <f>IF(IF('01_Вводные'!$B$296="Новый сезон",6-1&gt;MOD(MONTH('06_Сеть_и_дети'!AH$3)-9,12),FALSE),'19_Расчет_аналитики'!AH2437*CapacityAge06*'19_Расчет_аналитики'!$F$2235,0)</f>
        <v/>
      </c>
      <c r="AI2549">
        <f>IF(IF('01_Вводные'!$B$296="Новый сезон",6-1&gt;MOD(MONTH('06_Сеть_и_дети'!AI$3)-9,12),FALSE),'19_Расчет_аналитики'!AI2437*CapacityAge06*'19_Расчет_аналитики'!$F$2235,0)</f>
        <v/>
      </c>
      <c r="AJ2549">
        <f>IF(IF('01_Вводные'!$B$296="Новый сезон",6-1&gt;MOD(MONTH('06_Сеть_и_дети'!AJ$3)-9,12),FALSE),'19_Расчет_аналитики'!AJ2437*CapacityAge06*'19_Расчет_аналитики'!$F$2235,0)</f>
        <v/>
      </c>
      <c r="AK2549">
        <f>IF(IF('01_Вводные'!$B$296="Новый сезон",6-1&gt;MOD(MONTH('06_Сеть_и_дети'!AK$3)-9,12),FALSE),'19_Расчет_аналитики'!AK2437*CapacityAge06*'19_Расчет_аналитики'!$F$2235,0)</f>
        <v/>
      </c>
      <c r="AL2549">
        <f>IF(IF('01_Вводные'!$B$296="Новый сезон",6-1&gt;MOD(MONTH('06_Сеть_и_дети'!AL$3)-9,12),FALSE),'19_Расчет_аналитики'!AL2437*CapacityAge06*'19_Расчет_аналитики'!$F$2235,0)</f>
        <v/>
      </c>
      <c r="AM2549">
        <f>IF(IF('01_Вводные'!$B$296="Новый сезон",6-1&gt;MOD(MONTH('06_Сеть_и_дети'!AM$3)-9,12),FALSE),'19_Расчет_аналитики'!AM2437*CapacityAge06*'19_Расчет_аналитики'!$F$2235,0)</f>
        <v/>
      </c>
      <c r="AN2549">
        <f>IF(IF('01_Вводные'!$B$296="Новый сезон",6-1&gt;MOD(MONTH('06_Сеть_и_дети'!AN$3)-9,12),FALSE),'19_Расчет_аналитики'!AN2437*CapacityAge06*'19_Расчет_аналитики'!$F$2235,0)</f>
        <v/>
      </c>
      <c r="AO2549">
        <f>IF(IF('01_Вводные'!$B$296="Новый сезон",6-1&gt;MOD(MONTH('06_Сеть_и_дети'!AO$3)-9,12),FALSE),'19_Расчет_аналитики'!AO2437*CapacityAge06*'19_Расчет_аналитики'!$F$2235,0)</f>
        <v/>
      </c>
      <c r="AP2549">
        <f>IF(IF('01_Вводные'!$B$296="Новый сезон",6-1&gt;MOD(MONTH('06_Сеть_и_дети'!AP$3)-9,12),FALSE),'19_Расчет_аналитики'!AP2437*CapacityAge06*'19_Расчет_аналитики'!$F$2235,0)</f>
        <v/>
      </c>
      <c r="AQ2549">
        <f>IF(IF('01_Вводные'!$B$296="Новый сезон",6-1&gt;MOD(MONTH('06_Сеть_и_дети'!AQ$3)-9,12),FALSE),'19_Расчет_аналитики'!AQ2437*CapacityAge06*'19_Расчет_аналитики'!$F$2235,0)</f>
        <v/>
      </c>
      <c r="AR2549">
        <f>IF(IF('01_Вводные'!$B$296="Новый сезон",6-1&gt;MOD(MONTH('06_Сеть_и_дети'!AR$3)-9,12),FALSE),'19_Расчет_аналитики'!AR2437*CapacityAge06*'19_Расчет_аналитики'!$F$2235,0)</f>
        <v/>
      </c>
      <c r="AS2549">
        <f>IF(IF('01_Вводные'!$B$296="Новый сезон",6-1&gt;MOD(MONTH('06_Сеть_и_дети'!AS$3)-9,12),FALSE),'19_Расчет_аналитики'!AS2437*CapacityAge06*'19_Расчет_аналитики'!$F$2235,0)</f>
        <v/>
      </c>
      <c r="AT2549">
        <f>IF(IF('01_Вводные'!$B$296="Новый сезон",6-1&gt;MOD(MONTH('06_Сеть_и_дети'!AT$3)-9,12),FALSE),'19_Расчет_аналитики'!AT2437*CapacityAge06*'19_Расчет_аналитики'!$F$2235,0)</f>
        <v/>
      </c>
      <c r="AU2549">
        <f>IF(IF('01_Вводные'!$B$296="Новый сезон",6-1&gt;MOD(MONTH('06_Сеть_и_дети'!AU$3)-9,12),FALSE),'19_Расчет_аналитики'!AU2437*CapacityAge06*'19_Расчет_аналитики'!$F$2235,0)</f>
        <v/>
      </c>
      <c r="AV2549">
        <f>IF(IF('01_Вводные'!$B$296="Новый сезон",6-1&gt;MOD(MONTH('06_Сеть_и_дети'!AV$3)-9,12),FALSE),'19_Расчет_аналитики'!AV2437*CapacityAge06*'19_Расчет_аналитики'!$F$2235,0)</f>
        <v/>
      </c>
      <c r="AW2549">
        <f>IF(IF('01_Вводные'!$B$296="Новый сезон",6-1&gt;MOD(MONTH('06_Сеть_и_дети'!AW$3)-9,12),FALSE),'19_Расчет_аналитики'!AW2437*CapacityAge06*'19_Расчет_аналитики'!$F$2235,0)</f>
        <v/>
      </c>
      <c r="AX2549">
        <f>IF(IF('01_Вводные'!$B$296="Новый сезон",6-1&gt;MOD(MONTH('06_Сеть_и_дети'!AX$3)-9,12),FALSE),'19_Расчет_аналитики'!AX2437*CapacityAge06*'19_Расчет_аналитики'!$F$2235,0)</f>
        <v/>
      </c>
      <c r="AY2549">
        <f>IF(IF('01_Вводные'!$B$296="Новый сезон",6-1&gt;MOD(MONTH('06_Сеть_и_дети'!AY$3)-9,12),FALSE),'19_Расчет_аналитики'!AY2437*CapacityAge06*'19_Расчет_аналитики'!$F$2235,0)</f>
        <v/>
      </c>
      <c r="AZ2549">
        <f>IF(IF('01_Вводные'!$B$296="Новый сезон",6-1&gt;MOD(MONTH('06_Сеть_и_дети'!AZ$3)-9,12),FALSE),'19_Расчет_аналитики'!AZ2437*CapacityAge06*'19_Расчет_аналитики'!$F$2235,0)</f>
        <v/>
      </c>
      <c r="BA2549">
        <f>IF(IF('01_Вводные'!$B$296="Новый сезон",6-1&gt;MOD(MONTH('06_Сеть_и_дети'!BA$3)-9,12),FALSE),'19_Расчет_аналитики'!BA2437*CapacityAge06*'19_Расчет_аналитики'!$F$2235,0)</f>
        <v/>
      </c>
      <c r="BB2549">
        <f>IF(IF('01_Вводные'!$B$296="Новый сезон",6-1&gt;MOD(MONTH('06_Сеть_и_дети'!BB$3)-9,12),FALSE),'19_Расчет_аналитики'!BB2437*CapacityAge06*'19_Расчет_аналитики'!$F$2235,0)</f>
        <v/>
      </c>
      <c r="BC2549">
        <f>IF(IF('01_Вводные'!$B$296="Новый сезон",6-1&gt;MOD(MONTH('06_Сеть_и_дети'!BC$3)-9,12),FALSE),'19_Расчет_аналитики'!BC2437*CapacityAge06*'19_Расчет_аналитики'!$F$2235,0)</f>
        <v/>
      </c>
      <c r="BD2549">
        <f>IF(IF('01_Вводные'!$B$296="Новый сезон",6-1&gt;MOD(MONTH('06_Сеть_и_дети'!BD$3)-9,12),FALSE),'19_Расчет_аналитики'!BD2437*CapacityAge06*'19_Расчет_аналитики'!$F$2235,0)</f>
        <v/>
      </c>
      <c r="BE2549">
        <f>IF(IF('01_Вводные'!$B$296="Новый сезон",6-1&gt;MOD(MONTH('06_Сеть_и_дети'!BE$3)-9,12),FALSE),'19_Расчет_аналитики'!BE2437*CapacityAge06*'19_Расчет_аналитики'!$F$2235,0)</f>
        <v/>
      </c>
      <c r="BF2549">
        <f>IF(IF('01_Вводные'!$B$296="Новый сезон",6-1&gt;MOD(MONTH('06_Сеть_и_дети'!BF$3)-9,12),FALSE),'19_Расчет_аналитики'!BF2437*CapacityAge06*'19_Расчет_аналитики'!$F$2235,0)</f>
        <v/>
      </c>
      <c r="BG2549">
        <f>IF(IF('01_Вводные'!$B$296="Новый сезон",6-1&gt;MOD(MONTH('06_Сеть_и_дети'!BG$3)-9,12),FALSE),'19_Расчет_аналитики'!BG2437*CapacityAge06*'19_Расчет_аналитики'!$F$2235,0)</f>
        <v/>
      </c>
      <c r="BH2549">
        <f>IF(IF('01_Вводные'!$B$296="Новый сезон",6-1&gt;MOD(MONTH('06_Сеть_и_дети'!BH$3)-9,12),FALSE),'19_Расчет_аналитики'!BH2437*CapacityAge06*'19_Расчет_аналитики'!$F$2235,0)</f>
        <v/>
      </c>
      <c r="BI2549">
        <f>IF(IF('01_Вводные'!$B$296="Новый сезон",6-1&gt;MOD(MONTH('06_Сеть_и_дети'!BI$3)-9,12),FALSE),'19_Расчет_аналитики'!BI2437*CapacityAge06*'19_Расчет_аналитики'!$F$2235,0)</f>
        <v/>
      </c>
      <c r="BJ2549">
        <f>IF(IF('01_Вводные'!$B$296="Новый сезон",6-1&gt;MOD(MONTH('06_Сеть_и_дети'!BJ$3)-9,12),FALSE),'19_Расчет_аналитики'!BJ2437*CapacityAge06*'19_Расчет_аналитики'!$F$2235,0)</f>
        <v/>
      </c>
      <c r="BK2549">
        <f>IF(IF('01_Вводные'!$B$296="Новый сезон",6-1&gt;MOD(MONTH('06_Сеть_и_дети'!BK$3)-9,12),FALSE),'19_Расчет_аналитики'!BK2437*CapacityAge06*'19_Расчет_аналитики'!$F$2235,0)</f>
        <v/>
      </c>
      <c r="BL2549">
        <f>IF(IF('01_Вводные'!$B$296="Новый сезон",6-1&gt;MOD(MONTH('06_Сеть_и_дети'!BL$3)-9,12),FALSE),'19_Расчет_аналитики'!BL2437*CapacityAge06*'19_Расчет_аналитики'!$F$2235,0)</f>
        <v/>
      </c>
      <c r="BM2549">
        <f>IF(IF('01_Вводные'!$B$296="Новый сезон",6-1&gt;MOD(MONTH('06_Сеть_и_дети'!BM$3)-9,12),FALSE),'19_Расчет_аналитики'!BM2437*CapacityAge06*'19_Расчет_аналитики'!$F$2235,0)</f>
        <v/>
      </c>
      <c r="BN2549">
        <f>IF(IF('01_Вводные'!$B$296="Новый сезон",6-1&gt;MOD(MONTH('06_Сеть_и_дети'!BN$3)-9,12),FALSE),'19_Расчет_аналитики'!BN2437*CapacityAge06*'19_Расчет_аналитики'!$F$2235,0)</f>
        <v/>
      </c>
      <c r="BO2549">
        <f>IF(IF('01_Вводные'!$B$296="Новый сезон",6-1&gt;MOD(MONTH('06_Сеть_и_дети'!BO$3)-9,12),FALSE),'19_Расчет_аналитики'!BO2437*CapacityAge06*'19_Расчет_аналитики'!$F$2235,0)</f>
        <v/>
      </c>
    </row>
    <row r="2550">
      <c r="B2550">
        <f>IF(IF('01_Вводные'!$B$296="Новый сезон",7-1&gt;MOD(MONTH('06_Сеть_и_дети'!B$3)-9,12),FALSE),'06_Сеть_и_дети'!B59*CapacityAge07*'19_Расчет_аналитики'!$F$2235,0)</f>
        <v/>
      </c>
      <c r="C2550">
        <f>IF(IF('01_Вводные'!$B$296="Новый сезон",7-1&gt;MOD(MONTH('06_Сеть_и_дети'!C$3)-9,12),FALSE),'06_Сеть_и_дети'!C59*CapacityAge07*'19_Расчет_аналитики'!$F$2235,0)</f>
        <v/>
      </c>
      <c r="D2550">
        <f>IF(IF('01_Вводные'!$B$296="Новый сезон",7-1&gt;MOD(MONTH('06_Сеть_и_дети'!D$3)-9,12),FALSE),'06_Сеть_и_дети'!D59*CapacityAge07*'19_Расчет_аналитики'!$F$2235,0)</f>
        <v/>
      </c>
      <c r="E2550">
        <f>IF(IF('01_Вводные'!$B$296="Новый сезон",7-1&gt;MOD(MONTH('06_Сеть_и_дети'!E$3)-9,12),FALSE),'06_Сеть_и_дети'!E59*CapacityAge07*'19_Расчет_аналитики'!$F$2235,0)</f>
        <v/>
      </c>
      <c r="F2550">
        <f>IF(IF('01_Вводные'!$B$296="Новый сезон",7-1&gt;MOD(MONTH('06_Сеть_и_дети'!F$3)-9,12),FALSE),'06_Сеть_и_дети'!F59*CapacityAge07*'19_Расчет_аналитики'!$F$2235,0)</f>
        <v/>
      </c>
      <c r="G2550">
        <f>IF(IF('01_Вводные'!$B$296="Новый сезон",7-1&gt;MOD(MONTH('06_Сеть_и_дети'!G$3)-9,12),FALSE),'06_Сеть_и_дети'!G59*CapacityAge07*'19_Расчет_аналитики'!$F$2235,0)</f>
        <v/>
      </c>
      <c r="H2550">
        <f>IF(IF('01_Вводные'!$B$296="Новый сезон",7-1&gt;MOD(MONTH('06_Сеть_и_дети'!H$3)-9,12),FALSE),'19_Расчет_аналитики'!H2438*CapacityAge07*'19_Расчет_аналитики'!$F$2235,0)</f>
        <v/>
      </c>
      <c r="I2550">
        <f>IF(IF('01_Вводные'!$B$296="Новый сезон",7-1&gt;MOD(MONTH('06_Сеть_и_дети'!I$3)-9,12),FALSE),'19_Расчет_аналитики'!I2438*CapacityAge07*'19_Расчет_аналитики'!$F$2235,0)</f>
        <v/>
      </c>
      <c r="J2550">
        <f>IF(IF('01_Вводные'!$B$296="Новый сезон",7-1&gt;MOD(MONTH('06_Сеть_и_дети'!J$3)-9,12),FALSE),'19_Расчет_аналитики'!J2438*CapacityAge07*'19_Расчет_аналитики'!$F$2235,0)</f>
        <v/>
      </c>
      <c r="K2550">
        <f>IF(IF('01_Вводные'!$B$296="Новый сезон",7-1&gt;MOD(MONTH('06_Сеть_и_дети'!K$3)-9,12),FALSE),'19_Расчет_аналитики'!K2438*CapacityAge07*'19_Расчет_аналитики'!$F$2235,0)</f>
        <v/>
      </c>
      <c r="L2550">
        <f>IF(IF('01_Вводные'!$B$296="Новый сезон",7-1&gt;MOD(MONTH('06_Сеть_и_дети'!L$3)-9,12),FALSE),'19_Расчет_аналитики'!L2438*CapacityAge07*'19_Расчет_аналитики'!$F$2235,0)</f>
        <v/>
      </c>
      <c r="M2550">
        <f>IF(IF('01_Вводные'!$B$296="Новый сезон",7-1&gt;MOD(MONTH('06_Сеть_и_дети'!M$3)-9,12),FALSE),'19_Расчет_аналитики'!M2438*CapacityAge07*'19_Расчет_аналитики'!$F$2235,0)</f>
        <v/>
      </c>
      <c r="N2550">
        <f>IF(IF('01_Вводные'!$B$296="Новый сезон",7-1&gt;MOD(MONTH('06_Сеть_и_дети'!N$3)-9,12),FALSE),'19_Расчет_аналитики'!N2438*CapacityAge07*'19_Расчет_аналитики'!$F$2235,0)</f>
        <v/>
      </c>
      <c r="O2550">
        <f>IF(IF('01_Вводные'!$B$296="Новый сезон",7-1&gt;MOD(MONTH('06_Сеть_и_дети'!O$3)-9,12),FALSE),'19_Расчет_аналитики'!O2438*CapacityAge07*'19_Расчет_аналитики'!$F$2235,0)</f>
        <v/>
      </c>
      <c r="P2550">
        <f>IF(IF('01_Вводные'!$B$296="Новый сезон",7-1&gt;MOD(MONTH('06_Сеть_и_дети'!P$3)-9,12),FALSE),'19_Расчет_аналитики'!P2438*CapacityAge07*'19_Расчет_аналитики'!$F$2235,0)</f>
        <v/>
      </c>
      <c r="Q2550">
        <f>IF(IF('01_Вводные'!$B$296="Новый сезон",7-1&gt;MOD(MONTH('06_Сеть_и_дети'!Q$3)-9,12),FALSE),'19_Расчет_аналитики'!Q2438*CapacityAge07*'19_Расчет_аналитики'!$F$2235,0)</f>
        <v/>
      </c>
      <c r="R2550">
        <f>IF(IF('01_Вводные'!$B$296="Новый сезон",7-1&gt;MOD(MONTH('06_Сеть_и_дети'!R$3)-9,12),FALSE),'19_Расчет_аналитики'!R2438*CapacityAge07*'19_Расчет_аналитики'!$F$2235,0)</f>
        <v/>
      </c>
      <c r="S2550">
        <f>IF(IF('01_Вводные'!$B$296="Новый сезон",7-1&gt;MOD(MONTH('06_Сеть_и_дети'!S$3)-9,12),FALSE),'19_Расчет_аналитики'!S2438*CapacityAge07*'19_Расчет_аналитики'!$F$2235,0)</f>
        <v/>
      </c>
      <c r="T2550">
        <f>IF(IF('01_Вводные'!$B$296="Новый сезон",7-1&gt;MOD(MONTH('06_Сеть_и_дети'!T$3)-9,12),FALSE),'19_Расчет_аналитики'!T2438*CapacityAge07*'19_Расчет_аналитики'!$F$2235,0)</f>
        <v/>
      </c>
      <c r="U2550">
        <f>IF(IF('01_Вводные'!$B$296="Новый сезон",7-1&gt;MOD(MONTH('06_Сеть_и_дети'!U$3)-9,12),FALSE),'19_Расчет_аналитики'!U2438*CapacityAge07*'19_Расчет_аналитики'!$F$2235,0)</f>
        <v/>
      </c>
      <c r="V2550">
        <f>IF(IF('01_Вводные'!$B$296="Новый сезон",7-1&gt;MOD(MONTH('06_Сеть_и_дети'!V$3)-9,12),FALSE),'19_Расчет_аналитики'!V2438*CapacityAge07*'19_Расчет_аналитики'!$F$2235,0)</f>
        <v/>
      </c>
      <c r="W2550">
        <f>IF(IF('01_Вводные'!$B$296="Новый сезон",7-1&gt;MOD(MONTH('06_Сеть_и_дети'!W$3)-9,12),FALSE),'19_Расчет_аналитики'!W2438*CapacityAge07*'19_Расчет_аналитики'!$F$2235,0)</f>
        <v/>
      </c>
      <c r="X2550">
        <f>IF(IF('01_Вводные'!$B$296="Новый сезон",7-1&gt;MOD(MONTH('06_Сеть_и_дети'!X$3)-9,12),FALSE),'19_Расчет_аналитики'!X2438*CapacityAge07*'19_Расчет_аналитики'!$F$2235,0)</f>
        <v/>
      </c>
      <c r="Y2550">
        <f>IF(IF('01_Вводные'!$B$296="Новый сезон",7-1&gt;MOD(MONTH('06_Сеть_и_дети'!Y$3)-9,12),FALSE),'19_Расчет_аналитики'!Y2438*CapacityAge07*'19_Расчет_аналитики'!$F$2235,0)</f>
        <v/>
      </c>
      <c r="Z2550">
        <f>IF(IF('01_Вводные'!$B$296="Новый сезон",7-1&gt;MOD(MONTH('06_Сеть_и_дети'!Z$3)-9,12),FALSE),'19_Расчет_аналитики'!Z2438*CapacityAge07*'19_Расчет_аналитики'!$F$2235,0)</f>
        <v/>
      </c>
      <c r="AA2550">
        <f>IF(IF('01_Вводные'!$B$296="Новый сезон",7-1&gt;MOD(MONTH('06_Сеть_и_дети'!AA$3)-9,12),FALSE),'19_Расчет_аналитики'!AA2438*CapacityAge07*'19_Расчет_аналитики'!$F$2235,0)</f>
        <v/>
      </c>
      <c r="AB2550">
        <f>IF(IF('01_Вводные'!$B$296="Новый сезон",7-1&gt;MOD(MONTH('06_Сеть_и_дети'!AB$3)-9,12),FALSE),'19_Расчет_аналитики'!AB2438*CapacityAge07*'19_Расчет_аналитики'!$F$2235,0)</f>
        <v/>
      </c>
      <c r="AC2550">
        <f>IF(IF('01_Вводные'!$B$296="Новый сезон",7-1&gt;MOD(MONTH('06_Сеть_и_дети'!AC$3)-9,12),FALSE),'19_Расчет_аналитики'!AC2438*CapacityAge07*'19_Расчет_аналитики'!$F$2235,0)</f>
        <v/>
      </c>
      <c r="AD2550">
        <f>IF(IF('01_Вводные'!$B$296="Новый сезон",7-1&gt;MOD(MONTH('06_Сеть_и_дети'!AD$3)-9,12),FALSE),'19_Расчет_аналитики'!AD2438*CapacityAge07*'19_Расчет_аналитики'!$F$2235,0)</f>
        <v/>
      </c>
      <c r="AE2550">
        <f>IF(IF('01_Вводные'!$B$296="Новый сезон",7-1&gt;MOD(MONTH('06_Сеть_и_дети'!AE$3)-9,12),FALSE),'19_Расчет_аналитики'!AE2438*CapacityAge07*'19_Расчет_аналитики'!$F$2235,0)</f>
        <v/>
      </c>
      <c r="AF2550">
        <f>IF(IF('01_Вводные'!$B$296="Новый сезон",7-1&gt;MOD(MONTH('06_Сеть_и_дети'!AF$3)-9,12),FALSE),'19_Расчет_аналитики'!AF2438*CapacityAge07*'19_Расчет_аналитики'!$F$2235,0)</f>
        <v/>
      </c>
      <c r="AG2550">
        <f>IF(IF('01_Вводные'!$B$296="Новый сезон",7-1&gt;MOD(MONTH('06_Сеть_и_дети'!AG$3)-9,12),FALSE),'19_Расчет_аналитики'!AG2438*CapacityAge07*'19_Расчет_аналитики'!$F$2235,0)</f>
        <v/>
      </c>
      <c r="AH2550">
        <f>IF(IF('01_Вводные'!$B$296="Новый сезон",7-1&gt;MOD(MONTH('06_Сеть_и_дети'!AH$3)-9,12),FALSE),'19_Расчет_аналитики'!AH2438*CapacityAge07*'19_Расчет_аналитики'!$F$2235,0)</f>
        <v/>
      </c>
      <c r="AI2550">
        <f>IF(IF('01_Вводные'!$B$296="Новый сезон",7-1&gt;MOD(MONTH('06_Сеть_и_дети'!AI$3)-9,12),FALSE),'19_Расчет_аналитики'!AI2438*CapacityAge07*'19_Расчет_аналитики'!$F$2235,0)</f>
        <v/>
      </c>
      <c r="AJ2550">
        <f>IF(IF('01_Вводные'!$B$296="Новый сезон",7-1&gt;MOD(MONTH('06_Сеть_и_дети'!AJ$3)-9,12),FALSE),'19_Расчет_аналитики'!AJ2438*CapacityAge07*'19_Расчет_аналитики'!$F$2235,0)</f>
        <v/>
      </c>
      <c r="AK2550">
        <f>IF(IF('01_Вводные'!$B$296="Новый сезон",7-1&gt;MOD(MONTH('06_Сеть_и_дети'!AK$3)-9,12),FALSE),'19_Расчет_аналитики'!AK2438*CapacityAge07*'19_Расчет_аналитики'!$F$2235,0)</f>
        <v/>
      </c>
      <c r="AL2550">
        <f>IF(IF('01_Вводные'!$B$296="Новый сезон",7-1&gt;MOD(MONTH('06_Сеть_и_дети'!AL$3)-9,12),FALSE),'19_Расчет_аналитики'!AL2438*CapacityAge07*'19_Расчет_аналитики'!$F$2235,0)</f>
        <v/>
      </c>
      <c r="AM2550">
        <f>IF(IF('01_Вводные'!$B$296="Новый сезон",7-1&gt;MOD(MONTH('06_Сеть_и_дети'!AM$3)-9,12),FALSE),'19_Расчет_аналитики'!AM2438*CapacityAge07*'19_Расчет_аналитики'!$F$2235,0)</f>
        <v/>
      </c>
      <c r="AN2550">
        <f>IF(IF('01_Вводные'!$B$296="Новый сезон",7-1&gt;MOD(MONTH('06_Сеть_и_дети'!AN$3)-9,12),FALSE),'19_Расчет_аналитики'!AN2438*CapacityAge07*'19_Расчет_аналитики'!$F$2235,0)</f>
        <v/>
      </c>
      <c r="AO2550">
        <f>IF(IF('01_Вводные'!$B$296="Новый сезон",7-1&gt;MOD(MONTH('06_Сеть_и_дети'!AO$3)-9,12),FALSE),'19_Расчет_аналитики'!AO2438*CapacityAge07*'19_Расчет_аналитики'!$F$2235,0)</f>
        <v/>
      </c>
      <c r="AP2550">
        <f>IF(IF('01_Вводные'!$B$296="Новый сезон",7-1&gt;MOD(MONTH('06_Сеть_и_дети'!AP$3)-9,12),FALSE),'19_Расчет_аналитики'!AP2438*CapacityAge07*'19_Расчет_аналитики'!$F$2235,0)</f>
        <v/>
      </c>
      <c r="AQ2550">
        <f>IF(IF('01_Вводные'!$B$296="Новый сезон",7-1&gt;MOD(MONTH('06_Сеть_и_дети'!AQ$3)-9,12),FALSE),'19_Расчет_аналитики'!AQ2438*CapacityAge07*'19_Расчет_аналитики'!$F$2235,0)</f>
        <v/>
      </c>
      <c r="AR2550">
        <f>IF(IF('01_Вводные'!$B$296="Новый сезон",7-1&gt;MOD(MONTH('06_Сеть_и_дети'!AR$3)-9,12),FALSE),'19_Расчет_аналитики'!AR2438*CapacityAge07*'19_Расчет_аналитики'!$F$2235,0)</f>
        <v/>
      </c>
      <c r="AS2550">
        <f>IF(IF('01_Вводные'!$B$296="Новый сезон",7-1&gt;MOD(MONTH('06_Сеть_и_дети'!AS$3)-9,12),FALSE),'19_Расчет_аналитики'!AS2438*CapacityAge07*'19_Расчет_аналитики'!$F$2235,0)</f>
        <v/>
      </c>
      <c r="AT2550">
        <f>IF(IF('01_Вводные'!$B$296="Новый сезон",7-1&gt;MOD(MONTH('06_Сеть_и_дети'!AT$3)-9,12),FALSE),'19_Расчет_аналитики'!AT2438*CapacityAge07*'19_Расчет_аналитики'!$F$2235,0)</f>
        <v/>
      </c>
      <c r="AU2550">
        <f>IF(IF('01_Вводные'!$B$296="Новый сезон",7-1&gt;MOD(MONTH('06_Сеть_и_дети'!AU$3)-9,12),FALSE),'19_Расчет_аналитики'!AU2438*CapacityAge07*'19_Расчет_аналитики'!$F$2235,0)</f>
        <v/>
      </c>
      <c r="AV2550">
        <f>IF(IF('01_Вводные'!$B$296="Новый сезон",7-1&gt;MOD(MONTH('06_Сеть_и_дети'!AV$3)-9,12),FALSE),'19_Расчет_аналитики'!AV2438*CapacityAge07*'19_Расчет_аналитики'!$F$2235,0)</f>
        <v/>
      </c>
      <c r="AW2550">
        <f>IF(IF('01_Вводные'!$B$296="Новый сезон",7-1&gt;MOD(MONTH('06_Сеть_и_дети'!AW$3)-9,12),FALSE),'19_Расчет_аналитики'!AW2438*CapacityAge07*'19_Расчет_аналитики'!$F$2235,0)</f>
        <v/>
      </c>
      <c r="AX2550">
        <f>IF(IF('01_Вводные'!$B$296="Новый сезон",7-1&gt;MOD(MONTH('06_Сеть_и_дети'!AX$3)-9,12),FALSE),'19_Расчет_аналитики'!AX2438*CapacityAge07*'19_Расчет_аналитики'!$F$2235,0)</f>
        <v/>
      </c>
      <c r="AY2550">
        <f>IF(IF('01_Вводные'!$B$296="Новый сезон",7-1&gt;MOD(MONTH('06_Сеть_и_дети'!AY$3)-9,12),FALSE),'19_Расчет_аналитики'!AY2438*CapacityAge07*'19_Расчет_аналитики'!$F$2235,0)</f>
        <v/>
      </c>
      <c r="AZ2550">
        <f>IF(IF('01_Вводные'!$B$296="Новый сезон",7-1&gt;MOD(MONTH('06_Сеть_и_дети'!AZ$3)-9,12),FALSE),'19_Расчет_аналитики'!AZ2438*CapacityAge07*'19_Расчет_аналитики'!$F$2235,0)</f>
        <v/>
      </c>
      <c r="BA2550">
        <f>IF(IF('01_Вводные'!$B$296="Новый сезон",7-1&gt;MOD(MONTH('06_Сеть_и_дети'!BA$3)-9,12),FALSE),'19_Расчет_аналитики'!BA2438*CapacityAge07*'19_Расчет_аналитики'!$F$2235,0)</f>
        <v/>
      </c>
      <c r="BB2550">
        <f>IF(IF('01_Вводные'!$B$296="Новый сезон",7-1&gt;MOD(MONTH('06_Сеть_и_дети'!BB$3)-9,12),FALSE),'19_Расчет_аналитики'!BB2438*CapacityAge07*'19_Расчет_аналитики'!$F$2235,0)</f>
        <v/>
      </c>
      <c r="BC2550">
        <f>IF(IF('01_Вводные'!$B$296="Новый сезон",7-1&gt;MOD(MONTH('06_Сеть_и_дети'!BC$3)-9,12),FALSE),'19_Расчет_аналитики'!BC2438*CapacityAge07*'19_Расчет_аналитики'!$F$2235,0)</f>
        <v/>
      </c>
      <c r="BD2550">
        <f>IF(IF('01_Вводные'!$B$296="Новый сезон",7-1&gt;MOD(MONTH('06_Сеть_и_дети'!BD$3)-9,12),FALSE),'19_Расчет_аналитики'!BD2438*CapacityAge07*'19_Расчет_аналитики'!$F$2235,0)</f>
        <v/>
      </c>
      <c r="BE2550">
        <f>IF(IF('01_Вводные'!$B$296="Новый сезон",7-1&gt;MOD(MONTH('06_Сеть_и_дети'!BE$3)-9,12),FALSE),'19_Расчет_аналитики'!BE2438*CapacityAge07*'19_Расчет_аналитики'!$F$2235,0)</f>
        <v/>
      </c>
      <c r="BF2550">
        <f>IF(IF('01_Вводные'!$B$296="Новый сезон",7-1&gt;MOD(MONTH('06_Сеть_и_дети'!BF$3)-9,12),FALSE),'19_Расчет_аналитики'!BF2438*CapacityAge07*'19_Расчет_аналитики'!$F$2235,0)</f>
        <v/>
      </c>
      <c r="BG2550">
        <f>IF(IF('01_Вводные'!$B$296="Новый сезон",7-1&gt;MOD(MONTH('06_Сеть_и_дети'!BG$3)-9,12),FALSE),'19_Расчет_аналитики'!BG2438*CapacityAge07*'19_Расчет_аналитики'!$F$2235,0)</f>
        <v/>
      </c>
      <c r="BH2550">
        <f>IF(IF('01_Вводные'!$B$296="Новый сезон",7-1&gt;MOD(MONTH('06_Сеть_и_дети'!BH$3)-9,12),FALSE),'19_Расчет_аналитики'!BH2438*CapacityAge07*'19_Расчет_аналитики'!$F$2235,0)</f>
        <v/>
      </c>
      <c r="BI2550">
        <f>IF(IF('01_Вводные'!$B$296="Новый сезон",7-1&gt;MOD(MONTH('06_Сеть_и_дети'!BI$3)-9,12),FALSE),'19_Расчет_аналитики'!BI2438*CapacityAge07*'19_Расчет_аналитики'!$F$2235,0)</f>
        <v/>
      </c>
      <c r="BJ2550">
        <f>IF(IF('01_Вводные'!$B$296="Новый сезон",7-1&gt;MOD(MONTH('06_Сеть_и_дети'!BJ$3)-9,12),FALSE),'19_Расчет_аналитики'!BJ2438*CapacityAge07*'19_Расчет_аналитики'!$F$2235,0)</f>
        <v/>
      </c>
      <c r="BK2550">
        <f>IF(IF('01_Вводные'!$B$296="Новый сезон",7-1&gt;MOD(MONTH('06_Сеть_и_дети'!BK$3)-9,12),FALSE),'19_Расчет_аналитики'!BK2438*CapacityAge07*'19_Расчет_аналитики'!$F$2235,0)</f>
        <v/>
      </c>
      <c r="BL2550">
        <f>IF(IF('01_Вводные'!$B$296="Новый сезон",7-1&gt;MOD(MONTH('06_Сеть_и_дети'!BL$3)-9,12),FALSE),'19_Расчет_аналитики'!BL2438*CapacityAge07*'19_Расчет_аналитики'!$F$2235,0)</f>
        <v/>
      </c>
      <c r="BM2550">
        <f>IF(IF('01_Вводные'!$B$296="Новый сезон",7-1&gt;MOD(MONTH('06_Сеть_и_дети'!BM$3)-9,12),FALSE),'19_Расчет_аналитики'!BM2438*CapacityAge07*'19_Расчет_аналитики'!$F$2235,0)</f>
        <v/>
      </c>
      <c r="BN2550">
        <f>IF(IF('01_Вводные'!$B$296="Новый сезон",7-1&gt;MOD(MONTH('06_Сеть_и_дети'!BN$3)-9,12),FALSE),'19_Расчет_аналитики'!BN2438*CapacityAge07*'19_Расчет_аналитики'!$F$2235,0)</f>
        <v/>
      </c>
      <c r="BO2550">
        <f>IF(IF('01_Вводные'!$B$296="Новый сезон",7-1&gt;MOD(MONTH('06_Сеть_и_дети'!BO$3)-9,12),FALSE),'19_Расчет_аналитики'!BO2438*CapacityAge07*'19_Расчет_аналитики'!$F$2235,0)</f>
        <v/>
      </c>
    </row>
    <row r="2551">
      <c r="B2551">
        <f>IF(IF('01_Вводные'!$B$296="Новый сезон",8-1&gt;MOD(MONTH('06_Сеть_и_дети'!B$3)-9,12),FALSE),'06_Сеть_и_дети'!B60*CapacityAge08*'19_Расчет_аналитики'!$F$2235,0)</f>
        <v/>
      </c>
      <c r="C2551">
        <f>IF(IF('01_Вводные'!$B$296="Новый сезон",8-1&gt;MOD(MONTH('06_Сеть_и_дети'!C$3)-9,12),FALSE),'06_Сеть_и_дети'!C60*CapacityAge08*'19_Расчет_аналитики'!$F$2235,0)</f>
        <v/>
      </c>
      <c r="D2551">
        <f>IF(IF('01_Вводные'!$B$296="Новый сезон",8-1&gt;MOD(MONTH('06_Сеть_и_дети'!D$3)-9,12),FALSE),'06_Сеть_и_дети'!D60*CapacityAge08*'19_Расчет_аналитики'!$F$2235,0)</f>
        <v/>
      </c>
      <c r="E2551">
        <f>IF(IF('01_Вводные'!$B$296="Новый сезон",8-1&gt;MOD(MONTH('06_Сеть_и_дети'!E$3)-9,12),FALSE),'06_Сеть_и_дети'!E60*CapacityAge08*'19_Расчет_аналитики'!$F$2235,0)</f>
        <v/>
      </c>
      <c r="F2551">
        <f>IF(IF('01_Вводные'!$B$296="Новый сезон",8-1&gt;MOD(MONTH('06_Сеть_и_дети'!F$3)-9,12),FALSE),'06_Сеть_и_дети'!F60*CapacityAge08*'19_Расчет_аналитики'!$F$2235,0)</f>
        <v/>
      </c>
      <c r="G2551">
        <f>IF(IF('01_Вводные'!$B$296="Новый сезон",8-1&gt;MOD(MONTH('06_Сеть_и_дети'!G$3)-9,12),FALSE),'06_Сеть_и_дети'!G60*CapacityAge08*'19_Расчет_аналитики'!$F$2235,0)</f>
        <v/>
      </c>
      <c r="H2551">
        <f>IF(IF('01_Вводные'!$B$296="Новый сезон",8-1&gt;MOD(MONTH('06_Сеть_и_дети'!H$3)-9,12),FALSE),'06_Сеть_и_дети'!H60*CapacityAge08*'19_Расчет_аналитики'!$F$2235,0)</f>
        <v/>
      </c>
      <c r="I2551">
        <f>IF(IF('01_Вводные'!$B$296="Новый сезон",8-1&gt;MOD(MONTH('06_Сеть_и_дети'!I$3)-9,12),FALSE),'19_Расчет_аналитики'!I2439*CapacityAge08*'19_Расчет_аналитики'!$F$2235,0)</f>
        <v/>
      </c>
      <c r="J2551">
        <f>IF(IF('01_Вводные'!$B$296="Новый сезон",8-1&gt;MOD(MONTH('06_Сеть_и_дети'!J$3)-9,12),FALSE),'19_Расчет_аналитики'!J2439*CapacityAge08*'19_Расчет_аналитики'!$F$2235,0)</f>
        <v/>
      </c>
      <c r="K2551">
        <f>IF(IF('01_Вводные'!$B$296="Новый сезон",8-1&gt;MOD(MONTH('06_Сеть_и_дети'!K$3)-9,12),FALSE),'19_Расчет_аналитики'!K2439*CapacityAge08*'19_Расчет_аналитики'!$F$2235,0)</f>
        <v/>
      </c>
      <c r="L2551">
        <f>IF(IF('01_Вводные'!$B$296="Новый сезон",8-1&gt;MOD(MONTH('06_Сеть_и_дети'!L$3)-9,12),FALSE),'19_Расчет_аналитики'!L2439*CapacityAge08*'19_Расчет_аналитики'!$F$2235,0)</f>
        <v/>
      </c>
      <c r="M2551">
        <f>IF(IF('01_Вводные'!$B$296="Новый сезон",8-1&gt;MOD(MONTH('06_Сеть_и_дети'!M$3)-9,12),FALSE),'19_Расчет_аналитики'!M2439*CapacityAge08*'19_Расчет_аналитики'!$F$2235,0)</f>
        <v/>
      </c>
      <c r="N2551">
        <f>IF(IF('01_Вводные'!$B$296="Новый сезон",8-1&gt;MOD(MONTH('06_Сеть_и_дети'!N$3)-9,12),FALSE),'19_Расчет_аналитики'!N2439*CapacityAge08*'19_Расчет_аналитики'!$F$2235,0)</f>
        <v/>
      </c>
      <c r="O2551">
        <f>IF(IF('01_Вводные'!$B$296="Новый сезон",8-1&gt;MOD(MONTH('06_Сеть_и_дети'!O$3)-9,12),FALSE),'19_Расчет_аналитики'!O2439*CapacityAge08*'19_Расчет_аналитики'!$F$2235,0)</f>
        <v/>
      </c>
      <c r="P2551">
        <f>IF(IF('01_Вводные'!$B$296="Новый сезон",8-1&gt;MOD(MONTH('06_Сеть_и_дети'!P$3)-9,12),FALSE),'19_Расчет_аналитики'!P2439*CapacityAge08*'19_Расчет_аналитики'!$F$2235,0)</f>
        <v/>
      </c>
      <c r="Q2551">
        <f>IF(IF('01_Вводные'!$B$296="Новый сезон",8-1&gt;MOD(MONTH('06_Сеть_и_дети'!Q$3)-9,12),FALSE),'19_Расчет_аналитики'!Q2439*CapacityAge08*'19_Расчет_аналитики'!$F$2235,0)</f>
        <v/>
      </c>
      <c r="R2551">
        <f>IF(IF('01_Вводные'!$B$296="Новый сезон",8-1&gt;MOD(MONTH('06_Сеть_и_дети'!R$3)-9,12),FALSE),'19_Расчет_аналитики'!R2439*CapacityAge08*'19_Расчет_аналитики'!$F$2235,0)</f>
        <v/>
      </c>
      <c r="S2551">
        <f>IF(IF('01_Вводные'!$B$296="Новый сезон",8-1&gt;MOD(MONTH('06_Сеть_и_дети'!S$3)-9,12),FALSE),'19_Расчет_аналитики'!S2439*CapacityAge08*'19_Расчет_аналитики'!$F$2235,0)</f>
        <v/>
      </c>
      <c r="T2551">
        <f>IF(IF('01_Вводные'!$B$296="Новый сезон",8-1&gt;MOD(MONTH('06_Сеть_и_дети'!T$3)-9,12),FALSE),'19_Расчет_аналитики'!T2439*CapacityAge08*'19_Расчет_аналитики'!$F$2235,0)</f>
        <v/>
      </c>
      <c r="U2551">
        <f>IF(IF('01_Вводные'!$B$296="Новый сезон",8-1&gt;MOD(MONTH('06_Сеть_и_дети'!U$3)-9,12),FALSE),'19_Расчет_аналитики'!U2439*CapacityAge08*'19_Расчет_аналитики'!$F$2235,0)</f>
        <v/>
      </c>
      <c r="V2551">
        <f>IF(IF('01_Вводные'!$B$296="Новый сезон",8-1&gt;MOD(MONTH('06_Сеть_и_дети'!V$3)-9,12),FALSE),'19_Расчет_аналитики'!V2439*CapacityAge08*'19_Расчет_аналитики'!$F$2235,0)</f>
        <v/>
      </c>
      <c r="W2551">
        <f>IF(IF('01_Вводные'!$B$296="Новый сезон",8-1&gt;MOD(MONTH('06_Сеть_и_дети'!W$3)-9,12),FALSE),'19_Расчет_аналитики'!W2439*CapacityAge08*'19_Расчет_аналитики'!$F$2235,0)</f>
        <v/>
      </c>
      <c r="X2551">
        <f>IF(IF('01_Вводные'!$B$296="Новый сезон",8-1&gt;MOD(MONTH('06_Сеть_и_дети'!X$3)-9,12),FALSE),'19_Расчет_аналитики'!X2439*CapacityAge08*'19_Расчет_аналитики'!$F$2235,0)</f>
        <v/>
      </c>
      <c r="Y2551">
        <f>IF(IF('01_Вводные'!$B$296="Новый сезон",8-1&gt;MOD(MONTH('06_Сеть_и_дети'!Y$3)-9,12),FALSE),'19_Расчет_аналитики'!Y2439*CapacityAge08*'19_Расчет_аналитики'!$F$2235,0)</f>
        <v/>
      </c>
      <c r="Z2551">
        <f>IF(IF('01_Вводные'!$B$296="Новый сезон",8-1&gt;MOD(MONTH('06_Сеть_и_дети'!Z$3)-9,12),FALSE),'19_Расчет_аналитики'!Z2439*CapacityAge08*'19_Расчет_аналитики'!$F$2235,0)</f>
        <v/>
      </c>
      <c r="AA2551">
        <f>IF(IF('01_Вводные'!$B$296="Новый сезон",8-1&gt;MOD(MONTH('06_Сеть_и_дети'!AA$3)-9,12),FALSE),'19_Расчет_аналитики'!AA2439*CapacityAge08*'19_Расчет_аналитики'!$F$2235,0)</f>
        <v/>
      </c>
      <c r="AB2551">
        <f>IF(IF('01_Вводные'!$B$296="Новый сезон",8-1&gt;MOD(MONTH('06_Сеть_и_дети'!AB$3)-9,12),FALSE),'19_Расчет_аналитики'!AB2439*CapacityAge08*'19_Расчет_аналитики'!$F$2235,0)</f>
        <v/>
      </c>
      <c r="AC2551">
        <f>IF(IF('01_Вводные'!$B$296="Новый сезон",8-1&gt;MOD(MONTH('06_Сеть_и_дети'!AC$3)-9,12),FALSE),'19_Расчет_аналитики'!AC2439*CapacityAge08*'19_Расчет_аналитики'!$F$2235,0)</f>
        <v/>
      </c>
      <c r="AD2551">
        <f>IF(IF('01_Вводные'!$B$296="Новый сезон",8-1&gt;MOD(MONTH('06_Сеть_и_дети'!AD$3)-9,12),FALSE),'19_Расчет_аналитики'!AD2439*CapacityAge08*'19_Расчет_аналитики'!$F$2235,0)</f>
        <v/>
      </c>
      <c r="AE2551">
        <f>IF(IF('01_Вводные'!$B$296="Новый сезон",8-1&gt;MOD(MONTH('06_Сеть_и_дети'!AE$3)-9,12),FALSE),'19_Расчет_аналитики'!AE2439*CapacityAge08*'19_Расчет_аналитики'!$F$2235,0)</f>
        <v/>
      </c>
      <c r="AF2551">
        <f>IF(IF('01_Вводные'!$B$296="Новый сезон",8-1&gt;MOD(MONTH('06_Сеть_и_дети'!AF$3)-9,12),FALSE),'19_Расчет_аналитики'!AF2439*CapacityAge08*'19_Расчет_аналитики'!$F$2235,0)</f>
        <v/>
      </c>
      <c r="AG2551">
        <f>IF(IF('01_Вводные'!$B$296="Новый сезон",8-1&gt;MOD(MONTH('06_Сеть_и_дети'!AG$3)-9,12),FALSE),'19_Расчет_аналитики'!AG2439*CapacityAge08*'19_Расчет_аналитики'!$F$2235,0)</f>
        <v/>
      </c>
      <c r="AH2551">
        <f>IF(IF('01_Вводные'!$B$296="Новый сезон",8-1&gt;MOD(MONTH('06_Сеть_и_дети'!AH$3)-9,12),FALSE),'19_Расчет_аналитики'!AH2439*CapacityAge08*'19_Расчет_аналитики'!$F$2235,0)</f>
        <v/>
      </c>
      <c r="AI2551">
        <f>IF(IF('01_Вводные'!$B$296="Новый сезон",8-1&gt;MOD(MONTH('06_Сеть_и_дети'!AI$3)-9,12),FALSE),'19_Расчет_аналитики'!AI2439*CapacityAge08*'19_Расчет_аналитики'!$F$2235,0)</f>
        <v/>
      </c>
      <c r="AJ2551">
        <f>IF(IF('01_Вводные'!$B$296="Новый сезон",8-1&gt;MOD(MONTH('06_Сеть_и_дети'!AJ$3)-9,12),FALSE),'19_Расчет_аналитики'!AJ2439*CapacityAge08*'19_Расчет_аналитики'!$F$2235,0)</f>
        <v/>
      </c>
      <c r="AK2551">
        <f>IF(IF('01_Вводные'!$B$296="Новый сезон",8-1&gt;MOD(MONTH('06_Сеть_и_дети'!AK$3)-9,12),FALSE),'19_Расчет_аналитики'!AK2439*CapacityAge08*'19_Расчет_аналитики'!$F$2235,0)</f>
        <v/>
      </c>
      <c r="AL2551">
        <f>IF(IF('01_Вводные'!$B$296="Новый сезон",8-1&gt;MOD(MONTH('06_Сеть_и_дети'!AL$3)-9,12),FALSE),'19_Расчет_аналитики'!AL2439*CapacityAge08*'19_Расчет_аналитики'!$F$2235,0)</f>
        <v/>
      </c>
      <c r="AM2551">
        <f>IF(IF('01_Вводные'!$B$296="Новый сезон",8-1&gt;MOD(MONTH('06_Сеть_и_дети'!AM$3)-9,12),FALSE),'19_Расчет_аналитики'!AM2439*CapacityAge08*'19_Расчет_аналитики'!$F$2235,0)</f>
        <v/>
      </c>
      <c r="AN2551">
        <f>IF(IF('01_Вводные'!$B$296="Новый сезон",8-1&gt;MOD(MONTH('06_Сеть_и_дети'!AN$3)-9,12),FALSE),'19_Расчет_аналитики'!AN2439*CapacityAge08*'19_Расчет_аналитики'!$F$2235,0)</f>
        <v/>
      </c>
      <c r="AO2551">
        <f>IF(IF('01_Вводные'!$B$296="Новый сезон",8-1&gt;MOD(MONTH('06_Сеть_и_дети'!AO$3)-9,12),FALSE),'19_Расчет_аналитики'!AO2439*CapacityAge08*'19_Расчет_аналитики'!$F$2235,0)</f>
        <v/>
      </c>
      <c r="AP2551">
        <f>IF(IF('01_Вводные'!$B$296="Новый сезон",8-1&gt;MOD(MONTH('06_Сеть_и_дети'!AP$3)-9,12),FALSE),'19_Расчет_аналитики'!AP2439*CapacityAge08*'19_Расчет_аналитики'!$F$2235,0)</f>
        <v/>
      </c>
      <c r="AQ2551">
        <f>IF(IF('01_Вводные'!$B$296="Новый сезон",8-1&gt;MOD(MONTH('06_Сеть_и_дети'!AQ$3)-9,12),FALSE),'19_Расчет_аналитики'!AQ2439*CapacityAge08*'19_Расчет_аналитики'!$F$2235,0)</f>
        <v/>
      </c>
      <c r="AR2551">
        <f>IF(IF('01_Вводные'!$B$296="Новый сезон",8-1&gt;MOD(MONTH('06_Сеть_и_дети'!AR$3)-9,12),FALSE),'19_Расчет_аналитики'!AR2439*CapacityAge08*'19_Расчет_аналитики'!$F$2235,0)</f>
        <v/>
      </c>
      <c r="AS2551">
        <f>IF(IF('01_Вводные'!$B$296="Новый сезон",8-1&gt;MOD(MONTH('06_Сеть_и_дети'!AS$3)-9,12),FALSE),'19_Расчет_аналитики'!AS2439*CapacityAge08*'19_Расчет_аналитики'!$F$2235,0)</f>
        <v/>
      </c>
      <c r="AT2551">
        <f>IF(IF('01_Вводные'!$B$296="Новый сезон",8-1&gt;MOD(MONTH('06_Сеть_и_дети'!AT$3)-9,12),FALSE),'19_Расчет_аналитики'!AT2439*CapacityAge08*'19_Расчет_аналитики'!$F$2235,0)</f>
        <v/>
      </c>
      <c r="AU2551">
        <f>IF(IF('01_Вводные'!$B$296="Новый сезон",8-1&gt;MOD(MONTH('06_Сеть_и_дети'!AU$3)-9,12),FALSE),'19_Расчет_аналитики'!AU2439*CapacityAge08*'19_Расчет_аналитики'!$F$2235,0)</f>
        <v/>
      </c>
      <c r="AV2551">
        <f>IF(IF('01_Вводные'!$B$296="Новый сезон",8-1&gt;MOD(MONTH('06_Сеть_и_дети'!AV$3)-9,12),FALSE),'19_Расчет_аналитики'!AV2439*CapacityAge08*'19_Расчет_аналитики'!$F$2235,0)</f>
        <v/>
      </c>
      <c r="AW2551">
        <f>IF(IF('01_Вводные'!$B$296="Новый сезон",8-1&gt;MOD(MONTH('06_Сеть_и_дети'!AW$3)-9,12),FALSE),'19_Расчет_аналитики'!AW2439*CapacityAge08*'19_Расчет_аналитики'!$F$2235,0)</f>
        <v/>
      </c>
      <c r="AX2551">
        <f>IF(IF('01_Вводные'!$B$296="Новый сезон",8-1&gt;MOD(MONTH('06_Сеть_и_дети'!AX$3)-9,12),FALSE),'19_Расчет_аналитики'!AX2439*CapacityAge08*'19_Расчет_аналитики'!$F$2235,0)</f>
        <v/>
      </c>
      <c r="AY2551">
        <f>IF(IF('01_Вводные'!$B$296="Новый сезон",8-1&gt;MOD(MONTH('06_Сеть_и_дети'!AY$3)-9,12),FALSE),'19_Расчет_аналитики'!AY2439*CapacityAge08*'19_Расчет_аналитики'!$F$2235,0)</f>
        <v/>
      </c>
      <c r="AZ2551">
        <f>IF(IF('01_Вводные'!$B$296="Новый сезон",8-1&gt;MOD(MONTH('06_Сеть_и_дети'!AZ$3)-9,12),FALSE),'19_Расчет_аналитики'!AZ2439*CapacityAge08*'19_Расчет_аналитики'!$F$2235,0)</f>
        <v/>
      </c>
      <c r="BA2551">
        <f>IF(IF('01_Вводные'!$B$296="Новый сезон",8-1&gt;MOD(MONTH('06_Сеть_и_дети'!BA$3)-9,12),FALSE),'19_Расчет_аналитики'!BA2439*CapacityAge08*'19_Расчет_аналитики'!$F$2235,0)</f>
        <v/>
      </c>
      <c r="BB2551">
        <f>IF(IF('01_Вводные'!$B$296="Новый сезон",8-1&gt;MOD(MONTH('06_Сеть_и_дети'!BB$3)-9,12),FALSE),'19_Расчет_аналитики'!BB2439*CapacityAge08*'19_Расчет_аналитики'!$F$2235,0)</f>
        <v/>
      </c>
      <c r="BC2551">
        <f>IF(IF('01_Вводные'!$B$296="Новый сезон",8-1&gt;MOD(MONTH('06_Сеть_и_дети'!BC$3)-9,12),FALSE),'19_Расчет_аналитики'!BC2439*CapacityAge08*'19_Расчет_аналитики'!$F$2235,0)</f>
        <v/>
      </c>
      <c r="BD2551">
        <f>IF(IF('01_Вводные'!$B$296="Новый сезон",8-1&gt;MOD(MONTH('06_Сеть_и_дети'!BD$3)-9,12),FALSE),'19_Расчет_аналитики'!BD2439*CapacityAge08*'19_Расчет_аналитики'!$F$2235,0)</f>
        <v/>
      </c>
      <c r="BE2551">
        <f>IF(IF('01_Вводные'!$B$296="Новый сезон",8-1&gt;MOD(MONTH('06_Сеть_и_дети'!BE$3)-9,12),FALSE),'19_Расчет_аналитики'!BE2439*CapacityAge08*'19_Расчет_аналитики'!$F$2235,0)</f>
        <v/>
      </c>
      <c r="BF2551">
        <f>IF(IF('01_Вводные'!$B$296="Новый сезон",8-1&gt;MOD(MONTH('06_Сеть_и_дети'!BF$3)-9,12),FALSE),'19_Расчет_аналитики'!BF2439*CapacityAge08*'19_Расчет_аналитики'!$F$2235,0)</f>
        <v/>
      </c>
      <c r="BG2551">
        <f>IF(IF('01_Вводные'!$B$296="Новый сезон",8-1&gt;MOD(MONTH('06_Сеть_и_дети'!BG$3)-9,12),FALSE),'19_Расчет_аналитики'!BG2439*CapacityAge08*'19_Расчет_аналитики'!$F$2235,0)</f>
        <v/>
      </c>
      <c r="BH2551">
        <f>IF(IF('01_Вводные'!$B$296="Новый сезон",8-1&gt;MOD(MONTH('06_Сеть_и_дети'!BH$3)-9,12),FALSE),'19_Расчет_аналитики'!BH2439*CapacityAge08*'19_Расчет_аналитики'!$F$2235,0)</f>
        <v/>
      </c>
      <c r="BI2551">
        <f>IF(IF('01_Вводные'!$B$296="Новый сезон",8-1&gt;MOD(MONTH('06_Сеть_и_дети'!BI$3)-9,12),FALSE),'19_Расчет_аналитики'!BI2439*CapacityAge08*'19_Расчет_аналитики'!$F$2235,0)</f>
        <v/>
      </c>
      <c r="BJ2551">
        <f>IF(IF('01_Вводные'!$B$296="Новый сезон",8-1&gt;MOD(MONTH('06_Сеть_и_дети'!BJ$3)-9,12),FALSE),'19_Расчет_аналитики'!BJ2439*CapacityAge08*'19_Расчет_аналитики'!$F$2235,0)</f>
        <v/>
      </c>
      <c r="BK2551">
        <f>IF(IF('01_Вводные'!$B$296="Новый сезон",8-1&gt;MOD(MONTH('06_Сеть_и_дети'!BK$3)-9,12),FALSE),'19_Расчет_аналитики'!BK2439*CapacityAge08*'19_Расчет_аналитики'!$F$2235,0)</f>
        <v/>
      </c>
      <c r="BL2551">
        <f>IF(IF('01_Вводные'!$B$296="Новый сезон",8-1&gt;MOD(MONTH('06_Сеть_и_дети'!BL$3)-9,12),FALSE),'19_Расчет_аналитики'!BL2439*CapacityAge08*'19_Расчет_аналитики'!$F$2235,0)</f>
        <v/>
      </c>
      <c r="BM2551">
        <f>IF(IF('01_Вводные'!$B$296="Новый сезон",8-1&gt;MOD(MONTH('06_Сеть_и_дети'!BM$3)-9,12),FALSE),'19_Расчет_аналитики'!BM2439*CapacityAge08*'19_Расчет_аналитики'!$F$2235,0)</f>
        <v/>
      </c>
      <c r="BN2551">
        <f>IF(IF('01_Вводные'!$B$296="Новый сезон",8-1&gt;MOD(MONTH('06_Сеть_и_дети'!BN$3)-9,12),FALSE),'19_Расчет_аналитики'!BN2439*CapacityAge08*'19_Расчет_аналитики'!$F$2235,0)</f>
        <v/>
      </c>
      <c r="BO2551">
        <f>IF(IF('01_Вводные'!$B$296="Новый сезон",8-1&gt;MOD(MONTH('06_Сеть_и_дети'!BO$3)-9,12),FALSE),'19_Расчет_аналитики'!BO2439*CapacityAge08*'19_Расчет_аналитики'!$F$2235,0)</f>
        <v/>
      </c>
    </row>
    <row r="2552">
      <c r="B2552">
        <f>IF(IF('01_Вводные'!$B$296="Новый сезон",9-1&gt;MOD(MONTH('06_Сеть_и_дети'!B$3)-9,12),FALSE),'06_Сеть_и_дети'!B61*CapacityAge09*'19_Расчет_аналитики'!$F$2235,0)</f>
        <v/>
      </c>
      <c r="C2552">
        <f>IF(IF('01_Вводные'!$B$296="Новый сезон",9-1&gt;MOD(MONTH('06_Сеть_и_дети'!C$3)-9,12),FALSE),'06_Сеть_и_дети'!C61*CapacityAge09*'19_Расчет_аналитики'!$F$2235,0)</f>
        <v/>
      </c>
      <c r="D2552">
        <f>IF(IF('01_Вводные'!$B$296="Новый сезон",9-1&gt;MOD(MONTH('06_Сеть_и_дети'!D$3)-9,12),FALSE),'06_Сеть_и_дети'!D61*CapacityAge09*'19_Расчет_аналитики'!$F$2235,0)</f>
        <v/>
      </c>
      <c r="E2552">
        <f>IF(IF('01_Вводные'!$B$296="Новый сезон",9-1&gt;MOD(MONTH('06_Сеть_и_дети'!E$3)-9,12),FALSE),'06_Сеть_и_дети'!E61*CapacityAge09*'19_Расчет_аналитики'!$F$2235,0)</f>
        <v/>
      </c>
      <c r="F2552">
        <f>IF(IF('01_Вводные'!$B$296="Новый сезон",9-1&gt;MOD(MONTH('06_Сеть_и_дети'!F$3)-9,12),FALSE),'06_Сеть_и_дети'!F61*CapacityAge09*'19_Расчет_аналитики'!$F$2235,0)</f>
        <v/>
      </c>
      <c r="G2552">
        <f>IF(IF('01_Вводные'!$B$296="Новый сезон",9-1&gt;MOD(MONTH('06_Сеть_и_дети'!G$3)-9,12),FALSE),'06_Сеть_и_дети'!G61*CapacityAge09*'19_Расчет_аналитики'!$F$2235,0)</f>
        <v/>
      </c>
      <c r="H2552">
        <f>IF(IF('01_Вводные'!$B$296="Новый сезон",9-1&gt;MOD(MONTH('06_Сеть_и_дети'!H$3)-9,12),FALSE),'06_Сеть_и_дети'!H61*CapacityAge09*'19_Расчет_аналитики'!$F$2235,0)</f>
        <v/>
      </c>
      <c r="I2552">
        <f>IF(IF('01_Вводные'!$B$296="Новый сезон",9-1&gt;MOD(MONTH('06_Сеть_и_дети'!I$3)-9,12),FALSE),'06_Сеть_и_дети'!I61*CapacityAge09*'19_Расчет_аналитики'!$F$2235,0)</f>
        <v/>
      </c>
      <c r="J2552">
        <f>IF(IF('01_Вводные'!$B$296="Новый сезон",9-1&gt;MOD(MONTH('06_Сеть_и_дети'!J$3)-9,12),FALSE),'19_Расчет_аналитики'!J2440*CapacityAge09*'19_Расчет_аналитики'!$F$2235,0)</f>
        <v/>
      </c>
      <c r="K2552">
        <f>IF(IF('01_Вводные'!$B$296="Новый сезон",9-1&gt;MOD(MONTH('06_Сеть_и_дети'!K$3)-9,12),FALSE),'19_Расчет_аналитики'!K2440*CapacityAge09*'19_Расчет_аналитики'!$F$2235,0)</f>
        <v/>
      </c>
      <c r="L2552">
        <f>IF(IF('01_Вводные'!$B$296="Новый сезон",9-1&gt;MOD(MONTH('06_Сеть_и_дети'!L$3)-9,12),FALSE),'19_Расчет_аналитики'!L2440*CapacityAge09*'19_Расчет_аналитики'!$F$2235,0)</f>
        <v/>
      </c>
      <c r="M2552">
        <f>IF(IF('01_Вводные'!$B$296="Новый сезон",9-1&gt;MOD(MONTH('06_Сеть_и_дети'!M$3)-9,12),FALSE),'19_Расчет_аналитики'!M2440*CapacityAge09*'19_Расчет_аналитики'!$F$2235,0)</f>
        <v/>
      </c>
      <c r="N2552">
        <f>IF(IF('01_Вводные'!$B$296="Новый сезон",9-1&gt;MOD(MONTH('06_Сеть_и_дети'!N$3)-9,12),FALSE),'19_Расчет_аналитики'!N2440*CapacityAge09*'19_Расчет_аналитики'!$F$2235,0)</f>
        <v/>
      </c>
      <c r="O2552">
        <f>IF(IF('01_Вводные'!$B$296="Новый сезон",9-1&gt;MOD(MONTH('06_Сеть_и_дети'!O$3)-9,12),FALSE),'19_Расчет_аналитики'!O2440*CapacityAge09*'19_Расчет_аналитики'!$F$2235,0)</f>
        <v/>
      </c>
      <c r="P2552">
        <f>IF(IF('01_Вводные'!$B$296="Новый сезон",9-1&gt;MOD(MONTH('06_Сеть_и_дети'!P$3)-9,12),FALSE),'19_Расчет_аналитики'!P2440*CapacityAge09*'19_Расчет_аналитики'!$F$2235,0)</f>
        <v/>
      </c>
      <c r="Q2552">
        <f>IF(IF('01_Вводные'!$B$296="Новый сезон",9-1&gt;MOD(MONTH('06_Сеть_и_дети'!Q$3)-9,12),FALSE),'19_Расчет_аналитики'!Q2440*CapacityAge09*'19_Расчет_аналитики'!$F$2235,0)</f>
        <v/>
      </c>
      <c r="R2552">
        <f>IF(IF('01_Вводные'!$B$296="Новый сезон",9-1&gt;MOD(MONTH('06_Сеть_и_дети'!R$3)-9,12),FALSE),'19_Расчет_аналитики'!R2440*CapacityAge09*'19_Расчет_аналитики'!$F$2235,0)</f>
        <v/>
      </c>
      <c r="S2552">
        <f>IF(IF('01_Вводные'!$B$296="Новый сезон",9-1&gt;MOD(MONTH('06_Сеть_и_дети'!S$3)-9,12),FALSE),'19_Расчет_аналитики'!S2440*CapacityAge09*'19_Расчет_аналитики'!$F$2235,0)</f>
        <v/>
      </c>
      <c r="T2552">
        <f>IF(IF('01_Вводные'!$B$296="Новый сезон",9-1&gt;MOD(MONTH('06_Сеть_и_дети'!T$3)-9,12),FALSE),'19_Расчет_аналитики'!T2440*CapacityAge09*'19_Расчет_аналитики'!$F$2235,0)</f>
        <v/>
      </c>
      <c r="U2552">
        <f>IF(IF('01_Вводные'!$B$296="Новый сезон",9-1&gt;MOD(MONTH('06_Сеть_и_дети'!U$3)-9,12),FALSE),'19_Расчет_аналитики'!U2440*CapacityAge09*'19_Расчет_аналитики'!$F$2235,0)</f>
        <v/>
      </c>
      <c r="V2552">
        <f>IF(IF('01_Вводные'!$B$296="Новый сезон",9-1&gt;MOD(MONTH('06_Сеть_и_дети'!V$3)-9,12),FALSE),'19_Расчет_аналитики'!V2440*CapacityAge09*'19_Расчет_аналитики'!$F$2235,0)</f>
        <v/>
      </c>
      <c r="W2552">
        <f>IF(IF('01_Вводные'!$B$296="Новый сезон",9-1&gt;MOD(MONTH('06_Сеть_и_дети'!W$3)-9,12),FALSE),'19_Расчет_аналитики'!W2440*CapacityAge09*'19_Расчет_аналитики'!$F$2235,0)</f>
        <v/>
      </c>
      <c r="X2552">
        <f>IF(IF('01_Вводные'!$B$296="Новый сезон",9-1&gt;MOD(MONTH('06_Сеть_и_дети'!X$3)-9,12),FALSE),'19_Расчет_аналитики'!X2440*CapacityAge09*'19_Расчет_аналитики'!$F$2235,0)</f>
        <v/>
      </c>
      <c r="Y2552">
        <f>IF(IF('01_Вводные'!$B$296="Новый сезон",9-1&gt;MOD(MONTH('06_Сеть_и_дети'!Y$3)-9,12),FALSE),'19_Расчет_аналитики'!Y2440*CapacityAge09*'19_Расчет_аналитики'!$F$2235,0)</f>
        <v/>
      </c>
      <c r="Z2552">
        <f>IF(IF('01_Вводные'!$B$296="Новый сезон",9-1&gt;MOD(MONTH('06_Сеть_и_дети'!Z$3)-9,12),FALSE),'19_Расчет_аналитики'!Z2440*CapacityAge09*'19_Расчет_аналитики'!$F$2235,0)</f>
        <v/>
      </c>
      <c r="AA2552">
        <f>IF(IF('01_Вводные'!$B$296="Новый сезон",9-1&gt;MOD(MONTH('06_Сеть_и_дети'!AA$3)-9,12),FALSE),'19_Расчет_аналитики'!AA2440*CapacityAge09*'19_Расчет_аналитики'!$F$2235,0)</f>
        <v/>
      </c>
      <c r="AB2552">
        <f>IF(IF('01_Вводные'!$B$296="Новый сезон",9-1&gt;MOD(MONTH('06_Сеть_и_дети'!AB$3)-9,12),FALSE),'19_Расчет_аналитики'!AB2440*CapacityAge09*'19_Расчет_аналитики'!$F$2235,0)</f>
        <v/>
      </c>
      <c r="AC2552">
        <f>IF(IF('01_Вводные'!$B$296="Новый сезон",9-1&gt;MOD(MONTH('06_Сеть_и_дети'!AC$3)-9,12),FALSE),'19_Расчет_аналитики'!AC2440*CapacityAge09*'19_Расчет_аналитики'!$F$2235,0)</f>
        <v/>
      </c>
      <c r="AD2552">
        <f>IF(IF('01_Вводные'!$B$296="Новый сезон",9-1&gt;MOD(MONTH('06_Сеть_и_дети'!AD$3)-9,12),FALSE),'19_Расчет_аналитики'!AD2440*CapacityAge09*'19_Расчет_аналитики'!$F$2235,0)</f>
        <v/>
      </c>
      <c r="AE2552">
        <f>IF(IF('01_Вводные'!$B$296="Новый сезон",9-1&gt;MOD(MONTH('06_Сеть_и_дети'!AE$3)-9,12),FALSE),'19_Расчет_аналитики'!AE2440*CapacityAge09*'19_Расчет_аналитики'!$F$2235,0)</f>
        <v/>
      </c>
      <c r="AF2552">
        <f>IF(IF('01_Вводные'!$B$296="Новый сезон",9-1&gt;MOD(MONTH('06_Сеть_и_дети'!AF$3)-9,12),FALSE),'19_Расчет_аналитики'!AF2440*CapacityAge09*'19_Расчет_аналитики'!$F$2235,0)</f>
        <v/>
      </c>
      <c r="AG2552">
        <f>IF(IF('01_Вводные'!$B$296="Новый сезон",9-1&gt;MOD(MONTH('06_Сеть_и_дети'!AG$3)-9,12),FALSE),'19_Расчет_аналитики'!AG2440*CapacityAge09*'19_Расчет_аналитики'!$F$2235,0)</f>
        <v/>
      </c>
      <c r="AH2552">
        <f>IF(IF('01_Вводные'!$B$296="Новый сезон",9-1&gt;MOD(MONTH('06_Сеть_и_дети'!AH$3)-9,12),FALSE),'19_Расчет_аналитики'!AH2440*CapacityAge09*'19_Расчет_аналитики'!$F$2235,0)</f>
        <v/>
      </c>
      <c r="AI2552">
        <f>IF(IF('01_Вводные'!$B$296="Новый сезон",9-1&gt;MOD(MONTH('06_Сеть_и_дети'!AI$3)-9,12),FALSE),'19_Расчет_аналитики'!AI2440*CapacityAge09*'19_Расчет_аналитики'!$F$2235,0)</f>
        <v/>
      </c>
      <c r="AJ2552">
        <f>IF(IF('01_Вводные'!$B$296="Новый сезон",9-1&gt;MOD(MONTH('06_Сеть_и_дети'!AJ$3)-9,12),FALSE),'19_Расчет_аналитики'!AJ2440*CapacityAge09*'19_Расчет_аналитики'!$F$2235,0)</f>
        <v/>
      </c>
      <c r="AK2552">
        <f>IF(IF('01_Вводные'!$B$296="Новый сезон",9-1&gt;MOD(MONTH('06_Сеть_и_дети'!AK$3)-9,12),FALSE),'19_Расчет_аналитики'!AK2440*CapacityAge09*'19_Расчет_аналитики'!$F$2235,0)</f>
        <v/>
      </c>
      <c r="AL2552">
        <f>IF(IF('01_Вводные'!$B$296="Новый сезон",9-1&gt;MOD(MONTH('06_Сеть_и_дети'!AL$3)-9,12),FALSE),'19_Расчет_аналитики'!AL2440*CapacityAge09*'19_Расчет_аналитики'!$F$2235,0)</f>
        <v/>
      </c>
      <c r="AM2552">
        <f>IF(IF('01_Вводные'!$B$296="Новый сезон",9-1&gt;MOD(MONTH('06_Сеть_и_дети'!AM$3)-9,12),FALSE),'19_Расчет_аналитики'!AM2440*CapacityAge09*'19_Расчет_аналитики'!$F$2235,0)</f>
        <v/>
      </c>
      <c r="AN2552">
        <f>IF(IF('01_Вводные'!$B$296="Новый сезон",9-1&gt;MOD(MONTH('06_Сеть_и_дети'!AN$3)-9,12),FALSE),'19_Расчет_аналитики'!AN2440*CapacityAge09*'19_Расчет_аналитики'!$F$2235,0)</f>
        <v/>
      </c>
      <c r="AO2552">
        <f>IF(IF('01_Вводные'!$B$296="Новый сезон",9-1&gt;MOD(MONTH('06_Сеть_и_дети'!AO$3)-9,12),FALSE),'19_Расчет_аналитики'!AO2440*CapacityAge09*'19_Расчет_аналитики'!$F$2235,0)</f>
        <v/>
      </c>
      <c r="AP2552">
        <f>IF(IF('01_Вводные'!$B$296="Новый сезон",9-1&gt;MOD(MONTH('06_Сеть_и_дети'!AP$3)-9,12),FALSE),'19_Расчет_аналитики'!AP2440*CapacityAge09*'19_Расчет_аналитики'!$F$2235,0)</f>
        <v/>
      </c>
      <c r="AQ2552">
        <f>IF(IF('01_Вводные'!$B$296="Новый сезон",9-1&gt;MOD(MONTH('06_Сеть_и_дети'!AQ$3)-9,12),FALSE),'19_Расчет_аналитики'!AQ2440*CapacityAge09*'19_Расчет_аналитики'!$F$2235,0)</f>
        <v/>
      </c>
      <c r="AR2552">
        <f>IF(IF('01_Вводные'!$B$296="Новый сезон",9-1&gt;MOD(MONTH('06_Сеть_и_дети'!AR$3)-9,12),FALSE),'19_Расчет_аналитики'!AR2440*CapacityAge09*'19_Расчет_аналитики'!$F$2235,0)</f>
        <v/>
      </c>
      <c r="AS2552">
        <f>IF(IF('01_Вводные'!$B$296="Новый сезон",9-1&gt;MOD(MONTH('06_Сеть_и_дети'!AS$3)-9,12),FALSE),'19_Расчет_аналитики'!AS2440*CapacityAge09*'19_Расчет_аналитики'!$F$2235,0)</f>
        <v/>
      </c>
      <c r="AT2552">
        <f>IF(IF('01_Вводные'!$B$296="Новый сезон",9-1&gt;MOD(MONTH('06_Сеть_и_дети'!AT$3)-9,12),FALSE),'19_Расчет_аналитики'!AT2440*CapacityAge09*'19_Расчет_аналитики'!$F$2235,0)</f>
        <v/>
      </c>
      <c r="AU2552">
        <f>IF(IF('01_Вводные'!$B$296="Новый сезон",9-1&gt;MOD(MONTH('06_Сеть_и_дети'!AU$3)-9,12),FALSE),'19_Расчет_аналитики'!AU2440*CapacityAge09*'19_Расчет_аналитики'!$F$2235,0)</f>
        <v/>
      </c>
      <c r="AV2552">
        <f>IF(IF('01_Вводные'!$B$296="Новый сезон",9-1&gt;MOD(MONTH('06_Сеть_и_дети'!AV$3)-9,12),FALSE),'19_Расчет_аналитики'!AV2440*CapacityAge09*'19_Расчет_аналитики'!$F$2235,0)</f>
        <v/>
      </c>
      <c r="AW2552">
        <f>IF(IF('01_Вводные'!$B$296="Новый сезон",9-1&gt;MOD(MONTH('06_Сеть_и_дети'!AW$3)-9,12),FALSE),'19_Расчет_аналитики'!AW2440*CapacityAge09*'19_Расчет_аналитики'!$F$2235,0)</f>
        <v/>
      </c>
      <c r="AX2552">
        <f>IF(IF('01_Вводные'!$B$296="Новый сезон",9-1&gt;MOD(MONTH('06_Сеть_и_дети'!AX$3)-9,12),FALSE),'19_Расчет_аналитики'!AX2440*CapacityAge09*'19_Расчет_аналитики'!$F$2235,0)</f>
        <v/>
      </c>
      <c r="AY2552">
        <f>IF(IF('01_Вводные'!$B$296="Новый сезон",9-1&gt;MOD(MONTH('06_Сеть_и_дети'!AY$3)-9,12),FALSE),'19_Расчет_аналитики'!AY2440*CapacityAge09*'19_Расчет_аналитики'!$F$2235,0)</f>
        <v/>
      </c>
      <c r="AZ2552">
        <f>IF(IF('01_Вводные'!$B$296="Новый сезон",9-1&gt;MOD(MONTH('06_Сеть_и_дети'!AZ$3)-9,12),FALSE),'19_Расчет_аналитики'!AZ2440*CapacityAge09*'19_Расчет_аналитики'!$F$2235,0)</f>
        <v/>
      </c>
      <c r="BA2552">
        <f>IF(IF('01_Вводные'!$B$296="Новый сезон",9-1&gt;MOD(MONTH('06_Сеть_и_дети'!BA$3)-9,12),FALSE),'19_Расчет_аналитики'!BA2440*CapacityAge09*'19_Расчет_аналитики'!$F$2235,0)</f>
        <v/>
      </c>
      <c r="BB2552">
        <f>IF(IF('01_Вводные'!$B$296="Новый сезон",9-1&gt;MOD(MONTH('06_Сеть_и_дети'!BB$3)-9,12),FALSE),'19_Расчет_аналитики'!BB2440*CapacityAge09*'19_Расчет_аналитики'!$F$2235,0)</f>
        <v/>
      </c>
      <c r="BC2552">
        <f>IF(IF('01_Вводные'!$B$296="Новый сезон",9-1&gt;MOD(MONTH('06_Сеть_и_дети'!BC$3)-9,12),FALSE),'19_Расчет_аналитики'!BC2440*CapacityAge09*'19_Расчет_аналитики'!$F$2235,0)</f>
        <v/>
      </c>
      <c r="BD2552">
        <f>IF(IF('01_Вводные'!$B$296="Новый сезон",9-1&gt;MOD(MONTH('06_Сеть_и_дети'!BD$3)-9,12),FALSE),'19_Расчет_аналитики'!BD2440*CapacityAge09*'19_Расчет_аналитики'!$F$2235,0)</f>
        <v/>
      </c>
      <c r="BE2552">
        <f>IF(IF('01_Вводные'!$B$296="Новый сезон",9-1&gt;MOD(MONTH('06_Сеть_и_дети'!BE$3)-9,12),FALSE),'19_Расчет_аналитики'!BE2440*CapacityAge09*'19_Расчет_аналитики'!$F$2235,0)</f>
        <v/>
      </c>
      <c r="BF2552">
        <f>IF(IF('01_Вводные'!$B$296="Новый сезон",9-1&gt;MOD(MONTH('06_Сеть_и_дети'!BF$3)-9,12),FALSE),'19_Расчет_аналитики'!BF2440*CapacityAge09*'19_Расчет_аналитики'!$F$2235,0)</f>
        <v/>
      </c>
      <c r="BG2552">
        <f>IF(IF('01_Вводные'!$B$296="Новый сезон",9-1&gt;MOD(MONTH('06_Сеть_и_дети'!BG$3)-9,12),FALSE),'19_Расчет_аналитики'!BG2440*CapacityAge09*'19_Расчет_аналитики'!$F$2235,0)</f>
        <v/>
      </c>
      <c r="BH2552">
        <f>IF(IF('01_Вводные'!$B$296="Новый сезон",9-1&gt;MOD(MONTH('06_Сеть_и_дети'!BH$3)-9,12),FALSE),'19_Расчет_аналитики'!BH2440*CapacityAge09*'19_Расчет_аналитики'!$F$2235,0)</f>
        <v/>
      </c>
      <c r="BI2552">
        <f>IF(IF('01_Вводные'!$B$296="Новый сезон",9-1&gt;MOD(MONTH('06_Сеть_и_дети'!BI$3)-9,12),FALSE),'19_Расчет_аналитики'!BI2440*CapacityAge09*'19_Расчет_аналитики'!$F$2235,0)</f>
        <v/>
      </c>
      <c r="BJ2552">
        <f>IF(IF('01_Вводные'!$B$296="Новый сезон",9-1&gt;MOD(MONTH('06_Сеть_и_дети'!BJ$3)-9,12),FALSE),'19_Расчет_аналитики'!BJ2440*CapacityAge09*'19_Расчет_аналитики'!$F$2235,0)</f>
        <v/>
      </c>
      <c r="BK2552">
        <f>IF(IF('01_Вводные'!$B$296="Новый сезон",9-1&gt;MOD(MONTH('06_Сеть_и_дети'!BK$3)-9,12),FALSE),'19_Расчет_аналитики'!BK2440*CapacityAge09*'19_Расчет_аналитики'!$F$2235,0)</f>
        <v/>
      </c>
      <c r="BL2552">
        <f>IF(IF('01_Вводные'!$B$296="Новый сезон",9-1&gt;MOD(MONTH('06_Сеть_и_дети'!BL$3)-9,12),FALSE),'19_Расчет_аналитики'!BL2440*CapacityAge09*'19_Расчет_аналитики'!$F$2235,0)</f>
        <v/>
      </c>
      <c r="BM2552">
        <f>IF(IF('01_Вводные'!$B$296="Новый сезон",9-1&gt;MOD(MONTH('06_Сеть_и_дети'!BM$3)-9,12),FALSE),'19_Расчет_аналитики'!BM2440*CapacityAge09*'19_Расчет_аналитики'!$F$2235,0)</f>
        <v/>
      </c>
      <c r="BN2552">
        <f>IF(IF('01_Вводные'!$B$296="Новый сезон",9-1&gt;MOD(MONTH('06_Сеть_и_дети'!BN$3)-9,12),FALSE),'19_Расчет_аналитики'!BN2440*CapacityAge09*'19_Расчет_аналитики'!$F$2235,0)</f>
        <v/>
      </c>
      <c r="BO2552">
        <f>IF(IF('01_Вводные'!$B$296="Новый сезон",9-1&gt;MOD(MONTH('06_Сеть_и_дети'!BO$3)-9,12),FALSE),'19_Расчет_аналитики'!BO2440*CapacityAge09*'19_Расчет_аналитики'!$F$2235,0)</f>
        <v/>
      </c>
    </row>
    <row r="2553">
      <c r="B2553">
        <f>IF(IF('01_Вводные'!$B$296="Новый сезон",10-1&gt;MOD(MONTH('06_Сеть_и_дети'!B$3)-9,12),FALSE),'06_Сеть_и_дети'!B62*CapacityAge10*'19_Расчет_аналитики'!$F$2235,0)</f>
        <v/>
      </c>
      <c r="C2553">
        <f>IF(IF('01_Вводные'!$B$296="Новый сезон",10-1&gt;MOD(MONTH('06_Сеть_и_дети'!C$3)-9,12),FALSE),'06_Сеть_и_дети'!C62*CapacityAge10*'19_Расчет_аналитики'!$F$2235,0)</f>
        <v/>
      </c>
      <c r="D2553">
        <f>IF(IF('01_Вводные'!$B$296="Новый сезон",10-1&gt;MOD(MONTH('06_Сеть_и_дети'!D$3)-9,12),FALSE),'06_Сеть_и_дети'!D62*CapacityAge10*'19_Расчет_аналитики'!$F$2235,0)</f>
        <v/>
      </c>
      <c r="E2553">
        <f>IF(IF('01_Вводные'!$B$296="Новый сезон",10-1&gt;MOD(MONTH('06_Сеть_и_дети'!E$3)-9,12),FALSE),'06_Сеть_и_дети'!E62*CapacityAge10*'19_Расчет_аналитики'!$F$2235,0)</f>
        <v/>
      </c>
      <c r="F2553">
        <f>IF(IF('01_Вводные'!$B$296="Новый сезон",10-1&gt;MOD(MONTH('06_Сеть_и_дети'!F$3)-9,12),FALSE),'06_Сеть_и_дети'!F62*CapacityAge10*'19_Расчет_аналитики'!$F$2235,0)</f>
        <v/>
      </c>
      <c r="G2553">
        <f>IF(IF('01_Вводные'!$B$296="Новый сезон",10-1&gt;MOD(MONTH('06_Сеть_и_дети'!G$3)-9,12),FALSE),'06_Сеть_и_дети'!G62*CapacityAge10*'19_Расчет_аналитики'!$F$2235,0)</f>
        <v/>
      </c>
      <c r="H2553">
        <f>IF(IF('01_Вводные'!$B$296="Новый сезон",10-1&gt;MOD(MONTH('06_Сеть_и_дети'!H$3)-9,12),FALSE),'06_Сеть_и_дети'!H62*CapacityAge10*'19_Расчет_аналитики'!$F$2235,0)</f>
        <v/>
      </c>
      <c r="I2553">
        <f>IF(IF('01_Вводные'!$B$296="Новый сезон",10-1&gt;MOD(MONTH('06_Сеть_и_дети'!I$3)-9,12),FALSE),'06_Сеть_и_дети'!I62*CapacityAge10*'19_Расчет_аналитики'!$F$2235,0)</f>
        <v/>
      </c>
      <c r="J2553">
        <f>IF(IF('01_Вводные'!$B$296="Новый сезон",10-1&gt;MOD(MONTH('06_Сеть_и_дети'!J$3)-9,12),FALSE),'06_Сеть_и_дети'!J62*CapacityAge10*'19_Расчет_аналитики'!$F$2235,0)</f>
        <v/>
      </c>
      <c r="K2553">
        <f>IF(IF('01_Вводные'!$B$296="Новый сезон",10-1&gt;MOD(MONTH('06_Сеть_и_дети'!K$3)-9,12),FALSE),'19_Расчет_аналитики'!K2441*CapacityAge10*'19_Расчет_аналитики'!$F$2235,0)</f>
        <v/>
      </c>
      <c r="L2553">
        <f>IF(IF('01_Вводные'!$B$296="Новый сезон",10-1&gt;MOD(MONTH('06_Сеть_и_дети'!L$3)-9,12),FALSE),'19_Расчет_аналитики'!L2441*CapacityAge10*'19_Расчет_аналитики'!$F$2235,0)</f>
        <v/>
      </c>
      <c r="M2553">
        <f>IF(IF('01_Вводные'!$B$296="Новый сезон",10-1&gt;MOD(MONTH('06_Сеть_и_дети'!M$3)-9,12),FALSE),'19_Расчет_аналитики'!M2441*CapacityAge10*'19_Расчет_аналитики'!$F$2235,0)</f>
        <v/>
      </c>
      <c r="N2553">
        <f>IF(IF('01_Вводные'!$B$296="Новый сезон",10-1&gt;MOD(MONTH('06_Сеть_и_дети'!N$3)-9,12),FALSE),'19_Расчет_аналитики'!N2441*CapacityAge10*'19_Расчет_аналитики'!$F$2235,0)</f>
        <v/>
      </c>
      <c r="O2553">
        <f>IF(IF('01_Вводные'!$B$296="Новый сезон",10-1&gt;MOD(MONTH('06_Сеть_и_дети'!O$3)-9,12),FALSE),'19_Расчет_аналитики'!O2441*CapacityAge10*'19_Расчет_аналитики'!$F$2235,0)</f>
        <v/>
      </c>
      <c r="P2553">
        <f>IF(IF('01_Вводные'!$B$296="Новый сезон",10-1&gt;MOD(MONTH('06_Сеть_и_дети'!P$3)-9,12),FALSE),'19_Расчет_аналитики'!P2441*CapacityAge10*'19_Расчет_аналитики'!$F$2235,0)</f>
        <v/>
      </c>
      <c r="Q2553">
        <f>IF(IF('01_Вводные'!$B$296="Новый сезон",10-1&gt;MOD(MONTH('06_Сеть_и_дети'!Q$3)-9,12),FALSE),'19_Расчет_аналитики'!Q2441*CapacityAge10*'19_Расчет_аналитики'!$F$2235,0)</f>
        <v/>
      </c>
      <c r="R2553">
        <f>IF(IF('01_Вводные'!$B$296="Новый сезон",10-1&gt;MOD(MONTH('06_Сеть_и_дети'!R$3)-9,12),FALSE),'19_Расчет_аналитики'!R2441*CapacityAge10*'19_Расчет_аналитики'!$F$2235,0)</f>
        <v/>
      </c>
      <c r="S2553">
        <f>IF(IF('01_Вводные'!$B$296="Новый сезон",10-1&gt;MOD(MONTH('06_Сеть_и_дети'!S$3)-9,12),FALSE),'19_Расчет_аналитики'!S2441*CapacityAge10*'19_Расчет_аналитики'!$F$2235,0)</f>
        <v/>
      </c>
      <c r="T2553">
        <f>IF(IF('01_Вводные'!$B$296="Новый сезон",10-1&gt;MOD(MONTH('06_Сеть_и_дети'!T$3)-9,12),FALSE),'19_Расчет_аналитики'!T2441*CapacityAge10*'19_Расчет_аналитики'!$F$2235,0)</f>
        <v/>
      </c>
      <c r="U2553">
        <f>IF(IF('01_Вводные'!$B$296="Новый сезон",10-1&gt;MOD(MONTH('06_Сеть_и_дети'!U$3)-9,12),FALSE),'19_Расчет_аналитики'!U2441*CapacityAge10*'19_Расчет_аналитики'!$F$2235,0)</f>
        <v/>
      </c>
      <c r="V2553">
        <f>IF(IF('01_Вводные'!$B$296="Новый сезон",10-1&gt;MOD(MONTH('06_Сеть_и_дети'!V$3)-9,12),FALSE),'19_Расчет_аналитики'!V2441*CapacityAge10*'19_Расчет_аналитики'!$F$2235,0)</f>
        <v/>
      </c>
      <c r="W2553">
        <f>IF(IF('01_Вводные'!$B$296="Новый сезон",10-1&gt;MOD(MONTH('06_Сеть_и_дети'!W$3)-9,12),FALSE),'19_Расчет_аналитики'!W2441*CapacityAge10*'19_Расчет_аналитики'!$F$2235,0)</f>
        <v/>
      </c>
      <c r="X2553">
        <f>IF(IF('01_Вводные'!$B$296="Новый сезон",10-1&gt;MOD(MONTH('06_Сеть_и_дети'!X$3)-9,12),FALSE),'19_Расчет_аналитики'!X2441*CapacityAge10*'19_Расчет_аналитики'!$F$2235,0)</f>
        <v/>
      </c>
      <c r="Y2553">
        <f>IF(IF('01_Вводные'!$B$296="Новый сезон",10-1&gt;MOD(MONTH('06_Сеть_и_дети'!Y$3)-9,12),FALSE),'19_Расчет_аналитики'!Y2441*CapacityAge10*'19_Расчет_аналитики'!$F$2235,0)</f>
        <v/>
      </c>
      <c r="Z2553">
        <f>IF(IF('01_Вводные'!$B$296="Новый сезон",10-1&gt;MOD(MONTH('06_Сеть_и_дети'!Z$3)-9,12),FALSE),'19_Расчет_аналитики'!Z2441*CapacityAge10*'19_Расчет_аналитики'!$F$2235,0)</f>
        <v/>
      </c>
      <c r="AA2553">
        <f>IF(IF('01_Вводные'!$B$296="Новый сезон",10-1&gt;MOD(MONTH('06_Сеть_и_дети'!AA$3)-9,12),FALSE),'19_Расчет_аналитики'!AA2441*CapacityAge10*'19_Расчет_аналитики'!$F$2235,0)</f>
        <v/>
      </c>
      <c r="AB2553">
        <f>IF(IF('01_Вводные'!$B$296="Новый сезон",10-1&gt;MOD(MONTH('06_Сеть_и_дети'!AB$3)-9,12),FALSE),'19_Расчет_аналитики'!AB2441*CapacityAge10*'19_Расчет_аналитики'!$F$2235,0)</f>
        <v/>
      </c>
      <c r="AC2553">
        <f>IF(IF('01_Вводные'!$B$296="Новый сезон",10-1&gt;MOD(MONTH('06_Сеть_и_дети'!AC$3)-9,12),FALSE),'19_Расчет_аналитики'!AC2441*CapacityAge10*'19_Расчет_аналитики'!$F$2235,0)</f>
        <v/>
      </c>
      <c r="AD2553">
        <f>IF(IF('01_Вводные'!$B$296="Новый сезон",10-1&gt;MOD(MONTH('06_Сеть_и_дети'!AD$3)-9,12),FALSE),'19_Расчет_аналитики'!AD2441*CapacityAge10*'19_Расчет_аналитики'!$F$2235,0)</f>
        <v/>
      </c>
      <c r="AE2553">
        <f>IF(IF('01_Вводные'!$B$296="Новый сезон",10-1&gt;MOD(MONTH('06_Сеть_и_дети'!AE$3)-9,12),FALSE),'19_Расчет_аналитики'!AE2441*CapacityAge10*'19_Расчет_аналитики'!$F$2235,0)</f>
        <v/>
      </c>
      <c r="AF2553">
        <f>IF(IF('01_Вводные'!$B$296="Новый сезон",10-1&gt;MOD(MONTH('06_Сеть_и_дети'!AF$3)-9,12),FALSE),'19_Расчет_аналитики'!AF2441*CapacityAge10*'19_Расчет_аналитики'!$F$2235,0)</f>
        <v/>
      </c>
      <c r="AG2553">
        <f>IF(IF('01_Вводные'!$B$296="Новый сезон",10-1&gt;MOD(MONTH('06_Сеть_и_дети'!AG$3)-9,12),FALSE),'19_Расчет_аналитики'!AG2441*CapacityAge10*'19_Расчет_аналитики'!$F$2235,0)</f>
        <v/>
      </c>
      <c r="AH2553">
        <f>IF(IF('01_Вводные'!$B$296="Новый сезон",10-1&gt;MOD(MONTH('06_Сеть_и_дети'!AH$3)-9,12),FALSE),'19_Расчет_аналитики'!AH2441*CapacityAge10*'19_Расчет_аналитики'!$F$2235,0)</f>
        <v/>
      </c>
      <c r="AI2553">
        <f>IF(IF('01_Вводные'!$B$296="Новый сезон",10-1&gt;MOD(MONTH('06_Сеть_и_дети'!AI$3)-9,12),FALSE),'19_Расчет_аналитики'!AI2441*CapacityAge10*'19_Расчет_аналитики'!$F$2235,0)</f>
        <v/>
      </c>
      <c r="AJ2553">
        <f>IF(IF('01_Вводные'!$B$296="Новый сезон",10-1&gt;MOD(MONTH('06_Сеть_и_дети'!AJ$3)-9,12),FALSE),'19_Расчет_аналитики'!AJ2441*CapacityAge10*'19_Расчет_аналитики'!$F$2235,0)</f>
        <v/>
      </c>
      <c r="AK2553">
        <f>IF(IF('01_Вводные'!$B$296="Новый сезон",10-1&gt;MOD(MONTH('06_Сеть_и_дети'!AK$3)-9,12),FALSE),'19_Расчет_аналитики'!AK2441*CapacityAge10*'19_Расчет_аналитики'!$F$2235,0)</f>
        <v/>
      </c>
      <c r="AL2553">
        <f>IF(IF('01_Вводные'!$B$296="Новый сезон",10-1&gt;MOD(MONTH('06_Сеть_и_дети'!AL$3)-9,12),FALSE),'19_Расчет_аналитики'!AL2441*CapacityAge10*'19_Расчет_аналитики'!$F$2235,0)</f>
        <v/>
      </c>
      <c r="AM2553">
        <f>IF(IF('01_Вводные'!$B$296="Новый сезон",10-1&gt;MOD(MONTH('06_Сеть_и_дети'!AM$3)-9,12),FALSE),'19_Расчет_аналитики'!AM2441*CapacityAge10*'19_Расчет_аналитики'!$F$2235,0)</f>
        <v/>
      </c>
      <c r="AN2553">
        <f>IF(IF('01_Вводные'!$B$296="Новый сезон",10-1&gt;MOD(MONTH('06_Сеть_и_дети'!AN$3)-9,12),FALSE),'19_Расчет_аналитики'!AN2441*CapacityAge10*'19_Расчет_аналитики'!$F$2235,0)</f>
        <v/>
      </c>
      <c r="AO2553">
        <f>IF(IF('01_Вводные'!$B$296="Новый сезон",10-1&gt;MOD(MONTH('06_Сеть_и_дети'!AO$3)-9,12),FALSE),'19_Расчет_аналитики'!AO2441*CapacityAge10*'19_Расчет_аналитики'!$F$2235,0)</f>
        <v/>
      </c>
      <c r="AP2553">
        <f>IF(IF('01_Вводные'!$B$296="Новый сезон",10-1&gt;MOD(MONTH('06_Сеть_и_дети'!AP$3)-9,12),FALSE),'19_Расчет_аналитики'!AP2441*CapacityAge10*'19_Расчет_аналитики'!$F$2235,0)</f>
        <v/>
      </c>
      <c r="AQ2553">
        <f>IF(IF('01_Вводные'!$B$296="Новый сезон",10-1&gt;MOD(MONTH('06_Сеть_и_дети'!AQ$3)-9,12),FALSE),'19_Расчет_аналитики'!AQ2441*CapacityAge10*'19_Расчет_аналитики'!$F$2235,0)</f>
        <v/>
      </c>
      <c r="AR2553">
        <f>IF(IF('01_Вводные'!$B$296="Новый сезон",10-1&gt;MOD(MONTH('06_Сеть_и_дети'!AR$3)-9,12),FALSE),'19_Расчет_аналитики'!AR2441*CapacityAge10*'19_Расчет_аналитики'!$F$2235,0)</f>
        <v/>
      </c>
      <c r="AS2553">
        <f>IF(IF('01_Вводные'!$B$296="Новый сезон",10-1&gt;MOD(MONTH('06_Сеть_и_дети'!AS$3)-9,12),FALSE),'19_Расчет_аналитики'!AS2441*CapacityAge10*'19_Расчет_аналитики'!$F$2235,0)</f>
        <v/>
      </c>
      <c r="AT2553">
        <f>IF(IF('01_Вводные'!$B$296="Новый сезон",10-1&gt;MOD(MONTH('06_Сеть_и_дети'!AT$3)-9,12),FALSE),'19_Расчет_аналитики'!AT2441*CapacityAge10*'19_Расчет_аналитики'!$F$2235,0)</f>
        <v/>
      </c>
      <c r="AU2553">
        <f>IF(IF('01_Вводные'!$B$296="Новый сезон",10-1&gt;MOD(MONTH('06_Сеть_и_дети'!AU$3)-9,12),FALSE),'19_Расчет_аналитики'!AU2441*CapacityAge10*'19_Расчет_аналитики'!$F$2235,0)</f>
        <v/>
      </c>
      <c r="AV2553">
        <f>IF(IF('01_Вводные'!$B$296="Новый сезон",10-1&gt;MOD(MONTH('06_Сеть_и_дети'!AV$3)-9,12),FALSE),'19_Расчет_аналитики'!AV2441*CapacityAge10*'19_Расчет_аналитики'!$F$2235,0)</f>
        <v/>
      </c>
      <c r="AW2553">
        <f>IF(IF('01_Вводные'!$B$296="Новый сезон",10-1&gt;MOD(MONTH('06_Сеть_и_дети'!AW$3)-9,12),FALSE),'19_Расчет_аналитики'!AW2441*CapacityAge10*'19_Расчет_аналитики'!$F$2235,0)</f>
        <v/>
      </c>
      <c r="AX2553">
        <f>IF(IF('01_Вводные'!$B$296="Новый сезон",10-1&gt;MOD(MONTH('06_Сеть_и_дети'!AX$3)-9,12),FALSE),'19_Расчет_аналитики'!AX2441*CapacityAge10*'19_Расчет_аналитики'!$F$2235,0)</f>
        <v/>
      </c>
      <c r="AY2553">
        <f>IF(IF('01_Вводные'!$B$296="Новый сезон",10-1&gt;MOD(MONTH('06_Сеть_и_дети'!AY$3)-9,12),FALSE),'19_Расчет_аналитики'!AY2441*CapacityAge10*'19_Расчет_аналитики'!$F$2235,0)</f>
        <v/>
      </c>
      <c r="AZ2553">
        <f>IF(IF('01_Вводные'!$B$296="Новый сезон",10-1&gt;MOD(MONTH('06_Сеть_и_дети'!AZ$3)-9,12),FALSE),'19_Расчет_аналитики'!AZ2441*CapacityAge10*'19_Расчет_аналитики'!$F$2235,0)</f>
        <v/>
      </c>
      <c r="BA2553">
        <f>IF(IF('01_Вводные'!$B$296="Новый сезон",10-1&gt;MOD(MONTH('06_Сеть_и_дети'!BA$3)-9,12),FALSE),'19_Расчет_аналитики'!BA2441*CapacityAge10*'19_Расчет_аналитики'!$F$2235,0)</f>
        <v/>
      </c>
      <c r="BB2553">
        <f>IF(IF('01_Вводные'!$B$296="Новый сезон",10-1&gt;MOD(MONTH('06_Сеть_и_дети'!BB$3)-9,12),FALSE),'19_Расчет_аналитики'!BB2441*CapacityAge10*'19_Расчет_аналитики'!$F$2235,0)</f>
        <v/>
      </c>
      <c r="BC2553">
        <f>IF(IF('01_Вводные'!$B$296="Новый сезон",10-1&gt;MOD(MONTH('06_Сеть_и_дети'!BC$3)-9,12),FALSE),'19_Расчет_аналитики'!BC2441*CapacityAge10*'19_Расчет_аналитики'!$F$2235,0)</f>
        <v/>
      </c>
      <c r="BD2553">
        <f>IF(IF('01_Вводные'!$B$296="Новый сезон",10-1&gt;MOD(MONTH('06_Сеть_и_дети'!BD$3)-9,12),FALSE),'19_Расчет_аналитики'!BD2441*CapacityAge10*'19_Расчет_аналитики'!$F$2235,0)</f>
        <v/>
      </c>
      <c r="BE2553">
        <f>IF(IF('01_Вводные'!$B$296="Новый сезон",10-1&gt;MOD(MONTH('06_Сеть_и_дети'!BE$3)-9,12),FALSE),'19_Расчет_аналитики'!BE2441*CapacityAge10*'19_Расчет_аналитики'!$F$2235,0)</f>
        <v/>
      </c>
      <c r="BF2553">
        <f>IF(IF('01_Вводные'!$B$296="Новый сезон",10-1&gt;MOD(MONTH('06_Сеть_и_дети'!BF$3)-9,12),FALSE),'19_Расчет_аналитики'!BF2441*CapacityAge10*'19_Расчет_аналитики'!$F$2235,0)</f>
        <v/>
      </c>
      <c r="BG2553">
        <f>IF(IF('01_Вводные'!$B$296="Новый сезон",10-1&gt;MOD(MONTH('06_Сеть_и_дети'!BG$3)-9,12),FALSE),'19_Расчет_аналитики'!BG2441*CapacityAge10*'19_Расчет_аналитики'!$F$2235,0)</f>
        <v/>
      </c>
      <c r="BH2553">
        <f>IF(IF('01_Вводные'!$B$296="Новый сезон",10-1&gt;MOD(MONTH('06_Сеть_и_дети'!BH$3)-9,12),FALSE),'19_Расчет_аналитики'!BH2441*CapacityAge10*'19_Расчет_аналитики'!$F$2235,0)</f>
        <v/>
      </c>
      <c r="BI2553">
        <f>IF(IF('01_Вводные'!$B$296="Новый сезон",10-1&gt;MOD(MONTH('06_Сеть_и_дети'!BI$3)-9,12),FALSE),'19_Расчет_аналитики'!BI2441*CapacityAge10*'19_Расчет_аналитики'!$F$2235,0)</f>
        <v/>
      </c>
      <c r="BJ2553">
        <f>IF(IF('01_Вводные'!$B$296="Новый сезон",10-1&gt;MOD(MONTH('06_Сеть_и_дети'!BJ$3)-9,12),FALSE),'19_Расчет_аналитики'!BJ2441*CapacityAge10*'19_Расчет_аналитики'!$F$2235,0)</f>
        <v/>
      </c>
      <c r="BK2553">
        <f>IF(IF('01_Вводные'!$B$296="Новый сезон",10-1&gt;MOD(MONTH('06_Сеть_и_дети'!BK$3)-9,12),FALSE),'19_Расчет_аналитики'!BK2441*CapacityAge10*'19_Расчет_аналитики'!$F$2235,0)</f>
        <v/>
      </c>
      <c r="BL2553">
        <f>IF(IF('01_Вводные'!$B$296="Новый сезон",10-1&gt;MOD(MONTH('06_Сеть_и_дети'!BL$3)-9,12),FALSE),'19_Расчет_аналитики'!BL2441*CapacityAge10*'19_Расчет_аналитики'!$F$2235,0)</f>
        <v/>
      </c>
      <c r="BM2553">
        <f>IF(IF('01_Вводные'!$B$296="Новый сезон",10-1&gt;MOD(MONTH('06_Сеть_и_дети'!BM$3)-9,12),FALSE),'19_Расчет_аналитики'!BM2441*CapacityAge10*'19_Расчет_аналитики'!$F$2235,0)</f>
        <v/>
      </c>
      <c r="BN2553">
        <f>IF(IF('01_Вводные'!$B$296="Новый сезон",10-1&gt;MOD(MONTH('06_Сеть_и_дети'!BN$3)-9,12),FALSE),'19_Расчет_аналитики'!BN2441*CapacityAge10*'19_Расчет_аналитики'!$F$2235,0)</f>
        <v/>
      </c>
      <c r="BO2553">
        <f>IF(IF('01_Вводные'!$B$296="Новый сезон",10-1&gt;MOD(MONTH('06_Сеть_и_дети'!BO$3)-9,12),FALSE),'19_Расчет_аналитики'!BO2441*CapacityAge10*'19_Расчет_аналитики'!$F$2235,0)</f>
        <v/>
      </c>
    </row>
    <row r="2554">
      <c r="B2554">
        <f>IF(IF('01_Вводные'!$B$296="Новый сезон",11-1&gt;MOD(MONTH('06_Сеть_и_дети'!B$3)-9,12),FALSE),'06_Сеть_и_дети'!B63*CapacityAge11*'19_Расчет_аналитики'!$F$2235,0)</f>
        <v/>
      </c>
      <c r="C2554">
        <f>IF(IF('01_Вводные'!$B$296="Новый сезон",11-1&gt;MOD(MONTH('06_Сеть_и_дети'!C$3)-9,12),FALSE),'06_Сеть_и_дети'!C63*CapacityAge11*'19_Расчет_аналитики'!$F$2235,0)</f>
        <v/>
      </c>
      <c r="D2554">
        <f>IF(IF('01_Вводные'!$B$296="Новый сезон",11-1&gt;MOD(MONTH('06_Сеть_и_дети'!D$3)-9,12),FALSE),'06_Сеть_и_дети'!D63*CapacityAge11*'19_Расчет_аналитики'!$F$2235,0)</f>
        <v/>
      </c>
      <c r="E2554">
        <f>IF(IF('01_Вводные'!$B$296="Новый сезон",11-1&gt;MOD(MONTH('06_Сеть_и_дети'!E$3)-9,12),FALSE),'06_Сеть_и_дети'!E63*CapacityAge11*'19_Расчет_аналитики'!$F$2235,0)</f>
        <v/>
      </c>
      <c r="F2554">
        <f>IF(IF('01_Вводные'!$B$296="Новый сезон",11-1&gt;MOD(MONTH('06_Сеть_и_дети'!F$3)-9,12),FALSE),'06_Сеть_и_дети'!F63*CapacityAge11*'19_Расчет_аналитики'!$F$2235,0)</f>
        <v/>
      </c>
      <c r="G2554">
        <f>IF(IF('01_Вводные'!$B$296="Новый сезон",11-1&gt;MOD(MONTH('06_Сеть_и_дети'!G$3)-9,12),FALSE),'06_Сеть_и_дети'!G63*CapacityAge11*'19_Расчет_аналитики'!$F$2235,0)</f>
        <v/>
      </c>
      <c r="H2554">
        <f>IF(IF('01_Вводные'!$B$296="Новый сезон",11-1&gt;MOD(MONTH('06_Сеть_и_дети'!H$3)-9,12),FALSE),'06_Сеть_и_дети'!H63*CapacityAge11*'19_Расчет_аналитики'!$F$2235,0)</f>
        <v/>
      </c>
      <c r="I2554">
        <f>IF(IF('01_Вводные'!$B$296="Новый сезон",11-1&gt;MOD(MONTH('06_Сеть_и_дети'!I$3)-9,12),FALSE),'06_Сеть_и_дети'!I63*CapacityAge11*'19_Расчет_аналитики'!$F$2235,0)</f>
        <v/>
      </c>
      <c r="J2554">
        <f>IF(IF('01_Вводные'!$B$296="Новый сезон",11-1&gt;MOD(MONTH('06_Сеть_и_дети'!J$3)-9,12),FALSE),'06_Сеть_и_дети'!J63*CapacityAge11*'19_Расчет_аналитики'!$F$2235,0)</f>
        <v/>
      </c>
      <c r="K2554">
        <f>IF(IF('01_Вводные'!$B$296="Новый сезон",11-1&gt;MOD(MONTH('06_Сеть_и_дети'!K$3)-9,12),FALSE),'06_Сеть_и_дети'!K63*CapacityAge11*'19_Расчет_аналитики'!$F$2235,0)</f>
        <v/>
      </c>
      <c r="L2554">
        <f>IF(IF('01_Вводные'!$B$296="Новый сезон",11-1&gt;MOD(MONTH('06_Сеть_и_дети'!L$3)-9,12),FALSE),'19_Расчет_аналитики'!L2442*CapacityAge11*'19_Расчет_аналитики'!$F$2235,0)</f>
        <v/>
      </c>
      <c r="M2554">
        <f>IF(IF('01_Вводные'!$B$296="Новый сезон",11-1&gt;MOD(MONTH('06_Сеть_и_дети'!M$3)-9,12),FALSE),'19_Расчет_аналитики'!M2442*CapacityAge11*'19_Расчет_аналитики'!$F$2235,0)</f>
        <v/>
      </c>
      <c r="N2554">
        <f>IF(IF('01_Вводные'!$B$296="Новый сезон",11-1&gt;MOD(MONTH('06_Сеть_и_дети'!N$3)-9,12),FALSE),'19_Расчет_аналитики'!N2442*CapacityAge11*'19_Расчет_аналитики'!$F$2235,0)</f>
        <v/>
      </c>
      <c r="O2554">
        <f>IF(IF('01_Вводные'!$B$296="Новый сезон",11-1&gt;MOD(MONTH('06_Сеть_и_дети'!O$3)-9,12),FALSE),'19_Расчет_аналитики'!O2442*CapacityAge11*'19_Расчет_аналитики'!$F$2235,0)</f>
        <v/>
      </c>
      <c r="P2554">
        <f>IF(IF('01_Вводные'!$B$296="Новый сезон",11-1&gt;MOD(MONTH('06_Сеть_и_дети'!P$3)-9,12),FALSE),'19_Расчет_аналитики'!P2442*CapacityAge11*'19_Расчет_аналитики'!$F$2235,0)</f>
        <v/>
      </c>
      <c r="Q2554">
        <f>IF(IF('01_Вводные'!$B$296="Новый сезон",11-1&gt;MOD(MONTH('06_Сеть_и_дети'!Q$3)-9,12),FALSE),'19_Расчет_аналитики'!Q2442*CapacityAge11*'19_Расчет_аналитики'!$F$2235,0)</f>
        <v/>
      </c>
      <c r="R2554">
        <f>IF(IF('01_Вводные'!$B$296="Новый сезон",11-1&gt;MOD(MONTH('06_Сеть_и_дети'!R$3)-9,12),FALSE),'19_Расчет_аналитики'!R2442*CapacityAge11*'19_Расчет_аналитики'!$F$2235,0)</f>
        <v/>
      </c>
      <c r="S2554">
        <f>IF(IF('01_Вводные'!$B$296="Новый сезон",11-1&gt;MOD(MONTH('06_Сеть_и_дети'!S$3)-9,12),FALSE),'19_Расчет_аналитики'!S2442*CapacityAge11*'19_Расчет_аналитики'!$F$2235,0)</f>
        <v/>
      </c>
      <c r="T2554">
        <f>IF(IF('01_Вводные'!$B$296="Новый сезон",11-1&gt;MOD(MONTH('06_Сеть_и_дети'!T$3)-9,12),FALSE),'19_Расчет_аналитики'!T2442*CapacityAge11*'19_Расчет_аналитики'!$F$2235,0)</f>
        <v/>
      </c>
      <c r="U2554">
        <f>IF(IF('01_Вводные'!$B$296="Новый сезон",11-1&gt;MOD(MONTH('06_Сеть_и_дети'!U$3)-9,12),FALSE),'19_Расчет_аналитики'!U2442*CapacityAge11*'19_Расчет_аналитики'!$F$2235,0)</f>
        <v/>
      </c>
      <c r="V2554">
        <f>IF(IF('01_Вводные'!$B$296="Новый сезон",11-1&gt;MOD(MONTH('06_Сеть_и_дети'!V$3)-9,12),FALSE),'19_Расчет_аналитики'!V2442*CapacityAge11*'19_Расчет_аналитики'!$F$2235,0)</f>
        <v/>
      </c>
      <c r="W2554">
        <f>IF(IF('01_Вводные'!$B$296="Новый сезон",11-1&gt;MOD(MONTH('06_Сеть_и_дети'!W$3)-9,12),FALSE),'19_Расчет_аналитики'!W2442*CapacityAge11*'19_Расчет_аналитики'!$F$2235,0)</f>
        <v/>
      </c>
      <c r="X2554">
        <f>IF(IF('01_Вводные'!$B$296="Новый сезон",11-1&gt;MOD(MONTH('06_Сеть_и_дети'!X$3)-9,12),FALSE),'19_Расчет_аналитики'!X2442*CapacityAge11*'19_Расчет_аналитики'!$F$2235,0)</f>
        <v/>
      </c>
      <c r="Y2554">
        <f>IF(IF('01_Вводные'!$B$296="Новый сезон",11-1&gt;MOD(MONTH('06_Сеть_и_дети'!Y$3)-9,12),FALSE),'19_Расчет_аналитики'!Y2442*CapacityAge11*'19_Расчет_аналитики'!$F$2235,0)</f>
        <v/>
      </c>
      <c r="Z2554">
        <f>IF(IF('01_Вводные'!$B$296="Новый сезон",11-1&gt;MOD(MONTH('06_Сеть_и_дети'!Z$3)-9,12),FALSE),'19_Расчет_аналитики'!Z2442*CapacityAge11*'19_Расчет_аналитики'!$F$2235,0)</f>
        <v/>
      </c>
      <c r="AA2554">
        <f>IF(IF('01_Вводные'!$B$296="Новый сезон",11-1&gt;MOD(MONTH('06_Сеть_и_дети'!AA$3)-9,12),FALSE),'19_Расчет_аналитики'!AA2442*CapacityAge11*'19_Расчет_аналитики'!$F$2235,0)</f>
        <v/>
      </c>
      <c r="AB2554">
        <f>IF(IF('01_Вводные'!$B$296="Новый сезон",11-1&gt;MOD(MONTH('06_Сеть_и_дети'!AB$3)-9,12),FALSE),'19_Расчет_аналитики'!AB2442*CapacityAge11*'19_Расчет_аналитики'!$F$2235,0)</f>
        <v/>
      </c>
      <c r="AC2554">
        <f>IF(IF('01_Вводные'!$B$296="Новый сезон",11-1&gt;MOD(MONTH('06_Сеть_и_дети'!AC$3)-9,12),FALSE),'19_Расчет_аналитики'!AC2442*CapacityAge11*'19_Расчет_аналитики'!$F$2235,0)</f>
        <v/>
      </c>
      <c r="AD2554">
        <f>IF(IF('01_Вводные'!$B$296="Новый сезон",11-1&gt;MOD(MONTH('06_Сеть_и_дети'!AD$3)-9,12),FALSE),'19_Расчет_аналитики'!AD2442*CapacityAge11*'19_Расчет_аналитики'!$F$2235,0)</f>
        <v/>
      </c>
      <c r="AE2554">
        <f>IF(IF('01_Вводные'!$B$296="Новый сезон",11-1&gt;MOD(MONTH('06_Сеть_и_дети'!AE$3)-9,12),FALSE),'19_Расчет_аналитики'!AE2442*CapacityAge11*'19_Расчет_аналитики'!$F$2235,0)</f>
        <v/>
      </c>
      <c r="AF2554">
        <f>IF(IF('01_Вводные'!$B$296="Новый сезон",11-1&gt;MOD(MONTH('06_Сеть_и_дети'!AF$3)-9,12),FALSE),'19_Расчет_аналитики'!AF2442*CapacityAge11*'19_Расчет_аналитики'!$F$2235,0)</f>
        <v/>
      </c>
      <c r="AG2554">
        <f>IF(IF('01_Вводные'!$B$296="Новый сезон",11-1&gt;MOD(MONTH('06_Сеть_и_дети'!AG$3)-9,12),FALSE),'19_Расчет_аналитики'!AG2442*CapacityAge11*'19_Расчет_аналитики'!$F$2235,0)</f>
        <v/>
      </c>
      <c r="AH2554">
        <f>IF(IF('01_Вводные'!$B$296="Новый сезон",11-1&gt;MOD(MONTH('06_Сеть_и_дети'!AH$3)-9,12),FALSE),'19_Расчет_аналитики'!AH2442*CapacityAge11*'19_Расчет_аналитики'!$F$2235,0)</f>
        <v/>
      </c>
      <c r="AI2554">
        <f>IF(IF('01_Вводные'!$B$296="Новый сезон",11-1&gt;MOD(MONTH('06_Сеть_и_дети'!AI$3)-9,12),FALSE),'19_Расчет_аналитики'!AI2442*CapacityAge11*'19_Расчет_аналитики'!$F$2235,0)</f>
        <v/>
      </c>
      <c r="AJ2554">
        <f>IF(IF('01_Вводные'!$B$296="Новый сезон",11-1&gt;MOD(MONTH('06_Сеть_и_дети'!AJ$3)-9,12),FALSE),'19_Расчет_аналитики'!AJ2442*CapacityAge11*'19_Расчет_аналитики'!$F$2235,0)</f>
        <v/>
      </c>
      <c r="AK2554">
        <f>IF(IF('01_Вводные'!$B$296="Новый сезон",11-1&gt;MOD(MONTH('06_Сеть_и_дети'!AK$3)-9,12),FALSE),'19_Расчет_аналитики'!AK2442*CapacityAge11*'19_Расчет_аналитики'!$F$2235,0)</f>
        <v/>
      </c>
      <c r="AL2554">
        <f>IF(IF('01_Вводные'!$B$296="Новый сезон",11-1&gt;MOD(MONTH('06_Сеть_и_дети'!AL$3)-9,12),FALSE),'19_Расчет_аналитики'!AL2442*CapacityAge11*'19_Расчет_аналитики'!$F$2235,0)</f>
        <v/>
      </c>
      <c r="AM2554">
        <f>IF(IF('01_Вводные'!$B$296="Новый сезон",11-1&gt;MOD(MONTH('06_Сеть_и_дети'!AM$3)-9,12),FALSE),'19_Расчет_аналитики'!AM2442*CapacityAge11*'19_Расчет_аналитики'!$F$2235,0)</f>
        <v/>
      </c>
      <c r="AN2554">
        <f>IF(IF('01_Вводные'!$B$296="Новый сезон",11-1&gt;MOD(MONTH('06_Сеть_и_дети'!AN$3)-9,12),FALSE),'19_Расчет_аналитики'!AN2442*CapacityAge11*'19_Расчет_аналитики'!$F$2235,0)</f>
        <v/>
      </c>
      <c r="AO2554">
        <f>IF(IF('01_Вводные'!$B$296="Новый сезон",11-1&gt;MOD(MONTH('06_Сеть_и_дети'!AO$3)-9,12),FALSE),'19_Расчет_аналитики'!AO2442*CapacityAge11*'19_Расчет_аналитики'!$F$2235,0)</f>
        <v/>
      </c>
      <c r="AP2554">
        <f>IF(IF('01_Вводные'!$B$296="Новый сезон",11-1&gt;MOD(MONTH('06_Сеть_и_дети'!AP$3)-9,12),FALSE),'19_Расчет_аналитики'!AP2442*CapacityAge11*'19_Расчет_аналитики'!$F$2235,0)</f>
        <v/>
      </c>
      <c r="AQ2554">
        <f>IF(IF('01_Вводные'!$B$296="Новый сезон",11-1&gt;MOD(MONTH('06_Сеть_и_дети'!AQ$3)-9,12),FALSE),'19_Расчет_аналитики'!AQ2442*CapacityAge11*'19_Расчет_аналитики'!$F$2235,0)</f>
        <v/>
      </c>
      <c r="AR2554">
        <f>IF(IF('01_Вводные'!$B$296="Новый сезон",11-1&gt;MOD(MONTH('06_Сеть_и_дети'!AR$3)-9,12),FALSE),'19_Расчет_аналитики'!AR2442*CapacityAge11*'19_Расчет_аналитики'!$F$2235,0)</f>
        <v/>
      </c>
      <c r="AS2554">
        <f>IF(IF('01_Вводные'!$B$296="Новый сезон",11-1&gt;MOD(MONTH('06_Сеть_и_дети'!AS$3)-9,12),FALSE),'19_Расчет_аналитики'!AS2442*CapacityAge11*'19_Расчет_аналитики'!$F$2235,0)</f>
        <v/>
      </c>
      <c r="AT2554">
        <f>IF(IF('01_Вводные'!$B$296="Новый сезон",11-1&gt;MOD(MONTH('06_Сеть_и_дети'!AT$3)-9,12),FALSE),'19_Расчет_аналитики'!AT2442*CapacityAge11*'19_Расчет_аналитики'!$F$2235,0)</f>
        <v/>
      </c>
      <c r="AU2554">
        <f>IF(IF('01_Вводные'!$B$296="Новый сезон",11-1&gt;MOD(MONTH('06_Сеть_и_дети'!AU$3)-9,12),FALSE),'19_Расчет_аналитики'!AU2442*CapacityAge11*'19_Расчет_аналитики'!$F$2235,0)</f>
        <v/>
      </c>
      <c r="AV2554">
        <f>IF(IF('01_Вводные'!$B$296="Новый сезон",11-1&gt;MOD(MONTH('06_Сеть_и_дети'!AV$3)-9,12),FALSE),'19_Расчет_аналитики'!AV2442*CapacityAge11*'19_Расчет_аналитики'!$F$2235,0)</f>
        <v/>
      </c>
      <c r="AW2554">
        <f>IF(IF('01_Вводные'!$B$296="Новый сезон",11-1&gt;MOD(MONTH('06_Сеть_и_дети'!AW$3)-9,12),FALSE),'19_Расчет_аналитики'!AW2442*CapacityAge11*'19_Расчет_аналитики'!$F$2235,0)</f>
        <v/>
      </c>
      <c r="AX2554">
        <f>IF(IF('01_Вводные'!$B$296="Новый сезон",11-1&gt;MOD(MONTH('06_Сеть_и_дети'!AX$3)-9,12),FALSE),'19_Расчет_аналитики'!AX2442*CapacityAge11*'19_Расчет_аналитики'!$F$2235,0)</f>
        <v/>
      </c>
      <c r="AY2554">
        <f>IF(IF('01_Вводные'!$B$296="Новый сезон",11-1&gt;MOD(MONTH('06_Сеть_и_дети'!AY$3)-9,12),FALSE),'19_Расчет_аналитики'!AY2442*CapacityAge11*'19_Расчет_аналитики'!$F$2235,0)</f>
        <v/>
      </c>
      <c r="AZ2554">
        <f>IF(IF('01_Вводные'!$B$296="Новый сезон",11-1&gt;MOD(MONTH('06_Сеть_и_дети'!AZ$3)-9,12),FALSE),'19_Расчет_аналитики'!AZ2442*CapacityAge11*'19_Расчет_аналитики'!$F$2235,0)</f>
        <v/>
      </c>
      <c r="BA2554">
        <f>IF(IF('01_Вводные'!$B$296="Новый сезон",11-1&gt;MOD(MONTH('06_Сеть_и_дети'!BA$3)-9,12),FALSE),'19_Расчет_аналитики'!BA2442*CapacityAge11*'19_Расчет_аналитики'!$F$2235,0)</f>
        <v/>
      </c>
      <c r="BB2554">
        <f>IF(IF('01_Вводные'!$B$296="Новый сезон",11-1&gt;MOD(MONTH('06_Сеть_и_дети'!BB$3)-9,12),FALSE),'19_Расчет_аналитики'!BB2442*CapacityAge11*'19_Расчет_аналитики'!$F$2235,0)</f>
        <v/>
      </c>
      <c r="BC2554">
        <f>IF(IF('01_Вводные'!$B$296="Новый сезон",11-1&gt;MOD(MONTH('06_Сеть_и_дети'!BC$3)-9,12),FALSE),'19_Расчет_аналитики'!BC2442*CapacityAge11*'19_Расчет_аналитики'!$F$2235,0)</f>
        <v/>
      </c>
      <c r="BD2554">
        <f>IF(IF('01_Вводные'!$B$296="Новый сезон",11-1&gt;MOD(MONTH('06_Сеть_и_дети'!BD$3)-9,12),FALSE),'19_Расчет_аналитики'!BD2442*CapacityAge11*'19_Расчет_аналитики'!$F$2235,0)</f>
        <v/>
      </c>
      <c r="BE2554">
        <f>IF(IF('01_Вводные'!$B$296="Новый сезон",11-1&gt;MOD(MONTH('06_Сеть_и_дети'!BE$3)-9,12),FALSE),'19_Расчет_аналитики'!BE2442*CapacityAge11*'19_Расчет_аналитики'!$F$2235,0)</f>
        <v/>
      </c>
      <c r="BF2554">
        <f>IF(IF('01_Вводные'!$B$296="Новый сезон",11-1&gt;MOD(MONTH('06_Сеть_и_дети'!BF$3)-9,12),FALSE),'19_Расчет_аналитики'!BF2442*CapacityAge11*'19_Расчет_аналитики'!$F$2235,0)</f>
        <v/>
      </c>
      <c r="BG2554">
        <f>IF(IF('01_Вводные'!$B$296="Новый сезон",11-1&gt;MOD(MONTH('06_Сеть_и_дети'!BG$3)-9,12),FALSE),'19_Расчет_аналитики'!BG2442*CapacityAge11*'19_Расчет_аналитики'!$F$2235,0)</f>
        <v/>
      </c>
      <c r="BH2554">
        <f>IF(IF('01_Вводные'!$B$296="Новый сезон",11-1&gt;MOD(MONTH('06_Сеть_и_дети'!BH$3)-9,12),FALSE),'19_Расчет_аналитики'!BH2442*CapacityAge11*'19_Расчет_аналитики'!$F$2235,0)</f>
        <v/>
      </c>
      <c r="BI2554">
        <f>IF(IF('01_Вводные'!$B$296="Новый сезон",11-1&gt;MOD(MONTH('06_Сеть_и_дети'!BI$3)-9,12),FALSE),'19_Расчет_аналитики'!BI2442*CapacityAge11*'19_Расчет_аналитики'!$F$2235,0)</f>
        <v/>
      </c>
      <c r="BJ2554">
        <f>IF(IF('01_Вводные'!$B$296="Новый сезон",11-1&gt;MOD(MONTH('06_Сеть_и_дети'!BJ$3)-9,12),FALSE),'19_Расчет_аналитики'!BJ2442*CapacityAge11*'19_Расчет_аналитики'!$F$2235,0)</f>
        <v/>
      </c>
      <c r="BK2554">
        <f>IF(IF('01_Вводные'!$B$296="Новый сезон",11-1&gt;MOD(MONTH('06_Сеть_и_дети'!BK$3)-9,12),FALSE),'19_Расчет_аналитики'!BK2442*CapacityAge11*'19_Расчет_аналитики'!$F$2235,0)</f>
        <v/>
      </c>
      <c r="BL2554">
        <f>IF(IF('01_Вводные'!$B$296="Новый сезон",11-1&gt;MOD(MONTH('06_Сеть_и_дети'!BL$3)-9,12),FALSE),'19_Расчет_аналитики'!BL2442*CapacityAge11*'19_Расчет_аналитики'!$F$2235,0)</f>
        <v/>
      </c>
      <c r="BM2554">
        <f>IF(IF('01_Вводные'!$B$296="Новый сезон",11-1&gt;MOD(MONTH('06_Сеть_и_дети'!BM$3)-9,12),FALSE),'19_Расчет_аналитики'!BM2442*CapacityAge11*'19_Расчет_аналитики'!$F$2235,0)</f>
        <v/>
      </c>
      <c r="BN2554">
        <f>IF(IF('01_Вводные'!$B$296="Новый сезон",11-1&gt;MOD(MONTH('06_Сеть_и_дети'!BN$3)-9,12),FALSE),'19_Расчет_аналитики'!BN2442*CapacityAge11*'19_Расчет_аналитики'!$F$2235,0)</f>
        <v/>
      </c>
      <c r="BO2554">
        <f>IF(IF('01_Вводные'!$B$296="Новый сезон",11-1&gt;MOD(MONTH('06_Сеть_и_дети'!BO$3)-9,12),FALSE),'19_Расчет_аналитики'!BO2442*CapacityAge11*'19_Расчет_аналитики'!$F$2235,0)</f>
        <v/>
      </c>
    </row>
    <row r="2555">
      <c r="B2555">
        <f>IF(IF('01_Вводные'!$B$296="Новый сезон",12-1&gt;MOD(MONTH('06_Сеть_и_дети'!B$3)-9,12),FALSE),'06_Сеть_и_дети'!B64*CapacityAge12*'19_Расчет_аналитики'!$F$2235,0)</f>
        <v/>
      </c>
      <c r="C2555">
        <f>IF(IF('01_Вводные'!$B$296="Новый сезон",12-1&gt;MOD(MONTH('06_Сеть_и_дети'!C$3)-9,12),FALSE),'06_Сеть_и_дети'!C64*CapacityAge12*'19_Расчет_аналитики'!$F$2235,0)</f>
        <v/>
      </c>
      <c r="D2555">
        <f>IF(IF('01_Вводные'!$B$296="Новый сезон",12-1&gt;MOD(MONTH('06_Сеть_и_дети'!D$3)-9,12),FALSE),'06_Сеть_и_дети'!D64*CapacityAge12*'19_Расчет_аналитики'!$F$2235,0)</f>
        <v/>
      </c>
      <c r="E2555">
        <f>IF(IF('01_Вводные'!$B$296="Новый сезон",12-1&gt;MOD(MONTH('06_Сеть_и_дети'!E$3)-9,12),FALSE),'06_Сеть_и_дети'!E64*CapacityAge12*'19_Расчет_аналитики'!$F$2235,0)</f>
        <v/>
      </c>
      <c r="F2555">
        <f>IF(IF('01_Вводные'!$B$296="Новый сезон",12-1&gt;MOD(MONTH('06_Сеть_и_дети'!F$3)-9,12),FALSE),'06_Сеть_и_дети'!F64*CapacityAge12*'19_Расчет_аналитики'!$F$2235,0)</f>
        <v/>
      </c>
      <c r="G2555">
        <f>IF(IF('01_Вводные'!$B$296="Новый сезон",12-1&gt;MOD(MONTH('06_Сеть_и_дети'!G$3)-9,12),FALSE),'06_Сеть_и_дети'!G64*CapacityAge12*'19_Расчет_аналитики'!$F$2235,0)</f>
        <v/>
      </c>
      <c r="H2555">
        <f>IF(IF('01_Вводные'!$B$296="Новый сезон",12-1&gt;MOD(MONTH('06_Сеть_и_дети'!H$3)-9,12),FALSE),'06_Сеть_и_дети'!H64*CapacityAge12*'19_Расчет_аналитики'!$F$2235,0)</f>
        <v/>
      </c>
      <c r="I2555">
        <f>IF(IF('01_Вводные'!$B$296="Новый сезон",12-1&gt;MOD(MONTH('06_Сеть_и_дети'!I$3)-9,12),FALSE),'06_Сеть_и_дети'!I64*CapacityAge12*'19_Расчет_аналитики'!$F$2235,0)</f>
        <v/>
      </c>
      <c r="J2555">
        <f>IF(IF('01_Вводные'!$B$296="Новый сезон",12-1&gt;MOD(MONTH('06_Сеть_и_дети'!J$3)-9,12),FALSE),'06_Сеть_и_дети'!J64*CapacityAge12*'19_Расчет_аналитики'!$F$2235,0)</f>
        <v/>
      </c>
      <c r="K2555">
        <f>IF(IF('01_Вводные'!$B$296="Новый сезон",12-1&gt;MOD(MONTH('06_Сеть_и_дети'!K$3)-9,12),FALSE),'06_Сеть_и_дети'!K64*CapacityAge12*'19_Расчет_аналитики'!$F$2235,0)</f>
        <v/>
      </c>
      <c r="L2555">
        <f>IF(IF('01_Вводные'!$B$296="Новый сезон",12-1&gt;MOD(MONTH('06_Сеть_и_дети'!L$3)-9,12),FALSE),'06_Сеть_и_дети'!L64*CapacityAge12*'19_Расчет_аналитики'!$F$2235,0)</f>
        <v/>
      </c>
      <c r="M2555">
        <f>IF(IF('01_Вводные'!$B$296="Новый сезон",12-1&gt;MOD(MONTH('06_Сеть_и_дети'!M$3)-9,12),FALSE),'19_Расчет_аналитики'!M2443*CapacityAge12*'19_Расчет_аналитики'!$F$2235,0)</f>
        <v/>
      </c>
      <c r="N2555">
        <f>IF(IF('01_Вводные'!$B$296="Новый сезон",12-1&gt;MOD(MONTH('06_Сеть_и_дети'!N$3)-9,12),FALSE),'19_Расчет_аналитики'!N2443*CapacityAge12*'19_Расчет_аналитики'!$F$2235,0)</f>
        <v/>
      </c>
      <c r="O2555">
        <f>IF(IF('01_Вводные'!$B$296="Новый сезон",12-1&gt;MOD(MONTH('06_Сеть_и_дети'!O$3)-9,12),FALSE),'19_Расчет_аналитики'!O2443*CapacityAge12*'19_Расчет_аналитики'!$F$2235,0)</f>
        <v/>
      </c>
      <c r="P2555">
        <f>IF(IF('01_Вводные'!$B$296="Новый сезон",12-1&gt;MOD(MONTH('06_Сеть_и_дети'!P$3)-9,12),FALSE),'19_Расчет_аналитики'!P2443*CapacityAge12*'19_Расчет_аналитики'!$F$2235,0)</f>
        <v/>
      </c>
      <c r="Q2555">
        <f>IF(IF('01_Вводные'!$B$296="Новый сезон",12-1&gt;MOD(MONTH('06_Сеть_и_дети'!Q$3)-9,12),FALSE),'19_Расчет_аналитики'!Q2443*CapacityAge12*'19_Расчет_аналитики'!$F$2235,0)</f>
        <v/>
      </c>
      <c r="R2555">
        <f>IF(IF('01_Вводные'!$B$296="Новый сезон",12-1&gt;MOD(MONTH('06_Сеть_и_дети'!R$3)-9,12),FALSE),'19_Расчет_аналитики'!R2443*CapacityAge12*'19_Расчет_аналитики'!$F$2235,0)</f>
        <v/>
      </c>
      <c r="S2555">
        <f>IF(IF('01_Вводные'!$B$296="Новый сезон",12-1&gt;MOD(MONTH('06_Сеть_и_дети'!S$3)-9,12),FALSE),'19_Расчет_аналитики'!S2443*CapacityAge12*'19_Расчет_аналитики'!$F$2235,0)</f>
        <v/>
      </c>
      <c r="T2555">
        <f>IF(IF('01_Вводные'!$B$296="Новый сезон",12-1&gt;MOD(MONTH('06_Сеть_и_дети'!T$3)-9,12),FALSE),'19_Расчет_аналитики'!T2443*CapacityAge12*'19_Расчет_аналитики'!$F$2235,0)</f>
        <v/>
      </c>
      <c r="U2555">
        <f>IF(IF('01_Вводные'!$B$296="Новый сезон",12-1&gt;MOD(MONTH('06_Сеть_и_дети'!U$3)-9,12),FALSE),'19_Расчет_аналитики'!U2443*CapacityAge12*'19_Расчет_аналитики'!$F$2235,0)</f>
        <v/>
      </c>
      <c r="V2555">
        <f>IF(IF('01_Вводные'!$B$296="Новый сезон",12-1&gt;MOD(MONTH('06_Сеть_и_дети'!V$3)-9,12),FALSE),'19_Расчет_аналитики'!V2443*CapacityAge12*'19_Расчет_аналитики'!$F$2235,0)</f>
        <v/>
      </c>
      <c r="W2555">
        <f>IF(IF('01_Вводные'!$B$296="Новый сезон",12-1&gt;MOD(MONTH('06_Сеть_и_дети'!W$3)-9,12),FALSE),'19_Расчет_аналитики'!W2443*CapacityAge12*'19_Расчет_аналитики'!$F$2235,0)</f>
        <v/>
      </c>
      <c r="X2555">
        <f>IF(IF('01_Вводные'!$B$296="Новый сезон",12-1&gt;MOD(MONTH('06_Сеть_и_дети'!X$3)-9,12),FALSE),'19_Расчет_аналитики'!X2443*CapacityAge12*'19_Расчет_аналитики'!$F$2235,0)</f>
        <v/>
      </c>
      <c r="Y2555">
        <f>IF(IF('01_Вводные'!$B$296="Новый сезон",12-1&gt;MOD(MONTH('06_Сеть_и_дети'!Y$3)-9,12),FALSE),'19_Расчет_аналитики'!Y2443*CapacityAge12*'19_Расчет_аналитики'!$F$2235,0)</f>
        <v/>
      </c>
      <c r="Z2555">
        <f>IF(IF('01_Вводные'!$B$296="Новый сезон",12-1&gt;MOD(MONTH('06_Сеть_и_дети'!Z$3)-9,12),FALSE),'19_Расчет_аналитики'!Z2443*CapacityAge12*'19_Расчет_аналитики'!$F$2235,0)</f>
        <v/>
      </c>
      <c r="AA2555">
        <f>IF(IF('01_Вводные'!$B$296="Новый сезон",12-1&gt;MOD(MONTH('06_Сеть_и_дети'!AA$3)-9,12),FALSE),'19_Расчет_аналитики'!AA2443*CapacityAge12*'19_Расчет_аналитики'!$F$2235,0)</f>
        <v/>
      </c>
      <c r="AB2555">
        <f>IF(IF('01_Вводные'!$B$296="Новый сезон",12-1&gt;MOD(MONTH('06_Сеть_и_дети'!AB$3)-9,12),FALSE),'19_Расчет_аналитики'!AB2443*CapacityAge12*'19_Расчет_аналитики'!$F$2235,0)</f>
        <v/>
      </c>
      <c r="AC2555">
        <f>IF(IF('01_Вводные'!$B$296="Новый сезон",12-1&gt;MOD(MONTH('06_Сеть_и_дети'!AC$3)-9,12),FALSE),'19_Расчет_аналитики'!AC2443*CapacityAge12*'19_Расчет_аналитики'!$F$2235,0)</f>
        <v/>
      </c>
      <c r="AD2555">
        <f>IF(IF('01_Вводные'!$B$296="Новый сезон",12-1&gt;MOD(MONTH('06_Сеть_и_дети'!AD$3)-9,12),FALSE),'19_Расчет_аналитики'!AD2443*CapacityAge12*'19_Расчет_аналитики'!$F$2235,0)</f>
        <v/>
      </c>
      <c r="AE2555">
        <f>IF(IF('01_Вводные'!$B$296="Новый сезон",12-1&gt;MOD(MONTH('06_Сеть_и_дети'!AE$3)-9,12),FALSE),'19_Расчет_аналитики'!AE2443*CapacityAge12*'19_Расчет_аналитики'!$F$2235,0)</f>
        <v/>
      </c>
      <c r="AF2555">
        <f>IF(IF('01_Вводные'!$B$296="Новый сезон",12-1&gt;MOD(MONTH('06_Сеть_и_дети'!AF$3)-9,12),FALSE),'19_Расчет_аналитики'!AF2443*CapacityAge12*'19_Расчет_аналитики'!$F$2235,0)</f>
        <v/>
      </c>
      <c r="AG2555">
        <f>IF(IF('01_Вводные'!$B$296="Новый сезон",12-1&gt;MOD(MONTH('06_Сеть_и_дети'!AG$3)-9,12),FALSE),'19_Расчет_аналитики'!AG2443*CapacityAge12*'19_Расчет_аналитики'!$F$2235,0)</f>
        <v/>
      </c>
      <c r="AH2555">
        <f>IF(IF('01_Вводные'!$B$296="Новый сезон",12-1&gt;MOD(MONTH('06_Сеть_и_дети'!AH$3)-9,12),FALSE),'19_Расчет_аналитики'!AH2443*CapacityAge12*'19_Расчет_аналитики'!$F$2235,0)</f>
        <v/>
      </c>
      <c r="AI2555">
        <f>IF(IF('01_Вводные'!$B$296="Новый сезон",12-1&gt;MOD(MONTH('06_Сеть_и_дети'!AI$3)-9,12),FALSE),'19_Расчет_аналитики'!AI2443*CapacityAge12*'19_Расчет_аналитики'!$F$2235,0)</f>
        <v/>
      </c>
      <c r="AJ2555">
        <f>IF(IF('01_Вводные'!$B$296="Новый сезон",12-1&gt;MOD(MONTH('06_Сеть_и_дети'!AJ$3)-9,12),FALSE),'19_Расчет_аналитики'!AJ2443*CapacityAge12*'19_Расчет_аналитики'!$F$2235,0)</f>
        <v/>
      </c>
      <c r="AK2555">
        <f>IF(IF('01_Вводные'!$B$296="Новый сезон",12-1&gt;MOD(MONTH('06_Сеть_и_дети'!AK$3)-9,12),FALSE),'19_Расчет_аналитики'!AK2443*CapacityAge12*'19_Расчет_аналитики'!$F$2235,0)</f>
        <v/>
      </c>
      <c r="AL2555">
        <f>IF(IF('01_Вводные'!$B$296="Новый сезон",12-1&gt;MOD(MONTH('06_Сеть_и_дети'!AL$3)-9,12),FALSE),'19_Расчет_аналитики'!AL2443*CapacityAge12*'19_Расчет_аналитики'!$F$2235,0)</f>
        <v/>
      </c>
      <c r="AM2555">
        <f>IF(IF('01_Вводные'!$B$296="Новый сезон",12-1&gt;MOD(MONTH('06_Сеть_и_дети'!AM$3)-9,12),FALSE),'19_Расчет_аналитики'!AM2443*CapacityAge12*'19_Расчет_аналитики'!$F$2235,0)</f>
        <v/>
      </c>
      <c r="AN2555">
        <f>IF(IF('01_Вводные'!$B$296="Новый сезон",12-1&gt;MOD(MONTH('06_Сеть_и_дети'!AN$3)-9,12),FALSE),'19_Расчет_аналитики'!AN2443*CapacityAge12*'19_Расчет_аналитики'!$F$2235,0)</f>
        <v/>
      </c>
      <c r="AO2555">
        <f>IF(IF('01_Вводные'!$B$296="Новый сезон",12-1&gt;MOD(MONTH('06_Сеть_и_дети'!AO$3)-9,12),FALSE),'19_Расчет_аналитики'!AO2443*CapacityAge12*'19_Расчет_аналитики'!$F$2235,0)</f>
        <v/>
      </c>
      <c r="AP2555">
        <f>IF(IF('01_Вводные'!$B$296="Новый сезон",12-1&gt;MOD(MONTH('06_Сеть_и_дети'!AP$3)-9,12),FALSE),'19_Расчет_аналитики'!AP2443*CapacityAge12*'19_Расчет_аналитики'!$F$2235,0)</f>
        <v/>
      </c>
      <c r="AQ2555">
        <f>IF(IF('01_Вводные'!$B$296="Новый сезон",12-1&gt;MOD(MONTH('06_Сеть_и_дети'!AQ$3)-9,12),FALSE),'19_Расчет_аналитики'!AQ2443*CapacityAge12*'19_Расчет_аналитики'!$F$2235,0)</f>
        <v/>
      </c>
      <c r="AR2555">
        <f>IF(IF('01_Вводные'!$B$296="Новый сезон",12-1&gt;MOD(MONTH('06_Сеть_и_дети'!AR$3)-9,12),FALSE),'19_Расчет_аналитики'!AR2443*CapacityAge12*'19_Расчет_аналитики'!$F$2235,0)</f>
        <v/>
      </c>
      <c r="AS2555">
        <f>IF(IF('01_Вводные'!$B$296="Новый сезон",12-1&gt;MOD(MONTH('06_Сеть_и_дети'!AS$3)-9,12),FALSE),'19_Расчет_аналитики'!AS2443*CapacityAge12*'19_Расчет_аналитики'!$F$2235,0)</f>
        <v/>
      </c>
      <c r="AT2555">
        <f>IF(IF('01_Вводные'!$B$296="Новый сезон",12-1&gt;MOD(MONTH('06_Сеть_и_дети'!AT$3)-9,12),FALSE),'19_Расчет_аналитики'!AT2443*CapacityAge12*'19_Расчет_аналитики'!$F$2235,0)</f>
        <v/>
      </c>
      <c r="AU2555">
        <f>IF(IF('01_Вводные'!$B$296="Новый сезон",12-1&gt;MOD(MONTH('06_Сеть_и_дети'!AU$3)-9,12),FALSE),'19_Расчет_аналитики'!AU2443*CapacityAge12*'19_Расчет_аналитики'!$F$2235,0)</f>
        <v/>
      </c>
      <c r="AV2555">
        <f>IF(IF('01_Вводные'!$B$296="Новый сезон",12-1&gt;MOD(MONTH('06_Сеть_и_дети'!AV$3)-9,12),FALSE),'19_Расчет_аналитики'!AV2443*CapacityAge12*'19_Расчет_аналитики'!$F$2235,0)</f>
        <v/>
      </c>
      <c r="AW2555">
        <f>IF(IF('01_Вводные'!$B$296="Новый сезон",12-1&gt;MOD(MONTH('06_Сеть_и_дети'!AW$3)-9,12),FALSE),'19_Расчет_аналитики'!AW2443*CapacityAge12*'19_Расчет_аналитики'!$F$2235,0)</f>
        <v/>
      </c>
      <c r="AX2555">
        <f>IF(IF('01_Вводные'!$B$296="Новый сезон",12-1&gt;MOD(MONTH('06_Сеть_и_дети'!AX$3)-9,12),FALSE),'19_Расчет_аналитики'!AX2443*CapacityAge12*'19_Расчет_аналитики'!$F$2235,0)</f>
        <v/>
      </c>
      <c r="AY2555">
        <f>IF(IF('01_Вводные'!$B$296="Новый сезон",12-1&gt;MOD(MONTH('06_Сеть_и_дети'!AY$3)-9,12),FALSE),'19_Расчет_аналитики'!AY2443*CapacityAge12*'19_Расчет_аналитики'!$F$2235,0)</f>
        <v/>
      </c>
      <c r="AZ2555">
        <f>IF(IF('01_Вводные'!$B$296="Новый сезон",12-1&gt;MOD(MONTH('06_Сеть_и_дети'!AZ$3)-9,12),FALSE),'19_Расчет_аналитики'!AZ2443*CapacityAge12*'19_Расчет_аналитики'!$F$2235,0)</f>
        <v/>
      </c>
      <c r="BA2555">
        <f>IF(IF('01_Вводные'!$B$296="Новый сезон",12-1&gt;MOD(MONTH('06_Сеть_и_дети'!BA$3)-9,12),FALSE),'19_Расчет_аналитики'!BA2443*CapacityAge12*'19_Расчет_аналитики'!$F$2235,0)</f>
        <v/>
      </c>
      <c r="BB2555">
        <f>IF(IF('01_Вводные'!$B$296="Новый сезон",12-1&gt;MOD(MONTH('06_Сеть_и_дети'!BB$3)-9,12),FALSE),'19_Расчет_аналитики'!BB2443*CapacityAge12*'19_Расчет_аналитики'!$F$2235,0)</f>
        <v/>
      </c>
      <c r="BC2555">
        <f>IF(IF('01_Вводные'!$B$296="Новый сезон",12-1&gt;MOD(MONTH('06_Сеть_и_дети'!BC$3)-9,12),FALSE),'19_Расчет_аналитики'!BC2443*CapacityAge12*'19_Расчет_аналитики'!$F$2235,0)</f>
        <v/>
      </c>
      <c r="BD2555">
        <f>IF(IF('01_Вводные'!$B$296="Новый сезон",12-1&gt;MOD(MONTH('06_Сеть_и_дети'!BD$3)-9,12),FALSE),'19_Расчет_аналитики'!BD2443*CapacityAge12*'19_Расчет_аналитики'!$F$2235,0)</f>
        <v/>
      </c>
      <c r="BE2555">
        <f>IF(IF('01_Вводные'!$B$296="Новый сезон",12-1&gt;MOD(MONTH('06_Сеть_и_дети'!BE$3)-9,12),FALSE),'19_Расчет_аналитики'!BE2443*CapacityAge12*'19_Расчет_аналитики'!$F$2235,0)</f>
        <v/>
      </c>
      <c r="BF2555">
        <f>IF(IF('01_Вводные'!$B$296="Новый сезон",12-1&gt;MOD(MONTH('06_Сеть_и_дети'!BF$3)-9,12),FALSE),'19_Расчет_аналитики'!BF2443*CapacityAge12*'19_Расчет_аналитики'!$F$2235,0)</f>
        <v/>
      </c>
      <c r="BG2555">
        <f>IF(IF('01_Вводные'!$B$296="Новый сезон",12-1&gt;MOD(MONTH('06_Сеть_и_дети'!BG$3)-9,12),FALSE),'19_Расчет_аналитики'!BG2443*CapacityAge12*'19_Расчет_аналитики'!$F$2235,0)</f>
        <v/>
      </c>
      <c r="BH2555">
        <f>IF(IF('01_Вводные'!$B$296="Новый сезон",12-1&gt;MOD(MONTH('06_Сеть_и_дети'!BH$3)-9,12),FALSE),'19_Расчет_аналитики'!BH2443*CapacityAge12*'19_Расчет_аналитики'!$F$2235,0)</f>
        <v/>
      </c>
      <c r="BI2555">
        <f>IF(IF('01_Вводные'!$B$296="Новый сезон",12-1&gt;MOD(MONTH('06_Сеть_и_дети'!BI$3)-9,12),FALSE),'19_Расчет_аналитики'!BI2443*CapacityAge12*'19_Расчет_аналитики'!$F$2235,0)</f>
        <v/>
      </c>
      <c r="BJ2555">
        <f>IF(IF('01_Вводные'!$B$296="Новый сезон",12-1&gt;MOD(MONTH('06_Сеть_и_дети'!BJ$3)-9,12),FALSE),'19_Расчет_аналитики'!BJ2443*CapacityAge12*'19_Расчет_аналитики'!$F$2235,0)</f>
        <v/>
      </c>
      <c r="BK2555">
        <f>IF(IF('01_Вводные'!$B$296="Новый сезон",12-1&gt;MOD(MONTH('06_Сеть_и_дети'!BK$3)-9,12),FALSE),'19_Расчет_аналитики'!BK2443*CapacityAge12*'19_Расчет_аналитики'!$F$2235,0)</f>
        <v/>
      </c>
      <c r="BL2555">
        <f>IF(IF('01_Вводные'!$B$296="Новый сезон",12-1&gt;MOD(MONTH('06_Сеть_и_дети'!BL$3)-9,12),FALSE),'19_Расчет_аналитики'!BL2443*CapacityAge12*'19_Расчет_аналитики'!$F$2235,0)</f>
        <v/>
      </c>
      <c r="BM2555">
        <f>IF(IF('01_Вводные'!$B$296="Новый сезон",12-1&gt;MOD(MONTH('06_Сеть_и_дети'!BM$3)-9,12),FALSE),'19_Расчет_аналитики'!BM2443*CapacityAge12*'19_Расчет_аналитики'!$F$2235,0)</f>
        <v/>
      </c>
      <c r="BN2555">
        <f>IF(IF('01_Вводные'!$B$296="Новый сезон",12-1&gt;MOD(MONTH('06_Сеть_и_дети'!BN$3)-9,12),FALSE),'19_Расчет_аналитики'!BN2443*CapacityAge12*'19_Расчет_аналитики'!$F$2235,0)</f>
        <v/>
      </c>
      <c r="BO2555">
        <f>IF(IF('01_Вводные'!$B$296="Новый сезон",12-1&gt;MOD(MONTH('06_Сеть_и_дети'!BO$3)-9,12),FALSE),'19_Расчет_аналитики'!BO2443*CapacityAge12*'19_Расчет_аналитики'!$F$2235,0)</f>
        <v/>
      </c>
    </row>
    <row r="2556">
      <c r="B2556">
        <f>IF(IF('01_Вводные'!$B$296="Новый сезон",TRUE,TRUE),'06_Сеть_и_дети'!B65*CapacityAge13*'19_Расчет_аналитики'!$F$2235,0)</f>
        <v/>
      </c>
      <c r="C2556">
        <f>IF(IF('01_Вводные'!$B$296="Новый сезон",TRUE,TRUE),'06_Сеть_и_дети'!C65*CapacityAge13*'19_Расчет_аналитики'!$F$2235,0)</f>
        <v/>
      </c>
      <c r="D2556">
        <f>IF(IF('01_Вводные'!$B$296="Новый сезон",TRUE,TRUE),'06_Сеть_и_дети'!D65*CapacityAge13*'19_Расчет_аналитики'!$F$2235,0)</f>
        <v/>
      </c>
      <c r="E2556">
        <f>IF(IF('01_Вводные'!$B$296="Новый сезон",TRUE,TRUE),'06_Сеть_и_дети'!E65*CapacityAge13*'19_Расчет_аналитики'!$F$2235,0)</f>
        <v/>
      </c>
      <c r="F2556">
        <f>IF(IF('01_Вводные'!$B$296="Новый сезон",TRUE,TRUE),'06_Сеть_и_дети'!F65*CapacityAge13*'19_Расчет_аналитики'!$F$2235,0)</f>
        <v/>
      </c>
      <c r="G2556">
        <f>IF(IF('01_Вводные'!$B$296="Новый сезон",TRUE,TRUE),'06_Сеть_и_дети'!G65*CapacityAge13*'19_Расчет_аналитики'!$F$2235,0)</f>
        <v/>
      </c>
      <c r="H2556">
        <f>IF(IF('01_Вводные'!$B$296="Новый сезон",TRUE,TRUE),'06_Сеть_и_дети'!H65*CapacityAge13*'19_Расчет_аналитики'!$F$2235,0)</f>
        <v/>
      </c>
      <c r="I2556">
        <f>IF(IF('01_Вводные'!$B$296="Новый сезон",TRUE,TRUE),'06_Сеть_и_дети'!I65*CapacityAge13*'19_Расчет_аналитики'!$F$2235,0)</f>
        <v/>
      </c>
      <c r="J2556">
        <f>IF(IF('01_Вводные'!$B$296="Новый сезон",TRUE,TRUE),'06_Сеть_и_дети'!J65*CapacityAge13*'19_Расчет_аналитики'!$F$2235,0)</f>
        <v/>
      </c>
      <c r="K2556">
        <f>IF(IF('01_Вводные'!$B$296="Новый сезон",TRUE,TRUE),'06_Сеть_и_дети'!K65*CapacityAge13*'19_Расчет_аналитики'!$F$2235,0)</f>
        <v/>
      </c>
      <c r="L2556">
        <f>IF(IF('01_Вводные'!$B$296="Новый сезон",TRUE,TRUE),'06_Сеть_и_дети'!L65*CapacityAge13*'19_Расчет_аналитики'!$F$2235,0)</f>
        <v/>
      </c>
      <c r="M2556">
        <f>IF(IF('01_Вводные'!$B$296="Новый сезон",TRUE,TRUE),'06_Сеть_и_дети'!M65*CapacityAge13*'19_Расчет_аналитики'!$F$2235,0)</f>
        <v/>
      </c>
      <c r="N2556">
        <f>IF(IF('01_Вводные'!$B$296="Новый сезон",TRUE,TRUE),'19_Расчет_аналитики'!N2444*CapacityAge13*'19_Расчет_аналитики'!$F$2235,0)</f>
        <v/>
      </c>
      <c r="O2556">
        <f>IF(IF('01_Вводные'!$B$296="Новый сезон",TRUE,TRUE),'19_Расчет_аналитики'!O2444*CapacityAge13*'19_Расчет_аналитики'!$F$2235,0)</f>
        <v/>
      </c>
      <c r="P2556">
        <f>IF(IF('01_Вводные'!$B$296="Новый сезон",TRUE,TRUE),'19_Расчет_аналитики'!P2444*CapacityAge13*'19_Расчет_аналитики'!$F$2235,0)</f>
        <v/>
      </c>
      <c r="Q2556">
        <f>IF(IF('01_Вводные'!$B$296="Новый сезон",TRUE,TRUE),'19_Расчет_аналитики'!Q2444*CapacityAge13*'19_Расчет_аналитики'!$F$2235,0)</f>
        <v/>
      </c>
      <c r="R2556">
        <f>IF(IF('01_Вводные'!$B$296="Новый сезон",TRUE,TRUE),'19_Расчет_аналитики'!R2444*CapacityAge13*'19_Расчет_аналитики'!$F$2235,0)</f>
        <v/>
      </c>
      <c r="S2556">
        <f>IF(IF('01_Вводные'!$B$296="Новый сезон",TRUE,TRUE),'19_Расчет_аналитики'!S2444*CapacityAge13*'19_Расчет_аналитики'!$F$2235,0)</f>
        <v/>
      </c>
      <c r="T2556">
        <f>IF(IF('01_Вводные'!$B$296="Новый сезон",TRUE,TRUE),'19_Расчет_аналитики'!T2444*CapacityAge13*'19_Расчет_аналитики'!$F$2235,0)</f>
        <v/>
      </c>
      <c r="U2556">
        <f>IF(IF('01_Вводные'!$B$296="Новый сезон",TRUE,TRUE),'19_Расчет_аналитики'!U2444*CapacityAge13*'19_Расчет_аналитики'!$F$2235,0)</f>
        <v/>
      </c>
      <c r="V2556">
        <f>IF(IF('01_Вводные'!$B$296="Новый сезон",TRUE,TRUE),'19_Расчет_аналитики'!V2444*CapacityAge13*'19_Расчет_аналитики'!$F$2235,0)</f>
        <v/>
      </c>
      <c r="W2556">
        <f>IF(IF('01_Вводные'!$B$296="Новый сезон",TRUE,TRUE),'19_Расчет_аналитики'!W2444*CapacityAge13*'19_Расчет_аналитики'!$F$2235,0)</f>
        <v/>
      </c>
      <c r="X2556">
        <f>IF(IF('01_Вводные'!$B$296="Новый сезон",TRUE,TRUE),'19_Расчет_аналитики'!X2444*CapacityAge13*'19_Расчет_аналитики'!$F$2235,0)</f>
        <v/>
      </c>
      <c r="Y2556">
        <f>IF(IF('01_Вводные'!$B$296="Новый сезон",TRUE,TRUE),'19_Расчет_аналитики'!Y2444*CapacityAge13*'19_Расчет_аналитики'!$F$2235,0)</f>
        <v/>
      </c>
      <c r="Z2556">
        <f>IF(IF('01_Вводные'!$B$296="Новый сезон",TRUE,TRUE),'19_Расчет_аналитики'!Z2444*CapacityAge13*'19_Расчет_аналитики'!$F$2235,0)</f>
        <v/>
      </c>
      <c r="AA2556">
        <f>IF(IF('01_Вводные'!$B$296="Новый сезон",TRUE,TRUE),'19_Расчет_аналитики'!AA2444*CapacityAge13*'19_Расчет_аналитики'!$F$2235,0)</f>
        <v/>
      </c>
      <c r="AB2556">
        <f>IF(IF('01_Вводные'!$B$296="Новый сезон",TRUE,TRUE),'19_Расчет_аналитики'!AB2444*CapacityAge13*'19_Расчет_аналитики'!$F$2235,0)</f>
        <v/>
      </c>
      <c r="AC2556">
        <f>IF(IF('01_Вводные'!$B$296="Новый сезон",TRUE,TRUE),'19_Расчет_аналитики'!AC2444*CapacityAge13*'19_Расчет_аналитики'!$F$2235,0)</f>
        <v/>
      </c>
      <c r="AD2556">
        <f>IF(IF('01_Вводные'!$B$296="Новый сезон",TRUE,TRUE),'19_Расчет_аналитики'!AD2444*CapacityAge13*'19_Расчет_аналитики'!$F$2235,0)</f>
        <v/>
      </c>
      <c r="AE2556">
        <f>IF(IF('01_Вводные'!$B$296="Новый сезон",TRUE,TRUE),'19_Расчет_аналитики'!AE2444*CapacityAge13*'19_Расчет_аналитики'!$F$2235,0)</f>
        <v/>
      </c>
      <c r="AF2556">
        <f>IF(IF('01_Вводные'!$B$296="Новый сезон",TRUE,TRUE),'19_Расчет_аналитики'!AF2444*CapacityAge13*'19_Расчет_аналитики'!$F$2235,0)</f>
        <v/>
      </c>
      <c r="AG2556">
        <f>IF(IF('01_Вводные'!$B$296="Новый сезон",TRUE,TRUE),'19_Расчет_аналитики'!AG2444*CapacityAge13*'19_Расчет_аналитики'!$F$2235,0)</f>
        <v/>
      </c>
      <c r="AH2556">
        <f>IF(IF('01_Вводные'!$B$296="Новый сезон",TRUE,TRUE),'19_Расчет_аналитики'!AH2444*CapacityAge13*'19_Расчет_аналитики'!$F$2235,0)</f>
        <v/>
      </c>
      <c r="AI2556">
        <f>IF(IF('01_Вводные'!$B$296="Новый сезон",TRUE,TRUE),'19_Расчет_аналитики'!AI2444*CapacityAge13*'19_Расчет_аналитики'!$F$2235,0)</f>
        <v/>
      </c>
      <c r="AJ2556">
        <f>IF(IF('01_Вводные'!$B$296="Новый сезон",TRUE,TRUE),'19_Расчет_аналитики'!AJ2444*CapacityAge13*'19_Расчет_аналитики'!$F$2235,0)</f>
        <v/>
      </c>
      <c r="AK2556">
        <f>IF(IF('01_Вводные'!$B$296="Новый сезон",TRUE,TRUE),'19_Расчет_аналитики'!AK2444*CapacityAge13*'19_Расчет_аналитики'!$F$2235,0)</f>
        <v/>
      </c>
      <c r="AL2556">
        <f>IF(IF('01_Вводные'!$B$296="Новый сезон",TRUE,TRUE),'19_Расчет_аналитики'!AL2444*CapacityAge13*'19_Расчет_аналитики'!$F$2235,0)</f>
        <v/>
      </c>
      <c r="AM2556">
        <f>IF(IF('01_Вводные'!$B$296="Новый сезон",TRUE,TRUE),'19_Расчет_аналитики'!AM2444*CapacityAge13*'19_Расчет_аналитики'!$F$2235,0)</f>
        <v/>
      </c>
      <c r="AN2556">
        <f>IF(IF('01_Вводные'!$B$296="Новый сезон",TRUE,TRUE),'19_Расчет_аналитики'!AN2444*CapacityAge13*'19_Расчет_аналитики'!$F$2235,0)</f>
        <v/>
      </c>
      <c r="AO2556">
        <f>IF(IF('01_Вводные'!$B$296="Новый сезон",TRUE,TRUE),'19_Расчет_аналитики'!AO2444*CapacityAge13*'19_Расчет_аналитики'!$F$2235,0)</f>
        <v/>
      </c>
      <c r="AP2556">
        <f>IF(IF('01_Вводные'!$B$296="Новый сезон",TRUE,TRUE),'19_Расчет_аналитики'!AP2444*CapacityAge13*'19_Расчет_аналитики'!$F$2235,0)</f>
        <v/>
      </c>
      <c r="AQ2556">
        <f>IF(IF('01_Вводные'!$B$296="Новый сезон",TRUE,TRUE),'19_Расчет_аналитики'!AQ2444*CapacityAge13*'19_Расчет_аналитики'!$F$2235,0)</f>
        <v/>
      </c>
      <c r="AR2556">
        <f>IF(IF('01_Вводные'!$B$296="Новый сезон",TRUE,TRUE),'19_Расчет_аналитики'!AR2444*CapacityAge13*'19_Расчет_аналитики'!$F$2235,0)</f>
        <v/>
      </c>
      <c r="AS2556">
        <f>IF(IF('01_Вводные'!$B$296="Новый сезон",TRUE,TRUE),'19_Расчет_аналитики'!AS2444*CapacityAge13*'19_Расчет_аналитики'!$F$2235,0)</f>
        <v/>
      </c>
      <c r="AT2556">
        <f>IF(IF('01_Вводные'!$B$296="Новый сезон",TRUE,TRUE),'19_Расчет_аналитики'!AT2444*CapacityAge13*'19_Расчет_аналитики'!$F$2235,0)</f>
        <v/>
      </c>
      <c r="AU2556">
        <f>IF(IF('01_Вводные'!$B$296="Новый сезон",TRUE,TRUE),'19_Расчет_аналитики'!AU2444*CapacityAge13*'19_Расчет_аналитики'!$F$2235,0)</f>
        <v/>
      </c>
      <c r="AV2556">
        <f>IF(IF('01_Вводные'!$B$296="Новый сезон",TRUE,TRUE),'19_Расчет_аналитики'!AV2444*CapacityAge13*'19_Расчет_аналитики'!$F$2235,0)</f>
        <v/>
      </c>
      <c r="AW2556">
        <f>IF(IF('01_Вводные'!$B$296="Новый сезон",TRUE,TRUE),'19_Расчет_аналитики'!AW2444*CapacityAge13*'19_Расчет_аналитики'!$F$2235,0)</f>
        <v/>
      </c>
      <c r="AX2556">
        <f>IF(IF('01_Вводные'!$B$296="Новый сезон",TRUE,TRUE),'19_Расчет_аналитики'!AX2444*CapacityAge13*'19_Расчет_аналитики'!$F$2235,0)</f>
        <v/>
      </c>
      <c r="AY2556">
        <f>IF(IF('01_Вводные'!$B$296="Новый сезон",TRUE,TRUE),'19_Расчет_аналитики'!AY2444*CapacityAge13*'19_Расчет_аналитики'!$F$2235,0)</f>
        <v/>
      </c>
      <c r="AZ2556">
        <f>IF(IF('01_Вводные'!$B$296="Новый сезон",TRUE,TRUE),'19_Расчет_аналитики'!AZ2444*CapacityAge13*'19_Расчет_аналитики'!$F$2235,0)</f>
        <v/>
      </c>
      <c r="BA2556">
        <f>IF(IF('01_Вводные'!$B$296="Новый сезон",TRUE,TRUE),'19_Расчет_аналитики'!BA2444*CapacityAge13*'19_Расчет_аналитики'!$F$2235,0)</f>
        <v/>
      </c>
      <c r="BB2556">
        <f>IF(IF('01_Вводные'!$B$296="Новый сезон",TRUE,TRUE),'19_Расчет_аналитики'!BB2444*CapacityAge13*'19_Расчет_аналитики'!$F$2235,0)</f>
        <v/>
      </c>
      <c r="BC2556">
        <f>IF(IF('01_Вводные'!$B$296="Новый сезон",TRUE,TRUE),'19_Расчет_аналитики'!BC2444*CapacityAge13*'19_Расчет_аналитики'!$F$2235,0)</f>
        <v/>
      </c>
      <c r="BD2556">
        <f>IF(IF('01_Вводные'!$B$296="Новый сезон",TRUE,TRUE),'19_Расчет_аналитики'!BD2444*CapacityAge13*'19_Расчет_аналитики'!$F$2235,0)</f>
        <v/>
      </c>
      <c r="BE2556">
        <f>IF(IF('01_Вводные'!$B$296="Новый сезон",TRUE,TRUE),'19_Расчет_аналитики'!BE2444*CapacityAge13*'19_Расчет_аналитики'!$F$2235,0)</f>
        <v/>
      </c>
      <c r="BF2556">
        <f>IF(IF('01_Вводные'!$B$296="Новый сезон",TRUE,TRUE),'19_Расчет_аналитики'!BF2444*CapacityAge13*'19_Расчет_аналитики'!$F$2235,0)</f>
        <v/>
      </c>
      <c r="BG2556">
        <f>IF(IF('01_Вводные'!$B$296="Новый сезон",TRUE,TRUE),'19_Расчет_аналитики'!BG2444*CapacityAge13*'19_Расчет_аналитики'!$F$2235,0)</f>
        <v/>
      </c>
      <c r="BH2556">
        <f>IF(IF('01_Вводные'!$B$296="Новый сезон",TRUE,TRUE),'19_Расчет_аналитики'!BH2444*CapacityAge13*'19_Расчет_аналитики'!$F$2235,0)</f>
        <v/>
      </c>
      <c r="BI2556">
        <f>IF(IF('01_Вводные'!$B$296="Новый сезон",TRUE,TRUE),'19_Расчет_аналитики'!BI2444*CapacityAge13*'19_Расчет_аналитики'!$F$2235,0)</f>
        <v/>
      </c>
      <c r="BJ2556">
        <f>IF(IF('01_Вводные'!$B$296="Новый сезон",TRUE,TRUE),'19_Расчет_аналитики'!BJ2444*CapacityAge13*'19_Расчет_аналитики'!$F$2235,0)</f>
        <v/>
      </c>
      <c r="BK2556">
        <f>IF(IF('01_Вводные'!$B$296="Новый сезон",TRUE,TRUE),'19_Расчет_аналитики'!BK2444*CapacityAge13*'19_Расчет_аналитики'!$F$2235,0)</f>
        <v/>
      </c>
      <c r="BL2556">
        <f>IF(IF('01_Вводные'!$B$296="Новый сезон",TRUE,TRUE),'19_Расчет_аналитики'!BL2444*CapacityAge13*'19_Расчет_аналитики'!$F$2235,0)</f>
        <v/>
      </c>
      <c r="BM2556">
        <f>IF(IF('01_Вводные'!$B$296="Новый сезон",TRUE,TRUE),'19_Расчет_аналитики'!BM2444*CapacityAge13*'19_Расчет_аналитики'!$F$2235,0)</f>
        <v/>
      </c>
      <c r="BN2556">
        <f>IF(IF('01_Вводные'!$B$296="Новый сезон",TRUE,TRUE),'19_Расчет_аналитики'!BN2444*CapacityAge13*'19_Расчет_аналитики'!$F$2235,0)</f>
        <v/>
      </c>
      <c r="BO2556">
        <f>IF(IF('01_Вводные'!$B$296="Новый сезон",TRUE,TRUE),'19_Расчет_аналитики'!BO2444*CapacityAge13*'19_Расчет_аналитики'!$F$2235,0)</f>
        <v/>
      </c>
    </row>
    <row r="2557">
      <c r="B2557">
        <f>IF(IF('01_Вводные'!$B$296="Новый сезон",TRUE,TRUE),'06_Сеть_и_дети'!B66*CapacityAge14*'19_Расчет_аналитики'!$F$2235,0)</f>
        <v/>
      </c>
      <c r="C2557">
        <f>IF(IF('01_Вводные'!$B$296="Новый сезон",TRUE,TRUE),'06_Сеть_и_дети'!C66*CapacityAge14*'19_Расчет_аналитики'!$F$2235,0)</f>
        <v/>
      </c>
      <c r="D2557">
        <f>IF(IF('01_Вводные'!$B$296="Новый сезон",TRUE,TRUE),'06_Сеть_и_дети'!D66*CapacityAge14*'19_Расчет_аналитики'!$F$2235,0)</f>
        <v/>
      </c>
      <c r="E2557">
        <f>IF(IF('01_Вводные'!$B$296="Новый сезон",TRUE,TRUE),'06_Сеть_и_дети'!E66*CapacityAge14*'19_Расчет_аналитики'!$F$2235,0)</f>
        <v/>
      </c>
      <c r="F2557">
        <f>IF(IF('01_Вводные'!$B$296="Новый сезон",TRUE,TRUE),'06_Сеть_и_дети'!F66*CapacityAge14*'19_Расчет_аналитики'!$F$2235,0)</f>
        <v/>
      </c>
      <c r="G2557">
        <f>IF(IF('01_Вводные'!$B$296="Новый сезон",TRUE,TRUE),'06_Сеть_и_дети'!G66*CapacityAge14*'19_Расчет_аналитики'!$F$2235,0)</f>
        <v/>
      </c>
      <c r="H2557">
        <f>IF(IF('01_Вводные'!$B$296="Новый сезон",TRUE,TRUE),'06_Сеть_и_дети'!H66*CapacityAge14*'19_Расчет_аналитики'!$F$2235,0)</f>
        <v/>
      </c>
      <c r="I2557">
        <f>IF(IF('01_Вводные'!$B$296="Новый сезон",TRUE,TRUE),'06_Сеть_и_дети'!I66*CapacityAge14*'19_Расчет_аналитики'!$F$2235,0)</f>
        <v/>
      </c>
      <c r="J2557">
        <f>IF(IF('01_Вводные'!$B$296="Новый сезон",TRUE,TRUE),'06_Сеть_и_дети'!J66*CapacityAge14*'19_Расчет_аналитики'!$F$2235,0)</f>
        <v/>
      </c>
      <c r="K2557">
        <f>IF(IF('01_Вводные'!$B$296="Новый сезон",TRUE,TRUE),'06_Сеть_и_дети'!K66*CapacityAge14*'19_Расчет_аналитики'!$F$2235,0)</f>
        <v/>
      </c>
      <c r="L2557">
        <f>IF(IF('01_Вводные'!$B$296="Новый сезон",TRUE,TRUE),'06_Сеть_и_дети'!L66*CapacityAge14*'19_Расчет_аналитики'!$F$2235,0)</f>
        <v/>
      </c>
      <c r="M2557">
        <f>IF(IF('01_Вводные'!$B$296="Новый сезон",TRUE,TRUE),'06_Сеть_и_дети'!M66*CapacityAge14*'19_Расчет_аналитики'!$F$2235,0)</f>
        <v/>
      </c>
      <c r="N2557">
        <f>IF(IF('01_Вводные'!$B$296="Новый сезон",TRUE,TRUE),'06_Сеть_и_дети'!N66*CapacityAge14*'19_Расчет_аналитики'!$F$2235,0)</f>
        <v/>
      </c>
      <c r="O2557">
        <f>IF(IF('01_Вводные'!$B$296="Новый сезон",TRUE,TRUE),'19_Расчет_аналитики'!O2445*CapacityAge14*'19_Расчет_аналитики'!$F$2235,0)</f>
        <v/>
      </c>
      <c r="P2557">
        <f>IF(IF('01_Вводные'!$B$296="Новый сезон",TRUE,TRUE),'19_Расчет_аналитики'!P2445*CapacityAge14*'19_Расчет_аналитики'!$F$2235,0)</f>
        <v/>
      </c>
      <c r="Q2557">
        <f>IF(IF('01_Вводные'!$B$296="Новый сезон",TRUE,TRUE),'19_Расчет_аналитики'!Q2445*CapacityAge14*'19_Расчет_аналитики'!$F$2235,0)</f>
        <v/>
      </c>
      <c r="R2557">
        <f>IF(IF('01_Вводные'!$B$296="Новый сезон",TRUE,TRUE),'19_Расчет_аналитики'!R2445*CapacityAge14*'19_Расчет_аналитики'!$F$2235,0)</f>
        <v/>
      </c>
      <c r="S2557">
        <f>IF(IF('01_Вводные'!$B$296="Новый сезон",TRUE,TRUE),'19_Расчет_аналитики'!S2445*CapacityAge14*'19_Расчет_аналитики'!$F$2235,0)</f>
        <v/>
      </c>
      <c r="T2557">
        <f>IF(IF('01_Вводные'!$B$296="Новый сезон",TRUE,TRUE),'19_Расчет_аналитики'!T2445*CapacityAge14*'19_Расчет_аналитики'!$F$2235,0)</f>
        <v/>
      </c>
      <c r="U2557">
        <f>IF(IF('01_Вводные'!$B$296="Новый сезон",TRUE,TRUE),'19_Расчет_аналитики'!U2445*CapacityAge14*'19_Расчет_аналитики'!$F$2235,0)</f>
        <v/>
      </c>
      <c r="V2557">
        <f>IF(IF('01_Вводные'!$B$296="Новый сезон",TRUE,TRUE),'19_Расчет_аналитики'!V2445*CapacityAge14*'19_Расчет_аналитики'!$F$2235,0)</f>
        <v/>
      </c>
      <c r="W2557">
        <f>IF(IF('01_Вводные'!$B$296="Новый сезон",TRUE,TRUE),'19_Расчет_аналитики'!W2445*CapacityAge14*'19_Расчет_аналитики'!$F$2235,0)</f>
        <v/>
      </c>
      <c r="X2557">
        <f>IF(IF('01_Вводные'!$B$296="Новый сезон",TRUE,TRUE),'19_Расчет_аналитики'!X2445*CapacityAge14*'19_Расчет_аналитики'!$F$2235,0)</f>
        <v/>
      </c>
      <c r="Y2557">
        <f>IF(IF('01_Вводные'!$B$296="Новый сезон",TRUE,TRUE),'19_Расчет_аналитики'!Y2445*CapacityAge14*'19_Расчет_аналитики'!$F$2235,0)</f>
        <v/>
      </c>
      <c r="Z2557">
        <f>IF(IF('01_Вводные'!$B$296="Новый сезон",TRUE,TRUE),'19_Расчет_аналитики'!Z2445*CapacityAge14*'19_Расчет_аналитики'!$F$2235,0)</f>
        <v/>
      </c>
      <c r="AA2557">
        <f>IF(IF('01_Вводные'!$B$296="Новый сезон",TRUE,TRUE),'19_Расчет_аналитики'!AA2445*CapacityAge14*'19_Расчет_аналитики'!$F$2235,0)</f>
        <v/>
      </c>
      <c r="AB2557">
        <f>IF(IF('01_Вводные'!$B$296="Новый сезон",TRUE,TRUE),'19_Расчет_аналитики'!AB2445*CapacityAge14*'19_Расчет_аналитики'!$F$2235,0)</f>
        <v/>
      </c>
      <c r="AC2557">
        <f>IF(IF('01_Вводные'!$B$296="Новый сезон",TRUE,TRUE),'19_Расчет_аналитики'!AC2445*CapacityAge14*'19_Расчет_аналитики'!$F$2235,0)</f>
        <v/>
      </c>
      <c r="AD2557">
        <f>IF(IF('01_Вводные'!$B$296="Новый сезон",TRUE,TRUE),'19_Расчет_аналитики'!AD2445*CapacityAge14*'19_Расчет_аналитики'!$F$2235,0)</f>
        <v/>
      </c>
      <c r="AE2557">
        <f>IF(IF('01_Вводные'!$B$296="Новый сезон",TRUE,TRUE),'19_Расчет_аналитики'!AE2445*CapacityAge14*'19_Расчет_аналитики'!$F$2235,0)</f>
        <v/>
      </c>
      <c r="AF2557">
        <f>IF(IF('01_Вводные'!$B$296="Новый сезон",TRUE,TRUE),'19_Расчет_аналитики'!AF2445*CapacityAge14*'19_Расчет_аналитики'!$F$2235,0)</f>
        <v/>
      </c>
      <c r="AG2557">
        <f>IF(IF('01_Вводные'!$B$296="Новый сезон",TRUE,TRUE),'19_Расчет_аналитики'!AG2445*CapacityAge14*'19_Расчет_аналитики'!$F$2235,0)</f>
        <v/>
      </c>
      <c r="AH2557">
        <f>IF(IF('01_Вводные'!$B$296="Новый сезон",TRUE,TRUE),'19_Расчет_аналитики'!AH2445*CapacityAge14*'19_Расчет_аналитики'!$F$2235,0)</f>
        <v/>
      </c>
      <c r="AI2557">
        <f>IF(IF('01_Вводные'!$B$296="Новый сезон",TRUE,TRUE),'19_Расчет_аналитики'!AI2445*CapacityAge14*'19_Расчет_аналитики'!$F$2235,0)</f>
        <v/>
      </c>
      <c r="AJ2557">
        <f>IF(IF('01_Вводные'!$B$296="Новый сезон",TRUE,TRUE),'19_Расчет_аналитики'!AJ2445*CapacityAge14*'19_Расчет_аналитики'!$F$2235,0)</f>
        <v/>
      </c>
      <c r="AK2557">
        <f>IF(IF('01_Вводные'!$B$296="Новый сезон",TRUE,TRUE),'19_Расчет_аналитики'!AK2445*CapacityAge14*'19_Расчет_аналитики'!$F$2235,0)</f>
        <v/>
      </c>
      <c r="AL2557">
        <f>IF(IF('01_Вводные'!$B$296="Новый сезон",TRUE,TRUE),'19_Расчет_аналитики'!AL2445*CapacityAge14*'19_Расчет_аналитики'!$F$2235,0)</f>
        <v/>
      </c>
      <c r="AM2557">
        <f>IF(IF('01_Вводные'!$B$296="Новый сезон",TRUE,TRUE),'19_Расчет_аналитики'!AM2445*CapacityAge14*'19_Расчет_аналитики'!$F$2235,0)</f>
        <v/>
      </c>
      <c r="AN2557">
        <f>IF(IF('01_Вводные'!$B$296="Новый сезон",TRUE,TRUE),'19_Расчет_аналитики'!AN2445*CapacityAge14*'19_Расчет_аналитики'!$F$2235,0)</f>
        <v/>
      </c>
      <c r="AO2557">
        <f>IF(IF('01_Вводные'!$B$296="Новый сезон",TRUE,TRUE),'19_Расчет_аналитики'!AO2445*CapacityAge14*'19_Расчет_аналитики'!$F$2235,0)</f>
        <v/>
      </c>
      <c r="AP2557">
        <f>IF(IF('01_Вводные'!$B$296="Новый сезон",TRUE,TRUE),'19_Расчет_аналитики'!AP2445*CapacityAge14*'19_Расчет_аналитики'!$F$2235,0)</f>
        <v/>
      </c>
      <c r="AQ2557">
        <f>IF(IF('01_Вводные'!$B$296="Новый сезон",TRUE,TRUE),'19_Расчет_аналитики'!AQ2445*CapacityAge14*'19_Расчет_аналитики'!$F$2235,0)</f>
        <v/>
      </c>
      <c r="AR2557">
        <f>IF(IF('01_Вводные'!$B$296="Новый сезон",TRUE,TRUE),'19_Расчет_аналитики'!AR2445*CapacityAge14*'19_Расчет_аналитики'!$F$2235,0)</f>
        <v/>
      </c>
      <c r="AS2557">
        <f>IF(IF('01_Вводные'!$B$296="Новый сезон",TRUE,TRUE),'19_Расчет_аналитики'!AS2445*CapacityAge14*'19_Расчет_аналитики'!$F$2235,0)</f>
        <v/>
      </c>
      <c r="AT2557">
        <f>IF(IF('01_Вводные'!$B$296="Новый сезон",TRUE,TRUE),'19_Расчет_аналитики'!AT2445*CapacityAge14*'19_Расчет_аналитики'!$F$2235,0)</f>
        <v/>
      </c>
      <c r="AU2557">
        <f>IF(IF('01_Вводные'!$B$296="Новый сезон",TRUE,TRUE),'19_Расчет_аналитики'!AU2445*CapacityAge14*'19_Расчет_аналитики'!$F$2235,0)</f>
        <v/>
      </c>
      <c r="AV2557">
        <f>IF(IF('01_Вводные'!$B$296="Новый сезон",TRUE,TRUE),'19_Расчет_аналитики'!AV2445*CapacityAge14*'19_Расчет_аналитики'!$F$2235,0)</f>
        <v/>
      </c>
      <c r="AW2557">
        <f>IF(IF('01_Вводные'!$B$296="Новый сезон",TRUE,TRUE),'19_Расчет_аналитики'!AW2445*CapacityAge14*'19_Расчет_аналитики'!$F$2235,0)</f>
        <v/>
      </c>
      <c r="AX2557">
        <f>IF(IF('01_Вводные'!$B$296="Новый сезон",TRUE,TRUE),'19_Расчет_аналитики'!AX2445*CapacityAge14*'19_Расчет_аналитики'!$F$2235,0)</f>
        <v/>
      </c>
      <c r="AY2557">
        <f>IF(IF('01_Вводные'!$B$296="Новый сезон",TRUE,TRUE),'19_Расчет_аналитики'!AY2445*CapacityAge14*'19_Расчет_аналитики'!$F$2235,0)</f>
        <v/>
      </c>
      <c r="AZ2557">
        <f>IF(IF('01_Вводные'!$B$296="Новый сезон",TRUE,TRUE),'19_Расчет_аналитики'!AZ2445*CapacityAge14*'19_Расчет_аналитики'!$F$2235,0)</f>
        <v/>
      </c>
      <c r="BA2557">
        <f>IF(IF('01_Вводные'!$B$296="Новый сезон",TRUE,TRUE),'19_Расчет_аналитики'!BA2445*CapacityAge14*'19_Расчет_аналитики'!$F$2235,0)</f>
        <v/>
      </c>
      <c r="BB2557">
        <f>IF(IF('01_Вводные'!$B$296="Новый сезон",TRUE,TRUE),'19_Расчет_аналитики'!BB2445*CapacityAge14*'19_Расчет_аналитики'!$F$2235,0)</f>
        <v/>
      </c>
      <c r="BC2557">
        <f>IF(IF('01_Вводные'!$B$296="Новый сезон",TRUE,TRUE),'19_Расчет_аналитики'!BC2445*CapacityAge14*'19_Расчет_аналитики'!$F$2235,0)</f>
        <v/>
      </c>
      <c r="BD2557">
        <f>IF(IF('01_Вводные'!$B$296="Новый сезон",TRUE,TRUE),'19_Расчет_аналитики'!BD2445*CapacityAge14*'19_Расчет_аналитики'!$F$2235,0)</f>
        <v/>
      </c>
      <c r="BE2557">
        <f>IF(IF('01_Вводные'!$B$296="Новый сезон",TRUE,TRUE),'19_Расчет_аналитики'!BE2445*CapacityAge14*'19_Расчет_аналитики'!$F$2235,0)</f>
        <v/>
      </c>
      <c r="BF2557">
        <f>IF(IF('01_Вводные'!$B$296="Новый сезон",TRUE,TRUE),'19_Расчет_аналитики'!BF2445*CapacityAge14*'19_Расчет_аналитики'!$F$2235,0)</f>
        <v/>
      </c>
      <c r="BG2557">
        <f>IF(IF('01_Вводные'!$B$296="Новый сезон",TRUE,TRUE),'19_Расчет_аналитики'!BG2445*CapacityAge14*'19_Расчет_аналитики'!$F$2235,0)</f>
        <v/>
      </c>
      <c r="BH2557">
        <f>IF(IF('01_Вводные'!$B$296="Новый сезон",TRUE,TRUE),'19_Расчет_аналитики'!BH2445*CapacityAge14*'19_Расчет_аналитики'!$F$2235,0)</f>
        <v/>
      </c>
      <c r="BI2557">
        <f>IF(IF('01_Вводные'!$B$296="Новый сезон",TRUE,TRUE),'19_Расчет_аналитики'!BI2445*CapacityAge14*'19_Расчет_аналитики'!$F$2235,0)</f>
        <v/>
      </c>
      <c r="BJ2557">
        <f>IF(IF('01_Вводные'!$B$296="Новый сезон",TRUE,TRUE),'19_Расчет_аналитики'!BJ2445*CapacityAge14*'19_Расчет_аналитики'!$F$2235,0)</f>
        <v/>
      </c>
      <c r="BK2557">
        <f>IF(IF('01_Вводные'!$B$296="Новый сезон",TRUE,TRUE),'19_Расчет_аналитики'!BK2445*CapacityAge14*'19_Расчет_аналитики'!$F$2235,0)</f>
        <v/>
      </c>
      <c r="BL2557">
        <f>IF(IF('01_Вводные'!$B$296="Новый сезон",TRUE,TRUE),'19_Расчет_аналитики'!BL2445*CapacityAge14*'19_Расчет_аналитики'!$F$2235,0)</f>
        <v/>
      </c>
      <c r="BM2557">
        <f>IF(IF('01_Вводные'!$B$296="Новый сезон",TRUE,TRUE),'19_Расчет_аналитики'!BM2445*CapacityAge14*'19_Расчет_аналитики'!$F$2235,0)</f>
        <v/>
      </c>
      <c r="BN2557">
        <f>IF(IF('01_Вводные'!$B$296="Новый сезон",TRUE,TRUE),'19_Расчет_аналитики'!BN2445*CapacityAge14*'19_Расчет_аналитики'!$F$2235,0)</f>
        <v/>
      </c>
      <c r="BO2557">
        <f>IF(IF('01_Вводные'!$B$296="Новый сезон",TRUE,TRUE),'19_Расчет_аналитики'!BO2445*CapacityAge14*'19_Расчет_аналитики'!$F$2235,0)</f>
        <v/>
      </c>
    </row>
    <row r="2558">
      <c r="B2558">
        <f>IF(IF('01_Вводные'!$B$296="Новый сезон",TRUE,TRUE),'06_Сеть_и_дети'!B67*CapacityAge15*'19_Расчет_аналитики'!$F$2235,0)</f>
        <v/>
      </c>
      <c r="C2558">
        <f>IF(IF('01_Вводные'!$B$296="Новый сезон",TRUE,TRUE),'06_Сеть_и_дети'!C67*CapacityAge15*'19_Расчет_аналитики'!$F$2235,0)</f>
        <v/>
      </c>
      <c r="D2558">
        <f>IF(IF('01_Вводные'!$B$296="Новый сезон",TRUE,TRUE),'06_Сеть_и_дети'!D67*CapacityAge15*'19_Расчет_аналитики'!$F$2235,0)</f>
        <v/>
      </c>
      <c r="E2558">
        <f>IF(IF('01_Вводные'!$B$296="Новый сезон",TRUE,TRUE),'06_Сеть_и_дети'!E67*CapacityAge15*'19_Расчет_аналитики'!$F$2235,0)</f>
        <v/>
      </c>
      <c r="F2558">
        <f>IF(IF('01_Вводные'!$B$296="Новый сезон",TRUE,TRUE),'06_Сеть_и_дети'!F67*CapacityAge15*'19_Расчет_аналитики'!$F$2235,0)</f>
        <v/>
      </c>
      <c r="G2558">
        <f>IF(IF('01_Вводные'!$B$296="Новый сезон",TRUE,TRUE),'06_Сеть_и_дети'!G67*CapacityAge15*'19_Расчет_аналитики'!$F$2235,0)</f>
        <v/>
      </c>
      <c r="H2558">
        <f>IF(IF('01_Вводные'!$B$296="Новый сезон",TRUE,TRUE),'06_Сеть_и_дети'!H67*CapacityAge15*'19_Расчет_аналитики'!$F$2235,0)</f>
        <v/>
      </c>
      <c r="I2558">
        <f>IF(IF('01_Вводные'!$B$296="Новый сезон",TRUE,TRUE),'06_Сеть_и_дети'!I67*CapacityAge15*'19_Расчет_аналитики'!$F$2235,0)</f>
        <v/>
      </c>
      <c r="J2558">
        <f>IF(IF('01_Вводные'!$B$296="Новый сезон",TRUE,TRUE),'06_Сеть_и_дети'!J67*CapacityAge15*'19_Расчет_аналитики'!$F$2235,0)</f>
        <v/>
      </c>
      <c r="K2558">
        <f>IF(IF('01_Вводные'!$B$296="Новый сезон",TRUE,TRUE),'06_Сеть_и_дети'!K67*CapacityAge15*'19_Расчет_аналитики'!$F$2235,0)</f>
        <v/>
      </c>
      <c r="L2558">
        <f>IF(IF('01_Вводные'!$B$296="Новый сезон",TRUE,TRUE),'06_Сеть_и_дети'!L67*CapacityAge15*'19_Расчет_аналитики'!$F$2235,0)</f>
        <v/>
      </c>
      <c r="M2558">
        <f>IF(IF('01_Вводные'!$B$296="Новый сезон",TRUE,TRUE),'06_Сеть_и_дети'!M67*CapacityAge15*'19_Расчет_аналитики'!$F$2235,0)</f>
        <v/>
      </c>
      <c r="N2558">
        <f>IF(IF('01_Вводные'!$B$296="Новый сезон",TRUE,TRUE),'06_Сеть_и_дети'!N67*CapacityAge15*'19_Расчет_аналитики'!$F$2235,0)</f>
        <v/>
      </c>
      <c r="O2558">
        <f>IF(IF('01_Вводные'!$B$296="Новый сезон",TRUE,TRUE),'06_Сеть_и_дети'!O67*CapacityAge15*'19_Расчет_аналитики'!$F$2235,0)</f>
        <v/>
      </c>
      <c r="P2558">
        <f>IF(IF('01_Вводные'!$B$296="Новый сезон",TRUE,TRUE),'19_Расчет_аналитики'!P2446*CapacityAge15*'19_Расчет_аналитики'!$F$2235,0)</f>
        <v/>
      </c>
      <c r="Q2558">
        <f>IF(IF('01_Вводные'!$B$296="Новый сезон",TRUE,TRUE),'19_Расчет_аналитики'!Q2446*CapacityAge15*'19_Расчет_аналитики'!$F$2235,0)</f>
        <v/>
      </c>
      <c r="R2558">
        <f>IF(IF('01_Вводные'!$B$296="Новый сезон",TRUE,TRUE),'19_Расчет_аналитики'!R2446*CapacityAge15*'19_Расчет_аналитики'!$F$2235,0)</f>
        <v/>
      </c>
      <c r="S2558">
        <f>IF(IF('01_Вводные'!$B$296="Новый сезон",TRUE,TRUE),'19_Расчет_аналитики'!S2446*CapacityAge15*'19_Расчет_аналитики'!$F$2235,0)</f>
        <v/>
      </c>
      <c r="T2558">
        <f>IF(IF('01_Вводные'!$B$296="Новый сезон",TRUE,TRUE),'19_Расчет_аналитики'!T2446*CapacityAge15*'19_Расчет_аналитики'!$F$2235,0)</f>
        <v/>
      </c>
      <c r="U2558">
        <f>IF(IF('01_Вводные'!$B$296="Новый сезон",TRUE,TRUE),'19_Расчет_аналитики'!U2446*CapacityAge15*'19_Расчет_аналитики'!$F$2235,0)</f>
        <v/>
      </c>
      <c r="V2558">
        <f>IF(IF('01_Вводные'!$B$296="Новый сезон",TRUE,TRUE),'19_Расчет_аналитики'!V2446*CapacityAge15*'19_Расчет_аналитики'!$F$2235,0)</f>
        <v/>
      </c>
      <c r="W2558">
        <f>IF(IF('01_Вводные'!$B$296="Новый сезон",TRUE,TRUE),'19_Расчет_аналитики'!W2446*CapacityAge15*'19_Расчет_аналитики'!$F$2235,0)</f>
        <v/>
      </c>
      <c r="X2558">
        <f>IF(IF('01_Вводные'!$B$296="Новый сезон",TRUE,TRUE),'19_Расчет_аналитики'!X2446*CapacityAge15*'19_Расчет_аналитики'!$F$2235,0)</f>
        <v/>
      </c>
      <c r="Y2558">
        <f>IF(IF('01_Вводные'!$B$296="Новый сезон",TRUE,TRUE),'19_Расчет_аналитики'!Y2446*CapacityAge15*'19_Расчет_аналитики'!$F$2235,0)</f>
        <v/>
      </c>
      <c r="Z2558">
        <f>IF(IF('01_Вводные'!$B$296="Новый сезон",TRUE,TRUE),'19_Расчет_аналитики'!Z2446*CapacityAge15*'19_Расчет_аналитики'!$F$2235,0)</f>
        <v/>
      </c>
      <c r="AA2558">
        <f>IF(IF('01_Вводные'!$B$296="Новый сезон",TRUE,TRUE),'19_Расчет_аналитики'!AA2446*CapacityAge15*'19_Расчет_аналитики'!$F$2235,0)</f>
        <v/>
      </c>
      <c r="AB2558">
        <f>IF(IF('01_Вводные'!$B$296="Новый сезон",TRUE,TRUE),'19_Расчет_аналитики'!AB2446*CapacityAge15*'19_Расчет_аналитики'!$F$2235,0)</f>
        <v/>
      </c>
      <c r="AC2558">
        <f>IF(IF('01_Вводные'!$B$296="Новый сезон",TRUE,TRUE),'19_Расчет_аналитики'!AC2446*CapacityAge15*'19_Расчет_аналитики'!$F$2235,0)</f>
        <v/>
      </c>
      <c r="AD2558">
        <f>IF(IF('01_Вводные'!$B$296="Новый сезон",TRUE,TRUE),'19_Расчет_аналитики'!AD2446*CapacityAge15*'19_Расчет_аналитики'!$F$2235,0)</f>
        <v/>
      </c>
      <c r="AE2558">
        <f>IF(IF('01_Вводные'!$B$296="Новый сезон",TRUE,TRUE),'19_Расчет_аналитики'!AE2446*CapacityAge15*'19_Расчет_аналитики'!$F$2235,0)</f>
        <v/>
      </c>
      <c r="AF2558">
        <f>IF(IF('01_Вводные'!$B$296="Новый сезон",TRUE,TRUE),'19_Расчет_аналитики'!AF2446*CapacityAge15*'19_Расчет_аналитики'!$F$2235,0)</f>
        <v/>
      </c>
      <c r="AG2558">
        <f>IF(IF('01_Вводные'!$B$296="Новый сезон",TRUE,TRUE),'19_Расчет_аналитики'!AG2446*CapacityAge15*'19_Расчет_аналитики'!$F$2235,0)</f>
        <v/>
      </c>
      <c r="AH2558">
        <f>IF(IF('01_Вводные'!$B$296="Новый сезон",TRUE,TRUE),'19_Расчет_аналитики'!AH2446*CapacityAge15*'19_Расчет_аналитики'!$F$2235,0)</f>
        <v/>
      </c>
      <c r="AI2558">
        <f>IF(IF('01_Вводные'!$B$296="Новый сезон",TRUE,TRUE),'19_Расчет_аналитики'!AI2446*CapacityAge15*'19_Расчет_аналитики'!$F$2235,0)</f>
        <v/>
      </c>
      <c r="AJ2558">
        <f>IF(IF('01_Вводные'!$B$296="Новый сезон",TRUE,TRUE),'19_Расчет_аналитики'!AJ2446*CapacityAge15*'19_Расчет_аналитики'!$F$2235,0)</f>
        <v/>
      </c>
      <c r="AK2558">
        <f>IF(IF('01_Вводные'!$B$296="Новый сезон",TRUE,TRUE),'19_Расчет_аналитики'!AK2446*CapacityAge15*'19_Расчет_аналитики'!$F$2235,0)</f>
        <v/>
      </c>
      <c r="AL2558">
        <f>IF(IF('01_Вводные'!$B$296="Новый сезон",TRUE,TRUE),'19_Расчет_аналитики'!AL2446*CapacityAge15*'19_Расчет_аналитики'!$F$2235,0)</f>
        <v/>
      </c>
      <c r="AM2558">
        <f>IF(IF('01_Вводные'!$B$296="Новый сезон",TRUE,TRUE),'19_Расчет_аналитики'!AM2446*CapacityAge15*'19_Расчет_аналитики'!$F$2235,0)</f>
        <v/>
      </c>
      <c r="AN2558">
        <f>IF(IF('01_Вводные'!$B$296="Новый сезон",TRUE,TRUE),'19_Расчет_аналитики'!AN2446*CapacityAge15*'19_Расчет_аналитики'!$F$2235,0)</f>
        <v/>
      </c>
      <c r="AO2558">
        <f>IF(IF('01_Вводные'!$B$296="Новый сезон",TRUE,TRUE),'19_Расчет_аналитики'!AO2446*CapacityAge15*'19_Расчет_аналитики'!$F$2235,0)</f>
        <v/>
      </c>
      <c r="AP2558">
        <f>IF(IF('01_Вводные'!$B$296="Новый сезон",TRUE,TRUE),'19_Расчет_аналитики'!AP2446*CapacityAge15*'19_Расчет_аналитики'!$F$2235,0)</f>
        <v/>
      </c>
      <c r="AQ2558">
        <f>IF(IF('01_Вводные'!$B$296="Новый сезон",TRUE,TRUE),'19_Расчет_аналитики'!AQ2446*CapacityAge15*'19_Расчет_аналитики'!$F$2235,0)</f>
        <v/>
      </c>
      <c r="AR2558">
        <f>IF(IF('01_Вводные'!$B$296="Новый сезон",TRUE,TRUE),'19_Расчет_аналитики'!AR2446*CapacityAge15*'19_Расчет_аналитики'!$F$2235,0)</f>
        <v/>
      </c>
      <c r="AS2558">
        <f>IF(IF('01_Вводные'!$B$296="Новый сезон",TRUE,TRUE),'19_Расчет_аналитики'!AS2446*CapacityAge15*'19_Расчет_аналитики'!$F$2235,0)</f>
        <v/>
      </c>
      <c r="AT2558">
        <f>IF(IF('01_Вводные'!$B$296="Новый сезон",TRUE,TRUE),'19_Расчет_аналитики'!AT2446*CapacityAge15*'19_Расчет_аналитики'!$F$2235,0)</f>
        <v/>
      </c>
      <c r="AU2558">
        <f>IF(IF('01_Вводные'!$B$296="Новый сезон",TRUE,TRUE),'19_Расчет_аналитики'!AU2446*CapacityAge15*'19_Расчет_аналитики'!$F$2235,0)</f>
        <v/>
      </c>
      <c r="AV2558">
        <f>IF(IF('01_Вводные'!$B$296="Новый сезон",TRUE,TRUE),'19_Расчет_аналитики'!AV2446*CapacityAge15*'19_Расчет_аналитики'!$F$2235,0)</f>
        <v/>
      </c>
      <c r="AW2558">
        <f>IF(IF('01_Вводные'!$B$296="Новый сезон",TRUE,TRUE),'19_Расчет_аналитики'!AW2446*CapacityAge15*'19_Расчет_аналитики'!$F$2235,0)</f>
        <v/>
      </c>
      <c r="AX2558">
        <f>IF(IF('01_Вводные'!$B$296="Новый сезон",TRUE,TRUE),'19_Расчет_аналитики'!AX2446*CapacityAge15*'19_Расчет_аналитики'!$F$2235,0)</f>
        <v/>
      </c>
      <c r="AY2558">
        <f>IF(IF('01_Вводные'!$B$296="Новый сезон",TRUE,TRUE),'19_Расчет_аналитики'!AY2446*CapacityAge15*'19_Расчет_аналитики'!$F$2235,0)</f>
        <v/>
      </c>
      <c r="AZ2558">
        <f>IF(IF('01_Вводные'!$B$296="Новый сезон",TRUE,TRUE),'19_Расчет_аналитики'!AZ2446*CapacityAge15*'19_Расчет_аналитики'!$F$2235,0)</f>
        <v/>
      </c>
      <c r="BA2558">
        <f>IF(IF('01_Вводные'!$B$296="Новый сезон",TRUE,TRUE),'19_Расчет_аналитики'!BA2446*CapacityAge15*'19_Расчет_аналитики'!$F$2235,0)</f>
        <v/>
      </c>
      <c r="BB2558">
        <f>IF(IF('01_Вводные'!$B$296="Новый сезон",TRUE,TRUE),'19_Расчет_аналитики'!BB2446*CapacityAge15*'19_Расчет_аналитики'!$F$2235,0)</f>
        <v/>
      </c>
      <c r="BC2558">
        <f>IF(IF('01_Вводные'!$B$296="Новый сезон",TRUE,TRUE),'19_Расчет_аналитики'!BC2446*CapacityAge15*'19_Расчет_аналитики'!$F$2235,0)</f>
        <v/>
      </c>
      <c r="BD2558">
        <f>IF(IF('01_Вводные'!$B$296="Новый сезон",TRUE,TRUE),'19_Расчет_аналитики'!BD2446*CapacityAge15*'19_Расчет_аналитики'!$F$2235,0)</f>
        <v/>
      </c>
      <c r="BE2558">
        <f>IF(IF('01_Вводные'!$B$296="Новый сезон",TRUE,TRUE),'19_Расчет_аналитики'!BE2446*CapacityAge15*'19_Расчет_аналитики'!$F$2235,0)</f>
        <v/>
      </c>
      <c r="BF2558">
        <f>IF(IF('01_Вводные'!$B$296="Новый сезон",TRUE,TRUE),'19_Расчет_аналитики'!BF2446*CapacityAge15*'19_Расчет_аналитики'!$F$2235,0)</f>
        <v/>
      </c>
      <c r="BG2558">
        <f>IF(IF('01_Вводные'!$B$296="Новый сезон",TRUE,TRUE),'19_Расчет_аналитики'!BG2446*CapacityAge15*'19_Расчет_аналитики'!$F$2235,0)</f>
        <v/>
      </c>
      <c r="BH2558">
        <f>IF(IF('01_Вводные'!$B$296="Новый сезон",TRUE,TRUE),'19_Расчет_аналитики'!BH2446*CapacityAge15*'19_Расчет_аналитики'!$F$2235,0)</f>
        <v/>
      </c>
      <c r="BI2558">
        <f>IF(IF('01_Вводные'!$B$296="Новый сезон",TRUE,TRUE),'19_Расчет_аналитики'!BI2446*CapacityAge15*'19_Расчет_аналитики'!$F$2235,0)</f>
        <v/>
      </c>
      <c r="BJ2558">
        <f>IF(IF('01_Вводные'!$B$296="Новый сезон",TRUE,TRUE),'19_Расчет_аналитики'!BJ2446*CapacityAge15*'19_Расчет_аналитики'!$F$2235,0)</f>
        <v/>
      </c>
      <c r="BK2558">
        <f>IF(IF('01_Вводные'!$B$296="Новый сезон",TRUE,TRUE),'19_Расчет_аналитики'!BK2446*CapacityAge15*'19_Расчет_аналитики'!$F$2235,0)</f>
        <v/>
      </c>
      <c r="BL2558">
        <f>IF(IF('01_Вводные'!$B$296="Новый сезон",TRUE,TRUE),'19_Расчет_аналитики'!BL2446*CapacityAge15*'19_Расчет_аналитики'!$F$2235,0)</f>
        <v/>
      </c>
      <c r="BM2558">
        <f>IF(IF('01_Вводные'!$B$296="Новый сезон",TRUE,TRUE),'19_Расчет_аналитики'!BM2446*CapacityAge15*'19_Расчет_аналитики'!$F$2235,0)</f>
        <v/>
      </c>
      <c r="BN2558">
        <f>IF(IF('01_Вводные'!$B$296="Новый сезон",TRUE,TRUE),'19_Расчет_аналитики'!BN2446*CapacityAge15*'19_Расчет_аналитики'!$F$2235,0)</f>
        <v/>
      </c>
      <c r="BO2558">
        <f>IF(IF('01_Вводные'!$B$296="Новый сезон",TRUE,TRUE),'19_Расчет_аналитики'!BO2446*CapacityAge15*'19_Расчет_аналитики'!$F$2235,0)</f>
        <v/>
      </c>
    </row>
    <row r="2559">
      <c r="B2559">
        <f>IF(IF('01_Вводные'!$B$296="Новый сезон",TRUE,TRUE),'06_Сеть_и_дети'!B68*CapacityAge16*'19_Расчет_аналитики'!$F$2235,0)</f>
        <v/>
      </c>
      <c r="C2559">
        <f>IF(IF('01_Вводные'!$B$296="Новый сезон",TRUE,TRUE),'06_Сеть_и_дети'!C68*CapacityAge16*'19_Расчет_аналитики'!$F$2235,0)</f>
        <v/>
      </c>
      <c r="D2559">
        <f>IF(IF('01_Вводные'!$B$296="Новый сезон",TRUE,TRUE),'06_Сеть_и_дети'!D68*CapacityAge16*'19_Расчет_аналитики'!$F$2235,0)</f>
        <v/>
      </c>
      <c r="E2559">
        <f>IF(IF('01_Вводные'!$B$296="Новый сезон",TRUE,TRUE),'06_Сеть_и_дети'!E68*CapacityAge16*'19_Расчет_аналитики'!$F$2235,0)</f>
        <v/>
      </c>
      <c r="F2559">
        <f>IF(IF('01_Вводные'!$B$296="Новый сезон",TRUE,TRUE),'06_Сеть_и_дети'!F68*CapacityAge16*'19_Расчет_аналитики'!$F$2235,0)</f>
        <v/>
      </c>
      <c r="G2559">
        <f>IF(IF('01_Вводные'!$B$296="Новый сезон",TRUE,TRUE),'06_Сеть_и_дети'!G68*CapacityAge16*'19_Расчет_аналитики'!$F$2235,0)</f>
        <v/>
      </c>
      <c r="H2559">
        <f>IF(IF('01_Вводные'!$B$296="Новый сезон",TRUE,TRUE),'06_Сеть_и_дети'!H68*CapacityAge16*'19_Расчет_аналитики'!$F$2235,0)</f>
        <v/>
      </c>
      <c r="I2559">
        <f>IF(IF('01_Вводные'!$B$296="Новый сезон",TRUE,TRUE),'06_Сеть_и_дети'!I68*CapacityAge16*'19_Расчет_аналитики'!$F$2235,0)</f>
        <v/>
      </c>
      <c r="J2559">
        <f>IF(IF('01_Вводные'!$B$296="Новый сезон",TRUE,TRUE),'06_Сеть_и_дети'!J68*CapacityAge16*'19_Расчет_аналитики'!$F$2235,0)</f>
        <v/>
      </c>
      <c r="K2559">
        <f>IF(IF('01_Вводные'!$B$296="Новый сезон",TRUE,TRUE),'06_Сеть_и_дети'!K68*CapacityAge16*'19_Расчет_аналитики'!$F$2235,0)</f>
        <v/>
      </c>
      <c r="L2559">
        <f>IF(IF('01_Вводные'!$B$296="Новый сезон",TRUE,TRUE),'06_Сеть_и_дети'!L68*CapacityAge16*'19_Расчет_аналитики'!$F$2235,0)</f>
        <v/>
      </c>
      <c r="M2559">
        <f>IF(IF('01_Вводные'!$B$296="Новый сезон",TRUE,TRUE),'06_Сеть_и_дети'!M68*CapacityAge16*'19_Расчет_аналитики'!$F$2235,0)</f>
        <v/>
      </c>
      <c r="N2559">
        <f>IF(IF('01_Вводные'!$B$296="Новый сезон",TRUE,TRUE),'06_Сеть_и_дети'!N68*CapacityAge16*'19_Расчет_аналитики'!$F$2235,0)</f>
        <v/>
      </c>
      <c r="O2559">
        <f>IF(IF('01_Вводные'!$B$296="Новый сезон",TRUE,TRUE),'06_Сеть_и_дети'!O68*CapacityAge16*'19_Расчет_аналитики'!$F$2235,0)</f>
        <v/>
      </c>
      <c r="P2559">
        <f>IF(IF('01_Вводные'!$B$296="Новый сезон",TRUE,TRUE),'06_Сеть_и_дети'!P68*CapacityAge16*'19_Расчет_аналитики'!$F$2235,0)</f>
        <v/>
      </c>
      <c r="Q2559">
        <f>IF(IF('01_Вводные'!$B$296="Новый сезон",TRUE,TRUE),'19_Расчет_аналитики'!Q2447*CapacityAge16*'19_Расчет_аналитики'!$F$2235,0)</f>
        <v/>
      </c>
      <c r="R2559">
        <f>IF(IF('01_Вводные'!$B$296="Новый сезон",TRUE,TRUE),'19_Расчет_аналитики'!R2447*CapacityAge16*'19_Расчет_аналитики'!$F$2235,0)</f>
        <v/>
      </c>
      <c r="S2559">
        <f>IF(IF('01_Вводные'!$B$296="Новый сезон",TRUE,TRUE),'19_Расчет_аналитики'!S2447*CapacityAge16*'19_Расчет_аналитики'!$F$2235,0)</f>
        <v/>
      </c>
      <c r="T2559">
        <f>IF(IF('01_Вводные'!$B$296="Новый сезон",TRUE,TRUE),'19_Расчет_аналитики'!T2447*CapacityAge16*'19_Расчет_аналитики'!$F$2235,0)</f>
        <v/>
      </c>
      <c r="U2559">
        <f>IF(IF('01_Вводные'!$B$296="Новый сезон",TRUE,TRUE),'19_Расчет_аналитики'!U2447*CapacityAge16*'19_Расчет_аналитики'!$F$2235,0)</f>
        <v/>
      </c>
      <c r="V2559">
        <f>IF(IF('01_Вводные'!$B$296="Новый сезон",TRUE,TRUE),'19_Расчет_аналитики'!V2447*CapacityAge16*'19_Расчет_аналитики'!$F$2235,0)</f>
        <v/>
      </c>
      <c r="W2559">
        <f>IF(IF('01_Вводные'!$B$296="Новый сезон",TRUE,TRUE),'19_Расчет_аналитики'!W2447*CapacityAge16*'19_Расчет_аналитики'!$F$2235,0)</f>
        <v/>
      </c>
      <c r="X2559">
        <f>IF(IF('01_Вводные'!$B$296="Новый сезон",TRUE,TRUE),'19_Расчет_аналитики'!X2447*CapacityAge16*'19_Расчет_аналитики'!$F$2235,0)</f>
        <v/>
      </c>
      <c r="Y2559">
        <f>IF(IF('01_Вводные'!$B$296="Новый сезон",TRUE,TRUE),'19_Расчет_аналитики'!Y2447*CapacityAge16*'19_Расчет_аналитики'!$F$2235,0)</f>
        <v/>
      </c>
      <c r="Z2559">
        <f>IF(IF('01_Вводные'!$B$296="Новый сезон",TRUE,TRUE),'19_Расчет_аналитики'!Z2447*CapacityAge16*'19_Расчет_аналитики'!$F$2235,0)</f>
        <v/>
      </c>
      <c r="AA2559">
        <f>IF(IF('01_Вводные'!$B$296="Новый сезон",TRUE,TRUE),'19_Расчет_аналитики'!AA2447*CapacityAge16*'19_Расчет_аналитики'!$F$2235,0)</f>
        <v/>
      </c>
      <c r="AB2559">
        <f>IF(IF('01_Вводные'!$B$296="Новый сезон",TRUE,TRUE),'19_Расчет_аналитики'!AB2447*CapacityAge16*'19_Расчет_аналитики'!$F$2235,0)</f>
        <v/>
      </c>
      <c r="AC2559">
        <f>IF(IF('01_Вводные'!$B$296="Новый сезон",TRUE,TRUE),'19_Расчет_аналитики'!AC2447*CapacityAge16*'19_Расчет_аналитики'!$F$2235,0)</f>
        <v/>
      </c>
      <c r="AD2559">
        <f>IF(IF('01_Вводные'!$B$296="Новый сезон",TRUE,TRUE),'19_Расчет_аналитики'!AD2447*CapacityAge16*'19_Расчет_аналитики'!$F$2235,0)</f>
        <v/>
      </c>
      <c r="AE2559">
        <f>IF(IF('01_Вводные'!$B$296="Новый сезон",TRUE,TRUE),'19_Расчет_аналитики'!AE2447*CapacityAge16*'19_Расчет_аналитики'!$F$2235,0)</f>
        <v/>
      </c>
      <c r="AF2559">
        <f>IF(IF('01_Вводные'!$B$296="Новый сезон",TRUE,TRUE),'19_Расчет_аналитики'!AF2447*CapacityAge16*'19_Расчет_аналитики'!$F$2235,0)</f>
        <v/>
      </c>
      <c r="AG2559">
        <f>IF(IF('01_Вводные'!$B$296="Новый сезон",TRUE,TRUE),'19_Расчет_аналитики'!AG2447*CapacityAge16*'19_Расчет_аналитики'!$F$2235,0)</f>
        <v/>
      </c>
      <c r="AH2559">
        <f>IF(IF('01_Вводные'!$B$296="Новый сезон",TRUE,TRUE),'19_Расчет_аналитики'!AH2447*CapacityAge16*'19_Расчет_аналитики'!$F$2235,0)</f>
        <v/>
      </c>
      <c r="AI2559">
        <f>IF(IF('01_Вводные'!$B$296="Новый сезон",TRUE,TRUE),'19_Расчет_аналитики'!AI2447*CapacityAge16*'19_Расчет_аналитики'!$F$2235,0)</f>
        <v/>
      </c>
      <c r="AJ2559">
        <f>IF(IF('01_Вводные'!$B$296="Новый сезон",TRUE,TRUE),'19_Расчет_аналитики'!AJ2447*CapacityAge16*'19_Расчет_аналитики'!$F$2235,0)</f>
        <v/>
      </c>
      <c r="AK2559">
        <f>IF(IF('01_Вводные'!$B$296="Новый сезон",TRUE,TRUE),'19_Расчет_аналитики'!AK2447*CapacityAge16*'19_Расчет_аналитики'!$F$2235,0)</f>
        <v/>
      </c>
      <c r="AL2559">
        <f>IF(IF('01_Вводные'!$B$296="Новый сезон",TRUE,TRUE),'19_Расчет_аналитики'!AL2447*CapacityAge16*'19_Расчет_аналитики'!$F$2235,0)</f>
        <v/>
      </c>
      <c r="AM2559">
        <f>IF(IF('01_Вводные'!$B$296="Новый сезон",TRUE,TRUE),'19_Расчет_аналитики'!AM2447*CapacityAge16*'19_Расчет_аналитики'!$F$2235,0)</f>
        <v/>
      </c>
      <c r="AN2559">
        <f>IF(IF('01_Вводные'!$B$296="Новый сезон",TRUE,TRUE),'19_Расчет_аналитики'!AN2447*CapacityAge16*'19_Расчет_аналитики'!$F$2235,0)</f>
        <v/>
      </c>
      <c r="AO2559">
        <f>IF(IF('01_Вводные'!$B$296="Новый сезон",TRUE,TRUE),'19_Расчет_аналитики'!AO2447*CapacityAge16*'19_Расчет_аналитики'!$F$2235,0)</f>
        <v/>
      </c>
      <c r="AP2559">
        <f>IF(IF('01_Вводные'!$B$296="Новый сезон",TRUE,TRUE),'19_Расчет_аналитики'!AP2447*CapacityAge16*'19_Расчет_аналитики'!$F$2235,0)</f>
        <v/>
      </c>
      <c r="AQ2559">
        <f>IF(IF('01_Вводные'!$B$296="Новый сезон",TRUE,TRUE),'19_Расчет_аналитики'!AQ2447*CapacityAge16*'19_Расчет_аналитики'!$F$2235,0)</f>
        <v/>
      </c>
      <c r="AR2559">
        <f>IF(IF('01_Вводные'!$B$296="Новый сезон",TRUE,TRUE),'19_Расчет_аналитики'!AR2447*CapacityAge16*'19_Расчет_аналитики'!$F$2235,0)</f>
        <v/>
      </c>
      <c r="AS2559">
        <f>IF(IF('01_Вводные'!$B$296="Новый сезон",TRUE,TRUE),'19_Расчет_аналитики'!AS2447*CapacityAge16*'19_Расчет_аналитики'!$F$2235,0)</f>
        <v/>
      </c>
      <c r="AT2559">
        <f>IF(IF('01_Вводные'!$B$296="Новый сезон",TRUE,TRUE),'19_Расчет_аналитики'!AT2447*CapacityAge16*'19_Расчет_аналитики'!$F$2235,0)</f>
        <v/>
      </c>
      <c r="AU2559">
        <f>IF(IF('01_Вводные'!$B$296="Новый сезон",TRUE,TRUE),'19_Расчет_аналитики'!AU2447*CapacityAge16*'19_Расчет_аналитики'!$F$2235,0)</f>
        <v/>
      </c>
      <c r="AV2559">
        <f>IF(IF('01_Вводные'!$B$296="Новый сезон",TRUE,TRUE),'19_Расчет_аналитики'!AV2447*CapacityAge16*'19_Расчет_аналитики'!$F$2235,0)</f>
        <v/>
      </c>
      <c r="AW2559">
        <f>IF(IF('01_Вводные'!$B$296="Новый сезон",TRUE,TRUE),'19_Расчет_аналитики'!AW2447*CapacityAge16*'19_Расчет_аналитики'!$F$2235,0)</f>
        <v/>
      </c>
      <c r="AX2559">
        <f>IF(IF('01_Вводные'!$B$296="Новый сезон",TRUE,TRUE),'19_Расчет_аналитики'!AX2447*CapacityAge16*'19_Расчет_аналитики'!$F$2235,0)</f>
        <v/>
      </c>
      <c r="AY2559">
        <f>IF(IF('01_Вводные'!$B$296="Новый сезон",TRUE,TRUE),'19_Расчет_аналитики'!AY2447*CapacityAge16*'19_Расчет_аналитики'!$F$2235,0)</f>
        <v/>
      </c>
      <c r="AZ2559">
        <f>IF(IF('01_Вводные'!$B$296="Новый сезон",TRUE,TRUE),'19_Расчет_аналитики'!AZ2447*CapacityAge16*'19_Расчет_аналитики'!$F$2235,0)</f>
        <v/>
      </c>
      <c r="BA2559">
        <f>IF(IF('01_Вводные'!$B$296="Новый сезон",TRUE,TRUE),'19_Расчет_аналитики'!BA2447*CapacityAge16*'19_Расчет_аналитики'!$F$2235,0)</f>
        <v/>
      </c>
      <c r="BB2559">
        <f>IF(IF('01_Вводные'!$B$296="Новый сезон",TRUE,TRUE),'19_Расчет_аналитики'!BB2447*CapacityAge16*'19_Расчет_аналитики'!$F$2235,0)</f>
        <v/>
      </c>
      <c r="BC2559">
        <f>IF(IF('01_Вводные'!$B$296="Новый сезон",TRUE,TRUE),'19_Расчет_аналитики'!BC2447*CapacityAge16*'19_Расчет_аналитики'!$F$2235,0)</f>
        <v/>
      </c>
      <c r="BD2559">
        <f>IF(IF('01_Вводные'!$B$296="Новый сезон",TRUE,TRUE),'19_Расчет_аналитики'!BD2447*CapacityAge16*'19_Расчет_аналитики'!$F$2235,0)</f>
        <v/>
      </c>
      <c r="BE2559">
        <f>IF(IF('01_Вводные'!$B$296="Новый сезон",TRUE,TRUE),'19_Расчет_аналитики'!BE2447*CapacityAge16*'19_Расчет_аналитики'!$F$2235,0)</f>
        <v/>
      </c>
      <c r="BF2559">
        <f>IF(IF('01_Вводные'!$B$296="Новый сезон",TRUE,TRUE),'19_Расчет_аналитики'!BF2447*CapacityAge16*'19_Расчет_аналитики'!$F$2235,0)</f>
        <v/>
      </c>
      <c r="BG2559">
        <f>IF(IF('01_Вводные'!$B$296="Новый сезон",TRUE,TRUE),'19_Расчет_аналитики'!BG2447*CapacityAge16*'19_Расчет_аналитики'!$F$2235,0)</f>
        <v/>
      </c>
      <c r="BH2559">
        <f>IF(IF('01_Вводные'!$B$296="Новый сезон",TRUE,TRUE),'19_Расчет_аналитики'!BH2447*CapacityAge16*'19_Расчет_аналитики'!$F$2235,0)</f>
        <v/>
      </c>
      <c r="BI2559">
        <f>IF(IF('01_Вводные'!$B$296="Новый сезон",TRUE,TRUE),'19_Расчет_аналитики'!BI2447*CapacityAge16*'19_Расчет_аналитики'!$F$2235,0)</f>
        <v/>
      </c>
      <c r="BJ2559">
        <f>IF(IF('01_Вводные'!$B$296="Новый сезон",TRUE,TRUE),'19_Расчет_аналитики'!BJ2447*CapacityAge16*'19_Расчет_аналитики'!$F$2235,0)</f>
        <v/>
      </c>
      <c r="BK2559">
        <f>IF(IF('01_Вводные'!$B$296="Новый сезон",TRUE,TRUE),'19_Расчет_аналитики'!BK2447*CapacityAge16*'19_Расчет_аналитики'!$F$2235,0)</f>
        <v/>
      </c>
      <c r="BL2559">
        <f>IF(IF('01_Вводные'!$B$296="Новый сезон",TRUE,TRUE),'19_Расчет_аналитики'!BL2447*CapacityAge16*'19_Расчет_аналитики'!$F$2235,0)</f>
        <v/>
      </c>
      <c r="BM2559">
        <f>IF(IF('01_Вводные'!$B$296="Новый сезон",TRUE,TRUE),'19_Расчет_аналитики'!BM2447*CapacityAge16*'19_Расчет_аналитики'!$F$2235,0)</f>
        <v/>
      </c>
      <c r="BN2559">
        <f>IF(IF('01_Вводные'!$B$296="Новый сезон",TRUE,TRUE),'19_Расчет_аналитики'!BN2447*CapacityAge16*'19_Расчет_аналитики'!$F$2235,0)</f>
        <v/>
      </c>
      <c r="BO2559">
        <f>IF(IF('01_Вводные'!$B$296="Новый сезон",TRUE,TRUE),'19_Расчет_аналитики'!BO2447*CapacityAge16*'19_Расчет_аналитики'!$F$2235,0)</f>
        <v/>
      </c>
    </row>
    <row r="2560">
      <c r="B2560">
        <f>IF(IF('01_Вводные'!$B$296="Новый сезон",TRUE,TRUE),'06_Сеть_и_дети'!B69*CapacityAge17*'19_Расчет_аналитики'!$F$2235,0)</f>
        <v/>
      </c>
      <c r="C2560">
        <f>IF(IF('01_Вводные'!$B$296="Новый сезон",TRUE,TRUE),'06_Сеть_и_дети'!C69*CapacityAge17*'19_Расчет_аналитики'!$F$2235,0)</f>
        <v/>
      </c>
      <c r="D2560">
        <f>IF(IF('01_Вводные'!$B$296="Новый сезон",TRUE,TRUE),'06_Сеть_и_дети'!D69*CapacityAge17*'19_Расчет_аналитики'!$F$2235,0)</f>
        <v/>
      </c>
      <c r="E2560">
        <f>IF(IF('01_Вводные'!$B$296="Новый сезон",TRUE,TRUE),'06_Сеть_и_дети'!E69*CapacityAge17*'19_Расчет_аналитики'!$F$2235,0)</f>
        <v/>
      </c>
      <c r="F2560">
        <f>IF(IF('01_Вводные'!$B$296="Новый сезон",TRUE,TRUE),'06_Сеть_и_дети'!F69*CapacityAge17*'19_Расчет_аналитики'!$F$2235,0)</f>
        <v/>
      </c>
      <c r="G2560">
        <f>IF(IF('01_Вводные'!$B$296="Новый сезон",TRUE,TRUE),'06_Сеть_и_дети'!G69*CapacityAge17*'19_Расчет_аналитики'!$F$2235,0)</f>
        <v/>
      </c>
      <c r="H2560">
        <f>IF(IF('01_Вводные'!$B$296="Новый сезон",TRUE,TRUE),'06_Сеть_и_дети'!H69*CapacityAge17*'19_Расчет_аналитики'!$F$2235,0)</f>
        <v/>
      </c>
      <c r="I2560">
        <f>IF(IF('01_Вводные'!$B$296="Новый сезон",TRUE,TRUE),'06_Сеть_и_дети'!I69*CapacityAge17*'19_Расчет_аналитики'!$F$2235,0)</f>
        <v/>
      </c>
      <c r="J2560">
        <f>IF(IF('01_Вводные'!$B$296="Новый сезон",TRUE,TRUE),'06_Сеть_и_дети'!J69*CapacityAge17*'19_Расчет_аналитики'!$F$2235,0)</f>
        <v/>
      </c>
      <c r="K2560">
        <f>IF(IF('01_Вводные'!$B$296="Новый сезон",TRUE,TRUE),'06_Сеть_и_дети'!K69*CapacityAge17*'19_Расчет_аналитики'!$F$2235,0)</f>
        <v/>
      </c>
      <c r="L2560">
        <f>IF(IF('01_Вводные'!$B$296="Новый сезон",TRUE,TRUE),'06_Сеть_и_дети'!L69*CapacityAge17*'19_Расчет_аналитики'!$F$2235,0)</f>
        <v/>
      </c>
      <c r="M2560">
        <f>IF(IF('01_Вводные'!$B$296="Новый сезон",TRUE,TRUE),'06_Сеть_и_дети'!M69*CapacityAge17*'19_Расчет_аналитики'!$F$2235,0)</f>
        <v/>
      </c>
      <c r="N2560">
        <f>IF(IF('01_Вводные'!$B$296="Новый сезон",TRUE,TRUE),'06_Сеть_и_дети'!N69*CapacityAge17*'19_Расчет_аналитики'!$F$2235,0)</f>
        <v/>
      </c>
      <c r="O2560">
        <f>IF(IF('01_Вводные'!$B$296="Новый сезон",TRUE,TRUE),'06_Сеть_и_дети'!O69*CapacityAge17*'19_Расчет_аналитики'!$F$2235,0)</f>
        <v/>
      </c>
      <c r="P2560">
        <f>IF(IF('01_Вводные'!$B$296="Новый сезон",TRUE,TRUE),'06_Сеть_и_дети'!P69*CapacityAge17*'19_Расчет_аналитики'!$F$2235,0)</f>
        <v/>
      </c>
      <c r="Q2560">
        <f>IF(IF('01_Вводные'!$B$296="Новый сезон",TRUE,TRUE),'06_Сеть_и_дети'!Q69*CapacityAge17*'19_Расчет_аналитики'!$F$2235,0)</f>
        <v/>
      </c>
      <c r="R2560">
        <f>IF(IF('01_Вводные'!$B$296="Новый сезон",TRUE,TRUE),'19_Расчет_аналитики'!R2448*CapacityAge17*'19_Расчет_аналитики'!$F$2235,0)</f>
        <v/>
      </c>
      <c r="S2560">
        <f>IF(IF('01_Вводные'!$B$296="Новый сезон",TRUE,TRUE),'19_Расчет_аналитики'!S2448*CapacityAge17*'19_Расчет_аналитики'!$F$2235,0)</f>
        <v/>
      </c>
      <c r="T2560">
        <f>IF(IF('01_Вводные'!$B$296="Новый сезон",TRUE,TRUE),'19_Расчет_аналитики'!T2448*CapacityAge17*'19_Расчет_аналитики'!$F$2235,0)</f>
        <v/>
      </c>
      <c r="U2560">
        <f>IF(IF('01_Вводные'!$B$296="Новый сезон",TRUE,TRUE),'19_Расчет_аналитики'!U2448*CapacityAge17*'19_Расчет_аналитики'!$F$2235,0)</f>
        <v/>
      </c>
      <c r="V2560">
        <f>IF(IF('01_Вводные'!$B$296="Новый сезон",TRUE,TRUE),'19_Расчет_аналитики'!V2448*CapacityAge17*'19_Расчет_аналитики'!$F$2235,0)</f>
        <v/>
      </c>
      <c r="W2560">
        <f>IF(IF('01_Вводные'!$B$296="Новый сезон",TRUE,TRUE),'19_Расчет_аналитики'!W2448*CapacityAge17*'19_Расчет_аналитики'!$F$2235,0)</f>
        <v/>
      </c>
      <c r="X2560">
        <f>IF(IF('01_Вводные'!$B$296="Новый сезон",TRUE,TRUE),'19_Расчет_аналитики'!X2448*CapacityAge17*'19_Расчет_аналитики'!$F$2235,0)</f>
        <v/>
      </c>
      <c r="Y2560">
        <f>IF(IF('01_Вводные'!$B$296="Новый сезон",TRUE,TRUE),'19_Расчет_аналитики'!Y2448*CapacityAge17*'19_Расчет_аналитики'!$F$2235,0)</f>
        <v/>
      </c>
      <c r="Z2560">
        <f>IF(IF('01_Вводные'!$B$296="Новый сезон",TRUE,TRUE),'19_Расчет_аналитики'!Z2448*CapacityAge17*'19_Расчет_аналитики'!$F$2235,0)</f>
        <v/>
      </c>
      <c r="AA2560">
        <f>IF(IF('01_Вводные'!$B$296="Новый сезон",TRUE,TRUE),'19_Расчет_аналитики'!AA2448*CapacityAge17*'19_Расчет_аналитики'!$F$2235,0)</f>
        <v/>
      </c>
      <c r="AB2560">
        <f>IF(IF('01_Вводные'!$B$296="Новый сезон",TRUE,TRUE),'19_Расчет_аналитики'!AB2448*CapacityAge17*'19_Расчет_аналитики'!$F$2235,0)</f>
        <v/>
      </c>
      <c r="AC2560">
        <f>IF(IF('01_Вводные'!$B$296="Новый сезон",TRUE,TRUE),'19_Расчет_аналитики'!AC2448*CapacityAge17*'19_Расчет_аналитики'!$F$2235,0)</f>
        <v/>
      </c>
      <c r="AD2560">
        <f>IF(IF('01_Вводные'!$B$296="Новый сезон",TRUE,TRUE),'19_Расчет_аналитики'!AD2448*CapacityAge17*'19_Расчет_аналитики'!$F$2235,0)</f>
        <v/>
      </c>
      <c r="AE2560">
        <f>IF(IF('01_Вводные'!$B$296="Новый сезон",TRUE,TRUE),'19_Расчет_аналитики'!AE2448*CapacityAge17*'19_Расчет_аналитики'!$F$2235,0)</f>
        <v/>
      </c>
      <c r="AF2560">
        <f>IF(IF('01_Вводные'!$B$296="Новый сезон",TRUE,TRUE),'19_Расчет_аналитики'!AF2448*CapacityAge17*'19_Расчет_аналитики'!$F$2235,0)</f>
        <v/>
      </c>
      <c r="AG2560">
        <f>IF(IF('01_Вводные'!$B$296="Новый сезон",TRUE,TRUE),'19_Расчет_аналитики'!AG2448*CapacityAge17*'19_Расчет_аналитики'!$F$2235,0)</f>
        <v/>
      </c>
      <c r="AH2560">
        <f>IF(IF('01_Вводные'!$B$296="Новый сезон",TRUE,TRUE),'19_Расчет_аналитики'!AH2448*CapacityAge17*'19_Расчет_аналитики'!$F$2235,0)</f>
        <v/>
      </c>
      <c r="AI2560">
        <f>IF(IF('01_Вводные'!$B$296="Новый сезон",TRUE,TRUE),'19_Расчет_аналитики'!AI2448*CapacityAge17*'19_Расчет_аналитики'!$F$2235,0)</f>
        <v/>
      </c>
      <c r="AJ2560">
        <f>IF(IF('01_Вводные'!$B$296="Новый сезон",TRUE,TRUE),'19_Расчет_аналитики'!AJ2448*CapacityAge17*'19_Расчет_аналитики'!$F$2235,0)</f>
        <v/>
      </c>
      <c r="AK2560">
        <f>IF(IF('01_Вводные'!$B$296="Новый сезон",TRUE,TRUE),'19_Расчет_аналитики'!AK2448*CapacityAge17*'19_Расчет_аналитики'!$F$2235,0)</f>
        <v/>
      </c>
      <c r="AL2560">
        <f>IF(IF('01_Вводные'!$B$296="Новый сезон",TRUE,TRUE),'19_Расчет_аналитики'!AL2448*CapacityAge17*'19_Расчет_аналитики'!$F$2235,0)</f>
        <v/>
      </c>
      <c r="AM2560">
        <f>IF(IF('01_Вводные'!$B$296="Новый сезон",TRUE,TRUE),'19_Расчет_аналитики'!AM2448*CapacityAge17*'19_Расчет_аналитики'!$F$2235,0)</f>
        <v/>
      </c>
      <c r="AN2560">
        <f>IF(IF('01_Вводные'!$B$296="Новый сезон",TRUE,TRUE),'19_Расчет_аналитики'!AN2448*CapacityAge17*'19_Расчет_аналитики'!$F$2235,0)</f>
        <v/>
      </c>
      <c r="AO2560">
        <f>IF(IF('01_Вводные'!$B$296="Новый сезон",TRUE,TRUE),'19_Расчет_аналитики'!AO2448*CapacityAge17*'19_Расчет_аналитики'!$F$2235,0)</f>
        <v/>
      </c>
      <c r="AP2560">
        <f>IF(IF('01_Вводные'!$B$296="Новый сезон",TRUE,TRUE),'19_Расчет_аналитики'!AP2448*CapacityAge17*'19_Расчет_аналитики'!$F$2235,0)</f>
        <v/>
      </c>
      <c r="AQ2560">
        <f>IF(IF('01_Вводные'!$B$296="Новый сезон",TRUE,TRUE),'19_Расчет_аналитики'!AQ2448*CapacityAge17*'19_Расчет_аналитики'!$F$2235,0)</f>
        <v/>
      </c>
      <c r="AR2560">
        <f>IF(IF('01_Вводные'!$B$296="Новый сезон",TRUE,TRUE),'19_Расчет_аналитики'!AR2448*CapacityAge17*'19_Расчет_аналитики'!$F$2235,0)</f>
        <v/>
      </c>
      <c r="AS2560">
        <f>IF(IF('01_Вводные'!$B$296="Новый сезон",TRUE,TRUE),'19_Расчет_аналитики'!AS2448*CapacityAge17*'19_Расчет_аналитики'!$F$2235,0)</f>
        <v/>
      </c>
      <c r="AT2560">
        <f>IF(IF('01_Вводные'!$B$296="Новый сезон",TRUE,TRUE),'19_Расчет_аналитики'!AT2448*CapacityAge17*'19_Расчет_аналитики'!$F$2235,0)</f>
        <v/>
      </c>
      <c r="AU2560">
        <f>IF(IF('01_Вводные'!$B$296="Новый сезон",TRUE,TRUE),'19_Расчет_аналитики'!AU2448*CapacityAge17*'19_Расчет_аналитики'!$F$2235,0)</f>
        <v/>
      </c>
      <c r="AV2560">
        <f>IF(IF('01_Вводные'!$B$296="Новый сезон",TRUE,TRUE),'19_Расчет_аналитики'!AV2448*CapacityAge17*'19_Расчет_аналитики'!$F$2235,0)</f>
        <v/>
      </c>
      <c r="AW2560">
        <f>IF(IF('01_Вводные'!$B$296="Новый сезон",TRUE,TRUE),'19_Расчет_аналитики'!AW2448*CapacityAge17*'19_Расчет_аналитики'!$F$2235,0)</f>
        <v/>
      </c>
      <c r="AX2560">
        <f>IF(IF('01_Вводные'!$B$296="Новый сезон",TRUE,TRUE),'19_Расчет_аналитики'!AX2448*CapacityAge17*'19_Расчет_аналитики'!$F$2235,0)</f>
        <v/>
      </c>
      <c r="AY2560">
        <f>IF(IF('01_Вводные'!$B$296="Новый сезон",TRUE,TRUE),'19_Расчет_аналитики'!AY2448*CapacityAge17*'19_Расчет_аналитики'!$F$2235,0)</f>
        <v/>
      </c>
      <c r="AZ2560">
        <f>IF(IF('01_Вводные'!$B$296="Новый сезон",TRUE,TRUE),'19_Расчет_аналитики'!AZ2448*CapacityAge17*'19_Расчет_аналитики'!$F$2235,0)</f>
        <v/>
      </c>
      <c r="BA2560">
        <f>IF(IF('01_Вводные'!$B$296="Новый сезон",TRUE,TRUE),'19_Расчет_аналитики'!BA2448*CapacityAge17*'19_Расчет_аналитики'!$F$2235,0)</f>
        <v/>
      </c>
      <c r="BB2560">
        <f>IF(IF('01_Вводные'!$B$296="Новый сезон",TRUE,TRUE),'19_Расчет_аналитики'!BB2448*CapacityAge17*'19_Расчет_аналитики'!$F$2235,0)</f>
        <v/>
      </c>
      <c r="BC2560">
        <f>IF(IF('01_Вводные'!$B$296="Новый сезон",TRUE,TRUE),'19_Расчет_аналитики'!BC2448*CapacityAge17*'19_Расчет_аналитики'!$F$2235,0)</f>
        <v/>
      </c>
      <c r="BD2560">
        <f>IF(IF('01_Вводные'!$B$296="Новый сезон",TRUE,TRUE),'19_Расчет_аналитики'!BD2448*CapacityAge17*'19_Расчет_аналитики'!$F$2235,0)</f>
        <v/>
      </c>
      <c r="BE2560">
        <f>IF(IF('01_Вводные'!$B$296="Новый сезон",TRUE,TRUE),'19_Расчет_аналитики'!BE2448*CapacityAge17*'19_Расчет_аналитики'!$F$2235,0)</f>
        <v/>
      </c>
      <c r="BF2560">
        <f>IF(IF('01_Вводные'!$B$296="Новый сезон",TRUE,TRUE),'19_Расчет_аналитики'!BF2448*CapacityAge17*'19_Расчет_аналитики'!$F$2235,0)</f>
        <v/>
      </c>
      <c r="BG2560">
        <f>IF(IF('01_Вводные'!$B$296="Новый сезон",TRUE,TRUE),'19_Расчет_аналитики'!BG2448*CapacityAge17*'19_Расчет_аналитики'!$F$2235,0)</f>
        <v/>
      </c>
      <c r="BH2560">
        <f>IF(IF('01_Вводные'!$B$296="Новый сезон",TRUE,TRUE),'19_Расчет_аналитики'!BH2448*CapacityAge17*'19_Расчет_аналитики'!$F$2235,0)</f>
        <v/>
      </c>
      <c r="BI2560">
        <f>IF(IF('01_Вводные'!$B$296="Новый сезон",TRUE,TRUE),'19_Расчет_аналитики'!BI2448*CapacityAge17*'19_Расчет_аналитики'!$F$2235,0)</f>
        <v/>
      </c>
      <c r="BJ2560">
        <f>IF(IF('01_Вводные'!$B$296="Новый сезон",TRUE,TRUE),'19_Расчет_аналитики'!BJ2448*CapacityAge17*'19_Расчет_аналитики'!$F$2235,0)</f>
        <v/>
      </c>
      <c r="BK2560">
        <f>IF(IF('01_Вводные'!$B$296="Новый сезон",TRUE,TRUE),'19_Расчет_аналитики'!BK2448*CapacityAge17*'19_Расчет_аналитики'!$F$2235,0)</f>
        <v/>
      </c>
      <c r="BL2560">
        <f>IF(IF('01_Вводные'!$B$296="Новый сезон",TRUE,TRUE),'19_Расчет_аналитики'!BL2448*CapacityAge17*'19_Расчет_аналитики'!$F$2235,0)</f>
        <v/>
      </c>
      <c r="BM2560">
        <f>IF(IF('01_Вводные'!$B$296="Новый сезон",TRUE,TRUE),'19_Расчет_аналитики'!BM2448*CapacityAge17*'19_Расчет_аналитики'!$F$2235,0)</f>
        <v/>
      </c>
      <c r="BN2560">
        <f>IF(IF('01_Вводные'!$B$296="Новый сезон",TRUE,TRUE),'19_Расчет_аналитики'!BN2448*CapacityAge17*'19_Расчет_аналитики'!$F$2235,0)</f>
        <v/>
      </c>
      <c r="BO2560">
        <f>IF(IF('01_Вводные'!$B$296="Новый сезон",TRUE,TRUE),'19_Расчет_аналитики'!BO2448*CapacityAge17*'19_Расчет_аналитики'!$F$2235,0)</f>
        <v/>
      </c>
    </row>
    <row r="2561">
      <c r="B2561">
        <f>IF(IF('01_Вводные'!$B$296="Новый сезон",TRUE,TRUE),'06_Сеть_и_дети'!B70*CapacityAge18*'19_Расчет_аналитики'!$F$2235,0)</f>
        <v/>
      </c>
      <c r="C2561">
        <f>IF(IF('01_Вводные'!$B$296="Новый сезон",TRUE,TRUE),'06_Сеть_и_дети'!C70*CapacityAge18*'19_Расчет_аналитики'!$F$2235,0)</f>
        <v/>
      </c>
      <c r="D2561">
        <f>IF(IF('01_Вводные'!$B$296="Новый сезон",TRUE,TRUE),'06_Сеть_и_дети'!D70*CapacityAge18*'19_Расчет_аналитики'!$F$2235,0)</f>
        <v/>
      </c>
      <c r="E2561">
        <f>IF(IF('01_Вводные'!$B$296="Новый сезон",TRUE,TRUE),'06_Сеть_и_дети'!E70*CapacityAge18*'19_Расчет_аналитики'!$F$2235,0)</f>
        <v/>
      </c>
      <c r="F2561">
        <f>IF(IF('01_Вводные'!$B$296="Новый сезон",TRUE,TRUE),'06_Сеть_и_дети'!F70*CapacityAge18*'19_Расчет_аналитики'!$F$2235,0)</f>
        <v/>
      </c>
      <c r="G2561">
        <f>IF(IF('01_Вводные'!$B$296="Новый сезон",TRUE,TRUE),'06_Сеть_и_дети'!G70*CapacityAge18*'19_Расчет_аналитики'!$F$2235,0)</f>
        <v/>
      </c>
      <c r="H2561">
        <f>IF(IF('01_Вводные'!$B$296="Новый сезон",TRUE,TRUE),'06_Сеть_и_дети'!H70*CapacityAge18*'19_Расчет_аналитики'!$F$2235,0)</f>
        <v/>
      </c>
      <c r="I2561">
        <f>IF(IF('01_Вводные'!$B$296="Новый сезон",TRUE,TRUE),'06_Сеть_и_дети'!I70*CapacityAge18*'19_Расчет_аналитики'!$F$2235,0)</f>
        <v/>
      </c>
      <c r="J2561">
        <f>IF(IF('01_Вводные'!$B$296="Новый сезон",TRUE,TRUE),'06_Сеть_и_дети'!J70*CapacityAge18*'19_Расчет_аналитики'!$F$2235,0)</f>
        <v/>
      </c>
      <c r="K2561">
        <f>IF(IF('01_Вводные'!$B$296="Новый сезон",TRUE,TRUE),'06_Сеть_и_дети'!K70*CapacityAge18*'19_Расчет_аналитики'!$F$2235,0)</f>
        <v/>
      </c>
      <c r="L2561">
        <f>IF(IF('01_Вводные'!$B$296="Новый сезон",TRUE,TRUE),'06_Сеть_и_дети'!L70*CapacityAge18*'19_Расчет_аналитики'!$F$2235,0)</f>
        <v/>
      </c>
      <c r="M2561">
        <f>IF(IF('01_Вводные'!$B$296="Новый сезон",TRUE,TRUE),'06_Сеть_и_дети'!M70*CapacityAge18*'19_Расчет_аналитики'!$F$2235,0)</f>
        <v/>
      </c>
      <c r="N2561">
        <f>IF(IF('01_Вводные'!$B$296="Новый сезон",TRUE,TRUE),'06_Сеть_и_дети'!N70*CapacityAge18*'19_Расчет_аналитики'!$F$2235,0)</f>
        <v/>
      </c>
      <c r="O2561">
        <f>IF(IF('01_Вводные'!$B$296="Новый сезон",TRUE,TRUE),'06_Сеть_и_дети'!O70*CapacityAge18*'19_Расчет_аналитики'!$F$2235,0)</f>
        <v/>
      </c>
      <c r="P2561">
        <f>IF(IF('01_Вводные'!$B$296="Новый сезон",TRUE,TRUE),'06_Сеть_и_дети'!P70*CapacityAge18*'19_Расчет_аналитики'!$F$2235,0)</f>
        <v/>
      </c>
      <c r="Q2561">
        <f>IF(IF('01_Вводные'!$B$296="Новый сезон",TRUE,TRUE),'06_Сеть_и_дети'!Q70*CapacityAge18*'19_Расчет_аналитики'!$F$2235,0)</f>
        <v/>
      </c>
      <c r="R2561">
        <f>IF(IF('01_Вводные'!$B$296="Новый сезон",TRUE,TRUE),'06_Сеть_и_дети'!R70*CapacityAge18*'19_Расчет_аналитики'!$F$2235,0)</f>
        <v/>
      </c>
      <c r="S2561">
        <f>IF(IF('01_Вводные'!$B$296="Новый сезон",TRUE,TRUE),'19_Расчет_аналитики'!S2449*CapacityAge18*'19_Расчет_аналитики'!$F$2235,0)</f>
        <v/>
      </c>
      <c r="T2561">
        <f>IF(IF('01_Вводные'!$B$296="Новый сезон",TRUE,TRUE),'19_Расчет_аналитики'!T2449*CapacityAge18*'19_Расчет_аналитики'!$F$2235,0)</f>
        <v/>
      </c>
      <c r="U2561">
        <f>IF(IF('01_Вводные'!$B$296="Новый сезон",TRUE,TRUE),'19_Расчет_аналитики'!U2449*CapacityAge18*'19_Расчет_аналитики'!$F$2235,0)</f>
        <v/>
      </c>
      <c r="V2561">
        <f>IF(IF('01_Вводные'!$B$296="Новый сезон",TRUE,TRUE),'19_Расчет_аналитики'!V2449*CapacityAge18*'19_Расчет_аналитики'!$F$2235,0)</f>
        <v/>
      </c>
      <c r="W2561">
        <f>IF(IF('01_Вводные'!$B$296="Новый сезон",TRUE,TRUE),'19_Расчет_аналитики'!W2449*CapacityAge18*'19_Расчет_аналитики'!$F$2235,0)</f>
        <v/>
      </c>
      <c r="X2561">
        <f>IF(IF('01_Вводные'!$B$296="Новый сезон",TRUE,TRUE),'19_Расчет_аналитики'!X2449*CapacityAge18*'19_Расчет_аналитики'!$F$2235,0)</f>
        <v/>
      </c>
      <c r="Y2561">
        <f>IF(IF('01_Вводные'!$B$296="Новый сезон",TRUE,TRUE),'19_Расчет_аналитики'!Y2449*CapacityAge18*'19_Расчет_аналитики'!$F$2235,0)</f>
        <v/>
      </c>
      <c r="Z2561">
        <f>IF(IF('01_Вводные'!$B$296="Новый сезон",TRUE,TRUE),'19_Расчет_аналитики'!Z2449*CapacityAge18*'19_Расчет_аналитики'!$F$2235,0)</f>
        <v/>
      </c>
      <c r="AA2561">
        <f>IF(IF('01_Вводные'!$B$296="Новый сезон",TRUE,TRUE),'19_Расчет_аналитики'!AA2449*CapacityAge18*'19_Расчет_аналитики'!$F$2235,0)</f>
        <v/>
      </c>
      <c r="AB2561">
        <f>IF(IF('01_Вводные'!$B$296="Новый сезон",TRUE,TRUE),'19_Расчет_аналитики'!AB2449*CapacityAge18*'19_Расчет_аналитики'!$F$2235,0)</f>
        <v/>
      </c>
      <c r="AC2561">
        <f>IF(IF('01_Вводные'!$B$296="Новый сезон",TRUE,TRUE),'19_Расчет_аналитики'!AC2449*CapacityAge18*'19_Расчет_аналитики'!$F$2235,0)</f>
        <v/>
      </c>
      <c r="AD2561">
        <f>IF(IF('01_Вводные'!$B$296="Новый сезон",TRUE,TRUE),'19_Расчет_аналитики'!AD2449*CapacityAge18*'19_Расчет_аналитики'!$F$2235,0)</f>
        <v/>
      </c>
      <c r="AE2561">
        <f>IF(IF('01_Вводные'!$B$296="Новый сезон",TRUE,TRUE),'19_Расчет_аналитики'!AE2449*CapacityAge18*'19_Расчет_аналитики'!$F$2235,0)</f>
        <v/>
      </c>
      <c r="AF2561">
        <f>IF(IF('01_Вводные'!$B$296="Новый сезон",TRUE,TRUE),'19_Расчет_аналитики'!AF2449*CapacityAge18*'19_Расчет_аналитики'!$F$2235,0)</f>
        <v/>
      </c>
      <c r="AG2561">
        <f>IF(IF('01_Вводные'!$B$296="Новый сезон",TRUE,TRUE),'19_Расчет_аналитики'!AG2449*CapacityAge18*'19_Расчет_аналитики'!$F$2235,0)</f>
        <v/>
      </c>
      <c r="AH2561">
        <f>IF(IF('01_Вводные'!$B$296="Новый сезон",TRUE,TRUE),'19_Расчет_аналитики'!AH2449*CapacityAge18*'19_Расчет_аналитики'!$F$2235,0)</f>
        <v/>
      </c>
      <c r="AI2561">
        <f>IF(IF('01_Вводные'!$B$296="Новый сезон",TRUE,TRUE),'19_Расчет_аналитики'!AI2449*CapacityAge18*'19_Расчет_аналитики'!$F$2235,0)</f>
        <v/>
      </c>
      <c r="AJ2561">
        <f>IF(IF('01_Вводные'!$B$296="Новый сезон",TRUE,TRUE),'19_Расчет_аналитики'!AJ2449*CapacityAge18*'19_Расчет_аналитики'!$F$2235,0)</f>
        <v/>
      </c>
      <c r="AK2561">
        <f>IF(IF('01_Вводные'!$B$296="Новый сезон",TRUE,TRUE),'19_Расчет_аналитики'!AK2449*CapacityAge18*'19_Расчет_аналитики'!$F$2235,0)</f>
        <v/>
      </c>
      <c r="AL2561">
        <f>IF(IF('01_Вводные'!$B$296="Новый сезон",TRUE,TRUE),'19_Расчет_аналитики'!AL2449*CapacityAge18*'19_Расчет_аналитики'!$F$2235,0)</f>
        <v/>
      </c>
      <c r="AM2561">
        <f>IF(IF('01_Вводные'!$B$296="Новый сезон",TRUE,TRUE),'19_Расчет_аналитики'!AM2449*CapacityAge18*'19_Расчет_аналитики'!$F$2235,0)</f>
        <v/>
      </c>
      <c r="AN2561">
        <f>IF(IF('01_Вводные'!$B$296="Новый сезон",TRUE,TRUE),'19_Расчет_аналитики'!AN2449*CapacityAge18*'19_Расчет_аналитики'!$F$2235,0)</f>
        <v/>
      </c>
      <c r="AO2561">
        <f>IF(IF('01_Вводные'!$B$296="Новый сезон",TRUE,TRUE),'19_Расчет_аналитики'!AO2449*CapacityAge18*'19_Расчет_аналитики'!$F$2235,0)</f>
        <v/>
      </c>
      <c r="AP2561">
        <f>IF(IF('01_Вводные'!$B$296="Новый сезон",TRUE,TRUE),'19_Расчет_аналитики'!AP2449*CapacityAge18*'19_Расчет_аналитики'!$F$2235,0)</f>
        <v/>
      </c>
      <c r="AQ2561">
        <f>IF(IF('01_Вводные'!$B$296="Новый сезон",TRUE,TRUE),'19_Расчет_аналитики'!AQ2449*CapacityAge18*'19_Расчет_аналитики'!$F$2235,0)</f>
        <v/>
      </c>
      <c r="AR2561">
        <f>IF(IF('01_Вводные'!$B$296="Новый сезон",TRUE,TRUE),'19_Расчет_аналитики'!AR2449*CapacityAge18*'19_Расчет_аналитики'!$F$2235,0)</f>
        <v/>
      </c>
      <c r="AS2561">
        <f>IF(IF('01_Вводные'!$B$296="Новый сезон",TRUE,TRUE),'19_Расчет_аналитики'!AS2449*CapacityAge18*'19_Расчет_аналитики'!$F$2235,0)</f>
        <v/>
      </c>
      <c r="AT2561">
        <f>IF(IF('01_Вводные'!$B$296="Новый сезон",TRUE,TRUE),'19_Расчет_аналитики'!AT2449*CapacityAge18*'19_Расчет_аналитики'!$F$2235,0)</f>
        <v/>
      </c>
      <c r="AU2561">
        <f>IF(IF('01_Вводные'!$B$296="Новый сезон",TRUE,TRUE),'19_Расчет_аналитики'!AU2449*CapacityAge18*'19_Расчет_аналитики'!$F$2235,0)</f>
        <v/>
      </c>
      <c r="AV2561">
        <f>IF(IF('01_Вводные'!$B$296="Новый сезон",TRUE,TRUE),'19_Расчет_аналитики'!AV2449*CapacityAge18*'19_Расчет_аналитики'!$F$2235,0)</f>
        <v/>
      </c>
      <c r="AW2561">
        <f>IF(IF('01_Вводные'!$B$296="Новый сезон",TRUE,TRUE),'19_Расчет_аналитики'!AW2449*CapacityAge18*'19_Расчет_аналитики'!$F$2235,0)</f>
        <v/>
      </c>
      <c r="AX2561">
        <f>IF(IF('01_Вводные'!$B$296="Новый сезон",TRUE,TRUE),'19_Расчет_аналитики'!AX2449*CapacityAge18*'19_Расчет_аналитики'!$F$2235,0)</f>
        <v/>
      </c>
      <c r="AY2561">
        <f>IF(IF('01_Вводные'!$B$296="Новый сезон",TRUE,TRUE),'19_Расчет_аналитики'!AY2449*CapacityAge18*'19_Расчет_аналитики'!$F$2235,0)</f>
        <v/>
      </c>
      <c r="AZ2561">
        <f>IF(IF('01_Вводные'!$B$296="Новый сезон",TRUE,TRUE),'19_Расчет_аналитики'!AZ2449*CapacityAge18*'19_Расчет_аналитики'!$F$2235,0)</f>
        <v/>
      </c>
      <c r="BA2561">
        <f>IF(IF('01_Вводные'!$B$296="Новый сезон",TRUE,TRUE),'19_Расчет_аналитики'!BA2449*CapacityAge18*'19_Расчет_аналитики'!$F$2235,0)</f>
        <v/>
      </c>
      <c r="BB2561">
        <f>IF(IF('01_Вводные'!$B$296="Новый сезон",TRUE,TRUE),'19_Расчет_аналитики'!BB2449*CapacityAge18*'19_Расчет_аналитики'!$F$2235,0)</f>
        <v/>
      </c>
      <c r="BC2561">
        <f>IF(IF('01_Вводные'!$B$296="Новый сезон",TRUE,TRUE),'19_Расчет_аналитики'!BC2449*CapacityAge18*'19_Расчет_аналитики'!$F$2235,0)</f>
        <v/>
      </c>
      <c r="BD2561">
        <f>IF(IF('01_Вводные'!$B$296="Новый сезон",TRUE,TRUE),'19_Расчет_аналитики'!BD2449*CapacityAge18*'19_Расчет_аналитики'!$F$2235,0)</f>
        <v/>
      </c>
      <c r="BE2561">
        <f>IF(IF('01_Вводные'!$B$296="Новый сезон",TRUE,TRUE),'19_Расчет_аналитики'!BE2449*CapacityAge18*'19_Расчет_аналитики'!$F$2235,0)</f>
        <v/>
      </c>
      <c r="BF2561">
        <f>IF(IF('01_Вводные'!$B$296="Новый сезон",TRUE,TRUE),'19_Расчет_аналитики'!BF2449*CapacityAge18*'19_Расчет_аналитики'!$F$2235,0)</f>
        <v/>
      </c>
      <c r="BG2561">
        <f>IF(IF('01_Вводные'!$B$296="Новый сезон",TRUE,TRUE),'19_Расчет_аналитики'!BG2449*CapacityAge18*'19_Расчет_аналитики'!$F$2235,0)</f>
        <v/>
      </c>
      <c r="BH2561">
        <f>IF(IF('01_Вводные'!$B$296="Новый сезон",TRUE,TRUE),'19_Расчет_аналитики'!BH2449*CapacityAge18*'19_Расчет_аналитики'!$F$2235,0)</f>
        <v/>
      </c>
      <c r="BI2561">
        <f>IF(IF('01_Вводные'!$B$296="Новый сезон",TRUE,TRUE),'19_Расчет_аналитики'!BI2449*CapacityAge18*'19_Расчет_аналитики'!$F$2235,0)</f>
        <v/>
      </c>
      <c r="BJ2561">
        <f>IF(IF('01_Вводные'!$B$296="Новый сезон",TRUE,TRUE),'19_Расчет_аналитики'!BJ2449*CapacityAge18*'19_Расчет_аналитики'!$F$2235,0)</f>
        <v/>
      </c>
      <c r="BK2561">
        <f>IF(IF('01_Вводные'!$B$296="Новый сезон",TRUE,TRUE),'19_Расчет_аналитики'!BK2449*CapacityAge18*'19_Расчет_аналитики'!$F$2235,0)</f>
        <v/>
      </c>
      <c r="BL2561">
        <f>IF(IF('01_Вводные'!$B$296="Новый сезон",TRUE,TRUE),'19_Расчет_аналитики'!BL2449*CapacityAge18*'19_Расчет_аналитики'!$F$2235,0)</f>
        <v/>
      </c>
      <c r="BM2561">
        <f>IF(IF('01_Вводные'!$B$296="Новый сезон",TRUE,TRUE),'19_Расчет_аналитики'!BM2449*CapacityAge18*'19_Расчет_аналитики'!$F$2235,0)</f>
        <v/>
      </c>
      <c r="BN2561">
        <f>IF(IF('01_Вводные'!$B$296="Новый сезон",TRUE,TRUE),'19_Расчет_аналитики'!BN2449*CapacityAge18*'19_Расчет_аналитики'!$F$2235,0)</f>
        <v/>
      </c>
      <c r="BO2561">
        <f>IF(IF('01_Вводные'!$B$296="Новый сезон",TRUE,TRUE),'19_Расчет_аналитики'!BO2449*CapacityAge18*'19_Расчет_аналитики'!$F$2235,0)</f>
        <v/>
      </c>
    </row>
    <row r="2562">
      <c r="B2562">
        <f>IF(IF('01_Вводные'!$B$296="Новый сезон",TRUE,TRUE),'06_Сеть_и_дети'!B71*CapacityAge19*'19_Расчет_аналитики'!$F$2235,0)</f>
        <v/>
      </c>
      <c r="C2562">
        <f>IF(IF('01_Вводные'!$B$296="Новый сезон",TRUE,TRUE),'06_Сеть_и_дети'!C71*CapacityAge19*'19_Расчет_аналитики'!$F$2235,0)</f>
        <v/>
      </c>
      <c r="D2562">
        <f>IF(IF('01_Вводные'!$B$296="Новый сезон",TRUE,TRUE),'06_Сеть_и_дети'!D71*CapacityAge19*'19_Расчет_аналитики'!$F$2235,0)</f>
        <v/>
      </c>
      <c r="E2562">
        <f>IF(IF('01_Вводные'!$B$296="Новый сезон",TRUE,TRUE),'06_Сеть_и_дети'!E71*CapacityAge19*'19_Расчет_аналитики'!$F$2235,0)</f>
        <v/>
      </c>
      <c r="F2562">
        <f>IF(IF('01_Вводные'!$B$296="Новый сезон",TRUE,TRUE),'06_Сеть_и_дети'!F71*CapacityAge19*'19_Расчет_аналитики'!$F$2235,0)</f>
        <v/>
      </c>
      <c r="G2562">
        <f>IF(IF('01_Вводные'!$B$296="Новый сезон",TRUE,TRUE),'06_Сеть_и_дети'!G71*CapacityAge19*'19_Расчет_аналитики'!$F$2235,0)</f>
        <v/>
      </c>
      <c r="H2562">
        <f>IF(IF('01_Вводные'!$B$296="Новый сезон",TRUE,TRUE),'06_Сеть_и_дети'!H71*CapacityAge19*'19_Расчет_аналитики'!$F$2235,0)</f>
        <v/>
      </c>
      <c r="I2562">
        <f>IF(IF('01_Вводные'!$B$296="Новый сезон",TRUE,TRUE),'06_Сеть_и_дети'!I71*CapacityAge19*'19_Расчет_аналитики'!$F$2235,0)</f>
        <v/>
      </c>
      <c r="J2562">
        <f>IF(IF('01_Вводные'!$B$296="Новый сезон",TRUE,TRUE),'06_Сеть_и_дети'!J71*CapacityAge19*'19_Расчет_аналитики'!$F$2235,0)</f>
        <v/>
      </c>
      <c r="K2562">
        <f>IF(IF('01_Вводные'!$B$296="Новый сезон",TRUE,TRUE),'06_Сеть_и_дети'!K71*CapacityAge19*'19_Расчет_аналитики'!$F$2235,0)</f>
        <v/>
      </c>
      <c r="L2562">
        <f>IF(IF('01_Вводные'!$B$296="Новый сезон",TRUE,TRUE),'06_Сеть_и_дети'!L71*CapacityAge19*'19_Расчет_аналитики'!$F$2235,0)</f>
        <v/>
      </c>
      <c r="M2562">
        <f>IF(IF('01_Вводные'!$B$296="Новый сезон",TRUE,TRUE),'06_Сеть_и_дети'!M71*CapacityAge19*'19_Расчет_аналитики'!$F$2235,0)</f>
        <v/>
      </c>
      <c r="N2562">
        <f>IF(IF('01_Вводные'!$B$296="Новый сезон",TRUE,TRUE),'06_Сеть_и_дети'!N71*CapacityAge19*'19_Расчет_аналитики'!$F$2235,0)</f>
        <v/>
      </c>
      <c r="O2562">
        <f>IF(IF('01_Вводные'!$B$296="Новый сезон",TRUE,TRUE),'06_Сеть_и_дети'!O71*CapacityAge19*'19_Расчет_аналитики'!$F$2235,0)</f>
        <v/>
      </c>
      <c r="P2562">
        <f>IF(IF('01_Вводные'!$B$296="Новый сезон",TRUE,TRUE),'06_Сеть_и_дети'!P71*CapacityAge19*'19_Расчет_аналитики'!$F$2235,0)</f>
        <v/>
      </c>
      <c r="Q2562">
        <f>IF(IF('01_Вводные'!$B$296="Новый сезон",TRUE,TRUE),'06_Сеть_и_дети'!Q71*CapacityAge19*'19_Расчет_аналитики'!$F$2235,0)</f>
        <v/>
      </c>
      <c r="R2562">
        <f>IF(IF('01_Вводные'!$B$296="Новый сезон",TRUE,TRUE),'06_Сеть_и_дети'!R71*CapacityAge19*'19_Расчет_аналитики'!$F$2235,0)</f>
        <v/>
      </c>
      <c r="S2562">
        <f>IF(IF('01_Вводные'!$B$296="Новый сезон",TRUE,TRUE),'06_Сеть_и_дети'!S71*CapacityAge19*'19_Расчет_аналитики'!$F$2235,0)</f>
        <v/>
      </c>
      <c r="T2562">
        <f>IF(IF('01_Вводные'!$B$296="Новый сезон",TRUE,TRUE),'19_Расчет_аналитики'!T2450*CapacityAge19*'19_Расчет_аналитики'!$F$2235,0)</f>
        <v/>
      </c>
      <c r="U2562">
        <f>IF(IF('01_Вводные'!$B$296="Новый сезон",TRUE,TRUE),'19_Расчет_аналитики'!U2450*CapacityAge19*'19_Расчет_аналитики'!$F$2235,0)</f>
        <v/>
      </c>
      <c r="V2562">
        <f>IF(IF('01_Вводные'!$B$296="Новый сезон",TRUE,TRUE),'19_Расчет_аналитики'!V2450*CapacityAge19*'19_Расчет_аналитики'!$F$2235,0)</f>
        <v/>
      </c>
      <c r="W2562">
        <f>IF(IF('01_Вводные'!$B$296="Новый сезон",TRUE,TRUE),'19_Расчет_аналитики'!W2450*CapacityAge19*'19_Расчет_аналитики'!$F$2235,0)</f>
        <v/>
      </c>
      <c r="X2562">
        <f>IF(IF('01_Вводные'!$B$296="Новый сезон",TRUE,TRUE),'19_Расчет_аналитики'!X2450*CapacityAge19*'19_Расчет_аналитики'!$F$2235,0)</f>
        <v/>
      </c>
      <c r="Y2562">
        <f>IF(IF('01_Вводные'!$B$296="Новый сезон",TRUE,TRUE),'19_Расчет_аналитики'!Y2450*CapacityAge19*'19_Расчет_аналитики'!$F$2235,0)</f>
        <v/>
      </c>
      <c r="Z2562">
        <f>IF(IF('01_Вводные'!$B$296="Новый сезон",TRUE,TRUE),'19_Расчет_аналитики'!Z2450*CapacityAge19*'19_Расчет_аналитики'!$F$2235,0)</f>
        <v/>
      </c>
      <c r="AA2562">
        <f>IF(IF('01_Вводные'!$B$296="Новый сезон",TRUE,TRUE),'19_Расчет_аналитики'!AA2450*CapacityAge19*'19_Расчет_аналитики'!$F$2235,0)</f>
        <v/>
      </c>
      <c r="AB2562">
        <f>IF(IF('01_Вводные'!$B$296="Новый сезон",TRUE,TRUE),'19_Расчет_аналитики'!AB2450*CapacityAge19*'19_Расчет_аналитики'!$F$2235,0)</f>
        <v/>
      </c>
      <c r="AC2562">
        <f>IF(IF('01_Вводные'!$B$296="Новый сезон",TRUE,TRUE),'19_Расчет_аналитики'!AC2450*CapacityAge19*'19_Расчет_аналитики'!$F$2235,0)</f>
        <v/>
      </c>
      <c r="AD2562">
        <f>IF(IF('01_Вводные'!$B$296="Новый сезон",TRUE,TRUE),'19_Расчет_аналитики'!AD2450*CapacityAge19*'19_Расчет_аналитики'!$F$2235,0)</f>
        <v/>
      </c>
      <c r="AE2562">
        <f>IF(IF('01_Вводные'!$B$296="Новый сезон",TRUE,TRUE),'19_Расчет_аналитики'!AE2450*CapacityAge19*'19_Расчет_аналитики'!$F$2235,0)</f>
        <v/>
      </c>
      <c r="AF2562">
        <f>IF(IF('01_Вводные'!$B$296="Новый сезон",TRUE,TRUE),'19_Расчет_аналитики'!AF2450*CapacityAge19*'19_Расчет_аналитики'!$F$2235,0)</f>
        <v/>
      </c>
      <c r="AG2562">
        <f>IF(IF('01_Вводные'!$B$296="Новый сезон",TRUE,TRUE),'19_Расчет_аналитики'!AG2450*CapacityAge19*'19_Расчет_аналитики'!$F$2235,0)</f>
        <v/>
      </c>
      <c r="AH2562">
        <f>IF(IF('01_Вводные'!$B$296="Новый сезон",TRUE,TRUE),'19_Расчет_аналитики'!AH2450*CapacityAge19*'19_Расчет_аналитики'!$F$2235,0)</f>
        <v/>
      </c>
      <c r="AI2562">
        <f>IF(IF('01_Вводные'!$B$296="Новый сезон",TRUE,TRUE),'19_Расчет_аналитики'!AI2450*CapacityAge19*'19_Расчет_аналитики'!$F$2235,0)</f>
        <v/>
      </c>
      <c r="AJ2562">
        <f>IF(IF('01_Вводные'!$B$296="Новый сезон",TRUE,TRUE),'19_Расчет_аналитики'!AJ2450*CapacityAge19*'19_Расчет_аналитики'!$F$2235,0)</f>
        <v/>
      </c>
      <c r="AK2562">
        <f>IF(IF('01_Вводные'!$B$296="Новый сезон",TRUE,TRUE),'19_Расчет_аналитики'!AK2450*CapacityAge19*'19_Расчет_аналитики'!$F$2235,0)</f>
        <v/>
      </c>
      <c r="AL2562">
        <f>IF(IF('01_Вводные'!$B$296="Новый сезон",TRUE,TRUE),'19_Расчет_аналитики'!AL2450*CapacityAge19*'19_Расчет_аналитики'!$F$2235,0)</f>
        <v/>
      </c>
      <c r="AM2562">
        <f>IF(IF('01_Вводные'!$B$296="Новый сезон",TRUE,TRUE),'19_Расчет_аналитики'!AM2450*CapacityAge19*'19_Расчет_аналитики'!$F$2235,0)</f>
        <v/>
      </c>
      <c r="AN2562">
        <f>IF(IF('01_Вводные'!$B$296="Новый сезон",TRUE,TRUE),'19_Расчет_аналитики'!AN2450*CapacityAge19*'19_Расчет_аналитики'!$F$2235,0)</f>
        <v/>
      </c>
      <c r="AO2562">
        <f>IF(IF('01_Вводные'!$B$296="Новый сезон",TRUE,TRUE),'19_Расчет_аналитики'!AO2450*CapacityAge19*'19_Расчет_аналитики'!$F$2235,0)</f>
        <v/>
      </c>
      <c r="AP2562">
        <f>IF(IF('01_Вводные'!$B$296="Новый сезон",TRUE,TRUE),'19_Расчет_аналитики'!AP2450*CapacityAge19*'19_Расчет_аналитики'!$F$2235,0)</f>
        <v/>
      </c>
      <c r="AQ2562">
        <f>IF(IF('01_Вводные'!$B$296="Новый сезон",TRUE,TRUE),'19_Расчет_аналитики'!AQ2450*CapacityAge19*'19_Расчет_аналитики'!$F$2235,0)</f>
        <v/>
      </c>
      <c r="AR2562">
        <f>IF(IF('01_Вводные'!$B$296="Новый сезон",TRUE,TRUE),'19_Расчет_аналитики'!AR2450*CapacityAge19*'19_Расчет_аналитики'!$F$2235,0)</f>
        <v/>
      </c>
      <c r="AS2562">
        <f>IF(IF('01_Вводные'!$B$296="Новый сезон",TRUE,TRUE),'19_Расчет_аналитики'!AS2450*CapacityAge19*'19_Расчет_аналитики'!$F$2235,0)</f>
        <v/>
      </c>
      <c r="AT2562">
        <f>IF(IF('01_Вводные'!$B$296="Новый сезон",TRUE,TRUE),'19_Расчет_аналитики'!AT2450*CapacityAge19*'19_Расчет_аналитики'!$F$2235,0)</f>
        <v/>
      </c>
      <c r="AU2562">
        <f>IF(IF('01_Вводные'!$B$296="Новый сезон",TRUE,TRUE),'19_Расчет_аналитики'!AU2450*CapacityAge19*'19_Расчет_аналитики'!$F$2235,0)</f>
        <v/>
      </c>
      <c r="AV2562">
        <f>IF(IF('01_Вводные'!$B$296="Новый сезон",TRUE,TRUE),'19_Расчет_аналитики'!AV2450*CapacityAge19*'19_Расчет_аналитики'!$F$2235,0)</f>
        <v/>
      </c>
      <c r="AW2562">
        <f>IF(IF('01_Вводные'!$B$296="Новый сезон",TRUE,TRUE),'19_Расчет_аналитики'!AW2450*CapacityAge19*'19_Расчет_аналитики'!$F$2235,0)</f>
        <v/>
      </c>
      <c r="AX2562">
        <f>IF(IF('01_Вводные'!$B$296="Новый сезон",TRUE,TRUE),'19_Расчет_аналитики'!AX2450*CapacityAge19*'19_Расчет_аналитики'!$F$2235,0)</f>
        <v/>
      </c>
      <c r="AY2562">
        <f>IF(IF('01_Вводные'!$B$296="Новый сезон",TRUE,TRUE),'19_Расчет_аналитики'!AY2450*CapacityAge19*'19_Расчет_аналитики'!$F$2235,0)</f>
        <v/>
      </c>
      <c r="AZ2562">
        <f>IF(IF('01_Вводные'!$B$296="Новый сезон",TRUE,TRUE),'19_Расчет_аналитики'!AZ2450*CapacityAge19*'19_Расчет_аналитики'!$F$2235,0)</f>
        <v/>
      </c>
      <c r="BA2562">
        <f>IF(IF('01_Вводные'!$B$296="Новый сезон",TRUE,TRUE),'19_Расчет_аналитики'!BA2450*CapacityAge19*'19_Расчет_аналитики'!$F$2235,0)</f>
        <v/>
      </c>
      <c r="BB2562">
        <f>IF(IF('01_Вводные'!$B$296="Новый сезон",TRUE,TRUE),'19_Расчет_аналитики'!BB2450*CapacityAge19*'19_Расчет_аналитики'!$F$2235,0)</f>
        <v/>
      </c>
      <c r="BC2562">
        <f>IF(IF('01_Вводные'!$B$296="Новый сезон",TRUE,TRUE),'19_Расчет_аналитики'!BC2450*CapacityAge19*'19_Расчет_аналитики'!$F$2235,0)</f>
        <v/>
      </c>
      <c r="BD2562">
        <f>IF(IF('01_Вводные'!$B$296="Новый сезон",TRUE,TRUE),'19_Расчет_аналитики'!BD2450*CapacityAge19*'19_Расчет_аналитики'!$F$2235,0)</f>
        <v/>
      </c>
      <c r="BE2562">
        <f>IF(IF('01_Вводные'!$B$296="Новый сезон",TRUE,TRUE),'19_Расчет_аналитики'!BE2450*CapacityAge19*'19_Расчет_аналитики'!$F$2235,0)</f>
        <v/>
      </c>
      <c r="BF2562">
        <f>IF(IF('01_Вводные'!$B$296="Новый сезон",TRUE,TRUE),'19_Расчет_аналитики'!BF2450*CapacityAge19*'19_Расчет_аналитики'!$F$2235,0)</f>
        <v/>
      </c>
      <c r="BG2562">
        <f>IF(IF('01_Вводные'!$B$296="Новый сезон",TRUE,TRUE),'19_Расчет_аналитики'!BG2450*CapacityAge19*'19_Расчет_аналитики'!$F$2235,0)</f>
        <v/>
      </c>
      <c r="BH2562">
        <f>IF(IF('01_Вводные'!$B$296="Новый сезон",TRUE,TRUE),'19_Расчет_аналитики'!BH2450*CapacityAge19*'19_Расчет_аналитики'!$F$2235,0)</f>
        <v/>
      </c>
      <c r="BI2562">
        <f>IF(IF('01_Вводные'!$B$296="Новый сезон",TRUE,TRUE),'19_Расчет_аналитики'!BI2450*CapacityAge19*'19_Расчет_аналитики'!$F$2235,0)</f>
        <v/>
      </c>
      <c r="BJ2562">
        <f>IF(IF('01_Вводные'!$B$296="Новый сезон",TRUE,TRUE),'19_Расчет_аналитики'!BJ2450*CapacityAge19*'19_Расчет_аналитики'!$F$2235,0)</f>
        <v/>
      </c>
      <c r="BK2562">
        <f>IF(IF('01_Вводные'!$B$296="Новый сезон",TRUE,TRUE),'19_Расчет_аналитики'!BK2450*CapacityAge19*'19_Расчет_аналитики'!$F$2235,0)</f>
        <v/>
      </c>
      <c r="BL2562">
        <f>IF(IF('01_Вводные'!$B$296="Новый сезон",TRUE,TRUE),'19_Расчет_аналитики'!BL2450*CapacityAge19*'19_Расчет_аналитики'!$F$2235,0)</f>
        <v/>
      </c>
      <c r="BM2562">
        <f>IF(IF('01_Вводные'!$B$296="Новый сезон",TRUE,TRUE),'19_Расчет_аналитики'!BM2450*CapacityAge19*'19_Расчет_аналитики'!$F$2235,0)</f>
        <v/>
      </c>
      <c r="BN2562">
        <f>IF(IF('01_Вводные'!$B$296="Новый сезон",TRUE,TRUE),'19_Расчет_аналитики'!BN2450*CapacityAge19*'19_Расчет_аналитики'!$F$2235,0)</f>
        <v/>
      </c>
      <c r="BO2562">
        <f>IF(IF('01_Вводные'!$B$296="Новый сезон",TRUE,TRUE),'19_Расчет_аналитики'!BO2450*CapacityAge19*'19_Расчет_аналитики'!$F$2235,0)</f>
        <v/>
      </c>
    </row>
    <row r="2563">
      <c r="B2563">
        <f>IF(IF('01_Вводные'!$B$296="Новый сезон",TRUE,TRUE),'06_Сеть_и_дети'!B72*CapacityAge20*'19_Расчет_аналитики'!$F$2235,0)</f>
        <v/>
      </c>
      <c r="C2563">
        <f>IF(IF('01_Вводные'!$B$296="Новый сезон",TRUE,TRUE),'06_Сеть_и_дети'!C72*CapacityAge20*'19_Расчет_аналитики'!$F$2235,0)</f>
        <v/>
      </c>
      <c r="D2563">
        <f>IF(IF('01_Вводные'!$B$296="Новый сезон",TRUE,TRUE),'06_Сеть_и_дети'!D72*CapacityAge20*'19_Расчет_аналитики'!$F$2235,0)</f>
        <v/>
      </c>
      <c r="E2563">
        <f>IF(IF('01_Вводные'!$B$296="Новый сезон",TRUE,TRUE),'06_Сеть_и_дети'!E72*CapacityAge20*'19_Расчет_аналитики'!$F$2235,0)</f>
        <v/>
      </c>
      <c r="F2563">
        <f>IF(IF('01_Вводные'!$B$296="Новый сезон",TRUE,TRUE),'06_Сеть_и_дети'!F72*CapacityAge20*'19_Расчет_аналитики'!$F$2235,0)</f>
        <v/>
      </c>
      <c r="G2563">
        <f>IF(IF('01_Вводные'!$B$296="Новый сезон",TRUE,TRUE),'06_Сеть_и_дети'!G72*CapacityAge20*'19_Расчет_аналитики'!$F$2235,0)</f>
        <v/>
      </c>
      <c r="H2563">
        <f>IF(IF('01_Вводные'!$B$296="Новый сезон",TRUE,TRUE),'06_Сеть_и_дети'!H72*CapacityAge20*'19_Расчет_аналитики'!$F$2235,0)</f>
        <v/>
      </c>
      <c r="I2563">
        <f>IF(IF('01_Вводные'!$B$296="Новый сезон",TRUE,TRUE),'06_Сеть_и_дети'!I72*CapacityAge20*'19_Расчет_аналитики'!$F$2235,0)</f>
        <v/>
      </c>
      <c r="J2563">
        <f>IF(IF('01_Вводные'!$B$296="Новый сезон",TRUE,TRUE),'06_Сеть_и_дети'!J72*CapacityAge20*'19_Расчет_аналитики'!$F$2235,0)</f>
        <v/>
      </c>
      <c r="K2563">
        <f>IF(IF('01_Вводные'!$B$296="Новый сезон",TRUE,TRUE),'06_Сеть_и_дети'!K72*CapacityAge20*'19_Расчет_аналитики'!$F$2235,0)</f>
        <v/>
      </c>
      <c r="L2563">
        <f>IF(IF('01_Вводные'!$B$296="Новый сезон",TRUE,TRUE),'06_Сеть_и_дети'!L72*CapacityAge20*'19_Расчет_аналитики'!$F$2235,0)</f>
        <v/>
      </c>
      <c r="M2563">
        <f>IF(IF('01_Вводные'!$B$296="Новый сезон",TRUE,TRUE),'06_Сеть_и_дети'!M72*CapacityAge20*'19_Расчет_аналитики'!$F$2235,0)</f>
        <v/>
      </c>
      <c r="N2563">
        <f>IF(IF('01_Вводные'!$B$296="Новый сезон",TRUE,TRUE),'06_Сеть_и_дети'!N72*CapacityAge20*'19_Расчет_аналитики'!$F$2235,0)</f>
        <v/>
      </c>
      <c r="O2563">
        <f>IF(IF('01_Вводные'!$B$296="Новый сезон",TRUE,TRUE),'06_Сеть_и_дети'!O72*CapacityAge20*'19_Расчет_аналитики'!$F$2235,0)</f>
        <v/>
      </c>
      <c r="P2563">
        <f>IF(IF('01_Вводные'!$B$296="Новый сезон",TRUE,TRUE),'06_Сеть_и_дети'!P72*CapacityAge20*'19_Расчет_аналитики'!$F$2235,0)</f>
        <v/>
      </c>
      <c r="Q2563">
        <f>IF(IF('01_Вводные'!$B$296="Новый сезон",TRUE,TRUE),'06_Сеть_и_дети'!Q72*CapacityAge20*'19_Расчет_аналитики'!$F$2235,0)</f>
        <v/>
      </c>
      <c r="R2563">
        <f>IF(IF('01_Вводные'!$B$296="Новый сезон",TRUE,TRUE),'06_Сеть_и_дети'!R72*CapacityAge20*'19_Расчет_аналитики'!$F$2235,0)</f>
        <v/>
      </c>
      <c r="S2563">
        <f>IF(IF('01_Вводные'!$B$296="Новый сезон",TRUE,TRUE),'06_Сеть_и_дети'!S72*CapacityAge20*'19_Расчет_аналитики'!$F$2235,0)</f>
        <v/>
      </c>
      <c r="T2563">
        <f>IF(IF('01_Вводные'!$B$296="Новый сезон",TRUE,TRUE),'06_Сеть_и_дети'!T72*CapacityAge20*'19_Расчет_аналитики'!$F$2235,0)</f>
        <v/>
      </c>
      <c r="U2563">
        <f>IF(IF('01_Вводные'!$B$296="Новый сезон",TRUE,TRUE),'19_Расчет_аналитики'!U2451*CapacityAge20*'19_Расчет_аналитики'!$F$2235,0)</f>
        <v/>
      </c>
      <c r="V2563">
        <f>IF(IF('01_Вводные'!$B$296="Новый сезон",TRUE,TRUE),'19_Расчет_аналитики'!V2451*CapacityAge20*'19_Расчет_аналитики'!$F$2235,0)</f>
        <v/>
      </c>
      <c r="W2563">
        <f>IF(IF('01_Вводные'!$B$296="Новый сезон",TRUE,TRUE),'19_Расчет_аналитики'!W2451*CapacityAge20*'19_Расчет_аналитики'!$F$2235,0)</f>
        <v/>
      </c>
      <c r="X2563">
        <f>IF(IF('01_Вводные'!$B$296="Новый сезон",TRUE,TRUE),'19_Расчет_аналитики'!X2451*CapacityAge20*'19_Расчет_аналитики'!$F$2235,0)</f>
        <v/>
      </c>
      <c r="Y2563">
        <f>IF(IF('01_Вводные'!$B$296="Новый сезон",TRUE,TRUE),'19_Расчет_аналитики'!Y2451*CapacityAge20*'19_Расчет_аналитики'!$F$2235,0)</f>
        <v/>
      </c>
      <c r="Z2563">
        <f>IF(IF('01_Вводные'!$B$296="Новый сезон",TRUE,TRUE),'19_Расчет_аналитики'!Z2451*CapacityAge20*'19_Расчет_аналитики'!$F$2235,0)</f>
        <v/>
      </c>
      <c r="AA2563">
        <f>IF(IF('01_Вводные'!$B$296="Новый сезон",TRUE,TRUE),'19_Расчет_аналитики'!AA2451*CapacityAge20*'19_Расчет_аналитики'!$F$2235,0)</f>
        <v/>
      </c>
      <c r="AB2563">
        <f>IF(IF('01_Вводные'!$B$296="Новый сезон",TRUE,TRUE),'19_Расчет_аналитики'!AB2451*CapacityAge20*'19_Расчет_аналитики'!$F$2235,0)</f>
        <v/>
      </c>
      <c r="AC2563">
        <f>IF(IF('01_Вводные'!$B$296="Новый сезон",TRUE,TRUE),'19_Расчет_аналитики'!AC2451*CapacityAge20*'19_Расчет_аналитики'!$F$2235,0)</f>
        <v/>
      </c>
      <c r="AD2563">
        <f>IF(IF('01_Вводные'!$B$296="Новый сезон",TRUE,TRUE),'19_Расчет_аналитики'!AD2451*CapacityAge20*'19_Расчет_аналитики'!$F$2235,0)</f>
        <v/>
      </c>
      <c r="AE2563">
        <f>IF(IF('01_Вводные'!$B$296="Новый сезон",TRUE,TRUE),'19_Расчет_аналитики'!AE2451*CapacityAge20*'19_Расчет_аналитики'!$F$2235,0)</f>
        <v/>
      </c>
      <c r="AF2563">
        <f>IF(IF('01_Вводные'!$B$296="Новый сезон",TRUE,TRUE),'19_Расчет_аналитики'!AF2451*CapacityAge20*'19_Расчет_аналитики'!$F$2235,0)</f>
        <v/>
      </c>
      <c r="AG2563">
        <f>IF(IF('01_Вводные'!$B$296="Новый сезон",TRUE,TRUE),'19_Расчет_аналитики'!AG2451*CapacityAge20*'19_Расчет_аналитики'!$F$2235,0)</f>
        <v/>
      </c>
      <c r="AH2563">
        <f>IF(IF('01_Вводные'!$B$296="Новый сезон",TRUE,TRUE),'19_Расчет_аналитики'!AH2451*CapacityAge20*'19_Расчет_аналитики'!$F$2235,0)</f>
        <v/>
      </c>
      <c r="AI2563">
        <f>IF(IF('01_Вводные'!$B$296="Новый сезон",TRUE,TRUE),'19_Расчет_аналитики'!AI2451*CapacityAge20*'19_Расчет_аналитики'!$F$2235,0)</f>
        <v/>
      </c>
      <c r="AJ2563">
        <f>IF(IF('01_Вводные'!$B$296="Новый сезон",TRUE,TRUE),'19_Расчет_аналитики'!AJ2451*CapacityAge20*'19_Расчет_аналитики'!$F$2235,0)</f>
        <v/>
      </c>
      <c r="AK2563">
        <f>IF(IF('01_Вводные'!$B$296="Новый сезон",TRUE,TRUE),'19_Расчет_аналитики'!AK2451*CapacityAge20*'19_Расчет_аналитики'!$F$2235,0)</f>
        <v/>
      </c>
      <c r="AL2563">
        <f>IF(IF('01_Вводные'!$B$296="Новый сезон",TRUE,TRUE),'19_Расчет_аналитики'!AL2451*CapacityAge20*'19_Расчет_аналитики'!$F$2235,0)</f>
        <v/>
      </c>
      <c r="AM2563">
        <f>IF(IF('01_Вводные'!$B$296="Новый сезон",TRUE,TRUE),'19_Расчет_аналитики'!AM2451*CapacityAge20*'19_Расчет_аналитики'!$F$2235,0)</f>
        <v/>
      </c>
      <c r="AN2563">
        <f>IF(IF('01_Вводные'!$B$296="Новый сезон",TRUE,TRUE),'19_Расчет_аналитики'!AN2451*CapacityAge20*'19_Расчет_аналитики'!$F$2235,0)</f>
        <v/>
      </c>
      <c r="AO2563">
        <f>IF(IF('01_Вводные'!$B$296="Новый сезон",TRUE,TRUE),'19_Расчет_аналитики'!AO2451*CapacityAge20*'19_Расчет_аналитики'!$F$2235,0)</f>
        <v/>
      </c>
      <c r="AP2563">
        <f>IF(IF('01_Вводные'!$B$296="Новый сезон",TRUE,TRUE),'19_Расчет_аналитики'!AP2451*CapacityAge20*'19_Расчет_аналитики'!$F$2235,0)</f>
        <v/>
      </c>
      <c r="AQ2563">
        <f>IF(IF('01_Вводные'!$B$296="Новый сезон",TRUE,TRUE),'19_Расчет_аналитики'!AQ2451*CapacityAge20*'19_Расчет_аналитики'!$F$2235,0)</f>
        <v/>
      </c>
      <c r="AR2563">
        <f>IF(IF('01_Вводные'!$B$296="Новый сезон",TRUE,TRUE),'19_Расчет_аналитики'!AR2451*CapacityAge20*'19_Расчет_аналитики'!$F$2235,0)</f>
        <v/>
      </c>
      <c r="AS2563">
        <f>IF(IF('01_Вводные'!$B$296="Новый сезон",TRUE,TRUE),'19_Расчет_аналитики'!AS2451*CapacityAge20*'19_Расчет_аналитики'!$F$2235,0)</f>
        <v/>
      </c>
      <c r="AT2563">
        <f>IF(IF('01_Вводные'!$B$296="Новый сезон",TRUE,TRUE),'19_Расчет_аналитики'!AT2451*CapacityAge20*'19_Расчет_аналитики'!$F$2235,0)</f>
        <v/>
      </c>
      <c r="AU2563">
        <f>IF(IF('01_Вводные'!$B$296="Новый сезон",TRUE,TRUE),'19_Расчет_аналитики'!AU2451*CapacityAge20*'19_Расчет_аналитики'!$F$2235,0)</f>
        <v/>
      </c>
      <c r="AV2563">
        <f>IF(IF('01_Вводные'!$B$296="Новый сезон",TRUE,TRUE),'19_Расчет_аналитики'!AV2451*CapacityAge20*'19_Расчет_аналитики'!$F$2235,0)</f>
        <v/>
      </c>
      <c r="AW2563">
        <f>IF(IF('01_Вводные'!$B$296="Новый сезон",TRUE,TRUE),'19_Расчет_аналитики'!AW2451*CapacityAge20*'19_Расчет_аналитики'!$F$2235,0)</f>
        <v/>
      </c>
      <c r="AX2563">
        <f>IF(IF('01_Вводные'!$B$296="Новый сезон",TRUE,TRUE),'19_Расчет_аналитики'!AX2451*CapacityAge20*'19_Расчет_аналитики'!$F$2235,0)</f>
        <v/>
      </c>
      <c r="AY2563">
        <f>IF(IF('01_Вводные'!$B$296="Новый сезон",TRUE,TRUE),'19_Расчет_аналитики'!AY2451*CapacityAge20*'19_Расчет_аналитики'!$F$2235,0)</f>
        <v/>
      </c>
      <c r="AZ2563">
        <f>IF(IF('01_Вводные'!$B$296="Новый сезон",TRUE,TRUE),'19_Расчет_аналитики'!AZ2451*CapacityAge20*'19_Расчет_аналитики'!$F$2235,0)</f>
        <v/>
      </c>
      <c r="BA2563">
        <f>IF(IF('01_Вводные'!$B$296="Новый сезон",TRUE,TRUE),'19_Расчет_аналитики'!BA2451*CapacityAge20*'19_Расчет_аналитики'!$F$2235,0)</f>
        <v/>
      </c>
      <c r="BB2563">
        <f>IF(IF('01_Вводные'!$B$296="Новый сезон",TRUE,TRUE),'19_Расчет_аналитики'!BB2451*CapacityAge20*'19_Расчет_аналитики'!$F$2235,0)</f>
        <v/>
      </c>
      <c r="BC2563">
        <f>IF(IF('01_Вводные'!$B$296="Новый сезон",TRUE,TRUE),'19_Расчет_аналитики'!BC2451*CapacityAge20*'19_Расчет_аналитики'!$F$2235,0)</f>
        <v/>
      </c>
      <c r="BD2563">
        <f>IF(IF('01_Вводные'!$B$296="Новый сезон",TRUE,TRUE),'19_Расчет_аналитики'!BD2451*CapacityAge20*'19_Расчет_аналитики'!$F$2235,0)</f>
        <v/>
      </c>
      <c r="BE2563">
        <f>IF(IF('01_Вводные'!$B$296="Новый сезон",TRUE,TRUE),'19_Расчет_аналитики'!BE2451*CapacityAge20*'19_Расчет_аналитики'!$F$2235,0)</f>
        <v/>
      </c>
      <c r="BF2563">
        <f>IF(IF('01_Вводные'!$B$296="Новый сезон",TRUE,TRUE),'19_Расчет_аналитики'!BF2451*CapacityAge20*'19_Расчет_аналитики'!$F$2235,0)</f>
        <v/>
      </c>
      <c r="BG2563">
        <f>IF(IF('01_Вводные'!$B$296="Новый сезон",TRUE,TRUE),'19_Расчет_аналитики'!BG2451*CapacityAge20*'19_Расчет_аналитики'!$F$2235,0)</f>
        <v/>
      </c>
      <c r="BH2563">
        <f>IF(IF('01_Вводные'!$B$296="Новый сезон",TRUE,TRUE),'19_Расчет_аналитики'!BH2451*CapacityAge20*'19_Расчет_аналитики'!$F$2235,0)</f>
        <v/>
      </c>
      <c r="BI2563">
        <f>IF(IF('01_Вводные'!$B$296="Новый сезон",TRUE,TRUE),'19_Расчет_аналитики'!BI2451*CapacityAge20*'19_Расчет_аналитики'!$F$2235,0)</f>
        <v/>
      </c>
      <c r="BJ2563">
        <f>IF(IF('01_Вводные'!$B$296="Новый сезон",TRUE,TRUE),'19_Расчет_аналитики'!BJ2451*CapacityAge20*'19_Расчет_аналитики'!$F$2235,0)</f>
        <v/>
      </c>
      <c r="BK2563">
        <f>IF(IF('01_Вводные'!$B$296="Новый сезон",TRUE,TRUE),'19_Расчет_аналитики'!BK2451*CapacityAge20*'19_Расчет_аналитики'!$F$2235,0)</f>
        <v/>
      </c>
      <c r="BL2563">
        <f>IF(IF('01_Вводные'!$B$296="Новый сезон",TRUE,TRUE),'19_Расчет_аналитики'!BL2451*CapacityAge20*'19_Расчет_аналитики'!$F$2235,0)</f>
        <v/>
      </c>
      <c r="BM2563">
        <f>IF(IF('01_Вводные'!$B$296="Новый сезон",TRUE,TRUE),'19_Расчет_аналитики'!BM2451*CapacityAge20*'19_Расчет_аналитики'!$F$2235,0)</f>
        <v/>
      </c>
      <c r="BN2563">
        <f>IF(IF('01_Вводные'!$B$296="Новый сезон",TRUE,TRUE),'19_Расчет_аналитики'!BN2451*CapacityAge20*'19_Расчет_аналитики'!$F$2235,0)</f>
        <v/>
      </c>
      <c r="BO2563">
        <f>IF(IF('01_Вводные'!$B$296="Новый сезон",TRUE,TRUE),'19_Расчет_аналитики'!BO2451*CapacityAge20*'19_Расчет_аналитики'!$F$2235,0)</f>
        <v/>
      </c>
    </row>
    <row r="2564">
      <c r="B2564">
        <f>IF(IF('01_Вводные'!$B$296="Новый сезон",TRUE,TRUE),'06_Сеть_и_дети'!B73*CapacityAge21*'19_Расчет_аналитики'!$F$2235,0)</f>
        <v/>
      </c>
      <c r="C2564">
        <f>IF(IF('01_Вводные'!$B$296="Новый сезон",TRUE,TRUE),'06_Сеть_и_дети'!C73*CapacityAge21*'19_Расчет_аналитики'!$F$2235,0)</f>
        <v/>
      </c>
      <c r="D2564">
        <f>IF(IF('01_Вводные'!$B$296="Новый сезон",TRUE,TRUE),'06_Сеть_и_дети'!D73*CapacityAge21*'19_Расчет_аналитики'!$F$2235,0)</f>
        <v/>
      </c>
      <c r="E2564">
        <f>IF(IF('01_Вводные'!$B$296="Новый сезон",TRUE,TRUE),'06_Сеть_и_дети'!E73*CapacityAge21*'19_Расчет_аналитики'!$F$2235,0)</f>
        <v/>
      </c>
      <c r="F2564">
        <f>IF(IF('01_Вводные'!$B$296="Новый сезон",TRUE,TRUE),'06_Сеть_и_дети'!F73*CapacityAge21*'19_Расчет_аналитики'!$F$2235,0)</f>
        <v/>
      </c>
      <c r="G2564">
        <f>IF(IF('01_Вводные'!$B$296="Новый сезон",TRUE,TRUE),'06_Сеть_и_дети'!G73*CapacityAge21*'19_Расчет_аналитики'!$F$2235,0)</f>
        <v/>
      </c>
      <c r="H2564">
        <f>IF(IF('01_Вводные'!$B$296="Новый сезон",TRUE,TRUE),'06_Сеть_и_дети'!H73*CapacityAge21*'19_Расчет_аналитики'!$F$2235,0)</f>
        <v/>
      </c>
      <c r="I2564">
        <f>IF(IF('01_Вводные'!$B$296="Новый сезон",TRUE,TRUE),'06_Сеть_и_дети'!I73*CapacityAge21*'19_Расчет_аналитики'!$F$2235,0)</f>
        <v/>
      </c>
      <c r="J2564">
        <f>IF(IF('01_Вводные'!$B$296="Новый сезон",TRUE,TRUE),'06_Сеть_и_дети'!J73*CapacityAge21*'19_Расчет_аналитики'!$F$2235,0)</f>
        <v/>
      </c>
      <c r="K2564">
        <f>IF(IF('01_Вводные'!$B$296="Новый сезон",TRUE,TRUE),'06_Сеть_и_дети'!K73*CapacityAge21*'19_Расчет_аналитики'!$F$2235,0)</f>
        <v/>
      </c>
      <c r="L2564">
        <f>IF(IF('01_Вводные'!$B$296="Новый сезон",TRUE,TRUE),'06_Сеть_и_дети'!L73*CapacityAge21*'19_Расчет_аналитики'!$F$2235,0)</f>
        <v/>
      </c>
      <c r="M2564">
        <f>IF(IF('01_Вводные'!$B$296="Новый сезон",TRUE,TRUE),'06_Сеть_и_дети'!M73*CapacityAge21*'19_Расчет_аналитики'!$F$2235,0)</f>
        <v/>
      </c>
      <c r="N2564">
        <f>IF(IF('01_Вводные'!$B$296="Новый сезон",TRUE,TRUE),'06_Сеть_и_дети'!N73*CapacityAge21*'19_Расчет_аналитики'!$F$2235,0)</f>
        <v/>
      </c>
      <c r="O2564">
        <f>IF(IF('01_Вводные'!$B$296="Новый сезон",TRUE,TRUE),'06_Сеть_и_дети'!O73*CapacityAge21*'19_Расчет_аналитики'!$F$2235,0)</f>
        <v/>
      </c>
      <c r="P2564">
        <f>IF(IF('01_Вводные'!$B$296="Новый сезон",TRUE,TRUE),'06_Сеть_и_дети'!P73*CapacityAge21*'19_Расчет_аналитики'!$F$2235,0)</f>
        <v/>
      </c>
      <c r="Q2564">
        <f>IF(IF('01_Вводные'!$B$296="Новый сезон",TRUE,TRUE),'06_Сеть_и_дети'!Q73*CapacityAge21*'19_Расчет_аналитики'!$F$2235,0)</f>
        <v/>
      </c>
      <c r="R2564">
        <f>IF(IF('01_Вводные'!$B$296="Новый сезон",TRUE,TRUE),'06_Сеть_и_дети'!R73*CapacityAge21*'19_Расчет_аналитики'!$F$2235,0)</f>
        <v/>
      </c>
      <c r="S2564">
        <f>IF(IF('01_Вводные'!$B$296="Новый сезон",TRUE,TRUE),'06_Сеть_и_дети'!S73*CapacityAge21*'19_Расчет_аналитики'!$F$2235,0)</f>
        <v/>
      </c>
      <c r="T2564">
        <f>IF(IF('01_Вводные'!$B$296="Новый сезон",TRUE,TRUE),'06_Сеть_и_дети'!T73*CapacityAge21*'19_Расчет_аналитики'!$F$2235,0)</f>
        <v/>
      </c>
      <c r="U2564">
        <f>IF(IF('01_Вводные'!$B$296="Новый сезон",TRUE,TRUE),'06_Сеть_и_дети'!U73*CapacityAge21*'19_Расчет_аналитики'!$F$2235,0)</f>
        <v/>
      </c>
      <c r="V2564">
        <f>IF(IF('01_Вводные'!$B$296="Новый сезон",TRUE,TRUE),'19_Расчет_аналитики'!V2452*CapacityAge21*'19_Расчет_аналитики'!$F$2235,0)</f>
        <v/>
      </c>
      <c r="W2564">
        <f>IF(IF('01_Вводные'!$B$296="Новый сезон",TRUE,TRUE),'19_Расчет_аналитики'!W2452*CapacityAge21*'19_Расчет_аналитики'!$F$2235,0)</f>
        <v/>
      </c>
      <c r="X2564">
        <f>IF(IF('01_Вводные'!$B$296="Новый сезон",TRUE,TRUE),'19_Расчет_аналитики'!X2452*CapacityAge21*'19_Расчет_аналитики'!$F$2235,0)</f>
        <v/>
      </c>
      <c r="Y2564">
        <f>IF(IF('01_Вводные'!$B$296="Новый сезон",TRUE,TRUE),'19_Расчет_аналитики'!Y2452*CapacityAge21*'19_Расчет_аналитики'!$F$2235,0)</f>
        <v/>
      </c>
      <c r="Z2564">
        <f>IF(IF('01_Вводные'!$B$296="Новый сезон",TRUE,TRUE),'19_Расчет_аналитики'!Z2452*CapacityAge21*'19_Расчет_аналитики'!$F$2235,0)</f>
        <v/>
      </c>
      <c r="AA2564">
        <f>IF(IF('01_Вводные'!$B$296="Новый сезон",TRUE,TRUE),'19_Расчет_аналитики'!AA2452*CapacityAge21*'19_Расчет_аналитики'!$F$2235,0)</f>
        <v/>
      </c>
      <c r="AB2564">
        <f>IF(IF('01_Вводные'!$B$296="Новый сезон",TRUE,TRUE),'19_Расчет_аналитики'!AB2452*CapacityAge21*'19_Расчет_аналитики'!$F$2235,0)</f>
        <v/>
      </c>
      <c r="AC2564">
        <f>IF(IF('01_Вводные'!$B$296="Новый сезон",TRUE,TRUE),'19_Расчет_аналитики'!AC2452*CapacityAge21*'19_Расчет_аналитики'!$F$2235,0)</f>
        <v/>
      </c>
      <c r="AD2564">
        <f>IF(IF('01_Вводные'!$B$296="Новый сезон",TRUE,TRUE),'19_Расчет_аналитики'!AD2452*CapacityAge21*'19_Расчет_аналитики'!$F$2235,0)</f>
        <v/>
      </c>
      <c r="AE2564">
        <f>IF(IF('01_Вводные'!$B$296="Новый сезон",TRUE,TRUE),'19_Расчет_аналитики'!AE2452*CapacityAge21*'19_Расчет_аналитики'!$F$2235,0)</f>
        <v/>
      </c>
      <c r="AF2564">
        <f>IF(IF('01_Вводные'!$B$296="Новый сезон",TRUE,TRUE),'19_Расчет_аналитики'!AF2452*CapacityAge21*'19_Расчет_аналитики'!$F$2235,0)</f>
        <v/>
      </c>
      <c r="AG2564">
        <f>IF(IF('01_Вводные'!$B$296="Новый сезон",TRUE,TRUE),'19_Расчет_аналитики'!AG2452*CapacityAge21*'19_Расчет_аналитики'!$F$2235,0)</f>
        <v/>
      </c>
      <c r="AH2564">
        <f>IF(IF('01_Вводные'!$B$296="Новый сезон",TRUE,TRUE),'19_Расчет_аналитики'!AH2452*CapacityAge21*'19_Расчет_аналитики'!$F$2235,0)</f>
        <v/>
      </c>
      <c r="AI2564">
        <f>IF(IF('01_Вводные'!$B$296="Новый сезон",TRUE,TRUE),'19_Расчет_аналитики'!AI2452*CapacityAge21*'19_Расчет_аналитики'!$F$2235,0)</f>
        <v/>
      </c>
      <c r="AJ2564">
        <f>IF(IF('01_Вводные'!$B$296="Новый сезон",TRUE,TRUE),'19_Расчет_аналитики'!AJ2452*CapacityAge21*'19_Расчет_аналитики'!$F$2235,0)</f>
        <v/>
      </c>
      <c r="AK2564">
        <f>IF(IF('01_Вводные'!$B$296="Новый сезон",TRUE,TRUE),'19_Расчет_аналитики'!AK2452*CapacityAge21*'19_Расчет_аналитики'!$F$2235,0)</f>
        <v/>
      </c>
      <c r="AL2564">
        <f>IF(IF('01_Вводные'!$B$296="Новый сезон",TRUE,TRUE),'19_Расчет_аналитики'!AL2452*CapacityAge21*'19_Расчет_аналитики'!$F$2235,0)</f>
        <v/>
      </c>
      <c r="AM2564">
        <f>IF(IF('01_Вводные'!$B$296="Новый сезон",TRUE,TRUE),'19_Расчет_аналитики'!AM2452*CapacityAge21*'19_Расчет_аналитики'!$F$2235,0)</f>
        <v/>
      </c>
      <c r="AN2564">
        <f>IF(IF('01_Вводные'!$B$296="Новый сезон",TRUE,TRUE),'19_Расчет_аналитики'!AN2452*CapacityAge21*'19_Расчет_аналитики'!$F$2235,0)</f>
        <v/>
      </c>
      <c r="AO2564">
        <f>IF(IF('01_Вводные'!$B$296="Новый сезон",TRUE,TRUE),'19_Расчет_аналитики'!AO2452*CapacityAge21*'19_Расчет_аналитики'!$F$2235,0)</f>
        <v/>
      </c>
      <c r="AP2564">
        <f>IF(IF('01_Вводные'!$B$296="Новый сезон",TRUE,TRUE),'19_Расчет_аналитики'!AP2452*CapacityAge21*'19_Расчет_аналитики'!$F$2235,0)</f>
        <v/>
      </c>
      <c r="AQ2564">
        <f>IF(IF('01_Вводные'!$B$296="Новый сезон",TRUE,TRUE),'19_Расчет_аналитики'!AQ2452*CapacityAge21*'19_Расчет_аналитики'!$F$2235,0)</f>
        <v/>
      </c>
      <c r="AR2564">
        <f>IF(IF('01_Вводные'!$B$296="Новый сезон",TRUE,TRUE),'19_Расчет_аналитики'!AR2452*CapacityAge21*'19_Расчет_аналитики'!$F$2235,0)</f>
        <v/>
      </c>
      <c r="AS2564">
        <f>IF(IF('01_Вводные'!$B$296="Новый сезон",TRUE,TRUE),'19_Расчет_аналитики'!AS2452*CapacityAge21*'19_Расчет_аналитики'!$F$2235,0)</f>
        <v/>
      </c>
      <c r="AT2564">
        <f>IF(IF('01_Вводные'!$B$296="Новый сезон",TRUE,TRUE),'19_Расчет_аналитики'!AT2452*CapacityAge21*'19_Расчет_аналитики'!$F$2235,0)</f>
        <v/>
      </c>
      <c r="AU2564">
        <f>IF(IF('01_Вводные'!$B$296="Новый сезон",TRUE,TRUE),'19_Расчет_аналитики'!AU2452*CapacityAge21*'19_Расчет_аналитики'!$F$2235,0)</f>
        <v/>
      </c>
      <c r="AV2564">
        <f>IF(IF('01_Вводные'!$B$296="Новый сезон",TRUE,TRUE),'19_Расчет_аналитики'!AV2452*CapacityAge21*'19_Расчет_аналитики'!$F$2235,0)</f>
        <v/>
      </c>
      <c r="AW2564">
        <f>IF(IF('01_Вводные'!$B$296="Новый сезон",TRUE,TRUE),'19_Расчет_аналитики'!AW2452*CapacityAge21*'19_Расчет_аналитики'!$F$2235,0)</f>
        <v/>
      </c>
      <c r="AX2564">
        <f>IF(IF('01_Вводные'!$B$296="Новый сезон",TRUE,TRUE),'19_Расчет_аналитики'!AX2452*CapacityAge21*'19_Расчет_аналитики'!$F$2235,0)</f>
        <v/>
      </c>
      <c r="AY2564">
        <f>IF(IF('01_Вводные'!$B$296="Новый сезон",TRUE,TRUE),'19_Расчет_аналитики'!AY2452*CapacityAge21*'19_Расчет_аналитики'!$F$2235,0)</f>
        <v/>
      </c>
      <c r="AZ2564">
        <f>IF(IF('01_Вводные'!$B$296="Новый сезон",TRUE,TRUE),'19_Расчет_аналитики'!AZ2452*CapacityAge21*'19_Расчет_аналитики'!$F$2235,0)</f>
        <v/>
      </c>
      <c r="BA2564">
        <f>IF(IF('01_Вводные'!$B$296="Новый сезон",TRUE,TRUE),'19_Расчет_аналитики'!BA2452*CapacityAge21*'19_Расчет_аналитики'!$F$2235,0)</f>
        <v/>
      </c>
      <c r="BB2564">
        <f>IF(IF('01_Вводные'!$B$296="Новый сезон",TRUE,TRUE),'19_Расчет_аналитики'!BB2452*CapacityAge21*'19_Расчет_аналитики'!$F$2235,0)</f>
        <v/>
      </c>
      <c r="BC2564">
        <f>IF(IF('01_Вводные'!$B$296="Новый сезон",TRUE,TRUE),'19_Расчет_аналитики'!BC2452*CapacityAge21*'19_Расчет_аналитики'!$F$2235,0)</f>
        <v/>
      </c>
      <c r="BD2564">
        <f>IF(IF('01_Вводные'!$B$296="Новый сезон",TRUE,TRUE),'19_Расчет_аналитики'!BD2452*CapacityAge21*'19_Расчет_аналитики'!$F$2235,0)</f>
        <v/>
      </c>
      <c r="BE2564">
        <f>IF(IF('01_Вводные'!$B$296="Новый сезон",TRUE,TRUE),'19_Расчет_аналитики'!BE2452*CapacityAge21*'19_Расчет_аналитики'!$F$2235,0)</f>
        <v/>
      </c>
      <c r="BF2564">
        <f>IF(IF('01_Вводные'!$B$296="Новый сезон",TRUE,TRUE),'19_Расчет_аналитики'!BF2452*CapacityAge21*'19_Расчет_аналитики'!$F$2235,0)</f>
        <v/>
      </c>
      <c r="BG2564">
        <f>IF(IF('01_Вводные'!$B$296="Новый сезон",TRUE,TRUE),'19_Расчет_аналитики'!BG2452*CapacityAge21*'19_Расчет_аналитики'!$F$2235,0)</f>
        <v/>
      </c>
      <c r="BH2564">
        <f>IF(IF('01_Вводные'!$B$296="Новый сезон",TRUE,TRUE),'19_Расчет_аналитики'!BH2452*CapacityAge21*'19_Расчет_аналитики'!$F$2235,0)</f>
        <v/>
      </c>
      <c r="BI2564">
        <f>IF(IF('01_Вводные'!$B$296="Новый сезон",TRUE,TRUE),'19_Расчет_аналитики'!BI2452*CapacityAge21*'19_Расчет_аналитики'!$F$2235,0)</f>
        <v/>
      </c>
      <c r="BJ2564">
        <f>IF(IF('01_Вводные'!$B$296="Новый сезон",TRUE,TRUE),'19_Расчет_аналитики'!BJ2452*CapacityAge21*'19_Расчет_аналитики'!$F$2235,0)</f>
        <v/>
      </c>
      <c r="BK2564">
        <f>IF(IF('01_Вводные'!$B$296="Новый сезон",TRUE,TRUE),'19_Расчет_аналитики'!BK2452*CapacityAge21*'19_Расчет_аналитики'!$F$2235,0)</f>
        <v/>
      </c>
      <c r="BL2564">
        <f>IF(IF('01_Вводные'!$B$296="Новый сезон",TRUE,TRUE),'19_Расчет_аналитики'!BL2452*CapacityAge21*'19_Расчет_аналитики'!$F$2235,0)</f>
        <v/>
      </c>
      <c r="BM2564">
        <f>IF(IF('01_Вводные'!$B$296="Новый сезон",TRUE,TRUE),'19_Расчет_аналитики'!BM2452*CapacityAge21*'19_Расчет_аналитики'!$F$2235,0)</f>
        <v/>
      </c>
      <c r="BN2564">
        <f>IF(IF('01_Вводные'!$B$296="Новый сезон",TRUE,TRUE),'19_Расчет_аналитики'!BN2452*CapacityAge21*'19_Расчет_аналитики'!$F$2235,0)</f>
        <v/>
      </c>
      <c r="BO2564">
        <f>IF(IF('01_Вводные'!$B$296="Новый сезон",TRUE,TRUE),'19_Расчет_аналитики'!BO2452*CapacityAge21*'19_Расчет_аналитики'!$F$2235,0)</f>
        <v/>
      </c>
    </row>
    <row r="2565">
      <c r="B2565">
        <f>IF(IF('01_Вводные'!$B$296="Новый сезон",TRUE,TRUE),'06_Сеть_и_дети'!B74*CapacityAge22*'19_Расчет_аналитики'!$F$2235,0)</f>
        <v/>
      </c>
      <c r="C2565">
        <f>IF(IF('01_Вводные'!$B$296="Новый сезон",TRUE,TRUE),'06_Сеть_и_дети'!C74*CapacityAge22*'19_Расчет_аналитики'!$F$2235,0)</f>
        <v/>
      </c>
      <c r="D2565">
        <f>IF(IF('01_Вводные'!$B$296="Новый сезон",TRUE,TRUE),'06_Сеть_и_дети'!D74*CapacityAge22*'19_Расчет_аналитики'!$F$2235,0)</f>
        <v/>
      </c>
      <c r="E2565">
        <f>IF(IF('01_Вводные'!$B$296="Новый сезон",TRUE,TRUE),'06_Сеть_и_дети'!E74*CapacityAge22*'19_Расчет_аналитики'!$F$2235,0)</f>
        <v/>
      </c>
      <c r="F2565">
        <f>IF(IF('01_Вводные'!$B$296="Новый сезон",TRUE,TRUE),'06_Сеть_и_дети'!F74*CapacityAge22*'19_Расчет_аналитики'!$F$2235,0)</f>
        <v/>
      </c>
      <c r="G2565">
        <f>IF(IF('01_Вводные'!$B$296="Новый сезон",TRUE,TRUE),'06_Сеть_и_дети'!G74*CapacityAge22*'19_Расчет_аналитики'!$F$2235,0)</f>
        <v/>
      </c>
      <c r="H2565">
        <f>IF(IF('01_Вводные'!$B$296="Новый сезон",TRUE,TRUE),'06_Сеть_и_дети'!H74*CapacityAge22*'19_Расчет_аналитики'!$F$2235,0)</f>
        <v/>
      </c>
      <c r="I2565">
        <f>IF(IF('01_Вводные'!$B$296="Новый сезон",TRUE,TRUE),'06_Сеть_и_дети'!I74*CapacityAge22*'19_Расчет_аналитики'!$F$2235,0)</f>
        <v/>
      </c>
      <c r="J2565">
        <f>IF(IF('01_Вводные'!$B$296="Новый сезон",TRUE,TRUE),'06_Сеть_и_дети'!J74*CapacityAge22*'19_Расчет_аналитики'!$F$2235,0)</f>
        <v/>
      </c>
      <c r="K2565">
        <f>IF(IF('01_Вводные'!$B$296="Новый сезон",TRUE,TRUE),'06_Сеть_и_дети'!K74*CapacityAge22*'19_Расчет_аналитики'!$F$2235,0)</f>
        <v/>
      </c>
      <c r="L2565">
        <f>IF(IF('01_Вводные'!$B$296="Новый сезон",TRUE,TRUE),'06_Сеть_и_дети'!L74*CapacityAge22*'19_Расчет_аналитики'!$F$2235,0)</f>
        <v/>
      </c>
      <c r="M2565">
        <f>IF(IF('01_Вводные'!$B$296="Новый сезон",TRUE,TRUE),'06_Сеть_и_дети'!M74*CapacityAge22*'19_Расчет_аналитики'!$F$2235,0)</f>
        <v/>
      </c>
      <c r="N2565">
        <f>IF(IF('01_Вводные'!$B$296="Новый сезон",TRUE,TRUE),'06_Сеть_и_дети'!N74*CapacityAge22*'19_Расчет_аналитики'!$F$2235,0)</f>
        <v/>
      </c>
      <c r="O2565">
        <f>IF(IF('01_Вводные'!$B$296="Новый сезон",TRUE,TRUE),'06_Сеть_и_дети'!O74*CapacityAge22*'19_Расчет_аналитики'!$F$2235,0)</f>
        <v/>
      </c>
      <c r="P2565">
        <f>IF(IF('01_Вводные'!$B$296="Новый сезон",TRUE,TRUE),'06_Сеть_и_дети'!P74*CapacityAge22*'19_Расчет_аналитики'!$F$2235,0)</f>
        <v/>
      </c>
      <c r="Q2565">
        <f>IF(IF('01_Вводные'!$B$296="Новый сезон",TRUE,TRUE),'06_Сеть_и_дети'!Q74*CapacityAge22*'19_Расчет_аналитики'!$F$2235,0)</f>
        <v/>
      </c>
      <c r="R2565">
        <f>IF(IF('01_Вводные'!$B$296="Новый сезон",TRUE,TRUE),'06_Сеть_и_дети'!R74*CapacityAge22*'19_Расчет_аналитики'!$F$2235,0)</f>
        <v/>
      </c>
      <c r="S2565">
        <f>IF(IF('01_Вводные'!$B$296="Новый сезон",TRUE,TRUE),'06_Сеть_и_дети'!S74*CapacityAge22*'19_Расчет_аналитики'!$F$2235,0)</f>
        <v/>
      </c>
      <c r="T2565">
        <f>IF(IF('01_Вводные'!$B$296="Новый сезон",TRUE,TRUE),'06_Сеть_и_дети'!T74*CapacityAge22*'19_Расчет_аналитики'!$F$2235,0)</f>
        <v/>
      </c>
      <c r="U2565">
        <f>IF(IF('01_Вводные'!$B$296="Новый сезон",TRUE,TRUE),'06_Сеть_и_дети'!U74*CapacityAge22*'19_Расчет_аналитики'!$F$2235,0)</f>
        <v/>
      </c>
      <c r="V2565">
        <f>IF(IF('01_Вводные'!$B$296="Новый сезон",TRUE,TRUE),'06_Сеть_и_дети'!V74*CapacityAge22*'19_Расчет_аналитики'!$F$2235,0)</f>
        <v/>
      </c>
      <c r="W2565">
        <f>IF(IF('01_Вводные'!$B$296="Новый сезон",TRUE,TRUE),'19_Расчет_аналитики'!W2453*CapacityAge22*'19_Расчет_аналитики'!$F$2235,0)</f>
        <v/>
      </c>
      <c r="X2565">
        <f>IF(IF('01_Вводные'!$B$296="Новый сезон",TRUE,TRUE),'19_Расчет_аналитики'!X2453*CapacityAge22*'19_Расчет_аналитики'!$F$2235,0)</f>
        <v/>
      </c>
      <c r="Y2565">
        <f>IF(IF('01_Вводные'!$B$296="Новый сезон",TRUE,TRUE),'19_Расчет_аналитики'!Y2453*CapacityAge22*'19_Расчет_аналитики'!$F$2235,0)</f>
        <v/>
      </c>
      <c r="Z2565">
        <f>IF(IF('01_Вводные'!$B$296="Новый сезон",TRUE,TRUE),'19_Расчет_аналитики'!Z2453*CapacityAge22*'19_Расчет_аналитики'!$F$2235,0)</f>
        <v/>
      </c>
      <c r="AA2565">
        <f>IF(IF('01_Вводные'!$B$296="Новый сезон",TRUE,TRUE),'19_Расчет_аналитики'!AA2453*CapacityAge22*'19_Расчет_аналитики'!$F$2235,0)</f>
        <v/>
      </c>
      <c r="AB2565">
        <f>IF(IF('01_Вводные'!$B$296="Новый сезон",TRUE,TRUE),'19_Расчет_аналитики'!AB2453*CapacityAge22*'19_Расчет_аналитики'!$F$2235,0)</f>
        <v/>
      </c>
      <c r="AC2565">
        <f>IF(IF('01_Вводные'!$B$296="Новый сезон",TRUE,TRUE),'19_Расчет_аналитики'!AC2453*CapacityAge22*'19_Расчет_аналитики'!$F$2235,0)</f>
        <v/>
      </c>
      <c r="AD2565">
        <f>IF(IF('01_Вводные'!$B$296="Новый сезон",TRUE,TRUE),'19_Расчет_аналитики'!AD2453*CapacityAge22*'19_Расчет_аналитики'!$F$2235,0)</f>
        <v/>
      </c>
      <c r="AE2565">
        <f>IF(IF('01_Вводные'!$B$296="Новый сезон",TRUE,TRUE),'19_Расчет_аналитики'!AE2453*CapacityAge22*'19_Расчет_аналитики'!$F$2235,0)</f>
        <v/>
      </c>
      <c r="AF2565">
        <f>IF(IF('01_Вводные'!$B$296="Новый сезон",TRUE,TRUE),'19_Расчет_аналитики'!AF2453*CapacityAge22*'19_Расчет_аналитики'!$F$2235,0)</f>
        <v/>
      </c>
      <c r="AG2565">
        <f>IF(IF('01_Вводные'!$B$296="Новый сезон",TRUE,TRUE),'19_Расчет_аналитики'!AG2453*CapacityAge22*'19_Расчет_аналитики'!$F$2235,0)</f>
        <v/>
      </c>
      <c r="AH2565">
        <f>IF(IF('01_Вводные'!$B$296="Новый сезон",TRUE,TRUE),'19_Расчет_аналитики'!AH2453*CapacityAge22*'19_Расчет_аналитики'!$F$2235,0)</f>
        <v/>
      </c>
      <c r="AI2565">
        <f>IF(IF('01_Вводные'!$B$296="Новый сезон",TRUE,TRUE),'19_Расчет_аналитики'!AI2453*CapacityAge22*'19_Расчет_аналитики'!$F$2235,0)</f>
        <v/>
      </c>
      <c r="AJ2565">
        <f>IF(IF('01_Вводные'!$B$296="Новый сезон",TRUE,TRUE),'19_Расчет_аналитики'!AJ2453*CapacityAge22*'19_Расчет_аналитики'!$F$2235,0)</f>
        <v/>
      </c>
      <c r="AK2565">
        <f>IF(IF('01_Вводные'!$B$296="Новый сезон",TRUE,TRUE),'19_Расчет_аналитики'!AK2453*CapacityAge22*'19_Расчет_аналитики'!$F$2235,0)</f>
        <v/>
      </c>
      <c r="AL2565">
        <f>IF(IF('01_Вводные'!$B$296="Новый сезон",TRUE,TRUE),'19_Расчет_аналитики'!AL2453*CapacityAge22*'19_Расчет_аналитики'!$F$2235,0)</f>
        <v/>
      </c>
      <c r="AM2565">
        <f>IF(IF('01_Вводные'!$B$296="Новый сезон",TRUE,TRUE),'19_Расчет_аналитики'!AM2453*CapacityAge22*'19_Расчет_аналитики'!$F$2235,0)</f>
        <v/>
      </c>
      <c r="AN2565">
        <f>IF(IF('01_Вводные'!$B$296="Новый сезон",TRUE,TRUE),'19_Расчет_аналитики'!AN2453*CapacityAge22*'19_Расчет_аналитики'!$F$2235,0)</f>
        <v/>
      </c>
      <c r="AO2565">
        <f>IF(IF('01_Вводные'!$B$296="Новый сезон",TRUE,TRUE),'19_Расчет_аналитики'!AO2453*CapacityAge22*'19_Расчет_аналитики'!$F$2235,0)</f>
        <v/>
      </c>
      <c r="AP2565">
        <f>IF(IF('01_Вводные'!$B$296="Новый сезон",TRUE,TRUE),'19_Расчет_аналитики'!AP2453*CapacityAge22*'19_Расчет_аналитики'!$F$2235,0)</f>
        <v/>
      </c>
      <c r="AQ2565">
        <f>IF(IF('01_Вводные'!$B$296="Новый сезон",TRUE,TRUE),'19_Расчет_аналитики'!AQ2453*CapacityAge22*'19_Расчет_аналитики'!$F$2235,0)</f>
        <v/>
      </c>
      <c r="AR2565">
        <f>IF(IF('01_Вводные'!$B$296="Новый сезон",TRUE,TRUE),'19_Расчет_аналитики'!AR2453*CapacityAge22*'19_Расчет_аналитики'!$F$2235,0)</f>
        <v/>
      </c>
      <c r="AS2565">
        <f>IF(IF('01_Вводные'!$B$296="Новый сезон",TRUE,TRUE),'19_Расчет_аналитики'!AS2453*CapacityAge22*'19_Расчет_аналитики'!$F$2235,0)</f>
        <v/>
      </c>
      <c r="AT2565">
        <f>IF(IF('01_Вводные'!$B$296="Новый сезон",TRUE,TRUE),'19_Расчет_аналитики'!AT2453*CapacityAge22*'19_Расчет_аналитики'!$F$2235,0)</f>
        <v/>
      </c>
      <c r="AU2565">
        <f>IF(IF('01_Вводные'!$B$296="Новый сезон",TRUE,TRUE),'19_Расчет_аналитики'!AU2453*CapacityAge22*'19_Расчет_аналитики'!$F$2235,0)</f>
        <v/>
      </c>
      <c r="AV2565">
        <f>IF(IF('01_Вводные'!$B$296="Новый сезон",TRUE,TRUE),'19_Расчет_аналитики'!AV2453*CapacityAge22*'19_Расчет_аналитики'!$F$2235,0)</f>
        <v/>
      </c>
      <c r="AW2565">
        <f>IF(IF('01_Вводные'!$B$296="Новый сезон",TRUE,TRUE),'19_Расчет_аналитики'!AW2453*CapacityAge22*'19_Расчет_аналитики'!$F$2235,0)</f>
        <v/>
      </c>
      <c r="AX2565">
        <f>IF(IF('01_Вводные'!$B$296="Новый сезон",TRUE,TRUE),'19_Расчет_аналитики'!AX2453*CapacityAge22*'19_Расчет_аналитики'!$F$2235,0)</f>
        <v/>
      </c>
      <c r="AY2565">
        <f>IF(IF('01_Вводные'!$B$296="Новый сезон",TRUE,TRUE),'19_Расчет_аналитики'!AY2453*CapacityAge22*'19_Расчет_аналитики'!$F$2235,0)</f>
        <v/>
      </c>
      <c r="AZ2565">
        <f>IF(IF('01_Вводные'!$B$296="Новый сезон",TRUE,TRUE),'19_Расчет_аналитики'!AZ2453*CapacityAge22*'19_Расчет_аналитики'!$F$2235,0)</f>
        <v/>
      </c>
      <c r="BA2565">
        <f>IF(IF('01_Вводные'!$B$296="Новый сезон",TRUE,TRUE),'19_Расчет_аналитики'!BA2453*CapacityAge22*'19_Расчет_аналитики'!$F$2235,0)</f>
        <v/>
      </c>
      <c r="BB2565">
        <f>IF(IF('01_Вводные'!$B$296="Новый сезон",TRUE,TRUE),'19_Расчет_аналитики'!BB2453*CapacityAge22*'19_Расчет_аналитики'!$F$2235,0)</f>
        <v/>
      </c>
      <c r="BC2565">
        <f>IF(IF('01_Вводные'!$B$296="Новый сезон",TRUE,TRUE),'19_Расчет_аналитики'!BC2453*CapacityAge22*'19_Расчет_аналитики'!$F$2235,0)</f>
        <v/>
      </c>
      <c r="BD2565">
        <f>IF(IF('01_Вводные'!$B$296="Новый сезон",TRUE,TRUE),'19_Расчет_аналитики'!BD2453*CapacityAge22*'19_Расчет_аналитики'!$F$2235,0)</f>
        <v/>
      </c>
      <c r="BE2565">
        <f>IF(IF('01_Вводные'!$B$296="Новый сезон",TRUE,TRUE),'19_Расчет_аналитики'!BE2453*CapacityAge22*'19_Расчет_аналитики'!$F$2235,0)</f>
        <v/>
      </c>
      <c r="BF2565">
        <f>IF(IF('01_Вводные'!$B$296="Новый сезон",TRUE,TRUE),'19_Расчет_аналитики'!BF2453*CapacityAge22*'19_Расчет_аналитики'!$F$2235,0)</f>
        <v/>
      </c>
      <c r="BG2565">
        <f>IF(IF('01_Вводные'!$B$296="Новый сезон",TRUE,TRUE),'19_Расчет_аналитики'!BG2453*CapacityAge22*'19_Расчет_аналитики'!$F$2235,0)</f>
        <v/>
      </c>
      <c r="BH2565">
        <f>IF(IF('01_Вводные'!$B$296="Новый сезон",TRUE,TRUE),'19_Расчет_аналитики'!BH2453*CapacityAge22*'19_Расчет_аналитики'!$F$2235,0)</f>
        <v/>
      </c>
      <c r="BI2565">
        <f>IF(IF('01_Вводные'!$B$296="Новый сезон",TRUE,TRUE),'19_Расчет_аналитики'!BI2453*CapacityAge22*'19_Расчет_аналитики'!$F$2235,0)</f>
        <v/>
      </c>
      <c r="BJ2565">
        <f>IF(IF('01_Вводные'!$B$296="Новый сезон",TRUE,TRUE),'19_Расчет_аналитики'!BJ2453*CapacityAge22*'19_Расчет_аналитики'!$F$2235,0)</f>
        <v/>
      </c>
      <c r="BK2565">
        <f>IF(IF('01_Вводные'!$B$296="Новый сезон",TRUE,TRUE),'19_Расчет_аналитики'!BK2453*CapacityAge22*'19_Расчет_аналитики'!$F$2235,0)</f>
        <v/>
      </c>
      <c r="BL2565">
        <f>IF(IF('01_Вводные'!$B$296="Новый сезон",TRUE,TRUE),'19_Расчет_аналитики'!BL2453*CapacityAge22*'19_Расчет_аналитики'!$F$2235,0)</f>
        <v/>
      </c>
      <c r="BM2565">
        <f>IF(IF('01_Вводные'!$B$296="Новый сезон",TRUE,TRUE),'19_Расчет_аналитики'!BM2453*CapacityAge22*'19_Расчет_аналитики'!$F$2235,0)</f>
        <v/>
      </c>
      <c r="BN2565">
        <f>IF(IF('01_Вводные'!$B$296="Новый сезон",TRUE,TRUE),'19_Расчет_аналитики'!BN2453*CapacityAge22*'19_Расчет_аналитики'!$F$2235,0)</f>
        <v/>
      </c>
      <c r="BO2565">
        <f>IF(IF('01_Вводные'!$B$296="Новый сезон",TRUE,TRUE),'19_Расчет_аналитики'!BO2453*CapacityAge22*'19_Расчет_аналитики'!$F$2235,0)</f>
        <v/>
      </c>
    </row>
    <row r="2566">
      <c r="B2566">
        <f>IF(IF('01_Вводные'!$B$296="Новый сезон",TRUE,TRUE),'06_Сеть_и_дети'!B75*CapacityAge23*'19_Расчет_аналитики'!$F$2235,0)</f>
        <v/>
      </c>
      <c r="C2566">
        <f>IF(IF('01_Вводные'!$B$296="Новый сезон",TRUE,TRUE),'06_Сеть_и_дети'!C75*CapacityAge23*'19_Расчет_аналитики'!$F$2235,0)</f>
        <v/>
      </c>
      <c r="D2566">
        <f>IF(IF('01_Вводные'!$B$296="Новый сезон",TRUE,TRUE),'06_Сеть_и_дети'!D75*CapacityAge23*'19_Расчет_аналитики'!$F$2235,0)</f>
        <v/>
      </c>
      <c r="E2566">
        <f>IF(IF('01_Вводные'!$B$296="Новый сезон",TRUE,TRUE),'06_Сеть_и_дети'!E75*CapacityAge23*'19_Расчет_аналитики'!$F$2235,0)</f>
        <v/>
      </c>
      <c r="F2566">
        <f>IF(IF('01_Вводные'!$B$296="Новый сезон",TRUE,TRUE),'06_Сеть_и_дети'!F75*CapacityAge23*'19_Расчет_аналитики'!$F$2235,0)</f>
        <v/>
      </c>
      <c r="G2566">
        <f>IF(IF('01_Вводные'!$B$296="Новый сезон",TRUE,TRUE),'06_Сеть_и_дети'!G75*CapacityAge23*'19_Расчет_аналитики'!$F$2235,0)</f>
        <v/>
      </c>
      <c r="H2566">
        <f>IF(IF('01_Вводные'!$B$296="Новый сезон",TRUE,TRUE),'06_Сеть_и_дети'!H75*CapacityAge23*'19_Расчет_аналитики'!$F$2235,0)</f>
        <v/>
      </c>
      <c r="I2566">
        <f>IF(IF('01_Вводные'!$B$296="Новый сезон",TRUE,TRUE),'06_Сеть_и_дети'!I75*CapacityAge23*'19_Расчет_аналитики'!$F$2235,0)</f>
        <v/>
      </c>
      <c r="J2566">
        <f>IF(IF('01_Вводные'!$B$296="Новый сезон",TRUE,TRUE),'06_Сеть_и_дети'!J75*CapacityAge23*'19_Расчет_аналитики'!$F$2235,0)</f>
        <v/>
      </c>
      <c r="K2566">
        <f>IF(IF('01_Вводные'!$B$296="Новый сезон",TRUE,TRUE),'06_Сеть_и_дети'!K75*CapacityAge23*'19_Расчет_аналитики'!$F$2235,0)</f>
        <v/>
      </c>
      <c r="L2566">
        <f>IF(IF('01_Вводные'!$B$296="Новый сезон",TRUE,TRUE),'06_Сеть_и_дети'!L75*CapacityAge23*'19_Расчет_аналитики'!$F$2235,0)</f>
        <v/>
      </c>
      <c r="M2566">
        <f>IF(IF('01_Вводные'!$B$296="Новый сезон",TRUE,TRUE),'06_Сеть_и_дети'!M75*CapacityAge23*'19_Расчет_аналитики'!$F$2235,0)</f>
        <v/>
      </c>
      <c r="N2566">
        <f>IF(IF('01_Вводные'!$B$296="Новый сезон",TRUE,TRUE),'06_Сеть_и_дети'!N75*CapacityAge23*'19_Расчет_аналитики'!$F$2235,0)</f>
        <v/>
      </c>
      <c r="O2566">
        <f>IF(IF('01_Вводные'!$B$296="Новый сезон",TRUE,TRUE),'06_Сеть_и_дети'!O75*CapacityAge23*'19_Расчет_аналитики'!$F$2235,0)</f>
        <v/>
      </c>
      <c r="P2566">
        <f>IF(IF('01_Вводные'!$B$296="Новый сезон",TRUE,TRUE),'06_Сеть_и_дети'!P75*CapacityAge23*'19_Расчет_аналитики'!$F$2235,0)</f>
        <v/>
      </c>
      <c r="Q2566">
        <f>IF(IF('01_Вводные'!$B$296="Новый сезон",TRUE,TRUE),'06_Сеть_и_дети'!Q75*CapacityAge23*'19_Расчет_аналитики'!$F$2235,0)</f>
        <v/>
      </c>
      <c r="R2566">
        <f>IF(IF('01_Вводные'!$B$296="Новый сезон",TRUE,TRUE),'06_Сеть_и_дети'!R75*CapacityAge23*'19_Расчет_аналитики'!$F$2235,0)</f>
        <v/>
      </c>
      <c r="S2566">
        <f>IF(IF('01_Вводные'!$B$296="Новый сезон",TRUE,TRUE),'06_Сеть_и_дети'!S75*CapacityAge23*'19_Расчет_аналитики'!$F$2235,0)</f>
        <v/>
      </c>
      <c r="T2566">
        <f>IF(IF('01_Вводные'!$B$296="Новый сезон",TRUE,TRUE),'06_Сеть_и_дети'!T75*CapacityAge23*'19_Расчет_аналитики'!$F$2235,0)</f>
        <v/>
      </c>
      <c r="U2566">
        <f>IF(IF('01_Вводные'!$B$296="Новый сезон",TRUE,TRUE),'06_Сеть_и_дети'!U75*CapacityAge23*'19_Расчет_аналитики'!$F$2235,0)</f>
        <v/>
      </c>
      <c r="V2566">
        <f>IF(IF('01_Вводные'!$B$296="Новый сезон",TRUE,TRUE),'06_Сеть_и_дети'!V75*CapacityAge23*'19_Расчет_аналитики'!$F$2235,0)</f>
        <v/>
      </c>
      <c r="W2566">
        <f>IF(IF('01_Вводные'!$B$296="Новый сезон",TRUE,TRUE),'06_Сеть_и_дети'!W75*CapacityAge23*'19_Расчет_аналитики'!$F$2235,0)</f>
        <v/>
      </c>
      <c r="X2566">
        <f>IF(IF('01_Вводные'!$B$296="Новый сезон",TRUE,TRUE),'19_Расчет_аналитики'!X2454*CapacityAge23*'19_Расчет_аналитики'!$F$2235,0)</f>
        <v/>
      </c>
      <c r="Y2566">
        <f>IF(IF('01_Вводные'!$B$296="Новый сезон",TRUE,TRUE),'19_Расчет_аналитики'!Y2454*CapacityAge23*'19_Расчет_аналитики'!$F$2235,0)</f>
        <v/>
      </c>
      <c r="Z2566">
        <f>IF(IF('01_Вводные'!$B$296="Новый сезон",TRUE,TRUE),'19_Расчет_аналитики'!Z2454*CapacityAge23*'19_Расчет_аналитики'!$F$2235,0)</f>
        <v/>
      </c>
      <c r="AA2566">
        <f>IF(IF('01_Вводные'!$B$296="Новый сезон",TRUE,TRUE),'19_Расчет_аналитики'!AA2454*CapacityAge23*'19_Расчет_аналитики'!$F$2235,0)</f>
        <v/>
      </c>
      <c r="AB2566">
        <f>IF(IF('01_Вводные'!$B$296="Новый сезон",TRUE,TRUE),'19_Расчет_аналитики'!AB2454*CapacityAge23*'19_Расчет_аналитики'!$F$2235,0)</f>
        <v/>
      </c>
      <c r="AC2566">
        <f>IF(IF('01_Вводные'!$B$296="Новый сезон",TRUE,TRUE),'19_Расчет_аналитики'!AC2454*CapacityAge23*'19_Расчет_аналитики'!$F$2235,0)</f>
        <v/>
      </c>
      <c r="AD2566">
        <f>IF(IF('01_Вводные'!$B$296="Новый сезон",TRUE,TRUE),'19_Расчет_аналитики'!AD2454*CapacityAge23*'19_Расчет_аналитики'!$F$2235,0)</f>
        <v/>
      </c>
      <c r="AE2566">
        <f>IF(IF('01_Вводные'!$B$296="Новый сезон",TRUE,TRUE),'19_Расчет_аналитики'!AE2454*CapacityAge23*'19_Расчет_аналитики'!$F$2235,0)</f>
        <v/>
      </c>
      <c r="AF2566">
        <f>IF(IF('01_Вводные'!$B$296="Новый сезон",TRUE,TRUE),'19_Расчет_аналитики'!AF2454*CapacityAge23*'19_Расчет_аналитики'!$F$2235,0)</f>
        <v/>
      </c>
      <c r="AG2566">
        <f>IF(IF('01_Вводные'!$B$296="Новый сезон",TRUE,TRUE),'19_Расчет_аналитики'!AG2454*CapacityAge23*'19_Расчет_аналитики'!$F$2235,0)</f>
        <v/>
      </c>
      <c r="AH2566">
        <f>IF(IF('01_Вводные'!$B$296="Новый сезон",TRUE,TRUE),'19_Расчет_аналитики'!AH2454*CapacityAge23*'19_Расчет_аналитики'!$F$2235,0)</f>
        <v/>
      </c>
      <c r="AI2566">
        <f>IF(IF('01_Вводные'!$B$296="Новый сезон",TRUE,TRUE),'19_Расчет_аналитики'!AI2454*CapacityAge23*'19_Расчет_аналитики'!$F$2235,0)</f>
        <v/>
      </c>
      <c r="AJ2566">
        <f>IF(IF('01_Вводные'!$B$296="Новый сезон",TRUE,TRUE),'19_Расчет_аналитики'!AJ2454*CapacityAge23*'19_Расчет_аналитики'!$F$2235,0)</f>
        <v/>
      </c>
      <c r="AK2566">
        <f>IF(IF('01_Вводные'!$B$296="Новый сезон",TRUE,TRUE),'19_Расчет_аналитики'!AK2454*CapacityAge23*'19_Расчет_аналитики'!$F$2235,0)</f>
        <v/>
      </c>
      <c r="AL2566">
        <f>IF(IF('01_Вводные'!$B$296="Новый сезон",TRUE,TRUE),'19_Расчет_аналитики'!AL2454*CapacityAge23*'19_Расчет_аналитики'!$F$2235,0)</f>
        <v/>
      </c>
      <c r="AM2566">
        <f>IF(IF('01_Вводные'!$B$296="Новый сезон",TRUE,TRUE),'19_Расчет_аналитики'!AM2454*CapacityAge23*'19_Расчет_аналитики'!$F$2235,0)</f>
        <v/>
      </c>
      <c r="AN2566">
        <f>IF(IF('01_Вводные'!$B$296="Новый сезон",TRUE,TRUE),'19_Расчет_аналитики'!AN2454*CapacityAge23*'19_Расчет_аналитики'!$F$2235,0)</f>
        <v/>
      </c>
      <c r="AO2566">
        <f>IF(IF('01_Вводные'!$B$296="Новый сезон",TRUE,TRUE),'19_Расчет_аналитики'!AO2454*CapacityAge23*'19_Расчет_аналитики'!$F$2235,0)</f>
        <v/>
      </c>
      <c r="AP2566">
        <f>IF(IF('01_Вводные'!$B$296="Новый сезон",TRUE,TRUE),'19_Расчет_аналитики'!AP2454*CapacityAge23*'19_Расчет_аналитики'!$F$2235,0)</f>
        <v/>
      </c>
      <c r="AQ2566">
        <f>IF(IF('01_Вводные'!$B$296="Новый сезон",TRUE,TRUE),'19_Расчет_аналитики'!AQ2454*CapacityAge23*'19_Расчет_аналитики'!$F$2235,0)</f>
        <v/>
      </c>
      <c r="AR2566">
        <f>IF(IF('01_Вводные'!$B$296="Новый сезон",TRUE,TRUE),'19_Расчет_аналитики'!AR2454*CapacityAge23*'19_Расчет_аналитики'!$F$2235,0)</f>
        <v/>
      </c>
      <c r="AS2566">
        <f>IF(IF('01_Вводные'!$B$296="Новый сезон",TRUE,TRUE),'19_Расчет_аналитики'!AS2454*CapacityAge23*'19_Расчет_аналитики'!$F$2235,0)</f>
        <v/>
      </c>
      <c r="AT2566">
        <f>IF(IF('01_Вводные'!$B$296="Новый сезон",TRUE,TRUE),'19_Расчет_аналитики'!AT2454*CapacityAge23*'19_Расчет_аналитики'!$F$2235,0)</f>
        <v/>
      </c>
      <c r="AU2566">
        <f>IF(IF('01_Вводные'!$B$296="Новый сезон",TRUE,TRUE),'19_Расчет_аналитики'!AU2454*CapacityAge23*'19_Расчет_аналитики'!$F$2235,0)</f>
        <v/>
      </c>
      <c r="AV2566">
        <f>IF(IF('01_Вводные'!$B$296="Новый сезон",TRUE,TRUE),'19_Расчет_аналитики'!AV2454*CapacityAge23*'19_Расчет_аналитики'!$F$2235,0)</f>
        <v/>
      </c>
      <c r="AW2566">
        <f>IF(IF('01_Вводные'!$B$296="Новый сезон",TRUE,TRUE),'19_Расчет_аналитики'!AW2454*CapacityAge23*'19_Расчет_аналитики'!$F$2235,0)</f>
        <v/>
      </c>
      <c r="AX2566">
        <f>IF(IF('01_Вводные'!$B$296="Новый сезон",TRUE,TRUE),'19_Расчет_аналитики'!AX2454*CapacityAge23*'19_Расчет_аналитики'!$F$2235,0)</f>
        <v/>
      </c>
      <c r="AY2566">
        <f>IF(IF('01_Вводные'!$B$296="Новый сезон",TRUE,TRUE),'19_Расчет_аналитики'!AY2454*CapacityAge23*'19_Расчет_аналитики'!$F$2235,0)</f>
        <v/>
      </c>
      <c r="AZ2566">
        <f>IF(IF('01_Вводные'!$B$296="Новый сезон",TRUE,TRUE),'19_Расчет_аналитики'!AZ2454*CapacityAge23*'19_Расчет_аналитики'!$F$2235,0)</f>
        <v/>
      </c>
      <c r="BA2566">
        <f>IF(IF('01_Вводные'!$B$296="Новый сезон",TRUE,TRUE),'19_Расчет_аналитики'!BA2454*CapacityAge23*'19_Расчет_аналитики'!$F$2235,0)</f>
        <v/>
      </c>
      <c r="BB2566">
        <f>IF(IF('01_Вводные'!$B$296="Новый сезон",TRUE,TRUE),'19_Расчет_аналитики'!BB2454*CapacityAge23*'19_Расчет_аналитики'!$F$2235,0)</f>
        <v/>
      </c>
      <c r="BC2566">
        <f>IF(IF('01_Вводные'!$B$296="Новый сезон",TRUE,TRUE),'19_Расчет_аналитики'!BC2454*CapacityAge23*'19_Расчет_аналитики'!$F$2235,0)</f>
        <v/>
      </c>
      <c r="BD2566">
        <f>IF(IF('01_Вводные'!$B$296="Новый сезон",TRUE,TRUE),'19_Расчет_аналитики'!BD2454*CapacityAge23*'19_Расчет_аналитики'!$F$2235,0)</f>
        <v/>
      </c>
      <c r="BE2566">
        <f>IF(IF('01_Вводные'!$B$296="Новый сезон",TRUE,TRUE),'19_Расчет_аналитики'!BE2454*CapacityAge23*'19_Расчет_аналитики'!$F$2235,0)</f>
        <v/>
      </c>
      <c r="BF2566">
        <f>IF(IF('01_Вводные'!$B$296="Новый сезон",TRUE,TRUE),'19_Расчет_аналитики'!BF2454*CapacityAge23*'19_Расчет_аналитики'!$F$2235,0)</f>
        <v/>
      </c>
      <c r="BG2566">
        <f>IF(IF('01_Вводные'!$B$296="Новый сезон",TRUE,TRUE),'19_Расчет_аналитики'!BG2454*CapacityAge23*'19_Расчет_аналитики'!$F$2235,0)</f>
        <v/>
      </c>
      <c r="BH2566">
        <f>IF(IF('01_Вводные'!$B$296="Новый сезон",TRUE,TRUE),'19_Расчет_аналитики'!BH2454*CapacityAge23*'19_Расчет_аналитики'!$F$2235,0)</f>
        <v/>
      </c>
      <c r="BI2566">
        <f>IF(IF('01_Вводные'!$B$296="Новый сезон",TRUE,TRUE),'19_Расчет_аналитики'!BI2454*CapacityAge23*'19_Расчет_аналитики'!$F$2235,0)</f>
        <v/>
      </c>
      <c r="BJ2566">
        <f>IF(IF('01_Вводные'!$B$296="Новый сезон",TRUE,TRUE),'19_Расчет_аналитики'!BJ2454*CapacityAge23*'19_Расчет_аналитики'!$F$2235,0)</f>
        <v/>
      </c>
      <c r="BK2566">
        <f>IF(IF('01_Вводные'!$B$296="Новый сезон",TRUE,TRUE),'19_Расчет_аналитики'!BK2454*CapacityAge23*'19_Расчет_аналитики'!$F$2235,0)</f>
        <v/>
      </c>
      <c r="BL2566">
        <f>IF(IF('01_Вводные'!$B$296="Новый сезон",TRUE,TRUE),'19_Расчет_аналитики'!BL2454*CapacityAge23*'19_Расчет_аналитики'!$F$2235,0)</f>
        <v/>
      </c>
      <c r="BM2566">
        <f>IF(IF('01_Вводные'!$B$296="Новый сезон",TRUE,TRUE),'19_Расчет_аналитики'!BM2454*CapacityAge23*'19_Расчет_аналитики'!$F$2235,0)</f>
        <v/>
      </c>
      <c r="BN2566">
        <f>IF(IF('01_Вводные'!$B$296="Новый сезон",TRUE,TRUE),'19_Расчет_аналитики'!BN2454*CapacityAge23*'19_Расчет_аналитики'!$F$2235,0)</f>
        <v/>
      </c>
      <c r="BO2566">
        <f>IF(IF('01_Вводные'!$B$296="Новый сезон",TRUE,TRUE),'19_Расчет_аналитики'!BO2454*CapacityAge23*'19_Расчет_аналитики'!$F$2235,0)</f>
        <v/>
      </c>
    </row>
    <row r="2567">
      <c r="B2567">
        <f>IF(IF('01_Вводные'!$B$296="Новый сезон",TRUE,TRUE),'06_Сеть_и_дети'!B76*CapacityAge24*'19_Расчет_аналитики'!$F$2235,0)</f>
        <v/>
      </c>
      <c r="C2567">
        <f>IF(IF('01_Вводные'!$B$296="Новый сезон",TRUE,TRUE),'06_Сеть_и_дети'!C76*CapacityAge24*'19_Расчет_аналитики'!$F$2235,0)</f>
        <v/>
      </c>
      <c r="D2567">
        <f>IF(IF('01_Вводные'!$B$296="Новый сезон",TRUE,TRUE),'06_Сеть_и_дети'!D76*CapacityAge24*'19_Расчет_аналитики'!$F$2235,0)</f>
        <v/>
      </c>
      <c r="E2567">
        <f>IF(IF('01_Вводные'!$B$296="Новый сезон",TRUE,TRUE),'06_Сеть_и_дети'!E76*CapacityAge24*'19_Расчет_аналитики'!$F$2235,0)</f>
        <v/>
      </c>
      <c r="F2567">
        <f>IF(IF('01_Вводные'!$B$296="Новый сезон",TRUE,TRUE),'06_Сеть_и_дети'!F76*CapacityAge24*'19_Расчет_аналитики'!$F$2235,0)</f>
        <v/>
      </c>
      <c r="G2567">
        <f>IF(IF('01_Вводные'!$B$296="Новый сезон",TRUE,TRUE),'06_Сеть_и_дети'!G76*CapacityAge24*'19_Расчет_аналитики'!$F$2235,0)</f>
        <v/>
      </c>
      <c r="H2567">
        <f>IF(IF('01_Вводные'!$B$296="Новый сезон",TRUE,TRUE),'06_Сеть_и_дети'!H76*CapacityAge24*'19_Расчет_аналитики'!$F$2235,0)</f>
        <v/>
      </c>
      <c r="I2567">
        <f>IF(IF('01_Вводные'!$B$296="Новый сезон",TRUE,TRUE),'06_Сеть_и_дети'!I76*CapacityAge24*'19_Расчет_аналитики'!$F$2235,0)</f>
        <v/>
      </c>
      <c r="J2567">
        <f>IF(IF('01_Вводные'!$B$296="Новый сезон",TRUE,TRUE),'06_Сеть_и_дети'!J76*CapacityAge24*'19_Расчет_аналитики'!$F$2235,0)</f>
        <v/>
      </c>
      <c r="K2567">
        <f>IF(IF('01_Вводные'!$B$296="Новый сезон",TRUE,TRUE),'06_Сеть_и_дети'!K76*CapacityAge24*'19_Расчет_аналитики'!$F$2235,0)</f>
        <v/>
      </c>
      <c r="L2567">
        <f>IF(IF('01_Вводные'!$B$296="Новый сезон",TRUE,TRUE),'06_Сеть_и_дети'!L76*CapacityAge24*'19_Расчет_аналитики'!$F$2235,0)</f>
        <v/>
      </c>
      <c r="M2567">
        <f>IF(IF('01_Вводные'!$B$296="Новый сезон",TRUE,TRUE),'06_Сеть_и_дети'!M76*CapacityAge24*'19_Расчет_аналитики'!$F$2235,0)</f>
        <v/>
      </c>
      <c r="N2567">
        <f>IF(IF('01_Вводные'!$B$296="Новый сезон",TRUE,TRUE),'06_Сеть_и_дети'!N76*CapacityAge24*'19_Расчет_аналитики'!$F$2235,0)</f>
        <v/>
      </c>
      <c r="O2567">
        <f>IF(IF('01_Вводные'!$B$296="Новый сезон",TRUE,TRUE),'06_Сеть_и_дети'!O76*CapacityAge24*'19_Расчет_аналитики'!$F$2235,0)</f>
        <v/>
      </c>
      <c r="P2567">
        <f>IF(IF('01_Вводные'!$B$296="Новый сезон",TRUE,TRUE),'06_Сеть_и_дети'!P76*CapacityAge24*'19_Расчет_аналитики'!$F$2235,0)</f>
        <v/>
      </c>
      <c r="Q2567">
        <f>IF(IF('01_Вводные'!$B$296="Новый сезон",TRUE,TRUE),'06_Сеть_и_дети'!Q76*CapacityAge24*'19_Расчет_аналитики'!$F$2235,0)</f>
        <v/>
      </c>
      <c r="R2567">
        <f>IF(IF('01_Вводные'!$B$296="Новый сезон",TRUE,TRUE),'06_Сеть_и_дети'!R76*CapacityAge24*'19_Расчет_аналитики'!$F$2235,0)</f>
        <v/>
      </c>
      <c r="S2567">
        <f>IF(IF('01_Вводные'!$B$296="Новый сезон",TRUE,TRUE),'06_Сеть_и_дети'!S76*CapacityAge24*'19_Расчет_аналитики'!$F$2235,0)</f>
        <v/>
      </c>
      <c r="T2567">
        <f>IF(IF('01_Вводные'!$B$296="Новый сезон",TRUE,TRUE),'06_Сеть_и_дети'!T76*CapacityAge24*'19_Расчет_аналитики'!$F$2235,0)</f>
        <v/>
      </c>
      <c r="U2567">
        <f>IF(IF('01_Вводные'!$B$296="Новый сезон",TRUE,TRUE),'06_Сеть_и_дети'!U76*CapacityAge24*'19_Расчет_аналитики'!$F$2235,0)</f>
        <v/>
      </c>
      <c r="V2567">
        <f>IF(IF('01_Вводные'!$B$296="Новый сезон",TRUE,TRUE),'06_Сеть_и_дети'!V76*CapacityAge24*'19_Расчет_аналитики'!$F$2235,0)</f>
        <v/>
      </c>
      <c r="W2567">
        <f>IF(IF('01_Вводные'!$B$296="Новый сезон",TRUE,TRUE),'06_Сеть_и_дети'!W76*CapacityAge24*'19_Расчет_аналитики'!$F$2235,0)</f>
        <v/>
      </c>
      <c r="X2567">
        <f>IF(IF('01_Вводные'!$B$296="Новый сезон",TRUE,TRUE),'06_Сеть_и_дети'!X76*CapacityAge24*'19_Расчет_аналитики'!$F$2235,0)</f>
        <v/>
      </c>
      <c r="Y2567">
        <f>IF(IF('01_Вводные'!$B$296="Новый сезон",TRUE,TRUE),'19_Расчет_аналитики'!Y2455*CapacityAge24*'19_Расчет_аналитики'!$F$2235,0)</f>
        <v/>
      </c>
      <c r="Z2567">
        <f>IF(IF('01_Вводные'!$B$296="Новый сезон",TRUE,TRUE),'19_Расчет_аналитики'!Z2455*CapacityAge24*'19_Расчет_аналитики'!$F$2235,0)</f>
        <v/>
      </c>
      <c r="AA2567">
        <f>IF(IF('01_Вводные'!$B$296="Новый сезон",TRUE,TRUE),'19_Расчет_аналитики'!AA2455*CapacityAge24*'19_Расчет_аналитики'!$F$2235,0)</f>
        <v/>
      </c>
      <c r="AB2567">
        <f>IF(IF('01_Вводные'!$B$296="Новый сезон",TRUE,TRUE),'19_Расчет_аналитики'!AB2455*CapacityAge24*'19_Расчет_аналитики'!$F$2235,0)</f>
        <v/>
      </c>
      <c r="AC2567">
        <f>IF(IF('01_Вводные'!$B$296="Новый сезон",TRUE,TRUE),'19_Расчет_аналитики'!AC2455*CapacityAge24*'19_Расчет_аналитики'!$F$2235,0)</f>
        <v/>
      </c>
      <c r="AD2567">
        <f>IF(IF('01_Вводные'!$B$296="Новый сезон",TRUE,TRUE),'19_Расчет_аналитики'!AD2455*CapacityAge24*'19_Расчет_аналитики'!$F$2235,0)</f>
        <v/>
      </c>
      <c r="AE2567">
        <f>IF(IF('01_Вводные'!$B$296="Новый сезон",TRUE,TRUE),'19_Расчет_аналитики'!AE2455*CapacityAge24*'19_Расчет_аналитики'!$F$2235,0)</f>
        <v/>
      </c>
      <c r="AF2567">
        <f>IF(IF('01_Вводные'!$B$296="Новый сезон",TRUE,TRUE),'19_Расчет_аналитики'!AF2455*CapacityAge24*'19_Расчет_аналитики'!$F$2235,0)</f>
        <v/>
      </c>
      <c r="AG2567">
        <f>IF(IF('01_Вводные'!$B$296="Новый сезон",TRUE,TRUE),'19_Расчет_аналитики'!AG2455*CapacityAge24*'19_Расчет_аналитики'!$F$2235,0)</f>
        <v/>
      </c>
      <c r="AH2567">
        <f>IF(IF('01_Вводные'!$B$296="Новый сезон",TRUE,TRUE),'19_Расчет_аналитики'!AH2455*CapacityAge24*'19_Расчет_аналитики'!$F$2235,0)</f>
        <v/>
      </c>
      <c r="AI2567">
        <f>IF(IF('01_Вводные'!$B$296="Новый сезон",TRUE,TRUE),'19_Расчет_аналитики'!AI2455*CapacityAge24*'19_Расчет_аналитики'!$F$2235,0)</f>
        <v/>
      </c>
      <c r="AJ2567">
        <f>IF(IF('01_Вводные'!$B$296="Новый сезон",TRUE,TRUE),'19_Расчет_аналитики'!AJ2455*CapacityAge24*'19_Расчет_аналитики'!$F$2235,0)</f>
        <v/>
      </c>
      <c r="AK2567">
        <f>IF(IF('01_Вводные'!$B$296="Новый сезон",TRUE,TRUE),'19_Расчет_аналитики'!AK2455*CapacityAge24*'19_Расчет_аналитики'!$F$2235,0)</f>
        <v/>
      </c>
      <c r="AL2567">
        <f>IF(IF('01_Вводные'!$B$296="Новый сезон",TRUE,TRUE),'19_Расчет_аналитики'!AL2455*CapacityAge24*'19_Расчет_аналитики'!$F$2235,0)</f>
        <v/>
      </c>
      <c r="AM2567">
        <f>IF(IF('01_Вводные'!$B$296="Новый сезон",TRUE,TRUE),'19_Расчет_аналитики'!AM2455*CapacityAge24*'19_Расчет_аналитики'!$F$2235,0)</f>
        <v/>
      </c>
      <c r="AN2567">
        <f>IF(IF('01_Вводные'!$B$296="Новый сезон",TRUE,TRUE),'19_Расчет_аналитики'!AN2455*CapacityAge24*'19_Расчет_аналитики'!$F$2235,0)</f>
        <v/>
      </c>
      <c r="AO2567">
        <f>IF(IF('01_Вводные'!$B$296="Новый сезон",TRUE,TRUE),'19_Расчет_аналитики'!AO2455*CapacityAge24*'19_Расчет_аналитики'!$F$2235,0)</f>
        <v/>
      </c>
      <c r="AP2567">
        <f>IF(IF('01_Вводные'!$B$296="Новый сезон",TRUE,TRUE),'19_Расчет_аналитики'!AP2455*CapacityAge24*'19_Расчет_аналитики'!$F$2235,0)</f>
        <v/>
      </c>
      <c r="AQ2567">
        <f>IF(IF('01_Вводные'!$B$296="Новый сезон",TRUE,TRUE),'19_Расчет_аналитики'!AQ2455*CapacityAge24*'19_Расчет_аналитики'!$F$2235,0)</f>
        <v/>
      </c>
      <c r="AR2567">
        <f>IF(IF('01_Вводные'!$B$296="Новый сезон",TRUE,TRUE),'19_Расчет_аналитики'!AR2455*CapacityAge24*'19_Расчет_аналитики'!$F$2235,0)</f>
        <v/>
      </c>
      <c r="AS2567">
        <f>IF(IF('01_Вводные'!$B$296="Новый сезон",TRUE,TRUE),'19_Расчет_аналитики'!AS2455*CapacityAge24*'19_Расчет_аналитики'!$F$2235,0)</f>
        <v/>
      </c>
      <c r="AT2567">
        <f>IF(IF('01_Вводные'!$B$296="Новый сезон",TRUE,TRUE),'19_Расчет_аналитики'!AT2455*CapacityAge24*'19_Расчет_аналитики'!$F$2235,0)</f>
        <v/>
      </c>
      <c r="AU2567">
        <f>IF(IF('01_Вводные'!$B$296="Новый сезон",TRUE,TRUE),'19_Расчет_аналитики'!AU2455*CapacityAge24*'19_Расчет_аналитики'!$F$2235,0)</f>
        <v/>
      </c>
      <c r="AV2567">
        <f>IF(IF('01_Вводные'!$B$296="Новый сезон",TRUE,TRUE),'19_Расчет_аналитики'!AV2455*CapacityAge24*'19_Расчет_аналитики'!$F$2235,0)</f>
        <v/>
      </c>
      <c r="AW2567">
        <f>IF(IF('01_Вводные'!$B$296="Новый сезон",TRUE,TRUE),'19_Расчет_аналитики'!AW2455*CapacityAge24*'19_Расчет_аналитики'!$F$2235,0)</f>
        <v/>
      </c>
      <c r="AX2567">
        <f>IF(IF('01_Вводные'!$B$296="Новый сезон",TRUE,TRUE),'19_Расчет_аналитики'!AX2455*CapacityAge24*'19_Расчет_аналитики'!$F$2235,0)</f>
        <v/>
      </c>
      <c r="AY2567">
        <f>IF(IF('01_Вводные'!$B$296="Новый сезон",TRUE,TRUE),'19_Расчет_аналитики'!AY2455*CapacityAge24*'19_Расчет_аналитики'!$F$2235,0)</f>
        <v/>
      </c>
      <c r="AZ2567">
        <f>IF(IF('01_Вводные'!$B$296="Новый сезон",TRUE,TRUE),'19_Расчет_аналитики'!AZ2455*CapacityAge24*'19_Расчет_аналитики'!$F$2235,0)</f>
        <v/>
      </c>
      <c r="BA2567">
        <f>IF(IF('01_Вводные'!$B$296="Новый сезон",TRUE,TRUE),'19_Расчет_аналитики'!BA2455*CapacityAge24*'19_Расчет_аналитики'!$F$2235,0)</f>
        <v/>
      </c>
      <c r="BB2567">
        <f>IF(IF('01_Вводные'!$B$296="Новый сезон",TRUE,TRUE),'19_Расчет_аналитики'!BB2455*CapacityAge24*'19_Расчет_аналитики'!$F$2235,0)</f>
        <v/>
      </c>
      <c r="BC2567">
        <f>IF(IF('01_Вводные'!$B$296="Новый сезон",TRUE,TRUE),'19_Расчет_аналитики'!BC2455*CapacityAge24*'19_Расчет_аналитики'!$F$2235,0)</f>
        <v/>
      </c>
      <c r="BD2567">
        <f>IF(IF('01_Вводные'!$B$296="Новый сезон",TRUE,TRUE),'19_Расчет_аналитики'!BD2455*CapacityAge24*'19_Расчет_аналитики'!$F$2235,0)</f>
        <v/>
      </c>
      <c r="BE2567">
        <f>IF(IF('01_Вводные'!$B$296="Новый сезон",TRUE,TRUE),'19_Расчет_аналитики'!BE2455*CapacityAge24*'19_Расчет_аналитики'!$F$2235,0)</f>
        <v/>
      </c>
      <c r="BF2567">
        <f>IF(IF('01_Вводные'!$B$296="Новый сезон",TRUE,TRUE),'19_Расчет_аналитики'!BF2455*CapacityAge24*'19_Расчет_аналитики'!$F$2235,0)</f>
        <v/>
      </c>
      <c r="BG2567">
        <f>IF(IF('01_Вводные'!$B$296="Новый сезон",TRUE,TRUE),'19_Расчет_аналитики'!BG2455*CapacityAge24*'19_Расчет_аналитики'!$F$2235,0)</f>
        <v/>
      </c>
      <c r="BH2567">
        <f>IF(IF('01_Вводные'!$B$296="Новый сезон",TRUE,TRUE),'19_Расчет_аналитики'!BH2455*CapacityAge24*'19_Расчет_аналитики'!$F$2235,0)</f>
        <v/>
      </c>
      <c r="BI2567">
        <f>IF(IF('01_Вводные'!$B$296="Новый сезон",TRUE,TRUE),'19_Расчет_аналитики'!BI2455*CapacityAge24*'19_Расчет_аналитики'!$F$2235,0)</f>
        <v/>
      </c>
      <c r="BJ2567">
        <f>IF(IF('01_Вводные'!$B$296="Новый сезон",TRUE,TRUE),'19_Расчет_аналитики'!BJ2455*CapacityAge24*'19_Расчет_аналитики'!$F$2235,0)</f>
        <v/>
      </c>
      <c r="BK2567">
        <f>IF(IF('01_Вводные'!$B$296="Новый сезон",TRUE,TRUE),'19_Расчет_аналитики'!BK2455*CapacityAge24*'19_Расчет_аналитики'!$F$2235,0)</f>
        <v/>
      </c>
      <c r="BL2567">
        <f>IF(IF('01_Вводные'!$B$296="Новый сезон",TRUE,TRUE),'19_Расчет_аналитики'!BL2455*CapacityAge24*'19_Расчет_аналитики'!$F$2235,0)</f>
        <v/>
      </c>
      <c r="BM2567">
        <f>IF(IF('01_Вводные'!$B$296="Новый сезон",TRUE,TRUE),'19_Расчет_аналитики'!BM2455*CapacityAge24*'19_Расчет_аналитики'!$F$2235,0)</f>
        <v/>
      </c>
      <c r="BN2567">
        <f>IF(IF('01_Вводные'!$B$296="Новый сезон",TRUE,TRUE),'19_Расчет_аналитики'!BN2455*CapacityAge24*'19_Расчет_аналитики'!$F$2235,0)</f>
        <v/>
      </c>
      <c r="BO2567">
        <f>IF(IF('01_Вводные'!$B$296="Новый сезон",TRUE,TRUE),'19_Расчет_аналитики'!BO2455*CapacityAge24*'19_Расчет_аналитики'!$F$2235,0)</f>
        <v/>
      </c>
    </row>
    <row r="2568">
      <c r="B2568">
        <f>IF(IF('01_Вводные'!$B$296="Новый сезон",TRUE,TRUE),'06_Сеть_и_дети'!B77*CapacityAge25*'19_Расчет_аналитики'!$F$2235,0)</f>
        <v/>
      </c>
      <c r="C2568">
        <f>IF(IF('01_Вводные'!$B$296="Новый сезон",TRUE,TRUE),'06_Сеть_и_дети'!C77*CapacityAge25*'19_Расчет_аналитики'!$F$2235,0)</f>
        <v/>
      </c>
      <c r="D2568">
        <f>IF(IF('01_Вводные'!$B$296="Новый сезон",TRUE,TRUE),'06_Сеть_и_дети'!D77*CapacityAge25*'19_Расчет_аналитики'!$F$2235,0)</f>
        <v/>
      </c>
      <c r="E2568">
        <f>IF(IF('01_Вводные'!$B$296="Новый сезон",TRUE,TRUE),'06_Сеть_и_дети'!E77*CapacityAge25*'19_Расчет_аналитики'!$F$2235,0)</f>
        <v/>
      </c>
      <c r="F2568">
        <f>IF(IF('01_Вводные'!$B$296="Новый сезон",TRUE,TRUE),'06_Сеть_и_дети'!F77*CapacityAge25*'19_Расчет_аналитики'!$F$2235,0)</f>
        <v/>
      </c>
      <c r="G2568">
        <f>IF(IF('01_Вводные'!$B$296="Новый сезон",TRUE,TRUE),'06_Сеть_и_дети'!G77*CapacityAge25*'19_Расчет_аналитики'!$F$2235,0)</f>
        <v/>
      </c>
      <c r="H2568">
        <f>IF(IF('01_Вводные'!$B$296="Новый сезон",TRUE,TRUE),'06_Сеть_и_дети'!H77*CapacityAge25*'19_Расчет_аналитики'!$F$2235,0)</f>
        <v/>
      </c>
      <c r="I2568">
        <f>IF(IF('01_Вводные'!$B$296="Новый сезон",TRUE,TRUE),'06_Сеть_и_дети'!I77*CapacityAge25*'19_Расчет_аналитики'!$F$2235,0)</f>
        <v/>
      </c>
      <c r="J2568">
        <f>IF(IF('01_Вводные'!$B$296="Новый сезон",TRUE,TRUE),'06_Сеть_и_дети'!J77*CapacityAge25*'19_Расчет_аналитики'!$F$2235,0)</f>
        <v/>
      </c>
      <c r="K2568">
        <f>IF(IF('01_Вводные'!$B$296="Новый сезон",TRUE,TRUE),'06_Сеть_и_дети'!K77*CapacityAge25*'19_Расчет_аналитики'!$F$2235,0)</f>
        <v/>
      </c>
      <c r="L2568">
        <f>IF(IF('01_Вводные'!$B$296="Новый сезон",TRUE,TRUE),'06_Сеть_и_дети'!L77*CapacityAge25*'19_Расчет_аналитики'!$F$2235,0)</f>
        <v/>
      </c>
      <c r="M2568">
        <f>IF(IF('01_Вводные'!$B$296="Новый сезон",TRUE,TRUE),'06_Сеть_и_дети'!M77*CapacityAge25*'19_Расчет_аналитики'!$F$2235,0)</f>
        <v/>
      </c>
      <c r="N2568">
        <f>IF(IF('01_Вводные'!$B$296="Новый сезон",TRUE,TRUE),'06_Сеть_и_дети'!N77*CapacityAge25*'19_Расчет_аналитики'!$F$2235,0)</f>
        <v/>
      </c>
      <c r="O2568">
        <f>IF(IF('01_Вводные'!$B$296="Новый сезон",TRUE,TRUE),'06_Сеть_и_дети'!O77*CapacityAge25*'19_Расчет_аналитики'!$F$2235,0)</f>
        <v/>
      </c>
      <c r="P2568">
        <f>IF(IF('01_Вводные'!$B$296="Новый сезон",TRUE,TRUE),'06_Сеть_и_дети'!P77*CapacityAge25*'19_Расчет_аналитики'!$F$2235,0)</f>
        <v/>
      </c>
      <c r="Q2568">
        <f>IF(IF('01_Вводные'!$B$296="Новый сезон",TRUE,TRUE),'06_Сеть_и_дети'!Q77*CapacityAge25*'19_Расчет_аналитики'!$F$2235,0)</f>
        <v/>
      </c>
      <c r="R2568">
        <f>IF(IF('01_Вводные'!$B$296="Новый сезон",TRUE,TRUE),'06_Сеть_и_дети'!R77*CapacityAge25*'19_Расчет_аналитики'!$F$2235,0)</f>
        <v/>
      </c>
      <c r="S2568">
        <f>IF(IF('01_Вводные'!$B$296="Новый сезон",TRUE,TRUE),'06_Сеть_и_дети'!S77*CapacityAge25*'19_Расчет_аналитики'!$F$2235,0)</f>
        <v/>
      </c>
      <c r="T2568">
        <f>IF(IF('01_Вводные'!$B$296="Новый сезон",TRUE,TRUE),'06_Сеть_и_дети'!T77*CapacityAge25*'19_Расчет_аналитики'!$F$2235,0)</f>
        <v/>
      </c>
      <c r="U2568">
        <f>IF(IF('01_Вводные'!$B$296="Новый сезон",TRUE,TRUE),'06_Сеть_и_дети'!U77*CapacityAge25*'19_Расчет_аналитики'!$F$2235,0)</f>
        <v/>
      </c>
      <c r="V2568">
        <f>IF(IF('01_Вводные'!$B$296="Новый сезон",TRUE,TRUE),'06_Сеть_и_дети'!V77*CapacityAge25*'19_Расчет_аналитики'!$F$2235,0)</f>
        <v/>
      </c>
      <c r="W2568">
        <f>IF(IF('01_Вводные'!$B$296="Новый сезон",TRUE,TRUE),'06_Сеть_и_дети'!W77*CapacityAge25*'19_Расчет_аналитики'!$F$2235,0)</f>
        <v/>
      </c>
      <c r="X2568">
        <f>IF(IF('01_Вводные'!$B$296="Новый сезон",TRUE,TRUE),'06_Сеть_и_дети'!X77*CapacityAge25*'19_Расчет_аналитики'!$F$2235,0)</f>
        <v/>
      </c>
      <c r="Y2568">
        <f>IF(IF('01_Вводные'!$B$296="Новый сезон",TRUE,TRUE),'06_Сеть_и_дети'!Y77*CapacityAge25*'19_Расчет_аналитики'!$F$2235,0)</f>
        <v/>
      </c>
      <c r="Z2568">
        <f>IF(IF('01_Вводные'!$B$296="Новый сезон",TRUE,TRUE),'19_Расчет_аналитики'!Z2456*CapacityAge25*'19_Расчет_аналитики'!$F$2235,0)</f>
        <v/>
      </c>
      <c r="AA2568">
        <f>IF(IF('01_Вводные'!$B$296="Новый сезон",TRUE,TRUE),'19_Расчет_аналитики'!AA2456*CapacityAge25*'19_Расчет_аналитики'!$F$2235,0)</f>
        <v/>
      </c>
      <c r="AB2568">
        <f>IF(IF('01_Вводные'!$B$296="Новый сезон",TRUE,TRUE),'19_Расчет_аналитики'!AB2456*CapacityAge25*'19_Расчет_аналитики'!$F$2235,0)</f>
        <v/>
      </c>
      <c r="AC2568">
        <f>IF(IF('01_Вводные'!$B$296="Новый сезон",TRUE,TRUE),'19_Расчет_аналитики'!AC2456*CapacityAge25*'19_Расчет_аналитики'!$F$2235,0)</f>
        <v/>
      </c>
      <c r="AD2568">
        <f>IF(IF('01_Вводные'!$B$296="Новый сезон",TRUE,TRUE),'19_Расчет_аналитики'!AD2456*CapacityAge25*'19_Расчет_аналитики'!$F$2235,0)</f>
        <v/>
      </c>
      <c r="AE2568">
        <f>IF(IF('01_Вводные'!$B$296="Новый сезон",TRUE,TRUE),'19_Расчет_аналитики'!AE2456*CapacityAge25*'19_Расчет_аналитики'!$F$2235,0)</f>
        <v/>
      </c>
      <c r="AF2568">
        <f>IF(IF('01_Вводные'!$B$296="Новый сезон",TRUE,TRUE),'19_Расчет_аналитики'!AF2456*CapacityAge25*'19_Расчет_аналитики'!$F$2235,0)</f>
        <v/>
      </c>
      <c r="AG2568">
        <f>IF(IF('01_Вводные'!$B$296="Новый сезон",TRUE,TRUE),'19_Расчет_аналитики'!AG2456*CapacityAge25*'19_Расчет_аналитики'!$F$2235,0)</f>
        <v/>
      </c>
      <c r="AH2568">
        <f>IF(IF('01_Вводные'!$B$296="Новый сезон",TRUE,TRUE),'19_Расчет_аналитики'!AH2456*CapacityAge25*'19_Расчет_аналитики'!$F$2235,0)</f>
        <v/>
      </c>
      <c r="AI2568">
        <f>IF(IF('01_Вводные'!$B$296="Новый сезон",TRUE,TRUE),'19_Расчет_аналитики'!AI2456*CapacityAge25*'19_Расчет_аналитики'!$F$2235,0)</f>
        <v/>
      </c>
      <c r="AJ2568">
        <f>IF(IF('01_Вводные'!$B$296="Новый сезон",TRUE,TRUE),'19_Расчет_аналитики'!AJ2456*CapacityAge25*'19_Расчет_аналитики'!$F$2235,0)</f>
        <v/>
      </c>
      <c r="AK2568">
        <f>IF(IF('01_Вводные'!$B$296="Новый сезон",TRUE,TRUE),'19_Расчет_аналитики'!AK2456*CapacityAge25*'19_Расчет_аналитики'!$F$2235,0)</f>
        <v/>
      </c>
      <c r="AL2568">
        <f>IF(IF('01_Вводные'!$B$296="Новый сезон",TRUE,TRUE),'19_Расчет_аналитики'!AL2456*CapacityAge25*'19_Расчет_аналитики'!$F$2235,0)</f>
        <v/>
      </c>
      <c r="AM2568">
        <f>IF(IF('01_Вводные'!$B$296="Новый сезон",TRUE,TRUE),'19_Расчет_аналитики'!AM2456*CapacityAge25*'19_Расчет_аналитики'!$F$2235,0)</f>
        <v/>
      </c>
      <c r="AN2568">
        <f>IF(IF('01_Вводные'!$B$296="Новый сезон",TRUE,TRUE),'19_Расчет_аналитики'!AN2456*CapacityAge25*'19_Расчет_аналитики'!$F$2235,0)</f>
        <v/>
      </c>
      <c r="AO2568">
        <f>IF(IF('01_Вводные'!$B$296="Новый сезон",TRUE,TRUE),'19_Расчет_аналитики'!AO2456*CapacityAge25*'19_Расчет_аналитики'!$F$2235,0)</f>
        <v/>
      </c>
      <c r="AP2568">
        <f>IF(IF('01_Вводные'!$B$296="Новый сезон",TRUE,TRUE),'19_Расчет_аналитики'!AP2456*CapacityAge25*'19_Расчет_аналитики'!$F$2235,0)</f>
        <v/>
      </c>
      <c r="AQ2568">
        <f>IF(IF('01_Вводные'!$B$296="Новый сезон",TRUE,TRUE),'19_Расчет_аналитики'!AQ2456*CapacityAge25*'19_Расчет_аналитики'!$F$2235,0)</f>
        <v/>
      </c>
      <c r="AR2568">
        <f>IF(IF('01_Вводные'!$B$296="Новый сезон",TRUE,TRUE),'19_Расчет_аналитики'!AR2456*CapacityAge25*'19_Расчет_аналитики'!$F$2235,0)</f>
        <v/>
      </c>
      <c r="AS2568">
        <f>IF(IF('01_Вводные'!$B$296="Новый сезон",TRUE,TRUE),'19_Расчет_аналитики'!AS2456*CapacityAge25*'19_Расчет_аналитики'!$F$2235,0)</f>
        <v/>
      </c>
      <c r="AT2568">
        <f>IF(IF('01_Вводные'!$B$296="Новый сезон",TRUE,TRUE),'19_Расчет_аналитики'!AT2456*CapacityAge25*'19_Расчет_аналитики'!$F$2235,0)</f>
        <v/>
      </c>
      <c r="AU2568">
        <f>IF(IF('01_Вводные'!$B$296="Новый сезон",TRUE,TRUE),'19_Расчет_аналитики'!AU2456*CapacityAge25*'19_Расчет_аналитики'!$F$2235,0)</f>
        <v/>
      </c>
      <c r="AV2568">
        <f>IF(IF('01_Вводные'!$B$296="Новый сезон",TRUE,TRUE),'19_Расчет_аналитики'!AV2456*CapacityAge25*'19_Расчет_аналитики'!$F$2235,0)</f>
        <v/>
      </c>
      <c r="AW2568">
        <f>IF(IF('01_Вводные'!$B$296="Новый сезон",TRUE,TRUE),'19_Расчет_аналитики'!AW2456*CapacityAge25*'19_Расчет_аналитики'!$F$2235,0)</f>
        <v/>
      </c>
      <c r="AX2568">
        <f>IF(IF('01_Вводные'!$B$296="Новый сезон",TRUE,TRUE),'19_Расчет_аналитики'!AX2456*CapacityAge25*'19_Расчет_аналитики'!$F$2235,0)</f>
        <v/>
      </c>
      <c r="AY2568">
        <f>IF(IF('01_Вводные'!$B$296="Новый сезон",TRUE,TRUE),'19_Расчет_аналитики'!AY2456*CapacityAge25*'19_Расчет_аналитики'!$F$2235,0)</f>
        <v/>
      </c>
      <c r="AZ2568">
        <f>IF(IF('01_Вводные'!$B$296="Новый сезон",TRUE,TRUE),'19_Расчет_аналитики'!AZ2456*CapacityAge25*'19_Расчет_аналитики'!$F$2235,0)</f>
        <v/>
      </c>
      <c r="BA2568">
        <f>IF(IF('01_Вводные'!$B$296="Новый сезон",TRUE,TRUE),'19_Расчет_аналитики'!BA2456*CapacityAge25*'19_Расчет_аналитики'!$F$2235,0)</f>
        <v/>
      </c>
      <c r="BB2568">
        <f>IF(IF('01_Вводные'!$B$296="Новый сезон",TRUE,TRUE),'19_Расчет_аналитики'!BB2456*CapacityAge25*'19_Расчет_аналитики'!$F$2235,0)</f>
        <v/>
      </c>
      <c r="BC2568">
        <f>IF(IF('01_Вводные'!$B$296="Новый сезон",TRUE,TRUE),'19_Расчет_аналитики'!BC2456*CapacityAge25*'19_Расчет_аналитики'!$F$2235,0)</f>
        <v/>
      </c>
      <c r="BD2568">
        <f>IF(IF('01_Вводные'!$B$296="Новый сезон",TRUE,TRUE),'19_Расчет_аналитики'!BD2456*CapacityAge25*'19_Расчет_аналитики'!$F$2235,0)</f>
        <v/>
      </c>
      <c r="BE2568">
        <f>IF(IF('01_Вводные'!$B$296="Новый сезон",TRUE,TRUE),'19_Расчет_аналитики'!BE2456*CapacityAge25*'19_Расчет_аналитики'!$F$2235,0)</f>
        <v/>
      </c>
      <c r="BF2568">
        <f>IF(IF('01_Вводные'!$B$296="Новый сезон",TRUE,TRUE),'19_Расчет_аналитики'!BF2456*CapacityAge25*'19_Расчет_аналитики'!$F$2235,0)</f>
        <v/>
      </c>
      <c r="BG2568">
        <f>IF(IF('01_Вводные'!$B$296="Новый сезон",TRUE,TRUE),'19_Расчет_аналитики'!BG2456*CapacityAge25*'19_Расчет_аналитики'!$F$2235,0)</f>
        <v/>
      </c>
      <c r="BH2568">
        <f>IF(IF('01_Вводные'!$B$296="Новый сезон",TRUE,TRUE),'19_Расчет_аналитики'!BH2456*CapacityAge25*'19_Расчет_аналитики'!$F$2235,0)</f>
        <v/>
      </c>
      <c r="BI2568">
        <f>IF(IF('01_Вводные'!$B$296="Новый сезон",TRUE,TRUE),'19_Расчет_аналитики'!BI2456*CapacityAge25*'19_Расчет_аналитики'!$F$2235,0)</f>
        <v/>
      </c>
      <c r="BJ2568">
        <f>IF(IF('01_Вводные'!$B$296="Новый сезон",TRUE,TRUE),'19_Расчет_аналитики'!BJ2456*CapacityAge25*'19_Расчет_аналитики'!$F$2235,0)</f>
        <v/>
      </c>
      <c r="BK2568">
        <f>IF(IF('01_Вводные'!$B$296="Новый сезон",TRUE,TRUE),'19_Расчет_аналитики'!BK2456*CapacityAge25*'19_Расчет_аналитики'!$F$2235,0)</f>
        <v/>
      </c>
      <c r="BL2568">
        <f>IF(IF('01_Вводные'!$B$296="Новый сезон",TRUE,TRUE),'19_Расчет_аналитики'!BL2456*CapacityAge25*'19_Расчет_аналитики'!$F$2235,0)</f>
        <v/>
      </c>
      <c r="BM2568">
        <f>IF(IF('01_Вводные'!$B$296="Новый сезон",TRUE,TRUE),'19_Расчет_аналитики'!BM2456*CapacityAge25*'19_Расчет_аналитики'!$F$2235,0)</f>
        <v/>
      </c>
      <c r="BN2568">
        <f>IF(IF('01_Вводные'!$B$296="Новый сезон",TRUE,TRUE),'19_Расчет_аналитики'!BN2456*CapacityAge25*'19_Расчет_аналитики'!$F$2235,0)</f>
        <v/>
      </c>
      <c r="BO2568">
        <f>IF(IF('01_Вводные'!$B$296="Новый сезон",TRUE,TRUE),'19_Расчет_аналитики'!BO2456*CapacityAge25*'19_Расчет_аналитики'!$F$2235,0)</f>
        <v/>
      </c>
    </row>
    <row r="2569"/>
    <row r="2570">
      <c r="B2570">
        <f>SUM('19_Расчет_аналитики'!B2544:B2568)</f>
        <v/>
      </c>
      <c r="C2570">
        <f>SUM('19_Расчет_аналитики'!C2544:C2568)</f>
        <v/>
      </c>
      <c r="D2570">
        <f>SUM('19_Расчет_аналитики'!D2544:D2568)</f>
        <v/>
      </c>
      <c r="E2570">
        <f>SUM('19_Расчет_аналитики'!E2544:E2568)</f>
        <v/>
      </c>
      <c r="F2570">
        <f>SUM('19_Расчет_аналитики'!F2544:F2568)</f>
        <v/>
      </c>
      <c r="G2570">
        <f>SUM('19_Расчет_аналитики'!G2544:G2568)</f>
        <v/>
      </c>
      <c r="H2570">
        <f>SUM('19_Расчет_аналитики'!H2544:H2568)</f>
        <v/>
      </c>
      <c r="I2570">
        <f>SUM('19_Расчет_аналитики'!I2544:I2568)</f>
        <v/>
      </c>
      <c r="J2570">
        <f>SUM('19_Расчет_аналитики'!J2544:J2568)</f>
        <v/>
      </c>
      <c r="K2570">
        <f>SUM('19_Расчет_аналитики'!K2544:K2568)</f>
        <v/>
      </c>
      <c r="L2570">
        <f>SUM('19_Расчет_аналитики'!L2544:L2568)</f>
        <v/>
      </c>
      <c r="M2570">
        <f>SUM('19_Расчет_аналитики'!M2544:M2568)</f>
        <v/>
      </c>
      <c r="N2570">
        <f>SUM('19_Расчет_аналитики'!N2544:N2568)</f>
        <v/>
      </c>
      <c r="O2570">
        <f>SUM('19_Расчет_аналитики'!O2544:O2568)</f>
        <v/>
      </c>
      <c r="P2570">
        <f>SUM('19_Расчет_аналитики'!P2544:P2568)</f>
        <v/>
      </c>
      <c r="Q2570">
        <f>SUM('19_Расчет_аналитики'!Q2544:Q2568)</f>
        <v/>
      </c>
      <c r="R2570">
        <f>SUM('19_Расчет_аналитики'!R2544:R2568)</f>
        <v/>
      </c>
      <c r="S2570">
        <f>SUM('19_Расчет_аналитики'!S2544:S2568)</f>
        <v/>
      </c>
      <c r="T2570">
        <f>SUM('19_Расчет_аналитики'!T2544:T2568)</f>
        <v/>
      </c>
      <c r="U2570">
        <f>SUM('19_Расчет_аналитики'!U2544:U2568)</f>
        <v/>
      </c>
      <c r="V2570">
        <f>SUM('19_Расчет_аналитики'!V2544:V2568)</f>
        <v/>
      </c>
      <c r="W2570">
        <f>SUM('19_Расчет_аналитики'!W2544:W2568)</f>
        <v/>
      </c>
      <c r="X2570">
        <f>SUM('19_Расчет_аналитики'!X2544:X2568)</f>
        <v/>
      </c>
      <c r="Y2570">
        <f>SUM('19_Расчет_аналитики'!Y2544:Y2568)</f>
        <v/>
      </c>
      <c r="Z2570">
        <f>SUM('19_Расчет_аналитики'!Z2544:Z2568)</f>
        <v/>
      </c>
      <c r="AA2570">
        <f>SUM('19_Расчет_аналитики'!AA2544:AA2568)</f>
        <v/>
      </c>
      <c r="AB2570">
        <f>SUM('19_Расчет_аналитики'!AB2544:AB2568)</f>
        <v/>
      </c>
      <c r="AC2570">
        <f>SUM('19_Расчет_аналитики'!AC2544:AC2568)</f>
        <v/>
      </c>
      <c r="AD2570">
        <f>SUM('19_Расчет_аналитики'!AD2544:AD2568)</f>
        <v/>
      </c>
      <c r="AE2570">
        <f>SUM('19_Расчет_аналитики'!AE2544:AE2568)</f>
        <v/>
      </c>
      <c r="AF2570">
        <f>SUM('19_Расчет_аналитики'!AF2544:AF2568)</f>
        <v/>
      </c>
      <c r="AG2570">
        <f>SUM('19_Расчет_аналитики'!AG2544:AG2568)</f>
        <v/>
      </c>
      <c r="AH2570">
        <f>SUM('19_Расчет_аналитики'!AH2544:AH2568)</f>
        <v/>
      </c>
      <c r="AI2570">
        <f>SUM('19_Расчет_аналитики'!AI2544:AI2568)</f>
        <v/>
      </c>
      <c r="AJ2570">
        <f>SUM('19_Расчет_аналитики'!AJ2544:AJ2568)</f>
        <v/>
      </c>
      <c r="AK2570">
        <f>SUM('19_Расчет_аналитики'!AK2544:AK2568)</f>
        <v/>
      </c>
      <c r="AL2570">
        <f>SUM('19_Расчет_аналитики'!AL2544:AL2568)</f>
        <v/>
      </c>
      <c r="AM2570">
        <f>SUM('19_Расчет_аналитики'!AM2544:AM2568)</f>
        <v/>
      </c>
      <c r="AN2570">
        <f>SUM('19_Расчет_аналитики'!AN2544:AN2568)</f>
        <v/>
      </c>
      <c r="AO2570">
        <f>SUM('19_Расчет_аналитики'!AO2544:AO2568)</f>
        <v/>
      </c>
      <c r="AP2570">
        <f>SUM('19_Расчет_аналитики'!AP2544:AP2568)</f>
        <v/>
      </c>
      <c r="AQ2570">
        <f>SUM('19_Расчет_аналитики'!AQ2544:AQ2568)</f>
        <v/>
      </c>
      <c r="AR2570">
        <f>SUM('19_Расчет_аналитики'!AR2544:AR2568)</f>
        <v/>
      </c>
      <c r="AS2570">
        <f>SUM('19_Расчет_аналитики'!AS2544:AS2568)</f>
        <v/>
      </c>
      <c r="AT2570">
        <f>SUM('19_Расчет_аналитики'!AT2544:AT2568)</f>
        <v/>
      </c>
      <c r="AU2570">
        <f>SUM('19_Расчет_аналитики'!AU2544:AU2568)</f>
        <v/>
      </c>
      <c r="AV2570">
        <f>SUM('19_Расчет_аналитики'!AV2544:AV2568)</f>
        <v/>
      </c>
      <c r="AW2570">
        <f>SUM('19_Расчет_аналитики'!AW2544:AW2568)</f>
        <v/>
      </c>
      <c r="AX2570">
        <f>SUM('19_Расчет_аналитики'!AX2544:AX2568)</f>
        <v/>
      </c>
      <c r="AY2570">
        <f>SUM('19_Расчет_аналитики'!AY2544:AY2568)</f>
        <v/>
      </c>
      <c r="AZ2570">
        <f>SUM('19_Расчет_аналитики'!AZ2544:AZ2568)</f>
        <v/>
      </c>
      <c r="BA2570">
        <f>SUM('19_Расчет_аналитики'!BA2544:BA2568)</f>
        <v/>
      </c>
      <c r="BB2570">
        <f>SUM('19_Расчет_аналитики'!BB2544:BB2568)</f>
        <v/>
      </c>
      <c r="BC2570">
        <f>SUM('19_Расчет_аналитики'!BC2544:BC2568)</f>
        <v/>
      </c>
      <c r="BD2570">
        <f>SUM('19_Расчет_аналитики'!BD2544:BD2568)</f>
        <v/>
      </c>
      <c r="BE2570">
        <f>SUM('19_Расчет_аналитики'!BE2544:BE2568)</f>
        <v/>
      </c>
      <c r="BF2570">
        <f>SUM('19_Расчет_аналитики'!BF2544:BF2568)</f>
        <v/>
      </c>
      <c r="BG2570">
        <f>SUM('19_Расчет_аналитики'!BG2544:BG2568)</f>
        <v/>
      </c>
      <c r="BH2570">
        <f>SUM('19_Расчет_аналитики'!BH2544:BH2568)</f>
        <v/>
      </c>
      <c r="BI2570">
        <f>SUM('19_Расчет_аналитики'!BI2544:BI2568)</f>
        <v/>
      </c>
      <c r="BJ2570">
        <f>SUM('19_Расчет_аналитики'!BJ2544:BJ2568)</f>
        <v/>
      </c>
      <c r="BK2570">
        <f>SUM('19_Расчет_аналитики'!BK2544:BK2568)</f>
        <v/>
      </c>
      <c r="BL2570">
        <f>SUM('19_Расчет_аналитики'!BL2544:BL2568)</f>
        <v/>
      </c>
      <c r="BM2570">
        <f>SUM('19_Расчет_аналитики'!BM2544:BM2568)</f>
        <v/>
      </c>
      <c r="BN2570">
        <f>SUM('19_Расчет_аналитики'!BN2544:BN2568)</f>
        <v/>
      </c>
      <c r="BO2570">
        <f>SUM('19_Расчет_аналитики'!BO2544:BO2568)</f>
        <v/>
      </c>
    </row>
    <row r="2571"/>
    <row r="2572"/>
    <row r="2573"/>
    <row r="2574"/>
    <row r="2575"/>
    <row r="2576"/>
    <row r="2577"/>
    <row r="2578"/>
    <row r="2579"/>
    <row r="2580"/>
    <row r="2581">
      <c r="B2581">
        <f>'06_Сеть_и_дети'!B5*'19_Расчет_аналитики'!$F$2235*'19_Расчет_аналитики'!$F$2236*'18_Календарь_тарифы'!B4</f>
        <v/>
      </c>
      <c r="C2581">
        <f>'06_Сеть_и_дети'!C5*'19_Расчет_аналитики'!$F$2235*'19_Расчет_аналитики'!$F$2236*'18_Календарь_тарифы'!C4</f>
        <v/>
      </c>
      <c r="D2581">
        <f>'06_Сеть_и_дети'!D5*'19_Расчет_аналитики'!$F$2235*'19_Расчет_аналитики'!$F$2236*'18_Календарь_тарифы'!D4</f>
        <v/>
      </c>
      <c r="E2581">
        <f>'06_Сеть_и_дети'!E5*'19_Расчет_аналитики'!$F$2235*'19_Расчет_аналитики'!$F$2236*'18_Календарь_тарифы'!E4</f>
        <v/>
      </c>
      <c r="F2581">
        <f>'06_Сеть_и_дети'!F5*'19_Расчет_аналитики'!$F$2235*'19_Расчет_аналитики'!$F$2236*'18_Календарь_тарифы'!F4</f>
        <v/>
      </c>
      <c r="G2581">
        <f>'06_Сеть_и_дети'!G5*'19_Расчет_аналитики'!$F$2235*'19_Расчет_аналитики'!$F$2236*'18_Календарь_тарифы'!G4</f>
        <v/>
      </c>
      <c r="H2581">
        <f>'06_Сеть_и_дети'!H5*'19_Расчет_аналитики'!$F$2235*'19_Расчет_аналитики'!$F$2236*'18_Календарь_тарифы'!H4</f>
        <v/>
      </c>
      <c r="I2581">
        <f>'06_Сеть_и_дети'!I5*'19_Расчет_аналитики'!$F$2235*'19_Расчет_аналитики'!$F$2236*'18_Календарь_тарифы'!I4</f>
        <v/>
      </c>
      <c r="J2581">
        <f>'06_Сеть_и_дети'!J5*'19_Расчет_аналитики'!$F$2235*'19_Расчет_аналитики'!$F$2236*'18_Календарь_тарифы'!J4</f>
        <v/>
      </c>
      <c r="K2581">
        <f>'06_Сеть_и_дети'!K5*'19_Расчет_аналитики'!$F$2235*'19_Расчет_аналитики'!$F$2236*'18_Календарь_тарифы'!K4</f>
        <v/>
      </c>
      <c r="L2581">
        <f>'06_Сеть_и_дети'!L5*'19_Расчет_аналитики'!$F$2235*'19_Расчет_аналитики'!$F$2236*'18_Календарь_тарифы'!L4</f>
        <v/>
      </c>
      <c r="M2581">
        <f>'06_Сеть_и_дети'!M5*'19_Расчет_аналитики'!$F$2235*'19_Расчет_аналитики'!$F$2236*'18_Календарь_тарифы'!M4</f>
        <v/>
      </c>
      <c r="N2581">
        <f>'06_Сеть_и_дети'!N5*'19_Расчет_аналитики'!$F$2235*'19_Расчет_аналитики'!$F$2236*'18_Календарь_тарифы'!N4</f>
        <v/>
      </c>
      <c r="O2581">
        <f>'06_Сеть_и_дети'!O5*'19_Расчет_аналитики'!$F$2235*'19_Расчет_аналитики'!$F$2236*'18_Календарь_тарифы'!O4</f>
        <v/>
      </c>
      <c r="P2581">
        <f>'06_Сеть_и_дети'!P5*'19_Расчет_аналитики'!$F$2235*'19_Расчет_аналитики'!$F$2236*'18_Календарь_тарифы'!P4</f>
        <v/>
      </c>
      <c r="Q2581">
        <f>'06_Сеть_и_дети'!Q5*'19_Расчет_аналитики'!$F$2235*'19_Расчет_аналитики'!$F$2236*'18_Календарь_тарифы'!Q4</f>
        <v/>
      </c>
      <c r="R2581">
        <f>'06_Сеть_и_дети'!R5*'19_Расчет_аналитики'!$F$2235*'19_Расчет_аналитики'!$F$2236*'18_Календарь_тарифы'!R4</f>
        <v/>
      </c>
      <c r="S2581">
        <f>'06_Сеть_и_дети'!S5*'19_Расчет_аналитики'!$F$2235*'19_Расчет_аналитики'!$F$2236*'18_Календарь_тарифы'!S4</f>
        <v/>
      </c>
      <c r="T2581">
        <f>'06_Сеть_и_дети'!T5*'19_Расчет_аналитики'!$F$2235*'19_Расчет_аналитики'!$F$2236*'18_Календарь_тарифы'!T4</f>
        <v/>
      </c>
      <c r="U2581">
        <f>'06_Сеть_и_дети'!U5*'19_Расчет_аналитики'!$F$2235*'19_Расчет_аналитики'!$F$2236*'18_Календарь_тарифы'!U4</f>
        <v/>
      </c>
      <c r="V2581">
        <f>'06_Сеть_и_дети'!V5*'19_Расчет_аналитики'!$F$2235*'19_Расчет_аналитики'!$F$2236*'18_Календарь_тарифы'!V4</f>
        <v/>
      </c>
      <c r="W2581">
        <f>'06_Сеть_и_дети'!W5*'19_Расчет_аналитики'!$F$2235*'19_Расчет_аналитики'!$F$2236*'18_Календарь_тарифы'!W4</f>
        <v/>
      </c>
      <c r="X2581">
        <f>'06_Сеть_и_дети'!X5*'19_Расчет_аналитики'!$F$2235*'19_Расчет_аналитики'!$F$2236*'18_Календарь_тарифы'!X4</f>
        <v/>
      </c>
      <c r="Y2581">
        <f>'06_Сеть_и_дети'!Y5*'19_Расчет_аналитики'!$F$2235*'19_Расчет_аналитики'!$F$2236*'18_Календарь_тарифы'!Y4</f>
        <v/>
      </c>
      <c r="Z2581">
        <f>'06_Сеть_и_дети'!Z5*'19_Расчет_аналитики'!$F$2235*'19_Расчет_аналитики'!$F$2236*'18_Календарь_тарифы'!Z4</f>
        <v/>
      </c>
      <c r="AA2581">
        <f>'06_Сеть_и_дети'!AA5*'19_Расчет_аналитики'!$F$2235*'19_Расчет_аналитики'!$F$2236*'18_Календарь_тарифы'!AA4</f>
        <v/>
      </c>
      <c r="AB2581">
        <f>'06_Сеть_и_дети'!AB5*'19_Расчет_аналитики'!$F$2235*'19_Расчет_аналитики'!$F$2236*'18_Календарь_тарифы'!AB4</f>
        <v/>
      </c>
      <c r="AC2581">
        <f>'06_Сеть_и_дети'!AC5*'19_Расчет_аналитики'!$F$2235*'19_Расчет_аналитики'!$F$2236*'18_Календарь_тарифы'!AC4</f>
        <v/>
      </c>
      <c r="AD2581">
        <f>'06_Сеть_и_дети'!AD5*'19_Расчет_аналитики'!$F$2235*'19_Расчет_аналитики'!$F$2236*'18_Календарь_тарифы'!AD4</f>
        <v/>
      </c>
      <c r="AE2581">
        <f>'06_Сеть_и_дети'!AE5*'19_Расчет_аналитики'!$F$2235*'19_Расчет_аналитики'!$F$2236*'18_Календарь_тарифы'!AE4</f>
        <v/>
      </c>
      <c r="AF2581">
        <f>'06_Сеть_и_дети'!AF5*'19_Расчет_аналитики'!$F$2235*'19_Расчет_аналитики'!$F$2236*'18_Календарь_тарифы'!AF4</f>
        <v/>
      </c>
      <c r="AG2581">
        <f>'06_Сеть_и_дети'!AG5*'19_Расчет_аналитики'!$F$2235*'19_Расчет_аналитики'!$F$2236*'18_Календарь_тарифы'!AG4</f>
        <v/>
      </c>
      <c r="AH2581">
        <f>'06_Сеть_и_дети'!AH5*'19_Расчет_аналитики'!$F$2235*'19_Расчет_аналитики'!$F$2236*'18_Календарь_тарифы'!AH4</f>
        <v/>
      </c>
      <c r="AI2581">
        <f>'06_Сеть_и_дети'!AI5*'19_Расчет_аналитики'!$F$2235*'19_Расчет_аналитики'!$F$2236*'18_Календарь_тарифы'!AI4</f>
        <v/>
      </c>
      <c r="AJ2581">
        <f>'06_Сеть_и_дети'!AJ5*'19_Расчет_аналитики'!$F$2235*'19_Расчет_аналитики'!$F$2236*'18_Календарь_тарифы'!AJ4</f>
        <v/>
      </c>
      <c r="AK2581">
        <f>'06_Сеть_и_дети'!AK5*'19_Расчет_аналитики'!$F$2235*'19_Расчет_аналитики'!$F$2236*'18_Календарь_тарифы'!AK4</f>
        <v/>
      </c>
      <c r="AL2581">
        <f>'06_Сеть_и_дети'!AL5*'19_Расчет_аналитики'!$F$2235*'19_Расчет_аналитики'!$F$2236*'18_Календарь_тарифы'!AL4</f>
        <v/>
      </c>
      <c r="AM2581">
        <f>'06_Сеть_и_дети'!AM5*'19_Расчет_аналитики'!$F$2235*'19_Расчет_аналитики'!$F$2236*'18_Календарь_тарифы'!AM4</f>
        <v/>
      </c>
      <c r="AN2581">
        <f>'06_Сеть_и_дети'!AN5*'19_Расчет_аналитики'!$F$2235*'19_Расчет_аналитики'!$F$2236*'18_Календарь_тарифы'!AN4</f>
        <v/>
      </c>
      <c r="AO2581">
        <f>'06_Сеть_и_дети'!AO5*'19_Расчет_аналитики'!$F$2235*'19_Расчет_аналитики'!$F$2236*'18_Календарь_тарифы'!AO4</f>
        <v/>
      </c>
      <c r="AP2581">
        <f>'06_Сеть_и_дети'!AP5*'19_Расчет_аналитики'!$F$2235*'19_Расчет_аналитики'!$F$2236*'18_Календарь_тарифы'!AP4</f>
        <v/>
      </c>
      <c r="AQ2581">
        <f>'06_Сеть_и_дети'!AQ5*'19_Расчет_аналитики'!$F$2235*'19_Расчет_аналитики'!$F$2236*'18_Календарь_тарифы'!AQ4</f>
        <v/>
      </c>
      <c r="AR2581">
        <f>'06_Сеть_и_дети'!AR5*'19_Расчет_аналитики'!$F$2235*'19_Расчет_аналитики'!$F$2236*'18_Календарь_тарифы'!AR4</f>
        <v/>
      </c>
      <c r="AS2581">
        <f>'06_Сеть_и_дети'!AS5*'19_Расчет_аналитики'!$F$2235*'19_Расчет_аналитики'!$F$2236*'18_Календарь_тарифы'!AS4</f>
        <v/>
      </c>
      <c r="AT2581">
        <f>'06_Сеть_и_дети'!AT5*'19_Расчет_аналитики'!$F$2235*'19_Расчет_аналитики'!$F$2236*'18_Календарь_тарифы'!AT4</f>
        <v/>
      </c>
      <c r="AU2581">
        <f>'06_Сеть_и_дети'!AU5*'19_Расчет_аналитики'!$F$2235*'19_Расчет_аналитики'!$F$2236*'18_Календарь_тарифы'!AU4</f>
        <v/>
      </c>
      <c r="AV2581">
        <f>'06_Сеть_и_дети'!AV5*'19_Расчет_аналитики'!$F$2235*'19_Расчет_аналитики'!$F$2236*'18_Календарь_тарифы'!AV4</f>
        <v/>
      </c>
      <c r="AW2581">
        <f>'06_Сеть_и_дети'!AW5*'19_Расчет_аналитики'!$F$2235*'19_Расчет_аналитики'!$F$2236*'18_Календарь_тарифы'!AW4</f>
        <v/>
      </c>
      <c r="AX2581">
        <f>'06_Сеть_и_дети'!AX5*'19_Расчет_аналитики'!$F$2235*'19_Расчет_аналитики'!$F$2236*'18_Календарь_тарифы'!AX4</f>
        <v/>
      </c>
      <c r="AY2581">
        <f>'06_Сеть_и_дети'!AY5*'19_Расчет_аналитики'!$F$2235*'19_Расчет_аналитики'!$F$2236*'18_Календарь_тарифы'!AY4</f>
        <v/>
      </c>
      <c r="AZ2581">
        <f>'06_Сеть_и_дети'!AZ5*'19_Расчет_аналитики'!$F$2235*'19_Расчет_аналитики'!$F$2236*'18_Календарь_тарифы'!AZ4</f>
        <v/>
      </c>
      <c r="BA2581">
        <f>'06_Сеть_и_дети'!BA5*'19_Расчет_аналитики'!$F$2235*'19_Расчет_аналитики'!$F$2236*'18_Календарь_тарифы'!BA4</f>
        <v/>
      </c>
      <c r="BB2581">
        <f>'06_Сеть_и_дети'!BB5*'19_Расчет_аналитики'!$F$2235*'19_Расчет_аналитики'!$F$2236*'18_Календарь_тарифы'!BB4</f>
        <v/>
      </c>
      <c r="BC2581">
        <f>'06_Сеть_и_дети'!BC5*'19_Расчет_аналитики'!$F$2235*'19_Расчет_аналитики'!$F$2236*'18_Календарь_тарифы'!BC4</f>
        <v/>
      </c>
      <c r="BD2581">
        <f>'06_Сеть_и_дети'!BD5*'19_Расчет_аналитики'!$F$2235*'19_Расчет_аналитики'!$F$2236*'18_Календарь_тарифы'!BD4</f>
        <v/>
      </c>
      <c r="BE2581">
        <f>'06_Сеть_и_дети'!BE5*'19_Расчет_аналитики'!$F$2235*'19_Расчет_аналитики'!$F$2236*'18_Календарь_тарифы'!BE4</f>
        <v/>
      </c>
      <c r="BF2581">
        <f>'06_Сеть_и_дети'!BF5*'19_Расчет_аналитики'!$F$2235*'19_Расчет_аналитики'!$F$2236*'18_Календарь_тарифы'!BF4</f>
        <v/>
      </c>
      <c r="BG2581">
        <f>'06_Сеть_и_дети'!BG5*'19_Расчет_аналитики'!$F$2235*'19_Расчет_аналитики'!$F$2236*'18_Календарь_тарифы'!BG4</f>
        <v/>
      </c>
      <c r="BH2581">
        <f>'06_Сеть_и_дети'!BH5*'19_Расчет_аналитики'!$F$2235*'19_Расчет_аналитики'!$F$2236*'18_Календарь_тарифы'!BH4</f>
        <v/>
      </c>
      <c r="BI2581">
        <f>'06_Сеть_и_дети'!BI5*'19_Расчет_аналитики'!$F$2235*'19_Расчет_аналитики'!$F$2236*'18_Календарь_тарифы'!BI4</f>
        <v/>
      </c>
      <c r="BJ2581">
        <f>'06_Сеть_и_дети'!BJ5*'19_Расчет_аналитики'!$F$2235*'19_Расчет_аналитики'!$F$2236*'18_Календарь_тарифы'!BJ4</f>
        <v/>
      </c>
      <c r="BK2581">
        <f>'06_Сеть_и_дети'!BK5*'19_Расчет_аналитики'!$F$2235*'19_Расчет_аналитики'!$F$2236*'18_Календарь_тарифы'!BK4</f>
        <v/>
      </c>
      <c r="BL2581">
        <f>'06_Сеть_и_дети'!BL5*'19_Расчет_аналитики'!$F$2235*'19_Расчет_аналитики'!$F$2236*'18_Календарь_тарифы'!BL4</f>
        <v/>
      </c>
      <c r="BM2581">
        <f>'06_Сеть_и_дети'!BM5*'19_Расчет_аналитики'!$F$2235*'19_Расчет_аналитики'!$F$2236*'18_Календарь_тарифы'!BM4</f>
        <v/>
      </c>
      <c r="BN2581">
        <f>'06_Сеть_и_дети'!BN5*'19_Расчет_аналитики'!$F$2235*'19_Расчет_аналитики'!$F$2236*'18_Календарь_тарифы'!BN4</f>
        <v/>
      </c>
      <c r="BO2581">
        <f>'06_Сеть_и_дети'!BO5*'19_Расчет_аналитики'!$F$2235*'19_Расчет_аналитики'!$F$2236*'18_Календарь_тарифы'!BO4</f>
        <v/>
      </c>
    </row>
    <row r="2582"/>
    <row r="2583">
      <c r="B2583">
        <f>'19_Расчет_аналитики'!B2581*IF('06_Сеть_и_дети'!B$3&gt;='01_Вводные'!$B$245,'01_Вводные'!$B$57,'01_Вводные'!$B$55)</f>
        <v/>
      </c>
      <c r="C2583">
        <f>'19_Расчет_аналитики'!C2581*IF('06_Сеть_и_дети'!C$3&gt;='01_Вводные'!$B$245,'01_Вводные'!$B$57,'01_Вводные'!$B$55)</f>
        <v/>
      </c>
      <c r="D2583">
        <f>'19_Расчет_аналитики'!D2581*IF('06_Сеть_и_дети'!D$3&gt;='01_Вводные'!$B$245,'01_Вводные'!$B$57,'01_Вводные'!$B$55)</f>
        <v/>
      </c>
      <c r="E2583">
        <f>'19_Расчет_аналитики'!E2581*IF('06_Сеть_и_дети'!E$3&gt;='01_Вводные'!$B$245,'01_Вводные'!$B$57,'01_Вводные'!$B$55)</f>
        <v/>
      </c>
      <c r="F2583">
        <f>'19_Расчет_аналитики'!F2581*IF('06_Сеть_и_дети'!F$3&gt;='01_Вводные'!$B$245,'01_Вводные'!$B$57,'01_Вводные'!$B$55)</f>
        <v/>
      </c>
      <c r="G2583">
        <f>'19_Расчет_аналитики'!G2581*IF('06_Сеть_и_дети'!G$3&gt;='01_Вводные'!$B$245,'01_Вводные'!$B$57,'01_Вводные'!$B$55)</f>
        <v/>
      </c>
      <c r="H2583">
        <f>'19_Расчет_аналитики'!H2581*IF('06_Сеть_и_дети'!H$3&gt;='01_Вводные'!$B$245,'01_Вводные'!$B$57,'01_Вводные'!$B$55)</f>
        <v/>
      </c>
      <c r="I2583">
        <f>'19_Расчет_аналитики'!I2581*IF('06_Сеть_и_дети'!I$3&gt;='01_Вводные'!$B$245,'01_Вводные'!$B$57,'01_Вводные'!$B$55)</f>
        <v/>
      </c>
      <c r="J2583">
        <f>'19_Расчет_аналитики'!J2581*IF('06_Сеть_и_дети'!J$3&gt;='01_Вводные'!$B$245,'01_Вводные'!$B$57,'01_Вводные'!$B$55)</f>
        <v/>
      </c>
      <c r="K2583">
        <f>'19_Расчет_аналитики'!K2581*IF('06_Сеть_и_дети'!K$3&gt;='01_Вводные'!$B$245,'01_Вводные'!$B$57,'01_Вводные'!$B$55)</f>
        <v/>
      </c>
      <c r="L2583">
        <f>'19_Расчет_аналитики'!L2581*IF('06_Сеть_и_дети'!L$3&gt;='01_Вводные'!$B$245,'01_Вводные'!$B$57,'01_Вводные'!$B$55)</f>
        <v/>
      </c>
      <c r="M2583">
        <f>'19_Расчет_аналитики'!M2581*IF('06_Сеть_и_дети'!M$3&gt;='01_Вводные'!$B$245,'01_Вводные'!$B$57,'01_Вводные'!$B$55)</f>
        <v/>
      </c>
      <c r="N2583">
        <f>'19_Расчет_аналитики'!N2581*IF('06_Сеть_и_дети'!N$3&gt;='01_Вводные'!$B$245,'01_Вводные'!$B$57,'01_Вводные'!$B$55)</f>
        <v/>
      </c>
      <c r="O2583">
        <f>'19_Расчет_аналитики'!O2581*IF('06_Сеть_и_дети'!O$3&gt;='01_Вводные'!$B$245,'01_Вводные'!$B$57,'01_Вводные'!$B$55)</f>
        <v/>
      </c>
      <c r="P2583">
        <f>'19_Расчет_аналитики'!P2581*IF('06_Сеть_и_дети'!P$3&gt;='01_Вводные'!$B$245,'01_Вводные'!$B$57,'01_Вводные'!$B$55)</f>
        <v/>
      </c>
      <c r="Q2583">
        <f>'19_Расчет_аналитики'!Q2581*IF('06_Сеть_и_дети'!Q$3&gt;='01_Вводные'!$B$245,'01_Вводные'!$B$57,'01_Вводные'!$B$55)</f>
        <v/>
      </c>
      <c r="R2583">
        <f>'19_Расчет_аналитики'!R2581*IF('06_Сеть_и_дети'!R$3&gt;='01_Вводные'!$B$245,'01_Вводные'!$B$57,'01_Вводные'!$B$55)</f>
        <v/>
      </c>
      <c r="S2583">
        <f>'19_Расчет_аналитики'!S2581*IF('06_Сеть_и_дети'!S$3&gt;='01_Вводные'!$B$245,'01_Вводные'!$B$57,'01_Вводные'!$B$55)</f>
        <v/>
      </c>
      <c r="T2583">
        <f>'19_Расчет_аналитики'!T2581*IF('06_Сеть_и_дети'!T$3&gt;='01_Вводные'!$B$245,'01_Вводные'!$B$57,'01_Вводные'!$B$55)</f>
        <v/>
      </c>
      <c r="U2583">
        <f>'19_Расчет_аналитики'!U2581*IF('06_Сеть_и_дети'!U$3&gt;='01_Вводные'!$B$245,'01_Вводные'!$B$57,'01_Вводные'!$B$55)</f>
        <v/>
      </c>
      <c r="V2583">
        <f>'19_Расчет_аналитики'!V2581*IF('06_Сеть_и_дети'!V$3&gt;='01_Вводные'!$B$245,'01_Вводные'!$B$57,'01_Вводные'!$B$55)</f>
        <v/>
      </c>
      <c r="W2583">
        <f>'19_Расчет_аналитики'!W2581*IF('06_Сеть_и_дети'!W$3&gt;='01_Вводные'!$B$245,'01_Вводные'!$B$57,'01_Вводные'!$B$55)</f>
        <v/>
      </c>
      <c r="X2583">
        <f>'19_Расчет_аналитики'!X2581*IF('06_Сеть_и_дети'!X$3&gt;='01_Вводные'!$B$245,'01_Вводные'!$B$57,'01_Вводные'!$B$55)</f>
        <v/>
      </c>
      <c r="Y2583">
        <f>'19_Расчет_аналитики'!Y2581*IF('06_Сеть_и_дети'!Y$3&gt;='01_Вводные'!$B$245,'01_Вводные'!$B$57,'01_Вводные'!$B$55)</f>
        <v/>
      </c>
      <c r="Z2583">
        <f>'19_Расчет_аналитики'!Z2581*IF('06_Сеть_и_дети'!Z$3&gt;='01_Вводные'!$B$245,'01_Вводные'!$B$57,'01_Вводные'!$B$55)</f>
        <v/>
      </c>
      <c r="AA2583">
        <f>'19_Расчет_аналитики'!AA2581*IF('06_Сеть_и_дети'!AA$3&gt;='01_Вводные'!$B$245,'01_Вводные'!$B$57,'01_Вводные'!$B$55)</f>
        <v/>
      </c>
      <c r="AB2583">
        <f>'19_Расчет_аналитики'!AB2581*IF('06_Сеть_и_дети'!AB$3&gt;='01_Вводные'!$B$245,'01_Вводные'!$B$57,'01_Вводные'!$B$55)</f>
        <v/>
      </c>
      <c r="AC2583">
        <f>'19_Расчет_аналитики'!AC2581*IF('06_Сеть_и_дети'!AC$3&gt;='01_Вводные'!$B$245,'01_Вводные'!$B$57,'01_Вводные'!$B$55)</f>
        <v/>
      </c>
      <c r="AD2583">
        <f>'19_Расчет_аналитики'!AD2581*IF('06_Сеть_и_дети'!AD$3&gt;='01_Вводные'!$B$245,'01_Вводные'!$B$57,'01_Вводные'!$B$55)</f>
        <v/>
      </c>
      <c r="AE2583">
        <f>'19_Расчет_аналитики'!AE2581*IF('06_Сеть_и_дети'!AE$3&gt;='01_Вводные'!$B$245,'01_Вводные'!$B$57,'01_Вводные'!$B$55)</f>
        <v/>
      </c>
      <c r="AF2583">
        <f>'19_Расчет_аналитики'!AF2581*IF('06_Сеть_и_дети'!AF$3&gt;='01_Вводные'!$B$245,'01_Вводные'!$B$57,'01_Вводные'!$B$55)</f>
        <v/>
      </c>
      <c r="AG2583">
        <f>'19_Расчет_аналитики'!AG2581*IF('06_Сеть_и_дети'!AG$3&gt;='01_Вводные'!$B$245,'01_Вводные'!$B$57,'01_Вводные'!$B$55)</f>
        <v/>
      </c>
      <c r="AH2583">
        <f>'19_Расчет_аналитики'!AH2581*IF('06_Сеть_и_дети'!AH$3&gt;='01_Вводные'!$B$245,'01_Вводные'!$B$57,'01_Вводные'!$B$55)</f>
        <v/>
      </c>
      <c r="AI2583">
        <f>'19_Расчет_аналитики'!AI2581*IF('06_Сеть_и_дети'!AI$3&gt;='01_Вводные'!$B$245,'01_Вводные'!$B$57,'01_Вводные'!$B$55)</f>
        <v/>
      </c>
      <c r="AJ2583">
        <f>'19_Расчет_аналитики'!AJ2581*IF('06_Сеть_и_дети'!AJ$3&gt;='01_Вводные'!$B$245,'01_Вводные'!$B$57,'01_Вводные'!$B$55)</f>
        <v/>
      </c>
      <c r="AK2583">
        <f>'19_Расчет_аналитики'!AK2581*IF('06_Сеть_и_дети'!AK$3&gt;='01_Вводные'!$B$245,'01_Вводные'!$B$57,'01_Вводные'!$B$55)</f>
        <v/>
      </c>
      <c r="AL2583">
        <f>'19_Расчет_аналитики'!AL2581*IF('06_Сеть_и_дети'!AL$3&gt;='01_Вводные'!$B$245,'01_Вводные'!$B$57,'01_Вводные'!$B$55)</f>
        <v/>
      </c>
      <c r="AM2583">
        <f>'19_Расчет_аналитики'!AM2581*IF('06_Сеть_и_дети'!AM$3&gt;='01_Вводные'!$B$245,'01_Вводные'!$B$57,'01_Вводные'!$B$55)</f>
        <v/>
      </c>
      <c r="AN2583">
        <f>'19_Расчет_аналитики'!AN2581*IF('06_Сеть_и_дети'!AN$3&gt;='01_Вводные'!$B$245,'01_Вводные'!$B$57,'01_Вводные'!$B$55)</f>
        <v/>
      </c>
      <c r="AO2583">
        <f>'19_Расчет_аналитики'!AO2581*IF('06_Сеть_и_дети'!AO$3&gt;='01_Вводные'!$B$245,'01_Вводные'!$B$57,'01_Вводные'!$B$55)</f>
        <v/>
      </c>
      <c r="AP2583">
        <f>'19_Расчет_аналитики'!AP2581*IF('06_Сеть_и_дети'!AP$3&gt;='01_Вводные'!$B$245,'01_Вводные'!$B$57,'01_Вводные'!$B$55)</f>
        <v/>
      </c>
      <c r="AQ2583">
        <f>'19_Расчет_аналитики'!AQ2581*IF('06_Сеть_и_дети'!AQ$3&gt;='01_Вводные'!$B$245,'01_Вводные'!$B$57,'01_Вводные'!$B$55)</f>
        <v/>
      </c>
      <c r="AR2583">
        <f>'19_Расчет_аналитики'!AR2581*IF('06_Сеть_и_дети'!AR$3&gt;='01_Вводные'!$B$245,'01_Вводные'!$B$57,'01_Вводные'!$B$55)</f>
        <v/>
      </c>
      <c r="AS2583">
        <f>'19_Расчет_аналитики'!AS2581*IF('06_Сеть_и_дети'!AS$3&gt;='01_Вводные'!$B$245,'01_Вводные'!$B$57,'01_Вводные'!$B$55)</f>
        <v/>
      </c>
      <c r="AT2583">
        <f>'19_Расчет_аналитики'!AT2581*IF('06_Сеть_и_дети'!AT$3&gt;='01_Вводные'!$B$245,'01_Вводные'!$B$57,'01_Вводные'!$B$55)</f>
        <v/>
      </c>
      <c r="AU2583">
        <f>'19_Расчет_аналитики'!AU2581*IF('06_Сеть_и_дети'!AU$3&gt;='01_Вводные'!$B$245,'01_Вводные'!$B$57,'01_Вводные'!$B$55)</f>
        <v/>
      </c>
      <c r="AV2583">
        <f>'19_Расчет_аналитики'!AV2581*IF('06_Сеть_и_дети'!AV$3&gt;='01_Вводные'!$B$245,'01_Вводные'!$B$57,'01_Вводные'!$B$55)</f>
        <v/>
      </c>
      <c r="AW2583">
        <f>'19_Расчет_аналитики'!AW2581*IF('06_Сеть_и_дети'!AW$3&gt;='01_Вводные'!$B$245,'01_Вводные'!$B$57,'01_Вводные'!$B$55)</f>
        <v/>
      </c>
      <c r="AX2583">
        <f>'19_Расчет_аналитики'!AX2581*IF('06_Сеть_и_дети'!AX$3&gt;='01_Вводные'!$B$245,'01_Вводные'!$B$57,'01_Вводные'!$B$55)</f>
        <v/>
      </c>
      <c r="AY2583">
        <f>'19_Расчет_аналитики'!AY2581*IF('06_Сеть_и_дети'!AY$3&gt;='01_Вводные'!$B$245,'01_Вводные'!$B$57,'01_Вводные'!$B$55)</f>
        <v/>
      </c>
      <c r="AZ2583">
        <f>'19_Расчет_аналитики'!AZ2581*IF('06_Сеть_и_дети'!AZ$3&gt;='01_Вводные'!$B$245,'01_Вводные'!$B$57,'01_Вводные'!$B$55)</f>
        <v/>
      </c>
      <c r="BA2583">
        <f>'19_Расчет_аналитики'!BA2581*IF('06_Сеть_и_дети'!BA$3&gt;='01_Вводные'!$B$245,'01_Вводные'!$B$57,'01_Вводные'!$B$55)</f>
        <v/>
      </c>
      <c r="BB2583">
        <f>'19_Расчет_аналитики'!BB2581*IF('06_Сеть_и_дети'!BB$3&gt;='01_Вводные'!$B$245,'01_Вводные'!$B$57,'01_Вводные'!$B$55)</f>
        <v/>
      </c>
      <c r="BC2583">
        <f>'19_Расчет_аналитики'!BC2581*IF('06_Сеть_и_дети'!BC$3&gt;='01_Вводные'!$B$245,'01_Вводные'!$B$57,'01_Вводные'!$B$55)</f>
        <v/>
      </c>
      <c r="BD2583">
        <f>'19_Расчет_аналитики'!BD2581*IF('06_Сеть_и_дети'!BD$3&gt;='01_Вводные'!$B$245,'01_Вводные'!$B$57,'01_Вводные'!$B$55)</f>
        <v/>
      </c>
      <c r="BE2583">
        <f>'19_Расчет_аналитики'!BE2581*IF('06_Сеть_и_дети'!BE$3&gt;='01_Вводные'!$B$245,'01_Вводные'!$B$57,'01_Вводные'!$B$55)</f>
        <v/>
      </c>
      <c r="BF2583">
        <f>'19_Расчет_аналитики'!BF2581*IF('06_Сеть_и_дети'!BF$3&gt;='01_Вводные'!$B$245,'01_Вводные'!$B$57,'01_Вводные'!$B$55)</f>
        <v/>
      </c>
      <c r="BG2583">
        <f>'19_Расчет_аналитики'!BG2581*IF('06_Сеть_и_дети'!BG$3&gt;='01_Вводные'!$B$245,'01_Вводные'!$B$57,'01_Вводные'!$B$55)</f>
        <v/>
      </c>
      <c r="BH2583">
        <f>'19_Расчет_аналитики'!BH2581*IF('06_Сеть_и_дети'!BH$3&gt;='01_Вводные'!$B$245,'01_Вводные'!$B$57,'01_Вводные'!$B$55)</f>
        <v/>
      </c>
      <c r="BI2583">
        <f>'19_Расчет_аналитики'!BI2581*IF('06_Сеть_и_дети'!BI$3&gt;='01_Вводные'!$B$245,'01_Вводные'!$B$57,'01_Вводные'!$B$55)</f>
        <v/>
      </c>
      <c r="BJ2583">
        <f>'19_Расчет_аналитики'!BJ2581*IF('06_Сеть_и_дети'!BJ$3&gt;='01_Вводные'!$B$245,'01_Вводные'!$B$57,'01_Вводные'!$B$55)</f>
        <v/>
      </c>
      <c r="BK2583">
        <f>'19_Расчет_аналитики'!BK2581*IF('06_Сеть_и_дети'!BK$3&gt;='01_Вводные'!$B$245,'01_Вводные'!$B$57,'01_Вводные'!$B$55)</f>
        <v/>
      </c>
      <c r="BL2583">
        <f>'19_Расчет_аналитики'!BL2581*IF('06_Сеть_и_дети'!BL$3&gt;='01_Вводные'!$B$245,'01_Вводные'!$B$57,'01_Вводные'!$B$55)</f>
        <v/>
      </c>
      <c r="BM2583">
        <f>'19_Расчет_аналитики'!BM2581*IF('06_Сеть_и_дети'!BM$3&gt;='01_Вводные'!$B$245,'01_Вводные'!$B$57,'01_Вводные'!$B$55)</f>
        <v/>
      </c>
      <c r="BN2583">
        <f>'19_Расчет_аналитики'!BN2581*IF('06_Сеть_и_дети'!BN$3&gt;='01_Вводные'!$B$245,'01_Вводные'!$B$57,'01_Вводные'!$B$55)</f>
        <v/>
      </c>
      <c r="BO2583">
        <f>'19_Расчет_аналитики'!BO2581*IF('06_Сеть_и_дети'!BO$3&gt;='01_Вводные'!$B$245,'01_Вводные'!$B$57,'01_Вводные'!$B$55)</f>
        <v/>
      </c>
    </row>
    <row r="2584">
      <c r="B2584">
        <f>'19_Расчет_аналитики'!B2581*IF('06_Сеть_и_дети'!B$3&gt;='01_Вводные'!$B$245,'01_Вводные'!$B$57,'01_Вводные'!$B$56)</f>
        <v/>
      </c>
      <c r="C2584">
        <f>'19_Расчет_аналитики'!C2581*IF('06_Сеть_и_дети'!C$3&gt;='01_Вводные'!$B$245,'01_Вводные'!$B$57,'01_Вводные'!$B$56)</f>
        <v/>
      </c>
      <c r="D2584">
        <f>'19_Расчет_аналитики'!D2581*IF('06_Сеть_и_дети'!D$3&gt;='01_Вводные'!$B$245,'01_Вводные'!$B$57,'01_Вводные'!$B$56)</f>
        <v/>
      </c>
      <c r="E2584">
        <f>'19_Расчет_аналитики'!E2581*IF('06_Сеть_и_дети'!E$3&gt;='01_Вводные'!$B$245,'01_Вводные'!$B$57,'01_Вводные'!$B$56)</f>
        <v/>
      </c>
      <c r="F2584">
        <f>'19_Расчет_аналитики'!F2581*IF('06_Сеть_и_дети'!F$3&gt;='01_Вводные'!$B$245,'01_Вводные'!$B$57,'01_Вводные'!$B$56)</f>
        <v/>
      </c>
      <c r="G2584">
        <f>'19_Расчет_аналитики'!G2581*IF('06_Сеть_и_дети'!G$3&gt;='01_Вводные'!$B$245,'01_Вводные'!$B$57,'01_Вводные'!$B$56)</f>
        <v/>
      </c>
      <c r="H2584">
        <f>'19_Расчет_аналитики'!H2581*IF('06_Сеть_и_дети'!H$3&gt;='01_Вводные'!$B$245,'01_Вводные'!$B$57,'01_Вводные'!$B$56)</f>
        <v/>
      </c>
      <c r="I2584">
        <f>'19_Расчет_аналитики'!I2581*IF('06_Сеть_и_дети'!I$3&gt;='01_Вводные'!$B$245,'01_Вводные'!$B$57,'01_Вводные'!$B$56)</f>
        <v/>
      </c>
      <c r="J2584">
        <f>'19_Расчет_аналитики'!J2581*IF('06_Сеть_и_дети'!J$3&gt;='01_Вводные'!$B$245,'01_Вводные'!$B$57,'01_Вводные'!$B$56)</f>
        <v/>
      </c>
      <c r="K2584">
        <f>'19_Расчет_аналитики'!K2581*IF('06_Сеть_и_дети'!K$3&gt;='01_Вводные'!$B$245,'01_Вводные'!$B$57,'01_Вводные'!$B$56)</f>
        <v/>
      </c>
      <c r="L2584">
        <f>'19_Расчет_аналитики'!L2581*IF('06_Сеть_и_дети'!L$3&gt;='01_Вводные'!$B$245,'01_Вводные'!$B$57,'01_Вводные'!$B$56)</f>
        <v/>
      </c>
      <c r="M2584">
        <f>'19_Расчет_аналитики'!M2581*IF('06_Сеть_и_дети'!M$3&gt;='01_Вводные'!$B$245,'01_Вводные'!$B$57,'01_Вводные'!$B$56)</f>
        <v/>
      </c>
      <c r="N2584">
        <f>'19_Расчет_аналитики'!N2581*IF('06_Сеть_и_дети'!N$3&gt;='01_Вводные'!$B$245,'01_Вводные'!$B$57,'01_Вводные'!$B$56)</f>
        <v/>
      </c>
      <c r="O2584">
        <f>'19_Расчет_аналитики'!O2581*IF('06_Сеть_и_дети'!O$3&gt;='01_Вводные'!$B$245,'01_Вводные'!$B$57,'01_Вводные'!$B$56)</f>
        <v/>
      </c>
      <c r="P2584">
        <f>'19_Расчет_аналитики'!P2581*IF('06_Сеть_и_дети'!P$3&gt;='01_Вводные'!$B$245,'01_Вводные'!$B$57,'01_Вводные'!$B$56)</f>
        <v/>
      </c>
      <c r="Q2584">
        <f>'19_Расчет_аналитики'!Q2581*IF('06_Сеть_и_дети'!Q$3&gt;='01_Вводные'!$B$245,'01_Вводные'!$B$57,'01_Вводные'!$B$56)</f>
        <v/>
      </c>
      <c r="R2584">
        <f>'19_Расчет_аналитики'!R2581*IF('06_Сеть_и_дети'!R$3&gt;='01_Вводные'!$B$245,'01_Вводные'!$B$57,'01_Вводные'!$B$56)</f>
        <v/>
      </c>
      <c r="S2584">
        <f>'19_Расчет_аналитики'!S2581*IF('06_Сеть_и_дети'!S$3&gt;='01_Вводные'!$B$245,'01_Вводные'!$B$57,'01_Вводные'!$B$56)</f>
        <v/>
      </c>
      <c r="T2584">
        <f>'19_Расчет_аналитики'!T2581*IF('06_Сеть_и_дети'!T$3&gt;='01_Вводные'!$B$245,'01_Вводные'!$B$57,'01_Вводные'!$B$56)</f>
        <v/>
      </c>
      <c r="U2584">
        <f>'19_Расчет_аналитики'!U2581*IF('06_Сеть_и_дети'!U$3&gt;='01_Вводные'!$B$245,'01_Вводные'!$B$57,'01_Вводные'!$B$56)</f>
        <v/>
      </c>
      <c r="V2584">
        <f>'19_Расчет_аналитики'!V2581*IF('06_Сеть_и_дети'!V$3&gt;='01_Вводные'!$B$245,'01_Вводные'!$B$57,'01_Вводные'!$B$56)</f>
        <v/>
      </c>
      <c r="W2584">
        <f>'19_Расчет_аналитики'!W2581*IF('06_Сеть_и_дети'!W$3&gt;='01_Вводные'!$B$245,'01_Вводные'!$B$57,'01_Вводные'!$B$56)</f>
        <v/>
      </c>
      <c r="X2584">
        <f>'19_Расчет_аналитики'!X2581*IF('06_Сеть_и_дети'!X$3&gt;='01_Вводные'!$B$245,'01_Вводные'!$B$57,'01_Вводные'!$B$56)</f>
        <v/>
      </c>
      <c r="Y2584">
        <f>'19_Расчет_аналитики'!Y2581*IF('06_Сеть_и_дети'!Y$3&gt;='01_Вводные'!$B$245,'01_Вводные'!$B$57,'01_Вводные'!$B$56)</f>
        <v/>
      </c>
      <c r="Z2584">
        <f>'19_Расчет_аналитики'!Z2581*IF('06_Сеть_и_дети'!Z$3&gt;='01_Вводные'!$B$245,'01_Вводные'!$B$57,'01_Вводные'!$B$56)</f>
        <v/>
      </c>
      <c r="AA2584">
        <f>'19_Расчет_аналитики'!AA2581*IF('06_Сеть_и_дети'!AA$3&gt;='01_Вводные'!$B$245,'01_Вводные'!$B$57,'01_Вводные'!$B$56)</f>
        <v/>
      </c>
      <c r="AB2584">
        <f>'19_Расчет_аналитики'!AB2581*IF('06_Сеть_и_дети'!AB$3&gt;='01_Вводные'!$B$245,'01_Вводные'!$B$57,'01_Вводные'!$B$56)</f>
        <v/>
      </c>
      <c r="AC2584">
        <f>'19_Расчет_аналитики'!AC2581*IF('06_Сеть_и_дети'!AC$3&gt;='01_Вводные'!$B$245,'01_Вводные'!$B$57,'01_Вводные'!$B$56)</f>
        <v/>
      </c>
      <c r="AD2584">
        <f>'19_Расчет_аналитики'!AD2581*IF('06_Сеть_и_дети'!AD$3&gt;='01_Вводные'!$B$245,'01_Вводные'!$B$57,'01_Вводные'!$B$56)</f>
        <v/>
      </c>
      <c r="AE2584">
        <f>'19_Расчет_аналитики'!AE2581*IF('06_Сеть_и_дети'!AE$3&gt;='01_Вводные'!$B$245,'01_Вводные'!$B$57,'01_Вводные'!$B$56)</f>
        <v/>
      </c>
      <c r="AF2584">
        <f>'19_Расчет_аналитики'!AF2581*IF('06_Сеть_и_дети'!AF$3&gt;='01_Вводные'!$B$245,'01_Вводные'!$B$57,'01_Вводные'!$B$56)</f>
        <v/>
      </c>
      <c r="AG2584">
        <f>'19_Расчет_аналитики'!AG2581*IF('06_Сеть_и_дети'!AG$3&gt;='01_Вводные'!$B$245,'01_Вводные'!$B$57,'01_Вводные'!$B$56)</f>
        <v/>
      </c>
      <c r="AH2584">
        <f>'19_Расчет_аналитики'!AH2581*IF('06_Сеть_и_дети'!AH$3&gt;='01_Вводные'!$B$245,'01_Вводные'!$B$57,'01_Вводные'!$B$56)</f>
        <v/>
      </c>
      <c r="AI2584">
        <f>'19_Расчет_аналитики'!AI2581*IF('06_Сеть_и_дети'!AI$3&gt;='01_Вводные'!$B$245,'01_Вводные'!$B$57,'01_Вводные'!$B$56)</f>
        <v/>
      </c>
      <c r="AJ2584">
        <f>'19_Расчет_аналитики'!AJ2581*IF('06_Сеть_и_дети'!AJ$3&gt;='01_Вводные'!$B$245,'01_Вводные'!$B$57,'01_Вводные'!$B$56)</f>
        <v/>
      </c>
      <c r="AK2584">
        <f>'19_Расчет_аналитики'!AK2581*IF('06_Сеть_и_дети'!AK$3&gt;='01_Вводные'!$B$245,'01_Вводные'!$B$57,'01_Вводные'!$B$56)</f>
        <v/>
      </c>
      <c r="AL2584">
        <f>'19_Расчет_аналитики'!AL2581*IF('06_Сеть_и_дети'!AL$3&gt;='01_Вводные'!$B$245,'01_Вводные'!$B$57,'01_Вводные'!$B$56)</f>
        <v/>
      </c>
      <c r="AM2584">
        <f>'19_Расчет_аналитики'!AM2581*IF('06_Сеть_и_дети'!AM$3&gt;='01_Вводные'!$B$245,'01_Вводные'!$B$57,'01_Вводные'!$B$56)</f>
        <v/>
      </c>
      <c r="AN2584">
        <f>'19_Расчет_аналитики'!AN2581*IF('06_Сеть_и_дети'!AN$3&gt;='01_Вводные'!$B$245,'01_Вводные'!$B$57,'01_Вводные'!$B$56)</f>
        <v/>
      </c>
      <c r="AO2584">
        <f>'19_Расчет_аналитики'!AO2581*IF('06_Сеть_и_дети'!AO$3&gt;='01_Вводные'!$B$245,'01_Вводные'!$B$57,'01_Вводные'!$B$56)</f>
        <v/>
      </c>
      <c r="AP2584">
        <f>'19_Расчет_аналитики'!AP2581*IF('06_Сеть_и_дети'!AP$3&gt;='01_Вводные'!$B$245,'01_Вводные'!$B$57,'01_Вводные'!$B$56)</f>
        <v/>
      </c>
      <c r="AQ2584">
        <f>'19_Расчет_аналитики'!AQ2581*IF('06_Сеть_и_дети'!AQ$3&gt;='01_Вводные'!$B$245,'01_Вводные'!$B$57,'01_Вводные'!$B$56)</f>
        <v/>
      </c>
      <c r="AR2584">
        <f>'19_Расчет_аналитики'!AR2581*IF('06_Сеть_и_дети'!AR$3&gt;='01_Вводные'!$B$245,'01_Вводные'!$B$57,'01_Вводные'!$B$56)</f>
        <v/>
      </c>
      <c r="AS2584">
        <f>'19_Расчет_аналитики'!AS2581*IF('06_Сеть_и_дети'!AS$3&gt;='01_Вводные'!$B$245,'01_Вводные'!$B$57,'01_Вводные'!$B$56)</f>
        <v/>
      </c>
      <c r="AT2584">
        <f>'19_Расчет_аналитики'!AT2581*IF('06_Сеть_и_дети'!AT$3&gt;='01_Вводные'!$B$245,'01_Вводные'!$B$57,'01_Вводные'!$B$56)</f>
        <v/>
      </c>
      <c r="AU2584">
        <f>'19_Расчет_аналитики'!AU2581*IF('06_Сеть_и_дети'!AU$3&gt;='01_Вводные'!$B$245,'01_Вводные'!$B$57,'01_Вводные'!$B$56)</f>
        <v/>
      </c>
      <c r="AV2584">
        <f>'19_Расчет_аналитики'!AV2581*IF('06_Сеть_и_дети'!AV$3&gt;='01_Вводные'!$B$245,'01_Вводные'!$B$57,'01_Вводные'!$B$56)</f>
        <v/>
      </c>
      <c r="AW2584">
        <f>'19_Расчет_аналитики'!AW2581*IF('06_Сеть_и_дети'!AW$3&gt;='01_Вводные'!$B$245,'01_Вводные'!$B$57,'01_Вводные'!$B$56)</f>
        <v/>
      </c>
      <c r="AX2584">
        <f>'19_Расчет_аналитики'!AX2581*IF('06_Сеть_и_дети'!AX$3&gt;='01_Вводные'!$B$245,'01_Вводные'!$B$57,'01_Вводные'!$B$56)</f>
        <v/>
      </c>
      <c r="AY2584">
        <f>'19_Расчет_аналитики'!AY2581*IF('06_Сеть_и_дети'!AY$3&gt;='01_Вводные'!$B$245,'01_Вводные'!$B$57,'01_Вводные'!$B$56)</f>
        <v/>
      </c>
      <c r="AZ2584">
        <f>'19_Расчет_аналитики'!AZ2581*IF('06_Сеть_и_дети'!AZ$3&gt;='01_Вводные'!$B$245,'01_Вводные'!$B$57,'01_Вводные'!$B$56)</f>
        <v/>
      </c>
      <c r="BA2584">
        <f>'19_Расчет_аналитики'!BA2581*IF('06_Сеть_и_дети'!BA$3&gt;='01_Вводные'!$B$245,'01_Вводные'!$B$57,'01_Вводные'!$B$56)</f>
        <v/>
      </c>
      <c r="BB2584">
        <f>'19_Расчет_аналитики'!BB2581*IF('06_Сеть_и_дети'!BB$3&gt;='01_Вводные'!$B$245,'01_Вводные'!$B$57,'01_Вводные'!$B$56)</f>
        <v/>
      </c>
      <c r="BC2584">
        <f>'19_Расчет_аналитики'!BC2581*IF('06_Сеть_и_дети'!BC$3&gt;='01_Вводные'!$B$245,'01_Вводные'!$B$57,'01_Вводные'!$B$56)</f>
        <v/>
      </c>
      <c r="BD2584">
        <f>'19_Расчет_аналитики'!BD2581*IF('06_Сеть_и_дети'!BD$3&gt;='01_Вводные'!$B$245,'01_Вводные'!$B$57,'01_Вводные'!$B$56)</f>
        <v/>
      </c>
      <c r="BE2584">
        <f>'19_Расчет_аналитики'!BE2581*IF('06_Сеть_и_дети'!BE$3&gt;='01_Вводные'!$B$245,'01_Вводные'!$B$57,'01_Вводные'!$B$56)</f>
        <v/>
      </c>
      <c r="BF2584">
        <f>'19_Расчет_аналитики'!BF2581*IF('06_Сеть_и_дети'!BF$3&gt;='01_Вводные'!$B$245,'01_Вводные'!$B$57,'01_Вводные'!$B$56)</f>
        <v/>
      </c>
      <c r="BG2584">
        <f>'19_Расчет_аналитики'!BG2581*IF('06_Сеть_и_дети'!BG$3&gt;='01_Вводные'!$B$245,'01_Вводные'!$B$57,'01_Вводные'!$B$56)</f>
        <v/>
      </c>
      <c r="BH2584">
        <f>'19_Расчет_аналитики'!BH2581*IF('06_Сеть_и_дети'!BH$3&gt;='01_Вводные'!$B$245,'01_Вводные'!$B$57,'01_Вводные'!$B$56)</f>
        <v/>
      </c>
      <c r="BI2584">
        <f>'19_Расчет_аналитики'!BI2581*IF('06_Сеть_и_дети'!BI$3&gt;='01_Вводные'!$B$245,'01_Вводные'!$B$57,'01_Вводные'!$B$56)</f>
        <v/>
      </c>
      <c r="BJ2584">
        <f>'19_Расчет_аналитики'!BJ2581*IF('06_Сеть_и_дети'!BJ$3&gt;='01_Вводные'!$B$245,'01_Вводные'!$B$57,'01_Вводные'!$B$56)</f>
        <v/>
      </c>
      <c r="BK2584">
        <f>'19_Расчет_аналитики'!BK2581*IF('06_Сеть_и_дети'!BK$3&gt;='01_Вводные'!$B$245,'01_Вводные'!$B$57,'01_Вводные'!$B$56)</f>
        <v/>
      </c>
      <c r="BL2584">
        <f>'19_Расчет_аналитики'!BL2581*IF('06_Сеть_и_дети'!BL$3&gt;='01_Вводные'!$B$245,'01_Вводные'!$B$57,'01_Вводные'!$B$56)</f>
        <v/>
      </c>
      <c r="BM2584">
        <f>'19_Расчет_аналитики'!BM2581*IF('06_Сеть_и_дети'!BM$3&gt;='01_Вводные'!$B$245,'01_Вводные'!$B$57,'01_Вводные'!$B$56)</f>
        <v/>
      </c>
      <c r="BN2584">
        <f>'19_Расчет_аналитики'!BN2581*IF('06_Сеть_и_дети'!BN$3&gt;='01_Вводные'!$B$245,'01_Вводные'!$B$57,'01_Вводные'!$B$56)</f>
        <v/>
      </c>
      <c r="BO2584">
        <f>'19_Расчет_аналитики'!BO2581*IF('06_Сеть_и_дети'!BO$3&gt;='01_Вводные'!$B$245,'01_Вводные'!$B$57,'01_Вводные'!$B$56)</f>
        <v/>
      </c>
    </row>
    <row r="2585">
      <c r="B2585">
        <f>SUM('19_Расчет_аналитики'!B2432:B2456)-'19_Расчет_аналитики'!B2395</f>
        <v/>
      </c>
      <c r="C2585">
        <f>SUM('19_Расчет_аналитики'!C2432:C2456)-'19_Расчет_аналитики'!C2395</f>
        <v/>
      </c>
      <c r="D2585">
        <f>SUM('19_Расчет_аналитики'!D2432:D2456)-'19_Расчет_аналитики'!D2395</f>
        <v/>
      </c>
      <c r="E2585">
        <f>SUM('19_Расчет_аналитики'!E2432:E2456)-'19_Расчет_аналитики'!E2395</f>
        <v/>
      </c>
      <c r="F2585">
        <f>SUM('19_Расчет_аналитики'!F2432:F2456)-'19_Расчет_аналитики'!F2395</f>
        <v/>
      </c>
      <c r="G2585">
        <f>SUM('19_Расчет_аналитики'!G2432:G2456)-'19_Расчет_аналитики'!G2395</f>
        <v/>
      </c>
      <c r="H2585">
        <f>SUM('19_Расчет_аналитики'!H2432:H2456)-'19_Расчет_аналитики'!H2395</f>
        <v/>
      </c>
      <c r="I2585">
        <f>SUM('19_Расчет_аналитики'!I2432:I2456)-'19_Расчет_аналитики'!I2395</f>
        <v/>
      </c>
      <c r="J2585">
        <f>SUM('19_Расчет_аналитики'!J2432:J2456)-'19_Расчет_аналитики'!J2395</f>
        <v/>
      </c>
      <c r="K2585">
        <f>SUM('19_Расчет_аналитики'!K2432:K2456)-'19_Расчет_аналитики'!K2395</f>
        <v/>
      </c>
      <c r="L2585">
        <f>SUM('19_Расчет_аналитики'!L2432:L2456)-'19_Расчет_аналитики'!L2395</f>
        <v/>
      </c>
      <c r="M2585">
        <f>SUM('19_Расчет_аналитики'!M2432:M2456)-'19_Расчет_аналитики'!M2395</f>
        <v/>
      </c>
      <c r="N2585">
        <f>SUM('19_Расчет_аналитики'!N2432:N2456)-'19_Расчет_аналитики'!N2395</f>
        <v/>
      </c>
      <c r="O2585">
        <f>SUM('19_Расчет_аналитики'!O2432:O2456)-'19_Расчет_аналитики'!O2395</f>
        <v/>
      </c>
      <c r="P2585">
        <f>SUM('19_Расчет_аналитики'!P2432:P2456)-'19_Расчет_аналитики'!P2395</f>
        <v/>
      </c>
      <c r="Q2585">
        <f>SUM('19_Расчет_аналитики'!Q2432:Q2456)-'19_Расчет_аналитики'!Q2395</f>
        <v/>
      </c>
      <c r="R2585">
        <f>SUM('19_Расчет_аналитики'!R2432:R2456)-'19_Расчет_аналитики'!R2395</f>
        <v/>
      </c>
      <c r="S2585">
        <f>SUM('19_Расчет_аналитики'!S2432:S2456)-'19_Расчет_аналитики'!S2395</f>
        <v/>
      </c>
      <c r="T2585">
        <f>SUM('19_Расчет_аналитики'!T2432:T2456)-'19_Расчет_аналитики'!T2395</f>
        <v/>
      </c>
      <c r="U2585">
        <f>SUM('19_Расчет_аналитики'!U2432:U2456)-'19_Расчет_аналитики'!U2395</f>
        <v/>
      </c>
      <c r="V2585">
        <f>SUM('19_Расчет_аналитики'!V2432:V2456)-'19_Расчет_аналитики'!V2395</f>
        <v/>
      </c>
      <c r="W2585">
        <f>SUM('19_Расчет_аналитики'!W2432:W2456)-'19_Расчет_аналитики'!W2395</f>
        <v/>
      </c>
      <c r="X2585">
        <f>SUM('19_Расчет_аналитики'!X2432:X2456)-'19_Расчет_аналитики'!X2395</f>
        <v/>
      </c>
      <c r="Y2585">
        <f>SUM('19_Расчет_аналитики'!Y2432:Y2456)-'19_Расчет_аналитики'!Y2395</f>
        <v/>
      </c>
      <c r="Z2585">
        <f>SUM('19_Расчет_аналитики'!Z2432:Z2456)-'19_Расчет_аналитики'!Z2395</f>
        <v/>
      </c>
      <c r="AA2585">
        <f>SUM('19_Расчет_аналитики'!AA2432:AA2456)-'19_Расчет_аналитики'!AA2395</f>
        <v/>
      </c>
      <c r="AB2585">
        <f>SUM('19_Расчет_аналитики'!AB2432:AB2456)-'19_Расчет_аналитики'!AB2395</f>
        <v/>
      </c>
      <c r="AC2585">
        <f>SUM('19_Расчет_аналитики'!AC2432:AC2456)-'19_Расчет_аналитики'!AC2395</f>
        <v/>
      </c>
      <c r="AD2585">
        <f>SUM('19_Расчет_аналитики'!AD2432:AD2456)-'19_Расчет_аналитики'!AD2395</f>
        <v/>
      </c>
      <c r="AE2585">
        <f>SUM('19_Расчет_аналитики'!AE2432:AE2456)-'19_Расчет_аналитики'!AE2395</f>
        <v/>
      </c>
      <c r="AF2585">
        <f>SUM('19_Расчет_аналитики'!AF2432:AF2456)-'19_Расчет_аналитики'!AF2395</f>
        <v/>
      </c>
      <c r="AG2585">
        <f>SUM('19_Расчет_аналитики'!AG2432:AG2456)-'19_Расчет_аналитики'!AG2395</f>
        <v/>
      </c>
      <c r="AH2585">
        <f>SUM('19_Расчет_аналитики'!AH2432:AH2456)-'19_Расчет_аналитики'!AH2395</f>
        <v/>
      </c>
      <c r="AI2585">
        <f>SUM('19_Расчет_аналитики'!AI2432:AI2456)-'19_Расчет_аналитики'!AI2395</f>
        <v/>
      </c>
      <c r="AJ2585">
        <f>SUM('19_Расчет_аналитики'!AJ2432:AJ2456)-'19_Расчет_аналитики'!AJ2395</f>
        <v/>
      </c>
      <c r="AK2585">
        <f>SUM('19_Расчет_аналитики'!AK2432:AK2456)-'19_Расчет_аналитики'!AK2395</f>
        <v/>
      </c>
      <c r="AL2585">
        <f>SUM('19_Расчет_аналитики'!AL2432:AL2456)-'19_Расчет_аналитики'!AL2395</f>
        <v/>
      </c>
      <c r="AM2585">
        <f>SUM('19_Расчет_аналитики'!AM2432:AM2456)-'19_Расчет_аналитики'!AM2395</f>
        <v/>
      </c>
      <c r="AN2585">
        <f>SUM('19_Расчет_аналитики'!AN2432:AN2456)-'19_Расчет_аналитики'!AN2395</f>
        <v/>
      </c>
      <c r="AO2585">
        <f>SUM('19_Расчет_аналитики'!AO2432:AO2456)-'19_Расчет_аналитики'!AO2395</f>
        <v/>
      </c>
      <c r="AP2585">
        <f>SUM('19_Расчет_аналитики'!AP2432:AP2456)-'19_Расчет_аналитики'!AP2395</f>
        <v/>
      </c>
      <c r="AQ2585">
        <f>SUM('19_Расчет_аналитики'!AQ2432:AQ2456)-'19_Расчет_аналитики'!AQ2395</f>
        <v/>
      </c>
      <c r="AR2585">
        <f>SUM('19_Расчет_аналитики'!AR2432:AR2456)-'19_Расчет_аналитики'!AR2395</f>
        <v/>
      </c>
      <c r="AS2585">
        <f>SUM('19_Расчет_аналитики'!AS2432:AS2456)-'19_Расчет_аналитики'!AS2395</f>
        <v/>
      </c>
      <c r="AT2585">
        <f>SUM('19_Расчет_аналитики'!AT2432:AT2456)-'19_Расчет_аналитики'!AT2395</f>
        <v/>
      </c>
      <c r="AU2585">
        <f>SUM('19_Расчет_аналитики'!AU2432:AU2456)-'19_Расчет_аналитики'!AU2395</f>
        <v/>
      </c>
      <c r="AV2585">
        <f>SUM('19_Расчет_аналитики'!AV2432:AV2456)-'19_Расчет_аналитики'!AV2395</f>
        <v/>
      </c>
      <c r="AW2585">
        <f>SUM('19_Расчет_аналитики'!AW2432:AW2456)-'19_Расчет_аналитики'!AW2395</f>
        <v/>
      </c>
      <c r="AX2585">
        <f>SUM('19_Расчет_аналитики'!AX2432:AX2456)-'19_Расчет_аналитики'!AX2395</f>
        <v/>
      </c>
      <c r="AY2585">
        <f>SUM('19_Расчет_аналитики'!AY2432:AY2456)-'19_Расчет_аналитики'!AY2395</f>
        <v/>
      </c>
      <c r="AZ2585">
        <f>SUM('19_Расчет_аналитики'!AZ2432:AZ2456)-'19_Расчет_аналитики'!AZ2395</f>
        <v/>
      </c>
      <c r="BA2585">
        <f>SUM('19_Расчет_аналитики'!BA2432:BA2456)-'19_Расчет_аналитики'!BA2395</f>
        <v/>
      </c>
      <c r="BB2585">
        <f>SUM('19_Расчет_аналитики'!BB2432:BB2456)-'19_Расчет_аналитики'!BB2395</f>
        <v/>
      </c>
      <c r="BC2585">
        <f>SUM('19_Расчет_аналитики'!BC2432:BC2456)-'19_Расчет_аналитики'!BC2395</f>
        <v/>
      </c>
      <c r="BD2585">
        <f>SUM('19_Расчет_аналитики'!BD2432:BD2456)-'19_Расчет_аналитики'!BD2395</f>
        <v/>
      </c>
      <c r="BE2585">
        <f>SUM('19_Расчет_аналитики'!BE2432:BE2456)-'19_Расчет_аналитики'!BE2395</f>
        <v/>
      </c>
      <c r="BF2585">
        <f>SUM('19_Расчет_аналитики'!BF2432:BF2456)-'19_Расчет_аналитики'!BF2395</f>
        <v/>
      </c>
      <c r="BG2585">
        <f>SUM('19_Расчет_аналитики'!BG2432:BG2456)-'19_Расчет_аналитики'!BG2395</f>
        <v/>
      </c>
      <c r="BH2585">
        <f>SUM('19_Расчет_аналитики'!BH2432:BH2456)-'19_Расчет_аналитики'!BH2395</f>
        <v/>
      </c>
      <c r="BI2585">
        <f>SUM('19_Расчет_аналитики'!BI2432:BI2456)-'19_Расчет_аналитики'!BI2395</f>
        <v/>
      </c>
      <c r="BJ2585">
        <f>SUM('19_Расчет_аналитики'!BJ2432:BJ2456)-'19_Расчет_аналитики'!BJ2395</f>
        <v/>
      </c>
      <c r="BK2585">
        <f>SUM('19_Расчет_аналитики'!BK2432:BK2456)-'19_Расчет_аналитики'!BK2395</f>
        <v/>
      </c>
      <c r="BL2585">
        <f>SUM('19_Расчет_аналитики'!BL2432:BL2456)-'19_Расчет_аналитики'!BL2395</f>
        <v/>
      </c>
      <c r="BM2585">
        <f>SUM('19_Расчет_аналитики'!BM2432:BM2456)-'19_Расчет_аналитики'!BM2395</f>
        <v/>
      </c>
      <c r="BN2585">
        <f>SUM('19_Расчет_аналитики'!BN2432:BN2456)-'19_Расчет_аналитики'!BN2395</f>
        <v/>
      </c>
      <c r="BO2585">
        <f>SUM('19_Расчет_аналитики'!BO2432:BO2456)-'19_Расчет_аналитики'!BO2395</f>
        <v/>
      </c>
    </row>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c r="F2630">
        <f>'06_Сеть_и_дети'!F19*'19_Расчет_аналитики'!$B$2110*'07_Мерч'!F4</f>
        <v/>
      </c>
      <c r="G2630">
        <f>'06_Сеть_и_дети'!G19*'19_Расчет_аналитики'!$B$2110*'07_Мерч'!G4</f>
        <v/>
      </c>
      <c r="H2630">
        <f>'06_Сеть_и_дети'!H19*'19_Расчет_аналитики'!$B$2110*'07_Мерч'!H4</f>
        <v/>
      </c>
      <c r="I2630">
        <f>'06_Сеть_и_дети'!I19*'19_Расчет_аналитики'!$B$2110*'07_Мерч'!I4</f>
        <v/>
      </c>
      <c r="J2630">
        <f>'06_Сеть_и_дети'!J19*'19_Расчет_аналитики'!$B$2110*'07_Мерч'!J4</f>
        <v/>
      </c>
      <c r="K2630">
        <f>'06_Сеть_и_дети'!K19*'19_Расчет_аналитики'!$B$2110*'07_Мерч'!K4</f>
        <v/>
      </c>
      <c r="L2630">
        <f>'06_Сеть_и_дети'!L19*'19_Расчет_аналитики'!$B$2110*'07_Мерч'!L4</f>
        <v/>
      </c>
      <c r="M2630">
        <f>'06_Сеть_и_дети'!M19*'19_Расчет_аналитики'!$B$2110*'07_Мерч'!M4</f>
        <v/>
      </c>
      <c r="N2630">
        <f>'06_Сеть_и_дети'!N19*'19_Расчет_аналитики'!$B$2110*'07_Мерч'!N4</f>
        <v/>
      </c>
      <c r="O2630">
        <f>'06_Сеть_и_дети'!O19*'19_Расчет_аналитики'!$B$2110*'07_Мерч'!O4</f>
        <v/>
      </c>
      <c r="P2630">
        <f>'06_Сеть_и_дети'!P19*'19_Расчет_аналитики'!$B$2110*'07_Мерч'!P4</f>
        <v/>
      </c>
      <c r="Q2630">
        <f>'06_Сеть_и_дети'!Q19*'19_Расчет_аналитики'!$B$2110*'07_Мерч'!Q4</f>
        <v/>
      </c>
      <c r="R2630">
        <f>'06_Сеть_и_дети'!R19*'19_Расчет_аналитики'!$B$2110*'07_Мерч'!R4</f>
        <v/>
      </c>
      <c r="S2630">
        <f>'06_Сеть_и_дети'!S19*'19_Расчет_аналитики'!$B$2110*'07_Мерч'!S4</f>
        <v/>
      </c>
      <c r="T2630">
        <f>'06_Сеть_и_дети'!T19*'19_Расчет_аналитики'!$B$2110*'07_Мерч'!T4</f>
        <v/>
      </c>
      <c r="U2630">
        <f>'06_Сеть_и_дети'!U19*'19_Расчет_аналитики'!$B$2110*'07_Мерч'!U4</f>
        <v/>
      </c>
      <c r="V2630">
        <f>'06_Сеть_и_дети'!V19*'19_Расчет_аналитики'!$B$2110*'07_Мерч'!V4</f>
        <v/>
      </c>
      <c r="W2630">
        <f>'06_Сеть_и_дети'!W19*'19_Расчет_аналитики'!$B$2110*'07_Мерч'!W4</f>
        <v/>
      </c>
      <c r="X2630">
        <f>'06_Сеть_и_дети'!X19*'19_Расчет_аналитики'!$B$2110*'07_Мерч'!X4</f>
        <v/>
      </c>
      <c r="Y2630">
        <f>'06_Сеть_и_дети'!Y19*'19_Расчет_аналитики'!$B$2110*'07_Мерч'!Y4</f>
        <v/>
      </c>
      <c r="Z2630">
        <f>'06_Сеть_и_дети'!Z19*'19_Расчет_аналитики'!$B$2110*'07_Мерч'!Z4</f>
        <v/>
      </c>
      <c r="AA2630">
        <f>'06_Сеть_и_дети'!AA19*'19_Расчет_аналитики'!$B$2110*'07_Мерч'!AA4</f>
        <v/>
      </c>
      <c r="AB2630">
        <f>'06_Сеть_и_дети'!AB19*'19_Расчет_аналитики'!$B$2110*'07_Мерч'!AB4</f>
        <v/>
      </c>
      <c r="AC2630">
        <f>'06_Сеть_и_дети'!AC19*'19_Расчет_аналитики'!$B$2110*'07_Мерч'!AC4</f>
        <v/>
      </c>
      <c r="AD2630">
        <f>'06_Сеть_и_дети'!AD19*'19_Расчет_аналитики'!$B$2110*'07_Мерч'!AD4</f>
        <v/>
      </c>
      <c r="AE2630">
        <f>'06_Сеть_и_дети'!AE19*'19_Расчет_аналитики'!$B$2110*'07_Мерч'!AE4</f>
        <v/>
      </c>
      <c r="AF2630">
        <f>'06_Сеть_и_дети'!AF19*'19_Расчет_аналитики'!$B$2110*'07_Мерч'!AF4</f>
        <v/>
      </c>
      <c r="AG2630">
        <f>'06_Сеть_и_дети'!AG19*'19_Расчет_аналитики'!$B$2110*'07_Мерч'!AG4</f>
        <v/>
      </c>
      <c r="AH2630">
        <f>'06_Сеть_и_дети'!AH19*'19_Расчет_аналитики'!$B$2110*'07_Мерч'!AH4</f>
        <v/>
      </c>
      <c r="AI2630">
        <f>'06_Сеть_и_дети'!AI19*'19_Расчет_аналитики'!$B$2110*'07_Мерч'!AI4</f>
        <v/>
      </c>
      <c r="AJ2630">
        <f>'06_Сеть_и_дети'!AJ19*'19_Расчет_аналитики'!$B$2110*'07_Мерч'!AJ4</f>
        <v/>
      </c>
      <c r="AK2630">
        <f>'06_Сеть_и_дети'!AK19*'19_Расчет_аналитики'!$B$2110*'07_Мерч'!AK4</f>
        <v/>
      </c>
      <c r="AL2630">
        <f>'06_Сеть_и_дети'!AL19*'19_Расчет_аналитики'!$B$2110*'07_Мерч'!AL4</f>
        <v/>
      </c>
      <c r="AM2630">
        <f>'06_Сеть_и_дети'!AM19*'19_Расчет_аналитики'!$B$2110*'07_Мерч'!AM4</f>
        <v/>
      </c>
      <c r="AN2630">
        <f>'06_Сеть_и_дети'!AN19*'19_Расчет_аналитики'!$B$2110*'07_Мерч'!AN4</f>
        <v/>
      </c>
      <c r="AO2630">
        <f>'06_Сеть_и_дети'!AO19*'19_Расчет_аналитики'!$B$2110*'07_Мерч'!AO4</f>
        <v/>
      </c>
      <c r="AP2630">
        <f>'06_Сеть_и_дети'!AP19*'19_Расчет_аналитики'!$B$2110*'07_Мерч'!AP4</f>
        <v/>
      </c>
      <c r="AQ2630">
        <f>'06_Сеть_и_дети'!AQ19*'19_Расчет_аналитики'!$B$2110*'07_Мерч'!AQ4</f>
        <v/>
      </c>
      <c r="AR2630">
        <f>'06_Сеть_и_дети'!AR19*'19_Расчет_аналитики'!$B$2110*'07_Мерч'!AR4</f>
        <v/>
      </c>
      <c r="AS2630">
        <f>'06_Сеть_и_дети'!AS19*'19_Расчет_аналитики'!$B$2110*'07_Мерч'!AS4</f>
        <v/>
      </c>
      <c r="AT2630">
        <f>'06_Сеть_и_дети'!AT19*'19_Расчет_аналитики'!$B$2110*'07_Мерч'!AT4</f>
        <v/>
      </c>
      <c r="AU2630">
        <f>'06_Сеть_и_дети'!AU19*'19_Расчет_аналитики'!$B$2110*'07_Мерч'!AU4</f>
        <v/>
      </c>
      <c r="AV2630">
        <f>'06_Сеть_и_дети'!AV19*'19_Расчет_аналитики'!$B$2110*'07_Мерч'!AV4</f>
        <v/>
      </c>
      <c r="AW2630">
        <f>'06_Сеть_и_дети'!AW19*'19_Расчет_аналитики'!$B$2110*'07_Мерч'!AW4</f>
        <v/>
      </c>
      <c r="AX2630">
        <f>'06_Сеть_и_дети'!AX19*'19_Расчет_аналитики'!$B$2110*'07_Мерч'!AX4</f>
        <v/>
      </c>
      <c r="AY2630">
        <f>'06_Сеть_и_дети'!AY19*'19_Расчет_аналитики'!$B$2110*'07_Мерч'!AY4</f>
        <v/>
      </c>
      <c r="AZ2630">
        <f>'06_Сеть_и_дети'!AZ19*'19_Расчет_аналитики'!$B$2110*'07_Мерч'!AZ4</f>
        <v/>
      </c>
      <c r="BA2630">
        <f>'06_Сеть_и_дети'!BA19*'19_Расчет_аналитики'!$B$2110*'07_Мерч'!BA4</f>
        <v/>
      </c>
      <c r="BB2630">
        <f>'06_Сеть_и_дети'!BB19*'19_Расчет_аналитики'!$B$2110*'07_Мерч'!BB4</f>
        <v/>
      </c>
      <c r="BC2630">
        <f>'06_Сеть_и_дети'!BC19*'19_Расчет_аналитики'!$B$2110*'07_Мерч'!BC4</f>
        <v/>
      </c>
      <c r="BD2630">
        <f>'06_Сеть_и_дети'!BD19*'19_Расчет_аналитики'!$B$2110*'07_Мерч'!BD4</f>
        <v/>
      </c>
      <c r="BE2630">
        <f>'06_Сеть_и_дети'!BE19*'19_Расчет_аналитики'!$B$2110*'07_Мерч'!BE4</f>
        <v/>
      </c>
      <c r="BF2630">
        <f>'06_Сеть_и_дети'!BF19*'19_Расчет_аналитики'!$B$2110*'07_Мерч'!BF4</f>
        <v/>
      </c>
      <c r="BG2630">
        <f>'06_Сеть_и_дети'!BG19*'19_Расчет_аналитики'!$B$2110*'07_Мерч'!BG4</f>
        <v/>
      </c>
      <c r="BH2630">
        <f>'06_Сеть_и_дети'!BH19*'19_Расчет_аналитики'!$B$2110*'07_Мерч'!BH4</f>
        <v/>
      </c>
      <c r="BI2630">
        <f>'06_Сеть_и_дети'!BI19*'19_Расчет_аналитики'!$B$2110*'07_Мерч'!BI4</f>
        <v/>
      </c>
      <c r="BJ2630">
        <f>'06_Сеть_и_дети'!BJ19*'19_Расчет_аналитики'!$B$2110*'07_Мерч'!BJ4</f>
        <v/>
      </c>
      <c r="BK2630">
        <f>'06_Сеть_и_дети'!BK19*'19_Расчет_аналитики'!$B$2110*'07_Мерч'!BK4</f>
        <v/>
      </c>
      <c r="BL2630">
        <f>'06_Сеть_и_дети'!BL19*'19_Расчет_аналитики'!$B$2110*'07_Мерч'!BL4</f>
        <v/>
      </c>
      <c r="BM2630">
        <f>'06_Сеть_и_дети'!BM19*'19_Расчет_аналитики'!$B$2110*'07_Мерч'!BM4</f>
        <v/>
      </c>
      <c r="BN2630">
        <f>'06_Сеть_и_дети'!BN19*'19_Расчет_аналитики'!$B$2110*'07_Мерч'!BN4</f>
        <v/>
      </c>
      <c r="BO2630">
        <f>'06_Сеть_и_дети'!BO19*'19_Расчет_аналитики'!$B$2110*'07_Мерч'!BO4</f>
        <v/>
      </c>
    </row>
    <row r="2631">
      <c r="F2631">
        <f>'19_Расчет_аналитики'!F2630*'18_Календарь_тарифы'!F10</f>
        <v/>
      </c>
      <c r="G2631">
        <f>'19_Расчет_аналитики'!G2630*'18_Календарь_тарифы'!G10</f>
        <v/>
      </c>
      <c r="H2631">
        <f>'19_Расчет_аналитики'!H2630*'18_Календарь_тарифы'!H10</f>
        <v/>
      </c>
      <c r="I2631">
        <f>'19_Расчет_аналитики'!I2630*'18_Календарь_тарифы'!I10</f>
        <v/>
      </c>
      <c r="J2631">
        <f>'19_Расчет_аналитики'!J2630*'18_Календарь_тарифы'!J10</f>
        <v/>
      </c>
      <c r="K2631">
        <f>'19_Расчет_аналитики'!K2630*'18_Календарь_тарифы'!K10</f>
        <v/>
      </c>
      <c r="L2631">
        <f>'19_Расчет_аналитики'!L2630*'18_Календарь_тарифы'!L10</f>
        <v/>
      </c>
      <c r="M2631">
        <f>'19_Расчет_аналитики'!M2630*'18_Календарь_тарифы'!M10</f>
        <v/>
      </c>
      <c r="N2631">
        <f>'19_Расчет_аналитики'!N2630*'18_Календарь_тарифы'!N10</f>
        <v/>
      </c>
      <c r="O2631">
        <f>'19_Расчет_аналитики'!O2630*'18_Календарь_тарифы'!O10</f>
        <v/>
      </c>
      <c r="P2631">
        <f>'19_Расчет_аналитики'!P2630*'18_Календарь_тарифы'!P10</f>
        <v/>
      </c>
      <c r="Q2631">
        <f>'19_Расчет_аналитики'!Q2630*'18_Календарь_тарифы'!Q10</f>
        <v/>
      </c>
      <c r="R2631">
        <f>'19_Расчет_аналитики'!R2630*'18_Календарь_тарифы'!R10</f>
        <v/>
      </c>
      <c r="S2631">
        <f>'19_Расчет_аналитики'!S2630*'18_Календарь_тарифы'!S10</f>
        <v/>
      </c>
      <c r="T2631">
        <f>'19_Расчет_аналитики'!T2630*'18_Календарь_тарифы'!T10</f>
        <v/>
      </c>
      <c r="U2631">
        <f>'19_Расчет_аналитики'!U2630*'18_Календарь_тарифы'!U10</f>
        <v/>
      </c>
      <c r="V2631">
        <f>'19_Расчет_аналитики'!V2630*'18_Календарь_тарифы'!V10</f>
        <v/>
      </c>
      <c r="W2631">
        <f>'19_Расчет_аналитики'!W2630*'18_Календарь_тарифы'!W10</f>
        <v/>
      </c>
      <c r="X2631">
        <f>'19_Расчет_аналитики'!X2630*'18_Календарь_тарифы'!X10</f>
        <v/>
      </c>
      <c r="Y2631">
        <f>'19_Расчет_аналитики'!Y2630*'18_Календарь_тарифы'!Y10</f>
        <v/>
      </c>
      <c r="Z2631">
        <f>'19_Расчет_аналитики'!Z2630*'18_Календарь_тарифы'!Z10</f>
        <v/>
      </c>
      <c r="AA2631">
        <f>'19_Расчет_аналитики'!AA2630*'18_Календарь_тарифы'!AA10</f>
        <v/>
      </c>
      <c r="AB2631">
        <f>'19_Расчет_аналитики'!AB2630*'18_Календарь_тарифы'!AB10</f>
        <v/>
      </c>
      <c r="AC2631">
        <f>'19_Расчет_аналитики'!AC2630*'18_Календарь_тарифы'!AC10</f>
        <v/>
      </c>
      <c r="AD2631">
        <f>'19_Расчет_аналитики'!AD2630*'18_Календарь_тарифы'!AD10</f>
        <v/>
      </c>
      <c r="AE2631">
        <f>'19_Расчет_аналитики'!AE2630*'18_Календарь_тарифы'!AE10</f>
        <v/>
      </c>
      <c r="AF2631">
        <f>'19_Расчет_аналитики'!AF2630*'18_Календарь_тарифы'!AF10</f>
        <v/>
      </c>
      <c r="AG2631">
        <f>'19_Расчет_аналитики'!AG2630*'18_Календарь_тарифы'!AG10</f>
        <v/>
      </c>
      <c r="AH2631">
        <f>'19_Расчет_аналитики'!AH2630*'18_Календарь_тарифы'!AH10</f>
        <v/>
      </c>
      <c r="AI2631">
        <f>'19_Расчет_аналитики'!AI2630*'18_Календарь_тарифы'!AI10</f>
        <v/>
      </c>
      <c r="AJ2631">
        <f>'19_Расчет_аналитики'!AJ2630*'18_Календарь_тарифы'!AJ10</f>
        <v/>
      </c>
      <c r="AK2631">
        <f>'19_Расчет_аналитики'!AK2630*'18_Календарь_тарифы'!AK10</f>
        <v/>
      </c>
      <c r="AL2631">
        <f>'19_Расчет_аналитики'!AL2630*'18_Календарь_тарифы'!AL10</f>
        <v/>
      </c>
      <c r="AM2631">
        <f>'19_Расчет_аналитики'!AM2630*'18_Календарь_тарифы'!AM10</f>
        <v/>
      </c>
      <c r="AN2631">
        <f>'19_Расчет_аналитики'!AN2630*'18_Календарь_тарифы'!AN10</f>
        <v/>
      </c>
      <c r="AO2631">
        <f>'19_Расчет_аналитики'!AO2630*'18_Календарь_тарифы'!AO10</f>
        <v/>
      </c>
      <c r="AP2631">
        <f>'19_Расчет_аналитики'!AP2630*'18_Календарь_тарифы'!AP10</f>
        <v/>
      </c>
      <c r="AQ2631">
        <f>'19_Расчет_аналитики'!AQ2630*'18_Календарь_тарифы'!AQ10</f>
        <v/>
      </c>
      <c r="AR2631">
        <f>'19_Расчет_аналитики'!AR2630*'18_Календарь_тарифы'!AR10</f>
        <v/>
      </c>
      <c r="AS2631">
        <f>'19_Расчет_аналитики'!AS2630*'18_Календарь_тарифы'!AS10</f>
        <v/>
      </c>
      <c r="AT2631">
        <f>'19_Расчет_аналитики'!AT2630*'18_Календарь_тарифы'!AT10</f>
        <v/>
      </c>
      <c r="AU2631">
        <f>'19_Расчет_аналитики'!AU2630*'18_Календарь_тарифы'!AU10</f>
        <v/>
      </c>
      <c r="AV2631">
        <f>'19_Расчет_аналитики'!AV2630*'18_Календарь_тарифы'!AV10</f>
        <v/>
      </c>
      <c r="AW2631">
        <f>'19_Расчет_аналитики'!AW2630*'18_Календарь_тарифы'!AW10</f>
        <v/>
      </c>
      <c r="AX2631">
        <f>'19_Расчет_аналитики'!AX2630*'18_Календарь_тарифы'!AX10</f>
        <v/>
      </c>
      <c r="AY2631">
        <f>'19_Расчет_аналитики'!AY2630*'18_Календарь_тарифы'!AY10</f>
        <v/>
      </c>
      <c r="AZ2631">
        <f>'19_Расчет_аналитики'!AZ2630*'18_Календарь_тарифы'!AZ10</f>
        <v/>
      </c>
      <c r="BA2631">
        <f>'19_Расчет_аналитики'!BA2630*'18_Календарь_тарифы'!BA10</f>
        <v/>
      </c>
      <c r="BB2631">
        <f>'19_Расчет_аналитики'!BB2630*'18_Календарь_тарифы'!BB10</f>
        <v/>
      </c>
      <c r="BC2631">
        <f>'19_Расчет_аналитики'!BC2630*'18_Календарь_тарифы'!BC10</f>
        <v/>
      </c>
      <c r="BD2631">
        <f>'19_Расчет_аналитики'!BD2630*'18_Календарь_тарифы'!BD10</f>
        <v/>
      </c>
      <c r="BE2631">
        <f>'19_Расчет_аналитики'!BE2630*'18_Календарь_тарифы'!BE10</f>
        <v/>
      </c>
      <c r="BF2631">
        <f>'19_Расчет_аналитики'!BF2630*'18_Календарь_тарифы'!BF10</f>
        <v/>
      </c>
      <c r="BG2631">
        <f>'19_Расчет_аналитики'!BG2630*'18_Календарь_тарифы'!BG10</f>
        <v/>
      </c>
      <c r="BH2631">
        <f>'19_Расчет_аналитики'!BH2630*'18_Календарь_тарифы'!BH10</f>
        <v/>
      </c>
      <c r="BI2631">
        <f>'19_Расчет_аналитики'!BI2630*'18_Календарь_тарифы'!BI10</f>
        <v/>
      </c>
      <c r="BJ2631">
        <f>'19_Расчет_аналитики'!BJ2630*'18_Календарь_тарифы'!BJ10</f>
        <v/>
      </c>
      <c r="BK2631">
        <f>'19_Расчет_аналитики'!BK2630*'18_Календарь_тарифы'!BK10</f>
        <v/>
      </c>
      <c r="BL2631">
        <f>'19_Расчет_аналитики'!BL2630*'18_Календарь_тарифы'!BL10</f>
        <v/>
      </c>
      <c r="BM2631">
        <f>'19_Расчет_аналитики'!BM2630*'18_Календарь_тарифы'!BM10</f>
        <v/>
      </c>
      <c r="BN2631">
        <f>'19_Расчет_аналитики'!BN2630*'18_Календарь_тарифы'!BN10</f>
        <v/>
      </c>
      <c r="BO2631">
        <f>'19_Расчет_аналитики'!BO2630*'18_Календарь_тарифы'!BO10</f>
        <v/>
      </c>
    </row>
    <row r="2632">
      <c r="F2632">
        <f>'19_Расчет_аналитики'!F2630*'18_Календарь_тарифы'!F9</f>
        <v/>
      </c>
      <c r="G2632">
        <f>'19_Расчет_аналитики'!G2630*'18_Календарь_тарифы'!G9</f>
        <v/>
      </c>
      <c r="H2632">
        <f>'19_Расчет_аналитики'!H2630*'18_Календарь_тарифы'!H9</f>
        <v/>
      </c>
      <c r="I2632">
        <f>'19_Расчет_аналитики'!I2630*'18_Календарь_тарифы'!I9</f>
        <v/>
      </c>
      <c r="J2632">
        <f>'19_Расчет_аналитики'!J2630*'18_Календарь_тарифы'!J9</f>
        <v/>
      </c>
      <c r="K2632">
        <f>'19_Расчет_аналитики'!K2630*'18_Календарь_тарифы'!K9</f>
        <v/>
      </c>
      <c r="L2632">
        <f>'19_Расчет_аналитики'!L2630*'18_Календарь_тарифы'!L9</f>
        <v/>
      </c>
      <c r="M2632">
        <f>'19_Расчет_аналитики'!M2630*'18_Календарь_тарифы'!M9</f>
        <v/>
      </c>
      <c r="N2632">
        <f>'19_Расчет_аналитики'!N2630*'18_Календарь_тарифы'!N9</f>
        <v/>
      </c>
      <c r="O2632">
        <f>'19_Расчет_аналитики'!O2630*'18_Календарь_тарифы'!O9</f>
        <v/>
      </c>
      <c r="P2632">
        <f>'19_Расчет_аналитики'!P2630*'18_Календарь_тарифы'!P9</f>
        <v/>
      </c>
      <c r="Q2632">
        <f>'19_Расчет_аналитики'!Q2630*'18_Календарь_тарифы'!Q9</f>
        <v/>
      </c>
      <c r="R2632">
        <f>'19_Расчет_аналитики'!R2630*'18_Календарь_тарифы'!R9</f>
        <v/>
      </c>
      <c r="S2632">
        <f>'19_Расчет_аналитики'!S2630*'18_Календарь_тарифы'!S9</f>
        <v/>
      </c>
      <c r="T2632">
        <f>'19_Расчет_аналитики'!T2630*'18_Календарь_тарифы'!T9</f>
        <v/>
      </c>
      <c r="U2632">
        <f>'19_Расчет_аналитики'!U2630*'18_Календарь_тарифы'!U9</f>
        <v/>
      </c>
      <c r="V2632">
        <f>'19_Расчет_аналитики'!V2630*'18_Календарь_тарифы'!V9</f>
        <v/>
      </c>
      <c r="W2632">
        <f>'19_Расчет_аналитики'!W2630*'18_Календарь_тарифы'!W9</f>
        <v/>
      </c>
      <c r="X2632">
        <f>'19_Расчет_аналитики'!X2630*'18_Календарь_тарифы'!X9</f>
        <v/>
      </c>
      <c r="Y2632">
        <f>'19_Расчет_аналитики'!Y2630*'18_Календарь_тарифы'!Y9</f>
        <v/>
      </c>
      <c r="Z2632">
        <f>'19_Расчет_аналитики'!Z2630*'18_Календарь_тарифы'!Z9</f>
        <v/>
      </c>
      <c r="AA2632">
        <f>'19_Расчет_аналитики'!AA2630*'18_Календарь_тарифы'!AA9</f>
        <v/>
      </c>
      <c r="AB2632">
        <f>'19_Расчет_аналитики'!AB2630*'18_Календарь_тарифы'!AB9</f>
        <v/>
      </c>
      <c r="AC2632">
        <f>'19_Расчет_аналитики'!AC2630*'18_Календарь_тарифы'!AC9</f>
        <v/>
      </c>
      <c r="AD2632">
        <f>'19_Расчет_аналитики'!AD2630*'18_Календарь_тарифы'!AD9</f>
        <v/>
      </c>
      <c r="AE2632">
        <f>'19_Расчет_аналитики'!AE2630*'18_Календарь_тарифы'!AE9</f>
        <v/>
      </c>
      <c r="AF2632">
        <f>'19_Расчет_аналитики'!AF2630*'18_Календарь_тарифы'!AF9</f>
        <v/>
      </c>
      <c r="AG2632">
        <f>'19_Расчет_аналитики'!AG2630*'18_Календарь_тарифы'!AG9</f>
        <v/>
      </c>
      <c r="AH2632">
        <f>'19_Расчет_аналитики'!AH2630*'18_Календарь_тарифы'!AH9</f>
        <v/>
      </c>
      <c r="AI2632">
        <f>'19_Расчет_аналитики'!AI2630*'18_Календарь_тарифы'!AI9</f>
        <v/>
      </c>
      <c r="AJ2632">
        <f>'19_Расчет_аналитики'!AJ2630*'18_Календарь_тарифы'!AJ9</f>
        <v/>
      </c>
      <c r="AK2632">
        <f>'19_Расчет_аналитики'!AK2630*'18_Календарь_тарифы'!AK9</f>
        <v/>
      </c>
      <c r="AL2632">
        <f>'19_Расчет_аналитики'!AL2630*'18_Календарь_тарифы'!AL9</f>
        <v/>
      </c>
      <c r="AM2632">
        <f>'19_Расчет_аналитики'!AM2630*'18_Календарь_тарифы'!AM9</f>
        <v/>
      </c>
      <c r="AN2632">
        <f>'19_Расчет_аналитики'!AN2630*'18_Календарь_тарифы'!AN9</f>
        <v/>
      </c>
      <c r="AO2632">
        <f>'19_Расчет_аналитики'!AO2630*'18_Календарь_тарифы'!AO9</f>
        <v/>
      </c>
      <c r="AP2632">
        <f>'19_Расчет_аналитики'!AP2630*'18_Календарь_тарифы'!AP9</f>
        <v/>
      </c>
      <c r="AQ2632">
        <f>'19_Расчет_аналитики'!AQ2630*'18_Календарь_тарифы'!AQ9</f>
        <v/>
      </c>
      <c r="AR2632">
        <f>'19_Расчет_аналитики'!AR2630*'18_Календарь_тарифы'!AR9</f>
        <v/>
      </c>
      <c r="AS2632">
        <f>'19_Расчет_аналитики'!AS2630*'18_Календарь_тарифы'!AS9</f>
        <v/>
      </c>
      <c r="AT2632">
        <f>'19_Расчет_аналитики'!AT2630*'18_Календарь_тарифы'!AT9</f>
        <v/>
      </c>
      <c r="AU2632">
        <f>'19_Расчет_аналитики'!AU2630*'18_Календарь_тарифы'!AU9</f>
        <v/>
      </c>
      <c r="AV2632">
        <f>'19_Расчет_аналитики'!AV2630*'18_Календарь_тарифы'!AV9</f>
        <v/>
      </c>
      <c r="AW2632">
        <f>'19_Расчет_аналитики'!AW2630*'18_Календарь_тарифы'!AW9</f>
        <v/>
      </c>
      <c r="AX2632">
        <f>'19_Расчет_аналитики'!AX2630*'18_Календарь_тарифы'!AX9</f>
        <v/>
      </c>
      <c r="AY2632">
        <f>'19_Расчет_аналитики'!AY2630*'18_Календарь_тарифы'!AY9</f>
        <v/>
      </c>
      <c r="AZ2632">
        <f>'19_Расчет_аналитики'!AZ2630*'18_Календарь_тарифы'!AZ9</f>
        <v/>
      </c>
      <c r="BA2632">
        <f>'19_Расчет_аналитики'!BA2630*'18_Календарь_тарифы'!BA9</f>
        <v/>
      </c>
      <c r="BB2632">
        <f>'19_Расчет_аналитики'!BB2630*'18_Календарь_тарифы'!BB9</f>
        <v/>
      </c>
      <c r="BC2632">
        <f>'19_Расчет_аналитики'!BC2630*'18_Календарь_тарифы'!BC9</f>
        <v/>
      </c>
      <c r="BD2632">
        <f>'19_Расчет_аналитики'!BD2630*'18_Календарь_тарифы'!BD9</f>
        <v/>
      </c>
      <c r="BE2632">
        <f>'19_Расчет_аналитики'!BE2630*'18_Календарь_тарифы'!BE9</f>
        <v/>
      </c>
      <c r="BF2632">
        <f>'19_Расчет_аналитики'!BF2630*'18_Календарь_тарифы'!BF9</f>
        <v/>
      </c>
      <c r="BG2632">
        <f>'19_Расчет_аналитики'!BG2630*'18_Календарь_тарифы'!BG9</f>
        <v/>
      </c>
      <c r="BH2632">
        <f>'19_Расчет_аналитики'!BH2630*'18_Календарь_тарифы'!BH9</f>
        <v/>
      </c>
      <c r="BI2632">
        <f>'19_Расчет_аналитики'!BI2630*'18_Календарь_тарифы'!BI9</f>
        <v/>
      </c>
      <c r="BJ2632">
        <f>'19_Расчет_аналитики'!BJ2630*'18_Календарь_тарифы'!BJ9</f>
        <v/>
      </c>
      <c r="BK2632">
        <f>'19_Расчет_аналитики'!BK2630*'18_Календарь_тарифы'!BK9</f>
        <v/>
      </c>
      <c r="BL2632">
        <f>'19_Расчет_аналитики'!BL2630*'18_Календарь_тарифы'!BL9</f>
        <v/>
      </c>
      <c r="BM2632">
        <f>'19_Расчет_аналитики'!BM2630*'18_Календарь_тарифы'!BM9</f>
        <v/>
      </c>
      <c r="BN2632">
        <f>'19_Расчет_аналитики'!BN2630*'18_Календарь_тарифы'!BN9</f>
        <v/>
      </c>
      <c r="BO2632">
        <f>'19_Расчет_аналитики'!BO2630*'18_Календарь_тарифы'!BO9</f>
        <v/>
      </c>
    </row>
    <row r="2633"/>
    <row r="2634">
      <c r="B2634">
        <f>'07_Мерч'!B9</f>
        <v/>
      </c>
      <c r="C2634">
        <f>('19_Расчет_аналитики'!B2387*'01_Вводные'!$B$87*'01_Вводные'!$B$14^1)*'19_Расчет_аналитики'!$B$2082*'19_Расчет_аналитики'!$B$2110</f>
        <v/>
      </c>
      <c r="D2634">
        <f>('19_Расчет_аналитики'!C2387*'01_Вводные'!$B$87*'01_Вводные'!$B$14^1+'19_Расчет_аналитики'!B2387*'01_Вводные'!$B$88*'01_Вводные'!$B$14^2)*'19_Расчет_аналитики'!$B$2082*'19_Расчет_аналитики'!$B$2110</f>
        <v/>
      </c>
      <c r="E2634">
        <f>('19_Расчет_аналитики'!D2387*'01_Вводные'!$B$87*'01_Вводные'!$B$14^1+'19_Расчет_аналитики'!C2387*'01_Вводные'!$B$88*'01_Вводные'!$B$14^2+'19_Расчет_аналитики'!B2387*'01_Вводные'!$B$89*'01_Вводные'!$B$14^3)*'19_Расчет_аналитики'!$B$2082*'19_Расчет_аналитики'!$B$2110</f>
        <v/>
      </c>
      <c r="F2634">
        <f>('19_Расчет_аналитики'!E2387*'01_Вводные'!$B$87*'01_Вводные'!$B$14^1+'19_Расчет_аналитики'!D2387*'01_Вводные'!$B$88*'01_Вводные'!$B$14^2+'19_Расчет_аналитики'!C2387*'01_Вводные'!$B$89*'01_Вводные'!$B$14^3)*'19_Расчет_аналитики'!$B$2082*'19_Расчет_аналитики'!$B$2110</f>
        <v/>
      </c>
      <c r="G2634">
        <f>('19_Расчет_аналитики'!F2387*'01_Вводные'!$B$87*'01_Вводные'!$B$14^1+'19_Расчет_аналитики'!E2387*'01_Вводные'!$B$88*'01_Вводные'!$B$14^2+'19_Расчет_аналитики'!D2387*'01_Вводные'!$B$89*'01_Вводные'!$B$14^3)*'19_Расчет_аналитики'!$B$2082*'19_Расчет_аналитики'!$B$2110</f>
        <v/>
      </c>
      <c r="H2634">
        <f>('19_Расчет_аналитики'!G2387*'01_Вводные'!$B$87*'01_Вводные'!$B$14^1+'19_Расчет_аналитики'!F2387*'01_Вводные'!$B$88*'01_Вводные'!$B$14^2+'19_Расчет_аналитики'!E2387*'01_Вводные'!$B$89*'01_Вводные'!$B$14^3)*'19_Расчет_аналитики'!$B$2082*'19_Расчет_аналитики'!$B$2110</f>
        <v/>
      </c>
      <c r="I2634">
        <f>('19_Расчет_аналитики'!H2387*'01_Вводные'!$B$87*'01_Вводные'!$B$14^1+'19_Расчет_аналитики'!G2387*'01_Вводные'!$B$88*'01_Вводные'!$B$14^2+'19_Расчет_аналитики'!F2387*'01_Вводные'!$B$89*'01_Вводные'!$B$14^3)*'19_Расчет_аналитики'!$B$2082*'19_Расчет_аналитики'!$B$2110</f>
        <v/>
      </c>
      <c r="J2634">
        <f>('19_Расчет_аналитики'!I2387*'01_Вводные'!$B$87*'01_Вводные'!$B$14^1+'19_Расчет_аналитики'!H2387*'01_Вводные'!$B$88*'01_Вводные'!$B$14^2+'19_Расчет_аналитики'!G2387*'01_Вводные'!$B$89*'01_Вводные'!$B$14^3)*'19_Расчет_аналитики'!$B$2082*'19_Расчет_аналитики'!$B$2110</f>
        <v/>
      </c>
      <c r="K2634">
        <f>('19_Расчет_аналитики'!J2387*'01_Вводные'!$B$87*'01_Вводные'!$B$14^1+'19_Расчет_аналитики'!I2387*'01_Вводные'!$B$88*'01_Вводные'!$B$14^2+'19_Расчет_аналитики'!H2387*'01_Вводные'!$B$89*'01_Вводные'!$B$14^3)*'19_Расчет_аналитики'!$B$2082*'19_Расчет_аналитики'!$B$2110</f>
        <v/>
      </c>
      <c r="L2634">
        <f>('19_Расчет_аналитики'!K2387*'01_Вводные'!$B$87*'01_Вводные'!$B$14^1+'19_Расчет_аналитики'!J2387*'01_Вводные'!$B$88*'01_Вводные'!$B$14^2+'19_Расчет_аналитики'!I2387*'01_Вводные'!$B$89*'01_Вводные'!$B$14^3)*'19_Расчет_аналитики'!$B$2082*'19_Расчет_аналитики'!$B$2110</f>
        <v/>
      </c>
      <c r="M2634">
        <f>('19_Расчет_аналитики'!L2387*'01_Вводные'!$B$87*'01_Вводные'!$B$14^1+'19_Расчет_аналитики'!K2387*'01_Вводные'!$B$88*'01_Вводные'!$B$14^2+'19_Расчет_аналитики'!J2387*'01_Вводные'!$B$89*'01_Вводные'!$B$14^3)*'19_Расчет_аналитики'!$B$2082*'19_Расчет_аналитики'!$B$2110</f>
        <v/>
      </c>
      <c r="N2634">
        <f>('19_Расчет_аналитики'!M2387*'01_Вводные'!$B$87*'01_Вводные'!$B$14^1+'19_Расчет_аналитики'!L2387*'01_Вводные'!$B$88*'01_Вводные'!$B$14^2+'19_Расчет_аналитики'!K2387*'01_Вводные'!$B$89*'01_Вводные'!$B$14^3)*'19_Расчет_аналитики'!$B$2082*'19_Расчет_аналитики'!$B$2110</f>
        <v/>
      </c>
      <c r="O2634">
        <f>('19_Расчет_аналитики'!N2387*'01_Вводные'!$B$87*'01_Вводные'!$B$14^1+'19_Расчет_аналитики'!M2387*'01_Вводные'!$B$88*'01_Вводные'!$B$14^2+'19_Расчет_аналитики'!L2387*'01_Вводные'!$B$89*'01_Вводные'!$B$14^3)*'19_Расчет_аналитики'!$B$2082*'19_Расчет_аналитики'!$B$2110</f>
        <v/>
      </c>
      <c r="P2634">
        <f>('19_Расчет_аналитики'!O2387*'01_Вводные'!$B$87*'01_Вводные'!$B$14^1+'19_Расчет_аналитики'!N2387*'01_Вводные'!$B$88*'01_Вводные'!$B$14^2+'19_Расчет_аналитики'!M2387*'01_Вводные'!$B$89*'01_Вводные'!$B$14^3)*'19_Расчет_аналитики'!$B$2082*'19_Расчет_аналитики'!$B$2110</f>
        <v/>
      </c>
      <c r="Q2634">
        <f>('19_Расчет_аналитики'!P2387*'01_Вводные'!$B$87*'01_Вводные'!$B$14^1+'19_Расчет_аналитики'!O2387*'01_Вводные'!$B$88*'01_Вводные'!$B$14^2+'19_Расчет_аналитики'!N2387*'01_Вводные'!$B$89*'01_Вводные'!$B$14^3)*'19_Расчет_аналитики'!$B$2082*'19_Расчет_аналитики'!$B$2110</f>
        <v/>
      </c>
      <c r="R2634">
        <f>('19_Расчет_аналитики'!Q2387*'01_Вводные'!$B$87*'01_Вводные'!$B$14^1+'19_Расчет_аналитики'!P2387*'01_Вводные'!$B$88*'01_Вводные'!$B$14^2+'19_Расчет_аналитики'!O2387*'01_Вводные'!$B$89*'01_Вводные'!$B$14^3)*'19_Расчет_аналитики'!$B$2082*'19_Расчет_аналитики'!$B$2110</f>
        <v/>
      </c>
      <c r="S2634">
        <f>('19_Расчет_аналитики'!R2387*'01_Вводные'!$B$87*'01_Вводные'!$B$14^1+'19_Расчет_аналитики'!Q2387*'01_Вводные'!$B$88*'01_Вводные'!$B$14^2+'19_Расчет_аналитики'!P2387*'01_Вводные'!$B$89*'01_Вводные'!$B$14^3)*'19_Расчет_аналитики'!$B$2082*'19_Расчет_аналитики'!$B$2110</f>
        <v/>
      </c>
      <c r="T2634">
        <f>('19_Расчет_аналитики'!S2387*'01_Вводные'!$B$87*'01_Вводные'!$B$14^1+'19_Расчет_аналитики'!R2387*'01_Вводные'!$B$88*'01_Вводные'!$B$14^2+'19_Расчет_аналитики'!Q2387*'01_Вводные'!$B$89*'01_Вводные'!$B$14^3)*'19_Расчет_аналитики'!$B$2082*'19_Расчет_аналитики'!$B$2110</f>
        <v/>
      </c>
      <c r="U2634">
        <f>('19_Расчет_аналитики'!T2387*'01_Вводные'!$B$87*'01_Вводные'!$B$14^1+'19_Расчет_аналитики'!S2387*'01_Вводные'!$B$88*'01_Вводные'!$B$14^2+'19_Расчет_аналитики'!R2387*'01_Вводные'!$B$89*'01_Вводные'!$B$14^3)*'19_Расчет_аналитики'!$B$2082*'19_Расчет_аналитики'!$B$2110</f>
        <v/>
      </c>
      <c r="V2634">
        <f>('19_Расчет_аналитики'!U2387*'01_Вводные'!$B$87*'01_Вводные'!$B$14^1+'19_Расчет_аналитики'!T2387*'01_Вводные'!$B$88*'01_Вводные'!$B$14^2+'19_Расчет_аналитики'!S2387*'01_Вводные'!$B$89*'01_Вводные'!$B$14^3)*'19_Расчет_аналитики'!$B$2082*'19_Расчет_аналитики'!$B$2110</f>
        <v/>
      </c>
      <c r="W2634">
        <f>('19_Расчет_аналитики'!V2387*'01_Вводные'!$B$87*'01_Вводные'!$B$14^1+'19_Расчет_аналитики'!U2387*'01_Вводные'!$B$88*'01_Вводные'!$B$14^2+'19_Расчет_аналитики'!T2387*'01_Вводные'!$B$89*'01_Вводные'!$B$14^3)*'19_Расчет_аналитики'!$B$2082*'19_Расчет_аналитики'!$B$2110</f>
        <v/>
      </c>
      <c r="X2634">
        <f>('19_Расчет_аналитики'!W2387*'01_Вводные'!$B$87*'01_Вводные'!$B$14^1+'19_Расчет_аналитики'!V2387*'01_Вводные'!$B$88*'01_Вводные'!$B$14^2+'19_Расчет_аналитики'!U2387*'01_Вводные'!$B$89*'01_Вводные'!$B$14^3)*'19_Расчет_аналитики'!$B$2082*'19_Расчет_аналитики'!$B$2110</f>
        <v/>
      </c>
      <c r="Y2634">
        <f>('19_Расчет_аналитики'!X2387*'01_Вводные'!$B$87*'01_Вводные'!$B$14^1+'19_Расчет_аналитики'!W2387*'01_Вводные'!$B$88*'01_Вводные'!$B$14^2+'19_Расчет_аналитики'!V2387*'01_Вводные'!$B$89*'01_Вводные'!$B$14^3)*'19_Расчет_аналитики'!$B$2082*'19_Расчет_аналитики'!$B$2110</f>
        <v/>
      </c>
      <c r="Z2634">
        <f>('19_Расчет_аналитики'!Y2387*'01_Вводные'!$B$87*'01_Вводные'!$B$14^1+'19_Расчет_аналитики'!X2387*'01_Вводные'!$B$88*'01_Вводные'!$B$14^2+'19_Расчет_аналитики'!W2387*'01_Вводные'!$B$89*'01_Вводные'!$B$14^3)*'19_Расчет_аналитики'!$B$2082*'19_Расчет_аналитики'!$B$2110</f>
        <v/>
      </c>
      <c r="AA2634">
        <f>('19_Расчет_аналитики'!Z2387*'01_Вводные'!$B$87*'01_Вводные'!$B$14^1+'19_Расчет_аналитики'!Y2387*'01_Вводные'!$B$88*'01_Вводные'!$B$14^2+'19_Расчет_аналитики'!X2387*'01_Вводные'!$B$89*'01_Вводные'!$B$14^3)*'19_Расчет_аналитики'!$B$2082*'19_Расчет_аналитики'!$B$2110</f>
        <v/>
      </c>
      <c r="AB2634">
        <f>('19_Расчет_аналитики'!AA2387*'01_Вводные'!$B$87*'01_Вводные'!$B$14^1+'19_Расчет_аналитики'!Z2387*'01_Вводные'!$B$88*'01_Вводные'!$B$14^2+'19_Расчет_аналитики'!Y2387*'01_Вводные'!$B$89*'01_Вводные'!$B$14^3)*'19_Расчет_аналитики'!$B$2082*'19_Расчет_аналитики'!$B$2110</f>
        <v/>
      </c>
      <c r="AC2634">
        <f>('19_Расчет_аналитики'!AB2387*'01_Вводные'!$B$87*'01_Вводные'!$B$14^1+'19_Расчет_аналитики'!AA2387*'01_Вводные'!$B$88*'01_Вводные'!$B$14^2+'19_Расчет_аналитики'!Z2387*'01_Вводные'!$B$89*'01_Вводные'!$B$14^3)*'19_Расчет_аналитики'!$B$2082*'19_Расчет_аналитики'!$B$2110</f>
        <v/>
      </c>
      <c r="AD2634">
        <f>('19_Расчет_аналитики'!AC2387*'01_Вводные'!$B$87*'01_Вводные'!$B$14^1+'19_Расчет_аналитики'!AB2387*'01_Вводные'!$B$88*'01_Вводные'!$B$14^2+'19_Расчет_аналитики'!AA2387*'01_Вводные'!$B$89*'01_Вводные'!$B$14^3)*'19_Расчет_аналитики'!$B$2082*'19_Расчет_аналитики'!$B$2110</f>
        <v/>
      </c>
      <c r="AE2634">
        <f>('19_Расчет_аналитики'!AD2387*'01_Вводные'!$B$87*'01_Вводные'!$B$14^1+'19_Расчет_аналитики'!AC2387*'01_Вводные'!$B$88*'01_Вводные'!$B$14^2+'19_Расчет_аналитики'!AB2387*'01_Вводные'!$B$89*'01_Вводные'!$B$14^3)*'19_Расчет_аналитики'!$B$2082*'19_Расчет_аналитики'!$B$2110</f>
        <v/>
      </c>
      <c r="AF2634">
        <f>('19_Расчет_аналитики'!AE2387*'01_Вводные'!$B$87*'01_Вводные'!$B$14^1+'19_Расчет_аналитики'!AD2387*'01_Вводные'!$B$88*'01_Вводные'!$B$14^2+'19_Расчет_аналитики'!AC2387*'01_Вводные'!$B$89*'01_Вводные'!$B$14^3)*'19_Расчет_аналитики'!$B$2082*'19_Расчет_аналитики'!$B$2110</f>
        <v/>
      </c>
      <c r="AG2634">
        <f>('19_Расчет_аналитики'!AF2387*'01_Вводные'!$B$87*'01_Вводные'!$B$14^1+'19_Расчет_аналитики'!AE2387*'01_Вводные'!$B$88*'01_Вводные'!$B$14^2+'19_Расчет_аналитики'!AD2387*'01_Вводные'!$B$89*'01_Вводные'!$B$14^3)*'19_Расчет_аналитики'!$B$2082*'19_Расчет_аналитики'!$B$2110</f>
        <v/>
      </c>
      <c r="AH2634">
        <f>('19_Расчет_аналитики'!AG2387*'01_Вводные'!$B$87*'01_Вводные'!$B$14^1+'19_Расчет_аналитики'!AF2387*'01_Вводные'!$B$88*'01_Вводные'!$B$14^2+'19_Расчет_аналитики'!AE2387*'01_Вводные'!$B$89*'01_Вводные'!$B$14^3)*'19_Расчет_аналитики'!$B$2082*'19_Расчет_аналитики'!$B$2110</f>
        <v/>
      </c>
      <c r="AI2634">
        <f>('19_Расчет_аналитики'!AH2387*'01_Вводные'!$B$87*'01_Вводные'!$B$14^1+'19_Расчет_аналитики'!AG2387*'01_Вводные'!$B$88*'01_Вводные'!$B$14^2+'19_Расчет_аналитики'!AF2387*'01_Вводные'!$B$89*'01_Вводные'!$B$14^3)*'19_Расчет_аналитики'!$B$2082*'19_Расчет_аналитики'!$B$2110</f>
        <v/>
      </c>
      <c r="AJ2634">
        <f>('19_Расчет_аналитики'!AI2387*'01_Вводные'!$B$87*'01_Вводные'!$B$14^1+'19_Расчет_аналитики'!AH2387*'01_Вводные'!$B$88*'01_Вводные'!$B$14^2+'19_Расчет_аналитики'!AG2387*'01_Вводные'!$B$89*'01_Вводные'!$B$14^3)*'19_Расчет_аналитики'!$B$2082*'19_Расчет_аналитики'!$B$2110</f>
        <v/>
      </c>
      <c r="AK2634">
        <f>('19_Расчет_аналитики'!AJ2387*'01_Вводные'!$B$87*'01_Вводные'!$B$14^1+'19_Расчет_аналитики'!AI2387*'01_Вводные'!$B$88*'01_Вводные'!$B$14^2+'19_Расчет_аналитики'!AH2387*'01_Вводные'!$B$89*'01_Вводные'!$B$14^3)*'19_Расчет_аналитики'!$B$2082*'19_Расчет_аналитики'!$B$2110</f>
        <v/>
      </c>
      <c r="AL2634">
        <f>('19_Расчет_аналитики'!AK2387*'01_Вводные'!$B$87*'01_Вводные'!$B$14^1+'19_Расчет_аналитики'!AJ2387*'01_Вводные'!$B$88*'01_Вводные'!$B$14^2+'19_Расчет_аналитики'!AI2387*'01_Вводные'!$B$89*'01_Вводные'!$B$14^3)*'19_Расчет_аналитики'!$B$2082*'19_Расчет_аналитики'!$B$2110</f>
        <v/>
      </c>
      <c r="AM2634">
        <f>('19_Расчет_аналитики'!AL2387*'01_Вводные'!$B$87*'01_Вводные'!$B$14^1+'19_Расчет_аналитики'!AK2387*'01_Вводные'!$B$88*'01_Вводные'!$B$14^2+'19_Расчет_аналитики'!AJ2387*'01_Вводные'!$B$89*'01_Вводные'!$B$14^3)*'19_Расчет_аналитики'!$B$2082*'19_Расчет_аналитики'!$B$2110</f>
        <v/>
      </c>
      <c r="AN2634">
        <f>('19_Расчет_аналитики'!AM2387*'01_Вводные'!$B$87*'01_Вводные'!$B$14^1+'19_Расчет_аналитики'!AL2387*'01_Вводные'!$B$88*'01_Вводные'!$B$14^2+'19_Расчет_аналитики'!AK2387*'01_Вводные'!$B$89*'01_Вводные'!$B$14^3)*'19_Расчет_аналитики'!$B$2082*'19_Расчет_аналитики'!$B$2110</f>
        <v/>
      </c>
      <c r="AO2634">
        <f>('19_Расчет_аналитики'!AN2387*'01_Вводные'!$B$87*'01_Вводные'!$B$14^1+'19_Расчет_аналитики'!AM2387*'01_Вводные'!$B$88*'01_Вводные'!$B$14^2+'19_Расчет_аналитики'!AL2387*'01_Вводные'!$B$89*'01_Вводные'!$B$14^3)*'19_Расчет_аналитики'!$B$2082*'19_Расчет_аналитики'!$B$2110</f>
        <v/>
      </c>
      <c r="AP2634">
        <f>('19_Расчет_аналитики'!AO2387*'01_Вводные'!$B$87*'01_Вводные'!$B$14^1+'19_Расчет_аналитики'!AN2387*'01_Вводные'!$B$88*'01_Вводные'!$B$14^2+'19_Расчет_аналитики'!AM2387*'01_Вводные'!$B$89*'01_Вводные'!$B$14^3)*'19_Расчет_аналитики'!$B$2082*'19_Расчет_аналитики'!$B$2110</f>
        <v/>
      </c>
      <c r="AQ2634">
        <f>('19_Расчет_аналитики'!AP2387*'01_Вводные'!$B$87*'01_Вводные'!$B$14^1+'19_Расчет_аналитики'!AO2387*'01_Вводные'!$B$88*'01_Вводные'!$B$14^2+'19_Расчет_аналитики'!AN2387*'01_Вводные'!$B$89*'01_Вводные'!$B$14^3)*'19_Расчет_аналитики'!$B$2082*'19_Расчет_аналитики'!$B$2110</f>
        <v/>
      </c>
      <c r="AR2634">
        <f>('19_Расчет_аналитики'!AQ2387*'01_Вводные'!$B$87*'01_Вводные'!$B$14^1+'19_Расчет_аналитики'!AP2387*'01_Вводные'!$B$88*'01_Вводные'!$B$14^2+'19_Расчет_аналитики'!AO2387*'01_Вводные'!$B$89*'01_Вводные'!$B$14^3)*'19_Расчет_аналитики'!$B$2082*'19_Расчет_аналитики'!$B$2110</f>
        <v/>
      </c>
      <c r="AS2634">
        <f>('19_Расчет_аналитики'!AR2387*'01_Вводные'!$B$87*'01_Вводные'!$B$14^1+'19_Расчет_аналитики'!AQ2387*'01_Вводные'!$B$88*'01_Вводные'!$B$14^2+'19_Расчет_аналитики'!AP2387*'01_Вводные'!$B$89*'01_Вводные'!$B$14^3)*'19_Расчет_аналитики'!$B$2082*'19_Расчет_аналитики'!$B$2110</f>
        <v/>
      </c>
      <c r="AT2634">
        <f>('19_Расчет_аналитики'!AS2387*'01_Вводные'!$B$87*'01_Вводные'!$B$14^1+'19_Расчет_аналитики'!AR2387*'01_Вводные'!$B$88*'01_Вводные'!$B$14^2+'19_Расчет_аналитики'!AQ2387*'01_Вводные'!$B$89*'01_Вводные'!$B$14^3)*'19_Расчет_аналитики'!$B$2082*'19_Расчет_аналитики'!$B$2110</f>
        <v/>
      </c>
      <c r="AU2634">
        <f>('19_Расчет_аналитики'!AT2387*'01_Вводные'!$B$87*'01_Вводные'!$B$14^1+'19_Расчет_аналитики'!AS2387*'01_Вводные'!$B$88*'01_Вводные'!$B$14^2+'19_Расчет_аналитики'!AR2387*'01_Вводные'!$B$89*'01_Вводные'!$B$14^3)*'19_Расчет_аналитики'!$B$2082*'19_Расчет_аналитики'!$B$2110</f>
        <v/>
      </c>
      <c r="AV2634">
        <f>('19_Расчет_аналитики'!AU2387*'01_Вводные'!$B$87*'01_Вводные'!$B$14^1+'19_Расчет_аналитики'!AT2387*'01_Вводные'!$B$88*'01_Вводные'!$B$14^2+'19_Расчет_аналитики'!AS2387*'01_Вводные'!$B$89*'01_Вводные'!$B$14^3)*'19_Расчет_аналитики'!$B$2082*'19_Расчет_аналитики'!$B$2110</f>
        <v/>
      </c>
      <c r="AW2634">
        <f>('19_Расчет_аналитики'!AV2387*'01_Вводные'!$B$87*'01_Вводные'!$B$14^1+'19_Расчет_аналитики'!AU2387*'01_Вводные'!$B$88*'01_Вводные'!$B$14^2+'19_Расчет_аналитики'!AT2387*'01_Вводные'!$B$89*'01_Вводные'!$B$14^3)*'19_Расчет_аналитики'!$B$2082*'19_Расчет_аналитики'!$B$2110</f>
        <v/>
      </c>
      <c r="AX2634">
        <f>('19_Расчет_аналитики'!AW2387*'01_Вводные'!$B$87*'01_Вводные'!$B$14^1+'19_Расчет_аналитики'!AV2387*'01_Вводные'!$B$88*'01_Вводные'!$B$14^2+'19_Расчет_аналитики'!AU2387*'01_Вводные'!$B$89*'01_Вводные'!$B$14^3)*'19_Расчет_аналитики'!$B$2082*'19_Расчет_аналитики'!$B$2110</f>
        <v/>
      </c>
      <c r="AY2634">
        <f>('19_Расчет_аналитики'!AX2387*'01_Вводные'!$B$87*'01_Вводные'!$B$14^1+'19_Расчет_аналитики'!AW2387*'01_Вводные'!$B$88*'01_Вводные'!$B$14^2+'19_Расчет_аналитики'!AV2387*'01_Вводные'!$B$89*'01_Вводные'!$B$14^3)*'19_Расчет_аналитики'!$B$2082*'19_Расчет_аналитики'!$B$2110</f>
        <v/>
      </c>
      <c r="AZ2634">
        <f>('19_Расчет_аналитики'!AY2387*'01_Вводные'!$B$87*'01_Вводные'!$B$14^1+'19_Расчет_аналитики'!AX2387*'01_Вводные'!$B$88*'01_Вводные'!$B$14^2+'19_Расчет_аналитики'!AW2387*'01_Вводные'!$B$89*'01_Вводные'!$B$14^3)*'19_Расчет_аналитики'!$B$2082*'19_Расчет_аналитики'!$B$2110</f>
        <v/>
      </c>
      <c r="BA2634">
        <f>('19_Расчет_аналитики'!AZ2387*'01_Вводные'!$B$87*'01_Вводные'!$B$14^1+'19_Расчет_аналитики'!AY2387*'01_Вводные'!$B$88*'01_Вводные'!$B$14^2+'19_Расчет_аналитики'!AX2387*'01_Вводные'!$B$89*'01_Вводные'!$B$14^3)*'19_Расчет_аналитики'!$B$2082*'19_Расчет_аналитики'!$B$2110</f>
        <v/>
      </c>
      <c r="BB2634">
        <f>('19_Расчет_аналитики'!BA2387*'01_Вводные'!$B$87*'01_Вводные'!$B$14^1+'19_Расчет_аналитики'!AZ2387*'01_Вводные'!$B$88*'01_Вводные'!$B$14^2+'19_Расчет_аналитики'!AY2387*'01_Вводные'!$B$89*'01_Вводные'!$B$14^3)*'19_Расчет_аналитики'!$B$2082*'19_Расчет_аналитики'!$B$2110</f>
        <v/>
      </c>
      <c r="BC2634">
        <f>('19_Расчет_аналитики'!BB2387*'01_Вводные'!$B$87*'01_Вводные'!$B$14^1+'19_Расчет_аналитики'!BA2387*'01_Вводные'!$B$88*'01_Вводные'!$B$14^2+'19_Расчет_аналитики'!AZ2387*'01_Вводные'!$B$89*'01_Вводные'!$B$14^3)*'19_Расчет_аналитики'!$B$2082*'19_Расчет_аналитики'!$B$2110</f>
        <v/>
      </c>
      <c r="BD2634">
        <f>('19_Расчет_аналитики'!BC2387*'01_Вводные'!$B$87*'01_Вводные'!$B$14^1+'19_Расчет_аналитики'!BB2387*'01_Вводные'!$B$88*'01_Вводные'!$B$14^2+'19_Расчет_аналитики'!BA2387*'01_Вводные'!$B$89*'01_Вводные'!$B$14^3)*'19_Расчет_аналитики'!$B$2082*'19_Расчет_аналитики'!$B$2110</f>
        <v/>
      </c>
      <c r="BE2634">
        <f>('19_Расчет_аналитики'!BD2387*'01_Вводные'!$B$87*'01_Вводные'!$B$14^1+'19_Расчет_аналитики'!BC2387*'01_Вводные'!$B$88*'01_Вводные'!$B$14^2+'19_Расчет_аналитики'!BB2387*'01_Вводные'!$B$89*'01_Вводные'!$B$14^3)*'19_Расчет_аналитики'!$B$2082*'19_Расчет_аналитики'!$B$2110</f>
        <v/>
      </c>
      <c r="BF2634">
        <f>('19_Расчет_аналитики'!BE2387*'01_Вводные'!$B$87*'01_Вводные'!$B$14^1+'19_Расчет_аналитики'!BD2387*'01_Вводные'!$B$88*'01_Вводные'!$B$14^2+'19_Расчет_аналитики'!BC2387*'01_Вводные'!$B$89*'01_Вводные'!$B$14^3)*'19_Расчет_аналитики'!$B$2082*'19_Расчет_аналитики'!$B$2110</f>
        <v/>
      </c>
      <c r="BG2634">
        <f>('19_Расчет_аналитики'!BF2387*'01_Вводные'!$B$87*'01_Вводные'!$B$14^1+'19_Расчет_аналитики'!BE2387*'01_Вводные'!$B$88*'01_Вводные'!$B$14^2+'19_Расчет_аналитики'!BD2387*'01_Вводные'!$B$89*'01_Вводные'!$B$14^3)*'19_Расчет_аналитики'!$B$2082*'19_Расчет_аналитики'!$B$2110</f>
        <v/>
      </c>
      <c r="BH2634">
        <f>('19_Расчет_аналитики'!BG2387*'01_Вводные'!$B$87*'01_Вводные'!$B$14^1+'19_Расчет_аналитики'!BF2387*'01_Вводные'!$B$88*'01_Вводные'!$B$14^2+'19_Расчет_аналитики'!BE2387*'01_Вводные'!$B$89*'01_Вводные'!$B$14^3)*'19_Расчет_аналитики'!$B$2082*'19_Расчет_аналитики'!$B$2110</f>
        <v/>
      </c>
      <c r="BI2634">
        <f>('19_Расчет_аналитики'!BH2387*'01_Вводные'!$B$87*'01_Вводные'!$B$14^1+'19_Расчет_аналитики'!BG2387*'01_Вводные'!$B$88*'01_Вводные'!$B$14^2+'19_Расчет_аналитики'!BF2387*'01_Вводные'!$B$89*'01_Вводные'!$B$14^3)*'19_Расчет_аналитики'!$B$2082*'19_Расчет_аналитики'!$B$2110</f>
        <v/>
      </c>
      <c r="BJ2634">
        <f>('19_Расчет_аналитики'!BI2387*'01_Вводные'!$B$87*'01_Вводные'!$B$14^1+'19_Расчет_аналитики'!BH2387*'01_Вводные'!$B$88*'01_Вводные'!$B$14^2+'19_Расчет_аналитики'!BG2387*'01_Вводные'!$B$89*'01_Вводные'!$B$14^3)*'19_Расчет_аналитики'!$B$2082*'19_Расчет_аналитики'!$B$2110</f>
        <v/>
      </c>
      <c r="BK2634">
        <f>('19_Расчет_аналитики'!BJ2387*'01_Вводные'!$B$87*'01_Вводные'!$B$14^1+'19_Расчет_аналитики'!BI2387*'01_Вводные'!$B$88*'01_Вводные'!$B$14^2+'19_Расчет_аналитики'!BH2387*'01_Вводные'!$B$89*'01_Вводные'!$B$14^3)*'19_Расчет_аналитики'!$B$2082*'19_Расчет_аналитики'!$B$2110</f>
        <v/>
      </c>
      <c r="BL2634">
        <f>('19_Расчет_аналитики'!BK2387*'01_Вводные'!$B$87*'01_Вводные'!$B$14^1+'19_Расчет_аналитики'!BJ2387*'01_Вводные'!$B$88*'01_Вводные'!$B$14^2+'19_Расчет_аналитики'!BI2387*'01_Вводные'!$B$89*'01_Вводные'!$B$14^3)*'19_Расчет_аналитики'!$B$2082*'19_Расчет_аналитики'!$B$2110</f>
        <v/>
      </c>
      <c r="BM2634">
        <f>('19_Расчет_аналитики'!BL2387*'01_Вводные'!$B$87*'01_Вводные'!$B$14^1+'19_Расчет_аналитики'!BK2387*'01_Вводные'!$B$88*'01_Вводные'!$B$14^2+'19_Расчет_аналитики'!BJ2387*'01_Вводные'!$B$89*'01_Вводные'!$B$14^3)*'19_Расчет_аналитики'!$B$2082*'19_Расчет_аналитики'!$B$2110</f>
        <v/>
      </c>
      <c r="BN2634">
        <f>('19_Расчет_аналитики'!BM2387*'01_Вводные'!$B$87*'01_Вводные'!$B$14^1+'19_Расчет_аналитики'!BL2387*'01_Вводные'!$B$88*'01_Вводные'!$B$14^2+'19_Расчет_аналитики'!BK2387*'01_Вводные'!$B$89*'01_Вводные'!$B$14^3)*'19_Расчет_аналитики'!$B$2082*'19_Расчет_аналитики'!$B$2110</f>
        <v/>
      </c>
      <c r="BO2634">
        <f>('19_Расчет_аналитики'!BN2387*'01_Вводные'!$B$87*'01_Вводные'!$B$14^1+'19_Расчет_аналитики'!BM2387*'01_Вводные'!$B$88*'01_Вводные'!$B$14^2+'19_Расчет_аналитики'!BL2387*'01_Вводные'!$B$89*'01_Вводные'!$B$14^3)*'19_Расчет_аналитики'!$B$2082*'19_Расчет_аналитики'!$B$2110</f>
        <v/>
      </c>
    </row>
    <row r="2635">
      <c r="B2635">
        <f>'19_Расчет_аналитики'!B2570*'19_Расчет_аналитики'!$B$2110*'07_Мерч'!B4</f>
        <v/>
      </c>
      <c r="C2635">
        <f>'19_Расчет_аналитики'!C2570*'19_Расчет_аналитики'!$B$2110*'07_Мерч'!C4</f>
        <v/>
      </c>
      <c r="D2635">
        <f>'19_Расчет_аналитики'!D2570*'19_Расчет_аналитики'!$B$2110*'07_Мерч'!D4</f>
        <v/>
      </c>
      <c r="E2635">
        <f>'19_Расчет_аналитики'!E2570*'19_Расчет_аналитики'!$B$2110*'07_Мерч'!E4</f>
        <v/>
      </c>
      <c r="F2635">
        <f>'19_Расчет_аналитики'!F2570*'19_Расчет_аналитики'!$B$2110*'07_Мерч'!F4</f>
        <v/>
      </c>
      <c r="G2635">
        <f>'19_Расчет_аналитики'!G2570*'19_Расчет_аналитики'!$B$2110*'07_Мерч'!G4</f>
        <v/>
      </c>
      <c r="H2635">
        <f>'19_Расчет_аналитики'!H2570*'19_Расчет_аналитики'!$B$2110*'07_Мерч'!H4</f>
        <v/>
      </c>
      <c r="I2635">
        <f>'19_Расчет_аналитики'!I2570*'19_Расчет_аналитики'!$B$2110*'07_Мерч'!I4</f>
        <v/>
      </c>
      <c r="J2635">
        <f>'19_Расчет_аналитики'!J2570*'19_Расчет_аналитики'!$B$2110*'07_Мерч'!J4</f>
        <v/>
      </c>
      <c r="K2635">
        <f>'19_Расчет_аналитики'!K2570*'19_Расчет_аналитики'!$B$2110*'07_Мерч'!K4</f>
        <v/>
      </c>
      <c r="L2635">
        <f>'19_Расчет_аналитики'!L2570*'19_Расчет_аналитики'!$B$2110*'07_Мерч'!L4</f>
        <v/>
      </c>
      <c r="M2635">
        <f>'19_Расчет_аналитики'!M2570*'19_Расчет_аналитики'!$B$2110*'07_Мерч'!M4</f>
        <v/>
      </c>
      <c r="N2635">
        <f>'19_Расчет_аналитики'!N2570*'19_Расчет_аналитики'!$B$2110*'07_Мерч'!N4</f>
        <v/>
      </c>
      <c r="O2635">
        <f>'19_Расчет_аналитики'!O2570*'19_Расчет_аналитики'!$B$2110*'07_Мерч'!O4</f>
        <v/>
      </c>
      <c r="P2635">
        <f>'19_Расчет_аналитики'!P2570*'19_Расчет_аналитики'!$B$2110*'07_Мерч'!P4</f>
        <v/>
      </c>
      <c r="Q2635">
        <f>'19_Расчет_аналитики'!Q2570*'19_Расчет_аналитики'!$B$2110*'07_Мерч'!Q4</f>
        <v/>
      </c>
      <c r="R2635">
        <f>'19_Расчет_аналитики'!R2570*'19_Расчет_аналитики'!$B$2110*'07_Мерч'!R4</f>
        <v/>
      </c>
      <c r="S2635">
        <f>'19_Расчет_аналитики'!S2570*'19_Расчет_аналитики'!$B$2110*'07_Мерч'!S4</f>
        <v/>
      </c>
      <c r="T2635">
        <f>'19_Расчет_аналитики'!T2570*'19_Расчет_аналитики'!$B$2110*'07_Мерч'!T4</f>
        <v/>
      </c>
      <c r="U2635">
        <f>'19_Расчет_аналитики'!U2570*'19_Расчет_аналитики'!$B$2110*'07_Мерч'!U4</f>
        <v/>
      </c>
      <c r="V2635">
        <f>'19_Расчет_аналитики'!V2570*'19_Расчет_аналитики'!$B$2110*'07_Мерч'!V4</f>
        <v/>
      </c>
      <c r="W2635">
        <f>'19_Расчет_аналитики'!W2570*'19_Расчет_аналитики'!$B$2110*'07_Мерч'!W4</f>
        <v/>
      </c>
      <c r="X2635">
        <f>'19_Расчет_аналитики'!X2570*'19_Расчет_аналитики'!$B$2110*'07_Мерч'!X4</f>
        <v/>
      </c>
      <c r="Y2635">
        <f>'19_Расчет_аналитики'!Y2570*'19_Расчет_аналитики'!$B$2110*'07_Мерч'!Y4</f>
        <v/>
      </c>
      <c r="Z2635">
        <f>'19_Расчет_аналитики'!Z2570*'19_Расчет_аналитики'!$B$2110*'07_Мерч'!Z4</f>
        <v/>
      </c>
      <c r="AA2635">
        <f>'19_Расчет_аналитики'!AA2570*'19_Расчет_аналитики'!$B$2110*'07_Мерч'!AA4</f>
        <v/>
      </c>
      <c r="AB2635">
        <f>'19_Расчет_аналитики'!AB2570*'19_Расчет_аналитики'!$B$2110*'07_Мерч'!AB4</f>
        <v/>
      </c>
      <c r="AC2635">
        <f>'19_Расчет_аналитики'!AC2570*'19_Расчет_аналитики'!$B$2110*'07_Мерч'!AC4</f>
        <v/>
      </c>
      <c r="AD2635">
        <f>'19_Расчет_аналитики'!AD2570*'19_Расчет_аналитики'!$B$2110*'07_Мерч'!AD4</f>
        <v/>
      </c>
      <c r="AE2635">
        <f>'19_Расчет_аналитики'!AE2570*'19_Расчет_аналитики'!$B$2110*'07_Мерч'!AE4</f>
        <v/>
      </c>
      <c r="AF2635">
        <f>'19_Расчет_аналитики'!AF2570*'19_Расчет_аналитики'!$B$2110*'07_Мерч'!AF4</f>
        <v/>
      </c>
      <c r="AG2635">
        <f>'19_Расчет_аналитики'!AG2570*'19_Расчет_аналитики'!$B$2110*'07_Мерч'!AG4</f>
        <v/>
      </c>
      <c r="AH2635">
        <f>'19_Расчет_аналитики'!AH2570*'19_Расчет_аналитики'!$B$2110*'07_Мерч'!AH4</f>
        <v/>
      </c>
      <c r="AI2635">
        <f>'19_Расчет_аналитики'!AI2570*'19_Расчет_аналитики'!$B$2110*'07_Мерч'!AI4</f>
        <v/>
      </c>
      <c r="AJ2635">
        <f>'19_Расчет_аналитики'!AJ2570*'19_Расчет_аналитики'!$B$2110*'07_Мерч'!AJ4</f>
        <v/>
      </c>
      <c r="AK2635">
        <f>'19_Расчет_аналитики'!AK2570*'19_Расчет_аналитики'!$B$2110*'07_Мерч'!AK4</f>
        <v/>
      </c>
      <c r="AL2635">
        <f>'19_Расчет_аналитики'!AL2570*'19_Расчет_аналитики'!$B$2110*'07_Мерч'!AL4</f>
        <v/>
      </c>
      <c r="AM2635">
        <f>'19_Расчет_аналитики'!AM2570*'19_Расчет_аналитики'!$B$2110*'07_Мерч'!AM4</f>
        <v/>
      </c>
      <c r="AN2635">
        <f>'19_Расчет_аналитики'!AN2570*'19_Расчет_аналитики'!$B$2110*'07_Мерч'!AN4</f>
        <v/>
      </c>
      <c r="AO2635">
        <f>'19_Расчет_аналитики'!AO2570*'19_Расчет_аналитики'!$B$2110*'07_Мерч'!AO4</f>
        <v/>
      </c>
      <c r="AP2635">
        <f>'19_Расчет_аналитики'!AP2570*'19_Расчет_аналитики'!$B$2110*'07_Мерч'!AP4</f>
        <v/>
      </c>
      <c r="AQ2635">
        <f>'19_Расчет_аналитики'!AQ2570*'19_Расчет_аналитики'!$B$2110*'07_Мерч'!AQ4</f>
        <v/>
      </c>
      <c r="AR2635">
        <f>'19_Расчет_аналитики'!AR2570*'19_Расчет_аналитики'!$B$2110*'07_Мерч'!AR4</f>
        <v/>
      </c>
      <c r="AS2635">
        <f>'19_Расчет_аналитики'!AS2570*'19_Расчет_аналитики'!$B$2110*'07_Мерч'!AS4</f>
        <v/>
      </c>
      <c r="AT2635">
        <f>'19_Расчет_аналитики'!AT2570*'19_Расчет_аналитики'!$B$2110*'07_Мерч'!AT4</f>
        <v/>
      </c>
      <c r="AU2635">
        <f>'19_Расчет_аналитики'!AU2570*'19_Расчет_аналитики'!$B$2110*'07_Мерч'!AU4</f>
        <v/>
      </c>
      <c r="AV2635">
        <f>'19_Расчет_аналитики'!AV2570*'19_Расчет_аналитики'!$B$2110*'07_Мерч'!AV4</f>
        <v/>
      </c>
      <c r="AW2635">
        <f>'19_Расчет_аналитики'!AW2570*'19_Расчет_аналитики'!$B$2110*'07_Мерч'!AW4</f>
        <v/>
      </c>
      <c r="AX2635">
        <f>'19_Расчет_аналитики'!AX2570*'19_Расчет_аналитики'!$B$2110*'07_Мерч'!AX4</f>
        <v/>
      </c>
      <c r="AY2635">
        <f>'19_Расчет_аналитики'!AY2570*'19_Расчет_аналитики'!$B$2110*'07_Мерч'!AY4</f>
        <v/>
      </c>
      <c r="AZ2635">
        <f>'19_Расчет_аналитики'!AZ2570*'19_Расчет_аналитики'!$B$2110*'07_Мерч'!AZ4</f>
        <v/>
      </c>
      <c r="BA2635">
        <f>'19_Расчет_аналитики'!BA2570*'19_Расчет_аналитики'!$B$2110*'07_Мерч'!BA4</f>
        <v/>
      </c>
      <c r="BB2635">
        <f>'19_Расчет_аналитики'!BB2570*'19_Расчет_аналитики'!$B$2110*'07_Мерч'!BB4</f>
        <v/>
      </c>
      <c r="BC2635">
        <f>'19_Расчет_аналитики'!BC2570*'19_Расчет_аналитики'!$B$2110*'07_Мерч'!BC4</f>
        <v/>
      </c>
      <c r="BD2635">
        <f>'19_Расчет_аналитики'!BD2570*'19_Расчет_аналитики'!$B$2110*'07_Мерч'!BD4</f>
        <v/>
      </c>
      <c r="BE2635">
        <f>'19_Расчет_аналитики'!BE2570*'19_Расчет_аналитики'!$B$2110*'07_Мерч'!BE4</f>
        <v/>
      </c>
      <c r="BF2635">
        <f>'19_Расчет_аналитики'!BF2570*'19_Расчет_аналитики'!$B$2110*'07_Мерч'!BF4</f>
        <v/>
      </c>
      <c r="BG2635">
        <f>'19_Расчет_аналитики'!BG2570*'19_Расчет_аналитики'!$B$2110*'07_Мерч'!BG4</f>
        <v/>
      </c>
      <c r="BH2635">
        <f>'19_Расчет_аналитики'!BH2570*'19_Расчет_аналитики'!$B$2110*'07_Мерч'!BH4</f>
        <v/>
      </c>
      <c r="BI2635">
        <f>'19_Расчет_аналитики'!BI2570*'19_Расчет_аналитики'!$B$2110*'07_Мерч'!BI4</f>
        <v/>
      </c>
      <c r="BJ2635">
        <f>'19_Расчет_аналитики'!BJ2570*'19_Расчет_аналитики'!$B$2110*'07_Мерч'!BJ4</f>
        <v/>
      </c>
      <c r="BK2635">
        <f>'19_Расчет_аналитики'!BK2570*'19_Расчет_аналитики'!$B$2110*'07_Мерч'!BK4</f>
        <v/>
      </c>
      <c r="BL2635">
        <f>'19_Расчет_аналитики'!BL2570*'19_Расчет_аналитики'!$B$2110*'07_Мерч'!BL4</f>
        <v/>
      </c>
      <c r="BM2635">
        <f>'19_Расчет_аналитики'!BM2570*'19_Расчет_аналитики'!$B$2110*'07_Мерч'!BM4</f>
        <v/>
      </c>
      <c r="BN2635">
        <f>'19_Расчет_аналитики'!BN2570*'19_Расчет_аналитики'!$B$2110*'07_Мерч'!BN4</f>
        <v/>
      </c>
      <c r="BO2635">
        <f>'19_Расчет_аналитики'!BO2570*'19_Расчет_аналитики'!$B$2110*'07_Мерч'!BO4</f>
        <v/>
      </c>
    </row>
    <row r="2636">
      <c r="B2636">
        <f>SUM('19_Расчет_аналитики'!B2634:B2635)*'18_Календарь_тарифы'!B10</f>
        <v/>
      </c>
      <c r="C2636">
        <f>SUM('19_Расчет_аналитики'!C2634:C2635)*'18_Календарь_тарифы'!C10</f>
        <v/>
      </c>
      <c r="D2636">
        <f>SUM('19_Расчет_аналитики'!D2634:D2635)*'18_Календарь_тарифы'!D10</f>
        <v/>
      </c>
      <c r="E2636">
        <f>SUM('19_Расчет_аналитики'!E2634:E2635)*'18_Календарь_тарифы'!E10</f>
        <v/>
      </c>
      <c r="F2636">
        <f>SUM('19_Расчет_аналитики'!F2634:F2635)*'18_Календарь_тарифы'!F10</f>
        <v/>
      </c>
      <c r="G2636">
        <f>SUM('19_Расчет_аналитики'!G2634:G2635)*'18_Календарь_тарифы'!G10</f>
        <v/>
      </c>
      <c r="H2636">
        <f>SUM('19_Расчет_аналитики'!H2634:H2635)*'18_Календарь_тарифы'!H10</f>
        <v/>
      </c>
      <c r="I2636">
        <f>SUM('19_Расчет_аналитики'!I2634:I2635)*'18_Календарь_тарифы'!I10</f>
        <v/>
      </c>
      <c r="J2636">
        <f>SUM('19_Расчет_аналитики'!J2634:J2635)*'18_Календарь_тарифы'!J10</f>
        <v/>
      </c>
      <c r="K2636">
        <f>SUM('19_Расчет_аналитики'!K2634:K2635)*'18_Календарь_тарифы'!K10</f>
        <v/>
      </c>
      <c r="L2636">
        <f>SUM('19_Расчет_аналитики'!L2634:L2635)*'18_Календарь_тарифы'!L10</f>
        <v/>
      </c>
      <c r="M2636">
        <f>SUM('19_Расчет_аналитики'!M2634:M2635)*'18_Календарь_тарифы'!M10</f>
        <v/>
      </c>
      <c r="N2636">
        <f>SUM('19_Расчет_аналитики'!N2634:N2635)*'18_Календарь_тарифы'!N10</f>
        <v/>
      </c>
      <c r="O2636">
        <f>SUM('19_Расчет_аналитики'!O2634:O2635)*'18_Календарь_тарифы'!O10</f>
        <v/>
      </c>
      <c r="P2636">
        <f>SUM('19_Расчет_аналитики'!P2634:P2635)*'18_Календарь_тарифы'!P10</f>
        <v/>
      </c>
      <c r="Q2636">
        <f>SUM('19_Расчет_аналитики'!Q2634:Q2635)*'18_Календарь_тарифы'!Q10</f>
        <v/>
      </c>
      <c r="R2636">
        <f>SUM('19_Расчет_аналитики'!R2634:R2635)*'18_Календарь_тарифы'!R10</f>
        <v/>
      </c>
      <c r="S2636">
        <f>SUM('19_Расчет_аналитики'!S2634:S2635)*'18_Календарь_тарифы'!S10</f>
        <v/>
      </c>
      <c r="T2636">
        <f>SUM('19_Расчет_аналитики'!T2634:T2635)*'18_Календарь_тарифы'!T10</f>
        <v/>
      </c>
      <c r="U2636">
        <f>SUM('19_Расчет_аналитики'!U2634:U2635)*'18_Календарь_тарифы'!U10</f>
        <v/>
      </c>
      <c r="V2636">
        <f>SUM('19_Расчет_аналитики'!V2634:V2635)*'18_Календарь_тарифы'!V10</f>
        <v/>
      </c>
      <c r="W2636">
        <f>SUM('19_Расчет_аналитики'!W2634:W2635)*'18_Календарь_тарифы'!W10</f>
        <v/>
      </c>
      <c r="X2636">
        <f>SUM('19_Расчет_аналитики'!X2634:X2635)*'18_Календарь_тарифы'!X10</f>
        <v/>
      </c>
      <c r="Y2636">
        <f>SUM('19_Расчет_аналитики'!Y2634:Y2635)*'18_Календарь_тарифы'!Y10</f>
        <v/>
      </c>
      <c r="Z2636">
        <f>SUM('19_Расчет_аналитики'!Z2634:Z2635)*'18_Календарь_тарифы'!Z10</f>
        <v/>
      </c>
      <c r="AA2636">
        <f>SUM('19_Расчет_аналитики'!AA2634:AA2635)*'18_Календарь_тарифы'!AA10</f>
        <v/>
      </c>
      <c r="AB2636">
        <f>SUM('19_Расчет_аналитики'!AB2634:AB2635)*'18_Календарь_тарифы'!AB10</f>
        <v/>
      </c>
      <c r="AC2636">
        <f>SUM('19_Расчет_аналитики'!AC2634:AC2635)*'18_Календарь_тарифы'!AC10</f>
        <v/>
      </c>
      <c r="AD2636">
        <f>SUM('19_Расчет_аналитики'!AD2634:AD2635)*'18_Календарь_тарифы'!AD10</f>
        <v/>
      </c>
      <c r="AE2636">
        <f>SUM('19_Расчет_аналитики'!AE2634:AE2635)*'18_Календарь_тарифы'!AE10</f>
        <v/>
      </c>
      <c r="AF2636">
        <f>SUM('19_Расчет_аналитики'!AF2634:AF2635)*'18_Календарь_тарифы'!AF10</f>
        <v/>
      </c>
      <c r="AG2636">
        <f>SUM('19_Расчет_аналитики'!AG2634:AG2635)*'18_Календарь_тарифы'!AG10</f>
        <v/>
      </c>
      <c r="AH2636">
        <f>SUM('19_Расчет_аналитики'!AH2634:AH2635)*'18_Календарь_тарифы'!AH10</f>
        <v/>
      </c>
      <c r="AI2636">
        <f>SUM('19_Расчет_аналитики'!AI2634:AI2635)*'18_Календарь_тарифы'!AI10</f>
        <v/>
      </c>
      <c r="AJ2636">
        <f>SUM('19_Расчет_аналитики'!AJ2634:AJ2635)*'18_Календарь_тарифы'!AJ10</f>
        <v/>
      </c>
      <c r="AK2636">
        <f>SUM('19_Расчет_аналитики'!AK2634:AK2635)*'18_Календарь_тарифы'!AK10</f>
        <v/>
      </c>
      <c r="AL2636">
        <f>SUM('19_Расчет_аналитики'!AL2634:AL2635)*'18_Календарь_тарифы'!AL10</f>
        <v/>
      </c>
      <c r="AM2636">
        <f>SUM('19_Расчет_аналитики'!AM2634:AM2635)*'18_Календарь_тарифы'!AM10</f>
        <v/>
      </c>
      <c r="AN2636">
        <f>SUM('19_Расчет_аналитики'!AN2634:AN2635)*'18_Календарь_тарифы'!AN10</f>
        <v/>
      </c>
      <c r="AO2636">
        <f>SUM('19_Расчет_аналитики'!AO2634:AO2635)*'18_Календарь_тарифы'!AO10</f>
        <v/>
      </c>
      <c r="AP2636">
        <f>SUM('19_Расчет_аналитики'!AP2634:AP2635)*'18_Календарь_тарифы'!AP10</f>
        <v/>
      </c>
      <c r="AQ2636">
        <f>SUM('19_Расчет_аналитики'!AQ2634:AQ2635)*'18_Календарь_тарифы'!AQ10</f>
        <v/>
      </c>
      <c r="AR2636">
        <f>SUM('19_Расчет_аналитики'!AR2634:AR2635)*'18_Календарь_тарифы'!AR10</f>
        <v/>
      </c>
      <c r="AS2636">
        <f>SUM('19_Расчет_аналитики'!AS2634:AS2635)*'18_Календарь_тарифы'!AS10</f>
        <v/>
      </c>
      <c r="AT2636">
        <f>SUM('19_Расчет_аналитики'!AT2634:AT2635)*'18_Календарь_тарифы'!AT10</f>
        <v/>
      </c>
      <c r="AU2636">
        <f>SUM('19_Расчет_аналитики'!AU2634:AU2635)*'18_Календарь_тарифы'!AU10</f>
        <v/>
      </c>
      <c r="AV2636">
        <f>SUM('19_Расчет_аналитики'!AV2634:AV2635)*'18_Календарь_тарифы'!AV10</f>
        <v/>
      </c>
      <c r="AW2636">
        <f>SUM('19_Расчет_аналитики'!AW2634:AW2635)*'18_Календарь_тарифы'!AW10</f>
        <v/>
      </c>
      <c r="AX2636">
        <f>SUM('19_Расчет_аналитики'!AX2634:AX2635)*'18_Календарь_тарифы'!AX10</f>
        <v/>
      </c>
      <c r="AY2636">
        <f>SUM('19_Расчет_аналитики'!AY2634:AY2635)*'18_Календарь_тарифы'!AY10</f>
        <v/>
      </c>
      <c r="AZ2636">
        <f>SUM('19_Расчет_аналитики'!AZ2634:AZ2635)*'18_Календарь_тарифы'!AZ10</f>
        <v/>
      </c>
      <c r="BA2636">
        <f>SUM('19_Расчет_аналитики'!BA2634:BA2635)*'18_Календарь_тарифы'!BA10</f>
        <v/>
      </c>
      <c r="BB2636">
        <f>SUM('19_Расчет_аналитики'!BB2634:BB2635)*'18_Календарь_тарифы'!BB10</f>
        <v/>
      </c>
      <c r="BC2636">
        <f>SUM('19_Расчет_аналитики'!BC2634:BC2635)*'18_Календарь_тарифы'!BC10</f>
        <v/>
      </c>
      <c r="BD2636">
        <f>SUM('19_Расчет_аналитики'!BD2634:BD2635)*'18_Календарь_тарифы'!BD10</f>
        <v/>
      </c>
      <c r="BE2636">
        <f>SUM('19_Расчет_аналитики'!BE2634:BE2635)*'18_Календарь_тарифы'!BE10</f>
        <v/>
      </c>
      <c r="BF2636">
        <f>SUM('19_Расчет_аналитики'!BF2634:BF2635)*'18_Календарь_тарифы'!BF10</f>
        <v/>
      </c>
      <c r="BG2636">
        <f>SUM('19_Расчет_аналитики'!BG2634:BG2635)*'18_Календарь_тарифы'!BG10</f>
        <v/>
      </c>
      <c r="BH2636">
        <f>SUM('19_Расчет_аналитики'!BH2634:BH2635)*'18_Календарь_тарифы'!BH10</f>
        <v/>
      </c>
      <c r="BI2636">
        <f>SUM('19_Расчет_аналитики'!BI2634:BI2635)*'18_Календарь_тарифы'!BI10</f>
        <v/>
      </c>
      <c r="BJ2636">
        <f>SUM('19_Расчет_аналитики'!BJ2634:BJ2635)*'18_Календарь_тарифы'!BJ10</f>
        <v/>
      </c>
      <c r="BK2636">
        <f>SUM('19_Расчет_аналитики'!BK2634:BK2635)*'18_Календарь_тарифы'!BK10</f>
        <v/>
      </c>
      <c r="BL2636">
        <f>SUM('19_Расчет_аналитики'!BL2634:BL2635)*'18_Календарь_тарифы'!BL10</f>
        <v/>
      </c>
      <c r="BM2636">
        <f>SUM('19_Расчет_аналитики'!BM2634:BM2635)*'18_Календарь_тарифы'!BM10</f>
        <v/>
      </c>
      <c r="BN2636">
        <f>SUM('19_Расчет_аналитики'!BN2634:BN2635)*'18_Календарь_тарифы'!BN10</f>
        <v/>
      </c>
      <c r="BO2636">
        <f>SUM('19_Расчет_аналитики'!BO2634:BO2635)*'18_Календарь_тарифы'!BO10</f>
        <v/>
      </c>
    </row>
    <row r="2637">
      <c r="B2637">
        <f>SUM('19_Расчет_аналитики'!B2634:B2635)*'18_Календарь_тарифы'!B9</f>
        <v/>
      </c>
      <c r="C2637">
        <f>SUM('19_Расчет_аналитики'!C2634:C2635)*'18_Календарь_тарифы'!C9</f>
        <v/>
      </c>
      <c r="D2637">
        <f>SUM('19_Расчет_аналитики'!D2634:D2635)*'18_Календарь_тарифы'!D9</f>
        <v/>
      </c>
      <c r="E2637">
        <f>SUM('19_Расчет_аналитики'!E2634:E2635)*'18_Календарь_тарифы'!E9</f>
        <v/>
      </c>
      <c r="F2637">
        <f>SUM('19_Расчет_аналитики'!F2634:F2635)*'18_Календарь_тарифы'!F9</f>
        <v/>
      </c>
      <c r="G2637">
        <f>SUM('19_Расчет_аналитики'!G2634:G2635)*'18_Календарь_тарифы'!G9</f>
        <v/>
      </c>
      <c r="H2637">
        <f>SUM('19_Расчет_аналитики'!H2634:H2635)*'18_Календарь_тарифы'!H9</f>
        <v/>
      </c>
      <c r="I2637">
        <f>SUM('19_Расчет_аналитики'!I2634:I2635)*'18_Календарь_тарифы'!I9</f>
        <v/>
      </c>
      <c r="J2637">
        <f>SUM('19_Расчет_аналитики'!J2634:J2635)*'18_Календарь_тарифы'!J9</f>
        <v/>
      </c>
      <c r="K2637">
        <f>SUM('19_Расчет_аналитики'!K2634:K2635)*'18_Календарь_тарифы'!K9</f>
        <v/>
      </c>
      <c r="L2637">
        <f>SUM('19_Расчет_аналитики'!L2634:L2635)*'18_Календарь_тарифы'!L9</f>
        <v/>
      </c>
      <c r="M2637">
        <f>SUM('19_Расчет_аналитики'!M2634:M2635)*'18_Календарь_тарифы'!M9</f>
        <v/>
      </c>
      <c r="N2637">
        <f>SUM('19_Расчет_аналитики'!N2634:N2635)*'18_Календарь_тарифы'!N9</f>
        <v/>
      </c>
      <c r="O2637">
        <f>SUM('19_Расчет_аналитики'!O2634:O2635)*'18_Календарь_тарифы'!O9</f>
        <v/>
      </c>
      <c r="P2637">
        <f>SUM('19_Расчет_аналитики'!P2634:P2635)*'18_Календарь_тарифы'!P9</f>
        <v/>
      </c>
      <c r="Q2637">
        <f>SUM('19_Расчет_аналитики'!Q2634:Q2635)*'18_Календарь_тарифы'!Q9</f>
        <v/>
      </c>
      <c r="R2637">
        <f>SUM('19_Расчет_аналитики'!R2634:R2635)*'18_Календарь_тарифы'!R9</f>
        <v/>
      </c>
      <c r="S2637">
        <f>SUM('19_Расчет_аналитики'!S2634:S2635)*'18_Календарь_тарифы'!S9</f>
        <v/>
      </c>
      <c r="T2637">
        <f>SUM('19_Расчет_аналитики'!T2634:T2635)*'18_Календарь_тарифы'!T9</f>
        <v/>
      </c>
      <c r="U2637">
        <f>SUM('19_Расчет_аналитики'!U2634:U2635)*'18_Календарь_тарифы'!U9</f>
        <v/>
      </c>
      <c r="V2637">
        <f>SUM('19_Расчет_аналитики'!V2634:V2635)*'18_Календарь_тарифы'!V9</f>
        <v/>
      </c>
      <c r="W2637">
        <f>SUM('19_Расчет_аналитики'!W2634:W2635)*'18_Календарь_тарифы'!W9</f>
        <v/>
      </c>
      <c r="X2637">
        <f>SUM('19_Расчет_аналитики'!X2634:X2635)*'18_Календарь_тарифы'!X9</f>
        <v/>
      </c>
      <c r="Y2637">
        <f>SUM('19_Расчет_аналитики'!Y2634:Y2635)*'18_Календарь_тарифы'!Y9</f>
        <v/>
      </c>
      <c r="Z2637">
        <f>SUM('19_Расчет_аналитики'!Z2634:Z2635)*'18_Календарь_тарифы'!Z9</f>
        <v/>
      </c>
      <c r="AA2637">
        <f>SUM('19_Расчет_аналитики'!AA2634:AA2635)*'18_Календарь_тарифы'!AA9</f>
        <v/>
      </c>
      <c r="AB2637">
        <f>SUM('19_Расчет_аналитики'!AB2634:AB2635)*'18_Календарь_тарифы'!AB9</f>
        <v/>
      </c>
      <c r="AC2637">
        <f>SUM('19_Расчет_аналитики'!AC2634:AC2635)*'18_Календарь_тарифы'!AC9</f>
        <v/>
      </c>
      <c r="AD2637">
        <f>SUM('19_Расчет_аналитики'!AD2634:AD2635)*'18_Календарь_тарифы'!AD9</f>
        <v/>
      </c>
      <c r="AE2637">
        <f>SUM('19_Расчет_аналитики'!AE2634:AE2635)*'18_Календарь_тарифы'!AE9</f>
        <v/>
      </c>
      <c r="AF2637">
        <f>SUM('19_Расчет_аналитики'!AF2634:AF2635)*'18_Календарь_тарифы'!AF9</f>
        <v/>
      </c>
      <c r="AG2637">
        <f>SUM('19_Расчет_аналитики'!AG2634:AG2635)*'18_Календарь_тарифы'!AG9</f>
        <v/>
      </c>
      <c r="AH2637">
        <f>SUM('19_Расчет_аналитики'!AH2634:AH2635)*'18_Календарь_тарифы'!AH9</f>
        <v/>
      </c>
      <c r="AI2637">
        <f>SUM('19_Расчет_аналитики'!AI2634:AI2635)*'18_Календарь_тарифы'!AI9</f>
        <v/>
      </c>
      <c r="AJ2637">
        <f>SUM('19_Расчет_аналитики'!AJ2634:AJ2635)*'18_Календарь_тарифы'!AJ9</f>
        <v/>
      </c>
      <c r="AK2637">
        <f>SUM('19_Расчет_аналитики'!AK2634:AK2635)*'18_Календарь_тарифы'!AK9</f>
        <v/>
      </c>
      <c r="AL2637">
        <f>SUM('19_Расчет_аналитики'!AL2634:AL2635)*'18_Календарь_тарифы'!AL9</f>
        <v/>
      </c>
      <c r="AM2637">
        <f>SUM('19_Расчет_аналитики'!AM2634:AM2635)*'18_Календарь_тарифы'!AM9</f>
        <v/>
      </c>
      <c r="AN2637">
        <f>SUM('19_Расчет_аналитики'!AN2634:AN2635)*'18_Календарь_тарифы'!AN9</f>
        <v/>
      </c>
      <c r="AO2637">
        <f>SUM('19_Расчет_аналитики'!AO2634:AO2635)*'18_Календарь_тарифы'!AO9</f>
        <v/>
      </c>
      <c r="AP2637">
        <f>SUM('19_Расчет_аналитики'!AP2634:AP2635)*'18_Календарь_тарифы'!AP9</f>
        <v/>
      </c>
      <c r="AQ2637">
        <f>SUM('19_Расчет_аналитики'!AQ2634:AQ2635)*'18_Календарь_тарифы'!AQ9</f>
        <v/>
      </c>
      <c r="AR2637">
        <f>SUM('19_Расчет_аналитики'!AR2634:AR2635)*'18_Календарь_тарифы'!AR9</f>
        <v/>
      </c>
      <c r="AS2637">
        <f>SUM('19_Расчет_аналитики'!AS2634:AS2635)*'18_Календарь_тарифы'!AS9</f>
        <v/>
      </c>
      <c r="AT2637">
        <f>SUM('19_Расчет_аналитики'!AT2634:AT2635)*'18_Календарь_тарифы'!AT9</f>
        <v/>
      </c>
      <c r="AU2637">
        <f>SUM('19_Расчет_аналитики'!AU2634:AU2635)*'18_Календарь_тарифы'!AU9</f>
        <v/>
      </c>
      <c r="AV2637">
        <f>SUM('19_Расчет_аналитики'!AV2634:AV2635)*'18_Календарь_тарифы'!AV9</f>
        <v/>
      </c>
      <c r="AW2637">
        <f>SUM('19_Расчет_аналитики'!AW2634:AW2635)*'18_Календарь_тарифы'!AW9</f>
        <v/>
      </c>
      <c r="AX2637">
        <f>SUM('19_Расчет_аналитики'!AX2634:AX2635)*'18_Календарь_тарифы'!AX9</f>
        <v/>
      </c>
      <c r="AY2637">
        <f>SUM('19_Расчет_аналитики'!AY2634:AY2635)*'18_Календарь_тарифы'!AY9</f>
        <v/>
      </c>
      <c r="AZ2637">
        <f>SUM('19_Расчет_аналитики'!AZ2634:AZ2635)*'18_Календарь_тарифы'!AZ9</f>
        <v/>
      </c>
      <c r="BA2637">
        <f>SUM('19_Расчет_аналитики'!BA2634:BA2635)*'18_Календарь_тарифы'!BA9</f>
        <v/>
      </c>
      <c r="BB2637">
        <f>SUM('19_Расчет_аналитики'!BB2634:BB2635)*'18_Календарь_тарифы'!BB9</f>
        <v/>
      </c>
      <c r="BC2637">
        <f>SUM('19_Расчет_аналитики'!BC2634:BC2635)*'18_Календарь_тарифы'!BC9</f>
        <v/>
      </c>
      <c r="BD2637">
        <f>SUM('19_Расчет_аналитики'!BD2634:BD2635)*'18_Календарь_тарифы'!BD9</f>
        <v/>
      </c>
      <c r="BE2637">
        <f>SUM('19_Расчет_аналитики'!BE2634:BE2635)*'18_Календарь_тарифы'!BE9</f>
        <v/>
      </c>
      <c r="BF2637">
        <f>SUM('19_Расчет_аналитики'!BF2634:BF2635)*'18_Календарь_тарифы'!BF9</f>
        <v/>
      </c>
      <c r="BG2637">
        <f>SUM('19_Расчет_аналитики'!BG2634:BG2635)*'18_Календарь_тарифы'!BG9</f>
        <v/>
      </c>
      <c r="BH2637">
        <f>SUM('19_Расчет_аналитики'!BH2634:BH2635)*'18_Календарь_тарифы'!BH9</f>
        <v/>
      </c>
      <c r="BI2637">
        <f>SUM('19_Расчет_аналитики'!BI2634:BI2635)*'18_Календарь_тарифы'!BI9</f>
        <v/>
      </c>
      <c r="BJ2637">
        <f>SUM('19_Расчет_аналитики'!BJ2634:BJ2635)*'18_Календарь_тарифы'!BJ9</f>
        <v/>
      </c>
      <c r="BK2637">
        <f>SUM('19_Расчет_аналитики'!BK2634:BK2635)*'18_Календарь_тарифы'!BK9</f>
        <v/>
      </c>
      <c r="BL2637">
        <f>SUM('19_Расчет_аналитики'!BL2634:BL2635)*'18_Календарь_тарифы'!BL9</f>
        <v/>
      </c>
      <c r="BM2637">
        <f>SUM('19_Расчет_аналитики'!BM2634:BM2635)*'18_Календарь_тарифы'!BM9</f>
        <v/>
      </c>
      <c r="BN2637">
        <f>SUM('19_Расчет_аналитики'!BN2634:BN2635)*'18_Календарь_тарифы'!BN9</f>
        <v/>
      </c>
      <c r="BO2637">
        <f>SUM('19_Расчет_аналитики'!BO2634:BO2635)*'18_Календарь_тарифы'!BO9</f>
        <v/>
      </c>
    </row>
    <row r="2638"/>
    <row r="2639">
      <c r="B2639">
        <f>'07_Мерч'!B6+'19_Расчет_аналитики'!B2636</f>
        <v/>
      </c>
      <c r="C2639">
        <f>'07_Мерч'!C6+'19_Расчет_аналитики'!C2636</f>
        <v/>
      </c>
      <c r="D2639">
        <f>'07_Мерч'!D6+'19_Расчет_аналитики'!D2636</f>
        <v/>
      </c>
      <c r="E2639">
        <f>'07_Мерч'!E6+'19_Расчет_аналитики'!E2636</f>
        <v/>
      </c>
      <c r="F2639">
        <f>'19_Расчет_аналитики'!F2631+'19_Расчет_аналитики'!F2636</f>
        <v/>
      </c>
      <c r="G2639">
        <f>'19_Расчет_аналитики'!G2631+'19_Расчет_аналитики'!G2636</f>
        <v/>
      </c>
      <c r="H2639">
        <f>'19_Расчет_аналитики'!H2631+'19_Расчет_аналитики'!H2636</f>
        <v/>
      </c>
      <c r="I2639">
        <f>'19_Расчет_аналитики'!I2631+'19_Расчет_аналитики'!I2636</f>
        <v/>
      </c>
      <c r="J2639">
        <f>'19_Расчет_аналитики'!J2631+'19_Расчет_аналитики'!J2636</f>
        <v/>
      </c>
      <c r="K2639">
        <f>'19_Расчет_аналитики'!K2631+'19_Расчет_аналитики'!K2636</f>
        <v/>
      </c>
      <c r="L2639">
        <f>'19_Расчет_аналитики'!L2631+'19_Расчет_аналитики'!L2636</f>
        <v/>
      </c>
      <c r="M2639">
        <f>'19_Расчет_аналитики'!M2631+'19_Расчет_аналитики'!M2636</f>
        <v/>
      </c>
      <c r="N2639">
        <f>'19_Расчет_аналитики'!N2631+'19_Расчет_аналитики'!N2636</f>
        <v/>
      </c>
      <c r="O2639">
        <f>'19_Расчет_аналитики'!O2631+'19_Расчет_аналитики'!O2636</f>
        <v/>
      </c>
      <c r="P2639">
        <f>'19_Расчет_аналитики'!P2631+'19_Расчет_аналитики'!P2636</f>
        <v/>
      </c>
      <c r="Q2639">
        <f>'19_Расчет_аналитики'!Q2631+'19_Расчет_аналитики'!Q2636</f>
        <v/>
      </c>
      <c r="R2639">
        <f>'19_Расчет_аналитики'!R2631+'19_Расчет_аналитики'!R2636</f>
        <v/>
      </c>
      <c r="S2639">
        <f>'19_Расчет_аналитики'!S2631+'19_Расчет_аналитики'!S2636</f>
        <v/>
      </c>
      <c r="T2639">
        <f>'19_Расчет_аналитики'!T2631+'19_Расчет_аналитики'!T2636</f>
        <v/>
      </c>
      <c r="U2639">
        <f>'19_Расчет_аналитики'!U2631+'19_Расчет_аналитики'!U2636</f>
        <v/>
      </c>
      <c r="V2639">
        <f>'19_Расчет_аналитики'!V2631+'19_Расчет_аналитики'!V2636</f>
        <v/>
      </c>
      <c r="W2639">
        <f>'19_Расчет_аналитики'!W2631+'19_Расчет_аналитики'!W2636</f>
        <v/>
      </c>
      <c r="X2639">
        <f>'19_Расчет_аналитики'!X2631+'19_Расчет_аналитики'!X2636</f>
        <v/>
      </c>
      <c r="Y2639">
        <f>'19_Расчет_аналитики'!Y2631+'19_Расчет_аналитики'!Y2636</f>
        <v/>
      </c>
      <c r="Z2639">
        <f>'19_Расчет_аналитики'!Z2631+'19_Расчет_аналитики'!Z2636</f>
        <v/>
      </c>
      <c r="AA2639">
        <f>'19_Расчет_аналитики'!AA2631+'19_Расчет_аналитики'!AA2636</f>
        <v/>
      </c>
      <c r="AB2639">
        <f>'19_Расчет_аналитики'!AB2631+'19_Расчет_аналитики'!AB2636</f>
        <v/>
      </c>
      <c r="AC2639">
        <f>'19_Расчет_аналитики'!AC2631+'19_Расчет_аналитики'!AC2636</f>
        <v/>
      </c>
      <c r="AD2639">
        <f>'19_Расчет_аналитики'!AD2631+'19_Расчет_аналитики'!AD2636</f>
        <v/>
      </c>
      <c r="AE2639">
        <f>'19_Расчет_аналитики'!AE2631+'19_Расчет_аналитики'!AE2636</f>
        <v/>
      </c>
      <c r="AF2639">
        <f>'19_Расчет_аналитики'!AF2631+'19_Расчет_аналитики'!AF2636</f>
        <v/>
      </c>
      <c r="AG2639">
        <f>'19_Расчет_аналитики'!AG2631+'19_Расчет_аналитики'!AG2636</f>
        <v/>
      </c>
      <c r="AH2639">
        <f>'19_Расчет_аналитики'!AH2631+'19_Расчет_аналитики'!AH2636</f>
        <v/>
      </c>
      <c r="AI2639">
        <f>'19_Расчет_аналитики'!AI2631+'19_Расчет_аналитики'!AI2636</f>
        <v/>
      </c>
      <c r="AJ2639">
        <f>'19_Расчет_аналитики'!AJ2631+'19_Расчет_аналитики'!AJ2636</f>
        <v/>
      </c>
      <c r="AK2639">
        <f>'19_Расчет_аналитики'!AK2631+'19_Расчет_аналитики'!AK2636</f>
        <v/>
      </c>
      <c r="AL2639">
        <f>'19_Расчет_аналитики'!AL2631+'19_Расчет_аналитики'!AL2636</f>
        <v/>
      </c>
      <c r="AM2639">
        <f>'19_Расчет_аналитики'!AM2631+'19_Расчет_аналитики'!AM2636</f>
        <v/>
      </c>
      <c r="AN2639">
        <f>'19_Расчет_аналитики'!AN2631+'19_Расчет_аналитики'!AN2636</f>
        <v/>
      </c>
      <c r="AO2639">
        <f>'19_Расчет_аналитики'!AO2631+'19_Расчет_аналитики'!AO2636</f>
        <v/>
      </c>
      <c r="AP2639">
        <f>'19_Расчет_аналитики'!AP2631+'19_Расчет_аналитики'!AP2636</f>
        <v/>
      </c>
      <c r="AQ2639">
        <f>'19_Расчет_аналитики'!AQ2631+'19_Расчет_аналитики'!AQ2636</f>
        <v/>
      </c>
      <c r="AR2639">
        <f>'19_Расчет_аналитики'!AR2631+'19_Расчет_аналитики'!AR2636</f>
        <v/>
      </c>
      <c r="AS2639">
        <f>'19_Расчет_аналитики'!AS2631+'19_Расчет_аналитики'!AS2636</f>
        <v/>
      </c>
      <c r="AT2639">
        <f>'19_Расчет_аналитики'!AT2631+'19_Расчет_аналитики'!AT2636</f>
        <v/>
      </c>
      <c r="AU2639">
        <f>'19_Расчет_аналитики'!AU2631+'19_Расчет_аналитики'!AU2636</f>
        <v/>
      </c>
      <c r="AV2639">
        <f>'19_Расчет_аналитики'!AV2631+'19_Расчет_аналитики'!AV2636</f>
        <v/>
      </c>
      <c r="AW2639">
        <f>'19_Расчет_аналитики'!AW2631+'19_Расчет_аналитики'!AW2636</f>
        <v/>
      </c>
      <c r="AX2639">
        <f>'19_Расчет_аналитики'!AX2631+'19_Расчет_аналитики'!AX2636</f>
        <v/>
      </c>
      <c r="AY2639">
        <f>'19_Расчет_аналитики'!AY2631+'19_Расчет_аналитики'!AY2636</f>
        <v/>
      </c>
      <c r="AZ2639">
        <f>'19_Расчет_аналитики'!AZ2631+'19_Расчет_аналитики'!AZ2636</f>
        <v/>
      </c>
      <c r="BA2639">
        <f>'19_Расчет_аналитики'!BA2631+'19_Расчет_аналитики'!BA2636</f>
        <v/>
      </c>
      <c r="BB2639">
        <f>'19_Расчет_аналитики'!BB2631+'19_Расчет_аналитики'!BB2636</f>
        <v/>
      </c>
      <c r="BC2639">
        <f>'19_Расчет_аналитики'!BC2631+'19_Расчет_аналитики'!BC2636</f>
        <v/>
      </c>
      <c r="BD2639">
        <f>'19_Расчет_аналитики'!BD2631+'19_Расчет_аналитики'!BD2636</f>
        <v/>
      </c>
      <c r="BE2639">
        <f>'19_Расчет_аналитики'!BE2631+'19_Расчет_аналитики'!BE2636</f>
        <v/>
      </c>
      <c r="BF2639">
        <f>'19_Расчет_аналитики'!BF2631+'19_Расчет_аналитики'!BF2636</f>
        <v/>
      </c>
      <c r="BG2639">
        <f>'19_Расчет_аналитики'!BG2631+'19_Расчет_аналитики'!BG2636</f>
        <v/>
      </c>
      <c r="BH2639">
        <f>'19_Расчет_аналитики'!BH2631+'19_Расчет_аналитики'!BH2636</f>
        <v/>
      </c>
      <c r="BI2639">
        <f>'19_Расчет_аналитики'!BI2631+'19_Расчет_аналитики'!BI2636</f>
        <v/>
      </c>
      <c r="BJ2639">
        <f>'19_Расчет_аналитики'!BJ2631+'19_Расчет_аналитики'!BJ2636</f>
        <v/>
      </c>
      <c r="BK2639">
        <f>'19_Расчет_аналитики'!BK2631+'19_Расчет_аналитики'!BK2636</f>
        <v/>
      </c>
      <c r="BL2639">
        <f>'19_Расчет_аналитики'!BL2631+'19_Расчет_аналитики'!BL2636</f>
        <v/>
      </c>
      <c r="BM2639">
        <f>'19_Расчет_аналитики'!BM2631+'19_Расчет_аналитики'!BM2636</f>
        <v/>
      </c>
      <c r="BN2639">
        <f>'19_Расчет_аналитики'!BN2631+'19_Расчет_аналитики'!BN2636</f>
        <v/>
      </c>
      <c r="BO2639">
        <f>'19_Расчет_аналитики'!BO2631+'19_Расчет_аналитики'!BO2636</f>
        <v/>
      </c>
    </row>
    <row r="2640">
      <c r="B2640">
        <f>'19_Расчет_аналитики'!B2639/(1+'01_Вводные'!$B$58)</f>
        <v/>
      </c>
      <c r="C2640">
        <f>'19_Расчет_аналитики'!C2639/(1+'01_Вводные'!$B$58)</f>
        <v/>
      </c>
      <c r="D2640">
        <f>'19_Расчет_аналитики'!D2639/(1+'01_Вводные'!$B$58)</f>
        <v/>
      </c>
      <c r="E2640">
        <f>'19_Расчет_аналитики'!E2639/(1+'01_Вводные'!$B$58)</f>
        <v/>
      </c>
      <c r="F2640">
        <f>'19_Расчет_аналитики'!F2639/(1+'01_Вводные'!$B$58)</f>
        <v/>
      </c>
      <c r="G2640">
        <f>'19_Расчет_аналитики'!G2639/(1+'01_Вводные'!$B$58)</f>
        <v/>
      </c>
      <c r="H2640">
        <f>'19_Расчет_аналитики'!H2639/(1+'01_Вводные'!$B$58)</f>
        <v/>
      </c>
      <c r="I2640">
        <f>'19_Расчет_аналитики'!I2639/(1+'01_Вводные'!$B$58)</f>
        <v/>
      </c>
      <c r="J2640">
        <f>'19_Расчет_аналитики'!J2639/(1+'01_Вводные'!$B$58)</f>
        <v/>
      </c>
      <c r="K2640">
        <f>'19_Расчет_аналитики'!K2639/(1+'01_Вводные'!$B$58)</f>
        <v/>
      </c>
      <c r="L2640">
        <f>'19_Расчет_аналитики'!L2639/(1+'01_Вводные'!$B$58)</f>
        <v/>
      </c>
      <c r="M2640">
        <f>'19_Расчет_аналитики'!M2639/(1+'01_Вводные'!$B$58)</f>
        <v/>
      </c>
      <c r="N2640">
        <f>'19_Расчет_аналитики'!N2639/(1+'01_Вводные'!$B$58)</f>
        <v/>
      </c>
      <c r="O2640">
        <f>'19_Расчет_аналитики'!O2639/(1+'01_Вводные'!$B$58)</f>
        <v/>
      </c>
      <c r="P2640">
        <f>'19_Расчет_аналитики'!P2639/(1+'01_Вводные'!$B$58)</f>
        <v/>
      </c>
      <c r="Q2640">
        <f>'19_Расчет_аналитики'!Q2639/(1+'01_Вводные'!$B$58)</f>
        <v/>
      </c>
      <c r="R2640">
        <f>'19_Расчет_аналитики'!R2639/(1+'01_Вводные'!$B$58)</f>
        <v/>
      </c>
      <c r="S2640">
        <f>'19_Расчет_аналитики'!S2639/(1+'01_Вводные'!$B$58)</f>
        <v/>
      </c>
      <c r="T2640">
        <f>'19_Расчет_аналитики'!T2639/(1+'01_Вводные'!$B$58)</f>
        <v/>
      </c>
      <c r="U2640">
        <f>'19_Расчет_аналитики'!U2639/(1+'01_Вводные'!$B$58)</f>
        <v/>
      </c>
      <c r="V2640">
        <f>'19_Расчет_аналитики'!V2639/(1+'01_Вводные'!$B$58)</f>
        <v/>
      </c>
      <c r="W2640">
        <f>'19_Расчет_аналитики'!W2639/(1+'01_Вводные'!$B$58)</f>
        <v/>
      </c>
      <c r="X2640">
        <f>'19_Расчет_аналитики'!X2639/(1+'01_Вводные'!$B$58)</f>
        <v/>
      </c>
      <c r="Y2640">
        <f>'19_Расчет_аналитики'!Y2639/(1+'01_Вводные'!$B$58)</f>
        <v/>
      </c>
      <c r="Z2640">
        <f>'19_Расчет_аналитики'!Z2639/(1+'01_Вводные'!$B$58)</f>
        <v/>
      </c>
      <c r="AA2640">
        <f>'19_Расчет_аналитики'!AA2639/(1+'01_Вводные'!$B$58)</f>
        <v/>
      </c>
      <c r="AB2640">
        <f>'19_Расчет_аналитики'!AB2639/(1+'01_Вводные'!$B$58)</f>
        <v/>
      </c>
      <c r="AC2640">
        <f>'19_Расчет_аналитики'!AC2639/(1+'01_Вводные'!$B$58)</f>
        <v/>
      </c>
      <c r="AD2640">
        <f>'19_Расчет_аналитики'!AD2639/(1+'01_Вводные'!$B$58)</f>
        <v/>
      </c>
      <c r="AE2640">
        <f>'19_Расчет_аналитики'!AE2639/(1+'01_Вводные'!$B$58)</f>
        <v/>
      </c>
      <c r="AF2640">
        <f>'19_Расчет_аналитики'!AF2639/(1+'01_Вводные'!$B$58)</f>
        <v/>
      </c>
      <c r="AG2640">
        <f>'19_Расчет_аналитики'!AG2639/(1+'01_Вводные'!$B$58)</f>
        <v/>
      </c>
      <c r="AH2640">
        <f>'19_Расчет_аналитики'!AH2639/(1+'01_Вводные'!$B$58)</f>
        <v/>
      </c>
      <c r="AI2640">
        <f>'19_Расчет_аналитики'!AI2639/(1+'01_Вводные'!$B$58)</f>
        <v/>
      </c>
      <c r="AJ2640">
        <f>'19_Расчет_аналитики'!AJ2639/(1+'01_Вводные'!$B$58)</f>
        <v/>
      </c>
      <c r="AK2640">
        <f>'19_Расчет_аналитики'!AK2639/(1+'01_Вводные'!$B$58)</f>
        <v/>
      </c>
      <c r="AL2640">
        <f>'19_Расчет_аналитики'!AL2639/(1+'01_Вводные'!$B$58)</f>
        <v/>
      </c>
      <c r="AM2640">
        <f>'19_Расчет_аналитики'!AM2639/(1+'01_Вводные'!$B$58)</f>
        <v/>
      </c>
      <c r="AN2640">
        <f>'19_Расчет_аналитики'!AN2639/(1+'01_Вводные'!$B$58)</f>
        <v/>
      </c>
      <c r="AO2640">
        <f>'19_Расчет_аналитики'!AO2639/(1+'01_Вводные'!$B$58)</f>
        <v/>
      </c>
      <c r="AP2640">
        <f>'19_Расчет_аналитики'!AP2639/(1+'01_Вводные'!$B$58)</f>
        <v/>
      </c>
      <c r="AQ2640">
        <f>'19_Расчет_аналитики'!AQ2639/(1+'01_Вводные'!$B$58)</f>
        <v/>
      </c>
      <c r="AR2640">
        <f>'19_Расчет_аналитики'!AR2639/(1+'01_Вводные'!$B$58)</f>
        <v/>
      </c>
      <c r="AS2640">
        <f>'19_Расчет_аналитики'!AS2639/(1+'01_Вводные'!$B$58)</f>
        <v/>
      </c>
      <c r="AT2640">
        <f>'19_Расчет_аналитики'!AT2639/(1+'01_Вводные'!$B$58)</f>
        <v/>
      </c>
      <c r="AU2640">
        <f>'19_Расчет_аналитики'!AU2639/(1+'01_Вводные'!$B$58)</f>
        <v/>
      </c>
      <c r="AV2640">
        <f>'19_Расчет_аналитики'!AV2639/(1+'01_Вводные'!$B$58)</f>
        <v/>
      </c>
      <c r="AW2640">
        <f>'19_Расчет_аналитики'!AW2639/(1+'01_Вводные'!$B$58)</f>
        <v/>
      </c>
      <c r="AX2640">
        <f>'19_Расчет_аналитики'!AX2639/(1+'01_Вводные'!$B$58)</f>
        <v/>
      </c>
      <c r="AY2640">
        <f>'19_Расчет_аналитики'!AY2639/(1+'01_Вводные'!$B$58)</f>
        <v/>
      </c>
      <c r="AZ2640">
        <f>'19_Расчет_аналитики'!AZ2639/(1+'01_Вводные'!$B$58)</f>
        <v/>
      </c>
      <c r="BA2640">
        <f>'19_Расчет_аналитики'!BA2639/(1+'01_Вводные'!$B$58)</f>
        <v/>
      </c>
      <c r="BB2640">
        <f>'19_Расчет_аналитики'!BB2639/(1+'01_Вводные'!$B$58)</f>
        <v/>
      </c>
      <c r="BC2640">
        <f>'19_Расчет_аналитики'!BC2639/(1+'01_Вводные'!$B$58)</f>
        <v/>
      </c>
      <c r="BD2640">
        <f>'19_Расчет_аналитики'!BD2639/(1+'01_Вводные'!$B$58)</f>
        <v/>
      </c>
      <c r="BE2640">
        <f>'19_Расчет_аналитики'!BE2639/(1+'01_Вводные'!$B$58)</f>
        <v/>
      </c>
      <c r="BF2640">
        <f>'19_Расчет_аналитики'!BF2639/(1+'01_Вводные'!$B$58)</f>
        <v/>
      </c>
      <c r="BG2640">
        <f>'19_Расчет_аналитики'!BG2639/(1+'01_Вводные'!$B$58)</f>
        <v/>
      </c>
      <c r="BH2640">
        <f>'19_Расчет_аналитики'!BH2639/(1+'01_Вводные'!$B$58)</f>
        <v/>
      </c>
      <c r="BI2640">
        <f>'19_Расчет_аналитики'!BI2639/(1+'01_Вводные'!$B$58)</f>
        <v/>
      </c>
      <c r="BJ2640">
        <f>'19_Расчет_аналитики'!BJ2639/(1+'01_Вводные'!$B$58)</f>
        <v/>
      </c>
      <c r="BK2640">
        <f>'19_Расчет_аналитики'!BK2639/(1+'01_Вводные'!$B$58)</f>
        <v/>
      </c>
      <c r="BL2640">
        <f>'19_Расчет_аналитики'!BL2639/(1+'01_Вводные'!$B$58)</f>
        <v/>
      </c>
      <c r="BM2640">
        <f>'19_Расчет_аналитики'!BM2639/(1+'01_Вводные'!$B$58)</f>
        <v/>
      </c>
      <c r="BN2640">
        <f>'19_Расчет_аналитики'!BN2639/(1+'01_Вводные'!$B$58)</f>
        <v/>
      </c>
      <c r="BO2640">
        <f>'19_Расчет_аналитики'!BO2639/(1+'01_Вводные'!$B$58)</f>
        <v/>
      </c>
    </row>
    <row r="2641">
      <c r="B2641">
        <f>'07_Мерч'!B7+'19_Расчет_аналитики'!B2637</f>
        <v/>
      </c>
      <c r="C2641">
        <f>'07_Мерч'!C7+'19_Расчет_аналитики'!C2637</f>
        <v/>
      </c>
      <c r="D2641">
        <f>'07_Мерч'!D7+'19_Расчет_аналитики'!D2637</f>
        <v/>
      </c>
      <c r="E2641">
        <f>'07_Мерч'!E7+'19_Расчет_аналитики'!E2637</f>
        <v/>
      </c>
      <c r="F2641">
        <f>'19_Расчет_аналитики'!F2632+'19_Расчет_аналитики'!F2637</f>
        <v/>
      </c>
      <c r="G2641">
        <f>'19_Расчет_аналитики'!G2632+'19_Расчет_аналитики'!G2637</f>
        <v/>
      </c>
      <c r="H2641">
        <f>'19_Расчет_аналитики'!H2632+'19_Расчет_аналитики'!H2637</f>
        <v/>
      </c>
      <c r="I2641">
        <f>'19_Расчет_аналитики'!I2632+'19_Расчет_аналитики'!I2637</f>
        <v/>
      </c>
      <c r="J2641">
        <f>'19_Расчет_аналитики'!J2632+'19_Расчет_аналитики'!J2637</f>
        <v/>
      </c>
      <c r="K2641">
        <f>'19_Расчет_аналитики'!K2632+'19_Расчет_аналитики'!K2637</f>
        <v/>
      </c>
      <c r="L2641">
        <f>'19_Расчет_аналитики'!L2632+'19_Расчет_аналитики'!L2637</f>
        <v/>
      </c>
      <c r="M2641">
        <f>'19_Расчет_аналитики'!M2632+'19_Расчет_аналитики'!M2637</f>
        <v/>
      </c>
      <c r="N2641">
        <f>'19_Расчет_аналитики'!N2632+'19_Расчет_аналитики'!N2637</f>
        <v/>
      </c>
      <c r="O2641">
        <f>'19_Расчет_аналитики'!O2632+'19_Расчет_аналитики'!O2637</f>
        <v/>
      </c>
      <c r="P2641">
        <f>'19_Расчет_аналитики'!P2632+'19_Расчет_аналитики'!P2637</f>
        <v/>
      </c>
      <c r="Q2641">
        <f>'19_Расчет_аналитики'!Q2632+'19_Расчет_аналитики'!Q2637</f>
        <v/>
      </c>
      <c r="R2641">
        <f>'19_Расчет_аналитики'!R2632+'19_Расчет_аналитики'!R2637</f>
        <v/>
      </c>
      <c r="S2641">
        <f>'19_Расчет_аналитики'!S2632+'19_Расчет_аналитики'!S2637</f>
        <v/>
      </c>
      <c r="T2641">
        <f>'19_Расчет_аналитики'!T2632+'19_Расчет_аналитики'!T2637</f>
        <v/>
      </c>
      <c r="U2641">
        <f>'19_Расчет_аналитики'!U2632+'19_Расчет_аналитики'!U2637</f>
        <v/>
      </c>
      <c r="V2641">
        <f>'19_Расчет_аналитики'!V2632+'19_Расчет_аналитики'!V2637</f>
        <v/>
      </c>
      <c r="W2641">
        <f>'19_Расчет_аналитики'!W2632+'19_Расчет_аналитики'!W2637</f>
        <v/>
      </c>
      <c r="X2641">
        <f>'19_Расчет_аналитики'!X2632+'19_Расчет_аналитики'!X2637</f>
        <v/>
      </c>
      <c r="Y2641">
        <f>'19_Расчет_аналитики'!Y2632+'19_Расчет_аналитики'!Y2637</f>
        <v/>
      </c>
      <c r="Z2641">
        <f>'19_Расчет_аналитики'!Z2632+'19_Расчет_аналитики'!Z2637</f>
        <v/>
      </c>
      <c r="AA2641">
        <f>'19_Расчет_аналитики'!AA2632+'19_Расчет_аналитики'!AA2637</f>
        <v/>
      </c>
      <c r="AB2641">
        <f>'19_Расчет_аналитики'!AB2632+'19_Расчет_аналитики'!AB2637</f>
        <v/>
      </c>
      <c r="AC2641">
        <f>'19_Расчет_аналитики'!AC2632+'19_Расчет_аналитики'!AC2637</f>
        <v/>
      </c>
      <c r="AD2641">
        <f>'19_Расчет_аналитики'!AD2632+'19_Расчет_аналитики'!AD2637</f>
        <v/>
      </c>
      <c r="AE2641">
        <f>'19_Расчет_аналитики'!AE2632+'19_Расчет_аналитики'!AE2637</f>
        <v/>
      </c>
      <c r="AF2641">
        <f>'19_Расчет_аналитики'!AF2632+'19_Расчет_аналитики'!AF2637</f>
        <v/>
      </c>
      <c r="AG2641">
        <f>'19_Расчет_аналитики'!AG2632+'19_Расчет_аналитики'!AG2637</f>
        <v/>
      </c>
      <c r="AH2641">
        <f>'19_Расчет_аналитики'!AH2632+'19_Расчет_аналитики'!AH2637</f>
        <v/>
      </c>
      <c r="AI2641">
        <f>'19_Расчет_аналитики'!AI2632+'19_Расчет_аналитики'!AI2637</f>
        <v/>
      </c>
      <c r="AJ2641">
        <f>'19_Расчет_аналитики'!AJ2632+'19_Расчет_аналитики'!AJ2637</f>
        <v/>
      </c>
      <c r="AK2641">
        <f>'19_Расчет_аналитики'!AK2632+'19_Расчет_аналитики'!AK2637</f>
        <v/>
      </c>
      <c r="AL2641">
        <f>'19_Расчет_аналитики'!AL2632+'19_Расчет_аналитики'!AL2637</f>
        <v/>
      </c>
      <c r="AM2641">
        <f>'19_Расчет_аналитики'!AM2632+'19_Расчет_аналитики'!AM2637</f>
        <v/>
      </c>
      <c r="AN2641">
        <f>'19_Расчет_аналитики'!AN2632+'19_Расчет_аналитики'!AN2637</f>
        <v/>
      </c>
      <c r="AO2641">
        <f>'19_Расчет_аналитики'!AO2632+'19_Расчет_аналитики'!AO2637</f>
        <v/>
      </c>
      <c r="AP2641">
        <f>'19_Расчет_аналитики'!AP2632+'19_Расчет_аналитики'!AP2637</f>
        <v/>
      </c>
      <c r="AQ2641">
        <f>'19_Расчет_аналитики'!AQ2632+'19_Расчет_аналитики'!AQ2637</f>
        <v/>
      </c>
      <c r="AR2641">
        <f>'19_Расчет_аналитики'!AR2632+'19_Расчет_аналитики'!AR2637</f>
        <v/>
      </c>
      <c r="AS2641">
        <f>'19_Расчет_аналитики'!AS2632+'19_Расчет_аналитики'!AS2637</f>
        <v/>
      </c>
      <c r="AT2641">
        <f>'19_Расчет_аналитики'!AT2632+'19_Расчет_аналитики'!AT2637</f>
        <v/>
      </c>
      <c r="AU2641">
        <f>'19_Расчет_аналитики'!AU2632+'19_Расчет_аналитики'!AU2637</f>
        <v/>
      </c>
      <c r="AV2641">
        <f>'19_Расчет_аналитики'!AV2632+'19_Расчет_аналитики'!AV2637</f>
        <v/>
      </c>
      <c r="AW2641">
        <f>'19_Расчет_аналитики'!AW2632+'19_Расчет_аналитики'!AW2637</f>
        <v/>
      </c>
      <c r="AX2641">
        <f>'19_Расчет_аналитики'!AX2632+'19_Расчет_аналитики'!AX2637</f>
        <v/>
      </c>
      <c r="AY2641">
        <f>'19_Расчет_аналитики'!AY2632+'19_Расчет_аналитики'!AY2637</f>
        <v/>
      </c>
      <c r="AZ2641">
        <f>'19_Расчет_аналитики'!AZ2632+'19_Расчет_аналитики'!AZ2637</f>
        <v/>
      </c>
      <c r="BA2641">
        <f>'19_Расчет_аналитики'!BA2632+'19_Расчет_аналитики'!BA2637</f>
        <v/>
      </c>
      <c r="BB2641">
        <f>'19_Расчет_аналитики'!BB2632+'19_Расчет_аналитики'!BB2637</f>
        <v/>
      </c>
      <c r="BC2641">
        <f>'19_Расчет_аналитики'!BC2632+'19_Расчет_аналитики'!BC2637</f>
        <v/>
      </c>
      <c r="BD2641">
        <f>'19_Расчет_аналитики'!BD2632+'19_Расчет_аналитики'!BD2637</f>
        <v/>
      </c>
      <c r="BE2641">
        <f>'19_Расчет_аналитики'!BE2632+'19_Расчет_аналитики'!BE2637</f>
        <v/>
      </c>
      <c r="BF2641">
        <f>'19_Расчет_аналитики'!BF2632+'19_Расчет_аналитики'!BF2637</f>
        <v/>
      </c>
      <c r="BG2641">
        <f>'19_Расчет_аналитики'!BG2632+'19_Расчет_аналитики'!BG2637</f>
        <v/>
      </c>
      <c r="BH2641">
        <f>'19_Расчет_аналитики'!BH2632+'19_Расчет_аналитики'!BH2637</f>
        <v/>
      </c>
      <c r="BI2641">
        <f>'19_Расчет_аналитики'!BI2632+'19_Расчет_аналитики'!BI2637</f>
        <v/>
      </c>
      <c r="BJ2641">
        <f>'19_Расчет_аналитики'!BJ2632+'19_Расчет_аналитики'!BJ2637</f>
        <v/>
      </c>
      <c r="BK2641">
        <f>'19_Расчет_аналитики'!BK2632+'19_Расчет_аналитики'!BK2637</f>
        <v/>
      </c>
      <c r="BL2641">
        <f>'19_Расчет_аналитики'!BL2632+'19_Расчет_аналитики'!BL2637</f>
        <v/>
      </c>
      <c r="BM2641">
        <f>'19_Расчет_аналитики'!BM2632+'19_Расчет_аналитики'!BM2637</f>
        <v/>
      </c>
      <c r="BN2641">
        <f>'19_Расчет_аналитики'!BN2632+'19_Расчет_аналитики'!BN2637</f>
        <v/>
      </c>
      <c r="BO2641">
        <f>'19_Расчет_аналитики'!BO2632+'19_Расчет_аналитики'!BO2637</f>
        <v/>
      </c>
    </row>
    <row r="2642">
      <c r="B2642">
        <f>'19_Расчет_аналитики'!B2640*'01_Вводные'!$B$75</f>
        <v/>
      </c>
      <c r="C2642">
        <f>'19_Расчет_аналитики'!C2640*'01_Вводные'!$B$75</f>
        <v/>
      </c>
      <c r="D2642">
        <f>'19_Расчет_аналитики'!D2640*'01_Вводные'!$B$75</f>
        <v/>
      </c>
      <c r="E2642">
        <f>'19_Расчет_аналитики'!E2640*'01_Вводные'!$B$75</f>
        <v/>
      </c>
      <c r="F2642">
        <f>'19_Расчет_аналитики'!F2640*'01_Вводные'!$B$75</f>
        <v/>
      </c>
      <c r="G2642">
        <f>'19_Расчет_аналитики'!G2640*'01_Вводные'!$B$75</f>
        <v/>
      </c>
      <c r="H2642">
        <f>'19_Расчет_аналитики'!H2640*'01_Вводные'!$B$75</f>
        <v/>
      </c>
      <c r="I2642">
        <f>'19_Расчет_аналитики'!I2640*'01_Вводные'!$B$75</f>
        <v/>
      </c>
      <c r="J2642">
        <f>'19_Расчет_аналитики'!J2640*'01_Вводные'!$B$75</f>
        <v/>
      </c>
      <c r="K2642">
        <f>'19_Расчет_аналитики'!K2640*'01_Вводные'!$B$75</f>
        <v/>
      </c>
      <c r="L2642">
        <f>'19_Расчет_аналитики'!L2640*'01_Вводные'!$B$75</f>
        <v/>
      </c>
      <c r="M2642">
        <f>'19_Расчет_аналитики'!M2640*'01_Вводные'!$B$75</f>
        <v/>
      </c>
      <c r="N2642">
        <f>'19_Расчет_аналитики'!N2640*'01_Вводные'!$B$75</f>
        <v/>
      </c>
      <c r="O2642">
        <f>'19_Расчет_аналитики'!O2640*'01_Вводные'!$B$75</f>
        <v/>
      </c>
      <c r="P2642">
        <f>'19_Расчет_аналитики'!P2640*'01_Вводные'!$B$75</f>
        <v/>
      </c>
      <c r="Q2642">
        <f>'19_Расчет_аналитики'!Q2640*'01_Вводные'!$B$75</f>
        <v/>
      </c>
      <c r="R2642">
        <f>'19_Расчет_аналитики'!R2640*'01_Вводные'!$B$75</f>
        <v/>
      </c>
      <c r="S2642">
        <f>'19_Расчет_аналитики'!S2640*'01_Вводные'!$B$75</f>
        <v/>
      </c>
      <c r="T2642">
        <f>'19_Расчет_аналитики'!T2640*'01_Вводные'!$B$75</f>
        <v/>
      </c>
      <c r="U2642">
        <f>'19_Расчет_аналитики'!U2640*'01_Вводные'!$B$75</f>
        <v/>
      </c>
      <c r="V2642">
        <f>'19_Расчет_аналитики'!V2640*'01_Вводные'!$B$75</f>
        <v/>
      </c>
      <c r="W2642">
        <f>'19_Расчет_аналитики'!W2640*'01_Вводные'!$B$75</f>
        <v/>
      </c>
      <c r="X2642">
        <f>'19_Расчет_аналитики'!X2640*'01_Вводные'!$B$75</f>
        <v/>
      </c>
      <c r="Y2642">
        <f>'19_Расчет_аналитики'!Y2640*'01_Вводные'!$B$75</f>
        <v/>
      </c>
      <c r="Z2642">
        <f>'19_Расчет_аналитики'!Z2640*'01_Вводные'!$B$75</f>
        <v/>
      </c>
      <c r="AA2642">
        <f>'19_Расчет_аналитики'!AA2640*'01_Вводные'!$B$75</f>
        <v/>
      </c>
      <c r="AB2642">
        <f>'19_Расчет_аналитики'!AB2640*'01_Вводные'!$B$75</f>
        <v/>
      </c>
      <c r="AC2642">
        <f>'19_Расчет_аналитики'!AC2640*'01_Вводные'!$B$75</f>
        <v/>
      </c>
      <c r="AD2642">
        <f>'19_Расчет_аналитики'!AD2640*'01_Вводные'!$B$75</f>
        <v/>
      </c>
      <c r="AE2642">
        <f>'19_Расчет_аналитики'!AE2640*'01_Вводные'!$B$75</f>
        <v/>
      </c>
      <c r="AF2642">
        <f>'19_Расчет_аналитики'!AF2640*'01_Вводные'!$B$75</f>
        <v/>
      </c>
      <c r="AG2642">
        <f>'19_Расчет_аналитики'!AG2640*'01_Вводные'!$B$75</f>
        <v/>
      </c>
      <c r="AH2642">
        <f>'19_Расчет_аналитики'!AH2640*'01_Вводные'!$B$75</f>
        <v/>
      </c>
      <c r="AI2642">
        <f>'19_Расчет_аналитики'!AI2640*'01_Вводные'!$B$75</f>
        <v/>
      </c>
      <c r="AJ2642">
        <f>'19_Расчет_аналитики'!AJ2640*'01_Вводные'!$B$75</f>
        <v/>
      </c>
      <c r="AK2642">
        <f>'19_Расчет_аналитики'!AK2640*'01_Вводные'!$B$75</f>
        <v/>
      </c>
      <c r="AL2642">
        <f>'19_Расчет_аналитики'!AL2640*'01_Вводные'!$B$75</f>
        <v/>
      </c>
      <c r="AM2642">
        <f>'19_Расчет_аналитики'!AM2640*'01_Вводные'!$B$75</f>
        <v/>
      </c>
      <c r="AN2642">
        <f>'19_Расчет_аналитики'!AN2640*'01_Вводные'!$B$75</f>
        <v/>
      </c>
      <c r="AO2642">
        <f>'19_Расчет_аналитики'!AO2640*'01_Вводные'!$B$75</f>
        <v/>
      </c>
      <c r="AP2642">
        <f>'19_Расчет_аналитики'!AP2640*'01_Вводные'!$B$75</f>
        <v/>
      </c>
      <c r="AQ2642">
        <f>'19_Расчет_аналитики'!AQ2640*'01_Вводные'!$B$75</f>
        <v/>
      </c>
      <c r="AR2642">
        <f>'19_Расчет_аналитики'!AR2640*'01_Вводные'!$B$75</f>
        <v/>
      </c>
      <c r="AS2642">
        <f>'19_Расчет_аналитики'!AS2640*'01_Вводные'!$B$75</f>
        <v/>
      </c>
      <c r="AT2642">
        <f>'19_Расчет_аналитики'!AT2640*'01_Вводные'!$B$75</f>
        <v/>
      </c>
      <c r="AU2642">
        <f>'19_Расчет_аналитики'!AU2640*'01_Вводные'!$B$75</f>
        <v/>
      </c>
      <c r="AV2642">
        <f>'19_Расчет_аналитики'!AV2640*'01_Вводные'!$B$75</f>
        <v/>
      </c>
      <c r="AW2642">
        <f>'19_Расчет_аналитики'!AW2640*'01_Вводные'!$B$75</f>
        <v/>
      </c>
      <c r="AX2642">
        <f>'19_Расчет_аналитики'!AX2640*'01_Вводные'!$B$75</f>
        <v/>
      </c>
      <c r="AY2642">
        <f>'19_Расчет_аналитики'!AY2640*'01_Вводные'!$B$75</f>
        <v/>
      </c>
      <c r="AZ2642">
        <f>'19_Расчет_аналитики'!AZ2640*'01_Вводные'!$B$75</f>
        <v/>
      </c>
      <c r="BA2642">
        <f>'19_Расчет_аналитики'!BA2640*'01_Вводные'!$B$75</f>
        <v/>
      </c>
      <c r="BB2642">
        <f>'19_Расчет_аналитики'!BB2640*'01_Вводные'!$B$75</f>
        <v/>
      </c>
      <c r="BC2642">
        <f>'19_Расчет_аналитики'!BC2640*'01_Вводные'!$B$75</f>
        <v/>
      </c>
      <c r="BD2642">
        <f>'19_Расчет_аналитики'!BD2640*'01_Вводные'!$B$75</f>
        <v/>
      </c>
      <c r="BE2642">
        <f>'19_Расчет_аналитики'!BE2640*'01_Вводные'!$B$75</f>
        <v/>
      </c>
      <c r="BF2642">
        <f>'19_Расчет_аналитики'!BF2640*'01_Вводные'!$B$75</f>
        <v/>
      </c>
      <c r="BG2642">
        <f>'19_Расчет_аналитики'!BG2640*'01_Вводные'!$B$75</f>
        <v/>
      </c>
      <c r="BH2642">
        <f>'19_Расчет_аналитики'!BH2640*'01_Вводные'!$B$75</f>
        <v/>
      </c>
      <c r="BI2642">
        <f>'19_Расчет_аналитики'!BI2640*'01_Вводные'!$B$75</f>
        <v/>
      </c>
      <c r="BJ2642">
        <f>'19_Расчет_аналитики'!BJ2640*'01_Вводные'!$B$75</f>
        <v/>
      </c>
      <c r="BK2642">
        <f>'19_Расчет_аналитики'!BK2640*'01_Вводные'!$B$75</f>
        <v/>
      </c>
      <c r="BL2642">
        <f>'19_Расчет_аналитики'!BL2640*'01_Вводные'!$B$75</f>
        <v/>
      </c>
      <c r="BM2642">
        <f>'19_Расчет_аналитики'!BM2640*'01_Вводные'!$B$75</f>
        <v/>
      </c>
      <c r="BN2642">
        <f>'19_Расчет_аналитики'!BN2640*'01_Вводные'!$B$75</f>
        <v/>
      </c>
      <c r="BO2642">
        <f>'19_Расчет_аналитики'!BO2640*'01_Вводные'!$B$75</f>
        <v/>
      </c>
    </row>
    <row r="2643">
      <c r="B2643">
        <f>MAX(0,'19_Расчет_аналитики'!B2640-'19_Расчет_аналитики'!B2641-'19_Расчет_аналитики'!B2642)</f>
        <v/>
      </c>
      <c r="C2643">
        <f>MAX(0,'19_Расчет_аналитики'!C2640-'19_Расчет_аналитики'!C2641-'19_Расчет_аналитики'!C2642)</f>
        <v/>
      </c>
      <c r="D2643">
        <f>MAX(0,'19_Расчет_аналитики'!D2640-'19_Расчет_аналитики'!D2641-'19_Расчет_аналитики'!D2642)</f>
        <v/>
      </c>
      <c r="E2643">
        <f>MAX(0,'19_Расчет_аналитики'!E2640-'19_Расчет_аналитики'!E2641-'19_Расчет_аналитики'!E2642)</f>
        <v/>
      </c>
      <c r="F2643">
        <f>MAX(0,'19_Расчет_аналитики'!F2640-'19_Расчет_аналитики'!F2641-'19_Расчет_аналитики'!F2642)</f>
        <v/>
      </c>
      <c r="G2643">
        <f>MAX(0,'19_Расчет_аналитики'!G2640-'19_Расчет_аналитики'!G2641-'19_Расчет_аналитики'!G2642)</f>
        <v/>
      </c>
      <c r="H2643">
        <f>MAX(0,'19_Расчет_аналитики'!H2640-'19_Расчет_аналитики'!H2641-'19_Расчет_аналитики'!H2642)</f>
        <v/>
      </c>
      <c r="I2643">
        <f>MAX(0,'19_Расчет_аналитики'!I2640-'19_Расчет_аналитики'!I2641-'19_Расчет_аналитики'!I2642)</f>
        <v/>
      </c>
      <c r="J2643">
        <f>MAX(0,'19_Расчет_аналитики'!J2640-'19_Расчет_аналитики'!J2641-'19_Расчет_аналитики'!J2642)</f>
        <v/>
      </c>
      <c r="K2643">
        <f>MAX(0,'19_Расчет_аналитики'!K2640-'19_Расчет_аналитики'!K2641-'19_Расчет_аналитики'!K2642)</f>
        <v/>
      </c>
      <c r="L2643">
        <f>MAX(0,'19_Расчет_аналитики'!L2640-'19_Расчет_аналитики'!L2641-'19_Расчет_аналитики'!L2642)</f>
        <v/>
      </c>
      <c r="M2643">
        <f>MAX(0,'19_Расчет_аналитики'!M2640-'19_Расчет_аналитики'!M2641-'19_Расчет_аналитики'!M2642)</f>
        <v/>
      </c>
      <c r="N2643">
        <f>MAX(0,'19_Расчет_аналитики'!N2640-'19_Расчет_аналитики'!N2641-'19_Расчет_аналитики'!N2642)</f>
        <v/>
      </c>
      <c r="O2643">
        <f>MAX(0,'19_Расчет_аналитики'!O2640-'19_Расчет_аналитики'!O2641-'19_Расчет_аналитики'!O2642)</f>
        <v/>
      </c>
      <c r="P2643">
        <f>MAX(0,'19_Расчет_аналитики'!P2640-'19_Расчет_аналитики'!P2641-'19_Расчет_аналитики'!P2642)</f>
        <v/>
      </c>
      <c r="Q2643">
        <f>MAX(0,'19_Расчет_аналитики'!Q2640-'19_Расчет_аналитики'!Q2641-'19_Расчет_аналитики'!Q2642)</f>
        <v/>
      </c>
      <c r="R2643">
        <f>MAX(0,'19_Расчет_аналитики'!R2640-'19_Расчет_аналитики'!R2641-'19_Расчет_аналитики'!R2642)</f>
        <v/>
      </c>
      <c r="S2643">
        <f>MAX(0,'19_Расчет_аналитики'!S2640-'19_Расчет_аналитики'!S2641-'19_Расчет_аналитики'!S2642)</f>
        <v/>
      </c>
      <c r="T2643">
        <f>MAX(0,'19_Расчет_аналитики'!T2640-'19_Расчет_аналитики'!T2641-'19_Расчет_аналитики'!T2642)</f>
        <v/>
      </c>
      <c r="U2643">
        <f>MAX(0,'19_Расчет_аналитики'!U2640-'19_Расчет_аналитики'!U2641-'19_Расчет_аналитики'!U2642)</f>
        <v/>
      </c>
      <c r="V2643">
        <f>MAX(0,'19_Расчет_аналитики'!V2640-'19_Расчет_аналитики'!V2641-'19_Расчет_аналитики'!V2642)</f>
        <v/>
      </c>
      <c r="W2643">
        <f>MAX(0,'19_Расчет_аналитики'!W2640-'19_Расчет_аналитики'!W2641-'19_Расчет_аналитики'!W2642)</f>
        <v/>
      </c>
      <c r="X2643">
        <f>MAX(0,'19_Расчет_аналитики'!X2640-'19_Расчет_аналитики'!X2641-'19_Расчет_аналитики'!X2642)</f>
        <v/>
      </c>
      <c r="Y2643">
        <f>MAX(0,'19_Расчет_аналитики'!Y2640-'19_Расчет_аналитики'!Y2641-'19_Расчет_аналитики'!Y2642)</f>
        <v/>
      </c>
      <c r="Z2643">
        <f>MAX(0,'19_Расчет_аналитики'!Z2640-'19_Расчет_аналитики'!Z2641-'19_Расчет_аналитики'!Z2642)</f>
        <v/>
      </c>
      <c r="AA2643">
        <f>MAX(0,'19_Расчет_аналитики'!AA2640-'19_Расчет_аналитики'!AA2641-'19_Расчет_аналитики'!AA2642)</f>
        <v/>
      </c>
      <c r="AB2643">
        <f>MAX(0,'19_Расчет_аналитики'!AB2640-'19_Расчет_аналитики'!AB2641-'19_Расчет_аналитики'!AB2642)</f>
        <v/>
      </c>
      <c r="AC2643">
        <f>MAX(0,'19_Расчет_аналитики'!AC2640-'19_Расчет_аналитики'!AC2641-'19_Расчет_аналитики'!AC2642)</f>
        <v/>
      </c>
      <c r="AD2643">
        <f>MAX(0,'19_Расчет_аналитики'!AD2640-'19_Расчет_аналитики'!AD2641-'19_Расчет_аналитики'!AD2642)</f>
        <v/>
      </c>
      <c r="AE2643">
        <f>MAX(0,'19_Расчет_аналитики'!AE2640-'19_Расчет_аналитики'!AE2641-'19_Расчет_аналитики'!AE2642)</f>
        <v/>
      </c>
      <c r="AF2643">
        <f>MAX(0,'19_Расчет_аналитики'!AF2640-'19_Расчет_аналитики'!AF2641-'19_Расчет_аналитики'!AF2642)</f>
        <v/>
      </c>
      <c r="AG2643">
        <f>MAX(0,'19_Расчет_аналитики'!AG2640-'19_Расчет_аналитики'!AG2641-'19_Расчет_аналитики'!AG2642)</f>
        <v/>
      </c>
      <c r="AH2643">
        <f>MAX(0,'19_Расчет_аналитики'!AH2640-'19_Расчет_аналитики'!AH2641-'19_Расчет_аналитики'!AH2642)</f>
        <v/>
      </c>
      <c r="AI2643">
        <f>MAX(0,'19_Расчет_аналитики'!AI2640-'19_Расчет_аналитики'!AI2641-'19_Расчет_аналитики'!AI2642)</f>
        <v/>
      </c>
      <c r="AJ2643">
        <f>MAX(0,'19_Расчет_аналитики'!AJ2640-'19_Расчет_аналитики'!AJ2641-'19_Расчет_аналитики'!AJ2642)</f>
        <v/>
      </c>
      <c r="AK2643">
        <f>MAX(0,'19_Расчет_аналитики'!AK2640-'19_Расчет_аналитики'!AK2641-'19_Расчет_аналитики'!AK2642)</f>
        <v/>
      </c>
      <c r="AL2643">
        <f>MAX(0,'19_Расчет_аналитики'!AL2640-'19_Расчет_аналитики'!AL2641-'19_Расчет_аналитики'!AL2642)</f>
        <v/>
      </c>
      <c r="AM2643">
        <f>MAX(0,'19_Расчет_аналитики'!AM2640-'19_Расчет_аналитики'!AM2641-'19_Расчет_аналитики'!AM2642)</f>
        <v/>
      </c>
      <c r="AN2643">
        <f>MAX(0,'19_Расчет_аналитики'!AN2640-'19_Расчет_аналитики'!AN2641-'19_Расчет_аналитики'!AN2642)</f>
        <v/>
      </c>
      <c r="AO2643">
        <f>MAX(0,'19_Расчет_аналитики'!AO2640-'19_Расчет_аналитики'!AO2641-'19_Расчет_аналитики'!AO2642)</f>
        <v/>
      </c>
      <c r="AP2643">
        <f>MAX(0,'19_Расчет_аналитики'!AP2640-'19_Расчет_аналитики'!AP2641-'19_Расчет_аналитики'!AP2642)</f>
        <v/>
      </c>
      <c r="AQ2643">
        <f>MAX(0,'19_Расчет_аналитики'!AQ2640-'19_Расчет_аналитики'!AQ2641-'19_Расчет_аналитики'!AQ2642)</f>
        <v/>
      </c>
      <c r="AR2643">
        <f>MAX(0,'19_Расчет_аналитики'!AR2640-'19_Расчет_аналитики'!AR2641-'19_Расчет_аналитики'!AR2642)</f>
        <v/>
      </c>
      <c r="AS2643">
        <f>MAX(0,'19_Расчет_аналитики'!AS2640-'19_Расчет_аналитики'!AS2641-'19_Расчет_аналитики'!AS2642)</f>
        <v/>
      </c>
      <c r="AT2643">
        <f>MAX(0,'19_Расчет_аналитики'!AT2640-'19_Расчет_аналитики'!AT2641-'19_Расчет_аналитики'!AT2642)</f>
        <v/>
      </c>
      <c r="AU2643">
        <f>MAX(0,'19_Расчет_аналитики'!AU2640-'19_Расчет_аналитики'!AU2641-'19_Расчет_аналитики'!AU2642)</f>
        <v/>
      </c>
      <c r="AV2643">
        <f>MAX(0,'19_Расчет_аналитики'!AV2640-'19_Расчет_аналитики'!AV2641-'19_Расчет_аналитики'!AV2642)</f>
        <v/>
      </c>
      <c r="AW2643">
        <f>MAX(0,'19_Расчет_аналитики'!AW2640-'19_Расчет_аналитики'!AW2641-'19_Расчет_аналитики'!AW2642)</f>
        <v/>
      </c>
      <c r="AX2643">
        <f>MAX(0,'19_Расчет_аналитики'!AX2640-'19_Расчет_аналитики'!AX2641-'19_Расчет_аналитики'!AX2642)</f>
        <v/>
      </c>
      <c r="AY2643">
        <f>MAX(0,'19_Расчет_аналитики'!AY2640-'19_Расчет_аналитики'!AY2641-'19_Расчет_аналитики'!AY2642)</f>
        <v/>
      </c>
      <c r="AZ2643">
        <f>MAX(0,'19_Расчет_аналитики'!AZ2640-'19_Расчет_аналитики'!AZ2641-'19_Расчет_аналитики'!AZ2642)</f>
        <v/>
      </c>
      <c r="BA2643">
        <f>MAX(0,'19_Расчет_аналитики'!BA2640-'19_Расчет_аналитики'!BA2641-'19_Расчет_аналитики'!BA2642)</f>
        <v/>
      </c>
      <c r="BB2643">
        <f>MAX(0,'19_Расчет_аналитики'!BB2640-'19_Расчет_аналитики'!BB2641-'19_Расчет_аналитики'!BB2642)</f>
        <v/>
      </c>
      <c r="BC2643">
        <f>MAX(0,'19_Расчет_аналитики'!BC2640-'19_Расчет_аналитики'!BC2641-'19_Расчет_аналитики'!BC2642)</f>
        <v/>
      </c>
      <c r="BD2643">
        <f>MAX(0,'19_Расчет_аналитики'!BD2640-'19_Расчет_аналитики'!BD2641-'19_Расчет_аналитики'!BD2642)</f>
        <v/>
      </c>
      <c r="BE2643">
        <f>MAX(0,'19_Расчет_аналитики'!BE2640-'19_Расчет_аналитики'!BE2641-'19_Расчет_аналитики'!BE2642)</f>
        <v/>
      </c>
      <c r="BF2643">
        <f>MAX(0,'19_Расчет_аналитики'!BF2640-'19_Расчет_аналитики'!BF2641-'19_Расчет_аналитики'!BF2642)</f>
        <v/>
      </c>
      <c r="BG2643">
        <f>MAX(0,'19_Расчет_аналитики'!BG2640-'19_Расчет_аналитики'!BG2641-'19_Расчет_аналитики'!BG2642)</f>
        <v/>
      </c>
      <c r="BH2643">
        <f>MAX(0,'19_Расчет_аналитики'!BH2640-'19_Расчет_аналитики'!BH2641-'19_Расчет_аналитики'!BH2642)</f>
        <v/>
      </c>
      <c r="BI2643">
        <f>MAX(0,'19_Расчет_аналитики'!BI2640-'19_Расчет_аналитики'!BI2641-'19_Расчет_аналитики'!BI2642)</f>
        <v/>
      </c>
      <c r="BJ2643">
        <f>MAX(0,'19_Расчет_аналитики'!BJ2640-'19_Расчет_аналитики'!BJ2641-'19_Расчет_аналитики'!BJ2642)</f>
        <v/>
      </c>
      <c r="BK2643">
        <f>MAX(0,'19_Расчет_аналитики'!BK2640-'19_Расчет_аналитики'!BK2641-'19_Расчет_аналитики'!BK2642)</f>
        <v/>
      </c>
      <c r="BL2643">
        <f>MAX(0,'19_Расчет_аналитики'!BL2640-'19_Расчет_аналитики'!BL2641-'19_Расчет_аналитики'!BL2642)</f>
        <v/>
      </c>
      <c r="BM2643">
        <f>MAX(0,'19_Расчет_аналитики'!BM2640-'19_Расчет_аналитики'!BM2641-'19_Расчет_аналитики'!BM2642)</f>
        <v/>
      </c>
      <c r="BN2643">
        <f>MAX(0,'19_Расчет_аналитики'!BN2640-'19_Расчет_аналитики'!BN2641-'19_Расчет_аналитики'!BN2642)</f>
        <v/>
      </c>
      <c r="BO2643">
        <f>MAX(0,'19_Расчет_аналитики'!BO2640-'19_Расчет_аналитики'!BO2641-'19_Расчет_аналитики'!BO2642)</f>
        <v/>
      </c>
    </row>
    <row r="2644">
      <c r="B2644">
        <f>'19_Расчет_аналитики'!B2643*'01_Вводные'!$B$76</f>
        <v/>
      </c>
      <c r="C2644">
        <f>'19_Расчет_аналитики'!C2643*'01_Вводные'!$B$76</f>
        <v/>
      </c>
      <c r="D2644">
        <f>'19_Расчет_аналитики'!D2643*'01_Вводные'!$B$76</f>
        <v/>
      </c>
      <c r="E2644">
        <f>'19_Расчет_аналитики'!E2643*'01_Вводные'!$B$76</f>
        <v/>
      </c>
      <c r="F2644">
        <f>'19_Расчет_аналитики'!F2643*'01_Вводные'!$B$76</f>
        <v/>
      </c>
      <c r="G2644">
        <f>'19_Расчет_аналитики'!G2643*'01_Вводные'!$B$76</f>
        <v/>
      </c>
      <c r="H2644">
        <f>'19_Расчет_аналитики'!H2643*'01_Вводные'!$B$76</f>
        <v/>
      </c>
      <c r="I2644">
        <f>'19_Расчет_аналитики'!I2643*'01_Вводные'!$B$76</f>
        <v/>
      </c>
      <c r="J2644">
        <f>'19_Расчет_аналитики'!J2643*'01_Вводные'!$B$76</f>
        <v/>
      </c>
      <c r="K2644">
        <f>'19_Расчет_аналитики'!K2643*'01_Вводные'!$B$76</f>
        <v/>
      </c>
      <c r="L2644">
        <f>'19_Расчет_аналитики'!L2643*'01_Вводные'!$B$76</f>
        <v/>
      </c>
      <c r="M2644">
        <f>'19_Расчет_аналитики'!M2643*'01_Вводные'!$B$76</f>
        <v/>
      </c>
      <c r="N2644">
        <f>'19_Расчет_аналитики'!N2643*'01_Вводные'!$B$76</f>
        <v/>
      </c>
      <c r="O2644">
        <f>'19_Расчет_аналитики'!O2643*'01_Вводные'!$B$76</f>
        <v/>
      </c>
      <c r="P2644">
        <f>'19_Расчет_аналитики'!P2643*'01_Вводные'!$B$76</f>
        <v/>
      </c>
      <c r="Q2644">
        <f>'19_Расчет_аналитики'!Q2643*'01_Вводные'!$B$76</f>
        <v/>
      </c>
      <c r="R2644">
        <f>'19_Расчет_аналитики'!R2643*'01_Вводные'!$B$76</f>
        <v/>
      </c>
      <c r="S2644">
        <f>'19_Расчет_аналитики'!S2643*'01_Вводные'!$B$76</f>
        <v/>
      </c>
      <c r="T2644">
        <f>'19_Расчет_аналитики'!T2643*'01_Вводные'!$B$76</f>
        <v/>
      </c>
      <c r="U2644">
        <f>'19_Расчет_аналитики'!U2643*'01_Вводные'!$B$76</f>
        <v/>
      </c>
      <c r="V2644">
        <f>'19_Расчет_аналитики'!V2643*'01_Вводные'!$B$76</f>
        <v/>
      </c>
      <c r="W2644">
        <f>'19_Расчет_аналитики'!W2643*'01_Вводные'!$B$76</f>
        <v/>
      </c>
      <c r="X2644">
        <f>'19_Расчет_аналитики'!X2643*'01_Вводные'!$B$76</f>
        <v/>
      </c>
      <c r="Y2644">
        <f>'19_Расчет_аналитики'!Y2643*'01_Вводные'!$B$76</f>
        <v/>
      </c>
      <c r="Z2644">
        <f>'19_Расчет_аналитики'!Z2643*'01_Вводные'!$B$76</f>
        <v/>
      </c>
      <c r="AA2644">
        <f>'19_Расчет_аналитики'!AA2643*'01_Вводные'!$B$76</f>
        <v/>
      </c>
      <c r="AB2644">
        <f>'19_Расчет_аналитики'!AB2643*'01_Вводные'!$B$76</f>
        <v/>
      </c>
      <c r="AC2644">
        <f>'19_Расчет_аналитики'!AC2643*'01_Вводные'!$B$76</f>
        <v/>
      </c>
      <c r="AD2644">
        <f>'19_Расчет_аналитики'!AD2643*'01_Вводные'!$B$76</f>
        <v/>
      </c>
      <c r="AE2644">
        <f>'19_Расчет_аналитики'!AE2643*'01_Вводные'!$B$76</f>
        <v/>
      </c>
      <c r="AF2644">
        <f>'19_Расчет_аналитики'!AF2643*'01_Вводные'!$B$76</f>
        <v/>
      </c>
      <c r="AG2644">
        <f>'19_Расчет_аналитики'!AG2643*'01_Вводные'!$B$76</f>
        <v/>
      </c>
      <c r="AH2644">
        <f>'19_Расчет_аналитики'!AH2643*'01_Вводные'!$B$76</f>
        <v/>
      </c>
      <c r="AI2644">
        <f>'19_Расчет_аналитики'!AI2643*'01_Вводные'!$B$76</f>
        <v/>
      </c>
      <c r="AJ2644">
        <f>'19_Расчет_аналитики'!AJ2643*'01_Вводные'!$B$76</f>
        <v/>
      </c>
      <c r="AK2644">
        <f>'19_Расчет_аналитики'!AK2643*'01_Вводные'!$B$76</f>
        <v/>
      </c>
      <c r="AL2644">
        <f>'19_Расчет_аналитики'!AL2643*'01_Вводные'!$B$76</f>
        <v/>
      </c>
      <c r="AM2644">
        <f>'19_Расчет_аналитики'!AM2643*'01_Вводные'!$B$76</f>
        <v/>
      </c>
      <c r="AN2644">
        <f>'19_Расчет_аналитики'!AN2643*'01_Вводные'!$B$76</f>
        <v/>
      </c>
      <c r="AO2644">
        <f>'19_Расчет_аналитики'!AO2643*'01_Вводные'!$B$76</f>
        <v/>
      </c>
      <c r="AP2644">
        <f>'19_Расчет_аналитики'!AP2643*'01_Вводные'!$B$76</f>
        <v/>
      </c>
      <c r="AQ2644">
        <f>'19_Расчет_аналитики'!AQ2643*'01_Вводные'!$B$76</f>
        <v/>
      </c>
      <c r="AR2644">
        <f>'19_Расчет_аналитики'!AR2643*'01_Вводные'!$B$76</f>
        <v/>
      </c>
      <c r="AS2644">
        <f>'19_Расчет_аналитики'!AS2643*'01_Вводные'!$B$76</f>
        <v/>
      </c>
      <c r="AT2644">
        <f>'19_Расчет_аналитики'!AT2643*'01_Вводные'!$B$76</f>
        <v/>
      </c>
      <c r="AU2644">
        <f>'19_Расчет_аналитики'!AU2643*'01_Вводные'!$B$76</f>
        <v/>
      </c>
      <c r="AV2644">
        <f>'19_Расчет_аналитики'!AV2643*'01_Вводные'!$B$76</f>
        <v/>
      </c>
      <c r="AW2644">
        <f>'19_Расчет_аналитики'!AW2643*'01_Вводные'!$B$76</f>
        <v/>
      </c>
      <c r="AX2644">
        <f>'19_Расчет_аналитики'!AX2643*'01_Вводные'!$B$76</f>
        <v/>
      </c>
      <c r="AY2644">
        <f>'19_Расчет_аналитики'!AY2643*'01_Вводные'!$B$76</f>
        <v/>
      </c>
      <c r="AZ2644">
        <f>'19_Расчет_аналитики'!AZ2643*'01_Вводные'!$B$76</f>
        <v/>
      </c>
      <c r="BA2644">
        <f>'19_Расчет_аналитики'!BA2643*'01_Вводные'!$B$76</f>
        <v/>
      </c>
      <c r="BB2644">
        <f>'19_Расчет_аналитики'!BB2643*'01_Вводные'!$B$76</f>
        <v/>
      </c>
      <c r="BC2644">
        <f>'19_Расчет_аналитики'!BC2643*'01_Вводные'!$B$76</f>
        <v/>
      </c>
      <c r="BD2644">
        <f>'19_Расчет_аналитики'!BD2643*'01_Вводные'!$B$76</f>
        <v/>
      </c>
      <c r="BE2644">
        <f>'19_Расчет_аналитики'!BE2643*'01_Вводные'!$B$76</f>
        <v/>
      </c>
      <c r="BF2644">
        <f>'19_Расчет_аналитики'!BF2643*'01_Вводные'!$B$76</f>
        <v/>
      </c>
      <c r="BG2644">
        <f>'19_Расчет_аналитики'!BG2643*'01_Вводные'!$B$76</f>
        <v/>
      </c>
      <c r="BH2644">
        <f>'19_Расчет_аналитики'!BH2643*'01_Вводные'!$B$76</f>
        <v/>
      </c>
      <c r="BI2644">
        <f>'19_Расчет_аналитики'!BI2643*'01_Вводные'!$B$76</f>
        <v/>
      </c>
      <c r="BJ2644">
        <f>'19_Расчет_аналитики'!BJ2643*'01_Вводные'!$B$76</f>
        <v/>
      </c>
      <c r="BK2644">
        <f>'19_Расчет_аналитики'!BK2643*'01_Вводные'!$B$76</f>
        <v/>
      </c>
      <c r="BL2644">
        <f>'19_Расчет_аналитики'!BL2643*'01_Вводные'!$B$76</f>
        <v/>
      </c>
      <c r="BM2644">
        <f>'19_Расчет_аналитики'!BM2643*'01_Вводные'!$B$76</f>
        <v/>
      </c>
      <c r="BN2644">
        <f>'19_Расчет_аналитики'!BN2643*'01_Вводные'!$B$76</f>
        <v/>
      </c>
      <c r="BO2644">
        <f>'19_Расчет_аналитики'!BO2643*'01_Вводные'!$B$76</f>
        <v/>
      </c>
    </row>
    <row r="2645"/>
    <row r="2646"/>
    <row r="2647">
      <c r="C2647">
        <f>'19_Расчет_аналитики'!B2651</f>
        <v/>
      </c>
      <c r="D2647">
        <f>'19_Расчет_аналитики'!C2651</f>
        <v/>
      </c>
      <c r="E2647">
        <f>'19_Расчет_аналитики'!D2651</f>
        <v/>
      </c>
      <c r="F2647">
        <f>'19_Расчет_аналитики'!E2651</f>
        <v/>
      </c>
      <c r="G2647">
        <f>'19_Расчет_аналитики'!F2651</f>
        <v/>
      </c>
      <c r="H2647">
        <f>'19_Расчет_аналитики'!G2651</f>
        <v/>
      </c>
      <c r="I2647">
        <f>'19_Расчет_аналитики'!H2651</f>
        <v/>
      </c>
      <c r="J2647">
        <f>'19_Расчет_аналитики'!I2651</f>
        <v/>
      </c>
      <c r="K2647">
        <f>'19_Расчет_аналитики'!J2651</f>
        <v/>
      </c>
      <c r="L2647">
        <f>'19_Расчет_аналитики'!K2651</f>
        <v/>
      </c>
      <c r="M2647">
        <f>'19_Расчет_аналитики'!L2651</f>
        <v/>
      </c>
      <c r="N2647">
        <f>'19_Расчет_аналитики'!M2651</f>
        <v/>
      </c>
      <c r="O2647">
        <f>'19_Расчет_аналитики'!N2651</f>
        <v/>
      </c>
      <c r="P2647">
        <f>'19_Расчет_аналитики'!O2651</f>
        <v/>
      </c>
      <c r="Q2647">
        <f>'19_Расчет_аналитики'!P2651</f>
        <v/>
      </c>
      <c r="R2647">
        <f>'19_Расчет_аналитики'!Q2651</f>
        <v/>
      </c>
      <c r="S2647">
        <f>'19_Расчет_аналитики'!R2651</f>
        <v/>
      </c>
      <c r="T2647">
        <f>'19_Расчет_аналитики'!S2651</f>
        <v/>
      </c>
      <c r="U2647">
        <f>'19_Расчет_аналитики'!T2651</f>
        <v/>
      </c>
      <c r="V2647">
        <f>'19_Расчет_аналитики'!U2651</f>
        <v/>
      </c>
      <c r="W2647">
        <f>'19_Расчет_аналитики'!V2651</f>
        <v/>
      </c>
      <c r="X2647">
        <f>'19_Расчет_аналитики'!W2651</f>
        <v/>
      </c>
      <c r="Y2647">
        <f>'19_Расчет_аналитики'!X2651</f>
        <v/>
      </c>
      <c r="Z2647">
        <f>'19_Расчет_аналитики'!Y2651</f>
        <v/>
      </c>
      <c r="AA2647">
        <f>'19_Расчет_аналитики'!Z2651</f>
        <v/>
      </c>
      <c r="AB2647">
        <f>'19_Расчет_аналитики'!AA2651</f>
        <v/>
      </c>
      <c r="AC2647">
        <f>'19_Расчет_аналитики'!AB2651</f>
        <v/>
      </c>
      <c r="AD2647">
        <f>'19_Расчет_аналитики'!AC2651</f>
        <v/>
      </c>
      <c r="AE2647">
        <f>'19_Расчет_аналитики'!AD2651</f>
        <v/>
      </c>
      <c r="AF2647">
        <f>'19_Расчет_аналитики'!AE2651</f>
        <v/>
      </c>
      <c r="AG2647">
        <f>'19_Расчет_аналитики'!AF2651</f>
        <v/>
      </c>
      <c r="AH2647">
        <f>'19_Расчет_аналитики'!AG2651</f>
        <v/>
      </c>
      <c r="AI2647">
        <f>'19_Расчет_аналитики'!AH2651</f>
        <v/>
      </c>
      <c r="AJ2647">
        <f>'19_Расчет_аналитики'!AI2651</f>
        <v/>
      </c>
      <c r="AK2647">
        <f>'19_Расчет_аналитики'!AJ2651</f>
        <v/>
      </c>
      <c r="AL2647">
        <f>'19_Расчет_аналитики'!AK2651</f>
        <v/>
      </c>
      <c r="AM2647">
        <f>'19_Расчет_аналитики'!AL2651</f>
        <v/>
      </c>
      <c r="AN2647">
        <f>'19_Расчет_аналитики'!AM2651</f>
        <v/>
      </c>
      <c r="AO2647">
        <f>'19_Расчет_аналитики'!AN2651</f>
        <v/>
      </c>
      <c r="AP2647">
        <f>'19_Расчет_аналитики'!AO2651</f>
        <v/>
      </c>
      <c r="AQ2647">
        <f>'19_Расчет_аналитики'!AP2651</f>
        <v/>
      </c>
      <c r="AR2647">
        <f>'19_Расчет_аналитики'!AQ2651</f>
        <v/>
      </c>
      <c r="AS2647">
        <f>'19_Расчет_аналитики'!AR2651</f>
        <v/>
      </c>
      <c r="AT2647">
        <f>'19_Расчет_аналитики'!AS2651</f>
        <v/>
      </c>
      <c r="AU2647">
        <f>'19_Расчет_аналитики'!AT2651</f>
        <v/>
      </c>
      <c r="AV2647">
        <f>'19_Расчет_аналитики'!AU2651</f>
        <v/>
      </c>
      <c r="AW2647">
        <f>'19_Расчет_аналитики'!AV2651</f>
        <v/>
      </c>
      <c r="AX2647">
        <f>'19_Расчет_аналитики'!AW2651</f>
        <v/>
      </c>
      <c r="AY2647">
        <f>'19_Расчет_аналитики'!AX2651</f>
        <v/>
      </c>
      <c r="AZ2647">
        <f>'19_Расчет_аналитики'!AY2651</f>
        <v/>
      </c>
      <c r="BA2647">
        <f>'19_Расчет_аналитики'!AZ2651</f>
        <v/>
      </c>
      <c r="BB2647">
        <f>'19_Расчет_аналитики'!BA2651</f>
        <v/>
      </c>
      <c r="BC2647">
        <f>'19_Расчет_аналитики'!BB2651</f>
        <v/>
      </c>
      <c r="BD2647">
        <f>'19_Расчет_аналитики'!BC2651</f>
        <v/>
      </c>
      <c r="BE2647">
        <f>'19_Расчет_аналитики'!BD2651</f>
        <v/>
      </c>
      <c r="BF2647">
        <f>'19_Расчет_аналитики'!BE2651</f>
        <v/>
      </c>
      <c r="BG2647">
        <f>'19_Расчет_аналитики'!BF2651</f>
        <v/>
      </c>
      <c r="BH2647">
        <f>'19_Расчет_аналитики'!BG2651</f>
        <v/>
      </c>
      <c r="BI2647">
        <f>'19_Расчет_аналитики'!BH2651</f>
        <v/>
      </c>
      <c r="BJ2647">
        <f>'19_Расчет_аналитики'!BI2651</f>
        <v/>
      </c>
      <c r="BK2647">
        <f>'19_Расчет_аналитики'!BJ2651</f>
        <v/>
      </c>
      <c r="BL2647">
        <f>'19_Расчет_аналитики'!BK2651</f>
        <v/>
      </c>
      <c r="BM2647">
        <f>'19_Расчет_аналитики'!BL2651</f>
        <v/>
      </c>
      <c r="BN2647">
        <f>'19_Расчет_аналитики'!BM2651</f>
        <v/>
      </c>
      <c r="BO2647">
        <f>'19_Расчет_аналитики'!BN2651</f>
        <v/>
      </c>
    </row>
    <row r="2648">
      <c r="B2648">
        <f>'19_Расчет_аналитики'!B2641</f>
        <v/>
      </c>
      <c r="C2648">
        <f>'19_Расчет_аналитики'!C2641</f>
        <v/>
      </c>
      <c r="D2648">
        <f>'19_Расчет_аналитики'!D2641</f>
        <v/>
      </c>
      <c r="E2648">
        <f>'19_Расчет_аналитики'!E2641</f>
        <v/>
      </c>
      <c r="F2648">
        <f>'19_Расчет_аналитики'!F2641</f>
        <v/>
      </c>
      <c r="G2648">
        <f>'19_Расчет_аналитики'!G2641</f>
        <v/>
      </c>
      <c r="H2648">
        <f>'19_Расчет_аналитики'!H2641</f>
        <v/>
      </c>
      <c r="I2648">
        <f>'19_Расчет_аналитики'!I2641</f>
        <v/>
      </c>
      <c r="J2648">
        <f>'19_Расчет_аналитики'!J2641</f>
        <v/>
      </c>
      <c r="K2648">
        <f>'19_Расчет_аналитики'!K2641</f>
        <v/>
      </c>
      <c r="L2648">
        <f>'19_Расчет_аналитики'!L2641</f>
        <v/>
      </c>
      <c r="M2648">
        <f>'19_Расчет_аналитики'!M2641</f>
        <v/>
      </c>
      <c r="N2648">
        <f>'19_Расчет_аналитики'!N2641</f>
        <v/>
      </c>
      <c r="O2648">
        <f>'19_Расчет_аналитики'!O2641</f>
        <v/>
      </c>
      <c r="P2648">
        <f>'19_Расчет_аналитики'!P2641</f>
        <v/>
      </c>
      <c r="Q2648">
        <f>'19_Расчет_аналитики'!Q2641</f>
        <v/>
      </c>
      <c r="R2648">
        <f>'19_Расчет_аналитики'!R2641</f>
        <v/>
      </c>
      <c r="S2648">
        <f>'19_Расчет_аналитики'!S2641</f>
        <v/>
      </c>
      <c r="T2648">
        <f>'19_Расчет_аналитики'!T2641</f>
        <v/>
      </c>
      <c r="U2648">
        <f>'19_Расчет_аналитики'!U2641</f>
        <v/>
      </c>
      <c r="V2648">
        <f>'19_Расчет_аналитики'!V2641</f>
        <v/>
      </c>
      <c r="W2648">
        <f>'19_Расчет_аналитики'!W2641</f>
        <v/>
      </c>
      <c r="X2648">
        <f>'19_Расчет_аналитики'!X2641</f>
        <v/>
      </c>
      <c r="Y2648">
        <f>'19_Расчет_аналитики'!Y2641</f>
        <v/>
      </c>
      <c r="Z2648">
        <f>'19_Расчет_аналитики'!Z2641</f>
        <v/>
      </c>
      <c r="AA2648">
        <f>'19_Расчет_аналитики'!AA2641</f>
        <v/>
      </c>
      <c r="AB2648">
        <f>'19_Расчет_аналитики'!AB2641</f>
        <v/>
      </c>
      <c r="AC2648">
        <f>'19_Расчет_аналитики'!AC2641</f>
        <v/>
      </c>
      <c r="AD2648">
        <f>'19_Расчет_аналитики'!AD2641</f>
        <v/>
      </c>
      <c r="AE2648">
        <f>'19_Расчет_аналитики'!AE2641</f>
        <v/>
      </c>
      <c r="AF2648">
        <f>'19_Расчет_аналитики'!AF2641</f>
        <v/>
      </c>
      <c r="AG2648">
        <f>'19_Расчет_аналитики'!AG2641</f>
        <v/>
      </c>
      <c r="AH2648">
        <f>'19_Расчет_аналитики'!AH2641</f>
        <v/>
      </c>
      <c r="AI2648">
        <f>'19_Расчет_аналитики'!AI2641</f>
        <v/>
      </c>
      <c r="AJ2648">
        <f>'19_Расчет_аналитики'!AJ2641</f>
        <v/>
      </c>
      <c r="AK2648">
        <f>'19_Расчет_аналитики'!AK2641</f>
        <v/>
      </c>
      <c r="AL2648">
        <f>'19_Расчет_аналитики'!AL2641</f>
        <v/>
      </c>
      <c r="AM2648">
        <f>'19_Расчет_аналитики'!AM2641</f>
        <v/>
      </c>
      <c r="AN2648">
        <f>'19_Расчет_аналитики'!AN2641</f>
        <v/>
      </c>
      <c r="AO2648">
        <f>'19_Расчет_аналитики'!AO2641</f>
        <v/>
      </c>
      <c r="AP2648">
        <f>'19_Расчет_аналитики'!AP2641</f>
        <v/>
      </c>
      <c r="AQ2648">
        <f>'19_Расчет_аналитики'!AQ2641</f>
        <v/>
      </c>
      <c r="AR2648">
        <f>'19_Расчет_аналитики'!AR2641</f>
        <v/>
      </c>
      <c r="AS2648">
        <f>'19_Расчет_аналитики'!AS2641</f>
        <v/>
      </c>
      <c r="AT2648">
        <f>'19_Расчет_аналитики'!AT2641</f>
        <v/>
      </c>
      <c r="AU2648">
        <f>'19_Расчет_аналитики'!AU2641</f>
        <v/>
      </c>
      <c r="AV2648">
        <f>'19_Расчет_аналитики'!AV2641</f>
        <v/>
      </c>
      <c r="AW2648">
        <f>'19_Расчет_аналитики'!AW2641</f>
        <v/>
      </c>
      <c r="AX2648">
        <f>'19_Расчет_аналитики'!AX2641</f>
        <v/>
      </c>
      <c r="AY2648">
        <f>'19_Расчет_аналитики'!AY2641</f>
        <v/>
      </c>
      <c r="AZ2648">
        <f>'19_Расчет_аналитики'!AZ2641</f>
        <v/>
      </c>
      <c r="BA2648">
        <f>'19_Расчет_аналитики'!BA2641</f>
        <v/>
      </c>
      <c r="BB2648">
        <f>'19_Расчет_аналитики'!BB2641</f>
        <v/>
      </c>
      <c r="BC2648">
        <f>'19_Расчет_аналитики'!BC2641</f>
        <v/>
      </c>
      <c r="BD2648">
        <f>'19_Расчет_аналитики'!BD2641</f>
        <v/>
      </c>
      <c r="BE2648">
        <f>'19_Расчет_аналитики'!BE2641</f>
        <v/>
      </c>
      <c r="BF2648">
        <f>'19_Расчет_аналитики'!BF2641</f>
        <v/>
      </c>
      <c r="BG2648">
        <f>'19_Расчет_аналитики'!BG2641</f>
        <v/>
      </c>
      <c r="BH2648">
        <f>'19_Расчет_аналитики'!BH2641</f>
        <v/>
      </c>
      <c r="BI2648">
        <f>'19_Расчет_аналитики'!BI2641</f>
        <v/>
      </c>
      <c r="BJ2648">
        <f>'19_Расчет_аналитики'!BJ2641</f>
        <v/>
      </c>
      <c r="BK2648">
        <f>'19_Расчет_аналитики'!BK2641</f>
        <v/>
      </c>
      <c r="BL2648">
        <f>'19_Расчет_аналитики'!BL2641</f>
        <v/>
      </c>
      <c r="BM2648">
        <f>'19_Расчет_аналитики'!BM2641</f>
        <v/>
      </c>
      <c r="BN2648">
        <f>'19_Расчет_аналитики'!BN2641</f>
        <v/>
      </c>
      <c r="BO2648">
        <f>'19_Расчет_аналитики'!BO2641</f>
        <v/>
      </c>
    </row>
    <row r="2649">
      <c r="B2649">
        <f>SUM(IF('01_Вводные'!$B$80&gt;=1,'19_Расчет_аналитики'!C2641,0),IF('01_Вводные'!$B$80&gt;=2,'19_Расчет_аналитики'!D2641,0),IF('01_Вводные'!$B$80&gt;=3,'19_Расчет_аналитики'!E2641,0),IF('01_Вводные'!$B$80&gt;=4,'19_Расчет_аналитики'!F2641,0),IF('01_Вводные'!$B$80&gt;=5,'19_Расчет_аналитики'!G2641,0),IF('01_Вводные'!$B$80&gt;=6,'19_Расчет_аналитики'!H2641,0))</f>
        <v/>
      </c>
      <c r="C2649">
        <f>SUM(IF('01_Вводные'!$B$80&gt;=1,'19_Расчет_аналитики'!D2641,0),IF('01_Вводные'!$B$80&gt;=2,'19_Расчет_аналитики'!E2641,0),IF('01_Вводные'!$B$80&gt;=3,'19_Расчет_аналитики'!F2641,0),IF('01_Вводные'!$B$80&gt;=4,'19_Расчет_аналитики'!G2641,0),IF('01_Вводные'!$B$80&gt;=5,'19_Расчет_аналитики'!H2641,0),IF('01_Вводные'!$B$80&gt;=6,'19_Расчет_аналитики'!I2641,0))</f>
        <v/>
      </c>
      <c r="D2649">
        <f>SUM(IF('01_Вводные'!$B$80&gt;=1,'19_Расчет_аналитики'!E2641,0),IF('01_Вводные'!$B$80&gt;=2,'19_Расчет_аналитики'!F2641,0),IF('01_Вводные'!$B$80&gt;=3,'19_Расчет_аналитики'!G2641,0),IF('01_Вводные'!$B$80&gt;=4,'19_Расчет_аналитики'!H2641,0),IF('01_Вводные'!$B$80&gt;=5,'19_Расчет_аналитики'!I2641,0),IF('01_Вводные'!$B$80&gt;=6,'19_Расчет_аналитики'!J2641,0))</f>
        <v/>
      </c>
      <c r="E2649">
        <f>SUM(IF('01_Вводные'!$B$80&gt;=1,'19_Расчет_аналитики'!F2641,0),IF('01_Вводные'!$B$80&gt;=2,'19_Расчет_аналитики'!G2641,0),IF('01_Вводные'!$B$80&gt;=3,'19_Расчет_аналитики'!H2641,0),IF('01_Вводные'!$B$80&gt;=4,'19_Расчет_аналитики'!I2641,0),IF('01_Вводные'!$B$80&gt;=5,'19_Расчет_аналитики'!J2641,0),IF('01_Вводные'!$B$80&gt;=6,'19_Расчет_аналитики'!K2641,0))</f>
        <v/>
      </c>
      <c r="F2649">
        <f>SUM(IF('01_Вводные'!$B$80&gt;=1,'19_Расчет_аналитики'!G2641,0),IF('01_Вводные'!$B$80&gt;=2,'19_Расчет_аналитики'!H2641,0),IF('01_Вводные'!$B$80&gt;=3,'19_Расчет_аналитики'!I2641,0),IF('01_Вводные'!$B$80&gt;=4,'19_Расчет_аналитики'!J2641,0),IF('01_Вводные'!$B$80&gt;=5,'19_Расчет_аналитики'!K2641,0),IF('01_Вводные'!$B$80&gt;=6,'19_Расчет_аналитики'!L2641,0))</f>
        <v/>
      </c>
      <c r="G2649">
        <f>SUM(IF('01_Вводные'!$B$80&gt;=1,'19_Расчет_аналитики'!H2641,0),IF('01_Вводные'!$B$80&gt;=2,'19_Расчет_аналитики'!I2641,0),IF('01_Вводные'!$B$80&gt;=3,'19_Расчет_аналитики'!J2641,0),IF('01_Вводные'!$B$80&gt;=4,'19_Расчет_аналитики'!K2641,0),IF('01_Вводные'!$B$80&gt;=5,'19_Расчет_аналитики'!L2641,0),IF('01_Вводные'!$B$80&gt;=6,'19_Расчет_аналитики'!M2641,0))</f>
        <v/>
      </c>
      <c r="H2649">
        <f>SUM(IF('01_Вводные'!$B$80&gt;=1,'19_Расчет_аналитики'!I2641,0),IF('01_Вводные'!$B$80&gt;=2,'19_Расчет_аналитики'!J2641,0),IF('01_Вводные'!$B$80&gt;=3,'19_Расчет_аналитики'!K2641,0),IF('01_Вводные'!$B$80&gt;=4,'19_Расчет_аналитики'!L2641,0),IF('01_Вводные'!$B$80&gt;=5,'19_Расчет_аналитики'!M2641,0),IF('01_Вводные'!$B$80&gt;=6,'19_Расчет_аналитики'!N2641,0))</f>
        <v/>
      </c>
      <c r="I2649">
        <f>SUM(IF('01_Вводные'!$B$80&gt;=1,'19_Расчет_аналитики'!J2641,0),IF('01_Вводные'!$B$80&gt;=2,'19_Расчет_аналитики'!K2641,0),IF('01_Вводные'!$B$80&gt;=3,'19_Расчет_аналитики'!L2641,0),IF('01_Вводные'!$B$80&gt;=4,'19_Расчет_аналитики'!M2641,0),IF('01_Вводные'!$B$80&gt;=5,'19_Расчет_аналитики'!N2641,0),IF('01_Вводные'!$B$80&gt;=6,'19_Расчет_аналитики'!O2641,0))</f>
        <v/>
      </c>
      <c r="J2649">
        <f>SUM(IF('01_Вводные'!$B$80&gt;=1,'19_Расчет_аналитики'!K2641,0),IF('01_Вводные'!$B$80&gt;=2,'19_Расчет_аналитики'!L2641,0),IF('01_Вводные'!$B$80&gt;=3,'19_Расчет_аналитики'!M2641,0),IF('01_Вводные'!$B$80&gt;=4,'19_Расчет_аналитики'!N2641,0),IF('01_Вводные'!$B$80&gt;=5,'19_Расчет_аналитики'!O2641,0),IF('01_Вводные'!$B$80&gt;=6,'19_Расчет_аналитики'!P2641,0))</f>
        <v/>
      </c>
      <c r="K2649">
        <f>SUM(IF('01_Вводные'!$B$80&gt;=1,'19_Расчет_аналитики'!L2641,0),IF('01_Вводные'!$B$80&gt;=2,'19_Расчет_аналитики'!M2641,0),IF('01_Вводные'!$B$80&gt;=3,'19_Расчет_аналитики'!N2641,0),IF('01_Вводные'!$B$80&gt;=4,'19_Расчет_аналитики'!O2641,0),IF('01_Вводные'!$B$80&gt;=5,'19_Расчет_аналитики'!P2641,0),IF('01_Вводные'!$B$80&gt;=6,'19_Расчет_аналитики'!Q2641,0))</f>
        <v/>
      </c>
      <c r="L2649">
        <f>SUM(IF('01_Вводные'!$B$80&gt;=1,'19_Расчет_аналитики'!M2641,0),IF('01_Вводные'!$B$80&gt;=2,'19_Расчет_аналитики'!N2641,0),IF('01_Вводные'!$B$80&gt;=3,'19_Расчет_аналитики'!O2641,0),IF('01_Вводные'!$B$80&gt;=4,'19_Расчет_аналитики'!P2641,0),IF('01_Вводные'!$B$80&gt;=5,'19_Расчет_аналитики'!Q2641,0),IF('01_Вводные'!$B$80&gt;=6,'19_Расчет_аналитики'!R2641,0))</f>
        <v/>
      </c>
      <c r="M2649">
        <f>SUM(IF('01_Вводные'!$B$80&gt;=1,'19_Расчет_аналитики'!N2641,0),IF('01_Вводные'!$B$80&gt;=2,'19_Расчет_аналитики'!O2641,0),IF('01_Вводные'!$B$80&gt;=3,'19_Расчет_аналитики'!P2641,0),IF('01_Вводные'!$B$80&gt;=4,'19_Расчет_аналитики'!Q2641,0),IF('01_Вводные'!$B$80&gt;=5,'19_Расчет_аналитики'!R2641,0),IF('01_Вводные'!$B$80&gt;=6,'19_Расчет_аналитики'!S2641,0))</f>
        <v/>
      </c>
      <c r="N2649">
        <f>SUM(IF('01_Вводные'!$B$80&gt;=1,'19_Расчет_аналитики'!O2641,0),IF('01_Вводные'!$B$80&gt;=2,'19_Расчет_аналитики'!P2641,0),IF('01_Вводные'!$B$80&gt;=3,'19_Расчет_аналитики'!Q2641,0),IF('01_Вводные'!$B$80&gt;=4,'19_Расчет_аналитики'!R2641,0),IF('01_Вводные'!$B$80&gt;=5,'19_Расчет_аналитики'!S2641,0),IF('01_Вводные'!$B$80&gt;=6,'19_Расчет_аналитики'!T2641,0))</f>
        <v/>
      </c>
      <c r="O2649">
        <f>SUM(IF('01_Вводные'!$B$80&gt;=1,'19_Расчет_аналитики'!P2641,0),IF('01_Вводные'!$B$80&gt;=2,'19_Расчет_аналитики'!Q2641,0),IF('01_Вводные'!$B$80&gt;=3,'19_Расчет_аналитики'!R2641,0),IF('01_Вводные'!$B$80&gt;=4,'19_Расчет_аналитики'!S2641,0),IF('01_Вводные'!$B$80&gt;=5,'19_Расчет_аналитики'!T2641,0),IF('01_Вводные'!$B$80&gt;=6,'19_Расчет_аналитики'!U2641,0))</f>
        <v/>
      </c>
      <c r="P2649">
        <f>SUM(IF('01_Вводные'!$B$80&gt;=1,'19_Расчет_аналитики'!Q2641,0),IF('01_Вводные'!$B$80&gt;=2,'19_Расчет_аналитики'!R2641,0),IF('01_Вводные'!$B$80&gt;=3,'19_Расчет_аналитики'!S2641,0),IF('01_Вводные'!$B$80&gt;=4,'19_Расчет_аналитики'!T2641,0),IF('01_Вводные'!$B$80&gt;=5,'19_Расчет_аналитики'!U2641,0),IF('01_Вводные'!$B$80&gt;=6,'19_Расчет_аналитики'!V2641,0))</f>
        <v/>
      </c>
      <c r="Q2649">
        <f>SUM(IF('01_Вводные'!$B$80&gt;=1,'19_Расчет_аналитики'!R2641,0),IF('01_Вводные'!$B$80&gt;=2,'19_Расчет_аналитики'!S2641,0),IF('01_Вводные'!$B$80&gt;=3,'19_Расчет_аналитики'!T2641,0),IF('01_Вводные'!$B$80&gt;=4,'19_Расчет_аналитики'!U2641,0),IF('01_Вводные'!$B$80&gt;=5,'19_Расчет_аналитики'!V2641,0),IF('01_Вводные'!$B$80&gt;=6,'19_Расчет_аналитики'!W2641,0))</f>
        <v/>
      </c>
      <c r="R2649">
        <f>SUM(IF('01_Вводные'!$B$80&gt;=1,'19_Расчет_аналитики'!S2641,0),IF('01_Вводные'!$B$80&gt;=2,'19_Расчет_аналитики'!T2641,0),IF('01_Вводные'!$B$80&gt;=3,'19_Расчет_аналитики'!U2641,0),IF('01_Вводные'!$B$80&gt;=4,'19_Расчет_аналитики'!V2641,0),IF('01_Вводные'!$B$80&gt;=5,'19_Расчет_аналитики'!W2641,0),IF('01_Вводные'!$B$80&gt;=6,'19_Расчет_аналитики'!X2641,0))</f>
        <v/>
      </c>
      <c r="S2649">
        <f>SUM(IF('01_Вводные'!$B$80&gt;=1,'19_Расчет_аналитики'!T2641,0),IF('01_Вводные'!$B$80&gt;=2,'19_Расчет_аналитики'!U2641,0),IF('01_Вводные'!$B$80&gt;=3,'19_Расчет_аналитики'!V2641,0),IF('01_Вводные'!$B$80&gt;=4,'19_Расчет_аналитики'!W2641,0),IF('01_Вводные'!$B$80&gt;=5,'19_Расчет_аналитики'!X2641,0),IF('01_Вводные'!$B$80&gt;=6,'19_Расчет_аналитики'!Y2641,0))</f>
        <v/>
      </c>
      <c r="T2649">
        <f>SUM(IF('01_Вводные'!$B$80&gt;=1,'19_Расчет_аналитики'!U2641,0),IF('01_Вводные'!$B$80&gt;=2,'19_Расчет_аналитики'!V2641,0),IF('01_Вводные'!$B$80&gt;=3,'19_Расчет_аналитики'!W2641,0),IF('01_Вводные'!$B$80&gt;=4,'19_Расчет_аналитики'!X2641,0),IF('01_Вводные'!$B$80&gt;=5,'19_Расчет_аналитики'!Y2641,0),IF('01_Вводные'!$B$80&gt;=6,'19_Расчет_аналитики'!Z2641,0))</f>
        <v/>
      </c>
      <c r="U2649">
        <f>SUM(IF('01_Вводные'!$B$80&gt;=1,'19_Расчет_аналитики'!V2641,0),IF('01_Вводные'!$B$80&gt;=2,'19_Расчет_аналитики'!W2641,0),IF('01_Вводные'!$B$80&gt;=3,'19_Расчет_аналитики'!X2641,0),IF('01_Вводные'!$B$80&gt;=4,'19_Расчет_аналитики'!Y2641,0),IF('01_Вводные'!$B$80&gt;=5,'19_Расчет_аналитики'!Z2641,0),IF('01_Вводные'!$B$80&gt;=6,'19_Расчет_аналитики'!AA2641,0))</f>
        <v/>
      </c>
      <c r="V2649">
        <f>SUM(IF('01_Вводные'!$B$80&gt;=1,'19_Расчет_аналитики'!W2641,0),IF('01_Вводные'!$B$80&gt;=2,'19_Расчет_аналитики'!X2641,0),IF('01_Вводные'!$B$80&gt;=3,'19_Расчет_аналитики'!Y2641,0),IF('01_Вводные'!$B$80&gt;=4,'19_Расчет_аналитики'!Z2641,0),IF('01_Вводные'!$B$80&gt;=5,'19_Расчет_аналитики'!AA2641,0),IF('01_Вводные'!$B$80&gt;=6,'19_Расчет_аналитики'!AB2641,0))</f>
        <v/>
      </c>
      <c r="W2649">
        <f>SUM(IF('01_Вводные'!$B$80&gt;=1,'19_Расчет_аналитики'!X2641,0),IF('01_Вводные'!$B$80&gt;=2,'19_Расчет_аналитики'!Y2641,0),IF('01_Вводные'!$B$80&gt;=3,'19_Расчет_аналитики'!Z2641,0),IF('01_Вводные'!$B$80&gt;=4,'19_Расчет_аналитики'!AA2641,0),IF('01_Вводные'!$B$80&gt;=5,'19_Расчет_аналитики'!AB2641,0),IF('01_Вводные'!$B$80&gt;=6,'19_Расчет_аналитики'!AC2641,0))</f>
        <v/>
      </c>
      <c r="X2649">
        <f>SUM(IF('01_Вводные'!$B$80&gt;=1,'19_Расчет_аналитики'!Y2641,0),IF('01_Вводные'!$B$80&gt;=2,'19_Расчет_аналитики'!Z2641,0),IF('01_Вводные'!$B$80&gt;=3,'19_Расчет_аналитики'!AA2641,0),IF('01_Вводные'!$B$80&gt;=4,'19_Расчет_аналитики'!AB2641,0),IF('01_Вводные'!$B$80&gt;=5,'19_Расчет_аналитики'!AC2641,0),IF('01_Вводные'!$B$80&gt;=6,'19_Расчет_аналитики'!AD2641,0))</f>
        <v/>
      </c>
      <c r="Y2649">
        <f>SUM(IF('01_Вводные'!$B$80&gt;=1,'19_Расчет_аналитики'!Z2641,0),IF('01_Вводные'!$B$80&gt;=2,'19_Расчет_аналитики'!AA2641,0),IF('01_Вводные'!$B$80&gt;=3,'19_Расчет_аналитики'!AB2641,0),IF('01_Вводные'!$B$80&gt;=4,'19_Расчет_аналитики'!AC2641,0),IF('01_Вводные'!$B$80&gt;=5,'19_Расчет_аналитики'!AD2641,0),IF('01_Вводные'!$B$80&gt;=6,'19_Расчет_аналитики'!AE2641,0))</f>
        <v/>
      </c>
      <c r="Z2649">
        <f>SUM(IF('01_Вводные'!$B$80&gt;=1,'19_Расчет_аналитики'!AA2641,0),IF('01_Вводные'!$B$80&gt;=2,'19_Расчет_аналитики'!AB2641,0),IF('01_Вводные'!$B$80&gt;=3,'19_Расчет_аналитики'!AC2641,0),IF('01_Вводные'!$B$80&gt;=4,'19_Расчет_аналитики'!AD2641,0),IF('01_Вводные'!$B$80&gt;=5,'19_Расчет_аналитики'!AE2641,0),IF('01_Вводные'!$B$80&gt;=6,'19_Расчет_аналитики'!AF2641,0))</f>
        <v/>
      </c>
      <c r="AA2649">
        <f>SUM(IF('01_Вводные'!$B$80&gt;=1,'19_Расчет_аналитики'!AB2641,0),IF('01_Вводные'!$B$80&gt;=2,'19_Расчет_аналитики'!AC2641,0),IF('01_Вводные'!$B$80&gt;=3,'19_Расчет_аналитики'!AD2641,0),IF('01_Вводные'!$B$80&gt;=4,'19_Расчет_аналитики'!AE2641,0),IF('01_Вводные'!$B$80&gt;=5,'19_Расчет_аналитики'!AF2641,0),IF('01_Вводные'!$B$80&gt;=6,'19_Расчет_аналитики'!AG2641,0))</f>
        <v/>
      </c>
      <c r="AB2649">
        <f>SUM(IF('01_Вводные'!$B$80&gt;=1,'19_Расчет_аналитики'!AC2641,0),IF('01_Вводные'!$B$80&gt;=2,'19_Расчет_аналитики'!AD2641,0),IF('01_Вводные'!$B$80&gt;=3,'19_Расчет_аналитики'!AE2641,0),IF('01_Вводные'!$B$80&gt;=4,'19_Расчет_аналитики'!AF2641,0),IF('01_Вводные'!$B$80&gt;=5,'19_Расчет_аналитики'!AG2641,0),IF('01_Вводные'!$B$80&gt;=6,'19_Расчет_аналитики'!AH2641,0))</f>
        <v/>
      </c>
      <c r="AC2649">
        <f>SUM(IF('01_Вводные'!$B$80&gt;=1,'19_Расчет_аналитики'!AD2641,0),IF('01_Вводные'!$B$80&gt;=2,'19_Расчет_аналитики'!AE2641,0),IF('01_Вводные'!$B$80&gt;=3,'19_Расчет_аналитики'!AF2641,0),IF('01_Вводные'!$B$80&gt;=4,'19_Расчет_аналитики'!AG2641,0),IF('01_Вводные'!$B$80&gt;=5,'19_Расчет_аналитики'!AH2641,0),IF('01_Вводные'!$B$80&gt;=6,'19_Расчет_аналитики'!AI2641,0))</f>
        <v/>
      </c>
      <c r="AD2649">
        <f>SUM(IF('01_Вводные'!$B$80&gt;=1,'19_Расчет_аналитики'!AE2641,0),IF('01_Вводные'!$B$80&gt;=2,'19_Расчет_аналитики'!AF2641,0),IF('01_Вводные'!$B$80&gt;=3,'19_Расчет_аналитики'!AG2641,0),IF('01_Вводные'!$B$80&gt;=4,'19_Расчет_аналитики'!AH2641,0),IF('01_Вводные'!$B$80&gt;=5,'19_Расчет_аналитики'!AI2641,0),IF('01_Вводные'!$B$80&gt;=6,'19_Расчет_аналитики'!AJ2641,0))</f>
        <v/>
      </c>
      <c r="AE2649">
        <f>SUM(IF('01_Вводные'!$B$80&gt;=1,'19_Расчет_аналитики'!AF2641,0),IF('01_Вводные'!$B$80&gt;=2,'19_Расчет_аналитики'!AG2641,0),IF('01_Вводные'!$B$80&gt;=3,'19_Расчет_аналитики'!AH2641,0),IF('01_Вводные'!$B$80&gt;=4,'19_Расчет_аналитики'!AI2641,0),IF('01_Вводные'!$B$80&gt;=5,'19_Расчет_аналитики'!AJ2641,0),IF('01_Вводные'!$B$80&gt;=6,'19_Расчет_аналитики'!AK2641,0))</f>
        <v/>
      </c>
      <c r="AF2649">
        <f>SUM(IF('01_Вводные'!$B$80&gt;=1,'19_Расчет_аналитики'!AG2641,0),IF('01_Вводные'!$B$80&gt;=2,'19_Расчет_аналитики'!AH2641,0),IF('01_Вводные'!$B$80&gt;=3,'19_Расчет_аналитики'!AI2641,0),IF('01_Вводные'!$B$80&gt;=4,'19_Расчет_аналитики'!AJ2641,0),IF('01_Вводные'!$B$80&gt;=5,'19_Расчет_аналитики'!AK2641,0),IF('01_Вводные'!$B$80&gt;=6,'19_Расчет_аналитики'!AL2641,0))</f>
        <v/>
      </c>
      <c r="AG2649">
        <f>SUM(IF('01_Вводные'!$B$80&gt;=1,'19_Расчет_аналитики'!AH2641,0),IF('01_Вводные'!$B$80&gt;=2,'19_Расчет_аналитики'!AI2641,0),IF('01_Вводные'!$B$80&gt;=3,'19_Расчет_аналитики'!AJ2641,0),IF('01_Вводные'!$B$80&gt;=4,'19_Расчет_аналитики'!AK2641,0),IF('01_Вводные'!$B$80&gt;=5,'19_Расчет_аналитики'!AL2641,0),IF('01_Вводные'!$B$80&gt;=6,'19_Расчет_аналитики'!AM2641,0))</f>
        <v/>
      </c>
      <c r="AH2649">
        <f>SUM(IF('01_Вводные'!$B$80&gt;=1,'19_Расчет_аналитики'!AI2641,0),IF('01_Вводные'!$B$80&gt;=2,'19_Расчет_аналитики'!AJ2641,0),IF('01_Вводные'!$B$80&gt;=3,'19_Расчет_аналитики'!AK2641,0),IF('01_Вводные'!$B$80&gt;=4,'19_Расчет_аналитики'!AL2641,0),IF('01_Вводные'!$B$80&gt;=5,'19_Расчет_аналитики'!AM2641,0),IF('01_Вводные'!$B$80&gt;=6,'19_Расчет_аналитики'!AN2641,0))</f>
        <v/>
      </c>
      <c r="AI2649">
        <f>SUM(IF('01_Вводные'!$B$80&gt;=1,'19_Расчет_аналитики'!AJ2641,0),IF('01_Вводные'!$B$80&gt;=2,'19_Расчет_аналитики'!AK2641,0),IF('01_Вводные'!$B$80&gt;=3,'19_Расчет_аналитики'!AL2641,0),IF('01_Вводные'!$B$80&gt;=4,'19_Расчет_аналитики'!AM2641,0),IF('01_Вводные'!$B$80&gt;=5,'19_Расчет_аналитики'!AN2641,0),IF('01_Вводные'!$B$80&gt;=6,'19_Расчет_аналитики'!AO2641,0))</f>
        <v/>
      </c>
      <c r="AJ2649">
        <f>SUM(IF('01_Вводные'!$B$80&gt;=1,'19_Расчет_аналитики'!AK2641,0),IF('01_Вводные'!$B$80&gt;=2,'19_Расчет_аналитики'!AL2641,0),IF('01_Вводные'!$B$80&gt;=3,'19_Расчет_аналитики'!AM2641,0),IF('01_Вводные'!$B$80&gt;=4,'19_Расчет_аналитики'!AN2641,0),IF('01_Вводные'!$B$80&gt;=5,'19_Расчет_аналитики'!AO2641,0),IF('01_Вводные'!$B$80&gt;=6,'19_Расчет_аналитики'!AP2641,0))</f>
        <v/>
      </c>
      <c r="AK2649">
        <f>SUM(IF('01_Вводные'!$B$80&gt;=1,'19_Расчет_аналитики'!AL2641,0),IF('01_Вводные'!$B$80&gt;=2,'19_Расчет_аналитики'!AM2641,0),IF('01_Вводные'!$B$80&gt;=3,'19_Расчет_аналитики'!AN2641,0),IF('01_Вводные'!$B$80&gt;=4,'19_Расчет_аналитики'!AO2641,0),IF('01_Вводные'!$B$80&gt;=5,'19_Расчет_аналитики'!AP2641,0),IF('01_Вводные'!$B$80&gt;=6,'19_Расчет_аналитики'!AQ2641,0))</f>
        <v/>
      </c>
      <c r="AL2649">
        <f>SUM(IF('01_Вводные'!$B$80&gt;=1,'19_Расчет_аналитики'!AM2641,0),IF('01_Вводные'!$B$80&gt;=2,'19_Расчет_аналитики'!AN2641,0),IF('01_Вводные'!$B$80&gt;=3,'19_Расчет_аналитики'!AO2641,0),IF('01_Вводные'!$B$80&gt;=4,'19_Расчет_аналитики'!AP2641,0),IF('01_Вводные'!$B$80&gt;=5,'19_Расчет_аналитики'!AQ2641,0),IF('01_Вводные'!$B$80&gt;=6,'19_Расчет_аналитики'!AR2641,0))</f>
        <v/>
      </c>
      <c r="AM2649">
        <f>SUM(IF('01_Вводные'!$B$80&gt;=1,'19_Расчет_аналитики'!AN2641,0),IF('01_Вводные'!$B$80&gt;=2,'19_Расчет_аналитики'!AO2641,0),IF('01_Вводные'!$B$80&gt;=3,'19_Расчет_аналитики'!AP2641,0),IF('01_Вводные'!$B$80&gt;=4,'19_Расчет_аналитики'!AQ2641,0),IF('01_Вводные'!$B$80&gt;=5,'19_Расчет_аналитики'!AR2641,0),IF('01_Вводные'!$B$80&gt;=6,'19_Расчет_аналитики'!AS2641,0))</f>
        <v/>
      </c>
      <c r="AN2649">
        <f>SUM(IF('01_Вводные'!$B$80&gt;=1,'19_Расчет_аналитики'!AO2641,0),IF('01_Вводные'!$B$80&gt;=2,'19_Расчет_аналитики'!AP2641,0),IF('01_Вводные'!$B$80&gt;=3,'19_Расчет_аналитики'!AQ2641,0),IF('01_Вводные'!$B$80&gt;=4,'19_Расчет_аналитики'!AR2641,0),IF('01_Вводные'!$B$80&gt;=5,'19_Расчет_аналитики'!AS2641,0),IF('01_Вводные'!$B$80&gt;=6,'19_Расчет_аналитики'!AT2641,0))</f>
        <v/>
      </c>
      <c r="AO2649">
        <f>SUM(IF('01_Вводные'!$B$80&gt;=1,'19_Расчет_аналитики'!AP2641,0),IF('01_Вводные'!$B$80&gt;=2,'19_Расчет_аналитики'!AQ2641,0),IF('01_Вводные'!$B$80&gt;=3,'19_Расчет_аналитики'!AR2641,0),IF('01_Вводные'!$B$80&gt;=4,'19_Расчет_аналитики'!AS2641,0),IF('01_Вводные'!$B$80&gt;=5,'19_Расчет_аналитики'!AT2641,0),IF('01_Вводные'!$B$80&gt;=6,'19_Расчет_аналитики'!AU2641,0))</f>
        <v/>
      </c>
      <c r="AP2649">
        <f>SUM(IF('01_Вводные'!$B$80&gt;=1,'19_Расчет_аналитики'!AQ2641,0),IF('01_Вводные'!$B$80&gt;=2,'19_Расчет_аналитики'!AR2641,0),IF('01_Вводные'!$B$80&gt;=3,'19_Расчет_аналитики'!AS2641,0),IF('01_Вводные'!$B$80&gt;=4,'19_Расчет_аналитики'!AT2641,0),IF('01_Вводные'!$B$80&gt;=5,'19_Расчет_аналитики'!AU2641,0),IF('01_Вводные'!$B$80&gt;=6,'19_Расчет_аналитики'!AV2641,0))</f>
        <v/>
      </c>
      <c r="AQ2649">
        <f>SUM(IF('01_Вводные'!$B$80&gt;=1,'19_Расчет_аналитики'!AR2641,0),IF('01_Вводные'!$B$80&gt;=2,'19_Расчет_аналитики'!AS2641,0),IF('01_Вводные'!$B$80&gt;=3,'19_Расчет_аналитики'!AT2641,0),IF('01_Вводные'!$B$80&gt;=4,'19_Расчет_аналитики'!AU2641,0),IF('01_Вводные'!$B$80&gt;=5,'19_Расчет_аналитики'!AV2641,0),IF('01_Вводные'!$B$80&gt;=6,'19_Расчет_аналитики'!AW2641,0))</f>
        <v/>
      </c>
      <c r="AR2649">
        <f>SUM(IF('01_Вводные'!$B$80&gt;=1,'19_Расчет_аналитики'!AS2641,0),IF('01_Вводные'!$B$80&gt;=2,'19_Расчет_аналитики'!AT2641,0),IF('01_Вводные'!$B$80&gt;=3,'19_Расчет_аналитики'!AU2641,0),IF('01_Вводные'!$B$80&gt;=4,'19_Расчет_аналитики'!AV2641,0),IF('01_Вводные'!$B$80&gt;=5,'19_Расчет_аналитики'!AW2641,0),IF('01_Вводные'!$B$80&gt;=6,'19_Расчет_аналитики'!AX2641,0))</f>
        <v/>
      </c>
      <c r="AS2649">
        <f>SUM(IF('01_Вводные'!$B$80&gt;=1,'19_Расчет_аналитики'!AT2641,0),IF('01_Вводные'!$B$80&gt;=2,'19_Расчет_аналитики'!AU2641,0),IF('01_Вводные'!$B$80&gt;=3,'19_Расчет_аналитики'!AV2641,0),IF('01_Вводные'!$B$80&gt;=4,'19_Расчет_аналитики'!AW2641,0),IF('01_Вводные'!$B$80&gt;=5,'19_Расчет_аналитики'!AX2641,0),IF('01_Вводные'!$B$80&gt;=6,'19_Расчет_аналитики'!AY2641,0))</f>
        <v/>
      </c>
      <c r="AT2649">
        <f>SUM(IF('01_Вводные'!$B$80&gt;=1,'19_Расчет_аналитики'!AU2641,0),IF('01_Вводные'!$B$80&gt;=2,'19_Расчет_аналитики'!AV2641,0),IF('01_Вводные'!$B$80&gt;=3,'19_Расчет_аналитики'!AW2641,0),IF('01_Вводные'!$B$80&gt;=4,'19_Расчет_аналитики'!AX2641,0),IF('01_Вводные'!$B$80&gt;=5,'19_Расчет_аналитики'!AY2641,0),IF('01_Вводные'!$B$80&gt;=6,'19_Расчет_аналитики'!AZ2641,0))</f>
        <v/>
      </c>
      <c r="AU2649">
        <f>SUM(IF('01_Вводные'!$B$80&gt;=1,'19_Расчет_аналитики'!AV2641,0),IF('01_Вводные'!$B$80&gt;=2,'19_Расчет_аналитики'!AW2641,0),IF('01_Вводные'!$B$80&gt;=3,'19_Расчет_аналитики'!AX2641,0),IF('01_Вводные'!$B$80&gt;=4,'19_Расчет_аналитики'!AY2641,0),IF('01_Вводные'!$B$80&gt;=5,'19_Расчет_аналитики'!AZ2641,0),IF('01_Вводные'!$B$80&gt;=6,'19_Расчет_аналитики'!BA2641,0))</f>
        <v/>
      </c>
      <c r="AV2649">
        <f>SUM(IF('01_Вводные'!$B$80&gt;=1,'19_Расчет_аналитики'!AW2641,0),IF('01_Вводные'!$B$80&gt;=2,'19_Расчет_аналитики'!AX2641,0),IF('01_Вводные'!$B$80&gt;=3,'19_Расчет_аналитики'!AY2641,0),IF('01_Вводные'!$B$80&gt;=4,'19_Расчет_аналитики'!AZ2641,0),IF('01_Вводные'!$B$80&gt;=5,'19_Расчет_аналитики'!BA2641,0),IF('01_Вводные'!$B$80&gt;=6,'19_Расчет_аналитики'!BB2641,0))</f>
        <v/>
      </c>
      <c r="AW2649">
        <f>SUM(IF('01_Вводные'!$B$80&gt;=1,'19_Расчет_аналитики'!AX2641,0),IF('01_Вводные'!$B$80&gt;=2,'19_Расчет_аналитики'!AY2641,0),IF('01_Вводные'!$B$80&gt;=3,'19_Расчет_аналитики'!AZ2641,0),IF('01_Вводные'!$B$80&gt;=4,'19_Расчет_аналитики'!BA2641,0),IF('01_Вводные'!$B$80&gt;=5,'19_Расчет_аналитики'!BB2641,0),IF('01_Вводные'!$B$80&gt;=6,'19_Расчет_аналитики'!BC2641,0))</f>
        <v/>
      </c>
      <c r="AX2649">
        <f>SUM(IF('01_Вводные'!$B$80&gt;=1,'19_Расчет_аналитики'!AY2641,0),IF('01_Вводные'!$B$80&gt;=2,'19_Расчет_аналитики'!AZ2641,0),IF('01_Вводные'!$B$80&gt;=3,'19_Расчет_аналитики'!BA2641,0),IF('01_Вводные'!$B$80&gt;=4,'19_Расчет_аналитики'!BB2641,0),IF('01_Вводные'!$B$80&gt;=5,'19_Расчет_аналитики'!BC2641,0),IF('01_Вводные'!$B$80&gt;=6,'19_Расчет_аналитики'!BD2641,0))</f>
        <v/>
      </c>
      <c r="AY2649">
        <f>SUM(IF('01_Вводные'!$B$80&gt;=1,'19_Расчет_аналитики'!AZ2641,0),IF('01_Вводные'!$B$80&gt;=2,'19_Расчет_аналитики'!BA2641,0),IF('01_Вводные'!$B$80&gt;=3,'19_Расчет_аналитики'!BB2641,0),IF('01_Вводные'!$B$80&gt;=4,'19_Расчет_аналитики'!BC2641,0),IF('01_Вводные'!$B$80&gt;=5,'19_Расчет_аналитики'!BD2641,0),IF('01_Вводные'!$B$80&gt;=6,'19_Расчет_аналитики'!BE2641,0))</f>
        <v/>
      </c>
      <c r="AZ2649">
        <f>SUM(IF('01_Вводные'!$B$80&gt;=1,'19_Расчет_аналитики'!BA2641,0),IF('01_Вводные'!$B$80&gt;=2,'19_Расчет_аналитики'!BB2641,0),IF('01_Вводные'!$B$80&gt;=3,'19_Расчет_аналитики'!BC2641,0),IF('01_Вводные'!$B$80&gt;=4,'19_Расчет_аналитики'!BD2641,0),IF('01_Вводные'!$B$80&gt;=5,'19_Расчет_аналитики'!BE2641,0),IF('01_Вводные'!$B$80&gt;=6,'19_Расчет_аналитики'!BF2641,0))</f>
        <v/>
      </c>
      <c r="BA2649">
        <f>SUM(IF('01_Вводные'!$B$80&gt;=1,'19_Расчет_аналитики'!BB2641,0),IF('01_Вводные'!$B$80&gt;=2,'19_Расчет_аналитики'!BC2641,0),IF('01_Вводные'!$B$80&gt;=3,'19_Расчет_аналитики'!BD2641,0),IF('01_Вводные'!$B$80&gt;=4,'19_Расчет_аналитики'!BE2641,0),IF('01_Вводные'!$B$80&gt;=5,'19_Расчет_аналитики'!BF2641,0),IF('01_Вводные'!$B$80&gt;=6,'19_Расчет_аналитики'!BG2641,0))</f>
        <v/>
      </c>
      <c r="BB2649">
        <f>SUM(IF('01_Вводные'!$B$80&gt;=1,'19_Расчет_аналитики'!BC2641,0),IF('01_Вводные'!$B$80&gt;=2,'19_Расчет_аналитики'!BD2641,0),IF('01_Вводные'!$B$80&gt;=3,'19_Расчет_аналитики'!BE2641,0),IF('01_Вводные'!$B$80&gt;=4,'19_Расчет_аналитики'!BF2641,0),IF('01_Вводные'!$B$80&gt;=5,'19_Расчет_аналитики'!BG2641,0),IF('01_Вводные'!$B$80&gt;=6,'19_Расчет_аналитики'!BH2641,0))</f>
        <v/>
      </c>
      <c r="BC2649">
        <f>SUM(IF('01_Вводные'!$B$80&gt;=1,'19_Расчет_аналитики'!BD2641,0),IF('01_Вводные'!$B$80&gt;=2,'19_Расчет_аналитики'!BE2641,0),IF('01_Вводные'!$B$80&gt;=3,'19_Расчет_аналитики'!BF2641,0),IF('01_Вводные'!$B$80&gt;=4,'19_Расчет_аналитики'!BG2641,0),IF('01_Вводные'!$B$80&gt;=5,'19_Расчет_аналитики'!BH2641,0),IF('01_Вводные'!$B$80&gt;=6,'19_Расчет_аналитики'!BI2641,0))</f>
        <v/>
      </c>
      <c r="BD2649">
        <f>SUM(IF('01_Вводные'!$B$80&gt;=1,'19_Расчет_аналитики'!BE2641,0),IF('01_Вводные'!$B$80&gt;=2,'19_Расчет_аналитики'!BF2641,0),IF('01_Вводные'!$B$80&gt;=3,'19_Расчет_аналитики'!BG2641,0),IF('01_Вводные'!$B$80&gt;=4,'19_Расчет_аналитики'!BH2641,0),IF('01_Вводные'!$B$80&gt;=5,'19_Расчет_аналитики'!BI2641,0),IF('01_Вводные'!$B$80&gt;=6,'19_Расчет_аналитики'!BJ2641,0))</f>
        <v/>
      </c>
      <c r="BE2649">
        <f>SUM(IF('01_Вводные'!$B$80&gt;=1,'19_Расчет_аналитики'!BF2641,0),IF('01_Вводные'!$B$80&gt;=2,'19_Расчет_аналитики'!BG2641,0),IF('01_Вводные'!$B$80&gt;=3,'19_Расчет_аналитики'!BH2641,0),IF('01_Вводные'!$B$80&gt;=4,'19_Расчет_аналитики'!BI2641,0),IF('01_Вводные'!$B$80&gt;=5,'19_Расчет_аналитики'!BJ2641,0),IF('01_Вводные'!$B$80&gt;=6,'19_Расчет_аналитики'!BK2641,0))</f>
        <v/>
      </c>
      <c r="BF2649">
        <f>SUM(IF('01_Вводные'!$B$80&gt;=1,'19_Расчет_аналитики'!BG2641,0),IF('01_Вводные'!$B$80&gt;=2,'19_Расчет_аналитики'!BH2641,0),IF('01_Вводные'!$B$80&gt;=3,'19_Расчет_аналитики'!BI2641,0),IF('01_Вводные'!$B$80&gt;=4,'19_Расчет_аналитики'!BJ2641,0),IF('01_Вводные'!$B$80&gt;=5,'19_Расчет_аналитики'!BK2641,0),IF('01_Вводные'!$B$80&gt;=6,'19_Расчет_аналитики'!BL2641,0))</f>
        <v/>
      </c>
      <c r="BG2649">
        <f>SUM(IF('01_Вводные'!$B$80&gt;=1,'19_Расчет_аналитики'!BH2641,0),IF('01_Вводные'!$B$80&gt;=2,'19_Расчет_аналитики'!BI2641,0),IF('01_Вводные'!$B$80&gt;=3,'19_Расчет_аналитики'!BJ2641,0),IF('01_Вводные'!$B$80&gt;=4,'19_Расчет_аналитики'!BK2641,0),IF('01_Вводные'!$B$80&gt;=5,'19_Расчет_аналитики'!BL2641,0),IF('01_Вводные'!$B$80&gt;=6,'19_Расчет_аналитики'!BM2641,0))</f>
        <v/>
      </c>
      <c r="BH2649">
        <f>SUM(IF('01_Вводные'!$B$80&gt;=1,'19_Расчет_аналитики'!BI2641,0),IF('01_Вводные'!$B$80&gt;=2,'19_Расчет_аналитики'!BJ2641,0),IF('01_Вводные'!$B$80&gt;=3,'19_Расчет_аналитики'!BK2641,0),IF('01_Вводные'!$B$80&gt;=4,'19_Расчет_аналитики'!BL2641,0),IF('01_Вводные'!$B$80&gt;=5,'19_Расчет_аналитики'!BM2641,0),IF('01_Вводные'!$B$80&gt;=6,'19_Расчет_аналитики'!BN2641,0))</f>
        <v/>
      </c>
      <c r="BI2649">
        <f>SUM(IF('01_Вводные'!$B$80&gt;=1,'19_Расчет_аналитики'!BJ2641,0),IF('01_Вводные'!$B$80&gt;=2,'19_Расчет_аналитики'!BK2641,0),IF('01_Вводные'!$B$80&gt;=3,'19_Расчет_аналитики'!BL2641,0),IF('01_Вводные'!$B$80&gt;=4,'19_Расчет_аналитики'!BM2641,0),IF('01_Вводные'!$B$80&gt;=5,'19_Расчет_аналитики'!BN2641,0),IF('01_Вводные'!$B$80&gt;=6,'19_Расчет_аналитики'!BO2641,0))</f>
        <v/>
      </c>
    </row>
    <row r="2650">
      <c r="B2650">
        <f>IF(AND('07_Мерч'!B$3&gt;='01_Вводные'!$B$81,OR(MONTH('07_Мерч'!B$3)='01_Вводные'!$B$82,MONTH('07_Мерч'!B$3)='01_Вводные'!$B$83,MONTH('07_Мерч'!B$3)='01_Вводные'!$B$84,MONTH('07_Мерч'!B$3)='01_Вводные'!$B$85)),MAX(0,'19_Расчет_аналитики'!B2649-('07_Мерч'!B22-'19_Расчет_аналитики'!B2648)),0)</f>
        <v/>
      </c>
      <c r="C2650">
        <f>IF(AND('07_Мерч'!C$3&gt;='01_Вводные'!$B$81,OR(MONTH('07_Мерч'!C$3)='01_Вводные'!$B$82,MONTH('07_Мерч'!C$3)='01_Вводные'!$B$83,MONTH('07_Мерч'!C$3)='01_Вводные'!$B$84,MONTH('07_Мерч'!C$3)='01_Вводные'!$B$85)),MAX(0,'19_Расчет_аналитики'!C2649-('19_Расчет_аналитики'!C2647-'19_Расчет_аналитики'!C2648)),0)</f>
        <v/>
      </c>
      <c r="D2650">
        <f>IF(AND('07_Мерч'!D$3&gt;='01_Вводные'!$B$81,OR(MONTH('07_Мерч'!D$3)='01_Вводные'!$B$82,MONTH('07_Мерч'!D$3)='01_Вводные'!$B$83,MONTH('07_Мерч'!D$3)='01_Вводные'!$B$84,MONTH('07_Мерч'!D$3)='01_Вводные'!$B$85)),MAX(0,'19_Расчет_аналитики'!D2649-('19_Расчет_аналитики'!D2647-'19_Расчет_аналитики'!D2648)),0)</f>
        <v/>
      </c>
      <c r="E2650">
        <f>IF(AND('07_Мерч'!E$3&gt;='01_Вводные'!$B$81,OR(MONTH('07_Мерч'!E$3)='01_Вводные'!$B$82,MONTH('07_Мерч'!E$3)='01_Вводные'!$B$83,MONTH('07_Мерч'!E$3)='01_Вводные'!$B$84,MONTH('07_Мерч'!E$3)='01_Вводные'!$B$85)),MAX(0,'19_Расчет_аналитики'!E2649-('19_Расчет_аналитики'!E2647-'19_Расчет_аналитики'!E2648)),0)</f>
        <v/>
      </c>
      <c r="F2650">
        <f>IF(AND('07_Мерч'!F$3&gt;='01_Вводные'!$B$81,OR(MONTH('07_Мерч'!F$3)='01_Вводные'!$B$82,MONTH('07_Мерч'!F$3)='01_Вводные'!$B$83,MONTH('07_Мерч'!F$3)='01_Вводные'!$B$84,MONTH('07_Мерч'!F$3)='01_Вводные'!$B$85)),MAX(0,'19_Расчет_аналитики'!F2649-('19_Расчет_аналитики'!F2647-'19_Расчет_аналитики'!F2648)),0)</f>
        <v/>
      </c>
      <c r="G2650">
        <f>IF(AND('07_Мерч'!G$3&gt;='01_Вводные'!$B$81,OR(MONTH('07_Мерч'!G$3)='01_Вводные'!$B$82,MONTH('07_Мерч'!G$3)='01_Вводные'!$B$83,MONTH('07_Мерч'!G$3)='01_Вводные'!$B$84,MONTH('07_Мерч'!G$3)='01_Вводные'!$B$85)),MAX(0,'19_Расчет_аналитики'!G2649-('19_Расчет_аналитики'!G2647-'19_Расчет_аналитики'!G2648)),0)</f>
        <v/>
      </c>
      <c r="H2650">
        <f>IF(AND('07_Мерч'!H$3&gt;='01_Вводные'!$B$81,OR(MONTH('07_Мерч'!H$3)='01_Вводные'!$B$82,MONTH('07_Мерч'!H$3)='01_Вводные'!$B$83,MONTH('07_Мерч'!H$3)='01_Вводные'!$B$84,MONTH('07_Мерч'!H$3)='01_Вводные'!$B$85)),MAX(0,'19_Расчет_аналитики'!H2649-('19_Расчет_аналитики'!H2647-'19_Расчет_аналитики'!H2648)),0)</f>
        <v/>
      </c>
      <c r="I2650">
        <f>IF(AND('07_Мерч'!I$3&gt;='01_Вводные'!$B$81,OR(MONTH('07_Мерч'!I$3)='01_Вводные'!$B$82,MONTH('07_Мерч'!I$3)='01_Вводные'!$B$83,MONTH('07_Мерч'!I$3)='01_Вводные'!$B$84,MONTH('07_Мерч'!I$3)='01_Вводные'!$B$85)),MAX(0,'19_Расчет_аналитики'!I2649-('19_Расчет_аналитики'!I2647-'19_Расчет_аналитики'!I2648)),0)</f>
        <v/>
      </c>
      <c r="J2650">
        <f>IF(AND('07_Мерч'!J$3&gt;='01_Вводные'!$B$81,OR(MONTH('07_Мерч'!J$3)='01_Вводные'!$B$82,MONTH('07_Мерч'!J$3)='01_Вводные'!$B$83,MONTH('07_Мерч'!J$3)='01_Вводные'!$B$84,MONTH('07_Мерч'!J$3)='01_Вводные'!$B$85)),MAX(0,'19_Расчет_аналитики'!J2649-('19_Расчет_аналитики'!J2647-'19_Расчет_аналитики'!J2648)),0)</f>
        <v/>
      </c>
      <c r="K2650">
        <f>IF(AND('07_Мерч'!K$3&gt;='01_Вводные'!$B$81,OR(MONTH('07_Мерч'!K$3)='01_Вводные'!$B$82,MONTH('07_Мерч'!K$3)='01_Вводные'!$B$83,MONTH('07_Мерч'!K$3)='01_Вводные'!$B$84,MONTH('07_Мерч'!K$3)='01_Вводные'!$B$85)),MAX(0,'19_Расчет_аналитики'!K2649-('19_Расчет_аналитики'!K2647-'19_Расчет_аналитики'!K2648)),0)</f>
        <v/>
      </c>
      <c r="L2650">
        <f>IF(AND('07_Мерч'!L$3&gt;='01_Вводные'!$B$81,OR(MONTH('07_Мерч'!L$3)='01_Вводные'!$B$82,MONTH('07_Мерч'!L$3)='01_Вводные'!$B$83,MONTH('07_Мерч'!L$3)='01_Вводные'!$B$84,MONTH('07_Мерч'!L$3)='01_Вводные'!$B$85)),MAX(0,'19_Расчет_аналитики'!L2649-('19_Расчет_аналитики'!L2647-'19_Расчет_аналитики'!L2648)),0)</f>
        <v/>
      </c>
      <c r="M2650">
        <f>IF(AND('07_Мерч'!M$3&gt;='01_Вводные'!$B$81,OR(MONTH('07_Мерч'!M$3)='01_Вводные'!$B$82,MONTH('07_Мерч'!M$3)='01_Вводные'!$B$83,MONTH('07_Мерч'!M$3)='01_Вводные'!$B$84,MONTH('07_Мерч'!M$3)='01_Вводные'!$B$85)),MAX(0,'19_Расчет_аналитики'!M2649-('19_Расчет_аналитики'!M2647-'19_Расчет_аналитики'!M2648)),0)</f>
        <v/>
      </c>
      <c r="N2650">
        <f>IF(AND('07_Мерч'!N$3&gt;='01_Вводные'!$B$81,OR(MONTH('07_Мерч'!N$3)='01_Вводные'!$B$82,MONTH('07_Мерч'!N$3)='01_Вводные'!$B$83,MONTH('07_Мерч'!N$3)='01_Вводные'!$B$84,MONTH('07_Мерч'!N$3)='01_Вводные'!$B$85)),MAX(0,'19_Расчет_аналитики'!N2649-('19_Расчет_аналитики'!N2647-'19_Расчет_аналитики'!N2648)),0)</f>
        <v/>
      </c>
      <c r="O2650">
        <f>IF(AND('07_Мерч'!O$3&gt;='01_Вводные'!$B$81,OR(MONTH('07_Мерч'!O$3)='01_Вводные'!$B$82,MONTH('07_Мерч'!O$3)='01_Вводные'!$B$83,MONTH('07_Мерч'!O$3)='01_Вводные'!$B$84,MONTH('07_Мерч'!O$3)='01_Вводные'!$B$85)),MAX(0,'19_Расчет_аналитики'!O2649-('19_Расчет_аналитики'!O2647-'19_Расчет_аналитики'!O2648)),0)</f>
        <v/>
      </c>
      <c r="P2650">
        <f>IF(AND('07_Мерч'!P$3&gt;='01_Вводные'!$B$81,OR(MONTH('07_Мерч'!P$3)='01_Вводные'!$B$82,MONTH('07_Мерч'!P$3)='01_Вводные'!$B$83,MONTH('07_Мерч'!P$3)='01_Вводные'!$B$84,MONTH('07_Мерч'!P$3)='01_Вводные'!$B$85)),MAX(0,'19_Расчет_аналитики'!P2649-('19_Расчет_аналитики'!P2647-'19_Расчет_аналитики'!P2648)),0)</f>
        <v/>
      </c>
      <c r="Q2650">
        <f>IF(AND('07_Мерч'!Q$3&gt;='01_Вводные'!$B$81,OR(MONTH('07_Мерч'!Q$3)='01_Вводные'!$B$82,MONTH('07_Мерч'!Q$3)='01_Вводные'!$B$83,MONTH('07_Мерч'!Q$3)='01_Вводные'!$B$84,MONTH('07_Мерч'!Q$3)='01_Вводные'!$B$85)),MAX(0,'19_Расчет_аналитики'!Q2649-('19_Расчет_аналитики'!Q2647-'19_Расчет_аналитики'!Q2648)),0)</f>
        <v/>
      </c>
      <c r="R2650">
        <f>IF(AND('07_Мерч'!R$3&gt;='01_Вводные'!$B$81,OR(MONTH('07_Мерч'!R$3)='01_Вводные'!$B$82,MONTH('07_Мерч'!R$3)='01_Вводные'!$B$83,MONTH('07_Мерч'!R$3)='01_Вводные'!$B$84,MONTH('07_Мерч'!R$3)='01_Вводные'!$B$85)),MAX(0,'19_Расчет_аналитики'!R2649-('19_Расчет_аналитики'!R2647-'19_Расчет_аналитики'!R2648)),0)</f>
        <v/>
      </c>
      <c r="S2650">
        <f>IF(AND('07_Мерч'!S$3&gt;='01_Вводные'!$B$81,OR(MONTH('07_Мерч'!S$3)='01_Вводные'!$B$82,MONTH('07_Мерч'!S$3)='01_Вводные'!$B$83,MONTH('07_Мерч'!S$3)='01_Вводные'!$B$84,MONTH('07_Мерч'!S$3)='01_Вводные'!$B$85)),MAX(0,'19_Расчет_аналитики'!S2649-('19_Расчет_аналитики'!S2647-'19_Расчет_аналитики'!S2648)),0)</f>
        <v/>
      </c>
      <c r="T2650">
        <f>IF(AND('07_Мерч'!T$3&gt;='01_Вводные'!$B$81,OR(MONTH('07_Мерч'!T$3)='01_Вводные'!$B$82,MONTH('07_Мерч'!T$3)='01_Вводные'!$B$83,MONTH('07_Мерч'!T$3)='01_Вводные'!$B$84,MONTH('07_Мерч'!T$3)='01_Вводные'!$B$85)),MAX(0,'19_Расчет_аналитики'!T2649-('19_Расчет_аналитики'!T2647-'19_Расчет_аналитики'!T2648)),0)</f>
        <v/>
      </c>
      <c r="U2650">
        <f>IF(AND('07_Мерч'!U$3&gt;='01_Вводные'!$B$81,OR(MONTH('07_Мерч'!U$3)='01_Вводные'!$B$82,MONTH('07_Мерч'!U$3)='01_Вводные'!$B$83,MONTH('07_Мерч'!U$3)='01_Вводные'!$B$84,MONTH('07_Мерч'!U$3)='01_Вводные'!$B$85)),MAX(0,'19_Расчет_аналитики'!U2649-('19_Расчет_аналитики'!U2647-'19_Расчет_аналитики'!U2648)),0)</f>
        <v/>
      </c>
      <c r="V2650">
        <f>IF(AND('07_Мерч'!V$3&gt;='01_Вводные'!$B$81,OR(MONTH('07_Мерч'!V$3)='01_Вводные'!$B$82,MONTH('07_Мерч'!V$3)='01_Вводные'!$B$83,MONTH('07_Мерч'!V$3)='01_Вводные'!$B$84,MONTH('07_Мерч'!V$3)='01_Вводные'!$B$85)),MAX(0,'19_Расчет_аналитики'!V2649-('19_Расчет_аналитики'!V2647-'19_Расчет_аналитики'!V2648)),0)</f>
        <v/>
      </c>
      <c r="W2650">
        <f>IF(AND('07_Мерч'!W$3&gt;='01_Вводные'!$B$81,OR(MONTH('07_Мерч'!W$3)='01_Вводные'!$B$82,MONTH('07_Мерч'!W$3)='01_Вводные'!$B$83,MONTH('07_Мерч'!W$3)='01_Вводные'!$B$84,MONTH('07_Мерч'!W$3)='01_Вводные'!$B$85)),MAX(0,'19_Расчет_аналитики'!W2649-('19_Расчет_аналитики'!W2647-'19_Расчет_аналитики'!W2648)),0)</f>
        <v/>
      </c>
      <c r="X2650">
        <f>IF(AND('07_Мерч'!X$3&gt;='01_Вводные'!$B$81,OR(MONTH('07_Мерч'!X$3)='01_Вводные'!$B$82,MONTH('07_Мерч'!X$3)='01_Вводные'!$B$83,MONTH('07_Мерч'!X$3)='01_Вводные'!$B$84,MONTH('07_Мерч'!X$3)='01_Вводные'!$B$85)),MAX(0,'19_Расчет_аналитики'!X2649-('19_Расчет_аналитики'!X2647-'19_Расчет_аналитики'!X2648)),0)</f>
        <v/>
      </c>
      <c r="Y2650">
        <f>IF(AND('07_Мерч'!Y$3&gt;='01_Вводные'!$B$81,OR(MONTH('07_Мерч'!Y$3)='01_Вводные'!$B$82,MONTH('07_Мерч'!Y$3)='01_Вводные'!$B$83,MONTH('07_Мерч'!Y$3)='01_Вводные'!$B$84,MONTH('07_Мерч'!Y$3)='01_Вводные'!$B$85)),MAX(0,'19_Расчет_аналитики'!Y2649-('19_Расчет_аналитики'!Y2647-'19_Расчет_аналитики'!Y2648)),0)</f>
        <v/>
      </c>
      <c r="Z2650">
        <f>IF(AND('07_Мерч'!Z$3&gt;='01_Вводные'!$B$81,OR(MONTH('07_Мерч'!Z$3)='01_Вводные'!$B$82,MONTH('07_Мерч'!Z$3)='01_Вводные'!$B$83,MONTH('07_Мерч'!Z$3)='01_Вводные'!$B$84,MONTH('07_Мерч'!Z$3)='01_Вводные'!$B$85)),MAX(0,'19_Расчет_аналитики'!Z2649-('19_Расчет_аналитики'!Z2647-'19_Расчет_аналитики'!Z2648)),0)</f>
        <v/>
      </c>
      <c r="AA2650">
        <f>IF(AND('07_Мерч'!AA$3&gt;='01_Вводные'!$B$81,OR(MONTH('07_Мерч'!AA$3)='01_Вводные'!$B$82,MONTH('07_Мерч'!AA$3)='01_Вводные'!$B$83,MONTH('07_Мерч'!AA$3)='01_Вводные'!$B$84,MONTH('07_Мерч'!AA$3)='01_Вводные'!$B$85)),MAX(0,'19_Расчет_аналитики'!AA2649-('19_Расчет_аналитики'!AA2647-'19_Расчет_аналитики'!AA2648)),0)</f>
        <v/>
      </c>
      <c r="AB2650">
        <f>IF(AND('07_Мерч'!AB$3&gt;='01_Вводные'!$B$81,OR(MONTH('07_Мерч'!AB$3)='01_Вводные'!$B$82,MONTH('07_Мерч'!AB$3)='01_Вводные'!$B$83,MONTH('07_Мерч'!AB$3)='01_Вводные'!$B$84,MONTH('07_Мерч'!AB$3)='01_Вводные'!$B$85)),MAX(0,'19_Расчет_аналитики'!AB2649-('19_Расчет_аналитики'!AB2647-'19_Расчет_аналитики'!AB2648)),0)</f>
        <v/>
      </c>
      <c r="AC2650">
        <f>IF(AND('07_Мерч'!AC$3&gt;='01_Вводные'!$B$81,OR(MONTH('07_Мерч'!AC$3)='01_Вводные'!$B$82,MONTH('07_Мерч'!AC$3)='01_Вводные'!$B$83,MONTH('07_Мерч'!AC$3)='01_Вводные'!$B$84,MONTH('07_Мерч'!AC$3)='01_Вводные'!$B$85)),MAX(0,'19_Расчет_аналитики'!AC2649-('19_Расчет_аналитики'!AC2647-'19_Расчет_аналитики'!AC2648)),0)</f>
        <v/>
      </c>
      <c r="AD2650">
        <f>IF(AND('07_Мерч'!AD$3&gt;='01_Вводные'!$B$81,OR(MONTH('07_Мерч'!AD$3)='01_Вводные'!$B$82,MONTH('07_Мерч'!AD$3)='01_Вводные'!$B$83,MONTH('07_Мерч'!AD$3)='01_Вводные'!$B$84,MONTH('07_Мерч'!AD$3)='01_Вводные'!$B$85)),MAX(0,'19_Расчет_аналитики'!AD2649-('19_Расчет_аналитики'!AD2647-'19_Расчет_аналитики'!AD2648)),0)</f>
        <v/>
      </c>
      <c r="AE2650">
        <f>IF(AND('07_Мерч'!AE$3&gt;='01_Вводные'!$B$81,OR(MONTH('07_Мерч'!AE$3)='01_Вводные'!$B$82,MONTH('07_Мерч'!AE$3)='01_Вводные'!$B$83,MONTH('07_Мерч'!AE$3)='01_Вводные'!$B$84,MONTH('07_Мерч'!AE$3)='01_Вводные'!$B$85)),MAX(0,'19_Расчет_аналитики'!AE2649-('19_Расчет_аналитики'!AE2647-'19_Расчет_аналитики'!AE2648)),0)</f>
        <v/>
      </c>
      <c r="AF2650">
        <f>IF(AND('07_Мерч'!AF$3&gt;='01_Вводные'!$B$81,OR(MONTH('07_Мерч'!AF$3)='01_Вводные'!$B$82,MONTH('07_Мерч'!AF$3)='01_Вводные'!$B$83,MONTH('07_Мерч'!AF$3)='01_Вводные'!$B$84,MONTH('07_Мерч'!AF$3)='01_Вводные'!$B$85)),MAX(0,'19_Расчет_аналитики'!AF2649-('19_Расчет_аналитики'!AF2647-'19_Расчет_аналитики'!AF2648)),0)</f>
        <v/>
      </c>
      <c r="AG2650">
        <f>IF(AND('07_Мерч'!AG$3&gt;='01_Вводные'!$B$81,OR(MONTH('07_Мерч'!AG$3)='01_Вводные'!$B$82,MONTH('07_Мерч'!AG$3)='01_Вводные'!$B$83,MONTH('07_Мерч'!AG$3)='01_Вводные'!$B$84,MONTH('07_Мерч'!AG$3)='01_Вводные'!$B$85)),MAX(0,'19_Расчет_аналитики'!AG2649-('19_Расчет_аналитики'!AG2647-'19_Расчет_аналитики'!AG2648)),0)</f>
        <v/>
      </c>
      <c r="AH2650">
        <f>IF(AND('07_Мерч'!AH$3&gt;='01_Вводные'!$B$81,OR(MONTH('07_Мерч'!AH$3)='01_Вводные'!$B$82,MONTH('07_Мерч'!AH$3)='01_Вводные'!$B$83,MONTH('07_Мерч'!AH$3)='01_Вводные'!$B$84,MONTH('07_Мерч'!AH$3)='01_Вводные'!$B$85)),MAX(0,'19_Расчет_аналитики'!AH2649-('19_Расчет_аналитики'!AH2647-'19_Расчет_аналитики'!AH2648)),0)</f>
        <v/>
      </c>
      <c r="AI2650">
        <f>IF(AND('07_Мерч'!AI$3&gt;='01_Вводные'!$B$81,OR(MONTH('07_Мерч'!AI$3)='01_Вводные'!$B$82,MONTH('07_Мерч'!AI$3)='01_Вводные'!$B$83,MONTH('07_Мерч'!AI$3)='01_Вводные'!$B$84,MONTH('07_Мерч'!AI$3)='01_Вводные'!$B$85)),MAX(0,'19_Расчет_аналитики'!AI2649-('19_Расчет_аналитики'!AI2647-'19_Расчет_аналитики'!AI2648)),0)</f>
        <v/>
      </c>
      <c r="AJ2650">
        <f>IF(AND('07_Мерч'!AJ$3&gt;='01_Вводные'!$B$81,OR(MONTH('07_Мерч'!AJ$3)='01_Вводные'!$B$82,MONTH('07_Мерч'!AJ$3)='01_Вводные'!$B$83,MONTH('07_Мерч'!AJ$3)='01_Вводные'!$B$84,MONTH('07_Мерч'!AJ$3)='01_Вводные'!$B$85)),MAX(0,'19_Расчет_аналитики'!AJ2649-('19_Расчет_аналитики'!AJ2647-'19_Расчет_аналитики'!AJ2648)),0)</f>
        <v/>
      </c>
      <c r="AK2650">
        <f>IF(AND('07_Мерч'!AK$3&gt;='01_Вводные'!$B$81,OR(MONTH('07_Мерч'!AK$3)='01_Вводные'!$B$82,MONTH('07_Мерч'!AK$3)='01_Вводные'!$B$83,MONTH('07_Мерч'!AK$3)='01_Вводные'!$B$84,MONTH('07_Мерч'!AK$3)='01_Вводные'!$B$85)),MAX(0,'19_Расчет_аналитики'!AK2649-('19_Расчет_аналитики'!AK2647-'19_Расчет_аналитики'!AK2648)),0)</f>
        <v/>
      </c>
      <c r="AL2650">
        <f>IF(AND('07_Мерч'!AL$3&gt;='01_Вводные'!$B$81,OR(MONTH('07_Мерч'!AL$3)='01_Вводные'!$B$82,MONTH('07_Мерч'!AL$3)='01_Вводные'!$B$83,MONTH('07_Мерч'!AL$3)='01_Вводные'!$B$84,MONTH('07_Мерч'!AL$3)='01_Вводные'!$B$85)),MAX(0,'19_Расчет_аналитики'!AL2649-('19_Расчет_аналитики'!AL2647-'19_Расчет_аналитики'!AL2648)),0)</f>
        <v/>
      </c>
      <c r="AM2650">
        <f>IF(AND('07_Мерч'!AM$3&gt;='01_Вводные'!$B$81,OR(MONTH('07_Мерч'!AM$3)='01_Вводные'!$B$82,MONTH('07_Мерч'!AM$3)='01_Вводные'!$B$83,MONTH('07_Мерч'!AM$3)='01_Вводные'!$B$84,MONTH('07_Мерч'!AM$3)='01_Вводные'!$B$85)),MAX(0,'19_Расчет_аналитики'!AM2649-('19_Расчет_аналитики'!AM2647-'19_Расчет_аналитики'!AM2648)),0)</f>
        <v/>
      </c>
      <c r="AN2650">
        <f>IF(AND('07_Мерч'!AN$3&gt;='01_Вводные'!$B$81,OR(MONTH('07_Мерч'!AN$3)='01_Вводные'!$B$82,MONTH('07_Мерч'!AN$3)='01_Вводные'!$B$83,MONTH('07_Мерч'!AN$3)='01_Вводные'!$B$84,MONTH('07_Мерч'!AN$3)='01_Вводные'!$B$85)),MAX(0,'19_Расчет_аналитики'!AN2649-('19_Расчет_аналитики'!AN2647-'19_Расчет_аналитики'!AN2648)),0)</f>
        <v/>
      </c>
      <c r="AO2650">
        <f>IF(AND('07_Мерч'!AO$3&gt;='01_Вводные'!$B$81,OR(MONTH('07_Мерч'!AO$3)='01_Вводные'!$B$82,MONTH('07_Мерч'!AO$3)='01_Вводные'!$B$83,MONTH('07_Мерч'!AO$3)='01_Вводные'!$B$84,MONTH('07_Мерч'!AO$3)='01_Вводные'!$B$85)),MAX(0,'19_Расчет_аналитики'!AO2649-('19_Расчет_аналитики'!AO2647-'19_Расчет_аналитики'!AO2648)),0)</f>
        <v/>
      </c>
      <c r="AP2650">
        <f>IF(AND('07_Мерч'!AP$3&gt;='01_Вводные'!$B$81,OR(MONTH('07_Мерч'!AP$3)='01_Вводные'!$B$82,MONTH('07_Мерч'!AP$3)='01_Вводные'!$B$83,MONTH('07_Мерч'!AP$3)='01_Вводные'!$B$84,MONTH('07_Мерч'!AP$3)='01_Вводные'!$B$85)),MAX(0,'19_Расчет_аналитики'!AP2649-('19_Расчет_аналитики'!AP2647-'19_Расчет_аналитики'!AP2648)),0)</f>
        <v/>
      </c>
      <c r="AQ2650">
        <f>IF(AND('07_Мерч'!AQ$3&gt;='01_Вводные'!$B$81,OR(MONTH('07_Мерч'!AQ$3)='01_Вводные'!$B$82,MONTH('07_Мерч'!AQ$3)='01_Вводные'!$B$83,MONTH('07_Мерч'!AQ$3)='01_Вводные'!$B$84,MONTH('07_Мерч'!AQ$3)='01_Вводные'!$B$85)),MAX(0,'19_Расчет_аналитики'!AQ2649-('19_Расчет_аналитики'!AQ2647-'19_Расчет_аналитики'!AQ2648)),0)</f>
        <v/>
      </c>
      <c r="AR2650">
        <f>IF(AND('07_Мерч'!AR$3&gt;='01_Вводные'!$B$81,OR(MONTH('07_Мерч'!AR$3)='01_Вводные'!$B$82,MONTH('07_Мерч'!AR$3)='01_Вводные'!$B$83,MONTH('07_Мерч'!AR$3)='01_Вводные'!$B$84,MONTH('07_Мерч'!AR$3)='01_Вводные'!$B$85)),MAX(0,'19_Расчет_аналитики'!AR2649-('19_Расчет_аналитики'!AR2647-'19_Расчет_аналитики'!AR2648)),0)</f>
        <v/>
      </c>
      <c r="AS2650">
        <f>IF(AND('07_Мерч'!AS$3&gt;='01_Вводные'!$B$81,OR(MONTH('07_Мерч'!AS$3)='01_Вводные'!$B$82,MONTH('07_Мерч'!AS$3)='01_Вводные'!$B$83,MONTH('07_Мерч'!AS$3)='01_Вводные'!$B$84,MONTH('07_Мерч'!AS$3)='01_Вводные'!$B$85)),MAX(0,'19_Расчет_аналитики'!AS2649-('19_Расчет_аналитики'!AS2647-'19_Расчет_аналитики'!AS2648)),0)</f>
        <v/>
      </c>
      <c r="AT2650">
        <f>IF(AND('07_Мерч'!AT$3&gt;='01_Вводные'!$B$81,OR(MONTH('07_Мерч'!AT$3)='01_Вводные'!$B$82,MONTH('07_Мерч'!AT$3)='01_Вводные'!$B$83,MONTH('07_Мерч'!AT$3)='01_Вводные'!$B$84,MONTH('07_Мерч'!AT$3)='01_Вводные'!$B$85)),MAX(0,'19_Расчет_аналитики'!AT2649-('19_Расчет_аналитики'!AT2647-'19_Расчет_аналитики'!AT2648)),0)</f>
        <v/>
      </c>
      <c r="AU2650">
        <f>IF(AND('07_Мерч'!AU$3&gt;='01_Вводные'!$B$81,OR(MONTH('07_Мерч'!AU$3)='01_Вводные'!$B$82,MONTH('07_Мерч'!AU$3)='01_Вводные'!$B$83,MONTH('07_Мерч'!AU$3)='01_Вводные'!$B$84,MONTH('07_Мерч'!AU$3)='01_Вводные'!$B$85)),MAX(0,'19_Расчет_аналитики'!AU2649-('19_Расчет_аналитики'!AU2647-'19_Расчет_аналитики'!AU2648)),0)</f>
        <v/>
      </c>
      <c r="AV2650">
        <f>IF(AND('07_Мерч'!AV$3&gt;='01_Вводные'!$B$81,OR(MONTH('07_Мерч'!AV$3)='01_Вводные'!$B$82,MONTH('07_Мерч'!AV$3)='01_Вводные'!$B$83,MONTH('07_Мерч'!AV$3)='01_Вводные'!$B$84,MONTH('07_Мерч'!AV$3)='01_Вводные'!$B$85)),MAX(0,'19_Расчет_аналитики'!AV2649-('19_Расчет_аналитики'!AV2647-'19_Расчет_аналитики'!AV2648)),0)</f>
        <v/>
      </c>
      <c r="AW2650">
        <f>IF(AND('07_Мерч'!AW$3&gt;='01_Вводные'!$B$81,OR(MONTH('07_Мерч'!AW$3)='01_Вводные'!$B$82,MONTH('07_Мерч'!AW$3)='01_Вводные'!$B$83,MONTH('07_Мерч'!AW$3)='01_Вводные'!$B$84,MONTH('07_Мерч'!AW$3)='01_Вводные'!$B$85)),MAX(0,'19_Расчет_аналитики'!AW2649-('19_Расчет_аналитики'!AW2647-'19_Расчет_аналитики'!AW2648)),0)</f>
        <v/>
      </c>
      <c r="AX2650">
        <f>IF(AND('07_Мерч'!AX$3&gt;='01_Вводные'!$B$81,OR(MONTH('07_Мерч'!AX$3)='01_Вводные'!$B$82,MONTH('07_Мерч'!AX$3)='01_Вводные'!$B$83,MONTH('07_Мерч'!AX$3)='01_Вводные'!$B$84,MONTH('07_Мерч'!AX$3)='01_Вводные'!$B$85)),MAX(0,'19_Расчет_аналитики'!AX2649-('19_Расчет_аналитики'!AX2647-'19_Расчет_аналитики'!AX2648)),0)</f>
        <v/>
      </c>
      <c r="AY2650">
        <f>IF(AND('07_Мерч'!AY$3&gt;='01_Вводные'!$B$81,OR(MONTH('07_Мерч'!AY$3)='01_Вводные'!$B$82,MONTH('07_Мерч'!AY$3)='01_Вводные'!$B$83,MONTH('07_Мерч'!AY$3)='01_Вводные'!$B$84,MONTH('07_Мерч'!AY$3)='01_Вводные'!$B$85)),MAX(0,'19_Расчет_аналитики'!AY2649-('19_Расчет_аналитики'!AY2647-'19_Расчет_аналитики'!AY2648)),0)</f>
        <v/>
      </c>
      <c r="AZ2650">
        <f>IF(AND('07_Мерч'!AZ$3&gt;='01_Вводные'!$B$81,OR(MONTH('07_Мерч'!AZ$3)='01_Вводные'!$B$82,MONTH('07_Мерч'!AZ$3)='01_Вводные'!$B$83,MONTH('07_Мерч'!AZ$3)='01_Вводные'!$B$84,MONTH('07_Мерч'!AZ$3)='01_Вводные'!$B$85)),MAX(0,'19_Расчет_аналитики'!AZ2649-('19_Расчет_аналитики'!AZ2647-'19_Расчет_аналитики'!AZ2648)),0)</f>
        <v/>
      </c>
      <c r="BA2650">
        <f>IF(AND('07_Мерч'!BA$3&gt;='01_Вводные'!$B$81,OR(MONTH('07_Мерч'!BA$3)='01_Вводные'!$B$82,MONTH('07_Мерч'!BA$3)='01_Вводные'!$B$83,MONTH('07_Мерч'!BA$3)='01_Вводные'!$B$84,MONTH('07_Мерч'!BA$3)='01_Вводные'!$B$85)),MAX(0,'19_Расчет_аналитики'!BA2649-('19_Расчет_аналитики'!BA2647-'19_Расчет_аналитики'!BA2648)),0)</f>
        <v/>
      </c>
      <c r="BB2650">
        <f>IF(AND('07_Мерч'!BB$3&gt;='01_Вводные'!$B$81,OR(MONTH('07_Мерч'!BB$3)='01_Вводные'!$B$82,MONTH('07_Мерч'!BB$3)='01_Вводные'!$B$83,MONTH('07_Мерч'!BB$3)='01_Вводные'!$B$84,MONTH('07_Мерч'!BB$3)='01_Вводные'!$B$85)),MAX(0,'19_Расчет_аналитики'!BB2649-('19_Расчет_аналитики'!BB2647-'19_Расчет_аналитики'!BB2648)),0)</f>
        <v/>
      </c>
      <c r="BC2650">
        <f>IF(AND('07_Мерч'!BC$3&gt;='01_Вводные'!$B$81,OR(MONTH('07_Мерч'!BC$3)='01_Вводные'!$B$82,MONTH('07_Мерч'!BC$3)='01_Вводные'!$B$83,MONTH('07_Мерч'!BC$3)='01_Вводные'!$B$84,MONTH('07_Мерч'!BC$3)='01_Вводные'!$B$85)),MAX(0,'19_Расчет_аналитики'!BC2649-('19_Расчет_аналитики'!BC2647-'19_Расчет_аналитики'!BC2648)),0)</f>
        <v/>
      </c>
      <c r="BD2650">
        <f>IF(AND('07_Мерч'!BD$3&gt;='01_Вводные'!$B$81,OR(MONTH('07_Мерч'!BD$3)='01_Вводные'!$B$82,MONTH('07_Мерч'!BD$3)='01_Вводные'!$B$83,MONTH('07_Мерч'!BD$3)='01_Вводные'!$B$84,MONTH('07_Мерч'!BD$3)='01_Вводные'!$B$85)),MAX(0,'19_Расчет_аналитики'!BD2649-('19_Расчет_аналитики'!BD2647-'19_Расчет_аналитики'!BD2648)),0)</f>
        <v/>
      </c>
      <c r="BE2650">
        <f>IF(AND('07_Мерч'!BE$3&gt;='01_Вводные'!$B$81,OR(MONTH('07_Мерч'!BE$3)='01_Вводные'!$B$82,MONTH('07_Мерч'!BE$3)='01_Вводные'!$B$83,MONTH('07_Мерч'!BE$3)='01_Вводные'!$B$84,MONTH('07_Мерч'!BE$3)='01_Вводные'!$B$85)),MAX(0,'19_Расчет_аналитики'!BE2649-('19_Расчет_аналитики'!BE2647-'19_Расчет_аналитики'!BE2648)),0)</f>
        <v/>
      </c>
      <c r="BF2650">
        <f>IF(AND('07_Мерч'!BF$3&gt;='01_Вводные'!$B$81,OR(MONTH('07_Мерч'!BF$3)='01_Вводные'!$B$82,MONTH('07_Мерч'!BF$3)='01_Вводные'!$B$83,MONTH('07_Мерч'!BF$3)='01_Вводные'!$B$84,MONTH('07_Мерч'!BF$3)='01_Вводные'!$B$85)),MAX(0,'19_Расчет_аналитики'!BF2649-('19_Расчет_аналитики'!BF2647-'19_Расчет_аналитики'!BF2648)),0)</f>
        <v/>
      </c>
      <c r="BG2650">
        <f>IF(AND('07_Мерч'!BG$3&gt;='01_Вводные'!$B$81,OR(MONTH('07_Мерч'!BG$3)='01_Вводные'!$B$82,MONTH('07_Мерч'!BG$3)='01_Вводные'!$B$83,MONTH('07_Мерч'!BG$3)='01_Вводные'!$B$84,MONTH('07_Мерч'!BG$3)='01_Вводные'!$B$85)),MAX(0,'19_Расчет_аналитики'!BG2649-('19_Расчет_аналитики'!BG2647-'19_Расчет_аналитики'!BG2648)),0)</f>
        <v/>
      </c>
      <c r="BH2650">
        <f>IF(AND('07_Мерч'!BH$3&gt;='01_Вводные'!$B$81,OR(MONTH('07_Мерч'!BH$3)='01_Вводные'!$B$82,MONTH('07_Мерч'!BH$3)='01_Вводные'!$B$83,MONTH('07_Мерч'!BH$3)='01_Вводные'!$B$84,MONTH('07_Мерч'!BH$3)='01_Вводные'!$B$85)),MAX(0,'19_Расчет_аналитики'!BH2649-('19_Расчет_аналитики'!BH2647-'19_Расчет_аналитики'!BH2648)),0)</f>
        <v/>
      </c>
      <c r="BI2650">
        <f>IF(AND('07_Мерч'!BI$3&gt;='01_Вводные'!$B$81,OR(MONTH('07_Мерч'!BI$3)='01_Вводные'!$B$82,MONTH('07_Мерч'!BI$3)='01_Вводные'!$B$83,MONTH('07_Мерч'!BI$3)='01_Вводные'!$B$84,MONTH('07_Мерч'!BI$3)='01_Вводные'!$B$85)),MAX(0,'19_Расчет_аналитики'!BI2649-('19_Расчет_аналитики'!BI2647-'19_Расчет_аналитики'!BI2648)),0)</f>
        <v/>
      </c>
      <c r="BJ2650">
        <f>IF(AND('07_Мерч'!BJ$3&gt;='01_Вводные'!$B$81,OR(MONTH('07_Мерч'!BJ$3)='01_Вводные'!$B$82,MONTH('07_Мерч'!BJ$3)='01_Вводные'!$B$83,MONTH('07_Мерч'!BJ$3)='01_Вводные'!$B$84,MONTH('07_Мерч'!BJ$3)='01_Вводные'!$B$85)),MAX(0,'07_Мерч'!BJ24-('19_Расчет_аналитики'!BJ2647-'19_Расчет_аналитики'!BJ2648)),0)</f>
        <v/>
      </c>
      <c r="BK2650">
        <f>IF(AND('07_Мерч'!BK$3&gt;='01_Вводные'!$B$81,OR(MONTH('07_Мерч'!BK$3)='01_Вводные'!$B$82,MONTH('07_Мерч'!BK$3)='01_Вводные'!$B$83,MONTH('07_Мерч'!BK$3)='01_Вводные'!$B$84,MONTH('07_Мерч'!BK$3)='01_Вводные'!$B$85)),MAX(0,'07_Мерч'!BK24-('19_Расчет_аналитики'!BK2647-'19_Расчет_аналитики'!BK2648)),0)</f>
        <v/>
      </c>
      <c r="BL2650">
        <f>IF(AND('07_Мерч'!BL$3&gt;='01_Вводные'!$B$81,OR(MONTH('07_Мерч'!BL$3)='01_Вводные'!$B$82,MONTH('07_Мерч'!BL$3)='01_Вводные'!$B$83,MONTH('07_Мерч'!BL$3)='01_Вводные'!$B$84,MONTH('07_Мерч'!BL$3)='01_Вводные'!$B$85)),MAX(0,'07_Мерч'!BL24-('19_Расчет_аналитики'!BL2647-'19_Расчет_аналитики'!BL2648)),0)</f>
        <v/>
      </c>
      <c r="BM2650">
        <f>IF(AND('07_Мерч'!BM$3&gt;='01_Вводные'!$B$81,OR(MONTH('07_Мерч'!BM$3)='01_Вводные'!$B$82,MONTH('07_Мерч'!BM$3)='01_Вводные'!$B$83,MONTH('07_Мерч'!BM$3)='01_Вводные'!$B$84,MONTH('07_Мерч'!BM$3)='01_Вводные'!$B$85)),MAX(0,'07_Мерч'!BM24-('19_Расчет_аналитики'!BM2647-'19_Расчет_аналитики'!BM2648)),0)</f>
        <v/>
      </c>
      <c r="BN2650">
        <f>IF(AND('07_Мерч'!BN$3&gt;='01_Вводные'!$B$81,OR(MONTH('07_Мерч'!BN$3)='01_Вводные'!$B$82,MONTH('07_Мерч'!BN$3)='01_Вводные'!$B$83,MONTH('07_Мерч'!BN$3)='01_Вводные'!$B$84,MONTH('07_Мерч'!BN$3)='01_Вводные'!$B$85)),MAX(0,'07_Мерч'!BN24-('19_Расчет_аналитики'!BN2647-'19_Расчет_аналитики'!BN2648)),0)</f>
        <v/>
      </c>
      <c r="BO2650">
        <f>IF(AND('07_Мерч'!BO$3&gt;='01_Вводные'!$B$81,OR(MONTH('07_Мерч'!BO$3)='01_Вводные'!$B$82,MONTH('07_Мерч'!BO$3)='01_Вводные'!$B$83,MONTH('07_Мерч'!BO$3)='01_Вводные'!$B$84,MONTH('07_Мерч'!BO$3)='01_Вводные'!$B$85)),MAX(0,'07_Мерч'!BO24-('19_Расчет_аналитики'!BO2647-'19_Расчет_аналитики'!BO2648)),0)</f>
        <v/>
      </c>
    </row>
    <row r="2651">
      <c r="B2651">
        <f>'07_Мерч'!B22+'19_Расчет_аналитики'!B2650-'19_Расчет_аналитики'!B2648</f>
        <v/>
      </c>
      <c r="C2651">
        <f>'19_Расчет_аналитики'!C2647+'19_Расчет_аналитики'!C2650-'19_Расчет_аналитики'!C2648</f>
        <v/>
      </c>
      <c r="D2651">
        <f>'19_Расчет_аналитики'!D2647+'19_Расчет_аналитики'!D2650-'19_Расчет_аналитики'!D2648</f>
        <v/>
      </c>
      <c r="E2651">
        <f>'19_Расчет_аналитики'!E2647+'19_Расчет_аналитики'!E2650-'19_Расчет_аналитики'!E2648</f>
        <v/>
      </c>
      <c r="F2651">
        <f>'19_Расчет_аналитики'!F2647+'19_Расчет_аналитики'!F2650-'19_Расчет_аналитики'!F2648</f>
        <v/>
      </c>
      <c r="G2651">
        <f>'19_Расчет_аналитики'!G2647+'19_Расчет_аналитики'!G2650-'19_Расчет_аналитики'!G2648</f>
        <v/>
      </c>
      <c r="H2651">
        <f>'19_Расчет_аналитики'!H2647+'19_Расчет_аналитики'!H2650-'19_Расчет_аналитики'!H2648</f>
        <v/>
      </c>
      <c r="I2651">
        <f>'19_Расчет_аналитики'!I2647+'19_Расчет_аналитики'!I2650-'19_Расчет_аналитики'!I2648</f>
        <v/>
      </c>
      <c r="J2651">
        <f>'19_Расчет_аналитики'!J2647+'19_Расчет_аналитики'!J2650-'19_Расчет_аналитики'!J2648</f>
        <v/>
      </c>
      <c r="K2651">
        <f>'19_Расчет_аналитики'!K2647+'19_Расчет_аналитики'!K2650-'19_Расчет_аналитики'!K2648</f>
        <v/>
      </c>
      <c r="L2651">
        <f>'19_Расчет_аналитики'!L2647+'19_Расчет_аналитики'!L2650-'19_Расчет_аналитики'!L2648</f>
        <v/>
      </c>
      <c r="M2651">
        <f>'19_Расчет_аналитики'!M2647+'19_Расчет_аналитики'!M2650-'19_Расчет_аналитики'!M2648</f>
        <v/>
      </c>
      <c r="N2651">
        <f>'19_Расчет_аналитики'!N2647+'19_Расчет_аналитики'!N2650-'19_Расчет_аналитики'!N2648</f>
        <v/>
      </c>
      <c r="O2651">
        <f>'19_Расчет_аналитики'!O2647+'19_Расчет_аналитики'!O2650-'19_Расчет_аналитики'!O2648</f>
        <v/>
      </c>
      <c r="P2651">
        <f>'19_Расчет_аналитики'!P2647+'19_Расчет_аналитики'!P2650-'19_Расчет_аналитики'!P2648</f>
        <v/>
      </c>
      <c r="Q2651">
        <f>'19_Расчет_аналитики'!Q2647+'19_Расчет_аналитики'!Q2650-'19_Расчет_аналитики'!Q2648</f>
        <v/>
      </c>
      <c r="R2651">
        <f>'19_Расчет_аналитики'!R2647+'19_Расчет_аналитики'!R2650-'19_Расчет_аналитики'!R2648</f>
        <v/>
      </c>
      <c r="S2651">
        <f>'19_Расчет_аналитики'!S2647+'19_Расчет_аналитики'!S2650-'19_Расчет_аналитики'!S2648</f>
        <v/>
      </c>
      <c r="T2651">
        <f>'19_Расчет_аналитики'!T2647+'19_Расчет_аналитики'!T2650-'19_Расчет_аналитики'!T2648</f>
        <v/>
      </c>
      <c r="U2651">
        <f>'19_Расчет_аналитики'!U2647+'19_Расчет_аналитики'!U2650-'19_Расчет_аналитики'!U2648</f>
        <v/>
      </c>
      <c r="V2651">
        <f>'19_Расчет_аналитики'!V2647+'19_Расчет_аналитики'!V2650-'19_Расчет_аналитики'!V2648</f>
        <v/>
      </c>
      <c r="W2651">
        <f>'19_Расчет_аналитики'!W2647+'19_Расчет_аналитики'!W2650-'19_Расчет_аналитики'!W2648</f>
        <v/>
      </c>
      <c r="X2651">
        <f>'19_Расчет_аналитики'!X2647+'19_Расчет_аналитики'!X2650-'19_Расчет_аналитики'!X2648</f>
        <v/>
      </c>
      <c r="Y2651">
        <f>'19_Расчет_аналитики'!Y2647+'19_Расчет_аналитики'!Y2650-'19_Расчет_аналитики'!Y2648</f>
        <v/>
      </c>
      <c r="Z2651">
        <f>'19_Расчет_аналитики'!Z2647+'19_Расчет_аналитики'!Z2650-'19_Расчет_аналитики'!Z2648</f>
        <v/>
      </c>
      <c r="AA2651">
        <f>'19_Расчет_аналитики'!AA2647+'19_Расчет_аналитики'!AA2650-'19_Расчет_аналитики'!AA2648</f>
        <v/>
      </c>
      <c r="AB2651">
        <f>'19_Расчет_аналитики'!AB2647+'19_Расчет_аналитики'!AB2650-'19_Расчет_аналитики'!AB2648</f>
        <v/>
      </c>
      <c r="AC2651">
        <f>'19_Расчет_аналитики'!AC2647+'19_Расчет_аналитики'!AC2650-'19_Расчет_аналитики'!AC2648</f>
        <v/>
      </c>
      <c r="AD2651">
        <f>'19_Расчет_аналитики'!AD2647+'19_Расчет_аналитики'!AD2650-'19_Расчет_аналитики'!AD2648</f>
        <v/>
      </c>
      <c r="AE2651">
        <f>'19_Расчет_аналитики'!AE2647+'19_Расчет_аналитики'!AE2650-'19_Расчет_аналитики'!AE2648</f>
        <v/>
      </c>
      <c r="AF2651">
        <f>'19_Расчет_аналитики'!AF2647+'19_Расчет_аналитики'!AF2650-'19_Расчет_аналитики'!AF2648</f>
        <v/>
      </c>
      <c r="AG2651">
        <f>'19_Расчет_аналитики'!AG2647+'19_Расчет_аналитики'!AG2650-'19_Расчет_аналитики'!AG2648</f>
        <v/>
      </c>
      <c r="AH2651">
        <f>'19_Расчет_аналитики'!AH2647+'19_Расчет_аналитики'!AH2650-'19_Расчет_аналитики'!AH2648</f>
        <v/>
      </c>
      <c r="AI2651">
        <f>'19_Расчет_аналитики'!AI2647+'19_Расчет_аналитики'!AI2650-'19_Расчет_аналитики'!AI2648</f>
        <v/>
      </c>
      <c r="AJ2651">
        <f>'19_Расчет_аналитики'!AJ2647+'19_Расчет_аналитики'!AJ2650-'19_Расчет_аналитики'!AJ2648</f>
        <v/>
      </c>
      <c r="AK2651">
        <f>'19_Расчет_аналитики'!AK2647+'19_Расчет_аналитики'!AK2650-'19_Расчет_аналитики'!AK2648</f>
        <v/>
      </c>
      <c r="AL2651">
        <f>'19_Расчет_аналитики'!AL2647+'19_Расчет_аналитики'!AL2650-'19_Расчет_аналитики'!AL2648</f>
        <v/>
      </c>
      <c r="AM2651">
        <f>'19_Расчет_аналитики'!AM2647+'19_Расчет_аналитики'!AM2650-'19_Расчет_аналитики'!AM2648</f>
        <v/>
      </c>
      <c r="AN2651">
        <f>'19_Расчет_аналитики'!AN2647+'19_Расчет_аналитики'!AN2650-'19_Расчет_аналитики'!AN2648</f>
        <v/>
      </c>
      <c r="AO2651">
        <f>'19_Расчет_аналитики'!AO2647+'19_Расчет_аналитики'!AO2650-'19_Расчет_аналитики'!AO2648</f>
        <v/>
      </c>
      <c r="AP2651">
        <f>'19_Расчет_аналитики'!AP2647+'19_Расчет_аналитики'!AP2650-'19_Расчет_аналитики'!AP2648</f>
        <v/>
      </c>
      <c r="AQ2651">
        <f>'19_Расчет_аналитики'!AQ2647+'19_Расчет_аналитики'!AQ2650-'19_Расчет_аналитики'!AQ2648</f>
        <v/>
      </c>
      <c r="AR2651">
        <f>'19_Расчет_аналитики'!AR2647+'19_Расчет_аналитики'!AR2650-'19_Расчет_аналитики'!AR2648</f>
        <v/>
      </c>
      <c r="AS2651">
        <f>'19_Расчет_аналитики'!AS2647+'19_Расчет_аналитики'!AS2650-'19_Расчет_аналитики'!AS2648</f>
        <v/>
      </c>
      <c r="AT2651">
        <f>'19_Расчет_аналитики'!AT2647+'19_Расчет_аналитики'!AT2650-'19_Расчет_аналитики'!AT2648</f>
        <v/>
      </c>
      <c r="AU2651">
        <f>'19_Расчет_аналитики'!AU2647+'19_Расчет_аналитики'!AU2650-'19_Расчет_аналитики'!AU2648</f>
        <v/>
      </c>
      <c r="AV2651">
        <f>'19_Расчет_аналитики'!AV2647+'19_Расчет_аналитики'!AV2650-'19_Расчет_аналитики'!AV2648</f>
        <v/>
      </c>
      <c r="AW2651">
        <f>'19_Расчет_аналитики'!AW2647+'19_Расчет_аналитики'!AW2650-'19_Расчет_аналитики'!AW2648</f>
        <v/>
      </c>
      <c r="AX2651">
        <f>'19_Расчет_аналитики'!AX2647+'19_Расчет_аналитики'!AX2650-'19_Расчет_аналитики'!AX2648</f>
        <v/>
      </c>
      <c r="AY2651">
        <f>'19_Расчет_аналитики'!AY2647+'19_Расчет_аналитики'!AY2650-'19_Расчет_аналитики'!AY2648</f>
        <v/>
      </c>
      <c r="AZ2651">
        <f>'19_Расчет_аналитики'!AZ2647+'19_Расчет_аналитики'!AZ2650-'19_Расчет_аналитики'!AZ2648</f>
        <v/>
      </c>
      <c r="BA2651">
        <f>'19_Расчет_аналитики'!BA2647+'19_Расчет_аналитики'!BA2650-'19_Расчет_аналитики'!BA2648</f>
        <v/>
      </c>
      <c r="BB2651">
        <f>'19_Расчет_аналитики'!BB2647+'19_Расчет_аналитики'!BB2650-'19_Расчет_аналитики'!BB2648</f>
        <v/>
      </c>
      <c r="BC2651">
        <f>'19_Расчет_аналитики'!BC2647+'19_Расчет_аналитики'!BC2650-'19_Расчет_аналитики'!BC2648</f>
        <v/>
      </c>
      <c r="BD2651">
        <f>'19_Расчет_аналитики'!BD2647+'19_Расчет_аналитики'!BD2650-'19_Расчет_аналитики'!BD2648</f>
        <v/>
      </c>
      <c r="BE2651">
        <f>'19_Расчет_аналитики'!BE2647+'19_Расчет_аналитики'!BE2650-'19_Расчет_аналитики'!BE2648</f>
        <v/>
      </c>
      <c r="BF2651">
        <f>'19_Расчет_аналитики'!BF2647+'19_Расчет_аналитики'!BF2650-'19_Расчет_аналитики'!BF2648</f>
        <v/>
      </c>
      <c r="BG2651">
        <f>'19_Расчет_аналитики'!BG2647+'19_Расчет_аналитики'!BG2650-'19_Расчет_аналитики'!BG2648</f>
        <v/>
      </c>
      <c r="BH2651">
        <f>'19_Расчет_аналитики'!BH2647+'19_Расчет_аналитики'!BH2650-'19_Расчет_аналитики'!BH2648</f>
        <v/>
      </c>
      <c r="BI2651">
        <f>'19_Расчет_аналитики'!BI2647+'19_Расчет_аналитики'!BI2650-'19_Расчет_аналитики'!BI2648</f>
        <v/>
      </c>
      <c r="BJ2651">
        <f>'19_Расчет_аналитики'!BJ2647+'19_Расчет_аналитики'!BJ2650-'19_Расчет_аналитики'!BJ2648</f>
        <v/>
      </c>
      <c r="BK2651">
        <f>'19_Расчет_аналитики'!BK2647+'19_Расчет_аналитики'!BK2650-'19_Расчет_аналитики'!BK2648</f>
        <v/>
      </c>
      <c r="BL2651">
        <f>'19_Расчет_аналитики'!BL2647+'19_Расчет_аналитики'!BL2650-'19_Расчет_аналитики'!BL2648</f>
        <v/>
      </c>
      <c r="BM2651">
        <f>'19_Расчет_аналитики'!BM2647+'19_Расчет_аналитики'!BM2650-'19_Расчет_аналитики'!BM2648</f>
        <v/>
      </c>
      <c r="BN2651">
        <f>'19_Расчет_аналитики'!BN2647+'19_Расчет_аналитики'!BN2650-'19_Расчет_аналитики'!BN2648</f>
        <v/>
      </c>
      <c r="BO2651">
        <f>'19_Расчет_аналитики'!BO2647+'19_Расчет_аналитики'!BO2650-'19_Расчет_аналитики'!BO2648</f>
        <v/>
      </c>
    </row>
    <row r="2652">
      <c r="B2652">
        <f>MAX(0,-'19_Расчет_аналитики'!B2651)</f>
        <v/>
      </c>
      <c r="C2652">
        <f>MAX(0,-'19_Расчет_аналитики'!C2651)</f>
        <v/>
      </c>
      <c r="D2652">
        <f>MAX(0,-'19_Расчет_аналитики'!D2651)</f>
        <v/>
      </c>
      <c r="E2652">
        <f>MAX(0,-'19_Расчет_аналитики'!E2651)</f>
        <v/>
      </c>
      <c r="F2652">
        <f>MAX(0,-'19_Расчет_аналитики'!F2651)</f>
        <v/>
      </c>
      <c r="G2652">
        <f>MAX(0,-'19_Расчет_аналитики'!G2651)</f>
        <v/>
      </c>
      <c r="H2652">
        <f>MAX(0,-'19_Расчет_аналитики'!H2651)</f>
        <v/>
      </c>
      <c r="I2652">
        <f>MAX(0,-'19_Расчет_аналитики'!I2651)</f>
        <v/>
      </c>
      <c r="J2652">
        <f>MAX(0,-'19_Расчет_аналитики'!J2651)</f>
        <v/>
      </c>
      <c r="K2652">
        <f>MAX(0,-'19_Расчет_аналитики'!K2651)</f>
        <v/>
      </c>
      <c r="L2652">
        <f>MAX(0,-'19_Расчет_аналитики'!L2651)</f>
        <v/>
      </c>
      <c r="M2652">
        <f>MAX(0,-'19_Расчет_аналитики'!M2651)</f>
        <v/>
      </c>
      <c r="N2652">
        <f>MAX(0,-'19_Расчет_аналитики'!N2651)</f>
        <v/>
      </c>
      <c r="O2652">
        <f>MAX(0,-'19_Расчет_аналитики'!O2651)</f>
        <v/>
      </c>
      <c r="P2652">
        <f>MAX(0,-'19_Расчет_аналитики'!P2651)</f>
        <v/>
      </c>
      <c r="Q2652">
        <f>MAX(0,-'19_Расчет_аналитики'!Q2651)</f>
        <v/>
      </c>
      <c r="R2652">
        <f>MAX(0,-'19_Расчет_аналитики'!R2651)</f>
        <v/>
      </c>
      <c r="S2652">
        <f>MAX(0,-'19_Расчет_аналитики'!S2651)</f>
        <v/>
      </c>
      <c r="T2652">
        <f>MAX(0,-'19_Расчет_аналитики'!T2651)</f>
        <v/>
      </c>
      <c r="U2652">
        <f>MAX(0,-'19_Расчет_аналитики'!U2651)</f>
        <v/>
      </c>
      <c r="V2652">
        <f>MAX(0,-'19_Расчет_аналитики'!V2651)</f>
        <v/>
      </c>
      <c r="W2652">
        <f>MAX(0,-'19_Расчет_аналитики'!W2651)</f>
        <v/>
      </c>
      <c r="X2652">
        <f>MAX(0,-'19_Расчет_аналитики'!X2651)</f>
        <v/>
      </c>
      <c r="Y2652">
        <f>MAX(0,-'19_Расчет_аналитики'!Y2651)</f>
        <v/>
      </c>
      <c r="Z2652">
        <f>MAX(0,-'19_Расчет_аналитики'!Z2651)</f>
        <v/>
      </c>
      <c r="AA2652">
        <f>MAX(0,-'19_Расчет_аналитики'!AA2651)</f>
        <v/>
      </c>
      <c r="AB2652">
        <f>MAX(0,-'19_Расчет_аналитики'!AB2651)</f>
        <v/>
      </c>
      <c r="AC2652">
        <f>MAX(0,-'19_Расчет_аналитики'!AC2651)</f>
        <v/>
      </c>
      <c r="AD2652">
        <f>MAX(0,-'19_Расчет_аналитики'!AD2651)</f>
        <v/>
      </c>
      <c r="AE2652">
        <f>MAX(0,-'19_Расчет_аналитики'!AE2651)</f>
        <v/>
      </c>
      <c r="AF2652">
        <f>MAX(0,-'19_Расчет_аналитики'!AF2651)</f>
        <v/>
      </c>
      <c r="AG2652">
        <f>MAX(0,-'19_Расчет_аналитики'!AG2651)</f>
        <v/>
      </c>
      <c r="AH2652">
        <f>MAX(0,-'19_Расчет_аналитики'!AH2651)</f>
        <v/>
      </c>
      <c r="AI2652">
        <f>MAX(0,-'19_Расчет_аналитики'!AI2651)</f>
        <v/>
      </c>
      <c r="AJ2652">
        <f>MAX(0,-'19_Расчет_аналитики'!AJ2651)</f>
        <v/>
      </c>
      <c r="AK2652">
        <f>MAX(0,-'19_Расчет_аналитики'!AK2651)</f>
        <v/>
      </c>
      <c r="AL2652">
        <f>MAX(0,-'19_Расчет_аналитики'!AL2651)</f>
        <v/>
      </c>
      <c r="AM2652">
        <f>MAX(0,-'19_Расчет_аналитики'!AM2651)</f>
        <v/>
      </c>
      <c r="AN2652">
        <f>MAX(0,-'19_Расчет_аналитики'!AN2651)</f>
        <v/>
      </c>
      <c r="AO2652">
        <f>MAX(0,-'19_Расчет_аналитики'!AO2651)</f>
        <v/>
      </c>
      <c r="AP2652">
        <f>MAX(0,-'19_Расчет_аналитики'!AP2651)</f>
        <v/>
      </c>
      <c r="AQ2652">
        <f>MAX(0,-'19_Расчет_аналитики'!AQ2651)</f>
        <v/>
      </c>
      <c r="AR2652">
        <f>MAX(0,-'19_Расчет_аналитики'!AR2651)</f>
        <v/>
      </c>
      <c r="AS2652">
        <f>MAX(0,-'19_Расчет_аналитики'!AS2651)</f>
        <v/>
      </c>
      <c r="AT2652">
        <f>MAX(0,-'19_Расчет_аналитики'!AT2651)</f>
        <v/>
      </c>
      <c r="AU2652">
        <f>MAX(0,-'19_Расчет_аналитики'!AU2651)</f>
        <v/>
      </c>
      <c r="AV2652">
        <f>MAX(0,-'19_Расчет_аналитики'!AV2651)</f>
        <v/>
      </c>
      <c r="AW2652">
        <f>MAX(0,-'19_Расчет_аналитики'!AW2651)</f>
        <v/>
      </c>
      <c r="AX2652">
        <f>MAX(0,-'19_Расчет_аналитики'!AX2651)</f>
        <v/>
      </c>
      <c r="AY2652">
        <f>MAX(0,-'19_Расчет_аналитики'!AY2651)</f>
        <v/>
      </c>
      <c r="AZ2652">
        <f>MAX(0,-'19_Расчет_аналитики'!AZ2651)</f>
        <v/>
      </c>
      <c r="BA2652">
        <f>MAX(0,-'19_Расчет_аналитики'!BA2651)</f>
        <v/>
      </c>
      <c r="BB2652">
        <f>MAX(0,-'19_Расчет_аналитики'!BB2651)</f>
        <v/>
      </c>
      <c r="BC2652">
        <f>MAX(0,-'19_Расчет_аналитики'!BC2651)</f>
        <v/>
      </c>
      <c r="BD2652">
        <f>MAX(0,-'19_Расчет_аналитики'!BD2651)</f>
        <v/>
      </c>
      <c r="BE2652">
        <f>MAX(0,-'19_Расчет_аналитики'!BE2651)</f>
        <v/>
      </c>
      <c r="BF2652">
        <f>MAX(0,-'19_Расчет_аналитики'!BF2651)</f>
        <v/>
      </c>
      <c r="BG2652">
        <f>MAX(0,-'19_Расчет_аналитики'!BG2651)</f>
        <v/>
      </c>
      <c r="BH2652">
        <f>MAX(0,-'19_Расчет_аналитики'!BH2651)</f>
        <v/>
      </c>
      <c r="BI2652">
        <f>MAX(0,-'19_Расчет_аналитики'!BI2651)</f>
        <v/>
      </c>
      <c r="BJ2652">
        <f>MAX(0,-'19_Расчет_аналитики'!BJ2651)</f>
        <v/>
      </c>
      <c r="BK2652">
        <f>MAX(0,-'19_Расчет_аналитики'!BK2651)</f>
        <v/>
      </c>
      <c r="BL2652">
        <f>MAX(0,-'19_Расчет_аналитики'!BL2651)</f>
        <v/>
      </c>
      <c r="BM2652">
        <f>MAX(0,-'19_Расчет_аналитики'!BM2651)</f>
        <v/>
      </c>
      <c r="BN2652">
        <f>MAX(0,-'19_Расчет_аналитики'!BN2651)</f>
        <v/>
      </c>
      <c r="BO2652">
        <f>MAX(0,-'19_Расчет_аналитики'!BO2651)</f>
        <v/>
      </c>
    </row>
    <row r="2653"/>
    <row r="2654">
      <c r="C2654">
        <f>'19_Расчет_аналитики'!B2657</f>
        <v/>
      </c>
      <c r="D2654">
        <f>'19_Расчет_аналитики'!C2657</f>
        <v/>
      </c>
      <c r="E2654">
        <f>'19_Расчет_аналитики'!D2657</f>
        <v/>
      </c>
      <c r="F2654">
        <f>'19_Расчет_аналитики'!E2657</f>
        <v/>
      </c>
      <c r="G2654">
        <f>'19_Расчет_аналитики'!F2657</f>
        <v/>
      </c>
      <c r="H2654">
        <f>'19_Расчет_аналитики'!G2657</f>
        <v/>
      </c>
      <c r="I2654">
        <f>'19_Расчет_аналитики'!H2657</f>
        <v/>
      </c>
      <c r="J2654">
        <f>'19_Расчет_аналитики'!I2657</f>
        <v/>
      </c>
      <c r="K2654">
        <f>'19_Расчет_аналитики'!J2657</f>
        <v/>
      </c>
      <c r="L2654">
        <f>'19_Расчет_аналитики'!K2657</f>
        <v/>
      </c>
      <c r="M2654">
        <f>'19_Расчет_аналитики'!L2657</f>
        <v/>
      </c>
      <c r="N2654">
        <f>'19_Расчет_аналитики'!M2657</f>
        <v/>
      </c>
      <c r="O2654">
        <f>'19_Расчет_аналитики'!N2657</f>
        <v/>
      </c>
      <c r="P2654">
        <f>'19_Расчет_аналитики'!O2657</f>
        <v/>
      </c>
      <c r="Q2654">
        <f>'19_Расчет_аналитики'!P2657</f>
        <v/>
      </c>
      <c r="R2654">
        <f>'19_Расчет_аналитики'!Q2657</f>
        <v/>
      </c>
      <c r="S2654">
        <f>'19_Расчет_аналитики'!R2657</f>
        <v/>
      </c>
      <c r="T2654">
        <f>'19_Расчет_аналитики'!S2657</f>
        <v/>
      </c>
      <c r="U2654">
        <f>'19_Расчет_аналитики'!T2657</f>
        <v/>
      </c>
      <c r="V2654">
        <f>'19_Расчет_аналитики'!U2657</f>
        <v/>
      </c>
      <c r="W2654">
        <f>'19_Расчет_аналитики'!V2657</f>
        <v/>
      </c>
      <c r="X2654">
        <f>'19_Расчет_аналитики'!W2657</f>
        <v/>
      </c>
      <c r="Y2654">
        <f>'19_Расчет_аналитики'!X2657</f>
        <v/>
      </c>
      <c r="Z2654">
        <f>'19_Расчет_аналитики'!Y2657</f>
        <v/>
      </c>
      <c r="AA2654">
        <f>'19_Расчет_аналитики'!Z2657</f>
        <v/>
      </c>
      <c r="AB2654">
        <f>'19_Расчет_аналитики'!AA2657</f>
        <v/>
      </c>
      <c r="AC2654">
        <f>'19_Расчет_аналитики'!AB2657</f>
        <v/>
      </c>
      <c r="AD2654">
        <f>'19_Расчет_аналитики'!AC2657</f>
        <v/>
      </c>
      <c r="AE2654">
        <f>'19_Расчет_аналитики'!AD2657</f>
        <v/>
      </c>
      <c r="AF2654">
        <f>'19_Расчет_аналитики'!AE2657</f>
        <v/>
      </c>
      <c r="AG2654">
        <f>'19_Расчет_аналитики'!AF2657</f>
        <v/>
      </c>
      <c r="AH2654">
        <f>'19_Расчет_аналитики'!AG2657</f>
        <v/>
      </c>
      <c r="AI2654">
        <f>'19_Расчет_аналитики'!AH2657</f>
        <v/>
      </c>
      <c r="AJ2654">
        <f>'19_Расчет_аналитики'!AI2657</f>
        <v/>
      </c>
      <c r="AK2654">
        <f>'19_Расчет_аналитики'!AJ2657</f>
        <v/>
      </c>
      <c r="AL2654">
        <f>'19_Расчет_аналитики'!AK2657</f>
        <v/>
      </c>
      <c r="AM2654">
        <f>'19_Расчет_аналитики'!AL2657</f>
        <v/>
      </c>
      <c r="AN2654">
        <f>'19_Расчет_аналитики'!AM2657</f>
        <v/>
      </c>
      <c r="AO2654">
        <f>'19_Расчет_аналитики'!AN2657</f>
        <v/>
      </c>
      <c r="AP2654">
        <f>'19_Расчет_аналитики'!AO2657</f>
        <v/>
      </c>
      <c r="AQ2654">
        <f>'19_Расчет_аналитики'!AP2657</f>
        <v/>
      </c>
      <c r="AR2654">
        <f>'19_Расчет_аналитики'!AQ2657</f>
        <v/>
      </c>
      <c r="AS2654">
        <f>'19_Расчет_аналитики'!AR2657</f>
        <v/>
      </c>
      <c r="AT2654">
        <f>'19_Расчет_аналитики'!AS2657</f>
        <v/>
      </c>
      <c r="AU2654">
        <f>'19_Расчет_аналитики'!AT2657</f>
        <v/>
      </c>
      <c r="AV2654">
        <f>'19_Расчет_аналитики'!AU2657</f>
        <v/>
      </c>
      <c r="AW2654">
        <f>'19_Расчет_аналитики'!AV2657</f>
        <v/>
      </c>
      <c r="AX2654">
        <f>'19_Расчет_аналитики'!AW2657</f>
        <v/>
      </c>
      <c r="AY2654">
        <f>'19_Расчет_аналитики'!AX2657</f>
        <v/>
      </c>
      <c r="AZ2654">
        <f>'19_Расчет_аналитики'!AY2657</f>
        <v/>
      </c>
      <c r="BA2654">
        <f>'19_Расчет_аналитики'!AZ2657</f>
        <v/>
      </c>
      <c r="BB2654">
        <f>'19_Расчет_аналитики'!BA2657</f>
        <v/>
      </c>
      <c r="BC2654">
        <f>'19_Расчет_аналитики'!BB2657</f>
        <v/>
      </c>
      <c r="BD2654">
        <f>'19_Расчет_аналитики'!BC2657</f>
        <v/>
      </c>
      <c r="BE2654">
        <f>'19_Расчет_аналитики'!BD2657</f>
        <v/>
      </c>
      <c r="BF2654">
        <f>'19_Расчет_аналитики'!BE2657</f>
        <v/>
      </c>
      <c r="BG2654">
        <f>'19_Расчет_аналитики'!BF2657</f>
        <v/>
      </c>
      <c r="BH2654">
        <f>'19_Расчет_аналитики'!BG2657</f>
        <v/>
      </c>
      <c r="BI2654">
        <f>'19_Расчет_аналитики'!BH2657</f>
        <v/>
      </c>
      <c r="BJ2654">
        <f>'19_Расчет_аналитики'!BI2657</f>
        <v/>
      </c>
      <c r="BK2654">
        <f>'19_Расчет_аналитики'!BJ2657</f>
        <v/>
      </c>
      <c r="BL2654">
        <f>'19_Расчет_аналитики'!BK2657</f>
        <v/>
      </c>
      <c r="BM2654">
        <f>'19_Расчет_аналитики'!BL2657</f>
        <v/>
      </c>
      <c r="BN2654">
        <f>'19_Расчет_аналитики'!BM2657</f>
        <v/>
      </c>
      <c r="BO2654">
        <f>'19_Расчет_аналитики'!BN2657</f>
        <v/>
      </c>
    </row>
    <row r="2655">
      <c r="B2655">
        <f>MIN('07_Мерч'!B29,'19_Расчет_аналитики'!B2641*'01_Вводные'!$B$79)</f>
        <v/>
      </c>
      <c r="C2655">
        <f>MIN('19_Расчет_аналитики'!C2654,'19_Расчет_аналитики'!C2641*'01_Вводные'!$B$79)</f>
        <v/>
      </c>
      <c r="D2655">
        <f>MIN('19_Расчет_аналитики'!D2654,'19_Расчет_аналитики'!D2641*'01_Вводные'!$B$79)</f>
        <v/>
      </c>
      <c r="E2655">
        <f>MIN('19_Расчет_аналитики'!E2654,'19_Расчет_аналитики'!E2641*'01_Вводные'!$B$79)</f>
        <v/>
      </c>
      <c r="F2655">
        <f>MIN('19_Расчет_аналитики'!F2654,'19_Расчет_аналитики'!F2641*'01_Вводные'!$B$79)</f>
        <v/>
      </c>
      <c r="G2655">
        <f>MIN('19_Расчет_аналитики'!G2654,'19_Расчет_аналитики'!G2641*'01_Вводные'!$B$79)</f>
        <v/>
      </c>
      <c r="H2655">
        <f>MIN('19_Расчет_аналитики'!H2654,'19_Расчет_аналитики'!H2641*'01_Вводные'!$B$79)</f>
        <v/>
      </c>
      <c r="I2655">
        <f>MIN('19_Расчет_аналитики'!I2654,'19_Расчет_аналитики'!I2641*'01_Вводные'!$B$79)</f>
        <v/>
      </c>
      <c r="J2655">
        <f>MIN('19_Расчет_аналитики'!J2654,'19_Расчет_аналитики'!J2641*'01_Вводные'!$B$79)</f>
        <v/>
      </c>
      <c r="K2655">
        <f>MIN('19_Расчет_аналитики'!K2654,'19_Расчет_аналитики'!K2641*'01_Вводные'!$B$79)</f>
        <v/>
      </c>
      <c r="L2655">
        <f>MIN('19_Расчет_аналитики'!L2654,'19_Расчет_аналитики'!L2641*'01_Вводные'!$B$79)</f>
        <v/>
      </c>
      <c r="M2655">
        <f>MIN('19_Расчет_аналитики'!M2654,'19_Расчет_аналитики'!M2641*'01_Вводные'!$B$79)</f>
        <v/>
      </c>
      <c r="N2655">
        <f>MIN('19_Расчет_аналитики'!N2654,'19_Расчет_аналитики'!N2641*'01_Вводные'!$B$79)</f>
        <v/>
      </c>
      <c r="O2655">
        <f>MIN('19_Расчет_аналитики'!O2654,'19_Расчет_аналитики'!O2641*'01_Вводные'!$B$79)</f>
        <v/>
      </c>
      <c r="P2655">
        <f>MIN('19_Расчет_аналитики'!P2654,'19_Расчет_аналитики'!P2641*'01_Вводные'!$B$79)</f>
        <v/>
      </c>
      <c r="Q2655">
        <f>MIN('19_Расчет_аналитики'!Q2654,'19_Расчет_аналитики'!Q2641*'01_Вводные'!$B$79)</f>
        <v/>
      </c>
      <c r="R2655">
        <f>MIN('19_Расчет_аналитики'!R2654,'19_Расчет_аналитики'!R2641*'01_Вводные'!$B$79)</f>
        <v/>
      </c>
      <c r="S2655">
        <f>MIN('19_Расчет_аналитики'!S2654,'19_Расчет_аналитики'!S2641*'01_Вводные'!$B$79)</f>
        <v/>
      </c>
      <c r="T2655">
        <f>MIN('19_Расчет_аналитики'!T2654,'19_Расчет_аналитики'!T2641*'01_Вводные'!$B$79)</f>
        <v/>
      </c>
      <c r="U2655">
        <f>MIN('19_Расчет_аналитики'!U2654,'19_Расчет_аналитики'!U2641*'01_Вводные'!$B$79)</f>
        <v/>
      </c>
      <c r="V2655">
        <f>MIN('19_Расчет_аналитики'!V2654,'19_Расчет_аналитики'!V2641*'01_Вводные'!$B$79)</f>
        <v/>
      </c>
      <c r="W2655">
        <f>MIN('19_Расчет_аналитики'!W2654,'19_Расчет_аналитики'!W2641*'01_Вводные'!$B$79)</f>
        <v/>
      </c>
      <c r="X2655">
        <f>MIN('19_Расчет_аналитики'!X2654,'19_Расчет_аналитики'!X2641*'01_Вводные'!$B$79)</f>
        <v/>
      </c>
      <c r="Y2655">
        <f>MIN('19_Расчет_аналитики'!Y2654,'19_Расчет_аналитики'!Y2641*'01_Вводные'!$B$79)</f>
        <v/>
      </c>
      <c r="Z2655">
        <f>MIN('19_Расчет_аналитики'!Z2654,'19_Расчет_аналитики'!Z2641*'01_Вводные'!$B$79)</f>
        <v/>
      </c>
      <c r="AA2655">
        <f>MIN('19_Расчет_аналитики'!AA2654,'19_Расчет_аналитики'!AA2641*'01_Вводные'!$B$79)</f>
        <v/>
      </c>
      <c r="AB2655">
        <f>MIN('19_Расчет_аналитики'!AB2654,'19_Расчет_аналитики'!AB2641*'01_Вводные'!$B$79)</f>
        <v/>
      </c>
      <c r="AC2655">
        <f>MIN('19_Расчет_аналитики'!AC2654,'19_Расчет_аналитики'!AC2641*'01_Вводные'!$B$79)</f>
        <v/>
      </c>
      <c r="AD2655">
        <f>MIN('19_Расчет_аналитики'!AD2654,'19_Расчет_аналитики'!AD2641*'01_Вводные'!$B$79)</f>
        <v/>
      </c>
      <c r="AE2655">
        <f>MIN('19_Расчет_аналитики'!AE2654,'19_Расчет_аналитики'!AE2641*'01_Вводные'!$B$79)</f>
        <v/>
      </c>
      <c r="AF2655">
        <f>MIN('19_Расчет_аналитики'!AF2654,'19_Расчет_аналитики'!AF2641*'01_Вводные'!$B$79)</f>
        <v/>
      </c>
      <c r="AG2655">
        <f>MIN('19_Расчет_аналитики'!AG2654,'19_Расчет_аналитики'!AG2641*'01_Вводные'!$B$79)</f>
        <v/>
      </c>
      <c r="AH2655">
        <f>MIN('19_Расчет_аналитики'!AH2654,'19_Расчет_аналитики'!AH2641*'01_Вводные'!$B$79)</f>
        <v/>
      </c>
      <c r="AI2655">
        <f>MIN('19_Расчет_аналитики'!AI2654,'19_Расчет_аналитики'!AI2641*'01_Вводные'!$B$79)</f>
        <v/>
      </c>
      <c r="AJ2655">
        <f>MIN('19_Расчет_аналитики'!AJ2654,'19_Расчет_аналитики'!AJ2641*'01_Вводные'!$B$79)</f>
        <v/>
      </c>
      <c r="AK2655">
        <f>MIN('19_Расчет_аналитики'!AK2654,'19_Расчет_аналитики'!AK2641*'01_Вводные'!$B$79)</f>
        <v/>
      </c>
      <c r="AL2655">
        <f>MIN('19_Расчет_аналитики'!AL2654,'19_Расчет_аналитики'!AL2641*'01_Вводные'!$B$79)</f>
        <v/>
      </c>
      <c r="AM2655">
        <f>MIN('19_Расчет_аналитики'!AM2654,'19_Расчет_аналитики'!AM2641*'01_Вводные'!$B$79)</f>
        <v/>
      </c>
      <c r="AN2655">
        <f>MIN('19_Расчет_аналитики'!AN2654,'19_Расчет_аналитики'!AN2641*'01_Вводные'!$B$79)</f>
        <v/>
      </c>
      <c r="AO2655">
        <f>MIN('19_Расчет_аналитики'!AO2654,'19_Расчет_аналитики'!AO2641*'01_Вводные'!$B$79)</f>
        <v/>
      </c>
      <c r="AP2655">
        <f>MIN('19_Расчет_аналитики'!AP2654,'19_Расчет_аналитики'!AP2641*'01_Вводные'!$B$79)</f>
        <v/>
      </c>
      <c r="AQ2655">
        <f>MIN('19_Расчет_аналитики'!AQ2654,'19_Расчет_аналитики'!AQ2641*'01_Вводные'!$B$79)</f>
        <v/>
      </c>
      <c r="AR2655">
        <f>MIN('19_Расчет_аналитики'!AR2654,'19_Расчет_аналитики'!AR2641*'01_Вводные'!$B$79)</f>
        <v/>
      </c>
      <c r="AS2655">
        <f>MIN('19_Расчет_аналитики'!AS2654,'19_Расчет_аналитики'!AS2641*'01_Вводные'!$B$79)</f>
        <v/>
      </c>
      <c r="AT2655">
        <f>MIN('19_Расчет_аналитики'!AT2654,'19_Расчет_аналитики'!AT2641*'01_Вводные'!$B$79)</f>
        <v/>
      </c>
      <c r="AU2655">
        <f>MIN('19_Расчет_аналитики'!AU2654,'19_Расчет_аналитики'!AU2641*'01_Вводные'!$B$79)</f>
        <v/>
      </c>
      <c r="AV2655">
        <f>MIN('19_Расчет_аналитики'!AV2654,'19_Расчет_аналитики'!AV2641*'01_Вводные'!$B$79)</f>
        <v/>
      </c>
      <c r="AW2655">
        <f>MIN('19_Расчет_аналитики'!AW2654,'19_Расчет_аналитики'!AW2641*'01_Вводные'!$B$79)</f>
        <v/>
      </c>
      <c r="AX2655">
        <f>MIN('19_Расчет_аналитики'!AX2654,'19_Расчет_аналитики'!AX2641*'01_Вводные'!$B$79)</f>
        <v/>
      </c>
      <c r="AY2655">
        <f>MIN('19_Расчет_аналитики'!AY2654,'19_Расчет_аналитики'!AY2641*'01_Вводные'!$B$79)</f>
        <v/>
      </c>
      <c r="AZ2655">
        <f>MIN('19_Расчет_аналитики'!AZ2654,'19_Расчет_аналитики'!AZ2641*'01_Вводные'!$B$79)</f>
        <v/>
      </c>
      <c r="BA2655">
        <f>MIN('19_Расчет_аналитики'!BA2654,'19_Расчет_аналитики'!BA2641*'01_Вводные'!$B$79)</f>
        <v/>
      </c>
      <c r="BB2655">
        <f>MIN('19_Расчет_аналитики'!BB2654,'19_Расчет_аналитики'!BB2641*'01_Вводные'!$B$79)</f>
        <v/>
      </c>
      <c r="BC2655">
        <f>MIN('19_Расчет_аналитики'!BC2654,'19_Расчет_аналитики'!BC2641*'01_Вводные'!$B$79)</f>
        <v/>
      </c>
      <c r="BD2655">
        <f>MIN('19_Расчет_аналитики'!BD2654,'19_Расчет_аналитики'!BD2641*'01_Вводные'!$B$79)</f>
        <v/>
      </c>
      <c r="BE2655">
        <f>MIN('19_Расчет_аналитики'!BE2654,'19_Расчет_аналитики'!BE2641*'01_Вводные'!$B$79)</f>
        <v/>
      </c>
      <c r="BF2655">
        <f>MIN('19_Расчет_аналитики'!BF2654,'19_Расчет_аналитики'!BF2641*'01_Вводные'!$B$79)</f>
        <v/>
      </c>
      <c r="BG2655">
        <f>MIN('19_Расчет_аналитики'!BG2654,'19_Расчет_аналитики'!BG2641*'01_Вводные'!$B$79)</f>
        <v/>
      </c>
      <c r="BH2655">
        <f>MIN('19_Расчет_аналитики'!BH2654,'19_Расчет_аналитики'!BH2641*'01_Вводные'!$B$79)</f>
        <v/>
      </c>
      <c r="BI2655">
        <f>MIN('19_Расчет_аналитики'!BI2654,'19_Расчет_аналитики'!BI2641*'01_Вводные'!$B$79)</f>
        <v/>
      </c>
      <c r="BJ2655">
        <f>MIN('19_Расчет_аналитики'!BJ2654,'19_Расчет_аналитики'!BJ2641*'01_Вводные'!$B$79)</f>
        <v/>
      </c>
      <c r="BK2655">
        <f>MIN('19_Расчет_аналитики'!BK2654,'19_Расчет_аналитики'!BK2641*'01_Вводные'!$B$79)</f>
        <v/>
      </c>
      <c r="BL2655">
        <f>MIN('19_Расчет_аналитики'!BL2654,'19_Расчет_аналитики'!BL2641*'01_Вводные'!$B$79)</f>
        <v/>
      </c>
      <c r="BM2655">
        <f>MIN('19_Расчет_аналитики'!BM2654,'19_Расчет_аналитики'!BM2641*'01_Вводные'!$B$79)</f>
        <v/>
      </c>
      <c r="BN2655">
        <f>MIN('19_Расчет_аналитики'!BN2654,'19_Расчет_аналитики'!BN2641*'01_Вводные'!$B$79)</f>
        <v/>
      </c>
      <c r="BO2655">
        <f>MIN('19_Расчет_аналитики'!BO2654,'19_Расчет_аналитики'!BO2641*'01_Вводные'!$B$79)</f>
        <v/>
      </c>
    </row>
    <row r="2656">
      <c r="B2656">
        <f>IF(OR('01_Вводные'!$B$238="Нет",'19_Расчет_аналитики'!B2651&gt;='19_Расчет_аналитики'!B2363-0.01),MIN('19_Расчет_аналитики'!B2655,MAX(0,'19_Расчет_аналитики'!B2811)),0)</f>
        <v/>
      </c>
      <c r="C2656">
        <f>IF(OR('01_Вводные'!$B$238="Нет",'19_Расчет_аналитики'!C2651&gt;='19_Расчет_аналитики'!C2363-0.01),MIN('19_Расчет_аналитики'!C2655,MAX(0,'19_Расчет_аналитики'!C2811)),0)</f>
        <v/>
      </c>
      <c r="D2656">
        <f>IF(OR('01_Вводные'!$B$238="Нет",'19_Расчет_аналитики'!D2651&gt;='19_Расчет_аналитики'!D2363-0.01),MIN('19_Расчет_аналитики'!D2655,MAX(0,'19_Расчет_аналитики'!D2811)),0)</f>
        <v/>
      </c>
      <c r="E2656">
        <f>IF(OR('01_Вводные'!$B$238="Нет",'19_Расчет_аналитики'!E2651&gt;='19_Расчет_аналитики'!E2363-0.01),MIN('19_Расчет_аналитики'!E2655,MAX(0,'19_Расчет_аналитики'!E2811)),0)</f>
        <v/>
      </c>
      <c r="F2656">
        <f>IF(OR('01_Вводные'!$B$238="Нет",'19_Расчет_аналитики'!F2651&gt;='19_Расчет_аналитики'!F2363-0.01),MIN('19_Расчет_аналитики'!F2655,MAX(0,'19_Расчет_аналитики'!F2811)),0)</f>
        <v/>
      </c>
      <c r="G2656">
        <f>IF(OR('01_Вводные'!$B$238="Нет",'19_Расчет_аналитики'!G2651&gt;='19_Расчет_аналитики'!G2363-0.01),MIN('19_Расчет_аналитики'!G2655,MAX(0,'19_Расчет_аналитики'!G2811)),0)</f>
        <v/>
      </c>
      <c r="H2656">
        <f>IF(OR('01_Вводные'!$B$238="Нет",'19_Расчет_аналитики'!H2651&gt;='19_Расчет_аналитики'!H2363-0.01),MIN('19_Расчет_аналитики'!H2655,MAX(0,'19_Расчет_аналитики'!H2811)),0)</f>
        <v/>
      </c>
      <c r="I2656">
        <f>IF(OR('01_Вводные'!$B$238="Нет",'19_Расчет_аналитики'!I2651&gt;='19_Расчет_аналитики'!I2363-0.01),MIN('19_Расчет_аналитики'!I2655,MAX(0,'19_Расчет_аналитики'!I2811)),0)</f>
        <v/>
      </c>
      <c r="J2656">
        <f>IF(OR('01_Вводные'!$B$238="Нет",'19_Расчет_аналитики'!J2651&gt;='19_Расчет_аналитики'!J2363-0.01),MIN('19_Расчет_аналитики'!J2655,MAX(0,'19_Расчет_аналитики'!J2811)),0)</f>
        <v/>
      </c>
      <c r="K2656">
        <f>IF(OR('01_Вводные'!$B$238="Нет",'19_Расчет_аналитики'!K2651&gt;='19_Расчет_аналитики'!K2363-0.01),MIN('19_Расчет_аналитики'!K2655,MAX(0,'19_Расчет_аналитики'!K2811)),0)</f>
        <v/>
      </c>
      <c r="L2656">
        <f>IF(OR('01_Вводные'!$B$238="Нет",'19_Расчет_аналитики'!L2651&gt;='19_Расчет_аналитики'!L2363-0.01),MIN('19_Расчет_аналитики'!L2655,MAX(0,'19_Расчет_аналитики'!L2811)),0)</f>
        <v/>
      </c>
      <c r="M2656">
        <f>IF(OR('01_Вводные'!$B$238="Нет",'19_Расчет_аналитики'!M2651&gt;='19_Расчет_аналитики'!M2363-0.01),MIN('19_Расчет_аналитики'!M2655,MAX(0,'19_Расчет_аналитики'!M2811)),0)</f>
        <v/>
      </c>
      <c r="N2656">
        <f>IF(OR('01_Вводные'!$B$238="Нет",'19_Расчет_аналитики'!N2651&gt;='19_Расчет_аналитики'!N2363-0.01),MIN('19_Расчет_аналитики'!N2655,MAX(0,'19_Расчет_аналитики'!N2811)),0)</f>
        <v/>
      </c>
      <c r="O2656">
        <f>IF(OR('01_Вводные'!$B$238="Нет",'19_Расчет_аналитики'!O2651&gt;='19_Расчет_аналитики'!O2363-0.01),MIN('19_Расчет_аналитики'!O2655,MAX(0,'19_Расчет_аналитики'!O2811)),0)</f>
        <v/>
      </c>
      <c r="P2656">
        <f>IF(OR('01_Вводные'!$B$238="Нет",'19_Расчет_аналитики'!P2651&gt;='19_Расчет_аналитики'!P2363-0.01),MIN('19_Расчет_аналитики'!P2655,MAX(0,'19_Расчет_аналитики'!P2811)),0)</f>
        <v/>
      </c>
      <c r="Q2656">
        <f>IF(OR('01_Вводные'!$B$238="Нет",'19_Расчет_аналитики'!Q2651&gt;='19_Расчет_аналитики'!Q2363-0.01),MIN('19_Расчет_аналитики'!Q2655,MAX(0,'19_Расчет_аналитики'!Q2811)),0)</f>
        <v/>
      </c>
      <c r="R2656">
        <f>IF(OR('01_Вводные'!$B$238="Нет",'19_Расчет_аналитики'!R2651&gt;='19_Расчет_аналитики'!R2363-0.01),MIN('19_Расчет_аналитики'!R2655,MAX(0,'19_Расчет_аналитики'!R2811)),0)</f>
        <v/>
      </c>
      <c r="S2656">
        <f>IF(OR('01_Вводные'!$B$238="Нет",'19_Расчет_аналитики'!S2651&gt;='19_Расчет_аналитики'!S2363-0.01),MIN('19_Расчет_аналитики'!S2655,MAX(0,'19_Расчет_аналитики'!S2811)),0)</f>
        <v/>
      </c>
      <c r="T2656">
        <f>IF(OR('01_Вводные'!$B$238="Нет",'19_Расчет_аналитики'!T2651&gt;='19_Расчет_аналитики'!T2363-0.01),MIN('19_Расчет_аналитики'!T2655,MAX(0,'19_Расчет_аналитики'!T2811)),0)</f>
        <v/>
      </c>
      <c r="U2656">
        <f>IF(OR('01_Вводные'!$B$238="Нет",'19_Расчет_аналитики'!U2651&gt;='19_Расчет_аналитики'!U2363-0.01),MIN('19_Расчет_аналитики'!U2655,MAX(0,'19_Расчет_аналитики'!U2811)),0)</f>
        <v/>
      </c>
      <c r="V2656">
        <f>IF(OR('01_Вводные'!$B$238="Нет",'19_Расчет_аналитики'!V2651&gt;='19_Расчет_аналитики'!V2363-0.01),MIN('19_Расчет_аналитики'!V2655,MAX(0,'19_Расчет_аналитики'!V2811)),0)</f>
        <v/>
      </c>
      <c r="W2656">
        <f>IF(OR('01_Вводные'!$B$238="Нет",'19_Расчет_аналитики'!W2651&gt;='19_Расчет_аналитики'!W2363-0.01),MIN('19_Расчет_аналитики'!W2655,MAX(0,'19_Расчет_аналитики'!W2811)),0)</f>
        <v/>
      </c>
      <c r="X2656">
        <f>IF(OR('01_Вводные'!$B$238="Нет",'19_Расчет_аналитики'!X2651&gt;='19_Расчет_аналитики'!X2363-0.01),MIN('19_Расчет_аналитики'!X2655,MAX(0,'19_Расчет_аналитики'!X2811)),0)</f>
        <v/>
      </c>
      <c r="Y2656">
        <f>IF(OR('01_Вводные'!$B$238="Нет",'19_Расчет_аналитики'!Y2651&gt;='19_Расчет_аналитики'!Y2363-0.01),MIN('19_Расчет_аналитики'!Y2655,MAX(0,'19_Расчет_аналитики'!Y2811)),0)</f>
        <v/>
      </c>
      <c r="Z2656">
        <f>IF(OR('01_Вводные'!$B$238="Нет",'19_Расчет_аналитики'!Z2651&gt;='19_Расчет_аналитики'!Z2363-0.01),MIN('19_Расчет_аналитики'!Z2655,MAX(0,'19_Расчет_аналитики'!Z2811)),0)</f>
        <v/>
      </c>
      <c r="AA2656">
        <f>IF(OR('01_Вводные'!$B$238="Нет",'19_Расчет_аналитики'!AA2651&gt;='19_Расчет_аналитики'!AA2363-0.01),MIN('19_Расчет_аналитики'!AA2655,MAX(0,'19_Расчет_аналитики'!AA2811)),0)</f>
        <v/>
      </c>
      <c r="AB2656">
        <f>IF(OR('01_Вводные'!$B$238="Нет",'19_Расчет_аналитики'!AB2651&gt;='19_Расчет_аналитики'!AB2363-0.01),MIN('19_Расчет_аналитики'!AB2655,MAX(0,'19_Расчет_аналитики'!AB2811)),0)</f>
        <v/>
      </c>
      <c r="AC2656">
        <f>IF(OR('01_Вводные'!$B$238="Нет",'19_Расчет_аналитики'!AC2651&gt;='19_Расчет_аналитики'!AC2363-0.01),MIN('19_Расчет_аналитики'!AC2655,MAX(0,'19_Расчет_аналитики'!AC2811)),0)</f>
        <v/>
      </c>
      <c r="AD2656">
        <f>IF(OR('01_Вводные'!$B$238="Нет",'19_Расчет_аналитики'!AD2651&gt;='19_Расчет_аналитики'!AD2363-0.01),MIN('19_Расчет_аналитики'!AD2655,MAX(0,'19_Расчет_аналитики'!AD2811)),0)</f>
        <v/>
      </c>
      <c r="AE2656">
        <f>IF(OR('01_Вводные'!$B$238="Нет",'19_Расчет_аналитики'!AE2651&gt;='19_Расчет_аналитики'!AE2363-0.01),MIN('19_Расчет_аналитики'!AE2655,MAX(0,'19_Расчет_аналитики'!AE2811)),0)</f>
        <v/>
      </c>
      <c r="AF2656">
        <f>IF(OR('01_Вводные'!$B$238="Нет",'19_Расчет_аналитики'!AF2651&gt;='19_Расчет_аналитики'!AF2363-0.01),MIN('19_Расчет_аналитики'!AF2655,MAX(0,'19_Расчет_аналитики'!AF2811)),0)</f>
        <v/>
      </c>
      <c r="AG2656">
        <f>IF(OR('01_Вводные'!$B$238="Нет",'19_Расчет_аналитики'!AG2651&gt;='19_Расчет_аналитики'!AG2363-0.01),MIN('19_Расчет_аналитики'!AG2655,MAX(0,'19_Расчет_аналитики'!AG2811)),0)</f>
        <v/>
      </c>
      <c r="AH2656">
        <f>IF(OR('01_Вводные'!$B$238="Нет",'19_Расчет_аналитики'!AH2651&gt;='19_Расчет_аналитики'!AH2363-0.01),MIN('19_Расчет_аналитики'!AH2655,MAX(0,'19_Расчет_аналитики'!AH2811)),0)</f>
        <v/>
      </c>
      <c r="AI2656">
        <f>IF(OR('01_Вводные'!$B$238="Нет",'19_Расчет_аналитики'!AI2651&gt;='19_Расчет_аналитики'!AI2363-0.01),MIN('19_Расчет_аналитики'!AI2655,MAX(0,'19_Расчет_аналитики'!AI2811)),0)</f>
        <v/>
      </c>
      <c r="AJ2656">
        <f>IF(OR('01_Вводные'!$B$238="Нет",'19_Расчет_аналитики'!AJ2651&gt;='19_Расчет_аналитики'!AJ2363-0.01),MIN('19_Расчет_аналитики'!AJ2655,MAX(0,'19_Расчет_аналитики'!AJ2811)),0)</f>
        <v/>
      </c>
      <c r="AK2656">
        <f>IF(OR('01_Вводные'!$B$238="Нет",'19_Расчет_аналитики'!AK2651&gt;='19_Расчет_аналитики'!AK2363-0.01),MIN('19_Расчет_аналитики'!AK2655,MAX(0,'19_Расчет_аналитики'!AK2811)),0)</f>
        <v/>
      </c>
      <c r="AL2656">
        <f>IF(OR('01_Вводные'!$B$238="Нет",'19_Расчет_аналитики'!AL2651&gt;='19_Расчет_аналитики'!AL2363-0.01),MIN('19_Расчет_аналитики'!AL2655,MAX(0,'19_Расчет_аналитики'!AL2811)),0)</f>
        <v/>
      </c>
      <c r="AM2656">
        <f>IF(OR('01_Вводные'!$B$238="Нет",'19_Расчет_аналитики'!AM2651&gt;='19_Расчет_аналитики'!AM2363-0.01),MIN('19_Расчет_аналитики'!AM2655,MAX(0,'19_Расчет_аналитики'!AM2811)),0)</f>
        <v/>
      </c>
      <c r="AN2656">
        <f>IF(OR('01_Вводные'!$B$238="Нет",'19_Расчет_аналитики'!AN2651&gt;='19_Расчет_аналитики'!AN2363-0.01),MIN('19_Расчет_аналитики'!AN2655,MAX(0,'19_Расчет_аналитики'!AN2811)),0)</f>
        <v/>
      </c>
      <c r="AO2656">
        <f>IF(OR('01_Вводные'!$B$238="Нет",'19_Расчет_аналитики'!AO2651&gt;='19_Расчет_аналитики'!AO2363-0.01),MIN('19_Расчет_аналитики'!AO2655,MAX(0,'19_Расчет_аналитики'!AO2811)),0)</f>
        <v/>
      </c>
      <c r="AP2656">
        <f>IF(OR('01_Вводные'!$B$238="Нет",'19_Расчет_аналитики'!AP2651&gt;='19_Расчет_аналитики'!AP2363-0.01),MIN('19_Расчет_аналитики'!AP2655,MAX(0,'19_Расчет_аналитики'!AP2811)),0)</f>
        <v/>
      </c>
      <c r="AQ2656">
        <f>IF(OR('01_Вводные'!$B$238="Нет",'19_Расчет_аналитики'!AQ2651&gt;='19_Расчет_аналитики'!AQ2363-0.01),MIN('19_Расчет_аналитики'!AQ2655,MAX(0,'19_Расчет_аналитики'!AQ2811)),0)</f>
        <v/>
      </c>
      <c r="AR2656">
        <f>IF(OR('01_Вводные'!$B$238="Нет",'19_Расчет_аналитики'!AR2651&gt;='19_Расчет_аналитики'!AR2363-0.01),MIN('19_Расчет_аналитики'!AR2655,MAX(0,'19_Расчет_аналитики'!AR2811)),0)</f>
        <v/>
      </c>
      <c r="AS2656">
        <f>IF(OR('01_Вводные'!$B$238="Нет",'19_Расчет_аналитики'!AS2651&gt;='19_Расчет_аналитики'!AS2363-0.01),MIN('19_Расчет_аналитики'!AS2655,MAX(0,'19_Расчет_аналитики'!AS2811)),0)</f>
        <v/>
      </c>
      <c r="AT2656">
        <f>IF(OR('01_Вводные'!$B$238="Нет",'19_Расчет_аналитики'!AT2651&gt;='19_Расчет_аналитики'!AT2363-0.01),MIN('19_Расчет_аналитики'!AT2655,MAX(0,'19_Расчет_аналитики'!AT2811)),0)</f>
        <v/>
      </c>
      <c r="AU2656">
        <f>IF(OR('01_Вводные'!$B$238="Нет",'19_Расчет_аналитики'!AU2651&gt;='19_Расчет_аналитики'!AU2363-0.01),MIN('19_Расчет_аналитики'!AU2655,MAX(0,'19_Расчет_аналитики'!AU2811)),0)</f>
        <v/>
      </c>
      <c r="AV2656">
        <f>IF(OR('01_Вводные'!$B$238="Нет",'19_Расчет_аналитики'!AV2651&gt;='19_Расчет_аналитики'!AV2363-0.01),MIN('19_Расчет_аналитики'!AV2655,MAX(0,'19_Расчет_аналитики'!AV2811)),0)</f>
        <v/>
      </c>
      <c r="AW2656">
        <f>IF(OR('01_Вводные'!$B$238="Нет",'19_Расчет_аналитики'!AW2651&gt;='19_Расчет_аналитики'!AW2363-0.01),MIN('19_Расчет_аналитики'!AW2655,MAX(0,'19_Расчет_аналитики'!AW2811)),0)</f>
        <v/>
      </c>
      <c r="AX2656">
        <f>IF(OR('01_Вводные'!$B$238="Нет",'19_Расчет_аналитики'!AX2651&gt;='19_Расчет_аналитики'!AX2363-0.01),MIN('19_Расчет_аналитики'!AX2655,MAX(0,'19_Расчет_аналитики'!AX2811)),0)</f>
        <v/>
      </c>
      <c r="AY2656">
        <f>IF(OR('01_Вводные'!$B$238="Нет",'19_Расчет_аналитики'!AY2651&gt;='19_Расчет_аналитики'!AY2363-0.01),MIN('19_Расчет_аналитики'!AY2655,MAX(0,'19_Расчет_аналитики'!AY2811)),0)</f>
        <v/>
      </c>
      <c r="AZ2656">
        <f>IF(OR('01_Вводные'!$B$238="Нет",'19_Расчет_аналитики'!AZ2651&gt;='19_Расчет_аналитики'!AZ2363-0.01),MIN('19_Расчет_аналитики'!AZ2655,MAX(0,'19_Расчет_аналитики'!AZ2811)),0)</f>
        <v/>
      </c>
      <c r="BA2656">
        <f>IF(OR('01_Вводные'!$B$238="Нет",'19_Расчет_аналитики'!BA2651&gt;='19_Расчет_аналитики'!BA2363-0.01),MIN('19_Расчет_аналитики'!BA2655,MAX(0,'19_Расчет_аналитики'!BA2811)),0)</f>
        <v/>
      </c>
      <c r="BB2656">
        <f>IF(OR('01_Вводные'!$B$238="Нет",'19_Расчет_аналитики'!BB2651&gt;='19_Расчет_аналитики'!BB2363-0.01),MIN('19_Расчет_аналитики'!BB2655,MAX(0,'19_Расчет_аналитики'!BB2811)),0)</f>
        <v/>
      </c>
      <c r="BC2656">
        <f>IF(OR('01_Вводные'!$B$238="Нет",'19_Расчет_аналитики'!BC2651&gt;='19_Расчет_аналитики'!BC2363-0.01),MIN('19_Расчет_аналитики'!BC2655,MAX(0,'19_Расчет_аналитики'!BC2811)),0)</f>
        <v/>
      </c>
      <c r="BD2656">
        <f>IF(OR('01_Вводные'!$B$238="Нет",'19_Расчет_аналитики'!BD2651&gt;='19_Расчет_аналитики'!BD2363-0.01),MIN('19_Расчет_аналитики'!BD2655,MAX(0,'19_Расчет_аналитики'!BD2811)),0)</f>
        <v/>
      </c>
      <c r="BE2656">
        <f>IF(OR('01_Вводные'!$B$238="Нет",'19_Расчет_аналитики'!BE2651&gt;='19_Расчет_аналитики'!BE2363-0.01),MIN('19_Расчет_аналитики'!BE2655,MAX(0,'19_Расчет_аналитики'!BE2811)),0)</f>
        <v/>
      </c>
      <c r="BF2656">
        <f>IF(OR('01_Вводные'!$B$238="Нет",'19_Расчет_аналитики'!BF2651&gt;='19_Расчет_аналитики'!BF2363-0.01),MIN('19_Расчет_аналитики'!BF2655,MAX(0,'19_Расчет_аналитики'!BF2811)),0)</f>
        <v/>
      </c>
      <c r="BG2656">
        <f>IF(OR('01_Вводные'!$B$238="Нет",'19_Расчет_аналитики'!BG2651&gt;='19_Расчет_аналитики'!BG2363-0.01),MIN('19_Расчет_аналитики'!BG2655,MAX(0,'19_Расчет_аналитики'!BG2811)),0)</f>
        <v/>
      </c>
      <c r="BH2656">
        <f>IF(OR('01_Вводные'!$B$238="Нет",'19_Расчет_аналитики'!BH2651&gt;='19_Расчет_аналитики'!BH2363-0.01),MIN('19_Расчет_аналитики'!BH2655,MAX(0,'19_Расчет_аналитики'!BH2811)),0)</f>
        <v/>
      </c>
      <c r="BI2656">
        <f>IF(OR('01_Вводные'!$B$238="Нет",'19_Расчет_аналитики'!BI2651&gt;='19_Расчет_аналитики'!BI2363-0.01),MIN('19_Расчет_аналитики'!BI2655,MAX(0,'19_Расчет_аналитики'!BI2811)),0)</f>
        <v/>
      </c>
    </row>
    <row r="2657">
      <c r="B2657">
        <f>MAX(0,'07_Мерч'!B29-'19_Расчет_аналитики'!B2656)</f>
        <v/>
      </c>
      <c r="C2657">
        <f>MAX(0,'19_Расчет_аналитики'!C2654-'19_Расчет_аналитики'!C2656)</f>
        <v/>
      </c>
      <c r="D2657">
        <f>MAX(0,'19_Расчет_аналитики'!D2654-'19_Расчет_аналитики'!D2656)</f>
        <v/>
      </c>
      <c r="E2657">
        <f>MAX(0,'19_Расчет_аналитики'!E2654-'19_Расчет_аналитики'!E2656)</f>
        <v/>
      </c>
      <c r="F2657">
        <f>MAX(0,'19_Расчет_аналитики'!F2654-'19_Расчет_аналитики'!F2656)</f>
        <v/>
      </c>
      <c r="G2657">
        <f>MAX(0,'19_Расчет_аналитики'!G2654-'19_Расчет_аналитики'!G2656)</f>
        <v/>
      </c>
      <c r="H2657">
        <f>MAX(0,'19_Расчет_аналитики'!H2654-'19_Расчет_аналитики'!H2656)</f>
        <v/>
      </c>
      <c r="I2657">
        <f>MAX(0,'19_Расчет_аналитики'!I2654-'19_Расчет_аналитики'!I2656)</f>
        <v/>
      </c>
      <c r="J2657">
        <f>MAX(0,'19_Расчет_аналитики'!J2654-'19_Расчет_аналитики'!J2656)</f>
        <v/>
      </c>
      <c r="K2657">
        <f>MAX(0,'19_Расчет_аналитики'!K2654-'19_Расчет_аналитики'!K2656)</f>
        <v/>
      </c>
      <c r="L2657">
        <f>MAX(0,'19_Расчет_аналитики'!L2654-'19_Расчет_аналитики'!L2656)</f>
        <v/>
      </c>
      <c r="M2657">
        <f>MAX(0,'19_Расчет_аналитики'!M2654-'19_Расчет_аналитики'!M2656)</f>
        <v/>
      </c>
      <c r="N2657">
        <f>MAX(0,'19_Расчет_аналитики'!N2654-'19_Расчет_аналитики'!N2656)</f>
        <v/>
      </c>
      <c r="O2657">
        <f>MAX(0,'19_Расчет_аналитики'!O2654-'19_Расчет_аналитики'!O2656)</f>
        <v/>
      </c>
      <c r="P2657">
        <f>MAX(0,'19_Расчет_аналитики'!P2654-'19_Расчет_аналитики'!P2656)</f>
        <v/>
      </c>
      <c r="Q2657">
        <f>MAX(0,'19_Расчет_аналитики'!Q2654-'19_Расчет_аналитики'!Q2656)</f>
        <v/>
      </c>
      <c r="R2657">
        <f>MAX(0,'19_Расчет_аналитики'!R2654-'19_Расчет_аналитики'!R2656)</f>
        <v/>
      </c>
      <c r="S2657">
        <f>MAX(0,'19_Расчет_аналитики'!S2654-'19_Расчет_аналитики'!S2656)</f>
        <v/>
      </c>
      <c r="T2657">
        <f>MAX(0,'19_Расчет_аналитики'!T2654-'19_Расчет_аналитики'!T2656)</f>
        <v/>
      </c>
      <c r="U2657">
        <f>MAX(0,'19_Расчет_аналитики'!U2654-'19_Расчет_аналитики'!U2656)</f>
        <v/>
      </c>
      <c r="V2657">
        <f>MAX(0,'19_Расчет_аналитики'!V2654-'19_Расчет_аналитики'!V2656)</f>
        <v/>
      </c>
      <c r="W2657">
        <f>MAX(0,'19_Расчет_аналитики'!W2654-'19_Расчет_аналитики'!W2656)</f>
        <v/>
      </c>
      <c r="X2657">
        <f>MAX(0,'19_Расчет_аналитики'!X2654-'19_Расчет_аналитики'!X2656)</f>
        <v/>
      </c>
      <c r="Y2657">
        <f>MAX(0,'19_Расчет_аналитики'!Y2654-'19_Расчет_аналитики'!Y2656)</f>
        <v/>
      </c>
      <c r="Z2657">
        <f>MAX(0,'19_Расчет_аналитики'!Z2654-'19_Расчет_аналитики'!Z2656)</f>
        <v/>
      </c>
      <c r="AA2657">
        <f>MAX(0,'19_Расчет_аналитики'!AA2654-'19_Расчет_аналитики'!AA2656)</f>
        <v/>
      </c>
      <c r="AB2657">
        <f>MAX(0,'19_Расчет_аналитики'!AB2654-'19_Расчет_аналитики'!AB2656)</f>
        <v/>
      </c>
      <c r="AC2657">
        <f>MAX(0,'19_Расчет_аналитики'!AC2654-'19_Расчет_аналитики'!AC2656)</f>
        <v/>
      </c>
      <c r="AD2657">
        <f>MAX(0,'19_Расчет_аналитики'!AD2654-'19_Расчет_аналитики'!AD2656)</f>
        <v/>
      </c>
      <c r="AE2657">
        <f>MAX(0,'19_Расчет_аналитики'!AE2654-'19_Расчет_аналитики'!AE2656)</f>
        <v/>
      </c>
      <c r="AF2657">
        <f>MAX(0,'19_Расчет_аналитики'!AF2654-'19_Расчет_аналитики'!AF2656)</f>
        <v/>
      </c>
      <c r="AG2657">
        <f>MAX(0,'19_Расчет_аналитики'!AG2654-'19_Расчет_аналитики'!AG2656)</f>
        <v/>
      </c>
      <c r="AH2657">
        <f>MAX(0,'19_Расчет_аналитики'!AH2654-'19_Расчет_аналитики'!AH2656)</f>
        <v/>
      </c>
      <c r="AI2657">
        <f>MAX(0,'19_Расчет_аналитики'!AI2654-'19_Расчет_аналитики'!AI2656)</f>
        <v/>
      </c>
      <c r="AJ2657">
        <f>MAX(0,'19_Расчет_аналитики'!AJ2654-'19_Расчет_аналитики'!AJ2656)</f>
        <v/>
      </c>
      <c r="AK2657">
        <f>MAX(0,'19_Расчет_аналитики'!AK2654-'19_Расчет_аналитики'!AK2656)</f>
        <v/>
      </c>
      <c r="AL2657">
        <f>MAX(0,'19_Расчет_аналитики'!AL2654-'19_Расчет_аналитики'!AL2656)</f>
        <v/>
      </c>
      <c r="AM2657">
        <f>MAX(0,'19_Расчет_аналитики'!AM2654-'19_Расчет_аналитики'!AM2656)</f>
        <v/>
      </c>
      <c r="AN2657">
        <f>MAX(0,'19_Расчет_аналитики'!AN2654-'19_Расчет_аналитики'!AN2656)</f>
        <v/>
      </c>
      <c r="AO2657">
        <f>MAX(0,'19_Расчет_аналитики'!AO2654-'19_Расчет_аналитики'!AO2656)</f>
        <v/>
      </c>
      <c r="AP2657">
        <f>MAX(0,'19_Расчет_аналитики'!AP2654-'19_Расчет_аналитики'!AP2656)</f>
        <v/>
      </c>
      <c r="AQ2657">
        <f>MAX(0,'19_Расчет_аналитики'!AQ2654-'19_Расчет_аналитики'!AQ2656)</f>
        <v/>
      </c>
      <c r="AR2657">
        <f>MAX(0,'19_Расчет_аналитики'!AR2654-'19_Расчет_аналитики'!AR2656)</f>
        <v/>
      </c>
      <c r="AS2657">
        <f>MAX(0,'19_Расчет_аналитики'!AS2654-'19_Расчет_аналитики'!AS2656)</f>
        <v/>
      </c>
      <c r="AT2657">
        <f>MAX(0,'19_Расчет_аналитики'!AT2654-'19_Расчет_аналитики'!AT2656)</f>
        <v/>
      </c>
      <c r="AU2657">
        <f>MAX(0,'19_Расчет_аналитики'!AU2654-'19_Расчет_аналитики'!AU2656)</f>
        <v/>
      </c>
      <c r="AV2657">
        <f>MAX(0,'19_Расчет_аналитики'!AV2654-'19_Расчет_аналитики'!AV2656)</f>
        <v/>
      </c>
      <c r="AW2657">
        <f>MAX(0,'19_Расчет_аналитики'!AW2654-'19_Расчет_аналитики'!AW2656)</f>
        <v/>
      </c>
      <c r="AX2657">
        <f>MAX(0,'19_Расчет_аналитики'!AX2654-'19_Расчет_аналитики'!AX2656)</f>
        <v/>
      </c>
      <c r="AY2657">
        <f>MAX(0,'19_Расчет_аналитики'!AY2654-'19_Расчет_аналитики'!AY2656)</f>
        <v/>
      </c>
      <c r="AZ2657">
        <f>MAX(0,'19_Расчет_аналитики'!AZ2654-'19_Расчет_аналитики'!AZ2656)</f>
        <v/>
      </c>
      <c r="BA2657">
        <f>MAX(0,'19_Расчет_аналитики'!BA2654-'19_Расчет_аналитики'!BA2656)</f>
        <v/>
      </c>
      <c r="BB2657">
        <f>MAX(0,'19_Расчет_аналитики'!BB2654-'19_Расчет_аналитики'!BB2656)</f>
        <v/>
      </c>
      <c r="BC2657">
        <f>MAX(0,'19_Расчет_аналитики'!BC2654-'19_Расчет_аналитики'!BC2656)</f>
        <v/>
      </c>
      <c r="BD2657">
        <f>MAX(0,'19_Расчет_аналитики'!BD2654-'19_Расчет_аналитики'!BD2656)</f>
        <v/>
      </c>
      <c r="BE2657">
        <f>MAX(0,'19_Расчет_аналитики'!BE2654-'19_Расчет_аналитики'!BE2656)</f>
        <v/>
      </c>
      <c r="BF2657">
        <f>MAX(0,'19_Расчет_аналитики'!BF2654-'19_Расчет_аналитики'!BF2656)</f>
        <v/>
      </c>
      <c r="BG2657">
        <f>MAX(0,'19_Расчет_аналитики'!BG2654-'19_Расчет_аналитики'!BG2656)</f>
        <v/>
      </c>
      <c r="BH2657">
        <f>MAX(0,'19_Расчет_аналитики'!BH2654-'19_Расчет_аналитики'!BH2656)</f>
        <v/>
      </c>
      <c r="BI2657">
        <f>MAX(0,'19_Расчет_аналитики'!BI2654-'19_Расчет_аналитики'!BI2656)</f>
        <v/>
      </c>
      <c r="BJ2657">
        <f>MAX(0,'19_Расчет_аналитики'!BJ2654-'07_Мерч'!BJ31)</f>
        <v/>
      </c>
      <c r="BK2657">
        <f>MAX(0,'19_Расчет_аналитики'!BK2654-'07_Мерч'!BK31)</f>
        <v/>
      </c>
      <c r="BL2657">
        <f>MAX(0,'19_Расчет_аналитики'!BL2654-'07_Мерч'!BL31)</f>
        <v/>
      </c>
      <c r="BM2657">
        <f>MAX(0,'19_Расчет_аналитики'!BM2654-'07_Мерч'!BM31)</f>
        <v/>
      </c>
      <c r="BN2657">
        <f>MAX(0,'19_Расчет_аналитики'!BN2654-'07_Мерч'!BN31)</f>
        <v/>
      </c>
      <c r="BO2657">
        <f>MAX(0,'19_Расчет_аналитики'!BO2654-'07_Мерч'!BO31)</f>
        <v/>
      </c>
    </row>
    <row r="2658"/>
    <row r="2659"/>
    <row r="2660"/>
    <row r="2661"/>
    <row r="2662"/>
    <row r="2663"/>
    <row r="2664"/>
    <row r="2665"/>
    <row r="2666"/>
    <row r="2667"/>
    <row r="2668"/>
    <row r="2669"/>
    <row r="2670"/>
    <row r="2671">
      <c r="C2671">
        <f>MAX(0,MAX('01_Вводные'!$B$118,INT('19_Расчет_аналитики'!C2731/'01_Вводные'!$B$117)+1)-'01_Вводные'!$B$118)</f>
        <v/>
      </c>
      <c r="D2671">
        <f>MAX(0,MAX('01_Вводные'!$B$118,INT('19_Расчет_аналитики'!D2731/'01_Вводные'!$B$117)+1)-'01_Вводные'!$B$118)</f>
        <v/>
      </c>
      <c r="E2671">
        <f>MAX(0,MAX('01_Вводные'!$B$118,INT('19_Расчет_аналитики'!E2731/'01_Вводные'!$B$117)+1)-'01_Вводные'!$B$118)</f>
        <v/>
      </c>
      <c r="F2671">
        <f>MAX(0,MAX('01_Вводные'!$B$118,INT('19_Расчет_аналитики'!F2731/'01_Вводные'!$B$117)+1)-'01_Вводные'!$B$118)</f>
        <v/>
      </c>
      <c r="G2671">
        <f>MAX(0,MAX('01_Вводные'!$B$118,INT('19_Расчет_аналитики'!G2731/'01_Вводные'!$B$117)+1)-'01_Вводные'!$B$118)</f>
        <v/>
      </c>
      <c r="H2671">
        <f>MAX(0,MAX('01_Вводные'!$B$118,INT('19_Расчет_аналитики'!H2731/'01_Вводные'!$B$117)+1)-'01_Вводные'!$B$118)</f>
        <v/>
      </c>
      <c r="I2671">
        <f>MAX(0,MAX('01_Вводные'!$B$118,INT('19_Расчет_аналитики'!I2731/'01_Вводные'!$B$117)+1)-'01_Вводные'!$B$118)</f>
        <v/>
      </c>
      <c r="J2671">
        <f>MAX(0,MAX('01_Вводные'!$B$118,INT('19_Расчет_аналитики'!J2731/'01_Вводные'!$B$117)+1)-'01_Вводные'!$B$118)</f>
        <v/>
      </c>
      <c r="K2671">
        <f>MAX(0,MAX('01_Вводные'!$B$118,INT('19_Расчет_аналитики'!K2731/'01_Вводные'!$B$117)+1)-'01_Вводные'!$B$118)</f>
        <v/>
      </c>
      <c r="L2671">
        <f>MAX(0,MAX('01_Вводные'!$B$118,INT('19_Расчет_аналитики'!L2731/'01_Вводные'!$B$117)+1)-'01_Вводные'!$B$118)</f>
        <v/>
      </c>
      <c r="M2671">
        <f>MAX(0,MAX('01_Вводные'!$B$118,INT('19_Расчет_аналитики'!M2731/'01_Вводные'!$B$117)+1)-'01_Вводные'!$B$118)</f>
        <v/>
      </c>
      <c r="N2671">
        <f>MAX(0,MAX('01_Вводные'!$B$118,INT('19_Расчет_аналитики'!N2731/'01_Вводные'!$B$117)+1)-'01_Вводные'!$B$118)</f>
        <v/>
      </c>
      <c r="O2671">
        <f>MAX(0,MAX('01_Вводные'!$B$118,INT('19_Расчет_аналитики'!O2731/'01_Вводные'!$B$117)+1)-'01_Вводные'!$B$118)</f>
        <v/>
      </c>
      <c r="P2671">
        <f>MAX(0,MAX('01_Вводные'!$B$118,INT('19_Расчет_аналитики'!P2731/'01_Вводные'!$B$117)+1)-'01_Вводные'!$B$118)</f>
        <v/>
      </c>
      <c r="Q2671">
        <f>MAX(0,MAX('01_Вводные'!$B$118,INT('19_Расчет_аналитики'!Q2731/'01_Вводные'!$B$117)+1)-'01_Вводные'!$B$118)</f>
        <v/>
      </c>
      <c r="R2671">
        <f>MAX(0,MAX('01_Вводные'!$B$118,INT('19_Расчет_аналитики'!R2731/'01_Вводные'!$B$117)+1)-'01_Вводные'!$B$118)</f>
        <v/>
      </c>
      <c r="S2671">
        <f>MAX(0,MAX('01_Вводные'!$B$118,INT('19_Расчет_аналитики'!S2731/'01_Вводные'!$B$117)+1)-'01_Вводные'!$B$118)</f>
        <v/>
      </c>
      <c r="T2671">
        <f>MAX(0,MAX('01_Вводные'!$B$118,INT('19_Расчет_аналитики'!T2731/'01_Вводные'!$B$117)+1)-'01_Вводные'!$B$118)</f>
        <v/>
      </c>
      <c r="U2671">
        <f>MAX(0,MAX('01_Вводные'!$B$118,INT('19_Расчет_аналитики'!U2731/'01_Вводные'!$B$117)+1)-'01_Вводные'!$B$118)</f>
        <v/>
      </c>
      <c r="V2671">
        <f>MAX(0,MAX('01_Вводные'!$B$118,INT('19_Расчет_аналитики'!V2731/'01_Вводные'!$B$117)+1)-'01_Вводные'!$B$118)</f>
        <v/>
      </c>
      <c r="W2671">
        <f>MAX(0,MAX('01_Вводные'!$B$118,INT('19_Расчет_аналитики'!W2731/'01_Вводные'!$B$117)+1)-'01_Вводные'!$B$118)</f>
        <v/>
      </c>
      <c r="X2671">
        <f>MAX(0,MAX('01_Вводные'!$B$118,INT('19_Расчет_аналитики'!X2731/'01_Вводные'!$B$117)+1)-'01_Вводные'!$B$118)</f>
        <v/>
      </c>
      <c r="Y2671">
        <f>MAX(0,MAX('01_Вводные'!$B$118,INT('19_Расчет_аналитики'!Y2731/'01_Вводные'!$B$117)+1)-'01_Вводные'!$B$118)</f>
        <v/>
      </c>
      <c r="Z2671">
        <f>MAX(0,MAX('01_Вводные'!$B$118,INT('19_Расчет_аналитики'!Z2731/'01_Вводные'!$B$117)+1)-'01_Вводные'!$B$118)</f>
        <v/>
      </c>
      <c r="AA2671">
        <f>MAX(0,MAX('01_Вводные'!$B$118,INT('19_Расчет_аналитики'!AA2731/'01_Вводные'!$B$117)+1)-'01_Вводные'!$B$118)</f>
        <v/>
      </c>
      <c r="AB2671">
        <f>MAX(0,MAX('01_Вводные'!$B$118,INT('19_Расчет_аналитики'!AB2731/'01_Вводные'!$B$117)+1)-'01_Вводные'!$B$118)</f>
        <v/>
      </c>
      <c r="AC2671">
        <f>MAX(0,MAX('01_Вводные'!$B$118,INT('19_Расчет_аналитики'!AC2731/'01_Вводные'!$B$117)+1)-'01_Вводные'!$B$118)</f>
        <v/>
      </c>
      <c r="AD2671">
        <f>MAX(0,MAX('01_Вводные'!$B$118,INT('19_Расчет_аналитики'!AD2731/'01_Вводные'!$B$117)+1)-'01_Вводные'!$B$118)</f>
        <v/>
      </c>
      <c r="AE2671">
        <f>MAX(0,MAX('01_Вводные'!$B$118,INT('19_Расчет_аналитики'!AE2731/'01_Вводные'!$B$117)+1)-'01_Вводные'!$B$118)</f>
        <v/>
      </c>
      <c r="AF2671">
        <f>MAX(0,MAX('01_Вводные'!$B$118,INT('19_Расчет_аналитики'!AF2731/'01_Вводные'!$B$117)+1)-'01_Вводные'!$B$118)</f>
        <v/>
      </c>
      <c r="AG2671">
        <f>MAX(0,MAX('01_Вводные'!$B$118,INT('19_Расчет_аналитики'!AG2731/'01_Вводные'!$B$117)+1)-'01_Вводные'!$B$118)</f>
        <v/>
      </c>
      <c r="AH2671">
        <f>MAX(0,MAX('01_Вводные'!$B$118,INT('19_Расчет_аналитики'!AH2731/'01_Вводные'!$B$117)+1)-'01_Вводные'!$B$118)</f>
        <v/>
      </c>
      <c r="AI2671">
        <f>MAX(0,MAX('01_Вводные'!$B$118,INT('19_Расчет_аналитики'!AI2731/'01_Вводные'!$B$117)+1)-'01_Вводные'!$B$118)</f>
        <v/>
      </c>
      <c r="AJ2671">
        <f>MAX(0,MAX('01_Вводные'!$B$118,INT('19_Расчет_аналитики'!AJ2731/'01_Вводные'!$B$117)+1)-'01_Вводные'!$B$118)</f>
        <v/>
      </c>
      <c r="AK2671">
        <f>MAX(0,MAX('01_Вводные'!$B$118,INT('19_Расчет_аналитики'!AK2731/'01_Вводные'!$B$117)+1)-'01_Вводные'!$B$118)</f>
        <v/>
      </c>
      <c r="AL2671">
        <f>MAX(0,MAX('01_Вводные'!$B$118,INT('19_Расчет_аналитики'!AL2731/'01_Вводные'!$B$117)+1)-'01_Вводные'!$B$118)</f>
        <v/>
      </c>
      <c r="AM2671">
        <f>MAX(0,MAX('01_Вводные'!$B$118,INT('19_Расчет_аналитики'!AM2731/'01_Вводные'!$B$117)+1)-'01_Вводные'!$B$118)</f>
        <v/>
      </c>
      <c r="AN2671">
        <f>MAX(0,MAX('01_Вводные'!$B$118,INT('19_Расчет_аналитики'!AN2731/'01_Вводные'!$B$117)+1)-'01_Вводные'!$B$118)</f>
        <v/>
      </c>
      <c r="AO2671">
        <f>MAX(0,MAX('01_Вводные'!$B$118,INT('19_Расчет_аналитики'!AO2731/'01_Вводные'!$B$117)+1)-'01_Вводные'!$B$118)</f>
        <v/>
      </c>
      <c r="AP2671">
        <f>MAX(0,MAX('01_Вводные'!$B$118,INT('19_Расчет_аналитики'!AP2731/'01_Вводные'!$B$117)+1)-'01_Вводные'!$B$118)</f>
        <v/>
      </c>
      <c r="AQ2671">
        <f>MAX(0,MAX('01_Вводные'!$B$118,INT('19_Расчет_аналитики'!AQ2731/'01_Вводные'!$B$117)+1)-'01_Вводные'!$B$118)</f>
        <v/>
      </c>
      <c r="AR2671">
        <f>MAX(0,MAX('01_Вводные'!$B$118,INT('19_Расчет_аналитики'!AR2731/'01_Вводные'!$B$117)+1)-'01_Вводные'!$B$118)</f>
        <v/>
      </c>
      <c r="AS2671">
        <f>MAX(0,MAX('01_Вводные'!$B$118,INT('19_Расчет_аналитики'!AS2731/'01_Вводные'!$B$117)+1)-'01_Вводные'!$B$118)</f>
        <v/>
      </c>
      <c r="AT2671">
        <f>MAX(0,MAX('01_Вводные'!$B$118,INT('19_Расчет_аналитики'!AT2731/'01_Вводные'!$B$117)+1)-'01_Вводные'!$B$118)</f>
        <v/>
      </c>
      <c r="AU2671">
        <f>MAX(0,MAX('01_Вводные'!$B$118,INT('19_Расчет_аналитики'!AU2731/'01_Вводные'!$B$117)+1)-'01_Вводные'!$B$118)</f>
        <v/>
      </c>
      <c r="AV2671">
        <f>MAX(0,MAX('01_Вводные'!$B$118,INT('19_Расчет_аналитики'!AV2731/'01_Вводные'!$B$117)+1)-'01_Вводные'!$B$118)</f>
        <v/>
      </c>
      <c r="AW2671">
        <f>MAX(0,MAX('01_Вводные'!$B$118,INT('19_Расчет_аналитики'!AW2731/'01_Вводные'!$B$117)+1)-'01_Вводные'!$B$118)</f>
        <v/>
      </c>
      <c r="AX2671">
        <f>MAX(0,MAX('01_Вводные'!$B$118,INT('19_Расчет_аналитики'!AX2731/'01_Вводные'!$B$117)+1)-'01_Вводные'!$B$118)</f>
        <v/>
      </c>
      <c r="AY2671">
        <f>MAX(0,MAX('01_Вводные'!$B$118,INT('19_Расчет_аналитики'!AY2731/'01_Вводные'!$B$117)+1)-'01_Вводные'!$B$118)</f>
        <v/>
      </c>
      <c r="AZ2671">
        <f>MAX(0,MAX('01_Вводные'!$B$118,INT('19_Расчет_аналитики'!AZ2731/'01_Вводные'!$B$117)+1)-'01_Вводные'!$B$118)</f>
        <v/>
      </c>
      <c r="BA2671">
        <f>MAX(0,MAX('01_Вводные'!$B$118,INT('19_Расчет_аналитики'!BA2731/'01_Вводные'!$B$117)+1)-'01_Вводные'!$B$118)</f>
        <v/>
      </c>
      <c r="BB2671">
        <f>MAX(0,MAX('01_Вводные'!$B$118,INT('19_Расчет_аналитики'!BB2731/'01_Вводные'!$B$117)+1)-'01_Вводные'!$B$118)</f>
        <v/>
      </c>
      <c r="BC2671">
        <f>MAX(0,MAX('01_Вводные'!$B$118,INT('19_Расчет_аналитики'!BC2731/'01_Вводные'!$B$117)+1)-'01_Вводные'!$B$118)</f>
        <v/>
      </c>
      <c r="BD2671">
        <f>MAX(0,MAX('01_Вводные'!$B$118,INT('19_Расчет_аналитики'!BD2731/'01_Вводные'!$B$117)+1)-'01_Вводные'!$B$118)</f>
        <v/>
      </c>
      <c r="BE2671">
        <f>MAX(0,MAX('01_Вводные'!$B$118,INT('19_Расчет_аналитики'!BE2731/'01_Вводные'!$B$117)+1)-'01_Вводные'!$B$118)</f>
        <v/>
      </c>
      <c r="BF2671">
        <f>MAX(0,MAX('01_Вводные'!$B$118,INT('19_Расчет_аналитики'!BF2731/'01_Вводные'!$B$117)+1)-'01_Вводные'!$B$118)</f>
        <v/>
      </c>
      <c r="BG2671">
        <f>MAX(0,MAX('01_Вводные'!$B$118,INT('19_Расчет_аналитики'!BG2731/'01_Вводные'!$B$117)+1)-'01_Вводные'!$B$118)</f>
        <v/>
      </c>
      <c r="BH2671">
        <f>MAX(0,MAX('01_Вводные'!$B$118,INT('19_Расчет_аналитики'!BH2731/'01_Вводные'!$B$117)+1)-'01_Вводные'!$B$118)</f>
        <v/>
      </c>
      <c r="BI2671">
        <f>MAX(0,MAX('01_Вводные'!$B$118,INT('19_Расчет_аналитики'!BI2731/'01_Вводные'!$B$117)+1)-'01_Вводные'!$B$118)</f>
        <v/>
      </c>
    </row>
    <row r="2672">
      <c r="C2672">
        <f>'19_Расчет_аналитики'!C2671*'01_Вводные'!$B$119*'08_ФОТ'!C5</f>
        <v/>
      </c>
      <c r="D2672">
        <f>'19_Расчет_аналитики'!D2671*'01_Вводные'!$B$119*'08_ФОТ'!D5</f>
        <v/>
      </c>
      <c r="E2672">
        <f>'19_Расчет_аналитики'!E2671*'01_Вводные'!$B$119*'08_ФОТ'!E5</f>
        <v/>
      </c>
      <c r="F2672">
        <f>'19_Расчет_аналитики'!F2671*'01_Вводные'!$B$119*'08_ФОТ'!F5</f>
        <v/>
      </c>
      <c r="G2672">
        <f>'19_Расчет_аналитики'!G2671*'01_Вводные'!$B$119*'08_ФОТ'!G5</f>
        <v/>
      </c>
      <c r="H2672">
        <f>'19_Расчет_аналитики'!H2671*'01_Вводные'!$B$119*'08_ФОТ'!H5</f>
        <v/>
      </c>
      <c r="I2672">
        <f>'19_Расчет_аналитики'!I2671*'01_Вводные'!$B$119*'08_ФОТ'!I5</f>
        <v/>
      </c>
      <c r="J2672">
        <f>'19_Расчет_аналитики'!J2671*'01_Вводные'!$B$119*'08_ФОТ'!J5</f>
        <v/>
      </c>
      <c r="K2672">
        <f>'19_Расчет_аналитики'!K2671*'01_Вводные'!$B$119*'08_ФОТ'!K5</f>
        <v/>
      </c>
      <c r="L2672">
        <f>'19_Расчет_аналитики'!L2671*'01_Вводные'!$B$119*'08_ФОТ'!L5</f>
        <v/>
      </c>
      <c r="M2672">
        <f>'19_Расчет_аналитики'!M2671*'01_Вводные'!$B$119*'08_ФОТ'!M5</f>
        <v/>
      </c>
      <c r="N2672">
        <f>'19_Расчет_аналитики'!N2671*'01_Вводные'!$B$119*'08_ФОТ'!N5</f>
        <v/>
      </c>
      <c r="O2672">
        <f>'19_Расчет_аналитики'!O2671*'01_Вводные'!$B$119*'08_ФОТ'!O5</f>
        <v/>
      </c>
      <c r="P2672">
        <f>'19_Расчет_аналитики'!P2671*'01_Вводные'!$B$119*'08_ФОТ'!P5</f>
        <v/>
      </c>
      <c r="Q2672">
        <f>'19_Расчет_аналитики'!Q2671*'01_Вводные'!$B$119*'08_ФОТ'!Q5</f>
        <v/>
      </c>
      <c r="R2672">
        <f>'19_Расчет_аналитики'!R2671*'01_Вводные'!$B$119*'08_ФОТ'!R5</f>
        <v/>
      </c>
      <c r="S2672">
        <f>'19_Расчет_аналитики'!S2671*'01_Вводные'!$B$119*'08_ФОТ'!S5</f>
        <v/>
      </c>
      <c r="T2672">
        <f>'19_Расчет_аналитики'!T2671*'01_Вводные'!$B$119*'08_ФОТ'!T5</f>
        <v/>
      </c>
      <c r="U2672">
        <f>'19_Расчет_аналитики'!U2671*'01_Вводные'!$B$119*'08_ФОТ'!U5</f>
        <v/>
      </c>
      <c r="V2672">
        <f>'19_Расчет_аналитики'!V2671*'01_Вводные'!$B$119*'08_ФОТ'!V5</f>
        <v/>
      </c>
      <c r="W2672">
        <f>'19_Расчет_аналитики'!W2671*'01_Вводные'!$B$119*'08_ФОТ'!W5</f>
        <v/>
      </c>
      <c r="X2672">
        <f>'19_Расчет_аналитики'!X2671*'01_Вводные'!$B$119*'08_ФОТ'!X5</f>
        <v/>
      </c>
      <c r="Y2672">
        <f>'19_Расчет_аналитики'!Y2671*'01_Вводные'!$B$119*'08_ФОТ'!Y5</f>
        <v/>
      </c>
      <c r="Z2672">
        <f>'19_Расчет_аналитики'!Z2671*'01_Вводные'!$B$119*'08_ФОТ'!Z5</f>
        <v/>
      </c>
      <c r="AA2672">
        <f>'19_Расчет_аналитики'!AA2671*'01_Вводные'!$B$119*'08_ФОТ'!AA5</f>
        <v/>
      </c>
      <c r="AB2672">
        <f>'19_Расчет_аналитики'!AB2671*'01_Вводные'!$B$119*'08_ФОТ'!AB5</f>
        <v/>
      </c>
      <c r="AC2672">
        <f>'19_Расчет_аналитики'!AC2671*'01_Вводные'!$B$119*'08_ФОТ'!AC5</f>
        <v/>
      </c>
      <c r="AD2672">
        <f>'19_Расчет_аналитики'!AD2671*'01_Вводные'!$B$119*'08_ФОТ'!AD5</f>
        <v/>
      </c>
      <c r="AE2672">
        <f>'19_Расчет_аналитики'!AE2671*'01_Вводные'!$B$119*'08_ФОТ'!AE5</f>
        <v/>
      </c>
      <c r="AF2672">
        <f>'19_Расчет_аналитики'!AF2671*'01_Вводные'!$B$119*'08_ФОТ'!AF5</f>
        <v/>
      </c>
      <c r="AG2672">
        <f>'19_Расчет_аналитики'!AG2671*'01_Вводные'!$B$119*'08_ФОТ'!AG5</f>
        <v/>
      </c>
      <c r="AH2672">
        <f>'19_Расчет_аналитики'!AH2671*'01_Вводные'!$B$119*'08_ФОТ'!AH5</f>
        <v/>
      </c>
      <c r="AI2672">
        <f>'19_Расчет_аналитики'!AI2671*'01_Вводные'!$B$119*'08_ФОТ'!AI5</f>
        <v/>
      </c>
      <c r="AJ2672">
        <f>'19_Расчет_аналитики'!AJ2671*'01_Вводные'!$B$119*'08_ФОТ'!AJ5</f>
        <v/>
      </c>
      <c r="AK2672">
        <f>'19_Расчет_аналитики'!AK2671*'01_Вводные'!$B$119*'08_ФОТ'!AK5</f>
        <v/>
      </c>
      <c r="AL2672">
        <f>'19_Расчет_аналитики'!AL2671*'01_Вводные'!$B$119*'08_ФОТ'!AL5</f>
        <v/>
      </c>
      <c r="AM2672">
        <f>'19_Расчет_аналитики'!AM2671*'01_Вводные'!$B$119*'08_ФОТ'!AM5</f>
        <v/>
      </c>
      <c r="AN2672">
        <f>'19_Расчет_аналитики'!AN2671*'01_Вводные'!$B$119*'08_ФОТ'!AN5</f>
        <v/>
      </c>
      <c r="AO2672">
        <f>'19_Расчет_аналитики'!AO2671*'01_Вводные'!$B$119*'08_ФОТ'!AO5</f>
        <v/>
      </c>
      <c r="AP2672">
        <f>'19_Расчет_аналитики'!AP2671*'01_Вводные'!$B$119*'08_ФОТ'!AP5</f>
        <v/>
      </c>
      <c r="AQ2672">
        <f>'19_Расчет_аналитики'!AQ2671*'01_Вводные'!$B$119*'08_ФОТ'!AQ5</f>
        <v/>
      </c>
      <c r="AR2672">
        <f>'19_Расчет_аналитики'!AR2671*'01_Вводные'!$B$119*'08_ФОТ'!AR5</f>
        <v/>
      </c>
      <c r="AS2672">
        <f>'19_Расчет_аналитики'!AS2671*'01_Вводные'!$B$119*'08_ФОТ'!AS5</f>
        <v/>
      </c>
      <c r="AT2672">
        <f>'19_Расчет_аналитики'!AT2671*'01_Вводные'!$B$119*'08_ФОТ'!AT5</f>
        <v/>
      </c>
      <c r="AU2672">
        <f>'19_Расчет_аналитики'!AU2671*'01_Вводные'!$B$119*'08_ФОТ'!AU5</f>
        <v/>
      </c>
      <c r="AV2672">
        <f>'19_Расчет_аналитики'!AV2671*'01_Вводные'!$B$119*'08_ФОТ'!AV5</f>
        <v/>
      </c>
      <c r="AW2672">
        <f>'19_Расчет_аналитики'!AW2671*'01_Вводные'!$B$119*'08_ФОТ'!AW5</f>
        <v/>
      </c>
      <c r="AX2672">
        <f>'19_Расчет_аналитики'!AX2671*'01_Вводные'!$B$119*'08_ФОТ'!AX5</f>
        <v/>
      </c>
      <c r="AY2672">
        <f>'19_Расчет_аналитики'!AY2671*'01_Вводные'!$B$119*'08_ФОТ'!AY5</f>
        <v/>
      </c>
      <c r="AZ2672">
        <f>'19_Расчет_аналитики'!AZ2671*'01_Вводные'!$B$119*'08_ФОТ'!AZ5</f>
        <v/>
      </c>
      <c r="BA2672">
        <f>'19_Расчет_аналитики'!BA2671*'01_Вводные'!$B$119*'08_ФОТ'!BA5</f>
        <v/>
      </c>
      <c r="BB2672">
        <f>'19_Расчет_аналитики'!BB2671*'01_Вводные'!$B$119*'08_ФОТ'!BB5</f>
        <v/>
      </c>
      <c r="BC2672">
        <f>'19_Расчет_аналитики'!BC2671*'01_Вводные'!$B$119*'08_ФОТ'!BC5</f>
        <v/>
      </c>
      <c r="BD2672">
        <f>'19_Расчет_аналитики'!BD2671*'01_Вводные'!$B$119*'08_ФОТ'!BD5</f>
        <v/>
      </c>
      <c r="BE2672">
        <f>'19_Расчет_аналитики'!BE2671*'01_Вводные'!$B$119*'08_ФОТ'!BE5</f>
        <v/>
      </c>
      <c r="BF2672">
        <f>'19_Расчет_аналитики'!BF2671*'01_Вводные'!$B$119*'08_ФОТ'!BF5</f>
        <v/>
      </c>
      <c r="BG2672">
        <f>'19_Расчет_аналитики'!BG2671*'01_Вводные'!$B$119*'08_ФОТ'!BG5</f>
        <v/>
      </c>
      <c r="BH2672">
        <f>'19_Расчет_аналитики'!BH2671*'01_Вводные'!$B$119*'08_ФОТ'!BH5</f>
        <v/>
      </c>
      <c r="BI2672">
        <f>'19_Расчет_аналитики'!BI2671*'01_Вводные'!$B$119*'08_ФОТ'!BI5</f>
        <v/>
      </c>
    </row>
    <row r="2673">
      <c r="C2673">
        <f>SUM('08_ФОТ'!C7:C9,'19_Расчет_аналитики'!C2672)</f>
        <v/>
      </c>
      <c r="D2673">
        <f>SUM('08_ФОТ'!D7:D9,'19_Расчет_аналитики'!D2672)</f>
        <v/>
      </c>
      <c r="E2673">
        <f>SUM('08_ФОТ'!E7:E9,'19_Расчет_аналитики'!E2672)</f>
        <v/>
      </c>
      <c r="F2673">
        <f>SUM('08_ФОТ'!F7:F9,'19_Расчет_аналитики'!F2672)</f>
        <v/>
      </c>
      <c r="G2673">
        <f>SUM('08_ФОТ'!G7:G9,'19_Расчет_аналитики'!G2672)</f>
        <v/>
      </c>
      <c r="H2673">
        <f>SUM('08_ФОТ'!H7:H9,'19_Расчет_аналитики'!H2672)</f>
        <v/>
      </c>
      <c r="I2673">
        <f>SUM('08_ФОТ'!I7:I9,'19_Расчет_аналитики'!I2672)</f>
        <v/>
      </c>
      <c r="J2673">
        <f>SUM('08_ФОТ'!J7:J9,'19_Расчет_аналитики'!J2672)</f>
        <v/>
      </c>
      <c r="K2673">
        <f>SUM('08_ФОТ'!K7:K9,'19_Расчет_аналитики'!K2672)</f>
        <v/>
      </c>
      <c r="L2673">
        <f>SUM('08_ФОТ'!L7:L9,'19_Расчет_аналитики'!L2672)</f>
        <v/>
      </c>
      <c r="M2673">
        <f>SUM('08_ФОТ'!M7:M9,'19_Расчет_аналитики'!M2672)</f>
        <v/>
      </c>
      <c r="N2673">
        <f>SUM('08_ФОТ'!N7:N9,'19_Расчет_аналитики'!N2672)</f>
        <v/>
      </c>
      <c r="O2673">
        <f>SUM('08_ФОТ'!O7:O9,'19_Расчет_аналитики'!O2672)</f>
        <v/>
      </c>
      <c r="P2673">
        <f>SUM('08_ФОТ'!P7:P9,'19_Расчет_аналитики'!P2672)</f>
        <v/>
      </c>
      <c r="Q2673">
        <f>SUM('08_ФОТ'!Q7:Q9,'19_Расчет_аналитики'!Q2672)</f>
        <v/>
      </c>
      <c r="R2673">
        <f>SUM('08_ФОТ'!R7:R9,'19_Расчет_аналитики'!R2672)</f>
        <v/>
      </c>
      <c r="S2673">
        <f>SUM('08_ФОТ'!S7:S9,'19_Расчет_аналитики'!S2672)</f>
        <v/>
      </c>
      <c r="T2673">
        <f>SUM('08_ФОТ'!T7:T9,'19_Расчет_аналитики'!T2672)</f>
        <v/>
      </c>
      <c r="U2673">
        <f>SUM('08_ФОТ'!U7:U9,'19_Расчет_аналитики'!U2672)</f>
        <v/>
      </c>
      <c r="V2673">
        <f>SUM('08_ФОТ'!V7:V9,'19_Расчет_аналитики'!V2672)</f>
        <v/>
      </c>
      <c r="W2673">
        <f>SUM('08_ФОТ'!W7:W9,'19_Расчет_аналитики'!W2672)</f>
        <v/>
      </c>
      <c r="X2673">
        <f>SUM('08_ФОТ'!X7:X9,'19_Расчет_аналитики'!X2672)</f>
        <v/>
      </c>
      <c r="Y2673">
        <f>SUM('08_ФОТ'!Y7:Y9,'19_Расчет_аналитики'!Y2672)</f>
        <v/>
      </c>
      <c r="Z2673">
        <f>SUM('08_ФОТ'!Z7:Z9,'19_Расчет_аналитики'!Z2672)</f>
        <v/>
      </c>
      <c r="AA2673">
        <f>SUM('08_ФОТ'!AA7:AA9,'19_Расчет_аналитики'!AA2672)</f>
        <v/>
      </c>
      <c r="AB2673">
        <f>SUM('08_ФОТ'!AB7:AB9,'19_Расчет_аналитики'!AB2672)</f>
        <v/>
      </c>
      <c r="AC2673">
        <f>SUM('08_ФОТ'!AC7:AC9,'19_Расчет_аналитики'!AC2672)</f>
        <v/>
      </c>
      <c r="AD2673">
        <f>SUM('08_ФОТ'!AD7:AD9,'19_Расчет_аналитики'!AD2672)</f>
        <v/>
      </c>
      <c r="AE2673">
        <f>SUM('08_ФОТ'!AE7:AE9,'19_Расчет_аналитики'!AE2672)</f>
        <v/>
      </c>
      <c r="AF2673">
        <f>SUM('08_ФОТ'!AF7:AF9,'19_Расчет_аналитики'!AF2672)</f>
        <v/>
      </c>
      <c r="AG2673">
        <f>SUM('08_ФОТ'!AG7:AG9,'19_Расчет_аналитики'!AG2672)</f>
        <v/>
      </c>
      <c r="AH2673">
        <f>SUM('08_ФОТ'!AH7:AH9,'19_Расчет_аналитики'!AH2672)</f>
        <v/>
      </c>
      <c r="AI2673">
        <f>SUM('08_ФОТ'!AI7:AI9,'19_Расчет_аналитики'!AI2672)</f>
        <v/>
      </c>
      <c r="AJ2673">
        <f>SUM('08_ФОТ'!AJ7:AJ9,'19_Расчет_аналитики'!AJ2672)</f>
        <v/>
      </c>
      <c r="AK2673">
        <f>SUM('08_ФОТ'!AK7:AK9,'19_Расчет_аналитики'!AK2672)</f>
        <v/>
      </c>
      <c r="AL2673">
        <f>SUM('08_ФОТ'!AL7:AL9,'19_Расчет_аналитики'!AL2672)</f>
        <v/>
      </c>
      <c r="AM2673">
        <f>SUM('08_ФОТ'!AM7:AM9,'19_Расчет_аналитики'!AM2672)</f>
        <v/>
      </c>
      <c r="AN2673">
        <f>SUM('08_ФОТ'!AN7:AN9,'19_Расчет_аналитики'!AN2672)</f>
        <v/>
      </c>
      <c r="AO2673">
        <f>SUM('08_ФОТ'!AO7:AO9,'19_Расчет_аналитики'!AO2672)</f>
        <v/>
      </c>
      <c r="AP2673">
        <f>SUM('08_ФОТ'!AP7:AP9,'19_Расчет_аналитики'!AP2672)</f>
        <v/>
      </c>
      <c r="AQ2673">
        <f>SUM('08_ФОТ'!AQ7:AQ9,'19_Расчет_аналитики'!AQ2672)</f>
        <v/>
      </c>
      <c r="AR2673">
        <f>SUM('08_ФОТ'!AR7:AR9,'19_Расчет_аналитики'!AR2672)</f>
        <v/>
      </c>
      <c r="AS2673">
        <f>SUM('08_ФОТ'!AS7:AS9,'19_Расчет_аналитики'!AS2672)</f>
        <v/>
      </c>
      <c r="AT2673">
        <f>SUM('08_ФОТ'!AT7:AT9,'19_Расчет_аналитики'!AT2672)</f>
        <v/>
      </c>
      <c r="AU2673">
        <f>SUM('08_ФОТ'!AU7:AU9,'19_Расчет_аналитики'!AU2672)</f>
        <v/>
      </c>
      <c r="AV2673">
        <f>SUM('08_ФОТ'!AV7:AV9,'19_Расчет_аналитики'!AV2672)</f>
        <v/>
      </c>
      <c r="AW2673">
        <f>SUM('08_ФОТ'!AW7:AW9,'19_Расчет_аналитики'!AW2672)</f>
        <v/>
      </c>
      <c r="AX2673">
        <f>SUM('08_ФОТ'!AX7:AX9,'19_Расчет_аналитики'!AX2672)</f>
        <v/>
      </c>
      <c r="AY2673">
        <f>SUM('08_ФОТ'!AY7:AY9,'19_Расчет_аналитики'!AY2672)</f>
        <v/>
      </c>
      <c r="AZ2673">
        <f>SUM('08_ФОТ'!AZ7:AZ9,'19_Расчет_аналитики'!AZ2672)</f>
        <v/>
      </c>
      <c r="BA2673">
        <f>SUM('08_ФОТ'!BA7:BA9,'19_Расчет_аналитики'!BA2672)</f>
        <v/>
      </c>
      <c r="BB2673">
        <f>SUM('08_ФОТ'!BB7:BB9,'19_Расчет_аналитики'!BB2672)</f>
        <v/>
      </c>
      <c r="BC2673">
        <f>SUM('08_ФОТ'!BC7:BC9,'19_Расчет_аналитики'!BC2672)</f>
        <v/>
      </c>
      <c r="BD2673">
        <f>SUM('08_ФОТ'!BD7:BD9,'19_Расчет_аналитики'!BD2672)</f>
        <v/>
      </c>
      <c r="BE2673">
        <f>SUM('08_ФОТ'!BE7:BE9,'19_Расчет_аналитики'!BE2672)</f>
        <v/>
      </c>
      <c r="BF2673">
        <f>SUM('08_ФОТ'!BF7:BF9,'19_Расчет_аналитики'!BF2672)</f>
        <v/>
      </c>
      <c r="BG2673">
        <f>SUM('08_ФОТ'!BG7:BG9,'19_Расчет_аналитики'!BG2672)</f>
        <v/>
      </c>
      <c r="BH2673">
        <f>SUM('08_ФОТ'!BH7:BH9,'19_Расчет_аналитики'!BH2672)</f>
        <v/>
      </c>
      <c r="BI2673">
        <f>SUM('08_ФОТ'!BI7:BI9,'19_Расчет_аналитики'!BI2672)</f>
        <v/>
      </c>
    </row>
    <row r="2674">
      <c r="C2674">
        <f>'19_Расчет_аналитики'!C2673*'01_Вводные'!$B$131</f>
        <v/>
      </c>
      <c r="D2674">
        <f>'19_Расчет_аналитики'!D2673*'01_Вводные'!$B$131</f>
        <v/>
      </c>
      <c r="E2674">
        <f>'19_Расчет_аналитики'!E2673*'01_Вводные'!$B$131</f>
        <v/>
      </c>
      <c r="F2674">
        <f>'19_Расчет_аналитики'!F2673*'01_Вводные'!$B$131</f>
        <v/>
      </c>
      <c r="G2674">
        <f>'19_Расчет_аналитики'!G2673*'01_Вводные'!$B$131</f>
        <v/>
      </c>
      <c r="H2674">
        <f>'19_Расчет_аналитики'!H2673*'01_Вводные'!$B$131</f>
        <v/>
      </c>
      <c r="I2674">
        <f>'19_Расчет_аналитики'!I2673*'01_Вводные'!$B$131</f>
        <v/>
      </c>
      <c r="J2674">
        <f>'19_Расчет_аналитики'!J2673*'01_Вводные'!$B$131</f>
        <v/>
      </c>
      <c r="K2674">
        <f>'19_Расчет_аналитики'!K2673*'01_Вводные'!$B$131</f>
        <v/>
      </c>
      <c r="L2674">
        <f>'19_Расчет_аналитики'!L2673*'01_Вводные'!$B$131</f>
        <v/>
      </c>
      <c r="M2674">
        <f>'19_Расчет_аналитики'!M2673*'01_Вводные'!$B$131</f>
        <v/>
      </c>
      <c r="N2674">
        <f>'19_Расчет_аналитики'!N2673*'01_Вводные'!$B$131</f>
        <v/>
      </c>
      <c r="O2674">
        <f>'19_Расчет_аналитики'!O2673*'01_Вводные'!$B$131</f>
        <v/>
      </c>
      <c r="P2674">
        <f>'19_Расчет_аналитики'!P2673*'01_Вводные'!$B$131</f>
        <v/>
      </c>
      <c r="Q2674">
        <f>'19_Расчет_аналитики'!Q2673*'01_Вводные'!$B$131</f>
        <v/>
      </c>
      <c r="R2674">
        <f>'19_Расчет_аналитики'!R2673*'01_Вводные'!$B$131</f>
        <v/>
      </c>
      <c r="S2674">
        <f>'19_Расчет_аналитики'!S2673*'01_Вводные'!$B$131</f>
        <v/>
      </c>
      <c r="T2674">
        <f>'19_Расчет_аналитики'!T2673*'01_Вводные'!$B$131</f>
        <v/>
      </c>
      <c r="U2674">
        <f>'19_Расчет_аналитики'!U2673*'01_Вводные'!$B$131</f>
        <v/>
      </c>
      <c r="V2674">
        <f>'19_Расчет_аналитики'!V2673*'01_Вводные'!$B$131</f>
        <v/>
      </c>
      <c r="W2674">
        <f>'19_Расчет_аналитики'!W2673*'01_Вводные'!$B$131</f>
        <v/>
      </c>
      <c r="X2674">
        <f>'19_Расчет_аналитики'!X2673*'01_Вводные'!$B$131</f>
        <v/>
      </c>
      <c r="Y2674">
        <f>'19_Расчет_аналитики'!Y2673*'01_Вводные'!$B$131</f>
        <v/>
      </c>
      <c r="Z2674">
        <f>'19_Расчет_аналитики'!Z2673*'01_Вводные'!$B$131</f>
        <v/>
      </c>
      <c r="AA2674">
        <f>'19_Расчет_аналитики'!AA2673*'01_Вводные'!$B$131</f>
        <v/>
      </c>
      <c r="AB2674">
        <f>'19_Расчет_аналитики'!AB2673*'01_Вводные'!$B$131</f>
        <v/>
      </c>
      <c r="AC2674">
        <f>'19_Расчет_аналитики'!AC2673*'01_Вводные'!$B$131</f>
        <v/>
      </c>
      <c r="AD2674">
        <f>'19_Расчет_аналитики'!AD2673*'01_Вводные'!$B$131</f>
        <v/>
      </c>
      <c r="AE2674">
        <f>'19_Расчет_аналитики'!AE2673*'01_Вводные'!$B$131</f>
        <v/>
      </c>
      <c r="AF2674">
        <f>'19_Расчет_аналитики'!AF2673*'01_Вводные'!$B$131</f>
        <v/>
      </c>
      <c r="AG2674">
        <f>'19_Расчет_аналитики'!AG2673*'01_Вводные'!$B$131</f>
        <v/>
      </c>
      <c r="AH2674">
        <f>'19_Расчет_аналитики'!AH2673*'01_Вводные'!$B$131</f>
        <v/>
      </c>
      <c r="AI2674">
        <f>'19_Расчет_аналитики'!AI2673*'01_Вводные'!$B$131</f>
        <v/>
      </c>
      <c r="AJ2674">
        <f>'19_Расчет_аналитики'!AJ2673*'01_Вводные'!$B$131</f>
        <v/>
      </c>
      <c r="AK2674">
        <f>'19_Расчет_аналитики'!AK2673*'01_Вводные'!$B$131</f>
        <v/>
      </c>
      <c r="AL2674">
        <f>'19_Расчет_аналитики'!AL2673*'01_Вводные'!$B$131</f>
        <v/>
      </c>
      <c r="AM2674">
        <f>'19_Расчет_аналитики'!AM2673*'01_Вводные'!$B$131</f>
        <v/>
      </c>
      <c r="AN2674">
        <f>'19_Расчет_аналитики'!AN2673*'01_Вводные'!$B$131</f>
        <v/>
      </c>
      <c r="AO2674">
        <f>'19_Расчет_аналитики'!AO2673*'01_Вводные'!$B$131</f>
        <v/>
      </c>
      <c r="AP2674">
        <f>'19_Расчет_аналитики'!AP2673*'01_Вводные'!$B$131</f>
        <v/>
      </c>
      <c r="AQ2674">
        <f>'19_Расчет_аналитики'!AQ2673*'01_Вводные'!$B$131</f>
        <v/>
      </c>
      <c r="AR2674">
        <f>'19_Расчет_аналитики'!AR2673*'01_Вводные'!$B$131</f>
        <v/>
      </c>
      <c r="AS2674">
        <f>'19_Расчет_аналитики'!AS2673*'01_Вводные'!$B$131</f>
        <v/>
      </c>
      <c r="AT2674">
        <f>'19_Расчет_аналитики'!AT2673*'01_Вводные'!$B$131</f>
        <v/>
      </c>
      <c r="AU2674">
        <f>'19_Расчет_аналитики'!AU2673*'01_Вводные'!$B$131</f>
        <v/>
      </c>
      <c r="AV2674">
        <f>'19_Расчет_аналитики'!AV2673*'01_Вводные'!$B$131</f>
        <v/>
      </c>
      <c r="AW2674">
        <f>'19_Расчет_аналитики'!AW2673*'01_Вводные'!$B$131</f>
        <v/>
      </c>
      <c r="AX2674">
        <f>'19_Расчет_аналитики'!AX2673*'01_Вводные'!$B$131</f>
        <v/>
      </c>
      <c r="AY2674">
        <f>'19_Расчет_аналитики'!AY2673*'01_Вводные'!$B$131</f>
        <v/>
      </c>
      <c r="AZ2674">
        <f>'19_Расчет_аналитики'!AZ2673*'01_Вводные'!$B$131</f>
        <v/>
      </c>
      <c r="BA2674">
        <f>'19_Расчет_аналитики'!BA2673*'01_Вводные'!$B$131</f>
        <v/>
      </c>
      <c r="BB2674">
        <f>'19_Расчет_аналитики'!BB2673*'01_Вводные'!$B$131</f>
        <v/>
      </c>
      <c r="BC2674">
        <f>'19_Расчет_аналитики'!BC2673*'01_Вводные'!$B$131</f>
        <v/>
      </c>
      <c r="BD2674">
        <f>'19_Расчет_аналитики'!BD2673*'01_Вводные'!$B$131</f>
        <v/>
      </c>
      <c r="BE2674">
        <f>'19_Расчет_аналитики'!BE2673*'01_Вводные'!$B$131</f>
        <v/>
      </c>
      <c r="BF2674">
        <f>'19_Расчет_аналитики'!BF2673*'01_Вводные'!$B$131</f>
        <v/>
      </c>
      <c r="BG2674">
        <f>'19_Расчет_аналитики'!BG2673*'01_Вводные'!$B$131</f>
        <v/>
      </c>
      <c r="BH2674">
        <f>'19_Расчет_аналитики'!BH2673*'01_Вводные'!$B$131</f>
        <v/>
      </c>
      <c r="BI2674">
        <f>'19_Расчет_аналитики'!BI2673*'01_Вводные'!$B$131</f>
        <v/>
      </c>
    </row>
    <row r="2675"/>
    <row r="2676">
      <c r="C2676">
        <f>('01_Вводные'!$B$118+'19_Расчет_аналитики'!C2671+1)*IF('08_ФОТ'!C$3&lt;'01_Вводные'!$B$250,'01_Вводные'!$B$123,'01_Вводные'!$B$124)/'01_Вводные'!$B$132</f>
        <v/>
      </c>
      <c r="D2676">
        <f>('01_Вводные'!$B$118+'19_Расчет_аналитики'!D2671+1)*IF('08_ФОТ'!D$3&lt;'01_Вводные'!$B$250,'01_Вводные'!$B$123,'01_Вводные'!$B$124)/'01_Вводные'!$B$132</f>
        <v/>
      </c>
      <c r="E2676">
        <f>('01_Вводные'!$B$118+'19_Расчет_аналитики'!E2671+1)*IF('08_ФОТ'!E$3&lt;'01_Вводные'!$B$250,'01_Вводные'!$B$123,'01_Вводные'!$B$124)/'01_Вводные'!$B$132</f>
        <v/>
      </c>
      <c r="F2676">
        <f>('01_Вводные'!$B$118+'19_Расчет_аналитики'!F2671+1)*IF('08_ФОТ'!F$3&lt;'01_Вводные'!$B$250,'01_Вводные'!$B$123,'01_Вводные'!$B$124)/'01_Вводные'!$B$132</f>
        <v/>
      </c>
      <c r="G2676">
        <f>('01_Вводные'!$B$118+'19_Расчет_аналитики'!G2671+1)*IF('08_ФОТ'!G$3&lt;'01_Вводные'!$B$250,'01_Вводные'!$B$123,'01_Вводные'!$B$124)/'01_Вводные'!$B$132</f>
        <v/>
      </c>
      <c r="H2676">
        <f>('01_Вводные'!$B$118+'19_Расчет_аналитики'!H2671+1)*IF('08_ФОТ'!H$3&lt;'01_Вводные'!$B$250,'01_Вводные'!$B$123,'01_Вводные'!$B$124)/'01_Вводные'!$B$132</f>
        <v/>
      </c>
      <c r="I2676">
        <f>('01_Вводные'!$B$118+'19_Расчет_аналитики'!I2671+1)*IF('08_ФОТ'!I$3&lt;'01_Вводные'!$B$250,'01_Вводные'!$B$123,'01_Вводные'!$B$124)/'01_Вводные'!$B$132</f>
        <v/>
      </c>
      <c r="J2676">
        <f>('01_Вводные'!$B$118+'19_Расчет_аналитики'!J2671+1)*IF('08_ФОТ'!J$3&lt;'01_Вводные'!$B$250,'01_Вводные'!$B$123,'01_Вводные'!$B$124)/'01_Вводные'!$B$132</f>
        <v/>
      </c>
      <c r="K2676">
        <f>('01_Вводные'!$B$118+'19_Расчет_аналитики'!K2671+1)*IF('08_ФОТ'!K$3&lt;'01_Вводные'!$B$250,'01_Вводные'!$B$123,'01_Вводные'!$B$124)/'01_Вводные'!$B$132</f>
        <v/>
      </c>
      <c r="L2676">
        <f>('01_Вводные'!$B$118+'19_Расчет_аналитики'!L2671+1)*IF('08_ФОТ'!L$3&lt;'01_Вводные'!$B$250,'01_Вводные'!$B$123,'01_Вводные'!$B$124)/'01_Вводные'!$B$132</f>
        <v/>
      </c>
      <c r="M2676">
        <f>('01_Вводные'!$B$118+'19_Расчет_аналитики'!M2671+1)*IF('08_ФОТ'!M$3&lt;'01_Вводные'!$B$250,'01_Вводные'!$B$123,'01_Вводные'!$B$124)/'01_Вводные'!$B$132</f>
        <v/>
      </c>
      <c r="N2676">
        <f>('01_Вводные'!$B$118+'19_Расчет_аналитики'!N2671+1)*IF('08_ФОТ'!N$3&lt;'01_Вводные'!$B$250,'01_Вводные'!$B$123,'01_Вводные'!$B$124)/'01_Вводные'!$B$132</f>
        <v/>
      </c>
      <c r="O2676">
        <f>('01_Вводные'!$B$118+'19_Расчет_аналитики'!O2671+1)*IF('08_ФОТ'!O$3&lt;'01_Вводные'!$B$250,'01_Вводные'!$B$123,'01_Вводные'!$B$124)/'01_Вводные'!$B$132</f>
        <v/>
      </c>
      <c r="P2676">
        <f>('01_Вводные'!$B$118+'19_Расчет_аналитики'!P2671+1)*IF('08_ФОТ'!P$3&lt;'01_Вводные'!$B$250,'01_Вводные'!$B$123,'01_Вводные'!$B$124)/'01_Вводные'!$B$132</f>
        <v/>
      </c>
      <c r="Q2676">
        <f>('01_Вводные'!$B$118+'19_Расчет_аналитики'!Q2671+1)*IF('08_ФОТ'!Q$3&lt;'01_Вводные'!$B$250,'01_Вводные'!$B$123,'01_Вводные'!$B$124)/'01_Вводные'!$B$132</f>
        <v/>
      </c>
      <c r="R2676">
        <f>('01_Вводные'!$B$118+'19_Расчет_аналитики'!R2671+1)*IF('08_ФОТ'!R$3&lt;'01_Вводные'!$B$250,'01_Вводные'!$B$123,'01_Вводные'!$B$124)/'01_Вводные'!$B$132</f>
        <v/>
      </c>
      <c r="S2676">
        <f>('01_Вводные'!$B$118+'19_Расчет_аналитики'!S2671+1)*IF('08_ФОТ'!S$3&lt;'01_Вводные'!$B$250,'01_Вводные'!$B$123,'01_Вводные'!$B$124)/'01_Вводные'!$B$132</f>
        <v/>
      </c>
      <c r="T2676">
        <f>('01_Вводные'!$B$118+'19_Расчет_аналитики'!T2671+1)*IF('08_ФОТ'!T$3&lt;'01_Вводные'!$B$250,'01_Вводные'!$B$123,'01_Вводные'!$B$124)/'01_Вводные'!$B$132</f>
        <v/>
      </c>
      <c r="U2676">
        <f>('01_Вводные'!$B$118+'19_Расчет_аналитики'!U2671+1)*IF('08_ФОТ'!U$3&lt;'01_Вводные'!$B$250,'01_Вводные'!$B$123,'01_Вводные'!$B$124)/'01_Вводные'!$B$132</f>
        <v/>
      </c>
      <c r="V2676">
        <f>('01_Вводные'!$B$118+'19_Расчет_аналитики'!V2671+1)*IF('08_ФОТ'!V$3&lt;'01_Вводные'!$B$250,'01_Вводные'!$B$123,'01_Вводные'!$B$124)/'01_Вводные'!$B$132</f>
        <v/>
      </c>
      <c r="W2676">
        <f>('01_Вводные'!$B$118+'19_Расчет_аналитики'!W2671+1)*IF('08_ФОТ'!W$3&lt;'01_Вводные'!$B$250,'01_Вводные'!$B$123,'01_Вводные'!$B$124)/'01_Вводные'!$B$132</f>
        <v/>
      </c>
      <c r="X2676">
        <f>('01_Вводные'!$B$118+'19_Расчет_аналитики'!X2671+1)*IF('08_ФОТ'!X$3&lt;'01_Вводные'!$B$250,'01_Вводные'!$B$123,'01_Вводные'!$B$124)/'01_Вводные'!$B$132</f>
        <v/>
      </c>
      <c r="Y2676">
        <f>('01_Вводные'!$B$118+'19_Расчет_аналитики'!Y2671+1)*IF('08_ФОТ'!Y$3&lt;'01_Вводные'!$B$250,'01_Вводные'!$B$123,'01_Вводные'!$B$124)/'01_Вводные'!$B$132</f>
        <v/>
      </c>
      <c r="Z2676">
        <f>('01_Вводные'!$B$118+'19_Расчет_аналитики'!Z2671+1)*IF('08_ФОТ'!Z$3&lt;'01_Вводные'!$B$250,'01_Вводные'!$B$123,'01_Вводные'!$B$124)/'01_Вводные'!$B$132</f>
        <v/>
      </c>
      <c r="AA2676">
        <f>('01_Вводные'!$B$118+'19_Расчет_аналитики'!AA2671+1)*IF('08_ФОТ'!AA$3&lt;'01_Вводные'!$B$250,'01_Вводные'!$B$123,'01_Вводные'!$B$124)/'01_Вводные'!$B$132</f>
        <v/>
      </c>
      <c r="AB2676">
        <f>('01_Вводные'!$B$118+'19_Расчет_аналитики'!AB2671+1)*IF('08_ФОТ'!AB$3&lt;'01_Вводные'!$B$250,'01_Вводные'!$B$123,'01_Вводные'!$B$124)/'01_Вводные'!$B$132</f>
        <v/>
      </c>
      <c r="AC2676">
        <f>('01_Вводные'!$B$118+'19_Расчет_аналитики'!AC2671+1)*IF('08_ФОТ'!AC$3&lt;'01_Вводные'!$B$250,'01_Вводные'!$B$123,'01_Вводные'!$B$124)/'01_Вводные'!$B$132</f>
        <v/>
      </c>
      <c r="AD2676">
        <f>('01_Вводные'!$B$118+'19_Расчет_аналитики'!AD2671+1)*IF('08_ФОТ'!AD$3&lt;'01_Вводные'!$B$250,'01_Вводные'!$B$123,'01_Вводные'!$B$124)/'01_Вводные'!$B$132</f>
        <v/>
      </c>
      <c r="AE2676">
        <f>('01_Вводные'!$B$118+'19_Расчет_аналитики'!AE2671+1)*IF('08_ФОТ'!AE$3&lt;'01_Вводные'!$B$250,'01_Вводные'!$B$123,'01_Вводные'!$B$124)/'01_Вводные'!$B$132</f>
        <v/>
      </c>
      <c r="AF2676">
        <f>('01_Вводные'!$B$118+'19_Расчет_аналитики'!AF2671+1)*IF('08_ФОТ'!AF$3&lt;'01_Вводные'!$B$250,'01_Вводные'!$B$123,'01_Вводные'!$B$124)/'01_Вводные'!$B$132</f>
        <v/>
      </c>
      <c r="AG2676">
        <f>('01_Вводные'!$B$118+'19_Расчет_аналитики'!AG2671+1)*IF('08_ФОТ'!AG$3&lt;'01_Вводные'!$B$250,'01_Вводные'!$B$123,'01_Вводные'!$B$124)/'01_Вводные'!$B$132</f>
        <v/>
      </c>
      <c r="AH2676">
        <f>('01_Вводные'!$B$118+'19_Расчет_аналитики'!AH2671+1)*IF('08_ФОТ'!AH$3&lt;'01_Вводные'!$B$250,'01_Вводные'!$B$123,'01_Вводные'!$B$124)/'01_Вводные'!$B$132</f>
        <v/>
      </c>
      <c r="AI2676">
        <f>('01_Вводные'!$B$118+'19_Расчет_аналитики'!AI2671+1)*IF('08_ФОТ'!AI$3&lt;'01_Вводные'!$B$250,'01_Вводные'!$B$123,'01_Вводные'!$B$124)/'01_Вводные'!$B$132</f>
        <v/>
      </c>
      <c r="AJ2676">
        <f>('01_Вводные'!$B$118+'19_Расчет_аналитики'!AJ2671+1)*IF('08_ФОТ'!AJ$3&lt;'01_Вводные'!$B$250,'01_Вводные'!$B$123,'01_Вводные'!$B$124)/'01_Вводные'!$B$132</f>
        <v/>
      </c>
      <c r="AK2676">
        <f>('01_Вводные'!$B$118+'19_Расчет_аналитики'!AK2671+1)*IF('08_ФОТ'!AK$3&lt;'01_Вводные'!$B$250,'01_Вводные'!$B$123,'01_Вводные'!$B$124)/'01_Вводные'!$B$132</f>
        <v/>
      </c>
      <c r="AL2676">
        <f>('01_Вводные'!$B$118+'19_Расчет_аналитики'!AL2671+1)*IF('08_ФОТ'!AL$3&lt;'01_Вводные'!$B$250,'01_Вводные'!$B$123,'01_Вводные'!$B$124)/'01_Вводные'!$B$132</f>
        <v/>
      </c>
      <c r="AM2676">
        <f>('01_Вводные'!$B$118+'19_Расчет_аналитики'!AM2671+1)*IF('08_ФОТ'!AM$3&lt;'01_Вводные'!$B$250,'01_Вводные'!$B$123,'01_Вводные'!$B$124)/'01_Вводные'!$B$132</f>
        <v/>
      </c>
      <c r="AN2676">
        <f>('01_Вводные'!$B$118+'19_Расчет_аналитики'!AN2671+1)*IF('08_ФОТ'!AN$3&lt;'01_Вводные'!$B$250,'01_Вводные'!$B$123,'01_Вводные'!$B$124)/'01_Вводные'!$B$132</f>
        <v/>
      </c>
      <c r="AO2676">
        <f>('01_Вводные'!$B$118+'19_Расчет_аналитики'!AO2671+1)*IF('08_ФОТ'!AO$3&lt;'01_Вводные'!$B$250,'01_Вводные'!$B$123,'01_Вводные'!$B$124)/'01_Вводные'!$B$132</f>
        <v/>
      </c>
      <c r="AP2676">
        <f>('01_Вводные'!$B$118+'19_Расчет_аналитики'!AP2671+1)*IF('08_ФОТ'!AP$3&lt;'01_Вводные'!$B$250,'01_Вводные'!$B$123,'01_Вводные'!$B$124)/'01_Вводные'!$B$132</f>
        <v/>
      </c>
      <c r="AQ2676">
        <f>('01_Вводные'!$B$118+'19_Расчет_аналитики'!AQ2671+1)*IF('08_ФОТ'!AQ$3&lt;'01_Вводные'!$B$250,'01_Вводные'!$B$123,'01_Вводные'!$B$124)/'01_Вводные'!$B$132</f>
        <v/>
      </c>
      <c r="AR2676">
        <f>('01_Вводные'!$B$118+'19_Расчет_аналитики'!AR2671+1)*IF('08_ФОТ'!AR$3&lt;'01_Вводные'!$B$250,'01_Вводные'!$B$123,'01_Вводные'!$B$124)/'01_Вводные'!$B$132</f>
        <v/>
      </c>
      <c r="AS2676">
        <f>('01_Вводные'!$B$118+'19_Расчет_аналитики'!AS2671+1)*IF('08_ФОТ'!AS$3&lt;'01_Вводные'!$B$250,'01_Вводные'!$B$123,'01_Вводные'!$B$124)/'01_Вводные'!$B$132</f>
        <v/>
      </c>
      <c r="AT2676">
        <f>('01_Вводные'!$B$118+'19_Расчет_аналитики'!AT2671+1)*IF('08_ФОТ'!AT$3&lt;'01_Вводные'!$B$250,'01_Вводные'!$B$123,'01_Вводные'!$B$124)/'01_Вводные'!$B$132</f>
        <v/>
      </c>
      <c r="AU2676">
        <f>('01_Вводные'!$B$118+'19_Расчет_аналитики'!AU2671+1)*IF('08_ФОТ'!AU$3&lt;'01_Вводные'!$B$250,'01_Вводные'!$B$123,'01_Вводные'!$B$124)/'01_Вводные'!$B$132</f>
        <v/>
      </c>
      <c r="AV2676">
        <f>('01_Вводные'!$B$118+'19_Расчет_аналитики'!AV2671+1)*IF('08_ФОТ'!AV$3&lt;'01_Вводные'!$B$250,'01_Вводные'!$B$123,'01_Вводные'!$B$124)/'01_Вводные'!$B$132</f>
        <v/>
      </c>
      <c r="AW2676">
        <f>('01_Вводные'!$B$118+'19_Расчет_аналитики'!AW2671+1)*IF('08_ФОТ'!AW$3&lt;'01_Вводные'!$B$250,'01_Вводные'!$B$123,'01_Вводные'!$B$124)/'01_Вводные'!$B$132</f>
        <v/>
      </c>
      <c r="AX2676">
        <f>('01_Вводные'!$B$118+'19_Расчет_аналитики'!AX2671+1)*IF('08_ФОТ'!AX$3&lt;'01_Вводные'!$B$250,'01_Вводные'!$B$123,'01_Вводные'!$B$124)/'01_Вводные'!$B$132</f>
        <v/>
      </c>
      <c r="AY2676">
        <f>('01_Вводные'!$B$118+'19_Расчет_аналитики'!AY2671+1)*IF('08_ФОТ'!AY$3&lt;'01_Вводные'!$B$250,'01_Вводные'!$B$123,'01_Вводные'!$B$124)/'01_Вводные'!$B$132</f>
        <v/>
      </c>
      <c r="AZ2676">
        <f>('01_Вводные'!$B$118+'19_Расчет_аналитики'!AZ2671+1)*IF('08_ФОТ'!AZ$3&lt;'01_Вводные'!$B$250,'01_Вводные'!$B$123,'01_Вводные'!$B$124)/'01_Вводные'!$B$132</f>
        <v/>
      </c>
      <c r="BA2676">
        <f>('01_Вводные'!$B$118+'19_Расчет_аналитики'!BA2671+1)*IF('08_ФОТ'!BA$3&lt;'01_Вводные'!$B$250,'01_Вводные'!$B$123,'01_Вводные'!$B$124)/'01_Вводные'!$B$132</f>
        <v/>
      </c>
      <c r="BB2676">
        <f>('01_Вводные'!$B$118+'19_Расчет_аналитики'!BB2671+1)*IF('08_ФОТ'!BB$3&lt;'01_Вводные'!$B$250,'01_Вводные'!$B$123,'01_Вводные'!$B$124)/'01_Вводные'!$B$132</f>
        <v/>
      </c>
      <c r="BC2676">
        <f>('01_Вводные'!$B$118+'19_Расчет_аналитики'!BC2671+1)*IF('08_ФОТ'!BC$3&lt;'01_Вводные'!$B$250,'01_Вводные'!$B$123,'01_Вводные'!$B$124)/'01_Вводные'!$B$132</f>
        <v/>
      </c>
      <c r="BD2676">
        <f>('01_Вводные'!$B$118+'19_Расчет_аналитики'!BD2671+1)*IF('08_ФОТ'!BD$3&lt;'01_Вводные'!$B$250,'01_Вводные'!$B$123,'01_Вводные'!$B$124)/'01_Вводные'!$B$132</f>
        <v/>
      </c>
      <c r="BE2676">
        <f>('01_Вводные'!$B$118+'19_Расчет_аналитики'!BE2671+1)*IF('08_ФОТ'!BE$3&lt;'01_Вводные'!$B$250,'01_Вводные'!$B$123,'01_Вводные'!$B$124)/'01_Вводные'!$B$132</f>
        <v/>
      </c>
      <c r="BF2676">
        <f>('01_Вводные'!$B$118+'19_Расчет_аналитики'!BF2671+1)*IF('08_ФОТ'!BF$3&lt;'01_Вводные'!$B$250,'01_Вводные'!$B$123,'01_Вводные'!$B$124)/'01_Вводные'!$B$132</f>
        <v/>
      </c>
      <c r="BG2676">
        <f>('01_Вводные'!$B$118+'19_Расчет_аналитики'!BG2671+1)*IF('08_ФОТ'!BG$3&lt;'01_Вводные'!$B$250,'01_Вводные'!$B$123,'01_Вводные'!$B$124)/'01_Вводные'!$B$132</f>
        <v/>
      </c>
      <c r="BH2676">
        <f>('01_Вводные'!$B$118+'19_Расчет_аналитики'!BH2671+1)*IF('08_ФОТ'!BH$3&lt;'01_Вводные'!$B$250,'01_Вводные'!$B$123,'01_Вводные'!$B$124)/'01_Вводные'!$B$132</f>
        <v/>
      </c>
      <c r="BI2676">
        <f>('01_Вводные'!$B$118+'19_Расчет_аналитики'!BI2671+1)*IF('08_ФОТ'!BI$3&lt;'01_Вводные'!$B$250,'01_Вводные'!$B$123,'01_Вводные'!$B$124)/'01_Вводные'!$B$132</f>
        <v/>
      </c>
    </row>
    <row r="2677">
      <c r="C2677">
        <f>'19_Расчет_аналитики'!C2676*'01_Вводные'!$B$131</f>
        <v/>
      </c>
      <c r="D2677">
        <f>'19_Расчет_аналитики'!D2676*'01_Вводные'!$B$131</f>
        <v/>
      </c>
      <c r="E2677">
        <f>'19_Расчет_аналитики'!E2676*'01_Вводные'!$B$131</f>
        <v/>
      </c>
      <c r="F2677">
        <f>'19_Расчет_аналитики'!F2676*'01_Вводные'!$B$131</f>
        <v/>
      </c>
      <c r="G2677">
        <f>'19_Расчет_аналитики'!G2676*'01_Вводные'!$B$131</f>
        <v/>
      </c>
      <c r="H2677">
        <f>'19_Расчет_аналитики'!H2676*'01_Вводные'!$B$131</f>
        <v/>
      </c>
      <c r="I2677">
        <f>'19_Расчет_аналитики'!I2676*'01_Вводные'!$B$131</f>
        <v/>
      </c>
      <c r="J2677">
        <f>'19_Расчет_аналитики'!J2676*'01_Вводные'!$B$131</f>
        <v/>
      </c>
      <c r="K2677">
        <f>'19_Расчет_аналитики'!K2676*'01_Вводные'!$B$131</f>
        <v/>
      </c>
      <c r="L2677">
        <f>'19_Расчет_аналитики'!L2676*'01_Вводные'!$B$131</f>
        <v/>
      </c>
      <c r="M2677">
        <f>'19_Расчет_аналитики'!M2676*'01_Вводные'!$B$131</f>
        <v/>
      </c>
      <c r="N2677">
        <f>'19_Расчет_аналитики'!N2676*'01_Вводные'!$B$131</f>
        <v/>
      </c>
      <c r="O2677">
        <f>'19_Расчет_аналитики'!O2676*'01_Вводные'!$B$131</f>
        <v/>
      </c>
      <c r="P2677">
        <f>'19_Расчет_аналитики'!P2676*'01_Вводные'!$B$131</f>
        <v/>
      </c>
      <c r="Q2677">
        <f>'19_Расчет_аналитики'!Q2676*'01_Вводные'!$B$131</f>
        <v/>
      </c>
      <c r="R2677">
        <f>'19_Расчет_аналитики'!R2676*'01_Вводные'!$B$131</f>
        <v/>
      </c>
      <c r="S2677">
        <f>'19_Расчет_аналитики'!S2676*'01_Вводные'!$B$131</f>
        <v/>
      </c>
      <c r="T2677">
        <f>'19_Расчет_аналитики'!T2676*'01_Вводные'!$B$131</f>
        <v/>
      </c>
      <c r="U2677">
        <f>'19_Расчет_аналитики'!U2676*'01_Вводные'!$B$131</f>
        <v/>
      </c>
      <c r="V2677">
        <f>'19_Расчет_аналитики'!V2676*'01_Вводные'!$B$131</f>
        <v/>
      </c>
      <c r="W2677">
        <f>'19_Расчет_аналитики'!W2676*'01_Вводные'!$B$131</f>
        <v/>
      </c>
      <c r="X2677">
        <f>'19_Расчет_аналитики'!X2676*'01_Вводные'!$B$131</f>
        <v/>
      </c>
      <c r="Y2677">
        <f>'19_Расчет_аналитики'!Y2676*'01_Вводные'!$B$131</f>
        <v/>
      </c>
      <c r="Z2677">
        <f>'19_Расчет_аналитики'!Z2676*'01_Вводные'!$B$131</f>
        <v/>
      </c>
      <c r="AA2677">
        <f>'19_Расчет_аналитики'!AA2676*'01_Вводные'!$B$131</f>
        <v/>
      </c>
      <c r="AB2677">
        <f>'19_Расчет_аналитики'!AB2676*'01_Вводные'!$B$131</f>
        <v/>
      </c>
      <c r="AC2677">
        <f>'19_Расчет_аналитики'!AC2676*'01_Вводные'!$B$131</f>
        <v/>
      </c>
      <c r="AD2677">
        <f>'19_Расчет_аналитики'!AD2676*'01_Вводные'!$B$131</f>
        <v/>
      </c>
      <c r="AE2677">
        <f>'19_Расчет_аналитики'!AE2676*'01_Вводные'!$B$131</f>
        <v/>
      </c>
      <c r="AF2677">
        <f>'19_Расчет_аналитики'!AF2676*'01_Вводные'!$B$131</f>
        <v/>
      </c>
      <c r="AG2677">
        <f>'19_Расчет_аналитики'!AG2676*'01_Вводные'!$B$131</f>
        <v/>
      </c>
      <c r="AH2677">
        <f>'19_Расчет_аналитики'!AH2676*'01_Вводные'!$B$131</f>
        <v/>
      </c>
      <c r="AI2677">
        <f>'19_Расчет_аналитики'!AI2676*'01_Вводные'!$B$131</f>
        <v/>
      </c>
      <c r="AJ2677">
        <f>'19_Расчет_аналитики'!AJ2676*'01_Вводные'!$B$131</f>
        <v/>
      </c>
      <c r="AK2677">
        <f>'19_Расчет_аналитики'!AK2676*'01_Вводные'!$B$131</f>
        <v/>
      </c>
      <c r="AL2677">
        <f>'19_Расчет_аналитики'!AL2676*'01_Вводные'!$B$131</f>
        <v/>
      </c>
      <c r="AM2677">
        <f>'19_Расчет_аналитики'!AM2676*'01_Вводные'!$B$131</f>
        <v/>
      </c>
      <c r="AN2677">
        <f>'19_Расчет_аналитики'!AN2676*'01_Вводные'!$B$131</f>
        <v/>
      </c>
      <c r="AO2677">
        <f>'19_Расчет_аналитики'!AO2676*'01_Вводные'!$B$131</f>
        <v/>
      </c>
      <c r="AP2677">
        <f>'19_Расчет_аналитики'!AP2676*'01_Вводные'!$B$131</f>
        <v/>
      </c>
      <c r="AQ2677">
        <f>'19_Расчет_аналитики'!AQ2676*'01_Вводные'!$B$131</f>
        <v/>
      </c>
      <c r="AR2677">
        <f>'19_Расчет_аналитики'!AR2676*'01_Вводные'!$B$131</f>
        <v/>
      </c>
      <c r="AS2677">
        <f>'19_Расчет_аналитики'!AS2676*'01_Вводные'!$B$131</f>
        <v/>
      </c>
      <c r="AT2677">
        <f>'19_Расчет_аналитики'!AT2676*'01_Вводные'!$B$131</f>
        <v/>
      </c>
      <c r="AU2677">
        <f>'19_Расчет_аналитики'!AU2676*'01_Вводные'!$B$131</f>
        <v/>
      </c>
      <c r="AV2677">
        <f>'19_Расчет_аналитики'!AV2676*'01_Вводные'!$B$131</f>
        <v/>
      </c>
      <c r="AW2677">
        <f>'19_Расчет_аналитики'!AW2676*'01_Вводные'!$B$131</f>
        <v/>
      </c>
      <c r="AX2677">
        <f>'19_Расчет_аналитики'!AX2676*'01_Вводные'!$B$131</f>
        <v/>
      </c>
      <c r="AY2677">
        <f>'19_Расчет_аналитики'!AY2676*'01_Вводные'!$B$131</f>
        <v/>
      </c>
      <c r="AZ2677">
        <f>'19_Расчет_аналитики'!AZ2676*'01_Вводные'!$B$131</f>
        <v/>
      </c>
      <c r="BA2677">
        <f>'19_Расчет_аналитики'!BA2676*'01_Вводные'!$B$131</f>
        <v/>
      </c>
      <c r="BB2677">
        <f>'19_Расчет_аналитики'!BB2676*'01_Вводные'!$B$131</f>
        <v/>
      </c>
      <c r="BC2677">
        <f>'19_Расчет_аналитики'!BC2676*'01_Вводные'!$B$131</f>
        <v/>
      </c>
      <c r="BD2677">
        <f>'19_Расчет_аналитики'!BD2676*'01_Вводные'!$B$131</f>
        <v/>
      </c>
      <c r="BE2677">
        <f>'19_Расчет_аналитики'!BE2676*'01_Вводные'!$B$131</f>
        <v/>
      </c>
      <c r="BF2677">
        <f>'19_Расчет_аналитики'!BF2676*'01_Вводные'!$B$131</f>
        <v/>
      </c>
      <c r="BG2677">
        <f>'19_Расчет_аналитики'!BG2676*'01_Вводные'!$B$131</f>
        <v/>
      </c>
      <c r="BH2677">
        <f>'19_Расчет_аналитики'!BH2676*'01_Вводные'!$B$131</f>
        <v/>
      </c>
      <c r="BI2677">
        <f>'19_Расчет_аналитики'!BI2676*'01_Вводные'!$B$131</f>
        <v/>
      </c>
    </row>
    <row r="2678">
      <c r="C2678">
        <f>IF('19_Расчет_аналитики'!C2362&gt;=2,'19_Расчет_аналитики'!C2373*'01_Вводные'!$B$125/(1+'01_Вводные'!$B$131),0)</f>
        <v/>
      </c>
      <c r="D2678">
        <f>IF('19_Расчет_аналитики'!D2362&gt;=2,'19_Расчет_аналитики'!D2373*'01_Вводные'!$B$125/(1+'01_Вводные'!$B$131),0)</f>
        <v/>
      </c>
      <c r="E2678">
        <f>IF('19_Расчет_аналитики'!E2362&gt;=2,'19_Расчет_аналитики'!E2373*'01_Вводные'!$B$125/(1+'01_Вводные'!$B$131),0)</f>
        <v/>
      </c>
      <c r="F2678">
        <f>IF('19_Расчет_аналитики'!F2362&gt;=2,'19_Расчет_аналитики'!F2373*'01_Вводные'!$B$125/(1+'01_Вводные'!$B$131),0)</f>
        <v/>
      </c>
      <c r="G2678">
        <f>IF('19_Расчет_аналитики'!G2362&gt;=2,'19_Расчет_аналитики'!G2373*'01_Вводные'!$B$125/(1+'01_Вводные'!$B$131),0)</f>
        <v/>
      </c>
      <c r="H2678">
        <f>IF('19_Расчет_аналитики'!H2362&gt;=2,'19_Расчет_аналитики'!H2373*'01_Вводные'!$B$125/(1+'01_Вводные'!$B$131),0)</f>
        <v/>
      </c>
      <c r="I2678">
        <f>IF('19_Расчет_аналитики'!I2362&gt;=2,'19_Расчет_аналитики'!I2373*'01_Вводные'!$B$125/(1+'01_Вводные'!$B$131),0)</f>
        <v/>
      </c>
      <c r="J2678">
        <f>IF('19_Расчет_аналитики'!J2362&gt;=2,'19_Расчет_аналитики'!J2373*'01_Вводные'!$B$125/(1+'01_Вводные'!$B$131),0)</f>
        <v/>
      </c>
      <c r="K2678">
        <f>IF('19_Расчет_аналитики'!K2362&gt;=2,'19_Расчет_аналитики'!K2373*'01_Вводные'!$B$125/(1+'01_Вводные'!$B$131),0)</f>
        <v/>
      </c>
      <c r="L2678">
        <f>IF('19_Расчет_аналитики'!L2362&gt;=2,'19_Расчет_аналитики'!L2373*'01_Вводные'!$B$125/(1+'01_Вводные'!$B$131),0)</f>
        <v/>
      </c>
      <c r="M2678">
        <f>IF('19_Расчет_аналитики'!M2362&gt;=2,'19_Расчет_аналитики'!M2373*'01_Вводные'!$B$125/(1+'01_Вводные'!$B$131),0)</f>
        <v/>
      </c>
      <c r="N2678">
        <f>IF('19_Расчет_аналитики'!N2362&gt;=2,'19_Расчет_аналитики'!N2373*'01_Вводные'!$B$125/(1+'01_Вводные'!$B$131),0)</f>
        <v/>
      </c>
      <c r="O2678">
        <f>IF('19_Расчет_аналитики'!O2362&gt;=2,'19_Расчет_аналитики'!O2373*'01_Вводные'!$B$125/(1+'01_Вводные'!$B$131),0)</f>
        <v/>
      </c>
      <c r="P2678">
        <f>IF('19_Расчет_аналитики'!P2362&gt;=2,'19_Расчет_аналитики'!P2373*'01_Вводные'!$B$125/(1+'01_Вводные'!$B$131),0)</f>
        <v/>
      </c>
      <c r="Q2678">
        <f>IF('19_Расчет_аналитики'!Q2362&gt;=2,'19_Расчет_аналитики'!Q2373*'01_Вводные'!$B$125/(1+'01_Вводные'!$B$131),0)</f>
        <v/>
      </c>
      <c r="R2678">
        <f>IF('19_Расчет_аналитики'!R2362&gt;=2,'19_Расчет_аналитики'!R2373*'01_Вводные'!$B$125/(1+'01_Вводные'!$B$131),0)</f>
        <v/>
      </c>
      <c r="S2678">
        <f>IF('19_Расчет_аналитики'!S2362&gt;=2,'19_Расчет_аналитики'!S2373*'01_Вводные'!$B$125/(1+'01_Вводные'!$B$131),0)</f>
        <v/>
      </c>
      <c r="T2678">
        <f>IF('19_Расчет_аналитики'!T2362&gt;=2,'19_Расчет_аналитики'!T2373*'01_Вводные'!$B$125/(1+'01_Вводные'!$B$131),0)</f>
        <v/>
      </c>
      <c r="U2678">
        <f>IF('19_Расчет_аналитики'!U2362&gt;=2,'19_Расчет_аналитики'!U2373*'01_Вводные'!$B$125/(1+'01_Вводные'!$B$131),0)</f>
        <v/>
      </c>
      <c r="V2678">
        <f>IF('19_Расчет_аналитики'!V2362&gt;=2,'19_Расчет_аналитики'!V2373*'01_Вводные'!$B$125/(1+'01_Вводные'!$B$131),0)</f>
        <v/>
      </c>
      <c r="W2678">
        <f>IF('19_Расчет_аналитики'!W2362&gt;=2,'19_Расчет_аналитики'!W2373*'01_Вводные'!$B$125/(1+'01_Вводные'!$B$131),0)</f>
        <v/>
      </c>
      <c r="X2678">
        <f>IF('19_Расчет_аналитики'!X2362&gt;=2,'19_Расчет_аналитики'!X2373*'01_Вводные'!$B$125/(1+'01_Вводные'!$B$131),0)</f>
        <v/>
      </c>
      <c r="Y2678">
        <f>IF('19_Расчет_аналитики'!Y2362&gt;=2,'19_Расчет_аналитики'!Y2373*'01_Вводные'!$B$125/(1+'01_Вводные'!$B$131),0)</f>
        <v/>
      </c>
      <c r="Z2678">
        <f>IF('19_Расчет_аналитики'!Z2362&gt;=2,'19_Расчет_аналитики'!Z2373*'01_Вводные'!$B$125/(1+'01_Вводные'!$B$131),0)</f>
        <v/>
      </c>
      <c r="AA2678">
        <f>IF('19_Расчет_аналитики'!AA2362&gt;=2,'19_Расчет_аналитики'!AA2373*'01_Вводные'!$B$125/(1+'01_Вводные'!$B$131),0)</f>
        <v/>
      </c>
      <c r="AB2678">
        <f>IF('19_Расчет_аналитики'!AB2362&gt;=2,'19_Расчет_аналитики'!AB2373*'01_Вводные'!$B$125/(1+'01_Вводные'!$B$131),0)</f>
        <v/>
      </c>
      <c r="AC2678">
        <f>IF('19_Расчет_аналитики'!AC2362&gt;=2,'19_Расчет_аналитики'!AC2373*'01_Вводные'!$B$125/(1+'01_Вводные'!$B$131),0)</f>
        <v/>
      </c>
      <c r="AD2678">
        <f>IF('19_Расчет_аналитики'!AD2362&gt;=2,'19_Расчет_аналитики'!AD2373*'01_Вводные'!$B$125/(1+'01_Вводные'!$B$131),0)</f>
        <v/>
      </c>
      <c r="AE2678">
        <f>IF('19_Расчет_аналитики'!AE2362&gt;=2,'19_Расчет_аналитики'!AE2373*'01_Вводные'!$B$125/(1+'01_Вводные'!$B$131),0)</f>
        <v/>
      </c>
      <c r="AF2678">
        <f>IF('19_Расчет_аналитики'!AF2362&gt;=2,'19_Расчет_аналитики'!AF2373*'01_Вводные'!$B$125/(1+'01_Вводные'!$B$131),0)</f>
        <v/>
      </c>
      <c r="AG2678">
        <f>IF('19_Расчет_аналитики'!AG2362&gt;=2,'19_Расчет_аналитики'!AG2373*'01_Вводные'!$B$125/(1+'01_Вводные'!$B$131),0)</f>
        <v/>
      </c>
      <c r="AH2678">
        <f>IF('19_Расчет_аналитики'!AH2362&gt;=2,'19_Расчет_аналитики'!AH2373*'01_Вводные'!$B$125/(1+'01_Вводные'!$B$131),0)</f>
        <v/>
      </c>
      <c r="AI2678">
        <f>IF('19_Расчет_аналитики'!AI2362&gt;=2,'19_Расчет_аналитики'!AI2373*'01_Вводные'!$B$125/(1+'01_Вводные'!$B$131),0)</f>
        <v/>
      </c>
      <c r="AJ2678">
        <f>IF('19_Расчет_аналитики'!AJ2362&gt;=2,'19_Расчет_аналитики'!AJ2373*'01_Вводные'!$B$125/(1+'01_Вводные'!$B$131),0)</f>
        <v/>
      </c>
      <c r="AK2678">
        <f>IF('19_Расчет_аналитики'!AK2362&gt;=2,'19_Расчет_аналитики'!AK2373*'01_Вводные'!$B$125/(1+'01_Вводные'!$B$131),0)</f>
        <v/>
      </c>
      <c r="AL2678">
        <f>IF('19_Расчет_аналитики'!AL2362&gt;=2,'19_Расчет_аналитики'!AL2373*'01_Вводные'!$B$125/(1+'01_Вводные'!$B$131),0)</f>
        <v/>
      </c>
      <c r="AM2678">
        <f>IF('19_Расчет_аналитики'!AM2362&gt;=2,'19_Расчет_аналитики'!AM2373*'01_Вводные'!$B$125/(1+'01_Вводные'!$B$131),0)</f>
        <v/>
      </c>
      <c r="AN2678">
        <f>IF('19_Расчет_аналитики'!AN2362&gt;=2,'19_Расчет_аналитики'!AN2373*'01_Вводные'!$B$125/(1+'01_Вводные'!$B$131),0)</f>
        <v/>
      </c>
      <c r="AO2678">
        <f>IF('19_Расчет_аналитики'!AO2362&gt;=2,'19_Расчет_аналитики'!AO2373*'01_Вводные'!$B$125/(1+'01_Вводные'!$B$131),0)</f>
        <v/>
      </c>
      <c r="AP2678">
        <f>IF('19_Расчет_аналитики'!AP2362&gt;=2,'19_Расчет_аналитики'!AP2373*'01_Вводные'!$B$125/(1+'01_Вводные'!$B$131),0)</f>
        <v/>
      </c>
      <c r="AQ2678">
        <f>IF('19_Расчет_аналитики'!AQ2362&gt;=2,'19_Расчет_аналитики'!AQ2373*'01_Вводные'!$B$125/(1+'01_Вводные'!$B$131),0)</f>
        <v/>
      </c>
      <c r="AR2678">
        <f>IF('19_Расчет_аналитики'!AR2362&gt;=2,'19_Расчет_аналитики'!AR2373*'01_Вводные'!$B$125/(1+'01_Вводные'!$B$131),0)</f>
        <v/>
      </c>
      <c r="AS2678">
        <f>IF('19_Расчет_аналитики'!AS2362&gt;=2,'19_Расчет_аналитики'!AS2373*'01_Вводные'!$B$125/(1+'01_Вводные'!$B$131),0)</f>
        <v/>
      </c>
      <c r="AT2678">
        <f>IF('19_Расчет_аналитики'!AT2362&gt;=2,'19_Расчет_аналитики'!AT2373*'01_Вводные'!$B$125/(1+'01_Вводные'!$B$131),0)</f>
        <v/>
      </c>
      <c r="AU2678">
        <f>IF('19_Расчет_аналитики'!AU2362&gt;=2,'19_Расчет_аналитики'!AU2373*'01_Вводные'!$B$125/(1+'01_Вводные'!$B$131),0)</f>
        <v/>
      </c>
      <c r="AV2678">
        <f>IF('19_Расчет_аналитики'!AV2362&gt;=2,'19_Расчет_аналитики'!AV2373*'01_Вводные'!$B$125/(1+'01_Вводные'!$B$131),0)</f>
        <v/>
      </c>
      <c r="AW2678">
        <f>IF('19_Расчет_аналитики'!AW2362&gt;=2,'19_Расчет_аналитики'!AW2373*'01_Вводные'!$B$125/(1+'01_Вводные'!$B$131),0)</f>
        <v/>
      </c>
      <c r="AX2678">
        <f>IF('19_Расчет_аналитики'!AX2362&gt;=2,'19_Расчет_аналитики'!AX2373*'01_Вводные'!$B$125/(1+'01_Вводные'!$B$131),0)</f>
        <v/>
      </c>
      <c r="AY2678">
        <f>IF('19_Расчет_аналитики'!AY2362&gt;=2,'19_Расчет_аналитики'!AY2373*'01_Вводные'!$B$125/(1+'01_Вводные'!$B$131),0)</f>
        <v/>
      </c>
      <c r="AZ2678">
        <f>IF('19_Расчет_аналитики'!AZ2362&gt;=2,'19_Расчет_аналитики'!AZ2373*'01_Вводные'!$B$125/(1+'01_Вводные'!$B$131),0)</f>
        <v/>
      </c>
      <c r="BA2678">
        <f>IF('19_Расчет_аналитики'!BA2362&gt;=2,'19_Расчет_аналитики'!BA2373*'01_Вводные'!$B$125/(1+'01_Вводные'!$B$131),0)</f>
        <v/>
      </c>
      <c r="BB2678">
        <f>IF('19_Расчет_аналитики'!BB2362&gt;=2,'19_Расчет_аналитики'!BB2373*'01_Вводные'!$B$125/(1+'01_Вводные'!$B$131),0)</f>
        <v/>
      </c>
      <c r="BC2678">
        <f>IF('19_Расчет_аналитики'!BC2362&gt;=2,'19_Расчет_аналитики'!BC2373*'01_Вводные'!$B$125/(1+'01_Вводные'!$B$131),0)</f>
        <v/>
      </c>
      <c r="BD2678">
        <f>IF('19_Расчет_аналитики'!BD2362&gt;=2,'19_Расчет_аналитики'!BD2373*'01_Вводные'!$B$125/(1+'01_Вводные'!$B$131),0)</f>
        <v/>
      </c>
      <c r="BE2678">
        <f>IF('19_Расчет_аналитики'!BE2362&gt;=2,'19_Расчет_аналитики'!BE2373*'01_Вводные'!$B$125/(1+'01_Вводные'!$B$131),0)</f>
        <v/>
      </c>
      <c r="BF2678">
        <f>IF('19_Расчет_аналитики'!BF2362&gt;=2,'19_Расчет_аналитики'!BF2373*'01_Вводные'!$B$125/(1+'01_Вводные'!$B$131),0)</f>
        <v/>
      </c>
      <c r="BG2678">
        <f>IF('19_Расчет_аналитики'!BG2362&gt;=2,'19_Расчет_аналитики'!BG2373*'01_Вводные'!$B$125/(1+'01_Вводные'!$B$131),0)</f>
        <v/>
      </c>
      <c r="BH2678">
        <f>IF('19_Расчет_аналитики'!BH2362&gt;=2,'19_Расчет_аналитики'!BH2373*'01_Вводные'!$B$125/(1+'01_Вводные'!$B$131),0)</f>
        <v/>
      </c>
      <c r="BI2678">
        <f>IF('19_Расчет_аналитики'!BI2362&gt;=2,'19_Расчет_аналитики'!BI2373*'01_Вводные'!$B$125/(1+'01_Вводные'!$B$131),0)</f>
        <v/>
      </c>
    </row>
    <row r="2679">
      <c r="C2679">
        <f>'19_Расчет_аналитики'!C2678*'01_Вводные'!$B$131</f>
        <v/>
      </c>
      <c r="D2679">
        <f>'19_Расчет_аналитики'!D2678*'01_Вводные'!$B$131</f>
        <v/>
      </c>
      <c r="E2679">
        <f>'19_Расчет_аналитики'!E2678*'01_Вводные'!$B$131</f>
        <v/>
      </c>
      <c r="F2679">
        <f>'19_Расчет_аналитики'!F2678*'01_Вводные'!$B$131</f>
        <v/>
      </c>
      <c r="G2679">
        <f>'19_Расчет_аналитики'!G2678*'01_Вводные'!$B$131</f>
        <v/>
      </c>
      <c r="H2679">
        <f>'19_Расчет_аналитики'!H2678*'01_Вводные'!$B$131</f>
        <v/>
      </c>
      <c r="I2679">
        <f>'19_Расчет_аналитики'!I2678*'01_Вводные'!$B$131</f>
        <v/>
      </c>
      <c r="J2679">
        <f>'19_Расчет_аналитики'!J2678*'01_Вводные'!$B$131</f>
        <v/>
      </c>
      <c r="K2679">
        <f>'19_Расчет_аналитики'!K2678*'01_Вводные'!$B$131</f>
        <v/>
      </c>
      <c r="L2679">
        <f>'19_Расчет_аналитики'!L2678*'01_Вводные'!$B$131</f>
        <v/>
      </c>
      <c r="M2679">
        <f>'19_Расчет_аналитики'!M2678*'01_Вводные'!$B$131</f>
        <v/>
      </c>
      <c r="N2679">
        <f>'19_Расчет_аналитики'!N2678*'01_Вводные'!$B$131</f>
        <v/>
      </c>
      <c r="O2679">
        <f>'19_Расчет_аналитики'!O2678*'01_Вводные'!$B$131</f>
        <v/>
      </c>
      <c r="P2679">
        <f>'19_Расчет_аналитики'!P2678*'01_Вводные'!$B$131</f>
        <v/>
      </c>
      <c r="Q2679">
        <f>'19_Расчет_аналитики'!Q2678*'01_Вводные'!$B$131</f>
        <v/>
      </c>
      <c r="R2679">
        <f>'19_Расчет_аналитики'!R2678*'01_Вводные'!$B$131</f>
        <v/>
      </c>
      <c r="S2679">
        <f>'19_Расчет_аналитики'!S2678*'01_Вводные'!$B$131</f>
        <v/>
      </c>
      <c r="T2679">
        <f>'19_Расчет_аналитики'!T2678*'01_Вводные'!$B$131</f>
        <v/>
      </c>
      <c r="U2679">
        <f>'19_Расчет_аналитики'!U2678*'01_Вводные'!$B$131</f>
        <v/>
      </c>
      <c r="V2679">
        <f>'19_Расчет_аналитики'!V2678*'01_Вводные'!$B$131</f>
        <v/>
      </c>
      <c r="W2679">
        <f>'19_Расчет_аналитики'!W2678*'01_Вводные'!$B$131</f>
        <v/>
      </c>
      <c r="X2679">
        <f>'19_Расчет_аналитики'!X2678*'01_Вводные'!$B$131</f>
        <v/>
      </c>
      <c r="Y2679">
        <f>'19_Расчет_аналитики'!Y2678*'01_Вводные'!$B$131</f>
        <v/>
      </c>
      <c r="Z2679">
        <f>'19_Расчет_аналитики'!Z2678*'01_Вводные'!$B$131</f>
        <v/>
      </c>
      <c r="AA2679">
        <f>'19_Расчет_аналитики'!AA2678*'01_Вводные'!$B$131</f>
        <v/>
      </c>
      <c r="AB2679">
        <f>'19_Расчет_аналитики'!AB2678*'01_Вводные'!$B$131</f>
        <v/>
      </c>
      <c r="AC2679">
        <f>'19_Расчет_аналитики'!AC2678*'01_Вводные'!$B$131</f>
        <v/>
      </c>
      <c r="AD2679">
        <f>'19_Расчет_аналитики'!AD2678*'01_Вводные'!$B$131</f>
        <v/>
      </c>
      <c r="AE2679">
        <f>'19_Расчет_аналитики'!AE2678*'01_Вводные'!$B$131</f>
        <v/>
      </c>
      <c r="AF2679">
        <f>'19_Расчет_аналитики'!AF2678*'01_Вводные'!$B$131</f>
        <v/>
      </c>
      <c r="AG2679">
        <f>'19_Расчет_аналитики'!AG2678*'01_Вводные'!$B$131</f>
        <v/>
      </c>
      <c r="AH2679">
        <f>'19_Расчет_аналитики'!AH2678*'01_Вводные'!$B$131</f>
        <v/>
      </c>
      <c r="AI2679">
        <f>'19_Расчет_аналитики'!AI2678*'01_Вводные'!$B$131</f>
        <v/>
      </c>
      <c r="AJ2679">
        <f>'19_Расчет_аналитики'!AJ2678*'01_Вводные'!$B$131</f>
        <v/>
      </c>
      <c r="AK2679">
        <f>'19_Расчет_аналитики'!AK2678*'01_Вводные'!$B$131</f>
        <v/>
      </c>
      <c r="AL2679">
        <f>'19_Расчет_аналитики'!AL2678*'01_Вводные'!$B$131</f>
        <v/>
      </c>
      <c r="AM2679">
        <f>'19_Расчет_аналитики'!AM2678*'01_Вводные'!$B$131</f>
        <v/>
      </c>
      <c r="AN2679">
        <f>'19_Расчет_аналитики'!AN2678*'01_Вводные'!$B$131</f>
        <v/>
      </c>
      <c r="AO2679">
        <f>'19_Расчет_аналитики'!AO2678*'01_Вводные'!$B$131</f>
        <v/>
      </c>
      <c r="AP2679">
        <f>'19_Расчет_аналитики'!AP2678*'01_Вводные'!$B$131</f>
        <v/>
      </c>
      <c r="AQ2679">
        <f>'19_Расчет_аналитики'!AQ2678*'01_Вводные'!$B$131</f>
        <v/>
      </c>
      <c r="AR2679">
        <f>'19_Расчет_аналитики'!AR2678*'01_Вводные'!$B$131</f>
        <v/>
      </c>
      <c r="AS2679">
        <f>'19_Расчет_аналитики'!AS2678*'01_Вводные'!$B$131</f>
        <v/>
      </c>
      <c r="AT2679">
        <f>'19_Расчет_аналитики'!AT2678*'01_Вводные'!$B$131</f>
        <v/>
      </c>
      <c r="AU2679">
        <f>'19_Расчет_аналитики'!AU2678*'01_Вводные'!$B$131</f>
        <v/>
      </c>
      <c r="AV2679">
        <f>'19_Расчет_аналитики'!AV2678*'01_Вводные'!$B$131</f>
        <v/>
      </c>
      <c r="AW2679">
        <f>'19_Расчет_аналитики'!AW2678*'01_Вводные'!$B$131</f>
        <v/>
      </c>
      <c r="AX2679">
        <f>'19_Расчет_аналитики'!AX2678*'01_Вводные'!$B$131</f>
        <v/>
      </c>
      <c r="AY2679">
        <f>'19_Расчет_аналитики'!AY2678*'01_Вводные'!$B$131</f>
        <v/>
      </c>
      <c r="AZ2679">
        <f>'19_Расчет_аналитики'!AZ2678*'01_Вводные'!$B$131</f>
        <v/>
      </c>
      <c r="BA2679">
        <f>'19_Расчет_аналитики'!BA2678*'01_Вводные'!$B$131</f>
        <v/>
      </c>
      <c r="BB2679">
        <f>'19_Расчет_аналитики'!BB2678*'01_Вводные'!$B$131</f>
        <v/>
      </c>
      <c r="BC2679">
        <f>'19_Расчет_аналитики'!BC2678*'01_Вводные'!$B$131</f>
        <v/>
      </c>
      <c r="BD2679">
        <f>'19_Расчет_аналитики'!BD2678*'01_Вводные'!$B$131</f>
        <v/>
      </c>
      <c r="BE2679">
        <f>'19_Расчет_аналитики'!BE2678*'01_Вводные'!$B$131</f>
        <v/>
      </c>
      <c r="BF2679">
        <f>'19_Расчет_аналитики'!BF2678*'01_Вводные'!$B$131</f>
        <v/>
      </c>
      <c r="BG2679">
        <f>'19_Расчет_аналитики'!BG2678*'01_Вводные'!$B$131</f>
        <v/>
      </c>
      <c r="BH2679">
        <f>'19_Расчет_аналитики'!BH2678*'01_Вводные'!$B$131</f>
        <v/>
      </c>
      <c r="BI2679">
        <f>'19_Расчет_аналитики'!BI2678*'01_Вводные'!$B$131</f>
        <v/>
      </c>
    </row>
    <row r="2680">
      <c r="C2680">
        <f>IF('19_Расчет_аналитики'!C2362&gt;='01_Вводные'!$B$126,IF('01_Вводные'!$B$129="ИП",'01_Вводные'!$B$127+'19_Расчет_аналитики'!C2373*'01_Вводные'!$B$128,('01_Вводные'!$B$127/'01_Вводные'!$B$132+'19_Расчет_аналитики'!C2373*'01_Вводные'!$B$128)*(1+'01_Вводные'!$B$131)),0)</f>
        <v/>
      </c>
      <c r="D2680">
        <f>IF('19_Расчет_аналитики'!D2362&gt;='01_Вводные'!$B$126,IF('01_Вводные'!$B$129="ИП",'01_Вводные'!$B$127+'19_Расчет_аналитики'!D2373*'01_Вводные'!$B$128,('01_Вводные'!$B$127/'01_Вводные'!$B$132+'19_Расчет_аналитики'!D2373*'01_Вводные'!$B$128)*(1+'01_Вводные'!$B$131)),0)</f>
        <v/>
      </c>
      <c r="E2680">
        <f>IF('19_Расчет_аналитики'!E2362&gt;='01_Вводные'!$B$126,IF('01_Вводные'!$B$129="ИП",'01_Вводные'!$B$127+'19_Расчет_аналитики'!E2373*'01_Вводные'!$B$128,('01_Вводные'!$B$127/'01_Вводные'!$B$132+'19_Расчет_аналитики'!E2373*'01_Вводные'!$B$128)*(1+'01_Вводные'!$B$131)),0)</f>
        <v/>
      </c>
      <c r="F2680">
        <f>IF('19_Расчет_аналитики'!F2362&gt;='01_Вводные'!$B$126,IF('01_Вводные'!$B$129="ИП",'01_Вводные'!$B$127+'19_Расчет_аналитики'!F2373*'01_Вводные'!$B$128,('01_Вводные'!$B$127/'01_Вводные'!$B$132+'19_Расчет_аналитики'!F2373*'01_Вводные'!$B$128)*(1+'01_Вводные'!$B$131)),0)</f>
        <v/>
      </c>
      <c r="G2680">
        <f>IF('19_Расчет_аналитики'!G2362&gt;='01_Вводные'!$B$126,IF('01_Вводные'!$B$129="ИП",'01_Вводные'!$B$127+'19_Расчет_аналитики'!G2373*'01_Вводные'!$B$128,('01_Вводные'!$B$127/'01_Вводные'!$B$132+'19_Расчет_аналитики'!G2373*'01_Вводные'!$B$128)*(1+'01_Вводные'!$B$131)),0)</f>
        <v/>
      </c>
      <c r="H2680">
        <f>IF('19_Расчет_аналитики'!H2362&gt;='01_Вводные'!$B$126,IF('01_Вводные'!$B$129="ИП",'01_Вводные'!$B$127+'19_Расчет_аналитики'!H2373*'01_Вводные'!$B$128,('01_Вводные'!$B$127/'01_Вводные'!$B$132+'19_Расчет_аналитики'!H2373*'01_Вводные'!$B$128)*(1+'01_Вводные'!$B$131)),0)</f>
        <v/>
      </c>
      <c r="I2680">
        <f>IF('19_Расчет_аналитики'!I2362&gt;='01_Вводные'!$B$126,IF('01_Вводные'!$B$129="ИП",'01_Вводные'!$B$127+'19_Расчет_аналитики'!I2373*'01_Вводные'!$B$128,('01_Вводные'!$B$127/'01_Вводные'!$B$132+'19_Расчет_аналитики'!I2373*'01_Вводные'!$B$128)*(1+'01_Вводные'!$B$131)),0)</f>
        <v/>
      </c>
      <c r="J2680">
        <f>IF('19_Расчет_аналитики'!J2362&gt;='01_Вводные'!$B$126,IF('01_Вводные'!$B$129="ИП",'01_Вводные'!$B$127+'19_Расчет_аналитики'!J2373*'01_Вводные'!$B$128,('01_Вводные'!$B$127/'01_Вводные'!$B$132+'19_Расчет_аналитики'!J2373*'01_Вводные'!$B$128)*(1+'01_Вводные'!$B$131)),0)</f>
        <v/>
      </c>
      <c r="K2680">
        <f>IF('19_Расчет_аналитики'!K2362&gt;='01_Вводные'!$B$126,IF('01_Вводные'!$B$129="ИП",'01_Вводные'!$B$127+'19_Расчет_аналитики'!K2373*'01_Вводные'!$B$128,('01_Вводные'!$B$127/'01_Вводные'!$B$132+'19_Расчет_аналитики'!K2373*'01_Вводные'!$B$128)*(1+'01_Вводные'!$B$131)),0)</f>
        <v/>
      </c>
      <c r="L2680">
        <f>IF('19_Расчет_аналитики'!L2362&gt;='01_Вводные'!$B$126,IF('01_Вводные'!$B$129="ИП",'01_Вводные'!$B$127+'19_Расчет_аналитики'!L2373*'01_Вводные'!$B$128,('01_Вводные'!$B$127/'01_Вводные'!$B$132+'19_Расчет_аналитики'!L2373*'01_Вводные'!$B$128)*(1+'01_Вводные'!$B$131)),0)</f>
        <v/>
      </c>
      <c r="M2680">
        <f>IF('19_Расчет_аналитики'!M2362&gt;='01_Вводные'!$B$126,IF('01_Вводные'!$B$129="ИП",'01_Вводные'!$B$127+'19_Расчет_аналитики'!M2373*'01_Вводные'!$B$128,('01_Вводные'!$B$127/'01_Вводные'!$B$132+'19_Расчет_аналитики'!M2373*'01_Вводные'!$B$128)*(1+'01_Вводные'!$B$131)),0)</f>
        <v/>
      </c>
      <c r="N2680">
        <f>IF('19_Расчет_аналитики'!N2362&gt;='01_Вводные'!$B$126,IF('01_Вводные'!$B$129="ИП",'01_Вводные'!$B$127+'19_Расчет_аналитики'!N2373*'01_Вводные'!$B$128,('01_Вводные'!$B$127/'01_Вводные'!$B$132+'19_Расчет_аналитики'!N2373*'01_Вводные'!$B$128)*(1+'01_Вводные'!$B$131)),0)</f>
        <v/>
      </c>
      <c r="O2680">
        <f>IF('19_Расчет_аналитики'!O2362&gt;='01_Вводные'!$B$126,IF('01_Вводные'!$B$129="ИП",'01_Вводные'!$B$127+'19_Расчет_аналитики'!O2373*'01_Вводные'!$B$128,('01_Вводные'!$B$127/'01_Вводные'!$B$132+'19_Расчет_аналитики'!O2373*'01_Вводные'!$B$128)*(1+'01_Вводные'!$B$131)),0)</f>
        <v/>
      </c>
      <c r="P2680">
        <f>IF('19_Расчет_аналитики'!P2362&gt;='01_Вводные'!$B$126,IF('01_Вводные'!$B$129="ИП",'01_Вводные'!$B$127+'19_Расчет_аналитики'!P2373*'01_Вводные'!$B$128,('01_Вводные'!$B$127/'01_Вводные'!$B$132+'19_Расчет_аналитики'!P2373*'01_Вводные'!$B$128)*(1+'01_Вводные'!$B$131)),0)</f>
        <v/>
      </c>
      <c r="Q2680">
        <f>IF('19_Расчет_аналитики'!Q2362&gt;='01_Вводные'!$B$126,IF('01_Вводные'!$B$129="ИП",'01_Вводные'!$B$127+'19_Расчет_аналитики'!Q2373*'01_Вводные'!$B$128,('01_Вводные'!$B$127/'01_Вводные'!$B$132+'19_Расчет_аналитики'!Q2373*'01_Вводные'!$B$128)*(1+'01_Вводные'!$B$131)),0)</f>
        <v/>
      </c>
      <c r="R2680">
        <f>IF('19_Расчет_аналитики'!R2362&gt;='01_Вводные'!$B$126,IF('01_Вводные'!$B$129="ИП",'01_Вводные'!$B$127+'19_Расчет_аналитики'!R2373*'01_Вводные'!$B$128,('01_Вводные'!$B$127/'01_Вводные'!$B$132+'19_Расчет_аналитики'!R2373*'01_Вводные'!$B$128)*(1+'01_Вводные'!$B$131)),0)</f>
        <v/>
      </c>
      <c r="S2680">
        <f>IF('19_Расчет_аналитики'!S2362&gt;='01_Вводные'!$B$126,IF('01_Вводные'!$B$129="ИП",'01_Вводные'!$B$127+'19_Расчет_аналитики'!S2373*'01_Вводные'!$B$128,('01_Вводные'!$B$127/'01_Вводные'!$B$132+'19_Расчет_аналитики'!S2373*'01_Вводные'!$B$128)*(1+'01_Вводные'!$B$131)),0)</f>
        <v/>
      </c>
      <c r="T2680">
        <f>IF('19_Расчет_аналитики'!T2362&gt;='01_Вводные'!$B$126,IF('01_Вводные'!$B$129="ИП",'01_Вводные'!$B$127+'19_Расчет_аналитики'!T2373*'01_Вводные'!$B$128,('01_Вводные'!$B$127/'01_Вводные'!$B$132+'19_Расчет_аналитики'!T2373*'01_Вводные'!$B$128)*(1+'01_Вводные'!$B$131)),0)</f>
        <v/>
      </c>
      <c r="U2680">
        <f>IF('19_Расчет_аналитики'!U2362&gt;='01_Вводные'!$B$126,IF('01_Вводные'!$B$129="ИП",'01_Вводные'!$B$127+'19_Расчет_аналитики'!U2373*'01_Вводные'!$B$128,('01_Вводные'!$B$127/'01_Вводные'!$B$132+'19_Расчет_аналитики'!U2373*'01_Вводные'!$B$128)*(1+'01_Вводные'!$B$131)),0)</f>
        <v/>
      </c>
      <c r="V2680">
        <f>IF('19_Расчет_аналитики'!V2362&gt;='01_Вводные'!$B$126,IF('01_Вводные'!$B$129="ИП",'01_Вводные'!$B$127+'19_Расчет_аналитики'!V2373*'01_Вводные'!$B$128,('01_Вводные'!$B$127/'01_Вводные'!$B$132+'19_Расчет_аналитики'!V2373*'01_Вводные'!$B$128)*(1+'01_Вводные'!$B$131)),0)</f>
        <v/>
      </c>
      <c r="W2680">
        <f>IF('19_Расчет_аналитики'!W2362&gt;='01_Вводные'!$B$126,IF('01_Вводные'!$B$129="ИП",'01_Вводные'!$B$127+'19_Расчет_аналитики'!W2373*'01_Вводные'!$B$128,('01_Вводные'!$B$127/'01_Вводные'!$B$132+'19_Расчет_аналитики'!W2373*'01_Вводные'!$B$128)*(1+'01_Вводные'!$B$131)),0)</f>
        <v/>
      </c>
      <c r="X2680">
        <f>IF('19_Расчет_аналитики'!X2362&gt;='01_Вводные'!$B$126,IF('01_Вводные'!$B$129="ИП",'01_Вводные'!$B$127+'19_Расчет_аналитики'!X2373*'01_Вводные'!$B$128,('01_Вводные'!$B$127/'01_Вводные'!$B$132+'19_Расчет_аналитики'!X2373*'01_Вводные'!$B$128)*(1+'01_Вводные'!$B$131)),0)</f>
        <v/>
      </c>
      <c r="Y2680">
        <f>IF('19_Расчет_аналитики'!Y2362&gt;='01_Вводные'!$B$126,IF('01_Вводные'!$B$129="ИП",'01_Вводные'!$B$127+'19_Расчет_аналитики'!Y2373*'01_Вводные'!$B$128,('01_Вводные'!$B$127/'01_Вводные'!$B$132+'19_Расчет_аналитики'!Y2373*'01_Вводные'!$B$128)*(1+'01_Вводные'!$B$131)),0)</f>
        <v/>
      </c>
      <c r="Z2680">
        <f>IF('19_Расчет_аналитики'!Z2362&gt;='01_Вводные'!$B$126,IF('01_Вводные'!$B$129="ИП",'01_Вводные'!$B$127+'19_Расчет_аналитики'!Z2373*'01_Вводные'!$B$128,('01_Вводные'!$B$127/'01_Вводные'!$B$132+'19_Расчет_аналитики'!Z2373*'01_Вводные'!$B$128)*(1+'01_Вводные'!$B$131)),0)</f>
        <v/>
      </c>
      <c r="AA2680">
        <f>IF('19_Расчет_аналитики'!AA2362&gt;='01_Вводные'!$B$126,IF('01_Вводные'!$B$129="ИП",'01_Вводные'!$B$127+'19_Расчет_аналитики'!AA2373*'01_Вводные'!$B$128,('01_Вводные'!$B$127/'01_Вводные'!$B$132+'19_Расчет_аналитики'!AA2373*'01_Вводные'!$B$128)*(1+'01_Вводные'!$B$131)),0)</f>
        <v/>
      </c>
      <c r="AB2680">
        <f>IF('19_Расчет_аналитики'!AB2362&gt;='01_Вводные'!$B$126,IF('01_Вводные'!$B$129="ИП",'01_Вводные'!$B$127+'19_Расчет_аналитики'!AB2373*'01_Вводные'!$B$128,('01_Вводные'!$B$127/'01_Вводные'!$B$132+'19_Расчет_аналитики'!AB2373*'01_Вводные'!$B$128)*(1+'01_Вводные'!$B$131)),0)</f>
        <v/>
      </c>
      <c r="AC2680">
        <f>IF('19_Расчет_аналитики'!AC2362&gt;='01_Вводные'!$B$126,IF('01_Вводные'!$B$129="ИП",'01_Вводные'!$B$127+'19_Расчет_аналитики'!AC2373*'01_Вводные'!$B$128,('01_Вводные'!$B$127/'01_Вводные'!$B$132+'19_Расчет_аналитики'!AC2373*'01_Вводные'!$B$128)*(1+'01_Вводные'!$B$131)),0)</f>
        <v/>
      </c>
      <c r="AD2680">
        <f>IF('19_Расчет_аналитики'!AD2362&gt;='01_Вводные'!$B$126,IF('01_Вводные'!$B$129="ИП",'01_Вводные'!$B$127+'19_Расчет_аналитики'!AD2373*'01_Вводные'!$B$128,('01_Вводные'!$B$127/'01_Вводные'!$B$132+'19_Расчет_аналитики'!AD2373*'01_Вводные'!$B$128)*(1+'01_Вводные'!$B$131)),0)</f>
        <v/>
      </c>
      <c r="AE2680">
        <f>IF('19_Расчет_аналитики'!AE2362&gt;='01_Вводные'!$B$126,IF('01_Вводные'!$B$129="ИП",'01_Вводные'!$B$127+'19_Расчет_аналитики'!AE2373*'01_Вводные'!$B$128,('01_Вводные'!$B$127/'01_Вводные'!$B$132+'19_Расчет_аналитики'!AE2373*'01_Вводные'!$B$128)*(1+'01_Вводные'!$B$131)),0)</f>
        <v/>
      </c>
      <c r="AF2680">
        <f>IF('19_Расчет_аналитики'!AF2362&gt;='01_Вводные'!$B$126,IF('01_Вводные'!$B$129="ИП",'01_Вводные'!$B$127+'19_Расчет_аналитики'!AF2373*'01_Вводные'!$B$128,('01_Вводные'!$B$127/'01_Вводные'!$B$132+'19_Расчет_аналитики'!AF2373*'01_Вводные'!$B$128)*(1+'01_Вводные'!$B$131)),0)</f>
        <v/>
      </c>
      <c r="AG2680">
        <f>IF('19_Расчет_аналитики'!AG2362&gt;='01_Вводные'!$B$126,IF('01_Вводные'!$B$129="ИП",'01_Вводные'!$B$127+'19_Расчет_аналитики'!AG2373*'01_Вводные'!$B$128,('01_Вводные'!$B$127/'01_Вводные'!$B$132+'19_Расчет_аналитики'!AG2373*'01_Вводные'!$B$128)*(1+'01_Вводные'!$B$131)),0)</f>
        <v/>
      </c>
      <c r="AH2680">
        <f>IF('19_Расчет_аналитики'!AH2362&gt;='01_Вводные'!$B$126,IF('01_Вводные'!$B$129="ИП",'01_Вводные'!$B$127+'19_Расчет_аналитики'!AH2373*'01_Вводные'!$B$128,('01_Вводные'!$B$127/'01_Вводные'!$B$132+'19_Расчет_аналитики'!AH2373*'01_Вводные'!$B$128)*(1+'01_Вводные'!$B$131)),0)</f>
        <v/>
      </c>
      <c r="AI2680">
        <f>IF('19_Расчет_аналитики'!AI2362&gt;='01_Вводные'!$B$126,IF('01_Вводные'!$B$129="ИП",'01_Вводные'!$B$127+'19_Расчет_аналитики'!AI2373*'01_Вводные'!$B$128,('01_Вводные'!$B$127/'01_Вводные'!$B$132+'19_Расчет_аналитики'!AI2373*'01_Вводные'!$B$128)*(1+'01_Вводные'!$B$131)),0)</f>
        <v/>
      </c>
      <c r="AJ2680">
        <f>IF('19_Расчет_аналитики'!AJ2362&gt;='01_Вводные'!$B$126,IF('01_Вводные'!$B$129="ИП",'01_Вводные'!$B$127+'19_Расчет_аналитики'!AJ2373*'01_Вводные'!$B$128,('01_Вводные'!$B$127/'01_Вводные'!$B$132+'19_Расчет_аналитики'!AJ2373*'01_Вводные'!$B$128)*(1+'01_Вводные'!$B$131)),0)</f>
        <v/>
      </c>
      <c r="AK2680">
        <f>IF('19_Расчет_аналитики'!AK2362&gt;='01_Вводные'!$B$126,IF('01_Вводные'!$B$129="ИП",'01_Вводные'!$B$127+'19_Расчет_аналитики'!AK2373*'01_Вводные'!$B$128,('01_Вводные'!$B$127/'01_Вводные'!$B$132+'19_Расчет_аналитики'!AK2373*'01_Вводные'!$B$128)*(1+'01_Вводные'!$B$131)),0)</f>
        <v/>
      </c>
      <c r="AL2680">
        <f>IF('19_Расчет_аналитики'!AL2362&gt;='01_Вводные'!$B$126,IF('01_Вводные'!$B$129="ИП",'01_Вводные'!$B$127+'19_Расчет_аналитики'!AL2373*'01_Вводные'!$B$128,('01_Вводные'!$B$127/'01_Вводные'!$B$132+'19_Расчет_аналитики'!AL2373*'01_Вводные'!$B$128)*(1+'01_Вводные'!$B$131)),0)</f>
        <v/>
      </c>
      <c r="AM2680">
        <f>IF('19_Расчет_аналитики'!AM2362&gt;='01_Вводные'!$B$126,IF('01_Вводные'!$B$129="ИП",'01_Вводные'!$B$127+'19_Расчет_аналитики'!AM2373*'01_Вводные'!$B$128,('01_Вводные'!$B$127/'01_Вводные'!$B$132+'19_Расчет_аналитики'!AM2373*'01_Вводные'!$B$128)*(1+'01_Вводные'!$B$131)),0)</f>
        <v/>
      </c>
      <c r="AN2680">
        <f>IF('19_Расчет_аналитики'!AN2362&gt;='01_Вводные'!$B$126,IF('01_Вводные'!$B$129="ИП",'01_Вводные'!$B$127+'19_Расчет_аналитики'!AN2373*'01_Вводные'!$B$128,('01_Вводные'!$B$127/'01_Вводные'!$B$132+'19_Расчет_аналитики'!AN2373*'01_Вводные'!$B$128)*(1+'01_Вводные'!$B$131)),0)</f>
        <v/>
      </c>
      <c r="AO2680">
        <f>IF('19_Расчет_аналитики'!AO2362&gt;='01_Вводные'!$B$126,IF('01_Вводные'!$B$129="ИП",'01_Вводные'!$B$127+'19_Расчет_аналитики'!AO2373*'01_Вводные'!$B$128,('01_Вводные'!$B$127/'01_Вводные'!$B$132+'19_Расчет_аналитики'!AO2373*'01_Вводные'!$B$128)*(1+'01_Вводные'!$B$131)),0)</f>
        <v/>
      </c>
      <c r="AP2680">
        <f>IF('19_Расчет_аналитики'!AP2362&gt;='01_Вводные'!$B$126,IF('01_Вводные'!$B$129="ИП",'01_Вводные'!$B$127+'19_Расчет_аналитики'!AP2373*'01_Вводные'!$B$128,('01_Вводные'!$B$127/'01_Вводные'!$B$132+'19_Расчет_аналитики'!AP2373*'01_Вводные'!$B$128)*(1+'01_Вводные'!$B$131)),0)</f>
        <v/>
      </c>
      <c r="AQ2680">
        <f>IF('19_Расчет_аналитики'!AQ2362&gt;='01_Вводные'!$B$126,IF('01_Вводные'!$B$129="ИП",'01_Вводные'!$B$127+'19_Расчет_аналитики'!AQ2373*'01_Вводные'!$B$128,('01_Вводные'!$B$127/'01_Вводные'!$B$132+'19_Расчет_аналитики'!AQ2373*'01_Вводные'!$B$128)*(1+'01_Вводные'!$B$131)),0)</f>
        <v/>
      </c>
      <c r="AR2680">
        <f>IF('19_Расчет_аналитики'!AR2362&gt;='01_Вводные'!$B$126,IF('01_Вводные'!$B$129="ИП",'01_Вводные'!$B$127+'19_Расчет_аналитики'!AR2373*'01_Вводные'!$B$128,('01_Вводные'!$B$127/'01_Вводные'!$B$132+'19_Расчет_аналитики'!AR2373*'01_Вводные'!$B$128)*(1+'01_Вводные'!$B$131)),0)</f>
        <v/>
      </c>
      <c r="AS2680">
        <f>IF('19_Расчет_аналитики'!AS2362&gt;='01_Вводные'!$B$126,IF('01_Вводные'!$B$129="ИП",'01_Вводные'!$B$127+'19_Расчет_аналитики'!AS2373*'01_Вводные'!$B$128,('01_Вводные'!$B$127/'01_Вводные'!$B$132+'19_Расчет_аналитики'!AS2373*'01_Вводные'!$B$128)*(1+'01_Вводные'!$B$131)),0)</f>
        <v/>
      </c>
      <c r="AT2680">
        <f>IF('19_Расчет_аналитики'!AT2362&gt;='01_Вводные'!$B$126,IF('01_Вводные'!$B$129="ИП",'01_Вводные'!$B$127+'19_Расчет_аналитики'!AT2373*'01_Вводные'!$B$128,('01_Вводные'!$B$127/'01_Вводные'!$B$132+'19_Расчет_аналитики'!AT2373*'01_Вводные'!$B$128)*(1+'01_Вводные'!$B$131)),0)</f>
        <v/>
      </c>
      <c r="AU2680">
        <f>IF('19_Расчет_аналитики'!AU2362&gt;='01_Вводные'!$B$126,IF('01_Вводные'!$B$129="ИП",'01_Вводные'!$B$127+'19_Расчет_аналитики'!AU2373*'01_Вводные'!$B$128,('01_Вводные'!$B$127/'01_Вводные'!$B$132+'19_Расчет_аналитики'!AU2373*'01_Вводные'!$B$128)*(1+'01_Вводные'!$B$131)),0)</f>
        <v/>
      </c>
      <c r="AV2680">
        <f>IF('19_Расчет_аналитики'!AV2362&gt;='01_Вводные'!$B$126,IF('01_Вводные'!$B$129="ИП",'01_Вводные'!$B$127+'19_Расчет_аналитики'!AV2373*'01_Вводные'!$B$128,('01_Вводные'!$B$127/'01_Вводные'!$B$132+'19_Расчет_аналитики'!AV2373*'01_Вводные'!$B$128)*(1+'01_Вводные'!$B$131)),0)</f>
        <v/>
      </c>
      <c r="AW2680">
        <f>IF('19_Расчет_аналитики'!AW2362&gt;='01_Вводные'!$B$126,IF('01_Вводные'!$B$129="ИП",'01_Вводные'!$B$127+'19_Расчет_аналитики'!AW2373*'01_Вводные'!$B$128,('01_Вводные'!$B$127/'01_Вводные'!$B$132+'19_Расчет_аналитики'!AW2373*'01_Вводные'!$B$128)*(1+'01_Вводные'!$B$131)),0)</f>
        <v/>
      </c>
      <c r="AX2680">
        <f>IF('19_Расчет_аналитики'!AX2362&gt;='01_Вводные'!$B$126,IF('01_Вводные'!$B$129="ИП",'01_Вводные'!$B$127+'19_Расчет_аналитики'!AX2373*'01_Вводные'!$B$128,('01_Вводные'!$B$127/'01_Вводные'!$B$132+'19_Расчет_аналитики'!AX2373*'01_Вводные'!$B$128)*(1+'01_Вводные'!$B$131)),0)</f>
        <v/>
      </c>
      <c r="AY2680">
        <f>IF('19_Расчет_аналитики'!AY2362&gt;='01_Вводные'!$B$126,IF('01_Вводные'!$B$129="ИП",'01_Вводные'!$B$127+'19_Расчет_аналитики'!AY2373*'01_Вводные'!$B$128,('01_Вводные'!$B$127/'01_Вводные'!$B$132+'19_Расчет_аналитики'!AY2373*'01_Вводные'!$B$128)*(1+'01_Вводные'!$B$131)),0)</f>
        <v/>
      </c>
      <c r="AZ2680">
        <f>IF('19_Расчет_аналитики'!AZ2362&gt;='01_Вводные'!$B$126,IF('01_Вводные'!$B$129="ИП",'01_Вводные'!$B$127+'19_Расчет_аналитики'!AZ2373*'01_Вводные'!$B$128,('01_Вводные'!$B$127/'01_Вводные'!$B$132+'19_Расчет_аналитики'!AZ2373*'01_Вводные'!$B$128)*(1+'01_Вводные'!$B$131)),0)</f>
        <v/>
      </c>
      <c r="BA2680">
        <f>IF('19_Расчет_аналитики'!BA2362&gt;='01_Вводные'!$B$126,IF('01_Вводные'!$B$129="ИП",'01_Вводные'!$B$127+'19_Расчет_аналитики'!BA2373*'01_Вводные'!$B$128,('01_Вводные'!$B$127/'01_Вводные'!$B$132+'19_Расчет_аналитики'!BA2373*'01_Вводные'!$B$128)*(1+'01_Вводные'!$B$131)),0)</f>
        <v/>
      </c>
      <c r="BB2680">
        <f>IF('19_Расчет_аналитики'!BB2362&gt;='01_Вводные'!$B$126,IF('01_Вводные'!$B$129="ИП",'01_Вводные'!$B$127+'19_Расчет_аналитики'!BB2373*'01_Вводные'!$B$128,('01_Вводные'!$B$127/'01_Вводные'!$B$132+'19_Расчет_аналитики'!BB2373*'01_Вводные'!$B$128)*(1+'01_Вводные'!$B$131)),0)</f>
        <v/>
      </c>
      <c r="BC2680">
        <f>IF('19_Расчет_аналитики'!BC2362&gt;='01_Вводные'!$B$126,IF('01_Вводные'!$B$129="ИП",'01_Вводные'!$B$127+'19_Расчет_аналитики'!BC2373*'01_Вводные'!$B$128,('01_Вводные'!$B$127/'01_Вводные'!$B$132+'19_Расчет_аналитики'!BC2373*'01_Вводные'!$B$128)*(1+'01_Вводные'!$B$131)),0)</f>
        <v/>
      </c>
      <c r="BD2680">
        <f>IF('19_Расчет_аналитики'!BD2362&gt;='01_Вводные'!$B$126,IF('01_Вводные'!$B$129="ИП",'01_Вводные'!$B$127+'19_Расчет_аналитики'!BD2373*'01_Вводные'!$B$128,('01_Вводные'!$B$127/'01_Вводные'!$B$132+'19_Расчет_аналитики'!BD2373*'01_Вводные'!$B$128)*(1+'01_Вводные'!$B$131)),0)</f>
        <v/>
      </c>
      <c r="BE2680">
        <f>IF('19_Расчет_аналитики'!BE2362&gt;='01_Вводные'!$B$126,IF('01_Вводные'!$B$129="ИП",'01_Вводные'!$B$127+'19_Расчет_аналитики'!BE2373*'01_Вводные'!$B$128,('01_Вводные'!$B$127/'01_Вводные'!$B$132+'19_Расчет_аналитики'!BE2373*'01_Вводные'!$B$128)*(1+'01_Вводные'!$B$131)),0)</f>
        <v/>
      </c>
      <c r="BF2680">
        <f>IF('19_Расчет_аналитики'!BF2362&gt;='01_Вводные'!$B$126,IF('01_Вводные'!$B$129="ИП",'01_Вводные'!$B$127+'19_Расчет_аналитики'!BF2373*'01_Вводные'!$B$128,('01_Вводные'!$B$127/'01_Вводные'!$B$132+'19_Расчет_аналитики'!BF2373*'01_Вводные'!$B$128)*(1+'01_Вводные'!$B$131)),0)</f>
        <v/>
      </c>
      <c r="BG2680">
        <f>IF('19_Расчет_аналитики'!BG2362&gt;='01_Вводные'!$B$126,IF('01_Вводные'!$B$129="ИП",'01_Вводные'!$B$127+'19_Расчет_аналитики'!BG2373*'01_Вводные'!$B$128,('01_Вводные'!$B$127/'01_Вводные'!$B$132+'19_Расчет_аналитики'!BG2373*'01_Вводные'!$B$128)*(1+'01_Вводные'!$B$131)),0)</f>
        <v/>
      </c>
      <c r="BH2680">
        <f>IF('19_Расчет_аналитики'!BH2362&gt;='01_Вводные'!$B$126,IF('01_Вводные'!$B$129="ИП",'01_Вводные'!$B$127+'19_Расчет_аналитики'!BH2373*'01_Вводные'!$B$128,('01_Вводные'!$B$127/'01_Вводные'!$B$132+'19_Расчет_аналитики'!BH2373*'01_Вводные'!$B$128)*(1+'01_Вводные'!$B$131)),0)</f>
        <v/>
      </c>
      <c r="BI2680">
        <f>IF('19_Расчет_аналитики'!BI2362&gt;='01_Вводные'!$B$126,IF('01_Вводные'!$B$129="ИП",'01_Вводные'!$B$127+'19_Расчет_аналитики'!BI2373*'01_Вводные'!$B$128,('01_Вводные'!$B$127/'01_Вводные'!$B$132+'19_Расчет_аналитики'!BI2373*'01_Вводные'!$B$128)*(1+'01_Вводные'!$B$131)),0)</f>
        <v/>
      </c>
    </row>
    <row r="2681"/>
    <row r="2682"/>
    <row r="2683"/>
    <row r="2684"/>
    <row r="2685">
      <c r="C2685">
        <f>(MAX(0,'19_Расчет_аналитики'!C2671-'08_ФОТ'!B10)*'01_Вводные'!$B$119*'08_ФОТ'!C5+IF('08_ФОТ'!C$3='01_Вводные'!$B$247,'01_Вводные'!$B$133/'01_Вводные'!$B$132,0)+IF('08_ФОТ'!C$3='01_Вводные'!$B$248,'01_Вводные'!$B$134/'01_Вводные'!$B$132,0))*'01_Вводные'!$B$120</f>
        <v/>
      </c>
      <c r="D2685">
        <f>(MAX(0,'19_Расчет_аналитики'!D2671-'19_Расчет_аналитики'!C2671)*'01_Вводные'!$B$119*'08_ФОТ'!D5+IF('08_ФОТ'!D$3='01_Вводные'!$B$247,'01_Вводные'!$B$133/'01_Вводные'!$B$132,0)+IF('08_ФОТ'!D$3='01_Вводные'!$B$248,'01_Вводные'!$B$134/'01_Вводные'!$B$132,0))*'01_Вводные'!$B$120</f>
        <v/>
      </c>
      <c r="E2685">
        <f>(MAX(0,'19_Расчет_аналитики'!E2671-'19_Расчет_аналитики'!D2671)*'01_Вводные'!$B$119*'08_ФОТ'!E5+IF('08_ФОТ'!E$3='01_Вводные'!$B$247,'01_Вводные'!$B$133/'01_Вводные'!$B$132,0)+IF('08_ФОТ'!E$3='01_Вводные'!$B$248,'01_Вводные'!$B$134/'01_Вводные'!$B$132,0))*'01_Вводные'!$B$120</f>
        <v/>
      </c>
      <c r="F2685">
        <f>(MAX(0,'19_Расчет_аналитики'!F2671-'19_Расчет_аналитики'!E2671)*'01_Вводные'!$B$119*'08_ФОТ'!F5+IF('08_ФОТ'!F$3='01_Вводные'!$B$247,'01_Вводные'!$B$133/'01_Вводные'!$B$132,0)+IF('08_ФОТ'!F$3='01_Вводные'!$B$248,'01_Вводные'!$B$134/'01_Вводные'!$B$132,0))*'01_Вводные'!$B$120</f>
        <v/>
      </c>
      <c r="G2685">
        <f>(MAX(0,'19_Расчет_аналитики'!G2671-'19_Расчет_аналитики'!F2671)*'01_Вводные'!$B$119*'08_ФОТ'!G5+IF('08_ФОТ'!G$3='01_Вводные'!$B$247,'01_Вводные'!$B$133/'01_Вводные'!$B$132,0)+IF('08_ФОТ'!G$3='01_Вводные'!$B$248,'01_Вводные'!$B$134/'01_Вводные'!$B$132,0))*'01_Вводные'!$B$120</f>
        <v/>
      </c>
      <c r="H2685">
        <f>(MAX(0,'19_Расчет_аналитики'!H2671-'19_Расчет_аналитики'!G2671)*'01_Вводные'!$B$119*'08_ФОТ'!H5+IF('08_ФОТ'!H$3='01_Вводные'!$B$247,'01_Вводные'!$B$133/'01_Вводные'!$B$132,0)+IF('08_ФОТ'!H$3='01_Вводные'!$B$248,'01_Вводные'!$B$134/'01_Вводные'!$B$132,0))*'01_Вводные'!$B$120</f>
        <v/>
      </c>
      <c r="I2685">
        <f>(MAX(0,'19_Расчет_аналитики'!I2671-'19_Расчет_аналитики'!H2671)*'01_Вводные'!$B$119*'08_ФОТ'!I5+IF('08_ФОТ'!I$3='01_Вводные'!$B$247,'01_Вводные'!$B$133/'01_Вводные'!$B$132,0)+IF('08_ФОТ'!I$3='01_Вводные'!$B$248,'01_Вводные'!$B$134/'01_Вводные'!$B$132,0))*'01_Вводные'!$B$120</f>
        <v/>
      </c>
      <c r="J2685">
        <f>(MAX(0,'19_Расчет_аналитики'!J2671-'19_Расчет_аналитики'!I2671)*'01_Вводные'!$B$119*'08_ФОТ'!J5+IF('08_ФОТ'!J$3='01_Вводные'!$B$247,'01_Вводные'!$B$133/'01_Вводные'!$B$132,0)+IF('08_ФОТ'!J$3='01_Вводные'!$B$248,'01_Вводные'!$B$134/'01_Вводные'!$B$132,0))*'01_Вводные'!$B$120</f>
        <v/>
      </c>
      <c r="K2685">
        <f>(MAX(0,'19_Расчет_аналитики'!K2671-'19_Расчет_аналитики'!J2671)*'01_Вводные'!$B$119*'08_ФОТ'!K5+IF('08_ФОТ'!K$3='01_Вводные'!$B$247,'01_Вводные'!$B$133/'01_Вводные'!$B$132,0)+IF('08_ФОТ'!K$3='01_Вводные'!$B$248,'01_Вводные'!$B$134/'01_Вводные'!$B$132,0))*'01_Вводные'!$B$120</f>
        <v/>
      </c>
      <c r="L2685">
        <f>(MAX(0,'19_Расчет_аналитики'!L2671-'19_Расчет_аналитики'!K2671)*'01_Вводные'!$B$119*'08_ФОТ'!L5+IF('08_ФОТ'!L$3='01_Вводные'!$B$247,'01_Вводные'!$B$133/'01_Вводные'!$B$132,0)+IF('08_ФОТ'!L$3='01_Вводные'!$B$248,'01_Вводные'!$B$134/'01_Вводные'!$B$132,0))*'01_Вводные'!$B$120</f>
        <v/>
      </c>
      <c r="M2685">
        <f>(MAX(0,'19_Расчет_аналитики'!M2671-'19_Расчет_аналитики'!L2671)*'01_Вводные'!$B$119*'08_ФОТ'!M5+IF('08_ФОТ'!M$3='01_Вводные'!$B$247,'01_Вводные'!$B$133/'01_Вводные'!$B$132,0)+IF('08_ФОТ'!M$3='01_Вводные'!$B$248,'01_Вводные'!$B$134/'01_Вводные'!$B$132,0))*'01_Вводные'!$B$120</f>
        <v/>
      </c>
      <c r="N2685">
        <f>(MAX(0,'19_Расчет_аналитики'!N2671-'19_Расчет_аналитики'!M2671)*'01_Вводные'!$B$119*'08_ФОТ'!N5+IF('08_ФОТ'!N$3='01_Вводные'!$B$247,'01_Вводные'!$B$133/'01_Вводные'!$B$132,0)+IF('08_ФОТ'!N$3='01_Вводные'!$B$248,'01_Вводные'!$B$134/'01_Вводные'!$B$132,0))*'01_Вводные'!$B$120</f>
        <v/>
      </c>
      <c r="O2685">
        <f>(MAX(0,'19_Расчет_аналитики'!O2671-'19_Расчет_аналитики'!N2671)*'01_Вводные'!$B$119*'08_ФОТ'!O5+IF('08_ФОТ'!O$3='01_Вводные'!$B$247,'01_Вводные'!$B$133/'01_Вводные'!$B$132,0)+IF('08_ФОТ'!O$3='01_Вводные'!$B$248,'01_Вводные'!$B$134/'01_Вводные'!$B$132,0))*'01_Вводные'!$B$120</f>
        <v/>
      </c>
      <c r="P2685">
        <f>(MAX(0,'19_Расчет_аналитики'!P2671-'19_Расчет_аналитики'!O2671)*'01_Вводные'!$B$119*'08_ФОТ'!P5+IF('08_ФОТ'!P$3='01_Вводные'!$B$247,'01_Вводные'!$B$133/'01_Вводные'!$B$132,0)+IF('08_ФОТ'!P$3='01_Вводные'!$B$248,'01_Вводные'!$B$134/'01_Вводные'!$B$132,0))*'01_Вводные'!$B$120</f>
        <v/>
      </c>
      <c r="Q2685">
        <f>(MAX(0,'19_Расчет_аналитики'!Q2671-'19_Расчет_аналитики'!P2671)*'01_Вводные'!$B$119*'08_ФОТ'!Q5+IF('08_ФОТ'!Q$3='01_Вводные'!$B$247,'01_Вводные'!$B$133/'01_Вводные'!$B$132,0)+IF('08_ФОТ'!Q$3='01_Вводные'!$B$248,'01_Вводные'!$B$134/'01_Вводные'!$B$132,0))*'01_Вводные'!$B$120</f>
        <v/>
      </c>
      <c r="R2685">
        <f>(MAX(0,'19_Расчет_аналитики'!R2671-'19_Расчет_аналитики'!Q2671)*'01_Вводные'!$B$119*'08_ФОТ'!R5+IF('08_ФОТ'!R$3='01_Вводные'!$B$247,'01_Вводные'!$B$133/'01_Вводные'!$B$132,0)+IF('08_ФОТ'!R$3='01_Вводные'!$B$248,'01_Вводные'!$B$134/'01_Вводные'!$B$132,0))*'01_Вводные'!$B$120</f>
        <v/>
      </c>
      <c r="S2685">
        <f>(MAX(0,'19_Расчет_аналитики'!S2671-'19_Расчет_аналитики'!R2671)*'01_Вводные'!$B$119*'08_ФОТ'!S5+IF('08_ФОТ'!S$3='01_Вводные'!$B$247,'01_Вводные'!$B$133/'01_Вводные'!$B$132,0)+IF('08_ФОТ'!S$3='01_Вводные'!$B$248,'01_Вводные'!$B$134/'01_Вводные'!$B$132,0))*'01_Вводные'!$B$120</f>
        <v/>
      </c>
      <c r="T2685">
        <f>(MAX(0,'19_Расчет_аналитики'!T2671-'19_Расчет_аналитики'!S2671)*'01_Вводные'!$B$119*'08_ФОТ'!T5+IF('08_ФОТ'!T$3='01_Вводные'!$B$247,'01_Вводные'!$B$133/'01_Вводные'!$B$132,0)+IF('08_ФОТ'!T$3='01_Вводные'!$B$248,'01_Вводные'!$B$134/'01_Вводные'!$B$132,0))*'01_Вводные'!$B$120</f>
        <v/>
      </c>
      <c r="U2685">
        <f>(MAX(0,'19_Расчет_аналитики'!U2671-'19_Расчет_аналитики'!T2671)*'01_Вводные'!$B$119*'08_ФОТ'!U5+IF('08_ФОТ'!U$3='01_Вводные'!$B$247,'01_Вводные'!$B$133/'01_Вводные'!$B$132,0)+IF('08_ФОТ'!U$3='01_Вводные'!$B$248,'01_Вводные'!$B$134/'01_Вводные'!$B$132,0))*'01_Вводные'!$B$120</f>
        <v/>
      </c>
      <c r="V2685">
        <f>(MAX(0,'19_Расчет_аналитики'!V2671-'19_Расчет_аналитики'!U2671)*'01_Вводные'!$B$119*'08_ФОТ'!V5+IF('08_ФОТ'!V$3='01_Вводные'!$B$247,'01_Вводные'!$B$133/'01_Вводные'!$B$132,0)+IF('08_ФОТ'!V$3='01_Вводные'!$B$248,'01_Вводные'!$B$134/'01_Вводные'!$B$132,0))*'01_Вводные'!$B$120</f>
        <v/>
      </c>
      <c r="W2685">
        <f>(MAX(0,'19_Расчет_аналитики'!W2671-'19_Расчет_аналитики'!V2671)*'01_Вводные'!$B$119*'08_ФОТ'!W5+IF('08_ФОТ'!W$3='01_Вводные'!$B$247,'01_Вводные'!$B$133/'01_Вводные'!$B$132,0)+IF('08_ФОТ'!W$3='01_Вводные'!$B$248,'01_Вводные'!$B$134/'01_Вводные'!$B$132,0))*'01_Вводные'!$B$120</f>
        <v/>
      </c>
      <c r="X2685">
        <f>(MAX(0,'19_Расчет_аналитики'!X2671-'19_Расчет_аналитики'!W2671)*'01_Вводные'!$B$119*'08_ФОТ'!X5+IF('08_ФОТ'!X$3='01_Вводные'!$B$247,'01_Вводные'!$B$133/'01_Вводные'!$B$132,0)+IF('08_ФОТ'!X$3='01_Вводные'!$B$248,'01_Вводные'!$B$134/'01_Вводные'!$B$132,0))*'01_Вводные'!$B$120</f>
        <v/>
      </c>
      <c r="Y2685">
        <f>(MAX(0,'19_Расчет_аналитики'!Y2671-'19_Расчет_аналитики'!X2671)*'01_Вводные'!$B$119*'08_ФОТ'!Y5+IF('08_ФОТ'!Y$3='01_Вводные'!$B$247,'01_Вводные'!$B$133/'01_Вводные'!$B$132,0)+IF('08_ФОТ'!Y$3='01_Вводные'!$B$248,'01_Вводные'!$B$134/'01_Вводные'!$B$132,0))*'01_Вводные'!$B$120</f>
        <v/>
      </c>
      <c r="Z2685">
        <f>(MAX(0,'19_Расчет_аналитики'!Z2671-'19_Расчет_аналитики'!Y2671)*'01_Вводные'!$B$119*'08_ФОТ'!Z5+IF('08_ФОТ'!Z$3='01_Вводные'!$B$247,'01_Вводные'!$B$133/'01_Вводные'!$B$132,0)+IF('08_ФОТ'!Z$3='01_Вводные'!$B$248,'01_Вводные'!$B$134/'01_Вводные'!$B$132,0))*'01_Вводные'!$B$120</f>
        <v/>
      </c>
      <c r="AA2685">
        <f>(MAX(0,'19_Расчет_аналитики'!AA2671-'19_Расчет_аналитики'!Z2671)*'01_Вводные'!$B$119*'08_ФОТ'!AA5+IF('08_ФОТ'!AA$3='01_Вводные'!$B$247,'01_Вводные'!$B$133/'01_Вводные'!$B$132,0)+IF('08_ФОТ'!AA$3='01_Вводные'!$B$248,'01_Вводные'!$B$134/'01_Вводные'!$B$132,0))*'01_Вводные'!$B$120</f>
        <v/>
      </c>
      <c r="AB2685">
        <f>(MAX(0,'19_Расчет_аналитики'!AB2671-'19_Расчет_аналитики'!AA2671)*'01_Вводные'!$B$119*'08_ФОТ'!AB5+IF('08_ФОТ'!AB$3='01_Вводные'!$B$247,'01_Вводные'!$B$133/'01_Вводные'!$B$132,0)+IF('08_ФОТ'!AB$3='01_Вводные'!$B$248,'01_Вводные'!$B$134/'01_Вводные'!$B$132,0))*'01_Вводные'!$B$120</f>
        <v/>
      </c>
      <c r="AC2685">
        <f>(MAX(0,'19_Расчет_аналитики'!AC2671-'19_Расчет_аналитики'!AB2671)*'01_Вводные'!$B$119*'08_ФОТ'!AC5+IF('08_ФОТ'!AC$3='01_Вводные'!$B$247,'01_Вводные'!$B$133/'01_Вводные'!$B$132,0)+IF('08_ФОТ'!AC$3='01_Вводные'!$B$248,'01_Вводные'!$B$134/'01_Вводные'!$B$132,0))*'01_Вводные'!$B$120</f>
        <v/>
      </c>
      <c r="AD2685">
        <f>(MAX(0,'19_Расчет_аналитики'!AD2671-'19_Расчет_аналитики'!AC2671)*'01_Вводные'!$B$119*'08_ФОТ'!AD5+IF('08_ФОТ'!AD$3='01_Вводные'!$B$247,'01_Вводные'!$B$133/'01_Вводные'!$B$132,0)+IF('08_ФОТ'!AD$3='01_Вводные'!$B$248,'01_Вводные'!$B$134/'01_Вводные'!$B$132,0))*'01_Вводные'!$B$120</f>
        <v/>
      </c>
      <c r="AE2685">
        <f>(MAX(0,'19_Расчет_аналитики'!AE2671-'19_Расчет_аналитики'!AD2671)*'01_Вводные'!$B$119*'08_ФОТ'!AE5+IF('08_ФОТ'!AE$3='01_Вводные'!$B$247,'01_Вводные'!$B$133/'01_Вводные'!$B$132,0)+IF('08_ФОТ'!AE$3='01_Вводные'!$B$248,'01_Вводные'!$B$134/'01_Вводные'!$B$132,0))*'01_Вводные'!$B$120</f>
        <v/>
      </c>
      <c r="AF2685">
        <f>(MAX(0,'19_Расчет_аналитики'!AF2671-'19_Расчет_аналитики'!AE2671)*'01_Вводные'!$B$119*'08_ФОТ'!AF5+IF('08_ФОТ'!AF$3='01_Вводные'!$B$247,'01_Вводные'!$B$133/'01_Вводные'!$B$132,0)+IF('08_ФОТ'!AF$3='01_Вводные'!$B$248,'01_Вводные'!$B$134/'01_Вводные'!$B$132,0))*'01_Вводные'!$B$120</f>
        <v/>
      </c>
      <c r="AG2685">
        <f>(MAX(0,'19_Расчет_аналитики'!AG2671-'19_Расчет_аналитики'!AF2671)*'01_Вводные'!$B$119*'08_ФОТ'!AG5+IF('08_ФОТ'!AG$3='01_Вводные'!$B$247,'01_Вводные'!$B$133/'01_Вводные'!$B$132,0)+IF('08_ФОТ'!AG$3='01_Вводные'!$B$248,'01_Вводные'!$B$134/'01_Вводные'!$B$132,0))*'01_Вводные'!$B$120</f>
        <v/>
      </c>
      <c r="AH2685">
        <f>(MAX(0,'19_Расчет_аналитики'!AH2671-'19_Расчет_аналитики'!AG2671)*'01_Вводные'!$B$119*'08_ФОТ'!AH5+IF('08_ФОТ'!AH$3='01_Вводные'!$B$247,'01_Вводные'!$B$133/'01_Вводные'!$B$132,0)+IF('08_ФОТ'!AH$3='01_Вводные'!$B$248,'01_Вводные'!$B$134/'01_Вводные'!$B$132,0))*'01_Вводные'!$B$120</f>
        <v/>
      </c>
      <c r="AI2685">
        <f>(MAX(0,'19_Расчет_аналитики'!AI2671-'19_Расчет_аналитики'!AH2671)*'01_Вводные'!$B$119*'08_ФОТ'!AI5+IF('08_ФОТ'!AI$3='01_Вводные'!$B$247,'01_Вводные'!$B$133/'01_Вводные'!$B$132,0)+IF('08_ФОТ'!AI$3='01_Вводные'!$B$248,'01_Вводные'!$B$134/'01_Вводные'!$B$132,0))*'01_Вводные'!$B$120</f>
        <v/>
      </c>
      <c r="AJ2685">
        <f>(MAX(0,'19_Расчет_аналитики'!AJ2671-'19_Расчет_аналитики'!AI2671)*'01_Вводные'!$B$119*'08_ФОТ'!AJ5+IF('08_ФОТ'!AJ$3='01_Вводные'!$B$247,'01_Вводные'!$B$133/'01_Вводные'!$B$132,0)+IF('08_ФОТ'!AJ$3='01_Вводные'!$B$248,'01_Вводные'!$B$134/'01_Вводные'!$B$132,0))*'01_Вводные'!$B$120</f>
        <v/>
      </c>
      <c r="AK2685">
        <f>(MAX(0,'19_Расчет_аналитики'!AK2671-'19_Расчет_аналитики'!AJ2671)*'01_Вводные'!$B$119*'08_ФОТ'!AK5+IF('08_ФОТ'!AK$3='01_Вводные'!$B$247,'01_Вводные'!$B$133/'01_Вводные'!$B$132,0)+IF('08_ФОТ'!AK$3='01_Вводные'!$B$248,'01_Вводные'!$B$134/'01_Вводные'!$B$132,0))*'01_Вводные'!$B$120</f>
        <v/>
      </c>
      <c r="AL2685">
        <f>(MAX(0,'19_Расчет_аналитики'!AL2671-'19_Расчет_аналитики'!AK2671)*'01_Вводные'!$B$119*'08_ФОТ'!AL5+IF('08_ФОТ'!AL$3='01_Вводные'!$B$247,'01_Вводные'!$B$133/'01_Вводные'!$B$132,0)+IF('08_ФОТ'!AL$3='01_Вводные'!$B$248,'01_Вводные'!$B$134/'01_Вводные'!$B$132,0))*'01_Вводные'!$B$120</f>
        <v/>
      </c>
      <c r="AM2685">
        <f>(MAX(0,'19_Расчет_аналитики'!AM2671-'19_Расчет_аналитики'!AL2671)*'01_Вводные'!$B$119*'08_ФОТ'!AM5+IF('08_ФОТ'!AM$3='01_Вводные'!$B$247,'01_Вводные'!$B$133/'01_Вводные'!$B$132,0)+IF('08_ФОТ'!AM$3='01_Вводные'!$B$248,'01_Вводные'!$B$134/'01_Вводные'!$B$132,0))*'01_Вводные'!$B$120</f>
        <v/>
      </c>
      <c r="AN2685">
        <f>(MAX(0,'19_Расчет_аналитики'!AN2671-'19_Расчет_аналитики'!AM2671)*'01_Вводные'!$B$119*'08_ФОТ'!AN5+IF('08_ФОТ'!AN$3='01_Вводные'!$B$247,'01_Вводные'!$B$133/'01_Вводные'!$B$132,0)+IF('08_ФОТ'!AN$3='01_Вводные'!$B$248,'01_Вводные'!$B$134/'01_Вводные'!$B$132,0))*'01_Вводные'!$B$120</f>
        <v/>
      </c>
      <c r="AO2685">
        <f>(MAX(0,'19_Расчет_аналитики'!AO2671-'19_Расчет_аналитики'!AN2671)*'01_Вводные'!$B$119*'08_ФОТ'!AO5+IF('08_ФОТ'!AO$3='01_Вводные'!$B$247,'01_Вводные'!$B$133/'01_Вводные'!$B$132,0)+IF('08_ФОТ'!AO$3='01_Вводные'!$B$248,'01_Вводные'!$B$134/'01_Вводные'!$B$132,0))*'01_Вводные'!$B$120</f>
        <v/>
      </c>
      <c r="AP2685">
        <f>(MAX(0,'19_Расчет_аналитики'!AP2671-'19_Расчет_аналитики'!AO2671)*'01_Вводные'!$B$119*'08_ФОТ'!AP5+IF('08_ФОТ'!AP$3='01_Вводные'!$B$247,'01_Вводные'!$B$133/'01_Вводные'!$B$132,0)+IF('08_ФОТ'!AP$3='01_Вводные'!$B$248,'01_Вводные'!$B$134/'01_Вводные'!$B$132,0))*'01_Вводные'!$B$120</f>
        <v/>
      </c>
      <c r="AQ2685">
        <f>(MAX(0,'19_Расчет_аналитики'!AQ2671-'19_Расчет_аналитики'!AP2671)*'01_Вводные'!$B$119*'08_ФОТ'!AQ5+IF('08_ФОТ'!AQ$3='01_Вводные'!$B$247,'01_Вводные'!$B$133/'01_Вводные'!$B$132,0)+IF('08_ФОТ'!AQ$3='01_Вводные'!$B$248,'01_Вводные'!$B$134/'01_Вводные'!$B$132,0))*'01_Вводные'!$B$120</f>
        <v/>
      </c>
      <c r="AR2685">
        <f>(MAX(0,'19_Расчет_аналитики'!AR2671-'19_Расчет_аналитики'!AQ2671)*'01_Вводные'!$B$119*'08_ФОТ'!AR5+IF('08_ФОТ'!AR$3='01_Вводные'!$B$247,'01_Вводные'!$B$133/'01_Вводные'!$B$132,0)+IF('08_ФОТ'!AR$3='01_Вводные'!$B$248,'01_Вводные'!$B$134/'01_Вводные'!$B$132,0))*'01_Вводные'!$B$120</f>
        <v/>
      </c>
      <c r="AS2685">
        <f>(MAX(0,'19_Расчет_аналитики'!AS2671-'19_Расчет_аналитики'!AR2671)*'01_Вводные'!$B$119*'08_ФОТ'!AS5+IF('08_ФОТ'!AS$3='01_Вводные'!$B$247,'01_Вводные'!$B$133/'01_Вводные'!$B$132,0)+IF('08_ФОТ'!AS$3='01_Вводные'!$B$248,'01_Вводные'!$B$134/'01_Вводные'!$B$132,0))*'01_Вводные'!$B$120</f>
        <v/>
      </c>
      <c r="AT2685">
        <f>(MAX(0,'19_Расчет_аналитики'!AT2671-'19_Расчет_аналитики'!AS2671)*'01_Вводные'!$B$119*'08_ФОТ'!AT5+IF('08_ФОТ'!AT$3='01_Вводные'!$B$247,'01_Вводные'!$B$133/'01_Вводные'!$B$132,0)+IF('08_ФОТ'!AT$3='01_Вводные'!$B$248,'01_Вводные'!$B$134/'01_Вводные'!$B$132,0))*'01_Вводные'!$B$120</f>
        <v/>
      </c>
      <c r="AU2685">
        <f>(MAX(0,'19_Расчет_аналитики'!AU2671-'19_Расчет_аналитики'!AT2671)*'01_Вводные'!$B$119*'08_ФОТ'!AU5+IF('08_ФОТ'!AU$3='01_Вводные'!$B$247,'01_Вводные'!$B$133/'01_Вводные'!$B$132,0)+IF('08_ФОТ'!AU$3='01_Вводные'!$B$248,'01_Вводные'!$B$134/'01_Вводные'!$B$132,0))*'01_Вводные'!$B$120</f>
        <v/>
      </c>
      <c r="AV2685">
        <f>(MAX(0,'19_Расчет_аналитики'!AV2671-'19_Расчет_аналитики'!AU2671)*'01_Вводные'!$B$119*'08_ФОТ'!AV5+IF('08_ФОТ'!AV$3='01_Вводные'!$B$247,'01_Вводные'!$B$133/'01_Вводные'!$B$132,0)+IF('08_ФОТ'!AV$3='01_Вводные'!$B$248,'01_Вводные'!$B$134/'01_Вводные'!$B$132,0))*'01_Вводные'!$B$120</f>
        <v/>
      </c>
      <c r="AW2685">
        <f>(MAX(0,'19_Расчет_аналитики'!AW2671-'19_Расчет_аналитики'!AV2671)*'01_Вводные'!$B$119*'08_ФОТ'!AW5+IF('08_ФОТ'!AW$3='01_Вводные'!$B$247,'01_Вводные'!$B$133/'01_Вводные'!$B$132,0)+IF('08_ФОТ'!AW$3='01_Вводные'!$B$248,'01_Вводные'!$B$134/'01_Вводные'!$B$132,0))*'01_Вводные'!$B$120</f>
        <v/>
      </c>
      <c r="AX2685">
        <f>(MAX(0,'19_Расчет_аналитики'!AX2671-'19_Расчет_аналитики'!AW2671)*'01_Вводные'!$B$119*'08_ФОТ'!AX5+IF('08_ФОТ'!AX$3='01_Вводные'!$B$247,'01_Вводные'!$B$133/'01_Вводные'!$B$132,0)+IF('08_ФОТ'!AX$3='01_Вводные'!$B$248,'01_Вводные'!$B$134/'01_Вводные'!$B$132,0))*'01_Вводные'!$B$120</f>
        <v/>
      </c>
      <c r="AY2685">
        <f>(MAX(0,'19_Расчет_аналитики'!AY2671-'19_Расчет_аналитики'!AX2671)*'01_Вводные'!$B$119*'08_ФОТ'!AY5+IF('08_ФОТ'!AY$3='01_Вводные'!$B$247,'01_Вводные'!$B$133/'01_Вводные'!$B$132,0)+IF('08_ФОТ'!AY$3='01_Вводные'!$B$248,'01_Вводные'!$B$134/'01_Вводные'!$B$132,0))*'01_Вводные'!$B$120</f>
        <v/>
      </c>
      <c r="AZ2685">
        <f>(MAX(0,'19_Расчет_аналитики'!AZ2671-'19_Расчет_аналитики'!AY2671)*'01_Вводные'!$B$119*'08_ФОТ'!AZ5+IF('08_ФОТ'!AZ$3='01_Вводные'!$B$247,'01_Вводные'!$B$133/'01_Вводные'!$B$132,0)+IF('08_ФОТ'!AZ$3='01_Вводные'!$B$248,'01_Вводные'!$B$134/'01_Вводные'!$B$132,0))*'01_Вводные'!$B$120</f>
        <v/>
      </c>
      <c r="BA2685">
        <f>(MAX(0,'19_Расчет_аналитики'!BA2671-'19_Расчет_аналитики'!AZ2671)*'01_Вводные'!$B$119*'08_ФОТ'!BA5+IF('08_ФОТ'!BA$3='01_Вводные'!$B$247,'01_Вводные'!$B$133/'01_Вводные'!$B$132,0)+IF('08_ФОТ'!BA$3='01_Вводные'!$B$248,'01_Вводные'!$B$134/'01_Вводные'!$B$132,0))*'01_Вводные'!$B$120</f>
        <v/>
      </c>
      <c r="BB2685">
        <f>(MAX(0,'19_Расчет_аналитики'!BB2671-'19_Расчет_аналитики'!BA2671)*'01_Вводные'!$B$119*'08_ФОТ'!BB5+IF('08_ФОТ'!BB$3='01_Вводные'!$B$247,'01_Вводные'!$B$133/'01_Вводные'!$B$132,0)+IF('08_ФОТ'!BB$3='01_Вводные'!$B$248,'01_Вводные'!$B$134/'01_Вводные'!$B$132,0))*'01_Вводные'!$B$120</f>
        <v/>
      </c>
      <c r="BC2685">
        <f>(MAX(0,'19_Расчет_аналитики'!BC2671-'19_Расчет_аналитики'!BB2671)*'01_Вводные'!$B$119*'08_ФОТ'!BC5+IF('08_ФОТ'!BC$3='01_Вводные'!$B$247,'01_Вводные'!$B$133/'01_Вводные'!$B$132,0)+IF('08_ФОТ'!BC$3='01_Вводные'!$B$248,'01_Вводные'!$B$134/'01_Вводные'!$B$132,0))*'01_Вводные'!$B$120</f>
        <v/>
      </c>
      <c r="BD2685">
        <f>(MAX(0,'19_Расчет_аналитики'!BD2671-'19_Расчет_аналитики'!BC2671)*'01_Вводные'!$B$119*'08_ФОТ'!BD5+IF('08_ФОТ'!BD$3='01_Вводные'!$B$247,'01_Вводные'!$B$133/'01_Вводные'!$B$132,0)+IF('08_ФОТ'!BD$3='01_Вводные'!$B$248,'01_Вводные'!$B$134/'01_Вводные'!$B$132,0))*'01_Вводные'!$B$120</f>
        <v/>
      </c>
      <c r="BE2685">
        <f>(MAX(0,'19_Расчет_аналитики'!BE2671-'19_Расчет_аналитики'!BD2671)*'01_Вводные'!$B$119*'08_ФОТ'!BE5+IF('08_ФОТ'!BE$3='01_Вводные'!$B$247,'01_Вводные'!$B$133/'01_Вводные'!$B$132,0)+IF('08_ФОТ'!BE$3='01_Вводные'!$B$248,'01_Вводные'!$B$134/'01_Вводные'!$B$132,0))*'01_Вводные'!$B$120</f>
        <v/>
      </c>
      <c r="BF2685">
        <f>(MAX(0,'19_Расчет_аналитики'!BF2671-'19_Расчет_аналитики'!BE2671)*'01_Вводные'!$B$119*'08_ФОТ'!BF5+IF('08_ФОТ'!BF$3='01_Вводные'!$B$247,'01_Вводные'!$B$133/'01_Вводные'!$B$132,0)+IF('08_ФОТ'!BF$3='01_Вводные'!$B$248,'01_Вводные'!$B$134/'01_Вводные'!$B$132,0))*'01_Вводные'!$B$120</f>
        <v/>
      </c>
      <c r="BG2685">
        <f>(MAX(0,'19_Расчет_аналитики'!BG2671-'19_Расчет_аналитики'!BF2671)*'01_Вводные'!$B$119*'08_ФОТ'!BG5+IF('08_ФОТ'!BG$3='01_Вводные'!$B$247,'01_Вводные'!$B$133/'01_Вводные'!$B$132,0)+IF('08_ФОТ'!BG$3='01_Вводные'!$B$248,'01_Вводные'!$B$134/'01_Вводные'!$B$132,0))*'01_Вводные'!$B$120</f>
        <v/>
      </c>
      <c r="BH2685">
        <f>(MAX(0,'19_Расчет_аналитики'!BH2671-'19_Расчет_аналитики'!BG2671)*'01_Вводные'!$B$119*'08_ФОТ'!BH5+IF('08_ФОТ'!BH$3='01_Вводные'!$B$247,'01_Вводные'!$B$133/'01_Вводные'!$B$132,0)+IF('08_ФОТ'!BH$3='01_Вводные'!$B$248,'01_Вводные'!$B$134/'01_Вводные'!$B$132,0))*'01_Вводные'!$B$120</f>
        <v/>
      </c>
      <c r="BI2685">
        <f>(MAX(0,'19_Расчет_аналитики'!BI2671-'19_Расчет_аналитики'!BH2671)*'01_Вводные'!$B$119*'08_ФОТ'!BI5+IF('08_ФОТ'!BI$3='01_Вводные'!$B$247,'01_Вводные'!$B$133/'01_Вводные'!$B$132,0)+IF('08_ФОТ'!BI$3='01_Вводные'!$B$248,'01_Вводные'!$B$134/'01_Вводные'!$B$132,0))*'01_Вводные'!$B$120</f>
        <v/>
      </c>
    </row>
    <row r="2686">
      <c r="C2686">
        <f>'08_ФОТ'!C25</f>
        <v/>
      </c>
      <c r="D2686">
        <f>'08_ФОТ'!D25</f>
        <v/>
      </c>
      <c r="E2686">
        <f>'08_ФОТ'!E25</f>
        <v/>
      </c>
      <c r="F2686">
        <f>'08_ФОТ'!F25</f>
        <v/>
      </c>
      <c r="G2686">
        <f>'08_ФОТ'!G25</f>
        <v/>
      </c>
      <c r="H2686">
        <f>'08_ФОТ'!H25</f>
        <v/>
      </c>
      <c r="I2686">
        <f>'08_ФОТ'!I25</f>
        <v/>
      </c>
      <c r="J2686">
        <f>'08_ФОТ'!J25</f>
        <v/>
      </c>
      <c r="K2686">
        <f>'08_ФОТ'!K25</f>
        <v/>
      </c>
      <c r="L2686">
        <f>'08_ФОТ'!L25</f>
        <v/>
      </c>
      <c r="M2686">
        <f>'08_ФОТ'!M25</f>
        <v/>
      </c>
      <c r="N2686">
        <f>'08_ФОТ'!N25</f>
        <v/>
      </c>
      <c r="O2686">
        <f>'08_ФОТ'!O25</f>
        <v/>
      </c>
      <c r="P2686">
        <f>'08_ФОТ'!P25</f>
        <v/>
      </c>
      <c r="Q2686">
        <f>'08_ФОТ'!Q25</f>
        <v/>
      </c>
      <c r="R2686">
        <f>'08_ФОТ'!R25</f>
        <v/>
      </c>
      <c r="S2686">
        <f>'08_ФОТ'!S25</f>
        <v/>
      </c>
      <c r="T2686">
        <f>'08_ФОТ'!T25</f>
        <v/>
      </c>
      <c r="U2686">
        <f>'08_ФОТ'!U25</f>
        <v/>
      </c>
      <c r="V2686">
        <f>'08_ФОТ'!V25</f>
        <v/>
      </c>
      <c r="W2686">
        <f>'08_ФОТ'!W25</f>
        <v/>
      </c>
      <c r="X2686">
        <f>'08_ФОТ'!X25</f>
        <v/>
      </c>
      <c r="Y2686">
        <f>'08_ФОТ'!Y25</f>
        <v/>
      </c>
      <c r="Z2686">
        <f>'08_ФОТ'!Z25</f>
        <v/>
      </c>
      <c r="AA2686">
        <f>'08_ФОТ'!AA25</f>
        <v/>
      </c>
      <c r="AB2686">
        <f>'08_ФОТ'!AB25</f>
        <v/>
      </c>
      <c r="AC2686">
        <f>'08_ФОТ'!AC25</f>
        <v/>
      </c>
      <c r="AD2686">
        <f>'08_ФОТ'!AD25</f>
        <v/>
      </c>
      <c r="AE2686">
        <f>'08_ФОТ'!AE25</f>
        <v/>
      </c>
      <c r="AF2686">
        <f>'08_ФОТ'!AF25</f>
        <v/>
      </c>
      <c r="AG2686">
        <f>'08_ФОТ'!AG25</f>
        <v/>
      </c>
      <c r="AH2686">
        <f>'08_ФОТ'!AH25</f>
        <v/>
      </c>
      <c r="AI2686">
        <f>'08_ФОТ'!AI25</f>
        <v/>
      </c>
      <c r="AJ2686">
        <f>'08_ФОТ'!AJ25</f>
        <v/>
      </c>
      <c r="AK2686">
        <f>'08_ФОТ'!AK25</f>
        <v/>
      </c>
      <c r="AL2686">
        <f>'08_ФОТ'!AL25</f>
        <v/>
      </c>
      <c r="AM2686">
        <f>'08_ФОТ'!AM25</f>
        <v/>
      </c>
      <c r="AN2686">
        <f>'08_ФОТ'!AN25</f>
        <v/>
      </c>
      <c r="AO2686">
        <f>'08_ФОТ'!AO25</f>
        <v/>
      </c>
      <c r="AP2686">
        <f>'08_ФОТ'!AP25</f>
        <v/>
      </c>
      <c r="AQ2686">
        <f>'08_ФОТ'!AQ25</f>
        <v/>
      </c>
      <c r="AR2686">
        <f>'08_ФОТ'!AR25</f>
        <v/>
      </c>
      <c r="AS2686">
        <f>'08_ФОТ'!AS25</f>
        <v/>
      </c>
      <c r="AT2686">
        <f>'08_ФОТ'!AT25</f>
        <v/>
      </c>
      <c r="AU2686">
        <f>'08_ФОТ'!AU25</f>
        <v/>
      </c>
      <c r="AV2686">
        <f>'08_ФОТ'!AV25</f>
        <v/>
      </c>
      <c r="AW2686">
        <f>'08_ФОТ'!AW25</f>
        <v/>
      </c>
      <c r="AX2686">
        <f>'08_ФОТ'!AX25</f>
        <v/>
      </c>
      <c r="AY2686">
        <f>'08_ФОТ'!AY25</f>
        <v/>
      </c>
      <c r="AZ2686">
        <f>'08_ФОТ'!AZ25</f>
        <v/>
      </c>
      <c r="BA2686">
        <f>'08_ФОТ'!BA25</f>
        <v/>
      </c>
      <c r="BB2686">
        <f>'08_ФОТ'!BB25</f>
        <v/>
      </c>
      <c r="BC2686">
        <f>'08_ФОТ'!BC25</f>
        <v/>
      </c>
      <c r="BD2686">
        <f>'08_ФОТ'!BD25</f>
        <v/>
      </c>
      <c r="BE2686">
        <f>'08_ФОТ'!BE25</f>
        <v/>
      </c>
      <c r="BF2686">
        <f>'08_ФОТ'!BF25</f>
        <v/>
      </c>
      <c r="BG2686">
        <f>'08_ФОТ'!BG25</f>
        <v/>
      </c>
      <c r="BH2686">
        <f>'08_ФОТ'!BH25</f>
        <v/>
      </c>
      <c r="BI2686">
        <f>'08_ФОТ'!BI25</f>
        <v/>
      </c>
    </row>
    <row r="2687">
      <c r="C2687">
        <f>'08_ФОТ'!C26</f>
        <v/>
      </c>
      <c r="D2687">
        <f>'08_ФОТ'!D26</f>
        <v/>
      </c>
      <c r="E2687">
        <f>'08_ФОТ'!E26</f>
        <v/>
      </c>
      <c r="F2687">
        <f>'08_ФОТ'!F26</f>
        <v/>
      </c>
      <c r="G2687">
        <f>'08_ФОТ'!G26</f>
        <v/>
      </c>
      <c r="H2687">
        <f>'08_ФОТ'!H26</f>
        <v/>
      </c>
      <c r="I2687">
        <f>'08_ФОТ'!I26</f>
        <v/>
      </c>
      <c r="J2687">
        <f>'08_ФОТ'!J26</f>
        <v/>
      </c>
      <c r="K2687">
        <f>'08_ФОТ'!K26</f>
        <v/>
      </c>
      <c r="L2687">
        <f>'08_ФОТ'!L26</f>
        <v/>
      </c>
      <c r="M2687">
        <f>'08_ФОТ'!M26</f>
        <v/>
      </c>
      <c r="N2687">
        <f>'08_ФОТ'!N26</f>
        <v/>
      </c>
      <c r="O2687">
        <f>'08_ФОТ'!O26</f>
        <v/>
      </c>
      <c r="P2687">
        <f>'08_ФОТ'!P26</f>
        <v/>
      </c>
      <c r="Q2687">
        <f>'08_ФОТ'!Q26</f>
        <v/>
      </c>
      <c r="R2687">
        <f>'08_ФОТ'!R26</f>
        <v/>
      </c>
      <c r="S2687">
        <f>'08_ФОТ'!S26</f>
        <v/>
      </c>
      <c r="T2687">
        <f>'08_ФОТ'!T26</f>
        <v/>
      </c>
      <c r="U2687">
        <f>'08_ФОТ'!U26</f>
        <v/>
      </c>
      <c r="V2687">
        <f>'08_ФОТ'!V26</f>
        <v/>
      </c>
      <c r="W2687">
        <f>'08_ФОТ'!W26</f>
        <v/>
      </c>
      <c r="X2687">
        <f>'08_ФОТ'!X26</f>
        <v/>
      </c>
      <c r="Y2687">
        <f>'08_ФОТ'!Y26</f>
        <v/>
      </c>
      <c r="Z2687">
        <f>'08_ФОТ'!Z26</f>
        <v/>
      </c>
      <c r="AA2687">
        <f>'08_ФОТ'!AA26</f>
        <v/>
      </c>
      <c r="AB2687">
        <f>'08_ФОТ'!AB26</f>
        <v/>
      </c>
      <c r="AC2687">
        <f>'08_ФОТ'!AC26</f>
        <v/>
      </c>
      <c r="AD2687">
        <f>'08_ФОТ'!AD26</f>
        <v/>
      </c>
      <c r="AE2687">
        <f>'08_ФОТ'!AE26</f>
        <v/>
      </c>
      <c r="AF2687">
        <f>'08_ФОТ'!AF26</f>
        <v/>
      </c>
      <c r="AG2687">
        <f>'08_ФОТ'!AG26</f>
        <v/>
      </c>
      <c r="AH2687">
        <f>'08_ФОТ'!AH26</f>
        <v/>
      </c>
      <c r="AI2687">
        <f>'08_ФОТ'!AI26</f>
        <v/>
      </c>
      <c r="AJ2687">
        <f>'08_ФОТ'!AJ26</f>
        <v/>
      </c>
      <c r="AK2687">
        <f>'08_ФОТ'!AK26</f>
        <v/>
      </c>
      <c r="AL2687">
        <f>'08_ФОТ'!AL26</f>
        <v/>
      </c>
      <c r="AM2687">
        <f>'08_ФОТ'!AM26</f>
        <v/>
      </c>
      <c r="AN2687">
        <f>'08_ФОТ'!AN26</f>
        <v/>
      </c>
      <c r="AO2687">
        <f>'08_ФОТ'!AO26</f>
        <v/>
      </c>
      <c r="AP2687">
        <f>'08_ФОТ'!AP26</f>
        <v/>
      </c>
      <c r="AQ2687">
        <f>'08_ФОТ'!AQ26</f>
        <v/>
      </c>
      <c r="AR2687">
        <f>'08_ФОТ'!AR26</f>
        <v/>
      </c>
      <c r="AS2687">
        <f>'08_ФОТ'!AS26</f>
        <v/>
      </c>
      <c r="AT2687">
        <f>'08_ФОТ'!AT26</f>
        <v/>
      </c>
      <c r="AU2687">
        <f>'08_ФОТ'!AU26</f>
        <v/>
      </c>
      <c r="AV2687">
        <f>'08_ФОТ'!AV26</f>
        <v/>
      </c>
      <c r="AW2687">
        <f>'08_ФОТ'!AW26</f>
        <v/>
      </c>
      <c r="AX2687">
        <f>'08_ФОТ'!AX26</f>
        <v/>
      </c>
      <c r="AY2687">
        <f>'08_ФОТ'!AY26</f>
        <v/>
      </c>
      <c r="AZ2687">
        <f>'08_ФОТ'!AZ26</f>
        <v/>
      </c>
      <c r="BA2687">
        <f>'08_ФОТ'!BA26</f>
        <v/>
      </c>
      <c r="BB2687">
        <f>'08_ФОТ'!BB26</f>
        <v/>
      </c>
      <c r="BC2687">
        <f>'08_ФОТ'!BC26</f>
        <v/>
      </c>
      <c r="BD2687">
        <f>'08_ФОТ'!BD26</f>
        <v/>
      </c>
      <c r="BE2687">
        <f>'08_ФОТ'!BE26</f>
        <v/>
      </c>
      <c r="BF2687">
        <f>'08_ФОТ'!BF26</f>
        <v/>
      </c>
      <c r="BG2687">
        <f>'08_ФОТ'!BG26</f>
        <v/>
      </c>
      <c r="BH2687">
        <f>'08_ФОТ'!BH26</f>
        <v/>
      </c>
      <c r="BI2687">
        <f>'08_ФОТ'!BI26</f>
        <v/>
      </c>
    </row>
    <row r="2688"/>
    <row r="2689">
      <c r="C2689">
        <f>SUM('19_Расчет_аналитики'!C2673:C2674,'19_Расчет_аналитики'!C2676:C2680,'08_ФОТ'!C21:C22,'19_Расчет_аналитики'!C2685:C2687)</f>
        <v/>
      </c>
      <c r="D2689">
        <f>SUM('19_Расчет_аналитики'!D2673:D2674,'19_Расчет_аналитики'!D2676:D2680,'08_ФОТ'!D21:D22,'19_Расчет_аналитики'!D2685:D2687)</f>
        <v/>
      </c>
      <c r="E2689">
        <f>SUM('19_Расчет_аналитики'!E2673:E2674,'19_Расчет_аналитики'!E2676:E2680,'08_ФОТ'!E21:E22,'19_Расчет_аналитики'!E2685:E2687)</f>
        <v/>
      </c>
      <c r="F2689">
        <f>SUM('19_Расчет_аналитики'!F2673:F2674,'19_Расчет_аналитики'!F2676:F2680,'08_ФОТ'!F21:F22,'19_Расчет_аналитики'!F2685:F2687)</f>
        <v/>
      </c>
      <c r="G2689">
        <f>SUM('19_Расчет_аналитики'!G2673:G2674,'19_Расчет_аналитики'!G2676:G2680,'08_ФОТ'!G21:G22,'19_Расчет_аналитики'!G2685:G2687)</f>
        <v/>
      </c>
      <c r="H2689">
        <f>SUM('19_Расчет_аналитики'!H2673:H2674,'19_Расчет_аналитики'!H2676:H2680,'08_ФОТ'!H21:H22,'19_Расчет_аналитики'!H2685:H2687)</f>
        <v/>
      </c>
      <c r="I2689">
        <f>SUM('19_Расчет_аналитики'!I2673:I2674,'19_Расчет_аналитики'!I2676:I2680,'08_ФОТ'!I21:I22,'19_Расчет_аналитики'!I2685:I2687)</f>
        <v/>
      </c>
      <c r="J2689">
        <f>SUM('19_Расчет_аналитики'!J2673:J2674,'19_Расчет_аналитики'!J2676:J2680,'08_ФОТ'!J21:J22,'19_Расчет_аналитики'!J2685:J2687)</f>
        <v/>
      </c>
      <c r="K2689">
        <f>SUM('19_Расчет_аналитики'!K2673:K2674,'19_Расчет_аналитики'!K2676:K2680,'08_ФОТ'!K21:K22,'19_Расчет_аналитики'!K2685:K2687)</f>
        <v/>
      </c>
      <c r="L2689">
        <f>SUM('19_Расчет_аналитики'!L2673:L2674,'19_Расчет_аналитики'!L2676:L2680,'08_ФОТ'!L21:L22,'19_Расчет_аналитики'!L2685:L2687)</f>
        <v/>
      </c>
      <c r="M2689">
        <f>SUM('19_Расчет_аналитики'!M2673:M2674,'19_Расчет_аналитики'!M2676:M2680,'08_ФОТ'!M21:M22,'19_Расчет_аналитики'!M2685:M2687)</f>
        <v/>
      </c>
      <c r="N2689">
        <f>SUM('19_Расчет_аналитики'!N2673:N2674,'19_Расчет_аналитики'!N2676:N2680,'08_ФОТ'!N21:N22,'19_Расчет_аналитики'!N2685:N2687)</f>
        <v/>
      </c>
      <c r="O2689">
        <f>SUM('19_Расчет_аналитики'!O2673:O2674,'19_Расчет_аналитики'!O2676:O2680,'08_ФОТ'!O21:O22,'19_Расчет_аналитики'!O2685:O2687)</f>
        <v/>
      </c>
      <c r="P2689">
        <f>SUM('19_Расчет_аналитики'!P2673:P2674,'19_Расчет_аналитики'!P2676:P2680,'08_ФОТ'!P21:P22,'19_Расчет_аналитики'!P2685:P2687)</f>
        <v/>
      </c>
      <c r="Q2689">
        <f>SUM('19_Расчет_аналитики'!Q2673:Q2674,'19_Расчет_аналитики'!Q2676:Q2680,'08_ФОТ'!Q21:Q22,'19_Расчет_аналитики'!Q2685:Q2687)</f>
        <v/>
      </c>
      <c r="R2689">
        <f>SUM('19_Расчет_аналитики'!R2673:R2674,'19_Расчет_аналитики'!R2676:R2680,'08_ФОТ'!R21:R22,'19_Расчет_аналитики'!R2685:R2687)</f>
        <v/>
      </c>
      <c r="S2689">
        <f>SUM('19_Расчет_аналитики'!S2673:S2674,'19_Расчет_аналитики'!S2676:S2680,'08_ФОТ'!S21:S22,'19_Расчет_аналитики'!S2685:S2687)</f>
        <v/>
      </c>
      <c r="T2689">
        <f>SUM('19_Расчет_аналитики'!T2673:T2674,'19_Расчет_аналитики'!T2676:T2680,'08_ФОТ'!T21:T22,'19_Расчет_аналитики'!T2685:T2687)</f>
        <v/>
      </c>
      <c r="U2689">
        <f>SUM('19_Расчет_аналитики'!U2673:U2674,'19_Расчет_аналитики'!U2676:U2680,'08_ФОТ'!U21:U22,'19_Расчет_аналитики'!U2685:U2687)</f>
        <v/>
      </c>
      <c r="V2689">
        <f>SUM('19_Расчет_аналитики'!V2673:V2674,'19_Расчет_аналитики'!V2676:V2680,'08_ФОТ'!V21:V22,'19_Расчет_аналитики'!V2685:V2687)</f>
        <v/>
      </c>
      <c r="W2689">
        <f>SUM('19_Расчет_аналитики'!W2673:W2674,'19_Расчет_аналитики'!W2676:W2680,'08_ФОТ'!W21:W22,'19_Расчет_аналитики'!W2685:W2687)</f>
        <v/>
      </c>
      <c r="X2689">
        <f>SUM('19_Расчет_аналитики'!X2673:X2674,'19_Расчет_аналитики'!X2676:X2680,'08_ФОТ'!X21:X22,'19_Расчет_аналитики'!X2685:X2687)</f>
        <v/>
      </c>
      <c r="Y2689">
        <f>SUM('19_Расчет_аналитики'!Y2673:Y2674,'19_Расчет_аналитики'!Y2676:Y2680,'08_ФОТ'!Y21:Y22,'19_Расчет_аналитики'!Y2685:Y2687)</f>
        <v/>
      </c>
      <c r="Z2689">
        <f>SUM('19_Расчет_аналитики'!Z2673:Z2674,'19_Расчет_аналитики'!Z2676:Z2680,'08_ФОТ'!Z21:Z22,'19_Расчет_аналитики'!Z2685:Z2687)</f>
        <v/>
      </c>
      <c r="AA2689">
        <f>SUM('19_Расчет_аналитики'!AA2673:AA2674,'19_Расчет_аналитики'!AA2676:AA2680,'08_ФОТ'!AA21:AA22,'19_Расчет_аналитики'!AA2685:AA2687)</f>
        <v/>
      </c>
      <c r="AB2689">
        <f>SUM('19_Расчет_аналитики'!AB2673:AB2674,'19_Расчет_аналитики'!AB2676:AB2680,'08_ФОТ'!AB21:AB22,'19_Расчет_аналитики'!AB2685:AB2687)</f>
        <v/>
      </c>
      <c r="AC2689">
        <f>SUM('19_Расчет_аналитики'!AC2673:AC2674,'19_Расчет_аналитики'!AC2676:AC2680,'08_ФОТ'!AC21:AC22,'19_Расчет_аналитики'!AC2685:AC2687)</f>
        <v/>
      </c>
      <c r="AD2689">
        <f>SUM('19_Расчет_аналитики'!AD2673:AD2674,'19_Расчет_аналитики'!AD2676:AD2680,'08_ФОТ'!AD21:AD22,'19_Расчет_аналитики'!AD2685:AD2687)</f>
        <v/>
      </c>
      <c r="AE2689">
        <f>SUM('19_Расчет_аналитики'!AE2673:AE2674,'19_Расчет_аналитики'!AE2676:AE2680,'08_ФОТ'!AE21:AE22,'19_Расчет_аналитики'!AE2685:AE2687)</f>
        <v/>
      </c>
      <c r="AF2689">
        <f>SUM('19_Расчет_аналитики'!AF2673:AF2674,'19_Расчет_аналитики'!AF2676:AF2680,'08_ФОТ'!AF21:AF22,'19_Расчет_аналитики'!AF2685:AF2687)</f>
        <v/>
      </c>
      <c r="AG2689">
        <f>SUM('19_Расчет_аналитики'!AG2673:AG2674,'19_Расчет_аналитики'!AG2676:AG2680,'08_ФОТ'!AG21:AG22,'19_Расчет_аналитики'!AG2685:AG2687)</f>
        <v/>
      </c>
      <c r="AH2689">
        <f>SUM('19_Расчет_аналитики'!AH2673:AH2674,'19_Расчет_аналитики'!AH2676:AH2680,'08_ФОТ'!AH21:AH22,'19_Расчет_аналитики'!AH2685:AH2687)</f>
        <v/>
      </c>
      <c r="AI2689">
        <f>SUM('19_Расчет_аналитики'!AI2673:AI2674,'19_Расчет_аналитики'!AI2676:AI2680,'08_ФОТ'!AI21:AI22,'19_Расчет_аналитики'!AI2685:AI2687)</f>
        <v/>
      </c>
      <c r="AJ2689">
        <f>SUM('19_Расчет_аналитики'!AJ2673:AJ2674,'19_Расчет_аналитики'!AJ2676:AJ2680,'08_ФОТ'!AJ21:AJ22,'19_Расчет_аналитики'!AJ2685:AJ2687)</f>
        <v/>
      </c>
      <c r="AK2689">
        <f>SUM('19_Расчет_аналитики'!AK2673:AK2674,'19_Расчет_аналитики'!AK2676:AK2680,'08_ФОТ'!AK21:AK22,'19_Расчет_аналитики'!AK2685:AK2687)</f>
        <v/>
      </c>
      <c r="AL2689">
        <f>SUM('19_Расчет_аналитики'!AL2673:AL2674,'19_Расчет_аналитики'!AL2676:AL2680,'08_ФОТ'!AL21:AL22,'19_Расчет_аналитики'!AL2685:AL2687)</f>
        <v/>
      </c>
      <c r="AM2689">
        <f>SUM('19_Расчет_аналитики'!AM2673:AM2674,'19_Расчет_аналитики'!AM2676:AM2680,'08_ФОТ'!AM21:AM22,'19_Расчет_аналитики'!AM2685:AM2687)</f>
        <v/>
      </c>
      <c r="AN2689">
        <f>SUM('19_Расчет_аналитики'!AN2673:AN2674,'19_Расчет_аналитики'!AN2676:AN2680,'08_ФОТ'!AN21:AN22,'19_Расчет_аналитики'!AN2685:AN2687)</f>
        <v/>
      </c>
      <c r="AO2689">
        <f>SUM('19_Расчет_аналитики'!AO2673:AO2674,'19_Расчет_аналитики'!AO2676:AO2680,'08_ФОТ'!AO21:AO22,'19_Расчет_аналитики'!AO2685:AO2687)</f>
        <v/>
      </c>
      <c r="AP2689">
        <f>SUM('19_Расчет_аналитики'!AP2673:AP2674,'19_Расчет_аналитики'!AP2676:AP2680,'08_ФОТ'!AP21:AP22,'19_Расчет_аналитики'!AP2685:AP2687)</f>
        <v/>
      </c>
      <c r="AQ2689">
        <f>SUM('19_Расчет_аналитики'!AQ2673:AQ2674,'19_Расчет_аналитики'!AQ2676:AQ2680,'08_ФОТ'!AQ21:AQ22,'19_Расчет_аналитики'!AQ2685:AQ2687)</f>
        <v/>
      </c>
      <c r="AR2689">
        <f>SUM('19_Расчет_аналитики'!AR2673:AR2674,'19_Расчет_аналитики'!AR2676:AR2680,'08_ФОТ'!AR21:AR22,'19_Расчет_аналитики'!AR2685:AR2687)</f>
        <v/>
      </c>
      <c r="AS2689">
        <f>SUM('19_Расчет_аналитики'!AS2673:AS2674,'19_Расчет_аналитики'!AS2676:AS2680,'08_ФОТ'!AS21:AS22,'19_Расчет_аналитики'!AS2685:AS2687)</f>
        <v/>
      </c>
      <c r="AT2689">
        <f>SUM('19_Расчет_аналитики'!AT2673:AT2674,'19_Расчет_аналитики'!AT2676:AT2680,'08_ФОТ'!AT21:AT22,'19_Расчет_аналитики'!AT2685:AT2687)</f>
        <v/>
      </c>
      <c r="AU2689">
        <f>SUM('19_Расчет_аналитики'!AU2673:AU2674,'19_Расчет_аналитики'!AU2676:AU2680,'08_ФОТ'!AU21:AU22,'19_Расчет_аналитики'!AU2685:AU2687)</f>
        <v/>
      </c>
      <c r="AV2689">
        <f>SUM('19_Расчет_аналитики'!AV2673:AV2674,'19_Расчет_аналитики'!AV2676:AV2680,'08_ФОТ'!AV21:AV22,'19_Расчет_аналитики'!AV2685:AV2687)</f>
        <v/>
      </c>
      <c r="AW2689">
        <f>SUM('19_Расчет_аналитики'!AW2673:AW2674,'19_Расчет_аналитики'!AW2676:AW2680,'08_ФОТ'!AW21:AW22,'19_Расчет_аналитики'!AW2685:AW2687)</f>
        <v/>
      </c>
      <c r="AX2689">
        <f>SUM('19_Расчет_аналитики'!AX2673:AX2674,'19_Расчет_аналитики'!AX2676:AX2680,'08_ФОТ'!AX21:AX22,'19_Расчет_аналитики'!AX2685:AX2687)</f>
        <v/>
      </c>
      <c r="AY2689">
        <f>SUM('19_Расчет_аналитики'!AY2673:AY2674,'19_Расчет_аналитики'!AY2676:AY2680,'08_ФОТ'!AY21:AY22,'19_Расчет_аналитики'!AY2685:AY2687)</f>
        <v/>
      </c>
      <c r="AZ2689">
        <f>SUM('19_Расчет_аналитики'!AZ2673:AZ2674,'19_Расчет_аналитики'!AZ2676:AZ2680,'08_ФОТ'!AZ21:AZ22,'19_Расчет_аналитики'!AZ2685:AZ2687)</f>
        <v/>
      </c>
      <c r="BA2689">
        <f>SUM('19_Расчет_аналитики'!BA2673:BA2674,'19_Расчет_аналитики'!BA2676:BA2680,'08_ФОТ'!BA21:BA22,'19_Расчет_аналитики'!BA2685:BA2687)</f>
        <v/>
      </c>
      <c r="BB2689">
        <f>SUM('19_Расчет_аналитики'!BB2673:BB2674,'19_Расчет_аналитики'!BB2676:BB2680,'08_ФОТ'!BB21:BB22,'19_Расчет_аналитики'!BB2685:BB2687)</f>
        <v/>
      </c>
      <c r="BC2689">
        <f>SUM('19_Расчет_аналитики'!BC2673:BC2674,'19_Расчет_аналитики'!BC2676:BC2680,'08_ФОТ'!BC21:BC22,'19_Расчет_аналитики'!BC2685:BC2687)</f>
        <v/>
      </c>
      <c r="BD2689">
        <f>SUM('19_Расчет_аналитики'!BD2673:BD2674,'19_Расчет_аналитики'!BD2676:BD2680,'08_ФОТ'!BD21:BD22,'19_Расчет_аналитики'!BD2685:BD2687)</f>
        <v/>
      </c>
      <c r="BE2689">
        <f>SUM('19_Расчет_аналитики'!BE2673:BE2674,'19_Расчет_аналитики'!BE2676:BE2680,'08_ФОТ'!BE21:BE22,'19_Расчет_аналитики'!BE2685:BE2687)</f>
        <v/>
      </c>
      <c r="BF2689">
        <f>SUM('19_Расчет_аналитики'!BF2673:BF2674,'19_Расчет_аналитики'!BF2676:BF2680,'08_ФОТ'!BF21:BF22,'19_Расчет_аналитики'!BF2685:BF2687)</f>
        <v/>
      </c>
      <c r="BG2689">
        <f>SUM('19_Расчет_аналитики'!BG2673:BG2674,'19_Расчет_аналитики'!BG2676:BG2680,'08_ФОТ'!BG21:BG22,'19_Расчет_аналитики'!BG2685:BG2687)</f>
        <v/>
      </c>
      <c r="BH2689">
        <f>SUM('19_Расчет_аналитики'!BH2673:BH2674,'19_Расчет_аналитики'!BH2676:BH2680,'08_ФОТ'!BH21:BH22,'19_Расчет_аналитики'!BH2685:BH2687)</f>
        <v/>
      </c>
      <c r="BI2689">
        <f>SUM('19_Расчет_аналитики'!BI2673:BI2674,'19_Расчет_аналитики'!BI2676:BI2680,'08_ФОТ'!BI21:BI22,'19_Расчет_аналитики'!BI2685:BI2687)</f>
        <v/>
      </c>
    </row>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c r="C2731">
        <f>'19_Расчет_аналитики'!C2389</f>
        <v/>
      </c>
      <c r="D2731">
        <f>'19_Расчет_аналитики'!D2389</f>
        <v/>
      </c>
      <c r="E2731">
        <f>'19_Расчет_аналитики'!E2389</f>
        <v/>
      </c>
      <c r="F2731">
        <f>'19_Расчет_аналитики'!F2389</f>
        <v/>
      </c>
      <c r="G2731">
        <f>'19_Расчет_аналитики'!G2389</f>
        <v/>
      </c>
      <c r="H2731">
        <f>'19_Расчет_аналитики'!H2389</f>
        <v/>
      </c>
      <c r="I2731">
        <f>'19_Расчет_аналитики'!I2389</f>
        <v/>
      </c>
      <c r="J2731">
        <f>'19_Расчет_аналитики'!J2389</f>
        <v/>
      </c>
      <c r="K2731">
        <f>'19_Расчет_аналитики'!K2389</f>
        <v/>
      </c>
      <c r="L2731">
        <f>'19_Расчет_аналитики'!L2389</f>
        <v/>
      </c>
      <c r="M2731">
        <f>'19_Расчет_аналитики'!M2389</f>
        <v/>
      </c>
      <c r="N2731">
        <f>'19_Расчет_аналитики'!N2389</f>
        <v/>
      </c>
      <c r="O2731">
        <f>'19_Расчет_аналитики'!O2389</f>
        <v/>
      </c>
      <c r="P2731">
        <f>'19_Расчет_аналитики'!P2389</f>
        <v/>
      </c>
      <c r="Q2731">
        <f>'19_Расчет_аналитики'!Q2389</f>
        <v/>
      </c>
      <c r="R2731">
        <f>'19_Расчет_аналитики'!R2389</f>
        <v/>
      </c>
      <c r="S2731">
        <f>'19_Расчет_аналитики'!S2389</f>
        <v/>
      </c>
      <c r="T2731">
        <f>'19_Расчет_аналитики'!T2389</f>
        <v/>
      </c>
      <c r="U2731">
        <f>'19_Расчет_аналитики'!U2389</f>
        <v/>
      </c>
      <c r="V2731">
        <f>'19_Расчет_аналитики'!V2389</f>
        <v/>
      </c>
      <c r="W2731">
        <f>'19_Расчет_аналитики'!W2389</f>
        <v/>
      </c>
      <c r="X2731">
        <f>'19_Расчет_аналитики'!X2389</f>
        <v/>
      </c>
      <c r="Y2731">
        <f>'19_Расчет_аналитики'!Y2389</f>
        <v/>
      </c>
      <c r="Z2731">
        <f>'19_Расчет_аналитики'!Z2389</f>
        <v/>
      </c>
      <c r="AA2731">
        <f>'19_Расчет_аналитики'!AA2389</f>
        <v/>
      </c>
      <c r="AB2731">
        <f>'19_Расчет_аналитики'!AB2389</f>
        <v/>
      </c>
      <c r="AC2731">
        <f>'19_Расчет_аналитики'!AC2389</f>
        <v/>
      </c>
      <c r="AD2731">
        <f>'19_Расчет_аналитики'!AD2389</f>
        <v/>
      </c>
      <c r="AE2731">
        <f>'19_Расчет_аналитики'!AE2389</f>
        <v/>
      </c>
      <c r="AF2731">
        <f>'19_Расчет_аналитики'!AF2389</f>
        <v/>
      </c>
      <c r="AG2731">
        <f>'19_Расчет_аналитики'!AG2389</f>
        <v/>
      </c>
      <c r="AH2731">
        <f>'19_Расчет_аналитики'!AH2389</f>
        <v/>
      </c>
      <c r="AI2731">
        <f>'19_Расчет_аналитики'!AI2389</f>
        <v/>
      </c>
      <c r="AJ2731">
        <f>'19_Расчет_аналитики'!AJ2389</f>
        <v/>
      </c>
      <c r="AK2731">
        <f>'19_Расчет_аналитики'!AK2389</f>
        <v/>
      </c>
      <c r="AL2731">
        <f>'19_Расчет_аналитики'!AL2389</f>
        <v/>
      </c>
      <c r="AM2731">
        <f>'19_Расчет_аналитики'!AM2389</f>
        <v/>
      </c>
      <c r="AN2731">
        <f>'19_Расчет_аналитики'!AN2389</f>
        <v/>
      </c>
      <c r="AO2731">
        <f>'19_Расчет_аналитики'!AO2389</f>
        <v/>
      </c>
      <c r="AP2731">
        <f>'19_Расчет_аналитики'!AP2389</f>
        <v/>
      </c>
      <c r="AQ2731">
        <f>'19_Расчет_аналитики'!AQ2389</f>
        <v/>
      </c>
      <c r="AR2731">
        <f>'19_Расчет_аналитики'!AR2389</f>
        <v/>
      </c>
      <c r="AS2731">
        <f>'19_Расчет_аналитики'!AS2389</f>
        <v/>
      </c>
      <c r="AT2731">
        <f>'19_Расчет_аналитики'!AT2389</f>
        <v/>
      </c>
      <c r="AU2731">
        <f>'19_Расчет_аналитики'!AU2389</f>
        <v/>
      </c>
      <c r="AV2731">
        <f>'19_Расчет_аналитики'!AV2389</f>
        <v/>
      </c>
      <c r="AW2731">
        <f>'19_Расчет_аналитики'!AW2389</f>
        <v/>
      </c>
      <c r="AX2731">
        <f>'19_Расчет_аналитики'!AX2389</f>
        <v/>
      </c>
      <c r="AY2731">
        <f>'19_Расчет_аналитики'!AY2389</f>
        <v/>
      </c>
      <c r="AZ2731">
        <f>'19_Расчет_аналитики'!AZ2389</f>
        <v/>
      </c>
      <c r="BA2731">
        <f>'19_Расчет_аналитики'!BA2389</f>
        <v/>
      </c>
      <c r="BB2731">
        <f>'19_Расчет_аналитики'!BB2389</f>
        <v/>
      </c>
      <c r="BC2731">
        <f>'19_Расчет_аналитики'!BC2389</f>
        <v/>
      </c>
      <c r="BD2731">
        <f>'19_Расчет_аналитики'!BD2389</f>
        <v/>
      </c>
      <c r="BE2731">
        <f>'19_Расчет_аналитики'!BE2389</f>
        <v/>
      </c>
      <c r="BF2731">
        <f>'19_Расчет_аналитики'!BF2389</f>
        <v/>
      </c>
      <c r="BG2731">
        <f>'19_Расчет_аналитики'!BG2389</f>
        <v/>
      </c>
      <c r="BH2731">
        <f>'19_Расчет_аналитики'!BH2389</f>
        <v/>
      </c>
      <c r="BI2731">
        <f>'19_Расчет_аналитики'!BI2389</f>
        <v/>
      </c>
    </row>
    <row r="2732">
      <c r="B2732">
        <f>'19_Расчет_аналитики'!B2403</f>
        <v/>
      </c>
      <c r="C2732">
        <f>'19_Расчет_аналитики'!C2403</f>
        <v/>
      </c>
      <c r="D2732">
        <f>'19_Расчет_аналитики'!D2403</f>
        <v/>
      </c>
      <c r="E2732">
        <f>'19_Расчет_аналитики'!E2403</f>
        <v/>
      </c>
      <c r="F2732">
        <f>'19_Расчет_аналитики'!F2403</f>
        <v/>
      </c>
      <c r="G2732">
        <f>'19_Расчет_аналитики'!G2403</f>
        <v/>
      </c>
      <c r="H2732">
        <f>'19_Расчет_аналитики'!H2403</f>
        <v/>
      </c>
      <c r="I2732">
        <f>'19_Расчет_аналитики'!I2403</f>
        <v/>
      </c>
      <c r="J2732">
        <f>'19_Расчет_аналитики'!J2403</f>
        <v/>
      </c>
      <c r="K2732">
        <f>'19_Расчет_аналитики'!K2403</f>
        <v/>
      </c>
      <c r="L2732">
        <f>'19_Расчет_аналитики'!L2403</f>
        <v/>
      </c>
      <c r="M2732">
        <f>'19_Расчет_аналитики'!M2403</f>
        <v/>
      </c>
      <c r="N2732">
        <f>'19_Расчет_аналитики'!N2403</f>
        <v/>
      </c>
      <c r="O2732">
        <f>'19_Расчет_аналитики'!O2403</f>
        <v/>
      </c>
      <c r="P2732">
        <f>'19_Расчет_аналитики'!P2403</f>
        <v/>
      </c>
      <c r="Q2732">
        <f>'19_Расчет_аналитики'!Q2403</f>
        <v/>
      </c>
      <c r="R2732">
        <f>'19_Расчет_аналитики'!R2403</f>
        <v/>
      </c>
      <c r="S2732">
        <f>'19_Расчет_аналитики'!S2403</f>
        <v/>
      </c>
      <c r="T2732">
        <f>'19_Расчет_аналитики'!T2403</f>
        <v/>
      </c>
      <c r="U2732">
        <f>'19_Расчет_аналитики'!U2403</f>
        <v/>
      </c>
      <c r="V2732">
        <f>'19_Расчет_аналитики'!V2403</f>
        <v/>
      </c>
      <c r="W2732">
        <f>'19_Расчет_аналитики'!W2403</f>
        <v/>
      </c>
      <c r="X2732">
        <f>'19_Расчет_аналитики'!X2403</f>
        <v/>
      </c>
      <c r="Y2732">
        <f>'19_Расчет_аналитики'!Y2403</f>
        <v/>
      </c>
      <c r="Z2732">
        <f>'19_Расчет_аналитики'!Z2403</f>
        <v/>
      </c>
      <c r="AA2732">
        <f>'19_Расчет_аналитики'!AA2403</f>
        <v/>
      </c>
      <c r="AB2732">
        <f>'19_Расчет_аналитики'!AB2403</f>
        <v/>
      </c>
      <c r="AC2732">
        <f>'19_Расчет_аналитики'!AC2403</f>
        <v/>
      </c>
      <c r="AD2732">
        <f>'19_Расчет_аналитики'!AD2403</f>
        <v/>
      </c>
      <c r="AE2732">
        <f>'19_Расчет_аналитики'!AE2403</f>
        <v/>
      </c>
      <c r="AF2732">
        <f>'19_Расчет_аналитики'!AF2403</f>
        <v/>
      </c>
      <c r="AG2732">
        <f>'19_Расчет_аналитики'!AG2403</f>
        <v/>
      </c>
      <c r="AH2732">
        <f>'19_Расчет_аналитики'!AH2403</f>
        <v/>
      </c>
      <c r="AI2732">
        <f>'19_Расчет_аналитики'!AI2403</f>
        <v/>
      </c>
      <c r="AJ2732">
        <f>'19_Расчет_аналитики'!AJ2403</f>
        <v/>
      </c>
      <c r="AK2732">
        <f>'19_Расчет_аналитики'!AK2403</f>
        <v/>
      </c>
      <c r="AL2732">
        <f>'19_Расчет_аналитики'!AL2403</f>
        <v/>
      </c>
      <c r="AM2732">
        <f>'19_Расчет_аналитики'!AM2403</f>
        <v/>
      </c>
      <c r="AN2732">
        <f>'19_Расчет_аналитики'!AN2403</f>
        <v/>
      </c>
      <c r="AO2732">
        <f>'19_Расчет_аналитики'!AO2403</f>
        <v/>
      </c>
      <c r="AP2732">
        <f>'19_Расчет_аналитики'!AP2403</f>
        <v/>
      </c>
      <c r="AQ2732">
        <f>'19_Расчет_аналитики'!AQ2403</f>
        <v/>
      </c>
      <c r="AR2732">
        <f>'19_Расчет_аналитики'!AR2403</f>
        <v/>
      </c>
      <c r="AS2732">
        <f>'19_Расчет_аналитики'!AS2403</f>
        <v/>
      </c>
      <c r="AT2732">
        <f>'19_Расчет_аналитики'!AT2403</f>
        <v/>
      </c>
      <c r="AU2732">
        <f>'19_Расчет_аналитики'!AU2403</f>
        <v/>
      </c>
      <c r="AV2732">
        <f>'19_Расчет_аналитики'!AV2403</f>
        <v/>
      </c>
      <c r="AW2732">
        <f>'19_Расчет_аналитики'!AW2403</f>
        <v/>
      </c>
      <c r="AX2732">
        <f>'19_Расчет_аналитики'!AX2403</f>
        <v/>
      </c>
      <c r="AY2732">
        <f>'19_Расчет_аналитики'!AY2403</f>
        <v/>
      </c>
      <c r="AZ2732">
        <f>'19_Расчет_аналитики'!AZ2403</f>
        <v/>
      </c>
      <c r="BA2732">
        <f>'19_Расчет_аналитики'!BA2403</f>
        <v/>
      </c>
      <c r="BB2732">
        <f>'19_Расчет_аналитики'!BB2403</f>
        <v/>
      </c>
      <c r="BC2732">
        <f>'19_Расчет_аналитики'!BC2403</f>
        <v/>
      </c>
      <c r="BD2732">
        <f>'19_Расчет_аналитики'!BD2403</f>
        <v/>
      </c>
      <c r="BE2732">
        <f>'19_Расчет_аналитики'!BE2403</f>
        <v/>
      </c>
      <c r="BF2732">
        <f>'19_Расчет_аналитики'!BF2403</f>
        <v/>
      </c>
      <c r="BG2732">
        <f>'19_Расчет_аналитики'!BG2403</f>
        <v/>
      </c>
      <c r="BH2732">
        <f>'19_Расчет_аналитики'!BH2403</f>
        <v/>
      </c>
      <c r="BI2732">
        <f>'19_Расчет_аналитики'!BI2403</f>
        <v/>
      </c>
    </row>
    <row r="2733">
      <c r="B2733">
        <f>'19_Расчет_аналитики'!B2404</f>
        <v/>
      </c>
      <c r="C2733">
        <f>'19_Расчет_аналитики'!C2404</f>
        <v/>
      </c>
      <c r="D2733">
        <f>'19_Расчет_аналитики'!D2404</f>
        <v/>
      </c>
      <c r="E2733">
        <f>'19_Расчет_аналитики'!E2404</f>
        <v/>
      </c>
      <c r="F2733">
        <f>'19_Расчет_аналитики'!F2404</f>
        <v/>
      </c>
      <c r="G2733">
        <f>'19_Расчет_аналитики'!G2404</f>
        <v/>
      </c>
      <c r="H2733">
        <f>'19_Расчет_аналитики'!H2404</f>
        <v/>
      </c>
      <c r="I2733">
        <f>'19_Расчет_аналитики'!I2404</f>
        <v/>
      </c>
      <c r="J2733">
        <f>'19_Расчет_аналитики'!J2404</f>
        <v/>
      </c>
      <c r="K2733">
        <f>'19_Расчет_аналитики'!K2404</f>
        <v/>
      </c>
      <c r="L2733">
        <f>'19_Расчет_аналитики'!L2404</f>
        <v/>
      </c>
      <c r="M2733">
        <f>'19_Расчет_аналитики'!M2404</f>
        <v/>
      </c>
      <c r="N2733">
        <f>'19_Расчет_аналитики'!N2404</f>
        <v/>
      </c>
      <c r="O2733">
        <f>'19_Расчет_аналитики'!O2404</f>
        <v/>
      </c>
      <c r="P2733">
        <f>'19_Расчет_аналитики'!P2404</f>
        <v/>
      </c>
      <c r="Q2733">
        <f>'19_Расчет_аналитики'!Q2404</f>
        <v/>
      </c>
      <c r="R2733">
        <f>'19_Расчет_аналитики'!R2404</f>
        <v/>
      </c>
      <c r="S2733">
        <f>'19_Расчет_аналитики'!S2404</f>
        <v/>
      </c>
      <c r="T2733">
        <f>'19_Расчет_аналитики'!T2404</f>
        <v/>
      </c>
      <c r="U2733">
        <f>'19_Расчет_аналитики'!U2404</f>
        <v/>
      </c>
      <c r="V2733">
        <f>'19_Расчет_аналитики'!V2404</f>
        <v/>
      </c>
      <c r="W2733">
        <f>'19_Расчет_аналитики'!W2404</f>
        <v/>
      </c>
      <c r="X2733">
        <f>'19_Расчет_аналитики'!X2404</f>
        <v/>
      </c>
      <c r="Y2733">
        <f>'19_Расчет_аналитики'!Y2404</f>
        <v/>
      </c>
      <c r="Z2733">
        <f>'19_Расчет_аналитики'!Z2404</f>
        <v/>
      </c>
      <c r="AA2733">
        <f>'19_Расчет_аналитики'!AA2404</f>
        <v/>
      </c>
      <c r="AB2733">
        <f>'19_Расчет_аналитики'!AB2404</f>
        <v/>
      </c>
      <c r="AC2733">
        <f>'19_Расчет_аналитики'!AC2404</f>
        <v/>
      </c>
      <c r="AD2733">
        <f>'19_Расчет_аналитики'!AD2404</f>
        <v/>
      </c>
      <c r="AE2733">
        <f>'19_Расчет_аналитики'!AE2404</f>
        <v/>
      </c>
      <c r="AF2733">
        <f>'19_Расчет_аналитики'!AF2404</f>
        <v/>
      </c>
      <c r="AG2733">
        <f>'19_Расчет_аналитики'!AG2404</f>
        <v/>
      </c>
      <c r="AH2733">
        <f>'19_Расчет_аналитики'!AH2404</f>
        <v/>
      </c>
      <c r="AI2733">
        <f>'19_Расчет_аналитики'!AI2404</f>
        <v/>
      </c>
      <c r="AJ2733">
        <f>'19_Расчет_аналитики'!AJ2404</f>
        <v/>
      </c>
      <c r="AK2733">
        <f>'19_Расчет_аналитики'!AK2404</f>
        <v/>
      </c>
      <c r="AL2733">
        <f>'19_Расчет_аналитики'!AL2404</f>
        <v/>
      </c>
      <c r="AM2733">
        <f>'19_Расчет_аналитики'!AM2404</f>
        <v/>
      </c>
      <c r="AN2733">
        <f>'19_Расчет_аналитики'!AN2404</f>
        <v/>
      </c>
      <c r="AO2733">
        <f>'19_Расчет_аналитики'!AO2404</f>
        <v/>
      </c>
      <c r="AP2733">
        <f>'19_Расчет_аналитики'!AP2404</f>
        <v/>
      </c>
      <c r="AQ2733">
        <f>'19_Расчет_аналитики'!AQ2404</f>
        <v/>
      </c>
      <c r="AR2733">
        <f>'19_Расчет_аналитики'!AR2404</f>
        <v/>
      </c>
      <c r="AS2733">
        <f>'19_Расчет_аналитики'!AS2404</f>
        <v/>
      </c>
      <c r="AT2733">
        <f>'19_Расчет_аналитики'!AT2404</f>
        <v/>
      </c>
      <c r="AU2733">
        <f>'19_Расчет_аналитики'!AU2404</f>
        <v/>
      </c>
      <c r="AV2733">
        <f>'19_Расчет_аналитики'!AV2404</f>
        <v/>
      </c>
      <c r="AW2733">
        <f>'19_Расчет_аналитики'!AW2404</f>
        <v/>
      </c>
      <c r="AX2733">
        <f>'19_Расчет_аналитики'!AX2404</f>
        <v/>
      </c>
      <c r="AY2733">
        <f>'19_Расчет_аналитики'!AY2404</f>
        <v/>
      </c>
      <c r="AZ2733">
        <f>'19_Расчет_аналитики'!AZ2404</f>
        <v/>
      </c>
      <c r="BA2733">
        <f>'19_Расчет_аналитики'!BA2404</f>
        <v/>
      </c>
      <c r="BB2733">
        <f>'19_Расчет_аналитики'!BB2404</f>
        <v/>
      </c>
      <c r="BC2733">
        <f>'19_Расчет_аналитики'!BC2404</f>
        <v/>
      </c>
      <c r="BD2733">
        <f>'19_Расчет_аналитики'!BD2404</f>
        <v/>
      </c>
      <c r="BE2733">
        <f>'19_Расчет_аналитики'!BE2404</f>
        <v/>
      </c>
      <c r="BF2733">
        <f>'19_Расчет_аналитики'!BF2404</f>
        <v/>
      </c>
      <c r="BG2733">
        <f>'19_Расчет_аналитики'!BG2404</f>
        <v/>
      </c>
      <c r="BH2733">
        <f>'19_Расчет_аналитики'!BH2404</f>
        <v/>
      </c>
      <c r="BI2733">
        <f>'19_Расчет_аналитики'!BI2404</f>
        <v/>
      </c>
    </row>
    <row r="2734"/>
    <row r="2735"/>
    <row r="2736">
      <c r="B2736">
        <f>'02_Модель'!B18</f>
        <v/>
      </c>
      <c r="C2736">
        <f>'19_Расчет_аналитики'!C2373</f>
        <v/>
      </c>
      <c r="D2736">
        <f>'19_Расчет_аналитики'!D2373</f>
        <v/>
      </c>
      <c r="E2736">
        <f>'19_Расчет_аналитики'!E2373</f>
        <v/>
      </c>
      <c r="F2736">
        <f>'19_Расчет_аналитики'!F2373</f>
        <v/>
      </c>
      <c r="G2736">
        <f>'19_Расчет_аналитики'!G2373</f>
        <v/>
      </c>
      <c r="H2736">
        <f>'19_Расчет_аналитики'!H2373</f>
        <v/>
      </c>
      <c r="I2736">
        <f>'19_Расчет_аналитики'!I2373</f>
        <v/>
      </c>
      <c r="J2736">
        <f>'19_Расчет_аналитики'!J2373</f>
        <v/>
      </c>
      <c r="K2736">
        <f>'19_Расчет_аналитики'!K2373</f>
        <v/>
      </c>
      <c r="L2736">
        <f>'19_Расчет_аналитики'!L2373</f>
        <v/>
      </c>
      <c r="M2736">
        <f>'19_Расчет_аналитики'!M2373</f>
        <v/>
      </c>
      <c r="N2736">
        <f>'19_Расчет_аналитики'!N2373</f>
        <v/>
      </c>
      <c r="O2736">
        <f>'19_Расчет_аналитики'!O2373</f>
        <v/>
      </c>
      <c r="P2736">
        <f>'19_Расчет_аналитики'!P2373</f>
        <v/>
      </c>
      <c r="Q2736">
        <f>'19_Расчет_аналитики'!Q2373</f>
        <v/>
      </c>
      <c r="R2736">
        <f>'19_Расчет_аналитики'!R2373</f>
        <v/>
      </c>
      <c r="S2736">
        <f>'19_Расчет_аналитики'!S2373</f>
        <v/>
      </c>
      <c r="T2736">
        <f>'19_Расчет_аналитики'!T2373</f>
        <v/>
      </c>
      <c r="U2736">
        <f>'19_Расчет_аналитики'!U2373</f>
        <v/>
      </c>
      <c r="V2736">
        <f>'19_Расчет_аналитики'!V2373</f>
        <v/>
      </c>
      <c r="W2736">
        <f>'19_Расчет_аналитики'!W2373</f>
        <v/>
      </c>
      <c r="X2736">
        <f>'19_Расчет_аналитики'!X2373</f>
        <v/>
      </c>
      <c r="Y2736">
        <f>'19_Расчет_аналитики'!Y2373</f>
        <v/>
      </c>
      <c r="Z2736">
        <f>'19_Расчет_аналитики'!Z2373</f>
        <v/>
      </c>
      <c r="AA2736">
        <f>'19_Расчет_аналитики'!AA2373</f>
        <v/>
      </c>
      <c r="AB2736">
        <f>'19_Расчет_аналитики'!AB2373</f>
        <v/>
      </c>
      <c r="AC2736">
        <f>'19_Расчет_аналитики'!AC2373</f>
        <v/>
      </c>
      <c r="AD2736">
        <f>'19_Расчет_аналитики'!AD2373</f>
        <v/>
      </c>
      <c r="AE2736">
        <f>'19_Расчет_аналитики'!AE2373</f>
        <v/>
      </c>
      <c r="AF2736">
        <f>'19_Расчет_аналитики'!AF2373</f>
        <v/>
      </c>
      <c r="AG2736">
        <f>'19_Расчет_аналитики'!AG2373</f>
        <v/>
      </c>
      <c r="AH2736">
        <f>'19_Расчет_аналитики'!AH2373</f>
        <v/>
      </c>
      <c r="AI2736">
        <f>'19_Расчет_аналитики'!AI2373</f>
        <v/>
      </c>
      <c r="AJ2736">
        <f>'19_Расчет_аналитики'!AJ2373</f>
        <v/>
      </c>
      <c r="AK2736">
        <f>'19_Расчет_аналитики'!AK2373</f>
        <v/>
      </c>
      <c r="AL2736">
        <f>'19_Расчет_аналитики'!AL2373</f>
        <v/>
      </c>
      <c r="AM2736">
        <f>'19_Расчет_аналитики'!AM2373</f>
        <v/>
      </c>
      <c r="AN2736">
        <f>'19_Расчет_аналитики'!AN2373</f>
        <v/>
      </c>
      <c r="AO2736">
        <f>'19_Расчет_аналитики'!AO2373</f>
        <v/>
      </c>
      <c r="AP2736">
        <f>'19_Расчет_аналитики'!AP2373</f>
        <v/>
      </c>
      <c r="AQ2736">
        <f>'19_Расчет_аналитики'!AQ2373</f>
        <v/>
      </c>
      <c r="AR2736">
        <f>'19_Расчет_аналитики'!AR2373</f>
        <v/>
      </c>
      <c r="AS2736">
        <f>'19_Расчет_аналитики'!AS2373</f>
        <v/>
      </c>
      <c r="AT2736">
        <f>'19_Расчет_аналитики'!AT2373</f>
        <v/>
      </c>
      <c r="AU2736">
        <f>'19_Расчет_аналитики'!AU2373</f>
        <v/>
      </c>
      <c r="AV2736">
        <f>'19_Расчет_аналитики'!AV2373</f>
        <v/>
      </c>
      <c r="AW2736">
        <f>'19_Расчет_аналитики'!AW2373</f>
        <v/>
      </c>
      <c r="AX2736">
        <f>'19_Расчет_аналитики'!AX2373</f>
        <v/>
      </c>
      <c r="AY2736">
        <f>'19_Расчет_аналитики'!AY2373</f>
        <v/>
      </c>
      <c r="AZ2736">
        <f>'19_Расчет_аналитики'!AZ2373</f>
        <v/>
      </c>
      <c r="BA2736">
        <f>'19_Расчет_аналитики'!BA2373</f>
        <v/>
      </c>
      <c r="BB2736">
        <f>'19_Расчет_аналитики'!BB2373</f>
        <v/>
      </c>
      <c r="BC2736">
        <f>'19_Расчет_аналитики'!BC2373</f>
        <v/>
      </c>
      <c r="BD2736">
        <f>'19_Расчет_аналитики'!BD2373</f>
        <v/>
      </c>
      <c r="BE2736">
        <f>'19_Расчет_аналитики'!BE2373</f>
        <v/>
      </c>
      <c r="BF2736">
        <f>'19_Расчет_аналитики'!BF2373</f>
        <v/>
      </c>
      <c r="BG2736">
        <f>'19_Расчет_аналитики'!BG2373</f>
        <v/>
      </c>
      <c r="BH2736">
        <f>'19_Расчет_аналитики'!BH2373</f>
        <v/>
      </c>
      <c r="BI2736">
        <f>'19_Расчет_аналитики'!BI2373</f>
        <v/>
      </c>
    </row>
    <row r="2737">
      <c r="B2737">
        <f>'19_Расчет_аналитики'!B2407/(1+'01_Вводные'!$B$58)</f>
        <v/>
      </c>
      <c r="C2737">
        <f>'19_Расчет_аналитики'!C2407/(1+'01_Вводные'!$B$58)</f>
        <v/>
      </c>
      <c r="D2737">
        <f>'19_Расчет_аналитики'!D2407/(1+'01_Вводные'!$B$58)</f>
        <v/>
      </c>
      <c r="E2737">
        <f>'19_Расчет_аналитики'!E2407/(1+'01_Вводные'!$B$58)</f>
        <v/>
      </c>
      <c r="F2737">
        <f>'19_Расчет_аналитики'!F2407/(1+'01_Вводные'!$B$58)</f>
        <v/>
      </c>
      <c r="G2737">
        <f>'19_Расчет_аналитики'!G2407/(1+'01_Вводные'!$B$58)</f>
        <v/>
      </c>
      <c r="H2737">
        <f>'19_Расчет_аналитики'!H2407/(1+'01_Вводные'!$B$58)</f>
        <v/>
      </c>
      <c r="I2737">
        <f>'19_Расчет_аналитики'!I2407/(1+'01_Вводные'!$B$58)</f>
        <v/>
      </c>
      <c r="J2737">
        <f>'19_Расчет_аналитики'!J2407/(1+'01_Вводные'!$B$58)</f>
        <v/>
      </c>
      <c r="K2737">
        <f>'19_Расчет_аналитики'!K2407/(1+'01_Вводные'!$B$58)</f>
        <v/>
      </c>
      <c r="L2737">
        <f>'19_Расчет_аналитики'!L2407/(1+'01_Вводные'!$B$58)</f>
        <v/>
      </c>
      <c r="M2737">
        <f>'19_Расчет_аналитики'!M2407/(1+'01_Вводные'!$B$58)</f>
        <v/>
      </c>
      <c r="N2737">
        <f>'19_Расчет_аналитики'!N2407/(1+'01_Вводные'!$B$58)</f>
        <v/>
      </c>
      <c r="O2737">
        <f>'19_Расчет_аналитики'!O2407/(1+'01_Вводные'!$B$58)</f>
        <v/>
      </c>
      <c r="P2737">
        <f>'19_Расчет_аналитики'!P2407/(1+'01_Вводные'!$B$58)</f>
        <v/>
      </c>
      <c r="Q2737">
        <f>'19_Расчет_аналитики'!Q2407/(1+'01_Вводные'!$B$58)</f>
        <v/>
      </c>
      <c r="R2737">
        <f>'19_Расчет_аналитики'!R2407/(1+'01_Вводные'!$B$58)</f>
        <v/>
      </c>
      <c r="S2737">
        <f>'19_Расчет_аналитики'!S2407/(1+'01_Вводные'!$B$58)</f>
        <v/>
      </c>
      <c r="T2737">
        <f>'19_Расчет_аналитики'!T2407/(1+'01_Вводные'!$B$58)</f>
        <v/>
      </c>
      <c r="U2737">
        <f>'19_Расчет_аналитики'!U2407/(1+'01_Вводные'!$B$58)</f>
        <v/>
      </c>
      <c r="V2737">
        <f>'19_Расчет_аналитики'!V2407/(1+'01_Вводные'!$B$58)</f>
        <v/>
      </c>
      <c r="W2737">
        <f>'19_Расчет_аналитики'!W2407/(1+'01_Вводные'!$B$58)</f>
        <v/>
      </c>
      <c r="X2737">
        <f>'19_Расчет_аналитики'!X2407/(1+'01_Вводные'!$B$58)</f>
        <v/>
      </c>
      <c r="Y2737">
        <f>'19_Расчет_аналитики'!Y2407/(1+'01_Вводные'!$B$58)</f>
        <v/>
      </c>
      <c r="Z2737">
        <f>'19_Расчет_аналитики'!Z2407/(1+'01_Вводные'!$B$58)</f>
        <v/>
      </c>
      <c r="AA2737">
        <f>'19_Расчет_аналитики'!AA2407/(1+'01_Вводные'!$B$58)</f>
        <v/>
      </c>
      <c r="AB2737">
        <f>'19_Расчет_аналитики'!AB2407/(1+'01_Вводные'!$B$58)</f>
        <v/>
      </c>
      <c r="AC2737">
        <f>'19_Расчет_аналитики'!AC2407/(1+'01_Вводные'!$B$58)</f>
        <v/>
      </c>
      <c r="AD2737">
        <f>'19_Расчет_аналитики'!AD2407/(1+'01_Вводные'!$B$58)</f>
        <v/>
      </c>
      <c r="AE2737">
        <f>'19_Расчет_аналитики'!AE2407/(1+'01_Вводные'!$B$58)</f>
        <v/>
      </c>
      <c r="AF2737">
        <f>'19_Расчет_аналитики'!AF2407/(1+'01_Вводные'!$B$58)</f>
        <v/>
      </c>
      <c r="AG2737">
        <f>'19_Расчет_аналитики'!AG2407/(1+'01_Вводные'!$B$58)</f>
        <v/>
      </c>
      <c r="AH2737">
        <f>'19_Расчет_аналитики'!AH2407/(1+'01_Вводные'!$B$58)</f>
        <v/>
      </c>
      <c r="AI2737">
        <f>'19_Расчет_аналитики'!AI2407/(1+'01_Вводные'!$B$58)</f>
        <v/>
      </c>
      <c r="AJ2737">
        <f>'19_Расчет_аналитики'!AJ2407/(1+'01_Вводные'!$B$58)</f>
        <v/>
      </c>
      <c r="AK2737">
        <f>'19_Расчет_аналитики'!AK2407/(1+'01_Вводные'!$B$58)</f>
        <v/>
      </c>
      <c r="AL2737">
        <f>'19_Расчет_аналитики'!AL2407/(1+'01_Вводные'!$B$58)</f>
        <v/>
      </c>
      <c r="AM2737">
        <f>'19_Расчет_аналитики'!AM2407/(1+'01_Вводные'!$B$58)</f>
        <v/>
      </c>
      <c r="AN2737">
        <f>'19_Расчет_аналитики'!AN2407/(1+'01_Вводные'!$B$58)</f>
        <v/>
      </c>
      <c r="AO2737">
        <f>'19_Расчет_аналитики'!AO2407/(1+'01_Вводные'!$B$58)</f>
        <v/>
      </c>
      <c r="AP2737">
        <f>'19_Расчет_аналитики'!AP2407/(1+'01_Вводные'!$B$58)</f>
        <v/>
      </c>
      <c r="AQ2737">
        <f>'19_Расчет_аналитики'!AQ2407/(1+'01_Вводные'!$B$58)</f>
        <v/>
      </c>
      <c r="AR2737">
        <f>'19_Расчет_аналитики'!AR2407/(1+'01_Вводные'!$B$58)</f>
        <v/>
      </c>
      <c r="AS2737">
        <f>'19_Расчет_аналитики'!AS2407/(1+'01_Вводные'!$B$58)</f>
        <v/>
      </c>
      <c r="AT2737">
        <f>'19_Расчет_аналитики'!AT2407/(1+'01_Вводные'!$B$58)</f>
        <v/>
      </c>
      <c r="AU2737">
        <f>'19_Расчет_аналитики'!AU2407/(1+'01_Вводные'!$B$58)</f>
        <v/>
      </c>
      <c r="AV2737">
        <f>'19_Расчет_аналитики'!AV2407/(1+'01_Вводные'!$B$58)</f>
        <v/>
      </c>
      <c r="AW2737">
        <f>'19_Расчет_аналитики'!AW2407/(1+'01_Вводные'!$B$58)</f>
        <v/>
      </c>
      <c r="AX2737">
        <f>'19_Расчет_аналитики'!AX2407/(1+'01_Вводные'!$B$58)</f>
        <v/>
      </c>
      <c r="AY2737">
        <f>'19_Расчет_аналитики'!AY2407/(1+'01_Вводные'!$B$58)</f>
        <v/>
      </c>
      <c r="AZ2737">
        <f>'19_Расчет_аналитики'!AZ2407/(1+'01_Вводные'!$B$58)</f>
        <v/>
      </c>
      <c r="BA2737">
        <f>'19_Расчет_аналитики'!BA2407/(1+'01_Вводные'!$B$58)</f>
        <v/>
      </c>
      <c r="BB2737">
        <f>'19_Расчет_аналитики'!BB2407/(1+'01_Вводные'!$B$58)</f>
        <v/>
      </c>
      <c r="BC2737">
        <f>'19_Расчет_аналитики'!BC2407/(1+'01_Вводные'!$B$58)</f>
        <v/>
      </c>
      <c r="BD2737">
        <f>'19_Расчет_аналитики'!BD2407/(1+'01_Вводные'!$B$58)</f>
        <v/>
      </c>
      <c r="BE2737">
        <f>'19_Расчет_аналитики'!BE2407/(1+'01_Вводные'!$B$58)</f>
        <v/>
      </c>
      <c r="BF2737">
        <f>'19_Расчет_аналитики'!BF2407/(1+'01_Вводные'!$B$58)</f>
        <v/>
      </c>
      <c r="BG2737">
        <f>'19_Расчет_аналитики'!BG2407/(1+'01_Вводные'!$B$58)</f>
        <v/>
      </c>
      <c r="BH2737">
        <f>'19_Расчет_аналитики'!BH2407/(1+'01_Вводные'!$B$58)</f>
        <v/>
      </c>
      <c r="BI2737">
        <f>'19_Расчет_аналитики'!BI2407/(1+'01_Вводные'!$B$58)</f>
        <v/>
      </c>
    </row>
    <row r="2738">
      <c r="B2738">
        <f>'19_Расчет_аналитики'!B2408/(1+'01_Вводные'!$B$58)</f>
        <v/>
      </c>
      <c r="C2738">
        <f>'19_Расчет_аналитики'!C2408/(1+'01_Вводные'!$B$58)</f>
        <v/>
      </c>
      <c r="D2738">
        <f>'19_Расчет_аналитики'!D2408/(1+'01_Вводные'!$B$58)</f>
        <v/>
      </c>
      <c r="E2738">
        <f>'19_Расчет_аналитики'!E2408/(1+'01_Вводные'!$B$58)</f>
        <v/>
      </c>
      <c r="F2738">
        <f>'19_Расчет_аналитики'!F2408/(1+'01_Вводные'!$B$58)</f>
        <v/>
      </c>
      <c r="G2738">
        <f>'19_Расчет_аналитики'!G2408/(1+'01_Вводные'!$B$58)</f>
        <v/>
      </c>
      <c r="H2738">
        <f>'19_Расчет_аналитики'!H2408/(1+'01_Вводные'!$B$58)</f>
        <v/>
      </c>
      <c r="I2738">
        <f>'19_Расчет_аналитики'!I2408/(1+'01_Вводные'!$B$58)</f>
        <v/>
      </c>
      <c r="J2738">
        <f>'19_Расчет_аналитики'!J2408/(1+'01_Вводные'!$B$58)</f>
        <v/>
      </c>
      <c r="K2738">
        <f>'19_Расчет_аналитики'!K2408/(1+'01_Вводные'!$B$58)</f>
        <v/>
      </c>
      <c r="L2738">
        <f>'19_Расчет_аналитики'!L2408/(1+'01_Вводные'!$B$58)</f>
        <v/>
      </c>
      <c r="M2738">
        <f>'19_Расчет_аналитики'!M2408/(1+'01_Вводные'!$B$58)</f>
        <v/>
      </c>
      <c r="N2738">
        <f>'19_Расчет_аналитики'!N2408/(1+'01_Вводные'!$B$58)</f>
        <v/>
      </c>
      <c r="O2738">
        <f>'19_Расчет_аналитики'!O2408/(1+'01_Вводные'!$B$58)</f>
        <v/>
      </c>
      <c r="P2738">
        <f>'19_Расчет_аналитики'!P2408/(1+'01_Вводные'!$B$58)</f>
        <v/>
      </c>
      <c r="Q2738">
        <f>'19_Расчет_аналитики'!Q2408/(1+'01_Вводные'!$B$58)</f>
        <v/>
      </c>
      <c r="R2738">
        <f>'19_Расчет_аналитики'!R2408/(1+'01_Вводные'!$B$58)</f>
        <v/>
      </c>
      <c r="S2738">
        <f>'19_Расчет_аналитики'!S2408/(1+'01_Вводные'!$B$58)</f>
        <v/>
      </c>
      <c r="T2738">
        <f>'19_Расчет_аналитики'!T2408/(1+'01_Вводные'!$B$58)</f>
        <v/>
      </c>
      <c r="U2738">
        <f>'19_Расчет_аналитики'!U2408/(1+'01_Вводные'!$B$58)</f>
        <v/>
      </c>
      <c r="V2738">
        <f>'19_Расчет_аналитики'!V2408/(1+'01_Вводные'!$B$58)</f>
        <v/>
      </c>
      <c r="W2738">
        <f>'19_Расчет_аналитики'!W2408/(1+'01_Вводные'!$B$58)</f>
        <v/>
      </c>
      <c r="X2738">
        <f>'19_Расчет_аналитики'!X2408/(1+'01_Вводные'!$B$58)</f>
        <v/>
      </c>
      <c r="Y2738">
        <f>'19_Расчет_аналитики'!Y2408/(1+'01_Вводные'!$B$58)</f>
        <v/>
      </c>
      <c r="Z2738">
        <f>'19_Расчет_аналитики'!Z2408/(1+'01_Вводные'!$B$58)</f>
        <v/>
      </c>
      <c r="AA2738">
        <f>'19_Расчет_аналитики'!AA2408/(1+'01_Вводные'!$B$58)</f>
        <v/>
      </c>
      <c r="AB2738">
        <f>'19_Расчет_аналитики'!AB2408/(1+'01_Вводные'!$B$58)</f>
        <v/>
      </c>
      <c r="AC2738">
        <f>'19_Расчет_аналитики'!AC2408/(1+'01_Вводные'!$B$58)</f>
        <v/>
      </c>
      <c r="AD2738">
        <f>'19_Расчет_аналитики'!AD2408/(1+'01_Вводные'!$B$58)</f>
        <v/>
      </c>
      <c r="AE2738">
        <f>'19_Расчет_аналитики'!AE2408/(1+'01_Вводные'!$B$58)</f>
        <v/>
      </c>
      <c r="AF2738">
        <f>'19_Расчет_аналитики'!AF2408/(1+'01_Вводные'!$B$58)</f>
        <v/>
      </c>
      <c r="AG2738">
        <f>'19_Расчет_аналитики'!AG2408/(1+'01_Вводные'!$B$58)</f>
        <v/>
      </c>
      <c r="AH2738">
        <f>'19_Расчет_аналитики'!AH2408/(1+'01_Вводные'!$B$58)</f>
        <v/>
      </c>
      <c r="AI2738">
        <f>'19_Расчет_аналитики'!AI2408/(1+'01_Вводные'!$B$58)</f>
        <v/>
      </c>
      <c r="AJ2738">
        <f>'19_Расчет_аналитики'!AJ2408/(1+'01_Вводные'!$B$58)</f>
        <v/>
      </c>
      <c r="AK2738">
        <f>'19_Расчет_аналитики'!AK2408/(1+'01_Вводные'!$B$58)</f>
        <v/>
      </c>
      <c r="AL2738">
        <f>'19_Расчет_аналитики'!AL2408/(1+'01_Вводные'!$B$58)</f>
        <v/>
      </c>
      <c r="AM2738">
        <f>'19_Расчет_аналитики'!AM2408/(1+'01_Вводные'!$B$58)</f>
        <v/>
      </c>
      <c r="AN2738">
        <f>'19_Расчет_аналитики'!AN2408/(1+'01_Вводные'!$B$58)</f>
        <v/>
      </c>
      <c r="AO2738">
        <f>'19_Расчет_аналитики'!AO2408/(1+'01_Вводные'!$B$58)</f>
        <v/>
      </c>
      <c r="AP2738">
        <f>'19_Расчет_аналитики'!AP2408/(1+'01_Вводные'!$B$58)</f>
        <v/>
      </c>
      <c r="AQ2738">
        <f>'19_Расчет_аналитики'!AQ2408/(1+'01_Вводные'!$B$58)</f>
        <v/>
      </c>
      <c r="AR2738">
        <f>'19_Расчет_аналитики'!AR2408/(1+'01_Вводные'!$B$58)</f>
        <v/>
      </c>
      <c r="AS2738">
        <f>'19_Расчет_аналитики'!AS2408/(1+'01_Вводные'!$B$58)</f>
        <v/>
      </c>
      <c r="AT2738">
        <f>'19_Расчет_аналитики'!AT2408/(1+'01_Вводные'!$B$58)</f>
        <v/>
      </c>
      <c r="AU2738">
        <f>'19_Расчет_аналитики'!AU2408/(1+'01_Вводные'!$B$58)</f>
        <v/>
      </c>
      <c r="AV2738">
        <f>'19_Расчет_аналитики'!AV2408/(1+'01_Вводные'!$B$58)</f>
        <v/>
      </c>
      <c r="AW2738">
        <f>'19_Расчет_аналитики'!AW2408/(1+'01_Вводные'!$B$58)</f>
        <v/>
      </c>
      <c r="AX2738">
        <f>'19_Расчет_аналитики'!AX2408/(1+'01_Вводные'!$B$58)</f>
        <v/>
      </c>
      <c r="AY2738">
        <f>'19_Расчет_аналитики'!AY2408/(1+'01_Вводные'!$B$58)</f>
        <v/>
      </c>
      <c r="AZ2738">
        <f>'19_Расчет_аналитики'!AZ2408/(1+'01_Вводные'!$B$58)</f>
        <v/>
      </c>
      <c r="BA2738">
        <f>'19_Расчет_аналитики'!BA2408/(1+'01_Вводные'!$B$58)</f>
        <v/>
      </c>
      <c r="BB2738">
        <f>'19_Расчет_аналитики'!BB2408/(1+'01_Вводные'!$B$58)</f>
        <v/>
      </c>
      <c r="BC2738">
        <f>'19_Расчет_аналитики'!BC2408/(1+'01_Вводные'!$B$58)</f>
        <v/>
      </c>
      <c r="BD2738">
        <f>'19_Расчет_аналитики'!BD2408/(1+'01_Вводные'!$B$58)</f>
        <v/>
      </c>
      <c r="BE2738">
        <f>'19_Расчет_аналитики'!BE2408/(1+'01_Вводные'!$B$58)</f>
        <v/>
      </c>
      <c r="BF2738">
        <f>'19_Расчет_аналитики'!BF2408/(1+'01_Вводные'!$B$58)</f>
        <v/>
      </c>
      <c r="BG2738">
        <f>'19_Расчет_аналитики'!BG2408/(1+'01_Вводные'!$B$58)</f>
        <v/>
      </c>
      <c r="BH2738">
        <f>'19_Расчет_аналитики'!BH2408/(1+'01_Вводные'!$B$58)</f>
        <v/>
      </c>
      <c r="BI2738">
        <f>'19_Расчет_аналитики'!BI2408/(1+'01_Вводные'!$B$58)</f>
        <v/>
      </c>
    </row>
    <row r="2739">
      <c r="B2739">
        <f>'19_Расчет_аналитики'!B2640</f>
        <v/>
      </c>
      <c r="C2739">
        <f>'19_Расчет_аналитики'!C2640</f>
        <v/>
      </c>
      <c r="D2739">
        <f>'19_Расчет_аналитики'!D2640</f>
        <v/>
      </c>
      <c r="E2739">
        <f>'19_Расчет_аналитики'!E2640</f>
        <v/>
      </c>
      <c r="F2739">
        <f>'19_Расчет_аналитики'!F2640</f>
        <v/>
      </c>
      <c r="G2739">
        <f>'19_Расчет_аналитики'!G2640</f>
        <v/>
      </c>
      <c r="H2739">
        <f>'19_Расчет_аналитики'!H2640</f>
        <v/>
      </c>
      <c r="I2739">
        <f>'19_Расчет_аналитики'!I2640</f>
        <v/>
      </c>
      <c r="J2739">
        <f>'19_Расчет_аналитики'!J2640</f>
        <v/>
      </c>
      <c r="K2739">
        <f>'19_Расчет_аналитики'!K2640</f>
        <v/>
      </c>
      <c r="L2739">
        <f>'19_Расчет_аналитики'!L2640</f>
        <v/>
      </c>
      <c r="M2739">
        <f>'19_Расчет_аналитики'!M2640</f>
        <v/>
      </c>
      <c r="N2739">
        <f>'19_Расчет_аналитики'!N2640</f>
        <v/>
      </c>
      <c r="O2739">
        <f>'19_Расчет_аналитики'!O2640</f>
        <v/>
      </c>
      <c r="P2739">
        <f>'19_Расчет_аналитики'!P2640</f>
        <v/>
      </c>
      <c r="Q2739">
        <f>'19_Расчет_аналитики'!Q2640</f>
        <v/>
      </c>
      <c r="R2739">
        <f>'19_Расчет_аналитики'!R2640</f>
        <v/>
      </c>
      <c r="S2739">
        <f>'19_Расчет_аналитики'!S2640</f>
        <v/>
      </c>
      <c r="T2739">
        <f>'19_Расчет_аналитики'!T2640</f>
        <v/>
      </c>
      <c r="U2739">
        <f>'19_Расчет_аналитики'!U2640</f>
        <v/>
      </c>
      <c r="V2739">
        <f>'19_Расчет_аналитики'!V2640</f>
        <v/>
      </c>
      <c r="W2739">
        <f>'19_Расчет_аналитики'!W2640</f>
        <v/>
      </c>
      <c r="X2739">
        <f>'19_Расчет_аналитики'!X2640</f>
        <v/>
      </c>
      <c r="Y2739">
        <f>'19_Расчет_аналитики'!Y2640</f>
        <v/>
      </c>
      <c r="Z2739">
        <f>'19_Расчет_аналитики'!Z2640</f>
        <v/>
      </c>
      <c r="AA2739">
        <f>'19_Расчет_аналитики'!AA2640</f>
        <v/>
      </c>
      <c r="AB2739">
        <f>'19_Расчет_аналитики'!AB2640</f>
        <v/>
      </c>
      <c r="AC2739">
        <f>'19_Расчет_аналитики'!AC2640</f>
        <v/>
      </c>
      <c r="AD2739">
        <f>'19_Расчет_аналитики'!AD2640</f>
        <v/>
      </c>
      <c r="AE2739">
        <f>'19_Расчет_аналитики'!AE2640</f>
        <v/>
      </c>
      <c r="AF2739">
        <f>'19_Расчет_аналитики'!AF2640</f>
        <v/>
      </c>
      <c r="AG2739">
        <f>'19_Расчет_аналитики'!AG2640</f>
        <v/>
      </c>
      <c r="AH2739">
        <f>'19_Расчет_аналитики'!AH2640</f>
        <v/>
      </c>
      <c r="AI2739">
        <f>'19_Расчет_аналитики'!AI2640</f>
        <v/>
      </c>
      <c r="AJ2739">
        <f>'19_Расчет_аналитики'!AJ2640</f>
        <v/>
      </c>
      <c r="AK2739">
        <f>'19_Расчет_аналитики'!AK2640</f>
        <v/>
      </c>
      <c r="AL2739">
        <f>'19_Расчет_аналитики'!AL2640</f>
        <v/>
      </c>
      <c r="AM2739">
        <f>'19_Расчет_аналитики'!AM2640</f>
        <v/>
      </c>
      <c r="AN2739">
        <f>'19_Расчет_аналитики'!AN2640</f>
        <v/>
      </c>
      <c r="AO2739">
        <f>'19_Расчет_аналитики'!AO2640</f>
        <v/>
      </c>
      <c r="AP2739">
        <f>'19_Расчет_аналитики'!AP2640</f>
        <v/>
      </c>
      <c r="AQ2739">
        <f>'19_Расчет_аналитики'!AQ2640</f>
        <v/>
      </c>
      <c r="AR2739">
        <f>'19_Расчет_аналитики'!AR2640</f>
        <v/>
      </c>
      <c r="AS2739">
        <f>'19_Расчет_аналитики'!AS2640</f>
        <v/>
      </c>
      <c r="AT2739">
        <f>'19_Расчет_аналитики'!AT2640</f>
        <v/>
      </c>
      <c r="AU2739">
        <f>'19_Расчет_аналитики'!AU2640</f>
        <v/>
      </c>
      <c r="AV2739">
        <f>'19_Расчет_аналитики'!AV2640</f>
        <v/>
      </c>
      <c r="AW2739">
        <f>'19_Расчет_аналитики'!AW2640</f>
        <v/>
      </c>
      <c r="AX2739">
        <f>'19_Расчет_аналитики'!AX2640</f>
        <v/>
      </c>
      <c r="AY2739">
        <f>'19_Расчет_аналитики'!AY2640</f>
        <v/>
      </c>
      <c r="AZ2739">
        <f>'19_Расчет_аналитики'!AZ2640</f>
        <v/>
      </c>
      <c r="BA2739">
        <f>'19_Расчет_аналитики'!BA2640</f>
        <v/>
      </c>
      <c r="BB2739">
        <f>'19_Расчет_аналитики'!BB2640</f>
        <v/>
      </c>
      <c r="BC2739">
        <f>'19_Расчет_аналитики'!BC2640</f>
        <v/>
      </c>
      <c r="BD2739">
        <f>'19_Расчет_аналитики'!BD2640</f>
        <v/>
      </c>
      <c r="BE2739">
        <f>'19_Расчет_аналитики'!BE2640</f>
        <v/>
      </c>
      <c r="BF2739">
        <f>'19_Расчет_аналитики'!BF2640</f>
        <v/>
      </c>
      <c r="BG2739">
        <f>'19_Расчет_аналитики'!BG2640</f>
        <v/>
      </c>
      <c r="BH2739">
        <f>'19_Расчет_аналитики'!BH2640</f>
        <v/>
      </c>
      <c r="BI2739">
        <f>'19_Расчет_аналитики'!BI2640</f>
        <v/>
      </c>
    </row>
    <row r="2740">
      <c r="B2740">
        <f>'02_Модель'!B22</f>
        <v/>
      </c>
      <c r="C2740">
        <f>'02_Модель'!C22</f>
        <v/>
      </c>
      <c r="D2740">
        <f>'02_Модель'!D22</f>
        <v/>
      </c>
      <c r="E2740">
        <f>'02_Модель'!E22</f>
        <v/>
      </c>
      <c r="F2740">
        <f>'02_Модель'!F22</f>
        <v/>
      </c>
      <c r="G2740">
        <f>'02_Модель'!G22</f>
        <v/>
      </c>
      <c r="H2740">
        <f>'02_Модель'!H22</f>
        <v/>
      </c>
      <c r="I2740">
        <f>'02_Модель'!I22</f>
        <v/>
      </c>
      <c r="J2740">
        <f>'02_Модель'!J22</f>
        <v/>
      </c>
      <c r="K2740">
        <f>'02_Модель'!K22</f>
        <v/>
      </c>
      <c r="L2740">
        <f>'02_Модель'!L22</f>
        <v/>
      </c>
      <c r="M2740">
        <f>'02_Модель'!M22</f>
        <v/>
      </c>
      <c r="N2740">
        <f>'02_Модель'!N22</f>
        <v/>
      </c>
      <c r="O2740">
        <f>'02_Модель'!O22</f>
        <v/>
      </c>
      <c r="P2740">
        <f>'02_Модель'!P22</f>
        <v/>
      </c>
      <c r="Q2740">
        <f>'02_Модель'!Q22</f>
        <v/>
      </c>
      <c r="R2740">
        <f>'02_Модель'!R22</f>
        <v/>
      </c>
      <c r="S2740">
        <f>'02_Модель'!S22</f>
        <v/>
      </c>
      <c r="T2740">
        <f>'02_Модель'!T22</f>
        <v/>
      </c>
      <c r="U2740">
        <f>'02_Модель'!U22</f>
        <v/>
      </c>
      <c r="V2740">
        <f>'02_Модель'!V22</f>
        <v/>
      </c>
      <c r="W2740">
        <f>'02_Модель'!W22</f>
        <v/>
      </c>
      <c r="X2740">
        <f>'02_Модель'!X22</f>
        <v/>
      </c>
      <c r="Y2740">
        <f>'02_Модель'!Y22</f>
        <v/>
      </c>
      <c r="Z2740">
        <f>'02_Модель'!Z22</f>
        <v/>
      </c>
      <c r="AA2740">
        <f>'02_Модель'!AA22</f>
        <v/>
      </c>
      <c r="AB2740">
        <f>'02_Модель'!AB22</f>
        <v/>
      </c>
      <c r="AC2740">
        <f>'02_Модель'!AC22</f>
        <v/>
      </c>
      <c r="AD2740">
        <f>'02_Модель'!AD22</f>
        <v/>
      </c>
      <c r="AE2740">
        <f>'02_Модель'!AE22</f>
        <v/>
      </c>
      <c r="AF2740">
        <f>'02_Модель'!AF22</f>
        <v/>
      </c>
      <c r="AG2740">
        <f>'02_Модель'!AG22</f>
        <v/>
      </c>
      <c r="AH2740">
        <f>'02_Модель'!AH22</f>
        <v/>
      </c>
      <c r="AI2740">
        <f>'02_Модель'!AI22</f>
        <v/>
      </c>
      <c r="AJ2740">
        <f>'02_Модель'!AJ22</f>
        <v/>
      </c>
      <c r="AK2740">
        <f>'02_Модель'!AK22</f>
        <v/>
      </c>
      <c r="AL2740">
        <f>'02_Модель'!AL22</f>
        <v/>
      </c>
      <c r="AM2740">
        <f>'02_Модель'!AM22</f>
        <v/>
      </c>
      <c r="AN2740">
        <f>'02_Модель'!AN22</f>
        <v/>
      </c>
      <c r="AO2740">
        <f>'02_Модель'!AO22</f>
        <v/>
      </c>
      <c r="AP2740">
        <f>'02_Модель'!AP22</f>
        <v/>
      </c>
      <c r="AQ2740">
        <f>'02_Модель'!AQ22</f>
        <v/>
      </c>
      <c r="AR2740">
        <f>'02_Модель'!AR22</f>
        <v/>
      </c>
      <c r="AS2740">
        <f>'02_Модель'!AS22</f>
        <v/>
      </c>
      <c r="AT2740">
        <f>'02_Модель'!AT22</f>
        <v/>
      </c>
      <c r="AU2740">
        <f>'02_Модель'!AU22</f>
        <v/>
      </c>
      <c r="AV2740">
        <f>'02_Модель'!AV22</f>
        <v/>
      </c>
      <c r="AW2740">
        <f>'02_Модель'!AW22</f>
        <v/>
      </c>
      <c r="AX2740">
        <f>'02_Модель'!AX22</f>
        <v/>
      </c>
      <c r="AY2740">
        <f>'02_Модель'!AY22</f>
        <v/>
      </c>
      <c r="AZ2740">
        <f>'02_Модель'!AZ22</f>
        <v/>
      </c>
      <c r="BA2740">
        <f>'02_Модель'!BA22</f>
        <v/>
      </c>
      <c r="BB2740">
        <f>'02_Модель'!BB22</f>
        <v/>
      </c>
      <c r="BC2740">
        <f>'02_Модель'!BC22</f>
        <v/>
      </c>
      <c r="BD2740">
        <f>'02_Модель'!BD22</f>
        <v/>
      </c>
      <c r="BE2740">
        <f>'02_Модель'!BE22</f>
        <v/>
      </c>
      <c r="BF2740">
        <f>'02_Модель'!BF22</f>
        <v/>
      </c>
      <c r="BG2740">
        <f>'02_Модель'!BG22</f>
        <v/>
      </c>
      <c r="BH2740">
        <f>'02_Модель'!BH22</f>
        <v/>
      </c>
      <c r="BI2740">
        <f>'02_Модель'!BI22</f>
        <v/>
      </c>
    </row>
    <row r="2741">
      <c r="B2741">
        <f>SUM('19_Расчет_аналитики'!B2736:B2740)</f>
        <v/>
      </c>
      <c r="C2741">
        <f>SUM('19_Расчет_аналитики'!C2736:C2740)</f>
        <v/>
      </c>
      <c r="D2741">
        <f>SUM('19_Расчет_аналитики'!D2736:D2740)</f>
        <v/>
      </c>
      <c r="E2741">
        <f>SUM('19_Расчет_аналитики'!E2736:E2740)</f>
        <v/>
      </c>
      <c r="F2741">
        <f>SUM('19_Расчет_аналитики'!F2736:F2740)</f>
        <v/>
      </c>
      <c r="G2741">
        <f>SUM('19_Расчет_аналитики'!G2736:G2740)</f>
        <v/>
      </c>
      <c r="H2741">
        <f>SUM('19_Расчет_аналитики'!H2736:H2740)</f>
        <v/>
      </c>
      <c r="I2741">
        <f>SUM('19_Расчет_аналитики'!I2736:I2740)</f>
        <v/>
      </c>
      <c r="J2741">
        <f>SUM('19_Расчет_аналитики'!J2736:J2740)</f>
        <v/>
      </c>
      <c r="K2741">
        <f>SUM('19_Расчет_аналитики'!K2736:K2740)</f>
        <v/>
      </c>
      <c r="L2741">
        <f>SUM('19_Расчет_аналитики'!L2736:L2740)</f>
        <v/>
      </c>
      <c r="M2741">
        <f>SUM('19_Расчет_аналитики'!M2736:M2740)</f>
        <v/>
      </c>
      <c r="N2741">
        <f>SUM('19_Расчет_аналитики'!N2736:N2740)</f>
        <v/>
      </c>
      <c r="O2741">
        <f>SUM('19_Расчет_аналитики'!O2736:O2740)</f>
        <v/>
      </c>
      <c r="P2741">
        <f>SUM('19_Расчет_аналитики'!P2736:P2740)</f>
        <v/>
      </c>
      <c r="Q2741">
        <f>SUM('19_Расчет_аналитики'!Q2736:Q2740)</f>
        <v/>
      </c>
      <c r="R2741">
        <f>SUM('19_Расчет_аналитики'!R2736:R2740)</f>
        <v/>
      </c>
      <c r="S2741">
        <f>SUM('19_Расчет_аналитики'!S2736:S2740)</f>
        <v/>
      </c>
      <c r="T2741">
        <f>SUM('19_Расчет_аналитики'!T2736:T2740)</f>
        <v/>
      </c>
      <c r="U2741">
        <f>SUM('19_Расчет_аналитики'!U2736:U2740)</f>
        <v/>
      </c>
      <c r="V2741">
        <f>SUM('19_Расчет_аналитики'!V2736:V2740)</f>
        <v/>
      </c>
      <c r="W2741">
        <f>SUM('19_Расчет_аналитики'!W2736:W2740)</f>
        <v/>
      </c>
      <c r="X2741">
        <f>SUM('19_Расчет_аналитики'!X2736:X2740)</f>
        <v/>
      </c>
      <c r="Y2741">
        <f>SUM('19_Расчет_аналитики'!Y2736:Y2740)</f>
        <v/>
      </c>
      <c r="Z2741">
        <f>SUM('19_Расчет_аналитики'!Z2736:Z2740)</f>
        <v/>
      </c>
      <c r="AA2741">
        <f>SUM('19_Расчет_аналитики'!AA2736:AA2740)</f>
        <v/>
      </c>
      <c r="AB2741">
        <f>SUM('19_Расчет_аналитики'!AB2736:AB2740)</f>
        <v/>
      </c>
      <c r="AC2741">
        <f>SUM('19_Расчет_аналитики'!AC2736:AC2740)</f>
        <v/>
      </c>
      <c r="AD2741">
        <f>SUM('19_Расчет_аналитики'!AD2736:AD2740)</f>
        <v/>
      </c>
      <c r="AE2741">
        <f>SUM('19_Расчет_аналитики'!AE2736:AE2740)</f>
        <v/>
      </c>
      <c r="AF2741">
        <f>SUM('19_Расчет_аналитики'!AF2736:AF2740)</f>
        <v/>
      </c>
      <c r="AG2741">
        <f>SUM('19_Расчет_аналитики'!AG2736:AG2740)</f>
        <v/>
      </c>
      <c r="AH2741">
        <f>SUM('19_Расчет_аналитики'!AH2736:AH2740)</f>
        <v/>
      </c>
      <c r="AI2741">
        <f>SUM('19_Расчет_аналитики'!AI2736:AI2740)</f>
        <v/>
      </c>
      <c r="AJ2741">
        <f>SUM('19_Расчет_аналитики'!AJ2736:AJ2740)</f>
        <v/>
      </c>
      <c r="AK2741">
        <f>SUM('19_Расчет_аналитики'!AK2736:AK2740)</f>
        <v/>
      </c>
      <c r="AL2741">
        <f>SUM('19_Расчет_аналитики'!AL2736:AL2740)</f>
        <v/>
      </c>
      <c r="AM2741">
        <f>SUM('19_Расчет_аналитики'!AM2736:AM2740)</f>
        <v/>
      </c>
      <c r="AN2741">
        <f>SUM('19_Расчет_аналитики'!AN2736:AN2740)</f>
        <v/>
      </c>
      <c r="AO2741">
        <f>SUM('19_Расчет_аналитики'!AO2736:AO2740)</f>
        <v/>
      </c>
      <c r="AP2741">
        <f>SUM('19_Расчет_аналитики'!AP2736:AP2740)</f>
        <v/>
      </c>
      <c r="AQ2741">
        <f>SUM('19_Расчет_аналитики'!AQ2736:AQ2740)</f>
        <v/>
      </c>
      <c r="AR2741">
        <f>SUM('19_Расчет_аналитики'!AR2736:AR2740)</f>
        <v/>
      </c>
      <c r="AS2741">
        <f>SUM('19_Расчет_аналитики'!AS2736:AS2740)</f>
        <v/>
      </c>
      <c r="AT2741">
        <f>SUM('19_Расчет_аналитики'!AT2736:AT2740)</f>
        <v/>
      </c>
      <c r="AU2741">
        <f>SUM('19_Расчет_аналитики'!AU2736:AU2740)</f>
        <v/>
      </c>
      <c r="AV2741">
        <f>SUM('19_Расчет_аналитики'!AV2736:AV2740)</f>
        <v/>
      </c>
      <c r="AW2741">
        <f>SUM('19_Расчет_аналитики'!AW2736:AW2740)</f>
        <v/>
      </c>
      <c r="AX2741">
        <f>SUM('19_Расчет_аналитики'!AX2736:AX2740)</f>
        <v/>
      </c>
      <c r="AY2741">
        <f>SUM('19_Расчет_аналитики'!AY2736:AY2740)</f>
        <v/>
      </c>
      <c r="AZ2741">
        <f>SUM('19_Расчет_аналитики'!AZ2736:AZ2740)</f>
        <v/>
      </c>
      <c r="BA2741">
        <f>SUM('19_Расчет_аналитики'!BA2736:BA2740)</f>
        <v/>
      </c>
      <c r="BB2741">
        <f>SUM('19_Расчет_аналитики'!BB2736:BB2740)</f>
        <v/>
      </c>
      <c r="BC2741">
        <f>SUM('19_Расчет_аналитики'!BC2736:BC2740)</f>
        <v/>
      </c>
      <c r="BD2741">
        <f>SUM('19_Расчет_аналитики'!BD2736:BD2740)</f>
        <v/>
      </c>
      <c r="BE2741">
        <f>SUM('19_Расчет_аналитики'!BE2736:BE2740)</f>
        <v/>
      </c>
      <c r="BF2741">
        <f>SUM('19_Расчет_аналитики'!BF2736:BF2740)</f>
        <v/>
      </c>
      <c r="BG2741">
        <f>SUM('19_Расчет_аналитики'!BG2736:BG2740)</f>
        <v/>
      </c>
      <c r="BH2741">
        <f>SUM('19_Расчет_аналитики'!BH2736:BH2740)</f>
        <v/>
      </c>
      <c r="BI2741">
        <f>SUM('19_Расчет_аналитики'!BI2736:BI2740)</f>
        <v/>
      </c>
    </row>
    <row r="2742"/>
    <row r="2743"/>
    <row r="2744">
      <c r="B2744">
        <f>'19_Расчет_аналитики'!B2641</f>
        <v/>
      </c>
      <c r="C2744">
        <f>'19_Расчет_аналитики'!C2641</f>
        <v/>
      </c>
      <c r="D2744">
        <f>'19_Расчет_аналитики'!D2641</f>
        <v/>
      </c>
      <c r="E2744">
        <f>'19_Расчет_аналитики'!E2641</f>
        <v/>
      </c>
      <c r="F2744">
        <f>'19_Расчет_аналитики'!F2641</f>
        <v/>
      </c>
      <c r="G2744">
        <f>'19_Расчет_аналитики'!G2641</f>
        <v/>
      </c>
      <c r="H2744">
        <f>'19_Расчет_аналитики'!H2641</f>
        <v/>
      </c>
      <c r="I2744">
        <f>'19_Расчет_аналитики'!I2641</f>
        <v/>
      </c>
      <c r="J2744">
        <f>'19_Расчет_аналитики'!J2641</f>
        <v/>
      </c>
      <c r="K2744">
        <f>'19_Расчет_аналитики'!K2641</f>
        <v/>
      </c>
      <c r="L2744">
        <f>'19_Расчет_аналитики'!L2641</f>
        <v/>
      </c>
      <c r="M2744">
        <f>'19_Расчет_аналитики'!M2641</f>
        <v/>
      </c>
      <c r="N2744">
        <f>'19_Расчет_аналитики'!N2641</f>
        <v/>
      </c>
      <c r="O2744">
        <f>'19_Расчет_аналитики'!O2641</f>
        <v/>
      </c>
      <c r="P2744">
        <f>'19_Расчет_аналитики'!P2641</f>
        <v/>
      </c>
      <c r="Q2744">
        <f>'19_Расчет_аналитики'!Q2641</f>
        <v/>
      </c>
      <c r="R2744">
        <f>'19_Расчет_аналитики'!R2641</f>
        <v/>
      </c>
      <c r="S2744">
        <f>'19_Расчет_аналитики'!S2641</f>
        <v/>
      </c>
      <c r="T2744">
        <f>'19_Расчет_аналитики'!T2641</f>
        <v/>
      </c>
      <c r="U2744">
        <f>'19_Расчет_аналитики'!U2641</f>
        <v/>
      </c>
      <c r="V2744">
        <f>'19_Расчет_аналитики'!V2641</f>
        <v/>
      </c>
      <c r="W2744">
        <f>'19_Расчет_аналитики'!W2641</f>
        <v/>
      </c>
      <c r="X2744">
        <f>'19_Расчет_аналитики'!X2641</f>
        <v/>
      </c>
      <c r="Y2744">
        <f>'19_Расчет_аналитики'!Y2641</f>
        <v/>
      </c>
      <c r="Z2744">
        <f>'19_Расчет_аналитики'!Z2641</f>
        <v/>
      </c>
      <c r="AA2744">
        <f>'19_Расчет_аналитики'!AA2641</f>
        <v/>
      </c>
      <c r="AB2744">
        <f>'19_Расчет_аналитики'!AB2641</f>
        <v/>
      </c>
      <c r="AC2744">
        <f>'19_Расчет_аналитики'!AC2641</f>
        <v/>
      </c>
      <c r="AD2744">
        <f>'19_Расчет_аналитики'!AD2641</f>
        <v/>
      </c>
      <c r="AE2744">
        <f>'19_Расчет_аналитики'!AE2641</f>
        <v/>
      </c>
      <c r="AF2744">
        <f>'19_Расчет_аналитики'!AF2641</f>
        <v/>
      </c>
      <c r="AG2744">
        <f>'19_Расчет_аналитики'!AG2641</f>
        <v/>
      </c>
      <c r="AH2744">
        <f>'19_Расчет_аналитики'!AH2641</f>
        <v/>
      </c>
      <c r="AI2744">
        <f>'19_Расчет_аналитики'!AI2641</f>
        <v/>
      </c>
      <c r="AJ2744">
        <f>'19_Расчет_аналитики'!AJ2641</f>
        <v/>
      </c>
      <c r="AK2744">
        <f>'19_Расчет_аналитики'!AK2641</f>
        <v/>
      </c>
      <c r="AL2744">
        <f>'19_Расчет_аналитики'!AL2641</f>
        <v/>
      </c>
      <c r="AM2744">
        <f>'19_Расчет_аналитики'!AM2641</f>
        <v/>
      </c>
      <c r="AN2744">
        <f>'19_Расчет_аналитики'!AN2641</f>
        <v/>
      </c>
      <c r="AO2744">
        <f>'19_Расчет_аналитики'!AO2641</f>
        <v/>
      </c>
      <c r="AP2744">
        <f>'19_Расчет_аналитики'!AP2641</f>
        <v/>
      </c>
      <c r="AQ2744">
        <f>'19_Расчет_аналитики'!AQ2641</f>
        <v/>
      </c>
      <c r="AR2744">
        <f>'19_Расчет_аналитики'!AR2641</f>
        <v/>
      </c>
      <c r="AS2744">
        <f>'19_Расчет_аналитики'!AS2641</f>
        <v/>
      </c>
      <c r="AT2744">
        <f>'19_Расчет_аналитики'!AT2641</f>
        <v/>
      </c>
      <c r="AU2744">
        <f>'19_Расчет_аналитики'!AU2641</f>
        <v/>
      </c>
      <c r="AV2744">
        <f>'19_Расчет_аналитики'!AV2641</f>
        <v/>
      </c>
      <c r="AW2744">
        <f>'19_Расчет_аналитики'!AW2641</f>
        <v/>
      </c>
      <c r="AX2744">
        <f>'19_Расчет_аналитики'!AX2641</f>
        <v/>
      </c>
      <c r="AY2744">
        <f>'19_Расчет_аналитики'!AY2641</f>
        <v/>
      </c>
      <c r="AZ2744">
        <f>'19_Расчет_аналитики'!AZ2641</f>
        <v/>
      </c>
      <c r="BA2744">
        <f>'19_Расчет_аналитики'!BA2641</f>
        <v/>
      </c>
      <c r="BB2744">
        <f>'19_Расчет_аналитики'!BB2641</f>
        <v/>
      </c>
      <c r="BC2744">
        <f>'19_Расчет_аналитики'!BC2641</f>
        <v/>
      </c>
      <c r="BD2744">
        <f>'19_Расчет_аналитики'!BD2641</f>
        <v/>
      </c>
      <c r="BE2744">
        <f>'19_Расчет_аналитики'!BE2641</f>
        <v/>
      </c>
      <c r="BF2744">
        <f>'19_Расчет_аналитики'!BF2641</f>
        <v/>
      </c>
      <c r="BG2744">
        <f>'19_Расчет_аналитики'!BG2641</f>
        <v/>
      </c>
      <c r="BH2744">
        <f>'19_Расчет_аналитики'!BH2641</f>
        <v/>
      </c>
      <c r="BI2744">
        <f>'19_Расчет_аналитики'!BI2641</f>
        <v/>
      </c>
    </row>
    <row r="2745">
      <c r="B2745">
        <f>'19_Расчет_аналитики'!B2642</f>
        <v/>
      </c>
      <c r="C2745">
        <f>'19_Расчет_аналитики'!C2642</f>
        <v/>
      </c>
      <c r="D2745">
        <f>'19_Расчет_аналитики'!D2642</f>
        <v/>
      </c>
      <c r="E2745">
        <f>'19_Расчет_аналитики'!E2642</f>
        <v/>
      </c>
      <c r="F2745">
        <f>'19_Расчет_аналитики'!F2642</f>
        <v/>
      </c>
      <c r="G2745">
        <f>'19_Расчет_аналитики'!G2642</f>
        <v/>
      </c>
      <c r="H2745">
        <f>'19_Расчет_аналитики'!H2642</f>
        <v/>
      </c>
      <c r="I2745">
        <f>'19_Расчет_аналитики'!I2642</f>
        <v/>
      </c>
      <c r="J2745">
        <f>'19_Расчет_аналитики'!J2642</f>
        <v/>
      </c>
      <c r="K2745">
        <f>'19_Расчет_аналитики'!K2642</f>
        <v/>
      </c>
      <c r="L2745">
        <f>'19_Расчет_аналитики'!L2642</f>
        <v/>
      </c>
      <c r="M2745">
        <f>'19_Расчет_аналитики'!M2642</f>
        <v/>
      </c>
      <c r="N2745">
        <f>'19_Расчет_аналитики'!N2642</f>
        <v/>
      </c>
      <c r="O2745">
        <f>'19_Расчет_аналитики'!O2642</f>
        <v/>
      </c>
      <c r="P2745">
        <f>'19_Расчет_аналитики'!P2642</f>
        <v/>
      </c>
      <c r="Q2745">
        <f>'19_Расчет_аналитики'!Q2642</f>
        <v/>
      </c>
      <c r="R2745">
        <f>'19_Расчет_аналитики'!R2642</f>
        <v/>
      </c>
      <c r="S2745">
        <f>'19_Расчет_аналитики'!S2642</f>
        <v/>
      </c>
      <c r="T2745">
        <f>'19_Расчет_аналитики'!T2642</f>
        <v/>
      </c>
      <c r="U2745">
        <f>'19_Расчет_аналитики'!U2642</f>
        <v/>
      </c>
      <c r="V2745">
        <f>'19_Расчет_аналитики'!V2642</f>
        <v/>
      </c>
      <c r="W2745">
        <f>'19_Расчет_аналитики'!W2642</f>
        <v/>
      </c>
      <c r="X2745">
        <f>'19_Расчет_аналитики'!X2642</f>
        <v/>
      </c>
      <c r="Y2745">
        <f>'19_Расчет_аналитики'!Y2642</f>
        <v/>
      </c>
      <c r="Z2745">
        <f>'19_Расчет_аналитики'!Z2642</f>
        <v/>
      </c>
      <c r="AA2745">
        <f>'19_Расчет_аналитики'!AA2642</f>
        <v/>
      </c>
      <c r="AB2745">
        <f>'19_Расчет_аналитики'!AB2642</f>
        <v/>
      </c>
      <c r="AC2745">
        <f>'19_Расчет_аналитики'!AC2642</f>
        <v/>
      </c>
      <c r="AD2745">
        <f>'19_Расчет_аналитики'!AD2642</f>
        <v/>
      </c>
      <c r="AE2745">
        <f>'19_Расчет_аналитики'!AE2642</f>
        <v/>
      </c>
      <c r="AF2745">
        <f>'19_Расчет_аналитики'!AF2642</f>
        <v/>
      </c>
      <c r="AG2745">
        <f>'19_Расчет_аналитики'!AG2642</f>
        <v/>
      </c>
      <c r="AH2745">
        <f>'19_Расчет_аналитики'!AH2642</f>
        <v/>
      </c>
      <c r="AI2745">
        <f>'19_Расчет_аналитики'!AI2642</f>
        <v/>
      </c>
      <c r="AJ2745">
        <f>'19_Расчет_аналитики'!AJ2642</f>
        <v/>
      </c>
      <c r="AK2745">
        <f>'19_Расчет_аналитики'!AK2642</f>
        <v/>
      </c>
      <c r="AL2745">
        <f>'19_Расчет_аналитики'!AL2642</f>
        <v/>
      </c>
      <c r="AM2745">
        <f>'19_Расчет_аналитики'!AM2642</f>
        <v/>
      </c>
      <c r="AN2745">
        <f>'19_Расчет_аналитики'!AN2642</f>
        <v/>
      </c>
      <c r="AO2745">
        <f>'19_Расчет_аналитики'!AO2642</f>
        <v/>
      </c>
      <c r="AP2745">
        <f>'19_Расчет_аналитики'!AP2642</f>
        <v/>
      </c>
      <c r="AQ2745">
        <f>'19_Расчет_аналитики'!AQ2642</f>
        <v/>
      </c>
      <c r="AR2745">
        <f>'19_Расчет_аналитики'!AR2642</f>
        <v/>
      </c>
      <c r="AS2745">
        <f>'19_Расчет_аналитики'!AS2642</f>
        <v/>
      </c>
      <c r="AT2745">
        <f>'19_Расчет_аналитики'!AT2642</f>
        <v/>
      </c>
      <c r="AU2745">
        <f>'19_Расчет_аналитики'!AU2642</f>
        <v/>
      </c>
      <c r="AV2745">
        <f>'19_Расчет_аналитики'!AV2642</f>
        <v/>
      </c>
      <c r="AW2745">
        <f>'19_Расчет_аналитики'!AW2642</f>
        <v/>
      </c>
      <c r="AX2745">
        <f>'19_Расчет_аналитики'!AX2642</f>
        <v/>
      </c>
      <c r="AY2745">
        <f>'19_Расчет_аналитики'!AY2642</f>
        <v/>
      </c>
      <c r="AZ2745">
        <f>'19_Расчет_аналитики'!AZ2642</f>
        <v/>
      </c>
      <c r="BA2745">
        <f>'19_Расчет_аналитики'!BA2642</f>
        <v/>
      </c>
      <c r="BB2745">
        <f>'19_Расчет_аналитики'!BB2642</f>
        <v/>
      </c>
      <c r="BC2745">
        <f>'19_Расчет_аналитики'!BC2642</f>
        <v/>
      </c>
      <c r="BD2745">
        <f>'19_Расчет_аналитики'!BD2642</f>
        <v/>
      </c>
      <c r="BE2745">
        <f>'19_Расчет_аналитики'!BE2642</f>
        <v/>
      </c>
      <c r="BF2745">
        <f>'19_Расчет_аналитики'!BF2642</f>
        <v/>
      </c>
      <c r="BG2745">
        <f>'19_Расчет_аналитики'!BG2642</f>
        <v/>
      </c>
      <c r="BH2745">
        <f>'19_Расчет_аналитики'!BH2642</f>
        <v/>
      </c>
      <c r="BI2745">
        <f>'19_Расчет_аналитики'!BI2642</f>
        <v/>
      </c>
    </row>
    <row r="2746">
      <c r="B2746">
        <f>'19_Расчет_аналитики'!B2644</f>
        <v/>
      </c>
      <c r="C2746">
        <f>'19_Расчет_аналитики'!C2644</f>
        <v/>
      </c>
      <c r="D2746">
        <f>'19_Расчет_аналитики'!D2644</f>
        <v/>
      </c>
      <c r="E2746">
        <f>'19_Расчет_аналитики'!E2644</f>
        <v/>
      </c>
      <c r="F2746">
        <f>'19_Расчет_аналитики'!F2644</f>
        <v/>
      </c>
      <c r="G2746">
        <f>'19_Расчет_аналитики'!G2644</f>
        <v/>
      </c>
      <c r="H2746">
        <f>'19_Расчет_аналитики'!H2644</f>
        <v/>
      </c>
      <c r="I2746">
        <f>'19_Расчет_аналитики'!I2644</f>
        <v/>
      </c>
      <c r="J2746">
        <f>'19_Расчет_аналитики'!J2644</f>
        <v/>
      </c>
      <c r="K2746">
        <f>'19_Расчет_аналитики'!K2644</f>
        <v/>
      </c>
      <c r="L2746">
        <f>'19_Расчет_аналитики'!L2644</f>
        <v/>
      </c>
      <c r="M2746">
        <f>'19_Расчет_аналитики'!M2644</f>
        <v/>
      </c>
      <c r="N2746">
        <f>'19_Расчет_аналитики'!N2644</f>
        <v/>
      </c>
      <c r="O2746">
        <f>'19_Расчет_аналитики'!O2644</f>
        <v/>
      </c>
      <c r="P2746">
        <f>'19_Расчет_аналитики'!P2644</f>
        <v/>
      </c>
      <c r="Q2746">
        <f>'19_Расчет_аналитики'!Q2644</f>
        <v/>
      </c>
      <c r="R2746">
        <f>'19_Расчет_аналитики'!R2644</f>
        <v/>
      </c>
      <c r="S2746">
        <f>'19_Расчет_аналитики'!S2644</f>
        <v/>
      </c>
      <c r="T2746">
        <f>'19_Расчет_аналитики'!T2644</f>
        <v/>
      </c>
      <c r="U2746">
        <f>'19_Расчет_аналитики'!U2644</f>
        <v/>
      </c>
      <c r="V2746">
        <f>'19_Расчет_аналитики'!V2644</f>
        <v/>
      </c>
      <c r="W2746">
        <f>'19_Расчет_аналитики'!W2644</f>
        <v/>
      </c>
      <c r="X2746">
        <f>'19_Расчет_аналитики'!X2644</f>
        <v/>
      </c>
      <c r="Y2746">
        <f>'19_Расчет_аналитики'!Y2644</f>
        <v/>
      </c>
      <c r="Z2746">
        <f>'19_Расчет_аналитики'!Z2644</f>
        <v/>
      </c>
      <c r="AA2746">
        <f>'19_Расчет_аналитики'!AA2644</f>
        <v/>
      </c>
      <c r="AB2746">
        <f>'19_Расчет_аналитики'!AB2644</f>
        <v/>
      </c>
      <c r="AC2746">
        <f>'19_Расчет_аналитики'!AC2644</f>
        <v/>
      </c>
      <c r="AD2746">
        <f>'19_Расчет_аналитики'!AD2644</f>
        <v/>
      </c>
      <c r="AE2746">
        <f>'19_Расчет_аналитики'!AE2644</f>
        <v/>
      </c>
      <c r="AF2746">
        <f>'19_Расчет_аналитики'!AF2644</f>
        <v/>
      </c>
      <c r="AG2746">
        <f>'19_Расчет_аналитики'!AG2644</f>
        <v/>
      </c>
      <c r="AH2746">
        <f>'19_Расчет_аналитики'!AH2644</f>
        <v/>
      </c>
      <c r="AI2746">
        <f>'19_Расчет_аналитики'!AI2644</f>
        <v/>
      </c>
      <c r="AJ2746">
        <f>'19_Расчет_аналитики'!AJ2644</f>
        <v/>
      </c>
      <c r="AK2746">
        <f>'19_Расчет_аналитики'!AK2644</f>
        <v/>
      </c>
      <c r="AL2746">
        <f>'19_Расчет_аналитики'!AL2644</f>
        <v/>
      </c>
      <c r="AM2746">
        <f>'19_Расчет_аналитики'!AM2644</f>
        <v/>
      </c>
      <c r="AN2746">
        <f>'19_Расчет_аналитики'!AN2644</f>
        <v/>
      </c>
      <c r="AO2746">
        <f>'19_Расчет_аналитики'!AO2644</f>
        <v/>
      </c>
      <c r="AP2746">
        <f>'19_Расчет_аналитики'!AP2644</f>
        <v/>
      </c>
      <c r="AQ2746">
        <f>'19_Расчет_аналитики'!AQ2644</f>
        <v/>
      </c>
      <c r="AR2746">
        <f>'19_Расчет_аналитики'!AR2644</f>
        <v/>
      </c>
      <c r="AS2746">
        <f>'19_Расчет_аналитики'!AS2644</f>
        <v/>
      </c>
      <c r="AT2746">
        <f>'19_Расчет_аналитики'!AT2644</f>
        <v/>
      </c>
      <c r="AU2746">
        <f>'19_Расчет_аналитики'!AU2644</f>
        <v/>
      </c>
      <c r="AV2746">
        <f>'19_Расчет_аналитики'!AV2644</f>
        <v/>
      </c>
      <c r="AW2746">
        <f>'19_Расчет_аналитики'!AW2644</f>
        <v/>
      </c>
      <c r="AX2746">
        <f>'19_Расчет_аналитики'!AX2644</f>
        <v/>
      </c>
      <c r="AY2746">
        <f>'19_Расчет_аналитики'!AY2644</f>
        <v/>
      </c>
      <c r="AZ2746">
        <f>'19_Расчет_аналитики'!AZ2644</f>
        <v/>
      </c>
      <c r="BA2746">
        <f>'19_Расчет_аналитики'!BA2644</f>
        <v/>
      </c>
      <c r="BB2746">
        <f>'19_Расчет_аналитики'!BB2644</f>
        <v/>
      </c>
      <c r="BC2746">
        <f>'19_Расчет_аналитики'!BC2644</f>
        <v/>
      </c>
      <c r="BD2746">
        <f>'19_Расчет_аналитики'!BD2644</f>
        <v/>
      </c>
      <c r="BE2746">
        <f>'19_Расчет_аналитики'!BE2644</f>
        <v/>
      </c>
      <c r="BF2746">
        <f>'19_Расчет_аналитики'!BF2644</f>
        <v/>
      </c>
      <c r="BG2746">
        <f>'19_Расчет_аналитики'!BG2644</f>
        <v/>
      </c>
      <c r="BH2746">
        <f>'19_Расчет_аналитики'!BH2644</f>
        <v/>
      </c>
      <c r="BI2746">
        <f>'19_Расчет_аналитики'!BI2644</f>
        <v/>
      </c>
    </row>
    <row r="2747">
      <c r="B2747">
        <f>'02_Модель'!B29</f>
        <v/>
      </c>
      <c r="C2747">
        <f>'19_Расчет_аналитики'!C2736*'01_Вводные'!$B$59</f>
        <v/>
      </c>
      <c r="D2747">
        <f>'19_Расчет_аналитики'!D2736*'01_Вводные'!$B$59</f>
        <v/>
      </c>
      <c r="E2747">
        <f>'19_Расчет_аналитики'!E2736*'01_Вводные'!$B$59</f>
        <v/>
      </c>
      <c r="F2747">
        <f>'19_Расчет_аналитики'!F2736*'01_Вводные'!$B$59</f>
        <v/>
      </c>
      <c r="G2747">
        <f>'19_Расчет_аналитики'!G2736*'01_Вводные'!$B$59</f>
        <v/>
      </c>
      <c r="H2747">
        <f>'19_Расчет_аналитики'!H2736*'01_Вводные'!$B$59</f>
        <v/>
      </c>
      <c r="I2747">
        <f>'19_Расчет_аналитики'!I2736*'01_Вводные'!$B$59</f>
        <v/>
      </c>
      <c r="J2747">
        <f>'19_Расчет_аналитики'!J2736*'01_Вводные'!$B$59</f>
        <v/>
      </c>
      <c r="K2747">
        <f>'19_Расчет_аналитики'!K2736*'01_Вводные'!$B$59</f>
        <v/>
      </c>
      <c r="L2747">
        <f>'19_Расчет_аналитики'!L2736*'01_Вводные'!$B$59</f>
        <v/>
      </c>
      <c r="M2747">
        <f>'19_Расчет_аналитики'!M2736*'01_Вводные'!$B$59</f>
        <v/>
      </c>
      <c r="N2747">
        <f>'19_Расчет_аналитики'!N2736*'01_Вводные'!$B$59</f>
        <v/>
      </c>
      <c r="O2747">
        <f>'19_Расчет_аналитики'!O2736*'01_Вводные'!$B$59</f>
        <v/>
      </c>
      <c r="P2747">
        <f>'19_Расчет_аналитики'!P2736*'01_Вводные'!$B$59</f>
        <v/>
      </c>
      <c r="Q2747">
        <f>'19_Расчет_аналитики'!Q2736*'01_Вводные'!$B$59</f>
        <v/>
      </c>
      <c r="R2747">
        <f>'19_Расчет_аналитики'!R2736*'01_Вводные'!$B$59</f>
        <v/>
      </c>
      <c r="S2747">
        <f>'19_Расчет_аналитики'!S2736*'01_Вводные'!$B$59</f>
        <v/>
      </c>
      <c r="T2747">
        <f>'19_Расчет_аналитики'!T2736*'01_Вводные'!$B$59</f>
        <v/>
      </c>
      <c r="U2747">
        <f>'19_Расчет_аналитики'!U2736*'01_Вводные'!$B$59</f>
        <v/>
      </c>
      <c r="V2747">
        <f>'19_Расчет_аналитики'!V2736*'01_Вводные'!$B$59</f>
        <v/>
      </c>
      <c r="W2747">
        <f>'19_Расчет_аналитики'!W2736*'01_Вводные'!$B$59</f>
        <v/>
      </c>
      <c r="X2747">
        <f>'19_Расчет_аналитики'!X2736*'01_Вводные'!$B$59</f>
        <v/>
      </c>
      <c r="Y2747">
        <f>'19_Расчет_аналитики'!Y2736*'01_Вводные'!$B$59</f>
        <v/>
      </c>
      <c r="Z2747">
        <f>'19_Расчет_аналитики'!Z2736*'01_Вводные'!$B$59</f>
        <v/>
      </c>
      <c r="AA2747">
        <f>'19_Расчет_аналитики'!AA2736*'01_Вводные'!$B$59</f>
        <v/>
      </c>
      <c r="AB2747">
        <f>'19_Расчет_аналитики'!AB2736*'01_Вводные'!$B$59</f>
        <v/>
      </c>
      <c r="AC2747">
        <f>'19_Расчет_аналитики'!AC2736*'01_Вводные'!$B$59</f>
        <v/>
      </c>
      <c r="AD2747">
        <f>'19_Расчет_аналитики'!AD2736*'01_Вводные'!$B$59</f>
        <v/>
      </c>
      <c r="AE2747">
        <f>'19_Расчет_аналитики'!AE2736*'01_Вводные'!$B$59</f>
        <v/>
      </c>
      <c r="AF2747">
        <f>'19_Расчет_аналитики'!AF2736*'01_Вводные'!$B$59</f>
        <v/>
      </c>
      <c r="AG2747">
        <f>'19_Расчет_аналитики'!AG2736*'01_Вводные'!$B$59</f>
        <v/>
      </c>
      <c r="AH2747">
        <f>'19_Расчет_аналитики'!AH2736*'01_Вводные'!$B$59</f>
        <v/>
      </c>
      <c r="AI2747">
        <f>'19_Расчет_аналитики'!AI2736*'01_Вводные'!$B$59</f>
        <v/>
      </c>
      <c r="AJ2747">
        <f>'19_Расчет_аналитики'!AJ2736*'01_Вводные'!$B$59</f>
        <v/>
      </c>
      <c r="AK2747">
        <f>'19_Расчет_аналитики'!AK2736*'01_Вводные'!$B$59</f>
        <v/>
      </c>
      <c r="AL2747">
        <f>'19_Расчет_аналитики'!AL2736*'01_Вводные'!$B$59</f>
        <v/>
      </c>
      <c r="AM2747">
        <f>'19_Расчет_аналитики'!AM2736*'01_Вводные'!$B$59</f>
        <v/>
      </c>
      <c r="AN2747">
        <f>'19_Расчет_аналитики'!AN2736*'01_Вводные'!$B$59</f>
        <v/>
      </c>
      <c r="AO2747">
        <f>'19_Расчет_аналитики'!AO2736*'01_Вводные'!$B$59</f>
        <v/>
      </c>
      <c r="AP2747">
        <f>'19_Расчет_аналитики'!AP2736*'01_Вводные'!$B$59</f>
        <v/>
      </c>
      <c r="AQ2747">
        <f>'19_Расчет_аналитики'!AQ2736*'01_Вводные'!$B$59</f>
        <v/>
      </c>
      <c r="AR2747">
        <f>'19_Расчет_аналитики'!AR2736*'01_Вводные'!$B$59</f>
        <v/>
      </c>
      <c r="AS2747">
        <f>'19_Расчет_аналитики'!AS2736*'01_Вводные'!$B$59</f>
        <v/>
      </c>
      <c r="AT2747">
        <f>'19_Расчет_аналитики'!AT2736*'01_Вводные'!$B$59</f>
        <v/>
      </c>
      <c r="AU2747">
        <f>'19_Расчет_аналитики'!AU2736*'01_Вводные'!$B$59</f>
        <v/>
      </c>
      <c r="AV2747">
        <f>'19_Расчет_аналитики'!AV2736*'01_Вводные'!$B$59</f>
        <v/>
      </c>
      <c r="AW2747">
        <f>'19_Расчет_аналитики'!AW2736*'01_Вводные'!$B$59</f>
        <v/>
      </c>
      <c r="AX2747">
        <f>'19_Расчет_аналитики'!AX2736*'01_Вводные'!$B$59</f>
        <v/>
      </c>
      <c r="AY2747">
        <f>'19_Расчет_аналитики'!AY2736*'01_Вводные'!$B$59</f>
        <v/>
      </c>
      <c r="AZ2747">
        <f>'19_Расчет_аналитики'!AZ2736*'01_Вводные'!$B$59</f>
        <v/>
      </c>
      <c r="BA2747">
        <f>'19_Расчет_аналитики'!BA2736*'01_Вводные'!$B$59</f>
        <v/>
      </c>
      <c r="BB2747">
        <f>'19_Расчет_аналитики'!BB2736*'01_Вводные'!$B$59</f>
        <v/>
      </c>
      <c r="BC2747">
        <f>'19_Расчет_аналитики'!BC2736*'01_Вводные'!$B$59</f>
        <v/>
      </c>
      <c r="BD2747">
        <f>'19_Расчет_аналитики'!BD2736*'01_Вводные'!$B$59</f>
        <v/>
      </c>
      <c r="BE2747">
        <f>'19_Расчет_аналитики'!BE2736*'01_Вводные'!$B$59</f>
        <v/>
      </c>
      <c r="BF2747">
        <f>'19_Расчет_аналитики'!BF2736*'01_Вводные'!$B$59</f>
        <v/>
      </c>
      <c r="BG2747">
        <f>'19_Расчет_аналитики'!BG2736*'01_Вводные'!$B$59</f>
        <v/>
      </c>
      <c r="BH2747">
        <f>'19_Расчет_аналитики'!BH2736*'01_Вводные'!$B$59</f>
        <v/>
      </c>
      <c r="BI2747">
        <f>'19_Расчет_аналитики'!BI2736*'01_Вводные'!$B$59</f>
        <v/>
      </c>
    </row>
    <row r="2748">
      <c r="B2748">
        <f>('19_Расчет_аналитики'!B2737+'19_Расчет_аналитики'!B2738)*'01_Вводные'!$B$60</f>
        <v/>
      </c>
      <c r="C2748">
        <f>('19_Расчет_аналитики'!C2737+'19_Расчет_аналитики'!C2738)*'01_Вводные'!$B$60</f>
        <v/>
      </c>
      <c r="D2748">
        <f>('19_Расчет_аналитики'!D2737+'19_Расчет_аналитики'!D2738)*'01_Вводные'!$B$60</f>
        <v/>
      </c>
      <c r="E2748">
        <f>('19_Расчет_аналитики'!E2737+'19_Расчет_аналитики'!E2738)*'01_Вводные'!$B$60</f>
        <v/>
      </c>
      <c r="F2748">
        <f>('19_Расчет_аналитики'!F2737+'19_Расчет_аналитики'!F2738)*'01_Вводные'!$B$60</f>
        <v/>
      </c>
      <c r="G2748">
        <f>('19_Расчет_аналитики'!G2737+'19_Расчет_аналитики'!G2738)*'01_Вводные'!$B$60</f>
        <v/>
      </c>
      <c r="H2748">
        <f>('19_Расчет_аналитики'!H2737+'19_Расчет_аналитики'!H2738)*'01_Вводные'!$B$60</f>
        <v/>
      </c>
      <c r="I2748">
        <f>('19_Расчет_аналитики'!I2737+'19_Расчет_аналитики'!I2738)*'01_Вводные'!$B$60</f>
        <v/>
      </c>
      <c r="J2748">
        <f>('19_Расчет_аналитики'!J2737+'19_Расчет_аналитики'!J2738)*'01_Вводные'!$B$60</f>
        <v/>
      </c>
      <c r="K2748">
        <f>('19_Расчет_аналитики'!K2737+'19_Расчет_аналитики'!K2738)*'01_Вводные'!$B$60</f>
        <v/>
      </c>
      <c r="L2748">
        <f>('19_Расчет_аналитики'!L2737+'19_Расчет_аналитики'!L2738)*'01_Вводные'!$B$60</f>
        <v/>
      </c>
      <c r="M2748">
        <f>('19_Расчет_аналитики'!M2737+'19_Расчет_аналитики'!M2738)*'01_Вводные'!$B$60</f>
        <v/>
      </c>
      <c r="N2748">
        <f>('19_Расчет_аналитики'!N2737+'19_Расчет_аналитики'!N2738)*'01_Вводные'!$B$60</f>
        <v/>
      </c>
      <c r="O2748">
        <f>('19_Расчет_аналитики'!O2737+'19_Расчет_аналитики'!O2738)*'01_Вводные'!$B$60</f>
        <v/>
      </c>
      <c r="P2748">
        <f>('19_Расчет_аналитики'!P2737+'19_Расчет_аналитики'!P2738)*'01_Вводные'!$B$60</f>
        <v/>
      </c>
      <c r="Q2748">
        <f>('19_Расчет_аналитики'!Q2737+'19_Расчет_аналитики'!Q2738)*'01_Вводные'!$B$60</f>
        <v/>
      </c>
      <c r="R2748">
        <f>('19_Расчет_аналитики'!R2737+'19_Расчет_аналитики'!R2738)*'01_Вводные'!$B$60</f>
        <v/>
      </c>
      <c r="S2748">
        <f>('19_Расчет_аналитики'!S2737+'19_Расчет_аналитики'!S2738)*'01_Вводные'!$B$60</f>
        <v/>
      </c>
      <c r="T2748">
        <f>('19_Расчет_аналитики'!T2737+'19_Расчет_аналитики'!T2738)*'01_Вводные'!$B$60</f>
        <v/>
      </c>
      <c r="U2748">
        <f>('19_Расчет_аналитики'!U2737+'19_Расчет_аналитики'!U2738)*'01_Вводные'!$B$60</f>
        <v/>
      </c>
      <c r="V2748">
        <f>('19_Расчет_аналитики'!V2737+'19_Расчет_аналитики'!V2738)*'01_Вводные'!$B$60</f>
        <v/>
      </c>
      <c r="W2748">
        <f>('19_Расчет_аналитики'!W2737+'19_Расчет_аналитики'!W2738)*'01_Вводные'!$B$60</f>
        <v/>
      </c>
      <c r="X2748">
        <f>('19_Расчет_аналитики'!X2737+'19_Расчет_аналитики'!X2738)*'01_Вводные'!$B$60</f>
        <v/>
      </c>
      <c r="Y2748">
        <f>('19_Расчет_аналитики'!Y2737+'19_Расчет_аналитики'!Y2738)*'01_Вводные'!$B$60</f>
        <v/>
      </c>
      <c r="Z2748">
        <f>('19_Расчет_аналитики'!Z2737+'19_Расчет_аналитики'!Z2738)*'01_Вводные'!$B$60</f>
        <v/>
      </c>
      <c r="AA2748">
        <f>('19_Расчет_аналитики'!AA2737+'19_Расчет_аналитики'!AA2738)*'01_Вводные'!$B$60</f>
        <v/>
      </c>
      <c r="AB2748">
        <f>('19_Расчет_аналитики'!AB2737+'19_Расчет_аналитики'!AB2738)*'01_Вводные'!$B$60</f>
        <v/>
      </c>
      <c r="AC2748">
        <f>('19_Расчет_аналитики'!AC2737+'19_Расчет_аналитики'!AC2738)*'01_Вводные'!$B$60</f>
        <v/>
      </c>
      <c r="AD2748">
        <f>('19_Расчет_аналитики'!AD2737+'19_Расчет_аналитики'!AD2738)*'01_Вводные'!$B$60</f>
        <v/>
      </c>
      <c r="AE2748">
        <f>('19_Расчет_аналитики'!AE2737+'19_Расчет_аналитики'!AE2738)*'01_Вводные'!$B$60</f>
        <v/>
      </c>
      <c r="AF2748">
        <f>('19_Расчет_аналитики'!AF2737+'19_Расчет_аналитики'!AF2738)*'01_Вводные'!$B$60</f>
        <v/>
      </c>
      <c r="AG2748">
        <f>('19_Расчет_аналитики'!AG2737+'19_Расчет_аналитики'!AG2738)*'01_Вводные'!$B$60</f>
        <v/>
      </c>
      <c r="AH2748">
        <f>('19_Расчет_аналитики'!AH2737+'19_Расчет_аналитики'!AH2738)*'01_Вводные'!$B$60</f>
        <v/>
      </c>
      <c r="AI2748">
        <f>('19_Расчет_аналитики'!AI2737+'19_Расчет_аналитики'!AI2738)*'01_Вводные'!$B$60</f>
        <v/>
      </c>
      <c r="AJ2748">
        <f>('19_Расчет_аналитики'!AJ2737+'19_Расчет_аналитики'!AJ2738)*'01_Вводные'!$B$60</f>
        <v/>
      </c>
      <c r="AK2748">
        <f>('19_Расчет_аналитики'!AK2737+'19_Расчет_аналитики'!AK2738)*'01_Вводные'!$B$60</f>
        <v/>
      </c>
      <c r="AL2748">
        <f>('19_Расчет_аналитики'!AL2737+'19_Расчет_аналитики'!AL2738)*'01_Вводные'!$B$60</f>
        <v/>
      </c>
      <c r="AM2748">
        <f>('19_Расчет_аналитики'!AM2737+'19_Расчет_аналитики'!AM2738)*'01_Вводные'!$B$60</f>
        <v/>
      </c>
      <c r="AN2748">
        <f>('19_Расчет_аналитики'!AN2737+'19_Расчет_аналитики'!AN2738)*'01_Вводные'!$B$60</f>
        <v/>
      </c>
      <c r="AO2748">
        <f>('19_Расчет_аналитики'!AO2737+'19_Расчет_аналитики'!AO2738)*'01_Вводные'!$B$60</f>
        <v/>
      </c>
      <c r="AP2748">
        <f>('19_Расчет_аналитики'!AP2737+'19_Расчет_аналитики'!AP2738)*'01_Вводные'!$B$60</f>
        <v/>
      </c>
      <c r="AQ2748">
        <f>('19_Расчет_аналитики'!AQ2737+'19_Расчет_аналитики'!AQ2738)*'01_Вводные'!$B$60</f>
        <v/>
      </c>
      <c r="AR2748">
        <f>('19_Расчет_аналитики'!AR2737+'19_Расчет_аналитики'!AR2738)*'01_Вводные'!$B$60</f>
        <v/>
      </c>
      <c r="AS2748">
        <f>('19_Расчет_аналитики'!AS2737+'19_Расчет_аналитики'!AS2738)*'01_Вводные'!$B$60</f>
        <v/>
      </c>
      <c r="AT2748">
        <f>('19_Расчет_аналитики'!AT2737+'19_Расчет_аналитики'!AT2738)*'01_Вводные'!$B$60</f>
        <v/>
      </c>
      <c r="AU2748">
        <f>('19_Расчет_аналитики'!AU2737+'19_Расчет_аналитики'!AU2738)*'01_Вводные'!$B$60</f>
        <v/>
      </c>
      <c r="AV2748">
        <f>('19_Расчет_аналитики'!AV2737+'19_Расчет_аналитики'!AV2738)*'01_Вводные'!$B$60</f>
        <v/>
      </c>
      <c r="AW2748">
        <f>('19_Расчет_аналитики'!AW2737+'19_Расчет_аналитики'!AW2738)*'01_Вводные'!$B$60</f>
        <v/>
      </c>
      <c r="AX2748">
        <f>('19_Расчет_аналитики'!AX2737+'19_Расчет_аналитики'!AX2738)*'01_Вводные'!$B$60</f>
        <v/>
      </c>
      <c r="AY2748">
        <f>('19_Расчет_аналитики'!AY2737+'19_Расчет_аналитики'!AY2738)*'01_Вводные'!$B$60</f>
        <v/>
      </c>
      <c r="AZ2748">
        <f>('19_Расчет_аналитики'!AZ2737+'19_Расчет_аналитики'!AZ2738)*'01_Вводные'!$B$60</f>
        <v/>
      </c>
      <c r="BA2748">
        <f>('19_Расчет_аналитики'!BA2737+'19_Расчет_аналитики'!BA2738)*'01_Вводные'!$B$60</f>
        <v/>
      </c>
      <c r="BB2748">
        <f>('19_Расчет_аналитики'!BB2737+'19_Расчет_аналитики'!BB2738)*'01_Вводные'!$B$60</f>
        <v/>
      </c>
      <c r="BC2748">
        <f>('19_Расчет_аналитики'!BC2737+'19_Расчет_аналитики'!BC2738)*'01_Вводные'!$B$60</f>
        <v/>
      </c>
      <c r="BD2748">
        <f>('19_Расчет_аналитики'!BD2737+'19_Расчет_аналитики'!BD2738)*'01_Вводные'!$B$60</f>
        <v/>
      </c>
      <c r="BE2748">
        <f>('19_Расчет_аналитики'!BE2737+'19_Расчет_аналитики'!BE2738)*'01_Вводные'!$B$60</f>
        <v/>
      </c>
      <c r="BF2748">
        <f>('19_Расчет_аналитики'!BF2737+'19_Расчет_аналитики'!BF2738)*'01_Вводные'!$B$60</f>
        <v/>
      </c>
      <c r="BG2748">
        <f>('19_Расчет_аналитики'!BG2737+'19_Расчет_аналитики'!BG2738)*'01_Вводные'!$B$60</f>
        <v/>
      </c>
      <c r="BH2748">
        <f>('19_Расчет_аналитики'!BH2737+'19_Расчет_аналитики'!BH2738)*'01_Вводные'!$B$60</f>
        <v/>
      </c>
      <c r="BI2748">
        <f>('19_Расчет_аналитики'!BI2737+'19_Расчет_аналитики'!BI2738)*'01_Вводные'!$B$60</f>
        <v/>
      </c>
    </row>
    <row r="2749">
      <c r="B2749">
        <f>'02_Модель'!B31</f>
        <v/>
      </c>
      <c r="C2749">
        <f>'02_Модель'!C31</f>
        <v/>
      </c>
      <c r="D2749">
        <f>'02_Модель'!D31</f>
        <v/>
      </c>
      <c r="E2749">
        <f>'02_Модель'!E31</f>
        <v/>
      </c>
      <c r="F2749">
        <f>'02_Модель'!F31</f>
        <v/>
      </c>
      <c r="G2749">
        <f>'02_Модель'!G31</f>
        <v/>
      </c>
      <c r="H2749">
        <f>'02_Модель'!H31</f>
        <v/>
      </c>
      <c r="I2749">
        <f>'02_Модель'!I31</f>
        <v/>
      </c>
      <c r="J2749">
        <f>'02_Модель'!J31</f>
        <v/>
      </c>
      <c r="K2749">
        <f>'02_Модель'!K31</f>
        <v/>
      </c>
      <c r="L2749">
        <f>'02_Модель'!L31</f>
        <v/>
      </c>
      <c r="M2749">
        <f>'02_Модель'!M31</f>
        <v/>
      </c>
      <c r="N2749">
        <f>'02_Модель'!N31</f>
        <v/>
      </c>
      <c r="O2749">
        <f>'02_Модель'!O31</f>
        <v/>
      </c>
      <c r="P2749">
        <f>'02_Модель'!P31</f>
        <v/>
      </c>
      <c r="Q2749">
        <f>'02_Модель'!Q31</f>
        <v/>
      </c>
      <c r="R2749">
        <f>'02_Модель'!R31</f>
        <v/>
      </c>
      <c r="S2749">
        <f>'02_Модель'!S31</f>
        <v/>
      </c>
      <c r="T2749">
        <f>'02_Модель'!T31</f>
        <v/>
      </c>
      <c r="U2749">
        <f>'02_Модель'!U31</f>
        <v/>
      </c>
      <c r="V2749">
        <f>'02_Модель'!V31</f>
        <v/>
      </c>
      <c r="W2749">
        <f>'02_Модель'!W31</f>
        <v/>
      </c>
      <c r="X2749">
        <f>'02_Модель'!X31</f>
        <v/>
      </c>
      <c r="Y2749">
        <f>'02_Модель'!Y31</f>
        <v/>
      </c>
      <c r="Z2749">
        <f>'02_Модель'!Z31</f>
        <v/>
      </c>
      <c r="AA2749">
        <f>'02_Модель'!AA31</f>
        <v/>
      </c>
      <c r="AB2749">
        <f>'02_Модель'!AB31</f>
        <v/>
      </c>
      <c r="AC2749">
        <f>'02_Модель'!AC31</f>
        <v/>
      </c>
      <c r="AD2749">
        <f>'02_Модель'!AD31</f>
        <v/>
      </c>
      <c r="AE2749">
        <f>'02_Модель'!AE31</f>
        <v/>
      </c>
      <c r="AF2749">
        <f>'02_Модель'!AF31</f>
        <v/>
      </c>
      <c r="AG2749">
        <f>'02_Модель'!AG31</f>
        <v/>
      </c>
      <c r="AH2749">
        <f>'02_Модель'!AH31</f>
        <v/>
      </c>
      <c r="AI2749">
        <f>'02_Модель'!AI31</f>
        <v/>
      </c>
      <c r="AJ2749">
        <f>'02_Модель'!AJ31</f>
        <v/>
      </c>
      <c r="AK2749">
        <f>'02_Модель'!AK31</f>
        <v/>
      </c>
      <c r="AL2749">
        <f>'02_Модель'!AL31</f>
        <v/>
      </c>
      <c r="AM2749">
        <f>'02_Модель'!AM31</f>
        <v/>
      </c>
      <c r="AN2749">
        <f>'02_Модель'!AN31</f>
        <v/>
      </c>
      <c r="AO2749">
        <f>'02_Модель'!AO31</f>
        <v/>
      </c>
      <c r="AP2749">
        <f>'02_Модель'!AP31</f>
        <v/>
      </c>
      <c r="AQ2749">
        <f>'02_Модель'!AQ31</f>
        <v/>
      </c>
      <c r="AR2749">
        <f>'02_Модель'!AR31</f>
        <v/>
      </c>
      <c r="AS2749">
        <f>'02_Модель'!AS31</f>
        <v/>
      </c>
      <c r="AT2749">
        <f>'02_Модель'!AT31</f>
        <v/>
      </c>
      <c r="AU2749">
        <f>'02_Модель'!AU31</f>
        <v/>
      </c>
      <c r="AV2749">
        <f>'02_Модель'!AV31</f>
        <v/>
      </c>
      <c r="AW2749">
        <f>'02_Модель'!AW31</f>
        <v/>
      </c>
      <c r="AX2749">
        <f>'02_Модель'!AX31</f>
        <v/>
      </c>
      <c r="AY2749">
        <f>'02_Модель'!AY31</f>
        <v/>
      </c>
      <c r="AZ2749">
        <f>'02_Модель'!AZ31</f>
        <v/>
      </c>
      <c r="BA2749">
        <f>'02_Модель'!BA31</f>
        <v/>
      </c>
      <c r="BB2749">
        <f>'02_Модель'!BB31</f>
        <v/>
      </c>
      <c r="BC2749">
        <f>'02_Модель'!BC31</f>
        <v/>
      </c>
      <c r="BD2749">
        <f>'02_Модель'!BD31</f>
        <v/>
      </c>
      <c r="BE2749">
        <f>'02_Модель'!BE31</f>
        <v/>
      </c>
      <c r="BF2749">
        <f>'02_Модель'!BF31</f>
        <v/>
      </c>
      <c r="BG2749">
        <f>'02_Модель'!BG31</f>
        <v/>
      </c>
      <c r="BH2749">
        <f>'02_Модель'!BH31</f>
        <v/>
      </c>
      <c r="BI2749">
        <f>'02_Модель'!BI31</f>
        <v/>
      </c>
    </row>
    <row r="2750">
      <c r="B2750">
        <f>SUM('19_Расчет_аналитики'!B2744:B2749)</f>
        <v/>
      </c>
      <c r="C2750">
        <f>SUM('19_Расчет_аналитики'!C2744:C2749)</f>
        <v/>
      </c>
      <c r="D2750">
        <f>SUM('19_Расчет_аналитики'!D2744:D2749)</f>
        <v/>
      </c>
      <c r="E2750">
        <f>SUM('19_Расчет_аналитики'!E2744:E2749)</f>
        <v/>
      </c>
      <c r="F2750">
        <f>SUM('19_Расчет_аналитики'!F2744:F2749)</f>
        <v/>
      </c>
      <c r="G2750">
        <f>SUM('19_Расчет_аналитики'!G2744:G2749)</f>
        <v/>
      </c>
      <c r="H2750">
        <f>SUM('19_Расчет_аналитики'!H2744:H2749)</f>
        <v/>
      </c>
      <c r="I2750">
        <f>SUM('19_Расчет_аналитики'!I2744:I2749)</f>
        <v/>
      </c>
      <c r="J2750">
        <f>SUM('19_Расчет_аналитики'!J2744:J2749)</f>
        <v/>
      </c>
      <c r="K2750">
        <f>SUM('19_Расчет_аналитики'!K2744:K2749)</f>
        <v/>
      </c>
      <c r="L2750">
        <f>SUM('19_Расчет_аналитики'!L2744:L2749)</f>
        <v/>
      </c>
      <c r="M2750">
        <f>SUM('19_Расчет_аналитики'!M2744:M2749)</f>
        <v/>
      </c>
      <c r="N2750">
        <f>SUM('19_Расчет_аналитики'!N2744:N2749)</f>
        <v/>
      </c>
      <c r="O2750">
        <f>SUM('19_Расчет_аналитики'!O2744:O2749)</f>
        <v/>
      </c>
      <c r="P2750">
        <f>SUM('19_Расчет_аналитики'!P2744:P2749)</f>
        <v/>
      </c>
      <c r="Q2750">
        <f>SUM('19_Расчет_аналитики'!Q2744:Q2749)</f>
        <v/>
      </c>
      <c r="R2750">
        <f>SUM('19_Расчет_аналитики'!R2744:R2749)</f>
        <v/>
      </c>
      <c r="S2750">
        <f>SUM('19_Расчет_аналитики'!S2744:S2749)</f>
        <v/>
      </c>
      <c r="T2750">
        <f>SUM('19_Расчет_аналитики'!T2744:T2749)</f>
        <v/>
      </c>
      <c r="U2750">
        <f>SUM('19_Расчет_аналитики'!U2744:U2749)</f>
        <v/>
      </c>
      <c r="V2750">
        <f>SUM('19_Расчет_аналитики'!V2744:V2749)</f>
        <v/>
      </c>
      <c r="W2750">
        <f>SUM('19_Расчет_аналитики'!W2744:W2749)</f>
        <v/>
      </c>
      <c r="X2750">
        <f>SUM('19_Расчет_аналитики'!X2744:X2749)</f>
        <v/>
      </c>
      <c r="Y2750">
        <f>SUM('19_Расчет_аналитики'!Y2744:Y2749)</f>
        <v/>
      </c>
      <c r="Z2750">
        <f>SUM('19_Расчет_аналитики'!Z2744:Z2749)</f>
        <v/>
      </c>
      <c r="AA2750">
        <f>SUM('19_Расчет_аналитики'!AA2744:AA2749)</f>
        <v/>
      </c>
      <c r="AB2750">
        <f>SUM('19_Расчет_аналитики'!AB2744:AB2749)</f>
        <v/>
      </c>
      <c r="AC2750">
        <f>SUM('19_Расчет_аналитики'!AC2744:AC2749)</f>
        <v/>
      </c>
      <c r="AD2750">
        <f>SUM('19_Расчет_аналитики'!AD2744:AD2749)</f>
        <v/>
      </c>
      <c r="AE2750">
        <f>SUM('19_Расчет_аналитики'!AE2744:AE2749)</f>
        <v/>
      </c>
      <c r="AF2750">
        <f>SUM('19_Расчет_аналитики'!AF2744:AF2749)</f>
        <v/>
      </c>
      <c r="AG2750">
        <f>SUM('19_Расчет_аналитики'!AG2744:AG2749)</f>
        <v/>
      </c>
      <c r="AH2750">
        <f>SUM('19_Расчет_аналитики'!AH2744:AH2749)</f>
        <v/>
      </c>
      <c r="AI2750">
        <f>SUM('19_Расчет_аналитики'!AI2744:AI2749)</f>
        <v/>
      </c>
      <c r="AJ2750">
        <f>SUM('19_Расчет_аналитики'!AJ2744:AJ2749)</f>
        <v/>
      </c>
      <c r="AK2750">
        <f>SUM('19_Расчет_аналитики'!AK2744:AK2749)</f>
        <v/>
      </c>
      <c r="AL2750">
        <f>SUM('19_Расчет_аналитики'!AL2744:AL2749)</f>
        <v/>
      </c>
      <c r="AM2750">
        <f>SUM('19_Расчет_аналитики'!AM2744:AM2749)</f>
        <v/>
      </c>
      <c r="AN2750">
        <f>SUM('19_Расчет_аналитики'!AN2744:AN2749)</f>
        <v/>
      </c>
      <c r="AO2750">
        <f>SUM('19_Расчет_аналитики'!AO2744:AO2749)</f>
        <v/>
      </c>
      <c r="AP2750">
        <f>SUM('19_Расчет_аналитики'!AP2744:AP2749)</f>
        <v/>
      </c>
      <c r="AQ2750">
        <f>SUM('19_Расчет_аналитики'!AQ2744:AQ2749)</f>
        <v/>
      </c>
      <c r="AR2750">
        <f>SUM('19_Расчет_аналитики'!AR2744:AR2749)</f>
        <v/>
      </c>
      <c r="AS2750">
        <f>SUM('19_Расчет_аналитики'!AS2744:AS2749)</f>
        <v/>
      </c>
      <c r="AT2750">
        <f>SUM('19_Расчет_аналитики'!AT2744:AT2749)</f>
        <v/>
      </c>
      <c r="AU2750">
        <f>SUM('19_Расчет_аналитики'!AU2744:AU2749)</f>
        <v/>
      </c>
      <c r="AV2750">
        <f>SUM('19_Расчет_аналитики'!AV2744:AV2749)</f>
        <v/>
      </c>
      <c r="AW2750">
        <f>SUM('19_Расчет_аналитики'!AW2744:AW2749)</f>
        <v/>
      </c>
      <c r="AX2750">
        <f>SUM('19_Расчет_аналитики'!AX2744:AX2749)</f>
        <v/>
      </c>
      <c r="AY2750">
        <f>SUM('19_Расчет_аналитики'!AY2744:AY2749)</f>
        <v/>
      </c>
      <c r="AZ2750">
        <f>SUM('19_Расчет_аналитики'!AZ2744:AZ2749)</f>
        <v/>
      </c>
      <c r="BA2750">
        <f>SUM('19_Расчет_аналитики'!BA2744:BA2749)</f>
        <v/>
      </c>
      <c r="BB2750">
        <f>SUM('19_Расчет_аналитики'!BB2744:BB2749)</f>
        <v/>
      </c>
      <c r="BC2750">
        <f>SUM('19_Расчет_аналитики'!BC2744:BC2749)</f>
        <v/>
      </c>
      <c r="BD2750">
        <f>SUM('19_Расчет_аналитики'!BD2744:BD2749)</f>
        <v/>
      </c>
      <c r="BE2750">
        <f>SUM('19_Расчет_аналитики'!BE2744:BE2749)</f>
        <v/>
      </c>
      <c r="BF2750">
        <f>SUM('19_Расчет_аналитики'!BF2744:BF2749)</f>
        <v/>
      </c>
      <c r="BG2750">
        <f>SUM('19_Расчет_аналитики'!BG2744:BG2749)</f>
        <v/>
      </c>
      <c r="BH2750">
        <f>SUM('19_Расчет_аналитики'!BH2744:BH2749)</f>
        <v/>
      </c>
      <c r="BI2750">
        <f>SUM('19_Расчет_аналитики'!BI2744:BI2749)</f>
        <v/>
      </c>
    </row>
    <row r="2751">
      <c r="B2751">
        <f>'19_Расчет_аналитики'!B2741-'19_Расчет_аналитики'!B2750</f>
        <v/>
      </c>
      <c r="C2751">
        <f>'19_Расчет_аналитики'!C2741-'19_Расчет_аналитики'!C2750</f>
        <v/>
      </c>
      <c r="D2751">
        <f>'19_Расчет_аналитики'!D2741-'19_Расчет_аналитики'!D2750</f>
        <v/>
      </c>
      <c r="E2751">
        <f>'19_Расчет_аналитики'!E2741-'19_Расчет_аналитики'!E2750</f>
        <v/>
      </c>
      <c r="F2751">
        <f>'19_Расчет_аналитики'!F2741-'19_Расчет_аналитики'!F2750</f>
        <v/>
      </c>
      <c r="G2751">
        <f>'19_Расчет_аналитики'!G2741-'19_Расчет_аналитики'!G2750</f>
        <v/>
      </c>
      <c r="H2751">
        <f>'19_Расчет_аналитики'!H2741-'19_Расчет_аналитики'!H2750</f>
        <v/>
      </c>
      <c r="I2751">
        <f>'19_Расчет_аналитики'!I2741-'19_Расчет_аналитики'!I2750</f>
        <v/>
      </c>
      <c r="J2751">
        <f>'19_Расчет_аналитики'!J2741-'19_Расчет_аналитики'!J2750</f>
        <v/>
      </c>
      <c r="K2751">
        <f>'19_Расчет_аналитики'!K2741-'19_Расчет_аналитики'!K2750</f>
        <v/>
      </c>
      <c r="L2751">
        <f>'19_Расчет_аналитики'!L2741-'19_Расчет_аналитики'!L2750</f>
        <v/>
      </c>
      <c r="M2751">
        <f>'19_Расчет_аналитики'!M2741-'19_Расчет_аналитики'!M2750</f>
        <v/>
      </c>
      <c r="N2751">
        <f>'19_Расчет_аналитики'!N2741-'19_Расчет_аналитики'!N2750</f>
        <v/>
      </c>
      <c r="O2751">
        <f>'19_Расчет_аналитики'!O2741-'19_Расчет_аналитики'!O2750</f>
        <v/>
      </c>
      <c r="P2751">
        <f>'19_Расчет_аналитики'!P2741-'19_Расчет_аналитики'!P2750</f>
        <v/>
      </c>
      <c r="Q2751">
        <f>'19_Расчет_аналитики'!Q2741-'19_Расчет_аналитики'!Q2750</f>
        <v/>
      </c>
      <c r="R2751">
        <f>'19_Расчет_аналитики'!R2741-'19_Расчет_аналитики'!R2750</f>
        <v/>
      </c>
      <c r="S2751">
        <f>'19_Расчет_аналитики'!S2741-'19_Расчет_аналитики'!S2750</f>
        <v/>
      </c>
      <c r="T2751">
        <f>'19_Расчет_аналитики'!T2741-'19_Расчет_аналитики'!T2750</f>
        <v/>
      </c>
      <c r="U2751">
        <f>'19_Расчет_аналитики'!U2741-'19_Расчет_аналитики'!U2750</f>
        <v/>
      </c>
      <c r="V2751">
        <f>'19_Расчет_аналитики'!V2741-'19_Расчет_аналитики'!V2750</f>
        <v/>
      </c>
      <c r="W2751">
        <f>'19_Расчет_аналитики'!W2741-'19_Расчет_аналитики'!W2750</f>
        <v/>
      </c>
      <c r="X2751">
        <f>'19_Расчет_аналитики'!X2741-'19_Расчет_аналитики'!X2750</f>
        <v/>
      </c>
      <c r="Y2751">
        <f>'19_Расчет_аналитики'!Y2741-'19_Расчет_аналитики'!Y2750</f>
        <v/>
      </c>
      <c r="Z2751">
        <f>'19_Расчет_аналитики'!Z2741-'19_Расчет_аналитики'!Z2750</f>
        <v/>
      </c>
      <c r="AA2751">
        <f>'19_Расчет_аналитики'!AA2741-'19_Расчет_аналитики'!AA2750</f>
        <v/>
      </c>
      <c r="AB2751">
        <f>'19_Расчет_аналитики'!AB2741-'19_Расчет_аналитики'!AB2750</f>
        <v/>
      </c>
      <c r="AC2751">
        <f>'19_Расчет_аналитики'!AC2741-'19_Расчет_аналитики'!AC2750</f>
        <v/>
      </c>
      <c r="AD2751">
        <f>'19_Расчет_аналитики'!AD2741-'19_Расчет_аналитики'!AD2750</f>
        <v/>
      </c>
      <c r="AE2751">
        <f>'19_Расчет_аналитики'!AE2741-'19_Расчет_аналитики'!AE2750</f>
        <v/>
      </c>
      <c r="AF2751">
        <f>'19_Расчет_аналитики'!AF2741-'19_Расчет_аналитики'!AF2750</f>
        <v/>
      </c>
      <c r="AG2751">
        <f>'19_Расчет_аналитики'!AG2741-'19_Расчет_аналитики'!AG2750</f>
        <v/>
      </c>
      <c r="AH2751">
        <f>'19_Расчет_аналитики'!AH2741-'19_Расчет_аналитики'!AH2750</f>
        <v/>
      </c>
      <c r="AI2751">
        <f>'19_Расчет_аналитики'!AI2741-'19_Расчет_аналитики'!AI2750</f>
        <v/>
      </c>
      <c r="AJ2751">
        <f>'19_Расчет_аналитики'!AJ2741-'19_Расчет_аналитики'!AJ2750</f>
        <v/>
      </c>
      <c r="AK2751">
        <f>'19_Расчет_аналитики'!AK2741-'19_Расчет_аналитики'!AK2750</f>
        <v/>
      </c>
      <c r="AL2751">
        <f>'19_Расчет_аналитики'!AL2741-'19_Расчет_аналитики'!AL2750</f>
        <v/>
      </c>
      <c r="AM2751">
        <f>'19_Расчет_аналитики'!AM2741-'19_Расчет_аналитики'!AM2750</f>
        <v/>
      </c>
      <c r="AN2751">
        <f>'19_Расчет_аналитики'!AN2741-'19_Расчет_аналитики'!AN2750</f>
        <v/>
      </c>
      <c r="AO2751">
        <f>'19_Расчет_аналитики'!AO2741-'19_Расчет_аналитики'!AO2750</f>
        <v/>
      </c>
      <c r="AP2751">
        <f>'19_Расчет_аналитики'!AP2741-'19_Расчет_аналитики'!AP2750</f>
        <v/>
      </c>
      <c r="AQ2751">
        <f>'19_Расчет_аналитики'!AQ2741-'19_Расчет_аналитики'!AQ2750</f>
        <v/>
      </c>
      <c r="AR2751">
        <f>'19_Расчет_аналитики'!AR2741-'19_Расчет_аналитики'!AR2750</f>
        <v/>
      </c>
      <c r="AS2751">
        <f>'19_Расчет_аналитики'!AS2741-'19_Расчет_аналитики'!AS2750</f>
        <v/>
      </c>
      <c r="AT2751">
        <f>'19_Расчет_аналитики'!AT2741-'19_Расчет_аналитики'!AT2750</f>
        <v/>
      </c>
      <c r="AU2751">
        <f>'19_Расчет_аналитики'!AU2741-'19_Расчет_аналитики'!AU2750</f>
        <v/>
      </c>
      <c r="AV2751">
        <f>'19_Расчет_аналитики'!AV2741-'19_Расчет_аналитики'!AV2750</f>
        <v/>
      </c>
      <c r="AW2751">
        <f>'19_Расчет_аналитики'!AW2741-'19_Расчет_аналитики'!AW2750</f>
        <v/>
      </c>
      <c r="AX2751">
        <f>'19_Расчет_аналитики'!AX2741-'19_Расчет_аналитики'!AX2750</f>
        <v/>
      </c>
      <c r="AY2751">
        <f>'19_Расчет_аналитики'!AY2741-'19_Расчет_аналитики'!AY2750</f>
        <v/>
      </c>
      <c r="AZ2751">
        <f>'19_Расчет_аналитики'!AZ2741-'19_Расчет_аналитики'!AZ2750</f>
        <v/>
      </c>
      <c r="BA2751">
        <f>'19_Расчет_аналитики'!BA2741-'19_Расчет_аналитики'!BA2750</f>
        <v/>
      </c>
      <c r="BB2751">
        <f>'19_Расчет_аналитики'!BB2741-'19_Расчет_аналитики'!BB2750</f>
        <v/>
      </c>
      <c r="BC2751">
        <f>'19_Расчет_аналитики'!BC2741-'19_Расчет_аналитики'!BC2750</f>
        <v/>
      </c>
      <c r="BD2751">
        <f>'19_Расчет_аналитики'!BD2741-'19_Расчет_аналитики'!BD2750</f>
        <v/>
      </c>
      <c r="BE2751">
        <f>'19_Расчет_аналитики'!BE2741-'19_Расчет_аналитики'!BE2750</f>
        <v/>
      </c>
      <c r="BF2751">
        <f>'19_Расчет_аналитики'!BF2741-'19_Расчет_аналитики'!BF2750</f>
        <v/>
      </c>
      <c r="BG2751">
        <f>'19_Расчет_аналитики'!BG2741-'19_Расчет_аналитики'!BG2750</f>
        <v/>
      </c>
      <c r="BH2751">
        <f>'19_Расчет_аналитики'!BH2741-'19_Расчет_аналитики'!BH2750</f>
        <v/>
      </c>
      <c r="BI2751">
        <f>'19_Расчет_аналитики'!BI2741-'19_Расчет_аналитики'!BI2750</f>
        <v/>
      </c>
    </row>
    <row r="2752"/>
    <row r="2753"/>
    <row r="2754">
      <c r="B2754">
        <f>'02_Модель'!B36</f>
        <v/>
      </c>
      <c r="C2754">
        <f>'19_Расчет_аналитики'!C2689</f>
        <v/>
      </c>
      <c r="D2754">
        <f>'19_Расчет_аналитики'!D2689</f>
        <v/>
      </c>
      <c r="E2754">
        <f>'19_Расчет_аналитики'!E2689</f>
        <v/>
      </c>
      <c r="F2754">
        <f>'19_Расчет_аналитики'!F2689</f>
        <v/>
      </c>
      <c r="G2754">
        <f>'19_Расчет_аналитики'!G2689</f>
        <v/>
      </c>
      <c r="H2754">
        <f>'19_Расчет_аналитики'!H2689</f>
        <v/>
      </c>
      <c r="I2754">
        <f>'19_Расчет_аналитики'!I2689</f>
        <v/>
      </c>
      <c r="J2754">
        <f>'19_Расчет_аналитики'!J2689</f>
        <v/>
      </c>
      <c r="K2754">
        <f>'19_Расчет_аналитики'!K2689</f>
        <v/>
      </c>
      <c r="L2754">
        <f>'19_Расчет_аналитики'!L2689</f>
        <v/>
      </c>
      <c r="M2754">
        <f>'19_Расчет_аналитики'!M2689</f>
        <v/>
      </c>
      <c r="N2754">
        <f>'19_Расчет_аналитики'!N2689</f>
        <v/>
      </c>
      <c r="O2754">
        <f>'19_Расчет_аналитики'!O2689</f>
        <v/>
      </c>
      <c r="P2754">
        <f>'19_Расчет_аналитики'!P2689</f>
        <v/>
      </c>
      <c r="Q2754">
        <f>'19_Расчет_аналитики'!Q2689</f>
        <v/>
      </c>
      <c r="R2754">
        <f>'19_Расчет_аналитики'!R2689</f>
        <v/>
      </c>
      <c r="S2754">
        <f>'19_Расчет_аналитики'!S2689</f>
        <v/>
      </c>
      <c r="T2754">
        <f>'19_Расчет_аналитики'!T2689</f>
        <v/>
      </c>
      <c r="U2754">
        <f>'19_Расчет_аналитики'!U2689</f>
        <v/>
      </c>
      <c r="V2754">
        <f>'19_Расчет_аналитики'!V2689</f>
        <v/>
      </c>
      <c r="W2754">
        <f>'19_Расчет_аналитики'!W2689</f>
        <v/>
      </c>
      <c r="X2754">
        <f>'19_Расчет_аналитики'!X2689</f>
        <v/>
      </c>
      <c r="Y2754">
        <f>'19_Расчет_аналитики'!Y2689</f>
        <v/>
      </c>
      <c r="Z2754">
        <f>'19_Расчет_аналитики'!Z2689</f>
        <v/>
      </c>
      <c r="AA2754">
        <f>'19_Расчет_аналитики'!AA2689</f>
        <v/>
      </c>
      <c r="AB2754">
        <f>'19_Расчет_аналитики'!AB2689</f>
        <v/>
      </c>
      <c r="AC2754">
        <f>'19_Расчет_аналитики'!AC2689</f>
        <v/>
      </c>
      <c r="AD2754">
        <f>'19_Расчет_аналитики'!AD2689</f>
        <v/>
      </c>
      <c r="AE2754">
        <f>'19_Расчет_аналитики'!AE2689</f>
        <v/>
      </c>
      <c r="AF2754">
        <f>'19_Расчет_аналитики'!AF2689</f>
        <v/>
      </c>
      <c r="AG2754">
        <f>'19_Расчет_аналитики'!AG2689</f>
        <v/>
      </c>
      <c r="AH2754">
        <f>'19_Расчет_аналитики'!AH2689</f>
        <v/>
      </c>
      <c r="AI2754">
        <f>'19_Расчет_аналитики'!AI2689</f>
        <v/>
      </c>
      <c r="AJ2754">
        <f>'19_Расчет_аналитики'!AJ2689</f>
        <v/>
      </c>
      <c r="AK2754">
        <f>'19_Расчет_аналитики'!AK2689</f>
        <v/>
      </c>
      <c r="AL2754">
        <f>'19_Расчет_аналитики'!AL2689</f>
        <v/>
      </c>
      <c r="AM2754">
        <f>'19_Расчет_аналитики'!AM2689</f>
        <v/>
      </c>
      <c r="AN2754">
        <f>'19_Расчет_аналитики'!AN2689</f>
        <v/>
      </c>
      <c r="AO2754">
        <f>'19_Расчет_аналитики'!AO2689</f>
        <v/>
      </c>
      <c r="AP2754">
        <f>'19_Расчет_аналитики'!AP2689</f>
        <v/>
      </c>
      <c r="AQ2754">
        <f>'19_Расчет_аналитики'!AQ2689</f>
        <v/>
      </c>
      <c r="AR2754">
        <f>'19_Расчет_аналитики'!AR2689</f>
        <v/>
      </c>
      <c r="AS2754">
        <f>'19_Расчет_аналитики'!AS2689</f>
        <v/>
      </c>
      <c r="AT2754">
        <f>'19_Расчет_аналитики'!AT2689</f>
        <v/>
      </c>
      <c r="AU2754">
        <f>'19_Расчет_аналитики'!AU2689</f>
        <v/>
      </c>
      <c r="AV2754">
        <f>'19_Расчет_аналитики'!AV2689</f>
        <v/>
      </c>
      <c r="AW2754">
        <f>'19_Расчет_аналитики'!AW2689</f>
        <v/>
      </c>
      <c r="AX2754">
        <f>'19_Расчет_аналитики'!AX2689</f>
        <v/>
      </c>
      <c r="AY2754">
        <f>'19_Расчет_аналитики'!AY2689</f>
        <v/>
      </c>
      <c r="AZ2754">
        <f>'19_Расчет_аналитики'!AZ2689</f>
        <v/>
      </c>
      <c r="BA2754">
        <f>'19_Расчет_аналитики'!BA2689</f>
        <v/>
      </c>
      <c r="BB2754">
        <f>'19_Расчет_аналитики'!BB2689</f>
        <v/>
      </c>
      <c r="BC2754">
        <f>'19_Расчет_аналитики'!BC2689</f>
        <v/>
      </c>
      <c r="BD2754">
        <f>'19_Расчет_аналитики'!BD2689</f>
        <v/>
      </c>
      <c r="BE2754">
        <f>'19_Расчет_аналитики'!BE2689</f>
        <v/>
      </c>
      <c r="BF2754">
        <f>'19_Расчет_аналитики'!BF2689</f>
        <v/>
      </c>
      <c r="BG2754">
        <f>'19_Расчет_аналитики'!BG2689</f>
        <v/>
      </c>
      <c r="BH2754">
        <f>'19_Расчет_аналитики'!BH2689</f>
        <v/>
      </c>
      <c r="BI2754">
        <f>'19_Расчет_аналитики'!BI2689</f>
        <v/>
      </c>
    </row>
    <row r="2755">
      <c r="B2755">
        <f>('01_Вводные'!$B$105+(MAX(0,'06_Сеть_и_дети'!B11-'01_Вводные'!$B$106)+'19_Расчет_аналитики'!B2423)*'01_Вводные'!$B$107)*'18_Календарь_тарифы'!B4</f>
        <v/>
      </c>
      <c r="C2755">
        <f>('01_Вводные'!$B$105+(MAX(0,'06_Сеть_и_дети'!C11-'01_Вводные'!$B$106)+'19_Расчет_аналитики'!C2423)*'01_Вводные'!$B$107)*'18_Календарь_тарифы'!C4</f>
        <v/>
      </c>
      <c r="D2755">
        <f>('01_Вводные'!$B$105+(MAX(0,'06_Сеть_и_дети'!D11-'01_Вводные'!$B$106)+'19_Расчет_аналитики'!D2423)*'01_Вводные'!$B$107)*'18_Календарь_тарифы'!D4</f>
        <v/>
      </c>
      <c r="E2755">
        <f>('01_Вводные'!$B$105+(MAX(0,'06_Сеть_и_дети'!E11-'01_Вводные'!$B$106)+'19_Расчет_аналитики'!E2423)*'01_Вводные'!$B$107)*'18_Календарь_тарифы'!E4</f>
        <v/>
      </c>
      <c r="F2755">
        <f>('01_Вводные'!$B$105+(MAX(0,'06_Сеть_и_дети'!F11-'01_Вводные'!$B$106)+'19_Расчет_аналитики'!F2423)*'01_Вводные'!$B$107)*'18_Календарь_тарифы'!F4</f>
        <v/>
      </c>
      <c r="G2755">
        <f>('01_Вводные'!$B$105+(MAX(0,'06_Сеть_и_дети'!G11-'01_Вводные'!$B$106)+'19_Расчет_аналитики'!G2423)*'01_Вводные'!$B$107)*'18_Календарь_тарифы'!G4</f>
        <v/>
      </c>
      <c r="H2755">
        <f>('01_Вводные'!$B$105+(MAX(0,'06_Сеть_и_дети'!H11-'01_Вводные'!$B$106)+'19_Расчет_аналитики'!H2423)*'01_Вводные'!$B$107)*'18_Календарь_тарифы'!H4</f>
        <v/>
      </c>
      <c r="I2755">
        <f>('01_Вводные'!$B$105+(MAX(0,'06_Сеть_и_дети'!I11-'01_Вводные'!$B$106)+'19_Расчет_аналитики'!I2423)*'01_Вводные'!$B$107)*'18_Календарь_тарифы'!I4</f>
        <v/>
      </c>
      <c r="J2755">
        <f>('01_Вводные'!$B$105+(MAX(0,'06_Сеть_и_дети'!J11-'01_Вводные'!$B$106)+'19_Расчет_аналитики'!J2423)*'01_Вводные'!$B$107)*'18_Календарь_тарифы'!J4</f>
        <v/>
      </c>
      <c r="K2755">
        <f>('01_Вводные'!$B$105+(MAX(0,'06_Сеть_и_дети'!K11-'01_Вводные'!$B$106)+'19_Расчет_аналитики'!K2423)*'01_Вводные'!$B$107)*'18_Календарь_тарифы'!K4</f>
        <v/>
      </c>
      <c r="L2755">
        <f>('01_Вводные'!$B$105+(MAX(0,'06_Сеть_и_дети'!L11-'01_Вводные'!$B$106)+'19_Расчет_аналитики'!L2423)*'01_Вводные'!$B$107)*'18_Календарь_тарифы'!L4</f>
        <v/>
      </c>
      <c r="M2755">
        <f>('01_Вводные'!$B$105+(MAX(0,'06_Сеть_и_дети'!M11-'01_Вводные'!$B$106)+'19_Расчет_аналитики'!M2423)*'01_Вводные'!$B$107)*'18_Календарь_тарифы'!M4</f>
        <v/>
      </c>
      <c r="N2755">
        <f>('01_Вводные'!$B$105+(MAX(0,'06_Сеть_и_дети'!N11-'01_Вводные'!$B$106)+'19_Расчет_аналитики'!N2423)*'01_Вводные'!$B$107)*'18_Календарь_тарифы'!N4</f>
        <v/>
      </c>
      <c r="O2755">
        <f>('01_Вводные'!$B$105+(MAX(0,'06_Сеть_и_дети'!O11-'01_Вводные'!$B$106)+'19_Расчет_аналитики'!O2423)*'01_Вводные'!$B$107)*'18_Календарь_тарифы'!O4</f>
        <v/>
      </c>
      <c r="P2755">
        <f>('01_Вводные'!$B$105+(MAX(0,'06_Сеть_и_дети'!P11-'01_Вводные'!$B$106)+'19_Расчет_аналитики'!P2423)*'01_Вводные'!$B$107)*'18_Календарь_тарифы'!P4</f>
        <v/>
      </c>
      <c r="Q2755">
        <f>('01_Вводные'!$B$105+(MAX(0,'06_Сеть_и_дети'!Q11-'01_Вводные'!$B$106)+'19_Расчет_аналитики'!Q2423)*'01_Вводные'!$B$107)*'18_Календарь_тарифы'!Q4</f>
        <v/>
      </c>
      <c r="R2755">
        <f>('01_Вводные'!$B$105+(MAX(0,'06_Сеть_и_дети'!R11-'01_Вводные'!$B$106)+'19_Расчет_аналитики'!R2423)*'01_Вводные'!$B$107)*'18_Календарь_тарифы'!R4</f>
        <v/>
      </c>
      <c r="S2755">
        <f>('01_Вводные'!$B$105+(MAX(0,'06_Сеть_и_дети'!S11-'01_Вводные'!$B$106)+'19_Расчет_аналитики'!S2423)*'01_Вводные'!$B$107)*'18_Календарь_тарифы'!S4</f>
        <v/>
      </c>
      <c r="T2755">
        <f>('01_Вводные'!$B$105+(MAX(0,'06_Сеть_и_дети'!T11-'01_Вводные'!$B$106)+'19_Расчет_аналитики'!T2423)*'01_Вводные'!$B$107)*'18_Календарь_тарифы'!T4</f>
        <v/>
      </c>
      <c r="U2755">
        <f>('01_Вводные'!$B$105+(MAX(0,'06_Сеть_и_дети'!U11-'01_Вводные'!$B$106)+'19_Расчет_аналитики'!U2423)*'01_Вводные'!$B$107)*'18_Календарь_тарифы'!U4</f>
        <v/>
      </c>
      <c r="V2755">
        <f>('01_Вводные'!$B$105+(MAX(0,'06_Сеть_и_дети'!V11-'01_Вводные'!$B$106)+'19_Расчет_аналитики'!V2423)*'01_Вводные'!$B$107)*'18_Календарь_тарифы'!V4</f>
        <v/>
      </c>
      <c r="W2755">
        <f>('01_Вводные'!$B$105+(MAX(0,'06_Сеть_и_дети'!W11-'01_Вводные'!$B$106)+'19_Расчет_аналитики'!W2423)*'01_Вводные'!$B$107)*'18_Календарь_тарифы'!W4</f>
        <v/>
      </c>
      <c r="X2755">
        <f>('01_Вводные'!$B$105+(MAX(0,'06_Сеть_и_дети'!X11-'01_Вводные'!$B$106)+'19_Расчет_аналитики'!X2423)*'01_Вводные'!$B$107)*'18_Календарь_тарифы'!X4</f>
        <v/>
      </c>
      <c r="Y2755">
        <f>('01_Вводные'!$B$105+(MAX(0,'06_Сеть_и_дети'!Y11-'01_Вводные'!$B$106)+'19_Расчет_аналитики'!Y2423)*'01_Вводные'!$B$107)*'18_Календарь_тарифы'!Y4</f>
        <v/>
      </c>
      <c r="Z2755">
        <f>('01_Вводные'!$B$105+(MAX(0,'06_Сеть_и_дети'!Z11-'01_Вводные'!$B$106)+'19_Расчет_аналитики'!Z2423)*'01_Вводные'!$B$107)*'18_Календарь_тарифы'!Z4</f>
        <v/>
      </c>
      <c r="AA2755">
        <f>('01_Вводные'!$B$105+(MAX(0,'06_Сеть_и_дети'!AA11-'01_Вводные'!$B$106)+'19_Расчет_аналитики'!AA2423)*'01_Вводные'!$B$107)*'18_Календарь_тарифы'!AA4</f>
        <v/>
      </c>
      <c r="AB2755">
        <f>('01_Вводные'!$B$105+(MAX(0,'06_Сеть_и_дети'!AB11-'01_Вводные'!$B$106)+'19_Расчет_аналитики'!AB2423)*'01_Вводные'!$B$107)*'18_Календарь_тарифы'!AB4</f>
        <v/>
      </c>
      <c r="AC2755">
        <f>('01_Вводные'!$B$105+(MAX(0,'06_Сеть_и_дети'!AC11-'01_Вводные'!$B$106)+'19_Расчет_аналитики'!AC2423)*'01_Вводные'!$B$107)*'18_Календарь_тарифы'!AC4</f>
        <v/>
      </c>
      <c r="AD2755">
        <f>('01_Вводные'!$B$105+(MAX(0,'06_Сеть_и_дети'!AD11-'01_Вводные'!$B$106)+'19_Расчет_аналитики'!AD2423)*'01_Вводные'!$B$107)*'18_Календарь_тарифы'!AD4</f>
        <v/>
      </c>
      <c r="AE2755">
        <f>('01_Вводные'!$B$105+(MAX(0,'06_Сеть_и_дети'!AE11-'01_Вводные'!$B$106)+'19_Расчет_аналитики'!AE2423)*'01_Вводные'!$B$107)*'18_Календарь_тарифы'!AE4</f>
        <v/>
      </c>
      <c r="AF2755">
        <f>('01_Вводные'!$B$105+(MAX(0,'06_Сеть_и_дети'!AF11-'01_Вводные'!$B$106)+'19_Расчет_аналитики'!AF2423)*'01_Вводные'!$B$107)*'18_Календарь_тарифы'!AF4</f>
        <v/>
      </c>
      <c r="AG2755">
        <f>('01_Вводные'!$B$105+(MAX(0,'06_Сеть_и_дети'!AG11-'01_Вводные'!$B$106)+'19_Расчет_аналитики'!AG2423)*'01_Вводные'!$B$107)*'18_Календарь_тарифы'!AG4</f>
        <v/>
      </c>
      <c r="AH2755">
        <f>('01_Вводные'!$B$105+(MAX(0,'06_Сеть_и_дети'!AH11-'01_Вводные'!$B$106)+'19_Расчет_аналитики'!AH2423)*'01_Вводные'!$B$107)*'18_Календарь_тарифы'!AH4</f>
        <v/>
      </c>
      <c r="AI2755">
        <f>('01_Вводные'!$B$105+(MAX(0,'06_Сеть_и_дети'!AI11-'01_Вводные'!$B$106)+'19_Расчет_аналитики'!AI2423)*'01_Вводные'!$B$107)*'18_Календарь_тарифы'!AI4</f>
        <v/>
      </c>
      <c r="AJ2755">
        <f>('01_Вводные'!$B$105+(MAX(0,'06_Сеть_и_дети'!AJ11-'01_Вводные'!$B$106)+'19_Расчет_аналитики'!AJ2423)*'01_Вводные'!$B$107)*'18_Календарь_тарифы'!AJ4</f>
        <v/>
      </c>
      <c r="AK2755">
        <f>('01_Вводные'!$B$105+(MAX(0,'06_Сеть_и_дети'!AK11-'01_Вводные'!$B$106)+'19_Расчет_аналитики'!AK2423)*'01_Вводные'!$B$107)*'18_Календарь_тарифы'!AK4</f>
        <v/>
      </c>
      <c r="AL2755">
        <f>('01_Вводные'!$B$105+(MAX(0,'06_Сеть_и_дети'!AL11-'01_Вводные'!$B$106)+'19_Расчет_аналитики'!AL2423)*'01_Вводные'!$B$107)*'18_Календарь_тарифы'!AL4</f>
        <v/>
      </c>
      <c r="AM2755">
        <f>('01_Вводные'!$B$105+(MAX(0,'06_Сеть_и_дети'!AM11-'01_Вводные'!$B$106)+'19_Расчет_аналитики'!AM2423)*'01_Вводные'!$B$107)*'18_Календарь_тарифы'!AM4</f>
        <v/>
      </c>
      <c r="AN2755">
        <f>('01_Вводные'!$B$105+(MAX(0,'06_Сеть_и_дети'!AN11-'01_Вводные'!$B$106)+'19_Расчет_аналитики'!AN2423)*'01_Вводные'!$B$107)*'18_Календарь_тарифы'!AN4</f>
        <v/>
      </c>
      <c r="AO2755">
        <f>('01_Вводные'!$B$105+(MAX(0,'06_Сеть_и_дети'!AO11-'01_Вводные'!$B$106)+'19_Расчет_аналитики'!AO2423)*'01_Вводные'!$B$107)*'18_Календарь_тарифы'!AO4</f>
        <v/>
      </c>
      <c r="AP2755">
        <f>('01_Вводные'!$B$105+(MAX(0,'06_Сеть_и_дети'!AP11-'01_Вводные'!$B$106)+'19_Расчет_аналитики'!AP2423)*'01_Вводные'!$B$107)*'18_Календарь_тарифы'!AP4</f>
        <v/>
      </c>
      <c r="AQ2755">
        <f>('01_Вводные'!$B$105+(MAX(0,'06_Сеть_и_дети'!AQ11-'01_Вводные'!$B$106)+'19_Расчет_аналитики'!AQ2423)*'01_Вводные'!$B$107)*'18_Календарь_тарифы'!AQ4</f>
        <v/>
      </c>
      <c r="AR2755">
        <f>('01_Вводные'!$B$105+(MAX(0,'06_Сеть_и_дети'!AR11-'01_Вводные'!$B$106)+'19_Расчет_аналитики'!AR2423)*'01_Вводные'!$B$107)*'18_Календарь_тарифы'!AR4</f>
        <v/>
      </c>
      <c r="AS2755">
        <f>('01_Вводные'!$B$105+(MAX(0,'06_Сеть_и_дети'!AS11-'01_Вводные'!$B$106)+'19_Расчет_аналитики'!AS2423)*'01_Вводные'!$B$107)*'18_Календарь_тарифы'!AS4</f>
        <v/>
      </c>
      <c r="AT2755">
        <f>('01_Вводные'!$B$105+(MAX(0,'06_Сеть_и_дети'!AT11-'01_Вводные'!$B$106)+'19_Расчет_аналитики'!AT2423)*'01_Вводные'!$B$107)*'18_Календарь_тарифы'!AT4</f>
        <v/>
      </c>
      <c r="AU2755">
        <f>('01_Вводные'!$B$105+(MAX(0,'06_Сеть_и_дети'!AU11-'01_Вводные'!$B$106)+'19_Расчет_аналитики'!AU2423)*'01_Вводные'!$B$107)*'18_Календарь_тарифы'!AU4</f>
        <v/>
      </c>
      <c r="AV2755">
        <f>('01_Вводные'!$B$105+(MAX(0,'06_Сеть_и_дети'!AV11-'01_Вводные'!$B$106)+'19_Расчет_аналитики'!AV2423)*'01_Вводные'!$B$107)*'18_Календарь_тарифы'!AV4</f>
        <v/>
      </c>
      <c r="AW2755">
        <f>('01_Вводные'!$B$105+(MAX(0,'06_Сеть_и_дети'!AW11-'01_Вводные'!$B$106)+'19_Расчет_аналитики'!AW2423)*'01_Вводные'!$B$107)*'18_Календарь_тарифы'!AW4</f>
        <v/>
      </c>
      <c r="AX2755">
        <f>('01_Вводные'!$B$105+(MAX(0,'06_Сеть_и_дети'!AX11-'01_Вводные'!$B$106)+'19_Расчет_аналитики'!AX2423)*'01_Вводные'!$B$107)*'18_Календарь_тарифы'!AX4</f>
        <v/>
      </c>
      <c r="AY2755">
        <f>('01_Вводные'!$B$105+(MAX(0,'06_Сеть_и_дети'!AY11-'01_Вводные'!$B$106)+'19_Расчет_аналитики'!AY2423)*'01_Вводные'!$B$107)*'18_Календарь_тарифы'!AY4</f>
        <v/>
      </c>
      <c r="AZ2755">
        <f>('01_Вводные'!$B$105+(MAX(0,'06_Сеть_и_дети'!AZ11-'01_Вводные'!$B$106)+'19_Расчет_аналитики'!AZ2423)*'01_Вводные'!$B$107)*'18_Календарь_тарифы'!AZ4</f>
        <v/>
      </c>
      <c r="BA2755">
        <f>('01_Вводные'!$B$105+(MAX(0,'06_Сеть_и_дети'!BA11-'01_Вводные'!$B$106)+'19_Расчет_аналитики'!BA2423)*'01_Вводные'!$B$107)*'18_Календарь_тарифы'!BA4</f>
        <v/>
      </c>
      <c r="BB2755">
        <f>('01_Вводные'!$B$105+(MAX(0,'06_Сеть_и_дети'!BB11-'01_Вводные'!$B$106)+'19_Расчет_аналитики'!BB2423)*'01_Вводные'!$B$107)*'18_Календарь_тарифы'!BB4</f>
        <v/>
      </c>
      <c r="BC2755">
        <f>('01_Вводные'!$B$105+(MAX(0,'06_Сеть_и_дети'!BC11-'01_Вводные'!$B$106)+'19_Расчет_аналитики'!BC2423)*'01_Вводные'!$B$107)*'18_Календарь_тарифы'!BC4</f>
        <v/>
      </c>
      <c r="BD2755">
        <f>('01_Вводные'!$B$105+(MAX(0,'06_Сеть_и_дети'!BD11-'01_Вводные'!$B$106)+'19_Расчет_аналитики'!BD2423)*'01_Вводные'!$B$107)*'18_Календарь_тарифы'!BD4</f>
        <v/>
      </c>
      <c r="BE2755">
        <f>('01_Вводные'!$B$105+(MAX(0,'06_Сеть_и_дети'!BE11-'01_Вводные'!$B$106)+'19_Расчет_аналитики'!BE2423)*'01_Вводные'!$B$107)*'18_Календарь_тарифы'!BE4</f>
        <v/>
      </c>
      <c r="BF2755">
        <f>('01_Вводные'!$B$105+(MAX(0,'06_Сеть_и_дети'!BF11-'01_Вводные'!$B$106)+'19_Расчет_аналитики'!BF2423)*'01_Вводные'!$B$107)*'18_Календарь_тарифы'!BF4</f>
        <v/>
      </c>
      <c r="BG2755">
        <f>('01_Вводные'!$B$105+(MAX(0,'06_Сеть_и_дети'!BG11-'01_Вводные'!$B$106)+'19_Расчет_аналитики'!BG2423)*'01_Вводные'!$B$107)*'18_Календарь_тарифы'!BG4</f>
        <v/>
      </c>
      <c r="BH2755">
        <f>('01_Вводные'!$B$105+(MAX(0,'06_Сеть_и_дети'!BH11-'01_Вводные'!$B$106)+'19_Расчет_аналитики'!BH2423)*'01_Вводные'!$B$107)*'18_Календарь_тарифы'!BH4</f>
        <v/>
      </c>
      <c r="BI2755">
        <f>('01_Вводные'!$B$105+(MAX(0,'06_Сеть_и_дети'!BI11-'01_Вводные'!$B$106)+'19_Расчет_аналитики'!BI2423)*'01_Вводные'!$B$107)*'18_Календарь_тарифы'!BI4</f>
        <v/>
      </c>
    </row>
    <row r="2756">
      <c r="B2756">
        <f>'02_Модель'!B38</f>
        <v/>
      </c>
      <c r="C2756">
        <f>'02_Модель'!C38</f>
        <v/>
      </c>
      <c r="D2756">
        <f>'02_Модель'!D38</f>
        <v/>
      </c>
      <c r="E2756">
        <f>'02_Модель'!E38</f>
        <v/>
      </c>
      <c r="F2756">
        <f>'02_Модель'!F38</f>
        <v/>
      </c>
      <c r="G2756">
        <f>'02_Модель'!G38</f>
        <v/>
      </c>
      <c r="H2756">
        <f>'02_Модель'!H38</f>
        <v/>
      </c>
      <c r="I2756">
        <f>'02_Модель'!I38</f>
        <v/>
      </c>
      <c r="J2756">
        <f>'02_Модель'!J38</f>
        <v/>
      </c>
      <c r="K2756">
        <f>'02_Модель'!K38</f>
        <v/>
      </c>
      <c r="L2756">
        <f>'02_Модель'!L38</f>
        <v/>
      </c>
      <c r="M2756">
        <f>'02_Модель'!M38</f>
        <v/>
      </c>
      <c r="N2756">
        <f>'02_Модель'!N38</f>
        <v/>
      </c>
      <c r="O2756">
        <f>'02_Модель'!O38</f>
        <v/>
      </c>
      <c r="P2756">
        <f>'02_Модель'!P38</f>
        <v/>
      </c>
      <c r="Q2756">
        <f>'02_Модель'!Q38</f>
        <v/>
      </c>
      <c r="R2756">
        <f>'02_Модель'!R38</f>
        <v/>
      </c>
      <c r="S2756">
        <f>'02_Модель'!S38</f>
        <v/>
      </c>
      <c r="T2756">
        <f>'02_Модель'!T38</f>
        <v/>
      </c>
      <c r="U2756">
        <f>'02_Модель'!U38</f>
        <v/>
      </c>
      <c r="V2756">
        <f>'02_Модель'!V38</f>
        <v/>
      </c>
      <c r="W2756">
        <f>'02_Модель'!W38</f>
        <v/>
      </c>
      <c r="X2756">
        <f>'02_Модель'!X38</f>
        <v/>
      </c>
      <c r="Y2756">
        <f>'02_Модель'!Y38</f>
        <v/>
      </c>
      <c r="Z2756">
        <f>'02_Модель'!Z38</f>
        <v/>
      </c>
      <c r="AA2756">
        <f>'02_Модель'!AA38</f>
        <v/>
      </c>
      <c r="AB2756">
        <f>'02_Модель'!AB38</f>
        <v/>
      </c>
      <c r="AC2756">
        <f>'02_Модель'!AC38</f>
        <v/>
      </c>
      <c r="AD2756">
        <f>'02_Модель'!AD38</f>
        <v/>
      </c>
      <c r="AE2756">
        <f>'02_Модель'!AE38</f>
        <v/>
      </c>
      <c r="AF2756">
        <f>'02_Модель'!AF38</f>
        <v/>
      </c>
      <c r="AG2756">
        <f>'02_Модель'!AG38</f>
        <v/>
      </c>
      <c r="AH2756">
        <f>'02_Модель'!AH38</f>
        <v/>
      </c>
      <c r="AI2756">
        <f>'02_Модель'!AI38</f>
        <v/>
      </c>
      <c r="AJ2756">
        <f>'02_Модель'!AJ38</f>
        <v/>
      </c>
      <c r="AK2756">
        <f>'02_Модель'!AK38</f>
        <v/>
      </c>
      <c r="AL2756">
        <f>'02_Модель'!AL38</f>
        <v/>
      </c>
      <c r="AM2756">
        <f>'02_Модель'!AM38</f>
        <v/>
      </c>
      <c r="AN2756">
        <f>'02_Модель'!AN38</f>
        <v/>
      </c>
      <c r="AO2756">
        <f>'02_Модель'!AO38</f>
        <v/>
      </c>
      <c r="AP2756">
        <f>'02_Модель'!AP38</f>
        <v/>
      </c>
      <c r="AQ2756">
        <f>'02_Модель'!AQ38</f>
        <v/>
      </c>
      <c r="AR2756">
        <f>'02_Модель'!AR38</f>
        <v/>
      </c>
      <c r="AS2756">
        <f>'02_Модель'!AS38</f>
        <v/>
      </c>
      <c r="AT2756">
        <f>'02_Модель'!AT38</f>
        <v/>
      </c>
      <c r="AU2756">
        <f>'02_Модель'!AU38</f>
        <v/>
      </c>
      <c r="AV2756">
        <f>'02_Модель'!AV38</f>
        <v/>
      </c>
      <c r="AW2756">
        <f>'02_Модель'!AW38</f>
        <v/>
      </c>
      <c r="AX2756">
        <f>'02_Модель'!AX38</f>
        <v/>
      </c>
      <c r="AY2756">
        <f>'02_Модель'!AY38</f>
        <v/>
      </c>
      <c r="AZ2756">
        <f>'02_Модель'!AZ38</f>
        <v/>
      </c>
      <c r="BA2756">
        <f>'02_Модель'!BA38</f>
        <v/>
      </c>
      <c r="BB2756">
        <f>'02_Модель'!BB38</f>
        <v/>
      </c>
      <c r="BC2756">
        <f>'02_Модель'!BC38</f>
        <v/>
      </c>
      <c r="BD2756">
        <f>'02_Модель'!BD38</f>
        <v/>
      </c>
      <c r="BE2756">
        <f>'02_Модель'!BE38</f>
        <v/>
      </c>
      <c r="BF2756">
        <f>'02_Модель'!BF38</f>
        <v/>
      </c>
      <c r="BG2756">
        <f>'02_Модель'!BG38</f>
        <v/>
      </c>
      <c r="BH2756">
        <f>'02_Модель'!BH38</f>
        <v/>
      </c>
      <c r="BI2756">
        <f>'02_Модель'!BI38</f>
        <v/>
      </c>
    </row>
    <row r="2757">
      <c r="B2757">
        <f>'02_Модель'!B39</f>
        <v/>
      </c>
      <c r="C2757">
        <f>'02_Модель'!C39</f>
        <v/>
      </c>
      <c r="D2757">
        <f>'02_Модель'!D39</f>
        <v/>
      </c>
      <c r="E2757">
        <f>'02_Модель'!E39</f>
        <v/>
      </c>
      <c r="F2757">
        <f>'02_Модель'!F39</f>
        <v/>
      </c>
      <c r="G2757">
        <f>'02_Модель'!G39</f>
        <v/>
      </c>
      <c r="H2757">
        <f>'02_Модель'!H39</f>
        <v/>
      </c>
      <c r="I2757">
        <f>'02_Модель'!I39</f>
        <v/>
      </c>
      <c r="J2757">
        <f>'02_Модель'!J39</f>
        <v/>
      </c>
      <c r="K2757">
        <f>'02_Модель'!K39</f>
        <v/>
      </c>
      <c r="L2757">
        <f>'02_Модель'!L39</f>
        <v/>
      </c>
      <c r="M2757">
        <f>'02_Модель'!M39</f>
        <v/>
      </c>
      <c r="N2757">
        <f>'02_Модель'!N39</f>
        <v/>
      </c>
      <c r="O2757">
        <f>'02_Модель'!O39</f>
        <v/>
      </c>
      <c r="P2757">
        <f>'02_Модель'!P39</f>
        <v/>
      </c>
      <c r="Q2757">
        <f>'02_Модель'!Q39</f>
        <v/>
      </c>
      <c r="R2757">
        <f>'02_Модель'!R39</f>
        <v/>
      </c>
      <c r="S2757">
        <f>'02_Модель'!S39</f>
        <v/>
      </c>
      <c r="T2757">
        <f>'02_Модель'!T39</f>
        <v/>
      </c>
      <c r="U2757">
        <f>'02_Модель'!U39</f>
        <v/>
      </c>
      <c r="V2757">
        <f>'02_Модель'!V39</f>
        <v/>
      </c>
      <c r="W2757">
        <f>'02_Модель'!W39</f>
        <v/>
      </c>
      <c r="X2757">
        <f>'02_Модель'!X39</f>
        <v/>
      </c>
      <c r="Y2757">
        <f>'02_Модель'!Y39</f>
        <v/>
      </c>
      <c r="Z2757">
        <f>'02_Модель'!Z39</f>
        <v/>
      </c>
      <c r="AA2757">
        <f>'02_Модель'!AA39</f>
        <v/>
      </c>
      <c r="AB2757">
        <f>'02_Модель'!AB39</f>
        <v/>
      </c>
      <c r="AC2757">
        <f>'02_Модель'!AC39</f>
        <v/>
      </c>
      <c r="AD2757">
        <f>'02_Модель'!AD39</f>
        <v/>
      </c>
      <c r="AE2757">
        <f>'02_Модель'!AE39</f>
        <v/>
      </c>
      <c r="AF2757">
        <f>'02_Модель'!AF39</f>
        <v/>
      </c>
      <c r="AG2757">
        <f>'02_Модель'!AG39</f>
        <v/>
      </c>
      <c r="AH2757">
        <f>'02_Модель'!AH39</f>
        <v/>
      </c>
      <c r="AI2757">
        <f>'02_Модель'!AI39</f>
        <v/>
      </c>
      <c r="AJ2757">
        <f>'02_Модель'!AJ39</f>
        <v/>
      </c>
      <c r="AK2757">
        <f>'02_Модель'!AK39</f>
        <v/>
      </c>
      <c r="AL2757">
        <f>'02_Модель'!AL39</f>
        <v/>
      </c>
      <c r="AM2757">
        <f>'02_Модель'!AM39</f>
        <v/>
      </c>
      <c r="AN2757">
        <f>'02_Модель'!AN39</f>
        <v/>
      </c>
      <c r="AO2757">
        <f>'02_Модель'!AO39</f>
        <v/>
      </c>
      <c r="AP2757">
        <f>'02_Модель'!AP39</f>
        <v/>
      </c>
      <c r="AQ2757">
        <f>'02_Модель'!AQ39</f>
        <v/>
      </c>
      <c r="AR2757">
        <f>'02_Модель'!AR39</f>
        <v/>
      </c>
      <c r="AS2757">
        <f>'02_Модель'!AS39</f>
        <v/>
      </c>
      <c r="AT2757">
        <f>'02_Модель'!AT39</f>
        <v/>
      </c>
      <c r="AU2757">
        <f>'02_Модель'!AU39</f>
        <v/>
      </c>
      <c r="AV2757">
        <f>'02_Модель'!AV39</f>
        <v/>
      </c>
      <c r="AW2757">
        <f>'02_Модель'!AW39</f>
        <v/>
      </c>
      <c r="AX2757">
        <f>'02_Модель'!AX39</f>
        <v/>
      </c>
      <c r="AY2757">
        <f>'02_Модель'!AY39</f>
        <v/>
      </c>
      <c r="AZ2757">
        <f>'02_Модель'!AZ39</f>
        <v/>
      </c>
      <c r="BA2757">
        <f>'02_Модель'!BA39</f>
        <v/>
      </c>
      <c r="BB2757">
        <f>'02_Модель'!BB39</f>
        <v/>
      </c>
      <c r="BC2757">
        <f>'02_Модель'!BC39</f>
        <v/>
      </c>
      <c r="BD2757">
        <f>'02_Модель'!BD39</f>
        <v/>
      </c>
      <c r="BE2757">
        <f>'02_Модель'!BE39</f>
        <v/>
      </c>
      <c r="BF2757">
        <f>'02_Модель'!BF39</f>
        <v/>
      </c>
      <c r="BG2757">
        <f>'02_Модель'!BG39</f>
        <v/>
      </c>
      <c r="BH2757">
        <f>'02_Модель'!BH39</f>
        <v/>
      </c>
      <c r="BI2757">
        <f>'02_Модель'!BI39</f>
        <v/>
      </c>
    </row>
    <row r="2758">
      <c r="B2758">
        <f>'02_Модель'!B40</f>
        <v/>
      </c>
      <c r="C2758">
        <f>'02_Модель'!C40</f>
        <v/>
      </c>
      <c r="D2758">
        <f>'02_Модель'!D40</f>
        <v/>
      </c>
      <c r="E2758">
        <f>'02_Модель'!E40</f>
        <v/>
      </c>
      <c r="F2758">
        <f>'02_Модель'!F40</f>
        <v/>
      </c>
      <c r="G2758">
        <f>'02_Модель'!G40</f>
        <v/>
      </c>
      <c r="H2758">
        <f>'02_Модель'!H40</f>
        <v/>
      </c>
      <c r="I2758">
        <f>'02_Модель'!I40</f>
        <v/>
      </c>
      <c r="J2758">
        <f>'02_Модель'!J40</f>
        <v/>
      </c>
      <c r="K2758">
        <f>'02_Модель'!K40</f>
        <v/>
      </c>
      <c r="L2758">
        <f>'02_Модель'!L40</f>
        <v/>
      </c>
      <c r="M2758">
        <f>'02_Модель'!M40</f>
        <v/>
      </c>
      <c r="N2758">
        <f>'02_Модель'!N40</f>
        <v/>
      </c>
      <c r="O2758">
        <f>'02_Модель'!O40</f>
        <v/>
      </c>
      <c r="P2758">
        <f>'02_Модель'!P40</f>
        <v/>
      </c>
      <c r="Q2758">
        <f>'02_Модель'!Q40</f>
        <v/>
      </c>
      <c r="R2758">
        <f>'02_Модель'!R40</f>
        <v/>
      </c>
      <c r="S2758">
        <f>'02_Модель'!S40</f>
        <v/>
      </c>
      <c r="T2758">
        <f>'02_Модель'!T40</f>
        <v/>
      </c>
      <c r="U2758">
        <f>'02_Модель'!U40</f>
        <v/>
      </c>
      <c r="V2758">
        <f>'02_Модель'!V40</f>
        <v/>
      </c>
      <c r="W2758">
        <f>'02_Модель'!W40</f>
        <v/>
      </c>
      <c r="X2758">
        <f>'02_Модель'!X40</f>
        <v/>
      </c>
      <c r="Y2758">
        <f>'02_Модель'!Y40</f>
        <v/>
      </c>
      <c r="Z2758">
        <f>'02_Модель'!Z40</f>
        <v/>
      </c>
      <c r="AA2758">
        <f>'02_Модель'!AA40</f>
        <v/>
      </c>
      <c r="AB2758">
        <f>'02_Модель'!AB40</f>
        <v/>
      </c>
      <c r="AC2758">
        <f>'02_Модель'!AC40</f>
        <v/>
      </c>
      <c r="AD2758">
        <f>'02_Модель'!AD40</f>
        <v/>
      </c>
      <c r="AE2758">
        <f>'02_Модель'!AE40</f>
        <v/>
      </c>
      <c r="AF2758">
        <f>'02_Модель'!AF40</f>
        <v/>
      </c>
      <c r="AG2758">
        <f>'02_Модель'!AG40</f>
        <v/>
      </c>
      <c r="AH2758">
        <f>'02_Модель'!AH40</f>
        <v/>
      </c>
      <c r="AI2758">
        <f>'02_Модель'!AI40</f>
        <v/>
      </c>
      <c r="AJ2758">
        <f>'02_Модель'!AJ40</f>
        <v/>
      </c>
      <c r="AK2758">
        <f>'02_Модель'!AK40</f>
        <v/>
      </c>
      <c r="AL2758">
        <f>'02_Модель'!AL40</f>
        <v/>
      </c>
      <c r="AM2758">
        <f>'02_Модель'!AM40</f>
        <v/>
      </c>
      <c r="AN2758">
        <f>'02_Модель'!AN40</f>
        <v/>
      </c>
      <c r="AO2758">
        <f>'02_Модель'!AO40</f>
        <v/>
      </c>
      <c r="AP2758">
        <f>'02_Модель'!AP40</f>
        <v/>
      </c>
      <c r="AQ2758">
        <f>'02_Модель'!AQ40</f>
        <v/>
      </c>
      <c r="AR2758">
        <f>'02_Модель'!AR40</f>
        <v/>
      </c>
      <c r="AS2758">
        <f>'02_Модель'!AS40</f>
        <v/>
      </c>
      <c r="AT2758">
        <f>'02_Модель'!AT40</f>
        <v/>
      </c>
      <c r="AU2758">
        <f>'02_Модель'!AU40</f>
        <v/>
      </c>
      <c r="AV2758">
        <f>'02_Модель'!AV40</f>
        <v/>
      </c>
      <c r="AW2758">
        <f>'02_Модель'!AW40</f>
        <v/>
      </c>
      <c r="AX2758">
        <f>'02_Модель'!AX40</f>
        <v/>
      </c>
      <c r="AY2758">
        <f>'02_Модель'!AY40</f>
        <v/>
      </c>
      <c r="AZ2758">
        <f>'02_Модель'!AZ40</f>
        <v/>
      </c>
      <c r="BA2758">
        <f>'02_Модель'!BA40</f>
        <v/>
      </c>
      <c r="BB2758">
        <f>'02_Модель'!BB40</f>
        <v/>
      </c>
      <c r="BC2758">
        <f>'02_Модель'!BC40</f>
        <v/>
      </c>
      <c r="BD2758">
        <f>'02_Модель'!BD40</f>
        <v/>
      </c>
      <c r="BE2758">
        <f>'02_Модель'!BE40</f>
        <v/>
      </c>
      <c r="BF2758">
        <f>'02_Модель'!BF40</f>
        <v/>
      </c>
      <c r="BG2758">
        <f>'02_Модель'!BG40</f>
        <v/>
      </c>
      <c r="BH2758">
        <f>'02_Модель'!BH40</f>
        <v/>
      </c>
      <c r="BI2758">
        <f>'02_Модель'!BI40</f>
        <v/>
      </c>
    </row>
    <row r="2759">
      <c r="B2759">
        <f>'02_Модель'!B41</f>
        <v/>
      </c>
      <c r="C2759">
        <f>'02_Модель'!C41</f>
        <v/>
      </c>
      <c r="D2759">
        <f>'02_Модель'!D41</f>
        <v/>
      </c>
      <c r="E2759">
        <f>'02_Модель'!E41</f>
        <v/>
      </c>
      <c r="F2759">
        <f>'02_Модель'!F41</f>
        <v/>
      </c>
      <c r="G2759">
        <f>'02_Модель'!G41</f>
        <v/>
      </c>
      <c r="H2759">
        <f>'02_Модель'!H41</f>
        <v/>
      </c>
      <c r="I2759">
        <f>'02_Модель'!I41</f>
        <v/>
      </c>
      <c r="J2759">
        <f>'02_Модель'!J41</f>
        <v/>
      </c>
      <c r="K2759">
        <f>'02_Модель'!K41</f>
        <v/>
      </c>
      <c r="L2759">
        <f>'02_Модель'!L41</f>
        <v/>
      </c>
      <c r="M2759">
        <f>'02_Модель'!M41</f>
        <v/>
      </c>
      <c r="N2759">
        <f>'02_Модель'!N41</f>
        <v/>
      </c>
      <c r="O2759">
        <f>'02_Модель'!O41</f>
        <v/>
      </c>
      <c r="P2759">
        <f>'02_Модель'!P41</f>
        <v/>
      </c>
      <c r="Q2759">
        <f>'02_Модель'!Q41</f>
        <v/>
      </c>
      <c r="R2759">
        <f>'02_Модель'!R41</f>
        <v/>
      </c>
      <c r="S2759">
        <f>'02_Модель'!S41</f>
        <v/>
      </c>
      <c r="T2759">
        <f>'02_Модель'!T41</f>
        <v/>
      </c>
      <c r="U2759">
        <f>'02_Модель'!U41</f>
        <v/>
      </c>
      <c r="V2759">
        <f>'02_Модель'!V41</f>
        <v/>
      </c>
      <c r="W2759">
        <f>'02_Модель'!W41</f>
        <v/>
      </c>
      <c r="X2759">
        <f>'02_Модель'!X41</f>
        <v/>
      </c>
      <c r="Y2759">
        <f>'02_Модель'!Y41</f>
        <v/>
      </c>
      <c r="Z2759">
        <f>'02_Модель'!Z41</f>
        <v/>
      </c>
      <c r="AA2759">
        <f>'02_Модель'!AA41</f>
        <v/>
      </c>
      <c r="AB2759">
        <f>'02_Модель'!AB41</f>
        <v/>
      </c>
      <c r="AC2759">
        <f>'02_Модель'!AC41</f>
        <v/>
      </c>
      <c r="AD2759">
        <f>'02_Модель'!AD41</f>
        <v/>
      </c>
      <c r="AE2759">
        <f>'02_Модель'!AE41</f>
        <v/>
      </c>
      <c r="AF2759">
        <f>'02_Модель'!AF41</f>
        <v/>
      </c>
      <c r="AG2759">
        <f>'02_Модель'!AG41</f>
        <v/>
      </c>
      <c r="AH2759">
        <f>'02_Модель'!AH41</f>
        <v/>
      </c>
      <c r="AI2759">
        <f>'02_Модель'!AI41</f>
        <v/>
      </c>
      <c r="AJ2759">
        <f>'02_Модель'!AJ41</f>
        <v/>
      </c>
      <c r="AK2759">
        <f>'02_Модель'!AK41</f>
        <v/>
      </c>
      <c r="AL2759">
        <f>'02_Модель'!AL41</f>
        <v/>
      </c>
      <c r="AM2759">
        <f>'02_Модель'!AM41</f>
        <v/>
      </c>
      <c r="AN2759">
        <f>'02_Модель'!AN41</f>
        <v/>
      </c>
      <c r="AO2759">
        <f>'02_Модель'!AO41</f>
        <v/>
      </c>
      <c r="AP2759">
        <f>'02_Модель'!AP41</f>
        <v/>
      </c>
      <c r="AQ2759">
        <f>'02_Модель'!AQ41</f>
        <v/>
      </c>
      <c r="AR2759">
        <f>'02_Модель'!AR41</f>
        <v/>
      </c>
      <c r="AS2759">
        <f>'02_Модель'!AS41</f>
        <v/>
      </c>
      <c r="AT2759">
        <f>'02_Модель'!AT41</f>
        <v/>
      </c>
      <c r="AU2759">
        <f>'02_Модель'!AU41</f>
        <v/>
      </c>
      <c r="AV2759">
        <f>'02_Модель'!AV41</f>
        <v/>
      </c>
      <c r="AW2759">
        <f>'02_Модель'!AW41</f>
        <v/>
      </c>
      <c r="AX2759">
        <f>'02_Модель'!AX41</f>
        <v/>
      </c>
      <c r="AY2759">
        <f>'02_Модель'!AY41</f>
        <v/>
      </c>
      <c r="AZ2759">
        <f>'02_Модель'!AZ41</f>
        <v/>
      </c>
      <c r="BA2759">
        <f>'02_Модель'!BA41</f>
        <v/>
      </c>
      <c r="BB2759">
        <f>'02_Модель'!BB41</f>
        <v/>
      </c>
      <c r="BC2759">
        <f>'02_Модель'!BC41</f>
        <v/>
      </c>
      <c r="BD2759">
        <f>'02_Модель'!BD41</f>
        <v/>
      </c>
      <c r="BE2759">
        <f>'02_Модель'!BE41</f>
        <v/>
      </c>
      <c r="BF2759">
        <f>'02_Модель'!BF41</f>
        <v/>
      </c>
      <c r="BG2759">
        <f>'02_Модель'!BG41</f>
        <v/>
      </c>
      <c r="BH2759">
        <f>'02_Модель'!BH41</f>
        <v/>
      </c>
      <c r="BI2759">
        <f>'02_Модель'!BI41</f>
        <v/>
      </c>
    </row>
    <row r="2760">
      <c r="B2760">
        <f>'19_Расчет_аналитики'!B2370</f>
        <v/>
      </c>
      <c r="C2760">
        <f>'19_Расчет_аналитики'!C2370</f>
        <v/>
      </c>
      <c r="D2760">
        <f>'19_Расчет_аналитики'!D2370</f>
        <v/>
      </c>
      <c r="E2760">
        <f>'19_Расчет_аналитики'!E2370</f>
        <v/>
      </c>
      <c r="F2760">
        <f>'19_Расчет_аналитики'!F2370</f>
        <v/>
      </c>
      <c r="G2760">
        <f>'19_Расчет_аналитики'!G2370</f>
        <v/>
      </c>
      <c r="H2760">
        <f>'19_Расчет_аналитики'!H2370</f>
        <v/>
      </c>
      <c r="I2760">
        <f>'19_Расчет_аналитики'!I2370</f>
        <v/>
      </c>
      <c r="J2760">
        <f>'19_Расчет_аналитики'!J2370</f>
        <v/>
      </c>
      <c r="K2760">
        <f>'19_Расчет_аналитики'!K2370</f>
        <v/>
      </c>
      <c r="L2760">
        <f>'19_Расчет_аналитики'!L2370</f>
        <v/>
      </c>
      <c r="M2760">
        <f>'19_Расчет_аналитики'!M2370</f>
        <v/>
      </c>
      <c r="N2760">
        <f>'19_Расчет_аналитики'!N2370</f>
        <v/>
      </c>
      <c r="O2760">
        <f>'19_Расчет_аналитики'!O2370</f>
        <v/>
      </c>
      <c r="P2760">
        <f>'19_Расчет_аналитики'!P2370</f>
        <v/>
      </c>
      <c r="Q2760">
        <f>'19_Расчет_аналитики'!Q2370</f>
        <v/>
      </c>
      <c r="R2760">
        <f>'19_Расчет_аналитики'!R2370</f>
        <v/>
      </c>
      <c r="S2760">
        <f>'19_Расчет_аналитики'!S2370</f>
        <v/>
      </c>
      <c r="T2760">
        <f>'19_Расчет_аналитики'!T2370</f>
        <v/>
      </c>
      <c r="U2760">
        <f>'19_Расчет_аналитики'!U2370</f>
        <v/>
      </c>
      <c r="V2760">
        <f>'19_Расчет_аналитики'!V2370</f>
        <v/>
      </c>
      <c r="W2760">
        <f>'19_Расчет_аналитики'!W2370</f>
        <v/>
      </c>
      <c r="X2760">
        <f>'19_Расчет_аналитики'!X2370</f>
        <v/>
      </c>
      <c r="Y2760">
        <f>'19_Расчет_аналитики'!Y2370</f>
        <v/>
      </c>
      <c r="Z2760">
        <f>'19_Расчет_аналитики'!Z2370</f>
        <v/>
      </c>
      <c r="AA2760">
        <f>'19_Расчет_аналитики'!AA2370</f>
        <v/>
      </c>
      <c r="AB2760">
        <f>'19_Расчет_аналитики'!AB2370</f>
        <v/>
      </c>
      <c r="AC2760">
        <f>'19_Расчет_аналитики'!AC2370</f>
        <v/>
      </c>
      <c r="AD2760">
        <f>'19_Расчет_аналитики'!AD2370</f>
        <v/>
      </c>
      <c r="AE2760">
        <f>'19_Расчет_аналитики'!AE2370</f>
        <v/>
      </c>
      <c r="AF2760">
        <f>'19_Расчет_аналитики'!AF2370</f>
        <v/>
      </c>
      <c r="AG2760">
        <f>'19_Расчет_аналитики'!AG2370</f>
        <v/>
      </c>
      <c r="AH2760">
        <f>'19_Расчет_аналитики'!AH2370</f>
        <v/>
      </c>
      <c r="AI2760">
        <f>'19_Расчет_аналитики'!AI2370</f>
        <v/>
      </c>
      <c r="AJ2760">
        <f>'19_Расчет_аналитики'!AJ2370</f>
        <v/>
      </c>
      <c r="AK2760">
        <f>'19_Расчет_аналитики'!AK2370</f>
        <v/>
      </c>
      <c r="AL2760">
        <f>'19_Расчет_аналитики'!AL2370</f>
        <v/>
      </c>
      <c r="AM2760">
        <f>'19_Расчет_аналитики'!AM2370</f>
        <v/>
      </c>
      <c r="AN2760">
        <f>'19_Расчет_аналитики'!AN2370</f>
        <v/>
      </c>
      <c r="AO2760">
        <f>'19_Расчет_аналитики'!AO2370</f>
        <v/>
      </c>
      <c r="AP2760">
        <f>'19_Расчет_аналитики'!AP2370</f>
        <v/>
      </c>
      <c r="AQ2760">
        <f>'19_Расчет_аналитики'!AQ2370</f>
        <v/>
      </c>
      <c r="AR2760">
        <f>'19_Расчет_аналитики'!AR2370</f>
        <v/>
      </c>
      <c r="AS2760">
        <f>'19_Расчет_аналитики'!AS2370</f>
        <v/>
      </c>
      <c r="AT2760">
        <f>'19_Расчет_аналитики'!AT2370</f>
        <v/>
      </c>
      <c r="AU2760">
        <f>'19_Расчет_аналитики'!AU2370</f>
        <v/>
      </c>
      <c r="AV2760">
        <f>'19_Расчет_аналитики'!AV2370</f>
        <v/>
      </c>
      <c r="AW2760">
        <f>'19_Расчет_аналитики'!AW2370</f>
        <v/>
      </c>
      <c r="AX2760">
        <f>'19_Расчет_аналитики'!AX2370</f>
        <v/>
      </c>
      <c r="AY2760">
        <f>'19_Расчет_аналитики'!AY2370</f>
        <v/>
      </c>
      <c r="AZ2760">
        <f>'19_Расчет_аналитики'!AZ2370</f>
        <v/>
      </c>
      <c r="BA2760">
        <f>'19_Расчет_аналитики'!BA2370</f>
        <v/>
      </c>
      <c r="BB2760">
        <f>'19_Расчет_аналитики'!BB2370</f>
        <v/>
      </c>
      <c r="BC2760">
        <f>'19_Расчет_аналитики'!BC2370</f>
        <v/>
      </c>
      <c r="BD2760">
        <f>'19_Расчет_аналитики'!BD2370</f>
        <v/>
      </c>
      <c r="BE2760">
        <f>'19_Расчет_аналитики'!BE2370</f>
        <v/>
      </c>
      <c r="BF2760">
        <f>'19_Расчет_аналитики'!BF2370</f>
        <v/>
      </c>
      <c r="BG2760">
        <f>'19_Расчет_аналитики'!BG2370</f>
        <v/>
      </c>
      <c r="BH2760">
        <f>'19_Расчет_аналитики'!BH2370</f>
        <v/>
      </c>
      <c r="BI2760">
        <f>'19_Расчет_аналитики'!BI2370</f>
        <v/>
      </c>
    </row>
    <row r="2761">
      <c r="B2761">
        <f>SUM('19_Расчет_аналитики'!B2754:B2760)</f>
        <v/>
      </c>
      <c r="C2761">
        <f>SUM('19_Расчет_аналитики'!C2754:C2760)</f>
        <v/>
      </c>
      <c r="D2761">
        <f>SUM('19_Расчет_аналитики'!D2754:D2760)</f>
        <v/>
      </c>
      <c r="E2761">
        <f>SUM('19_Расчет_аналитики'!E2754:E2760)</f>
        <v/>
      </c>
      <c r="F2761">
        <f>SUM('19_Расчет_аналитики'!F2754:F2760)</f>
        <v/>
      </c>
      <c r="G2761">
        <f>SUM('19_Расчет_аналитики'!G2754:G2760)</f>
        <v/>
      </c>
      <c r="H2761">
        <f>SUM('19_Расчет_аналитики'!H2754:H2760)</f>
        <v/>
      </c>
      <c r="I2761">
        <f>SUM('19_Расчет_аналитики'!I2754:I2760)</f>
        <v/>
      </c>
      <c r="J2761">
        <f>SUM('19_Расчет_аналитики'!J2754:J2760)</f>
        <v/>
      </c>
      <c r="K2761">
        <f>SUM('19_Расчет_аналитики'!K2754:K2760)</f>
        <v/>
      </c>
      <c r="L2761">
        <f>SUM('19_Расчет_аналитики'!L2754:L2760)</f>
        <v/>
      </c>
      <c r="M2761">
        <f>SUM('19_Расчет_аналитики'!M2754:M2760)</f>
        <v/>
      </c>
      <c r="N2761">
        <f>SUM('19_Расчет_аналитики'!N2754:N2760)</f>
        <v/>
      </c>
      <c r="O2761">
        <f>SUM('19_Расчет_аналитики'!O2754:O2760)</f>
        <v/>
      </c>
      <c r="P2761">
        <f>SUM('19_Расчет_аналитики'!P2754:P2760)</f>
        <v/>
      </c>
      <c r="Q2761">
        <f>SUM('19_Расчет_аналитики'!Q2754:Q2760)</f>
        <v/>
      </c>
      <c r="R2761">
        <f>SUM('19_Расчет_аналитики'!R2754:R2760)</f>
        <v/>
      </c>
      <c r="S2761">
        <f>SUM('19_Расчет_аналитики'!S2754:S2760)</f>
        <v/>
      </c>
      <c r="T2761">
        <f>SUM('19_Расчет_аналитики'!T2754:T2760)</f>
        <v/>
      </c>
      <c r="U2761">
        <f>SUM('19_Расчет_аналитики'!U2754:U2760)</f>
        <v/>
      </c>
      <c r="V2761">
        <f>SUM('19_Расчет_аналитики'!V2754:V2760)</f>
        <v/>
      </c>
      <c r="W2761">
        <f>SUM('19_Расчет_аналитики'!W2754:W2760)</f>
        <v/>
      </c>
      <c r="X2761">
        <f>SUM('19_Расчет_аналитики'!X2754:X2760)</f>
        <v/>
      </c>
      <c r="Y2761">
        <f>SUM('19_Расчет_аналитики'!Y2754:Y2760)</f>
        <v/>
      </c>
      <c r="Z2761">
        <f>SUM('19_Расчет_аналитики'!Z2754:Z2760)</f>
        <v/>
      </c>
      <c r="AA2761">
        <f>SUM('19_Расчет_аналитики'!AA2754:AA2760)</f>
        <v/>
      </c>
      <c r="AB2761">
        <f>SUM('19_Расчет_аналитики'!AB2754:AB2760)</f>
        <v/>
      </c>
      <c r="AC2761">
        <f>SUM('19_Расчет_аналитики'!AC2754:AC2760)</f>
        <v/>
      </c>
      <c r="AD2761">
        <f>SUM('19_Расчет_аналитики'!AD2754:AD2760)</f>
        <v/>
      </c>
      <c r="AE2761">
        <f>SUM('19_Расчет_аналитики'!AE2754:AE2760)</f>
        <v/>
      </c>
      <c r="AF2761">
        <f>SUM('19_Расчет_аналитики'!AF2754:AF2760)</f>
        <v/>
      </c>
      <c r="AG2761">
        <f>SUM('19_Расчет_аналитики'!AG2754:AG2760)</f>
        <v/>
      </c>
      <c r="AH2761">
        <f>SUM('19_Расчет_аналитики'!AH2754:AH2760)</f>
        <v/>
      </c>
      <c r="AI2761">
        <f>SUM('19_Расчет_аналитики'!AI2754:AI2760)</f>
        <v/>
      </c>
      <c r="AJ2761">
        <f>SUM('19_Расчет_аналитики'!AJ2754:AJ2760)</f>
        <v/>
      </c>
      <c r="AK2761">
        <f>SUM('19_Расчет_аналитики'!AK2754:AK2760)</f>
        <v/>
      </c>
      <c r="AL2761">
        <f>SUM('19_Расчет_аналитики'!AL2754:AL2760)</f>
        <v/>
      </c>
      <c r="AM2761">
        <f>SUM('19_Расчет_аналитики'!AM2754:AM2760)</f>
        <v/>
      </c>
      <c r="AN2761">
        <f>SUM('19_Расчет_аналитики'!AN2754:AN2760)</f>
        <v/>
      </c>
      <c r="AO2761">
        <f>SUM('19_Расчет_аналитики'!AO2754:AO2760)</f>
        <v/>
      </c>
      <c r="AP2761">
        <f>SUM('19_Расчет_аналитики'!AP2754:AP2760)</f>
        <v/>
      </c>
      <c r="AQ2761">
        <f>SUM('19_Расчет_аналитики'!AQ2754:AQ2760)</f>
        <v/>
      </c>
      <c r="AR2761">
        <f>SUM('19_Расчет_аналитики'!AR2754:AR2760)</f>
        <v/>
      </c>
      <c r="AS2761">
        <f>SUM('19_Расчет_аналитики'!AS2754:AS2760)</f>
        <v/>
      </c>
      <c r="AT2761">
        <f>SUM('19_Расчет_аналитики'!AT2754:AT2760)</f>
        <v/>
      </c>
      <c r="AU2761">
        <f>SUM('19_Расчет_аналитики'!AU2754:AU2760)</f>
        <v/>
      </c>
      <c r="AV2761">
        <f>SUM('19_Расчет_аналитики'!AV2754:AV2760)</f>
        <v/>
      </c>
      <c r="AW2761">
        <f>SUM('19_Расчет_аналитики'!AW2754:AW2760)</f>
        <v/>
      </c>
      <c r="AX2761">
        <f>SUM('19_Расчет_аналитики'!AX2754:AX2760)</f>
        <v/>
      </c>
      <c r="AY2761">
        <f>SUM('19_Расчет_аналитики'!AY2754:AY2760)</f>
        <v/>
      </c>
      <c r="AZ2761">
        <f>SUM('19_Расчет_аналитики'!AZ2754:AZ2760)</f>
        <v/>
      </c>
      <c r="BA2761">
        <f>SUM('19_Расчет_аналитики'!BA2754:BA2760)</f>
        <v/>
      </c>
      <c r="BB2761">
        <f>SUM('19_Расчет_аналитики'!BB2754:BB2760)</f>
        <v/>
      </c>
      <c r="BC2761">
        <f>SUM('19_Расчет_аналитики'!BC2754:BC2760)</f>
        <v/>
      </c>
      <c r="BD2761">
        <f>SUM('19_Расчет_аналитики'!BD2754:BD2760)</f>
        <v/>
      </c>
      <c r="BE2761">
        <f>SUM('19_Расчет_аналитики'!BE2754:BE2760)</f>
        <v/>
      </c>
      <c r="BF2761">
        <f>SUM('19_Расчет_аналитики'!BF2754:BF2760)</f>
        <v/>
      </c>
      <c r="BG2761">
        <f>SUM('19_Расчет_аналитики'!BG2754:BG2760)</f>
        <v/>
      </c>
      <c r="BH2761">
        <f>SUM('19_Расчет_аналитики'!BH2754:BH2760)</f>
        <v/>
      </c>
      <c r="BI2761">
        <f>SUM('19_Расчет_аналитики'!BI2754:BI2760)</f>
        <v/>
      </c>
    </row>
    <row r="2762">
      <c r="B2762">
        <f>'19_Расчет_аналитики'!B2751-'19_Расчет_аналитики'!B2761</f>
        <v/>
      </c>
      <c r="C2762">
        <f>'19_Расчет_аналитики'!C2751-'19_Расчет_аналитики'!C2761</f>
        <v/>
      </c>
      <c r="D2762">
        <f>'19_Расчет_аналитики'!D2751-'19_Расчет_аналитики'!D2761</f>
        <v/>
      </c>
      <c r="E2762">
        <f>'19_Расчет_аналитики'!E2751-'19_Расчет_аналитики'!E2761</f>
        <v/>
      </c>
      <c r="F2762">
        <f>'19_Расчет_аналитики'!F2751-'19_Расчет_аналитики'!F2761</f>
        <v/>
      </c>
      <c r="G2762">
        <f>'19_Расчет_аналитики'!G2751-'19_Расчет_аналитики'!G2761</f>
        <v/>
      </c>
      <c r="H2762">
        <f>'19_Расчет_аналитики'!H2751-'19_Расчет_аналитики'!H2761</f>
        <v/>
      </c>
      <c r="I2762">
        <f>'19_Расчет_аналитики'!I2751-'19_Расчет_аналитики'!I2761</f>
        <v/>
      </c>
      <c r="J2762">
        <f>'19_Расчет_аналитики'!J2751-'19_Расчет_аналитики'!J2761</f>
        <v/>
      </c>
      <c r="K2762">
        <f>'19_Расчет_аналитики'!K2751-'19_Расчет_аналитики'!K2761</f>
        <v/>
      </c>
      <c r="L2762">
        <f>'19_Расчет_аналитики'!L2751-'19_Расчет_аналитики'!L2761</f>
        <v/>
      </c>
      <c r="M2762">
        <f>'19_Расчет_аналитики'!M2751-'19_Расчет_аналитики'!M2761</f>
        <v/>
      </c>
      <c r="N2762">
        <f>'19_Расчет_аналитики'!N2751-'19_Расчет_аналитики'!N2761</f>
        <v/>
      </c>
      <c r="O2762">
        <f>'19_Расчет_аналитики'!O2751-'19_Расчет_аналитики'!O2761</f>
        <v/>
      </c>
      <c r="P2762">
        <f>'19_Расчет_аналитики'!P2751-'19_Расчет_аналитики'!P2761</f>
        <v/>
      </c>
      <c r="Q2762">
        <f>'19_Расчет_аналитики'!Q2751-'19_Расчет_аналитики'!Q2761</f>
        <v/>
      </c>
      <c r="R2762">
        <f>'19_Расчет_аналитики'!R2751-'19_Расчет_аналитики'!R2761</f>
        <v/>
      </c>
      <c r="S2762">
        <f>'19_Расчет_аналитики'!S2751-'19_Расчет_аналитики'!S2761</f>
        <v/>
      </c>
      <c r="T2762">
        <f>'19_Расчет_аналитики'!T2751-'19_Расчет_аналитики'!T2761</f>
        <v/>
      </c>
      <c r="U2762">
        <f>'19_Расчет_аналитики'!U2751-'19_Расчет_аналитики'!U2761</f>
        <v/>
      </c>
      <c r="V2762">
        <f>'19_Расчет_аналитики'!V2751-'19_Расчет_аналитики'!V2761</f>
        <v/>
      </c>
      <c r="W2762">
        <f>'19_Расчет_аналитики'!W2751-'19_Расчет_аналитики'!W2761</f>
        <v/>
      </c>
      <c r="X2762">
        <f>'19_Расчет_аналитики'!X2751-'19_Расчет_аналитики'!X2761</f>
        <v/>
      </c>
      <c r="Y2762">
        <f>'19_Расчет_аналитики'!Y2751-'19_Расчет_аналитики'!Y2761</f>
        <v/>
      </c>
      <c r="Z2762">
        <f>'19_Расчет_аналитики'!Z2751-'19_Расчет_аналитики'!Z2761</f>
        <v/>
      </c>
      <c r="AA2762">
        <f>'19_Расчет_аналитики'!AA2751-'19_Расчет_аналитики'!AA2761</f>
        <v/>
      </c>
      <c r="AB2762">
        <f>'19_Расчет_аналитики'!AB2751-'19_Расчет_аналитики'!AB2761</f>
        <v/>
      </c>
      <c r="AC2762">
        <f>'19_Расчет_аналитики'!AC2751-'19_Расчет_аналитики'!AC2761</f>
        <v/>
      </c>
      <c r="AD2762">
        <f>'19_Расчет_аналитики'!AD2751-'19_Расчет_аналитики'!AD2761</f>
        <v/>
      </c>
      <c r="AE2762">
        <f>'19_Расчет_аналитики'!AE2751-'19_Расчет_аналитики'!AE2761</f>
        <v/>
      </c>
      <c r="AF2762">
        <f>'19_Расчет_аналитики'!AF2751-'19_Расчет_аналитики'!AF2761</f>
        <v/>
      </c>
      <c r="AG2762">
        <f>'19_Расчет_аналитики'!AG2751-'19_Расчет_аналитики'!AG2761</f>
        <v/>
      </c>
      <c r="AH2762">
        <f>'19_Расчет_аналитики'!AH2751-'19_Расчет_аналитики'!AH2761</f>
        <v/>
      </c>
      <c r="AI2762">
        <f>'19_Расчет_аналитики'!AI2751-'19_Расчет_аналитики'!AI2761</f>
        <v/>
      </c>
      <c r="AJ2762">
        <f>'19_Расчет_аналитики'!AJ2751-'19_Расчет_аналитики'!AJ2761</f>
        <v/>
      </c>
      <c r="AK2762">
        <f>'19_Расчет_аналитики'!AK2751-'19_Расчет_аналитики'!AK2761</f>
        <v/>
      </c>
      <c r="AL2762">
        <f>'19_Расчет_аналитики'!AL2751-'19_Расчет_аналитики'!AL2761</f>
        <v/>
      </c>
      <c r="AM2762">
        <f>'19_Расчет_аналитики'!AM2751-'19_Расчет_аналитики'!AM2761</f>
        <v/>
      </c>
      <c r="AN2762">
        <f>'19_Расчет_аналитики'!AN2751-'19_Расчет_аналитики'!AN2761</f>
        <v/>
      </c>
      <c r="AO2762">
        <f>'19_Расчет_аналитики'!AO2751-'19_Расчет_аналитики'!AO2761</f>
        <v/>
      </c>
      <c r="AP2762">
        <f>'19_Расчет_аналитики'!AP2751-'19_Расчет_аналитики'!AP2761</f>
        <v/>
      </c>
      <c r="AQ2762">
        <f>'19_Расчет_аналитики'!AQ2751-'19_Расчет_аналитики'!AQ2761</f>
        <v/>
      </c>
      <c r="AR2762">
        <f>'19_Расчет_аналитики'!AR2751-'19_Расчет_аналитики'!AR2761</f>
        <v/>
      </c>
      <c r="AS2762">
        <f>'19_Расчет_аналитики'!AS2751-'19_Расчет_аналитики'!AS2761</f>
        <v/>
      </c>
      <c r="AT2762">
        <f>'19_Расчет_аналитики'!AT2751-'19_Расчет_аналитики'!AT2761</f>
        <v/>
      </c>
      <c r="AU2762">
        <f>'19_Расчет_аналитики'!AU2751-'19_Расчет_аналитики'!AU2761</f>
        <v/>
      </c>
      <c r="AV2762">
        <f>'19_Расчет_аналитики'!AV2751-'19_Расчет_аналитики'!AV2761</f>
        <v/>
      </c>
      <c r="AW2762">
        <f>'19_Расчет_аналитики'!AW2751-'19_Расчет_аналитики'!AW2761</f>
        <v/>
      </c>
      <c r="AX2762">
        <f>'19_Расчет_аналитики'!AX2751-'19_Расчет_аналитики'!AX2761</f>
        <v/>
      </c>
      <c r="AY2762">
        <f>'19_Расчет_аналитики'!AY2751-'19_Расчет_аналитики'!AY2761</f>
        <v/>
      </c>
      <c r="AZ2762">
        <f>'19_Расчет_аналитики'!AZ2751-'19_Расчет_аналитики'!AZ2761</f>
        <v/>
      </c>
      <c r="BA2762">
        <f>'19_Расчет_аналитики'!BA2751-'19_Расчет_аналитики'!BA2761</f>
        <v/>
      </c>
      <c r="BB2762">
        <f>'19_Расчет_аналитики'!BB2751-'19_Расчет_аналитики'!BB2761</f>
        <v/>
      </c>
      <c r="BC2762">
        <f>'19_Расчет_аналитики'!BC2751-'19_Расчет_аналитики'!BC2761</f>
        <v/>
      </c>
      <c r="BD2762">
        <f>'19_Расчет_аналитики'!BD2751-'19_Расчет_аналитики'!BD2761</f>
        <v/>
      </c>
      <c r="BE2762">
        <f>'19_Расчет_аналитики'!BE2751-'19_Расчет_аналитики'!BE2761</f>
        <v/>
      </c>
      <c r="BF2762">
        <f>'19_Расчет_аналитики'!BF2751-'19_Расчет_аналитики'!BF2761</f>
        <v/>
      </c>
      <c r="BG2762">
        <f>'19_Расчет_аналитики'!BG2751-'19_Расчет_аналитики'!BG2761</f>
        <v/>
      </c>
      <c r="BH2762">
        <f>'19_Расчет_аналитики'!BH2751-'19_Расчет_аналитики'!BH2761</f>
        <v/>
      </c>
      <c r="BI2762">
        <f>'19_Расчет_аналитики'!BI2751-'19_Расчет_аналитики'!BI2761</f>
        <v/>
      </c>
    </row>
    <row r="2763">
      <c r="B2763">
        <f>IF('19_Расчет_аналитики'!B2741=0,0,'19_Расчет_аналитики'!B2762/'19_Расчет_аналитики'!B2741)</f>
        <v/>
      </c>
      <c r="C2763">
        <f>IF('19_Расчет_аналитики'!C2741=0,0,'19_Расчет_аналитики'!C2762/'19_Расчет_аналитики'!C2741)</f>
        <v/>
      </c>
      <c r="D2763">
        <f>IF('19_Расчет_аналитики'!D2741=0,0,'19_Расчет_аналитики'!D2762/'19_Расчет_аналитики'!D2741)</f>
        <v/>
      </c>
      <c r="E2763">
        <f>IF('19_Расчет_аналитики'!E2741=0,0,'19_Расчет_аналитики'!E2762/'19_Расчет_аналитики'!E2741)</f>
        <v/>
      </c>
      <c r="F2763">
        <f>IF('19_Расчет_аналитики'!F2741=0,0,'19_Расчет_аналитики'!F2762/'19_Расчет_аналитики'!F2741)</f>
        <v/>
      </c>
      <c r="G2763">
        <f>IF('19_Расчет_аналитики'!G2741=0,0,'19_Расчет_аналитики'!G2762/'19_Расчет_аналитики'!G2741)</f>
        <v/>
      </c>
      <c r="H2763">
        <f>IF('19_Расчет_аналитики'!H2741=0,0,'19_Расчет_аналитики'!H2762/'19_Расчет_аналитики'!H2741)</f>
        <v/>
      </c>
      <c r="I2763">
        <f>IF('19_Расчет_аналитики'!I2741=0,0,'19_Расчет_аналитики'!I2762/'19_Расчет_аналитики'!I2741)</f>
        <v/>
      </c>
      <c r="J2763">
        <f>IF('19_Расчет_аналитики'!J2741=0,0,'19_Расчет_аналитики'!J2762/'19_Расчет_аналитики'!J2741)</f>
        <v/>
      </c>
      <c r="K2763">
        <f>IF('19_Расчет_аналитики'!K2741=0,0,'19_Расчет_аналитики'!K2762/'19_Расчет_аналитики'!K2741)</f>
        <v/>
      </c>
      <c r="L2763">
        <f>IF('19_Расчет_аналитики'!L2741=0,0,'19_Расчет_аналитики'!L2762/'19_Расчет_аналитики'!L2741)</f>
        <v/>
      </c>
      <c r="M2763">
        <f>IF('19_Расчет_аналитики'!M2741=0,0,'19_Расчет_аналитики'!M2762/'19_Расчет_аналитики'!M2741)</f>
        <v/>
      </c>
      <c r="N2763">
        <f>IF('19_Расчет_аналитики'!N2741=0,0,'19_Расчет_аналитики'!N2762/'19_Расчет_аналитики'!N2741)</f>
        <v/>
      </c>
      <c r="O2763">
        <f>IF('19_Расчет_аналитики'!O2741=0,0,'19_Расчет_аналитики'!O2762/'19_Расчет_аналитики'!O2741)</f>
        <v/>
      </c>
      <c r="P2763">
        <f>IF('19_Расчет_аналитики'!P2741=0,0,'19_Расчет_аналитики'!P2762/'19_Расчет_аналитики'!P2741)</f>
        <v/>
      </c>
      <c r="Q2763">
        <f>IF('19_Расчет_аналитики'!Q2741=0,0,'19_Расчет_аналитики'!Q2762/'19_Расчет_аналитики'!Q2741)</f>
        <v/>
      </c>
      <c r="R2763">
        <f>IF('19_Расчет_аналитики'!R2741=0,0,'19_Расчет_аналитики'!R2762/'19_Расчет_аналитики'!R2741)</f>
        <v/>
      </c>
      <c r="S2763">
        <f>IF('19_Расчет_аналитики'!S2741=0,0,'19_Расчет_аналитики'!S2762/'19_Расчет_аналитики'!S2741)</f>
        <v/>
      </c>
      <c r="T2763">
        <f>IF('19_Расчет_аналитики'!T2741=0,0,'19_Расчет_аналитики'!T2762/'19_Расчет_аналитики'!T2741)</f>
        <v/>
      </c>
      <c r="U2763">
        <f>IF('19_Расчет_аналитики'!U2741=0,0,'19_Расчет_аналитики'!U2762/'19_Расчет_аналитики'!U2741)</f>
        <v/>
      </c>
      <c r="V2763">
        <f>IF('19_Расчет_аналитики'!V2741=0,0,'19_Расчет_аналитики'!V2762/'19_Расчет_аналитики'!V2741)</f>
        <v/>
      </c>
      <c r="W2763">
        <f>IF('19_Расчет_аналитики'!W2741=0,0,'19_Расчет_аналитики'!W2762/'19_Расчет_аналитики'!W2741)</f>
        <v/>
      </c>
      <c r="X2763">
        <f>IF('19_Расчет_аналитики'!X2741=0,0,'19_Расчет_аналитики'!X2762/'19_Расчет_аналитики'!X2741)</f>
        <v/>
      </c>
      <c r="Y2763">
        <f>IF('19_Расчет_аналитики'!Y2741=0,0,'19_Расчет_аналитики'!Y2762/'19_Расчет_аналитики'!Y2741)</f>
        <v/>
      </c>
      <c r="Z2763">
        <f>IF('19_Расчет_аналитики'!Z2741=0,0,'19_Расчет_аналитики'!Z2762/'19_Расчет_аналитики'!Z2741)</f>
        <v/>
      </c>
      <c r="AA2763">
        <f>IF('19_Расчет_аналитики'!AA2741=0,0,'19_Расчет_аналитики'!AA2762/'19_Расчет_аналитики'!AA2741)</f>
        <v/>
      </c>
      <c r="AB2763">
        <f>IF('19_Расчет_аналитики'!AB2741=0,0,'19_Расчет_аналитики'!AB2762/'19_Расчет_аналитики'!AB2741)</f>
        <v/>
      </c>
      <c r="AC2763">
        <f>IF('19_Расчет_аналитики'!AC2741=0,0,'19_Расчет_аналитики'!AC2762/'19_Расчет_аналитики'!AC2741)</f>
        <v/>
      </c>
      <c r="AD2763">
        <f>IF('19_Расчет_аналитики'!AD2741=0,0,'19_Расчет_аналитики'!AD2762/'19_Расчет_аналитики'!AD2741)</f>
        <v/>
      </c>
      <c r="AE2763">
        <f>IF('19_Расчет_аналитики'!AE2741=0,0,'19_Расчет_аналитики'!AE2762/'19_Расчет_аналитики'!AE2741)</f>
        <v/>
      </c>
      <c r="AF2763">
        <f>IF('19_Расчет_аналитики'!AF2741=0,0,'19_Расчет_аналитики'!AF2762/'19_Расчет_аналитики'!AF2741)</f>
        <v/>
      </c>
      <c r="AG2763">
        <f>IF('19_Расчет_аналитики'!AG2741=0,0,'19_Расчет_аналитики'!AG2762/'19_Расчет_аналитики'!AG2741)</f>
        <v/>
      </c>
      <c r="AH2763">
        <f>IF('19_Расчет_аналитики'!AH2741=0,0,'19_Расчет_аналитики'!AH2762/'19_Расчет_аналитики'!AH2741)</f>
        <v/>
      </c>
      <c r="AI2763">
        <f>IF('19_Расчет_аналитики'!AI2741=0,0,'19_Расчет_аналитики'!AI2762/'19_Расчет_аналитики'!AI2741)</f>
        <v/>
      </c>
      <c r="AJ2763">
        <f>IF('19_Расчет_аналитики'!AJ2741=0,0,'19_Расчет_аналитики'!AJ2762/'19_Расчет_аналитики'!AJ2741)</f>
        <v/>
      </c>
      <c r="AK2763">
        <f>IF('19_Расчет_аналитики'!AK2741=0,0,'19_Расчет_аналитики'!AK2762/'19_Расчет_аналитики'!AK2741)</f>
        <v/>
      </c>
      <c r="AL2763">
        <f>IF('19_Расчет_аналитики'!AL2741=0,0,'19_Расчет_аналитики'!AL2762/'19_Расчет_аналитики'!AL2741)</f>
        <v/>
      </c>
      <c r="AM2763">
        <f>IF('19_Расчет_аналитики'!AM2741=0,0,'19_Расчет_аналитики'!AM2762/'19_Расчет_аналитики'!AM2741)</f>
        <v/>
      </c>
      <c r="AN2763">
        <f>IF('19_Расчет_аналитики'!AN2741=0,0,'19_Расчет_аналитики'!AN2762/'19_Расчет_аналитики'!AN2741)</f>
        <v/>
      </c>
      <c r="AO2763">
        <f>IF('19_Расчет_аналитики'!AO2741=0,0,'19_Расчет_аналитики'!AO2762/'19_Расчет_аналитики'!AO2741)</f>
        <v/>
      </c>
      <c r="AP2763">
        <f>IF('19_Расчет_аналитики'!AP2741=0,0,'19_Расчет_аналитики'!AP2762/'19_Расчет_аналитики'!AP2741)</f>
        <v/>
      </c>
      <c r="AQ2763">
        <f>IF('19_Расчет_аналитики'!AQ2741=0,0,'19_Расчет_аналитики'!AQ2762/'19_Расчет_аналитики'!AQ2741)</f>
        <v/>
      </c>
      <c r="AR2763">
        <f>IF('19_Расчет_аналитики'!AR2741=0,0,'19_Расчет_аналитики'!AR2762/'19_Расчет_аналитики'!AR2741)</f>
        <v/>
      </c>
      <c r="AS2763">
        <f>IF('19_Расчет_аналитики'!AS2741=0,0,'19_Расчет_аналитики'!AS2762/'19_Расчет_аналитики'!AS2741)</f>
        <v/>
      </c>
      <c r="AT2763">
        <f>IF('19_Расчет_аналитики'!AT2741=0,0,'19_Расчет_аналитики'!AT2762/'19_Расчет_аналитики'!AT2741)</f>
        <v/>
      </c>
      <c r="AU2763">
        <f>IF('19_Расчет_аналитики'!AU2741=0,0,'19_Расчет_аналитики'!AU2762/'19_Расчет_аналитики'!AU2741)</f>
        <v/>
      </c>
      <c r="AV2763">
        <f>IF('19_Расчет_аналитики'!AV2741=0,0,'19_Расчет_аналитики'!AV2762/'19_Расчет_аналитики'!AV2741)</f>
        <v/>
      </c>
      <c r="AW2763">
        <f>IF('19_Расчет_аналитики'!AW2741=0,0,'19_Расчет_аналитики'!AW2762/'19_Расчет_аналитики'!AW2741)</f>
        <v/>
      </c>
      <c r="AX2763">
        <f>IF('19_Расчет_аналитики'!AX2741=0,0,'19_Расчет_аналитики'!AX2762/'19_Расчет_аналитики'!AX2741)</f>
        <v/>
      </c>
      <c r="AY2763">
        <f>IF('19_Расчет_аналитики'!AY2741=0,0,'19_Расчет_аналитики'!AY2762/'19_Расчет_аналитики'!AY2741)</f>
        <v/>
      </c>
      <c r="AZ2763">
        <f>IF('19_Расчет_аналитики'!AZ2741=0,0,'19_Расчет_аналитики'!AZ2762/'19_Расчет_аналитики'!AZ2741)</f>
        <v/>
      </c>
      <c r="BA2763">
        <f>IF('19_Расчет_аналитики'!BA2741=0,0,'19_Расчет_аналитики'!BA2762/'19_Расчет_аналитики'!BA2741)</f>
        <v/>
      </c>
      <c r="BB2763">
        <f>IF('19_Расчет_аналитики'!BB2741=0,0,'19_Расчет_аналитики'!BB2762/'19_Расчет_аналитики'!BB2741)</f>
        <v/>
      </c>
      <c r="BC2763">
        <f>IF('19_Расчет_аналитики'!BC2741=0,0,'19_Расчет_аналитики'!BC2762/'19_Расчет_аналитики'!BC2741)</f>
        <v/>
      </c>
      <c r="BD2763">
        <f>IF('19_Расчет_аналитики'!BD2741=0,0,'19_Расчет_аналитики'!BD2762/'19_Расчет_аналитики'!BD2741)</f>
        <v/>
      </c>
      <c r="BE2763">
        <f>IF('19_Расчет_аналитики'!BE2741=0,0,'19_Расчет_аналитики'!BE2762/'19_Расчет_аналитики'!BE2741)</f>
        <v/>
      </c>
      <c r="BF2763">
        <f>IF('19_Расчет_аналитики'!BF2741=0,0,'19_Расчет_аналитики'!BF2762/'19_Расчет_аналитики'!BF2741)</f>
        <v/>
      </c>
      <c r="BG2763">
        <f>IF('19_Расчет_аналитики'!BG2741=0,0,'19_Расчет_аналитики'!BG2762/'19_Расчет_аналитики'!BG2741)</f>
        <v/>
      </c>
      <c r="BH2763">
        <f>IF('19_Расчет_аналитики'!BH2741=0,0,'19_Расчет_аналитики'!BH2762/'19_Расчет_аналитики'!BH2741)</f>
        <v/>
      </c>
      <c r="BI2763">
        <f>IF('19_Расчет_аналитики'!BI2741=0,0,'19_Расчет_аналитики'!BI2762/'19_Расчет_аналитики'!BI2741)</f>
        <v/>
      </c>
    </row>
    <row r="2764">
      <c r="B2764">
        <f>MAX('01_Вводные'!$B$157*'19_Расчет_аналитики'!B2741,'01_Вводные'!$B$156*MAX(0,'19_Расчет_аналитики'!B2762))</f>
        <v/>
      </c>
      <c r="C2764">
        <f>MAX('01_Вводные'!$B$157*'19_Расчет_аналитики'!C2741,'01_Вводные'!$B$156*MAX(0,'19_Расчет_аналитики'!C2762))</f>
        <v/>
      </c>
      <c r="D2764">
        <f>MAX('01_Вводные'!$B$157*'19_Расчет_аналитики'!D2741,'01_Вводные'!$B$156*MAX(0,'19_Расчет_аналитики'!D2762))</f>
        <v/>
      </c>
      <c r="E2764">
        <f>MAX('01_Вводные'!$B$157*'19_Расчет_аналитики'!E2741,'01_Вводные'!$B$156*MAX(0,'19_Расчет_аналитики'!E2762))</f>
        <v/>
      </c>
      <c r="F2764">
        <f>MAX('01_Вводные'!$B$157*'19_Расчет_аналитики'!F2741,'01_Вводные'!$B$156*MAX(0,'19_Расчет_аналитики'!F2762))</f>
        <v/>
      </c>
      <c r="G2764">
        <f>MAX('01_Вводные'!$B$157*'19_Расчет_аналитики'!G2741,'01_Вводные'!$B$156*MAX(0,'19_Расчет_аналитики'!G2762))</f>
        <v/>
      </c>
      <c r="H2764">
        <f>MAX('01_Вводные'!$B$157*'19_Расчет_аналитики'!H2741,'01_Вводные'!$B$156*MAX(0,'19_Расчет_аналитики'!H2762))</f>
        <v/>
      </c>
      <c r="I2764">
        <f>MAX('01_Вводные'!$B$157*'19_Расчет_аналитики'!I2741,'01_Вводные'!$B$156*MAX(0,'19_Расчет_аналитики'!I2762))</f>
        <v/>
      </c>
      <c r="J2764">
        <f>MAX('01_Вводные'!$B$157*'19_Расчет_аналитики'!J2741,'01_Вводные'!$B$156*MAX(0,'19_Расчет_аналитики'!J2762))</f>
        <v/>
      </c>
      <c r="K2764">
        <f>MAX('01_Вводные'!$B$157*'19_Расчет_аналитики'!K2741,'01_Вводные'!$B$156*MAX(0,'19_Расчет_аналитики'!K2762))</f>
        <v/>
      </c>
      <c r="L2764">
        <f>MAX('01_Вводные'!$B$157*'19_Расчет_аналитики'!L2741,'01_Вводные'!$B$156*MAX(0,'19_Расчет_аналитики'!L2762))</f>
        <v/>
      </c>
      <c r="M2764">
        <f>MAX('01_Вводные'!$B$157*'19_Расчет_аналитики'!M2741,'01_Вводные'!$B$156*MAX(0,'19_Расчет_аналитики'!M2762))</f>
        <v/>
      </c>
      <c r="N2764">
        <f>MAX('01_Вводные'!$B$157*'19_Расчет_аналитики'!N2741,'01_Вводные'!$B$156*MAX(0,'19_Расчет_аналитики'!N2762))</f>
        <v/>
      </c>
      <c r="O2764">
        <f>MAX('01_Вводные'!$B$157*'19_Расчет_аналитики'!O2741,'01_Вводные'!$B$156*MAX(0,'19_Расчет_аналитики'!O2762))</f>
        <v/>
      </c>
      <c r="P2764">
        <f>MAX('01_Вводные'!$B$157*'19_Расчет_аналитики'!P2741,'01_Вводные'!$B$156*MAX(0,'19_Расчет_аналитики'!P2762))</f>
        <v/>
      </c>
      <c r="Q2764">
        <f>MAX('01_Вводные'!$B$157*'19_Расчет_аналитики'!Q2741,'01_Вводные'!$B$156*MAX(0,'19_Расчет_аналитики'!Q2762))</f>
        <v/>
      </c>
      <c r="R2764">
        <f>MAX('01_Вводные'!$B$157*'19_Расчет_аналитики'!R2741,'01_Вводные'!$B$156*MAX(0,'19_Расчет_аналитики'!R2762))</f>
        <v/>
      </c>
      <c r="S2764">
        <f>MAX('01_Вводные'!$B$157*'19_Расчет_аналитики'!S2741,'01_Вводные'!$B$156*MAX(0,'19_Расчет_аналитики'!S2762))</f>
        <v/>
      </c>
      <c r="T2764">
        <f>MAX('01_Вводные'!$B$157*'19_Расчет_аналитики'!T2741,'01_Вводные'!$B$156*MAX(0,'19_Расчет_аналитики'!T2762))</f>
        <v/>
      </c>
      <c r="U2764">
        <f>MAX('01_Вводные'!$B$157*'19_Расчет_аналитики'!U2741,'01_Вводные'!$B$156*MAX(0,'19_Расчет_аналитики'!U2762))</f>
        <v/>
      </c>
      <c r="V2764">
        <f>MAX('01_Вводные'!$B$157*'19_Расчет_аналитики'!V2741,'01_Вводные'!$B$156*MAX(0,'19_Расчет_аналитики'!V2762))</f>
        <v/>
      </c>
      <c r="W2764">
        <f>MAX('01_Вводные'!$B$157*'19_Расчет_аналитики'!W2741,'01_Вводные'!$B$156*MAX(0,'19_Расчет_аналитики'!W2762))</f>
        <v/>
      </c>
      <c r="X2764">
        <f>MAX('01_Вводные'!$B$157*'19_Расчет_аналитики'!X2741,'01_Вводные'!$B$156*MAX(0,'19_Расчет_аналитики'!X2762))</f>
        <v/>
      </c>
      <c r="Y2764">
        <f>MAX('01_Вводные'!$B$157*'19_Расчет_аналитики'!Y2741,'01_Вводные'!$B$156*MAX(0,'19_Расчет_аналитики'!Y2762))</f>
        <v/>
      </c>
      <c r="Z2764">
        <f>MAX('01_Вводные'!$B$157*'19_Расчет_аналитики'!Z2741,'01_Вводные'!$B$156*MAX(0,'19_Расчет_аналитики'!Z2762))</f>
        <v/>
      </c>
      <c r="AA2764">
        <f>MAX('01_Вводные'!$B$157*'19_Расчет_аналитики'!AA2741,'01_Вводные'!$B$156*MAX(0,'19_Расчет_аналитики'!AA2762))</f>
        <v/>
      </c>
      <c r="AB2764">
        <f>MAX('01_Вводные'!$B$157*'19_Расчет_аналитики'!AB2741,'01_Вводные'!$B$156*MAX(0,'19_Расчет_аналитики'!AB2762))</f>
        <v/>
      </c>
      <c r="AC2764">
        <f>MAX('01_Вводные'!$B$157*'19_Расчет_аналитики'!AC2741,'01_Вводные'!$B$156*MAX(0,'19_Расчет_аналитики'!AC2762))</f>
        <v/>
      </c>
      <c r="AD2764">
        <f>MAX('01_Вводные'!$B$157*'19_Расчет_аналитики'!AD2741,'01_Вводные'!$B$156*MAX(0,'19_Расчет_аналитики'!AD2762))</f>
        <v/>
      </c>
      <c r="AE2764">
        <f>MAX('01_Вводные'!$B$157*'19_Расчет_аналитики'!AE2741,'01_Вводные'!$B$156*MAX(0,'19_Расчет_аналитики'!AE2762))</f>
        <v/>
      </c>
      <c r="AF2764">
        <f>MAX('01_Вводные'!$B$157*'19_Расчет_аналитики'!AF2741,'01_Вводные'!$B$156*MAX(0,'19_Расчет_аналитики'!AF2762))</f>
        <v/>
      </c>
      <c r="AG2764">
        <f>MAX('01_Вводные'!$B$157*'19_Расчет_аналитики'!AG2741,'01_Вводные'!$B$156*MAX(0,'19_Расчет_аналитики'!AG2762))</f>
        <v/>
      </c>
      <c r="AH2764">
        <f>MAX('01_Вводные'!$B$157*'19_Расчет_аналитики'!AH2741,'01_Вводные'!$B$156*MAX(0,'19_Расчет_аналитики'!AH2762))</f>
        <v/>
      </c>
      <c r="AI2764">
        <f>MAX('01_Вводные'!$B$157*'19_Расчет_аналитики'!AI2741,'01_Вводные'!$B$156*MAX(0,'19_Расчет_аналитики'!AI2762))</f>
        <v/>
      </c>
      <c r="AJ2764">
        <f>MAX('01_Вводные'!$B$157*'19_Расчет_аналитики'!AJ2741,'01_Вводные'!$B$156*MAX(0,'19_Расчет_аналитики'!AJ2762))</f>
        <v/>
      </c>
      <c r="AK2764">
        <f>MAX('01_Вводные'!$B$157*'19_Расчет_аналитики'!AK2741,'01_Вводные'!$B$156*MAX(0,'19_Расчет_аналитики'!AK2762))</f>
        <v/>
      </c>
      <c r="AL2764">
        <f>MAX('01_Вводные'!$B$157*'19_Расчет_аналитики'!AL2741,'01_Вводные'!$B$156*MAX(0,'19_Расчет_аналитики'!AL2762))</f>
        <v/>
      </c>
      <c r="AM2764">
        <f>MAX('01_Вводные'!$B$157*'19_Расчет_аналитики'!AM2741,'01_Вводные'!$B$156*MAX(0,'19_Расчет_аналитики'!AM2762))</f>
        <v/>
      </c>
      <c r="AN2764">
        <f>MAX('01_Вводные'!$B$157*'19_Расчет_аналитики'!AN2741,'01_Вводные'!$B$156*MAX(0,'19_Расчет_аналитики'!AN2762))</f>
        <v/>
      </c>
      <c r="AO2764">
        <f>MAX('01_Вводные'!$B$157*'19_Расчет_аналитики'!AO2741,'01_Вводные'!$B$156*MAX(0,'19_Расчет_аналитики'!AO2762))</f>
        <v/>
      </c>
      <c r="AP2764">
        <f>MAX('01_Вводные'!$B$157*'19_Расчет_аналитики'!AP2741,'01_Вводные'!$B$156*MAX(0,'19_Расчет_аналитики'!AP2762))</f>
        <v/>
      </c>
      <c r="AQ2764">
        <f>MAX('01_Вводные'!$B$157*'19_Расчет_аналитики'!AQ2741,'01_Вводные'!$B$156*MAX(0,'19_Расчет_аналитики'!AQ2762))</f>
        <v/>
      </c>
      <c r="AR2764">
        <f>MAX('01_Вводные'!$B$157*'19_Расчет_аналитики'!AR2741,'01_Вводные'!$B$156*MAX(0,'19_Расчет_аналитики'!AR2762))</f>
        <v/>
      </c>
      <c r="AS2764">
        <f>MAX('01_Вводные'!$B$157*'19_Расчет_аналитики'!AS2741,'01_Вводные'!$B$156*MAX(0,'19_Расчет_аналитики'!AS2762))</f>
        <v/>
      </c>
      <c r="AT2764">
        <f>MAX('01_Вводные'!$B$157*'19_Расчет_аналитики'!AT2741,'01_Вводные'!$B$156*MAX(0,'19_Расчет_аналитики'!AT2762))</f>
        <v/>
      </c>
      <c r="AU2764">
        <f>MAX('01_Вводные'!$B$157*'19_Расчет_аналитики'!AU2741,'01_Вводные'!$B$156*MAX(0,'19_Расчет_аналитики'!AU2762))</f>
        <v/>
      </c>
      <c r="AV2764">
        <f>MAX('01_Вводные'!$B$157*'19_Расчет_аналитики'!AV2741,'01_Вводные'!$B$156*MAX(0,'19_Расчет_аналитики'!AV2762))</f>
        <v/>
      </c>
      <c r="AW2764">
        <f>MAX('01_Вводные'!$B$157*'19_Расчет_аналитики'!AW2741,'01_Вводные'!$B$156*MAX(0,'19_Расчет_аналитики'!AW2762))</f>
        <v/>
      </c>
      <c r="AX2764">
        <f>MAX('01_Вводные'!$B$157*'19_Расчет_аналитики'!AX2741,'01_Вводные'!$B$156*MAX(0,'19_Расчет_аналитики'!AX2762))</f>
        <v/>
      </c>
      <c r="AY2764">
        <f>MAX('01_Вводные'!$B$157*'19_Расчет_аналитики'!AY2741,'01_Вводные'!$B$156*MAX(0,'19_Расчет_аналитики'!AY2762))</f>
        <v/>
      </c>
      <c r="AZ2764">
        <f>MAX('01_Вводные'!$B$157*'19_Расчет_аналитики'!AZ2741,'01_Вводные'!$B$156*MAX(0,'19_Расчет_аналитики'!AZ2762))</f>
        <v/>
      </c>
      <c r="BA2764">
        <f>MAX('01_Вводные'!$B$157*'19_Расчет_аналитики'!BA2741,'01_Вводные'!$B$156*MAX(0,'19_Расчет_аналитики'!BA2762))</f>
        <v/>
      </c>
      <c r="BB2764">
        <f>MAX('01_Вводные'!$B$157*'19_Расчет_аналитики'!BB2741,'01_Вводные'!$B$156*MAX(0,'19_Расчет_аналитики'!BB2762))</f>
        <v/>
      </c>
      <c r="BC2764">
        <f>MAX('01_Вводные'!$B$157*'19_Расчет_аналитики'!BC2741,'01_Вводные'!$B$156*MAX(0,'19_Расчет_аналитики'!BC2762))</f>
        <v/>
      </c>
      <c r="BD2764">
        <f>MAX('01_Вводные'!$B$157*'19_Расчет_аналитики'!BD2741,'01_Вводные'!$B$156*MAX(0,'19_Расчет_аналитики'!BD2762))</f>
        <v/>
      </c>
      <c r="BE2764">
        <f>MAX('01_Вводные'!$B$157*'19_Расчет_аналитики'!BE2741,'01_Вводные'!$B$156*MAX(0,'19_Расчет_аналитики'!BE2762))</f>
        <v/>
      </c>
      <c r="BF2764">
        <f>MAX('01_Вводные'!$B$157*'19_Расчет_аналитики'!BF2741,'01_Вводные'!$B$156*MAX(0,'19_Расчет_аналитики'!BF2762))</f>
        <v/>
      </c>
      <c r="BG2764">
        <f>MAX('01_Вводные'!$B$157*'19_Расчет_аналитики'!BG2741,'01_Вводные'!$B$156*MAX(0,'19_Расчет_аналитики'!BG2762))</f>
        <v/>
      </c>
      <c r="BH2764">
        <f>MAX('01_Вводные'!$B$157*'19_Расчет_аналитики'!BH2741,'01_Вводные'!$B$156*MAX(0,'19_Расчет_аналитики'!BH2762))</f>
        <v/>
      </c>
      <c r="BI2764">
        <f>MAX('01_Вводные'!$B$157*'19_Расчет_аналитики'!BI2741,'01_Вводные'!$B$156*MAX(0,'19_Расчет_аналитики'!BI2762))</f>
        <v/>
      </c>
    </row>
    <row r="2765">
      <c r="B2765">
        <f>'19_Расчет_аналитики'!B2762-'19_Расчет_аналитики'!B2764</f>
        <v/>
      </c>
      <c r="C2765">
        <f>'19_Расчет_аналитики'!C2762-'19_Расчет_аналитики'!C2764</f>
        <v/>
      </c>
      <c r="D2765">
        <f>'19_Расчет_аналитики'!D2762-'19_Расчет_аналитики'!D2764</f>
        <v/>
      </c>
      <c r="E2765">
        <f>'19_Расчет_аналитики'!E2762-'19_Расчет_аналитики'!E2764</f>
        <v/>
      </c>
      <c r="F2765">
        <f>'19_Расчет_аналитики'!F2762-'19_Расчет_аналитики'!F2764</f>
        <v/>
      </c>
      <c r="G2765">
        <f>'19_Расчет_аналитики'!G2762-'19_Расчет_аналитики'!G2764</f>
        <v/>
      </c>
      <c r="H2765">
        <f>'19_Расчет_аналитики'!H2762-'19_Расчет_аналитики'!H2764</f>
        <v/>
      </c>
      <c r="I2765">
        <f>'19_Расчет_аналитики'!I2762-'19_Расчет_аналитики'!I2764</f>
        <v/>
      </c>
      <c r="J2765">
        <f>'19_Расчет_аналитики'!J2762-'19_Расчет_аналитики'!J2764</f>
        <v/>
      </c>
      <c r="K2765">
        <f>'19_Расчет_аналитики'!K2762-'19_Расчет_аналитики'!K2764</f>
        <v/>
      </c>
      <c r="L2765">
        <f>'19_Расчет_аналитики'!L2762-'19_Расчет_аналитики'!L2764</f>
        <v/>
      </c>
      <c r="M2765">
        <f>'19_Расчет_аналитики'!M2762-'19_Расчет_аналитики'!M2764</f>
        <v/>
      </c>
      <c r="N2765">
        <f>'19_Расчет_аналитики'!N2762-'19_Расчет_аналитики'!N2764</f>
        <v/>
      </c>
      <c r="O2765">
        <f>'19_Расчет_аналитики'!O2762-'19_Расчет_аналитики'!O2764</f>
        <v/>
      </c>
      <c r="P2765">
        <f>'19_Расчет_аналитики'!P2762-'19_Расчет_аналитики'!P2764</f>
        <v/>
      </c>
      <c r="Q2765">
        <f>'19_Расчет_аналитики'!Q2762-'19_Расчет_аналитики'!Q2764</f>
        <v/>
      </c>
      <c r="R2765">
        <f>'19_Расчет_аналитики'!R2762-'19_Расчет_аналитики'!R2764</f>
        <v/>
      </c>
      <c r="S2765">
        <f>'19_Расчет_аналитики'!S2762-'19_Расчет_аналитики'!S2764</f>
        <v/>
      </c>
      <c r="T2765">
        <f>'19_Расчет_аналитики'!T2762-'19_Расчет_аналитики'!T2764</f>
        <v/>
      </c>
      <c r="U2765">
        <f>'19_Расчет_аналитики'!U2762-'19_Расчет_аналитики'!U2764</f>
        <v/>
      </c>
      <c r="V2765">
        <f>'19_Расчет_аналитики'!V2762-'19_Расчет_аналитики'!V2764</f>
        <v/>
      </c>
      <c r="W2765">
        <f>'19_Расчет_аналитики'!W2762-'19_Расчет_аналитики'!W2764</f>
        <v/>
      </c>
      <c r="X2765">
        <f>'19_Расчет_аналитики'!X2762-'19_Расчет_аналитики'!X2764</f>
        <v/>
      </c>
      <c r="Y2765">
        <f>'19_Расчет_аналитики'!Y2762-'19_Расчет_аналитики'!Y2764</f>
        <v/>
      </c>
      <c r="Z2765">
        <f>'19_Расчет_аналитики'!Z2762-'19_Расчет_аналитики'!Z2764</f>
        <v/>
      </c>
      <c r="AA2765">
        <f>'19_Расчет_аналитики'!AA2762-'19_Расчет_аналитики'!AA2764</f>
        <v/>
      </c>
      <c r="AB2765">
        <f>'19_Расчет_аналитики'!AB2762-'19_Расчет_аналитики'!AB2764</f>
        <v/>
      </c>
      <c r="AC2765">
        <f>'19_Расчет_аналитики'!AC2762-'19_Расчет_аналитики'!AC2764</f>
        <v/>
      </c>
      <c r="AD2765">
        <f>'19_Расчет_аналитики'!AD2762-'19_Расчет_аналитики'!AD2764</f>
        <v/>
      </c>
      <c r="AE2765">
        <f>'19_Расчет_аналитики'!AE2762-'19_Расчет_аналитики'!AE2764</f>
        <v/>
      </c>
      <c r="AF2765">
        <f>'19_Расчет_аналитики'!AF2762-'19_Расчет_аналитики'!AF2764</f>
        <v/>
      </c>
      <c r="AG2765">
        <f>'19_Расчет_аналитики'!AG2762-'19_Расчет_аналитики'!AG2764</f>
        <v/>
      </c>
      <c r="AH2765">
        <f>'19_Расчет_аналитики'!AH2762-'19_Расчет_аналитики'!AH2764</f>
        <v/>
      </c>
      <c r="AI2765">
        <f>'19_Расчет_аналитики'!AI2762-'19_Расчет_аналитики'!AI2764</f>
        <v/>
      </c>
      <c r="AJ2765">
        <f>'19_Расчет_аналитики'!AJ2762-'19_Расчет_аналитики'!AJ2764</f>
        <v/>
      </c>
      <c r="AK2765">
        <f>'19_Расчет_аналитики'!AK2762-'19_Расчет_аналитики'!AK2764</f>
        <v/>
      </c>
      <c r="AL2765">
        <f>'19_Расчет_аналитики'!AL2762-'19_Расчет_аналитики'!AL2764</f>
        <v/>
      </c>
      <c r="AM2765">
        <f>'19_Расчет_аналитики'!AM2762-'19_Расчет_аналитики'!AM2764</f>
        <v/>
      </c>
      <c r="AN2765">
        <f>'19_Расчет_аналитики'!AN2762-'19_Расчет_аналитики'!AN2764</f>
        <v/>
      </c>
      <c r="AO2765">
        <f>'19_Расчет_аналитики'!AO2762-'19_Расчет_аналитики'!AO2764</f>
        <v/>
      </c>
      <c r="AP2765">
        <f>'19_Расчет_аналитики'!AP2762-'19_Расчет_аналитики'!AP2764</f>
        <v/>
      </c>
      <c r="AQ2765">
        <f>'19_Расчет_аналитики'!AQ2762-'19_Расчет_аналитики'!AQ2764</f>
        <v/>
      </c>
      <c r="AR2765">
        <f>'19_Расчет_аналитики'!AR2762-'19_Расчет_аналитики'!AR2764</f>
        <v/>
      </c>
      <c r="AS2765">
        <f>'19_Расчет_аналитики'!AS2762-'19_Расчет_аналитики'!AS2764</f>
        <v/>
      </c>
      <c r="AT2765">
        <f>'19_Расчет_аналитики'!AT2762-'19_Расчет_аналитики'!AT2764</f>
        <v/>
      </c>
      <c r="AU2765">
        <f>'19_Расчет_аналитики'!AU2762-'19_Расчет_аналитики'!AU2764</f>
        <v/>
      </c>
      <c r="AV2765">
        <f>'19_Расчет_аналитики'!AV2762-'19_Расчет_аналитики'!AV2764</f>
        <v/>
      </c>
      <c r="AW2765">
        <f>'19_Расчет_аналитики'!AW2762-'19_Расчет_аналитики'!AW2764</f>
        <v/>
      </c>
      <c r="AX2765">
        <f>'19_Расчет_аналитики'!AX2762-'19_Расчет_аналитики'!AX2764</f>
        <v/>
      </c>
      <c r="AY2765">
        <f>'19_Расчет_аналитики'!AY2762-'19_Расчет_аналитики'!AY2764</f>
        <v/>
      </c>
      <c r="AZ2765">
        <f>'19_Расчет_аналитики'!AZ2762-'19_Расчет_аналитики'!AZ2764</f>
        <v/>
      </c>
      <c r="BA2765">
        <f>'19_Расчет_аналитики'!BA2762-'19_Расчет_аналитики'!BA2764</f>
        <v/>
      </c>
      <c r="BB2765">
        <f>'19_Расчет_аналитики'!BB2762-'19_Расчет_аналитики'!BB2764</f>
        <v/>
      </c>
      <c r="BC2765">
        <f>'19_Расчет_аналитики'!BC2762-'19_Расчет_аналитики'!BC2764</f>
        <v/>
      </c>
      <c r="BD2765">
        <f>'19_Расчет_аналитики'!BD2762-'19_Расчет_аналитики'!BD2764</f>
        <v/>
      </c>
      <c r="BE2765">
        <f>'19_Расчет_аналитики'!BE2762-'19_Расчет_аналитики'!BE2764</f>
        <v/>
      </c>
      <c r="BF2765">
        <f>'19_Расчет_аналитики'!BF2762-'19_Расчет_аналитики'!BF2764</f>
        <v/>
      </c>
      <c r="BG2765">
        <f>'19_Расчет_аналитики'!BG2762-'19_Расчет_аналитики'!BG2764</f>
        <v/>
      </c>
      <c r="BH2765">
        <f>'19_Расчет_аналитики'!BH2762-'19_Расчет_аналитики'!BH2764</f>
        <v/>
      </c>
      <c r="BI2765">
        <f>'19_Расчет_аналитики'!BI2762-'19_Расчет_аналитики'!BI2764</f>
        <v/>
      </c>
    </row>
    <row r="2766"/>
    <row r="2767"/>
    <row r="2768"/>
    <row r="2769">
      <c r="C2769">
        <f>'19_Расчет_аналитики'!B2790</f>
        <v/>
      </c>
      <c r="D2769">
        <f>'19_Расчет_аналитики'!C2790</f>
        <v/>
      </c>
      <c r="E2769">
        <f>'19_Расчет_аналитики'!D2790</f>
        <v/>
      </c>
      <c r="F2769">
        <f>'19_Расчет_аналитики'!E2790</f>
        <v/>
      </c>
      <c r="G2769">
        <f>'19_Расчет_аналитики'!F2790</f>
        <v/>
      </c>
      <c r="H2769">
        <f>'19_Расчет_аналитики'!G2790</f>
        <v/>
      </c>
      <c r="I2769">
        <f>'19_Расчет_аналитики'!H2790</f>
        <v/>
      </c>
      <c r="J2769">
        <f>'19_Расчет_аналитики'!I2790</f>
        <v/>
      </c>
      <c r="K2769">
        <f>'19_Расчет_аналитики'!J2790</f>
        <v/>
      </c>
      <c r="L2769">
        <f>'19_Расчет_аналитики'!K2790</f>
        <v/>
      </c>
      <c r="M2769">
        <f>'19_Расчет_аналитики'!L2790</f>
        <v/>
      </c>
      <c r="N2769">
        <f>'19_Расчет_аналитики'!M2790</f>
        <v/>
      </c>
      <c r="O2769">
        <f>'19_Расчет_аналитики'!N2790</f>
        <v/>
      </c>
      <c r="P2769">
        <f>'19_Расчет_аналитики'!O2790</f>
        <v/>
      </c>
      <c r="Q2769">
        <f>'19_Расчет_аналитики'!P2790</f>
        <v/>
      </c>
      <c r="R2769">
        <f>'19_Расчет_аналитики'!Q2790</f>
        <v/>
      </c>
      <c r="S2769">
        <f>'19_Расчет_аналитики'!R2790</f>
        <v/>
      </c>
      <c r="T2769">
        <f>'19_Расчет_аналитики'!S2790</f>
        <v/>
      </c>
      <c r="U2769">
        <f>'19_Расчет_аналитики'!T2790</f>
        <v/>
      </c>
      <c r="V2769">
        <f>'19_Расчет_аналитики'!U2790</f>
        <v/>
      </c>
      <c r="W2769">
        <f>'19_Расчет_аналитики'!V2790</f>
        <v/>
      </c>
      <c r="X2769">
        <f>'19_Расчет_аналитики'!W2790</f>
        <v/>
      </c>
      <c r="Y2769">
        <f>'19_Расчет_аналитики'!X2790</f>
        <v/>
      </c>
      <c r="Z2769">
        <f>'19_Расчет_аналитики'!Y2790</f>
        <v/>
      </c>
      <c r="AA2769">
        <f>'19_Расчет_аналитики'!Z2790</f>
        <v/>
      </c>
      <c r="AB2769">
        <f>'19_Расчет_аналитики'!AA2790</f>
        <v/>
      </c>
      <c r="AC2769">
        <f>'19_Расчет_аналитики'!AB2790</f>
        <v/>
      </c>
      <c r="AD2769">
        <f>'19_Расчет_аналитики'!AC2790</f>
        <v/>
      </c>
      <c r="AE2769">
        <f>'19_Расчет_аналитики'!AD2790</f>
        <v/>
      </c>
      <c r="AF2769">
        <f>'19_Расчет_аналитики'!AE2790</f>
        <v/>
      </c>
      <c r="AG2769">
        <f>'19_Расчет_аналитики'!AF2790</f>
        <v/>
      </c>
      <c r="AH2769">
        <f>'19_Расчет_аналитики'!AG2790</f>
        <v/>
      </c>
      <c r="AI2769">
        <f>'19_Расчет_аналитики'!AH2790</f>
        <v/>
      </c>
      <c r="AJ2769">
        <f>'19_Расчет_аналитики'!AI2790</f>
        <v/>
      </c>
      <c r="AK2769">
        <f>'19_Расчет_аналитики'!AJ2790</f>
        <v/>
      </c>
      <c r="AL2769">
        <f>'19_Расчет_аналитики'!AK2790</f>
        <v/>
      </c>
      <c r="AM2769">
        <f>'19_Расчет_аналитики'!AL2790</f>
        <v/>
      </c>
      <c r="AN2769">
        <f>'19_Расчет_аналитики'!AM2790</f>
        <v/>
      </c>
      <c r="AO2769">
        <f>'19_Расчет_аналитики'!AN2790</f>
        <v/>
      </c>
      <c r="AP2769">
        <f>'19_Расчет_аналитики'!AO2790</f>
        <v/>
      </c>
      <c r="AQ2769">
        <f>'19_Расчет_аналитики'!AP2790</f>
        <v/>
      </c>
      <c r="AR2769">
        <f>'19_Расчет_аналитики'!AQ2790</f>
        <v/>
      </c>
      <c r="AS2769">
        <f>'19_Расчет_аналитики'!AR2790</f>
        <v/>
      </c>
      <c r="AT2769">
        <f>'19_Расчет_аналитики'!AS2790</f>
        <v/>
      </c>
      <c r="AU2769">
        <f>'19_Расчет_аналитики'!AT2790</f>
        <v/>
      </c>
      <c r="AV2769">
        <f>'19_Расчет_аналитики'!AU2790</f>
        <v/>
      </c>
      <c r="AW2769">
        <f>'19_Расчет_аналитики'!AV2790</f>
        <v/>
      </c>
      <c r="AX2769">
        <f>'19_Расчет_аналитики'!AW2790</f>
        <v/>
      </c>
      <c r="AY2769">
        <f>'19_Расчет_аналитики'!AX2790</f>
        <v/>
      </c>
      <c r="AZ2769">
        <f>'19_Расчет_аналитики'!AY2790</f>
        <v/>
      </c>
      <c r="BA2769">
        <f>'19_Расчет_аналитики'!AZ2790</f>
        <v/>
      </c>
      <c r="BB2769">
        <f>'19_Расчет_аналитики'!BA2790</f>
        <v/>
      </c>
      <c r="BC2769">
        <f>'19_Расчет_аналитики'!BB2790</f>
        <v/>
      </c>
      <c r="BD2769">
        <f>'19_Расчет_аналитики'!BC2790</f>
        <v/>
      </c>
      <c r="BE2769">
        <f>'19_Расчет_аналитики'!BD2790</f>
        <v/>
      </c>
      <c r="BF2769">
        <f>'19_Расчет_аналитики'!BE2790</f>
        <v/>
      </c>
      <c r="BG2769">
        <f>'19_Расчет_аналитики'!BF2790</f>
        <v/>
      </c>
      <c r="BH2769">
        <f>'19_Расчет_аналитики'!BG2790</f>
        <v/>
      </c>
      <c r="BI2769">
        <f>'19_Расчет_аналитики'!BH2790</f>
        <v/>
      </c>
    </row>
    <row r="2770">
      <c r="B2770">
        <f>'02_Модель'!B52</f>
        <v/>
      </c>
      <c r="C2770">
        <f>'19_Расчет_аналитики'!C2372</f>
        <v/>
      </c>
      <c r="D2770">
        <f>'19_Расчет_аналитики'!D2372</f>
        <v/>
      </c>
      <c r="E2770">
        <f>'19_Расчет_аналитики'!E2372</f>
        <v/>
      </c>
      <c r="F2770">
        <f>'19_Расчет_аналитики'!F2372</f>
        <v/>
      </c>
      <c r="G2770">
        <f>'19_Расчет_аналитики'!G2372</f>
        <v/>
      </c>
      <c r="H2770">
        <f>'19_Расчет_аналитики'!H2372</f>
        <v/>
      </c>
      <c r="I2770">
        <f>'19_Расчет_аналитики'!I2372</f>
        <v/>
      </c>
      <c r="J2770">
        <f>'19_Расчет_аналитики'!J2372</f>
        <v/>
      </c>
      <c r="K2770">
        <f>'19_Расчет_аналитики'!K2372</f>
        <v/>
      </c>
      <c r="L2770">
        <f>'19_Расчет_аналитики'!L2372</f>
        <v/>
      </c>
      <c r="M2770">
        <f>'19_Расчет_аналитики'!M2372</f>
        <v/>
      </c>
      <c r="N2770">
        <f>'19_Расчет_аналитики'!N2372</f>
        <v/>
      </c>
      <c r="O2770">
        <f>'19_Расчет_аналитики'!O2372</f>
        <v/>
      </c>
      <c r="P2770">
        <f>'19_Расчет_аналитики'!P2372</f>
        <v/>
      </c>
      <c r="Q2770">
        <f>'19_Расчет_аналитики'!Q2372</f>
        <v/>
      </c>
      <c r="R2770">
        <f>'19_Расчет_аналитики'!R2372</f>
        <v/>
      </c>
      <c r="S2770">
        <f>'19_Расчет_аналитики'!S2372</f>
        <v/>
      </c>
      <c r="T2770">
        <f>'19_Расчет_аналитики'!T2372</f>
        <v/>
      </c>
      <c r="U2770">
        <f>'19_Расчет_аналитики'!U2372</f>
        <v/>
      </c>
      <c r="V2770">
        <f>'19_Расчет_аналитики'!V2372</f>
        <v/>
      </c>
      <c r="W2770">
        <f>'19_Расчет_аналитики'!W2372</f>
        <v/>
      </c>
      <c r="X2770">
        <f>'19_Расчет_аналитики'!X2372</f>
        <v/>
      </c>
      <c r="Y2770">
        <f>'19_Расчет_аналитики'!Y2372</f>
        <v/>
      </c>
      <c r="Z2770">
        <f>'19_Расчет_аналитики'!Z2372</f>
        <v/>
      </c>
      <c r="AA2770">
        <f>'19_Расчет_аналитики'!AA2372</f>
        <v/>
      </c>
      <c r="AB2770">
        <f>'19_Расчет_аналитики'!AB2372</f>
        <v/>
      </c>
      <c r="AC2770">
        <f>'19_Расчет_аналитики'!AC2372</f>
        <v/>
      </c>
      <c r="AD2770">
        <f>'19_Расчет_аналитики'!AD2372</f>
        <v/>
      </c>
      <c r="AE2770">
        <f>'19_Расчет_аналитики'!AE2372</f>
        <v/>
      </c>
      <c r="AF2770">
        <f>'19_Расчет_аналитики'!AF2372</f>
        <v/>
      </c>
      <c r="AG2770">
        <f>'19_Расчет_аналитики'!AG2372</f>
        <v/>
      </c>
      <c r="AH2770">
        <f>'19_Расчет_аналитики'!AH2372</f>
        <v/>
      </c>
      <c r="AI2770">
        <f>'19_Расчет_аналитики'!AI2372</f>
        <v/>
      </c>
      <c r="AJ2770">
        <f>'19_Расчет_аналитики'!AJ2372</f>
        <v/>
      </c>
      <c r="AK2770">
        <f>'19_Расчет_аналитики'!AK2372</f>
        <v/>
      </c>
      <c r="AL2770">
        <f>'19_Расчет_аналитики'!AL2372</f>
        <v/>
      </c>
      <c r="AM2770">
        <f>'19_Расчет_аналитики'!AM2372</f>
        <v/>
      </c>
      <c r="AN2770">
        <f>'19_Расчет_аналитики'!AN2372</f>
        <v/>
      </c>
      <c r="AO2770">
        <f>'19_Расчет_аналитики'!AO2372</f>
        <v/>
      </c>
      <c r="AP2770">
        <f>'19_Расчет_аналитики'!AP2372</f>
        <v/>
      </c>
      <c r="AQ2770">
        <f>'19_Расчет_аналитики'!AQ2372</f>
        <v/>
      </c>
      <c r="AR2770">
        <f>'19_Расчет_аналитики'!AR2372</f>
        <v/>
      </c>
      <c r="AS2770">
        <f>'19_Расчет_аналитики'!AS2372</f>
        <v/>
      </c>
      <c r="AT2770">
        <f>'19_Расчет_аналитики'!AT2372</f>
        <v/>
      </c>
      <c r="AU2770">
        <f>'19_Расчет_аналитики'!AU2372</f>
        <v/>
      </c>
      <c r="AV2770">
        <f>'19_Расчет_аналитики'!AV2372</f>
        <v/>
      </c>
      <c r="AW2770">
        <f>'19_Расчет_аналитики'!AW2372</f>
        <v/>
      </c>
      <c r="AX2770">
        <f>'19_Расчет_аналитики'!AX2372</f>
        <v/>
      </c>
      <c r="AY2770">
        <f>'19_Расчет_аналитики'!AY2372</f>
        <v/>
      </c>
      <c r="AZ2770">
        <f>'19_Расчет_аналитики'!AZ2372</f>
        <v/>
      </c>
      <c r="BA2770">
        <f>'19_Расчет_аналитики'!BA2372</f>
        <v/>
      </c>
      <c r="BB2770">
        <f>'19_Расчет_аналитики'!BB2372</f>
        <v/>
      </c>
      <c r="BC2770">
        <f>'19_Расчет_аналитики'!BC2372</f>
        <v/>
      </c>
      <c r="BD2770">
        <f>'19_Расчет_аналитики'!BD2372</f>
        <v/>
      </c>
      <c r="BE2770">
        <f>'19_Расчет_аналитики'!BE2372</f>
        <v/>
      </c>
      <c r="BF2770">
        <f>'19_Расчет_аналитики'!BF2372</f>
        <v/>
      </c>
      <c r="BG2770">
        <f>'19_Расчет_аналитики'!BG2372</f>
        <v/>
      </c>
      <c r="BH2770">
        <f>'19_Расчет_аналитики'!BH2372</f>
        <v/>
      </c>
      <c r="BI2770">
        <f>'19_Расчет_аналитики'!BI2372</f>
        <v/>
      </c>
    </row>
    <row r="2771">
      <c r="B2771">
        <f>'19_Расчет_аналитики'!$B$2056*('19_Расчет_аналитики'!B2737+'19_Расчет_аналитики'!B2738)*(1+'01_Вводные'!$B$58)+(1-'19_Расчет_аналитики'!$B$2056)*0</f>
        <v/>
      </c>
      <c r="C2771">
        <f>'19_Расчет_аналитики'!$B$2056*('19_Расчет_аналитики'!C2737+'19_Расчет_аналитики'!C2738)*(1+'01_Вводные'!$B$58)+(1-'19_Расчет_аналитики'!$B$2056)*('19_Расчет_аналитики'!B2737+'19_Расчет_аналитики'!B2738)*(1+'01_Вводные'!$B$58)</f>
        <v/>
      </c>
      <c r="D2771">
        <f>'19_Расчет_аналитики'!$B$2056*('19_Расчет_аналитики'!D2737+'19_Расчет_аналитики'!D2738)*(1+'01_Вводные'!$B$58)+(1-'19_Расчет_аналитики'!$B$2056)*('19_Расчет_аналитики'!C2737+'19_Расчет_аналитики'!C2738)*(1+'01_Вводные'!$B$58)</f>
        <v/>
      </c>
      <c r="E2771">
        <f>'19_Расчет_аналитики'!$B$2056*('19_Расчет_аналитики'!E2737+'19_Расчет_аналитики'!E2738)*(1+'01_Вводные'!$B$58)+(1-'19_Расчет_аналитики'!$B$2056)*('19_Расчет_аналитики'!D2737+'19_Расчет_аналитики'!D2738)*(1+'01_Вводные'!$B$58)</f>
        <v/>
      </c>
      <c r="F2771">
        <f>'19_Расчет_аналитики'!$B$2056*('19_Расчет_аналитики'!F2737+'19_Расчет_аналитики'!F2738)*(1+'01_Вводные'!$B$58)+(1-'19_Расчет_аналитики'!$B$2056)*('19_Расчет_аналитики'!E2737+'19_Расчет_аналитики'!E2738)*(1+'01_Вводные'!$B$58)</f>
        <v/>
      </c>
      <c r="G2771">
        <f>'19_Расчет_аналитики'!$B$2056*('19_Расчет_аналитики'!G2737+'19_Расчет_аналитики'!G2738)*(1+'01_Вводные'!$B$58)+(1-'19_Расчет_аналитики'!$B$2056)*('19_Расчет_аналитики'!F2737+'19_Расчет_аналитики'!F2738)*(1+'01_Вводные'!$B$58)</f>
        <v/>
      </c>
      <c r="H2771">
        <f>'19_Расчет_аналитики'!$B$2056*('19_Расчет_аналитики'!H2737+'19_Расчет_аналитики'!H2738)*(1+'01_Вводные'!$B$58)+(1-'19_Расчет_аналитики'!$B$2056)*('19_Расчет_аналитики'!G2737+'19_Расчет_аналитики'!G2738)*(1+'01_Вводные'!$B$58)</f>
        <v/>
      </c>
      <c r="I2771">
        <f>'19_Расчет_аналитики'!$B$2056*('19_Расчет_аналитики'!I2737+'19_Расчет_аналитики'!I2738)*(1+'01_Вводные'!$B$58)+(1-'19_Расчет_аналитики'!$B$2056)*('19_Расчет_аналитики'!H2737+'19_Расчет_аналитики'!H2738)*(1+'01_Вводные'!$B$58)</f>
        <v/>
      </c>
      <c r="J2771">
        <f>'19_Расчет_аналитики'!$B$2056*('19_Расчет_аналитики'!J2737+'19_Расчет_аналитики'!J2738)*(1+'01_Вводные'!$B$58)+(1-'19_Расчет_аналитики'!$B$2056)*('19_Расчет_аналитики'!I2737+'19_Расчет_аналитики'!I2738)*(1+'01_Вводные'!$B$58)</f>
        <v/>
      </c>
      <c r="K2771">
        <f>'19_Расчет_аналитики'!$B$2056*('19_Расчет_аналитики'!K2737+'19_Расчет_аналитики'!K2738)*(1+'01_Вводные'!$B$58)+(1-'19_Расчет_аналитики'!$B$2056)*('19_Расчет_аналитики'!J2737+'19_Расчет_аналитики'!J2738)*(1+'01_Вводные'!$B$58)</f>
        <v/>
      </c>
      <c r="L2771">
        <f>'19_Расчет_аналитики'!$B$2056*('19_Расчет_аналитики'!L2737+'19_Расчет_аналитики'!L2738)*(1+'01_Вводные'!$B$58)+(1-'19_Расчет_аналитики'!$B$2056)*('19_Расчет_аналитики'!K2737+'19_Расчет_аналитики'!K2738)*(1+'01_Вводные'!$B$58)</f>
        <v/>
      </c>
      <c r="M2771">
        <f>'19_Расчет_аналитики'!$B$2056*('19_Расчет_аналитики'!M2737+'19_Расчет_аналитики'!M2738)*(1+'01_Вводные'!$B$58)+(1-'19_Расчет_аналитики'!$B$2056)*('19_Расчет_аналитики'!L2737+'19_Расчет_аналитики'!L2738)*(1+'01_Вводные'!$B$58)</f>
        <v/>
      </c>
      <c r="N2771">
        <f>'19_Расчет_аналитики'!$B$2056*('19_Расчет_аналитики'!N2737+'19_Расчет_аналитики'!N2738)*(1+'01_Вводные'!$B$58)+(1-'19_Расчет_аналитики'!$B$2056)*('19_Расчет_аналитики'!M2737+'19_Расчет_аналитики'!M2738)*(1+'01_Вводные'!$B$58)</f>
        <v/>
      </c>
      <c r="O2771">
        <f>'19_Расчет_аналитики'!$B$2056*('19_Расчет_аналитики'!O2737+'19_Расчет_аналитики'!O2738)*(1+'01_Вводные'!$B$58)+(1-'19_Расчет_аналитики'!$B$2056)*('19_Расчет_аналитики'!N2737+'19_Расчет_аналитики'!N2738)*(1+'01_Вводные'!$B$58)</f>
        <v/>
      </c>
      <c r="P2771">
        <f>'19_Расчет_аналитики'!$B$2056*('19_Расчет_аналитики'!P2737+'19_Расчет_аналитики'!P2738)*(1+'01_Вводные'!$B$58)+(1-'19_Расчет_аналитики'!$B$2056)*('19_Расчет_аналитики'!O2737+'19_Расчет_аналитики'!O2738)*(1+'01_Вводные'!$B$58)</f>
        <v/>
      </c>
      <c r="Q2771">
        <f>'19_Расчет_аналитики'!$B$2056*('19_Расчет_аналитики'!Q2737+'19_Расчет_аналитики'!Q2738)*(1+'01_Вводные'!$B$58)+(1-'19_Расчет_аналитики'!$B$2056)*('19_Расчет_аналитики'!P2737+'19_Расчет_аналитики'!P2738)*(1+'01_Вводные'!$B$58)</f>
        <v/>
      </c>
      <c r="R2771">
        <f>'19_Расчет_аналитики'!$B$2056*('19_Расчет_аналитики'!R2737+'19_Расчет_аналитики'!R2738)*(1+'01_Вводные'!$B$58)+(1-'19_Расчет_аналитики'!$B$2056)*('19_Расчет_аналитики'!Q2737+'19_Расчет_аналитики'!Q2738)*(1+'01_Вводные'!$B$58)</f>
        <v/>
      </c>
      <c r="S2771">
        <f>'19_Расчет_аналитики'!$B$2056*('19_Расчет_аналитики'!S2737+'19_Расчет_аналитики'!S2738)*(1+'01_Вводные'!$B$58)+(1-'19_Расчет_аналитики'!$B$2056)*('19_Расчет_аналитики'!R2737+'19_Расчет_аналитики'!R2738)*(1+'01_Вводные'!$B$58)</f>
        <v/>
      </c>
      <c r="T2771">
        <f>'19_Расчет_аналитики'!$B$2056*('19_Расчет_аналитики'!T2737+'19_Расчет_аналитики'!T2738)*(1+'01_Вводные'!$B$58)+(1-'19_Расчет_аналитики'!$B$2056)*('19_Расчет_аналитики'!S2737+'19_Расчет_аналитики'!S2738)*(1+'01_Вводные'!$B$58)</f>
        <v/>
      </c>
      <c r="U2771">
        <f>'19_Расчет_аналитики'!$B$2056*('19_Расчет_аналитики'!U2737+'19_Расчет_аналитики'!U2738)*(1+'01_Вводные'!$B$58)+(1-'19_Расчет_аналитики'!$B$2056)*('19_Расчет_аналитики'!T2737+'19_Расчет_аналитики'!T2738)*(1+'01_Вводные'!$B$58)</f>
        <v/>
      </c>
      <c r="V2771">
        <f>'19_Расчет_аналитики'!$B$2056*('19_Расчет_аналитики'!V2737+'19_Расчет_аналитики'!V2738)*(1+'01_Вводные'!$B$58)+(1-'19_Расчет_аналитики'!$B$2056)*('19_Расчет_аналитики'!U2737+'19_Расчет_аналитики'!U2738)*(1+'01_Вводные'!$B$58)</f>
        <v/>
      </c>
      <c r="W2771">
        <f>'19_Расчет_аналитики'!$B$2056*('19_Расчет_аналитики'!W2737+'19_Расчет_аналитики'!W2738)*(1+'01_Вводные'!$B$58)+(1-'19_Расчет_аналитики'!$B$2056)*('19_Расчет_аналитики'!V2737+'19_Расчет_аналитики'!V2738)*(1+'01_Вводные'!$B$58)</f>
        <v/>
      </c>
      <c r="X2771">
        <f>'19_Расчет_аналитики'!$B$2056*('19_Расчет_аналитики'!X2737+'19_Расчет_аналитики'!X2738)*(1+'01_Вводные'!$B$58)+(1-'19_Расчет_аналитики'!$B$2056)*('19_Расчет_аналитики'!W2737+'19_Расчет_аналитики'!W2738)*(1+'01_Вводные'!$B$58)</f>
        <v/>
      </c>
      <c r="Y2771">
        <f>'19_Расчет_аналитики'!$B$2056*('19_Расчет_аналитики'!Y2737+'19_Расчет_аналитики'!Y2738)*(1+'01_Вводные'!$B$58)+(1-'19_Расчет_аналитики'!$B$2056)*('19_Расчет_аналитики'!X2737+'19_Расчет_аналитики'!X2738)*(1+'01_Вводные'!$B$58)</f>
        <v/>
      </c>
      <c r="Z2771">
        <f>'19_Расчет_аналитики'!$B$2056*('19_Расчет_аналитики'!Z2737+'19_Расчет_аналитики'!Z2738)*(1+'01_Вводные'!$B$58)+(1-'19_Расчет_аналитики'!$B$2056)*('19_Расчет_аналитики'!Y2737+'19_Расчет_аналитики'!Y2738)*(1+'01_Вводные'!$B$58)</f>
        <v/>
      </c>
      <c r="AA2771">
        <f>'19_Расчет_аналитики'!$B$2056*('19_Расчет_аналитики'!AA2737+'19_Расчет_аналитики'!AA2738)*(1+'01_Вводные'!$B$58)+(1-'19_Расчет_аналитики'!$B$2056)*('19_Расчет_аналитики'!Z2737+'19_Расчет_аналитики'!Z2738)*(1+'01_Вводные'!$B$58)</f>
        <v/>
      </c>
      <c r="AB2771">
        <f>'19_Расчет_аналитики'!$B$2056*('19_Расчет_аналитики'!AB2737+'19_Расчет_аналитики'!AB2738)*(1+'01_Вводные'!$B$58)+(1-'19_Расчет_аналитики'!$B$2056)*('19_Расчет_аналитики'!AA2737+'19_Расчет_аналитики'!AA2738)*(1+'01_Вводные'!$B$58)</f>
        <v/>
      </c>
      <c r="AC2771">
        <f>'19_Расчет_аналитики'!$B$2056*('19_Расчет_аналитики'!AC2737+'19_Расчет_аналитики'!AC2738)*(1+'01_Вводные'!$B$58)+(1-'19_Расчет_аналитики'!$B$2056)*('19_Расчет_аналитики'!AB2737+'19_Расчет_аналитики'!AB2738)*(1+'01_Вводные'!$B$58)</f>
        <v/>
      </c>
      <c r="AD2771">
        <f>'19_Расчет_аналитики'!$B$2056*('19_Расчет_аналитики'!AD2737+'19_Расчет_аналитики'!AD2738)*(1+'01_Вводные'!$B$58)+(1-'19_Расчет_аналитики'!$B$2056)*('19_Расчет_аналитики'!AC2737+'19_Расчет_аналитики'!AC2738)*(1+'01_Вводные'!$B$58)</f>
        <v/>
      </c>
      <c r="AE2771">
        <f>'19_Расчет_аналитики'!$B$2056*('19_Расчет_аналитики'!AE2737+'19_Расчет_аналитики'!AE2738)*(1+'01_Вводные'!$B$58)+(1-'19_Расчет_аналитики'!$B$2056)*('19_Расчет_аналитики'!AD2737+'19_Расчет_аналитики'!AD2738)*(1+'01_Вводные'!$B$58)</f>
        <v/>
      </c>
      <c r="AF2771">
        <f>'19_Расчет_аналитики'!$B$2056*('19_Расчет_аналитики'!AF2737+'19_Расчет_аналитики'!AF2738)*(1+'01_Вводные'!$B$58)+(1-'19_Расчет_аналитики'!$B$2056)*('19_Расчет_аналитики'!AE2737+'19_Расчет_аналитики'!AE2738)*(1+'01_Вводные'!$B$58)</f>
        <v/>
      </c>
      <c r="AG2771">
        <f>'19_Расчет_аналитики'!$B$2056*('19_Расчет_аналитики'!AG2737+'19_Расчет_аналитики'!AG2738)*(1+'01_Вводные'!$B$58)+(1-'19_Расчет_аналитики'!$B$2056)*('19_Расчет_аналитики'!AF2737+'19_Расчет_аналитики'!AF2738)*(1+'01_Вводные'!$B$58)</f>
        <v/>
      </c>
      <c r="AH2771">
        <f>'19_Расчет_аналитики'!$B$2056*('19_Расчет_аналитики'!AH2737+'19_Расчет_аналитики'!AH2738)*(1+'01_Вводные'!$B$58)+(1-'19_Расчет_аналитики'!$B$2056)*('19_Расчет_аналитики'!AG2737+'19_Расчет_аналитики'!AG2738)*(1+'01_Вводные'!$B$58)</f>
        <v/>
      </c>
      <c r="AI2771">
        <f>'19_Расчет_аналитики'!$B$2056*('19_Расчет_аналитики'!AI2737+'19_Расчет_аналитики'!AI2738)*(1+'01_Вводные'!$B$58)+(1-'19_Расчет_аналитики'!$B$2056)*('19_Расчет_аналитики'!AH2737+'19_Расчет_аналитики'!AH2738)*(1+'01_Вводные'!$B$58)</f>
        <v/>
      </c>
      <c r="AJ2771">
        <f>'19_Расчет_аналитики'!$B$2056*('19_Расчет_аналитики'!AJ2737+'19_Расчет_аналитики'!AJ2738)*(1+'01_Вводные'!$B$58)+(1-'19_Расчет_аналитики'!$B$2056)*('19_Расчет_аналитики'!AI2737+'19_Расчет_аналитики'!AI2738)*(1+'01_Вводные'!$B$58)</f>
        <v/>
      </c>
      <c r="AK2771">
        <f>'19_Расчет_аналитики'!$B$2056*('19_Расчет_аналитики'!AK2737+'19_Расчет_аналитики'!AK2738)*(1+'01_Вводные'!$B$58)+(1-'19_Расчет_аналитики'!$B$2056)*('19_Расчет_аналитики'!AJ2737+'19_Расчет_аналитики'!AJ2738)*(1+'01_Вводные'!$B$58)</f>
        <v/>
      </c>
      <c r="AL2771">
        <f>'19_Расчет_аналитики'!$B$2056*('19_Расчет_аналитики'!AL2737+'19_Расчет_аналитики'!AL2738)*(1+'01_Вводные'!$B$58)+(1-'19_Расчет_аналитики'!$B$2056)*('19_Расчет_аналитики'!AK2737+'19_Расчет_аналитики'!AK2738)*(1+'01_Вводные'!$B$58)</f>
        <v/>
      </c>
      <c r="AM2771">
        <f>'19_Расчет_аналитики'!$B$2056*('19_Расчет_аналитики'!AM2737+'19_Расчет_аналитики'!AM2738)*(1+'01_Вводные'!$B$58)+(1-'19_Расчет_аналитики'!$B$2056)*('19_Расчет_аналитики'!AL2737+'19_Расчет_аналитики'!AL2738)*(1+'01_Вводные'!$B$58)</f>
        <v/>
      </c>
      <c r="AN2771">
        <f>'19_Расчет_аналитики'!$B$2056*('19_Расчет_аналитики'!AN2737+'19_Расчет_аналитики'!AN2738)*(1+'01_Вводные'!$B$58)+(1-'19_Расчет_аналитики'!$B$2056)*('19_Расчет_аналитики'!AM2737+'19_Расчет_аналитики'!AM2738)*(1+'01_Вводные'!$B$58)</f>
        <v/>
      </c>
      <c r="AO2771">
        <f>'19_Расчет_аналитики'!$B$2056*('19_Расчет_аналитики'!AO2737+'19_Расчет_аналитики'!AO2738)*(1+'01_Вводные'!$B$58)+(1-'19_Расчет_аналитики'!$B$2056)*('19_Расчет_аналитики'!AN2737+'19_Расчет_аналитики'!AN2738)*(1+'01_Вводные'!$B$58)</f>
        <v/>
      </c>
      <c r="AP2771">
        <f>'19_Расчет_аналитики'!$B$2056*('19_Расчет_аналитики'!AP2737+'19_Расчет_аналитики'!AP2738)*(1+'01_Вводные'!$B$58)+(1-'19_Расчет_аналитики'!$B$2056)*('19_Расчет_аналитики'!AO2737+'19_Расчет_аналитики'!AO2738)*(1+'01_Вводные'!$B$58)</f>
        <v/>
      </c>
      <c r="AQ2771">
        <f>'19_Расчет_аналитики'!$B$2056*('19_Расчет_аналитики'!AQ2737+'19_Расчет_аналитики'!AQ2738)*(1+'01_Вводные'!$B$58)+(1-'19_Расчет_аналитики'!$B$2056)*('19_Расчет_аналитики'!AP2737+'19_Расчет_аналитики'!AP2738)*(1+'01_Вводные'!$B$58)</f>
        <v/>
      </c>
      <c r="AR2771">
        <f>'19_Расчет_аналитики'!$B$2056*('19_Расчет_аналитики'!AR2737+'19_Расчет_аналитики'!AR2738)*(1+'01_Вводные'!$B$58)+(1-'19_Расчет_аналитики'!$B$2056)*('19_Расчет_аналитики'!AQ2737+'19_Расчет_аналитики'!AQ2738)*(1+'01_Вводные'!$B$58)</f>
        <v/>
      </c>
      <c r="AS2771">
        <f>'19_Расчет_аналитики'!$B$2056*('19_Расчет_аналитики'!AS2737+'19_Расчет_аналитики'!AS2738)*(1+'01_Вводные'!$B$58)+(1-'19_Расчет_аналитики'!$B$2056)*('19_Расчет_аналитики'!AR2737+'19_Расчет_аналитики'!AR2738)*(1+'01_Вводные'!$B$58)</f>
        <v/>
      </c>
      <c r="AT2771">
        <f>'19_Расчет_аналитики'!$B$2056*('19_Расчет_аналитики'!AT2737+'19_Расчет_аналитики'!AT2738)*(1+'01_Вводные'!$B$58)+(1-'19_Расчет_аналитики'!$B$2056)*('19_Расчет_аналитики'!AS2737+'19_Расчет_аналитики'!AS2738)*(1+'01_Вводные'!$B$58)</f>
        <v/>
      </c>
      <c r="AU2771">
        <f>'19_Расчет_аналитики'!$B$2056*('19_Расчет_аналитики'!AU2737+'19_Расчет_аналитики'!AU2738)*(1+'01_Вводные'!$B$58)+(1-'19_Расчет_аналитики'!$B$2056)*('19_Расчет_аналитики'!AT2737+'19_Расчет_аналитики'!AT2738)*(1+'01_Вводные'!$B$58)</f>
        <v/>
      </c>
      <c r="AV2771">
        <f>'19_Расчет_аналитики'!$B$2056*('19_Расчет_аналитики'!AV2737+'19_Расчет_аналитики'!AV2738)*(1+'01_Вводные'!$B$58)+(1-'19_Расчет_аналитики'!$B$2056)*('19_Расчет_аналитики'!AU2737+'19_Расчет_аналитики'!AU2738)*(1+'01_Вводные'!$B$58)</f>
        <v/>
      </c>
      <c r="AW2771">
        <f>'19_Расчет_аналитики'!$B$2056*('19_Расчет_аналитики'!AW2737+'19_Расчет_аналитики'!AW2738)*(1+'01_Вводные'!$B$58)+(1-'19_Расчет_аналитики'!$B$2056)*('19_Расчет_аналитики'!AV2737+'19_Расчет_аналитики'!AV2738)*(1+'01_Вводные'!$B$58)</f>
        <v/>
      </c>
      <c r="AX2771">
        <f>'19_Расчет_аналитики'!$B$2056*('19_Расчет_аналитики'!AX2737+'19_Расчет_аналитики'!AX2738)*(1+'01_Вводные'!$B$58)+(1-'19_Расчет_аналитики'!$B$2056)*('19_Расчет_аналитики'!AW2737+'19_Расчет_аналитики'!AW2738)*(1+'01_Вводные'!$B$58)</f>
        <v/>
      </c>
      <c r="AY2771">
        <f>'19_Расчет_аналитики'!$B$2056*('19_Расчет_аналитики'!AY2737+'19_Расчет_аналитики'!AY2738)*(1+'01_Вводные'!$B$58)+(1-'19_Расчет_аналитики'!$B$2056)*('19_Расчет_аналитики'!AX2737+'19_Расчет_аналитики'!AX2738)*(1+'01_Вводные'!$B$58)</f>
        <v/>
      </c>
      <c r="AZ2771">
        <f>'19_Расчет_аналитики'!$B$2056*('19_Расчет_аналитики'!AZ2737+'19_Расчет_аналитики'!AZ2738)*(1+'01_Вводные'!$B$58)+(1-'19_Расчет_аналитики'!$B$2056)*('19_Расчет_аналитики'!AY2737+'19_Расчет_аналитики'!AY2738)*(1+'01_Вводные'!$B$58)</f>
        <v/>
      </c>
      <c r="BA2771">
        <f>'19_Расчет_аналитики'!$B$2056*('19_Расчет_аналитики'!BA2737+'19_Расчет_аналитики'!BA2738)*(1+'01_Вводные'!$B$58)+(1-'19_Расчет_аналитики'!$B$2056)*('19_Расчет_аналитики'!AZ2737+'19_Расчет_аналитики'!AZ2738)*(1+'01_Вводные'!$B$58)</f>
        <v/>
      </c>
      <c r="BB2771">
        <f>'19_Расчет_аналитики'!$B$2056*('19_Расчет_аналитики'!BB2737+'19_Расчет_аналитики'!BB2738)*(1+'01_Вводные'!$B$58)+(1-'19_Расчет_аналитики'!$B$2056)*('19_Расчет_аналитики'!BA2737+'19_Расчет_аналитики'!BA2738)*(1+'01_Вводные'!$B$58)</f>
        <v/>
      </c>
      <c r="BC2771">
        <f>'19_Расчет_аналитики'!$B$2056*('19_Расчет_аналитики'!BC2737+'19_Расчет_аналитики'!BC2738)*(1+'01_Вводные'!$B$58)+(1-'19_Расчет_аналитики'!$B$2056)*('19_Расчет_аналитики'!BB2737+'19_Расчет_аналитики'!BB2738)*(1+'01_Вводные'!$B$58)</f>
        <v/>
      </c>
      <c r="BD2771">
        <f>'19_Расчет_аналитики'!$B$2056*('19_Расчет_аналитики'!BD2737+'19_Расчет_аналитики'!BD2738)*(1+'01_Вводные'!$B$58)+(1-'19_Расчет_аналитики'!$B$2056)*('19_Расчет_аналитики'!BC2737+'19_Расчет_аналитики'!BC2738)*(1+'01_Вводные'!$B$58)</f>
        <v/>
      </c>
      <c r="BE2771">
        <f>'19_Расчет_аналитики'!$B$2056*('19_Расчет_аналитики'!BE2737+'19_Расчет_аналитики'!BE2738)*(1+'01_Вводные'!$B$58)+(1-'19_Расчет_аналитики'!$B$2056)*('19_Расчет_аналитики'!BD2737+'19_Расчет_аналитики'!BD2738)*(1+'01_Вводные'!$B$58)</f>
        <v/>
      </c>
      <c r="BF2771">
        <f>'19_Расчет_аналитики'!$B$2056*('19_Расчет_аналитики'!BF2737+'19_Расчет_аналитики'!BF2738)*(1+'01_Вводные'!$B$58)+(1-'19_Расчет_аналитики'!$B$2056)*('19_Расчет_аналитики'!BE2737+'19_Расчет_аналитики'!BE2738)*(1+'01_Вводные'!$B$58)</f>
        <v/>
      </c>
      <c r="BG2771">
        <f>'19_Расчет_аналитики'!$B$2056*('19_Расчет_аналитики'!BG2737+'19_Расчет_аналитики'!BG2738)*(1+'01_Вводные'!$B$58)+(1-'19_Расчет_аналитики'!$B$2056)*('19_Расчет_аналитики'!BF2737+'19_Расчет_аналитики'!BF2738)*(1+'01_Вводные'!$B$58)</f>
        <v/>
      </c>
      <c r="BH2771">
        <f>'19_Расчет_аналитики'!$B$2056*('19_Расчет_аналитики'!BH2737+'19_Расчет_аналитики'!BH2738)*(1+'01_Вводные'!$B$58)+(1-'19_Расчет_аналитики'!$B$2056)*('19_Расчет_аналитики'!BG2737+'19_Расчет_аналитики'!BG2738)*(1+'01_Вводные'!$B$58)</f>
        <v/>
      </c>
      <c r="BI2771">
        <f>'19_Расчет_аналитики'!$B$2056*('19_Расчет_аналитики'!BI2737+'19_Расчет_аналитики'!BI2738)*(1+'01_Вводные'!$B$58)+(1-'19_Расчет_аналитики'!$B$2056)*('19_Расчет_аналитики'!BH2737+'19_Расчет_аналитики'!BH2738)*(1+'01_Вводные'!$B$58)</f>
        <v/>
      </c>
    </row>
    <row r="2772">
      <c r="B2772">
        <f>'19_Расчет_аналитики'!B2639</f>
        <v/>
      </c>
      <c r="C2772">
        <f>'19_Расчет_аналитики'!C2639</f>
        <v/>
      </c>
      <c r="D2772">
        <f>'19_Расчет_аналитики'!D2639</f>
        <v/>
      </c>
      <c r="E2772">
        <f>'19_Расчет_аналитики'!E2639</f>
        <v/>
      </c>
      <c r="F2772">
        <f>'19_Расчет_аналитики'!F2639</f>
        <v/>
      </c>
      <c r="G2772">
        <f>'19_Расчет_аналитики'!G2639</f>
        <v/>
      </c>
      <c r="H2772">
        <f>'19_Расчет_аналитики'!H2639</f>
        <v/>
      </c>
      <c r="I2772">
        <f>'19_Расчет_аналитики'!I2639</f>
        <v/>
      </c>
      <c r="J2772">
        <f>'19_Расчет_аналитики'!J2639</f>
        <v/>
      </c>
      <c r="K2772">
        <f>'19_Расчет_аналитики'!K2639</f>
        <v/>
      </c>
      <c r="L2772">
        <f>'19_Расчет_аналитики'!L2639</f>
        <v/>
      </c>
      <c r="M2772">
        <f>'19_Расчет_аналитики'!M2639</f>
        <v/>
      </c>
      <c r="N2772">
        <f>'19_Расчет_аналитики'!N2639</f>
        <v/>
      </c>
      <c r="O2772">
        <f>'19_Расчет_аналитики'!O2639</f>
        <v/>
      </c>
      <c r="P2772">
        <f>'19_Расчет_аналитики'!P2639</f>
        <v/>
      </c>
      <c r="Q2772">
        <f>'19_Расчет_аналитики'!Q2639</f>
        <v/>
      </c>
      <c r="R2772">
        <f>'19_Расчет_аналитики'!R2639</f>
        <v/>
      </c>
      <c r="S2772">
        <f>'19_Расчет_аналитики'!S2639</f>
        <v/>
      </c>
      <c r="T2772">
        <f>'19_Расчет_аналитики'!T2639</f>
        <v/>
      </c>
      <c r="U2772">
        <f>'19_Расчет_аналитики'!U2639</f>
        <v/>
      </c>
      <c r="V2772">
        <f>'19_Расчет_аналитики'!V2639</f>
        <v/>
      </c>
      <c r="W2772">
        <f>'19_Расчет_аналитики'!W2639</f>
        <v/>
      </c>
      <c r="X2772">
        <f>'19_Расчет_аналитики'!X2639</f>
        <v/>
      </c>
      <c r="Y2772">
        <f>'19_Расчет_аналитики'!Y2639</f>
        <v/>
      </c>
      <c r="Z2772">
        <f>'19_Расчет_аналитики'!Z2639</f>
        <v/>
      </c>
      <c r="AA2772">
        <f>'19_Расчет_аналитики'!AA2639</f>
        <v/>
      </c>
      <c r="AB2772">
        <f>'19_Расчет_аналитики'!AB2639</f>
        <v/>
      </c>
      <c r="AC2772">
        <f>'19_Расчет_аналитики'!AC2639</f>
        <v/>
      </c>
      <c r="AD2772">
        <f>'19_Расчет_аналитики'!AD2639</f>
        <v/>
      </c>
      <c r="AE2772">
        <f>'19_Расчет_аналитики'!AE2639</f>
        <v/>
      </c>
      <c r="AF2772">
        <f>'19_Расчет_аналитики'!AF2639</f>
        <v/>
      </c>
      <c r="AG2772">
        <f>'19_Расчет_аналитики'!AG2639</f>
        <v/>
      </c>
      <c r="AH2772">
        <f>'19_Расчет_аналитики'!AH2639</f>
        <v/>
      </c>
      <c r="AI2772">
        <f>'19_Расчет_аналитики'!AI2639</f>
        <v/>
      </c>
      <c r="AJ2772">
        <f>'19_Расчет_аналитики'!AJ2639</f>
        <v/>
      </c>
      <c r="AK2772">
        <f>'19_Расчет_аналитики'!AK2639</f>
        <v/>
      </c>
      <c r="AL2772">
        <f>'19_Расчет_аналитики'!AL2639</f>
        <v/>
      </c>
      <c r="AM2772">
        <f>'19_Расчет_аналитики'!AM2639</f>
        <v/>
      </c>
      <c r="AN2772">
        <f>'19_Расчет_аналитики'!AN2639</f>
        <v/>
      </c>
      <c r="AO2772">
        <f>'19_Расчет_аналитики'!AO2639</f>
        <v/>
      </c>
      <c r="AP2772">
        <f>'19_Расчет_аналитики'!AP2639</f>
        <v/>
      </c>
      <c r="AQ2772">
        <f>'19_Расчет_аналитики'!AQ2639</f>
        <v/>
      </c>
      <c r="AR2772">
        <f>'19_Расчет_аналитики'!AR2639</f>
        <v/>
      </c>
      <c r="AS2772">
        <f>'19_Расчет_аналитики'!AS2639</f>
        <v/>
      </c>
      <c r="AT2772">
        <f>'19_Расчет_аналитики'!AT2639</f>
        <v/>
      </c>
      <c r="AU2772">
        <f>'19_Расчет_аналитики'!AU2639</f>
        <v/>
      </c>
      <c r="AV2772">
        <f>'19_Расчет_аналитики'!AV2639</f>
        <v/>
      </c>
      <c r="AW2772">
        <f>'19_Расчет_аналитики'!AW2639</f>
        <v/>
      </c>
      <c r="AX2772">
        <f>'19_Расчет_аналитики'!AX2639</f>
        <v/>
      </c>
      <c r="AY2772">
        <f>'19_Расчет_аналитики'!AY2639</f>
        <v/>
      </c>
      <c r="AZ2772">
        <f>'19_Расчет_аналитики'!AZ2639</f>
        <v/>
      </c>
      <c r="BA2772">
        <f>'19_Расчет_аналитики'!BA2639</f>
        <v/>
      </c>
      <c r="BB2772">
        <f>'19_Расчет_аналитики'!BB2639</f>
        <v/>
      </c>
      <c r="BC2772">
        <f>'19_Расчет_аналитики'!BC2639</f>
        <v/>
      </c>
      <c r="BD2772">
        <f>'19_Расчет_аналитики'!BD2639</f>
        <v/>
      </c>
      <c r="BE2772">
        <f>'19_Расчет_аналитики'!BE2639</f>
        <v/>
      </c>
      <c r="BF2772">
        <f>'19_Расчет_аналитики'!BF2639</f>
        <v/>
      </c>
      <c r="BG2772">
        <f>'19_Расчет_аналитики'!BG2639</f>
        <v/>
      </c>
      <c r="BH2772">
        <f>'19_Расчет_аналитики'!BH2639</f>
        <v/>
      </c>
      <c r="BI2772">
        <f>'19_Расчет_аналитики'!BI2639</f>
        <v/>
      </c>
    </row>
    <row r="2773">
      <c r="B2773">
        <f>'02_Модель'!B55</f>
        <v/>
      </c>
      <c r="C2773">
        <f>'02_Модель'!C55</f>
        <v/>
      </c>
      <c r="D2773">
        <f>'02_Модель'!D55</f>
        <v/>
      </c>
      <c r="E2773">
        <f>'02_Модель'!E55</f>
        <v/>
      </c>
      <c r="F2773">
        <f>'02_Модель'!F55</f>
        <v/>
      </c>
      <c r="G2773">
        <f>'02_Модель'!G55</f>
        <v/>
      </c>
      <c r="H2773">
        <f>'02_Модель'!H55</f>
        <v/>
      </c>
      <c r="I2773">
        <f>'02_Модель'!I55</f>
        <v/>
      </c>
      <c r="J2773">
        <f>'02_Модель'!J55</f>
        <v/>
      </c>
      <c r="K2773">
        <f>'02_Модель'!K55</f>
        <v/>
      </c>
      <c r="L2773">
        <f>'02_Модель'!L55</f>
        <v/>
      </c>
      <c r="M2773">
        <f>'02_Модель'!M55</f>
        <v/>
      </c>
      <c r="N2773">
        <f>'02_Модель'!N55</f>
        <v/>
      </c>
      <c r="O2773">
        <f>'02_Модель'!O55</f>
        <v/>
      </c>
      <c r="P2773">
        <f>'02_Модель'!P55</f>
        <v/>
      </c>
      <c r="Q2773">
        <f>'02_Модель'!Q55</f>
        <v/>
      </c>
      <c r="R2773">
        <f>'02_Модель'!R55</f>
        <v/>
      </c>
      <c r="S2773">
        <f>'02_Модель'!S55</f>
        <v/>
      </c>
      <c r="T2773">
        <f>'02_Модель'!T55</f>
        <v/>
      </c>
      <c r="U2773">
        <f>'02_Модель'!U55</f>
        <v/>
      </c>
      <c r="V2773">
        <f>'02_Модель'!V55</f>
        <v/>
      </c>
      <c r="W2773">
        <f>'02_Модель'!W55</f>
        <v/>
      </c>
      <c r="X2773">
        <f>'02_Модель'!X55</f>
        <v/>
      </c>
      <c r="Y2773">
        <f>'02_Модель'!Y55</f>
        <v/>
      </c>
      <c r="Z2773">
        <f>'02_Модель'!Z55</f>
        <v/>
      </c>
      <c r="AA2773">
        <f>'02_Модель'!AA55</f>
        <v/>
      </c>
      <c r="AB2773">
        <f>'02_Модель'!AB55</f>
        <v/>
      </c>
      <c r="AC2773">
        <f>'02_Модель'!AC55</f>
        <v/>
      </c>
      <c r="AD2773">
        <f>'02_Модель'!AD55</f>
        <v/>
      </c>
      <c r="AE2773">
        <f>'02_Модель'!AE55</f>
        <v/>
      </c>
      <c r="AF2773">
        <f>'02_Модель'!AF55</f>
        <v/>
      </c>
      <c r="AG2773">
        <f>'02_Модель'!AG55</f>
        <v/>
      </c>
      <c r="AH2773">
        <f>'02_Модель'!AH55</f>
        <v/>
      </c>
      <c r="AI2773">
        <f>'02_Модель'!AI55</f>
        <v/>
      </c>
      <c r="AJ2773">
        <f>'02_Модель'!AJ55</f>
        <v/>
      </c>
      <c r="AK2773">
        <f>'02_Модель'!AK55</f>
        <v/>
      </c>
      <c r="AL2773">
        <f>'02_Модель'!AL55</f>
        <v/>
      </c>
      <c r="AM2773">
        <f>'02_Модель'!AM55</f>
        <v/>
      </c>
      <c r="AN2773">
        <f>'02_Модель'!AN55</f>
        <v/>
      </c>
      <c r="AO2773">
        <f>'02_Модель'!AO55</f>
        <v/>
      </c>
      <c r="AP2773">
        <f>'02_Модель'!AP55</f>
        <v/>
      </c>
      <c r="AQ2773">
        <f>'02_Модель'!AQ55</f>
        <v/>
      </c>
      <c r="AR2773">
        <f>'02_Модель'!AR55</f>
        <v/>
      </c>
      <c r="AS2773">
        <f>'02_Модель'!AS55</f>
        <v/>
      </c>
      <c r="AT2773">
        <f>'02_Модель'!AT55</f>
        <v/>
      </c>
      <c r="AU2773">
        <f>'02_Модель'!AU55</f>
        <v/>
      </c>
      <c r="AV2773">
        <f>'02_Модель'!AV55</f>
        <v/>
      </c>
      <c r="AW2773">
        <f>'02_Модель'!AW55</f>
        <v/>
      </c>
      <c r="AX2773">
        <f>'02_Модель'!AX55</f>
        <v/>
      </c>
      <c r="AY2773">
        <f>'02_Модель'!AY55</f>
        <v/>
      </c>
      <c r="AZ2773">
        <f>'02_Модель'!AZ55</f>
        <v/>
      </c>
      <c r="BA2773">
        <f>'02_Модель'!BA55</f>
        <v/>
      </c>
      <c r="BB2773">
        <f>'02_Модель'!BB55</f>
        <v/>
      </c>
      <c r="BC2773">
        <f>'02_Модель'!BC55</f>
        <v/>
      </c>
      <c r="BD2773">
        <f>'02_Модель'!BD55</f>
        <v/>
      </c>
      <c r="BE2773">
        <f>'02_Модель'!BE55</f>
        <v/>
      </c>
      <c r="BF2773">
        <f>'02_Модель'!BF55</f>
        <v/>
      </c>
      <c r="BG2773">
        <f>'02_Модель'!BG55</f>
        <v/>
      </c>
      <c r="BH2773">
        <f>'02_Модель'!BH55</f>
        <v/>
      </c>
      <c r="BI2773">
        <f>'02_Модель'!BI55</f>
        <v/>
      </c>
    </row>
    <row r="2774">
      <c r="B2774">
        <f>SUM('19_Расчет_аналитики'!B2770:B2773)</f>
        <v/>
      </c>
      <c r="C2774">
        <f>SUM('19_Расчет_аналитики'!C2770:C2773)</f>
        <v/>
      </c>
      <c r="D2774">
        <f>SUM('19_Расчет_аналитики'!D2770:D2773)</f>
        <v/>
      </c>
      <c r="E2774">
        <f>SUM('19_Расчет_аналитики'!E2770:E2773)</f>
        <v/>
      </c>
      <c r="F2774">
        <f>SUM('19_Расчет_аналитики'!F2770:F2773)</f>
        <v/>
      </c>
      <c r="G2774">
        <f>SUM('19_Расчет_аналитики'!G2770:G2773)</f>
        <v/>
      </c>
      <c r="H2774">
        <f>SUM('19_Расчет_аналитики'!H2770:H2773)</f>
        <v/>
      </c>
      <c r="I2774">
        <f>SUM('19_Расчет_аналитики'!I2770:I2773)</f>
        <v/>
      </c>
      <c r="J2774">
        <f>SUM('19_Расчет_аналитики'!J2770:J2773)</f>
        <v/>
      </c>
      <c r="K2774">
        <f>SUM('19_Расчет_аналитики'!K2770:K2773)</f>
        <v/>
      </c>
      <c r="L2774">
        <f>SUM('19_Расчет_аналитики'!L2770:L2773)</f>
        <v/>
      </c>
      <c r="M2774">
        <f>SUM('19_Расчет_аналитики'!M2770:M2773)</f>
        <v/>
      </c>
      <c r="N2774">
        <f>SUM('19_Расчет_аналитики'!N2770:N2773)</f>
        <v/>
      </c>
      <c r="O2774">
        <f>SUM('19_Расчет_аналитики'!O2770:O2773)</f>
        <v/>
      </c>
      <c r="P2774">
        <f>SUM('19_Расчет_аналитики'!P2770:P2773)</f>
        <v/>
      </c>
      <c r="Q2774">
        <f>SUM('19_Расчет_аналитики'!Q2770:Q2773)</f>
        <v/>
      </c>
      <c r="R2774">
        <f>SUM('19_Расчет_аналитики'!R2770:R2773)</f>
        <v/>
      </c>
      <c r="S2774">
        <f>SUM('19_Расчет_аналитики'!S2770:S2773)</f>
        <v/>
      </c>
      <c r="T2774">
        <f>SUM('19_Расчет_аналитики'!T2770:T2773)</f>
        <v/>
      </c>
      <c r="U2774">
        <f>SUM('19_Расчет_аналитики'!U2770:U2773)</f>
        <v/>
      </c>
      <c r="V2774">
        <f>SUM('19_Расчет_аналитики'!V2770:V2773)</f>
        <v/>
      </c>
      <c r="W2774">
        <f>SUM('19_Расчет_аналитики'!W2770:W2773)</f>
        <v/>
      </c>
      <c r="X2774">
        <f>SUM('19_Расчет_аналитики'!X2770:X2773)</f>
        <v/>
      </c>
      <c r="Y2774">
        <f>SUM('19_Расчет_аналитики'!Y2770:Y2773)</f>
        <v/>
      </c>
      <c r="Z2774">
        <f>SUM('19_Расчет_аналитики'!Z2770:Z2773)</f>
        <v/>
      </c>
      <c r="AA2774">
        <f>SUM('19_Расчет_аналитики'!AA2770:AA2773)</f>
        <v/>
      </c>
      <c r="AB2774">
        <f>SUM('19_Расчет_аналитики'!AB2770:AB2773)</f>
        <v/>
      </c>
      <c r="AC2774">
        <f>SUM('19_Расчет_аналитики'!AC2770:AC2773)</f>
        <v/>
      </c>
      <c r="AD2774">
        <f>SUM('19_Расчет_аналитики'!AD2770:AD2773)</f>
        <v/>
      </c>
      <c r="AE2774">
        <f>SUM('19_Расчет_аналитики'!AE2770:AE2773)</f>
        <v/>
      </c>
      <c r="AF2774">
        <f>SUM('19_Расчет_аналитики'!AF2770:AF2773)</f>
        <v/>
      </c>
      <c r="AG2774">
        <f>SUM('19_Расчет_аналитики'!AG2770:AG2773)</f>
        <v/>
      </c>
      <c r="AH2774">
        <f>SUM('19_Расчет_аналитики'!AH2770:AH2773)</f>
        <v/>
      </c>
      <c r="AI2774">
        <f>SUM('19_Расчет_аналитики'!AI2770:AI2773)</f>
        <v/>
      </c>
      <c r="AJ2774">
        <f>SUM('19_Расчет_аналитики'!AJ2770:AJ2773)</f>
        <v/>
      </c>
      <c r="AK2774">
        <f>SUM('19_Расчет_аналитики'!AK2770:AK2773)</f>
        <v/>
      </c>
      <c r="AL2774">
        <f>SUM('19_Расчет_аналитики'!AL2770:AL2773)</f>
        <v/>
      </c>
      <c r="AM2774">
        <f>SUM('19_Расчет_аналитики'!AM2770:AM2773)</f>
        <v/>
      </c>
      <c r="AN2774">
        <f>SUM('19_Расчет_аналитики'!AN2770:AN2773)</f>
        <v/>
      </c>
      <c r="AO2774">
        <f>SUM('19_Расчет_аналитики'!AO2770:AO2773)</f>
        <v/>
      </c>
      <c r="AP2774">
        <f>SUM('19_Расчет_аналитики'!AP2770:AP2773)</f>
        <v/>
      </c>
      <c r="AQ2774">
        <f>SUM('19_Расчет_аналитики'!AQ2770:AQ2773)</f>
        <v/>
      </c>
      <c r="AR2774">
        <f>SUM('19_Расчет_аналитики'!AR2770:AR2773)</f>
        <v/>
      </c>
      <c r="AS2774">
        <f>SUM('19_Расчет_аналитики'!AS2770:AS2773)</f>
        <v/>
      </c>
      <c r="AT2774">
        <f>SUM('19_Расчет_аналитики'!AT2770:AT2773)</f>
        <v/>
      </c>
      <c r="AU2774">
        <f>SUM('19_Расчет_аналитики'!AU2770:AU2773)</f>
        <v/>
      </c>
      <c r="AV2774">
        <f>SUM('19_Расчет_аналитики'!AV2770:AV2773)</f>
        <v/>
      </c>
      <c r="AW2774">
        <f>SUM('19_Расчет_аналитики'!AW2770:AW2773)</f>
        <v/>
      </c>
      <c r="AX2774">
        <f>SUM('19_Расчет_аналитики'!AX2770:AX2773)</f>
        <v/>
      </c>
      <c r="AY2774">
        <f>SUM('19_Расчет_аналитики'!AY2770:AY2773)</f>
        <v/>
      </c>
      <c r="AZ2774">
        <f>SUM('19_Расчет_аналитики'!AZ2770:AZ2773)</f>
        <v/>
      </c>
      <c r="BA2774">
        <f>SUM('19_Расчет_аналитики'!BA2770:BA2773)</f>
        <v/>
      </c>
      <c r="BB2774">
        <f>SUM('19_Расчет_аналитики'!BB2770:BB2773)</f>
        <v/>
      </c>
      <c r="BC2774">
        <f>SUM('19_Расчет_аналитики'!BC2770:BC2773)</f>
        <v/>
      </c>
      <c r="BD2774">
        <f>SUM('19_Расчет_аналитики'!BD2770:BD2773)</f>
        <v/>
      </c>
      <c r="BE2774">
        <f>SUM('19_Расчет_аналитики'!BE2770:BE2773)</f>
        <v/>
      </c>
      <c r="BF2774">
        <f>SUM('19_Расчет_аналитики'!BF2770:BF2773)</f>
        <v/>
      </c>
      <c r="BG2774">
        <f>SUM('19_Расчет_аналитики'!BG2770:BG2773)</f>
        <v/>
      </c>
      <c r="BH2774">
        <f>SUM('19_Расчет_аналитики'!BH2770:BH2773)</f>
        <v/>
      </c>
      <c r="BI2774">
        <f>SUM('19_Расчет_аналитики'!BI2770:BI2773)</f>
        <v/>
      </c>
    </row>
    <row r="2775">
      <c r="B2775">
        <f>'19_Расчет_аналитики'!B2817</f>
        <v/>
      </c>
      <c r="C2775">
        <f>'19_Расчет_аналитики'!C2817</f>
        <v/>
      </c>
      <c r="D2775">
        <f>'19_Расчет_аналитики'!D2817</f>
        <v/>
      </c>
      <c r="E2775">
        <f>'19_Расчет_аналитики'!E2817</f>
        <v/>
      </c>
      <c r="F2775">
        <f>'19_Расчет_аналитики'!F2817</f>
        <v/>
      </c>
      <c r="G2775">
        <f>'19_Расчет_аналитики'!G2817</f>
        <v/>
      </c>
      <c r="H2775">
        <f>'19_Расчет_аналитики'!H2817</f>
        <v/>
      </c>
      <c r="I2775">
        <f>'19_Расчет_аналитики'!I2817</f>
        <v/>
      </c>
      <c r="J2775">
        <f>'19_Расчет_аналитики'!J2817</f>
        <v/>
      </c>
      <c r="K2775">
        <f>'19_Расчет_аналитики'!K2817</f>
        <v/>
      </c>
      <c r="L2775">
        <f>'19_Расчет_аналитики'!L2817</f>
        <v/>
      </c>
      <c r="M2775">
        <f>'19_Расчет_аналитики'!M2817</f>
        <v/>
      </c>
      <c r="N2775">
        <f>'19_Расчет_аналитики'!N2817</f>
        <v/>
      </c>
      <c r="O2775">
        <f>'19_Расчет_аналитики'!O2817</f>
        <v/>
      </c>
      <c r="P2775">
        <f>'19_Расчет_аналитики'!P2817</f>
        <v/>
      </c>
      <c r="Q2775">
        <f>'19_Расчет_аналитики'!Q2817</f>
        <v/>
      </c>
      <c r="R2775">
        <f>'19_Расчет_аналитики'!R2817</f>
        <v/>
      </c>
      <c r="S2775">
        <f>'19_Расчет_аналитики'!S2817</f>
        <v/>
      </c>
      <c r="T2775">
        <f>'19_Расчет_аналитики'!T2817</f>
        <v/>
      </c>
      <c r="U2775">
        <f>'19_Расчет_аналитики'!U2817</f>
        <v/>
      </c>
      <c r="V2775">
        <f>'19_Расчет_аналитики'!V2817</f>
        <v/>
      </c>
      <c r="W2775">
        <f>'19_Расчет_аналитики'!W2817</f>
        <v/>
      </c>
      <c r="X2775">
        <f>'19_Расчет_аналитики'!X2817</f>
        <v/>
      </c>
      <c r="Y2775">
        <f>'19_Расчет_аналитики'!Y2817</f>
        <v/>
      </c>
      <c r="Z2775">
        <f>'19_Расчет_аналитики'!Z2817</f>
        <v/>
      </c>
      <c r="AA2775">
        <f>'19_Расчет_аналитики'!AA2817</f>
        <v/>
      </c>
      <c r="AB2775">
        <f>'19_Расчет_аналитики'!AB2817</f>
        <v/>
      </c>
      <c r="AC2775">
        <f>'19_Расчет_аналитики'!AC2817</f>
        <v/>
      </c>
      <c r="AD2775">
        <f>'19_Расчет_аналитики'!AD2817</f>
        <v/>
      </c>
      <c r="AE2775">
        <f>'19_Расчет_аналитики'!AE2817</f>
        <v/>
      </c>
      <c r="AF2775">
        <f>'19_Расчет_аналитики'!AF2817</f>
        <v/>
      </c>
      <c r="AG2775">
        <f>'19_Расчет_аналитики'!AG2817</f>
        <v/>
      </c>
      <c r="AH2775">
        <f>'19_Расчет_аналитики'!AH2817</f>
        <v/>
      </c>
      <c r="AI2775">
        <f>'19_Расчет_аналитики'!AI2817</f>
        <v/>
      </c>
      <c r="AJ2775">
        <f>'19_Расчет_аналитики'!AJ2817</f>
        <v/>
      </c>
      <c r="AK2775">
        <f>'19_Расчет_аналитики'!AK2817</f>
        <v/>
      </c>
      <c r="AL2775">
        <f>'19_Расчет_аналитики'!AL2817</f>
        <v/>
      </c>
      <c r="AM2775">
        <f>'19_Расчет_аналитики'!AM2817</f>
        <v/>
      </c>
      <c r="AN2775">
        <f>'19_Расчет_аналитики'!AN2817</f>
        <v/>
      </c>
      <c r="AO2775">
        <f>'19_Расчет_аналитики'!AO2817</f>
        <v/>
      </c>
      <c r="AP2775">
        <f>'19_Расчет_аналитики'!AP2817</f>
        <v/>
      </c>
      <c r="AQ2775">
        <f>'19_Расчет_аналитики'!AQ2817</f>
        <v/>
      </c>
      <c r="AR2775">
        <f>'19_Расчет_аналитики'!AR2817</f>
        <v/>
      </c>
      <c r="AS2775">
        <f>'19_Расчет_аналитики'!AS2817</f>
        <v/>
      </c>
      <c r="AT2775">
        <f>'19_Расчет_аналитики'!AT2817</f>
        <v/>
      </c>
      <c r="AU2775">
        <f>'19_Расчет_аналитики'!AU2817</f>
        <v/>
      </c>
      <c r="AV2775">
        <f>'19_Расчет_аналитики'!AV2817</f>
        <v/>
      </c>
      <c r="AW2775">
        <f>'19_Расчет_аналитики'!AW2817</f>
        <v/>
      </c>
      <c r="AX2775">
        <f>'19_Расчет_аналитики'!AX2817</f>
        <v/>
      </c>
      <c r="AY2775">
        <f>'19_Расчет_аналитики'!AY2817</f>
        <v/>
      </c>
      <c r="AZ2775">
        <f>'19_Расчет_аналитики'!AZ2817</f>
        <v/>
      </c>
      <c r="BA2775">
        <f>'19_Расчет_аналитики'!BA2817</f>
        <v/>
      </c>
      <c r="BB2775">
        <f>'19_Расчет_аналитики'!BB2817</f>
        <v/>
      </c>
      <c r="BC2775">
        <f>'19_Расчет_аналитики'!BC2817</f>
        <v/>
      </c>
      <c r="BD2775">
        <f>'19_Расчет_аналитики'!BD2817</f>
        <v/>
      </c>
      <c r="BE2775">
        <f>'19_Расчет_аналитики'!BE2817</f>
        <v/>
      </c>
      <c r="BF2775">
        <f>'19_Расчет_аналитики'!BF2817</f>
        <v/>
      </c>
      <c r="BG2775">
        <f>'19_Расчет_аналитики'!BG2817</f>
        <v/>
      </c>
      <c r="BH2775">
        <f>'19_Расчет_аналитики'!BH2817</f>
        <v/>
      </c>
      <c r="BI2775">
        <f>'19_Расчет_аналитики'!BI2817</f>
        <v/>
      </c>
    </row>
    <row r="2776">
      <c r="B2776">
        <f>'19_Расчет_аналитики'!B2745</f>
        <v/>
      </c>
      <c r="C2776">
        <f>'19_Расчет_аналитики'!C2745</f>
        <v/>
      </c>
      <c r="D2776">
        <f>'19_Расчет_аналитики'!D2745</f>
        <v/>
      </c>
      <c r="E2776">
        <f>'19_Расчет_аналитики'!E2745</f>
        <v/>
      </c>
      <c r="F2776">
        <f>'19_Расчет_аналитики'!F2745</f>
        <v/>
      </c>
      <c r="G2776">
        <f>'19_Расчет_аналитики'!G2745</f>
        <v/>
      </c>
      <c r="H2776">
        <f>'19_Расчет_аналитики'!H2745</f>
        <v/>
      </c>
      <c r="I2776">
        <f>'19_Расчет_аналитики'!I2745</f>
        <v/>
      </c>
      <c r="J2776">
        <f>'19_Расчет_аналитики'!J2745</f>
        <v/>
      </c>
      <c r="K2776">
        <f>'19_Расчет_аналитики'!K2745</f>
        <v/>
      </c>
      <c r="L2776">
        <f>'19_Расчет_аналитики'!L2745</f>
        <v/>
      </c>
      <c r="M2776">
        <f>'19_Расчет_аналитики'!M2745</f>
        <v/>
      </c>
      <c r="N2776">
        <f>'19_Расчет_аналитики'!N2745</f>
        <v/>
      </c>
      <c r="O2776">
        <f>'19_Расчет_аналитики'!O2745</f>
        <v/>
      </c>
      <c r="P2776">
        <f>'19_Расчет_аналитики'!P2745</f>
        <v/>
      </c>
      <c r="Q2776">
        <f>'19_Расчет_аналитики'!Q2745</f>
        <v/>
      </c>
      <c r="R2776">
        <f>'19_Расчет_аналитики'!R2745</f>
        <v/>
      </c>
      <c r="S2776">
        <f>'19_Расчет_аналитики'!S2745</f>
        <v/>
      </c>
      <c r="T2776">
        <f>'19_Расчет_аналитики'!T2745</f>
        <v/>
      </c>
      <c r="U2776">
        <f>'19_Расчет_аналитики'!U2745</f>
        <v/>
      </c>
      <c r="V2776">
        <f>'19_Расчет_аналитики'!V2745</f>
        <v/>
      </c>
      <c r="W2776">
        <f>'19_Расчет_аналитики'!W2745</f>
        <v/>
      </c>
      <c r="X2776">
        <f>'19_Расчет_аналитики'!X2745</f>
        <v/>
      </c>
      <c r="Y2776">
        <f>'19_Расчет_аналитики'!Y2745</f>
        <v/>
      </c>
      <c r="Z2776">
        <f>'19_Расчет_аналитики'!Z2745</f>
        <v/>
      </c>
      <c r="AA2776">
        <f>'19_Расчет_аналитики'!AA2745</f>
        <v/>
      </c>
      <c r="AB2776">
        <f>'19_Расчет_аналитики'!AB2745</f>
        <v/>
      </c>
      <c r="AC2776">
        <f>'19_Расчет_аналитики'!AC2745</f>
        <v/>
      </c>
      <c r="AD2776">
        <f>'19_Расчет_аналитики'!AD2745</f>
        <v/>
      </c>
      <c r="AE2776">
        <f>'19_Расчет_аналитики'!AE2745</f>
        <v/>
      </c>
      <c r="AF2776">
        <f>'19_Расчет_аналитики'!AF2745</f>
        <v/>
      </c>
      <c r="AG2776">
        <f>'19_Расчет_аналитики'!AG2745</f>
        <v/>
      </c>
      <c r="AH2776">
        <f>'19_Расчет_аналитики'!AH2745</f>
        <v/>
      </c>
      <c r="AI2776">
        <f>'19_Расчет_аналитики'!AI2745</f>
        <v/>
      </c>
      <c r="AJ2776">
        <f>'19_Расчет_аналитики'!AJ2745</f>
        <v/>
      </c>
      <c r="AK2776">
        <f>'19_Расчет_аналитики'!AK2745</f>
        <v/>
      </c>
      <c r="AL2776">
        <f>'19_Расчет_аналитики'!AL2745</f>
        <v/>
      </c>
      <c r="AM2776">
        <f>'19_Расчет_аналитики'!AM2745</f>
        <v/>
      </c>
      <c r="AN2776">
        <f>'19_Расчет_аналитики'!AN2745</f>
        <v/>
      </c>
      <c r="AO2776">
        <f>'19_Расчет_аналитики'!AO2745</f>
        <v/>
      </c>
      <c r="AP2776">
        <f>'19_Расчет_аналитики'!AP2745</f>
        <v/>
      </c>
      <c r="AQ2776">
        <f>'19_Расчет_аналитики'!AQ2745</f>
        <v/>
      </c>
      <c r="AR2776">
        <f>'19_Расчет_аналитики'!AR2745</f>
        <v/>
      </c>
      <c r="AS2776">
        <f>'19_Расчет_аналитики'!AS2745</f>
        <v/>
      </c>
      <c r="AT2776">
        <f>'19_Расчет_аналитики'!AT2745</f>
        <v/>
      </c>
      <c r="AU2776">
        <f>'19_Расчет_аналитики'!AU2745</f>
        <v/>
      </c>
      <c r="AV2776">
        <f>'19_Расчет_аналитики'!AV2745</f>
        <v/>
      </c>
      <c r="AW2776">
        <f>'19_Расчет_аналитики'!AW2745</f>
        <v/>
      </c>
      <c r="AX2776">
        <f>'19_Расчет_аналитики'!AX2745</f>
        <v/>
      </c>
      <c r="AY2776">
        <f>'19_Расчет_аналитики'!AY2745</f>
        <v/>
      </c>
      <c r="AZ2776">
        <f>'19_Расчет_аналитики'!AZ2745</f>
        <v/>
      </c>
      <c r="BA2776">
        <f>'19_Расчет_аналитики'!BA2745</f>
        <v/>
      </c>
      <c r="BB2776">
        <f>'19_Расчет_аналитики'!BB2745</f>
        <v/>
      </c>
      <c r="BC2776">
        <f>'19_Расчет_аналитики'!BC2745</f>
        <v/>
      </c>
      <c r="BD2776">
        <f>'19_Расчет_аналитики'!BD2745</f>
        <v/>
      </c>
      <c r="BE2776">
        <f>'19_Расчет_аналитики'!BE2745</f>
        <v/>
      </c>
      <c r="BF2776">
        <f>'19_Расчет_аналитики'!BF2745</f>
        <v/>
      </c>
      <c r="BG2776">
        <f>'19_Расчет_аналитики'!BG2745</f>
        <v/>
      </c>
      <c r="BH2776">
        <f>'19_Расчет_аналитики'!BH2745</f>
        <v/>
      </c>
      <c r="BI2776">
        <f>'19_Расчет_аналитики'!BI2745</f>
        <v/>
      </c>
    </row>
    <row r="2777">
      <c r="B2777">
        <f>'01_Вводные'!$B$21*('19_Расчет_аналитики'!B2755+'02_Модель'!B38+'02_Модель'!B39+'02_Модель'!B40+'02_Модель'!B41+'19_Расчет_аналитики'!B2760+'19_Расчет_аналитики'!B2650)+(1-'01_Вводные'!$B$21)*0</f>
        <v/>
      </c>
      <c r="C2777">
        <f>'01_Вводные'!$B$21*('19_Расчет_аналитики'!C2755+'02_Модель'!C38+'02_Модель'!C39+'02_Модель'!C40+'02_Модель'!C41+'19_Расчет_аналитики'!C2760+'19_Расчет_аналитики'!C2650)+(1-'01_Вводные'!$B$21)*('19_Расчет_аналитики'!B2755+'02_Модель'!B38+'02_Модель'!B39+'02_Модель'!B40+'02_Модель'!B41+'19_Расчет_аналитики'!B2760+'19_Расчет_аналитики'!B2650)</f>
        <v/>
      </c>
      <c r="D2777">
        <f>'01_Вводные'!$B$21*('19_Расчет_аналитики'!D2755+'02_Модель'!D38+'02_Модель'!D39+'02_Модель'!D40+'02_Модель'!D41+'19_Расчет_аналитики'!D2760+'19_Расчет_аналитики'!D2650)+(1-'01_Вводные'!$B$21)*('19_Расчет_аналитики'!C2755+'02_Модель'!C38+'02_Модель'!C39+'02_Модель'!C40+'02_Модель'!C41+'19_Расчет_аналитики'!C2760+'19_Расчет_аналитики'!C2650)</f>
        <v/>
      </c>
      <c r="E2777">
        <f>'01_Вводные'!$B$21*('19_Расчет_аналитики'!E2755+'02_Модель'!E38+'02_Модель'!E39+'02_Модель'!E40+'02_Модель'!E41+'19_Расчет_аналитики'!E2760+'19_Расчет_аналитики'!E2650)+(1-'01_Вводные'!$B$21)*('19_Расчет_аналитики'!D2755+'02_Модель'!D38+'02_Модель'!D39+'02_Модель'!D40+'02_Модель'!D41+'19_Расчет_аналитики'!D2760+'19_Расчет_аналитики'!D2650)</f>
        <v/>
      </c>
      <c r="F2777">
        <f>'01_Вводные'!$B$21*('19_Расчет_аналитики'!F2755+'02_Модель'!F38+'02_Модель'!F39+'02_Модель'!F40+'02_Модель'!F41+'19_Расчет_аналитики'!F2760+'19_Расчет_аналитики'!F2650)+(1-'01_Вводные'!$B$21)*('19_Расчет_аналитики'!E2755+'02_Модель'!E38+'02_Модель'!E39+'02_Модель'!E40+'02_Модель'!E41+'19_Расчет_аналитики'!E2760+'19_Расчет_аналитики'!E2650)</f>
        <v/>
      </c>
      <c r="G2777">
        <f>'01_Вводные'!$B$21*('19_Расчет_аналитики'!G2755+'02_Модель'!G38+'02_Модель'!G39+'02_Модель'!G40+'02_Модель'!G41+'19_Расчет_аналитики'!G2760+'19_Расчет_аналитики'!G2650)+(1-'01_Вводные'!$B$21)*('19_Расчет_аналитики'!F2755+'02_Модель'!F38+'02_Модель'!F39+'02_Модель'!F40+'02_Модель'!F41+'19_Расчет_аналитики'!F2760+'19_Расчет_аналитики'!F2650)</f>
        <v/>
      </c>
      <c r="H2777">
        <f>'01_Вводные'!$B$21*('19_Расчет_аналитики'!H2755+'02_Модель'!H38+'02_Модель'!H39+'02_Модель'!H40+'02_Модель'!H41+'19_Расчет_аналитики'!H2760+'19_Расчет_аналитики'!H2650)+(1-'01_Вводные'!$B$21)*('19_Расчет_аналитики'!G2755+'02_Модель'!G38+'02_Модель'!G39+'02_Модель'!G40+'02_Модель'!G41+'19_Расчет_аналитики'!G2760+'19_Расчет_аналитики'!G2650)</f>
        <v/>
      </c>
      <c r="I2777">
        <f>'01_Вводные'!$B$21*('19_Расчет_аналитики'!I2755+'02_Модель'!I38+'02_Модель'!I39+'02_Модель'!I40+'02_Модель'!I41+'19_Расчет_аналитики'!I2760+'19_Расчет_аналитики'!I2650)+(1-'01_Вводные'!$B$21)*('19_Расчет_аналитики'!H2755+'02_Модель'!H38+'02_Модель'!H39+'02_Модель'!H40+'02_Модель'!H41+'19_Расчет_аналитики'!H2760+'19_Расчет_аналитики'!H2650)</f>
        <v/>
      </c>
      <c r="J2777">
        <f>'01_Вводные'!$B$21*('19_Расчет_аналитики'!J2755+'02_Модель'!J38+'02_Модель'!J39+'02_Модель'!J40+'02_Модель'!J41+'19_Расчет_аналитики'!J2760+'19_Расчет_аналитики'!J2650)+(1-'01_Вводные'!$B$21)*('19_Расчет_аналитики'!I2755+'02_Модель'!I38+'02_Модель'!I39+'02_Модель'!I40+'02_Модель'!I41+'19_Расчет_аналитики'!I2760+'19_Расчет_аналитики'!I2650)</f>
        <v/>
      </c>
      <c r="K2777">
        <f>'01_Вводные'!$B$21*('19_Расчет_аналитики'!K2755+'02_Модель'!K38+'02_Модель'!K39+'02_Модель'!K40+'02_Модель'!K41+'19_Расчет_аналитики'!K2760+'19_Расчет_аналитики'!K2650)+(1-'01_Вводные'!$B$21)*('19_Расчет_аналитики'!J2755+'02_Модель'!J38+'02_Модель'!J39+'02_Модель'!J40+'02_Модель'!J41+'19_Расчет_аналитики'!J2760+'19_Расчет_аналитики'!J2650)</f>
        <v/>
      </c>
      <c r="L2777">
        <f>'01_Вводные'!$B$21*('19_Расчет_аналитики'!L2755+'02_Модель'!L38+'02_Модель'!L39+'02_Модель'!L40+'02_Модель'!L41+'19_Расчет_аналитики'!L2760+'19_Расчет_аналитики'!L2650)+(1-'01_Вводные'!$B$21)*('19_Расчет_аналитики'!K2755+'02_Модель'!K38+'02_Модель'!K39+'02_Модель'!K40+'02_Модель'!K41+'19_Расчет_аналитики'!K2760+'19_Расчет_аналитики'!K2650)</f>
        <v/>
      </c>
      <c r="M2777">
        <f>'01_Вводные'!$B$21*('19_Расчет_аналитики'!M2755+'02_Модель'!M38+'02_Модель'!M39+'02_Модель'!M40+'02_Модель'!M41+'19_Расчет_аналитики'!M2760+'19_Расчет_аналитики'!M2650)+(1-'01_Вводные'!$B$21)*('19_Расчет_аналитики'!L2755+'02_Модель'!L38+'02_Модель'!L39+'02_Модель'!L40+'02_Модель'!L41+'19_Расчет_аналитики'!L2760+'19_Расчет_аналитики'!L2650)</f>
        <v/>
      </c>
      <c r="N2777">
        <f>'01_Вводные'!$B$21*('19_Расчет_аналитики'!N2755+'02_Модель'!N38+'02_Модель'!N39+'02_Модель'!N40+'02_Модель'!N41+'19_Расчет_аналитики'!N2760+'19_Расчет_аналитики'!N2650)+(1-'01_Вводные'!$B$21)*('19_Расчет_аналитики'!M2755+'02_Модель'!M38+'02_Модель'!M39+'02_Модель'!M40+'02_Модель'!M41+'19_Расчет_аналитики'!M2760+'19_Расчет_аналитики'!M2650)</f>
        <v/>
      </c>
      <c r="O2777">
        <f>'01_Вводные'!$B$21*('19_Расчет_аналитики'!O2755+'02_Модель'!O38+'02_Модель'!O39+'02_Модель'!O40+'02_Модель'!O41+'19_Расчет_аналитики'!O2760+'19_Расчет_аналитики'!O2650)+(1-'01_Вводные'!$B$21)*('19_Расчет_аналитики'!N2755+'02_Модель'!N38+'02_Модель'!N39+'02_Модель'!N40+'02_Модель'!N41+'19_Расчет_аналитики'!N2760+'19_Расчет_аналитики'!N2650)</f>
        <v/>
      </c>
      <c r="P2777">
        <f>'01_Вводные'!$B$21*('19_Расчет_аналитики'!P2755+'02_Модель'!P38+'02_Модель'!P39+'02_Модель'!P40+'02_Модель'!P41+'19_Расчет_аналитики'!P2760+'19_Расчет_аналитики'!P2650)+(1-'01_Вводные'!$B$21)*('19_Расчет_аналитики'!O2755+'02_Модель'!O38+'02_Модель'!O39+'02_Модель'!O40+'02_Модель'!O41+'19_Расчет_аналитики'!O2760+'19_Расчет_аналитики'!O2650)</f>
        <v/>
      </c>
      <c r="Q2777">
        <f>'01_Вводные'!$B$21*('19_Расчет_аналитики'!Q2755+'02_Модель'!Q38+'02_Модель'!Q39+'02_Модель'!Q40+'02_Модель'!Q41+'19_Расчет_аналитики'!Q2760+'19_Расчет_аналитики'!Q2650)+(1-'01_Вводные'!$B$21)*('19_Расчет_аналитики'!P2755+'02_Модель'!P38+'02_Модель'!P39+'02_Модель'!P40+'02_Модель'!P41+'19_Расчет_аналитики'!P2760+'19_Расчет_аналитики'!P2650)</f>
        <v/>
      </c>
      <c r="R2777">
        <f>'01_Вводные'!$B$21*('19_Расчет_аналитики'!R2755+'02_Модель'!R38+'02_Модель'!R39+'02_Модель'!R40+'02_Модель'!R41+'19_Расчет_аналитики'!R2760+'19_Расчет_аналитики'!R2650)+(1-'01_Вводные'!$B$21)*('19_Расчет_аналитики'!Q2755+'02_Модель'!Q38+'02_Модель'!Q39+'02_Модель'!Q40+'02_Модель'!Q41+'19_Расчет_аналитики'!Q2760+'19_Расчет_аналитики'!Q2650)</f>
        <v/>
      </c>
      <c r="S2777">
        <f>'01_Вводные'!$B$21*('19_Расчет_аналитики'!S2755+'02_Модель'!S38+'02_Модель'!S39+'02_Модель'!S40+'02_Модель'!S41+'19_Расчет_аналитики'!S2760+'19_Расчет_аналитики'!S2650)+(1-'01_Вводные'!$B$21)*('19_Расчет_аналитики'!R2755+'02_Модель'!R38+'02_Модель'!R39+'02_Модель'!R40+'02_Модель'!R41+'19_Расчет_аналитики'!R2760+'19_Расчет_аналитики'!R2650)</f>
        <v/>
      </c>
      <c r="T2777">
        <f>'01_Вводные'!$B$21*('19_Расчет_аналитики'!T2755+'02_Модель'!T38+'02_Модель'!T39+'02_Модель'!T40+'02_Модель'!T41+'19_Расчет_аналитики'!T2760+'19_Расчет_аналитики'!T2650)+(1-'01_Вводные'!$B$21)*('19_Расчет_аналитики'!S2755+'02_Модель'!S38+'02_Модель'!S39+'02_Модель'!S40+'02_Модель'!S41+'19_Расчет_аналитики'!S2760+'19_Расчет_аналитики'!S2650)</f>
        <v/>
      </c>
      <c r="U2777">
        <f>'01_Вводные'!$B$21*('19_Расчет_аналитики'!U2755+'02_Модель'!U38+'02_Модель'!U39+'02_Модель'!U40+'02_Модель'!U41+'19_Расчет_аналитики'!U2760+'19_Расчет_аналитики'!U2650)+(1-'01_Вводные'!$B$21)*('19_Расчет_аналитики'!T2755+'02_Модель'!T38+'02_Модель'!T39+'02_Модель'!T40+'02_Модель'!T41+'19_Расчет_аналитики'!T2760+'19_Расчет_аналитики'!T2650)</f>
        <v/>
      </c>
      <c r="V2777">
        <f>'01_Вводные'!$B$21*('19_Расчет_аналитики'!V2755+'02_Модель'!V38+'02_Модель'!V39+'02_Модель'!V40+'02_Модель'!V41+'19_Расчет_аналитики'!V2760+'19_Расчет_аналитики'!V2650)+(1-'01_Вводные'!$B$21)*('19_Расчет_аналитики'!U2755+'02_Модель'!U38+'02_Модель'!U39+'02_Модель'!U40+'02_Модель'!U41+'19_Расчет_аналитики'!U2760+'19_Расчет_аналитики'!U2650)</f>
        <v/>
      </c>
      <c r="W2777">
        <f>'01_Вводные'!$B$21*('19_Расчет_аналитики'!W2755+'02_Модель'!W38+'02_Модель'!W39+'02_Модель'!W40+'02_Модель'!W41+'19_Расчет_аналитики'!W2760+'19_Расчет_аналитики'!W2650)+(1-'01_Вводные'!$B$21)*('19_Расчет_аналитики'!V2755+'02_Модель'!V38+'02_Модель'!V39+'02_Модель'!V40+'02_Модель'!V41+'19_Расчет_аналитики'!V2760+'19_Расчет_аналитики'!V2650)</f>
        <v/>
      </c>
      <c r="X2777">
        <f>'01_Вводные'!$B$21*('19_Расчет_аналитики'!X2755+'02_Модель'!X38+'02_Модель'!X39+'02_Модель'!X40+'02_Модель'!X41+'19_Расчет_аналитики'!X2760+'19_Расчет_аналитики'!X2650)+(1-'01_Вводные'!$B$21)*('19_Расчет_аналитики'!W2755+'02_Модель'!W38+'02_Модель'!W39+'02_Модель'!W40+'02_Модель'!W41+'19_Расчет_аналитики'!W2760+'19_Расчет_аналитики'!W2650)</f>
        <v/>
      </c>
      <c r="Y2777">
        <f>'01_Вводные'!$B$21*('19_Расчет_аналитики'!Y2755+'02_Модель'!Y38+'02_Модель'!Y39+'02_Модель'!Y40+'02_Модель'!Y41+'19_Расчет_аналитики'!Y2760+'19_Расчет_аналитики'!Y2650)+(1-'01_Вводные'!$B$21)*('19_Расчет_аналитики'!X2755+'02_Модель'!X38+'02_Модель'!X39+'02_Модель'!X40+'02_Модель'!X41+'19_Расчет_аналитики'!X2760+'19_Расчет_аналитики'!X2650)</f>
        <v/>
      </c>
      <c r="Z2777">
        <f>'01_Вводные'!$B$21*('19_Расчет_аналитики'!Z2755+'02_Модель'!Z38+'02_Модель'!Z39+'02_Модель'!Z40+'02_Модель'!Z41+'19_Расчет_аналитики'!Z2760+'19_Расчет_аналитики'!Z2650)+(1-'01_Вводные'!$B$21)*('19_Расчет_аналитики'!Y2755+'02_Модель'!Y38+'02_Модель'!Y39+'02_Модель'!Y40+'02_Модель'!Y41+'19_Расчет_аналитики'!Y2760+'19_Расчет_аналитики'!Y2650)</f>
        <v/>
      </c>
      <c r="AA2777">
        <f>'01_Вводные'!$B$21*('19_Расчет_аналитики'!AA2755+'02_Модель'!AA38+'02_Модель'!AA39+'02_Модель'!AA40+'02_Модель'!AA41+'19_Расчет_аналитики'!AA2760+'19_Расчет_аналитики'!AA2650)+(1-'01_Вводные'!$B$21)*('19_Расчет_аналитики'!Z2755+'02_Модель'!Z38+'02_Модель'!Z39+'02_Модель'!Z40+'02_Модель'!Z41+'19_Расчет_аналитики'!Z2760+'19_Расчет_аналитики'!Z2650)</f>
        <v/>
      </c>
      <c r="AB2777">
        <f>'01_Вводные'!$B$21*('19_Расчет_аналитики'!AB2755+'02_Модель'!AB38+'02_Модель'!AB39+'02_Модель'!AB40+'02_Модель'!AB41+'19_Расчет_аналитики'!AB2760+'19_Расчет_аналитики'!AB2650)+(1-'01_Вводные'!$B$21)*('19_Расчет_аналитики'!AA2755+'02_Модель'!AA38+'02_Модель'!AA39+'02_Модель'!AA40+'02_Модель'!AA41+'19_Расчет_аналитики'!AA2760+'19_Расчет_аналитики'!AA2650)</f>
        <v/>
      </c>
      <c r="AC2777">
        <f>'01_Вводные'!$B$21*('19_Расчет_аналитики'!AC2755+'02_Модель'!AC38+'02_Модель'!AC39+'02_Модель'!AC40+'02_Модель'!AC41+'19_Расчет_аналитики'!AC2760+'19_Расчет_аналитики'!AC2650)+(1-'01_Вводные'!$B$21)*('19_Расчет_аналитики'!AB2755+'02_Модель'!AB38+'02_Модель'!AB39+'02_Модель'!AB40+'02_Модель'!AB41+'19_Расчет_аналитики'!AB2760+'19_Расчет_аналитики'!AB2650)</f>
        <v/>
      </c>
      <c r="AD2777">
        <f>'01_Вводные'!$B$21*('19_Расчет_аналитики'!AD2755+'02_Модель'!AD38+'02_Модель'!AD39+'02_Модель'!AD40+'02_Модель'!AD41+'19_Расчет_аналитики'!AD2760+'19_Расчет_аналитики'!AD2650)+(1-'01_Вводные'!$B$21)*('19_Расчет_аналитики'!AC2755+'02_Модель'!AC38+'02_Модель'!AC39+'02_Модель'!AC40+'02_Модель'!AC41+'19_Расчет_аналитики'!AC2760+'19_Расчет_аналитики'!AC2650)</f>
        <v/>
      </c>
      <c r="AE2777">
        <f>'01_Вводные'!$B$21*('19_Расчет_аналитики'!AE2755+'02_Модель'!AE38+'02_Модель'!AE39+'02_Модель'!AE40+'02_Модель'!AE41+'19_Расчет_аналитики'!AE2760+'19_Расчет_аналитики'!AE2650)+(1-'01_Вводные'!$B$21)*('19_Расчет_аналитики'!AD2755+'02_Модель'!AD38+'02_Модель'!AD39+'02_Модель'!AD40+'02_Модель'!AD41+'19_Расчет_аналитики'!AD2760+'19_Расчет_аналитики'!AD2650)</f>
        <v/>
      </c>
      <c r="AF2777">
        <f>'01_Вводные'!$B$21*('19_Расчет_аналитики'!AF2755+'02_Модель'!AF38+'02_Модель'!AF39+'02_Модель'!AF40+'02_Модель'!AF41+'19_Расчет_аналитики'!AF2760+'19_Расчет_аналитики'!AF2650)+(1-'01_Вводные'!$B$21)*('19_Расчет_аналитики'!AE2755+'02_Модель'!AE38+'02_Модель'!AE39+'02_Модель'!AE40+'02_Модель'!AE41+'19_Расчет_аналитики'!AE2760+'19_Расчет_аналитики'!AE2650)</f>
        <v/>
      </c>
      <c r="AG2777">
        <f>'01_Вводные'!$B$21*('19_Расчет_аналитики'!AG2755+'02_Модель'!AG38+'02_Модель'!AG39+'02_Модель'!AG40+'02_Модель'!AG41+'19_Расчет_аналитики'!AG2760+'19_Расчет_аналитики'!AG2650)+(1-'01_Вводные'!$B$21)*('19_Расчет_аналитики'!AF2755+'02_Модель'!AF38+'02_Модель'!AF39+'02_Модель'!AF40+'02_Модель'!AF41+'19_Расчет_аналитики'!AF2760+'19_Расчет_аналитики'!AF2650)</f>
        <v/>
      </c>
      <c r="AH2777">
        <f>'01_Вводные'!$B$21*('19_Расчет_аналитики'!AH2755+'02_Модель'!AH38+'02_Модель'!AH39+'02_Модель'!AH40+'02_Модель'!AH41+'19_Расчет_аналитики'!AH2760+'19_Расчет_аналитики'!AH2650)+(1-'01_Вводные'!$B$21)*('19_Расчет_аналитики'!AG2755+'02_Модель'!AG38+'02_Модель'!AG39+'02_Модель'!AG40+'02_Модель'!AG41+'19_Расчет_аналитики'!AG2760+'19_Расчет_аналитики'!AG2650)</f>
        <v/>
      </c>
      <c r="AI2777">
        <f>'01_Вводные'!$B$21*('19_Расчет_аналитики'!AI2755+'02_Модель'!AI38+'02_Модель'!AI39+'02_Модель'!AI40+'02_Модель'!AI41+'19_Расчет_аналитики'!AI2760+'19_Расчет_аналитики'!AI2650)+(1-'01_Вводные'!$B$21)*('19_Расчет_аналитики'!AH2755+'02_Модель'!AH38+'02_Модель'!AH39+'02_Модель'!AH40+'02_Модель'!AH41+'19_Расчет_аналитики'!AH2760+'19_Расчет_аналитики'!AH2650)</f>
        <v/>
      </c>
      <c r="AJ2777">
        <f>'01_Вводные'!$B$21*('19_Расчет_аналитики'!AJ2755+'02_Модель'!AJ38+'02_Модель'!AJ39+'02_Модель'!AJ40+'02_Модель'!AJ41+'19_Расчет_аналитики'!AJ2760+'19_Расчет_аналитики'!AJ2650)+(1-'01_Вводные'!$B$21)*('19_Расчет_аналитики'!AI2755+'02_Модель'!AI38+'02_Модель'!AI39+'02_Модель'!AI40+'02_Модель'!AI41+'19_Расчет_аналитики'!AI2760+'19_Расчет_аналитики'!AI2650)</f>
        <v/>
      </c>
      <c r="AK2777">
        <f>'01_Вводные'!$B$21*('19_Расчет_аналитики'!AK2755+'02_Модель'!AK38+'02_Модель'!AK39+'02_Модель'!AK40+'02_Модель'!AK41+'19_Расчет_аналитики'!AK2760+'19_Расчет_аналитики'!AK2650)+(1-'01_Вводные'!$B$21)*('19_Расчет_аналитики'!AJ2755+'02_Модель'!AJ38+'02_Модель'!AJ39+'02_Модель'!AJ40+'02_Модель'!AJ41+'19_Расчет_аналитики'!AJ2760+'19_Расчет_аналитики'!AJ2650)</f>
        <v/>
      </c>
      <c r="AL2777">
        <f>'01_Вводные'!$B$21*('19_Расчет_аналитики'!AL2755+'02_Модель'!AL38+'02_Модель'!AL39+'02_Модель'!AL40+'02_Модель'!AL41+'19_Расчет_аналитики'!AL2760+'19_Расчет_аналитики'!AL2650)+(1-'01_Вводные'!$B$21)*('19_Расчет_аналитики'!AK2755+'02_Модель'!AK38+'02_Модель'!AK39+'02_Модель'!AK40+'02_Модель'!AK41+'19_Расчет_аналитики'!AK2760+'19_Расчет_аналитики'!AK2650)</f>
        <v/>
      </c>
      <c r="AM2777">
        <f>'01_Вводные'!$B$21*('19_Расчет_аналитики'!AM2755+'02_Модель'!AM38+'02_Модель'!AM39+'02_Модель'!AM40+'02_Модель'!AM41+'19_Расчет_аналитики'!AM2760+'19_Расчет_аналитики'!AM2650)+(1-'01_Вводные'!$B$21)*('19_Расчет_аналитики'!AL2755+'02_Модель'!AL38+'02_Модель'!AL39+'02_Модель'!AL40+'02_Модель'!AL41+'19_Расчет_аналитики'!AL2760+'19_Расчет_аналитики'!AL2650)</f>
        <v/>
      </c>
      <c r="AN2777">
        <f>'01_Вводные'!$B$21*('19_Расчет_аналитики'!AN2755+'02_Модель'!AN38+'02_Модель'!AN39+'02_Модель'!AN40+'02_Модель'!AN41+'19_Расчет_аналитики'!AN2760+'19_Расчет_аналитики'!AN2650)+(1-'01_Вводные'!$B$21)*('19_Расчет_аналитики'!AM2755+'02_Модель'!AM38+'02_Модель'!AM39+'02_Модель'!AM40+'02_Модель'!AM41+'19_Расчет_аналитики'!AM2760+'19_Расчет_аналитики'!AM2650)</f>
        <v/>
      </c>
      <c r="AO2777">
        <f>'01_Вводные'!$B$21*('19_Расчет_аналитики'!AO2755+'02_Модель'!AO38+'02_Модель'!AO39+'02_Модель'!AO40+'02_Модель'!AO41+'19_Расчет_аналитики'!AO2760+'19_Расчет_аналитики'!AO2650)+(1-'01_Вводные'!$B$21)*('19_Расчет_аналитики'!AN2755+'02_Модель'!AN38+'02_Модель'!AN39+'02_Модель'!AN40+'02_Модель'!AN41+'19_Расчет_аналитики'!AN2760+'19_Расчет_аналитики'!AN2650)</f>
        <v/>
      </c>
      <c r="AP2777">
        <f>'01_Вводные'!$B$21*('19_Расчет_аналитики'!AP2755+'02_Модель'!AP38+'02_Модель'!AP39+'02_Модель'!AP40+'02_Модель'!AP41+'19_Расчет_аналитики'!AP2760+'19_Расчет_аналитики'!AP2650)+(1-'01_Вводные'!$B$21)*('19_Расчет_аналитики'!AO2755+'02_Модель'!AO38+'02_Модель'!AO39+'02_Модель'!AO40+'02_Модель'!AO41+'19_Расчет_аналитики'!AO2760+'19_Расчет_аналитики'!AO2650)</f>
        <v/>
      </c>
      <c r="AQ2777">
        <f>'01_Вводные'!$B$21*('19_Расчет_аналитики'!AQ2755+'02_Модель'!AQ38+'02_Модель'!AQ39+'02_Модель'!AQ40+'02_Модель'!AQ41+'19_Расчет_аналитики'!AQ2760+'19_Расчет_аналитики'!AQ2650)+(1-'01_Вводные'!$B$21)*('19_Расчет_аналитики'!AP2755+'02_Модель'!AP38+'02_Модель'!AP39+'02_Модель'!AP40+'02_Модель'!AP41+'19_Расчет_аналитики'!AP2760+'19_Расчет_аналитики'!AP2650)</f>
        <v/>
      </c>
      <c r="AR2777">
        <f>'01_Вводные'!$B$21*('19_Расчет_аналитики'!AR2755+'02_Модель'!AR38+'02_Модель'!AR39+'02_Модель'!AR40+'02_Модель'!AR41+'19_Расчет_аналитики'!AR2760+'19_Расчет_аналитики'!AR2650)+(1-'01_Вводные'!$B$21)*('19_Расчет_аналитики'!AQ2755+'02_Модель'!AQ38+'02_Модель'!AQ39+'02_Модель'!AQ40+'02_Модель'!AQ41+'19_Расчет_аналитики'!AQ2760+'19_Расчет_аналитики'!AQ2650)</f>
        <v/>
      </c>
      <c r="AS2777">
        <f>'01_Вводные'!$B$21*('19_Расчет_аналитики'!AS2755+'02_Модель'!AS38+'02_Модель'!AS39+'02_Модель'!AS40+'02_Модель'!AS41+'19_Расчет_аналитики'!AS2760+'19_Расчет_аналитики'!AS2650)+(1-'01_Вводные'!$B$21)*('19_Расчет_аналитики'!AR2755+'02_Модель'!AR38+'02_Модель'!AR39+'02_Модель'!AR40+'02_Модель'!AR41+'19_Расчет_аналитики'!AR2760+'19_Расчет_аналитики'!AR2650)</f>
        <v/>
      </c>
      <c r="AT2777">
        <f>'01_Вводные'!$B$21*('19_Расчет_аналитики'!AT2755+'02_Модель'!AT38+'02_Модель'!AT39+'02_Модель'!AT40+'02_Модель'!AT41+'19_Расчет_аналитики'!AT2760+'19_Расчет_аналитики'!AT2650)+(1-'01_Вводные'!$B$21)*('19_Расчет_аналитики'!AS2755+'02_Модель'!AS38+'02_Модель'!AS39+'02_Модель'!AS40+'02_Модель'!AS41+'19_Расчет_аналитики'!AS2760+'19_Расчет_аналитики'!AS2650)</f>
        <v/>
      </c>
      <c r="AU2777">
        <f>'01_Вводные'!$B$21*('19_Расчет_аналитики'!AU2755+'02_Модель'!AU38+'02_Модель'!AU39+'02_Модель'!AU40+'02_Модель'!AU41+'19_Расчет_аналитики'!AU2760+'19_Расчет_аналитики'!AU2650)+(1-'01_Вводные'!$B$21)*('19_Расчет_аналитики'!AT2755+'02_Модель'!AT38+'02_Модель'!AT39+'02_Модель'!AT40+'02_Модель'!AT41+'19_Расчет_аналитики'!AT2760+'19_Расчет_аналитики'!AT2650)</f>
        <v/>
      </c>
      <c r="AV2777">
        <f>'01_Вводные'!$B$21*('19_Расчет_аналитики'!AV2755+'02_Модель'!AV38+'02_Модель'!AV39+'02_Модель'!AV40+'02_Модель'!AV41+'19_Расчет_аналитики'!AV2760+'19_Расчет_аналитики'!AV2650)+(1-'01_Вводные'!$B$21)*('19_Расчет_аналитики'!AU2755+'02_Модель'!AU38+'02_Модель'!AU39+'02_Модель'!AU40+'02_Модель'!AU41+'19_Расчет_аналитики'!AU2760+'19_Расчет_аналитики'!AU2650)</f>
        <v/>
      </c>
      <c r="AW2777">
        <f>'01_Вводные'!$B$21*('19_Расчет_аналитики'!AW2755+'02_Модель'!AW38+'02_Модель'!AW39+'02_Модель'!AW40+'02_Модель'!AW41+'19_Расчет_аналитики'!AW2760+'19_Расчет_аналитики'!AW2650)+(1-'01_Вводные'!$B$21)*('19_Расчет_аналитики'!AV2755+'02_Модель'!AV38+'02_Модель'!AV39+'02_Модель'!AV40+'02_Модель'!AV41+'19_Расчет_аналитики'!AV2760+'19_Расчет_аналитики'!AV2650)</f>
        <v/>
      </c>
      <c r="AX2777">
        <f>'01_Вводные'!$B$21*('19_Расчет_аналитики'!AX2755+'02_Модель'!AX38+'02_Модель'!AX39+'02_Модель'!AX40+'02_Модель'!AX41+'19_Расчет_аналитики'!AX2760+'19_Расчет_аналитики'!AX2650)+(1-'01_Вводные'!$B$21)*('19_Расчет_аналитики'!AW2755+'02_Модель'!AW38+'02_Модель'!AW39+'02_Модель'!AW40+'02_Модель'!AW41+'19_Расчет_аналитики'!AW2760+'19_Расчет_аналитики'!AW2650)</f>
        <v/>
      </c>
      <c r="AY2777">
        <f>'01_Вводные'!$B$21*('19_Расчет_аналитики'!AY2755+'02_Модель'!AY38+'02_Модель'!AY39+'02_Модель'!AY40+'02_Модель'!AY41+'19_Расчет_аналитики'!AY2760+'19_Расчет_аналитики'!AY2650)+(1-'01_Вводные'!$B$21)*('19_Расчет_аналитики'!AX2755+'02_Модель'!AX38+'02_Модель'!AX39+'02_Модель'!AX40+'02_Модель'!AX41+'19_Расчет_аналитики'!AX2760+'19_Расчет_аналитики'!AX2650)</f>
        <v/>
      </c>
      <c r="AZ2777">
        <f>'01_Вводные'!$B$21*('19_Расчет_аналитики'!AZ2755+'02_Модель'!AZ38+'02_Модель'!AZ39+'02_Модель'!AZ40+'02_Модель'!AZ41+'19_Расчет_аналитики'!AZ2760+'19_Расчет_аналитики'!AZ2650)+(1-'01_Вводные'!$B$21)*('19_Расчет_аналитики'!AY2755+'02_Модель'!AY38+'02_Модель'!AY39+'02_Модель'!AY40+'02_Модель'!AY41+'19_Расчет_аналитики'!AY2760+'19_Расчет_аналитики'!AY2650)</f>
        <v/>
      </c>
      <c r="BA2777">
        <f>'01_Вводные'!$B$21*('19_Расчет_аналитики'!BA2755+'02_Модель'!BA38+'02_Модель'!BA39+'02_Модель'!BA40+'02_Модель'!BA41+'19_Расчет_аналитики'!BA2760+'19_Расчет_аналитики'!BA2650)+(1-'01_Вводные'!$B$21)*('19_Расчет_аналитики'!AZ2755+'02_Модель'!AZ38+'02_Модель'!AZ39+'02_Модель'!AZ40+'02_Модель'!AZ41+'19_Расчет_аналитики'!AZ2760+'19_Расчет_аналитики'!AZ2650)</f>
        <v/>
      </c>
      <c r="BB2777">
        <f>'01_Вводные'!$B$21*('19_Расчет_аналитики'!BB2755+'02_Модель'!BB38+'02_Модель'!BB39+'02_Модель'!BB40+'02_Модель'!BB41+'19_Расчет_аналитики'!BB2760+'19_Расчет_аналитики'!BB2650)+(1-'01_Вводные'!$B$21)*('19_Расчет_аналитики'!BA2755+'02_Модель'!BA38+'02_Модель'!BA39+'02_Модель'!BA40+'02_Модель'!BA41+'19_Расчет_аналитики'!BA2760+'19_Расчет_аналитики'!BA2650)</f>
        <v/>
      </c>
      <c r="BC2777">
        <f>'01_Вводные'!$B$21*('19_Расчет_аналитики'!BC2755+'02_Модель'!BC38+'02_Модель'!BC39+'02_Модель'!BC40+'02_Модель'!BC41+'19_Расчет_аналитики'!BC2760+'19_Расчет_аналитики'!BC2650)+(1-'01_Вводные'!$B$21)*('19_Расчет_аналитики'!BB2755+'02_Модель'!BB38+'02_Модель'!BB39+'02_Модель'!BB40+'02_Модель'!BB41+'19_Расчет_аналитики'!BB2760+'19_Расчет_аналитики'!BB2650)</f>
        <v/>
      </c>
      <c r="BD2777">
        <f>'01_Вводные'!$B$21*('19_Расчет_аналитики'!BD2755+'02_Модель'!BD38+'02_Модель'!BD39+'02_Модель'!BD40+'02_Модель'!BD41+'19_Расчет_аналитики'!BD2760+'19_Расчет_аналитики'!BD2650)+(1-'01_Вводные'!$B$21)*('19_Расчет_аналитики'!BC2755+'02_Модель'!BC38+'02_Модель'!BC39+'02_Модель'!BC40+'02_Модель'!BC41+'19_Расчет_аналитики'!BC2760+'19_Расчет_аналитики'!BC2650)</f>
        <v/>
      </c>
      <c r="BE2777">
        <f>'01_Вводные'!$B$21*('19_Расчет_аналитики'!BE2755+'02_Модель'!BE38+'02_Модель'!BE39+'02_Модель'!BE40+'02_Модель'!BE41+'19_Расчет_аналитики'!BE2760+'19_Расчет_аналитики'!BE2650)+(1-'01_Вводные'!$B$21)*('19_Расчет_аналитики'!BD2755+'02_Модель'!BD38+'02_Модель'!BD39+'02_Модель'!BD40+'02_Модель'!BD41+'19_Расчет_аналитики'!BD2760+'19_Расчет_аналитики'!BD2650)</f>
        <v/>
      </c>
      <c r="BF2777">
        <f>'01_Вводные'!$B$21*('19_Расчет_аналитики'!BF2755+'02_Модель'!BF38+'02_Модель'!BF39+'02_Модель'!BF40+'02_Модель'!BF41+'19_Расчет_аналитики'!BF2760+'19_Расчет_аналитики'!BF2650)+(1-'01_Вводные'!$B$21)*('19_Расчет_аналитики'!BE2755+'02_Модель'!BE38+'02_Модель'!BE39+'02_Модель'!BE40+'02_Модель'!BE41+'19_Расчет_аналитики'!BE2760+'19_Расчет_аналитики'!BE2650)</f>
        <v/>
      </c>
      <c r="BG2777">
        <f>'01_Вводные'!$B$21*('19_Расчет_аналитики'!BG2755+'02_Модель'!BG38+'02_Модель'!BG39+'02_Модель'!BG40+'02_Модель'!BG41+'19_Расчет_аналитики'!BG2760+'19_Расчет_аналитики'!BG2650)+(1-'01_Вводные'!$B$21)*('19_Расчет_аналитики'!BF2755+'02_Модель'!BF38+'02_Модель'!BF39+'02_Модель'!BF40+'02_Модель'!BF41+'19_Расчет_аналитики'!BF2760+'19_Расчет_аналитики'!BF2650)</f>
        <v/>
      </c>
      <c r="BH2777">
        <f>'01_Вводные'!$B$21*('19_Расчет_аналитики'!BH2755+'02_Модель'!BH38+'02_Модель'!BH39+'02_Модель'!BH40+'02_Модель'!BH41+'19_Расчет_аналитики'!BH2760+'19_Расчет_аналитики'!BH2650)+(1-'01_Вводные'!$B$21)*('19_Расчет_аналитики'!BG2755+'02_Модель'!BG38+'02_Модель'!BG39+'02_Модель'!BG40+'02_Модель'!BG41+'19_Расчет_аналитики'!BG2760+'19_Расчет_аналитики'!BG2650)</f>
        <v/>
      </c>
      <c r="BI2777">
        <f>'01_Вводные'!$B$21*('19_Расчет_аналитики'!BI2755+'02_Модель'!BI38+'02_Модель'!BI39+'02_Модель'!BI40+'02_Модель'!BI41+'19_Расчет_аналитики'!BI2760+'19_Расчет_аналитики'!BI2650)+(1-'01_Вводные'!$B$21)*('19_Расчет_аналитики'!BH2755+'02_Модель'!BH38+'02_Модель'!BH39+'02_Модель'!BH40+'02_Модель'!BH41+'19_Расчет_аналитики'!BH2760+'19_Расчет_аналитики'!BH2650)</f>
        <v/>
      </c>
    </row>
    <row r="2778">
      <c r="B2778">
        <f>'02_Модель'!B60</f>
        <v/>
      </c>
      <c r="C2778">
        <f>'19_Расчет_аналитики'!C2754</f>
        <v/>
      </c>
      <c r="D2778">
        <f>'19_Расчет_аналитики'!D2754</f>
        <v/>
      </c>
      <c r="E2778">
        <f>'19_Расчет_аналитики'!E2754</f>
        <v/>
      </c>
      <c r="F2778">
        <f>'19_Расчет_аналитики'!F2754</f>
        <v/>
      </c>
      <c r="G2778">
        <f>'19_Расчет_аналитики'!G2754</f>
        <v/>
      </c>
      <c r="H2778">
        <f>'19_Расчет_аналитики'!H2754</f>
        <v/>
      </c>
      <c r="I2778">
        <f>'19_Расчет_аналитики'!I2754</f>
        <v/>
      </c>
      <c r="J2778">
        <f>'19_Расчет_аналитики'!J2754</f>
        <v/>
      </c>
      <c r="K2778">
        <f>'19_Расчет_аналитики'!K2754</f>
        <v/>
      </c>
      <c r="L2778">
        <f>'19_Расчет_аналитики'!L2754</f>
        <v/>
      </c>
      <c r="M2778">
        <f>'19_Расчет_аналитики'!M2754</f>
        <v/>
      </c>
      <c r="N2778">
        <f>'19_Расчет_аналитики'!N2754</f>
        <v/>
      </c>
      <c r="O2778">
        <f>'19_Расчет_аналитики'!O2754</f>
        <v/>
      </c>
      <c r="P2778">
        <f>'19_Расчет_аналитики'!P2754</f>
        <v/>
      </c>
      <c r="Q2778">
        <f>'19_Расчет_аналитики'!Q2754</f>
        <v/>
      </c>
      <c r="R2778">
        <f>'19_Расчет_аналитики'!R2754</f>
        <v/>
      </c>
      <c r="S2778">
        <f>'19_Расчет_аналитики'!S2754</f>
        <v/>
      </c>
      <c r="T2778">
        <f>'19_Расчет_аналитики'!T2754</f>
        <v/>
      </c>
      <c r="U2778">
        <f>'19_Расчет_аналитики'!U2754</f>
        <v/>
      </c>
      <c r="V2778">
        <f>'19_Расчет_аналитики'!V2754</f>
        <v/>
      </c>
      <c r="W2778">
        <f>'19_Расчет_аналитики'!W2754</f>
        <v/>
      </c>
      <c r="X2778">
        <f>'19_Расчет_аналитики'!X2754</f>
        <v/>
      </c>
      <c r="Y2778">
        <f>'19_Расчет_аналитики'!Y2754</f>
        <v/>
      </c>
      <c r="Z2778">
        <f>'19_Расчет_аналитики'!Z2754</f>
        <v/>
      </c>
      <c r="AA2778">
        <f>'19_Расчет_аналитики'!AA2754</f>
        <v/>
      </c>
      <c r="AB2778">
        <f>'19_Расчет_аналитики'!AB2754</f>
        <v/>
      </c>
      <c r="AC2778">
        <f>'19_Расчет_аналитики'!AC2754</f>
        <v/>
      </c>
      <c r="AD2778">
        <f>'19_Расчет_аналитики'!AD2754</f>
        <v/>
      </c>
      <c r="AE2778">
        <f>'19_Расчет_аналитики'!AE2754</f>
        <v/>
      </c>
      <c r="AF2778">
        <f>'19_Расчет_аналитики'!AF2754</f>
        <v/>
      </c>
      <c r="AG2778">
        <f>'19_Расчет_аналитики'!AG2754</f>
        <v/>
      </c>
      <c r="AH2778">
        <f>'19_Расчет_аналитики'!AH2754</f>
        <v/>
      </c>
      <c r="AI2778">
        <f>'19_Расчет_аналитики'!AI2754</f>
        <v/>
      </c>
      <c r="AJ2778">
        <f>'19_Расчет_аналитики'!AJ2754</f>
        <v/>
      </c>
      <c r="AK2778">
        <f>'19_Расчет_аналитики'!AK2754</f>
        <v/>
      </c>
      <c r="AL2778">
        <f>'19_Расчет_аналитики'!AL2754</f>
        <v/>
      </c>
      <c r="AM2778">
        <f>'19_Расчет_аналитики'!AM2754</f>
        <v/>
      </c>
      <c r="AN2778">
        <f>'19_Расчет_аналитики'!AN2754</f>
        <v/>
      </c>
      <c r="AO2778">
        <f>'19_Расчет_аналитики'!AO2754</f>
        <v/>
      </c>
      <c r="AP2778">
        <f>'19_Расчет_аналитики'!AP2754</f>
        <v/>
      </c>
      <c r="AQ2778">
        <f>'19_Расчет_аналитики'!AQ2754</f>
        <v/>
      </c>
      <c r="AR2778">
        <f>'19_Расчет_аналитики'!AR2754</f>
        <v/>
      </c>
      <c r="AS2778">
        <f>'19_Расчет_аналитики'!AS2754</f>
        <v/>
      </c>
      <c r="AT2778">
        <f>'19_Расчет_аналитики'!AT2754</f>
        <v/>
      </c>
      <c r="AU2778">
        <f>'19_Расчет_аналитики'!AU2754</f>
        <v/>
      </c>
      <c r="AV2778">
        <f>'19_Расчет_аналитики'!AV2754</f>
        <v/>
      </c>
      <c r="AW2778">
        <f>'19_Расчет_аналитики'!AW2754</f>
        <v/>
      </c>
      <c r="AX2778">
        <f>'19_Расчет_аналитики'!AX2754</f>
        <v/>
      </c>
      <c r="AY2778">
        <f>'19_Расчет_аналитики'!AY2754</f>
        <v/>
      </c>
      <c r="AZ2778">
        <f>'19_Расчет_аналитики'!AZ2754</f>
        <v/>
      </c>
      <c r="BA2778">
        <f>'19_Расчет_аналитики'!BA2754</f>
        <v/>
      </c>
      <c r="BB2778">
        <f>'19_Расчет_аналитики'!BB2754</f>
        <v/>
      </c>
      <c r="BC2778">
        <f>'19_Расчет_аналитики'!BC2754</f>
        <v/>
      </c>
      <c r="BD2778">
        <f>'19_Расчет_аналитики'!BD2754</f>
        <v/>
      </c>
      <c r="BE2778">
        <f>'19_Расчет_аналитики'!BE2754</f>
        <v/>
      </c>
      <c r="BF2778">
        <f>'19_Расчет_аналитики'!BF2754</f>
        <v/>
      </c>
      <c r="BG2778">
        <f>'19_Расчет_аналитики'!BG2754</f>
        <v/>
      </c>
      <c r="BH2778">
        <f>'19_Расчет_аналитики'!BH2754</f>
        <v/>
      </c>
      <c r="BI2778">
        <f>'19_Расчет_аналитики'!BI2754</f>
        <v/>
      </c>
    </row>
    <row r="2779">
      <c r="B2779">
        <f>'02_Модель'!B29+('19_Расчет_аналитики'!B2771/(1+'01_Вводные'!$B$58))*'01_Вводные'!$B$60+'19_Расчет_аналитики'!B2746</f>
        <v/>
      </c>
      <c r="C2779">
        <f>'19_Расчет_аналитики'!C2747+('19_Расчет_аналитики'!C2771/(1+'01_Вводные'!$B$58))*'01_Вводные'!$B$60+'19_Расчет_аналитики'!C2746</f>
        <v/>
      </c>
      <c r="D2779">
        <f>'19_Расчет_аналитики'!D2747+('19_Расчет_аналитики'!D2771/(1+'01_Вводные'!$B$58))*'01_Вводные'!$B$60+'19_Расчет_аналитики'!D2746</f>
        <v/>
      </c>
      <c r="E2779">
        <f>'19_Расчет_аналитики'!E2747+('19_Расчет_аналитики'!E2771/(1+'01_Вводные'!$B$58))*'01_Вводные'!$B$60+'19_Расчет_аналитики'!E2746</f>
        <v/>
      </c>
      <c r="F2779">
        <f>'19_Расчет_аналитики'!F2747+('19_Расчет_аналитики'!F2771/(1+'01_Вводные'!$B$58))*'01_Вводные'!$B$60+'19_Расчет_аналитики'!F2746</f>
        <v/>
      </c>
      <c r="G2779">
        <f>'19_Расчет_аналитики'!G2747+('19_Расчет_аналитики'!G2771/(1+'01_Вводные'!$B$58))*'01_Вводные'!$B$60+'19_Расчет_аналитики'!G2746</f>
        <v/>
      </c>
      <c r="H2779">
        <f>'19_Расчет_аналитики'!H2747+('19_Расчет_аналитики'!H2771/(1+'01_Вводные'!$B$58))*'01_Вводные'!$B$60+'19_Расчет_аналитики'!H2746</f>
        <v/>
      </c>
      <c r="I2779">
        <f>'19_Расчет_аналитики'!I2747+('19_Расчет_аналитики'!I2771/(1+'01_Вводные'!$B$58))*'01_Вводные'!$B$60+'19_Расчет_аналитики'!I2746</f>
        <v/>
      </c>
      <c r="J2779">
        <f>'19_Расчет_аналитики'!J2747+('19_Расчет_аналитики'!J2771/(1+'01_Вводные'!$B$58))*'01_Вводные'!$B$60+'19_Расчет_аналитики'!J2746</f>
        <v/>
      </c>
      <c r="K2779">
        <f>'19_Расчет_аналитики'!K2747+('19_Расчет_аналитики'!K2771/(1+'01_Вводные'!$B$58))*'01_Вводные'!$B$60+'19_Расчет_аналитики'!K2746</f>
        <v/>
      </c>
      <c r="L2779">
        <f>'19_Расчет_аналитики'!L2747+('19_Расчет_аналитики'!L2771/(1+'01_Вводные'!$B$58))*'01_Вводные'!$B$60+'19_Расчет_аналитики'!L2746</f>
        <v/>
      </c>
      <c r="M2779">
        <f>'19_Расчет_аналитики'!M2747+('19_Расчет_аналитики'!M2771/(1+'01_Вводные'!$B$58))*'01_Вводные'!$B$60+'19_Расчет_аналитики'!M2746</f>
        <v/>
      </c>
      <c r="N2779">
        <f>'19_Расчет_аналитики'!N2747+('19_Расчет_аналитики'!N2771/(1+'01_Вводные'!$B$58))*'01_Вводные'!$B$60+'19_Расчет_аналитики'!N2746</f>
        <v/>
      </c>
      <c r="O2779">
        <f>'19_Расчет_аналитики'!O2747+('19_Расчет_аналитики'!O2771/(1+'01_Вводные'!$B$58))*'01_Вводные'!$B$60+'19_Расчет_аналитики'!O2746</f>
        <v/>
      </c>
      <c r="P2779">
        <f>'19_Расчет_аналитики'!P2747+('19_Расчет_аналитики'!P2771/(1+'01_Вводные'!$B$58))*'01_Вводные'!$B$60+'19_Расчет_аналитики'!P2746</f>
        <v/>
      </c>
      <c r="Q2779">
        <f>'19_Расчет_аналитики'!Q2747+('19_Расчет_аналитики'!Q2771/(1+'01_Вводные'!$B$58))*'01_Вводные'!$B$60+'19_Расчет_аналитики'!Q2746</f>
        <v/>
      </c>
      <c r="R2779">
        <f>'19_Расчет_аналитики'!R2747+('19_Расчет_аналитики'!R2771/(1+'01_Вводные'!$B$58))*'01_Вводные'!$B$60+'19_Расчет_аналитики'!R2746</f>
        <v/>
      </c>
      <c r="S2779">
        <f>'19_Расчет_аналитики'!S2747+('19_Расчет_аналитики'!S2771/(1+'01_Вводные'!$B$58))*'01_Вводные'!$B$60+'19_Расчет_аналитики'!S2746</f>
        <v/>
      </c>
      <c r="T2779">
        <f>'19_Расчет_аналитики'!T2747+('19_Расчет_аналитики'!T2771/(1+'01_Вводные'!$B$58))*'01_Вводные'!$B$60+'19_Расчет_аналитики'!T2746</f>
        <v/>
      </c>
      <c r="U2779">
        <f>'19_Расчет_аналитики'!U2747+('19_Расчет_аналитики'!U2771/(1+'01_Вводные'!$B$58))*'01_Вводные'!$B$60+'19_Расчет_аналитики'!U2746</f>
        <v/>
      </c>
      <c r="V2779">
        <f>'19_Расчет_аналитики'!V2747+('19_Расчет_аналитики'!V2771/(1+'01_Вводные'!$B$58))*'01_Вводные'!$B$60+'19_Расчет_аналитики'!V2746</f>
        <v/>
      </c>
      <c r="W2779">
        <f>'19_Расчет_аналитики'!W2747+('19_Расчет_аналитики'!W2771/(1+'01_Вводные'!$B$58))*'01_Вводные'!$B$60+'19_Расчет_аналитики'!W2746</f>
        <v/>
      </c>
      <c r="X2779">
        <f>'19_Расчет_аналитики'!X2747+('19_Расчет_аналитики'!X2771/(1+'01_Вводные'!$B$58))*'01_Вводные'!$B$60+'19_Расчет_аналитики'!X2746</f>
        <v/>
      </c>
      <c r="Y2779">
        <f>'19_Расчет_аналитики'!Y2747+('19_Расчет_аналитики'!Y2771/(1+'01_Вводные'!$B$58))*'01_Вводные'!$B$60+'19_Расчет_аналитики'!Y2746</f>
        <v/>
      </c>
      <c r="Z2779">
        <f>'19_Расчет_аналитики'!Z2747+('19_Расчет_аналитики'!Z2771/(1+'01_Вводные'!$B$58))*'01_Вводные'!$B$60+'19_Расчет_аналитики'!Z2746</f>
        <v/>
      </c>
      <c r="AA2779">
        <f>'19_Расчет_аналитики'!AA2747+('19_Расчет_аналитики'!AA2771/(1+'01_Вводные'!$B$58))*'01_Вводные'!$B$60+'19_Расчет_аналитики'!AA2746</f>
        <v/>
      </c>
      <c r="AB2779">
        <f>'19_Расчет_аналитики'!AB2747+('19_Расчет_аналитики'!AB2771/(1+'01_Вводные'!$B$58))*'01_Вводные'!$B$60+'19_Расчет_аналитики'!AB2746</f>
        <v/>
      </c>
      <c r="AC2779">
        <f>'19_Расчет_аналитики'!AC2747+('19_Расчет_аналитики'!AC2771/(1+'01_Вводные'!$B$58))*'01_Вводные'!$B$60+'19_Расчет_аналитики'!AC2746</f>
        <v/>
      </c>
      <c r="AD2779">
        <f>'19_Расчет_аналитики'!AD2747+('19_Расчет_аналитики'!AD2771/(1+'01_Вводные'!$B$58))*'01_Вводные'!$B$60+'19_Расчет_аналитики'!AD2746</f>
        <v/>
      </c>
      <c r="AE2779">
        <f>'19_Расчет_аналитики'!AE2747+('19_Расчет_аналитики'!AE2771/(1+'01_Вводные'!$B$58))*'01_Вводные'!$B$60+'19_Расчет_аналитики'!AE2746</f>
        <v/>
      </c>
      <c r="AF2779">
        <f>'19_Расчет_аналитики'!AF2747+('19_Расчет_аналитики'!AF2771/(1+'01_Вводные'!$B$58))*'01_Вводные'!$B$60+'19_Расчет_аналитики'!AF2746</f>
        <v/>
      </c>
      <c r="AG2779">
        <f>'19_Расчет_аналитики'!AG2747+('19_Расчет_аналитики'!AG2771/(1+'01_Вводные'!$B$58))*'01_Вводные'!$B$60+'19_Расчет_аналитики'!AG2746</f>
        <v/>
      </c>
      <c r="AH2779">
        <f>'19_Расчет_аналитики'!AH2747+('19_Расчет_аналитики'!AH2771/(1+'01_Вводные'!$B$58))*'01_Вводные'!$B$60+'19_Расчет_аналитики'!AH2746</f>
        <v/>
      </c>
      <c r="AI2779">
        <f>'19_Расчет_аналитики'!AI2747+('19_Расчет_аналитики'!AI2771/(1+'01_Вводные'!$B$58))*'01_Вводные'!$B$60+'19_Расчет_аналитики'!AI2746</f>
        <v/>
      </c>
      <c r="AJ2779">
        <f>'19_Расчет_аналитики'!AJ2747+('19_Расчет_аналитики'!AJ2771/(1+'01_Вводные'!$B$58))*'01_Вводные'!$B$60+'19_Расчет_аналитики'!AJ2746</f>
        <v/>
      </c>
      <c r="AK2779">
        <f>'19_Расчет_аналитики'!AK2747+('19_Расчет_аналитики'!AK2771/(1+'01_Вводные'!$B$58))*'01_Вводные'!$B$60+'19_Расчет_аналитики'!AK2746</f>
        <v/>
      </c>
      <c r="AL2779">
        <f>'19_Расчет_аналитики'!AL2747+('19_Расчет_аналитики'!AL2771/(1+'01_Вводные'!$B$58))*'01_Вводные'!$B$60+'19_Расчет_аналитики'!AL2746</f>
        <v/>
      </c>
      <c r="AM2779">
        <f>'19_Расчет_аналитики'!AM2747+('19_Расчет_аналитики'!AM2771/(1+'01_Вводные'!$B$58))*'01_Вводные'!$B$60+'19_Расчет_аналитики'!AM2746</f>
        <v/>
      </c>
      <c r="AN2779">
        <f>'19_Расчет_аналитики'!AN2747+('19_Расчет_аналитики'!AN2771/(1+'01_Вводные'!$B$58))*'01_Вводные'!$B$60+'19_Расчет_аналитики'!AN2746</f>
        <v/>
      </c>
      <c r="AO2779">
        <f>'19_Расчет_аналитики'!AO2747+('19_Расчет_аналитики'!AO2771/(1+'01_Вводные'!$B$58))*'01_Вводные'!$B$60+'19_Расчет_аналитики'!AO2746</f>
        <v/>
      </c>
      <c r="AP2779">
        <f>'19_Расчет_аналитики'!AP2747+('19_Расчет_аналитики'!AP2771/(1+'01_Вводные'!$B$58))*'01_Вводные'!$B$60+'19_Расчет_аналитики'!AP2746</f>
        <v/>
      </c>
      <c r="AQ2779">
        <f>'19_Расчет_аналитики'!AQ2747+('19_Расчет_аналитики'!AQ2771/(1+'01_Вводные'!$B$58))*'01_Вводные'!$B$60+'19_Расчет_аналитики'!AQ2746</f>
        <v/>
      </c>
      <c r="AR2779">
        <f>'19_Расчет_аналитики'!AR2747+('19_Расчет_аналитики'!AR2771/(1+'01_Вводные'!$B$58))*'01_Вводные'!$B$60+'19_Расчет_аналитики'!AR2746</f>
        <v/>
      </c>
      <c r="AS2779">
        <f>'19_Расчет_аналитики'!AS2747+('19_Расчет_аналитики'!AS2771/(1+'01_Вводные'!$B$58))*'01_Вводные'!$B$60+'19_Расчет_аналитики'!AS2746</f>
        <v/>
      </c>
      <c r="AT2779">
        <f>'19_Расчет_аналитики'!AT2747+('19_Расчет_аналитики'!AT2771/(1+'01_Вводные'!$B$58))*'01_Вводные'!$B$60+'19_Расчет_аналитики'!AT2746</f>
        <v/>
      </c>
      <c r="AU2779">
        <f>'19_Расчет_аналитики'!AU2747+('19_Расчет_аналитики'!AU2771/(1+'01_Вводные'!$B$58))*'01_Вводные'!$B$60+'19_Расчет_аналитики'!AU2746</f>
        <v/>
      </c>
      <c r="AV2779">
        <f>'19_Расчет_аналитики'!AV2747+('19_Расчет_аналитики'!AV2771/(1+'01_Вводные'!$B$58))*'01_Вводные'!$B$60+'19_Расчет_аналитики'!AV2746</f>
        <v/>
      </c>
      <c r="AW2779">
        <f>'19_Расчет_аналитики'!AW2747+('19_Расчет_аналитики'!AW2771/(1+'01_Вводные'!$B$58))*'01_Вводные'!$B$60+'19_Расчет_аналитики'!AW2746</f>
        <v/>
      </c>
      <c r="AX2779">
        <f>'19_Расчет_аналитики'!AX2747+('19_Расчет_аналитики'!AX2771/(1+'01_Вводные'!$B$58))*'01_Вводные'!$B$60+'19_Расчет_аналитики'!AX2746</f>
        <v/>
      </c>
      <c r="AY2779">
        <f>'19_Расчет_аналитики'!AY2747+('19_Расчет_аналитики'!AY2771/(1+'01_Вводные'!$B$58))*'01_Вводные'!$B$60+'19_Расчет_аналитики'!AY2746</f>
        <v/>
      </c>
      <c r="AZ2779">
        <f>'19_Расчет_аналитики'!AZ2747+('19_Расчет_аналитики'!AZ2771/(1+'01_Вводные'!$B$58))*'01_Вводные'!$B$60+'19_Расчет_аналитики'!AZ2746</f>
        <v/>
      </c>
      <c r="BA2779">
        <f>'19_Расчет_аналитики'!BA2747+('19_Расчет_аналитики'!BA2771/(1+'01_Вводные'!$B$58))*'01_Вводные'!$B$60+'19_Расчет_аналитики'!BA2746</f>
        <v/>
      </c>
      <c r="BB2779">
        <f>'19_Расчет_аналитики'!BB2747+('19_Расчет_аналитики'!BB2771/(1+'01_Вводные'!$B$58))*'01_Вводные'!$B$60+'19_Расчет_аналитики'!BB2746</f>
        <v/>
      </c>
      <c r="BC2779">
        <f>'19_Расчет_аналитики'!BC2747+('19_Расчет_аналитики'!BC2771/(1+'01_Вводные'!$B$58))*'01_Вводные'!$B$60+'19_Расчет_аналитики'!BC2746</f>
        <v/>
      </c>
      <c r="BD2779">
        <f>'19_Расчет_аналитики'!BD2747+('19_Расчет_аналитики'!BD2771/(1+'01_Вводные'!$B$58))*'01_Вводные'!$B$60+'19_Расчет_аналитики'!BD2746</f>
        <v/>
      </c>
      <c r="BE2779">
        <f>'19_Расчет_аналитики'!BE2747+('19_Расчет_аналитики'!BE2771/(1+'01_Вводные'!$B$58))*'01_Вводные'!$B$60+'19_Расчет_аналитики'!BE2746</f>
        <v/>
      </c>
      <c r="BF2779">
        <f>'19_Расчет_аналитики'!BF2747+('19_Расчет_аналитики'!BF2771/(1+'01_Вводные'!$B$58))*'01_Вводные'!$B$60+'19_Расчет_аналитики'!BF2746</f>
        <v/>
      </c>
      <c r="BG2779">
        <f>'19_Расчет_аналитики'!BG2747+('19_Расчет_аналитики'!BG2771/(1+'01_Вводные'!$B$58))*'01_Вводные'!$B$60+'19_Расчет_аналитики'!BG2746</f>
        <v/>
      </c>
      <c r="BH2779">
        <f>'19_Расчет_аналитики'!BH2747+('19_Расчет_аналитики'!BH2771/(1+'01_Вводные'!$B$58))*'01_Вводные'!$B$60+'19_Расчет_аналитики'!BH2746</f>
        <v/>
      </c>
      <c r="BI2779">
        <f>'19_Расчет_аналитики'!BI2747+('19_Расчет_аналитики'!BI2771/(1+'01_Вводные'!$B$58))*'01_Вводные'!$B$60+'19_Расчет_аналитики'!BI2746</f>
        <v/>
      </c>
    </row>
    <row r="2780">
      <c r="B2780">
        <f>('02_Модель'!B52+'19_Расчет_аналитики'!B2771+'19_Расчет_аналитики'!B2772)-('02_Модель'!B52+'19_Расчет_аналитики'!B2771+'19_Расчет_аналитики'!B2772)/(1+'01_Вводные'!$B$58)</f>
        <v/>
      </c>
      <c r="C2780">
        <f>('19_Расчет_аналитики'!C2770+'19_Расчет_аналитики'!C2771+'19_Расчет_аналитики'!C2772)-('19_Расчет_аналитики'!C2770+'19_Расчет_аналитики'!C2771+'19_Расчет_аналитики'!C2772)/(1+'01_Вводные'!$B$58)</f>
        <v/>
      </c>
      <c r="D2780">
        <f>('19_Расчет_аналитики'!D2770+'19_Расчет_аналитики'!D2771+'19_Расчет_аналитики'!D2772)-('19_Расчет_аналитики'!D2770+'19_Расчет_аналитики'!D2771+'19_Расчет_аналитики'!D2772)/(1+'01_Вводные'!$B$58)</f>
        <v/>
      </c>
      <c r="E2780">
        <f>('19_Расчет_аналитики'!E2770+'19_Расчет_аналитики'!E2771+'19_Расчет_аналитики'!E2772)-('19_Расчет_аналитики'!E2770+'19_Расчет_аналитики'!E2771+'19_Расчет_аналитики'!E2772)/(1+'01_Вводные'!$B$58)</f>
        <v/>
      </c>
      <c r="F2780">
        <f>('19_Расчет_аналитики'!F2770+'19_Расчет_аналитики'!F2771+'19_Расчет_аналитики'!F2772)-('19_Расчет_аналитики'!F2770+'19_Расчет_аналитики'!F2771+'19_Расчет_аналитики'!F2772)/(1+'01_Вводные'!$B$58)</f>
        <v/>
      </c>
      <c r="G2780">
        <f>('19_Расчет_аналитики'!G2770+'19_Расчет_аналитики'!G2771+'19_Расчет_аналитики'!G2772)-('19_Расчет_аналитики'!G2770+'19_Расчет_аналитики'!G2771+'19_Расчет_аналитики'!G2772)/(1+'01_Вводные'!$B$58)</f>
        <v/>
      </c>
      <c r="H2780">
        <f>('19_Расчет_аналитики'!H2770+'19_Расчет_аналитики'!H2771+'19_Расчет_аналитики'!H2772)-('19_Расчет_аналитики'!H2770+'19_Расчет_аналитики'!H2771+'19_Расчет_аналитики'!H2772)/(1+'01_Вводные'!$B$58)</f>
        <v/>
      </c>
      <c r="I2780">
        <f>('19_Расчет_аналитики'!I2770+'19_Расчет_аналитики'!I2771+'19_Расчет_аналитики'!I2772)-('19_Расчет_аналитики'!I2770+'19_Расчет_аналитики'!I2771+'19_Расчет_аналитики'!I2772)/(1+'01_Вводные'!$B$58)</f>
        <v/>
      </c>
      <c r="J2780">
        <f>('19_Расчет_аналитики'!J2770+'19_Расчет_аналитики'!J2771+'19_Расчет_аналитики'!J2772)-('19_Расчет_аналитики'!J2770+'19_Расчет_аналитики'!J2771+'19_Расчет_аналитики'!J2772)/(1+'01_Вводные'!$B$58)</f>
        <v/>
      </c>
      <c r="K2780">
        <f>('19_Расчет_аналитики'!K2770+'19_Расчет_аналитики'!K2771+'19_Расчет_аналитики'!K2772)-('19_Расчет_аналитики'!K2770+'19_Расчет_аналитики'!K2771+'19_Расчет_аналитики'!K2772)/(1+'01_Вводные'!$B$58)</f>
        <v/>
      </c>
      <c r="L2780">
        <f>('19_Расчет_аналитики'!L2770+'19_Расчет_аналитики'!L2771+'19_Расчет_аналитики'!L2772)-('19_Расчет_аналитики'!L2770+'19_Расчет_аналитики'!L2771+'19_Расчет_аналитики'!L2772)/(1+'01_Вводные'!$B$58)</f>
        <v/>
      </c>
      <c r="M2780">
        <f>('19_Расчет_аналитики'!M2770+'19_Расчет_аналитики'!M2771+'19_Расчет_аналитики'!M2772)-('19_Расчет_аналитики'!M2770+'19_Расчет_аналитики'!M2771+'19_Расчет_аналитики'!M2772)/(1+'01_Вводные'!$B$58)</f>
        <v/>
      </c>
      <c r="N2780">
        <f>('19_Расчет_аналитики'!N2770+'19_Расчет_аналитики'!N2771+'19_Расчет_аналитики'!N2772)-('19_Расчет_аналитики'!N2770+'19_Расчет_аналитики'!N2771+'19_Расчет_аналитики'!N2772)/(1+'01_Вводные'!$B$58)</f>
        <v/>
      </c>
      <c r="O2780">
        <f>('19_Расчет_аналитики'!O2770+'19_Расчет_аналитики'!O2771+'19_Расчет_аналитики'!O2772)-('19_Расчет_аналитики'!O2770+'19_Расчет_аналитики'!O2771+'19_Расчет_аналитики'!O2772)/(1+'01_Вводные'!$B$58)</f>
        <v/>
      </c>
      <c r="P2780">
        <f>('19_Расчет_аналитики'!P2770+'19_Расчет_аналитики'!P2771+'19_Расчет_аналитики'!P2772)-('19_Расчет_аналитики'!P2770+'19_Расчет_аналитики'!P2771+'19_Расчет_аналитики'!P2772)/(1+'01_Вводные'!$B$58)</f>
        <v/>
      </c>
      <c r="Q2780">
        <f>('19_Расчет_аналитики'!Q2770+'19_Расчет_аналитики'!Q2771+'19_Расчет_аналитики'!Q2772)-('19_Расчет_аналитики'!Q2770+'19_Расчет_аналитики'!Q2771+'19_Расчет_аналитики'!Q2772)/(1+'01_Вводные'!$B$58)</f>
        <v/>
      </c>
      <c r="R2780">
        <f>('19_Расчет_аналитики'!R2770+'19_Расчет_аналитики'!R2771+'19_Расчет_аналитики'!R2772)-('19_Расчет_аналитики'!R2770+'19_Расчет_аналитики'!R2771+'19_Расчет_аналитики'!R2772)/(1+'01_Вводные'!$B$58)</f>
        <v/>
      </c>
      <c r="S2780">
        <f>('19_Расчет_аналитики'!S2770+'19_Расчет_аналитики'!S2771+'19_Расчет_аналитики'!S2772)-('19_Расчет_аналитики'!S2770+'19_Расчет_аналитики'!S2771+'19_Расчет_аналитики'!S2772)/(1+'01_Вводные'!$B$58)</f>
        <v/>
      </c>
      <c r="T2780">
        <f>('19_Расчет_аналитики'!T2770+'19_Расчет_аналитики'!T2771+'19_Расчет_аналитики'!T2772)-('19_Расчет_аналитики'!T2770+'19_Расчет_аналитики'!T2771+'19_Расчет_аналитики'!T2772)/(1+'01_Вводные'!$B$58)</f>
        <v/>
      </c>
      <c r="U2780">
        <f>('19_Расчет_аналитики'!U2770+'19_Расчет_аналитики'!U2771+'19_Расчет_аналитики'!U2772)-('19_Расчет_аналитики'!U2770+'19_Расчет_аналитики'!U2771+'19_Расчет_аналитики'!U2772)/(1+'01_Вводные'!$B$58)</f>
        <v/>
      </c>
      <c r="V2780">
        <f>('19_Расчет_аналитики'!V2770+'19_Расчет_аналитики'!V2771+'19_Расчет_аналитики'!V2772)-('19_Расчет_аналитики'!V2770+'19_Расчет_аналитики'!V2771+'19_Расчет_аналитики'!V2772)/(1+'01_Вводные'!$B$58)</f>
        <v/>
      </c>
      <c r="W2780">
        <f>('19_Расчет_аналитики'!W2770+'19_Расчет_аналитики'!W2771+'19_Расчет_аналитики'!W2772)-('19_Расчет_аналитики'!W2770+'19_Расчет_аналитики'!W2771+'19_Расчет_аналитики'!W2772)/(1+'01_Вводные'!$B$58)</f>
        <v/>
      </c>
      <c r="X2780">
        <f>('19_Расчет_аналитики'!X2770+'19_Расчет_аналитики'!X2771+'19_Расчет_аналитики'!X2772)-('19_Расчет_аналитики'!X2770+'19_Расчет_аналитики'!X2771+'19_Расчет_аналитики'!X2772)/(1+'01_Вводные'!$B$58)</f>
        <v/>
      </c>
      <c r="Y2780">
        <f>('19_Расчет_аналитики'!Y2770+'19_Расчет_аналитики'!Y2771+'19_Расчет_аналитики'!Y2772)-('19_Расчет_аналитики'!Y2770+'19_Расчет_аналитики'!Y2771+'19_Расчет_аналитики'!Y2772)/(1+'01_Вводные'!$B$58)</f>
        <v/>
      </c>
      <c r="Z2780">
        <f>('19_Расчет_аналитики'!Z2770+'19_Расчет_аналитики'!Z2771+'19_Расчет_аналитики'!Z2772)-('19_Расчет_аналитики'!Z2770+'19_Расчет_аналитики'!Z2771+'19_Расчет_аналитики'!Z2772)/(1+'01_Вводные'!$B$58)</f>
        <v/>
      </c>
      <c r="AA2780">
        <f>('19_Расчет_аналитики'!AA2770+'19_Расчет_аналитики'!AA2771+'19_Расчет_аналитики'!AA2772)-('19_Расчет_аналитики'!AA2770+'19_Расчет_аналитики'!AA2771+'19_Расчет_аналитики'!AA2772)/(1+'01_Вводные'!$B$58)</f>
        <v/>
      </c>
      <c r="AB2780">
        <f>('19_Расчет_аналитики'!AB2770+'19_Расчет_аналитики'!AB2771+'19_Расчет_аналитики'!AB2772)-('19_Расчет_аналитики'!AB2770+'19_Расчет_аналитики'!AB2771+'19_Расчет_аналитики'!AB2772)/(1+'01_Вводные'!$B$58)</f>
        <v/>
      </c>
      <c r="AC2780">
        <f>('19_Расчет_аналитики'!AC2770+'19_Расчет_аналитики'!AC2771+'19_Расчет_аналитики'!AC2772)-('19_Расчет_аналитики'!AC2770+'19_Расчет_аналитики'!AC2771+'19_Расчет_аналитики'!AC2772)/(1+'01_Вводные'!$B$58)</f>
        <v/>
      </c>
      <c r="AD2780">
        <f>('19_Расчет_аналитики'!AD2770+'19_Расчет_аналитики'!AD2771+'19_Расчет_аналитики'!AD2772)-('19_Расчет_аналитики'!AD2770+'19_Расчет_аналитики'!AD2771+'19_Расчет_аналитики'!AD2772)/(1+'01_Вводные'!$B$58)</f>
        <v/>
      </c>
      <c r="AE2780">
        <f>('19_Расчет_аналитики'!AE2770+'19_Расчет_аналитики'!AE2771+'19_Расчет_аналитики'!AE2772)-('19_Расчет_аналитики'!AE2770+'19_Расчет_аналитики'!AE2771+'19_Расчет_аналитики'!AE2772)/(1+'01_Вводные'!$B$58)</f>
        <v/>
      </c>
      <c r="AF2780">
        <f>('19_Расчет_аналитики'!AF2770+'19_Расчет_аналитики'!AF2771+'19_Расчет_аналитики'!AF2772)-('19_Расчет_аналитики'!AF2770+'19_Расчет_аналитики'!AF2771+'19_Расчет_аналитики'!AF2772)/(1+'01_Вводные'!$B$58)</f>
        <v/>
      </c>
      <c r="AG2780">
        <f>('19_Расчет_аналитики'!AG2770+'19_Расчет_аналитики'!AG2771+'19_Расчет_аналитики'!AG2772)-('19_Расчет_аналитики'!AG2770+'19_Расчет_аналитики'!AG2771+'19_Расчет_аналитики'!AG2772)/(1+'01_Вводные'!$B$58)</f>
        <v/>
      </c>
      <c r="AH2780">
        <f>('19_Расчет_аналитики'!AH2770+'19_Расчет_аналитики'!AH2771+'19_Расчет_аналитики'!AH2772)-('19_Расчет_аналитики'!AH2770+'19_Расчет_аналитики'!AH2771+'19_Расчет_аналитики'!AH2772)/(1+'01_Вводные'!$B$58)</f>
        <v/>
      </c>
      <c r="AI2780">
        <f>('19_Расчет_аналитики'!AI2770+'19_Расчет_аналитики'!AI2771+'19_Расчет_аналитики'!AI2772)-('19_Расчет_аналитики'!AI2770+'19_Расчет_аналитики'!AI2771+'19_Расчет_аналитики'!AI2772)/(1+'01_Вводные'!$B$58)</f>
        <v/>
      </c>
      <c r="AJ2780">
        <f>('19_Расчет_аналитики'!AJ2770+'19_Расчет_аналитики'!AJ2771+'19_Расчет_аналитики'!AJ2772)-('19_Расчет_аналитики'!AJ2770+'19_Расчет_аналитики'!AJ2771+'19_Расчет_аналитики'!AJ2772)/(1+'01_Вводные'!$B$58)</f>
        <v/>
      </c>
      <c r="AK2780">
        <f>('19_Расчет_аналитики'!AK2770+'19_Расчет_аналитики'!AK2771+'19_Расчет_аналитики'!AK2772)-('19_Расчет_аналитики'!AK2770+'19_Расчет_аналитики'!AK2771+'19_Расчет_аналитики'!AK2772)/(1+'01_Вводные'!$B$58)</f>
        <v/>
      </c>
      <c r="AL2780">
        <f>('19_Расчет_аналитики'!AL2770+'19_Расчет_аналитики'!AL2771+'19_Расчет_аналитики'!AL2772)-('19_Расчет_аналитики'!AL2770+'19_Расчет_аналитики'!AL2771+'19_Расчет_аналитики'!AL2772)/(1+'01_Вводные'!$B$58)</f>
        <v/>
      </c>
      <c r="AM2780">
        <f>('19_Расчет_аналитики'!AM2770+'19_Расчет_аналитики'!AM2771+'19_Расчет_аналитики'!AM2772)-('19_Расчет_аналитики'!AM2770+'19_Расчет_аналитики'!AM2771+'19_Расчет_аналитики'!AM2772)/(1+'01_Вводные'!$B$58)</f>
        <v/>
      </c>
      <c r="AN2780">
        <f>('19_Расчет_аналитики'!AN2770+'19_Расчет_аналитики'!AN2771+'19_Расчет_аналитики'!AN2772)-('19_Расчет_аналитики'!AN2770+'19_Расчет_аналитики'!AN2771+'19_Расчет_аналитики'!AN2772)/(1+'01_Вводные'!$B$58)</f>
        <v/>
      </c>
      <c r="AO2780">
        <f>('19_Расчет_аналитики'!AO2770+'19_Расчет_аналитики'!AO2771+'19_Расчет_аналитики'!AO2772)-('19_Расчет_аналитики'!AO2770+'19_Расчет_аналитики'!AO2771+'19_Расчет_аналитики'!AO2772)/(1+'01_Вводные'!$B$58)</f>
        <v/>
      </c>
      <c r="AP2780">
        <f>('19_Расчет_аналитики'!AP2770+'19_Расчет_аналитики'!AP2771+'19_Расчет_аналитики'!AP2772)-('19_Расчет_аналитики'!AP2770+'19_Расчет_аналитики'!AP2771+'19_Расчет_аналитики'!AP2772)/(1+'01_Вводные'!$B$58)</f>
        <v/>
      </c>
      <c r="AQ2780">
        <f>('19_Расчет_аналитики'!AQ2770+'19_Расчет_аналитики'!AQ2771+'19_Расчет_аналитики'!AQ2772)-('19_Расчет_аналитики'!AQ2770+'19_Расчет_аналитики'!AQ2771+'19_Расчет_аналитики'!AQ2772)/(1+'01_Вводные'!$B$58)</f>
        <v/>
      </c>
      <c r="AR2780">
        <f>('19_Расчет_аналитики'!AR2770+'19_Расчет_аналитики'!AR2771+'19_Расчет_аналитики'!AR2772)-('19_Расчет_аналитики'!AR2770+'19_Расчет_аналитики'!AR2771+'19_Расчет_аналитики'!AR2772)/(1+'01_Вводные'!$B$58)</f>
        <v/>
      </c>
      <c r="AS2780">
        <f>('19_Расчет_аналитики'!AS2770+'19_Расчет_аналитики'!AS2771+'19_Расчет_аналитики'!AS2772)-('19_Расчет_аналитики'!AS2770+'19_Расчет_аналитики'!AS2771+'19_Расчет_аналитики'!AS2772)/(1+'01_Вводные'!$B$58)</f>
        <v/>
      </c>
      <c r="AT2780">
        <f>('19_Расчет_аналитики'!AT2770+'19_Расчет_аналитики'!AT2771+'19_Расчет_аналитики'!AT2772)-('19_Расчет_аналитики'!AT2770+'19_Расчет_аналитики'!AT2771+'19_Расчет_аналитики'!AT2772)/(1+'01_Вводные'!$B$58)</f>
        <v/>
      </c>
      <c r="AU2780">
        <f>('19_Расчет_аналитики'!AU2770+'19_Расчет_аналитики'!AU2771+'19_Расчет_аналитики'!AU2772)-('19_Расчет_аналитики'!AU2770+'19_Расчет_аналитики'!AU2771+'19_Расчет_аналитики'!AU2772)/(1+'01_Вводные'!$B$58)</f>
        <v/>
      </c>
      <c r="AV2780">
        <f>('19_Расчет_аналитики'!AV2770+'19_Расчет_аналитики'!AV2771+'19_Расчет_аналитики'!AV2772)-('19_Расчет_аналитики'!AV2770+'19_Расчет_аналитики'!AV2771+'19_Расчет_аналитики'!AV2772)/(1+'01_Вводные'!$B$58)</f>
        <v/>
      </c>
      <c r="AW2780">
        <f>('19_Расчет_аналитики'!AW2770+'19_Расчет_аналитики'!AW2771+'19_Расчет_аналитики'!AW2772)-('19_Расчет_аналитики'!AW2770+'19_Расчет_аналитики'!AW2771+'19_Расчет_аналитики'!AW2772)/(1+'01_Вводные'!$B$58)</f>
        <v/>
      </c>
      <c r="AX2780">
        <f>('19_Расчет_аналитики'!AX2770+'19_Расчет_аналитики'!AX2771+'19_Расчет_аналитики'!AX2772)-('19_Расчет_аналитики'!AX2770+'19_Расчет_аналитики'!AX2771+'19_Расчет_аналитики'!AX2772)/(1+'01_Вводные'!$B$58)</f>
        <v/>
      </c>
      <c r="AY2780">
        <f>('19_Расчет_аналитики'!AY2770+'19_Расчет_аналитики'!AY2771+'19_Расчет_аналитики'!AY2772)-('19_Расчет_аналитики'!AY2770+'19_Расчет_аналитики'!AY2771+'19_Расчет_аналитики'!AY2772)/(1+'01_Вводные'!$B$58)</f>
        <v/>
      </c>
      <c r="AZ2780">
        <f>('19_Расчет_аналитики'!AZ2770+'19_Расчет_аналитики'!AZ2771+'19_Расчет_аналитики'!AZ2772)-('19_Расчет_аналитики'!AZ2770+'19_Расчет_аналитики'!AZ2771+'19_Расчет_аналитики'!AZ2772)/(1+'01_Вводные'!$B$58)</f>
        <v/>
      </c>
      <c r="BA2780">
        <f>('19_Расчет_аналитики'!BA2770+'19_Расчет_аналитики'!BA2771+'19_Расчет_аналитики'!BA2772)-('19_Расчет_аналитики'!BA2770+'19_Расчет_аналитики'!BA2771+'19_Расчет_аналитики'!BA2772)/(1+'01_Вводные'!$B$58)</f>
        <v/>
      </c>
      <c r="BB2780">
        <f>('19_Расчет_аналитики'!BB2770+'19_Расчет_аналитики'!BB2771+'19_Расчет_аналитики'!BB2772)-('19_Расчет_аналитики'!BB2770+'19_Расчет_аналитики'!BB2771+'19_Расчет_аналитики'!BB2772)/(1+'01_Вводные'!$B$58)</f>
        <v/>
      </c>
      <c r="BC2780">
        <f>('19_Расчет_аналитики'!BC2770+'19_Расчет_аналитики'!BC2771+'19_Расчет_аналитики'!BC2772)-('19_Расчет_аналитики'!BC2770+'19_Расчет_аналитики'!BC2771+'19_Расчет_аналитики'!BC2772)/(1+'01_Вводные'!$B$58)</f>
        <v/>
      </c>
      <c r="BD2780">
        <f>('19_Расчет_аналитики'!BD2770+'19_Расчет_аналитики'!BD2771+'19_Расчет_аналитики'!BD2772)-('19_Расчет_аналитики'!BD2770+'19_Расчет_аналитики'!BD2771+'19_Расчет_аналитики'!BD2772)/(1+'01_Вводные'!$B$58)</f>
        <v/>
      </c>
      <c r="BE2780">
        <f>('19_Расчет_аналитики'!BE2770+'19_Расчет_аналитики'!BE2771+'19_Расчет_аналитики'!BE2772)-('19_Расчет_аналитики'!BE2770+'19_Расчет_аналитики'!BE2771+'19_Расчет_аналитики'!BE2772)/(1+'01_Вводные'!$B$58)</f>
        <v/>
      </c>
      <c r="BF2780">
        <f>('19_Расчет_аналитики'!BF2770+'19_Расчет_аналитики'!BF2771+'19_Расчет_аналитики'!BF2772)-('19_Расчет_аналитики'!BF2770+'19_Расчет_аналитики'!BF2771+'19_Расчет_аналитики'!BF2772)/(1+'01_Вводные'!$B$58)</f>
        <v/>
      </c>
      <c r="BG2780">
        <f>('19_Расчет_аналитики'!BG2770+'19_Расчет_аналитики'!BG2771+'19_Расчет_аналитики'!BG2772)-('19_Расчет_аналитики'!BG2770+'19_Расчет_аналитики'!BG2771+'19_Расчет_аналитики'!BG2772)/(1+'01_Вводные'!$B$58)</f>
        <v/>
      </c>
      <c r="BH2780">
        <f>('19_Расчет_аналитики'!BH2770+'19_Расчет_аналитики'!BH2771+'19_Расчет_аналитики'!BH2772)-('19_Расчет_аналитики'!BH2770+'19_Расчет_аналитики'!BH2771+'19_Расчет_аналитики'!BH2772)/(1+'01_Вводные'!$B$58)</f>
        <v/>
      </c>
      <c r="BI2780">
        <f>('19_Расчет_аналитики'!BI2770+'19_Расчет_аналитики'!BI2771+'19_Расчет_аналитики'!BI2772)-('19_Расчет_аналитики'!BI2770+'19_Расчет_аналитики'!BI2771+'19_Расчет_аналитики'!BI2772)/(1+'01_Вводные'!$B$58)</f>
        <v/>
      </c>
    </row>
    <row r="2781">
      <c r="B2781">
        <f>'02_Модель'!B63</f>
        <v/>
      </c>
      <c r="C2781">
        <f>'02_Модель'!C63</f>
        <v/>
      </c>
      <c r="D2781">
        <f>'02_Модель'!D63</f>
        <v/>
      </c>
      <c r="E2781">
        <f>'02_Модель'!E63</f>
        <v/>
      </c>
      <c r="F2781">
        <f>'02_Модель'!F63</f>
        <v/>
      </c>
      <c r="G2781">
        <f>'02_Модель'!G63</f>
        <v/>
      </c>
      <c r="H2781">
        <f>'02_Модель'!H63</f>
        <v/>
      </c>
      <c r="I2781">
        <f>'02_Модель'!I63</f>
        <v/>
      </c>
      <c r="J2781">
        <f>'02_Модель'!J63</f>
        <v/>
      </c>
      <c r="K2781">
        <f>'02_Модель'!K63</f>
        <v/>
      </c>
      <c r="L2781">
        <f>'02_Модель'!L63</f>
        <v/>
      </c>
      <c r="M2781">
        <f>'02_Модель'!M63</f>
        <v/>
      </c>
      <c r="N2781">
        <f>'02_Модель'!N63</f>
        <v/>
      </c>
      <c r="O2781">
        <f>'02_Модель'!O63</f>
        <v/>
      </c>
      <c r="P2781">
        <f>'02_Модель'!P63</f>
        <v/>
      </c>
      <c r="Q2781">
        <f>'02_Модель'!Q63</f>
        <v/>
      </c>
      <c r="R2781">
        <f>'02_Модель'!R63</f>
        <v/>
      </c>
      <c r="S2781">
        <f>'02_Модель'!S63</f>
        <v/>
      </c>
      <c r="T2781">
        <f>'02_Модель'!T63</f>
        <v/>
      </c>
      <c r="U2781">
        <f>'02_Модель'!U63</f>
        <v/>
      </c>
      <c r="V2781">
        <f>'02_Модель'!V63</f>
        <v/>
      </c>
      <c r="W2781">
        <f>'02_Модель'!W63</f>
        <v/>
      </c>
      <c r="X2781">
        <f>'02_Модель'!X63</f>
        <v/>
      </c>
      <c r="Y2781">
        <f>'02_Модель'!Y63</f>
        <v/>
      </c>
      <c r="Z2781">
        <f>'02_Модель'!Z63</f>
        <v/>
      </c>
      <c r="AA2781">
        <f>'02_Модель'!AA63</f>
        <v/>
      </c>
      <c r="AB2781">
        <f>'02_Модель'!AB63</f>
        <v/>
      </c>
      <c r="AC2781">
        <f>'02_Модель'!AC63</f>
        <v/>
      </c>
      <c r="AD2781">
        <f>'02_Модель'!AD63</f>
        <v/>
      </c>
      <c r="AE2781">
        <f>'02_Модель'!AE63</f>
        <v/>
      </c>
      <c r="AF2781">
        <f>'02_Модель'!AF63</f>
        <v/>
      </c>
      <c r="AG2781">
        <f>'02_Модель'!AG63</f>
        <v/>
      </c>
      <c r="AH2781">
        <f>'02_Модель'!AH63</f>
        <v/>
      </c>
      <c r="AI2781">
        <f>'02_Модель'!AI63</f>
        <v/>
      </c>
      <c r="AJ2781">
        <f>'02_Модель'!AJ63</f>
        <v/>
      </c>
      <c r="AK2781">
        <f>'02_Модель'!AK63</f>
        <v/>
      </c>
      <c r="AL2781">
        <f>'02_Модель'!AL63</f>
        <v/>
      </c>
      <c r="AM2781">
        <f>'02_Модель'!AM63</f>
        <v/>
      </c>
      <c r="AN2781">
        <f>'02_Модель'!AN63</f>
        <v/>
      </c>
      <c r="AO2781">
        <f>'02_Модель'!AO63</f>
        <v/>
      </c>
      <c r="AP2781">
        <f>'02_Модель'!AP63</f>
        <v/>
      </c>
      <c r="AQ2781">
        <f>'02_Модель'!AQ63</f>
        <v/>
      </c>
      <c r="AR2781">
        <f>'02_Модель'!AR63</f>
        <v/>
      </c>
      <c r="AS2781">
        <f>'02_Модель'!AS63</f>
        <v/>
      </c>
      <c r="AT2781">
        <f>'02_Модель'!AT63</f>
        <v/>
      </c>
      <c r="AU2781">
        <f>'02_Модель'!AU63</f>
        <v/>
      </c>
      <c r="AV2781">
        <f>'02_Модель'!AV63</f>
        <v/>
      </c>
      <c r="AW2781">
        <f>'02_Модель'!AW63</f>
        <v/>
      </c>
      <c r="AX2781">
        <f>'02_Модель'!AX63</f>
        <v/>
      </c>
      <c r="AY2781">
        <f>'02_Модель'!AY63</f>
        <v/>
      </c>
      <c r="AZ2781">
        <f>'02_Модель'!AZ63</f>
        <v/>
      </c>
      <c r="BA2781">
        <f>'02_Модель'!BA63</f>
        <v/>
      </c>
      <c r="BB2781">
        <f>'02_Модель'!BB63</f>
        <v/>
      </c>
      <c r="BC2781">
        <f>'02_Модель'!BC63</f>
        <v/>
      </c>
      <c r="BD2781">
        <f>'02_Модель'!BD63</f>
        <v/>
      </c>
      <c r="BE2781">
        <f>'02_Модель'!BE63</f>
        <v/>
      </c>
      <c r="BF2781">
        <f>'02_Модель'!BF63</f>
        <v/>
      </c>
      <c r="BG2781">
        <f>'02_Модель'!BG63</f>
        <v/>
      </c>
      <c r="BH2781">
        <f>'02_Модель'!BH63</f>
        <v/>
      </c>
      <c r="BI2781">
        <f>'02_Модель'!BI63</f>
        <v/>
      </c>
    </row>
    <row r="2782">
      <c r="B2782">
        <f>'19_Расчет_аналитики'!B2764</f>
        <v/>
      </c>
      <c r="C2782">
        <f>'19_Расчет_аналитики'!C2764</f>
        <v/>
      </c>
      <c r="D2782">
        <f>'19_Расчет_аналитики'!D2764</f>
        <v/>
      </c>
      <c r="E2782">
        <f>'19_Расчет_аналитики'!E2764</f>
        <v/>
      </c>
      <c r="F2782">
        <f>'19_Расчет_аналитики'!F2764</f>
        <v/>
      </c>
      <c r="G2782">
        <f>'19_Расчет_аналитики'!G2764</f>
        <v/>
      </c>
      <c r="H2782">
        <f>'19_Расчет_аналитики'!H2764</f>
        <v/>
      </c>
      <c r="I2782">
        <f>'19_Расчет_аналитики'!I2764</f>
        <v/>
      </c>
      <c r="J2782">
        <f>'19_Расчет_аналитики'!J2764</f>
        <v/>
      </c>
      <c r="K2782">
        <f>'19_Расчет_аналитики'!K2764</f>
        <v/>
      </c>
      <c r="L2782">
        <f>'19_Расчет_аналитики'!L2764</f>
        <v/>
      </c>
      <c r="M2782">
        <f>'19_Расчет_аналитики'!M2764</f>
        <v/>
      </c>
      <c r="N2782">
        <f>'19_Расчет_аналитики'!N2764</f>
        <v/>
      </c>
      <c r="O2782">
        <f>'19_Расчет_аналитики'!O2764</f>
        <v/>
      </c>
      <c r="P2782">
        <f>'19_Расчет_аналитики'!P2764</f>
        <v/>
      </c>
      <c r="Q2782">
        <f>'19_Расчет_аналитики'!Q2764</f>
        <v/>
      </c>
      <c r="R2782">
        <f>'19_Расчет_аналитики'!R2764</f>
        <v/>
      </c>
      <c r="S2782">
        <f>'19_Расчет_аналитики'!S2764</f>
        <v/>
      </c>
      <c r="T2782">
        <f>'19_Расчет_аналитики'!T2764</f>
        <v/>
      </c>
      <c r="U2782">
        <f>'19_Расчет_аналитики'!U2764</f>
        <v/>
      </c>
      <c r="V2782">
        <f>'19_Расчет_аналитики'!V2764</f>
        <v/>
      </c>
      <c r="W2782">
        <f>'19_Расчет_аналитики'!W2764</f>
        <v/>
      </c>
      <c r="X2782">
        <f>'19_Расчет_аналитики'!X2764</f>
        <v/>
      </c>
      <c r="Y2782">
        <f>'19_Расчет_аналитики'!Y2764</f>
        <v/>
      </c>
      <c r="Z2782">
        <f>'19_Расчет_аналитики'!Z2764</f>
        <v/>
      </c>
      <c r="AA2782">
        <f>'19_Расчет_аналитики'!AA2764</f>
        <v/>
      </c>
      <c r="AB2782">
        <f>'19_Расчет_аналитики'!AB2764</f>
        <v/>
      </c>
      <c r="AC2782">
        <f>'19_Расчет_аналитики'!AC2764</f>
        <v/>
      </c>
      <c r="AD2782">
        <f>'19_Расчет_аналитики'!AD2764</f>
        <v/>
      </c>
      <c r="AE2782">
        <f>'19_Расчет_аналитики'!AE2764</f>
        <v/>
      </c>
      <c r="AF2782">
        <f>'19_Расчет_аналитики'!AF2764</f>
        <v/>
      </c>
      <c r="AG2782">
        <f>'19_Расчет_аналитики'!AG2764</f>
        <v/>
      </c>
      <c r="AH2782">
        <f>'19_Расчет_аналитики'!AH2764</f>
        <v/>
      </c>
      <c r="AI2782">
        <f>'19_Расчет_аналитики'!AI2764</f>
        <v/>
      </c>
      <c r="AJ2782">
        <f>'19_Расчет_аналитики'!AJ2764</f>
        <v/>
      </c>
      <c r="AK2782">
        <f>'19_Расчет_аналитики'!AK2764</f>
        <v/>
      </c>
      <c r="AL2782">
        <f>'19_Расчет_аналитики'!AL2764</f>
        <v/>
      </c>
      <c r="AM2782">
        <f>'19_Расчет_аналитики'!AM2764</f>
        <v/>
      </c>
      <c r="AN2782">
        <f>'19_Расчет_аналитики'!AN2764</f>
        <v/>
      </c>
      <c r="AO2782">
        <f>'19_Расчет_аналитики'!AO2764</f>
        <v/>
      </c>
      <c r="AP2782">
        <f>'19_Расчет_аналитики'!AP2764</f>
        <v/>
      </c>
      <c r="AQ2782">
        <f>'19_Расчет_аналитики'!AQ2764</f>
        <v/>
      </c>
      <c r="AR2782">
        <f>'19_Расчет_аналитики'!AR2764</f>
        <v/>
      </c>
      <c r="AS2782">
        <f>'19_Расчет_аналитики'!AS2764</f>
        <v/>
      </c>
      <c r="AT2782">
        <f>'19_Расчет_аналитики'!AT2764</f>
        <v/>
      </c>
      <c r="AU2782">
        <f>'19_Расчет_аналитики'!AU2764</f>
        <v/>
      </c>
      <c r="AV2782">
        <f>'19_Расчет_аналитики'!AV2764</f>
        <v/>
      </c>
      <c r="AW2782">
        <f>'19_Расчет_аналитики'!AW2764</f>
        <v/>
      </c>
      <c r="AX2782">
        <f>'19_Расчет_аналитики'!AX2764</f>
        <v/>
      </c>
      <c r="AY2782">
        <f>'19_Расчет_аналитики'!AY2764</f>
        <v/>
      </c>
      <c r="AZ2782">
        <f>'19_Расчет_аналитики'!AZ2764</f>
        <v/>
      </c>
      <c r="BA2782">
        <f>'19_Расчет_аналитики'!BA2764</f>
        <v/>
      </c>
      <c r="BB2782">
        <f>'19_Расчет_аналитики'!BB2764</f>
        <v/>
      </c>
      <c r="BC2782">
        <f>'19_Расчет_аналитики'!BC2764</f>
        <v/>
      </c>
      <c r="BD2782">
        <f>'19_Расчет_аналитики'!BD2764</f>
        <v/>
      </c>
      <c r="BE2782">
        <f>'19_Расчет_аналитики'!BE2764</f>
        <v/>
      </c>
      <c r="BF2782">
        <f>'19_Расчет_аналитики'!BF2764</f>
        <v/>
      </c>
      <c r="BG2782">
        <f>'19_Расчет_аналитики'!BG2764</f>
        <v/>
      </c>
      <c r="BH2782">
        <f>'19_Расчет_аналитики'!BH2764</f>
        <v/>
      </c>
      <c r="BI2782">
        <f>'19_Расчет_аналитики'!BI2764</f>
        <v/>
      </c>
    </row>
    <row r="2783">
      <c r="B2783">
        <f>'19_Расчет_аналитики'!B2650</f>
        <v/>
      </c>
      <c r="C2783">
        <f>'19_Расчет_аналитики'!C2650</f>
        <v/>
      </c>
      <c r="D2783">
        <f>'19_Расчет_аналитики'!D2650</f>
        <v/>
      </c>
      <c r="E2783">
        <f>'19_Расчет_аналитики'!E2650</f>
        <v/>
      </c>
      <c r="F2783">
        <f>'19_Расчет_аналитики'!F2650</f>
        <v/>
      </c>
      <c r="G2783">
        <f>'19_Расчет_аналитики'!G2650</f>
        <v/>
      </c>
      <c r="H2783">
        <f>'19_Расчет_аналитики'!H2650</f>
        <v/>
      </c>
      <c r="I2783">
        <f>'19_Расчет_аналитики'!I2650</f>
        <v/>
      </c>
      <c r="J2783">
        <f>'19_Расчет_аналитики'!J2650</f>
        <v/>
      </c>
      <c r="K2783">
        <f>'19_Расчет_аналитики'!K2650</f>
        <v/>
      </c>
      <c r="L2783">
        <f>'19_Расчет_аналитики'!L2650</f>
        <v/>
      </c>
      <c r="M2783">
        <f>'19_Расчет_аналитики'!M2650</f>
        <v/>
      </c>
      <c r="N2783">
        <f>'19_Расчет_аналитики'!N2650</f>
        <v/>
      </c>
      <c r="O2783">
        <f>'19_Расчет_аналитики'!O2650</f>
        <v/>
      </c>
      <c r="P2783">
        <f>'19_Расчет_аналитики'!P2650</f>
        <v/>
      </c>
      <c r="Q2783">
        <f>'19_Расчет_аналитики'!Q2650</f>
        <v/>
      </c>
      <c r="R2783">
        <f>'19_Расчет_аналитики'!R2650</f>
        <v/>
      </c>
      <c r="S2783">
        <f>'19_Расчет_аналитики'!S2650</f>
        <v/>
      </c>
      <c r="T2783">
        <f>'19_Расчет_аналитики'!T2650</f>
        <v/>
      </c>
      <c r="U2783">
        <f>'19_Расчет_аналитики'!U2650</f>
        <v/>
      </c>
      <c r="V2783">
        <f>'19_Расчет_аналитики'!V2650</f>
        <v/>
      </c>
      <c r="W2783">
        <f>'19_Расчет_аналитики'!W2650</f>
        <v/>
      </c>
      <c r="X2783">
        <f>'19_Расчет_аналитики'!X2650</f>
        <v/>
      </c>
      <c r="Y2783">
        <f>'19_Расчет_аналитики'!Y2650</f>
        <v/>
      </c>
      <c r="Z2783">
        <f>'19_Расчет_аналитики'!Z2650</f>
        <v/>
      </c>
      <c r="AA2783">
        <f>'19_Расчет_аналитики'!AA2650</f>
        <v/>
      </c>
      <c r="AB2783">
        <f>'19_Расчет_аналитики'!AB2650</f>
        <v/>
      </c>
      <c r="AC2783">
        <f>'19_Расчет_аналитики'!AC2650</f>
        <v/>
      </c>
      <c r="AD2783">
        <f>'19_Расчет_аналитики'!AD2650</f>
        <v/>
      </c>
      <c r="AE2783">
        <f>'19_Расчет_аналитики'!AE2650</f>
        <v/>
      </c>
      <c r="AF2783">
        <f>'19_Расчет_аналитики'!AF2650</f>
        <v/>
      </c>
      <c r="AG2783">
        <f>'19_Расчет_аналитики'!AG2650</f>
        <v/>
      </c>
      <c r="AH2783">
        <f>'19_Расчет_аналитики'!AH2650</f>
        <v/>
      </c>
      <c r="AI2783">
        <f>'19_Расчет_аналитики'!AI2650</f>
        <v/>
      </c>
      <c r="AJ2783">
        <f>'19_Расчет_аналитики'!AJ2650</f>
        <v/>
      </c>
      <c r="AK2783">
        <f>'19_Расчет_аналитики'!AK2650</f>
        <v/>
      </c>
      <c r="AL2783">
        <f>'19_Расчет_аналитики'!AL2650</f>
        <v/>
      </c>
      <c r="AM2783">
        <f>'19_Расчет_аналитики'!AM2650</f>
        <v/>
      </c>
      <c r="AN2783">
        <f>'19_Расчет_аналитики'!AN2650</f>
        <v/>
      </c>
      <c r="AO2783">
        <f>'19_Расчет_аналитики'!AO2650</f>
        <v/>
      </c>
      <c r="AP2783">
        <f>'19_Расчет_аналитики'!AP2650</f>
        <v/>
      </c>
      <c r="AQ2783">
        <f>'19_Расчет_аналитики'!AQ2650</f>
        <v/>
      </c>
      <c r="AR2783">
        <f>'19_Расчет_аналитики'!AR2650</f>
        <v/>
      </c>
      <c r="AS2783">
        <f>'19_Расчет_аналитики'!AS2650</f>
        <v/>
      </c>
      <c r="AT2783">
        <f>'19_Расчет_аналитики'!AT2650</f>
        <v/>
      </c>
      <c r="AU2783">
        <f>'19_Расчет_аналитики'!AU2650</f>
        <v/>
      </c>
      <c r="AV2783">
        <f>'19_Расчет_аналитики'!AV2650</f>
        <v/>
      </c>
      <c r="AW2783">
        <f>'19_Расчет_аналитики'!AW2650</f>
        <v/>
      </c>
      <c r="AX2783">
        <f>'19_Расчет_аналитики'!AX2650</f>
        <v/>
      </c>
      <c r="AY2783">
        <f>'19_Расчет_аналитики'!AY2650</f>
        <v/>
      </c>
      <c r="AZ2783">
        <f>'19_Расчет_аналитики'!AZ2650</f>
        <v/>
      </c>
      <c r="BA2783">
        <f>'19_Расчет_аналитики'!BA2650</f>
        <v/>
      </c>
      <c r="BB2783">
        <f>'19_Расчет_аналитики'!BB2650</f>
        <v/>
      </c>
      <c r="BC2783">
        <f>'19_Расчет_аналитики'!BC2650</f>
        <v/>
      </c>
      <c r="BD2783">
        <f>'19_Расчет_аналитики'!BD2650</f>
        <v/>
      </c>
      <c r="BE2783">
        <f>'19_Расчет_аналитики'!BE2650</f>
        <v/>
      </c>
      <c r="BF2783">
        <f>'19_Расчет_аналитики'!BF2650</f>
        <v/>
      </c>
      <c r="BG2783">
        <f>'19_Расчет_аналитики'!BG2650</f>
        <v/>
      </c>
      <c r="BH2783">
        <f>'19_Расчет_аналитики'!BH2650</f>
        <v/>
      </c>
      <c r="BI2783">
        <f>'19_Расчет_аналитики'!BI2650</f>
        <v/>
      </c>
    </row>
    <row r="2784"/>
    <row r="2785">
      <c r="B2785">
        <f>SUM('19_Расчет_аналитики'!B2775:B2782)+'02_Модель'!B66</f>
        <v/>
      </c>
      <c r="C2785">
        <f>SUM('19_Расчет_аналитики'!C2775:C2782)+'02_Модель'!C66</f>
        <v/>
      </c>
      <c r="D2785">
        <f>SUM('19_Расчет_аналитики'!D2775:D2782)+'02_Модель'!D66</f>
        <v/>
      </c>
      <c r="E2785">
        <f>SUM('19_Расчет_аналитики'!E2775:E2782)+'02_Модель'!E66</f>
        <v/>
      </c>
      <c r="F2785">
        <f>SUM('19_Расчет_аналитики'!F2775:F2782)+'02_Модель'!F66</f>
        <v/>
      </c>
      <c r="G2785">
        <f>SUM('19_Расчет_аналитики'!G2775:G2782)+'02_Модель'!G66</f>
        <v/>
      </c>
      <c r="H2785">
        <f>SUM('19_Расчет_аналитики'!H2775:H2782)+'02_Модель'!H66</f>
        <v/>
      </c>
      <c r="I2785">
        <f>SUM('19_Расчет_аналитики'!I2775:I2782)+'02_Модель'!I66</f>
        <v/>
      </c>
      <c r="J2785">
        <f>SUM('19_Расчет_аналитики'!J2775:J2782)+'02_Модель'!J66</f>
        <v/>
      </c>
      <c r="K2785">
        <f>SUM('19_Расчет_аналитики'!K2775:K2782)+'02_Модель'!K66</f>
        <v/>
      </c>
      <c r="L2785">
        <f>SUM('19_Расчет_аналитики'!L2775:L2782)+'02_Модель'!L66</f>
        <v/>
      </c>
      <c r="M2785">
        <f>SUM('19_Расчет_аналитики'!M2775:M2782)+'02_Модель'!M66</f>
        <v/>
      </c>
      <c r="N2785">
        <f>SUM('19_Расчет_аналитики'!N2775:N2782)+'02_Модель'!N66</f>
        <v/>
      </c>
      <c r="O2785">
        <f>SUM('19_Расчет_аналитики'!O2775:O2782)+'02_Модель'!O66</f>
        <v/>
      </c>
      <c r="P2785">
        <f>SUM('19_Расчет_аналитики'!P2775:P2782)+'02_Модель'!P66</f>
        <v/>
      </c>
      <c r="Q2785">
        <f>SUM('19_Расчет_аналитики'!Q2775:Q2782)+'02_Модель'!Q66</f>
        <v/>
      </c>
      <c r="R2785">
        <f>SUM('19_Расчет_аналитики'!R2775:R2782)+'02_Модель'!R66</f>
        <v/>
      </c>
      <c r="S2785">
        <f>SUM('19_Расчет_аналитики'!S2775:S2782)+'02_Модель'!S66</f>
        <v/>
      </c>
      <c r="T2785">
        <f>SUM('19_Расчет_аналитики'!T2775:T2782)+'02_Модель'!T66</f>
        <v/>
      </c>
      <c r="U2785">
        <f>SUM('19_Расчет_аналитики'!U2775:U2782)+'02_Модель'!U66</f>
        <v/>
      </c>
      <c r="V2785">
        <f>SUM('19_Расчет_аналитики'!V2775:V2782)+'02_Модель'!V66</f>
        <v/>
      </c>
      <c r="W2785">
        <f>SUM('19_Расчет_аналитики'!W2775:W2782)+'02_Модель'!W66</f>
        <v/>
      </c>
      <c r="X2785">
        <f>SUM('19_Расчет_аналитики'!X2775:X2782)+'02_Модель'!X66</f>
        <v/>
      </c>
      <c r="Y2785">
        <f>SUM('19_Расчет_аналитики'!Y2775:Y2782)+'02_Модель'!Y66</f>
        <v/>
      </c>
      <c r="Z2785">
        <f>SUM('19_Расчет_аналитики'!Z2775:Z2782)+'02_Модель'!Z66</f>
        <v/>
      </c>
      <c r="AA2785">
        <f>SUM('19_Расчет_аналитики'!AA2775:AA2782)+'02_Модель'!AA66</f>
        <v/>
      </c>
      <c r="AB2785">
        <f>SUM('19_Расчет_аналитики'!AB2775:AB2782)+'02_Модель'!AB66</f>
        <v/>
      </c>
      <c r="AC2785">
        <f>SUM('19_Расчет_аналитики'!AC2775:AC2782)+'02_Модель'!AC66</f>
        <v/>
      </c>
      <c r="AD2785">
        <f>SUM('19_Расчет_аналитики'!AD2775:AD2782)+'02_Модель'!AD66</f>
        <v/>
      </c>
      <c r="AE2785">
        <f>SUM('19_Расчет_аналитики'!AE2775:AE2782)+'02_Модель'!AE66</f>
        <v/>
      </c>
      <c r="AF2785">
        <f>SUM('19_Расчет_аналитики'!AF2775:AF2782)+'02_Модель'!AF66</f>
        <v/>
      </c>
      <c r="AG2785">
        <f>SUM('19_Расчет_аналитики'!AG2775:AG2782)+'02_Модель'!AG66</f>
        <v/>
      </c>
      <c r="AH2785">
        <f>SUM('19_Расчет_аналитики'!AH2775:AH2782)+'02_Модель'!AH66</f>
        <v/>
      </c>
      <c r="AI2785">
        <f>SUM('19_Расчет_аналитики'!AI2775:AI2782)+'02_Модель'!AI66</f>
        <v/>
      </c>
      <c r="AJ2785">
        <f>SUM('19_Расчет_аналитики'!AJ2775:AJ2782)+'02_Модель'!AJ66</f>
        <v/>
      </c>
      <c r="AK2785">
        <f>SUM('19_Расчет_аналитики'!AK2775:AK2782)+'02_Модель'!AK66</f>
        <v/>
      </c>
      <c r="AL2785">
        <f>SUM('19_Расчет_аналитики'!AL2775:AL2782)+'02_Модель'!AL66</f>
        <v/>
      </c>
      <c r="AM2785">
        <f>SUM('19_Расчет_аналитики'!AM2775:AM2782)+'02_Модель'!AM66</f>
        <v/>
      </c>
      <c r="AN2785">
        <f>SUM('19_Расчет_аналитики'!AN2775:AN2782)+'02_Модель'!AN66</f>
        <v/>
      </c>
      <c r="AO2785">
        <f>SUM('19_Расчет_аналитики'!AO2775:AO2782)+'02_Модель'!AO66</f>
        <v/>
      </c>
      <c r="AP2785">
        <f>SUM('19_Расчет_аналитики'!AP2775:AP2782)+'02_Модель'!AP66</f>
        <v/>
      </c>
      <c r="AQ2785">
        <f>SUM('19_Расчет_аналитики'!AQ2775:AQ2782)+'02_Модель'!AQ66</f>
        <v/>
      </c>
      <c r="AR2785">
        <f>SUM('19_Расчет_аналитики'!AR2775:AR2782)+'02_Модель'!AR66</f>
        <v/>
      </c>
      <c r="AS2785">
        <f>SUM('19_Расчет_аналитики'!AS2775:AS2782)+'02_Модель'!AS66</f>
        <v/>
      </c>
      <c r="AT2785">
        <f>SUM('19_Расчет_аналитики'!AT2775:AT2782)+'02_Модель'!AT66</f>
        <v/>
      </c>
      <c r="AU2785">
        <f>SUM('19_Расчет_аналитики'!AU2775:AU2782)+'02_Модель'!AU66</f>
        <v/>
      </c>
      <c r="AV2785">
        <f>SUM('19_Расчет_аналитики'!AV2775:AV2782)+'02_Модель'!AV66</f>
        <v/>
      </c>
      <c r="AW2785">
        <f>SUM('19_Расчет_аналитики'!AW2775:AW2782)+'02_Модель'!AW66</f>
        <v/>
      </c>
      <c r="AX2785">
        <f>SUM('19_Расчет_аналитики'!AX2775:AX2782)+'02_Модель'!AX66</f>
        <v/>
      </c>
      <c r="AY2785">
        <f>SUM('19_Расчет_аналитики'!AY2775:AY2782)+'02_Модель'!AY66</f>
        <v/>
      </c>
      <c r="AZ2785">
        <f>SUM('19_Расчет_аналитики'!AZ2775:AZ2782)+'02_Модель'!AZ66</f>
        <v/>
      </c>
      <c r="BA2785">
        <f>SUM('19_Расчет_аналитики'!BA2775:BA2782)+'02_Модель'!BA66</f>
        <v/>
      </c>
      <c r="BB2785">
        <f>SUM('19_Расчет_аналитики'!BB2775:BB2782)+'02_Модель'!BB66</f>
        <v/>
      </c>
      <c r="BC2785">
        <f>SUM('19_Расчет_аналитики'!BC2775:BC2782)+'02_Модель'!BC66</f>
        <v/>
      </c>
      <c r="BD2785">
        <f>SUM('19_Расчет_аналитики'!BD2775:BD2782)+'02_Модель'!BD66</f>
        <v/>
      </c>
      <c r="BE2785">
        <f>SUM('19_Расчет_аналитики'!BE2775:BE2782)+'02_Модель'!BE66</f>
        <v/>
      </c>
      <c r="BF2785">
        <f>SUM('19_Расчет_аналитики'!BF2775:BF2782)+'02_Модель'!BF66</f>
        <v/>
      </c>
      <c r="BG2785">
        <f>SUM('19_Расчет_аналитики'!BG2775:BG2782)+'02_Модель'!BG66</f>
        <v/>
      </c>
      <c r="BH2785">
        <f>SUM('19_Расчет_аналитики'!BH2775:BH2782)+'02_Модель'!BH66</f>
        <v/>
      </c>
      <c r="BI2785">
        <f>SUM('19_Расчет_аналитики'!BI2775:BI2782)+'02_Модель'!BI66</f>
        <v/>
      </c>
    </row>
    <row r="2786">
      <c r="B2786">
        <f>'19_Расчет_аналитики'!B2774-'19_Расчет_аналитики'!B2785</f>
        <v/>
      </c>
      <c r="C2786">
        <f>'19_Расчет_аналитики'!C2774-'19_Расчет_аналитики'!C2785</f>
        <v/>
      </c>
      <c r="D2786">
        <f>'19_Расчет_аналитики'!D2774-'19_Расчет_аналитики'!D2785</f>
        <v/>
      </c>
      <c r="E2786">
        <f>'19_Расчет_аналитики'!E2774-'19_Расчет_аналитики'!E2785</f>
        <v/>
      </c>
      <c r="F2786">
        <f>'19_Расчет_аналитики'!F2774-'19_Расчет_аналитики'!F2785</f>
        <v/>
      </c>
      <c r="G2786">
        <f>'19_Расчет_аналитики'!G2774-'19_Расчет_аналитики'!G2785</f>
        <v/>
      </c>
      <c r="H2786">
        <f>'19_Расчет_аналитики'!H2774-'19_Расчет_аналитики'!H2785</f>
        <v/>
      </c>
      <c r="I2786">
        <f>'19_Расчет_аналитики'!I2774-'19_Расчет_аналитики'!I2785</f>
        <v/>
      </c>
      <c r="J2786">
        <f>'19_Расчет_аналитики'!J2774-'19_Расчет_аналитики'!J2785</f>
        <v/>
      </c>
      <c r="K2786">
        <f>'19_Расчет_аналитики'!K2774-'19_Расчет_аналитики'!K2785</f>
        <v/>
      </c>
      <c r="L2786">
        <f>'19_Расчет_аналитики'!L2774-'19_Расчет_аналитики'!L2785</f>
        <v/>
      </c>
      <c r="M2786">
        <f>'19_Расчет_аналитики'!M2774-'19_Расчет_аналитики'!M2785</f>
        <v/>
      </c>
      <c r="N2786">
        <f>'19_Расчет_аналитики'!N2774-'19_Расчет_аналитики'!N2785</f>
        <v/>
      </c>
      <c r="O2786">
        <f>'19_Расчет_аналитики'!O2774-'19_Расчет_аналитики'!O2785</f>
        <v/>
      </c>
      <c r="P2786">
        <f>'19_Расчет_аналитики'!P2774-'19_Расчет_аналитики'!P2785</f>
        <v/>
      </c>
      <c r="Q2786">
        <f>'19_Расчет_аналитики'!Q2774-'19_Расчет_аналитики'!Q2785</f>
        <v/>
      </c>
      <c r="R2786">
        <f>'19_Расчет_аналитики'!R2774-'19_Расчет_аналитики'!R2785</f>
        <v/>
      </c>
      <c r="S2786">
        <f>'19_Расчет_аналитики'!S2774-'19_Расчет_аналитики'!S2785</f>
        <v/>
      </c>
      <c r="T2786">
        <f>'19_Расчет_аналитики'!T2774-'19_Расчет_аналитики'!T2785</f>
        <v/>
      </c>
      <c r="U2786">
        <f>'19_Расчет_аналитики'!U2774-'19_Расчет_аналитики'!U2785</f>
        <v/>
      </c>
      <c r="V2786">
        <f>'19_Расчет_аналитики'!V2774-'19_Расчет_аналитики'!V2785</f>
        <v/>
      </c>
      <c r="W2786">
        <f>'19_Расчет_аналитики'!W2774-'19_Расчет_аналитики'!W2785</f>
        <v/>
      </c>
      <c r="X2786">
        <f>'19_Расчет_аналитики'!X2774-'19_Расчет_аналитики'!X2785</f>
        <v/>
      </c>
      <c r="Y2786">
        <f>'19_Расчет_аналитики'!Y2774-'19_Расчет_аналитики'!Y2785</f>
        <v/>
      </c>
      <c r="Z2786">
        <f>'19_Расчет_аналитики'!Z2774-'19_Расчет_аналитики'!Z2785</f>
        <v/>
      </c>
      <c r="AA2786">
        <f>'19_Расчет_аналитики'!AA2774-'19_Расчет_аналитики'!AA2785</f>
        <v/>
      </c>
      <c r="AB2786">
        <f>'19_Расчет_аналитики'!AB2774-'19_Расчет_аналитики'!AB2785</f>
        <v/>
      </c>
      <c r="AC2786">
        <f>'19_Расчет_аналитики'!AC2774-'19_Расчет_аналитики'!AC2785</f>
        <v/>
      </c>
      <c r="AD2786">
        <f>'19_Расчет_аналитики'!AD2774-'19_Расчет_аналитики'!AD2785</f>
        <v/>
      </c>
      <c r="AE2786">
        <f>'19_Расчет_аналитики'!AE2774-'19_Расчет_аналитики'!AE2785</f>
        <v/>
      </c>
      <c r="AF2786">
        <f>'19_Расчет_аналитики'!AF2774-'19_Расчет_аналитики'!AF2785</f>
        <v/>
      </c>
      <c r="AG2786">
        <f>'19_Расчет_аналитики'!AG2774-'19_Расчет_аналитики'!AG2785</f>
        <v/>
      </c>
      <c r="AH2786">
        <f>'19_Расчет_аналитики'!AH2774-'19_Расчет_аналитики'!AH2785</f>
        <v/>
      </c>
      <c r="AI2786">
        <f>'19_Расчет_аналитики'!AI2774-'19_Расчет_аналитики'!AI2785</f>
        <v/>
      </c>
      <c r="AJ2786">
        <f>'19_Расчет_аналитики'!AJ2774-'19_Расчет_аналитики'!AJ2785</f>
        <v/>
      </c>
      <c r="AK2786">
        <f>'19_Расчет_аналитики'!AK2774-'19_Расчет_аналитики'!AK2785</f>
        <v/>
      </c>
      <c r="AL2786">
        <f>'19_Расчет_аналитики'!AL2774-'19_Расчет_аналитики'!AL2785</f>
        <v/>
      </c>
      <c r="AM2786">
        <f>'19_Расчет_аналитики'!AM2774-'19_Расчет_аналитики'!AM2785</f>
        <v/>
      </c>
      <c r="AN2786">
        <f>'19_Расчет_аналитики'!AN2774-'19_Расчет_аналитики'!AN2785</f>
        <v/>
      </c>
      <c r="AO2786">
        <f>'19_Расчет_аналитики'!AO2774-'19_Расчет_аналитики'!AO2785</f>
        <v/>
      </c>
      <c r="AP2786">
        <f>'19_Расчет_аналитики'!AP2774-'19_Расчет_аналитики'!AP2785</f>
        <v/>
      </c>
      <c r="AQ2786">
        <f>'19_Расчет_аналитики'!AQ2774-'19_Расчет_аналитики'!AQ2785</f>
        <v/>
      </c>
      <c r="AR2786">
        <f>'19_Расчет_аналитики'!AR2774-'19_Расчет_аналитики'!AR2785</f>
        <v/>
      </c>
      <c r="AS2786">
        <f>'19_Расчет_аналитики'!AS2774-'19_Расчет_аналитики'!AS2785</f>
        <v/>
      </c>
      <c r="AT2786">
        <f>'19_Расчет_аналитики'!AT2774-'19_Расчет_аналитики'!AT2785</f>
        <v/>
      </c>
      <c r="AU2786">
        <f>'19_Расчет_аналитики'!AU2774-'19_Расчет_аналитики'!AU2785</f>
        <v/>
      </c>
      <c r="AV2786">
        <f>'19_Расчет_аналитики'!AV2774-'19_Расчет_аналитики'!AV2785</f>
        <v/>
      </c>
      <c r="AW2786">
        <f>'19_Расчет_аналитики'!AW2774-'19_Расчет_аналитики'!AW2785</f>
        <v/>
      </c>
      <c r="AX2786">
        <f>'19_Расчет_аналитики'!AX2774-'19_Расчет_аналитики'!AX2785</f>
        <v/>
      </c>
      <c r="AY2786">
        <f>'19_Расчет_аналитики'!AY2774-'19_Расчет_аналитики'!AY2785</f>
        <v/>
      </c>
      <c r="AZ2786">
        <f>'19_Расчет_аналитики'!AZ2774-'19_Расчет_аналитики'!AZ2785</f>
        <v/>
      </c>
      <c r="BA2786">
        <f>'19_Расчет_аналитики'!BA2774-'19_Расчет_аналитики'!BA2785</f>
        <v/>
      </c>
      <c r="BB2786">
        <f>'19_Расчет_аналитики'!BB2774-'19_Расчет_аналитики'!BB2785</f>
        <v/>
      </c>
      <c r="BC2786">
        <f>'19_Расчет_аналитики'!BC2774-'19_Расчет_аналитики'!BC2785</f>
        <v/>
      </c>
      <c r="BD2786">
        <f>'19_Расчет_аналитики'!BD2774-'19_Расчет_аналитики'!BD2785</f>
        <v/>
      </c>
      <c r="BE2786">
        <f>'19_Расчет_аналитики'!BE2774-'19_Расчет_аналитики'!BE2785</f>
        <v/>
      </c>
      <c r="BF2786">
        <f>'19_Расчет_аналитики'!BF2774-'19_Расчет_аналитики'!BF2785</f>
        <v/>
      </c>
      <c r="BG2786">
        <f>'19_Расчет_аналитики'!BG2774-'19_Расчет_аналитики'!BG2785</f>
        <v/>
      </c>
      <c r="BH2786">
        <f>'19_Расчет_аналитики'!BH2774-'19_Расчет_аналитики'!BH2785</f>
        <v/>
      </c>
      <c r="BI2786">
        <f>'19_Расчет_аналитики'!BI2774-'19_Расчет_аналитики'!BI2785</f>
        <v/>
      </c>
    </row>
    <row r="2787">
      <c r="B2787">
        <f>'02_Модель'!B51+'19_Расчет_аналитики'!B2786</f>
        <v/>
      </c>
      <c r="C2787">
        <f>'19_Расчет_аналитики'!C2769+'19_Расчет_аналитики'!C2786</f>
        <v/>
      </c>
      <c r="D2787">
        <f>'19_Расчет_аналитики'!D2769+'19_Расчет_аналитики'!D2786</f>
        <v/>
      </c>
      <c r="E2787">
        <f>'19_Расчет_аналитики'!E2769+'19_Расчет_аналитики'!E2786</f>
        <v/>
      </c>
      <c r="F2787">
        <f>'19_Расчет_аналитики'!F2769+'19_Расчет_аналитики'!F2786</f>
        <v/>
      </c>
      <c r="G2787">
        <f>'19_Расчет_аналитики'!G2769+'19_Расчет_аналитики'!G2786</f>
        <v/>
      </c>
      <c r="H2787">
        <f>'19_Расчет_аналитики'!H2769+'19_Расчет_аналитики'!H2786</f>
        <v/>
      </c>
      <c r="I2787">
        <f>'19_Расчет_аналитики'!I2769+'19_Расчет_аналитики'!I2786</f>
        <v/>
      </c>
      <c r="J2787">
        <f>'19_Расчет_аналитики'!J2769+'19_Расчет_аналитики'!J2786</f>
        <v/>
      </c>
      <c r="K2787">
        <f>'19_Расчет_аналитики'!K2769+'19_Расчет_аналитики'!K2786</f>
        <v/>
      </c>
      <c r="L2787">
        <f>'19_Расчет_аналитики'!L2769+'19_Расчет_аналитики'!L2786</f>
        <v/>
      </c>
      <c r="M2787">
        <f>'19_Расчет_аналитики'!M2769+'19_Расчет_аналитики'!M2786</f>
        <v/>
      </c>
      <c r="N2787">
        <f>'19_Расчет_аналитики'!N2769+'19_Расчет_аналитики'!N2786</f>
        <v/>
      </c>
      <c r="O2787">
        <f>'19_Расчет_аналитики'!O2769+'19_Расчет_аналитики'!O2786</f>
        <v/>
      </c>
      <c r="P2787">
        <f>'19_Расчет_аналитики'!P2769+'19_Расчет_аналитики'!P2786</f>
        <v/>
      </c>
      <c r="Q2787">
        <f>'19_Расчет_аналитики'!Q2769+'19_Расчет_аналитики'!Q2786</f>
        <v/>
      </c>
      <c r="R2787">
        <f>'19_Расчет_аналитики'!R2769+'19_Расчет_аналитики'!R2786</f>
        <v/>
      </c>
      <c r="S2787">
        <f>'19_Расчет_аналитики'!S2769+'19_Расчет_аналитики'!S2786</f>
        <v/>
      </c>
      <c r="T2787">
        <f>'19_Расчет_аналитики'!T2769+'19_Расчет_аналитики'!T2786</f>
        <v/>
      </c>
      <c r="U2787">
        <f>'19_Расчет_аналитики'!U2769+'19_Расчет_аналитики'!U2786</f>
        <v/>
      </c>
      <c r="V2787">
        <f>'19_Расчет_аналитики'!V2769+'19_Расчет_аналитики'!V2786</f>
        <v/>
      </c>
      <c r="W2787">
        <f>'19_Расчет_аналитики'!W2769+'19_Расчет_аналитики'!W2786</f>
        <v/>
      </c>
      <c r="X2787">
        <f>'19_Расчет_аналитики'!X2769+'19_Расчет_аналитики'!X2786</f>
        <v/>
      </c>
      <c r="Y2787">
        <f>'19_Расчет_аналитики'!Y2769+'19_Расчет_аналитики'!Y2786</f>
        <v/>
      </c>
      <c r="Z2787">
        <f>'19_Расчет_аналитики'!Z2769+'19_Расчет_аналитики'!Z2786</f>
        <v/>
      </c>
      <c r="AA2787">
        <f>'19_Расчет_аналитики'!AA2769+'19_Расчет_аналитики'!AA2786</f>
        <v/>
      </c>
      <c r="AB2787">
        <f>'19_Расчет_аналитики'!AB2769+'19_Расчет_аналитики'!AB2786</f>
        <v/>
      </c>
      <c r="AC2787">
        <f>'19_Расчет_аналитики'!AC2769+'19_Расчет_аналитики'!AC2786</f>
        <v/>
      </c>
      <c r="AD2787">
        <f>'19_Расчет_аналитики'!AD2769+'19_Расчет_аналитики'!AD2786</f>
        <v/>
      </c>
      <c r="AE2787">
        <f>'19_Расчет_аналитики'!AE2769+'19_Расчет_аналитики'!AE2786</f>
        <v/>
      </c>
      <c r="AF2787">
        <f>'19_Расчет_аналитики'!AF2769+'19_Расчет_аналитики'!AF2786</f>
        <v/>
      </c>
      <c r="AG2787">
        <f>'19_Расчет_аналитики'!AG2769+'19_Расчет_аналитики'!AG2786</f>
        <v/>
      </c>
      <c r="AH2787">
        <f>'19_Расчет_аналитики'!AH2769+'19_Расчет_аналитики'!AH2786</f>
        <v/>
      </c>
      <c r="AI2787">
        <f>'19_Расчет_аналитики'!AI2769+'19_Расчет_аналитики'!AI2786</f>
        <v/>
      </c>
      <c r="AJ2787">
        <f>'19_Расчет_аналитики'!AJ2769+'19_Расчет_аналитики'!AJ2786</f>
        <v/>
      </c>
      <c r="AK2787">
        <f>'19_Расчет_аналитики'!AK2769+'19_Расчет_аналитики'!AK2786</f>
        <v/>
      </c>
      <c r="AL2787">
        <f>'19_Расчет_аналитики'!AL2769+'19_Расчет_аналитики'!AL2786</f>
        <v/>
      </c>
      <c r="AM2787">
        <f>'19_Расчет_аналитики'!AM2769+'19_Расчет_аналитики'!AM2786</f>
        <v/>
      </c>
      <c r="AN2787">
        <f>'19_Расчет_аналитики'!AN2769+'19_Расчет_аналитики'!AN2786</f>
        <v/>
      </c>
      <c r="AO2787">
        <f>'19_Расчет_аналитики'!AO2769+'19_Расчет_аналитики'!AO2786</f>
        <v/>
      </c>
      <c r="AP2787">
        <f>'19_Расчет_аналитики'!AP2769+'19_Расчет_аналитики'!AP2786</f>
        <v/>
      </c>
      <c r="AQ2787">
        <f>'19_Расчет_аналитики'!AQ2769+'19_Расчет_аналитики'!AQ2786</f>
        <v/>
      </c>
      <c r="AR2787">
        <f>'19_Расчет_аналитики'!AR2769+'19_Расчет_аналитики'!AR2786</f>
        <v/>
      </c>
      <c r="AS2787">
        <f>'19_Расчет_аналитики'!AS2769+'19_Расчет_аналитики'!AS2786</f>
        <v/>
      </c>
      <c r="AT2787">
        <f>'19_Расчет_аналитики'!AT2769+'19_Расчет_аналитики'!AT2786</f>
        <v/>
      </c>
      <c r="AU2787">
        <f>'19_Расчет_аналитики'!AU2769+'19_Расчет_аналитики'!AU2786</f>
        <v/>
      </c>
      <c r="AV2787">
        <f>'19_Расчет_аналитики'!AV2769+'19_Расчет_аналитики'!AV2786</f>
        <v/>
      </c>
      <c r="AW2787">
        <f>'19_Расчет_аналитики'!AW2769+'19_Расчет_аналитики'!AW2786</f>
        <v/>
      </c>
      <c r="AX2787">
        <f>'19_Расчет_аналитики'!AX2769+'19_Расчет_аналитики'!AX2786</f>
        <v/>
      </c>
      <c r="AY2787">
        <f>'19_Расчет_аналитики'!AY2769+'19_Расчет_аналитики'!AY2786</f>
        <v/>
      </c>
      <c r="AZ2787">
        <f>'19_Расчет_аналитики'!AZ2769+'19_Расчет_аналитики'!AZ2786</f>
        <v/>
      </c>
      <c r="BA2787">
        <f>'19_Расчет_аналитики'!BA2769+'19_Расчет_аналитики'!BA2786</f>
        <v/>
      </c>
      <c r="BB2787">
        <f>'19_Расчет_аналитики'!BB2769+'19_Расчет_аналитики'!BB2786</f>
        <v/>
      </c>
      <c r="BC2787">
        <f>'19_Расчет_аналитики'!BC2769+'19_Расчет_аналитики'!BC2786</f>
        <v/>
      </c>
      <c r="BD2787">
        <f>'19_Расчет_аналитики'!BD2769+'19_Расчет_аналитики'!BD2786</f>
        <v/>
      </c>
      <c r="BE2787">
        <f>'19_Расчет_аналитики'!BE2769+'19_Расчет_аналитики'!BE2786</f>
        <v/>
      </c>
      <c r="BF2787">
        <f>'19_Расчет_аналитики'!BF2769+'19_Расчет_аналитики'!BF2786</f>
        <v/>
      </c>
      <c r="BG2787">
        <f>'19_Расчет_аналитики'!BG2769+'19_Расчет_аналитики'!BG2786</f>
        <v/>
      </c>
      <c r="BH2787">
        <f>'19_Расчет_аналитики'!BH2769+'19_Расчет_аналитики'!BH2786</f>
        <v/>
      </c>
      <c r="BI2787">
        <f>'19_Расчет_аналитики'!BI2769+'19_Расчет_аналитики'!BI2786</f>
        <v/>
      </c>
    </row>
    <row r="2788">
      <c r="B2788">
        <f>'19_Расчет_аналитики'!B2656</f>
        <v/>
      </c>
      <c r="C2788">
        <f>'19_Расчет_аналитики'!C2656</f>
        <v/>
      </c>
      <c r="D2788">
        <f>'19_Расчет_аналитики'!D2656</f>
        <v/>
      </c>
      <c r="E2788">
        <f>'19_Расчет_аналитики'!E2656</f>
        <v/>
      </c>
      <c r="F2788">
        <f>'19_Расчет_аналитики'!F2656</f>
        <v/>
      </c>
      <c r="G2788">
        <f>'19_Расчет_аналитики'!G2656</f>
        <v/>
      </c>
      <c r="H2788">
        <f>'19_Расчет_аналитики'!H2656</f>
        <v/>
      </c>
      <c r="I2788">
        <f>'19_Расчет_аналитики'!I2656</f>
        <v/>
      </c>
      <c r="J2788">
        <f>'19_Расчет_аналитики'!J2656</f>
        <v/>
      </c>
      <c r="K2788">
        <f>'19_Расчет_аналитики'!K2656</f>
        <v/>
      </c>
      <c r="L2788">
        <f>'19_Расчет_аналитики'!L2656</f>
        <v/>
      </c>
      <c r="M2788">
        <f>'19_Расчет_аналитики'!M2656</f>
        <v/>
      </c>
      <c r="N2788">
        <f>'19_Расчет_аналитики'!N2656</f>
        <v/>
      </c>
      <c r="O2788">
        <f>'19_Расчет_аналитики'!O2656</f>
        <v/>
      </c>
      <c r="P2788">
        <f>'19_Расчет_аналитики'!P2656</f>
        <v/>
      </c>
      <c r="Q2788">
        <f>'19_Расчет_аналитики'!Q2656</f>
        <v/>
      </c>
      <c r="R2788">
        <f>'19_Расчет_аналитики'!R2656</f>
        <v/>
      </c>
      <c r="S2788">
        <f>'19_Расчет_аналитики'!S2656</f>
        <v/>
      </c>
      <c r="T2788">
        <f>'19_Расчет_аналитики'!T2656</f>
        <v/>
      </c>
      <c r="U2788">
        <f>'19_Расчет_аналитики'!U2656</f>
        <v/>
      </c>
      <c r="V2788">
        <f>'19_Расчет_аналитики'!V2656</f>
        <v/>
      </c>
      <c r="W2788">
        <f>'19_Расчет_аналитики'!W2656</f>
        <v/>
      </c>
      <c r="X2788">
        <f>'19_Расчет_аналитики'!X2656</f>
        <v/>
      </c>
      <c r="Y2788">
        <f>'19_Расчет_аналитики'!Y2656</f>
        <v/>
      </c>
      <c r="Z2788">
        <f>'19_Расчет_аналитики'!Z2656</f>
        <v/>
      </c>
      <c r="AA2788">
        <f>'19_Расчет_аналитики'!AA2656</f>
        <v/>
      </c>
      <c r="AB2788">
        <f>'19_Расчет_аналитики'!AB2656</f>
        <v/>
      </c>
      <c r="AC2788">
        <f>'19_Расчет_аналитики'!AC2656</f>
        <v/>
      </c>
      <c r="AD2788">
        <f>'19_Расчет_аналитики'!AD2656</f>
        <v/>
      </c>
      <c r="AE2788">
        <f>'19_Расчет_аналитики'!AE2656</f>
        <v/>
      </c>
      <c r="AF2788">
        <f>'19_Расчет_аналитики'!AF2656</f>
        <v/>
      </c>
      <c r="AG2788">
        <f>'19_Расчет_аналитики'!AG2656</f>
        <v/>
      </c>
      <c r="AH2788">
        <f>'19_Расчет_аналитики'!AH2656</f>
        <v/>
      </c>
      <c r="AI2788">
        <f>'19_Расчет_аналитики'!AI2656</f>
        <v/>
      </c>
      <c r="AJ2788">
        <f>'19_Расчет_аналитики'!AJ2656</f>
        <v/>
      </c>
      <c r="AK2788">
        <f>'19_Расчет_аналитики'!AK2656</f>
        <v/>
      </c>
      <c r="AL2788">
        <f>'19_Расчет_аналитики'!AL2656</f>
        <v/>
      </c>
      <c r="AM2788">
        <f>'19_Расчет_аналитики'!AM2656</f>
        <v/>
      </c>
      <c r="AN2788">
        <f>'19_Расчет_аналитики'!AN2656</f>
        <v/>
      </c>
      <c r="AO2788">
        <f>'19_Расчет_аналитики'!AO2656</f>
        <v/>
      </c>
      <c r="AP2788">
        <f>'19_Расчет_аналитики'!AP2656</f>
        <v/>
      </c>
      <c r="AQ2788">
        <f>'19_Расчет_аналитики'!AQ2656</f>
        <v/>
      </c>
      <c r="AR2788">
        <f>'19_Расчет_аналитики'!AR2656</f>
        <v/>
      </c>
      <c r="AS2788">
        <f>'19_Расчет_аналитики'!AS2656</f>
        <v/>
      </c>
      <c r="AT2788">
        <f>'19_Расчет_аналитики'!AT2656</f>
        <v/>
      </c>
      <c r="AU2788">
        <f>'19_Расчет_аналитики'!AU2656</f>
        <v/>
      </c>
      <c r="AV2788">
        <f>'19_Расчет_аналитики'!AV2656</f>
        <v/>
      </c>
      <c r="AW2788">
        <f>'19_Расчет_аналитики'!AW2656</f>
        <v/>
      </c>
      <c r="AX2788">
        <f>'19_Расчет_аналитики'!AX2656</f>
        <v/>
      </c>
      <c r="AY2788">
        <f>'19_Расчет_аналитики'!AY2656</f>
        <v/>
      </c>
      <c r="AZ2788">
        <f>'19_Расчет_аналитики'!AZ2656</f>
        <v/>
      </c>
      <c r="BA2788">
        <f>'19_Расчет_аналитики'!BA2656</f>
        <v/>
      </c>
      <c r="BB2788">
        <f>'19_Расчет_аналитики'!BB2656</f>
        <v/>
      </c>
      <c r="BC2788">
        <f>'19_Расчет_аналитики'!BC2656</f>
        <v/>
      </c>
      <c r="BD2788">
        <f>'19_Расчет_аналитики'!BD2656</f>
        <v/>
      </c>
      <c r="BE2788">
        <f>'19_Расчет_аналитики'!BE2656</f>
        <v/>
      </c>
      <c r="BF2788">
        <f>'19_Расчет_аналитики'!BF2656</f>
        <v/>
      </c>
      <c r="BG2788">
        <f>'19_Расчет_аналитики'!BG2656</f>
        <v/>
      </c>
      <c r="BH2788">
        <f>'19_Расчет_аналитики'!BH2656</f>
        <v/>
      </c>
      <c r="BI2788">
        <f>'19_Расчет_аналитики'!BI2656</f>
        <v/>
      </c>
    </row>
    <row r="2789">
      <c r="B2789">
        <f>'19_Расчет_аналитики'!B2786-'19_Расчет_аналитики'!B2788</f>
        <v/>
      </c>
      <c r="C2789">
        <f>'19_Расчет_аналитики'!C2786-'19_Расчет_аналитики'!C2788</f>
        <v/>
      </c>
      <c r="D2789">
        <f>'19_Расчет_аналитики'!D2786-'19_Расчет_аналитики'!D2788</f>
        <v/>
      </c>
      <c r="E2789">
        <f>'19_Расчет_аналитики'!E2786-'19_Расчет_аналитики'!E2788</f>
        <v/>
      </c>
      <c r="F2789">
        <f>'19_Расчет_аналитики'!F2786-'19_Расчет_аналитики'!F2788</f>
        <v/>
      </c>
      <c r="G2789">
        <f>'19_Расчет_аналитики'!G2786-'19_Расчет_аналитики'!G2788</f>
        <v/>
      </c>
      <c r="H2789">
        <f>'19_Расчет_аналитики'!H2786-'19_Расчет_аналитики'!H2788</f>
        <v/>
      </c>
      <c r="I2789">
        <f>'19_Расчет_аналитики'!I2786-'19_Расчет_аналитики'!I2788</f>
        <v/>
      </c>
      <c r="J2789">
        <f>'19_Расчет_аналитики'!J2786-'19_Расчет_аналитики'!J2788</f>
        <v/>
      </c>
      <c r="K2789">
        <f>'19_Расчет_аналитики'!K2786-'19_Расчет_аналитики'!K2788</f>
        <v/>
      </c>
      <c r="L2789">
        <f>'19_Расчет_аналитики'!L2786-'19_Расчет_аналитики'!L2788</f>
        <v/>
      </c>
      <c r="M2789">
        <f>'19_Расчет_аналитики'!M2786-'19_Расчет_аналитики'!M2788</f>
        <v/>
      </c>
      <c r="N2789">
        <f>'19_Расчет_аналитики'!N2786-'19_Расчет_аналитики'!N2788</f>
        <v/>
      </c>
      <c r="O2789">
        <f>'19_Расчет_аналитики'!O2786-'19_Расчет_аналитики'!O2788</f>
        <v/>
      </c>
      <c r="P2789">
        <f>'19_Расчет_аналитики'!P2786-'19_Расчет_аналитики'!P2788</f>
        <v/>
      </c>
      <c r="Q2789">
        <f>'19_Расчет_аналитики'!Q2786-'19_Расчет_аналитики'!Q2788</f>
        <v/>
      </c>
      <c r="R2789">
        <f>'19_Расчет_аналитики'!R2786-'19_Расчет_аналитики'!R2788</f>
        <v/>
      </c>
      <c r="S2789">
        <f>'19_Расчет_аналитики'!S2786-'19_Расчет_аналитики'!S2788</f>
        <v/>
      </c>
      <c r="T2789">
        <f>'19_Расчет_аналитики'!T2786-'19_Расчет_аналитики'!T2788</f>
        <v/>
      </c>
      <c r="U2789">
        <f>'19_Расчет_аналитики'!U2786-'19_Расчет_аналитики'!U2788</f>
        <v/>
      </c>
      <c r="V2789">
        <f>'19_Расчет_аналитики'!V2786-'19_Расчет_аналитики'!V2788</f>
        <v/>
      </c>
      <c r="W2789">
        <f>'19_Расчет_аналитики'!W2786-'19_Расчет_аналитики'!W2788</f>
        <v/>
      </c>
      <c r="X2789">
        <f>'19_Расчет_аналитики'!X2786-'19_Расчет_аналитики'!X2788</f>
        <v/>
      </c>
      <c r="Y2789">
        <f>'19_Расчет_аналитики'!Y2786-'19_Расчет_аналитики'!Y2788</f>
        <v/>
      </c>
      <c r="Z2789">
        <f>'19_Расчет_аналитики'!Z2786-'19_Расчет_аналитики'!Z2788</f>
        <v/>
      </c>
      <c r="AA2789">
        <f>'19_Расчет_аналитики'!AA2786-'19_Расчет_аналитики'!AA2788</f>
        <v/>
      </c>
      <c r="AB2789">
        <f>'19_Расчет_аналитики'!AB2786-'19_Расчет_аналитики'!AB2788</f>
        <v/>
      </c>
      <c r="AC2789">
        <f>'19_Расчет_аналитики'!AC2786-'19_Расчет_аналитики'!AC2788</f>
        <v/>
      </c>
      <c r="AD2789">
        <f>'19_Расчет_аналитики'!AD2786-'19_Расчет_аналитики'!AD2788</f>
        <v/>
      </c>
      <c r="AE2789">
        <f>'19_Расчет_аналитики'!AE2786-'19_Расчет_аналитики'!AE2788</f>
        <v/>
      </c>
      <c r="AF2789">
        <f>'19_Расчет_аналитики'!AF2786-'19_Расчет_аналитики'!AF2788</f>
        <v/>
      </c>
      <c r="AG2789">
        <f>'19_Расчет_аналитики'!AG2786-'19_Расчет_аналитики'!AG2788</f>
        <v/>
      </c>
      <c r="AH2789">
        <f>'19_Расчет_аналитики'!AH2786-'19_Расчет_аналитики'!AH2788</f>
        <v/>
      </c>
      <c r="AI2789">
        <f>'19_Расчет_аналитики'!AI2786-'19_Расчет_аналитики'!AI2788</f>
        <v/>
      </c>
      <c r="AJ2789">
        <f>'19_Расчет_аналитики'!AJ2786-'19_Расчет_аналитики'!AJ2788</f>
        <v/>
      </c>
      <c r="AK2789">
        <f>'19_Расчет_аналитики'!AK2786-'19_Расчет_аналитики'!AK2788</f>
        <v/>
      </c>
      <c r="AL2789">
        <f>'19_Расчет_аналитики'!AL2786-'19_Расчет_аналитики'!AL2788</f>
        <v/>
      </c>
      <c r="AM2789">
        <f>'19_Расчет_аналитики'!AM2786-'19_Расчет_аналитики'!AM2788</f>
        <v/>
      </c>
      <c r="AN2789">
        <f>'19_Расчет_аналитики'!AN2786-'19_Расчет_аналитики'!AN2788</f>
        <v/>
      </c>
      <c r="AO2789">
        <f>'19_Расчет_аналитики'!AO2786-'19_Расчет_аналитики'!AO2788</f>
        <v/>
      </c>
      <c r="AP2789">
        <f>'19_Расчет_аналитики'!AP2786-'19_Расчет_аналитики'!AP2788</f>
        <v/>
      </c>
      <c r="AQ2789">
        <f>'19_Расчет_аналитики'!AQ2786-'19_Расчет_аналитики'!AQ2788</f>
        <v/>
      </c>
      <c r="AR2789">
        <f>'19_Расчет_аналитики'!AR2786-'19_Расчет_аналитики'!AR2788</f>
        <v/>
      </c>
      <c r="AS2789">
        <f>'19_Расчет_аналитики'!AS2786-'19_Расчет_аналитики'!AS2788</f>
        <v/>
      </c>
      <c r="AT2789">
        <f>'19_Расчет_аналитики'!AT2786-'19_Расчет_аналитики'!AT2788</f>
        <v/>
      </c>
      <c r="AU2789">
        <f>'19_Расчет_аналитики'!AU2786-'19_Расчет_аналитики'!AU2788</f>
        <v/>
      </c>
      <c r="AV2789">
        <f>'19_Расчет_аналитики'!AV2786-'19_Расчет_аналитики'!AV2788</f>
        <v/>
      </c>
      <c r="AW2789">
        <f>'19_Расчет_аналитики'!AW2786-'19_Расчет_аналитики'!AW2788</f>
        <v/>
      </c>
      <c r="AX2789">
        <f>'19_Расчет_аналитики'!AX2786-'19_Расчет_аналитики'!AX2788</f>
        <v/>
      </c>
      <c r="AY2789">
        <f>'19_Расчет_аналитики'!AY2786-'19_Расчет_аналитики'!AY2788</f>
        <v/>
      </c>
      <c r="AZ2789">
        <f>'19_Расчет_аналитики'!AZ2786-'19_Расчет_аналитики'!AZ2788</f>
        <v/>
      </c>
      <c r="BA2789">
        <f>'19_Расчет_аналитики'!BA2786-'19_Расчет_аналитики'!BA2788</f>
        <v/>
      </c>
      <c r="BB2789">
        <f>'19_Расчет_аналитики'!BB2786-'19_Расчет_аналитики'!BB2788</f>
        <v/>
      </c>
      <c r="BC2789">
        <f>'19_Расчет_аналитики'!BC2786-'19_Расчет_аналитики'!BC2788</f>
        <v/>
      </c>
      <c r="BD2789">
        <f>'19_Расчет_аналитики'!BD2786-'19_Расчет_аналитики'!BD2788</f>
        <v/>
      </c>
      <c r="BE2789">
        <f>'19_Расчет_аналитики'!BE2786-'19_Расчет_аналитики'!BE2788</f>
        <v/>
      </c>
      <c r="BF2789">
        <f>'19_Расчет_аналитики'!BF2786-'19_Расчет_аналитики'!BF2788</f>
        <v/>
      </c>
      <c r="BG2789">
        <f>'19_Расчет_аналитики'!BG2786-'19_Расчет_аналитики'!BG2788</f>
        <v/>
      </c>
      <c r="BH2789">
        <f>'19_Расчет_аналитики'!BH2786-'19_Расчет_аналитики'!BH2788</f>
        <v/>
      </c>
      <c r="BI2789">
        <f>'19_Расчет_аналитики'!BI2786-'19_Расчет_аналитики'!BI2788</f>
        <v/>
      </c>
    </row>
    <row r="2790">
      <c r="B2790">
        <f>'02_Модель'!B51+'19_Расчет_аналитики'!B2789</f>
        <v/>
      </c>
      <c r="C2790">
        <f>'19_Расчет_аналитики'!C2769+'19_Расчет_аналитики'!C2789</f>
        <v/>
      </c>
      <c r="D2790">
        <f>'19_Расчет_аналитики'!D2769+'19_Расчет_аналитики'!D2789</f>
        <v/>
      </c>
      <c r="E2790">
        <f>'19_Расчет_аналитики'!E2769+'19_Расчет_аналитики'!E2789</f>
        <v/>
      </c>
      <c r="F2790">
        <f>'19_Расчет_аналитики'!F2769+'19_Расчет_аналитики'!F2789</f>
        <v/>
      </c>
      <c r="G2790">
        <f>'19_Расчет_аналитики'!G2769+'19_Расчет_аналитики'!G2789</f>
        <v/>
      </c>
      <c r="H2790">
        <f>'19_Расчет_аналитики'!H2769+'19_Расчет_аналитики'!H2789</f>
        <v/>
      </c>
      <c r="I2790">
        <f>'19_Расчет_аналитики'!I2769+'19_Расчет_аналитики'!I2789</f>
        <v/>
      </c>
      <c r="J2790">
        <f>'19_Расчет_аналитики'!J2769+'19_Расчет_аналитики'!J2789</f>
        <v/>
      </c>
      <c r="K2790">
        <f>'19_Расчет_аналитики'!K2769+'19_Расчет_аналитики'!K2789</f>
        <v/>
      </c>
      <c r="L2790">
        <f>'19_Расчет_аналитики'!L2769+'19_Расчет_аналитики'!L2789</f>
        <v/>
      </c>
      <c r="M2790">
        <f>'19_Расчет_аналитики'!M2769+'19_Расчет_аналитики'!M2789</f>
        <v/>
      </c>
      <c r="N2790">
        <f>'19_Расчет_аналитики'!N2769+'19_Расчет_аналитики'!N2789</f>
        <v/>
      </c>
      <c r="O2790">
        <f>'19_Расчет_аналитики'!O2769+'19_Расчет_аналитики'!O2789</f>
        <v/>
      </c>
      <c r="P2790">
        <f>'19_Расчет_аналитики'!P2769+'19_Расчет_аналитики'!P2789</f>
        <v/>
      </c>
      <c r="Q2790">
        <f>'19_Расчет_аналитики'!Q2769+'19_Расчет_аналитики'!Q2789</f>
        <v/>
      </c>
      <c r="R2790">
        <f>'19_Расчет_аналитики'!R2769+'19_Расчет_аналитики'!R2789</f>
        <v/>
      </c>
      <c r="S2790">
        <f>'19_Расчет_аналитики'!S2769+'19_Расчет_аналитики'!S2789</f>
        <v/>
      </c>
      <c r="T2790">
        <f>'19_Расчет_аналитики'!T2769+'19_Расчет_аналитики'!T2789</f>
        <v/>
      </c>
      <c r="U2790">
        <f>'19_Расчет_аналитики'!U2769+'19_Расчет_аналитики'!U2789</f>
        <v/>
      </c>
      <c r="V2790">
        <f>'19_Расчет_аналитики'!V2769+'19_Расчет_аналитики'!V2789</f>
        <v/>
      </c>
      <c r="W2790">
        <f>'19_Расчет_аналитики'!W2769+'19_Расчет_аналитики'!W2789</f>
        <v/>
      </c>
      <c r="X2790">
        <f>'19_Расчет_аналитики'!X2769+'19_Расчет_аналитики'!X2789</f>
        <v/>
      </c>
      <c r="Y2790">
        <f>'19_Расчет_аналитики'!Y2769+'19_Расчет_аналитики'!Y2789</f>
        <v/>
      </c>
      <c r="Z2790">
        <f>'19_Расчет_аналитики'!Z2769+'19_Расчет_аналитики'!Z2789</f>
        <v/>
      </c>
      <c r="AA2790">
        <f>'19_Расчет_аналитики'!AA2769+'19_Расчет_аналитики'!AA2789</f>
        <v/>
      </c>
      <c r="AB2790">
        <f>'19_Расчет_аналитики'!AB2769+'19_Расчет_аналитики'!AB2789</f>
        <v/>
      </c>
      <c r="AC2790">
        <f>'19_Расчет_аналитики'!AC2769+'19_Расчет_аналитики'!AC2789</f>
        <v/>
      </c>
      <c r="AD2790">
        <f>'19_Расчет_аналитики'!AD2769+'19_Расчет_аналитики'!AD2789</f>
        <v/>
      </c>
      <c r="AE2790">
        <f>'19_Расчет_аналитики'!AE2769+'19_Расчет_аналитики'!AE2789</f>
        <v/>
      </c>
      <c r="AF2790">
        <f>'19_Расчет_аналитики'!AF2769+'19_Расчет_аналитики'!AF2789</f>
        <v/>
      </c>
      <c r="AG2790">
        <f>'19_Расчет_аналитики'!AG2769+'19_Расчет_аналитики'!AG2789</f>
        <v/>
      </c>
      <c r="AH2790">
        <f>'19_Расчет_аналитики'!AH2769+'19_Расчет_аналитики'!AH2789</f>
        <v/>
      </c>
      <c r="AI2790">
        <f>'19_Расчет_аналитики'!AI2769+'19_Расчет_аналитики'!AI2789</f>
        <v/>
      </c>
      <c r="AJ2790">
        <f>'19_Расчет_аналитики'!AJ2769+'19_Расчет_аналитики'!AJ2789</f>
        <v/>
      </c>
      <c r="AK2790">
        <f>'19_Расчет_аналитики'!AK2769+'19_Расчет_аналитики'!AK2789</f>
        <v/>
      </c>
      <c r="AL2790">
        <f>'19_Расчет_аналитики'!AL2769+'19_Расчет_аналитики'!AL2789</f>
        <v/>
      </c>
      <c r="AM2790">
        <f>'19_Расчет_аналитики'!AM2769+'19_Расчет_аналитики'!AM2789</f>
        <v/>
      </c>
      <c r="AN2790">
        <f>'19_Расчет_аналитики'!AN2769+'19_Расчет_аналитики'!AN2789</f>
        <v/>
      </c>
      <c r="AO2790">
        <f>'19_Расчет_аналитики'!AO2769+'19_Расчет_аналитики'!AO2789</f>
        <v/>
      </c>
      <c r="AP2790">
        <f>'19_Расчет_аналитики'!AP2769+'19_Расчет_аналитики'!AP2789</f>
        <v/>
      </c>
      <c r="AQ2790">
        <f>'19_Расчет_аналитики'!AQ2769+'19_Расчет_аналитики'!AQ2789</f>
        <v/>
      </c>
      <c r="AR2790">
        <f>'19_Расчет_аналитики'!AR2769+'19_Расчет_аналитики'!AR2789</f>
        <v/>
      </c>
      <c r="AS2790">
        <f>'19_Расчет_аналитики'!AS2769+'19_Расчет_аналитики'!AS2789</f>
        <v/>
      </c>
      <c r="AT2790">
        <f>'19_Расчет_аналитики'!AT2769+'19_Расчет_аналитики'!AT2789</f>
        <v/>
      </c>
      <c r="AU2790">
        <f>'19_Расчет_аналитики'!AU2769+'19_Расчет_аналитики'!AU2789</f>
        <v/>
      </c>
      <c r="AV2790">
        <f>'19_Расчет_аналитики'!AV2769+'19_Расчет_аналитики'!AV2789</f>
        <v/>
      </c>
      <c r="AW2790">
        <f>'19_Расчет_аналитики'!AW2769+'19_Расчет_аналитики'!AW2789</f>
        <v/>
      </c>
      <c r="AX2790">
        <f>'19_Расчет_аналитики'!AX2769+'19_Расчет_аналитики'!AX2789</f>
        <v/>
      </c>
      <c r="AY2790">
        <f>'19_Расчет_аналитики'!AY2769+'19_Расчет_аналитики'!AY2789</f>
        <v/>
      </c>
      <c r="AZ2790">
        <f>'19_Расчет_аналитики'!AZ2769+'19_Расчет_аналитики'!AZ2789</f>
        <v/>
      </c>
      <c r="BA2790">
        <f>'19_Расчет_аналитики'!BA2769+'19_Расчет_аналитики'!BA2789</f>
        <v/>
      </c>
      <c r="BB2790">
        <f>'19_Расчет_аналитики'!BB2769+'19_Расчет_аналитики'!BB2789</f>
        <v/>
      </c>
      <c r="BC2790">
        <f>'19_Расчет_аналитики'!BC2769+'19_Расчет_аналитики'!BC2789</f>
        <v/>
      </c>
      <c r="BD2790">
        <f>'19_Расчет_аналитики'!BD2769+'19_Расчет_аналитики'!BD2789</f>
        <v/>
      </c>
      <c r="BE2790">
        <f>'19_Расчет_аналитики'!BE2769+'19_Расчет_аналитики'!BE2789</f>
        <v/>
      </c>
      <c r="BF2790">
        <f>'19_Расчет_аналитики'!BF2769+'19_Расчет_аналитики'!BF2789</f>
        <v/>
      </c>
      <c r="BG2790">
        <f>'19_Расчет_аналитики'!BG2769+'19_Расчет_аналитики'!BG2789</f>
        <v/>
      </c>
      <c r="BH2790">
        <f>'19_Расчет_аналитики'!BH2769+'19_Расчет_аналитики'!BH2789</f>
        <v/>
      </c>
      <c r="BI2790">
        <f>'19_Расчет_аналитики'!BI2769+'19_Расчет_аналитики'!BI2789</f>
        <v/>
      </c>
    </row>
    <row r="2791"/>
    <row r="2792"/>
    <row r="2793">
      <c r="B2793">
        <f>'19_Расчет_аналитики'!B2657</f>
        <v/>
      </c>
      <c r="C2793">
        <f>'19_Расчет_аналитики'!C2657</f>
        <v/>
      </c>
      <c r="D2793">
        <f>'19_Расчет_аналитики'!D2657</f>
        <v/>
      </c>
      <c r="E2793">
        <f>'19_Расчет_аналитики'!E2657</f>
        <v/>
      </c>
      <c r="F2793">
        <f>'19_Расчет_аналитики'!F2657</f>
        <v/>
      </c>
      <c r="G2793">
        <f>'19_Расчет_аналитики'!G2657</f>
        <v/>
      </c>
      <c r="H2793">
        <f>'19_Расчет_аналитики'!H2657</f>
        <v/>
      </c>
      <c r="I2793">
        <f>'19_Расчет_аналитики'!I2657</f>
        <v/>
      </c>
      <c r="J2793">
        <f>'19_Расчет_аналитики'!J2657</f>
        <v/>
      </c>
      <c r="K2793">
        <f>'19_Расчет_аналитики'!K2657</f>
        <v/>
      </c>
      <c r="L2793">
        <f>'19_Расчет_аналитики'!L2657</f>
        <v/>
      </c>
      <c r="M2793">
        <f>'19_Расчет_аналитики'!M2657</f>
        <v/>
      </c>
      <c r="N2793">
        <f>'19_Расчет_аналитики'!N2657</f>
        <v/>
      </c>
      <c r="O2793">
        <f>'19_Расчет_аналитики'!O2657</f>
        <v/>
      </c>
      <c r="P2793">
        <f>'19_Расчет_аналитики'!P2657</f>
        <v/>
      </c>
      <c r="Q2793">
        <f>'19_Расчет_аналитики'!Q2657</f>
        <v/>
      </c>
      <c r="R2793">
        <f>'19_Расчет_аналитики'!R2657</f>
        <v/>
      </c>
      <c r="S2793">
        <f>'19_Расчет_аналитики'!S2657</f>
        <v/>
      </c>
      <c r="T2793">
        <f>'19_Расчет_аналитики'!T2657</f>
        <v/>
      </c>
      <c r="U2793">
        <f>'19_Расчет_аналитики'!U2657</f>
        <v/>
      </c>
      <c r="V2793">
        <f>'19_Расчет_аналитики'!V2657</f>
        <v/>
      </c>
      <c r="W2793">
        <f>'19_Расчет_аналитики'!W2657</f>
        <v/>
      </c>
      <c r="X2793">
        <f>'19_Расчет_аналитики'!X2657</f>
        <v/>
      </c>
      <c r="Y2793">
        <f>'19_Расчет_аналитики'!Y2657</f>
        <v/>
      </c>
      <c r="Z2793">
        <f>'19_Расчет_аналитики'!Z2657</f>
        <v/>
      </c>
      <c r="AA2793">
        <f>'19_Расчет_аналитики'!AA2657</f>
        <v/>
      </c>
      <c r="AB2793">
        <f>'19_Расчет_аналитики'!AB2657</f>
        <v/>
      </c>
      <c r="AC2793">
        <f>'19_Расчет_аналитики'!AC2657</f>
        <v/>
      </c>
      <c r="AD2793">
        <f>'19_Расчет_аналитики'!AD2657</f>
        <v/>
      </c>
      <c r="AE2793">
        <f>'19_Расчет_аналитики'!AE2657</f>
        <v/>
      </c>
      <c r="AF2793">
        <f>'19_Расчет_аналитики'!AF2657</f>
        <v/>
      </c>
      <c r="AG2793">
        <f>'19_Расчет_аналитики'!AG2657</f>
        <v/>
      </c>
      <c r="AH2793">
        <f>'19_Расчет_аналитики'!AH2657</f>
        <v/>
      </c>
      <c r="AI2793">
        <f>'19_Расчет_аналитики'!AI2657</f>
        <v/>
      </c>
      <c r="AJ2793">
        <f>'19_Расчет_аналитики'!AJ2657</f>
        <v/>
      </c>
      <c r="AK2793">
        <f>'19_Расчет_аналитики'!AK2657</f>
        <v/>
      </c>
      <c r="AL2793">
        <f>'19_Расчет_аналитики'!AL2657</f>
        <v/>
      </c>
      <c r="AM2793">
        <f>'19_Расчет_аналитики'!AM2657</f>
        <v/>
      </c>
      <c r="AN2793">
        <f>'19_Расчет_аналитики'!AN2657</f>
        <v/>
      </c>
      <c r="AO2793">
        <f>'19_Расчет_аналитики'!AO2657</f>
        <v/>
      </c>
      <c r="AP2793">
        <f>'19_Расчет_аналитики'!AP2657</f>
        <v/>
      </c>
      <c r="AQ2793">
        <f>'19_Расчет_аналитики'!AQ2657</f>
        <v/>
      </c>
      <c r="AR2793">
        <f>'19_Расчет_аналитики'!AR2657</f>
        <v/>
      </c>
      <c r="AS2793">
        <f>'19_Расчет_аналитики'!AS2657</f>
        <v/>
      </c>
      <c r="AT2793">
        <f>'19_Расчет_аналитики'!AT2657</f>
        <v/>
      </c>
      <c r="AU2793">
        <f>'19_Расчет_аналитики'!AU2657</f>
        <v/>
      </c>
      <c r="AV2793">
        <f>'19_Расчет_аналитики'!AV2657</f>
        <v/>
      </c>
      <c r="AW2793">
        <f>'19_Расчет_аналитики'!AW2657</f>
        <v/>
      </c>
      <c r="AX2793">
        <f>'19_Расчет_аналитики'!AX2657</f>
        <v/>
      </c>
      <c r="AY2793">
        <f>'19_Расчет_аналитики'!AY2657</f>
        <v/>
      </c>
      <c r="AZ2793">
        <f>'19_Расчет_аналитики'!AZ2657</f>
        <v/>
      </c>
      <c r="BA2793">
        <f>'19_Расчет_аналитики'!BA2657</f>
        <v/>
      </c>
      <c r="BB2793">
        <f>'19_Расчет_аналитики'!BB2657</f>
        <v/>
      </c>
      <c r="BC2793">
        <f>'19_Расчет_аналитики'!BC2657</f>
        <v/>
      </c>
      <c r="BD2793">
        <f>'19_Расчет_аналитики'!BD2657</f>
        <v/>
      </c>
      <c r="BE2793">
        <f>'19_Расчет_аналитики'!BE2657</f>
        <v/>
      </c>
      <c r="BF2793">
        <f>'19_Расчет_аналитики'!BF2657</f>
        <v/>
      </c>
      <c r="BG2793">
        <f>'19_Расчет_аналитики'!BG2657</f>
        <v/>
      </c>
      <c r="BH2793">
        <f>'19_Расчет_аналитики'!BH2657</f>
        <v/>
      </c>
      <c r="BI2793">
        <f>'19_Расчет_аналитики'!BI2657</f>
        <v/>
      </c>
    </row>
    <row r="2794">
      <c r="B2794">
        <f>'19_Расчет_аналитики'!B2651</f>
        <v/>
      </c>
      <c r="C2794">
        <f>'19_Расчет_аналитики'!C2651</f>
        <v/>
      </c>
      <c r="D2794">
        <f>'19_Расчет_аналитики'!D2651</f>
        <v/>
      </c>
      <c r="E2794">
        <f>'19_Расчет_аналитики'!E2651</f>
        <v/>
      </c>
      <c r="F2794">
        <f>'19_Расчет_аналитики'!F2651</f>
        <v/>
      </c>
      <c r="G2794">
        <f>'19_Расчет_аналитики'!G2651</f>
        <v/>
      </c>
      <c r="H2794">
        <f>'19_Расчет_аналитики'!H2651</f>
        <v/>
      </c>
      <c r="I2794">
        <f>'19_Расчет_аналитики'!I2651</f>
        <v/>
      </c>
      <c r="J2794">
        <f>'19_Расчет_аналитики'!J2651</f>
        <v/>
      </c>
      <c r="K2794">
        <f>'19_Расчет_аналитики'!K2651</f>
        <v/>
      </c>
      <c r="L2794">
        <f>'19_Расчет_аналитики'!L2651</f>
        <v/>
      </c>
      <c r="M2794">
        <f>'19_Расчет_аналитики'!M2651</f>
        <v/>
      </c>
      <c r="N2794">
        <f>'19_Расчет_аналитики'!N2651</f>
        <v/>
      </c>
      <c r="O2794">
        <f>'19_Расчет_аналитики'!O2651</f>
        <v/>
      </c>
      <c r="P2794">
        <f>'19_Расчет_аналитики'!P2651</f>
        <v/>
      </c>
      <c r="Q2794">
        <f>'19_Расчет_аналитики'!Q2651</f>
        <v/>
      </c>
      <c r="R2794">
        <f>'19_Расчет_аналитики'!R2651</f>
        <v/>
      </c>
      <c r="S2794">
        <f>'19_Расчет_аналитики'!S2651</f>
        <v/>
      </c>
      <c r="T2794">
        <f>'19_Расчет_аналитики'!T2651</f>
        <v/>
      </c>
      <c r="U2794">
        <f>'19_Расчет_аналитики'!U2651</f>
        <v/>
      </c>
      <c r="V2794">
        <f>'19_Расчет_аналитики'!V2651</f>
        <v/>
      </c>
      <c r="W2794">
        <f>'19_Расчет_аналитики'!W2651</f>
        <v/>
      </c>
      <c r="X2794">
        <f>'19_Расчет_аналитики'!X2651</f>
        <v/>
      </c>
      <c r="Y2794">
        <f>'19_Расчет_аналитики'!Y2651</f>
        <v/>
      </c>
      <c r="Z2794">
        <f>'19_Расчет_аналитики'!Z2651</f>
        <v/>
      </c>
      <c r="AA2794">
        <f>'19_Расчет_аналитики'!AA2651</f>
        <v/>
      </c>
      <c r="AB2794">
        <f>'19_Расчет_аналитики'!AB2651</f>
        <v/>
      </c>
      <c r="AC2794">
        <f>'19_Расчет_аналитики'!AC2651</f>
        <v/>
      </c>
      <c r="AD2794">
        <f>'19_Расчет_аналитики'!AD2651</f>
        <v/>
      </c>
      <c r="AE2794">
        <f>'19_Расчет_аналитики'!AE2651</f>
        <v/>
      </c>
      <c r="AF2794">
        <f>'19_Расчет_аналитики'!AF2651</f>
        <v/>
      </c>
      <c r="AG2794">
        <f>'19_Расчет_аналитики'!AG2651</f>
        <v/>
      </c>
      <c r="AH2794">
        <f>'19_Расчет_аналитики'!AH2651</f>
        <v/>
      </c>
      <c r="AI2794">
        <f>'19_Расчет_аналитики'!AI2651</f>
        <v/>
      </c>
      <c r="AJ2794">
        <f>'19_Расчет_аналитики'!AJ2651</f>
        <v/>
      </c>
      <c r="AK2794">
        <f>'19_Расчет_аналитики'!AK2651</f>
        <v/>
      </c>
      <c r="AL2794">
        <f>'19_Расчет_аналитики'!AL2651</f>
        <v/>
      </c>
      <c r="AM2794">
        <f>'19_Расчет_аналитики'!AM2651</f>
        <v/>
      </c>
      <c r="AN2794">
        <f>'19_Расчет_аналитики'!AN2651</f>
        <v/>
      </c>
      <c r="AO2794">
        <f>'19_Расчет_аналитики'!AO2651</f>
        <v/>
      </c>
      <c r="AP2794">
        <f>'19_Расчет_аналитики'!AP2651</f>
        <v/>
      </c>
      <c r="AQ2794">
        <f>'19_Расчет_аналитики'!AQ2651</f>
        <v/>
      </c>
      <c r="AR2794">
        <f>'19_Расчет_аналитики'!AR2651</f>
        <v/>
      </c>
      <c r="AS2794">
        <f>'19_Расчет_аналитики'!AS2651</f>
        <v/>
      </c>
      <c r="AT2794">
        <f>'19_Расчет_аналитики'!AT2651</f>
        <v/>
      </c>
      <c r="AU2794">
        <f>'19_Расчет_аналитики'!AU2651</f>
        <v/>
      </c>
      <c r="AV2794">
        <f>'19_Расчет_аналитики'!AV2651</f>
        <v/>
      </c>
      <c r="AW2794">
        <f>'19_Расчет_аналитики'!AW2651</f>
        <v/>
      </c>
      <c r="AX2794">
        <f>'19_Расчет_аналитики'!AX2651</f>
        <v/>
      </c>
      <c r="AY2794">
        <f>'19_Расчет_аналитики'!AY2651</f>
        <v/>
      </c>
      <c r="AZ2794">
        <f>'19_Расчет_аналитики'!AZ2651</f>
        <v/>
      </c>
      <c r="BA2794">
        <f>'19_Расчет_аналитики'!BA2651</f>
        <v/>
      </c>
      <c r="BB2794">
        <f>'19_Расчет_аналитики'!BB2651</f>
        <v/>
      </c>
      <c r="BC2794">
        <f>'19_Расчет_аналитики'!BC2651</f>
        <v/>
      </c>
      <c r="BD2794">
        <f>'19_Расчет_аналитики'!BD2651</f>
        <v/>
      </c>
      <c r="BE2794">
        <f>'19_Расчет_аналитики'!BE2651</f>
        <v/>
      </c>
      <c r="BF2794">
        <f>'19_Расчет_аналитики'!BF2651</f>
        <v/>
      </c>
      <c r="BG2794">
        <f>'19_Расчет_аналитики'!BG2651</f>
        <v/>
      </c>
      <c r="BH2794">
        <f>'19_Расчет_аналитики'!BH2651</f>
        <v/>
      </c>
      <c r="BI2794">
        <f>'19_Расчет_аналитики'!BI2651</f>
        <v/>
      </c>
    </row>
    <row r="2795">
      <c r="B2795">
        <f>'19_Расчет_аналитики'!B2649</f>
        <v/>
      </c>
      <c r="C2795">
        <f>'19_Расчет_аналитики'!C2649</f>
        <v/>
      </c>
      <c r="D2795">
        <f>'19_Расчет_аналитики'!D2649</f>
        <v/>
      </c>
      <c r="E2795">
        <f>'19_Расчет_аналитики'!E2649</f>
        <v/>
      </c>
      <c r="F2795">
        <f>'19_Расчет_аналитики'!F2649</f>
        <v/>
      </c>
      <c r="G2795">
        <f>'19_Расчет_аналитики'!G2649</f>
        <v/>
      </c>
      <c r="H2795">
        <f>'19_Расчет_аналитики'!H2649</f>
        <v/>
      </c>
      <c r="I2795">
        <f>'19_Расчет_аналитики'!I2649</f>
        <v/>
      </c>
      <c r="J2795">
        <f>'19_Расчет_аналитики'!J2649</f>
        <v/>
      </c>
      <c r="K2795">
        <f>'19_Расчет_аналитики'!K2649</f>
        <v/>
      </c>
      <c r="L2795">
        <f>'19_Расчет_аналитики'!L2649</f>
        <v/>
      </c>
      <c r="M2795">
        <f>'19_Расчет_аналитики'!M2649</f>
        <v/>
      </c>
      <c r="N2795">
        <f>'19_Расчет_аналитики'!N2649</f>
        <v/>
      </c>
      <c r="O2795">
        <f>'19_Расчет_аналитики'!O2649</f>
        <v/>
      </c>
      <c r="P2795">
        <f>'19_Расчет_аналитики'!P2649</f>
        <v/>
      </c>
      <c r="Q2795">
        <f>'19_Расчет_аналитики'!Q2649</f>
        <v/>
      </c>
      <c r="R2795">
        <f>'19_Расчет_аналитики'!R2649</f>
        <v/>
      </c>
      <c r="S2795">
        <f>'19_Расчет_аналитики'!S2649</f>
        <v/>
      </c>
      <c r="T2795">
        <f>'19_Расчет_аналитики'!T2649</f>
        <v/>
      </c>
      <c r="U2795">
        <f>'19_Расчет_аналитики'!U2649</f>
        <v/>
      </c>
      <c r="V2795">
        <f>'19_Расчет_аналитики'!V2649</f>
        <v/>
      </c>
      <c r="W2795">
        <f>'19_Расчет_аналитики'!W2649</f>
        <v/>
      </c>
      <c r="X2795">
        <f>'19_Расчет_аналитики'!X2649</f>
        <v/>
      </c>
      <c r="Y2795">
        <f>'19_Расчет_аналитики'!Y2649</f>
        <v/>
      </c>
      <c r="Z2795">
        <f>'19_Расчет_аналитики'!Z2649</f>
        <v/>
      </c>
      <c r="AA2795">
        <f>'19_Расчет_аналитики'!AA2649</f>
        <v/>
      </c>
      <c r="AB2795">
        <f>'19_Расчет_аналитики'!AB2649</f>
        <v/>
      </c>
      <c r="AC2795">
        <f>'19_Расчет_аналитики'!AC2649</f>
        <v/>
      </c>
      <c r="AD2795">
        <f>'19_Расчет_аналитики'!AD2649</f>
        <v/>
      </c>
      <c r="AE2795">
        <f>'19_Расчет_аналитики'!AE2649</f>
        <v/>
      </c>
      <c r="AF2795">
        <f>'19_Расчет_аналитики'!AF2649</f>
        <v/>
      </c>
      <c r="AG2795">
        <f>'19_Расчет_аналитики'!AG2649</f>
        <v/>
      </c>
      <c r="AH2795">
        <f>'19_Расчет_аналитики'!AH2649</f>
        <v/>
      </c>
      <c r="AI2795">
        <f>'19_Расчет_аналитики'!AI2649</f>
        <v/>
      </c>
      <c r="AJ2795">
        <f>'19_Расчет_аналитики'!AJ2649</f>
        <v/>
      </c>
      <c r="AK2795">
        <f>'19_Расчет_аналитики'!AK2649</f>
        <v/>
      </c>
      <c r="AL2795">
        <f>'19_Расчет_аналитики'!AL2649</f>
        <v/>
      </c>
      <c r="AM2795">
        <f>'19_Расчет_аналитики'!AM2649</f>
        <v/>
      </c>
      <c r="AN2795">
        <f>'19_Расчет_аналитики'!AN2649</f>
        <v/>
      </c>
      <c r="AO2795">
        <f>'19_Расчет_аналитики'!AO2649</f>
        <v/>
      </c>
      <c r="AP2795">
        <f>'19_Расчет_аналитики'!AP2649</f>
        <v/>
      </c>
      <c r="AQ2795">
        <f>'19_Расчет_аналитики'!AQ2649</f>
        <v/>
      </c>
      <c r="AR2795">
        <f>'19_Расчет_аналитики'!AR2649</f>
        <v/>
      </c>
      <c r="AS2795">
        <f>'19_Расчет_аналитики'!AS2649</f>
        <v/>
      </c>
      <c r="AT2795">
        <f>'19_Расчет_аналитики'!AT2649</f>
        <v/>
      </c>
      <c r="AU2795">
        <f>'19_Расчет_аналитики'!AU2649</f>
        <v/>
      </c>
      <c r="AV2795">
        <f>'19_Расчет_аналитики'!AV2649</f>
        <v/>
      </c>
      <c r="AW2795">
        <f>'19_Расчет_аналитики'!AW2649</f>
        <v/>
      </c>
      <c r="AX2795">
        <f>'19_Расчет_аналитики'!AX2649</f>
        <v/>
      </c>
      <c r="AY2795">
        <f>'19_Расчет_аналитики'!AY2649</f>
        <v/>
      </c>
      <c r="AZ2795">
        <f>'19_Расчет_аналитики'!AZ2649</f>
        <v/>
      </c>
      <c r="BA2795">
        <f>'19_Расчет_аналитики'!BA2649</f>
        <v/>
      </c>
      <c r="BB2795">
        <f>'19_Расчет_аналитики'!BB2649</f>
        <v/>
      </c>
      <c r="BC2795">
        <f>'19_Расчет_аналитики'!BC2649</f>
        <v/>
      </c>
      <c r="BD2795">
        <f>'19_Расчет_аналитики'!BD2649</f>
        <v/>
      </c>
      <c r="BE2795">
        <f>'19_Расчет_аналитики'!BE2649</f>
        <v/>
      </c>
      <c r="BF2795">
        <f>'19_Расчет_аналитики'!BF2649</f>
        <v/>
      </c>
      <c r="BG2795">
        <f>'19_Расчет_аналитики'!BG2649</f>
        <v/>
      </c>
      <c r="BH2795">
        <f>'19_Расчет_аналитики'!BH2649</f>
        <v/>
      </c>
      <c r="BI2795">
        <f>'19_Расчет_аналитики'!BI2649</f>
        <v/>
      </c>
    </row>
    <row r="2796">
      <c r="B2796">
        <f>'19_Расчет_аналитики'!B2652</f>
        <v/>
      </c>
      <c r="C2796">
        <f>'19_Расчет_аналитики'!C2652</f>
        <v/>
      </c>
      <c r="D2796">
        <f>'19_Расчет_аналитики'!D2652</f>
        <v/>
      </c>
      <c r="E2796">
        <f>'19_Расчет_аналитики'!E2652</f>
        <v/>
      </c>
      <c r="F2796">
        <f>'19_Расчет_аналитики'!F2652</f>
        <v/>
      </c>
      <c r="G2796">
        <f>'19_Расчет_аналитики'!G2652</f>
        <v/>
      </c>
      <c r="H2796">
        <f>'19_Расчет_аналитики'!H2652</f>
        <v/>
      </c>
      <c r="I2796">
        <f>'19_Расчет_аналитики'!I2652</f>
        <v/>
      </c>
      <c r="J2796">
        <f>'19_Расчет_аналитики'!J2652</f>
        <v/>
      </c>
      <c r="K2796">
        <f>'19_Расчет_аналитики'!K2652</f>
        <v/>
      </c>
      <c r="L2796">
        <f>'19_Расчет_аналитики'!L2652</f>
        <v/>
      </c>
      <c r="M2796">
        <f>'19_Расчет_аналитики'!M2652</f>
        <v/>
      </c>
      <c r="N2796">
        <f>'19_Расчет_аналитики'!N2652</f>
        <v/>
      </c>
      <c r="O2796">
        <f>'19_Расчет_аналитики'!O2652</f>
        <v/>
      </c>
      <c r="P2796">
        <f>'19_Расчет_аналитики'!P2652</f>
        <v/>
      </c>
      <c r="Q2796">
        <f>'19_Расчет_аналитики'!Q2652</f>
        <v/>
      </c>
      <c r="R2796">
        <f>'19_Расчет_аналитики'!R2652</f>
        <v/>
      </c>
      <c r="S2796">
        <f>'19_Расчет_аналитики'!S2652</f>
        <v/>
      </c>
      <c r="T2796">
        <f>'19_Расчет_аналитики'!T2652</f>
        <v/>
      </c>
      <c r="U2796">
        <f>'19_Расчет_аналитики'!U2652</f>
        <v/>
      </c>
      <c r="V2796">
        <f>'19_Расчет_аналитики'!V2652</f>
        <v/>
      </c>
      <c r="W2796">
        <f>'19_Расчет_аналитики'!W2652</f>
        <v/>
      </c>
      <c r="X2796">
        <f>'19_Расчет_аналитики'!X2652</f>
        <v/>
      </c>
      <c r="Y2796">
        <f>'19_Расчет_аналитики'!Y2652</f>
        <v/>
      </c>
      <c r="Z2796">
        <f>'19_Расчет_аналитики'!Z2652</f>
        <v/>
      </c>
      <c r="AA2796">
        <f>'19_Расчет_аналитики'!AA2652</f>
        <v/>
      </c>
      <c r="AB2796">
        <f>'19_Расчет_аналитики'!AB2652</f>
        <v/>
      </c>
      <c r="AC2796">
        <f>'19_Расчет_аналитики'!AC2652</f>
        <v/>
      </c>
      <c r="AD2796">
        <f>'19_Расчет_аналитики'!AD2652</f>
        <v/>
      </c>
      <c r="AE2796">
        <f>'19_Расчет_аналитики'!AE2652</f>
        <v/>
      </c>
      <c r="AF2796">
        <f>'19_Расчет_аналитики'!AF2652</f>
        <v/>
      </c>
      <c r="AG2796">
        <f>'19_Расчет_аналитики'!AG2652</f>
        <v/>
      </c>
      <c r="AH2796">
        <f>'19_Расчет_аналитики'!AH2652</f>
        <v/>
      </c>
      <c r="AI2796">
        <f>'19_Расчет_аналитики'!AI2652</f>
        <v/>
      </c>
      <c r="AJ2796">
        <f>'19_Расчет_аналитики'!AJ2652</f>
        <v/>
      </c>
      <c r="AK2796">
        <f>'19_Расчет_аналитики'!AK2652</f>
        <v/>
      </c>
      <c r="AL2796">
        <f>'19_Расчет_аналитики'!AL2652</f>
        <v/>
      </c>
      <c r="AM2796">
        <f>'19_Расчет_аналитики'!AM2652</f>
        <v/>
      </c>
      <c r="AN2796">
        <f>'19_Расчет_аналитики'!AN2652</f>
        <v/>
      </c>
      <c r="AO2796">
        <f>'19_Расчет_аналитики'!AO2652</f>
        <v/>
      </c>
      <c r="AP2796">
        <f>'19_Расчет_аналитики'!AP2652</f>
        <v/>
      </c>
      <c r="AQ2796">
        <f>'19_Расчет_аналитики'!AQ2652</f>
        <v/>
      </c>
      <c r="AR2796">
        <f>'19_Расчет_аналитики'!AR2652</f>
        <v/>
      </c>
      <c r="AS2796">
        <f>'19_Расчет_аналитики'!AS2652</f>
        <v/>
      </c>
      <c r="AT2796">
        <f>'19_Расчет_аналитики'!AT2652</f>
        <v/>
      </c>
      <c r="AU2796">
        <f>'19_Расчет_аналитики'!AU2652</f>
        <v/>
      </c>
      <c r="AV2796">
        <f>'19_Расчет_аналитики'!AV2652</f>
        <v/>
      </c>
      <c r="AW2796">
        <f>'19_Расчет_аналитики'!AW2652</f>
        <v/>
      </c>
      <c r="AX2796">
        <f>'19_Расчет_аналитики'!AX2652</f>
        <v/>
      </c>
      <c r="AY2796">
        <f>'19_Расчет_аналитики'!AY2652</f>
        <v/>
      </c>
      <c r="AZ2796">
        <f>'19_Расчет_аналитики'!AZ2652</f>
        <v/>
      </c>
      <c r="BA2796">
        <f>'19_Расчет_аналитики'!BA2652</f>
        <v/>
      </c>
      <c r="BB2796">
        <f>'19_Расчет_аналитики'!BB2652</f>
        <v/>
      </c>
      <c r="BC2796">
        <f>'19_Расчет_аналитики'!BC2652</f>
        <v/>
      </c>
      <c r="BD2796">
        <f>'19_Расчет_аналитики'!BD2652</f>
        <v/>
      </c>
      <c r="BE2796">
        <f>'19_Расчет_аналитики'!BE2652</f>
        <v/>
      </c>
      <c r="BF2796">
        <f>'19_Расчет_аналитики'!BF2652</f>
        <v/>
      </c>
      <c r="BG2796">
        <f>'19_Расчет_аналитики'!BG2652</f>
        <v/>
      </c>
      <c r="BH2796">
        <f>'19_Расчет_аналитики'!BH2652</f>
        <v/>
      </c>
      <c r="BI2796">
        <f>'19_Расчет_аналитики'!BI2652</f>
        <v/>
      </c>
    </row>
    <row r="2797"/>
    <row r="2798">
      <c r="B2798">
        <f>0+'19_Расчет_аналитики'!B2737+'19_Расчет_аналитики'!B2738-'19_Расчет_аналитики'!B2771/(1+'01_Вводные'!$B$58)</f>
        <v/>
      </c>
      <c r="C2798">
        <f>'19_Расчет_аналитики'!B2798+'19_Расчет_аналитики'!C2737+'19_Расчет_аналитики'!C2738-'19_Расчет_аналитики'!C2771/(1+'01_Вводные'!$B$58)</f>
        <v/>
      </c>
      <c r="D2798">
        <f>'19_Расчет_аналитики'!C2798+'19_Расчет_аналитики'!D2737+'19_Расчет_аналитики'!D2738-'19_Расчет_аналитики'!D2771/(1+'01_Вводные'!$B$58)</f>
        <v/>
      </c>
      <c r="E2798">
        <f>'19_Расчет_аналитики'!D2798+'19_Расчет_аналитики'!E2737+'19_Расчет_аналитики'!E2738-'19_Расчет_аналитики'!E2771/(1+'01_Вводные'!$B$58)</f>
        <v/>
      </c>
      <c r="F2798">
        <f>'19_Расчет_аналитики'!E2798+'19_Расчет_аналитики'!F2737+'19_Расчет_аналитики'!F2738-'19_Расчет_аналитики'!F2771/(1+'01_Вводные'!$B$58)</f>
        <v/>
      </c>
      <c r="G2798">
        <f>'19_Расчет_аналитики'!F2798+'19_Расчет_аналитики'!G2737+'19_Расчет_аналитики'!G2738-'19_Расчет_аналитики'!G2771/(1+'01_Вводные'!$B$58)</f>
        <v/>
      </c>
      <c r="H2798">
        <f>'19_Расчет_аналитики'!G2798+'19_Расчет_аналитики'!H2737+'19_Расчет_аналитики'!H2738-'19_Расчет_аналитики'!H2771/(1+'01_Вводные'!$B$58)</f>
        <v/>
      </c>
      <c r="I2798">
        <f>'19_Расчет_аналитики'!H2798+'19_Расчет_аналитики'!I2737+'19_Расчет_аналитики'!I2738-'19_Расчет_аналитики'!I2771/(1+'01_Вводные'!$B$58)</f>
        <v/>
      </c>
      <c r="J2798">
        <f>'19_Расчет_аналитики'!I2798+'19_Расчет_аналитики'!J2737+'19_Расчет_аналитики'!J2738-'19_Расчет_аналитики'!J2771/(1+'01_Вводные'!$B$58)</f>
        <v/>
      </c>
      <c r="K2798">
        <f>'19_Расчет_аналитики'!J2798+'19_Расчет_аналитики'!K2737+'19_Расчет_аналитики'!K2738-'19_Расчет_аналитики'!K2771/(1+'01_Вводные'!$B$58)</f>
        <v/>
      </c>
      <c r="L2798">
        <f>'19_Расчет_аналитики'!K2798+'19_Расчет_аналитики'!L2737+'19_Расчет_аналитики'!L2738-'19_Расчет_аналитики'!L2771/(1+'01_Вводные'!$B$58)</f>
        <v/>
      </c>
      <c r="M2798">
        <f>'19_Расчет_аналитики'!L2798+'19_Расчет_аналитики'!M2737+'19_Расчет_аналитики'!M2738-'19_Расчет_аналитики'!M2771/(1+'01_Вводные'!$B$58)</f>
        <v/>
      </c>
      <c r="N2798">
        <f>'19_Расчет_аналитики'!M2798+'19_Расчет_аналитики'!N2737+'19_Расчет_аналитики'!N2738-'19_Расчет_аналитики'!N2771/(1+'01_Вводные'!$B$58)</f>
        <v/>
      </c>
      <c r="O2798">
        <f>'19_Расчет_аналитики'!N2798+'19_Расчет_аналитики'!O2737+'19_Расчет_аналитики'!O2738-'19_Расчет_аналитики'!O2771/(1+'01_Вводные'!$B$58)</f>
        <v/>
      </c>
      <c r="P2798">
        <f>'19_Расчет_аналитики'!O2798+'19_Расчет_аналитики'!P2737+'19_Расчет_аналитики'!P2738-'19_Расчет_аналитики'!P2771/(1+'01_Вводные'!$B$58)</f>
        <v/>
      </c>
      <c r="Q2798">
        <f>'19_Расчет_аналитики'!P2798+'19_Расчет_аналитики'!Q2737+'19_Расчет_аналитики'!Q2738-'19_Расчет_аналитики'!Q2771/(1+'01_Вводные'!$B$58)</f>
        <v/>
      </c>
      <c r="R2798">
        <f>'19_Расчет_аналитики'!Q2798+'19_Расчет_аналитики'!R2737+'19_Расчет_аналитики'!R2738-'19_Расчет_аналитики'!R2771/(1+'01_Вводные'!$B$58)</f>
        <v/>
      </c>
      <c r="S2798">
        <f>'19_Расчет_аналитики'!R2798+'19_Расчет_аналитики'!S2737+'19_Расчет_аналитики'!S2738-'19_Расчет_аналитики'!S2771/(1+'01_Вводные'!$B$58)</f>
        <v/>
      </c>
      <c r="T2798">
        <f>'19_Расчет_аналитики'!S2798+'19_Расчет_аналитики'!T2737+'19_Расчет_аналитики'!T2738-'19_Расчет_аналитики'!T2771/(1+'01_Вводные'!$B$58)</f>
        <v/>
      </c>
      <c r="U2798">
        <f>'19_Расчет_аналитики'!T2798+'19_Расчет_аналитики'!U2737+'19_Расчет_аналитики'!U2738-'19_Расчет_аналитики'!U2771/(1+'01_Вводные'!$B$58)</f>
        <v/>
      </c>
      <c r="V2798">
        <f>'19_Расчет_аналитики'!U2798+'19_Расчет_аналитики'!V2737+'19_Расчет_аналитики'!V2738-'19_Расчет_аналитики'!V2771/(1+'01_Вводные'!$B$58)</f>
        <v/>
      </c>
      <c r="W2798">
        <f>'19_Расчет_аналитики'!V2798+'19_Расчет_аналитики'!W2737+'19_Расчет_аналитики'!W2738-'19_Расчет_аналитики'!W2771/(1+'01_Вводные'!$B$58)</f>
        <v/>
      </c>
      <c r="X2798">
        <f>'19_Расчет_аналитики'!W2798+'19_Расчет_аналитики'!X2737+'19_Расчет_аналитики'!X2738-'19_Расчет_аналитики'!X2771/(1+'01_Вводные'!$B$58)</f>
        <v/>
      </c>
      <c r="Y2798">
        <f>'19_Расчет_аналитики'!X2798+'19_Расчет_аналитики'!Y2737+'19_Расчет_аналитики'!Y2738-'19_Расчет_аналитики'!Y2771/(1+'01_Вводные'!$B$58)</f>
        <v/>
      </c>
      <c r="Z2798">
        <f>'19_Расчет_аналитики'!Y2798+'19_Расчет_аналитики'!Z2737+'19_Расчет_аналитики'!Z2738-'19_Расчет_аналитики'!Z2771/(1+'01_Вводные'!$B$58)</f>
        <v/>
      </c>
      <c r="AA2798">
        <f>'19_Расчет_аналитики'!Z2798+'19_Расчет_аналитики'!AA2737+'19_Расчет_аналитики'!AA2738-'19_Расчет_аналитики'!AA2771/(1+'01_Вводные'!$B$58)</f>
        <v/>
      </c>
      <c r="AB2798">
        <f>'19_Расчет_аналитики'!AA2798+'19_Расчет_аналитики'!AB2737+'19_Расчет_аналитики'!AB2738-'19_Расчет_аналитики'!AB2771/(1+'01_Вводные'!$B$58)</f>
        <v/>
      </c>
      <c r="AC2798">
        <f>'19_Расчет_аналитики'!AB2798+'19_Расчет_аналитики'!AC2737+'19_Расчет_аналитики'!AC2738-'19_Расчет_аналитики'!AC2771/(1+'01_Вводные'!$B$58)</f>
        <v/>
      </c>
      <c r="AD2798">
        <f>'19_Расчет_аналитики'!AC2798+'19_Расчет_аналитики'!AD2737+'19_Расчет_аналитики'!AD2738-'19_Расчет_аналитики'!AD2771/(1+'01_Вводные'!$B$58)</f>
        <v/>
      </c>
      <c r="AE2798">
        <f>'19_Расчет_аналитики'!AD2798+'19_Расчет_аналитики'!AE2737+'19_Расчет_аналитики'!AE2738-'19_Расчет_аналитики'!AE2771/(1+'01_Вводные'!$B$58)</f>
        <v/>
      </c>
      <c r="AF2798">
        <f>'19_Расчет_аналитики'!AE2798+'19_Расчет_аналитики'!AF2737+'19_Расчет_аналитики'!AF2738-'19_Расчет_аналитики'!AF2771/(1+'01_Вводные'!$B$58)</f>
        <v/>
      </c>
      <c r="AG2798">
        <f>'19_Расчет_аналитики'!AF2798+'19_Расчет_аналитики'!AG2737+'19_Расчет_аналитики'!AG2738-'19_Расчет_аналитики'!AG2771/(1+'01_Вводные'!$B$58)</f>
        <v/>
      </c>
      <c r="AH2798">
        <f>'19_Расчет_аналитики'!AG2798+'19_Расчет_аналитики'!AH2737+'19_Расчет_аналитики'!AH2738-'19_Расчет_аналитики'!AH2771/(1+'01_Вводные'!$B$58)</f>
        <v/>
      </c>
      <c r="AI2798">
        <f>'19_Расчет_аналитики'!AH2798+'19_Расчет_аналитики'!AI2737+'19_Расчет_аналитики'!AI2738-'19_Расчет_аналитики'!AI2771/(1+'01_Вводные'!$B$58)</f>
        <v/>
      </c>
      <c r="AJ2798">
        <f>'19_Расчет_аналитики'!AI2798+'19_Расчет_аналитики'!AJ2737+'19_Расчет_аналитики'!AJ2738-'19_Расчет_аналитики'!AJ2771/(1+'01_Вводные'!$B$58)</f>
        <v/>
      </c>
      <c r="AK2798">
        <f>'19_Расчет_аналитики'!AJ2798+'19_Расчет_аналитики'!AK2737+'19_Расчет_аналитики'!AK2738-'19_Расчет_аналитики'!AK2771/(1+'01_Вводные'!$B$58)</f>
        <v/>
      </c>
      <c r="AL2798">
        <f>'19_Расчет_аналитики'!AK2798+'19_Расчет_аналитики'!AL2737+'19_Расчет_аналитики'!AL2738-'19_Расчет_аналитики'!AL2771/(1+'01_Вводные'!$B$58)</f>
        <v/>
      </c>
      <c r="AM2798">
        <f>'19_Расчет_аналитики'!AL2798+'19_Расчет_аналитики'!AM2737+'19_Расчет_аналитики'!AM2738-'19_Расчет_аналитики'!AM2771/(1+'01_Вводные'!$B$58)</f>
        <v/>
      </c>
      <c r="AN2798">
        <f>'19_Расчет_аналитики'!AM2798+'19_Расчет_аналитики'!AN2737+'19_Расчет_аналитики'!AN2738-'19_Расчет_аналитики'!AN2771/(1+'01_Вводные'!$B$58)</f>
        <v/>
      </c>
      <c r="AO2798">
        <f>'19_Расчет_аналитики'!AN2798+'19_Расчет_аналитики'!AO2737+'19_Расчет_аналитики'!AO2738-'19_Расчет_аналитики'!AO2771/(1+'01_Вводные'!$B$58)</f>
        <v/>
      </c>
      <c r="AP2798">
        <f>'19_Расчет_аналитики'!AO2798+'19_Расчет_аналитики'!AP2737+'19_Расчет_аналитики'!AP2738-'19_Расчет_аналитики'!AP2771/(1+'01_Вводные'!$B$58)</f>
        <v/>
      </c>
      <c r="AQ2798">
        <f>'19_Расчет_аналитики'!AP2798+'19_Расчет_аналитики'!AQ2737+'19_Расчет_аналитики'!AQ2738-'19_Расчет_аналитики'!AQ2771/(1+'01_Вводные'!$B$58)</f>
        <v/>
      </c>
      <c r="AR2798">
        <f>'19_Расчет_аналитики'!AQ2798+'19_Расчет_аналитики'!AR2737+'19_Расчет_аналитики'!AR2738-'19_Расчет_аналитики'!AR2771/(1+'01_Вводные'!$B$58)</f>
        <v/>
      </c>
      <c r="AS2798">
        <f>'19_Расчет_аналитики'!AR2798+'19_Расчет_аналитики'!AS2737+'19_Расчет_аналитики'!AS2738-'19_Расчет_аналитики'!AS2771/(1+'01_Вводные'!$B$58)</f>
        <v/>
      </c>
      <c r="AT2798">
        <f>'19_Расчет_аналитики'!AS2798+'19_Расчет_аналитики'!AT2737+'19_Расчет_аналитики'!AT2738-'19_Расчет_аналитики'!AT2771/(1+'01_Вводные'!$B$58)</f>
        <v/>
      </c>
      <c r="AU2798">
        <f>'19_Расчет_аналитики'!AT2798+'19_Расчет_аналитики'!AU2737+'19_Расчет_аналитики'!AU2738-'19_Расчет_аналитики'!AU2771/(1+'01_Вводные'!$B$58)</f>
        <v/>
      </c>
      <c r="AV2798">
        <f>'19_Расчет_аналитики'!AU2798+'19_Расчет_аналитики'!AV2737+'19_Расчет_аналитики'!AV2738-'19_Расчет_аналитики'!AV2771/(1+'01_Вводные'!$B$58)</f>
        <v/>
      </c>
      <c r="AW2798">
        <f>'19_Расчет_аналитики'!AV2798+'19_Расчет_аналитики'!AW2737+'19_Расчет_аналитики'!AW2738-'19_Расчет_аналитики'!AW2771/(1+'01_Вводные'!$B$58)</f>
        <v/>
      </c>
      <c r="AX2798">
        <f>'19_Расчет_аналитики'!AW2798+'19_Расчет_аналитики'!AX2737+'19_Расчет_аналитики'!AX2738-'19_Расчет_аналитики'!AX2771/(1+'01_Вводные'!$B$58)</f>
        <v/>
      </c>
      <c r="AY2798">
        <f>'19_Расчет_аналитики'!AX2798+'19_Расчет_аналитики'!AY2737+'19_Расчет_аналитики'!AY2738-'19_Расчет_аналитики'!AY2771/(1+'01_Вводные'!$B$58)</f>
        <v/>
      </c>
      <c r="AZ2798">
        <f>'19_Расчет_аналитики'!AY2798+'19_Расчет_аналитики'!AZ2737+'19_Расчет_аналитики'!AZ2738-'19_Расчет_аналитики'!AZ2771/(1+'01_Вводные'!$B$58)</f>
        <v/>
      </c>
      <c r="BA2798">
        <f>'19_Расчет_аналитики'!AZ2798+'19_Расчет_аналитики'!BA2737+'19_Расчет_аналитики'!BA2738-'19_Расчет_аналитики'!BA2771/(1+'01_Вводные'!$B$58)</f>
        <v/>
      </c>
      <c r="BB2798">
        <f>'19_Расчет_аналитики'!BA2798+'19_Расчет_аналитики'!BB2737+'19_Расчет_аналитики'!BB2738-'19_Расчет_аналитики'!BB2771/(1+'01_Вводные'!$B$58)</f>
        <v/>
      </c>
      <c r="BC2798">
        <f>'19_Расчет_аналитики'!BB2798+'19_Расчет_аналитики'!BC2737+'19_Расчет_аналитики'!BC2738-'19_Расчет_аналитики'!BC2771/(1+'01_Вводные'!$B$58)</f>
        <v/>
      </c>
      <c r="BD2798">
        <f>'19_Расчет_аналитики'!BC2798+'19_Расчет_аналитики'!BD2737+'19_Расчет_аналитики'!BD2738-'19_Расчет_аналитики'!BD2771/(1+'01_Вводные'!$B$58)</f>
        <v/>
      </c>
      <c r="BE2798">
        <f>'19_Расчет_аналитики'!BD2798+'19_Расчет_аналитики'!BE2737+'19_Расчет_аналитики'!BE2738-'19_Расчет_аналитики'!BE2771/(1+'01_Вводные'!$B$58)</f>
        <v/>
      </c>
      <c r="BF2798">
        <f>'19_Расчет_аналитики'!BE2798+'19_Расчет_аналитики'!BF2737+'19_Расчет_аналитики'!BF2738-'19_Расчет_аналитики'!BF2771/(1+'01_Вводные'!$B$58)</f>
        <v/>
      </c>
      <c r="BG2798">
        <f>'19_Расчет_аналитики'!BF2798+'19_Расчет_аналитики'!BG2737+'19_Расчет_аналитики'!BG2738-'19_Расчет_аналитики'!BG2771/(1+'01_Вводные'!$B$58)</f>
        <v/>
      </c>
      <c r="BH2798">
        <f>'19_Расчет_аналитики'!BG2798+'19_Расчет_аналитики'!BH2737+'19_Расчет_аналитики'!BH2738-'19_Расчет_аналитики'!BH2771/(1+'01_Вводные'!$B$58)</f>
        <v/>
      </c>
      <c r="BI2798">
        <f>'19_Расчет_аналитики'!BH2798+'19_Расчет_аналитики'!BI2737+'19_Расчет_аналитики'!BI2738-'19_Расчет_аналитики'!BI2771/(1+'01_Вводные'!$B$58)</f>
        <v/>
      </c>
    </row>
    <row r="2799">
      <c r="B2799">
        <f>0+SUM('19_Расчет_аналитики'!B2755:B2760)+'19_Расчет_аналитики'!B2650-'19_Расчет_аналитики'!B2777</f>
        <v/>
      </c>
      <c r="C2799">
        <f>'19_Расчет_аналитики'!B2799+SUM('19_Расчет_аналитики'!C2755:C2760)+'19_Расчет_аналитики'!C2650-'19_Расчет_аналитики'!C2777</f>
        <v/>
      </c>
      <c r="D2799">
        <f>'19_Расчет_аналитики'!C2799+SUM('19_Расчет_аналитики'!D2755:D2760)+'19_Расчет_аналитики'!D2650-'19_Расчет_аналитики'!D2777</f>
        <v/>
      </c>
      <c r="E2799">
        <f>'19_Расчет_аналитики'!D2799+SUM('19_Расчет_аналитики'!E2755:E2760)+'19_Расчет_аналитики'!E2650-'19_Расчет_аналитики'!E2777</f>
        <v/>
      </c>
      <c r="F2799">
        <f>'19_Расчет_аналитики'!E2799+SUM('19_Расчет_аналитики'!F2755:F2760)+'19_Расчет_аналитики'!F2650-'19_Расчет_аналитики'!F2777</f>
        <v/>
      </c>
      <c r="G2799">
        <f>'19_Расчет_аналитики'!F2799+SUM('19_Расчет_аналитики'!G2755:G2760)+'19_Расчет_аналитики'!G2650-'19_Расчет_аналитики'!G2777</f>
        <v/>
      </c>
      <c r="H2799">
        <f>'19_Расчет_аналитики'!G2799+SUM('19_Расчет_аналитики'!H2755:H2760)+'19_Расчет_аналитики'!H2650-'19_Расчет_аналитики'!H2777</f>
        <v/>
      </c>
      <c r="I2799">
        <f>'19_Расчет_аналитики'!H2799+SUM('19_Расчет_аналитики'!I2755:I2760)+'19_Расчет_аналитики'!I2650-'19_Расчет_аналитики'!I2777</f>
        <v/>
      </c>
      <c r="J2799">
        <f>'19_Расчет_аналитики'!I2799+SUM('19_Расчет_аналитики'!J2755:J2760)+'19_Расчет_аналитики'!J2650-'19_Расчет_аналитики'!J2777</f>
        <v/>
      </c>
      <c r="K2799">
        <f>'19_Расчет_аналитики'!J2799+SUM('19_Расчет_аналитики'!K2755:K2760)+'19_Расчет_аналитики'!K2650-'19_Расчет_аналитики'!K2777</f>
        <v/>
      </c>
      <c r="L2799">
        <f>'19_Расчет_аналитики'!K2799+SUM('19_Расчет_аналитики'!L2755:L2760)+'19_Расчет_аналитики'!L2650-'19_Расчет_аналитики'!L2777</f>
        <v/>
      </c>
      <c r="M2799">
        <f>'19_Расчет_аналитики'!L2799+SUM('19_Расчет_аналитики'!M2755:M2760)+'19_Расчет_аналитики'!M2650-'19_Расчет_аналитики'!M2777</f>
        <v/>
      </c>
      <c r="N2799">
        <f>'19_Расчет_аналитики'!M2799+SUM('19_Расчет_аналитики'!N2755:N2760)+'19_Расчет_аналитики'!N2650-'19_Расчет_аналитики'!N2777</f>
        <v/>
      </c>
      <c r="O2799">
        <f>'19_Расчет_аналитики'!N2799+SUM('19_Расчет_аналитики'!O2755:O2760)+'19_Расчет_аналитики'!O2650-'19_Расчет_аналитики'!O2777</f>
        <v/>
      </c>
      <c r="P2799">
        <f>'19_Расчет_аналитики'!O2799+SUM('19_Расчет_аналитики'!P2755:P2760)+'19_Расчет_аналитики'!P2650-'19_Расчет_аналитики'!P2777</f>
        <v/>
      </c>
      <c r="Q2799">
        <f>'19_Расчет_аналитики'!P2799+SUM('19_Расчет_аналитики'!Q2755:Q2760)+'19_Расчет_аналитики'!Q2650-'19_Расчет_аналитики'!Q2777</f>
        <v/>
      </c>
      <c r="R2799">
        <f>'19_Расчет_аналитики'!Q2799+SUM('19_Расчет_аналитики'!R2755:R2760)+'19_Расчет_аналитики'!R2650-'19_Расчет_аналитики'!R2777</f>
        <v/>
      </c>
      <c r="S2799">
        <f>'19_Расчет_аналитики'!R2799+SUM('19_Расчет_аналитики'!S2755:S2760)+'19_Расчет_аналитики'!S2650-'19_Расчет_аналитики'!S2777</f>
        <v/>
      </c>
      <c r="T2799">
        <f>'19_Расчет_аналитики'!S2799+SUM('19_Расчет_аналитики'!T2755:T2760)+'19_Расчет_аналитики'!T2650-'19_Расчет_аналитики'!T2777</f>
        <v/>
      </c>
      <c r="U2799">
        <f>'19_Расчет_аналитики'!T2799+SUM('19_Расчет_аналитики'!U2755:U2760)+'19_Расчет_аналитики'!U2650-'19_Расчет_аналитики'!U2777</f>
        <v/>
      </c>
      <c r="V2799">
        <f>'19_Расчет_аналитики'!U2799+SUM('19_Расчет_аналитики'!V2755:V2760)+'19_Расчет_аналитики'!V2650-'19_Расчет_аналитики'!V2777</f>
        <v/>
      </c>
      <c r="W2799">
        <f>'19_Расчет_аналитики'!V2799+SUM('19_Расчет_аналитики'!W2755:W2760)+'19_Расчет_аналитики'!W2650-'19_Расчет_аналитики'!W2777</f>
        <v/>
      </c>
      <c r="X2799">
        <f>'19_Расчет_аналитики'!W2799+SUM('19_Расчет_аналитики'!X2755:X2760)+'19_Расчет_аналитики'!X2650-'19_Расчет_аналитики'!X2777</f>
        <v/>
      </c>
      <c r="Y2799">
        <f>'19_Расчет_аналитики'!X2799+SUM('19_Расчет_аналитики'!Y2755:Y2760)+'19_Расчет_аналитики'!Y2650-'19_Расчет_аналитики'!Y2777</f>
        <v/>
      </c>
      <c r="Z2799">
        <f>'19_Расчет_аналитики'!Y2799+SUM('19_Расчет_аналитики'!Z2755:Z2760)+'19_Расчет_аналитики'!Z2650-'19_Расчет_аналитики'!Z2777</f>
        <v/>
      </c>
      <c r="AA2799">
        <f>'19_Расчет_аналитики'!Z2799+SUM('19_Расчет_аналитики'!AA2755:AA2760)+'19_Расчет_аналитики'!AA2650-'19_Расчет_аналитики'!AA2777</f>
        <v/>
      </c>
      <c r="AB2799">
        <f>'19_Расчет_аналитики'!AA2799+SUM('19_Расчет_аналитики'!AB2755:AB2760)+'19_Расчет_аналитики'!AB2650-'19_Расчет_аналитики'!AB2777</f>
        <v/>
      </c>
      <c r="AC2799">
        <f>'19_Расчет_аналитики'!AB2799+SUM('19_Расчет_аналитики'!AC2755:AC2760)+'19_Расчет_аналитики'!AC2650-'19_Расчет_аналитики'!AC2777</f>
        <v/>
      </c>
      <c r="AD2799">
        <f>'19_Расчет_аналитики'!AC2799+SUM('19_Расчет_аналитики'!AD2755:AD2760)+'19_Расчет_аналитики'!AD2650-'19_Расчет_аналитики'!AD2777</f>
        <v/>
      </c>
      <c r="AE2799">
        <f>'19_Расчет_аналитики'!AD2799+SUM('19_Расчет_аналитики'!AE2755:AE2760)+'19_Расчет_аналитики'!AE2650-'19_Расчет_аналитики'!AE2777</f>
        <v/>
      </c>
      <c r="AF2799">
        <f>'19_Расчет_аналитики'!AE2799+SUM('19_Расчет_аналитики'!AF2755:AF2760)+'19_Расчет_аналитики'!AF2650-'19_Расчет_аналитики'!AF2777</f>
        <v/>
      </c>
      <c r="AG2799">
        <f>'19_Расчет_аналитики'!AF2799+SUM('19_Расчет_аналитики'!AG2755:AG2760)+'19_Расчет_аналитики'!AG2650-'19_Расчет_аналитики'!AG2777</f>
        <v/>
      </c>
      <c r="AH2799">
        <f>'19_Расчет_аналитики'!AG2799+SUM('19_Расчет_аналитики'!AH2755:AH2760)+'19_Расчет_аналитики'!AH2650-'19_Расчет_аналитики'!AH2777</f>
        <v/>
      </c>
      <c r="AI2799">
        <f>'19_Расчет_аналитики'!AH2799+SUM('19_Расчет_аналитики'!AI2755:AI2760)+'19_Расчет_аналитики'!AI2650-'19_Расчет_аналитики'!AI2777</f>
        <v/>
      </c>
      <c r="AJ2799">
        <f>'19_Расчет_аналитики'!AI2799+SUM('19_Расчет_аналитики'!AJ2755:AJ2760)+'19_Расчет_аналитики'!AJ2650-'19_Расчет_аналитики'!AJ2777</f>
        <v/>
      </c>
      <c r="AK2799">
        <f>'19_Расчет_аналитики'!AJ2799+SUM('19_Расчет_аналитики'!AK2755:AK2760)+'19_Расчет_аналитики'!AK2650-'19_Расчет_аналитики'!AK2777</f>
        <v/>
      </c>
      <c r="AL2799">
        <f>'19_Расчет_аналитики'!AK2799+SUM('19_Расчет_аналитики'!AL2755:AL2760)+'19_Расчет_аналитики'!AL2650-'19_Расчет_аналитики'!AL2777</f>
        <v/>
      </c>
      <c r="AM2799">
        <f>'19_Расчет_аналитики'!AL2799+SUM('19_Расчет_аналитики'!AM2755:AM2760)+'19_Расчет_аналитики'!AM2650-'19_Расчет_аналитики'!AM2777</f>
        <v/>
      </c>
      <c r="AN2799">
        <f>'19_Расчет_аналитики'!AM2799+SUM('19_Расчет_аналитики'!AN2755:AN2760)+'19_Расчет_аналитики'!AN2650-'19_Расчет_аналитики'!AN2777</f>
        <v/>
      </c>
      <c r="AO2799">
        <f>'19_Расчет_аналитики'!AN2799+SUM('19_Расчет_аналитики'!AO2755:AO2760)+'19_Расчет_аналитики'!AO2650-'19_Расчет_аналитики'!AO2777</f>
        <v/>
      </c>
      <c r="AP2799">
        <f>'19_Расчет_аналитики'!AO2799+SUM('19_Расчет_аналитики'!AP2755:AP2760)+'19_Расчет_аналитики'!AP2650-'19_Расчет_аналитики'!AP2777</f>
        <v/>
      </c>
      <c r="AQ2799">
        <f>'19_Расчет_аналитики'!AP2799+SUM('19_Расчет_аналитики'!AQ2755:AQ2760)+'19_Расчет_аналитики'!AQ2650-'19_Расчет_аналитики'!AQ2777</f>
        <v/>
      </c>
      <c r="AR2799">
        <f>'19_Расчет_аналитики'!AQ2799+SUM('19_Расчет_аналитики'!AR2755:AR2760)+'19_Расчет_аналитики'!AR2650-'19_Расчет_аналитики'!AR2777</f>
        <v/>
      </c>
      <c r="AS2799">
        <f>'19_Расчет_аналитики'!AR2799+SUM('19_Расчет_аналитики'!AS2755:AS2760)+'19_Расчет_аналитики'!AS2650-'19_Расчет_аналитики'!AS2777</f>
        <v/>
      </c>
      <c r="AT2799">
        <f>'19_Расчет_аналитики'!AS2799+SUM('19_Расчет_аналитики'!AT2755:AT2760)+'19_Расчет_аналитики'!AT2650-'19_Расчет_аналитики'!AT2777</f>
        <v/>
      </c>
      <c r="AU2799">
        <f>'19_Расчет_аналитики'!AT2799+SUM('19_Расчет_аналитики'!AU2755:AU2760)+'19_Расчет_аналитики'!AU2650-'19_Расчет_аналитики'!AU2777</f>
        <v/>
      </c>
      <c r="AV2799">
        <f>'19_Расчет_аналитики'!AU2799+SUM('19_Расчет_аналитики'!AV2755:AV2760)+'19_Расчет_аналитики'!AV2650-'19_Расчет_аналитики'!AV2777</f>
        <v/>
      </c>
      <c r="AW2799">
        <f>'19_Расчет_аналитики'!AV2799+SUM('19_Расчет_аналитики'!AW2755:AW2760)+'19_Расчет_аналитики'!AW2650-'19_Расчет_аналитики'!AW2777</f>
        <v/>
      </c>
      <c r="AX2799">
        <f>'19_Расчет_аналитики'!AW2799+SUM('19_Расчет_аналитики'!AX2755:AX2760)+'19_Расчет_аналитики'!AX2650-'19_Расчет_аналитики'!AX2777</f>
        <v/>
      </c>
      <c r="AY2799">
        <f>'19_Расчет_аналитики'!AX2799+SUM('19_Расчет_аналитики'!AY2755:AY2760)+'19_Расчет_аналитики'!AY2650-'19_Расчет_аналитики'!AY2777</f>
        <v/>
      </c>
      <c r="AZ2799">
        <f>'19_Расчет_аналитики'!AY2799+SUM('19_Расчет_аналитики'!AZ2755:AZ2760)+'19_Расчет_аналитики'!AZ2650-'19_Расчет_аналитики'!AZ2777</f>
        <v/>
      </c>
      <c r="BA2799">
        <f>'19_Расчет_аналитики'!AZ2799+SUM('19_Расчет_аналитики'!BA2755:BA2760)+'19_Расчет_аналитики'!BA2650-'19_Расчет_аналитики'!BA2777</f>
        <v/>
      </c>
      <c r="BB2799">
        <f>'19_Расчет_аналитики'!BA2799+SUM('19_Расчет_аналитики'!BB2755:BB2760)+'19_Расчет_аналитики'!BB2650-'19_Расчет_аналитики'!BB2777</f>
        <v/>
      </c>
      <c r="BC2799">
        <f>'19_Расчет_аналитики'!BB2799+SUM('19_Расчет_аналитики'!BC2755:BC2760)+'19_Расчет_аналитики'!BC2650-'19_Расчет_аналитики'!BC2777</f>
        <v/>
      </c>
      <c r="BD2799">
        <f>'19_Расчет_аналитики'!BC2799+SUM('19_Расчет_аналитики'!BD2755:BD2760)+'19_Расчет_аналитики'!BD2650-'19_Расчет_аналитики'!BD2777</f>
        <v/>
      </c>
      <c r="BE2799">
        <f>'19_Расчет_аналитики'!BD2799+SUM('19_Расчет_аналитики'!BE2755:BE2760)+'19_Расчет_аналитики'!BE2650-'19_Расчет_аналитики'!BE2777</f>
        <v/>
      </c>
      <c r="BF2799">
        <f>'19_Расчет_аналитики'!BE2799+SUM('19_Расчет_аналитики'!BF2755:BF2760)+'19_Расчет_аналитики'!BF2650-'19_Расчет_аналитики'!BF2777</f>
        <v/>
      </c>
      <c r="BG2799">
        <f>'19_Расчет_аналитики'!BF2799+SUM('19_Расчет_аналитики'!BG2755:BG2760)+'19_Расчет_аналитики'!BG2650-'19_Расчет_аналитики'!BG2777</f>
        <v/>
      </c>
      <c r="BH2799">
        <f>'19_Расчет_аналитики'!BG2799+SUM('19_Расчет_аналитики'!BH2755:BH2760)+'19_Расчет_аналитики'!BH2650-'19_Расчет_аналитики'!BH2777</f>
        <v/>
      </c>
      <c r="BI2799">
        <f>'19_Расчет_аналитики'!BH2799+SUM('19_Расчет_аналитики'!BI2755:BI2760)+'19_Расчет_аналитики'!BI2650-'19_Расчет_аналитики'!BI2777</f>
        <v/>
      </c>
    </row>
    <row r="2800"/>
    <row r="2801"/>
    <row r="2802">
      <c r="B2802">
        <f>'19_Расчет_аналитики'!B2651-'07_Мерч'!B22</f>
        <v/>
      </c>
      <c r="C2802">
        <f>'19_Расчет_аналитики'!C2651-'19_Расчет_аналитики'!C2647</f>
        <v/>
      </c>
      <c r="D2802">
        <f>'19_Расчет_аналитики'!D2651-'19_Расчет_аналитики'!D2647</f>
        <v/>
      </c>
      <c r="E2802">
        <f>'19_Расчет_аналитики'!E2651-'19_Расчет_аналитики'!E2647</f>
        <v/>
      </c>
      <c r="F2802">
        <f>'19_Расчет_аналитики'!F2651-'19_Расчет_аналитики'!F2647</f>
        <v/>
      </c>
      <c r="G2802">
        <f>'19_Расчет_аналитики'!G2651-'19_Расчет_аналитики'!G2647</f>
        <v/>
      </c>
      <c r="H2802">
        <f>'19_Расчет_аналитики'!H2651-'19_Расчет_аналитики'!H2647</f>
        <v/>
      </c>
      <c r="I2802">
        <f>'19_Расчет_аналитики'!I2651-'19_Расчет_аналитики'!I2647</f>
        <v/>
      </c>
      <c r="J2802">
        <f>'19_Расчет_аналитики'!J2651-'19_Расчет_аналитики'!J2647</f>
        <v/>
      </c>
      <c r="K2802">
        <f>'19_Расчет_аналитики'!K2651-'19_Расчет_аналитики'!K2647</f>
        <v/>
      </c>
      <c r="L2802">
        <f>'19_Расчет_аналитики'!L2651-'19_Расчет_аналитики'!L2647</f>
        <v/>
      </c>
      <c r="M2802">
        <f>'19_Расчет_аналитики'!M2651-'19_Расчет_аналитики'!M2647</f>
        <v/>
      </c>
      <c r="N2802">
        <f>'19_Расчет_аналитики'!N2651-'19_Расчет_аналитики'!N2647</f>
        <v/>
      </c>
      <c r="O2802">
        <f>'19_Расчет_аналитики'!O2651-'19_Расчет_аналитики'!O2647</f>
        <v/>
      </c>
      <c r="P2802">
        <f>'19_Расчет_аналитики'!P2651-'19_Расчет_аналитики'!P2647</f>
        <v/>
      </c>
      <c r="Q2802">
        <f>'19_Расчет_аналитики'!Q2651-'19_Расчет_аналитики'!Q2647</f>
        <v/>
      </c>
      <c r="R2802">
        <f>'19_Расчет_аналитики'!R2651-'19_Расчет_аналитики'!R2647</f>
        <v/>
      </c>
      <c r="S2802">
        <f>'19_Расчет_аналитики'!S2651-'19_Расчет_аналитики'!S2647</f>
        <v/>
      </c>
      <c r="T2802">
        <f>'19_Расчет_аналитики'!T2651-'19_Расчет_аналитики'!T2647</f>
        <v/>
      </c>
      <c r="U2802">
        <f>'19_Расчет_аналитики'!U2651-'19_Расчет_аналитики'!U2647</f>
        <v/>
      </c>
      <c r="V2802">
        <f>'19_Расчет_аналитики'!V2651-'19_Расчет_аналитики'!V2647</f>
        <v/>
      </c>
      <c r="W2802">
        <f>'19_Расчет_аналитики'!W2651-'19_Расчет_аналитики'!W2647</f>
        <v/>
      </c>
      <c r="X2802">
        <f>'19_Расчет_аналитики'!X2651-'19_Расчет_аналитики'!X2647</f>
        <v/>
      </c>
      <c r="Y2802">
        <f>'19_Расчет_аналитики'!Y2651-'19_Расчет_аналитики'!Y2647</f>
        <v/>
      </c>
      <c r="Z2802">
        <f>'19_Расчет_аналитики'!Z2651-'19_Расчет_аналитики'!Z2647</f>
        <v/>
      </c>
      <c r="AA2802">
        <f>'19_Расчет_аналитики'!AA2651-'19_Расчет_аналитики'!AA2647</f>
        <v/>
      </c>
      <c r="AB2802">
        <f>'19_Расчет_аналитики'!AB2651-'19_Расчет_аналитики'!AB2647</f>
        <v/>
      </c>
      <c r="AC2802">
        <f>'19_Расчет_аналитики'!AC2651-'19_Расчет_аналитики'!AC2647</f>
        <v/>
      </c>
      <c r="AD2802">
        <f>'19_Расчет_аналитики'!AD2651-'19_Расчет_аналитики'!AD2647</f>
        <v/>
      </c>
      <c r="AE2802">
        <f>'19_Расчет_аналитики'!AE2651-'19_Расчет_аналитики'!AE2647</f>
        <v/>
      </c>
      <c r="AF2802">
        <f>'19_Расчет_аналитики'!AF2651-'19_Расчет_аналитики'!AF2647</f>
        <v/>
      </c>
      <c r="AG2802">
        <f>'19_Расчет_аналитики'!AG2651-'19_Расчет_аналитики'!AG2647</f>
        <v/>
      </c>
      <c r="AH2802">
        <f>'19_Расчет_аналитики'!AH2651-'19_Расчет_аналитики'!AH2647</f>
        <v/>
      </c>
      <c r="AI2802">
        <f>'19_Расчет_аналитики'!AI2651-'19_Расчет_аналитики'!AI2647</f>
        <v/>
      </c>
      <c r="AJ2802">
        <f>'19_Расчет_аналитики'!AJ2651-'19_Расчет_аналитики'!AJ2647</f>
        <v/>
      </c>
      <c r="AK2802">
        <f>'19_Расчет_аналитики'!AK2651-'19_Расчет_аналитики'!AK2647</f>
        <v/>
      </c>
      <c r="AL2802">
        <f>'19_Расчет_аналитики'!AL2651-'19_Расчет_аналитики'!AL2647</f>
        <v/>
      </c>
      <c r="AM2802">
        <f>'19_Расчет_аналитики'!AM2651-'19_Расчет_аналитики'!AM2647</f>
        <v/>
      </c>
      <c r="AN2802">
        <f>'19_Расчет_аналитики'!AN2651-'19_Расчет_аналитики'!AN2647</f>
        <v/>
      </c>
      <c r="AO2802">
        <f>'19_Расчет_аналитики'!AO2651-'19_Расчет_аналитики'!AO2647</f>
        <v/>
      </c>
      <c r="AP2802">
        <f>'19_Расчет_аналитики'!AP2651-'19_Расчет_аналитики'!AP2647</f>
        <v/>
      </c>
      <c r="AQ2802">
        <f>'19_Расчет_аналитики'!AQ2651-'19_Расчет_аналитики'!AQ2647</f>
        <v/>
      </c>
      <c r="AR2802">
        <f>'19_Расчет_аналитики'!AR2651-'19_Расчет_аналитики'!AR2647</f>
        <v/>
      </c>
      <c r="AS2802">
        <f>'19_Расчет_аналитики'!AS2651-'19_Расчет_аналитики'!AS2647</f>
        <v/>
      </c>
      <c r="AT2802">
        <f>'19_Расчет_аналитики'!AT2651-'19_Расчет_аналитики'!AT2647</f>
        <v/>
      </c>
      <c r="AU2802">
        <f>'19_Расчет_аналитики'!AU2651-'19_Расчет_аналитики'!AU2647</f>
        <v/>
      </c>
      <c r="AV2802">
        <f>'19_Расчет_аналитики'!AV2651-'19_Расчет_аналитики'!AV2647</f>
        <v/>
      </c>
      <c r="AW2802">
        <f>'19_Расчет_аналитики'!AW2651-'19_Расчет_аналитики'!AW2647</f>
        <v/>
      </c>
      <c r="AX2802">
        <f>'19_Расчет_аналитики'!AX2651-'19_Расчет_аналитики'!AX2647</f>
        <v/>
      </c>
      <c r="AY2802">
        <f>'19_Расчет_аналитики'!AY2651-'19_Расчет_аналитики'!AY2647</f>
        <v/>
      </c>
      <c r="AZ2802">
        <f>'19_Расчет_аналитики'!AZ2651-'19_Расчет_аналитики'!AZ2647</f>
        <v/>
      </c>
      <c r="BA2802">
        <f>'19_Расчет_аналитики'!BA2651-'19_Расчет_аналитики'!BA2647</f>
        <v/>
      </c>
      <c r="BB2802">
        <f>'19_Расчет_аналитики'!BB2651-'19_Расчет_аналитики'!BB2647</f>
        <v/>
      </c>
      <c r="BC2802">
        <f>'19_Расчет_аналитики'!BC2651-'19_Расчет_аналитики'!BC2647</f>
        <v/>
      </c>
      <c r="BD2802">
        <f>'19_Расчет_аналитики'!BD2651-'19_Расчет_аналитики'!BD2647</f>
        <v/>
      </c>
      <c r="BE2802">
        <f>'19_Расчет_аналитики'!BE2651-'19_Расчет_аналитики'!BE2647</f>
        <v/>
      </c>
      <c r="BF2802">
        <f>'19_Расчет_аналитики'!BF2651-'19_Расчет_аналитики'!BF2647</f>
        <v/>
      </c>
      <c r="BG2802">
        <f>'19_Расчет_аналитики'!BG2651-'19_Расчет_аналитики'!BG2647</f>
        <v/>
      </c>
      <c r="BH2802">
        <f>'19_Расчет_аналитики'!BH2651-'19_Расчет_аналитики'!BH2647</f>
        <v/>
      </c>
      <c r="BI2802">
        <f>'19_Расчет_аналитики'!BI2651-'19_Расчет_аналитики'!BI2647</f>
        <v/>
      </c>
    </row>
    <row r="2803">
      <c r="B2803">
        <f>'19_Расчет_аналитики'!B2762-'19_Расчет_аналитики'!B2764-('19_Расчет_аналитики'!B2798-0)+('19_Расчет_аналитики'!B2799-0)+('02_Модель'!B82-0)-('02_Модель'!B83-0)-'19_Расчет_аналитики'!B2802-'19_Расчет_аналитики'!B2788+('19_Расчет_аналитики'!B2806-0)-'19_Расчет_аналитики'!B2775</f>
        <v/>
      </c>
      <c r="C2803">
        <f>'19_Расчет_аналитики'!C2762-'19_Расчет_аналитики'!C2764-('19_Расчет_аналитики'!C2798-'19_Расчет_аналитики'!B2798)+('19_Расчет_аналитики'!C2799-'19_Расчет_аналитики'!B2799)+('02_Модель'!C82-'02_Модель'!B82)-('02_Модель'!C83-'02_Модель'!B83)-'19_Расчет_аналитики'!C2802-'19_Расчет_аналитики'!C2788+('19_Расчет_аналитики'!C2806-'19_Расчет_аналитики'!B2806)-'19_Расчет_аналитики'!C2775</f>
        <v/>
      </c>
      <c r="D2803">
        <f>'19_Расчет_аналитики'!D2762-'19_Расчет_аналитики'!D2764-('19_Расчет_аналитики'!D2798-'19_Расчет_аналитики'!C2798)+('19_Расчет_аналитики'!D2799-'19_Расчет_аналитики'!C2799)+('02_Модель'!D82-'02_Модель'!C82)-('02_Модель'!D83-'02_Модель'!C83)-'19_Расчет_аналитики'!D2802-'19_Расчет_аналитики'!D2788+('19_Расчет_аналитики'!D2806-'19_Расчет_аналитики'!C2806)-'19_Расчет_аналитики'!D2775</f>
        <v/>
      </c>
      <c r="E2803">
        <f>'19_Расчет_аналитики'!E2762-'19_Расчет_аналитики'!E2764-('19_Расчет_аналитики'!E2798-'19_Расчет_аналитики'!D2798)+('19_Расчет_аналитики'!E2799-'19_Расчет_аналитики'!D2799)+('02_Модель'!E82-'02_Модель'!D82)-('02_Модель'!E83-'02_Модель'!D83)-'19_Расчет_аналитики'!E2802-'19_Расчет_аналитики'!E2788+('19_Расчет_аналитики'!E2806-'19_Расчет_аналитики'!D2806)-'19_Расчет_аналитики'!E2775</f>
        <v/>
      </c>
      <c r="F2803">
        <f>'19_Расчет_аналитики'!F2762-'19_Расчет_аналитики'!F2764-('19_Расчет_аналитики'!F2798-'19_Расчет_аналитики'!E2798)+('19_Расчет_аналитики'!F2799-'19_Расчет_аналитики'!E2799)+('02_Модель'!F82-'02_Модель'!E82)-('02_Модель'!F83-'02_Модель'!E83)-'19_Расчет_аналитики'!F2802-'19_Расчет_аналитики'!F2788+('19_Расчет_аналитики'!F2806-'19_Расчет_аналитики'!E2806)-'19_Расчет_аналитики'!F2775</f>
        <v/>
      </c>
      <c r="G2803">
        <f>'19_Расчет_аналитики'!G2762-'19_Расчет_аналитики'!G2764-('19_Расчет_аналитики'!G2798-'19_Расчет_аналитики'!F2798)+('19_Расчет_аналитики'!G2799-'19_Расчет_аналитики'!F2799)+('02_Модель'!G82-'02_Модель'!F82)-('02_Модель'!G83-'02_Модель'!F83)-'19_Расчет_аналитики'!G2802-'19_Расчет_аналитики'!G2788+('19_Расчет_аналитики'!G2806-'19_Расчет_аналитики'!F2806)-'19_Расчет_аналитики'!G2775</f>
        <v/>
      </c>
      <c r="H2803">
        <f>'19_Расчет_аналитики'!H2762-'19_Расчет_аналитики'!H2764-('19_Расчет_аналитики'!H2798-'19_Расчет_аналитики'!G2798)+('19_Расчет_аналитики'!H2799-'19_Расчет_аналитики'!G2799)+('02_Модель'!H82-'02_Модель'!G82)-('02_Модель'!H83-'02_Модель'!G83)-'19_Расчет_аналитики'!H2802-'19_Расчет_аналитики'!H2788+('19_Расчет_аналитики'!H2806-'19_Расчет_аналитики'!G2806)-'19_Расчет_аналитики'!H2775</f>
        <v/>
      </c>
      <c r="I2803">
        <f>'19_Расчет_аналитики'!I2762-'19_Расчет_аналитики'!I2764-('19_Расчет_аналитики'!I2798-'19_Расчет_аналитики'!H2798)+('19_Расчет_аналитики'!I2799-'19_Расчет_аналитики'!H2799)+('02_Модель'!I82-'02_Модель'!H82)-('02_Модель'!I83-'02_Модель'!H83)-'19_Расчет_аналитики'!I2802-'19_Расчет_аналитики'!I2788+('19_Расчет_аналитики'!I2806-'19_Расчет_аналитики'!H2806)-'19_Расчет_аналитики'!I2775</f>
        <v/>
      </c>
      <c r="J2803">
        <f>'19_Расчет_аналитики'!J2762-'19_Расчет_аналитики'!J2764-('19_Расчет_аналитики'!J2798-'19_Расчет_аналитики'!I2798)+('19_Расчет_аналитики'!J2799-'19_Расчет_аналитики'!I2799)+('02_Модель'!J82-'02_Модель'!I82)-('02_Модель'!J83-'02_Модель'!I83)-'19_Расчет_аналитики'!J2802-'19_Расчет_аналитики'!J2788+('19_Расчет_аналитики'!J2806-'19_Расчет_аналитики'!I2806)-'19_Расчет_аналитики'!J2775</f>
        <v/>
      </c>
      <c r="K2803">
        <f>'19_Расчет_аналитики'!K2762-'19_Расчет_аналитики'!K2764-('19_Расчет_аналитики'!K2798-'19_Расчет_аналитики'!J2798)+('19_Расчет_аналитики'!K2799-'19_Расчет_аналитики'!J2799)+('02_Модель'!K82-'02_Модель'!J82)-('02_Модель'!K83-'02_Модель'!J83)-'19_Расчет_аналитики'!K2802-'19_Расчет_аналитики'!K2788+('19_Расчет_аналитики'!K2806-'19_Расчет_аналитики'!J2806)-'19_Расчет_аналитики'!K2775</f>
        <v/>
      </c>
      <c r="L2803">
        <f>'19_Расчет_аналитики'!L2762-'19_Расчет_аналитики'!L2764-('19_Расчет_аналитики'!L2798-'19_Расчет_аналитики'!K2798)+('19_Расчет_аналитики'!L2799-'19_Расчет_аналитики'!K2799)+('02_Модель'!L82-'02_Модель'!K82)-('02_Модель'!L83-'02_Модель'!K83)-'19_Расчет_аналитики'!L2802-'19_Расчет_аналитики'!L2788+('19_Расчет_аналитики'!L2806-'19_Расчет_аналитики'!K2806)-'19_Расчет_аналитики'!L2775</f>
        <v/>
      </c>
      <c r="M2803">
        <f>'19_Расчет_аналитики'!M2762-'19_Расчет_аналитики'!M2764-('19_Расчет_аналитики'!M2798-'19_Расчет_аналитики'!L2798)+('19_Расчет_аналитики'!M2799-'19_Расчет_аналитики'!L2799)+('02_Модель'!M82-'02_Модель'!L82)-('02_Модель'!M83-'02_Модель'!L83)-'19_Расчет_аналитики'!M2802-'19_Расчет_аналитики'!M2788+('19_Расчет_аналитики'!M2806-'19_Расчет_аналитики'!L2806)-'19_Расчет_аналитики'!M2775</f>
        <v/>
      </c>
      <c r="N2803">
        <f>'19_Расчет_аналитики'!N2762-'19_Расчет_аналитики'!N2764-('19_Расчет_аналитики'!N2798-'19_Расчет_аналитики'!M2798)+('19_Расчет_аналитики'!N2799-'19_Расчет_аналитики'!M2799)+('02_Модель'!N82-'02_Модель'!M82)-('02_Модель'!N83-'02_Модель'!M83)-'19_Расчет_аналитики'!N2802-'19_Расчет_аналитики'!N2788+('19_Расчет_аналитики'!N2806-'19_Расчет_аналитики'!M2806)-'19_Расчет_аналитики'!N2775</f>
        <v/>
      </c>
      <c r="O2803">
        <f>'19_Расчет_аналитики'!O2762-'19_Расчет_аналитики'!O2764-('19_Расчет_аналитики'!O2798-'19_Расчет_аналитики'!N2798)+('19_Расчет_аналитики'!O2799-'19_Расчет_аналитики'!N2799)+('02_Модель'!O82-'02_Модель'!N82)-('02_Модель'!O83-'02_Модель'!N83)-'19_Расчет_аналитики'!O2802-'19_Расчет_аналитики'!O2788+('19_Расчет_аналитики'!O2806-'19_Расчет_аналитики'!N2806)-'19_Расчет_аналитики'!O2775</f>
        <v/>
      </c>
      <c r="P2803">
        <f>'19_Расчет_аналитики'!P2762-'19_Расчет_аналитики'!P2764-('19_Расчет_аналитики'!P2798-'19_Расчет_аналитики'!O2798)+('19_Расчет_аналитики'!P2799-'19_Расчет_аналитики'!O2799)+('02_Модель'!P82-'02_Модель'!O82)-('02_Модель'!P83-'02_Модель'!O83)-'19_Расчет_аналитики'!P2802-'19_Расчет_аналитики'!P2788+('19_Расчет_аналитики'!P2806-'19_Расчет_аналитики'!O2806)-'19_Расчет_аналитики'!P2775</f>
        <v/>
      </c>
      <c r="Q2803">
        <f>'19_Расчет_аналитики'!Q2762-'19_Расчет_аналитики'!Q2764-('19_Расчет_аналитики'!Q2798-'19_Расчет_аналитики'!P2798)+('19_Расчет_аналитики'!Q2799-'19_Расчет_аналитики'!P2799)+('02_Модель'!Q82-'02_Модель'!P82)-('02_Модель'!Q83-'02_Модель'!P83)-'19_Расчет_аналитики'!Q2802-'19_Расчет_аналитики'!Q2788+('19_Расчет_аналитики'!Q2806-'19_Расчет_аналитики'!P2806)-'19_Расчет_аналитики'!Q2775</f>
        <v/>
      </c>
      <c r="R2803">
        <f>'19_Расчет_аналитики'!R2762-'19_Расчет_аналитики'!R2764-('19_Расчет_аналитики'!R2798-'19_Расчет_аналитики'!Q2798)+('19_Расчет_аналитики'!R2799-'19_Расчет_аналитики'!Q2799)+('02_Модель'!R82-'02_Модель'!Q82)-('02_Модель'!R83-'02_Модель'!Q83)-'19_Расчет_аналитики'!R2802-'19_Расчет_аналитики'!R2788+('19_Расчет_аналитики'!R2806-'19_Расчет_аналитики'!Q2806)-'19_Расчет_аналитики'!R2775</f>
        <v/>
      </c>
      <c r="S2803">
        <f>'19_Расчет_аналитики'!S2762-'19_Расчет_аналитики'!S2764-('19_Расчет_аналитики'!S2798-'19_Расчет_аналитики'!R2798)+('19_Расчет_аналитики'!S2799-'19_Расчет_аналитики'!R2799)+('02_Модель'!S82-'02_Модель'!R82)-('02_Модель'!S83-'02_Модель'!R83)-'19_Расчет_аналитики'!S2802-'19_Расчет_аналитики'!S2788+('19_Расчет_аналитики'!S2806-'19_Расчет_аналитики'!R2806)-'19_Расчет_аналитики'!S2775</f>
        <v/>
      </c>
      <c r="T2803">
        <f>'19_Расчет_аналитики'!T2762-'19_Расчет_аналитики'!T2764-('19_Расчет_аналитики'!T2798-'19_Расчет_аналитики'!S2798)+('19_Расчет_аналитики'!T2799-'19_Расчет_аналитики'!S2799)+('02_Модель'!T82-'02_Модель'!S82)-('02_Модель'!T83-'02_Модель'!S83)-'19_Расчет_аналитики'!T2802-'19_Расчет_аналитики'!T2788+('19_Расчет_аналитики'!T2806-'19_Расчет_аналитики'!S2806)-'19_Расчет_аналитики'!T2775</f>
        <v/>
      </c>
      <c r="U2803">
        <f>'19_Расчет_аналитики'!U2762-'19_Расчет_аналитики'!U2764-('19_Расчет_аналитики'!U2798-'19_Расчет_аналитики'!T2798)+('19_Расчет_аналитики'!U2799-'19_Расчет_аналитики'!T2799)+('02_Модель'!U82-'02_Модель'!T82)-('02_Модель'!U83-'02_Модель'!T83)-'19_Расчет_аналитики'!U2802-'19_Расчет_аналитики'!U2788+('19_Расчет_аналитики'!U2806-'19_Расчет_аналитики'!T2806)-'19_Расчет_аналитики'!U2775</f>
        <v/>
      </c>
      <c r="V2803">
        <f>'19_Расчет_аналитики'!V2762-'19_Расчет_аналитики'!V2764-('19_Расчет_аналитики'!V2798-'19_Расчет_аналитики'!U2798)+('19_Расчет_аналитики'!V2799-'19_Расчет_аналитики'!U2799)+('02_Модель'!V82-'02_Модель'!U82)-('02_Модель'!V83-'02_Модель'!U83)-'19_Расчет_аналитики'!V2802-'19_Расчет_аналитики'!V2788+('19_Расчет_аналитики'!V2806-'19_Расчет_аналитики'!U2806)-'19_Расчет_аналитики'!V2775</f>
        <v/>
      </c>
      <c r="W2803">
        <f>'19_Расчет_аналитики'!W2762-'19_Расчет_аналитики'!W2764-('19_Расчет_аналитики'!W2798-'19_Расчет_аналитики'!V2798)+('19_Расчет_аналитики'!W2799-'19_Расчет_аналитики'!V2799)+('02_Модель'!W82-'02_Модель'!V82)-('02_Модель'!W83-'02_Модель'!V83)-'19_Расчет_аналитики'!W2802-'19_Расчет_аналитики'!W2788+('19_Расчет_аналитики'!W2806-'19_Расчет_аналитики'!V2806)-'19_Расчет_аналитики'!W2775</f>
        <v/>
      </c>
      <c r="X2803">
        <f>'19_Расчет_аналитики'!X2762-'19_Расчет_аналитики'!X2764-('19_Расчет_аналитики'!X2798-'19_Расчет_аналитики'!W2798)+('19_Расчет_аналитики'!X2799-'19_Расчет_аналитики'!W2799)+('02_Модель'!X82-'02_Модель'!W82)-('02_Модель'!X83-'02_Модель'!W83)-'19_Расчет_аналитики'!X2802-'19_Расчет_аналитики'!X2788+('19_Расчет_аналитики'!X2806-'19_Расчет_аналитики'!W2806)-'19_Расчет_аналитики'!X2775</f>
        <v/>
      </c>
      <c r="Y2803">
        <f>'19_Расчет_аналитики'!Y2762-'19_Расчет_аналитики'!Y2764-('19_Расчет_аналитики'!Y2798-'19_Расчет_аналитики'!X2798)+('19_Расчет_аналитики'!Y2799-'19_Расчет_аналитики'!X2799)+('02_Модель'!Y82-'02_Модель'!X82)-('02_Модель'!Y83-'02_Модель'!X83)-'19_Расчет_аналитики'!Y2802-'19_Расчет_аналитики'!Y2788+('19_Расчет_аналитики'!Y2806-'19_Расчет_аналитики'!X2806)-'19_Расчет_аналитики'!Y2775</f>
        <v/>
      </c>
      <c r="Z2803">
        <f>'19_Расчет_аналитики'!Z2762-'19_Расчет_аналитики'!Z2764-('19_Расчет_аналитики'!Z2798-'19_Расчет_аналитики'!Y2798)+('19_Расчет_аналитики'!Z2799-'19_Расчет_аналитики'!Y2799)+('02_Модель'!Z82-'02_Модель'!Y82)-('02_Модель'!Z83-'02_Модель'!Y83)-'19_Расчет_аналитики'!Z2802-'19_Расчет_аналитики'!Z2788+('19_Расчет_аналитики'!Z2806-'19_Расчет_аналитики'!Y2806)-'19_Расчет_аналитики'!Z2775</f>
        <v/>
      </c>
      <c r="AA2803">
        <f>'19_Расчет_аналитики'!AA2762-'19_Расчет_аналитики'!AA2764-('19_Расчет_аналитики'!AA2798-'19_Расчет_аналитики'!Z2798)+('19_Расчет_аналитики'!AA2799-'19_Расчет_аналитики'!Z2799)+('02_Модель'!AA82-'02_Модель'!Z82)-('02_Модель'!AA83-'02_Модель'!Z83)-'19_Расчет_аналитики'!AA2802-'19_Расчет_аналитики'!AA2788+('19_Расчет_аналитики'!AA2806-'19_Расчет_аналитики'!Z2806)-'19_Расчет_аналитики'!AA2775</f>
        <v/>
      </c>
      <c r="AB2803">
        <f>'19_Расчет_аналитики'!AB2762-'19_Расчет_аналитики'!AB2764-('19_Расчет_аналитики'!AB2798-'19_Расчет_аналитики'!AA2798)+('19_Расчет_аналитики'!AB2799-'19_Расчет_аналитики'!AA2799)+('02_Модель'!AB82-'02_Модель'!AA82)-('02_Модель'!AB83-'02_Модель'!AA83)-'19_Расчет_аналитики'!AB2802-'19_Расчет_аналитики'!AB2788+('19_Расчет_аналитики'!AB2806-'19_Расчет_аналитики'!AA2806)-'19_Расчет_аналитики'!AB2775</f>
        <v/>
      </c>
      <c r="AC2803">
        <f>'19_Расчет_аналитики'!AC2762-'19_Расчет_аналитики'!AC2764-('19_Расчет_аналитики'!AC2798-'19_Расчет_аналитики'!AB2798)+('19_Расчет_аналитики'!AC2799-'19_Расчет_аналитики'!AB2799)+('02_Модель'!AC82-'02_Модель'!AB82)-('02_Модель'!AC83-'02_Модель'!AB83)-'19_Расчет_аналитики'!AC2802-'19_Расчет_аналитики'!AC2788+('19_Расчет_аналитики'!AC2806-'19_Расчет_аналитики'!AB2806)-'19_Расчет_аналитики'!AC2775</f>
        <v/>
      </c>
      <c r="AD2803">
        <f>'19_Расчет_аналитики'!AD2762-'19_Расчет_аналитики'!AD2764-('19_Расчет_аналитики'!AD2798-'19_Расчет_аналитики'!AC2798)+('19_Расчет_аналитики'!AD2799-'19_Расчет_аналитики'!AC2799)+('02_Модель'!AD82-'02_Модель'!AC82)-('02_Модель'!AD83-'02_Модель'!AC83)-'19_Расчет_аналитики'!AD2802-'19_Расчет_аналитики'!AD2788+('19_Расчет_аналитики'!AD2806-'19_Расчет_аналитики'!AC2806)-'19_Расчет_аналитики'!AD2775</f>
        <v/>
      </c>
      <c r="AE2803">
        <f>'19_Расчет_аналитики'!AE2762-'19_Расчет_аналитики'!AE2764-('19_Расчет_аналитики'!AE2798-'19_Расчет_аналитики'!AD2798)+('19_Расчет_аналитики'!AE2799-'19_Расчет_аналитики'!AD2799)+('02_Модель'!AE82-'02_Модель'!AD82)-('02_Модель'!AE83-'02_Модель'!AD83)-'19_Расчет_аналитики'!AE2802-'19_Расчет_аналитики'!AE2788+('19_Расчет_аналитики'!AE2806-'19_Расчет_аналитики'!AD2806)-'19_Расчет_аналитики'!AE2775</f>
        <v/>
      </c>
      <c r="AF2803">
        <f>'19_Расчет_аналитики'!AF2762-'19_Расчет_аналитики'!AF2764-('19_Расчет_аналитики'!AF2798-'19_Расчет_аналитики'!AE2798)+('19_Расчет_аналитики'!AF2799-'19_Расчет_аналитики'!AE2799)+('02_Модель'!AF82-'02_Модель'!AE82)-('02_Модель'!AF83-'02_Модель'!AE83)-'19_Расчет_аналитики'!AF2802-'19_Расчет_аналитики'!AF2788+('19_Расчет_аналитики'!AF2806-'19_Расчет_аналитики'!AE2806)-'19_Расчет_аналитики'!AF2775</f>
        <v/>
      </c>
      <c r="AG2803">
        <f>'19_Расчет_аналитики'!AG2762-'19_Расчет_аналитики'!AG2764-('19_Расчет_аналитики'!AG2798-'19_Расчет_аналитики'!AF2798)+('19_Расчет_аналитики'!AG2799-'19_Расчет_аналитики'!AF2799)+('02_Модель'!AG82-'02_Модель'!AF82)-('02_Модель'!AG83-'02_Модель'!AF83)-'19_Расчет_аналитики'!AG2802-'19_Расчет_аналитики'!AG2788+('19_Расчет_аналитики'!AG2806-'19_Расчет_аналитики'!AF2806)-'19_Расчет_аналитики'!AG2775</f>
        <v/>
      </c>
      <c r="AH2803">
        <f>'19_Расчет_аналитики'!AH2762-'19_Расчет_аналитики'!AH2764-('19_Расчет_аналитики'!AH2798-'19_Расчет_аналитики'!AG2798)+('19_Расчет_аналитики'!AH2799-'19_Расчет_аналитики'!AG2799)+('02_Модель'!AH82-'02_Модель'!AG82)-('02_Модель'!AH83-'02_Модель'!AG83)-'19_Расчет_аналитики'!AH2802-'19_Расчет_аналитики'!AH2788+('19_Расчет_аналитики'!AH2806-'19_Расчет_аналитики'!AG2806)-'19_Расчет_аналитики'!AH2775</f>
        <v/>
      </c>
      <c r="AI2803">
        <f>'19_Расчет_аналитики'!AI2762-'19_Расчет_аналитики'!AI2764-('19_Расчет_аналитики'!AI2798-'19_Расчет_аналитики'!AH2798)+('19_Расчет_аналитики'!AI2799-'19_Расчет_аналитики'!AH2799)+('02_Модель'!AI82-'02_Модель'!AH82)-('02_Модель'!AI83-'02_Модель'!AH83)-'19_Расчет_аналитики'!AI2802-'19_Расчет_аналитики'!AI2788+('19_Расчет_аналитики'!AI2806-'19_Расчет_аналитики'!AH2806)-'19_Расчет_аналитики'!AI2775</f>
        <v/>
      </c>
      <c r="AJ2803">
        <f>'19_Расчет_аналитики'!AJ2762-'19_Расчет_аналитики'!AJ2764-('19_Расчет_аналитики'!AJ2798-'19_Расчет_аналитики'!AI2798)+('19_Расчет_аналитики'!AJ2799-'19_Расчет_аналитики'!AI2799)+('02_Модель'!AJ82-'02_Модель'!AI82)-('02_Модель'!AJ83-'02_Модель'!AI83)-'19_Расчет_аналитики'!AJ2802-'19_Расчет_аналитики'!AJ2788+('19_Расчет_аналитики'!AJ2806-'19_Расчет_аналитики'!AI2806)-'19_Расчет_аналитики'!AJ2775</f>
        <v/>
      </c>
      <c r="AK2803">
        <f>'19_Расчет_аналитики'!AK2762-'19_Расчет_аналитики'!AK2764-('19_Расчет_аналитики'!AK2798-'19_Расчет_аналитики'!AJ2798)+('19_Расчет_аналитики'!AK2799-'19_Расчет_аналитики'!AJ2799)+('02_Модель'!AK82-'02_Модель'!AJ82)-('02_Модель'!AK83-'02_Модель'!AJ83)-'19_Расчет_аналитики'!AK2802-'19_Расчет_аналитики'!AK2788+('19_Расчет_аналитики'!AK2806-'19_Расчет_аналитики'!AJ2806)-'19_Расчет_аналитики'!AK2775</f>
        <v/>
      </c>
      <c r="AL2803">
        <f>'19_Расчет_аналитики'!AL2762-'19_Расчет_аналитики'!AL2764-('19_Расчет_аналитики'!AL2798-'19_Расчет_аналитики'!AK2798)+('19_Расчет_аналитики'!AL2799-'19_Расчет_аналитики'!AK2799)+('02_Модель'!AL82-'02_Модель'!AK82)-('02_Модель'!AL83-'02_Модель'!AK83)-'19_Расчет_аналитики'!AL2802-'19_Расчет_аналитики'!AL2788+('19_Расчет_аналитики'!AL2806-'19_Расчет_аналитики'!AK2806)-'19_Расчет_аналитики'!AL2775</f>
        <v/>
      </c>
      <c r="AM2803">
        <f>'19_Расчет_аналитики'!AM2762-'19_Расчет_аналитики'!AM2764-('19_Расчет_аналитики'!AM2798-'19_Расчет_аналитики'!AL2798)+('19_Расчет_аналитики'!AM2799-'19_Расчет_аналитики'!AL2799)+('02_Модель'!AM82-'02_Модель'!AL82)-('02_Модель'!AM83-'02_Модель'!AL83)-'19_Расчет_аналитики'!AM2802-'19_Расчет_аналитики'!AM2788+('19_Расчет_аналитики'!AM2806-'19_Расчет_аналитики'!AL2806)-'19_Расчет_аналитики'!AM2775</f>
        <v/>
      </c>
      <c r="AN2803">
        <f>'19_Расчет_аналитики'!AN2762-'19_Расчет_аналитики'!AN2764-('19_Расчет_аналитики'!AN2798-'19_Расчет_аналитики'!AM2798)+('19_Расчет_аналитики'!AN2799-'19_Расчет_аналитики'!AM2799)+('02_Модель'!AN82-'02_Модель'!AM82)-('02_Модель'!AN83-'02_Модель'!AM83)-'19_Расчет_аналитики'!AN2802-'19_Расчет_аналитики'!AN2788+('19_Расчет_аналитики'!AN2806-'19_Расчет_аналитики'!AM2806)-'19_Расчет_аналитики'!AN2775</f>
        <v/>
      </c>
      <c r="AO2803">
        <f>'19_Расчет_аналитики'!AO2762-'19_Расчет_аналитики'!AO2764-('19_Расчет_аналитики'!AO2798-'19_Расчет_аналитики'!AN2798)+('19_Расчет_аналитики'!AO2799-'19_Расчет_аналитики'!AN2799)+('02_Модель'!AO82-'02_Модель'!AN82)-('02_Модель'!AO83-'02_Модель'!AN83)-'19_Расчет_аналитики'!AO2802-'19_Расчет_аналитики'!AO2788+('19_Расчет_аналитики'!AO2806-'19_Расчет_аналитики'!AN2806)-'19_Расчет_аналитики'!AO2775</f>
        <v/>
      </c>
      <c r="AP2803">
        <f>'19_Расчет_аналитики'!AP2762-'19_Расчет_аналитики'!AP2764-('19_Расчет_аналитики'!AP2798-'19_Расчет_аналитики'!AO2798)+('19_Расчет_аналитики'!AP2799-'19_Расчет_аналитики'!AO2799)+('02_Модель'!AP82-'02_Модель'!AO82)-('02_Модель'!AP83-'02_Модель'!AO83)-'19_Расчет_аналитики'!AP2802-'19_Расчет_аналитики'!AP2788+('19_Расчет_аналитики'!AP2806-'19_Расчет_аналитики'!AO2806)-'19_Расчет_аналитики'!AP2775</f>
        <v/>
      </c>
      <c r="AQ2803">
        <f>'19_Расчет_аналитики'!AQ2762-'19_Расчет_аналитики'!AQ2764-('19_Расчет_аналитики'!AQ2798-'19_Расчет_аналитики'!AP2798)+('19_Расчет_аналитики'!AQ2799-'19_Расчет_аналитики'!AP2799)+('02_Модель'!AQ82-'02_Модель'!AP82)-('02_Модель'!AQ83-'02_Модель'!AP83)-'19_Расчет_аналитики'!AQ2802-'19_Расчет_аналитики'!AQ2788+('19_Расчет_аналитики'!AQ2806-'19_Расчет_аналитики'!AP2806)-'19_Расчет_аналитики'!AQ2775</f>
        <v/>
      </c>
      <c r="AR2803">
        <f>'19_Расчет_аналитики'!AR2762-'19_Расчет_аналитики'!AR2764-('19_Расчет_аналитики'!AR2798-'19_Расчет_аналитики'!AQ2798)+('19_Расчет_аналитики'!AR2799-'19_Расчет_аналитики'!AQ2799)+('02_Модель'!AR82-'02_Модель'!AQ82)-('02_Модель'!AR83-'02_Модель'!AQ83)-'19_Расчет_аналитики'!AR2802-'19_Расчет_аналитики'!AR2788+('19_Расчет_аналитики'!AR2806-'19_Расчет_аналитики'!AQ2806)-'19_Расчет_аналитики'!AR2775</f>
        <v/>
      </c>
      <c r="AS2803">
        <f>'19_Расчет_аналитики'!AS2762-'19_Расчет_аналитики'!AS2764-('19_Расчет_аналитики'!AS2798-'19_Расчет_аналитики'!AR2798)+('19_Расчет_аналитики'!AS2799-'19_Расчет_аналитики'!AR2799)+('02_Модель'!AS82-'02_Модель'!AR82)-('02_Модель'!AS83-'02_Модель'!AR83)-'19_Расчет_аналитики'!AS2802-'19_Расчет_аналитики'!AS2788+('19_Расчет_аналитики'!AS2806-'19_Расчет_аналитики'!AR2806)-'19_Расчет_аналитики'!AS2775</f>
        <v/>
      </c>
      <c r="AT2803">
        <f>'19_Расчет_аналитики'!AT2762-'19_Расчет_аналитики'!AT2764-('19_Расчет_аналитики'!AT2798-'19_Расчет_аналитики'!AS2798)+('19_Расчет_аналитики'!AT2799-'19_Расчет_аналитики'!AS2799)+('02_Модель'!AT82-'02_Модель'!AS82)-('02_Модель'!AT83-'02_Модель'!AS83)-'19_Расчет_аналитики'!AT2802-'19_Расчет_аналитики'!AT2788+('19_Расчет_аналитики'!AT2806-'19_Расчет_аналитики'!AS2806)-'19_Расчет_аналитики'!AT2775</f>
        <v/>
      </c>
      <c r="AU2803">
        <f>'19_Расчет_аналитики'!AU2762-'19_Расчет_аналитики'!AU2764-('19_Расчет_аналитики'!AU2798-'19_Расчет_аналитики'!AT2798)+('19_Расчет_аналитики'!AU2799-'19_Расчет_аналитики'!AT2799)+('02_Модель'!AU82-'02_Модель'!AT82)-('02_Модель'!AU83-'02_Модель'!AT83)-'19_Расчет_аналитики'!AU2802-'19_Расчет_аналитики'!AU2788+('19_Расчет_аналитики'!AU2806-'19_Расчет_аналитики'!AT2806)-'19_Расчет_аналитики'!AU2775</f>
        <v/>
      </c>
      <c r="AV2803">
        <f>'19_Расчет_аналитики'!AV2762-'19_Расчет_аналитики'!AV2764-('19_Расчет_аналитики'!AV2798-'19_Расчет_аналитики'!AU2798)+('19_Расчет_аналитики'!AV2799-'19_Расчет_аналитики'!AU2799)+('02_Модель'!AV82-'02_Модель'!AU82)-('02_Модель'!AV83-'02_Модель'!AU83)-'19_Расчет_аналитики'!AV2802-'19_Расчет_аналитики'!AV2788+('19_Расчет_аналитики'!AV2806-'19_Расчет_аналитики'!AU2806)-'19_Расчет_аналитики'!AV2775</f>
        <v/>
      </c>
      <c r="AW2803">
        <f>'19_Расчет_аналитики'!AW2762-'19_Расчет_аналитики'!AW2764-('19_Расчет_аналитики'!AW2798-'19_Расчет_аналитики'!AV2798)+('19_Расчет_аналитики'!AW2799-'19_Расчет_аналитики'!AV2799)+('02_Модель'!AW82-'02_Модель'!AV82)-('02_Модель'!AW83-'02_Модель'!AV83)-'19_Расчет_аналитики'!AW2802-'19_Расчет_аналитики'!AW2788+('19_Расчет_аналитики'!AW2806-'19_Расчет_аналитики'!AV2806)-'19_Расчет_аналитики'!AW2775</f>
        <v/>
      </c>
      <c r="AX2803">
        <f>'19_Расчет_аналитики'!AX2762-'19_Расчет_аналитики'!AX2764-('19_Расчет_аналитики'!AX2798-'19_Расчет_аналитики'!AW2798)+('19_Расчет_аналитики'!AX2799-'19_Расчет_аналитики'!AW2799)+('02_Модель'!AX82-'02_Модель'!AW82)-('02_Модель'!AX83-'02_Модель'!AW83)-'19_Расчет_аналитики'!AX2802-'19_Расчет_аналитики'!AX2788+('19_Расчет_аналитики'!AX2806-'19_Расчет_аналитики'!AW2806)-'19_Расчет_аналитики'!AX2775</f>
        <v/>
      </c>
      <c r="AY2803">
        <f>'19_Расчет_аналитики'!AY2762-'19_Расчет_аналитики'!AY2764-('19_Расчет_аналитики'!AY2798-'19_Расчет_аналитики'!AX2798)+('19_Расчет_аналитики'!AY2799-'19_Расчет_аналитики'!AX2799)+('02_Модель'!AY82-'02_Модель'!AX82)-('02_Модель'!AY83-'02_Модель'!AX83)-'19_Расчет_аналитики'!AY2802-'19_Расчет_аналитики'!AY2788+('19_Расчет_аналитики'!AY2806-'19_Расчет_аналитики'!AX2806)-'19_Расчет_аналитики'!AY2775</f>
        <v/>
      </c>
      <c r="AZ2803">
        <f>'19_Расчет_аналитики'!AZ2762-'19_Расчет_аналитики'!AZ2764-('19_Расчет_аналитики'!AZ2798-'19_Расчет_аналитики'!AY2798)+('19_Расчет_аналитики'!AZ2799-'19_Расчет_аналитики'!AY2799)+('02_Модель'!AZ82-'02_Модель'!AY82)-('02_Модель'!AZ83-'02_Модель'!AY83)-'19_Расчет_аналитики'!AZ2802-'19_Расчет_аналитики'!AZ2788+('19_Расчет_аналитики'!AZ2806-'19_Расчет_аналитики'!AY2806)-'19_Расчет_аналитики'!AZ2775</f>
        <v/>
      </c>
      <c r="BA2803">
        <f>'19_Расчет_аналитики'!BA2762-'19_Расчет_аналитики'!BA2764-('19_Расчет_аналитики'!BA2798-'19_Расчет_аналитики'!AZ2798)+('19_Расчет_аналитики'!BA2799-'19_Расчет_аналитики'!AZ2799)+('02_Модель'!BA82-'02_Модель'!AZ82)-('02_Модель'!BA83-'02_Модель'!AZ83)-'19_Расчет_аналитики'!BA2802-'19_Расчет_аналитики'!BA2788+('19_Расчет_аналитики'!BA2806-'19_Расчет_аналитики'!AZ2806)-'19_Расчет_аналитики'!BA2775</f>
        <v/>
      </c>
      <c r="BB2803">
        <f>'19_Расчет_аналитики'!BB2762-'19_Расчет_аналитики'!BB2764-('19_Расчет_аналитики'!BB2798-'19_Расчет_аналитики'!BA2798)+('19_Расчет_аналитики'!BB2799-'19_Расчет_аналитики'!BA2799)+('02_Модель'!BB82-'02_Модель'!BA82)-('02_Модель'!BB83-'02_Модель'!BA83)-'19_Расчет_аналитики'!BB2802-'19_Расчет_аналитики'!BB2788+('19_Расчет_аналитики'!BB2806-'19_Расчет_аналитики'!BA2806)-'19_Расчет_аналитики'!BB2775</f>
        <v/>
      </c>
      <c r="BC2803">
        <f>'19_Расчет_аналитики'!BC2762-'19_Расчет_аналитики'!BC2764-('19_Расчет_аналитики'!BC2798-'19_Расчет_аналитики'!BB2798)+('19_Расчет_аналитики'!BC2799-'19_Расчет_аналитики'!BB2799)+('02_Модель'!BC82-'02_Модель'!BB82)-('02_Модель'!BC83-'02_Модель'!BB83)-'19_Расчет_аналитики'!BC2802-'19_Расчет_аналитики'!BC2788+('19_Расчет_аналитики'!BC2806-'19_Расчет_аналитики'!BB2806)-'19_Расчет_аналитики'!BC2775</f>
        <v/>
      </c>
      <c r="BD2803">
        <f>'19_Расчет_аналитики'!BD2762-'19_Расчет_аналитики'!BD2764-('19_Расчет_аналитики'!BD2798-'19_Расчет_аналитики'!BC2798)+('19_Расчет_аналитики'!BD2799-'19_Расчет_аналитики'!BC2799)+('02_Модель'!BD82-'02_Модель'!BC82)-('02_Модель'!BD83-'02_Модель'!BC83)-'19_Расчет_аналитики'!BD2802-'19_Расчет_аналитики'!BD2788+('19_Расчет_аналитики'!BD2806-'19_Расчет_аналитики'!BC2806)-'19_Расчет_аналитики'!BD2775</f>
        <v/>
      </c>
      <c r="BE2803">
        <f>'19_Расчет_аналитики'!BE2762-'19_Расчет_аналитики'!BE2764-('19_Расчет_аналитики'!BE2798-'19_Расчет_аналитики'!BD2798)+('19_Расчет_аналитики'!BE2799-'19_Расчет_аналитики'!BD2799)+('02_Модель'!BE82-'02_Модель'!BD82)-('02_Модель'!BE83-'02_Модель'!BD83)-'19_Расчет_аналитики'!BE2802-'19_Расчет_аналитики'!BE2788+('19_Расчет_аналитики'!BE2806-'19_Расчет_аналитики'!BD2806)-'19_Расчет_аналитики'!BE2775</f>
        <v/>
      </c>
      <c r="BF2803">
        <f>'19_Расчет_аналитики'!BF2762-'19_Расчет_аналитики'!BF2764-('19_Расчет_аналитики'!BF2798-'19_Расчет_аналитики'!BE2798)+('19_Расчет_аналитики'!BF2799-'19_Расчет_аналитики'!BE2799)+('02_Модель'!BF82-'02_Модель'!BE82)-('02_Модель'!BF83-'02_Модель'!BE83)-'19_Расчет_аналитики'!BF2802-'19_Расчет_аналитики'!BF2788+('19_Расчет_аналитики'!BF2806-'19_Расчет_аналитики'!BE2806)-'19_Расчет_аналитики'!BF2775</f>
        <v/>
      </c>
      <c r="BG2803">
        <f>'19_Расчет_аналитики'!BG2762-'19_Расчет_аналитики'!BG2764-('19_Расчет_аналитики'!BG2798-'19_Расчет_аналитики'!BF2798)+('19_Расчет_аналитики'!BG2799-'19_Расчет_аналитики'!BF2799)+('02_Модель'!BG82-'02_Модель'!BF82)-('02_Модель'!BG83-'02_Модель'!BF83)-'19_Расчет_аналитики'!BG2802-'19_Расчет_аналитики'!BG2788+('19_Расчет_аналитики'!BG2806-'19_Расчет_аналитики'!BF2806)-'19_Расчет_аналитики'!BG2775</f>
        <v/>
      </c>
      <c r="BH2803">
        <f>'19_Расчет_аналитики'!BH2762-'19_Расчет_аналитики'!BH2764-('19_Расчет_аналитики'!BH2798-'19_Расчет_аналитики'!BG2798)+('19_Расчет_аналитики'!BH2799-'19_Расчет_аналитики'!BG2799)+('02_Модель'!BH82-'02_Модель'!BG82)-('02_Модель'!BH83-'02_Модель'!BG83)-'19_Расчет_аналитики'!BH2802-'19_Расчет_аналитики'!BH2788+('19_Расчет_аналитики'!BH2806-'19_Расчет_аналитики'!BG2806)-'19_Расчет_аналитики'!BH2775</f>
        <v/>
      </c>
      <c r="BI2803">
        <f>'19_Расчет_аналитики'!BI2762-'19_Расчет_аналитики'!BI2764-('19_Расчет_аналитики'!BI2798-'19_Расчет_аналитики'!BH2798)+('19_Расчет_аналитики'!BI2799-'19_Расчет_аналитики'!BH2799)+('02_Модель'!BI82-'02_Модель'!BH82)-('02_Модель'!BI83-'02_Модель'!BH83)-'19_Расчет_аналитики'!BI2802-'19_Расчет_аналитики'!BI2788+('19_Расчет_аналитики'!BI2806-'19_Расчет_аналитики'!BH2806)-'19_Расчет_аналитики'!BI2775</f>
        <v/>
      </c>
    </row>
    <row r="2804">
      <c r="B2804">
        <f>'19_Расчет_аналитики'!B2803-'19_Расчет_аналитики'!B2789</f>
        <v/>
      </c>
      <c r="C2804">
        <f>'19_Расчет_аналитики'!C2803-'19_Расчет_аналитики'!C2789</f>
        <v/>
      </c>
      <c r="D2804">
        <f>'19_Расчет_аналитики'!D2803-'19_Расчет_аналитики'!D2789</f>
        <v/>
      </c>
      <c r="E2804">
        <f>'19_Расчет_аналитики'!E2803-'19_Расчет_аналитики'!E2789</f>
        <v/>
      </c>
      <c r="F2804">
        <f>'19_Расчет_аналитики'!F2803-'19_Расчет_аналитики'!F2789</f>
        <v/>
      </c>
      <c r="G2804">
        <f>'19_Расчет_аналитики'!G2803-'19_Расчет_аналитики'!G2789</f>
        <v/>
      </c>
      <c r="H2804">
        <f>'19_Расчет_аналитики'!H2803-'19_Расчет_аналитики'!H2789</f>
        <v/>
      </c>
      <c r="I2804">
        <f>'19_Расчет_аналитики'!I2803-'19_Расчет_аналитики'!I2789</f>
        <v/>
      </c>
      <c r="J2804">
        <f>'19_Расчет_аналитики'!J2803-'19_Расчет_аналитики'!J2789</f>
        <v/>
      </c>
      <c r="K2804">
        <f>'19_Расчет_аналитики'!K2803-'19_Расчет_аналитики'!K2789</f>
        <v/>
      </c>
      <c r="L2804">
        <f>'19_Расчет_аналитики'!L2803-'19_Расчет_аналитики'!L2789</f>
        <v/>
      </c>
      <c r="M2804">
        <f>'19_Расчет_аналитики'!M2803-'19_Расчет_аналитики'!M2789</f>
        <v/>
      </c>
      <c r="N2804">
        <f>'19_Расчет_аналитики'!N2803-'19_Расчет_аналитики'!N2789</f>
        <v/>
      </c>
      <c r="O2804">
        <f>'19_Расчет_аналитики'!O2803-'19_Расчет_аналитики'!O2789</f>
        <v/>
      </c>
      <c r="P2804">
        <f>'19_Расчет_аналитики'!P2803-'19_Расчет_аналитики'!P2789</f>
        <v/>
      </c>
      <c r="Q2804">
        <f>'19_Расчет_аналитики'!Q2803-'19_Расчет_аналитики'!Q2789</f>
        <v/>
      </c>
      <c r="R2804">
        <f>'19_Расчет_аналитики'!R2803-'19_Расчет_аналитики'!R2789</f>
        <v/>
      </c>
      <c r="S2804">
        <f>'19_Расчет_аналитики'!S2803-'19_Расчет_аналитики'!S2789</f>
        <v/>
      </c>
      <c r="T2804">
        <f>'19_Расчет_аналитики'!T2803-'19_Расчет_аналитики'!T2789</f>
        <v/>
      </c>
      <c r="U2804">
        <f>'19_Расчет_аналитики'!U2803-'19_Расчет_аналитики'!U2789</f>
        <v/>
      </c>
      <c r="V2804">
        <f>'19_Расчет_аналитики'!V2803-'19_Расчет_аналитики'!V2789</f>
        <v/>
      </c>
      <c r="W2804">
        <f>'19_Расчет_аналитики'!W2803-'19_Расчет_аналитики'!W2789</f>
        <v/>
      </c>
      <c r="X2804">
        <f>'19_Расчет_аналитики'!X2803-'19_Расчет_аналитики'!X2789</f>
        <v/>
      </c>
      <c r="Y2804">
        <f>'19_Расчет_аналитики'!Y2803-'19_Расчет_аналитики'!Y2789</f>
        <v/>
      </c>
      <c r="Z2804">
        <f>'19_Расчет_аналитики'!Z2803-'19_Расчет_аналитики'!Z2789</f>
        <v/>
      </c>
      <c r="AA2804">
        <f>'19_Расчет_аналитики'!AA2803-'19_Расчет_аналитики'!AA2789</f>
        <v/>
      </c>
      <c r="AB2804">
        <f>'19_Расчет_аналитики'!AB2803-'19_Расчет_аналитики'!AB2789</f>
        <v/>
      </c>
      <c r="AC2804">
        <f>'19_Расчет_аналитики'!AC2803-'19_Расчет_аналитики'!AC2789</f>
        <v/>
      </c>
      <c r="AD2804">
        <f>'19_Расчет_аналитики'!AD2803-'19_Расчет_аналитики'!AD2789</f>
        <v/>
      </c>
      <c r="AE2804">
        <f>'19_Расчет_аналитики'!AE2803-'19_Расчет_аналитики'!AE2789</f>
        <v/>
      </c>
      <c r="AF2804">
        <f>'19_Расчет_аналитики'!AF2803-'19_Расчет_аналитики'!AF2789</f>
        <v/>
      </c>
      <c r="AG2804">
        <f>'19_Расчет_аналитики'!AG2803-'19_Расчет_аналитики'!AG2789</f>
        <v/>
      </c>
      <c r="AH2804">
        <f>'19_Расчет_аналитики'!AH2803-'19_Расчет_аналитики'!AH2789</f>
        <v/>
      </c>
      <c r="AI2804">
        <f>'19_Расчет_аналитики'!AI2803-'19_Расчет_аналитики'!AI2789</f>
        <v/>
      </c>
      <c r="AJ2804">
        <f>'19_Расчет_аналитики'!AJ2803-'19_Расчет_аналитики'!AJ2789</f>
        <v/>
      </c>
      <c r="AK2804">
        <f>'19_Расчет_аналитики'!AK2803-'19_Расчет_аналитики'!AK2789</f>
        <v/>
      </c>
      <c r="AL2804">
        <f>'19_Расчет_аналитики'!AL2803-'19_Расчет_аналитики'!AL2789</f>
        <v/>
      </c>
      <c r="AM2804">
        <f>'19_Расчет_аналитики'!AM2803-'19_Расчет_аналитики'!AM2789</f>
        <v/>
      </c>
      <c r="AN2804">
        <f>'19_Расчет_аналитики'!AN2803-'19_Расчет_аналитики'!AN2789</f>
        <v/>
      </c>
      <c r="AO2804">
        <f>'19_Расчет_аналитики'!AO2803-'19_Расчет_аналитики'!AO2789</f>
        <v/>
      </c>
      <c r="AP2804">
        <f>'19_Расчет_аналитики'!AP2803-'19_Расчет_аналитики'!AP2789</f>
        <v/>
      </c>
      <c r="AQ2804">
        <f>'19_Расчет_аналитики'!AQ2803-'19_Расчет_аналитики'!AQ2789</f>
        <v/>
      </c>
      <c r="AR2804">
        <f>'19_Расчет_аналитики'!AR2803-'19_Расчет_аналитики'!AR2789</f>
        <v/>
      </c>
      <c r="AS2804">
        <f>'19_Расчет_аналитики'!AS2803-'19_Расчет_аналитики'!AS2789</f>
        <v/>
      </c>
      <c r="AT2804">
        <f>'19_Расчет_аналитики'!AT2803-'19_Расчет_аналитики'!AT2789</f>
        <v/>
      </c>
      <c r="AU2804">
        <f>'19_Расчет_аналитики'!AU2803-'19_Расчет_аналитики'!AU2789</f>
        <v/>
      </c>
      <c r="AV2804">
        <f>'19_Расчет_аналитики'!AV2803-'19_Расчет_аналитики'!AV2789</f>
        <v/>
      </c>
      <c r="AW2804">
        <f>'19_Расчет_аналитики'!AW2803-'19_Расчет_аналитики'!AW2789</f>
        <v/>
      </c>
      <c r="AX2804">
        <f>'19_Расчет_аналитики'!AX2803-'19_Расчет_аналитики'!AX2789</f>
        <v/>
      </c>
      <c r="AY2804">
        <f>'19_Расчет_аналитики'!AY2803-'19_Расчет_аналитики'!AY2789</f>
        <v/>
      </c>
      <c r="AZ2804">
        <f>'19_Расчет_аналитики'!AZ2803-'19_Расчет_аналитики'!AZ2789</f>
        <v/>
      </c>
      <c r="BA2804">
        <f>'19_Расчет_аналитики'!BA2803-'19_Расчет_аналитики'!BA2789</f>
        <v/>
      </c>
      <c r="BB2804">
        <f>'19_Расчет_аналитики'!BB2803-'19_Расчет_аналитики'!BB2789</f>
        <v/>
      </c>
      <c r="BC2804">
        <f>'19_Расчет_аналитики'!BC2803-'19_Расчет_аналитики'!BC2789</f>
        <v/>
      </c>
      <c r="BD2804">
        <f>'19_Расчет_аналитики'!BD2803-'19_Расчет_аналитики'!BD2789</f>
        <v/>
      </c>
      <c r="BE2804">
        <f>'19_Расчет_аналитики'!BE2803-'19_Расчет_аналитики'!BE2789</f>
        <v/>
      </c>
      <c r="BF2804">
        <f>'19_Расчет_аналитики'!BF2803-'19_Расчет_аналитики'!BF2789</f>
        <v/>
      </c>
      <c r="BG2804">
        <f>'19_Расчет_аналитики'!BG2803-'19_Расчет_аналитики'!BG2789</f>
        <v/>
      </c>
      <c r="BH2804">
        <f>'19_Расчет_аналитики'!BH2803-'19_Расчет_аналитики'!BH2789</f>
        <v/>
      </c>
      <c r="BI2804">
        <f>'19_Расчет_аналитики'!BI2803-'19_Расчет_аналитики'!BI2789</f>
        <v/>
      </c>
    </row>
    <row r="2805">
      <c r="B2805">
        <f>'07_Мерч'!B22+'19_Расчет_аналитики'!B2650-'19_Расчет_аналитики'!B2648-'19_Расчет_аналитики'!B2651</f>
        <v/>
      </c>
      <c r="C2805">
        <f>'19_Расчет_аналитики'!C2647+'19_Расчет_аналитики'!C2650-'19_Расчет_аналитики'!C2648-'19_Расчет_аналитики'!C2651</f>
        <v/>
      </c>
      <c r="D2805">
        <f>'19_Расчет_аналитики'!D2647+'19_Расчет_аналитики'!D2650-'19_Расчет_аналитики'!D2648-'19_Расчет_аналитики'!D2651</f>
        <v/>
      </c>
      <c r="E2805">
        <f>'19_Расчет_аналитики'!E2647+'19_Расчет_аналитики'!E2650-'19_Расчет_аналитики'!E2648-'19_Расчет_аналитики'!E2651</f>
        <v/>
      </c>
      <c r="F2805">
        <f>'19_Расчет_аналитики'!F2647+'19_Расчет_аналитики'!F2650-'19_Расчет_аналитики'!F2648-'19_Расчет_аналитики'!F2651</f>
        <v/>
      </c>
      <c r="G2805">
        <f>'19_Расчет_аналитики'!G2647+'19_Расчет_аналитики'!G2650-'19_Расчет_аналитики'!G2648-'19_Расчет_аналитики'!G2651</f>
        <v/>
      </c>
      <c r="H2805">
        <f>'19_Расчет_аналитики'!H2647+'19_Расчет_аналитики'!H2650-'19_Расчет_аналитики'!H2648-'19_Расчет_аналитики'!H2651</f>
        <v/>
      </c>
      <c r="I2805">
        <f>'19_Расчет_аналитики'!I2647+'19_Расчет_аналитики'!I2650-'19_Расчет_аналитики'!I2648-'19_Расчет_аналитики'!I2651</f>
        <v/>
      </c>
      <c r="J2805">
        <f>'19_Расчет_аналитики'!J2647+'19_Расчет_аналитики'!J2650-'19_Расчет_аналитики'!J2648-'19_Расчет_аналитики'!J2651</f>
        <v/>
      </c>
      <c r="K2805">
        <f>'19_Расчет_аналитики'!K2647+'19_Расчет_аналитики'!K2650-'19_Расчет_аналитики'!K2648-'19_Расчет_аналитики'!K2651</f>
        <v/>
      </c>
      <c r="L2805">
        <f>'19_Расчет_аналитики'!L2647+'19_Расчет_аналитики'!L2650-'19_Расчет_аналитики'!L2648-'19_Расчет_аналитики'!L2651</f>
        <v/>
      </c>
      <c r="M2805">
        <f>'19_Расчет_аналитики'!M2647+'19_Расчет_аналитики'!M2650-'19_Расчет_аналитики'!M2648-'19_Расчет_аналитики'!M2651</f>
        <v/>
      </c>
      <c r="N2805">
        <f>'19_Расчет_аналитики'!N2647+'19_Расчет_аналитики'!N2650-'19_Расчет_аналитики'!N2648-'19_Расчет_аналитики'!N2651</f>
        <v/>
      </c>
      <c r="O2805">
        <f>'19_Расчет_аналитики'!O2647+'19_Расчет_аналитики'!O2650-'19_Расчет_аналитики'!O2648-'19_Расчет_аналитики'!O2651</f>
        <v/>
      </c>
      <c r="P2805">
        <f>'19_Расчет_аналитики'!P2647+'19_Расчет_аналитики'!P2650-'19_Расчет_аналитики'!P2648-'19_Расчет_аналитики'!P2651</f>
        <v/>
      </c>
      <c r="Q2805">
        <f>'19_Расчет_аналитики'!Q2647+'19_Расчет_аналитики'!Q2650-'19_Расчет_аналитики'!Q2648-'19_Расчет_аналитики'!Q2651</f>
        <v/>
      </c>
      <c r="R2805">
        <f>'19_Расчет_аналитики'!R2647+'19_Расчет_аналитики'!R2650-'19_Расчет_аналитики'!R2648-'19_Расчет_аналитики'!R2651</f>
        <v/>
      </c>
      <c r="S2805">
        <f>'19_Расчет_аналитики'!S2647+'19_Расчет_аналитики'!S2650-'19_Расчет_аналитики'!S2648-'19_Расчет_аналитики'!S2651</f>
        <v/>
      </c>
      <c r="T2805">
        <f>'19_Расчет_аналитики'!T2647+'19_Расчет_аналитики'!T2650-'19_Расчет_аналитики'!T2648-'19_Расчет_аналитики'!T2651</f>
        <v/>
      </c>
      <c r="U2805">
        <f>'19_Расчет_аналитики'!U2647+'19_Расчет_аналитики'!U2650-'19_Расчет_аналитики'!U2648-'19_Расчет_аналитики'!U2651</f>
        <v/>
      </c>
      <c r="V2805">
        <f>'19_Расчет_аналитики'!V2647+'19_Расчет_аналитики'!V2650-'19_Расчет_аналитики'!V2648-'19_Расчет_аналитики'!V2651</f>
        <v/>
      </c>
      <c r="W2805">
        <f>'19_Расчет_аналитики'!W2647+'19_Расчет_аналитики'!W2650-'19_Расчет_аналитики'!W2648-'19_Расчет_аналитики'!W2651</f>
        <v/>
      </c>
      <c r="X2805">
        <f>'19_Расчет_аналитики'!X2647+'19_Расчет_аналитики'!X2650-'19_Расчет_аналитики'!X2648-'19_Расчет_аналитики'!X2651</f>
        <v/>
      </c>
      <c r="Y2805">
        <f>'19_Расчет_аналитики'!Y2647+'19_Расчет_аналитики'!Y2650-'19_Расчет_аналитики'!Y2648-'19_Расчет_аналитики'!Y2651</f>
        <v/>
      </c>
      <c r="Z2805">
        <f>'19_Расчет_аналитики'!Z2647+'19_Расчет_аналитики'!Z2650-'19_Расчет_аналитики'!Z2648-'19_Расчет_аналитики'!Z2651</f>
        <v/>
      </c>
      <c r="AA2805">
        <f>'19_Расчет_аналитики'!AA2647+'19_Расчет_аналитики'!AA2650-'19_Расчет_аналитики'!AA2648-'19_Расчет_аналитики'!AA2651</f>
        <v/>
      </c>
      <c r="AB2805">
        <f>'19_Расчет_аналитики'!AB2647+'19_Расчет_аналитики'!AB2650-'19_Расчет_аналитики'!AB2648-'19_Расчет_аналитики'!AB2651</f>
        <v/>
      </c>
      <c r="AC2805">
        <f>'19_Расчет_аналитики'!AC2647+'19_Расчет_аналитики'!AC2650-'19_Расчет_аналитики'!AC2648-'19_Расчет_аналитики'!AC2651</f>
        <v/>
      </c>
      <c r="AD2805">
        <f>'19_Расчет_аналитики'!AD2647+'19_Расчет_аналитики'!AD2650-'19_Расчет_аналитики'!AD2648-'19_Расчет_аналитики'!AD2651</f>
        <v/>
      </c>
      <c r="AE2805">
        <f>'19_Расчет_аналитики'!AE2647+'19_Расчет_аналитики'!AE2650-'19_Расчет_аналитики'!AE2648-'19_Расчет_аналитики'!AE2651</f>
        <v/>
      </c>
      <c r="AF2805">
        <f>'19_Расчет_аналитики'!AF2647+'19_Расчет_аналитики'!AF2650-'19_Расчет_аналитики'!AF2648-'19_Расчет_аналитики'!AF2651</f>
        <v/>
      </c>
      <c r="AG2805">
        <f>'19_Расчет_аналитики'!AG2647+'19_Расчет_аналитики'!AG2650-'19_Расчет_аналитики'!AG2648-'19_Расчет_аналитики'!AG2651</f>
        <v/>
      </c>
      <c r="AH2805">
        <f>'19_Расчет_аналитики'!AH2647+'19_Расчет_аналитики'!AH2650-'19_Расчет_аналитики'!AH2648-'19_Расчет_аналитики'!AH2651</f>
        <v/>
      </c>
      <c r="AI2805">
        <f>'19_Расчет_аналитики'!AI2647+'19_Расчет_аналитики'!AI2650-'19_Расчет_аналитики'!AI2648-'19_Расчет_аналитики'!AI2651</f>
        <v/>
      </c>
      <c r="AJ2805">
        <f>'19_Расчет_аналитики'!AJ2647+'19_Расчет_аналитики'!AJ2650-'19_Расчет_аналитики'!AJ2648-'19_Расчет_аналитики'!AJ2651</f>
        <v/>
      </c>
      <c r="AK2805">
        <f>'19_Расчет_аналитики'!AK2647+'19_Расчет_аналитики'!AK2650-'19_Расчет_аналитики'!AK2648-'19_Расчет_аналитики'!AK2651</f>
        <v/>
      </c>
      <c r="AL2805">
        <f>'19_Расчет_аналитики'!AL2647+'19_Расчет_аналитики'!AL2650-'19_Расчет_аналитики'!AL2648-'19_Расчет_аналитики'!AL2651</f>
        <v/>
      </c>
      <c r="AM2805">
        <f>'19_Расчет_аналитики'!AM2647+'19_Расчет_аналитики'!AM2650-'19_Расчет_аналитики'!AM2648-'19_Расчет_аналитики'!AM2651</f>
        <v/>
      </c>
      <c r="AN2805">
        <f>'19_Расчет_аналитики'!AN2647+'19_Расчет_аналитики'!AN2650-'19_Расчет_аналитики'!AN2648-'19_Расчет_аналитики'!AN2651</f>
        <v/>
      </c>
      <c r="AO2805">
        <f>'19_Расчет_аналитики'!AO2647+'19_Расчет_аналитики'!AO2650-'19_Расчет_аналитики'!AO2648-'19_Расчет_аналитики'!AO2651</f>
        <v/>
      </c>
      <c r="AP2805">
        <f>'19_Расчет_аналитики'!AP2647+'19_Расчет_аналитики'!AP2650-'19_Расчет_аналитики'!AP2648-'19_Расчет_аналитики'!AP2651</f>
        <v/>
      </c>
      <c r="AQ2805">
        <f>'19_Расчет_аналитики'!AQ2647+'19_Расчет_аналитики'!AQ2650-'19_Расчет_аналитики'!AQ2648-'19_Расчет_аналитики'!AQ2651</f>
        <v/>
      </c>
      <c r="AR2805">
        <f>'19_Расчет_аналитики'!AR2647+'19_Расчет_аналитики'!AR2650-'19_Расчет_аналитики'!AR2648-'19_Расчет_аналитики'!AR2651</f>
        <v/>
      </c>
      <c r="AS2805">
        <f>'19_Расчет_аналитики'!AS2647+'19_Расчет_аналитики'!AS2650-'19_Расчет_аналитики'!AS2648-'19_Расчет_аналитики'!AS2651</f>
        <v/>
      </c>
      <c r="AT2805">
        <f>'19_Расчет_аналитики'!AT2647+'19_Расчет_аналитики'!AT2650-'19_Расчет_аналитики'!AT2648-'19_Расчет_аналитики'!AT2651</f>
        <v/>
      </c>
      <c r="AU2805">
        <f>'19_Расчет_аналитики'!AU2647+'19_Расчет_аналитики'!AU2650-'19_Расчет_аналитики'!AU2648-'19_Расчет_аналитики'!AU2651</f>
        <v/>
      </c>
      <c r="AV2805">
        <f>'19_Расчет_аналитики'!AV2647+'19_Расчет_аналитики'!AV2650-'19_Расчет_аналитики'!AV2648-'19_Расчет_аналитики'!AV2651</f>
        <v/>
      </c>
      <c r="AW2805">
        <f>'19_Расчет_аналитики'!AW2647+'19_Расчет_аналитики'!AW2650-'19_Расчет_аналитики'!AW2648-'19_Расчет_аналитики'!AW2651</f>
        <v/>
      </c>
      <c r="AX2805">
        <f>'19_Расчет_аналитики'!AX2647+'19_Расчет_аналитики'!AX2650-'19_Расчет_аналитики'!AX2648-'19_Расчет_аналитики'!AX2651</f>
        <v/>
      </c>
      <c r="AY2805">
        <f>'19_Расчет_аналитики'!AY2647+'19_Расчет_аналитики'!AY2650-'19_Расчет_аналитики'!AY2648-'19_Расчет_аналитики'!AY2651</f>
        <v/>
      </c>
      <c r="AZ2805">
        <f>'19_Расчет_аналитики'!AZ2647+'19_Расчет_аналитики'!AZ2650-'19_Расчет_аналитики'!AZ2648-'19_Расчет_аналитики'!AZ2651</f>
        <v/>
      </c>
      <c r="BA2805">
        <f>'19_Расчет_аналитики'!BA2647+'19_Расчет_аналитики'!BA2650-'19_Расчет_аналитики'!BA2648-'19_Расчет_аналитики'!BA2651</f>
        <v/>
      </c>
      <c r="BB2805">
        <f>'19_Расчет_аналитики'!BB2647+'19_Расчет_аналитики'!BB2650-'19_Расчет_аналитики'!BB2648-'19_Расчет_аналитики'!BB2651</f>
        <v/>
      </c>
      <c r="BC2805">
        <f>'19_Расчет_аналитики'!BC2647+'19_Расчет_аналитики'!BC2650-'19_Расчет_аналитики'!BC2648-'19_Расчет_аналитики'!BC2651</f>
        <v/>
      </c>
      <c r="BD2805">
        <f>'19_Расчет_аналитики'!BD2647+'19_Расчет_аналитики'!BD2650-'19_Расчет_аналитики'!BD2648-'19_Расчет_аналитики'!BD2651</f>
        <v/>
      </c>
      <c r="BE2805">
        <f>'19_Расчет_аналитики'!BE2647+'19_Расчет_аналитики'!BE2650-'19_Расчет_аналитики'!BE2648-'19_Расчет_аналитики'!BE2651</f>
        <v/>
      </c>
      <c r="BF2805">
        <f>'19_Расчет_аналитики'!BF2647+'19_Расчет_аналитики'!BF2650-'19_Расчет_аналитики'!BF2648-'19_Расчет_аналитики'!BF2651</f>
        <v/>
      </c>
      <c r="BG2805">
        <f>'19_Расчет_аналитики'!BG2647+'19_Расчет_аналитики'!BG2650-'19_Расчет_аналитики'!BG2648-'19_Расчет_аналитики'!BG2651</f>
        <v/>
      </c>
      <c r="BH2805">
        <f>'19_Расчет_аналитики'!BH2647+'19_Расчет_аналитики'!BH2650-'19_Расчет_аналитики'!BH2648-'19_Расчет_аналитики'!BH2651</f>
        <v/>
      </c>
      <c r="BI2805">
        <f>'19_Расчет_аналитики'!BI2647+'19_Расчет_аналитики'!BI2650-'19_Расчет_аналитики'!BI2648-'19_Расчет_аналитики'!BI2651</f>
        <v/>
      </c>
    </row>
    <row r="2806">
      <c r="B2806">
        <f>0+SUM('19_Расчет_аналитики'!B2746:B2748)-'19_Расчет_аналитики'!B2779</f>
        <v/>
      </c>
      <c r="C2806">
        <f>'19_Расчет_аналитики'!B2806+SUM('19_Расчет_аналитики'!C2746:C2748)-'19_Расчет_аналитики'!C2779</f>
        <v/>
      </c>
      <c r="D2806">
        <f>'19_Расчет_аналитики'!C2806+SUM('19_Расчет_аналитики'!D2746:D2748)-'19_Расчет_аналитики'!D2779</f>
        <v/>
      </c>
      <c r="E2806">
        <f>'19_Расчет_аналитики'!D2806+SUM('19_Расчет_аналитики'!E2746:E2748)-'19_Расчет_аналитики'!E2779</f>
        <v/>
      </c>
      <c r="F2806">
        <f>'19_Расчет_аналитики'!E2806+SUM('19_Расчет_аналитики'!F2746:F2748)-'19_Расчет_аналитики'!F2779</f>
        <v/>
      </c>
      <c r="G2806">
        <f>'19_Расчет_аналитики'!F2806+SUM('19_Расчет_аналитики'!G2746:G2748)-'19_Расчет_аналитики'!G2779</f>
        <v/>
      </c>
      <c r="H2806">
        <f>'19_Расчет_аналитики'!G2806+SUM('19_Расчет_аналитики'!H2746:H2748)-'19_Расчет_аналитики'!H2779</f>
        <v/>
      </c>
      <c r="I2806">
        <f>'19_Расчет_аналитики'!H2806+SUM('19_Расчет_аналитики'!I2746:I2748)-'19_Расчет_аналитики'!I2779</f>
        <v/>
      </c>
      <c r="J2806">
        <f>'19_Расчет_аналитики'!I2806+SUM('19_Расчет_аналитики'!J2746:J2748)-'19_Расчет_аналитики'!J2779</f>
        <v/>
      </c>
      <c r="K2806">
        <f>'19_Расчет_аналитики'!J2806+SUM('19_Расчет_аналитики'!K2746:K2748)-'19_Расчет_аналитики'!K2779</f>
        <v/>
      </c>
      <c r="L2806">
        <f>'19_Расчет_аналитики'!K2806+SUM('19_Расчет_аналитики'!L2746:L2748)-'19_Расчет_аналитики'!L2779</f>
        <v/>
      </c>
      <c r="M2806">
        <f>'19_Расчет_аналитики'!L2806+SUM('19_Расчет_аналитики'!M2746:M2748)-'19_Расчет_аналитики'!M2779</f>
        <v/>
      </c>
      <c r="N2806">
        <f>'19_Расчет_аналитики'!M2806+SUM('19_Расчет_аналитики'!N2746:N2748)-'19_Расчет_аналитики'!N2779</f>
        <v/>
      </c>
      <c r="O2806">
        <f>'19_Расчет_аналитики'!N2806+SUM('19_Расчет_аналитики'!O2746:O2748)-'19_Расчет_аналитики'!O2779</f>
        <v/>
      </c>
      <c r="P2806">
        <f>'19_Расчет_аналитики'!O2806+SUM('19_Расчет_аналитики'!P2746:P2748)-'19_Расчет_аналитики'!P2779</f>
        <v/>
      </c>
      <c r="Q2806">
        <f>'19_Расчет_аналитики'!P2806+SUM('19_Расчет_аналитики'!Q2746:Q2748)-'19_Расчет_аналитики'!Q2779</f>
        <v/>
      </c>
      <c r="R2806">
        <f>'19_Расчет_аналитики'!Q2806+SUM('19_Расчет_аналитики'!R2746:R2748)-'19_Расчет_аналитики'!R2779</f>
        <v/>
      </c>
      <c r="S2806">
        <f>'19_Расчет_аналитики'!R2806+SUM('19_Расчет_аналитики'!S2746:S2748)-'19_Расчет_аналитики'!S2779</f>
        <v/>
      </c>
      <c r="T2806">
        <f>'19_Расчет_аналитики'!S2806+SUM('19_Расчет_аналитики'!T2746:T2748)-'19_Расчет_аналитики'!T2779</f>
        <v/>
      </c>
      <c r="U2806">
        <f>'19_Расчет_аналитики'!T2806+SUM('19_Расчет_аналитики'!U2746:U2748)-'19_Расчет_аналитики'!U2779</f>
        <v/>
      </c>
      <c r="V2806">
        <f>'19_Расчет_аналитики'!U2806+SUM('19_Расчет_аналитики'!V2746:V2748)-'19_Расчет_аналитики'!V2779</f>
        <v/>
      </c>
      <c r="W2806">
        <f>'19_Расчет_аналитики'!V2806+SUM('19_Расчет_аналитики'!W2746:W2748)-'19_Расчет_аналитики'!W2779</f>
        <v/>
      </c>
      <c r="X2806">
        <f>'19_Расчет_аналитики'!W2806+SUM('19_Расчет_аналитики'!X2746:X2748)-'19_Расчет_аналитики'!X2779</f>
        <v/>
      </c>
      <c r="Y2806">
        <f>'19_Расчет_аналитики'!X2806+SUM('19_Расчет_аналитики'!Y2746:Y2748)-'19_Расчет_аналитики'!Y2779</f>
        <v/>
      </c>
      <c r="Z2806">
        <f>'19_Расчет_аналитики'!Y2806+SUM('19_Расчет_аналитики'!Z2746:Z2748)-'19_Расчет_аналитики'!Z2779</f>
        <v/>
      </c>
      <c r="AA2806">
        <f>'19_Расчет_аналитики'!Z2806+SUM('19_Расчет_аналитики'!AA2746:AA2748)-'19_Расчет_аналитики'!AA2779</f>
        <v/>
      </c>
      <c r="AB2806">
        <f>'19_Расчет_аналитики'!AA2806+SUM('19_Расчет_аналитики'!AB2746:AB2748)-'19_Расчет_аналитики'!AB2779</f>
        <v/>
      </c>
      <c r="AC2806">
        <f>'19_Расчет_аналитики'!AB2806+SUM('19_Расчет_аналитики'!AC2746:AC2748)-'19_Расчет_аналитики'!AC2779</f>
        <v/>
      </c>
      <c r="AD2806">
        <f>'19_Расчет_аналитики'!AC2806+SUM('19_Расчет_аналитики'!AD2746:AD2748)-'19_Расчет_аналитики'!AD2779</f>
        <v/>
      </c>
      <c r="AE2806">
        <f>'19_Расчет_аналитики'!AD2806+SUM('19_Расчет_аналитики'!AE2746:AE2748)-'19_Расчет_аналитики'!AE2779</f>
        <v/>
      </c>
      <c r="AF2806">
        <f>'19_Расчет_аналитики'!AE2806+SUM('19_Расчет_аналитики'!AF2746:AF2748)-'19_Расчет_аналитики'!AF2779</f>
        <v/>
      </c>
      <c r="AG2806">
        <f>'19_Расчет_аналитики'!AF2806+SUM('19_Расчет_аналитики'!AG2746:AG2748)-'19_Расчет_аналитики'!AG2779</f>
        <v/>
      </c>
      <c r="AH2806">
        <f>'19_Расчет_аналитики'!AG2806+SUM('19_Расчет_аналитики'!AH2746:AH2748)-'19_Расчет_аналитики'!AH2779</f>
        <v/>
      </c>
      <c r="AI2806">
        <f>'19_Расчет_аналитики'!AH2806+SUM('19_Расчет_аналитики'!AI2746:AI2748)-'19_Расчет_аналитики'!AI2779</f>
        <v/>
      </c>
      <c r="AJ2806">
        <f>'19_Расчет_аналитики'!AI2806+SUM('19_Расчет_аналитики'!AJ2746:AJ2748)-'19_Расчет_аналитики'!AJ2779</f>
        <v/>
      </c>
      <c r="AK2806">
        <f>'19_Расчет_аналитики'!AJ2806+SUM('19_Расчет_аналитики'!AK2746:AK2748)-'19_Расчет_аналитики'!AK2779</f>
        <v/>
      </c>
      <c r="AL2806">
        <f>'19_Расчет_аналитики'!AK2806+SUM('19_Расчет_аналитики'!AL2746:AL2748)-'19_Расчет_аналитики'!AL2779</f>
        <v/>
      </c>
      <c r="AM2806">
        <f>'19_Расчет_аналитики'!AL2806+SUM('19_Расчет_аналитики'!AM2746:AM2748)-'19_Расчет_аналитики'!AM2779</f>
        <v/>
      </c>
      <c r="AN2806">
        <f>'19_Расчет_аналитики'!AM2806+SUM('19_Расчет_аналитики'!AN2746:AN2748)-'19_Расчет_аналитики'!AN2779</f>
        <v/>
      </c>
      <c r="AO2806">
        <f>'19_Расчет_аналитики'!AN2806+SUM('19_Расчет_аналитики'!AO2746:AO2748)-'19_Расчет_аналитики'!AO2779</f>
        <v/>
      </c>
      <c r="AP2806">
        <f>'19_Расчет_аналитики'!AO2806+SUM('19_Расчет_аналитики'!AP2746:AP2748)-'19_Расчет_аналитики'!AP2779</f>
        <v/>
      </c>
      <c r="AQ2806">
        <f>'19_Расчет_аналитики'!AP2806+SUM('19_Расчет_аналитики'!AQ2746:AQ2748)-'19_Расчет_аналитики'!AQ2779</f>
        <v/>
      </c>
      <c r="AR2806">
        <f>'19_Расчет_аналитики'!AQ2806+SUM('19_Расчет_аналитики'!AR2746:AR2748)-'19_Расчет_аналитики'!AR2779</f>
        <v/>
      </c>
      <c r="AS2806">
        <f>'19_Расчет_аналитики'!AR2806+SUM('19_Расчет_аналитики'!AS2746:AS2748)-'19_Расчет_аналитики'!AS2779</f>
        <v/>
      </c>
      <c r="AT2806">
        <f>'19_Расчет_аналитики'!AS2806+SUM('19_Расчет_аналитики'!AT2746:AT2748)-'19_Расчет_аналитики'!AT2779</f>
        <v/>
      </c>
      <c r="AU2806">
        <f>'19_Расчет_аналитики'!AT2806+SUM('19_Расчет_аналитики'!AU2746:AU2748)-'19_Расчет_аналитики'!AU2779</f>
        <v/>
      </c>
      <c r="AV2806">
        <f>'19_Расчет_аналитики'!AU2806+SUM('19_Расчет_аналитики'!AV2746:AV2748)-'19_Расчет_аналитики'!AV2779</f>
        <v/>
      </c>
      <c r="AW2806">
        <f>'19_Расчет_аналитики'!AV2806+SUM('19_Расчет_аналитики'!AW2746:AW2748)-'19_Расчет_аналитики'!AW2779</f>
        <v/>
      </c>
      <c r="AX2806">
        <f>'19_Расчет_аналитики'!AW2806+SUM('19_Расчет_аналитики'!AX2746:AX2748)-'19_Расчет_аналитики'!AX2779</f>
        <v/>
      </c>
      <c r="AY2806">
        <f>'19_Расчет_аналитики'!AX2806+SUM('19_Расчет_аналитики'!AY2746:AY2748)-'19_Расчет_аналитики'!AY2779</f>
        <v/>
      </c>
      <c r="AZ2806">
        <f>'19_Расчет_аналитики'!AY2806+SUM('19_Расчет_аналитики'!AZ2746:AZ2748)-'19_Расчет_аналитики'!AZ2779</f>
        <v/>
      </c>
      <c r="BA2806">
        <f>'19_Расчет_аналитики'!AZ2806+SUM('19_Расчет_аналитики'!BA2746:BA2748)-'19_Расчет_аналитики'!BA2779</f>
        <v/>
      </c>
      <c r="BB2806">
        <f>'19_Расчет_аналитики'!BA2806+SUM('19_Расчет_аналитики'!BB2746:BB2748)-'19_Расчет_аналитики'!BB2779</f>
        <v/>
      </c>
      <c r="BC2806">
        <f>'19_Расчет_аналитики'!BB2806+SUM('19_Расчет_аналитики'!BC2746:BC2748)-'19_Расчет_аналитики'!BC2779</f>
        <v/>
      </c>
      <c r="BD2806">
        <f>'19_Расчет_аналитики'!BC2806+SUM('19_Расчет_аналитики'!BD2746:BD2748)-'19_Расчет_аналитики'!BD2779</f>
        <v/>
      </c>
      <c r="BE2806">
        <f>'19_Расчет_аналитики'!BD2806+SUM('19_Расчет_аналитики'!BE2746:BE2748)-'19_Расчет_аналитики'!BE2779</f>
        <v/>
      </c>
      <c r="BF2806">
        <f>'19_Расчет_аналитики'!BE2806+SUM('19_Расчет_аналитики'!BF2746:BF2748)-'19_Расчет_аналитики'!BF2779</f>
        <v/>
      </c>
      <c r="BG2806">
        <f>'19_Расчет_аналитики'!BF2806+SUM('19_Расчет_аналитики'!BG2746:BG2748)-'19_Расчет_аналитики'!BG2779</f>
        <v/>
      </c>
      <c r="BH2806">
        <f>'19_Расчет_аналитики'!BG2806+SUM('19_Расчет_аналитики'!BH2746:BH2748)-'19_Расчет_аналитики'!BH2779</f>
        <v/>
      </c>
      <c r="BI2806">
        <f>'19_Расчет_аналитики'!BH2806+SUM('19_Расчет_аналитики'!BI2746:BI2748)-'19_Расчет_аналитики'!BI2779</f>
        <v/>
      </c>
    </row>
    <row r="2807"/>
    <row r="2808"/>
    <row r="2809"/>
    <row r="2810"/>
    <row r="2811">
      <c r="B2811">
        <f>MAX(0,'19_Расчет_аналитики'!B2787-'01_Вводные'!$B$237)</f>
        <v/>
      </c>
      <c r="C2811">
        <f>MAX(0,'19_Расчет_аналитики'!C2787-'01_Вводные'!$B$237)</f>
        <v/>
      </c>
      <c r="D2811">
        <f>MAX(0,'19_Расчет_аналитики'!D2787-'01_Вводные'!$B$237)</f>
        <v/>
      </c>
      <c r="E2811">
        <f>MAX(0,'19_Расчет_аналитики'!E2787-'01_Вводные'!$B$237)</f>
        <v/>
      </c>
      <c r="F2811">
        <f>MAX(0,'19_Расчет_аналитики'!F2787-'01_Вводные'!$B$237)</f>
        <v/>
      </c>
      <c r="G2811">
        <f>MAX(0,'19_Расчет_аналитики'!G2787-'01_Вводные'!$B$237)</f>
        <v/>
      </c>
      <c r="H2811">
        <f>MAX(0,'19_Расчет_аналитики'!H2787-'01_Вводные'!$B$237)</f>
        <v/>
      </c>
      <c r="I2811">
        <f>MAX(0,'19_Расчет_аналитики'!I2787-'01_Вводные'!$B$237)</f>
        <v/>
      </c>
      <c r="J2811">
        <f>MAX(0,'19_Расчет_аналитики'!J2787-'01_Вводные'!$B$237)</f>
        <v/>
      </c>
      <c r="K2811">
        <f>MAX(0,'19_Расчет_аналитики'!K2787-'01_Вводные'!$B$237)</f>
        <v/>
      </c>
      <c r="L2811">
        <f>MAX(0,'19_Расчет_аналитики'!L2787-'01_Вводные'!$B$237)</f>
        <v/>
      </c>
      <c r="M2811">
        <f>MAX(0,'19_Расчет_аналитики'!M2787-'01_Вводные'!$B$237)</f>
        <v/>
      </c>
      <c r="N2811">
        <f>MAX(0,'19_Расчет_аналитики'!N2787-'01_Вводные'!$B$237)</f>
        <v/>
      </c>
      <c r="O2811">
        <f>MAX(0,'19_Расчет_аналитики'!O2787-'01_Вводные'!$B$237)</f>
        <v/>
      </c>
      <c r="P2811">
        <f>MAX(0,'19_Расчет_аналитики'!P2787-'01_Вводные'!$B$237)</f>
        <v/>
      </c>
      <c r="Q2811">
        <f>MAX(0,'19_Расчет_аналитики'!Q2787-'01_Вводные'!$B$237)</f>
        <v/>
      </c>
      <c r="R2811">
        <f>MAX(0,'19_Расчет_аналитики'!R2787-'01_Вводные'!$B$237)</f>
        <v/>
      </c>
      <c r="S2811">
        <f>MAX(0,'19_Расчет_аналитики'!S2787-'01_Вводные'!$B$237)</f>
        <v/>
      </c>
      <c r="T2811">
        <f>MAX(0,'19_Расчет_аналитики'!T2787-'01_Вводные'!$B$237)</f>
        <v/>
      </c>
      <c r="U2811">
        <f>MAX(0,'19_Расчет_аналитики'!U2787-'01_Вводные'!$B$237)</f>
        <v/>
      </c>
      <c r="V2811">
        <f>MAX(0,'19_Расчет_аналитики'!V2787-'01_Вводные'!$B$237)</f>
        <v/>
      </c>
      <c r="W2811">
        <f>MAX(0,'19_Расчет_аналитики'!W2787-'01_Вводные'!$B$237)</f>
        <v/>
      </c>
      <c r="X2811">
        <f>MAX(0,'19_Расчет_аналитики'!X2787-'01_Вводные'!$B$237)</f>
        <v/>
      </c>
      <c r="Y2811">
        <f>MAX(0,'19_Расчет_аналитики'!Y2787-'01_Вводные'!$B$237)</f>
        <v/>
      </c>
      <c r="Z2811">
        <f>MAX(0,'19_Расчет_аналитики'!Z2787-'01_Вводные'!$B$237)</f>
        <v/>
      </c>
      <c r="AA2811">
        <f>MAX(0,'19_Расчет_аналитики'!AA2787-'01_Вводные'!$B$237)</f>
        <v/>
      </c>
      <c r="AB2811">
        <f>MAX(0,'19_Расчет_аналитики'!AB2787-'01_Вводные'!$B$237)</f>
        <v/>
      </c>
      <c r="AC2811">
        <f>MAX(0,'19_Расчет_аналитики'!AC2787-'01_Вводные'!$B$237)</f>
        <v/>
      </c>
      <c r="AD2811">
        <f>MAX(0,'19_Расчет_аналитики'!AD2787-'01_Вводные'!$B$237)</f>
        <v/>
      </c>
      <c r="AE2811">
        <f>MAX(0,'19_Расчет_аналитики'!AE2787-'01_Вводные'!$B$237)</f>
        <v/>
      </c>
      <c r="AF2811">
        <f>MAX(0,'19_Расчет_аналитики'!AF2787-'01_Вводные'!$B$237)</f>
        <v/>
      </c>
      <c r="AG2811">
        <f>MAX(0,'19_Расчет_аналитики'!AG2787-'01_Вводные'!$B$237)</f>
        <v/>
      </c>
      <c r="AH2811">
        <f>MAX(0,'19_Расчет_аналитики'!AH2787-'01_Вводные'!$B$237)</f>
        <v/>
      </c>
      <c r="AI2811">
        <f>MAX(0,'19_Расчет_аналитики'!AI2787-'01_Вводные'!$B$237)</f>
        <v/>
      </c>
      <c r="AJ2811">
        <f>MAX(0,'19_Расчет_аналитики'!AJ2787-'01_Вводные'!$B$237)</f>
        <v/>
      </c>
      <c r="AK2811">
        <f>MAX(0,'19_Расчет_аналитики'!AK2787-'01_Вводные'!$B$237)</f>
        <v/>
      </c>
      <c r="AL2811">
        <f>MAX(0,'19_Расчет_аналитики'!AL2787-'01_Вводные'!$B$237)</f>
        <v/>
      </c>
      <c r="AM2811">
        <f>MAX(0,'19_Расчет_аналитики'!AM2787-'01_Вводные'!$B$237)</f>
        <v/>
      </c>
      <c r="AN2811">
        <f>MAX(0,'19_Расчет_аналитики'!AN2787-'01_Вводные'!$B$237)</f>
        <v/>
      </c>
      <c r="AO2811">
        <f>MAX(0,'19_Расчет_аналитики'!AO2787-'01_Вводные'!$B$237)</f>
        <v/>
      </c>
      <c r="AP2811">
        <f>MAX(0,'19_Расчет_аналитики'!AP2787-'01_Вводные'!$B$237)</f>
        <v/>
      </c>
      <c r="AQ2811">
        <f>MAX(0,'19_Расчет_аналитики'!AQ2787-'01_Вводные'!$B$237)</f>
        <v/>
      </c>
      <c r="AR2811">
        <f>MAX(0,'19_Расчет_аналитики'!AR2787-'01_Вводные'!$B$237)</f>
        <v/>
      </c>
      <c r="AS2811">
        <f>MAX(0,'19_Расчет_аналитики'!AS2787-'01_Вводные'!$B$237)</f>
        <v/>
      </c>
      <c r="AT2811">
        <f>MAX(0,'19_Расчет_аналитики'!AT2787-'01_Вводные'!$B$237)</f>
        <v/>
      </c>
      <c r="AU2811">
        <f>MAX(0,'19_Расчет_аналитики'!AU2787-'01_Вводные'!$B$237)</f>
        <v/>
      </c>
      <c r="AV2811">
        <f>MAX(0,'19_Расчет_аналитики'!AV2787-'01_Вводные'!$B$237)</f>
        <v/>
      </c>
      <c r="AW2811">
        <f>MAX(0,'19_Расчет_аналитики'!AW2787-'01_Вводные'!$B$237)</f>
        <v/>
      </c>
      <c r="AX2811">
        <f>MAX(0,'19_Расчет_аналитики'!AX2787-'01_Вводные'!$B$237)</f>
        <v/>
      </c>
      <c r="AY2811">
        <f>MAX(0,'19_Расчет_аналитики'!AY2787-'01_Вводные'!$B$237)</f>
        <v/>
      </c>
      <c r="AZ2811">
        <f>MAX(0,'19_Расчет_аналитики'!AZ2787-'01_Вводные'!$B$237)</f>
        <v/>
      </c>
      <c r="BA2811">
        <f>MAX(0,'19_Расчет_аналитики'!BA2787-'01_Вводные'!$B$237)</f>
        <v/>
      </c>
      <c r="BB2811">
        <f>MAX(0,'19_Расчет_аналитики'!BB2787-'01_Вводные'!$B$237)</f>
        <v/>
      </c>
      <c r="BC2811">
        <f>MAX(0,'19_Расчет_аналитики'!BC2787-'01_Вводные'!$B$237)</f>
        <v/>
      </c>
      <c r="BD2811">
        <f>MAX(0,'19_Расчет_аналитики'!BD2787-'01_Вводные'!$B$237)</f>
        <v/>
      </c>
      <c r="BE2811">
        <f>MAX(0,'19_Расчет_аналитики'!BE2787-'01_Вводные'!$B$237)</f>
        <v/>
      </c>
      <c r="BF2811">
        <f>MAX(0,'19_Расчет_аналитики'!BF2787-'01_Вводные'!$B$237)</f>
        <v/>
      </c>
      <c r="BG2811">
        <f>MAX(0,'19_Расчет_аналитики'!BG2787-'01_Вводные'!$B$237)</f>
        <v/>
      </c>
      <c r="BH2811">
        <f>MAX(0,'19_Расчет_аналитики'!BH2787-'01_Вводные'!$B$237)</f>
        <v/>
      </c>
      <c r="BI2811">
        <f>MAX(0,'19_Расчет_аналитики'!BI2787-'01_Вводные'!$B$237)</f>
        <v/>
      </c>
    </row>
    <row r="2812"/>
    <row r="2813"/>
    <row r="2814">
      <c r="B2814">
        <f>IF('01_Вводные'!$B$288="С НДС",SUM('19_Расчет_аналитики'!B2736:B2739)*(1+'01_Вводные'!$B$58)+'09_Лагеря'!B10,'19_Расчет_аналитики'!B2741)</f>
        <v/>
      </c>
      <c r="C2814">
        <f>IF('01_Вводные'!$B$288="С НДС",SUM('19_Расчет_аналитики'!C2736:C2739)*(1+'01_Вводные'!$B$58)+'09_Лагеря'!C10,'19_Расчет_аналитики'!C2741)</f>
        <v/>
      </c>
      <c r="D2814">
        <f>IF('01_Вводные'!$B$288="С НДС",SUM('19_Расчет_аналитики'!D2736:D2739)*(1+'01_Вводные'!$B$58)+'09_Лагеря'!D10,'19_Расчет_аналитики'!D2741)</f>
        <v/>
      </c>
      <c r="E2814">
        <f>IF('01_Вводные'!$B$288="С НДС",SUM('19_Расчет_аналитики'!E2736:E2739)*(1+'01_Вводные'!$B$58)+'09_Лагеря'!E10,'19_Расчет_аналитики'!E2741)</f>
        <v/>
      </c>
      <c r="F2814">
        <f>IF('01_Вводные'!$B$288="С НДС",SUM('19_Расчет_аналитики'!F2736:F2739)*(1+'01_Вводные'!$B$58)+'09_Лагеря'!F10,'19_Расчет_аналитики'!F2741)</f>
        <v/>
      </c>
      <c r="G2814">
        <f>IF('01_Вводные'!$B$288="С НДС",SUM('19_Расчет_аналитики'!G2736:G2739)*(1+'01_Вводные'!$B$58)+'09_Лагеря'!G10,'19_Расчет_аналитики'!G2741)</f>
        <v/>
      </c>
      <c r="H2814">
        <f>IF('01_Вводные'!$B$288="С НДС",SUM('19_Расчет_аналитики'!H2736:H2739)*(1+'01_Вводные'!$B$58)+'09_Лагеря'!H10,'19_Расчет_аналитики'!H2741)</f>
        <v/>
      </c>
      <c r="I2814">
        <f>IF('01_Вводные'!$B$288="С НДС",SUM('19_Расчет_аналитики'!I2736:I2739)*(1+'01_Вводные'!$B$58)+'09_Лагеря'!I10,'19_Расчет_аналитики'!I2741)</f>
        <v/>
      </c>
      <c r="J2814">
        <f>IF('01_Вводные'!$B$288="С НДС",SUM('19_Расчет_аналитики'!J2736:J2739)*(1+'01_Вводные'!$B$58)+'09_Лагеря'!J10,'19_Расчет_аналитики'!J2741)</f>
        <v/>
      </c>
      <c r="K2814">
        <f>IF('01_Вводные'!$B$288="С НДС",SUM('19_Расчет_аналитики'!K2736:K2739)*(1+'01_Вводные'!$B$58)+'09_Лагеря'!K10,'19_Расчет_аналитики'!K2741)</f>
        <v/>
      </c>
      <c r="L2814">
        <f>IF('01_Вводные'!$B$288="С НДС",SUM('19_Расчет_аналитики'!L2736:L2739)*(1+'01_Вводные'!$B$58)+'09_Лагеря'!L10,'19_Расчет_аналитики'!L2741)</f>
        <v/>
      </c>
      <c r="M2814">
        <f>IF('01_Вводные'!$B$288="С НДС",SUM('19_Расчет_аналитики'!M2736:M2739)*(1+'01_Вводные'!$B$58)+'09_Лагеря'!M10,'19_Расчет_аналитики'!M2741)</f>
        <v/>
      </c>
      <c r="N2814">
        <f>IF('01_Вводные'!$B$288="С НДС",SUM('19_Расчет_аналитики'!N2736:N2739)*(1+'01_Вводные'!$B$58)+'09_Лагеря'!N10,'19_Расчет_аналитики'!N2741)</f>
        <v/>
      </c>
      <c r="O2814">
        <f>IF('01_Вводные'!$B$288="С НДС",SUM('19_Расчет_аналитики'!O2736:O2739)*(1+'01_Вводные'!$B$58)+'09_Лагеря'!O10,'19_Расчет_аналитики'!O2741)</f>
        <v/>
      </c>
      <c r="P2814">
        <f>IF('01_Вводные'!$B$288="С НДС",SUM('19_Расчет_аналитики'!P2736:P2739)*(1+'01_Вводные'!$B$58)+'09_Лагеря'!P10,'19_Расчет_аналитики'!P2741)</f>
        <v/>
      </c>
      <c r="Q2814">
        <f>IF('01_Вводные'!$B$288="С НДС",SUM('19_Расчет_аналитики'!Q2736:Q2739)*(1+'01_Вводные'!$B$58)+'09_Лагеря'!Q10,'19_Расчет_аналитики'!Q2741)</f>
        <v/>
      </c>
      <c r="R2814">
        <f>IF('01_Вводные'!$B$288="С НДС",SUM('19_Расчет_аналитики'!R2736:R2739)*(1+'01_Вводные'!$B$58)+'09_Лагеря'!R10,'19_Расчет_аналитики'!R2741)</f>
        <v/>
      </c>
      <c r="S2814">
        <f>IF('01_Вводные'!$B$288="С НДС",SUM('19_Расчет_аналитики'!S2736:S2739)*(1+'01_Вводные'!$B$58)+'09_Лагеря'!S10,'19_Расчет_аналитики'!S2741)</f>
        <v/>
      </c>
      <c r="T2814">
        <f>IF('01_Вводные'!$B$288="С НДС",SUM('19_Расчет_аналитики'!T2736:T2739)*(1+'01_Вводные'!$B$58)+'09_Лагеря'!T10,'19_Расчет_аналитики'!T2741)</f>
        <v/>
      </c>
      <c r="U2814">
        <f>IF('01_Вводные'!$B$288="С НДС",SUM('19_Расчет_аналитики'!U2736:U2739)*(1+'01_Вводные'!$B$58)+'09_Лагеря'!U10,'19_Расчет_аналитики'!U2741)</f>
        <v/>
      </c>
      <c r="V2814">
        <f>IF('01_Вводные'!$B$288="С НДС",SUM('19_Расчет_аналитики'!V2736:V2739)*(1+'01_Вводные'!$B$58)+'09_Лагеря'!V10,'19_Расчет_аналитики'!V2741)</f>
        <v/>
      </c>
      <c r="W2814">
        <f>IF('01_Вводные'!$B$288="С НДС",SUM('19_Расчет_аналитики'!W2736:W2739)*(1+'01_Вводные'!$B$58)+'09_Лагеря'!W10,'19_Расчет_аналитики'!W2741)</f>
        <v/>
      </c>
      <c r="X2814">
        <f>IF('01_Вводные'!$B$288="С НДС",SUM('19_Расчет_аналитики'!X2736:X2739)*(1+'01_Вводные'!$B$58)+'09_Лагеря'!X10,'19_Расчет_аналитики'!X2741)</f>
        <v/>
      </c>
      <c r="Y2814">
        <f>IF('01_Вводные'!$B$288="С НДС",SUM('19_Расчет_аналитики'!Y2736:Y2739)*(1+'01_Вводные'!$B$58)+'09_Лагеря'!Y10,'19_Расчет_аналитики'!Y2741)</f>
        <v/>
      </c>
      <c r="Z2814">
        <f>IF('01_Вводные'!$B$288="С НДС",SUM('19_Расчет_аналитики'!Z2736:Z2739)*(1+'01_Вводные'!$B$58)+'09_Лагеря'!Z10,'19_Расчет_аналитики'!Z2741)</f>
        <v/>
      </c>
      <c r="AA2814">
        <f>IF('01_Вводные'!$B$288="С НДС",SUM('19_Расчет_аналитики'!AA2736:AA2739)*(1+'01_Вводные'!$B$58)+'09_Лагеря'!AA10,'19_Расчет_аналитики'!AA2741)</f>
        <v/>
      </c>
      <c r="AB2814">
        <f>IF('01_Вводные'!$B$288="С НДС",SUM('19_Расчет_аналитики'!AB2736:AB2739)*(1+'01_Вводные'!$B$58)+'09_Лагеря'!AB10,'19_Расчет_аналитики'!AB2741)</f>
        <v/>
      </c>
      <c r="AC2814">
        <f>IF('01_Вводные'!$B$288="С НДС",SUM('19_Расчет_аналитики'!AC2736:AC2739)*(1+'01_Вводные'!$B$58)+'09_Лагеря'!AC10,'19_Расчет_аналитики'!AC2741)</f>
        <v/>
      </c>
      <c r="AD2814">
        <f>IF('01_Вводные'!$B$288="С НДС",SUM('19_Расчет_аналитики'!AD2736:AD2739)*(1+'01_Вводные'!$B$58)+'09_Лагеря'!AD10,'19_Расчет_аналитики'!AD2741)</f>
        <v/>
      </c>
      <c r="AE2814">
        <f>IF('01_Вводные'!$B$288="С НДС",SUM('19_Расчет_аналитики'!AE2736:AE2739)*(1+'01_Вводные'!$B$58)+'09_Лагеря'!AE10,'19_Расчет_аналитики'!AE2741)</f>
        <v/>
      </c>
      <c r="AF2814">
        <f>IF('01_Вводные'!$B$288="С НДС",SUM('19_Расчет_аналитики'!AF2736:AF2739)*(1+'01_Вводные'!$B$58)+'09_Лагеря'!AF10,'19_Расчет_аналитики'!AF2741)</f>
        <v/>
      </c>
      <c r="AG2814">
        <f>IF('01_Вводные'!$B$288="С НДС",SUM('19_Расчет_аналитики'!AG2736:AG2739)*(1+'01_Вводные'!$B$58)+'09_Лагеря'!AG10,'19_Расчет_аналитики'!AG2741)</f>
        <v/>
      </c>
      <c r="AH2814">
        <f>IF('01_Вводные'!$B$288="С НДС",SUM('19_Расчет_аналитики'!AH2736:AH2739)*(1+'01_Вводные'!$B$58)+'09_Лагеря'!AH10,'19_Расчет_аналитики'!AH2741)</f>
        <v/>
      </c>
      <c r="AI2814">
        <f>IF('01_Вводные'!$B$288="С НДС",SUM('19_Расчет_аналитики'!AI2736:AI2739)*(1+'01_Вводные'!$B$58)+'09_Лагеря'!AI10,'19_Расчет_аналитики'!AI2741)</f>
        <v/>
      </c>
      <c r="AJ2814">
        <f>IF('01_Вводные'!$B$288="С НДС",SUM('19_Расчет_аналитики'!AJ2736:AJ2739)*(1+'01_Вводные'!$B$58)+'09_Лагеря'!AJ10,'19_Расчет_аналитики'!AJ2741)</f>
        <v/>
      </c>
      <c r="AK2814">
        <f>IF('01_Вводные'!$B$288="С НДС",SUM('19_Расчет_аналитики'!AK2736:AK2739)*(1+'01_Вводные'!$B$58)+'09_Лагеря'!AK10,'19_Расчет_аналитики'!AK2741)</f>
        <v/>
      </c>
      <c r="AL2814">
        <f>IF('01_Вводные'!$B$288="С НДС",SUM('19_Расчет_аналитики'!AL2736:AL2739)*(1+'01_Вводные'!$B$58)+'09_Лагеря'!AL10,'19_Расчет_аналитики'!AL2741)</f>
        <v/>
      </c>
      <c r="AM2814">
        <f>IF('01_Вводные'!$B$288="С НДС",SUM('19_Расчет_аналитики'!AM2736:AM2739)*(1+'01_Вводные'!$B$58)+'09_Лагеря'!AM10,'19_Расчет_аналитики'!AM2741)</f>
        <v/>
      </c>
      <c r="AN2814">
        <f>IF('01_Вводные'!$B$288="С НДС",SUM('19_Расчет_аналитики'!AN2736:AN2739)*(1+'01_Вводные'!$B$58)+'09_Лагеря'!AN10,'19_Расчет_аналитики'!AN2741)</f>
        <v/>
      </c>
      <c r="AO2814">
        <f>IF('01_Вводные'!$B$288="С НДС",SUM('19_Расчет_аналитики'!AO2736:AO2739)*(1+'01_Вводные'!$B$58)+'09_Лагеря'!AO10,'19_Расчет_аналитики'!AO2741)</f>
        <v/>
      </c>
      <c r="AP2814">
        <f>IF('01_Вводные'!$B$288="С НДС",SUM('19_Расчет_аналитики'!AP2736:AP2739)*(1+'01_Вводные'!$B$58)+'09_Лагеря'!AP10,'19_Расчет_аналитики'!AP2741)</f>
        <v/>
      </c>
      <c r="AQ2814">
        <f>IF('01_Вводные'!$B$288="С НДС",SUM('19_Расчет_аналитики'!AQ2736:AQ2739)*(1+'01_Вводные'!$B$58)+'09_Лагеря'!AQ10,'19_Расчет_аналитики'!AQ2741)</f>
        <v/>
      </c>
      <c r="AR2814">
        <f>IF('01_Вводные'!$B$288="С НДС",SUM('19_Расчет_аналитики'!AR2736:AR2739)*(1+'01_Вводные'!$B$58)+'09_Лагеря'!AR10,'19_Расчет_аналитики'!AR2741)</f>
        <v/>
      </c>
      <c r="AS2814">
        <f>IF('01_Вводные'!$B$288="С НДС",SUM('19_Расчет_аналитики'!AS2736:AS2739)*(1+'01_Вводные'!$B$58)+'09_Лагеря'!AS10,'19_Расчет_аналитики'!AS2741)</f>
        <v/>
      </c>
      <c r="AT2814">
        <f>IF('01_Вводные'!$B$288="С НДС",SUM('19_Расчет_аналитики'!AT2736:AT2739)*(1+'01_Вводные'!$B$58)+'09_Лагеря'!AT10,'19_Расчет_аналитики'!AT2741)</f>
        <v/>
      </c>
      <c r="AU2814">
        <f>IF('01_Вводные'!$B$288="С НДС",SUM('19_Расчет_аналитики'!AU2736:AU2739)*(1+'01_Вводные'!$B$58)+'09_Лагеря'!AU10,'19_Расчет_аналитики'!AU2741)</f>
        <v/>
      </c>
      <c r="AV2814">
        <f>IF('01_Вводные'!$B$288="С НДС",SUM('19_Расчет_аналитики'!AV2736:AV2739)*(1+'01_Вводные'!$B$58)+'09_Лагеря'!AV10,'19_Расчет_аналитики'!AV2741)</f>
        <v/>
      </c>
      <c r="AW2814">
        <f>IF('01_Вводные'!$B$288="С НДС",SUM('19_Расчет_аналитики'!AW2736:AW2739)*(1+'01_Вводные'!$B$58)+'09_Лагеря'!AW10,'19_Расчет_аналитики'!AW2741)</f>
        <v/>
      </c>
      <c r="AX2814">
        <f>IF('01_Вводные'!$B$288="С НДС",SUM('19_Расчет_аналитики'!AX2736:AX2739)*(1+'01_Вводные'!$B$58)+'09_Лагеря'!AX10,'19_Расчет_аналитики'!AX2741)</f>
        <v/>
      </c>
      <c r="AY2814">
        <f>IF('01_Вводные'!$B$288="С НДС",SUM('19_Расчет_аналитики'!AY2736:AY2739)*(1+'01_Вводные'!$B$58)+'09_Лагеря'!AY10,'19_Расчет_аналитики'!AY2741)</f>
        <v/>
      </c>
      <c r="AZ2814">
        <f>IF('01_Вводные'!$B$288="С НДС",SUM('19_Расчет_аналитики'!AZ2736:AZ2739)*(1+'01_Вводные'!$B$58)+'09_Лагеря'!AZ10,'19_Расчет_аналитики'!AZ2741)</f>
        <v/>
      </c>
      <c r="BA2814">
        <f>IF('01_Вводные'!$B$288="С НДС",SUM('19_Расчет_аналитики'!BA2736:BA2739)*(1+'01_Вводные'!$B$58)+'09_Лагеря'!BA10,'19_Расчет_аналитики'!BA2741)</f>
        <v/>
      </c>
      <c r="BB2814">
        <f>IF('01_Вводные'!$B$288="С НДС",SUM('19_Расчет_аналитики'!BB2736:BB2739)*(1+'01_Вводные'!$B$58)+'09_Лагеря'!BB10,'19_Расчет_аналитики'!BB2741)</f>
        <v/>
      </c>
      <c r="BC2814">
        <f>IF('01_Вводные'!$B$288="С НДС",SUM('19_Расчет_аналитики'!BC2736:BC2739)*(1+'01_Вводные'!$B$58)+'09_Лагеря'!BC10,'19_Расчет_аналитики'!BC2741)</f>
        <v/>
      </c>
      <c r="BD2814">
        <f>IF('01_Вводные'!$B$288="С НДС",SUM('19_Расчет_аналитики'!BD2736:BD2739)*(1+'01_Вводные'!$B$58)+'09_Лагеря'!BD10,'19_Расчет_аналитики'!BD2741)</f>
        <v/>
      </c>
      <c r="BE2814">
        <f>IF('01_Вводные'!$B$288="С НДС",SUM('19_Расчет_аналитики'!BE2736:BE2739)*(1+'01_Вводные'!$B$58)+'09_Лагеря'!BE10,'19_Расчет_аналитики'!BE2741)</f>
        <v/>
      </c>
      <c r="BF2814">
        <f>IF('01_Вводные'!$B$288="С НДС",SUM('19_Расчет_аналитики'!BF2736:BF2739)*(1+'01_Вводные'!$B$58)+'09_Лагеря'!BF10,'19_Расчет_аналитики'!BF2741)</f>
        <v/>
      </c>
      <c r="BG2814">
        <f>IF('01_Вводные'!$B$288="С НДС",SUM('19_Расчет_аналитики'!BG2736:BG2739)*(1+'01_Вводные'!$B$58)+'09_Лагеря'!BG10,'19_Расчет_аналитики'!BG2741)</f>
        <v/>
      </c>
      <c r="BH2814">
        <f>IF('01_Вводные'!$B$288="С НДС",SUM('19_Расчет_аналитики'!BH2736:BH2739)*(1+'01_Вводные'!$B$58)+'09_Лагеря'!BH10,'19_Расчет_аналитики'!BH2741)</f>
        <v/>
      </c>
      <c r="BI2814">
        <f>IF('01_Вводные'!$B$288="С НДС",SUM('19_Расчет_аналитики'!BI2736:BI2739)*(1+'01_Вводные'!$B$58)+'09_Лагеря'!BI10,'19_Расчет_аналитики'!BI2741)</f>
        <v/>
      </c>
    </row>
    <row r="2815">
      <c r="B2815">
        <f>IF('01_Вводные'!$B$290="Да",'19_Расчет_аналитики'!B2814*'01_Вводные'!$B$286,0)</f>
        <v/>
      </c>
      <c r="C2815">
        <f>IF('01_Вводные'!$B$290="Да",'19_Расчет_аналитики'!C2814*'01_Вводные'!$B$286,0)</f>
        <v/>
      </c>
      <c r="D2815">
        <f>IF('01_Вводные'!$B$290="Да",'19_Расчет_аналитики'!D2814*'01_Вводные'!$B$286,0)</f>
        <v/>
      </c>
      <c r="E2815">
        <f>IF('01_Вводные'!$B$290="Да",'19_Расчет_аналитики'!E2814*'01_Вводные'!$B$286,0)</f>
        <v/>
      </c>
      <c r="F2815">
        <f>IF('01_Вводные'!$B$290="Да",'19_Расчет_аналитики'!F2814*'01_Вводные'!$B$286,0)</f>
        <v/>
      </c>
      <c r="G2815">
        <f>IF('01_Вводные'!$B$290="Да",'19_Расчет_аналитики'!G2814*'01_Вводные'!$B$286,0)</f>
        <v/>
      </c>
      <c r="H2815">
        <f>IF('01_Вводные'!$B$290="Да",'19_Расчет_аналитики'!H2814*'01_Вводные'!$B$286,0)</f>
        <v/>
      </c>
      <c r="I2815">
        <f>IF('01_Вводные'!$B$290="Да",'19_Расчет_аналитики'!I2814*'01_Вводные'!$B$286,0)</f>
        <v/>
      </c>
      <c r="J2815">
        <f>IF('01_Вводные'!$B$290="Да",'19_Расчет_аналитики'!J2814*'01_Вводные'!$B$286,0)</f>
        <v/>
      </c>
      <c r="K2815">
        <f>IF('01_Вводные'!$B$290="Да",'19_Расчет_аналитики'!K2814*'01_Вводные'!$B$286,0)</f>
        <v/>
      </c>
      <c r="L2815">
        <f>IF('01_Вводные'!$B$290="Да",'19_Расчет_аналитики'!L2814*'01_Вводные'!$B$286,0)</f>
        <v/>
      </c>
      <c r="M2815">
        <f>IF('01_Вводные'!$B$290="Да",'19_Расчет_аналитики'!M2814*'01_Вводные'!$B$286,0)</f>
        <v/>
      </c>
      <c r="N2815">
        <f>IF('01_Вводные'!$B$290="Да",'19_Расчет_аналитики'!N2814*'01_Вводные'!$B$286,0)</f>
        <v/>
      </c>
      <c r="O2815">
        <f>IF('01_Вводные'!$B$290="Да",'19_Расчет_аналитики'!O2814*'01_Вводные'!$B$286,0)</f>
        <v/>
      </c>
      <c r="P2815">
        <f>IF('01_Вводные'!$B$290="Да",'19_Расчет_аналитики'!P2814*'01_Вводные'!$B$286,0)</f>
        <v/>
      </c>
      <c r="Q2815">
        <f>IF('01_Вводные'!$B$290="Да",'19_Расчет_аналитики'!Q2814*'01_Вводные'!$B$286,0)</f>
        <v/>
      </c>
      <c r="R2815">
        <f>IF('01_Вводные'!$B$290="Да",'19_Расчет_аналитики'!R2814*'01_Вводные'!$B$286,0)</f>
        <v/>
      </c>
      <c r="S2815">
        <f>IF('01_Вводные'!$B$290="Да",'19_Расчет_аналитики'!S2814*'01_Вводные'!$B$286,0)</f>
        <v/>
      </c>
      <c r="T2815">
        <f>IF('01_Вводные'!$B$290="Да",'19_Расчет_аналитики'!T2814*'01_Вводные'!$B$286,0)</f>
        <v/>
      </c>
      <c r="U2815">
        <f>IF('01_Вводные'!$B$290="Да",'19_Расчет_аналитики'!U2814*'01_Вводные'!$B$286,0)</f>
        <v/>
      </c>
      <c r="V2815">
        <f>IF('01_Вводные'!$B$290="Да",'19_Расчет_аналитики'!V2814*'01_Вводные'!$B$286,0)</f>
        <v/>
      </c>
      <c r="W2815">
        <f>IF('01_Вводные'!$B$290="Да",'19_Расчет_аналитики'!W2814*'01_Вводные'!$B$286,0)</f>
        <v/>
      </c>
      <c r="X2815">
        <f>IF('01_Вводные'!$B$290="Да",'19_Расчет_аналитики'!X2814*'01_Вводные'!$B$286,0)</f>
        <v/>
      </c>
      <c r="Y2815">
        <f>IF('01_Вводные'!$B$290="Да",'19_Расчет_аналитики'!Y2814*'01_Вводные'!$B$286,0)</f>
        <v/>
      </c>
      <c r="Z2815">
        <f>IF('01_Вводные'!$B$290="Да",'19_Расчет_аналитики'!Z2814*'01_Вводные'!$B$286,0)</f>
        <v/>
      </c>
      <c r="AA2815">
        <f>IF('01_Вводные'!$B$290="Да",'19_Расчет_аналитики'!AA2814*'01_Вводные'!$B$286,0)</f>
        <v/>
      </c>
      <c r="AB2815">
        <f>IF('01_Вводные'!$B$290="Да",'19_Расчет_аналитики'!AB2814*'01_Вводные'!$B$286,0)</f>
        <v/>
      </c>
      <c r="AC2815">
        <f>IF('01_Вводные'!$B$290="Да",'19_Расчет_аналитики'!AC2814*'01_Вводные'!$B$286,0)</f>
        <v/>
      </c>
      <c r="AD2815">
        <f>IF('01_Вводные'!$B$290="Да",'19_Расчет_аналитики'!AD2814*'01_Вводные'!$B$286,0)</f>
        <v/>
      </c>
      <c r="AE2815">
        <f>IF('01_Вводные'!$B$290="Да",'19_Расчет_аналитики'!AE2814*'01_Вводные'!$B$286,0)</f>
        <v/>
      </c>
      <c r="AF2815">
        <f>IF('01_Вводные'!$B$290="Да",'19_Расчет_аналитики'!AF2814*'01_Вводные'!$B$286,0)</f>
        <v/>
      </c>
      <c r="AG2815">
        <f>IF('01_Вводные'!$B$290="Да",'19_Расчет_аналитики'!AG2814*'01_Вводные'!$B$286,0)</f>
        <v/>
      </c>
      <c r="AH2815">
        <f>IF('01_Вводные'!$B$290="Да",'19_Расчет_аналитики'!AH2814*'01_Вводные'!$B$286,0)</f>
        <v/>
      </c>
      <c r="AI2815">
        <f>IF('01_Вводные'!$B$290="Да",'19_Расчет_аналитики'!AI2814*'01_Вводные'!$B$286,0)</f>
        <v/>
      </c>
      <c r="AJ2815">
        <f>IF('01_Вводные'!$B$290="Да",'19_Расчет_аналитики'!AJ2814*'01_Вводные'!$B$286,0)</f>
        <v/>
      </c>
      <c r="AK2815">
        <f>IF('01_Вводные'!$B$290="Да",'19_Расчет_аналитики'!AK2814*'01_Вводные'!$B$286,0)</f>
        <v/>
      </c>
      <c r="AL2815">
        <f>IF('01_Вводные'!$B$290="Да",'19_Расчет_аналитики'!AL2814*'01_Вводные'!$B$286,0)</f>
        <v/>
      </c>
      <c r="AM2815">
        <f>IF('01_Вводные'!$B$290="Да",'19_Расчет_аналитики'!AM2814*'01_Вводные'!$B$286,0)</f>
        <v/>
      </c>
      <c r="AN2815">
        <f>IF('01_Вводные'!$B$290="Да",'19_Расчет_аналитики'!AN2814*'01_Вводные'!$B$286,0)</f>
        <v/>
      </c>
      <c r="AO2815">
        <f>IF('01_Вводные'!$B$290="Да",'19_Расчет_аналитики'!AO2814*'01_Вводные'!$B$286,0)</f>
        <v/>
      </c>
      <c r="AP2815">
        <f>IF('01_Вводные'!$B$290="Да",'19_Расчет_аналитики'!AP2814*'01_Вводные'!$B$286,0)</f>
        <v/>
      </c>
      <c r="AQ2815">
        <f>IF('01_Вводные'!$B$290="Да",'19_Расчет_аналитики'!AQ2814*'01_Вводные'!$B$286,0)</f>
        <v/>
      </c>
      <c r="AR2815">
        <f>IF('01_Вводные'!$B$290="Да",'19_Расчет_аналитики'!AR2814*'01_Вводные'!$B$286,0)</f>
        <v/>
      </c>
      <c r="AS2815">
        <f>IF('01_Вводные'!$B$290="Да",'19_Расчет_аналитики'!AS2814*'01_Вводные'!$B$286,0)</f>
        <v/>
      </c>
      <c r="AT2815">
        <f>IF('01_Вводные'!$B$290="Да",'19_Расчет_аналитики'!AT2814*'01_Вводные'!$B$286,0)</f>
        <v/>
      </c>
      <c r="AU2815">
        <f>IF('01_Вводные'!$B$290="Да",'19_Расчет_аналитики'!AU2814*'01_Вводные'!$B$286,0)</f>
        <v/>
      </c>
      <c r="AV2815">
        <f>IF('01_Вводные'!$B$290="Да",'19_Расчет_аналитики'!AV2814*'01_Вводные'!$B$286,0)</f>
        <v/>
      </c>
      <c r="AW2815">
        <f>IF('01_Вводные'!$B$290="Да",'19_Расчет_аналитики'!AW2814*'01_Вводные'!$B$286,0)</f>
        <v/>
      </c>
      <c r="AX2815">
        <f>IF('01_Вводные'!$B$290="Да",'19_Расчет_аналитики'!AX2814*'01_Вводные'!$B$286,0)</f>
        <v/>
      </c>
      <c r="AY2815">
        <f>IF('01_Вводные'!$B$290="Да",'19_Расчет_аналитики'!AY2814*'01_Вводные'!$B$286,0)</f>
        <v/>
      </c>
      <c r="AZ2815">
        <f>IF('01_Вводные'!$B$290="Да",'19_Расчет_аналитики'!AZ2814*'01_Вводные'!$B$286,0)</f>
        <v/>
      </c>
      <c r="BA2815">
        <f>IF('01_Вводные'!$B$290="Да",'19_Расчет_аналитики'!BA2814*'01_Вводные'!$B$286,0)</f>
        <v/>
      </c>
      <c r="BB2815">
        <f>IF('01_Вводные'!$B$290="Да",'19_Расчет_аналитики'!BB2814*'01_Вводные'!$B$286,0)</f>
        <v/>
      </c>
      <c r="BC2815">
        <f>IF('01_Вводные'!$B$290="Да",'19_Расчет_аналитики'!BC2814*'01_Вводные'!$B$286,0)</f>
        <v/>
      </c>
      <c r="BD2815">
        <f>IF('01_Вводные'!$B$290="Да",'19_Расчет_аналитики'!BD2814*'01_Вводные'!$B$286,0)</f>
        <v/>
      </c>
      <c r="BE2815">
        <f>IF('01_Вводные'!$B$290="Да",'19_Расчет_аналитики'!BE2814*'01_Вводные'!$B$286,0)</f>
        <v/>
      </c>
      <c r="BF2815">
        <f>IF('01_Вводные'!$B$290="Да",'19_Расчет_аналитики'!BF2814*'01_Вводные'!$B$286,0)</f>
        <v/>
      </c>
      <c r="BG2815">
        <f>IF('01_Вводные'!$B$290="Да",'19_Расчет_аналитики'!BG2814*'01_Вводные'!$B$286,0)</f>
        <v/>
      </c>
      <c r="BH2815">
        <f>IF('01_Вводные'!$B$290="Да",'19_Расчет_аналитики'!BH2814*'01_Вводные'!$B$286,0)</f>
        <v/>
      </c>
      <c r="BI2815">
        <f>IF('01_Вводные'!$B$290="Да",'19_Расчет_аналитики'!BI2814*'01_Вводные'!$B$286,0)</f>
        <v/>
      </c>
    </row>
    <row r="2816">
      <c r="B2816">
        <f>'02_Модель'!B98</f>
        <v/>
      </c>
      <c r="C2816">
        <f>'02_Модель'!C98</f>
        <v/>
      </c>
      <c r="D2816">
        <f>'02_Модель'!D98</f>
        <v/>
      </c>
      <c r="E2816">
        <f>'02_Модель'!E98</f>
        <v/>
      </c>
      <c r="F2816">
        <f>'02_Модель'!F98</f>
        <v/>
      </c>
      <c r="G2816">
        <f>'02_Модель'!G98</f>
        <v/>
      </c>
      <c r="H2816">
        <f>'02_Модель'!H98</f>
        <v/>
      </c>
      <c r="I2816">
        <f>'02_Модель'!I98</f>
        <v/>
      </c>
      <c r="J2816">
        <f>'02_Модель'!J98</f>
        <v/>
      </c>
      <c r="K2816">
        <f>'02_Модель'!K98</f>
        <v/>
      </c>
      <c r="L2816">
        <f>'02_Модель'!L98</f>
        <v/>
      </c>
      <c r="M2816">
        <f>'02_Модель'!M98</f>
        <v/>
      </c>
      <c r="N2816">
        <f>'02_Модель'!N98</f>
        <v/>
      </c>
      <c r="O2816">
        <f>'02_Модель'!O98</f>
        <v/>
      </c>
      <c r="P2816">
        <f>'02_Модель'!P98</f>
        <v/>
      </c>
      <c r="Q2816">
        <f>'02_Модель'!Q98</f>
        <v/>
      </c>
      <c r="R2816">
        <f>'02_Модель'!R98</f>
        <v/>
      </c>
      <c r="S2816">
        <f>'02_Модель'!S98</f>
        <v/>
      </c>
      <c r="T2816">
        <f>'02_Модель'!T98</f>
        <v/>
      </c>
      <c r="U2816">
        <f>'02_Модель'!U98</f>
        <v/>
      </c>
      <c r="V2816">
        <f>'02_Модель'!V98</f>
        <v/>
      </c>
      <c r="W2816">
        <f>'02_Модель'!W98</f>
        <v/>
      </c>
      <c r="X2816">
        <f>'02_Модель'!X98</f>
        <v/>
      </c>
      <c r="Y2816">
        <f>'02_Модель'!Y98</f>
        <v/>
      </c>
      <c r="Z2816">
        <f>'02_Модель'!Z98</f>
        <v/>
      </c>
      <c r="AA2816">
        <f>'02_Модель'!AA98</f>
        <v/>
      </c>
      <c r="AB2816">
        <f>'02_Модель'!AB98</f>
        <v/>
      </c>
      <c r="AC2816">
        <f>'02_Модель'!AC98</f>
        <v/>
      </c>
      <c r="AD2816">
        <f>'02_Модель'!AD98</f>
        <v/>
      </c>
      <c r="AE2816">
        <f>'02_Модель'!AE98</f>
        <v/>
      </c>
      <c r="AF2816">
        <f>'02_Модель'!AF98</f>
        <v/>
      </c>
      <c r="AG2816">
        <f>'02_Модель'!AG98</f>
        <v/>
      </c>
      <c r="AH2816">
        <f>'02_Модель'!AH98</f>
        <v/>
      </c>
      <c r="AI2816">
        <f>'02_Модель'!AI98</f>
        <v/>
      </c>
      <c r="AJ2816">
        <f>'02_Модель'!AJ98</f>
        <v/>
      </c>
      <c r="AK2816">
        <f>'02_Модель'!AK98</f>
        <v/>
      </c>
      <c r="AL2816">
        <f>'02_Модель'!AL98</f>
        <v/>
      </c>
      <c r="AM2816">
        <f>'02_Модель'!AM98</f>
        <v/>
      </c>
      <c r="AN2816">
        <f>'02_Модель'!AN98</f>
        <v/>
      </c>
      <c r="AO2816">
        <f>'02_Модель'!AO98</f>
        <v/>
      </c>
      <c r="AP2816">
        <f>'02_Модель'!AP98</f>
        <v/>
      </c>
      <c r="AQ2816">
        <f>'02_Модель'!AQ98</f>
        <v/>
      </c>
      <c r="AR2816">
        <f>'02_Модель'!AR98</f>
        <v/>
      </c>
      <c r="AS2816">
        <f>'02_Модель'!AS98</f>
        <v/>
      </c>
      <c r="AT2816">
        <f>'02_Модель'!AT98</f>
        <v/>
      </c>
      <c r="AU2816">
        <f>'02_Модель'!AU98</f>
        <v/>
      </c>
      <c r="AV2816">
        <f>'02_Модель'!AV98</f>
        <v/>
      </c>
      <c r="AW2816">
        <f>'02_Модель'!AW98</f>
        <v/>
      </c>
      <c r="AX2816">
        <f>'02_Модель'!AX98</f>
        <v/>
      </c>
      <c r="AY2816">
        <f>'02_Модель'!AY98</f>
        <v/>
      </c>
      <c r="AZ2816">
        <f>'02_Модель'!AZ98</f>
        <v/>
      </c>
      <c r="BA2816">
        <f>'02_Модель'!BA98</f>
        <v/>
      </c>
      <c r="BB2816">
        <f>'02_Модель'!BB98</f>
        <v/>
      </c>
      <c r="BC2816">
        <f>'02_Модель'!BC98</f>
        <v/>
      </c>
      <c r="BD2816">
        <f>'02_Модель'!BD98</f>
        <v/>
      </c>
      <c r="BE2816">
        <f>'02_Модель'!BE98</f>
        <v/>
      </c>
      <c r="BF2816">
        <f>'02_Модель'!BF98</f>
        <v/>
      </c>
      <c r="BG2816">
        <f>'02_Модель'!BG98</f>
        <v/>
      </c>
      <c r="BH2816">
        <f>'02_Модель'!BH98</f>
        <v/>
      </c>
      <c r="BI2816">
        <f>'02_Модель'!BI98</f>
        <v/>
      </c>
    </row>
    <row r="2817">
      <c r="B2817">
        <f>SUM('19_Расчет_аналитики'!B2815:B2816)</f>
        <v/>
      </c>
      <c r="C2817">
        <f>SUM('19_Расчет_аналитики'!C2815:C2816)</f>
        <v/>
      </c>
      <c r="D2817">
        <f>SUM('19_Расчет_аналитики'!D2815:D2816)</f>
        <v/>
      </c>
      <c r="E2817">
        <f>SUM('19_Расчет_аналитики'!E2815:E2816)</f>
        <v/>
      </c>
      <c r="F2817">
        <f>SUM('19_Расчет_аналитики'!F2815:F2816)</f>
        <v/>
      </c>
      <c r="G2817">
        <f>SUM('19_Расчет_аналитики'!G2815:G2816)</f>
        <v/>
      </c>
      <c r="H2817">
        <f>SUM('19_Расчет_аналитики'!H2815:H2816)</f>
        <v/>
      </c>
      <c r="I2817">
        <f>SUM('19_Расчет_аналитики'!I2815:I2816)</f>
        <v/>
      </c>
      <c r="J2817">
        <f>SUM('19_Расчет_аналитики'!J2815:J2816)</f>
        <v/>
      </c>
      <c r="K2817">
        <f>SUM('19_Расчет_аналитики'!K2815:K2816)</f>
        <v/>
      </c>
      <c r="L2817">
        <f>SUM('19_Расчет_аналитики'!L2815:L2816)</f>
        <v/>
      </c>
      <c r="M2817">
        <f>SUM('19_Расчет_аналитики'!M2815:M2816)</f>
        <v/>
      </c>
      <c r="N2817">
        <f>SUM('19_Расчет_аналитики'!N2815:N2816)</f>
        <v/>
      </c>
      <c r="O2817">
        <f>SUM('19_Расчет_аналитики'!O2815:O2816)</f>
        <v/>
      </c>
      <c r="P2817">
        <f>SUM('19_Расчет_аналитики'!P2815:P2816)</f>
        <v/>
      </c>
      <c r="Q2817">
        <f>SUM('19_Расчет_аналитики'!Q2815:Q2816)</f>
        <v/>
      </c>
      <c r="R2817">
        <f>SUM('19_Расчет_аналитики'!R2815:R2816)</f>
        <v/>
      </c>
      <c r="S2817">
        <f>SUM('19_Расчет_аналитики'!S2815:S2816)</f>
        <v/>
      </c>
      <c r="T2817">
        <f>SUM('19_Расчет_аналитики'!T2815:T2816)</f>
        <v/>
      </c>
      <c r="U2817">
        <f>SUM('19_Расчет_аналитики'!U2815:U2816)</f>
        <v/>
      </c>
      <c r="V2817">
        <f>SUM('19_Расчет_аналитики'!V2815:V2816)</f>
        <v/>
      </c>
      <c r="W2817">
        <f>SUM('19_Расчет_аналитики'!W2815:W2816)</f>
        <v/>
      </c>
      <c r="X2817">
        <f>SUM('19_Расчет_аналитики'!X2815:X2816)</f>
        <v/>
      </c>
      <c r="Y2817">
        <f>SUM('19_Расчет_аналитики'!Y2815:Y2816)</f>
        <v/>
      </c>
      <c r="Z2817">
        <f>SUM('19_Расчет_аналитики'!Z2815:Z2816)</f>
        <v/>
      </c>
      <c r="AA2817">
        <f>SUM('19_Расчет_аналитики'!AA2815:AA2816)</f>
        <v/>
      </c>
      <c r="AB2817">
        <f>SUM('19_Расчет_аналитики'!AB2815:AB2816)</f>
        <v/>
      </c>
      <c r="AC2817">
        <f>SUM('19_Расчет_аналитики'!AC2815:AC2816)</f>
        <v/>
      </c>
      <c r="AD2817">
        <f>SUM('19_Расчет_аналитики'!AD2815:AD2816)</f>
        <v/>
      </c>
      <c r="AE2817">
        <f>SUM('19_Расчет_аналитики'!AE2815:AE2816)</f>
        <v/>
      </c>
      <c r="AF2817">
        <f>SUM('19_Расчет_аналитики'!AF2815:AF2816)</f>
        <v/>
      </c>
      <c r="AG2817">
        <f>SUM('19_Расчет_аналитики'!AG2815:AG2816)</f>
        <v/>
      </c>
      <c r="AH2817">
        <f>SUM('19_Расчет_аналитики'!AH2815:AH2816)</f>
        <v/>
      </c>
      <c r="AI2817">
        <f>SUM('19_Расчет_аналитики'!AI2815:AI2816)</f>
        <v/>
      </c>
      <c r="AJ2817">
        <f>SUM('19_Расчет_аналитики'!AJ2815:AJ2816)</f>
        <v/>
      </c>
      <c r="AK2817">
        <f>SUM('19_Расчет_аналитики'!AK2815:AK2816)</f>
        <v/>
      </c>
      <c r="AL2817">
        <f>SUM('19_Расчет_аналитики'!AL2815:AL2816)</f>
        <v/>
      </c>
      <c r="AM2817">
        <f>SUM('19_Расчет_аналитики'!AM2815:AM2816)</f>
        <v/>
      </c>
      <c r="AN2817">
        <f>SUM('19_Расчет_аналитики'!AN2815:AN2816)</f>
        <v/>
      </c>
      <c r="AO2817">
        <f>SUM('19_Расчет_аналитики'!AO2815:AO2816)</f>
        <v/>
      </c>
      <c r="AP2817">
        <f>SUM('19_Расчет_аналитики'!AP2815:AP2816)</f>
        <v/>
      </c>
      <c r="AQ2817">
        <f>SUM('19_Расчет_аналитики'!AQ2815:AQ2816)</f>
        <v/>
      </c>
      <c r="AR2817">
        <f>SUM('19_Расчет_аналитики'!AR2815:AR2816)</f>
        <v/>
      </c>
      <c r="AS2817">
        <f>SUM('19_Расчет_аналитики'!AS2815:AS2816)</f>
        <v/>
      </c>
      <c r="AT2817">
        <f>SUM('19_Расчет_аналитики'!AT2815:AT2816)</f>
        <v/>
      </c>
      <c r="AU2817">
        <f>SUM('19_Расчет_аналитики'!AU2815:AU2816)</f>
        <v/>
      </c>
      <c r="AV2817">
        <f>SUM('19_Расчет_аналитики'!AV2815:AV2816)</f>
        <v/>
      </c>
      <c r="AW2817">
        <f>SUM('19_Расчет_аналитики'!AW2815:AW2816)</f>
        <v/>
      </c>
      <c r="AX2817">
        <f>SUM('19_Расчет_аналитики'!AX2815:AX2816)</f>
        <v/>
      </c>
      <c r="AY2817">
        <f>SUM('19_Расчет_аналитики'!AY2815:AY2816)</f>
        <v/>
      </c>
      <c r="AZ2817">
        <f>SUM('19_Расчет_аналитики'!AZ2815:AZ2816)</f>
        <v/>
      </c>
      <c r="BA2817">
        <f>SUM('19_Расчет_аналитики'!BA2815:BA2816)</f>
        <v/>
      </c>
      <c r="BB2817">
        <f>SUM('19_Расчет_аналитики'!BB2815:BB2816)</f>
        <v/>
      </c>
      <c r="BC2817">
        <f>SUM('19_Расчет_аналитики'!BC2815:BC2816)</f>
        <v/>
      </c>
      <c r="BD2817">
        <f>SUM('19_Расчет_аналитики'!BD2815:BD2816)</f>
        <v/>
      </c>
      <c r="BE2817">
        <f>SUM('19_Расчет_аналитики'!BE2815:BE2816)</f>
        <v/>
      </c>
      <c r="BF2817">
        <f>SUM('19_Расчет_аналитики'!BF2815:BF2816)</f>
        <v/>
      </c>
      <c r="BG2817">
        <f>SUM('19_Расчет_аналитики'!BG2815:BG2816)</f>
        <v/>
      </c>
      <c r="BH2817">
        <f>SUM('19_Расчет_аналитики'!BH2815:BH2816)</f>
        <v/>
      </c>
      <c r="BI2817">
        <f>SUM('19_Расчет_аналитики'!BI2815:BI2816)</f>
        <v/>
      </c>
    </row>
    <row r="2818">
      <c r="B2818">
        <f>SUM('19_Расчет_аналитики'!$B2817:B2817)</f>
        <v/>
      </c>
      <c r="C2818">
        <f>SUM('19_Расчет_аналитики'!$B2817:C2817)</f>
        <v/>
      </c>
      <c r="D2818">
        <f>SUM('19_Расчет_аналитики'!$B2817:D2817)</f>
        <v/>
      </c>
      <c r="E2818">
        <f>SUM('19_Расчет_аналитики'!$B2817:E2817)</f>
        <v/>
      </c>
      <c r="F2818">
        <f>SUM('19_Расчет_аналитики'!$B2817:F2817)</f>
        <v/>
      </c>
      <c r="G2818">
        <f>SUM('19_Расчет_аналитики'!$B2817:G2817)</f>
        <v/>
      </c>
      <c r="H2818">
        <f>SUM('19_Расчет_аналитики'!$B2817:H2817)</f>
        <v/>
      </c>
      <c r="I2818">
        <f>SUM('19_Расчет_аналитики'!$B2817:I2817)</f>
        <v/>
      </c>
      <c r="J2818">
        <f>SUM('19_Расчет_аналитики'!$B2817:J2817)</f>
        <v/>
      </c>
      <c r="K2818">
        <f>SUM('19_Расчет_аналитики'!$B2817:K2817)</f>
        <v/>
      </c>
      <c r="L2818">
        <f>SUM('19_Расчет_аналитики'!$B2817:L2817)</f>
        <v/>
      </c>
      <c r="M2818">
        <f>SUM('19_Расчет_аналитики'!$B2817:M2817)</f>
        <v/>
      </c>
      <c r="N2818">
        <f>SUM('19_Расчет_аналитики'!$B2817:N2817)</f>
        <v/>
      </c>
      <c r="O2818">
        <f>SUM('19_Расчет_аналитики'!$B2817:O2817)</f>
        <v/>
      </c>
      <c r="P2818">
        <f>SUM('19_Расчет_аналитики'!$B2817:P2817)</f>
        <v/>
      </c>
      <c r="Q2818">
        <f>SUM('19_Расчет_аналитики'!$B2817:Q2817)</f>
        <v/>
      </c>
      <c r="R2818">
        <f>SUM('19_Расчет_аналитики'!$B2817:R2817)</f>
        <v/>
      </c>
      <c r="S2818">
        <f>SUM('19_Расчет_аналитики'!$B2817:S2817)</f>
        <v/>
      </c>
      <c r="T2818">
        <f>SUM('19_Расчет_аналитики'!$B2817:T2817)</f>
        <v/>
      </c>
      <c r="U2818">
        <f>SUM('19_Расчет_аналитики'!$B2817:U2817)</f>
        <v/>
      </c>
      <c r="V2818">
        <f>SUM('19_Расчет_аналитики'!$B2817:V2817)</f>
        <v/>
      </c>
      <c r="W2818">
        <f>SUM('19_Расчет_аналитики'!$B2817:W2817)</f>
        <v/>
      </c>
      <c r="X2818">
        <f>SUM('19_Расчет_аналитики'!$B2817:X2817)</f>
        <v/>
      </c>
      <c r="Y2818">
        <f>SUM('19_Расчет_аналитики'!$B2817:Y2817)</f>
        <v/>
      </c>
      <c r="Z2818">
        <f>SUM('19_Расчет_аналитики'!$B2817:Z2817)</f>
        <v/>
      </c>
      <c r="AA2818">
        <f>SUM('19_Расчет_аналитики'!$B2817:AA2817)</f>
        <v/>
      </c>
      <c r="AB2818">
        <f>SUM('19_Расчет_аналитики'!$B2817:AB2817)</f>
        <v/>
      </c>
      <c r="AC2818">
        <f>SUM('19_Расчет_аналитики'!$B2817:AC2817)</f>
        <v/>
      </c>
      <c r="AD2818">
        <f>SUM('19_Расчет_аналитики'!$B2817:AD2817)</f>
        <v/>
      </c>
      <c r="AE2818">
        <f>SUM('19_Расчет_аналитики'!$B2817:AE2817)</f>
        <v/>
      </c>
      <c r="AF2818">
        <f>SUM('19_Расчет_аналитики'!$B2817:AF2817)</f>
        <v/>
      </c>
      <c r="AG2818">
        <f>SUM('19_Расчет_аналитики'!$B2817:AG2817)</f>
        <v/>
      </c>
      <c r="AH2818">
        <f>SUM('19_Расчет_аналитики'!$B2817:AH2817)</f>
        <v/>
      </c>
      <c r="AI2818">
        <f>SUM('19_Расчет_аналитики'!$B2817:AI2817)</f>
        <v/>
      </c>
      <c r="AJ2818">
        <f>SUM('19_Расчет_аналитики'!$B2817:AJ2817)</f>
        <v/>
      </c>
      <c r="AK2818">
        <f>SUM('19_Расчет_аналитики'!$B2817:AK2817)</f>
        <v/>
      </c>
      <c r="AL2818">
        <f>SUM('19_Расчет_аналитики'!$B2817:AL2817)</f>
        <v/>
      </c>
      <c r="AM2818">
        <f>SUM('19_Расчет_аналитики'!$B2817:AM2817)</f>
        <v/>
      </c>
      <c r="AN2818">
        <f>SUM('19_Расчет_аналитики'!$B2817:AN2817)</f>
        <v/>
      </c>
      <c r="AO2818">
        <f>SUM('19_Расчет_аналитики'!$B2817:AO2817)</f>
        <v/>
      </c>
      <c r="AP2818">
        <f>SUM('19_Расчет_аналитики'!$B2817:AP2817)</f>
        <v/>
      </c>
      <c r="AQ2818">
        <f>SUM('19_Расчет_аналитики'!$B2817:AQ2817)</f>
        <v/>
      </c>
      <c r="AR2818">
        <f>SUM('19_Расчет_аналитики'!$B2817:AR2817)</f>
        <v/>
      </c>
      <c r="AS2818">
        <f>SUM('19_Расчет_аналитики'!$B2817:AS2817)</f>
        <v/>
      </c>
      <c r="AT2818">
        <f>SUM('19_Расчет_аналитики'!$B2817:AT2817)</f>
        <v/>
      </c>
      <c r="AU2818">
        <f>SUM('19_Расчет_аналитики'!$B2817:AU2817)</f>
        <v/>
      </c>
      <c r="AV2818">
        <f>SUM('19_Расчет_аналитики'!$B2817:AV2817)</f>
        <v/>
      </c>
      <c r="AW2818">
        <f>SUM('19_Расчет_аналитики'!$B2817:AW2817)</f>
        <v/>
      </c>
      <c r="AX2818">
        <f>SUM('19_Расчет_аналитики'!$B2817:AX2817)</f>
        <v/>
      </c>
      <c r="AY2818">
        <f>SUM('19_Расчет_аналитики'!$B2817:AY2817)</f>
        <v/>
      </c>
      <c r="AZ2818">
        <f>SUM('19_Расчет_аналитики'!$B2817:AZ2817)</f>
        <v/>
      </c>
      <c r="BA2818">
        <f>SUM('19_Расчет_аналитики'!$B2817:BA2817)</f>
        <v/>
      </c>
      <c r="BB2818">
        <f>SUM('19_Расчет_аналитики'!$B2817:BB2817)</f>
        <v/>
      </c>
      <c r="BC2818">
        <f>SUM('19_Расчет_аналитики'!$B2817:BC2817)</f>
        <v/>
      </c>
      <c r="BD2818">
        <f>SUM('19_Расчет_аналитики'!$B2817:BD2817)</f>
        <v/>
      </c>
      <c r="BE2818">
        <f>SUM('19_Расчет_аналитики'!$B2817:BE2817)</f>
        <v/>
      </c>
      <c r="BF2818">
        <f>SUM('19_Расчет_аналитики'!$B2817:BF2817)</f>
        <v/>
      </c>
      <c r="BG2818">
        <f>SUM('19_Расчет_аналитики'!$B2817:BG2817)</f>
        <v/>
      </c>
      <c r="BH2818">
        <f>SUM('19_Расчет_аналитики'!$B2817:BH2817)</f>
        <v/>
      </c>
      <c r="BI2818">
        <f>SUM('19_Расчет_аналитики'!$B2817:BI2817)</f>
        <v/>
      </c>
    </row>
    <row r="2819"/>
    <row r="2820"/>
    <row r="2821"/>
    <row r="2822"/>
    <row r="2823"/>
    <row r="2824"/>
    <row r="2825"/>
    <row r="2826"/>
    <row r="2827"/>
    <row r="2828"/>
    <row r="2829">
      <c r="B2829">
        <f>INDEX('19_Расчет_аналитики'!$C$2099:$C$2103,MIN(5,INT(0/12)+1),1)*'18_Календарь_тарифы'!B4</f>
        <v/>
      </c>
      <c r="C2829">
        <f>INDEX('19_Расчет_аналитики'!$C$2099:$C$2103,MIN(5,INT(1/12)+1),1)*'18_Календарь_тарифы'!C4</f>
        <v/>
      </c>
      <c r="D2829">
        <f>INDEX('19_Расчет_аналитики'!$C$2099:$C$2103,MIN(5,INT(2/12)+1),1)*'18_Календарь_тарифы'!D4</f>
        <v/>
      </c>
      <c r="E2829">
        <f>INDEX('19_Расчет_аналитики'!$C$2099:$C$2103,MIN(5,INT(3/12)+1),1)*'18_Календарь_тарифы'!E4</f>
        <v/>
      </c>
      <c r="F2829">
        <f>INDEX('19_Расчет_аналитики'!$C$2099:$C$2103,MIN(5,INT(4/12)+1),1)*'18_Календарь_тарифы'!F4</f>
        <v/>
      </c>
      <c r="G2829">
        <f>INDEX('19_Расчет_аналитики'!$C$2099:$C$2103,MIN(5,INT(5/12)+1),1)*'18_Календарь_тарифы'!G4</f>
        <v/>
      </c>
      <c r="H2829">
        <f>INDEX('19_Расчет_аналитики'!$C$2099:$C$2103,MIN(5,INT(6/12)+1),1)*'18_Календарь_тарифы'!H4</f>
        <v/>
      </c>
      <c r="I2829">
        <f>INDEX('19_Расчет_аналитики'!$C$2099:$C$2103,MIN(5,INT(7/12)+1),1)*'18_Календарь_тарифы'!I4</f>
        <v/>
      </c>
      <c r="J2829">
        <f>INDEX('19_Расчет_аналитики'!$C$2099:$C$2103,MIN(5,INT(8/12)+1),1)*'18_Календарь_тарифы'!J4</f>
        <v/>
      </c>
      <c r="K2829">
        <f>INDEX('19_Расчет_аналитики'!$C$2099:$C$2103,MIN(5,INT(9/12)+1),1)*'18_Календарь_тарифы'!K4</f>
        <v/>
      </c>
      <c r="L2829">
        <f>INDEX('19_Расчет_аналитики'!$C$2099:$C$2103,MIN(5,INT(10/12)+1),1)*'18_Календарь_тарифы'!L4</f>
        <v/>
      </c>
      <c r="M2829">
        <f>INDEX('19_Расчет_аналитики'!$C$2099:$C$2103,MIN(5,INT(11/12)+1),1)*'18_Календарь_тарифы'!M4</f>
        <v/>
      </c>
      <c r="N2829">
        <f>INDEX('19_Расчет_аналитики'!$C$2099:$C$2103,MIN(5,INT(12/12)+1),1)*'18_Календарь_тарифы'!N4</f>
        <v/>
      </c>
      <c r="O2829">
        <f>INDEX('19_Расчет_аналитики'!$C$2099:$C$2103,MIN(5,INT(13/12)+1),1)*'18_Календарь_тарифы'!O4</f>
        <v/>
      </c>
      <c r="P2829">
        <f>INDEX('19_Расчет_аналитики'!$C$2099:$C$2103,MIN(5,INT(14/12)+1),1)*'18_Календарь_тарифы'!P4</f>
        <v/>
      </c>
      <c r="Q2829">
        <f>INDEX('19_Расчет_аналитики'!$C$2099:$C$2103,MIN(5,INT(15/12)+1),1)*'18_Календарь_тарифы'!Q4</f>
        <v/>
      </c>
      <c r="R2829">
        <f>INDEX('19_Расчет_аналитики'!$C$2099:$C$2103,MIN(5,INT(16/12)+1),1)*'18_Календарь_тарифы'!R4</f>
        <v/>
      </c>
      <c r="S2829">
        <f>INDEX('19_Расчет_аналитики'!$C$2099:$C$2103,MIN(5,INT(17/12)+1),1)*'18_Календарь_тарифы'!S4</f>
        <v/>
      </c>
      <c r="T2829">
        <f>INDEX('19_Расчет_аналитики'!$C$2099:$C$2103,MIN(5,INT(18/12)+1),1)*'18_Календарь_тарифы'!T4</f>
        <v/>
      </c>
      <c r="U2829">
        <f>INDEX('19_Расчет_аналитики'!$C$2099:$C$2103,MIN(5,INT(19/12)+1),1)*'18_Календарь_тарифы'!U4</f>
        <v/>
      </c>
      <c r="V2829">
        <f>INDEX('19_Расчет_аналитики'!$C$2099:$C$2103,MIN(5,INT(20/12)+1),1)*'18_Календарь_тарифы'!V4</f>
        <v/>
      </c>
      <c r="W2829">
        <f>INDEX('19_Расчет_аналитики'!$C$2099:$C$2103,MIN(5,INT(21/12)+1),1)*'18_Календарь_тарифы'!W4</f>
        <v/>
      </c>
      <c r="X2829">
        <f>INDEX('19_Расчет_аналитики'!$C$2099:$C$2103,MIN(5,INT(22/12)+1),1)*'18_Календарь_тарифы'!X4</f>
        <v/>
      </c>
      <c r="Y2829">
        <f>INDEX('19_Расчет_аналитики'!$C$2099:$C$2103,MIN(5,INT(23/12)+1),1)*'18_Календарь_тарифы'!Y4</f>
        <v/>
      </c>
      <c r="Z2829">
        <f>INDEX('19_Расчет_аналитики'!$C$2099:$C$2103,MIN(5,INT(24/12)+1),1)*'18_Календарь_тарифы'!Z4</f>
        <v/>
      </c>
      <c r="AA2829">
        <f>INDEX('19_Расчет_аналитики'!$C$2099:$C$2103,MIN(5,INT(25/12)+1),1)*'18_Календарь_тарифы'!AA4</f>
        <v/>
      </c>
      <c r="AB2829">
        <f>INDEX('19_Расчет_аналитики'!$C$2099:$C$2103,MIN(5,INT(26/12)+1),1)*'18_Календарь_тарифы'!AB4</f>
        <v/>
      </c>
      <c r="AC2829">
        <f>INDEX('19_Расчет_аналитики'!$C$2099:$C$2103,MIN(5,INT(27/12)+1),1)*'18_Календарь_тарифы'!AC4</f>
        <v/>
      </c>
      <c r="AD2829">
        <f>INDEX('19_Расчет_аналитики'!$C$2099:$C$2103,MIN(5,INT(28/12)+1),1)*'18_Календарь_тарифы'!AD4</f>
        <v/>
      </c>
      <c r="AE2829">
        <f>INDEX('19_Расчет_аналитики'!$C$2099:$C$2103,MIN(5,INT(29/12)+1),1)*'18_Календарь_тарифы'!AE4</f>
        <v/>
      </c>
      <c r="AF2829">
        <f>INDEX('19_Расчет_аналитики'!$C$2099:$C$2103,MIN(5,INT(30/12)+1),1)*'18_Календарь_тарифы'!AF4</f>
        <v/>
      </c>
      <c r="AG2829">
        <f>INDEX('19_Расчет_аналитики'!$C$2099:$C$2103,MIN(5,INT(31/12)+1),1)*'18_Календарь_тарифы'!AG4</f>
        <v/>
      </c>
      <c r="AH2829">
        <f>INDEX('19_Расчет_аналитики'!$C$2099:$C$2103,MIN(5,INT(32/12)+1),1)*'18_Календарь_тарифы'!AH4</f>
        <v/>
      </c>
      <c r="AI2829">
        <f>INDEX('19_Расчет_аналитики'!$C$2099:$C$2103,MIN(5,INT(33/12)+1),1)*'18_Календарь_тарифы'!AI4</f>
        <v/>
      </c>
      <c r="AJ2829">
        <f>INDEX('19_Расчет_аналитики'!$C$2099:$C$2103,MIN(5,INT(34/12)+1),1)*'18_Календарь_тарифы'!AJ4</f>
        <v/>
      </c>
      <c r="AK2829">
        <f>INDEX('19_Расчет_аналитики'!$C$2099:$C$2103,MIN(5,INT(35/12)+1),1)*'18_Календарь_тарифы'!AK4</f>
        <v/>
      </c>
      <c r="AL2829">
        <f>INDEX('19_Расчет_аналитики'!$C$2099:$C$2103,MIN(5,INT(36/12)+1),1)*'18_Календарь_тарифы'!AL4</f>
        <v/>
      </c>
      <c r="AM2829">
        <f>INDEX('19_Расчет_аналитики'!$C$2099:$C$2103,MIN(5,INT(37/12)+1),1)*'18_Календарь_тарифы'!AM4</f>
        <v/>
      </c>
      <c r="AN2829">
        <f>INDEX('19_Расчет_аналитики'!$C$2099:$C$2103,MIN(5,INT(38/12)+1),1)*'18_Календарь_тарифы'!AN4</f>
        <v/>
      </c>
      <c r="AO2829">
        <f>INDEX('19_Расчет_аналитики'!$C$2099:$C$2103,MIN(5,INT(39/12)+1),1)*'18_Календарь_тарифы'!AO4</f>
        <v/>
      </c>
      <c r="AP2829">
        <f>INDEX('19_Расчет_аналитики'!$C$2099:$C$2103,MIN(5,INT(40/12)+1),1)*'18_Календарь_тарифы'!AP4</f>
        <v/>
      </c>
      <c r="AQ2829">
        <f>INDEX('19_Расчет_аналитики'!$C$2099:$C$2103,MIN(5,INT(41/12)+1),1)*'18_Календарь_тарифы'!AQ4</f>
        <v/>
      </c>
      <c r="AR2829">
        <f>INDEX('19_Расчет_аналитики'!$C$2099:$C$2103,MIN(5,INT(42/12)+1),1)*'18_Календарь_тарифы'!AR4</f>
        <v/>
      </c>
      <c r="AS2829">
        <f>INDEX('19_Расчет_аналитики'!$C$2099:$C$2103,MIN(5,INT(43/12)+1),1)*'18_Календарь_тарифы'!AS4</f>
        <v/>
      </c>
      <c r="AT2829">
        <f>INDEX('19_Расчет_аналитики'!$C$2099:$C$2103,MIN(5,INT(44/12)+1),1)*'18_Календарь_тарифы'!AT4</f>
        <v/>
      </c>
      <c r="AU2829">
        <f>INDEX('19_Расчет_аналитики'!$C$2099:$C$2103,MIN(5,INT(45/12)+1),1)*'18_Календарь_тарифы'!AU4</f>
        <v/>
      </c>
      <c r="AV2829">
        <f>INDEX('19_Расчет_аналитики'!$C$2099:$C$2103,MIN(5,INT(46/12)+1),1)*'18_Календарь_тарифы'!AV4</f>
        <v/>
      </c>
      <c r="AW2829">
        <f>INDEX('19_Расчет_аналитики'!$C$2099:$C$2103,MIN(5,INT(47/12)+1),1)*'18_Календарь_тарифы'!AW4</f>
        <v/>
      </c>
      <c r="AX2829">
        <f>INDEX('19_Расчет_аналитики'!$C$2099:$C$2103,MIN(5,INT(48/12)+1),1)*'18_Календарь_тарифы'!AX4</f>
        <v/>
      </c>
      <c r="AY2829">
        <f>INDEX('19_Расчет_аналитики'!$C$2099:$C$2103,MIN(5,INT(49/12)+1),1)*'18_Календарь_тарифы'!AY4</f>
        <v/>
      </c>
      <c r="AZ2829">
        <f>INDEX('19_Расчет_аналитики'!$C$2099:$C$2103,MIN(5,INT(50/12)+1),1)*'18_Календарь_тарифы'!AZ4</f>
        <v/>
      </c>
      <c r="BA2829">
        <f>INDEX('19_Расчет_аналитики'!$C$2099:$C$2103,MIN(5,INT(51/12)+1),1)*'18_Календарь_тарифы'!BA4</f>
        <v/>
      </c>
      <c r="BB2829">
        <f>INDEX('19_Расчет_аналитики'!$C$2099:$C$2103,MIN(5,INT(52/12)+1),1)*'18_Календарь_тарифы'!BB4</f>
        <v/>
      </c>
      <c r="BC2829">
        <f>INDEX('19_Расчет_аналитики'!$C$2099:$C$2103,MIN(5,INT(53/12)+1),1)*'18_Календарь_тарифы'!BC4</f>
        <v/>
      </c>
      <c r="BD2829">
        <f>INDEX('19_Расчет_аналитики'!$C$2099:$C$2103,MIN(5,INT(54/12)+1),1)*'18_Календарь_тарифы'!BD4</f>
        <v/>
      </c>
      <c r="BE2829">
        <f>INDEX('19_Расчет_аналитики'!$C$2099:$C$2103,MIN(5,INT(55/12)+1),1)*'18_Календарь_тарифы'!BE4</f>
        <v/>
      </c>
      <c r="BF2829">
        <f>INDEX('19_Расчет_аналитики'!$C$2099:$C$2103,MIN(5,INT(56/12)+1),1)*'18_Календарь_тарифы'!BF4</f>
        <v/>
      </c>
      <c r="BG2829">
        <f>INDEX('19_Расчет_аналитики'!$C$2099:$C$2103,MIN(5,INT(57/12)+1),1)*'18_Календарь_тарифы'!BG4</f>
        <v/>
      </c>
      <c r="BH2829">
        <f>INDEX('19_Расчет_аналитики'!$C$2099:$C$2103,MIN(5,INT(58/12)+1),1)*'18_Календарь_тарифы'!BH4</f>
        <v/>
      </c>
      <c r="BI2829">
        <f>INDEX('19_Расчет_аналитики'!$C$2099:$C$2103,MIN(5,INT(59/12)+1),1)*'18_Календарь_тарифы'!BI4</f>
        <v/>
      </c>
      <c r="BJ2829">
        <f>INDEX('19_Расчет_аналитики'!$C$2099:$C$2103,MIN(5,INT(60/12)+1),1)*'18_Календарь_тарифы'!BJ4</f>
        <v/>
      </c>
      <c r="BK2829">
        <f>INDEX('19_Расчет_аналитики'!$C$2099:$C$2103,MIN(5,INT(61/12)+1),1)*'18_Календарь_тарифы'!BK4</f>
        <v/>
      </c>
      <c r="BL2829">
        <f>INDEX('19_Расчет_аналитики'!$C$2099:$C$2103,MIN(5,INT(62/12)+1),1)*'18_Календарь_тарифы'!BL4</f>
        <v/>
      </c>
      <c r="BM2829">
        <f>INDEX('19_Расчет_аналитики'!$C$2099:$C$2103,MIN(5,INT(63/12)+1),1)*'18_Календарь_тарифы'!BM4</f>
        <v/>
      </c>
      <c r="BN2829">
        <f>INDEX('19_Расчет_аналитики'!$C$2099:$C$2103,MIN(5,INT(64/12)+1),1)*'18_Календарь_тарифы'!BN4</f>
        <v/>
      </c>
      <c r="BO2829">
        <f>INDEX('19_Расчет_аналитики'!$C$2099:$C$2103,MIN(5,INT(65/12)+1),1)*'18_Календарь_тарифы'!BO4</f>
        <v/>
      </c>
    </row>
    <row r="2830">
      <c r="B2830">
        <f>'19_Расчет_аналитики'!$B$2087*'18_Календарь_тарифы'!B4</f>
        <v/>
      </c>
      <c r="C2830">
        <f>'19_Расчет_аналитики'!$B$2087*'18_Календарь_тарифы'!C4</f>
        <v/>
      </c>
      <c r="D2830">
        <f>'19_Расчет_аналитики'!$B$2087*'18_Календарь_тарифы'!D4</f>
        <v/>
      </c>
      <c r="E2830">
        <f>'19_Расчет_аналитики'!$B$2087*'18_Календарь_тарифы'!E4</f>
        <v/>
      </c>
      <c r="F2830">
        <f>'19_Расчет_аналитики'!$B$2087*'18_Календарь_тарифы'!F4</f>
        <v/>
      </c>
      <c r="G2830">
        <f>'19_Расчет_аналитики'!$B$2087*'18_Календарь_тарифы'!G4</f>
        <v/>
      </c>
      <c r="H2830">
        <f>'19_Расчет_аналитики'!$B$2087*'18_Календарь_тарифы'!H4</f>
        <v/>
      </c>
      <c r="I2830">
        <f>'19_Расчет_аналитики'!$B$2087*'18_Календарь_тарифы'!I4</f>
        <v/>
      </c>
      <c r="J2830">
        <f>'19_Расчет_аналитики'!$B$2087*'18_Календарь_тарифы'!J4</f>
        <v/>
      </c>
      <c r="K2830">
        <f>'19_Расчет_аналитики'!$B$2087*'18_Календарь_тарифы'!K4</f>
        <v/>
      </c>
      <c r="L2830">
        <f>'19_Расчет_аналитики'!$B$2087*'18_Календарь_тарифы'!L4</f>
        <v/>
      </c>
      <c r="M2830">
        <f>'19_Расчет_аналитики'!$B$2087*'18_Календарь_тарифы'!M4</f>
        <v/>
      </c>
      <c r="N2830">
        <f>'19_Расчет_аналитики'!$B$2087*'18_Календарь_тарифы'!N4</f>
        <v/>
      </c>
      <c r="O2830">
        <f>'19_Расчет_аналитики'!$B$2087*'18_Календарь_тарифы'!O4</f>
        <v/>
      </c>
      <c r="P2830">
        <f>'19_Расчет_аналитики'!$B$2087*'18_Календарь_тарифы'!P4</f>
        <v/>
      </c>
      <c r="Q2830">
        <f>'19_Расчет_аналитики'!$B$2087*'18_Календарь_тарифы'!Q4</f>
        <v/>
      </c>
      <c r="R2830">
        <f>'19_Расчет_аналитики'!$B$2087*'18_Календарь_тарифы'!R4</f>
        <v/>
      </c>
      <c r="S2830">
        <f>'19_Расчет_аналитики'!$B$2087*'18_Календарь_тарифы'!S4</f>
        <v/>
      </c>
      <c r="T2830">
        <f>'19_Расчет_аналитики'!$B$2087*'18_Календарь_тарифы'!T4</f>
        <v/>
      </c>
      <c r="U2830">
        <f>'19_Расчет_аналитики'!$B$2087*'18_Календарь_тарифы'!U4</f>
        <v/>
      </c>
      <c r="V2830">
        <f>'19_Расчет_аналитики'!$B$2087*'18_Календарь_тарифы'!V4</f>
        <v/>
      </c>
      <c r="W2830">
        <f>'19_Расчет_аналитики'!$B$2087*'18_Календарь_тарифы'!W4</f>
        <v/>
      </c>
      <c r="X2830">
        <f>'19_Расчет_аналитики'!$B$2087*'18_Календарь_тарифы'!X4</f>
        <v/>
      </c>
      <c r="Y2830">
        <f>'19_Расчет_аналитики'!$B$2087*'18_Календарь_тарифы'!Y4</f>
        <v/>
      </c>
      <c r="Z2830">
        <f>'19_Расчет_аналитики'!$B$2087*'18_Календарь_тарифы'!Z4</f>
        <v/>
      </c>
      <c r="AA2830">
        <f>'19_Расчет_аналитики'!$B$2087*'18_Календарь_тарифы'!AA4</f>
        <v/>
      </c>
      <c r="AB2830">
        <f>'19_Расчет_аналитики'!$B$2087*'18_Календарь_тарифы'!AB4</f>
        <v/>
      </c>
      <c r="AC2830">
        <f>'19_Расчет_аналитики'!$B$2087*'18_Календарь_тарифы'!AC4</f>
        <v/>
      </c>
      <c r="AD2830">
        <f>'19_Расчет_аналитики'!$B$2087*'18_Календарь_тарифы'!AD4</f>
        <v/>
      </c>
      <c r="AE2830">
        <f>'19_Расчет_аналитики'!$B$2087*'18_Календарь_тарифы'!AE4</f>
        <v/>
      </c>
      <c r="AF2830">
        <f>'19_Расчет_аналитики'!$B$2087*'18_Календарь_тарифы'!AF4</f>
        <v/>
      </c>
      <c r="AG2830">
        <f>'19_Расчет_аналитики'!$B$2087*'18_Календарь_тарифы'!AG4</f>
        <v/>
      </c>
      <c r="AH2830">
        <f>'19_Расчет_аналитики'!$B$2087*'18_Календарь_тарифы'!AH4</f>
        <v/>
      </c>
      <c r="AI2830">
        <f>'19_Расчет_аналитики'!$B$2087*'18_Календарь_тарифы'!AI4</f>
        <v/>
      </c>
      <c r="AJ2830">
        <f>'19_Расчет_аналитики'!$B$2087*'18_Календарь_тарифы'!AJ4</f>
        <v/>
      </c>
      <c r="AK2830">
        <f>'19_Расчет_аналитики'!$B$2087*'18_Календарь_тарифы'!AK4</f>
        <v/>
      </c>
      <c r="AL2830">
        <f>'19_Расчет_аналитики'!$B$2087*'18_Календарь_тарифы'!AL4</f>
        <v/>
      </c>
      <c r="AM2830">
        <f>'19_Расчет_аналитики'!$B$2087*'18_Календарь_тарифы'!AM4</f>
        <v/>
      </c>
      <c r="AN2830">
        <f>'19_Расчет_аналитики'!$B$2087*'18_Календарь_тарифы'!AN4</f>
        <v/>
      </c>
      <c r="AO2830">
        <f>'19_Расчет_аналитики'!$B$2087*'18_Календарь_тарифы'!AO4</f>
        <v/>
      </c>
      <c r="AP2830">
        <f>'19_Расчет_аналитики'!$B$2087*'18_Календарь_тарифы'!AP4</f>
        <v/>
      </c>
      <c r="AQ2830">
        <f>'19_Расчет_аналитики'!$B$2087*'18_Календарь_тарифы'!AQ4</f>
        <v/>
      </c>
      <c r="AR2830">
        <f>'19_Расчет_аналитики'!$B$2087*'18_Календарь_тарифы'!AR4</f>
        <v/>
      </c>
      <c r="AS2830">
        <f>'19_Расчет_аналитики'!$B$2087*'18_Календарь_тарифы'!AS4</f>
        <v/>
      </c>
      <c r="AT2830">
        <f>'19_Расчет_аналитики'!$B$2087*'18_Календарь_тарифы'!AT4</f>
        <v/>
      </c>
      <c r="AU2830">
        <f>'19_Расчет_аналитики'!$B$2087*'18_Календарь_тарифы'!AU4</f>
        <v/>
      </c>
      <c r="AV2830">
        <f>'19_Расчет_аналитики'!$B$2087*'18_Календарь_тарифы'!AV4</f>
        <v/>
      </c>
      <c r="AW2830">
        <f>'19_Расчет_аналитики'!$B$2087*'18_Календарь_тарифы'!AW4</f>
        <v/>
      </c>
      <c r="AX2830">
        <f>'19_Расчет_аналитики'!$B$2087*'18_Календарь_тарифы'!AX4</f>
        <v/>
      </c>
      <c r="AY2830">
        <f>'19_Расчет_аналитики'!$B$2087*'18_Календарь_тарифы'!AY4</f>
        <v/>
      </c>
      <c r="AZ2830">
        <f>'19_Расчет_аналитики'!$B$2087*'18_Календарь_тарифы'!AZ4</f>
        <v/>
      </c>
      <c r="BA2830">
        <f>'19_Расчет_аналитики'!$B$2087*'18_Календарь_тарифы'!BA4</f>
        <v/>
      </c>
      <c r="BB2830">
        <f>'19_Расчет_аналитики'!$B$2087*'18_Календарь_тарифы'!BB4</f>
        <v/>
      </c>
      <c r="BC2830">
        <f>'19_Расчет_аналитики'!$B$2087*'18_Календарь_тарифы'!BC4</f>
        <v/>
      </c>
      <c r="BD2830">
        <f>'19_Расчет_аналитики'!$B$2087*'18_Календарь_тарифы'!BD4</f>
        <v/>
      </c>
      <c r="BE2830">
        <f>'19_Расчет_аналитики'!$B$2087*'18_Календарь_тарифы'!BE4</f>
        <v/>
      </c>
      <c r="BF2830">
        <f>'19_Расчет_аналитики'!$B$2087*'18_Календарь_тарифы'!BF4</f>
        <v/>
      </c>
      <c r="BG2830">
        <f>'19_Расчет_аналитики'!$B$2087*'18_Календарь_тарифы'!BG4</f>
        <v/>
      </c>
      <c r="BH2830">
        <f>'19_Расчет_аналитики'!$B$2087*'18_Календарь_тарифы'!BH4</f>
        <v/>
      </c>
      <c r="BI2830">
        <f>'19_Расчет_аналитики'!$B$2087*'18_Календарь_тарифы'!BI4</f>
        <v/>
      </c>
      <c r="BJ2830">
        <f>'19_Расчет_аналитики'!$B$2087*'18_Календарь_тарифы'!BJ4</f>
        <v/>
      </c>
      <c r="BK2830">
        <f>'19_Расчет_аналитики'!$B$2087*'18_Календарь_тарифы'!BK4</f>
        <v/>
      </c>
      <c r="BL2830">
        <f>'19_Расчет_аналитики'!$B$2087*'18_Календарь_тарифы'!BL4</f>
        <v/>
      </c>
      <c r="BM2830">
        <f>'19_Расчет_аналитики'!$B$2087*'18_Календарь_тарифы'!BM4</f>
        <v/>
      </c>
      <c r="BN2830">
        <f>'19_Расчет_аналитики'!$B$2087*'18_Календарь_тарифы'!BN4</f>
        <v/>
      </c>
      <c r="BO2830">
        <f>'19_Расчет_аналитики'!$B$2087*'18_Календарь_тарифы'!BO4</f>
        <v/>
      </c>
    </row>
    <row r="2831"/>
    <row r="2832"/>
    <row r="2833">
      <c r="B2833">
        <f>'19_Расчет_аналитики'!$B$2062*'18_Календарь_тарифы'!B4</f>
        <v/>
      </c>
      <c r="C2833">
        <f>'19_Расчет_аналитики'!$B$2062*'18_Календарь_тарифы'!C4</f>
        <v/>
      </c>
      <c r="D2833">
        <f>'19_Расчет_аналитики'!$B$2062*'18_Календарь_тарифы'!D4</f>
        <v/>
      </c>
      <c r="E2833">
        <f>'19_Расчет_аналитики'!$B$2062*'18_Календарь_тарифы'!E4</f>
        <v/>
      </c>
      <c r="F2833">
        <f>'19_Расчет_аналитики'!$B$2062*'18_Календарь_тарифы'!F4</f>
        <v/>
      </c>
      <c r="G2833">
        <f>'19_Расчет_аналитики'!$B$2062*'18_Календарь_тарифы'!G4</f>
        <v/>
      </c>
      <c r="H2833">
        <f>'19_Расчет_аналитики'!$B$2062*'18_Календарь_тарифы'!H4</f>
        <v/>
      </c>
      <c r="I2833">
        <f>'19_Расчет_аналитики'!$B$2062*'18_Календарь_тарифы'!I4</f>
        <v/>
      </c>
      <c r="J2833">
        <f>'19_Расчет_аналитики'!$B$2062*'18_Календарь_тарифы'!J4</f>
        <v/>
      </c>
      <c r="K2833">
        <f>'19_Расчет_аналитики'!$B$2062*'18_Календарь_тарифы'!K4</f>
        <v/>
      </c>
      <c r="L2833">
        <f>'19_Расчет_аналитики'!$B$2062*'18_Календарь_тарифы'!L4</f>
        <v/>
      </c>
      <c r="M2833">
        <f>'19_Расчет_аналитики'!$B$2062*'18_Календарь_тарифы'!M4</f>
        <v/>
      </c>
      <c r="N2833">
        <f>'19_Расчет_аналитики'!$B$2062*'18_Календарь_тарифы'!N4</f>
        <v/>
      </c>
      <c r="O2833">
        <f>'19_Расчет_аналитики'!$B$2062*'18_Календарь_тарифы'!O4</f>
        <v/>
      </c>
      <c r="P2833">
        <f>'19_Расчет_аналитики'!$B$2062*'18_Календарь_тарифы'!P4</f>
        <v/>
      </c>
      <c r="Q2833">
        <f>'19_Расчет_аналитики'!$B$2062*'18_Календарь_тарифы'!Q4</f>
        <v/>
      </c>
      <c r="R2833">
        <f>'19_Расчет_аналитики'!$B$2062*'18_Календарь_тарифы'!R4</f>
        <v/>
      </c>
      <c r="S2833">
        <f>'19_Расчет_аналитики'!$B$2062*'18_Календарь_тарифы'!S4</f>
        <v/>
      </c>
      <c r="T2833">
        <f>'19_Расчет_аналитики'!$B$2062*'18_Календарь_тарифы'!T4</f>
        <v/>
      </c>
      <c r="U2833">
        <f>'19_Расчет_аналитики'!$B$2062*'18_Календарь_тарифы'!U4</f>
        <v/>
      </c>
      <c r="V2833">
        <f>'19_Расчет_аналитики'!$B$2062*'18_Календарь_тарифы'!V4</f>
        <v/>
      </c>
      <c r="W2833">
        <f>'19_Расчет_аналитики'!$B$2062*'18_Календарь_тарифы'!W4</f>
        <v/>
      </c>
      <c r="X2833">
        <f>'19_Расчет_аналитики'!$B$2062*'18_Календарь_тарифы'!X4</f>
        <v/>
      </c>
      <c r="Y2833">
        <f>'19_Расчет_аналитики'!$B$2062*'18_Календарь_тарифы'!Y4</f>
        <v/>
      </c>
      <c r="Z2833">
        <f>'19_Расчет_аналитики'!$B$2062*'18_Календарь_тарифы'!Z4</f>
        <v/>
      </c>
      <c r="AA2833">
        <f>'19_Расчет_аналитики'!$B$2062*'18_Календарь_тарифы'!AA4</f>
        <v/>
      </c>
      <c r="AB2833">
        <f>'19_Расчет_аналитики'!$B$2062*'18_Календарь_тарифы'!AB4</f>
        <v/>
      </c>
      <c r="AC2833">
        <f>'19_Расчет_аналитики'!$B$2062*'18_Календарь_тарифы'!AC4</f>
        <v/>
      </c>
      <c r="AD2833">
        <f>'19_Расчет_аналитики'!$B$2062*'18_Календарь_тарифы'!AD4</f>
        <v/>
      </c>
      <c r="AE2833">
        <f>'19_Расчет_аналитики'!$B$2062*'18_Календарь_тарифы'!AE4</f>
        <v/>
      </c>
      <c r="AF2833">
        <f>'19_Расчет_аналитики'!$B$2062*'18_Календарь_тарифы'!AF4</f>
        <v/>
      </c>
      <c r="AG2833">
        <f>'19_Расчет_аналитики'!$B$2062*'18_Календарь_тарифы'!AG4</f>
        <v/>
      </c>
      <c r="AH2833">
        <f>'19_Расчет_аналитики'!$B$2062*'18_Календарь_тарифы'!AH4</f>
        <v/>
      </c>
      <c r="AI2833">
        <f>'19_Расчет_аналитики'!$B$2062*'18_Календарь_тарифы'!AI4</f>
        <v/>
      </c>
      <c r="AJ2833">
        <f>'19_Расчет_аналитики'!$B$2062*'18_Календарь_тарифы'!AJ4</f>
        <v/>
      </c>
      <c r="AK2833">
        <f>'19_Расчет_аналитики'!$B$2062*'18_Календарь_тарифы'!AK4</f>
        <v/>
      </c>
      <c r="AL2833">
        <f>'19_Расчет_аналитики'!$B$2062*'18_Календарь_тарифы'!AL4</f>
        <v/>
      </c>
      <c r="AM2833">
        <f>'19_Расчет_аналитики'!$B$2062*'18_Календарь_тарифы'!AM4</f>
        <v/>
      </c>
      <c r="AN2833">
        <f>'19_Расчет_аналитики'!$B$2062*'18_Календарь_тарифы'!AN4</f>
        <v/>
      </c>
      <c r="AO2833">
        <f>'19_Расчет_аналитики'!$B$2062*'18_Календарь_тарифы'!AO4</f>
        <v/>
      </c>
      <c r="AP2833">
        <f>'19_Расчет_аналитики'!$B$2062*'18_Календарь_тарифы'!AP4</f>
        <v/>
      </c>
      <c r="AQ2833">
        <f>'19_Расчет_аналитики'!$B$2062*'18_Календарь_тарифы'!AQ4</f>
        <v/>
      </c>
      <c r="AR2833">
        <f>'19_Расчет_аналитики'!$B$2062*'18_Календарь_тарифы'!AR4</f>
        <v/>
      </c>
      <c r="AS2833">
        <f>'19_Расчет_аналитики'!$B$2062*'18_Календарь_тарифы'!AS4</f>
        <v/>
      </c>
      <c r="AT2833">
        <f>'19_Расчет_аналитики'!$B$2062*'18_Календарь_тарифы'!AT4</f>
        <v/>
      </c>
      <c r="AU2833">
        <f>'19_Расчет_аналитики'!$B$2062*'18_Календарь_тарифы'!AU4</f>
        <v/>
      </c>
      <c r="AV2833">
        <f>'19_Расчет_аналитики'!$B$2062*'18_Календарь_тарифы'!AV4</f>
        <v/>
      </c>
      <c r="AW2833">
        <f>'19_Расчет_аналитики'!$B$2062*'18_Календарь_тарифы'!AW4</f>
        <v/>
      </c>
      <c r="AX2833">
        <f>'19_Расчет_аналитики'!$B$2062*'18_Календарь_тарифы'!AX4</f>
        <v/>
      </c>
      <c r="AY2833">
        <f>'19_Расчет_аналитики'!$B$2062*'18_Календарь_тарифы'!AY4</f>
        <v/>
      </c>
      <c r="AZ2833">
        <f>'19_Расчет_аналитики'!$B$2062*'18_Календарь_тарифы'!AZ4</f>
        <v/>
      </c>
      <c r="BA2833">
        <f>'19_Расчет_аналитики'!$B$2062*'18_Календарь_тарифы'!BA4</f>
        <v/>
      </c>
      <c r="BB2833">
        <f>'19_Расчет_аналитики'!$B$2062*'18_Календарь_тарифы'!BB4</f>
        <v/>
      </c>
      <c r="BC2833">
        <f>'19_Расчет_аналитики'!$B$2062*'18_Календарь_тарифы'!BC4</f>
        <v/>
      </c>
      <c r="BD2833">
        <f>'19_Расчет_аналитики'!$B$2062*'18_Календарь_тарифы'!BD4</f>
        <v/>
      </c>
      <c r="BE2833">
        <f>'19_Расчет_аналитики'!$B$2062*'18_Календарь_тарифы'!BE4</f>
        <v/>
      </c>
      <c r="BF2833">
        <f>'19_Расчет_аналитики'!$B$2062*'18_Календарь_тарифы'!BF4</f>
        <v/>
      </c>
      <c r="BG2833">
        <f>'19_Расчет_аналитики'!$B$2062*'18_Календарь_тарифы'!BG4</f>
        <v/>
      </c>
      <c r="BH2833">
        <f>'19_Расчет_аналитики'!$B$2062*'18_Календарь_тарифы'!BH4</f>
        <v/>
      </c>
      <c r="BI2833">
        <f>'19_Расчет_аналитики'!$B$2062*'18_Календарь_тарифы'!BI4</f>
        <v/>
      </c>
      <c r="BJ2833">
        <f>'19_Расчет_аналитики'!$B$2062*'18_Календарь_тарифы'!BJ4</f>
        <v/>
      </c>
      <c r="BK2833">
        <f>'19_Расчет_аналитики'!$B$2062*'18_Календарь_тарифы'!BK4</f>
        <v/>
      </c>
      <c r="BL2833">
        <f>'19_Расчет_аналитики'!$B$2062*'18_Календарь_тарифы'!BL4</f>
        <v/>
      </c>
      <c r="BM2833">
        <f>'19_Расчет_аналитики'!$B$2062*'18_Календарь_тарифы'!BM4</f>
        <v/>
      </c>
      <c r="BN2833">
        <f>'19_Расчет_аналитики'!$B$2062*'18_Календарь_тарифы'!BN4</f>
        <v/>
      </c>
      <c r="BO2833">
        <f>'19_Расчет_аналитики'!$B$2062*'18_Календарь_тарифы'!BO4</f>
        <v/>
      </c>
    </row>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c r="A3039" t="inlineStr">
        <is>
          <t>Sensitivity minus</t>
        </is>
      </c>
    </row>
    <row r="3040"/>
    <row r="3041">
      <c r="B3041">
        <f>IF('01_Вводные'!$B$257=1,1-'01_Вводные'!$B$258,1)</f>
        <v/>
      </c>
      <c r="C3041">
        <f>IF('01_Вводные'!$B$257=2,1-'01_Вводные'!$B$258,1)</f>
        <v/>
      </c>
      <c r="D3041">
        <f>IF('01_Вводные'!$B$257=3,1-'01_Вводные'!$B$258,1)</f>
        <v/>
      </c>
      <c r="E3041">
        <f>IF('01_Вводные'!$B$257=4,1-'01_Вводные'!$B$258,1)</f>
        <v/>
      </c>
      <c r="F3041">
        <f>IF('01_Вводные'!$B$257=5,1-'01_Вводные'!$B$258,1)</f>
        <v/>
      </c>
      <c r="G3041">
        <f>IF('01_Вводные'!$B$257=6,1-'01_Вводные'!$B$258,1)</f>
        <v/>
      </c>
    </row>
    <row r="3042"/>
    <row r="3043"/>
    <row r="3044"/>
    <row r="3045"/>
    <row r="3046"/>
    <row r="3047"/>
    <row r="3048"/>
    <row r="3049"/>
    <row r="3050"/>
    <row r="3051"/>
    <row r="3052"/>
    <row r="3053"/>
    <row r="3054"/>
    <row r="3055"/>
    <row r="3056"/>
    <row r="3057"/>
    <row r="3058"/>
    <row r="3059"/>
    <row r="3060"/>
    <row r="3061"/>
    <row r="3062"/>
    <row r="3063"/>
    <row r="3064"/>
    <row r="3065"/>
    <row r="3066">
      <c r="B3066">
        <f>'01_Вводные'!$B$225*'19_Расчет_аналитики'!$F$3251</f>
        <v/>
      </c>
    </row>
    <row r="3067"/>
    <row r="3068">
      <c r="B3068">
        <f>MAX(0,MIN(1,(30-'19_Расчет_аналитики'!B3066)/30))</f>
        <v/>
      </c>
    </row>
    <row r="3069"/>
    <row r="3070"/>
    <row r="3071"/>
    <row r="3072"/>
    <row r="3073"/>
    <row r="3074">
      <c r="B3074">
        <f>'01_Вводные'!$B$224*'19_Расчет_аналитики'!$F$3250</f>
        <v/>
      </c>
    </row>
    <row r="3075"/>
    <row r="3076"/>
    <row r="3077"/>
    <row r="3078"/>
    <row r="3079"/>
    <row r="3080"/>
    <row r="3081"/>
    <row r="3082"/>
    <row r="3083"/>
    <row r="3084">
      <c r="B3084">
        <f>'01_Вводные'!$B$210*'19_Расчет_аналитики'!$F$3246</f>
        <v/>
      </c>
    </row>
    <row r="3085">
      <c r="B3085">
        <f>'01_Вводные'!$B$211*'19_Расчет_аналитики'!$F$3246</f>
        <v/>
      </c>
    </row>
    <row r="3086">
      <c r="B3086">
        <f>'01_Вводные'!$B$212*'19_Расчет_аналитики'!$F$3246</f>
        <v/>
      </c>
    </row>
    <row r="3087">
      <c r="B3087">
        <f>'01_Вводные'!$B$213*'19_Расчет_аналитики'!$F$3246</f>
        <v/>
      </c>
    </row>
    <row r="3088">
      <c r="B3088">
        <f>'01_Вводные'!$B$214*'19_Расчет_аналитики'!$F$3246</f>
        <v/>
      </c>
    </row>
    <row r="3089"/>
    <row r="3090"/>
    <row r="3091"/>
    <row r="3092"/>
    <row r="3093"/>
    <row r="3094">
      <c r="B3094">
        <f>'01_Вводные'!$B$215*'19_Расчет_аналитики'!$F$3247</f>
        <v/>
      </c>
    </row>
    <row r="3095">
      <c r="B3095">
        <f>'01_Вводные'!$B$216*'19_Расчет_аналитики'!$F$3247</f>
        <v/>
      </c>
    </row>
    <row r="3096"/>
    <row r="3097"/>
    <row r="3098"/>
    <row r="3099">
      <c r="B3099">
        <f>'01_Вводные'!$B$217*'19_Расчет_аналитики'!$F$3248</f>
        <v/>
      </c>
    </row>
    <row r="3100"/>
    <row r="3101"/>
    <row r="3102"/>
    <row r="3103"/>
    <row r="3104"/>
    <row r="3105"/>
    <row r="3106"/>
    <row r="3107"/>
    <row r="3108"/>
    <row r="3109"/>
    <row r="3110"/>
    <row r="3111">
      <c r="C3111">
        <f>'01_Вводные'!$B$218*'19_Расчет_аналитики'!$F$3248</f>
        <v/>
      </c>
    </row>
    <row r="3112">
      <c r="C3112">
        <f>'01_Вводные'!$B$219*'19_Расчет_аналитики'!$F$3248</f>
        <v/>
      </c>
    </row>
    <row r="3113">
      <c r="C3113">
        <f>'01_Вводные'!$B$220*'19_Расчет_аналитики'!$F$3248</f>
        <v/>
      </c>
    </row>
    <row r="3114">
      <c r="C3114">
        <f>'01_Вводные'!$B$221*'19_Расчет_аналитики'!$F$3248</f>
        <v/>
      </c>
    </row>
    <row r="3115">
      <c r="C3115">
        <f>'01_Вводные'!$B$222*'19_Расчет_аналитики'!$F$3248</f>
        <v/>
      </c>
    </row>
    <row r="3116"/>
    <row r="3117"/>
    <row r="3118"/>
    <row r="3119"/>
    <row r="3120"/>
    <row r="3121"/>
    <row r="3122">
      <c r="B3122">
        <f>'01_Вводные'!$B$223*'19_Расчет_аналитики'!$F$3249</f>
        <v/>
      </c>
    </row>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c r="F3246">
        <f>'19_Расчет_аналитики'!$B$3041</f>
        <v/>
      </c>
    </row>
    <row r="3247">
      <c r="F3247">
        <f>'19_Расчет_аналитики'!$C$3041</f>
        <v/>
      </c>
    </row>
    <row r="3248">
      <c r="F3248">
        <f>'19_Расчет_аналитики'!$D$3041</f>
        <v/>
      </c>
    </row>
    <row r="3249">
      <c r="F3249">
        <f>'19_Расчет_аналитики'!$E$3041</f>
        <v/>
      </c>
    </row>
    <row r="3250">
      <c r="F3250">
        <f>'19_Расчет_аналитики'!$F$3041</f>
        <v/>
      </c>
    </row>
    <row r="3251">
      <c r="F3251">
        <f>'19_Расчет_аналитики'!$G$3041</f>
        <v/>
      </c>
    </row>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c r="B3364">
        <f>IF('01_Вводные'!$B$234="Да",'19_Расчет_аналитики'!B3084,0)</f>
        <v/>
      </c>
      <c r="D3364">
        <f>IF('01_Вводные'!$B$234="Да",SUM('19_Расчет_аналитики'!B3374:M3374),0)</f>
        <v/>
      </c>
      <c r="E3364">
        <f>IF('01_Вводные'!$B$234="Да",ROUND('19_Расчет_аналитики'!D3364-'19_Расчет_аналитики'!B3364,8),0)</f>
        <v/>
      </c>
    </row>
    <row r="3365">
      <c r="B3365">
        <f>IF('01_Вводные'!$B$234="Да",'19_Расчет_аналитики'!B3085,0)</f>
        <v/>
      </c>
      <c r="D3365">
        <f>IF('01_Вводные'!$B$234="Да",SUM('19_Расчет_аналитики'!N3374:Y3374),0)</f>
        <v/>
      </c>
      <c r="E3365">
        <f>IF('01_Вводные'!$B$234="Да",ROUND('19_Расчет_аналитики'!D3365-'19_Расчет_аналитики'!B3365,8),0)</f>
        <v/>
      </c>
    </row>
    <row r="3366">
      <c r="B3366">
        <f>IF('01_Вводные'!$B$234="Да",'19_Расчет_аналитики'!B3086,0)</f>
        <v/>
      </c>
      <c r="D3366">
        <f>IF('01_Вводные'!$B$234="Да",SUM('19_Расчет_аналитики'!Z3374:AK3374),0)</f>
        <v/>
      </c>
      <c r="E3366">
        <f>IF('01_Вводные'!$B$234="Да",ROUND('19_Расчет_аналитики'!D3366-'19_Расчет_аналитики'!B3366,8),0)</f>
        <v/>
      </c>
    </row>
    <row r="3367">
      <c r="B3367">
        <f>IF('01_Вводные'!$B$234="Да",'19_Расчет_аналитики'!B3087,0)</f>
        <v/>
      </c>
      <c r="D3367">
        <f>IF('01_Вводные'!$B$234="Да",SUM('19_Расчет_аналитики'!AL3374:AW3374),0)</f>
        <v/>
      </c>
      <c r="E3367">
        <f>IF('01_Вводные'!$B$234="Да",ROUND('19_Расчет_аналитики'!D3367-'19_Расчет_аналитики'!B3367,8),0)</f>
        <v/>
      </c>
    </row>
    <row r="3368">
      <c r="B3368">
        <f>IF('01_Вводные'!$B$234="Да",'19_Расчет_аналитики'!B3088,0)</f>
        <v/>
      </c>
      <c r="D3368">
        <f>IF('01_Вводные'!$B$234="Да",SUM('19_Расчет_аналитики'!AX3374:BI3374),0)</f>
        <v/>
      </c>
      <c r="E3368">
        <f>IF('01_Вводные'!$B$234="Да",ROUND('19_Расчет_аналитики'!D3368-'19_Расчет_аналитики'!B3368,8),0)</f>
        <v/>
      </c>
    </row>
    <row r="3369"/>
    <row r="3370"/>
    <row r="3371"/>
    <row r="3372"/>
    <row r="3373"/>
    <row r="3374">
      <c r="B3374">
        <f>0</f>
        <v/>
      </c>
      <c r="C3374">
        <f>IF('01_Вводные'!$B$234="Да",'19_Расчет_аналитики'!$B$3084*INDEX('01_Вводные'!$C$36:$N$36,1,MOD(MONTH('06_Сеть_и_дети'!C$3)-9,12)+1)/(SUM('01_Вводные'!$C$36:$N$36)-INDEX('01_Вводные'!$C$36:$N$36,1,MOD(MONTH('01_Вводные'!$B$7)-9,12)+1)),0)</f>
        <v/>
      </c>
      <c r="D3374">
        <f>IF('01_Вводные'!$B$234="Да",'19_Расчет_аналитики'!$B$3084*INDEX('01_Вводные'!$C$36:$N$36,1,MOD(MONTH('06_Сеть_и_дети'!D$3)-9,12)+1)/(SUM('01_Вводные'!$C$36:$N$36)-INDEX('01_Вводные'!$C$36:$N$36,1,MOD(MONTH('01_Вводные'!$B$7)-9,12)+1)),0)</f>
        <v/>
      </c>
      <c r="E3374">
        <f>IF('01_Вводные'!$B$234="Да",'19_Расчет_аналитики'!$B$3084*INDEX('01_Вводные'!$C$36:$N$36,1,MOD(MONTH('06_Сеть_и_дети'!E$3)-9,12)+1)/(SUM('01_Вводные'!$C$36:$N$36)-INDEX('01_Вводные'!$C$36:$N$36,1,MOD(MONTH('01_Вводные'!$B$7)-9,12)+1)),0)</f>
        <v/>
      </c>
      <c r="F3374">
        <f>IF('01_Вводные'!$B$234="Да",'19_Расчет_аналитики'!$B$3084*INDEX('01_Вводные'!$C$36:$N$36,1,MOD(MONTH('06_Сеть_и_дети'!F$3)-9,12)+1)/(SUM('01_Вводные'!$C$36:$N$36)-INDEX('01_Вводные'!$C$36:$N$36,1,MOD(MONTH('01_Вводные'!$B$7)-9,12)+1)),0)</f>
        <v/>
      </c>
      <c r="G3374">
        <f>IF('01_Вводные'!$B$234="Да",'19_Расчет_аналитики'!$B$3084*INDEX('01_Вводные'!$C$36:$N$36,1,MOD(MONTH('06_Сеть_и_дети'!G$3)-9,12)+1)/(SUM('01_Вводные'!$C$36:$N$36)-INDEX('01_Вводные'!$C$36:$N$36,1,MOD(MONTH('01_Вводные'!$B$7)-9,12)+1)),0)</f>
        <v/>
      </c>
      <c r="H3374">
        <f>IF('01_Вводные'!$B$234="Да",'19_Расчет_аналитики'!$B$3084*INDEX('01_Вводные'!$C$36:$N$36,1,MOD(MONTH('06_Сеть_и_дети'!H$3)-9,12)+1)/(SUM('01_Вводные'!$C$36:$N$36)-INDEX('01_Вводные'!$C$36:$N$36,1,MOD(MONTH('01_Вводные'!$B$7)-9,12)+1)),0)</f>
        <v/>
      </c>
      <c r="I3374">
        <f>IF('01_Вводные'!$B$234="Да",'19_Расчет_аналитики'!$B$3084*INDEX('01_Вводные'!$C$36:$N$36,1,MOD(MONTH('06_Сеть_и_дети'!I$3)-9,12)+1)/(SUM('01_Вводные'!$C$36:$N$36)-INDEX('01_Вводные'!$C$36:$N$36,1,MOD(MONTH('01_Вводные'!$B$7)-9,12)+1)),0)</f>
        <v/>
      </c>
      <c r="J3374">
        <f>IF('01_Вводные'!$B$234="Да",'19_Расчет_аналитики'!$B$3084*INDEX('01_Вводные'!$C$36:$N$36,1,MOD(MONTH('06_Сеть_и_дети'!J$3)-9,12)+1)/(SUM('01_Вводные'!$C$36:$N$36)-INDEX('01_Вводные'!$C$36:$N$36,1,MOD(MONTH('01_Вводные'!$B$7)-9,12)+1)),0)</f>
        <v/>
      </c>
      <c r="K3374">
        <f>IF('01_Вводные'!$B$234="Да",'19_Расчет_аналитики'!$B$3084*INDEX('01_Вводные'!$C$36:$N$36,1,MOD(MONTH('06_Сеть_и_дети'!K$3)-9,12)+1)/(SUM('01_Вводные'!$C$36:$N$36)-INDEX('01_Вводные'!$C$36:$N$36,1,MOD(MONTH('01_Вводные'!$B$7)-9,12)+1)),0)</f>
        <v/>
      </c>
      <c r="L3374">
        <f>IF('01_Вводные'!$B$234="Да",'19_Расчет_аналитики'!$B$3084*INDEX('01_Вводные'!$C$36:$N$36,1,MOD(MONTH('06_Сеть_и_дети'!L$3)-9,12)+1)/(SUM('01_Вводные'!$C$36:$N$36)-INDEX('01_Вводные'!$C$36:$N$36,1,MOD(MONTH('01_Вводные'!$B$7)-9,12)+1)),0)</f>
        <v/>
      </c>
      <c r="M3374">
        <f>IF('01_Вводные'!$B$234="Да",'19_Расчет_аналитики'!$B$3084*INDEX('01_Вводные'!$C$36:$N$36,1,MOD(MONTH('06_Сеть_и_дети'!M$3)-9,12)+1)/(SUM('01_Вводные'!$C$36:$N$36)-INDEX('01_Вводные'!$C$36:$N$36,1,MOD(MONTH('01_Вводные'!$B$7)-9,12)+1)),0)</f>
        <v/>
      </c>
      <c r="N3374">
        <f>IF('01_Вводные'!$B$234="Да",'19_Расчет_аналитики'!$B$3085*INDEX('01_Вводные'!$C$37:$N$37,1,MOD(MONTH('06_Сеть_и_дети'!N$3)-9,12)+1)/SUM('01_Вводные'!$C$37:$N$37),0)</f>
        <v/>
      </c>
      <c r="O3374">
        <f>IF('01_Вводные'!$B$234="Да",'19_Расчет_аналитики'!$B$3085*INDEX('01_Вводные'!$C$37:$N$37,1,MOD(MONTH('06_Сеть_и_дети'!O$3)-9,12)+1)/SUM('01_Вводные'!$C$37:$N$37),0)</f>
        <v/>
      </c>
      <c r="P3374">
        <f>IF('01_Вводные'!$B$234="Да",'19_Расчет_аналитики'!$B$3085*INDEX('01_Вводные'!$C$37:$N$37,1,MOD(MONTH('06_Сеть_и_дети'!P$3)-9,12)+1)/SUM('01_Вводные'!$C$37:$N$37),0)</f>
        <v/>
      </c>
      <c r="Q3374">
        <f>IF('01_Вводные'!$B$234="Да",'19_Расчет_аналитики'!$B$3085*INDEX('01_Вводные'!$C$37:$N$37,1,MOD(MONTH('06_Сеть_и_дети'!Q$3)-9,12)+1)/SUM('01_Вводные'!$C$37:$N$37),0)</f>
        <v/>
      </c>
      <c r="R3374">
        <f>IF('01_Вводные'!$B$234="Да",'19_Расчет_аналитики'!$B$3085*INDEX('01_Вводные'!$C$37:$N$37,1,MOD(MONTH('06_Сеть_и_дети'!R$3)-9,12)+1)/SUM('01_Вводные'!$C$37:$N$37),0)</f>
        <v/>
      </c>
      <c r="S3374">
        <f>IF('01_Вводные'!$B$234="Да",'19_Расчет_аналитики'!$B$3085*INDEX('01_Вводные'!$C$37:$N$37,1,MOD(MONTH('06_Сеть_и_дети'!S$3)-9,12)+1)/SUM('01_Вводные'!$C$37:$N$37),0)</f>
        <v/>
      </c>
      <c r="T3374">
        <f>IF('01_Вводные'!$B$234="Да",'19_Расчет_аналитики'!$B$3085*INDEX('01_Вводные'!$C$37:$N$37,1,MOD(MONTH('06_Сеть_и_дети'!T$3)-9,12)+1)/SUM('01_Вводные'!$C$37:$N$37),0)</f>
        <v/>
      </c>
      <c r="U3374">
        <f>IF('01_Вводные'!$B$234="Да",'19_Расчет_аналитики'!$B$3085*INDEX('01_Вводные'!$C$37:$N$37,1,MOD(MONTH('06_Сеть_и_дети'!U$3)-9,12)+1)/SUM('01_Вводные'!$C$37:$N$37),0)</f>
        <v/>
      </c>
      <c r="V3374">
        <f>IF('01_Вводные'!$B$234="Да",'19_Расчет_аналитики'!$B$3085*INDEX('01_Вводные'!$C$37:$N$37,1,MOD(MONTH('06_Сеть_и_дети'!V$3)-9,12)+1)/SUM('01_Вводные'!$C$37:$N$37),0)</f>
        <v/>
      </c>
      <c r="W3374">
        <f>IF('01_Вводные'!$B$234="Да",'19_Расчет_аналитики'!$B$3085*INDEX('01_Вводные'!$C$37:$N$37,1,MOD(MONTH('06_Сеть_и_дети'!W$3)-9,12)+1)/SUM('01_Вводные'!$C$37:$N$37),0)</f>
        <v/>
      </c>
      <c r="X3374">
        <f>IF('01_Вводные'!$B$234="Да",'19_Расчет_аналитики'!$B$3085*INDEX('01_Вводные'!$C$37:$N$37,1,MOD(MONTH('06_Сеть_и_дети'!X$3)-9,12)+1)/SUM('01_Вводные'!$C$37:$N$37),0)</f>
        <v/>
      </c>
      <c r="Y3374">
        <f>IF('01_Вводные'!$B$234="Да",'19_Расчет_аналитики'!$B$3085*INDEX('01_Вводные'!$C$37:$N$37,1,MOD(MONTH('06_Сеть_и_дети'!Y$3)-9,12)+1)/SUM('01_Вводные'!$C$37:$N$37),0)</f>
        <v/>
      </c>
      <c r="Z3374">
        <f>IF('01_Вводные'!$B$234="Да",'19_Расчет_аналитики'!$B$3086*INDEX('01_Вводные'!$C$38:$N$38,1,MOD(MONTH('06_Сеть_и_дети'!Z$3)-9,12)+1)/SUM('01_Вводные'!$C$38:$N$38),0)</f>
        <v/>
      </c>
      <c r="AA3374">
        <f>IF('01_Вводные'!$B$234="Да",'19_Расчет_аналитики'!$B$3086*INDEX('01_Вводные'!$C$38:$N$38,1,MOD(MONTH('06_Сеть_и_дети'!AA$3)-9,12)+1)/SUM('01_Вводные'!$C$38:$N$38),0)</f>
        <v/>
      </c>
      <c r="AB3374">
        <f>IF('01_Вводные'!$B$234="Да",'19_Расчет_аналитики'!$B$3086*INDEX('01_Вводные'!$C$38:$N$38,1,MOD(MONTH('06_Сеть_и_дети'!AB$3)-9,12)+1)/SUM('01_Вводные'!$C$38:$N$38),0)</f>
        <v/>
      </c>
      <c r="AC3374">
        <f>IF('01_Вводные'!$B$234="Да",'19_Расчет_аналитики'!$B$3086*INDEX('01_Вводные'!$C$38:$N$38,1,MOD(MONTH('06_Сеть_и_дети'!AC$3)-9,12)+1)/SUM('01_Вводные'!$C$38:$N$38),0)</f>
        <v/>
      </c>
      <c r="AD3374">
        <f>IF('01_Вводные'!$B$234="Да",'19_Расчет_аналитики'!$B$3086*INDEX('01_Вводные'!$C$38:$N$38,1,MOD(MONTH('06_Сеть_и_дети'!AD$3)-9,12)+1)/SUM('01_Вводные'!$C$38:$N$38),0)</f>
        <v/>
      </c>
      <c r="AE3374">
        <f>IF('01_Вводные'!$B$234="Да",'19_Расчет_аналитики'!$B$3086*INDEX('01_Вводные'!$C$38:$N$38,1,MOD(MONTH('06_Сеть_и_дети'!AE$3)-9,12)+1)/SUM('01_Вводные'!$C$38:$N$38),0)</f>
        <v/>
      </c>
      <c r="AF3374">
        <f>IF('01_Вводные'!$B$234="Да",'19_Расчет_аналитики'!$B$3086*INDEX('01_Вводные'!$C$38:$N$38,1,MOD(MONTH('06_Сеть_и_дети'!AF$3)-9,12)+1)/SUM('01_Вводные'!$C$38:$N$38),0)</f>
        <v/>
      </c>
      <c r="AG3374">
        <f>IF('01_Вводные'!$B$234="Да",'19_Расчет_аналитики'!$B$3086*INDEX('01_Вводные'!$C$38:$N$38,1,MOD(MONTH('06_Сеть_и_дети'!AG$3)-9,12)+1)/SUM('01_Вводные'!$C$38:$N$38),0)</f>
        <v/>
      </c>
      <c r="AH3374">
        <f>IF('01_Вводные'!$B$234="Да",'19_Расчет_аналитики'!$B$3086*INDEX('01_Вводные'!$C$38:$N$38,1,MOD(MONTH('06_Сеть_и_дети'!AH$3)-9,12)+1)/SUM('01_Вводные'!$C$38:$N$38),0)</f>
        <v/>
      </c>
      <c r="AI3374">
        <f>IF('01_Вводные'!$B$234="Да",'19_Расчет_аналитики'!$B$3086*INDEX('01_Вводные'!$C$38:$N$38,1,MOD(MONTH('06_Сеть_и_дети'!AI$3)-9,12)+1)/SUM('01_Вводные'!$C$38:$N$38),0)</f>
        <v/>
      </c>
      <c r="AJ3374">
        <f>IF('01_Вводные'!$B$234="Да",'19_Расчет_аналитики'!$B$3086*INDEX('01_Вводные'!$C$38:$N$38,1,MOD(MONTH('06_Сеть_и_дети'!AJ$3)-9,12)+1)/SUM('01_Вводные'!$C$38:$N$38),0)</f>
        <v/>
      </c>
      <c r="AK3374">
        <f>IF('01_Вводные'!$B$234="Да",'19_Расчет_аналитики'!$B$3086*INDEX('01_Вводные'!$C$38:$N$38,1,MOD(MONTH('06_Сеть_и_дети'!AK$3)-9,12)+1)/SUM('01_Вводные'!$C$38:$N$38),0)</f>
        <v/>
      </c>
      <c r="AL3374">
        <f>IF('01_Вводные'!$B$234="Да",'19_Расчет_аналитики'!$B$3087*INDEX('01_Вводные'!$C$39:$N$39,1,MOD(MONTH('06_Сеть_и_дети'!AL$3)-9,12)+1)/SUM('01_Вводные'!$C$39:$N$39),0)</f>
        <v/>
      </c>
      <c r="AM3374">
        <f>IF('01_Вводные'!$B$234="Да",'19_Расчет_аналитики'!$B$3087*INDEX('01_Вводные'!$C$39:$N$39,1,MOD(MONTH('06_Сеть_и_дети'!AM$3)-9,12)+1)/SUM('01_Вводные'!$C$39:$N$39),0)</f>
        <v/>
      </c>
      <c r="AN3374">
        <f>IF('01_Вводные'!$B$234="Да",'19_Расчет_аналитики'!$B$3087*INDEX('01_Вводные'!$C$39:$N$39,1,MOD(MONTH('06_Сеть_и_дети'!AN$3)-9,12)+1)/SUM('01_Вводные'!$C$39:$N$39),0)</f>
        <v/>
      </c>
      <c r="AO3374">
        <f>IF('01_Вводные'!$B$234="Да",'19_Расчет_аналитики'!$B$3087*INDEX('01_Вводные'!$C$39:$N$39,1,MOD(MONTH('06_Сеть_и_дети'!AO$3)-9,12)+1)/SUM('01_Вводные'!$C$39:$N$39),0)</f>
        <v/>
      </c>
      <c r="AP3374">
        <f>IF('01_Вводные'!$B$234="Да",'19_Расчет_аналитики'!$B$3087*INDEX('01_Вводные'!$C$39:$N$39,1,MOD(MONTH('06_Сеть_и_дети'!AP$3)-9,12)+1)/SUM('01_Вводные'!$C$39:$N$39),0)</f>
        <v/>
      </c>
      <c r="AQ3374">
        <f>IF('01_Вводные'!$B$234="Да",'19_Расчет_аналитики'!$B$3087*INDEX('01_Вводные'!$C$39:$N$39,1,MOD(MONTH('06_Сеть_и_дети'!AQ$3)-9,12)+1)/SUM('01_Вводные'!$C$39:$N$39),0)</f>
        <v/>
      </c>
      <c r="AR3374">
        <f>IF('01_Вводные'!$B$234="Да",'19_Расчет_аналитики'!$B$3087*INDEX('01_Вводные'!$C$39:$N$39,1,MOD(MONTH('06_Сеть_и_дети'!AR$3)-9,12)+1)/SUM('01_Вводные'!$C$39:$N$39),0)</f>
        <v/>
      </c>
      <c r="AS3374">
        <f>IF('01_Вводные'!$B$234="Да",'19_Расчет_аналитики'!$B$3087*INDEX('01_Вводные'!$C$39:$N$39,1,MOD(MONTH('06_Сеть_и_дети'!AS$3)-9,12)+1)/SUM('01_Вводные'!$C$39:$N$39),0)</f>
        <v/>
      </c>
      <c r="AT3374">
        <f>IF('01_Вводные'!$B$234="Да",'19_Расчет_аналитики'!$B$3087*INDEX('01_Вводные'!$C$39:$N$39,1,MOD(MONTH('06_Сеть_и_дети'!AT$3)-9,12)+1)/SUM('01_Вводные'!$C$39:$N$39),0)</f>
        <v/>
      </c>
      <c r="AU3374">
        <f>IF('01_Вводные'!$B$234="Да",'19_Расчет_аналитики'!$B$3087*INDEX('01_Вводные'!$C$39:$N$39,1,MOD(MONTH('06_Сеть_и_дети'!AU$3)-9,12)+1)/SUM('01_Вводные'!$C$39:$N$39),0)</f>
        <v/>
      </c>
      <c r="AV3374">
        <f>IF('01_Вводные'!$B$234="Да",'19_Расчет_аналитики'!$B$3087*INDEX('01_Вводные'!$C$39:$N$39,1,MOD(MONTH('06_Сеть_и_дети'!AV$3)-9,12)+1)/SUM('01_Вводные'!$C$39:$N$39),0)</f>
        <v/>
      </c>
      <c r="AW3374">
        <f>IF('01_Вводные'!$B$234="Да",'19_Расчет_аналитики'!$B$3087*INDEX('01_Вводные'!$C$39:$N$39,1,MOD(MONTH('06_Сеть_и_дети'!AW$3)-9,12)+1)/SUM('01_Вводные'!$C$39:$N$39),0)</f>
        <v/>
      </c>
      <c r="AX3374">
        <f>IF('01_Вводные'!$B$234="Да",'19_Расчет_аналитики'!$B$3088*INDEX('01_Вводные'!$C$40:$N$40,1,MOD(MONTH('06_Сеть_и_дети'!AX$3)-9,12)+1)/SUM('01_Вводные'!$C$40:$N$40),0)</f>
        <v/>
      </c>
      <c r="AY3374">
        <f>IF('01_Вводные'!$B$234="Да",'19_Расчет_аналитики'!$B$3088*INDEX('01_Вводные'!$C$40:$N$40,1,MOD(MONTH('06_Сеть_и_дети'!AY$3)-9,12)+1)/SUM('01_Вводные'!$C$40:$N$40),0)</f>
        <v/>
      </c>
      <c r="AZ3374">
        <f>IF('01_Вводные'!$B$234="Да",'19_Расчет_аналитики'!$B$3088*INDEX('01_Вводные'!$C$40:$N$40,1,MOD(MONTH('06_Сеть_и_дети'!AZ$3)-9,12)+1)/SUM('01_Вводные'!$C$40:$N$40),0)</f>
        <v/>
      </c>
      <c r="BA3374">
        <f>IF('01_Вводные'!$B$234="Да",'19_Расчет_аналитики'!$B$3088*INDEX('01_Вводные'!$C$40:$N$40,1,MOD(MONTH('06_Сеть_и_дети'!BA$3)-9,12)+1)/SUM('01_Вводные'!$C$40:$N$40),0)</f>
        <v/>
      </c>
      <c r="BB3374">
        <f>IF('01_Вводные'!$B$234="Да",'19_Расчет_аналитики'!$B$3088*INDEX('01_Вводные'!$C$40:$N$40,1,MOD(MONTH('06_Сеть_и_дети'!BB$3)-9,12)+1)/SUM('01_Вводные'!$C$40:$N$40),0)</f>
        <v/>
      </c>
      <c r="BC3374">
        <f>IF('01_Вводные'!$B$234="Да",'19_Расчет_аналитики'!$B$3088*INDEX('01_Вводные'!$C$40:$N$40,1,MOD(MONTH('06_Сеть_и_дети'!BC$3)-9,12)+1)/SUM('01_Вводные'!$C$40:$N$40),0)</f>
        <v/>
      </c>
      <c r="BD3374">
        <f>IF('01_Вводные'!$B$234="Да",'19_Расчет_аналитики'!$B$3088*INDEX('01_Вводные'!$C$40:$N$40,1,MOD(MONTH('06_Сеть_и_дети'!BD$3)-9,12)+1)/SUM('01_Вводные'!$C$40:$N$40),0)</f>
        <v/>
      </c>
      <c r="BE3374">
        <f>IF('01_Вводные'!$B$234="Да",'19_Расчет_аналитики'!$B$3088*INDEX('01_Вводные'!$C$40:$N$40,1,MOD(MONTH('06_Сеть_и_дети'!BE$3)-9,12)+1)/SUM('01_Вводные'!$C$40:$N$40),0)</f>
        <v/>
      </c>
      <c r="BF3374">
        <f>IF('01_Вводные'!$B$234="Да",'19_Расчет_аналитики'!$B$3088*INDEX('01_Вводные'!$C$40:$N$40,1,MOD(MONTH('06_Сеть_и_дети'!BF$3)-9,12)+1)/SUM('01_Вводные'!$C$40:$N$40),0)</f>
        <v/>
      </c>
      <c r="BG3374">
        <f>IF('01_Вводные'!$B$234="Да",'19_Расчет_аналитики'!$B$3088*INDEX('01_Вводные'!$C$40:$N$40,1,MOD(MONTH('06_Сеть_и_дети'!BG$3)-9,12)+1)/SUM('01_Вводные'!$C$40:$N$40),0)</f>
        <v/>
      </c>
      <c r="BH3374">
        <f>IF('01_Вводные'!$B$234="Да",'19_Расчет_аналитики'!$B$3088*INDEX('01_Вводные'!$C$40:$N$40,1,MOD(MONTH('06_Сеть_и_дети'!BH$3)-9,12)+1)/SUM('01_Вводные'!$C$40:$N$40),0)</f>
        <v/>
      </c>
      <c r="BI3374">
        <f>IF('01_Вводные'!$B$234="Да",'19_Расчет_аналитики'!$B$3088*INDEX('01_Вводные'!$C$40:$N$40,1,MOD(MONTH('06_Сеть_и_дети'!BI$3)-9,12)+1)/SUM('01_Вводные'!$C$40:$N$40),0)</f>
        <v/>
      </c>
    </row>
    <row r="3375">
      <c r="A3375" t="inlineStr">
        <is>
          <t>Минимальный запас для возврата займа</t>
        </is>
      </c>
      <c r="B3375">
        <f>SUM(IF('01_Вводные'!$B$310&gt;=1,'19_Расчет_аналитики'!C3653,0),IF('01_Вводные'!$B$310&gt;=2,'19_Расчет_аналитики'!D3653,0),IF('01_Вводные'!$B$310&gt;=3,'19_Расчет_аналитики'!E3653,0),IF('01_Вводные'!$B$310&gt;=4,'19_Расчет_аналитики'!F3653,0),IF('01_Вводные'!$B$310&gt;=5,'19_Расчет_аналитики'!G3653,0),IF('01_Вводные'!$B$310&gt;=6,'19_Расчет_аналитики'!H3653,0))</f>
        <v/>
      </c>
      <c r="C3375">
        <f>SUM(IF('01_Вводные'!$B$310&gt;=1,'19_Расчет_аналитики'!D3653,0),IF('01_Вводные'!$B$310&gt;=2,'19_Расчет_аналитики'!E3653,0),IF('01_Вводные'!$B$310&gt;=3,'19_Расчет_аналитики'!F3653,0),IF('01_Вводные'!$B$310&gt;=4,'19_Расчет_аналитики'!G3653,0),IF('01_Вводные'!$B$310&gt;=5,'19_Расчет_аналитики'!H3653,0),IF('01_Вводные'!$B$310&gt;=6,'19_Расчет_аналитики'!I3653,0))</f>
        <v/>
      </c>
      <c r="D3375">
        <f>SUM(IF('01_Вводные'!$B$310&gt;=1,'19_Расчет_аналитики'!E3653,0),IF('01_Вводные'!$B$310&gt;=2,'19_Расчет_аналитики'!F3653,0),IF('01_Вводные'!$B$310&gt;=3,'19_Расчет_аналитики'!G3653,0),IF('01_Вводные'!$B$310&gt;=4,'19_Расчет_аналитики'!H3653,0),IF('01_Вводные'!$B$310&gt;=5,'19_Расчет_аналитики'!I3653,0),IF('01_Вводные'!$B$310&gt;=6,'19_Расчет_аналитики'!J3653,0))</f>
        <v/>
      </c>
      <c r="E3375">
        <f>SUM(IF('01_Вводные'!$B$310&gt;=1,'19_Расчет_аналитики'!F3653,0),IF('01_Вводные'!$B$310&gt;=2,'19_Расчет_аналитики'!G3653,0),IF('01_Вводные'!$B$310&gt;=3,'19_Расчет_аналитики'!H3653,0),IF('01_Вводные'!$B$310&gt;=4,'19_Расчет_аналитики'!I3653,0),IF('01_Вводные'!$B$310&gt;=5,'19_Расчет_аналитики'!J3653,0),IF('01_Вводные'!$B$310&gt;=6,'19_Расчет_аналитики'!K3653,0))</f>
        <v/>
      </c>
      <c r="F3375">
        <f>SUM(IF('01_Вводные'!$B$310&gt;=1,'19_Расчет_аналитики'!G3653,0),IF('01_Вводные'!$B$310&gt;=2,'19_Расчет_аналитики'!H3653,0),IF('01_Вводные'!$B$310&gt;=3,'19_Расчет_аналитики'!I3653,0),IF('01_Вводные'!$B$310&gt;=4,'19_Расчет_аналитики'!J3653,0),IF('01_Вводные'!$B$310&gt;=5,'19_Расчет_аналитики'!K3653,0),IF('01_Вводные'!$B$310&gt;=6,'19_Расчет_аналитики'!L3653,0))</f>
        <v/>
      </c>
      <c r="G3375">
        <f>SUM(IF('01_Вводные'!$B$310&gt;=1,'19_Расчет_аналитики'!H3653,0),IF('01_Вводные'!$B$310&gt;=2,'19_Расчет_аналитики'!I3653,0),IF('01_Вводные'!$B$310&gt;=3,'19_Расчет_аналитики'!J3653,0),IF('01_Вводные'!$B$310&gt;=4,'19_Расчет_аналитики'!K3653,0),IF('01_Вводные'!$B$310&gt;=5,'19_Расчет_аналитики'!L3653,0),IF('01_Вводные'!$B$310&gt;=6,'19_Расчет_аналитики'!M3653,0))</f>
        <v/>
      </c>
      <c r="H3375">
        <f>SUM(IF('01_Вводные'!$B$310&gt;=1,'19_Расчет_аналитики'!I3653,0),IF('01_Вводные'!$B$310&gt;=2,'19_Расчет_аналитики'!J3653,0),IF('01_Вводные'!$B$310&gt;=3,'19_Расчет_аналитики'!K3653,0),IF('01_Вводные'!$B$310&gt;=4,'19_Расчет_аналитики'!L3653,0),IF('01_Вводные'!$B$310&gt;=5,'19_Расчет_аналитики'!M3653,0),IF('01_Вводные'!$B$310&gt;=6,'19_Расчет_аналитики'!N3653,0))</f>
        <v/>
      </c>
      <c r="I3375">
        <f>SUM(IF('01_Вводные'!$B$310&gt;=1,'19_Расчет_аналитики'!J3653,0),IF('01_Вводные'!$B$310&gt;=2,'19_Расчет_аналитики'!K3653,0),IF('01_Вводные'!$B$310&gt;=3,'19_Расчет_аналитики'!L3653,0),IF('01_Вводные'!$B$310&gt;=4,'19_Расчет_аналитики'!M3653,0),IF('01_Вводные'!$B$310&gt;=5,'19_Расчет_аналитики'!N3653,0),IF('01_Вводные'!$B$310&gt;=6,'19_Расчет_аналитики'!O3653,0))</f>
        <v/>
      </c>
      <c r="J3375">
        <f>SUM(IF('01_Вводные'!$B$310&gt;=1,'19_Расчет_аналитики'!K3653,0),IF('01_Вводные'!$B$310&gt;=2,'19_Расчет_аналитики'!L3653,0),IF('01_Вводные'!$B$310&gt;=3,'19_Расчет_аналитики'!M3653,0),IF('01_Вводные'!$B$310&gt;=4,'19_Расчет_аналитики'!N3653,0),IF('01_Вводные'!$B$310&gt;=5,'19_Расчет_аналитики'!O3653,0),IF('01_Вводные'!$B$310&gt;=6,'19_Расчет_аналитики'!P3653,0))</f>
        <v/>
      </c>
      <c r="K3375">
        <f>SUM(IF('01_Вводные'!$B$310&gt;=1,'19_Расчет_аналитики'!L3653,0),IF('01_Вводные'!$B$310&gt;=2,'19_Расчет_аналитики'!M3653,0),IF('01_Вводные'!$B$310&gt;=3,'19_Расчет_аналитики'!N3653,0),IF('01_Вводные'!$B$310&gt;=4,'19_Расчет_аналитики'!O3653,0),IF('01_Вводные'!$B$310&gt;=5,'19_Расчет_аналитики'!P3653,0),IF('01_Вводные'!$B$310&gt;=6,'19_Расчет_аналитики'!Q3653,0))</f>
        <v/>
      </c>
      <c r="L3375">
        <f>SUM(IF('01_Вводные'!$B$310&gt;=1,'19_Расчет_аналитики'!M3653,0),IF('01_Вводные'!$B$310&gt;=2,'19_Расчет_аналитики'!N3653,0),IF('01_Вводные'!$B$310&gt;=3,'19_Расчет_аналитики'!O3653,0),IF('01_Вводные'!$B$310&gt;=4,'19_Расчет_аналитики'!P3653,0),IF('01_Вводные'!$B$310&gt;=5,'19_Расчет_аналитики'!Q3653,0),IF('01_Вводные'!$B$310&gt;=6,'19_Расчет_аналитики'!R3653,0))</f>
        <v/>
      </c>
      <c r="M3375">
        <f>SUM(IF('01_Вводные'!$B$310&gt;=1,'19_Расчет_аналитики'!N3653,0),IF('01_Вводные'!$B$310&gt;=2,'19_Расчет_аналитики'!O3653,0),IF('01_Вводные'!$B$310&gt;=3,'19_Расчет_аналитики'!P3653,0),IF('01_Вводные'!$B$310&gt;=4,'19_Расчет_аналитики'!Q3653,0),IF('01_Вводные'!$B$310&gt;=5,'19_Расчет_аналитики'!R3653,0),IF('01_Вводные'!$B$310&gt;=6,'19_Расчет_аналитики'!S3653,0))</f>
        <v/>
      </c>
      <c r="N3375">
        <f>SUM(IF('01_Вводные'!$B$310&gt;=1,'19_Расчет_аналитики'!O3653,0),IF('01_Вводные'!$B$310&gt;=2,'19_Расчет_аналитики'!P3653,0),IF('01_Вводные'!$B$310&gt;=3,'19_Расчет_аналитики'!Q3653,0),IF('01_Вводные'!$B$310&gt;=4,'19_Расчет_аналитики'!R3653,0),IF('01_Вводные'!$B$310&gt;=5,'19_Расчет_аналитики'!S3653,0),IF('01_Вводные'!$B$310&gt;=6,'19_Расчет_аналитики'!T3653,0))</f>
        <v/>
      </c>
      <c r="O3375">
        <f>SUM(IF('01_Вводные'!$B$310&gt;=1,'19_Расчет_аналитики'!P3653,0),IF('01_Вводные'!$B$310&gt;=2,'19_Расчет_аналитики'!Q3653,0),IF('01_Вводные'!$B$310&gt;=3,'19_Расчет_аналитики'!R3653,0),IF('01_Вводные'!$B$310&gt;=4,'19_Расчет_аналитики'!S3653,0),IF('01_Вводные'!$B$310&gt;=5,'19_Расчет_аналитики'!T3653,0),IF('01_Вводные'!$B$310&gt;=6,'19_Расчет_аналитики'!U3653,0))</f>
        <v/>
      </c>
      <c r="P3375">
        <f>SUM(IF('01_Вводные'!$B$310&gt;=1,'19_Расчет_аналитики'!Q3653,0),IF('01_Вводные'!$B$310&gt;=2,'19_Расчет_аналитики'!R3653,0),IF('01_Вводные'!$B$310&gt;=3,'19_Расчет_аналитики'!S3653,0),IF('01_Вводные'!$B$310&gt;=4,'19_Расчет_аналитики'!T3653,0),IF('01_Вводные'!$B$310&gt;=5,'19_Расчет_аналитики'!U3653,0),IF('01_Вводные'!$B$310&gt;=6,'19_Расчет_аналитики'!V3653,0))</f>
        <v/>
      </c>
      <c r="Q3375">
        <f>SUM(IF('01_Вводные'!$B$310&gt;=1,'19_Расчет_аналитики'!R3653,0),IF('01_Вводные'!$B$310&gt;=2,'19_Расчет_аналитики'!S3653,0),IF('01_Вводные'!$B$310&gt;=3,'19_Расчет_аналитики'!T3653,0),IF('01_Вводные'!$B$310&gt;=4,'19_Расчет_аналитики'!U3653,0),IF('01_Вводные'!$B$310&gt;=5,'19_Расчет_аналитики'!V3653,0),IF('01_Вводные'!$B$310&gt;=6,'19_Расчет_аналитики'!W3653,0))</f>
        <v/>
      </c>
      <c r="R3375">
        <f>SUM(IF('01_Вводные'!$B$310&gt;=1,'19_Расчет_аналитики'!S3653,0),IF('01_Вводные'!$B$310&gt;=2,'19_Расчет_аналитики'!T3653,0),IF('01_Вводные'!$B$310&gt;=3,'19_Расчет_аналитики'!U3653,0),IF('01_Вводные'!$B$310&gt;=4,'19_Расчет_аналитики'!V3653,0),IF('01_Вводные'!$B$310&gt;=5,'19_Расчет_аналитики'!W3653,0),IF('01_Вводные'!$B$310&gt;=6,'19_Расчет_аналитики'!X3653,0))</f>
        <v/>
      </c>
      <c r="S3375">
        <f>SUM(IF('01_Вводные'!$B$310&gt;=1,'19_Расчет_аналитики'!T3653,0),IF('01_Вводные'!$B$310&gt;=2,'19_Расчет_аналитики'!U3653,0),IF('01_Вводные'!$B$310&gt;=3,'19_Расчет_аналитики'!V3653,0),IF('01_Вводные'!$B$310&gt;=4,'19_Расчет_аналитики'!W3653,0),IF('01_Вводные'!$B$310&gt;=5,'19_Расчет_аналитики'!X3653,0),IF('01_Вводные'!$B$310&gt;=6,'19_Расчет_аналитики'!Y3653,0))</f>
        <v/>
      </c>
      <c r="T3375">
        <f>SUM(IF('01_Вводные'!$B$310&gt;=1,'19_Расчет_аналитики'!U3653,0),IF('01_Вводные'!$B$310&gt;=2,'19_Расчет_аналитики'!V3653,0),IF('01_Вводные'!$B$310&gt;=3,'19_Расчет_аналитики'!W3653,0),IF('01_Вводные'!$B$310&gt;=4,'19_Расчет_аналитики'!X3653,0),IF('01_Вводные'!$B$310&gt;=5,'19_Расчет_аналитики'!Y3653,0),IF('01_Вводные'!$B$310&gt;=6,'19_Расчет_аналитики'!Z3653,0))</f>
        <v/>
      </c>
      <c r="U3375">
        <f>SUM(IF('01_Вводные'!$B$310&gt;=1,'19_Расчет_аналитики'!V3653,0),IF('01_Вводные'!$B$310&gt;=2,'19_Расчет_аналитики'!W3653,0),IF('01_Вводные'!$B$310&gt;=3,'19_Расчет_аналитики'!X3653,0),IF('01_Вводные'!$B$310&gt;=4,'19_Расчет_аналитики'!Y3653,0),IF('01_Вводные'!$B$310&gt;=5,'19_Расчет_аналитики'!Z3653,0),IF('01_Вводные'!$B$310&gt;=6,'19_Расчет_аналитики'!AA3653,0))</f>
        <v/>
      </c>
      <c r="V3375">
        <f>SUM(IF('01_Вводные'!$B$310&gt;=1,'19_Расчет_аналитики'!W3653,0),IF('01_Вводные'!$B$310&gt;=2,'19_Расчет_аналитики'!X3653,0),IF('01_Вводные'!$B$310&gt;=3,'19_Расчет_аналитики'!Y3653,0),IF('01_Вводные'!$B$310&gt;=4,'19_Расчет_аналитики'!Z3653,0),IF('01_Вводные'!$B$310&gt;=5,'19_Расчет_аналитики'!AA3653,0),IF('01_Вводные'!$B$310&gt;=6,'19_Расчет_аналитики'!AB3653,0))</f>
        <v/>
      </c>
      <c r="W3375">
        <f>SUM(IF('01_Вводные'!$B$310&gt;=1,'19_Расчет_аналитики'!X3653,0),IF('01_Вводные'!$B$310&gt;=2,'19_Расчет_аналитики'!Y3653,0),IF('01_Вводные'!$B$310&gt;=3,'19_Расчет_аналитики'!Z3653,0),IF('01_Вводные'!$B$310&gt;=4,'19_Расчет_аналитики'!AA3653,0),IF('01_Вводные'!$B$310&gt;=5,'19_Расчет_аналитики'!AB3653,0),IF('01_Вводные'!$B$310&gt;=6,'19_Расчет_аналитики'!AC3653,0))</f>
        <v/>
      </c>
      <c r="X3375">
        <f>SUM(IF('01_Вводные'!$B$310&gt;=1,'19_Расчет_аналитики'!Y3653,0),IF('01_Вводные'!$B$310&gt;=2,'19_Расчет_аналитики'!Z3653,0),IF('01_Вводные'!$B$310&gt;=3,'19_Расчет_аналитики'!AA3653,0),IF('01_Вводные'!$B$310&gt;=4,'19_Расчет_аналитики'!AB3653,0),IF('01_Вводные'!$B$310&gt;=5,'19_Расчет_аналитики'!AC3653,0),IF('01_Вводные'!$B$310&gt;=6,'19_Расчет_аналитики'!AD3653,0))</f>
        <v/>
      </c>
      <c r="Y3375">
        <f>SUM(IF('01_Вводные'!$B$310&gt;=1,'19_Расчет_аналитики'!Z3653,0),IF('01_Вводные'!$B$310&gt;=2,'19_Расчет_аналитики'!AA3653,0),IF('01_Вводные'!$B$310&gt;=3,'19_Расчет_аналитики'!AB3653,0),IF('01_Вводные'!$B$310&gt;=4,'19_Расчет_аналитики'!AC3653,0),IF('01_Вводные'!$B$310&gt;=5,'19_Расчет_аналитики'!AD3653,0),IF('01_Вводные'!$B$310&gt;=6,'19_Расчет_аналитики'!AE3653,0))</f>
        <v/>
      </c>
      <c r="Z3375">
        <f>SUM(IF('01_Вводные'!$B$310&gt;=1,'19_Расчет_аналитики'!AA3653,0),IF('01_Вводные'!$B$310&gt;=2,'19_Расчет_аналитики'!AB3653,0),IF('01_Вводные'!$B$310&gt;=3,'19_Расчет_аналитики'!AC3653,0),IF('01_Вводные'!$B$310&gt;=4,'19_Расчет_аналитики'!AD3653,0),IF('01_Вводные'!$B$310&gt;=5,'19_Расчет_аналитики'!AE3653,0),IF('01_Вводные'!$B$310&gt;=6,'19_Расчет_аналитики'!AF3653,0))</f>
        <v/>
      </c>
      <c r="AA3375">
        <f>SUM(IF('01_Вводные'!$B$310&gt;=1,'19_Расчет_аналитики'!AB3653,0),IF('01_Вводные'!$B$310&gt;=2,'19_Расчет_аналитики'!AC3653,0),IF('01_Вводные'!$B$310&gt;=3,'19_Расчет_аналитики'!AD3653,0),IF('01_Вводные'!$B$310&gt;=4,'19_Расчет_аналитики'!AE3653,0),IF('01_Вводные'!$B$310&gt;=5,'19_Расчет_аналитики'!AF3653,0),IF('01_Вводные'!$B$310&gt;=6,'19_Расчет_аналитики'!AG3653,0))</f>
        <v/>
      </c>
      <c r="AB3375">
        <f>SUM(IF('01_Вводные'!$B$310&gt;=1,'19_Расчет_аналитики'!AC3653,0),IF('01_Вводные'!$B$310&gt;=2,'19_Расчет_аналитики'!AD3653,0),IF('01_Вводные'!$B$310&gt;=3,'19_Расчет_аналитики'!AE3653,0),IF('01_Вводные'!$B$310&gt;=4,'19_Расчет_аналитики'!AF3653,0),IF('01_Вводные'!$B$310&gt;=5,'19_Расчет_аналитики'!AG3653,0),IF('01_Вводные'!$B$310&gt;=6,'19_Расчет_аналитики'!AH3653,0))</f>
        <v/>
      </c>
      <c r="AC3375">
        <f>SUM(IF('01_Вводные'!$B$310&gt;=1,'19_Расчет_аналитики'!AD3653,0),IF('01_Вводные'!$B$310&gt;=2,'19_Расчет_аналитики'!AE3653,0),IF('01_Вводные'!$B$310&gt;=3,'19_Расчет_аналитики'!AF3653,0),IF('01_Вводные'!$B$310&gt;=4,'19_Расчет_аналитики'!AG3653,0),IF('01_Вводные'!$B$310&gt;=5,'19_Расчет_аналитики'!AH3653,0),IF('01_Вводные'!$B$310&gt;=6,'19_Расчет_аналитики'!AI3653,0))</f>
        <v/>
      </c>
      <c r="AD3375">
        <f>SUM(IF('01_Вводные'!$B$310&gt;=1,'19_Расчет_аналитики'!AE3653,0),IF('01_Вводные'!$B$310&gt;=2,'19_Расчет_аналитики'!AF3653,0),IF('01_Вводные'!$B$310&gt;=3,'19_Расчет_аналитики'!AG3653,0),IF('01_Вводные'!$B$310&gt;=4,'19_Расчет_аналитики'!AH3653,0),IF('01_Вводные'!$B$310&gt;=5,'19_Расчет_аналитики'!AI3653,0),IF('01_Вводные'!$B$310&gt;=6,'19_Расчет_аналитики'!AJ3653,0))</f>
        <v/>
      </c>
      <c r="AE3375">
        <f>SUM(IF('01_Вводные'!$B$310&gt;=1,'19_Расчет_аналитики'!AF3653,0),IF('01_Вводные'!$B$310&gt;=2,'19_Расчет_аналитики'!AG3653,0),IF('01_Вводные'!$B$310&gt;=3,'19_Расчет_аналитики'!AH3653,0),IF('01_Вводные'!$B$310&gt;=4,'19_Расчет_аналитики'!AI3653,0),IF('01_Вводные'!$B$310&gt;=5,'19_Расчет_аналитики'!AJ3653,0),IF('01_Вводные'!$B$310&gt;=6,'19_Расчет_аналитики'!AK3653,0))</f>
        <v/>
      </c>
      <c r="AF3375">
        <f>SUM(IF('01_Вводные'!$B$310&gt;=1,'19_Расчет_аналитики'!AG3653,0),IF('01_Вводные'!$B$310&gt;=2,'19_Расчет_аналитики'!AH3653,0),IF('01_Вводные'!$B$310&gt;=3,'19_Расчет_аналитики'!AI3653,0),IF('01_Вводные'!$B$310&gt;=4,'19_Расчет_аналитики'!AJ3653,0),IF('01_Вводные'!$B$310&gt;=5,'19_Расчет_аналитики'!AK3653,0),IF('01_Вводные'!$B$310&gt;=6,'19_Расчет_аналитики'!AL3653,0))</f>
        <v/>
      </c>
      <c r="AG3375">
        <f>SUM(IF('01_Вводные'!$B$310&gt;=1,'19_Расчет_аналитики'!AH3653,0),IF('01_Вводные'!$B$310&gt;=2,'19_Расчет_аналитики'!AI3653,0),IF('01_Вводные'!$B$310&gt;=3,'19_Расчет_аналитики'!AJ3653,0),IF('01_Вводные'!$B$310&gt;=4,'19_Расчет_аналитики'!AK3653,0),IF('01_Вводные'!$B$310&gt;=5,'19_Расчет_аналитики'!AL3653,0),IF('01_Вводные'!$B$310&gt;=6,'19_Расчет_аналитики'!AM3653,0))</f>
        <v/>
      </c>
      <c r="AH3375">
        <f>SUM(IF('01_Вводные'!$B$310&gt;=1,'19_Расчет_аналитики'!AI3653,0),IF('01_Вводные'!$B$310&gt;=2,'19_Расчет_аналитики'!AJ3653,0),IF('01_Вводные'!$B$310&gt;=3,'19_Расчет_аналитики'!AK3653,0),IF('01_Вводные'!$B$310&gt;=4,'19_Расчет_аналитики'!AL3653,0),IF('01_Вводные'!$B$310&gt;=5,'19_Расчет_аналитики'!AM3653,0),IF('01_Вводные'!$B$310&gt;=6,'19_Расчет_аналитики'!AN3653,0))</f>
        <v/>
      </c>
      <c r="AI3375">
        <f>SUM(IF('01_Вводные'!$B$310&gt;=1,'19_Расчет_аналитики'!AJ3653,0),IF('01_Вводные'!$B$310&gt;=2,'19_Расчет_аналитики'!AK3653,0),IF('01_Вводные'!$B$310&gt;=3,'19_Расчет_аналитики'!AL3653,0),IF('01_Вводные'!$B$310&gt;=4,'19_Расчет_аналитики'!AM3653,0),IF('01_Вводные'!$B$310&gt;=5,'19_Расчет_аналитики'!AN3653,0),IF('01_Вводные'!$B$310&gt;=6,'19_Расчет_аналитики'!AO3653,0))</f>
        <v/>
      </c>
      <c r="AJ3375">
        <f>SUM(IF('01_Вводные'!$B$310&gt;=1,'19_Расчет_аналитики'!AK3653,0),IF('01_Вводные'!$B$310&gt;=2,'19_Расчет_аналитики'!AL3653,0),IF('01_Вводные'!$B$310&gt;=3,'19_Расчет_аналитики'!AM3653,0),IF('01_Вводные'!$B$310&gt;=4,'19_Расчет_аналитики'!AN3653,0),IF('01_Вводные'!$B$310&gt;=5,'19_Расчет_аналитики'!AO3653,0),IF('01_Вводные'!$B$310&gt;=6,'19_Расчет_аналитики'!AP3653,0))</f>
        <v/>
      </c>
      <c r="AK3375">
        <f>SUM(IF('01_Вводные'!$B$310&gt;=1,'19_Расчет_аналитики'!AL3653,0),IF('01_Вводные'!$B$310&gt;=2,'19_Расчет_аналитики'!AM3653,0),IF('01_Вводные'!$B$310&gt;=3,'19_Расчет_аналитики'!AN3653,0),IF('01_Вводные'!$B$310&gt;=4,'19_Расчет_аналитики'!AO3653,0),IF('01_Вводные'!$B$310&gt;=5,'19_Расчет_аналитики'!AP3653,0),IF('01_Вводные'!$B$310&gt;=6,'19_Расчет_аналитики'!AQ3653,0))</f>
        <v/>
      </c>
      <c r="AL3375">
        <f>SUM(IF('01_Вводные'!$B$310&gt;=1,'19_Расчет_аналитики'!AM3653,0),IF('01_Вводные'!$B$310&gt;=2,'19_Расчет_аналитики'!AN3653,0),IF('01_Вводные'!$B$310&gt;=3,'19_Расчет_аналитики'!AO3653,0),IF('01_Вводные'!$B$310&gt;=4,'19_Расчет_аналитики'!AP3653,0),IF('01_Вводные'!$B$310&gt;=5,'19_Расчет_аналитики'!AQ3653,0),IF('01_Вводные'!$B$310&gt;=6,'19_Расчет_аналитики'!AR3653,0))</f>
        <v/>
      </c>
      <c r="AM3375">
        <f>SUM(IF('01_Вводные'!$B$310&gt;=1,'19_Расчет_аналитики'!AN3653,0),IF('01_Вводные'!$B$310&gt;=2,'19_Расчет_аналитики'!AO3653,0),IF('01_Вводные'!$B$310&gt;=3,'19_Расчет_аналитики'!AP3653,0),IF('01_Вводные'!$B$310&gt;=4,'19_Расчет_аналитики'!AQ3653,0),IF('01_Вводные'!$B$310&gt;=5,'19_Расчет_аналитики'!AR3653,0),IF('01_Вводные'!$B$310&gt;=6,'19_Расчет_аналитики'!AS3653,0))</f>
        <v/>
      </c>
      <c r="AN3375">
        <f>SUM(IF('01_Вводные'!$B$310&gt;=1,'19_Расчет_аналитики'!AO3653,0),IF('01_Вводные'!$B$310&gt;=2,'19_Расчет_аналитики'!AP3653,0),IF('01_Вводные'!$B$310&gt;=3,'19_Расчет_аналитики'!AQ3653,0),IF('01_Вводные'!$B$310&gt;=4,'19_Расчет_аналитики'!AR3653,0),IF('01_Вводные'!$B$310&gt;=5,'19_Расчет_аналитики'!AS3653,0),IF('01_Вводные'!$B$310&gt;=6,'19_Расчет_аналитики'!AT3653,0))</f>
        <v/>
      </c>
      <c r="AO3375">
        <f>SUM(IF('01_Вводные'!$B$310&gt;=1,'19_Расчет_аналитики'!AP3653,0),IF('01_Вводные'!$B$310&gt;=2,'19_Расчет_аналитики'!AQ3653,0),IF('01_Вводные'!$B$310&gt;=3,'19_Расчет_аналитики'!AR3653,0),IF('01_Вводные'!$B$310&gt;=4,'19_Расчет_аналитики'!AS3653,0),IF('01_Вводные'!$B$310&gt;=5,'19_Расчет_аналитики'!AT3653,0),IF('01_Вводные'!$B$310&gt;=6,'19_Расчет_аналитики'!AU3653,0))</f>
        <v/>
      </c>
      <c r="AP3375">
        <f>SUM(IF('01_Вводные'!$B$310&gt;=1,'19_Расчет_аналитики'!AQ3653,0),IF('01_Вводные'!$B$310&gt;=2,'19_Расчет_аналитики'!AR3653,0),IF('01_Вводные'!$B$310&gt;=3,'19_Расчет_аналитики'!AS3653,0),IF('01_Вводные'!$B$310&gt;=4,'19_Расчет_аналитики'!AT3653,0),IF('01_Вводные'!$B$310&gt;=5,'19_Расчет_аналитики'!AU3653,0),IF('01_Вводные'!$B$310&gt;=6,'19_Расчет_аналитики'!AV3653,0))</f>
        <v/>
      </c>
      <c r="AQ3375">
        <f>SUM(IF('01_Вводные'!$B$310&gt;=1,'19_Расчет_аналитики'!AR3653,0),IF('01_Вводные'!$B$310&gt;=2,'19_Расчет_аналитики'!AS3653,0),IF('01_Вводные'!$B$310&gt;=3,'19_Расчет_аналитики'!AT3653,0),IF('01_Вводные'!$B$310&gt;=4,'19_Расчет_аналитики'!AU3653,0),IF('01_Вводные'!$B$310&gt;=5,'19_Расчет_аналитики'!AV3653,0),IF('01_Вводные'!$B$310&gt;=6,'19_Расчет_аналитики'!AW3653,0))</f>
        <v/>
      </c>
      <c r="AR3375">
        <f>SUM(IF('01_Вводные'!$B$310&gt;=1,'19_Расчет_аналитики'!AS3653,0),IF('01_Вводные'!$B$310&gt;=2,'19_Расчет_аналитики'!AT3653,0),IF('01_Вводные'!$B$310&gt;=3,'19_Расчет_аналитики'!AU3653,0),IF('01_Вводные'!$B$310&gt;=4,'19_Расчет_аналитики'!AV3653,0),IF('01_Вводные'!$B$310&gt;=5,'19_Расчет_аналитики'!AW3653,0),IF('01_Вводные'!$B$310&gt;=6,'19_Расчет_аналитики'!AX3653,0))</f>
        <v/>
      </c>
      <c r="AS3375">
        <f>SUM(IF('01_Вводные'!$B$310&gt;=1,'19_Расчет_аналитики'!AT3653,0),IF('01_Вводные'!$B$310&gt;=2,'19_Расчет_аналитики'!AU3653,0),IF('01_Вводные'!$B$310&gt;=3,'19_Расчет_аналитики'!AV3653,0),IF('01_Вводные'!$B$310&gt;=4,'19_Расчет_аналитики'!AW3653,0),IF('01_Вводные'!$B$310&gt;=5,'19_Расчет_аналитики'!AX3653,0),IF('01_Вводные'!$B$310&gt;=6,'19_Расчет_аналитики'!AY3653,0))</f>
        <v/>
      </c>
      <c r="AT3375">
        <f>SUM(IF('01_Вводные'!$B$310&gt;=1,'19_Расчет_аналитики'!AU3653,0),IF('01_Вводные'!$B$310&gt;=2,'19_Расчет_аналитики'!AV3653,0),IF('01_Вводные'!$B$310&gt;=3,'19_Расчет_аналитики'!AW3653,0),IF('01_Вводные'!$B$310&gt;=4,'19_Расчет_аналитики'!AX3653,0),IF('01_Вводные'!$B$310&gt;=5,'19_Расчет_аналитики'!AY3653,0),IF('01_Вводные'!$B$310&gt;=6,'19_Расчет_аналитики'!AZ3653,0))</f>
        <v/>
      </c>
      <c r="AU3375">
        <f>SUM(IF('01_Вводные'!$B$310&gt;=1,'19_Расчет_аналитики'!AV3653,0),IF('01_Вводные'!$B$310&gt;=2,'19_Расчет_аналитики'!AW3653,0),IF('01_Вводные'!$B$310&gt;=3,'19_Расчет_аналитики'!AX3653,0),IF('01_Вводные'!$B$310&gt;=4,'19_Расчет_аналитики'!AY3653,0),IF('01_Вводные'!$B$310&gt;=5,'19_Расчет_аналитики'!AZ3653,0),IF('01_Вводные'!$B$310&gt;=6,'19_Расчет_аналитики'!BA3653,0))</f>
        <v/>
      </c>
      <c r="AV3375">
        <f>SUM(IF('01_Вводные'!$B$310&gt;=1,'19_Расчет_аналитики'!AW3653,0),IF('01_Вводные'!$B$310&gt;=2,'19_Расчет_аналитики'!AX3653,0),IF('01_Вводные'!$B$310&gt;=3,'19_Расчет_аналитики'!AY3653,0),IF('01_Вводные'!$B$310&gt;=4,'19_Расчет_аналитики'!AZ3653,0),IF('01_Вводные'!$B$310&gt;=5,'19_Расчет_аналитики'!BA3653,0),IF('01_Вводные'!$B$310&gt;=6,'19_Расчет_аналитики'!BB3653,0))</f>
        <v/>
      </c>
      <c r="AW3375">
        <f>SUM(IF('01_Вводные'!$B$310&gt;=1,'19_Расчет_аналитики'!AX3653,0),IF('01_Вводные'!$B$310&gt;=2,'19_Расчет_аналитики'!AY3653,0),IF('01_Вводные'!$B$310&gt;=3,'19_Расчет_аналитики'!AZ3653,0),IF('01_Вводные'!$B$310&gt;=4,'19_Расчет_аналитики'!BA3653,0),IF('01_Вводные'!$B$310&gt;=5,'19_Расчет_аналитики'!BB3653,0),IF('01_Вводные'!$B$310&gt;=6,'19_Расчет_аналитики'!BC3653,0))</f>
        <v/>
      </c>
      <c r="AX3375">
        <f>SUM(IF('01_Вводные'!$B$310&gt;=1,'19_Расчет_аналитики'!AY3653,0),IF('01_Вводные'!$B$310&gt;=2,'19_Расчет_аналитики'!AZ3653,0),IF('01_Вводные'!$B$310&gt;=3,'19_Расчет_аналитики'!BA3653,0),IF('01_Вводные'!$B$310&gt;=4,'19_Расчет_аналитики'!BB3653,0),IF('01_Вводные'!$B$310&gt;=5,'19_Расчет_аналитики'!BC3653,0),IF('01_Вводные'!$B$310&gt;=6,'19_Расчет_аналитики'!BD3653,0))</f>
        <v/>
      </c>
      <c r="AY3375">
        <f>SUM(IF('01_Вводные'!$B$310&gt;=1,'19_Расчет_аналитики'!AZ3653,0),IF('01_Вводные'!$B$310&gt;=2,'19_Расчет_аналитики'!BA3653,0),IF('01_Вводные'!$B$310&gt;=3,'19_Расчет_аналитики'!BB3653,0),IF('01_Вводные'!$B$310&gt;=4,'19_Расчет_аналитики'!BC3653,0),IF('01_Вводные'!$B$310&gt;=5,'19_Расчет_аналитики'!BD3653,0),IF('01_Вводные'!$B$310&gt;=6,'19_Расчет_аналитики'!BE3653,0))</f>
        <v/>
      </c>
      <c r="AZ3375">
        <f>SUM(IF('01_Вводные'!$B$310&gt;=1,'19_Расчет_аналитики'!BA3653,0),IF('01_Вводные'!$B$310&gt;=2,'19_Расчет_аналитики'!BB3653,0),IF('01_Вводные'!$B$310&gt;=3,'19_Расчет_аналитики'!BC3653,0),IF('01_Вводные'!$B$310&gt;=4,'19_Расчет_аналитики'!BD3653,0),IF('01_Вводные'!$B$310&gt;=5,'19_Расчет_аналитики'!BE3653,0),IF('01_Вводные'!$B$310&gt;=6,'19_Расчет_аналитики'!BF3653,0))</f>
        <v/>
      </c>
      <c r="BA3375">
        <f>SUM(IF('01_Вводные'!$B$310&gt;=1,'19_Расчет_аналитики'!BB3653,0),IF('01_Вводные'!$B$310&gt;=2,'19_Расчет_аналитики'!BC3653,0),IF('01_Вводные'!$B$310&gt;=3,'19_Расчет_аналитики'!BD3653,0),IF('01_Вводные'!$B$310&gt;=4,'19_Расчет_аналитики'!BE3653,0),IF('01_Вводные'!$B$310&gt;=5,'19_Расчет_аналитики'!BF3653,0),IF('01_Вводные'!$B$310&gt;=6,'19_Расчет_аналитики'!BG3653,0))</f>
        <v/>
      </c>
      <c r="BB3375">
        <f>SUM(IF('01_Вводные'!$B$310&gt;=1,'19_Расчет_аналитики'!BC3653,0),IF('01_Вводные'!$B$310&gt;=2,'19_Расчет_аналитики'!BD3653,0),IF('01_Вводные'!$B$310&gt;=3,'19_Расчет_аналитики'!BE3653,0),IF('01_Вводные'!$B$310&gt;=4,'19_Расчет_аналитики'!BF3653,0),IF('01_Вводные'!$B$310&gt;=5,'19_Расчет_аналитики'!BG3653,0),IF('01_Вводные'!$B$310&gt;=6,'19_Расчет_аналитики'!BH3653,0))</f>
        <v/>
      </c>
      <c r="BC3375">
        <f>SUM(IF('01_Вводные'!$B$310&gt;=1,'19_Расчет_аналитики'!BD3653,0),IF('01_Вводные'!$B$310&gt;=2,'19_Расчет_аналитики'!BE3653,0),IF('01_Вводные'!$B$310&gt;=3,'19_Расчет_аналитики'!BF3653,0),IF('01_Вводные'!$B$310&gt;=4,'19_Расчет_аналитики'!BG3653,0),IF('01_Вводные'!$B$310&gt;=5,'19_Расчет_аналитики'!BH3653,0),IF('01_Вводные'!$B$310&gt;=6,'19_Расчет_аналитики'!BI3653,0))</f>
        <v/>
      </c>
      <c r="BD3375">
        <f>SUM(IF('01_Вводные'!$B$310&gt;=1,'19_Расчет_аналитики'!BE3653,0),IF('01_Вводные'!$B$310&gt;=2,'19_Расчет_аналитики'!BF3653,0),IF('01_Вводные'!$B$310&gt;=3,'19_Расчет_аналитики'!BG3653,0),IF('01_Вводные'!$B$310&gt;=4,'19_Расчет_аналитики'!BH3653,0),IF('01_Вводные'!$B$310&gt;=5,'19_Расчет_аналитики'!BI3653,0),IF('01_Вводные'!$B$310&gt;=6,'19_Расчет_аналитики'!BJ3653,0))</f>
        <v/>
      </c>
      <c r="BE3375">
        <f>SUM(IF('01_Вводные'!$B$310&gt;=1,'19_Расчет_аналитики'!BF3653,0),IF('01_Вводные'!$B$310&gt;=2,'19_Расчет_аналитики'!BG3653,0),IF('01_Вводные'!$B$310&gt;=3,'19_Расчет_аналитики'!BH3653,0),IF('01_Вводные'!$B$310&gt;=4,'19_Расчет_аналитики'!BI3653,0),IF('01_Вводные'!$B$310&gt;=5,'19_Расчет_аналитики'!BJ3653,0),IF('01_Вводные'!$B$310&gt;=6,'19_Расчет_аналитики'!BK3653,0))</f>
        <v/>
      </c>
      <c r="BF3375">
        <f>SUM(IF('01_Вводные'!$B$310&gt;=1,'19_Расчет_аналитики'!BG3653,0),IF('01_Вводные'!$B$310&gt;=2,'19_Расчет_аналитики'!BH3653,0),IF('01_Вводные'!$B$310&gt;=3,'19_Расчет_аналитики'!BI3653,0),IF('01_Вводные'!$B$310&gt;=4,'19_Расчет_аналитики'!BJ3653,0),IF('01_Вводные'!$B$310&gt;=5,'19_Расчет_аналитики'!BK3653,0),IF('01_Вводные'!$B$310&gt;=6,'19_Расчет_аналитики'!BL3653,0))</f>
        <v/>
      </c>
      <c r="BG3375">
        <f>SUM(IF('01_Вводные'!$B$310&gt;=1,'19_Расчет_аналитики'!BH3653,0),IF('01_Вводные'!$B$310&gt;=2,'19_Расчет_аналитики'!BI3653,0),IF('01_Вводные'!$B$310&gt;=3,'19_Расчет_аналитики'!BJ3653,0),IF('01_Вводные'!$B$310&gt;=4,'19_Расчет_аналитики'!BK3653,0),IF('01_Вводные'!$B$310&gt;=5,'19_Расчет_аналитики'!BL3653,0),IF('01_Вводные'!$B$310&gt;=6,'19_Расчет_аналитики'!BM3653,0))</f>
        <v/>
      </c>
      <c r="BH3375">
        <f>SUM(IF('01_Вводные'!$B$310&gt;=1,'19_Расчет_аналитики'!BI3653,0),IF('01_Вводные'!$B$310&gt;=2,'19_Расчет_аналитики'!BJ3653,0),IF('01_Вводные'!$B$310&gt;=3,'19_Расчет_аналитики'!BK3653,0),IF('01_Вводные'!$B$310&gt;=4,'19_Расчет_аналитики'!BL3653,0),IF('01_Вводные'!$B$310&gt;=5,'19_Расчет_аналитики'!BM3653,0),IF('01_Вводные'!$B$310&gt;=6,'19_Расчет_аналитики'!BN3653,0))</f>
        <v/>
      </c>
      <c r="BI3375">
        <f>SUM(IF('01_Вводные'!$B$310&gt;=1,'19_Расчет_аналитики'!BJ3653,0),IF('01_Вводные'!$B$310&gt;=2,'19_Расчет_аналитики'!BK3653,0),IF('01_Вводные'!$B$310&gt;=3,'19_Расчет_аналитики'!BL3653,0),IF('01_Вводные'!$B$310&gt;=4,'19_Расчет_аналитики'!BM3653,0),IF('01_Вводные'!$B$310&gt;=5,'19_Расчет_аналитики'!BN3653,0),IF('01_Вводные'!$B$310&gt;=6,'19_Расчет_аналитики'!BO3653,0))</f>
        <v/>
      </c>
      <c r="BJ3375">
        <f>SUM(IF('01_Вводные'!$B$310&gt;=1,'19_Расчет_аналитики'!BK3653,0),IF('01_Вводные'!$B$310&gt;=2,'19_Расчет_аналитики'!BL3653,0),IF('01_Вводные'!$B$310&gt;=3,'19_Расчет_аналитики'!BM3653,0),IF('01_Вводные'!$B$310&gt;=4,'19_Расчет_аналитики'!BN3653,0),IF('01_Вводные'!$B$310&gt;=5,'19_Расчет_аналитики'!BO3653,0),IF('01_Вводные'!$B$310&gt;=6,'19_Расчет_аналитики'!BP3653,0))</f>
        <v/>
      </c>
      <c r="BK3375">
        <f>SUM(IF('01_Вводные'!$B$310&gt;=1,'19_Расчет_аналитики'!BL3653,0),IF('01_Вводные'!$B$310&gt;=2,'19_Расчет_аналитики'!BM3653,0),IF('01_Вводные'!$B$310&gt;=3,'19_Расчет_аналитики'!BN3653,0),IF('01_Вводные'!$B$310&gt;=4,'19_Расчет_аналитики'!BO3653,0),IF('01_Вводные'!$B$310&gt;=5,'19_Расчет_аналитики'!BP3653,0),IF('01_Вводные'!$B$310&gt;=6,'19_Расчет_аналитики'!BQ3653,0))</f>
        <v/>
      </c>
      <c r="BL3375">
        <f>SUM(IF('01_Вводные'!$B$310&gt;=1,'19_Расчет_аналитики'!BM3653,0),IF('01_Вводные'!$B$310&gt;=2,'19_Расчет_аналитики'!BN3653,0),IF('01_Вводные'!$B$310&gt;=3,'19_Расчет_аналитики'!BO3653,0),IF('01_Вводные'!$B$310&gt;=4,'19_Расчет_аналитики'!BP3653,0),IF('01_Вводные'!$B$310&gt;=5,'19_Расчет_аналитики'!BQ3653,0),IF('01_Вводные'!$B$310&gt;=6,'19_Расчет_аналитики'!BR3653,0))</f>
        <v/>
      </c>
      <c r="BM3375">
        <f>SUM(IF('01_Вводные'!$B$310&gt;=1,'19_Расчет_аналитики'!BN3653,0),IF('01_Вводные'!$B$310&gt;=2,'19_Расчет_аналитики'!BO3653,0),IF('01_Вводные'!$B$310&gt;=3,'19_Расчет_аналитики'!BP3653,0),IF('01_Вводные'!$B$310&gt;=4,'19_Расчет_аналитики'!BQ3653,0),IF('01_Вводные'!$B$310&gt;=5,'19_Расчет_аналитики'!BR3653,0),IF('01_Вводные'!$B$310&gt;=6,'19_Расчет_аналитики'!BS3653,0))</f>
        <v/>
      </c>
      <c r="BN3375">
        <f>SUM(IF('01_Вводные'!$B$310&gt;=1,'19_Расчет_аналитики'!BO3653,0),IF('01_Вводные'!$B$310&gt;=2,'19_Расчет_аналитики'!BP3653,0),IF('01_Вводные'!$B$310&gt;=3,'19_Расчет_аналитики'!BQ3653,0),IF('01_Вводные'!$B$310&gt;=4,'19_Расчет_аналитики'!BR3653,0),IF('01_Вводные'!$B$310&gt;=5,'19_Расчет_аналитики'!BS3653,0),IF('01_Вводные'!$B$310&gt;=6,'19_Расчет_аналитики'!BT3653,0))</f>
        <v/>
      </c>
      <c r="BO3375">
        <f>SUM(IF('01_Вводные'!$B$310&gt;=1,'19_Расчет_аналитики'!BP3653,0),IF('01_Вводные'!$B$310&gt;=2,'19_Расчет_аналитики'!BQ3653,0),IF('01_Вводные'!$B$310&gt;=3,'19_Расчет_аналитики'!BR3653,0),IF('01_Вводные'!$B$310&gt;=4,'19_Расчет_аналитики'!BS3653,0),IF('01_Вводные'!$B$310&gt;=5,'19_Расчет_аналитики'!BT3653,0),IF('01_Вводные'!$B$310&gt;=6,'19_Расчет_аналитики'!BU3653,0))</f>
        <v/>
      </c>
    </row>
    <row r="3376">
      <c r="C3376">
        <f>IF('01_Вводные'!$B$234="Да",IF('01_Вводные'!$B$25&gt;0,ROUNDUP(ROUND('19_Расчет_аналитики'!C3374/'01_Вводные'!$B$25,10),0),0),0)</f>
        <v/>
      </c>
      <c r="D3376">
        <f>IF('01_Вводные'!$B$234="Да",IF('01_Вводные'!$B$25&gt;0,ROUNDUP(ROUND('19_Расчет_аналитики'!D3374/'01_Вводные'!$B$25,10),0),0),0)</f>
        <v/>
      </c>
      <c r="E3376">
        <f>IF('01_Вводные'!$B$234="Да",IF('01_Вводные'!$B$25&gt;0,ROUNDUP(ROUND('19_Расчет_аналитики'!E3374/'01_Вводные'!$B$25,10),0),0),0)</f>
        <v/>
      </c>
      <c r="F3376">
        <f>IF('01_Вводные'!$B$234="Да",IF('01_Вводные'!$B$25&gt;0,ROUNDUP(ROUND('19_Расчет_аналитики'!F3374/'01_Вводные'!$B$25,10),0),0),0)</f>
        <v/>
      </c>
      <c r="G3376">
        <f>IF('01_Вводные'!$B$234="Да",IF('01_Вводные'!$B$25&gt;0,ROUNDUP(ROUND('19_Расчет_аналитики'!G3374/'01_Вводные'!$B$25,10),0),0),0)</f>
        <v/>
      </c>
      <c r="H3376">
        <f>IF('01_Вводные'!$B$234="Да",IF('01_Вводные'!$B$25&gt;0,ROUNDUP(ROUND('19_Расчет_аналитики'!H3374/'01_Вводные'!$B$25,10),0),0),0)</f>
        <v/>
      </c>
      <c r="I3376">
        <f>IF('01_Вводные'!$B$234="Да",IF('01_Вводные'!$B$25&gt;0,ROUNDUP(ROUND('19_Расчет_аналитики'!I3374/'01_Вводные'!$B$25,10),0),0),0)</f>
        <v/>
      </c>
      <c r="J3376">
        <f>IF('01_Вводные'!$B$234="Да",IF('01_Вводные'!$B$25&gt;0,ROUNDUP(ROUND('19_Расчет_аналитики'!J3374/'01_Вводные'!$B$25,10),0),0),0)</f>
        <v/>
      </c>
      <c r="K3376">
        <f>IF('01_Вводные'!$B$234="Да",IF('01_Вводные'!$B$25&gt;0,ROUNDUP(ROUND('19_Расчет_аналитики'!K3374/'01_Вводные'!$B$25,10),0),0),0)</f>
        <v/>
      </c>
      <c r="L3376">
        <f>IF('01_Вводные'!$B$234="Да",IF('01_Вводные'!$B$25&gt;0,ROUNDUP(ROUND('19_Расчет_аналитики'!L3374/'01_Вводные'!$B$25,10),0),0),0)</f>
        <v/>
      </c>
      <c r="M3376">
        <f>IF('01_Вводные'!$B$234="Да",IF('01_Вводные'!$B$25&gt;0,ROUNDUP(ROUND('19_Расчет_аналитики'!M3374/'01_Вводные'!$B$25,10),0),0),0)</f>
        <v/>
      </c>
      <c r="N3376">
        <f>IF('01_Вводные'!$B$234="Да",IF('01_Вводные'!$B$25&gt;0,ROUNDUP(ROUND('19_Расчет_аналитики'!N3374/'01_Вводные'!$B$25,10),0),0),0)</f>
        <v/>
      </c>
      <c r="O3376">
        <f>IF('01_Вводные'!$B$234="Да",IF('01_Вводные'!$B$25&gt;0,ROUNDUP(ROUND('19_Расчет_аналитики'!O3374/'01_Вводные'!$B$25,10),0),0),0)</f>
        <v/>
      </c>
      <c r="P3376">
        <f>IF('01_Вводные'!$B$234="Да",IF('01_Вводные'!$B$25&gt;0,ROUNDUP(ROUND('19_Расчет_аналитики'!P3374/'01_Вводные'!$B$25,10),0),0),0)</f>
        <v/>
      </c>
      <c r="Q3376">
        <f>IF('01_Вводные'!$B$234="Да",IF('01_Вводные'!$B$25&gt;0,ROUNDUP(ROUND('19_Расчет_аналитики'!Q3374/'01_Вводные'!$B$25,10),0),0),0)</f>
        <v/>
      </c>
      <c r="R3376">
        <f>IF('01_Вводные'!$B$234="Да",IF('01_Вводные'!$B$25&gt;0,ROUNDUP(ROUND('19_Расчет_аналитики'!R3374/'01_Вводные'!$B$25,10),0),0),0)</f>
        <v/>
      </c>
      <c r="S3376">
        <f>IF('01_Вводные'!$B$234="Да",IF('01_Вводные'!$B$25&gt;0,ROUNDUP(ROUND('19_Расчет_аналитики'!S3374/'01_Вводные'!$B$25,10),0),0),0)</f>
        <v/>
      </c>
      <c r="T3376">
        <f>IF('01_Вводные'!$B$234="Да",IF('01_Вводные'!$B$25&gt;0,ROUNDUP(ROUND('19_Расчет_аналитики'!T3374/'01_Вводные'!$B$25,10),0),0),0)</f>
        <v/>
      </c>
      <c r="U3376">
        <f>IF('01_Вводные'!$B$234="Да",IF('01_Вводные'!$B$25&gt;0,ROUNDUP(ROUND('19_Расчет_аналитики'!U3374/'01_Вводные'!$B$25,10),0),0),0)</f>
        <v/>
      </c>
      <c r="V3376">
        <f>IF('01_Вводные'!$B$234="Да",IF('01_Вводные'!$B$25&gt;0,ROUNDUP(ROUND('19_Расчет_аналитики'!V3374/'01_Вводные'!$B$25,10),0),0),0)</f>
        <v/>
      </c>
      <c r="W3376">
        <f>IF('01_Вводные'!$B$234="Да",IF('01_Вводные'!$B$25&gt;0,ROUNDUP(ROUND('19_Расчет_аналитики'!W3374/'01_Вводные'!$B$25,10),0),0),0)</f>
        <v/>
      </c>
      <c r="X3376">
        <f>IF('01_Вводные'!$B$234="Да",IF('01_Вводные'!$B$25&gt;0,ROUNDUP(ROUND('19_Расчет_аналитики'!X3374/'01_Вводные'!$B$25,10),0),0),0)</f>
        <v/>
      </c>
      <c r="Y3376">
        <f>IF('01_Вводные'!$B$234="Да",IF('01_Вводные'!$B$25&gt;0,ROUNDUP(ROUND('19_Расчет_аналитики'!Y3374/'01_Вводные'!$B$25,10),0),0),0)</f>
        <v/>
      </c>
      <c r="Z3376">
        <f>IF('01_Вводные'!$B$234="Да",IF('01_Вводные'!$B$25&gt;0,ROUNDUP(ROUND('19_Расчет_аналитики'!Z3374/'01_Вводные'!$B$25,10),0),0),0)</f>
        <v/>
      </c>
      <c r="AA3376">
        <f>IF('01_Вводные'!$B$234="Да",IF('01_Вводные'!$B$25&gt;0,ROUNDUP(ROUND('19_Расчет_аналитики'!AA3374/'01_Вводные'!$B$25,10),0),0),0)</f>
        <v/>
      </c>
      <c r="AB3376">
        <f>IF('01_Вводные'!$B$234="Да",IF('01_Вводные'!$B$25&gt;0,ROUNDUP(ROUND('19_Расчет_аналитики'!AB3374/'01_Вводные'!$B$25,10),0),0),0)</f>
        <v/>
      </c>
      <c r="AC3376">
        <f>IF('01_Вводные'!$B$234="Да",IF('01_Вводные'!$B$25&gt;0,ROUNDUP(ROUND('19_Расчет_аналитики'!AC3374/'01_Вводные'!$B$25,10),0),0),0)</f>
        <v/>
      </c>
      <c r="AD3376">
        <f>IF('01_Вводные'!$B$234="Да",IF('01_Вводные'!$B$25&gt;0,ROUNDUP(ROUND('19_Расчет_аналитики'!AD3374/'01_Вводные'!$B$25,10),0),0),0)</f>
        <v/>
      </c>
      <c r="AE3376">
        <f>IF('01_Вводные'!$B$234="Да",IF('01_Вводные'!$B$25&gt;0,ROUNDUP(ROUND('19_Расчет_аналитики'!AE3374/'01_Вводные'!$B$25,10),0),0),0)</f>
        <v/>
      </c>
      <c r="AF3376">
        <f>IF('01_Вводные'!$B$234="Да",IF('01_Вводные'!$B$25&gt;0,ROUNDUP(ROUND('19_Расчет_аналитики'!AF3374/'01_Вводные'!$B$25,10),0),0),0)</f>
        <v/>
      </c>
      <c r="AG3376">
        <f>IF('01_Вводные'!$B$234="Да",IF('01_Вводные'!$B$25&gt;0,ROUNDUP(ROUND('19_Расчет_аналитики'!AG3374/'01_Вводные'!$B$25,10),0),0),0)</f>
        <v/>
      </c>
      <c r="AH3376">
        <f>IF('01_Вводные'!$B$234="Да",IF('01_Вводные'!$B$25&gt;0,ROUNDUP(ROUND('19_Расчет_аналитики'!AH3374/'01_Вводные'!$B$25,10),0),0),0)</f>
        <v/>
      </c>
      <c r="AI3376">
        <f>IF('01_Вводные'!$B$234="Да",IF('01_Вводные'!$B$25&gt;0,ROUNDUP(ROUND('19_Расчет_аналитики'!AI3374/'01_Вводные'!$B$25,10),0),0),0)</f>
        <v/>
      </c>
      <c r="AJ3376">
        <f>IF('01_Вводные'!$B$234="Да",IF('01_Вводные'!$B$25&gt;0,ROUNDUP(ROUND('19_Расчет_аналитики'!AJ3374/'01_Вводные'!$B$25,10),0),0),0)</f>
        <v/>
      </c>
      <c r="AK3376">
        <f>IF('01_Вводные'!$B$234="Да",IF('01_Вводные'!$B$25&gt;0,ROUNDUP(ROUND('19_Расчет_аналитики'!AK3374/'01_Вводные'!$B$25,10),0),0),0)</f>
        <v/>
      </c>
      <c r="AL3376">
        <f>IF('01_Вводные'!$B$234="Да",IF('01_Вводные'!$B$25&gt;0,ROUNDUP(ROUND('19_Расчет_аналитики'!AL3374/'01_Вводные'!$B$25,10),0),0),0)</f>
        <v/>
      </c>
      <c r="AM3376">
        <f>IF('01_Вводные'!$B$234="Да",IF('01_Вводные'!$B$25&gt;0,ROUNDUP(ROUND('19_Расчет_аналитики'!AM3374/'01_Вводные'!$B$25,10),0),0),0)</f>
        <v/>
      </c>
      <c r="AN3376">
        <f>IF('01_Вводные'!$B$234="Да",IF('01_Вводные'!$B$25&gt;0,ROUNDUP(ROUND('19_Расчет_аналитики'!AN3374/'01_Вводные'!$B$25,10),0),0),0)</f>
        <v/>
      </c>
      <c r="AO3376">
        <f>IF('01_Вводные'!$B$234="Да",IF('01_Вводные'!$B$25&gt;0,ROUNDUP(ROUND('19_Расчет_аналитики'!AO3374/'01_Вводные'!$B$25,10),0),0),0)</f>
        <v/>
      </c>
      <c r="AP3376">
        <f>IF('01_Вводные'!$B$234="Да",IF('01_Вводные'!$B$25&gt;0,ROUNDUP(ROUND('19_Расчет_аналитики'!AP3374/'01_Вводные'!$B$25,10),0),0),0)</f>
        <v/>
      </c>
      <c r="AQ3376">
        <f>IF('01_Вводные'!$B$234="Да",IF('01_Вводные'!$B$25&gt;0,ROUNDUP(ROUND('19_Расчет_аналитики'!AQ3374/'01_Вводные'!$B$25,10),0),0),0)</f>
        <v/>
      </c>
      <c r="AR3376">
        <f>IF('01_Вводные'!$B$234="Да",IF('01_Вводные'!$B$25&gt;0,ROUNDUP(ROUND('19_Расчет_аналитики'!AR3374/'01_Вводные'!$B$25,10),0),0),0)</f>
        <v/>
      </c>
      <c r="AS3376">
        <f>IF('01_Вводные'!$B$234="Да",IF('01_Вводные'!$B$25&gt;0,ROUNDUP(ROUND('19_Расчет_аналитики'!AS3374/'01_Вводные'!$B$25,10),0),0),0)</f>
        <v/>
      </c>
      <c r="AT3376">
        <f>IF('01_Вводные'!$B$234="Да",IF('01_Вводные'!$B$25&gt;0,ROUNDUP(ROUND('19_Расчет_аналитики'!AT3374/'01_Вводные'!$B$25,10),0),0),0)</f>
        <v/>
      </c>
      <c r="AU3376">
        <f>IF('01_Вводные'!$B$234="Да",IF('01_Вводные'!$B$25&gt;0,ROUNDUP(ROUND('19_Расчет_аналитики'!AU3374/'01_Вводные'!$B$25,10),0),0),0)</f>
        <v/>
      </c>
      <c r="AV3376">
        <f>IF('01_Вводные'!$B$234="Да",IF('01_Вводные'!$B$25&gt;0,ROUNDUP(ROUND('19_Расчет_аналитики'!AV3374/'01_Вводные'!$B$25,10),0),0),0)</f>
        <v/>
      </c>
      <c r="AW3376">
        <f>IF('01_Вводные'!$B$234="Да",IF('01_Вводные'!$B$25&gt;0,ROUNDUP(ROUND('19_Расчет_аналитики'!AW3374/'01_Вводные'!$B$25,10),0),0),0)</f>
        <v/>
      </c>
      <c r="AX3376">
        <f>IF('01_Вводные'!$B$234="Да",IF('01_Вводные'!$B$25&gt;0,ROUNDUP(ROUND('19_Расчет_аналитики'!AX3374/'01_Вводные'!$B$25,10),0),0),0)</f>
        <v/>
      </c>
      <c r="AY3376">
        <f>IF('01_Вводные'!$B$234="Да",IF('01_Вводные'!$B$25&gt;0,ROUNDUP(ROUND('19_Расчет_аналитики'!AY3374/'01_Вводные'!$B$25,10),0),0),0)</f>
        <v/>
      </c>
      <c r="AZ3376">
        <f>IF('01_Вводные'!$B$234="Да",IF('01_Вводные'!$B$25&gt;0,ROUNDUP(ROUND('19_Расчет_аналитики'!AZ3374/'01_Вводные'!$B$25,10),0),0),0)</f>
        <v/>
      </c>
      <c r="BA3376">
        <f>IF('01_Вводные'!$B$234="Да",IF('01_Вводные'!$B$25&gt;0,ROUNDUP(ROUND('19_Расчет_аналитики'!BA3374/'01_Вводные'!$B$25,10),0),0),0)</f>
        <v/>
      </c>
      <c r="BB3376">
        <f>IF('01_Вводные'!$B$234="Да",IF('01_Вводные'!$B$25&gt;0,ROUNDUP(ROUND('19_Расчет_аналитики'!BB3374/'01_Вводные'!$B$25,10),0),0),0)</f>
        <v/>
      </c>
      <c r="BC3376">
        <f>IF('01_Вводные'!$B$234="Да",IF('01_Вводные'!$B$25&gt;0,ROUNDUP(ROUND('19_Расчет_аналитики'!BC3374/'01_Вводные'!$B$25,10),0),0),0)</f>
        <v/>
      </c>
      <c r="BD3376">
        <f>IF('01_Вводные'!$B$234="Да",IF('01_Вводные'!$B$25&gt;0,ROUNDUP(ROUND('19_Расчет_аналитики'!BD3374/'01_Вводные'!$B$25,10),0),0),0)</f>
        <v/>
      </c>
      <c r="BE3376">
        <f>IF('01_Вводные'!$B$234="Да",IF('01_Вводные'!$B$25&gt;0,ROUNDUP(ROUND('19_Расчет_аналитики'!BE3374/'01_Вводные'!$B$25,10),0),0),0)</f>
        <v/>
      </c>
      <c r="BF3376">
        <f>IF('01_Вводные'!$B$234="Да",IF('01_Вводные'!$B$25&gt;0,ROUNDUP(ROUND('19_Расчет_аналитики'!BF3374/'01_Вводные'!$B$25,10),0),0),0)</f>
        <v/>
      </c>
      <c r="BG3376">
        <f>IF('01_Вводные'!$B$234="Да",IF('01_Вводные'!$B$25&gt;0,ROUNDUP(ROUND('19_Расчет_аналитики'!BG3374/'01_Вводные'!$B$25,10),0),0),0)</f>
        <v/>
      </c>
      <c r="BH3376">
        <f>IF('01_Вводные'!$B$234="Да",IF('01_Вводные'!$B$25&gt;0,ROUNDUP(ROUND('19_Расчет_аналитики'!BH3374/'01_Вводные'!$B$25,10),0),0),0)</f>
        <v/>
      </c>
      <c r="BI3376">
        <f>IF('01_Вводные'!$B$234="Да",IF('01_Вводные'!$B$25&gt;0,ROUNDUP(ROUND('19_Расчет_аналитики'!BI3374/'01_Вводные'!$B$25,10),0),0),0)</f>
        <v/>
      </c>
    </row>
    <row r="3377">
      <c r="B3377">
        <f>IF('01_Вводные'!$B$234="Да",IF(1&lt;='01_Вводные'!$B$15,0,INDEX('19_Расчет_аналитики'!$B$3374:$BI$3374,1,1-'01_Вводные'!$B$15))*'01_Вводные'!$B$298,0)</f>
        <v/>
      </c>
      <c r="C3377">
        <f>IF('01_Вводные'!$B$234="Да",IF(2&lt;='01_Вводные'!$B$15,0,INDEX('19_Расчет_аналитики'!$B$3374:$BI$3374,1,2-'01_Вводные'!$B$15))*'01_Вводные'!$B$298,0)</f>
        <v/>
      </c>
      <c r="D3377">
        <f>IF('01_Вводные'!$B$234="Да",IF(3&lt;='01_Вводные'!$B$15,0,INDEX('19_Расчет_аналитики'!$B$3374:$BI$3374,1,3-'01_Вводные'!$B$15))*'01_Вводные'!$B$298,0)</f>
        <v/>
      </c>
      <c r="E3377">
        <f>IF('01_Вводные'!$B$234="Да",IF(4&lt;='01_Вводные'!$B$15,0,INDEX('19_Расчет_аналитики'!$B$3374:$BI$3374,1,4-'01_Вводные'!$B$15))*'01_Вводные'!$B$298,0)</f>
        <v/>
      </c>
      <c r="F3377">
        <f>IF('01_Вводные'!$B$234="Да",IF(5&lt;='01_Вводные'!$B$15,0,INDEX('19_Расчет_аналитики'!$B$3374:$BI$3374,1,5-'01_Вводные'!$B$15))*'01_Вводные'!$B$298,0)</f>
        <v/>
      </c>
      <c r="G3377">
        <f>IF('01_Вводные'!$B$234="Да",IF(6&lt;='01_Вводные'!$B$15,0,INDEX('19_Расчет_аналитики'!$B$3374:$BI$3374,1,6-'01_Вводные'!$B$15))*'01_Вводные'!$B$298,0)</f>
        <v/>
      </c>
      <c r="H3377">
        <f>IF('01_Вводные'!$B$234="Да",IF(7&lt;='01_Вводные'!$B$15,0,INDEX('19_Расчет_аналитики'!$B$3374:$BI$3374,1,7-'01_Вводные'!$B$15))*'01_Вводные'!$B$298,0)</f>
        <v/>
      </c>
      <c r="I3377">
        <f>IF('01_Вводные'!$B$234="Да",IF(8&lt;='01_Вводные'!$B$15,0,INDEX('19_Расчет_аналитики'!$B$3374:$BI$3374,1,8-'01_Вводные'!$B$15))*'01_Вводные'!$B$298,0)</f>
        <v/>
      </c>
      <c r="J3377">
        <f>IF('01_Вводные'!$B$234="Да",IF(9&lt;='01_Вводные'!$B$15,0,INDEX('19_Расчет_аналитики'!$B$3374:$BI$3374,1,9-'01_Вводные'!$B$15))*'01_Вводные'!$B$298,0)</f>
        <v/>
      </c>
      <c r="K3377">
        <f>IF('01_Вводные'!$B$234="Да",IF(10&lt;='01_Вводные'!$B$15,0,INDEX('19_Расчет_аналитики'!$B$3374:$BI$3374,1,10-'01_Вводные'!$B$15))*'01_Вводные'!$B$298,0)</f>
        <v/>
      </c>
      <c r="L3377">
        <f>IF('01_Вводные'!$B$234="Да",IF(11&lt;='01_Вводные'!$B$15,0,INDEX('19_Расчет_аналитики'!$B$3374:$BI$3374,1,11-'01_Вводные'!$B$15))*'01_Вводные'!$B$298,0)</f>
        <v/>
      </c>
      <c r="M3377">
        <f>IF('01_Вводные'!$B$234="Да",IF(12&lt;='01_Вводные'!$B$15,0,INDEX('19_Расчет_аналитики'!$B$3374:$BI$3374,1,12-'01_Вводные'!$B$15))*'01_Вводные'!$B$298,0)</f>
        <v/>
      </c>
      <c r="N3377">
        <f>IF('01_Вводные'!$B$234="Да",IF(13&lt;='01_Вводные'!$B$15,0,INDEX('19_Расчет_аналитики'!$B$3374:$BI$3374,1,13-'01_Вводные'!$B$15))*'01_Вводные'!$B$298,0)</f>
        <v/>
      </c>
      <c r="O3377">
        <f>IF('01_Вводные'!$B$234="Да",IF(14&lt;='01_Вводные'!$B$15,0,INDEX('19_Расчет_аналитики'!$B$3374:$BI$3374,1,14-'01_Вводные'!$B$15))*'01_Вводные'!$B$298,0)</f>
        <v/>
      </c>
      <c r="P3377">
        <f>IF('01_Вводные'!$B$234="Да",IF(15&lt;='01_Вводные'!$B$15,0,INDEX('19_Расчет_аналитики'!$B$3374:$BI$3374,1,15-'01_Вводные'!$B$15))*'01_Вводные'!$B$298,0)</f>
        <v/>
      </c>
      <c r="Q3377">
        <f>IF('01_Вводные'!$B$234="Да",IF(16&lt;='01_Вводные'!$B$15,0,INDEX('19_Расчет_аналитики'!$B$3374:$BI$3374,1,16-'01_Вводные'!$B$15))*'01_Вводные'!$B$298,0)</f>
        <v/>
      </c>
      <c r="R3377">
        <f>IF('01_Вводные'!$B$234="Да",IF(17&lt;='01_Вводные'!$B$15,0,INDEX('19_Расчет_аналитики'!$B$3374:$BI$3374,1,17-'01_Вводные'!$B$15))*'01_Вводные'!$B$298,0)</f>
        <v/>
      </c>
      <c r="S3377">
        <f>IF('01_Вводные'!$B$234="Да",IF(18&lt;='01_Вводные'!$B$15,0,INDEX('19_Расчет_аналитики'!$B$3374:$BI$3374,1,18-'01_Вводные'!$B$15))*'01_Вводные'!$B$298,0)</f>
        <v/>
      </c>
      <c r="T3377">
        <f>IF('01_Вводные'!$B$234="Да",IF(19&lt;='01_Вводные'!$B$15,0,INDEX('19_Расчет_аналитики'!$B$3374:$BI$3374,1,19-'01_Вводные'!$B$15))*'01_Вводные'!$B$298,0)</f>
        <v/>
      </c>
      <c r="U3377">
        <f>IF('01_Вводные'!$B$234="Да",IF(20&lt;='01_Вводные'!$B$15,0,INDEX('19_Расчет_аналитики'!$B$3374:$BI$3374,1,20-'01_Вводные'!$B$15))*'01_Вводные'!$B$298,0)</f>
        <v/>
      </c>
      <c r="V3377">
        <f>IF('01_Вводные'!$B$234="Да",IF(21&lt;='01_Вводные'!$B$15,0,INDEX('19_Расчет_аналитики'!$B$3374:$BI$3374,1,21-'01_Вводные'!$B$15))*'01_Вводные'!$B$298,0)</f>
        <v/>
      </c>
      <c r="W3377">
        <f>IF('01_Вводные'!$B$234="Да",IF(22&lt;='01_Вводные'!$B$15,0,INDEX('19_Расчет_аналитики'!$B$3374:$BI$3374,1,22-'01_Вводные'!$B$15))*'01_Вводные'!$B$298,0)</f>
        <v/>
      </c>
      <c r="X3377">
        <f>IF('01_Вводные'!$B$234="Да",IF(23&lt;='01_Вводные'!$B$15,0,INDEX('19_Расчет_аналитики'!$B$3374:$BI$3374,1,23-'01_Вводные'!$B$15))*'01_Вводные'!$B$298,0)</f>
        <v/>
      </c>
      <c r="Y3377">
        <f>IF('01_Вводные'!$B$234="Да",IF(24&lt;='01_Вводные'!$B$15,0,INDEX('19_Расчет_аналитики'!$B$3374:$BI$3374,1,24-'01_Вводные'!$B$15))*'01_Вводные'!$B$298,0)</f>
        <v/>
      </c>
      <c r="Z3377">
        <f>IF('01_Вводные'!$B$234="Да",IF(25&lt;='01_Вводные'!$B$15,0,INDEX('19_Расчет_аналитики'!$B$3374:$BI$3374,1,25-'01_Вводные'!$B$15))*'01_Вводные'!$B$298,0)</f>
        <v/>
      </c>
      <c r="AA3377">
        <f>IF('01_Вводные'!$B$234="Да",IF(26&lt;='01_Вводные'!$B$15,0,INDEX('19_Расчет_аналитики'!$B$3374:$BI$3374,1,26-'01_Вводные'!$B$15))*'01_Вводные'!$B$298,0)</f>
        <v/>
      </c>
      <c r="AB3377">
        <f>IF('01_Вводные'!$B$234="Да",IF(27&lt;='01_Вводные'!$B$15,0,INDEX('19_Расчет_аналитики'!$B$3374:$BI$3374,1,27-'01_Вводные'!$B$15))*'01_Вводные'!$B$298,0)</f>
        <v/>
      </c>
      <c r="AC3377">
        <f>IF('01_Вводные'!$B$234="Да",IF(28&lt;='01_Вводные'!$B$15,0,INDEX('19_Расчет_аналитики'!$B$3374:$BI$3374,1,28-'01_Вводные'!$B$15))*'01_Вводные'!$B$298,0)</f>
        <v/>
      </c>
      <c r="AD3377">
        <f>IF('01_Вводные'!$B$234="Да",IF(29&lt;='01_Вводные'!$B$15,0,INDEX('19_Расчет_аналитики'!$B$3374:$BI$3374,1,29-'01_Вводные'!$B$15))*'01_Вводные'!$B$298,0)</f>
        <v/>
      </c>
      <c r="AE3377">
        <f>IF('01_Вводные'!$B$234="Да",IF(30&lt;='01_Вводные'!$B$15,0,INDEX('19_Расчет_аналитики'!$B$3374:$BI$3374,1,30-'01_Вводные'!$B$15))*'01_Вводные'!$B$298,0)</f>
        <v/>
      </c>
      <c r="AF3377">
        <f>IF('01_Вводные'!$B$234="Да",IF(31&lt;='01_Вводные'!$B$15,0,INDEX('19_Расчет_аналитики'!$B$3374:$BI$3374,1,31-'01_Вводные'!$B$15))*'01_Вводные'!$B$298,0)</f>
        <v/>
      </c>
      <c r="AG3377">
        <f>IF('01_Вводные'!$B$234="Да",IF(32&lt;='01_Вводные'!$B$15,0,INDEX('19_Расчет_аналитики'!$B$3374:$BI$3374,1,32-'01_Вводные'!$B$15))*'01_Вводные'!$B$298,0)</f>
        <v/>
      </c>
      <c r="AH3377">
        <f>IF('01_Вводные'!$B$234="Да",IF(33&lt;='01_Вводные'!$B$15,0,INDEX('19_Расчет_аналитики'!$B$3374:$BI$3374,1,33-'01_Вводные'!$B$15))*'01_Вводные'!$B$298,0)</f>
        <v/>
      </c>
      <c r="AI3377">
        <f>IF('01_Вводные'!$B$234="Да",IF(34&lt;='01_Вводные'!$B$15,0,INDEX('19_Расчет_аналитики'!$B$3374:$BI$3374,1,34-'01_Вводные'!$B$15))*'01_Вводные'!$B$298,0)</f>
        <v/>
      </c>
      <c r="AJ3377">
        <f>IF('01_Вводные'!$B$234="Да",IF(35&lt;='01_Вводные'!$B$15,0,INDEX('19_Расчет_аналитики'!$B$3374:$BI$3374,1,35-'01_Вводные'!$B$15))*'01_Вводные'!$B$298,0)</f>
        <v/>
      </c>
      <c r="AK3377">
        <f>IF('01_Вводные'!$B$234="Да",IF(36&lt;='01_Вводные'!$B$15,0,INDEX('19_Расчет_аналитики'!$B$3374:$BI$3374,1,36-'01_Вводные'!$B$15))*'01_Вводные'!$B$298,0)</f>
        <v/>
      </c>
      <c r="AL3377">
        <f>IF('01_Вводные'!$B$234="Да",IF(37&lt;='01_Вводные'!$B$15,0,INDEX('19_Расчет_аналитики'!$B$3374:$BI$3374,1,37-'01_Вводные'!$B$15))*'01_Вводные'!$B$298,0)</f>
        <v/>
      </c>
      <c r="AM3377">
        <f>IF('01_Вводные'!$B$234="Да",IF(38&lt;='01_Вводные'!$B$15,0,INDEX('19_Расчет_аналитики'!$B$3374:$BI$3374,1,38-'01_Вводные'!$B$15))*'01_Вводные'!$B$298,0)</f>
        <v/>
      </c>
      <c r="AN3377">
        <f>IF('01_Вводные'!$B$234="Да",IF(39&lt;='01_Вводные'!$B$15,0,INDEX('19_Расчет_аналитики'!$B$3374:$BI$3374,1,39-'01_Вводные'!$B$15))*'01_Вводные'!$B$298,0)</f>
        <v/>
      </c>
      <c r="AO3377">
        <f>IF('01_Вводные'!$B$234="Да",IF(40&lt;='01_Вводные'!$B$15,0,INDEX('19_Расчет_аналитики'!$B$3374:$BI$3374,1,40-'01_Вводные'!$B$15))*'01_Вводные'!$B$298,0)</f>
        <v/>
      </c>
      <c r="AP3377">
        <f>IF('01_Вводные'!$B$234="Да",IF(41&lt;='01_Вводные'!$B$15,0,INDEX('19_Расчет_аналитики'!$B$3374:$BI$3374,1,41-'01_Вводные'!$B$15))*'01_Вводные'!$B$298,0)</f>
        <v/>
      </c>
      <c r="AQ3377">
        <f>IF('01_Вводные'!$B$234="Да",IF(42&lt;='01_Вводные'!$B$15,0,INDEX('19_Расчет_аналитики'!$B$3374:$BI$3374,1,42-'01_Вводные'!$B$15))*'01_Вводные'!$B$298,0)</f>
        <v/>
      </c>
      <c r="AR3377">
        <f>IF('01_Вводные'!$B$234="Да",IF(43&lt;='01_Вводные'!$B$15,0,INDEX('19_Расчет_аналитики'!$B$3374:$BI$3374,1,43-'01_Вводные'!$B$15))*'01_Вводные'!$B$298,0)</f>
        <v/>
      </c>
      <c r="AS3377">
        <f>IF('01_Вводные'!$B$234="Да",IF(44&lt;='01_Вводные'!$B$15,0,INDEX('19_Расчет_аналитики'!$B$3374:$BI$3374,1,44-'01_Вводные'!$B$15))*'01_Вводные'!$B$298,0)</f>
        <v/>
      </c>
      <c r="AT3377">
        <f>IF('01_Вводные'!$B$234="Да",IF(45&lt;='01_Вводные'!$B$15,0,INDEX('19_Расчет_аналитики'!$B$3374:$BI$3374,1,45-'01_Вводные'!$B$15))*'01_Вводные'!$B$298,0)</f>
        <v/>
      </c>
      <c r="AU3377">
        <f>IF('01_Вводные'!$B$234="Да",IF(46&lt;='01_Вводные'!$B$15,0,INDEX('19_Расчет_аналитики'!$B$3374:$BI$3374,1,46-'01_Вводные'!$B$15))*'01_Вводные'!$B$298,0)</f>
        <v/>
      </c>
      <c r="AV3377">
        <f>IF('01_Вводные'!$B$234="Да",IF(47&lt;='01_Вводные'!$B$15,0,INDEX('19_Расчет_аналитики'!$B$3374:$BI$3374,1,47-'01_Вводные'!$B$15))*'01_Вводные'!$B$298,0)</f>
        <v/>
      </c>
      <c r="AW3377">
        <f>IF('01_Вводные'!$B$234="Да",IF(48&lt;='01_Вводные'!$B$15,0,INDEX('19_Расчет_аналитики'!$B$3374:$BI$3374,1,48-'01_Вводные'!$B$15))*'01_Вводные'!$B$298,0)</f>
        <v/>
      </c>
      <c r="AX3377">
        <f>IF('01_Вводные'!$B$234="Да",IF(49&lt;='01_Вводные'!$B$15,0,INDEX('19_Расчет_аналитики'!$B$3374:$BI$3374,1,49-'01_Вводные'!$B$15))*'01_Вводные'!$B$298,0)</f>
        <v/>
      </c>
      <c r="AY3377">
        <f>IF('01_Вводные'!$B$234="Да",IF(50&lt;='01_Вводные'!$B$15,0,INDEX('19_Расчет_аналитики'!$B$3374:$BI$3374,1,50-'01_Вводные'!$B$15))*'01_Вводные'!$B$298,0)</f>
        <v/>
      </c>
      <c r="AZ3377">
        <f>IF('01_Вводные'!$B$234="Да",IF(51&lt;='01_Вводные'!$B$15,0,INDEX('19_Расчет_аналитики'!$B$3374:$BI$3374,1,51-'01_Вводные'!$B$15))*'01_Вводные'!$B$298,0)</f>
        <v/>
      </c>
      <c r="BA3377">
        <f>IF('01_Вводные'!$B$234="Да",IF(52&lt;='01_Вводные'!$B$15,0,INDEX('19_Расчет_аналитики'!$B$3374:$BI$3374,1,52-'01_Вводные'!$B$15))*'01_Вводные'!$B$298,0)</f>
        <v/>
      </c>
      <c r="BB3377">
        <f>IF('01_Вводные'!$B$234="Да",IF(53&lt;='01_Вводные'!$B$15,0,INDEX('19_Расчет_аналитики'!$B$3374:$BI$3374,1,53-'01_Вводные'!$B$15))*'01_Вводные'!$B$298,0)</f>
        <v/>
      </c>
      <c r="BC3377">
        <f>IF('01_Вводные'!$B$234="Да",IF(54&lt;='01_Вводные'!$B$15,0,INDEX('19_Расчет_аналитики'!$B$3374:$BI$3374,1,54-'01_Вводные'!$B$15))*'01_Вводные'!$B$298,0)</f>
        <v/>
      </c>
      <c r="BD3377">
        <f>IF('01_Вводные'!$B$234="Да",IF(55&lt;='01_Вводные'!$B$15,0,INDEX('19_Расчет_аналитики'!$B$3374:$BI$3374,1,55-'01_Вводные'!$B$15))*'01_Вводные'!$B$298,0)</f>
        <v/>
      </c>
      <c r="BE3377">
        <f>IF('01_Вводные'!$B$234="Да",IF(56&lt;='01_Вводные'!$B$15,0,INDEX('19_Расчет_аналитики'!$B$3374:$BI$3374,1,56-'01_Вводные'!$B$15))*'01_Вводные'!$B$298,0)</f>
        <v/>
      </c>
      <c r="BF3377">
        <f>IF('01_Вводные'!$B$234="Да",IF(57&lt;='01_Вводные'!$B$15,0,INDEX('19_Расчет_аналитики'!$B$3374:$BI$3374,1,57-'01_Вводные'!$B$15))*'01_Вводные'!$B$298,0)</f>
        <v/>
      </c>
      <c r="BG3377">
        <f>IF('01_Вводные'!$B$234="Да",IF(58&lt;='01_Вводные'!$B$15,0,INDEX('19_Расчет_аналитики'!$B$3374:$BI$3374,1,58-'01_Вводные'!$B$15))*'01_Вводные'!$B$298,0)</f>
        <v/>
      </c>
      <c r="BH3377">
        <f>IF('01_Вводные'!$B$234="Да",IF(59&lt;='01_Вводные'!$B$15,0,INDEX('19_Расчет_аналитики'!$B$3374:$BI$3374,1,59-'01_Вводные'!$B$15))*'01_Вводные'!$B$298,0)</f>
        <v/>
      </c>
      <c r="BI3377">
        <f>IF('01_Вводные'!$B$234="Да",IF(60&lt;='01_Вводные'!$B$15,0,INDEX('19_Расчет_аналитики'!$B$3374:$BI$3374,1,60-'01_Вводные'!$B$15))*'01_Вводные'!$B$298,0)</f>
        <v/>
      </c>
    </row>
    <row r="3378"/>
    <row r="3379"/>
    <row r="3380">
      <c r="B3380">
        <f>IF('01_Вводные'!$B$234="Да",SUMIF('04_Продажи'!$B$28:$BI$28,'04_Продажи'!B$11,'19_Расчет_аналитики'!$B$3374:$BI$3374)*'19_Расчет_аналитики'!B3845,0)</f>
        <v/>
      </c>
      <c r="C3380">
        <f>IF('01_Вводные'!$B$234="Да",SUMIF('04_Продажи'!$B$28:$BI$28,'04_Продажи'!C$11,'19_Расчет_аналитики'!$B$3374:$BI$3374)*'19_Расчет_аналитики'!C3845,0)</f>
        <v/>
      </c>
      <c r="D3380">
        <f>IF('01_Вводные'!$B$234="Да",SUMIF('04_Продажи'!$B$28:$BI$28,'04_Продажи'!D$11,'19_Расчет_аналитики'!$B$3374:$BI$3374)*'19_Расчет_аналитики'!D3845,0)</f>
        <v/>
      </c>
      <c r="E3380">
        <f>IF('01_Вводные'!$B$234="Да",SUMIF('04_Продажи'!$B$28:$BI$28,'04_Продажи'!E$11,'19_Расчет_аналитики'!$B$3374:$BI$3374)*'19_Расчет_аналитики'!E3845,0)</f>
        <v/>
      </c>
      <c r="F3380">
        <f>IF('01_Вводные'!$B$234="Да",SUMIF('04_Продажи'!$B$28:$BI$28,'04_Продажи'!F$11,'19_Расчет_аналитики'!$B$3374:$BI$3374)*'19_Расчет_аналитики'!F3845,0)</f>
        <v/>
      </c>
      <c r="G3380">
        <f>IF('01_Вводные'!$B$234="Да",SUMIF('04_Продажи'!$B$28:$BI$28,'04_Продажи'!G$11,'19_Расчет_аналитики'!$B$3374:$BI$3374)*'19_Расчет_аналитики'!G3845,0)</f>
        <v/>
      </c>
      <c r="H3380">
        <f>IF('01_Вводные'!$B$234="Да",SUMIF('04_Продажи'!$B$28:$BI$28,'04_Продажи'!H$11,'19_Расчет_аналитики'!$B$3374:$BI$3374)*'19_Расчет_аналитики'!H3845,0)</f>
        <v/>
      </c>
      <c r="I3380">
        <f>IF('01_Вводные'!$B$234="Да",SUMIF('04_Продажи'!$B$28:$BI$28,'04_Продажи'!I$11,'19_Расчет_аналитики'!$B$3374:$BI$3374)*'19_Расчет_аналитики'!I3845,0)</f>
        <v/>
      </c>
      <c r="J3380">
        <f>IF('01_Вводные'!$B$234="Да",SUMIF('04_Продажи'!$B$28:$BI$28,'04_Продажи'!J$11,'19_Расчет_аналитики'!$B$3374:$BI$3374)*'19_Расчет_аналитики'!J3845,0)</f>
        <v/>
      </c>
      <c r="K3380">
        <f>IF('01_Вводные'!$B$234="Да",SUMIF('04_Продажи'!$B$28:$BI$28,'04_Продажи'!K$11,'19_Расчет_аналитики'!$B$3374:$BI$3374)*'19_Расчет_аналитики'!K3845,0)</f>
        <v/>
      </c>
      <c r="L3380">
        <f>IF('01_Вводные'!$B$234="Да",SUMIF('04_Продажи'!$B$28:$BI$28,'04_Продажи'!L$11,'19_Расчет_аналитики'!$B$3374:$BI$3374)*'19_Расчет_аналитики'!L3845,0)</f>
        <v/>
      </c>
      <c r="M3380">
        <f>IF('01_Вводные'!$B$234="Да",SUMIF('04_Продажи'!$B$28:$BI$28,'04_Продажи'!M$11,'19_Расчет_аналитики'!$B$3374:$BI$3374)*'19_Расчет_аналитики'!M3845,0)</f>
        <v/>
      </c>
      <c r="N3380">
        <f>IF('01_Вводные'!$B$234="Да",SUMIF('04_Продажи'!$B$28:$BI$28,'04_Продажи'!N$11,'19_Расчет_аналитики'!$B$3374:$BI$3374)*'19_Расчет_аналитики'!N3845,0)</f>
        <v/>
      </c>
      <c r="O3380">
        <f>IF('01_Вводные'!$B$234="Да",SUMIF('04_Продажи'!$B$28:$BI$28,'04_Продажи'!O$11,'19_Расчет_аналитики'!$B$3374:$BI$3374)*'19_Расчет_аналитики'!O3845,0)</f>
        <v/>
      </c>
      <c r="P3380">
        <f>IF('01_Вводные'!$B$234="Да",SUMIF('04_Продажи'!$B$28:$BI$28,'04_Продажи'!P$11,'19_Расчет_аналитики'!$B$3374:$BI$3374)*'19_Расчет_аналитики'!P3845,0)</f>
        <v/>
      </c>
      <c r="Q3380">
        <f>IF('01_Вводные'!$B$234="Да",SUMIF('04_Продажи'!$B$28:$BI$28,'04_Продажи'!Q$11,'19_Расчет_аналитики'!$B$3374:$BI$3374)*'19_Расчет_аналитики'!Q3845,0)</f>
        <v/>
      </c>
      <c r="R3380">
        <f>IF('01_Вводные'!$B$234="Да",SUMIF('04_Продажи'!$B$28:$BI$28,'04_Продажи'!R$11,'19_Расчет_аналитики'!$B$3374:$BI$3374)*'19_Расчет_аналитики'!R3845,0)</f>
        <v/>
      </c>
      <c r="S3380">
        <f>IF('01_Вводные'!$B$234="Да",SUMIF('04_Продажи'!$B$28:$BI$28,'04_Продажи'!S$11,'19_Расчет_аналитики'!$B$3374:$BI$3374)*'19_Расчет_аналитики'!S3845,0)</f>
        <v/>
      </c>
      <c r="T3380">
        <f>IF('01_Вводные'!$B$234="Да",SUMIF('04_Продажи'!$B$28:$BI$28,'04_Продажи'!T$11,'19_Расчет_аналитики'!$B$3374:$BI$3374)*'19_Расчет_аналитики'!T3845,0)</f>
        <v/>
      </c>
      <c r="U3380">
        <f>IF('01_Вводные'!$B$234="Да",SUMIF('04_Продажи'!$B$28:$BI$28,'04_Продажи'!U$11,'19_Расчет_аналитики'!$B$3374:$BI$3374)*'19_Расчет_аналитики'!U3845,0)</f>
        <v/>
      </c>
      <c r="V3380">
        <f>IF('01_Вводные'!$B$234="Да",SUMIF('04_Продажи'!$B$28:$BI$28,'04_Продажи'!V$11,'19_Расчет_аналитики'!$B$3374:$BI$3374)*'19_Расчет_аналитики'!V3845,0)</f>
        <v/>
      </c>
      <c r="W3380">
        <f>IF('01_Вводные'!$B$234="Да",SUMIF('04_Продажи'!$B$28:$BI$28,'04_Продажи'!W$11,'19_Расчет_аналитики'!$B$3374:$BI$3374)*'19_Расчет_аналитики'!W3845,0)</f>
        <v/>
      </c>
      <c r="X3380">
        <f>IF('01_Вводные'!$B$234="Да",SUMIF('04_Продажи'!$B$28:$BI$28,'04_Продажи'!X$11,'19_Расчет_аналитики'!$B$3374:$BI$3374)*'19_Расчет_аналитики'!X3845,0)</f>
        <v/>
      </c>
      <c r="Y3380">
        <f>IF('01_Вводные'!$B$234="Да",SUMIF('04_Продажи'!$B$28:$BI$28,'04_Продажи'!Y$11,'19_Расчет_аналитики'!$B$3374:$BI$3374)*'19_Расчет_аналитики'!Y3845,0)</f>
        <v/>
      </c>
      <c r="Z3380">
        <f>IF('01_Вводные'!$B$234="Да",SUMIF('04_Продажи'!$B$28:$BI$28,'04_Продажи'!Z$11,'19_Расчет_аналитики'!$B$3374:$BI$3374)*'19_Расчет_аналитики'!Z3845,0)</f>
        <v/>
      </c>
      <c r="AA3380">
        <f>IF('01_Вводные'!$B$234="Да",SUMIF('04_Продажи'!$B$28:$BI$28,'04_Продажи'!AA$11,'19_Расчет_аналитики'!$B$3374:$BI$3374)*'19_Расчет_аналитики'!AA3845,0)</f>
        <v/>
      </c>
      <c r="AB3380">
        <f>IF('01_Вводные'!$B$234="Да",SUMIF('04_Продажи'!$B$28:$BI$28,'04_Продажи'!AB$11,'19_Расчет_аналитики'!$B$3374:$BI$3374)*'19_Расчет_аналитики'!AB3845,0)</f>
        <v/>
      </c>
      <c r="AC3380">
        <f>IF('01_Вводные'!$B$234="Да",SUMIF('04_Продажи'!$B$28:$BI$28,'04_Продажи'!AC$11,'19_Расчет_аналитики'!$B$3374:$BI$3374)*'19_Расчет_аналитики'!AC3845,0)</f>
        <v/>
      </c>
      <c r="AD3380">
        <f>IF('01_Вводные'!$B$234="Да",SUMIF('04_Продажи'!$B$28:$BI$28,'04_Продажи'!AD$11,'19_Расчет_аналитики'!$B$3374:$BI$3374)*'19_Расчет_аналитики'!AD3845,0)</f>
        <v/>
      </c>
      <c r="AE3380">
        <f>IF('01_Вводные'!$B$234="Да",SUMIF('04_Продажи'!$B$28:$BI$28,'04_Продажи'!AE$11,'19_Расчет_аналитики'!$B$3374:$BI$3374)*'19_Расчет_аналитики'!AE3845,0)</f>
        <v/>
      </c>
      <c r="AF3380">
        <f>IF('01_Вводные'!$B$234="Да",SUMIF('04_Продажи'!$B$28:$BI$28,'04_Продажи'!AF$11,'19_Расчет_аналитики'!$B$3374:$BI$3374)*'19_Расчет_аналитики'!AF3845,0)</f>
        <v/>
      </c>
      <c r="AG3380">
        <f>IF('01_Вводные'!$B$234="Да",SUMIF('04_Продажи'!$B$28:$BI$28,'04_Продажи'!AG$11,'19_Расчет_аналитики'!$B$3374:$BI$3374)*'19_Расчет_аналитики'!AG3845,0)</f>
        <v/>
      </c>
      <c r="AH3380">
        <f>IF('01_Вводные'!$B$234="Да",SUMIF('04_Продажи'!$B$28:$BI$28,'04_Продажи'!AH$11,'19_Расчет_аналитики'!$B$3374:$BI$3374)*'19_Расчет_аналитики'!AH3845,0)</f>
        <v/>
      </c>
      <c r="AI3380">
        <f>IF('01_Вводные'!$B$234="Да",SUMIF('04_Продажи'!$B$28:$BI$28,'04_Продажи'!AI$11,'19_Расчет_аналитики'!$B$3374:$BI$3374)*'19_Расчет_аналитики'!AI3845,0)</f>
        <v/>
      </c>
      <c r="AJ3380">
        <f>IF('01_Вводные'!$B$234="Да",SUMIF('04_Продажи'!$B$28:$BI$28,'04_Продажи'!AJ$11,'19_Расчет_аналитики'!$B$3374:$BI$3374)*'19_Расчет_аналитики'!AJ3845,0)</f>
        <v/>
      </c>
      <c r="AK3380">
        <f>IF('01_Вводные'!$B$234="Да",SUMIF('04_Продажи'!$B$28:$BI$28,'04_Продажи'!AK$11,'19_Расчет_аналитики'!$B$3374:$BI$3374)*'19_Расчет_аналитики'!AK3845,0)</f>
        <v/>
      </c>
      <c r="AL3380">
        <f>IF('01_Вводные'!$B$234="Да",SUMIF('04_Продажи'!$B$28:$BI$28,'04_Продажи'!AL$11,'19_Расчет_аналитики'!$B$3374:$BI$3374)*'19_Расчет_аналитики'!AL3845,0)</f>
        <v/>
      </c>
      <c r="AM3380">
        <f>IF('01_Вводные'!$B$234="Да",SUMIF('04_Продажи'!$B$28:$BI$28,'04_Продажи'!AM$11,'19_Расчет_аналитики'!$B$3374:$BI$3374)*'19_Расчет_аналитики'!AM3845,0)</f>
        <v/>
      </c>
      <c r="AN3380">
        <f>IF('01_Вводные'!$B$234="Да",SUMIF('04_Продажи'!$B$28:$BI$28,'04_Продажи'!AN$11,'19_Расчет_аналитики'!$B$3374:$BI$3374)*'19_Расчет_аналитики'!AN3845,0)</f>
        <v/>
      </c>
      <c r="AO3380">
        <f>IF('01_Вводные'!$B$234="Да",SUMIF('04_Продажи'!$B$28:$BI$28,'04_Продажи'!AO$11,'19_Расчет_аналитики'!$B$3374:$BI$3374)*'19_Расчет_аналитики'!AO3845,0)</f>
        <v/>
      </c>
      <c r="AP3380">
        <f>IF('01_Вводные'!$B$234="Да",SUMIF('04_Продажи'!$B$28:$BI$28,'04_Продажи'!AP$11,'19_Расчет_аналитики'!$B$3374:$BI$3374)*'19_Расчет_аналитики'!AP3845,0)</f>
        <v/>
      </c>
      <c r="AQ3380">
        <f>IF('01_Вводные'!$B$234="Да",SUMIF('04_Продажи'!$B$28:$BI$28,'04_Продажи'!AQ$11,'19_Расчет_аналитики'!$B$3374:$BI$3374)*'19_Расчет_аналитики'!AQ3845,0)</f>
        <v/>
      </c>
      <c r="AR3380">
        <f>IF('01_Вводные'!$B$234="Да",SUMIF('04_Продажи'!$B$28:$BI$28,'04_Продажи'!AR$11,'19_Расчет_аналитики'!$B$3374:$BI$3374)*'19_Расчет_аналитики'!AR3845,0)</f>
        <v/>
      </c>
      <c r="AS3380">
        <f>IF('01_Вводные'!$B$234="Да",SUMIF('04_Продажи'!$B$28:$BI$28,'04_Продажи'!AS$11,'19_Расчет_аналитики'!$B$3374:$BI$3374)*'19_Расчет_аналитики'!AS3845,0)</f>
        <v/>
      </c>
      <c r="AT3380">
        <f>IF('01_Вводные'!$B$234="Да",SUMIF('04_Продажи'!$B$28:$BI$28,'04_Продажи'!AT$11,'19_Расчет_аналитики'!$B$3374:$BI$3374)*'19_Расчет_аналитики'!AT3845,0)</f>
        <v/>
      </c>
      <c r="AU3380">
        <f>IF('01_Вводные'!$B$234="Да",SUMIF('04_Продажи'!$B$28:$BI$28,'04_Продажи'!AU$11,'19_Расчет_аналитики'!$B$3374:$BI$3374)*'19_Расчет_аналитики'!AU3845,0)</f>
        <v/>
      </c>
      <c r="AV3380">
        <f>IF('01_Вводные'!$B$234="Да",SUMIF('04_Продажи'!$B$28:$BI$28,'04_Продажи'!AV$11,'19_Расчет_аналитики'!$B$3374:$BI$3374)*'19_Расчет_аналитики'!AV3845,0)</f>
        <v/>
      </c>
      <c r="AW3380">
        <f>IF('01_Вводные'!$B$234="Да",SUMIF('04_Продажи'!$B$28:$BI$28,'04_Продажи'!AW$11,'19_Расчет_аналитики'!$B$3374:$BI$3374)*'19_Расчет_аналитики'!AW3845,0)</f>
        <v/>
      </c>
      <c r="AX3380">
        <f>IF('01_Вводные'!$B$234="Да",SUMIF('04_Продажи'!$B$28:$BI$28,'04_Продажи'!AX$11,'19_Расчет_аналитики'!$B$3374:$BI$3374)*'19_Расчет_аналитики'!AX3845,0)</f>
        <v/>
      </c>
      <c r="AY3380">
        <f>IF('01_Вводные'!$B$234="Да",SUMIF('04_Продажи'!$B$28:$BI$28,'04_Продажи'!AY$11,'19_Расчет_аналитики'!$B$3374:$BI$3374)*'19_Расчет_аналитики'!AY3845,0)</f>
        <v/>
      </c>
      <c r="AZ3380">
        <f>IF('01_Вводные'!$B$234="Да",SUMIF('04_Продажи'!$B$28:$BI$28,'04_Продажи'!AZ$11,'19_Расчет_аналитики'!$B$3374:$BI$3374)*'19_Расчет_аналитики'!AZ3845,0)</f>
        <v/>
      </c>
      <c r="BA3380">
        <f>IF('01_Вводные'!$B$234="Да",SUMIF('04_Продажи'!$B$28:$BI$28,'04_Продажи'!BA$11,'19_Расчет_аналитики'!$B$3374:$BI$3374)*'19_Расчет_аналитики'!BA3845,0)</f>
        <v/>
      </c>
      <c r="BB3380">
        <f>IF('01_Вводные'!$B$234="Да",SUMIF('04_Продажи'!$B$28:$BI$28,'04_Продажи'!BB$11,'19_Расчет_аналитики'!$B$3374:$BI$3374)*'19_Расчет_аналитики'!BB3845,0)</f>
        <v/>
      </c>
      <c r="BC3380">
        <f>IF('01_Вводные'!$B$234="Да",SUMIF('04_Продажи'!$B$28:$BI$28,'04_Продажи'!BC$11,'19_Расчет_аналитики'!$B$3374:$BI$3374)*'19_Расчет_аналитики'!BC3845,0)</f>
        <v/>
      </c>
      <c r="BD3380">
        <f>IF('01_Вводные'!$B$234="Да",SUMIF('04_Продажи'!$B$28:$BI$28,'04_Продажи'!BD$11,'19_Расчет_аналитики'!$B$3374:$BI$3374)*'19_Расчет_аналитики'!BD3845,0)</f>
        <v/>
      </c>
      <c r="BE3380">
        <f>IF('01_Вводные'!$B$234="Да",SUMIF('04_Продажи'!$B$28:$BI$28,'04_Продажи'!BE$11,'19_Расчет_аналитики'!$B$3374:$BI$3374)*'19_Расчет_аналитики'!BE3845,0)</f>
        <v/>
      </c>
      <c r="BF3380">
        <f>IF('01_Вводные'!$B$234="Да",SUMIF('04_Продажи'!$B$28:$BI$28,'04_Продажи'!BF$11,'19_Расчет_аналитики'!$B$3374:$BI$3374)*'19_Расчет_аналитики'!BF3845,0)</f>
        <v/>
      </c>
      <c r="BG3380">
        <f>IF('01_Вводные'!$B$234="Да",SUMIF('04_Продажи'!$B$28:$BI$28,'04_Продажи'!BG$11,'19_Расчет_аналитики'!$B$3374:$BI$3374)*'19_Расчет_аналитики'!BG3845,0)</f>
        <v/>
      </c>
      <c r="BH3380">
        <f>IF('01_Вводные'!$B$234="Да",SUMIF('04_Продажи'!$B$28:$BI$28,'04_Продажи'!BH$11,'19_Расчет_аналитики'!$B$3374:$BI$3374)*'19_Расчет_аналитики'!BH3845,0)</f>
        <v/>
      </c>
      <c r="BI3380">
        <f>IF('01_Вводные'!$B$234="Да",SUMIF('04_Продажи'!$B$28:$BI$28,'04_Продажи'!BI$11,'19_Расчет_аналитики'!$B$3374:$BI$3374)*'19_Расчет_аналитики'!BI3845,0)</f>
        <v/>
      </c>
    </row>
    <row r="3381"/>
    <row r="3382">
      <c r="B3382">
        <f>IF('01_Вводные'!$B$234="Да",'19_Расчет_аналитики'!B3380+'04_Продажи'!B22,0)</f>
        <v/>
      </c>
      <c r="C3382">
        <f>IF('01_Вводные'!$B$234="Да",'19_Расчет_аналитики'!C3380+'04_Продажи'!C22,0)</f>
        <v/>
      </c>
      <c r="D3382">
        <f>IF('01_Вводные'!$B$234="Да",'19_Расчет_аналитики'!D3380+'04_Продажи'!D22,0)</f>
        <v/>
      </c>
      <c r="E3382">
        <f>IF('01_Вводные'!$B$234="Да",'19_Расчет_аналитики'!E3380+'04_Продажи'!E22,0)</f>
        <v/>
      </c>
      <c r="F3382">
        <f>IF('01_Вводные'!$B$234="Да",'19_Расчет_аналитики'!F3380+'04_Продажи'!F22,0)</f>
        <v/>
      </c>
      <c r="G3382">
        <f>IF('01_Вводные'!$B$234="Да",'19_Расчет_аналитики'!G3380+'04_Продажи'!G22,0)</f>
        <v/>
      </c>
      <c r="H3382">
        <f>IF('01_Вводные'!$B$234="Да",'19_Расчет_аналитики'!H3380+'04_Продажи'!H22,0)</f>
        <v/>
      </c>
      <c r="I3382">
        <f>IF('01_Вводные'!$B$234="Да",'19_Расчет_аналитики'!I3380+'04_Продажи'!I22,0)</f>
        <v/>
      </c>
      <c r="J3382">
        <f>IF('01_Вводные'!$B$234="Да",'19_Расчет_аналитики'!J3380+'04_Продажи'!J22,0)</f>
        <v/>
      </c>
      <c r="K3382">
        <f>IF('01_Вводные'!$B$234="Да",'19_Расчет_аналитики'!K3380+'04_Продажи'!K22,0)</f>
        <v/>
      </c>
      <c r="L3382">
        <f>IF('01_Вводные'!$B$234="Да",'19_Расчет_аналитики'!L3380+'04_Продажи'!L22,0)</f>
        <v/>
      </c>
      <c r="M3382">
        <f>IF('01_Вводные'!$B$234="Да",'19_Расчет_аналитики'!M3380+'04_Продажи'!M22,0)</f>
        <v/>
      </c>
      <c r="N3382">
        <f>IF('01_Вводные'!$B$234="Да",'19_Расчет_аналитики'!N3380+'04_Продажи'!N22,0)</f>
        <v/>
      </c>
      <c r="O3382">
        <f>IF('01_Вводные'!$B$234="Да",'19_Расчет_аналитики'!O3380+'04_Продажи'!O22,0)</f>
        <v/>
      </c>
      <c r="P3382">
        <f>IF('01_Вводные'!$B$234="Да",'19_Расчет_аналитики'!P3380+'04_Продажи'!P22,0)</f>
        <v/>
      </c>
      <c r="Q3382">
        <f>IF('01_Вводные'!$B$234="Да",'19_Расчет_аналитики'!Q3380+'04_Продажи'!Q22,0)</f>
        <v/>
      </c>
      <c r="R3382">
        <f>IF('01_Вводные'!$B$234="Да",'19_Расчет_аналитики'!R3380+'04_Продажи'!R22,0)</f>
        <v/>
      </c>
      <c r="S3382">
        <f>IF('01_Вводные'!$B$234="Да",'19_Расчет_аналитики'!S3380+'04_Продажи'!S22,0)</f>
        <v/>
      </c>
      <c r="T3382">
        <f>IF('01_Вводные'!$B$234="Да",'19_Расчет_аналитики'!T3380+'04_Продажи'!T22,0)</f>
        <v/>
      </c>
      <c r="U3382">
        <f>IF('01_Вводные'!$B$234="Да",'19_Расчет_аналитики'!U3380+'04_Продажи'!U22,0)</f>
        <v/>
      </c>
      <c r="V3382">
        <f>IF('01_Вводные'!$B$234="Да",'19_Расчет_аналитики'!V3380+'04_Продажи'!V22,0)</f>
        <v/>
      </c>
      <c r="W3382">
        <f>IF('01_Вводные'!$B$234="Да",'19_Расчет_аналитики'!W3380+'04_Продажи'!W22,0)</f>
        <v/>
      </c>
      <c r="X3382">
        <f>IF('01_Вводные'!$B$234="Да",'19_Расчет_аналитики'!X3380+'04_Продажи'!X22,0)</f>
        <v/>
      </c>
      <c r="Y3382">
        <f>IF('01_Вводные'!$B$234="Да",'19_Расчет_аналитики'!Y3380+'04_Продажи'!Y22,0)</f>
        <v/>
      </c>
      <c r="Z3382">
        <f>IF('01_Вводные'!$B$234="Да",'19_Расчет_аналитики'!Z3380+'04_Продажи'!Z22,0)</f>
        <v/>
      </c>
      <c r="AA3382">
        <f>IF('01_Вводные'!$B$234="Да",'19_Расчет_аналитики'!AA3380+'04_Продажи'!AA22,0)</f>
        <v/>
      </c>
      <c r="AB3382">
        <f>IF('01_Вводные'!$B$234="Да",'19_Расчет_аналитики'!AB3380+'04_Продажи'!AB22,0)</f>
        <v/>
      </c>
      <c r="AC3382">
        <f>IF('01_Вводные'!$B$234="Да",'19_Расчет_аналитики'!AC3380+'04_Продажи'!AC22,0)</f>
        <v/>
      </c>
      <c r="AD3382">
        <f>IF('01_Вводные'!$B$234="Да",'19_Расчет_аналитики'!AD3380+'04_Продажи'!AD22,0)</f>
        <v/>
      </c>
      <c r="AE3382">
        <f>IF('01_Вводные'!$B$234="Да",'19_Расчет_аналитики'!AE3380+'04_Продажи'!AE22,0)</f>
        <v/>
      </c>
      <c r="AF3382">
        <f>IF('01_Вводные'!$B$234="Да",'19_Расчет_аналитики'!AF3380+'04_Продажи'!AF22,0)</f>
        <v/>
      </c>
      <c r="AG3382">
        <f>IF('01_Вводные'!$B$234="Да",'19_Расчет_аналитики'!AG3380+'04_Продажи'!AG22,0)</f>
        <v/>
      </c>
      <c r="AH3382">
        <f>IF('01_Вводные'!$B$234="Да",'19_Расчет_аналитики'!AH3380+'04_Продажи'!AH22,0)</f>
        <v/>
      </c>
      <c r="AI3382">
        <f>IF('01_Вводные'!$B$234="Да",'19_Расчет_аналитики'!AI3380+'04_Продажи'!AI22,0)</f>
        <v/>
      </c>
      <c r="AJ3382">
        <f>IF('01_Вводные'!$B$234="Да",'19_Расчет_аналитики'!AJ3380+'04_Продажи'!AJ22,0)</f>
        <v/>
      </c>
      <c r="AK3382">
        <f>IF('01_Вводные'!$B$234="Да",'19_Расчет_аналитики'!AK3380+'04_Продажи'!AK22,0)</f>
        <v/>
      </c>
      <c r="AL3382">
        <f>IF('01_Вводные'!$B$234="Да",'19_Расчет_аналитики'!AL3380+'04_Продажи'!AL22,0)</f>
        <v/>
      </c>
      <c r="AM3382">
        <f>IF('01_Вводные'!$B$234="Да",'19_Расчет_аналитики'!AM3380+'04_Продажи'!AM22,0)</f>
        <v/>
      </c>
      <c r="AN3382">
        <f>IF('01_Вводные'!$B$234="Да",'19_Расчет_аналитики'!AN3380+'04_Продажи'!AN22,0)</f>
        <v/>
      </c>
      <c r="AO3382">
        <f>IF('01_Вводные'!$B$234="Да",'19_Расчет_аналитики'!AO3380+'04_Продажи'!AO22,0)</f>
        <v/>
      </c>
      <c r="AP3382">
        <f>IF('01_Вводные'!$B$234="Да",'19_Расчет_аналитики'!AP3380+'04_Продажи'!AP22,0)</f>
        <v/>
      </c>
      <c r="AQ3382">
        <f>IF('01_Вводные'!$B$234="Да",'19_Расчет_аналитики'!AQ3380+'04_Продажи'!AQ22,0)</f>
        <v/>
      </c>
      <c r="AR3382">
        <f>IF('01_Вводные'!$B$234="Да",'19_Расчет_аналитики'!AR3380+'04_Продажи'!AR22,0)</f>
        <v/>
      </c>
      <c r="AS3382">
        <f>IF('01_Вводные'!$B$234="Да",'19_Расчет_аналитики'!AS3380+'04_Продажи'!AS22,0)</f>
        <v/>
      </c>
      <c r="AT3382">
        <f>IF('01_Вводные'!$B$234="Да",'19_Расчет_аналитики'!AT3380+'04_Продажи'!AT22,0)</f>
        <v/>
      </c>
      <c r="AU3382">
        <f>IF('01_Вводные'!$B$234="Да",'19_Расчет_аналитики'!AU3380+'04_Продажи'!AU22,0)</f>
        <v/>
      </c>
      <c r="AV3382">
        <f>IF('01_Вводные'!$B$234="Да",'19_Расчет_аналитики'!AV3380+'04_Продажи'!AV22,0)</f>
        <v/>
      </c>
      <c r="AW3382">
        <f>IF('01_Вводные'!$B$234="Да",'19_Расчет_аналитики'!AW3380+'04_Продажи'!AW22,0)</f>
        <v/>
      </c>
      <c r="AX3382">
        <f>IF('01_Вводные'!$B$234="Да",'19_Расчет_аналитики'!AX3380+'04_Продажи'!AX22,0)</f>
        <v/>
      </c>
      <c r="AY3382">
        <f>IF('01_Вводные'!$B$234="Да",'19_Расчет_аналитики'!AY3380+'04_Продажи'!AY22,0)</f>
        <v/>
      </c>
      <c r="AZ3382">
        <f>IF('01_Вводные'!$B$234="Да",'19_Расчет_аналитики'!AZ3380+'04_Продажи'!AZ22,0)</f>
        <v/>
      </c>
      <c r="BA3382">
        <f>IF('01_Вводные'!$B$234="Да",'19_Расчет_аналитики'!BA3380+'04_Продажи'!BA22,0)</f>
        <v/>
      </c>
      <c r="BB3382">
        <f>IF('01_Вводные'!$B$234="Да",'19_Расчет_аналитики'!BB3380+'04_Продажи'!BB22,0)</f>
        <v/>
      </c>
      <c r="BC3382">
        <f>IF('01_Вводные'!$B$234="Да",'19_Расчет_аналитики'!BC3380+'04_Продажи'!BC22,0)</f>
        <v/>
      </c>
      <c r="BD3382">
        <f>IF('01_Вводные'!$B$234="Да",'19_Расчет_аналитики'!BD3380+'04_Продажи'!BD22,0)</f>
        <v/>
      </c>
      <c r="BE3382">
        <f>IF('01_Вводные'!$B$234="Да",'19_Расчет_аналитики'!BE3380+'04_Продажи'!BE22,0)</f>
        <v/>
      </c>
      <c r="BF3382">
        <f>IF('01_Вводные'!$B$234="Да",'19_Расчет_аналитики'!BF3380+'04_Продажи'!BF22,0)</f>
        <v/>
      </c>
      <c r="BG3382">
        <f>IF('01_Вводные'!$B$234="Да",'19_Расчет_аналитики'!BG3380+'04_Продажи'!BG22,0)</f>
        <v/>
      </c>
      <c r="BH3382">
        <f>IF('01_Вводные'!$B$234="Да",'19_Расчет_аналитики'!BH3380+'04_Продажи'!BH22,0)</f>
        <v/>
      </c>
      <c r="BI3382">
        <f>IF('01_Вводные'!$B$234="Да",'19_Расчет_аналитики'!BI3380+'04_Продажи'!BI22,0)</f>
        <v/>
      </c>
    </row>
    <row r="3383"/>
    <row r="3384">
      <c r="C3384">
        <f>IF('01_Вводные'!$B$234="Да",'19_Расчет_аналитики'!C3374*'18_Календарь_тарифы'!C6,0)</f>
        <v/>
      </c>
      <c r="D3384">
        <f>IF('01_Вводные'!$B$234="Да",'19_Расчет_аналитики'!D3374*'18_Календарь_тарифы'!D6,0)</f>
        <v/>
      </c>
      <c r="E3384">
        <f>IF('01_Вводные'!$B$234="Да",'19_Расчет_аналитики'!E3374*'18_Календарь_тарифы'!E6,0)</f>
        <v/>
      </c>
      <c r="F3384">
        <f>IF('01_Вводные'!$B$234="Да",'19_Расчет_аналитики'!F3374*'18_Календарь_тарифы'!F6,0)</f>
        <v/>
      </c>
      <c r="G3384">
        <f>IF('01_Вводные'!$B$234="Да",'19_Расчет_аналитики'!G3374*'18_Календарь_тарифы'!G6,0)</f>
        <v/>
      </c>
      <c r="H3384">
        <f>IF('01_Вводные'!$B$234="Да",'19_Расчет_аналитики'!H3374*'18_Календарь_тарифы'!H6,0)</f>
        <v/>
      </c>
      <c r="I3384">
        <f>IF('01_Вводные'!$B$234="Да",'19_Расчет_аналитики'!I3374*'18_Календарь_тарифы'!I6,0)</f>
        <v/>
      </c>
      <c r="J3384">
        <f>IF('01_Вводные'!$B$234="Да",'19_Расчет_аналитики'!J3374*'18_Календарь_тарифы'!J6,0)</f>
        <v/>
      </c>
      <c r="K3384">
        <f>IF('01_Вводные'!$B$234="Да",'19_Расчет_аналитики'!K3374*'18_Календарь_тарифы'!K6,0)</f>
        <v/>
      </c>
      <c r="L3384">
        <f>IF('01_Вводные'!$B$234="Да",'19_Расчет_аналитики'!L3374*'18_Календарь_тарифы'!L6,0)</f>
        <v/>
      </c>
      <c r="M3384">
        <f>IF('01_Вводные'!$B$234="Да",'19_Расчет_аналитики'!M3374*'18_Календарь_тарифы'!M6,0)</f>
        <v/>
      </c>
      <c r="N3384">
        <f>IF('01_Вводные'!$B$234="Да",'19_Расчет_аналитики'!N3374*'18_Календарь_тарифы'!N6,0)</f>
        <v/>
      </c>
      <c r="O3384">
        <f>IF('01_Вводные'!$B$234="Да",'19_Расчет_аналитики'!O3374*'18_Календарь_тарифы'!O6,0)</f>
        <v/>
      </c>
      <c r="P3384">
        <f>IF('01_Вводные'!$B$234="Да",'19_Расчет_аналитики'!P3374*'18_Календарь_тарифы'!P6,0)</f>
        <v/>
      </c>
      <c r="Q3384">
        <f>IF('01_Вводные'!$B$234="Да",'19_Расчет_аналитики'!Q3374*'18_Календарь_тарифы'!Q6,0)</f>
        <v/>
      </c>
      <c r="R3384">
        <f>IF('01_Вводные'!$B$234="Да",'19_Расчет_аналитики'!R3374*'18_Календарь_тарифы'!R6,0)</f>
        <v/>
      </c>
      <c r="S3384">
        <f>IF('01_Вводные'!$B$234="Да",'19_Расчет_аналитики'!S3374*'18_Календарь_тарифы'!S6,0)</f>
        <v/>
      </c>
      <c r="T3384">
        <f>IF('01_Вводные'!$B$234="Да",'19_Расчет_аналитики'!T3374*'18_Календарь_тарифы'!T6,0)</f>
        <v/>
      </c>
      <c r="U3384">
        <f>IF('01_Вводные'!$B$234="Да",'19_Расчет_аналитики'!U3374*'18_Календарь_тарифы'!U6,0)</f>
        <v/>
      </c>
      <c r="V3384">
        <f>IF('01_Вводные'!$B$234="Да",'19_Расчет_аналитики'!V3374*'18_Календарь_тарифы'!V6,0)</f>
        <v/>
      </c>
      <c r="W3384">
        <f>IF('01_Вводные'!$B$234="Да",'19_Расчет_аналитики'!W3374*'18_Календарь_тарифы'!W6,0)</f>
        <v/>
      </c>
      <c r="X3384">
        <f>IF('01_Вводные'!$B$234="Да",'19_Расчет_аналитики'!X3374*'18_Календарь_тарифы'!X6,0)</f>
        <v/>
      </c>
      <c r="Y3384">
        <f>IF('01_Вводные'!$B$234="Да",'19_Расчет_аналитики'!Y3374*'18_Календарь_тарифы'!Y6,0)</f>
        <v/>
      </c>
      <c r="Z3384">
        <f>IF('01_Вводные'!$B$234="Да",'19_Расчет_аналитики'!Z3374*'18_Календарь_тарифы'!Z6,0)</f>
        <v/>
      </c>
      <c r="AA3384">
        <f>IF('01_Вводные'!$B$234="Да",'19_Расчет_аналитики'!AA3374*'18_Календарь_тарифы'!AA6,0)</f>
        <v/>
      </c>
      <c r="AB3384">
        <f>IF('01_Вводные'!$B$234="Да",'19_Расчет_аналитики'!AB3374*'18_Календарь_тарифы'!AB6,0)</f>
        <v/>
      </c>
      <c r="AC3384">
        <f>IF('01_Вводные'!$B$234="Да",'19_Расчет_аналитики'!AC3374*'18_Календарь_тарифы'!AC6,0)</f>
        <v/>
      </c>
      <c r="AD3384">
        <f>IF('01_Вводные'!$B$234="Да",'19_Расчет_аналитики'!AD3374*'18_Календарь_тарифы'!AD6,0)</f>
        <v/>
      </c>
      <c r="AE3384">
        <f>IF('01_Вводные'!$B$234="Да",'19_Расчет_аналитики'!AE3374*'18_Календарь_тарифы'!AE6,0)</f>
        <v/>
      </c>
      <c r="AF3384">
        <f>IF('01_Вводные'!$B$234="Да",'19_Расчет_аналитики'!AF3374*'18_Календарь_тарифы'!AF6,0)</f>
        <v/>
      </c>
      <c r="AG3384">
        <f>IF('01_Вводные'!$B$234="Да",'19_Расчет_аналитики'!AG3374*'18_Календарь_тарифы'!AG6,0)</f>
        <v/>
      </c>
      <c r="AH3384">
        <f>IF('01_Вводные'!$B$234="Да",'19_Расчет_аналитики'!AH3374*'18_Календарь_тарифы'!AH6,0)</f>
        <v/>
      </c>
      <c r="AI3384">
        <f>IF('01_Вводные'!$B$234="Да",'19_Расчет_аналитики'!AI3374*'18_Календарь_тарифы'!AI6,0)</f>
        <v/>
      </c>
      <c r="AJ3384">
        <f>IF('01_Вводные'!$B$234="Да",'19_Расчет_аналитики'!AJ3374*'18_Календарь_тарифы'!AJ6,0)</f>
        <v/>
      </c>
      <c r="AK3384">
        <f>IF('01_Вводные'!$B$234="Да",'19_Расчет_аналитики'!AK3374*'18_Календарь_тарифы'!AK6,0)</f>
        <v/>
      </c>
      <c r="AL3384">
        <f>IF('01_Вводные'!$B$234="Да",'19_Расчет_аналитики'!AL3374*'18_Календарь_тарифы'!AL6,0)</f>
        <v/>
      </c>
      <c r="AM3384">
        <f>IF('01_Вводные'!$B$234="Да",'19_Расчет_аналитики'!AM3374*'18_Календарь_тарифы'!AM6,0)</f>
        <v/>
      </c>
      <c r="AN3384">
        <f>IF('01_Вводные'!$B$234="Да",'19_Расчет_аналитики'!AN3374*'18_Календарь_тарифы'!AN6,0)</f>
        <v/>
      </c>
      <c r="AO3384">
        <f>IF('01_Вводные'!$B$234="Да",'19_Расчет_аналитики'!AO3374*'18_Календарь_тарифы'!AO6,0)</f>
        <v/>
      </c>
      <c r="AP3384">
        <f>IF('01_Вводные'!$B$234="Да",'19_Расчет_аналитики'!AP3374*'18_Календарь_тарифы'!AP6,0)</f>
        <v/>
      </c>
      <c r="AQ3384">
        <f>IF('01_Вводные'!$B$234="Да",'19_Расчет_аналитики'!AQ3374*'18_Календарь_тарифы'!AQ6,0)</f>
        <v/>
      </c>
      <c r="AR3384">
        <f>IF('01_Вводные'!$B$234="Да",'19_Расчет_аналитики'!AR3374*'18_Календарь_тарифы'!AR6,0)</f>
        <v/>
      </c>
      <c r="AS3384">
        <f>IF('01_Вводные'!$B$234="Да",'19_Расчет_аналитики'!AS3374*'18_Календарь_тарифы'!AS6,0)</f>
        <v/>
      </c>
      <c r="AT3384">
        <f>IF('01_Вводные'!$B$234="Да",'19_Расчет_аналитики'!AT3374*'18_Календарь_тарифы'!AT6,0)</f>
        <v/>
      </c>
      <c r="AU3384">
        <f>IF('01_Вводные'!$B$234="Да",'19_Расчет_аналитики'!AU3374*'18_Календарь_тарифы'!AU6,0)</f>
        <v/>
      </c>
      <c r="AV3384">
        <f>IF('01_Вводные'!$B$234="Да",'19_Расчет_аналитики'!AV3374*'18_Календарь_тарифы'!AV6,0)</f>
        <v/>
      </c>
      <c r="AW3384">
        <f>IF('01_Вводные'!$B$234="Да",'19_Расчет_аналитики'!AW3374*'18_Календарь_тарифы'!AW6,0)</f>
        <v/>
      </c>
      <c r="AX3384">
        <f>IF('01_Вводные'!$B$234="Да",'19_Расчет_аналитики'!AX3374*'18_Календарь_тарифы'!AX6,0)</f>
        <v/>
      </c>
      <c r="AY3384">
        <f>IF('01_Вводные'!$B$234="Да",'19_Расчет_аналитики'!AY3374*'18_Календарь_тарифы'!AY6,0)</f>
        <v/>
      </c>
      <c r="AZ3384">
        <f>IF('01_Вводные'!$B$234="Да",'19_Расчет_аналитики'!AZ3374*'18_Календарь_тарифы'!AZ6,0)</f>
        <v/>
      </c>
      <c r="BA3384">
        <f>IF('01_Вводные'!$B$234="Да",'19_Расчет_аналитики'!BA3374*'18_Календарь_тарифы'!BA6,0)</f>
        <v/>
      </c>
      <c r="BB3384">
        <f>IF('01_Вводные'!$B$234="Да",'19_Расчет_аналитики'!BB3374*'18_Календарь_тарифы'!BB6,0)</f>
        <v/>
      </c>
      <c r="BC3384">
        <f>IF('01_Вводные'!$B$234="Да",'19_Расчет_аналитики'!BC3374*'18_Календарь_тарифы'!BC6,0)</f>
        <v/>
      </c>
      <c r="BD3384">
        <f>IF('01_Вводные'!$B$234="Да",'19_Расчет_аналитики'!BD3374*'18_Календарь_тарифы'!BD6,0)</f>
        <v/>
      </c>
      <c r="BE3384">
        <f>IF('01_Вводные'!$B$234="Да",'19_Расчет_аналитики'!BE3374*'18_Календарь_тарифы'!BE6,0)</f>
        <v/>
      </c>
      <c r="BF3384">
        <f>IF('01_Вводные'!$B$234="Да",'19_Расчет_аналитики'!BF3374*'18_Календарь_тарифы'!BF6,0)</f>
        <v/>
      </c>
      <c r="BG3384">
        <f>IF('01_Вводные'!$B$234="Да",'19_Расчет_аналитики'!BG3374*'18_Календарь_тарифы'!BG6,0)</f>
        <v/>
      </c>
      <c r="BH3384">
        <f>IF('01_Вводные'!$B$234="Да",'19_Расчет_аналитики'!BH3374*'18_Календарь_тарифы'!BH6,0)</f>
        <v/>
      </c>
      <c r="BI3384">
        <f>IF('01_Вводные'!$B$234="Да",'19_Расчет_аналитики'!BI3374*'18_Календарь_тарифы'!BI6,0)</f>
        <v/>
      </c>
    </row>
    <row r="3385">
      <c r="C3385">
        <f>IF('01_Вводные'!$B$234="Да",'19_Расчет_аналитики'!C3384/(1+'01_Вводные'!$B$58),0)</f>
        <v/>
      </c>
      <c r="D3385">
        <f>IF('01_Вводные'!$B$234="Да",'19_Расчет_аналитики'!D3384/(1+'01_Вводные'!$B$58),0)</f>
        <v/>
      </c>
      <c r="E3385">
        <f>IF('01_Вводные'!$B$234="Да",'19_Расчет_аналитики'!E3384/(1+'01_Вводные'!$B$58),0)</f>
        <v/>
      </c>
      <c r="F3385">
        <f>IF('01_Вводные'!$B$234="Да",'19_Расчет_аналитики'!F3384/(1+'01_Вводные'!$B$58),0)</f>
        <v/>
      </c>
      <c r="G3385">
        <f>IF('01_Вводные'!$B$234="Да",'19_Расчет_аналитики'!G3384/(1+'01_Вводные'!$B$58),0)</f>
        <v/>
      </c>
      <c r="H3385">
        <f>IF('01_Вводные'!$B$234="Да",'19_Расчет_аналитики'!H3384/(1+'01_Вводные'!$B$58),0)</f>
        <v/>
      </c>
      <c r="I3385">
        <f>IF('01_Вводные'!$B$234="Да",'19_Расчет_аналитики'!I3384/(1+'01_Вводные'!$B$58),0)</f>
        <v/>
      </c>
      <c r="J3385">
        <f>IF('01_Вводные'!$B$234="Да",'19_Расчет_аналитики'!J3384/(1+'01_Вводные'!$B$58),0)</f>
        <v/>
      </c>
      <c r="K3385">
        <f>IF('01_Вводные'!$B$234="Да",'19_Расчет_аналитики'!K3384/(1+'01_Вводные'!$B$58),0)</f>
        <v/>
      </c>
      <c r="L3385">
        <f>IF('01_Вводные'!$B$234="Да",'19_Расчет_аналитики'!L3384/(1+'01_Вводные'!$B$58),0)</f>
        <v/>
      </c>
      <c r="M3385">
        <f>IF('01_Вводные'!$B$234="Да",'19_Расчет_аналитики'!M3384/(1+'01_Вводные'!$B$58),0)</f>
        <v/>
      </c>
      <c r="N3385">
        <f>IF('01_Вводные'!$B$234="Да",'19_Расчет_аналитики'!N3384/(1+'01_Вводные'!$B$58),0)</f>
        <v/>
      </c>
      <c r="O3385">
        <f>IF('01_Вводные'!$B$234="Да",'19_Расчет_аналитики'!O3384/(1+'01_Вводные'!$B$58),0)</f>
        <v/>
      </c>
      <c r="P3385">
        <f>IF('01_Вводные'!$B$234="Да",'19_Расчет_аналитики'!P3384/(1+'01_Вводные'!$B$58),0)</f>
        <v/>
      </c>
      <c r="Q3385">
        <f>IF('01_Вводные'!$B$234="Да",'19_Расчет_аналитики'!Q3384/(1+'01_Вводные'!$B$58),0)</f>
        <v/>
      </c>
      <c r="R3385">
        <f>IF('01_Вводные'!$B$234="Да",'19_Расчет_аналитики'!R3384/(1+'01_Вводные'!$B$58),0)</f>
        <v/>
      </c>
      <c r="S3385">
        <f>IF('01_Вводные'!$B$234="Да",'19_Расчет_аналитики'!S3384/(1+'01_Вводные'!$B$58),0)</f>
        <v/>
      </c>
      <c r="T3385">
        <f>IF('01_Вводные'!$B$234="Да",'19_Расчет_аналитики'!T3384/(1+'01_Вводные'!$B$58),0)</f>
        <v/>
      </c>
      <c r="U3385">
        <f>IF('01_Вводные'!$B$234="Да",'19_Расчет_аналитики'!U3384/(1+'01_Вводные'!$B$58),0)</f>
        <v/>
      </c>
      <c r="V3385">
        <f>IF('01_Вводные'!$B$234="Да",'19_Расчет_аналитики'!V3384/(1+'01_Вводные'!$B$58),0)</f>
        <v/>
      </c>
      <c r="W3385">
        <f>IF('01_Вводные'!$B$234="Да",'19_Расчет_аналитики'!W3384/(1+'01_Вводные'!$B$58),0)</f>
        <v/>
      </c>
      <c r="X3385">
        <f>IF('01_Вводные'!$B$234="Да",'19_Расчет_аналитики'!X3384/(1+'01_Вводные'!$B$58),0)</f>
        <v/>
      </c>
      <c r="Y3385">
        <f>IF('01_Вводные'!$B$234="Да",'19_Расчет_аналитики'!Y3384/(1+'01_Вводные'!$B$58),0)</f>
        <v/>
      </c>
      <c r="Z3385">
        <f>IF('01_Вводные'!$B$234="Да",'19_Расчет_аналитики'!Z3384/(1+'01_Вводные'!$B$58),0)</f>
        <v/>
      </c>
      <c r="AA3385">
        <f>IF('01_Вводные'!$B$234="Да",'19_Расчет_аналитики'!AA3384/(1+'01_Вводные'!$B$58),0)</f>
        <v/>
      </c>
      <c r="AB3385">
        <f>IF('01_Вводные'!$B$234="Да",'19_Расчет_аналитики'!AB3384/(1+'01_Вводные'!$B$58),0)</f>
        <v/>
      </c>
      <c r="AC3385">
        <f>IF('01_Вводные'!$B$234="Да",'19_Расчет_аналитики'!AC3384/(1+'01_Вводные'!$B$58),0)</f>
        <v/>
      </c>
      <c r="AD3385">
        <f>IF('01_Вводные'!$B$234="Да",'19_Расчет_аналитики'!AD3384/(1+'01_Вводные'!$B$58),0)</f>
        <v/>
      </c>
      <c r="AE3385">
        <f>IF('01_Вводные'!$B$234="Да",'19_Расчет_аналитики'!AE3384/(1+'01_Вводные'!$B$58),0)</f>
        <v/>
      </c>
      <c r="AF3385">
        <f>IF('01_Вводные'!$B$234="Да",'19_Расчет_аналитики'!AF3384/(1+'01_Вводные'!$B$58),0)</f>
        <v/>
      </c>
      <c r="AG3385">
        <f>IF('01_Вводные'!$B$234="Да",'19_Расчет_аналитики'!AG3384/(1+'01_Вводные'!$B$58),0)</f>
        <v/>
      </c>
      <c r="AH3385">
        <f>IF('01_Вводные'!$B$234="Да",'19_Расчет_аналитики'!AH3384/(1+'01_Вводные'!$B$58),0)</f>
        <v/>
      </c>
      <c r="AI3385">
        <f>IF('01_Вводные'!$B$234="Да",'19_Расчет_аналитики'!AI3384/(1+'01_Вводные'!$B$58),0)</f>
        <v/>
      </c>
      <c r="AJ3385">
        <f>IF('01_Вводные'!$B$234="Да",'19_Расчет_аналитики'!AJ3384/(1+'01_Вводные'!$B$58),0)</f>
        <v/>
      </c>
      <c r="AK3385">
        <f>IF('01_Вводные'!$B$234="Да",'19_Расчет_аналитики'!AK3384/(1+'01_Вводные'!$B$58),0)</f>
        <v/>
      </c>
      <c r="AL3385">
        <f>IF('01_Вводные'!$B$234="Да",'19_Расчет_аналитики'!AL3384/(1+'01_Вводные'!$B$58),0)</f>
        <v/>
      </c>
      <c r="AM3385">
        <f>IF('01_Вводные'!$B$234="Да",'19_Расчет_аналитики'!AM3384/(1+'01_Вводные'!$B$58),0)</f>
        <v/>
      </c>
      <c r="AN3385">
        <f>IF('01_Вводные'!$B$234="Да",'19_Расчет_аналитики'!AN3384/(1+'01_Вводные'!$B$58),0)</f>
        <v/>
      </c>
      <c r="AO3385">
        <f>IF('01_Вводные'!$B$234="Да",'19_Расчет_аналитики'!AO3384/(1+'01_Вводные'!$B$58),0)</f>
        <v/>
      </c>
      <c r="AP3385">
        <f>IF('01_Вводные'!$B$234="Да",'19_Расчет_аналитики'!AP3384/(1+'01_Вводные'!$B$58),0)</f>
        <v/>
      </c>
      <c r="AQ3385">
        <f>IF('01_Вводные'!$B$234="Да",'19_Расчет_аналитики'!AQ3384/(1+'01_Вводные'!$B$58),0)</f>
        <v/>
      </c>
      <c r="AR3385">
        <f>IF('01_Вводные'!$B$234="Да",'19_Расчет_аналитики'!AR3384/(1+'01_Вводные'!$B$58),0)</f>
        <v/>
      </c>
      <c r="AS3385">
        <f>IF('01_Вводные'!$B$234="Да",'19_Расчет_аналитики'!AS3384/(1+'01_Вводные'!$B$58),0)</f>
        <v/>
      </c>
      <c r="AT3385">
        <f>IF('01_Вводные'!$B$234="Да",'19_Расчет_аналитики'!AT3384/(1+'01_Вводные'!$B$58),0)</f>
        <v/>
      </c>
      <c r="AU3385">
        <f>IF('01_Вводные'!$B$234="Да",'19_Расчет_аналитики'!AU3384/(1+'01_Вводные'!$B$58),0)</f>
        <v/>
      </c>
      <c r="AV3385">
        <f>IF('01_Вводные'!$B$234="Да",'19_Расчет_аналитики'!AV3384/(1+'01_Вводные'!$B$58),0)</f>
        <v/>
      </c>
      <c r="AW3385">
        <f>IF('01_Вводные'!$B$234="Да",'19_Расчет_аналитики'!AW3384/(1+'01_Вводные'!$B$58),0)</f>
        <v/>
      </c>
      <c r="AX3385">
        <f>IF('01_Вводные'!$B$234="Да",'19_Расчет_аналитики'!AX3384/(1+'01_Вводные'!$B$58),0)</f>
        <v/>
      </c>
      <c r="AY3385">
        <f>IF('01_Вводные'!$B$234="Да",'19_Расчет_аналитики'!AY3384/(1+'01_Вводные'!$B$58),0)</f>
        <v/>
      </c>
      <c r="AZ3385">
        <f>IF('01_Вводные'!$B$234="Да",'19_Расчет_аналитики'!AZ3384/(1+'01_Вводные'!$B$58),0)</f>
        <v/>
      </c>
      <c r="BA3385">
        <f>IF('01_Вводные'!$B$234="Да",'19_Расчет_аналитики'!BA3384/(1+'01_Вводные'!$B$58),0)</f>
        <v/>
      </c>
      <c r="BB3385">
        <f>IF('01_Вводные'!$B$234="Да",'19_Расчет_аналитики'!BB3384/(1+'01_Вводные'!$B$58),0)</f>
        <v/>
      </c>
      <c r="BC3385">
        <f>IF('01_Вводные'!$B$234="Да",'19_Расчет_аналитики'!BC3384/(1+'01_Вводные'!$B$58),0)</f>
        <v/>
      </c>
      <c r="BD3385">
        <f>IF('01_Вводные'!$B$234="Да",'19_Расчет_аналитики'!BD3384/(1+'01_Вводные'!$B$58),0)</f>
        <v/>
      </c>
      <c r="BE3385">
        <f>IF('01_Вводные'!$B$234="Да",'19_Расчет_аналитики'!BE3384/(1+'01_Вводные'!$B$58),0)</f>
        <v/>
      </c>
      <c r="BF3385">
        <f>IF('01_Вводные'!$B$234="Да",'19_Расчет_аналитики'!BF3384/(1+'01_Вводные'!$B$58),0)</f>
        <v/>
      </c>
      <c r="BG3385">
        <f>IF('01_Вводные'!$B$234="Да",'19_Расчет_аналитики'!BG3384/(1+'01_Вводные'!$B$58),0)</f>
        <v/>
      </c>
      <c r="BH3385">
        <f>IF('01_Вводные'!$B$234="Да",'19_Расчет_аналитики'!BH3384/(1+'01_Вводные'!$B$58),0)</f>
        <v/>
      </c>
      <c r="BI3385">
        <f>IF('01_Вводные'!$B$234="Да",'19_Расчет_аналитики'!BI3384/(1+'01_Вводные'!$B$58),0)</f>
        <v/>
      </c>
    </row>
    <row r="3386"/>
    <row r="3387"/>
    <row r="3388"/>
    <row r="3389"/>
    <row r="3390"/>
    <row r="3391"/>
    <row r="3392"/>
    <row r="3393"/>
    <row r="3394"/>
    <row r="3395"/>
    <row r="3396"/>
    <row r="3397"/>
    <row r="3398">
      <c r="C3398">
        <f>IF('01_Вводные'!$B$234="Да",'19_Расчет_аналитики'!C3374,0)</f>
        <v/>
      </c>
      <c r="D3398">
        <f>IF('01_Вводные'!$B$234="Да",'19_Расчет_аналитики'!D3374,0)</f>
        <v/>
      </c>
      <c r="E3398">
        <f>IF('01_Вводные'!$B$234="Да",'19_Расчет_аналитики'!E3374,0)</f>
        <v/>
      </c>
      <c r="F3398">
        <f>IF('01_Вводные'!$B$234="Да",'19_Расчет_аналитики'!F3374,0)</f>
        <v/>
      </c>
      <c r="G3398">
        <f>IF('01_Вводные'!$B$234="Да",'19_Расчет_аналитики'!G3374,0)</f>
        <v/>
      </c>
      <c r="H3398">
        <f>IF('01_Вводные'!$B$234="Да",'19_Расчет_аналитики'!H3374,0)</f>
        <v/>
      </c>
      <c r="I3398">
        <f>IF('01_Вводные'!$B$234="Да",'19_Расчет_аналитики'!I3374,0)</f>
        <v/>
      </c>
      <c r="J3398">
        <f>IF('01_Вводные'!$B$234="Да",'19_Расчет_аналитики'!J3374,0)</f>
        <v/>
      </c>
      <c r="K3398">
        <f>IF('01_Вводные'!$B$234="Да",'19_Расчет_аналитики'!K3374,0)</f>
        <v/>
      </c>
      <c r="L3398">
        <f>IF('01_Вводные'!$B$234="Да",'19_Расчет_аналитики'!L3374,0)</f>
        <v/>
      </c>
      <c r="M3398">
        <f>IF('01_Вводные'!$B$234="Да",'19_Расчет_аналитики'!M3374,0)</f>
        <v/>
      </c>
      <c r="N3398">
        <f>IF('01_Вводные'!$B$234="Да",'19_Расчет_аналитики'!N3374,0)</f>
        <v/>
      </c>
      <c r="O3398">
        <f>IF('01_Вводные'!$B$234="Да",'19_Расчет_аналитики'!O3374,0)</f>
        <v/>
      </c>
      <c r="P3398">
        <f>IF('01_Вводные'!$B$234="Да",'19_Расчет_аналитики'!P3374,0)</f>
        <v/>
      </c>
      <c r="Q3398">
        <f>IF('01_Вводные'!$B$234="Да",'19_Расчет_аналитики'!Q3374,0)</f>
        <v/>
      </c>
      <c r="R3398">
        <f>IF('01_Вводные'!$B$234="Да",'19_Расчет_аналитики'!R3374,0)</f>
        <v/>
      </c>
      <c r="S3398">
        <f>IF('01_Вводные'!$B$234="Да",'19_Расчет_аналитики'!S3374,0)</f>
        <v/>
      </c>
      <c r="T3398">
        <f>IF('01_Вводные'!$B$234="Да",'19_Расчет_аналитики'!T3374,0)</f>
        <v/>
      </c>
      <c r="U3398">
        <f>IF('01_Вводные'!$B$234="Да",'19_Расчет_аналитики'!U3374,0)</f>
        <v/>
      </c>
      <c r="V3398">
        <f>IF('01_Вводные'!$B$234="Да",'19_Расчет_аналитики'!V3374,0)</f>
        <v/>
      </c>
      <c r="W3398">
        <f>IF('01_Вводные'!$B$234="Да",'19_Расчет_аналитики'!W3374,0)</f>
        <v/>
      </c>
      <c r="X3398">
        <f>IF('01_Вводные'!$B$234="Да",'19_Расчет_аналитики'!X3374,0)</f>
        <v/>
      </c>
      <c r="Y3398">
        <f>IF('01_Вводные'!$B$234="Да",'19_Расчет_аналитики'!Y3374,0)</f>
        <v/>
      </c>
      <c r="Z3398">
        <f>IF('01_Вводные'!$B$234="Да",'19_Расчет_аналитики'!Z3374,0)</f>
        <v/>
      </c>
      <c r="AA3398">
        <f>IF('01_Вводные'!$B$234="Да",'19_Расчет_аналитики'!AA3374,0)</f>
        <v/>
      </c>
      <c r="AB3398">
        <f>IF('01_Вводные'!$B$234="Да",'19_Расчет_аналитики'!AB3374,0)</f>
        <v/>
      </c>
      <c r="AC3398">
        <f>IF('01_Вводные'!$B$234="Да",'19_Расчет_аналитики'!AC3374,0)</f>
        <v/>
      </c>
      <c r="AD3398">
        <f>IF('01_Вводные'!$B$234="Да",'19_Расчет_аналитики'!AD3374,0)</f>
        <v/>
      </c>
      <c r="AE3398">
        <f>IF('01_Вводные'!$B$234="Да",'19_Расчет_аналитики'!AE3374,0)</f>
        <v/>
      </c>
      <c r="AF3398">
        <f>IF('01_Вводные'!$B$234="Да",'19_Расчет_аналитики'!AF3374,0)</f>
        <v/>
      </c>
      <c r="AG3398">
        <f>IF('01_Вводные'!$B$234="Да",'19_Расчет_аналитики'!AG3374,0)</f>
        <v/>
      </c>
      <c r="AH3398">
        <f>IF('01_Вводные'!$B$234="Да",'19_Расчет_аналитики'!AH3374,0)</f>
        <v/>
      </c>
      <c r="AI3398">
        <f>IF('01_Вводные'!$B$234="Да",'19_Расчет_аналитики'!AI3374,0)</f>
        <v/>
      </c>
      <c r="AJ3398">
        <f>IF('01_Вводные'!$B$234="Да",'19_Расчет_аналитики'!AJ3374,0)</f>
        <v/>
      </c>
      <c r="AK3398">
        <f>IF('01_Вводные'!$B$234="Да",'19_Расчет_аналитики'!AK3374,0)</f>
        <v/>
      </c>
      <c r="AL3398">
        <f>IF('01_Вводные'!$B$234="Да",'19_Расчет_аналитики'!AL3374,0)</f>
        <v/>
      </c>
      <c r="AM3398">
        <f>IF('01_Вводные'!$B$234="Да",'19_Расчет_аналитики'!AM3374,0)</f>
        <v/>
      </c>
      <c r="AN3398">
        <f>IF('01_Вводные'!$B$234="Да",'19_Расчет_аналитики'!AN3374,0)</f>
        <v/>
      </c>
      <c r="AO3398">
        <f>IF('01_Вводные'!$B$234="Да",'19_Расчет_аналитики'!AO3374,0)</f>
        <v/>
      </c>
      <c r="AP3398">
        <f>IF('01_Вводные'!$B$234="Да",'19_Расчет_аналитики'!AP3374,0)</f>
        <v/>
      </c>
      <c r="AQ3398">
        <f>IF('01_Вводные'!$B$234="Да",'19_Расчет_аналитики'!AQ3374,0)</f>
        <v/>
      </c>
      <c r="AR3398">
        <f>IF('01_Вводные'!$B$234="Да",'19_Расчет_аналитики'!AR3374,0)</f>
        <v/>
      </c>
      <c r="AS3398">
        <f>IF('01_Вводные'!$B$234="Да",'19_Расчет_аналитики'!AS3374,0)</f>
        <v/>
      </c>
      <c r="AT3398">
        <f>IF('01_Вводные'!$B$234="Да",'19_Расчет_аналитики'!AT3374,0)</f>
        <v/>
      </c>
      <c r="AU3398">
        <f>IF('01_Вводные'!$B$234="Да",'19_Расчет_аналитики'!AU3374,0)</f>
        <v/>
      </c>
      <c r="AV3398">
        <f>IF('01_Вводные'!$B$234="Да",'19_Расчет_аналитики'!AV3374,0)</f>
        <v/>
      </c>
      <c r="AW3398">
        <f>IF('01_Вводные'!$B$234="Да",'19_Расчет_аналитики'!AW3374,0)</f>
        <v/>
      </c>
      <c r="AX3398">
        <f>IF('01_Вводные'!$B$234="Да",'19_Расчет_аналитики'!AX3374,0)</f>
        <v/>
      </c>
      <c r="AY3398">
        <f>IF('01_Вводные'!$B$234="Да",'19_Расчет_аналитики'!AY3374,0)</f>
        <v/>
      </c>
      <c r="AZ3398">
        <f>IF('01_Вводные'!$B$234="Да",'19_Расчет_аналитики'!AZ3374,0)</f>
        <v/>
      </c>
      <c r="BA3398">
        <f>IF('01_Вводные'!$B$234="Да",'19_Расчет_аналитики'!BA3374,0)</f>
        <v/>
      </c>
      <c r="BB3398">
        <f>IF('01_Вводные'!$B$234="Да",'19_Расчет_аналитики'!BB3374,0)</f>
        <v/>
      </c>
      <c r="BC3398">
        <f>IF('01_Вводные'!$B$234="Да",'19_Расчет_аналитики'!BC3374,0)</f>
        <v/>
      </c>
      <c r="BD3398">
        <f>IF('01_Вводные'!$B$234="Да",'19_Расчет_аналитики'!BD3374,0)</f>
        <v/>
      </c>
      <c r="BE3398">
        <f>IF('01_Вводные'!$B$234="Да",'19_Расчет_аналитики'!BE3374,0)</f>
        <v/>
      </c>
      <c r="BF3398">
        <f>IF('01_Вводные'!$B$234="Да",'19_Расчет_аналитики'!BF3374,0)</f>
        <v/>
      </c>
      <c r="BG3398">
        <f>IF('01_Вводные'!$B$234="Да",'19_Расчет_аналитики'!BG3374,0)</f>
        <v/>
      </c>
      <c r="BH3398">
        <f>IF('01_Вводные'!$B$234="Да",'19_Расчет_аналитики'!BH3374,0)</f>
        <v/>
      </c>
      <c r="BI3398">
        <f>IF('01_Вводные'!$B$234="Да",'19_Расчет_аналитики'!BI3374,0)</f>
        <v/>
      </c>
    </row>
    <row r="3399">
      <c r="B3399">
        <f>IF(OR(1&lt;='01_Вводные'!$B$15,1-'01_Вводные'!$B$15&gt;60),0,INDEX('19_Расчет_аналитики'!$B$3374:$BI$3374,1,1-'01_Вводные'!$B$15))*'01_Вводные'!$B$298*MIN(1,'01_Вводные'!$B$22)+IF(OR(1&lt;=('01_Вводные'!$B$15+'01_Вводные'!$B$311),1-('01_Вводные'!$B$15+'01_Вводные'!$B$311)&gt;60),0,INDEX('19_Расчет_аналитики'!$B$3374:$BI$3374,1,1-('01_Вводные'!$B$15+'01_Вводные'!$B$311)))*'01_Вводные'!$B$298*MAX(0,'01_Вводные'!$B$22-1)</f>
        <v/>
      </c>
      <c r="C3399">
        <f>IF(OR(2&lt;='01_Вводные'!$B$15,2-'01_Вводные'!$B$15&gt;60),0,INDEX('19_Расчет_аналитики'!$B$3374:$BI$3374,1,2-'01_Вводные'!$B$15))*'01_Вводные'!$B$298*MIN(1,'01_Вводные'!$B$22)+IF(OR(2&lt;=('01_Вводные'!$B$15+'01_Вводные'!$B$311),2-('01_Вводные'!$B$15+'01_Вводные'!$B$311)&gt;60),0,INDEX('19_Расчет_аналитики'!$B$3374:$BI$3374,1,2-('01_Вводные'!$B$15+'01_Вводные'!$B$311)))*'01_Вводные'!$B$298*MAX(0,'01_Вводные'!$B$22-1)</f>
        <v/>
      </c>
      <c r="D3399">
        <f>IF(OR(3&lt;='01_Вводные'!$B$15,3-'01_Вводные'!$B$15&gt;60),0,INDEX('19_Расчет_аналитики'!$B$3374:$BI$3374,1,3-'01_Вводные'!$B$15))*'01_Вводные'!$B$298*MIN(1,'01_Вводные'!$B$22)+IF(OR(3&lt;=('01_Вводные'!$B$15+'01_Вводные'!$B$311),3-('01_Вводные'!$B$15+'01_Вводные'!$B$311)&gt;60),0,INDEX('19_Расчет_аналитики'!$B$3374:$BI$3374,1,3-('01_Вводные'!$B$15+'01_Вводные'!$B$311)))*'01_Вводные'!$B$298*MAX(0,'01_Вводные'!$B$22-1)</f>
        <v/>
      </c>
      <c r="E3399">
        <f>IF(OR(4&lt;='01_Вводные'!$B$15,4-'01_Вводные'!$B$15&gt;60),0,INDEX('19_Расчет_аналитики'!$B$3374:$BI$3374,1,4-'01_Вводные'!$B$15))*'01_Вводные'!$B$298*MIN(1,'01_Вводные'!$B$22)+IF(OR(4&lt;=('01_Вводные'!$B$15+'01_Вводные'!$B$311),4-('01_Вводные'!$B$15+'01_Вводные'!$B$311)&gt;60),0,INDEX('19_Расчет_аналитики'!$B$3374:$BI$3374,1,4-('01_Вводные'!$B$15+'01_Вводные'!$B$311)))*'01_Вводные'!$B$298*MAX(0,'01_Вводные'!$B$22-1)</f>
        <v/>
      </c>
      <c r="F3399">
        <f>IF(OR(5&lt;='01_Вводные'!$B$15,5-'01_Вводные'!$B$15&gt;60),0,INDEX('19_Расчет_аналитики'!$B$3374:$BI$3374,1,5-'01_Вводные'!$B$15))*'01_Вводные'!$B$298*MIN(1,'01_Вводные'!$B$22)+IF(OR(5&lt;=('01_Вводные'!$B$15+'01_Вводные'!$B$311),5-('01_Вводные'!$B$15+'01_Вводные'!$B$311)&gt;60),0,INDEX('19_Расчет_аналитики'!$B$3374:$BI$3374,1,5-('01_Вводные'!$B$15+'01_Вводные'!$B$311)))*'01_Вводные'!$B$298*MAX(0,'01_Вводные'!$B$22-1)</f>
        <v/>
      </c>
      <c r="G3399">
        <f>IF(OR(6&lt;='01_Вводные'!$B$15,6-'01_Вводные'!$B$15&gt;60),0,INDEX('19_Расчет_аналитики'!$B$3374:$BI$3374,1,6-'01_Вводные'!$B$15))*'01_Вводные'!$B$298*MIN(1,'01_Вводные'!$B$22)+IF(OR(6&lt;=('01_Вводные'!$B$15+'01_Вводные'!$B$311),6-('01_Вводные'!$B$15+'01_Вводные'!$B$311)&gt;60),0,INDEX('19_Расчет_аналитики'!$B$3374:$BI$3374,1,6-('01_Вводные'!$B$15+'01_Вводные'!$B$311)))*'01_Вводные'!$B$298*MAX(0,'01_Вводные'!$B$22-1)</f>
        <v/>
      </c>
      <c r="H3399">
        <f>IF(OR(7&lt;='01_Вводные'!$B$15,7-'01_Вводные'!$B$15&gt;60),0,INDEX('19_Расчет_аналитики'!$B$3374:$BI$3374,1,7-'01_Вводные'!$B$15))*'01_Вводные'!$B$298*MIN(1,'01_Вводные'!$B$22)+IF(OR(7&lt;=('01_Вводные'!$B$15+'01_Вводные'!$B$311),7-('01_Вводные'!$B$15+'01_Вводные'!$B$311)&gt;60),0,INDEX('19_Расчет_аналитики'!$B$3374:$BI$3374,1,7-('01_Вводные'!$B$15+'01_Вводные'!$B$311)))*'01_Вводные'!$B$298*MAX(0,'01_Вводные'!$B$22-1)</f>
        <v/>
      </c>
      <c r="I3399">
        <f>IF(OR(8&lt;='01_Вводные'!$B$15,8-'01_Вводные'!$B$15&gt;60),0,INDEX('19_Расчет_аналитики'!$B$3374:$BI$3374,1,8-'01_Вводные'!$B$15))*'01_Вводные'!$B$298*MIN(1,'01_Вводные'!$B$22)+IF(OR(8&lt;=('01_Вводные'!$B$15+'01_Вводные'!$B$311),8-('01_Вводные'!$B$15+'01_Вводные'!$B$311)&gt;60),0,INDEX('19_Расчет_аналитики'!$B$3374:$BI$3374,1,8-('01_Вводные'!$B$15+'01_Вводные'!$B$311)))*'01_Вводные'!$B$298*MAX(0,'01_Вводные'!$B$22-1)</f>
        <v/>
      </c>
      <c r="J3399">
        <f>IF(OR(9&lt;='01_Вводные'!$B$15,9-'01_Вводные'!$B$15&gt;60),0,INDEX('19_Расчет_аналитики'!$B$3374:$BI$3374,1,9-'01_Вводные'!$B$15))*'01_Вводные'!$B$298*MIN(1,'01_Вводные'!$B$22)+IF(OR(9&lt;=('01_Вводные'!$B$15+'01_Вводные'!$B$311),9-('01_Вводные'!$B$15+'01_Вводные'!$B$311)&gt;60),0,INDEX('19_Расчет_аналитики'!$B$3374:$BI$3374,1,9-('01_Вводные'!$B$15+'01_Вводные'!$B$311)))*'01_Вводные'!$B$298*MAX(0,'01_Вводные'!$B$22-1)</f>
        <v/>
      </c>
      <c r="K3399">
        <f>IF(OR(10&lt;='01_Вводные'!$B$15,10-'01_Вводные'!$B$15&gt;60),0,INDEX('19_Расчет_аналитики'!$B$3374:$BI$3374,1,10-'01_Вводные'!$B$15))*'01_Вводные'!$B$298*MIN(1,'01_Вводные'!$B$22)+IF(OR(10&lt;=('01_Вводные'!$B$15+'01_Вводные'!$B$311),10-('01_Вводные'!$B$15+'01_Вводные'!$B$311)&gt;60),0,INDEX('19_Расчет_аналитики'!$B$3374:$BI$3374,1,10-('01_Вводные'!$B$15+'01_Вводные'!$B$311)))*'01_Вводные'!$B$298*MAX(0,'01_Вводные'!$B$22-1)</f>
        <v/>
      </c>
      <c r="L3399">
        <f>IF(OR(11&lt;='01_Вводные'!$B$15,11-'01_Вводные'!$B$15&gt;60),0,INDEX('19_Расчет_аналитики'!$B$3374:$BI$3374,1,11-'01_Вводные'!$B$15))*'01_Вводные'!$B$298*MIN(1,'01_Вводные'!$B$22)+IF(OR(11&lt;=('01_Вводные'!$B$15+'01_Вводные'!$B$311),11-('01_Вводные'!$B$15+'01_Вводные'!$B$311)&gt;60),0,INDEX('19_Расчет_аналитики'!$B$3374:$BI$3374,1,11-('01_Вводные'!$B$15+'01_Вводные'!$B$311)))*'01_Вводные'!$B$298*MAX(0,'01_Вводные'!$B$22-1)</f>
        <v/>
      </c>
      <c r="M3399">
        <f>IF(OR(12&lt;='01_Вводные'!$B$15,12-'01_Вводные'!$B$15&gt;60),0,INDEX('19_Расчет_аналитики'!$B$3374:$BI$3374,1,12-'01_Вводные'!$B$15))*'01_Вводные'!$B$298*MIN(1,'01_Вводные'!$B$22)+IF(OR(12&lt;=('01_Вводные'!$B$15+'01_Вводные'!$B$311),12-('01_Вводные'!$B$15+'01_Вводные'!$B$311)&gt;60),0,INDEX('19_Расчет_аналитики'!$B$3374:$BI$3374,1,12-('01_Вводные'!$B$15+'01_Вводные'!$B$311)))*'01_Вводные'!$B$298*MAX(0,'01_Вводные'!$B$22-1)</f>
        <v/>
      </c>
      <c r="N3399">
        <f>IF(OR(13&lt;='01_Вводные'!$B$15,13-'01_Вводные'!$B$15&gt;60),0,INDEX('19_Расчет_аналитики'!$B$3374:$BI$3374,1,13-'01_Вводные'!$B$15))*'01_Вводные'!$B$298*MIN(1,'01_Вводные'!$B$22)+IF(OR(13&lt;=('01_Вводные'!$B$15+'01_Вводные'!$B$311),13-('01_Вводные'!$B$15+'01_Вводные'!$B$311)&gt;60),0,INDEX('19_Расчет_аналитики'!$B$3374:$BI$3374,1,13-('01_Вводные'!$B$15+'01_Вводные'!$B$311)))*'01_Вводные'!$B$298*MAX(0,'01_Вводные'!$B$22-1)</f>
        <v/>
      </c>
      <c r="O3399">
        <f>IF(OR(14&lt;='01_Вводные'!$B$15,14-'01_Вводные'!$B$15&gt;60),0,INDEX('19_Расчет_аналитики'!$B$3374:$BI$3374,1,14-'01_Вводные'!$B$15))*'01_Вводные'!$B$298*MIN(1,'01_Вводные'!$B$22)+IF(OR(14&lt;=('01_Вводные'!$B$15+'01_Вводные'!$B$311),14-('01_Вводные'!$B$15+'01_Вводные'!$B$311)&gt;60),0,INDEX('19_Расчет_аналитики'!$B$3374:$BI$3374,1,14-('01_Вводные'!$B$15+'01_Вводные'!$B$311)))*'01_Вводные'!$B$298*MAX(0,'01_Вводные'!$B$22-1)</f>
        <v/>
      </c>
      <c r="P3399">
        <f>IF(OR(15&lt;='01_Вводные'!$B$15,15-'01_Вводные'!$B$15&gt;60),0,INDEX('19_Расчет_аналитики'!$B$3374:$BI$3374,1,15-'01_Вводные'!$B$15))*'01_Вводные'!$B$298*MIN(1,'01_Вводные'!$B$22)+IF(OR(15&lt;=('01_Вводные'!$B$15+'01_Вводные'!$B$311),15-('01_Вводные'!$B$15+'01_Вводные'!$B$311)&gt;60),0,INDEX('19_Расчет_аналитики'!$B$3374:$BI$3374,1,15-('01_Вводные'!$B$15+'01_Вводные'!$B$311)))*'01_Вводные'!$B$298*MAX(0,'01_Вводные'!$B$22-1)</f>
        <v/>
      </c>
      <c r="Q3399">
        <f>IF(OR(16&lt;='01_Вводные'!$B$15,16-'01_Вводные'!$B$15&gt;60),0,INDEX('19_Расчет_аналитики'!$B$3374:$BI$3374,1,16-'01_Вводные'!$B$15))*'01_Вводные'!$B$298*MIN(1,'01_Вводные'!$B$22)+IF(OR(16&lt;=('01_Вводные'!$B$15+'01_Вводные'!$B$311),16-('01_Вводные'!$B$15+'01_Вводные'!$B$311)&gt;60),0,INDEX('19_Расчет_аналитики'!$B$3374:$BI$3374,1,16-('01_Вводные'!$B$15+'01_Вводные'!$B$311)))*'01_Вводные'!$B$298*MAX(0,'01_Вводные'!$B$22-1)</f>
        <v/>
      </c>
      <c r="R3399">
        <f>IF(OR(17&lt;='01_Вводные'!$B$15,17-'01_Вводные'!$B$15&gt;60),0,INDEX('19_Расчет_аналитики'!$B$3374:$BI$3374,1,17-'01_Вводные'!$B$15))*'01_Вводные'!$B$298*MIN(1,'01_Вводные'!$B$22)+IF(OR(17&lt;=('01_Вводные'!$B$15+'01_Вводные'!$B$311),17-('01_Вводные'!$B$15+'01_Вводные'!$B$311)&gt;60),0,INDEX('19_Расчет_аналитики'!$B$3374:$BI$3374,1,17-('01_Вводные'!$B$15+'01_Вводные'!$B$311)))*'01_Вводные'!$B$298*MAX(0,'01_Вводные'!$B$22-1)</f>
        <v/>
      </c>
      <c r="S3399">
        <f>IF(OR(18&lt;='01_Вводные'!$B$15,18-'01_Вводные'!$B$15&gt;60),0,INDEX('19_Расчет_аналитики'!$B$3374:$BI$3374,1,18-'01_Вводные'!$B$15))*'01_Вводные'!$B$298*MIN(1,'01_Вводные'!$B$22)+IF(OR(18&lt;=('01_Вводные'!$B$15+'01_Вводные'!$B$311),18-('01_Вводные'!$B$15+'01_Вводные'!$B$311)&gt;60),0,INDEX('19_Расчет_аналитики'!$B$3374:$BI$3374,1,18-('01_Вводные'!$B$15+'01_Вводные'!$B$311)))*'01_Вводные'!$B$298*MAX(0,'01_Вводные'!$B$22-1)</f>
        <v/>
      </c>
      <c r="T3399">
        <f>IF(OR(19&lt;='01_Вводные'!$B$15,19-'01_Вводные'!$B$15&gt;60),0,INDEX('19_Расчет_аналитики'!$B$3374:$BI$3374,1,19-'01_Вводные'!$B$15))*'01_Вводные'!$B$298*MIN(1,'01_Вводные'!$B$22)+IF(OR(19&lt;=('01_Вводные'!$B$15+'01_Вводные'!$B$311),19-('01_Вводные'!$B$15+'01_Вводные'!$B$311)&gt;60),0,INDEX('19_Расчет_аналитики'!$B$3374:$BI$3374,1,19-('01_Вводные'!$B$15+'01_Вводные'!$B$311)))*'01_Вводные'!$B$298*MAX(0,'01_Вводные'!$B$22-1)</f>
        <v/>
      </c>
      <c r="U3399">
        <f>IF(OR(20&lt;='01_Вводные'!$B$15,20-'01_Вводные'!$B$15&gt;60),0,INDEX('19_Расчет_аналитики'!$B$3374:$BI$3374,1,20-'01_Вводные'!$B$15))*'01_Вводные'!$B$298*MIN(1,'01_Вводные'!$B$22)+IF(OR(20&lt;=('01_Вводные'!$B$15+'01_Вводные'!$B$311),20-('01_Вводные'!$B$15+'01_Вводные'!$B$311)&gt;60),0,INDEX('19_Расчет_аналитики'!$B$3374:$BI$3374,1,20-('01_Вводные'!$B$15+'01_Вводные'!$B$311)))*'01_Вводные'!$B$298*MAX(0,'01_Вводные'!$B$22-1)</f>
        <v/>
      </c>
      <c r="V3399">
        <f>IF(OR(21&lt;='01_Вводные'!$B$15,21-'01_Вводные'!$B$15&gt;60),0,INDEX('19_Расчет_аналитики'!$B$3374:$BI$3374,1,21-'01_Вводные'!$B$15))*'01_Вводные'!$B$298*MIN(1,'01_Вводные'!$B$22)+IF(OR(21&lt;=('01_Вводные'!$B$15+'01_Вводные'!$B$311),21-('01_Вводные'!$B$15+'01_Вводные'!$B$311)&gt;60),0,INDEX('19_Расчет_аналитики'!$B$3374:$BI$3374,1,21-('01_Вводные'!$B$15+'01_Вводные'!$B$311)))*'01_Вводные'!$B$298*MAX(0,'01_Вводные'!$B$22-1)</f>
        <v/>
      </c>
      <c r="W3399">
        <f>IF(OR(22&lt;='01_Вводные'!$B$15,22-'01_Вводные'!$B$15&gt;60),0,INDEX('19_Расчет_аналитики'!$B$3374:$BI$3374,1,22-'01_Вводные'!$B$15))*'01_Вводные'!$B$298*MIN(1,'01_Вводные'!$B$22)+IF(OR(22&lt;=('01_Вводные'!$B$15+'01_Вводные'!$B$311),22-('01_Вводные'!$B$15+'01_Вводные'!$B$311)&gt;60),0,INDEX('19_Расчет_аналитики'!$B$3374:$BI$3374,1,22-('01_Вводные'!$B$15+'01_Вводные'!$B$311)))*'01_Вводные'!$B$298*MAX(0,'01_Вводные'!$B$22-1)</f>
        <v/>
      </c>
      <c r="X3399">
        <f>IF(OR(23&lt;='01_Вводные'!$B$15,23-'01_Вводные'!$B$15&gt;60),0,INDEX('19_Расчет_аналитики'!$B$3374:$BI$3374,1,23-'01_Вводные'!$B$15))*'01_Вводные'!$B$298*MIN(1,'01_Вводные'!$B$22)+IF(OR(23&lt;=('01_Вводные'!$B$15+'01_Вводные'!$B$311),23-('01_Вводные'!$B$15+'01_Вводные'!$B$311)&gt;60),0,INDEX('19_Расчет_аналитики'!$B$3374:$BI$3374,1,23-('01_Вводные'!$B$15+'01_Вводные'!$B$311)))*'01_Вводные'!$B$298*MAX(0,'01_Вводные'!$B$22-1)</f>
        <v/>
      </c>
      <c r="Y3399">
        <f>IF(OR(24&lt;='01_Вводные'!$B$15,24-'01_Вводные'!$B$15&gt;60),0,INDEX('19_Расчет_аналитики'!$B$3374:$BI$3374,1,24-'01_Вводные'!$B$15))*'01_Вводные'!$B$298*MIN(1,'01_Вводные'!$B$22)+IF(OR(24&lt;=('01_Вводные'!$B$15+'01_Вводные'!$B$311),24-('01_Вводные'!$B$15+'01_Вводные'!$B$311)&gt;60),0,INDEX('19_Расчет_аналитики'!$B$3374:$BI$3374,1,24-('01_Вводные'!$B$15+'01_Вводные'!$B$311)))*'01_Вводные'!$B$298*MAX(0,'01_Вводные'!$B$22-1)</f>
        <v/>
      </c>
      <c r="Z3399">
        <f>IF(OR(25&lt;='01_Вводные'!$B$15,25-'01_Вводные'!$B$15&gt;60),0,INDEX('19_Расчет_аналитики'!$B$3374:$BI$3374,1,25-'01_Вводные'!$B$15))*'01_Вводные'!$B$298*MIN(1,'01_Вводные'!$B$22)+IF(OR(25&lt;=('01_Вводные'!$B$15+'01_Вводные'!$B$311),25-('01_Вводные'!$B$15+'01_Вводные'!$B$311)&gt;60),0,INDEX('19_Расчет_аналитики'!$B$3374:$BI$3374,1,25-('01_Вводные'!$B$15+'01_Вводные'!$B$311)))*'01_Вводные'!$B$298*MAX(0,'01_Вводные'!$B$22-1)</f>
        <v/>
      </c>
      <c r="AA3399">
        <f>IF(OR(26&lt;='01_Вводные'!$B$15,26-'01_Вводные'!$B$15&gt;60),0,INDEX('19_Расчет_аналитики'!$B$3374:$BI$3374,1,26-'01_Вводные'!$B$15))*'01_Вводные'!$B$298*MIN(1,'01_Вводные'!$B$22)+IF(OR(26&lt;=('01_Вводные'!$B$15+'01_Вводные'!$B$311),26-('01_Вводные'!$B$15+'01_Вводные'!$B$311)&gt;60),0,INDEX('19_Расчет_аналитики'!$B$3374:$BI$3374,1,26-('01_Вводные'!$B$15+'01_Вводные'!$B$311)))*'01_Вводные'!$B$298*MAX(0,'01_Вводные'!$B$22-1)</f>
        <v/>
      </c>
      <c r="AB3399">
        <f>IF(OR(27&lt;='01_Вводные'!$B$15,27-'01_Вводные'!$B$15&gt;60),0,INDEX('19_Расчет_аналитики'!$B$3374:$BI$3374,1,27-'01_Вводные'!$B$15))*'01_Вводные'!$B$298*MIN(1,'01_Вводные'!$B$22)+IF(OR(27&lt;=('01_Вводные'!$B$15+'01_Вводные'!$B$311),27-('01_Вводные'!$B$15+'01_Вводные'!$B$311)&gt;60),0,INDEX('19_Расчет_аналитики'!$B$3374:$BI$3374,1,27-('01_Вводные'!$B$15+'01_Вводные'!$B$311)))*'01_Вводные'!$B$298*MAX(0,'01_Вводные'!$B$22-1)</f>
        <v/>
      </c>
      <c r="AC3399">
        <f>IF(OR(28&lt;='01_Вводные'!$B$15,28-'01_Вводные'!$B$15&gt;60),0,INDEX('19_Расчет_аналитики'!$B$3374:$BI$3374,1,28-'01_Вводные'!$B$15))*'01_Вводные'!$B$298*MIN(1,'01_Вводные'!$B$22)+IF(OR(28&lt;=('01_Вводные'!$B$15+'01_Вводные'!$B$311),28-('01_Вводные'!$B$15+'01_Вводные'!$B$311)&gt;60),0,INDEX('19_Расчет_аналитики'!$B$3374:$BI$3374,1,28-('01_Вводные'!$B$15+'01_Вводные'!$B$311)))*'01_Вводные'!$B$298*MAX(0,'01_Вводные'!$B$22-1)</f>
        <v/>
      </c>
      <c r="AD3399">
        <f>IF(OR(29&lt;='01_Вводные'!$B$15,29-'01_Вводные'!$B$15&gt;60),0,INDEX('19_Расчет_аналитики'!$B$3374:$BI$3374,1,29-'01_Вводные'!$B$15))*'01_Вводные'!$B$298*MIN(1,'01_Вводные'!$B$22)+IF(OR(29&lt;=('01_Вводные'!$B$15+'01_Вводные'!$B$311),29-('01_Вводные'!$B$15+'01_Вводные'!$B$311)&gt;60),0,INDEX('19_Расчет_аналитики'!$B$3374:$BI$3374,1,29-('01_Вводные'!$B$15+'01_Вводные'!$B$311)))*'01_Вводные'!$B$298*MAX(0,'01_Вводные'!$B$22-1)</f>
        <v/>
      </c>
      <c r="AE3399">
        <f>IF(OR(30&lt;='01_Вводные'!$B$15,30-'01_Вводные'!$B$15&gt;60),0,INDEX('19_Расчет_аналитики'!$B$3374:$BI$3374,1,30-'01_Вводные'!$B$15))*'01_Вводные'!$B$298*MIN(1,'01_Вводные'!$B$22)+IF(OR(30&lt;=('01_Вводные'!$B$15+'01_Вводные'!$B$311),30-('01_Вводные'!$B$15+'01_Вводные'!$B$311)&gt;60),0,INDEX('19_Расчет_аналитики'!$B$3374:$BI$3374,1,30-('01_Вводные'!$B$15+'01_Вводные'!$B$311)))*'01_Вводные'!$B$298*MAX(0,'01_Вводные'!$B$22-1)</f>
        <v/>
      </c>
      <c r="AF3399">
        <f>IF(OR(31&lt;='01_Вводные'!$B$15,31-'01_Вводные'!$B$15&gt;60),0,INDEX('19_Расчет_аналитики'!$B$3374:$BI$3374,1,31-'01_Вводные'!$B$15))*'01_Вводные'!$B$298*MIN(1,'01_Вводные'!$B$22)+IF(OR(31&lt;=('01_Вводные'!$B$15+'01_Вводные'!$B$311),31-('01_Вводные'!$B$15+'01_Вводные'!$B$311)&gt;60),0,INDEX('19_Расчет_аналитики'!$B$3374:$BI$3374,1,31-('01_Вводные'!$B$15+'01_Вводные'!$B$311)))*'01_Вводные'!$B$298*MAX(0,'01_Вводные'!$B$22-1)</f>
        <v/>
      </c>
      <c r="AG3399">
        <f>IF(OR(32&lt;='01_Вводные'!$B$15,32-'01_Вводные'!$B$15&gt;60),0,INDEX('19_Расчет_аналитики'!$B$3374:$BI$3374,1,32-'01_Вводные'!$B$15))*'01_Вводные'!$B$298*MIN(1,'01_Вводные'!$B$22)+IF(OR(32&lt;=('01_Вводные'!$B$15+'01_Вводные'!$B$311),32-('01_Вводные'!$B$15+'01_Вводные'!$B$311)&gt;60),0,INDEX('19_Расчет_аналитики'!$B$3374:$BI$3374,1,32-('01_Вводные'!$B$15+'01_Вводные'!$B$311)))*'01_Вводные'!$B$298*MAX(0,'01_Вводные'!$B$22-1)</f>
        <v/>
      </c>
      <c r="AH3399">
        <f>IF(OR(33&lt;='01_Вводные'!$B$15,33-'01_Вводные'!$B$15&gt;60),0,INDEX('19_Расчет_аналитики'!$B$3374:$BI$3374,1,33-'01_Вводные'!$B$15))*'01_Вводные'!$B$298*MIN(1,'01_Вводные'!$B$22)+IF(OR(33&lt;=('01_Вводные'!$B$15+'01_Вводные'!$B$311),33-('01_Вводные'!$B$15+'01_Вводные'!$B$311)&gt;60),0,INDEX('19_Расчет_аналитики'!$B$3374:$BI$3374,1,33-('01_Вводные'!$B$15+'01_Вводные'!$B$311)))*'01_Вводные'!$B$298*MAX(0,'01_Вводные'!$B$22-1)</f>
        <v/>
      </c>
      <c r="AI3399">
        <f>IF(OR(34&lt;='01_Вводные'!$B$15,34-'01_Вводные'!$B$15&gt;60),0,INDEX('19_Расчет_аналитики'!$B$3374:$BI$3374,1,34-'01_Вводные'!$B$15))*'01_Вводные'!$B$298*MIN(1,'01_Вводные'!$B$22)+IF(OR(34&lt;=('01_Вводные'!$B$15+'01_Вводные'!$B$311),34-('01_Вводные'!$B$15+'01_Вводные'!$B$311)&gt;60),0,INDEX('19_Расчет_аналитики'!$B$3374:$BI$3374,1,34-('01_Вводные'!$B$15+'01_Вводные'!$B$311)))*'01_Вводные'!$B$298*MAX(0,'01_Вводные'!$B$22-1)</f>
        <v/>
      </c>
      <c r="AJ3399">
        <f>IF(OR(35&lt;='01_Вводные'!$B$15,35-'01_Вводные'!$B$15&gt;60),0,INDEX('19_Расчет_аналитики'!$B$3374:$BI$3374,1,35-'01_Вводные'!$B$15))*'01_Вводные'!$B$298*MIN(1,'01_Вводные'!$B$22)+IF(OR(35&lt;=('01_Вводные'!$B$15+'01_Вводные'!$B$311),35-('01_Вводные'!$B$15+'01_Вводные'!$B$311)&gt;60),0,INDEX('19_Расчет_аналитики'!$B$3374:$BI$3374,1,35-('01_Вводные'!$B$15+'01_Вводные'!$B$311)))*'01_Вводные'!$B$298*MAX(0,'01_Вводные'!$B$22-1)</f>
        <v/>
      </c>
      <c r="AK3399">
        <f>IF(OR(36&lt;='01_Вводные'!$B$15,36-'01_Вводные'!$B$15&gt;60),0,INDEX('19_Расчет_аналитики'!$B$3374:$BI$3374,1,36-'01_Вводные'!$B$15))*'01_Вводные'!$B$298*MIN(1,'01_Вводные'!$B$22)+IF(OR(36&lt;=('01_Вводные'!$B$15+'01_Вводные'!$B$311),36-('01_Вводные'!$B$15+'01_Вводные'!$B$311)&gt;60),0,INDEX('19_Расчет_аналитики'!$B$3374:$BI$3374,1,36-('01_Вводные'!$B$15+'01_Вводные'!$B$311)))*'01_Вводные'!$B$298*MAX(0,'01_Вводные'!$B$22-1)</f>
        <v/>
      </c>
      <c r="AL3399">
        <f>IF(OR(37&lt;='01_Вводные'!$B$15,37-'01_Вводные'!$B$15&gt;60),0,INDEX('19_Расчет_аналитики'!$B$3374:$BI$3374,1,37-'01_Вводные'!$B$15))*'01_Вводные'!$B$298*MIN(1,'01_Вводные'!$B$22)+IF(OR(37&lt;=('01_Вводные'!$B$15+'01_Вводные'!$B$311),37-('01_Вводные'!$B$15+'01_Вводные'!$B$311)&gt;60),0,INDEX('19_Расчет_аналитики'!$B$3374:$BI$3374,1,37-('01_Вводные'!$B$15+'01_Вводные'!$B$311)))*'01_Вводные'!$B$298*MAX(0,'01_Вводные'!$B$22-1)</f>
        <v/>
      </c>
      <c r="AM3399">
        <f>IF(OR(38&lt;='01_Вводные'!$B$15,38-'01_Вводные'!$B$15&gt;60),0,INDEX('19_Расчет_аналитики'!$B$3374:$BI$3374,1,38-'01_Вводные'!$B$15))*'01_Вводные'!$B$298*MIN(1,'01_Вводные'!$B$22)+IF(OR(38&lt;=('01_Вводные'!$B$15+'01_Вводные'!$B$311),38-('01_Вводные'!$B$15+'01_Вводные'!$B$311)&gt;60),0,INDEX('19_Расчет_аналитики'!$B$3374:$BI$3374,1,38-('01_Вводные'!$B$15+'01_Вводные'!$B$311)))*'01_Вводные'!$B$298*MAX(0,'01_Вводные'!$B$22-1)</f>
        <v/>
      </c>
      <c r="AN3399">
        <f>IF(OR(39&lt;='01_Вводные'!$B$15,39-'01_Вводные'!$B$15&gt;60),0,INDEX('19_Расчет_аналитики'!$B$3374:$BI$3374,1,39-'01_Вводные'!$B$15))*'01_Вводные'!$B$298*MIN(1,'01_Вводные'!$B$22)+IF(OR(39&lt;=('01_Вводные'!$B$15+'01_Вводные'!$B$311),39-('01_Вводные'!$B$15+'01_Вводные'!$B$311)&gt;60),0,INDEX('19_Расчет_аналитики'!$B$3374:$BI$3374,1,39-('01_Вводные'!$B$15+'01_Вводные'!$B$311)))*'01_Вводные'!$B$298*MAX(0,'01_Вводные'!$B$22-1)</f>
        <v/>
      </c>
      <c r="AO3399">
        <f>IF(OR(40&lt;='01_Вводные'!$B$15,40-'01_Вводные'!$B$15&gt;60),0,INDEX('19_Расчет_аналитики'!$B$3374:$BI$3374,1,40-'01_Вводные'!$B$15))*'01_Вводные'!$B$298*MIN(1,'01_Вводные'!$B$22)+IF(OR(40&lt;=('01_Вводные'!$B$15+'01_Вводные'!$B$311),40-('01_Вводные'!$B$15+'01_Вводные'!$B$311)&gt;60),0,INDEX('19_Расчет_аналитики'!$B$3374:$BI$3374,1,40-('01_Вводные'!$B$15+'01_Вводные'!$B$311)))*'01_Вводные'!$B$298*MAX(0,'01_Вводные'!$B$22-1)</f>
        <v/>
      </c>
      <c r="AP3399">
        <f>IF(OR(41&lt;='01_Вводные'!$B$15,41-'01_Вводные'!$B$15&gt;60),0,INDEX('19_Расчет_аналитики'!$B$3374:$BI$3374,1,41-'01_Вводные'!$B$15))*'01_Вводные'!$B$298*MIN(1,'01_Вводные'!$B$22)+IF(OR(41&lt;=('01_Вводные'!$B$15+'01_Вводные'!$B$311),41-('01_Вводные'!$B$15+'01_Вводные'!$B$311)&gt;60),0,INDEX('19_Расчет_аналитики'!$B$3374:$BI$3374,1,41-('01_Вводные'!$B$15+'01_Вводные'!$B$311)))*'01_Вводные'!$B$298*MAX(0,'01_Вводные'!$B$22-1)</f>
        <v/>
      </c>
      <c r="AQ3399">
        <f>IF(OR(42&lt;='01_Вводные'!$B$15,42-'01_Вводные'!$B$15&gt;60),0,INDEX('19_Расчет_аналитики'!$B$3374:$BI$3374,1,42-'01_Вводные'!$B$15))*'01_Вводные'!$B$298*MIN(1,'01_Вводные'!$B$22)+IF(OR(42&lt;=('01_Вводные'!$B$15+'01_Вводные'!$B$311),42-('01_Вводные'!$B$15+'01_Вводные'!$B$311)&gt;60),0,INDEX('19_Расчет_аналитики'!$B$3374:$BI$3374,1,42-('01_Вводные'!$B$15+'01_Вводные'!$B$311)))*'01_Вводные'!$B$298*MAX(0,'01_Вводные'!$B$22-1)</f>
        <v/>
      </c>
      <c r="AR3399">
        <f>IF(OR(43&lt;='01_Вводные'!$B$15,43-'01_Вводные'!$B$15&gt;60),0,INDEX('19_Расчет_аналитики'!$B$3374:$BI$3374,1,43-'01_Вводные'!$B$15))*'01_Вводные'!$B$298*MIN(1,'01_Вводные'!$B$22)+IF(OR(43&lt;=('01_Вводные'!$B$15+'01_Вводные'!$B$311),43-('01_Вводные'!$B$15+'01_Вводные'!$B$311)&gt;60),0,INDEX('19_Расчет_аналитики'!$B$3374:$BI$3374,1,43-('01_Вводные'!$B$15+'01_Вводные'!$B$311)))*'01_Вводные'!$B$298*MAX(0,'01_Вводные'!$B$22-1)</f>
        <v/>
      </c>
      <c r="AS3399">
        <f>IF(OR(44&lt;='01_Вводные'!$B$15,44-'01_Вводные'!$B$15&gt;60),0,INDEX('19_Расчет_аналитики'!$B$3374:$BI$3374,1,44-'01_Вводные'!$B$15))*'01_Вводные'!$B$298*MIN(1,'01_Вводные'!$B$22)+IF(OR(44&lt;=('01_Вводные'!$B$15+'01_Вводные'!$B$311),44-('01_Вводные'!$B$15+'01_Вводные'!$B$311)&gt;60),0,INDEX('19_Расчет_аналитики'!$B$3374:$BI$3374,1,44-('01_Вводные'!$B$15+'01_Вводные'!$B$311)))*'01_Вводные'!$B$298*MAX(0,'01_Вводные'!$B$22-1)</f>
        <v/>
      </c>
      <c r="AT3399">
        <f>IF(OR(45&lt;='01_Вводные'!$B$15,45-'01_Вводные'!$B$15&gt;60),0,INDEX('19_Расчет_аналитики'!$B$3374:$BI$3374,1,45-'01_Вводные'!$B$15))*'01_Вводные'!$B$298*MIN(1,'01_Вводные'!$B$22)+IF(OR(45&lt;=('01_Вводные'!$B$15+'01_Вводные'!$B$311),45-('01_Вводные'!$B$15+'01_Вводные'!$B$311)&gt;60),0,INDEX('19_Расчет_аналитики'!$B$3374:$BI$3374,1,45-('01_Вводные'!$B$15+'01_Вводные'!$B$311)))*'01_Вводные'!$B$298*MAX(0,'01_Вводные'!$B$22-1)</f>
        <v/>
      </c>
      <c r="AU3399">
        <f>IF(OR(46&lt;='01_Вводные'!$B$15,46-'01_Вводные'!$B$15&gt;60),0,INDEX('19_Расчет_аналитики'!$B$3374:$BI$3374,1,46-'01_Вводные'!$B$15))*'01_Вводные'!$B$298*MIN(1,'01_Вводные'!$B$22)+IF(OR(46&lt;=('01_Вводные'!$B$15+'01_Вводные'!$B$311),46-('01_Вводные'!$B$15+'01_Вводные'!$B$311)&gt;60),0,INDEX('19_Расчет_аналитики'!$B$3374:$BI$3374,1,46-('01_Вводные'!$B$15+'01_Вводные'!$B$311)))*'01_Вводные'!$B$298*MAX(0,'01_Вводные'!$B$22-1)</f>
        <v/>
      </c>
      <c r="AV3399">
        <f>IF(OR(47&lt;='01_Вводные'!$B$15,47-'01_Вводные'!$B$15&gt;60),0,INDEX('19_Расчет_аналитики'!$B$3374:$BI$3374,1,47-'01_Вводные'!$B$15))*'01_Вводные'!$B$298*MIN(1,'01_Вводные'!$B$22)+IF(OR(47&lt;=('01_Вводные'!$B$15+'01_Вводные'!$B$311),47-('01_Вводные'!$B$15+'01_Вводные'!$B$311)&gt;60),0,INDEX('19_Расчет_аналитики'!$B$3374:$BI$3374,1,47-('01_Вводные'!$B$15+'01_Вводные'!$B$311)))*'01_Вводные'!$B$298*MAX(0,'01_Вводные'!$B$22-1)</f>
        <v/>
      </c>
      <c r="AW3399">
        <f>IF(OR(48&lt;='01_Вводные'!$B$15,48-'01_Вводные'!$B$15&gt;60),0,INDEX('19_Расчет_аналитики'!$B$3374:$BI$3374,1,48-'01_Вводные'!$B$15))*'01_Вводные'!$B$298*MIN(1,'01_Вводные'!$B$22)+IF(OR(48&lt;=('01_Вводные'!$B$15+'01_Вводные'!$B$311),48-('01_Вводные'!$B$15+'01_Вводные'!$B$311)&gt;60),0,INDEX('19_Расчет_аналитики'!$B$3374:$BI$3374,1,48-('01_Вводные'!$B$15+'01_Вводные'!$B$311)))*'01_Вводные'!$B$298*MAX(0,'01_Вводные'!$B$22-1)</f>
        <v/>
      </c>
      <c r="AX3399">
        <f>IF(OR(49&lt;='01_Вводные'!$B$15,49-'01_Вводные'!$B$15&gt;60),0,INDEX('19_Расчет_аналитики'!$B$3374:$BI$3374,1,49-'01_Вводные'!$B$15))*'01_Вводные'!$B$298*MIN(1,'01_Вводные'!$B$22)+IF(OR(49&lt;=('01_Вводные'!$B$15+'01_Вводные'!$B$311),49-('01_Вводные'!$B$15+'01_Вводные'!$B$311)&gt;60),0,INDEX('19_Расчет_аналитики'!$B$3374:$BI$3374,1,49-('01_Вводные'!$B$15+'01_Вводные'!$B$311)))*'01_Вводные'!$B$298*MAX(0,'01_Вводные'!$B$22-1)</f>
        <v/>
      </c>
      <c r="AY3399">
        <f>IF(OR(50&lt;='01_Вводные'!$B$15,50-'01_Вводные'!$B$15&gt;60),0,INDEX('19_Расчет_аналитики'!$B$3374:$BI$3374,1,50-'01_Вводные'!$B$15))*'01_Вводные'!$B$298*MIN(1,'01_Вводные'!$B$22)+IF(OR(50&lt;=('01_Вводные'!$B$15+'01_Вводные'!$B$311),50-('01_Вводные'!$B$15+'01_Вводные'!$B$311)&gt;60),0,INDEX('19_Расчет_аналитики'!$B$3374:$BI$3374,1,50-('01_Вводные'!$B$15+'01_Вводные'!$B$311)))*'01_Вводные'!$B$298*MAX(0,'01_Вводные'!$B$22-1)</f>
        <v/>
      </c>
      <c r="AZ3399">
        <f>IF(OR(51&lt;='01_Вводные'!$B$15,51-'01_Вводные'!$B$15&gt;60),0,INDEX('19_Расчет_аналитики'!$B$3374:$BI$3374,1,51-'01_Вводные'!$B$15))*'01_Вводные'!$B$298*MIN(1,'01_Вводные'!$B$22)+IF(OR(51&lt;=('01_Вводные'!$B$15+'01_Вводные'!$B$311),51-('01_Вводные'!$B$15+'01_Вводные'!$B$311)&gt;60),0,INDEX('19_Расчет_аналитики'!$B$3374:$BI$3374,1,51-('01_Вводные'!$B$15+'01_Вводные'!$B$311)))*'01_Вводные'!$B$298*MAX(0,'01_Вводные'!$B$22-1)</f>
        <v/>
      </c>
      <c r="BA3399">
        <f>IF(OR(52&lt;='01_Вводные'!$B$15,52-'01_Вводные'!$B$15&gt;60),0,INDEX('19_Расчет_аналитики'!$B$3374:$BI$3374,1,52-'01_Вводные'!$B$15))*'01_Вводные'!$B$298*MIN(1,'01_Вводные'!$B$22)+IF(OR(52&lt;=('01_Вводные'!$B$15+'01_Вводные'!$B$311),52-('01_Вводные'!$B$15+'01_Вводные'!$B$311)&gt;60),0,INDEX('19_Расчет_аналитики'!$B$3374:$BI$3374,1,52-('01_Вводные'!$B$15+'01_Вводные'!$B$311)))*'01_Вводные'!$B$298*MAX(0,'01_Вводные'!$B$22-1)</f>
        <v/>
      </c>
      <c r="BB3399">
        <f>IF(OR(53&lt;='01_Вводные'!$B$15,53-'01_Вводные'!$B$15&gt;60),0,INDEX('19_Расчет_аналитики'!$B$3374:$BI$3374,1,53-'01_Вводные'!$B$15))*'01_Вводные'!$B$298*MIN(1,'01_Вводные'!$B$22)+IF(OR(53&lt;=('01_Вводные'!$B$15+'01_Вводные'!$B$311),53-('01_Вводные'!$B$15+'01_Вводные'!$B$311)&gt;60),0,INDEX('19_Расчет_аналитики'!$B$3374:$BI$3374,1,53-('01_Вводные'!$B$15+'01_Вводные'!$B$311)))*'01_Вводные'!$B$298*MAX(0,'01_Вводные'!$B$22-1)</f>
        <v/>
      </c>
      <c r="BC3399">
        <f>IF(OR(54&lt;='01_Вводные'!$B$15,54-'01_Вводные'!$B$15&gt;60),0,INDEX('19_Расчет_аналитики'!$B$3374:$BI$3374,1,54-'01_Вводные'!$B$15))*'01_Вводные'!$B$298*MIN(1,'01_Вводные'!$B$22)+IF(OR(54&lt;=('01_Вводные'!$B$15+'01_Вводные'!$B$311),54-('01_Вводные'!$B$15+'01_Вводные'!$B$311)&gt;60),0,INDEX('19_Расчет_аналитики'!$B$3374:$BI$3374,1,54-('01_Вводные'!$B$15+'01_Вводные'!$B$311)))*'01_Вводные'!$B$298*MAX(0,'01_Вводные'!$B$22-1)</f>
        <v/>
      </c>
      <c r="BD3399">
        <f>IF(OR(55&lt;='01_Вводные'!$B$15,55-'01_Вводные'!$B$15&gt;60),0,INDEX('19_Расчет_аналитики'!$B$3374:$BI$3374,1,55-'01_Вводные'!$B$15))*'01_Вводные'!$B$298*MIN(1,'01_Вводные'!$B$22)+IF(OR(55&lt;=('01_Вводные'!$B$15+'01_Вводные'!$B$311),55-('01_Вводные'!$B$15+'01_Вводные'!$B$311)&gt;60),0,INDEX('19_Расчет_аналитики'!$B$3374:$BI$3374,1,55-('01_Вводные'!$B$15+'01_Вводные'!$B$311)))*'01_Вводные'!$B$298*MAX(0,'01_Вводные'!$B$22-1)</f>
        <v/>
      </c>
      <c r="BE3399">
        <f>IF(OR(56&lt;='01_Вводные'!$B$15,56-'01_Вводные'!$B$15&gt;60),0,INDEX('19_Расчет_аналитики'!$B$3374:$BI$3374,1,56-'01_Вводные'!$B$15))*'01_Вводные'!$B$298*MIN(1,'01_Вводные'!$B$22)+IF(OR(56&lt;=('01_Вводные'!$B$15+'01_Вводные'!$B$311),56-('01_Вводные'!$B$15+'01_Вводные'!$B$311)&gt;60),0,INDEX('19_Расчет_аналитики'!$B$3374:$BI$3374,1,56-('01_Вводные'!$B$15+'01_Вводные'!$B$311)))*'01_Вводные'!$B$298*MAX(0,'01_Вводные'!$B$22-1)</f>
        <v/>
      </c>
      <c r="BF3399">
        <f>IF(OR(57&lt;='01_Вводные'!$B$15,57-'01_Вводные'!$B$15&gt;60),0,INDEX('19_Расчет_аналитики'!$B$3374:$BI$3374,1,57-'01_Вводные'!$B$15))*'01_Вводные'!$B$298*MIN(1,'01_Вводные'!$B$22)+IF(OR(57&lt;=('01_Вводные'!$B$15+'01_Вводные'!$B$311),57-('01_Вводные'!$B$15+'01_Вводные'!$B$311)&gt;60),0,INDEX('19_Расчет_аналитики'!$B$3374:$BI$3374,1,57-('01_Вводные'!$B$15+'01_Вводные'!$B$311)))*'01_Вводные'!$B$298*MAX(0,'01_Вводные'!$B$22-1)</f>
        <v/>
      </c>
      <c r="BG3399">
        <f>IF(OR(58&lt;='01_Вводные'!$B$15,58-'01_Вводные'!$B$15&gt;60),0,INDEX('19_Расчет_аналитики'!$B$3374:$BI$3374,1,58-'01_Вводные'!$B$15))*'01_Вводные'!$B$298*MIN(1,'01_Вводные'!$B$22)+IF(OR(58&lt;=('01_Вводные'!$B$15+'01_Вводные'!$B$311),58-('01_Вводные'!$B$15+'01_Вводные'!$B$311)&gt;60),0,INDEX('19_Расчет_аналитики'!$B$3374:$BI$3374,1,58-('01_Вводные'!$B$15+'01_Вводные'!$B$311)))*'01_Вводные'!$B$298*MAX(0,'01_Вводные'!$B$22-1)</f>
        <v/>
      </c>
      <c r="BH3399">
        <f>IF(OR(59&lt;='01_Вводные'!$B$15,59-'01_Вводные'!$B$15&gt;60),0,INDEX('19_Расчет_аналитики'!$B$3374:$BI$3374,1,59-'01_Вводные'!$B$15))*'01_Вводные'!$B$298*MIN(1,'01_Вводные'!$B$22)+IF(OR(59&lt;=('01_Вводные'!$B$15+'01_Вводные'!$B$311),59-('01_Вводные'!$B$15+'01_Вводные'!$B$311)&gt;60),0,INDEX('19_Расчет_аналитики'!$B$3374:$BI$3374,1,59-('01_Вводные'!$B$15+'01_Вводные'!$B$311)))*'01_Вводные'!$B$298*MAX(0,'01_Вводные'!$B$22-1)</f>
        <v/>
      </c>
      <c r="BI3399">
        <f>IF(OR(60&lt;='01_Вводные'!$B$15,60-'01_Вводные'!$B$15&gt;60),0,INDEX('19_Расчет_аналитики'!$B$3374:$BI$3374,1,60-'01_Вводные'!$B$15))*'01_Вводные'!$B$298*MIN(1,'01_Вводные'!$B$22)+IF(OR(60&lt;=('01_Вводные'!$B$15+'01_Вводные'!$B$311),60-('01_Вводные'!$B$15+'01_Вводные'!$B$311)&gt;60),0,INDEX('19_Расчет_аналитики'!$B$3374:$BI$3374,1,60-('01_Вводные'!$B$15+'01_Вводные'!$B$311)))*'01_Вводные'!$B$298*MAX(0,'01_Вводные'!$B$22-1)</f>
        <v/>
      </c>
      <c r="BJ3399">
        <f>IF(OR(61&lt;='01_Вводные'!$B$15,61-'01_Вводные'!$B$15&gt;60),0,INDEX('19_Расчет_аналитики'!$B$3374:$BI$3374,1,61-'01_Вводные'!$B$15))*'01_Вводные'!$B$298*MIN(1,'01_Вводные'!$B$22)+IF(OR(61&lt;=('01_Вводные'!$B$15+'01_Вводные'!$B$311),61-('01_Вводные'!$B$15+'01_Вводные'!$B$311)&gt;60),0,INDEX('19_Расчет_аналитики'!$B$3374:$BI$3374,1,61-('01_Вводные'!$B$15+'01_Вводные'!$B$311)))*'01_Вводные'!$B$298*MAX(0,'01_Вводные'!$B$22-1)</f>
        <v/>
      </c>
      <c r="BK3399">
        <f>IF(OR(62&lt;='01_Вводные'!$B$15,62-'01_Вводные'!$B$15&gt;60),0,INDEX('19_Расчет_аналитики'!$B$3374:$BI$3374,1,62-'01_Вводные'!$B$15))*'01_Вводные'!$B$298*MIN(1,'01_Вводные'!$B$22)+IF(OR(62&lt;=('01_Вводные'!$B$15+'01_Вводные'!$B$311),62-('01_Вводные'!$B$15+'01_Вводные'!$B$311)&gt;60),0,INDEX('19_Расчет_аналитики'!$B$3374:$BI$3374,1,62-('01_Вводные'!$B$15+'01_Вводные'!$B$311)))*'01_Вводные'!$B$298*MAX(0,'01_Вводные'!$B$22-1)</f>
        <v/>
      </c>
      <c r="BL3399">
        <f>IF(OR(63&lt;='01_Вводные'!$B$15,63-'01_Вводные'!$B$15&gt;60),0,INDEX('19_Расчет_аналитики'!$B$3374:$BI$3374,1,63-'01_Вводные'!$B$15))*'01_Вводные'!$B$298*MIN(1,'01_Вводные'!$B$22)+IF(OR(63&lt;=('01_Вводные'!$B$15+'01_Вводные'!$B$311),63-('01_Вводные'!$B$15+'01_Вводные'!$B$311)&gt;60),0,INDEX('19_Расчет_аналитики'!$B$3374:$BI$3374,1,63-('01_Вводные'!$B$15+'01_Вводные'!$B$311)))*'01_Вводные'!$B$298*MAX(0,'01_Вводные'!$B$22-1)</f>
        <v/>
      </c>
      <c r="BM3399">
        <f>IF(OR(64&lt;='01_Вводные'!$B$15,64-'01_Вводные'!$B$15&gt;60),0,INDEX('19_Расчет_аналитики'!$B$3374:$BI$3374,1,64-'01_Вводные'!$B$15))*'01_Вводные'!$B$298*MIN(1,'01_Вводные'!$B$22)+IF(OR(64&lt;=('01_Вводные'!$B$15+'01_Вводные'!$B$311),64-('01_Вводные'!$B$15+'01_Вводные'!$B$311)&gt;60),0,INDEX('19_Расчет_аналитики'!$B$3374:$BI$3374,1,64-('01_Вводные'!$B$15+'01_Вводные'!$B$311)))*'01_Вводные'!$B$298*MAX(0,'01_Вводные'!$B$22-1)</f>
        <v/>
      </c>
      <c r="BN3399">
        <f>IF(OR(65&lt;='01_Вводные'!$B$15,65-'01_Вводные'!$B$15&gt;60),0,INDEX('19_Расчет_аналитики'!$B$3374:$BI$3374,1,65-'01_Вводные'!$B$15))*'01_Вводные'!$B$298*MIN(1,'01_Вводные'!$B$22)+IF(OR(65&lt;=('01_Вводные'!$B$15+'01_Вводные'!$B$311),65-('01_Вводные'!$B$15+'01_Вводные'!$B$311)&gt;60),0,INDEX('19_Расчет_аналитики'!$B$3374:$BI$3374,1,65-('01_Вводные'!$B$15+'01_Вводные'!$B$311)))*'01_Вводные'!$B$298*MAX(0,'01_Вводные'!$B$22-1)</f>
        <v/>
      </c>
      <c r="BO3399">
        <f>IF(OR(66&lt;='01_Вводные'!$B$15,66-'01_Вводные'!$B$15&gt;60),0,INDEX('19_Расчет_аналитики'!$B$3374:$BI$3374,1,66-'01_Вводные'!$B$15))*'01_Вводные'!$B$298*MIN(1,'01_Вводные'!$B$22)+IF(OR(66&lt;=('01_Вводные'!$B$15+'01_Вводные'!$B$311),66-('01_Вводные'!$B$15+'01_Вводные'!$B$311)&gt;60),0,INDEX('19_Расчет_аналитики'!$B$3374:$BI$3374,1,66-('01_Вводные'!$B$15+'01_Вводные'!$B$311)))*'01_Вводные'!$B$298*MAX(0,'01_Вводные'!$B$22-1)</f>
        <v/>
      </c>
    </row>
    <row r="3400">
      <c r="C3400">
        <f>IF('01_Вводные'!$B$234="Да",'19_Расчет_аналитики'!C3398*'01_Вводные'!$B$16,0)</f>
        <v/>
      </c>
      <c r="D3400">
        <f>IF('01_Вводные'!$B$234="Да",'19_Расчет_аналитики'!D3398*'01_Вводные'!$B$16,0)</f>
        <v/>
      </c>
      <c r="E3400">
        <f>IF('01_Вводные'!$B$234="Да",'19_Расчет_аналитики'!E3398*'01_Вводные'!$B$16,0)</f>
        <v/>
      </c>
      <c r="F3400">
        <f>IF('01_Вводные'!$B$234="Да",'19_Расчет_аналитики'!F3398*'01_Вводные'!$B$16,0)</f>
        <v/>
      </c>
      <c r="G3400">
        <f>IF('01_Вводные'!$B$234="Да",'19_Расчет_аналитики'!G3398*'01_Вводные'!$B$16,0)</f>
        <v/>
      </c>
      <c r="H3400">
        <f>IF('01_Вводные'!$B$234="Да",'19_Расчет_аналитики'!H3398*'01_Вводные'!$B$16,0)</f>
        <v/>
      </c>
      <c r="I3400">
        <f>IF('01_Вводные'!$B$234="Да",'19_Расчет_аналитики'!I3398*'01_Вводные'!$B$16,0)</f>
        <v/>
      </c>
      <c r="J3400">
        <f>IF('01_Вводные'!$B$234="Да",'19_Расчет_аналитики'!J3398*'01_Вводные'!$B$16,0)</f>
        <v/>
      </c>
      <c r="K3400">
        <f>IF('01_Вводные'!$B$234="Да",'19_Расчет_аналитики'!K3398*'01_Вводные'!$B$16,0)</f>
        <v/>
      </c>
      <c r="L3400">
        <f>IF('01_Вводные'!$B$234="Да",'19_Расчет_аналитики'!L3398*'01_Вводные'!$B$16,0)</f>
        <v/>
      </c>
      <c r="M3400">
        <f>IF('01_Вводные'!$B$234="Да",'19_Расчет_аналитики'!M3398*'01_Вводные'!$B$16,0)</f>
        <v/>
      </c>
      <c r="N3400">
        <f>IF('01_Вводные'!$B$234="Да",'19_Расчет_аналитики'!N3398*'01_Вводные'!$B$16,0)</f>
        <v/>
      </c>
      <c r="O3400">
        <f>IF('01_Вводные'!$B$234="Да",'19_Расчет_аналитики'!O3398*'01_Вводные'!$B$16,0)</f>
        <v/>
      </c>
      <c r="P3400">
        <f>IF('01_Вводные'!$B$234="Да",'19_Расчет_аналитики'!P3398*'01_Вводные'!$B$16,0)</f>
        <v/>
      </c>
      <c r="Q3400">
        <f>IF('01_Вводные'!$B$234="Да",'19_Расчет_аналитики'!Q3398*'01_Вводные'!$B$16,0)</f>
        <v/>
      </c>
      <c r="R3400">
        <f>IF('01_Вводные'!$B$234="Да",'19_Расчет_аналитики'!R3398*'01_Вводные'!$B$16,0)</f>
        <v/>
      </c>
      <c r="S3400">
        <f>IF('01_Вводные'!$B$234="Да",'19_Расчет_аналитики'!S3398*'01_Вводные'!$B$16,0)</f>
        <v/>
      </c>
      <c r="T3400">
        <f>IF('01_Вводные'!$B$234="Да",'19_Расчет_аналитики'!T3398*'01_Вводные'!$B$16,0)</f>
        <v/>
      </c>
      <c r="U3400">
        <f>IF('01_Вводные'!$B$234="Да",'19_Расчет_аналитики'!U3398*'01_Вводные'!$B$16,0)</f>
        <v/>
      </c>
      <c r="V3400">
        <f>IF('01_Вводные'!$B$234="Да",'19_Расчет_аналитики'!V3398*'01_Вводные'!$B$16,0)</f>
        <v/>
      </c>
      <c r="W3400">
        <f>IF('01_Вводные'!$B$234="Да",'19_Расчет_аналитики'!W3398*'01_Вводные'!$B$16,0)</f>
        <v/>
      </c>
      <c r="X3400">
        <f>IF('01_Вводные'!$B$234="Да",'19_Расчет_аналитики'!X3398*'01_Вводные'!$B$16,0)</f>
        <v/>
      </c>
      <c r="Y3400">
        <f>IF('01_Вводные'!$B$234="Да",'19_Расчет_аналитики'!Y3398*'01_Вводные'!$B$16,0)</f>
        <v/>
      </c>
      <c r="Z3400">
        <f>IF('01_Вводные'!$B$234="Да",'19_Расчет_аналитики'!Z3398*'01_Вводные'!$B$16,0)</f>
        <v/>
      </c>
      <c r="AA3400">
        <f>IF('01_Вводные'!$B$234="Да",'19_Расчет_аналитики'!AA3398*'01_Вводные'!$B$16,0)</f>
        <v/>
      </c>
      <c r="AB3400">
        <f>IF('01_Вводные'!$B$234="Да",'19_Расчет_аналитики'!AB3398*'01_Вводные'!$B$16,0)</f>
        <v/>
      </c>
      <c r="AC3400">
        <f>IF('01_Вводные'!$B$234="Да",'19_Расчет_аналитики'!AC3398*'01_Вводные'!$B$16,0)</f>
        <v/>
      </c>
      <c r="AD3400">
        <f>IF('01_Вводные'!$B$234="Да",'19_Расчет_аналитики'!AD3398*'01_Вводные'!$B$16,0)</f>
        <v/>
      </c>
      <c r="AE3400">
        <f>IF('01_Вводные'!$B$234="Да",'19_Расчет_аналитики'!AE3398*'01_Вводные'!$B$16,0)</f>
        <v/>
      </c>
      <c r="AF3400">
        <f>IF('01_Вводные'!$B$234="Да",'19_Расчет_аналитики'!AF3398*'01_Вводные'!$B$16,0)</f>
        <v/>
      </c>
      <c r="AG3400">
        <f>IF('01_Вводные'!$B$234="Да",'19_Расчет_аналитики'!AG3398*'01_Вводные'!$B$16,0)</f>
        <v/>
      </c>
      <c r="AH3400">
        <f>IF('01_Вводные'!$B$234="Да",'19_Расчет_аналитики'!AH3398*'01_Вводные'!$B$16,0)</f>
        <v/>
      </c>
      <c r="AI3400">
        <f>IF('01_Вводные'!$B$234="Да",'19_Расчет_аналитики'!AI3398*'01_Вводные'!$B$16,0)</f>
        <v/>
      </c>
      <c r="AJ3400">
        <f>IF('01_Вводные'!$B$234="Да",'19_Расчет_аналитики'!AJ3398*'01_Вводные'!$B$16,0)</f>
        <v/>
      </c>
      <c r="AK3400">
        <f>IF('01_Вводные'!$B$234="Да",'19_Расчет_аналитики'!AK3398*'01_Вводные'!$B$16,0)</f>
        <v/>
      </c>
      <c r="AL3400">
        <f>IF('01_Вводные'!$B$234="Да",'19_Расчет_аналитики'!AL3398*'01_Вводные'!$B$16,0)</f>
        <v/>
      </c>
      <c r="AM3400">
        <f>IF('01_Вводные'!$B$234="Да",'19_Расчет_аналитики'!AM3398*'01_Вводные'!$B$16,0)</f>
        <v/>
      </c>
      <c r="AN3400">
        <f>IF('01_Вводные'!$B$234="Да",'19_Расчет_аналитики'!AN3398*'01_Вводные'!$B$16,0)</f>
        <v/>
      </c>
      <c r="AO3400">
        <f>IF('01_Вводные'!$B$234="Да",'19_Расчет_аналитики'!AO3398*'01_Вводные'!$B$16,0)</f>
        <v/>
      </c>
      <c r="AP3400">
        <f>IF('01_Вводные'!$B$234="Да",'19_Расчет_аналитики'!AP3398*'01_Вводные'!$B$16,0)</f>
        <v/>
      </c>
      <c r="AQ3400">
        <f>IF('01_Вводные'!$B$234="Да",'19_Расчет_аналитики'!AQ3398*'01_Вводные'!$B$16,0)</f>
        <v/>
      </c>
      <c r="AR3400">
        <f>IF('01_Вводные'!$B$234="Да",'19_Расчет_аналитики'!AR3398*'01_Вводные'!$B$16,0)</f>
        <v/>
      </c>
      <c r="AS3400">
        <f>IF('01_Вводные'!$B$234="Да",'19_Расчет_аналитики'!AS3398*'01_Вводные'!$B$16,0)</f>
        <v/>
      </c>
      <c r="AT3400">
        <f>IF('01_Вводные'!$B$234="Да",'19_Расчет_аналитики'!AT3398*'01_Вводные'!$B$16,0)</f>
        <v/>
      </c>
      <c r="AU3400">
        <f>IF('01_Вводные'!$B$234="Да",'19_Расчет_аналитики'!AU3398*'01_Вводные'!$B$16,0)</f>
        <v/>
      </c>
      <c r="AV3400">
        <f>IF('01_Вводные'!$B$234="Да",'19_Расчет_аналитики'!AV3398*'01_Вводные'!$B$16,0)</f>
        <v/>
      </c>
      <c r="AW3400">
        <f>IF('01_Вводные'!$B$234="Да",'19_Расчет_аналитики'!AW3398*'01_Вводные'!$B$16,0)</f>
        <v/>
      </c>
      <c r="AX3400">
        <f>IF('01_Вводные'!$B$234="Да",'19_Расчет_аналитики'!AX3398*'01_Вводные'!$B$16,0)</f>
        <v/>
      </c>
      <c r="AY3400">
        <f>IF('01_Вводные'!$B$234="Да",'19_Расчет_аналитики'!AY3398*'01_Вводные'!$B$16,0)</f>
        <v/>
      </c>
      <c r="AZ3400">
        <f>IF('01_Вводные'!$B$234="Да",'19_Расчет_аналитики'!AZ3398*'01_Вводные'!$B$16,0)</f>
        <v/>
      </c>
      <c r="BA3400">
        <f>IF('01_Вводные'!$B$234="Да",'19_Расчет_аналитики'!BA3398*'01_Вводные'!$B$16,0)</f>
        <v/>
      </c>
      <c r="BB3400">
        <f>IF('01_Вводные'!$B$234="Да",'19_Расчет_аналитики'!BB3398*'01_Вводные'!$B$16,0)</f>
        <v/>
      </c>
      <c r="BC3400">
        <f>IF('01_Вводные'!$B$234="Да",'19_Расчет_аналитики'!BC3398*'01_Вводные'!$B$16,0)</f>
        <v/>
      </c>
      <c r="BD3400">
        <f>IF('01_Вводные'!$B$234="Да",'19_Расчет_аналитики'!BD3398*'01_Вводные'!$B$16,0)</f>
        <v/>
      </c>
      <c r="BE3400">
        <f>IF('01_Вводные'!$B$234="Да",'19_Расчет_аналитики'!BE3398*'01_Вводные'!$B$16,0)</f>
        <v/>
      </c>
      <c r="BF3400">
        <f>IF('01_Вводные'!$B$234="Да",'19_Расчет_аналитики'!BF3398*'01_Вводные'!$B$16,0)</f>
        <v/>
      </c>
      <c r="BG3400">
        <f>IF('01_Вводные'!$B$234="Да",'19_Расчет_аналитики'!BG3398*'01_Вводные'!$B$16,0)</f>
        <v/>
      </c>
      <c r="BH3400">
        <f>IF('01_Вводные'!$B$234="Да",'19_Расчет_аналитики'!BH3398*'01_Вводные'!$B$16,0)</f>
        <v/>
      </c>
      <c r="BI3400">
        <f>IF('01_Вводные'!$B$234="Да",'19_Расчет_аналитики'!BI3398*'01_Вводные'!$B$16,0)</f>
        <v/>
      </c>
    </row>
    <row r="3401">
      <c r="C3401">
        <f>IF('01_Вводные'!$B$234="Да",'06_Сеть_и_дети'!B10*'01_Вводные'!$B$14+'19_Расчет_аналитики'!C3400,0)</f>
        <v/>
      </c>
      <c r="D3401">
        <f>IF('01_Вводные'!$B$234="Да",'19_Расчет_аналитики'!C3401*'01_Вводные'!$B$14+'19_Расчет_аналитики'!D3400,0)</f>
        <v/>
      </c>
      <c r="E3401">
        <f>IF('01_Вводные'!$B$234="Да",'19_Расчет_аналитики'!D3401*'01_Вводные'!$B$14+'19_Расчет_аналитики'!E3400,0)</f>
        <v/>
      </c>
      <c r="F3401">
        <f>IF('01_Вводные'!$B$234="Да",'19_Расчет_аналитики'!E3401*'01_Вводные'!$B$14+'19_Расчет_аналитики'!F3400,0)</f>
        <v/>
      </c>
      <c r="G3401">
        <f>IF('01_Вводные'!$B$234="Да",'19_Расчет_аналитики'!F3401*'01_Вводные'!$B$14+'19_Расчет_аналитики'!G3400,0)</f>
        <v/>
      </c>
      <c r="H3401">
        <f>IF('01_Вводные'!$B$234="Да",'19_Расчет_аналитики'!G3401*'01_Вводные'!$B$14+'19_Расчет_аналитики'!H3400,0)</f>
        <v/>
      </c>
      <c r="I3401">
        <f>IF('01_Вводные'!$B$234="Да",'19_Расчет_аналитики'!H3401*'01_Вводные'!$B$14+'19_Расчет_аналитики'!I3400,0)</f>
        <v/>
      </c>
      <c r="J3401">
        <f>IF('01_Вводные'!$B$234="Да",'19_Расчет_аналитики'!I3401*'01_Вводные'!$B$14+'19_Расчет_аналитики'!J3400,0)</f>
        <v/>
      </c>
      <c r="K3401">
        <f>IF('01_Вводные'!$B$234="Да",'19_Расчет_аналитики'!J3401*'01_Вводные'!$B$14+'19_Расчет_аналитики'!K3400,0)</f>
        <v/>
      </c>
      <c r="L3401">
        <f>IF('01_Вводные'!$B$234="Да",'19_Расчет_аналитики'!K3401*'01_Вводные'!$B$14+'19_Расчет_аналитики'!L3400,0)</f>
        <v/>
      </c>
      <c r="M3401">
        <f>IF('01_Вводные'!$B$234="Да",'19_Расчет_аналитики'!L3401*'01_Вводные'!$B$14+'19_Расчет_аналитики'!M3400,0)</f>
        <v/>
      </c>
      <c r="N3401">
        <f>IF('01_Вводные'!$B$234="Да",'19_Расчет_аналитики'!M3401*'01_Вводные'!$B$14+'19_Расчет_аналитики'!N3400,0)</f>
        <v/>
      </c>
      <c r="O3401">
        <f>IF('01_Вводные'!$B$234="Да",'19_Расчет_аналитики'!N3401*'01_Вводные'!$B$14+'19_Расчет_аналитики'!O3400,0)</f>
        <v/>
      </c>
      <c r="P3401">
        <f>IF('01_Вводные'!$B$234="Да",'19_Расчет_аналитики'!O3401*'01_Вводные'!$B$14+'19_Расчет_аналитики'!P3400,0)</f>
        <v/>
      </c>
      <c r="Q3401">
        <f>IF('01_Вводные'!$B$234="Да",'19_Расчет_аналитики'!P3401*'01_Вводные'!$B$14+'19_Расчет_аналитики'!Q3400,0)</f>
        <v/>
      </c>
      <c r="R3401">
        <f>IF('01_Вводные'!$B$234="Да",'19_Расчет_аналитики'!Q3401*'01_Вводные'!$B$14+'19_Расчет_аналитики'!R3400,0)</f>
        <v/>
      </c>
      <c r="S3401">
        <f>IF('01_Вводные'!$B$234="Да",'19_Расчет_аналитики'!R3401*'01_Вводные'!$B$14+'19_Расчет_аналитики'!S3400,0)</f>
        <v/>
      </c>
      <c r="T3401">
        <f>IF('01_Вводные'!$B$234="Да",'19_Расчет_аналитики'!S3401*'01_Вводные'!$B$14+'19_Расчет_аналитики'!T3400,0)</f>
        <v/>
      </c>
      <c r="U3401">
        <f>IF('01_Вводные'!$B$234="Да",'19_Расчет_аналитики'!T3401*'01_Вводные'!$B$14+'19_Расчет_аналитики'!U3400,0)</f>
        <v/>
      </c>
      <c r="V3401">
        <f>IF('01_Вводные'!$B$234="Да",'19_Расчет_аналитики'!U3401*'01_Вводные'!$B$14+'19_Расчет_аналитики'!V3400,0)</f>
        <v/>
      </c>
      <c r="W3401">
        <f>IF('01_Вводные'!$B$234="Да",'19_Расчет_аналитики'!V3401*'01_Вводные'!$B$14+'19_Расчет_аналитики'!W3400,0)</f>
        <v/>
      </c>
      <c r="X3401">
        <f>IF('01_Вводные'!$B$234="Да",'19_Расчет_аналитики'!W3401*'01_Вводные'!$B$14+'19_Расчет_аналитики'!X3400,0)</f>
        <v/>
      </c>
      <c r="Y3401">
        <f>IF('01_Вводные'!$B$234="Да",'19_Расчет_аналитики'!X3401*'01_Вводные'!$B$14+'19_Расчет_аналитики'!Y3400,0)</f>
        <v/>
      </c>
      <c r="Z3401">
        <f>IF('01_Вводные'!$B$234="Да",'19_Расчет_аналитики'!Y3401*'01_Вводные'!$B$14+'19_Расчет_аналитики'!Z3400,0)</f>
        <v/>
      </c>
      <c r="AA3401">
        <f>IF('01_Вводные'!$B$234="Да",'19_Расчет_аналитики'!Z3401*'01_Вводные'!$B$14+'19_Расчет_аналитики'!AA3400,0)</f>
        <v/>
      </c>
      <c r="AB3401">
        <f>IF('01_Вводные'!$B$234="Да",'19_Расчет_аналитики'!AA3401*'01_Вводные'!$B$14+'19_Расчет_аналитики'!AB3400,0)</f>
        <v/>
      </c>
      <c r="AC3401">
        <f>IF('01_Вводные'!$B$234="Да",'19_Расчет_аналитики'!AB3401*'01_Вводные'!$B$14+'19_Расчет_аналитики'!AC3400,0)</f>
        <v/>
      </c>
      <c r="AD3401">
        <f>IF('01_Вводные'!$B$234="Да",'19_Расчет_аналитики'!AC3401*'01_Вводные'!$B$14+'19_Расчет_аналитики'!AD3400,0)</f>
        <v/>
      </c>
      <c r="AE3401">
        <f>IF('01_Вводные'!$B$234="Да",'19_Расчет_аналитики'!AD3401*'01_Вводные'!$B$14+'19_Расчет_аналитики'!AE3400,0)</f>
        <v/>
      </c>
      <c r="AF3401">
        <f>IF('01_Вводные'!$B$234="Да",'19_Расчет_аналитики'!AE3401*'01_Вводные'!$B$14+'19_Расчет_аналитики'!AF3400,0)</f>
        <v/>
      </c>
      <c r="AG3401">
        <f>IF('01_Вводные'!$B$234="Да",'19_Расчет_аналитики'!AF3401*'01_Вводные'!$B$14+'19_Расчет_аналитики'!AG3400,0)</f>
        <v/>
      </c>
      <c r="AH3401">
        <f>IF('01_Вводные'!$B$234="Да",'19_Расчет_аналитики'!AG3401*'01_Вводные'!$B$14+'19_Расчет_аналитики'!AH3400,0)</f>
        <v/>
      </c>
      <c r="AI3401">
        <f>IF('01_Вводные'!$B$234="Да",'19_Расчет_аналитики'!AH3401*'01_Вводные'!$B$14+'19_Расчет_аналитики'!AI3400,0)</f>
        <v/>
      </c>
      <c r="AJ3401">
        <f>IF('01_Вводные'!$B$234="Да",'19_Расчет_аналитики'!AI3401*'01_Вводные'!$B$14+'19_Расчет_аналитики'!AJ3400,0)</f>
        <v/>
      </c>
      <c r="AK3401">
        <f>IF('01_Вводные'!$B$234="Да",'19_Расчет_аналитики'!AJ3401*'01_Вводные'!$B$14+'19_Расчет_аналитики'!AK3400,0)</f>
        <v/>
      </c>
      <c r="AL3401">
        <f>IF('01_Вводные'!$B$234="Да",'19_Расчет_аналитики'!AK3401*'01_Вводные'!$B$14+'19_Расчет_аналитики'!AL3400,0)</f>
        <v/>
      </c>
      <c r="AM3401">
        <f>IF('01_Вводные'!$B$234="Да",'19_Расчет_аналитики'!AL3401*'01_Вводные'!$B$14+'19_Расчет_аналитики'!AM3400,0)</f>
        <v/>
      </c>
      <c r="AN3401">
        <f>IF('01_Вводные'!$B$234="Да",'19_Расчет_аналитики'!AM3401*'01_Вводные'!$B$14+'19_Расчет_аналитики'!AN3400,0)</f>
        <v/>
      </c>
      <c r="AO3401">
        <f>IF('01_Вводные'!$B$234="Да",'19_Расчет_аналитики'!AN3401*'01_Вводные'!$B$14+'19_Расчет_аналитики'!AO3400,0)</f>
        <v/>
      </c>
      <c r="AP3401">
        <f>IF('01_Вводные'!$B$234="Да",'19_Расчет_аналитики'!AO3401*'01_Вводные'!$B$14+'19_Расчет_аналитики'!AP3400,0)</f>
        <v/>
      </c>
      <c r="AQ3401">
        <f>IF('01_Вводные'!$B$234="Да",'19_Расчет_аналитики'!AP3401*'01_Вводные'!$B$14+'19_Расчет_аналитики'!AQ3400,0)</f>
        <v/>
      </c>
      <c r="AR3401">
        <f>IF('01_Вводные'!$B$234="Да",'19_Расчет_аналитики'!AQ3401*'01_Вводные'!$B$14+'19_Расчет_аналитики'!AR3400,0)</f>
        <v/>
      </c>
      <c r="AS3401">
        <f>IF('01_Вводные'!$B$234="Да",'19_Расчет_аналитики'!AR3401*'01_Вводные'!$B$14+'19_Расчет_аналитики'!AS3400,0)</f>
        <v/>
      </c>
      <c r="AT3401">
        <f>IF('01_Вводные'!$B$234="Да",'19_Расчет_аналитики'!AS3401*'01_Вводные'!$B$14+'19_Расчет_аналитики'!AT3400,0)</f>
        <v/>
      </c>
      <c r="AU3401">
        <f>IF('01_Вводные'!$B$234="Да",'19_Расчет_аналитики'!AT3401*'01_Вводные'!$B$14+'19_Расчет_аналитики'!AU3400,0)</f>
        <v/>
      </c>
      <c r="AV3401">
        <f>IF('01_Вводные'!$B$234="Да",'19_Расчет_аналитики'!AU3401*'01_Вводные'!$B$14+'19_Расчет_аналитики'!AV3400,0)</f>
        <v/>
      </c>
      <c r="AW3401">
        <f>IF('01_Вводные'!$B$234="Да",'19_Расчет_аналитики'!AV3401*'01_Вводные'!$B$14+'19_Расчет_аналитики'!AW3400,0)</f>
        <v/>
      </c>
      <c r="AX3401">
        <f>IF('01_Вводные'!$B$234="Да",'19_Расчет_аналитики'!AW3401*'01_Вводные'!$B$14+'19_Расчет_аналитики'!AX3400,0)</f>
        <v/>
      </c>
      <c r="AY3401">
        <f>IF('01_Вводные'!$B$234="Да",'19_Расчет_аналитики'!AX3401*'01_Вводные'!$B$14+'19_Расчет_аналитики'!AY3400,0)</f>
        <v/>
      </c>
      <c r="AZ3401">
        <f>IF('01_Вводные'!$B$234="Да",'19_Расчет_аналитики'!AY3401*'01_Вводные'!$B$14+'19_Расчет_аналитики'!AZ3400,0)</f>
        <v/>
      </c>
      <c r="BA3401">
        <f>IF('01_Вводные'!$B$234="Да",'19_Расчет_аналитики'!AZ3401*'01_Вводные'!$B$14+'19_Расчет_аналитики'!BA3400,0)</f>
        <v/>
      </c>
      <c r="BB3401">
        <f>IF('01_Вводные'!$B$234="Да",'19_Расчет_аналитики'!BA3401*'01_Вводные'!$B$14+'19_Расчет_аналитики'!BB3400,0)</f>
        <v/>
      </c>
      <c r="BC3401">
        <f>IF('01_Вводные'!$B$234="Да",'19_Расчет_аналитики'!BB3401*'01_Вводные'!$B$14+'19_Расчет_аналитики'!BC3400,0)</f>
        <v/>
      </c>
      <c r="BD3401">
        <f>IF('01_Вводные'!$B$234="Да",'19_Расчет_аналитики'!BC3401*'01_Вводные'!$B$14+'19_Расчет_аналитики'!BD3400,0)</f>
        <v/>
      </c>
      <c r="BE3401">
        <f>IF('01_Вводные'!$B$234="Да",'19_Расчет_аналитики'!BD3401*'01_Вводные'!$B$14+'19_Расчет_аналитики'!BE3400,0)</f>
        <v/>
      </c>
      <c r="BF3401">
        <f>IF('01_Вводные'!$B$234="Да",'19_Расчет_аналитики'!BE3401*'01_Вводные'!$B$14+'19_Расчет_аналитики'!BF3400,0)</f>
        <v/>
      </c>
      <c r="BG3401">
        <f>IF('01_Вводные'!$B$234="Да",'19_Расчет_аналитики'!BF3401*'01_Вводные'!$B$14+'19_Расчет_аналитики'!BG3400,0)</f>
        <v/>
      </c>
      <c r="BH3401">
        <f>IF('01_Вводные'!$B$234="Да",'19_Расчет_аналитики'!BG3401*'01_Вводные'!$B$14+'19_Расчет_аналитики'!BH3400,0)</f>
        <v/>
      </c>
      <c r="BI3401">
        <f>IF('01_Вводные'!$B$234="Да",'19_Расчет_аналитики'!BH3401*'01_Вводные'!$B$14+'19_Расчет_аналитики'!BI3400,0)</f>
        <v/>
      </c>
      <c r="BJ3401">
        <f>IF('01_Вводные'!$B$234="Да",'19_Расчет_аналитики'!BI3401*'01_Вводные'!$B$14+'06_Сеть_и_дети'!BJ9,0)</f>
        <v/>
      </c>
      <c r="BK3401">
        <f>IF('01_Вводные'!$B$234="Да",'19_Расчет_аналитики'!BJ3401*'01_Вводные'!$B$14+'06_Сеть_и_дети'!BK9,0)</f>
        <v/>
      </c>
      <c r="BL3401">
        <f>IF('01_Вводные'!$B$234="Да",'19_Расчет_аналитики'!BK3401*'01_Вводные'!$B$14+'06_Сеть_и_дети'!BL9,0)</f>
        <v/>
      </c>
      <c r="BM3401">
        <f>IF('01_Вводные'!$B$234="Да",'19_Расчет_аналитики'!BL3401*'01_Вводные'!$B$14+'06_Сеть_и_дети'!BM9,0)</f>
        <v/>
      </c>
      <c r="BN3401">
        <f>IF('01_Вводные'!$B$234="Да",'19_Расчет_аналитики'!BM3401*'01_Вводные'!$B$14+'06_Сеть_и_дети'!BN9,0)</f>
        <v/>
      </c>
      <c r="BO3401">
        <f>IF('01_Вводные'!$B$234="Да",'19_Расчет_аналитики'!BN3401*'01_Вводные'!$B$14+'06_Сеть_и_дети'!BO9,0)</f>
        <v/>
      </c>
    </row>
    <row r="3402"/>
    <row r="3403"/>
    <row r="3404">
      <c r="B3404">
        <f>IF('01_Вводные'!$B$234="Да",SUM('19_Расчет_аналитики'!B3444:B3455),0)</f>
        <v/>
      </c>
      <c r="C3404">
        <f>IF('01_Вводные'!$B$234="Да",SUM('19_Расчет_аналитики'!C3444:C3455),0)</f>
        <v/>
      </c>
      <c r="D3404">
        <f>IF('01_Вводные'!$B$234="Да",SUM('19_Расчет_аналитики'!D3444:D3455),0)</f>
        <v/>
      </c>
      <c r="E3404">
        <f>IF('01_Вводные'!$B$234="Да",SUM('19_Расчет_аналитики'!E3444:E3455),0)</f>
        <v/>
      </c>
      <c r="F3404">
        <f>IF('01_Вводные'!$B$234="Да",SUM('19_Расчет_аналитики'!F3444:F3455),0)</f>
        <v/>
      </c>
      <c r="G3404">
        <f>IF('01_Вводные'!$B$234="Да",SUM('19_Расчет_аналитики'!G3444:G3455),0)</f>
        <v/>
      </c>
      <c r="H3404">
        <f>IF('01_Вводные'!$B$234="Да",SUM('19_Расчет_аналитики'!H3444:H3455),0)</f>
        <v/>
      </c>
      <c r="I3404">
        <f>IF('01_Вводные'!$B$234="Да",SUM('19_Расчет_аналитики'!I3444:I3455),0)</f>
        <v/>
      </c>
      <c r="J3404">
        <f>IF('01_Вводные'!$B$234="Да",SUM('19_Расчет_аналитики'!J3444:J3455),0)</f>
        <v/>
      </c>
      <c r="K3404">
        <f>IF('01_Вводные'!$B$234="Да",SUM('19_Расчет_аналитики'!K3444:K3455),0)</f>
        <v/>
      </c>
      <c r="L3404">
        <f>IF('01_Вводные'!$B$234="Да",SUM('19_Расчет_аналитики'!L3444:L3455),0)</f>
        <v/>
      </c>
      <c r="M3404">
        <f>IF('01_Вводные'!$B$234="Да",SUM('19_Расчет_аналитики'!M3444:M3455),0)</f>
        <v/>
      </c>
      <c r="N3404">
        <f>IF('01_Вводные'!$B$234="Да",SUM('19_Расчет_аналитики'!N3444:N3455),0)</f>
        <v/>
      </c>
      <c r="O3404">
        <f>IF('01_Вводные'!$B$234="Да",SUM('19_Расчет_аналитики'!O3444:O3455),0)</f>
        <v/>
      </c>
      <c r="P3404">
        <f>IF('01_Вводные'!$B$234="Да",SUM('19_Расчет_аналитики'!P3444:P3455),0)</f>
        <v/>
      </c>
      <c r="Q3404">
        <f>IF('01_Вводные'!$B$234="Да",SUM('19_Расчет_аналитики'!Q3444:Q3455),0)</f>
        <v/>
      </c>
      <c r="R3404">
        <f>IF('01_Вводные'!$B$234="Да",SUM('19_Расчет_аналитики'!R3444:R3455),0)</f>
        <v/>
      </c>
      <c r="S3404">
        <f>IF('01_Вводные'!$B$234="Да",SUM('19_Расчет_аналитики'!S3444:S3455),0)</f>
        <v/>
      </c>
      <c r="T3404">
        <f>IF('01_Вводные'!$B$234="Да",SUM('19_Расчет_аналитики'!T3444:T3455),0)</f>
        <v/>
      </c>
      <c r="U3404">
        <f>IF('01_Вводные'!$B$234="Да",SUM('19_Расчет_аналитики'!U3444:U3455),0)</f>
        <v/>
      </c>
      <c r="V3404">
        <f>IF('01_Вводные'!$B$234="Да",SUM('19_Расчет_аналитики'!V3444:V3455),0)</f>
        <v/>
      </c>
      <c r="W3404">
        <f>IF('01_Вводные'!$B$234="Да",SUM('19_Расчет_аналитики'!W3444:W3455),0)</f>
        <v/>
      </c>
      <c r="X3404">
        <f>IF('01_Вводные'!$B$234="Да",SUM('19_Расчет_аналитики'!X3444:X3455),0)</f>
        <v/>
      </c>
      <c r="Y3404">
        <f>IF('01_Вводные'!$B$234="Да",SUM('19_Расчет_аналитики'!Y3444:Y3455),0)</f>
        <v/>
      </c>
      <c r="Z3404">
        <f>IF('01_Вводные'!$B$234="Да",SUM('19_Расчет_аналитики'!Z3444:Z3455),0)</f>
        <v/>
      </c>
      <c r="AA3404">
        <f>IF('01_Вводные'!$B$234="Да",SUM('19_Расчет_аналитики'!AA3444:AA3455),0)</f>
        <v/>
      </c>
      <c r="AB3404">
        <f>IF('01_Вводные'!$B$234="Да",SUM('19_Расчет_аналитики'!AB3444:AB3455),0)</f>
        <v/>
      </c>
      <c r="AC3404">
        <f>IF('01_Вводные'!$B$234="Да",SUM('19_Расчет_аналитики'!AC3444:AC3455),0)</f>
        <v/>
      </c>
      <c r="AD3404">
        <f>IF('01_Вводные'!$B$234="Да",SUM('19_Расчет_аналитики'!AD3444:AD3455),0)</f>
        <v/>
      </c>
      <c r="AE3404">
        <f>IF('01_Вводные'!$B$234="Да",SUM('19_Расчет_аналитики'!AE3444:AE3455),0)</f>
        <v/>
      </c>
      <c r="AF3404">
        <f>IF('01_Вводные'!$B$234="Да",SUM('19_Расчет_аналитики'!AF3444:AF3455),0)</f>
        <v/>
      </c>
      <c r="AG3404">
        <f>IF('01_Вводные'!$B$234="Да",SUM('19_Расчет_аналитики'!AG3444:AG3455),0)</f>
        <v/>
      </c>
      <c r="AH3404">
        <f>IF('01_Вводные'!$B$234="Да",SUM('19_Расчет_аналитики'!AH3444:AH3455),0)</f>
        <v/>
      </c>
      <c r="AI3404">
        <f>IF('01_Вводные'!$B$234="Да",SUM('19_Расчет_аналитики'!AI3444:AI3455),0)</f>
        <v/>
      </c>
      <c r="AJ3404">
        <f>IF('01_Вводные'!$B$234="Да",SUM('19_Расчет_аналитики'!AJ3444:AJ3455),0)</f>
        <v/>
      </c>
      <c r="AK3404">
        <f>IF('01_Вводные'!$B$234="Да",SUM('19_Расчет_аналитики'!AK3444:AK3455),0)</f>
        <v/>
      </c>
      <c r="AL3404">
        <f>IF('01_Вводные'!$B$234="Да",SUM('19_Расчет_аналитики'!AL3444:AL3455),0)</f>
        <v/>
      </c>
      <c r="AM3404">
        <f>IF('01_Вводные'!$B$234="Да",SUM('19_Расчет_аналитики'!AM3444:AM3455),0)</f>
        <v/>
      </c>
      <c r="AN3404">
        <f>IF('01_Вводные'!$B$234="Да",SUM('19_Расчет_аналитики'!AN3444:AN3455),0)</f>
        <v/>
      </c>
      <c r="AO3404">
        <f>IF('01_Вводные'!$B$234="Да",SUM('19_Расчет_аналитики'!AO3444:AO3455),0)</f>
        <v/>
      </c>
      <c r="AP3404">
        <f>IF('01_Вводные'!$B$234="Да",SUM('19_Расчет_аналитики'!AP3444:AP3455),0)</f>
        <v/>
      </c>
      <c r="AQ3404">
        <f>IF('01_Вводные'!$B$234="Да",SUM('19_Расчет_аналитики'!AQ3444:AQ3455),0)</f>
        <v/>
      </c>
      <c r="AR3404">
        <f>IF('01_Вводные'!$B$234="Да",SUM('19_Расчет_аналитики'!AR3444:AR3455),0)</f>
        <v/>
      </c>
      <c r="AS3404">
        <f>IF('01_Вводные'!$B$234="Да",SUM('19_Расчет_аналитики'!AS3444:AS3455),0)</f>
        <v/>
      </c>
      <c r="AT3404">
        <f>IF('01_Вводные'!$B$234="Да",SUM('19_Расчет_аналитики'!AT3444:AT3455),0)</f>
        <v/>
      </c>
      <c r="AU3404">
        <f>IF('01_Вводные'!$B$234="Да",SUM('19_Расчет_аналитики'!AU3444:AU3455),0)</f>
        <v/>
      </c>
      <c r="AV3404">
        <f>IF('01_Вводные'!$B$234="Да",SUM('19_Расчет_аналитики'!AV3444:AV3455),0)</f>
        <v/>
      </c>
      <c r="AW3404">
        <f>IF('01_Вводные'!$B$234="Да",SUM('19_Расчет_аналитики'!AW3444:AW3455),0)</f>
        <v/>
      </c>
      <c r="AX3404">
        <f>IF('01_Вводные'!$B$234="Да",SUM('19_Расчет_аналитики'!AX3444:AX3455),0)</f>
        <v/>
      </c>
      <c r="AY3404">
        <f>IF('01_Вводные'!$B$234="Да",SUM('19_Расчет_аналитики'!AY3444:AY3455),0)</f>
        <v/>
      </c>
      <c r="AZ3404">
        <f>IF('01_Вводные'!$B$234="Да",SUM('19_Расчет_аналитики'!AZ3444:AZ3455),0)</f>
        <v/>
      </c>
      <c r="BA3404">
        <f>IF('01_Вводные'!$B$234="Да",SUM('19_Расчет_аналитики'!BA3444:BA3455),0)</f>
        <v/>
      </c>
      <c r="BB3404">
        <f>IF('01_Вводные'!$B$234="Да",SUM('19_Расчет_аналитики'!BB3444:BB3455),0)</f>
        <v/>
      </c>
      <c r="BC3404">
        <f>IF('01_Вводные'!$B$234="Да",SUM('19_Расчет_аналитики'!BC3444:BC3455),0)</f>
        <v/>
      </c>
      <c r="BD3404">
        <f>IF('01_Вводные'!$B$234="Да",SUM('19_Расчет_аналитики'!BD3444:BD3455),0)</f>
        <v/>
      </c>
      <c r="BE3404">
        <f>IF('01_Вводные'!$B$234="Да",SUM('19_Расчет_аналитики'!BE3444:BE3455),0)</f>
        <v/>
      </c>
      <c r="BF3404">
        <f>IF('01_Вводные'!$B$234="Да",SUM('19_Расчет_аналитики'!BF3444:BF3455),0)</f>
        <v/>
      </c>
      <c r="BG3404">
        <f>IF('01_Вводные'!$B$234="Да",SUM('19_Расчет_аналитики'!BG3444:BG3455),0)</f>
        <v/>
      </c>
      <c r="BH3404">
        <f>IF('01_Вводные'!$B$234="Да",SUM('19_Расчет_аналитики'!BH3444:BH3455),0)</f>
        <v/>
      </c>
      <c r="BI3404">
        <f>IF('01_Вводные'!$B$234="Да",SUM('19_Расчет_аналитики'!BI3444:BI3455),0)</f>
        <v/>
      </c>
      <c r="BJ3404">
        <f>IF('01_Вводные'!$B$234="Да",SUM('19_Расчет_аналитики'!BJ3444:BJ3455),0)</f>
        <v/>
      </c>
      <c r="BK3404">
        <f>IF('01_Вводные'!$B$234="Да",SUM('19_Расчет_аналитики'!BK3444:BK3455),0)</f>
        <v/>
      </c>
      <c r="BL3404">
        <f>IF('01_Вводные'!$B$234="Да",SUM('19_Расчет_аналитики'!BL3444:BL3455),0)</f>
        <v/>
      </c>
      <c r="BM3404">
        <f>IF('01_Вводные'!$B$234="Да",SUM('19_Расчет_аналитики'!BM3444:BM3455),0)</f>
        <v/>
      </c>
      <c r="BN3404">
        <f>IF('01_Вводные'!$B$234="Да",SUM('19_Расчет_аналитики'!BN3444:BN3455),0)</f>
        <v/>
      </c>
      <c r="BO3404">
        <f>IF('01_Вводные'!$B$234="Да",SUM('19_Расчет_аналитики'!BO3444:BO3455),0)</f>
        <v/>
      </c>
    </row>
    <row r="3405">
      <c r="B3405">
        <f>'06_Сеть_и_дети'!B14</f>
        <v/>
      </c>
      <c r="C3405">
        <f>'06_Сеть_и_дети'!C14</f>
        <v/>
      </c>
      <c r="D3405">
        <f>'06_Сеть_и_дети'!D14</f>
        <v/>
      </c>
      <c r="E3405">
        <f>'06_Сеть_и_дети'!E14</f>
        <v/>
      </c>
      <c r="F3405">
        <f>'06_Сеть_и_дети'!F14</f>
        <v/>
      </c>
      <c r="G3405">
        <f>'06_Сеть_и_дети'!G14</f>
        <v/>
      </c>
      <c r="H3405">
        <f>'06_Сеть_и_дети'!H14</f>
        <v/>
      </c>
      <c r="I3405">
        <f>'06_Сеть_и_дети'!I14</f>
        <v/>
      </c>
      <c r="J3405">
        <f>'06_Сеть_и_дети'!J14</f>
        <v/>
      </c>
      <c r="K3405">
        <f>'06_Сеть_и_дети'!K14</f>
        <v/>
      </c>
      <c r="L3405">
        <f>'06_Сеть_и_дети'!L14</f>
        <v/>
      </c>
      <c r="M3405">
        <f>'06_Сеть_и_дети'!M14</f>
        <v/>
      </c>
      <c r="N3405">
        <f>IF('01_Вводные'!$B$234="Да",SUM('19_Расчет_аналитики'!N3456:N3467),0)</f>
        <v/>
      </c>
      <c r="O3405">
        <f>IF('01_Вводные'!$B$234="Да",SUM('19_Расчет_аналитики'!O3456:O3467),0)</f>
        <v/>
      </c>
      <c r="P3405">
        <f>IF('01_Вводные'!$B$234="Да",SUM('19_Расчет_аналитики'!P3456:P3467),0)</f>
        <v/>
      </c>
      <c r="Q3405">
        <f>IF('01_Вводные'!$B$234="Да",SUM('19_Расчет_аналитики'!Q3456:Q3467),0)</f>
        <v/>
      </c>
      <c r="R3405">
        <f>IF('01_Вводные'!$B$234="Да",SUM('19_Расчет_аналитики'!R3456:R3467),0)</f>
        <v/>
      </c>
      <c r="S3405">
        <f>IF('01_Вводные'!$B$234="Да",SUM('19_Расчет_аналитики'!S3456:S3467),0)</f>
        <v/>
      </c>
      <c r="T3405">
        <f>IF('01_Вводные'!$B$234="Да",SUM('19_Расчет_аналитики'!T3456:T3467),0)</f>
        <v/>
      </c>
      <c r="U3405">
        <f>IF('01_Вводные'!$B$234="Да",SUM('19_Расчет_аналитики'!U3456:U3467),0)</f>
        <v/>
      </c>
      <c r="V3405">
        <f>IF('01_Вводные'!$B$234="Да",SUM('19_Расчет_аналитики'!V3456:V3467),0)</f>
        <v/>
      </c>
      <c r="W3405">
        <f>IF('01_Вводные'!$B$234="Да",SUM('19_Расчет_аналитики'!W3456:W3467),0)</f>
        <v/>
      </c>
      <c r="X3405">
        <f>IF('01_Вводные'!$B$234="Да",SUM('19_Расчет_аналитики'!X3456:X3467),0)</f>
        <v/>
      </c>
      <c r="Y3405">
        <f>IF('01_Вводные'!$B$234="Да",SUM('19_Расчет_аналитики'!Y3456:Y3467),0)</f>
        <v/>
      </c>
      <c r="Z3405">
        <f>IF('01_Вводные'!$B$234="Да",SUM('19_Расчет_аналитики'!Z3456:Z3467),0)</f>
        <v/>
      </c>
      <c r="AA3405">
        <f>IF('01_Вводные'!$B$234="Да",SUM('19_Расчет_аналитики'!AA3456:AA3467),0)</f>
        <v/>
      </c>
      <c r="AB3405">
        <f>IF('01_Вводные'!$B$234="Да",SUM('19_Расчет_аналитики'!AB3456:AB3467),0)</f>
        <v/>
      </c>
      <c r="AC3405">
        <f>IF('01_Вводные'!$B$234="Да",SUM('19_Расчет_аналитики'!AC3456:AC3467),0)</f>
        <v/>
      </c>
      <c r="AD3405">
        <f>IF('01_Вводные'!$B$234="Да",SUM('19_Расчет_аналитики'!AD3456:AD3467),0)</f>
        <v/>
      </c>
      <c r="AE3405">
        <f>IF('01_Вводные'!$B$234="Да",SUM('19_Расчет_аналитики'!AE3456:AE3467),0)</f>
        <v/>
      </c>
      <c r="AF3405">
        <f>IF('01_Вводные'!$B$234="Да",SUM('19_Расчет_аналитики'!AF3456:AF3467),0)</f>
        <v/>
      </c>
      <c r="AG3405">
        <f>IF('01_Вводные'!$B$234="Да",SUM('19_Расчет_аналитики'!AG3456:AG3467),0)</f>
        <v/>
      </c>
      <c r="AH3405">
        <f>IF('01_Вводные'!$B$234="Да",SUM('19_Расчет_аналитики'!AH3456:AH3467),0)</f>
        <v/>
      </c>
      <c r="AI3405">
        <f>IF('01_Вводные'!$B$234="Да",SUM('19_Расчет_аналитики'!AI3456:AI3467),0)</f>
        <v/>
      </c>
      <c r="AJ3405">
        <f>IF('01_Вводные'!$B$234="Да",SUM('19_Расчет_аналитики'!AJ3456:AJ3467),0)</f>
        <v/>
      </c>
      <c r="AK3405">
        <f>IF('01_Вводные'!$B$234="Да",SUM('19_Расчет_аналитики'!AK3456:AK3467),0)</f>
        <v/>
      </c>
      <c r="AL3405">
        <f>IF('01_Вводные'!$B$234="Да",SUM('19_Расчет_аналитики'!AL3456:AL3467),0)</f>
        <v/>
      </c>
      <c r="AM3405">
        <f>IF('01_Вводные'!$B$234="Да",SUM('19_Расчет_аналитики'!AM3456:AM3467),0)</f>
        <v/>
      </c>
      <c r="AN3405">
        <f>IF('01_Вводные'!$B$234="Да",SUM('19_Расчет_аналитики'!AN3456:AN3467),0)</f>
        <v/>
      </c>
      <c r="AO3405">
        <f>IF('01_Вводные'!$B$234="Да",SUM('19_Расчет_аналитики'!AO3456:AO3467),0)</f>
        <v/>
      </c>
      <c r="AP3405">
        <f>IF('01_Вводные'!$B$234="Да",SUM('19_Расчет_аналитики'!AP3456:AP3467),0)</f>
        <v/>
      </c>
      <c r="AQ3405">
        <f>IF('01_Вводные'!$B$234="Да",SUM('19_Расчет_аналитики'!AQ3456:AQ3467),0)</f>
        <v/>
      </c>
      <c r="AR3405">
        <f>IF('01_Вводные'!$B$234="Да",SUM('19_Расчет_аналитики'!AR3456:AR3467),0)</f>
        <v/>
      </c>
      <c r="AS3405">
        <f>IF('01_Вводные'!$B$234="Да",SUM('19_Расчет_аналитики'!AS3456:AS3467),0)</f>
        <v/>
      </c>
      <c r="AT3405">
        <f>IF('01_Вводные'!$B$234="Да",SUM('19_Расчет_аналитики'!AT3456:AT3467),0)</f>
        <v/>
      </c>
      <c r="AU3405">
        <f>IF('01_Вводные'!$B$234="Да",SUM('19_Расчет_аналитики'!AU3456:AU3467),0)</f>
        <v/>
      </c>
      <c r="AV3405">
        <f>IF('01_Вводные'!$B$234="Да",SUM('19_Расчет_аналитики'!AV3456:AV3467),0)</f>
        <v/>
      </c>
      <c r="AW3405">
        <f>IF('01_Вводные'!$B$234="Да",SUM('19_Расчет_аналитики'!AW3456:AW3467),0)</f>
        <v/>
      </c>
      <c r="AX3405">
        <f>IF('01_Вводные'!$B$234="Да",SUM('19_Расчет_аналитики'!AX3456:AX3467),0)</f>
        <v/>
      </c>
      <c r="AY3405">
        <f>IF('01_Вводные'!$B$234="Да",SUM('19_Расчет_аналитики'!AY3456:AY3467),0)</f>
        <v/>
      </c>
      <c r="AZ3405">
        <f>IF('01_Вводные'!$B$234="Да",SUM('19_Расчет_аналитики'!AZ3456:AZ3467),0)</f>
        <v/>
      </c>
      <c r="BA3405">
        <f>IF('01_Вводные'!$B$234="Да",SUM('19_Расчет_аналитики'!BA3456:BA3467),0)</f>
        <v/>
      </c>
      <c r="BB3405">
        <f>IF('01_Вводные'!$B$234="Да",SUM('19_Расчет_аналитики'!BB3456:BB3467),0)</f>
        <v/>
      </c>
      <c r="BC3405">
        <f>IF('01_Вводные'!$B$234="Да",SUM('19_Расчет_аналитики'!BC3456:BC3467),0)</f>
        <v/>
      </c>
      <c r="BD3405">
        <f>IF('01_Вводные'!$B$234="Да",SUM('19_Расчет_аналитики'!BD3456:BD3467),0)</f>
        <v/>
      </c>
      <c r="BE3405">
        <f>IF('01_Вводные'!$B$234="Да",SUM('19_Расчет_аналитики'!BE3456:BE3467),0)</f>
        <v/>
      </c>
      <c r="BF3405">
        <f>IF('01_Вводные'!$B$234="Да",SUM('19_Расчет_аналитики'!BF3456:BF3467),0)</f>
        <v/>
      </c>
      <c r="BG3405">
        <f>IF('01_Вводные'!$B$234="Да",SUM('19_Расчет_аналитики'!BG3456:BG3467),0)</f>
        <v/>
      </c>
      <c r="BH3405">
        <f>IF('01_Вводные'!$B$234="Да",SUM('19_Расчет_аналитики'!BH3456:BH3467),0)</f>
        <v/>
      </c>
      <c r="BI3405">
        <f>IF('01_Вводные'!$B$234="Да",SUM('19_Расчет_аналитики'!BI3456:BI3467),0)</f>
        <v/>
      </c>
      <c r="BJ3405">
        <f>IF('01_Вводные'!$B$234="Да",SUM('19_Расчет_аналитики'!BJ3456:BJ3467),0)</f>
        <v/>
      </c>
      <c r="BK3405">
        <f>IF('01_Вводные'!$B$234="Да",SUM('19_Расчет_аналитики'!BK3456:BK3467),0)</f>
        <v/>
      </c>
      <c r="BL3405">
        <f>IF('01_Вводные'!$B$234="Да",SUM('19_Расчет_аналитики'!BL3456:BL3467),0)</f>
        <v/>
      </c>
      <c r="BM3405">
        <f>IF('01_Вводные'!$B$234="Да",SUM('19_Расчет_аналитики'!BM3456:BM3467),0)</f>
        <v/>
      </c>
      <c r="BN3405">
        <f>IF('01_Вводные'!$B$234="Да",SUM('19_Расчет_аналитики'!BN3456:BN3467),0)</f>
        <v/>
      </c>
      <c r="BO3405">
        <f>IF('01_Вводные'!$B$234="Да",SUM('19_Расчет_аналитики'!BO3456:BO3467),0)</f>
        <v/>
      </c>
    </row>
    <row r="3406">
      <c r="B3406">
        <f>'06_Сеть_и_дети'!B15</f>
        <v/>
      </c>
      <c r="C3406">
        <f>'06_Сеть_и_дети'!C15</f>
        <v/>
      </c>
      <c r="D3406">
        <f>'06_Сеть_и_дети'!D15</f>
        <v/>
      </c>
      <c r="E3406">
        <f>'06_Сеть_и_дети'!E15</f>
        <v/>
      </c>
      <c r="F3406">
        <f>'06_Сеть_и_дети'!F15</f>
        <v/>
      </c>
      <c r="G3406">
        <f>'06_Сеть_и_дети'!G15</f>
        <v/>
      </c>
      <c r="H3406">
        <f>'06_Сеть_и_дети'!H15</f>
        <v/>
      </c>
      <c r="I3406">
        <f>'06_Сеть_и_дети'!I15</f>
        <v/>
      </c>
      <c r="J3406">
        <f>'06_Сеть_и_дети'!J15</f>
        <v/>
      </c>
      <c r="K3406">
        <f>'06_Сеть_и_дети'!K15</f>
        <v/>
      </c>
      <c r="L3406">
        <f>'06_Сеть_и_дети'!L15</f>
        <v/>
      </c>
      <c r="M3406">
        <f>'06_Сеть_и_дети'!M15</f>
        <v/>
      </c>
      <c r="N3406">
        <f>'06_Сеть_и_дети'!N15</f>
        <v/>
      </c>
      <c r="O3406">
        <f>'06_Сеть_и_дети'!O15</f>
        <v/>
      </c>
      <c r="P3406">
        <f>'06_Сеть_и_дети'!P15</f>
        <v/>
      </c>
      <c r="Q3406">
        <f>'06_Сеть_и_дети'!Q15</f>
        <v/>
      </c>
      <c r="R3406">
        <f>'06_Сеть_и_дети'!R15</f>
        <v/>
      </c>
      <c r="S3406">
        <f>'06_Сеть_и_дети'!S15</f>
        <v/>
      </c>
      <c r="T3406">
        <f>'06_Сеть_и_дети'!T15</f>
        <v/>
      </c>
      <c r="U3406">
        <f>'06_Сеть_и_дети'!U15</f>
        <v/>
      </c>
      <c r="V3406">
        <f>'06_Сеть_и_дети'!V15</f>
        <v/>
      </c>
      <c r="W3406">
        <f>'06_Сеть_и_дети'!W15</f>
        <v/>
      </c>
      <c r="X3406">
        <f>'06_Сеть_и_дети'!X15</f>
        <v/>
      </c>
      <c r="Y3406">
        <f>'06_Сеть_и_дети'!Y15</f>
        <v/>
      </c>
      <c r="Z3406">
        <f>IF('01_Вводные'!$B$234="Да",'19_Расчет_аналитики'!Z3468,0)</f>
        <v/>
      </c>
      <c r="AA3406">
        <f>IF('01_Вводные'!$B$234="Да",'19_Расчет_аналитики'!AA3468,0)</f>
        <v/>
      </c>
      <c r="AB3406">
        <f>IF('01_Вводные'!$B$234="Да",'19_Расчет_аналитики'!AB3468,0)</f>
        <v/>
      </c>
      <c r="AC3406">
        <f>IF('01_Вводные'!$B$234="Да",'19_Расчет_аналитики'!AC3468,0)</f>
        <v/>
      </c>
      <c r="AD3406">
        <f>IF('01_Вводные'!$B$234="Да",'19_Расчет_аналитики'!AD3468,0)</f>
        <v/>
      </c>
      <c r="AE3406">
        <f>IF('01_Вводные'!$B$234="Да",'19_Расчет_аналитики'!AE3468,0)</f>
        <v/>
      </c>
      <c r="AF3406">
        <f>IF('01_Вводные'!$B$234="Да",'19_Расчет_аналитики'!AF3468,0)</f>
        <v/>
      </c>
      <c r="AG3406">
        <f>IF('01_Вводные'!$B$234="Да",'19_Расчет_аналитики'!AG3468,0)</f>
        <v/>
      </c>
      <c r="AH3406">
        <f>IF('01_Вводные'!$B$234="Да",'19_Расчет_аналитики'!AH3468,0)</f>
        <v/>
      </c>
      <c r="AI3406">
        <f>IF('01_Вводные'!$B$234="Да",'19_Расчет_аналитики'!AI3468,0)</f>
        <v/>
      </c>
      <c r="AJ3406">
        <f>IF('01_Вводные'!$B$234="Да",'19_Расчет_аналитики'!AJ3468,0)</f>
        <v/>
      </c>
      <c r="AK3406">
        <f>IF('01_Вводные'!$B$234="Да",'19_Расчет_аналитики'!AK3468,0)</f>
        <v/>
      </c>
      <c r="AL3406">
        <f>IF('01_Вводные'!$B$234="Да",'19_Расчет_аналитики'!AL3468,0)</f>
        <v/>
      </c>
      <c r="AM3406">
        <f>IF('01_Вводные'!$B$234="Да",'19_Расчет_аналитики'!AM3468,0)</f>
        <v/>
      </c>
      <c r="AN3406">
        <f>IF('01_Вводные'!$B$234="Да",'19_Расчет_аналитики'!AN3468,0)</f>
        <v/>
      </c>
      <c r="AO3406">
        <f>IF('01_Вводные'!$B$234="Да",'19_Расчет_аналитики'!AO3468,0)</f>
        <v/>
      </c>
      <c r="AP3406">
        <f>IF('01_Вводные'!$B$234="Да",'19_Расчет_аналитики'!AP3468,0)</f>
        <v/>
      </c>
      <c r="AQ3406">
        <f>IF('01_Вводные'!$B$234="Да",'19_Расчет_аналитики'!AQ3468,0)</f>
        <v/>
      </c>
      <c r="AR3406">
        <f>IF('01_Вводные'!$B$234="Да",'19_Расчет_аналитики'!AR3468,0)</f>
        <v/>
      </c>
      <c r="AS3406">
        <f>IF('01_Вводные'!$B$234="Да",'19_Расчет_аналитики'!AS3468,0)</f>
        <v/>
      </c>
      <c r="AT3406">
        <f>IF('01_Вводные'!$B$234="Да",'19_Расчет_аналитики'!AT3468,0)</f>
        <v/>
      </c>
      <c r="AU3406">
        <f>IF('01_Вводные'!$B$234="Да",'19_Расчет_аналитики'!AU3468,0)</f>
        <v/>
      </c>
      <c r="AV3406">
        <f>IF('01_Вводные'!$B$234="Да",'19_Расчет_аналитики'!AV3468,0)</f>
        <v/>
      </c>
      <c r="AW3406">
        <f>IF('01_Вводные'!$B$234="Да",'19_Расчет_аналитики'!AW3468,0)</f>
        <v/>
      </c>
      <c r="AX3406">
        <f>IF('01_Вводные'!$B$234="Да",'19_Расчет_аналитики'!AX3468,0)</f>
        <v/>
      </c>
      <c r="AY3406">
        <f>IF('01_Вводные'!$B$234="Да",'19_Расчет_аналитики'!AY3468,0)</f>
        <v/>
      </c>
      <c r="AZ3406">
        <f>IF('01_Вводные'!$B$234="Да",'19_Расчет_аналитики'!AZ3468,0)</f>
        <v/>
      </c>
      <c r="BA3406">
        <f>IF('01_Вводные'!$B$234="Да",'19_Расчет_аналитики'!BA3468,0)</f>
        <v/>
      </c>
      <c r="BB3406">
        <f>IF('01_Вводные'!$B$234="Да",'19_Расчет_аналитики'!BB3468,0)</f>
        <v/>
      </c>
      <c r="BC3406">
        <f>IF('01_Вводные'!$B$234="Да",'19_Расчет_аналитики'!BC3468,0)</f>
        <v/>
      </c>
      <c r="BD3406">
        <f>IF('01_Вводные'!$B$234="Да",'19_Расчет_аналитики'!BD3468,0)</f>
        <v/>
      </c>
      <c r="BE3406">
        <f>IF('01_Вводные'!$B$234="Да",'19_Расчет_аналитики'!BE3468,0)</f>
        <v/>
      </c>
      <c r="BF3406">
        <f>IF('01_Вводные'!$B$234="Да",'19_Расчет_аналитики'!BF3468,0)</f>
        <v/>
      </c>
      <c r="BG3406">
        <f>IF('01_Вводные'!$B$234="Да",'19_Расчет_аналитики'!BG3468,0)</f>
        <v/>
      </c>
      <c r="BH3406">
        <f>IF('01_Вводные'!$B$234="Да",'19_Расчет_аналитики'!BH3468,0)</f>
        <v/>
      </c>
      <c r="BI3406">
        <f>IF('01_Вводные'!$B$234="Да",'19_Расчет_аналитики'!BI3468,0)</f>
        <v/>
      </c>
      <c r="BJ3406">
        <f>IF('01_Вводные'!$B$234="Да",'19_Расчет_аналитики'!BJ3468,0)</f>
        <v/>
      </c>
      <c r="BK3406">
        <f>IF('01_Вводные'!$B$234="Да",'19_Расчет_аналитики'!BK3468,0)</f>
        <v/>
      </c>
      <c r="BL3406">
        <f>IF('01_Вводные'!$B$234="Да",'19_Расчет_аналитики'!BL3468,0)</f>
        <v/>
      </c>
      <c r="BM3406">
        <f>IF('01_Вводные'!$B$234="Да",'19_Расчет_аналитики'!BM3468,0)</f>
        <v/>
      </c>
      <c r="BN3406">
        <f>IF('01_Вводные'!$B$234="Да",'19_Расчет_аналитики'!BN3468,0)</f>
        <v/>
      </c>
      <c r="BO3406">
        <f>IF('01_Вводные'!$B$234="Да",'19_Расчет_аналитики'!BO3468,0)</f>
        <v/>
      </c>
    </row>
    <row r="3407">
      <c r="B3407">
        <f>IF('01_Вводные'!$B$234="Да",SUM('19_Расчет_аналитики'!B3404:B3406),0)</f>
        <v/>
      </c>
      <c r="C3407">
        <f>IF('01_Вводные'!$B$234="Да",SUM('19_Расчет_аналитики'!C3404:C3406),0)</f>
        <v/>
      </c>
      <c r="D3407">
        <f>IF('01_Вводные'!$B$234="Да",SUM('19_Расчет_аналитики'!D3404:D3406),0)</f>
        <v/>
      </c>
      <c r="E3407">
        <f>IF('01_Вводные'!$B$234="Да",SUM('19_Расчет_аналитики'!E3404:E3406),0)</f>
        <v/>
      </c>
      <c r="F3407">
        <f>IF('01_Вводные'!$B$234="Да",SUM('19_Расчет_аналитики'!F3404:F3406),0)</f>
        <v/>
      </c>
      <c r="G3407">
        <f>IF('01_Вводные'!$B$234="Да",SUM('19_Расчет_аналитики'!G3404:G3406),0)</f>
        <v/>
      </c>
      <c r="H3407">
        <f>IF('01_Вводные'!$B$234="Да",SUM('19_Расчет_аналитики'!H3404:H3406),0)</f>
        <v/>
      </c>
      <c r="I3407">
        <f>IF('01_Вводные'!$B$234="Да",SUM('19_Расчет_аналитики'!I3404:I3406),0)</f>
        <v/>
      </c>
      <c r="J3407">
        <f>IF('01_Вводные'!$B$234="Да",SUM('19_Расчет_аналитики'!J3404:J3406),0)</f>
        <v/>
      </c>
      <c r="K3407">
        <f>IF('01_Вводные'!$B$234="Да",SUM('19_Расчет_аналитики'!K3404:K3406),0)</f>
        <v/>
      </c>
      <c r="L3407">
        <f>IF('01_Вводные'!$B$234="Да",SUM('19_Расчет_аналитики'!L3404:L3406),0)</f>
        <v/>
      </c>
      <c r="M3407">
        <f>IF('01_Вводные'!$B$234="Да",SUM('19_Расчет_аналитики'!M3404:M3406),0)</f>
        <v/>
      </c>
      <c r="N3407">
        <f>IF('01_Вводные'!$B$234="Да",SUM('19_Расчет_аналитики'!N3404:N3406),0)</f>
        <v/>
      </c>
      <c r="O3407">
        <f>IF('01_Вводные'!$B$234="Да",SUM('19_Расчет_аналитики'!O3404:O3406),0)</f>
        <v/>
      </c>
      <c r="P3407">
        <f>IF('01_Вводные'!$B$234="Да",SUM('19_Расчет_аналитики'!P3404:P3406),0)</f>
        <v/>
      </c>
      <c r="Q3407">
        <f>IF('01_Вводные'!$B$234="Да",SUM('19_Расчет_аналитики'!Q3404:Q3406),0)</f>
        <v/>
      </c>
      <c r="R3407">
        <f>IF('01_Вводные'!$B$234="Да",SUM('19_Расчет_аналитики'!R3404:R3406),0)</f>
        <v/>
      </c>
      <c r="S3407">
        <f>IF('01_Вводные'!$B$234="Да",SUM('19_Расчет_аналитики'!S3404:S3406),0)</f>
        <v/>
      </c>
      <c r="T3407">
        <f>IF('01_Вводные'!$B$234="Да",SUM('19_Расчет_аналитики'!T3404:T3406),0)</f>
        <v/>
      </c>
      <c r="U3407">
        <f>IF('01_Вводные'!$B$234="Да",SUM('19_Расчет_аналитики'!U3404:U3406),0)</f>
        <v/>
      </c>
      <c r="V3407">
        <f>IF('01_Вводные'!$B$234="Да",SUM('19_Расчет_аналитики'!V3404:V3406),0)</f>
        <v/>
      </c>
      <c r="W3407">
        <f>IF('01_Вводные'!$B$234="Да",SUM('19_Расчет_аналитики'!W3404:W3406),0)</f>
        <v/>
      </c>
      <c r="X3407">
        <f>IF('01_Вводные'!$B$234="Да",SUM('19_Расчет_аналитики'!X3404:X3406),0)</f>
        <v/>
      </c>
      <c r="Y3407">
        <f>IF('01_Вводные'!$B$234="Да",SUM('19_Расчет_аналитики'!Y3404:Y3406),0)</f>
        <v/>
      </c>
      <c r="Z3407">
        <f>IF('01_Вводные'!$B$234="Да",SUM('19_Расчет_аналитики'!Z3404:Z3406),0)</f>
        <v/>
      </c>
      <c r="AA3407">
        <f>IF('01_Вводные'!$B$234="Да",SUM('19_Расчет_аналитики'!AA3404:AA3406),0)</f>
        <v/>
      </c>
      <c r="AB3407">
        <f>IF('01_Вводные'!$B$234="Да",SUM('19_Расчет_аналитики'!AB3404:AB3406),0)</f>
        <v/>
      </c>
      <c r="AC3407">
        <f>IF('01_Вводные'!$B$234="Да",SUM('19_Расчет_аналитики'!AC3404:AC3406),0)</f>
        <v/>
      </c>
      <c r="AD3407">
        <f>IF('01_Вводные'!$B$234="Да",SUM('19_Расчет_аналитики'!AD3404:AD3406),0)</f>
        <v/>
      </c>
      <c r="AE3407">
        <f>IF('01_Вводные'!$B$234="Да",SUM('19_Расчет_аналитики'!AE3404:AE3406),0)</f>
        <v/>
      </c>
      <c r="AF3407">
        <f>IF('01_Вводные'!$B$234="Да",SUM('19_Расчет_аналитики'!AF3404:AF3406),0)</f>
        <v/>
      </c>
      <c r="AG3407">
        <f>IF('01_Вводные'!$B$234="Да",SUM('19_Расчет_аналитики'!AG3404:AG3406),0)</f>
        <v/>
      </c>
      <c r="AH3407">
        <f>IF('01_Вводные'!$B$234="Да",SUM('19_Расчет_аналитики'!AH3404:AH3406),0)</f>
        <v/>
      </c>
      <c r="AI3407">
        <f>IF('01_Вводные'!$B$234="Да",SUM('19_Расчет_аналитики'!AI3404:AI3406),0)</f>
        <v/>
      </c>
      <c r="AJ3407">
        <f>IF('01_Вводные'!$B$234="Да",SUM('19_Расчет_аналитики'!AJ3404:AJ3406),0)</f>
        <v/>
      </c>
      <c r="AK3407">
        <f>IF('01_Вводные'!$B$234="Да",SUM('19_Расчет_аналитики'!AK3404:AK3406),0)</f>
        <v/>
      </c>
      <c r="AL3407">
        <f>IF('01_Вводные'!$B$234="Да",SUM('19_Расчет_аналитики'!AL3404:AL3406),0)</f>
        <v/>
      </c>
      <c r="AM3407">
        <f>IF('01_Вводные'!$B$234="Да",SUM('19_Расчет_аналитики'!AM3404:AM3406),0)</f>
        <v/>
      </c>
      <c r="AN3407">
        <f>IF('01_Вводные'!$B$234="Да",SUM('19_Расчет_аналитики'!AN3404:AN3406),0)</f>
        <v/>
      </c>
      <c r="AO3407">
        <f>IF('01_Вводные'!$B$234="Да",SUM('19_Расчет_аналитики'!AO3404:AO3406),0)</f>
        <v/>
      </c>
      <c r="AP3407">
        <f>IF('01_Вводные'!$B$234="Да",SUM('19_Расчет_аналитики'!AP3404:AP3406),0)</f>
        <v/>
      </c>
      <c r="AQ3407">
        <f>IF('01_Вводные'!$B$234="Да",SUM('19_Расчет_аналитики'!AQ3404:AQ3406),0)</f>
        <v/>
      </c>
      <c r="AR3407">
        <f>IF('01_Вводные'!$B$234="Да",SUM('19_Расчет_аналитики'!AR3404:AR3406),0)</f>
        <v/>
      </c>
      <c r="AS3407">
        <f>IF('01_Вводные'!$B$234="Да",SUM('19_Расчет_аналитики'!AS3404:AS3406),0)</f>
        <v/>
      </c>
      <c r="AT3407">
        <f>IF('01_Вводные'!$B$234="Да",SUM('19_Расчет_аналитики'!AT3404:AT3406),0)</f>
        <v/>
      </c>
      <c r="AU3407">
        <f>IF('01_Вводные'!$B$234="Да",SUM('19_Расчет_аналитики'!AU3404:AU3406),0)</f>
        <v/>
      </c>
      <c r="AV3407">
        <f>IF('01_Вводные'!$B$234="Да",SUM('19_Расчет_аналитики'!AV3404:AV3406),0)</f>
        <v/>
      </c>
      <c r="AW3407">
        <f>IF('01_Вводные'!$B$234="Да",SUM('19_Расчет_аналитики'!AW3404:AW3406),0)</f>
        <v/>
      </c>
      <c r="AX3407">
        <f>IF('01_Вводные'!$B$234="Да",SUM('19_Расчет_аналитики'!AX3404:AX3406),0)</f>
        <v/>
      </c>
      <c r="AY3407">
        <f>IF('01_Вводные'!$B$234="Да",SUM('19_Расчет_аналитики'!AY3404:AY3406),0)</f>
        <v/>
      </c>
      <c r="AZ3407">
        <f>IF('01_Вводные'!$B$234="Да",SUM('19_Расчет_аналитики'!AZ3404:AZ3406),0)</f>
        <v/>
      </c>
      <c r="BA3407">
        <f>IF('01_Вводные'!$B$234="Да",SUM('19_Расчет_аналитики'!BA3404:BA3406),0)</f>
        <v/>
      </c>
      <c r="BB3407">
        <f>IF('01_Вводные'!$B$234="Да",SUM('19_Расчет_аналитики'!BB3404:BB3406),0)</f>
        <v/>
      </c>
      <c r="BC3407">
        <f>IF('01_Вводные'!$B$234="Да",SUM('19_Расчет_аналитики'!BC3404:BC3406),0)</f>
        <v/>
      </c>
      <c r="BD3407">
        <f>IF('01_Вводные'!$B$234="Да",SUM('19_Расчет_аналитики'!BD3404:BD3406),0)</f>
        <v/>
      </c>
      <c r="BE3407">
        <f>IF('01_Вводные'!$B$234="Да",SUM('19_Расчет_аналитики'!BE3404:BE3406),0)</f>
        <v/>
      </c>
      <c r="BF3407">
        <f>IF('01_Вводные'!$B$234="Да",SUM('19_Расчет_аналитики'!BF3404:BF3406),0)</f>
        <v/>
      </c>
      <c r="BG3407">
        <f>IF('01_Вводные'!$B$234="Да",SUM('19_Расчет_аналитики'!BG3404:BG3406),0)</f>
        <v/>
      </c>
      <c r="BH3407">
        <f>IF('01_Вводные'!$B$234="Да",SUM('19_Расчет_аналитики'!BH3404:BH3406),0)</f>
        <v/>
      </c>
      <c r="BI3407">
        <f>IF('01_Вводные'!$B$234="Да",SUM('19_Расчет_аналитики'!BI3404:BI3406),0)</f>
        <v/>
      </c>
      <c r="BJ3407">
        <f>IF('01_Вводные'!$B$234="Да",SUM('19_Расчет_аналитики'!BJ3404:BJ3406),0)</f>
        <v/>
      </c>
      <c r="BK3407">
        <f>IF('01_Вводные'!$B$234="Да",SUM('19_Расчет_аналитики'!BK3404:BK3406),0)</f>
        <v/>
      </c>
      <c r="BL3407">
        <f>IF('01_Вводные'!$B$234="Да",SUM('19_Расчет_аналитики'!BL3404:BL3406),0)</f>
        <v/>
      </c>
      <c r="BM3407">
        <f>IF('01_Вводные'!$B$234="Да",SUM('19_Расчет_аналитики'!BM3404:BM3406),0)</f>
        <v/>
      </c>
      <c r="BN3407">
        <f>IF('01_Вводные'!$B$234="Да",SUM('19_Расчет_аналитики'!BN3404:BN3406),0)</f>
        <v/>
      </c>
      <c r="BO3407">
        <f>IF('01_Вводные'!$B$234="Да",SUM('19_Расчет_аналитики'!BO3404:BO3406),0)</f>
        <v/>
      </c>
    </row>
    <row r="3408">
      <c r="B3408">
        <f>IF('01_Вводные'!$B$234="Да",'06_Сеть_и_дети'!B11+'19_Расчет_аналитики'!B3407,0)</f>
        <v/>
      </c>
      <c r="C3408">
        <f>IF('01_Вводные'!$B$234="Да",'06_Сеть_и_дети'!C11+'19_Расчет_аналитики'!C3407,0)</f>
        <v/>
      </c>
      <c r="D3408">
        <f>IF('01_Вводные'!$B$234="Да",'06_Сеть_и_дети'!D11+'19_Расчет_аналитики'!D3407,0)</f>
        <v/>
      </c>
      <c r="E3408">
        <f>IF('01_Вводные'!$B$234="Да",'06_Сеть_и_дети'!E11+'19_Расчет_аналитики'!E3407,0)</f>
        <v/>
      </c>
      <c r="F3408">
        <f>IF('01_Вводные'!$B$234="Да",'06_Сеть_и_дети'!F11+'19_Расчет_аналитики'!F3407,0)</f>
        <v/>
      </c>
      <c r="G3408">
        <f>IF('01_Вводные'!$B$234="Да",'06_Сеть_и_дети'!G11+'19_Расчет_аналитики'!G3407,0)</f>
        <v/>
      </c>
      <c r="H3408">
        <f>IF('01_Вводные'!$B$234="Да",'06_Сеть_и_дети'!H11+'19_Расчет_аналитики'!H3407,0)</f>
        <v/>
      </c>
      <c r="I3408">
        <f>IF('01_Вводные'!$B$234="Да",'06_Сеть_и_дети'!I11+'19_Расчет_аналитики'!I3407,0)</f>
        <v/>
      </c>
      <c r="J3408">
        <f>IF('01_Вводные'!$B$234="Да",'06_Сеть_и_дети'!J11+'19_Расчет_аналитики'!J3407,0)</f>
        <v/>
      </c>
      <c r="K3408">
        <f>IF('01_Вводные'!$B$234="Да",'06_Сеть_и_дети'!K11+'19_Расчет_аналитики'!K3407,0)</f>
        <v/>
      </c>
      <c r="L3408">
        <f>IF('01_Вводные'!$B$234="Да",'06_Сеть_и_дети'!L11+'19_Расчет_аналитики'!L3407,0)</f>
        <v/>
      </c>
      <c r="M3408">
        <f>IF('01_Вводные'!$B$234="Да",'06_Сеть_и_дети'!M11+'19_Расчет_аналитики'!M3407,0)</f>
        <v/>
      </c>
      <c r="N3408">
        <f>IF('01_Вводные'!$B$234="Да",'06_Сеть_и_дети'!N11+'19_Расчет_аналитики'!N3407,0)</f>
        <v/>
      </c>
      <c r="O3408">
        <f>IF('01_Вводные'!$B$234="Да",'06_Сеть_и_дети'!O11+'19_Расчет_аналитики'!O3407,0)</f>
        <v/>
      </c>
      <c r="P3408">
        <f>IF('01_Вводные'!$B$234="Да",'06_Сеть_и_дети'!P11+'19_Расчет_аналитики'!P3407,0)</f>
        <v/>
      </c>
      <c r="Q3408">
        <f>IF('01_Вводные'!$B$234="Да",'06_Сеть_и_дети'!Q11+'19_Расчет_аналитики'!Q3407,0)</f>
        <v/>
      </c>
      <c r="R3408">
        <f>IF('01_Вводные'!$B$234="Да",'06_Сеть_и_дети'!R11+'19_Расчет_аналитики'!R3407,0)</f>
        <v/>
      </c>
      <c r="S3408">
        <f>IF('01_Вводные'!$B$234="Да",'06_Сеть_и_дети'!S11+'19_Расчет_аналитики'!S3407,0)</f>
        <v/>
      </c>
      <c r="T3408">
        <f>IF('01_Вводные'!$B$234="Да",'06_Сеть_и_дети'!T11+'19_Расчет_аналитики'!T3407,0)</f>
        <v/>
      </c>
      <c r="U3408">
        <f>IF('01_Вводные'!$B$234="Да",'06_Сеть_и_дети'!U11+'19_Расчет_аналитики'!U3407,0)</f>
        <v/>
      </c>
      <c r="V3408">
        <f>IF('01_Вводные'!$B$234="Да",'06_Сеть_и_дети'!V11+'19_Расчет_аналитики'!V3407,0)</f>
        <v/>
      </c>
      <c r="W3408">
        <f>IF('01_Вводные'!$B$234="Да",'06_Сеть_и_дети'!W11+'19_Расчет_аналитики'!W3407,0)</f>
        <v/>
      </c>
      <c r="X3408">
        <f>IF('01_Вводные'!$B$234="Да",'06_Сеть_и_дети'!X11+'19_Расчет_аналитики'!X3407,0)</f>
        <v/>
      </c>
      <c r="Y3408">
        <f>IF('01_Вводные'!$B$234="Да",'06_Сеть_и_дети'!Y11+'19_Расчет_аналитики'!Y3407,0)</f>
        <v/>
      </c>
      <c r="Z3408">
        <f>IF('01_Вводные'!$B$234="Да",'06_Сеть_и_дети'!Z11+'19_Расчет_аналитики'!Z3407,0)</f>
        <v/>
      </c>
      <c r="AA3408">
        <f>IF('01_Вводные'!$B$234="Да",'06_Сеть_и_дети'!AA11+'19_Расчет_аналитики'!AA3407,0)</f>
        <v/>
      </c>
      <c r="AB3408">
        <f>IF('01_Вводные'!$B$234="Да",'06_Сеть_и_дети'!AB11+'19_Расчет_аналитики'!AB3407,0)</f>
        <v/>
      </c>
      <c r="AC3408">
        <f>IF('01_Вводные'!$B$234="Да",'06_Сеть_и_дети'!AC11+'19_Расчет_аналитики'!AC3407,0)</f>
        <v/>
      </c>
      <c r="AD3408">
        <f>IF('01_Вводные'!$B$234="Да",'06_Сеть_и_дети'!AD11+'19_Расчет_аналитики'!AD3407,0)</f>
        <v/>
      </c>
      <c r="AE3408">
        <f>IF('01_Вводные'!$B$234="Да",'06_Сеть_и_дети'!AE11+'19_Расчет_аналитики'!AE3407,0)</f>
        <v/>
      </c>
      <c r="AF3408">
        <f>IF('01_Вводные'!$B$234="Да",'06_Сеть_и_дети'!AF11+'19_Расчет_аналитики'!AF3407,0)</f>
        <v/>
      </c>
      <c r="AG3408">
        <f>IF('01_Вводные'!$B$234="Да",'06_Сеть_и_дети'!AG11+'19_Расчет_аналитики'!AG3407,0)</f>
        <v/>
      </c>
      <c r="AH3408">
        <f>IF('01_Вводные'!$B$234="Да",'06_Сеть_и_дети'!AH11+'19_Расчет_аналитики'!AH3407,0)</f>
        <v/>
      </c>
      <c r="AI3408">
        <f>IF('01_Вводные'!$B$234="Да",'06_Сеть_и_дети'!AI11+'19_Расчет_аналитики'!AI3407,0)</f>
        <v/>
      </c>
      <c r="AJ3408">
        <f>IF('01_Вводные'!$B$234="Да",'06_Сеть_и_дети'!AJ11+'19_Расчет_аналитики'!AJ3407,0)</f>
        <v/>
      </c>
      <c r="AK3408">
        <f>IF('01_Вводные'!$B$234="Да",'06_Сеть_и_дети'!AK11+'19_Расчет_аналитики'!AK3407,0)</f>
        <v/>
      </c>
      <c r="AL3408">
        <f>IF('01_Вводные'!$B$234="Да",'06_Сеть_и_дети'!AL11+'19_Расчет_аналитики'!AL3407,0)</f>
        <v/>
      </c>
      <c r="AM3408">
        <f>IF('01_Вводные'!$B$234="Да",'06_Сеть_и_дети'!AM11+'19_Расчет_аналитики'!AM3407,0)</f>
        <v/>
      </c>
      <c r="AN3408">
        <f>IF('01_Вводные'!$B$234="Да",'06_Сеть_и_дети'!AN11+'19_Расчет_аналитики'!AN3407,0)</f>
        <v/>
      </c>
      <c r="AO3408">
        <f>IF('01_Вводные'!$B$234="Да",'06_Сеть_и_дети'!AO11+'19_Расчет_аналитики'!AO3407,0)</f>
        <v/>
      </c>
      <c r="AP3408">
        <f>IF('01_Вводные'!$B$234="Да",'06_Сеть_и_дети'!AP11+'19_Расчет_аналитики'!AP3407,0)</f>
        <v/>
      </c>
      <c r="AQ3408">
        <f>IF('01_Вводные'!$B$234="Да",'06_Сеть_и_дети'!AQ11+'19_Расчет_аналитики'!AQ3407,0)</f>
        <v/>
      </c>
      <c r="AR3408">
        <f>IF('01_Вводные'!$B$234="Да",'06_Сеть_и_дети'!AR11+'19_Расчет_аналитики'!AR3407,0)</f>
        <v/>
      </c>
      <c r="AS3408">
        <f>IF('01_Вводные'!$B$234="Да",'06_Сеть_и_дети'!AS11+'19_Расчет_аналитики'!AS3407,0)</f>
        <v/>
      </c>
      <c r="AT3408">
        <f>IF('01_Вводные'!$B$234="Да",'06_Сеть_и_дети'!AT11+'19_Расчет_аналитики'!AT3407,0)</f>
        <v/>
      </c>
      <c r="AU3408">
        <f>IF('01_Вводные'!$B$234="Да",'06_Сеть_и_дети'!AU11+'19_Расчет_аналитики'!AU3407,0)</f>
        <v/>
      </c>
      <c r="AV3408">
        <f>IF('01_Вводные'!$B$234="Да",'06_Сеть_и_дети'!AV11+'19_Расчет_аналитики'!AV3407,0)</f>
        <v/>
      </c>
      <c r="AW3408">
        <f>IF('01_Вводные'!$B$234="Да",'06_Сеть_и_дети'!AW11+'19_Расчет_аналитики'!AW3407,0)</f>
        <v/>
      </c>
      <c r="AX3408">
        <f>IF('01_Вводные'!$B$234="Да",'06_Сеть_и_дети'!AX11+'19_Расчет_аналитики'!AX3407,0)</f>
        <v/>
      </c>
      <c r="AY3408">
        <f>IF('01_Вводные'!$B$234="Да",'06_Сеть_и_дети'!AY11+'19_Расчет_аналитики'!AY3407,0)</f>
        <v/>
      </c>
      <c r="AZ3408">
        <f>IF('01_Вводные'!$B$234="Да",'06_Сеть_и_дети'!AZ11+'19_Расчет_аналитики'!AZ3407,0)</f>
        <v/>
      </c>
      <c r="BA3408">
        <f>IF('01_Вводные'!$B$234="Да",'06_Сеть_и_дети'!BA11+'19_Расчет_аналитики'!BA3407,0)</f>
        <v/>
      </c>
      <c r="BB3408">
        <f>IF('01_Вводные'!$B$234="Да",'06_Сеть_и_дети'!BB11+'19_Расчет_аналитики'!BB3407,0)</f>
        <v/>
      </c>
      <c r="BC3408">
        <f>IF('01_Вводные'!$B$234="Да",'06_Сеть_и_дети'!BC11+'19_Расчет_аналитики'!BC3407,0)</f>
        <v/>
      </c>
      <c r="BD3408">
        <f>IF('01_Вводные'!$B$234="Да",'06_Сеть_и_дети'!BD11+'19_Расчет_аналитики'!BD3407,0)</f>
        <v/>
      </c>
      <c r="BE3408">
        <f>IF('01_Вводные'!$B$234="Да",'06_Сеть_и_дети'!BE11+'19_Расчет_аналитики'!BE3407,0)</f>
        <v/>
      </c>
      <c r="BF3408">
        <f>IF('01_Вводные'!$B$234="Да",'06_Сеть_и_дети'!BF11+'19_Расчет_аналитики'!BF3407,0)</f>
        <v/>
      </c>
      <c r="BG3408">
        <f>IF('01_Вводные'!$B$234="Да",'06_Сеть_и_дети'!BG11+'19_Расчет_аналитики'!BG3407,0)</f>
        <v/>
      </c>
      <c r="BH3408">
        <f>IF('01_Вводные'!$B$234="Да",'06_Сеть_и_дети'!BH11+'19_Расчет_аналитики'!BH3407,0)</f>
        <v/>
      </c>
      <c r="BI3408">
        <f>IF('01_Вводные'!$B$234="Да",'06_Сеть_и_дети'!BI11+'19_Расчет_аналитики'!BI3407,0)</f>
        <v/>
      </c>
      <c r="BJ3408">
        <f>IF('01_Вводные'!$B$234="Да",'06_Сеть_и_дети'!BJ11+'19_Расчет_аналитики'!BJ3407,0)</f>
        <v/>
      </c>
      <c r="BK3408">
        <f>IF('01_Вводные'!$B$234="Да",'06_Сеть_и_дети'!BK11+'19_Расчет_аналитики'!BK3407,0)</f>
        <v/>
      </c>
      <c r="BL3408">
        <f>IF('01_Вводные'!$B$234="Да",'06_Сеть_и_дети'!BL11+'19_Расчет_аналитики'!BL3407,0)</f>
        <v/>
      </c>
      <c r="BM3408">
        <f>IF('01_Вводные'!$B$234="Да",'06_Сеть_и_дети'!BM11+'19_Расчет_аналитики'!BM3407,0)</f>
        <v/>
      </c>
      <c r="BN3408">
        <f>IF('01_Вводные'!$B$234="Да",'06_Сеть_и_дети'!BN11+'19_Расчет_аналитики'!BN3407,0)</f>
        <v/>
      </c>
      <c r="BO3408">
        <f>IF('01_Вводные'!$B$234="Да",'06_Сеть_и_дети'!BO11+'19_Расчет_аналитики'!BO3407,0)</f>
        <v/>
      </c>
    </row>
    <row r="3409"/>
    <row r="3410"/>
    <row r="3411"/>
    <row r="3412">
      <c r="B3412">
        <f>IF('01_Вводные'!$B$234="Да",SUMPRODUCT('19_Расчет_аналитики'!B3444:B3455,CapacityYear1)*'19_Расчет_аналитики'!$F$3247*'06_Сеть_и_дети'!B5,0)</f>
        <v/>
      </c>
      <c r="C3412">
        <f>IF('01_Вводные'!$B$234="Да",SUMPRODUCT('19_Расчет_аналитики'!C3444:C3455,CapacityYear1)*'19_Расчет_аналитики'!$F$3247*'06_Сеть_и_дети'!C5,0)</f>
        <v/>
      </c>
      <c r="D3412">
        <f>IF('01_Вводные'!$B$234="Да",SUMPRODUCT('19_Расчет_аналитики'!D3444:D3455,CapacityYear1)*'19_Расчет_аналитики'!$F$3247*'06_Сеть_и_дети'!D5,0)</f>
        <v/>
      </c>
      <c r="E3412">
        <f>IF('01_Вводные'!$B$234="Да",SUMPRODUCT('19_Расчет_аналитики'!E3444:E3455,CapacityYear1)*'19_Расчет_аналитики'!$F$3247*'06_Сеть_и_дети'!E5,0)</f>
        <v/>
      </c>
      <c r="F3412">
        <f>IF('01_Вводные'!$B$234="Да",SUMPRODUCT('19_Расчет_аналитики'!F3444:F3455,CapacityYear1)*'19_Расчет_аналитики'!$F$3247*'06_Сеть_и_дети'!F5,0)</f>
        <v/>
      </c>
      <c r="G3412">
        <f>IF('01_Вводные'!$B$234="Да",SUMPRODUCT('19_Расчет_аналитики'!G3444:G3455,CapacityYear1)*'19_Расчет_аналитики'!$F$3247*'06_Сеть_и_дети'!G5,0)</f>
        <v/>
      </c>
      <c r="H3412">
        <f>IF('01_Вводные'!$B$234="Да",SUMPRODUCT('19_Расчет_аналитики'!H3444:H3455,CapacityYear1)*'19_Расчет_аналитики'!$F$3247*'06_Сеть_и_дети'!H5,0)</f>
        <v/>
      </c>
      <c r="I3412">
        <f>IF('01_Вводные'!$B$234="Да",SUMPRODUCT('19_Расчет_аналитики'!I3444:I3455,CapacityYear1)*'19_Расчет_аналитики'!$F$3247*'06_Сеть_и_дети'!I5,0)</f>
        <v/>
      </c>
      <c r="J3412">
        <f>IF('01_Вводные'!$B$234="Да",SUMPRODUCT('19_Расчет_аналитики'!J3444:J3455,CapacityYear1)*'19_Расчет_аналитики'!$F$3247*'06_Сеть_и_дети'!J5,0)</f>
        <v/>
      </c>
      <c r="K3412">
        <f>IF('01_Вводные'!$B$234="Да",SUMPRODUCT('19_Расчет_аналитики'!K3444:K3455,CapacityYear1)*'19_Расчет_аналитики'!$F$3247*'06_Сеть_и_дети'!K5,0)</f>
        <v/>
      </c>
      <c r="L3412">
        <f>IF('01_Вводные'!$B$234="Да",SUMPRODUCT('19_Расчет_аналитики'!L3444:L3455,CapacityYear1)*'19_Расчет_аналитики'!$F$3247*'06_Сеть_и_дети'!L5,0)</f>
        <v/>
      </c>
      <c r="M3412">
        <f>IF('01_Вводные'!$B$234="Да",SUMPRODUCT('19_Расчет_аналитики'!M3444:M3455,CapacityYear1)*'19_Расчет_аналитики'!$F$3247*'06_Сеть_и_дети'!M5,0)</f>
        <v/>
      </c>
      <c r="N3412">
        <f>IF('01_Вводные'!$B$234="Да",SUMPRODUCT('19_Расчет_аналитики'!N3444:N3455,CapacityYear1)*'19_Расчет_аналитики'!$F$3247*'06_Сеть_и_дети'!N5,0)</f>
        <v/>
      </c>
      <c r="O3412">
        <f>IF('01_Вводные'!$B$234="Да",SUMPRODUCT('19_Расчет_аналитики'!O3444:O3455,CapacityYear1)*'19_Расчет_аналитики'!$F$3247*'06_Сеть_и_дети'!O5,0)</f>
        <v/>
      </c>
      <c r="P3412">
        <f>IF('01_Вводные'!$B$234="Да",SUMPRODUCT('19_Расчет_аналитики'!P3444:P3455,CapacityYear1)*'19_Расчет_аналитики'!$F$3247*'06_Сеть_и_дети'!P5,0)</f>
        <v/>
      </c>
      <c r="Q3412">
        <f>IF('01_Вводные'!$B$234="Да",SUMPRODUCT('19_Расчет_аналитики'!Q3444:Q3455,CapacityYear1)*'19_Расчет_аналитики'!$F$3247*'06_Сеть_и_дети'!Q5,0)</f>
        <v/>
      </c>
      <c r="R3412">
        <f>IF('01_Вводные'!$B$234="Да",SUMPRODUCT('19_Расчет_аналитики'!R3444:R3455,CapacityYear1)*'19_Расчет_аналитики'!$F$3247*'06_Сеть_и_дети'!R5,0)</f>
        <v/>
      </c>
      <c r="S3412">
        <f>IF('01_Вводные'!$B$234="Да",SUMPRODUCT('19_Расчет_аналитики'!S3444:S3455,CapacityYear1)*'19_Расчет_аналитики'!$F$3247*'06_Сеть_и_дети'!S5,0)</f>
        <v/>
      </c>
      <c r="T3412">
        <f>IF('01_Вводные'!$B$234="Да",SUMPRODUCT('19_Расчет_аналитики'!T3444:T3455,CapacityYear1)*'19_Расчет_аналитики'!$F$3247*'06_Сеть_и_дети'!T5,0)</f>
        <v/>
      </c>
      <c r="U3412">
        <f>IF('01_Вводные'!$B$234="Да",SUMPRODUCT('19_Расчет_аналитики'!U3444:U3455,CapacityYear1)*'19_Расчет_аналитики'!$F$3247*'06_Сеть_и_дети'!U5,0)</f>
        <v/>
      </c>
      <c r="V3412">
        <f>IF('01_Вводные'!$B$234="Да",SUMPRODUCT('19_Расчет_аналитики'!V3444:V3455,CapacityYear1)*'19_Расчет_аналитики'!$F$3247*'06_Сеть_и_дети'!V5,0)</f>
        <v/>
      </c>
      <c r="W3412">
        <f>IF('01_Вводные'!$B$234="Да",SUMPRODUCT('19_Расчет_аналитики'!W3444:W3455,CapacityYear1)*'19_Расчет_аналитики'!$F$3247*'06_Сеть_и_дети'!W5,0)</f>
        <v/>
      </c>
      <c r="X3412">
        <f>IF('01_Вводные'!$B$234="Да",SUMPRODUCT('19_Расчет_аналитики'!X3444:X3455,CapacityYear1)*'19_Расчет_аналитики'!$F$3247*'06_Сеть_и_дети'!X5,0)</f>
        <v/>
      </c>
      <c r="Y3412">
        <f>IF('01_Вводные'!$B$234="Да",SUMPRODUCT('19_Расчет_аналитики'!Y3444:Y3455,CapacityYear1)*'19_Расчет_аналитики'!$F$3247*'06_Сеть_и_дети'!Y5,0)</f>
        <v/>
      </c>
      <c r="Z3412">
        <f>IF('01_Вводные'!$B$234="Да",SUMPRODUCT('19_Расчет_аналитики'!Z3444:Z3455,CapacityYear1)*'19_Расчет_аналитики'!$F$3247*'06_Сеть_и_дети'!Z5,0)</f>
        <v/>
      </c>
      <c r="AA3412">
        <f>IF('01_Вводные'!$B$234="Да",SUMPRODUCT('19_Расчет_аналитики'!AA3444:AA3455,CapacityYear1)*'19_Расчет_аналитики'!$F$3247*'06_Сеть_и_дети'!AA5,0)</f>
        <v/>
      </c>
      <c r="AB3412">
        <f>IF('01_Вводные'!$B$234="Да",SUMPRODUCT('19_Расчет_аналитики'!AB3444:AB3455,CapacityYear1)*'19_Расчет_аналитики'!$F$3247*'06_Сеть_и_дети'!AB5,0)</f>
        <v/>
      </c>
      <c r="AC3412">
        <f>IF('01_Вводные'!$B$234="Да",SUMPRODUCT('19_Расчет_аналитики'!AC3444:AC3455,CapacityYear1)*'19_Расчет_аналитики'!$F$3247*'06_Сеть_и_дети'!AC5,0)</f>
        <v/>
      </c>
      <c r="AD3412">
        <f>IF('01_Вводные'!$B$234="Да",SUMPRODUCT('19_Расчет_аналитики'!AD3444:AD3455,CapacityYear1)*'19_Расчет_аналитики'!$F$3247*'06_Сеть_и_дети'!AD5,0)</f>
        <v/>
      </c>
      <c r="AE3412">
        <f>IF('01_Вводные'!$B$234="Да",SUMPRODUCT('19_Расчет_аналитики'!AE3444:AE3455,CapacityYear1)*'19_Расчет_аналитики'!$F$3247*'06_Сеть_и_дети'!AE5,0)</f>
        <v/>
      </c>
      <c r="AF3412">
        <f>IF('01_Вводные'!$B$234="Да",SUMPRODUCT('19_Расчет_аналитики'!AF3444:AF3455,CapacityYear1)*'19_Расчет_аналитики'!$F$3247*'06_Сеть_и_дети'!AF5,0)</f>
        <v/>
      </c>
      <c r="AG3412">
        <f>IF('01_Вводные'!$B$234="Да",SUMPRODUCT('19_Расчет_аналитики'!AG3444:AG3455,CapacityYear1)*'19_Расчет_аналитики'!$F$3247*'06_Сеть_и_дети'!AG5,0)</f>
        <v/>
      </c>
      <c r="AH3412">
        <f>IF('01_Вводные'!$B$234="Да",SUMPRODUCT('19_Расчет_аналитики'!AH3444:AH3455,CapacityYear1)*'19_Расчет_аналитики'!$F$3247*'06_Сеть_и_дети'!AH5,0)</f>
        <v/>
      </c>
      <c r="AI3412">
        <f>IF('01_Вводные'!$B$234="Да",SUMPRODUCT('19_Расчет_аналитики'!AI3444:AI3455,CapacityYear1)*'19_Расчет_аналитики'!$F$3247*'06_Сеть_и_дети'!AI5,0)</f>
        <v/>
      </c>
      <c r="AJ3412">
        <f>IF('01_Вводные'!$B$234="Да",SUMPRODUCT('19_Расчет_аналитики'!AJ3444:AJ3455,CapacityYear1)*'19_Расчет_аналитики'!$F$3247*'06_Сеть_и_дети'!AJ5,0)</f>
        <v/>
      </c>
      <c r="AK3412">
        <f>IF('01_Вводные'!$B$234="Да",SUMPRODUCT('19_Расчет_аналитики'!AK3444:AK3455,CapacityYear1)*'19_Расчет_аналитики'!$F$3247*'06_Сеть_и_дети'!AK5,0)</f>
        <v/>
      </c>
      <c r="AL3412">
        <f>IF('01_Вводные'!$B$234="Да",SUMPRODUCT('19_Расчет_аналитики'!AL3444:AL3455,CapacityYear1)*'19_Расчет_аналитики'!$F$3247*'06_Сеть_и_дети'!AL5,0)</f>
        <v/>
      </c>
      <c r="AM3412">
        <f>IF('01_Вводные'!$B$234="Да",SUMPRODUCT('19_Расчет_аналитики'!AM3444:AM3455,CapacityYear1)*'19_Расчет_аналитики'!$F$3247*'06_Сеть_и_дети'!AM5,0)</f>
        <v/>
      </c>
      <c r="AN3412">
        <f>IF('01_Вводные'!$B$234="Да",SUMPRODUCT('19_Расчет_аналитики'!AN3444:AN3455,CapacityYear1)*'19_Расчет_аналитики'!$F$3247*'06_Сеть_и_дети'!AN5,0)</f>
        <v/>
      </c>
      <c r="AO3412">
        <f>IF('01_Вводные'!$B$234="Да",SUMPRODUCT('19_Расчет_аналитики'!AO3444:AO3455,CapacityYear1)*'19_Расчет_аналитики'!$F$3247*'06_Сеть_и_дети'!AO5,0)</f>
        <v/>
      </c>
      <c r="AP3412">
        <f>IF('01_Вводные'!$B$234="Да",SUMPRODUCT('19_Расчет_аналитики'!AP3444:AP3455,CapacityYear1)*'19_Расчет_аналитики'!$F$3247*'06_Сеть_и_дети'!AP5,0)</f>
        <v/>
      </c>
      <c r="AQ3412">
        <f>IF('01_Вводные'!$B$234="Да",SUMPRODUCT('19_Расчет_аналитики'!AQ3444:AQ3455,CapacityYear1)*'19_Расчет_аналитики'!$F$3247*'06_Сеть_и_дети'!AQ5,0)</f>
        <v/>
      </c>
      <c r="AR3412">
        <f>IF('01_Вводные'!$B$234="Да",SUMPRODUCT('19_Расчет_аналитики'!AR3444:AR3455,CapacityYear1)*'19_Расчет_аналитики'!$F$3247*'06_Сеть_и_дети'!AR5,0)</f>
        <v/>
      </c>
      <c r="AS3412">
        <f>IF('01_Вводные'!$B$234="Да",SUMPRODUCT('19_Расчет_аналитики'!AS3444:AS3455,CapacityYear1)*'19_Расчет_аналитики'!$F$3247*'06_Сеть_и_дети'!AS5,0)</f>
        <v/>
      </c>
      <c r="AT3412">
        <f>IF('01_Вводные'!$B$234="Да",SUMPRODUCT('19_Расчет_аналитики'!AT3444:AT3455,CapacityYear1)*'19_Расчет_аналитики'!$F$3247*'06_Сеть_и_дети'!AT5,0)</f>
        <v/>
      </c>
      <c r="AU3412">
        <f>IF('01_Вводные'!$B$234="Да",SUMPRODUCT('19_Расчет_аналитики'!AU3444:AU3455,CapacityYear1)*'19_Расчет_аналитики'!$F$3247*'06_Сеть_и_дети'!AU5,0)</f>
        <v/>
      </c>
      <c r="AV3412">
        <f>IF('01_Вводные'!$B$234="Да",SUMPRODUCT('19_Расчет_аналитики'!AV3444:AV3455,CapacityYear1)*'19_Расчет_аналитики'!$F$3247*'06_Сеть_и_дети'!AV5,0)</f>
        <v/>
      </c>
      <c r="AW3412">
        <f>IF('01_Вводные'!$B$234="Да",SUMPRODUCT('19_Расчет_аналитики'!AW3444:AW3455,CapacityYear1)*'19_Расчет_аналитики'!$F$3247*'06_Сеть_и_дети'!AW5,0)</f>
        <v/>
      </c>
      <c r="AX3412">
        <f>IF('01_Вводные'!$B$234="Да",SUMPRODUCT('19_Расчет_аналитики'!AX3444:AX3455,CapacityYear1)*'19_Расчет_аналитики'!$F$3247*'06_Сеть_и_дети'!AX5,0)</f>
        <v/>
      </c>
      <c r="AY3412">
        <f>IF('01_Вводные'!$B$234="Да",SUMPRODUCT('19_Расчет_аналитики'!AY3444:AY3455,CapacityYear1)*'19_Расчет_аналитики'!$F$3247*'06_Сеть_и_дети'!AY5,0)</f>
        <v/>
      </c>
      <c r="AZ3412">
        <f>IF('01_Вводные'!$B$234="Да",SUMPRODUCT('19_Расчет_аналитики'!AZ3444:AZ3455,CapacityYear1)*'19_Расчет_аналитики'!$F$3247*'06_Сеть_и_дети'!AZ5,0)</f>
        <v/>
      </c>
      <c r="BA3412">
        <f>IF('01_Вводные'!$B$234="Да",SUMPRODUCT('19_Расчет_аналитики'!BA3444:BA3455,CapacityYear1)*'19_Расчет_аналитики'!$F$3247*'06_Сеть_и_дети'!BA5,0)</f>
        <v/>
      </c>
      <c r="BB3412">
        <f>IF('01_Вводные'!$B$234="Да",SUMPRODUCT('19_Расчет_аналитики'!BB3444:BB3455,CapacityYear1)*'19_Расчет_аналитики'!$F$3247*'06_Сеть_и_дети'!BB5,0)</f>
        <v/>
      </c>
      <c r="BC3412">
        <f>IF('01_Вводные'!$B$234="Да",SUMPRODUCT('19_Расчет_аналитики'!BC3444:BC3455,CapacityYear1)*'19_Расчет_аналитики'!$F$3247*'06_Сеть_и_дети'!BC5,0)</f>
        <v/>
      </c>
      <c r="BD3412">
        <f>IF('01_Вводные'!$B$234="Да",SUMPRODUCT('19_Расчет_аналитики'!BD3444:BD3455,CapacityYear1)*'19_Расчет_аналитики'!$F$3247*'06_Сеть_и_дети'!BD5,0)</f>
        <v/>
      </c>
      <c r="BE3412">
        <f>IF('01_Вводные'!$B$234="Да",SUMPRODUCT('19_Расчет_аналитики'!BE3444:BE3455,CapacityYear1)*'19_Расчет_аналитики'!$F$3247*'06_Сеть_и_дети'!BE5,0)</f>
        <v/>
      </c>
      <c r="BF3412">
        <f>IF('01_Вводные'!$B$234="Да",SUMPRODUCT('19_Расчет_аналитики'!BF3444:BF3455,CapacityYear1)*'19_Расчет_аналитики'!$F$3247*'06_Сеть_и_дети'!BF5,0)</f>
        <v/>
      </c>
      <c r="BG3412">
        <f>IF('01_Вводные'!$B$234="Да",SUMPRODUCT('19_Расчет_аналитики'!BG3444:BG3455,CapacityYear1)*'19_Расчет_аналитики'!$F$3247*'06_Сеть_и_дети'!BG5,0)</f>
        <v/>
      </c>
      <c r="BH3412">
        <f>IF('01_Вводные'!$B$234="Да",SUMPRODUCT('19_Расчет_аналитики'!BH3444:BH3455,CapacityYear1)*'19_Расчет_аналитики'!$F$3247*'06_Сеть_и_дети'!BH5,0)</f>
        <v/>
      </c>
      <c r="BI3412">
        <f>IF('01_Вводные'!$B$234="Да",SUMPRODUCT('19_Расчет_аналитики'!BI3444:BI3455,CapacityYear1)*'19_Расчет_аналитики'!$F$3247*'06_Сеть_и_дети'!BI5,0)</f>
        <v/>
      </c>
      <c r="BJ3412">
        <f>IF('01_Вводные'!$B$234="Да",SUMPRODUCT('19_Расчет_аналитики'!BJ3444:BJ3455,CapacityYear1)*'19_Расчет_аналитики'!$F$3247*'06_Сеть_и_дети'!BJ5,0)</f>
        <v/>
      </c>
      <c r="BK3412">
        <f>IF('01_Вводные'!$B$234="Да",SUMPRODUCT('19_Расчет_аналитики'!BK3444:BK3455,CapacityYear1)*'19_Расчет_аналитики'!$F$3247*'06_Сеть_и_дети'!BK5,0)</f>
        <v/>
      </c>
      <c r="BL3412">
        <f>IF('01_Вводные'!$B$234="Да",SUMPRODUCT('19_Расчет_аналитики'!BL3444:BL3455,CapacityYear1)*'19_Расчет_аналитики'!$F$3247*'06_Сеть_и_дети'!BL5,0)</f>
        <v/>
      </c>
      <c r="BM3412">
        <f>IF('01_Вводные'!$B$234="Да",SUMPRODUCT('19_Расчет_аналитики'!BM3444:BM3455,CapacityYear1)*'19_Расчет_аналитики'!$F$3247*'06_Сеть_и_дети'!BM5,0)</f>
        <v/>
      </c>
      <c r="BN3412">
        <f>IF('01_Вводные'!$B$234="Да",SUMPRODUCT('19_Расчет_аналитики'!BN3444:BN3455,CapacityYear1)*'19_Расчет_аналитики'!$F$3247*'06_Сеть_и_дети'!BN5,0)</f>
        <v/>
      </c>
      <c r="BO3412">
        <f>IF('01_Вводные'!$B$234="Да",SUMPRODUCT('19_Расчет_аналитики'!BO3444:BO3455,CapacityYear1)*'19_Расчет_аналитики'!$F$3247*'06_Сеть_и_дети'!BO5,0)</f>
        <v/>
      </c>
    </row>
    <row r="3413">
      <c r="B3413">
        <f>IF('01_Вводные'!$B$234="Да",SUMPRODUCT('06_Сеть_и_дети'!B65:B76,CapacityYear2)*'19_Расчет_аналитики'!$F$3247*'06_Сеть_и_дети'!B5,0)</f>
        <v/>
      </c>
      <c r="C3413">
        <f>IF('01_Вводные'!$B$234="Да",SUMPRODUCT('06_Сеть_и_дети'!C65:C76,CapacityYear2)*'19_Расчет_аналитики'!$F$3247*'06_Сеть_и_дети'!C5,0)</f>
        <v/>
      </c>
      <c r="D3413">
        <f>IF('01_Вводные'!$B$234="Да",SUMPRODUCT('06_Сеть_и_дети'!D65:D76,CapacityYear2)*'19_Расчет_аналитики'!$F$3247*'06_Сеть_и_дети'!D5,0)</f>
        <v/>
      </c>
      <c r="E3413">
        <f>IF('01_Вводные'!$B$234="Да",SUMPRODUCT('06_Сеть_и_дети'!E65:E76,CapacityYear2)*'19_Расчет_аналитики'!$F$3247*'06_Сеть_и_дети'!E5,0)</f>
        <v/>
      </c>
      <c r="F3413">
        <f>IF('01_Вводные'!$B$234="Да",SUMPRODUCT('06_Сеть_и_дети'!F65:F76,CapacityYear2)*'19_Расчет_аналитики'!$F$3247*'06_Сеть_и_дети'!F5,0)</f>
        <v/>
      </c>
      <c r="G3413">
        <f>IF('01_Вводные'!$B$234="Да",SUMPRODUCT('06_Сеть_и_дети'!G65:G76,CapacityYear2)*'19_Расчет_аналитики'!$F$3247*'06_Сеть_и_дети'!G5,0)</f>
        <v/>
      </c>
      <c r="H3413">
        <f>IF('01_Вводные'!$B$234="Да",SUMPRODUCT('06_Сеть_и_дети'!H65:H76,CapacityYear2)*'19_Расчет_аналитики'!$F$3247*'06_Сеть_и_дети'!H5,0)</f>
        <v/>
      </c>
      <c r="I3413">
        <f>IF('01_Вводные'!$B$234="Да",SUMPRODUCT('06_Сеть_и_дети'!I65:I76,CapacityYear2)*'19_Расчет_аналитики'!$F$3247*'06_Сеть_и_дети'!I5,0)</f>
        <v/>
      </c>
      <c r="J3413">
        <f>IF('01_Вводные'!$B$234="Да",SUMPRODUCT('06_Сеть_и_дети'!J65:J76,CapacityYear2)*'19_Расчет_аналитики'!$F$3247*'06_Сеть_и_дети'!J5,0)</f>
        <v/>
      </c>
      <c r="K3413">
        <f>IF('01_Вводные'!$B$234="Да",SUMPRODUCT('06_Сеть_и_дети'!K65:K76,CapacityYear2)*'19_Расчет_аналитики'!$F$3247*'06_Сеть_и_дети'!K5,0)</f>
        <v/>
      </c>
      <c r="L3413">
        <f>IF('01_Вводные'!$B$234="Да",SUMPRODUCT('06_Сеть_и_дети'!L65:L76,CapacityYear2)*'19_Расчет_аналитики'!$F$3247*'06_Сеть_и_дети'!L5,0)</f>
        <v/>
      </c>
      <c r="M3413">
        <f>IF('01_Вводные'!$B$234="Да",SUMPRODUCT('06_Сеть_и_дети'!M65:M76,CapacityYear2)*'19_Расчет_аналитики'!$F$3247*'06_Сеть_и_дети'!M5,0)</f>
        <v/>
      </c>
      <c r="N3413">
        <f>IF('01_Вводные'!$B$234="Да",SUMPRODUCT('19_Расчет_аналитики'!N3456:N3467,CapacityYear2)*'19_Расчет_аналитики'!$F$3247*'06_Сеть_и_дети'!N5,0)</f>
        <v/>
      </c>
      <c r="O3413">
        <f>IF('01_Вводные'!$B$234="Да",SUMPRODUCT('19_Расчет_аналитики'!O3456:O3467,CapacityYear2)*'19_Расчет_аналитики'!$F$3247*'06_Сеть_и_дети'!O5,0)</f>
        <v/>
      </c>
      <c r="P3413">
        <f>IF('01_Вводные'!$B$234="Да",SUMPRODUCT('19_Расчет_аналитики'!P3456:P3467,CapacityYear2)*'19_Расчет_аналитики'!$F$3247*'06_Сеть_и_дети'!P5,0)</f>
        <v/>
      </c>
      <c r="Q3413">
        <f>IF('01_Вводные'!$B$234="Да",SUMPRODUCT('19_Расчет_аналитики'!Q3456:Q3467,CapacityYear2)*'19_Расчет_аналитики'!$F$3247*'06_Сеть_и_дети'!Q5,0)</f>
        <v/>
      </c>
      <c r="R3413">
        <f>IF('01_Вводные'!$B$234="Да",SUMPRODUCT('19_Расчет_аналитики'!R3456:R3467,CapacityYear2)*'19_Расчет_аналитики'!$F$3247*'06_Сеть_и_дети'!R5,0)</f>
        <v/>
      </c>
      <c r="S3413">
        <f>IF('01_Вводные'!$B$234="Да",SUMPRODUCT('19_Расчет_аналитики'!S3456:S3467,CapacityYear2)*'19_Расчет_аналитики'!$F$3247*'06_Сеть_и_дети'!S5,0)</f>
        <v/>
      </c>
      <c r="T3413">
        <f>IF('01_Вводные'!$B$234="Да",SUMPRODUCT('19_Расчет_аналитики'!T3456:T3467,CapacityYear2)*'19_Расчет_аналитики'!$F$3247*'06_Сеть_и_дети'!T5,0)</f>
        <v/>
      </c>
      <c r="U3413">
        <f>IF('01_Вводные'!$B$234="Да",SUMPRODUCT('19_Расчет_аналитики'!U3456:U3467,CapacityYear2)*'19_Расчет_аналитики'!$F$3247*'06_Сеть_и_дети'!U5,0)</f>
        <v/>
      </c>
      <c r="V3413">
        <f>IF('01_Вводные'!$B$234="Да",SUMPRODUCT('19_Расчет_аналитики'!V3456:V3467,CapacityYear2)*'19_Расчет_аналитики'!$F$3247*'06_Сеть_и_дети'!V5,0)</f>
        <v/>
      </c>
      <c r="W3413">
        <f>IF('01_Вводные'!$B$234="Да",SUMPRODUCT('19_Расчет_аналитики'!W3456:W3467,CapacityYear2)*'19_Расчет_аналитики'!$F$3247*'06_Сеть_и_дети'!W5,0)</f>
        <v/>
      </c>
      <c r="X3413">
        <f>IF('01_Вводные'!$B$234="Да",SUMPRODUCT('19_Расчет_аналитики'!X3456:X3467,CapacityYear2)*'19_Расчет_аналитики'!$F$3247*'06_Сеть_и_дети'!X5,0)</f>
        <v/>
      </c>
      <c r="Y3413">
        <f>IF('01_Вводные'!$B$234="Да",SUMPRODUCT('19_Расчет_аналитики'!Y3456:Y3467,CapacityYear2)*'19_Расчет_аналитики'!$F$3247*'06_Сеть_и_дети'!Y5,0)</f>
        <v/>
      </c>
      <c r="Z3413">
        <f>IF('01_Вводные'!$B$234="Да",SUMPRODUCT('19_Расчет_аналитики'!Z3456:Z3467,CapacityYear2)*'19_Расчет_аналитики'!$F$3247*'06_Сеть_и_дети'!Z5,0)</f>
        <v/>
      </c>
      <c r="AA3413">
        <f>IF('01_Вводные'!$B$234="Да",SUMPRODUCT('19_Расчет_аналитики'!AA3456:AA3467,CapacityYear2)*'19_Расчет_аналитики'!$F$3247*'06_Сеть_и_дети'!AA5,0)</f>
        <v/>
      </c>
      <c r="AB3413">
        <f>IF('01_Вводные'!$B$234="Да",SUMPRODUCT('19_Расчет_аналитики'!AB3456:AB3467,CapacityYear2)*'19_Расчет_аналитики'!$F$3247*'06_Сеть_и_дети'!AB5,0)</f>
        <v/>
      </c>
      <c r="AC3413">
        <f>IF('01_Вводные'!$B$234="Да",SUMPRODUCT('19_Расчет_аналитики'!AC3456:AC3467,CapacityYear2)*'19_Расчет_аналитики'!$F$3247*'06_Сеть_и_дети'!AC5,0)</f>
        <v/>
      </c>
      <c r="AD3413">
        <f>IF('01_Вводные'!$B$234="Да",SUMPRODUCT('19_Расчет_аналитики'!AD3456:AD3467,CapacityYear2)*'19_Расчет_аналитики'!$F$3247*'06_Сеть_и_дети'!AD5,0)</f>
        <v/>
      </c>
      <c r="AE3413">
        <f>IF('01_Вводные'!$B$234="Да",SUMPRODUCT('19_Расчет_аналитики'!AE3456:AE3467,CapacityYear2)*'19_Расчет_аналитики'!$F$3247*'06_Сеть_и_дети'!AE5,0)</f>
        <v/>
      </c>
      <c r="AF3413">
        <f>IF('01_Вводные'!$B$234="Да",SUMPRODUCT('19_Расчет_аналитики'!AF3456:AF3467,CapacityYear2)*'19_Расчет_аналитики'!$F$3247*'06_Сеть_и_дети'!AF5,0)</f>
        <v/>
      </c>
      <c r="AG3413">
        <f>IF('01_Вводные'!$B$234="Да",SUMPRODUCT('19_Расчет_аналитики'!AG3456:AG3467,CapacityYear2)*'19_Расчет_аналитики'!$F$3247*'06_Сеть_и_дети'!AG5,0)</f>
        <v/>
      </c>
      <c r="AH3413">
        <f>IF('01_Вводные'!$B$234="Да",SUMPRODUCT('19_Расчет_аналитики'!AH3456:AH3467,CapacityYear2)*'19_Расчет_аналитики'!$F$3247*'06_Сеть_и_дети'!AH5,0)</f>
        <v/>
      </c>
      <c r="AI3413">
        <f>IF('01_Вводные'!$B$234="Да",SUMPRODUCT('19_Расчет_аналитики'!AI3456:AI3467,CapacityYear2)*'19_Расчет_аналитики'!$F$3247*'06_Сеть_и_дети'!AI5,0)</f>
        <v/>
      </c>
      <c r="AJ3413">
        <f>IF('01_Вводные'!$B$234="Да",SUMPRODUCT('19_Расчет_аналитики'!AJ3456:AJ3467,CapacityYear2)*'19_Расчет_аналитики'!$F$3247*'06_Сеть_и_дети'!AJ5,0)</f>
        <v/>
      </c>
      <c r="AK3413">
        <f>IF('01_Вводные'!$B$234="Да",SUMPRODUCT('19_Расчет_аналитики'!AK3456:AK3467,CapacityYear2)*'19_Расчет_аналитики'!$F$3247*'06_Сеть_и_дети'!AK5,0)</f>
        <v/>
      </c>
      <c r="AL3413">
        <f>IF('01_Вводные'!$B$234="Да",SUMPRODUCT('19_Расчет_аналитики'!AL3456:AL3467,CapacityYear2)*'19_Расчет_аналитики'!$F$3247*'06_Сеть_и_дети'!AL5,0)</f>
        <v/>
      </c>
      <c r="AM3413">
        <f>IF('01_Вводные'!$B$234="Да",SUMPRODUCT('19_Расчет_аналитики'!AM3456:AM3467,CapacityYear2)*'19_Расчет_аналитики'!$F$3247*'06_Сеть_и_дети'!AM5,0)</f>
        <v/>
      </c>
      <c r="AN3413">
        <f>IF('01_Вводные'!$B$234="Да",SUMPRODUCT('19_Расчет_аналитики'!AN3456:AN3467,CapacityYear2)*'19_Расчет_аналитики'!$F$3247*'06_Сеть_и_дети'!AN5,0)</f>
        <v/>
      </c>
      <c r="AO3413">
        <f>IF('01_Вводные'!$B$234="Да",SUMPRODUCT('19_Расчет_аналитики'!AO3456:AO3467,CapacityYear2)*'19_Расчет_аналитики'!$F$3247*'06_Сеть_и_дети'!AO5,0)</f>
        <v/>
      </c>
      <c r="AP3413">
        <f>IF('01_Вводные'!$B$234="Да",SUMPRODUCT('19_Расчет_аналитики'!AP3456:AP3467,CapacityYear2)*'19_Расчет_аналитики'!$F$3247*'06_Сеть_и_дети'!AP5,0)</f>
        <v/>
      </c>
      <c r="AQ3413">
        <f>IF('01_Вводные'!$B$234="Да",SUMPRODUCT('19_Расчет_аналитики'!AQ3456:AQ3467,CapacityYear2)*'19_Расчет_аналитики'!$F$3247*'06_Сеть_и_дети'!AQ5,0)</f>
        <v/>
      </c>
      <c r="AR3413">
        <f>IF('01_Вводные'!$B$234="Да",SUMPRODUCT('19_Расчет_аналитики'!AR3456:AR3467,CapacityYear2)*'19_Расчет_аналитики'!$F$3247*'06_Сеть_и_дети'!AR5,0)</f>
        <v/>
      </c>
      <c r="AS3413">
        <f>IF('01_Вводные'!$B$234="Да",SUMPRODUCT('19_Расчет_аналитики'!AS3456:AS3467,CapacityYear2)*'19_Расчет_аналитики'!$F$3247*'06_Сеть_и_дети'!AS5,0)</f>
        <v/>
      </c>
      <c r="AT3413">
        <f>IF('01_Вводные'!$B$234="Да",SUMPRODUCT('19_Расчет_аналитики'!AT3456:AT3467,CapacityYear2)*'19_Расчет_аналитики'!$F$3247*'06_Сеть_и_дети'!AT5,0)</f>
        <v/>
      </c>
      <c r="AU3413">
        <f>IF('01_Вводные'!$B$234="Да",SUMPRODUCT('19_Расчет_аналитики'!AU3456:AU3467,CapacityYear2)*'19_Расчет_аналитики'!$F$3247*'06_Сеть_и_дети'!AU5,0)</f>
        <v/>
      </c>
      <c r="AV3413">
        <f>IF('01_Вводные'!$B$234="Да",SUMPRODUCT('19_Расчет_аналитики'!AV3456:AV3467,CapacityYear2)*'19_Расчет_аналитики'!$F$3247*'06_Сеть_и_дети'!AV5,0)</f>
        <v/>
      </c>
      <c r="AW3413">
        <f>IF('01_Вводные'!$B$234="Да",SUMPRODUCT('19_Расчет_аналитики'!AW3456:AW3467,CapacityYear2)*'19_Расчет_аналитики'!$F$3247*'06_Сеть_и_дети'!AW5,0)</f>
        <v/>
      </c>
      <c r="AX3413">
        <f>IF('01_Вводные'!$B$234="Да",SUMPRODUCT('19_Расчет_аналитики'!AX3456:AX3467,CapacityYear2)*'19_Расчет_аналитики'!$F$3247*'06_Сеть_и_дети'!AX5,0)</f>
        <v/>
      </c>
      <c r="AY3413">
        <f>IF('01_Вводные'!$B$234="Да",SUMPRODUCT('19_Расчет_аналитики'!AY3456:AY3467,CapacityYear2)*'19_Расчет_аналитики'!$F$3247*'06_Сеть_и_дети'!AY5,0)</f>
        <v/>
      </c>
      <c r="AZ3413">
        <f>IF('01_Вводные'!$B$234="Да",SUMPRODUCT('19_Расчет_аналитики'!AZ3456:AZ3467,CapacityYear2)*'19_Расчет_аналитики'!$F$3247*'06_Сеть_и_дети'!AZ5,0)</f>
        <v/>
      </c>
      <c r="BA3413">
        <f>IF('01_Вводные'!$B$234="Да",SUMPRODUCT('19_Расчет_аналитики'!BA3456:BA3467,CapacityYear2)*'19_Расчет_аналитики'!$F$3247*'06_Сеть_и_дети'!BA5,0)</f>
        <v/>
      </c>
      <c r="BB3413">
        <f>IF('01_Вводные'!$B$234="Да",SUMPRODUCT('19_Расчет_аналитики'!BB3456:BB3467,CapacityYear2)*'19_Расчет_аналитики'!$F$3247*'06_Сеть_и_дети'!BB5,0)</f>
        <v/>
      </c>
      <c r="BC3413">
        <f>IF('01_Вводные'!$B$234="Да",SUMPRODUCT('19_Расчет_аналитики'!BC3456:BC3467,CapacityYear2)*'19_Расчет_аналитики'!$F$3247*'06_Сеть_и_дети'!BC5,0)</f>
        <v/>
      </c>
      <c r="BD3413">
        <f>IF('01_Вводные'!$B$234="Да",SUMPRODUCT('19_Расчет_аналитики'!BD3456:BD3467,CapacityYear2)*'19_Расчет_аналитики'!$F$3247*'06_Сеть_и_дети'!BD5,0)</f>
        <v/>
      </c>
      <c r="BE3413">
        <f>IF('01_Вводные'!$B$234="Да",SUMPRODUCT('19_Расчет_аналитики'!BE3456:BE3467,CapacityYear2)*'19_Расчет_аналитики'!$F$3247*'06_Сеть_и_дети'!BE5,0)</f>
        <v/>
      </c>
      <c r="BF3413">
        <f>IF('01_Вводные'!$B$234="Да",SUMPRODUCT('19_Расчет_аналитики'!BF3456:BF3467,CapacityYear2)*'19_Расчет_аналитики'!$F$3247*'06_Сеть_и_дети'!BF5,0)</f>
        <v/>
      </c>
      <c r="BG3413">
        <f>IF('01_Вводные'!$B$234="Да",SUMPRODUCT('19_Расчет_аналитики'!BG3456:BG3467,CapacityYear2)*'19_Расчет_аналитики'!$F$3247*'06_Сеть_и_дети'!BG5,0)</f>
        <v/>
      </c>
      <c r="BH3413">
        <f>IF('01_Вводные'!$B$234="Да",SUMPRODUCT('19_Расчет_аналитики'!BH3456:BH3467,CapacityYear2)*'19_Расчет_аналитики'!$F$3247*'06_Сеть_и_дети'!BH5,0)</f>
        <v/>
      </c>
      <c r="BI3413">
        <f>IF('01_Вводные'!$B$234="Да",SUMPRODUCT('19_Расчет_аналитики'!BI3456:BI3467,CapacityYear2)*'19_Расчет_аналитики'!$F$3247*'06_Сеть_и_дети'!BI5,0)</f>
        <v/>
      </c>
      <c r="BJ3413">
        <f>IF('01_Вводные'!$B$234="Да",SUMPRODUCT('19_Расчет_аналитики'!BJ3456:BJ3467,CapacityYear2)*'19_Расчет_аналитики'!$F$3247*'06_Сеть_и_дети'!BJ5,0)</f>
        <v/>
      </c>
      <c r="BK3413">
        <f>IF('01_Вводные'!$B$234="Да",SUMPRODUCT('19_Расчет_аналитики'!BK3456:BK3467,CapacityYear2)*'19_Расчет_аналитики'!$F$3247*'06_Сеть_и_дети'!BK5,0)</f>
        <v/>
      </c>
      <c r="BL3413">
        <f>IF('01_Вводные'!$B$234="Да",SUMPRODUCT('19_Расчет_аналитики'!BL3456:BL3467,CapacityYear2)*'19_Расчет_аналитики'!$F$3247*'06_Сеть_и_дети'!BL5,0)</f>
        <v/>
      </c>
      <c r="BM3413">
        <f>IF('01_Вводные'!$B$234="Да",SUMPRODUCT('19_Расчет_аналитики'!BM3456:BM3467,CapacityYear2)*'19_Расчет_аналитики'!$F$3247*'06_Сеть_и_дети'!BM5,0)</f>
        <v/>
      </c>
      <c r="BN3413">
        <f>IF('01_Вводные'!$B$234="Да",SUMPRODUCT('19_Расчет_аналитики'!BN3456:BN3467,CapacityYear2)*'19_Расчет_аналитики'!$F$3247*'06_Сеть_и_дети'!BN5,0)</f>
        <v/>
      </c>
      <c r="BO3413">
        <f>IF('01_Вводные'!$B$234="Да",SUMPRODUCT('19_Расчет_аналитики'!BO3456:BO3467,CapacityYear2)*'19_Расчет_аналитики'!$F$3247*'06_Сеть_и_дети'!BO5,0)</f>
        <v/>
      </c>
    </row>
    <row r="3414">
      <c r="B3414">
        <f>IF('01_Вводные'!$B$234="Да",'06_Сеть_и_дети'!B77*CapacityAge25*'19_Расчет_аналитики'!$F$3247*'06_Сеть_и_дети'!B5,0)</f>
        <v/>
      </c>
      <c r="C3414">
        <f>IF('01_Вводные'!$B$234="Да",'06_Сеть_и_дети'!C77*CapacityAge25*'19_Расчет_аналитики'!$F$3247*'06_Сеть_и_дети'!C5,0)</f>
        <v/>
      </c>
      <c r="D3414">
        <f>IF('01_Вводные'!$B$234="Да",'06_Сеть_и_дети'!D77*CapacityAge25*'19_Расчет_аналитики'!$F$3247*'06_Сеть_и_дети'!D5,0)</f>
        <v/>
      </c>
      <c r="E3414">
        <f>IF('01_Вводные'!$B$234="Да",'06_Сеть_и_дети'!E77*CapacityAge25*'19_Расчет_аналитики'!$F$3247*'06_Сеть_и_дети'!E5,0)</f>
        <v/>
      </c>
      <c r="F3414">
        <f>IF('01_Вводные'!$B$234="Да",'06_Сеть_и_дети'!F77*CapacityAge25*'19_Расчет_аналитики'!$F$3247*'06_Сеть_и_дети'!F5,0)</f>
        <v/>
      </c>
      <c r="G3414">
        <f>IF('01_Вводные'!$B$234="Да",'06_Сеть_и_дети'!G77*CapacityAge25*'19_Расчет_аналитики'!$F$3247*'06_Сеть_и_дети'!G5,0)</f>
        <v/>
      </c>
      <c r="H3414">
        <f>IF('01_Вводные'!$B$234="Да",'06_Сеть_и_дети'!H77*CapacityAge25*'19_Расчет_аналитики'!$F$3247*'06_Сеть_и_дети'!H5,0)</f>
        <v/>
      </c>
      <c r="I3414">
        <f>IF('01_Вводные'!$B$234="Да",'06_Сеть_и_дети'!I77*CapacityAge25*'19_Расчет_аналитики'!$F$3247*'06_Сеть_и_дети'!I5,0)</f>
        <v/>
      </c>
      <c r="J3414">
        <f>IF('01_Вводные'!$B$234="Да",'06_Сеть_и_дети'!J77*CapacityAge25*'19_Расчет_аналитики'!$F$3247*'06_Сеть_и_дети'!J5,0)</f>
        <v/>
      </c>
      <c r="K3414">
        <f>IF('01_Вводные'!$B$234="Да",'06_Сеть_и_дети'!K77*CapacityAge25*'19_Расчет_аналитики'!$F$3247*'06_Сеть_и_дети'!K5,0)</f>
        <v/>
      </c>
      <c r="L3414">
        <f>IF('01_Вводные'!$B$234="Да",'06_Сеть_и_дети'!L77*CapacityAge25*'19_Расчет_аналитики'!$F$3247*'06_Сеть_и_дети'!L5,0)</f>
        <v/>
      </c>
      <c r="M3414">
        <f>IF('01_Вводные'!$B$234="Да",'06_Сеть_и_дети'!M77*CapacityAge25*'19_Расчет_аналитики'!$F$3247*'06_Сеть_и_дети'!M5,0)</f>
        <v/>
      </c>
      <c r="N3414">
        <f>IF('01_Вводные'!$B$234="Да",'06_Сеть_и_дети'!N77*CapacityAge25*'19_Расчет_аналитики'!$F$3247*'06_Сеть_и_дети'!N5,0)</f>
        <v/>
      </c>
      <c r="O3414">
        <f>IF('01_Вводные'!$B$234="Да",'06_Сеть_и_дети'!O77*CapacityAge25*'19_Расчет_аналитики'!$F$3247*'06_Сеть_и_дети'!O5,0)</f>
        <v/>
      </c>
      <c r="P3414">
        <f>IF('01_Вводные'!$B$234="Да",'06_Сеть_и_дети'!P77*CapacityAge25*'19_Расчет_аналитики'!$F$3247*'06_Сеть_и_дети'!P5,0)</f>
        <v/>
      </c>
      <c r="Q3414">
        <f>IF('01_Вводные'!$B$234="Да",'06_Сеть_и_дети'!Q77*CapacityAge25*'19_Расчет_аналитики'!$F$3247*'06_Сеть_и_дети'!Q5,0)</f>
        <v/>
      </c>
      <c r="R3414">
        <f>IF('01_Вводные'!$B$234="Да",'06_Сеть_и_дети'!R77*CapacityAge25*'19_Расчет_аналитики'!$F$3247*'06_Сеть_и_дети'!R5,0)</f>
        <v/>
      </c>
      <c r="S3414">
        <f>IF('01_Вводные'!$B$234="Да",'06_Сеть_и_дети'!S77*CapacityAge25*'19_Расчет_аналитики'!$F$3247*'06_Сеть_и_дети'!S5,0)</f>
        <v/>
      </c>
      <c r="T3414">
        <f>IF('01_Вводные'!$B$234="Да",'06_Сеть_и_дети'!T77*CapacityAge25*'19_Расчет_аналитики'!$F$3247*'06_Сеть_и_дети'!T5,0)</f>
        <v/>
      </c>
      <c r="U3414">
        <f>IF('01_Вводные'!$B$234="Да",'06_Сеть_и_дети'!U77*CapacityAge25*'19_Расчет_аналитики'!$F$3247*'06_Сеть_и_дети'!U5,0)</f>
        <v/>
      </c>
      <c r="V3414">
        <f>IF('01_Вводные'!$B$234="Да",'06_Сеть_и_дети'!V77*CapacityAge25*'19_Расчет_аналитики'!$F$3247*'06_Сеть_и_дети'!V5,0)</f>
        <v/>
      </c>
      <c r="W3414">
        <f>IF('01_Вводные'!$B$234="Да",'06_Сеть_и_дети'!W77*CapacityAge25*'19_Расчет_аналитики'!$F$3247*'06_Сеть_и_дети'!W5,0)</f>
        <v/>
      </c>
      <c r="X3414">
        <f>IF('01_Вводные'!$B$234="Да",'06_Сеть_и_дети'!X77*CapacityAge25*'19_Расчет_аналитики'!$F$3247*'06_Сеть_и_дети'!X5,0)</f>
        <v/>
      </c>
      <c r="Y3414">
        <f>IF('01_Вводные'!$B$234="Да",'06_Сеть_и_дети'!Y77*CapacityAge25*'19_Расчет_аналитики'!$F$3247*'06_Сеть_и_дети'!Y5,0)</f>
        <v/>
      </c>
      <c r="Z3414">
        <f>IF('01_Вводные'!$B$234="Да",'19_Расчет_аналитики'!Z3468*CapacityAge25*'19_Расчет_аналитики'!$F$3247*'06_Сеть_и_дети'!Z5,0)</f>
        <v/>
      </c>
      <c r="AA3414">
        <f>IF('01_Вводные'!$B$234="Да",'19_Расчет_аналитики'!AA3468*CapacityAge25*'19_Расчет_аналитики'!$F$3247*'06_Сеть_и_дети'!AA5,0)</f>
        <v/>
      </c>
      <c r="AB3414">
        <f>IF('01_Вводные'!$B$234="Да",'19_Расчет_аналитики'!AB3468*CapacityAge25*'19_Расчет_аналитики'!$F$3247*'06_Сеть_и_дети'!AB5,0)</f>
        <v/>
      </c>
      <c r="AC3414">
        <f>IF('01_Вводные'!$B$234="Да",'19_Расчет_аналитики'!AC3468*CapacityAge25*'19_Расчет_аналитики'!$F$3247*'06_Сеть_и_дети'!AC5,0)</f>
        <v/>
      </c>
      <c r="AD3414">
        <f>IF('01_Вводные'!$B$234="Да",'19_Расчет_аналитики'!AD3468*CapacityAge25*'19_Расчет_аналитики'!$F$3247*'06_Сеть_и_дети'!AD5,0)</f>
        <v/>
      </c>
      <c r="AE3414">
        <f>IF('01_Вводные'!$B$234="Да",'19_Расчет_аналитики'!AE3468*CapacityAge25*'19_Расчет_аналитики'!$F$3247*'06_Сеть_и_дети'!AE5,0)</f>
        <v/>
      </c>
      <c r="AF3414">
        <f>IF('01_Вводные'!$B$234="Да",'19_Расчет_аналитики'!AF3468*CapacityAge25*'19_Расчет_аналитики'!$F$3247*'06_Сеть_и_дети'!AF5,0)</f>
        <v/>
      </c>
      <c r="AG3414">
        <f>IF('01_Вводные'!$B$234="Да",'19_Расчет_аналитики'!AG3468*CapacityAge25*'19_Расчет_аналитики'!$F$3247*'06_Сеть_и_дети'!AG5,0)</f>
        <v/>
      </c>
      <c r="AH3414">
        <f>IF('01_Вводные'!$B$234="Да",'19_Расчет_аналитики'!AH3468*CapacityAge25*'19_Расчет_аналитики'!$F$3247*'06_Сеть_и_дети'!AH5,0)</f>
        <v/>
      </c>
      <c r="AI3414">
        <f>IF('01_Вводные'!$B$234="Да",'19_Расчет_аналитики'!AI3468*CapacityAge25*'19_Расчет_аналитики'!$F$3247*'06_Сеть_и_дети'!AI5,0)</f>
        <v/>
      </c>
      <c r="AJ3414">
        <f>IF('01_Вводные'!$B$234="Да",'19_Расчет_аналитики'!AJ3468*CapacityAge25*'19_Расчет_аналитики'!$F$3247*'06_Сеть_и_дети'!AJ5,0)</f>
        <v/>
      </c>
      <c r="AK3414">
        <f>IF('01_Вводные'!$B$234="Да",'19_Расчет_аналитики'!AK3468*CapacityAge25*'19_Расчет_аналитики'!$F$3247*'06_Сеть_и_дети'!AK5,0)</f>
        <v/>
      </c>
      <c r="AL3414">
        <f>IF('01_Вводные'!$B$234="Да",'19_Расчет_аналитики'!AL3468*CapacityAge25*'19_Расчет_аналитики'!$F$3247*'06_Сеть_и_дети'!AL5,0)</f>
        <v/>
      </c>
      <c r="AM3414">
        <f>IF('01_Вводные'!$B$234="Да",'19_Расчет_аналитики'!AM3468*CapacityAge25*'19_Расчет_аналитики'!$F$3247*'06_Сеть_и_дети'!AM5,0)</f>
        <v/>
      </c>
      <c r="AN3414">
        <f>IF('01_Вводные'!$B$234="Да",'19_Расчет_аналитики'!AN3468*CapacityAge25*'19_Расчет_аналитики'!$F$3247*'06_Сеть_и_дети'!AN5,0)</f>
        <v/>
      </c>
      <c r="AO3414">
        <f>IF('01_Вводные'!$B$234="Да",'19_Расчет_аналитики'!AO3468*CapacityAge25*'19_Расчет_аналитики'!$F$3247*'06_Сеть_и_дети'!AO5,0)</f>
        <v/>
      </c>
      <c r="AP3414">
        <f>IF('01_Вводные'!$B$234="Да",'19_Расчет_аналитики'!AP3468*CapacityAge25*'19_Расчет_аналитики'!$F$3247*'06_Сеть_и_дети'!AP5,0)</f>
        <v/>
      </c>
      <c r="AQ3414">
        <f>IF('01_Вводные'!$B$234="Да",'19_Расчет_аналитики'!AQ3468*CapacityAge25*'19_Расчет_аналитики'!$F$3247*'06_Сеть_и_дети'!AQ5,0)</f>
        <v/>
      </c>
      <c r="AR3414">
        <f>IF('01_Вводные'!$B$234="Да",'19_Расчет_аналитики'!AR3468*CapacityAge25*'19_Расчет_аналитики'!$F$3247*'06_Сеть_и_дети'!AR5,0)</f>
        <v/>
      </c>
      <c r="AS3414">
        <f>IF('01_Вводные'!$B$234="Да",'19_Расчет_аналитики'!AS3468*CapacityAge25*'19_Расчет_аналитики'!$F$3247*'06_Сеть_и_дети'!AS5,0)</f>
        <v/>
      </c>
      <c r="AT3414">
        <f>IF('01_Вводные'!$B$234="Да",'19_Расчет_аналитики'!AT3468*CapacityAge25*'19_Расчет_аналитики'!$F$3247*'06_Сеть_и_дети'!AT5,0)</f>
        <v/>
      </c>
      <c r="AU3414">
        <f>IF('01_Вводные'!$B$234="Да",'19_Расчет_аналитики'!AU3468*CapacityAge25*'19_Расчет_аналитики'!$F$3247*'06_Сеть_и_дети'!AU5,0)</f>
        <v/>
      </c>
      <c r="AV3414">
        <f>IF('01_Вводные'!$B$234="Да",'19_Расчет_аналитики'!AV3468*CapacityAge25*'19_Расчет_аналитики'!$F$3247*'06_Сеть_и_дети'!AV5,0)</f>
        <v/>
      </c>
      <c r="AW3414">
        <f>IF('01_Вводные'!$B$234="Да",'19_Расчет_аналитики'!AW3468*CapacityAge25*'19_Расчет_аналитики'!$F$3247*'06_Сеть_и_дети'!AW5,0)</f>
        <v/>
      </c>
      <c r="AX3414">
        <f>IF('01_Вводные'!$B$234="Да",'19_Расчет_аналитики'!AX3468*CapacityAge25*'19_Расчет_аналитики'!$F$3247*'06_Сеть_и_дети'!AX5,0)</f>
        <v/>
      </c>
      <c r="AY3414">
        <f>IF('01_Вводные'!$B$234="Да",'19_Расчет_аналитики'!AY3468*CapacityAge25*'19_Расчет_аналитики'!$F$3247*'06_Сеть_и_дети'!AY5,0)</f>
        <v/>
      </c>
      <c r="AZ3414">
        <f>IF('01_Вводные'!$B$234="Да",'19_Расчет_аналитики'!AZ3468*CapacityAge25*'19_Расчет_аналитики'!$F$3247*'06_Сеть_и_дети'!AZ5,0)</f>
        <v/>
      </c>
      <c r="BA3414">
        <f>IF('01_Вводные'!$B$234="Да",'19_Расчет_аналитики'!BA3468*CapacityAge25*'19_Расчет_аналитики'!$F$3247*'06_Сеть_и_дети'!BA5,0)</f>
        <v/>
      </c>
      <c r="BB3414">
        <f>IF('01_Вводные'!$B$234="Да",'19_Расчет_аналитики'!BB3468*CapacityAge25*'19_Расчет_аналитики'!$F$3247*'06_Сеть_и_дети'!BB5,0)</f>
        <v/>
      </c>
      <c r="BC3414">
        <f>IF('01_Вводные'!$B$234="Да",'19_Расчет_аналитики'!BC3468*CapacityAge25*'19_Расчет_аналитики'!$F$3247*'06_Сеть_и_дети'!BC5,0)</f>
        <v/>
      </c>
      <c r="BD3414">
        <f>IF('01_Вводные'!$B$234="Да",'19_Расчет_аналитики'!BD3468*CapacityAge25*'19_Расчет_аналитики'!$F$3247*'06_Сеть_и_дети'!BD5,0)</f>
        <v/>
      </c>
      <c r="BE3414">
        <f>IF('01_Вводные'!$B$234="Да",'19_Расчет_аналитики'!BE3468*CapacityAge25*'19_Расчет_аналитики'!$F$3247*'06_Сеть_и_дети'!BE5,0)</f>
        <v/>
      </c>
      <c r="BF3414">
        <f>IF('01_Вводные'!$B$234="Да",'19_Расчет_аналитики'!BF3468*CapacityAge25*'19_Расчет_аналитики'!$F$3247*'06_Сеть_и_дети'!BF5,0)</f>
        <v/>
      </c>
      <c r="BG3414">
        <f>IF('01_Вводные'!$B$234="Да",'19_Расчет_аналитики'!BG3468*CapacityAge25*'19_Расчет_аналитики'!$F$3247*'06_Сеть_и_дети'!BG5,0)</f>
        <v/>
      </c>
      <c r="BH3414">
        <f>IF('01_Вводные'!$B$234="Да",'19_Расчет_аналитики'!BH3468*CapacityAge25*'19_Расчет_аналитики'!$F$3247*'06_Сеть_и_дети'!BH5,0)</f>
        <v/>
      </c>
      <c r="BI3414">
        <f>IF('01_Вводные'!$B$234="Да",'19_Расчет_аналитики'!BI3468*CapacityAge25*'19_Расчет_аналитики'!$F$3247*'06_Сеть_и_дети'!BI5,0)</f>
        <v/>
      </c>
      <c r="BJ3414">
        <f>IF('01_Вводные'!$B$234="Да",'19_Расчет_аналитики'!BJ3468*CapacityAge25*'19_Расчет_аналитики'!$F$3247*'06_Сеть_и_дети'!BJ5,0)</f>
        <v/>
      </c>
      <c r="BK3414">
        <f>IF('01_Вводные'!$B$234="Да",'19_Расчет_аналитики'!BK3468*CapacityAge25*'19_Расчет_аналитики'!$F$3247*'06_Сеть_и_дети'!BK5,0)</f>
        <v/>
      </c>
      <c r="BL3414">
        <f>IF('01_Вводные'!$B$234="Да",'19_Расчет_аналитики'!BL3468*CapacityAge25*'19_Расчет_аналитики'!$F$3247*'06_Сеть_и_дети'!BL5,0)</f>
        <v/>
      </c>
      <c r="BM3414">
        <f>IF('01_Вводные'!$B$234="Да",'19_Расчет_аналитики'!BM3468*CapacityAge25*'19_Расчет_аналитики'!$F$3247*'06_Сеть_и_дети'!BM5,0)</f>
        <v/>
      </c>
      <c r="BN3414">
        <f>IF('01_Вводные'!$B$234="Да",'19_Расчет_аналитики'!BN3468*CapacityAge25*'19_Расчет_аналитики'!$F$3247*'06_Сеть_и_дети'!BN5,0)</f>
        <v/>
      </c>
      <c r="BO3414">
        <f>IF('01_Вводные'!$B$234="Да",'19_Расчет_аналитики'!BO3468*CapacityAge25*'19_Расчет_аналитики'!$F$3247*'06_Сеть_и_дети'!BO5,0)</f>
        <v/>
      </c>
    </row>
    <row r="3415">
      <c r="B3415">
        <f>IF('01_Вводные'!$B$234="Да",SUM('19_Расчет_аналитики'!B3412:B3414),0)</f>
        <v/>
      </c>
      <c r="C3415">
        <f>IF('01_Вводные'!$B$234="Да",SUM('19_Расчет_аналитики'!C3412:C3414),0)</f>
        <v/>
      </c>
      <c r="D3415">
        <f>IF('01_Вводные'!$B$234="Да",SUM('19_Расчет_аналитики'!D3412:D3414),0)</f>
        <v/>
      </c>
      <c r="E3415">
        <f>IF('01_Вводные'!$B$234="Да",SUM('19_Расчет_аналитики'!E3412:E3414),0)</f>
        <v/>
      </c>
      <c r="F3415">
        <f>IF('01_Вводные'!$B$234="Да",SUM('19_Расчет_аналитики'!F3412:F3414),0)</f>
        <v/>
      </c>
      <c r="G3415">
        <f>IF('01_Вводные'!$B$234="Да",SUM('19_Расчет_аналитики'!G3412:G3414),0)</f>
        <v/>
      </c>
      <c r="H3415">
        <f>IF('01_Вводные'!$B$234="Да",SUM('19_Расчет_аналитики'!H3412:H3414),0)</f>
        <v/>
      </c>
      <c r="I3415">
        <f>IF('01_Вводные'!$B$234="Да",SUM('19_Расчет_аналитики'!I3412:I3414),0)</f>
        <v/>
      </c>
      <c r="J3415">
        <f>IF('01_Вводные'!$B$234="Да",SUM('19_Расчет_аналитики'!J3412:J3414),0)</f>
        <v/>
      </c>
      <c r="K3415">
        <f>IF('01_Вводные'!$B$234="Да",SUM('19_Расчет_аналитики'!K3412:K3414),0)</f>
        <v/>
      </c>
      <c r="L3415">
        <f>IF('01_Вводные'!$B$234="Да",SUM('19_Расчет_аналитики'!L3412:L3414),0)</f>
        <v/>
      </c>
      <c r="M3415">
        <f>IF('01_Вводные'!$B$234="Да",SUM('19_Расчет_аналитики'!M3412:M3414),0)</f>
        <v/>
      </c>
      <c r="N3415">
        <f>IF('01_Вводные'!$B$234="Да",SUM('19_Расчет_аналитики'!N3412:N3414),0)</f>
        <v/>
      </c>
      <c r="O3415">
        <f>IF('01_Вводные'!$B$234="Да",SUM('19_Расчет_аналитики'!O3412:O3414),0)</f>
        <v/>
      </c>
      <c r="P3415">
        <f>IF('01_Вводные'!$B$234="Да",SUM('19_Расчет_аналитики'!P3412:P3414),0)</f>
        <v/>
      </c>
      <c r="Q3415">
        <f>IF('01_Вводные'!$B$234="Да",SUM('19_Расчет_аналитики'!Q3412:Q3414),0)</f>
        <v/>
      </c>
      <c r="R3415">
        <f>IF('01_Вводные'!$B$234="Да",SUM('19_Расчет_аналитики'!R3412:R3414),0)</f>
        <v/>
      </c>
      <c r="S3415">
        <f>IF('01_Вводные'!$B$234="Да",SUM('19_Расчет_аналитики'!S3412:S3414),0)</f>
        <v/>
      </c>
      <c r="T3415">
        <f>IF('01_Вводные'!$B$234="Да",SUM('19_Расчет_аналитики'!T3412:T3414),0)</f>
        <v/>
      </c>
      <c r="U3415">
        <f>IF('01_Вводные'!$B$234="Да",SUM('19_Расчет_аналитики'!U3412:U3414),0)</f>
        <v/>
      </c>
      <c r="V3415">
        <f>IF('01_Вводные'!$B$234="Да",SUM('19_Расчет_аналитики'!V3412:V3414),0)</f>
        <v/>
      </c>
      <c r="W3415">
        <f>IF('01_Вводные'!$B$234="Да",SUM('19_Расчет_аналитики'!W3412:W3414),0)</f>
        <v/>
      </c>
      <c r="X3415">
        <f>IF('01_Вводные'!$B$234="Да",SUM('19_Расчет_аналитики'!X3412:X3414),0)</f>
        <v/>
      </c>
      <c r="Y3415">
        <f>IF('01_Вводные'!$B$234="Да",SUM('19_Расчет_аналитики'!Y3412:Y3414),0)</f>
        <v/>
      </c>
      <c r="Z3415">
        <f>IF('01_Вводные'!$B$234="Да",SUM('19_Расчет_аналитики'!Z3412:Z3414),0)</f>
        <v/>
      </c>
      <c r="AA3415">
        <f>IF('01_Вводные'!$B$234="Да",SUM('19_Расчет_аналитики'!AA3412:AA3414),0)</f>
        <v/>
      </c>
      <c r="AB3415">
        <f>IF('01_Вводные'!$B$234="Да",SUM('19_Расчет_аналитики'!AB3412:AB3414),0)</f>
        <v/>
      </c>
      <c r="AC3415">
        <f>IF('01_Вводные'!$B$234="Да",SUM('19_Расчет_аналитики'!AC3412:AC3414),0)</f>
        <v/>
      </c>
      <c r="AD3415">
        <f>IF('01_Вводные'!$B$234="Да",SUM('19_Расчет_аналитики'!AD3412:AD3414),0)</f>
        <v/>
      </c>
      <c r="AE3415">
        <f>IF('01_Вводные'!$B$234="Да",SUM('19_Расчет_аналитики'!AE3412:AE3414),0)</f>
        <v/>
      </c>
      <c r="AF3415">
        <f>IF('01_Вводные'!$B$234="Да",SUM('19_Расчет_аналитики'!AF3412:AF3414),0)</f>
        <v/>
      </c>
      <c r="AG3415">
        <f>IF('01_Вводные'!$B$234="Да",SUM('19_Расчет_аналитики'!AG3412:AG3414),0)</f>
        <v/>
      </c>
      <c r="AH3415">
        <f>IF('01_Вводные'!$B$234="Да",SUM('19_Расчет_аналитики'!AH3412:AH3414),0)</f>
        <v/>
      </c>
      <c r="AI3415">
        <f>IF('01_Вводные'!$B$234="Да",SUM('19_Расчет_аналитики'!AI3412:AI3414),0)</f>
        <v/>
      </c>
      <c r="AJ3415">
        <f>IF('01_Вводные'!$B$234="Да",SUM('19_Расчет_аналитики'!AJ3412:AJ3414),0)</f>
        <v/>
      </c>
      <c r="AK3415">
        <f>IF('01_Вводные'!$B$234="Да",SUM('19_Расчет_аналитики'!AK3412:AK3414),0)</f>
        <v/>
      </c>
      <c r="AL3415">
        <f>IF('01_Вводные'!$B$234="Да",SUM('19_Расчет_аналитики'!AL3412:AL3414),0)</f>
        <v/>
      </c>
      <c r="AM3415">
        <f>IF('01_Вводные'!$B$234="Да",SUM('19_Расчет_аналитики'!AM3412:AM3414),0)</f>
        <v/>
      </c>
      <c r="AN3415">
        <f>IF('01_Вводные'!$B$234="Да",SUM('19_Расчет_аналитики'!AN3412:AN3414),0)</f>
        <v/>
      </c>
      <c r="AO3415">
        <f>IF('01_Вводные'!$B$234="Да",SUM('19_Расчет_аналитики'!AO3412:AO3414),0)</f>
        <v/>
      </c>
      <c r="AP3415">
        <f>IF('01_Вводные'!$B$234="Да",SUM('19_Расчет_аналитики'!AP3412:AP3414),0)</f>
        <v/>
      </c>
      <c r="AQ3415">
        <f>IF('01_Вводные'!$B$234="Да",SUM('19_Расчет_аналитики'!AQ3412:AQ3414),0)</f>
        <v/>
      </c>
      <c r="AR3415">
        <f>IF('01_Вводные'!$B$234="Да",SUM('19_Расчет_аналитики'!AR3412:AR3414),0)</f>
        <v/>
      </c>
      <c r="AS3415">
        <f>IF('01_Вводные'!$B$234="Да",SUM('19_Расчет_аналитики'!AS3412:AS3414),0)</f>
        <v/>
      </c>
      <c r="AT3415">
        <f>IF('01_Вводные'!$B$234="Да",SUM('19_Расчет_аналитики'!AT3412:AT3414),0)</f>
        <v/>
      </c>
      <c r="AU3415">
        <f>IF('01_Вводные'!$B$234="Да",SUM('19_Расчет_аналитики'!AU3412:AU3414),0)</f>
        <v/>
      </c>
      <c r="AV3415">
        <f>IF('01_Вводные'!$B$234="Да",SUM('19_Расчет_аналитики'!AV3412:AV3414),0)</f>
        <v/>
      </c>
      <c r="AW3415">
        <f>IF('01_Вводные'!$B$234="Да",SUM('19_Расчет_аналитики'!AW3412:AW3414),0)</f>
        <v/>
      </c>
      <c r="AX3415">
        <f>IF('01_Вводные'!$B$234="Да",SUM('19_Расчет_аналитики'!AX3412:AX3414),0)</f>
        <v/>
      </c>
      <c r="AY3415">
        <f>IF('01_Вводные'!$B$234="Да",SUM('19_Расчет_аналитики'!AY3412:AY3414),0)</f>
        <v/>
      </c>
      <c r="AZ3415">
        <f>IF('01_Вводные'!$B$234="Да",SUM('19_Расчет_аналитики'!AZ3412:AZ3414),0)</f>
        <v/>
      </c>
      <c r="BA3415">
        <f>IF('01_Вводные'!$B$234="Да",SUM('19_Расчет_аналитики'!BA3412:BA3414),0)</f>
        <v/>
      </c>
      <c r="BB3415">
        <f>IF('01_Вводные'!$B$234="Да",SUM('19_Расчет_аналитики'!BB3412:BB3414),0)</f>
        <v/>
      </c>
      <c r="BC3415">
        <f>IF('01_Вводные'!$B$234="Да",SUM('19_Расчет_аналитики'!BC3412:BC3414),0)</f>
        <v/>
      </c>
      <c r="BD3415">
        <f>IF('01_Вводные'!$B$234="Да",SUM('19_Расчет_аналитики'!BD3412:BD3414),0)</f>
        <v/>
      </c>
      <c r="BE3415">
        <f>IF('01_Вводные'!$B$234="Да",SUM('19_Расчет_аналитики'!BE3412:BE3414),0)</f>
        <v/>
      </c>
      <c r="BF3415">
        <f>IF('01_Вводные'!$B$234="Да",SUM('19_Расчет_аналитики'!BF3412:BF3414),0)</f>
        <v/>
      </c>
      <c r="BG3415">
        <f>IF('01_Вводные'!$B$234="Да",SUM('19_Расчет_аналитики'!BG3412:BG3414),0)</f>
        <v/>
      </c>
      <c r="BH3415">
        <f>IF('01_Вводные'!$B$234="Да",SUM('19_Расчет_аналитики'!BH3412:BH3414),0)</f>
        <v/>
      </c>
      <c r="BI3415">
        <f>IF('01_Вводные'!$B$234="Да",SUM('19_Расчет_аналитики'!BI3412:BI3414),0)</f>
        <v/>
      </c>
      <c r="BJ3415">
        <f>IF('01_Вводные'!$B$234="Да",SUM('19_Расчет_аналитики'!BJ3412:BJ3414),0)</f>
        <v/>
      </c>
      <c r="BK3415">
        <f>IF('01_Вводные'!$B$234="Да",SUM('19_Расчет_аналитики'!BK3412:BK3414),0)</f>
        <v/>
      </c>
      <c r="BL3415">
        <f>IF('01_Вводные'!$B$234="Да",SUM('19_Расчет_аналитики'!BL3412:BL3414),0)</f>
        <v/>
      </c>
      <c r="BM3415">
        <f>IF('01_Вводные'!$B$234="Да",SUM('19_Расчет_аналитики'!BM3412:BM3414),0)</f>
        <v/>
      </c>
      <c r="BN3415">
        <f>IF('01_Вводные'!$B$234="Да",SUM('19_Расчет_аналитики'!BN3412:BN3414),0)</f>
        <v/>
      </c>
      <c r="BO3415">
        <f>IF('01_Вводные'!$B$234="Да",SUM('19_Расчет_аналитики'!BO3412:BO3414),0)</f>
        <v/>
      </c>
    </row>
    <row r="3416">
      <c r="B3416">
        <f>IF('01_Вводные'!$B$234="Да",'06_Сеть_и_дети'!B20+'19_Расчет_аналитики'!B3415,0)</f>
        <v/>
      </c>
      <c r="C3416">
        <f>IF('01_Вводные'!$B$234="Да",'06_Сеть_и_дети'!C20+'19_Расчет_аналитики'!C3415,0)</f>
        <v/>
      </c>
      <c r="D3416">
        <f>IF('01_Вводные'!$B$234="Да",'06_Сеть_и_дети'!D20+'19_Расчет_аналитики'!D3415,0)</f>
        <v/>
      </c>
      <c r="E3416">
        <f>IF('01_Вводные'!$B$234="Да",'06_Сеть_и_дети'!E20+'19_Расчет_аналитики'!E3415,0)</f>
        <v/>
      </c>
      <c r="F3416">
        <f>IF('01_Вводные'!$B$234="Да",'06_Сеть_и_дети'!F20+'19_Расчет_аналитики'!F3415,0)</f>
        <v/>
      </c>
      <c r="G3416">
        <f>IF('01_Вводные'!$B$234="Да",'06_Сеть_и_дети'!G20+'19_Расчет_аналитики'!G3415,0)</f>
        <v/>
      </c>
      <c r="H3416">
        <f>IF('01_Вводные'!$B$234="Да",'06_Сеть_и_дети'!H20+'19_Расчет_аналитики'!H3415,0)</f>
        <v/>
      </c>
      <c r="I3416">
        <f>IF('01_Вводные'!$B$234="Да",'06_Сеть_и_дети'!I20+'19_Расчет_аналитики'!I3415,0)</f>
        <v/>
      </c>
      <c r="J3416">
        <f>IF('01_Вводные'!$B$234="Да",'06_Сеть_и_дети'!J20+'19_Расчет_аналитики'!J3415,0)</f>
        <v/>
      </c>
      <c r="K3416">
        <f>IF('01_Вводные'!$B$234="Да",'06_Сеть_и_дети'!K20+'19_Расчет_аналитики'!K3415,0)</f>
        <v/>
      </c>
      <c r="L3416">
        <f>IF('01_Вводные'!$B$234="Да",'06_Сеть_и_дети'!L20+'19_Расчет_аналитики'!L3415,0)</f>
        <v/>
      </c>
      <c r="M3416">
        <f>IF('01_Вводные'!$B$234="Да",'06_Сеть_и_дети'!M20+'19_Расчет_аналитики'!M3415,0)</f>
        <v/>
      </c>
      <c r="N3416">
        <f>IF('01_Вводные'!$B$234="Да",'06_Сеть_и_дети'!N20+'19_Расчет_аналитики'!N3415,0)</f>
        <v/>
      </c>
      <c r="O3416">
        <f>IF('01_Вводные'!$B$234="Да",'06_Сеть_и_дети'!O20+'19_Расчет_аналитики'!O3415,0)</f>
        <v/>
      </c>
      <c r="P3416">
        <f>IF('01_Вводные'!$B$234="Да",'06_Сеть_и_дети'!P20+'19_Расчет_аналитики'!P3415,0)</f>
        <v/>
      </c>
      <c r="Q3416">
        <f>IF('01_Вводные'!$B$234="Да",'06_Сеть_и_дети'!Q20+'19_Расчет_аналитики'!Q3415,0)</f>
        <v/>
      </c>
      <c r="R3416">
        <f>IF('01_Вводные'!$B$234="Да",'06_Сеть_и_дети'!R20+'19_Расчет_аналитики'!R3415,0)</f>
        <v/>
      </c>
      <c r="S3416">
        <f>IF('01_Вводные'!$B$234="Да",'06_Сеть_и_дети'!S20+'19_Расчет_аналитики'!S3415,0)</f>
        <v/>
      </c>
      <c r="T3416">
        <f>IF('01_Вводные'!$B$234="Да",'06_Сеть_и_дети'!T20+'19_Расчет_аналитики'!T3415,0)</f>
        <v/>
      </c>
      <c r="U3416">
        <f>IF('01_Вводные'!$B$234="Да",'06_Сеть_и_дети'!U20+'19_Расчет_аналитики'!U3415,0)</f>
        <v/>
      </c>
      <c r="V3416">
        <f>IF('01_Вводные'!$B$234="Да",'06_Сеть_и_дети'!V20+'19_Расчет_аналитики'!V3415,0)</f>
        <v/>
      </c>
      <c r="W3416">
        <f>IF('01_Вводные'!$B$234="Да",'06_Сеть_и_дети'!W20+'19_Расчет_аналитики'!W3415,0)</f>
        <v/>
      </c>
      <c r="X3416">
        <f>IF('01_Вводные'!$B$234="Да",'06_Сеть_и_дети'!X20+'19_Расчет_аналитики'!X3415,0)</f>
        <v/>
      </c>
      <c r="Y3416">
        <f>IF('01_Вводные'!$B$234="Да",'06_Сеть_и_дети'!Y20+'19_Расчет_аналитики'!Y3415,0)</f>
        <v/>
      </c>
      <c r="Z3416">
        <f>IF('01_Вводные'!$B$234="Да",'06_Сеть_и_дети'!Z20+'19_Расчет_аналитики'!Z3415,0)</f>
        <v/>
      </c>
      <c r="AA3416">
        <f>IF('01_Вводные'!$B$234="Да",'06_Сеть_и_дети'!AA20+'19_Расчет_аналитики'!AA3415,0)</f>
        <v/>
      </c>
      <c r="AB3416">
        <f>IF('01_Вводные'!$B$234="Да",'06_Сеть_и_дети'!AB20+'19_Расчет_аналитики'!AB3415,0)</f>
        <v/>
      </c>
      <c r="AC3416">
        <f>IF('01_Вводные'!$B$234="Да",'06_Сеть_и_дети'!AC20+'19_Расчет_аналитики'!AC3415,0)</f>
        <v/>
      </c>
      <c r="AD3416">
        <f>IF('01_Вводные'!$B$234="Да",'06_Сеть_и_дети'!AD20+'19_Расчет_аналитики'!AD3415,0)</f>
        <v/>
      </c>
      <c r="AE3416">
        <f>IF('01_Вводные'!$B$234="Да",'06_Сеть_и_дети'!AE20+'19_Расчет_аналитики'!AE3415,0)</f>
        <v/>
      </c>
      <c r="AF3416">
        <f>IF('01_Вводные'!$B$234="Да",'06_Сеть_и_дети'!AF20+'19_Расчет_аналитики'!AF3415,0)</f>
        <v/>
      </c>
      <c r="AG3416">
        <f>IF('01_Вводные'!$B$234="Да",'06_Сеть_и_дети'!AG20+'19_Расчет_аналитики'!AG3415,0)</f>
        <v/>
      </c>
      <c r="AH3416">
        <f>IF('01_Вводные'!$B$234="Да",'06_Сеть_и_дети'!AH20+'19_Расчет_аналитики'!AH3415,0)</f>
        <v/>
      </c>
      <c r="AI3416">
        <f>IF('01_Вводные'!$B$234="Да",'06_Сеть_и_дети'!AI20+'19_Расчет_аналитики'!AI3415,0)</f>
        <v/>
      </c>
      <c r="AJ3416">
        <f>IF('01_Вводные'!$B$234="Да",'06_Сеть_и_дети'!AJ20+'19_Расчет_аналитики'!AJ3415,0)</f>
        <v/>
      </c>
      <c r="AK3416">
        <f>IF('01_Вводные'!$B$234="Да",'06_Сеть_и_дети'!AK20+'19_Расчет_аналитики'!AK3415,0)</f>
        <v/>
      </c>
      <c r="AL3416">
        <f>IF('01_Вводные'!$B$234="Да",'06_Сеть_и_дети'!AL20+'19_Расчет_аналитики'!AL3415,0)</f>
        <v/>
      </c>
      <c r="AM3416">
        <f>IF('01_Вводные'!$B$234="Да",'06_Сеть_и_дети'!AM20+'19_Расчет_аналитики'!AM3415,0)</f>
        <v/>
      </c>
      <c r="AN3416">
        <f>IF('01_Вводные'!$B$234="Да",'06_Сеть_и_дети'!AN20+'19_Расчет_аналитики'!AN3415,0)</f>
        <v/>
      </c>
      <c r="AO3416">
        <f>IF('01_Вводные'!$B$234="Да",'06_Сеть_и_дети'!AO20+'19_Расчет_аналитики'!AO3415,0)</f>
        <v/>
      </c>
      <c r="AP3416">
        <f>IF('01_Вводные'!$B$234="Да",'06_Сеть_и_дети'!AP20+'19_Расчет_аналитики'!AP3415,0)</f>
        <v/>
      </c>
      <c r="AQ3416">
        <f>IF('01_Вводные'!$B$234="Да",'06_Сеть_и_дети'!AQ20+'19_Расчет_аналитики'!AQ3415,0)</f>
        <v/>
      </c>
      <c r="AR3416">
        <f>IF('01_Вводные'!$B$234="Да",'06_Сеть_и_дети'!AR20+'19_Расчет_аналитики'!AR3415,0)</f>
        <v/>
      </c>
      <c r="AS3416">
        <f>IF('01_Вводные'!$B$234="Да",'06_Сеть_и_дети'!AS20+'19_Расчет_аналитики'!AS3415,0)</f>
        <v/>
      </c>
      <c r="AT3416">
        <f>IF('01_Вводные'!$B$234="Да",'06_Сеть_и_дети'!AT20+'19_Расчет_аналитики'!AT3415,0)</f>
        <v/>
      </c>
      <c r="AU3416">
        <f>IF('01_Вводные'!$B$234="Да",'06_Сеть_и_дети'!AU20+'19_Расчет_аналитики'!AU3415,0)</f>
        <v/>
      </c>
      <c r="AV3416">
        <f>IF('01_Вводные'!$B$234="Да",'06_Сеть_и_дети'!AV20+'19_Расчет_аналитики'!AV3415,0)</f>
        <v/>
      </c>
      <c r="AW3416">
        <f>IF('01_Вводные'!$B$234="Да",'06_Сеть_и_дети'!AW20+'19_Расчет_аналитики'!AW3415,0)</f>
        <v/>
      </c>
      <c r="AX3416">
        <f>IF('01_Вводные'!$B$234="Да",'06_Сеть_и_дети'!AX20+'19_Расчет_аналитики'!AX3415,0)</f>
        <v/>
      </c>
      <c r="AY3416">
        <f>IF('01_Вводные'!$B$234="Да",'06_Сеть_и_дети'!AY20+'19_Расчет_аналитики'!AY3415,0)</f>
        <v/>
      </c>
      <c r="AZ3416">
        <f>IF('01_Вводные'!$B$234="Да",'06_Сеть_и_дети'!AZ20+'19_Расчет_аналитики'!AZ3415,0)</f>
        <v/>
      </c>
      <c r="BA3416">
        <f>IF('01_Вводные'!$B$234="Да",'06_Сеть_и_дети'!BA20+'19_Расчет_аналитики'!BA3415,0)</f>
        <v/>
      </c>
      <c r="BB3416">
        <f>IF('01_Вводные'!$B$234="Да",'06_Сеть_и_дети'!BB20+'19_Расчет_аналитики'!BB3415,0)</f>
        <v/>
      </c>
      <c r="BC3416">
        <f>IF('01_Вводные'!$B$234="Да",'06_Сеть_и_дети'!BC20+'19_Расчет_аналитики'!BC3415,0)</f>
        <v/>
      </c>
      <c r="BD3416">
        <f>IF('01_Вводные'!$B$234="Да",'06_Сеть_и_дети'!BD20+'19_Расчет_аналитики'!BD3415,0)</f>
        <v/>
      </c>
      <c r="BE3416">
        <f>IF('01_Вводные'!$B$234="Да",'06_Сеть_и_дети'!BE20+'19_Расчет_аналитики'!BE3415,0)</f>
        <v/>
      </c>
      <c r="BF3416">
        <f>IF('01_Вводные'!$B$234="Да",'06_Сеть_и_дети'!BF20+'19_Расчет_аналитики'!BF3415,0)</f>
        <v/>
      </c>
      <c r="BG3416">
        <f>IF('01_Вводные'!$B$234="Да",'06_Сеть_и_дети'!BG20+'19_Расчет_аналитики'!BG3415,0)</f>
        <v/>
      </c>
      <c r="BH3416">
        <f>IF('01_Вводные'!$B$234="Да",'06_Сеть_и_дети'!BH20+'19_Расчет_аналитики'!BH3415,0)</f>
        <v/>
      </c>
      <c r="BI3416">
        <f>IF('01_Вводные'!$B$234="Да",'06_Сеть_и_дети'!BI20+'19_Расчет_аналитики'!BI3415,0)</f>
        <v/>
      </c>
      <c r="BJ3416">
        <f>IF('01_Вводные'!$B$234="Да",'06_Сеть_и_дети'!BJ20+'19_Расчет_аналитики'!BJ3415,0)</f>
        <v/>
      </c>
      <c r="BK3416">
        <f>IF('01_Вводные'!$B$234="Да",'06_Сеть_и_дети'!BK20+'19_Расчет_аналитики'!BK3415,0)</f>
        <v/>
      </c>
      <c r="BL3416">
        <f>IF('01_Вводные'!$B$234="Да",'06_Сеть_и_дети'!BL20+'19_Расчет_аналитики'!BL3415,0)</f>
        <v/>
      </c>
      <c r="BM3416">
        <f>IF('01_Вводные'!$B$234="Да",'06_Сеть_и_дети'!BM20+'19_Расчет_аналитики'!BM3415,0)</f>
        <v/>
      </c>
      <c r="BN3416">
        <f>IF('01_Вводные'!$B$234="Да",'06_Сеть_и_дети'!BN20+'19_Расчет_аналитики'!BN3415,0)</f>
        <v/>
      </c>
      <c r="BO3416">
        <f>IF('01_Вводные'!$B$234="Да",'06_Сеть_и_дети'!BO20+'19_Расчет_аналитики'!BO3415,0)</f>
        <v/>
      </c>
    </row>
    <row r="3417"/>
    <row r="3418"/>
    <row r="3419">
      <c r="B3419">
        <f>IF('01_Вводные'!$B$234="Да",SUMPRODUCT(('01_Вводные'!$D$314:$D$318*'01_Вводные'!$B$314:$B$318*IF('01_Вводные'!$B$9=0,0,'06_Сеть_и_дети'!B11/'01_Вводные'!$B$9)+'06_Сеть_и_дети'!B20*'19_Расчет_аналитики'!B3842*'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3842*'01_Вводные'!$C$314:$C$318*('01_Вводные'!$E$314:$E$318*('06_Сеть_и_дети'!B$3&lt;'01_Вводные'!$B$245)+'01_Вводные'!$B$57*('06_Сеть_и_дети'!B$3&gt;='01_Вводные'!$B$245))))/2),0)</f>
        <v/>
      </c>
      <c r="C3419">
        <f>IF('01_Вводные'!$B$234="Да",SUMPRODUCT(('01_Вводные'!$D$314:$D$318*'01_Вводные'!$B$314:$B$318*IF('01_Вводные'!$B$9=0,0,'06_Сеть_и_дети'!C11/'01_Вводные'!$B$9)+'06_Сеть_и_дети'!C20*'19_Расчет_аналитики'!C3842*'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3842*'01_Вводные'!$C$314:$C$318*('01_Вводные'!$E$314:$E$318*('06_Сеть_и_дети'!C$3&lt;'01_Вводные'!$B$245)+'01_Вводные'!$B$57*('06_Сеть_и_дети'!C$3&gt;='01_Вводные'!$B$245))))/2),0)</f>
        <v/>
      </c>
      <c r="D3419">
        <f>IF('01_Вводные'!$B$234="Да",SUMPRODUCT(('01_Вводные'!$D$314:$D$318*'01_Вводные'!$B$314:$B$318*IF('01_Вводные'!$B$9=0,0,'06_Сеть_и_дети'!D11/'01_Вводные'!$B$9)+'06_Сеть_и_дети'!D20*'19_Расчет_аналитики'!D3842*'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3842*'01_Вводные'!$C$314:$C$318*('01_Вводные'!$E$314:$E$318*('06_Сеть_и_дети'!D$3&lt;'01_Вводные'!$B$245)+'01_Вводные'!$B$57*('06_Сеть_и_дети'!D$3&gt;='01_Вводные'!$B$245))))/2),0)</f>
        <v/>
      </c>
      <c r="E3419">
        <f>IF('01_Вводные'!$B$234="Да",SUMPRODUCT(('01_Вводные'!$D$314:$D$318*'01_Вводные'!$B$314:$B$318*IF('01_Вводные'!$B$9=0,0,'06_Сеть_и_дети'!E11/'01_Вводные'!$B$9)+'06_Сеть_и_дети'!E20*'19_Расчет_аналитики'!E3842*'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3842*'01_Вводные'!$C$314:$C$318*('01_Вводные'!$E$314:$E$318*('06_Сеть_и_дети'!E$3&lt;'01_Вводные'!$B$245)+'01_Вводные'!$B$57*('06_Сеть_и_дети'!E$3&gt;='01_Вводные'!$B$245))))/2),0)</f>
        <v/>
      </c>
      <c r="F3419">
        <f>IF('01_Вводные'!$B$234="Да",SUMPRODUCT(('01_Вводные'!$D$314:$D$318*'01_Вводные'!$B$314:$B$318*IF('01_Вводные'!$B$9=0,0,'06_Сеть_и_дети'!F11/'01_Вводные'!$B$9)+'06_Сеть_и_дети'!F20*'19_Расчет_аналитики'!F3842*'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3842*'01_Вводные'!$C$314:$C$318*('01_Вводные'!$E$314:$E$318*('06_Сеть_и_дети'!F$3&lt;'01_Вводные'!$B$245)+'01_Вводные'!$B$57*('06_Сеть_и_дети'!F$3&gt;='01_Вводные'!$B$245))))/2),0)</f>
        <v/>
      </c>
      <c r="G3419">
        <f>IF('01_Вводные'!$B$234="Да",SUMPRODUCT(('01_Вводные'!$D$314:$D$318*'01_Вводные'!$B$314:$B$318*IF('01_Вводные'!$B$9=0,0,'06_Сеть_и_дети'!G11/'01_Вводные'!$B$9)+'06_Сеть_и_дети'!G20*'19_Расчет_аналитики'!G3842*'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3842*'01_Вводные'!$C$314:$C$318*('01_Вводные'!$E$314:$E$318*('06_Сеть_и_дети'!G$3&lt;'01_Вводные'!$B$245)+'01_Вводные'!$B$57*('06_Сеть_и_дети'!G$3&gt;='01_Вводные'!$B$245))))/2),0)</f>
        <v/>
      </c>
      <c r="H3419">
        <f>IF('01_Вводные'!$B$234="Да",SUMPRODUCT(('01_Вводные'!$D$314:$D$318*'01_Вводные'!$B$314:$B$318*IF('01_Вводные'!$B$9=0,0,'06_Сеть_и_дети'!H11/'01_Вводные'!$B$9)+'06_Сеть_и_дети'!H20*'19_Расчет_аналитики'!H3842*'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3842*'01_Вводные'!$C$314:$C$318*('01_Вводные'!$E$314:$E$318*('06_Сеть_и_дети'!H$3&lt;'01_Вводные'!$B$245)+'01_Вводные'!$B$57*('06_Сеть_и_дети'!H$3&gt;='01_Вводные'!$B$245))))/2),0)</f>
        <v/>
      </c>
      <c r="I3419">
        <f>IF('01_Вводные'!$B$234="Да",SUMPRODUCT(('01_Вводные'!$D$314:$D$318*'01_Вводные'!$B$314:$B$318*IF('01_Вводные'!$B$9=0,0,'06_Сеть_и_дети'!I11/'01_Вводные'!$B$9)+'06_Сеть_и_дети'!I20*'19_Расчет_аналитики'!I3842*'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3842*'01_Вводные'!$C$314:$C$318*('01_Вводные'!$E$314:$E$318*('06_Сеть_и_дети'!I$3&lt;'01_Вводные'!$B$245)+'01_Вводные'!$B$57*('06_Сеть_и_дети'!I$3&gt;='01_Вводные'!$B$245))))/2),0)</f>
        <v/>
      </c>
      <c r="J3419">
        <f>IF('01_Вводные'!$B$234="Да",SUMPRODUCT(('01_Вводные'!$D$314:$D$318*'01_Вводные'!$B$314:$B$318*IF('01_Вводные'!$B$9=0,0,'06_Сеть_и_дети'!J11/'01_Вводные'!$B$9)+'06_Сеть_и_дети'!J20*'19_Расчет_аналитики'!J3842*'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3842*'01_Вводные'!$C$314:$C$318*('01_Вводные'!$E$314:$E$318*('06_Сеть_и_дети'!J$3&lt;'01_Вводные'!$B$245)+'01_Вводные'!$B$57*('06_Сеть_и_дети'!J$3&gt;='01_Вводные'!$B$245))))/2),0)</f>
        <v/>
      </c>
      <c r="K3419">
        <f>IF('01_Вводные'!$B$234="Да",SUMPRODUCT(('01_Вводные'!$D$314:$D$318*'01_Вводные'!$B$314:$B$318*IF('01_Вводные'!$B$9=0,0,'06_Сеть_и_дети'!K11/'01_Вводные'!$B$9)+'06_Сеть_и_дети'!K20*'19_Расчет_аналитики'!K3842*'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3842*'01_Вводные'!$C$314:$C$318*('01_Вводные'!$E$314:$E$318*('06_Сеть_и_дети'!K$3&lt;'01_Вводные'!$B$245)+'01_Вводные'!$B$57*('06_Сеть_и_дети'!K$3&gt;='01_Вводные'!$B$245))))/2),0)</f>
        <v/>
      </c>
      <c r="L3419">
        <f>IF('01_Вводные'!$B$234="Да",SUMPRODUCT(('01_Вводные'!$D$314:$D$318*'01_Вводные'!$B$314:$B$318*IF('01_Вводные'!$B$9=0,0,'06_Сеть_и_дети'!L11/'01_Вводные'!$B$9)+'06_Сеть_и_дети'!L20*'19_Расчет_аналитики'!L3842*'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3842*'01_Вводные'!$C$314:$C$318*('01_Вводные'!$E$314:$E$318*('06_Сеть_и_дети'!L$3&lt;'01_Вводные'!$B$245)+'01_Вводные'!$B$57*('06_Сеть_и_дети'!L$3&gt;='01_Вводные'!$B$245))))/2),0)</f>
        <v/>
      </c>
      <c r="M3419">
        <f>IF('01_Вводные'!$B$234="Да",SUMPRODUCT(('01_Вводные'!$D$314:$D$318*'01_Вводные'!$B$314:$B$318*IF('01_Вводные'!$B$9=0,0,'06_Сеть_и_дети'!M11/'01_Вводные'!$B$9)+'06_Сеть_и_дети'!M20*'19_Расчет_аналитики'!M3842*'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3842*'01_Вводные'!$C$314:$C$318*('01_Вводные'!$E$314:$E$318*('06_Сеть_и_дети'!M$3&lt;'01_Вводные'!$B$245)+'01_Вводные'!$B$57*('06_Сеть_и_дети'!M$3&gt;='01_Вводные'!$B$245))))/2),0)</f>
        <v/>
      </c>
      <c r="N3419">
        <f>IF('01_Вводные'!$B$234="Да",SUMPRODUCT(('01_Вводные'!$D$314:$D$318*'01_Вводные'!$B$314:$B$318*IF('01_Вводные'!$B$9=0,0,'06_Сеть_и_дети'!N11/'01_Вводные'!$B$9)+'06_Сеть_и_дети'!N20*'19_Расчет_аналитики'!N3842*'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3842*'01_Вводные'!$C$314:$C$318*('01_Вводные'!$E$314:$E$318*('06_Сеть_и_дети'!N$3&lt;'01_Вводные'!$B$245)+'01_Вводные'!$B$57*('06_Сеть_и_дети'!N$3&gt;='01_Вводные'!$B$245))))/2),0)</f>
        <v/>
      </c>
      <c r="O3419">
        <f>IF('01_Вводные'!$B$234="Да",SUMPRODUCT(('01_Вводные'!$D$314:$D$318*'01_Вводные'!$B$314:$B$318*IF('01_Вводные'!$B$9=0,0,'06_Сеть_и_дети'!O11/'01_Вводные'!$B$9)+'06_Сеть_и_дети'!O20*'19_Расчет_аналитики'!O3842*'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3842*'01_Вводные'!$C$314:$C$318*('01_Вводные'!$E$314:$E$318*('06_Сеть_и_дети'!O$3&lt;'01_Вводные'!$B$245)+'01_Вводные'!$B$57*('06_Сеть_и_дети'!O$3&gt;='01_Вводные'!$B$245))))/2),0)</f>
        <v/>
      </c>
      <c r="P3419">
        <f>IF('01_Вводные'!$B$234="Да",SUMPRODUCT(('01_Вводные'!$D$314:$D$318*'01_Вводные'!$B$314:$B$318*IF('01_Вводные'!$B$9=0,0,'06_Сеть_и_дети'!P11/'01_Вводные'!$B$9)+'06_Сеть_и_дети'!P20*'19_Расчет_аналитики'!P3842*'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3842*'01_Вводные'!$C$314:$C$318*('01_Вводные'!$E$314:$E$318*('06_Сеть_и_дети'!P$3&lt;'01_Вводные'!$B$245)+'01_Вводные'!$B$57*('06_Сеть_и_дети'!P$3&gt;='01_Вводные'!$B$245))))/2),0)</f>
        <v/>
      </c>
      <c r="Q3419">
        <f>IF('01_Вводные'!$B$234="Да",SUMPRODUCT(('01_Вводные'!$D$314:$D$318*'01_Вводные'!$B$314:$B$318*IF('01_Вводные'!$B$9=0,0,'06_Сеть_и_дети'!Q11/'01_Вводные'!$B$9)+'06_Сеть_и_дети'!Q20*'19_Расчет_аналитики'!Q3842*'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3842*'01_Вводные'!$C$314:$C$318*('01_Вводные'!$E$314:$E$318*('06_Сеть_и_дети'!Q$3&lt;'01_Вводные'!$B$245)+'01_Вводные'!$B$57*('06_Сеть_и_дети'!Q$3&gt;='01_Вводные'!$B$245))))/2),0)</f>
        <v/>
      </c>
      <c r="R3419">
        <f>IF('01_Вводные'!$B$234="Да",SUMPRODUCT(('01_Вводные'!$D$314:$D$318*'01_Вводные'!$B$314:$B$318*IF('01_Вводные'!$B$9=0,0,'06_Сеть_и_дети'!R11/'01_Вводные'!$B$9)+'06_Сеть_и_дети'!R20*'19_Расчет_аналитики'!R3842*'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3842*'01_Вводные'!$C$314:$C$318*('01_Вводные'!$E$314:$E$318*('06_Сеть_и_дети'!R$3&lt;'01_Вводные'!$B$245)+'01_Вводные'!$B$57*('06_Сеть_и_дети'!R$3&gt;='01_Вводные'!$B$245))))/2),0)</f>
        <v/>
      </c>
      <c r="S3419">
        <f>IF('01_Вводные'!$B$234="Да",SUMPRODUCT(('01_Вводные'!$D$314:$D$318*'01_Вводные'!$B$314:$B$318*IF('01_Вводные'!$B$9=0,0,'06_Сеть_и_дети'!S11/'01_Вводные'!$B$9)+'06_Сеть_и_дети'!S20*'19_Расчет_аналитики'!S3842*'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3842*'01_Вводные'!$C$314:$C$318*('01_Вводные'!$E$314:$E$318*('06_Сеть_и_дети'!S$3&lt;'01_Вводные'!$B$245)+'01_Вводные'!$B$57*('06_Сеть_и_дети'!S$3&gt;='01_Вводные'!$B$245))))/2),0)</f>
        <v/>
      </c>
      <c r="T3419">
        <f>IF('01_Вводные'!$B$234="Да",SUMPRODUCT(('01_Вводные'!$D$314:$D$318*'01_Вводные'!$B$314:$B$318*IF('01_Вводные'!$B$9=0,0,'06_Сеть_и_дети'!T11/'01_Вводные'!$B$9)+'06_Сеть_и_дети'!T20*'19_Расчет_аналитики'!T3842*'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3842*'01_Вводные'!$C$314:$C$318*('01_Вводные'!$E$314:$E$318*('06_Сеть_и_дети'!T$3&lt;'01_Вводные'!$B$245)+'01_Вводные'!$B$57*('06_Сеть_и_дети'!T$3&gt;='01_Вводные'!$B$245))))/2),0)</f>
        <v/>
      </c>
      <c r="U3419">
        <f>IF('01_Вводные'!$B$234="Да",SUMPRODUCT(('01_Вводные'!$D$314:$D$318*'01_Вводные'!$B$314:$B$318*IF('01_Вводные'!$B$9=0,0,'06_Сеть_и_дети'!U11/'01_Вводные'!$B$9)+'06_Сеть_и_дети'!U20*'19_Расчет_аналитики'!U3842*'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3842*'01_Вводные'!$C$314:$C$318*('01_Вводные'!$E$314:$E$318*('06_Сеть_и_дети'!U$3&lt;'01_Вводные'!$B$245)+'01_Вводные'!$B$57*('06_Сеть_и_дети'!U$3&gt;='01_Вводные'!$B$245))))/2),0)</f>
        <v/>
      </c>
      <c r="V3419">
        <f>IF('01_Вводные'!$B$234="Да",SUMPRODUCT(('01_Вводные'!$D$314:$D$318*'01_Вводные'!$B$314:$B$318*IF('01_Вводные'!$B$9=0,0,'06_Сеть_и_дети'!V11/'01_Вводные'!$B$9)+'06_Сеть_и_дети'!V20*'19_Расчет_аналитики'!V3842*'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3842*'01_Вводные'!$C$314:$C$318*('01_Вводные'!$E$314:$E$318*('06_Сеть_и_дети'!V$3&lt;'01_Вводные'!$B$245)+'01_Вводные'!$B$57*('06_Сеть_и_дети'!V$3&gt;='01_Вводные'!$B$245))))/2),0)</f>
        <v/>
      </c>
      <c r="W3419">
        <f>IF('01_Вводные'!$B$234="Да",SUMPRODUCT(('01_Вводные'!$D$314:$D$318*'01_Вводные'!$B$314:$B$318*IF('01_Вводные'!$B$9=0,0,'06_Сеть_и_дети'!W11/'01_Вводные'!$B$9)+'06_Сеть_и_дети'!W20*'19_Расчет_аналитики'!W3842*'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3842*'01_Вводные'!$C$314:$C$318*('01_Вводные'!$E$314:$E$318*('06_Сеть_и_дети'!W$3&lt;'01_Вводные'!$B$245)+'01_Вводные'!$B$57*('06_Сеть_и_дети'!W$3&gt;='01_Вводные'!$B$245))))/2),0)</f>
        <v/>
      </c>
      <c r="X3419">
        <f>IF('01_Вводные'!$B$234="Да",SUMPRODUCT(('01_Вводные'!$D$314:$D$318*'01_Вводные'!$B$314:$B$318*IF('01_Вводные'!$B$9=0,0,'06_Сеть_и_дети'!X11/'01_Вводные'!$B$9)+'06_Сеть_и_дети'!X20*'19_Расчет_аналитики'!X3842*'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3842*'01_Вводные'!$C$314:$C$318*('01_Вводные'!$E$314:$E$318*('06_Сеть_и_дети'!X$3&lt;'01_Вводные'!$B$245)+'01_Вводные'!$B$57*('06_Сеть_и_дети'!X$3&gt;='01_Вводные'!$B$245))))/2),0)</f>
        <v/>
      </c>
      <c r="Y3419">
        <f>IF('01_Вводные'!$B$234="Да",SUMPRODUCT(('01_Вводные'!$D$314:$D$318*'01_Вводные'!$B$314:$B$318*IF('01_Вводные'!$B$9=0,0,'06_Сеть_и_дети'!Y11/'01_Вводные'!$B$9)+'06_Сеть_и_дети'!Y20*'19_Расчет_аналитики'!Y3842*'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3842*'01_Вводные'!$C$314:$C$318*('01_Вводные'!$E$314:$E$318*('06_Сеть_и_дети'!Y$3&lt;'01_Вводные'!$B$245)+'01_Вводные'!$B$57*('06_Сеть_и_дети'!Y$3&gt;='01_Вводные'!$B$245))))/2),0)</f>
        <v/>
      </c>
      <c r="Z3419">
        <f>IF('01_Вводные'!$B$234="Да",SUMPRODUCT(('01_Вводные'!$D$314:$D$318*'01_Вводные'!$B$314:$B$318*IF('01_Вводные'!$B$9=0,0,'06_Сеть_и_дети'!Z11/'01_Вводные'!$B$9)+'06_Сеть_и_дети'!Z20*'19_Расчет_аналитики'!Z3842*'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3842*'01_Вводные'!$C$314:$C$318*('01_Вводные'!$E$314:$E$318*('06_Сеть_и_дети'!Z$3&lt;'01_Вводные'!$B$245)+'01_Вводные'!$B$57*('06_Сеть_и_дети'!Z$3&gt;='01_Вводные'!$B$245))))/2),0)</f>
        <v/>
      </c>
      <c r="AA3419">
        <f>IF('01_Вводные'!$B$234="Да",SUMPRODUCT(('01_Вводные'!$D$314:$D$318*'01_Вводные'!$B$314:$B$318*IF('01_Вводные'!$B$9=0,0,'06_Сеть_и_дети'!AA11/'01_Вводные'!$B$9)+'06_Сеть_и_дети'!AA20*'19_Расчет_аналитики'!AA3842*'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3842*'01_Вводные'!$C$314:$C$318*('01_Вводные'!$E$314:$E$318*('06_Сеть_и_дети'!AA$3&lt;'01_Вводные'!$B$245)+'01_Вводные'!$B$57*('06_Сеть_и_дети'!AA$3&gt;='01_Вводные'!$B$245))))/2),0)</f>
        <v/>
      </c>
      <c r="AB3419">
        <f>IF('01_Вводные'!$B$234="Да",SUMPRODUCT(('01_Вводные'!$D$314:$D$318*'01_Вводные'!$B$314:$B$318*IF('01_Вводные'!$B$9=0,0,'06_Сеть_и_дети'!AB11/'01_Вводные'!$B$9)+'06_Сеть_и_дети'!AB20*'19_Расчет_аналитики'!AB3842*'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3842*'01_Вводные'!$C$314:$C$318*('01_Вводные'!$E$314:$E$318*('06_Сеть_и_дети'!AB$3&lt;'01_Вводные'!$B$245)+'01_Вводные'!$B$57*('06_Сеть_и_дети'!AB$3&gt;='01_Вводные'!$B$245))))/2),0)</f>
        <v/>
      </c>
      <c r="AC3419">
        <f>IF('01_Вводные'!$B$234="Да",SUMPRODUCT(('01_Вводные'!$D$314:$D$318*'01_Вводные'!$B$314:$B$318*IF('01_Вводные'!$B$9=0,0,'06_Сеть_и_дети'!AC11/'01_Вводные'!$B$9)+'06_Сеть_и_дети'!AC20*'19_Расчет_аналитики'!AC3842*'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3842*'01_Вводные'!$C$314:$C$318*('01_Вводные'!$E$314:$E$318*('06_Сеть_и_дети'!AC$3&lt;'01_Вводные'!$B$245)+'01_Вводные'!$B$57*('06_Сеть_и_дети'!AC$3&gt;='01_Вводные'!$B$245))))/2),0)</f>
        <v/>
      </c>
      <c r="AD3419">
        <f>IF('01_Вводные'!$B$234="Да",SUMPRODUCT(('01_Вводные'!$D$314:$D$318*'01_Вводные'!$B$314:$B$318*IF('01_Вводные'!$B$9=0,0,'06_Сеть_и_дети'!AD11/'01_Вводные'!$B$9)+'06_Сеть_и_дети'!AD20*'19_Расчет_аналитики'!AD3842*'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3842*'01_Вводные'!$C$314:$C$318*('01_Вводные'!$E$314:$E$318*('06_Сеть_и_дети'!AD$3&lt;'01_Вводные'!$B$245)+'01_Вводные'!$B$57*('06_Сеть_и_дети'!AD$3&gt;='01_Вводные'!$B$245))))/2),0)</f>
        <v/>
      </c>
      <c r="AE3419">
        <f>IF('01_Вводные'!$B$234="Да",SUMPRODUCT(('01_Вводные'!$D$314:$D$318*'01_Вводные'!$B$314:$B$318*IF('01_Вводные'!$B$9=0,0,'06_Сеть_и_дети'!AE11/'01_Вводные'!$B$9)+'06_Сеть_и_дети'!AE20*'19_Расчет_аналитики'!AE3842*'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3842*'01_Вводные'!$C$314:$C$318*('01_Вводные'!$E$314:$E$318*('06_Сеть_и_дети'!AE$3&lt;'01_Вводные'!$B$245)+'01_Вводные'!$B$57*('06_Сеть_и_дети'!AE$3&gt;='01_Вводные'!$B$245))))/2),0)</f>
        <v/>
      </c>
      <c r="AF3419">
        <f>IF('01_Вводные'!$B$234="Да",SUMPRODUCT(('01_Вводные'!$D$314:$D$318*'01_Вводные'!$B$314:$B$318*IF('01_Вводные'!$B$9=0,0,'06_Сеть_и_дети'!AF11/'01_Вводные'!$B$9)+'06_Сеть_и_дети'!AF20*'19_Расчет_аналитики'!AF3842*'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3842*'01_Вводные'!$C$314:$C$318*('01_Вводные'!$E$314:$E$318*('06_Сеть_и_дети'!AF$3&lt;'01_Вводные'!$B$245)+'01_Вводные'!$B$57*('06_Сеть_и_дети'!AF$3&gt;='01_Вводные'!$B$245))))/2),0)</f>
        <v/>
      </c>
      <c r="AG3419">
        <f>IF('01_Вводные'!$B$234="Да",SUMPRODUCT(('01_Вводные'!$D$314:$D$318*'01_Вводные'!$B$314:$B$318*IF('01_Вводные'!$B$9=0,0,'06_Сеть_и_дети'!AG11/'01_Вводные'!$B$9)+'06_Сеть_и_дети'!AG20*'19_Расчет_аналитики'!AG3842*'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3842*'01_Вводные'!$C$314:$C$318*('01_Вводные'!$E$314:$E$318*('06_Сеть_и_дети'!AG$3&lt;'01_Вводные'!$B$245)+'01_Вводные'!$B$57*('06_Сеть_и_дети'!AG$3&gt;='01_Вводные'!$B$245))))/2),0)</f>
        <v/>
      </c>
      <c r="AH3419">
        <f>IF('01_Вводные'!$B$234="Да",SUMPRODUCT(('01_Вводные'!$D$314:$D$318*'01_Вводные'!$B$314:$B$318*IF('01_Вводные'!$B$9=0,0,'06_Сеть_и_дети'!AH11/'01_Вводные'!$B$9)+'06_Сеть_и_дети'!AH20*'19_Расчет_аналитики'!AH3842*'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3842*'01_Вводные'!$C$314:$C$318*('01_Вводные'!$E$314:$E$318*('06_Сеть_и_дети'!AH$3&lt;'01_Вводные'!$B$245)+'01_Вводные'!$B$57*('06_Сеть_и_дети'!AH$3&gt;='01_Вводные'!$B$245))))/2),0)</f>
        <v/>
      </c>
      <c r="AI3419">
        <f>IF('01_Вводные'!$B$234="Да",SUMPRODUCT(('01_Вводные'!$D$314:$D$318*'01_Вводные'!$B$314:$B$318*IF('01_Вводные'!$B$9=0,0,'06_Сеть_и_дети'!AI11/'01_Вводные'!$B$9)+'06_Сеть_и_дети'!AI20*'19_Расчет_аналитики'!AI3842*'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3842*'01_Вводные'!$C$314:$C$318*('01_Вводные'!$E$314:$E$318*('06_Сеть_и_дети'!AI$3&lt;'01_Вводные'!$B$245)+'01_Вводные'!$B$57*('06_Сеть_и_дети'!AI$3&gt;='01_Вводные'!$B$245))))/2),0)</f>
        <v/>
      </c>
      <c r="AJ3419">
        <f>IF('01_Вводные'!$B$234="Да",SUMPRODUCT(('01_Вводные'!$D$314:$D$318*'01_Вводные'!$B$314:$B$318*IF('01_Вводные'!$B$9=0,0,'06_Сеть_и_дети'!AJ11/'01_Вводные'!$B$9)+'06_Сеть_и_дети'!AJ20*'19_Расчет_аналитики'!AJ3842*'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3842*'01_Вводные'!$C$314:$C$318*('01_Вводные'!$E$314:$E$318*('06_Сеть_и_дети'!AJ$3&lt;'01_Вводные'!$B$245)+'01_Вводные'!$B$57*('06_Сеть_и_дети'!AJ$3&gt;='01_Вводные'!$B$245))))/2),0)</f>
        <v/>
      </c>
      <c r="AK3419">
        <f>IF('01_Вводные'!$B$234="Да",SUMPRODUCT(('01_Вводные'!$D$314:$D$318*'01_Вводные'!$B$314:$B$318*IF('01_Вводные'!$B$9=0,0,'06_Сеть_и_дети'!AK11/'01_Вводные'!$B$9)+'06_Сеть_и_дети'!AK20*'19_Расчет_аналитики'!AK3842*'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3842*'01_Вводные'!$C$314:$C$318*('01_Вводные'!$E$314:$E$318*('06_Сеть_и_дети'!AK$3&lt;'01_Вводные'!$B$245)+'01_Вводные'!$B$57*('06_Сеть_и_дети'!AK$3&gt;='01_Вводные'!$B$245))))/2),0)</f>
        <v/>
      </c>
      <c r="AL3419">
        <f>IF('01_Вводные'!$B$234="Да",SUMPRODUCT(('01_Вводные'!$D$314:$D$318*'01_Вводные'!$B$314:$B$318*IF('01_Вводные'!$B$9=0,0,'06_Сеть_и_дети'!AL11/'01_Вводные'!$B$9)+'06_Сеть_и_дети'!AL20*'19_Расчет_аналитики'!AL3842*'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3842*'01_Вводные'!$C$314:$C$318*('01_Вводные'!$E$314:$E$318*('06_Сеть_и_дети'!AL$3&lt;'01_Вводные'!$B$245)+'01_Вводные'!$B$57*('06_Сеть_и_дети'!AL$3&gt;='01_Вводные'!$B$245))))/2),0)</f>
        <v/>
      </c>
      <c r="AM3419">
        <f>IF('01_Вводные'!$B$234="Да",SUMPRODUCT(('01_Вводные'!$D$314:$D$318*'01_Вводные'!$B$314:$B$318*IF('01_Вводные'!$B$9=0,0,'06_Сеть_и_дети'!AM11/'01_Вводные'!$B$9)+'06_Сеть_и_дети'!AM20*'19_Расчет_аналитики'!AM3842*'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3842*'01_Вводные'!$C$314:$C$318*('01_Вводные'!$E$314:$E$318*('06_Сеть_и_дети'!AM$3&lt;'01_Вводные'!$B$245)+'01_Вводные'!$B$57*('06_Сеть_и_дети'!AM$3&gt;='01_Вводные'!$B$245))))/2),0)</f>
        <v/>
      </c>
      <c r="AN3419">
        <f>IF('01_Вводные'!$B$234="Да",SUMPRODUCT(('01_Вводные'!$D$314:$D$318*'01_Вводные'!$B$314:$B$318*IF('01_Вводные'!$B$9=0,0,'06_Сеть_и_дети'!AN11/'01_Вводные'!$B$9)+'06_Сеть_и_дети'!AN20*'19_Расчет_аналитики'!AN3842*'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3842*'01_Вводные'!$C$314:$C$318*('01_Вводные'!$E$314:$E$318*('06_Сеть_и_дети'!AN$3&lt;'01_Вводные'!$B$245)+'01_Вводные'!$B$57*('06_Сеть_и_дети'!AN$3&gt;='01_Вводные'!$B$245))))/2),0)</f>
        <v/>
      </c>
      <c r="AO3419">
        <f>IF('01_Вводные'!$B$234="Да",SUMPRODUCT(('01_Вводные'!$D$314:$D$318*'01_Вводные'!$B$314:$B$318*IF('01_Вводные'!$B$9=0,0,'06_Сеть_и_дети'!AO11/'01_Вводные'!$B$9)+'06_Сеть_и_дети'!AO20*'19_Расчет_аналитики'!AO3842*'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3842*'01_Вводные'!$C$314:$C$318*('01_Вводные'!$E$314:$E$318*('06_Сеть_и_дети'!AO$3&lt;'01_Вводные'!$B$245)+'01_Вводные'!$B$57*('06_Сеть_и_дети'!AO$3&gt;='01_Вводные'!$B$245))))/2),0)</f>
        <v/>
      </c>
      <c r="AP3419">
        <f>IF('01_Вводные'!$B$234="Да",SUMPRODUCT(('01_Вводные'!$D$314:$D$318*'01_Вводные'!$B$314:$B$318*IF('01_Вводные'!$B$9=0,0,'06_Сеть_и_дети'!AP11/'01_Вводные'!$B$9)+'06_Сеть_и_дети'!AP20*'19_Расчет_аналитики'!AP3842*'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3842*'01_Вводные'!$C$314:$C$318*('01_Вводные'!$E$314:$E$318*('06_Сеть_и_дети'!AP$3&lt;'01_Вводные'!$B$245)+'01_Вводные'!$B$57*('06_Сеть_и_дети'!AP$3&gt;='01_Вводные'!$B$245))))/2),0)</f>
        <v/>
      </c>
      <c r="AQ3419">
        <f>IF('01_Вводные'!$B$234="Да",SUMPRODUCT(('01_Вводные'!$D$314:$D$318*'01_Вводные'!$B$314:$B$318*IF('01_Вводные'!$B$9=0,0,'06_Сеть_и_дети'!AQ11/'01_Вводные'!$B$9)+'06_Сеть_и_дети'!AQ20*'19_Расчет_аналитики'!AQ3842*'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3842*'01_Вводные'!$C$314:$C$318*('01_Вводные'!$E$314:$E$318*('06_Сеть_и_дети'!AQ$3&lt;'01_Вводные'!$B$245)+'01_Вводные'!$B$57*('06_Сеть_и_дети'!AQ$3&gt;='01_Вводные'!$B$245))))/2),0)</f>
        <v/>
      </c>
      <c r="AR3419">
        <f>IF('01_Вводные'!$B$234="Да",SUMPRODUCT(('01_Вводные'!$D$314:$D$318*'01_Вводные'!$B$314:$B$318*IF('01_Вводные'!$B$9=0,0,'06_Сеть_и_дети'!AR11/'01_Вводные'!$B$9)+'06_Сеть_и_дети'!AR20*'19_Расчет_аналитики'!AR3842*'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3842*'01_Вводные'!$C$314:$C$318*('01_Вводные'!$E$314:$E$318*('06_Сеть_и_дети'!AR$3&lt;'01_Вводные'!$B$245)+'01_Вводные'!$B$57*('06_Сеть_и_дети'!AR$3&gt;='01_Вводные'!$B$245))))/2),0)</f>
        <v/>
      </c>
      <c r="AS3419">
        <f>IF('01_Вводные'!$B$234="Да",SUMPRODUCT(('01_Вводные'!$D$314:$D$318*'01_Вводные'!$B$314:$B$318*IF('01_Вводные'!$B$9=0,0,'06_Сеть_и_дети'!AS11/'01_Вводные'!$B$9)+'06_Сеть_и_дети'!AS20*'19_Расчет_аналитики'!AS3842*'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3842*'01_Вводные'!$C$314:$C$318*('01_Вводные'!$E$314:$E$318*('06_Сеть_и_дети'!AS$3&lt;'01_Вводные'!$B$245)+'01_Вводные'!$B$57*('06_Сеть_и_дети'!AS$3&gt;='01_Вводные'!$B$245))))/2),0)</f>
        <v/>
      </c>
      <c r="AT3419">
        <f>IF('01_Вводные'!$B$234="Да",SUMPRODUCT(('01_Вводные'!$D$314:$D$318*'01_Вводные'!$B$314:$B$318*IF('01_Вводные'!$B$9=0,0,'06_Сеть_и_дети'!AT11/'01_Вводные'!$B$9)+'06_Сеть_и_дети'!AT20*'19_Расчет_аналитики'!AT3842*'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3842*'01_Вводные'!$C$314:$C$318*('01_Вводные'!$E$314:$E$318*('06_Сеть_и_дети'!AT$3&lt;'01_Вводные'!$B$245)+'01_Вводные'!$B$57*('06_Сеть_и_дети'!AT$3&gt;='01_Вводные'!$B$245))))/2),0)</f>
        <v/>
      </c>
      <c r="AU3419">
        <f>IF('01_Вводные'!$B$234="Да",SUMPRODUCT(('01_Вводные'!$D$314:$D$318*'01_Вводные'!$B$314:$B$318*IF('01_Вводные'!$B$9=0,0,'06_Сеть_и_дети'!AU11/'01_Вводные'!$B$9)+'06_Сеть_и_дети'!AU20*'19_Расчет_аналитики'!AU3842*'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3842*'01_Вводные'!$C$314:$C$318*('01_Вводные'!$E$314:$E$318*('06_Сеть_и_дети'!AU$3&lt;'01_Вводные'!$B$245)+'01_Вводные'!$B$57*('06_Сеть_и_дети'!AU$3&gt;='01_Вводные'!$B$245))))/2),0)</f>
        <v/>
      </c>
      <c r="AV3419">
        <f>IF('01_Вводные'!$B$234="Да",SUMPRODUCT(('01_Вводные'!$D$314:$D$318*'01_Вводные'!$B$314:$B$318*IF('01_Вводные'!$B$9=0,0,'06_Сеть_и_дети'!AV11/'01_Вводные'!$B$9)+'06_Сеть_и_дети'!AV20*'19_Расчет_аналитики'!AV3842*'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3842*'01_Вводные'!$C$314:$C$318*('01_Вводные'!$E$314:$E$318*('06_Сеть_и_дети'!AV$3&lt;'01_Вводные'!$B$245)+'01_Вводные'!$B$57*('06_Сеть_и_дети'!AV$3&gt;='01_Вводные'!$B$245))))/2),0)</f>
        <v/>
      </c>
      <c r="AW3419">
        <f>IF('01_Вводные'!$B$234="Да",SUMPRODUCT(('01_Вводные'!$D$314:$D$318*'01_Вводные'!$B$314:$B$318*IF('01_Вводные'!$B$9=0,0,'06_Сеть_и_дети'!AW11/'01_Вводные'!$B$9)+'06_Сеть_и_дети'!AW20*'19_Расчет_аналитики'!AW3842*'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3842*'01_Вводные'!$C$314:$C$318*('01_Вводные'!$E$314:$E$318*('06_Сеть_и_дети'!AW$3&lt;'01_Вводные'!$B$245)+'01_Вводные'!$B$57*('06_Сеть_и_дети'!AW$3&gt;='01_Вводные'!$B$245))))/2),0)</f>
        <v/>
      </c>
      <c r="AX3419">
        <f>IF('01_Вводные'!$B$234="Да",SUMPRODUCT(('01_Вводные'!$D$314:$D$318*'01_Вводные'!$B$314:$B$318*IF('01_Вводные'!$B$9=0,0,'06_Сеть_и_дети'!AX11/'01_Вводные'!$B$9)+'06_Сеть_и_дети'!AX20*'19_Расчет_аналитики'!AX3842*'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3842*'01_Вводные'!$C$314:$C$318*('01_Вводные'!$E$314:$E$318*('06_Сеть_и_дети'!AX$3&lt;'01_Вводные'!$B$245)+'01_Вводные'!$B$57*('06_Сеть_и_дети'!AX$3&gt;='01_Вводные'!$B$245))))/2),0)</f>
        <v/>
      </c>
      <c r="AY3419">
        <f>IF('01_Вводные'!$B$234="Да",SUMPRODUCT(('01_Вводные'!$D$314:$D$318*'01_Вводные'!$B$314:$B$318*IF('01_Вводные'!$B$9=0,0,'06_Сеть_и_дети'!AY11/'01_Вводные'!$B$9)+'06_Сеть_и_дети'!AY20*'19_Расчет_аналитики'!AY3842*'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3842*'01_Вводные'!$C$314:$C$318*('01_Вводные'!$E$314:$E$318*('06_Сеть_и_дети'!AY$3&lt;'01_Вводные'!$B$245)+'01_Вводные'!$B$57*('06_Сеть_и_дети'!AY$3&gt;='01_Вводные'!$B$245))))/2),0)</f>
        <v/>
      </c>
      <c r="AZ3419">
        <f>IF('01_Вводные'!$B$234="Да",SUMPRODUCT(('01_Вводные'!$D$314:$D$318*'01_Вводные'!$B$314:$B$318*IF('01_Вводные'!$B$9=0,0,'06_Сеть_и_дети'!AZ11/'01_Вводные'!$B$9)+'06_Сеть_и_дети'!AZ20*'19_Расчет_аналитики'!AZ3842*'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3842*'01_Вводные'!$C$314:$C$318*('01_Вводные'!$E$314:$E$318*('06_Сеть_и_дети'!AZ$3&lt;'01_Вводные'!$B$245)+'01_Вводные'!$B$57*('06_Сеть_и_дети'!AZ$3&gt;='01_Вводные'!$B$245))))/2),0)</f>
        <v/>
      </c>
      <c r="BA3419">
        <f>IF('01_Вводные'!$B$234="Да",SUMPRODUCT(('01_Вводные'!$D$314:$D$318*'01_Вводные'!$B$314:$B$318*IF('01_Вводные'!$B$9=0,0,'06_Сеть_и_дети'!BA11/'01_Вводные'!$B$9)+'06_Сеть_и_дети'!BA20*'19_Расчет_аналитики'!BA3842*'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3842*'01_Вводные'!$C$314:$C$318*('01_Вводные'!$E$314:$E$318*('06_Сеть_и_дети'!BA$3&lt;'01_Вводные'!$B$245)+'01_Вводные'!$B$57*('06_Сеть_и_дети'!BA$3&gt;='01_Вводные'!$B$245))))/2),0)</f>
        <v/>
      </c>
      <c r="BB3419">
        <f>IF('01_Вводные'!$B$234="Да",SUMPRODUCT(('01_Вводные'!$D$314:$D$318*'01_Вводные'!$B$314:$B$318*IF('01_Вводные'!$B$9=0,0,'06_Сеть_и_дети'!BB11/'01_Вводные'!$B$9)+'06_Сеть_и_дети'!BB20*'19_Расчет_аналитики'!BB3842*'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3842*'01_Вводные'!$C$314:$C$318*('01_Вводные'!$E$314:$E$318*('06_Сеть_и_дети'!BB$3&lt;'01_Вводные'!$B$245)+'01_Вводные'!$B$57*('06_Сеть_и_дети'!BB$3&gt;='01_Вводные'!$B$245))))/2),0)</f>
        <v/>
      </c>
      <c r="BC3419">
        <f>IF('01_Вводные'!$B$234="Да",SUMPRODUCT(('01_Вводные'!$D$314:$D$318*'01_Вводные'!$B$314:$B$318*IF('01_Вводные'!$B$9=0,0,'06_Сеть_и_дети'!BC11/'01_Вводные'!$B$9)+'06_Сеть_и_дети'!BC20*'19_Расчет_аналитики'!BC3842*'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3842*'01_Вводные'!$C$314:$C$318*('01_Вводные'!$E$314:$E$318*('06_Сеть_и_дети'!BC$3&lt;'01_Вводные'!$B$245)+'01_Вводные'!$B$57*('06_Сеть_и_дети'!BC$3&gt;='01_Вводные'!$B$245))))/2),0)</f>
        <v/>
      </c>
      <c r="BD3419">
        <f>IF('01_Вводные'!$B$234="Да",SUMPRODUCT(('01_Вводные'!$D$314:$D$318*'01_Вводные'!$B$314:$B$318*IF('01_Вводные'!$B$9=0,0,'06_Сеть_и_дети'!BD11/'01_Вводные'!$B$9)+'06_Сеть_и_дети'!BD20*'19_Расчет_аналитики'!BD3842*'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3842*'01_Вводные'!$C$314:$C$318*('01_Вводные'!$E$314:$E$318*('06_Сеть_и_дети'!BD$3&lt;'01_Вводные'!$B$245)+'01_Вводные'!$B$57*('06_Сеть_и_дети'!BD$3&gt;='01_Вводные'!$B$245))))/2),0)</f>
        <v/>
      </c>
      <c r="BE3419">
        <f>IF('01_Вводные'!$B$234="Да",SUMPRODUCT(('01_Вводные'!$D$314:$D$318*'01_Вводные'!$B$314:$B$318*IF('01_Вводные'!$B$9=0,0,'06_Сеть_и_дети'!BE11/'01_Вводные'!$B$9)+'06_Сеть_и_дети'!BE20*'19_Расчет_аналитики'!BE3842*'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3842*'01_Вводные'!$C$314:$C$318*('01_Вводные'!$E$314:$E$318*('06_Сеть_и_дети'!BE$3&lt;'01_Вводные'!$B$245)+'01_Вводные'!$B$57*('06_Сеть_и_дети'!BE$3&gt;='01_Вводные'!$B$245))))/2),0)</f>
        <v/>
      </c>
      <c r="BF3419">
        <f>IF('01_Вводные'!$B$234="Да",SUMPRODUCT(('01_Вводные'!$D$314:$D$318*'01_Вводные'!$B$314:$B$318*IF('01_Вводные'!$B$9=0,0,'06_Сеть_и_дети'!BF11/'01_Вводные'!$B$9)+'06_Сеть_и_дети'!BF20*'19_Расчет_аналитики'!BF3842*'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3842*'01_Вводные'!$C$314:$C$318*('01_Вводные'!$E$314:$E$318*('06_Сеть_и_дети'!BF$3&lt;'01_Вводные'!$B$245)+'01_Вводные'!$B$57*('06_Сеть_и_дети'!BF$3&gt;='01_Вводные'!$B$245))))/2),0)</f>
        <v/>
      </c>
      <c r="BG3419">
        <f>IF('01_Вводные'!$B$234="Да",SUMPRODUCT(('01_Вводные'!$D$314:$D$318*'01_Вводные'!$B$314:$B$318*IF('01_Вводные'!$B$9=0,0,'06_Сеть_и_дети'!BG11/'01_Вводные'!$B$9)+'06_Сеть_и_дети'!BG20*'19_Расчет_аналитики'!BG3842*'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3842*'01_Вводные'!$C$314:$C$318*('01_Вводные'!$E$314:$E$318*('06_Сеть_и_дети'!BG$3&lt;'01_Вводные'!$B$245)+'01_Вводные'!$B$57*('06_Сеть_и_дети'!BG$3&gt;='01_Вводные'!$B$245))))/2),0)</f>
        <v/>
      </c>
      <c r="BH3419">
        <f>IF('01_Вводные'!$B$234="Да",SUMPRODUCT(('01_Вводные'!$D$314:$D$318*'01_Вводные'!$B$314:$B$318*IF('01_Вводные'!$B$9=0,0,'06_Сеть_и_дети'!BH11/'01_Вводные'!$B$9)+'06_Сеть_и_дети'!BH20*'19_Расчет_аналитики'!BH3842*'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3842*'01_Вводные'!$C$314:$C$318*('01_Вводные'!$E$314:$E$318*('06_Сеть_и_дети'!BH$3&lt;'01_Вводные'!$B$245)+'01_Вводные'!$B$57*('06_Сеть_и_дети'!BH$3&gt;='01_Вводные'!$B$245))))/2),0)</f>
        <v/>
      </c>
      <c r="BI3419">
        <f>IF('01_Вводные'!$B$234="Да",SUMPRODUCT(('01_Вводные'!$D$314:$D$318*'01_Вводные'!$B$314:$B$318*IF('01_Вводные'!$B$9=0,0,'06_Сеть_и_дети'!BI11/'01_Вводные'!$B$9)+'06_Сеть_и_дети'!BI20*'19_Расчет_аналитики'!BI3842*'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3842*'01_Вводные'!$C$314:$C$318*('01_Вводные'!$E$314:$E$318*('06_Сеть_и_дети'!BI$3&lt;'01_Вводные'!$B$245)+'01_Вводные'!$B$57*('06_Сеть_и_дети'!BI$3&gt;='01_Вводные'!$B$245))))/2),0)</f>
        <v/>
      </c>
      <c r="BJ3419">
        <f>IF('01_Вводные'!$B$234="Да",SUMPRODUCT(('01_Вводные'!$D$314:$D$318*'01_Вводные'!$B$314:$B$318*IF('01_Вводные'!$B$9=0,0,'06_Сеть_и_дети'!BJ11/'01_Вводные'!$B$9)+'06_Сеть_и_дети'!BJ20*'19_Расчет_аналитики'!BJ3842*'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3842*'01_Вводные'!$C$314:$C$318*('01_Вводные'!$E$314:$E$318*('06_Сеть_и_дети'!BJ$3&lt;'01_Вводные'!$B$245)+'01_Вводные'!$B$57*('06_Сеть_и_дети'!BJ$3&gt;='01_Вводные'!$B$245))))/2),0)</f>
        <v/>
      </c>
      <c r="BK3419">
        <f>IF('01_Вводные'!$B$234="Да",SUMPRODUCT(('01_Вводные'!$D$314:$D$318*'01_Вводные'!$B$314:$B$318*IF('01_Вводные'!$B$9=0,0,'06_Сеть_и_дети'!BK11/'01_Вводные'!$B$9)+'06_Сеть_и_дети'!BK20*'19_Расчет_аналитики'!BK3842*'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3842*'01_Вводные'!$C$314:$C$318*('01_Вводные'!$E$314:$E$318*('06_Сеть_и_дети'!BK$3&lt;'01_Вводные'!$B$245)+'01_Вводные'!$B$57*('06_Сеть_и_дети'!BK$3&gt;='01_Вводные'!$B$245))))/2),0)</f>
        <v/>
      </c>
      <c r="BL3419">
        <f>IF('01_Вводные'!$B$234="Да",SUMPRODUCT(('01_Вводные'!$D$314:$D$318*'01_Вводные'!$B$314:$B$318*IF('01_Вводные'!$B$9=0,0,'06_Сеть_и_дети'!BL11/'01_Вводные'!$B$9)+'06_Сеть_и_дети'!BL20*'19_Расчет_аналитики'!BL3842*'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3842*'01_Вводные'!$C$314:$C$318*('01_Вводные'!$E$314:$E$318*('06_Сеть_и_дети'!BL$3&lt;'01_Вводные'!$B$245)+'01_Вводные'!$B$57*('06_Сеть_и_дети'!BL$3&gt;='01_Вводные'!$B$245))))/2),0)</f>
        <v/>
      </c>
      <c r="BM3419">
        <f>IF('01_Вводные'!$B$234="Да",SUMPRODUCT(('01_Вводные'!$D$314:$D$318*'01_Вводные'!$B$314:$B$318*IF('01_Вводные'!$B$9=0,0,'06_Сеть_и_дети'!BM11/'01_Вводные'!$B$9)+'06_Сеть_и_дети'!BM20*'19_Расчет_аналитики'!BM3842*'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3842*'01_Вводные'!$C$314:$C$318*('01_Вводные'!$E$314:$E$318*('06_Сеть_и_дети'!BM$3&lt;'01_Вводные'!$B$245)+'01_Вводные'!$B$57*('06_Сеть_и_дети'!BM$3&gt;='01_Вводные'!$B$245))))/2),0)</f>
        <v/>
      </c>
      <c r="BN3419">
        <f>IF('01_Вводные'!$B$234="Да",SUMPRODUCT(('01_Вводные'!$D$314:$D$318*'01_Вводные'!$B$314:$B$318*IF('01_Вводные'!$B$9=0,0,'06_Сеть_и_дети'!BN11/'01_Вводные'!$B$9)+'06_Сеть_и_дети'!BN20*'19_Расчет_аналитики'!BN3842*'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3842*'01_Вводные'!$C$314:$C$318*('01_Вводные'!$E$314:$E$318*('06_Сеть_и_дети'!BN$3&lt;'01_Вводные'!$B$245)+'01_Вводные'!$B$57*('06_Сеть_и_дети'!BN$3&gt;='01_Вводные'!$B$245))))/2),0)</f>
        <v/>
      </c>
      <c r="BO3419">
        <f>IF('01_Вводные'!$B$234="Да",SUMPRODUCT(('01_Вводные'!$D$314:$D$318*'01_Вводные'!$B$314:$B$318*IF('01_Вводные'!$B$9=0,0,'06_Сеть_и_дети'!BO11/'01_Вводные'!$B$9)+'06_Сеть_и_дети'!BO20*'19_Расчет_аналитики'!BO3842*'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3842*'01_Вводные'!$C$314:$C$318*('01_Вводные'!$E$314:$E$318*('06_Сеть_и_дети'!BO$3&lt;'01_Вводные'!$B$245)+'01_Вводные'!$B$57*('06_Сеть_и_дети'!BO$3&gt;='01_Вводные'!$B$245))))/2),0)</f>
        <v/>
      </c>
    </row>
    <row r="3420">
      <c r="B3420">
        <f>IF('01_Вводные'!$B$234="Да",SUM('19_Расчет_аналитики'!B3500:B3524,'19_Расчет_аналитики'!B3528:B3552),0)</f>
        <v/>
      </c>
      <c r="C3420">
        <f>IF('01_Вводные'!$B$234="Да",SUM('19_Расчет_аналитики'!C3500:C3524,'19_Расчет_аналитики'!C3528:C3552),0)</f>
        <v/>
      </c>
      <c r="D3420">
        <f>IF('01_Вводные'!$B$234="Да",SUM('19_Расчет_аналитики'!D3500:D3524,'19_Расчет_аналитики'!D3528:D3552),0)</f>
        <v/>
      </c>
      <c r="E3420">
        <f>IF('01_Вводные'!$B$234="Да",SUM('19_Расчет_аналитики'!E3500:E3524,'19_Расчет_аналитики'!E3528:E3552),0)</f>
        <v/>
      </c>
      <c r="F3420">
        <f>IF('01_Вводные'!$B$234="Да",SUM('19_Расчет_аналитики'!F3500:F3524,'19_Расчет_аналитики'!F3528:F3552),0)</f>
        <v/>
      </c>
      <c r="G3420">
        <f>IF('01_Вводные'!$B$234="Да",SUM('19_Расчет_аналитики'!G3500:G3524,'19_Расчет_аналитики'!G3528:G3552),0)</f>
        <v/>
      </c>
      <c r="H3420">
        <f>IF('01_Вводные'!$B$234="Да",SUM('19_Расчет_аналитики'!H3500:H3524,'19_Расчет_аналитики'!H3528:H3552),0)</f>
        <v/>
      </c>
      <c r="I3420">
        <f>IF('01_Вводные'!$B$234="Да",SUM('19_Расчет_аналитики'!I3500:I3524,'19_Расчет_аналитики'!I3528:I3552),0)</f>
        <v/>
      </c>
      <c r="J3420">
        <f>IF('01_Вводные'!$B$234="Да",SUM('19_Расчет_аналитики'!J3500:J3524,'19_Расчет_аналитики'!J3528:J3552),0)</f>
        <v/>
      </c>
      <c r="K3420">
        <f>IF('01_Вводные'!$B$234="Да",SUM('19_Расчет_аналитики'!K3500:K3524,'19_Расчет_аналитики'!K3528:K3552),0)</f>
        <v/>
      </c>
      <c r="L3420">
        <f>IF('01_Вводные'!$B$234="Да",SUM('19_Расчет_аналитики'!L3500:L3524,'19_Расчет_аналитики'!L3528:L3552),0)</f>
        <v/>
      </c>
      <c r="M3420">
        <f>IF('01_Вводные'!$B$234="Да",SUM('19_Расчет_аналитики'!M3500:M3524,'19_Расчет_аналитики'!M3528:M3552),0)</f>
        <v/>
      </c>
      <c r="N3420">
        <f>IF('01_Вводные'!$B$234="Да",SUM('19_Расчет_аналитики'!N3500:N3524,'19_Расчет_аналитики'!N3528:N3552),0)</f>
        <v/>
      </c>
      <c r="O3420">
        <f>IF('01_Вводные'!$B$234="Да",SUM('19_Расчет_аналитики'!O3500:O3524,'19_Расчет_аналитики'!O3528:O3552),0)</f>
        <v/>
      </c>
      <c r="P3420">
        <f>IF('01_Вводные'!$B$234="Да",SUM('19_Расчет_аналитики'!P3500:P3524,'19_Расчет_аналитики'!P3528:P3552),0)</f>
        <v/>
      </c>
      <c r="Q3420">
        <f>IF('01_Вводные'!$B$234="Да",SUM('19_Расчет_аналитики'!Q3500:Q3524,'19_Расчет_аналитики'!Q3528:Q3552),0)</f>
        <v/>
      </c>
      <c r="R3420">
        <f>IF('01_Вводные'!$B$234="Да",SUM('19_Расчет_аналитики'!R3500:R3524,'19_Расчет_аналитики'!R3528:R3552),0)</f>
        <v/>
      </c>
      <c r="S3420">
        <f>IF('01_Вводные'!$B$234="Да",SUM('19_Расчет_аналитики'!S3500:S3524,'19_Расчет_аналитики'!S3528:S3552),0)</f>
        <v/>
      </c>
      <c r="T3420">
        <f>IF('01_Вводные'!$B$234="Да",SUM('19_Расчет_аналитики'!T3500:T3524,'19_Расчет_аналитики'!T3528:T3552),0)</f>
        <v/>
      </c>
      <c r="U3420">
        <f>IF('01_Вводные'!$B$234="Да",SUM('19_Расчет_аналитики'!U3500:U3524,'19_Расчет_аналитики'!U3528:U3552),0)</f>
        <v/>
      </c>
      <c r="V3420">
        <f>IF('01_Вводные'!$B$234="Да",SUM('19_Расчет_аналитики'!V3500:V3524,'19_Расчет_аналитики'!V3528:V3552),0)</f>
        <v/>
      </c>
      <c r="W3420">
        <f>IF('01_Вводные'!$B$234="Да",SUM('19_Расчет_аналитики'!W3500:W3524,'19_Расчет_аналитики'!W3528:W3552),0)</f>
        <v/>
      </c>
      <c r="X3420">
        <f>IF('01_Вводные'!$B$234="Да",SUM('19_Расчет_аналитики'!X3500:X3524,'19_Расчет_аналитики'!X3528:X3552),0)</f>
        <v/>
      </c>
      <c r="Y3420">
        <f>IF('01_Вводные'!$B$234="Да",SUM('19_Расчет_аналитики'!Y3500:Y3524,'19_Расчет_аналитики'!Y3528:Y3552),0)</f>
        <v/>
      </c>
      <c r="Z3420">
        <f>IF('01_Вводные'!$B$234="Да",SUM('19_Расчет_аналитики'!Z3500:Z3524,'19_Расчет_аналитики'!Z3528:Z3552),0)</f>
        <v/>
      </c>
      <c r="AA3420">
        <f>IF('01_Вводные'!$B$234="Да",SUM('19_Расчет_аналитики'!AA3500:AA3524,'19_Расчет_аналитики'!AA3528:AA3552),0)</f>
        <v/>
      </c>
      <c r="AB3420">
        <f>IF('01_Вводные'!$B$234="Да",SUM('19_Расчет_аналитики'!AB3500:AB3524,'19_Расчет_аналитики'!AB3528:AB3552),0)</f>
        <v/>
      </c>
      <c r="AC3420">
        <f>IF('01_Вводные'!$B$234="Да",SUM('19_Расчет_аналитики'!AC3500:AC3524,'19_Расчет_аналитики'!AC3528:AC3552),0)</f>
        <v/>
      </c>
      <c r="AD3420">
        <f>IF('01_Вводные'!$B$234="Да",SUM('19_Расчет_аналитики'!AD3500:AD3524,'19_Расчет_аналитики'!AD3528:AD3552),0)</f>
        <v/>
      </c>
      <c r="AE3420">
        <f>IF('01_Вводные'!$B$234="Да",SUM('19_Расчет_аналитики'!AE3500:AE3524,'19_Расчет_аналитики'!AE3528:AE3552),0)</f>
        <v/>
      </c>
      <c r="AF3420">
        <f>IF('01_Вводные'!$B$234="Да",SUM('19_Расчет_аналитики'!AF3500:AF3524,'19_Расчет_аналитики'!AF3528:AF3552),0)</f>
        <v/>
      </c>
      <c r="AG3420">
        <f>IF('01_Вводные'!$B$234="Да",SUM('19_Расчет_аналитики'!AG3500:AG3524,'19_Расчет_аналитики'!AG3528:AG3552),0)</f>
        <v/>
      </c>
      <c r="AH3420">
        <f>IF('01_Вводные'!$B$234="Да",SUM('19_Расчет_аналитики'!AH3500:AH3524,'19_Расчет_аналитики'!AH3528:AH3552),0)</f>
        <v/>
      </c>
      <c r="AI3420">
        <f>IF('01_Вводные'!$B$234="Да",SUM('19_Расчет_аналитики'!AI3500:AI3524,'19_Расчет_аналитики'!AI3528:AI3552),0)</f>
        <v/>
      </c>
      <c r="AJ3420">
        <f>IF('01_Вводные'!$B$234="Да",SUM('19_Расчет_аналитики'!AJ3500:AJ3524,'19_Расчет_аналитики'!AJ3528:AJ3552),0)</f>
        <v/>
      </c>
      <c r="AK3420">
        <f>IF('01_Вводные'!$B$234="Да",SUM('19_Расчет_аналитики'!AK3500:AK3524,'19_Расчет_аналитики'!AK3528:AK3552),0)</f>
        <v/>
      </c>
      <c r="AL3420">
        <f>IF('01_Вводные'!$B$234="Да",SUM('19_Расчет_аналитики'!AL3500:AL3524,'19_Расчет_аналитики'!AL3528:AL3552),0)</f>
        <v/>
      </c>
      <c r="AM3420">
        <f>IF('01_Вводные'!$B$234="Да",SUM('19_Расчет_аналитики'!AM3500:AM3524,'19_Расчет_аналитики'!AM3528:AM3552),0)</f>
        <v/>
      </c>
      <c r="AN3420">
        <f>IF('01_Вводные'!$B$234="Да",SUM('19_Расчет_аналитики'!AN3500:AN3524,'19_Расчет_аналитики'!AN3528:AN3552),0)</f>
        <v/>
      </c>
      <c r="AO3420">
        <f>IF('01_Вводные'!$B$234="Да",SUM('19_Расчет_аналитики'!AO3500:AO3524,'19_Расчет_аналитики'!AO3528:AO3552),0)</f>
        <v/>
      </c>
      <c r="AP3420">
        <f>IF('01_Вводные'!$B$234="Да",SUM('19_Расчет_аналитики'!AP3500:AP3524,'19_Расчет_аналитики'!AP3528:AP3552),0)</f>
        <v/>
      </c>
      <c r="AQ3420">
        <f>IF('01_Вводные'!$B$234="Да",SUM('19_Расчет_аналитики'!AQ3500:AQ3524,'19_Расчет_аналитики'!AQ3528:AQ3552),0)</f>
        <v/>
      </c>
      <c r="AR3420">
        <f>IF('01_Вводные'!$B$234="Да",SUM('19_Расчет_аналитики'!AR3500:AR3524,'19_Расчет_аналитики'!AR3528:AR3552),0)</f>
        <v/>
      </c>
      <c r="AS3420">
        <f>IF('01_Вводные'!$B$234="Да",SUM('19_Расчет_аналитики'!AS3500:AS3524,'19_Расчет_аналитики'!AS3528:AS3552),0)</f>
        <v/>
      </c>
      <c r="AT3420">
        <f>IF('01_Вводные'!$B$234="Да",SUM('19_Расчет_аналитики'!AT3500:AT3524,'19_Расчет_аналитики'!AT3528:AT3552),0)</f>
        <v/>
      </c>
      <c r="AU3420">
        <f>IF('01_Вводные'!$B$234="Да",SUM('19_Расчет_аналитики'!AU3500:AU3524,'19_Расчет_аналитики'!AU3528:AU3552),0)</f>
        <v/>
      </c>
      <c r="AV3420">
        <f>IF('01_Вводные'!$B$234="Да",SUM('19_Расчет_аналитики'!AV3500:AV3524,'19_Расчет_аналитики'!AV3528:AV3552),0)</f>
        <v/>
      </c>
      <c r="AW3420">
        <f>IF('01_Вводные'!$B$234="Да",SUM('19_Расчет_аналитики'!AW3500:AW3524,'19_Расчет_аналитики'!AW3528:AW3552),0)</f>
        <v/>
      </c>
      <c r="AX3420">
        <f>IF('01_Вводные'!$B$234="Да",SUM('19_Расчет_аналитики'!AX3500:AX3524,'19_Расчет_аналитики'!AX3528:AX3552),0)</f>
        <v/>
      </c>
      <c r="AY3420">
        <f>IF('01_Вводные'!$B$234="Да",SUM('19_Расчет_аналитики'!AY3500:AY3524,'19_Расчет_аналитики'!AY3528:AY3552),0)</f>
        <v/>
      </c>
      <c r="AZ3420">
        <f>IF('01_Вводные'!$B$234="Да",SUM('19_Расчет_аналитики'!AZ3500:AZ3524,'19_Расчет_аналитики'!AZ3528:AZ3552),0)</f>
        <v/>
      </c>
      <c r="BA3420">
        <f>IF('01_Вводные'!$B$234="Да",SUM('19_Расчет_аналитики'!BA3500:BA3524,'19_Расчет_аналитики'!BA3528:BA3552),0)</f>
        <v/>
      </c>
      <c r="BB3420">
        <f>IF('01_Вводные'!$B$234="Да",SUM('19_Расчет_аналитики'!BB3500:BB3524,'19_Расчет_аналитики'!BB3528:BB3552),0)</f>
        <v/>
      </c>
      <c r="BC3420">
        <f>IF('01_Вводные'!$B$234="Да",SUM('19_Расчет_аналитики'!BC3500:BC3524,'19_Расчет_аналитики'!BC3528:BC3552),0)</f>
        <v/>
      </c>
      <c r="BD3420">
        <f>IF('01_Вводные'!$B$234="Да",SUM('19_Расчет_аналитики'!BD3500:BD3524,'19_Расчет_аналитики'!BD3528:BD3552),0)</f>
        <v/>
      </c>
      <c r="BE3420">
        <f>IF('01_Вводные'!$B$234="Да",SUM('19_Расчет_аналитики'!BE3500:BE3524,'19_Расчет_аналитики'!BE3528:BE3552),0)</f>
        <v/>
      </c>
      <c r="BF3420">
        <f>IF('01_Вводные'!$B$234="Да",SUM('19_Расчет_аналитики'!BF3500:BF3524,'19_Расчет_аналитики'!BF3528:BF3552),0)</f>
        <v/>
      </c>
      <c r="BG3420">
        <f>IF('01_Вводные'!$B$234="Да",SUM('19_Расчет_аналитики'!BG3500:BG3524,'19_Расчет_аналитики'!BG3528:BG3552),0)</f>
        <v/>
      </c>
      <c r="BH3420">
        <f>IF('01_Вводные'!$B$234="Да",SUM('19_Расчет_аналитики'!BH3500:BH3524,'19_Расчет_аналитики'!BH3528:BH3552),0)</f>
        <v/>
      </c>
      <c r="BI3420">
        <f>IF('01_Вводные'!$B$234="Да",SUM('19_Расчет_аналитики'!BI3500:BI3524,'19_Расчет_аналитики'!BI3528:BI3552),0)</f>
        <v/>
      </c>
      <c r="BJ3420">
        <f>IF('01_Вводные'!$B$234="Да",SUM('19_Расчет_аналитики'!BJ3500:BJ3524,'19_Расчет_аналитики'!BJ3528:BJ3552),0)</f>
        <v/>
      </c>
      <c r="BK3420">
        <f>IF('01_Вводные'!$B$234="Да",SUM('19_Расчет_аналитики'!BK3500:BK3524,'19_Расчет_аналитики'!BK3528:BK3552),0)</f>
        <v/>
      </c>
      <c r="BL3420">
        <f>IF('01_Вводные'!$B$234="Да",SUM('19_Расчет_аналитики'!BL3500:BL3524,'19_Расчет_аналитики'!BL3528:BL3552),0)</f>
        <v/>
      </c>
      <c r="BM3420">
        <f>IF('01_Вводные'!$B$234="Да",SUM('19_Расчет_аналитики'!BM3500:BM3524,'19_Расчет_аналитики'!BM3528:BM3552),0)</f>
        <v/>
      </c>
      <c r="BN3420">
        <f>IF('01_Вводные'!$B$234="Да",SUM('19_Расчет_аналитики'!BN3500:BN3524,'19_Расчет_аналитики'!BN3528:BN3552),0)</f>
        <v/>
      </c>
      <c r="BO3420">
        <f>IF('01_Вводные'!$B$234="Да",SUM('19_Расчет_аналитики'!BO3500:BO3524,'19_Расчет_аналитики'!BO3528:BO3552),0)</f>
        <v/>
      </c>
    </row>
    <row r="3421">
      <c r="B3421">
        <f>IF('01_Вводные'!$B$234="Да",'19_Расчет_аналитики'!B3419+'19_Расчет_аналитики'!B3420,0)</f>
        <v/>
      </c>
      <c r="C3421">
        <f>IF('01_Вводные'!$B$234="Да",'19_Расчет_аналитики'!C3419+'19_Расчет_аналитики'!C3420,0)</f>
        <v/>
      </c>
      <c r="D3421">
        <f>IF('01_Вводные'!$B$234="Да",'19_Расчет_аналитики'!D3419+'19_Расчет_аналитики'!D3420,0)</f>
        <v/>
      </c>
      <c r="E3421">
        <f>IF('01_Вводные'!$B$234="Да",'19_Расчет_аналитики'!E3419+'19_Расчет_аналитики'!E3420,0)</f>
        <v/>
      </c>
      <c r="F3421">
        <f>IF('01_Вводные'!$B$234="Да",'19_Расчет_аналитики'!F3419+'19_Расчет_аналитики'!F3420,0)</f>
        <v/>
      </c>
      <c r="G3421">
        <f>IF('01_Вводные'!$B$234="Да",'19_Расчет_аналитики'!G3419+'19_Расчет_аналитики'!G3420,0)</f>
        <v/>
      </c>
      <c r="H3421">
        <f>IF('01_Вводные'!$B$234="Да",'19_Расчет_аналитики'!H3419+'19_Расчет_аналитики'!H3420,0)</f>
        <v/>
      </c>
      <c r="I3421">
        <f>IF('01_Вводные'!$B$234="Да",'19_Расчет_аналитики'!I3419+'19_Расчет_аналитики'!I3420,0)</f>
        <v/>
      </c>
      <c r="J3421">
        <f>IF('01_Вводные'!$B$234="Да",'19_Расчет_аналитики'!J3419+'19_Расчет_аналитики'!J3420,0)</f>
        <v/>
      </c>
      <c r="K3421">
        <f>IF('01_Вводные'!$B$234="Да",'19_Расчет_аналитики'!K3419+'19_Расчет_аналитики'!K3420,0)</f>
        <v/>
      </c>
      <c r="L3421">
        <f>IF('01_Вводные'!$B$234="Да",'19_Расчет_аналитики'!L3419+'19_Расчет_аналитики'!L3420,0)</f>
        <v/>
      </c>
      <c r="M3421">
        <f>IF('01_Вводные'!$B$234="Да",'19_Расчет_аналитики'!M3419+'19_Расчет_аналитики'!M3420,0)</f>
        <v/>
      </c>
      <c r="N3421">
        <f>IF('01_Вводные'!$B$234="Да",'19_Расчет_аналитики'!N3419+'19_Расчет_аналитики'!N3420,0)</f>
        <v/>
      </c>
      <c r="O3421">
        <f>IF('01_Вводные'!$B$234="Да",'19_Расчет_аналитики'!O3419+'19_Расчет_аналитики'!O3420,0)</f>
        <v/>
      </c>
      <c r="P3421">
        <f>IF('01_Вводные'!$B$234="Да",'19_Расчет_аналитики'!P3419+'19_Расчет_аналитики'!P3420,0)</f>
        <v/>
      </c>
      <c r="Q3421">
        <f>IF('01_Вводные'!$B$234="Да",'19_Расчет_аналитики'!Q3419+'19_Расчет_аналитики'!Q3420,0)</f>
        <v/>
      </c>
      <c r="R3421">
        <f>IF('01_Вводные'!$B$234="Да",'19_Расчет_аналитики'!R3419+'19_Расчет_аналитики'!R3420,0)</f>
        <v/>
      </c>
      <c r="S3421">
        <f>IF('01_Вводные'!$B$234="Да",'19_Расчет_аналитики'!S3419+'19_Расчет_аналитики'!S3420,0)</f>
        <v/>
      </c>
      <c r="T3421">
        <f>IF('01_Вводные'!$B$234="Да",'19_Расчет_аналитики'!T3419+'19_Расчет_аналитики'!T3420,0)</f>
        <v/>
      </c>
      <c r="U3421">
        <f>IF('01_Вводные'!$B$234="Да",'19_Расчет_аналитики'!U3419+'19_Расчет_аналитики'!U3420,0)</f>
        <v/>
      </c>
      <c r="V3421">
        <f>IF('01_Вводные'!$B$234="Да",'19_Расчет_аналитики'!V3419+'19_Расчет_аналитики'!V3420,0)</f>
        <v/>
      </c>
      <c r="W3421">
        <f>IF('01_Вводные'!$B$234="Да",'19_Расчет_аналитики'!W3419+'19_Расчет_аналитики'!W3420,0)</f>
        <v/>
      </c>
      <c r="X3421">
        <f>IF('01_Вводные'!$B$234="Да",'19_Расчет_аналитики'!X3419+'19_Расчет_аналитики'!X3420,0)</f>
        <v/>
      </c>
      <c r="Y3421">
        <f>IF('01_Вводные'!$B$234="Да",'19_Расчет_аналитики'!Y3419+'19_Расчет_аналитики'!Y3420,0)</f>
        <v/>
      </c>
      <c r="Z3421">
        <f>IF('01_Вводные'!$B$234="Да",'19_Расчет_аналитики'!Z3419+'19_Расчет_аналитики'!Z3420,0)</f>
        <v/>
      </c>
      <c r="AA3421">
        <f>IF('01_Вводные'!$B$234="Да",'19_Расчет_аналитики'!AA3419+'19_Расчет_аналитики'!AA3420,0)</f>
        <v/>
      </c>
      <c r="AB3421">
        <f>IF('01_Вводные'!$B$234="Да",'19_Расчет_аналитики'!AB3419+'19_Расчет_аналитики'!AB3420,0)</f>
        <v/>
      </c>
      <c r="AC3421">
        <f>IF('01_Вводные'!$B$234="Да",'19_Расчет_аналитики'!AC3419+'19_Расчет_аналитики'!AC3420,0)</f>
        <v/>
      </c>
      <c r="AD3421">
        <f>IF('01_Вводные'!$B$234="Да",'19_Расчет_аналитики'!AD3419+'19_Расчет_аналитики'!AD3420,0)</f>
        <v/>
      </c>
      <c r="AE3421">
        <f>IF('01_Вводные'!$B$234="Да",'19_Расчет_аналитики'!AE3419+'19_Расчет_аналитики'!AE3420,0)</f>
        <v/>
      </c>
      <c r="AF3421">
        <f>IF('01_Вводные'!$B$234="Да",'19_Расчет_аналитики'!AF3419+'19_Расчет_аналитики'!AF3420,0)</f>
        <v/>
      </c>
      <c r="AG3421">
        <f>IF('01_Вводные'!$B$234="Да",'19_Расчет_аналитики'!AG3419+'19_Расчет_аналитики'!AG3420,0)</f>
        <v/>
      </c>
      <c r="AH3421">
        <f>IF('01_Вводные'!$B$234="Да",'19_Расчет_аналитики'!AH3419+'19_Расчет_аналитики'!AH3420,0)</f>
        <v/>
      </c>
      <c r="AI3421">
        <f>IF('01_Вводные'!$B$234="Да",'19_Расчет_аналитики'!AI3419+'19_Расчет_аналитики'!AI3420,0)</f>
        <v/>
      </c>
      <c r="AJ3421">
        <f>IF('01_Вводные'!$B$234="Да",'19_Расчет_аналитики'!AJ3419+'19_Расчет_аналитики'!AJ3420,0)</f>
        <v/>
      </c>
      <c r="AK3421">
        <f>IF('01_Вводные'!$B$234="Да",'19_Расчет_аналитики'!AK3419+'19_Расчет_аналитики'!AK3420,0)</f>
        <v/>
      </c>
      <c r="AL3421">
        <f>IF('01_Вводные'!$B$234="Да",'19_Расчет_аналитики'!AL3419+'19_Расчет_аналитики'!AL3420,0)</f>
        <v/>
      </c>
      <c r="AM3421">
        <f>IF('01_Вводные'!$B$234="Да",'19_Расчет_аналитики'!AM3419+'19_Расчет_аналитики'!AM3420,0)</f>
        <v/>
      </c>
      <c r="AN3421">
        <f>IF('01_Вводные'!$B$234="Да",'19_Расчет_аналитики'!AN3419+'19_Расчет_аналитики'!AN3420,0)</f>
        <v/>
      </c>
      <c r="AO3421">
        <f>IF('01_Вводные'!$B$234="Да",'19_Расчет_аналитики'!AO3419+'19_Расчет_аналитики'!AO3420,0)</f>
        <v/>
      </c>
      <c r="AP3421">
        <f>IF('01_Вводные'!$B$234="Да",'19_Расчет_аналитики'!AP3419+'19_Расчет_аналитики'!AP3420,0)</f>
        <v/>
      </c>
      <c r="AQ3421">
        <f>IF('01_Вводные'!$B$234="Да",'19_Расчет_аналитики'!AQ3419+'19_Расчет_аналитики'!AQ3420,0)</f>
        <v/>
      </c>
      <c r="AR3421">
        <f>IF('01_Вводные'!$B$234="Да",'19_Расчет_аналитики'!AR3419+'19_Расчет_аналитики'!AR3420,0)</f>
        <v/>
      </c>
      <c r="AS3421">
        <f>IF('01_Вводные'!$B$234="Да",'19_Расчет_аналитики'!AS3419+'19_Расчет_аналитики'!AS3420,0)</f>
        <v/>
      </c>
      <c r="AT3421">
        <f>IF('01_Вводные'!$B$234="Да",'19_Расчет_аналитики'!AT3419+'19_Расчет_аналитики'!AT3420,0)</f>
        <v/>
      </c>
      <c r="AU3421">
        <f>IF('01_Вводные'!$B$234="Да",'19_Расчет_аналитики'!AU3419+'19_Расчет_аналитики'!AU3420,0)</f>
        <v/>
      </c>
      <c r="AV3421">
        <f>IF('01_Вводные'!$B$234="Да",'19_Расчет_аналитики'!AV3419+'19_Расчет_аналитики'!AV3420,0)</f>
        <v/>
      </c>
      <c r="AW3421">
        <f>IF('01_Вводные'!$B$234="Да",'19_Расчет_аналитики'!AW3419+'19_Расчет_аналитики'!AW3420,0)</f>
        <v/>
      </c>
      <c r="AX3421">
        <f>IF('01_Вводные'!$B$234="Да",'19_Расчет_аналитики'!AX3419+'19_Расчет_аналитики'!AX3420,0)</f>
        <v/>
      </c>
      <c r="AY3421">
        <f>IF('01_Вводные'!$B$234="Да",'19_Расчет_аналитики'!AY3419+'19_Расчет_аналитики'!AY3420,0)</f>
        <v/>
      </c>
      <c r="AZ3421">
        <f>IF('01_Вводные'!$B$234="Да",'19_Расчет_аналитики'!AZ3419+'19_Расчет_аналитики'!AZ3420,0)</f>
        <v/>
      </c>
      <c r="BA3421">
        <f>IF('01_Вводные'!$B$234="Да",'19_Расчет_аналитики'!BA3419+'19_Расчет_аналитики'!BA3420,0)</f>
        <v/>
      </c>
      <c r="BB3421">
        <f>IF('01_Вводные'!$B$234="Да",'19_Расчет_аналитики'!BB3419+'19_Расчет_аналитики'!BB3420,0)</f>
        <v/>
      </c>
      <c r="BC3421">
        <f>IF('01_Вводные'!$B$234="Да",'19_Расчет_аналитики'!BC3419+'19_Расчет_аналитики'!BC3420,0)</f>
        <v/>
      </c>
      <c r="BD3421">
        <f>IF('01_Вводные'!$B$234="Да",'19_Расчет_аналитики'!BD3419+'19_Расчет_аналитики'!BD3420,0)</f>
        <v/>
      </c>
      <c r="BE3421">
        <f>IF('01_Вводные'!$B$234="Да",'19_Расчет_аналитики'!BE3419+'19_Расчет_аналитики'!BE3420,0)</f>
        <v/>
      </c>
      <c r="BF3421">
        <f>IF('01_Вводные'!$B$234="Да",'19_Расчет_аналитики'!BF3419+'19_Расчет_аналитики'!BF3420,0)</f>
        <v/>
      </c>
      <c r="BG3421">
        <f>IF('01_Вводные'!$B$234="Да",'19_Расчет_аналитики'!BG3419+'19_Расчет_аналитики'!BG3420,0)</f>
        <v/>
      </c>
      <c r="BH3421">
        <f>IF('01_Вводные'!$B$234="Да",'19_Расчет_аналитики'!BH3419+'19_Расчет_аналитики'!BH3420,0)</f>
        <v/>
      </c>
      <c r="BI3421">
        <f>IF('01_Вводные'!$B$234="Да",'19_Расчет_аналитики'!BI3419+'19_Расчет_аналитики'!BI3420,0)</f>
        <v/>
      </c>
      <c r="BJ3421">
        <f>IF('01_Вводные'!$B$234="Да",'19_Расчет_аналитики'!BJ3419+'19_Расчет_аналитики'!BJ3420,0)</f>
        <v/>
      </c>
      <c r="BK3421">
        <f>IF('01_Вводные'!$B$234="Да",'19_Расчет_аналитики'!BK3419+'19_Расчет_аналитики'!BK3420,0)</f>
        <v/>
      </c>
      <c r="BL3421">
        <f>IF('01_Вводные'!$B$234="Да",'19_Расчет_аналитики'!BL3419+'19_Расчет_аналитики'!BL3420,0)</f>
        <v/>
      </c>
      <c r="BM3421">
        <f>IF('01_Вводные'!$B$234="Да",'19_Расчет_аналитики'!BM3419+'19_Расчет_аналитики'!BM3420,0)</f>
        <v/>
      </c>
      <c r="BN3421">
        <f>IF('01_Вводные'!$B$234="Да",'19_Расчет_аналитики'!BN3419+'19_Расчет_аналитики'!BN3420,0)</f>
        <v/>
      </c>
      <c r="BO3421">
        <f>IF('01_Вводные'!$B$234="Да",'19_Расчет_аналитики'!BO3419+'19_Расчет_аналитики'!BO3420,0)</f>
        <v/>
      </c>
    </row>
    <row r="3422"/>
    <row r="3423"/>
    <row r="3424">
      <c r="B3424">
        <f>IF('01_Вводные'!$B$234="Да",IF(OR(1&lt;='01_Вводные'!$B$15,1-'01_Вводные'!$B$15&gt;60),0,IF(INDEX('04_Продажи'!$B$11:$BI$11,1,1-'01_Вводные'!$B$15)&lt;='01_Вводные'!$B$244,'19_Расчет_аналитики'!B3399,0)),0)</f>
        <v/>
      </c>
      <c r="C3424">
        <f>IF('01_Вводные'!$B$234="Да",IF(OR(2&lt;='01_Вводные'!$B$15,2-'01_Вводные'!$B$15&gt;60),0,IF(INDEX('04_Продажи'!$B$11:$BI$11,1,2-'01_Вводные'!$B$15)&lt;='01_Вводные'!$B$244,'19_Расчет_аналитики'!C3399,0)),0)</f>
        <v/>
      </c>
      <c r="D3424">
        <f>IF('01_Вводные'!$B$234="Да",IF(OR(3&lt;='01_Вводные'!$B$15,3-'01_Вводные'!$B$15&gt;60),0,IF(INDEX('04_Продажи'!$B$11:$BI$11,1,3-'01_Вводные'!$B$15)&lt;='01_Вводные'!$B$244,'19_Расчет_аналитики'!D3399,0)),0)</f>
        <v/>
      </c>
      <c r="E3424">
        <f>IF('01_Вводные'!$B$234="Да",IF(OR(4&lt;='01_Вводные'!$B$15,4-'01_Вводные'!$B$15&gt;60),0,IF(INDEX('04_Продажи'!$B$11:$BI$11,1,4-'01_Вводные'!$B$15)&lt;='01_Вводные'!$B$244,'19_Расчет_аналитики'!E3399,0)),0)</f>
        <v/>
      </c>
      <c r="F3424">
        <f>IF('01_Вводные'!$B$234="Да",IF(OR(5&lt;='01_Вводные'!$B$15,5-'01_Вводные'!$B$15&gt;60),0,IF(INDEX('04_Продажи'!$B$11:$BI$11,1,5-'01_Вводные'!$B$15)&lt;='01_Вводные'!$B$244,'19_Расчет_аналитики'!F3399,0)),0)</f>
        <v/>
      </c>
      <c r="G3424">
        <f>IF('01_Вводные'!$B$234="Да",IF(OR(6&lt;='01_Вводные'!$B$15,6-'01_Вводные'!$B$15&gt;60),0,IF(INDEX('04_Продажи'!$B$11:$BI$11,1,6-'01_Вводные'!$B$15)&lt;='01_Вводные'!$B$244,'19_Расчет_аналитики'!G3399,0)),0)</f>
        <v/>
      </c>
      <c r="H3424">
        <f>IF('01_Вводные'!$B$234="Да",IF(OR(7&lt;='01_Вводные'!$B$15,7-'01_Вводные'!$B$15&gt;60),0,IF(INDEX('04_Продажи'!$B$11:$BI$11,1,7-'01_Вводные'!$B$15)&lt;='01_Вводные'!$B$244,'19_Расчет_аналитики'!H3399,0)),0)</f>
        <v/>
      </c>
      <c r="I3424">
        <f>IF('01_Вводные'!$B$234="Да",IF(OR(8&lt;='01_Вводные'!$B$15,8-'01_Вводные'!$B$15&gt;60),0,IF(INDEX('04_Продажи'!$B$11:$BI$11,1,8-'01_Вводные'!$B$15)&lt;='01_Вводные'!$B$244,'19_Расчет_аналитики'!I3399,0)),0)</f>
        <v/>
      </c>
      <c r="J3424">
        <f>IF('01_Вводные'!$B$234="Да",IF(OR(9&lt;='01_Вводные'!$B$15,9-'01_Вводные'!$B$15&gt;60),0,IF(INDEX('04_Продажи'!$B$11:$BI$11,1,9-'01_Вводные'!$B$15)&lt;='01_Вводные'!$B$244,'19_Расчет_аналитики'!J3399,0)),0)</f>
        <v/>
      </c>
      <c r="K3424">
        <f>IF('01_Вводные'!$B$234="Да",IF(OR(10&lt;='01_Вводные'!$B$15,10-'01_Вводные'!$B$15&gt;60),0,IF(INDEX('04_Продажи'!$B$11:$BI$11,1,10-'01_Вводные'!$B$15)&lt;='01_Вводные'!$B$244,'19_Расчет_аналитики'!K3399,0)),0)</f>
        <v/>
      </c>
      <c r="L3424">
        <f>IF('01_Вводные'!$B$234="Да",IF(OR(11&lt;='01_Вводные'!$B$15,11-'01_Вводные'!$B$15&gt;60),0,IF(INDEX('04_Продажи'!$B$11:$BI$11,1,11-'01_Вводные'!$B$15)&lt;='01_Вводные'!$B$244,'19_Расчет_аналитики'!L3399,0)),0)</f>
        <v/>
      </c>
      <c r="M3424">
        <f>IF('01_Вводные'!$B$234="Да",IF(OR(12&lt;='01_Вводные'!$B$15,12-'01_Вводные'!$B$15&gt;60),0,IF(INDEX('04_Продажи'!$B$11:$BI$11,1,12-'01_Вводные'!$B$15)&lt;='01_Вводные'!$B$244,'19_Расчет_аналитики'!M3399,0)),0)</f>
        <v/>
      </c>
      <c r="N3424">
        <f>IF('01_Вводные'!$B$234="Да",IF(OR(13&lt;='01_Вводные'!$B$15,13-'01_Вводные'!$B$15&gt;60),0,IF(INDEX('04_Продажи'!$B$11:$BI$11,1,13-'01_Вводные'!$B$15)&lt;='01_Вводные'!$B$244,'19_Расчет_аналитики'!N3399,0)),0)</f>
        <v/>
      </c>
      <c r="O3424">
        <f>IF('01_Вводные'!$B$234="Да",IF(OR(14&lt;='01_Вводные'!$B$15,14-'01_Вводные'!$B$15&gt;60),0,IF(INDEX('04_Продажи'!$B$11:$BI$11,1,14-'01_Вводные'!$B$15)&lt;='01_Вводные'!$B$244,'19_Расчет_аналитики'!O3399,0)),0)</f>
        <v/>
      </c>
      <c r="P3424">
        <f>IF('01_Вводные'!$B$234="Да",IF(OR(15&lt;='01_Вводные'!$B$15,15-'01_Вводные'!$B$15&gt;60),0,IF(INDEX('04_Продажи'!$B$11:$BI$11,1,15-'01_Вводные'!$B$15)&lt;='01_Вводные'!$B$244,'19_Расчет_аналитики'!P3399,0)),0)</f>
        <v/>
      </c>
      <c r="Q3424">
        <f>IF('01_Вводные'!$B$234="Да",IF(OR(16&lt;='01_Вводные'!$B$15,16-'01_Вводные'!$B$15&gt;60),0,IF(INDEX('04_Продажи'!$B$11:$BI$11,1,16-'01_Вводные'!$B$15)&lt;='01_Вводные'!$B$244,'19_Расчет_аналитики'!Q3399,0)),0)</f>
        <v/>
      </c>
      <c r="R3424">
        <f>IF('01_Вводные'!$B$234="Да",IF(OR(17&lt;='01_Вводные'!$B$15,17-'01_Вводные'!$B$15&gt;60),0,IF(INDEX('04_Продажи'!$B$11:$BI$11,1,17-'01_Вводные'!$B$15)&lt;='01_Вводные'!$B$244,'19_Расчет_аналитики'!R3399,0)),0)</f>
        <v/>
      </c>
      <c r="S3424">
        <f>IF('01_Вводные'!$B$234="Да",IF(OR(18&lt;='01_Вводные'!$B$15,18-'01_Вводные'!$B$15&gt;60),0,IF(INDEX('04_Продажи'!$B$11:$BI$11,1,18-'01_Вводные'!$B$15)&lt;='01_Вводные'!$B$244,'19_Расчет_аналитики'!S3399,0)),0)</f>
        <v/>
      </c>
      <c r="T3424">
        <f>IF('01_Вводные'!$B$234="Да",IF(OR(19&lt;='01_Вводные'!$B$15,19-'01_Вводные'!$B$15&gt;60),0,IF(INDEX('04_Продажи'!$B$11:$BI$11,1,19-'01_Вводные'!$B$15)&lt;='01_Вводные'!$B$244,'19_Расчет_аналитики'!T3399,0)),0)</f>
        <v/>
      </c>
      <c r="U3424">
        <f>IF('01_Вводные'!$B$234="Да",IF(OR(20&lt;='01_Вводные'!$B$15,20-'01_Вводные'!$B$15&gt;60),0,IF(INDEX('04_Продажи'!$B$11:$BI$11,1,20-'01_Вводные'!$B$15)&lt;='01_Вводные'!$B$244,'19_Расчет_аналитики'!U3399,0)),0)</f>
        <v/>
      </c>
      <c r="V3424">
        <f>IF('01_Вводные'!$B$234="Да",IF(OR(21&lt;='01_Вводные'!$B$15,21-'01_Вводные'!$B$15&gt;60),0,IF(INDEX('04_Продажи'!$B$11:$BI$11,1,21-'01_Вводные'!$B$15)&lt;='01_Вводные'!$B$244,'19_Расчет_аналитики'!V3399,0)),0)</f>
        <v/>
      </c>
      <c r="W3424">
        <f>IF('01_Вводные'!$B$234="Да",IF(OR(22&lt;='01_Вводные'!$B$15,22-'01_Вводные'!$B$15&gt;60),0,IF(INDEX('04_Продажи'!$B$11:$BI$11,1,22-'01_Вводные'!$B$15)&lt;='01_Вводные'!$B$244,'19_Расчет_аналитики'!W3399,0)),0)</f>
        <v/>
      </c>
      <c r="X3424">
        <f>IF('01_Вводные'!$B$234="Да",IF(OR(23&lt;='01_Вводные'!$B$15,23-'01_Вводные'!$B$15&gt;60),0,IF(INDEX('04_Продажи'!$B$11:$BI$11,1,23-'01_Вводные'!$B$15)&lt;='01_Вводные'!$B$244,'19_Расчет_аналитики'!X3399,0)),0)</f>
        <v/>
      </c>
      <c r="Y3424">
        <f>IF('01_Вводные'!$B$234="Да",IF(OR(24&lt;='01_Вводные'!$B$15,24-'01_Вводные'!$B$15&gt;60),0,IF(INDEX('04_Продажи'!$B$11:$BI$11,1,24-'01_Вводные'!$B$15)&lt;='01_Вводные'!$B$244,'19_Расчет_аналитики'!Y3399,0)),0)</f>
        <v/>
      </c>
      <c r="Z3424">
        <f>IF('01_Вводные'!$B$234="Да",IF(OR(25&lt;='01_Вводные'!$B$15,25-'01_Вводные'!$B$15&gt;60),0,IF(INDEX('04_Продажи'!$B$11:$BI$11,1,25-'01_Вводные'!$B$15)&lt;='01_Вводные'!$B$244,'19_Расчет_аналитики'!Z3399,0)),0)</f>
        <v/>
      </c>
      <c r="AA3424">
        <f>IF('01_Вводные'!$B$234="Да",IF(OR(26&lt;='01_Вводные'!$B$15,26-'01_Вводные'!$B$15&gt;60),0,IF(INDEX('04_Продажи'!$B$11:$BI$11,1,26-'01_Вводные'!$B$15)&lt;='01_Вводные'!$B$244,'19_Расчет_аналитики'!AA3399,0)),0)</f>
        <v/>
      </c>
      <c r="AB3424">
        <f>IF('01_Вводные'!$B$234="Да",IF(OR(27&lt;='01_Вводные'!$B$15,27-'01_Вводные'!$B$15&gt;60),0,IF(INDEX('04_Продажи'!$B$11:$BI$11,1,27-'01_Вводные'!$B$15)&lt;='01_Вводные'!$B$244,'19_Расчет_аналитики'!AB3399,0)),0)</f>
        <v/>
      </c>
      <c r="AC3424">
        <f>IF('01_Вводные'!$B$234="Да",IF(OR(28&lt;='01_Вводные'!$B$15,28-'01_Вводные'!$B$15&gt;60),0,IF(INDEX('04_Продажи'!$B$11:$BI$11,1,28-'01_Вводные'!$B$15)&lt;='01_Вводные'!$B$244,'19_Расчет_аналитики'!AC3399,0)),0)</f>
        <v/>
      </c>
      <c r="AD3424">
        <f>IF('01_Вводные'!$B$234="Да",IF(OR(29&lt;='01_Вводные'!$B$15,29-'01_Вводные'!$B$15&gt;60),0,IF(INDEX('04_Продажи'!$B$11:$BI$11,1,29-'01_Вводные'!$B$15)&lt;='01_Вводные'!$B$244,'19_Расчет_аналитики'!AD3399,0)),0)</f>
        <v/>
      </c>
      <c r="AE3424">
        <f>IF('01_Вводные'!$B$234="Да",IF(OR(30&lt;='01_Вводные'!$B$15,30-'01_Вводные'!$B$15&gt;60),0,IF(INDEX('04_Продажи'!$B$11:$BI$11,1,30-'01_Вводные'!$B$15)&lt;='01_Вводные'!$B$244,'19_Расчет_аналитики'!AE3399,0)),0)</f>
        <v/>
      </c>
      <c r="AF3424">
        <f>IF('01_Вводные'!$B$234="Да",IF(OR(31&lt;='01_Вводные'!$B$15,31-'01_Вводные'!$B$15&gt;60),0,IF(INDEX('04_Продажи'!$B$11:$BI$11,1,31-'01_Вводные'!$B$15)&lt;='01_Вводные'!$B$244,'19_Расчет_аналитики'!AF3399,0)),0)</f>
        <v/>
      </c>
      <c r="AG3424">
        <f>IF('01_Вводные'!$B$234="Да",IF(OR(32&lt;='01_Вводные'!$B$15,32-'01_Вводные'!$B$15&gt;60),0,IF(INDEX('04_Продажи'!$B$11:$BI$11,1,32-'01_Вводные'!$B$15)&lt;='01_Вводные'!$B$244,'19_Расчет_аналитики'!AG3399,0)),0)</f>
        <v/>
      </c>
      <c r="AH3424">
        <f>IF('01_Вводные'!$B$234="Да",IF(OR(33&lt;='01_Вводные'!$B$15,33-'01_Вводные'!$B$15&gt;60),0,IF(INDEX('04_Продажи'!$B$11:$BI$11,1,33-'01_Вводные'!$B$15)&lt;='01_Вводные'!$B$244,'19_Расчет_аналитики'!AH3399,0)),0)</f>
        <v/>
      </c>
      <c r="AI3424">
        <f>IF('01_Вводные'!$B$234="Да",IF(OR(34&lt;='01_Вводные'!$B$15,34-'01_Вводные'!$B$15&gt;60),0,IF(INDEX('04_Продажи'!$B$11:$BI$11,1,34-'01_Вводные'!$B$15)&lt;='01_Вводные'!$B$244,'19_Расчет_аналитики'!AI3399,0)),0)</f>
        <v/>
      </c>
      <c r="AJ3424">
        <f>IF('01_Вводные'!$B$234="Да",IF(OR(35&lt;='01_Вводные'!$B$15,35-'01_Вводные'!$B$15&gt;60),0,IF(INDEX('04_Продажи'!$B$11:$BI$11,1,35-'01_Вводные'!$B$15)&lt;='01_Вводные'!$B$244,'19_Расчет_аналитики'!AJ3399,0)),0)</f>
        <v/>
      </c>
      <c r="AK3424">
        <f>IF('01_Вводные'!$B$234="Да",IF(OR(36&lt;='01_Вводные'!$B$15,36-'01_Вводные'!$B$15&gt;60),0,IF(INDEX('04_Продажи'!$B$11:$BI$11,1,36-'01_Вводные'!$B$15)&lt;='01_Вводные'!$B$244,'19_Расчет_аналитики'!AK3399,0)),0)</f>
        <v/>
      </c>
      <c r="AL3424">
        <f>IF('01_Вводные'!$B$234="Да",IF(OR(37&lt;='01_Вводные'!$B$15,37-'01_Вводные'!$B$15&gt;60),0,IF(INDEX('04_Продажи'!$B$11:$BI$11,1,37-'01_Вводные'!$B$15)&lt;='01_Вводные'!$B$244,'19_Расчет_аналитики'!AL3399,0)),0)</f>
        <v/>
      </c>
      <c r="AM3424">
        <f>IF('01_Вводные'!$B$234="Да",IF(OR(38&lt;='01_Вводные'!$B$15,38-'01_Вводные'!$B$15&gt;60),0,IF(INDEX('04_Продажи'!$B$11:$BI$11,1,38-'01_Вводные'!$B$15)&lt;='01_Вводные'!$B$244,'19_Расчет_аналитики'!AM3399,0)),0)</f>
        <v/>
      </c>
      <c r="AN3424">
        <f>IF('01_Вводные'!$B$234="Да",IF(OR(39&lt;='01_Вводные'!$B$15,39-'01_Вводные'!$B$15&gt;60),0,IF(INDEX('04_Продажи'!$B$11:$BI$11,1,39-'01_Вводные'!$B$15)&lt;='01_Вводные'!$B$244,'19_Расчет_аналитики'!AN3399,0)),0)</f>
        <v/>
      </c>
      <c r="AO3424">
        <f>IF('01_Вводные'!$B$234="Да",IF(OR(40&lt;='01_Вводные'!$B$15,40-'01_Вводные'!$B$15&gt;60),0,IF(INDEX('04_Продажи'!$B$11:$BI$11,1,40-'01_Вводные'!$B$15)&lt;='01_Вводные'!$B$244,'19_Расчет_аналитики'!AO3399,0)),0)</f>
        <v/>
      </c>
      <c r="AP3424">
        <f>IF('01_Вводные'!$B$234="Да",IF(OR(41&lt;='01_Вводные'!$B$15,41-'01_Вводные'!$B$15&gt;60),0,IF(INDEX('04_Продажи'!$B$11:$BI$11,1,41-'01_Вводные'!$B$15)&lt;='01_Вводные'!$B$244,'19_Расчет_аналитики'!AP3399,0)),0)</f>
        <v/>
      </c>
      <c r="AQ3424">
        <f>IF('01_Вводные'!$B$234="Да",IF(OR(42&lt;='01_Вводные'!$B$15,42-'01_Вводные'!$B$15&gt;60),0,IF(INDEX('04_Продажи'!$B$11:$BI$11,1,42-'01_Вводные'!$B$15)&lt;='01_Вводные'!$B$244,'19_Расчет_аналитики'!AQ3399,0)),0)</f>
        <v/>
      </c>
      <c r="AR3424">
        <f>IF('01_Вводные'!$B$234="Да",IF(OR(43&lt;='01_Вводные'!$B$15,43-'01_Вводные'!$B$15&gt;60),0,IF(INDEX('04_Продажи'!$B$11:$BI$11,1,43-'01_Вводные'!$B$15)&lt;='01_Вводные'!$B$244,'19_Расчет_аналитики'!AR3399,0)),0)</f>
        <v/>
      </c>
      <c r="AS3424">
        <f>IF('01_Вводные'!$B$234="Да",IF(OR(44&lt;='01_Вводные'!$B$15,44-'01_Вводные'!$B$15&gt;60),0,IF(INDEX('04_Продажи'!$B$11:$BI$11,1,44-'01_Вводные'!$B$15)&lt;='01_Вводные'!$B$244,'19_Расчет_аналитики'!AS3399,0)),0)</f>
        <v/>
      </c>
      <c r="AT3424">
        <f>IF('01_Вводные'!$B$234="Да",IF(OR(45&lt;='01_Вводные'!$B$15,45-'01_Вводные'!$B$15&gt;60),0,IF(INDEX('04_Продажи'!$B$11:$BI$11,1,45-'01_Вводные'!$B$15)&lt;='01_Вводные'!$B$244,'19_Расчет_аналитики'!AT3399,0)),0)</f>
        <v/>
      </c>
      <c r="AU3424">
        <f>IF('01_Вводные'!$B$234="Да",IF(OR(46&lt;='01_Вводные'!$B$15,46-'01_Вводные'!$B$15&gt;60),0,IF(INDEX('04_Продажи'!$B$11:$BI$11,1,46-'01_Вводные'!$B$15)&lt;='01_Вводные'!$B$244,'19_Расчет_аналитики'!AU3399,0)),0)</f>
        <v/>
      </c>
      <c r="AV3424">
        <f>IF('01_Вводные'!$B$234="Да",IF(OR(47&lt;='01_Вводные'!$B$15,47-'01_Вводные'!$B$15&gt;60),0,IF(INDEX('04_Продажи'!$B$11:$BI$11,1,47-'01_Вводные'!$B$15)&lt;='01_Вводные'!$B$244,'19_Расчет_аналитики'!AV3399,0)),0)</f>
        <v/>
      </c>
      <c r="AW3424">
        <f>IF('01_Вводные'!$B$234="Да",IF(OR(48&lt;='01_Вводные'!$B$15,48-'01_Вводные'!$B$15&gt;60),0,IF(INDEX('04_Продажи'!$B$11:$BI$11,1,48-'01_Вводные'!$B$15)&lt;='01_Вводные'!$B$244,'19_Расчет_аналитики'!AW3399,0)),0)</f>
        <v/>
      </c>
      <c r="AX3424">
        <f>IF('01_Вводные'!$B$234="Да",IF(OR(49&lt;='01_Вводные'!$B$15,49-'01_Вводные'!$B$15&gt;60),0,IF(INDEX('04_Продажи'!$B$11:$BI$11,1,49-'01_Вводные'!$B$15)&lt;='01_Вводные'!$B$244,'19_Расчет_аналитики'!AX3399,0)),0)</f>
        <v/>
      </c>
      <c r="AY3424">
        <f>IF('01_Вводные'!$B$234="Да",IF(OR(50&lt;='01_Вводные'!$B$15,50-'01_Вводные'!$B$15&gt;60),0,IF(INDEX('04_Продажи'!$B$11:$BI$11,1,50-'01_Вводные'!$B$15)&lt;='01_Вводные'!$B$244,'19_Расчет_аналитики'!AY3399,0)),0)</f>
        <v/>
      </c>
      <c r="AZ3424">
        <f>IF('01_Вводные'!$B$234="Да",IF(OR(51&lt;='01_Вводные'!$B$15,51-'01_Вводные'!$B$15&gt;60),0,IF(INDEX('04_Продажи'!$B$11:$BI$11,1,51-'01_Вводные'!$B$15)&lt;='01_Вводные'!$B$244,'19_Расчет_аналитики'!AZ3399,0)),0)</f>
        <v/>
      </c>
      <c r="BA3424">
        <f>IF('01_Вводные'!$B$234="Да",IF(OR(52&lt;='01_Вводные'!$B$15,52-'01_Вводные'!$B$15&gt;60),0,IF(INDEX('04_Продажи'!$B$11:$BI$11,1,52-'01_Вводные'!$B$15)&lt;='01_Вводные'!$B$244,'19_Расчет_аналитики'!BA3399,0)),0)</f>
        <v/>
      </c>
      <c r="BB3424">
        <f>IF('01_Вводные'!$B$234="Да",IF(OR(53&lt;='01_Вводные'!$B$15,53-'01_Вводные'!$B$15&gt;60),0,IF(INDEX('04_Продажи'!$B$11:$BI$11,1,53-'01_Вводные'!$B$15)&lt;='01_Вводные'!$B$244,'19_Расчет_аналитики'!BB3399,0)),0)</f>
        <v/>
      </c>
      <c r="BC3424">
        <f>IF('01_Вводные'!$B$234="Да",IF(OR(54&lt;='01_Вводные'!$B$15,54-'01_Вводные'!$B$15&gt;60),0,IF(INDEX('04_Продажи'!$B$11:$BI$11,1,54-'01_Вводные'!$B$15)&lt;='01_Вводные'!$B$244,'19_Расчет_аналитики'!BC3399,0)),0)</f>
        <v/>
      </c>
      <c r="BD3424">
        <f>IF('01_Вводные'!$B$234="Да",IF(OR(55&lt;='01_Вводные'!$B$15,55-'01_Вводные'!$B$15&gt;60),0,IF(INDEX('04_Продажи'!$B$11:$BI$11,1,55-'01_Вводные'!$B$15)&lt;='01_Вводные'!$B$244,'19_Расчет_аналитики'!BD3399,0)),0)</f>
        <v/>
      </c>
      <c r="BE3424">
        <f>IF('01_Вводные'!$B$234="Да",IF(OR(56&lt;='01_Вводные'!$B$15,56-'01_Вводные'!$B$15&gt;60),0,IF(INDEX('04_Продажи'!$B$11:$BI$11,1,56-'01_Вводные'!$B$15)&lt;='01_Вводные'!$B$244,'19_Расчет_аналитики'!BE3399,0)),0)</f>
        <v/>
      </c>
      <c r="BF3424">
        <f>IF('01_Вводные'!$B$234="Да",IF(OR(57&lt;='01_Вводные'!$B$15,57-'01_Вводные'!$B$15&gt;60),0,IF(INDEX('04_Продажи'!$B$11:$BI$11,1,57-'01_Вводные'!$B$15)&lt;='01_Вводные'!$B$244,'19_Расчет_аналитики'!BF3399,0)),0)</f>
        <v/>
      </c>
      <c r="BG3424">
        <f>IF('01_Вводные'!$B$234="Да",IF(OR(58&lt;='01_Вводные'!$B$15,58-'01_Вводные'!$B$15&gt;60),0,IF(INDEX('04_Продажи'!$B$11:$BI$11,1,58-'01_Вводные'!$B$15)&lt;='01_Вводные'!$B$244,'19_Расчет_аналитики'!BG3399,0)),0)</f>
        <v/>
      </c>
      <c r="BH3424">
        <f>IF('01_Вводные'!$B$234="Да",IF(OR(59&lt;='01_Вводные'!$B$15,59-'01_Вводные'!$B$15&gt;60),0,IF(INDEX('04_Продажи'!$B$11:$BI$11,1,59-'01_Вводные'!$B$15)&lt;='01_Вводные'!$B$244,'19_Расчет_аналитики'!BH3399,0)),0)</f>
        <v/>
      </c>
      <c r="BI3424">
        <f>IF('01_Вводные'!$B$234="Да",IF(OR(60&lt;='01_Вводные'!$B$15,60-'01_Вводные'!$B$15&gt;60),0,IF(INDEX('04_Продажи'!$B$11:$BI$11,1,60-'01_Вводные'!$B$15)&lt;='01_Вводные'!$B$244,'19_Расчет_аналитики'!BI3399,0)),0)</f>
        <v/>
      </c>
      <c r="BJ3424">
        <f>IF('01_Вводные'!$B$234="Да",IF(OR(61&lt;='01_Вводные'!$B$15,61-'01_Вводные'!$B$15&gt;60),0,IF(INDEX('04_Продажи'!$B$11:$BI$11,1,61-'01_Вводные'!$B$15)&lt;='01_Вводные'!$B$244,'19_Расчет_аналитики'!BJ3399,0)),0)</f>
        <v/>
      </c>
      <c r="BK3424">
        <f>IF('01_Вводные'!$B$234="Да",IF(OR(62&lt;='01_Вводные'!$B$15,62-'01_Вводные'!$B$15&gt;60),0,IF(INDEX('04_Продажи'!$B$11:$BI$11,1,62-'01_Вводные'!$B$15)&lt;='01_Вводные'!$B$244,'19_Расчет_аналитики'!BK3399,0)),0)</f>
        <v/>
      </c>
      <c r="BL3424">
        <f>IF('01_Вводные'!$B$234="Да",IF(OR(63&lt;='01_Вводные'!$B$15,63-'01_Вводные'!$B$15&gt;60),0,IF(INDEX('04_Продажи'!$B$11:$BI$11,1,63-'01_Вводные'!$B$15)&lt;='01_Вводные'!$B$244,'19_Расчет_аналитики'!BL3399,0)),0)</f>
        <v/>
      </c>
      <c r="BM3424">
        <f>IF('01_Вводные'!$B$234="Да",IF(OR(64&lt;='01_Вводные'!$B$15,64-'01_Вводные'!$B$15&gt;60),0,IF(INDEX('04_Продажи'!$B$11:$BI$11,1,64-'01_Вводные'!$B$15)&lt;='01_Вводные'!$B$244,'19_Расчет_аналитики'!BM3399,0)),0)</f>
        <v/>
      </c>
      <c r="BN3424">
        <f>IF('01_Вводные'!$B$234="Да",IF(OR(65&lt;='01_Вводные'!$B$15,65-'01_Вводные'!$B$15&gt;60),0,IF(INDEX('04_Продажи'!$B$11:$BI$11,1,65-'01_Вводные'!$B$15)&lt;='01_Вводные'!$B$244,'19_Расчет_аналитики'!BN3399,0)),0)</f>
        <v/>
      </c>
      <c r="BO3424">
        <f>IF('01_Вводные'!$B$234="Да",IF(OR(66&lt;='01_Вводные'!$B$15,66-'01_Вводные'!$B$15&gt;60),0,IF(INDEX('04_Продажи'!$B$11:$BI$11,1,66-'01_Вводные'!$B$15)&lt;='01_Вводные'!$B$244,'19_Расчет_аналитики'!BO3399,0)),0)</f>
        <v/>
      </c>
    </row>
    <row r="3425">
      <c r="B3425">
        <f>IF('01_Вводные'!$B$234="Да",SUM('19_Расчет_аналитики'!B3472:B3483),0)</f>
        <v/>
      </c>
      <c r="C3425">
        <f>IF('01_Вводные'!$B$234="Да",SUM('19_Расчет_аналитики'!C3472:C3483),0)</f>
        <v/>
      </c>
      <c r="D3425">
        <f>IF('01_Вводные'!$B$234="Да",SUM('19_Расчет_аналитики'!D3472:D3483),0)</f>
        <v/>
      </c>
      <c r="E3425">
        <f>IF('01_Вводные'!$B$234="Да",SUM('19_Расчет_аналитики'!E3472:E3483),0)</f>
        <v/>
      </c>
      <c r="F3425">
        <f>IF('01_Вводные'!$B$234="Да",SUM('19_Расчет_аналитики'!F3472:F3483),0)</f>
        <v/>
      </c>
      <c r="G3425">
        <f>IF('01_Вводные'!$B$234="Да",SUM('19_Расчет_аналитики'!G3472:G3483),0)</f>
        <v/>
      </c>
      <c r="H3425">
        <f>IF('01_Вводные'!$B$234="Да",SUM('19_Расчет_аналитики'!H3472:H3483),0)</f>
        <v/>
      </c>
      <c r="I3425">
        <f>IF('01_Вводные'!$B$234="Да",SUM('19_Расчет_аналитики'!I3472:I3483),0)</f>
        <v/>
      </c>
      <c r="J3425">
        <f>IF('01_Вводные'!$B$234="Да",SUM('19_Расчет_аналитики'!J3472:J3483),0)</f>
        <v/>
      </c>
      <c r="K3425">
        <f>IF('01_Вводные'!$B$234="Да",SUM('19_Расчет_аналитики'!K3472:K3483),0)</f>
        <v/>
      </c>
      <c r="L3425">
        <f>IF('01_Вводные'!$B$234="Да",SUM('19_Расчет_аналитики'!L3472:L3483),0)</f>
        <v/>
      </c>
      <c r="M3425">
        <f>IF('01_Вводные'!$B$234="Да",SUM('19_Расчет_аналитики'!M3472:M3483),0)</f>
        <v/>
      </c>
      <c r="N3425">
        <f>IF('01_Вводные'!$B$234="Да",SUM('19_Расчет_аналитики'!N3472:N3483),0)</f>
        <v/>
      </c>
      <c r="O3425">
        <f>IF('01_Вводные'!$B$234="Да",SUM('19_Расчет_аналитики'!O3472:O3483),0)</f>
        <v/>
      </c>
      <c r="P3425">
        <f>IF('01_Вводные'!$B$234="Да",SUM('19_Расчет_аналитики'!P3472:P3483),0)</f>
        <v/>
      </c>
      <c r="Q3425">
        <f>IF('01_Вводные'!$B$234="Да",SUM('19_Расчет_аналитики'!Q3472:Q3483),0)</f>
        <v/>
      </c>
      <c r="R3425">
        <f>IF('01_Вводные'!$B$234="Да",SUM('19_Расчет_аналитики'!R3472:R3483),0)</f>
        <v/>
      </c>
      <c r="S3425">
        <f>IF('01_Вводные'!$B$234="Да",SUM('19_Расчет_аналитики'!S3472:S3483),0)</f>
        <v/>
      </c>
      <c r="T3425">
        <f>IF('01_Вводные'!$B$234="Да",SUM('19_Расчет_аналитики'!T3472:T3483),0)</f>
        <v/>
      </c>
      <c r="U3425">
        <f>IF('01_Вводные'!$B$234="Да",SUM('19_Расчет_аналитики'!U3472:U3483),0)</f>
        <v/>
      </c>
      <c r="V3425">
        <f>IF('01_Вводные'!$B$234="Да",SUM('19_Расчет_аналитики'!V3472:V3483),0)</f>
        <v/>
      </c>
      <c r="W3425">
        <f>IF('01_Вводные'!$B$234="Да",SUM('19_Расчет_аналитики'!W3472:W3483),0)</f>
        <v/>
      </c>
      <c r="X3425">
        <f>IF('01_Вводные'!$B$234="Да",SUM('19_Расчет_аналитики'!X3472:X3483),0)</f>
        <v/>
      </c>
      <c r="Y3425">
        <f>IF('01_Вводные'!$B$234="Да",SUM('19_Расчет_аналитики'!Y3472:Y3483),0)</f>
        <v/>
      </c>
      <c r="Z3425">
        <f>IF('01_Вводные'!$B$234="Да",SUM('19_Расчет_аналитики'!Z3472:Z3483),0)</f>
        <v/>
      </c>
      <c r="AA3425">
        <f>IF('01_Вводные'!$B$234="Да",SUM('19_Расчет_аналитики'!AA3472:AA3483),0)</f>
        <v/>
      </c>
      <c r="AB3425">
        <f>IF('01_Вводные'!$B$234="Да",SUM('19_Расчет_аналитики'!AB3472:AB3483),0)</f>
        <v/>
      </c>
      <c r="AC3425">
        <f>IF('01_Вводные'!$B$234="Да",SUM('19_Расчет_аналитики'!AC3472:AC3483),0)</f>
        <v/>
      </c>
      <c r="AD3425">
        <f>IF('01_Вводные'!$B$234="Да",SUM('19_Расчет_аналитики'!AD3472:AD3483),0)</f>
        <v/>
      </c>
      <c r="AE3425">
        <f>IF('01_Вводные'!$B$234="Да",SUM('19_Расчет_аналитики'!AE3472:AE3483),0)</f>
        <v/>
      </c>
      <c r="AF3425">
        <f>IF('01_Вводные'!$B$234="Да",SUM('19_Расчет_аналитики'!AF3472:AF3483),0)</f>
        <v/>
      </c>
      <c r="AG3425">
        <f>IF('01_Вводные'!$B$234="Да",SUM('19_Расчет_аналитики'!AG3472:AG3483),0)</f>
        <v/>
      </c>
      <c r="AH3425">
        <f>IF('01_Вводные'!$B$234="Да",SUM('19_Расчет_аналитики'!AH3472:AH3483),0)</f>
        <v/>
      </c>
      <c r="AI3425">
        <f>IF('01_Вводные'!$B$234="Да",SUM('19_Расчет_аналитики'!AI3472:AI3483),0)</f>
        <v/>
      </c>
      <c r="AJ3425">
        <f>IF('01_Вводные'!$B$234="Да",SUM('19_Расчет_аналитики'!AJ3472:AJ3483),0)</f>
        <v/>
      </c>
      <c r="AK3425">
        <f>IF('01_Вводные'!$B$234="Да",SUM('19_Расчет_аналитики'!AK3472:AK3483),0)</f>
        <v/>
      </c>
      <c r="AL3425">
        <f>IF('01_Вводные'!$B$234="Да",SUM('19_Расчет_аналитики'!AL3472:AL3483),0)</f>
        <v/>
      </c>
      <c r="AM3425">
        <f>IF('01_Вводные'!$B$234="Да",SUM('19_Расчет_аналитики'!AM3472:AM3483),0)</f>
        <v/>
      </c>
      <c r="AN3425">
        <f>IF('01_Вводные'!$B$234="Да",SUM('19_Расчет_аналитики'!AN3472:AN3483),0)</f>
        <v/>
      </c>
      <c r="AO3425">
        <f>IF('01_Вводные'!$B$234="Да",SUM('19_Расчет_аналитики'!AO3472:AO3483),0)</f>
        <v/>
      </c>
      <c r="AP3425">
        <f>IF('01_Вводные'!$B$234="Да",SUM('19_Расчет_аналитики'!AP3472:AP3483),0)</f>
        <v/>
      </c>
      <c r="AQ3425">
        <f>IF('01_Вводные'!$B$234="Да",SUM('19_Расчет_аналитики'!AQ3472:AQ3483),0)</f>
        <v/>
      </c>
      <c r="AR3425">
        <f>IF('01_Вводные'!$B$234="Да",SUM('19_Расчет_аналитики'!AR3472:AR3483),0)</f>
        <v/>
      </c>
      <c r="AS3425">
        <f>IF('01_Вводные'!$B$234="Да",SUM('19_Расчет_аналитики'!AS3472:AS3483),0)</f>
        <v/>
      </c>
      <c r="AT3425">
        <f>IF('01_Вводные'!$B$234="Да",SUM('19_Расчет_аналитики'!AT3472:AT3483),0)</f>
        <v/>
      </c>
      <c r="AU3425">
        <f>IF('01_Вводные'!$B$234="Да",SUM('19_Расчет_аналитики'!AU3472:AU3483),0)</f>
        <v/>
      </c>
      <c r="AV3425">
        <f>IF('01_Вводные'!$B$234="Да",SUM('19_Расчет_аналитики'!AV3472:AV3483),0)</f>
        <v/>
      </c>
      <c r="AW3425">
        <f>IF('01_Вводные'!$B$234="Да",SUM('19_Расчет_аналитики'!AW3472:AW3483),0)</f>
        <v/>
      </c>
      <c r="AX3425">
        <f>IF('01_Вводные'!$B$234="Да",SUM('19_Расчет_аналитики'!AX3472:AX3483),0)</f>
        <v/>
      </c>
      <c r="AY3425">
        <f>IF('01_Вводные'!$B$234="Да",SUM('19_Расчет_аналитики'!AY3472:AY3483),0)</f>
        <v/>
      </c>
      <c r="AZ3425">
        <f>IF('01_Вводные'!$B$234="Да",SUM('19_Расчет_аналитики'!AZ3472:AZ3483),0)</f>
        <v/>
      </c>
      <c r="BA3425">
        <f>IF('01_Вводные'!$B$234="Да",SUM('19_Расчет_аналитики'!BA3472:BA3483),0)</f>
        <v/>
      </c>
      <c r="BB3425">
        <f>IF('01_Вводные'!$B$234="Да",SUM('19_Расчет_аналитики'!BB3472:BB3483),0)</f>
        <v/>
      </c>
      <c r="BC3425">
        <f>IF('01_Вводные'!$B$234="Да",SUM('19_Расчет_аналитики'!BC3472:BC3483),0)</f>
        <v/>
      </c>
      <c r="BD3425">
        <f>IF('01_Вводные'!$B$234="Да",SUM('19_Расчет_аналитики'!BD3472:BD3483),0)</f>
        <v/>
      </c>
      <c r="BE3425">
        <f>IF('01_Вводные'!$B$234="Да",SUM('19_Расчет_аналитики'!BE3472:BE3483),0)</f>
        <v/>
      </c>
      <c r="BF3425">
        <f>IF('01_Вводные'!$B$234="Да",SUM('19_Расчет_аналитики'!BF3472:BF3483),0)</f>
        <v/>
      </c>
      <c r="BG3425">
        <f>IF('01_Вводные'!$B$234="Да",SUM('19_Расчет_аналитики'!BG3472:BG3483),0)</f>
        <v/>
      </c>
      <c r="BH3425">
        <f>IF('01_Вводные'!$B$234="Да",SUM('19_Расчет_аналитики'!BH3472:BH3483),0)</f>
        <v/>
      </c>
      <c r="BI3425">
        <f>IF('01_Вводные'!$B$234="Да",SUM('19_Расчет_аналитики'!BI3472:BI3483),0)</f>
        <v/>
      </c>
      <c r="BJ3425">
        <f>IF('01_Вводные'!$B$234="Да",SUM('19_Расчет_аналитики'!BJ3472:BJ3483),0)</f>
        <v/>
      </c>
      <c r="BK3425">
        <f>IF('01_Вводные'!$B$234="Да",SUM('19_Расчет_аналитики'!BK3472:BK3483),0)</f>
        <v/>
      </c>
      <c r="BL3425">
        <f>IF('01_Вводные'!$B$234="Да",SUM('19_Расчет_аналитики'!BL3472:BL3483),0)</f>
        <v/>
      </c>
      <c r="BM3425">
        <f>IF('01_Вводные'!$B$234="Да",SUM('19_Расчет_аналитики'!BM3472:BM3483),0)</f>
        <v/>
      </c>
      <c r="BN3425">
        <f>IF('01_Вводные'!$B$234="Да",SUM('19_Расчет_аналитики'!BN3472:BN3483),0)</f>
        <v/>
      </c>
      <c r="BO3425">
        <f>IF('01_Вводные'!$B$234="Да",SUM('19_Расчет_аналитики'!BO3472:BO3483),0)</f>
        <v/>
      </c>
    </row>
    <row r="3426"/>
    <row r="3427">
      <c r="B3427">
        <f>IF('01_Вводные'!$B$234="Да",MAX(0,'19_Расчет_аналитики'!B3404-'19_Расчет_аналитики'!B3425),0)</f>
        <v/>
      </c>
      <c r="C3427">
        <f>IF('01_Вводные'!$B$234="Да",MAX(0,'19_Расчет_аналитики'!C3404-'19_Расчет_аналитики'!C3425),0)</f>
        <v/>
      </c>
      <c r="D3427">
        <f>IF('01_Вводные'!$B$234="Да",MAX(0,'19_Расчет_аналитики'!D3404-'19_Расчет_аналитики'!D3425),0)</f>
        <v/>
      </c>
      <c r="E3427">
        <f>IF('01_Вводные'!$B$234="Да",MAX(0,'19_Расчет_аналитики'!E3404-'19_Расчет_аналитики'!E3425),0)</f>
        <v/>
      </c>
      <c r="F3427">
        <f>IF('01_Вводные'!$B$234="Да",MAX(0,'19_Расчет_аналитики'!F3404-'19_Расчет_аналитики'!F3425),0)</f>
        <v/>
      </c>
      <c r="G3427">
        <f>IF('01_Вводные'!$B$234="Да",MAX(0,'19_Расчет_аналитики'!G3404-'19_Расчет_аналитики'!G3425),0)</f>
        <v/>
      </c>
      <c r="H3427">
        <f>IF('01_Вводные'!$B$234="Да",MAX(0,'19_Расчет_аналитики'!H3404-'19_Расчет_аналитики'!H3425),0)</f>
        <v/>
      </c>
      <c r="I3427">
        <f>IF('01_Вводные'!$B$234="Да",MAX(0,'19_Расчет_аналитики'!I3404-'19_Расчет_аналитики'!I3425),0)</f>
        <v/>
      </c>
      <c r="J3427">
        <f>IF('01_Вводные'!$B$234="Да",MAX(0,'19_Расчет_аналитики'!J3404-'19_Расчет_аналитики'!J3425),0)</f>
        <v/>
      </c>
      <c r="K3427">
        <f>IF('01_Вводные'!$B$234="Да",MAX(0,'19_Расчет_аналитики'!K3404-'19_Расчет_аналитики'!K3425),0)</f>
        <v/>
      </c>
      <c r="L3427">
        <f>IF('01_Вводные'!$B$234="Да",MAX(0,'19_Расчет_аналитики'!L3404-'19_Расчет_аналитики'!L3425),0)</f>
        <v/>
      </c>
      <c r="M3427">
        <f>IF('01_Вводные'!$B$234="Да",MAX(0,'19_Расчет_аналитики'!M3404-'19_Расчет_аналитики'!M3425),0)</f>
        <v/>
      </c>
      <c r="N3427">
        <f>IF('01_Вводные'!$B$234="Да",MAX(0,'19_Расчет_аналитики'!N3404-'19_Расчет_аналитики'!N3425),0)</f>
        <v/>
      </c>
      <c r="O3427">
        <f>IF('01_Вводные'!$B$234="Да",MAX(0,'19_Расчет_аналитики'!O3404-'19_Расчет_аналитики'!O3425),0)</f>
        <v/>
      </c>
      <c r="P3427">
        <f>IF('01_Вводные'!$B$234="Да",MAX(0,'19_Расчет_аналитики'!P3404-'19_Расчет_аналитики'!P3425),0)</f>
        <v/>
      </c>
      <c r="Q3427">
        <f>IF('01_Вводные'!$B$234="Да",MAX(0,'19_Расчет_аналитики'!Q3404-'19_Расчет_аналитики'!Q3425),0)</f>
        <v/>
      </c>
      <c r="R3427">
        <f>IF('01_Вводные'!$B$234="Да",MAX(0,'19_Расчет_аналитики'!R3404-'19_Расчет_аналитики'!R3425),0)</f>
        <v/>
      </c>
      <c r="S3427">
        <f>IF('01_Вводные'!$B$234="Да",MAX(0,'19_Расчет_аналитики'!S3404-'19_Расчет_аналитики'!S3425),0)</f>
        <v/>
      </c>
      <c r="T3427">
        <f>IF('01_Вводные'!$B$234="Да",MAX(0,'19_Расчет_аналитики'!T3404-'19_Расчет_аналитики'!T3425),0)</f>
        <v/>
      </c>
      <c r="U3427">
        <f>IF('01_Вводные'!$B$234="Да",MAX(0,'19_Расчет_аналитики'!U3404-'19_Расчет_аналитики'!U3425),0)</f>
        <v/>
      </c>
      <c r="V3427">
        <f>IF('01_Вводные'!$B$234="Да",MAX(0,'19_Расчет_аналитики'!V3404-'19_Расчет_аналитики'!V3425),0)</f>
        <v/>
      </c>
      <c r="W3427">
        <f>IF('01_Вводные'!$B$234="Да",MAX(0,'19_Расчет_аналитики'!W3404-'19_Расчет_аналитики'!W3425),0)</f>
        <v/>
      </c>
      <c r="X3427">
        <f>IF('01_Вводные'!$B$234="Да",MAX(0,'19_Расчет_аналитики'!X3404-'19_Расчет_аналитики'!X3425),0)</f>
        <v/>
      </c>
      <c r="Y3427">
        <f>IF('01_Вводные'!$B$234="Да",MAX(0,'19_Расчет_аналитики'!Y3404-'19_Расчет_аналитики'!Y3425),0)</f>
        <v/>
      </c>
      <c r="Z3427">
        <f>IF('01_Вводные'!$B$234="Да",MAX(0,'19_Расчет_аналитики'!Z3404-'19_Расчет_аналитики'!Z3425),0)</f>
        <v/>
      </c>
      <c r="AA3427">
        <f>IF('01_Вводные'!$B$234="Да",MAX(0,'19_Расчет_аналитики'!AA3404-'19_Расчет_аналитики'!AA3425),0)</f>
        <v/>
      </c>
      <c r="AB3427">
        <f>IF('01_Вводные'!$B$234="Да",MAX(0,'19_Расчет_аналитики'!AB3404-'19_Расчет_аналитики'!AB3425),0)</f>
        <v/>
      </c>
      <c r="AC3427">
        <f>IF('01_Вводные'!$B$234="Да",MAX(0,'19_Расчет_аналитики'!AC3404-'19_Расчет_аналитики'!AC3425),0)</f>
        <v/>
      </c>
      <c r="AD3427">
        <f>IF('01_Вводные'!$B$234="Да",MAX(0,'19_Расчет_аналитики'!AD3404-'19_Расчет_аналитики'!AD3425),0)</f>
        <v/>
      </c>
      <c r="AE3427">
        <f>IF('01_Вводные'!$B$234="Да",MAX(0,'19_Расчет_аналитики'!AE3404-'19_Расчет_аналитики'!AE3425),0)</f>
        <v/>
      </c>
      <c r="AF3427">
        <f>IF('01_Вводные'!$B$234="Да",MAX(0,'19_Расчет_аналитики'!AF3404-'19_Расчет_аналитики'!AF3425),0)</f>
        <v/>
      </c>
      <c r="AG3427">
        <f>IF('01_Вводные'!$B$234="Да",MAX(0,'19_Расчет_аналитики'!AG3404-'19_Расчет_аналитики'!AG3425),0)</f>
        <v/>
      </c>
      <c r="AH3427">
        <f>IF('01_Вводные'!$B$234="Да",MAX(0,'19_Расчет_аналитики'!AH3404-'19_Расчет_аналитики'!AH3425),0)</f>
        <v/>
      </c>
      <c r="AI3427">
        <f>IF('01_Вводные'!$B$234="Да",MAX(0,'19_Расчет_аналитики'!AI3404-'19_Расчет_аналитики'!AI3425),0)</f>
        <v/>
      </c>
      <c r="AJ3427">
        <f>IF('01_Вводные'!$B$234="Да",MAX(0,'19_Расчет_аналитики'!AJ3404-'19_Расчет_аналитики'!AJ3425),0)</f>
        <v/>
      </c>
      <c r="AK3427">
        <f>IF('01_Вводные'!$B$234="Да",MAX(0,'19_Расчет_аналитики'!AK3404-'19_Расчет_аналитики'!AK3425),0)</f>
        <v/>
      </c>
      <c r="AL3427">
        <f>IF('01_Вводные'!$B$234="Да",MAX(0,'19_Расчет_аналитики'!AL3404-'19_Расчет_аналитики'!AL3425),0)</f>
        <v/>
      </c>
      <c r="AM3427">
        <f>IF('01_Вводные'!$B$234="Да",MAX(0,'19_Расчет_аналитики'!AM3404-'19_Расчет_аналитики'!AM3425),0)</f>
        <v/>
      </c>
      <c r="AN3427">
        <f>IF('01_Вводные'!$B$234="Да",MAX(0,'19_Расчет_аналитики'!AN3404-'19_Расчет_аналитики'!AN3425),0)</f>
        <v/>
      </c>
      <c r="AO3427">
        <f>IF('01_Вводные'!$B$234="Да",MAX(0,'19_Расчет_аналитики'!AO3404-'19_Расчет_аналитики'!AO3425),0)</f>
        <v/>
      </c>
      <c r="AP3427">
        <f>IF('01_Вводные'!$B$234="Да",MAX(0,'19_Расчет_аналитики'!AP3404-'19_Расчет_аналитики'!AP3425),0)</f>
        <v/>
      </c>
      <c r="AQ3427">
        <f>IF('01_Вводные'!$B$234="Да",MAX(0,'19_Расчет_аналитики'!AQ3404-'19_Расчет_аналитики'!AQ3425),0)</f>
        <v/>
      </c>
      <c r="AR3427">
        <f>IF('01_Вводные'!$B$234="Да",MAX(0,'19_Расчет_аналитики'!AR3404-'19_Расчет_аналитики'!AR3425),0)</f>
        <v/>
      </c>
      <c r="AS3427">
        <f>IF('01_Вводные'!$B$234="Да",MAX(0,'19_Расчет_аналитики'!AS3404-'19_Расчет_аналитики'!AS3425),0)</f>
        <v/>
      </c>
      <c r="AT3427">
        <f>IF('01_Вводные'!$B$234="Да",MAX(0,'19_Расчет_аналитики'!AT3404-'19_Расчет_аналитики'!AT3425),0)</f>
        <v/>
      </c>
      <c r="AU3427">
        <f>IF('01_Вводные'!$B$234="Да",MAX(0,'19_Расчет_аналитики'!AU3404-'19_Расчет_аналитики'!AU3425),0)</f>
        <v/>
      </c>
      <c r="AV3427">
        <f>IF('01_Вводные'!$B$234="Да",MAX(0,'19_Расчет_аналитики'!AV3404-'19_Расчет_аналитики'!AV3425),0)</f>
        <v/>
      </c>
      <c r="AW3427">
        <f>IF('01_Вводные'!$B$234="Да",MAX(0,'19_Расчет_аналитики'!AW3404-'19_Расчет_аналитики'!AW3425),0)</f>
        <v/>
      </c>
      <c r="AX3427">
        <f>IF('01_Вводные'!$B$234="Да",MAX(0,'19_Расчет_аналитики'!AX3404-'19_Расчет_аналитики'!AX3425),0)</f>
        <v/>
      </c>
      <c r="AY3427">
        <f>IF('01_Вводные'!$B$234="Да",MAX(0,'19_Расчет_аналитики'!AY3404-'19_Расчет_аналитики'!AY3425),0)</f>
        <v/>
      </c>
      <c r="AZ3427">
        <f>IF('01_Вводные'!$B$234="Да",MAX(0,'19_Расчет_аналитики'!AZ3404-'19_Расчет_аналитики'!AZ3425),0)</f>
        <v/>
      </c>
      <c r="BA3427">
        <f>IF('01_Вводные'!$B$234="Да",MAX(0,'19_Расчет_аналитики'!BA3404-'19_Расчет_аналитики'!BA3425),0)</f>
        <v/>
      </c>
      <c r="BB3427">
        <f>IF('01_Вводные'!$B$234="Да",MAX(0,'19_Расчет_аналитики'!BB3404-'19_Расчет_аналитики'!BB3425),0)</f>
        <v/>
      </c>
      <c r="BC3427">
        <f>IF('01_Вводные'!$B$234="Да",MAX(0,'19_Расчет_аналитики'!BC3404-'19_Расчет_аналитики'!BC3425),0)</f>
        <v/>
      </c>
      <c r="BD3427">
        <f>IF('01_Вводные'!$B$234="Да",MAX(0,'19_Расчет_аналитики'!BD3404-'19_Расчет_аналитики'!BD3425),0)</f>
        <v/>
      </c>
      <c r="BE3427">
        <f>IF('01_Вводные'!$B$234="Да",MAX(0,'19_Расчет_аналитики'!BE3404-'19_Расчет_аналитики'!BE3425),0)</f>
        <v/>
      </c>
      <c r="BF3427">
        <f>IF('01_Вводные'!$B$234="Да",MAX(0,'19_Расчет_аналитики'!BF3404-'19_Расчет_аналитики'!BF3425),0)</f>
        <v/>
      </c>
      <c r="BG3427">
        <f>IF('01_Вводные'!$B$234="Да",MAX(0,'19_Расчет_аналитики'!BG3404-'19_Расчет_аналитики'!BG3425),0)</f>
        <v/>
      </c>
      <c r="BH3427">
        <f>IF('01_Вводные'!$B$234="Да",MAX(0,'19_Расчет_аналитики'!BH3404-'19_Расчет_аналитики'!BH3425),0)</f>
        <v/>
      </c>
      <c r="BI3427">
        <f>IF('01_Вводные'!$B$234="Да",MAX(0,'19_Расчет_аналитики'!BI3404-'19_Расчет_аналитики'!BI3425),0)</f>
        <v/>
      </c>
      <c r="BJ3427">
        <f>IF('01_Вводные'!$B$234="Да",MAX(0,'19_Расчет_аналитики'!BJ3404-'19_Расчет_аналитики'!BJ3425),0)</f>
        <v/>
      </c>
      <c r="BK3427">
        <f>IF('01_Вводные'!$B$234="Да",MAX(0,'19_Расчет_аналитики'!BK3404-'19_Расчет_аналитики'!BK3425),0)</f>
        <v/>
      </c>
      <c r="BL3427">
        <f>IF('01_Вводные'!$B$234="Да",MAX(0,'19_Расчет_аналитики'!BL3404-'19_Расчет_аналитики'!BL3425),0)</f>
        <v/>
      </c>
      <c r="BM3427">
        <f>IF('01_Вводные'!$B$234="Да",MAX(0,'19_Расчет_аналитики'!BM3404-'19_Расчет_аналитики'!BM3425),0)</f>
        <v/>
      </c>
      <c r="BN3427">
        <f>IF('01_Вводные'!$B$234="Да",MAX(0,'19_Расчет_аналитики'!BN3404-'19_Расчет_аналитики'!BN3425),0)</f>
        <v/>
      </c>
      <c r="BO3427">
        <f>IF('01_Вводные'!$B$234="Да",MAX(0,'19_Расчет_аналитики'!BO3404-'19_Расчет_аналитики'!BO3425),0)</f>
        <v/>
      </c>
    </row>
    <row r="3428"/>
    <row r="3429"/>
    <row r="3430"/>
    <row r="3431"/>
    <row r="3432"/>
    <row r="3433"/>
    <row r="3434">
      <c r="B3434">
        <f>IF('01_Вводные'!$B$234="Да",IF(1&lt;='01_Вводные'!$B$235,0,INDEX('19_Расчет_аналитики'!$B$3399:$BO$3399,1,1-'01_Вводные'!$B$235)*'01_Вводные'!$B$14^'01_Вводные'!$B$235),0)</f>
        <v/>
      </c>
      <c r="C3434">
        <f>IF('01_Вводные'!$B$234="Да",IF(2&lt;='01_Вводные'!$B$235,0,INDEX('19_Расчет_аналитики'!$B$3399:$BO$3399,1,2-'01_Вводные'!$B$235)*'01_Вводные'!$B$14^'01_Вводные'!$B$235),0)</f>
        <v/>
      </c>
      <c r="D3434">
        <f>IF('01_Вводные'!$B$234="Да",IF(3&lt;='01_Вводные'!$B$235,0,INDEX('19_Расчет_аналитики'!$B$3399:$BO$3399,1,3-'01_Вводные'!$B$235)*'01_Вводные'!$B$14^'01_Вводные'!$B$235),0)</f>
        <v/>
      </c>
      <c r="E3434">
        <f>IF('01_Вводные'!$B$234="Да",IF(4&lt;='01_Вводные'!$B$235,0,INDEX('19_Расчет_аналитики'!$B$3399:$BO$3399,1,4-'01_Вводные'!$B$235)*'01_Вводные'!$B$14^'01_Вводные'!$B$235),0)</f>
        <v/>
      </c>
      <c r="F3434">
        <f>IF('01_Вводные'!$B$234="Да",IF(5&lt;='01_Вводные'!$B$235,0,INDEX('19_Расчет_аналитики'!$B$3399:$BO$3399,1,5-'01_Вводные'!$B$235)*'01_Вводные'!$B$14^'01_Вводные'!$B$235),0)</f>
        <v/>
      </c>
      <c r="G3434">
        <f>IF('01_Вводные'!$B$234="Да",IF(6&lt;='01_Вводные'!$B$235,0,INDEX('19_Расчет_аналитики'!$B$3399:$BO$3399,1,6-'01_Вводные'!$B$235)*'01_Вводные'!$B$14^'01_Вводные'!$B$235),0)</f>
        <v/>
      </c>
      <c r="H3434">
        <f>IF('01_Вводные'!$B$234="Да",IF(7&lt;='01_Вводные'!$B$235,0,INDEX('19_Расчет_аналитики'!$B$3399:$BO$3399,1,7-'01_Вводные'!$B$235)*'01_Вводные'!$B$14^'01_Вводные'!$B$235),0)</f>
        <v/>
      </c>
      <c r="I3434">
        <f>IF('01_Вводные'!$B$234="Да",IF(8&lt;='01_Вводные'!$B$235,0,INDEX('19_Расчет_аналитики'!$B$3399:$BO$3399,1,8-'01_Вводные'!$B$235)*'01_Вводные'!$B$14^'01_Вводные'!$B$235),0)</f>
        <v/>
      </c>
      <c r="J3434">
        <f>IF('01_Вводные'!$B$234="Да",IF(9&lt;='01_Вводные'!$B$235,0,INDEX('19_Расчет_аналитики'!$B$3399:$BO$3399,1,9-'01_Вводные'!$B$235)*'01_Вводные'!$B$14^'01_Вводные'!$B$235),0)</f>
        <v/>
      </c>
      <c r="K3434">
        <f>IF('01_Вводные'!$B$234="Да",IF(10&lt;='01_Вводные'!$B$235,0,INDEX('19_Расчет_аналитики'!$B$3399:$BO$3399,1,10-'01_Вводные'!$B$235)*'01_Вводные'!$B$14^'01_Вводные'!$B$235),0)</f>
        <v/>
      </c>
      <c r="L3434">
        <f>IF('01_Вводные'!$B$234="Да",IF(11&lt;='01_Вводные'!$B$235,0,INDEX('19_Расчет_аналитики'!$B$3399:$BO$3399,1,11-'01_Вводные'!$B$235)*'01_Вводные'!$B$14^'01_Вводные'!$B$235),0)</f>
        <v/>
      </c>
      <c r="M3434">
        <f>IF('01_Вводные'!$B$234="Да",IF(12&lt;='01_Вводные'!$B$235,0,INDEX('19_Расчет_аналитики'!$B$3399:$BO$3399,1,12-'01_Вводные'!$B$235)*'01_Вводные'!$B$14^'01_Вводные'!$B$235),0)</f>
        <v/>
      </c>
      <c r="N3434">
        <f>IF('01_Вводные'!$B$234="Да",IF(13&lt;='01_Вводные'!$B$235,0,INDEX('19_Расчет_аналитики'!$B$3399:$BO$3399,1,13-'01_Вводные'!$B$235)*'01_Вводные'!$B$14^'01_Вводные'!$B$235),0)</f>
        <v/>
      </c>
      <c r="O3434">
        <f>IF('01_Вводные'!$B$234="Да",IF(14&lt;='01_Вводные'!$B$235,0,INDEX('19_Расчет_аналитики'!$B$3399:$BO$3399,1,14-'01_Вводные'!$B$235)*'01_Вводные'!$B$14^'01_Вводные'!$B$235),0)</f>
        <v/>
      </c>
      <c r="P3434">
        <f>IF('01_Вводные'!$B$234="Да",IF(15&lt;='01_Вводные'!$B$235,0,INDEX('19_Расчет_аналитики'!$B$3399:$BO$3399,1,15-'01_Вводные'!$B$235)*'01_Вводные'!$B$14^'01_Вводные'!$B$235),0)</f>
        <v/>
      </c>
      <c r="Q3434">
        <f>IF('01_Вводные'!$B$234="Да",IF(16&lt;='01_Вводные'!$B$235,0,INDEX('19_Расчет_аналитики'!$B$3399:$BO$3399,1,16-'01_Вводные'!$B$235)*'01_Вводные'!$B$14^'01_Вводные'!$B$235),0)</f>
        <v/>
      </c>
      <c r="R3434">
        <f>IF('01_Вводные'!$B$234="Да",IF(17&lt;='01_Вводные'!$B$235,0,INDEX('19_Расчет_аналитики'!$B$3399:$BO$3399,1,17-'01_Вводные'!$B$235)*'01_Вводные'!$B$14^'01_Вводные'!$B$235),0)</f>
        <v/>
      </c>
      <c r="S3434">
        <f>IF('01_Вводные'!$B$234="Да",IF(18&lt;='01_Вводные'!$B$235,0,INDEX('19_Расчет_аналитики'!$B$3399:$BO$3399,1,18-'01_Вводные'!$B$235)*'01_Вводные'!$B$14^'01_Вводные'!$B$235),0)</f>
        <v/>
      </c>
      <c r="T3434">
        <f>IF('01_Вводные'!$B$234="Да",IF(19&lt;='01_Вводные'!$B$235,0,INDEX('19_Расчет_аналитики'!$B$3399:$BO$3399,1,19-'01_Вводные'!$B$235)*'01_Вводные'!$B$14^'01_Вводные'!$B$235),0)</f>
        <v/>
      </c>
      <c r="U3434">
        <f>IF('01_Вводные'!$B$234="Да",IF(20&lt;='01_Вводные'!$B$235,0,INDEX('19_Расчет_аналитики'!$B$3399:$BO$3399,1,20-'01_Вводные'!$B$235)*'01_Вводные'!$B$14^'01_Вводные'!$B$235),0)</f>
        <v/>
      </c>
      <c r="V3434">
        <f>IF('01_Вводные'!$B$234="Да",IF(21&lt;='01_Вводные'!$B$235,0,INDEX('19_Расчет_аналитики'!$B$3399:$BO$3399,1,21-'01_Вводные'!$B$235)*'01_Вводные'!$B$14^'01_Вводные'!$B$235),0)</f>
        <v/>
      </c>
      <c r="W3434">
        <f>IF('01_Вводные'!$B$234="Да",IF(22&lt;='01_Вводные'!$B$235,0,INDEX('19_Расчет_аналитики'!$B$3399:$BO$3399,1,22-'01_Вводные'!$B$235)*'01_Вводные'!$B$14^'01_Вводные'!$B$235),0)</f>
        <v/>
      </c>
      <c r="X3434">
        <f>IF('01_Вводные'!$B$234="Да",IF(23&lt;='01_Вводные'!$B$235,0,INDEX('19_Расчет_аналитики'!$B$3399:$BO$3399,1,23-'01_Вводные'!$B$235)*'01_Вводные'!$B$14^'01_Вводные'!$B$235),0)</f>
        <v/>
      </c>
      <c r="Y3434">
        <f>IF('01_Вводные'!$B$234="Да",IF(24&lt;='01_Вводные'!$B$235,0,INDEX('19_Расчет_аналитики'!$B$3399:$BO$3399,1,24-'01_Вводные'!$B$235)*'01_Вводные'!$B$14^'01_Вводные'!$B$235),0)</f>
        <v/>
      </c>
      <c r="Z3434">
        <f>IF('01_Вводные'!$B$234="Да",IF(25&lt;='01_Вводные'!$B$235,0,INDEX('19_Расчет_аналитики'!$B$3399:$BO$3399,1,25-'01_Вводные'!$B$235)*'01_Вводные'!$B$14^'01_Вводные'!$B$235),0)</f>
        <v/>
      </c>
      <c r="AA3434">
        <f>IF('01_Вводные'!$B$234="Да",IF(26&lt;='01_Вводные'!$B$235,0,INDEX('19_Расчет_аналитики'!$B$3399:$BO$3399,1,26-'01_Вводные'!$B$235)*'01_Вводные'!$B$14^'01_Вводные'!$B$235),0)</f>
        <v/>
      </c>
      <c r="AB3434">
        <f>IF('01_Вводные'!$B$234="Да",IF(27&lt;='01_Вводные'!$B$235,0,INDEX('19_Расчет_аналитики'!$B$3399:$BO$3399,1,27-'01_Вводные'!$B$235)*'01_Вводные'!$B$14^'01_Вводные'!$B$235),0)</f>
        <v/>
      </c>
      <c r="AC3434">
        <f>IF('01_Вводные'!$B$234="Да",IF(28&lt;='01_Вводные'!$B$235,0,INDEX('19_Расчет_аналитики'!$B$3399:$BO$3399,1,28-'01_Вводные'!$B$235)*'01_Вводные'!$B$14^'01_Вводные'!$B$235),0)</f>
        <v/>
      </c>
      <c r="AD3434">
        <f>IF('01_Вводные'!$B$234="Да",IF(29&lt;='01_Вводные'!$B$235,0,INDEX('19_Расчет_аналитики'!$B$3399:$BO$3399,1,29-'01_Вводные'!$B$235)*'01_Вводные'!$B$14^'01_Вводные'!$B$235),0)</f>
        <v/>
      </c>
      <c r="AE3434">
        <f>IF('01_Вводные'!$B$234="Да",IF(30&lt;='01_Вводные'!$B$235,0,INDEX('19_Расчет_аналитики'!$B$3399:$BO$3399,1,30-'01_Вводные'!$B$235)*'01_Вводные'!$B$14^'01_Вводные'!$B$235),0)</f>
        <v/>
      </c>
      <c r="AF3434">
        <f>IF('01_Вводные'!$B$234="Да",IF(31&lt;='01_Вводные'!$B$235,0,INDEX('19_Расчет_аналитики'!$B$3399:$BO$3399,1,31-'01_Вводные'!$B$235)*'01_Вводные'!$B$14^'01_Вводные'!$B$235),0)</f>
        <v/>
      </c>
      <c r="AG3434">
        <f>IF('01_Вводные'!$B$234="Да",IF(32&lt;='01_Вводные'!$B$235,0,INDEX('19_Расчет_аналитики'!$B$3399:$BO$3399,1,32-'01_Вводные'!$B$235)*'01_Вводные'!$B$14^'01_Вводные'!$B$235),0)</f>
        <v/>
      </c>
      <c r="AH3434">
        <f>IF('01_Вводные'!$B$234="Да",IF(33&lt;='01_Вводные'!$B$235,0,INDEX('19_Расчет_аналитики'!$B$3399:$BO$3399,1,33-'01_Вводные'!$B$235)*'01_Вводные'!$B$14^'01_Вводные'!$B$235),0)</f>
        <v/>
      </c>
      <c r="AI3434">
        <f>IF('01_Вводные'!$B$234="Да",IF(34&lt;='01_Вводные'!$B$235,0,INDEX('19_Расчет_аналитики'!$B$3399:$BO$3399,1,34-'01_Вводные'!$B$235)*'01_Вводные'!$B$14^'01_Вводные'!$B$235),0)</f>
        <v/>
      </c>
      <c r="AJ3434">
        <f>IF('01_Вводные'!$B$234="Да",IF(35&lt;='01_Вводные'!$B$235,0,INDEX('19_Расчет_аналитики'!$B$3399:$BO$3399,1,35-'01_Вводные'!$B$235)*'01_Вводные'!$B$14^'01_Вводные'!$B$235),0)</f>
        <v/>
      </c>
      <c r="AK3434">
        <f>IF('01_Вводные'!$B$234="Да",IF(36&lt;='01_Вводные'!$B$235,0,INDEX('19_Расчет_аналитики'!$B$3399:$BO$3399,1,36-'01_Вводные'!$B$235)*'01_Вводные'!$B$14^'01_Вводные'!$B$235),0)</f>
        <v/>
      </c>
      <c r="AL3434">
        <f>IF('01_Вводные'!$B$234="Да",IF(37&lt;='01_Вводные'!$B$235,0,INDEX('19_Расчет_аналитики'!$B$3399:$BO$3399,1,37-'01_Вводные'!$B$235)*'01_Вводные'!$B$14^'01_Вводные'!$B$235),0)</f>
        <v/>
      </c>
      <c r="AM3434">
        <f>IF('01_Вводные'!$B$234="Да",IF(38&lt;='01_Вводные'!$B$235,0,INDEX('19_Расчет_аналитики'!$B$3399:$BO$3399,1,38-'01_Вводные'!$B$235)*'01_Вводные'!$B$14^'01_Вводные'!$B$235),0)</f>
        <v/>
      </c>
      <c r="AN3434">
        <f>IF('01_Вводные'!$B$234="Да",IF(39&lt;='01_Вводные'!$B$235,0,INDEX('19_Расчет_аналитики'!$B$3399:$BO$3399,1,39-'01_Вводные'!$B$235)*'01_Вводные'!$B$14^'01_Вводные'!$B$235),0)</f>
        <v/>
      </c>
      <c r="AO3434">
        <f>IF('01_Вводные'!$B$234="Да",IF(40&lt;='01_Вводные'!$B$235,0,INDEX('19_Расчет_аналитики'!$B$3399:$BO$3399,1,40-'01_Вводные'!$B$235)*'01_Вводные'!$B$14^'01_Вводные'!$B$235),0)</f>
        <v/>
      </c>
      <c r="AP3434">
        <f>IF('01_Вводные'!$B$234="Да",IF(41&lt;='01_Вводные'!$B$235,0,INDEX('19_Расчет_аналитики'!$B$3399:$BO$3399,1,41-'01_Вводные'!$B$235)*'01_Вводные'!$B$14^'01_Вводные'!$B$235),0)</f>
        <v/>
      </c>
      <c r="AQ3434">
        <f>IF('01_Вводные'!$B$234="Да",IF(42&lt;='01_Вводные'!$B$235,0,INDEX('19_Расчет_аналитики'!$B$3399:$BO$3399,1,42-'01_Вводные'!$B$235)*'01_Вводные'!$B$14^'01_Вводные'!$B$235),0)</f>
        <v/>
      </c>
      <c r="AR3434">
        <f>IF('01_Вводные'!$B$234="Да",IF(43&lt;='01_Вводные'!$B$235,0,INDEX('19_Расчет_аналитики'!$B$3399:$BO$3399,1,43-'01_Вводные'!$B$235)*'01_Вводные'!$B$14^'01_Вводные'!$B$235),0)</f>
        <v/>
      </c>
      <c r="AS3434">
        <f>IF('01_Вводные'!$B$234="Да",IF(44&lt;='01_Вводные'!$B$235,0,INDEX('19_Расчет_аналитики'!$B$3399:$BO$3399,1,44-'01_Вводные'!$B$235)*'01_Вводные'!$B$14^'01_Вводные'!$B$235),0)</f>
        <v/>
      </c>
      <c r="AT3434">
        <f>IF('01_Вводные'!$B$234="Да",IF(45&lt;='01_Вводные'!$B$235,0,INDEX('19_Расчет_аналитики'!$B$3399:$BO$3399,1,45-'01_Вводные'!$B$235)*'01_Вводные'!$B$14^'01_Вводные'!$B$235),0)</f>
        <v/>
      </c>
      <c r="AU3434">
        <f>IF('01_Вводные'!$B$234="Да",IF(46&lt;='01_Вводные'!$B$235,0,INDEX('19_Расчет_аналитики'!$B$3399:$BO$3399,1,46-'01_Вводные'!$B$235)*'01_Вводные'!$B$14^'01_Вводные'!$B$235),0)</f>
        <v/>
      </c>
      <c r="AV3434">
        <f>IF('01_Вводные'!$B$234="Да",IF(47&lt;='01_Вводные'!$B$235,0,INDEX('19_Расчет_аналитики'!$B$3399:$BO$3399,1,47-'01_Вводные'!$B$235)*'01_Вводные'!$B$14^'01_Вводные'!$B$235),0)</f>
        <v/>
      </c>
      <c r="AW3434">
        <f>IF('01_Вводные'!$B$234="Да",IF(48&lt;='01_Вводные'!$B$235,0,INDEX('19_Расчет_аналитики'!$B$3399:$BO$3399,1,48-'01_Вводные'!$B$235)*'01_Вводные'!$B$14^'01_Вводные'!$B$235),0)</f>
        <v/>
      </c>
      <c r="AX3434">
        <f>IF('01_Вводные'!$B$234="Да",IF(49&lt;='01_Вводные'!$B$235,0,INDEX('19_Расчет_аналитики'!$B$3399:$BO$3399,1,49-'01_Вводные'!$B$235)*'01_Вводные'!$B$14^'01_Вводные'!$B$235),0)</f>
        <v/>
      </c>
      <c r="AY3434">
        <f>IF('01_Вводные'!$B$234="Да",IF(50&lt;='01_Вводные'!$B$235,0,INDEX('19_Расчет_аналитики'!$B$3399:$BO$3399,1,50-'01_Вводные'!$B$235)*'01_Вводные'!$B$14^'01_Вводные'!$B$235),0)</f>
        <v/>
      </c>
      <c r="AZ3434">
        <f>IF('01_Вводные'!$B$234="Да",IF(51&lt;='01_Вводные'!$B$235,0,INDEX('19_Расчет_аналитики'!$B$3399:$BO$3399,1,51-'01_Вводные'!$B$235)*'01_Вводные'!$B$14^'01_Вводные'!$B$235),0)</f>
        <v/>
      </c>
      <c r="BA3434">
        <f>IF('01_Вводные'!$B$234="Да",IF(52&lt;='01_Вводные'!$B$235,0,INDEX('19_Расчет_аналитики'!$B$3399:$BO$3399,1,52-'01_Вводные'!$B$235)*'01_Вводные'!$B$14^'01_Вводные'!$B$235),0)</f>
        <v/>
      </c>
      <c r="BB3434">
        <f>IF('01_Вводные'!$B$234="Да",IF(53&lt;='01_Вводные'!$B$235,0,INDEX('19_Расчет_аналитики'!$B$3399:$BO$3399,1,53-'01_Вводные'!$B$235)*'01_Вводные'!$B$14^'01_Вводные'!$B$235),0)</f>
        <v/>
      </c>
      <c r="BC3434">
        <f>IF('01_Вводные'!$B$234="Да",IF(54&lt;='01_Вводные'!$B$235,0,INDEX('19_Расчет_аналитики'!$B$3399:$BO$3399,1,54-'01_Вводные'!$B$235)*'01_Вводные'!$B$14^'01_Вводные'!$B$235),0)</f>
        <v/>
      </c>
      <c r="BD3434">
        <f>IF('01_Вводные'!$B$234="Да",IF(55&lt;='01_Вводные'!$B$235,0,INDEX('19_Расчет_аналитики'!$B$3399:$BO$3399,1,55-'01_Вводные'!$B$235)*'01_Вводные'!$B$14^'01_Вводные'!$B$235),0)</f>
        <v/>
      </c>
      <c r="BE3434">
        <f>IF('01_Вводные'!$B$234="Да",IF(56&lt;='01_Вводные'!$B$235,0,INDEX('19_Расчет_аналитики'!$B$3399:$BO$3399,1,56-'01_Вводные'!$B$235)*'01_Вводные'!$B$14^'01_Вводные'!$B$235),0)</f>
        <v/>
      </c>
      <c r="BF3434">
        <f>IF('01_Вводные'!$B$234="Да",IF(57&lt;='01_Вводные'!$B$235,0,INDEX('19_Расчет_аналитики'!$B$3399:$BO$3399,1,57-'01_Вводные'!$B$235)*'01_Вводные'!$B$14^'01_Вводные'!$B$235),0)</f>
        <v/>
      </c>
      <c r="BG3434">
        <f>IF('01_Вводные'!$B$234="Да",IF(58&lt;='01_Вводные'!$B$235,0,INDEX('19_Расчет_аналитики'!$B$3399:$BO$3399,1,58-'01_Вводные'!$B$235)*'01_Вводные'!$B$14^'01_Вводные'!$B$235),0)</f>
        <v/>
      </c>
      <c r="BH3434">
        <f>IF('01_Вводные'!$B$234="Да",IF(59&lt;='01_Вводные'!$B$235,0,INDEX('19_Расчет_аналитики'!$B$3399:$BO$3399,1,59-'01_Вводные'!$B$235)*'01_Вводные'!$B$14^'01_Вводные'!$B$235),0)</f>
        <v/>
      </c>
      <c r="BI3434">
        <f>IF('01_Вводные'!$B$234="Да",IF(60&lt;='01_Вводные'!$B$235,0,INDEX('19_Расчет_аналитики'!$B$3399:$BO$3399,1,60-'01_Вводные'!$B$235)*'01_Вводные'!$B$14^'01_Вводные'!$B$235),0)</f>
        <v/>
      </c>
      <c r="BJ3434">
        <f>IF('01_Вводные'!$B$234="Да",IF(61&lt;='01_Вводные'!$B$235,0,INDEX('19_Расчет_аналитики'!$B$3399:$BO$3399,1,61-'01_Вводные'!$B$235)*'01_Вводные'!$B$14^'01_Вводные'!$B$235),0)</f>
        <v/>
      </c>
      <c r="BK3434">
        <f>IF('01_Вводные'!$B$234="Да",IF(62&lt;='01_Вводные'!$B$235,0,INDEX('19_Расчет_аналитики'!$B$3399:$BO$3399,1,62-'01_Вводные'!$B$235)*'01_Вводные'!$B$14^'01_Вводные'!$B$235),0)</f>
        <v/>
      </c>
      <c r="BL3434">
        <f>IF('01_Вводные'!$B$234="Да",IF(63&lt;='01_Вводные'!$B$235,0,INDEX('19_Расчет_аналитики'!$B$3399:$BO$3399,1,63-'01_Вводные'!$B$235)*'01_Вводные'!$B$14^'01_Вводные'!$B$235),0)</f>
        <v/>
      </c>
      <c r="BM3434">
        <f>IF('01_Вводные'!$B$234="Да",IF(64&lt;='01_Вводные'!$B$235,0,INDEX('19_Расчет_аналитики'!$B$3399:$BO$3399,1,64-'01_Вводные'!$B$235)*'01_Вводные'!$B$14^'01_Вводные'!$B$235),0)</f>
        <v/>
      </c>
      <c r="BN3434">
        <f>IF('01_Вводные'!$B$234="Да",IF(65&lt;='01_Вводные'!$B$235,0,INDEX('19_Расчет_аналитики'!$B$3399:$BO$3399,1,65-'01_Вводные'!$B$235)*'01_Вводные'!$B$14^'01_Вводные'!$B$235),0)</f>
        <v/>
      </c>
      <c r="BO3434">
        <f>IF('01_Вводные'!$B$234="Да",IF(66&lt;='01_Вводные'!$B$235,0,INDEX('19_Расчет_аналитики'!$B$3399:$BO$3399,1,66-'01_Вводные'!$B$235)*'01_Вводные'!$B$14^'01_Вводные'!$B$235),0)</f>
        <v/>
      </c>
    </row>
    <row r="3435">
      <c r="B3435">
        <f>IF('01_Вводные'!$B$234="Да",'19_Расчет_аналитики'!B3434,0)</f>
        <v/>
      </c>
      <c r="C3435">
        <f>IF('01_Вводные'!$B$234="Да",'19_Расчет_аналитики'!B3435*'01_Вводные'!$B$14+'19_Расчет_аналитики'!C3434,0)</f>
        <v/>
      </c>
      <c r="D3435">
        <f>IF('01_Вводные'!$B$234="Да",'19_Расчет_аналитики'!C3435*'01_Вводные'!$B$14+'19_Расчет_аналитики'!D3434,0)</f>
        <v/>
      </c>
      <c r="E3435">
        <f>IF('01_Вводные'!$B$234="Да",'19_Расчет_аналитики'!D3435*'01_Вводные'!$B$14+'19_Расчет_аналитики'!E3434,0)</f>
        <v/>
      </c>
      <c r="F3435">
        <f>IF('01_Вводные'!$B$234="Да",'19_Расчет_аналитики'!E3435*'01_Вводные'!$B$14+'19_Расчет_аналитики'!F3434,0)</f>
        <v/>
      </c>
      <c r="G3435">
        <f>IF('01_Вводные'!$B$234="Да",'19_Расчет_аналитики'!F3435*'01_Вводные'!$B$14+'19_Расчет_аналитики'!G3434,0)</f>
        <v/>
      </c>
      <c r="H3435">
        <f>IF('01_Вводные'!$B$234="Да",'19_Расчет_аналитики'!G3435*'01_Вводные'!$B$14+'19_Расчет_аналитики'!H3434,0)</f>
        <v/>
      </c>
      <c r="I3435">
        <f>IF('01_Вводные'!$B$234="Да",'19_Расчет_аналитики'!H3435*'01_Вводные'!$B$14+'19_Расчет_аналитики'!I3434,0)</f>
        <v/>
      </c>
      <c r="J3435">
        <f>IF('01_Вводные'!$B$234="Да",'19_Расчет_аналитики'!I3435*'01_Вводные'!$B$14+'19_Расчет_аналитики'!J3434,0)</f>
        <v/>
      </c>
      <c r="K3435">
        <f>IF('01_Вводные'!$B$234="Да",'19_Расчет_аналитики'!J3435*'01_Вводные'!$B$14+'19_Расчет_аналитики'!K3434,0)</f>
        <v/>
      </c>
      <c r="L3435">
        <f>IF('01_Вводные'!$B$234="Да",'19_Расчет_аналитики'!K3435*'01_Вводные'!$B$14+'19_Расчет_аналитики'!L3434,0)</f>
        <v/>
      </c>
      <c r="M3435">
        <f>IF('01_Вводные'!$B$234="Да",'19_Расчет_аналитики'!L3435*'01_Вводные'!$B$14+'19_Расчет_аналитики'!M3434,0)</f>
        <v/>
      </c>
      <c r="N3435">
        <f>IF('01_Вводные'!$B$234="Да",'19_Расчет_аналитики'!M3435*'01_Вводные'!$B$14+'19_Расчет_аналитики'!N3434,0)</f>
        <v/>
      </c>
      <c r="O3435">
        <f>IF('01_Вводные'!$B$234="Да",'19_Расчет_аналитики'!N3435*'01_Вводные'!$B$14+'19_Расчет_аналитики'!O3434,0)</f>
        <v/>
      </c>
      <c r="P3435">
        <f>IF('01_Вводные'!$B$234="Да",'19_Расчет_аналитики'!O3435*'01_Вводные'!$B$14+'19_Расчет_аналитики'!P3434,0)</f>
        <v/>
      </c>
      <c r="Q3435">
        <f>IF('01_Вводные'!$B$234="Да",'19_Расчет_аналитики'!P3435*'01_Вводные'!$B$14+'19_Расчет_аналитики'!Q3434,0)</f>
        <v/>
      </c>
      <c r="R3435">
        <f>IF('01_Вводные'!$B$234="Да",'19_Расчет_аналитики'!Q3435*'01_Вводные'!$B$14+'19_Расчет_аналитики'!R3434,0)</f>
        <v/>
      </c>
      <c r="S3435">
        <f>IF('01_Вводные'!$B$234="Да",'19_Расчет_аналитики'!R3435*'01_Вводные'!$B$14+'19_Расчет_аналитики'!S3434,0)</f>
        <v/>
      </c>
      <c r="T3435">
        <f>IF('01_Вводные'!$B$234="Да",'19_Расчет_аналитики'!S3435*'01_Вводные'!$B$14+'19_Расчет_аналитики'!T3434,0)</f>
        <v/>
      </c>
      <c r="U3435">
        <f>IF('01_Вводные'!$B$234="Да",'19_Расчет_аналитики'!T3435*'01_Вводные'!$B$14+'19_Расчет_аналитики'!U3434,0)</f>
        <v/>
      </c>
      <c r="V3435">
        <f>IF('01_Вводные'!$B$234="Да",'19_Расчет_аналитики'!U3435*'01_Вводные'!$B$14+'19_Расчет_аналитики'!V3434,0)</f>
        <v/>
      </c>
      <c r="W3435">
        <f>IF('01_Вводные'!$B$234="Да",'19_Расчет_аналитики'!V3435*'01_Вводные'!$B$14+'19_Расчет_аналитики'!W3434,0)</f>
        <v/>
      </c>
      <c r="X3435">
        <f>IF('01_Вводные'!$B$234="Да",'19_Расчет_аналитики'!W3435*'01_Вводные'!$B$14+'19_Расчет_аналитики'!X3434,0)</f>
        <v/>
      </c>
      <c r="Y3435">
        <f>IF('01_Вводные'!$B$234="Да",'19_Расчет_аналитики'!X3435*'01_Вводные'!$B$14+'19_Расчет_аналитики'!Y3434,0)</f>
        <v/>
      </c>
      <c r="Z3435">
        <f>IF('01_Вводные'!$B$234="Да",'19_Расчет_аналитики'!Y3435*'01_Вводные'!$B$14+'19_Расчет_аналитики'!Z3434,0)</f>
        <v/>
      </c>
      <c r="AA3435">
        <f>IF('01_Вводные'!$B$234="Да",'19_Расчет_аналитики'!Z3435*'01_Вводные'!$B$14+'19_Расчет_аналитики'!AA3434,0)</f>
        <v/>
      </c>
      <c r="AB3435">
        <f>IF('01_Вводные'!$B$234="Да",'19_Расчет_аналитики'!AA3435*'01_Вводные'!$B$14+'19_Расчет_аналитики'!AB3434,0)</f>
        <v/>
      </c>
      <c r="AC3435">
        <f>IF('01_Вводные'!$B$234="Да",'19_Расчет_аналитики'!AB3435*'01_Вводные'!$B$14+'19_Расчет_аналитики'!AC3434,0)</f>
        <v/>
      </c>
      <c r="AD3435">
        <f>IF('01_Вводные'!$B$234="Да",'19_Расчет_аналитики'!AC3435*'01_Вводные'!$B$14+'19_Расчет_аналитики'!AD3434,0)</f>
        <v/>
      </c>
      <c r="AE3435">
        <f>IF('01_Вводные'!$B$234="Да",'19_Расчет_аналитики'!AD3435*'01_Вводные'!$B$14+'19_Расчет_аналитики'!AE3434,0)</f>
        <v/>
      </c>
      <c r="AF3435">
        <f>IF('01_Вводные'!$B$234="Да",'19_Расчет_аналитики'!AE3435*'01_Вводные'!$B$14+'19_Расчет_аналитики'!AF3434,0)</f>
        <v/>
      </c>
      <c r="AG3435">
        <f>IF('01_Вводные'!$B$234="Да",'19_Расчет_аналитики'!AF3435*'01_Вводные'!$B$14+'19_Расчет_аналитики'!AG3434,0)</f>
        <v/>
      </c>
      <c r="AH3435">
        <f>IF('01_Вводные'!$B$234="Да",'19_Расчет_аналитики'!AG3435*'01_Вводные'!$B$14+'19_Расчет_аналитики'!AH3434,0)</f>
        <v/>
      </c>
      <c r="AI3435">
        <f>IF('01_Вводные'!$B$234="Да",'19_Расчет_аналитики'!AH3435*'01_Вводные'!$B$14+'19_Расчет_аналитики'!AI3434,0)</f>
        <v/>
      </c>
      <c r="AJ3435">
        <f>IF('01_Вводные'!$B$234="Да",'19_Расчет_аналитики'!AI3435*'01_Вводные'!$B$14+'19_Расчет_аналитики'!AJ3434,0)</f>
        <v/>
      </c>
      <c r="AK3435">
        <f>IF('01_Вводные'!$B$234="Да",'19_Расчет_аналитики'!AJ3435*'01_Вводные'!$B$14+'19_Расчет_аналитики'!AK3434,0)</f>
        <v/>
      </c>
      <c r="AL3435">
        <f>IF('01_Вводные'!$B$234="Да",'19_Расчет_аналитики'!AK3435*'01_Вводные'!$B$14+'19_Расчет_аналитики'!AL3434,0)</f>
        <v/>
      </c>
      <c r="AM3435">
        <f>IF('01_Вводные'!$B$234="Да",'19_Расчет_аналитики'!AL3435*'01_Вводные'!$B$14+'19_Расчет_аналитики'!AM3434,0)</f>
        <v/>
      </c>
      <c r="AN3435">
        <f>IF('01_Вводные'!$B$234="Да",'19_Расчет_аналитики'!AM3435*'01_Вводные'!$B$14+'19_Расчет_аналитики'!AN3434,0)</f>
        <v/>
      </c>
      <c r="AO3435">
        <f>IF('01_Вводные'!$B$234="Да",'19_Расчет_аналитики'!AN3435*'01_Вводные'!$B$14+'19_Расчет_аналитики'!AO3434,0)</f>
        <v/>
      </c>
      <c r="AP3435">
        <f>IF('01_Вводные'!$B$234="Да",'19_Расчет_аналитики'!AO3435*'01_Вводные'!$B$14+'19_Расчет_аналитики'!AP3434,0)</f>
        <v/>
      </c>
      <c r="AQ3435">
        <f>IF('01_Вводные'!$B$234="Да",'19_Расчет_аналитики'!AP3435*'01_Вводные'!$B$14+'19_Расчет_аналитики'!AQ3434,0)</f>
        <v/>
      </c>
      <c r="AR3435">
        <f>IF('01_Вводные'!$B$234="Да",'19_Расчет_аналитики'!AQ3435*'01_Вводные'!$B$14+'19_Расчет_аналитики'!AR3434,0)</f>
        <v/>
      </c>
      <c r="AS3435">
        <f>IF('01_Вводные'!$B$234="Да",'19_Расчет_аналитики'!AR3435*'01_Вводные'!$B$14+'19_Расчет_аналитики'!AS3434,0)</f>
        <v/>
      </c>
      <c r="AT3435">
        <f>IF('01_Вводные'!$B$234="Да",'19_Расчет_аналитики'!AS3435*'01_Вводные'!$B$14+'19_Расчет_аналитики'!AT3434,0)</f>
        <v/>
      </c>
      <c r="AU3435">
        <f>IF('01_Вводные'!$B$234="Да",'19_Расчет_аналитики'!AT3435*'01_Вводные'!$B$14+'19_Расчет_аналитики'!AU3434,0)</f>
        <v/>
      </c>
      <c r="AV3435">
        <f>IF('01_Вводные'!$B$234="Да",'19_Расчет_аналитики'!AU3435*'01_Вводные'!$B$14+'19_Расчет_аналитики'!AV3434,0)</f>
        <v/>
      </c>
      <c r="AW3435">
        <f>IF('01_Вводные'!$B$234="Да",'19_Расчет_аналитики'!AV3435*'01_Вводные'!$B$14+'19_Расчет_аналитики'!AW3434,0)</f>
        <v/>
      </c>
      <c r="AX3435">
        <f>IF('01_Вводные'!$B$234="Да",'19_Расчет_аналитики'!AW3435*'01_Вводные'!$B$14+'19_Расчет_аналитики'!AX3434,0)</f>
        <v/>
      </c>
      <c r="AY3435">
        <f>IF('01_Вводные'!$B$234="Да",'19_Расчет_аналитики'!AX3435*'01_Вводные'!$B$14+'19_Расчет_аналитики'!AY3434,0)</f>
        <v/>
      </c>
      <c r="AZ3435">
        <f>IF('01_Вводные'!$B$234="Да",'19_Расчет_аналитики'!AY3435*'01_Вводные'!$B$14+'19_Расчет_аналитики'!AZ3434,0)</f>
        <v/>
      </c>
      <c r="BA3435">
        <f>IF('01_Вводные'!$B$234="Да",'19_Расчет_аналитики'!AZ3435*'01_Вводные'!$B$14+'19_Расчет_аналитики'!BA3434,0)</f>
        <v/>
      </c>
      <c r="BB3435">
        <f>IF('01_Вводные'!$B$234="Да",'19_Расчет_аналитики'!BA3435*'01_Вводные'!$B$14+'19_Расчет_аналитики'!BB3434,0)</f>
        <v/>
      </c>
      <c r="BC3435">
        <f>IF('01_Вводные'!$B$234="Да",'19_Расчет_аналитики'!BB3435*'01_Вводные'!$B$14+'19_Расчет_аналитики'!BC3434,0)</f>
        <v/>
      </c>
      <c r="BD3435">
        <f>IF('01_Вводные'!$B$234="Да",'19_Расчет_аналитики'!BC3435*'01_Вводные'!$B$14+'19_Расчет_аналитики'!BD3434,0)</f>
        <v/>
      </c>
      <c r="BE3435">
        <f>IF('01_Вводные'!$B$234="Да",'19_Расчет_аналитики'!BD3435*'01_Вводные'!$B$14+'19_Расчет_аналитики'!BE3434,0)</f>
        <v/>
      </c>
      <c r="BF3435">
        <f>IF('01_Вводные'!$B$234="Да",'19_Расчет_аналитики'!BE3435*'01_Вводные'!$B$14+'19_Расчет_аналитики'!BF3434,0)</f>
        <v/>
      </c>
      <c r="BG3435">
        <f>IF('01_Вводные'!$B$234="Да",'19_Расчет_аналитики'!BF3435*'01_Вводные'!$B$14+'19_Расчет_аналитики'!BG3434,0)</f>
        <v/>
      </c>
      <c r="BH3435">
        <f>IF('01_Вводные'!$B$234="Да",'19_Расчет_аналитики'!BG3435*'01_Вводные'!$B$14+'19_Расчет_аналитики'!BH3434,0)</f>
        <v/>
      </c>
      <c r="BI3435">
        <f>IF('01_Вводные'!$B$234="Да",'19_Расчет_аналитики'!BH3435*'01_Вводные'!$B$14+'19_Расчет_аналитики'!BI3434,0)</f>
        <v/>
      </c>
      <c r="BJ3435">
        <f>IF('01_Вводные'!$B$234="Да",'19_Расчет_аналитики'!BI3435*'01_Вводные'!$B$14+'19_Расчет_аналитики'!BJ3434,0)</f>
        <v/>
      </c>
      <c r="BK3435">
        <f>IF('01_Вводные'!$B$234="Да",'19_Расчет_аналитики'!BJ3435*'01_Вводные'!$B$14+'19_Расчет_аналитики'!BK3434,0)</f>
        <v/>
      </c>
      <c r="BL3435">
        <f>IF('01_Вводные'!$B$234="Да",'19_Расчет_аналитики'!BK3435*'01_Вводные'!$B$14+'19_Расчет_аналитики'!BL3434,0)</f>
        <v/>
      </c>
      <c r="BM3435">
        <f>IF('01_Вводные'!$B$234="Да",'19_Расчет_аналитики'!BL3435*'01_Вводные'!$B$14+'19_Расчет_аналитики'!BM3434,0)</f>
        <v/>
      </c>
      <c r="BN3435">
        <f>IF('01_Вводные'!$B$234="Да",'19_Расчет_аналитики'!BM3435*'01_Вводные'!$B$14+'19_Расчет_аналитики'!BN3434,0)</f>
        <v/>
      </c>
      <c r="BO3435">
        <f>IF('01_Вводные'!$B$234="Да",'19_Расчет_аналитики'!BN3435*'01_Вводные'!$B$14+'19_Расчет_аналитики'!BO3434,0)</f>
        <v/>
      </c>
    </row>
    <row r="3436"/>
    <row r="3437"/>
    <row r="3438"/>
    <row r="3439"/>
    <row r="3440"/>
    <row r="3441"/>
    <row r="3442"/>
    <row r="3443"/>
    <row r="3444">
      <c r="B3444">
        <f>IF('01_Вводные'!$B$234="Да",'19_Расчет_аналитики'!B3399,0)</f>
        <v/>
      </c>
      <c r="C3444">
        <f>IF('01_Вводные'!$B$234="Да",'19_Расчет_аналитики'!C3399,0)</f>
        <v/>
      </c>
      <c r="D3444">
        <f>IF('01_Вводные'!$B$234="Да",'19_Расчет_аналитики'!D3399,0)</f>
        <v/>
      </c>
      <c r="E3444">
        <f>IF('01_Вводные'!$B$234="Да",'19_Расчет_аналитики'!E3399,0)</f>
        <v/>
      </c>
      <c r="F3444">
        <f>IF('01_Вводные'!$B$234="Да",'19_Расчет_аналитики'!F3399,0)</f>
        <v/>
      </c>
      <c r="G3444">
        <f>IF('01_Вводные'!$B$234="Да",'19_Расчет_аналитики'!G3399,0)</f>
        <v/>
      </c>
      <c r="H3444">
        <f>IF('01_Вводные'!$B$234="Да",'19_Расчет_аналитики'!H3399,0)</f>
        <v/>
      </c>
      <c r="I3444">
        <f>IF('01_Вводные'!$B$234="Да",'19_Расчет_аналитики'!I3399,0)</f>
        <v/>
      </c>
      <c r="J3444">
        <f>IF('01_Вводные'!$B$234="Да",'19_Расчет_аналитики'!J3399,0)</f>
        <v/>
      </c>
      <c r="K3444">
        <f>IF('01_Вводные'!$B$234="Да",'19_Расчет_аналитики'!K3399,0)</f>
        <v/>
      </c>
      <c r="L3444">
        <f>IF('01_Вводные'!$B$234="Да",'19_Расчет_аналитики'!L3399,0)</f>
        <v/>
      </c>
      <c r="M3444">
        <f>IF('01_Вводные'!$B$234="Да",'19_Расчет_аналитики'!M3399,0)</f>
        <v/>
      </c>
      <c r="N3444">
        <f>IF('01_Вводные'!$B$234="Да",'19_Расчет_аналитики'!N3399,0)</f>
        <v/>
      </c>
      <c r="O3444">
        <f>IF('01_Вводные'!$B$234="Да",'19_Расчет_аналитики'!O3399,0)</f>
        <v/>
      </c>
      <c r="P3444">
        <f>IF('01_Вводные'!$B$234="Да",'19_Расчет_аналитики'!P3399,0)</f>
        <v/>
      </c>
      <c r="Q3444">
        <f>IF('01_Вводные'!$B$234="Да",'19_Расчет_аналитики'!Q3399,0)</f>
        <v/>
      </c>
      <c r="R3444">
        <f>IF('01_Вводные'!$B$234="Да",'19_Расчет_аналитики'!R3399,0)</f>
        <v/>
      </c>
      <c r="S3444">
        <f>IF('01_Вводные'!$B$234="Да",'19_Расчет_аналитики'!S3399,0)</f>
        <v/>
      </c>
      <c r="T3444">
        <f>IF('01_Вводные'!$B$234="Да",'19_Расчет_аналитики'!T3399,0)</f>
        <v/>
      </c>
      <c r="U3444">
        <f>IF('01_Вводные'!$B$234="Да",'19_Расчет_аналитики'!U3399,0)</f>
        <v/>
      </c>
      <c r="V3444">
        <f>IF('01_Вводные'!$B$234="Да",'19_Расчет_аналитики'!V3399,0)</f>
        <v/>
      </c>
      <c r="W3444">
        <f>IF('01_Вводные'!$B$234="Да",'19_Расчет_аналитики'!W3399,0)</f>
        <v/>
      </c>
      <c r="X3444">
        <f>IF('01_Вводные'!$B$234="Да",'19_Расчет_аналитики'!X3399,0)</f>
        <v/>
      </c>
      <c r="Y3444">
        <f>IF('01_Вводные'!$B$234="Да",'19_Расчет_аналитики'!Y3399,0)</f>
        <v/>
      </c>
      <c r="Z3444">
        <f>IF('01_Вводные'!$B$234="Да",'19_Расчет_аналитики'!Z3399,0)</f>
        <v/>
      </c>
      <c r="AA3444">
        <f>IF('01_Вводные'!$B$234="Да",'19_Расчет_аналитики'!AA3399,0)</f>
        <v/>
      </c>
      <c r="AB3444">
        <f>IF('01_Вводные'!$B$234="Да",'19_Расчет_аналитики'!AB3399,0)</f>
        <v/>
      </c>
      <c r="AC3444">
        <f>IF('01_Вводные'!$B$234="Да",'19_Расчет_аналитики'!AC3399,0)</f>
        <v/>
      </c>
      <c r="AD3444">
        <f>IF('01_Вводные'!$B$234="Да",'19_Расчет_аналитики'!AD3399,0)</f>
        <v/>
      </c>
      <c r="AE3444">
        <f>IF('01_Вводные'!$B$234="Да",'19_Расчет_аналитики'!AE3399,0)</f>
        <v/>
      </c>
      <c r="AF3444">
        <f>IF('01_Вводные'!$B$234="Да",'19_Расчет_аналитики'!AF3399,0)</f>
        <v/>
      </c>
      <c r="AG3444">
        <f>IF('01_Вводные'!$B$234="Да",'19_Расчет_аналитики'!AG3399,0)</f>
        <v/>
      </c>
      <c r="AH3444">
        <f>IF('01_Вводные'!$B$234="Да",'19_Расчет_аналитики'!AH3399,0)</f>
        <v/>
      </c>
      <c r="AI3444">
        <f>IF('01_Вводные'!$B$234="Да",'19_Расчет_аналитики'!AI3399,0)</f>
        <v/>
      </c>
      <c r="AJ3444">
        <f>IF('01_Вводные'!$B$234="Да",'19_Расчет_аналитики'!AJ3399,0)</f>
        <v/>
      </c>
      <c r="AK3444">
        <f>IF('01_Вводные'!$B$234="Да",'19_Расчет_аналитики'!AK3399,0)</f>
        <v/>
      </c>
      <c r="AL3444">
        <f>IF('01_Вводные'!$B$234="Да",'19_Расчет_аналитики'!AL3399,0)</f>
        <v/>
      </c>
      <c r="AM3444">
        <f>IF('01_Вводные'!$B$234="Да",'19_Расчет_аналитики'!AM3399,0)</f>
        <v/>
      </c>
      <c r="AN3444">
        <f>IF('01_Вводные'!$B$234="Да",'19_Расчет_аналитики'!AN3399,0)</f>
        <v/>
      </c>
      <c r="AO3444">
        <f>IF('01_Вводные'!$B$234="Да",'19_Расчет_аналитики'!AO3399,0)</f>
        <v/>
      </c>
      <c r="AP3444">
        <f>IF('01_Вводные'!$B$234="Да",'19_Расчет_аналитики'!AP3399,0)</f>
        <v/>
      </c>
      <c r="AQ3444">
        <f>IF('01_Вводные'!$B$234="Да",'19_Расчет_аналитики'!AQ3399,0)</f>
        <v/>
      </c>
      <c r="AR3444">
        <f>IF('01_Вводные'!$B$234="Да",'19_Расчет_аналитики'!AR3399,0)</f>
        <v/>
      </c>
      <c r="AS3444">
        <f>IF('01_Вводные'!$B$234="Да",'19_Расчет_аналитики'!AS3399,0)</f>
        <v/>
      </c>
      <c r="AT3444">
        <f>IF('01_Вводные'!$B$234="Да",'19_Расчет_аналитики'!AT3399,0)</f>
        <v/>
      </c>
      <c r="AU3444">
        <f>IF('01_Вводные'!$B$234="Да",'19_Расчет_аналитики'!AU3399,0)</f>
        <v/>
      </c>
      <c r="AV3444">
        <f>IF('01_Вводные'!$B$234="Да",'19_Расчет_аналитики'!AV3399,0)</f>
        <v/>
      </c>
      <c r="AW3444">
        <f>IF('01_Вводные'!$B$234="Да",'19_Расчет_аналитики'!AW3399,0)</f>
        <v/>
      </c>
      <c r="AX3444">
        <f>IF('01_Вводные'!$B$234="Да",'19_Расчет_аналитики'!AX3399,0)</f>
        <v/>
      </c>
      <c r="AY3444">
        <f>IF('01_Вводные'!$B$234="Да",'19_Расчет_аналитики'!AY3399,0)</f>
        <v/>
      </c>
      <c r="AZ3444">
        <f>IF('01_Вводные'!$B$234="Да",'19_Расчет_аналитики'!AZ3399,0)</f>
        <v/>
      </c>
      <c r="BA3444">
        <f>IF('01_Вводные'!$B$234="Да",'19_Расчет_аналитики'!BA3399,0)</f>
        <v/>
      </c>
      <c r="BB3444">
        <f>IF('01_Вводные'!$B$234="Да",'19_Расчет_аналитики'!BB3399,0)</f>
        <v/>
      </c>
      <c r="BC3444">
        <f>IF('01_Вводные'!$B$234="Да",'19_Расчет_аналитики'!BC3399,0)</f>
        <v/>
      </c>
      <c r="BD3444">
        <f>IF('01_Вводные'!$B$234="Да",'19_Расчет_аналитики'!BD3399,0)</f>
        <v/>
      </c>
      <c r="BE3444">
        <f>IF('01_Вводные'!$B$234="Да",'19_Расчет_аналитики'!BE3399,0)</f>
        <v/>
      </c>
      <c r="BF3444">
        <f>IF('01_Вводные'!$B$234="Да",'19_Расчет_аналитики'!BF3399,0)</f>
        <v/>
      </c>
      <c r="BG3444">
        <f>IF('01_Вводные'!$B$234="Да",'19_Расчет_аналитики'!BG3399,0)</f>
        <v/>
      </c>
      <c r="BH3444">
        <f>IF('01_Вводные'!$B$234="Да",'19_Расчет_аналитики'!BH3399,0)</f>
        <v/>
      </c>
      <c r="BI3444">
        <f>IF('01_Вводные'!$B$234="Да",'19_Расчет_аналитики'!BI3399,0)</f>
        <v/>
      </c>
      <c r="BJ3444">
        <f>IF('01_Вводные'!$B$234="Да",'19_Расчет_аналитики'!BJ3399,0)</f>
        <v/>
      </c>
      <c r="BK3444">
        <f>IF('01_Вводные'!$B$234="Да",'19_Расчет_аналитики'!BK3399,0)</f>
        <v/>
      </c>
      <c r="BL3444">
        <f>IF('01_Вводные'!$B$234="Да",'19_Расчет_аналитики'!BL3399,0)</f>
        <v/>
      </c>
      <c r="BM3444">
        <f>IF('01_Вводные'!$B$234="Да",'19_Расчет_аналитики'!BM3399,0)</f>
        <v/>
      </c>
      <c r="BN3444">
        <f>IF('01_Вводные'!$B$234="Да",'19_Расчет_аналитики'!BN3399,0)</f>
        <v/>
      </c>
      <c r="BO3444">
        <f>IF('01_Вводные'!$B$234="Да",'19_Расчет_аналитики'!BO3399,0)</f>
        <v/>
      </c>
    </row>
    <row r="3445">
      <c r="B3445">
        <f>'06_Сеть_и_дети'!B54</f>
        <v/>
      </c>
      <c r="C3445">
        <f>IF('01_Вводные'!$B$234="Да",'19_Расчет_аналитики'!B3444*'01_Вводные'!$B$14,0)</f>
        <v/>
      </c>
      <c r="D3445">
        <f>IF('01_Вводные'!$B$234="Да",'19_Расчет_аналитики'!C3444*'01_Вводные'!$B$14,0)</f>
        <v/>
      </c>
      <c r="E3445">
        <f>IF('01_Вводные'!$B$234="Да",'19_Расчет_аналитики'!D3444*'01_Вводные'!$B$14,0)</f>
        <v/>
      </c>
      <c r="F3445">
        <f>IF('01_Вводные'!$B$234="Да",'19_Расчет_аналитики'!E3444*'01_Вводные'!$B$14,0)</f>
        <v/>
      </c>
      <c r="G3445">
        <f>IF('01_Вводные'!$B$234="Да",'19_Расчет_аналитики'!F3444*'01_Вводные'!$B$14,0)</f>
        <v/>
      </c>
      <c r="H3445">
        <f>IF('01_Вводные'!$B$234="Да",'19_Расчет_аналитики'!G3444*'01_Вводные'!$B$14,0)</f>
        <v/>
      </c>
      <c r="I3445">
        <f>IF('01_Вводные'!$B$234="Да",'19_Расчет_аналитики'!H3444*'01_Вводные'!$B$14,0)</f>
        <v/>
      </c>
      <c r="J3445">
        <f>IF('01_Вводные'!$B$234="Да",'19_Расчет_аналитики'!I3444*'01_Вводные'!$B$14,0)</f>
        <v/>
      </c>
      <c r="K3445">
        <f>IF('01_Вводные'!$B$234="Да",'19_Расчет_аналитики'!J3444*'01_Вводные'!$B$14,0)</f>
        <v/>
      </c>
      <c r="L3445">
        <f>IF('01_Вводные'!$B$234="Да",'19_Расчет_аналитики'!K3444*'01_Вводные'!$B$14,0)</f>
        <v/>
      </c>
      <c r="M3445">
        <f>IF('01_Вводные'!$B$234="Да",'19_Расчет_аналитики'!L3444*'01_Вводные'!$B$14,0)</f>
        <v/>
      </c>
      <c r="N3445">
        <f>IF('01_Вводные'!$B$234="Да",'19_Расчет_аналитики'!M3444*'01_Вводные'!$B$14,0)</f>
        <v/>
      </c>
      <c r="O3445">
        <f>IF('01_Вводные'!$B$234="Да",'19_Расчет_аналитики'!N3444*'01_Вводные'!$B$14,0)</f>
        <v/>
      </c>
      <c r="P3445">
        <f>IF('01_Вводные'!$B$234="Да",'19_Расчет_аналитики'!O3444*'01_Вводные'!$B$14,0)</f>
        <v/>
      </c>
      <c r="Q3445">
        <f>IF('01_Вводные'!$B$234="Да",'19_Расчет_аналитики'!P3444*'01_Вводные'!$B$14,0)</f>
        <v/>
      </c>
      <c r="R3445">
        <f>IF('01_Вводные'!$B$234="Да",'19_Расчет_аналитики'!Q3444*'01_Вводные'!$B$14,0)</f>
        <v/>
      </c>
      <c r="S3445">
        <f>IF('01_Вводные'!$B$234="Да",'19_Расчет_аналитики'!R3444*'01_Вводные'!$B$14,0)</f>
        <v/>
      </c>
      <c r="T3445">
        <f>IF('01_Вводные'!$B$234="Да",'19_Расчет_аналитики'!S3444*'01_Вводные'!$B$14,0)</f>
        <v/>
      </c>
      <c r="U3445">
        <f>IF('01_Вводные'!$B$234="Да",'19_Расчет_аналитики'!T3444*'01_Вводные'!$B$14,0)</f>
        <v/>
      </c>
      <c r="V3445">
        <f>IF('01_Вводные'!$B$234="Да",'19_Расчет_аналитики'!U3444*'01_Вводные'!$B$14,0)</f>
        <v/>
      </c>
      <c r="W3445">
        <f>IF('01_Вводные'!$B$234="Да",'19_Расчет_аналитики'!V3444*'01_Вводные'!$B$14,0)</f>
        <v/>
      </c>
      <c r="X3445">
        <f>IF('01_Вводные'!$B$234="Да",'19_Расчет_аналитики'!W3444*'01_Вводные'!$B$14,0)</f>
        <v/>
      </c>
      <c r="Y3445">
        <f>IF('01_Вводные'!$B$234="Да",'19_Расчет_аналитики'!X3444*'01_Вводные'!$B$14,0)</f>
        <v/>
      </c>
      <c r="Z3445">
        <f>IF('01_Вводные'!$B$234="Да",'19_Расчет_аналитики'!Y3444*'01_Вводные'!$B$14,0)</f>
        <v/>
      </c>
      <c r="AA3445">
        <f>IF('01_Вводные'!$B$234="Да",'19_Расчет_аналитики'!Z3444*'01_Вводные'!$B$14,0)</f>
        <v/>
      </c>
      <c r="AB3445">
        <f>IF('01_Вводные'!$B$234="Да",'19_Расчет_аналитики'!AA3444*'01_Вводные'!$B$14,0)</f>
        <v/>
      </c>
      <c r="AC3445">
        <f>IF('01_Вводные'!$B$234="Да",'19_Расчет_аналитики'!AB3444*'01_Вводные'!$B$14,0)</f>
        <v/>
      </c>
      <c r="AD3445">
        <f>IF('01_Вводные'!$B$234="Да",'19_Расчет_аналитики'!AC3444*'01_Вводные'!$B$14,0)</f>
        <v/>
      </c>
      <c r="AE3445">
        <f>IF('01_Вводные'!$B$234="Да",'19_Расчет_аналитики'!AD3444*'01_Вводные'!$B$14,0)</f>
        <v/>
      </c>
      <c r="AF3445">
        <f>IF('01_Вводные'!$B$234="Да",'19_Расчет_аналитики'!AE3444*'01_Вводные'!$B$14,0)</f>
        <v/>
      </c>
      <c r="AG3445">
        <f>IF('01_Вводные'!$B$234="Да",'19_Расчет_аналитики'!AF3444*'01_Вводные'!$B$14,0)</f>
        <v/>
      </c>
      <c r="AH3445">
        <f>IF('01_Вводные'!$B$234="Да",'19_Расчет_аналитики'!AG3444*'01_Вводные'!$B$14,0)</f>
        <v/>
      </c>
      <c r="AI3445">
        <f>IF('01_Вводные'!$B$234="Да",'19_Расчет_аналитики'!AH3444*'01_Вводные'!$B$14,0)</f>
        <v/>
      </c>
      <c r="AJ3445">
        <f>IF('01_Вводные'!$B$234="Да",'19_Расчет_аналитики'!AI3444*'01_Вводные'!$B$14,0)</f>
        <v/>
      </c>
      <c r="AK3445">
        <f>IF('01_Вводные'!$B$234="Да",'19_Расчет_аналитики'!AJ3444*'01_Вводные'!$B$14,0)</f>
        <v/>
      </c>
      <c r="AL3445">
        <f>IF('01_Вводные'!$B$234="Да",'19_Расчет_аналитики'!AK3444*'01_Вводные'!$B$14,0)</f>
        <v/>
      </c>
      <c r="AM3445">
        <f>IF('01_Вводные'!$B$234="Да",'19_Расчет_аналитики'!AL3444*'01_Вводные'!$B$14,0)</f>
        <v/>
      </c>
      <c r="AN3445">
        <f>IF('01_Вводные'!$B$234="Да",'19_Расчет_аналитики'!AM3444*'01_Вводные'!$B$14,0)</f>
        <v/>
      </c>
      <c r="AO3445">
        <f>IF('01_Вводные'!$B$234="Да",'19_Расчет_аналитики'!AN3444*'01_Вводные'!$B$14,0)</f>
        <v/>
      </c>
      <c r="AP3445">
        <f>IF('01_Вводные'!$B$234="Да",'19_Расчет_аналитики'!AO3444*'01_Вводные'!$B$14,0)</f>
        <v/>
      </c>
      <c r="AQ3445">
        <f>IF('01_Вводные'!$B$234="Да",'19_Расчет_аналитики'!AP3444*'01_Вводные'!$B$14,0)</f>
        <v/>
      </c>
      <c r="AR3445">
        <f>IF('01_Вводные'!$B$234="Да",'19_Расчет_аналитики'!AQ3444*'01_Вводные'!$B$14,0)</f>
        <v/>
      </c>
      <c r="AS3445">
        <f>IF('01_Вводные'!$B$234="Да",'19_Расчет_аналитики'!AR3444*'01_Вводные'!$B$14,0)</f>
        <v/>
      </c>
      <c r="AT3445">
        <f>IF('01_Вводные'!$B$234="Да",'19_Расчет_аналитики'!AS3444*'01_Вводные'!$B$14,0)</f>
        <v/>
      </c>
      <c r="AU3445">
        <f>IF('01_Вводные'!$B$234="Да",'19_Расчет_аналитики'!AT3444*'01_Вводные'!$B$14,0)</f>
        <v/>
      </c>
      <c r="AV3445">
        <f>IF('01_Вводные'!$B$234="Да",'19_Расчет_аналитики'!AU3444*'01_Вводные'!$B$14,0)</f>
        <v/>
      </c>
      <c r="AW3445">
        <f>IF('01_Вводные'!$B$234="Да",'19_Расчет_аналитики'!AV3444*'01_Вводные'!$B$14,0)</f>
        <v/>
      </c>
      <c r="AX3445">
        <f>IF('01_Вводные'!$B$234="Да",'19_Расчет_аналитики'!AW3444*'01_Вводные'!$B$14,0)</f>
        <v/>
      </c>
      <c r="AY3445">
        <f>IF('01_Вводные'!$B$234="Да",'19_Расчет_аналитики'!AX3444*'01_Вводные'!$B$14,0)</f>
        <v/>
      </c>
      <c r="AZ3445">
        <f>IF('01_Вводные'!$B$234="Да",'19_Расчет_аналитики'!AY3444*'01_Вводные'!$B$14,0)</f>
        <v/>
      </c>
      <c r="BA3445">
        <f>IF('01_Вводные'!$B$234="Да",'19_Расчет_аналитики'!AZ3444*'01_Вводные'!$B$14,0)</f>
        <v/>
      </c>
      <c r="BB3445">
        <f>IF('01_Вводные'!$B$234="Да",'19_Расчет_аналитики'!BA3444*'01_Вводные'!$B$14,0)</f>
        <v/>
      </c>
      <c r="BC3445">
        <f>IF('01_Вводные'!$B$234="Да",'19_Расчет_аналитики'!BB3444*'01_Вводные'!$B$14,0)</f>
        <v/>
      </c>
      <c r="BD3445">
        <f>IF('01_Вводные'!$B$234="Да",'19_Расчет_аналитики'!BC3444*'01_Вводные'!$B$14,0)</f>
        <v/>
      </c>
      <c r="BE3445">
        <f>IF('01_Вводные'!$B$234="Да",'19_Расчет_аналитики'!BD3444*'01_Вводные'!$B$14,0)</f>
        <v/>
      </c>
      <c r="BF3445">
        <f>IF('01_Вводные'!$B$234="Да",'19_Расчет_аналитики'!BE3444*'01_Вводные'!$B$14,0)</f>
        <v/>
      </c>
      <c r="BG3445">
        <f>IF('01_Вводные'!$B$234="Да",'19_Расчет_аналитики'!BF3444*'01_Вводные'!$B$14,0)</f>
        <v/>
      </c>
      <c r="BH3445">
        <f>IF('01_Вводные'!$B$234="Да",'19_Расчет_аналитики'!BG3444*'01_Вводные'!$B$14,0)</f>
        <v/>
      </c>
      <c r="BI3445">
        <f>IF('01_Вводные'!$B$234="Да",'19_Расчет_аналитики'!BH3444*'01_Вводные'!$B$14,0)</f>
        <v/>
      </c>
      <c r="BJ3445">
        <f>IF('01_Вводные'!$B$234="Да",'19_Расчет_аналитики'!BI3444*'01_Вводные'!$B$14,0)</f>
        <v/>
      </c>
      <c r="BK3445">
        <f>IF('01_Вводные'!$B$234="Да",'19_Расчет_аналитики'!BJ3444*'01_Вводные'!$B$14,0)</f>
        <v/>
      </c>
      <c r="BL3445">
        <f>IF('01_Вводные'!$B$234="Да",'19_Расчет_аналитики'!BK3444*'01_Вводные'!$B$14,0)</f>
        <v/>
      </c>
      <c r="BM3445">
        <f>IF('01_Вводные'!$B$234="Да",'19_Расчет_аналитики'!BL3444*'01_Вводные'!$B$14,0)</f>
        <v/>
      </c>
      <c r="BN3445">
        <f>IF('01_Вводные'!$B$234="Да",'19_Расчет_аналитики'!BM3444*'01_Вводные'!$B$14,0)</f>
        <v/>
      </c>
      <c r="BO3445">
        <f>IF('01_Вводные'!$B$234="Да",'19_Расчет_аналитики'!BN3444*'01_Вводные'!$B$14,0)</f>
        <v/>
      </c>
    </row>
    <row r="3446">
      <c r="B3446">
        <f>'06_Сеть_и_дети'!B55</f>
        <v/>
      </c>
      <c r="C3446">
        <f>'06_Сеть_и_дети'!C55</f>
        <v/>
      </c>
      <c r="D3446">
        <f>IF('01_Вводные'!$B$234="Да",'19_Расчет_аналитики'!C3445*'01_Вводные'!$B$14,0)</f>
        <v/>
      </c>
      <c r="E3446">
        <f>IF('01_Вводные'!$B$234="Да",'19_Расчет_аналитики'!D3445*'01_Вводные'!$B$14,0)</f>
        <v/>
      </c>
      <c r="F3446">
        <f>IF('01_Вводные'!$B$234="Да",'19_Расчет_аналитики'!E3445*'01_Вводные'!$B$14,0)</f>
        <v/>
      </c>
      <c r="G3446">
        <f>IF('01_Вводные'!$B$234="Да",'19_Расчет_аналитики'!F3445*'01_Вводные'!$B$14,0)</f>
        <v/>
      </c>
      <c r="H3446">
        <f>IF('01_Вводные'!$B$234="Да",'19_Расчет_аналитики'!G3445*'01_Вводные'!$B$14,0)</f>
        <v/>
      </c>
      <c r="I3446">
        <f>IF('01_Вводные'!$B$234="Да",'19_Расчет_аналитики'!H3445*'01_Вводные'!$B$14,0)</f>
        <v/>
      </c>
      <c r="J3446">
        <f>IF('01_Вводные'!$B$234="Да",'19_Расчет_аналитики'!I3445*'01_Вводные'!$B$14,0)</f>
        <v/>
      </c>
      <c r="K3446">
        <f>IF('01_Вводные'!$B$234="Да",'19_Расчет_аналитики'!J3445*'01_Вводные'!$B$14,0)</f>
        <v/>
      </c>
      <c r="L3446">
        <f>IF('01_Вводные'!$B$234="Да",'19_Расчет_аналитики'!K3445*'01_Вводные'!$B$14,0)</f>
        <v/>
      </c>
      <c r="M3446">
        <f>IF('01_Вводные'!$B$234="Да",'19_Расчет_аналитики'!L3445*'01_Вводные'!$B$14,0)</f>
        <v/>
      </c>
      <c r="N3446">
        <f>IF('01_Вводные'!$B$234="Да",'19_Расчет_аналитики'!M3445*'01_Вводные'!$B$14,0)</f>
        <v/>
      </c>
      <c r="O3446">
        <f>IF('01_Вводные'!$B$234="Да",'19_Расчет_аналитики'!N3445*'01_Вводные'!$B$14,0)</f>
        <v/>
      </c>
      <c r="P3446">
        <f>IF('01_Вводные'!$B$234="Да",'19_Расчет_аналитики'!O3445*'01_Вводные'!$B$14,0)</f>
        <v/>
      </c>
      <c r="Q3446">
        <f>IF('01_Вводные'!$B$234="Да",'19_Расчет_аналитики'!P3445*'01_Вводные'!$B$14,0)</f>
        <v/>
      </c>
      <c r="R3446">
        <f>IF('01_Вводные'!$B$234="Да",'19_Расчет_аналитики'!Q3445*'01_Вводные'!$B$14,0)</f>
        <v/>
      </c>
      <c r="S3446">
        <f>IF('01_Вводные'!$B$234="Да",'19_Расчет_аналитики'!R3445*'01_Вводные'!$B$14,0)</f>
        <v/>
      </c>
      <c r="T3446">
        <f>IF('01_Вводные'!$B$234="Да",'19_Расчет_аналитики'!S3445*'01_Вводные'!$B$14,0)</f>
        <v/>
      </c>
      <c r="U3446">
        <f>IF('01_Вводные'!$B$234="Да",'19_Расчет_аналитики'!T3445*'01_Вводные'!$B$14,0)</f>
        <v/>
      </c>
      <c r="V3446">
        <f>IF('01_Вводные'!$B$234="Да",'19_Расчет_аналитики'!U3445*'01_Вводные'!$B$14,0)</f>
        <v/>
      </c>
      <c r="W3446">
        <f>IF('01_Вводные'!$B$234="Да",'19_Расчет_аналитики'!V3445*'01_Вводные'!$B$14,0)</f>
        <v/>
      </c>
      <c r="X3446">
        <f>IF('01_Вводные'!$B$234="Да",'19_Расчет_аналитики'!W3445*'01_Вводные'!$B$14,0)</f>
        <v/>
      </c>
      <c r="Y3446">
        <f>IF('01_Вводные'!$B$234="Да",'19_Расчет_аналитики'!X3445*'01_Вводные'!$B$14,0)</f>
        <v/>
      </c>
      <c r="Z3446">
        <f>IF('01_Вводные'!$B$234="Да",'19_Расчет_аналитики'!Y3445*'01_Вводные'!$B$14,0)</f>
        <v/>
      </c>
      <c r="AA3446">
        <f>IF('01_Вводные'!$B$234="Да",'19_Расчет_аналитики'!Z3445*'01_Вводные'!$B$14,0)</f>
        <v/>
      </c>
      <c r="AB3446">
        <f>IF('01_Вводные'!$B$234="Да",'19_Расчет_аналитики'!AA3445*'01_Вводные'!$B$14,0)</f>
        <v/>
      </c>
      <c r="AC3446">
        <f>IF('01_Вводные'!$B$234="Да",'19_Расчет_аналитики'!AB3445*'01_Вводные'!$B$14,0)</f>
        <v/>
      </c>
      <c r="AD3446">
        <f>IF('01_Вводные'!$B$234="Да",'19_Расчет_аналитики'!AC3445*'01_Вводные'!$B$14,0)</f>
        <v/>
      </c>
      <c r="AE3446">
        <f>IF('01_Вводные'!$B$234="Да",'19_Расчет_аналитики'!AD3445*'01_Вводные'!$B$14,0)</f>
        <v/>
      </c>
      <c r="AF3446">
        <f>IF('01_Вводные'!$B$234="Да",'19_Расчет_аналитики'!AE3445*'01_Вводные'!$B$14,0)</f>
        <v/>
      </c>
      <c r="AG3446">
        <f>IF('01_Вводные'!$B$234="Да",'19_Расчет_аналитики'!AF3445*'01_Вводные'!$B$14,0)</f>
        <v/>
      </c>
      <c r="AH3446">
        <f>IF('01_Вводные'!$B$234="Да",'19_Расчет_аналитики'!AG3445*'01_Вводные'!$B$14,0)</f>
        <v/>
      </c>
      <c r="AI3446">
        <f>IF('01_Вводные'!$B$234="Да",'19_Расчет_аналитики'!AH3445*'01_Вводные'!$B$14,0)</f>
        <v/>
      </c>
      <c r="AJ3446">
        <f>IF('01_Вводные'!$B$234="Да",'19_Расчет_аналитики'!AI3445*'01_Вводные'!$B$14,0)</f>
        <v/>
      </c>
      <c r="AK3446">
        <f>IF('01_Вводные'!$B$234="Да",'19_Расчет_аналитики'!AJ3445*'01_Вводные'!$B$14,0)</f>
        <v/>
      </c>
      <c r="AL3446">
        <f>IF('01_Вводные'!$B$234="Да",'19_Расчет_аналитики'!AK3445*'01_Вводные'!$B$14,0)</f>
        <v/>
      </c>
      <c r="AM3446">
        <f>IF('01_Вводные'!$B$234="Да",'19_Расчет_аналитики'!AL3445*'01_Вводные'!$B$14,0)</f>
        <v/>
      </c>
      <c r="AN3446">
        <f>IF('01_Вводные'!$B$234="Да",'19_Расчет_аналитики'!AM3445*'01_Вводные'!$B$14,0)</f>
        <v/>
      </c>
      <c r="AO3446">
        <f>IF('01_Вводные'!$B$234="Да",'19_Расчет_аналитики'!AN3445*'01_Вводные'!$B$14,0)</f>
        <v/>
      </c>
      <c r="AP3446">
        <f>IF('01_Вводные'!$B$234="Да",'19_Расчет_аналитики'!AO3445*'01_Вводные'!$B$14,0)</f>
        <v/>
      </c>
      <c r="AQ3446">
        <f>IF('01_Вводные'!$B$234="Да",'19_Расчет_аналитики'!AP3445*'01_Вводные'!$B$14,0)</f>
        <v/>
      </c>
      <c r="AR3446">
        <f>IF('01_Вводные'!$B$234="Да",'19_Расчет_аналитики'!AQ3445*'01_Вводные'!$B$14,0)</f>
        <v/>
      </c>
      <c r="AS3446">
        <f>IF('01_Вводные'!$B$234="Да",'19_Расчет_аналитики'!AR3445*'01_Вводные'!$B$14,0)</f>
        <v/>
      </c>
      <c r="AT3446">
        <f>IF('01_Вводные'!$B$234="Да",'19_Расчет_аналитики'!AS3445*'01_Вводные'!$B$14,0)</f>
        <v/>
      </c>
      <c r="AU3446">
        <f>IF('01_Вводные'!$B$234="Да",'19_Расчет_аналитики'!AT3445*'01_Вводные'!$B$14,0)</f>
        <v/>
      </c>
      <c r="AV3446">
        <f>IF('01_Вводные'!$B$234="Да",'19_Расчет_аналитики'!AU3445*'01_Вводные'!$B$14,0)</f>
        <v/>
      </c>
      <c r="AW3446">
        <f>IF('01_Вводные'!$B$234="Да",'19_Расчет_аналитики'!AV3445*'01_Вводные'!$B$14,0)</f>
        <v/>
      </c>
      <c r="AX3446">
        <f>IF('01_Вводные'!$B$234="Да",'19_Расчет_аналитики'!AW3445*'01_Вводные'!$B$14,0)</f>
        <v/>
      </c>
      <c r="AY3446">
        <f>IF('01_Вводные'!$B$234="Да",'19_Расчет_аналитики'!AX3445*'01_Вводные'!$B$14,0)</f>
        <v/>
      </c>
      <c r="AZ3446">
        <f>IF('01_Вводные'!$B$234="Да",'19_Расчет_аналитики'!AY3445*'01_Вводные'!$B$14,0)</f>
        <v/>
      </c>
      <c r="BA3446">
        <f>IF('01_Вводные'!$B$234="Да",'19_Расчет_аналитики'!AZ3445*'01_Вводные'!$B$14,0)</f>
        <v/>
      </c>
      <c r="BB3446">
        <f>IF('01_Вводные'!$B$234="Да",'19_Расчет_аналитики'!BA3445*'01_Вводные'!$B$14,0)</f>
        <v/>
      </c>
      <c r="BC3446">
        <f>IF('01_Вводные'!$B$234="Да",'19_Расчет_аналитики'!BB3445*'01_Вводные'!$B$14,0)</f>
        <v/>
      </c>
      <c r="BD3446">
        <f>IF('01_Вводные'!$B$234="Да",'19_Расчет_аналитики'!BC3445*'01_Вводные'!$B$14,0)</f>
        <v/>
      </c>
      <c r="BE3446">
        <f>IF('01_Вводные'!$B$234="Да",'19_Расчет_аналитики'!BD3445*'01_Вводные'!$B$14,0)</f>
        <v/>
      </c>
      <c r="BF3446">
        <f>IF('01_Вводные'!$B$234="Да",'19_Расчет_аналитики'!BE3445*'01_Вводные'!$B$14,0)</f>
        <v/>
      </c>
      <c r="BG3446">
        <f>IF('01_Вводные'!$B$234="Да",'19_Расчет_аналитики'!BF3445*'01_Вводные'!$B$14,0)</f>
        <v/>
      </c>
      <c r="BH3446">
        <f>IF('01_Вводные'!$B$234="Да",'19_Расчет_аналитики'!BG3445*'01_Вводные'!$B$14,0)</f>
        <v/>
      </c>
      <c r="BI3446">
        <f>IF('01_Вводные'!$B$234="Да",'19_Расчет_аналитики'!BH3445*'01_Вводные'!$B$14,0)</f>
        <v/>
      </c>
      <c r="BJ3446">
        <f>IF('01_Вводные'!$B$234="Да",'19_Расчет_аналитики'!BI3445*'01_Вводные'!$B$14,0)</f>
        <v/>
      </c>
      <c r="BK3446">
        <f>IF('01_Вводные'!$B$234="Да",'19_Расчет_аналитики'!BJ3445*'01_Вводные'!$B$14,0)</f>
        <v/>
      </c>
      <c r="BL3446">
        <f>IF('01_Вводные'!$B$234="Да",'19_Расчет_аналитики'!BK3445*'01_Вводные'!$B$14,0)</f>
        <v/>
      </c>
      <c r="BM3446">
        <f>IF('01_Вводные'!$B$234="Да",'19_Расчет_аналитики'!BL3445*'01_Вводные'!$B$14,0)</f>
        <v/>
      </c>
      <c r="BN3446">
        <f>IF('01_Вводные'!$B$234="Да",'19_Расчет_аналитики'!BM3445*'01_Вводные'!$B$14,0)</f>
        <v/>
      </c>
      <c r="BO3446">
        <f>IF('01_Вводные'!$B$234="Да",'19_Расчет_аналитики'!BN3445*'01_Вводные'!$B$14,0)</f>
        <v/>
      </c>
    </row>
    <row r="3447">
      <c r="B3447">
        <f>'06_Сеть_и_дети'!B56</f>
        <v/>
      </c>
      <c r="C3447">
        <f>'06_Сеть_и_дети'!C56</f>
        <v/>
      </c>
      <c r="D3447">
        <f>'06_Сеть_и_дети'!D56</f>
        <v/>
      </c>
      <c r="E3447">
        <f>IF('01_Вводные'!$B$234="Да",'19_Расчет_аналитики'!D3446*'01_Вводные'!$B$14,0)</f>
        <v/>
      </c>
      <c r="F3447">
        <f>IF('01_Вводные'!$B$234="Да",'19_Расчет_аналитики'!E3446*'01_Вводные'!$B$14,0)</f>
        <v/>
      </c>
      <c r="G3447">
        <f>IF('01_Вводные'!$B$234="Да",'19_Расчет_аналитики'!F3446*'01_Вводные'!$B$14,0)</f>
        <v/>
      </c>
      <c r="H3447">
        <f>IF('01_Вводные'!$B$234="Да",'19_Расчет_аналитики'!G3446*'01_Вводные'!$B$14,0)</f>
        <v/>
      </c>
      <c r="I3447">
        <f>IF('01_Вводные'!$B$234="Да",'19_Расчет_аналитики'!H3446*'01_Вводные'!$B$14,0)</f>
        <v/>
      </c>
      <c r="J3447">
        <f>IF('01_Вводные'!$B$234="Да",'19_Расчет_аналитики'!I3446*'01_Вводные'!$B$14,0)</f>
        <v/>
      </c>
      <c r="K3447">
        <f>IF('01_Вводные'!$B$234="Да",'19_Расчет_аналитики'!J3446*'01_Вводные'!$B$14,0)</f>
        <v/>
      </c>
      <c r="L3447">
        <f>IF('01_Вводные'!$B$234="Да",'19_Расчет_аналитики'!K3446*'01_Вводные'!$B$14,0)</f>
        <v/>
      </c>
      <c r="M3447">
        <f>IF('01_Вводные'!$B$234="Да",'19_Расчет_аналитики'!L3446*'01_Вводные'!$B$14,0)</f>
        <v/>
      </c>
      <c r="N3447">
        <f>IF('01_Вводные'!$B$234="Да",'19_Расчет_аналитики'!M3446*'01_Вводные'!$B$14,0)</f>
        <v/>
      </c>
      <c r="O3447">
        <f>IF('01_Вводные'!$B$234="Да",'19_Расчет_аналитики'!N3446*'01_Вводные'!$B$14,0)</f>
        <v/>
      </c>
      <c r="P3447">
        <f>IF('01_Вводные'!$B$234="Да",'19_Расчет_аналитики'!O3446*'01_Вводные'!$B$14,0)</f>
        <v/>
      </c>
      <c r="Q3447">
        <f>IF('01_Вводные'!$B$234="Да",'19_Расчет_аналитики'!P3446*'01_Вводные'!$B$14,0)</f>
        <v/>
      </c>
      <c r="R3447">
        <f>IF('01_Вводные'!$B$234="Да",'19_Расчет_аналитики'!Q3446*'01_Вводные'!$B$14,0)</f>
        <v/>
      </c>
      <c r="S3447">
        <f>IF('01_Вводные'!$B$234="Да",'19_Расчет_аналитики'!R3446*'01_Вводные'!$B$14,0)</f>
        <v/>
      </c>
      <c r="T3447">
        <f>IF('01_Вводные'!$B$234="Да",'19_Расчет_аналитики'!S3446*'01_Вводные'!$B$14,0)</f>
        <v/>
      </c>
      <c r="U3447">
        <f>IF('01_Вводные'!$B$234="Да",'19_Расчет_аналитики'!T3446*'01_Вводные'!$B$14,0)</f>
        <v/>
      </c>
      <c r="V3447">
        <f>IF('01_Вводные'!$B$234="Да",'19_Расчет_аналитики'!U3446*'01_Вводные'!$B$14,0)</f>
        <v/>
      </c>
      <c r="W3447">
        <f>IF('01_Вводные'!$B$234="Да",'19_Расчет_аналитики'!V3446*'01_Вводные'!$B$14,0)</f>
        <v/>
      </c>
      <c r="X3447">
        <f>IF('01_Вводные'!$B$234="Да",'19_Расчет_аналитики'!W3446*'01_Вводные'!$B$14,0)</f>
        <v/>
      </c>
      <c r="Y3447">
        <f>IF('01_Вводные'!$B$234="Да",'19_Расчет_аналитики'!X3446*'01_Вводные'!$B$14,0)</f>
        <v/>
      </c>
      <c r="Z3447">
        <f>IF('01_Вводные'!$B$234="Да",'19_Расчет_аналитики'!Y3446*'01_Вводные'!$B$14,0)</f>
        <v/>
      </c>
      <c r="AA3447">
        <f>IF('01_Вводные'!$B$234="Да",'19_Расчет_аналитики'!Z3446*'01_Вводные'!$B$14,0)</f>
        <v/>
      </c>
      <c r="AB3447">
        <f>IF('01_Вводные'!$B$234="Да",'19_Расчет_аналитики'!AA3446*'01_Вводные'!$B$14,0)</f>
        <v/>
      </c>
      <c r="AC3447">
        <f>IF('01_Вводные'!$B$234="Да",'19_Расчет_аналитики'!AB3446*'01_Вводные'!$B$14,0)</f>
        <v/>
      </c>
      <c r="AD3447">
        <f>IF('01_Вводные'!$B$234="Да",'19_Расчет_аналитики'!AC3446*'01_Вводные'!$B$14,0)</f>
        <v/>
      </c>
      <c r="AE3447">
        <f>IF('01_Вводные'!$B$234="Да",'19_Расчет_аналитики'!AD3446*'01_Вводные'!$B$14,0)</f>
        <v/>
      </c>
      <c r="AF3447">
        <f>IF('01_Вводные'!$B$234="Да",'19_Расчет_аналитики'!AE3446*'01_Вводные'!$B$14,0)</f>
        <v/>
      </c>
      <c r="AG3447">
        <f>IF('01_Вводные'!$B$234="Да",'19_Расчет_аналитики'!AF3446*'01_Вводные'!$B$14,0)</f>
        <v/>
      </c>
      <c r="AH3447">
        <f>IF('01_Вводные'!$B$234="Да",'19_Расчет_аналитики'!AG3446*'01_Вводные'!$B$14,0)</f>
        <v/>
      </c>
      <c r="AI3447">
        <f>IF('01_Вводные'!$B$234="Да",'19_Расчет_аналитики'!AH3446*'01_Вводные'!$B$14,0)</f>
        <v/>
      </c>
      <c r="AJ3447">
        <f>IF('01_Вводные'!$B$234="Да",'19_Расчет_аналитики'!AI3446*'01_Вводные'!$B$14,0)</f>
        <v/>
      </c>
      <c r="AK3447">
        <f>IF('01_Вводные'!$B$234="Да",'19_Расчет_аналитики'!AJ3446*'01_Вводные'!$B$14,0)</f>
        <v/>
      </c>
      <c r="AL3447">
        <f>IF('01_Вводные'!$B$234="Да",'19_Расчет_аналитики'!AK3446*'01_Вводные'!$B$14,0)</f>
        <v/>
      </c>
      <c r="AM3447">
        <f>IF('01_Вводные'!$B$234="Да",'19_Расчет_аналитики'!AL3446*'01_Вводные'!$B$14,0)</f>
        <v/>
      </c>
      <c r="AN3447">
        <f>IF('01_Вводные'!$B$234="Да",'19_Расчет_аналитики'!AM3446*'01_Вводные'!$B$14,0)</f>
        <v/>
      </c>
      <c r="AO3447">
        <f>IF('01_Вводные'!$B$234="Да",'19_Расчет_аналитики'!AN3446*'01_Вводные'!$B$14,0)</f>
        <v/>
      </c>
      <c r="AP3447">
        <f>IF('01_Вводные'!$B$234="Да",'19_Расчет_аналитики'!AO3446*'01_Вводные'!$B$14,0)</f>
        <v/>
      </c>
      <c r="AQ3447">
        <f>IF('01_Вводные'!$B$234="Да",'19_Расчет_аналитики'!AP3446*'01_Вводные'!$B$14,0)</f>
        <v/>
      </c>
      <c r="AR3447">
        <f>IF('01_Вводные'!$B$234="Да",'19_Расчет_аналитики'!AQ3446*'01_Вводные'!$B$14,0)</f>
        <v/>
      </c>
      <c r="AS3447">
        <f>IF('01_Вводные'!$B$234="Да",'19_Расчет_аналитики'!AR3446*'01_Вводные'!$B$14,0)</f>
        <v/>
      </c>
      <c r="AT3447">
        <f>IF('01_Вводные'!$B$234="Да",'19_Расчет_аналитики'!AS3446*'01_Вводные'!$B$14,0)</f>
        <v/>
      </c>
      <c r="AU3447">
        <f>IF('01_Вводные'!$B$234="Да",'19_Расчет_аналитики'!AT3446*'01_Вводные'!$B$14,0)</f>
        <v/>
      </c>
      <c r="AV3447">
        <f>IF('01_Вводные'!$B$234="Да",'19_Расчет_аналитики'!AU3446*'01_Вводные'!$B$14,0)</f>
        <v/>
      </c>
      <c r="AW3447">
        <f>IF('01_Вводные'!$B$234="Да",'19_Расчет_аналитики'!AV3446*'01_Вводные'!$B$14,0)</f>
        <v/>
      </c>
      <c r="AX3447">
        <f>IF('01_Вводные'!$B$234="Да",'19_Расчет_аналитики'!AW3446*'01_Вводные'!$B$14,0)</f>
        <v/>
      </c>
      <c r="AY3447">
        <f>IF('01_Вводные'!$B$234="Да",'19_Расчет_аналитики'!AX3446*'01_Вводные'!$B$14,0)</f>
        <v/>
      </c>
      <c r="AZ3447">
        <f>IF('01_Вводные'!$B$234="Да",'19_Расчет_аналитики'!AY3446*'01_Вводные'!$B$14,0)</f>
        <v/>
      </c>
      <c r="BA3447">
        <f>IF('01_Вводные'!$B$234="Да",'19_Расчет_аналитики'!AZ3446*'01_Вводные'!$B$14,0)</f>
        <v/>
      </c>
      <c r="BB3447">
        <f>IF('01_Вводные'!$B$234="Да",'19_Расчет_аналитики'!BA3446*'01_Вводные'!$B$14,0)</f>
        <v/>
      </c>
      <c r="BC3447">
        <f>IF('01_Вводные'!$B$234="Да",'19_Расчет_аналитики'!BB3446*'01_Вводные'!$B$14,0)</f>
        <v/>
      </c>
      <c r="BD3447">
        <f>IF('01_Вводные'!$B$234="Да",'19_Расчет_аналитики'!BC3446*'01_Вводные'!$B$14,0)</f>
        <v/>
      </c>
      <c r="BE3447">
        <f>IF('01_Вводные'!$B$234="Да",'19_Расчет_аналитики'!BD3446*'01_Вводные'!$B$14,0)</f>
        <v/>
      </c>
      <c r="BF3447">
        <f>IF('01_Вводные'!$B$234="Да",'19_Расчет_аналитики'!BE3446*'01_Вводные'!$B$14,0)</f>
        <v/>
      </c>
      <c r="BG3447">
        <f>IF('01_Вводные'!$B$234="Да",'19_Расчет_аналитики'!BF3446*'01_Вводные'!$B$14,0)</f>
        <v/>
      </c>
      <c r="BH3447">
        <f>IF('01_Вводные'!$B$234="Да",'19_Расчет_аналитики'!BG3446*'01_Вводные'!$B$14,0)</f>
        <v/>
      </c>
      <c r="BI3447">
        <f>IF('01_Вводные'!$B$234="Да",'19_Расчет_аналитики'!BH3446*'01_Вводные'!$B$14,0)</f>
        <v/>
      </c>
      <c r="BJ3447">
        <f>IF('01_Вводные'!$B$234="Да",'19_Расчет_аналитики'!BI3446*'01_Вводные'!$B$14,0)</f>
        <v/>
      </c>
      <c r="BK3447">
        <f>IF('01_Вводные'!$B$234="Да",'19_Расчет_аналитики'!BJ3446*'01_Вводные'!$B$14,0)</f>
        <v/>
      </c>
      <c r="BL3447">
        <f>IF('01_Вводные'!$B$234="Да",'19_Расчет_аналитики'!BK3446*'01_Вводные'!$B$14,0)</f>
        <v/>
      </c>
      <c r="BM3447">
        <f>IF('01_Вводные'!$B$234="Да",'19_Расчет_аналитики'!BL3446*'01_Вводные'!$B$14,0)</f>
        <v/>
      </c>
      <c r="BN3447">
        <f>IF('01_Вводные'!$B$234="Да",'19_Расчет_аналитики'!BM3446*'01_Вводные'!$B$14,0)</f>
        <v/>
      </c>
      <c r="BO3447">
        <f>IF('01_Вводные'!$B$234="Да",'19_Расчет_аналитики'!BN3446*'01_Вводные'!$B$14,0)</f>
        <v/>
      </c>
    </row>
    <row r="3448">
      <c r="B3448">
        <f>'06_Сеть_и_дети'!B57</f>
        <v/>
      </c>
      <c r="C3448">
        <f>'06_Сеть_и_дети'!C57</f>
        <v/>
      </c>
      <c r="D3448">
        <f>'06_Сеть_и_дети'!D57</f>
        <v/>
      </c>
      <c r="E3448">
        <f>'06_Сеть_и_дети'!E57</f>
        <v/>
      </c>
      <c r="F3448">
        <f>IF('01_Вводные'!$B$234="Да",'19_Расчет_аналитики'!E3447*'01_Вводные'!$B$14,0)</f>
        <v/>
      </c>
      <c r="G3448">
        <f>IF('01_Вводные'!$B$234="Да",'19_Расчет_аналитики'!F3447*'01_Вводные'!$B$14,0)</f>
        <v/>
      </c>
      <c r="H3448">
        <f>IF('01_Вводные'!$B$234="Да",'19_Расчет_аналитики'!G3447*'01_Вводные'!$B$14,0)</f>
        <v/>
      </c>
      <c r="I3448">
        <f>IF('01_Вводные'!$B$234="Да",'19_Расчет_аналитики'!H3447*'01_Вводные'!$B$14,0)</f>
        <v/>
      </c>
      <c r="J3448">
        <f>IF('01_Вводные'!$B$234="Да",'19_Расчет_аналитики'!I3447*'01_Вводные'!$B$14,0)</f>
        <v/>
      </c>
      <c r="K3448">
        <f>IF('01_Вводные'!$B$234="Да",'19_Расчет_аналитики'!J3447*'01_Вводные'!$B$14,0)</f>
        <v/>
      </c>
      <c r="L3448">
        <f>IF('01_Вводные'!$B$234="Да",'19_Расчет_аналитики'!K3447*'01_Вводные'!$B$14,0)</f>
        <v/>
      </c>
      <c r="M3448">
        <f>IF('01_Вводные'!$B$234="Да",'19_Расчет_аналитики'!L3447*'01_Вводные'!$B$14,0)</f>
        <v/>
      </c>
      <c r="N3448">
        <f>IF('01_Вводные'!$B$234="Да",'19_Расчет_аналитики'!M3447*'01_Вводные'!$B$14,0)</f>
        <v/>
      </c>
      <c r="O3448">
        <f>IF('01_Вводные'!$B$234="Да",'19_Расчет_аналитики'!N3447*'01_Вводные'!$B$14,0)</f>
        <v/>
      </c>
      <c r="P3448">
        <f>IF('01_Вводные'!$B$234="Да",'19_Расчет_аналитики'!O3447*'01_Вводные'!$B$14,0)</f>
        <v/>
      </c>
      <c r="Q3448">
        <f>IF('01_Вводные'!$B$234="Да",'19_Расчет_аналитики'!P3447*'01_Вводные'!$B$14,0)</f>
        <v/>
      </c>
      <c r="R3448">
        <f>IF('01_Вводные'!$B$234="Да",'19_Расчет_аналитики'!Q3447*'01_Вводные'!$B$14,0)</f>
        <v/>
      </c>
      <c r="S3448">
        <f>IF('01_Вводные'!$B$234="Да",'19_Расчет_аналитики'!R3447*'01_Вводные'!$B$14,0)</f>
        <v/>
      </c>
      <c r="T3448">
        <f>IF('01_Вводные'!$B$234="Да",'19_Расчет_аналитики'!S3447*'01_Вводные'!$B$14,0)</f>
        <v/>
      </c>
      <c r="U3448">
        <f>IF('01_Вводные'!$B$234="Да",'19_Расчет_аналитики'!T3447*'01_Вводные'!$B$14,0)</f>
        <v/>
      </c>
      <c r="V3448">
        <f>IF('01_Вводные'!$B$234="Да",'19_Расчет_аналитики'!U3447*'01_Вводные'!$B$14,0)</f>
        <v/>
      </c>
      <c r="W3448">
        <f>IF('01_Вводные'!$B$234="Да",'19_Расчет_аналитики'!V3447*'01_Вводные'!$B$14,0)</f>
        <v/>
      </c>
      <c r="X3448">
        <f>IF('01_Вводные'!$B$234="Да",'19_Расчет_аналитики'!W3447*'01_Вводные'!$B$14,0)</f>
        <v/>
      </c>
      <c r="Y3448">
        <f>IF('01_Вводные'!$B$234="Да",'19_Расчет_аналитики'!X3447*'01_Вводные'!$B$14,0)</f>
        <v/>
      </c>
      <c r="Z3448">
        <f>IF('01_Вводные'!$B$234="Да",'19_Расчет_аналитики'!Y3447*'01_Вводные'!$B$14,0)</f>
        <v/>
      </c>
      <c r="AA3448">
        <f>IF('01_Вводные'!$B$234="Да",'19_Расчет_аналитики'!Z3447*'01_Вводные'!$B$14,0)</f>
        <v/>
      </c>
      <c r="AB3448">
        <f>IF('01_Вводные'!$B$234="Да",'19_Расчет_аналитики'!AA3447*'01_Вводные'!$B$14,0)</f>
        <v/>
      </c>
      <c r="AC3448">
        <f>IF('01_Вводные'!$B$234="Да",'19_Расчет_аналитики'!AB3447*'01_Вводные'!$B$14,0)</f>
        <v/>
      </c>
      <c r="AD3448">
        <f>IF('01_Вводные'!$B$234="Да",'19_Расчет_аналитики'!AC3447*'01_Вводные'!$B$14,0)</f>
        <v/>
      </c>
      <c r="AE3448">
        <f>IF('01_Вводные'!$B$234="Да",'19_Расчет_аналитики'!AD3447*'01_Вводные'!$B$14,0)</f>
        <v/>
      </c>
      <c r="AF3448">
        <f>IF('01_Вводные'!$B$234="Да",'19_Расчет_аналитики'!AE3447*'01_Вводные'!$B$14,0)</f>
        <v/>
      </c>
      <c r="AG3448">
        <f>IF('01_Вводные'!$B$234="Да",'19_Расчет_аналитики'!AF3447*'01_Вводные'!$B$14,0)</f>
        <v/>
      </c>
      <c r="AH3448">
        <f>IF('01_Вводные'!$B$234="Да",'19_Расчет_аналитики'!AG3447*'01_Вводные'!$B$14,0)</f>
        <v/>
      </c>
      <c r="AI3448">
        <f>IF('01_Вводные'!$B$234="Да",'19_Расчет_аналитики'!AH3447*'01_Вводные'!$B$14,0)</f>
        <v/>
      </c>
      <c r="AJ3448">
        <f>IF('01_Вводные'!$B$234="Да",'19_Расчет_аналитики'!AI3447*'01_Вводные'!$B$14,0)</f>
        <v/>
      </c>
      <c r="AK3448">
        <f>IF('01_Вводные'!$B$234="Да",'19_Расчет_аналитики'!AJ3447*'01_Вводные'!$B$14,0)</f>
        <v/>
      </c>
      <c r="AL3448">
        <f>IF('01_Вводные'!$B$234="Да",'19_Расчет_аналитики'!AK3447*'01_Вводные'!$B$14,0)</f>
        <v/>
      </c>
      <c r="AM3448">
        <f>IF('01_Вводные'!$B$234="Да",'19_Расчет_аналитики'!AL3447*'01_Вводные'!$B$14,0)</f>
        <v/>
      </c>
      <c r="AN3448">
        <f>IF('01_Вводные'!$B$234="Да",'19_Расчет_аналитики'!AM3447*'01_Вводные'!$B$14,0)</f>
        <v/>
      </c>
      <c r="AO3448">
        <f>IF('01_Вводные'!$B$234="Да",'19_Расчет_аналитики'!AN3447*'01_Вводные'!$B$14,0)</f>
        <v/>
      </c>
      <c r="AP3448">
        <f>IF('01_Вводные'!$B$234="Да",'19_Расчет_аналитики'!AO3447*'01_Вводные'!$B$14,0)</f>
        <v/>
      </c>
      <c r="AQ3448">
        <f>IF('01_Вводные'!$B$234="Да",'19_Расчет_аналитики'!AP3447*'01_Вводные'!$B$14,0)</f>
        <v/>
      </c>
      <c r="AR3448">
        <f>IF('01_Вводные'!$B$234="Да",'19_Расчет_аналитики'!AQ3447*'01_Вводные'!$B$14,0)</f>
        <v/>
      </c>
      <c r="AS3448">
        <f>IF('01_Вводные'!$B$234="Да",'19_Расчет_аналитики'!AR3447*'01_Вводные'!$B$14,0)</f>
        <v/>
      </c>
      <c r="AT3448">
        <f>IF('01_Вводные'!$B$234="Да",'19_Расчет_аналитики'!AS3447*'01_Вводные'!$B$14,0)</f>
        <v/>
      </c>
      <c r="AU3448">
        <f>IF('01_Вводные'!$B$234="Да",'19_Расчет_аналитики'!AT3447*'01_Вводные'!$B$14,0)</f>
        <v/>
      </c>
      <c r="AV3448">
        <f>IF('01_Вводные'!$B$234="Да",'19_Расчет_аналитики'!AU3447*'01_Вводные'!$B$14,0)</f>
        <v/>
      </c>
      <c r="AW3448">
        <f>IF('01_Вводные'!$B$234="Да",'19_Расчет_аналитики'!AV3447*'01_Вводные'!$B$14,0)</f>
        <v/>
      </c>
      <c r="AX3448">
        <f>IF('01_Вводные'!$B$234="Да",'19_Расчет_аналитики'!AW3447*'01_Вводные'!$B$14,0)</f>
        <v/>
      </c>
      <c r="AY3448">
        <f>IF('01_Вводные'!$B$234="Да",'19_Расчет_аналитики'!AX3447*'01_Вводные'!$B$14,0)</f>
        <v/>
      </c>
      <c r="AZ3448">
        <f>IF('01_Вводные'!$B$234="Да",'19_Расчет_аналитики'!AY3447*'01_Вводные'!$B$14,0)</f>
        <v/>
      </c>
      <c r="BA3448">
        <f>IF('01_Вводные'!$B$234="Да",'19_Расчет_аналитики'!AZ3447*'01_Вводные'!$B$14,0)</f>
        <v/>
      </c>
      <c r="BB3448">
        <f>IF('01_Вводные'!$B$234="Да",'19_Расчет_аналитики'!BA3447*'01_Вводные'!$B$14,0)</f>
        <v/>
      </c>
      <c r="BC3448">
        <f>IF('01_Вводные'!$B$234="Да",'19_Расчет_аналитики'!BB3447*'01_Вводные'!$B$14,0)</f>
        <v/>
      </c>
      <c r="BD3448">
        <f>IF('01_Вводные'!$B$234="Да",'19_Расчет_аналитики'!BC3447*'01_Вводные'!$B$14,0)</f>
        <v/>
      </c>
      <c r="BE3448">
        <f>IF('01_Вводные'!$B$234="Да",'19_Расчет_аналитики'!BD3447*'01_Вводные'!$B$14,0)</f>
        <v/>
      </c>
      <c r="BF3448">
        <f>IF('01_Вводные'!$B$234="Да",'19_Расчет_аналитики'!BE3447*'01_Вводные'!$B$14,0)</f>
        <v/>
      </c>
      <c r="BG3448">
        <f>IF('01_Вводные'!$B$234="Да",'19_Расчет_аналитики'!BF3447*'01_Вводные'!$B$14,0)</f>
        <v/>
      </c>
      <c r="BH3448">
        <f>IF('01_Вводные'!$B$234="Да",'19_Расчет_аналитики'!BG3447*'01_Вводные'!$B$14,0)</f>
        <v/>
      </c>
      <c r="BI3448">
        <f>IF('01_Вводные'!$B$234="Да",'19_Расчет_аналитики'!BH3447*'01_Вводные'!$B$14,0)</f>
        <v/>
      </c>
      <c r="BJ3448">
        <f>IF('01_Вводные'!$B$234="Да",'19_Расчет_аналитики'!BI3447*'01_Вводные'!$B$14,0)</f>
        <v/>
      </c>
      <c r="BK3448">
        <f>IF('01_Вводные'!$B$234="Да",'19_Расчет_аналитики'!BJ3447*'01_Вводные'!$B$14,0)</f>
        <v/>
      </c>
      <c r="BL3448">
        <f>IF('01_Вводные'!$B$234="Да",'19_Расчет_аналитики'!BK3447*'01_Вводные'!$B$14,0)</f>
        <v/>
      </c>
      <c r="BM3448">
        <f>IF('01_Вводные'!$B$234="Да",'19_Расчет_аналитики'!BL3447*'01_Вводные'!$B$14,0)</f>
        <v/>
      </c>
      <c r="BN3448">
        <f>IF('01_Вводные'!$B$234="Да",'19_Расчет_аналитики'!BM3447*'01_Вводные'!$B$14,0)</f>
        <v/>
      </c>
      <c r="BO3448">
        <f>IF('01_Вводные'!$B$234="Да",'19_Расчет_аналитики'!BN3447*'01_Вводные'!$B$14,0)</f>
        <v/>
      </c>
    </row>
    <row r="3449">
      <c r="B3449">
        <f>'06_Сеть_и_дети'!B58</f>
        <v/>
      </c>
      <c r="C3449">
        <f>'06_Сеть_и_дети'!C58</f>
        <v/>
      </c>
      <c r="D3449">
        <f>'06_Сеть_и_дети'!D58</f>
        <v/>
      </c>
      <c r="E3449">
        <f>'06_Сеть_и_дети'!E58</f>
        <v/>
      </c>
      <c r="F3449">
        <f>'06_Сеть_и_дети'!F58</f>
        <v/>
      </c>
      <c r="G3449">
        <f>IF('01_Вводные'!$B$234="Да",'19_Расчет_аналитики'!F3448*'01_Вводные'!$B$14,0)</f>
        <v/>
      </c>
      <c r="H3449">
        <f>IF('01_Вводные'!$B$234="Да",'19_Расчет_аналитики'!G3448*'01_Вводные'!$B$14,0)</f>
        <v/>
      </c>
      <c r="I3449">
        <f>IF('01_Вводные'!$B$234="Да",'19_Расчет_аналитики'!H3448*'01_Вводные'!$B$14,0)</f>
        <v/>
      </c>
      <c r="J3449">
        <f>IF('01_Вводные'!$B$234="Да",'19_Расчет_аналитики'!I3448*'01_Вводные'!$B$14,0)</f>
        <v/>
      </c>
      <c r="K3449">
        <f>IF('01_Вводные'!$B$234="Да",'19_Расчет_аналитики'!J3448*'01_Вводные'!$B$14,0)</f>
        <v/>
      </c>
      <c r="L3449">
        <f>IF('01_Вводные'!$B$234="Да",'19_Расчет_аналитики'!K3448*'01_Вводные'!$B$14,0)</f>
        <v/>
      </c>
      <c r="M3449">
        <f>IF('01_Вводные'!$B$234="Да",'19_Расчет_аналитики'!L3448*'01_Вводные'!$B$14,0)</f>
        <v/>
      </c>
      <c r="N3449">
        <f>IF('01_Вводные'!$B$234="Да",'19_Расчет_аналитики'!M3448*'01_Вводные'!$B$14,0)</f>
        <v/>
      </c>
      <c r="O3449">
        <f>IF('01_Вводные'!$B$234="Да",'19_Расчет_аналитики'!N3448*'01_Вводные'!$B$14,0)</f>
        <v/>
      </c>
      <c r="P3449">
        <f>IF('01_Вводные'!$B$234="Да",'19_Расчет_аналитики'!O3448*'01_Вводные'!$B$14,0)</f>
        <v/>
      </c>
      <c r="Q3449">
        <f>IF('01_Вводные'!$B$234="Да",'19_Расчет_аналитики'!P3448*'01_Вводные'!$B$14,0)</f>
        <v/>
      </c>
      <c r="R3449">
        <f>IF('01_Вводные'!$B$234="Да",'19_Расчет_аналитики'!Q3448*'01_Вводные'!$B$14,0)</f>
        <v/>
      </c>
      <c r="S3449">
        <f>IF('01_Вводные'!$B$234="Да",'19_Расчет_аналитики'!R3448*'01_Вводные'!$B$14,0)</f>
        <v/>
      </c>
      <c r="T3449">
        <f>IF('01_Вводные'!$B$234="Да",'19_Расчет_аналитики'!S3448*'01_Вводные'!$B$14,0)</f>
        <v/>
      </c>
      <c r="U3449">
        <f>IF('01_Вводные'!$B$234="Да",'19_Расчет_аналитики'!T3448*'01_Вводные'!$B$14,0)</f>
        <v/>
      </c>
      <c r="V3449">
        <f>IF('01_Вводные'!$B$234="Да",'19_Расчет_аналитики'!U3448*'01_Вводные'!$B$14,0)</f>
        <v/>
      </c>
      <c r="W3449">
        <f>IF('01_Вводные'!$B$234="Да",'19_Расчет_аналитики'!V3448*'01_Вводные'!$B$14,0)</f>
        <v/>
      </c>
      <c r="X3449">
        <f>IF('01_Вводные'!$B$234="Да",'19_Расчет_аналитики'!W3448*'01_Вводные'!$B$14,0)</f>
        <v/>
      </c>
      <c r="Y3449">
        <f>IF('01_Вводные'!$B$234="Да",'19_Расчет_аналитики'!X3448*'01_Вводные'!$B$14,0)</f>
        <v/>
      </c>
      <c r="Z3449">
        <f>IF('01_Вводные'!$B$234="Да",'19_Расчет_аналитики'!Y3448*'01_Вводные'!$B$14,0)</f>
        <v/>
      </c>
      <c r="AA3449">
        <f>IF('01_Вводные'!$B$234="Да",'19_Расчет_аналитики'!Z3448*'01_Вводные'!$B$14,0)</f>
        <v/>
      </c>
      <c r="AB3449">
        <f>IF('01_Вводные'!$B$234="Да",'19_Расчет_аналитики'!AA3448*'01_Вводные'!$B$14,0)</f>
        <v/>
      </c>
      <c r="AC3449">
        <f>IF('01_Вводные'!$B$234="Да",'19_Расчет_аналитики'!AB3448*'01_Вводные'!$B$14,0)</f>
        <v/>
      </c>
      <c r="AD3449">
        <f>IF('01_Вводные'!$B$234="Да",'19_Расчет_аналитики'!AC3448*'01_Вводные'!$B$14,0)</f>
        <v/>
      </c>
      <c r="AE3449">
        <f>IF('01_Вводные'!$B$234="Да",'19_Расчет_аналитики'!AD3448*'01_Вводные'!$B$14,0)</f>
        <v/>
      </c>
      <c r="AF3449">
        <f>IF('01_Вводные'!$B$234="Да",'19_Расчет_аналитики'!AE3448*'01_Вводные'!$B$14,0)</f>
        <v/>
      </c>
      <c r="AG3449">
        <f>IF('01_Вводные'!$B$234="Да",'19_Расчет_аналитики'!AF3448*'01_Вводные'!$B$14,0)</f>
        <v/>
      </c>
      <c r="AH3449">
        <f>IF('01_Вводные'!$B$234="Да",'19_Расчет_аналитики'!AG3448*'01_Вводные'!$B$14,0)</f>
        <v/>
      </c>
      <c r="AI3449">
        <f>IF('01_Вводные'!$B$234="Да",'19_Расчет_аналитики'!AH3448*'01_Вводные'!$B$14,0)</f>
        <v/>
      </c>
      <c r="AJ3449">
        <f>IF('01_Вводные'!$B$234="Да",'19_Расчет_аналитики'!AI3448*'01_Вводные'!$B$14,0)</f>
        <v/>
      </c>
      <c r="AK3449">
        <f>IF('01_Вводные'!$B$234="Да",'19_Расчет_аналитики'!AJ3448*'01_Вводные'!$B$14,0)</f>
        <v/>
      </c>
      <c r="AL3449">
        <f>IF('01_Вводные'!$B$234="Да",'19_Расчет_аналитики'!AK3448*'01_Вводные'!$B$14,0)</f>
        <v/>
      </c>
      <c r="AM3449">
        <f>IF('01_Вводные'!$B$234="Да",'19_Расчет_аналитики'!AL3448*'01_Вводные'!$B$14,0)</f>
        <v/>
      </c>
      <c r="AN3449">
        <f>IF('01_Вводные'!$B$234="Да",'19_Расчет_аналитики'!AM3448*'01_Вводные'!$B$14,0)</f>
        <v/>
      </c>
      <c r="AO3449">
        <f>IF('01_Вводные'!$B$234="Да",'19_Расчет_аналитики'!AN3448*'01_Вводные'!$B$14,0)</f>
        <v/>
      </c>
      <c r="AP3449">
        <f>IF('01_Вводные'!$B$234="Да",'19_Расчет_аналитики'!AO3448*'01_Вводные'!$B$14,0)</f>
        <v/>
      </c>
      <c r="AQ3449">
        <f>IF('01_Вводные'!$B$234="Да",'19_Расчет_аналитики'!AP3448*'01_Вводные'!$B$14,0)</f>
        <v/>
      </c>
      <c r="AR3449">
        <f>IF('01_Вводные'!$B$234="Да",'19_Расчет_аналитики'!AQ3448*'01_Вводные'!$B$14,0)</f>
        <v/>
      </c>
      <c r="AS3449">
        <f>IF('01_Вводные'!$B$234="Да",'19_Расчет_аналитики'!AR3448*'01_Вводные'!$B$14,0)</f>
        <v/>
      </c>
      <c r="AT3449">
        <f>IF('01_Вводные'!$B$234="Да",'19_Расчет_аналитики'!AS3448*'01_Вводные'!$B$14,0)</f>
        <v/>
      </c>
      <c r="AU3449">
        <f>IF('01_Вводные'!$B$234="Да",'19_Расчет_аналитики'!AT3448*'01_Вводные'!$B$14,0)</f>
        <v/>
      </c>
      <c r="AV3449">
        <f>IF('01_Вводные'!$B$234="Да",'19_Расчет_аналитики'!AU3448*'01_Вводные'!$B$14,0)</f>
        <v/>
      </c>
      <c r="AW3449">
        <f>IF('01_Вводные'!$B$234="Да",'19_Расчет_аналитики'!AV3448*'01_Вводные'!$B$14,0)</f>
        <v/>
      </c>
      <c r="AX3449">
        <f>IF('01_Вводные'!$B$234="Да",'19_Расчет_аналитики'!AW3448*'01_Вводные'!$B$14,0)</f>
        <v/>
      </c>
      <c r="AY3449">
        <f>IF('01_Вводные'!$B$234="Да",'19_Расчет_аналитики'!AX3448*'01_Вводные'!$B$14,0)</f>
        <v/>
      </c>
      <c r="AZ3449">
        <f>IF('01_Вводные'!$B$234="Да",'19_Расчет_аналитики'!AY3448*'01_Вводные'!$B$14,0)</f>
        <v/>
      </c>
      <c r="BA3449">
        <f>IF('01_Вводные'!$B$234="Да",'19_Расчет_аналитики'!AZ3448*'01_Вводные'!$B$14,0)</f>
        <v/>
      </c>
      <c r="BB3449">
        <f>IF('01_Вводные'!$B$234="Да",'19_Расчет_аналитики'!BA3448*'01_Вводные'!$B$14,0)</f>
        <v/>
      </c>
      <c r="BC3449">
        <f>IF('01_Вводные'!$B$234="Да",'19_Расчет_аналитики'!BB3448*'01_Вводные'!$B$14,0)</f>
        <v/>
      </c>
      <c r="BD3449">
        <f>IF('01_Вводные'!$B$234="Да",'19_Расчет_аналитики'!BC3448*'01_Вводные'!$B$14,0)</f>
        <v/>
      </c>
      <c r="BE3449">
        <f>IF('01_Вводные'!$B$234="Да",'19_Расчет_аналитики'!BD3448*'01_Вводные'!$B$14,0)</f>
        <v/>
      </c>
      <c r="BF3449">
        <f>IF('01_Вводные'!$B$234="Да",'19_Расчет_аналитики'!BE3448*'01_Вводные'!$B$14,0)</f>
        <v/>
      </c>
      <c r="BG3449">
        <f>IF('01_Вводные'!$B$234="Да",'19_Расчет_аналитики'!BF3448*'01_Вводные'!$B$14,0)</f>
        <v/>
      </c>
      <c r="BH3449">
        <f>IF('01_Вводные'!$B$234="Да",'19_Расчет_аналитики'!BG3448*'01_Вводные'!$B$14,0)</f>
        <v/>
      </c>
      <c r="BI3449">
        <f>IF('01_Вводные'!$B$234="Да",'19_Расчет_аналитики'!BH3448*'01_Вводные'!$B$14,0)</f>
        <v/>
      </c>
      <c r="BJ3449">
        <f>IF('01_Вводные'!$B$234="Да",'19_Расчет_аналитики'!BI3448*'01_Вводные'!$B$14,0)</f>
        <v/>
      </c>
      <c r="BK3449">
        <f>IF('01_Вводные'!$B$234="Да",'19_Расчет_аналитики'!BJ3448*'01_Вводные'!$B$14,0)</f>
        <v/>
      </c>
      <c r="BL3449">
        <f>IF('01_Вводные'!$B$234="Да",'19_Расчет_аналитики'!BK3448*'01_Вводные'!$B$14,0)</f>
        <v/>
      </c>
      <c r="BM3449">
        <f>IF('01_Вводные'!$B$234="Да",'19_Расчет_аналитики'!BL3448*'01_Вводные'!$B$14,0)</f>
        <v/>
      </c>
      <c r="BN3449">
        <f>IF('01_Вводные'!$B$234="Да",'19_Расчет_аналитики'!BM3448*'01_Вводные'!$B$14,0)</f>
        <v/>
      </c>
      <c r="BO3449">
        <f>IF('01_Вводные'!$B$234="Да",'19_Расчет_аналитики'!BN3448*'01_Вводные'!$B$14,0)</f>
        <v/>
      </c>
    </row>
    <row r="3450">
      <c r="B3450">
        <f>'06_Сеть_и_дети'!B59</f>
        <v/>
      </c>
      <c r="C3450">
        <f>'06_Сеть_и_дети'!C59</f>
        <v/>
      </c>
      <c r="D3450">
        <f>'06_Сеть_и_дети'!D59</f>
        <v/>
      </c>
      <c r="E3450">
        <f>'06_Сеть_и_дети'!E59</f>
        <v/>
      </c>
      <c r="F3450">
        <f>'06_Сеть_и_дети'!F59</f>
        <v/>
      </c>
      <c r="G3450">
        <f>'06_Сеть_и_дети'!G59</f>
        <v/>
      </c>
      <c r="H3450">
        <f>IF('01_Вводные'!$B$234="Да",'19_Расчет_аналитики'!G3449*'01_Вводные'!$B$14,0)</f>
        <v/>
      </c>
      <c r="I3450">
        <f>IF('01_Вводные'!$B$234="Да",'19_Расчет_аналитики'!H3449*'01_Вводные'!$B$14,0)</f>
        <v/>
      </c>
      <c r="J3450">
        <f>IF('01_Вводные'!$B$234="Да",'19_Расчет_аналитики'!I3449*'01_Вводные'!$B$14,0)</f>
        <v/>
      </c>
      <c r="K3450">
        <f>IF('01_Вводные'!$B$234="Да",'19_Расчет_аналитики'!J3449*'01_Вводные'!$B$14,0)</f>
        <v/>
      </c>
      <c r="L3450">
        <f>IF('01_Вводные'!$B$234="Да",'19_Расчет_аналитики'!K3449*'01_Вводные'!$B$14,0)</f>
        <v/>
      </c>
      <c r="M3450">
        <f>IF('01_Вводные'!$B$234="Да",'19_Расчет_аналитики'!L3449*'01_Вводные'!$B$14,0)</f>
        <v/>
      </c>
      <c r="N3450">
        <f>IF('01_Вводные'!$B$234="Да",'19_Расчет_аналитики'!M3449*'01_Вводные'!$B$14,0)</f>
        <v/>
      </c>
      <c r="O3450">
        <f>IF('01_Вводные'!$B$234="Да",'19_Расчет_аналитики'!N3449*'01_Вводные'!$B$14,0)</f>
        <v/>
      </c>
      <c r="P3450">
        <f>IF('01_Вводные'!$B$234="Да",'19_Расчет_аналитики'!O3449*'01_Вводные'!$B$14,0)</f>
        <v/>
      </c>
      <c r="Q3450">
        <f>IF('01_Вводные'!$B$234="Да",'19_Расчет_аналитики'!P3449*'01_Вводные'!$B$14,0)</f>
        <v/>
      </c>
      <c r="R3450">
        <f>IF('01_Вводные'!$B$234="Да",'19_Расчет_аналитики'!Q3449*'01_Вводные'!$B$14,0)</f>
        <v/>
      </c>
      <c r="S3450">
        <f>IF('01_Вводные'!$B$234="Да",'19_Расчет_аналитики'!R3449*'01_Вводные'!$B$14,0)</f>
        <v/>
      </c>
      <c r="T3450">
        <f>IF('01_Вводные'!$B$234="Да",'19_Расчет_аналитики'!S3449*'01_Вводные'!$B$14,0)</f>
        <v/>
      </c>
      <c r="U3450">
        <f>IF('01_Вводные'!$B$234="Да",'19_Расчет_аналитики'!T3449*'01_Вводные'!$B$14,0)</f>
        <v/>
      </c>
      <c r="V3450">
        <f>IF('01_Вводные'!$B$234="Да",'19_Расчет_аналитики'!U3449*'01_Вводные'!$B$14,0)</f>
        <v/>
      </c>
      <c r="W3450">
        <f>IF('01_Вводные'!$B$234="Да",'19_Расчет_аналитики'!V3449*'01_Вводные'!$B$14,0)</f>
        <v/>
      </c>
      <c r="X3450">
        <f>IF('01_Вводные'!$B$234="Да",'19_Расчет_аналитики'!W3449*'01_Вводные'!$B$14,0)</f>
        <v/>
      </c>
      <c r="Y3450">
        <f>IF('01_Вводные'!$B$234="Да",'19_Расчет_аналитики'!X3449*'01_Вводные'!$B$14,0)</f>
        <v/>
      </c>
      <c r="Z3450">
        <f>IF('01_Вводные'!$B$234="Да",'19_Расчет_аналитики'!Y3449*'01_Вводные'!$B$14,0)</f>
        <v/>
      </c>
      <c r="AA3450">
        <f>IF('01_Вводные'!$B$234="Да",'19_Расчет_аналитики'!Z3449*'01_Вводные'!$B$14,0)</f>
        <v/>
      </c>
      <c r="AB3450">
        <f>IF('01_Вводные'!$B$234="Да",'19_Расчет_аналитики'!AA3449*'01_Вводные'!$B$14,0)</f>
        <v/>
      </c>
      <c r="AC3450">
        <f>IF('01_Вводные'!$B$234="Да",'19_Расчет_аналитики'!AB3449*'01_Вводные'!$B$14,0)</f>
        <v/>
      </c>
      <c r="AD3450">
        <f>IF('01_Вводные'!$B$234="Да",'19_Расчет_аналитики'!AC3449*'01_Вводные'!$B$14,0)</f>
        <v/>
      </c>
      <c r="AE3450">
        <f>IF('01_Вводные'!$B$234="Да",'19_Расчет_аналитики'!AD3449*'01_Вводные'!$B$14,0)</f>
        <v/>
      </c>
      <c r="AF3450">
        <f>IF('01_Вводные'!$B$234="Да",'19_Расчет_аналитики'!AE3449*'01_Вводные'!$B$14,0)</f>
        <v/>
      </c>
      <c r="AG3450">
        <f>IF('01_Вводные'!$B$234="Да",'19_Расчет_аналитики'!AF3449*'01_Вводные'!$B$14,0)</f>
        <v/>
      </c>
      <c r="AH3450">
        <f>IF('01_Вводные'!$B$234="Да",'19_Расчет_аналитики'!AG3449*'01_Вводные'!$B$14,0)</f>
        <v/>
      </c>
      <c r="AI3450">
        <f>IF('01_Вводные'!$B$234="Да",'19_Расчет_аналитики'!AH3449*'01_Вводные'!$B$14,0)</f>
        <v/>
      </c>
      <c r="AJ3450">
        <f>IF('01_Вводные'!$B$234="Да",'19_Расчет_аналитики'!AI3449*'01_Вводные'!$B$14,0)</f>
        <v/>
      </c>
      <c r="AK3450">
        <f>IF('01_Вводные'!$B$234="Да",'19_Расчет_аналитики'!AJ3449*'01_Вводные'!$B$14,0)</f>
        <v/>
      </c>
      <c r="AL3450">
        <f>IF('01_Вводные'!$B$234="Да",'19_Расчет_аналитики'!AK3449*'01_Вводные'!$B$14,0)</f>
        <v/>
      </c>
      <c r="AM3450">
        <f>IF('01_Вводные'!$B$234="Да",'19_Расчет_аналитики'!AL3449*'01_Вводные'!$B$14,0)</f>
        <v/>
      </c>
      <c r="AN3450">
        <f>IF('01_Вводные'!$B$234="Да",'19_Расчет_аналитики'!AM3449*'01_Вводные'!$B$14,0)</f>
        <v/>
      </c>
      <c r="AO3450">
        <f>IF('01_Вводные'!$B$234="Да",'19_Расчет_аналитики'!AN3449*'01_Вводные'!$B$14,0)</f>
        <v/>
      </c>
      <c r="AP3450">
        <f>IF('01_Вводные'!$B$234="Да",'19_Расчет_аналитики'!AO3449*'01_Вводные'!$B$14,0)</f>
        <v/>
      </c>
      <c r="AQ3450">
        <f>IF('01_Вводные'!$B$234="Да",'19_Расчет_аналитики'!AP3449*'01_Вводные'!$B$14,0)</f>
        <v/>
      </c>
      <c r="AR3450">
        <f>IF('01_Вводные'!$B$234="Да",'19_Расчет_аналитики'!AQ3449*'01_Вводные'!$B$14,0)</f>
        <v/>
      </c>
      <c r="AS3450">
        <f>IF('01_Вводные'!$B$234="Да",'19_Расчет_аналитики'!AR3449*'01_Вводные'!$B$14,0)</f>
        <v/>
      </c>
      <c r="AT3450">
        <f>IF('01_Вводные'!$B$234="Да",'19_Расчет_аналитики'!AS3449*'01_Вводные'!$B$14,0)</f>
        <v/>
      </c>
      <c r="AU3450">
        <f>IF('01_Вводные'!$B$234="Да",'19_Расчет_аналитики'!AT3449*'01_Вводные'!$B$14,0)</f>
        <v/>
      </c>
      <c r="AV3450">
        <f>IF('01_Вводные'!$B$234="Да",'19_Расчет_аналитики'!AU3449*'01_Вводные'!$B$14,0)</f>
        <v/>
      </c>
      <c r="AW3450">
        <f>IF('01_Вводные'!$B$234="Да",'19_Расчет_аналитики'!AV3449*'01_Вводные'!$B$14,0)</f>
        <v/>
      </c>
      <c r="AX3450">
        <f>IF('01_Вводные'!$B$234="Да",'19_Расчет_аналитики'!AW3449*'01_Вводные'!$B$14,0)</f>
        <v/>
      </c>
      <c r="AY3450">
        <f>IF('01_Вводные'!$B$234="Да",'19_Расчет_аналитики'!AX3449*'01_Вводные'!$B$14,0)</f>
        <v/>
      </c>
      <c r="AZ3450">
        <f>IF('01_Вводные'!$B$234="Да",'19_Расчет_аналитики'!AY3449*'01_Вводные'!$B$14,0)</f>
        <v/>
      </c>
      <c r="BA3450">
        <f>IF('01_Вводные'!$B$234="Да",'19_Расчет_аналитики'!AZ3449*'01_Вводные'!$B$14,0)</f>
        <v/>
      </c>
      <c r="BB3450">
        <f>IF('01_Вводные'!$B$234="Да",'19_Расчет_аналитики'!BA3449*'01_Вводные'!$B$14,0)</f>
        <v/>
      </c>
      <c r="BC3450">
        <f>IF('01_Вводные'!$B$234="Да",'19_Расчет_аналитики'!BB3449*'01_Вводные'!$B$14,0)</f>
        <v/>
      </c>
      <c r="BD3450">
        <f>IF('01_Вводные'!$B$234="Да",'19_Расчет_аналитики'!BC3449*'01_Вводные'!$B$14,0)</f>
        <v/>
      </c>
      <c r="BE3450">
        <f>IF('01_Вводные'!$B$234="Да",'19_Расчет_аналитики'!BD3449*'01_Вводные'!$B$14,0)</f>
        <v/>
      </c>
      <c r="BF3450">
        <f>IF('01_Вводные'!$B$234="Да",'19_Расчет_аналитики'!BE3449*'01_Вводные'!$B$14,0)</f>
        <v/>
      </c>
      <c r="BG3450">
        <f>IF('01_Вводные'!$B$234="Да",'19_Расчет_аналитики'!BF3449*'01_Вводные'!$B$14,0)</f>
        <v/>
      </c>
      <c r="BH3450">
        <f>IF('01_Вводные'!$B$234="Да",'19_Расчет_аналитики'!BG3449*'01_Вводные'!$B$14,0)</f>
        <v/>
      </c>
      <c r="BI3450">
        <f>IF('01_Вводные'!$B$234="Да",'19_Расчет_аналитики'!BH3449*'01_Вводные'!$B$14,0)</f>
        <v/>
      </c>
      <c r="BJ3450">
        <f>IF('01_Вводные'!$B$234="Да",'19_Расчет_аналитики'!BI3449*'01_Вводные'!$B$14,0)</f>
        <v/>
      </c>
      <c r="BK3450">
        <f>IF('01_Вводные'!$B$234="Да",'19_Расчет_аналитики'!BJ3449*'01_Вводные'!$B$14,0)</f>
        <v/>
      </c>
      <c r="BL3450">
        <f>IF('01_Вводные'!$B$234="Да",'19_Расчет_аналитики'!BK3449*'01_Вводные'!$B$14,0)</f>
        <v/>
      </c>
      <c r="BM3450">
        <f>IF('01_Вводные'!$B$234="Да",'19_Расчет_аналитики'!BL3449*'01_Вводные'!$B$14,0)</f>
        <v/>
      </c>
      <c r="BN3450">
        <f>IF('01_Вводные'!$B$234="Да",'19_Расчет_аналитики'!BM3449*'01_Вводные'!$B$14,0)</f>
        <v/>
      </c>
      <c r="BO3450">
        <f>IF('01_Вводные'!$B$234="Да",'19_Расчет_аналитики'!BN3449*'01_Вводные'!$B$14,0)</f>
        <v/>
      </c>
    </row>
    <row r="3451">
      <c r="B3451">
        <f>'06_Сеть_и_дети'!B60</f>
        <v/>
      </c>
      <c r="C3451">
        <f>'06_Сеть_и_дети'!C60</f>
        <v/>
      </c>
      <c r="D3451">
        <f>'06_Сеть_и_дети'!D60</f>
        <v/>
      </c>
      <c r="E3451">
        <f>'06_Сеть_и_дети'!E60</f>
        <v/>
      </c>
      <c r="F3451">
        <f>'06_Сеть_и_дети'!F60</f>
        <v/>
      </c>
      <c r="G3451">
        <f>'06_Сеть_и_дети'!G60</f>
        <v/>
      </c>
      <c r="H3451">
        <f>'06_Сеть_и_дети'!H60</f>
        <v/>
      </c>
      <c r="I3451">
        <f>IF('01_Вводные'!$B$234="Да",'19_Расчет_аналитики'!H3450*'01_Вводные'!$B$14,0)</f>
        <v/>
      </c>
      <c r="J3451">
        <f>IF('01_Вводные'!$B$234="Да",'19_Расчет_аналитики'!I3450*'01_Вводные'!$B$14,0)</f>
        <v/>
      </c>
      <c r="K3451">
        <f>IF('01_Вводные'!$B$234="Да",'19_Расчет_аналитики'!J3450*'01_Вводные'!$B$14,0)</f>
        <v/>
      </c>
      <c r="L3451">
        <f>IF('01_Вводные'!$B$234="Да",'19_Расчет_аналитики'!K3450*'01_Вводные'!$B$14,0)</f>
        <v/>
      </c>
      <c r="M3451">
        <f>IF('01_Вводные'!$B$234="Да",'19_Расчет_аналитики'!L3450*'01_Вводные'!$B$14,0)</f>
        <v/>
      </c>
      <c r="N3451">
        <f>IF('01_Вводные'!$B$234="Да",'19_Расчет_аналитики'!M3450*'01_Вводные'!$B$14,0)</f>
        <v/>
      </c>
      <c r="O3451">
        <f>IF('01_Вводные'!$B$234="Да",'19_Расчет_аналитики'!N3450*'01_Вводные'!$B$14,0)</f>
        <v/>
      </c>
      <c r="P3451">
        <f>IF('01_Вводные'!$B$234="Да",'19_Расчет_аналитики'!O3450*'01_Вводные'!$B$14,0)</f>
        <v/>
      </c>
      <c r="Q3451">
        <f>IF('01_Вводные'!$B$234="Да",'19_Расчет_аналитики'!P3450*'01_Вводные'!$B$14,0)</f>
        <v/>
      </c>
      <c r="R3451">
        <f>IF('01_Вводные'!$B$234="Да",'19_Расчет_аналитики'!Q3450*'01_Вводные'!$B$14,0)</f>
        <v/>
      </c>
      <c r="S3451">
        <f>IF('01_Вводные'!$B$234="Да",'19_Расчет_аналитики'!R3450*'01_Вводные'!$B$14,0)</f>
        <v/>
      </c>
      <c r="T3451">
        <f>IF('01_Вводные'!$B$234="Да",'19_Расчет_аналитики'!S3450*'01_Вводные'!$B$14,0)</f>
        <v/>
      </c>
      <c r="U3451">
        <f>IF('01_Вводные'!$B$234="Да",'19_Расчет_аналитики'!T3450*'01_Вводные'!$B$14,0)</f>
        <v/>
      </c>
      <c r="V3451">
        <f>IF('01_Вводные'!$B$234="Да",'19_Расчет_аналитики'!U3450*'01_Вводные'!$B$14,0)</f>
        <v/>
      </c>
      <c r="W3451">
        <f>IF('01_Вводные'!$B$234="Да",'19_Расчет_аналитики'!V3450*'01_Вводные'!$B$14,0)</f>
        <v/>
      </c>
      <c r="X3451">
        <f>IF('01_Вводные'!$B$234="Да",'19_Расчет_аналитики'!W3450*'01_Вводные'!$B$14,0)</f>
        <v/>
      </c>
      <c r="Y3451">
        <f>IF('01_Вводные'!$B$234="Да",'19_Расчет_аналитики'!X3450*'01_Вводные'!$B$14,0)</f>
        <v/>
      </c>
      <c r="Z3451">
        <f>IF('01_Вводные'!$B$234="Да",'19_Расчет_аналитики'!Y3450*'01_Вводные'!$B$14,0)</f>
        <v/>
      </c>
      <c r="AA3451">
        <f>IF('01_Вводные'!$B$234="Да",'19_Расчет_аналитики'!Z3450*'01_Вводные'!$B$14,0)</f>
        <v/>
      </c>
      <c r="AB3451">
        <f>IF('01_Вводные'!$B$234="Да",'19_Расчет_аналитики'!AA3450*'01_Вводные'!$B$14,0)</f>
        <v/>
      </c>
      <c r="AC3451">
        <f>IF('01_Вводные'!$B$234="Да",'19_Расчет_аналитики'!AB3450*'01_Вводные'!$B$14,0)</f>
        <v/>
      </c>
      <c r="AD3451">
        <f>IF('01_Вводные'!$B$234="Да",'19_Расчет_аналитики'!AC3450*'01_Вводные'!$B$14,0)</f>
        <v/>
      </c>
      <c r="AE3451">
        <f>IF('01_Вводные'!$B$234="Да",'19_Расчет_аналитики'!AD3450*'01_Вводные'!$B$14,0)</f>
        <v/>
      </c>
      <c r="AF3451">
        <f>IF('01_Вводные'!$B$234="Да",'19_Расчет_аналитики'!AE3450*'01_Вводные'!$B$14,0)</f>
        <v/>
      </c>
      <c r="AG3451">
        <f>IF('01_Вводные'!$B$234="Да",'19_Расчет_аналитики'!AF3450*'01_Вводные'!$B$14,0)</f>
        <v/>
      </c>
      <c r="AH3451">
        <f>IF('01_Вводные'!$B$234="Да",'19_Расчет_аналитики'!AG3450*'01_Вводные'!$B$14,0)</f>
        <v/>
      </c>
      <c r="AI3451">
        <f>IF('01_Вводные'!$B$234="Да",'19_Расчет_аналитики'!AH3450*'01_Вводные'!$B$14,0)</f>
        <v/>
      </c>
      <c r="AJ3451">
        <f>IF('01_Вводные'!$B$234="Да",'19_Расчет_аналитики'!AI3450*'01_Вводные'!$B$14,0)</f>
        <v/>
      </c>
      <c r="AK3451">
        <f>IF('01_Вводные'!$B$234="Да",'19_Расчет_аналитики'!AJ3450*'01_Вводные'!$B$14,0)</f>
        <v/>
      </c>
      <c r="AL3451">
        <f>IF('01_Вводные'!$B$234="Да",'19_Расчет_аналитики'!AK3450*'01_Вводные'!$B$14,0)</f>
        <v/>
      </c>
      <c r="AM3451">
        <f>IF('01_Вводные'!$B$234="Да",'19_Расчет_аналитики'!AL3450*'01_Вводные'!$B$14,0)</f>
        <v/>
      </c>
      <c r="AN3451">
        <f>IF('01_Вводные'!$B$234="Да",'19_Расчет_аналитики'!AM3450*'01_Вводные'!$B$14,0)</f>
        <v/>
      </c>
      <c r="AO3451">
        <f>IF('01_Вводные'!$B$234="Да",'19_Расчет_аналитики'!AN3450*'01_Вводные'!$B$14,0)</f>
        <v/>
      </c>
      <c r="AP3451">
        <f>IF('01_Вводные'!$B$234="Да",'19_Расчет_аналитики'!AO3450*'01_Вводные'!$B$14,0)</f>
        <v/>
      </c>
      <c r="AQ3451">
        <f>IF('01_Вводные'!$B$234="Да",'19_Расчет_аналитики'!AP3450*'01_Вводные'!$B$14,0)</f>
        <v/>
      </c>
      <c r="AR3451">
        <f>IF('01_Вводные'!$B$234="Да",'19_Расчет_аналитики'!AQ3450*'01_Вводные'!$B$14,0)</f>
        <v/>
      </c>
      <c r="AS3451">
        <f>IF('01_Вводные'!$B$234="Да",'19_Расчет_аналитики'!AR3450*'01_Вводные'!$B$14,0)</f>
        <v/>
      </c>
      <c r="AT3451">
        <f>IF('01_Вводные'!$B$234="Да",'19_Расчет_аналитики'!AS3450*'01_Вводные'!$B$14,0)</f>
        <v/>
      </c>
      <c r="AU3451">
        <f>IF('01_Вводные'!$B$234="Да",'19_Расчет_аналитики'!AT3450*'01_Вводные'!$B$14,0)</f>
        <v/>
      </c>
      <c r="AV3451">
        <f>IF('01_Вводные'!$B$234="Да",'19_Расчет_аналитики'!AU3450*'01_Вводные'!$B$14,0)</f>
        <v/>
      </c>
      <c r="AW3451">
        <f>IF('01_Вводные'!$B$234="Да",'19_Расчет_аналитики'!AV3450*'01_Вводные'!$B$14,0)</f>
        <v/>
      </c>
      <c r="AX3451">
        <f>IF('01_Вводные'!$B$234="Да",'19_Расчет_аналитики'!AW3450*'01_Вводные'!$B$14,0)</f>
        <v/>
      </c>
      <c r="AY3451">
        <f>IF('01_Вводные'!$B$234="Да",'19_Расчет_аналитики'!AX3450*'01_Вводные'!$B$14,0)</f>
        <v/>
      </c>
      <c r="AZ3451">
        <f>IF('01_Вводные'!$B$234="Да",'19_Расчет_аналитики'!AY3450*'01_Вводные'!$B$14,0)</f>
        <v/>
      </c>
      <c r="BA3451">
        <f>IF('01_Вводные'!$B$234="Да",'19_Расчет_аналитики'!AZ3450*'01_Вводные'!$B$14,0)</f>
        <v/>
      </c>
      <c r="BB3451">
        <f>IF('01_Вводные'!$B$234="Да",'19_Расчет_аналитики'!BA3450*'01_Вводные'!$B$14,0)</f>
        <v/>
      </c>
      <c r="BC3451">
        <f>IF('01_Вводные'!$B$234="Да",'19_Расчет_аналитики'!BB3450*'01_Вводные'!$B$14,0)</f>
        <v/>
      </c>
      <c r="BD3451">
        <f>IF('01_Вводные'!$B$234="Да",'19_Расчет_аналитики'!BC3450*'01_Вводные'!$B$14,0)</f>
        <v/>
      </c>
      <c r="BE3451">
        <f>IF('01_Вводные'!$B$234="Да",'19_Расчет_аналитики'!BD3450*'01_Вводные'!$B$14,0)</f>
        <v/>
      </c>
      <c r="BF3451">
        <f>IF('01_Вводные'!$B$234="Да",'19_Расчет_аналитики'!BE3450*'01_Вводные'!$B$14,0)</f>
        <v/>
      </c>
      <c r="BG3451">
        <f>IF('01_Вводные'!$B$234="Да",'19_Расчет_аналитики'!BF3450*'01_Вводные'!$B$14,0)</f>
        <v/>
      </c>
      <c r="BH3451">
        <f>IF('01_Вводные'!$B$234="Да",'19_Расчет_аналитики'!BG3450*'01_Вводные'!$B$14,0)</f>
        <v/>
      </c>
      <c r="BI3451">
        <f>IF('01_Вводные'!$B$234="Да",'19_Расчет_аналитики'!BH3450*'01_Вводные'!$B$14,0)</f>
        <v/>
      </c>
      <c r="BJ3451">
        <f>IF('01_Вводные'!$B$234="Да",'19_Расчет_аналитики'!BI3450*'01_Вводные'!$B$14,0)</f>
        <v/>
      </c>
      <c r="BK3451">
        <f>IF('01_Вводные'!$B$234="Да",'19_Расчет_аналитики'!BJ3450*'01_Вводные'!$B$14,0)</f>
        <v/>
      </c>
      <c r="BL3451">
        <f>IF('01_Вводные'!$B$234="Да",'19_Расчет_аналитики'!BK3450*'01_Вводные'!$B$14,0)</f>
        <v/>
      </c>
      <c r="BM3451">
        <f>IF('01_Вводные'!$B$234="Да",'19_Расчет_аналитики'!BL3450*'01_Вводные'!$B$14,0)</f>
        <v/>
      </c>
      <c r="BN3451">
        <f>IF('01_Вводные'!$B$234="Да",'19_Расчет_аналитики'!BM3450*'01_Вводные'!$B$14,0)</f>
        <v/>
      </c>
      <c r="BO3451">
        <f>IF('01_Вводные'!$B$234="Да",'19_Расчет_аналитики'!BN3450*'01_Вводные'!$B$14,0)</f>
        <v/>
      </c>
    </row>
    <row r="3452">
      <c r="B3452">
        <f>'06_Сеть_и_дети'!B61</f>
        <v/>
      </c>
      <c r="C3452">
        <f>'06_Сеть_и_дети'!C61</f>
        <v/>
      </c>
      <c r="D3452">
        <f>'06_Сеть_и_дети'!D61</f>
        <v/>
      </c>
      <c r="E3452">
        <f>'06_Сеть_и_дети'!E61</f>
        <v/>
      </c>
      <c r="F3452">
        <f>'06_Сеть_и_дети'!F61</f>
        <v/>
      </c>
      <c r="G3452">
        <f>'06_Сеть_и_дети'!G61</f>
        <v/>
      </c>
      <c r="H3452">
        <f>'06_Сеть_и_дети'!H61</f>
        <v/>
      </c>
      <c r="I3452">
        <f>'06_Сеть_и_дети'!I61</f>
        <v/>
      </c>
      <c r="J3452">
        <f>IF('01_Вводные'!$B$234="Да",'19_Расчет_аналитики'!I3451*'01_Вводные'!$B$14,0)</f>
        <v/>
      </c>
      <c r="K3452">
        <f>IF('01_Вводные'!$B$234="Да",'19_Расчет_аналитики'!J3451*'01_Вводные'!$B$14,0)</f>
        <v/>
      </c>
      <c r="L3452">
        <f>IF('01_Вводные'!$B$234="Да",'19_Расчет_аналитики'!K3451*'01_Вводные'!$B$14,0)</f>
        <v/>
      </c>
      <c r="M3452">
        <f>IF('01_Вводные'!$B$234="Да",'19_Расчет_аналитики'!L3451*'01_Вводные'!$B$14,0)</f>
        <v/>
      </c>
      <c r="N3452">
        <f>IF('01_Вводные'!$B$234="Да",'19_Расчет_аналитики'!M3451*'01_Вводные'!$B$14,0)</f>
        <v/>
      </c>
      <c r="O3452">
        <f>IF('01_Вводные'!$B$234="Да",'19_Расчет_аналитики'!N3451*'01_Вводные'!$B$14,0)</f>
        <v/>
      </c>
      <c r="P3452">
        <f>IF('01_Вводные'!$B$234="Да",'19_Расчет_аналитики'!O3451*'01_Вводные'!$B$14,0)</f>
        <v/>
      </c>
      <c r="Q3452">
        <f>IF('01_Вводные'!$B$234="Да",'19_Расчет_аналитики'!P3451*'01_Вводные'!$B$14,0)</f>
        <v/>
      </c>
      <c r="R3452">
        <f>IF('01_Вводные'!$B$234="Да",'19_Расчет_аналитики'!Q3451*'01_Вводные'!$B$14,0)</f>
        <v/>
      </c>
      <c r="S3452">
        <f>IF('01_Вводные'!$B$234="Да",'19_Расчет_аналитики'!R3451*'01_Вводные'!$B$14,0)</f>
        <v/>
      </c>
      <c r="T3452">
        <f>IF('01_Вводные'!$B$234="Да",'19_Расчет_аналитики'!S3451*'01_Вводные'!$B$14,0)</f>
        <v/>
      </c>
      <c r="U3452">
        <f>IF('01_Вводные'!$B$234="Да",'19_Расчет_аналитики'!T3451*'01_Вводные'!$B$14,0)</f>
        <v/>
      </c>
      <c r="V3452">
        <f>IF('01_Вводные'!$B$234="Да",'19_Расчет_аналитики'!U3451*'01_Вводные'!$B$14,0)</f>
        <v/>
      </c>
      <c r="W3452">
        <f>IF('01_Вводные'!$B$234="Да",'19_Расчет_аналитики'!V3451*'01_Вводные'!$B$14,0)</f>
        <v/>
      </c>
      <c r="X3452">
        <f>IF('01_Вводные'!$B$234="Да",'19_Расчет_аналитики'!W3451*'01_Вводные'!$B$14,0)</f>
        <v/>
      </c>
      <c r="Y3452">
        <f>IF('01_Вводные'!$B$234="Да",'19_Расчет_аналитики'!X3451*'01_Вводные'!$B$14,0)</f>
        <v/>
      </c>
      <c r="Z3452">
        <f>IF('01_Вводные'!$B$234="Да",'19_Расчет_аналитики'!Y3451*'01_Вводные'!$B$14,0)</f>
        <v/>
      </c>
      <c r="AA3452">
        <f>IF('01_Вводные'!$B$234="Да",'19_Расчет_аналитики'!Z3451*'01_Вводные'!$B$14,0)</f>
        <v/>
      </c>
      <c r="AB3452">
        <f>IF('01_Вводные'!$B$234="Да",'19_Расчет_аналитики'!AA3451*'01_Вводные'!$B$14,0)</f>
        <v/>
      </c>
      <c r="AC3452">
        <f>IF('01_Вводные'!$B$234="Да",'19_Расчет_аналитики'!AB3451*'01_Вводные'!$B$14,0)</f>
        <v/>
      </c>
      <c r="AD3452">
        <f>IF('01_Вводные'!$B$234="Да",'19_Расчет_аналитики'!AC3451*'01_Вводные'!$B$14,0)</f>
        <v/>
      </c>
      <c r="AE3452">
        <f>IF('01_Вводные'!$B$234="Да",'19_Расчет_аналитики'!AD3451*'01_Вводные'!$B$14,0)</f>
        <v/>
      </c>
      <c r="AF3452">
        <f>IF('01_Вводные'!$B$234="Да",'19_Расчет_аналитики'!AE3451*'01_Вводные'!$B$14,0)</f>
        <v/>
      </c>
      <c r="AG3452">
        <f>IF('01_Вводные'!$B$234="Да",'19_Расчет_аналитики'!AF3451*'01_Вводные'!$B$14,0)</f>
        <v/>
      </c>
      <c r="AH3452">
        <f>IF('01_Вводные'!$B$234="Да",'19_Расчет_аналитики'!AG3451*'01_Вводные'!$B$14,0)</f>
        <v/>
      </c>
      <c r="AI3452">
        <f>IF('01_Вводные'!$B$234="Да",'19_Расчет_аналитики'!AH3451*'01_Вводные'!$B$14,0)</f>
        <v/>
      </c>
      <c r="AJ3452">
        <f>IF('01_Вводные'!$B$234="Да",'19_Расчет_аналитики'!AI3451*'01_Вводные'!$B$14,0)</f>
        <v/>
      </c>
      <c r="AK3452">
        <f>IF('01_Вводные'!$B$234="Да",'19_Расчет_аналитики'!AJ3451*'01_Вводные'!$B$14,0)</f>
        <v/>
      </c>
      <c r="AL3452">
        <f>IF('01_Вводные'!$B$234="Да",'19_Расчет_аналитики'!AK3451*'01_Вводные'!$B$14,0)</f>
        <v/>
      </c>
      <c r="AM3452">
        <f>IF('01_Вводные'!$B$234="Да",'19_Расчет_аналитики'!AL3451*'01_Вводные'!$B$14,0)</f>
        <v/>
      </c>
      <c r="AN3452">
        <f>IF('01_Вводные'!$B$234="Да",'19_Расчет_аналитики'!AM3451*'01_Вводные'!$B$14,0)</f>
        <v/>
      </c>
      <c r="AO3452">
        <f>IF('01_Вводные'!$B$234="Да",'19_Расчет_аналитики'!AN3451*'01_Вводные'!$B$14,0)</f>
        <v/>
      </c>
      <c r="AP3452">
        <f>IF('01_Вводные'!$B$234="Да",'19_Расчет_аналитики'!AO3451*'01_Вводные'!$B$14,0)</f>
        <v/>
      </c>
      <c r="AQ3452">
        <f>IF('01_Вводные'!$B$234="Да",'19_Расчет_аналитики'!AP3451*'01_Вводные'!$B$14,0)</f>
        <v/>
      </c>
      <c r="AR3452">
        <f>IF('01_Вводные'!$B$234="Да",'19_Расчет_аналитики'!AQ3451*'01_Вводные'!$B$14,0)</f>
        <v/>
      </c>
      <c r="AS3452">
        <f>IF('01_Вводные'!$B$234="Да",'19_Расчет_аналитики'!AR3451*'01_Вводные'!$B$14,0)</f>
        <v/>
      </c>
      <c r="AT3452">
        <f>IF('01_Вводные'!$B$234="Да",'19_Расчет_аналитики'!AS3451*'01_Вводные'!$B$14,0)</f>
        <v/>
      </c>
      <c r="AU3452">
        <f>IF('01_Вводные'!$B$234="Да",'19_Расчет_аналитики'!AT3451*'01_Вводные'!$B$14,0)</f>
        <v/>
      </c>
      <c r="AV3452">
        <f>IF('01_Вводные'!$B$234="Да",'19_Расчет_аналитики'!AU3451*'01_Вводные'!$B$14,0)</f>
        <v/>
      </c>
      <c r="AW3452">
        <f>IF('01_Вводные'!$B$234="Да",'19_Расчет_аналитики'!AV3451*'01_Вводные'!$B$14,0)</f>
        <v/>
      </c>
      <c r="AX3452">
        <f>IF('01_Вводные'!$B$234="Да",'19_Расчет_аналитики'!AW3451*'01_Вводные'!$B$14,0)</f>
        <v/>
      </c>
      <c r="AY3452">
        <f>IF('01_Вводные'!$B$234="Да",'19_Расчет_аналитики'!AX3451*'01_Вводные'!$B$14,0)</f>
        <v/>
      </c>
      <c r="AZ3452">
        <f>IF('01_Вводные'!$B$234="Да",'19_Расчет_аналитики'!AY3451*'01_Вводные'!$B$14,0)</f>
        <v/>
      </c>
      <c r="BA3452">
        <f>IF('01_Вводные'!$B$234="Да",'19_Расчет_аналитики'!AZ3451*'01_Вводные'!$B$14,0)</f>
        <v/>
      </c>
      <c r="BB3452">
        <f>IF('01_Вводные'!$B$234="Да",'19_Расчет_аналитики'!BA3451*'01_Вводные'!$B$14,0)</f>
        <v/>
      </c>
      <c r="BC3452">
        <f>IF('01_Вводные'!$B$234="Да",'19_Расчет_аналитики'!BB3451*'01_Вводные'!$B$14,0)</f>
        <v/>
      </c>
      <c r="BD3452">
        <f>IF('01_Вводные'!$B$234="Да",'19_Расчет_аналитики'!BC3451*'01_Вводные'!$B$14,0)</f>
        <v/>
      </c>
      <c r="BE3452">
        <f>IF('01_Вводные'!$B$234="Да",'19_Расчет_аналитики'!BD3451*'01_Вводные'!$B$14,0)</f>
        <v/>
      </c>
      <c r="BF3452">
        <f>IF('01_Вводные'!$B$234="Да",'19_Расчет_аналитики'!BE3451*'01_Вводные'!$B$14,0)</f>
        <v/>
      </c>
      <c r="BG3452">
        <f>IF('01_Вводные'!$B$234="Да",'19_Расчет_аналитики'!BF3451*'01_Вводные'!$B$14,0)</f>
        <v/>
      </c>
      <c r="BH3452">
        <f>IF('01_Вводные'!$B$234="Да",'19_Расчет_аналитики'!BG3451*'01_Вводные'!$B$14,0)</f>
        <v/>
      </c>
      <c r="BI3452">
        <f>IF('01_Вводные'!$B$234="Да",'19_Расчет_аналитики'!BH3451*'01_Вводные'!$B$14,0)</f>
        <v/>
      </c>
      <c r="BJ3452">
        <f>IF('01_Вводные'!$B$234="Да",'19_Расчет_аналитики'!BI3451*'01_Вводные'!$B$14,0)</f>
        <v/>
      </c>
      <c r="BK3452">
        <f>IF('01_Вводные'!$B$234="Да",'19_Расчет_аналитики'!BJ3451*'01_Вводные'!$B$14,0)</f>
        <v/>
      </c>
      <c r="BL3452">
        <f>IF('01_Вводные'!$B$234="Да",'19_Расчет_аналитики'!BK3451*'01_Вводные'!$B$14,0)</f>
        <v/>
      </c>
      <c r="BM3452">
        <f>IF('01_Вводные'!$B$234="Да",'19_Расчет_аналитики'!BL3451*'01_Вводные'!$B$14,0)</f>
        <v/>
      </c>
      <c r="BN3452">
        <f>IF('01_Вводные'!$B$234="Да",'19_Расчет_аналитики'!BM3451*'01_Вводные'!$B$14,0)</f>
        <v/>
      </c>
      <c r="BO3452">
        <f>IF('01_Вводные'!$B$234="Да",'19_Расчет_аналитики'!BN3451*'01_Вводные'!$B$14,0)</f>
        <v/>
      </c>
    </row>
    <row r="3453">
      <c r="B3453">
        <f>'06_Сеть_и_дети'!B62</f>
        <v/>
      </c>
      <c r="C3453">
        <f>'06_Сеть_и_дети'!C62</f>
        <v/>
      </c>
      <c r="D3453">
        <f>'06_Сеть_и_дети'!D62</f>
        <v/>
      </c>
      <c r="E3453">
        <f>'06_Сеть_и_дети'!E62</f>
        <v/>
      </c>
      <c r="F3453">
        <f>'06_Сеть_и_дети'!F62</f>
        <v/>
      </c>
      <c r="G3453">
        <f>'06_Сеть_и_дети'!G62</f>
        <v/>
      </c>
      <c r="H3453">
        <f>'06_Сеть_и_дети'!H62</f>
        <v/>
      </c>
      <c r="I3453">
        <f>'06_Сеть_и_дети'!I62</f>
        <v/>
      </c>
      <c r="J3453">
        <f>'06_Сеть_и_дети'!J62</f>
        <v/>
      </c>
      <c r="K3453">
        <f>IF('01_Вводные'!$B$234="Да",'19_Расчет_аналитики'!J3452*'01_Вводные'!$B$14,0)</f>
        <v/>
      </c>
      <c r="L3453">
        <f>IF('01_Вводные'!$B$234="Да",'19_Расчет_аналитики'!K3452*'01_Вводные'!$B$14,0)</f>
        <v/>
      </c>
      <c r="M3453">
        <f>IF('01_Вводные'!$B$234="Да",'19_Расчет_аналитики'!L3452*'01_Вводные'!$B$14,0)</f>
        <v/>
      </c>
      <c r="N3453">
        <f>IF('01_Вводные'!$B$234="Да",'19_Расчет_аналитики'!M3452*'01_Вводные'!$B$14,0)</f>
        <v/>
      </c>
      <c r="O3453">
        <f>IF('01_Вводные'!$B$234="Да",'19_Расчет_аналитики'!N3452*'01_Вводные'!$B$14,0)</f>
        <v/>
      </c>
      <c r="P3453">
        <f>IF('01_Вводные'!$B$234="Да",'19_Расчет_аналитики'!O3452*'01_Вводные'!$B$14,0)</f>
        <v/>
      </c>
      <c r="Q3453">
        <f>IF('01_Вводные'!$B$234="Да",'19_Расчет_аналитики'!P3452*'01_Вводные'!$B$14,0)</f>
        <v/>
      </c>
      <c r="R3453">
        <f>IF('01_Вводные'!$B$234="Да",'19_Расчет_аналитики'!Q3452*'01_Вводные'!$B$14,0)</f>
        <v/>
      </c>
      <c r="S3453">
        <f>IF('01_Вводные'!$B$234="Да",'19_Расчет_аналитики'!R3452*'01_Вводные'!$B$14,0)</f>
        <v/>
      </c>
      <c r="T3453">
        <f>IF('01_Вводные'!$B$234="Да",'19_Расчет_аналитики'!S3452*'01_Вводные'!$B$14,0)</f>
        <v/>
      </c>
      <c r="U3453">
        <f>IF('01_Вводные'!$B$234="Да",'19_Расчет_аналитики'!T3452*'01_Вводные'!$B$14,0)</f>
        <v/>
      </c>
      <c r="V3453">
        <f>IF('01_Вводные'!$B$234="Да",'19_Расчет_аналитики'!U3452*'01_Вводные'!$B$14,0)</f>
        <v/>
      </c>
      <c r="W3453">
        <f>IF('01_Вводные'!$B$234="Да",'19_Расчет_аналитики'!V3452*'01_Вводные'!$B$14,0)</f>
        <v/>
      </c>
      <c r="X3453">
        <f>IF('01_Вводные'!$B$234="Да",'19_Расчет_аналитики'!W3452*'01_Вводные'!$B$14,0)</f>
        <v/>
      </c>
      <c r="Y3453">
        <f>IF('01_Вводные'!$B$234="Да",'19_Расчет_аналитики'!X3452*'01_Вводные'!$B$14,0)</f>
        <v/>
      </c>
      <c r="Z3453">
        <f>IF('01_Вводные'!$B$234="Да",'19_Расчет_аналитики'!Y3452*'01_Вводные'!$B$14,0)</f>
        <v/>
      </c>
      <c r="AA3453">
        <f>IF('01_Вводные'!$B$234="Да",'19_Расчет_аналитики'!Z3452*'01_Вводные'!$B$14,0)</f>
        <v/>
      </c>
      <c r="AB3453">
        <f>IF('01_Вводные'!$B$234="Да",'19_Расчет_аналитики'!AA3452*'01_Вводные'!$B$14,0)</f>
        <v/>
      </c>
      <c r="AC3453">
        <f>IF('01_Вводные'!$B$234="Да",'19_Расчет_аналитики'!AB3452*'01_Вводные'!$B$14,0)</f>
        <v/>
      </c>
      <c r="AD3453">
        <f>IF('01_Вводные'!$B$234="Да",'19_Расчет_аналитики'!AC3452*'01_Вводные'!$B$14,0)</f>
        <v/>
      </c>
      <c r="AE3453">
        <f>IF('01_Вводные'!$B$234="Да",'19_Расчет_аналитики'!AD3452*'01_Вводные'!$B$14,0)</f>
        <v/>
      </c>
      <c r="AF3453">
        <f>IF('01_Вводные'!$B$234="Да",'19_Расчет_аналитики'!AE3452*'01_Вводные'!$B$14,0)</f>
        <v/>
      </c>
      <c r="AG3453">
        <f>IF('01_Вводные'!$B$234="Да",'19_Расчет_аналитики'!AF3452*'01_Вводные'!$B$14,0)</f>
        <v/>
      </c>
      <c r="AH3453">
        <f>IF('01_Вводные'!$B$234="Да",'19_Расчет_аналитики'!AG3452*'01_Вводные'!$B$14,0)</f>
        <v/>
      </c>
      <c r="AI3453">
        <f>IF('01_Вводные'!$B$234="Да",'19_Расчет_аналитики'!AH3452*'01_Вводные'!$B$14,0)</f>
        <v/>
      </c>
      <c r="AJ3453">
        <f>IF('01_Вводные'!$B$234="Да",'19_Расчет_аналитики'!AI3452*'01_Вводные'!$B$14,0)</f>
        <v/>
      </c>
      <c r="AK3453">
        <f>IF('01_Вводные'!$B$234="Да",'19_Расчет_аналитики'!AJ3452*'01_Вводные'!$B$14,0)</f>
        <v/>
      </c>
      <c r="AL3453">
        <f>IF('01_Вводные'!$B$234="Да",'19_Расчет_аналитики'!AK3452*'01_Вводные'!$B$14,0)</f>
        <v/>
      </c>
      <c r="AM3453">
        <f>IF('01_Вводные'!$B$234="Да",'19_Расчет_аналитики'!AL3452*'01_Вводные'!$B$14,0)</f>
        <v/>
      </c>
      <c r="AN3453">
        <f>IF('01_Вводные'!$B$234="Да",'19_Расчет_аналитики'!AM3452*'01_Вводные'!$B$14,0)</f>
        <v/>
      </c>
      <c r="AO3453">
        <f>IF('01_Вводные'!$B$234="Да",'19_Расчет_аналитики'!AN3452*'01_Вводные'!$B$14,0)</f>
        <v/>
      </c>
      <c r="AP3453">
        <f>IF('01_Вводные'!$B$234="Да",'19_Расчет_аналитики'!AO3452*'01_Вводные'!$B$14,0)</f>
        <v/>
      </c>
      <c r="AQ3453">
        <f>IF('01_Вводные'!$B$234="Да",'19_Расчет_аналитики'!AP3452*'01_Вводные'!$B$14,0)</f>
        <v/>
      </c>
      <c r="AR3453">
        <f>IF('01_Вводные'!$B$234="Да",'19_Расчет_аналитики'!AQ3452*'01_Вводные'!$B$14,0)</f>
        <v/>
      </c>
      <c r="AS3453">
        <f>IF('01_Вводные'!$B$234="Да",'19_Расчет_аналитики'!AR3452*'01_Вводные'!$B$14,0)</f>
        <v/>
      </c>
      <c r="AT3453">
        <f>IF('01_Вводные'!$B$234="Да",'19_Расчет_аналитики'!AS3452*'01_Вводные'!$B$14,0)</f>
        <v/>
      </c>
      <c r="AU3453">
        <f>IF('01_Вводные'!$B$234="Да",'19_Расчет_аналитики'!AT3452*'01_Вводные'!$B$14,0)</f>
        <v/>
      </c>
      <c r="AV3453">
        <f>IF('01_Вводные'!$B$234="Да",'19_Расчет_аналитики'!AU3452*'01_Вводные'!$B$14,0)</f>
        <v/>
      </c>
      <c r="AW3453">
        <f>IF('01_Вводные'!$B$234="Да",'19_Расчет_аналитики'!AV3452*'01_Вводные'!$B$14,0)</f>
        <v/>
      </c>
      <c r="AX3453">
        <f>IF('01_Вводные'!$B$234="Да",'19_Расчет_аналитики'!AW3452*'01_Вводные'!$B$14,0)</f>
        <v/>
      </c>
      <c r="AY3453">
        <f>IF('01_Вводные'!$B$234="Да",'19_Расчет_аналитики'!AX3452*'01_Вводные'!$B$14,0)</f>
        <v/>
      </c>
      <c r="AZ3453">
        <f>IF('01_Вводные'!$B$234="Да",'19_Расчет_аналитики'!AY3452*'01_Вводные'!$B$14,0)</f>
        <v/>
      </c>
      <c r="BA3453">
        <f>IF('01_Вводные'!$B$234="Да",'19_Расчет_аналитики'!AZ3452*'01_Вводные'!$B$14,0)</f>
        <v/>
      </c>
      <c r="BB3453">
        <f>IF('01_Вводные'!$B$234="Да",'19_Расчет_аналитики'!BA3452*'01_Вводные'!$B$14,0)</f>
        <v/>
      </c>
      <c r="BC3453">
        <f>IF('01_Вводные'!$B$234="Да",'19_Расчет_аналитики'!BB3452*'01_Вводные'!$B$14,0)</f>
        <v/>
      </c>
      <c r="BD3453">
        <f>IF('01_Вводные'!$B$234="Да",'19_Расчет_аналитики'!BC3452*'01_Вводные'!$B$14,0)</f>
        <v/>
      </c>
      <c r="BE3453">
        <f>IF('01_Вводные'!$B$234="Да",'19_Расчет_аналитики'!BD3452*'01_Вводные'!$B$14,0)</f>
        <v/>
      </c>
      <c r="BF3453">
        <f>IF('01_Вводные'!$B$234="Да",'19_Расчет_аналитики'!BE3452*'01_Вводные'!$B$14,0)</f>
        <v/>
      </c>
      <c r="BG3453">
        <f>IF('01_Вводные'!$B$234="Да",'19_Расчет_аналитики'!BF3452*'01_Вводные'!$B$14,0)</f>
        <v/>
      </c>
      <c r="BH3453">
        <f>IF('01_Вводные'!$B$234="Да",'19_Расчет_аналитики'!BG3452*'01_Вводные'!$B$14,0)</f>
        <v/>
      </c>
      <c r="BI3453">
        <f>IF('01_Вводные'!$B$234="Да",'19_Расчет_аналитики'!BH3452*'01_Вводные'!$B$14,0)</f>
        <v/>
      </c>
      <c r="BJ3453">
        <f>IF('01_Вводные'!$B$234="Да",'19_Расчет_аналитики'!BI3452*'01_Вводные'!$B$14,0)</f>
        <v/>
      </c>
      <c r="BK3453">
        <f>IF('01_Вводные'!$B$234="Да",'19_Расчет_аналитики'!BJ3452*'01_Вводные'!$B$14,0)</f>
        <v/>
      </c>
      <c r="BL3453">
        <f>IF('01_Вводные'!$B$234="Да",'19_Расчет_аналитики'!BK3452*'01_Вводные'!$B$14,0)</f>
        <v/>
      </c>
      <c r="BM3453">
        <f>IF('01_Вводные'!$B$234="Да",'19_Расчет_аналитики'!BL3452*'01_Вводные'!$B$14,0)</f>
        <v/>
      </c>
      <c r="BN3453">
        <f>IF('01_Вводные'!$B$234="Да",'19_Расчет_аналитики'!BM3452*'01_Вводные'!$B$14,0)</f>
        <v/>
      </c>
      <c r="BO3453">
        <f>IF('01_Вводные'!$B$234="Да",'19_Расчет_аналитики'!BN3452*'01_Вводные'!$B$14,0)</f>
        <v/>
      </c>
    </row>
    <row r="3454">
      <c r="B3454">
        <f>'06_Сеть_и_дети'!B63</f>
        <v/>
      </c>
      <c r="C3454">
        <f>'06_Сеть_и_дети'!C63</f>
        <v/>
      </c>
      <c r="D3454">
        <f>'06_Сеть_и_дети'!D63</f>
        <v/>
      </c>
      <c r="E3454">
        <f>'06_Сеть_и_дети'!E63</f>
        <v/>
      </c>
      <c r="F3454">
        <f>'06_Сеть_и_дети'!F63</f>
        <v/>
      </c>
      <c r="G3454">
        <f>'06_Сеть_и_дети'!G63</f>
        <v/>
      </c>
      <c r="H3454">
        <f>'06_Сеть_и_дети'!H63</f>
        <v/>
      </c>
      <c r="I3454">
        <f>'06_Сеть_и_дети'!I63</f>
        <v/>
      </c>
      <c r="J3454">
        <f>'06_Сеть_и_дети'!J63</f>
        <v/>
      </c>
      <c r="K3454">
        <f>'06_Сеть_и_дети'!K63</f>
        <v/>
      </c>
      <c r="L3454">
        <f>IF('01_Вводные'!$B$234="Да",'19_Расчет_аналитики'!K3453*'01_Вводные'!$B$14,0)</f>
        <v/>
      </c>
      <c r="M3454">
        <f>IF('01_Вводные'!$B$234="Да",'19_Расчет_аналитики'!L3453*'01_Вводные'!$B$14,0)</f>
        <v/>
      </c>
      <c r="N3454">
        <f>IF('01_Вводные'!$B$234="Да",'19_Расчет_аналитики'!M3453*'01_Вводные'!$B$14,0)</f>
        <v/>
      </c>
      <c r="O3454">
        <f>IF('01_Вводные'!$B$234="Да",'19_Расчет_аналитики'!N3453*'01_Вводные'!$B$14,0)</f>
        <v/>
      </c>
      <c r="P3454">
        <f>IF('01_Вводные'!$B$234="Да",'19_Расчет_аналитики'!O3453*'01_Вводные'!$B$14,0)</f>
        <v/>
      </c>
      <c r="Q3454">
        <f>IF('01_Вводные'!$B$234="Да",'19_Расчет_аналитики'!P3453*'01_Вводные'!$B$14,0)</f>
        <v/>
      </c>
      <c r="R3454">
        <f>IF('01_Вводные'!$B$234="Да",'19_Расчет_аналитики'!Q3453*'01_Вводные'!$B$14,0)</f>
        <v/>
      </c>
      <c r="S3454">
        <f>IF('01_Вводные'!$B$234="Да",'19_Расчет_аналитики'!R3453*'01_Вводные'!$B$14,0)</f>
        <v/>
      </c>
      <c r="T3454">
        <f>IF('01_Вводные'!$B$234="Да",'19_Расчет_аналитики'!S3453*'01_Вводные'!$B$14,0)</f>
        <v/>
      </c>
      <c r="U3454">
        <f>IF('01_Вводные'!$B$234="Да",'19_Расчет_аналитики'!T3453*'01_Вводные'!$B$14,0)</f>
        <v/>
      </c>
      <c r="V3454">
        <f>IF('01_Вводные'!$B$234="Да",'19_Расчет_аналитики'!U3453*'01_Вводные'!$B$14,0)</f>
        <v/>
      </c>
      <c r="W3454">
        <f>IF('01_Вводные'!$B$234="Да",'19_Расчет_аналитики'!V3453*'01_Вводные'!$B$14,0)</f>
        <v/>
      </c>
      <c r="X3454">
        <f>IF('01_Вводные'!$B$234="Да",'19_Расчет_аналитики'!W3453*'01_Вводные'!$B$14,0)</f>
        <v/>
      </c>
      <c r="Y3454">
        <f>IF('01_Вводные'!$B$234="Да",'19_Расчет_аналитики'!X3453*'01_Вводные'!$B$14,0)</f>
        <v/>
      </c>
      <c r="Z3454">
        <f>IF('01_Вводные'!$B$234="Да",'19_Расчет_аналитики'!Y3453*'01_Вводные'!$B$14,0)</f>
        <v/>
      </c>
      <c r="AA3454">
        <f>IF('01_Вводные'!$B$234="Да",'19_Расчет_аналитики'!Z3453*'01_Вводные'!$B$14,0)</f>
        <v/>
      </c>
      <c r="AB3454">
        <f>IF('01_Вводные'!$B$234="Да",'19_Расчет_аналитики'!AA3453*'01_Вводные'!$B$14,0)</f>
        <v/>
      </c>
      <c r="AC3454">
        <f>IF('01_Вводные'!$B$234="Да",'19_Расчет_аналитики'!AB3453*'01_Вводные'!$B$14,0)</f>
        <v/>
      </c>
      <c r="AD3454">
        <f>IF('01_Вводные'!$B$234="Да",'19_Расчет_аналитики'!AC3453*'01_Вводные'!$B$14,0)</f>
        <v/>
      </c>
      <c r="AE3454">
        <f>IF('01_Вводные'!$B$234="Да",'19_Расчет_аналитики'!AD3453*'01_Вводные'!$B$14,0)</f>
        <v/>
      </c>
      <c r="AF3454">
        <f>IF('01_Вводные'!$B$234="Да",'19_Расчет_аналитики'!AE3453*'01_Вводные'!$B$14,0)</f>
        <v/>
      </c>
      <c r="AG3454">
        <f>IF('01_Вводные'!$B$234="Да",'19_Расчет_аналитики'!AF3453*'01_Вводные'!$B$14,0)</f>
        <v/>
      </c>
      <c r="AH3454">
        <f>IF('01_Вводные'!$B$234="Да",'19_Расчет_аналитики'!AG3453*'01_Вводные'!$B$14,0)</f>
        <v/>
      </c>
      <c r="AI3454">
        <f>IF('01_Вводные'!$B$234="Да",'19_Расчет_аналитики'!AH3453*'01_Вводные'!$B$14,0)</f>
        <v/>
      </c>
      <c r="AJ3454">
        <f>IF('01_Вводные'!$B$234="Да",'19_Расчет_аналитики'!AI3453*'01_Вводные'!$B$14,0)</f>
        <v/>
      </c>
      <c r="AK3454">
        <f>IF('01_Вводные'!$B$234="Да",'19_Расчет_аналитики'!AJ3453*'01_Вводные'!$B$14,0)</f>
        <v/>
      </c>
      <c r="AL3454">
        <f>IF('01_Вводные'!$B$234="Да",'19_Расчет_аналитики'!AK3453*'01_Вводные'!$B$14,0)</f>
        <v/>
      </c>
      <c r="AM3454">
        <f>IF('01_Вводные'!$B$234="Да",'19_Расчет_аналитики'!AL3453*'01_Вводные'!$B$14,0)</f>
        <v/>
      </c>
      <c r="AN3454">
        <f>IF('01_Вводные'!$B$234="Да",'19_Расчет_аналитики'!AM3453*'01_Вводные'!$B$14,0)</f>
        <v/>
      </c>
      <c r="AO3454">
        <f>IF('01_Вводные'!$B$234="Да",'19_Расчет_аналитики'!AN3453*'01_Вводные'!$B$14,0)</f>
        <v/>
      </c>
      <c r="AP3454">
        <f>IF('01_Вводные'!$B$234="Да",'19_Расчет_аналитики'!AO3453*'01_Вводные'!$B$14,0)</f>
        <v/>
      </c>
      <c r="AQ3454">
        <f>IF('01_Вводные'!$B$234="Да",'19_Расчет_аналитики'!AP3453*'01_Вводные'!$B$14,0)</f>
        <v/>
      </c>
      <c r="AR3454">
        <f>IF('01_Вводные'!$B$234="Да",'19_Расчет_аналитики'!AQ3453*'01_Вводные'!$B$14,0)</f>
        <v/>
      </c>
      <c r="AS3454">
        <f>IF('01_Вводные'!$B$234="Да",'19_Расчет_аналитики'!AR3453*'01_Вводные'!$B$14,0)</f>
        <v/>
      </c>
      <c r="AT3454">
        <f>IF('01_Вводные'!$B$234="Да",'19_Расчет_аналитики'!AS3453*'01_Вводные'!$B$14,0)</f>
        <v/>
      </c>
      <c r="AU3454">
        <f>IF('01_Вводные'!$B$234="Да",'19_Расчет_аналитики'!AT3453*'01_Вводные'!$B$14,0)</f>
        <v/>
      </c>
      <c r="AV3454">
        <f>IF('01_Вводные'!$B$234="Да",'19_Расчет_аналитики'!AU3453*'01_Вводные'!$B$14,0)</f>
        <v/>
      </c>
      <c r="AW3454">
        <f>IF('01_Вводные'!$B$234="Да",'19_Расчет_аналитики'!AV3453*'01_Вводные'!$B$14,0)</f>
        <v/>
      </c>
      <c r="AX3454">
        <f>IF('01_Вводные'!$B$234="Да",'19_Расчет_аналитики'!AW3453*'01_Вводные'!$B$14,0)</f>
        <v/>
      </c>
      <c r="AY3454">
        <f>IF('01_Вводные'!$B$234="Да",'19_Расчет_аналитики'!AX3453*'01_Вводные'!$B$14,0)</f>
        <v/>
      </c>
      <c r="AZ3454">
        <f>IF('01_Вводные'!$B$234="Да",'19_Расчет_аналитики'!AY3453*'01_Вводные'!$B$14,0)</f>
        <v/>
      </c>
      <c r="BA3454">
        <f>IF('01_Вводные'!$B$234="Да",'19_Расчет_аналитики'!AZ3453*'01_Вводные'!$B$14,0)</f>
        <v/>
      </c>
      <c r="BB3454">
        <f>IF('01_Вводные'!$B$234="Да",'19_Расчет_аналитики'!BA3453*'01_Вводные'!$B$14,0)</f>
        <v/>
      </c>
      <c r="BC3454">
        <f>IF('01_Вводные'!$B$234="Да",'19_Расчет_аналитики'!BB3453*'01_Вводные'!$B$14,0)</f>
        <v/>
      </c>
      <c r="BD3454">
        <f>IF('01_Вводные'!$B$234="Да",'19_Расчет_аналитики'!BC3453*'01_Вводные'!$B$14,0)</f>
        <v/>
      </c>
      <c r="BE3454">
        <f>IF('01_Вводные'!$B$234="Да",'19_Расчет_аналитики'!BD3453*'01_Вводные'!$B$14,0)</f>
        <v/>
      </c>
      <c r="BF3454">
        <f>IF('01_Вводные'!$B$234="Да",'19_Расчет_аналитики'!BE3453*'01_Вводные'!$B$14,0)</f>
        <v/>
      </c>
      <c r="BG3454">
        <f>IF('01_Вводные'!$B$234="Да",'19_Расчет_аналитики'!BF3453*'01_Вводные'!$B$14,0)</f>
        <v/>
      </c>
      <c r="BH3454">
        <f>IF('01_Вводные'!$B$234="Да",'19_Расчет_аналитики'!BG3453*'01_Вводные'!$B$14,0)</f>
        <v/>
      </c>
      <c r="BI3454">
        <f>IF('01_Вводные'!$B$234="Да",'19_Расчет_аналитики'!BH3453*'01_Вводные'!$B$14,0)</f>
        <v/>
      </c>
      <c r="BJ3454">
        <f>IF('01_Вводные'!$B$234="Да",'19_Расчет_аналитики'!BI3453*'01_Вводные'!$B$14,0)</f>
        <v/>
      </c>
      <c r="BK3454">
        <f>IF('01_Вводные'!$B$234="Да",'19_Расчет_аналитики'!BJ3453*'01_Вводные'!$B$14,0)</f>
        <v/>
      </c>
      <c r="BL3454">
        <f>IF('01_Вводные'!$B$234="Да",'19_Расчет_аналитики'!BK3453*'01_Вводные'!$B$14,0)</f>
        <v/>
      </c>
      <c r="BM3454">
        <f>IF('01_Вводные'!$B$234="Да",'19_Расчет_аналитики'!BL3453*'01_Вводные'!$B$14,0)</f>
        <v/>
      </c>
      <c r="BN3454">
        <f>IF('01_Вводные'!$B$234="Да",'19_Расчет_аналитики'!BM3453*'01_Вводные'!$B$14,0)</f>
        <v/>
      </c>
      <c r="BO3454">
        <f>IF('01_Вводные'!$B$234="Да",'19_Расчет_аналитики'!BN3453*'01_Вводные'!$B$14,0)</f>
        <v/>
      </c>
    </row>
    <row r="3455">
      <c r="B3455">
        <f>'06_Сеть_и_дети'!B64</f>
        <v/>
      </c>
      <c r="C3455">
        <f>'06_Сеть_и_дети'!C64</f>
        <v/>
      </c>
      <c r="D3455">
        <f>'06_Сеть_и_дети'!D64</f>
        <v/>
      </c>
      <c r="E3455">
        <f>'06_Сеть_и_дети'!E64</f>
        <v/>
      </c>
      <c r="F3455">
        <f>'06_Сеть_и_дети'!F64</f>
        <v/>
      </c>
      <c r="G3455">
        <f>'06_Сеть_и_дети'!G64</f>
        <v/>
      </c>
      <c r="H3455">
        <f>'06_Сеть_и_дети'!H64</f>
        <v/>
      </c>
      <c r="I3455">
        <f>'06_Сеть_и_дети'!I64</f>
        <v/>
      </c>
      <c r="J3455">
        <f>'06_Сеть_и_дети'!J64</f>
        <v/>
      </c>
      <c r="K3455">
        <f>'06_Сеть_и_дети'!K64</f>
        <v/>
      </c>
      <c r="L3455">
        <f>'06_Сеть_и_дети'!L64</f>
        <v/>
      </c>
      <c r="M3455">
        <f>IF('01_Вводные'!$B$234="Да",'19_Расчет_аналитики'!L3454*'01_Вводные'!$B$14,0)</f>
        <v/>
      </c>
      <c r="N3455">
        <f>IF('01_Вводные'!$B$234="Да",'19_Расчет_аналитики'!M3454*'01_Вводные'!$B$14,0)</f>
        <v/>
      </c>
      <c r="O3455">
        <f>IF('01_Вводные'!$B$234="Да",'19_Расчет_аналитики'!N3454*'01_Вводные'!$B$14,0)</f>
        <v/>
      </c>
      <c r="P3455">
        <f>IF('01_Вводные'!$B$234="Да",'19_Расчет_аналитики'!O3454*'01_Вводные'!$B$14,0)</f>
        <v/>
      </c>
      <c r="Q3455">
        <f>IF('01_Вводные'!$B$234="Да",'19_Расчет_аналитики'!P3454*'01_Вводные'!$B$14,0)</f>
        <v/>
      </c>
      <c r="R3455">
        <f>IF('01_Вводные'!$B$234="Да",'19_Расчет_аналитики'!Q3454*'01_Вводные'!$B$14,0)</f>
        <v/>
      </c>
      <c r="S3455">
        <f>IF('01_Вводные'!$B$234="Да",'19_Расчет_аналитики'!R3454*'01_Вводные'!$B$14,0)</f>
        <v/>
      </c>
      <c r="T3455">
        <f>IF('01_Вводные'!$B$234="Да",'19_Расчет_аналитики'!S3454*'01_Вводные'!$B$14,0)</f>
        <v/>
      </c>
      <c r="U3455">
        <f>IF('01_Вводные'!$B$234="Да",'19_Расчет_аналитики'!T3454*'01_Вводные'!$B$14,0)</f>
        <v/>
      </c>
      <c r="V3455">
        <f>IF('01_Вводные'!$B$234="Да",'19_Расчет_аналитики'!U3454*'01_Вводные'!$B$14,0)</f>
        <v/>
      </c>
      <c r="W3455">
        <f>IF('01_Вводные'!$B$234="Да",'19_Расчет_аналитики'!V3454*'01_Вводные'!$B$14,0)</f>
        <v/>
      </c>
      <c r="X3455">
        <f>IF('01_Вводные'!$B$234="Да",'19_Расчет_аналитики'!W3454*'01_Вводные'!$B$14,0)</f>
        <v/>
      </c>
      <c r="Y3455">
        <f>IF('01_Вводные'!$B$234="Да",'19_Расчет_аналитики'!X3454*'01_Вводные'!$B$14,0)</f>
        <v/>
      </c>
      <c r="Z3455">
        <f>IF('01_Вводные'!$B$234="Да",'19_Расчет_аналитики'!Y3454*'01_Вводные'!$B$14,0)</f>
        <v/>
      </c>
      <c r="AA3455">
        <f>IF('01_Вводные'!$B$234="Да",'19_Расчет_аналитики'!Z3454*'01_Вводные'!$B$14,0)</f>
        <v/>
      </c>
      <c r="AB3455">
        <f>IF('01_Вводные'!$B$234="Да",'19_Расчет_аналитики'!AA3454*'01_Вводные'!$B$14,0)</f>
        <v/>
      </c>
      <c r="AC3455">
        <f>IF('01_Вводные'!$B$234="Да",'19_Расчет_аналитики'!AB3454*'01_Вводные'!$B$14,0)</f>
        <v/>
      </c>
      <c r="AD3455">
        <f>IF('01_Вводные'!$B$234="Да",'19_Расчет_аналитики'!AC3454*'01_Вводные'!$B$14,0)</f>
        <v/>
      </c>
      <c r="AE3455">
        <f>IF('01_Вводные'!$B$234="Да",'19_Расчет_аналитики'!AD3454*'01_Вводные'!$B$14,0)</f>
        <v/>
      </c>
      <c r="AF3455">
        <f>IF('01_Вводные'!$B$234="Да",'19_Расчет_аналитики'!AE3454*'01_Вводные'!$B$14,0)</f>
        <v/>
      </c>
      <c r="AG3455">
        <f>IF('01_Вводные'!$B$234="Да",'19_Расчет_аналитики'!AF3454*'01_Вводные'!$B$14,0)</f>
        <v/>
      </c>
      <c r="AH3455">
        <f>IF('01_Вводные'!$B$234="Да",'19_Расчет_аналитики'!AG3454*'01_Вводные'!$B$14,0)</f>
        <v/>
      </c>
      <c r="AI3455">
        <f>IF('01_Вводные'!$B$234="Да",'19_Расчет_аналитики'!AH3454*'01_Вводные'!$B$14,0)</f>
        <v/>
      </c>
      <c r="AJ3455">
        <f>IF('01_Вводные'!$B$234="Да",'19_Расчет_аналитики'!AI3454*'01_Вводные'!$B$14,0)</f>
        <v/>
      </c>
      <c r="AK3455">
        <f>IF('01_Вводные'!$B$234="Да",'19_Расчет_аналитики'!AJ3454*'01_Вводные'!$B$14,0)</f>
        <v/>
      </c>
      <c r="AL3455">
        <f>IF('01_Вводные'!$B$234="Да",'19_Расчет_аналитики'!AK3454*'01_Вводные'!$B$14,0)</f>
        <v/>
      </c>
      <c r="AM3455">
        <f>IF('01_Вводные'!$B$234="Да",'19_Расчет_аналитики'!AL3454*'01_Вводные'!$B$14,0)</f>
        <v/>
      </c>
      <c r="AN3455">
        <f>IF('01_Вводные'!$B$234="Да",'19_Расчет_аналитики'!AM3454*'01_Вводные'!$B$14,0)</f>
        <v/>
      </c>
      <c r="AO3455">
        <f>IF('01_Вводные'!$B$234="Да",'19_Расчет_аналитики'!AN3454*'01_Вводные'!$B$14,0)</f>
        <v/>
      </c>
      <c r="AP3455">
        <f>IF('01_Вводные'!$B$234="Да",'19_Расчет_аналитики'!AO3454*'01_Вводные'!$B$14,0)</f>
        <v/>
      </c>
      <c r="AQ3455">
        <f>IF('01_Вводные'!$B$234="Да",'19_Расчет_аналитики'!AP3454*'01_Вводные'!$B$14,0)</f>
        <v/>
      </c>
      <c r="AR3455">
        <f>IF('01_Вводные'!$B$234="Да",'19_Расчет_аналитики'!AQ3454*'01_Вводные'!$B$14,0)</f>
        <v/>
      </c>
      <c r="AS3455">
        <f>IF('01_Вводные'!$B$234="Да",'19_Расчет_аналитики'!AR3454*'01_Вводные'!$B$14,0)</f>
        <v/>
      </c>
      <c r="AT3455">
        <f>IF('01_Вводные'!$B$234="Да",'19_Расчет_аналитики'!AS3454*'01_Вводные'!$B$14,0)</f>
        <v/>
      </c>
      <c r="AU3455">
        <f>IF('01_Вводные'!$B$234="Да",'19_Расчет_аналитики'!AT3454*'01_Вводные'!$B$14,0)</f>
        <v/>
      </c>
      <c r="AV3455">
        <f>IF('01_Вводные'!$B$234="Да",'19_Расчет_аналитики'!AU3454*'01_Вводные'!$B$14,0)</f>
        <v/>
      </c>
      <c r="AW3455">
        <f>IF('01_Вводные'!$B$234="Да",'19_Расчет_аналитики'!AV3454*'01_Вводные'!$B$14,0)</f>
        <v/>
      </c>
      <c r="AX3455">
        <f>IF('01_Вводные'!$B$234="Да",'19_Расчет_аналитики'!AW3454*'01_Вводные'!$B$14,0)</f>
        <v/>
      </c>
      <c r="AY3455">
        <f>IF('01_Вводные'!$B$234="Да",'19_Расчет_аналитики'!AX3454*'01_Вводные'!$B$14,0)</f>
        <v/>
      </c>
      <c r="AZ3455">
        <f>IF('01_Вводные'!$B$234="Да",'19_Расчет_аналитики'!AY3454*'01_Вводные'!$B$14,0)</f>
        <v/>
      </c>
      <c r="BA3455">
        <f>IF('01_Вводные'!$B$234="Да",'19_Расчет_аналитики'!AZ3454*'01_Вводные'!$B$14,0)</f>
        <v/>
      </c>
      <c r="BB3455">
        <f>IF('01_Вводные'!$B$234="Да",'19_Расчет_аналитики'!BA3454*'01_Вводные'!$B$14,0)</f>
        <v/>
      </c>
      <c r="BC3455">
        <f>IF('01_Вводные'!$B$234="Да",'19_Расчет_аналитики'!BB3454*'01_Вводные'!$B$14,0)</f>
        <v/>
      </c>
      <c r="BD3455">
        <f>IF('01_Вводные'!$B$234="Да",'19_Расчет_аналитики'!BC3454*'01_Вводные'!$B$14,0)</f>
        <v/>
      </c>
      <c r="BE3455">
        <f>IF('01_Вводные'!$B$234="Да",'19_Расчет_аналитики'!BD3454*'01_Вводные'!$B$14,0)</f>
        <v/>
      </c>
      <c r="BF3455">
        <f>IF('01_Вводные'!$B$234="Да",'19_Расчет_аналитики'!BE3454*'01_Вводные'!$B$14,0)</f>
        <v/>
      </c>
      <c r="BG3455">
        <f>IF('01_Вводные'!$B$234="Да",'19_Расчет_аналитики'!BF3454*'01_Вводные'!$B$14,0)</f>
        <v/>
      </c>
      <c r="BH3455">
        <f>IF('01_Вводные'!$B$234="Да",'19_Расчет_аналитики'!BG3454*'01_Вводные'!$B$14,0)</f>
        <v/>
      </c>
      <c r="BI3455">
        <f>IF('01_Вводные'!$B$234="Да",'19_Расчет_аналитики'!BH3454*'01_Вводные'!$B$14,0)</f>
        <v/>
      </c>
      <c r="BJ3455">
        <f>IF('01_Вводные'!$B$234="Да",'19_Расчет_аналитики'!BI3454*'01_Вводные'!$B$14,0)</f>
        <v/>
      </c>
      <c r="BK3455">
        <f>IF('01_Вводные'!$B$234="Да",'19_Расчет_аналитики'!BJ3454*'01_Вводные'!$B$14,0)</f>
        <v/>
      </c>
      <c r="BL3455">
        <f>IF('01_Вводные'!$B$234="Да",'19_Расчет_аналитики'!BK3454*'01_Вводные'!$B$14,0)</f>
        <v/>
      </c>
      <c r="BM3455">
        <f>IF('01_Вводные'!$B$234="Да",'19_Расчет_аналитики'!BL3454*'01_Вводные'!$B$14,0)</f>
        <v/>
      </c>
      <c r="BN3455">
        <f>IF('01_Вводные'!$B$234="Да",'19_Расчет_аналитики'!BM3454*'01_Вводные'!$B$14,0)</f>
        <v/>
      </c>
      <c r="BO3455">
        <f>IF('01_Вводные'!$B$234="Да",'19_Расчет_аналитики'!BN3454*'01_Вводные'!$B$14,0)</f>
        <v/>
      </c>
    </row>
    <row r="3456">
      <c r="B3456">
        <f>'06_Сеть_и_дети'!B65</f>
        <v/>
      </c>
      <c r="C3456">
        <f>'06_Сеть_и_дети'!C65</f>
        <v/>
      </c>
      <c r="D3456">
        <f>'06_Сеть_и_дети'!D65</f>
        <v/>
      </c>
      <c r="E3456">
        <f>'06_Сеть_и_дети'!E65</f>
        <v/>
      </c>
      <c r="F3456">
        <f>'06_Сеть_и_дети'!F65</f>
        <v/>
      </c>
      <c r="G3456">
        <f>'06_Сеть_и_дети'!G65</f>
        <v/>
      </c>
      <c r="H3456">
        <f>'06_Сеть_и_дети'!H65</f>
        <v/>
      </c>
      <c r="I3456">
        <f>'06_Сеть_и_дети'!I65</f>
        <v/>
      </c>
      <c r="J3456">
        <f>'06_Сеть_и_дети'!J65</f>
        <v/>
      </c>
      <c r="K3456">
        <f>'06_Сеть_и_дети'!K65</f>
        <v/>
      </c>
      <c r="L3456">
        <f>'06_Сеть_и_дети'!L65</f>
        <v/>
      </c>
      <c r="M3456">
        <f>'06_Сеть_и_дети'!M65</f>
        <v/>
      </c>
      <c r="N3456">
        <f>IF('01_Вводные'!$B$234="Да",'19_Расчет_аналитики'!M3455*'01_Вводные'!$B$14,0)</f>
        <v/>
      </c>
      <c r="O3456">
        <f>IF('01_Вводные'!$B$234="Да",'19_Расчет_аналитики'!N3455*'01_Вводные'!$B$14,0)</f>
        <v/>
      </c>
      <c r="P3456">
        <f>IF('01_Вводные'!$B$234="Да",'19_Расчет_аналитики'!O3455*'01_Вводные'!$B$14,0)</f>
        <v/>
      </c>
      <c r="Q3456">
        <f>IF('01_Вводные'!$B$234="Да",'19_Расчет_аналитики'!P3455*'01_Вводные'!$B$14,0)</f>
        <v/>
      </c>
      <c r="R3456">
        <f>IF('01_Вводные'!$B$234="Да",'19_Расчет_аналитики'!Q3455*'01_Вводные'!$B$14,0)</f>
        <v/>
      </c>
      <c r="S3456">
        <f>IF('01_Вводные'!$B$234="Да",'19_Расчет_аналитики'!R3455*'01_Вводные'!$B$14,0)</f>
        <v/>
      </c>
      <c r="T3456">
        <f>IF('01_Вводные'!$B$234="Да",'19_Расчет_аналитики'!S3455*'01_Вводные'!$B$14,0)</f>
        <v/>
      </c>
      <c r="U3456">
        <f>IF('01_Вводные'!$B$234="Да",'19_Расчет_аналитики'!T3455*'01_Вводные'!$B$14,0)</f>
        <v/>
      </c>
      <c r="V3456">
        <f>IF('01_Вводные'!$B$234="Да",'19_Расчет_аналитики'!U3455*'01_Вводные'!$B$14,0)</f>
        <v/>
      </c>
      <c r="W3456">
        <f>IF('01_Вводные'!$B$234="Да",'19_Расчет_аналитики'!V3455*'01_Вводные'!$B$14,0)</f>
        <v/>
      </c>
      <c r="X3456">
        <f>IF('01_Вводные'!$B$234="Да",'19_Расчет_аналитики'!W3455*'01_Вводные'!$B$14,0)</f>
        <v/>
      </c>
      <c r="Y3456">
        <f>IF('01_Вводные'!$B$234="Да",'19_Расчет_аналитики'!X3455*'01_Вводные'!$B$14,0)</f>
        <v/>
      </c>
      <c r="Z3456">
        <f>IF('01_Вводные'!$B$234="Да",'19_Расчет_аналитики'!Y3455*'01_Вводные'!$B$14,0)</f>
        <v/>
      </c>
      <c r="AA3456">
        <f>IF('01_Вводные'!$B$234="Да",'19_Расчет_аналитики'!Z3455*'01_Вводные'!$B$14,0)</f>
        <v/>
      </c>
      <c r="AB3456">
        <f>IF('01_Вводные'!$B$234="Да",'19_Расчет_аналитики'!AA3455*'01_Вводные'!$B$14,0)</f>
        <v/>
      </c>
      <c r="AC3456">
        <f>IF('01_Вводные'!$B$234="Да",'19_Расчет_аналитики'!AB3455*'01_Вводные'!$B$14,0)</f>
        <v/>
      </c>
      <c r="AD3456">
        <f>IF('01_Вводные'!$B$234="Да",'19_Расчет_аналитики'!AC3455*'01_Вводные'!$B$14,0)</f>
        <v/>
      </c>
      <c r="AE3456">
        <f>IF('01_Вводные'!$B$234="Да",'19_Расчет_аналитики'!AD3455*'01_Вводные'!$B$14,0)</f>
        <v/>
      </c>
      <c r="AF3456">
        <f>IF('01_Вводные'!$B$234="Да",'19_Расчет_аналитики'!AE3455*'01_Вводные'!$B$14,0)</f>
        <v/>
      </c>
      <c r="AG3456">
        <f>IF('01_Вводные'!$B$234="Да",'19_Расчет_аналитики'!AF3455*'01_Вводные'!$B$14,0)</f>
        <v/>
      </c>
      <c r="AH3456">
        <f>IF('01_Вводные'!$B$234="Да",'19_Расчет_аналитики'!AG3455*'01_Вводные'!$B$14,0)</f>
        <v/>
      </c>
      <c r="AI3456">
        <f>IF('01_Вводные'!$B$234="Да",'19_Расчет_аналитики'!AH3455*'01_Вводные'!$B$14,0)</f>
        <v/>
      </c>
      <c r="AJ3456">
        <f>IF('01_Вводные'!$B$234="Да",'19_Расчет_аналитики'!AI3455*'01_Вводные'!$B$14,0)</f>
        <v/>
      </c>
      <c r="AK3456">
        <f>IF('01_Вводные'!$B$234="Да",'19_Расчет_аналитики'!AJ3455*'01_Вводные'!$B$14,0)</f>
        <v/>
      </c>
      <c r="AL3456">
        <f>IF('01_Вводные'!$B$234="Да",'19_Расчет_аналитики'!AK3455*'01_Вводные'!$B$14,0)</f>
        <v/>
      </c>
      <c r="AM3456">
        <f>IF('01_Вводные'!$B$234="Да",'19_Расчет_аналитики'!AL3455*'01_Вводные'!$B$14,0)</f>
        <v/>
      </c>
      <c r="AN3456">
        <f>IF('01_Вводные'!$B$234="Да",'19_Расчет_аналитики'!AM3455*'01_Вводные'!$B$14,0)</f>
        <v/>
      </c>
      <c r="AO3456">
        <f>IF('01_Вводные'!$B$234="Да",'19_Расчет_аналитики'!AN3455*'01_Вводные'!$B$14,0)</f>
        <v/>
      </c>
      <c r="AP3456">
        <f>IF('01_Вводные'!$B$234="Да",'19_Расчет_аналитики'!AO3455*'01_Вводные'!$B$14,0)</f>
        <v/>
      </c>
      <c r="AQ3456">
        <f>IF('01_Вводные'!$B$234="Да",'19_Расчет_аналитики'!AP3455*'01_Вводные'!$B$14,0)</f>
        <v/>
      </c>
      <c r="AR3456">
        <f>IF('01_Вводные'!$B$234="Да",'19_Расчет_аналитики'!AQ3455*'01_Вводные'!$B$14,0)</f>
        <v/>
      </c>
      <c r="AS3456">
        <f>IF('01_Вводные'!$B$234="Да",'19_Расчет_аналитики'!AR3455*'01_Вводные'!$B$14,0)</f>
        <v/>
      </c>
      <c r="AT3456">
        <f>IF('01_Вводные'!$B$234="Да",'19_Расчет_аналитики'!AS3455*'01_Вводные'!$B$14,0)</f>
        <v/>
      </c>
      <c r="AU3456">
        <f>IF('01_Вводные'!$B$234="Да",'19_Расчет_аналитики'!AT3455*'01_Вводные'!$B$14,0)</f>
        <v/>
      </c>
      <c r="AV3456">
        <f>IF('01_Вводные'!$B$234="Да",'19_Расчет_аналитики'!AU3455*'01_Вводные'!$B$14,0)</f>
        <v/>
      </c>
      <c r="AW3456">
        <f>IF('01_Вводные'!$B$234="Да",'19_Расчет_аналитики'!AV3455*'01_Вводные'!$B$14,0)</f>
        <v/>
      </c>
      <c r="AX3456">
        <f>IF('01_Вводные'!$B$234="Да",'19_Расчет_аналитики'!AW3455*'01_Вводные'!$B$14,0)</f>
        <v/>
      </c>
      <c r="AY3456">
        <f>IF('01_Вводные'!$B$234="Да",'19_Расчет_аналитики'!AX3455*'01_Вводные'!$B$14,0)</f>
        <v/>
      </c>
      <c r="AZ3456">
        <f>IF('01_Вводные'!$B$234="Да",'19_Расчет_аналитики'!AY3455*'01_Вводные'!$B$14,0)</f>
        <v/>
      </c>
      <c r="BA3456">
        <f>IF('01_Вводные'!$B$234="Да",'19_Расчет_аналитики'!AZ3455*'01_Вводные'!$B$14,0)</f>
        <v/>
      </c>
      <c r="BB3456">
        <f>IF('01_Вводные'!$B$234="Да",'19_Расчет_аналитики'!BA3455*'01_Вводные'!$B$14,0)</f>
        <v/>
      </c>
      <c r="BC3456">
        <f>IF('01_Вводные'!$B$234="Да",'19_Расчет_аналитики'!BB3455*'01_Вводные'!$B$14,0)</f>
        <v/>
      </c>
      <c r="BD3456">
        <f>IF('01_Вводные'!$B$234="Да",'19_Расчет_аналитики'!BC3455*'01_Вводные'!$B$14,0)</f>
        <v/>
      </c>
      <c r="BE3456">
        <f>IF('01_Вводные'!$B$234="Да",'19_Расчет_аналитики'!BD3455*'01_Вводные'!$B$14,0)</f>
        <v/>
      </c>
      <c r="BF3456">
        <f>IF('01_Вводные'!$B$234="Да",'19_Расчет_аналитики'!BE3455*'01_Вводные'!$B$14,0)</f>
        <v/>
      </c>
      <c r="BG3456">
        <f>IF('01_Вводные'!$B$234="Да",'19_Расчет_аналитики'!BF3455*'01_Вводные'!$B$14,0)</f>
        <v/>
      </c>
      <c r="BH3456">
        <f>IF('01_Вводные'!$B$234="Да",'19_Расчет_аналитики'!BG3455*'01_Вводные'!$B$14,0)</f>
        <v/>
      </c>
      <c r="BI3456">
        <f>IF('01_Вводные'!$B$234="Да",'19_Расчет_аналитики'!BH3455*'01_Вводные'!$B$14,0)</f>
        <v/>
      </c>
      <c r="BJ3456">
        <f>IF('01_Вводные'!$B$234="Да",'19_Расчет_аналитики'!BI3455*'01_Вводные'!$B$14,0)</f>
        <v/>
      </c>
      <c r="BK3456">
        <f>IF('01_Вводные'!$B$234="Да",'19_Расчет_аналитики'!BJ3455*'01_Вводные'!$B$14,0)</f>
        <v/>
      </c>
      <c r="BL3456">
        <f>IF('01_Вводные'!$B$234="Да",'19_Расчет_аналитики'!BK3455*'01_Вводные'!$B$14,0)</f>
        <v/>
      </c>
      <c r="BM3456">
        <f>IF('01_Вводные'!$B$234="Да",'19_Расчет_аналитики'!BL3455*'01_Вводные'!$B$14,0)</f>
        <v/>
      </c>
      <c r="BN3456">
        <f>IF('01_Вводные'!$B$234="Да",'19_Расчет_аналитики'!BM3455*'01_Вводные'!$B$14,0)</f>
        <v/>
      </c>
      <c r="BO3456">
        <f>IF('01_Вводные'!$B$234="Да",'19_Расчет_аналитики'!BN3455*'01_Вводные'!$B$14,0)</f>
        <v/>
      </c>
    </row>
    <row r="3457">
      <c r="B3457">
        <f>'06_Сеть_и_дети'!B66</f>
        <v/>
      </c>
      <c r="C3457">
        <f>'06_Сеть_и_дети'!C66</f>
        <v/>
      </c>
      <c r="D3457">
        <f>'06_Сеть_и_дети'!D66</f>
        <v/>
      </c>
      <c r="E3457">
        <f>'06_Сеть_и_дети'!E66</f>
        <v/>
      </c>
      <c r="F3457">
        <f>'06_Сеть_и_дети'!F66</f>
        <v/>
      </c>
      <c r="G3457">
        <f>'06_Сеть_и_дети'!G66</f>
        <v/>
      </c>
      <c r="H3457">
        <f>'06_Сеть_и_дети'!H66</f>
        <v/>
      </c>
      <c r="I3457">
        <f>'06_Сеть_и_дети'!I66</f>
        <v/>
      </c>
      <c r="J3457">
        <f>'06_Сеть_и_дети'!J66</f>
        <v/>
      </c>
      <c r="K3457">
        <f>'06_Сеть_и_дети'!K66</f>
        <v/>
      </c>
      <c r="L3457">
        <f>'06_Сеть_и_дети'!L66</f>
        <v/>
      </c>
      <c r="M3457">
        <f>'06_Сеть_и_дети'!M66</f>
        <v/>
      </c>
      <c r="N3457">
        <f>'06_Сеть_и_дети'!N66</f>
        <v/>
      </c>
      <c r="O3457">
        <f>IF('01_Вводные'!$B$234="Да",'19_Расчет_аналитики'!N3456*'01_Вводные'!$B$14,0)</f>
        <v/>
      </c>
      <c r="P3457">
        <f>IF('01_Вводные'!$B$234="Да",'19_Расчет_аналитики'!O3456*'01_Вводные'!$B$14,0)</f>
        <v/>
      </c>
      <c r="Q3457">
        <f>IF('01_Вводные'!$B$234="Да",'19_Расчет_аналитики'!P3456*'01_Вводные'!$B$14,0)</f>
        <v/>
      </c>
      <c r="R3457">
        <f>IF('01_Вводные'!$B$234="Да",'19_Расчет_аналитики'!Q3456*'01_Вводные'!$B$14,0)</f>
        <v/>
      </c>
      <c r="S3457">
        <f>IF('01_Вводные'!$B$234="Да",'19_Расчет_аналитики'!R3456*'01_Вводные'!$B$14,0)</f>
        <v/>
      </c>
      <c r="T3457">
        <f>IF('01_Вводные'!$B$234="Да",'19_Расчет_аналитики'!S3456*'01_Вводные'!$B$14,0)</f>
        <v/>
      </c>
      <c r="U3457">
        <f>IF('01_Вводные'!$B$234="Да",'19_Расчет_аналитики'!T3456*'01_Вводные'!$B$14,0)</f>
        <v/>
      </c>
      <c r="V3457">
        <f>IF('01_Вводные'!$B$234="Да",'19_Расчет_аналитики'!U3456*'01_Вводные'!$B$14,0)</f>
        <v/>
      </c>
      <c r="W3457">
        <f>IF('01_Вводные'!$B$234="Да",'19_Расчет_аналитики'!V3456*'01_Вводные'!$B$14,0)</f>
        <v/>
      </c>
      <c r="X3457">
        <f>IF('01_Вводные'!$B$234="Да",'19_Расчет_аналитики'!W3456*'01_Вводные'!$B$14,0)</f>
        <v/>
      </c>
      <c r="Y3457">
        <f>IF('01_Вводные'!$B$234="Да",'19_Расчет_аналитики'!X3456*'01_Вводные'!$B$14,0)</f>
        <v/>
      </c>
      <c r="Z3457">
        <f>IF('01_Вводные'!$B$234="Да",'19_Расчет_аналитики'!Y3456*'01_Вводные'!$B$14,0)</f>
        <v/>
      </c>
      <c r="AA3457">
        <f>IF('01_Вводные'!$B$234="Да",'19_Расчет_аналитики'!Z3456*'01_Вводные'!$B$14,0)</f>
        <v/>
      </c>
      <c r="AB3457">
        <f>IF('01_Вводные'!$B$234="Да",'19_Расчет_аналитики'!AA3456*'01_Вводные'!$B$14,0)</f>
        <v/>
      </c>
      <c r="AC3457">
        <f>IF('01_Вводные'!$B$234="Да",'19_Расчет_аналитики'!AB3456*'01_Вводные'!$B$14,0)</f>
        <v/>
      </c>
      <c r="AD3457">
        <f>IF('01_Вводные'!$B$234="Да",'19_Расчет_аналитики'!AC3456*'01_Вводные'!$B$14,0)</f>
        <v/>
      </c>
      <c r="AE3457">
        <f>IF('01_Вводные'!$B$234="Да",'19_Расчет_аналитики'!AD3456*'01_Вводные'!$B$14,0)</f>
        <v/>
      </c>
      <c r="AF3457">
        <f>IF('01_Вводные'!$B$234="Да",'19_Расчет_аналитики'!AE3456*'01_Вводные'!$B$14,0)</f>
        <v/>
      </c>
      <c r="AG3457">
        <f>IF('01_Вводные'!$B$234="Да",'19_Расчет_аналитики'!AF3456*'01_Вводные'!$B$14,0)</f>
        <v/>
      </c>
      <c r="AH3457">
        <f>IF('01_Вводные'!$B$234="Да",'19_Расчет_аналитики'!AG3456*'01_Вводные'!$B$14,0)</f>
        <v/>
      </c>
      <c r="AI3457">
        <f>IF('01_Вводные'!$B$234="Да",'19_Расчет_аналитики'!AH3456*'01_Вводные'!$B$14,0)</f>
        <v/>
      </c>
      <c r="AJ3457">
        <f>IF('01_Вводные'!$B$234="Да",'19_Расчет_аналитики'!AI3456*'01_Вводные'!$B$14,0)</f>
        <v/>
      </c>
      <c r="AK3457">
        <f>IF('01_Вводные'!$B$234="Да",'19_Расчет_аналитики'!AJ3456*'01_Вводные'!$B$14,0)</f>
        <v/>
      </c>
      <c r="AL3457">
        <f>IF('01_Вводные'!$B$234="Да",'19_Расчет_аналитики'!AK3456*'01_Вводные'!$B$14,0)</f>
        <v/>
      </c>
      <c r="AM3457">
        <f>IF('01_Вводные'!$B$234="Да",'19_Расчет_аналитики'!AL3456*'01_Вводные'!$B$14,0)</f>
        <v/>
      </c>
      <c r="AN3457">
        <f>IF('01_Вводные'!$B$234="Да",'19_Расчет_аналитики'!AM3456*'01_Вводные'!$B$14,0)</f>
        <v/>
      </c>
      <c r="AO3457">
        <f>IF('01_Вводные'!$B$234="Да",'19_Расчет_аналитики'!AN3456*'01_Вводные'!$B$14,0)</f>
        <v/>
      </c>
      <c r="AP3457">
        <f>IF('01_Вводные'!$B$234="Да",'19_Расчет_аналитики'!AO3456*'01_Вводные'!$B$14,0)</f>
        <v/>
      </c>
      <c r="AQ3457">
        <f>IF('01_Вводные'!$B$234="Да",'19_Расчет_аналитики'!AP3456*'01_Вводные'!$B$14,0)</f>
        <v/>
      </c>
      <c r="AR3457">
        <f>IF('01_Вводные'!$B$234="Да",'19_Расчет_аналитики'!AQ3456*'01_Вводные'!$B$14,0)</f>
        <v/>
      </c>
      <c r="AS3457">
        <f>IF('01_Вводные'!$B$234="Да",'19_Расчет_аналитики'!AR3456*'01_Вводные'!$B$14,0)</f>
        <v/>
      </c>
      <c r="AT3457">
        <f>IF('01_Вводные'!$B$234="Да",'19_Расчет_аналитики'!AS3456*'01_Вводные'!$B$14,0)</f>
        <v/>
      </c>
      <c r="AU3457">
        <f>IF('01_Вводные'!$B$234="Да",'19_Расчет_аналитики'!AT3456*'01_Вводные'!$B$14,0)</f>
        <v/>
      </c>
      <c r="AV3457">
        <f>IF('01_Вводные'!$B$234="Да",'19_Расчет_аналитики'!AU3456*'01_Вводные'!$B$14,0)</f>
        <v/>
      </c>
      <c r="AW3457">
        <f>IF('01_Вводные'!$B$234="Да",'19_Расчет_аналитики'!AV3456*'01_Вводные'!$B$14,0)</f>
        <v/>
      </c>
      <c r="AX3457">
        <f>IF('01_Вводные'!$B$234="Да",'19_Расчет_аналитики'!AW3456*'01_Вводные'!$B$14,0)</f>
        <v/>
      </c>
      <c r="AY3457">
        <f>IF('01_Вводные'!$B$234="Да",'19_Расчет_аналитики'!AX3456*'01_Вводные'!$B$14,0)</f>
        <v/>
      </c>
      <c r="AZ3457">
        <f>IF('01_Вводные'!$B$234="Да",'19_Расчет_аналитики'!AY3456*'01_Вводные'!$B$14,0)</f>
        <v/>
      </c>
      <c r="BA3457">
        <f>IF('01_Вводные'!$B$234="Да",'19_Расчет_аналитики'!AZ3456*'01_Вводные'!$B$14,0)</f>
        <v/>
      </c>
      <c r="BB3457">
        <f>IF('01_Вводные'!$B$234="Да",'19_Расчет_аналитики'!BA3456*'01_Вводные'!$B$14,0)</f>
        <v/>
      </c>
      <c r="BC3457">
        <f>IF('01_Вводные'!$B$234="Да",'19_Расчет_аналитики'!BB3456*'01_Вводные'!$B$14,0)</f>
        <v/>
      </c>
      <c r="BD3457">
        <f>IF('01_Вводные'!$B$234="Да",'19_Расчет_аналитики'!BC3456*'01_Вводные'!$B$14,0)</f>
        <v/>
      </c>
      <c r="BE3457">
        <f>IF('01_Вводные'!$B$234="Да",'19_Расчет_аналитики'!BD3456*'01_Вводные'!$B$14,0)</f>
        <v/>
      </c>
      <c r="BF3457">
        <f>IF('01_Вводные'!$B$234="Да",'19_Расчет_аналитики'!BE3456*'01_Вводные'!$B$14,0)</f>
        <v/>
      </c>
      <c r="BG3457">
        <f>IF('01_Вводные'!$B$234="Да",'19_Расчет_аналитики'!BF3456*'01_Вводные'!$B$14,0)</f>
        <v/>
      </c>
      <c r="BH3457">
        <f>IF('01_Вводные'!$B$234="Да",'19_Расчет_аналитики'!BG3456*'01_Вводные'!$B$14,0)</f>
        <v/>
      </c>
      <c r="BI3457">
        <f>IF('01_Вводные'!$B$234="Да",'19_Расчет_аналитики'!BH3456*'01_Вводные'!$B$14,0)</f>
        <v/>
      </c>
      <c r="BJ3457">
        <f>IF('01_Вводные'!$B$234="Да",'19_Расчет_аналитики'!BI3456*'01_Вводные'!$B$14,0)</f>
        <v/>
      </c>
      <c r="BK3457">
        <f>IF('01_Вводные'!$B$234="Да",'19_Расчет_аналитики'!BJ3456*'01_Вводные'!$B$14,0)</f>
        <v/>
      </c>
      <c r="BL3457">
        <f>IF('01_Вводные'!$B$234="Да",'19_Расчет_аналитики'!BK3456*'01_Вводные'!$B$14,0)</f>
        <v/>
      </c>
      <c r="BM3457">
        <f>IF('01_Вводные'!$B$234="Да",'19_Расчет_аналитики'!BL3456*'01_Вводные'!$B$14,0)</f>
        <v/>
      </c>
      <c r="BN3457">
        <f>IF('01_Вводные'!$B$234="Да",'19_Расчет_аналитики'!BM3456*'01_Вводные'!$B$14,0)</f>
        <v/>
      </c>
      <c r="BO3457">
        <f>IF('01_Вводные'!$B$234="Да",'19_Расчет_аналитики'!BN3456*'01_Вводные'!$B$14,0)</f>
        <v/>
      </c>
    </row>
    <row r="3458">
      <c r="B3458">
        <f>'06_Сеть_и_дети'!B67</f>
        <v/>
      </c>
      <c r="C3458">
        <f>'06_Сеть_и_дети'!C67</f>
        <v/>
      </c>
      <c r="D3458">
        <f>'06_Сеть_и_дети'!D67</f>
        <v/>
      </c>
      <c r="E3458">
        <f>'06_Сеть_и_дети'!E67</f>
        <v/>
      </c>
      <c r="F3458">
        <f>'06_Сеть_и_дети'!F67</f>
        <v/>
      </c>
      <c r="G3458">
        <f>'06_Сеть_и_дети'!G67</f>
        <v/>
      </c>
      <c r="H3458">
        <f>'06_Сеть_и_дети'!H67</f>
        <v/>
      </c>
      <c r="I3458">
        <f>'06_Сеть_и_дети'!I67</f>
        <v/>
      </c>
      <c r="J3458">
        <f>'06_Сеть_и_дети'!J67</f>
        <v/>
      </c>
      <c r="K3458">
        <f>'06_Сеть_и_дети'!K67</f>
        <v/>
      </c>
      <c r="L3458">
        <f>'06_Сеть_и_дети'!L67</f>
        <v/>
      </c>
      <c r="M3458">
        <f>'06_Сеть_и_дети'!M67</f>
        <v/>
      </c>
      <c r="N3458">
        <f>'06_Сеть_и_дети'!N67</f>
        <v/>
      </c>
      <c r="O3458">
        <f>'06_Сеть_и_дети'!O67</f>
        <v/>
      </c>
      <c r="P3458">
        <f>IF('01_Вводные'!$B$234="Да",'19_Расчет_аналитики'!O3457*'01_Вводные'!$B$14,0)</f>
        <v/>
      </c>
      <c r="Q3458">
        <f>IF('01_Вводные'!$B$234="Да",'19_Расчет_аналитики'!P3457*'01_Вводные'!$B$14,0)</f>
        <v/>
      </c>
      <c r="R3458">
        <f>IF('01_Вводные'!$B$234="Да",'19_Расчет_аналитики'!Q3457*'01_Вводные'!$B$14,0)</f>
        <v/>
      </c>
      <c r="S3458">
        <f>IF('01_Вводные'!$B$234="Да",'19_Расчет_аналитики'!R3457*'01_Вводные'!$B$14,0)</f>
        <v/>
      </c>
      <c r="T3458">
        <f>IF('01_Вводные'!$B$234="Да",'19_Расчет_аналитики'!S3457*'01_Вводные'!$B$14,0)</f>
        <v/>
      </c>
      <c r="U3458">
        <f>IF('01_Вводные'!$B$234="Да",'19_Расчет_аналитики'!T3457*'01_Вводные'!$B$14,0)</f>
        <v/>
      </c>
      <c r="V3458">
        <f>IF('01_Вводные'!$B$234="Да",'19_Расчет_аналитики'!U3457*'01_Вводные'!$B$14,0)</f>
        <v/>
      </c>
      <c r="W3458">
        <f>IF('01_Вводные'!$B$234="Да",'19_Расчет_аналитики'!V3457*'01_Вводные'!$B$14,0)</f>
        <v/>
      </c>
      <c r="X3458">
        <f>IF('01_Вводные'!$B$234="Да",'19_Расчет_аналитики'!W3457*'01_Вводные'!$B$14,0)</f>
        <v/>
      </c>
      <c r="Y3458">
        <f>IF('01_Вводные'!$B$234="Да",'19_Расчет_аналитики'!X3457*'01_Вводные'!$B$14,0)</f>
        <v/>
      </c>
      <c r="Z3458">
        <f>IF('01_Вводные'!$B$234="Да",'19_Расчет_аналитики'!Y3457*'01_Вводные'!$B$14,0)</f>
        <v/>
      </c>
      <c r="AA3458">
        <f>IF('01_Вводные'!$B$234="Да",'19_Расчет_аналитики'!Z3457*'01_Вводные'!$B$14,0)</f>
        <v/>
      </c>
      <c r="AB3458">
        <f>IF('01_Вводные'!$B$234="Да",'19_Расчет_аналитики'!AA3457*'01_Вводные'!$B$14,0)</f>
        <v/>
      </c>
      <c r="AC3458">
        <f>IF('01_Вводные'!$B$234="Да",'19_Расчет_аналитики'!AB3457*'01_Вводные'!$B$14,0)</f>
        <v/>
      </c>
      <c r="AD3458">
        <f>IF('01_Вводные'!$B$234="Да",'19_Расчет_аналитики'!AC3457*'01_Вводные'!$B$14,0)</f>
        <v/>
      </c>
      <c r="AE3458">
        <f>IF('01_Вводные'!$B$234="Да",'19_Расчет_аналитики'!AD3457*'01_Вводные'!$B$14,0)</f>
        <v/>
      </c>
      <c r="AF3458">
        <f>IF('01_Вводные'!$B$234="Да",'19_Расчет_аналитики'!AE3457*'01_Вводные'!$B$14,0)</f>
        <v/>
      </c>
      <c r="AG3458">
        <f>IF('01_Вводные'!$B$234="Да",'19_Расчет_аналитики'!AF3457*'01_Вводные'!$B$14,0)</f>
        <v/>
      </c>
      <c r="AH3458">
        <f>IF('01_Вводные'!$B$234="Да",'19_Расчет_аналитики'!AG3457*'01_Вводные'!$B$14,0)</f>
        <v/>
      </c>
      <c r="AI3458">
        <f>IF('01_Вводные'!$B$234="Да",'19_Расчет_аналитики'!AH3457*'01_Вводные'!$B$14,0)</f>
        <v/>
      </c>
      <c r="AJ3458">
        <f>IF('01_Вводные'!$B$234="Да",'19_Расчет_аналитики'!AI3457*'01_Вводные'!$B$14,0)</f>
        <v/>
      </c>
      <c r="AK3458">
        <f>IF('01_Вводные'!$B$234="Да",'19_Расчет_аналитики'!AJ3457*'01_Вводные'!$B$14,0)</f>
        <v/>
      </c>
      <c r="AL3458">
        <f>IF('01_Вводные'!$B$234="Да",'19_Расчет_аналитики'!AK3457*'01_Вводные'!$B$14,0)</f>
        <v/>
      </c>
      <c r="AM3458">
        <f>IF('01_Вводные'!$B$234="Да",'19_Расчет_аналитики'!AL3457*'01_Вводные'!$B$14,0)</f>
        <v/>
      </c>
      <c r="AN3458">
        <f>IF('01_Вводные'!$B$234="Да",'19_Расчет_аналитики'!AM3457*'01_Вводные'!$B$14,0)</f>
        <v/>
      </c>
      <c r="AO3458">
        <f>IF('01_Вводные'!$B$234="Да",'19_Расчет_аналитики'!AN3457*'01_Вводные'!$B$14,0)</f>
        <v/>
      </c>
      <c r="AP3458">
        <f>IF('01_Вводные'!$B$234="Да",'19_Расчет_аналитики'!AO3457*'01_Вводные'!$B$14,0)</f>
        <v/>
      </c>
      <c r="AQ3458">
        <f>IF('01_Вводные'!$B$234="Да",'19_Расчет_аналитики'!AP3457*'01_Вводные'!$B$14,0)</f>
        <v/>
      </c>
      <c r="AR3458">
        <f>IF('01_Вводные'!$B$234="Да",'19_Расчет_аналитики'!AQ3457*'01_Вводные'!$B$14,0)</f>
        <v/>
      </c>
      <c r="AS3458">
        <f>IF('01_Вводные'!$B$234="Да",'19_Расчет_аналитики'!AR3457*'01_Вводные'!$B$14,0)</f>
        <v/>
      </c>
      <c r="AT3458">
        <f>IF('01_Вводные'!$B$234="Да",'19_Расчет_аналитики'!AS3457*'01_Вводные'!$B$14,0)</f>
        <v/>
      </c>
      <c r="AU3458">
        <f>IF('01_Вводные'!$B$234="Да",'19_Расчет_аналитики'!AT3457*'01_Вводные'!$B$14,0)</f>
        <v/>
      </c>
      <c r="AV3458">
        <f>IF('01_Вводные'!$B$234="Да",'19_Расчет_аналитики'!AU3457*'01_Вводные'!$B$14,0)</f>
        <v/>
      </c>
      <c r="AW3458">
        <f>IF('01_Вводные'!$B$234="Да",'19_Расчет_аналитики'!AV3457*'01_Вводные'!$B$14,0)</f>
        <v/>
      </c>
      <c r="AX3458">
        <f>IF('01_Вводные'!$B$234="Да",'19_Расчет_аналитики'!AW3457*'01_Вводные'!$B$14,0)</f>
        <v/>
      </c>
      <c r="AY3458">
        <f>IF('01_Вводные'!$B$234="Да",'19_Расчет_аналитики'!AX3457*'01_Вводные'!$B$14,0)</f>
        <v/>
      </c>
      <c r="AZ3458">
        <f>IF('01_Вводные'!$B$234="Да",'19_Расчет_аналитики'!AY3457*'01_Вводные'!$B$14,0)</f>
        <v/>
      </c>
      <c r="BA3458">
        <f>IF('01_Вводные'!$B$234="Да",'19_Расчет_аналитики'!AZ3457*'01_Вводные'!$B$14,0)</f>
        <v/>
      </c>
      <c r="BB3458">
        <f>IF('01_Вводные'!$B$234="Да",'19_Расчет_аналитики'!BA3457*'01_Вводные'!$B$14,0)</f>
        <v/>
      </c>
      <c r="BC3458">
        <f>IF('01_Вводные'!$B$234="Да",'19_Расчет_аналитики'!BB3457*'01_Вводные'!$B$14,0)</f>
        <v/>
      </c>
      <c r="BD3458">
        <f>IF('01_Вводные'!$B$234="Да",'19_Расчет_аналитики'!BC3457*'01_Вводные'!$B$14,0)</f>
        <v/>
      </c>
      <c r="BE3458">
        <f>IF('01_Вводные'!$B$234="Да",'19_Расчет_аналитики'!BD3457*'01_Вводные'!$B$14,0)</f>
        <v/>
      </c>
      <c r="BF3458">
        <f>IF('01_Вводные'!$B$234="Да",'19_Расчет_аналитики'!BE3457*'01_Вводные'!$B$14,0)</f>
        <v/>
      </c>
      <c r="BG3458">
        <f>IF('01_Вводные'!$B$234="Да",'19_Расчет_аналитики'!BF3457*'01_Вводные'!$B$14,0)</f>
        <v/>
      </c>
      <c r="BH3458">
        <f>IF('01_Вводные'!$B$234="Да",'19_Расчет_аналитики'!BG3457*'01_Вводные'!$B$14,0)</f>
        <v/>
      </c>
      <c r="BI3458">
        <f>IF('01_Вводные'!$B$234="Да",'19_Расчет_аналитики'!BH3457*'01_Вводные'!$B$14,0)</f>
        <v/>
      </c>
      <c r="BJ3458">
        <f>IF('01_Вводные'!$B$234="Да",'19_Расчет_аналитики'!BI3457*'01_Вводные'!$B$14,0)</f>
        <v/>
      </c>
      <c r="BK3458">
        <f>IF('01_Вводные'!$B$234="Да",'19_Расчет_аналитики'!BJ3457*'01_Вводные'!$B$14,0)</f>
        <v/>
      </c>
      <c r="BL3458">
        <f>IF('01_Вводные'!$B$234="Да",'19_Расчет_аналитики'!BK3457*'01_Вводные'!$B$14,0)</f>
        <v/>
      </c>
      <c r="BM3458">
        <f>IF('01_Вводные'!$B$234="Да",'19_Расчет_аналитики'!BL3457*'01_Вводные'!$B$14,0)</f>
        <v/>
      </c>
      <c r="BN3458">
        <f>IF('01_Вводные'!$B$234="Да",'19_Расчет_аналитики'!BM3457*'01_Вводные'!$B$14,0)</f>
        <v/>
      </c>
      <c r="BO3458">
        <f>IF('01_Вводные'!$B$234="Да",'19_Расчет_аналитики'!BN3457*'01_Вводные'!$B$14,0)</f>
        <v/>
      </c>
    </row>
    <row r="3459">
      <c r="B3459">
        <f>'06_Сеть_и_дети'!B68</f>
        <v/>
      </c>
      <c r="C3459">
        <f>'06_Сеть_и_дети'!C68</f>
        <v/>
      </c>
      <c r="D3459">
        <f>'06_Сеть_и_дети'!D68</f>
        <v/>
      </c>
      <c r="E3459">
        <f>'06_Сеть_и_дети'!E68</f>
        <v/>
      </c>
      <c r="F3459">
        <f>'06_Сеть_и_дети'!F68</f>
        <v/>
      </c>
      <c r="G3459">
        <f>'06_Сеть_и_дети'!G68</f>
        <v/>
      </c>
      <c r="H3459">
        <f>'06_Сеть_и_дети'!H68</f>
        <v/>
      </c>
      <c r="I3459">
        <f>'06_Сеть_и_дети'!I68</f>
        <v/>
      </c>
      <c r="J3459">
        <f>'06_Сеть_и_дети'!J68</f>
        <v/>
      </c>
      <c r="K3459">
        <f>'06_Сеть_и_дети'!K68</f>
        <v/>
      </c>
      <c r="L3459">
        <f>'06_Сеть_и_дети'!L68</f>
        <v/>
      </c>
      <c r="M3459">
        <f>'06_Сеть_и_дети'!M68</f>
        <v/>
      </c>
      <c r="N3459">
        <f>'06_Сеть_и_дети'!N68</f>
        <v/>
      </c>
      <c r="O3459">
        <f>'06_Сеть_и_дети'!O68</f>
        <v/>
      </c>
      <c r="P3459">
        <f>'06_Сеть_и_дети'!P68</f>
        <v/>
      </c>
      <c r="Q3459">
        <f>IF('01_Вводные'!$B$234="Да",'19_Расчет_аналитики'!P3458*'01_Вводные'!$B$14,0)</f>
        <v/>
      </c>
      <c r="R3459">
        <f>IF('01_Вводные'!$B$234="Да",'19_Расчет_аналитики'!Q3458*'01_Вводные'!$B$14,0)</f>
        <v/>
      </c>
      <c r="S3459">
        <f>IF('01_Вводные'!$B$234="Да",'19_Расчет_аналитики'!R3458*'01_Вводные'!$B$14,0)</f>
        <v/>
      </c>
      <c r="T3459">
        <f>IF('01_Вводные'!$B$234="Да",'19_Расчет_аналитики'!S3458*'01_Вводные'!$B$14,0)</f>
        <v/>
      </c>
      <c r="U3459">
        <f>IF('01_Вводные'!$B$234="Да",'19_Расчет_аналитики'!T3458*'01_Вводные'!$B$14,0)</f>
        <v/>
      </c>
      <c r="V3459">
        <f>IF('01_Вводные'!$B$234="Да",'19_Расчет_аналитики'!U3458*'01_Вводные'!$B$14,0)</f>
        <v/>
      </c>
      <c r="W3459">
        <f>IF('01_Вводные'!$B$234="Да",'19_Расчет_аналитики'!V3458*'01_Вводные'!$B$14,0)</f>
        <v/>
      </c>
      <c r="X3459">
        <f>IF('01_Вводные'!$B$234="Да",'19_Расчет_аналитики'!W3458*'01_Вводные'!$B$14,0)</f>
        <v/>
      </c>
      <c r="Y3459">
        <f>IF('01_Вводные'!$B$234="Да",'19_Расчет_аналитики'!X3458*'01_Вводные'!$B$14,0)</f>
        <v/>
      </c>
      <c r="Z3459">
        <f>IF('01_Вводные'!$B$234="Да",'19_Расчет_аналитики'!Y3458*'01_Вводные'!$B$14,0)</f>
        <v/>
      </c>
      <c r="AA3459">
        <f>IF('01_Вводные'!$B$234="Да",'19_Расчет_аналитики'!Z3458*'01_Вводные'!$B$14,0)</f>
        <v/>
      </c>
      <c r="AB3459">
        <f>IF('01_Вводные'!$B$234="Да",'19_Расчет_аналитики'!AA3458*'01_Вводные'!$B$14,0)</f>
        <v/>
      </c>
      <c r="AC3459">
        <f>IF('01_Вводные'!$B$234="Да",'19_Расчет_аналитики'!AB3458*'01_Вводные'!$B$14,0)</f>
        <v/>
      </c>
      <c r="AD3459">
        <f>IF('01_Вводные'!$B$234="Да",'19_Расчет_аналитики'!AC3458*'01_Вводные'!$B$14,0)</f>
        <v/>
      </c>
      <c r="AE3459">
        <f>IF('01_Вводные'!$B$234="Да",'19_Расчет_аналитики'!AD3458*'01_Вводные'!$B$14,0)</f>
        <v/>
      </c>
      <c r="AF3459">
        <f>IF('01_Вводные'!$B$234="Да",'19_Расчет_аналитики'!AE3458*'01_Вводные'!$B$14,0)</f>
        <v/>
      </c>
      <c r="AG3459">
        <f>IF('01_Вводные'!$B$234="Да",'19_Расчет_аналитики'!AF3458*'01_Вводные'!$B$14,0)</f>
        <v/>
      </c>
      <c r="AH3459">
        <f>IF('01_Вводные'!$B$234="Да",'19_Расчет_аналитики'!AG3458*'01_Вводные'!$B$14,0)</f>
        <v/>
      </c>
      <c r="AI3459">
        <f>IF('01_Вводные'!$B$234="Да",'19_Расчет_аналитики'!AH3458*'01_Вводные'!$B$14,0)</f>
        <v/>
      </c>
      <c r="AJ3459">
        <f>IF('01_Вводные'!$B$234="Да",'19_Расчет_аналитики'!AI3458*'01_Вводные'!$B$14,0)</f>
        <v/>
      </c>
      <c r="AK3459">
        <f>IF('01_Вводные'!$B$234="Да",'19_Расчет_аналитики'!AJ3458*'01_Вводные'!$B$14,0)</f>
        <v/>
      </c>
      <c r="AL3459">
        <f>IF('01_Вводные'!$B$234="Да",'19_Расчет_аналитики'!AK3458*'01_Вводные'!$B$14,0)</f>
        <v/>
      </c>
      <c r="AM3459">
        <f>IF('01_Вводные'!$B$234="Да",'19_Расчет_аналитики'!AL3458*'01_Вводные'!$B$14,0)</f>
        <v/>
      </c>
      <c r="AN3459">
        <f>IF('01_Вводные'!$B$234="Да",'19_Расчет_аналитики'!AM3458*'01_Вводные'!$B$14,0)</f>
        <v/>
      </c>
      <c r="AO3459">
        <f>IF('01_Вводные'!$B$234="Да",'19_Расчет_аналитики'!AN3458*'01_Вводные'!$B$14,0)</f>
        <v/>
      </c>
      <c r="AP3459">
        <f>IF('01_Вводные'!$B$234="Да",'19_Расчет_аналитики'!AO3458*'01_Вводные'!$B$14,0)</f>
        <v/>
      </c>
      <c r="AQ3459">
        <f>IF('01_Вводные'!$B$234="Да",'19_Расчет_аналитики'!AP3458*'01_Вводные'!$B$14,0)</f>
        <v/>
      </c>
      <c r="AR3459">
        <f>IF('01_Вводные'!$B$234="Да",'19_Расчет_аналитики'!AQ3458*'01_Вводные'!$B$14,0)</f>
        <v/>
      </c>
      <c r="AS3459">
        <f>IF('01_Вводные'!$B$234="Да",'19_Расчет_аналитики'!AR3458*'01_Вводные'!$B$14,0)</f>
        <v/>
      </c>
      <c r="AT3459">
        <f>IF('01_Вводные'!$B$234="Да",'19_Расчет_аналитики'!AS3458*'01_Вводные'!$B$14,0)</f>
        <v/>
      </c>
      <c r="AU3459">
        <f>IF('01_Вводные'!$B$234="Да",'19_Расчет_аналитики'!AT3458*'01_Вводные'!$B$14,0)</f>
        <v/>
      </c>
      <c r="AV3459">
        <f>IF('01_Вводные'!$B$234="Да",'19_Расчет_аналитики'!AU3458*'01_Вводные'!$B$14,0)</f>
        <v/>
      </c>
      <c r="AW3459">
        <f>IF('01_Вводные'!$B$234="Да",'19_Расчет_аналитики'!AV3458*'01_Вводные'!$B$14,0)</f>
        <v/>
      </c>
      <c r="AX3459">
        <f>IF('01_Вводные'!$B$234="Да",'19_Расчет_аналитики'!AW3458*'01_Вводные'!$B$14,0)</f>
        <v/>
      </c>
      <c r="AY3459">
        <f>IF('01_Вводные'!$B$234="Да",'19_Расчет_аналитики'!AX3458*'01_Вводные'!$B$14,0)</f>
        <v/>
      </c>
      <c r="AZ3459">
        <f>IF('01_Вводные'!$B$234="Да",'19_Расчет_аналитики'!AY3458*'01_Вводные'!$B$14,0)</f>
        <v/>
      </c>
      <c r="BA3459">
        <f>IF('01_Вводные'!$B$234="Да",'19_Расчет_аналитики'!AZ3458*'01_Вводные'!$B$14,0)</f>
        <v/>
      </c>
      <c r="BB3459">
        <f>IF('01_Вводные'!$B$234="Да",'19_Расчет_аналитики'!BA3458*'01_Вводные'!$B$14,0)</f>
        <v/>
      </c>
      <c r="BC3459">
        <f>IF('01_Вводные'!$B$234="Да",'19_Расчет_аналитики'!BB3458*'01_Вводные'!$B$14,0)</f>
        <v/>
      </c>
      <c r="BD3459">
        <f>IF('01_Вводные'!$B$234="Да",'19_Расчет_аналитики'!BC3458*'01_Вводные'!$B$14,0)</f>
        <v/>
      </c>
      <c r="BE3459">
        <f>IF('01_Вводные'!$B$234="Да",'19_Расчет_аналитики'!BD3458*'01_Вводные'!$B$14,0)</f>
        <v/>
      </c>
      <c r="BF3459">
        <f>IF('01_Вводные'!$B$234="Да",'19_Расчет_аналитики'!BE3458*'01_Вводные'!$B$14,0)</f>
        <v/>
      </c>
      <c r="BG3459">
        <f>IF('01_Вводные'!$B$234="Да",'19_Расчет_аналитики'!BF3458*'01_Вводные'!$B$14,0)</f>
        <v/>
      </c>
      <c r="BH3459">
        <f>IF('01_Вводные'!$B$234="Да",'19_Расчет_аналитики'!BG3458*'01_Вводные'!$B$14,0)</f>
        <v/>
      </c>
      <c r="BI3459">
        <f>IF('01_Вводные'!$B$234="Да",'19_Расчет_аналитики'!BH3458*'01_Вводные'!$B$14,0)</f>
        <v/>
      </c>
      <c r="BJ3459">
        <f>IF('01_Вводные'!$B$234="Да",'19_Расчет_аналитики'!BI3458*'01_Вводные'!$B$14,0)</f>
        <v/>
      </c>
      <c r="BK3459">
        <f>IF('01_Вводные'!$B$234="Да",'19_Расчет_аналитики'!BJ3458*'01_Вводные'!$B$14,0)</f>
        <v/>
      </c>
      <c r="BL3459">
        <f>IF('01_Вводные'!$B$234="Да",'19_Расчет_аналитики'!BK3458*'01_Вводные'!$B$14,0)</f>
        <v/>
      </c>
      <c r="BM3459">
        <f>IF('01_Вводные'!$B$234="Да",'19_Расчет_аналитики'!BL3458*'01_Вводные'!$B$14,0)</f>
        <v/>
      </c>
      <c r="BN3459">
        <f>IF('01_Вводные'!$B$234="Да",'19_Расчет_аналитики'!BM3458*'01_Вводные'!$B$14,0)</f>
        <v/>
      </c>
      <c r="BO3459">
        <f>IF('01_Вводные'!$B$234="Да",'19_Расчет_аналитики'!BN3458*'01_Вводные'!$B$14,0)</f>
        <v/>
      </c>
    </row>
    <row r="3460">
      <c r="B3460">
        <f>'06_Сеть_и_дети'!B69</f>
        <v/>
      </c>
      <c r="C3460">
        <f>'06_Сеть_и_дети'!C69</f>
        <v/>
      </c>
      <c r="D3460">
        <f>'06_Сеть_и_дети'!D69</f>
        <v/>
      </c>
      <c r="E3460">
        <f>'06_Сеть_и_дети'!E69</f>
        <v/>
      </c>
      <c r="F3460">
        <f>'06_Сеть_и_дети'!F69</f>
        <v/>
      </c>
      <c r="G3460">
        <f>'06_Сеть_и_дети'!G69</f>
        <v/>
      </c>
      <c r="H3460">
        <f>'06_Сеть_и_дети'!H69</f>
        <v/>
      </c>
      <c r="I3460">
        <f>'06_Сеть_и_дети'!I69</f>
        <v/>
      </c>
      <c r="J3460">
        <f>'06_Сеть_и_дети'!J69</f>
        <v/>
      </c>
      <c r="K3460">
        <f>'06_Сеть_и_дети'!K69</f>
        <v/>
      </c>
      <c r="L3460">
        <f>'06_Сеть_и_дети'!L69</f>
        <v/>
      </c>
      <c r="M3460">
        <f>'06_Сеть_и_дети'!M69</f>
        <v/>
      </c>
      <c r="N3460">
        <f>'06_Сеть_и_дети'!N69</f>
        <v/>
      </c>
      <c r="O3460">
        <f>'06_Сеть_и_дети'!O69</f>
        <v/>
      </c>
      <c r="P3460">
        <f>'06_Сеть_и_дети'!P69</f>
        <v/>
      </c>
      <c r="Q3460">
        <f>'06_Сеть_и_дети'!Q69</f>
        <v/>
      </c>
      <c r="R3460">
        <f>IF('01_Вводные'!$B$234="Да",'19_Расчет_аналитики'!Q3459*'01_Вводные'!$B$14,0)</f>
        <v/>
      </c>
      <c r="S3460">
        <f>IF('01_Вводные'!$B$234="Да",'19_Расчет_аналитики'!R3459*'01_Вводные'!$B$14,0)</f>
        <v/>
      </c>
      <c r="T3460">
        <f>IF('01_Вводные'!$B$234="Да",'19_Расчет_аналитики'!S3459*'01_Вводные'!$B$14,0)</f>
        <v/>
      </c>
      <c r="U3460">
        <f>IF('01_Вводные'!$B$234="Да",'19_Расчет_аналитики'!T3459*'01_Вводные'!$B$14,0)</f>
        <v/>
      </c>
      <c r="V3460">
        <f>IF('01_Вводные'!$B$234="Да",'19_Расчет_аналитики'!U3459*'01_Вводные'!$B$14,0)</f>
        <v/>
      </c>
      <c r="W3460">
        <f>IF('01_Вводные'!$B$234="Да",'19_Расчет_аналитики'!V3459*'01_Вводные'!$B$14,0)</f>
        <v/>
      </c>
      <c r="X3460">
        <f>IF('01_Вводные'!$B$234="Да",'19_Расчет_аналитики'!W3459*'01_Вводные'!$B$14,0)</f>
        <v/>
      </c>
      <c r="Y3460">
        <f>IF('01_Вводные'!$B$234="Да",'19_Расчет_аналитики'!X3459*'01_Вводные'!$B$14,0)</f>
        <v/>
      </c>
      <c r="Z3460">
        <f>IF('01_Вводные'!$B$234="Да",'19_Расчет_аналитики'!Y3459*'01_Вводные'!$B$14,0)</f>
        <v/>
      </c>
      <c r="AA3460">
        <f>IF('01_Вводные'!$B$234="Да",'19_Расчет_аналитики'!Z3459*'01_Вводные'!$B$14,0)</f>
        <v/>
      </c>
      <c r="AB3460">
        <f>IF('01_Вводные'!$B$234="Да",'19_Расчет_аналитики'!AA3459*'01_Вводные'!$B$14,0)</f>
        <v/>
      </c>
      <c r="AC3460">
        <f>IF('01_Вводные'!$B$234="Да",'19_Расчет_аналитики'!AB3459*'01_Вводные'!$B$14,0)</f>
        <v/>
      </c>
      <c r="AD3460">
        <f>IF('01_Вводные'!$B$234="Да",'19_Расчет_аналитики'!AC3459*'01_Вводные'!$B$14,0)</f>
        <v/>
      </c>
      <c r="AE3460">
        <f>IF('01_Вводные'!$B$234="Да",'19_Расчет_аналитики'!AD3459*'01_Вводные'!$B$14,0)</f>
        <v/>
      </c>
      <c r="AF3460">
        <f>IF('01_Вводные'!$B$234="Да",'19_Расчет_аналитики'!AE3459*'01_Вводные'!$B$14,0)</f>
        <v/>
      </c>
      <c r="AG3460">
        <f>IF('01_Вводные'!$B$234="Да",'19_Расчет_аналитики'!AF3459*'01_Вводные'!$B$14,0)</f>
        <v/>
      </c>
      <c r="AH3460">
        <f>IF('01_Вводные'!$B$234="Да",'19_Расчет_аналитики'!AG3459*'01_Вводные'!$B$14,0)</f>
        <v/>
      </c>
      <c r="AI3460">
        <f>IF('01_Вводные'!$B$234="Да",'19_Расчет_аналитики'!AH3459*'01_Вводные'!$B$14,0)</f>
        <v/>
      </c>
      <c r="AJ3460">
        <f>IF('01_Вводные'!$B$234="Да",'19_Расчет_аналитики'!AI3459*'01_Вводные'!$B$14,0)</f>
        <v/>
      </c>
      <c r="AK3460">
        <f>IF('01_Вводные'!$B$234="Да",'19_Расчет_аналитики'!AJ3459*'01_Вводные'!$B$14,0)</f>
        <v/>
      </c>
      <c r="AL3460">
        <f>IF('01_Вводные'!$B$234="Да",'19_Расчет_аналитики'!AK3459*'01_Вводные'!$B$14,0)</f>
        <v/>
      </c>
      <c r="AM3460">
        <f>IF('01_Вводные'!$B$234="Да",'19_Расчет_аналитики'!AL3459*'01_Вводные'!$B$14,0)</f>
        <v/>
      </c>
      <c r="AN3460">
        <f>IF('01_Вводные'!$B$234="Да",'19_Расчет_аналитики'!AM3459*'01_Вводные'!$B$14,0)</f>
        <v/>
      </c>
      <c r="AO3460">
        <f>IF('01_Вводные'!$B$234="Да",'19_Расчет_аналитики'!AN3459*'01_Вводные'!$B$14,0)</f>
        <v/>
      </c>
      <c r="AP3460">
        <f>IF('01_Вводные'!$B$234="Да",'19_Расчет_аналитики'!AO3459*'01_Вводные'!$B$14,0)</f>
        <v/>
      </c>
      <c r="AQ3460">
        <f>IF('01_Вводные'!$B$234="Да",'19_Расчет_аналитики'!AP3459*'01_Вводные'!$B$14,0)</f>
        <v/>
      </c>
      <c r="AR3460">
        <f>IF('01_Вводные'!$B$234="Да",'19_Расчет_аналитики'!AQ3459*'01_Вводные'!$B$14,0)</f>
        <v/>
      </c>
      <c r="AS3460">
        <f>IF('01_Вводные'!$B$234="Да",'19_Расчет_аналитики'!AR3459*'01_Вводные'!$B$14,0)</f>
        <v/>
      </c>
      <c r="AT3460">
        <f>IF('01_Вводные'!$B$234="Да",'19_Расчет_аналитики'!AS3459*'01_Вводные'!$B$14,0)</f>
        <v/>
      </c>
      <c r="AU3460">
        <f>IF('01_Вводные'!$B$234="Да",'19_Расчет_аналитики'!AT3459*'01_Вводные'!$B$14,0)</f>
        <v/>
      </c>
      <c r="AV3460">
        <f>IF('01_Вводные'!$B$234="Да",'19_Расчет_аналитики'!AU3459*'01_Вводные'!$B$14,0)</f>
        <v/>
      </c>
      <c r="AW3460">
        <f>IF('01_Вводные'!$B$234="Да",'19_Расчет_аналитики'!AV3459*'01_Вводные'!$B$14,0)</f>
        <v/>
      </c>
      <c r="AX3460">
        <f>IF('01_Вводные'!$B$234="Да",'19_Расчет_аналитики'!AW3459*'01_Вводные'!$B$14,0)</f>
        <v/>
      </c>
      <c r="AY3460">
        <f>IF('01_Вводные'!$B$234="Да",'19_Расчет_аналитики'!AX3459*'01_Вводные'!$B$14,0)</f>
        <v/>
      </c>
      <c r="AZ3460">
        <f>IF('01_Вводные'!$B$234="Да",'19_Расчет_аналитики'!AY3459*'01_Вводные'!$B$14,0)</f>
        <v/>
      </c>
      <c r="BA3460">
        <f>IF('01_Вводные'!$B$234="Да",'19_Расчет_аналитики'!AZ3459*'01_Вводные'!$B$14,0)</f>
        <v/>
      </c>
      <c r="BB3460">
        <f>IF('01_Вводные'!$B$234="Да",'19_Расчет_аналитики'!BA3459*'01_Вводные'!$B$14,0)</f>
        <v/>
      </c>
      <c r="BC3460">
        <f>IF('01_Вводные'!$B$234="Да",'19_Расчет_аналитики'!BB3459*'01_Вводные'!$B$14,0)</f>
        <v/>
      </c>
      <c r="BD3460">
        <f>IF('01_Вводные'!$B$234="Да",'19_Расчет_аналитики'!BC3459*'01_Вводные'!$B$14,0)</f>
        <v/>
      </c>
      <c r="BE3460">
        <f>IF('01_Вводные'!$B$234="Да",'19_Расчет_аналитики'!BD3459*'01_Вводные'!$B$14,0)</f>
        <v/>
      </c>
      <c r="BF3460">
        <f>IF('01_Вводные'!$B$234="Да",'19_Расчет_аналитики'!BE3459*'01_Вводные'!$B$14,0)</f>
        <v/>
      </c>
      <c r="BG3460">
        <f>IF('01_Вводные'!$B$234="Да",'19_Расчет_аналитики'!BF3459*'01_Вводные'!$B$14,0)</f>
        <v/>
      </c>
      <c r="BH3460">
        <f>IF('01_Вводные'!$B$234="Да",'19_Расчет_аналитики'!BG3459*'01_Вводные'!$B$14,0)</f>
        <v/>
      </c>
      <c r="BI3460">
        <f>IF('01_Вводные'!$B$234="Да",'19_Расчет_аналитики'!BH3459*'01_Вводные'!$B$14,0)</f>
        <v/>
      </c>
      <c r="BJ3460">
        <f>IF('01_Вводные'!$B$234="Да",'19_Расчет_аналитики'!BI3459*'01_Вводные'!$B$14,0)</f>
        <v/>
      </c>
      <c r="BK3460">
        <f>IF('01_Вводные'!$B$234="Да",'19_Расчет_аналитики'!BJ3459*'01_Вводные'!$B$14,0)</f>
        <v/>
      </c>
      <c r="BL3460">
        <f>IF('01_Вводные'!$B$234="Да",'19_Расчет_аналитики'!BK3459*'01_Вводные'!$B$14,0)</f>
        <v/>
      </c>
      <c r="BM3460">
        <f>IF('01_Вводные'!$B$234="Да",'19_Расчет_аналитики'!BL3459*'01_Вводные'!$B$14,0)</f>
        <v/>
      </c>
      <c r="BN3460">
        <f>IF('01_Вводные'!$B$234="Да",'19_Расчет_аналитики'!BM3459*'01_Вводные'!$B$14,0)</f>
        <v/>
      </c>
      <c r="BO3460">
        <f>IF('01_Вводные'!$B$234="Да",'19_Расчет_аналитики'!BN3459*'01_Вводные'!$B$14,0)</f>
        <v/>
      </c>
    </row>
    <row r="3461">
      <c r="B3461">
        <f>'06_Сеть_и_дети'!B70</f>
        <v/>
      </c>
      <c r="C3461">
        <f>'06_Сеть_и_дети'!C70</f>
        <v/>
      </c>
      <c r="D3461">
        <f>'06_Сеть_и_дети'!D70</f>
        <v/>
      </c>
      <c r="E3461">
        <f>'06_Сеть_и_дети'!E70</f>
        <v/>
      </c>
      <c r="F3461">
        <f>'06_Сеть_и_дети'!F70</f>
        <v/>
      </c>
      <c r="G3461">
        <f>'06_Сеть_и_дети'!G70</f>
        <v/>
      </c>
      <c r="H3461">
        <f>'06_Сеть_и_дети'!H70</f>
        <v/>
      </c>
      <c r="I3461">
        <f>'06_Сеть_и_дети'!I70</f>
        <v/>
      </c>
      <c r="J3461">
        <f>'06_Сеть_и_дети'!J70</f>
        <v/>
      </c>
      <c r="K3461">
        <f>'06_Сеть_и_дети'!K70</f>
        <v/>
      </c>
      <c r="L3461">
        <f>'06_Сеть_и_дети'!L70</f>
        <v/>
      </c>
      <c r="M3461">
        <f>'06_Сеть_и_дети'!M70</f>
        <v/>
      </c>
      <c r="N3461">
        <f>'06_Сеть_и_дети'!N70</f>
        <v/>
      </c>
      <c r="O3461">
        <f>'06_Сеть_и_дети'!O70</f>
        <v/>
      </c>
      <c r="P3461">
        <f>'06_Сеть_и_дети'!P70</f>
        <v/>
      </c>
      <c r="Q3461">
        <f>'06_Сеть_и_дети'!Q70</f>
        <v/>
      </c>
      <c r="R3461">
        <f>'06_Сеть_и_дети'!R70</f>
        <v/>
      </c>
      <c r="S3461">
        <f>IF('01_Вводные'!$B$234="Да",'19_Расчет_аналитики'!R3460*'01_Вводные'!$B$14,0)</f>
        <v/>
      </c>
      <c r="T3461">
        <f>IF('01_Вводные'!$B$234="Да",'19_Расчет_аналитики'!S3460*'01_Вводные'!$B$14,0)</f>
        <v/>
      </c>
      <c r="U3461">
        <f>IF('01_Вводные'!$B$234="Да",'19_Расчет_аналитики'!T3460*'01_Вводные'!$B$14,0)</f>
        <v/>
      </c>
      <c r="V3461">
        <f>IF('01_Вводные'!$B$234="Да",'19_Расчет_аналитики'!U3460*'01_Вводные'!$B$14,0)</f>
        <v/>
      </c>
      <c r="W3461">
        <f>IF('01_Вводные'!$B$234="Да",'19_Расчет_аналитики'!V3460*'01_Вводные'!$B$14,0)</f>
        <v/>
      </c>
      <c r="X3461">
        <f>IF('01_Вводные'!$B$234="Да",'19_Расчет_аналитики'!W3460*'01_Вводные'!$B$14,0)</f>
        <v/>
      </c>
      <c r="Y3461">
        <f>IF('01_Вводные'!$B$234="Да",'19_Расчет_аналитики'!X3460*'01_Вводные'!$B$14,0)</f>
        <v/>
      </c>
      <c r="Z3461">
        <f>IF('01_Вводные'!$B$234="Да",'19_Расчет_аналитики'!Y3460*'01_Вводные'!$B$14,0)</f>
        <v/>
      </c>
      <c r="AA3461">
        <f>IF('01_Вводные'!$B$234="Да",'19_Расчет_аналитики'!Z3460*'01_Вводные'!$B$14,0)</f>
        <v/>
      </c>
      <c r="AB3461">
        <f>IF('01_Вводные'!$B$234="Да",'19_Расчет_аналитики'!AA3460*'01_Вводные'!$B$14,0)</f>
        <v/>
      </c>
      <c r="AC3461">
        <f>IF('01_Вводные'!$B$234="Да",'19_Расчет_аналитики'!AB3460*'01_Вводные'!$B$14,0)</f>
        <v/>
      </c>
      <c r="AD3461">
        <f>IF('01_Вводные'!$B$234="Да",'19_Расчет_аналитики'!AC3460*'01_Вводные'!$B$14,0)</f>
        <v/>
      </c>
      <c r="AE3461">
        <f>IF('01_Вводные'!$B$234="Да",'19_Расчет_аналитики'!AD3460*'01_Вводные'!$B$14,0)</f>
        <v/>
      </c>
      <c r="AF3461">
        <f>IF('01_Вводные'!$B$234="Да",'19_Расчет_аналитики'!AE3460*'01_Вводные'!$B$14,0)</f>
        <v/>
      </c>
      <c r="AG3461">
        <f>IF('01_Вводные'!$B$234="Да",'19_Расчет_аналитики'!AF3460*'01_Вводные'!$B$14,0)</f>
        <v/>
      </c>
      <c r="AH3461">
        <f>IF('01_Вводные'!$B$234="Да",'19_Расчет_аналитики'!AG3460*'01_Вводные'!$B$14,0)</f>
        <v/>
      </c>
      <c r="AI3461">
        <f>IF('01_Вводные'!$B$234="Да",'19_Расчет_аналитики'!AH3460*'01_Вводные'!$B$14,0)</f>
        <v/>
      </c>
      <c r="AJ3461">
        <f>IF('01_Вводные'!$B$234="Да",'19_Расчет_аналитики'!AI3460*'01_Вводные'!$B$14,0)</f>
        <v/>
      </c>
      <c r="AK3461">
        <f>IF('01_Вводные'!$B$234="Да",'19_Расчет_аналитики'!AJ3460*'01_Вводные'!$B$14,0)</f>
        <v/>
      </c>
      <c r="AL3461">
        <f>IF('01_Вводные'!$B$234="Да",'19_Расчет_аналитики'!AK3460*'01_Вводные'!$B$14,0)</f>
        <v/>
      </c>
      <c r="AM3461">
        <f>IF('01_Вводные'!$B$234="Да",'19_Расчет_аналитики'!AL3460*'01_Вводные'!$B$14,0)</f>
        <v/>
      </c>
      <c r="AN3461">
        <f>IF('01_Вводные'!$B$234="Да",'19_Расчет_аналитики'!AM3460*'01_Вводные'!$B$14,0)</f>
        <v/>
      </c>
      <c r="AO3461">
        <f>IF('01_Вводные'!$B$234="Да",'19_Расчет_аналитики'!AN3460*'01_Вводные'!$B$14,0)</f>
        <v/>
      </c>
      <c r="AP3461">
        <f>IF('01_Вводные'!$B$234="Да",'19_Расчет_аналитики'!AO3460*'01_Вводные'!$B$14,0)</f>
        <v/>
      </c>
      <c r="AQ3461">
        <f>IF('01_Вводные'!$B$234="Да",'19_Расчет_аналитики'!AP3460*'01_Вводные'!$B$14,0)</f>
        <v/>
      </c>
      <c r="AR3461">
        <f>IF('01_Вводные'!$B$234="Да",'19_Расчет_аналитики'!AQ3460*'01_Вводные'!$B$14,0)</f>
        <v/>
      </c>
      <c r="AS3461">
        <f>IF('01_Вводные'!$B$234="Да",'19_Расчет_аналитики'!AR3460*'01_Вводные'!$B$14,0)</f>
        <v/>
      </c>
      <c r="AT3461">
        <f>IF('01_Вводные'!$B$234="Да",'19_Расчет_аналитики'!AS3460*'01_Вводные'!$B$14,0)</f>
        <v/>
      </c>
      <c r="AU3461">
        <f>IF('01_Вводные'!$B$234="Да",'19_Расчет_аналитики'!AT3460*'01_Вводные'!$B$14,0)</f>
        <v/>
      </c>
      <c r="AV3461">
        <f>IF('01_Вводные'!$B$234="Да",'19_Расчет_аналитики'!AU3460*'01_Вводные'!$B$14,0)</f>
        <v/>
      </c>
      <c r="AW3461">
        <f>IF('01_Вводные'!$B$234="Да",'19_Расчет_аналитики'!AV3460*'01_Вводные'!$B$14,0)</f>
        <v/>
      </c>
      <c r="AX3461">
        <f>IF('01_Вводные'!$B$234="Да",'19_Расчет_аналитики'!AW3460*'01_Вводные'!$B$14,0)</f>
        <v/>
      </c>
      <c r="AY3461">
        <f>IF('01_Вводные'!$B$234="Да",'19_Расчет_аналитики'!AX3460*'01_Вводные'!$B$14,0)</f>
        <v/>
      </c>
      <c r="AZ3461">
        <f>IF('01_Вводные'!$B$234="Да",'19_Расчет_аналитики'!AY3460*'01_Вводные'!$B$14,0)</f>
        <v/>
      </c>
      <c r="BA3461">
        <f>IF('01_Вводные'!$B$234="Да",'19_Расчет_аналитики'!AZ3460*'01_Вводные'!$B$14,0)</f>
        <v/>
      </c>
      <c r="BB3461">
        <f>IF('01_Вводные'!$B$234="Да",'19_Расчет_аналитики'!BA3460*'01_Вводные'!$B$14,0)</f>
        <v/>
      </c>
      <c r="BC3461">
        <f>IF('01_Вводные'!$B$234="Да",'19_Расчет_аналитики'!BB3460*'01_Вводные'!$B$14,0)</f>
        <v/>
      </c>
      <c r="BD3461">
        <f>IF('01_Вводные'!$B$234="Да",'19_Расчет_аналитики'!BC3460*'01_Вводные'!$B$14,0)</f>
        <v/>
      </c>
      <c r="BE3461">
        <f>IF('01_Вводные'!$B$234="Да",'19_Расчет_аналитики'!BD3460*'01_Вводные'!$B$14,0)</f>
        <v/>
      </c>
      <c r="BF3461">
        <f>IF('01_Вводные'!$B$234="Да",'19_Расчет_аналитики'!BE3460*'01_Вводные'!$B$14,0)</f>
        <v/>
      </c>
      <c r="BG3461">
        <f>IF('01_Вводные'!$B$234="Да",'19_Расчет_аналитики'!BF3460*'01_Вводные'!$B$14,0)</f>
        <v/>
      </c>
      <c r="BH3461">
        <f>IF('01_Вводные'!$B$234="Да",'19_Расчет_аналитики'!BG3460*'01_Вводные'!$B$14,0)</f>
        <v/>
      </c>
      <c r="BI3461">
        <f>IF('01_Вводные'!$B$234="Да",'19_Расчет_аналитики'!BH3460*'01_Вводные'!$B$14,0)</f>
        <v/>
      </c>
      <c r="BJ3461">
        <f>IF('01_Вводные'!$B$234="Да",'19_Расчет_аналитики'!BI3460*'01_Вводные'!$B$14,0)</f>
        <v/>
      </c>
      <c r="BK3461">
        <f>IF('01_Вводные'!$B$234="Да",'19_Расчет_аналитики'!BJ3460*'01_Вводные'!$B$14,0)</f>
        <v/>
      </c>
      <c r="BL3461">
        <f>IF('01_Вводные'!$B$234="Да",'19_Расчет_аналитики'!BK3460*'01_Вводные'!$B$14,0)</f>
        <v/>
      </c>
      <c r="BM3461">
        <f>IF('01_Вводные'!$B$234="Да",'19_Расчет_аналитики'!BL3460*'01_Вводные'!$B$14,0)</f>
        <v/>
      </c>
      <c r="BN3461">
        <f>IF('01_Вводные'!$B$234="Да",'19_Расчет_аналитики'!BM3460*'01_Вводные'!$B$14,0)</f>
        <v/>
      </c>
      <c r="BO3461">
        <f>IF('01_Вводные'!$B$234="Да",'19_Расчет_аналитики'!BN3460*'01_Вводные'!$B$14,0)</f>
        <v/>
      </c>
    </row>
    <row r="3462">
      <c r="B3462">
        <f>'06_Сеть_и_дети'!B71</f>
        <v/>
      </c>
      <c r="C3462">
        <f>'06_Сеть_и_дети'!C71</f>
        <v/>
      </c>
      <c r="D3462">
        <f>'06_Сеть_и_дети'!D71</f>
        <v/>
      </c>
      <c r="E3462">
        <f>'06_Сеть_и_дети'!E71</f>
        <v/>
      </c>
      <c r="F3462">
        <f>'06_Сеть_и_дети'!F71</f>
        <v/>
      </c>
      <c r="G3462">
        <f>'06_Сеть_и_дети'!G71</f>
        <v/>
      </c>
      <c r="H3462">
        <f>'06_Сеть_и_дети'!H71</f>
        <v/>
      </c>
      <c r="I3462">
        <f>'06_Сеть_и_дети'!I71</f>
        <v/>
      </c>
      <c r="J3462">
        <f>'06_Сеть_и_дети'!J71</f>
        <v/>
      </c>
      <c r="K3462">
        <f>'06_Сеть_и_дети'!K71</f>
        <v/>
      </c>
      <c r="L3462">
        <f>'06_Сеть_и_дети'!L71</f>
        <v/>
      </c>
      <c r="M3462">
        <f>'06_Сеть_и_дети'!M71</f>
        <v/>
      </c>
      <c r="N3462">
        <f>'06_Сеть_и_дети'!N71</f>
        <v/>
      </c>
      <c r="O3462">
        <f>'06_Сеть_и_дети'!O71</f>
        <v/>
      </c>
      <c r="P3462">
        <f>'06_Сеть_и_дети'!P71</f>
        <v/>
      </c>
      <c r="Q3462">
        <f>'06_Сеть_и_дети'!Q71</f>
        <v/>
      </c>
      <c r="R3462">
        <f>'06_Сеть_и_дети'!R71</f>
        <v/>
      </c>
      <c r="S3462">
        <f>'06_Сеть_и_дети'!S71</f>
        <v/>
      </c>
      <c r="T3462">
        <f>IF('01_Вводные'!$B$234="Да",'19_Расчет_аналитики'!S3461*'01_Вводные'!$B$14,0)</f>
        <v/>
      </c>
      <c r="U3462">
        <f>IF('01_Вводные'!$B$234="Да",'19_Расчет_аналитики'!T3461*'01_Вводные'!$B$14,0)</f>
        <v/>
      </c>
      <c r="V3462">
        <f>IF('01_Вводные'!$B$234="Да",'19_Расчет_аналитики'!U3461*'01_Вводные'!$B$14,0)</f>
        <v/>
      </c>
      <c r="W3462">
        <f>IF('01_Вводные'!$B$234="Да",'19_Расчет_аналитики'!V3461*'01_Вводные'!$B$14,0)</f>
        <v/>
      </c>
      <c r="X3462">
        <f>IF('01_Вводные'!$B$234="Да",'19_Расчет_аналитики'!W3461*'01_Вводные'!$B$14,0)</f>
        <v/>
      </c>
      <c r="Y3462">
        <f>IF('01_Вводные'!$B$234="Да",'19_Расчет_аналитики'!X3461*'01_Вводные'!$B$14,0)</f>
        <v/>
      </c>
      <c r="Z3462">
        <f>IF('01_Вводные'!$B$234="Да",'19_Расчет_аналитики'!Y3461*'01_Вводные'!$B$14,0)</f>
        <v/>
      </c>
      <c r="AA3462">
        <f>IF('01_Вводные'!$B$234="Да",'19_Расчет_аналитики'!Z3461*'01_Вводные'!$B$14,0)</f>
        <v/>
      </c>
      <c r="AB3462">
        <f>IF('01_Вводные'!$B$234="Да",'19_Расчет_аналитики'!AA3461*'01_Вводные'!$B$14,0)</f>
        <v/>
      </c>
      <c r="AC3462">
        <f>IF('01_Вводные'!$B$234="Да",'19_Расчет_аналитики'!AB3461*'01_Вводные'!$B$14,0)</f>
        <v/>
      </c>
      <c r="AD3462">
        <f>IF('01_Вводные'!$B$234="Да",'19_Расчет_аналитики'!AC3461*'01_Вводные'!$B$14,0)</f>
        <v/>
      </c>
      <c r="AE3462">
        <f>IF('01_Вводные'!$B$234="Да",'19_Расчет_аналитики'!AD3461*'01_Вводные'!$B$14,0)</f>
        <v/>
      </c>
      <c r="AF3462">
        <f>IF('01_Вводные'!$B$234="Да",'19_Расчет_аналитики'!AE3461*'01_Вводные'!$B$14,0)</f>
        <v/>
      </c>
      <c r="AG3462">
        <f>IF('01_Вводные'!$B$234="Да",'19_Расчет_аналитики'!AF3461*'01_Вводные'!$B$14,0)</f>
        <v/>
      </c>
      <c r="AH3462">
        <f>IF('01_Вводные'!$B$234="Да",'19_Расчет_аналитики'!AG3461*'01_Вводные'!$B$14,0)</f>
        <v/>
      </c>
      <c r="AI3462">
        <f>IF('01_Вводные'!$B$234="Да",'19_Расчет_аналитики'!AH3461*'01_Вводные'!$B$14,0)</f>
        <v/>
      </c>
      <c r="AJ3462">
        <f>IF('01_Вводные'!$B$234="Да",'19_Расчет_аналитики'!AI3461*'01_Вводные'!$B$14,0)</f>
        <v/>
      </c>
      <c r="AK3462">
        <f>IF('01_Вводные'!$B$234="Да",'19_Расчет_аналитики'!AJ3461*'01_Вводные'!$B$14,0)</f>
        <v/>
      </c>
      <c r="AL3462">
        <f>IF('01_Вводные'!$B$234="Да",'19_Расчет_аналитики'!AK3461*'01_Вводные'!$B$14,0)</f>
        <v/>
      </c>
      <c r="AM3462">
        <f>IF('01_Вводные'!$B$234="Да",'19_Расчет_аналитики'!AL3461*'01_Вводные'!$B$14,0)</f>
        <v/>
      </c>
      <c r="AN3462">
        <f>IF('01_Вводные'!$B$234="Да",'19_Расчет_аналитики'!AM3461*'01_Вводные'!$B$14,0)</f>
        <v/>
      </c>
      <c r="AO3462">
        <f>IF('01_Вводные'!$B$234="Да",'19_Расчет_аналитики'!AN3461*'01_Вводные'!$B$14,0)</f>
        <v/>
      </c>
      <c r="AP3462">
        <f>IF('01_Вводные'!$B$234="Да",'19_Расчет_аналитики'!AO3461*'01_Вводные'!$B$14,0)</f>
        <v/>
      </c>
      <c r="AQ3462">
        <f>IF('01_Вводные'!$B$234="Да",'19_Расчет_аналитики'!AP3461*'01_Вводные'!$B$14,0)</f>
        <v/>
      </c>
      <c r="AR3462">
        <f>IF('01_Вводные'!$B$234="Да",'19_Расчет_аналитики'!AQ3461*'01_Вводные'!$B$14,0)</f>
        <v/>
      </c>
      <c r="AS3462">
        <f>IF('01_Вводные'!$B$234="Да",'19_Расчет_аналитики'!AR3461*'01_Вводные'!$B$14,0)</f>
        <v/>
      </c>
      <c r="AT3462">
        <f>IF('01_Вводные'!$B$234="Да",'19_Расчет_аналитики'!AS3461*'01_Вводные'!$B$14,0)</f>
        <v/>
      </c>
      <c r="AU3462">
        <f>IF('01_Вводные'!$B$234="Да",'19_Расчет_аналитики'!AT3461*'01_Вводные'!$B$14,0)</f>
        <v/>
      </c>
      <c r="AV3462">
        <f>IF('01_Вводные'!$B$234="Да",'19_Расчет_аналитики'!AU3461*'01_Вводные'!$B$14,0)</f>
        <v/>
      </c>
      <c r="AW3462">
        <f>IF('01_Вводные'!$B$234="Да",'19_Расчет_аналитики'!AV3461*'01_Вводные'!$B$14,0)</f>
        <v/>
      </c>
      <c r="AX3462">
        <f>IF('01_Вводные'!$B$234="Да",'19_Расчет_аналитики'!AW3461*'01_Вводные'!$B$14,0)</f>
        <v/>
      </c>
      <c r="AY3462">
        <f>IF('01_Вводные'!$B$234="Да",'19_Расчет_аналитики'!AX3461*'01_Вводные'!$B$14,0)</f>
        <v/>
      </c>
      <c r="AZ3462">
        <f>IF('01_Вводные'!$B$234="Да",'19_Расчет_аналитики'!AY3461*'01_Вводные'!$B$14,0)</f>
        <v/>
      </c>
      <c r="BA3462">
        <f>IF('01_Вводные'!$B$234="Да",'19_Расчет_аналитики'!AZ3461*'01_Вводные'!$B$14,0)</f>
        <v/>
      </c>
      <c r="BB3462">
        <f>IF('01_Вводные'!$B$234="Да",'19_Расчет_аналитики'!BA3461*'01_Вводные'!$B$14,0)</f>
        <v/>
      </c>
      <c r="BC3462">
        <f>IF('01_Вводные'!$B$234="Да",'19_Расчет_аналитики'!BB3461*'01_Вводные'!$B$14,0)</f>
        <v/>
      </c>
      <c r="BD3462">
        <f>IF('01_Вводные'!$B$234="Да",'19_Расчет_аналитики'!BC3461*'01_Вводные'!$B$14,0)</f>
        <v/>
      </c>
      <c r="BE3462">
        <f>IF('01_Вводные'!$B$234="Да",'19_Расчет_аналитики'!BD3461*'01_Вводные'!$B$14,0)</f>
        <v/>
      </c>
      <c r="BF3462">
        <f>IF('01_Вводные'!$B$234="Да",'19_Расчет_аналитики'!BE3461*'01_Вводные'!$B$14,0)</f>
        <v/>
      </c>
      <c r="BG3462">
        <f>IF('01_Вводные'!$B$234="Да",'19_Расчет_аналитики'!BF3461*'01_Вводные'!$B$14,0)</f>
        <v/>
      </c>
      <c r="BH3462">
        <f>IF('01_Вводные'!$B$234="Да",'19_Расчет_аналитики'!BG3461*'01_Вводные'!$B$14,0)</f>
        <v/>
      </c>
      <c r="BI3462">
        <f>IF('01_Вводные'!$B$234="Да",'19_Расчет_аналитики'!BH3461*'01_Вводные'!$B$14,0)</f>
        <v/>
      </c>
      <c r="BJ3462">
        <f>IF('01_Вводные'!$B$234="Да",'19_Расчет_аналитики'!BI3461*'01_Вводные'!$B$14,0)</f>
        <v/>
      </c>
      <c r="BK3462">
        <f>IF('01_Вводные'!$B$234="Да",'19_Расчет_аналитики'!BJ3461*'01_Вводные'!$B$14,0)</f>
        <v/>
      </c>
      <c r="BL3462">
        <f>IF('01_Вводные'!$B$234="Да",'19_Расчет_аналитики'!BK3461*'01_Вводные'!$B$14,0)</f>
        <v/>
      </c>
      <c r="BM3462">
        <f>IF('01_Вводные'!$B$234="Да",'19_Расчет_аналитики'!BL3461*'01_Вводные'!$B$14,0)</f>
        <v/>
      </c>
      <c r="BN3462">
        <f>IF('01_Вводные'!$B$234="Да",'19_Расчет_аналитики'!BM3461*'01_Вводные'!$B$14,0)</f>
        <v/>
      </c>
      <c r="BO3462">
        <f>IF('01_Вводные'!$B$234="Да",'19_Расчет_аналитики'!BN3461*'01_Вводные'!$B$14,0)</f>
        <v/>
      </c>
    </row>
    <row r="3463">
      <c r="B3463">
        <f>'06_Сеть_и_дети'!B72</f>
        <v/>
      </c>
      <c r="C3463">
        <f>'06_Сеть_и_дети'!C72</f>
        <v/>
      </c>
      <c r="D3463">
        <f>'06_Сеть_и_дети'!D72</f>
        <v/>
      </c>
      <c r="E3463">
        <f>'06_Сеть_и_дети'!E72</f>
        <v/>
      </c>
      <c r="F3463">
        <f>'06_Сеть_и_дети'!F72</f>
        <v/>
      </c>
      <c r="G3463">
        <f>'06_Сеть_и_дети'!G72</f>
        <v/>
      </c>
      <c r="H3463">
        <f>'06_Сеть_и_дети'!H72</f>
        <v/>
      </c>
      <c r="I3463">
        <f>'06_Сеть_и_дети'!I72</f>
        <v/>
      </c>
      <c r="J3463">
        <f>'06_Сеть_и_дети'!J72</f>
        <v/>
      </c>
      <c r="K3463">
        <f>'06_Сеть_и_дети'!K72</f>
        <v/>
      </c>
      <c r="L3463">
        <f>'06_Сеть_и_дети'!L72</f>
        <v/>
      </c>
      <c r="M3463">
        <f>'06_Сеть_и_дети'!M72</f>
        <v/>
      </c>
      <c r="N3463">
        <f>'06_Сеть_и_дети'!N72</f>
        <v/>
      </c>
      <c r="O3463">
        <f>'06_Сеть_и_дети'!O72</f>
        <v/>
      </c>
      <c r="P3463">
        <f>'06_Сеть_и_дети'!P72</f>
        <v/>
      </c>
      <c r="Q3463">
        <f>'06_Сеть_и_дети'!Q72</f>
        <v/>
      </c>
      <c r="R3463">
        <f>'06_Сеть_и_дети'!R72</f>
        <v/>
      </c>
      <c r="S3463">
        <f>'06_Сеть_и_дети'!S72</f>
        <v/>
      </c>
      <c r="T3463">
        <f>'06_Сеть_и_дети'!T72</f>
        <v/>
      </c>
      <c r="U3463">
        <f>IF('01_Вводные'!$B$234="Да",'19_Расчет_аналитики'!T3462*'01_Вводные'!$B$14,0)</f>
        <v/>
      </c>
      <c r="V3463">
        <f>IF('01_Вводные'!$B$234="Да",'19_Расчет_аналитики'!U3462*'01_Вводные'!$B$14,0)</f>
        <v/>
      </c>
      <c r="W3463">
        <f>IF('01_Вводные'!$B$234="Да",'19_Расчет_аналитики'!V3462*'01_Вводные'!$B$14,0)</f>
        <v/>
      </c>
      <c r="X3463">
        <f>IF('01_Вводные'!$B$234="Да",'19_Расчет_аналитики'!W3462*'01_Вводные'!$B$14,0)</f>
        <v/>
      </c>
      <c r="Y3463">
        <f>IF('01_Вводные'!$B$234="Да",'19_Расчет_аналитики'!X3462*'01_Вводные'!$B$14,0)</f>
        <v/>
      </c>
      <c r="Z3463">
        <f>IF('01_Вводные'!$B$234="Да",'19_Расчет_аналитики'!Y3462*'01_Вводные'!$B$14,0)</f>
        <v/>
      </c>
      <c r="AA3463">
        <f>IF('01_Вводные'!$B$234="Да",'19_Расчет_аналитики'!Z3462*'01_Вводные'!$B$14,0)</f>
        <v/>
      </c>
      <c r="AB3463">
        <f>IF('01_Вводные'!$B$234="Да",'19_Расчет_аналитики'!AA3462*'01_Вводные'!$B$14,0)</f>
        <v/>
      </c>
      <c r="AC3463">
        <f>IF('01_Вводные'!$B$234="Да",'19_Расчет_аналитики'!AB3462*'01_Вводные'!$B$14,0)</f>
        <v/>
      </c>
      <c r="AD3463">
        <f>IF('01_Вводные'!$B$234="Да",'19_Расчет_аналитики'!AC3462*'01_Вводные'!$B$14,0)</f>
        <v/>
      </c>
      <c r="AE3463">
        <f>IF('01_Вводные'!$B$234="Да",'19_Расчет_аналитики'!AD3462*'01_Вводные'!$B$14,0)</f>
        <v/>
      </c>
      <c r="AF3463">
        <f>IF('01_Вводные'!$B$234="Да",'19_Расчет_аналитики'!AE3462*'01_Вводные'!$B$14,0)</f>
        <v/>
      </c>
      <c r="AG3463">
        <f>IF('01_Вводные'!$B$234="Да",'19_Расчет_аналитики'!AF3462*'01_Вводные'!$B$14,0)</f>
        <v/>
      </c>
      <c r="AH3463">
        <f>IF('01_Вводные'!$B$234="Да",'19_Расчет_аналитики'!AG3462*'01_Вводные'!$B$14,0)</f>
        <v/>
      </c>
      <c r="AI3463">
        <f>IF('01_Вводные'!$B$234="Да",'19_Расчет_аналитики'!AH3462*'01_Вводные'!$B$14,0)</f>
        <v/>
      </c>
      <c r="AJ3463">
        <f>IF('01_Вводные'!$B$234="Да",'19_Расчет_аналитики'!AI3462*'01_Вводные'!$B$14,0)</f>
        <v/>
      </c>
      <c r="AK3463">
        <f>IF('01_Вводные'!$B$234="Да",'19_Расчет_аналитики'!AJ3462*'01_Вводные'!$B$14,0)</f>
        <v/>
      </c>
      <c r="AL3463">
        <f>IF('01_Вводные'!$B$234="Да",'19_Расчет_аналитики'!AK3462*'01_Вводные'!$B$14,0)</f>
        <v/>
      </c>
      <c r="AM3463">
        <f>IF('01_Вводные'!$B$234="Да",'19_Расчет_аналитики'!AL3462*'01_Вводные'!$B$14,0)</f>
        <v/>
      </c>
      <c r="AN3463">
        <f>IF('01_Вводные'!$B$234="Да",'19_Расчет_аналитики'!AM3462*'01_Вводные'!$B$14,0)</f>
        <v/>
      </c>
      <c r="AO3463">
        <f>IF('01_Вводные'!$B$234="Да",'19_Расчет_аналитики'!AN3462*'01_Вводные'!$B$14,0)</f>
        <v/>
      </c>
      <c r="AP3463">
        <f>IF('01_Вводные'!$B$234="Да",'19_Расчет_аналитики'!AO3462*'01_Вводные'!$B$14,0)</f>
        <v/>
      </c>
      <c r="AQ3463">
        <f>IF('01_Вводные'!$B$234="Да",'19_Расчет_аналитики'!AP3462*'01_Вводные'!$B$14,0)</f>
        <v/>
      </c>
      <c r="AR3463">
        <f>IF('01_Вводные'!$B$234="Да",'19_Расчет_аналитики'!AQ3462*'01_Вводные'!$B$14,0)</f>
        <v/>
      </c>
      <c r="AS3463">
        <f>IF('01_Вводные'!$B$234="Да",'19_Расчет_аналитики'!AR3462*'01_Вводные'!$B$14,0)</f>
        <v/>
      </c>
      <c r="AT3463">
        <f>IF('01_Вводные'!$B$234="Да",'19_Расчет_аналитики'!AS3462*'01_Вводные'!$B$14,0)</f>
        <v/>
      </c>
      <c r="AU3463">
        <f>IF('01_Вводные'!$B$234="Да",'19_Расчет_аналитики'!AT3462*'01_Вводные'!$B$14,0)</f>
        <v/>
      </c>
      <c r="AV3463">
        <f>IF('01_Вводные'!$B$234="Да",'19_Расчет_аналитики'!AU3462*'01_Вводные'!$B$14,0)</f>
        <v/>
      </c>
      <c r="AW3463">
        <f>IF('01_Вводные'!$B$234="Да",'19_Расчет_аналитики'!AV3462*'01_Вводные'!$B$14,0)</f>
        <v/>
      </c>
      <c r="AX3463">
        <f>IF('01_Вводные'!$B$234="Да",'19_Расчет_аналитики'!AW3462*'01_Вводные'!$B$14,0)</f>
        <v/>
      </c>
      <c r="AY3463">
        <f>IF('01_Вводные'!$B$234="Да",'19_Расчет_аналитики'!AX3462*'01_Вводные'!$B$14,0)</f>
        <v/>
      </c>
      <c r="AZ3463">
        <f>IF('01_Вводные'!$B$234="Да",'19_Расчет_аналитики'!AY3462*'01_Вводные'!$B$14,0)</f>
        <v/>
      </c>
      <c r="BA3463">
        <f>IF('01_Вводные'!$B$234="Да",'19_Расчет_аналитики'!AZ3462*'01_Вводные'!$B$14,0)</f>
        <v/>
      </c>
      <c r="BB3463">
        <f>IF('01_Вводные'!$B$234="Да",'19_Расчет_аналитики'!BA3462*'01_Вводные'!$B$14,0)</f>
        <v/>
      </c>
      <c r="BC3463">
        <f>IF('01_Вводные'!$B$234="Да",'19_Расчет_аналитики'!BB3462*'01_Вводные'!$B$14,0)</f>
        <v/>
      </c>
      <c r="BD3463">
        <f>IF('01_Вводные'!$B$234="Да",'19_Расчет_аналитики'!BC3462*'01_Вводные'!$B$14,0)</f>
        <v/>
      </c>
      <c r="BE3463">
        <f>IF('01_Вводные'!$B$234="Да",'19_Расчет_аналитики'!BD3462*'01_Вводные'!$B$14,0)</f>
        <v/>
      </c>
      <c r="BF3463">
        <f>IF('01_Вводные'!$B$234="Да",'19_Расчет_аналитики'!BE3462*'01_Вводные'!$B$14,0)</f>
        <v/>
      </c>
      <c r="BG3463">
        <f>IF('01_Вводные'!$B$234="Да",'19_Расчет_аналитики'!BF3462*'01_Вводные'!$B$14,0)</f>
        <v/>
      </c>
      <c r="BH3463">
        <f>IF('01_Вводные'!$B$234="Да",'19_Расчет_аналитики'!BG3462*'01_Вводные'!$B$14,0)</f>
        <v/>
      </c>
      <c r="BI3463">
        <f>IF('01_Вводные'!$B$234="Да",'19_Расчет_аналитики'!BH3462*'01_Вводные'!$B$14,0)</f>
        <v/>
      </c>
      <c r="BJ3463">
        <f>IF('01_Вводные'!$B$234="Да",'19_Расчет_аналитики'!BI3462*'01_Вводные'!$B$14,0)</f>
        <v/>
      </c>
      <c r="BK3463">
        <f>IF('01_Вводные'!$B$234="Да",'19_Расчет_аналитики'!BJ3462*'01_Вводные'!$B$14,0)</f>
        <v/>
      </c>
      <c r="BL3463">
        <f>IF('01_Вводные'!$B$234="Да",'19_Расчет_аналитики'!BK3462*'01_Вводные'!$B$14,0)</f>
        <v/>
      </c>
      <c r="BM3463">
        <f>IF('01_Вводные'!$B$234="Да",'19_Расчет_аналитики'!BL3462*'01_Вводные'!$B$14,0)</f>
        <v/>
      </c>
      <c r="BN3463">
        <f>IF('01_Вводные'!$B$234="Да",'19_Расчет_аналитики'!BM3462*'01_Вводные'!$B$14,0)</f>
        <v/>
      </c>
      <c r="BO3463">
        <f>IF('01_Вводные'!$B$234="Да",'19_Расчет_аналитики'!BN3462*'01_Вводные'!$B$14,0)</f>
        <v/>
      </c>
    </row>
    <row r="3464">
      <c r="B3464">
        <f>'06_Сеть_и_дети'!B73</f>
        <v/>
      </c>
      <c r="C3464">
        <f>'06_Сеть_и_дети'!C73</f>
        <v/>
      </c>
      <c r="D3464">
        <f>'06_Сеть_и_дети'!D73</f>
        <v/>
      </c>
      <c r="E3464">
        <f>'06_Сеть_и_дети'!E73</f>
        <v/>
      </c>
      <c r="F3464">
        <f>'06_Сеть_и_дети'!F73</f>
        <v/>
      </c>
      <c r="G3464">
        <f>'06_Сеть_и_дети'!G73</f>
        <v/>
      </c>
      <c r="H3464">
        <f>'06_Сеть_и_дети'!H73</f>
        <v/>
      </c>
      <c r="I3464">
        <f>'06_Сеть_и_дети'!I73</f>
        <v/>
      </c>
      <c r="J3464">
        <f>'06_Сеть_и_дети'!J73</f>
        <v/>
      </c>
      <c r="K3464">
        <f>'06_Сеть_и_дети'!K73</f>
        <v/>
      </c>
      <c r="L3464">
        <f>'06_Сеть_и_дети'!L73</f>
        <v/>
      </c>
      <c r="M3464">
        <f>'06_Сеть_и_дети'!M73</f>
        <v/>
      </c>
      <c r="N3464">
        <f>'06_Сеть_и_дети'!N73</f>
        <v/>
      </c>
      <c r="O3464">
        <f>'06_Сеть_и_дети'!O73</f>
        <v/>
      </c>
      <c r="P3464">
        <f>'06_Сеть_и_дети'!P73</f>
        <v/>
      </c>
      <c r="Q3464">
        <f>'06_Сеть_и_дети'!Q73</f>
        <v/>
      </c>
      <c r="R3464">
        <f>'06_Сеть_и_дети'!R73</f>
        <v/>
      </c>
      <c r="S3464">
        <f>'06_Сеть_и_дети'!S73</f>
        <v/>
      </c>
      <c r="T3464">
        <f>'06_Сеть_и_дети'!T73</f>
        <v/>
      </c>
      <c r="U3464">
        <f>'06_Сеть_и_дети'!U73</f>
        <v/>
      </c>
      <c r="V3464">
        <f>IF('01_Вводные'!$B$234="Да",'19_Расчет_аналитики'!U3463*'01_Вводные'!$B$14,0)</f>
        <v/>
      </c>
      <c r="W3464">
        <f>IF('01_Вводные'!$B$234="Да",'19_Расчет_аналитики'!V3463*'01_Вводные'!$B$14,0)</f>
        <v/>
      </c>
      <c r="X3464">
        <f>IF('01_Вводные'!$B$234="Да",'19_Расчет_аналитики'!W3463*'01_Вводные'!$B$14,0)</f>
        <v/>
      </c>
      <c r="Y3464">
        <f>IF('01_Вводные'!$B$234="Да",'19_Расчет_аналитики'!X3463*'01_Вводные'!$B$14,0)</f>
        <v/>
      </c>
      <c r="Z3464">
        <f>IF('01_Вводные'!$B$234="Да",'19_Расчет_аналитики'!Y3463*'01_Вводные'!$B$14,0)</f>
        <v/>
      </c>
      <c r="AA3464">
        <f>IF('01_Вводные'!$B$234="Да",'19_Расчет_аналитики'!Z3463*'01_Вводные'!$B$14,0)</f>
        <v/>
      </c>
      <c r="AB3464">
        <f>IF('01_Вводные'!$B$234="Да",'19_Расчет_аналитики'!AA3463*'01_Вводные'!$B$14,0)</f>
        <v/>
      </c>
      <c r="AC3464">
        <f>IF('01_Вводные'!$B$234="Да",'19_Расчет_аналитики'!AB3463*'01_Вводные'!$B$14,0)</f>
        <v/>
      </c>
      <c r="AD3464">
        <f>IF('01_Вводные'!$B$234="Да",'19_Расчет_аналитики'!AC3463*'01_Вводные'!$B$14,0)</f>
        <v/>
      </c>
      <c r="AE3464">
        <f>IF('01_Вводные'!$B$234="Да",'19_Расчет_аналитики'!AD3463*'01_Вводные'!$B$14,0)</f>
        <v/>
      </c>
      <c r="AF3464">
        <f>IF('01_Вводные'!$B$234="Да",'19_Расчет_аналитики'!AE3463*'01_Вводные'!$B$14,0)</f>
        <v/>
      </c>
      <c r="AG3464">
        <f>IF('01_Вводные'!$B$234="Да",'19_Расчет_аналитики'!AF3463*'01_Вводные'!$B$14,0)</f>
        <v/>
      </c>
      <c r="AH3464">
        <f>IF('01_Вводные'!$B$234="Да",'19_Расчет_аналитики'!AG3463*'01_Вводные'!$B$14,0)</f>
        <v/>
      </c>
      <c r="AI3464">
        <f>IF('01_Вводные'!$B$234="Да",'19_Расчет_аналитики'!AH3463*'01_Вводные'!$B$14,0)</f>
        <v/>
      </c>
      <c r="AJ3464">
        <f>IF('01_Вводные'!$B$234="Да",'19_Расчет_аналитики'!AI3463*'01_Вводные'!$B$14,0)</f>
        <v/>
      </c>
      <c r="AK3464">
        <f>IF('01_Вводные'!$B$234="Да",'19_Расчет_аналитики'!AJ3463*'01_Вводные'!$B$14,0)</f>
        <v/>
      </c>
      <c r="AL3464">
        <f>IF('01_Вводные'!$B$234="Да",'19_Расчет_аналитики'!AK3463*'01_Вводные'!$B$14,0)</f>
        <v/>
      </c>
      <c r="AM3464">
        <f>IF('01_Вводные'!$B$234="Да",'19_Расчет_аналитики'!AL3463*'01_Вводные'!$B$14,0)</f>
        <v/>
      </c>
      <c r="AN3464">
        <f>IF('01_Вводные'!$B$234="Да",'19_Расчет_аналитики'!AM3463*'01_Вводные'!$B$14,0)</f>
        <v/>
      </c>
      <c r="AO3464">
        <f>IF('01_Вводные'!$B$234="Да",'19_Расчет_аналитики'!AN3463*'01_Вводные'!$B$14,0)</f>
        <v/>
      </c>
      <c r="AP3464">
        <f>IF('01_Вводные'!$B$234="Да",'19_Расчет_аналитики'!AO3463*'01_Вводные'!$B$14,0)</f>
        <v/>
      </c>
      <c r="AQ3464">
        <f>IF('01_Вводные'!$B$234="Да",'19_Расчет_аналитики'!AP3463*'01_Вводные'!$B$14,0)</f>
        <v/>
      </c>
      <c r="AR3464">
        <f>IF('01_Вводные'!$B$234="Да",'19_Расчет_аналитики'!AQ3463*'01_Вводные'!$B$14,0)</f>
        <v/>
      </c>
      <c r="AS3464">
        <f>IF('01_Вводные'!$B$234="Да",'19_Расчет_аналитики'!AR3463*'01_Вводные'!$B$14,0)</f>
        <v/>
      </c>
      <c r="AT3464">
        <f>IF('01_Вводные'!$B$234="Да",'19_Расчет_аналитики'!AS3463*'01_Вводные'!$B$14,0)</f>
        <v/>
      </c>
      <c r="AU3464">
        <f>IF('01_Вводные'!$B$234="Да",'19_Расчет_аналитики'!AT3463*'01_Вводные'!$B$14,0)</f>
        <v/>
      </c>
      <c r="AV3464">
        <f>IF('01_Вводные'!$B$234="Да",'19_Расчет_аналитики'!AU3463*'01_Вводные'!$B$14,0)</f>
        <v/>
      </c>
      <c r="AW3464">
        <f>IF('01_Вводные'!$B$234="Да",'19_Расчет_аналитики'!AV3463*'01_Вводные'!$B$14,0)</f>
        <v/>
      </c>
      <c r="AX3464">
        <f>IF('01_Вводные'!$B$234="Да",'19_Расчет_аналитики'!AW3463*'01_Вводные'!$B$14,0)</f>
        <v/>
      </c>
      <c r="AY3464">
        <f>IF('01_Вводные'!$B$234="Да",'19_Расчет_аналитики'!AX3463*'01_Вводные'!$B$14,0)</f>
        <v/>
      </c>
      <c r="AZ3464">
        <f>IF('01_Вводные'!$B$234="Да",'19_Расчет_аналитики'!AY3463*'01_Вводные'!$B$14,0)</f>
        <v/>
      </c>
      <c r="BA3464">
        <f>IF('01_Вводные'!$B$234="Да",'19_Расчет_аналитики'!AZ3463*'01_Вводные'!$B$14,0)</f>
        <v/>
      </c>
      <c r="BB3464">
        <f>IF('01_Вводные'!$B$234="Да",'19_Расчет_аналитики'!BA3463*'01_Вводные'!$B$14,0)</f>
        <v/>
      </c>
      <c r="BC3464">
        <f>IF('01_Вводные'!$B$234="Да",'19_Расчет_аналитики'!BB3463*'01_Вводные'!$B$14,0)</f>
        <v/>
      </c>
      <c r="BD3464">
        <f>IF('01_Вводные'!$B$234="Да",'19_Расчет_аналитики'!BC3463*'01_Вводные'!$B$14,0)</f>
        <v/>
      </c>
      <c r="BE3464">
        <f>IF('01_Вводные'!$B$234="Да",'19_Расчет_аналитики'!BD3463*'01_Вводные'!$B$14,0)</f>
        <v/>
      </c>
      <c r="BF3464">
        <f>IF('01_Вводные'!$B$234="Да",'19_Расчет_аналитики'!BE3463*'01_Вводные'!$B$14,0)</f>
        <v/>
      </c>
      <c r="BG3464">
        <f>IF('01_Вводные'!$B$234="Да",'19_Расчет_аналитики'!BF3463*'01_Вводные'!$B$14,0)</f>
        <v/>
      </c>
      <c r="BH3464">
        <f>IF('01_Вводные'!$B$234="Да",'19_Расчет_аналитики'!BG3463*'01_Вводные'!$B$14,0)</f>
        <v/>
      </c>
      <c r="BI3464">
        <f>IF('01_Вводные'!$B$234="Да",'19_Расчет_аналитики'!BH3463*'01_Вводные'!$B$14,0)</f>
        <v/>
      </c>
      <c r="BJ3464">
        <f>IF('01_Вводные'!$B$234="Да",'19_Расчет_аналитики'!BI3463*'01_Вводные'!$B$14,0)</f>
        <v/>
      </c>
      <c r="BK3464">
        <f>IF('01_Вводные'!$B$234="Да",'19_Расчет_аналитики'!BJ3463*'01_Вводные'!$B$14,0)</f>
        <v/>
      </c>
      <c r="BL3464">
        <f>IF('01_Вводные'!$B$234="Да",'19_Расчет_аналитики'!BK3463*'01_Вводные'!$B$14,0)</f>
        <v/>
      </c>
      <c r="BM3464">
        <f>IF('01_Вводные'!$B$234="Да",'19_Расчет_аналитики'!BL3463*'01_Вводные'!$B$14,0)</f>
        <v/>
      </c>
      <c r="BN3464">
        <f>IF('01_Вводные'!$B$234="Да",'19_Расчет_аналитики'!BM3463*'01_Вводные'!$B$14,0)</f>
        <v/>
      </c>
      <c r="BO3464">
        <f>IF('01_Вводные'!$B$234="Да",'19_Расчет_аналитики'!BN3463*'01_Вводные'!$B$14,0)</f>
        <v/>
      </c>
    </row>
    <row r="3465">
      <c r="B3465">
        <f>'06_Сеть_и_дети'!B74</f>
        <v/>
      </c>
      <c r="C3465">
        <f>'06_Сеть_и_дети'!C74</f>
        <v/>
      </c>
      <c r="D3465">
        <f>'06_Сеть_и_дети'!D74</f>
        <v/>
      </c>
      <c r="E3465">
        <f>'06_Сеть_и_дети'!E74</f>
        <v/>
      </c>
      <c r="F3465">
        <f>'06_Сеть_и_дети'!F74</f>
        <v/>
      </c>
      <c r="G3465">
        <f>'06_Сеть_и_дети'!G74</f>
        <v/>
      </c>
      <c r="H3465">
        <f>'06_Сеть_и_дети'!H74</f>
        <v/>
      </c>
      <c r="I3465">
        <f>'06_Сеть_и_дети'!I74</f>
        <v/>
      </c>
      <c r="J3465">
        <f>'06_Сеть_и_дети'!J74</f>
        <v/>
      </c>
      <c r="K3465">
        <f>'06_Сеть_и_дети'!K74</f>
        <v/>
      </c>
      <c r="L3465">
        <f>'06_Сеть_и_дети'!L74</f>
        <v/>
      </c>
      <c r="M3465">
        <f>'06_Сеть_и_дети'!M74</f>
        <v/>
      </c>
      <c r="N3465">
        <f>'06_Сеть_и_дети'!N74</f>
        <v/>
      </c>
      <c r="O3465">
        <f>'06_Сеть_и_дети'!O74</f>
        <v/>
      </c>
      <c r="P3465">
        <f>'06_Сеть_и_дети'!P74</f>
        <v/>
      </c>
      <c r="Q3465">
        <f>'06_Сеть_и_дети'!Q74</f>
        <v/>
      </c>
      <c r="R3465">
        <f>'06_Сеть_и_дети'!R74</f>
        <v/>
      </c>
      <c r="S3465">
        <f>'06_Сеть_и_дети'!S74</f>
        <v/>
      </c>
      <c r="T3465">
        <f>'06_Сеть_и_дети'!T74</f>
        <v/>
      </c>
      <c r="U3465">
        <f>'06_Сеть_и_дети'!U74</f>
        <v/>
      </c>
      <c r="V3465">
        <f>'06_Сеть_и_дети'!V74</f>
        <v/>
      </c>
      <c r="W3465">
        <f>IF('01_Вводные'!$B$234="Да",'19_Расчет_аналитики'!V3464*'01_Вводные'!$B$14,0)</f>
        <v/>
      </c>
      <c r="X3465">
        <f>IF('01_Вводные'!$B$234="Да",'19_Расчет_аналитики'!W3464*'01_Вводные'!$B$14,0)</f>
        <v/>
      </c>
      <c r="Y3465">
        <f>IF('01_Вводные'!$B$234="Да",'19_Расчет_аналитики'!X3464*'01_Вводные'!$B$14,0)</f>
        <v/>
      </c>
      <c r="Z3465">
        <f>IF('01_Вводные'!$B$234="Да",'19_Расчет_аналитики'!Y3464*'01_Вводные'!$B$14,0)</f>
        <v/>
      </c>
      <c r="AA3465">
        <f>IF('01_Вводные'!$B$234="Да",'19_Расчет_аналитики'!Z3464*'01_Вводные'!$B$14,0)</f>
        <v/>
      </c>
      <c r="AB3465">
        <f>IF('01_Вводные'!$B$234="Да",'19_Расчет_аналитики'!AA3464*'01_Вводные'!$B$14,0)</f>
        <v/>
      </c>
      <c r="AC3465">
        <f>IF('01_Вводные'!$B$234="Да",'19_Расчет_аналитики'!AB3464*'01_Вводные'!$B$14,0)</f>
        <v/>
      </c>
      <c r="AD3465">
        <f>IF('01_Вводные'!$B$234="Да",'19_Расчет_аналитики'!AC3464*'01_Вводные'!$B$14,0)</f>
        <v/>
      </c>
      <c r="AE3465">
        <f>IF('01_Вводные'!$B$234="Да",'19_Расчет_аналитики'!AD3464*'01_Вводные'!$B$14,0)</f>
        <v/>
      </c>
      <c r="AF3465">
        <f>IF('01_Вводные'!$B$234="Да",'19_Расчет_аналитики'!AE3464*'01_Вводные'!$B$14,0)</f>
        <v/>
      </c>
      <c r="AG3465">
        <f>IF('01_Вводные'!$B$234="Да",'19_Расчет_аналитики'!AF3464*'01_Вводные'!$B$14,0)</f>
        <v/>
      </c>
      <c r="AH3465">
        <f>IF('01_Вводные'!$B$234="Да",'19_Расчет_аналитики'!AG3464*'01_Вводные'!$B$14,0)</f>
        <v/>
      </c>
      <c r="AI3465">
        <f>IF('01_Вводные'!$B$234="Да",'19_Расчет_аналитики'!AH3464*'01_Вводные'!$B$14,0)</f>
        <v/>
      </c>
      <c r="AJ3465">
        <f>IF('01_Вводные'!$B$234="Да",'19_Расчет_аналитики'!AI3464*'01_Вводные'!$B$14,0)</f>
        <v/>
      </c>
      <c r="AK3465">
        <f>IF('01_Вводные'!$B$234="Да",'19_Расчет_аналитики'!AJ3464*'01_Вводные'!$B$14,0)</f>
        <v/>
      </c>
      <c r="AL3465">
        <f>IF('01_Вводные'!$B$234="Да",'19_Расчет_аналитики'!AK3464*'01_Вводные'!$B$14,0)</f>
        <v/>
      </c>
      <c r="AM3465">
        <f>IF('01_Вводные'!$B$234="Да",'19_Расчет_аналитики'!AL3464*'01_Вводные'!$B$14,0)</f>
        <v/>
      </c>
      <c r="AN3465">
        <f>IF('01_Вводные'!$B$234="Да",'19_Расчет_аналитики'!AM3464*'01_Вводные'!$B$14,0)</f>
        <v/>
      </c>
      <c r="AO3465">
        <f>IF('01_Вводные'!$B$234="Да",'19_Расчет_аналитики'!AN3464*'01_Вводные'!$B$14,0)</f>
        <v/>
      </c>
      <c r="AP3465">
        <f>IF('01_Вводные'!$B$234="Да",'19_Расчет_аналитики'!AO3464*'01_Вводные'!$B$14,0)</f>
        <v/>
      </c>
      <c r="AQ3465">
        <f>IF('01_Вводные'!$B$234="Да",'19_Расчет_аналитики'!AP3464*'01_Вводные'!$B$14,0)</f>
        <v/>
      </c>
      <c r="AR3465">
        <f>IF('01_Вводные'!$B$234="Да",'19_Расчет_аналитики'!AQ3464*'01_Вводные'!$B$14,0)</f>
        <v/>
      </c>
      <c r="AS3465">
        <f>IF('01_Вводные'!$B$234="Да",'19_Расчет_аналитики'!AR3464*'01_Вводные'!$B$14,0)</f>
        <v/>
      </c>
      <c r="AT3465">
        <f>IF('01_Вводные'!$B$234="Да",'19_Расчет_аналитики'!AS3464*'01_Вводные'!$B$14,0)</f>
        <v/>
      </c>
      <c r="AU3465">
        <f>IF('01_Вводные'!$B$234="Да",'19_Расчет_аналитики'!AT3464*'01_Вводные'!$B$14,0)</f>
        <v/>
      </c>
      <c r="AV3465">
        <f>IF('01_Вводные'!$B$234="Да",'19_Расчет_аналитики'!AU3464*'01_Вводные'!$B$14,0)</f>
        <v/>
      </c>
      <c r="AW3465">
        <f>IF('01_Вводные'!$B$234="Да",'19_Расчет_аналитики'!AV3464*'01_Вводные'!$B$14,0)</f>
        <v/>
      </c>
      <c r="AX3465">
        <f>IF('01_Вводные'!$B$234="Да",'19_Расчет_аналитики'!AW3464*'01_Вводные'!$B$14,0)</f>
        <v/>
      </c>
      <c r="AY3465">
        <f>IF('01_Вводные'!$B$234="Да",'19_Расчет_аналитики'!AX3464*'01_Вводные'!$B$14,0)</f>
        <v/>
      </c>
      <c r="AZ3465">
        <f>IF('01_Вводные'!$B$234="Да",'19_Расчет_аналитики'!AY3464*'01_Вводные'!$B$14,0)</f>
        <v/>
      </c>
      <c r="BA3465">
        <f>IF('01_Вводные'!$B$234="Да",'19_Расчет_аналитики'!AZ3464*'01_Вводные'!$B$14,0)</f>
        <v/>
      </c>
      <c r="BB3465">
        <f>IF('01_Вводные'!$B$234="Да",'19_Расчет_аналитики'!BA3464*'01_Вводные'!$B$14,0)</f>
        <v/>
      </c>
      <c r="BC3465">
        <f>IF('01_Вводные'!$B$234="Да",'19_Расчет_аналитики'!BB3464*'01_Вводные'!$B$14,0)</f>
        <v/>
      </c>
      <c r="BD3465">
        <f>IF('01_Вводные'!$B$234="Да",'19_Расчет_аналитики'!BC3464*'01_Вводные'!$B$14,0)</f>
        <v/>
      </c>
      <c r="BE3465">
        <f>IF('01_Вводные'!$B$234="Да",'19_Расчет_аналитики'!BD3464*'01_Вводные'!$B$14,0)</f>
        <v/>
      </c>
      <c r="BF3465">
        <f>IF('01_Вводные'!$B$234="Да",'19_Расчет_аналитики'!BE3464*'01_Вводные'!$B$14,0)</f>
        <v/>
      </c>
      <c r="BG3465">
        <f>IF('01_Вводные'!$B$234="Да",'19_Расчет_аналитики'!BF3464*'01_Вводные'!$B$14,0)</f>
        <v/>
      </c>
      <c r="BH3465">
        <f>IF('01_Вводные'!$B$234="Да",'19_Расчет_аналитики'!BG3464*'01_Вводные'!$B$14,0)</f>
        <v/>
      </c>
      <c r="BI3465">
        <f>IF('01_Вводные'!$B$234="Да",'19_Расчет_аналитики'!BH3464*'01_Вводные'!$B$14,0)</f>
        <v/>
      </c>
      <c r="BJ3465">
        <f>IF('01_Вводные'!$B$234="Да",'19_Расчет_аналитики'!BI3464*'01_Вводные'!$B$14,0)</f>
        <v/>
      </c>
      <c r="BK3465">
        <f>IF('01_Вводные'!$B$234="Да",'19_Расчет_аналитики'!BJ3464*'01_Вводные'!$B$14,0)</f>
        <v/>
      </c>
      <c r="BL3465">
        <f>IF('01_Вводные'!$B$234="Да",'19_Расчет_аналитики'!BK3464*'01_Вводные'!$B$14,0)</f>
        <v/>
      </c>
      <c r="BM3465">
        <f>IF('01_Вводные'!$B$234="Да",'19_Расчет_аналитики'!BL3464*'01_Вводные'!$B$14,0)</f>
        <v/>
      </c>
      <c r="BN3465">
        <f>IF('01_Вводные'!$B$234="Да",'19_Расчет_аналитики'!BM3464*'01_Вводные'!$B$14,0)</f>
        <v/>
      </c>
      <c r="BO3465">
        <f>IF('01_Вводные'!$B$234="Да",'19_Расчет_аналитики'!BN3464*'01_Вводные'!$B$14,0)</f>
        <v/>
      </c>
    </row>
    <row r="3466">
      <c r="B3466">
        <f>'06_Сеть_и_дети'!B75</f>
        <v/>
      </c>
      <c r="C3466">
        <f>'06_Сеть_и_дети'!C75</f>
        <v/>
      </c>
      <c r="D3466">
        <f>'06_Сеть_и_дети'!D75</f>
        <v/>
      </c>
      <c r="E3466">
        <f>'06_Сеть_и_дети'!E75</f>
        <v/>
      </c>
      <c r="F3466">
        <f>'06_Сеть_и_дети'!F75</f>
        <v/>
      </c>
      <c r="G3466">
        <f>'06_Сеть_и_дети'!G75</f>
        <v/>
      </c>
      <c r="H3466">
        <f>'06_Сеть_и_дети'!H75</f>
        <v/>
      </c>
      <c r="I3466">
        <f>'06_Сеть_и_дети'!I75</f>
        <v/>
      </c>
      <c r="J3466">
        <f>'06_Сеть_и_дети'!J75</f>
        <v/>
      </c>
      <c r="K3466">
        <f>'06_Сеть_и_дети'!K75</f>
        <v/>
      </c>
      <c r="L3466">
        <f>'06_Сеть_и_дети'!L75</f>
        <v/>
      </c>
      <c r="M3466">
        <f>'06_Сеть_и_дети'!M75</f>
        <v/>
      </c>
      <c r="N3466">
        <f>'06_Сеть_и_дети'!N75</f>
        <v/>
      </c>
      <c r="O3466">
        <f>'06_Сеть_и_дети'!O75</f>
        <v/>
      </c>
      <c r="P3466">
        <f>'06_Сеть_и_дети'!P75</f>
        <v/>
      </c>
      <c r="Q3466">
        <f>'06_Сеть_и_дети'!Q75</f>
        <v/>
      </c>
      <c r="R3466">
        <f>'06_Сеть_и_дети'!R75</f>
        <v/>
      </c>
      <c r="S3466">
        <f>'06_Сеть_и_дети'!S75</f>
        <v/>
      </c>
      <c r="T3466">
        <f>'06_Сеть_и_дети'!T75</f>
        <v/>
      </c>
      <c r="U3466">
        <f>'06_Сеть_и_дети'!U75</f>
        <v/>
      </c>
      <c r="V3466">
        <f>'06_Сеть_и_дети'!V75</f>
        <v/>
      </c>
      <c r="W3466">
        <f>'06_Сеть_и_дети'!W75</f>
        <v/>
      </c>
      <c r="X3466">
        <f>IF('01_Вводные'!$B$234="Да",'19_Расчет_аналитики'!W3465*'01_Вводные'!$B$14,0)</f>
        <v/>
      </c>
      <c r="Y3466">
        <f>IF('01_Вводные'!$B$234="Да",'19_Расчет_аналитики'!X3465*'01_Вводные'!$B$14,0)</f>
        <v/>
      </c>
      <c r="Z3466">
        <f>IF('01_Вводные'!$B$234="Да",'19_Расчет_аналитики'!Y3465*'01_Вводные'!$B$14,0)</f>
        <v/>
      </c>
      <c r="AA3466">
        <f>IF('01_Вводные'!$B$234="Да",'19_Расчет_аналитики'!Z3465*'01_Вводные'!$B$14,0)</f>
        <v/>
      </c>
      <c r="AB3466">
        <f>IF('01_Вводные'!$B$234="Да",'19_Расчет_аналитики'!AA3465*'01_Вводные'!$B$14,0)</f>
        <v/>
      </c>
      <c r="AC3466">
        <f>IF('01_Вводные'!$B$234="Да",'19_Расчет_аналитики'!AB3465*'01_Вводные'!$B$14,0)</f>
        <v/>
      </c>
      <c r="AD3466">
        <f>IF('01_Вводные'!$B$234="Да",'19_Расчет_аналитики'!AC3465*'01_Вводные'!$B$14,0)</f>
        <v/>
      </c>
      <c r="AE3466">
        <f>IF('01_Вводные'!$B$234="Да",'19_Расчет_аналитики'!AD3465*'01_Вводные'!$B$14,0)</f>
        <v/>
      </c>
      <c r="AF3466">
        <f>IF('01_Вводные'!$B$234="Да",'19_Расчет_аналитики'!AE3465*'01_Вводные'!$B$14,0)</f>
        <v/>
      </c>
      <c r="AG3466">
        <f>IF('01_Вводные'!$B$234="Да",'19_Расчет_аналитики'!AF3465*'01_Вводные'!$B$14,0)</f>
        <v/>
      </c>
      <c r="AH3466">
        <f>IF('01_Вводные'!$B$234="Да",'19_Расчет_аналитики'!AG3465*'01_Вводные'!$B$14,0)</f>
        <v/>
      </c>
      <c r="AI3466">
        <f>IF('01_Вводные'!$B$234="Да",'19_Расчет_аналитики'!AH3465*'01_Вводные'!$B$14,0)</f>
        <v/>
      </c>
      <c r="AJ3466">
        <f>IF('01_Вводные'!$B$234="Да",'19_Расчет_аналитики'!AI3465*'01_Вводные'!$B$14,0)</f>
        <v/>
      </c>
      <c r="AK3466">
        <f>IF('01_Вводные'!$B$234="Да",'19_Расчет_аналитики'!AJ3465*'01_Вводные'!$B$14,0)</f>
        <v/>
      </c>
      <c r="AL3466">
        <f>IF('01_Вводные'!$B$234="Да",'19_Расчет_аналитики'!AK3465*'01_Вводные'!$B$14,0)</f>
        <v/>
      </c>
      <c r="AM3466">
        <f>IF('01_Вводные'!$B$234="Да",'19_Расчет_аналитики'!AL3465*'01_Вводные'!$B$14,0)</f>
        <v/>
      </c>
      <c r="AN3466">
        <f>IF('01_Вводные'!$B$234="Да",'19_Расчет_аналитики'!AM3465*'01_Вводные'!$B$14,0)</f>
        <v/>
      </c>
      <c r="AO3466">
        <f>IF('01_Вводные'!$B$234="Да",'19_Расчет_аналитики'!AN3465*'01_Вводные'!$B$14,0)</f>
        <v/>
      </c>
      <c r="AP3466">
        <f>IF('01_Вводные'!$B$234="Да",'19_Расчет_аналитики'!AO3465*'01_Вводные'!$B$14,0)</f>
        <v/>
      </c>
      <c r="AQ3466">
        <f>IF('01_Вводные'!$B$234="Да",'19_Расчет_аналитики'!AP3465*'01_Вводные'!$B$14,0)</f>
        <v/>
      </c>
      <c r="AR3466">
        <f>IF('01_Вводные'!$B$234="Да",'19_Расчет_аналитики'!AQ3465*'01_Вводные'!$B$14,0)</f>
        <v/>
      </c>
      <c r="AS3466">
        <f>IF('01_Вводные'!$B$234="Да",'19_Расчет_аналитики'!AR3465*'01_Вводные'!$B$14,0)</f>
        <v/>
      </c>
      <c r="AT3466">
        <f>IF('01_Вводные'!$B$234="Да",'19_Расчет_аналитики'!AS3465*'01_Вводные'!$B$14,0)</f>
        <v/>
      </c>
      <c r="AU3466">
        <f>IF('01_Вводные'!$B$234="Да",'19_Расчет_аналитики'!AT3465*'01_Вводные'!$B$14,0)</f>
        <v/>
      </c>
      <c r="AV3466">
        <f>IF('01_Вводные'!$B$234="Да",'19_Расчет_аналитики'!AU3465*'01_Вводные'!$B$14,0)</f>
        <v/>
      </c>
      <c r="AW3466">
        <f>IF('01_Вводные'!$B$234="Да",'19_Расчет_аналитики'!AV3465*'01_Вводные'!$B$14,0)</f>
        <v/>
      </c>
      <c r="AX3466">
        <f>IF('01_Вводные'!$B$234="Да",'19_Расчет_аналитики'!AW3465*'01_Вводные'!$B$14,0)</f>
        <v/>
      </c>
      <c r="AY3466">
        <f>IF('01_Вводные'!$B$234="Да",'19_Расчет_аналитики'!AX3465*'01_Вводные'!$B$14,0)</f>
        <v/>
      </c>
      <c r="AZ3466">
        <f>IF('01_Вводные'!$B$234="Да",'19_Расчет_аналитики'!AY3465*'01_Вводные'!$B$14,0)</f>
        <v/>
      </c>
      <c r="BA3466">
        <f>IF('01_Вводные'!$B$234="Да",'19_Расчет_аналитики'!AZ3465*'01_Вводные'!$B$14,0)</f>
        <v/>
      </c>
      <c r="BB3466">
        <f>IF('01_Вводные'!$B$234="Да",'19_Расчет_аналитики'!BA3465*'01_Вводные'!$B$14,0)</f>
        <v/>
      </c>
      <c r="BC3466">
        <f>IF('01_Вводные'!$B$234="Да",'19_Расчет_аналитики'!BB3465*'01_Вводные'!$B$14,0)</f>
        <v/>
      </c>
      <c r="BD3466">
        <f>IF('01_Вводные'!$B$234="Да",'19_Расчет_аналитики'!BC3465*'01_Вводные'!$B$14,0)</f>
        <v/>
      </c>
      <c r="BE3466">
        <f>IF('01_Вводные'!$B$234="Да",'19_Расчет_аналитики'!BD3465*'01_Вводные'!$B$14,0)</f>
        <v/>
      </c>
      <c r="BF3466">
        <f>IF('01_Вводные'!$B$234="Да",'19_Расчет_аналитики'!BE3465*'01_Вводные'!$B$14,0)</f>
        <v/>
      </c>
      <c r="BG3466">
        <f>IF('01_Вводные'!$B$234="Да",'19_Расчет_аналитики'!BF3465*'01_Вводные'!$B$14,0)</f>
        <v/>
      </c>
      <c r="BH3466">
        <f>IF('01_Вводные'!$B$234="Да",'19_Расчет_аналитики'!BG3465*'01_Вводные'!$B$14,0)</f>
        <v/>
      </c>
      <c r="BI3466">
        <f>IF('01_Вводные'!$B$234="Да",'19_Расчет_аналитики'!BH3465*'01_Вводные'!$B$14,0)</f>
        <v/>
      </c>
      <c r="BJ3466">
        <f>IF('01_Вводные'!$B$234="Да",'19_Расчет_аналитики'!BI3465*'01_Вводные'!$B$14,0)</f>
        <v/>
      </c>
      <c r="BK3466">
        <f>IF('01_Вводные'!$B$234="Да",'19_Расчет_аналитики'!BJ3465*'01_Вводные'!$B$14,0)</f>
        <v/>
      </c>
      <c r="BL3466">
        <f>IF('01_Вводные'!$B$234="Да",'19_Расчет_аналитики'!BK3465*'01_Вводные'!$B$14,0)</f>
        <v/>
      </c>
      <c r="BM3466">
        <f>IF('01_Вводные'!$B$234="Да",'19_Расчет_аналитики'!BL3465*'01_Вводные'!$B$14,0)</f>
        <v/>
      </c>
      <c r="BN3466">
        <f>IF('01_Вводные'!$B$234="Да",'19_Расчет_аналитики'!BM3465*'01_Вводные'!$B$14,0)</f>
        <v/>
      </c>
      <c r="BO3466">
        <f>IF('01_Вводные'!$B$234="Да",'19_Расчет_аналитики'!BN3465*'01_Вводные'!$B$14,0)</f>
        <v/>
      </c>
    </row>
    <row r="3467">
      <c r="B3467">
        <f>'06_Сеть_и_дети'!B76</f>
        <v/>
      </c>
      <c r="C3467">
        <f>'06_Сеть_и_дети'!C76</f>
        <v/>
      </c>
      <c r="D3467">
        <f>'06_Сеть_и_дети'!D76</f>
        <v/>
      </c>
      <c r="E3467">
        <f>'06_Сеть_и_дети'!E76</f>
        <v/>
      </c>
      <c r="F3467">
        <f>'06_Сеть_и_дети'!F76</f>
        <v/>
      </c>
      <c r="G3467">
        <f>'06_Сеть_и_дети'!G76</f>
        <v/>
      </c>
      <c r="H3467">
        <f>'06_Сеть_и_дети'!H76</f>
        <v/>
      </c>
      <c r="I3467">
        <f>'06_Сеть_и_дети'!I76</f>
        <v/>
      </c>
      <c r="J3467">
        <f>'06_Сеть_и_дети'!J76</f>
        <v/>
      </c>
      <c r="K3467">
        <f>'06_Сеть_и_дети'!K76</f>
        <v/>
      </c>
      <c r="L3467">
        <f>'06_Сеть_и_дети'!L76</f>
        <v/>
      </c>
      <c r="M3467">
        <f>'06_Сеть_и_дети'!M76</f>
        <v/>
      </c>
      <c r="N3467">
        <f>'06_Сеть_и_дети'!N76</f>
        <v/>
      </c>
      <c r="O3467">
        <f>'06_Сеть_и_дети'!O76</f>
        <v/>
      </c>
      <c r="P3467">
        <f>'06_Сеть_и_дети'!P76</f>
        <v/>
      </c>
      <c r="Q3467">
        <f>'06_Сеть_и_дети'!Q76</f>
        <v/>
      </c>
      <c r="R3467">
        <f>'06_Сеть_и_дети'!R76</f>
        <v/>
      </c>
      <c r="S3467">
        <f>'06_Сеть_и_дети'!S76</f>
        <v/>
      </c>
      <c r="T3467">
        <f>'06_Сеть_и_дети'!T76</f>
        <v/>
      </c>
      <c r="U3467">
        <f>'06_Сеть_и_дети'!U76</f>
        <v/>
      </c>
      <c r="V3467">
        <f>'06_Сеть_и_дети'!V76</f>
        <v/>
      </c>
      <c r="W3467">
        <f>'06_Сеть_и_дети'!W76</f>
        <v/>
      </c>
      <c r="X3467">
        <f>'06_Сеть_и_дети'!X76</f>
        <v/>
      </c>
      <c r="Y3467">
        <f>IF('01_Вводные'!$B$234="Да",'19_Расчет_аналитики'!X3466*'01_Вводные'!$B$14,0)</f>
        <v/>
      </c>
      <c r="Z3467">
        <f>IF('01_Вводные'!$B$234="Да",'19_Расчет_аналитики'!Y3466*'01_Вводные'!$B$14,0)</f>
        <v/>
      </c>
      <c r="AA3467">
        <f>IF('01_Вводные'!$B$234="Да",'19_Расчет_аналитики'!Z3466*'01_Вводные'!$B$14,0)</f>
        <v/>
      </c>
      <c r="AB3467">
        <f>IF('01_Вводные'!$B$234="Да",'19_Расчет_аналитики'!AA3466*'01_Вводные'!$B$14,0)</f>
        <v/>
      </c>
      <c r="AC3467">
        <f>IF('01_Вводные'!$B$234="Да",'19_Расчет_аналитики'!AB3466*'01_Вводные'!$B$14,0)</f>
        <v/>
      </c>
      <c r="AD3467">
        <f>IF('01_Вводные'!$B$234="Да",'19_Расчет_аналитики'!AC3466*'01_Вводные'!$B$14,0)</f>
        <v/>
      </c>
      <c r="AE3467">
        <f>IF('01_Вводные'!$B$234="Да",'19_Расчет_аналитики'!AD3466*'01_Вводные'!$B$14,0)</f>
        <v/>
      </c>
      <c r="AF3467">
        <f>IF('01_Вводные'!$B$234="Да",'19_Расчет_аналитики'!AE3466*'01_Вводные'!$B$14,0)</f>
        <v/>
      </c>
      <c r="AG3467">
        <f>IF('01_Вводные'!$B$234="Да",'19_Расчет_аналитики'!AF3466*'01_Вводные'!$B$14,0)</f>
        <v/>
      </c>
      <c r="AH3467">
        <f>IF('01_Вводные'!$B$234="Да",'19_Расчет_аналитики'!AG3466*'01_Вводные'!$B$14,0)</f>
        <v/>
      </c>
      <c r="AI3467">
        <f>IF('01_Вводные'!$B$234="Да",'19_Расчет_аналитики'!AH3466*'01_Вводные'!$B$14,0)</f>
        <v/>
      </c>
      <c r="AJ3467">
        <f>IF('01_Вводные'!$B$234="Да",'19_Расчет_аналитики'!AI3466*'01_Вводные'!$B$14,0)</f>
        <v/>
      </c>
      <c r="AK3467">
        <f>IF('01_Вводные'!$B$234="Да",'19_Расчет_аналитики'!AJ3466*'01_Вводные'!$B$14,0)</f>
        <v/>
      </c>
      <c r="AL3467">
        <f>IF('01_Вводные'!$B$234="Да",'19_Расчет_аналитики'!AK3466*'01_Вводные'!$B$14,0)</f>
        <v/>
      </c>
      <c r="AM3467">
        <f>IF('01_Вводные'!$B$234="Да",'19_Расчет_аналитики'!AL3466*'01_Вводные'!$B$14,0)</f>
        <v/>
      </c>
      <c r="AN3467">
        <f>IF('01_Вводные'!$B$234="Да",'19_Расчет_аналитики'!AM3466*'01_Вводные'!$B$14,0)</f>
        <v/>
      </c>
      <c r="AO3467">
        <f>IF('01_Вводные'!$B$234="Да",'19_Расчет_аналитики'!AN3466*'01_Вводные'!$B$14,0)</f>
        <v/>
      </c>
      <c r="AP3467">
        <f>IF('01_Вводные'!$B$234="Да",'19_Расчет_аналитики'!AO3466*'01_Вводные'!$B$14,0)</f>
        <v/>
      </c>
      <c r="AQ3467">
        <f>IF('01_Вводные'!$B$234="Да",'19_Расчет_аналитики'!AP3466*'01_Вводные'!$B$14,0)</f>
        <v/>
      </c>
      <c r="AR3467">
        <f>IF('01_Вводные'!$B$234="Да",'19_Расчет_аналитики'!AQ3466*'01_Вводные'!$B$14,0)</f>
        <v/>
      </c>
      <c r="AS3467">
        <f>IF('01_Вводные'!$B$234="Да",'19_Расчет_аналитики'!AR3466*'01_Вводные'!$B$14,0)</f>
        <v/>
      </c>
      <c r="AT3467">
        <f>IF('01_Вводные'!$B$234="Да",'19_Расчет_аналитики'!AS3466*'01_Вводные'!$B$14,0)</f>
        <v/>
      </c>
      <c r="AU3467">
        <f>IF('01_Вводные'!$B$234="Да",'19_Расчет_аналитики'!AT3466*'01_Вводные'!$B$14,0)</f>
        <v/>
      </c>
      <c r="AV3467">
        <f>IF('01_Вводные'!$B$234="Да",'19_Расчет_аналитики'!AU3466*'01_Вводные'!$B$14,0)</f>
        <v/>
      </c>
      <c r="AW3467">
        <f>IF('01_Вводные'!$B$234="Да",'19_Расчет_аналитики'!AV3466*'01_Вводные'!$B$14,0)</f>
        <v/>
      </c>
      <c r="AX3467">
        <f>IF('01_Вводные'!$B$234="Да",'19_Расчет_аналитики'!AW3466*'01_Вводные'!$B$14,0)</f>
        <v/>
      </c>
      <c r="AY3467">
        <f>IF('01_Вводные'!$B$234="Да",'19_Расчет_аналитики'!AX3466*'01_Вводные'!$B$14,0)</f>
        <v/>
      </c>
      <c r="AZ3467">
        <f>IF('01_Вводные'!$B$234="Да",'19_Расчет_аналитики'!AY3466*'01_Вводные'!$B$14,0)</f>
        <v/>
      </c>
      <c r="BA3467">
        <f>IF('01_Вводные'!$B$234="Да",'19_Расчет_аналитики'!AZ3466*'01_Вводные'!$B$14,0)</f>
        <v/>
      </c>
      <c r="BB3467">
        <f>IF('01_Вводные'!$B$234="Да",'19_Расчет_аналитики'!BA3466*'01_Вводные'!$B$14,0)</f>
        <v/>
      </c>
      <c r="BC3467">
        <f>IF('01_Вводные'!$B$234="Да",'19_Расчет_аналитики'!BB3466*'01_Вводные'!$B$14,0)</f>
        <v/>
      </c>
      <c r="BD3467">
        <f>IF('01_Вводные'!$B$234="Да",'19_Расчет_аналитики'!BC3466*'01_Вводные'!$B$14,0)</f>
        <v/>
      </c>
      <c r="BE3467">
        <f>IF('01_Вводные'!$B$234="Да",'19_Расчет_аналитики'!BD3466*'01_Вводные'!$B$14,0)</f>
        <v/>
      </c>
      <c r="BF3467">
        <f>IF('01_Вводные'!$B$234="Да",'19_Расчет_аналитики'!BE3466*'01_Вводные'!$B$14,0)</f>
        <v/>
      </c>
      <c r="BG3467">
        <f>IF('01_Вводные'!$B$234="Да",'19_Расчет_аналитики'!BF3466*'01_Вводные'!$B$14,0)</f>
        <v/>
      </c>
      <c r="BH3467">
        <f>IF('01_Вводные'!$B$234="Да",'19_Расчет_аналитики'!BG3466*'01_Вводные'!$B$14,0)</f>
        <v/>
      </c>
      <c r="BI3467">
        <f>IF('01_Вводные'!$B$234="Да",'19_Расчет_аналитики'!BH3466*'01_Вводные'!$B$14,0)</f>
        <v/>
      </c>
      <c r="BJ3467">
        <f>IF('01_Вводные'!$B$234="Да",'19_Расчет_аналитики'!BI3466*'01_Вводные'!$B$14,0)</f>
        <v/>
      </c>
      <c r="BK3467">
        <f>IF('01_Вводные'!$B$234="Да",'19_Расчет_аналитики'!BJ3466*'01_Вводные'!$B$14,0)</f>
        <v/>
      </c>
      <c r="BL3467">
        <f>IF('01_Вводные'!$B$234="Да",'19_Расчет_аналитики'!BK3466*'01_Вводные'!$B$14,0)</f>
        <v/>
      </c>
      <c r="BM3467">
        <f>IF('01_Вводные'!$B$234="Да",'19_Расчет_аналитики'!BL3466*'01_Вводные'!$B$14,0)</f>
        <v/>
      </c>
      <c r="BN3467">
        <f>IF('01_Вводные'!$B$234="Да",'19_Расчет_аналитики'!BM3466*'01_Вводные'!$B$14,0)</f>
        <v/>
      </c>
      <c r="BO3467">
        <f>IF('01_Вводные'!$B$234="Да",'19_Расчет_аналитики'!BN3466*'01_Вводные'!$B$14,0)</f>
        <v/>
      </c>
    </row>
    <row r="3468">
      <c r="B3468">
        <f>'06_Сеть_и_дети'!B77</f>
        <v/>
      </c>
      <c r="C3468">
        <f>'06_Сеть_и_дети'!C77</f>
        <v/>
      </c>
      <c r="D3468">
        <f>'06_Сеть_и_дети'!D77</f>
        <v/>
      </c>
      <c r="E3468">
        <f>'06_Сеть_и_дети'!E77</f>
        <v/>
      </c>
      <c r="F3468">
        <f>'06_Сеть_и_дети'!F77</f>
        <v/>
      </c>
      <c r="G3468">
        <f>'06_Сеть_и_дети'!G77</f>
        <v/>
      </c>
      <c r="H3468">
        <f>'06_Сеть_и_дети'!H77</f>
        <v/>
      </c>
      <c r="I3468">
        <f>'06_Сеть_и_дети'!I77</f>
        <v/>
      </c>
      <c r="J3468">
        <f>'06_Сеть_и_дети'!J77</f>
        <v/>
      </c>
      <c r="K3468">
        <f>'06_Сеть_и_дети'!K77</f>
        <v/>
      </c>
      <c r="L3468">
        <f>'06_Сеть_и_дети'!L77</f>
        <v/>
      </c>
      <c r="M3468">
        <f>'06_Сеть_и_дети'!M77</f>
        <v/>
      </c>
      <c r="N3468">
        <f>'06_Сеть_и_дети'!N77</f>
        <v/>
      </c>
      <c r="O3468">
        <f>'06_Сеть_и_дети'!O77</f>
        <v/>
      </c>
      <c r="P3468">
        <f>'06_Сеть_и_дети'!P77</f>
        <v/>
      </c>
      <c r="Q3468">
        <f>'06_Сеть_и_дети'!Q77</f>
        <v/>
      </c>
      <c r="R3468">
        <f>'06_Сеть_и_дети'!R77</f>
        <v/>
      </c>
      <c r="S3468">
        <f>'06_Сеть_и_дети'!S77</f>
        <v/>
      </c>
      <c r="T3468">
        <f>'06_Сеть_и_дети'!T77</f>
        <v/>
      </c>
      <c r="U3468">
        <f>'06_Сеть_и_дети'!U77</f>
        <v/>
      </c>
      <c r="V3468">
        <f>'06_Сеть_и_дети'!V77</f>
        <v/>
      </c>
      <c r="W3468">
        <f>'06_Сеть_и_дети'!W77</f>
        <v/>
      </c>
      <c r="X3468">
        <f>'06_Сеть_и_дети'!X77</f>
        <v/>
      </c>
      <c r="Y3468">
        <f>'06_Сеть_и_дети'!Y77</f>
        <v/>
      </c>
      <c r="Z3468">
        <f>IF('01_Вводные'!$B$234="Да",SUM('19_Расчет_аналитики'!Y3467:Y3468)*'01_Вводные'!$B$14,0)</f>
        <v/>
      </c>
      <c r="AA3468">
        <f>IF('01_Вводные'!$B$234="Да",SUM('19_Расчет_аналитики'!Z3467:Z3468)*'01_Вводные'!$B$14,0)</f>
        <v/>
      </c>
      <c r="AB3468">
        <f>IF('01_Вводные'!$B$234="Да",SUM('19_Расчет_аналитики'!AA3467:AA3468)*'01_Вводные'!$B$14,0)</f>
        <v/>
      </c>
      <c r="AC3468">
        <f>IF('01_Вводные'!$B$234="Да",SUM('19_Расчет_аналитики'!AB3467:AB3468)*'01_Вводные'!$B$14,0)</f>
        <v/>
      </c>
      <c r="AD3468">
        <f>IF('01_Вводные'!$B$234="Да",SUM('19_Расчет_аналитики'!AC3467:AC3468)*'01_Вводные'!$B$14,0)</f>
        <v/>
      </c>
      <c r="AE3468">
        <f>IF('01_Вводные'!$B$234="Да",SUM('19_Расчет_аналитики'!AD3467:AD3468)*'01_Вводные'!$B$14,0)</f>
        <v/>
      </c>
      <c r="AF3468">
        <f>IF('01_Вводные'!$B$234="Да",SUM('19_Расчет_аналитики'!AE3467:AE3468)*'01_Вводные'!$B$14,0)</f>
        <v/>
      </c>
      <c r="AG3468">
        <f>IF('01_Вводные'!$B$234="Да",SUM('19_Расчет_аналитики'!AF3467:AF3468)*'01_Вводные'!$B$14,0)</f>
        <v/>
      </c>
      <c r="AH3468">
        <f>IF('01_Вводные'!$B$234="Да",SUM('19_Расчет_аналитики'!AG3467:AG3468)*'01_Вводные'!$B$14,0)</f>
        <v/>
      </c>
      <c r="AI3468">
        <f>IF('01_Вводные'!$B$234="Да",SUM('19_Расчет_аналитики'!AH3467:AH3468)*'01_Вводные'!$B$14,0)</f>
        <v/>
      </c>
      <c r="AJ3468">
        <f>IF('01_Вводные'!$B$234="Да",SUM('19_Расчет_аналитики'!AI3467:AI3468)*'01_Вводные'!$B$14,0)</f>
        <v/>
      </c>
      <c r="AK3468">
        <f>IF('01_Вводные'!$B$234="Да",SUM('19_Расчет_аналитики'!AJ3467:AJ3468)*'01_Вводные'!$B$14,0)</f>
        <v/>
      </c>
      <c r="AL3468">
        <f>IF('01_Вводные'!$B$234="Да",SUM('19_Расчет_аналитики'!AK3467:AK3468)*'01_Вводные'!$B$14,0)</f>
        <v/>
      </c>
      <c r="AM3468">
        <f>IF('01_Вводные'!$B$234="Да",SUM('19_Расчет_аналитики'!AL3467:AL3468)*'01_Вводные'!$B$14,0)</f>
        <v/>
      </c>
      <c r="AN3468">
        <f>IF('01_Вводные'!$B$234="Да",SUM('19_Расчет_аналитики'!AM3467:AM3468)*'01_Вводные'!$B$14,0)</f>
        <v/>
      </c>
      <c r="AO3468">
        <f>IF('01_Вводные'!$B$234="Да",SUM('19_Расчет_аналитики'!AN3467:AN3468)*'01_Вводные'!$B$14,0)</f>
        <v/>
      </c>
      <c r="AP3468">
        <f>IF('01_Вводные'!$B$234="Да",SUM('19_Расчет_аналитики'!AO3467:AO3468)*'01_Вводные'!$B$14,0)</f>
        <v/>
      </c>
      <c r="AQ3468">
        <f>IF('01_Вводные'!$B$234="Да",SUM('19_Расчет_аналитики'!AP3467:AP3468)*'01_Вводные'!$B$14,0)</f>
        <v/>
      </c>
      <c r="AR3468">
        <f>IF('01_Вводные'!$B$234="Да",SUM('19_Расчет_аналитики'!AQ3467:AQ3468)*'01_Вводные'!$B$14,0)</f>
        <v/>
      </c>
      <c r="AS3468">
        <f>IF('01_Вводные'!$B$234="Да",SUM('19_Расчет_аналитики'!AR3467:AR3468)*'01_Вводные'!$B$14,0)</f>
        <v/>
      </c>
      <c r="AT3468">
        <f>IF('01_Вводные'!$B$234="Да",SUM('19_Расчет_аналитики'!AS3467:AS3468)*'01_Вводные'!$B$14,0)</f>
        <v/>
      </c>
      <c r="AU3468">
        <f>IF('01_Вводные'!$B$234="Да",SUM('19_Расчет_аналитики'!AT3467:AT3468)*'01_Вводные'!$B$14,0)</f>
        <v/>
      </c>
      <c r="AV3468">
        <f>IF('01_Вводные'!$B$234="Да",SUM('19_Расчет_аналитики'!AU3467:AU3468)*'01_Вводные'!$B$14,0)</f>
        <v/>
      </c>
      <c r="AW3468">
        <f>IF('01_Вводные'!$B$234="Да",SUM('19_Расчет_аналитики'!AV3467:AV3468)*'01_Вводные'!$B$14,0)</f>
        <v/>
      </c>
      <c r="AX3468">
        <f>IF('01_Вводные'!$B$234="Да",SUM('19_Расчет_аналитики'!AW3467:AW3468)*'01_Вводные'!$B$14,0)</f>
        <v/>
      </c>
      <c r="AY3468">
        <f>IF('01_Вводные'!$B$234="Да",SUM('19_Расчет_аналитики'!AX3467:AX3468)*'01_Вводные'!$B$14,0)</f>
        <v/>
      </c>
      <c r="AZ3468">
        <f>IF('01_Вводные'!$B$234="Да",SUM('19_Расчет_аналитики'!AY3467:AY3468)*'01_Вводные'!$B$14,0)</f>
        <v/>
      </c>
      <c r="BA3468">
        <f>IF('01_Вводные'!$B$234="Да",SUM('19_Расчет_аналитики'!AZ3467:AZ3468)*'01_Вводные'!$B$14,0)</f>
        <v/>
      </c>
      <c r="BB3468">
        <f>IF('01_Вводные'!$B$234="Да",SUM('19_Расчет_аналитики'!BA3467:BA3468)*'01_Вводные'!$B$14,0)</f>
        <v/>
      </c>
      <c r="BC3468">
        <f>IF('01_Вводные'!$B$234="Да",SUM('19_Расчет_аналитики'!BB3467:BB3468)*'01_Вводные'!$B$14,0)</f>
        <v/>
      </c>
      <c r="BD3468">
        <f>IF('01_Вводные'!$B$234="Да",SUM('19_Расчет_аналитики'!BC3467:BC3468)*'01_Вводные'!$B$14,0)</f>
        <v/>
      </c>
      <c r="BE3468">
        <f>IF('01_Вводные'!$B$234="Да",SUM('19_Расчет_аналитики'!BD3467:BD3468)*'01_Вводные'!$B$14,0)</f>
        <v/>
      </c>
      <c r="BF3468">
        <f>IF('01_Вводные'!$B$234="Да",SUM('19_Расчет_аналитики'!BE3467:BE3468)*'01_Вводные'!$B$14,0)</f>
        <v/>
      </c>
      <c r="BG3468">
        <f>IF('01_Вводные'!$B$234="Да",SUM('19_Расчет_аналитики'!BF3467:BF3468)*'01_Вводные'!$B$14,0)</f>
        <v/>
      </c>
      <c r="BH3468">
        <f>IF('01_Вводные'!$B$234="Да",SUM('19_Расчет_аналитики'!BG3467:BG3468)*'01_Вводные'!$B$14,0)</f>
        <v/>
      </c>
      <c r="BI3468">
        <f>IF('01_Вводные'!$B$234="Да",SUM('19_Расчет_аналитики'!BH3467:BH3468)*'01_Вводные'!$B$14,0)</f>
        <v/>
      </c>
      <c r="BJ3468">
        <f>IF('01_Вводные'!$B$234="Да",SUM('19_Расчет_аналитики'!BI3467:BI3468)*'01_Вводные'!$B$14,0)</f>
        <v/>
      </c>
      <c r="BK3468">
        <f>IF('01_Вводные'!$B$234="Да",SUM('19_Расчет_аналитики'!BJ3467:BJ3468)*'01_Вводные'!$B$14,0)</f>
        <v/>
      </c>
      <c r="BL3468">
        <f>IF('01_Вводные'!$B$234="Да",SUM('19_Расчет_аналитики'!BK3467:BK3468)*'01_Вводные'!$B$14,0)</f>
        <v/>
      </c>
      <c r="BM3468">
        <f>IF('01_Вводные'!$B$234="Да",SUM('19_Расчет_аналитики'!BL3467:BL3468)*'01_Вводные'!$B$14,0)</f>
        <v/>
      </c>
      <c r="BN3468">
        <f>IF('01_Вводные'!$B$234="Да",SUM('19_Расчет_аналитики'!BM3467:BM3468)*'01_Вводные'!$B$14,0)</f>
        <v/>
      </c>
      <c r="BO3468">
        <f>IF('01_Вводные'!$B$234="Да",SUM('19_Расчет_аналитики'!BN3467:BN3468)*'01_Вводные'!$B$14,0)</f>
        <v/>
      </c>
    </row>
    <row r="3469"/>
    <row r="3470"/>
    <row r="3471"/>
    <row r="3472">
      <c r="B3472">
        <f>IF('01_Вводные'!$B$234="Да",'19_Расчет_аналитики'!B3424,0)</f>
        <v/>
      </c>
      <c r="C3472">
        <f>IF('01_Вводные'!$B$234="Да",'19_Расчет_аналитики'!C3424,0)</f>
        <v/>
      </c>
      <c r="D3472">
        <f>IF('01_Вводные'!$B$234="Да",'19_Расчет_аналитики'!D3424,0)</f>
        <v/>
      </c>
      <c r="E3472">
        <f>IF('01_Вводные'!$B$234="Да",'19_Расчет_аналитики'!E3424,0)</f>
        <v/>
      </c>
      <c r="F3472">
        <f>IF('01_Вводные'!$B$234="Да",'19_Расчет_аналитики'!F3424,0)</f>
        <v/>
      </c>
      <c r="G3472">
        <f>IF('01_Вводные'!$B$234="Да",'19_Расчет_аналитики'!G3424,0)</f>
        <v/>
      </c>
      <c r="H3472">
        <f>IF('01_Вводные'!$B$234="Да",'19_Расчет_аналитики'!H3424,0)</f>
        <v/>
      </c>
      <c r="I3472">
        <f>IF('01_Вводные'!$B$234="Да",'19_Расчет_аналитики'!I3424,0)</f>
        <v/>
      </c>
      <c r="J3472">
        <f>IF('01_Вводные'!$B$234="Да",'19_Расчет_аналитики'!J3424,0)</f>
        <v/>
      </c>
      <c r="K3472">
        <f>IF('01_Вводные'!$B$234="Да",'19_Расчет_аналитики'!K3424,0)</f>
        <v/>
      </c>
      <c r="L3472">
        <f>IF('01_Вводные'!$B$234="Да",'19_Расчет_аналитики'!L3424,0)</f>
        <v/>
      </c>
      <c r="M3472">
        <f>IF('01_Вводные'!$B$234="Да",'19_Расчет_аналитики'!M3424,0)</f>
        <v/>
      </c>
      <c r="N3472">
        <f>IF('01_Вводные'!$B$234="Да",'19_Расчет_аналитики'!N3424,0)</f>
        <v/>
      </c>
      <c r="O3472">
        <f>IF('01_Вводные'!$B$234="Да",'19_Расчет_аналитики'!O3424,0)</f>
        <v/>
      </c>
      <c r="P3472">
        <f>IF('01_Вводные'!$B$234="Да",'19_Расчет_аналитики'!P3424,0)</f>
        <v/>
      </c>
      <c r="Q3472">
        <f>IF('01_Вводные'!$B$234="Да",'19_Расчет_аналитики'!Q3424,0)</f>
        <v/>
      </c>
      <c r="R3472">
        <f>IF('01_Вводные'!$B$234="Да",'19_Расчет_аналитики'!R3424,0)</f>
        <v/>
      </c>
      <c r="S3472">
        <f>IF('01_Вводные'!$B$234="Да",'19_Расчет_аналитики'!S3424,0)</f>
        <v/>
      </c>
      <c r="T3472">
        <f>IF('01_Вводные'!$B$234="Да",'19_Расчет_аналитики'!T3424,0)</f>
        <v/>
      </c>
      <c r="U3472">
        <f>IF('01_Вводные'!$B$234="Да",'19_Расчет_аналитики'!U3424,0)</f>
        <v/>
      </c>
      <c r="V3472">
        <f>IF('01_Вводные'!$B$234="Да",'19_Расчет_аналитики'!V3424,0)</f>
        <v/>
      </c>
      <c r="W3472">
        <f>IF('01_Вводные'!$B$234="Да",'19_Расчет_аналитики'!W3424,0)</f>
        <v/>
      </c>
      <c r="X3472">
        <f>IF('01_Вводные'!$B$234="Да",'19_Расчет_аналитики'!X3424,0)</f>
        <v/>
      </c>
      <c r="Y3472">
        <f>IF('01_Вводные'!$B$234="Да",'19_Расчет_аналитики'!Y3424,0)</f>
        <v/>
      </c>
      <c r="Z3472">
        <f>IF('01_Вводные'!$B$234="Да",'19_Расчет_аналитики'!Z3424,0)</f>
        <v/>
      </c>
      <c r="AA3472">
        <f>IF('01_Вводные'!$B$234="Да",'19_Расчет_аналитики'!AA3424,0)</f>
        <v/>
      </c>
      <c r="AB3472">
        <f>IF('01_Вводные'!$B$234="Да",'19_Расчет_аналитики'!AB3424,0)</f>
        <v/>
      </c>
      <c r="AC3472">
        <f>IF('01_Вводные'!$B$234="Да",'19_Расчет_аналитики'!AC3424,0)</f>
        <v/>
      </c>
      <c r="AD3472">
        <f>IF('01_Вводные'!$B$234="Да",'19_Расчет_аналитики'!AD3424,0)</f>
        <v/>
      </c>
      <c r="AE3472">
        <f>IF('01_Вводные'!$B$234="Да",'19_Расчет_аналитики'!AE3424,0)</f>
        <v/>
      </c>
      <c r="AF3472">
        <f>IF('01_Вводные'!$B$234="Да",'19_Расчет_аналитики'!AF3424,0)</f>
        <v/>
      </c>
      <c r="AG3472">
        <f>IF('01_Вводные'!$B$234="Да",'19_Расчет_аналитики'!AG3424,0)</f>
        <v/>
      </c>
      <c r="AH3472">
        <f>IF('01_Вводные'!$B$234="Да",'19_Расчет_аналитики'!AH3424,0)</f>
        <v/>
      </c>
      <c r="AI3472">
        <f>IF('01_Вводные'!$B$234="Да",'19_Расчет_аналитики'!AI3424,0)</f>
        <v/>
      </c>
      <c r="AJ3472">
        <f>IF('01_Вводные'!$B$234="Да",'19_Расчет_аналитики'!AJ3424,0)</f>
        <v/>
      </c>
      <c r="AK3472">
        <f>IF('01_Вводные'!$B$234="Да",'19_Расчет_аналитики'!AK3424,0)</f>
        <v/>
      </c>
      <c r="AL3472">
        <f>IF('01_Вводные'!$B$234="Да",'19_Расчет_аналитики'!AL3424,0)</f>
        <v/>
      </c>
      <c r="AM3472">
        <f>IF('01_Вводные'!$B$234="Да",'19_Расчет_аналитики'!AM3424,0)</f>
        <v/>
      </c>
      <c r="AN3472">
        <f>IF('01_Вводные'!$B$234="Да",'19_Расчет_аналитики'!AN3424,0)</f>
        <v/>
      </c>
      <c r="AO3472">
        <f>IF('01_Вводные'!$B$234="Да",'19_Расчет_аналитики'!AO3424,0)</f>
        <v/>
      </c>
      <c r="AP3472">
        <f>IF('01_Вводные'!$B$234="Да",'19_Расчет_аналитики'!AP3424,0)</f>
        <v/>
      </c>
      <c r="AQ3472">
        <f>IF('01_Вводные'!$B$234="Да",'19_Расчет_аналитики'!AQ3424,0)</f>
        <v/>
      </c>
      <c r="AR3472">
        <f>IF('01_Вводные'!$B$234="Да",'19_Расчет_аналитики'!AR3424,0)</f>
        <v/>
      </c>
      <c r="AS3472">
        <f>IF('01_Вводные'!$B$234="Да",'19_Расчет_аналитики'!AS3424,0)</f>
        <v/>
      </c>
      <c r="AT3472">
        <f>IF('01_Вводные'!$B$234="Да",'19_Расчет_аналитики'!AT3424,0)</f>
        <v/>
      </c>
      <c r="AU3472">
        <f>IF('01_Вводные'!$B$234="Да",'19_Расчет_аналитики'!AU3424,0)</f>
        <v/>
      </c>
      <c r="AV3472">
        <f>IF('01_Вводные'!$B$234="Да",'19_Расчет_аналитики'!AV3424,0)</f>
        <v/>
      </c>
      <c r="AW3472">
        <f>IF('01_Вводные'!$B$234="Да",'19_Расчет_аналитики'!AW3424,0)</f>
        <v/>
      </c>
      <c r="AX3472">
        <f>IF('01_Вводные'!$B$234="Да",'19_Расчет_аналитики'!AX3424,0)</f>
        <v/>
      </c>
      <c r="AY3472">
        <f>IF('01_Вводные'!$B$234="Да",'19_Расчет_аналитики'!AY3424,0)</f>
        <v/>
      </c>
      <c r="AZ3472">
        <f>IF('01_Вводные'!$B$234="Да",'19_Расчет_аналитики'!AZ3424,0)</f>
        <v/>
      </c>
      <c r="BA3472">
        <f>IF('01_Вводные'!$B$234="Да",'19_Расчет_аналитики'!BA3424,0)</f>
        <v/>
      </c>
      <c r="BB3472">
        <f>IF('01_Вводные'!$B$234="Да",'19_Расчет_аналитики'!BB3424,0)</f>
        <v/>
      </c>
      <c r="BC3472">
        <f>IF('01_Вводные'!$B$234="Да",'19_Расчет_аналитики'!BC3424,0)</f>
        <v/>
      </c>
      <c r="BD3472">
        <f>IF('01_Вводные'!$B$234="Да",'19_Расчет_аналитики'!BD3424,0)</f>
        <v/>
      </c>
      <c r="BE3472">
        <f>IF('01_Вводные'!$B$234="Да",'19_Расчет_аналитики'!BE3424,0)</f>
        <v/>
      </c>
      <c r="BF3472">
        <f>IF('01_Вводные'!$B$234="Да",'19_Расчет_аналитики'!BF3424,0)</f>
        <v/>
      </c>
      <c r="BG3472">
        <f>IF('01_Вводные'!$B$234="Да",'19_Расчет_аналитики'!BG3424,0)</f>
        <v/>
      </c>
      <c r="BH3472">
        <f>IF('01_Вводные'!$B$234="Да",'19_Расчет_аналитики'!BH3424,0)</f>
        <v/>
      </c>
      <c r="BI3472">
        <f>IF('01_Вводные'!$B$234="Да",'19_Расчет_аналитики'!BI3424,0)</f>
        <v/>
      </c>
      <c r="BJ3472">
        <f>IF('01_Вводные'!$B$234="Да",'19_Расчет_аналитики'!BJ3424,0)</f>
        <v/>
      </c>
      <c r="BK3472">
        <f>IF('01_Вводные'!$B$234="Да",'19_Расчет_аналитики'!BK3424,0)</f>
        <v/>
      </c>
      <c r="BL3472">
        <f>IF('01_Вводные'!$B$234="Да",'19_Расчет_аналитики'!BL3424,0)</f>
        <v/>
      </c>
      <c r="BM3472">
        <f>IF('01_Вводные'!$B$234="Да",'19_Расчет_аналитики'!BM3424,0)</f>
        <v/>
      </c>
      <c r="BN3472">
        <f>IF('01_Вводные'!$B$234="Да",'19_Расчет_аналитики'!BN3424,0)</f>
        <v/>
      </c>
      <c r="BO3472">
        <f>IF('01_Вводные'!$B$234="Да",'19_Расчет_аналитики'!BO3424,0)</f>
        <v/>
      </c>
    </row>
    <row r="3473">
      <c r="B3473">
        <f>'06_Сеть_и_дети'!B82</f>
        <v/>
      </c>
      <c r="C3473">
        <f>IF('01_Вводные'!$B$234="Да",'19_Расчет_аналитики'!B3472*'01_Вводные'!$B$14,0)</f>
        <v/>
      </c>
      <c r="D3473">
        <f>IF('01_Вводные'!$B$234="Да",'19_Расчет_аналитики'!C3472*'01_Вводные'!$B$14,0)</f>
        <v/>
      </c>
      <c r="E3473">
        <f>IF('01_Вводные'!$B$234="Да",'19_Расчет_аналитики'!D3472*'01_Вводные'!$B$14,0)</f>
        <v/>
      </c>
      <c r="F3473">
        <f>IF('01_Вводные'!$B$234="Да",'19_Расчет_аналитики'!E3472*'01_Вводные'!$B$14,0)</f>
        <v/>
      </c>
      <c r="G3473">
        <f>IF('01_Вводные'!$B$234="Да",'19_Расчет_аналитики'!F3472*'01_Вводные'!$B$14,0)</f>
        <v/>
      </c>
      <c r="H3473">
        <f>IF('01_Вводные'!$B$234="Да",'19_Расчет_аналитики'!G3472*'01_Вводные'!$B$14,0)</f>
        <v/>
      </c>
      <c r="I3473">
        <f>IF('01_Вводные'!$B$234="Да",'19_Расчет_аналитики'!H3472*'01_Вводные'!$B$14,0)</f>
        <v/>
      </c>
      <c r="J3473">
        <f>IF('01_Вводные'!$B$234="Да",'19_Расчет_аналитики'!I3472*'01_Вводные'!$B$14,0)</f>
        <v/>
      </c>
      <c r="K3473">
        <f>IF('01_Вводные'!$B$234="Да",'19_Расчет_аналитики'!J3472*'01_Вводные'!$B$14,0)</f>
        <v/>
      </c>
      <c r="L3473">
        <f>IF('01_Вводные'!$B$234="Да",'19_Расчет_аналитики'!K3472*'01_Вводные'!$B$14,0)</f>
        <v/>
      </c>
      <c r="M3473">
        <f>IF('01_Вводные'!$B$234="Да",'19_Расчет_аналитики'!L3472*'01_Вводные'!$B$14,0)</f>
        <v/>
      </c>
      <c r="N3473">
        <f>IF('01_Вводные'!$B$234="Да",'19_Расчет_аналитики'!M3472*'01_Вводные'!$B$14,0)</f>
        <v/>
      </c>
      <c r="O3473">
        <f>IF('01_Вводные'!$B$234="Да",'19_Расчет_аналитики'!N3472*'01_Вводные'!$B$14,0)</f>
        <v/>
      </c>
      <c r="P3473">
        <f>IF('01_Вводные'!$B$234="Да",'19_Расчет_аналитики'!O3472*'01_Вводные'!$B$14,0)</f>
        <v/>
      </c>
      <c r="Q3473">
        <f>IF('01_Вводные'!$B$234="Да",'19_Расчет_аналитики'!P3472*'01_Вводные'!$B$14,0)</f>
        <v/>
      </c>
      <c r="R3473">
        <f>IF('01_Вводные'!$B$234="Да",'19_Расчет_аналитики'!Q3472*'01_Вводные'!$B$14,0)</f>
        <v/>
      </c>
      <c r="S3473">
        <f>IF('01_Вводные'!$B$234="Да",'19_Расчет_аналитики'!R3472*'01_Вводные'!$B$14,0)</f>
        <v/>
      </c>
      <c r="T3473">
        <f>IF('01_Вводные'!$B$234="Да",'19_Расчет_аналитики'!S3472*'01_Вводные'!$B$14,0)</f>
        <v/>
      </c>
      <c r="U3473">
        <f>IF('01_Вводные'!$B$234="Да",'19_Расчет_аналитики'!T3472*'01_Вводные'!$B$14,0)</f>
        <v/>
      </c>
      <c r="V3473">
        <f>IF('01_Вводные'!$B$234="Да",'19_Расчет_аналитики'!U3472*'01_Вводные'!$B$14,0)</f>
        <v/>
      </c>
      <c r="W3473">
        <f>IF('01_Вводные'!$B$234="Да",'19_Расчет_аналитики'!V3472*'01_Вводные'!$B$14,0)</f>
        <v/>
      </c>
      <c r="X3473">
        <f>IF('01_Вводные'!$B$234="Да",'19_Расчет_аналитики'!W3472*'01_Вводные'!$B$14,0)</f>
        <v/>
      </c>
      <c r="Y3473">
        <f>IF('01_Вводные'!$B$234="Да",'19_Расчет_аналитики'!X3472*'01_Вводные'!$B$14,0)</f>
        <v/>
      </c>
      <c r="Z3473">
        <f>IF('01_Вводные'!$B$234="Да",'19_Расчет_аналитики'!Y3472*'01_Вводные'!$B$14,0)</f>
        <v/>
      </c>
      <c r="AA3473">
        <f>IF('01_Вводные'!$B$234="Да",'19_Расчет_аналитики'!Z3472*'01_Вводные'!$B$14,0)</f>
        <v/>
      </c>
      <c r="AB3473">
        <f>IF('01_Вводные'!$B$234="Да",'19_Расчет_аналитики'!AA3472*'01_Вводные'!$B$14,0)</f>
        <v/>
      </c>
      <c r="AC3473">
        <f>IF('01_Вводные'!$B$234="Да",'19_Расчет_аналитики'!AB3472*'01_Вводные'!$B$14,0)</f>
        <v/>
      </c>
      <c r="AD3473">
        <f>IF('01_Вводные'!$B$234="Да",'19_Расчет_аналитики'!AC3472*'01_Вводные'!$B$14,0)</f>
        <v/>
      </c>
      <c r="AE3473">
        <f>IF('01_Вводные'!$B$234="Да",'19_Расчет_аналитики'!AD3472*'01_Вводные'!$B$14,0)</f>
        <v/>
      </c>
      <c r="AF3473">
        <f>IF('01_Вводные'!$B$234="Да",'19_Расчет_аналитики'!AE3472*'01_Вводные'!$B$14,0)</f>
        <v/>
      </c>
      <c r="AG3473">
        <f>IF('01_Вводные'!$B$234="Да",'19_Расчет_аналитики'!AF3472*'01_Вводные'!$B$14,0)</f>
        <v/>
      </c>
      <c r="AH3473">
        <f>IF('01_Вводные'!$B$234="Да",'19_Расчет_аналитики'!AG3472*'01_Вводные'!$B$14,0)</f>
        <v/>
      </c>
      <c r="AI3473">
        <f>IF('01_Вводные'!$B$234="Да",'19_Расчет_аналитики'!AH3472*'01_Вводные'!$B$14,0)</f>
        <v/>
      </c>
      <c r="AJ3473">
        <f>IF('01_Вводные'!$B$234="Да",'19_Расчет_аналитики'!AI3472*'01_Вводные'!$B$14,0)</f>
        <v/>
      </c>
      <c r="AK3473">
        <f>IF('01_Вводные'!$B$234="Да",'19_Расчет_аналитики'!AJ3472*'01_Вводные'!$B$14,0)</f>
        <v/>
      </c>
      <c r="AL3473">
        <f>IF('01_Вводные'!$B$234="Да",'19_Расчет_аналитики'!AK3472*'01_Вводные'!$B$14,0)</f>
        <v/>
      </c>
      <c r="AM3473">
        <f>IF('01_Вводные'!$B$234="Да",'19_Расчет_аналитики'!AL3472*'01_Вводные'!$B$14,0)</f>
        <v/>
      </c>
      <c r="AN3473">
        <f>IF('01_Вводные'!$B$234="Да",'19_Расчет_аналитики'!AM3472*'01_Вводные'!$B$14,0)</f>
        <v/>
      </c>
      <c r="AO3473">
        <f>IF('01_Вводные'!$B$234="Да",'19_Расчет_аналитики'!AN3472*'01_Вводные'!$B$14,0)</f>
        <v/>
      </c>
      <c r="AP3473">
        <f>IF('01_Вводные'!$B$234="Да",'19_Расчет_аналитики'!AO3472*'01_Вводные'!$B$14,0)</f>
        <v/>
      </c>
      <c r="AQ3473">
        <f>IF('01_Вводные'!$B$234="Да",'19_Расчет_аналитики'!AP3472*'01_Вводные'!$B$14,0)</f>
        <v/>
      </c>
      <c r="AR3473">
        <f>IF('01_Вводные'!$B$234="Да",'19_Расчет_аналитики'!AQ3472*'01_Вводные'!$B$14,0)</f>
        <v/>
      </c>
      <c r="AS3473">
        <f>IF('01_Вводные'!$B$234="Да",'19_Расчет_аналитики'!AR3472*'01_Вводные'!$B$14,0)</f>
        <v/>
      </c>
      <c r="AT3473">
        <f>IF('01_Вводные'!$B$234="Да",'19_Расчет_аналитики'!AS3472*'01_Вводные'!$B$14,0)</f>
        <v/>
      </c>
      <c r="AU3473">
        <f>IF('01_Вводные'!$B$234="Да",'19_Расчет_аналитики'!AT3472*'01_Вводные'!$B$14,0)</f>
        <v/>
      </c>
      <c r="AV3473">
        <f>IF('01_Вводные'!$B$234="Да",'19_Расчет_аналитики'!AU3472*'01_Вводные'!$B$14,0)</f>
        <v/>
      </c>
      <c r="AW3473">
        <f>IF('01_Вводные'!$B$234="Да",'19_Расчет_аналитики'!AV3472*'01_Вводные'!$B$14,0)</f>
        <v/>
      </c>
      <c r="AX3473">
        <f>IF('01_Вводные'!$B$234="Да",'19_Расчет_аналитики'!AW3472*'01_Вводные'!$B$14,0)</f>
        <v/>
      </c>
      <c r="AY3473">
        <f>IF('01_Вводные'!$B$234="Да",'19_Расчет_аналитики'!AX3472*'01_Вводные'!$B$14,0)</f>
        <v/>
      </c>
      <c r="AZ3473">
        <f>IF('01_Вводные'!$B$234="Да",'19_Расчет_аналитики'!AY3472*'01_Вводные'!$B$14,0)</f>
        <v/>
      </c>
      <c r="BA3473">
        <f>IF('01_Вводные'!$B$234="Да",'19_Расчет_аналитики'!AZ3472*'01_Вводные'!$B$14,0)</f>
        <v/>
      </c>
      <c r="BB3473">
        <f>IF('01_Вводные'!$B$234="Да",'19_Расчет_аналитики'!BA3472*'01_Вводные'!$B$14,0)</f>
        <v/>
      </c>
      <c r="BC3473">
        <f>IF('01_Вводные'!$B$234="Да",'19_Расчет_аналитики'!BB3472*'01_Вводные'!$B$14,0)</f>
        <v/>
      </c>
      <c r="BD3473">
        <f>IF('01_Вводные'!$B$234="Да",'19_Расчет_аналитики'!BC3472*'01_Вводные'!$B$14,0)</f>
        <v/>
      </c>
      <c r="BE3473">
        <f>IF('01_Вводные'!$B$234="Да",'19_Расчет_аналитики'!BD3472*'01_Вводные'!$B$14,0)</f>
        <v/>
      </c>
      <c r="BF3473">
        <f>IF('01_Вводные'!$B$234="Да",'19_Расчет_аналитики'!BE3472*'01_Вводные'!$B$14,0)</f>
        <v/>
      </c>
      <c r="BG3473">
        <f>IF('01_Вводные'!$B$234="Да",'19_Расчет_аналитики'!BF3472*'01_Вводные'!$B$14,0)</f>
        <v/>
      </c>
      <c r="BH3473">
        <f>IF('01_Вводные'!$B$234="Да",'19_Расчет_аналитики'!BG3472*'01_Вводные'!$B$14,0)</f>
        <v/>
      </c>
      <c r="BI3473">
        <f>IF('01_Вводные'!$B$234="Да",'19_Расчет_аналитики'!BH3472*'01_Вводные'!$B$14,0)</f>
        <v/>
      </c>
      <c r="BJ3473">
        <f>IF('01_Вводные'!$B$234="Да",'19_Расчет_аналитики'!BI3472*'01_Вводные'!$B$14,0)</f>
        <v/>
      </c>
      <c r="BK3473">
        <f>IF('01_Вводные'!$B$234="Да",'19_Расчет_аналитики'!BJ3472*'01_Вводные'!$B$14,0)</f>
        <v/>
      </c>
      <c r="BL3473">
        <f>IF('01_Вводные'!$B$234="Да",'19_Расчет_аналитики'!BK3472*'01_Вводные'!$B$14,0)</f>
        <v/>
      </c>
      <c r="BM3473">
        <f>IF('01_Вводные'!$B$234="Да",'19_Расчет_аналитики'!BL3472*'01_Вводные'!$B$14,0)</f>
        <v/>
      </c>
      <c r="BN3473">
        <f>IF('01_Вводные'!$B$234="Да",'19_Расчет_аналитики'!BM3472*'01_Вводные'!$B$14,0)</f>
        <v/>
      </c>
      <c r="BO3473">
        <f>IF('01_Вводные'!$B$234="Да",'19_Расчет_аналитики'!BN3472*'01_Вводные'!$B$14,0)</f>
        <v/>
      </c>
    </row>
    <row r="3474">
      <c r="B3474">
        <f>'06_Сеть_и_дети'!B83</f>
        <v/>
      </c>
      <c r="C3474">
        <f>'06_Сеть_и_дети'!C83</f>
        <v/>
      </c>
      <c r="D3474">
        <f>IF('01_Вводные'!$B$234="Да",'19_Расчет_аналитики'!C3473*'01_Вводные'!$B$14,0)</f>
        <v/>
      </c>
      <c r="E3474">
        <f>IF('01_Вводные'!$B$234="Да",'19_Расчет_аналитики'!D3473*'01_Вводные'!$B$14,0)</f>
        <v/>
      </c>
      <c r="F3474">
        <f>IF('01_Вводные'!$B$234="Да",'19_Расчет_аналитики'!E3473*'01_Вводные'!$B$14,0)</f>
        <v/>
      </c>
      <c r="G3474">
        <f>IF('01_Вводные'!$B$234="Да",'19_Расчет_аналитики'!F3473*'01_Вводные'!$B$14,0)</f>
        <v/>
      </c>
      <c r="H3474">
        <f>IF('01_Вводные'!$B$234="Да",'19_Расчет_аналитики'!G3473*'01_Вводные'!$B$14,0)</f>
        <v/>
      </c>
      <c r="I3474">
        <f>IF('01_Вводные'!$B$234="Да",'19_Расчет_аналитики'!H3473*'01_Вводные'!$B$14,0)</f>
        <v/>
      </c>
      <c r="J3474">
        <f>IF('01_Вводные'!$B$234="Да",'19_Расчет_аналитики'!I3473*'01_Вводные'!$B$14,0)</f>
        <v/>
      </c>
      <c r="K3474">
        <f>IF('01_Вводные'!$B$234="Да",'19_Расчет_аналитики'!J3473*'01_Вводные'!$B$14,0)</f>
        <v/>
      </c>
      <c r="L3474">
        <f>IF('01_Вводные'!$B$234="Да",'19_Расчет_аналитики'!K3473*'01_Вводные'!$B$14,0)</f>
        <v/>
      </c>
      <c r="M3474">
        <f>IF('01_Вводные'!$B$234="Да",'19_Расчет_аналитики'!L3473*'01_Вводные'!$B$14,0)</f>
        <v/>
      </c>
      <c r="N3474">
        <f>IF('01_Вводные'!$B$234="Да",'19_Расчет_аналитики'!M3473*'01_Вводные'!$B$14,0)</f>
        <v/>
      </c>
      <c r="O3474">
        <f>IF('01_Вводные'!$B$234="Да",'19_Расчет_аналитики'!N3473*'01_Вводные'!$B$14,0)</f>
        <v/>
      </c>
      <c r="P3474">
        <f>IF('01_Вводные'!$B$234="Да",'19_Расчет_аналитики'!O3473*'01_Вводные'!$B$14,0)</f>
        <v/>
      </c>
      <c r="Q3474">
        <f>IF('01_Вводные'!$B$234="Да",'19_Расчет_аналитики'!P3473*'01_Вводные'!$B$14,0)</f>
        <v/>
      </c>
      <c r="R3474">
        <f>IF('01_Вводные'!$B$234="Да",'19_Расчет_аналитики'!Q3473*'01_Вводные'!$B$14,0)</f>
        <v/>
      </c>
      <c r="S3474">
        <f>IF('01_Вводные'!$B$234="Да",'19_Расчет_аналитики'!R3473*'01_Вводные'!$B$14,0)</f>
        <v/>
      </c>
      <c r="T3474">
        <f>IF('01_Вводные'!$B$234="Да",'19_Расчет_аналитики'!S3473*'01_Вводные'!$B$14,0)</f>
        <v/>
      </c>
      <c r="U3474">
        <f>IF('01_Вводные'!$B$234="Да",'19_Расчет_аналитики'!T3473*'01_Вводные'!$B$14,0)</f>
        <v/>
      </c>
      <c r="V3474">
        <f>IF('01_Вводные'!$B$234="Да",'19_Расчет_аналитики'!U3473*'01_Вводные'!$B$14,0)</f>
        <v/>
      </c>
      <c r="W3474">
        <f>IF('01_Вводные'!$B$234="Да",'19_Расчет_аналитики'!V3473*'01_Вводные'!$B$14,0)</f>
        <v/>
      </c>
      <c r="X3474">
        <f>IF('01_Вводные'!$B$234="Да",'19_Расчет_аналитики'!W3473*'01_Вводные'!$B$14,0)</f>
        <v/>
      </c>
      <c r="Y3474">
        <f>IF('01_Вводные'!$B$234="Да",'19_Расчет_аналитики'!X3473*'01_Вводные'!$B$14,0)</f>
        <v/>
      </c>
      <c r="Z3474">
        <f>IF('01_Вводные'!$B$234="Да",'19_Расчет_аналитики'!Y3473*'01_Вводные'!$B$14,0)</f>
        <v/>
      </c>
      <c r="AA3474">
        <f>IF('01_Вводные'!$B$234="Да",'19_Расчет_аналитики'!Z3473*'01_Вводные'!$B$14,0)</f>
        <v/>
      </c>
      <c r="AB3474">
        <f>IF('01_Вводные'!$B$234="Да",'19_Расчет_аналитики'!AA3473*'01_Вводные'!$B$14,0)</f>
        <v/>
      </c>
      <c r="AC3474">
        <f>IF('01_Вводные'!$B$234="Да",'19_Расчет_аналитики'!AB3473*'01_Вводные'!$B$14,0)</f>
        <v/>
      </c>
      <c r="AD3474">
        <f>IF('01_Вводные'!$B$234="Да",'19_Расчет_аналитики'!AC3473*'01_Вводные'!$B$14,0)</f>
        <v/>
      </c>
      <c r="AE3474">
        <f>IF('01_Вводные'!$B$234="Да",'19_Расчет_аналитики'!AD3473*'01_Вводные'!$B$14,0)</f>
        <v/>
      </c>
      <c r="AF3474">
        <f>IF('01_Вводные'!$B$234="Да",'19_Расчет_аналитики'!AE3473*'01_Вводные'!$B$14,0)</f>
        <v/>
      </c>
      <c r="AG3474">
        <f>IF('01_Вводные'!$B$234="Да",'19_Расчет_аналитики'!AF3473*'01_Вводные'!$B$14,0)</f>
        <v/>
      </c>
      <c r="AH3474">
        <f>IF('01_Вводные'!$B$234="Да",'19_Расчет_аналитики'!AG3473*'01_Вводные'!$B$14,0)</f>
        <v/>
      </c>
      <c r="AI3474">
        <f>IF('01_Вводные'!$B$234="Да",'19_Расчет_аналитики'!AH3473*'01_Вводные'!$B$14,0)</f>
        <v/>
      </c>
      <c r="AJ3474">
        <f>IF('01_Вводные'!$B$234="Да",'19_Расчет_аналитики'!AI3473*'01_Вводные'!$B$14,0)</f>
        <v/>
      </c>
      <c r="AK3474">
        <f>IF('01_Вводные'!$B$234="Да",'19_Расчет_аналитики'!AJ3473*'01_Вводные'!$B$14,0)</f>
        <v/>
      </c>
      <c r="AL3474">
        <f>IF('01_Вводные'!$B$234="Да",'19_Расчет_аналитики'!AK3473*'01_Вводные'!$B$14,0)</f>
        <v/>
      </c>
      <c r="AM3474">
        <f>IF('01_Вводные'!$B$234="Да",'19_Расчет_аналитики'!AL3473*'01_Вводные'!$B$14,0)</f>
        <v/>
      </c>
      <c r="AN3474">
        <f>IF('01_Вводные'!$B$234="Да",'19_Расчет_аналитики'!AM3473*'01_Вводные'!$B$14,0)</f>
        <v/>
      </c>
      <c r="AO3474">
        <f>IF('01_Вводные'!$B$234="Да",'19_Расчет_аналитики'!AN3473*'01_Вводные'!$B$14,0)</f>
        <v/>
      </c>
      <c r="AP3474">
        <f>IF('01_Вводные'!$B$234="Да",'19_Расчет_аналитики'!AO3473*'01_Вводные'!$B$14,0)</f>
        <v/>
      </c>
      <c r="AQ3474">
        <f>IF('01_Вводные'!$B$234="Да",'19_Расчет_аналитики'!AP3473*'01_Вводные'!$B$14,0)</f>
        <v/>
      </c>
      <c r="AR3474">
        <f>IF('01_Вводные'!$B$234="Да",'19_Расчет_аналитики'!AQ3473*'01_Вводные'!$B$14,0)</f>
        <v/>
      </c>
      <c r="AS3474">
        <f>IF('01_Вводные'!$B$234="Да",'19_Расчет_аналитики'!AR3473*'01_Вводные'!$B$14,0)</f>
        <v/>
      </c>
      <c r="AT3474">
        <f>IF('01_Вводные'!$B$234="Да",'19_Расчет_аналитики'!AS3473*'01_Вводные'!$B$14,0)</f>
        <v/>
      </c>
      <c r="AU3474">
        <f>IF('01_Вводные'!$B$234="Да",'19_Расчет_аналитики'!AT3473*'01_Вводные'!$B$14,0)</f>
        <v/>
      </c>
      <c r="AV3474">
        <f>IF('01_Вводные'!$B$234="Да",'19_Расчет_аналитики'!AU3473*'01_Вводные'!$B$14,0)</f>
        <v/>
      </c>
      <c r="AW3474">
        <f>IF('01_Вводные'!$B$234="Да",'19_Расчет_аналитики'!AV3473*'01_Вводные'!$B$14,0)</f>
        <v/>
      </c>
      <c r="AX3474">
        <f>IF('01_Вводные'!$B$234="Да",'19_Расчет_аналитики'!AW3473*'01_Вводные'!$B$14,0)</f>
        <v/>
      </c>
      <c r="AY3474">
        <f>IF('01_Вводные'!$B$234="Да",'19_Расчет_аналитики'!AX3473*'01_Вводные'!$B$14,0)</f>
        <v/>
      </c>
      <c r="AZ3474">
        <f>IF('01_Вводные'!$B$234="Да",'19_Расчет_аналитики'!AY3473*'01_Вводные'!$B$14,0)</f>
        <v/>
      </c>
      <c r="BA3474">
        <f>IF('01_Вводные'!$B$234="Да",'19_Расчет_аналитики'!AZ3473*'01_Вводные'!$B$14,0)</f>
        <v/>
      </c>
      <c r="BB3474">
        <f>IF('01_Вводные'!$B$234="Да",'19_Расчет_аналитики'!BA3473*'01_Вводные'!$B$14,0)</f>
        <v/>
      </c>
      <c r="BC3474">
        <f>IF('01_Вводные'!$B$234="Да",'19_Расчет_аналитики'!BB3473*'01_Вводные'!$B$14,0)</f>
        <v/>
      </c>
      <c r="BD3474">
        <f>IF('01_Вводные'!$B$234="Да",'19_Расчет_аналитики'!BC3473*'01_Вводные'!$B$14,0)</f>
        <v/>
      </c>
      <c r="BE3474">
        <f>IF('01_Вводные'!$B$234="Да",'19_Расчет_аналитики'!BD3473*'01_Вводные'!$B$14,0)</f>
        <v/>
      </c>
      <c r="BF3474">
        <f>IF('01_Вводные'!$B$234="Да",'19_Расчет_аналитики'!BE3473*'01_Вводные'!$B$14,0)</f>
        <v/>
      </c>
      <c r="BG3474">
        <f>IF('01_Вводные'!$B$234="Да",'19_Расчет_аналитики'!BF3473*'01_Вводные'!$B$14,0)</f>
        <v/>
      </c>
      <c r="BH3474">
        <f>IF('01_Вводные'!$B$234="Да",'19_Расчет_аналитики'!BG3473*'01_Вводные'!$B$14,0)</f>
        <v/>
      </c>
      <c r="BI3474">
        <f>IF('01_Вводные'!$B$234="Да",'19_Расчет_аналитики'!BH3473*'01_Вводные'!$B$14,0)</f>
        <v/>
      </c>
      <c r="BJ3474">
        <f>IF('01_Вводные'!$B$234="Да",'19_Расчет_аналитики'!BI3473*'01_Вводные'!$B$14,0)</f>
        <v/>
      </c>
      <c r="BK3474">
        <f>IF('01_Вводные'!$B$234="Да",'19_Расчет_аналитики'!BJ3473*'01_Вводные'!$B$14,0)</f>
        <v/>
      </c>
      <c r="BL3474">
        <f>IF('01_Вводные'!$B$234="Да",'19_Расчет_аналитики'!BK3473*'01_Вводные'!$B$14,0)</f>
        <v/>
      </c>
      <c r="BM3474">
        <f>IF('01_Вводные'!$B$234="Да",'19_Расчет_аналитики'!BL3473*'01_Вводные'!$B$14,0)</f>
        <v/>
      </c>
      <c r="BN3474">
        <f>IF('01_Вводные'!$B$234="Да",'19_Расчет_аналитики'!BM3473*'01_Вводные'!$B$14,0)</f>
        <v/>
      </c>
      <c r="BO3474">
        <f>IF('01_Вводные'!$B$234="Да",'19_Расчет_аналитики'!BN3473*'01_Вводные'!$B$14,0)</f>
        <v/>
      </c>
    </row>
    <row r="3475">
      <c r="B3475">
        <f>'06_Сеть_и_дети'!B84</f>
        <v/>
      </c>
      <c r="C3475">
        <f>'06_Сеть_и_дети'!C84</f>
        <v/>
      </c>
      <c r="D3475">
        <f>'06_Сеть_и_дети'!D84</f>
        <v/>
      </c>
      <c r="E3475">
        <f>IF('01_Вводные'!$B$234="Да",'19_Расчет_аналитики'!D3474*'01_Вводные'!$B$14,0)</f>
        <v/>
      </c>
      <c r="F3475">
        <f>IF('01_Вводные'!$B$234="Да",'19_Расчет_аналитики'!E3474*'01_Вводные'!$B$14,0)</f>
        <v/>
      </c>
      <c r="G3475">
        <f>IF('01_Вводные'!$B$234="Да",'19_Расчет_аналитики'!F3474*'01_Вводные'!$B$14,0)</f>
        <v/>
      </c>
      <c r="H3475">
        <f>IF('01_Вводные'!$B$234="Да",'19_Расчет_аналитики'!G3474*'01_Вводные'!$B$14,0)</f>
        <v/>
      </c>
      <c r="I3475">
        <f>IF('01_Вводные'!$B$234="Да",'19_Расчет_аналитики'!H3474*'01_Вводные'!$B$14,0)</f>
        <v/>
      </c>
      <c r="J3475">
        <f>IF('01_Вводные'!$B$234="Да",'19_Расчет_аналитики'!I3474*'01_Вводные'!$B$14,0)</f>
        <v/>
      </c>
      <c r="K3475">
        <f>IF('01_Вводные'!$B$234="Да",'19_Расчет_аналитики'!J3474*'01_Вводные'!$B$14,0)</f>
        <v/>
      </c>
      <c r="L3475">
        <f>IF('01_Вводные'!$B$234="Да",'19_Расчет_аналитики'!K3474*'01_Вводные'!$B$14,0)</f>
        <v/>
      </c>
      <c r="M3475">
        <f>IF('01_Вводные'!$B$234="Да",'19_Расчет_аналитики'!L3474*'01_Вводные'!$B$14,0)</f>
        <v/>
      </c>
      <c r="N3475">
        <f>IF('01_Вводные'!$B$234="Да",'19_Расчет_аналитики'!M3474*'01_Вводные'!$B$14,0)</f>
        <v/>
      </c>
      <c r="O3475">
        <f>IF('01_Вводные'!$B$234="Да",'19_Расчет_аналитики'!N3474*'01_Вводные'!$B$14,0)</f>
        <v/>
      </c>
      <c r="P3475">
        <f>IF('01_Вводные'!$B$234="Да",'19_Расчет_аналитики'!O3474*'01_Вводные'!$B$14,0)</f>
        <v/>
      </c>
      <c r="Q3475">
        <f>IF('01_Вводные'!$B$234="Да",'19_Расчет_аналитики'!P3474*'01_Вводные'!$B$14,0)</f>
        <v/>
      </c>
      <c r="R3475">
        <f>IF('01_Вводные'!$B$234="Да",'19_Расчет_аналитики'!Q3474*'01_Вводные'!$B$14,0)</f>
        <v/>
      </c>
      <c r="S3475">
        <f>IF('01_Вводные'!$B$234="Да",'19_Расчет_аналитики'!R3474*'01_Вводные'!$B$14,0)</f>
        <v/>
      </c>
      <c r="T3475">
        <f>IF('01_Вводные'!$B$234="Да",'19_Расчет_аналитики'!S3474*'01_Вводные'!$B$14,0)</f>
        <v/>
      </c>
      <c r="U3475">
        <f>IF('01_Вводные'!$B$234="Да",'19_Расчет_аналитики'!T3474*'01_Вводные'!$B$14,0)</f>
        <v/>
      </c>
      <c r="V3475">
        <f>IF('01_Вводные'!$B$234="Да",'19_Расчет_аналитики'!U3474*'01_Вводные'!$B$14,0)</f>
        <v/>
      </c>
      <c r="W3475">
        <f>IF('01_Вводные'!$B$234="Да",'19_Расчет_аналитики'!V3474*'01_Вводные'!$B$14,0)</f>
        <v/>
      </c>
      <c r="X3475">
        <f>IF('01_Вводные'!$B$234="Да",'19_Расчет_аналитики'!W3474*'01_Вводные'!$B$14,0)</f>
        <v/>
      </c>
      <c r="Y3475">
        <f>IF('01_Вводные'!$B$234="Да",'19_Расчет_аналитики'!X3474*'01_Вводные'!$B$14,0)</f>
        <v/>
      </c>
      <c r="Z3475">
        <f>IF('01_Вводные'!$B$234="Да",'19_Расчет_аналитики'!Y3474*'01_Вводные'!$B$14,0)</f>
        <v/>
      </c>
      <c r="AA3475">
        <f>IF('01_Вводные'!$B$234="Да",'19_Расчет_аналитики'!Z3474*'01_Вводные'!$B$14,0)</f>
        <v/>
      </c>
      <c r="AB3475">
        <f>IF('01_Вводные'!$B$234="Да",'19_Расчет_аналитики'!AA3474*'01_Вводные'!$B$14,0)</f>
        <v/>
      </c>
      <c r="AC3475">
        <f>IF('01_Вводные'!$B$234="Да",'19_Расчет_аналитики'!AB3474*'01_Вводные'!$B$14,0)</f>
        <v/>
      </c>
      <c r="AD3475">
        <f>IF('01_Вводные'!$B$234="Да",'19_Расчет_аналитики'!AC3474*'01_Вводные'!$B$14,0)</f>
        <v/>
      </c>
      <c r="AE3475">
        <f>IF('01_Вводные'!$B$234="Да",'19_Расчет_аналитики'!AD3474*'01_Вводные'!$B$14,0)</f>
        <v/>
      </c>
      <c r="AF3475">
        <f>IF('01_Вводные'!$B$234="Да",'19_Расчет_аналитики'!AE3474*'01_Вводные'!$B$14,0)</f>
        <v/>
      </c>
      <c r="AG3475">
        <f>IF('01_Вводные'!$B$234="Да",'19_Расчет_аналитики'!AF3474*'01_Вводные'!$B$14,0)</f>
        <v/>
      </c>
      <c r="AH3475">
        <f>IF('01_Вводные'!$B$234="Да",'19_Расчет_аналитики'!AG3474*'01_Вводные'!$B$14,0)</f>
        <v/>
      </c>
      <c r="AI3475">
        <f>IF('01_Вводные'!$B$234="Да",'19_Расчет_аналитики'!AH3474*'01_Вводные'!$B$14,0)</f>
        <v/>
      </c>
      <c r="AJ3475">
        <f>IF('01_Вводные'!$B$234="Да",'19_Расчет_аналитики'!AI3474*'01_Вводные'!$B$14,0)</f>
        <v/>
      </c>
      <c r="AK3475">
        <f>IF('01_Вводные'!$B$234="Да",'19_Расчет_аналитики'!AJ3474*'01_Вводные'!$B$14,0)</f>
        <v/>
      </c>
      <c r="AL3475">
        <f>IF('01_Вводные'!$B$234="Да",'19_Расчет_аналитики'!AK3474*'01_Вводные'!$B$14,0)</f>
        <v/>
      </c>
      <c r="AM3475">
        <f>IF('01_Вводные'!$B$234="Да",'19_Расчет_аналитики'!AL3474*'01_Вводные'!$B$14,0)</f>
        <v/>
      </c>
      <c r="AN3475">
        <f>IF('01_Вводные'!$B$234="Да",'19_Расчет_аналитики'!AM3474*'01_Вводные'!$B$14,0)</f>
        <v/>
      </c>
      <c r="AO3475">
        <f>IF('01_Вводные'!$B$234="Да",'19_Расчет_аналитики'!AN3474*'01_Вводные'!$B$14,0)</f>
        <v/>
      </c>
      <c r="AP3475">
        <f>IF('01_Вводные'!$B$234="Да",'19_Расчет_аналитики'!AO3474*'01_Вводные'!$B$14,0)</f>
        <v/>
      </c>
      <c r="AQ3475">
        <f>IF('01_Вводные'!$B$234="Да",'19_Расчет_аналитики'!AP3474*'01_Вводные'!$B$14,0)</f>
        <v/>
      </c>
      <c r="AR3475">
        <f>IF('01_Вводные'!$B$234="Да",'19_Расчет_аналитики'!AQ3474*'01_Вводные'!$B$14,0)</f>
        <v/>
      </c>
      <c r="AS3475">
        <f>IF('01_Вводные'!$B$234="Да",'19_Расчет_аналитики'!AR3474*'01_Вводные'!$B$14,0)</f>
        <v/>
      </c>
      <c r="AT3475">
        <f>IF('01_Вводные'!$B$234="Да",'19_Расчет_аналитики'!AS3474*'01_Вводные'!$B$14,0)</f>
        <v/>
      </c>
      <c r="AU3475">
        <f>IF('01_Вводные'!$B$234="Да",'19_Расчет_аналитики'!AT3474*'01_Вводные'!$B$14,0)</f>
        <v/>
      </c>
      <c r="AV3475">
        <f>IF('01_Вводные'!$B$234="Да",'19_Расчет_аналитики'!AU3474*'01_Вводные'!$B$14,0)</f>
        <v/>
      </c>
      <c r="AW3475">
        <f>IF('01_Вводные'!$B$234="Да",'19_Расчет_аналитики'!AV3474*'01_Вводные'!$B$14,0)</f>
        <v/>
      </c>
      <c r="AX3475">
        <f>IF('01_Вводные'!$B$234="Да",'19_Расчет_аналитики'!AW3474*'01_Вводные'!$B$14,0)</f>
        <v/>
      </c>
      <c r="AY3475">
        <f>IF('01_Вводные'!$B$234="Да",'19_Расчет_аналитики'!AX3474*'01_Вводные'!$B$14,0)</f>
        <v/>
      </c>
      <c r="AZ3475">
        <f>IF('01_Вводные'!$B$234="Да",'19_Расчет_аналитики'!AY3474*'01_Вводные'!$B$14,0)</f>
        <v/>
      </c>
      <c r="BA3475">
        <f>IF('01_Вводные'!$B$234="Да",'19_Расчет_аналитики'!AZ3474*'01_Вводные'!$B$14,0)</f>
        <v/>
      </c>
      <c r="BB3475">
        <f>IF('01_Вводные'!$B$234="Да",'19_Расчет_аналитики'!BA3474*'01_Вводные'!$B$14,0)</f>
        <v/>
      </c>
      <c r="BC3475">
        <f>IF('01_Вводные'!$B$234="Да",'19_Расчет_аналитики'!BB3474*'01_Вводные'!$B$14,0)</f>
        <v/>
      </c>
      <c r="BD3475">
        <f>IF('01_Вводные'!$B$234="Да",'19_Расчет_аналитики'!BC3474*'01_Вводные'!$B$14,0)</f>
        <v/>
      </c>
      <c r="BE3475">
        <f>IF('01_Вводные'!$B$234="Да",'19_Расчет_аналитики'!BD3474*'01_Вводные'!$B$14,0)</f>
        <v/>
      </c>
      <c r="BF3475">
        <f>IF('01_Вводные'!$B$234="Да",'19_Расчет_аналитики'!BE3474*'01_Вводные'!$B$14,0)</f>
        <v/>
      </c>
      <c r="BG3475">
        <f>IF('01_Вводные'!$B$234="Да",'19_Расчет_аналитики'!BF3474*'01_Вводные'!$B$14,0)</f>
        <v/>
      </c>
      <c r="BH3475">
        <f>IF('01_Вводные'!$B$234="Да",'19_Расчет_аналитики'!BG3474*'01_Вводные'!$B$14,0)</f>
        <v/>
      </c>
      <c r="BI3475">
        <f>IF('01_Вводные'!$B$234="Да",'19_Расчет_аналитики'!BH3474*'01_Вводные'!$B$14,0)</f>
        <v/>
      </c>
      <c r="BJ3475">
        <f>IF('01_Вводные'!$B$234="Да",'19_Расчет_аналитики'!BI3474*'01_Вводные'!$B$14,0)</f>
        <v/>
      </c>
      <c r="BK3475">
        <f>IF('01_Вводные'!$B$234="Да",'19_Расчет_аналитики'!BJ3474*'01_Вводные'!$B$14,0)</f>
        <v/>
      </c>
      <c r="BL3475">
        <f>IF('01_Вводные'!$B$234="Да",'19_Расчет_аналитики'!BK3474*'01_Вводные'!$B$14,0)</f>
        <v/>
      </c>
      <c r="BM3475">
        <f>IF('01_Вводные'!$B$234="Да",'19_Расчет_аналитики'!BL3474*'01_Вводные'!$B$14,0)</f>
        <v/>
      </c>
      <c r="BN3475">
        <f>IF('01_Вводные'!$B$234="Да",'19_Расчет_аналитики'!BM3474*'01_Вводные'!$B$14,0)</f>
        <v/>
      </c>
      <c r="BO3475">
        <f>IF('01_Вводные'!$B$234="Да",'19_Расчет_аналитики'!BN3474*'01_Вводные'!$B$14,0)</f>
        <v/>
      </c>
    </row>
    <row r="3476">
      <c r="B3476">
        <f>'06_Сеть_и_дети'!B85</f>
        <v/>
      </c>
      <c r="C3476">
        <f>'06_Сеть_и_дети'!C85</f>
        <v/>
      </c>
      <c r="D3476">
        <f>'06_Сеть_и_дети'!D85</f>
        <v/>
      </c>
      <c r="E3476">
        <f>'06_Сеть_и_дети'!E85</f>
        <v/>
      </c>
      <c r="F3476">
        <f>IF('01_Вводные'!$B$234="Да",'19_Расчет_аналитики'!E3475*'01_Вводные'!$B$14,0)</f>
        <v/>
      </c>
      <c r="G3476">
        <f>IF('01_Вводные'!$B$234="Да",'19_Расчет_аналитики'!F3475*'01_Вводные'!$B$14,0)</f>
        <v/>
      </c>
      <c r="H3476">
        <f>IF('01_Вводные'!$B$234="Да",'19_Расчет_аналитики'!G3475*'01_Вводные'!$B$14,0)</f>
        <v/>
      </c>
      <c r="I3476">
        <f>IF('01_Вводные'!$B$234="Да",'19_Расчет_аналитики'!H3475*'01_Вводные'!$B$14,0)</f>
        <v/>
      </c>
      <c r="J3476">
        <f>IF('01_Вводные'!$B$234="Да",'19_Расчет_аналитики'!I3475*'01_Вводные'!$B$14,0)</f>
        <v/>
      </c>
      <c r="K3476">
        <f>IF('01_Вводные'!$B$234="Да",'19_Расчет_аналитики'!J3475*'01_Вводные'!$B$14,0)</f>
        <v/>
      </c>
      <c r="L3476">
        <f>IF('01_Вводные'!$B$234="Да",'19_Расчет_аналитики'!K3475*'01_Вводные'!$B$14,0)</f>
        <v/>
      </c>
      <c r="M3476">
        <f>IF('01_Вводные'!$B$234="Да",'19_Расчет_аналитики'!L3475*'01_Вводные'!$B$14,0)</f>
        <v/>
      </c>
      <c r="N3476">
        <f>IF('01_Вводные'!$B$234="Да",'19_Расчет_аналитики'!M3475*'01_Вводные'!$B$14,0)</f>
        <v/>
      </c>
      <c r="O3476">
        <f>IF('01_Вводные'!$B$234="Да",'19_Расчет_аналитики'!N3475*'01_Вводные'!$B$14,0)</f>
        <v/>
      </c>
      <c r="P3476">
        <f>IF('01_Вводные'!$B$234="Да",'19_Расчет_аналитики'!O3475*'01_Вводные'!$B$14,0)</f>
        <v/>
      </c>
      <c r="Q3476">
        <f>IF('01_Вводные'!$B$234="Да",'19_Расчет_аналитики'!P3475*'01_Вводные'!$B$14,0)</f>
        <v/>
      </c>
      <c r="R3476">
        <f>IF('01_Вводные'!$B$234="Да",'19_Расчет_аналитики'!Q3475*'01_Вводные'!$B$14,0)</f>
        <v/>
      </c>
      <c r="S3476">
        <f>IF('01_Вводные'!$B$234="Да",'19_Расчет_аналитики'!R3475*'01_Вводные'!$B$14,0)</f>
        <v/>
      </c>
      <c r="T3476">
        <f>IF('01_Вводные'!$B$234="Да",'19_Расчет_аналитики'!S3475*'01_Вводные'!$B$14,0)</f>
        <v/>
      </c>
      <c r="U3476">
        <f>IF('01_Вводные'!$B$234="Да",'19_Расчет_аналитики'!T3475*'01_Вводные'!$B$14,0)</f>
        <v/>
      </c>
      <c r="V3476">
        <f>IF('01_Вводные'!$B$234="Да",'19_Расчет_аналитики'!U3475*'01_Вводные'!$B$14,0)</f>
        <v/>
      </c>
      <c r="W3476">
        <f>IF('01_Вводные'!$B$234="Да",'19_Расчет_аналитики'!V3475*'01_Вводные'!$B$14,0)</f>
        <v/>
      </c>
      <c r="X3476">
        <f>IF('01_Вводные'!$B$234="Да",'19_Расчет_аналитики'!W3475*'01_Вводные'!$B$14,0)</f>
        <v/>
      </c>
      <c r="Y3476">
        <f>IF('01_Вводные'!$B$234="Да",'19_Расчет_аналитики'!X3475*'01_Вводные'!$B$14,0)</f>
        <v/>
      </c>
      <c r="Z3476">
        <f>IF('01_Вводные'!$B$234="Да",'19_Расчет_аналитики'!Y3475*'01_Вводные'!$B$14,0)</f>
        <v/>
      </c>
      <c r="AA3476">
        <f>IF('01_Вводные'!$B$234="Да",'19_Расчет_аналитики'!Z3475*'01_Вводные'!$B$14,0)</f>
        <v/>
      </c>
      <c r="AB3476">
        <f>IF('01_Вводные'!$B$234="Да",'19_Расчет_аналитики'!AA3475*'01_Вводные'!$B$14,0)</f>
        <v/>
      </c>
      <c r="AC3476">
        <f>IF('01_Вводные'!$B$234="Да",'19_Расчет_аналитики'!AB3475*'01_Вводные'!$B$14,0)</f>
        <v/>
      </c>
      <c r="AD3476">
        <f>IF('01_Вводные'!$B$234="Да",'19_Расчет_аналитики'!AC3475*'01_Вводные'!$B$14,0)</f>
        <v/>
      </c>
      <c r="AE3476">
        <f>IF('01_Вводные'!$B$234="Да",'19_Расчет_аналитики'!AD3475*'01_Вводные'!$B$14,0)</f>
        <v/>
      </c>
      <c r="AF3476">
        <f>IF('01_Вводные'!$B$234="Да",'19_Расчет_аналитики'!AE3475*'01_Вводные'!$B$14,0)</f>
        <v/>
      </c>
      <c r="AG3476">
        <f>IF('01_Вводные'!$B$234="Да",'19_Расчет_аналитики'!AF3475*'01_Вводные'!$B$14,0)</f>
        <v/>
      </c>
      <c r="AH3476">
        <f>IF('01_Вводные'!$B$234="Да",'19_Расчет_аналитики'!AG3475*'01_Вводные'!$B$14,0)</f>
        <v/>
      </c>
      <c r="AI3476">
        <f>IF('01_Вводные'!$B$234="Да",'19_Расчет_аналитики'!AH3475*'01_Вводные'!$B$14,0)</f>
        <v/>
      </c>
      <c r="AJ3476">
        <f>IF('01_Вводные'!$B$234="Да",'19_Расчет_аналитики'!AI3475*'01_Вводные'!$B$14,0)</f>
        <v/>
      </c>
      <c r="AK3476">
        <f>IF('01_Вводные'!$B$234="Да",'19_Расчет_аналитики'!AJ3475*'01_Вводные'!$B$14,0)</f>
        <v/>
      </c>
      <c r="AL3476">
        <f>IF('01_Вводные'!$B$234="Да",'19_Расчет_аналитики'!AK3475*'01_Вводные'!$B$14,0)</f>
        <v/>
      </c>
      <c r="AM3476">
        <f>IF('01_Вводные'!$B$234="Да",'19_Расчет_аналитики'!AL3475*'01_Вводные'!$B$14,0)</f>
        <v/>
      </c>
      <c r="AN3476">
        <f>IF('01_Вводные'!$B$234="Да",'19_Расчет_аналитики'!AM3475*'01_Вводные'!$B$14,0)</f>
        <v/>
      </c>
      <c r="AO3476">
        <f>IF('01_Вводные'!$B$234="Да",'19_Расчет_аналитики'!AN3475*'01_Вводные'!$B$14,0)</f>
        <v/>
      </c>
      <c r="AP3476">
        <f>IF('01_Вводные'!$B$234="Да",'19_Расчет_аналитики'!AO3475*'01_Вводные'!$B$14,0)</f>
        <v/>
      </c>
      <c r="AQ3476">
        <f>IF('01_Вводные'!$B$234="Да",'19_Расчет_аналитики'!AP3475*'01_Вводные'!$B$14,0)</f>
        <v/>
      </c>
      <c r="AR3476">
        <f>IF('01_Вводные'!$B$234="Да",'19_Расчет_аналитики'!AQ3475*'01_Вводные'!$B$14,0)</f>
        <v/>
      </c>
      <c r="AS3476">
        <f>IF('01_Вводные'!$B$234="Да",'19_Расчет_аналитики'!AR3475*'01_Вводные'!$B$14,0)</f>
        <v/>
      </c>
      <c r="AT3476">
        <f>IF('01_Вводные'!$B$234="Да",'19_Расчет_аналитики'!AS3475*'01_Вводные'!$B$14,0)</f>
        <v/>
      </c>
      <c r="AU3476">
        <f>IF('01_Вводные'!$B$234="Да",'19_Расчет_аналитики'!AT3475*'01_Вводные'!$B$14,0)</f>
        <v/>
      </c>
      <c r="AV3476">
        <f>IF('01_Вводные'!$B$234="Да",'19_Расчет_аналитики'!AU3475*'01_Вводные'!$B$14,0)</f>
        <v/>
      </c>
      <c r="AW3476">
        <f>IF('01_Вводные'!$B$234="Да",'19_Расчет_аналитики'!AV3475*'01_Вводные'!$B$14,0)</f>
        <v/>
      </c>
      <c r="AX3476">
        <f>IF('01_Вводные'!$B$234="Да",'19_Расчет_аналитики'!AW3475*'01_Вводные'!$B$14,0)</f>
        <v/>
      </c>
      <c r="AY3476">
        <f>IF('01_Вводные'!$B$234="Да",'19_Расчет_аналитики'!AX3475*'01_Вводные'!$B$14,0)</f>
        <v/>
      </c>
      <c r="AZ3476">
        <f>IF('01_Вводные'!$B$234="Да",'19_Расчет_аналитики'!AY3475*'01_Вводные'!$B$14,0)</f>
        <v/>
      </c>
      <c r="BA3476">
        <f>IF('01_Вводные'!$B$234="Да",'19_Расчет_аналитики'!AZ3475*'01_Вводные'!$B$14,0)</f>
        <v/>
      </c>
      <c r="BB3476">
        <f>IF('01_Вводные'!$B$234="Да",'19_Расчет_аналитики'!BA3475*'01_Вводные'!$B$14,0)</f>
        <v/>
      </c>
      <c r="BC3476">
        <f>IF('01_Вводные'!$B$234="Да",'19_Расчет_аналитики'!BB3475*'01_Вводные'!$B$14,0)</f>
        <v/>
      </c>
      <c r="BD3476">
        <f>IF('01_Вводные'!$B$234="Да",'19_Расчет_аналитики'!BC3475*'01_Вводные'!$B$14,0)</f>
        <v/>
      </c>
      <c r="BE3476">
        <f>IF('01_Вводные'!$B$234="Да",'19_Расчет_аналитики'!BD3475*'01_Вводные'!$B$14,0)</f>
        <v/>
      </c>
      <c r="BF3476">
        <f>IF('01_Вводные'!$B$234="Да",'19_Расчет_аналитики'!BE3475*'01_Вводные'!$B$14,0)</f>
        <v/>
      </c>
      <c r="BG3476">
        <f>IF('01_Вводные'!$B$234="Да",'19_Расчет_аналитики'!BF3475*'01_Вводные'!$B$14,0)</f>
        <v/>
      </c>
      <c r="BH3476">
        <f>IF('01_Вводные'!$B$234="Да",'19_Расчет_аналитики'!BG3475*'01_Вводные'!$B$14,0)</f>
        <v/>
      </c>
      <c r="BI3476">
        <f>IF('01_Вводные'!$B$234="Да",'19_Расчет_аналитики'!BH3475*'01_Вводные'!$B$14,0)</f>
        <v/>
      </c>
      <c r="BJ3476">
        <f>IF('01_Вводные'!$B$234="Да",'19_Расчет_аналитики'!BI3475*'01_Вводные'!$B$14,0)</f>
        <v/>
      </c>
      <c r="BK3476">
        <f>IF('01_Вводные'!$B$234="Да",'19_Расчет_аналитики'!BJ3475*'01_Вводные'!$B$14,0)</f>
        <v/>
      </c>
      <c r="BL3476">
        <f>IF('01_Вводные'!$B$234="Да",'19_Расчет_аналитики'!BK3475*'01_Вводные'!$B$14,0)</f>
        <v/>
      </c>
      <c r="BM3476">
        <f>IF('01_Вводные'!$B$234="Да",'19_Расчет_аналитики'!BL3475*'01_Вводные'!$B$14,0)</f>
        <v/>
      </c>
      <c r="BN3476">
        <f>IF('01_Вводные'!$B$234="Да",'19_Расчет_аналитики'!BM3475*'01_Вводные'!$B$14,0)</f>
        <v/>
      </c>
      <c r="BO3476">
        <f>IF('01_Вводные'!$B$234="Да",'19_Расчет_аналитики'!BN3475*'01_Вводные'!$B$14,0)</f>
        <v/>
      </c>
    </row>
    <row r="3477">
      <c r="B3477">
        <f>'06_Сеть_и_дети'!B86</f>
        <v/>
      </c>
      <c r="C3477">
        <f>'06_Сеть_и_дети'!C86</f>
        <v/>
      </c>
      <c r="D3477">
        <f>'06_Сеть_и_дети'!D86</f>
        <v/>
      </c>
      <c r="E3477">
        <f>'06_Сеть_и_дети'!E86</f>
        <v/>
      </c>
      <c r="F3477">
        <f>'06_Сеть_и_дети'!F86</f>
        <v/>
      </c>
      <c r="G3477">
        <f>IF('01_Вводные'!$B$234="Да",'19_Расчет_аналитики'!F3476*'01_Вводные'!$B$14,0)</f>
        <v/>
      </c>
      <c r="H3477">
        <f>IF('01_Вводные'!$B$234="Да",'19_Расчет_аналитики'!G3476*'01_Вводные'!$B$14,0)</f>
        <v/>
      </c>
      <c r="I3477">
        <f>IF('01_Вводные'!$B$234="Да",'19_Расчет_аналитики'!H3476*'01_Вводные'!$B$14,0)</f>
        <v/>
      </c>
      <c r="J3477">
        <f>IF('01_Вводные'!$B$234="Да",'19_Расчет_аналитики'!I3476*'01_Вводные'!$B$14,0)</f>
        <v/>
      </c>
      <c r="K3477">
        <f>IF('01_Вводные'!$B$234="Да",'19_Расчет_аналитики'!J3476*'01_Вводные'!$B$14,0)</f>
        <v/>
      </c>
      <c r="L3477">
        <f>IF('01_Вводные'!$B$234="Да",'19_Расчет_аналитики'!K3476*'01_Вводные'!$B$14,0)</f>
        <v/>
      </c>
      <c r="M3477">
        <f>IF('01_Вводные'!$B$234="Да",'19_Расчет_аналитики'!L3476*'01_Вводные'!$B$14,0)</f>
        <v/>
      </c>
      <c r="N3477">
        <f>IF('01_Вводные'!$B$234="Да",'19_Расчет_аналитики'!M3476*'01_Вводные'!$B$14,0)</f>
        <v/>
      </c>
      <c r="O3477">
        <f>IF('01_Вводные'!$B$234="Да",'19_Расчет_аналитики'!N3476*'01_Вводные'!$B$14,0)</f>
        <v/>
      </c>
      <c r="P3477">
        <f>IF('01_Вводные'!$B$234="Да",'19_Расчет_аналитики'!O3476*'01_Вводные'!$B$14,0)</f>
        <v/>
      </c>
      <c r="Q3477">
        <f>IF('01_Вводные'!$B$234="Да",'19_Расчет_аналитики'!P3476*'01_Вводные'!$B$14,0)</f>
        <v/>
      </c>
      <c r="R3477">
        <f>IF('01_Вводные'!$B$234="Да",'19_Расчет_аналитики'!Q3476*'01_Вводные'!$B$14,0)</f>
        <v/>
      </c>
      <c r="S3477">
        <f>IF('01_Вводные'!$B$234="Да",'19_Расчет_аналитики'!R3476*'01_Вводные'!$B$14,0)</f>
        <v/>
      </c>
      <c r="T3477">
        <f>IF('01_Вводные'!$B$234="Да",'19_Расчет_аналитики'!S3476*'01_Вводные'!$B$14,0)</f>
        <v/>
      </c>
      <c r="U3477">
        <f>IF('01_Вводные'!$B$234="Да",'19_Расчет_аналитики'!T3476*'01_Вводные'!$B$14,0)</f>
        <v/>
      </c>
      <c r="V3477">
        <f>IF('01_Вводные'!$B$234="Да",'19_Расчет_аналитики'!U3476*'01_Вводные'!$B$14,0)</f>
        <v/>
      </c>
      <c r="W3477">
        <f>IF('01_Вводные'!$B$234="Да",'19_Расчет_аналитики'!V3476*'01_Вводные'!$B$14,0)</f>
        <v/>
      </c>
      <c r="X3477">
        <f>IF('01_Вводные'!$B$234="Да",'19_Расчет_аналитики'!W3476*'01_Вводные'!$B$14,0)</f>
        <v/>
      </c>
      <c r="Y3477">
        <f>IF('01_Вводные'!$B$234="Да",'19_Расчет_аналитики'!X3476*'01_Вводные'!$B$14,0)</f>
        <v/>
      </c>
      <c r="Z3477">
        <f>IF('01_Вводные'!$B$234="Да",'19_Расчет_аналитики'!Y3476*'01_Вводные'!$B$14,0)</f>
        <v/>
      </c>
      <c r="AA3477">
        <f>IF('01_Вводные'!$B$234="Да",'19_Расчет_аналитики'!Z3476*'01_Вводные'!$B$14,0)</f>
        <v/>
      </c>
      <c r="AB3477">
        <f>IF('01_Вводные'!$B$234="Да",'19_Расчет_аналитики'!AA3476*'01_Вводные'!$B$14,0)</f>
        <v/>
      </c>
      <c r="AC3477">
        <f>IF('01_Вводные'!$B$234="Да",'19_Расчет_аналитики'!AB3476*'01_Вводные'!$B$14,0)</f>
        <v/>
      </c>
      <c r="AD3477">
        <f>IF('01_Вводные'!$B$234="Да",'19_Расчет_аналитики'!AC3476*'01_Вводные'!$B$14,0)</f>
        <v/>
      </c>
      <c r="AE3477">
        <f>IF('01_Вводные'!$B$234="Да",'19_Расчет_аналитики'!AD3476*'01_Вводные'!$B$14,0)</f>
        <v/>
      </c>
      <c r="AF3477">
        <f>IF('01_Вводные'!$B$234="Да",'19_Расчет_аналитики'!AE3476*'01_Вводные'!$B$14,0)</f>
        <v/>
      </c>
      <c r="AG3477">
        <f>IF('01_Вводные'!$B$234="Да",'19_Расчет_аналитики'!AF3476*'01_Вводные'!$B$14,0)</f>
        <v/>
      </c>
      <c r="AH3477">
        <f>IF('01_Вводные'!$B$234="Да",'19_Расчет_аналитики'!AG3476*'01_Вводные'!$B$14,0)</f>
        <v/>
      </c>
      <c r="AI3477">
        <f>IF('01_Вводные'!$B$234="Да",'19_Расчет_аналитики'!AH3476*'01_Вводные'!$B$14,0)</f>
        <v/>
      </c>
      <c r="AJ3477">
        <f>IF('01_Вводные'!$B$234="Да",'19_Расчет_аналитики'!AI3476*'01_Вводные'!$B$14,0)</f>
        <v/>
      </c>
      <c r="AK3477">
        <f>IF('01_Вводные'!$B$234="Да",'19_Расчет_аналитики'!AJ3476*'01_Вводные'!$B$14,0)</f>
        <v/>
      </c>
      <c r="AL3477">
        <f>IF('01_Вводные'!$B$234="Да",'19_Расчет_аналитики'!AK3476*'01_Вводные'!$B$14,0)</f>
        <v/>
      </c>
      <c r="AM3477">
        <f>IF('01_Вводные'!$B$234="Да",'19_Расчет_аналитики'!AL3476*'01_Вводные'!$B$14,0)</f>
        <v/>
      </c>
      <c r="AN3477">
        <f>IF('01_Вводные'!$B$234="Да",'19_Расчет_аналитики'!AM3476*'01_Вводные'!$B$14,0)</f>
        <v/>
      </c>
      <c r="AO3477">
        <f>IF('01_Вводные'!$B$234="Да",'19_Расчет_аналитики'!AN3476*'01_Вводные'!$B$14,0)</f>
        <v/>
      </c>
      <c r="AP3477">
        <f>IF('01_Вводные'!$B$234="Да",'19_Расчет_аналитики'!AO3476*'01_Вводные'!$B$14,0)</f>
        <v/>
      </c>
      <c r="AQ3477">
        <f>IF('01_Вводные'!$B$234="Да",'19_Расчет_аналитики'!AP3476*'01_Вводные'!$B$14,0)</f>
        <v/>
      </c>
      <c r="AR3477">
        <f>IF('01_Вводные'!$B$234="Да",'19_Расчет_аналитики'!AQ3476*'01_Вводные'!$B$14,0)</f>
        <v/>
      </c>
      <c r="AS3477">
        <f>IF('01_Вводные'!$B$234="Да",'19_Расчет_аналитики'!AR3476*'01_Вводные'!$B$14,0)</f>
        <v/>
      </c>
      <c r="AT3477">
        <f>IF('01_Вводные'!$B$234="Да",'19_Расчет_аналитики'!AS3476*'01_Вводные'!$B$14,0)</f>
        <v/>
      </c>
      <c r="AU3477">
        <f>IF('01_Вводные'!$B$234="Да",'19_Расчет_аналитики'!AT3476*'01_Вводные'!$B$14,0)</f>
        <v/>
      </c>
      <c r="AV3477">
        <f>IF('01_Вводные'!$B$234="Да",'19_Расчет_аналитики'!AU3476*'01_Вводные'!$B$14,0)</f>
        <v/>
      </c>
      <c r="AW3477">
        <f>IF('01_Вводные'!$B$234="Да",'19_Расчет_аналитики'!AV3476*'01_Вводные'!$B$14,0)</f>
        <v/>
      </c>
      <c r="AX3477">
        <f>IF('01_Вводные'!$B$234="Да",'19_Расчет_аналитики'!AW3476*'01_Вводные'!$B$14,0)</f>
        <v/>
      </c>
      <c r="AY3477">
        <f>IF('01_Вводные'!$B$234="Да",'19_Расчет_аналитики'!AX3476*'01_Вводные'!$B$14,0)</f>
        <v/>
      </c>
      <c r="AZ3477">
        <f>IF('01_Вводные'!$B$234="Да",'19_Расчет_аналитики'!AY3476*'01_Вводные'!$B$14,0)</f>
        <v/>
      </c>
      <c r="BA3477">
        <f>IF('01_Вводные'!$B$234="Да",'19_Расчет_аналитики'!AZ3476*'01_Вводные'!$B$14,0)</f>
        <v/>
      </c>
      <c r="BB3477">
        <f>IF('01_Вводные'!$B$234="Да",'19_Расчет_аналитики'!BA3476*'01_Вводные'!$B$14,0)</f>
        <v/>
      </c>
      <c r="BC3477">
        <f>IF('01_Вводные'!$B$234="Да",'19_Расчет_аналитики'!BB3476*'01_Вводные'!$B$14,0)</f>
        <v/>
      </c>
      <c r="BD3477">
        <f>IF('01_Вводные'!$B$234="Да",'19_Расчет_аналитики'!BC3476*'01_Вводные'!$B$14,0)</f>
        <v/>
      </c>
      <c r="BE3477">
        <f>IF('01_Вводные'!$B$234="Да",'19_Расчет_аналитики'!BD3476*'01_Вводные'!$B$14,0)</f>
        <v/>
      </c>
      <c r="BF3477">
        <f>IF('01_Вводные'!$B$234="Да",'19_Расчет_аналитики'!BE3476*'01_Вводные'!$B$14,0)</f>
        <v/>
      </c>
      <c r="BG3477">
        <f>IF('01_Вводные'!$B$234="Да",'19_Расчет_аналитики'!BF3476*'01_Вводные'!$B$14,0)</f>
        <v/>
      </c>
      <c r="BH3477">
        <f>IF('01_Вводные'!$B$234="Да",'19_Расчет_аналитики'!BG3476*'01_Вводные'!$B$14,0)</f>
        <v/>
      </c>
      <c r="BI3477">
        <f>IF('01_Вводные'!$B$234="Да",'19_Расчет_аналитики'!BH3476*'01_Вводные'!$B$14,0)</f>
        <v/>
      </c>
      <c r="BJ3477">
        <f>IF('01_Вводные'!$B$234="Да",'19_Расчет_аналитики'!BI3476*'01_Вводные'!$B$14,0)</f>
        <v/>
      </c>
      <c r="BK3477">
        <f>IF('01_Вводные'!$B$234="Да",'19_Расчет_аналитики'!BJ3476*'01_Вводные'!$B$14,0)</f>
        <v/>
      </c>
      <c r="BL3477">
        <f>IF('01_Вводные'!$B$234="Да",'19_Расчет_аналитики'!BK3476*'01_Вводные'!$B$14,0)</f>
        <v/>
      </c>
      <c r="BM3477">
        <f>IF('01_Вводные'!$B$234="Да",'19_Расчет_аналитики'!BL3476*'01_Вводные'!$B$14,0)</f>
        <v/>
      </c>
      <c r="BN3477">
        <f>IF('01_Вводные'!$B$234="Да",'19_Расчет_аналитики'!BM3476*'01_Вводные'!$B$14,0)</f>
        <v/>
      </c>
      <c r="BO3477">
        <f>IF('01_Вводные'!$B$234="Да",'19_Расчет_аналитики'!BN3476*'01_Вводные'!$B$14,0)</f>
        <v/>
      </c>
    </row>
    <row r="3478">
      <c r="B3478">
        <f>'06_Сеть_и_дети'!B87</f>
        <v/>
      </c>
      <c r="C3478">
        <f>'06_Сеть_и_дети'!C87</f>
        <v/>
      </c>
      <c r="D3478">
        <f>'06_Сеть_и_дети'!D87</f>
        <v/>
      </c>
      <c r="E3478">
        <f>'06_Сеть_и_дети'!E87</f>
        <v/>
      </c>
      <c r="F3478">
        <f>'06_Сеть_и_дети'!F87</f>
        <v/>
      </c>
      <c r="G3478">
        <f>'06_Сеть_и_дети'!G87</f>
        <v/>
      </c>
      <c r="H3478">
        <f>IF('01_Вводные'!$B$234="Да",'19_Расчет_аналитики'!G3477*'01_Вводные'!$B$14,0)</f>
        <v/>
      </c>
      <c r="I3478">
        <f>IF('01_Вводные'!$B$234="Да",'19_Расчет_аналитики'!H3477*'01_Вводные'!$B$14,0)</f>
        <v/>
      </c>
      <c r="J3478">
        <f>IF('01_Вводные'!$B$234="Да",'19_Расчет_аналитики'!I3477*'01_Вводные'!$B$14,0)</f>
        <v/>
      </c>
      <c r="K3478">
        <f>IF('01_Вводные'!$B$234="Да",'19_Расчет_аналитики'!J3477*'01_Вводные'!$B$14,0)</f>
        <v/>
      </c>
      <c r="L3478">
        <f>IF('01_Вводные'!$B$234="Да",'19_Расчет_аналитики'!K3477*'01_Вводные'!$B$14,0)</f>
        <v/>
      </c>
      <c r="M3478">
        <f>IF('01_Вводные'!$B$234="Да",'19_Расчет_аналитики'!L3477*'01_Вводные'!$B$14,0)</f>
        <v/>
      </c>
      <c r="N3478">
        <f>IF('01_Вводные'!$B$234="Да",'19_Расчет_аналитики'!M3477*'01_Вводные'!$B$14,0)</f>
        <v/>
      </c>
      <c r="O3478">
        <f>IF('01_Вводные'!$B$234="Да",'19_Расчет_аналитики'!N3477*'01_Вводные'!$B$14,0)</f>
        <v/>
      </c>
      <c r="P3478">
        <f>IF('01_Вводные'!$B$234="Да",'19_Расчет_аналитики'!O3477*'01_Вводные'!$B$14,0)</f>
        <v/>
      </c>
      <c r="Q3478">
        <f>IF('01_Вводные'!$B$234="Да",'19_Расчет_аналитики'!P3477*'01_Вводные'!$B$14,0)</f>
        <v/>
      </c>
      <c r="R3478">
        <f>IF('01_Вводные'!$B$234="Да",'19_Расчет_аналитики'!Q3477*'01_Вводные'!$B$14,0)</f>
        <v/>
      </c>
      <c r="S3478">
        <f>IF('01_Вводные'!$B$234="Да",'19_Расчет_аналитики'!R3477*'01_Вводные'!$B$14,0)</f>
        <v/>
      </c>
      <c r="T3478">
        <f>IF('01_Вводные'!$B$234="Да",'19_Расчет_аналитики'!S3477*'01_Вводные'!$B$14,0)</f>
        <v/>
      </c>
      <c r="U3478">
        <f>IF('01_Вводные'!$B$234="Да",'19_Расчет_аналитики'!T3477*'01_Вводные'!$B$14,0)</f>
        <v/>
      </c>
      <c r="V3478">
        <f>IF('01_Вводные'!$B$234="Да",'19_Расчет_аналитики'!U3477*'01_Вводные'!$B$14,0)</f>
        <v/>
      </c>
      <c r="W3478">
        <f>IF('01_Вводные'!$B$234="Да",'19_Расчет_аналитики'!V3477*'01_Вводные'!$B$14,0)</f>
        <v/>
      </c>
      <c r="X3478">
        <f>IF('01_Вводные'!$B$234="Да",'19_Расчет_аналитики'!W3477*'01_Вводные'!$B$14,0)</f>
        <v/>
      </c>
      <c r="Y3478">
        <f>IF('01_Вводные'!$B$234="Да",'19_Расчет_аналитики'!X3477*'01_Вводные'!$B$14,0)</f>
        <v/>
      </c>
      <c r="Z3478">
        <f>IF('01_Вводные'!$B$234="Да",'19_Расчет_аналитики'!Y3477*'01_Вводные'!$B$14,0)</f>
        <v/>
      </c>
      <c r="AA3478">
        <f>IF('01_Вводные'!$B$234="Да",'19_Расчет_аналитики'!Z3477*'01_Вводные'!$B$14,0)</f>
        <v/>
      </c>
      <c r="AB3478">
        <f>IF('01_Вводные'!$B$234="Да",'19_Расчет_аналитики'!AA3477*'01_Вводные'!$B$14,0)</f>
        <v/>
      </c>
      <c r="AC3478">
        <f>IF('01_Вводные'!$B$234="Да",'19_Расчет_аналитики'!AB3477*'01_Вводные'!$B$14,0)</f>
        <v/>
      </c>
      <c r="AD3478">
        <f>IF('01_Вводные'!$B$234="Да",'19_Расчет_аналитики'!AC3477*'01_Вводные'!$B$14,0)</f>
        <v/>
      </c>
      <c r="AE3478">
        <f>IF('01_Вводные'!$B$234="Да",'19_Расчет_аналитики'!AD3477*'01_Вводные'!$B$14,0)</f>
        <v/>
      </c>
      <c r="AF3478">
        <f>IF('01_Вводные'!$B$234="Да",'19_Расчет_аналитики'!AE3477*'01_Вводные'!$B$14,0)</f>
        <v/>
      </c>
      <c r="AG3478">
        <f>IF('01_Вводные'!$B$234="Да",'19_Расчет_аналитики'!AF3477*'01_Вводные'!$B$14,0)</f>
        <v/>
      </c>
      <c r="AH3478">
        <f>IF('01_Вводные'!$B$234="Да",'19_Расчет_аналитики'!AG3477*'01_Вводные'!$B$14,0)</f>
        <v/>
      </c>
      <c r="AI3478">
        <f>IF('01_Вводные'!$B$234="Да",'19_Расчет_аналитики'!AH3477*'01_Вводные'!$B$14,0)</f>
        <v/>
      </c>
      <c r="AJ3478">
        <f>IF('01_Вводные'!$B$234="Да",'19_Расчет_аналитики'!AI3477*'01_Вводные'!$B$14,0)</f>
        <v/>
      </c>
      <c r="AK3478">
        <f>IF('01_Вводные'!$B$234="Да",'19_Расчет_аналитики'!AJ3477*'01_Вводные'!$B$14,0)</f>
        <v/>
      </c>
      <c r="AL3478">
        <f>IF('01_Вводные'!$B$234="Да",'19_Расчет_аналитики'!AK3477*'01_Вводные'!$B$14,0)</f>
        <v/>
      </c>
      <c r="AM3478">
        <f>IF('01_Вводные'!$B$234="Да",'19_Расчет_аналитики'!AL3477*'01_Вводные'!$B$14,0)</f>
        <v/>
      </c>
      <c r="AN3478">
        <f>IF('01_Вводные'!$B$234="Да",'19_Расчет_аналитики'!AM3477*'01_Вводные'!$B$14,0)</f>
        <v/>
      </c>
      <c r="AO3478">
        <f>IF('01_Вводные'!$B$234="Да",'19_Расчет_аналитики'!AN3477*'01_Вводные'!$B$14,0)</f>
        <v/>
      </c>
      <c r="AP3478">
        <f>IF('01_Вводные'!$B$234="Да",'19_Расчет_аналитики'!AO3477*'01_Вводные'!$B$14,0)</f>
        <v/>
      </c>
      <c r="AQ3478">
        <f>IF('01_Вводные'!$B$234="Да",'19_Расчет_аналитики'!AP3477*'01_Вводные'!$B$14,0)</f>
        <v/>
      </c>
      <c r="AR3478">
        <f>IF('01_Вводные'!$B$234="Да",'19_Расчет_аналитики'!AQ3477*'01_Вводные'!$B$14,0)</f>
        <v/>
      </c>
      <c r="AS3478">
        <f>IF('01_Вводные'!$B$234="Да",'19_Расчет_аналитики'!AR3477*'01_Вводные'!$B$14,0)</f>
        <v/>
      </c>
      <c r="AT3478">
        <f>IF('01_Вводные'!$B$234="Да",'19_Расчет_аналитики'!AS3477*'01_Вводные'!$B$14,0)</f>
        <v/>
      </c>
      <c r="AU3478">
        <f>IF('01_Вводные'!$B$234="Да",'19_Расчет_аналитики'!AT3477*'01_Вводные'!$B$14,0)</f>
        <v/>
      </c>
      <c r="AV3478">
        <f>IF('01_Вводные'!$B$234="Да",'19_Расчет_аналитики'!AU3477*'01_Вводные'!$B$14,0)</f>
        <v/>
      </c>
      <c r="AW3478">
        <f>IF('01_Вводные'!$B$234="Да",'19_Расчет_аналитики'!AV3477*'01_Вводные'!$B$14,0)</f>
        <v/>
      </c>
      <c r="AX3478">
        <f>IF('01_Вводные'!$B$234="Да",'19_Расчет_аналитики'!AW3477*'01_Вводные'!$B$14,0)</f>
        <v/>
      </c>
      <c r="AY3478">
        <f>IF('01_Вводные'!$B$234="Да",'19_Расчет_аналитики'!AX3477*'01_Вводные'!$B$14,0)</f>
        <v/>
      </c>
      <c r="AZ3478">
        <f>IF('01_Вводные'!$B$234="Да",'19_Расчет_аналитики'!AY3477*'01_Вводные'!$B$14,0)</f>
        <v/>
      </c>
      <c r="BA3478">
        <f>IF('01_Вводные'!$B$234="Да",'19_Расчет_аналитики'!AZ3477*'01_Вводные'!$B$14,0)</f>
        <v/>
      </c>
      <c r="BB3478">
        <f>IF('01_Вводные'!$B$234="Да",'19_Расчет_аналитики'!BA3477*'01_Вводные'!$B$14,0)</f>
        <v/>
      </c>
      <c r="BC3478">
        <f>IF('01_Вводные'!$B$234="Да",'19_Расчет_аналитики'!BB3477*'01_Вводные'!$B$14,0)</f>
        <v/>
      </c>
      <c r="BD3478">
        <f>IF('01_Вводные'!$B$234="Да",'19_Расчет_аналитики'!BC3477*'01_Вводные'!$B$14,0)</f>
        <v/>
      </c>
      <c r="BE3478">
        <f>IF('01_Вводные'!$B$234="Да",'19_Расчет_аналитики'!BD3477*'01_Вводные'!$B$14,0)</f>
        <v/>
      </c>
      <c r="BF3478">
        <f>IF('01_Вводные'!$B$234="Да",'19_Расчет_аналитики'!BE3477*'01_Вводные'!$B$14,0)</f>
        <v/>
      </c>
      <c r="BG3478">
        <f>IF('01_Вводные'!$B$234="Да",'19_Расчет_аналитики'!BF3477*'01_Вводные'!$B$14,0)</f>
        <v/>
      </c>
      <c r="BH3478">
        <f>IF('01_Вводные'!$B$234="Да",'19_Расчет_аналитики'!BG3477*'01_Вводные'!$B$14,0)</f>
        <v/>
      </c>
      <c r="BI3478">
        <f>IF('01_Вводные'!$B$234="Да",'19_Расчет_аналитики'!BH3477*'01_Вводные'!$B$14,0)</f>
        <v/>
      </c>
      <c r="BJ3478">
        <f>IF('01_Вводные'!$B$234="Да",'19_Расчет_аналитики'!BI3477*'01_Вводные'!$B$14,0)</f>
        <v/>
      </c>
      <c r="BK3478">
        <f>IF('01_Вводные'!$B$234="Да",'19_Расчет_аналитики'!BJ3477*'01_Вводные'!$B$14,0)</f>
        <v/>
      </c>
      <c r="BL3478">
        <f>IF('01_Вводные'!$B$234="Да",'19_Расчет_аналитики'!BK3477*'01_Вводные'!$B$14,0)</f>
        <v/>
      </c>
      <c r="BM3478">
        <f>IF('01_Вводные'!$B$234="Да",'19_Расчет_аналитики'!BL3477*'01_Вводные'!$B$14,0)</f>
        <v/>
      </c>
      <c r="BN3478">
        <f>IF('01_Вводные'!$B$234="Да",'19_Расчет_аналитики'!BM3477*'01_Вводные'!$B$14,0)</f>
        <v/>
      </c>
      <c r="BO3478">
        <f>IF('01_Вводные'!$B$234="Да",'19_Расчет_аналитики'!BN3477*'01_Вводные'!$B$14,0)</f>
        <v/>
      </c>
    </row>
    <row r="3479">
      <c r="B3479">
        <f>'06_Сеть_и_дети'!B88</f>
        <v/>
      </c>
      <c r="C3479">
        <f>'06_Сеть_и_дети'!C88</f>
        <v/>
      </c>
      <c r="D3479">
        <f>'06_Сеть_и_дети'!D88</f>
        <v/>
      </c>
      <c r="E3479">
        <f>'06_Сеть_и_дети'!E88</f>
        <v/>
      </c>
      <c r="F3479">
        <f>'06_Сеть_и_дети'!F88</f>
        <v/>
      </c>
      <c r="G3479">
        <f>'06_Сеть_и_дети'!G88</f>
        <v/>
      </c>
      <c r="H3479">
        <f>'06_Сеть_и_дети'!H88</f>
        <v/>
      </c>
      <c r="I3479">
        <f>IF('01_Вводные'!$B$234="Да",'19_Расчет_аналитики'!H3478*'01_Вводные'!$B$14,0)</f>
        <v/>
      </c>
      <c r="J3479">
        <f>IF('01_Вводные'!$B$234="Да",'19_Расчет_аналитики'!I3478*'01_Вводные'!$B$14,0)</f>
        <v/>
      </c>
      <c r="K3479">
        <f>IF('01_Вводные'!$B$234="Да",'19_Расчет_аналитики'!J3478*'01_Вводные'!$B$14,0)</f>
        <v/>
      </c>
      <c r="L3479">
        <f>IF('01_Вводные'!$B$234="Да",'19_Расчет_аналитики'!K3478*'01_Вводные'!$B$14,0)</f>
        <v/>
      </c>
      <c r="M3479">
        <f>IF('01_Вводные'!$B$234="Да",'19_Расчет_аналитики'!L3478*'01_Вводные'!$B$14,0)</f>
        <v/>
      </c>
      <c r="N3479">
        <f>IF('01_Вводные'!$B$234="Да",'19_Расчет_аналитики'!M3478*'01_Вводные'!$B$14,0)</f>
        <v/>
      </c>
      <c r="O3479">
        <f>IF('01_Вводные'!$B$234="Да",'19_Расчет_аналитики'!N3478*'01_Вводные'!$B$14,0)</f>
        <v/>
      </c>
      <c r="P3479">
        <f>IF('01_Вводные'!$B$234="Да",'19_Расчет_аналитики'!O3478*'01_Вводные'!$B$14,0)</f>
        <v/>
      </c>
      <c r="Q3479">
        <f>IF('01_Вводные'!$B$234="Да",'19_Расчет_аналитики'!P3478*'01_Вводные'!$B$14,0)</f>
        <v/>
      </c>
      <c r="R3479">
        <f>IF('01_Вводные'!$B$234="Да",'19_Расчет_аналитики'!Q3478*'01_Вводные'!$B$14,0)</f>
        <v/>
      </c>
      <c r="S3479">
        <f>IF('01_Вводные'!$B$234="Да",'19_Расчет_аналитики'!R3478*'01_Вводные'!$B$14,0)</f>
        <v/>
      </c>
      <c r="T3479">
        <f>IF('01_Вводные'!$B$234="Да",'19_Расчет_аналитики'!S3478*'01_Вводные'!$B$14,0)</f>
        <v/>
      </c>
      <c r="U3479">
        <f>IF('01_Вводные'!$B$234="Да",'19_Расчет_аналитики'!T3478*'01_Вводные'!$B$14,0)</f>
        <v/>
      </c>
      <c r="V3479">
        <f>IF('01_Вводные'!$B$234="Да",'19_Расчет_аналитики'!U3478*'01_Вводные'!$B$14,0)</f>
        <v/>
      </c>
      <c r="W3479">
        <f>IF('01_Вводные'!$B$234="Да",'19_Расчет_аналитики'!V3478*'01_Вводные'!$B$14,0)</f>
        <v/>
      </c>
      <c r="X3479">
        <f>IF('01_Вводные'!$B$234="Да",'19_Расчет_аналитики'!W3478*'01_Вводные'!$B$14,0)</f>
        <v/>
      </c>
      <c r="Y3479">
        <f>IF('01_Вводные'!$B$234="Да",'19_Расчет_аналитики'!X3478*'01_Вводные'!$B$14,0)</f>
        <v/>
      </c>
      <c r="Z3479">
        <f>IF('01_Вводные'!$B$234="Да",'19_Расчет_аналитики'!Y3478*'01_Вводные'!$B$14,0)</f>
        <v/>
      </c>
      <c r="AA3479">
        <f>IF('01_Вводные'!$B$234="Да",'19_Расчет_аналитики'!Z3478*'01_Вводные'!$B$14,0)</f>
        <v/>
      </c>
      <c r="AB3479">
        <f>IF('01_Вводные'!$B$234="Да",'19_Расчет_аналитики'!AA3478*'01_Вводные'!$B$14,0)</f>
        <v/>
      </c>
      <c r="AC3479">
        <f>IF('01_Вводные'!$B$234="Да",'19_Расчет_аналитики'!AB3478*'01_Вводные'!$B$14,0)</f>
        <v/>
      </c>
      <c r="AD3479">
        <f>IF('01_Вводные'!$B$234="Да",'19_Расчет_аналитики'!AC3478*'01_Вводные'!$B$14,0)</f>
        <v/>
      </c>
      <c r="AE3479">
        <f>IF('01_Вводные'!$B$234="Да",'19_Расчет_аналитики'!AD3478*'01_Вводные'!$B$14,0)</f>
        <v/>
      </c>
      <c r="AF3479">
        <f>IF('01_Вводные'!$B$234="Да",'19_Расчет_аналитики'!AE3478*'01_Вводные'!$B$14,0)</f>
        <v/>
      </c>
      <c r="AG3479">
        <f>IF('01_Вводные'!$B$234="Да",'19_Расчет_аналитики'!AF3478*'01_Вводные'!$B$14,0)</f>
        <v/>
      </c>
      <c r="AH3479">
        <f>IF('01_Вводные'!$B$234="Да",'19_Расчет_аналитики'!AG3478*'01_Вводные'!$B$14,0)</f>
        <v/>
      </c>
      <c r="AI3479">
        <f>IF('01_Вводные'!$B$234="Да",'19_Расчет_аналитики'!AH3478*'01_Вводные'!$B$14,0)</f>
        <v/>
      </c>
      <c r="AJ3479">
        <f>IF('01_Вводные'!$B$234="Да",'19_Расчет_аналитики'!AI3478*'01_Вводные'!$B$14,0)</f>
        <v/>
      </c>
      <c r="AK3479">
        <f>IF('01_Вводные'!$B$234="Да",'19_Расчет_аналитики'!AJ3478*'01_Вводные'!$B$14,0)</f>
        <v/>
      </c>
      <c r="AL3479">
        <f>IF('01_Вводные'!$B$234="Да",'19_Расчет_аналитики'!AK3478*'01_Вводные'!$B$14,0)</f>
        <v/>
      </c>
      <c r="AM3479">
        <f>IF('01_Вводные'!$B$234="Да",'19_Расчет_аналитики'!AL3478*'01_Вводные'!$B$14,0)</f>
        <v/>
      </c>
      <c r="AN3479">
        <f>IF('01_Вводные'!$B$234="Да",'19_Расчет_аналитики'!AM3478*'01_Вводные'!$B$14,0)</f>
        <v/>
      </c>
      <c r="AO3479">
        <f>IF('01_Вводные'!$B$234="Да",'19_Расчет_аналитики'!AN3478*'01_Вводные'!$B$14,0)</f>
        <v/>
      </c>
      <c r="AP3479">
        <f>IF('01_Вводные'!$B$234="Да",'19_Расчет_аналитики'!AO3478*'01_Вводные'!$B$14,0)</f>
        <v/>
      </c>
      <c r="AQ3479">
        <f>IF('01_Вводные'!$B$234="Да",'19_Расчет_аналитики'!AP3478*'01_Вводные'!$B$14,0)</f>
        <v/>
      </c>
      <c r="AR3479">
        <f>IF('01_Вводные'!$B$234="Да",'19_Расчет_аналитики'!AQ3478*'01_Вводные'!$B$14,0)</f>
        <v/>
      </c>
      <c r="AS3479">
        <f>IF('01_Вводные'!$B$234="Да",'19_Расчет_аналитики'!AR3478*'01_Вводные'!$B$14,0)</f>
        <v/>
      </c>
      <c r="AT3479">
        <f>IF('01_Вводные'!$B$234="Да",'19_Расчет_аналитики'!AS3478*'01_Вводные'!$B$14,0)</f>
        <v/>
      </c>
      <c r="AU3479">
        <f>IF('01_Вводные'!$B$234="Да",'19_Расчет_аналитики'!AT3478*'01_Вводные'!$B$14,0)</f>
        <v/>
      </c>
      <c r="AV3479">
        <f>IF('01_Вводные'!$B$234="Да",'19_Расчет_аналитики'!AU3478*'01_Вводные'!$B$14,0)</f>
        <v/>
      </c>
      <c r="AW3479">
        <f>IF('01_Вводные'!$B$234="Да",'19_Расчет_аналитики'!AV3478*'01_Вводные'!$B$14,0)</f>
        <v/>
      </c>
      <c r="AX3479">
        <f>IF('01_Вводные'!$B$234="Да",'19_Расчет_аналитики'!AW3478*'01_Вводные'!$B$14,0)</f>
        <v/>
      </c>
      <c r="AY3479">
        <f>IF('01_Вводные'!$B$234="Да",'19_Расчет_аналитики'!AX3478*'01_Вводные'!$B$14,0)</f>
        <v/>
      </c>
      <c r="AZ3479">
        <f>IF('01_Вводные'!$B$234="Да",'19_Расчет_аналитики'!AY3478*'01_Вводные'!$B$14,0)</f>
        <v/>
      </c>
      <c r="BA3479">
        <f>IF('01_Вводные'!$B$234="Да",'19_Расчет_аналитики'!AZ3478*'01_Вводные'!$B$14,0)</f>
        <v/>
      </c>
      <c r="BB3479">
        <f>IF('01_Вводные'!$B$234="Да",'19_Расчет_аналитики'!BA3478*'01_Вводные'!$B$14,0)</f>
        <v/>
      </c>
      <c r="BC3479">
        <f>IF('01_Вводные'!$B$234="Да",'19_Расчет_аналитики'!BB3478*'01_Вводные'!$B$14,0)</f>
        <v/>
      </c>
      <c r="BD3479">
        <f>IF('01_Вводные'!$B$234="Да",'19_Расчет_аналитики'!BC3478*'01_Вводные'!$B$14,0)</f>
        <v/>
      </c>
      <c r="BE3479">
        <f>IF('01_Вводные'!$B$234="Да",'19_Расчет_аналитики'!BD3478*'01_Вводные'!$B$14,0)</f>
        <v/>
      </c>
      <c r="BF3479">
        <f>IF('01_Вводные'!$B$234="Да",'19_Расчет_аналитики'!BE3478*'01_Вводные'!$B$14,0)</f>
        <v/>
      </c>
      <c r="BG3479">
        <f>IF('01_Вводные'!$B$234="Да",'19_Расчет_аналитики'!BF3478*'01_Вводные'!$B$14,0)</f>
        <v/>
      </c>
      <c r="BH3479">
        <f>IF('01_Вводные'!$B$234="Да",'19_Расчет_аналитики'!BG3478*'01_Вводные'!$B$14,0)</f>
        <v/>
      </c>
      <c r="BI3479">
        <f>IF('01_Вводные'!$B$234="Да",'19_Расчет_аналитики'!BH3478*'01_Вводные'!$B$14,0)</f>
        <v/>
      </c>
      <c r="BJ3479">
        <f>IF('01_Вводные'!$B$234="Да",'19_Расчет_аналитики'!BI3478*'01_Вводные'!$B$14,0)</f>
        <v/>
      </c>
      <c r="BK3479">
        <f>IF('01_Вводные'!$B$234="Да",'19_Расчет_аналитики'!BJ3478*'01_Вводные'!$B$14,0)</f>
        <v/>
      </c>
      <c r="BL3479">
        <f>IF('01_Вводные'!$B$234="Да",'19_Расчет_аналитики'!BK3478*'01_Вводные'!$B$14,0)</f>
        <v/>
      </c>
      <c r="BM3479">
        <f>IF('01_Вводные'!$B$234="Да",'19_Расчет_аналитики'!BL3478*'01_Вводные'!$B$14,0)</f>
        <v/>
      </c>
      <c r="BN3479">
        <f>IF('01_Вводные'!$B$234="Да",'19_Расчет_аналитики'!BM3478*'01_Вводные'!$B$14,0)</f>
        <v/>
      </c>
      <c r="BO3479">
        <f>IF('01_Вводные'!$B$234="Да",'19_Расчет_аналитики'!BN3478*'01_Вводные'!$B$14,0)</f>
        <v/>
      </c>
    </row>
    <row r="3480">
      <c r="B3480">
        <f>'06_Сеть_и_дети'!B89</f>
        <v/>
      </c>
      <c r="C3480">
        <f>'06_Сеть_и_дети'!C89</f>
        <v/>
      </c>
      <c r="D3480">
        <f>'06_Сеть_и_дети'!D89</f>
        <v/>
      </c>
      <c r="E3480">
        <f>'06_Сеть_и_дети'!E89</f>
        <v/>
      </c>
      <c r="F3480">
        <f>'06_Сеть_и_дети'!F89</f>
        <v/>
      </c>
      <c r="G3480">
        <f>'06_Сеть_и_дети'!G89</f>
        <v/>
      </c>
      <c r="H3480">
        <f>'06_Сеть_и_дети'!H89</f>
        <v/>
      </c>
      <c r="I3480">
        <f>'06_Сеть_и_дети'!I89</f>
        <v/>
      </c>
      <c r="J3480">
        <f>IF('01_Вводные'!$B$234="Да",'19_Расчет_аналитики'!I3479*'01_Вводные'!$B$14,0)</f>
        <v/>
      </c>
      <c r="K3480">
        <f>IF('01_Вводные'!$B$234="Да",'19_Расчет_аналитики'!J3479*'01_Вводные'!$B$14,0)</f>
        <v/>
      </c>
      <c r="L3480">
        <f>IF('01_Вводные'!$B$234="Да",'19_Расчет_аналитики'!K3479*'01_Вводные'!$B$14,0)</f>
        <v/>
      </c>
      <c r="M3480">
        <f>IF('01_Вводные'!$B$234="Да",'19_Расчет_аналитики'!L3479*'01_Вводные'!$B$14,0)</f>
        <v/>
      </c>
      <c r="N3480">
        <f>IF('01_Вводные'!$B$234="Да",'19_Расчет_аналитики'!M3479*'01_Вводные'!$B$14,0)</f>
        <v/>
      </c>
      <c r="O3480">
        <f>IF('01_Вводные'!$B$234="Да",'19_Расчет_аналитики'!N3479*'01_Вводные'!$B$14,0)</f>
        <v/>
      </c>
      <c r="P3480">
        <f>IF('01_Вводные'!$B$234="Да",'19_Расчет_аналитики'!O3479*'01_Вводные'!$B$14,0)</f>
        <v/>
      </c>
      <c r="Q3480">
        <f>IF('01_Вводные'!$B$234="Да",'19_Расчет_аналитики'!P3479*'01_Вводные'!$B$14,0)</f>
        <v/>
      </c>
      <c r="R3480">
        <f>IF('01_Вводные'!$B$234="Да",'19_Расчет_аналитики'!Q3479*'01_Вводные'!$B$14,0)</f>
        <v/>
      </c>
      <c r="S3480">
        <f>IF('01_Вводные'!$B$234="Да",'19_Расчет_аналитики'!R3479*'01_Вводные'!$B$14,0)</f>
        <v/>
      </c>
      <c r="T3480">
        <f>IF('01_Вводные'!$B$234="Да",'19_Расчет_аналитики'!S3479*'01_Вводные'!$B$14,0)</f>
        <v/>
      </c>
      <c r="U3480">
        <f>IF('01_Вводные'!$B$234="Да",'19_Расчет_аналитики'!T3479*'01_Вводные'!$B$14,0)</f>
        <v/>
      </c>
      <c r="V3480">
        <f>IF('01_Вводные'!$B$234="Да",'19_Расчет_аналитики'!U3479*'01_Вводные'!$B$14,0)</f>
        <v/>
      </c>
      <c r="W3480">
        <f>IF('01_Вводные'!$B$234="Да",'19_Расчет_аналитики'!V3479*'01_Вводные'!$B$14,0)</f>
        <v/>
      </c>
      <c r="X3480">
        <f>IF('01_Вводные'!$B$234="Да",'19_Расчет_аналитики'!W3479*'01_Вводные'!$B$14,0)</f>
        <v/>
      </c>
      <c r="Y3480">
        <f>IF('01_Вводные'!$B$234="Да",'19_Расчет_аналитики'!X3479*'01_Вводные'!$B$14,0)</f>
        <v/>
      </c>
      <c r="Z3480">
        <f>IF('01_Вводные'!$B$234="Да",'19_Расчет_аналитики'!Y3479*'01_Вводные'!$B$14,0)</f>
        <v/>
      </c>
      <c r="AA3480">
        <f>IF('01_Вводные'!$B$234="Да",'19_Расчет_аналитики'!Z3479*'01_Вводные'!$B$14,0)</f>
        <v/>
      </c>
      <c r="AB3480">
        <f>IF('01_Вводные'!$B$234="Да",'19_Расчет_аналитики'!AA3479*'01_Вводные'!$B$14,0)</f>
        <v/>
      </c>
      <c r="AC3480">
        <f>IF('01_Вводные'!$B$234="Да",'19_Расчет_аналитики'!AB3479*'01_Вводные'!$B$14,0)</f>
        <v/>
      </c>
      <c r="AD3480">
        <f>IF('01_Вводные'!$B$234="Да",'19_Расчет_аналитики'!AC3479*'01_Вводные'!$B$14,0)</f>
        <v/>
      </c>
      <c r="AE3480">
        <f>IF('01_Вводные'!$B$234="Да",'19_Расчет_аналитики'!AD3479*'01_Вводные'!$B$14,0)</f>
        <v/>
      </c>
      <c r="AF3480">
        <f>IF('01_Вводные'!$B$234="Да",'19_Расчет_аналитики'!AE3479*'01_Вводные'!$B$14,0)</f>
        <v/>
      </c>
      <c r="AG3480">
        <f>IF('01_Вводные'!$B$234="Да",'19_Расчет_аналитики'!AF3479*'01_Вводные'!$B$14,0)</f>
        <v/>
      </c>
      <c r="AH3480">
        <f>IF('01_Вводные'!$B$234="Да",'19_Расчет_аналитики'!AG3479*'01_Вводные'!$B$14,0)</f>
        <v/>
      </c>
      <c r="AI3480">
        <f>IF('01_Вводные'!$B$234="Да",'19_Расчет_аналитики'!AH3479*'01_Вводные'!$B$14,0)</f>
        <v/>
      </c>
      <c r="AJ3480">
        <f>IF('01_Вводные'!$B$234="Да",'19_Расчет_аналитики'!AI3479*'01_Вводные'!$B$14,0)</f>
        <v/>
      </c>
      <c r="AK3480">
        <f>IF('01_Вводные'!$B$234="Да",'19_Расчет_аналитики'!AJ3479*'01_Вводные'!$B$14,0)</f>
        <v/>
      </c>
      <c r="AL3480">
        <f>IF('01_Вводные'!$B$234="Да",'19_Расчет_аналитики'!AK3479*'01_Вводные'!$B$14,0)</f>
        <v/>
      </c>
      <c r="AM3480">
        <f>IF('01_Вводные'!$B$234="Да",'19_Расчет_аналитики'!AL3479*'01_Вводные'!$B$14,0)</f>
        <v/>
      </c>
      <c r="AN3480">
        <f>IF('01_Вводные'!$B$234="Да",'19_Расчет_аналитики'!AM3479*'01_Вводные'!$B$14,0)</f>
        <v/>
      </c>
      <c r="AO3480">
        <f>IF('01_Вводные'!$B$234="Да",'19_Расчет_аналитики'!AN3479*'01_Вводные'!$B$14,0)</f>
        <v/>
      </c>
      <c r="AP3480">
        <f>IF('01_Вводные'!$B$234="Да",'19_Расчет_аналитики'!AO3479*'01_Вводные'!$B$14,0)</f>
        <v/>
      </c>
      <c r="AQ3480">
        <f>IF('01_Вводные'!$B$234="Да",'19_Расчет_аналитики'!AP3479*'01_Вводные'!$B$14,0)</f>
        <v/>
      </c>
      <c r="AR3480">
        <f>IF('01_Вводные'!$B$234="Да",'19_Расчет_аналитики'!AQ3479*'01_Вводные'!$B$14,0)</f>
        <v/>
      </c>
      <c r="AS3480">
        <f>IF('01_Вводные'!$B$234="Да",'19_Расчет_аналитики'!AR3479*'01_Вводные'!$B$14,0)</f>
        <v/>
      </c>
      <c r="AT3480">
        <f>IF('01_Вводные'!$B$234="Да",'19_Расчет_аналитики'!AS3479*'01_Вводные'!$B$14,0)</f>
        <v/>
      </c>
      <c r="AU3480">
        <f>IF('01_Вводные'!$B$234="Да",'19_Расчет_аналитики'!AT3479*'01_Вводные'!$B$14,0)</f>
        <v/>
      </c>
      <c r="AV3480">
        <f>IF('01_Вводные'!$B$234="Да",'19_Расчет_аналитики'!AU3479*'01_Вводные'!$B$14,0)</f>
        <v/>
      </c>
      <c r="AW3480">
        <f>IF('01_Вводные'!$B$234="Да",'19_Расчет_аналитики'!AV3479*'01_Вводные'!$B$14,0)</f>
        <v/>
      </c>
      <c r="AX3480">
        <f>IF('01_Вводные'!$B$234="Да",'19_Расчет_аналитики'!AW3479*'01_Вводные'!$B$14,0)</f>
        <v/>
      </c>
      <c r="AY3480">
        <f>IF('01_Вводные'!$B$234="Да",'19_Расчет_аналитики'!AX3479*'01_Вводные'!$B$14,0)</f>
        <v/>
      </c>
      <c r="AZ3480">
        <f>IF('01_Вводные'!$B$234="Да",'19_Расчет_аналитики'!AY3479*'01_Вводные'!$B$14,0)</f>
        <v/>
      </c>
      <c r="BA3480">
        <f>IF('01_Вводные'!$B$234="Да",'19_Расчет_аналитики'!AZ3479*'01_Вводные'!$B$14,0)</f>
        <v/>
      </c>
      <c r="BB3480">
        <f>IF('01_Вводные'!$B$234="Да",'19_Расчет_аналитики'!BA3479*'01_Вводные'!$B$14,0)</f>
        <v/>
      </c>
      <c r="BC3480">
        <f>IF('01_Вводные'!$B$234="Да",'19_Расчет_аналитики'!BB3479*'01_Вводные'!$B$14,0)</f>
        <v/>
      </c>
      <c r="BD3480">
        <f>IF('01_Вводные'!$B$234="Да",'19_Расчет_аналитики'!BC3479*'01_Вводные'!$B$14,0)</f>
        <v/>
      </c>
      <c r="BE3480">
        <f>IF('01_Вводные'!$B$234="Да",'19_Расчет_аналитики'!BD3479*'01_Вводные'!$B$14,0)</f>
        <v/>
      </c>
      <c r="BF3480">
        <f>IF('01_Вводные'!$B$234="Да",'19_Расчет_аналитики'!BE3479*'01_Вводные'!$B$14,0)</f>
        <v/>
      </c>
      <c r="BG3480">
        <f>IF('01_Вводные'!$B$234="Да",'19_Расчет_аналитики'!BF3479*'01_Вводные'!$B$14,0)</f>
        <v/>
      </c>
      <c r="BH3480">
        <f>IF('01_Вводные'!$B$234="Да",'19_Расчет_аналитики'!BG3479*'01_Вводные'!$B$14,0)</f>
        <v/>
      </c>
      <c r="BI3480">
        <f>IF('01_Вводные'!$B$234="Да",'19_Расчет_аналитики'!BH3479*'01_Вводные'!$B$14,0)</f>
        <v/>
      </c>
      <c r="BJ3480">
        <f>IF('01_Вводные'!$B$234="Да",'19_Расчет_аналитики'!BI3479*'01_Вводные'!$B$14,0)</f>
        <v/>
      </c>
      <c r="BK3480">
        <f>IF('01_Вводные'!$B$234="Да",'19_Расчет_аналитики'!BJ3479*'01_Вводные'!$B$14,0)</f>
        <v/>
      </c>
      <c r="BL3480">
        <f>IF('01_Вводные'!$B$234="Да",'19_Расчет_аналитики'!BK3479*'01_Вводные'!$B$14,0)</f>
        <v/>
      </c>
      <c r="BM3480">
        <f>IF('01_Вводные'!$B$234="Да",'19_Расчет_аналитики'!BL3479*'01_Вводные'!$B$14,0)</f>
        <v/>
      </c>
      <c r="BN3480">
        <f>IF('01_Вводные'!$B$234="Да",'19_Расчет_аналитики'!BM3479*'01_Вводные'!$B$14,0)</f>
        <v/>
      </c>
      <c r="BO3480">
        <f>IF('01_Вводные'!$B$234="Да",'19_Расчет_аналитики'!BN3479*'01_Вводные'!$B$14,0)</f>
        <v/>
      </c>
    </row>
    <row r="3481">
      <c r="B3481">
        <f>'06_Сеть_и_дети'!B90</f>
        <v/>
      </c>
      <c r="C3481">
        <f>'06_Сеть_и_дети'!C90</f>
        <v/>
      </c>
      <c r="D3481">
        <f>'06_Сеть_и_дети'!D90</f>
        <v/>
      </c>
      <c r="E3481">
        <f>'06_Сеть_и_дети'!E90</f>
        <v/>
      </c>
      <c r="F3481">
        <f>'06_Сеть_и_дети'!F90</f>
        <v/>
      </c>
      <c r="G3481">
        <f>'06_Сеть_и_дети'!G90</f>
        <v/>
      </c>
      <c r="H3481">
        <f>'06_Сеть_и_дети'!H90</f>
        <v/>
      </c>
      <c r="I3481">
        <f>'06_Сеть_и_дети'!I90</f>
        <v/>
      </c>
      <c r="J3481">
        <f>'06_Сеть_и_дети'!J90</f>
        <v/>
      </c>
      <c r="K3481">
        <f>IF('01_Вводные'!$B$234="Да",'19_Расчет_аналитики'!J3480*'01_Вводные'!$B$14,0)</f>
        <v/>
      </c>
      <c r="L3481">
        <f>IF('01_Вводные'!$B$234="Да",'19_Расчет_аналитики'!K3480*'01_Вводные'!$B$14,0)</f>
        <v/>
      </c>
      <c r="M3481">
        <f>IF('01_Вводные'!$B$234="Да",'19_Расчет_аналитики'!L3480*'01_Вводные'!$B$14,0)</f>
        <v/>
      </c>
      <c r="N3481">
        <f>IF('01_Вводные'!$B$234="Да",'19_Расчет_аналитики'!M3480*'01_Вводные'!$B$14,0)</f>
        <v/>
      </c>
      <c r="O3481">
        <f>IF('01_Вводные'!$B$234="Да",'19_Расчет_аналитики'!N3480*'01_Вводные'!$B$14,0)</f>
        <v/>
      </c>
      <c r="P3481">
        <f>IF('01_Вводные'!$B$234="Да",'19_Расчет_аналитики'!O3480*'01_Вводные'!$B$14,0)</f>
        <v/>
      </c>
      <c r="Q3481">
        <f>IF('01_Вводные'!$B$234="Да",'19_Расчет_аналитики'!P3480*'01_Вводные'!$B$14,0)</f>
        <v/>
      </c>
      <c r="R3481">
        <f>IF('01_Вводные'!$B$234="Да",'19_Расчет_аналитики'!Q3480*'01_Вводные'!$B$14,0)</f>
        <v/>
      </c>
      <c r="S3481">
        <f>IF('01_Вводные'!$B$234="Да",'19_Расчет_аналитики'!R3480*'01_Вводные'!$B$14,0)</f>
        <v/>
      </c>
      <c r="T3481">
        <f>IF('01_Вводные'!$B$234="Да",'19_Расчет_аналитики'!S3480*'01_Вводные'!$B$14,0)</f>
        <v/>
      </c>
      <c r="U3481">
        <f>IF('01_Вводные'!$B$234="Да",'19_Расчет_аналитики'!T3480*'01_Вводные'!$B$14,0)</f>
        <v/>
      </c>
      <c r="V3481">
        <f>IF('01_Вводные'!$B$234="Да",'19_Расчет_аналитики'!U3480*'01_Вводные'!$B$14,0)</f>
        <v/>
      </c>
      <c r="W3481">
        <f>IF('01_Вводные'!$B$234="Да",'19_Расчет_аналитики'!V3480*'01_Вводные'!$B$14,0)</f>
        <v/>
      </c>
      <c r="X3481">
        <f>IF('01_Вводные'!$B$234="Да",'19_Расчет_аналитики'!W3480*'01_Вводные'!$B$14,0)</f>
        <v/>
      </c>
      <c r="Y3481">
        <f>IF('01_Вводные'!$B$234="Да",'19_Расчет_аналитики'!X3480*'01_Вводные'!$B$14,0)</f>
        <v/>
      </c>
      <c r="Z3481">
        <f>IF('01_Вводные'!$B$234="Да",'19_Расчет_аналитики'!Y3480*'01_Вводные'!$B$14,0)</f>
        <v/>
      </c>
      <c r="AA3481">
        <f>IF('01_Вводные'!$B$234="Да",'19_Расчет_аналитики'!Z3480*'01_Вводные'!$B$14,0)</f>
        <v/>
      </c>
      <c r="AB3481">
        <f>IF('01_Вводные'!$B$234="Да",'19_Расчет_аналитики'!AA3480*'01_Вводные'!$B$14,0)</f>
        <v/>
      </c>
      <c r="AC3481">
        <f>IF('01_Вводные'!$B$234="Да",'19_Расчет_аналитики'!AB3480*'01_Вводные'!$B$14,0)</f>
        <v/>
      </c>
      <c r="AD3481">
        <f>IF('01_Вводные'!$B$234="Да",'19_Расчет_аналитики'!AC3480*'01_Вводные'!$B$14,0)</f>
        <v/>
      </c>
      <c r="AE3481">
        <f>IF('01_Вводные'!$B$234="Да",'19_Расчет_аналитики'!AD3480*'01_Вводные'!$B$14,0)</f>
        <v/>
      </c>
      <c r="AF3481">
        <f>IF('01_Вводные'!$B$234="Да",'19_Расчет_аналитики'!AE3480*'01_Вводные'!$B$14,0)</f>
        <v/>
      </c>
      <c r="AG3481">
        <f>IF('01_Вводные'!$B$234="Да",'19_Расчет_аналитики'!AF3480*'01_Вводные'!$B$14,0)</f>
        <v/>
      </c>
      <c r="AH3481">
        <f>IF('01_Вводные'!$B$234="Да",'19_Расчет_аналитики'!AG3480*'01_Вводные'!$B$14,0)</f>
        <v/>
      </c>
      <c r="AI3481">
        <f>IF('01_Вводные'!$B$234="Да",'19_Расчет_аналитики'!AH3480*'01_Вводные'!$B$14,0)</f>
        <v/>
      </c>
      <c r="AJ3481">
        <f>IF('01_Вводные'!$B$234="Да",'19_Расчет_аналитики'!AI3480*'01_Вводные'!$B$14,0)</f>
        <v/>
      </c>
      <c r="AK3481">
        <f>IF('01_Вводные'!$B$234="Да",'19_Расчет_аналитики'!AJ3480*'01_Вводные'!$B$14,0)</f>
        <v/>
      </c>
      <c r="AL3481">
        <f>IF('01_Вводные'!$B$234="Да",'19_Расчет_аналитики'!AK3480*'01_Вводные'!$B$14,0)</f>
        <v/>
      </c>
      <c r="AM3481">
        <f>IF('01_Вводные'!$B$234="Да",'19_Расчет_аналитики'!AL3480*'01_Вводные'!$B$14,0)</f>
        <v/>
      </c>
      <c r="AN3481">
        <f>IF('01_Вводные'!$B$234="Да",'19_Расчет_аналитики'!AM3480*'01_Вводные'!$B$14,0)</f>
        <v/>
      </c>
      <c r="AO3481">
        <f>IF('01_Вводные'!$B$234="Да",'19_Расчет_аналитики'!AN3480*'01_Вводные'!$B$14,0)</f>
        <v/>
      </c>
      <c r="AP3481">
        <f>IF('01_Вводные'!$B$234="Да",'19_Расчет_аналитики'!AO3480*'01_Вводные'!$B$14,0)</f>
        <v/>
      </c>
      <c r="AQ3481">
        <f>IF('01_Вводные'!$B$234="Да",'19_Расчет_аналитики'!AP3480*'01_Вводные'!$B$14,0)</f>
        <v/>
      </c>
      <c r="AR3481">
        <f>IF('01_Вводные'!$B$234="Да",'19_Расчет_аналитики'!AQ3480*'01_Вводные'!$B$14,0)</f>
        <v/>
      </c>
      <c r="AS3481">
        <f>IF('01_Вводные'!$B$234="Да",'19_Расчет_аналитики'!AR3480*'01_Вводные'!$B$14,0)</f>
        <v/>
      </c>
      <c r="AT3481">
        <f>IF('01_Вводные'!$B$234="Да",'19_Расчет_аналитики'!AS3480*'01_Вводные'!$B$14,0)</f>
        <v/>
      </c>
      <c r="AU3481">
        <f>IF('01_Вводные'!$B$234="Да",'19_Расчет_аналитики'!AT3480*'01_Вводные'!$B$14,0)</f>
        <v/>
      </c>
      <c r="AV3481">
        <f>IF('01_Вводные'!$B$234="Да",'19_Расчет_аналитики'!AU3480*'01_Вводные'!$B$14,0)</f>
        <v/>
      </c>
      <c r="AW3481">
        <f>IF('01_Вводные'!$B$234="Да",'19_Расчет_аналитики'!AV3480*'01_Вводные'!$B$14,0)</f>
        <v/>
      </c>
      <c r="AX3481">
        <f>IF('01_Вводные'!$B$234="Да",'19_Расчет_аналитики'!AW3480*'01_Вводные'!$B$14,0)</f>
        <v/>
      </c>
      <c r="AY3481">
        <f>IF('01_Вводные'!$B$234="Да",'19_Расчет_аналитики'!AX3480*'01_Вводные'!$B$14,0)</f>
        <v/>
      </c>
      <c r="AZ3481">
        <f>IF('01_Вводные'!$B$234="Да",'19_Расчет_аналитики'!AY3480*'01_Вводные'!$B$14,0)</f>
        <v/>
      </c>
      <c r="BA3481">
        <f>IF('01_Вводные'!$B$234="Да",'19_Расчет_аналитики'!AZ3480*'01_Вводные'!$B$14,0)</f>
        <v/>
      </c>
      <c r="BB3481">
        <f>IF('01_Вводные'!$B$234="Да",'19_Расчет_аналитики'!BA3480*'01_Вводные'!$B$14,0)</f>
        <v/>
      </c>
      <c r="BC3481">
        <f>IF('01_Вводные'!$B$234="Да",'19_Расчет_аналитики'!BB3480*'01_Вводные'!$B$14,0)</f>
        <v/>
      </c>
      <c r="BD3481">
        <f>IF('01_Вводные'!$B$234="Да",'19_Расчет_аналитики'!BC3480*'01_Вводные'!$B$14,0)</f>
        <v/>
      </c>
      <c r="BE3481">
        <f>IF('01_Вводные'!$B$234="Да",'19_Расчет_аналитики'!BD3480*'01_Вводные'!$B$14,0)</f>
        <v/>
      </c>
      <c r="BF3481">
        <f>IF('01_Вводные'!$B$234="Да",'19_Расчет_аналитики'!BE3480*'01_Вводные'!$B$14,0)</f>
        <v/>
      </c>
      <c r="BG3481">
        <f>IF('01_Вводные'!$B$234="Да",'19_Расчет_аналитики'!BF3480*'01_Вводные'!$B$14,0)</f>
        <v/>
      </c>
      <c r="BH3481">
        <f>IF('01_Вводные'!$B$234="Да",'19_Расчет_аналитики'!BG3480*'01_Вводные'!$B$14,0)</f>
        <v/>
      </c>
      <c r="BI3481">
        <f>IF('01_Вводные'!$B$234="Да",'19_Расчет_аналитики'!BH3480*'01_Вводные'!$B$14,0)</f>
        <v/>
      </c>
      <c r="BJ3481">
        <f>IF('01_Вводные'!$B$234="Да",'19_Расчет_аналитики'!BI3480*'01_Вводные'!$B$14,0)</f>
        <v/>
      </c>
      <c r="BK3481">
        <f>IF('01_Вводные'!$B$234="Да",'19_Расчет_аналитики'!BJ3480*'01_Вводные'!$B$14,0)</f>
        <v/>
      </c>
      <c r="BL3481">
        <f>IF('01_Вводные'!$B$234="Да",'19_Расчет_аналитики'!BK3480*'01_Вводные'!$B$14,0)</f>
        <v/>
      </c>
      <c r="BM3481">
        <f>IF('01_Вводные'!$B$234="Да",'19_Расчет_аналитики'!BL3480*'01_Вводные'!$B$14,0)</f>
        <v/>
      </c>
      <c r="BN3481">
        <f>IF('01_Вводные'!$B$234="Да",'19_Расчет_аналитики'!BM3480*'01_Вводные'!$B$14,0)</f>
        <v/>
      </c>
      <c r="BO3481">
        <f>IF('01_Вводные'!$B$234="Да",'19_Расчет_аналитики'!BN3480*'01_Вводные'!$B$14,0)</f>
        <v/>
      </c>
    </row>
    <row r="3482">
      <c r="B3482">
        <f>'06_Сеть_и_дети'!B91</f>
        <v/>
      </c>
      <c r="C3482">
        <f>'06_Сеть_и_дети'!C91</f>
        <v/>
      </c>
      <c r="D3482">
        <f>'06_Сеть_и_дети'!D91</f>
        <v/>
      </c>
      <c r="E3482">
        <f>'06_Сеть_и_дети'!E91</f>
        <v/>
      </c>
      <c r="F3482">
        <f>'06_Сеть_и_дети'!F91</f>
        <v/>
      </c>
      <c r="G3482">
        <f>'06_Сеть_и_дети'!G91</f>
        <v/>
      </c>
      <c r="H3482">
        <f>'06_Сеть_и_дети'!H91</f>
        <v/>
      </c>
      <c r="I3482">
        <f>'06_Сеть_и_дети'!I91</f>
        <v/>
      </c>
      <c r="J3482">
        <f>'06_Сеть_и_дети'!J91</f>
        <v/>
      </c>
      <c r="K3482">
        <f>'06_Сеть_и_дети'!K91</f>
        <v/>
      </c>
      <c r="L3482">
        <f>IF('01_Вводные'!$B$234="Да",'19_Расчет_аналитики'!K3481*'01_Вводные'!$B$14,0)</f>
        <v/>
      </c>
      <c r="M3482">
        <f>IF('01_Вводные'!$B$234="Да",'19_Расчет_аналитики'!L3481*'01_Вводные'!$B$14,0)</f>
        <v/>
      </c>
      <c r="N3482">
        <f>IF('01_Вводные'!$B$234="Да",'19_Расчет_аналитики'!M3481*'01_Вводные'!$B$14,0)</f>
        <v/>
      </c>
      <c r="O3482">
        <f>IF('01_Вводные'!$B$234="Да",'19_Расчет_аналитики'!N3481*'01_Вводные'!$B$14,0)</f>
        <v/>
      </c>
      <c r="P3482">
        <f>IF('01_Вводные'!$B$234="Да",'19_Расчет_аналитики'!O3481*'01_Вводные'!$B$14,0)</f>
        <v/>
      </c>
      <c r="Q3482">
        <f>IF('01_Вводные'!$B$234="Да",'19_Расчет_аналитики'!P3481*'01_Вводные'!$B$14,0)</f>
        <v/>
      </c>
      <c r="R3482">
        <f>IF('01_Вводные'!$B$234="Да",'19_Расчет_аналитики'!Q3481*'01_Вводные'!$B$14,0)</f>
        <v/>
      </c>
      <c r="S3482">
        <f>IF('01_Вводные'!$B$234="Да",'19_Расчет_аналитики'!R3481*'01_Вводные'!$B$14,0)</f>
        <v/>
      </c>
      <c r="T3482">
        <f>IF('01_Вводные'!$B$234="Да",'19_Расчет_аналитики'!S3481*'01_Вводные'!$B$14,0)</f>
        <v/>
      </c>
      <c r="U3482">
        <f>IF('01_Вводные'!$B$234="Да",'19_Расчет_аналитики'!T3481*'01_Вводные'!$B$14,0)</f>
        <v/>
      </c>
      <c r="V3482">
        <f>IF('01_Вводные'!$B$234="Да",'19_Расчет_аналитики'!U3481*'01_Вводные'!$B$14,0)</f>
        <v/>
      </c>
      <c r="W3482">
        <f>IF('01_Вводные'!$B$234="Да",'19_Расчет_аналитики'!V3481*'01_Вводные'!$B$14,0)</f>
        <v/>
      </c>
      <c r="X3482">
        <f>IF('01_Вводные'!$B$234="Да",'19_Расчет_аналитики'!W3481*'01_Вводные'!$B$14,0)</f>
        <v/>
      </c>
      <c r="Y3482">
        <f>IF('01_Вводные'!$B$234="Да",'19_Расчет_аналитики'!X3481*'01_Вводные'!$B$14,0)</f>
        <v/>
      </c>
      <c r="Z3482">
        <f>IF('01_Вводные'!$B$234="Да",'19_Расчет_аналитики'!Y3481*'01_Вводные'!$B$14,0)</f>
        <v/>
      </c>
      <c r="AA3482">
        <f>IF('01_Вводные'!$B$234="Да",'19_Расчет_аналитики'!Z3481*'01_Вводные'!$B$14,0)</f>
        <v/>
      </c>
      <c r="AB3482">
        <f>IF('01_Вводные'!$B$234="Да",'19_Расчет_аналитики'!AA3481*'01_Вводные'!$B$14,0)</f>
        <v/>
      </c>
      <c r="AC3482">
        <f>IF('01_Вводные'!$B$234="Да",'19_Расчет_аналитики'!AB3481*'01_Вводные'!$B$14,0)</f>
        <v/>
      </c>
      <c r="AD3482">
        <f>IF('01_Вводные'!$B$234="Да",'19_Расчет_аналитики'!AC3481*'01_Вводные'!$B$14,0)</f>
        <v/>
      </c>
      <c r="AE3482">
        <f>IF('01_Вводные'!$B$234="Да",'19_Расчет_аналитики'!AD3481*'01_Вводные'!$B$14,0)</f>
        <v/>
      </c>
      <c r="AF3482">
        <f>IF('01_Вводные'!$B$234="Да",'19_Расчет_аналитики'!AE3481*'01_Вводные'!$B$14,0)</f>
        <v/>
      </c>
      <c r="AG3482">
        <f>IF('01_Вводные'!$B$234="Да",'19_Расчет_аналитики'!AF3481*'01_Вводные'!$B$14,0)</f>
        <v/>
      </c>
      <c r="AH3482">
        <f>IF('01_Вводные'!$B$234="Да",'19_Расчет_аналитики'!AG3481*'01_Вводные'!$B$14,0)</f>
        <v/>
      </c>
      <c r="AI3482">
        <f>IF('01_Вводные'!$B$234="Да",'19_Расчет_аналитики'!AH3481*'01_Вводные'!$B$14,0)</f>
        <v/>
      </c>
      <c r="AJ3482">
        <f>IF('01_Вводные'!$B$234="Да",'19_Расчет_аналитики'!AI3481*'01_Вводные'!$B$14,0)</f>
        <v/>
      </c>
      <c r="AK3482">
        <f>IF('01_Вводные'!$B$234="Да",'19_Расчет_аналитики'!AJ3481*'01_Вводные'!$B$14,0)</f>
        <v/>
      </c>
      <c r="AL3482">
        <f>IF('01_Вводные'!$B$234="Да",'19_Расчет_аналитики'!AK3481*'01_Вводные'!$B$14,0)</f>
        <v/>
      </c>
      <c r="AM3482">
        <f>IF('01_Вводные'!$B$234="Да",'19_Расчет_аналитики'!AL3481*'01_Вводные'!$B$14,0)</f>
        <v/>
      </c>
      <c r="AN3482">
        <f>IF('01_Вводные'!$B$234="Да",'19_Расчет_аналитики'!AM3481*'01_Вводные'!$B$14,0)</f>
        <v/>
      </c>
      <c r="AO3482">
        <f>IF('01_Вводные'!$B$234="Да",'19_Расчет_аналитики'!AN3481*'01_Вводные'!$B$14,0)</f>
        <v/>
      </c>
      <c r="AP3482">
        <f>IF('01_Вводные'!$B$234="Да",'19_Расчет_аналитики'!AO3481*'01_Вводные'!$B$14,0)</f>
        <v/>
      </c>
      <c r="AQ3482">
        <f>IF('01_Вводные'!$B$234="Да",'19_Расчет_аналитики'!AP3481*'01_Вводные'!$B$14,0)</f>
        <v/>
      </c>
      <c r="AR3482">
        <f>IF('01_Вводные'!$B$234="Да",'19_Расчет_аналитики'!AQ3481*'01_Вводные'!$B$14,0)</f>
        <v/>
      </c>
      <c r="AS3482">
        <f>IF('01_Вводные'!$B$234="Да",'19_Расчет_аналитики'!AR3481*'01_Вводные'!$B$14,0)</f>
        <v/>
      </c>
      <c r="AT3482">
        <f>IF('01_Вводные'!$B$234="Да",'19_Расчет_аналитики'!AS3481*'01_Вводные'!$B$14,0)</f>
        <v/>
      </c>
      <c r="AU3482">
        <f>IF('01_Вводные'!$B$234="Да",'19_Расчет_аналитики'!AT3481*'01_Вводные'!$B$14,0)</f>
        <v/>
      </c>
      <c r="AV3482">
        <f>IF('01_Вводные'!$B$234="Да",'19_Расчет_аналитики'!AU3481*'01_Вводные'!$B$14,0)</f>
        <v/>
      </c>
      <c r="AW3482">
        <f>IF('01_Вводные'!$B$234="Да",'19_Расчет_аналитики'!AV3481*'01_Вводные'!$B$14,0)</f>
        <v/>
      </c>
      <c r="AX3482">
        <f>IF('01_Вводные'!$B$234="Да",'19_Расчет_аналитики'!AW3481*'01_Вводные'!$B$14,0)</f>
        <v/>
      </c>
      <c r="AY3482">
        <f>IF('01_Вводные'!$B$234="Да",'19_Расчет_аналитики'!AX3481*'01_Вводные'!$B$14,0)</f>
        <v/>
      </c>
      <c r="AZ3482">
        <f>IF('01_Вводные'!$B$234="Да",'19_Расчет_аналитики'!AY3481*'01_Вводные'!$B$14,0)</f>
        <v/>
      </c>
      <c r="BA3482">
        <f>IF('01_Вводные'!$B$234="Да",'19_Расчет_аналитики'!AZ3481*'01_Вводные'!$B$14,0)</f>
        <v/>
      </c>
      <c r="BB3482">
        <f>IF('01_Вводные'!$B$234="Да",'19_Расчет_аналитики'!BA3481*'01_Вводные'!$B$14,0)</f>
        <v/>
      </c>
      <c r="BC3482">
        <f>IF('01_Вводные'!$B$234="Да",'19_Расчет_аналитики'!BB3481*'01_Вводные'!$B$14,0)</f>
        <v/>
      </c>
      <c r="BD3482">
        <f>IF('01_Вводные'!$B$234="Да",'19_Расчет_аналитики'!BC3481*'01_Вводные'!$B$14,0)</f>
        <v/>
      </c>
      <c r="BE3482">
        <f>IF('01_Вводные'!$B$234="Да",'19_Расчет_аналитики'!BD3481*'01_Вводные'!$B$14,0)</f>
        <v/>
      </c>
      <c r="BF3482">
        <f>IF('01_Вводные'!$B$234="Да",'19_Расчет_аналитики'!BE3481*'01_Вводные'!$B$14,0)</f>
        <v/>
      </c>
      <c r="BG3482">
        <f>IF('01_Вводные'!$B$234="Да",'19_Расчет_аналитики'!BF3481*'01_Вводные'!$B$14,0)</f>
        <v/>
      </c>
      <c r="BH3482">
        <f>IF('01_Вводные'!$B$234="Да",'19_Расчет_аналитики'!BG3481*'01_Вводные'!$B$14,0)</f>
        <v/>
      </c>
      <c r="BI3482">
        <f>IF('01_Вводные'!$B$234="Да",'19_Расчет_аналитики'!BH3481*'01_Вводные'!$B$14,0)</f>
        <v/>
      </c>
      <c r="BJ3482">
        <f>IF('01_Вводные'!$B$234="Да",'19_Расчет_аналитики'!BI3481*'01_Вводные'!$B$14,0)</f>
        <v/>
      </c>
      <c r="BK3482">
        <f>IF('01_Вводные'!$B$234="Да",'19_Расчет_аналитики'!BJ3481*'01_Вводные'!$B$14,0)</f>
        <v/>
      </c>
      <c r="BL3482">
        <f>IF('01_Вводные'!$B$234="Да",'19_Расчет_аналитики'!BK3481*'01_Вводные'!$B$14,0)</f>
        <v/>
      </c>
      <c r="BM3482">
        <f>IF('01_Вводные'!$B$234="Да",'19_Расчет_аналитики'!BL3481*'01_Вводные'!$B$14,0)</f>
        <v/>
      </c>
      <c r="BN3482">
        <f>IF('01_Вводные'!$B$234="Да",'19_Расчет_аналитики'!BM3481*'01_Вводные'!$B$14,0)</f>
        <v/>
      </c>
      <c r="BO3482">
        <f>IF('01_Вводные'!$B$234="Да",'19_Расчет_аналитики'!BN3481*'01_Вводные'!$B$14,0)</f>
        <v/>
      </c>
    </row>
    <row r="3483">
      <c r="B3483">
        <f>'06_Сеть_и_дети'!B92</f>
        <v/>
      </c>
      <c r="C3483">
        <f>'06_Сеть_и_дети'!C92</f>
        <v/>
      </c>
      <c r="D3483">
        <f>'06_Сеть_и_дети'!D92</f>
        <v/>
      </c>
      <c r="E3483">
        <f>'06_Сеть_и_дети'!E92</f>
        <v/>
      </c>
      <c r="F3483">
        <f>'06_Сеть_и_дети'!F92</f>
        <v/>
      </c>
      <c r="G3483">
        <f>'06_Сеть_и_дети'!G92</f>
        <v/>
      </c>
      <c r="H3483">
        <f>'06_Сеть_и_дети'!H92</f>
        <v/>
      </c>
      <c r="I3483">
        <f>'06_Сеть_и_дети'!I92</f>
        <v/>
      </c>
      <c r="J3483">
        <f>'06_Сеть_и_дети'!J92</f>
        <v/>
      </c>
      <c r="K3483">
        <f>'06_Сеть_и_дети'!K92</f>
        <v/>
      </c>
      <c r="L3483">
        <f>'06_Сеть_и_дети'!L92</f>
        <v/>
      </c>
      <c r="M3483">
        <f>IF('01_Вводные'!$B$234="Да",'19_Расчет_аналитики'!L3482*'01_Вводные'!$B$14,0)</f>
        <v/>
      </c>
      <c r="N3483">
        <f>IF('01_Вводные'!$B$234="Да",'19_Расчет_аналитики'!M3482*'01_Вводные'!$B$14,0)</f>
        <v/>
      </c>
      <c r="O3483">
        <f>IF('01_Вводные'!$B$234="Да",'19_Расчет_аналитики'!N3482*'01_Вводные'!$B$14,0)</f>
        <v/>
      </c>
      <c r="P3483">
        <f>IF('01_Вводные'!$B$234="Да",'19_Расчет_аналитики'!O3482*'01_Вводные'!$B$14,0)</f>
        <v/>
      </c>
      <c r="Q3483">
        <f>IF('01_Вводные'!$B$234="Да",'19_Расчет_аналитики'!P3482*'01_Вводные'!$B$14,0)</f>
        <v/>
      </c>
      <c r="R3483">
        <f>IF('01_Вводные'!$B$234="Да",'19_Расчет_аналитики'!Q3482*'01_Вводные'!$B$14,0)</f>
        <v/>
      </c>
      <c r="S3483">
        <f>IF('01_Вводные'!$B$234="Да",'19_Расчет_аналитики'!R3482*'01_Вводные'!$B$14,0)</f>
        <v/>
      </c>
      <c r="T3483">
        <f>IF('01_Вводные'!$B$234="Да",'19_Расчет_аналитики'!S3482*'01_Вводные'!$B$14,0)</f>
        <v/>
      </c>
      <c r="U3483">
        <f>IF('01_Вводные'!$B$234="Да",'19_Расчет_аналитики'!T3482*'01_Вводные'!$B$14,0)</f>
        <v/>
      </c>
      <c r="V3483">
        <f>IF('01_Вводные'!$B$234="Да",'19_Расчет_аналитики'!U3482*'01_Вводные'!$B$14,0)</f>
        <v/>
      </c>
      <c r="W3483">
        <f>IF('01_Вводные'!$B$234="Да",'19_Расчет_аналитики'!V3482*'01_Вводные'!$B$14,0)</f>
        <v/>
      </c>
      <c r="X3483">
        <f>IF('01_Вводные'!$B$234="Да",'19_Расчет_аналитики'!W3482*'01_Вводные'!$B$14,0)</f>
        <v/>
      </c>
      <c r="Y3483">
        <f>IF('01_Вводные'!$B$234="Да",'19_Расчет_аналитики'!X3482*'01_Вводные'!$B$14,0)</f>
        <v/>
      </c>
      <c r="Z3483">
        <f>IF('01_Вводные'!$B$234="Да",'19_Расчет_аналитики'!Y3482*'01_Вводные'!$B$14,0)</f>
        <v/>
      </c>
      <c r="AA3483">
        <f>IF('01_Вводные'!$B$234="Да",'19_Расчет_аналитики'!Z3482*'01_Вводные'!$B$14,0)</f>
        <v/>
      </c>
      <c r="AB3483">
        <f>IF('01_Вводные'!$B$234="Да",'19_Расчет_аналитики'!AA3482*'01_Вводные'!$B$14,0)</f>
        <v/>
      </c>
      <c r="AC3483">
        <f>IF('01_Вводные'!$B$234="Да",'19_Расчет_аналитики'!AB3482*'01_Вводные'!$B$14,0)</f>
        <v/>
      </c>
      <c r="AD3483">
        <f>IF('01_Вводные'!$B$234="Да",'19_Расчет_аналитики'!AC3482*'01_Вводные'!$B$14,0)</f>
        <v/>
      </c>
      <c r="AE3483">
        <f>IF('01_Вводные'!$B$234="Да",'19_Расчет_аналитики'!AD3482*'01_Вводные'!$B$14,0)</f>
        <v/>
      </c>
      <c r="AF3483">
        <f>IF('01_Вводные'!$B$234="Да",'19_Расчет_аналитики'!AE3482*'01_Вводные'!$B$14,0)</f>
        <v/>
      </c>
      <c r="AG3483">
        <f>IF('01_Вводные'!$B$234="Да",'19_Расчет_аналитики'!AF3482*'01_Вводные'!$B$14,0)</f>
        <v/>
      </c>
      <c r="AH3483">
        <f>IF('01_Вводные'!$B$234="Да",'19_Расчет_аналитики'!AG3482*'01_Вводные'!$B$14,0)</f>
        <v/>
      </c>
      <c r="AI3483">
        <f>IF('01_Вводные'!$B$234="Да",'19_Расчет_аналитики'!AH3482*'01_Вводные'!$B$14,0)</f>
        <v/>
      </c>
      <c r="AJ3483">
        <f>IF('01_Вводные'!$B$234="Да",'19_Расчет_аналитики'!AI3482*'01_Вводные'!$B$14,0)</f>
        <v/>
      </c>
      <c r="AK3483">
        <f>IF('01_Вводные'!$B$234="Да",'19_Расчет_аналитики'!AJ3482*'01_Вводные'!$B$14,0)</f>
        <v/>
      </c>
      <c r="AL3483">
        <f>IF('01_Вводные'!$B$234="Да",'19_Расчет_аналитики'!AK3482*'01_Вводные'!$B$14,0)</f>
        <v/>
      </c>
      <c r="AM3483">
        <f>IF('01_Вводные'!$B$234="Да",'19_Расчет_аналитики'!AL3482*'01_Вводные'!$B$14,0)</f>
        <v/>
      </c>
      <c r="AN3483">
        <f>IF('01_Вводные'!$B$234="Да",'19_Расчет_аналитики'!AM3482*'01_Вводные'!$B$14,0)</f>
        <v/>
      </c>
      <c r="AO3483">
        <f>IF('01_Вводные'!$B$234="Да",'19_Расчет_аналитики'!AN3482*'01_Вводные'!$B$14,0)</f>
        <v/>
      </c>
      <c r="AP3483">
        <f>IF('01_Вводные'!$B$234="Да",'19_Расчет_аналитики'!AO3482*'01_Вводные'!$B$14,0)</f>
        <v/>
      </c>
      <c r="AQ3483">
        <f>IF('01_Вводные'!$B$234="Да",'19_Расчет_аналитики'!AP3482*'01_Вводные'!$B$14,0)</f>
        <v/>
      </c>
      <c r="AR3483">
        <f>IF('01_Вводные'!$B$234="Да",'19_Расчет_аналитики'!AQ3482*'01_Вводные'!$B$14,0)</f>
        <v/>
      </c>
      <c r="AS3483">
        <f>IF('01_Вводные'!$B$234="Да",'19_Расчет_аналитики'!AR3482*'01_Вводные'!$B$14,0)</f>
        <v/>
      </c>
      <c r="AT3483">
        <f>IF('01_Вводные'!$B$234="Да",'19_Расчет_аналитики'!AS3482*'01_Вводные'!$B$14,0)</f>
        <v/>
      </c>
      <c r="AU3483">
        <f>IF('01_Вводные'!$B$234="Да",'19_Расчет_аналитики'!AT3482*'01_Вводные'!$B$14,0)</f>
        <v/>
      </c>
      <c r="AV3483">
        <f>IF('01_Вводные'!$B$234="Да",'19_Расчет_аналитики'!AU3482*'01_Вводные'!$B$14,0)</f>
        <v/>
      </c>
      <c r="AW3483">
        <f>IF('01_Вводные'!$B$234="Да",'19_Расчет_аналитики'!AV3482*'01_Вводные'!$B$14,0)</f>
        <v/>
      </c>
      <c r="AX3483">
        <f>IF('01_Вводные'!$B$234="Да",'19_Расчет_аналитики'!AW3482*'01_Вводные'!$B$14,0)</f>
        <v/>
      </c>
      <c r="AY3483">
        <f>IF('01_Вводные'!$B$234="Да",'19_Расчет_аналитики'!AX3482*'01_Вводные'!$B$14,0)</f>
        <v/>
      </c>
      <c r="AZ3483">
        <f>IF('01_Вводные'!$B$234="Да",'19_Расчет_аналитики'!AY3482*'01_Вводные'!$B$14,0)</f>
        <v/>
      </c>
      <c r="BA3483">
        <f>IF('01_Вводные'!$B$234="Да",'19_Расчет_аналитики'!AZ3482*'01_Вводные'!$B$14,0)</f>
        <v/>
      </c>
      <c r="BB3483">
        <f>IF('01_Вводные'!$B$234="Да",'19_Расчет_аналитики'!BA3482*'01_Вводные'!$B$14,0)</f>
        <v/>
      </c>
      <c r="BC3483">
        <f>IF('01_Вводные'!$B$234="Да",'19_Расчет_аналитики'!BB3482*'01_Вводные'!$B$14,0)</f>
        <v/>
      </c>
      <c r="BD3483">
        <f>IF('01_Вводные'!$B$234="Да",'19_Расчет_аналитики'!BC3482*'01_Вводные'!$B$14,0)</f>
        <v/>
      </c>
      <c r="BE3483">
        <f>IF('01_Вводные'!$B$234="Да",'19_Расчет_аналитики'!BD3482*'01_Вводные'!$B$14,0)</f>
        <v/>
      </c>
      <c r="BF3483">
        <f>IF('01_Вводные'!$B$234="Да",'19_Расчет_аналитики'!BE3482*'01_Вводные'!$B$14,0)</f>
        <v/>
      </c>
      <c r="BG3483">
        <f>IF('01_Вводные'!$B$234="Да",'19_Расчет_аналитики'!BF3482*'01_Вводные'!$B$14,0)</f>
        <v/>
      </c>
      <c r="BH3483">
        <f>IF('01_Вводные'!$B$234="Да",'19_Расчет_аналитики'!BG3482*'01_Вводные'!$B$14,0)</f>
        <v/>
      </c>
      <c r="BI3483">
        <f>IF('01_Вводные'!$B$234="Да",'19_Расчет_аналитики'!BH3482*'01_Вводные'!$B$14,0)</f>
        <v/>
      </c>
      <c r="BJ3483">
        <f>IF('01_Вводные'!$B$234="Да",'19_Расчет_аналитики'!BI3482*'01_Вводные'!$B$14,0)</f>
        <v/>
      </c>
      <c r="BK3483">
        <f>IF('01_Вводные'!$B$234="Да",'19_Расчет_аналитики'!BJ3482*'01_Вводные'!$B$14,0)</f>
        <v/>
      </c>
      <c r="BL3483">
        <f>IF('01_Вводные'!$B$234="Да",'19_Расчет_аналитики'!BK3482*'01_Вводные'!$B$14,0)</f>
        <v/>
      </c>
      <c r="BM3483">
        <f>IF('01_Вводные'!$B$234="Да",'19_Расчет_аналитики'!BL3482*'01_Вводные'!$B$14,0)</f>
        <v/>
      </c>
      <c r="BN3483">
        <f>IF('01_Вводные'!$B$234="Да",'19_Расчет_аналитики'!BM3482*'01_Вводные'!$B$14,0)</f>
        <v/>
      </c>
      <c r="BO3483">
        <f>IF('01_Вводные'!$B$234="Да",'19_Расчет_аналитики'!BN3482*'01_Вводные'!$B$14,0)</f>
        <v/>
      </c>
    </row>
    <row r="3484">
      <c r="N3484">
        <f>IF('01_Вводные'!$B$234="Да",'19_Расчет_аналитики'!M3483*'01_Вводные'!$B$14,0)</f>
        <v/>
      </c>
      <c r="O3484">
        <f>IF('01_Вводные'!$B$234="Да",'19_Расчет_аналитики'!N3483*'01_Вводные'!$B$14,0)</f>
        <v/>
      </c>
      <c r="P3484">
        <f>IF('01_Вводные'!$B$234="Да",'19_Расчет_аналитики'!O3483*'01_Вводные'!$B$14,0)</f>
        <v/>
      </c>
      <c r="Q3484">
        <f>IF('01_Вводные'!$B$234="Да",'19_Расчет_аналитики'!P3483*'01_Вводные'!$B$14,0)</f>
        <v/>
      </c>
      <c r="R3484">
        <f>IF('01_Вводные'!$B$234="Да",'19_Расчет_аналитики'!Q3483*'01_Вводные'!$B$14,0)</f>
        <v/>
      </c>
      <c r="S3484">
        <f>IF('01_Вводные'!$B$234="Да",'19_Расчет_аналитики'!R3483*'01_Вводные'!$B$14,0)</f>
        <v/>
      </c>
      <c r="T3484">
        <f>IF('01_Вводные'!$B$234="Да",'19_Расчет_аналитики'!S3483*'01_Вводные'!$B$14,0)</f>
        <v/>
      </c>
      <c r="U3484">
        <f>IF('01_Вводные'!$B$234="Да",'19_Расчет_аналитики'!T3483*'01_Вводные'!$B$14,0)</f>
        <v/>
      </c>
      <c r="V3484">
        <f>IF('01_Вводные'!$B$234="Да",'19_Расчет_аналитики'!U3483*'01_Вводные'!$B$14,0)</f>
        <v/>
      </c>
      <c r="W3484">
        <f>IF('01_Вводные'!$B$234="Да",'19_Расчет_аналитики'!V3483*'01_Вводные'!$B$14,0)</f>
        <v/>
      </c>
      <c r="X3484">
        <f>IF('01_Вводные'!$B$234="Да",'19_Расчет_аналитики'!W3483*'01_Вводные'!$B$14,0)</f>
        <v/>
      </c>
      <c r="Y3484">
        <f>IF('01_Вводные'!$B$234="Да",'19_Расчет_аналитики'!X3483*'01_Вводные'!$B$14,0)</f>
        <v/>
      </c>
      <c r="Z3484">
        <f>IF('01_Вводные'!$B$234="Да",'19_Расчет_аналитики'!Y3483*'01_Вводные'!$B$14,0)</f>
        <v/>
      </c>
      <c r="AA3484">
        <f>IF('01_Вводные'!$B$234="Да",'19_Расчет_аналитики'!Z3483*'01_Вводные'!$B$14,0)</f>
        <v/>
      </c>
      <c r="AB3484">
        <f>IF('01_Вводные'!$B$234="Да",'19_Расчет_аналитики'!AA3483*'01_Вводные'!$B$14,0)</f>
        <v/>
      </c>
      <c r="AC3484">
        <f>IF('01_Вводные'!$B$234="Да",'19_Расчет_аналитики'!AB3483*'01_Вводные'!$B$14,0)</f>
        <v/>
      </c>
      <c r="AD3484">
        <f>IF('01_Вводные'!$B$234="Да",'19_Расчет_аналитики'!AC3483*'01_Вводные'!$B$14,0)</f>
        <v/>
      </c>
      <c r="AE3484">
        <f>IF('01_Вводные'!$B$234="Да",'19_Расчет_аналитики'!AD3483*'01_Вводные'!$B$14,0)</f>
        <v/>
      </c>
      <c r="AF3484">
        <f>IF('01_Вводные'!$B$234="Да",'19_Расчет_аналитики'!AE3483*'01_Вводные'!$B$14,0)</f>
        <v/>
      </c>
      <c r="AG3484">
        <f>IF('01_Вводные'!$B$234="Да",'19_Расчет_аналитики'!AF3483*'01_Вводные'!$B$14,0)</f>
        <v/>
      </c>
      <c r="AH3484">
        <f>IF('01_Вводные'!$B$234="Да",'19_Расчет_аналитики'!AG3483*'01_Вводные'!$B$14,0)</f>
        <v/>
      </c>
      <c r="AI3484">
        <f>IF('01_Вводные'!$B$234="Да",'19_Расчет_аналитики'!AH3483*'01_Вводные'!$B$14,0)</f>
        <v/>
      </c>
      <c r="AJ3484">
        <f>IF('01_Вводные'!$B$234="Да",'19_Расчет_аналитики'!AI3483*'01_Вводные'!$B$14,0)</f>
        <v/>
      </c>
      <c r="AK3484">
        <f>IF('01_Вводные'!$B$234="Да",'19_Расчет_аналитики'!AJ3483*'01_Вводные'!$B$14,0)</f>
        <v/>
      </c>
      <c r="AL3484">
        <f>IF('01_Вводные'!$B$234="Да",'19_Расчет_аналитики'!AK3483*'01_Вводные'!$B$14,0)</f>
        <v/>
      </c>
      <c r="AM3484">
        <f>IF('01_Вводные'!$B$234="Да",'19_Расчет_аналитики'!AL3483*'01_Вводные'!$B$14,0)</f>
        <v/>
      </c>
      <c r="AN3484">
        <f>IF('01_Вводные'!$B$234="Да",'19_Расчет_аналитики'!AM3483*'01_Вводные'!$B$14,0)</f>
        <v/>
      </c>
      <c r="AO3484">
        <f>IF('01_Вводные'!$B$234="Да",'19_Расчет_аналитики'!AN3483*'01_Вводные'!$B$14,0)</f>
        <v/>
      </c>
      <c r="AP3484">
        <f>IF('01_Вводные'!$B$234="Да",'19_Расчет_аналитики'!AO3483*'01_Вводные'!$B$14,0)</f>
        <v/>
      </c>
      <c r="AQ3484">
        <f>IF('01_Вводные'!$B$234="Да",'19_Расчет_аналитики'!AP3483*'01_Вводные'!$B$14,0)</f>
        <v/>
      </c>
      <c r="AR3484">
        <f>IF('01_Вводные'!$B$234="Да",'19_Расчет_аналитики'!AQ3483*'01_Вводные'!$B$14,0)</f>
        <v/>
      </c>
      <c r="AS3484">
        <f>IF('01_Вводные'!$B$234="Да",'19_Расчет_аналитики'!AR3483*'01_Вводные'!$B$14,0)</f>
        <v/>
      </c>
      <c r="AT3484">
        <f>IF('01_Вводные'!$B$234="Да",'19_Расчет_аналитики'!AS3483*'01_Вводные'!$B$14,0)</f>
        <v/>
      </c>
      <c r="AU3484">
        <f>IF('01_Вводные'!$B$234="Да",'19_Расчет_аналитики'!AT3483*'01_Вводные'!$B$14,0)</f>
        <v/>
      </c>
      <c r="AV3484">
        <f>IF('01_Вводные'!$B$234="Да",'19_Расчет_аналитики'!AU3483*'01_Вводные'!$B$14,0)</f>
        <v/>
      </c>
      <c r="AW3484">
        <f>IF('01_Вводные'!$B$234="Да",'19_Расчет_аналитики'!AV3483*'01_Вводные'!$B$14,0)</f>
        <v/>
      </c>
      <c r="AX3484">
        <f>IF('01_Вводные'!$B$234="Да",'19_Расчет_аналитики'!AW3483*'01_Вводные'!$B$14,0)</f>
        <v/>
      </c>
      <c r="AY3484">
        <f>IF('01_Вводные'!$B$234="Да",'19_Расчет_аналитики'!AX3483*'01_Вводные'!$B$14,0)</f>
        <v/>
      </c>
      <c r="AZ3484">
        <f>IF('01_Вводные'!$B$234="Да",'19_Расчет_аналитики'!AY3483*'01_Вводные'!$B$14,0)</f>
        <v/>
      </c>
      <c r="BA3484">
        <f>IF('01_Вводные'!$B$234="Да",'19_Расчет_аналитики'!AZ3483*'01_Вводные'!$B$14,0)</f>
        <v/>
      </c>
      <c r="BB3484">
        <f>IF('01_Вводные'!$B$234="Да",'19_Расчет_аналитики'!BA3483*'01_Вводные'!$B$14,0)</f>
        <v/>
      </c>
      <c r="BC3484">
        <f>IF('01_Вводные'!$B$234="Да",'19_Расчет_аналитики'!BB3483*'01_Вводные'!$B$14,0)</f>
        <v/>
      </c>
      <c r="BD3484">
        <f>IF('01_Вводные'!$B$234="Да",'19_Расчет_аналитики'!BC3483*'01_Вводные'!$B$14,0)</f>
        <v/>
      </c>
      <c r="BE3484">
        <f>IF('01_Вводные'!$B$234="Да",'19_Расчет_аналитики'!BD3483*'01_Вводные'!$B$14,0)</f>
        <v/>
      </c>
      <c r="BF3484">
        <f>IF('01_Вводные'!$B$234="Да",'19_Расчет_аналитики'!BE3483*'01_Вводные'!$B$14,0)</f>
        <v/>
      </c>
      <c r="BG3484">
        <f>IF('01_Вводные'!$B$234="Да",'19_Расчет_аналитики'!BF3483*'01_Вводные'!$B$14,0)</f>
        <v/>
      </c>
      <c r="BH3484">
        <f>IF('01_Вводные'!$B$234="Да",'19_Расчет_аналитики'!BG3483*'01_Вводные'!$B$14,0)</f>
        <v/>
      </c>
      <c r="BI3484">
        <f>IF('01_Вводные'!$B$234="Да",'19_Расчет_аналитики'!BH3483*'01_Вводные'!$B$14,0)</f>
        <v/>
      </c>
      <c r="BJ3484">
        <f>IF('01_Вводные'!$B$234="Да",'19_Расчет_аналитики'!BI3483*'01_Вводные'!$B$14,0)</f>
        <v/>
      </c>
      <c r="BK3484">
        <f>IF('01_Вводные'!$B$234="Да",'19_Расчет_аналитики'!BJ3483*'01_Вводные'!$B$14,0)</f>
        <v/>
      </c>
      <c r="BL3484">
        <f>IF('01_Вводные'!$B$234="Да",'19_Расчет_аналитики'!BK3483*'01_Вводные'!$B$14,0)</f>
        <v/>
      </c>
      <c r="BM3484">
        <f>IF('01_Вводные'!$B$234="Да",'19_Расчет_аналитики'!BL3483*'01_Вводные'!$B$14,0)</f>
        <v/>
      </c>
      <c r="BN3484">
        <f>IF('01_Вводные'!$B$234="Да",'19_Расчет_аналитики'!BM3483*'01_Вводные'!$B$14,0)</f>
        <v/>
      </c>
      <c r="BO3484">
        <f>IF('01_Вводные'!$B$234="Да",'19_Расчет_аналитики'!BN3483*'01_Вводные'!$B$14,0)</f>
        <v/>
      </c>
    </row>
    <row r="3485">
      <c r="N3485">
        <f>'06_Сеть_и_дети'!N94</f>
        <v/>
      </c>
      <c r="O3485">
        <f>IF('01_Вводные'!$B$234="Да",'19_Расчет_аналитики'!N3484*'01_Вводные'!$B$14,0)</f>
        <v/>
      </c>
      <c r="P3485">
        <f>IF('01_Вводные'!$B$234="Да",'19_Расчет_аналитики'!O3484*'01_Вводные'!$B$14,0)</f>
        <v/>
      </c>
      <c r="Q3485">
        <f>IF('01_Вводные'!$B$234="Да",'19_Расчет_аналитики'!P3484*'01_Вводные'!$B$14,0)</f>
        <v/>
      </c>
      <c r="R3485">
        <f>IF('01_Вводные'!$B$234="Да",'19_Расчет_аналитики'!Q3484*'01_Вводные'!$B$14,0)</f>
        <v/>
      </c>
      <c r="S3485">
        <f>IF('01_Вводные'!$B$234="Да",'19_Расчет_аналитики'!R3484*'01_Вводные'!$B$14,0)</f>
        <v/>
      </c>
      <c r="T3485">
        <f>IF('01_Вводные'!$B$234="Да",'19_Расчет_аналитики'!S3484*'01_Вводные'!$B$14,0)</f>
        <v/>
      </c>
      <c r="U3485">
        <f>IF('01_Вводные'!$B$234="Да",'19_Расчет_аналитики'!T3484*'01_Вводные'!$B$14,0)</f>
        <v/>
      </c>
      <c r="V3485">
        <f>IF('01_Вводные'!$B$234="Да",'19_Расчет_аналитики'!U3484*'01_Вводные'!$B$14,0)</f>
        <v/>
      </c>
      <c r="W3485">
        <f>IF('01_Вводные'!$B$234="Да",'19_Расчет_аналитики'!V3484*'01_Вводные'!$B$14,0)</f>
        <v/>
      </c>
      <c r="X3485">
        <f>IF('01_Вводные'!$B$234="Да",'19_Расчет_аналитики'!W3484*'01_Вводные'!$B$14,0)</f>
        <v/>
      </c>
      <c r="Y3485">
        <f>IF('01_Вводные'!$B$234="Да",'19_Расчет_аналитики'!X3484*'01_Вводные'!$B$14,0)</f>
        <v/>
      </c>
      <c r="Z3485">
        <f>IF('01_Вводные'!$B$234="Да",'19_Расчет_аналитики'!Y3484*'01_Вводные'!$B$14,0)</f>
        <v/>
      </c>
      <c r="AA3485">
        <f>IF('01_Вводные'!$B$234="Да",'19_Расчет_аналитики'!Z3484*'01_Вводные'!$B$14,0)</f>
        <v/>
      </c>
      <c r="AB3485">
        <f>IF('01_Вводные'!$B$234="Да",'19_Расчет_аналитики'!AA3484*'01_Вводные'!$B$14,0)</f>
        <v/>
      </c>
      <c r="AC3485">
        <f>IF('01_Вводные'!$B$234="Да",'19_Расчет_аналитики'!AB3484*'01_Вводные'!$B$14,0)</f>
        <v/>
      </c>
      <c r="AD3485">
        <f>IF('01_Вводные'!$B$234="Да",'19_Расчет_аналитики'!AC3484*'01_Вводные'!$B$14,0)</f>
        <v/>
      </c>
      <c r="AE3485">
        <f>IF('01_Вводные'!$B$234="Да",'19_Расчет_аналитики'!AD3484*'01_Вводные'!$B$14,0)</f>
        <v/>
      </c>
      <c r="AF3485">
        <f>IF('01_Вводные'!$B$234="Да",'19_Расчет_аналитики'!AE3484*'01_Вводные'!$B$14,0)</f>
        <v/>
      </c>
      <c r="AG3485">
        <f>IF('01_Вводные'!$B$234="Да",'19_Расчет_аналитики'!AF3484*'01_Вводные'!$B$14,0)</f>
        <v/>
      </c>
      <c r="AH3485">
        <f>IF('01_Вводные'!$B$234="Да",'19_Расчет_аналитики'!AG3484*'01_Вводные'!$B$14,0)</f>
        <v/>
      </c>
      <c r="AI3485">
        <f>IF('01_Вводные'!$B$234="Да",'19_Расчет_аналитики'!AH3484*'01_Вводные'!$B$14,0)</f>
        <v/>
      </c>
      <c r="AJ3485">
        <f>IF('01_Вводные'!$B$234="Да",'19_Расчет_аналитики'!AI3484*'01_Вводные'!$B$14,0)</f>
        <v/>
      </c>
      <c r="AK3485">
        <f>IF('01_Вводные'!$B$234="Да",'19_Расчет_аналитики'!AJ3484*'01_Вводные'!$B$14,0)</f>
        <v/>
      </c>
      <c r="AL3485">
        <f>IF('01_Вводные'!$B$234="Да",'19_Расчет_аналитики'!AK3484*'01_Вводные'!$B$14,0)</f>
        <v/>
      </c>
      <c r="AM3485">
        <f>IF('01_Вводные'!$B$234="Да",'19_Расчет_аналитики'!AL3484*'01_Вводные'!$B$14,0)</f>
        <v/>
      </c>
      <c r="AN3485">
        <f>IF('01_Вводные'!$B$234="Да",'19_Расчет_аналитики'!AM3484*'01_Вводные'!$B$14,0)</f>
        <v/>
      </c>
      <c r="AO3485">
        <f>IF('01_Вводные'!$B$234="Да",'19_Расчет_аналитики'!AN3484*'01_Вводные'!$B$14,0)</f>
        <v/>
      </c>
      <c r="AP3485">
        <f>IF('01_Вводные'!$B$234="Да",'19_Расчет_аналитики'!AO3484*'01_Вводные'!$B$14,0)</f>
        <v/>
      </c>
      <c r="AQ3485">
        <f>IF('01_Вводные'!$B$234="Да",'19_Расчет_аналитики'!AP3484*'01_Вводные'!$B$14,0)</f>
        <v/>
      </c>
      <c r="AR3485">
        <f>IF('01_Вводные'!$B$234="Да",'19_Расчет_аналитики'!AQ3484*'01_Вводные'!$B$14,0)</f>
        <v/>
      </c>
      <c r="AS3485">
        <f>IF('01_Вводные'!$B$234="Да",'19_Расчет_аналитики'!AR3484*'01_Вводные'!$B$14,0)</f>
        <v/>
      </c>
      <c r="AT3485">
        <f>IF('01_Вводные'!$B$234="Да",'19_Расчет_аналитики'!AS3484*'01_Вводные'!$B$14,0)</f>
        <v/>
      </c>
      <c r="AU3485">
        <f>IF('01_Вводные'!$B$234="Да",'19_Расчет_аналитики'!AT3484*'01_Вводные'!$B$14,0)</f>
        <v/>
      </c>
      <c r="AV3485">
        <f>IF('01_Вводные'!$B$234="Да",'19_Расчет_аналитики'!AU3484*'01_Вводные'!$B$14,0)</f>
        <v/>
      </c>
      <c r="AW3485">
        <f>IF('01_Вводные'!$B$234="Да",'19_Расчет_аналитики'!AV3484*'01_Вводные'!$B$14,0)</f>
        <v/>
      </c>
      <c r="AX3485">
        <f>IF('01_Вводные'!$B$234="Да",'19_Расчет_аналитики'!AW3484*'01_Вводные'!$B$14,0)</f>
        <v/>
      </c>
      <c r="AY3485">
        <f>IF('01_Вводные'!$B$234="Да",'19_Расчет_аналитики'!AX3484*'01_Вводные'!$B$14,0)</f>
        <v/>
      </c>
      <c r="AZ3485">
        <f>IF('01_Вводные'!$B$234="Да",'19_Расчет_аналитики'!AY3484*'01_Вводные'!$B$14,0)</f>
        <v/>
      </c>
      <c r="BA3485">
        <f>IF('01_Вводные'!$B$234="Да",'19_Расчет_аналитики'!AZ3484*'01_Вводные'!$B$14,0)</f>
        <v/>
      </c>
      <c r="BB3485">
        <f>IF('01_Вводные'!$B$234="Да",'19_Расчет_аналитики'!BA3484*'01_Вводные'!$B$14,0)</f>
        <v/>
      </c>
      <c r="BC3485">
        <f>IF('01_Вводные'!$B$234="Да",'19_Расчет_аналитики'!BB3484*'01_Вводные'!$B$14,0)</f>
        <v/>
      </c>
      <c r="BD3485">
        <f>IF('01_Вводные'!$B$234="Да",'19_Расчет_аналитики'!BC3484*'01_Вводные'!$B$14,0)</f>
        <v/>
      </c>
      <c r="BE3485">
        <f>IF('01_Вводные'!$B$234="Да",'19_Расчет_аналитики'!BD3484*'01_Вводные'!$B$14,0)</f>
        <v/>
      </c>
      <c r="BF3485">
        <f>IF('01_Вводные'!$B$234="Да",'19_Расчет_аналитики'!BE3484*'01_Вводные'!$B$14,0)</f>
        <v/>
      </c>
      <c r="BG3485">
        <f>IF('01_Вводные'!$B$234="Да",'19_Расчет_аналитики'!BF3484*'01_Вводные'!$B$14,0)</f>
        <v/>
      </c>
      <c r="BH3485">
        <f>IF('01_Вводные'!$B$234="Да",'19_Расчет_аналитики'!BG3484*'01_Вводные'!$B$14,0)</f>
        <v/>
      </c>
      <c r="BI3485">
        <f>IF('01_Вводные'!$B$234="Да",'19_Расчет_аналитики'!BH3484*'01_Вводные'!$B$14,0)</f>
        <v/>
      </c>
      <c r="BJ3485">
        <f>IF('01_Вводные'!$B$234="Да",'19_Расчет_аналитики'!BI3484*'01_Вводные'!$B$14,0)</f>
        <v/>
      </c>
      <c r="BK3485">
        <f>IF('01_Вводные'!$B$234="Да",'19_Расчет_аналитики'!BJ3484*'01_Вводные'!$B$14,0)</f>
        <v/>
      </c>
      <c r="BL3485">
        <f>IF('01_Вводные'!$B$234="Да",'19_Расчет_аналитики'!BK3484*'01_Вводные'!$B$14,0)</f>
        <v/>
      </c>
      <c r="BM3485">
        <f>IF('01_Вводные'!$B$234="Да",'19_Расчет_аналитики'!BL3484*'01_Вводные'!$B$14,0)</f>
        <v/>
      </c>
      <c r="BN3485">
        <f>IF('01_Вводные'!$B$234="Да",'19_Расчет_аналитики'!BM3484*'01_Вводные'!$B$14,0)</f>
        <v/>
      </c>
      <c r="BO3485">
        <f>IF('01_Вводные'!$B$234="Да",'19_Расчет_аналитики'!BN3484*'01_Вводные'!$B$14,0)</f>
        <v/>
      </c>
    </row>
    <row r="3486">
      <c r="N3486">
        <f>'06_Сеть_и_дети'!N95</f>
        <v/>
      </c>
      <c r="O3486">
        <f>'06_Сеть_и_дети'!O95</f>
        <v/>
      </c>
      <c r="P3486">
        <f>IF('01_Вводные'!$B$234="Да",'19_Расчет_аналитики'!O3485*'01_Вводные'!$B$14,0)</f>
        <v/>
      </c>
      <c r="Q3486">
        <f>IF('01_Вводные'!$B$234="Да",'19_Расчет_аналитики'!P3485*'01_Вводные'!$B$14,0)</f>
        <v/>
      </c>
      <c r="R3486">
        <f>IF('01_Вводные'!$B$234="Да",'19_Расчет_аналитики'!Q3485*'01_Вводные'!$B$14,0)</f>
        <v/>
      </c>
      <c r="S3486">
        <f>IF('01_Вводные'!$B$234="Да",'19_Расчет_аналитики'!R3485*'01_Вводные'!$B$14,0)</f>
        <v/>
      </c>
      <c r="T3486">
        <f>IF('01_Вводные'!$B$234="Да",'19_Расчет_аналитики'!S3485*'01_Вводные'!$B$14,0)</f>
        <v/>
      </c>
      <c r="U3486">
        <f>IF('01_Вводные'!$B$234="Да",'19_Расчет_аналитики'!T3485*'01_Вводные'!$B$14,0)</f>
        <v/>
      </c>
      <c r="V3486">
        <f>IF('01_Вводные'!$B$234="Да",'19_Расчет_аналитики'!U3485*'01_Вводные'!$B$14,0)</f>
        <v/>
      </c>
      <c r="W3486">
        <f>IF('01_Вводные'!$B$234="Да",'19_Расчет_аналитики'!V3485*'01_Вводные'!$B$14,0)</f>
        <v/>
      </c>
      <c r="X3486">
        <f>IF('01_Вводные'!$B$234="Да",'19_Расчет_аналитики'!W3485*'01_Вводные'!$B$14,0)</f>
        <v/>
      </c>
      <c r="Y3486">
        <f>IF('01_Вводные'!$B$234="Да",'19_Расчет_аналитики'!X3485*'01_Вводные'!$B$14,0)</f>
        <v/>
      </c>
      <c r="Z3486">
        <f>IF('01_Вводные'!$B$234="Да",'19_Расчет_аналитики'!Y3485*'01_Вводные'!$B$14,0)</f>
        <v/>
      </c>
      <c r="AA3486">
        <f>IF('01_Вводные'!$B$234="Да",'19_Расчет_аналитики'!Z3485*'01_Вводные'!$B$14,0)</f>
        <v/>
      </c>
      <c r="AB3486">
        <f>IF('01_Вводные'!$B$234="Да",'19_Расчет_аналитики'!AA3485*'01_Вводные'!$B$14,0)</f>
        <v/>
      </c>
      <c r="AC3486">
        <f>IF('01_Вводные'!$B$234="Да",'19_Расчет_аналитики'!AB3485*'01_Вводные'!$B$14,0)</f>
        <v/>
      </c>
      <c r="AD3486">
        <f>IF('01_Вводные'!$B$234="Да",'19_Расчет_аналитики'!AC3485*'01_Вводные'!$B$14,0)</f>
        <v/>
      </c>
      <c r="AE3486">
        <f>IF('01_Вводные'!$B$234="Да",'19_Расчет_аналитики'!AD3485*'01_Вводные'!$B$14,0)</f>
        <v/>
      </c>
      <c r="AF3486">
        <f>IF('01_Вводные'!$B$234="Да",'19_Расчет_аналитики'!AE3485*'01_Вводные'!$B$14,0)</f>
        <v/>
      </c>
      <c r="AG3486">
        <f>IF('01_Вводные'!$B$234="Да",'19_Расчет_аналитики'!AF3485*'01_Вводные'!$B$14,0)</f>
        <v/>
      </c>
      <c r="AH3486">
        <f>IF('01_Вводные'!$B$234="Да",'19_Расчет_аналитики'!AG3485*'01_Вводные'!$B$14,0)</f>
        <v/>
      </c>
      <c r="AI3486">
        <f>IF('01_Вводные'!$B$234="Да",'19_Расчет_аналитики'!AH3485*'01_Вводные'!$B$14,0)</f>
        <v/>
      </c>
      <c r="AJ3486">
        <f>IF('01_Вводные'!$B$234="Да",'19_Расчет_аналитики'!AI3485*'01_Вводные'!$B$14,0)</f>
        <v/>
      </c>
      <c r="AK3486">
        <f>IF('01_Вводные'!$B$234="Да",'19_Расчет_аналитики'!AJ3485*'01_Вводные'!$B$14,0)</f>
        <v/>
      </c>
      <c r="AL3486">
        <f>IF('01_Вводные'!$B$234="Да",'19_Расчет_аналитики'!AK3485*'01_Вводные'!$B$14,0)</f>
        <v/>
      </c>
      <c r="AM3486">
        <f>IF('01_Вводные'!$B$234="Да",'19_Расчет_аналитики'!AL3485*'01_Вводные'!$B$14,0)</f>
        <v/>
      </c>
      <c r="AN3486">
        <f>IF('01_Вводные'!$B$234="Да",'19_Расчет_аналитики'!AM3485*'01_Вводные'!$B$14,0)</f>
        <v/>
      </c>
      <c r="AO3486">
        <f>IF('01_Вводные'!$B$234="Да",'19_Расчет_аналитики'!AN3485*'01_Вводные'!$B$14,0)</f>
        <v/>
      </c>
      <c r="AP3486">
        <f>IF('01_Вводные'!$B$234="Да",'19_Расчет_аналитики'!AO3485*'01_Вводные'!$B$14,0)</f>
        <v/>
      </c>
      <c r="AQ3486">
        <f>IF('01_Вводные'!$B$234="Да",'19_Расчет_аналитики'!AP3485*'01_Вводные'!$B$14,0)</f>
        <v/>
      </c>
      <c r="AR3486">
        <f>IF('01_Вводные'!$B$234="Да",'19_Расчет_аналитики'!AQ3485*'01_Вводные'!$B$14,0)</f>
        <v/>
      </c>
      <c r="AS3486">
        <f>IF('01_Вводные'!$B$234="Да",'19_Расчет_аналитики'!AR3485*'01_Вводные'!$B$14,0)</f>
        <v/>
      </c>
      <c r="AT3486">
        <f>IF('01_Вводные'!$B$234="Да",'19_Расчет_аналитики'!AS3485*'01_Вводные'!$B$14,0)</f>
        <v/>
      </c>
      <c r="AU3486">
        <f>IF('01_Вводные'!$B$234="Да",'19_Расчет_аналитики'!AT3485*'01_Вводные'!$B$14,0)</f>
        <v/>
      </c>
      <c r="AV3486">
        <f>IF('01_Вводные'!$B$234="Да",'19_Расчет_аналитики'!AU3485*'01_Вводные'!$B$14,0)</f>
        <v/>
      </c>
      <c r="AW3486">
        <f>IF('01_Вводные'!$B$234="Да",'19_Расчет_аналитики'!AV3485*'01_Вводные'!$B$14,0)</f>
        <v/>
      </c>
      <c r="AX3486">
        <f>IF('01_Вводные'!$B$234="Да",'19_Расчет_аналитики'!AW3485*'01_Вводные'!$B$14,0)</f>
        <v/>
      </c>
      <c r="AY3486">
        <f>IF('01_Вводные'!$B$234="Да",'19_Расчет_аналитики'!AX3485*'01_Вводные'!$B$14,0)</f>
        <v/>
      </c>
      <c r="AZ3486">
        <f>IF('01_Вводные'!$B$234="Да",'19_Расчет_аналитики'!AY3485*'01_Вводные'!$B$14,0)</f>
        <v/>
      </c>
      <c r="BA3486">
        <f>IF('01_Вводные'!$B$234="Да",'19_Расчет_аналитики'!AZ3485*'01_Вводные'!$B$14,0)</f>
        <v/>
      </c>
      <c r="BB3486">
        <f>IF('01_Вводные'!$B$234="Да",'19_Расчет_аналитики'!BA3485*'01_Вводные'!$B$14,0)</f>
        <v/>
      </c>
      <c r="BC3486">
        <f>IF('01_Вводные'!$B$234="Да",'19_Расчет_аналитики'!BB3485*'01_Вводные'!$B$14,0)</f>
        <v/>
      </c>
      <c r="BD3486">
        <f>IF('01_Вводные'!$B$234="Да",'19_Расчет_аналитики'!BC3485*'01_Вводные'!$B$14,0)</f>
        <v/>
      </c>
      <c r="BE3486">
        <f>IF('01_Вводные'!$B$234="Да",'19_Расчет_аналитики'!BD3485*'01_Вводные'!$B$14,0)</f>
        <v/>
      </c>
      <c r="BF3486">
        <f>IF('01_Вводные'!$B$234="Да",'19_Расчет_аналитики'!BE3485*'01_Вводные'!$B$14,0)</f>
        <v/>
      </c>
      <c r="BG3486">
        <f>IF('01_Вводные'!$B$234="Да",'19_Расчет_аналитики'!BF3485*'01_Вводные'!$B$14,0)</f>
        <v/>
      </c>
      <c r="BH3486">
        <f>IF('01_Вводные'!$B$234="Да",'19_Расчет_аналитики'!BG3485*'01_Вводные'!$B$14,0)</f>
        <v/>
      </c>
      <c r="BI3486">
        <f>IF('01_Вводные'!$B$234="Да",'19_Расчет_аналитики'!BH3485*'01_Вводные'!$B$14,0)</f>
        <v/>
      </c>
      <c r="BJ3486">
        <f>IF('01_Вводные'!$B$234="Да",'19_Расчет_аналитики'!BI3485*'01_Вводные'!$B$14,0)</f>
        <v/>
      </c>
      <c r="BK3486">
        <f>IF('01_Вводные'!$B$234="Да",'19_Расчет_аналитики'!BJ3485*'01_Вводные'!$B$14,0)</f>
        <v/>
      </c>
      <c r="BL3486">
        <f>IF('01_Вводные'!$B$234="Да",'19_Расчет_аналитики'!BK3485*'01_Вводные'!$B$14,0)</f>
        <v/>
      </c>
      <c r="BM3486">
        <f>IF('01_Вводные'!$B$234="Да",'19_Расчет_аналитики'!BL3485*'01_Вводные'!$B$14,0)</f>
        <v/>
      </c>
      <c r="BN3486">
        <f>IF('01_Вводные'!$B$234="Да",'19_Расчет_аналитики'!BM3485*'01_Вводные'!$B$14,0)</f>
        <v/>
      </c>
      <c r="BO3486">
        <f>IF('01_Вводные'!$B$234="Да",'19_Расчет_аналитики'!BN3485*'01_Вводные'!$B$14,0)</f>
        <v/>
      </c>
    </row>
    <row r="3487">
      <c r="N3487">
        <f>'06_Сеть_и_дети'!N96</f>
        <v/>
      </c>
      <c r="O3487">
        <f>'06_Сеть_и_дети'!O96</f>
        <v/>
      </c>
      <c r="P3487">
        <f>'06_Сеть_и_дети'!P96</f>
        <v/>
      </c>
      <c r="Q3487">
        <f>IF('01_Вводные'!$B$234="Да",'19_Расчет_аналитики'!P3486*'01_Вводные'!$B$14,0)</f>
        <v/>
      </c>
      <c r="R3487">
        <f>IF('01_Вводные'!$B$234="Да",'19_Расчет_аналитики'!Q3486*'01_Вводные'!$B$14,0)</f>
        <v/>
      </c>
      <c r="S3487">
        <f>IF('01_Вводные'!$B$234="Да",'19_Расчет_аналитики'!R3486*'01_Вводные'!$B$14,0)</f>
        <v/>
      </c>
      <c r="T3487">
        <f>IF('01_Вводные'!$B$234="Да",'19_Расчет_аналитики'!S3486*'01_Вводные'!$B$14,0)</f>
        <v/>
      </c>
      <c r="U3487">
        <f>IF('01_Вводные'!$B$234="Да",'19_Расчет_аналитики'!T3486*'01_Вводные'!$B$14,0)</f>
        <v/>
      </c>
      <c r="V3487">
        <f>IF('01_Вводные'!$B$234="Да",'19_Расчет_аналитики'!U3486*'01_Вводные'!$B$14,0)</f>
        <v/>
      </c>
      <c r="W3487">
        <f>IF('01_Вводные'!$B$234="Да",'19_Расчет_аналитики'!V3486*'01_Вводные'!$B$14,0)</f>
        <v/>
      </c>
      <c r="X3487">
        <f>IF('01_Вводные'!$B$234="Да",'19_Расчет_аналитики'!W3486*'01_Вводные'!$B$14,0)</f>
        <v/>
      </c>
      <c r="Y3487">
        <f>IF('01_Вводные'!$B$234="Да",'19_Расчет_аналитики'!X3486*'01_Вводные'!$B$14,0)</f>
        <v/>
      </c>
      <c r="Z3487">
        <f>IF('01_Вводные'!$B$234="Да",'19_Расчет_аналитики'!Y3486*'01_Вводные'!$B$14,0)</f>
        <v/>
      </c>
      <c r="AA3487">
        <f>IF('01_Вводные'!$B$234="Да",'19_Расчет_аналитики'!Z3486*'01_Вводные'!$B$14,0)</f>
        <v/>
      </c>
      <c r="AB3487">
        <f>IF('01_Вводные'!$B$234="Да",'19_Расчет_аналитики'!AA3486*'01_Вводные'!$B$14,0)</f>
        <v/>
      </c>
      <c r="AC3487">
        <f>IF('01_Вводные'!$B$234="Да",'19_Расчет_аналитики'!AB3486*'01_Вводные'!$B$14,0)</f>
        <v/>
      </c>
      <c r="AD3487">
        <f>IF('01_Вводные'!$B$234="Да",'19_Расчет_аналитики'!AC3486*'01_Вводные'!$B$14,0)</f>
        <v/>
      </c>
      <c r="AE3487">
        <f>IF('01_Вводные'!$B$234="Да",'19_Расчет_аналитики'!AD3486*'01_Вводные'!$B$14,0)</f>
        <v/>
      </c>
      <c r="AF3487">
        <f>IF('01_Вводные'!$B$234="Да",'19_Расчет_аналитики'!AE3486*'01_Вводные'!$B$14,0)</f>
        <v/>
      </c>
      <c r="AG3487">
        <f>IF('01_Вводные'!$B$234="Да",'19_Расчет_аналитики'!AF3486*'01_Вводные'!$B$14,0)</f>
        <v/>
      </c>
      <c r="AH3487">
        <f>IF('01_Вводные'!$B$234="Да",'19_Расчет_аналитики'!AG3486*'01_Вводные'!$B$14,0)</f>
        <v/>
      </c>
      <c r="AI3487">
        <f>IF('01_Вводные'!$B$234="Да",'19_Расчет_аналитики'!AH3486*'01_Вводные'!$B$14,0)</f>
        <v/>
      </c>
      <c r="AJ3487">
        <f>IF('01_Вводные'!$B$234="Да",'19_Расчет_аналитики'!AI3486*'01_Вводные'!$B$14,0)</f>
        <v/>
      </c>
      <c r="AK3487">
        <f>IF('01_Вводные'!$B$234="Да",'19_Расчет_аналитики'!AJ3486*'01_Вводные'!$B$14,0)</f>
        <v/>
      </c>
      <c r="AL3487">
        <f>IF('01_Вводные'!$B$234="Да",'19_Расчет_аналитики'!AK3486*'01_Вводные'!$B$14,0)</f>
        <v/>
      </c>
      <c r="AM3487">
        <f>IF('01_Вводные'!$B$234="Да",'19_Расчет_аналитики'!AL3486*'01_Вводные'!$B$14,0)</f>
        <v/>
      </c>
      <c r="AN3487">
        <f>IF('01_Вводные'!$B$234="Да",'19_Расчет_аналитики'!AM3486*'01_Вводные'!$B$14,0)</f>
        <v/>
      </c>
      <c r="AO3487">
        <f>IF('01_Вводные'!$B$234="Да",'19_Расчет_аналитики'!AN3486*'01_Вводные'!$B$14,0)</f>
        <v/>
      </c>
      <c r="AP3487">
        <f>IF('01_Вводные'!$B$234="Да",'19_Расчет_аналитики'!AO3486*'01_Вводные'!$B$14,0)</f>
        <v/>
      </c>
      <c r="AQ3487">
        <f>IF('01_Вводные'!$B$234="Да",'19_Расчет_аналитики'!AP3486*'01_Вводные'!$B$14,0)</f>
        <v/>
      </c>
      <c r="AR3487">
        <f>IF('01_Вводные'!$B$234="Да",'19_Расчет_аналитики'!AQ3486*'01_Вводные'!$B$14,0)</f>
        <v/>
      </c>
      <c r="AS3487">
        <f>IF('01_Вводные'!$B$234="Да",'19_Расчет_аналитики'!AR3486*'01_Вводные'!$B$14,0)</f>
        <v/>
      </c>
      <c r="AT3487">
        <f>IF('01_Вводные'!$B$234="Да",'19_Расчет_аналитики'!AS3486*'01_Вводные'!$B$14,0)</f>
        <v/>
      </c>
      <c r="AU3487">
        <f>IF('01_Вводные'!$B$234="Да",'19_Расчет_аналитики'!AT3486*'01_Вводные'!$B$14,0)</f>
        <v/>
      </c>
      <c r="AV3487">
        <f>IF('01_Вводные'!$B$234="Да",'19_Расчет_аналитики'!AU3486*'01_Вводные'!$B$14,0)</f>
        <v/>
      </c>
      <c r="AW3487">
        <f>IF('01_Вводные'!$B$234="Да",'19_Расчет_аналитики'!AV3486*'01_Вводные'!$B$14,0)</f>
        <v/>
      </c>
      <c r="AX3487">
        <f>IF('01_Вводные'!$B$234="Да",'19_Расчет_аналитики'!AW3486*'01_Вводные'!$B$14,0)</f>
        <v/>
      </c>
      <c r="AY3487">
        <f>IF('01_Вводные'!$B$234="Да",'19_Расчет_аналитики'!AX3486*'01_Вводные'!$B$14,0)</f>
        <v/>
      </c>
      <c r="AZ3487">
        <f>IF('01_Вводные'!$B$234="Да",'19_Расчет_аналитики'!AY3486*'01_Вводные'!$B$14,0)</f>
        <v/>
      </c>
      <c r="BA3487">
        <f>IF('01_Вводные'!$B$234="Да",'19_Расчет_аналитики'!AZ3486*'01_Вводные'!$B$14,0)</f>
        <v/>
      </c>
      <c r="BB3487">
        <f>IF('01_Вводные'!$B$234="Да",'19_Расчет_аналитики'!BA3486*'01_Вводные'!$B$14,0)</f>
        <v/>
      </c>
      <c r="BC3487">
        <f>IF('01_Вводные'!$B$234="Да",'19_Расчет_аналитики'!BB3486*'01_Вводные'!$B$14,0)</f>
        <v/>
      </c>
      <c r="BD3487">
        <f>IF('01_Вводные'!$B$234="Да",'19_Расчет_аналитики'!BC3486*'01_Вводные'!$B$14,0)</f>
        <v/>
      </c>
      <c r="BE3487">
        <f>IF('01_Вводные'!$B$234="Да",'19_Расчет_аналитики'!BD3486*'01_Вводные'!$B$14,0)</f>
        <v/>
      </c>
      <c r="BF3487">
        <f>IF('01_Вводные'!$B$234="Да",'19_Расчет_аналитики'!BE3486*'01_Вводные'!$B$14,0)</f>
        <v/>
      </c>
      <c r="BG3487">
        <f>IF('01_Вводные'!$B$234="Да",'19_Расчет_аналитики'!BF3486*'01_Вводные'!$B$14,0)</f>
        <v/>
      </c>
      <c r="BH3487">
        <f>IF('01_Вводные'!$B$234="Да",'19_Расчет_аналитики'!BG3486*'01_Вводные'!$B$14,0)</f>
        <v/>
      </c>
      <c r="BI3487">
        <f>IF('01_Вводные'!$B$234="Да",'19_Расчет_аналитики'!BH3486*'01_Вводные'!$B$14,0)</f>
        <v/>
      </c>
      <c r="BJ3487">
        <f>IF('01_Вводные'!$B$234="Да",'19_Расчет_аналитики'!BI3486*'01_Вводные'!$B$14,0)</f>
        <v/>
      </c>
      <c r="BK3487">
        <f>IF('01_Вводные'!$B$234="Да",'19_Расчет_аналитики'!BJ3486*'01_Вводные'!$B$14,0)</f>
        <v/>
      </c>
      <c r="BL3487">
        <f>IF('01_Вводные'!$B$234="Да",'19_Расчет_аналитики'!BK3486*'01_Вводные'!$B$14,0)</f>
        <v/>
      </c>
      <c r="BM3487">
        <f>IF('01_Вводные'!$B$234="Да",'19_Расчет_аналитики'!BL3486*'01_Вводные'!$B$14,0)</f>
        <v/>
      </c>
      <c r="BN3487">
        <f>IF('01_Вводные'!$B$234="Да",'19_Расчет_аналитики'!BM3486*'01_Вводные'!$B$14,0)</f>
        <v/>
      </c>
      <c r="BO3487">
        <f>IF('01_Вводные'!$B$234="Да",'19_Расчет_аналитики'!BN3486*'01_Вводные'!$B$14,0)</f>
        <v/>
      </c>
    </row>
    <row r="3488">
      <c r="N3488">
        <f>'06_Сеть_и_дети'!N97</f>
        <v/>
      </c>
      <c r="O3488">
        <f>'06_Сеть_и_дети'!O97</f>
        <v/>
      </c>
      <c r="P3488">
        <f>'06_Сеть_и_дети'!P97</f>
        <v/>
      </c>
      <c r="Q3488">
        <f>'06_Сеть_и_дети'!Q97</f>
        <v/>
      </c>
      <c r="R3488">
        <f>IF('01_Вводные'!$B$234="Да",'19_Расчет_аналитики'!Q3487*'01_Вводные'!$B$14,0)</f>
        <v/>
      </c>
      <c r="S3488">
        <f>IF('01_Вводные'!$B$234="Да",'19_Расчет_аналитики'!R3487*'01_Вводные'!$B$14,0)</f>
        <v/>
      </c>
      <c r="T3488">
        <f>IF('01_Вводные'!$B$234="Да",'19_Расчет_аналитики'!S3487*'01_Вводные'!$B$14,0)</f>
        <v/>
      </c>
      <c r="U3488">
        <f>IF('01_Вводные'!$B$234="Да",'19_Расчет_аналитики'!T3487*'01_Вводные'!$B$14,0)</f>
        <v/>
      </c>
      <c r="V3488">
        <f>IF('01_Вводные'!$B$234="Да",'19_Расчет_аналитики'!U3487*'01_Вводные'!$B$14,0)</f>
        <v/>
      </c>
      <c r="W3488">
        <f>IF('01_Вводные'!$B$234="Да",'19_Расчет_аналитики'!V3487*'01_Вводные'!$B$14,0)</f>
        <v/>
      </c>
      <c r="X3488">
        <f>IF('01_Вводные'!$B$234="Да",'19_Расчет_аналитики'!W3487*'01_Вводные'!$B$14,0)</f>
        <v/>
      </c>
      <c r="Y3488">
        <f>IF('01_Вводные'!$B$234="Да",'19_Расчет_аналитики'!X3487*'01_Вводные'!$B$14,0)</f>
        <v/>
      </c>
      <c r="Z3488">
        <f>IF('01_Вводные'!$B$234="Да",'19_Расчет_аналитики'!Y3487*'01_Вводные'!$B$14,0)</f>
        <v/>
      </c>
      <c r="AA3488">
        <f>IF('01_Вводные'!$B$234="Да",'19_Расчет_аналитики'!Z3487*'01_Вводные'!$B$14,0)</f>
        <v/>
      </c>
      <c r="AB3488">
        <f>IF('01_Вводные'!$B$234="Да",'19_Расчет_аналитики'!AA3487*'01_Вводные'!$B$14,0)</f>
        <v/>
      </c>
      <c r="AC3488">
        <f>IF('01_Вводные'!$B$234="Да",'19_Расчет_аналитики'!AB3487*'01_Вводные'!$B$14,0)</f>
        <v/>
      </c>
      <c r="AD3488">
        <f>IF('01_Вводные'!$B$234="Да",'19_Расчет_аналитики'!AC3487*'01_Вводные'!$B$14,0)</f>
        <v/>
      </c>
      <c r="AE3488">
        <f>IF('01_Вводные'!$B$234="Да",'19_Расчет_аналитики'!AD3487*'01_Вводные'!$B$14,0)</f>
        <v/>
      </c>
      <c r="AF3488">
        <f>IF('01_Вводные'!$B$234="Да",'19_Расчет_аналитики'!AE3487*'01_Вводные'!$B$14,0)</f>
        <v/>
      </c>
      <c r="AG3488">
        <f>IF('01_Вводные'!$B$234="Да",'19_Расчет_аналитики'!AF3487*'01_Вводные'!$B$14,0)</f>
        <v/>
      </c>
      <c r="AH3488">
        <f>IF('01_Вводные'!$B$234="Да",'19_Расчет_аналитики'!AG3487*'01_Вводные'!$B$14,0)</f>
        <v/>
      </c>
      <c r="AI3488">
        <f>IF('01_Вводные'!$B$234="Да",'19_Расчет_аналитики'!AH3487*'01_Вводные'!$B$14,0)</f>
        <v/>
      </c>
      <c r="AJ3488">
        <f>IF('01_Вводные'!$B$234="Да",'19_Расчет_аналитики'!AI3487*'01_Вводные'!$B$14,0)</f>
        <v/>
      </c>
      <c r="AK3488">
        <f>IF('01_Вводные'!$B$234="Да",'19_Расчет_аналитики'!AJ3487*'01_Вводные'!$B$14,0)</f>
        <v/>
      </c>
      <c r="AL3488">
        <f>IF('01_Вводные'!$B$234="Да",'19_Расчет_аналитики'!AK3487*'01_Вводные'!$B$14,0)</f>
        <v/>
      </c>
      <c r="AM3488">
        <f>IF('01_Вводные'!$B$234="Да",'19_Расчет_аналитики'!AL3487*'01_Вводные'!$B$14,0)</f>
        <v/>
      </c>
      <c r="AN3488">
        <f>IF('01_Вводные'!$B$234="Да",'19_Расчет_аналитики'!AM3487*'01_Вводные'!$B$14,0)</f>
        <v/>
      </c>
      <c r="AO3488">
        <f>IF('01_Вводные'!$B$234="Да",'19_Расчет_аналитики'!AN3487*'01_Вводные'!$B$14,0)</f>
        <v/>
      </c>
      <c r="AP3488">
        <f>IF('01_Вводные'!$B$234="Да",'19_Расчет_аналитики'!AO3487*'01_Вводные'!$B$14,0)</f>
        <v/>
      </c>
      <c r="AQ3488">
        <f>IF('01_Вводные'!$B$234="Да",'19_Расчет_аналитики'!AP3487*'01_Вводные'!$B$14,0)</f>
        <v/>
      </c>
      <c r="AR3488">
        <f>IF('01_Вводные'!$B$234="Да",'19_Расчет_аналитики'!AQ3487*'01_Вводные'!$B$14,0)</f>
        <v/>
      </c>
      <c r="AS3488">
        <f>IF('01_Вводные'!$B$234="Да",'19_Расчет_аналитики'!AR3487*'01_Вводные'!$B$14,0)</f>
        <v/>
      </c>
      <c r="AT3488">
        <f>IF('01_Вводные'!$B$234="Да",'19_Расчет_аналитики'!AS3487*'01_Вводные'!$B$14,0)</f>
        <v/>
      </c>
      <c r="AU3488">
        <f>IF('01_Вводные'!$B$234="Да",'19_Расчет_аналитики'!AT3487*'01_Вводные'!$B$14,0)</f>
        <v/>
      </c>
      <c r="AV3488">
        <f>IF('01_Вводные'!$B$234="Да",'19_Расчет_аналитики'!AU3487*'01_Вводные'!$B$14,0)</f>
        <v/>
      </c>
      <c r="AW3488">
        <f>IF('01_Вводные'!$B$234="Да",'19_Расчет_аналитики'!AV3487*'01_Вводные'!$B$14,0)</f>
        <v/>
      </c>
      <c r="AX3488">
        <f>IF('01_Вводные'!$B$234="Да",'19_Расчет_аналитики'!AW3487*'01_Вводные'!$B$14,0)</f>
        <v/>
      </c>
      <c r="AY3488">
        <f>IF('01_Вводные'!$B$234="Да",'19_Расчет_аналитики'!AX3487*'01_Вводные'!$B$14,0)</f>
        <v/>
      </c>
      <c r="AZ3488">
        <f>IF('01_Вводные'!$B$234="Да",'19_Расчет_аналитики'!AY3487*'01_Вводные'!$B$14,0)</f>
        <v/>
      </c>
      <c r="BA3488">
        <f>IF('01_Вводные'!$B$234="Да",'19_Расчет_аналитики'!AZ3487*'01_Вводные'!$B$14,0)</f>
        <v/>
      </c>
      <c r="BB3488">
        <f>IF('01_Вводные'!$B$234="Да",'19_Расчет_аналитики'!BA3487*'01_Вводные'!$B$14,0)</f>
        <v/>
      </c>
      <c r="BC3488">
        <f>IF('01_Вводные'!$B$234="Да",'19_Расчет_аналитики'!BB3487*'01_Вводные'!$B$14,0)</f>
        <v/>
      </c>
      <c r="BD3488">
        <f>IF('01_Вводные'!$B$234="Да",'19_Расчет_аналитики'!BC3487*'01_Вводные'!$B$14,0)</f>
        <v/>
      </c>
      <c r="BE3488">
        <f>IF('01_Вводные'!$B$234="Да",'19_Расчет_аналитики'!BD3487*'01_Вводные'!$B$14,0)</f>
        <v/>
      </c>
      <c r="BF3488">
        <f>IF('01_Вводные'!$B$234="Да",'19_Расчет_аналитики'!BE3487*'01_Вводные'!$B$14,0)</f>
        <v/>
      </c>
      <c r="BG3488">
        <f>IF('01_Вводные'!$B$234="Да",'19_Расчет_аналитики'!BF3487*'01_Вводные'!$B$14,0)</f>
        <v/>
      </c>
      <c r="BH3488">
        <f>IF('01_Вводные'!$B$234="Да",'19_Расчет_аналитики'!BG3487*'01_Вводные'!$B$14,0)</f>
        <v/>
      </c>
      <c r="BI3488">
        <f>IF('01_Вводные'!$B$234="Да",'19_Расчет_аналитики'!BH3487*'01_Вводные'!$B$14,0)</f>
        <v/>
      </c>
      <c r="BJ3488">
        <f>IF('01_Вводные'!$B$234="Да",'19_Расчет_аналитики'!BI3487*'01_Вводные'!$B$14,0)</f>
        <v/>
      </c>
      <c r="BK3488">
        <f>IF('01_Вводные'!$B$234="Да",'19_Расчет_аналитики'!BJ3487*'01_Вводные'!$B$14,0)</f>
        <v/>
      </c>
      <c r="BL3488">
        <f>IF('01_Вводные'!$B$234="Да",'19_Расчет_аналитики'!BK3487*'01_Вводные'!$B$14,0)</f>
        <v/>
      </c>
      <c r="BM3488">
        <f>IF('01_Вводные'!$B$234="Да",'19_Расчет_аналитики'!BL3487*'01_Вводные'!$B$14,0)</f>
        <v/>
      </c>
      <c r="BN3488">
        <f>IF('01_Вводные'!$B$234="Да",'19_Расчет_аналитики'!BM3487*'01_Вводные'!$B$14,0)</f>
        <v/>
      </c>
      <c r="BO3488">
        <f>IF('01_Вводные'!$B$234="Да",'19_Расчет_аналитики'!BN3487*'01_Вводные'!$B$14,0)</f>
        <v/>
      </c>
    </row>
    <row r="3489">
      <c r="N3489">
        <f>'06_Сеть_и_дети'!N98</f>
        <v/>
      </c>
      <c r="O3489">
        <f>'06_Сеть_и_дети'!O98</f>
        <v/>
      </c>
      <c r="P3489">
        <f>'06_Сеть_и_дети'!P98</f>
        <v/>
      </c>
      <c r="Q3489">
        <f>'06_Сеть_и_дети'!Q98</f>
        <v/>
      </c>
      <c r="R3489">
        <f>'06_Сеть_и_дети'!R98</f>
        <v/>
      </c>
      <c r="S3489">
        <f>IF('01_Вводные'!$B$234="Да",'19_Расчет_аналитики'!R3488*'01_Вводные'!$B$14,0)</f>
        <v/>
      </c>
      <c r="T3489">
        <f>IF('01_Вводные'!$B$234="Да",'19_Расчет_аналитики'!S3488*'01_Вводные'!$B$14,0)</f>
        <v/>
      </c>
      <c r="U3489">
        <f>IF('01_Вводные'!$B$234="Да",'19_Расчет_аналитики'!T3488*'01_Вводные'!$B$14,0)</f>
        <v/>
      </c>
      <c r="V3489">
        <f>IF('01_Вводные'!$B$234="Да",'19_Расчет_аналитики'!U3488*'01_Вводные'!$B$14,0)</f>
        <v/>
      </c>
      <c r="W3489">
        <f>IF('01_Вводные'!$B$234="Да",'19_Расчет_аналитики'!V3488*'01_Вводные'!$B$14,0)</f>
        <v/>
      </c>
      <c r="X3489">
        <f>IF('01_Вводные'!$B$234="Да",'19_Расчет_аналитики'!W3488*'01_Вводные'!$B$14,0)</f>
        <v/>
      </c>
      <c r="Y3489">
        <f>IF('01_Вводные'!$B$234="Да",'19_Расчет_аналитики'!X3488*'01_Вводные'!$B$14,0)</f>
        <v/>
      </c>
      <c r="Z3489">
        <f>IF('01_Вводные'!$B$234="Да",'19_Расчет_аналитики'!Y3488*'01_Вводные'!$B$14,0)</f>
        <v/>
      </c>
      <c r="AA3489">
        <f>IF('01_Вводные'!$B$234="Да",'19_Расчет_аналитики'!Z3488*'01_Вводные'!$B$14,0)</f>
        <v/>
      </c>
      <c r="AB3489">
        <f>IF('01_Вводные'!$B$234="Да",'19_Расчет_аналитики'!AA3488*'01_Вводные'!$B$14,0)</f>
        <v/>
      </c>
      <c r="AC3489">
        <f>IF('01_Вводные'!$B$234="Да",'19_Расчет_аналитики'!AB3488*'01_Вводные'!$B$14,0)</f>
        <v/>
      </c>
      <c r="AD3489">
        <f>IF('01_Вводные'!$B$234="Да",'19_Расчет_аналитики'!AC3488*'01_Вводные'!$B$14,0)</f>
        <v/>
      </c>
      <c r="AE3489">
        <f>IF('01_Вводные'!$B$234="Да",'19_Расчет_аналитики'!AD3488*'01_Вводные'!$B$14,0)</f>
        <v/>
      </c>
      <c r="AF3489">
        <f>IF('01_Вводные'!$B$234="Да",'19_Расчет_аналитики'!AE3488*'01_Вводные'!$B$14,0)</f>
        <v/>
      </c>
      <c r="AG3489">
        <f>IF('01_Вводные'!$B$234="Да",'19_Расчет_аналитики'!AF3488*'01_Вводные'!$B$14,0)</f>
        <v/>
      </c>
      <c r="AH3489">
        <f>IF('01_Вводные'!$B$234="Да",'19_Расчет_аналитики'!AG3488*'01_Вводные'!$B$14,0)</f>
        <v/>
      </c>
      <c r="AI3489">
        <f>IF('01_Вводные'!$B$234="Да",'19_Расчет_аналитики'!AH3488*'01_Вводные'!$B$14,0)</f>
        <v/>
      </c>
      <c r="AJ3489">
        <f>IF('01_Вводные'!$B$234="Да",'19_Расчет_аналитики'!AI3488*'01_Вводные'!$B$14,0)</f>
        <v/>
      </c>
      <c r="AK3489">
        <f>IF('01_Вводные'!$B$234="Да",'19_Расчет_аналитики'!AJ3488*'01_Вводные'!$B$14,0)</f>
        <v/>
      </c>
      <c r="AL3489">
        <f>IF('01_Вводные'!$B$234="Да",'19_Расчет_аналитики'!AK3488*'01_Вводные'!$B$14,0)</f>
        <v/>
      </c>
      <c r="AM3489">
        <f>IF('01_Вводные'!$B$234="Да",'19_Расчет_аналитики'!AL3488*'01_Вводные'!$B$14,0)</f>
        <v/>
      </c>
      <c r="AN3489">
        <f>IF('01_Вводные'!$B$234="Да",'19_Расчет_аналитики'!AM3488*'01_Вводные'!$B$14,0)</f>
        <v/>
      </c>
      <c r="AO3489">
        <f>IF('01_Вводные'!$B$234="Да",'19_Расчет_аналитики'!AN3488*'01_Вводные'!$B$14,0)</f>
        <v/>
      </c>
      <c r="AP3489">
        <f>IF('01_Вводные'!$B$234="Да",'19_Расчет_аналитики'!AO3488*'01_Вводные'!$B$14,0)</f>
        <v/>
      </c>
      <c r="AQ3489">
        <f>IF('01_Вводные'!$B$234="Да",'19_Расчет_аналитики'!AP3488*'01_Вводные'!$B$14,0)</f>
        <v/>
      </c>
      <c r="AR3489">
        <f>IF('01_Вводные'!$B$234="Да",'19_Расчет_аналитики'!AQ3488*'01_Вводные'!$B$14,0)</f>
        <v/>
      </c>
      <c r="AS3489">
        <f>IF('01_Вводные'!$B$234="Да",'19_Расчет_аналитики'!AR3488*'01_Вводные'!$B$14,0)</f>
        <v/>
      </c>
      <c r="AT3489">
        <f>IF('01_Вводные'!$B$234="Да",'19_Расчет_аналитики'!AS3488*'01_Вводные'!$B$14,0)</f>
        <v/>
      </c>
      <c r="AU3489">
        <f>IF('01_Вводные'!$B$234="Да",'19_Расчет_аналитики'!AT3488*'01_Вводные'!$B$14,0)</f>
        <v/>
      </c>
      <c r="AV3489">
        <f>IF('01_Вводные'!$B$234="Да",'19_Расчет_аналитики'!AU3488*'01_Вводные'!$B$14,0)</f>
        <v/>
      </c>
      <c r="AW3489">
        <f>IF('01_Вводные'!$B$234="Да",'19_Расчет_аналитики'!AV3488*'01_Вводные'!$B$14,0)</f>
        <v/>
      </c>
      <c r="AX3489">
        <f>IF('01_Вводные'!$B$234="Да",'19_Расчет_аналитики'!AW3488*'01_Вводные'!$B$14,0)</f>
        <v/>
      </c>
      <c r="AY3489">
        <f>IF('01_Вводные'!$B$234="Да",'19_Расчет_аналитики'!AX3488*'01_Вводные'!$B$14,0)</f>
        <v/>
      </c>
      <c r="AZ3489">
        <f>IF('01_Вводные'!$B$234="Да",'19_Расчет_аналитики'!AY3488*'01_Вводные'!$B$14,0)</f>
        <v/>
      </c>
      <c r="BA3489">
        <f>IF('01_Вводные'!$B$234="Да",'19_Расчет_аналитики'!AZ3488*'01_Вводные'!$B$14,0)</f>
        <v/>
      </c>
      <c r="BB3489">
        <f>IF('01_Вводные'!$B$234="Да",'19_Расчет_аналитики'!BA3488*'01_Вводные'!$B$14,0)</f>
        <v/>
      </c>
      <c r="BC3489">
        <f>IF('01_Вводные'!$B$234="Да",'19_Расчет_аналитики'!BB3488*'01_Вводные'!$B$14,0)</f>
        <v/>
      </c>
      <c r="BD3489">
        <f>IF('01_Вводные'!$B$234="Да",'19_Расчет_аналитики'!BC3488*'01_Вводные'!$B$14,0)</f>
        <v/>
      </c>
      <c r="BE3489">
        <f>IF('01_Вводные'!$B$234="Да",'19_Расчет_аналитики'!BD3488*'01_Вводные'!$B$14,0)</f>
        <v/>
      </c>
      <c r="BF3489">
        <f>IF('01_Вводные'!$B$234="Да",'19_Расчет_аналитики'!BE3488*'01_Вводные'!$B$14,0)</f>
        <v/>
      </c>
      <c r="BG3489">
        <f>IF('01_Вводные'!$B$234="Да",'19_Расчет_аналитики'!BF3488*'01_Вводные'!$B$14,0)</f>
        <v/>
      </c>
      <c r="BH3489">
        <f>IF('01_Вводные'!$B$234="Да",'19_Расчет_аналитики'!BG3488*'01_Вводные'!$B$14,0)</f>
        <v/>
      </c>
      <c r="BI3489">
        <f>IF('01_Вводные'!$B$234="Да",'19_Расчет_аналитики'!BH3488*'01_Вводные'!$B$14,0)</f>
        <v/>
      </c>
      <c r="BJ3489">
        <f>IF('01_Вводные'!$B$234="Да",'19_Расчет_аналитики'!BI3488*'01_Вводные'!$B$14,0)</f>
        <v/>
      </c>
      <c r="BK3489">
        <f>IF('01_Вводные'!$B$234="Да",'19_Расчет_аналитики'!BJ3488*'01_Вводные'!$B$14,0)</f>
        <v/>
      </c>
      <c r="BL3489">
        <f>IF('01_Вводные'!$B$234="Да",'19_Расчет_аналитики'!BK3488*'01_Вводные'!$B$14,0)</f>
        <v/>
      </c>
      <c r="BM3489">
        <f>IF('01_Вводные'!$B$234="Да",'19_Расчет_аналитики'!BL3488*'01_Вводные'!$B$14,0)</f>
        <v/>
      </c>
      <c r="BN3489">
        <f>IF('01_Вводные'!$B$234="Да",'19_Расчет_аналитики'!BM3488*'01_Вводные'!$B$14,0)</f>
        <v/>
      </c>
      <c r="BO3489">
        <f>IF('01_Вводные'!$B$234="Да",'19_Расчет_аналитики'!BN3488*'01_Вводные'!$B$14,0)</f>
        <v/>
      </c>
    </row>
    <row r="3490">
      <c r="N3490">
        <f>'06_Сеть_и_дети'!N99</f>
        <v/>
      </c>
      <c r="O3490">
        <f>'06_Сеть_и_дети'!O99</f>
        <v/>
      </c>
      <c r="P3490">
        <f>'06_Сеть_и_дети'!P99</f>
        <v/>
      </c>
      <c r="Q3490">
        <f>'06_Сеть_и_дети'!Q99</f>
        <v/>
      </c>
      <c r="R3490">
        <f>'06_Сеть_и_дети'!R99</f>
        <v/>
      </c>
      <c r="S3490">
        <f>'06_Сеть_и_дети'!S99</f>
        <v/>
      </c>
      <c r="T3490">
        <f>IF('01_Вводные'!$B$234="Да",'19_Расчет_аналитики'!S3489*'01_Вводные'!$B$14,0)</f>
        <v/>
      </c>
      <c r="U3490">
        <f>IF('01_Вводные'!$B$234="Да",'19_Расчет_аналитики'!T3489*'01_Вводные'!$B$14,0)</f>
        <v/>
      </c>
      <c r="V3490">
        <f>IF('01_Вводные'!$B$234="Да",'19_Расчет_аналитики'!U3489*'01_Вводные'!$B$14,0)</f>
        <v/>
      </c>
      <c r="W3490">
        <f>IF('01_Вводные'!$B$234="Да",'19_Расчет_аналитики'!V3489*'01_Вводные'!$B$14,0)</f>
        <v/>
      </c>
      <c r="X3490">
        <f>IF('01_Вводные'!$B$234="Да",'19_Расчет_аналитики'!W3489*'01_Вводные'!$B$14,0)</f>
        <v/>
      </c>
      <c r="Y3490">
        <f>IF('01_Вводные'!$B$234="Да",'19_Расчет_аналитики'!X3489*'01_Вводные'!$B$14,0)</f>
        <v/>
      </c>
      <c r="Z3490">
        <f>IF('01_Вводные'!$B$234="Да",'19_Расчет_аналитики'!Y3489*'01_Вводные'!$B$14,0)</f>
        <v/>
      </c>
      <c r="AA3490">
        <f>IF('01_Вводные'!$B$234="Да",'19_Расчет_аналитики'!Z3489*'01_Вводные'!$B$14,0)</f>
        <v/>
      </c>
      <c r="AB3490">
        <f>IF('01_Вводные'!$B$234="Да",'19_Расчет_аналитики'!AA3489*'01_Вводные'!$B$14,0)</f>
        <v/>
      </c>
      <c r="AC3490">
        <f>IF('01_Вводные'!$B$234="Да",'19_Расчет_аналитики'!AB3489*'01_Вводные'!$B$14,0)</f>
        <v/>
      </c>
      <c r="AD3490">
        <f>IF('01_Вводные'!$B$234="Да",'19_Расчет_аналитики'!AC3489*'01_Вводные'!$B$14,0)</f>
        <v/>
      </c>
      <c r="AE3490">
        <f>IF('01_Вводные'!$B$234="Да",'19_Расчет_аналитики'!AD3489*'01_Вводные'!$B$14,0)</f>
        <v/>
      </c>
      <c r="AF3490">
        <f>IF('01_Вводные'!$B$234="Да",'19_Расчет_аналитики'!AE3489*'01_Вводные'!$B$14,0)</f>
        <v/>
      </c>
      <c r="AG3490">
        <f>IF('01_Вводные'!$B$234="Да",'19_Расчет_аналитики'!AF3489*'01_Вводные'!$B$14,0)</f>
        <v/>
      </c>
      <c r="AH3490">
        <f>IF('01_Вводные'!$B$234="Да",'19_Расчет_аналитики'!AG3489*'01_Вводные'!$B$14,0)</f>
        <v/>
      </c>
      <c r="AI3490">
        <f>IF('01_Вводные'!$B$234="Да",'19_Расчет_аналитики'!AH3489*'01_Вводные'!$B$14,0)</f>
        <v/>
      </c>
      <c r="AJ3490">
        <f>IF('01_Вводные'!$B$234="Да",'19_Расчет_аналитики'!AI3489*'01_Вводные'!$B$14,0)</f>
        <v/>
      </c>
      <c r="AK3490">
        <f>IF('01_Вводные'!$B$234="Да",'19_Расчет_аналитики'!AJ3489*'01_Вводные'!$B$14,0)</f>
        <v/>
      </c>
      <c r="AL3490">
        <f>IF('01_Вводные'!$B$234="Да",'19_Расчет_аналитики'!AK3489*'01_Вводные'!$B$14,0)</f>
        <v/>
      </c>
      <c r="AM3490">
        <f>IF('01_Вводные'!$B$234="Да",'19_Расчет_аналитики'!AL3489*'01_Вводные'!$B$14,0)</f>
        <v/>
      </c>
      <c r="AN3490">
        <f>IF('01_Вводные'!$B$234="Да",'19_Расчет_аналитики'!AM3489*'01_Вводные'!$B$14,0)</f>
        <v/>
      </c>
      <c r="AO3490">
        <f>IF('01_Вводные'!$B$234="Да",'19_Расчет_аналитики'!AN3489*'01_Вводные'!$B$14,0)</f>
        <v/>
      </c>
      <c r="AP3490">
        <f>IF('01_Вводные'!$B$234="Да",'19_Расчет_аналитики'!AO3489*'01_Вводные'!$B$14,0)</f>
        <v/>
      </c>
      <c r="AQ3490">
        <f>IF('01_Вводные'!$B$234="Да",'19_Расчет_аналитики'!AP3489*'01_Вводные'!$B$14,0)</f>
        <v/>
      </c>
      <c r="AR3490">
        <f>IF('01_Вводные'!$B$234="Да",'19_Расчет_аналитики'!AQ3489*'01_Вводные'!$B$14,0)</f>
        <v/>
      </c>
      <c r="AS3490">
        <f>IF('01_Вводные'!$B$234="Да",'19_Расчет_аналитики'!AR3489*'01_Вводные'!$B$14,0)</f>
        <v/>
      </c>
      <c r="AT3490">
        <f>IF('01_Вводные'!$B$234="Да",'19_Расчет_аналитики'!AS3489*'01_Вводные'!$B$14,0)</f>
        <v/>
      </c>
      <c r="AU3490">
        <f>IF('01_Вводные'!$B$234="Да",'19_Расчет_аналитики'!AT3489*'01_Вводные'!$B$14,0)</f>
        <v/>
      </c>
      <c r="AV3490">
        <f>IF('01_Вводные'!$B$234="Да",'19_Расчет_аналитики'!AU3489*'01_Вводные'!$B$14,0)</f>
        <v/>
      </c>
      <c r="AW3490">
        <f>IF('01_Вводные'!$B$234="Да",'19_Расчет_аналитики'!AV3489*'01_Вводные'!$B$14,0)</f>
        <v/>
      </c>
      <c r="AX3490">
        <f>IF('01_Вводные'!$B$234="Да",'19_Расчет_аналитики'!AW3489*'01_Вводные'!$B$14,0)</f>
        <v/>
      </c>
      <c r="AY3490">
        <f>IF('01_Вводные'!$B$234="Да",'19_Расчет_аналитики'!AX3489*'01_Вводные'!$B$14,0)</f>
        <v/>
      </c>
      <c r="AZ3490">
        <f>IF('01_Вводные'!$B$234="Да",'19_Расчет_аналитики'!AY3489*'01_Вводные'!$B$14,0)</f>
        <v/>
      </c>
      <c r="BA3490">
        <f>IF('01_Вводные'!$B$234="Да",'19_Расчет_аналитики'!AZ3489*'01_Вводные'!$B$14,0)</f>
        <v/>
      </c>
      <c r="BB3490">
        <f>IF('01_Вводные'!$B$234="Да",'19_Расчет_аналитики'!BA3489*'01_Вводные'!$B$14,0)</f>
        <v/>
      </c>
      <c r="BC3490">
        <f>IF('01_Вводные'!$B$234="Да",'19_Расчет_аналитики'!BB3489*'01_Вводные'!$B$14,0)</f>
        <v/>
      </c>
      <c r="BD3490">
        <f>IF('01_Вводные'!$B$234="Да",'19_Расчет_аналитики'!BC3489*'01_Вводные'!$B$14,0)</f>
        <v/>
      </c>
      <c r="BE3490">
        <f>IF('01_Вводные'!$B$234="Да",'19_Расчет_аналитики'!BD3489*'01_Вводные'!$B$14,0)</f>
        <v/>
      </c>
      <c r="BF3490">
        <f>IF('01_Вводные'!$B$234="Да",'19_Расчет_аналитики'!BE3489*'01_Вводные'!$B$14,0)</f>
        <v/>
      </c>
      <c r="BG3490">
        <f>IF('01_Вводные'!$B$234="Да",'19_Расчет_аналитики'!BF3489*'01_Вводные'!$B$14,0)</f>
        <v/>
      </c>
      <c r="BH3490">
        <f>IF('01_Вводные'!$B$234="Да",'19_Расчет_аналитики'!BG3489*'01_Вводные'!$B$14,0)</f>
        <v/>
      </c>
      <c r="BI3490">
        <f>IF('01_Вводные'!$B$234="Да",'19_Расчет_аналитики'!BH3489*'01_Вводные'!$B$14,0)</f>
        <v/>
      </c>
      <c r="BJ3490">
        <f>IF('01_Вводные'!$B$234="Да",'19_Расчет_аналитики'!BI3489*'01_Вводные'!$B$14,0)</f>
        <v/>
      </c>
      <c r="BK3490">
        <f>IF('01_Вводные'!$B$234="Да",'19_Расчет_аналитики'!BJ3489*'01_Вводные'!$B$14,0)</f>
        <v/>
      </c>
      <c r="BL3490">
        <f>IF('01_Вводные'!$B$234="Да",'19_Расчет_аналитики'!BK3489*'01_Вводные'!$B$14,0)</f>
        <v/>
      </c>
      <c r="BM3490">
        <f>IF('01_Вводные'!$B$234="Да",'19_Расчет_аналитики'!BL3489*'01_Вводные'!$B$14,0)</f>
        <v/>
      </c>
      <c r="BN3490">
        <f>IF('01_Вводные'!$B$234="Да",'19_Расчет_аналитики'!BM3489*'01_Вводные'!$B$14,0)</f>
        <v/>
      </c>
      <c r="BO3490">
        <f>IF('01_Вводные'!$B$234="Да",'19_Расчет_аналитики'!BN3489*'01_Вводные'!$B$14,0)</f>
        <v/>
      </c>
    </row>
    <row r="3491">
      <c r="N3491">
        <f>'06_Сеть_и_дети'!N100</f>
        <v/>
      </c>
      <c r="O3491">
        <f>'06_Сеть_и_дети'!O100</f>
        <v/>
      </c>
      <c r="P3491">
        <f>'06_Сеть_и_дети'!P100</f>
        <v/>
      </c>
      <c r="Q3491">
        <f>'06_Сеть_и_дети'!Q100</f>
        <v/>
      </c>
      <c r="R3491">
        <f>'06_Сеть_и_дети'!R100</f>
        <v/>
      </c>
      <c r="S3491">
        <f>'06_Сеть_и_дети'!S100</f>
        <v/>
      </c>
      <c r="T3491">
        <f>'06_Сеть_и_дети'!T100</f>
        <v/>
      </c>
      <c r="U3491">
        <f>IF('01_Вводные'!$B$234="Да",'19_Расчет_аналитики'!T3490*'01_Вводные'!$B$14,0)</f>
        <v/>
      </c>
      <c r="V3491">
        <f>IF('01_Вводные'!$B$234="Да",'19_Расчет_аналитики'!U3490*'01_Вводные'!$B$14,0)</f>
        <v/>
      </c>
      <c r="W3491">
        <f>IF('01_Вводные'!$B$234="Да",'19_Расчет_аналитики'!V3490*'01_Вводные'!$B$14,0)</f>
        <v/>
      </c>
      <c r="X3491">
        <f>IF('01_Вводные'!$B$234="Да",'19_Расчет_аналитики'!W3490*'01_Вводные'!$B$14,0)</f>
        <v/>
      </c>
      <c r="Y3491">
        <f>IF('01_Вводные'!$B$234="Да",'19_Расчет_аналитики'!X3490*'01_Вводные'!$B$14,0)</f>
        <v/>
      </c>
      <c r="Z3491">
        <f>IF('01_Вводные'!$B$234="Да",'19_Расчет_аналитики'!Y3490*'01_Вводные'!$B$14,0)</f>
        <v/>
      </c>
      <c r="AA3491">
        <f>IF('01_Вводные'!$B$234="Да",'19_Расчет_аналитики'!Z3490*'01_Вводные'!$B$14,0)</f>
        <v/>
      </c>
      <c r="AB3491">
        <f>IF('01_Вводные'!$B$234="Да",'19_Расчет_аналитики'!AA3490*'01_Вводные'!$B$14,0)</f>
        <v/>
      </c>
      <c r="AC3491">
        <f>IF('01_Вводные'!$B$234="Да",'19_Расчет_аналитики'!AB3490*'01_Вводные'!$B$14,0)</f>
        <v/>
      </c>
      <c r="AD3491">
        <f>IF('01_Вводные'!$B$234="Да",'19_Расчет_аналитики'!AC3490*'01_Вводные'!$B$14,0)</f>
        <v/>
      </c>
      <c r="AE3491">
        <f>IF('01_Вводные'!$B$234="Да",'19_Расчет_аналитики'!AD3490*'01_Вводные'!$B$14,0)</f>
        <v/>
      </c>
      <c r="AF3491">
        <f>IF('01_Вводные'!$B$234="Да",'19_Расчет_аналитики'!AE3490*'01_Вводные'!$B$14,0)</f>
        <v/>
      </c>
      <c r="AG3491">
        <f>IF('01_Вводные'!$B$234="Да",'19_Расчет_аналитики'!AF3490*'01_Вводные'!$B$14,0)</f>
        <v/>
      </c>
      <c r="AH3491">
        <f>IF('01_Вводные'!$B$234="Да",'19_Расчет_аналитики'!AG3490*'01_Вводные'!$B$14,0)</f>
        <v/>
      </c>
      <c r="AI3491">
        <f>IF('01_Вводные'!$B$234="Да",'19_Расчет_аналитики'!AH3490*'01_Вводные'!$B$14,0)</f>
        <v/>
      </c>
      <c r="AJ3491">
        <f>IF('01_Вводные'!$B$234="Да",'19_Расчет_аналитики'!AI3490*'01_Вводные'!$B$14,0)</f>
        <v/>
      </c>
      <c r="AK3491">
        <f>IF('01_Вводные'!$B$234="Да",'19_Расчет_аналитики'!AJ3490*'01_Вводные'!$B$14,0)</f>
        <v/>
      </c>
      <c r="AL3491">
        <f>IF('01_Вводные'!$B$234="Да",'19_Расчет_аналитики'!AK3490*'01_Вводные'!$B$14,0)</f>
        <v/>
      </c>
      <c r="AM3491">
        <f>IF('01_Вводные'!$B$234="Да",'19_Расчет_аналитики'!AL3490*'01_Вводные'!$B$14,0)</f>
        <v/>
      </c>
      <c r="AN3491">
        <f>IF('01_Вводные'!$B$234="Да",'19_Расчет_аналитики'!AM3490*'01_Вводные'!$B$14,0)</f>
        <v/>
      </c>
      <c r="AO3491">
        <f>IF('01_Вводные'!$B$234="Да",'19_Расчет_аналитики'!AN3490*'01_Вводные'!$B$14,0)</f>
        <v/>
      </c>
      <c r="AP3491">
        <f>IF('01_Вводные'!$B$234="Да",'19_Расчет_аналитики'!AO3490*'01_Вводные'!$B$14,0)</f>
        <v/>
      </c>
      <c r="AQ3491">
        <f>IF('01_Вводные'!$B$234="Да",'19_Расчет_аналитики'!AP3490*'01_Вводные'!$B$14,0)</f>
        <v/>
      </c>
      <c r="AR3491">
        <f>IF('01_Вводные'!$B$234="Да",'19_Расчет_аналитики'!AQ3490*'01_Вводные'!$B$14,0)</f>
        <v/>
      </c>
      <c r="AS3491">
        <f>IF('01_Вводные'!$B$234="Да",'19_Расчет_аналитики'!AR3490*'01_Вводные'!$B$14,0)</f>
        <v/>
      </c>
      <c r="AT3491">
        <f>IF('01_Вводные'!$B$234="Да",'19_Расчет_аналитики'!AS3490*'01_Вводные'!$B$14,0)</f>
        <v/>
      </c>
      <c r="AU3491">
        <f>IF('01_Вводные'!$B$234="Да",'19_Расчет_аналитики'!AT3490*'01_Вводные'!$B$14,0)</f>
        <v/>
      </c>
      <c r="AV3491">
        <f>IF('01_Вводные'!$B$234="Да",'19_Расчет_аналитики'!AU3490*'01_Вводные'!$B$14,0)</f>
        <v/>
      </c>
      <c r="AW3491">
        <f>IF('01_Вводные'!$B$234="Да",'19_Расчет_аналитики'!AV3490*'01_Вводные'!$B$14,0)</f>
        <v/>
      </c>
      <c r="AX3491">
        <f>IF('01_Вводные'!$B$234="Да",'19_Расчет_аналитики'!AW3490*'01_Вводные'!$B$14,0)</f>
        <v/>
      </c>
      <c r="AY3491">
        <f>IF('01_Вводные'!$B$234="Да",'19_Расчет_аналитики'!AX3490*'01_Вводные'!$B$14,0)</f>
        <v/>
      </c>
      <c r="AZ3491">
        <f>IF('01_Вводные'!$B$234="Да",'19_Расчет_аналитики'!AY3490*'01_Вводные'!$B$14,0)</f>
        <v/>
      </c>
      <c r="BA3491">
        <f>IF('01_Вводные'!$B$234="Да",'19_Расчет_аналитики'!AZ3490*'01_Вводные'!$B$14,0)</f>
        <v/>
      </c>
      <c r="BB3491">
        <f>IF('01_Вводные'!$B$234="Да",'19_Расчет_аналитики'!BA3490*'01_Вводные'!$B$14,0)</f>
        <v/>
      </c>
      <c r="BC3491">
        <f>IF('01_Вводные'!$B$234="Да",'19_Расчет_аналитики'!BB3490*'01_Вводные'!$B$14,0)</f>
        <v/>
      </c>
      <c r="BD3491">
        <f>IF('01_Вводные'!$B$234="Да",'19_Расчет_аналитики'!BC3490*'01_Вводные'!$B$14,0)</f>
        <v/>
      </c>
      <c r="BE3491">
        <f>IF('01_Вводные'!$B$234="Да",'19_Расчет_аналитики'!BD3490*'01_Вводные'!$B$14,0)</f>
        <v/>
      </c>
      <c r="BF3491">
        <f>IF('01_Вводные'!$B$234="Да",'19_Расчет_аналитики'!BE3490*'01_Вводные'!$B$14,0)</f>
        <v/>
      </c>
      <c r="BG3491">
        <f>IF('01_Вводные'!$B$234="Да",'19_Расчет_аналитики'!BF3490*'01_Вводные'!$B$14,0)</f>
        <v/>
      </c>
      <c r="BH3491">
        <f>IF('01_Вводные'!$B$234="Да",'19_Расчет_аналитики'!BG3490*'01_Вводные'!$B$14,0)</f>
        <v/>
      </c>
      <c r="BI3491">
        <f>IF('01_Вводные'!$B$234="Да",'19_Расчет_аналитики'!BH3490*'01_Вводные'!$B$14,0)</f>
        <v/>
      </c>
      <c r="BJ3491">
        <f>IF('01_Вводные'!$B$234="Да",'19_Расчет_аналитики'!BI3490*'01_Вводные'!$B$14,0)</f>
        <v/>
      </c>
      <c r="BK3491">
        <f>IF('01_Вводные'!$B$234="Да",'19_Расчет_аналитики'!BJ3490*'01_Вводные'!$B$14,0)</f>
        <v/>
      </c>
      <c r="BL3491">
        <f>IF('01_Вводные'!$B$234="Да",'19_Расчет_аналитики'!BK3490*'01_Вводные'!$B$14,0)</f>
        <v/>
      </c>
      <c r="BM3491">
        <f>IF('01_Вводные'!$B$234="Да",'19_Расчет_аналитики'!BL3490*'01_Вводные'!$B$14,0)</f>
        <v/>
      </c>
      <c r="BN3491">
        <f>IF('01_Вводные'!$B$234="Да",'19_Расчет_аналитики'!BM3490*'01_Вводные'!$B$14,0)</f>
        <v/>
      </c>
      <c r="BO3491">
        <f>IF('01_Вводные'!$B$234="Да",'19_Расчет_аналитики'!BN3490*'01_Вводные'!$B$14,0)</f>
        <v/>
      </c>
    </row>
    <row r="3492">
      <c r="N3492">
        <f>'06_Сеть_и_дети'!N101</f>
        <v/>
      </c>
      <c r="O3492">
        <f>'06_Сеть_и_дети'!O101</f>
        <v/>
      </c>
      <c r="P3492">
        <f>'06_Сеть_и_дети'!P101</f>
        <v/>
      </c>
      <c r="Q3492">
        <f>'06_Сеть_и_дети'!Q101</f>
        <v/>
      </c>
      <c r="R3492">
        <f>'06_Сеть_и_дети'!R101</f>
        <v/>
      </c>
      <c r="S3492">
        <f>'06_Сеть_и_дети'!S101</f>
        <v/>
      </c>
      <c r="T3492">
        <f>'06_Сеть_и_дети'!T101</f>
        <v/>
      </c>
      <c r="U3492">
        <f>'06_Сеть_и_дети'!U101</f>
        <v/>
      </c>
      <c r="V3492">
        <f>IF('01_Вводные'!$B$234="Да",'19_Расчет_аналитики'!U3491*'01_Вводные'!$B$14,0)</f>
        <v/>
      </c>
      <c r="W3492">
        <f>IF('01_Вводные'!$B$234="Да",'19_Расчет_аналитики'!V3491*'01_Вводные'!$B$14,0)</f>
        <v/>
      </c>
      <c r="X3492">
        <f>IF('01_Вводные'!$B$234="Да",'19_Расчет_аналитики'!W3491*'01_Вводные'!$B$14,0)</f>
        <v/>
      </c>
      <c r="Y3492">
        <f>IF('01_Вводные'!$B$234="Да",'19_Расчет_аналитики'!X3491*'01_Вводные'!$B$14,0)</f>
        <v/>
      </c>
      <c r="Z3492">
        <f>IF('01_Вводные'!$B$234="Да",'19_Расчет_аналитики'!Y3491*'01_Вводные'!$B$14,0)</f>
        <v/>
      </c>
      <c r="AA3492">
        <f>IF('01_Вводные'!$B$234="Да",'19_Расчет_аналитики'!Z3491*'01_Вводные'!$B$14,0)</f>
        <v/>
      </c>
      <c r="AB3492">
        <f>IF('01_Вводные'!$B$234="Да",'19_Расчет_аналитики'!AA3491*'01_Вводные'!$B$14,0)</f>
        <v/>
      </c>
      <c r="AC3492">
        <f>IF('01_Вводные'!$B$234="Да",'19_Расчет_аналитики'!AB3491*'01_Вводные'!$B$14,0)</f>
        <v/>
      </c>
      <c r="AD3492">
        <f>IF('01_Вводные'!$B$234="Да",'19_Расчет_аналитики'!AC3491*'01_Вводные'!$B$14,0)</f>
        <v/>
      </c>
      <c r="AE3492">
        <f>IF('01_Вводные'!$B$234="Да",'19_Расчет_аналитики'!AD3491*'01_Вводные'!$B$14,0)</f>
        <v/>
      </c>
      <c r="AF3492">
        <f>IF('01_Вводные'!$B$234="Да",'19_Расчет_аналитики'!AE3491*'01_Вводные'!$B$14,0)</f>
        <v/>
      </c>
      <c r="AG3492">
        <f>IF('01_Вводные'!$B$234="Да",'19_Расчет_аналитики'!AF3491*'01_Вводные'!$B$14,0)</f>
        <v/>
      </c>
      <c r="AH3492">
        <f>IF('01_Вводные'!$B$234="Да",'19_Расчет_аналитики'!AG3491*'01_Вводные'!$B$14,0)</f>
        <v/>
      </c>
      <c r="AI3492">
        <f>IF('01_Вводные'!$B$234="Да",'19_Расчет_аналитики'!AH3491*'01_Вводные'!$B$14,0)</f>
        <v/>
      </c>
      <c r="AJ3492">
        <f>IF('01_Вводные'!$B$234="Да",'19_Расчет_аналитики'!AI3491*'01_Вводные'!$B$14,0)</f>
        <v/>
      </c>
      <c r="AK3492">
        <f>IF('01_Вводные'!$B$234="Да",'19_Расчет_аналитики'!AJ3491*'01_Вводные'!$B$14,0)</f>
        <v/>
      </c>
      <c r="AL3492">
        <f>IF('01_Вводные'!$B$234="Да",'19_Расчет_аналитики'!AK3491*'01_Вводные'!$B$14,0)</f>
        <v/>
      </c>
      <c r="AM3492">
        <f>IF('01_Вводные'!$B$234="Да",'19_Расчет_аналитики'!AL3491*'01_Вводные'!$B$14,0)</f>
        <v/>
      </c>
      <c r="AN3492">
        <f>IF('01_Вводные'!$B$234="Да",'19_Расчет_аналитики'!AM3491*'01_Вводные'!$B$14,0)</f>
        <v/>
      </c>
      <c r="AO3492">
        <f>IF('01_Вводные'!$B$234="Да",'19_Расчет_аналитики'!AN3491*'01_Вводные'!$B$14,0)</f>
        <v/>
      </c>
      <c r="AP3492">
        <f>IF('01_Вводные'!$B$234="Да",'19_Расчет_аналитики'!AO3491*'01_Вводные'!$B$14,0)</f>
        <v/>
      </c>
      <c r="AQ3492">
        <f>IF('01_Вводные'!$B$234="Да",'19_Расчет_аналитики'!AP3491*'01_Вводные'!$B$14,0)</f>
        <v/>
      </c>
      <c r="AR3492">
        <f>IF('01_Вводные'!$B$234="Да",'19_Расчет_аналитики'!AQ3491*'01_Вводные'!$B$14,0)</f>
        <v/>
      </c>
      <c r="AS3492">
        <f>IF('01_Вводные'!$B$234="Да",'19_Расчет_аналитики'!AR3491*'01_Вводные'!$B$14,0)</f>
        <v/>
      </c>
      <c r="AT3492">
        <f>IF('01_Вводные'!$B$234="Да",'19_Расчет_аналитики'!AS3491*'01_Вводные'!$B$14,0)</f>
        <v/>
      </c>
      <c r="AU3492">
        <f>IF('01_Вводные'!$B$234="Да",'19_Расчет_аналитики'!AT3491*'01_Вводные'!$B$14,0)</f>
        <v/>
      </c>
      <c r="AV3492">
        <f>IF('01_Вводные'!$B$234="Да",'19_Расчет_аналитики'!AU3491*'01_Вводные'!$B$14,0)</f>
        <v/>
      </c>
      <c r="AW3492">
        <f>IF('01_Вводные'!$B$234="Да",'19_Расчет_аналитики'!AV3491*'01_Вводные'!$B$14,0)</f>
        <v/>
      </c>
      <c r="AX3492">
        <f>IF('01_Вводные'!$B$234="Да",'19_Расчет_аналитики'!AW3491*'01_Вводные'!$B$14,0)</f>
        <v/>
      </c>
      <c r="AY3492">
        <f>IF('01_Вводные'!$B$234="Да",'19_Расчет_аналитики'!AX3491*'01_Вводные'!$B$14,0)</f>
        <v/>
      </c>
      <c r="AZ3492">
        <f>IF('01_Вводные'!$B$234="Да",'19_Расчет_аналитики'!AY3491*'01_Вводные'!$B$14,0)</f>
        <v/>
      </c>
      <c r="BA3492">
        <f>IF('01_Вводные'!$B$234="Да",'19_Расчет_аналитики'!AZ3491*'01_Вводные'!$B$14,0)</f>
        <v/>
      </c>
      <c r="BB3492">
        <f>IF('01_Вводные'!$B$234="Да",'19_Расчет_аналитики'!BA3491*'01_Вводные'!$B$14,0)</f>
        <v/>
      </c>
      <c r="BC3492">
        <f>IF('01_Вводные'!$B$234="Да",'19_Расчет_аналитики'!BB3491*'01_Вводные'!$B$14,0)</f>
        <v/>
      </c>
      <c r="BD3492">
        <f>IF('01_Вводные'!$B$234="Да",'19_Расчет_аналитики'!BC3491*'01_Вводные'!$B$14,0)</f>
        <v/>
      </c>
      <c r="BE3492">
        <f>IF('01_Вводные'!$B$234="Да",'19_Расчет_аналитики'!BD3491*'01_Вводные'!$B$14,0)</f>
        <v/>
      </c>
      <c r="BF3492">
        <f>IF('01_Вводные'!$B$234="Да",'19_Расчет_аналитики'!BE3491*'01_Вводные'!$B$14,0)</f>
        <v/>
      </c>
      <c r="BG3492">
        <f>IF('01_Вводные'!$B$234="Да",'19_Расчет_аналитики'!BF3491*'01_Вводные'!$B$14,0)</f>
        <v/>
      </c>
      <c r="BH3492">
        <f>IF('01_Вводные'!$B$234="Да",'19_Расчет_аналитики'!BG3491*'01_Вводные'!$B$14,0)</f>
        <v/>
      </c>
      <c r="BI3492">
        <f>IF('01_Вводные'!$B$234="Да",'19_Расчет_аналитики'!BH3491*'01_Вводные'!$B$14,0)</f>
        <v/>
      </c>
      <c r="BJ3492">
        <f>IF('01_Вводные'!$B$234="Да",'19_Расчет_аналитики'!BI3491*'01_Вводные'!$B$14,0)</f>
        <v/>
      </c>
      <c r="BK3492">
        <f>IF('01_Вводные'!$B$234="Да",'19_Расчет_аналитики'!BJ3491*'01_Вводные'!$B$14,0)</f>
        <v/>
      </c>
      <c r="BL3492">
        <f>IF('01_Вводные'!$B$234="Да",'19_Расчет_аналитики'!BK3491*'01_Вводные'!$B$14,0)</f>
        <v/>
      </c>
      <c r="BM3492">
        <f>IF('01_Вводные'!$B$234="Да",'19_Расчет_аналитики'!BL3491*'01_Вводные'!$B$14,0)</f>
        <v/>
      </c>
      <c r="BN3492">
        <f>IF('01_Вводные'!$B$234="Да",'19_Расчет_аналитики'!BM3491*'01_Вводные'!$B$14,0)</f>
        <v/>
      </c>
      <c r="BO3492">
        <f>IF('01_Вводные'!$B$234="Да",'19_Расчет_аналитики'!BN3491*'01_Вводные'!$B$14,0)</f>
        <v/>
      </c>
    </row>
    <row r="3493">
      <c r="N3493">
        <f>'06_Сеть_и_дети'!N102</f>
        <v/>
      </c>
      <c r="O3493">
        <f>'06_Сеть_и_дети'!O102</f>
        <v/>
      </c>
      <c r="P3493">
        <f>'06_Сеть_и_дети'!P102</f>
        <v/>
      </c>
      <c r="Q3493">
        <f>'06_Сеть_и_дети'!Q102</f>
        <v/>
      </c>
      <c r="R3493">
        <f>'06_Сеть_и_дети'!R102</f>
        <v/>
      </c>
      <c r="S3493">
        <f>'06_Сеть_и_дети'!S102</f>
        <v/>
      </c>
      <c r="T3493">
        <f>'06_Сеть_и_дети'!T102</f>
        <v/>
      </c>
      <c r="U3493">
        <f>'06_Сеть_и_дети'!U102</f>
        <v/>
      </c>
      <c r="V3493">
        <f>'06_Сеть_и_дети'!V102</f>
        <v/>
      </c>
      <c r="W3493">
        <f>IF('01_Вводные'!$B$234="Да",'19_Расчет_аналитики'!V3492*'01_Вводные'!$B$14,0)</f>
        <v/>
      </c>
      <c r="X3493">
        <f>IF('01_Вводные'!$B$234="Да",'19_Расчет_аналитики'!W3492*'01_Вводные'!$B$14,0)</f>
        <v/>
      </c>
      <c r="Y3493">
        <f>IF('01_Вводные'!$B$234="Да",'19_Расчет_аналитики'!X3492*'01_Вводные'!$B$14,0)</f>
        <v/>
      </c>
      <c r="Z3493">
        <f>IF('01_Вводные'!$B$234="Да",'19_Расчет_аналитики'!Y3492*'01_Вводные'!$B$14,0)</f>
        <v/>
      </c>
      <c r="AA3493">
        <f>IF('01_Вводные'!$B$234="Да",'19_Расчет_аналитики'!Z3492*'01_Вводные'!$B$14,0)</f>
        <v/>
      </c>
      <c r="AB3493">
        <f>IF('01_Вводные'!$B$234="Да",'19_Расчет_аналитики'!AA3492*'01_Вводные'!$B$14,0)</f>
        <v/>
      </c>
      <c r="AC3493">
        <f>IF('01_Вводные'!$B$234="Да",'19_Расчет_аналитики'!AB3492*'01_Вводные'!$B$14,0)</f>
        <v/>
      </c>
      <c r="AD3493">
        <f>IF('01_Вводные'!$B$234="Да",'19_Расчет_аналитики'!AC3492*'01_Вводные'!$B$14,0)</f>
        <v/>
      </c>
      <c r="AE3493">
        <f>IF('01_Вводные'!$B$234="Да",'19_Расчет_аналитики'!AD3492*'01_Вводные'!$B$14,0)</f>
        <v/>
      </c>
      <c r="AF3493">
        <f>IF('01_Вводные'!$B$234="Да",'19_Расчет_аналитики'!AE3492*'01_Вводные'!$B$14,0)</f>
        <v/>
      </c>
      <c r="AG3493">
        <f>IF('01_Вводные'!$B$234="Да",'19_Расчет_аналитики'!AF3492*'01_Вводные'!$B$14,0)</f>
        <v/>
      </c>
      <c r="AH3493">
        <f>IF('01_Вводные'!$B$234="Да",'19_Расчет_аналитики'!AG3492*'01_Вводные'!$B$14,0)</f>
        <v/>
      </c>
      <c r="AI3493">
        <f>IF('01_Вводные'!$B$234="Да",'19_Расчет_аналитики'!AH3492*'01_Вводные'!$B$14,0)</f>
        <v/>
      </c>
      <c r="AJ3493">
        <f>IF('01_Вводные'!$B$234="Да",'19_Расчет_аналитики'!AI3492*'01_Вводные'!$B$14,0)</f>
        <v/>
      </c>
      <c r="AK3493">
        <f>IF('01_Вводные'!$B$234="Да",'19_Расчет_аналитики'!AJ3492*'01_Вводные'!$B$14,0)</f>
        <v/>
      </c>
      <c r="AL3493">
        <f>IF('01_Вводные'!$B$234="Да",'19_Расчет_аналитики'!AK3492*'01_Вводные'!$B$14,0)</f>
        <v/>
      </c>
      <c r="AM3493">
        <f>IF('01_Вводные'!$B$234="Да",'19_Расчет_аналитики'!AL3492*'01_Вводные'!$B$14,0)</f>
        <v/>
      </c>
      <c r="AN3493">
        <f>IF('01_Вводные'!$B$234="Да",'19_Расчет_аналитики'!AM3492*'01_Вводные'!$B$14,0)</f>
        <v/>
      </c>
      <c r="AO3493">
        <f>IF('01_Вводные'!$B$234="Да",'19_Расчет_аналитики'!AN3492*'01_Вводные'!$B$14,0)</f>
        <v/>
      </c>
      <c r="AP3493">
        <f>IF('01_Вводные'!$B$234="Да",'19_Расчет_аналитики'!AO3492*'01_Вводные'!$B$14,0)</f>
        <v/>
      </c>
      <c r="AQ3493">
        <f>IF('01_Вводные'!$B$234="Да",'19_Расчет_аналитики'!AP3492*'01_Вводные'!$B$14,0)</f>
        <v/>
      </c>
      <c r="AR3493">
        <f>IF('01_Вводные'!$B$234="Да",'19_Расчет_аналитики'!AQ3492*'01_Вводные'!$B$14,0)</f>
        <v/>
      </c>
      <c r="AS3493">
        <f>IF('01_Вводные'!$B$234="Да",'19_Расчет_аналитики'!AR3492*'01_Вводные'!$B$14,0)</f>
        <v/>
      </c>
      <c r="AT3493">
        <f>IF('01_Вводные'!$B$234="Да",'19_Расчет_аналитики'!AS3492*'01_Вводные'!$B$14,0)</f>
        <v/>
      </c>
      <c r="AU3493">
        <f>IF('01_Вводные'!$B$234="Да",'19_Расчет_аналитики'!AT3492*'01_Вводные'!$B$14,0)</f>
        <v/>
      </c>
      <c r="AV3493">
        <f>IF('01_Вводные'!$B$234="Да",'19_Расчет_аналитики'!AU3492*'01_Вводные'!$B$14,0)</f>
        <v/>
      </c>
      <c r="AW3493">
        <f>IF('01_Вводные'!$B$234="Да",'19_Расчет_аналитики'!AV3492*'01_Вводные'!$B$14,0)</f>
        <v/>
      </c>
      <c r="AX3493">
        <f>IF('01_Вводные'!$B$234="Да",'19_Расчет_аналитики'!AW3492*'01_Вводные'!$B$14,0)</f>
        <v/>
      </c>
      <c r="AY3493">
        <f>IF('01_Вводные'!$B$234="Да",'19_Расчет_аналитики'!AX3492*'01_Вводные'!$B$14,0)</f>
        <v/>
      </c>
      <c r="AZ3493">
        <f>IF('01_Вводные'!$B$234="Да",'19_Расчет_аналитики'!AY3492*'01_Вводные'!$B$14,0)</f>
        <v/>
      </c>
      <c r="BA3493">
        <f>IF('01_Вводные'!$B$234="Да",'19_Расчет_аналитики'!AZ3492*'01_Вводные'!$B$14,0)</f>
        <v/>
      </c>
      <c r="BB3493">
        <f>IF('01_Вводные'!$B$234="Да",'19_Расчет_аналитики'!BA3492*'01_Вводные'!$B$14,0)</f>
        <v/>
      </c>
      <c r="BC3493">
        <f>IF('01_Вводные'!$B$234="Да",'19_Расчет_аналитики'!BB3492*'01_Вводные'!$B$14,0)</f>
        <v/>
      </c>
      <c r="BD3493">
        <f>IF('01_Вводные'!$B$234="Да",'19_Расчет_аналитики'!BC3492*'01_Вводные'!$B$14,0)</f>
        <v/>
      </c>
      <c r="BE3493">
        <f>IF('01_Вводные'!$B$234="Да",'19_Расчет_аналитики'!BD3492*'01_Вводные'!$B$14,0)</f>
        <v/>
      </c>
      <c r="BF3493">
        <f>IF('01_Вводные'!$B$234="Да",'19_Расчет_аналитики'!BE3492*'01_Вводные'!$B$14,0)</f>
        <v/>
      </c>
      <c r="BG3493">
        <f>IF('01_Вводные'!$B$234="Да",'19_Расчет_аналитики'!BF3492*'01_Вводные'!$B$14,0)</f>
        <v/>
      </c>
      <c r="BH3493">
        <f>IF('01_Вводные'!$B$234="Да",'19_Расчет_аналитики'!BG3492*'01_Вводные'!$B$14,0)</f>
        <v/>
      </c>
      <c r="BI3493">
        <f>IF('01_Вводные'!$B$234="Да",'19_Расчет_аналитики'!BH3492*'01_Вводные'!$B$14,0)</f>
        <v/>
      </c>
      <c r="BJ3493">
        <f>IF('01_Вводные'!$B$234="Да",'19_Расчет_аналитики'!BI3492*'01_Вводные'!$B$14,0)</f>
        <v/>
      </c>
      <c r="BK3493">
        <f>IF('01_Вводные'!$B$234="Да",'19_Расчет_аналитики'!BJ3492*'01_Вводные'!$B$14,0)</f>
        <v/>
      </c>
      <c r="BL3493">
        <f>IF('01_Вводные'!$B$234="Да",'19_Расчет_аналитики'!BK3492*'01_Вводные'!$B$14,0)</f>
        <v/>
      </c>
      <c r="BM3493">
        <f>IF('01_Вводные'!$B$234="Да",'19_Расчет_аналитики'!BL3492*'01_Вводные'!$B$14,0)</f>
        <v/>
      </c>
      <c r="BN3493">
        <f>IF('01_Вводные'!$B$234="Да",'19_Расчет_аналитики'!BM3492*'01_Вводные'!$B$14,0)</f>
        <v/>
      </c>
      <c r="BO3493">
        <f>IF('01_Вводные'!$B$234="Да",'19_Расчет_аналитики'!BN3492*'01_Вводные'!$B$14,0)</f>
        <v/>
      </c>
    </row>
    <row r="3494">
      <c r="N3494">
        <f>'06_Сеть_и_дети'!N103</f>
        <v/>
      </c>
      <c r="O3494">
        <f>'06_Сеть_и_дети'!O103</f>
        <v/>
      </c>
      <c r="P3494">
        <f>'06_Сеть_и_дети'!P103</f>
        <v/>
      </c>
      <c r="Q3494">
        <f>'06_Сеть_и_дети'!Q103</f>
        <v/>
      </c>
      <c r="R3494">
        <f>'06_Сеть_и_дети'!R103</f>
        <v/>
      </c>
      <c r="S3494">
        <f>'06_Сеть_и_дети'!S103</f>
        <v/>
      </c>
      <c r="T3494">
        <f>'06_Сеть_и_дети'!T103</f>
        <v/>
      </c>
      <c r="U3494">
        <f>'06_Сеть_и_дети'!U103</f>
        <v/>
      </c>
      <c r="V3494">
        <f>'06_Сеть_и_дети'!V103</f>
        <v/>
      </c>
      <c r="W3494">
        <f>'06_Сеть_и_дети'!W103</f>
        <v/>
      </c>
      <c r="X3494">
        <f>IF('01_Вводные'!$B$234="Да",'19_Расчет_аналитики'!W3493*'01_Вводные'!$B$14,0)</f>
        <v/>
      </c>
      <c r="Y3494">
        <f>IF('01_Вводные'!$B$234="Да",'19_Расчет_аналитики'!X3493*'01_Вводные'!$B$14,0)</f>
        <v/>
      </c>
      <c r="Z3494">
        <f>IF('01_Вводные'!$B$234="Да",'19_Расчет_аналитики'!Y3493*'01_Вводные'!$B$14,0)</f>
        <v/>
      </c>
      <c r="AA3494">
        <f>IF('01_Вводные'!$B$234="Да",'19_Расчет_аналитики'!Z3493*'01_Вводные'!$B$14,0)</f>
        <v/>
      </c>
      <c r="AB3494">
        <f>IF('01_Вводные'!$B$234="Да",'19_Расчет_аналитики'!AA3493*'01_Вводные'!$B$14,0)</f>
        <v/>
      </c>
      <c r="AC3494">
        <f>IF('01_Вводные'!$B$234="Да",'19_Расчет_аналитики'!AB3493*'01_Вводные'!$B$14,0)</f>
        <v/>
      </c>
      <c r="AD3494">
        <f>IF('01_Вводные'!$B$234="Да",'19_Расчет_аналитики'!AC3493*'01_Вводные'!$B$14,0)</f>
        <v/>
      </c>
      <c r="AE3494">
        <f>IF('01_Вводные'!$B$234="Да",'19_Расчет_аналитики'!AD3493*'01_Вводные'!$B$14,0)</f>
        <v/>
      </c>
      <c r="AF3494">
        <f>IF('01_Вводные'!$B$234="Да",'19_Расчет_аналитики'!AE3493*'01_Вводные'!$B$14,0)</f>
        <v/>
      </c>
      <c r="AG3494">
        <f>IF('01_Вводные'!$B$234="Да",'19_Расчет_аналитики'!AF3493*'01_Вводные'!$B$14,0)</f>
        <v/>
      </c>
      <c r="AH3494">
        <f>IF('01_Вводные'!$B$234="Да",'19_Расчет_аналитики'!AG3493*'01_Вводные'!$B$14,0)</f>
        <v/>
      </c>
      <c r="AI3494">
        <f>IF('01_Вводные'!$B$234="Да",'19_Расчет_аналитики'!AH3493*'01_Вводные'!$B$14,0)</f>
        <v/>
      </c>
      <c r="AJ3494">
        <f>IF('01_Вводные'!$B$234="Да",'19_Расчет_аналитики'!AI3493*'01_Вводные'!$B$14,0)</f>
        <v/>
      </c>
      <c r="AK3494">
        <f>IF('01_Вводные'!$B$234="Да",'19_Расчет_аналитики'!AJ3493*'01_Вводные'!$B$14,0)</f>
        <v/>
      </c>
      <c r="AL3494">
        <f>IF('01_Вводные'!$B$234="Да",'19_Расчет_аналитики'!AK3493*'01_Вводные'!$B$14,0)</f>
        <v/>
      </c>
      <c r="AM3494">
        <f>IF('01_Вводные'!$B$234="Да",'19_Расчет_аналитики'!AL3493*'01_Вводные'!$B$14,0)</f>
        <v/>
      </c>
      <c r="AN3494">
        <f>IF('01_Вводные'!$B$234="Да",'19_Расчет_аналитики'!AM3493*'01_Вводные'!$B$14,0)</f>
        <v/>
      </c>
      <c r="AO3494">
        <f>IF('01_Вводные'!$B$234="Да",'19_Расчет_аналитики'!AN3493*'01_Вводные'!$B$14,0)</f>
        <v/>
      </c>
      <c r="AP3494">
        <f>IF('01_Вводные'!$B$234="Да",'19_Расчет_аналитики'!AO3493*'01_Вводные'!$B$14,0)</f>
        <v/>
      </c>
      <c r="AQ3494">
        <f>IF('01_Вводные'!$B$234="Да",'19_Расчет_аналитики'!AP3493*'01_Вводные'!$B$14,0)</f>
        <v/>
      </c>
      <c r="AR3494">
        <f>IF('01_Вводные'!$B$234="Да",'19_Расчет_аналитики'!AQ3493*'01_Вводные'!$B$14,0)</f>
        <v/>
      </c>
      <c r="AS3494">
        <f>IF('01_Вводные'!$B$234="Да",'19_Расчет_аналитики'!AR3493*'01_Вводные'!$B$14,0)</f>
        <v/>
      </c>
      <c r="AT3494">
        <f>IF('01_Вводные'!$B$234="Да",'19_Расчет_аналитики'!AS3493*'01_Вводные'!$B$14,0)</f>
        <v/>
      </c>
      <c r="AU3494">
        <f>IF('01_Вводные'!$B$234="Да",'19_Расчет_аналитики'!AT3493*'01_Вводные'!$B$14,0)</f>
        <v/>
      </c>
      <c r="AV3494">
        <f>IF('01_Вводные'!$B$234="Да",'19_Расчет_аналитики'!AU3493*'01_Вводные'!$B$14,0)</f>
        <v/>
      </c>
      <c r="AW3494">
        <f>IF('01_Вводные'!$B$234="Да",'19_Расчет_аналитики'!AV3493*'01_Вводные'!$B$14,0)</f>
        <v/>
      </c>
      <c r="AX3494">
        <f>IF('01_Вводные'!$B$234="Да",'19_Расчет_аналитики'!AW3493*'01_Вводные'!$B$14,0)</f>
        <v/>
      </c>
      <c r="AY3494">
        <f>IF('01_Вводные'!$B$234="Да",'19_Расчет_аналитики'!AX3493*'01_Вводные'!$B$14,0)</f>
        <v/>
      </c>
      <c r="AZ3494">
        <f>IF('01_Вводные'!$B$234="Да",'19_Расчет_аналитики'!AY3493*'01_Вводные'!$B$14,0)</f>
        <v/>
      </c>
      <c r="BA3494">
        <f>IF('01_Вводные'!$B$234="Да",'19_Расчет_аналитики'!AZ3493*'01_Вводные'!$B$14,0)</f>
        <v/>
      </c>
      <c r="BB3494">
        <f>IF('01_Вводные'!$B$234="Да",'19_Расчет_аналитики'!BA3493*'01_Вводные'!$B$14,0)</f>
        <v/>
      </c>
      <c r="BC3494">
        <f>IF('01_Вводные'!$B$234="Да",'19_Расчет_аналитики'!BB3493*'01_Вводные'!$B$14,0)</f>
        <v/>
      </c>
      <c r="BD3494">
        <f>IF('01_Вводные'!$B$234="Да",'19_Расчет_аналитики'!BC3493*'01_Вводные'!$B$14,0)</f>
        <v/>
      </c>
      <c r="BE3494">
        <f>IF('01_Вводные'!$B$234="Да",'19_Расчет_аналитики'!BD3493*'01_Вводные'!$B$14,0)</f>
        <v/>
      </c>
      <c r="BF3494">
        <f>IF('01_Вводные'!$B$234="Да",'19_Расчет_аналитики'!BE3493*'01_Вводные'!$B$14,0)</f>
        <v/>
      </c>
      <c r="BG3494">
        <f>IF('01_Вводные'!$B$234="Да",'19_Расчет_аналитики'!BF3493*'01_Вводные'!$B$14,0)</f>
        <v/>
      </c>
      <c r="BH3494">
        <f>IF('01_Вводные'!$B$234="Да",'19_Расчет_аналитики'!BG3493*'01_Вводные'!$B$14,0)</f>
        <v/>
      </c>
      <c r="BI3494">
        <f>IF('01_Вводные'!$B$234="Да",'19_Расчет_аналитики'!BH3493*'01_Вводные'!$B$14,0)</f>
        <v/>
      </c>
      <c r="BJ3494">
        <f>IF('01_Вводные'!$B$234="Да",'19_Расчет_аналитики'!BI3493*'01_Вводные'!$B$14,0)</f>
        <v/>
      </c>
      <c r="BK3494">
        <f>IF('01_Вводные'!$B$234="Да",'19_Расчет_аналитики'!BJ3493*'01_Вводные'!$B$14,0)</f>
        <v/>
      </c>
      <c r="BL3494">
        <f>IF('01_Вводные'!$B$234="Да",'19_Расчет_аналитики'!BK3493*'01_Вводные'!$B$14,0)</f>
        <v/>
      </c>
      <c r="BM3494">
        <f>IF('01_Вводные'!$B$234="Да",'19_Расчет_аналитики'!BL3493*'01_Вводные'!$B$14,0)</f>
        <v/>
      </c>
      <c r="BN3494">
        <f>IF('01_Вводные'!$B$234="Да",'19_Расчет_аналитики'!BM3493*'01_Вводные'!$B$14,0)</f>
        <v/>
      </c>
      <c r="BO3494">
        <f>IF('01_Вводные'!$B$234="Да",'19_Расчет_аналитики'!BN3493*'01_Вводные'!$B$14,0)</f>
        <v/>
      </c>
    </row>
    <row r="3495">
      <c r="N3495">
        <f>'06_Сеть_и_дети'!N104</f>
        <v/>
      </c>
      <c r="O3495">
        <f>'06_Сеть_и_дети'!O104</f>
        <v/>
      </c>
      <c r="P3495">
        <f>'06_Сеть_и_дети'!P104</f>
        <v/>
      </c>
      <c r="Q3495">
        <f>'06_Сеть_и_дети'!Q104</f>
        <v/>
      </c>
      <c r="R3495">
        <f>'06_Сеть_и_дети'!R104</f>
        <v/>
      </c>
      <c r="S3495">
        <f>'06_Сеть_и_дети'!S104</f>
        <v/>
      </c>
      <c r="T3495">
        <f>'06_Сеть_и_дети'!T104</f>
        <v/>
      </c>
      <c r="U3495">
        <f>'06_Сеть_и_дети'!U104</f>
        <v/>
      </c>
      <c r="V3495">
        <f>'06_Сеть_и_дети'!V104</f>
        <v/>
      </c>
      <c r="W3495">
        <f>'06_Сеть_и_дети'!W104</f>
        <v/>
      </c>
      <c r="X3495">
        <f>'06_Сеть_и_дети'!X104</f>
        <v/>
      </c>
      <c r="Y3495">
        <f>IF('01_Вводные'!$B$234="Да",'19_Расчет_аналитики'!X3494*'01_Вводные'!$B$14,0)</f>
        <v/>
      </c>
      <c r="Z3495">
        <f>IF('01_Вводные'!$B$234="Да",'19_Расчет_аналитики'!Y3494*'01_Вводные'!$B$14,0)</f>
        <v/>
      </c>
      <c r="AA3495">
        <f>IF('01_Вводные'!$B$234="Да",'19_Расчет_аналитики'!Z3494*'01_Вводные'!$B$14,0)</f>
        <v/>
      </c>
      <c r="AB3495">
        <f>IF('01_Вводные'!$B$234="Да",'19_Расчет_аналитики'!AA3494*'01_Вводные'!$B$14,0)</f>
        <v/>
      </c>
      <c r="AC3495">
        <f>IF('01_Вводные'!$B$234="Да",'19_Расчет_аналитики'!AB3494*'01_Вводные'!$B$14,0)</f>
        <v/>
      </c>
      <c r="AD3495">
        <f>IF('01_Вводные'!$B$234="Да",'19_Расчет_аналитики'!AC3494*'01_Вводные'!$B$14,0)</f>
        <v/>
      </c>
      <c r="AE3495">
        <f>IF('01_Вводные'!$B$234="Да",'19_Расчет_аналитики'!AD3494*'01_Вводные'!$B$14,0)</f>
        <v/>
      </c>
      <c r="AF3495">
        <f>IF('01_Вводные'!$B$234="Да",'19_Расчет_аналитики'!AE3494*'01_Вводные'!$B$14,0)</f>
        <v/>
      </c>
      <c r="AG3495">
        <f>IF('01_Вводные'!$B$234="Да",'19_Расчет_аналитики'!AF3494*'01_Вводные'!$B$14,0)</f>
        <v/>
      </c>
      <c r="AH3495">
        <f>IF('01_Вводные'!$B$234="Да",'19_Расчет_аналитики'!AG3494*'01_Вводные'!$B$14,0)</f>
        <v/>
      </c>
      <c r="AI3495">
        <f>IF('01_Вводные'!$B$234="Да",'19_Расчет_аналитики'!AH3494*'01_Вводные'!$B$14,0)</f>
        <v/>
      </c>
      <c r="AJ3495">
        <f>IF('01_Вводные'!$B$234="Да",'19_Расчет_аналитики'!AI3494*'01_Вводные'!$B$14,0)</f>
        <v/>
      </c>
      <c r="AK3495">
        <f>IF('01_Вводные'!$B$234="Да",'19_Расчет_аналитики'!AJ3494*'01_Вводные'!$B$14,0)</f>
        <v/>
      </c>
      <c r="AL3495">
        <f>IF('01_Вводные'!$B$234="Да",'19_Расчет_аналитики'!AK3494*'01_Вводные'!$B$14,0)</f>
        <v/>
      </c>
      <c r="AM3495">
        <f>IF('01_Вводные'!$B$234="Да",'19_Расчет_аналитики'!AL3494*'01_Вводные'!$B$14,0)</f>
        <v/>
      </c>
      <c r="AN3495">
        <f>IF('01_Вводные'!$B$234="Да",'19_Расчет_аналитики'!AM3494*'01_Вводные'!$B$14,0)</f>
        <v/>
      </c>
      <c r="AO3495">
        <f>IF('01_Вводные'!$B$234="Да",'19_Расчет_аналитики'!AN3494*'01_Вводные'!$B$14,0)</f>
        <v/>
      </c>
      <c r="AP3495">
        <f>IF('01_Вводные'!$B$234="Да",'19_Расчет_аналитики'!AO3494*'01_Вводные'!$B$14,0)</f>
        <v/>
      </c>
      <c r="AQ3495">
        <f>IF('01_Вводные'!$B$234="Да",'19_Расчет_аналитики'!AP3494*'01_Вводные'!$B$14,0)</f>
        <v/>
      </c>
      <c r="AR3495">
        <f>IF('01_Вводные'!$B$234="Да",'19_Расчет_аналитики'!AQ3494*'01_Вводные'!$B$14,0)</f>
        <v/>
      </c>
      <c r="AS3495">
        <f>IF('01_Вводные'!$B$234="Да",'19_Расчет_аналитики'!AR3494*'01_Вводные'!$B$14,0)</f>
        <v/>
      </c>
      <c r="AT3495">
        <f>IF('01_Вводные'!$B$234="Да",'19_Расчет_аналитики'!AS3494*'01_Вводные'!$B$14,0)</f>
        <v/>
      </c>
      <c r="AU3495">
        <f>IF('01_Вводные'!$B$234="Да",'19_Расчет_аналитики'!AT3494*'01_Вводные'!$B$14,0)</f>
        <v/>
      </c>
      <c r="AV3495">
        <f>IF('01_Вводные'!$B$234="Да",'19_Расчет_аналитики'!AU3494*'01_Вводные'!$B$14,0)</f>
        <v/>
      </c>
      <c r="AW3495">
        <f>IF('01_Вводные'!$B$234="Да",'19_Расчет_аналитики'!AV3494*'01_Вводные'!$B$14,0)</f>
        <v/>
      </c>
      <c r="AX3495">
        <f>IF('01_Вводные'!$B$234="Да",'19_Расчет_аналитики'!AW3494*'01_Вводные'!$B$14,0)</f>
        <v/>
      </c>
      <c r="AY3495">
        <f>IF('01_Вводные'!$B$234="Да",'19_Расчет_аналитики'!AX3494*'01_Вводные'!$B$14,0)</f>
        <v/>
      </c>
      <c r="AZ3495">
        <f>IF('01_Вводные'!$B$234="Да",'19_Расчет_аналитики'!AY3494*'01_Вводные'!$B$14,0)</f>
        <v/>
      </c>
      <c r="BA3495">
        <f>IF('01_Вводные'!$B$234="Да",'19_Расчет_аналитики'!AZ3494*'01_Вводные'!$B$14,0)</f>
        <v/>
      </c>
      <c r="BB3495">
        <f>IF('01_Вводные'!$B$234="Да",'19_Расчет_аналитики'!BA3494*'01_Вводные'!$B$14,0)</f>
        <v/>
      </c>
      <c r="BC3495">
        <f>IF('01_Вводные'!$B$234="Да",'19_Расчет_аналитики'!BB3494*'01_Вводные'!$B$14,0)</f>
        <v/>
      </c>
      <c r="BD3495">
        <f>IF('01_Вводные'!$B$234="Да",'19_Расчет_аналитики'!BC3494*'01_Вводные'!$B$14,0)</f>
        <v/>
      </c>
      <c r="BE3495">
        <f>IF('01_Вводные'!$B$234="Да",'19_Расчет_аналитики'!BD3494*'01_Вводные'!$B$14,0)</f>
        <v/>
      </c>
      <c r="BF3495">
        <f>IF('01_Вводные'!$B$234="Да",'19_Расчет_аналитики'!BE3494*'01_Вводные'!$B$14,0)</f>
        <v/>
      </c>
      <c r="BG3495">
        <f>IF('01_Вводные'!$B$234="Да",'19_Расчет_аналитики'!BF3494*'01_Вводные'!$B$14,0)</f>
        <v/>
      </c>
      <c r="BH3495">
        <f>IF('01_Вводные'!$B$234="Да",'19_Расчет_аналитики'!BG3494*'01_Вводные'!$B$14,0)</f>
        <v/>
      </c>
      <c r="BI3495">
        <f>IF('01_Вводные'!$B$234="Да",'19_Расчет_аналитики'!BH3494*'01_Вводные'!$B$14,0)</f>
        <v/>
      </c>
      <c r="BJ3495">
        <f>IF('01_Вводные'!$B$234="Да",'19_Расчет_аналитики'!BI3494*'01_Вводные'!$B$14,0)</f>
        <v/>
      </c>
      <c r="BK3495">
        <f>IF('01_Вводные'!$B$234="Да",'19_Расчет_аналитики'!BJ3494*'01_Вводные'!$B$14,0)</f>
        <v/>
      </c>
      <c r="BL3495">
        <f>IF('01_Вводные'!$B$234="Да",'19_Расчет_аналитики'!BK3494*'01_Вводные'!$B$14,0)</f>
        <v/>
      </c>
      <c r="BM3495">
        <f>IF('01_Вводные'!$B$234="Да",'19_Расчет_аналитики'!BL3494*'01_Вводные'!$B$14,0)</f>
        <v/>
      </c>
      <c r="BN3495">
        <f>IF('01_Вводные'!$B$234="Да",'19_Расчет_аналитики'!BM3494*'01_Вводные'!$B$14,0)</f>
        <v/>
      </c>
      <c r="BO3495">
        <f>IF('01_Вводные'!$B$234="Да",'19_Расчет_аналитики'!BN3494*'01_Вводные'!$B$14,0)</f>
        <v/>
      </c>
    </row>
    <row r="3496">
      <c r="N3496">
        <f>'06_Сеть_и_дети'!N105</f>
        <v/>
      </c>
      <c r="O3496">
        <f>'06_Сеть_и_дети'!O105</f>
        <v/>
      </c>
      <c r="P3496">
        <f>'06_Сеть_и_дети'!P105</f>
        <v/>
      </c>
      <c r="Q3496">
        <f>'06_Сеть_и_дети'!Q105</f>
        <v/>
      </c>
      <c r="R3496">
        <f>'06_Сеть_и_дети'!R105</f>
        <v/>
      </c>
      <c r="S3496">
        <f>'06_Сеть_и_дети'!S105</f>
        <v/>
      </c>
      <c r="T3496">
        <f>'06_Сеть_и_дети'!T105</f>
        <v/>
      </c>
      <c r="U3496">
        <f>'06_Сеть_и_дети'!U105</f>
        <v/>
      </c>
      <c r="V3496">
        <f>'06_Сеть_и_дети'!V105</f>
        <v/>
      </c>
      <c r="W3496">
        <f>'06_Сеть_и_дети'!W105</f>
        <v/>
      </c>
      <c r="X3496">
        <f>'06_Сеть_и_дети'!X105</f>
        <v/>
      </c>
      <c r="Y3496">
        <f>'06_Сеть_и_дети'!Y105</f>
        <v/>
      </c>
      <c r="Z3496">
        <f>IF('01_Вводные'!$B$234="Да",SUM('19_Расчет_аналитики'!Y3495:Y3496)*'01_Вводные'!$B$14,0)</f>
        <v/>
      </c>
      <c r="AA3496">
        <f>IF('01_Вводные'!$B$234="Да",SUM('19_Расчет_аналитики'!Z3495:Z3496)*'01_Вводные'!$B$14,0)</f>
        <v/>
      </c>
      <c r="AB3496">
        <f>IF('01_Вводные'!$B$234="Да",SUM('19_Расчет_аналитики'!AA3495:AA3496)*'01_Вводные'!$B$14,0)</f>
        <v/>
      </c>
      <c r="AC3496">
        <f>IF('01_Вводные'!$B$234="Да",SUM('19_Расчет_аналитики'!AB3495:AB3496)*'01_Вводные'!$B$14,0)</f>
        <v/>
      </c>
      <c r="AD3496">
        <f>IF('01_Вводные'!$B$234="Да",SUM('19_Расчет_аналитики'!AC3495:AC3496)*'01_Вводные'!$B$14,0)</f>
        <v/>
      </c>
      <c r="AE3496">
        <f>IF('01_Вводные'!$B$234="Да",SUM('19_Расчет_аналитики'!AD3495:AD3496)*'01_Вводные'!$B$14,0)</f>
        <v/>
      </c>
      <c r="AF3496">
        <f>IF('01_Вводные'!$B$234="Да",SUM('19_Расчет_аналитики'!AE3495:AE3496)*'01_Вводные'!$B$14,0)</f>
        <v/>
      </c>
      <c r="AG3496">
        <f>IF('01_Вводные'!$B$234="Да",SUM('19_Расчет_аналитики'!AF3495:AF3496)*'01_Вводные'!$B$14,0)</f>
        <v/>
      </c>
      <c r="AH3496">
        <f>IF('01_Вводные'!$B$234="Да",SUM('19_Расчет_аналитики'!AG3495:AG3496)*'01_Вводные'!$B$14,0)</f>
        <v/>
      </c>
      <c r="AI3496">
        <f>IF('01_Вводные'!$B$234="Да",SUM('19_Расчет_аналитики'!AH3495:AH3496)*'01_Вводные'!$B$14,0)</f>
        <v/>
      </c>
      <c r="AJ3496">
        <f>IF('01_Вводные'!$B$234="Да",SUM('19_Расчет_аналитики'!AI3495:AI3496)*'01_Вводные'!$B$14,0)</f>
        <v/>
      </c>
      <c r="AK3496">
        <f>IF('01_Вводные'!$B$234="Да",SUM('19_Расчет_аналитики'!AJ3495:AJ3496)*'01_Вводные'!$B$14,0)</f>
        <v/>
      </c>
      <c r="AL3496">
        <f>IF('01_Вводные'!$B$234="Да",SUM('19_Расчет_аналитики'!AK3495:AK3496)*'01_Вводные'!$B$14,0)</f>
        <v/>
      </c>
      <c r="AM3496">
        <f>IF('01_Вводные'!$B$234="Да",SUM('19_Расчет_аналитики'!AL3495:AL3496)*'01_Вводные'!$B$14,0)</f>
        <v/>
      </c>
      <c r="AN3496">
        <f>IF('01_Вводные'!$B$234="Да",SUM('19_Расчет_аналитики'!AM3495:AM3496)*'01_Вводные'!$B$14,0)</f>
        <v/>
      </c>
      <c r="AO3496">
        <f>IF('01_Вводные'!$B$234="Да",SUM('19_Расчет_аналитики'!AN3495:AN3496)*'01_Вводные'!$B$14,0)</f>
        <v/>
      </c>
      <c r="AP3496">
        <f>IF('01_Вводные'!$B$234="Да",SUM('19_Расчет_аналитики'!AO3495:AO3496)*'01_Вводные'!$B$14,0)</f>
        <v/>
      </c>
      <c r="AQ3496">
        <f>IF('01_Вводные'!$B$234="Да",SUM('19_Расчет_аналитики'!AP3495:AP3496)*'01_Вводные'!$B$14,0)</f>
        <v/>
      </c>
      <c r="AR3496">
        <f>IF('01_Вводные'!$B$234="Да",SUM('19_Расчет_аналитики'!AQ3495:AQ3496)*'01_Вводные'!$B$14,0)</f>
        <v/>
      </c>
      <c r="AS3496">
        <f>IF('01_Вводные'!$B$234="Да",SUM('19_Расчет_аналитики'!AR3495:AR3496)*'01_Вводные'!$B$14,0)</f>
        <v/>
      </c>
      <c r="AT3496">
        <f>IF('01_Вводные'!$B$234="Да",SUM('19_Расчет_аналитики'!AS3495:AS3496)*'01_Вводные'!$B$14,0)</f>
        <v/>
      </c>
      <c r="AU3496">
        <f>IF('01_Вводные'!$B$234="Да",SUM('19_Расчет_аналитики'!AT3495:AT3496)*'01_Вводные'!$B$14,0)</f>
        <v/>
      </c>
      <c r="AV3496">
        <f>IF('01_Вводные'!$B$234="Да",SUM('19_Расчет_аналитики'!AU3495:AU3496)*'01_Вводные'!$B$14,0)</f>
        <v/>
      </c>
      <c r="AW3496">
        <f>IF('01_Вводные'!$B$234="Да",SUM('19_Расчет_аналитики'!AV3495:AV3496)*'01_Вводные'!$B$14,0)</f>
        <v/>
      </c>
      <c r="AX3496">
        <f>IF('01_Вводные'!$B$234="Да",SUM('19_Расчет_аналитики'!AW3495:AW3496)*'01_Вводные'!$B$14,0)</f>
        <v/>
      </c>
      <c r="AY3496">
        <f>IF('01_Вводные'!$B$234="Да",SUM('19_Расчет_аналитики'!AX3495:AX3496)*'01_Вводные'!$B$14,0)</f>
        <v/>
      </c>
      <c r="AZ3496">
        <f>IF('01_Вводные'!$B$234="Да",SUM('19_Расчет_аналитики'!AY3495:AY3496)*'01_Вводные'!$B$14,0)</f>
        <v/>
      </c>
      <c r="BA3496">
        <f>IF('01_Вводные'!$B$234="Да",SUM('19_Расчет_аналитики'!AZ3495:AZ3496)*'01_Вводные'!$B$14,0)</f>
        <v/>
      </c>
      <c r="BB3496">
        <f>IF('01_Вводные'!$B$234="Да",SUM('19_Расчет_аналитики'!BA3495:BA3496)*'01_Вводные'!$B$14,0)</f>
        <v/>
      </c>
      <c r="BC3496">
        <f>IF('01_Вводные'!$B$234="Да",SUM('19_Расчет_аналитики'!BB3495:BB3496)*'01_Вводные'!$B$14,0)</f>
        <v/>
      </c>
      <c r="BD3496">
        <f>IF('01_Вводные'!$B$234="Да",SUM('19_Расчет_аналитики'!BC3495:BC3496)*'01_Вводные'!$B$14,0)</f>
        <v/>
      </c>
      <c r="BE3496">
        <f>IF('01_Вводные'!$B$234="Да",SUM('19_Расчет_аналитики'!BD3495:BD3496)*'01_Вводные'!$B$14,0)</f>
        <v/>
      </c>
      <c r="BF3496">
        <f>IF('01_Вводные'!$B$234="Да",SUM('19_Расчет_аналитики'!BE3495:BE3496)*'01_Вводные'!$B$14,0)</f>
        <v/>
      </c>
      <c r="BG3496">
        <f>IF('01_Вводные'!$B$234="Да",SUM('19_Расчет_аналитики'!BF3495:BF3496)*'01_Вводные'!$B$14,0)</f>
        <v/>
      </c>
      <c r="BH3496">
        <f>IF('01_Вводные'!$B$234="Да",SUM('19_Расчет_аналитики'!BG3495:BG3496)*'01_Вводные'!$B$14,0)</f>
        <v/>
      </c>
      <c r="BI3496">
        <f>IF('01_Вводные'!$B$234="Да",SUM('19_Расчет_аналитики'!BH3495:BH3496)*'01_Вводные'!$B$14,0)</f>
        <v/>
      </c>
      <c r="BJ3496">
        <f>IF('01_Вводные'!$B$234="Да",SUM('19_Расчет_аналитики'!BI3495:BI3496)*'01_Вводные'!$B$14,0)</f>
        <v/>
      </c>
      <c r="BK3496">
        <f>IF('01_Вводные'!$B$234="Да",SUM('19_Расчет_аналитики'!BJ3495:BJ3496)*'01_Вводные'!$B$14,0)</f>
        <v/>
      </c>
      <c r="BL3496">
        <f>IF('01_Вводные'!$B$234="Да",SUM('19_Расчет_аналитики'!BK3495:BK3496)*'01_Вводные'!$B$14,0)</f>
        <v/>
      </c>
      <c r="BM3496">
        <f>IF('01_Вводные'!$B$234="Да",SUM('19_Расчет_аналитики'!BL3495:BL3496)*'01_Вводные'!$B$14,0)</f>
        <v/>
      </c>
      <c r="BN3496">
        <f>IF('01_Вводные'!$B$234="Да",SUM('19_Расчет_аналитики'!BM3495:BM3496)*'01_Вводные'!$B$14,0)</f>
        <v/>
      </c>
      <c r="BO3496">
        <f>IF('01_Вводные'!$B$234="Да",SUM('19_Расчет_аналитики'!BN3495:BN3496)*'01_Вводные'!$B$14,0)</f>
        <v/>
      </c>
    </row>
    <row r="3497"/>
    <row r="3498"/>
    <row r="3499"/>
    <row r="3500">
      <c r="B3500">
        <f>IF('01_Вводные'!$B$234="Да",IF(OR('19_Расчет_аналитики'!B3472=0,1&lt;='01_Вводные'!$B$297),0,'19_Расчет_аналитики'!B3472*IF('01_Вводные'!$B$239="Да",MeanMinAge01+'19_Расчет_аналитики'!B3595*SUMIF(ThresholdAge01,"&lt;"&amp;'19_Расчет_аналитики'!B3595,WeightedRevAge01)-SUMIF(ThresholdAge01,"&lt;"&amp;'19_Расчет_аналитики'!B3595,WeightedMinAge01),MAX(CapacityAge01*'01_Вводные'!$B$218*'19_Расчет_аналитики'!B3595,MeanMinAge01))),0)</f>
        <v/>
      </c>
      <c r="C3500">
        <f>IF('01_Вводные'!$B$234="Да",IF(OR('19_Расчет_аналитики'!C3472=0,1&lt;='01_Вводные'!$B$297),0,'19_Расчет_аналитики'!C3472*IF('01_Вводные'!$B$239="Да",MeanMinAge01+'19_Расчет_аналитики'!C3595*SUMIF(ThresholdAge01,"&lt;"&amp;'19_Расчет_аналитики'!C3595,WeightedRevAge01)-SUMIF(ThresholdAge01,"&lt;"&amp;'19_Расчет_аналитики'!C3595,WeightedMinAge01),MAX(CapacityAge01*'01_Вводные'!$B$218*'19_Расчет_аналитики'!C3595,MeanMinAge01))),0)</f>
        <v/>
      </c>
      <c r="D3500">
        <f>IF('01_Вводные'!$B$234="Да",IF(OR('19_Расчет_аналитики'!D3472=0,1&lt;='01_Вводные'!$B$297),0,'19_Расчет_аналитики'!D3472*IF('01_Вводные'!$B$239="Да",MeanMinAge01+'19_Расчет_аналитики'!D3595*SUMIF(ThresholdAge01,"&lt;"&amp;'19_Расчет_аналитики'!D3595,WeightedRevAge01)-SUMIF(ThresholdAge01,"&lt;"&amp;'19_Расчет_аналитики'!D3595,WeightedMinAge01),MAX(CapacityAge01*'01_Вводные'!$B$218*'19_Расчет_аналитики'!D3595,MeanMinAge01))),0)</f>
        <v/>
      </c>
      <c r="E3500">
        <f>IF('01_Вводные'!$B$234="Да",IF(OR('19_Расчет_аналитики'!E3472=0,1&lt;='01_Вводные'!$B$297),0,'19_Расчет_аналитики'!E3472*IF('01_Вводные'!$B$239="Да",MeanMinAge01+'19_Расчет_аналитики'!E3595*SUMIF(ThresholdAge01,"&lt;"&amp;'19_Расчет_аналитики'!E3595,WeightedRevAge01)-SUMIF(ThresholdAge01,"&lt;"&amp;'19_Расчет_аналитики'!E3595,WeightedMinAge01),MAX(CapacityAge01*'01_Вводные'!$B$218*'19_Расчет_аналитики'!E3595,MeanMinAge01))),0)</f>
        <v/>
      </c>
      <c r="F3500">
        <f>IF('01_Вводные'!$B$234="Да",IF(OR('19_Расчет_аналитики'!F3472=0,1&lt;='01_Вводные'!$B$297),0,'19_Расчет_аналитики'!F3472*IF('01_Вводные'!$B$239="Да",MeanMinAge01+'19_Расчет_аналитики'!F3595*SUMIF(ThresholdAge01,"&lt;"&amp;'19_Расчет_аналитики'!F3595,WeightedRevAge01)-SUMIF(ThresholdAge01,"&lt;"&amp;'19_Расчет_аналитики'!F3595,WeightedMinAge01),MAX(CapacityAge01*'01_Вводные'!$B$218*'19_Расчет_аналитики'!F3595,MeanMinAge01))),0)</f>
        <v/>
      </c>
      <c r="G3500">
        <f>IF('01_Вводные'!$B$234="Да",IF(OR('19_Расчет_аналитики'!G3472=0,1&lt;='01_Вводные'!$B$297),0,'19_Расчет_аналитики'!G3472*IF('01_Вводные'!$B$239="Да",MeanMinAge01+'19_Расчет_аналитики'!G3595*SUMIF(ThresholdAge01,"&lt;"&amp;'19_Расчет_аналитики'!G3595,WeightedRevAge01)-SUMIF(ThresholdAge01,"&lt;"&amp;'19_Расчет_аналитики'!G3595,WeightedMinAge01),MAX(CapacityAge01*'01_Вводные'!$B$218*'19_Расчет_аналитики'!G3595,MeanMinAge01))),0)</f>
        <v/>
      </c>
      <c r="H3500">
        <f>IF('01_Вводные'!$B$234="Да",IF(OR('19_Расчет_аналитики'!H3472=0,1&lt;='01_Вводные'!$B$297),0,'19_Расчет_аналитики'!H3472*IF('01_Вводные'!$B$239="Да",MeanMinAge01+'19_Расчет_аналитики'!H3595*SUMIF(ThresholdAge01,"&lt;"&amp;'19_Расчет_аналитики'!H3595,WeightedRevAge01)-SUMIF(ThresholdAge01,"&lt;"&amp;'19_Расчет_аналитики'!H3595,WeightedMinAge01),MAX(CapacityAge01*'01_Вводные'!$B$218*'19_Расчет_аналитики'!H3595,MeanMinAge01))),0)</f>
        <v/>
      </c>
      <c r="I3500">
        <f>IF('01_Вводные'!$B$234="Да",IF(OR('19_Расчет_аналитики'!I3472=0,1&lt;='01_Вводные'!$B$297),0,'19_Расчет_аналитики'!I3472*IF('01_Вводные'!$B$239="Да",MeanMinAge01+'19_Расчет_аналитики'!I3595*SUMIF(ThresholdAge01,"&lt;"&amp;'19_Расчет_аналитики'!I3595,WeightedRevAge01)-SUMIF(ThresholdAge01,"&lt;"&amp;'19_Расчет_аналитики'!I3595,WeightedMinAge01),MAX(CapacityAge01*'01_Вводные'!$B$218*'19_Расчет_аналитики'!I3595,MeanMinAge01))),0)</f>
        <v/>
      </c>
      <c r="J3500">
        <f>IF('01_Вводные'!$B$234="Да",IF(OR('19_Расчет_аналитики'!J3472=0,1&lt;='01_Вводные'!$B$297),0,'19_Расчет_аналитики'!J3472*IF('01_Вводные'!$B$239="Да",MeanMinAge01+'19_Расчет_аналитики'!J3595*SUMIF(ThresholdAge01,"&lt;"&amp;'19_Расчет_аналитики'!J3595,WeightedRevAge01)-SUMIF(ThresholdAge01,"&lt;"&amp;'19_Расчет_аналитики'!J3595,WeightedMinAge01),MAX(CapacityAge01*'01_Вводные'!$B$218*'19_Расчет_аналитики'!J3595,MeanMinAge01))),0)</f>
        <v/>
      </c>
      <c r="K3500">
        <f>IF('01_Вводные'!$B$234="Да",IF(OR('19_Расчет_аналитики'!K3472=0,1&lt;='01_Вводные'!$B$297),0,'19_Расчет_аналитики'!K3472*IF('01_Вводные'!$B$239="Да",MeanMinAge01+'19_Расчет_аналитики'!K3595*SUMIF(ThresholdAge01,"&lt;"&amp;'19_Расчет_аналитики'!K3595,WeightedRevAge01)-SUMIF(ThresholdAge01,"&lt;"&amp;'19_Расчет_аналитики'!K3595,WeightedMinAge01),MAX(CapacityAge01*'01_Вводные'!$B$218*'19_Расчет_аналитики'!K3595,MeanMinAge01))),0)</f>
        <v/>
      </c>
      <c r="L3500">
        <f>IF('01_Вводные'!$B$234="Да",IF(OR('19_Расчет_аналитики'!L3472=0,1&lt;='01_Вводные'!$B$297),0,'19_Расчет_аналитики'!L3472*IF('01_Вводные'!$B$239="Да",MeanMinAge01+'19_Расчет_аналитики'!L3595*SUMIF(ThresholdAge01,"&lt;"&amp;'19_Расчет_аналитики'!L3595,WeightedRevAge01)-SUMIF(ThresholdAge01,"&lt;"&amp;'19_Расчет_аналитики'!L3595,WeightedMinAge01),MAX(CapacityAge01*'01_Вводные'!$B$218*'19_Расчет_аналитики'!L3595,MeanMinAge01))),0)</f>
        <v/>
      </c>
      <c r="M3500">
        <f>IF('01_Вводные'!$B$234="Да",IF(OR('19_Расчет_аналитики'!M3472=0,1&lt;='01_Вводные'!$B$297),0,'19_Расчет_аналитики'!M3472*IF('01_Вводные'!$B$239="Да",MeanMinAge01+'19_Расчет_аналитики'!M3595*SUMIF(ThresholdAge01,"&lt;"&amp;'19_Расчет_аналитики'!M3595,WeightedRevAge01)-SUMIF(ThresholdAge01,"&lt;"&amp;'19_Расчет_аналитики'!M3595,WeightedMinAge01),MAX(CapacityAge01*'01_Вводные'!$B$218*'19_Расчет_аналитики'!M3595,MeanMinAge01))),0)</f>
        <v/>
      </c>
      <c r="N3500">
        <f>IF('01_Вводные'!$B$234="Да",IF(OR('19_Расчет_аналитики'!N3472=0,1&lt;='01_Вводные'!$B$297),0,'19_Расчет_аналитики'!N3472*IF('01_Вводные'!$B$239="Да",MeanMinAge01+'19_Расчет_аналитики'!N3595*SUMIF(ThresholdAge01,"&lt;"&amp;'19_Расчет_аналитики'!N3595,WeightedRevAge01)-SUMIF(ThresholdAge01,"&lt;"&amp;'19_Расчет_аналитики'!N3595,WeightedMinAge01),MAX(CapacityAge01*'01_Вводные'!$B$218*'19_Расчет_аналитики'!N3595,MeanMinAge01))),0)</f>
        <v/>
      </c>
      <c r="O3500">
        <f>IF('01_Вводные'!$B$234="Да",IF(OR('19_Расчет_аналитики'!O3472=0,1&lt;='01_Вводные'!$B$297),0,'19_Расчет_аналитики'!O3472*IF('01_Вводные'!$B$239="Да",MeanMinAge01+'19_Расчет_аналитики'!O3595*SUMIF(ThresholdAge01,"&lt;"&amp;'19_Расчет_аналитики'!O3595,WeightedRevAge01)-SUMIF(ThresholdAge01,"&lt;"&amp;'19_Расчет_аналитики'!O3595,WeightedMinAge01),MAX(CapacityAge01*'01_Вводные'!$B$218*'19_Расчет_аналитики'!O3595,MeanMinAge01))),0)</f>
        <v/>
      </c>
      <c r="P3500">
        <f>IF('01_Вводные'!$B$234="Да",IF(OR('19_Расчет_аналитики'!P3472=0,1&lt;='01_Вводные'!$B$297),0,'19_Расчет_аналитики'!P3472*IF('01_Вводные'!$B$239="Да",MeanMinAge01+'19_Расчет_аналитики'!P3595*SUMIF(ThresholdAge01,"&lt;"&amp;'19_Расчет_аналитики'!P3595,WeightedRevAge01)-SUMIF(ThresholdAge01,"&lt;"&amp;'19_Расчет_аналитики'!P3595,WeightedMinAge01),MAX(CapacityAge01*'01_Вводные'!$B$218*'19_Расчет_аналитики'!P3595,MeanMinAge01))),0)</f>
        <v/>
      </c>
      <c r="Q3500">
        <f>IF('01_Вводные'!$B$234="Да",IF(OR('19_Расчет_аналитики'!Q3472=0,1&lt;='01_Вводные'!$B$297),0,'19_Расчет_аналитики'!Q3472*IF('01_Вводные'!$B$239="Да",MeanMinAge01+'19_Расчет_аналитики'!Q3595*SUMIF(ThresholdAge01,"&lt;"&amp;'19_Расчет_аналитики'!Q3595,WeightedRevAge01)-SUMIF(ThresholdAge01,"&lt;"&amp;'19_Расчет_аналитики'!Q3595,WeightedMinAge01),MAX(CapacityAge01*'01_Вводные'!$B$218*'19_Расчет_аналитики'!Q3595,MeanMinAge01))),0)</f>
        <v/>
      </c>
      <c r="R3500">
        <f>IF('01_Вводные'!$B$234="Да",IF(OR('19_Расчет_аналитики'!R3472=0,1&lt;='01_Вводные'!$B$297),0,'19_Расчет_аналитики'!R3472*IF('01_Вводные'!$B$239="Да",MeanMinAge01+'19_Расчет_аналитики'!R3595*SUMIF(ThresholdAge01,"&lt;"&amp;'19_Расчет_аналитики'!R3595,WeightedRevAge01)-SUMIF(ThresholdAge01,"&lt;"&amp;'19_Расчет_аналитики'!R3595,WeightedMinAge01),MAX(CapacityAge01*'01_Вводные'!$B$218*'19_Расчет_аналитики'!R3595,MeanMinAge01))),0)</f>
        <v/>
      </c>
      <c r="S3500">
        <f>IF('01_Вводные'!$B$234="Да",IF(OR('19_Расчет_аналитики'!S3472=0,1&lt;='01_Вводные'!$B$297),0,'19_Расчет_аналитики'!S3472*IF('01_Вводные'!$B$239="Да",MeanMinAge01+'19_Расчет_аналитики'!S3595*SUMIF(ThresholdAge01,"&lt;"&amp;'19_Расчет_аналитики'!S3595,WeightedRevAge01)-SUMIF(ThresholdAge01,"&lt;"&amp;'19_Расчет_аналитики'!S3595,WeightedMinAge01),MAX(CapacityAge01*'01_Вводные'!$B$218*'19_Расчет_аналитики'!S3595,MeanMinAge01))),0)</f>
        <v/>
      </c>
      <c r="T3500">
        <f>IF('01_Вводные'!$B$234="Да",IF(OR('19_Расчет_аналитики'!T3472=0,1&lt;='01_Вводные'!$B$297),0,'19_Расчет_аналитики'!T3472*IF('01_Вводные'!$B$239="Да",MeanMinAge01+'19_Расчет_аналитики'!T3595*SUMIF(ThresholdAge01,"&lt;"&amp;'19_Расчет_аналитики'!T3595,WeightedRevAge01)-SUMIF(ThresholdAge01,"&lt;"&amp;'19_Расчет_аналитики'!T3595,WeightedMinAge01),MAX(CapacityAge01*'01_Вводные'!$B$218*'19_Расчет_аналитики'!T3595,MeanMinAge01))),0)</f>
        <v/>
      </c>
      <c r="U3500">
        <f>IF('01_Вводные'!$B$234="Да",IF(OR('19_Расчет_аналитики'!U3472=0,1&lt;='01_Вводные'!$B$297),0,'19_Расчет_аналитики'!U3472*IF('01_Вводные'!$B$239="Да",MeanMinAge01+'19_Расчет_аналитики'!U3595*SUMIF(ThresholdAge01,"&lt;"&amp;'19_Расчет_аналитики'!U3595,WeightedRevAge01)-SUMIF(ThresholdAge01,"&lt;"&amp;'19_Расчет_аналитики'!U3595,WeightedMinAge01),MAX(CapacityAge01*'01_Вводные'!$B$218*'19_Расчет_аналитики'!U3595,MeanMinAge01))),0)</f>
        <v/>
      </c>
      <c r="V3500">
        <f>IF('01_Вводные'!$B$234="Да",IF(OR('19_Расчет_аналитики'!V3472=0,1&lt;='01_Вводные'!$B$297),0,'19_Расчет_аналитики'!V3472*IF('01_Вводные'!$B$239="Да",MeanMinAge01+'19_Расчет_аналитики'!V3595*SUMIF(ThresholdAge01,"&lt;"&amp;'19_Расчет_аналитики'!V3595,WeightedRevAge01)-SUMIF(ThresholdAge01,"&lt;"&amp;'19_Расчет_аналитики'!V3595,WeightedMinAge01),MAX(CapacityAge01*'01_Вводные'!$B$218*'19_Расчет_аналитики'!V3595,MeanMinAge01))),0)</f>
        <v/>
      </c>
      <c r="W3500">
        <f>IF('01_Вводные'!$B$234="Да",IF(OR('19_Расчет_аналитики'!W3472=0,1&lt;='01_Вводные'!$B$297),0,'19_Расчет_аналитики'!W3472*IF('01_Вводные'!$B$239="Да",MeanMinAge01+'19_Расчет_аналитики'!W3595*SUMIF(ThresholdAge01,"&lt;"&amp;'19_Расчет_аналитики'!W3595,WeightedRevAge01)-SUMIF(ThresholdAge01,"&lt;"&amp;'19_Расчет_аналитики'!W3595,WeightedMinAge01),MAX(CapacityAge01*'01_Вводные'!$B$218*'19_Расчет_аналитики'!W3595,MeanMinAge01))),0)</f>
        <v/>
      </c>
      <c r="X3500">
        <f>IF('01_Вводные'!$B$234="Да",IF(OR('19_Расчет_аналитики'!X3472=0,1&lt;='01_Вводные'!$B$297),0,'19_Расчет_аналитики'!X3472*IF('01_Вводные'!$B$239="Да",MeanMinAge01+'19_Расчет_аналитики'!X3595*SUMIF(ThresholdAge01,"&lt;"&amp;'19_Расчет_аналитики'!X3595,WeightedRevAge01)-SUMIF(ThresholdAge01,"&lt;"&amp;'19_Расчет_аналитики'!X3595,WeightedMinAge01),MAX(CapacityAge01*'01_Вводные'!$B$218*'19_Расчет_аналитики'!X3595,MeanMinAge01))),0)</f>
        <v/>
      </c>
      <c r="Y3500">
        <f>IF('01_Вводные'!$B$234="Да",IF(OR('19_Расчет_аналитики'!Y3472=0,1&lt;='01_Вводные'!$B$297),0,'19_Расчет_аналитики'!Y3472*IF('01_Вводные'!$B$239="Да",MeanMinAge01+'19_Расчет_аналитики'!Y3595*SUMIF(ThresholdAge01,"&lt;"&amp;'19_Расчет_аналитики'!Y3595,WeightedRevAge01)-SUMIF(ThresholdAge01,"&lt;"&amp;'19_Расчет_аналитики'!Y3595,WeightedMinAge01),MAX(CapacityAge01*'01_Вводные'!$B$218*'19_Расчет_аналитики'!Y3595,MeanMinAge01))),0)</f>
        <v/>
      </c>
      <c r="Z3500">
        <f>IF('01_Вводные'!$B$234="Да",IF(OR('19_Расчет_аналитики'!Z3472=0,1&lt;='01_Вводные'!$B$297),0,'19_Расчет_аналитики'!Z3472*IF('01_Вводные'!$B$239="Да",MeanMinAge01+'19_Расчет_аналитики'!Z3595*SUMIF(ThresholdAge01,"&lt;"&amp;'19_Расчет_аналитики'!Z3595,WeightedRevAge01)-SUMIF(ThresholdAge01,"&lt;"&amp;'19_Расчет_аналитики'!Z3595,WeightedMinAge01),MAX(CapacityAge01*'01_Вводные'!$B$218*'19_Расчет_аналитики'!Z3595,MeanMinAge01))),0)</f>
        <v/>
      </c>
      <c r="AA3500">
        <f>IF('01_Вводные'!$B$234="Да",IF(OR('19_Расчет_аналитики'!AA3472=0,1&lt;='01_Вводные'!$B$297),0,'19_Расчет_аналитики'!AA3472*IF('01_Вводные'!$B$239="Да",MeanMinAge01+'19_Расчет_аналитики'!AA3595*SUMIF(ThresholdAge01,"&lt;"&amp;'19_Расчет_аналитики'!AA3595,WeightedRevAge01)-SUMIF(ThresholdAge01,"&lt;"&amp;'19_Расчет_аналитики'!AA3595,WeightedMinAge01),MAX(CapacityAge01*'01_Вводные'!$B$218*'19_Расчет_аналитики'!AA3595,MeanMinAge01))),0)</f>
        <v/>
      </c>
      <c r="AB3500">
        <f>IF('01_Вводные'!$B$234="Да",IF(OR('19_Расчет_аналитики'!AB3472=0,1&lt;='01_Вводные'!$B$297),0,'19_Расчет_аналитики'!AB3472*IF('01_Вводные'!$B$239="Да",MeanMinAge01+'19_Расчет_аналитики'!AB3595*SUMIF(ThresholdAge01,"&lt;"&amp;'19_Расчет_аналитики'!AB3595,WeightedRevAge01)-SUMIF(ThresholdAge01,"&lt;"&amp;'19_Расчет_аналитики'!AB3595,WeightedMinAge01),MAX(CapacityAge01*'01_Вводные'!$B$218*'19_Расчет_аналитики'!AB3595,MeanMinAge01))),0)</f>
        <v/>
      </c>
      <c r="AC3500">
        <f>IF('01_Вводные'!$B$234="Да",IF(OR('19_Расчет_аналитики'!AC3472=0,1&lt;='01_Вводные'!$B$297),0,'19_Расчет_аналитики'!AC3472*IF('01_Вводные'!$B$239="Да",MeanMinAge01+'19_Расчет_аналитики'!AC3595*SUMIF(ThresholdAge01,"&lt;"&amp;'19_Расчет_аналитики'!AC3595,WeightedRevAge01)-SUMIF(ThresholdAge01,"&lt;"&amp;'19_Расчет_аналитики'!AC3595,WeightedMinAge01),MAX(CapacityAge01*'01_Вводные'!$B$218*'19_Расчет_аналитики'!AC3595,MeanMinAge01))),0)</f>
        <v/>
      </c>
      <c r="AD3500">
        <f>IF('01_Вводные'!$B$234="Да",IF(OR('19_Расчет_аналитики'!AD3472=0,1&lt;='01_Вводные'!$B$297),0,'19_Расчет_аналитики'!AD3472*IF('01_Вводные'!$B$239="Да",MeanMinAge01+'19_Расчет_аналитики'!AD3595*SUMIF(ThresholdAge01,"&lt;"&amp;'19_Расчет_аналитики'!AD3595,WeightedRevAge01)-SUMIF(ThresholdAge01,"&lt;"&amp;'19_Расчет_аналитики'!AD3595,WeightedMinAge01),MAX(CapacityAge01*'01_Вводные'!$B$218*'19_Расчет_аналитики'!AD3595,MeanMinAge01))),0)</f>
        <v/>
      </c>
      <c r="AE3500">
        <f>IF('01_Вводные'!$B$234="Да",IF(OR('19_Расчет_аналитики'!AE3472=0,1&lt;='01_Вводные'!$B$297),0,'19_Расчет_аналитики'!AE3472*IF('01_Вводные'!$B$239="Да",MeanMinAge01+'19_Расчет_аналитики'!AE3595*SUMIF(ThresholdAge01,"&lt;"&amp;'19_Расчет_аналитики'!AE3595,WeightedRevAge01)-SUMIF(ThresholdAge01,"&lt;"&amp;'19_Расчет_аналитики'!AE3595,WeightedMinAge01),MAX(CapacityAge01*'01_Вводные'!$B$218*'19_Расчет_аналитики'!AE3595,MeanMinAge01))),0)</f>
        <v/>
      </c>
      <c r="AF3500">
        <f>IF('01_Вводные'!$B$234="Да",IF(OR('19_Расчет_аналитики'!AF3472=0,1&lt;='01_Вводные'!$B$297),0,'19_Расчет_аналитики'!AF3472*IF('01_Вводные'!$B$239="Да",MeanMinAge01+'19_Расчет_аналитики'!AF3595*SUMIF(ThresholdAge01,"&lt;"&amp;'19_Расчет_аналитики'!AF3595,WeightedRevAge01)-SUMIF(ThresholdAge01,"&lt;"&amp;'19_Расчет_аналитики'!AF3595,WeightedMinAge01),MAX(CapacityAge01*'01_Вводные'!$B$218*'19_Расчет_аналитики'!AF3595,MeanMinAge01))),0)</f>
        <v/>
      </c>
      <c r="AG3500">
        <f>IF('01_Вводные'!$B$234="Да",IF(OR('19_Расчет_аналитики'!AG3472=0,1&lt;='01_Вводные'!$B$297),0,'19_Расчет_аналитики'!AG3472*IF('01_Вводные'!$B$239="Да",MeanMinAge01+'19_Расчет_аналитики'!AG3595*SUMIF(ThresholdAge01,"&lt;"&amp;'19_Расчет_аналитики'!AG3595,WeightedRevAge01)-SUMIF(ThresholdAge01,"&lt;"&amp;'19_Расчет_аналитики'!AG3595,WeightedMinAge01),MAX(CapacityAge01*'01_Вводные'!$B$218*'19_Расчет_аналитики'!AG3595,MeanMinAge01))),0)</f>
        <v/>
      </c>
      <c r="AH3500">
        <f>IF('01_Вводные'!$B$234="Да",IF(OR('19_Расчет_аналитики'!AH3472=0,1&lt;='01_Вводные'!$B$297),0,'19_Расчет_аналитики'!AH3472*IF('01_Вводные'!$B$239="Да",MeanMinAge01+'19_Расчет_аналитики'!AH3595*SUMIF(ThresholdAge01,"&lt;"&amp;'19_Расчет_аналитики'!AH3595,WeightedRevAge01)-SUMIF(ThresholdAge01,"&lt;"&amp;'19_Расчет_аналитики'!AH3595,WeightedMinAge01),MAX(CapacityAge01*'01_Вводные'!$B$218*'19_Расчет_аналитики'!AH3595,MeanMinAge01))),0)</f>
        <v/>
      </c>
      <c r="AI3500">
        <f>IF('01_Вводные'!$B$234="Да",IF(OR('19_Расчет_аналитики'!AI3472=0,1&lt;='01_Вводные'!$B$297),0,'19_Расчет_аналитики'!AI3472*IF('01_Вводные'!$B$239="Да",MeanMinAge01+'19_Расчет_аналитики'!AI3595*SUMIF(ThresholdAge01,"&lt;"&amp;'19_Расчет_аналитики'!AI3595,WeightedRevAge01)-SUMIF(ThresholdAge01,"&lt;"&amp;'19_Расчет_аналитики'!AI3595,WeightedMinAge01),MAX(CapacityAge01*'01_Вводные'!$B$218*'19_Расчет_аналитики'!AI3595,MeanMinAge01))),0)</f>
        <v/>
      </c>
      <c r="AJ3500">
        <f>IF('01_Вводные'!$B$234="Да",IF(OR('19_Расчет_аналитики'!AJ3472=0,1&lt;='01_Вводные'!$B$297),0,'19_Расчет_аналитики'!AJ3472*IF('01_Вводные'!$B$239="Да",MeanMinAge01+'19_Расчет_аналитики'!AJ3595*SUMIF(ThresholdAge01,"&lt;"&amp;'19_Расчет_аналитики'!AJ3595,WeightedRevAge01)-SUMIF(ThresholdAge01,"&lt;"&amp;'19_Расчет_аналитики'!AJ3595,WeightedMinAge01),MAX(CapacityAge01*'01_Вводные'!$B$218*'19_Расчет_аналитики'!AJ3595,MeanMinAge01))),0)</f>
        <v/>
      </c>
      <c r="AK3500">
        <f>IF('01_Вводные'!$B$234="Да",IF(OR('19_Расчет_аналитики'!AK3472=0,1&lt;='01_Вводные'!$B$297),0,'19_Расчет_аналитики'!AK3472*IF('01_Вводные'!$B$239="Да",MeanMinAge01+'19_Расчет_аналитики'!AK3595*SUMIF(ThresholdAge01,"&lt;"&amp;'19_Расчет_аналитики'!AK3595,WeightedRevAge01)-SUMIF(ThresholdAge01,"&lt;"&amp;'19_Расчет_аналитики'!AK3595,WeightedMinAge01),MAX(CapacityAge01*'01_Вводные'!$B$218*'19_Расчет_аналитики'!AK3595,MeanMinAge01))),0)</f>
        <v/>
      </c>
      <c r="AL3500">
        <f>IF('01_Вводные'!$B$234="Да",IF(OR('19_Расчет_аналитики'!AL3472=0,1&lt;='01_Вводные'!$B$297),0,'19_Расчет_аналитики'!AL3472*IF('01_Вводные'!$B$239="Да",MeanMinAge01+'19_Расчет_аналитики'!AL3595*SUMIF(ThresholdAge01,"&lt;"&amp;'19_Расчет_аналитики'!AL3595,WeightedRevAge01)-SUMIF(ThresholdAge01,"&lt;"&amp;'19_Расчет_аналитики'!AL3595,WeightedMinAge01),MAX(CapacityAge01*'01_Вводные'!$B$218*'19_Расчет_аналитики'!AL3595,MeanMinAge01))),0)</f>
        <v/>
      </c>
      <c r="AM3500">
        <f>IF('01_Вводные'!$B$234="Да",IF(OR('19_Расчет_аналитики'!AM3472=0,1&lt;='01_Вводные'!$B$297),0,'19_Расчет_аналитики'!AM3472*IF('01_Вводные'!$B$239="Да",MeanMinAge01+'19_Расчет_аналитики'!AM3595*SUMIF(ThresholdAge01,"&lt;"&amp;'19_Расчет_аналитики'!AM3595,WeightedRevAge01)-SUMIF(ThresholdAge01,"&lt;"&amp;'19_Расчет_аналитики'!AM3595,WeightedMinAge01),MAX(CapacityAge01*'01_Вводные'!$B$218*'19_Расчет_аналитики'!AM3595,MeanMinAge01))),0)</f>
        <v/>
      </c>
      <c r="AN3500">
        <f>IF('01_Вводные'!$B$234="Да",IF(OR('19_Расчет_аналитики'!AN3472=0,1&lt;='01_Вводные'!$B$297),0,'19_Расчет_аналитики'!AN3472*IF('01_Вводные'!$B$239="Да",MeanMinAge01+'19_Расчет_аналитики'!AN3595*SUMIF(ThresholdAge01,"&lt;"&amp;'19_Расчет_аналитики'!AN3595,WeightedRevAge01)-SUMIF(ThresholdAge01,"&lt;"&amp;'19_Расчет_аналитики'!AN3595,WeightedMinAge01),MAX(CapacityAge01*'01_Вводные'!$B$218*'19_Расчет_аналитики'!AN3595,MeanMinAge01))),0)</f>
        <v/>
      </c>
      <c r="AO3500">
        <f>IF('01_Вводные'!$B$234="Да",IF(OR('19_Расчет_аналитики'!AO3472=0,1&lt;='01_Вводные'!$B$297),0,'19_Расчет_аналитики'!AO3472*IF('01_Вводные'!$B$239="Да",MeanMinAge01+'19_Расчет_аналитики'!AO3595*SUMIF(ThresholdAge01,"&lt;"&amp;'19_Расчет_аналитики'!AO3595,WeightedRevAge01)-SUMIF(ThresholdAge01,"&lt;"&amp;'19_Расчет_аналитики'!AO3595,WeightedMinAge01),MAX(CapacityAge01*'01_Вводные'!$B$218*'19_Расчет_аналитики'!AO3595,MeanMinAge01))),0)</f>
        <v/>
      </c>
      <c r="AP3500">
        <f>IF('01_Вводные'!$B$234="Да",IF(OR('19_Расчет_аналитики'!AP3472=0,1&lt;='01_Вводные'!$B$297),0,'19_Расчет_аналитики'!AP3472*IF('01_Вводные'!$B$239="Да",MeanMinAge01+'19_Расчет_аналитики'!AP3595*SUMIF(ThresholdAge01,"&lt;"&amp;'19_Расчет_аналитики'!AP3595,WeightedRevAge01)-SUMIF(ThresholdAge01,"&lt;"&amp;'19_Расчет_аналитики'!AP3595,WeightedMinAge01),MAX(CapacityAge01*'01_Вводные'!$B$218*'19_Расчет_аналитики'!AP3595,MeanMinAge01))),0)</f>
        <v/>
      </c>
      <c r="AQ3500">
        <f>IF('01_Вводные'!$B$234="Да",IF(OR('19_Расчет_аналитики'!AQ3472=0,1&lt;='01_Вводные'!$B$297),0,'19_Расчет_аналитики'!AQ3472*IF('01_Вводные'!$B$239="Да",MeanMinAge01+'19_Расчет_аналитики'!AQ3595*SUMIF(ThresholdAge01,"&lt;"&amp;'19_Расчет_аналитики'!AQ3595,WeightedRevAge01)-SUMIF(ThresholdAge01,"&lt;"&amp;'19_Расчет_аналитики'!AQ3595,WeightedMinAge01),MAX(CapacityAge01*'01_Вводные'!$B$218*'19_Расчет_аналитики'!AQ3595,MeanMinAge01))),0)</f>
        <v/>
      </c>
      <c r="AR3500">
        <f>IF('01_Вводные'!$B$234="Да",IF(OR('19_Расчет_аналитики'!AR3472=0,1&lt;='01_Вводные'!$B$297),0,'19_Расчет_аналитики'!AR3472*IF('01_Вводные'!$B$239="Да",MeanMinAge01+'19_Расчет_аналитики'!AR3595*SUMIF(ThresholdAge01,"&lt;"&amp;'19_Расчет_аналитики'!AR3595,WeightedRevAge01)-SUMIF(ThresholdAge01,"&lt;"&amp;'19_Расчет_аналитики'!AR3595,WeightedMinAge01),MAX(CapacityAge01*'01_Вводные'!$B$218*'19_Расчет_аналитики'!AR3595,MeanMinAge01))),0)</f>
        <v/>
      </c>
      <c r="AS3500">
        <f>IF('01_Вводные'!$B$234="Да",IF(OR('19_Расчет_аналитики'!AS3472=0,1&lt;='01_Вводные'!$B$297),0,'19_Расчет_аналитики'!AS3472*IF('01_Вводные'!$B$239="Да",MeanMinAge01+'19_Расчет_аналитики'!AS3595*SUMIF(ThresholdAge01,"&lt;"&amp;'19_Расчет_аналитики'!AS3595,WeightedRevAge01)-SUMIF(ThresholdAge01,"&lt;"&amp;'19_Расчет_аналитики'!AS3595,WeightedMinAge01),MAX(CapacityAge01*'01_Вводные'!$B$218*'19_Расчет_аналитики'!AS3595,MeanMinAge01))),0)</f>
        <v/>
      </c>
      <c r="AT3500">
        <f>IF('01_Вводные'!$B$234="Да",IF(OR('19_Расчет_аналитики'!AT3472=0,1&lt;='01_Вводные'!$B$297),0,'19_Расчет_аналитики'!AT3472*IF('01_Вводные'!$B$239="Да",MeanMinAge01+'19_Расчет_аналитики'!AT3595*SUMIF(ThresholdAge01,"&lt;"&amp;'19_Расчет_аналитики'!AT3595,WeightedRevAge01)-SUMIF(ThresholdAge01,"&lt;"&amp;'19_Расчет_аналитики'!AT3595,WeightedMinAge01),MAX(CapacityAge01*'01_Вводные'!$B$218*'19_Расчет_аналитики'!AT3595,MeanMinAge01))),0)</f>
        <v/>
      </c>
      <c r="AU3500">
        <f>IF('01_Вводные'!$B$234="Да",IF(OR('19_Расчет_аналитики'!AU3472=0,1&lt;='01_Вводные'!$B$297),0,'19_Расчет_аналитики'!AU3472*IF('01_Вводные'!$B$239="Да",MeanMinAge01+'19_Расчет_аналитики'!AU3595*SUMIF(ThresholdAge01,"&lt;"&amp;'19_Расчет_аналитики'!AU3595,WeightedRevAge01)-SUMIF(ThresholdAge01,"&lt;"&amp;'19_Расчет_аналитики'!AU3595,WeightedMinAge01),MAX(CapacityAge01*'01_Вводные'!$B$218*'19_Расчет_аналитики'!AU3595,MeanMinAge01))),0)</f>
        <v/>
      </c>
      <c r="AV3500">
        <f>IF('01_Вводные'!$B$234="Да",IF(OR('19_Расчет_аналитики'!AV3472=0,1&lt;='01_Вводные'!$B$297),0,'19_Расчет_аналитики'!AV3472*IF('01_Вводные'!$B$239="Да",MeanMinAge01+'19_Расчет_аналитики'!AV3595*SUMIF(ThresholdAge01,"&lt;"&amp;'19_Расчет_аналитики'!AV3595,WeightedRevAge01)-SUMIF(ThresholdAge01,"&lt;"&amp;'19_Расчет_аналитики'!AV3595,WeightedMinAge01),MAX(CapacityAge01*'01_Вводные'!$B$218*'19_Расчет_аналитики'!AV3595,MeanMinAge01))),0)</f>
        <v/>
      </c>
      <c r="AW3500">
        <f>IF('01_Вводные'!$B$234="Да",IF(OR('19_Расчет_аналитики'!AW3472=0,1&lt;='01_Вводные'!$B$297),0,'19_Расчет_аналитики'!AW3472*IF('01_Вводные'!$B$239="Да",MeanMinAge01+'19_Расчет_аналитики'!AW3595*SUMIF(ThresholdAge01,"&lt;"&amp;'19_Расчет_аналитики'!AW3595,WeightedRevAge01)-SUMIF(ThresholdAge01,"&lt;"&amp;'19_Расчет_аналитики'!AW3595,WeightedMinAge01),MAX(CapacityAge01*'01_Вводные'!$B$218*'19_Расчет_аналитики'!AW3595,MeanMinAge01))),0)</f>
        <v/>
      </c>
      <c r="AX3500">
        <f>IF('01_Вводные'!$B$234="Да",IF(OR('19_Расчет_аналитики'!AX3472=0,1&lt;='01_Вводные'!$B$297),0,'19_Расчет_аналитики'!AX3472*IF('01_Вводные'!$B$239="Да",MeanMinAge01+'19_Расчет_аналитики'!AX3595*SUMIF(ThresholdAge01,"&lt;"&amp;'19_Расчет_аналитики'!AX3595,WeightedRevAge01)-SUMIF(ThresholdAge01,"&lt;"&amp;'19_Расчет_аналитики'!AX3595,WeightedMinAge01),MAX(CapacityAge01*'01_Вводные'!$B$218*'19_Расчет_аналитики'!AX3595,MeanMinAge01))),0)</f>
        <v/>
      </c>
      <c r="AY3500">
        <f>IF('01_Вводные'!$B$234="Да",IF(OR('19_Расчет_аналитики'!AY3472=0,1&lt;='01_Вводные'!$B$297),0,'19_Расчет_аналитики'!AY3472*IF('01_Вводные'!$B$239="Да",MeanMinAge01+'19_Расчет_аналитики'!AY3595*SUMIF(ThresholdAge01,"&lt;"&amp;'19_Расчет_аналитики'!AY3595,WeightedRevAge01)-SUMIF(ThresholdAge01,"&lt;"&amp;'19_Расчет_аналитики'!AY3595,WeightedMinAge01),MAX(CapacityAge01*'01_Вводные'!$B$218*'19_Расчет_аналитики'!AY3595,MeanMinAge01))),0)</f>
        <v/>
      </c>
      <c r="AZ3500">
        <f>IF('01_Вводные'!$B$234="Да",IF(OR('19_Расчет_аналитики'!AZ3472=0,1&lt;='01_Вводные'!$B$297),0,'19_Расчет_аналитики'!AZ3472*IF('01_Вводные'!$B$239="Да",MeanMinAge01+'19_Расчет_аналитики'!AZ3595*SUMIF(ThresholdAge01,"&lt;"&amp;'19_Расчет_аналитики'!AZ3595,WeightedRevAge01)-SUMIF(ThresholdAge01,"&lt;"&amp;'19_Расчет_аналитики'!AZ3595,WeightedMinAge01),MAX(CapacityAge01*'01_Вводные'!$B$218*'19_Расчет_аналитики'!AZ3595,MeanMinAge01))),0)</f>
        <v/>
      </c>
      <c r="BA3500">
        <f>IF('01_Вводные'!$B$234="Да",IF(OR('19_Расчет_аналитики'!BA3472=0,1&lt;='01_Вводные'!$B$297),0,'19_Расчет_аналитики'!BA3472*IF('01_Вводные'!$B$239="Да",MeanMinAge01+'19_Расчет_аналитики'!BA3595*SUMIF(ThresholdAge01,"&lt;"&amp;'19_Расчет_аналитики'!BA3595,WeightedRevAge01)-SUMIF(ThresholdAge01,"&lt;"&amp;'19_Расчет_аналитики'!BA3595,WeightedMinAge01),MAX(CapacityAge01*'01_Вводные'!$B$218*'19_Расчет_аналитики'!BA3595,MeanMinAge01))),0)</f>
        <v/>
      </c>
      <c r="BB3500">
        <f>IF('01_Вводные'!$B$234="Да",IF(OR('19_Расчет_аналитики'!BB3472=0,1&lt;='01_Вводные'!$B$297),0,'19_Расчет_аналитики'!BB3472*IF('01_Вводные'!$B$239="Да",MeanMinAge01+'19_Расчет_аналитики'!BB3595*SUMIF(ThresholdAge01,"&lt;"&amp;'19_Расчет_аналитики'!BB3595,WeightedRevAge01)-SUMIF(ThresholdAge01,"&lt;"&amp;'19_Расчет_аналитики'!BB3595,WeightedMinAge01),MAX(CapacityAge01*'01_Вводные'!$B$218*'19_Расчет_аналитики'!BB3595,MeanMinAge01))),0)</f>
        <v/>
      </c>
      <c r="BC3500">
        <f>IF('01_Вводные'!$B$234="Да",IF(OR('19_Расчет_аналитики'!BC3472=0,1&lt;='01_Вводные'!$B$297),0,'19_Расчет_аналитики'!BC3472*IF('01_Вводные'!$B$239="Да",MeanMinAge01+'19_Расчет_аналитики'!BC3595*SUMIF(ThresholdAge01,"&lt;"&amp;'19_Расчет_аналитики'!BC3595,WeightedRevAge01)-SUMIF(ThresholdAge01,"&lt;"&amp;'19_Расчет_аналитики'!BC3595,WeightedMinAge01),MAX(CapacityAge01*'01_Вводные'!$B$218*'19_Расчет_аналитики'!BC3595,MeanMinAge01))),0)</f>
        <v/>
      </c>
      <c r="BD3500">
        <f>IF('01_Вводные'!$B$234="Да",IF(OR('19_Расчет_аналитики'!BD3472=0,1&lt;='01_Вводные'!$B$297),0,'19_Расчет_аналитики'!BD3472*IF('01_Вводные'!$B$239="Да",MeanMinAge01+'19_Расчет_аналитики'!BD3595*SUMIF(ThresholdAge01,"&lt;"&amp;'19_Расчет_аналитики'!BD3595,WeightedRevAge01)-SUMIF(ThresholdAge01,"&lt;"&amp;'19_Расчет_аналитики'!BD3595,WeightedMinAge01),MAX(CapacityAge01*'01_Вводные'!$B$218*'19_Расчет_аналитики'!BD3595,MeanMinAge01))),0)</f>
        <v/>
      </c>
      <c r="BE3500">
        <f>IF('01_Вводные'!$B$234="Да",IF(OR('19_Расчет_аналитики'!BE3472=0,1&lt;='01_Вводные'!$B$297),0,'19_Расчет_аналитики'!BE3472*IF('01_Вводные'!$B$239="Да",MeanMinAge01+'19_Расчет_аналитики'!BE3595*SUMIF(ThresholdAge01,"&lt;"&amp;'19_Расчет_аналитики'!BE3595,WeightedRevAge01)-SUMIF(ThresholdAge01,"&lt;"&amp;'19_Расчет_аналитики'!BE3595,WeightedMinAge01),MAX(CapacityAge01*'01_Вводные'!$B$218*'19_Расчет_аналитики'!BE3595,MeanMinAge01))),0)</f>
        <v/>
      </c>
      <c r="BF3500">
        <f>IF('01_Вводные'!$B$234="Да",IF(OR('19_Расчет_аналитики'!BF3472=0,1&lt;='01_Вводные'!$B$297),0,'19_Расчет_аналитики'!BF3472*IF('01_Вводные'!$B$239="Да",MeanMinAge01+'19_Расчет_аналитики'!BF3595*SUMIF(ThresholdAge01,"&lt;"&amp;'19_Расчет_аналитики'!BF3595,WeightedRevAge01)-SUMIF(ThresholdAge01,"&lt;"&amp;'19_Расчет_аналитики'!BF3595,WeightedMinAge01),MAX(CapacityAge01*'01_Вводные'!$B$218*'19_Расчет_аналитики'!BF3595,MeanMinAge01))),0)</f>
        <v/>
      </c>
      <c r="BG3500">
        <f>IF('01_Вводные'!$B$234="Да",IF(OR('19_Расчет_аналитики'!BG3472=0,1&lt;='01_Вводные'!$B$297),0,'19_Расчет_аналитики'!BG3472*IF('01_Вводные'!$B$239="Да",MeanMinAge01+'19_Расчет_аналитики'!BG3595*SUMIF(ThresholdAge01,"&lt;"&amp;'19_Расчет_аналитики'!BG3595,WeightedRevAge01)-SUMIF(ThresholdAge01,"&lt;"&amp;'19_Расчет_аналитики'!BG3595,WeightedMinAge01),MAX(CapacityAge01*'01_Вводные'!$B$218*'19_Расчет_аналитики'!BG3595,MeanMinAge01))),0)</f>
        <v/>
      </c>
      <c r="BH3500">
        <f>IF('01_Вводные'!$B$234="Да",IF(OR('19_Расчет_аналитики'!BH3472=0,1&lt;='01_Вводные'!$B$297),0,'19_Расчет_аналитики'!BH3472*IF('01_Вводные'!$B$239="Да",MeanMinAge01+'19_Расчет_аналитики'!BH3595*SUMIF(ThresholdAge01,"&lt;"&amp;'19_Расчет_аналитики'!BH3595,WeightedRevAge01)-SUMIF(ThresholdAge01,"&lt;"&amp;'19_Расчет_аналитики'!BH3595,WeightedMinAge01),MAX(CapacityAge01*'01_Вводные'!$B$218*'19_Расчет_аналитики'!BH3595,MeanMinAge01))),0)</f>
        <v/>
      </c>
      <c r="BI3500">
        <f>IF('01_Вводные'!$B$234="Да",IF(OR('19_Расчет_аналитики'!BI3472=0,1&lt;='01_Вводные'!$B$297),0,'19_Расчет_аналитики'!BI3472*IF('01_Вводные'!$B$239="Да",MeanMinAge01+'19_Расчет_аналитики'!BI3595*SUMIF(ThresholdAge01,"&lt;"&amp;'19_Расчет_аналитики'!BI3595,WeightedRevAge01)-SUMIF(ThresholdAge01,"&lt;"&amp;'19_Расчет_аналитики'!BI3595,WeightedMinAge01),MAX(CapacityAge01*'01_Вводные'!$B$218*'19_Расчет_аналитики'!BI3595,MeanMinAge01))),0)</f>
        <v/>
      </c>
      <c r="BJ3500">
        <f>IF('01_Вводные'!$B$234="Да",IF(OR('19_Расчет_аналитики'!BJ3472=0,1&lt;='01_Вводные'!$B$297),0,'19_Расчет_аналитики'!BJ3472*IF('01_Вводные'!$B$239="Да",MeanMinAge01+'19_Расчет_аналитики'!BJ3595*SUMIF(ThresholdAge01,"&lt;"&amp;'19_Расчет_аналитики'!BJ3595,WeightedRevAge01)-SUMIF(ThresholdAge01,"&lt;"&amp;'19_Расчет_аналитики'!BJ3595,WeightedMinAge01),MAX(CapacityAge01*'01_Вводные'!$B$218*'19_Расчет_аналитики'!BJ3595,MeanMinAge01))),0)</f>
        <v/>
      </c>
      <c r="BK3500">
        <f>IF('01_Вводные'!$B$234="Да",IF(OR('19_Расчет_аналитики'!BK3472=0,1&lt;='01_Вводные'!$B$297),0,'19_Расчет_аналитики'!BK3472*IF('01_Вводные'!$B$239="Да",MeanMinAge01+'19_Расчет_аналитики'!BK3595*SUMIF(ThresholdAge01,"&lt;"&amp;'19_Расчет_аналитики'!BK3595,WeightedRevAge01)-SUMIF(ThresholdAge01,"&lt;"&amp;'19_Расчет_аналитики'!BK3595,WeightedMinAge01),MAX(CapacityAge01*'01_Вводные'!$B$218*'19_Расчет_аналитики'!BK3595,MeanMinAge01))),0)</f>
        <v/>
      </c>
      <c r="BL3500">
        <f>IF('01_Вводные'!$B$234="Да",IF(OR('19_Расчет_аналитики'!BL3472=0,1&lt;='01_Вводные'!$B$297),0,'19_Расчет_аналитики'!BL3472*IF('01_Вводные'!$B$239="Да",MeanMinAge01+'19_Расчет_аналитики'!BL3595*SUMIF(ThresholdAge01,"&lt;"&amp;'19_Расчет_аналитики'!BL3595,WeightedRevAge01)-SUMIF(ThresholdAge01,"&lt;"&amp;'19_Расчет_аналитики'!BL3595,WeightedMinAge01),MAX(CapacityAge01*'01_Вводные'!$B$218*'19_Расчет_аналитики'!BL3595,MeanMinAge01))),0)</f>
        <v/>
      </c>
      <c r="BM3500">
        <f>IF('01_Вводные'!$B$234="Да",IF(OR('19_Расчет_аналитики'!BM3472=0,1&lt;='01_Вводные'!$B$297),0,'19_Расчет_аналитики'!BM3472*IF('01_Вводные'!$B$239="Да",MeanMinAge01+'19_Расчет_аналитики'!BM3595*SUMIF(ThresholdAge01,"&lt;"&amp;'19_Расчет_аналитики'!BM3595,WeightedRevAge01)-SUMIF(ThresholdAge01,"&lt;"&amp;'19_Расчет_аналитики'!BM3595,WeightedMinAge01),MAX(CapacityAge01*'01_Вводные'!$B$218*'19_Расчет_аналитики'!BM3595,MeanMinAge01))),0)</f>
        <v/>
      </c>
      <c r="BN3500">
        <f>IF('01_Вводные'!$B$234="Да",IF(OR('19_Расчет_аналитики'!BN3472=0,1&lt;='01_Вводные'!$B$297),0,'19_Расчет_аналитики'!BN3472*IF('01_Вводные'!$B$239="Да",MeanMinAge01+'19_Расчет_аналитики'!BN3595*SUMIF(ThresholdAge01,"&lt;"&amp;'19_Расчет_аналитики'!BN3595,WeightedRevAge01)-SUMIF(ThresholdAge01,"&lt;"&amp;'19_Расчет_аналитики'!BN3595,WeightedMinAge01),MAX(CapacityAge01*'01_Вводные'!$B$218*'19_Расчет_аналитики'!BN3595,MeanMinAge01))),0)</f>
        <v/>
      </c>
      <c r="BO3500">
        <f>IF('01_Вводные'!$B$234="Да",IF(OR('19_Расчет_аналитики'!BO3472=0,1&lt;='01_Вводные'!$B$297),0,'19_Расчет_аналитики'!BO3472*IF('01_Вводные'!$B$239="Да",MeanMinAge01+'19_Расчет_аналитики'!BO3595*SUMIF(ThresholdAge01,"&lt;"&amp;'19_Расчет_аналитики'!BO3595,WeightedRevAge01)-SUMIF(ThresholdAge01,"&lt;"&amp;'19_Расчет_аналитики'!BO3595,WeightedMinAge01),MAX(CapacityAge01*'01_Вводные'!$B$218*'19_Расчет_аналитики'!BO3595,MeanMinAge01))),0)</f>
        <v/>
      </c>
    </row>
    <row r="3501">
      <c r="B3501">
        <f>IF('01_Вводные'!$B$234="Да",IF(OR('06_Сеть_и_дети'!B82=0,2&lt;='01_Вводные'!$B$297),0,'06_Сеть_и_дети'!B82*IF('01_Вводные'!$B$239="Да",MeanMinAge02+'19_Расчет_аналитики'!B3595*SUMIF(ThresholdAge02,"&lt;"&amp;'19_Расчет_аналитики'!B3595,WeightedRevAge02)-SUMIF(ThresholdAge02,"&lt;"&amp;'19_Расчет_аналитики'!B3595,WeightedMinAge02),MAX(CapacityAge02*'01_Вводные'!$B$218*'19_Расчет_аналитики'!B3595,MeanMinAge02))),0)</f>
        <v/>
      </c>
      <c r="C3501">
        <f>IF('01_Вводные'!$B$234="Да",IF(OR('19_Расчет_аналитики'!C3473=0,2&lt;='01_Вводные'!$B$297),0,'19_Расчет_аналитики'!C3473*IF('01_Вводные'!$B$239="Да",MeanMinAge02+'19_Расчет_аналитики'!C3595*SUMIF(ThresholdAge02,"&lt;"&amp;'19_Расчет_аналитики'!C3595,WeightedRevAge02)-SUMIF(ThresholdAge02,"&lt;"&amp;'19_Расчет_аналитики'!C3595,WeightedMinAge02),MAX(CapacityAge02*'01_Вводные'!$B$218*'19_Расчет_аналитики'!C3595,MeanMinAge02))),0)</f>
        <v/>
      </c>
      <c r="D3501">
        <f>IF('01_Вводные'!$B$234="Да",IF(OR('19_Расчет_аналитики'!D3473=0,2&lt;='01_Вводные'!$B$297),0,'19_Расчет_аналитики'!D3473*IF('01_Вводные'!$B$239="Да",MeanMinAge02+'19_Расчет_аналитики'!D3595*SUMIF(ThresholdAge02,"&lt;"&amp;'19_Расчет_аналитики'!D3595,WeightedRevAge02)-SUMIF(ThresholdAge02,"&lt;"&amp;'19_Расчет_аналитики'!D3595,WeightedMinAge02),MAX(CapacityAge02*'01_Вводные'!$B$218*'19_Расчет_аналитики'!D3595,MeanMinAge02))),0)</f>
        <v/>
      </c>
      <c r="E3501">
        <f>IF('01_Вводные'!$B$234="Да",IF(OR('19_Расчет_аналитики'!E3473=0,2&lt;='01_Вводные'!$B$297),0,'19_Расчет_аналитики'!E3473*IF('01_Вводные'!$B$239="Да",MeanMinAge02+'19_Расчет_аналитики'!E3595*SUMIF(ThresholdAge02,"&lt;"&amp;'19_Расчет_аналитики'!E3595,WeightedRevAge02)-SUMIF(ThresholdAge02,"&lt;"&amp;'19_Расчет_аналитики'!E3595,WeightedMinAge02),MAX(CapacityAge02*'01_Вводные'!$B$218*'19_Расчет_аналитики'!E3595,MeanMinAge02))),0)</f>
        <v/>
      </c>
      <c r="F3501">
        <f>IF('01_Вводные'!$B$234="Да",IF(OR('19_Расчет_аналитики'!F3473=0,2&lt;='01_Вводные'!$B$297),0,'19_Расчет_аналитики'!F3473*IF('01_Вводные'!$B$239="Да",MeanMinAge02+'19_Расчет_аналитики'!F3595*SUMIF(ThresholdAge02,"&lt;"&amp;'19_Расчет_аналитики'!F3595,WeightedRevAge02)-SUMIF(ThresholdAge02,"&lt;"&amp;'19_Расчет_аналитики'!F3595,WeightedMinAge02),MAX(CapacityAge02*'01_Вводные'!$B$218*'19_Расчет_аналитики'!F3595,MeanMinAge02))),0)</f>
        <v/>
      </c>
      <c r="G3501">
        <f>IF('01_Вводные'!$B$234="Да",IF(OR('19_Расчет_аналитики'!G3473=0,2&lt;='01_Вводные'!$B$297),0,'19_Расчет_аналитики'!G3473*IF('01_Вводные'!$B$239="Да",MeanMinAge02+'19_Расчет_аналитики'!G3595*SUMIF(ThresholdAge02,"&lt;"&amp;'19_Расчет_аналитики'!G3595,WeightedRevAge02)-SUMIF(ThresholdAge02,"&lt;"&amp;'19_Расчет_аналитики'!G3595,WeightedMinAge02),MAX(CapacityAge02*'01_Вводные'!$B$218*'19_Расчет_аналитики'!G3595,MeanMinAge02))),0)</f>
        <v/>
      </c>
      <c r="H3501">
        <f>IF('01_Вводные'!$B$234="Да",IF(OR('19_Расчет_аналитики'!H3473=0,2&lt;='01_Вводные'!$B$297),0,'19_Расчет_аналитики'!H3473*IF('01_Вводные'!$B$239="Да",MeanMinAge02+'19_Расчет_аналитики'!H3595*SUMIF(ThresholdAge02,"&lt;"&amp;'19_Расчет_аналитики'!H3595,WeightedRevAge02)-SUMIF(ThresholdAge02,"&lt;"&amp;'19_Расчет_аналитики'!H3595,WeightedMinAge02),MAX(CapacityAge02*'01_Вводные'!$B$218*'19_Расчет_аналитики'!H3595,MeanMinAge02))),0)</f>
        <v/>
      </c>
      <c r="I3501">
        <f>IF('01_Вводные'!$B$234="Да",IF(OR('19_Расчет_аналитики'!I3473=0,2&lt;='01_Вводные'!$B$297),0,'19_Расчет_аналитики'!I3473*IF('01_Вводные'!$B$239="Да",MeanMinAge02+'19_Расчет_аналитики'!I3595*SUMIF(ThresholdAge02,"&lt;"&amp;'19_Расчет_аналитики'!I3595,WeightedRevAge02)-SUMIF(ThresholdAge02,"&lt;"&amp;'19_Расчет_аналитики'!I3595,WeightedMinAge02),MAX(CapacityAge02*'01_Вводные'!$B$218*'19_Расчет_аналитики'!I3595,MeanMinAge02))),0)</f>
        <v/>
      </c>
      <c r="J3501">
        <f>IF('01_Вводные'!$B$234="Да",IF(OR('19_Расчет_аналитики'!J3473=0,2&lt;='01_Вводные'!$B$297),0,'19_Расчет_аналитики'!J3473*IF('01_Вводные'!$B$239="Да",MeanMinAge02+'19_Расчет_аналитики'!J3595*SUMIF(ThresholdAge02,"&lt;"&amp;'19_Расчет_аналитики'!J3595,WeightedRevAge02)-SUMIF(ThresholdAge02,"&lt;"&amp;'19_Расчет_аналитики'!J3595,WeightedMinAge02),MAX(CapacityAge02*'01_Вводные'!$B$218*'19_Расчет_аналитики'!J3595,MeanMinAge02))),0)</f>
        <v/>
      </c>
      <c r="K3501">
        <f>IF('01_Вводные'!$B$234="Да",IF(OR('19_Расчет_аналитики'!K3473=0,2&lt;='01_Вводные'!$B$297),0,'19_Расчет_аналитики'!K3473*IF('01_Вводные'!$B$239="Да",MeanMinAge02+'19_Расчет_аналитики'!K3595*SUMIF(ThresholdAge02,"&lt;"&amp;'19_Расчет_аналитики'!K3595,WeightedRevAge02)-SUMIF(ThresholdAge02,"&lt;"&amp;'19_Расчет_аналитики'!K3595,WeightedMinAge02),MAX(CapacityAge02*'01_Вводные'!$B$218*'19_Расчет_аналитики'!K3595,MeanMinAge02))),0)</f>
        <v/>
      </c>
      <c r="L3501">
        <f>IF('01_Вводные'!$B$234="Да",IF(OR('19_Расчет_аналитики'!L3473=0,2&lt;='01_Вводные'!$B$297),0,'19_Расчет_аналитики'!L3473*IF('01_Вводные'!$B$239="Да",MeanMinAge02+'19_Расчет_аналитики'!L3595*SUMIF(ThresholdAge02,"&lt;"&amp;'19_Расчет_аналитики'!L3595,WeightedRevAge02)-SUMIF(ThresholdAge02,"&lt;"&amp;'19_Расчет_аналитики'!L3595,WeightedMinAge02),MAX(CapacityAge02*'01_Вводные'!$B$218*'19_Расчет_аналитики'!L3595,MeanMinAge02))),0)</f>
        <v/>
      </c>
      <c r="M3501">
        <f>IF('01_Вводные'!$B$234="Да",IF(OR('19_Расчет_аналитики'!M3473=0,2&lt;='01_Вводные'!$B$297),0,'19_Расчет_аналитики'!M3473*IF('01_Вводные'!$B$239="Да",MeanMinAge02+'19_Расчет_аналитики'!M3595*SUMIF(ThresholdAge02,"&lt;"&amp;'19_Расчет_аналитики'!M3595,WeightedRevAge02)-SUMIF(ThresholdAge02,"&lt;"&amp;'19_Расчет_аналитики'!M3595,WeightedMinAge02),MAX(CapacityAge02*'01_Вводные'!$B$218*'19_Расчет_аналитики'!M3595,MeanMinAge02))),0)</f>
        <v/>
      </c>
      <c r="N3501">
        <f>IF('01_Вводные'!$B$234="Да",IF(OR('19_Расчет_аналитики'!N3473=0,2&lt;='01_Вводные'!$B$297),0,'19_Расчет_аналитики'!N3473*IF('01_Вводные'!$B$239="Да",MeanMinAge02+'19_Расчет_аналитики'!N3595*SUMIF(ThresholdAge02,"&lt;"&amp;'19_Расчет_аналитики'!N3595,WeightedRevAge02)-SUMIF(ThresholdAge02,"&lt;"&amp;'19_Расчет_аналитики'!N3595,WeightedMinAge02),MAX(CapacityAge02*'01_Вводные'!$B$218*'19_Расчет_аналитики'!N3595,MeanMinAge02))),0)</f>
        <v/>
      </c>
      <c r="O3501">
        <f>IF('01_Вводные'!$B$234="Да",IF(OR('19_Расчет_аналитики'!O3473=0,2&lt;='01_Вводные'!$B$297),0,'19_Расчет_аналитики'!O3473*IF('01_Вводные'!$B$239="Да",MeanMinAge02+'19_Расчет_аналитики'!O3595*SUMIF(ThresholdAge02,"&lt;"&amp;'19_Расчет_аналитики'!O3595,WeightedRevAge02)-SUMIF(ThresholdAge02,"&lt;"&amp;'19_Расчет_аналитики'!O3595,WeightedMinAge02),MAX(CapacityAge02*'01_Вводные'!$B$218*'19_Расчет_аналитики'!O3595,MeanMinAge02))),0)</f>
        <v/>
      </c>
      <c r="P3501">
        <f>IF('01_Вводные'!$B$234="Да",IF(OR('19_Расчет_аналитики'!P3473=0,2&lt;='01_Вводные'!$B$297),0,'19_Расчет_аналитики'!P3473*IF('01_Вводные'!$B$239="Да",MeanMinAge02+'19_Расчет_аналитики'!P3595*SUMIF(ThresholdAge02,"&lt;"&amp;'19_Расчет_аналитики'!P3595,WeightedRevAge02)-SUMIF(ThresholdAge02,"&lt;"&amp;'19_Расчет_аналитики'!P3595,WeightedMinAge02),MAX(CapacityAge02*'01_Вводные'!$B$218*'19_Расчет_аналитики'!P3595,MeanMinAge02))),0)</f>
        <v/>
      </c>
      <c r="Q3501">
        <f>IF('01_Вводные'!$B$234="Да",IF(OR('19_Расчет_аналитики'!Q3473=0,2&lt;='01_Вводные'!$B$297),0,'19_Расчет_аналитики'!Q3473*IF('01_Вводные'!$B$239="Да",MeanMinAge02+'19_Расчет_аналитики'!Q3595*SUMIF(ThresholdAge02,"&lt;"&amp;'19_Расчет_аналитики'!Q3595,WeightedRevAge02)-SUMIF(ThresholdAge02,"&lt;"&amp;'19_Расчет_аналитики'!Q3595,WeightedMinAge02),MAX(CapacityAge02*'01_Вводные'!$B$218*'19_Расчет_аналитики'!Q3595,MeanMinAge02))),0)</f>
        <v/>
      </c>
      <c r="R3501">
        <f>IF('01_Вводные'!$B$234="Да",IF(OR('19_Расчет_аналитики'!R3473=0,2&lt;='01_Вводные'!$B$297),0,'19_Расчет_аналитики'!R3473*IF('01_Вводные'!$B$239="Да",MeanMinAge02+'19_Расчет_аналитики'!R3595*SUMIF(ThresholdAge02,"&lt;"&amp;'19_Расчет_аналитики'!R3595,WeightedRevAge02)-SUMIF(ThresholdAge02,"&lt;"&amp;'19_Расчет_аналитики'!R3595,WeightedMinAge02),MAX(CapacityAge02*'01_Вводные'!$B$218*'19_Расчет_аналитики'!R3595,MeanMinAge02))),0)</f>
        <v/>
      </c>
      <c r="S3501">
        <f>IF('01_Вводные'!$B$234="Да",IF(OR('19_Расчет_аналитики'!S3473=0,2&lt;='01_Вводные'!$B$297),0,'19_Расчет_аналитики'!S3473*IF('01_Вводные'!$B$239="Да",MeanMinAge02+'19_Расчет_аналитики'!S3595*SUMIF(ThresholdAge02,"&lt;"&amp;'19_Расчет_аналитики'!S3595,WeightedRevAge02)-SUMIF(ThresholdAge02,"&lt;"&amp;'19_Расчет_аналитики'!S3595,WeightedMinAge02),MAX(CapacityAge02*'01_Вводные'!$B$218*'19_Расчет_аналитики'!S3595,MeanMinAge02))),0)</f>
        <v/>
      </c>
      <c r="T3501">
        <f>IF('01_Вводные'!$B$234="Да",IF(OR('19_Расчет_аналитики'!T3473=0,2&lt;='01_Вводные'!$B$297),0,'19_Расчет_аналитики'!T3473*IF('01_Вводные'!$B$239="Да",MeanMinAge02+'19_Расчет_аналитики'!T3595*SUMIF(ThresholdAge02,"&lt;"&amp;'19_Расчет_аналитики'!T3595,WeightedRevAge02)-SUMIF(ThresholdAge02,"&lt;"&amp;'19_Расчет_аналитики'!T3595,WeightedMinAge02),MAX(CapacityAge02*'01_Вводные'!$B$218*'19_Расчет_аналитики'!T3595,MeanMinAge02))),0)</f>
        <v/>
      </c>
      <c r="U3501">
        <f>IF('01_Вводные'!$B$234="Да",IF(OR('19_Расчет_аналитики'!U3473=0,2&lt;='01_Вводные'!$B$297),0,'19_Расчет_аналитики'!U3473*IF('01_Вводные'!$B$239="Да",MeanMinAge02+'19_Расчет_аналитики'!U3595*SUMIF(ThresholdAge02,"&lt;"&amp;'19_Расчет_аналитики'!U3595,WeightedRevAge02)-SUMIF(ThresholdAge02,"&lt;"&amp;'19_Расчет_аналитики'!U3595,WeightedMinAge02),MAX(CapacityAge02*'01_Вводные'!$B$218*'19_Расчет_аналитики'!U3595,MeanMinAge02))),0)</f>
        <v/>
      </c>
      <c r="V3501">
        <f>IF('01_Вводные'!$B$234="Да",IF(OR('19_Расчет_аналитики'!V3473=0,2&lt;='01_Вводные'!$B$297),0,'19_Расчет_аналитики'!V3473*IF('01_Вводные'!$B$239="Да",MeanMinAge02+'19_Расчет_аналитики'!V3595*SUMIF(ThresholdAge02,"&lt;"&amp;'19_Расчет_аналитики'!V3595,WeightedRevAge02)-SUMIF(ThresholdAge02,"&lt;"&amp;'19_Расчет_аналитики'!V3595,WeightedMinAge02),MAX(CapacityAge02*'01_Вводные'!$B$218*'19_Расчет_аналитики'!V3595,MeanMinAge02))),0)</f>
        <v/>
      </c>
      <c r="W3501">
        <f>IF('01_Вводные'!$B$234="Да",IF(OR('19_Расчет_аналитики'!W3473=0,2&lt;='01_Вводные'!$B$297),0,'19_Расчет_аналитики'!W3473*IF('01_Вводные'!$B$239="Да",MeanMinAge02+'19_Расчет_аналитики'!W3595*SUMIF(ThresholdAge02,"&lt;"&amp;'19_Расчет_аналитики'!W3595,WeightedRevAge02)-SUMIF(ThresholdAge02,"&lt;"&amp;'19_Расчет_аналитики'!W3595,WeightedMinAge02),MAX(CapacityAge02*'01_Вводные'!$B$218*'19_Расчет_аналитики'!W3595,MeanMinAge02))),0)</f>
        <v/>
      </c>
      <c r="X3501">
        <f>IF('01_Вводные'!$B$234="Да",IF(OR('19_Расчет_аналитики'!X3473=0,2&lt;='01_Вводные'!$B$297),0,'19_Расчет_аналитики'!X3473*IF('01_Вводные'!$B$239="Да",MeanMinAge02+'19_Расчет_аналитики'!X3595*SUMIF(ThresholdAge02,"&lt;"&amp;'19_Расчет_аналитики'!X3595,WeightedRevAge02)-SUMIF(ThresholdAge02,"&lt;"&amp;'19_Расчет_аналитики'!X3595,WeightedMinAge02),MAX(CapacityAge02*'01_Вводные'!$B$218*'19_Расчет_аналитики'!X3595,MeanMinAge02))),0)</f>
        <v/>
      </c>
      <c r="Y3501">
        <f>IF('01_Вводные'!$B$234="Да",IF(OR('19_Расчет_аналитики'!Y3473=0,2&lt;='01_Вводные'!$B$297),0,'19_Расчет_аналитики'!Y3473*IF('01_Вводные'!$B$239="Да",MeanMinAge02+'19_Расчет_аналитики'!Y3595*SUMIF(ThresholdAge02,"&lt;"&amp;'19_Расчет_аналитики'!Y3595,WeightedRevAge02)-SUMIF(ThresholdAge02,"&lt;"&amp;'19_Расчет_аналитики'!Y3595,WeightedMinAge02),MAX(CapacityAge02*'01_Вводные'!$B$218*'19_Расчет_аналитики'!Y3595,MeanMinAge02))),0)</f>
        <v/>
      </c>
      <c r="Z3501">
        <f>IF('01_Вводные'!$B$234="Да",IF(OR('19_Расчет_аналитики'!Z3473=0,2&lt;='01_Вводные'!$B$297),0,'19_Расчет_аналитики'!Z3473*IF('01_Вводные'!$B$239="Да",MeanMinAge02+'19_Расчет_аналитики'!Z3595*SUMIF(ThresholdAge02,"&lt;"&amp;'19_Расчет_аналитики'!Z3595,WeightedRevAge02)-SUMIF(ThresholdAge02,"&lt;"&amp;'19_Расчет_аналитики'!Z3595,WeightedMinAge02),MAX(CapacityAge02*'01_Вводные'!$B$218*'19_Расчет_аналитики'!Z3595,MeanMinAge02))),0)</f>
        <v/>
      </c>
      <c r="AA3501">
        <f>IF('01_Вводные'!$B$234="Да",IF(OR('19_Расчет_аналитики'!AA3473=0,2&lt;='01_Вводные'!$B$297),0,'19_Расчет_аналитики'!AA3473*IF('01_Вводные'!$B$239="Да",MeanMinAge02+'19_Расчет_аналитики'!AA3595*SUMIF(ThresholdAge02,"&lt;"&amp;'19_Расчет_аналитики'!AA3595,WeightedRevAge02)-SUMIF(ThresholdAge02,"&lt;"&amp;'19_Расчет_аналитики'!AA3595,WeightedMinAge02),MAX(CapacityAge02*'01_Вводные'!$B$218*'19_Расчет_аналитики'!AA3595,MeanMinAge02))),0)</f>
        <v/>
      </c>
      <c r="AB3501">
        <f>IF('01_Вводные'!$B$234="Да",IF(OR('19_Расчет_аналитики'!AB3473=0,2&lt;='01_Вводные'!$B$297),0,'19_Расчет_аналитики'!AB3473*IF('01_Вводные'!$B$239="Да",MeanMinAge02+'19_Расчет_аналитики'!AB3595*SUMIF(ThresholdAge02,"&lt;"&amp;'19_Расчет_аналитики'!AB3595,WeightedRevAge02)-SUMIF(ThresholdAge02,"&lt;"&amp;'19_Расчет_аналитики'!AB3595,WeightedMinAge02),MAX(CapacityAge02*'01_Вводные'!$B$218*'19_Расчет_аналитики'!AB3595,MeanMinAge02))),0)</f>
        <v/>
      </c>
      <c r="AC3501">
        <f>IF('01_Вводные'!$B$234="Да",IF(OR('19_Расчет_аналитики'!AC3473=0,2&lt;='01_Вводные'!$B$297),0,'19_Расчет_аналитики'!AC3473*IF('01_Вводные'!$B$239="Да",MeanMinAge02+'19_Расчет_аналитики'!AC3595*SUMIF(ThresholdAge02,"&lt;"&amp;'19_Расчет_аналитики'!AC3595,WeightedRevAge02)-SUMIF(ThresholdAge02,"&lt;"&amp;'19_Расчет_аналитики'!AC3595,WeightedMinAge02),MAX(CapacityAge02*'01_Вводные'!$B$218*'19_Расчет_аналитики'!AC3595,MeanMinAge02))),0)</f>
        <v/>
      </c>
      <c r="AD3501">
        <f>IF('01_Вводные'!$B$234="Да",IF(OR('19_Расчет_аналитики'!AD3473=0,2&lt;='01_Вводные'!$B$297),0,'19_Расчет_аналитики'!AD3473*IF('01_Вводные'!$B$239="Да",MeanMinAge02+'19_Расчет_аналитики'!AD3595*SUMIF(ThresholdAge02,"&lt;"&amp;'19_Расчет_аналитики'!AD3595,WeightedRevAge02)-SUMIF(ThresholdAge02,"&lt;"&amp;'19_Расчет_аналитики'!AD3595,WeightedMinAge02),MAX(CapacityAge02*'01_Вводные'!$B$218*'19_Расчет_аналитики'!AD3595,MeanMinAge02))),0)</f>
        <v/>
      </c>
      <c r="AE3501">
        <f>IF('01_Вводные'!$B$234="Да",IF(OR('19_Расчет_аналитики'!AE3473=0,2&lt;='01_Вводные'!$B$297),0,'19_Расчет_аналитики'!AE3473*IF('01_Вводные'!$B$239="Да",MeanMinAge02+'19_Расчет_аналитики'!AE3595*SUMIF(ThresholdAge02,"&lt;"&amp;'19_Расчет_аналитики'!AE3595,WeightedRevAge02)-SUMIF(ThresholdAge02,"&lt;"&amp;'19_Расчет_аналитики'!AE3595,WeightedMinAge02),MAX(CapacityAge02*'01_Вводные'!$B$218*'19_Расчет_аналитики'!AE3595,MeanMinAge02))),0)</f>
        <v/>
      </c>
      <c r="AF3501">
        <f>IF('01_Вводные'!$B$234="Да",IF(OR('19_Расчет_аналитики'!AF3473=0,2&lt;='01_Вводные'!$B$297),0,'19_Расчет_аналитики'!AF3473*IF('01_Вводные'!$B$239="Да",MeanMinAge02+'19_Расчет_аналитики'!AF3595*SUMIF(ThresholdAge02,"&lt;"&amp;'19_Расчет_аналитики'!AF3595,WeightedRevAge02)-SUMIF(ThresholdAge02,"&lt;"&amp;'19_Расчет_аналитики'!AF3595,WeightedMinAge02),MAX(CapacityAge02*'01_Вводные'!$B$218*'19_Расчет_аналитики'!AF3595,MeanMinAge02))),0)</f>
        <v/>
      </c>
      <c r="AG3501">
        <f>IF('01_Вводные'!$B$234="Да",IF(OR('19_Расчет_аналитики'!AG3473=0,2&lt;='01_Вводные'!$B$297),0,'19_Расчет_аналитики'!AG3473*IF('01_Вводные'!$B$239="Да",MeanMinAge02+'19_Расчет_аналитики'!AG3595*SUMIF(ThresholdAge02,"&lt;"&amp;'19_Расчет_аналитики'!AG3595,WeightedRevAge02)-SUMIF(ThresholdAge02,"&lt;"&amp;'19_Расчет_аналитики'!AG3595,WeightedMinAge02),MAX(CapacityAge02*'01_Вводные'!$B$218*'19_Расчет_аналитики'!AG3595,MeanMinAge02))),0)</f>
        <v/>
      </c>
      <c r="AH3501">
        <f>IF('01_Вводные'!$B$234="Да",IF(OR('19_Расчет_аналитики'!AH3473=0,2&lt;='01_Вводные'!$B$297),0,'19_Расчет_аналитики'!AH3473*IF('01_Вводные'!$B$239="Да",MeanMinAge02+'19_Расчет_аналитики'!AH3595*SUMIF(ThresholdAge02,"&lt;"&amp;'19_Расчет_аналитики'!AH3595,WeightedRevAge02)-SUMIF(ThresholdAge02,"&lt;"&amp;'19_Расчет_аналитики'!AH3595,WeightedMinAge02),MAX(CapacityAge02*'01_Вводные'!$B$218*'19_Расчет_аналитики'!AH3595,MeanMinAge02))),0)</f>
        <v/>
      </c>
      <c r="AI3501">
        <f>IF('01_Вводные'!$B$234="Да",IF(OR('19_Расчет_аналитики'!AI3473=0,2&lt;='01_Вводные'!$B$297),0,'19_Расчет_аналитики'!AI3473*IF('01_Вводные'!$B$239="Да",MeanMinAge02+'19_Расчет_аналитики'!AI3595*SUMIF(ThresholdAge02,"&lt;"&amp;'19_Расчет_аналитики'!AI3595,WeightedRevAge02)-SUMIF(ThresholdAge02,"&lt;"&amp;'19_Расчет_аналитики'!AI3595,WeightedMinAge02),MAX(CapacityAge02*'01_Вводные'!$B$218*'19_Расчет_аналитики'!AI3595,MeanMinAge02))),0)</f>
        <v/>
      </c>
      <c r="AJ3501">
        <f>IF('01_Вводные'!$B$234="Да",IF(OR('19_Расчет_аналитики'!AJ3473=0,2&lt;='01_Вводные'!$B$297),0,'19_Расчет_аналитики'!AJ3473*IF('01_Вводные'!$B$239="Да",MeanMinAge02+'19_Расчет_аналитики'!AJ3595*SUMIF(ThresholdAge02,"&lt;"&amp;'19_Расчет_аналитики'!AJ3595,WeightedRevAge02)-SUMIF(ThresholdAge02,"&lt;"&amp;'19_Расчет_аналитики'!AJ3595,WeightedMinAge02),MAX(CapacityAge02*'01_Вводные'!$B$218*'19_Расчет_аналитики'!AJ3595,MeanMinAge02))),0)</f>
        <v/>
      </c>
      <c r="AK3501">
        <f>IF('01_Вводные'!$B$234="Да",IF(OR('19_Расчет_аналитики'!AK3473=0,2&lt;='01_Вводные'!$B$297),0,'19_Расчет_аналитики'!AK3473*IF('01_Вводные'!$B$239="Да",MeanMinAge02+'19_Расчет_аналитики'!AK3595*SUMIF(ThresholdAge02,"&lt;"&amp;'19_Расчет_аналитики'!AK3595,WeightedRevAge02)-SUMIF(ThresholdAge02,"&lt;"&amp;'19_Расчет_аналитики'!AK3595,WeightedMinAge02),MAX(CapacityAge02*'01_Вводные'!$B$218*'19_Расчет_аналитики'!AK3595,MeanMinAge02))),0)</f>
        <v/>
      </c>
      <c r="AL3501">
        <f>IF('01_Вводные'!$B$234="Да",IF(OR('19_Расчет_аналитики'!AL3473=0,2&lt;='01_Вводные'!$B$297),0,'19_Расчет_аналитики'!AL3473*IF('01_Вводные'!$B$239="Да",MeanMinAge02+'19_Расчет_аналитики'!AL3595*SUMIF(ThresholdAge02,"&lt;"&amp;'19_Расчет_аналитики'!AL3595,WeightedRevAge02)-SUMIF(ThresholdAge02,"&lt;"&amp;'19_Расчет_аналитики'!AL3595,WeightedMinAge02),MAX(CapacityAge02*'01_Вводные'!$B$218*'19_Расчет_аналитики'!AL3595,MeanMinAge02))),0)</f>
        <v/>
      </c>
      <c r="AM3501">
        <f>IF('01_Вводные'!$B$234="Да",IF(OR('19_Расчет_аналитики'!AM3473=0,2&lt;='01_Вводные'!$B$297),0,'19_Расчет_аналитики'!AM3473*IF('01_Вводные'!$B$239="Да",MeanMinAge02+'19_Расчет_аналитики'!AM3595*SUMIF(ThresholdAge02,"&lt;"&amp;'19_Расчет_аналитики'!AM3595,WeightedRevAge02)-SUMIF(ThresholdAge02,"&lt;"&amp;'19_Расчет_аналитики'!AM3595,WeightedMinAge02),MAX(CapacityAge02*'01_Вводные'!$B$218*'19_Расчет_аналитики'!AM3595,MeanMinAge02))),0)</f>
        <v/>
      </c>
      <c r="AN3501">
        <f>IF('01_Вводные'!$B$234="Да",IF(OR('19_Расчет_аналитики'!AN3473=0,2&lt;='01_Вводные'!$B$297),0,'19_Расчет_аналитики'!AN3473*IF('01_Вводные'!$B$239="Да",MeanMinAge02+'19_Расчет_аналитики'!AN3595*SUMIF(ThresholdAge02,"&lt;"&amp;'19_Расчет_аналитики'!AN3595,WeightedRevAge02)-SUMIF(ThresholdAge02,"&lt;"&amp;'19_Расчет_аналитики'!AN3595,WeightedMinAge02),MAX(CapacityAge02*'01_Вводные'!$B$218*'19_Расчет_аналитики'!AN3595,MeanMinAge02))),0)</f>
        <v/>
      </c>
      <c r="AO3501">
        <f>IF('01_Вводные'!$B$234="Да",IF(OR('19_Расчет_аналитики'!AO3473=0,2&lt;='01_Вводные'!$B$297),0,'19_Расчет_аналитики'!AO3473*IF('01_Вводные'!$B$239="Да",MeanMinAge02+'19_Расчет_аналитики'!AO3595*SUMIF(ThresholdAge02,"&lt;"&amp;'19_Расчет_аналитики'!AO3595,WeightedRevAge02)-SUMIF(ThresholdAge02,"&lt;"&amp;'19_Расчет_аналитики'!AO3595,WeightedMinAge02),MAX(CapacityAge02*'01_Вводные'!$B$218*'19_Расчет_аналитики'!AO3595,MeanMinAge02))),0)</f>
        <v/>
      </c>
      <c r="AP3501">
        <f>IF('01_Вводные'!$B$234="Да",IF(OR('19_Расчет_аналитики'!AP3473=0,2&lt;='01_Вводные'!$B$297),0,'19_Расчет_аналитики'!AP3473*IF('01_Вводные'!$B$239="Да",MeanMinAge02+'19_Расчет_аналитики'!AP3595*SUMIF(ThresholdAge02,"&lt;"&amp;'19_Расчет_аналитики'!AP3595,WeightedRevAge02)-SUMIF(ThresholdAge02,"&lt;"&amp;'19_Расчет_аналитики'!AP3595,WeightedMinAge02),MAX(CapacityAge02*'01_Вводные'!$B$218*'19_Расчет_аналитики'!AP3595,MeanMinAge02))),0)</f>
        <v/>
      </c>
      <c r="AQ3501">
        <f>IF('01_Вводные'!$B$234="Да",IF(OR('19_Расчет_аналитики'!AQ3473=0,2&lt;='01_Вводные'!$B$297),0,'19_Расчет_аналитики'!AQ3473*IF('01_Вводные'!$B$239="Да",MeanMinAge02+'19_Расчет_аналитики'!AQ3595*SUMIF(ThresholdAge02,"&lt;"&amp;'19_Расчет_аналитики'!AQ3595,WeightedRevAge02)-SUMIF(ThresholdAge02,"&lt;"&amp;'19_Расчет_аналитики'!AQ3595,WeightedMinAge02),MAX(CapacityAge02*'01_Вводные'!$B$218*'19_Расчет_аналитики'!AQ3595,MeanMinAge02))),0)</f>
        <v/>
      </c>
      <c r="AR3501">
        <f>IF('01_Вводные'!$B$234="Да",IF(OR('19_Расчет_аналитики'!AR3473=0,2&lt;='01_Вводные'!$B$297),0,'19_Расчет_аналитики'!AR3473*IF('01_Вводные'!$B$239="Да",MeanMinAge02+'19_Расчет_аналитики'!AR3595*SUMIF(ThresholdAge02,"&lt;"&amp;'19_Расчет_аналитики'!AR3595,WeightedRevAge02)-SUMIF(ThresholdAge02,"&lt;"&amp;'19_Расчет_аналитики'!AR3595,WeightedMinAge02),MAX(CapacityAge02*'01_Вводные'!$B$218*'19_Расчет_аналитики'!AR3595,MeanMinAge02))),0)</f>
        <v/>
      </c>
      <c r="AS3501">
        <f>IF('01_Вводные'!$B$234="Да",IF(OR('19_Расчет_аналитики'!AS3473=0,2&lt;='01_Вводные'!$B$297),0,'19_Расчет_аналитики'!AS3473*IF('01_Вводные'!$B$239="Да",MeanMinAge02+'19_Расчет_аналитики'!AS3595*SUMIF(ThresholdAge02,"&lt;"&amp;'19_Расчет_аналитики'!AS3595,WeightedRevAge02)-SUMIF(ThresholdAge02,"&lt;"&amp;'19_Расчет_аналитики'!AS3595,WeightedMinAge02),MAX(CapacityAge02*'01_Вводные'!$B$218*'19_Расчет_аналитики'!AS3595,MeanMinAge02))),0)</f>
        <v/>
      </c>
      <c r="AT3501">
        <f>IF('01_Вводные'!$B$234="Да",IF(OR('19_Расчет_аналитики'!AT3473=0,2&lt;='01_Вводные'!$B$297),0,'19_Расчет_аналитики'!AT3473*IF('01_Вводные'!$B$239="Да",MeanMinAge02+'19_Расчет_аналитики'!AT3595*SUMIF(ThresholdAge02,"&lt;"&amp;'19_Расчет_аналитики'!AT3595,WeightedRevAge02)-SUMIF(ThresholdAge02,"&lt;"&amp;'19_Расчет_аналитики'!AT3595,WeightedMinAge02),MAX(CapacityAge02*'01_Вводные'!$B$218*'19_Расчет_аналитики'!AT3595,MeanMinAge02))),0)</f>
        <v/>
      </c>
      <c r="AU3501">
        <f>IF('01_Вводные'!$B$234="Да",IF(OR('19_Расчет_аналитики'!AU3473=0,2&lt;='01_Вводные'!$B$297),0,'19_Расчет_аналитики'!AU3473*IF('01_Вводные'!$B$239="Да",MeanMinAge02+'19_Расчет_аналитики'!AU3595*SUMIF(ThresholdAge02,"&lt;"&amp;'19_Расчет_аналитики'!AU3595,WeightedRevAge02)-SUMIF(ThresholdAge02,"&lt;"&amp;'19_Расчет_аналитики'!AU3595,WeightedMinAge02),MAX(CapacityAge02*'01_Вводные'!$B$218*'19_Расчет_аналитики'!AU3595,MeanMinAge02))),0)</f>
        <v/>
      </c>
      <c r="AV3501">
        <f>IF('01_Вводные'!$B$234="Да",IF(OR('19_Расчет_аналитики'!AV3473=0,2&lt;='01_Вводные'!$B$297),0,'19_Расчет_аналитики'!AV3473*IF('01_Вводные'!$B$239="Да",MeanMinAge02+'19_Расчет_аналитики'!AV3595*SUMIF(ThresholdAge02,"&lt;"&amp;'19_Расчет_аналитики'!AV3595,WeightedRevAge02)-SUMIF(ThresholdAge02,"&lt;"&amp;'19_Расчет_аналитики'!AV3595,WeightedMinAge02),MAX(CapacityAge02*'01_Вводные'!$B$218*'19_Расчет_аналитики'!AV3595,MeanMinAge02))),0)</f>
        <v/>
      </c>
      <c r="AW3501">
        <f>IF('01_Вводные'!$B$234="Да",IF(OR('19_Расчет_аналитики'!AW3473=0,2&lt;='01_Вводные'!$B$297),0,'19_Расчет_аналитики'!AW3473*IF('01_Вводные'!$B$239="Да",MeanMinAge02+'19_Расчет_аналитики'!AW3595*SUMIF(ThresholdAge02,"&lt;"&amp;'19_Расчет_аналитики'!AW3595,WeightedRevAge02)-SUMIF(ThresholdAge02,"&lt;"&amp;'19_Расчет_аналитики'!AW3595,WeightedMinAge02),MAX(CapacityAge02*'01_Вводные'!$B$218*'19_Расчет_аналитики'!AW3595,MeanMinAge02))),0)</f>
        <v/>
      </c>
      <c r="AX3501">
        <f>IF('01_Вводные'!$B$234="Да",IF(OR('19_Расчет_аналитики'!AX3473=0,2&lt;='01_Вводные'!$B$297),0,'19_Расчет_аналитики'!AX3473*IF('01_Вводные'!$B$239="Да",MeanMinAge02+'19_Расчет_аналитики'!AX3595*SUMIF(ThresholdAge02,"&lt;"&amp;'19_Расчет_аналитики'!AX3595,WeightedRevAge02)-SUMIF(ThresholdAge02,"&lt;"&amp;'19_Расчет_аналитики'!AX3595,WeightedMinAge02),MAX(CapacityAge02*'01_Вводные'!$B$218*'19_Расчет_аналитики'!AX3595,MeanMinAge02))),0)</f>
        <v/>
      </c>
      <c r="AY3501">
        <f>IF('01_Вводные'!$B$234="Да",IF(OR('19_Расчет_аналитики'!AY3473=0,2&lt;='01_Вводные'!$B$297),0,'19_Расчет_аналитики'!AY3473*IF('01_Вводные'!$B$239="Да",MeanMinAge02+'19_Расчет_аналитики'!AY3595*SUMIF(ThresholdAge02,"&lt;"&amp;'19_Расчет_аналитики'!AY3595,WeightedRevAge02)-SUMIF(ThresholdAge02,"&lt;"&amp;'19_Расчет_аналитики'!AY3595,WeightedMinAge02),MAX(CapacityAge02*'01_Вводные'!$B$218*'19_Расчет_аналитики'!AY3595,MeanMinAge02))),0)</f>
        <v/>
      </c>
      <c r="AZ3501">
        <f>IF('01_Вводные'!$B$234="Да",IF(OR('19_Расчет_аналитики'!AZ3473=0,2&lt;='01_Вводные'!$B$297),0,'19_Расчет_аналитики'!AZ3473*IF('01_Вводные'!$B$239="Да",MeanMinAge02+'19_Расчет_аналитики'!AZ3595*SUMIF(ThresholdAge02,"&lt;"&amp;'19_Расчет_аналитики'!AZ3595,WeightedRevAge02)-SUMIF(ThresholdAge02,"&lt;"&amp;'19_Расчет_аналитики'!AZ3595,WeightedMinAge02),MAX(CapacityAge02*'01_Вводные'!$B$218*'19_Расчет_аналитики'!AZ3595,MeanMinAge02))),0)</f>
        <v/>
      </c>
      <c r="BA3501">
        <f>IF('01_Вводные'!$B$234="Да",IF(OR('19_Расчет_аналитики'!BA3473=0,2&lt;='01_Вводные'!$B$297),0,'19_Расчет_аналитики'!BA3473*IF('01_Вводные'!$B$239="Да",MeanMinAge02+'19_Расчет_аналитики'!BA3595*SUMIF(ThresholdAge02,"&lt;"&amp;'19_Расчет_аналитики'!BA3595,WeightedRevAge02)-SUMIF(ThresholdAge02,"&lt;"&amp;'19_Расчет_аналитики'!BA3595,WeightedMinAge02),MAX(CapacityAge02*'01_Вводные'!$B$218*'19_Расчет_аналитики'!BA3595,MeanMinAge02))),0)</f>
        <v/>
      </c>
      <c r="BB3501">
        <f>IF('01_Вводные'!$B$234="Да",IF(OR('19_Расчет_аналитики'!BB3473=0,2&lt;='01_Вводные'!$B$297),0,'19_Расчет_аналитики'!BB3473*IF('01_Вводные'!$B$239="Да",MeanMinAge02+'19_Расчет_аналитики'!BB3595*SUMIF(ThresholdAge02,"&lt;"&amp;'19_Расчет_аналитики'!BB3595,WeightedRevAge02)-SUMIF(ThresholdAge02,"&lt;"&amp;'19_Расчет_аналитики'!BB3595,WeightedMinAge02),MAX(CapacityAge02*'01_Вводные'!$B$218*'19_Расчет_аналитики'!BB3595,MeanMinAge02))),0)</f>
        <v/>
      </c>
      <c r="BC3501">
        <f>IF('01_Вводные'!$B$234="Да",IF(OR('19_Расчет_аналитики'!BC3473=0,2&lt;='01_Вводные'!$B$297),0,'19_Расчет_аналитики'!BC3473*IF('01_Вводные'!$B$239="Да",MeanMinAge02+'19_Расчет_аналитики'!BC3595*SUMIF(ThresholdAge02,"&lt;"&amp;'19_Расчет_аналитики'!BC3595,WeightedRevAge02)-SUMIF(ThresholdAge02,"&lt;"&amp;'19_Расчет_аналитики'!BC3595,WeightedMinAge02),MAX(CapacityAge02*'01_Вводные'!$B$218*'19_Расчет_аналитики'!BC3595,MeanMinAge02))),0)</f>
        <v/>
      </c>
      <c r="BD3501">
        <f>IF('01_Вводные'!$B$234="Да",IF(OR('19_Расчет_аналитики'!BD3473=0,2&lt;='01_Вводные'!$B$297),0,'19_Расчет_аналитики'!BD3473*IF('01_Вводные'!$B$239="Да",MeanMinAge02+'19_Расчет_аналитики'!BD3595*SUMIF(ThresholdAge02,"&lt;"&amp;'19_Расчет_аналитики'!BD3595,WeightedRevAge02)-SUMIF(ThresholdAge02,"&lt;"&amp;'19_Расчет_аналитики'!BD3595,WeightedMinAge02),MAX(CapacityAge02*'01_Вводные'!$B$218*'19_Расчет_аналитики'!BD3595,MeanMinAge02))),0)</f>
        <v/>
      </c>
      <c r="BE3501">
        <f>IF('01_Вводные'!$B$234="Да",IF(OR('19_Расчет_аналитики'!BE3473=0,2&lt;='01_Вводные'!$B$297),0,'19_Расчет_аналитики'!BE3473*IF('01_Вводные'!$B$239="Да",MeanMinAge02+'19_Расчет_аналитики'!BE3595*SUMIF(ThresholdAge02,"&lt;"&amp;'19_Расчет_аналитики'!BE3595,WeightedRevAge02)-SUMIF(ThresholdAge02,"&lt;"&amp;'19_Расчет_аналитики'!BE3595,WeightedMinAge02),MAX(CapacityAge02*'01_Вводные'!$B$218*'19_Расчет_аналитики'!BE3595,MeanMinAge02))),0)</f>
        <v/>
      </c>
      <c r="BF3501">
        <f>IF('01_Вводные'!$B$234="Да",IF(OR('19_Расчет_аналитики'!BF3473=0,2&lt;='01_Вводные'!$B$297),0,'19_Расчет_аналитики'!BF3473*IF('01_Вводные'!$B$239="Да",MeanMinAge02+'19_Расчет_аналитики'!BF3595*SUMIF(ThresholdAge02,"&lt;"&amp;'19_Расчет_аналитики'!BF3595,WeightedRevAge02)-SUMIF(ThresholdAge02,"&lt;"&amp;'19_Расчет_аналитики'!BF3595,WeightedMinAge02),MAX(CapacityAge02*'01_Вводные'!$B$218*'19_Расчет_аналитики'!BF3595,MeanMinAge02))),0)</f>
        <v/>
      </c>
      <c r="BG3501">
        <f>IF('01_Вводные'!$B$234="Да",IF(OR('19_Расчет_аналитики'!BG3473=0,2&lt;='01_Вводные'!$B$297),0,'19_Расчет_аналитики'!BG3473*IF('01_Вводные'!$B$239="Да",MeanMinAge02+'19_Расчет_аналитики'!BG3595*SUMIF(ThresholdAge02,"&lt;"&amp;'19_Расчет_аналитики'!BG3595,WeightedRevAge02)-SUMIF(ThresholdAge02,"&lt;"&amp;'19_Расчет_аналитики'!BG3595,WeightedMinAge02),MAX(CapacityAge02*'01_Вводные'!$B$218*'19_Расчет_аналитики'!BG3595,MeanMinAge02))),0)</f>
        <v/>
      </c>
      <c r="BH3501">
        <f>IF('01_Вводные'!$B$234="Да",IF(OR('19_Расчет_аналитики'!BH3473=0,2&lt;='01_Вводные'!$B$297),0,'19_Расчет_аналитики'!BH3473*IF('01_Вводные'!$B$239="Да",MeanMinAge02+'19_Расчет_аналитики'!BH3595*SUMIF(ThresholdAge02,"&lt;"&amp;'19_Расчет_аналитики'!BH3595,WeightedRevAge02)-SUMIF(ThresholdAge02,"&lt;"&amp;'19_Расчет_аналитики'!BH3595,WeightedMinAge02),MAX(CapacityAge02*'01_Вводные'!$B$218*'19_Расчет_аналитики'!BH3595,MeanMinAge02))),0)</f>
        <v/>
      </c>
      <c r="BI3501">
        <f>IF('01_Вводные'!$B$234="Да",IF(OR('19_Расчет_аналитики'!BI3473=0,2&lt;='01_Вводные'!$B$297),0,'19_Расчет_аналитики'!BI3473*IF('01_Вводные'!$B$239="Да",MeanMinAge02+'19_Расчет_аналитики'!BI3595*SUMIF(ThresholdAge02,"&lt;"&amp;'19_Расчет_аналитики'!BI3595,WeightedRevAge02)-SUMIF(ThresholdAge02,"&lt;"&amp;'19_Расчет_аналитики'!BI3595,WeightedMinAge02),MAX(CapacityAge02*'01_Вводные'!$B$218*'19_Расчет_аналитики'!BI3595,MeanMinAge02))),0)</f>
        <v/>
      </c>
      <c r="BJ3501">
        <f>IF('01_Вводные'!$B$234="Да",IF(OR('19_Расчет_аналитики'!BJ3473=0,2&lt;='01_Вводные'!$B$297),0,'19_Расчет_аналитики'!BJ3473*IF('01_Вводные'!$B$239="Да",MeanMinAge02+'19_Расчет_аналитики'!BJ3595*SUMIF(ThresholdAge02,"&lt;"&amp;'19_Расчет_аналитики'!BJ3595,WeightedRevAge02)-SUMIF(ThresholdAge02,"&lt;"&amp;'19_Расчет_аналитики'!BJ3595,WeightedMinAge02),MAX(CapacityAge02*'01_Вводные'!$B$218*'19_Расчет_аналитики'!BJ3595,MeanMinAge02))),0)</f>
        <v/>
      </c>
      <c r="BK3501">
        <f>IF('01_Вводные'!$B$234="Да",IF(OR('19_Расчет_аналитики'!BK3473=0,2&lt;='01_Вводные'!$B$297),0,'19_Расчет_аналитики'!BK3473*IF('01_Вводные'!$B$239="Да",MeanMinAge02+'19_Расчет_аналитики'!BK3595*SUMIF(ThresholdAge02,"&lt;"&amp;'19_Расчет_аналитики'!BK3595,WeightedRevAge02)-SUMIF(ThresholdAge02,"&lt;"&amp;'19_Расчет_аналитики'!BK3595,WeightedMinAge02),MAX(CapacityAge02*'01_Вводные'!$B$218*'19_Расчет_аналитики'!BK3595,MeanMinAge02))),0)</f>
        <v/>
      </c>
      <c r="BL3501">
        <f>IF('01_Вводные'!$B$234="Да",IF(OR('19_Расчет_аналитики'!BL3473=0,2&lt;='01_Вводные'!$B$297),0,'19_Расчет_аналитики'!BL3473*IF('01_Вводные'!$B$239="Да",MeanMinAge02+'19_Расчет_аналитики'!BL3595*SUMIF(ThresholdAge02,"&lt;"&amp;'19_Расчет_аналитики'!BL3595,WeightedRevAge02)-SUMIF(ThresholdAge02,"&lt;"&amp;'19_Расчет_аналитики'!BL3595,WeightedMinAge02),MAX(CapacityAge02*'01_Вводные'!$B$218*'19_Расчет_аналитики'!BL3595,MeanMinAge02))),0)</f>
        <v/>
      </c>
      <c r="BM3501">
        <f>IF('01_Вводные'!$B$234="Да",IF(OR('19_Расчет_аналитики'!BM3473=0,2&lt;='01_Вводные'!$B$297),0,'19_Расчет_аналитики'!BM3473*IF('01_Вводные'!$B$239="Да",MeanMinAge02+'19_Расчет_аналитики'!BM3595*SUMIF(ThresholdAge02,"&lt;"&amp;'19_Расчет_аналитики'!BM3595,WeightedRevAge02)-SUMIF(ThresholdAge02,"&lt;"&amp;'19_Расчет_аналитики'!BM3595,WeightedMinAge02),MAX(CapacityAge02*'01_Вводные'!$B$218*'19_Расчет_аналитики'!BM3595,MeanMinAge02))),0)</f>
        <v/>
      </c>
      <c r="BN3501">
        <f>IF('01_Вводные'!$B$234="Да",IF(OR('19_Расчет_аналитики'!BN3473=0,2&lt;='01_Вводные'!$B$297),0,'19_Расчет_аналитики'!BN3473*IF('01_Вводные'!$B$239="Да",MeanMinAge02+'19_Расчет_аналитики'!BN3595*SUMIF(ThresholdAge02,"&lt;"&amp;'19_Расчет_аналитики'!BN3595,WeightedRevAge02)-SUMIF(ThresholdAge02,"&lt;"&amp;'19_Расчет_аналитики'!BN3595,WeightedMinAge02),MAX(CapacityAge02*'01_Вводные'!$B$218*'19_Расчет_аналитики'!BN3595,MeanMinAge02))),0)</f>
        <v/>
      </c>
      <c r="BO3501">
        <f>IF('01_Вводные'!$B$234="Да",IF(OR('19_Расчет_аналитики'!BO3473=0,2&lt;='01_Вводные'!$B$297),0,'19_Расчет_аналитики'!BO3473*IF('01_Вводные'!$B$239="Да",MeanMinAge02+'19_Расчет_аналитики'!BO3595*SUMIF(ThresholdAge02,"&lt;"&amp;'19_Расчет_аналитики'!BO3595,WeightedRevAge02)-SUMIF(ThresholdAge02,"&lt;"&amp;'19_Расчет_аналитики'!BO3595,WeightedMinAge02),MAX(CapacityAge02*'01_Вводные'!$B$218*'19_Расчет_аналитики'!BO3595,MeanMinAge02))),0)</f>
        <v/>
      </c>
    </row>
    <row r="3502">
      <c r="B3502">
        <f>IF('01_Вводные'!$B$234="Да",IF(OR('06_Сеть_и_дети'!B83=0,3&lt;='01_Вводные'!$B$297),0,'06_Сеть_и_дети'!B83*IF('01_Вводные'!$B$239="Да",MeanMinAge03+'19_Расчет_аналитики'!B3595*SUMIF(ThresholdAge03,"&lt;"&amp;'19_Расчет_аналитики'!B3595,WeightedRevAge03)-SUMIF(ThresholdAge03,"&lt;"&amp;'19_Расчет_аналитики'!B3595,WeightedMinAge03),MAX(CapacityAge03*'01_Вводные'!$B$218*'19_Расчет_аналитики'!B3595,MeanMinAge03))),0)</f>
        <v/>
      </c>
      <c r="C3502">
        <f>IF('01_Вводные'!$B$234="Да",IF(OR('06_Сеть_и_дети'!C83=0,3&lt;='01_Вводные'!$B$297),0,'06_Сеть_и_дети'!C83*IF('01_Вводные'!$B$239="Да",MeanMinAge03+'19_Расчет_аналитики'!C3595*SUMIF(ThresholdAge03,"&lt;"&amp;'19_Расчет_аналитики'!C3595,WeightedRevAge03)-SUMIF(ThresholdAge03,"&lt;"&amp;'19_Расчет_аналитики'!C3595,WeightedMinAge03),MAX(CapacityAge03*'01_Вводные'!$B$218*'19_Расчет_аналитики'!C3595,MeanMinAge03))),0)</f>
        <v/>
      </c>
      <c r="D3502">
        <f>IF('01_Вводные'!$B$234="Да",IF(OR('19_Расчет_аналитики'!D3474=0,3&lt;='01_Вводные'!$B$297),0,'19_Расчет_аналитики'!D3474*IF('01_Вводные'!$B$239="Да",MeanMinAge03+'19_Расчет_аналитики'!D3595*SUMIF(ThresholdAge03,"&lt;"&amp;'19_Расчет_аналитики'!D3595,WeightedRevAge03)-SUMIF(ThresholdAge03,"&lt;"&amp;'19_Расчет_аналитики'!D3595,WeightedMinAge03),MAX(CapacityAge03*'01_Вводные'!$B$218*'19_Расчет_аналитики'!D3595,MeanMinAge03))),0)</f>
        <v/>
      </c>
      <c r="E3502">
        <f>IF('01_Вводные'!$B$234="Да",IF(OR('19_Расчет_аналитики'!E3474=0,3&lt;='01_Вводные'!$B$297),0,'19_Расчет_аналитики'!E3474*IF('01_Вводные'!$B$239="Да",MeanMinAge03+'19_Расчет_аналитики'!E3595*SUMIF(ThresholdAge03,"&lt;"&amp;'19_Расчет_аналитики'!E3595,WeightedRevAge03)-SUMIF(ThresholdAge03,"&lt;"&amp;'19_Расчет_аналитики'!E3595,WeightedMinAge03),MAX(CapacityAge03*'01_Вводные'!$B$218*'19_Расчет_аналитики'!E3595,MeanMinAge03))),0)</f>
        <v/>
      </c>
      <c r="F3502">
        <f>IF('01_Вводные'!$B$234="Да",IF(OR('19_Расчет_аналитики'!F3474=0,3&lt;='01_Вводные'!$B$297),0,'19_Расчет_аналитики'!F3474*IF('01_Вводные'!$B$239="Да",MeanMinAge03+'19_Расчет_аналитики'!F3595*SUMIF(ThresholdAge03,"&lt;"&amp;'19_Расчет_аналитики'!F3595,WeightedRevAge03)-SUMIF(ThresholdAge03,"&lt;"&amp;'19_Расчет_аналитики'!F3595,WeightedMinAge03),MAX(CapacityAge03*'01_Вводные'!$B$218*'19_Расчет_аналитики'!F3595,MeanMinAge03))),0)</f>
        <v/>
      </c>
      <c r="G3502">
        <f>IF('01_Вводные'!$B$234="Да",IF(OR('19_Расчет_аналитики'!G3474=0,3&lt;='01_Вводные'!$B$297),0,'19_Расчет_аналитики'!G3474*IF('01_Вводные'!$B$239="Да",MeanMinAge03+'19_Расчет_аналитики'!G3595*SUMIF(ThresholdAge03,"&lt;"&amp;'19_Расчет_аналитики'!G3595,WeightedRevAge03)-SUMIF(ThresholdAge03,"&lt;"&amp;'19_Расчет_аналитики'!G3595,WeightedMinAge03),MAX(CapacityAge03*'01_Вводные'!$B$218*'19_Расчет_аналитики'!G3595,MeanMinAge03))),0)</f>
        <v/>
      </c>
      <c r="H3502">
        <f>IF('01_Вводные'!$B$234="Да",IF(OR('19_Расчет_аналитики'!H3474=0,3&lt;='01_Вводные'!$B$297),0,'19_Расчет_аналитики'!H3474*IF('01_Вводные'!$B$239="Да",MeanMinAge03+'19_Расчет_аналитики'!H3595*SUMIF(ThresholdAge03,"&lt;"&amp;'19_Расчет_аналитики'!H3595,WeightedRevAge03)-SUMIF(ThresholdAge03,"&lt;"&amp;'19_Расчет_аналитики'!H3595,WeightedMinAge03),MAX(CapacityAge03*'01_Вводные'!$B$218*'19_Расчет_аналитики'!H3595,MeanMinAge03))),0)</f>
        <v/>
      </c>
      <c r="I3502">
        <f>IF('01_Вводные'!$B$234="Да",IF(OR('19_Расчет_аналитики'!I3474=0,3&lt;='01_Вводные'!$B$297),0,'19_Расчет_аналитики'!I3474*IF('01_Вводные'!$B$239="Да",MeanMinAge03+'19_Расчет_аналитики'!I3595*SUMIF(ThresholdAge03,"&lt;"&amp;'19_Расчет_аналитики'!I3595,WeightedRevAge03)-SUMIF(ThresholdAge03,"&lt;"&amp;'19_Расчет_аналитики'!I3595,WeightedMinAge03),MAX(CapacityAge03*'01_Вводные'!$B$218*'19_Расчет_аналитики'!I3595,MeanMinAge03))),0)</f>
        <v/>
      </c>
      <c r="J3502">
        <f>IF('01_Вводные'!$B$234="Да",IF(OR('19_Расчет_аналитики'!J3474=0,3&lt;='01_Вводные'!$B$297),0,'19_Расчет_аналитики'!J3474*IF('01_Вводные'!$B$239="Да",MeanMinAge03+'19_Расчет_аналитики'!J3595*SUMIF(ThresholdAge03,"&lt;"&amp;'19_Расчет_аналитики'!J3595,WeightedRevAge03)-SUMIF(ThresholdAge03,"&lt;"&amp;'19_Расчет_аналитики'!J3595,WeightedMinAge03),MAX(CapacityAge03*'01_Вводные'!$B$218*'19_Расчет_аналитики'!J3595,MeanMinAge03))),0)</f>
        <v/>
      </c>
      <c r="K3502">
        <f>IF('01_Вводные'!$B$234="Да",IF(OR('19_Расчет_аналитики'!K3474=0,3&lt;='01_Вводные'!$B$297),0,'19_Расчет_аналитики'!K3474*IF('01_Вводные'!$B$239="Да",MeanMinAge03+'19_Расчет_аналитики'!K3595*SUMIF(ThresholdAge03,"&lt;"&amp;'19_Расчет_аналитики'!K3595,WeightedRevAge03)-SUMIF(ThresholdAge03,"&lt;"&amp;'19_Расчет_аналитики'!K3595,WeightedMinAge03),MAX(CapacityAge03*'01_Вводные'!$B$218*'19_Расчет_аналитики'!K3595,MeanMinAge03))),0)</f>
        <v/>
      </c>
      <c r="L3502">
        <f>IF('01_Вводные'!$B$234="Да",IF(OR('19_Расчет_аналитики'!L3474=0,3&lt;='01_Вводные'!$B$297),0,'19_Расчет_аналитики'!L3474*IF('01_Вводные'!$B$239="Да",MeanMinAge03+'19_Расчет_аналитики'!L3595*SUMIF(ThresholdAge03,"&lt;"&amp;'19_Расчет_аналитики'!L3595,WeightedRevAge03)-SUMIF(ThresholdAge03,"&lt;"&amp;'19_Расчет_аналитики'!L3595,WeightedMinAge03),MAX(CapacityAge03*'01_Вводные'!$B$218*'19_Расчет_аналитики'!L3595,MeanMinAge03))),0)</f>
        <v/>
      </c>
      <c r="M3502">
        <f>IF('01_Вводные'!$B$234="Да",IF(OR('19_Расчет_аналитики'!M3474=0,3&lt;='01_Вводные'!$B$297),0,'19_Расчет_аналитики'!M3474*IF('01_Вводные'!$B$239="Да",MeanMinAge03+'19_Расчет_аналитики'!M3595*SUMIF(ThresholdAge03,"&lt;"&amp;'19_Расчет_аналитики'!M3595,WeightedRevAge03)-SUMIF(ThresholdAge03,"&lt;"&amp;'19_Расчет_аналитики'!M3595,WeightedMinAge03),MAX(CapacityAge03*'01_Вводные'!$B$218*'19_Расчет_аналитики'!M3595,MeanMinAge03))),0)</f>
        <v/>
      </c>
      <c r="N3502">
        <f>IF('01_Вводные'!$B$234="Да",IF(OR('19_Расчет_аналитики'!N3474=0,3&lt;='01_Вводные'!$B$297),0,'19_Расчет_аналитики'!N3474*IF('01_Вводные'!$B$239="Да",MeanMinAge03+'19_Расчет_аналитики'!N3595*SUMIF(ThresholdAge03,"&lt;"&amp;'19_Расчет_аналитики'!N3595,WeightedRevAge03)-SUMIF(ThresholdAge03,"&lt;"&amp;'19_Расчет_аналитики'!N3595,WeightedMinAge03),MAX(CapacityAge03*'01_Вводные'!$B$218*'19_Расчет_аналитики'!N3595,MeanMinAge03))),0)</f>
        <v/>
      </c>
      <c r="O3502">
        <f>IF('01_Вводные'!$B$234="Да",IF(OR('19_Расчет_аналитики'!O3474=0,3&lt;='01_Вводные'!$B$297),0,'19_Расчет_аналитики'!O3474*IF('01_Вводные'!$B$239="Да",MeanMinAge03+'19_Расчет_аналитики'!O3595*SUMIF(ThresholdAge03,"&lt;"&amp;'19_Расчет_аналитики'!O3595,WeightedRevAge03)-SUMIF(ThresholdAge03,"&lt;"&amp;'19_Расчет_аналитики'!O3595,WeightedMinAge03),MAX(CapacityAge03*'01_Вводные'!$B$218*'19_Расчет_аналитики'!O3595,MeanMinAge03))),0)</f>
        <v/>
      </c>
      <c r="P3502">
        <f>IF('01_Вводные'!$B$234="Да",IF(OR('19_Расчет_аналитики'!P3474=0,3&lt;='01_Вводные'!$B$297),0,'19_Расчет_аналитики'!P3474*IF('01_Вводные'!$B$239="Да",MeanMinAge03+'19_Расчет_аналитики'!P3595*SUMIF(ThresholdAge03,"&lt;"&amp;'19_Расчет_аналитики'!P3595,WeightedRevAge03)-SUMIF(ThresholdAge03,"&lt;"&amp;'19_Расчет_аналитики'!P3595,WeightedMinAge03),MAX(CapacityAge03*'01_Вводные'!$B$218*'19_Расчет_аналитики'!P3595,MeanMinAge03))),0)</f>
        <v/>
      </c>
      <c r="Q3502">
        <f>IF('01_Вводные'!$B$234="Да",IF(OR('19_Расчет_аналитики'!Q3474=0,3&lt;='01_Вводные'!$B$297),0,'19_Расчет_аналитики'!Q3474*IF('01_Вводные'!$B$239="Да",MeanMinAge03+'19_Расчет_аналитики'!Q3595*SUMIF(ThresholdAge03,"&lt;"&amp;'19_Расчет_аналитики'!Q3595,WeightedRevAge03)-SUMIF(ThresholdAge03,"&lt;"&amp;'19_Расчет_аналитики'!Q3595,WeightedMinAge03),MAX(CapacityAge03*'01_Вводные'!$B$218*'19_Расчет_аналитики'!Q3595,MeanMinAge03))),0)</f>
        <v/>
      </c>
      <c r="R3502">
        <f>IF('01_Вводные'!$B$234="Да",IF(OR('19_Расчет_аналитики'!R3474=0,3&lt;='01_Вводные'!$B$297),0,'19_Расчет_аналитики'!R3474*IF('01_Вводные'!$B$239="Да",MeanMinAge03+'19_Расчет_аналитики'!R3595*SUMIF(ThresholdAge03,"&lt;"&amp;'19_Расчет_аналитики'!R3595,WeightedRevAge03)-SUMIF(ThresholdAge03,"&lt;"&amp;'19_Расчет_аналитики'!R3595,WeightedMinAge03),MAX(CapacityAge03*'01_Вводные'!$B$218*'19_Расчет_аналитики'!R3595,MeanMinAge03))),0)</f>
        <v/>
      </c>
      <c r="S3502">
        <f>IF('01_Вводные'!$B$234="Да",IF(OR('19_Расчет_аналитики'!S3474=0,3&lt;='01_Вводные'!$B$297),0,'19_Расчет_аналитики'!S3474*IF('01_Вводные'!$B$239="Да",MeanMinAge03+'19_Расчет_аналитики'!S3595*SUMIF(ThresholdAge03,"&lt;"&amp;'19_Расчет_аналитики'!S3595,WeightedRevAge03)-SUMIF(ThresholdAge03,"&lt;"&amp;'19_Расчет_аналитики'!S3595,WeightedMinAge03),MAX(CapacityAge03*'01_Вводные'!$B$218*'19_Расчет_аналитики'!S3595,MeanMinAge03))),0)</f>
        <v/>
      </c>
      <c r="T3502">
        <f>IF('01_Вводные'!$B$234="Да",IF(OR('19_Расчет_аналитики'!T3474=0,3&lt;='01_Вводные'!$B$297),0,'19_Расчет_аналитики'!T3474*IF('01_Вводные'!$B$239="Да",MeanMinAge03+'19_Расчет_аналитики'!T3595*SUMIF(ThresholdAge03,"&lt;"&amp;'19_Расчет_аналитики'!T3595,WeightedRevAge03)-SUMIF(ThresholdAge03,"&lt;"&amp;'19_Расчет_аналитики'!T3595,WeightedMinAge03),MAX(CapacityAge03*'01_Вводные'!$B$218*'19_Расчет_аналитики'!T3595,MeanMinAge03))),0)</f>
        <v/>
      </c>
      <c r="U3502">
        <f>IF('01_Вводные'!$B$234="Да",IF(OR('19_Расчет_аналитики'!U3474=0,3&lt;='01_Вводные'!$B$297),0,'19_Расчет_аналитики'!U3474*IF('01_Вводные'!$B$239="Да",MeanMinAge03+'19_Расчет_аналитики'!U3595*SUMIF(ThresholdAge03,"&lt;"&amp;'19_Расчет_аналитики'!U3595,WeightedRevAge03)-SUMIF(ThresholdAge03,"&lt;"&amp;'19_Расчет_аналитики'!U3595,WeightedMinAge03),MAX(CapacityAge03*'01_Вводные'!$B$218*'19_Расчет_аналитики'!U3595,MeanMinAge03))),0)</f>
        <v/>
      </c>
      <c r="V3502">
        <f>IF('01_Вводные'!$B$234="Да",IF(OR('19_Расчет_аналитики'!V3474=0,3&lt;='01_Вводные'!$B$297),0,'19_Расчет_аналитики'!V3474*IF('01_Вводные'!$B$239="Да",MeanMinAge03+'19_Расчет_аналитики'!V3595*SUMIF(ThresholdAge03,"&lt;"&amp;'19_Расчет_аналитики'!V3595,WeightedRevAge03)-SUMIF(ThresholdAge03,"&lt;"&amp;'19_Расчет_аналитики'!V3595,WeightedMinAge03),MAX(CapacityAge03*'01_Вводные'!$B$218*'19_Расчет_аналитики'!V3595,MeanMinAge03))),0)</f>
        <v/>
      </c>
      <c r="W3502">
        <f>IF('01_Вводные'!$B$234="Да",IF(OR('19_Расчет_аналитики'!W3474=0,3&lt;='01_Вводные'!$B$297),0,'19_Расчет_аналитики'!W3474*IF('01_Вводные'!$B$239="Да",MeanMinAge03+'19_Расчет_аналитики'!W3595*SUMIF(ThresholdAge03,"&lt;"&amp;'19_Расчет_аналитики'!W3595,WeightedRevAge03)-SUMIF(ThresholdAge03,"&lt;"&amp;'19_Расчет_аналитики'!W3595,WeightedMinAge03),MAX(CapacityAge03*'01_Вводные'!$B$218*'19_Расчет_аналитики'!W3595,MeanMinAge03))),0)</f>
        <v/>
      </c>
      <c r="X3502">
        <f>IF('01_Вводные'!$B$234="Да",IF(OR('19_Расчет_аналитики'!X3474=0,3&lt;='01_Вводные'!$B$297),0,'19_Расчет_аналитики'!X3474*IF('01_Вводные'!$B$239="Да",MeanMinAge03+'19_Расчет_аналитики'!X3595*SUMIF(ThresholdAge03,"&lt;"&amp;'19_Расчет_аналитики'!X3595,WeightedRevAge03)-SUMIF(ThresholdAge03,"&lt;"&amp;'19_Расчет_аналитики'!X3595,WeightedMinAge03),MAX(CapacityAge03*'01_Вводные'!$B$218*'19_Расчет_аналитики'!X3595,MeanMinAge03))),0)</f>
        <v/>
      </c>
      <c r="Y3502">
        <f>IF('01_Вводные'!$B$234="Да",IF(OR('19_Расчет_аналитики'!Y3474=0,3&lt;='01_Вводные'!$B$297),0,'19_Расчет_аналитики'!Y3474*IF('01_Вводные'!$B$239="Да",MeanMinAge03+'19_Расчет_аналитики'!Y3595*SUMIF(ThresholdAge03,"&lt;"&amp;'19_Расчет_аналитики'!Y3595,WeightedRevAge03)-SUMIF(ThresholdAge03,"&lt;"&amp;'19_Расчет_аналитики'!Y3595,WeightedMinAge03),MAX(CapacityAge03*'01_Вводные'!$B$218*'19_Расчет_аналитики'!Y3595,MeanMinAge03))),0)</f>
        <v/>
      </c>
      <c r="Z3502">
        <f>IF('01_Вводные'!$B$234="Да",IF(OR('19_Расчет_аналитики'!Z3474=0,3&lt;='01_Вводные'!$B$297),0,'19_Расчет_аналитики'!Z3474*IF('01_Вводные'!$B$239="Да",MeanMinAge03+'19_Расчет_аналитики'!Z3595*SUMIF(ThresholdAge03,"&lt;"&amp;'19_Расчет_аналитики'!Z3595,WeightedRevAge03)-SUMIF(ThresholdAge03,"&lt;"&amp;'19_Расчет_аналитики'!Z3595,WeightedMinAge03),MAX(CapacityAge03*'01_Вводные'!$B$218*'19_Расчет_аналитики'!Z3595,MeanMinAge03))),0)</f>
        <v/>
      </c>
      <c r="AA3502">
        <f>IF('01_Вводные'!$B$234="Да",IF(OR('19_Расчет_аналитики'!AA3474=0,3&lt;='01_Вводные'!$B$297),0,'19_Расчет_аналитики'!AA3474*IF('01_Вводные'!$B$239="Да",MeanMinAge03+'19_Расчет_аналитики'!AA3595*SUMIF(ThresholdAge03,"&lt;"&amp;'19_Расчет_аналитики'!AA3595,WeightedRevAge03)-SUMIF(ThresholdAge03,"&lt;"&amp;'19_Расчет_аналитики'!AA3595,WeightedMinAge03),MAX(CapacityAge03*'01_Вводные'!$B$218*'19_Расчет_аналитики'!AA3595,MeanMinAge03))),0)</f>
        <v/>
      </c>
      <c r="AB3502">
        <f>IF('01_Вводные'!$B$234="Да",IF(OR('19_Расчет_аналитики'!AB3474=0,3&lt;='01_Вводные'!$B$297),0,'19_Расчет_аналитики'!AB3474*IF('01_Вводные'!$B$239="Да",MeanMinAge03+'19_Расчет_аналитики'!AB3595*SUMIF(ThresholdAge03,"&lt;"&amp;'19_Расчет_аналитики'!AB3595,WeightedRevAge03)-SUMIF(ThresholdAge03,"&lt;"&amp;'19_Расчет_аналитики'!AB3595,WeightedMinAge03),MAX(CapacityAge03*'01_Вводные'!$B$218*'19_Расчет_аналитики'!AB3595,MeanMinAge03))),0)</f>
        <v/>
      </c>
      <c r="AC3502">
        <f>IF('01_Вводные'!$B$234="Да",IF(OR('19_Расчет_аналитики'!AC3474=0,3&lt;='01_Вводные'!$B$297),0,'19_Расчет_аналитики'!AC3474*IF('01_Вводные'!$B$239="Да",MeanMinAge03+'19_Расчет_аналитики'!AC3595*SUMIF(ThresholdAge03,"&lt;"&amp;'19_Расчет_аналитики'!AC3595,WeightedRevAge03)-SUMIF(ThresholdAge03,"&lt;"&amp;'19_Расчет_аналитики'!AC3595,WeightedMinAge03),MAX(CapacityAge03*'01_Вводные'!$B$218*'19_Расчет_аналитики'!AC3595,MeanMinAge03))),0)</f>
        <v/>
      </c>
      <c r="AD3502">
        <f>IF('01_Вводные'!$B$234="Да",IF(OR('19_Расчет_аналитики'!AD3474=0,3&lt;='01_Вводные'!$B$297),0,'19_Расчет_аналитики'!AD3474*IF('01_Вводные'!$B$239="Да",MeanMinAge03+'19_Расчет_аналитики'!AD3595*SUMIF(ThresholdAge03,"&lt;"&amp;'19_Расчет_аналитики'!AD3595,WeightedRevAge03)-SUMIF(ThresholdAge03,"&lt;"&amp;'19_Расчет_аналитики'!AD3595,WeightedMinAge03),MAX(CapacityAge03*'01_Вводные'!$B$218*'19_Расчет_аналитики'!AD3595,MeanMinAge03))),0)</f>
        <v/>
      </c>
      <c r="AE3502">
        <f>IF('01_Вводные'!$B$234="Да",IF(OR('19_Расчет_аналитики'!AE3474=0,3&lt;='01_Вводные'!$B$297),0,'19_Расчет_аналитики'!AE3474*IF('01_Вводные'!$B$239="Да",MeanMinAge03+'19_Расчет_аналитики'!AE3595*SUMIF(ThresholdAge03,"&lt;"&amp;'19_Расчет_аналитики'!AE3595,WeightedRevAge03)-SUMIF(ThresholdAge03,"&lt;"&amp;'19_Расчет_аналитики'!AE3595,WeightedMinAge03),MAX(CapacityAge03*'01_Вводные'!$B$218*'19_Расчет_аналитики'!AE3595,MeanMinAge03))),0)</f>
        <v/>
      </c>
      <c r="AF3502">
        <f>IF('01_Вводные'!$B$234="Да",IF(OR('19_Расчет_аналитики'!AF3474=0,3&lt;='01_Вводные'!$B$297),0,'19_Расчет_аналитики'!AF3474*IF('01_Вводные'!$B$239="Да",MeanMinAge03+'19_Расчет_аналитики'!AF3595*SUMIF(ThresholdAge03,"&lt;"&amp;'19_Расчет_аналитики'!AF3595,WeightedRevAge03)-SUMIF(ThresholdAge03,"&lt;"&amp;'19_Расчет_аналитики'!AF3595,WeightedMinAge03),MAX(CapacityAge03*'01_Вводные'!$B$218*'19_Расчет_аналитики'!AF3595,MeanMinAge03))),0)</f>
        <v/>
      </c>
      <c r="AG3502">
        <f>IF('01_Вводные'!$B$234="Да",IF(OR('19_Расчет_аналитики'!AG3474=0,3&lt;='01_Вводные'!$B$297),0,'19_Расчет_аналитики'!AG3474*IF('01_Вводные'!$B$239="Да",MeanMinAge03+'19_Расчет_аналитики'!AG3595*SUMIF(ThresholdAge03,"&lt;"&amp;'19_Расчет_аналитики'!AG3595,WeightedRevAge03)-SUMIF(ThresholdAge03,"&lt;"&amp;'19_Расчет_аналитики'!AG3595,WeightedMinAge03),MAX(CapacityAge03*'01_Вводные'!$B$218*'19_Расчет_аналитики'!AG3595,MeanMinAge03))),0)</f>
        <v/>
      </c>
      <c r="AH3502">
        <f>IF('01_Вводные'!$B$234="Да",IF(OR('19_Расчет_аналитики'!AH3474=0,3&lt;='01_Вводные'!$B$297),0,'19_Расчет_аналитики'!AH3474*IF('01_Вводные'!$B$239="Да",MeanMinAge03+'19_Расчет_аналитики'!AH3595*SUMIF(ThresholdAge03,"&lt;"&amp;'19_Расчет_аналитики'!AH3595,WeightedRevAge03)-SUMIF(ThresholdAge03,"&lt;"&amp;'19_Расчет_аналитики'!AH3595,WeightedMinAge03),MAX(CapacityAge03*'01_Вводные'!$B$218*'19_Расчет_аналитики'!AH3595,MeanMinAge03))),0)</f>
        <v/>
      </c>
      <c r="AI3502">
        <f>IF('01_Вводные'!$B$234="Да",IF(OR('19_Расчет_аналитики'!AI3474=0,3&lt;='01_Вводные'!$B$297),0,'19_Расчет_аналитики'!AI3474*IF('01_Вводные'!$B$239="Да",MeanMinAge03+'19_Расчет_аналитики'!AI3595*SUMIF(ThresholdAge03,"&lt;"&amp;'19_Расчет_аналитики'!AI3595,WeightedRevAge03)-SUMIF(ThresholdAge03,"&lt;"&amp;'19_Расчет_аналитики'!AI3595,WeightedMinAge03),MAX(CapacityAge03*'01_Вводные'!$B$218*'19_Расчет_аналитики'!AI3595,MeanMinAge03))),0)</f>
        <v/>
      </c>
      <c r="AJ3502">
        <f>IF('01_Вводные'!$B$234="Да",IF(OR('19_Расчет_аналитики'!AJ3474=0,3&lt;='01_Вводные'!$B$297),0,'19_Расчет_аналитики'!AJ3474*IF('01_Вводные'!$B$239="Да",MeanMinAge03+'19_Расчет_аналитики'!AJ3595*SUMIF(ThresholdAge03,"&lt;"&amp;'19_Расчет_аналитики'!AJ3595,WeightedRevAge03)-SUMIF(ThresholdAge03,"&lt;"&amp;'19_Расчет_аналитики'!AJ3595,WeightedMinAge03),MAX(CapacityAge03*'01_Вводные'!$B$218*'19_Расчет_аналитики'!AJ3595,MeanMinAge03))),0)</f>
        <v/>
      </c>
      <c r="AK3502">
        <f>IF('01_Вводные'!$B$234="Да",IF(OR('19_Расчет_аналитики'!AK3474=0,3&lt;='01_Вводные'!$B$297),0,'19_Расчет_аналитики'!AK3474*IF('01_Вводные'!$B$239="Да",MeanMinAge03+'19_Расчет_аналитики'!AK3595*SUMIF(ThresholdAge03,"&lt;"&amp;'19_Расчет_аналитики'!AK3595,WeightedRevAge03)-SUMIF(ThresholdAge03,"&lt;"&amp;'19_Расчет_аналитики'!AK3595,WeightedMinAge03),MAX(CapacityAge03*'01_Вводные'!$B$218*'19_Расчет_аналитики'!AK3595,MeanMinAge03))),0)</f>
        <v/>
      </c>
      <c r="AL3502">
        <f>IF('01_Вводные'!$B$234="Да",IF(OR('19_Расчет_аналитики'!AL3474=0,3&lt;='01_Вводные'!$B$297),0,'19_Расчет_аналитики'!AL3474*IF('01_Вводные'!$B$239="Да",MeanMinAge03+'19_Расчет_аналитики'!AL3595*SUMIF(ThresholdAge03,"&lt;"&amp;'19_Расчет_аналитики'!AL3595,WeightedRevAge03)-SUMIF(ThresholdAge03,"&lt;"&amp;'19_Расчет_аналитики'!AL3595,WeightedMinAge03),MAX(CapacityAge03*'01_Вводные'!$B$218*'19_Расчет_аналитики'!AL3595,MeanMinAge03))),0)</f>
        <v/>
      </c>
      <c r="AM3502">
        <f>IF('01_Вводные'!$B$234="Да",IF(OR('19_Расчет_аналитики'!AM3474=0,3&lt;='01_Вводные'!$B$297),0,'19_Расчет_аналитики'!AM3474*IF('01_Вводные'!$B$239="Да",MeanMinAge03+'19_Расчет_аналитики'!AM3595*SUMIF(ThresholdAge03,"&lt;"&amp;'19_Расчет_аналитики'!AM3595,WeightedRevAge03)-SUMIF(ThresholdAge03,"&lt;"&amp;'19_Расчет_аналитики'!AM3595,WeightedMinAge03),MAX(CapacityAge03*'01_Вводные'!$B$218*'19_Расчет_аналитики'!AM3595,MeanMinAge03))),0)</f>
        <v/>
      </c>
      <c r="AN3502">
        <f>IF('01_Вводные'!$B$234="Да",IF(OR('19_Расчет_аналитики'!AN3474=0,3&lt;='01_Вводные'!$B$297),0,'19_Расчет_аналитики'!AN3474*IF('01_Вводные'!$B$239="Да",MeanMinAge03+'19_Расчет_аналитики'!AN3595*SUMIF(ThresholdAge03,"&lt;"&amp;'19_Расчет_аналитики'!AN3595,WeightedRevAge03)-SUMIF(ThresholdAge03,"&lt;"&amp;'19_Расчет_аналитики'!AN3595,WeightedMinAge03),MAX(CapacityAge03*'01_Вводные'!$B$218*'19_Расчет_аналитики'!AN3595,MeanMinAge03))),0)</f>
        <v/>
      </c>
      <c r="AO3502">
        <f>IF('01_Вводные'!$B$234="Да",IF(OR('19_Расчет_аналитики'!AO3474=0,3&lt;='01_Вводные'!$B$297),0,'19_Расчет_аналитики'!AO3474*IF('01_Вводные'!$B$239="Да",MeanMinAge03+'19_Расчет_аналитики'!AO3595*SUMIF(ThresholdAge03,"&lt;"&amp;'19_Расчет_аналитики'!AO3595,WeightedRevAge03)-SUMIF(ThresholdAge03,"&lt;"&amp;'19_Расчет_аналитики'!AO3595,WeightedMinAge03),MAX(CapacityAge03*'01_Вводные'!$B$218*'19_Расчет_аналитики'!AO3595,MeanMinAge03))),0)</f>
        <v/>
      </c>
      <c r="AP3502">
        <f>IF('01_Вводные'!$B$234="Да",IF(OR('19_Расчет_аналитики'!AP3474=0,3&lt;='01_Вводные'!$B$297),0,'19_Расчет_аналитики'!AP3474*IF('01_Вводные'!$B$239="Да",MeanMinAge03+'19_Расчет_аналитики'!AP3595*SUMIF(ThresholdAge03,"&lt;"&amp;'19_Расчет_аналитики'!AP3595,WeightedRevAge03)-SUMIF(ThresholdAge03,"&lt;"&amp;'19_Расчет_аналитики'!AP3595,WeightedMinAge03),MAX(CapacityAge03*'01_Вводные'!$B$218*'19_Расчет_аналитики'!AP3595,MeanMinAge03))),0)</f>
        <v/>
      </c>
      <c r="AQ3502">
        <f>IF('01_Вводные'!$B$234="Да",IF(OR('19_Расчет_аналитики'!AQ3474=0,3&lt;='01_Вводные'!$B$297),0,'19_Расчет_аналитики'!AQ3474*IF('01_Вводные'!$B$239="Да",MeanMinAge03+'19_Расчет_аналитики'!AQ3595*SUMIF(ThresholdAge03,"&lt;"&amp;'19_Расчет_аналитики'!AQ3595,WeightedRevAge03)-SUMIF(ThresholdAge03,"&lt;"&amp;'19_Расчет_аналитики'!AQ3595,WeightedMinAge03),MAX(CapacityAge03*'01_Вводные'!$B$218*'19_Расчет_аналитики'!AQ3595,MeanMinAge03))),0)</f>
        <v/>
      </c>
      <c r="AR3502">
        <f>IF('01_Вводные'!$B$234="Да",IF(OR('19_Расчет_аналитики'!AR3474=0,3&lt;='01_Вводные'!$B$297),0,'19_Расчет_аналитики'!AR3474*IF('01_Вводные'!$B$239="Да",MeanMinAge03+'19_Расчет_аналитики'!AR3595*SUMIF(ThresholdAge03,"&lt;"&amp;'19_Расчет_аналитики'!AR3595,WeightedRevAge03)-SUMIF(ThresholdAge03,"&lt;"&amp;'19_Расчет_аналитики'!AR3595,WeightedMinAge03),MAX(CapacityAge03*'01_Вводные'!$B$218*'19_Расчет_аналитики'!AR3595,MeanMinAge03))),0)</f>
        <v/>
      </c>
      <c r="AS3502">
        <f>IF('01_Вводные'!$B$234="Да",IF(OR('19_Расчет_аналитики'!AS3474=0,3&lt;='01_Вводные'!$B$297),0,'19_Расчет_аналитики'!AS3474*IF('01_Вводные'!$B$239="Да",MeanMinAge03+'19_Расчет_аналитики'!AS3595*SUMIF(ThresholdAge03,"&lt;"&amp;'19_Расчет_аналитики'!AS3595,WeightedRevAge03)-SUMIF(ThresholdAge03,"&lt;"&amp;'19_Расчет_аналитики'!AS3595,WeightedMinAge03),MAX(CapacityAge03*'01_Вводные'!$B$218*'19_Расчет_аналитики'!AS3595,MeanMinAge03))),0)</f>
        <v/>
      </c>
      <c r="AT3502">
        <f>IF('01_Вводные'!$B$234="Да",IF(OR('19_Расчет_аналитики'!AT3474=0,3&lt;='01_Вводные'!$B$297),0,'19_Расчет_аналитики'!AT3474*IF('01_Вводные'!$B$239="Да",MeanMinAge03+'19_Расчет_аналитики'!AT3595*SUMIF(ThresholdAge03,"&lt;"&amp;'19_Расчет_аналитики'!AT3595,WeightedRevAge03)-SUMIF(ThresholdAge03,"&lt;"&amp;'19_Расчет_аналитики'!AT3595,WeightedMinAge03),MAX(CapacityAge03*'01_Вводные'!$B$218*'19_Расчет_аналитики'!AT3595,MeanMinAge03))),0)</f>
        <v/>
      </c>
      <c r="AU3502">
        <f>IF('01_Вводные'!$B$234="Да",IF(OR('19_Расчет_аналитики'!AU3474=0,3&lt;='01_Вводные'!$B$297),0,'19_Расчет_аналитики'!AU3474*IF('01_Вводные'!$B$239="Да",MeanMinAge03+'19_Расчет_аналитики'!AU3595*SUMIF(ThresholdAge03,"&lt;"&amp;'19_Расчет_аналитики'!AU3595,WeightedRevAge03)-SUMIF(ThresholdAge03,"&lt;"&amp;'19_Расчет_аналитики'!AU3595,WeightedMinAge03),MAX(CapacityAge03*'01_Вводные'!$B$218*'19_Расчет_аналитики'!AU3595,MeanMinAge03))),0)</f>
        <v/>
      </c>
      <c r="AV3502">
        <f>IF('01_Вводные'!$B$234="Да",IF(OR('19_Расчет_аналитики'!AV3474=0,3&lt;='01_Вводные'!$B$297),0,'19_Расчет_аналитики'!AV3474*IF('01_Вводные'!$B$239="Да",MeanMinAge03+'19_Расчет_аналитики'!AV3595*SUMIF(ThresholdAge03,"&lt;"&amp;'19_Расчет_аналитики'!AV3595,WeightedRevAge03)-SUMIF(ThresholdAge03,"&lt;"&amp;'19_Расчет_аналитики'!AV3595,WeightedMinAge03),MAX(CapacityAge03*'01_Вводные'!$B$218*'19_Расчет_аналитики'!AV3595,MeanMinAge03))),0)</f>
        <v/>
      </c>
      <c r="AW3502">
        <f>IF('01_Вводные'!$B$234="Да",IF(OR('19_Расчет_аналитики'!AW3474=0,3&lt;='01_Вводные'!$B$297),0,'19_Расчет_аналитики'!AW3474*IF('01_Вводные'!$B$239="Да",MeanMinAge03+'19_Расчет_аналитики'!AW3595*SUMIF(ThresholdAge03,"&lt;"&amp;'19_Расчет_аналитики'!AW3595,WeightedRevAge03)-SUMIF(ThresholdAge03,"&lt;"&amp;'19_Расчет_аналитики'!AW3595,WeightedMinAge03),MAX(CapacityAge03*'01_Вводные'!$B$218*'19_Расчет_аналитики'!AW3595,MeanMinAge03))),0)</f>
        <v/>
      </c>
      <c r="AX3502">
        <f>IF('01_Вводные'!$B$234="Да",IF(OR('19_Расчет_аналитики'!AX3474=0,3&lt;='01_Вводные'!$B$297),0,'19_Расчет_аналитики'!AX3474*IF('01_Вводные'!$B$239="Да",MeanMinAge03+'19_Расчет_аналитики'!AX3595*SUMIF(ThresholdAge03,"&lt;"&amp;'19_Расчет_аналитики'!AX3595,WeightedRevAge03)-SUMIF(ThresholdAge03,"&lt;"&amp;'19_Расчет_аналитики'!AX3595,WeightedMinAge03),MAX(CapacityAge03*'01_Вводные'!$B$218*'19_Расчет_аналитики'!AX3595,MeanMinAge03))),0)</f>
        <v/>
      </c>
      <c r="AY3502">
        <f>IF('01_Вводные'!$B$234="Да",IF(OR('19_Расчет_аналитики'!AY3474=0,3&lt;='01_Вводные'!$B$297),0,'19_Расчет_аналитики'!AY3474*IF('01_Вводные'!$B$239="Да",MeanMinAge03+'19_Расчет_аналитики'!AY3595*SUMIF(ThresholdAge03,"&lt;"&amp;'19_Расчет_аналитики'!AY3595,WeightedRevAge03)-SUMIF(ThresholdAge03,"&lt;"&amp;'19_Расчет_аналитики'!AY3595,WeightedMinAge03),MAX(CapacityAge03*'01_Вводные'!$B$218*'19_Расчет_аналитики'!AY3595,MeanMinAge03))),0)</f>
        <v/>
      </c>
      <c r="AZ3502">
        <f>IF('01_Вводные'!$B$234="Да",IF(OR('19_Расчет_аналитики'!AZ3474=0,3&lt;='01_Вводные'!$B$297),0,'19_Расчет_аналитики'!AZ3474*IF('01_Вводные'!$B$239="Да",MeanMinAge03+'19_Расчет_аналитики'!AZ3595*SUMIF(ThresholdAge03,"&lt;"&amp;'19_Расчет_аналитики'!AZ3595,WeightedRevAge03)-SUMIF(ThresholdAge03,"&lt;"&amp;'19_Расчет_аналитики'!AZ3595,WeightedMinAge03),MAX(CapacityAge03*'01_Вводные'!$B$218*'19_Расчет_аналитики'!AZ3595,MeanMinAge03))),0)</f>
        <v/>
      </c>
      <c r="BA3502">
        <f>IF('01_Вводные'!$B$234="Да",IF(OR('19_Расчет_аналитики'!BA3474=0,3&lt;='01_Вводные'!$B$297),0,'19_Расчет_аналитики'!BA3474*IF('01_Вводные'!$B$239="Да",MeanMinAge03+'19_Расчет_аналитики'!BA3595*SUMIF(ThresholdAge03,"&lt;"&amp;'19_Расчет_аналитики'!BA3595,WeightedRevAge03)-SUMIF(ThresholdAge03,"&lt;"&amp;'19_Расчет_аналитики'!BA3595,WeightedMinAge03),MAX(CapacityAge03*'01_Вводные'!$B$218*'19_Расчет_аналитики'!BA3595,MeanMinAge03))),0)</f>
        <v/>
      </c>
      <c r="BB3502">
        <f>IF('01_Вводные'!$B$234="Да",IF(OR('19_Расчет_аналитики'!BB3474=0,3&lt;='01_Вводные'!$B$297),0,'19_Расчет_аналитики'!BB3474*IF('01_Вводные'!$B$239="Да",MeanMinAge03+'19_Расчет_аналитики'!BB3595*SUMIF(ThresholdAge03,"&lt;"&amp;'19_Расчет_аналитики'!BB3595,WeightedRevAge03)-SUMIF(ThresholdAge03,"&lt;"&amp;'19_Расчет_аналитики'!BB3595,WeightedMinAge03),MAX(CapacityAge03*'01_Вводные'!$B$218*'19_Расчет_аналитики'!BB3595,MeanMinAge03))),0)</f>
        <v/>
      </c>
      <c r="BC3502">
        <f>IF('01_Вводные'!$B$234="Да",IF(OR('19_Расчет_аналитики'!BC3474=0,3&lt;='01_Вводные'!$B$297),0,'19_Расчет_аналитики'!BC3474*IF('01_Вводные'!$B$239="Да",MeanMinAge03+'19_Расчет_аналитики'!BC3595*SUMIF(ThresholdAge03,"&lt;"&amp;'19_Расчет_аналитики'!BC3595,WeightedRevAge03)-SUMIF(ThresholdAge03,"&lt;"&amp;'19_Расчет_аналитики'!BC3595,WeightedMinAge03),MAX(CapacityAge03*'01_Вводные'!$B$218*'19_Расчет_аналитики'!BC3595,MeanMinAge03))),0)</f>
        <v/>
      </c>
      <c r="BD3502">
        <f>IF('01_Вводные'!$B$234="Да",IF(OR('19_Расчет_аналитики'!BD3474=0,3&lt;='01_Вводные'!$B$297),0,'19_Расчет_аналитики'!BD3474*IF('01_Вводные'!$B$239="Да",MeanMinAge03+'19_Расчет_аналитики'!BD3595*SUMIF(ThresholdAge03,"&lt;"&amp;'19_Расчет_аналитики'!BD3595,WeightedRevAge03)-SUMIF(ThresholdAge03,"&lt;"&amp;'19_Расчет_аналитики'!BD3595,WeightedMinAge03),MAX(CapacityAge03*'01_Вводные'!$B$218*'19_Расчет_аналитики'!BD3595,MeanMinAge03))),0)</f>
        <v/>
      </c>
      <c r="BE3502">
        <f>IF('01_Вводные'!$B$234="Да",IF(OR('19_Расчет_аналитики'!BE3474=0,3&lt;='01_Вводные'!$B$297),0,'19_Расчет_аналитики'!BE3474*IF('01_Вводные'!$B$239="Да",MeanMinAge03+'19_Расчет_аналитики'!BE3595*SUMIF(ThresholdAge03,"&lt;"&amp;'19_Расчет_аналитики'!BE3595,WeightedRevAge03)-SUMIF(ThresholdAge03,"&lt;"&amp;'19_Расчет_аналитики'!BE3595,WeightedMinAge03),MAX(CapacityAge03*'01_Вводные'!$B$218*'19_Расчет_аналитики'!BE3595,MeanMinAge03))),0)</f>
        <v/>
      </c>
      <c r="BF3502">
        <f>IF('01_Вводные'!$B$234="Да",IF(OR('19_Расчет_аналитики'!BF3474=0,3&lt;='01_Вводные'!$B$297),0,'19_Расчет_аналитики'!BF3474*IF('01_Вводные'!$B$239="Да",MeanMinAge03+'19_Расчет_аналитики'!BF3595*SUMIF(ThresholdAge03,"&lt;"&amp;'19_Расчет_аналитики'!BF3595,WeightedRevAge03)-SUMIF(ThresholdAge03,"&lt;"&amp;'19_Расчет_аналитики'!BF3595,WeightedMinAge03),MAX(CapacityAge03*'01_Вводные'!$B$218*'19_Расчет_аналитики'!BF3595,MeanMinAge03))),0)</f>
        <v/>
      </c>
      <c r="BG3502">
        <f>IF('01_Вводные'!$B$234="Да",IF(OR('19_Расчет_аналитики'!BG3474=0,3&lt;='01_Вводные'!$B$297),0,'19_Расчет_аналитики'!BG3474*IF('01_Вводные'!$B$239="Да",MeanMinAge03+'19_Расчет_аналитики'!BG3595*SUMIF(ThresholdAge03,"&lt;"&amp;'19_Расчет_аналитики'!BG3595,WeightedRevAge03)-SUMIF(ThresholdAge03,"&lt;"&amp;'19_Расчет_аналитики'!BG3595,WeightedMinAge03),MAX(CapacityAge03*'01_Вводные'!$B$218*'19_Расчет_аналитики'!BG3595,MeanMinAge03))),0)</f>
        <v/>
      </c>
      <c r="BH3502">
        <f>IF('01_Вводные'!$B$234="Да",IF(OR('19_Расчет_аналитики'!BH3474=0,3&lt;='01_Вводные'!$B$297),0,'19_Расчет_аналитики'!BH3474*IF('01_Вводные'!$B$239="Да",MeanMinAge03+'19_Расчет_аналитики'!BH3595*SUMIF(ThresholdAge03,"&lt;"&amp;'19_Расчет_аналитики'!BH3595,WeightedRevAge03)-SUMIF(ThresholdAge03,"&lt;"&amp;'19_Расчет_аналитики'!BH3595,WeightedMinAge03),MAX(CapacityAge03*'01_Вводные'!$B$218*'19_Расчет_аналитики'!BH3595,MeanMinAge03))),0)</f>
        <v/>
      </c>
      <c r="BI3502">
        <f>IF('01_Вводные'!$B$234="Да",IF(OR('19_Расчет_аналитики'!BI3474=0,3&lt;='01_Вводные'!$B$297),0,'19_Расчет_аналитики'!BI3474*IF('01_Вводные'!$B$239="Да",MeanMinAge03+'19_Расчет_аналитики'!BI3595*SUMIF(ThresholdAge03,"&lt;"&amp;'19_Расчет_аналитики'!BI3595,WeightedRevAge03)-SUMIF(ThresholdAge03,"&lt;"&amp;'19_Расчет_аналитики'!BI3595,WeightedMinAge03),MAX(CapacityAge03*'01_Вводные'!$B$218*'19_Расчет_аналитики'!BI3595,MeanMinAge03))),0)</f>
        <v/>
      </c>
      <c r="BJ3502">
        <f>IF('01_Вводные'!$B$234="Да",IF(OR('19_Расчет_аналитики'!BJ3474=0,3&lt;='01_Вводные'!$B$297),0,'19_Расчет_аналитики'!BJ3474*IF('01_Вводные'!$B$239="Да",MeanMinAge03+'19_Расчет_аналитики'!BJ3595*SUMIF(ThresholdAge03,"&lt;"&amp;'19_Расчет_аналитики'!BJ3595,WeightedRevAge03)-SUMIF(ThresholdAge03,"&lt;"&amp;'19_Расчет_аналитики'!BJ3595,WeightedMinAge03),MAX(CapacityAge03*'01_Вводные'!$B$218*'19_Расчет_аналитики'!BJ3595,MeanMinAge03))),0)</f>
        <v/>
      </c>
      <c r="BK3502">
        <f>IF('01_Вводные'!$B$234="Да",IF(OR('19_Расчет_аналитики'!BK3474=0,3&lt;='01_Вводные'!$B$297),0,'19_Расчет_аналитики'!BK3474*IF('01_Вводные'!$B$239="Да",MeanMinAge03+'19_Расчет_аналитики'!BK3595*SUMIF(ThresholdAge03,"&lt;"&amp;'19_Расчет_аналитики'!BK3595,WeightedRevAge03)-SUMIF(ThresholdAge03,"&lt;"&amp;'19_Расчет_аналитики'!BK3595,WeightedMinAge03),MAX(CapacityAge03*'01_Вводные'!$B$218*'19_Расчет_аналитики'!BK3595,MeanMinAge03))),0)</f>
        <v/>
      </c>
      <c r="BL3502">
        <f>IF('01_Вводные'!$B$234="Да",IF(OR('19_Расчет_аналитики'!BL3474=0,3&lt;='01_Вводные'!$B$297),0,'19_Расчет_аналитики'!BL3474*IF('01_Вводные'!$B$239="Да",MeanMinAge03+'19_Расчет_аналитики'!BL3595*SUMIF(ThresholdAge03,"&lt;"&amp;'19_Расчет_аналитики'!BL3595,WeightedRevAge03)-SUMIF(ThresholdAge03,"&lt;"&amp;'19_Расчет_аналитики'!BL3595,WeightedMinAge03),MAX(CapacityAge03*'01_Вводные'!$B$218*'19_Расчет_аналитики'!BL3595,MeanMinAge03))),0)</f>
        <v/>
      </c>
      <c r="BM3502">
        <f>IF('01_Вводные'!$B$234="Да",IF(OR('19_Расчет_аналитики'!BM3474=0,3&lt;='01_Вводные'!$B$297),0,'19_Расчет_аналитики'!BM3474*IF('01_Вводные'!$B$239="Да",MeanMinAge03+'19_Расчет_аналитики'!BM3595*SUMIF(ThresholdAge03,"&lt;"&amp;'19_Расчет_аналитики'!BM3595,WeightedRevAge03)-SUMIF(ThresholdAge03,"&lt;"&amp;'19_Расчет_аналитики'!BM3595,WeightedMinAge03),MAX(CapacityAge03*'01_Вводные'!$B$218*'19_Расчет_аналитики'!BM3595,MeanMinAge03))),0)</f>
        <v/>
      </c>
      <c r="BN3502">
        <f>IF('01_Вводные'!$B$234="Да",IF(OR('19_Расчет_аналитики'!BN3474=0,3&lt;='01_Вводные'!$B$297),0,'19_Расчет_аналитики'!BN3474*IF('01_Вводные'!$B$239="Да",MeanMinAge03+'19_Расчет_аналитики'!BN3595*SUMIF(ThresholdAge03,"&lt;"&amp;'19_Расчет_аналитики'!BN3595,WeightedRevAge03)-SUMIF(ThresholdAge03,"&lt;"&amp;'19_Расчет_аналитики'!BN3595,WeightedMinAge03),MAX(CapacityAge03*'01_Вводные'!$B$218*'19_Расчет_аналитики'!BN3595,MeanMinAge03))),0)</f>
        <v/>
      </c>
      <c r="BO3502">
        <f>IF('01_Вводные'!$B$234="Да",IF(OR('19_Расчет_аналитики'!BO3474=0,3&lt;='01_Вводные'!$B$297),0,'19_Расчет_аналитики'!BO3474*IF('01_Вводные'!$B$239="Да",MeanMinAge03+'19_Расчет_аналитики'!BO3595*SUMIF(ThresholdAge03,"&lt;"&amp;'19_Расчет_аналитики'!BO3595,WeightedRevAge03)-SUMIF(ThresholdAge03,"&lt;"&amp;'19_Расчет_аналитики'!BO3595,WeightedMinAge03),MAX(CapacityAge03*'01_Вводные'!$B$218*'19_Расчет_аналитики'!BO3595,MeanMinAge03))),0)</f>
        <v/>
      </c>
    </row>
    <row r="3503">
      <c r="B3503">
        <f>IF('01_Вводные'!$B$234="Да",IF(OR('06_Сеть_и_дети'!B84=0,4&lt;='01_Вводные'!$B$297),0,'06_Сеть_и_дети'!B84*IF('01_Вводные'!$B$239="Да",MeanMinAge04+'19_Расчет_аналитики'!B3595*SUMIF(ThresholdAge04,"&lt;"&amp;'19_Расчет_аналитики'!B3595,WeightedRevAge04)-SUMIF(ThresholdAge04,"&lt;"&amp;'19_Расчет_аналитики'!B3595,WeightedMinAge04),MAX(CapacityAge04*'01_Вводные'!$B$218*'19_Расчет_аналитики'!B3595,MeanMinAge04))),0)</f>
        <v/>
      </c>
      <c r="C3503">
        <f>IF('01_Вводные'!$B$234="Да",IF(OR('06_Сеть_и_дети'!C84=0,4&lt;='01_Вводные'!$B$297),0,'06_Сеть_и_дети'!C84*IF('01_Вводные'!$B$239="Да",MeanMinAge04+'19_Расчет_аналитики'!C3595*SUMIF(ThresholdAge04,"&lt;"&amp;'19_Расчет_аналитики'!C3595,WeightedRevAge04)-SUMIF(ThresholdAge04,"&lt;"&amp;'19_Расчет_аналитики'!C3595,WeightedMinAge04),MAX(CapacityAge04*'01_Вводные'!$B$218*'19_Расчет_аналитики'!C3595,MeanMinAge04))),0)</f>
        <v/>
      </c>
      <c r="D3503">
        <f>IF('01_Вводные'!$B$234="Да",IF(OR('06_Сеть_и_дети'!D84=0,4&lt;='01_Вводные'!$B$297),0,'06_Сеть_и_дети'!D84*IF('01_Вводные'!$B$239="Да",MeanMinAge04+'19_Расчет_аналитики'!D3595*SUMIF(ThresholdAge04,"&lt;"&amp;'19_Расчет_аналитики'!D3595,WeightedRevAge04)-SUMIF(ThresholdAge04,"&lt;"&amp;'19_Расчет_аналитики'!D3595,WeightedMinAge04),MAX(CapacityAge04*'01_Вводные'!$B$218*'19_Расчет_аналитики'!D3595,MeanMinAge04))),0)</f>
        <v/>
      </c>
      <c r="E3503">
        <f>IF('01_Вводные'!$B$234="Да",IF(OR('19_Расчет_аналитики'!E3475=0,4&lt;='01_Вводные'!$B$297),0,'19_Расчет_аналитики'!E3475*IF('01_Вводные'!$B$239="Да",MeanMinAge04+'19_Расчет_аналитики'!E3595*SUMIF(ThresholdAge04,"&lt;"&amp;'19_Расчет_аналитики'!E3595,WeightedRevAge04)-SUMIF(ThresholdAge04,"&lt;"&amp;'19_Расчет_аналитики'!E3595,WeightedMinAge04),MAX(CapacityAge04*'01_Вводные'!$B$218*'19_Расчет_аналитики'!E3595,MeanMinAge04))),0)</f>
        <v/>
      </c>
      <c r="F3503">
        <f>IF('01_Вводные'!$B$234="Да",IF(OR('19_Расчет_аналитики'!F3475=0,4&lt;='01_Вводные'!$B$297),0,'19_Расчет_аналитики'!F3475*IF('01_Вводные'!$B$239="Да",MeanMinAge04+'19_Расчет_аналитики'!F3595*SUMIF(ThresholdAge04,"&lt;"&amp;'19_Расчет_аналитики'!F3595,WeightedRevAge04)-SUMIF(ThresholdAge04,"&lt;"&amp;'19_Расчет_аналитики'!F3595,WeightedMinAge04),MAX(CapacityAge04*'01_Вводные'!$B$218*'19_Расчет_аналитики'!F3595,MeanMinAge04))),0)</f>
        <v/>
      </c>
      <c r="G3503">
        <f>IF('01_Вводные'!$B$234="Да",IF(OR('19_Расчет_аналитики'!G3475=0,4&lt;='01_Вводные'!$B$297),0,'19_Расчет_аналитики'!G3475*IF('01_Вводные'!$B$239="Да",MeanMinAge04+'19_Расчет_аналитики'!G3595*SUMIF(ThresholdAge04,"&lt;"&amp;'19_Расчет_аналитики'!G3595,WeightedRevAge04)-SUMIF(ThresholdAge04,"&lt;"&amp;'19_Расчет_аналитики'!G3595,WeightedMinAge04),MAX(CapacityAge04*'01_Вводные'!$B$218*'19_Расчет_аналитики'!G3595,MeanMinAge04))),0)</f>
        <v/>
      </c>
      <c r="H3503">
        <f>IF('01_Вводные'!$B$234="Да",IF(OR('19_Расчет_аналитики'!H3475=0,4&lt;='01_Вводные'!$B$297),0,'19_Расчет_аналитики'!H3475*IF('01_Вводные'!$B$239="Да",MeanMinAge04+'19_Расчет_аналитики'!H3595*SUMIF(ThresholdAge04,"&lt;"&amp;'19_Расчет_аналитики'!H3595,WeightedRevAge04)-SUMIF(ThresholdAge04,"&lt;"&amp;'19_Расчет_аналитики'!H3595,WeightedMinAge04),MAX(CapacityAge04*'01_Вводные'!$B$218*'19_Расчет_аналитики'!H3595,MeanMinAge04))),0)</f>
        <v/>
      </c>
      <c r="I3503">
        <f>IF('01_Вводные'!$B$234="Да",IF(OR('19_Расчет_аналитики'!I3475=0,4&lt;='01_Вводные'!$B$297),0,'19_Расчет_аналитики'!I3475*IF('01_Вводные'!$B$239="Да",MeanMinAge04+'19_Расчет_аналитики'!I3595*SUMIF(ThresholdAge04,"&lt;"&amp;'19_Расчет_аналитики'!I3595,WeightedRevAge04)-SUMIF(ThresholdAge04,"&lt;"&amp;'19_Расчет_аналитики'!I3595,WeightedMinAge04),MAX(CapacityAge04*'01_Вводные'!$B$218*'19_Расчет_аналитики'!I3595,MeanMinAge04))),0)</f>
        <v/>
      </c>
      <c r="J3503">
        <f>IF('01_Вводные'!$B$234="Да",IF(OR('19_Расчет_аналитики'!J3475=0,4&lt;='01_Вводные'!$B$297),0,'19_Расчет_аналитики'!J3475*IF('01_Вводные'!$B$239="Да",MeanMinAge04+'19_Расчет_аналитики'!J3595*SUMIF(ThresholdAge04,"&lt;"&amp;'19_Расчет_аналитики'!J3595,WeightedRevAge04)-SUMIF(ThresholdAge04,"&lt;"&amp;'19_Расчет_аналитики'!J3595,WeightedMinAge04),MAX(CapacityAge04*'01_Вводные'!$B$218*'19_Расчет_аналитики'!J3595,MeanMinAge04))),0)</f>
        <v/>
      </c>
      <c r="K3503">
        <f>IF('01_Вводные'!$B$234="Да",IF(OR('19_Расчет_аналитики'!K3475=0,4&lt;='01_Вводные'!$B$297),0,'19_Расчет_аналитики'!K3475*IF('01_Вводные'!$B$239="Да",MeanMinAge04+'19_Расчет_аналитики'!K3595*SUMIF(ThresholdAge04,"&lt;"&amp;'19_Расчет_аналитики'!K3595,WeightedRevAge04)-SUMIF(ThresholdAge04,"&lt;"&amp;'19_Расчет_аналитики'!K3595,WeightedMinAge04),MAX(CapacityAge04*'01_Вводные'!$B$218*'19_Расчет_аналитики'!K3595,MeanMinAge04))),0)</f>
        <v/>
      </c>
      <c r="L3503">
        <f>IF('01_Вводные'!$B$234="Да",IF(OR('19_Расчет_аналитики'!L3475=0,4&lt;='01_Вводные'!$B$297),0,'19_Расчет_аналитики'!L3475*IF('01_Вводные'!$B$239="Да",MeanMinAge04+'19_Расчет_аналитики'!L3595*SUMIF(ThresholdAge04,"&lt;"&amp;'19_Расчет_аналитики'!L3595,WeightedRevAge04)-SUMIF(ThresholdAge04,"&lt;"&amp;'19_Расчет_аналитики'!L3595,WeightedMinAge04),MAX(CapacityAge04*'01_Вводные'!$B$218*'19_Расчет_аналитики'!L3595,MeanMinAge04))),0)</f>
        <v/>
      </c>
      <c r="M3503">
        <f>IF('01_Вводные'!$B$234="Да",IF(OR('19_Расчет_аналитики'!M3475=0,4&lt;='01_Вводные'!$B$297),0,'19_Расчет_аналитики'!M3475*IF('01_Вводные'!$B$239="Да",MeanMinAge04+'19_Расчет_аналитики'!M3595*SUMIF(ThresholdAge04,"&lt;"&amp;'19_Расчет_аналитики'!M3595,WeightedRevAge04)-SUMIF(ThresholdAge04,"&lt;"&amp;'19_Расчет_аналитики'!M3595,WeightedMinAge04),MAX(CapacityAge04*'01_Вводные'!$B$218*'19_Расчет_аналитики'!M3595,MeanMinAge04))),0)</f>
        <v/>
      </c>
      <c r="N3503">
        <f>IF('01_Вводные'!$B$234="Да",IF(OR('19_Расчет_аналитики'!N3475=0,4&lt;='01_Вводные'!$B$297),0,'19_Расчет_аналитики'!N3475*IF('01_Вводные'!$B$239="Да",MeanMinAge04+'19_Расчет_аналитики'!N3595*SUMIF(ThresholdAge04,"&lt;"&amp;'19_Расчет_аналитики'!N3595,WeightedRevAge04)-SUMIF(ThresholdAge04,"&lt;"&amp;'19_Расчет_аналитики'!N3595,WeightedMinAge04),MAX(CapacityAge04*'01_Вводные'!$B$218*'19_Расчет_аналитики'!N3595,MeanMinAge04))),0)</f>
        <v/>
      </c>
      <c r="O3503">
        <f>IF('01_Вводные'!$B$234="Да",IF(OR('19_Расчет_аналитики'!O3475=0,4&lt;='01_Вводные'!$B$297),0,'19_Расчет_аналитики'!O3475*IF('01_Вводные'!$B$239="Да",MeanMinAge04+'19_Расчет_аналитики'!O3595*SUMIF(ThresholdAge04,"&lt;"&amp;'19_Расчет_аналитики'!O3595,WeightedRevAge04)-SUMIF(ThresholdAge04,"&lt;"&amp;'19_Расчет_аналитики'!O3595,WeightedMinAge04),MAX(CapacityAge04*'01_Вводные'!$B$218*'19_Расчет_аналитики'!O3595,MeanMinAge04))),0)</f>
        <v/>
      </c>
      <c r="P3503">
        <f>IF('01_Вводные'!$B$234="Да",IF(OR('19_Расчет_аналитики'!P3475=0,4&lt;='01_Вводные'!$B$297),0,'19_Расчет_аналитики'!P3475*IF('01_Вводные'!$B$239="Да",MeanMinAge04+'19_Расчет_аналитики'!P3595*SUMIF(ThresholdAge04,"&lt;"&amp;'19_Расчет_аналитики'!P3595,WeightedRevAge04)-SUMIF(ThresholdAge04,"&lt;"&amp;'19_Расчет_аналитики'!P3595,WeightedMinAge04),MAX(CapacityAge04*'01_Вводные'!$B$218*'19_Расчет_аналитики'!P3595,MeanMinAge04))),0)</f>
        <v/>
      </c>
      <c r="Q3503">
        <f>IF('01_Вводные'!$B$234="Да",IF(OR('19_Расчет_аналитики'!Q3475=0,4&lt;='01_Вводные'!$B$297),0,'19_Расчет_аналитики'!Q3475*IF('01_Вводные'!$B$239="Да",MeanMinAge04+'19_Расчет_аналитики'!Q3595*SUMIF(ThresholdAge04,"&lt;"&amp;'19_Расчет_аналитики'!Q3595,WeightedRevAge04)-SUMIF(ThresholdAge04,"&lt;"&amp;'19_Расчет_аналитики'!Q3595,WeightedMinAge04),MAX(CapacityAge04*'01_Вводные'!$B$218*'19_Расчет_аналитики'!Q3595,MeanMinAge04))),0)</f>
        <v/>
      </c>
      <c r="R3503">
        <f>IF('01_Вводные'!$B$234="Да",IF(OR('19_Расчет_аналитики'!R3475=0,4&lt;='01_Вводные'!$B$297),0,'19_Расчет_аналитики'!R3475*IF('01_Вводные'!$B$239="Да",MeanMinAge04+'19_Расчет_аналитики'!R3595*SUMIF(ThresholdAge04,"&lt;"&amp;'19_Расчет_аналитики'!R3595,WeightedRevAge04)-SUMIF(ThresholdAge04,"&lt;"&amp;'19_Расчет_аналитики'!R3595,WeightedMinAge04),MAX(CapacityAge04*'01_Вводные'!$B$218*'19_Расчет_аналитики'!R3595,MeanMinAge04))),0)</f>
        <v/>
      </c>
      <c r="S3503">
        <f>IF('01_Вводные'!$B$234="Да",IF(OR('19_Расчет_аналитики'!S3475=0,4&lt;='01_Вводные'!$B$297),0,'19_Расчет_аналитики'!S3475*IF('01_Вводные'!$B$239="Да",MeanMinAge04+'19_Расчет_аналитики'!S3595*SUMIF(ThresholdAge04,"&lt;"&amp;'19_Расчет_аналитики'!S3595,WeightedRevAge04)-SUMIF(ThresholdAge04,"&lt;"&amp;'19_Расчет_аналитики'!S3595,WeightedMinAge04),MAX(CapacityAge04*'01_Вводные'!$B$218*'19_Расчет_аналитики'!S3595,MeanMinAge04))),0)</f>
        <v/>
      </c>
      <c r="T3503">
        <f>IF('01_Вводные'!$B$234="Да",IF(OR('19_Расчет_аналитики'!T3475=0,4&lt;='01_Вводные'!$B$297),0,'19_Расчет_аналитики'!T3475*IF('01_Вводные'!$B$239="Да",MeanMinAge04+'19_Расчет_аналитики'!T3595*SUMIF(ThresholdAge04,"&lt;"&amp;'19_Расчет_аналитики'!T3595,WeightedRevAge04)-SUMIF(ThresholdAge04,"&lt;"&amp;'19_Расчет_аналитики'!T3595,WeightedMinAge04),MAX(CapacityAge04*'01_Вводные'!$B$218*'19_Расчет_аналитики'!T3595,MeanMinAge04))),0)</f>
        <v/>
      </c>
      <c r="U3503">
        <f>IF('01_Вводные'!$B$234="Да",IF(OR('19_Расчет_аналитики'!U3475=0,4&lt;='01_Вводные'!$B$297),0,'19_Расчет_аналитики'!U3475*IF('01_Вводные'!$B$239="Да",MeanMinAge04+'19_Расчет_аналитики'!U3595*SUMIF(ThresholdAge04,"&lt;"&amp;'19_Расчет_аналитики'!U3595,WeightedRevAge04)-SUMIF(ThresholdAge04,"&lt;"&amp;'19_Расчет_аналитики'!U3595,WeightedMinAge04),MAX(CapacityAge04*'01_Вводные'!$B$218*'19_Расчет_аналитики'!U3595,MeanMinAge04))),0)</f>
        <v/>
      </c>
      <c r="V3503">
        <f>IF('01_Вводные'!$B$234="Да",IF(OR('19_Расчет_аналитики'!V3475=0,4&lt;='01_Вводные'!$B$297),0,'19_Расчет_аналитики'!V3475*IF('01_Вводные'!$B$239="Да",MeanMinAge04+'19_Расчет_аналитики'!V3595*SUMIF(ThresholdAge04,"&lt;"&amp;'19_Расчет_аналитики'!V3595,WeightedRevAge04)-SUMIF(ThresholdAge04,"&lt;"&amp;'19_Расчет_аналитики'!V3595,WeightedMinAge04),MAX(CapacityAge04*'01_Вводные'!$B$218*'19_Расчет_аналитики'!V3595,MeanMinAge04))),0)</f>
        <v/>
      </c>
      <c r="W3503">
        <f>IF('01_Вводные'!$B$234="Да",IF(OR('19_Расчет_аналитики'!W3475=0,4&lt;='01_Вводные'!$B$297),0,'19_Расчет_аналитики'!W3475*IF('01_Вводные'!$B$239="Да",MeanMinAge04+'19_Расчет_аналитики'!W3595*SUMIF(ThresholdAge04,"&lt;"&amp;'19_Расчет_аналитики'!W3595,WeightedRevAge04)-SUMIF(ThresholdAge04,"&lt;"&amp;'19_Расчет_аналитики'!W3595,WeightedMinAge04),MAX(CapacityAge04*'01_Вводные'!$B$218*'19_Расчет_аналитики'!W3595,MeanMinAge04))),0)</f>
        <v/>
      </c>
      <c r="X3503">
        <f>IF('01_Вводные'!$B$234="Да",IF(OR('19_Расчет_аналитики'!X3475=0,4&lt;='01_Вводные'!$B$297),0,'19_Расчет_аналитики'!X3475*IF('01_Вводные'!$B$239="Да",MeanMinAge04+'19_Расчет_аналитики'!X3595*SUMIF(ThresholdAge04,"&lt;"&amp;'19_Расчет_аналитики'!X3595,WeightedRevAge04)-SUMIF(ThresholdAge04,"&lt;"&amp;'19_Расчет_аналитики'!X3595,WeightedMinAge04),MAX(CapacityAge04*'01_Вводные'!$B$218*'19_Расчет_аналитики'!X3595,MeanMinAge04))),0)</f>
        <v/>
      </c>
      <c r="Y3503">
        <f>IF('01_Вводные'!$B$234="Да",IF(OR('19_Расчет_аналитики'!Y3475=0,4&lt;='01_Вводные'!$B$297),0,'19_Расчет_аналитики'!Y3475*IF('01_Вводные'!$B$239="Да",MeanMinAge04+'19_Расчет_аналитики'!Y3595*SUMIF(ThresholdAge04,"&lt;"&amp;'19_Расчет_аналитики'!Y3595,WeightedRevAge04)-SUMIF(ThresholdAge04,"&lt;"&amp;'19_Расчет_аналитики'!Y3595,WeightedMinAge04),MAX(CapacityAge04*'01_Вводные'!$B$218*'19_Расчет_аналитики'!Y3595,MeanMinAge04))),0)</f>
        <v/>
      </c>
      <c r="Z3503">
        <f>IF('01_Вводные'!$B$234="Да",IF(OR('19_Расчет_аналитики'!Z3475=0,4&lt;='01_Вводные'!$B$297),0,'19_Расчет_аналитики'!Z3475*IF('01_Вводные'!$B$239="Да",MeanMinAge04+'19_Расчет_аналитики'!Z3595*SUMIF(ThresholdAge04,"&lt;"&amp;'19_Расчет_аналитики'!Z3595,WeightedRevAge04)-SUMIF(ThresholdAge04,"&lt;"&amp;'19_Расчет_аналитики'!Z3595,WeightedMinAge04),MAX(CapacityAge04*'01_Вводные'!$B$218*'19_Расчет_аналитики'!Z3595,MeanMinAge04))),0)</f>
        <v/>
      </c>
      <c r="AA3503">
        <f>IF('01_Вводные'!$B$234="Да",IF(OR('19_Расчет_аналитики'!AA3475=0,4&lt;='01_Вводные'!$B$297),0,'19_Расчет_аналитики'!AA3475*IF('01_Вводные'!$B$239="Да",MeanMinAge04+'19_Расчет_аналитики'!AA3595*SUMIF(ThresholdAge04,"&lt;"&amp;'19_Расчет_аналитики'!AA3595,WeightedRevAge04)-SUMIF(ThresholdAge04,"&lt;"&amp;'19_Расчет_аналитики'!AA3595,WeightedMinAge04),MAX(CapacityAge04*'01_Вводные'!$B$218*'19_Расчет_аналитики'!AA3595,MeanMinAge04))),0)</f>
        <v/>
      </c>
      <c r="AB3503">
        <f>IF('01_Вводные'!$B$234="Да",IF(OR('19_Расчет_аналитики'!AB3475=0,4&lt;='01_Вводные'!$B$297),0,'19_Расчет_аналитики'!AB3475*IF('01_Вводные'!$B$239="Да",MeanMinAge04+'19_Расчет_аналитики'!AB3595*SUMIF(ThresholdAge04,"&lt;"&amp;'19_Расчет_аналитики'!AB3595,WeightedRevAge04)-SUMIF(ThresholdAge04,"&lt;"&amp;'19_Расчет_аналитики'!AB3595,WeightedMinAge04),MAX(CapacityAge04*'01_Вводные'!$B$218*'19_Расчет_аналитики'!AB3595,MeanMinAge04))),0)</f>
        <v/>
      </c>
      <c r="AC3503">
        <f>IF('01_Вводные'!$B$234="Да",IF(OR('19_Расчет_аналитики'!AC3475=0,4&lt;='01_Вводные'!$B$297),0,'19_Расчет_аналитики'!AC3475*IF('01_Вводные'!$B$239="Да",MeanMinAge04+'19_Расчет_аналитики'!AC3595*SUMIF(ThresholdAge04,"&lt;"&amp;'19_Расчет_аналитики'!AC3595,WeightedRevAge04)-SUMIF(ThresholdAge04,"&lt;"&amp;'19_Расчет_аналитики'!AC3595,WeightedMinAge04),MAX(CapacityAge04*'01_Вводные'!$B$218*'19_Расчет_аналитики'!AC3595,MeanMinAge04))),0)</f>
        <v/>
      </c>
      <c r="AD3503">
        <f>IF('01_Вводные'!$B$234="Да",IF(OR('19_Расчет_аналитики'!AD3475=0,4&lt;='01_Вводные'!$B$297),0,'19_Расчет_аналитики'!AD3475*IF('01_Вводные'!$B$239="Да",MeanMinAge04+'19_Расчет_аналитики'!AD3595*SUMIF(ThresholdAge04,"&lt;"&amp;'19_Расчет_аналитики'!AD3595,WeightedRevAge04)-SUMIF(ThresholdAge04,"&lt;"&amp;'19_Расчет_аналитики'!AD3595,WeightedMinAge04),MAX(CapacityAge04*'01_Вводные'!$B$218*'19_Расчет_аналитики'!AD3595,MeanMinAge04))),0)</f>
        <v/>
      </c>
      <c r="AE3503">
        <f>IF('01_Вводные'!$B$234="Да",IF(OR('19_Расчет_аналитики'!AE3475=0,4&lt;='01_Вводные'!$B$297),0,'19_Расчет_аналитики'!AE3475*IF('01_Вводные'!$B$239="Да",MeanMinAge04+'19_Расчет_аналитики'!AE3595*SUMIF(ThresholdAge04,"&lt;"&amp;'19_Расчет_аналитики'!AE3595,WeightedRevAge04)-SUMIF(ThresholdAge04,"&lt;"&amp;'19_Расчет_аналитики'!AE3595,WeightedMinAge04),MAX(CapacityAge04*'01_Вводные'!$B$218*'19_Расчет_аналитики'!AE3595,MeanMinAge04))),0)</f>
        <v/>
      </c>
      <c r="AF3503">
        <f>IF('01_Вводные'!$B$234="Да",IF(OR('19_Расчет_аналитики'!AF3475=0,4&lt;='01_Вводные'!$B$297),0,'19_Расчет_аналитики'!AF3475*IF('01_Вводные'!$B$239="Да",MeanMinAge04+'19_Расчет_аналитики'!AF3595*SUMIF(ThresholdAge04,"&lt;"&amp;'19_Расчет_аналитики'!AF3595,WeightedRevAge04)-SUMIF(ThresholdAge04,"&lt;"&amp;'19_Расчет_аналитики'!AF3595,WeightedMinAge04),MAX(CapacityAge04*'01_Вводные'!$B$218*'19_Расчет_аналитики'!AF3595,MeanMinAge04))),0)</f>
        <v/>
      </c>
      <c r="AG3503">
        <f>IF('01_Вводные'!$B$234="Да",IF(OR('19_Расчет_аналитики'!AG3475=0,4&lt;='01_Вводные'!$B$297),0,'19_Расчет_аналитики'!AG3475*IF('01_Вводные'!$B$239="Да",MeanMinAge04+'19_Расчет_аналитики'!AG3595*SUMIF(ThresholdAge04,"&lt;"&amp;'19_Расчет_аналитики'!AG3595,WeightedRevAge04)-SUMIF(ThresholdAge04,"&lt;"&amp;'19_Расчет_аналитики'!AG3595,WeightedMinAge04),MAX(CapacityAge04*'01_Вводные'!$B$218*'19_Расчет_аналитики'!AG3595,MeanMinAge04))),0)</f>
        <v/>
      </c>
      <c r="AH3503">
        <f>IF('01_Вводные'!$B$234="Да",IF(OR('19_Расчет_аналитики'!AH3475=0,4&lt;='01_Вводные'!$B$297),0,'19_Расчет_аналитики'!AH3475*IF('01_Вводные'!$B$239="Да",MeanMinAge04+'19_Расчет_аналитики'!AH3595*SUMIF(ThresholdAge04,"&lt;"&amp;'19_Расчет_аналитики'!AH3595,WeightedRevAge04)-SUMIF(ThresholdAge04,"&lt;"&amp;'19_Расчет_аналитики'!AH3595,WeightedMinAge04),MAX(CapacityAge04*'01_Вводные'!$B$218*'19_Расчет_аналитики'!AH3595,MeanMinAge04))),0)</f>
        <v/>
      </c>
      <c r="AI3503">
        <f>IF('01_Вводные'!$B$234="Да",IF(OR('19_Расчет_аналитики'!AI3475=0,4&lt;='01_Вводные'!$B$297),0,'19_Расчет_аналитики'!AI3475*IF('01_Вводные'!$B$239="Да",MeanMinAge04+'19_Расчет_аналитики'!AI3595*SUMIF(ThresholdAge04,"&lt;"&amp;'19_Расчет_аналитики'!AI3595,WeightedRevAge04)-SUMIF(ThresholdAge04,"&lt;"&amp;'19_Расчет_аналитики'!AI3595,WeightedMinAge04),MAX(CapacityAge04*'01_Вводные'!$B$218*'19_Расчет_аналитики'!AI3595,MeanMinAge04))),0)</f>
        <v/>
      </c>
      <c r="AJ3503">
        <f>IF('01_Вводные'!$B$234="Да",IF(OR('19_Расчет_аналитики'!AJ3475=0,4&lt;='01_Вводные'!$B$297),0,'19_Расчет_аналитики'!AJ3475*IF('01_Вводные'!$B$239="Да",MeanMinAge04+'19_Расчет_аналитики'!AJ3595*SUMIF(ThresholdAge04,"&lt;"&amp;'19_Расчет_аналитики'!AJ3595,WeightedRevAge04)-SUMIF(ThresholdAge04,"&lt;"&amp;'19_Расчет_аналитики'!AJ3595,WeightedMinAge04),MAX(CapacityAge04*'01_Вводные'!$B$218*'19_Расчет_аналитики'!AJ3595,MeanMinAge04))),0)</f>
        <v/>
      </c>
      <c r="AK3503">
        <f>IF('01_Вводные'!$B$234="Да",IF(OR('19_Расчет_аналитики'!AK3475=0,4&lt;='01_Вводные'!$B$297),0,'19_Расчет_аналитики'!AK3475*IF('01_Вводные'!$B$239="Да",MeanMinAge04+'19_Расчет_аналитики'!AK3595*SUMIF(ThresholdAge04,"&lt;"&amp;'19_Расчет_аналитики'!AK3595,WeightedRevAge04)-SUMIF(ThresholdAge04,"&lt;"&amp;'19_Расчет_аналитики'!AK3595,WeightedMinAge04),MAX(CapacityAge04*'01_Вводные'!$B$218*'19_Расчет_аналитики'!AK3595,MeanMinAge04))),0)</f>
        <v/>
      </c>
      <c r="AL3503">
        <f>IF('01_Вводные'!$B$234="Да",IF(OR('19_Расчет_аналитики'!AL3475=0,4&lt;='01_Вводные'!$B$297),0,'19_Расчет_аналитики'!AL3475*IF('01_Вводные'!$B$239="Да",MeanMinAge04+'19_Расчет_аналитики'!AL3595*SUMIF(ThresholdAge04,"&lt;"&amp;'19_Расчет_аналитики'!AL3595,WeightedRevAge04)-SUMIF(ThresholdAge04,"&lt;"&amp;'19_Расчет_аналитики'!AL3595,WeightedMinAge04),MAX(CapacityAge04*'01_Вводные'!$B$218*'19_Расчет_аналитики'!AL3595,MeanMinAge04))),0)</f>
        <v/>
      </c>
      <c r="AM3503">
        <f>IF('01_Вводные'!$B$234="Да",IF(OR('19_Расчет_аналитики'!AM3475=0,4&lt;='01_Вводные'!$B$297),0,'19_Расчет_аналитики'!AM3475*IF('01_Вводные'!$B$239="Да",MeanMinAge04+'19_Расчет_аналитики'!AM3595*SUMIF(ThresholdAge04,"&lt;"&amp;'19_Расчет_аналитики'!AM3595,WeightedRevAge04)-SUMIF(ThresholdAge04,"&lt;"&amp;'19_Расчет_аналитики'!AM3595,WeightedMinAge04),MAX(CapacityAge04*'01_Вводные'!$B$218*'19_Расчет_аналитики'!AM3595,MeanMinAge04))),0)</f>
        <v/>
      </c>
      <c r="AN3503">
        <f>IF('01_Вводные'!$B$234="Да",IF(OR('19_Расчет_аналитики'!AN3475=0,4&lt;='01_Вводные'!$B$297),0,'19_Расчет_аналитики'!AN3475*IF('01_Вводные'!$B$239="Да",MeanMinAge04+'19_Расчет_аналитики'!AN3595*SUMIF(ThresholdAge04,"&lt;"&amp;'19_Расчет_аналитики'!AN3595,WeightedRevAge04)-SUMIF(ThresholdAge04,"&lt;"&amp;'19_Расчет_аналитики'!AN3595,WeightedMinAge04),MAX(CapacityAge04*'01_Вводные'!$B$218*'19_Расчет_аналитики'!AN3595,MeanMinAge04))),0)</f>
        <v/>
      </c>
      <c r="AO3503">
        <f>IF('01_Вводные'!$B$234="Да",IF(OR('19_Расчет_аналитики'!AO3475=0,4&lt;='01_Вводные'!$B$297),0,'19_Расчет_аналитики'!AO3475*IF('01_Вводные'!$B$239="Да",MeanMinAge04+'19_Расчет_аналитики'!AO3595*SUMIF(ThresholdAge04,"&lt;"&amp;'19_Расчет_аналитики'!AO3595,WeightedRevAge04)-SUMIF(ThresholdAge04,"&lt;"&amp;'19_Расчет_аналитики'!AO3595,WeightedMinAge04),MAX(CapacityAge04*'01_Вводные'!$B$218*'19_Расчет_аналитики'!AO3595,MeanMinAge04))),0)</f>
        <v/>
      </c>
      <c r="AP3503">
        <f>IF('01_Вводные'!$B$234="Да",IF(OR('19_Расчет_аналитики'!AP3475=0,4&lt;='01_Вводные'!$B$297),0,'19_Расчет_аналитики'!AP3475*IF('01_Вводные'!$B$239="Да",MeanMinAge04+'19_Расчет_аналитики'!AP3595*SUMIF(ThresholdAge04,"&lt;"&amp;'19_Расчет_аналитики'!AP3595,WeightedRevAge04)-SUMIF(ThresholdAge04,"&lt;"&amp;'19_Расчет_аналитики'!AP3595,WeightedMinAge04),MAX(CapacityAge04*'01_Вводные'!$B$218*'19_Расчет_аналитики'!AP3595,MeanMinAge04))),0)</f>
        <v/>
      </c>
      <c r="AQ3503">
        <f>IF('01_Вводные'!$B$234="Да",IF(OR('19_Расчет_аналитики'!AQ3475=0,4&lt;='01_Вводные'!$B$297),0,'19_Расчет_аналитики'!AQ3475*IF('01_Вводные'!$B$239="Да",MeanMinAge04+'19_Расчет_аналитики'!AQ3595*SUMIF(ThresholdAge04,"&lt;"&amp;'19_Расчет_аналитики'!AQ3595,WeightedRevAge04)-SUMIF(ThresholdAge04,"&lt;"&amp;'19_Расчет_аналитики'!AQ3595,WeightedMinAge04),MAX(CapacityAge04*'01_Вводные'!$B$218*'19_Расчет_аналитики'!AQ3595,MeanMinAge04))),0)</f>
        <v/>
      </c>
      <c r="AR3503">
        <f>IF('01_Вводные'!$B$234="Да",IF(OR('19_Расчет_аналитики'!AR3475=0,4&lt;='01_Вводные'!$B$297),0,'19_Расчет_аналитики'!AR3475*IF('01_Вводные'!$B$239="Да",MeanMinAge04+'19_Расчет_аналитики'!AR3595*SUMIF(ThresholdAge04,"&lt;"&amp;'19_Расчет_аналитики'!AR3595,WeightedRevAge04)-SUMIF(ThresholdAge04,"&lt;"&amp;'19_Расчет_аналитики'!AR3595,WeightedMinAge04),MAX(CapacityAge04*'01_Вводные'!$B$218*'19_Расчет_аналитики'!AR3595,MeanMinAge04))),0)</f>
        <v/>
      </c>
      <c r="AS3503">
        <f>IF('01_Вводные'!$B$234="Да",IF(OR('19_Расчет_аналитики'!AS3475=0,4&lt;='01_Вводные'!$B$297),0,'19_Расчет_аналитики'!AS3475*IF('01_Вводные'!$B$239="Да",MeanMinAge04+'19_Расчет_аналитики'!AS3595*SUMIF(ThresholdAge04,"&lt;"&amp;'19_Расчет_аналитики'!AS3595,WeightedRevAge04)-SUMIF(ThresholdAge04,"&lt;"&amp;'19_Расчет_аналитики'!AS3595,WeightedMinAge04),MAX(CapacityAge04*'01_Вводные'!$B$218*'19_Расчет_аналитики'!AS3595,MeanMinAge04))),0)</f>
        <v/>
      </c>
      <c r="AT3503">
        <f>IF('01_Вводные'!$B$234="Да",IF(OR('19_Расчет_аналитики'!AT3475=0,4&lt;='01_Вводные'!$B$297),0,'19_Расчет_аналитики'!AT3475*IF('01_Вводные'!$B$239="Да",MeanMinAge04+'19_Расчет_аналитики'!AT3595*SUMIF(ThresholdAge04,"&lt;"&amp;'19_Расчет_аналитики'!AT3595,WeightedRevAge04)-SUMIF(ThresholdAge04,"&lt;"&amp;'19_Расчет_аналитики'!AT3595,WeightedMinAge04),MAX(CapacityAge04*'01_Вводные'!$B$218*'19_Расчет_аналитики'!AT3595,MeanMinAge04))),0)</f>
        <v/>
      </c>
      <c r="AU3503">
        <f>IF('01_Вводные'!$B$234="Да",IF(OR('19_Расчет_аналитики'!AU3475=0,4&lt;='01_Вводные'!$B$297),0,'19_Расчет_аналитики'!AU3475*IF('01_Вводные'!$B$239="Да",MeanMinAge04+'19_Расчет_аналитики'!AU3595*SUMIF(ThresholdAge04,"&lt;"&amp;'19_Расчет_аналитики'!AU3595,WeightedRevAge04)-SUMIF(ThresholdAge04,"&lt;"&amp;'19_Расчет_аналитики'!AU3595,WeightedMinAge04),MAX(CapacityAge04*'01_Вводные'!$B$218*'19_Расчет_аналитики'!AU3595,MeanMinAge04))),0)</f>
        <v/>
      </c>
      <c r="AV3503">
        <f>IF('01_Вводные'!$B$234="Да",IF(OR('19_Расчет_аналитики'!AV3475=0,4&lt;='01_Вводные'!$B$297),0,'19_Расчет_аналитики'!AV3475*IF('01_Вводные'!$B$239="Да",MeanMinAge04+'19_Расчет_аналитики'!AV3595*SUMIF(ThresholdAge04,"&lt;"&amp;'19_Расчет_аналитики'!AV3595,WeightedRevAge04)-SUMIF(ThresholdAge04,"&lt;"&amp;'19_Расчет_аналитики'!AV3595,WeightedMinAge04),MAX(CapacityAge04*'01_Вводные'!$B$218*'19_Расчет_аналитики'!AV3595,MeanMinAge04))),0)</f>
        <v/>
      </c>
      <c r="AW3503">
        <f>IF('01_Вводные'!$B$234="Да",IF(OR('19_Расчет_аналитики'!AW3475=0,4&lt;='01_Вводные'!$B$297),0,'19_Расчет_аналитики'!AW3475*IF('01_Вводные'!$B$239="Да",MeanMinAge04+'19_Расчет_аналитики'!AW3595*SUMIF(ThresholdAge04,"&lt;"&amp;'19_Расчет_аналитики'!AW3595,WeightedRevAge04)-SUMIF(ThresholdAge04,"&lt;"&amp;'19_Расчет_аналитики'!AW3595,WeightedMinAge04),MAX(CapacityAge04*'01_Вводные'!$B$218*'19_Расчет_аналитики'!AW3595,MeanMinAge04))),0)</f>
        <v/>
      </c>
      <c r="AX3503">
        <f>IF('01_Вводные'!$B$234="Да",IF(OR('19_Расчет_аналитики'!AX3475=0,4&lt;='01_Вводные'!$B$297),0,'19_Расчет_аналитики'!AX3475*IF('01_Вводные'!$B$239="Да",MeanMinAge04+'19_Расчет_аналитики'!AX3595*SUMIF(ThresholdAge04,"&lt;"&amp;'19_Расчет_аналитики'!AX3595,WeightedRevAge04)-SUMIF(ThresholdAge04,"&lt;"&amp;'19_Расчет_аналитики'!AX3595,WeightedMinAge04),MAX(CapacityAge04*'01_Вводные'!$B$218*'19_Расчет_аналитики'!AX3595,MeanMinAge04))),0)</f>
        <v/>
      </c>
      <c r="AY3503">
        <f>IF('01_Вводные'!$B$234="Да",IF(OR('19_Расчет_аналитики'!AY3475=0,4&lt;='01_Вводные'!$B$297),0,'19_Расчет_аналитики'!AY3475*IF('01_Вводные'!$B$239="Да",MeanMinAge04+'19_Расчет_аналитики'!AY3595*SUMIF(ThresholdAge04,"&lt;"&amp;'19_Расчет_аналитики'!AY3595,WeightedRevAge04)-SUMIF(ThresholdAge04,"&lt;"&amp;'19_Расчет_аналитики'!AY3595,WeightedMinAge04),MAX(CapacityAge04*'01_Вводные'!$B$218*'19_Расчет_аналитики'!AY3595,MeanMinAge04))),0)</f>
        <v/>
      </c>
      <c r="AZ3503">
        <f>IF('01_Вводные'!$B$234="Да",IF(OR('19_Расчет_аналитики'!AZ3475=0,4&lt;='01_Вводные'!$B$297),0,'19_Расчет_аналитики'!AZ3475*IF('01_Вводные'!$B$239="Да",MeanMinAge04+'19_Расчет_аналитики'!AZ3595*SUMIF(ThresholdAge04,"&lt;"&amp;'19_Расчет_аналитики'!AZ3595,WeightedRevAge04)-SUMIF(ThresholdAge04,"&lt;"&amp;'19_Расчет_аналитики'!AZ3595,WeightedMinAge04),MAX(CapacityAge04*'01_Вводные'!$B$218*'19_Расчет_аналитики'!AZ3595,MeanMinAge04))),0)</f>
        <v/>
      </c>
      <c r="BA3503">
        <f>IF('01_Вводные'!$B$234="Да",IF(OR('19_Расчет_аналитики'!BA3475=0,4&lt;='01_Вводные'!$B$297),0,'19_Расчет_аналитики'!BA3475*IF('01_Вводные'!$B$239="Да",MeanMinAge04+'19_Расчет_аналитики'!BA3595*SUMIF(ThresholdAge04,"&lt;"&amp;'19_Расчет_аналитики'!BA3595,WeightedRevAge04)-SUMIF(ThresholdAge04,"&lt;"&amp;'19_Расчет_аналитики'!BA3595,WeightedMinAge04),MAX(CapacityAge04*'01_Вводные'!$B$218*'19_Расчет_аналитики'!BA3595,MeanMinAge04))),0)</f>
        <v/>
      </c>
      <c r="BB3503">
        <f>IF('01_Вводные'!$B$234="Да",IF(OR('19_Расчет_аналитики'!BB3475=0,4&lt;='01_Вводные'!$B$297),0,'19_Расчет_аналитики'!BB3475*IF('01_Вводные'!$B$239="Да",MeanMinAge04+'19_Расчет_аналитики'!BB3595*SUMIF(ThresholdAge04,"&lt;"&amp;'19_Расчет_аналитики'!BB3595,WeightedRevAge04)-SUMIF(ThresholdAge04,"&lt;"&amp;'19_Расчет_аналитики'!BB3595,WeightedMinAge04),MAX(CapacityAge04*'01_Вводные'!$B$218*'19_Расчет_аналитики'!BB3595,MeanMinAge04))),0)</f>
        <v/>
      </c>
      <c r="BC3503">
        <f>IF('01_Вводные'!$B$234="Да",IF(OR('19_Расчет_аналитики'!BC3475=0,4&lt;='01_Вводные'!$B$297),0,'19_Расчет_аналитики'!BC3475*IF('01_Вводные'!$B$239="Да",MeanMinAge04+'19_Расчет_аналитики'!BC3595*SUMIF(ThresholdAge04,"&lt;"&amp;'19_Расчет_аналитики'!BC3595,WeightedRevAge04)-SUMIF(ThresholdAge04,"&lt;"&amp;'19_Расчет_аналитики'!BC3595,WeightedMinAge04),MAX(CapacityAge04*'01_Вводные'!$B$218*'19_Расчет_аналитики'!BC3595,MeanMinAge04))),0)</f>
        <v/>
      </c>
      <c r="BD3503">
        <f>IF('01_Вводные'!$B$234="Да",IF(OR('19_Расчет_аналитики'!BD3475=0,4&lt;='01_Вводные'!$B$297),0,'19_Расчет_аналитики'!BD3475*IF('01_Вводные'!$B$239="Да",MeanMinAge04+'19_Расчет_аналитики'!BD3595*SUMIF(ThresholdAge04,"&lt;"&amp;'19_Расчет_аналитики'!BD3595,WeightedRevAge04)-SUMIF(ThresholdAge04,"&lt;"&amp;'19_Расчет_аналитики'!BD3595,WeightedMinAge04),MAX(CapacityAge04*'01_Вводные'!$B$218*'19_Расчет_аналитики'!BD3595,MeanMinAge04))),0)</f>
        <v/>
      </c>
      <c r="BE3503">
        <f>IF('01_Вводные'!$B$234="Да",IF(OR('19_Расчет_аналитики'!BE3475=0,4&lt;='01_Вводные'!$B$297),0,'19_Расчет_аналитики'!BE3475*IF('01_Вводные'!$B$239="Да",MeanMinAge04+'19_Расчет_аналитики'!BE3595*SUMIF(ThresholdAge04,"&lt;"&amp;'19_Расчет_аналитики'!BE3595,WeightedRevAge04)-SUMIF(ThresholdAge04,"&lt;"&amp;'19_Расчет_аналитики'!BE3595,WeightedMinAge04),MAX(CapacityAge04*'01_Вводные'!$B$218*'19_Расчет_аналитики'!BE3595,MeanMinAge04))),0)</f>
        <v/>
      </c>
      <c r="BF3503">
        <f>IF('01_Вводные'!$B$234="Да",IF(OR('19_Расчет_аналитики'!BF3475=0,4&lt;='01_Вводные'!$B$297),0,'19_Расчет_аналитики'!BF3475*IF('01_Вводные'!$B$239="Да",MeanMinAge04+'19_Расчет_аналитики'!BF3595*SUMIF(ThresholdAge04,"&lt;"&amp;'19_Расчет_аналитики'!BF3595,WeightedRevAge04)-SUMIF(ThresholdAge04,"&lt;"&amp;'19_Расчет_аналитики'!BF3595,WeightedMinAge04),MAX(CapacityAge04*'01_Вводные'!$B$218*'19_Расчет_аналитики'!BF3595,MeanMinAge04))),0)</f>
        <v/>
      </c>
      <c r="BG3503">
        <f>IF('01_Вводные'!$B$234="Да",IF(OR('19_Расчет_аналитики'!BG3475=0,4&lt;='01_Вводные'!$B$297),0,'19_Расчет_аналитики'!BG3475*IF('01_Вводные'!$B$239="Да",MeanMinAge04+'19_Расчет_аналитики'!BG3595*SUMIF(ThresholdAge04,"&lt;"&amp;'19_Расчет_аналитики'!BG3595,WeightedRevAge04)-SUMIF(ThresholdAge04,"&lt;"&amp;'19_Расчет_аналитики'!BG3595,WeightedMinAge04),MAX(CapacityAge04*'01_Вводные'!$B$218*'19_Расчет_аналитики'!BG3595,MeanMinAge04))),0)</f>
        <v/>
      </c>
      <c r="BH3503">
        <f>IF('01_Вводные'!$B$234="Да",IF(OR('19_Расчет_аналитики'!BH3475=0,4&lt;='01_Вводные'!$B$297),0,'19_Расчет_аналитики'!BH3475*IF('01_Вводные'!$B$239="Да",MeanMinAge04+'19_Расчет_аналитики'!BH3595*SUMIF(ThresholdAge04,"&lt;"&amp;'19_Расчет_аналитики'!BH3595,WeightedRevAge04)-SUMIF(ThresholdAge04,"&lt;"&amp;'19_Расчет_аналитики'!BH3595,WeightedMinAge04),MAX(CapacityAge04*'01_Вводные'!$B$218*'19_Расчет_аналитики'!BH3595,MeanMinAge04))),0)</f>
        <v/>
      </c>
      <c r="BI3503">
        <f>IF('01_Вводные'!$B$234="Да",IF(OR('19_Расчет_аналитики'!BI3475=0,4&lt;='01_Вводные'!$B$297),0,'19_Расчет_аналитики'!BI3475*IF('01_Вводные'!$B$239="Да",MeanMinAge04+'19_Расчет_аналитики'!BI3595*SUMIF(ThresholdAge04,"&lt;"&amp;'19_Расчет_аналитики'!BI3595,WeightedRevAge04)-SUMIF(ThresholdAge04,"&lt;"&amp;'19_Расчет_аналитики'!BI3595,WeightedMinAge04),MAX(CapacityAge04*'01_Вводные'!$B$218*'19_Расчет_аналитики'!BI3595,MeanMinAge04))),0)</f>
        <v/>
      </c>
      <c r="BJ3503">
        <f>IF('01_Вводные'!$B$234="Да",IF(OR('19_Расчет_аналитики'!BJ3475=0,4&lt;='01_Вводные'!$B$297),0,'19_Расчет_аналитики'!BJ3475*IF('01_Вводные'!$B$239="Да",MeanMinAge04+'19_Расчет_аналитики'!BJ3595*SUMIF(ThresholdAge04,"&lt;"&amp;'19_Расчет_аналитики'!BJ3595,WeightedRevAge04)-SUMIF(ThresholdAge04,"&lt;"&amp;'19_Расчет_аналитики'!BJ3595,WeightedMinAge04),MAX(CapacityAge04*'01_Вводные'!$B$218*'19_Расчет_аналитики'!BJ3595,MeanMinAge04))),0)</f>
        <v/>
      </c>
      <c r="BK3503">
        <f>IF('01_Вводные'!$B$234="Да",IF(OR('19_Расчет_аналитики'!BK3475=0,4&lt;='01_Вводные'!$B$297),0,'19_Расчет_аналитики'!BK3475*IF('01_Вводные'!$B$239="Да",MeanMinAge04+'19_Расчет_аналитики'!BK3595*SUMIF(ThresholdAge04,"&lt;"&amp;'19_Расчет_аналитики'!BK3595,WeightedRevAge04)-SUMIF(ThresholdAge04,"&lt;"&amp;'19_Расчет_аналитики'!BK3595,WeightedMinAge04),MAX(CapacityAge04*'01_Вводные'!$B$218*'19_Расчет_аналитики'!BK3595,MeanMinAge04))),0)</f>
        <v/>
      </c>
      <c r="BL3503">
        <f>IF('01_Вводные'!$B$234="Да",IF(OR('19_Расчет_аналитики'!BL3475=0,4&lt;='01_Вводные'!$B$297),0,'19_Расчет_аналитики'!BL3475*IF('01_Вводные'!$B$239="Да",MeanMinAge04+'19_Расчет_аналитики'!BL3595*SUMIF(ThresholdAge04,"&lt;"&amp;'19_Расчет_аналитики'!BL3595,WeightedRevAge04)-SUMIF(ThresholdAge04,"&lt;"&amp;'19_Расчет_аналитики'!BL3595,WeightedMinAge04),MAX(CapacityAge04*'01_Вводные'!$B$218*'19_Расчет_аналитики'!BL3595,MeanMinAge04))),0)</f>
        <v/>
      </c>
      <c r="BM3503">
        <f>IF('01_Вводные'!$B$234="Да",IF(OR('19_Расчет_аналитики'!BM3475=0,4&lt;='01_Вводные'!$B$297),0,'19_Расчет_аналитики'!BM3475*IF('01_Вводные'!$B$239="Да",MeanMinAge04+'19_Расчет_аналитики'!BM3595*SUMIF(ThresholdAge04,"&lt;"&amp;'19_Расчет_аналитики'!BM3595,WeightedRevAge04)-SUMIF(ThresholdAge04,"&lt;"&amp;'19_Расчет_аналитики'!BM3595,WeightedMinAge04),MAX(CapacityAge04*'01_Вводные'!$B$218*'19_Расчет_аналитики'!BM3595,MeanMinAge04))),0)</f>
        <v/>
      </c>
      <c r="BN3503">
        <f>IF('01_Вводные'!$B$234="Да",IF(OR('19_Расчет_аналитики'!BN3475=0,4&lt;='01_Вводные'!$B$297),0,'19_Расчет_аналитики'!BN3475*IF('01_Вводные'!$B$239="Да",MeanMinAge04+'19_Расчет_аналитики'!BN3595*SUMIF(ThresholdAge04,"&lt;"&amp;'19_Расчет_аналитики'!BN3595,WeightedRevAge04)-SUMIF(ThresholdAge04,"&lt;"&amp;'19_Расчет_аналитики'!BN3595,WeightedMinAge04),MAX(CapacityAge04*'01_Вводные'!$B$218*'19_Расчет_аналитики'!BN3595,MeanMinAge04))),0)</f>
        <v/>
      </c>
      <c r="BO3503">
        <f>IF('01_Вводные'!$B$234="Да",IF(OR('19_Расчет_аналитики'!BO3475=0,4&lt;='01_Вводные'!$B$297),0,'19_Расчет_аналитики'!BO3475*IF('01_Вводные'!$B$239="Да",MeanMinAge04+'19_Расчет_аналитики'!BO3595*SUMIF(ThresholdAge04,"&lt;"&amp;'19_Расчет_аналитики'!BO3595,WeightedRevAge04)-SUMIF(ThresholdAge04,"&lt;"&amp;'19_Расчет_аналитики'!BO3595,WeightedMinAge04),MAX(CapacityAge04*'01_Вводные'!$B$218*'19_Расчет_аналитики'!BO3595,MeanMinAge04))),0)</f>
        <v/>
      </c>
    </row>
    <row r="3504">
      <c r="B3504">
        <f>IF('01_Вводные'!$B$234="Да",IF(OR('06_Сеть_и_дети'!B85=0,5&lt;='01_Вводные'!$B$297),0,'06_Сеть_и_дети'!B85*IF('01_Вводные'!$B$239="Да",MeanMinAge05+'19_Расчет_аналитики'!B3595*SUMIF(ThresholdAge05,"&lt;"&amp;'19_Расчет_аналитики'!B3595,WeightedRevAge05)-SUMIF(ThresholdAge05,"&lt;"&amp;'19_Расчет_аналитики'!B3595,WeightedMinAge05),MAX(CapacityAge05*'01_Вводные'!$B$218*'19_Расчет_аналитики'!B3595,MeanMinAge05))),0)</f>
        <v/>
      </c>
      <c r="C3504">
        <f>IF('01_Вводные'!$B$234="Да",IF(OR('06_Сеть_и_дети'!C85=0,5&lt;='01_Вводные'!$B$297),0,'06_Сеть_и_дети'!C85*IF('01_Вводные'!$B$239="Да",MeanMinAge05+'19_Расчет_аналитики'!C3595*SUMIF(ThresholdAge05,"&lt;"&amp;'19_Расчет_аналитики'!C3595,WeightedRevAge05)-SUMIF(ThresholdAge05,"&lt;"&amp;'19_Расчет_аналитики'!C3595,WeightedMinAge05),MAX(CapacityAge05*'01_Вводные'!$B$218*'19_Расчет_аналитики'!C3595,MeanMinAge05))),0)</f>
        <v/>
      </c>
      <c r="D3504">
        <f>IF('01_Вводные'!$B$234="Да",IF(OR('06_Сеть_и_дети'!D85=0,5&lt;='01_Вводные'!$B$297),0,'06_Сеть_и_дети'!D85*IF('01_Вводные'!$B$239="Да",MeanMinAge05+'19_Расчет_аналитики'!D3595*SUMIF(ThresholdAge05,"&lt;"&amp;'19_Расчет_аналитики'!D3595,WeightedRevAge05)-SUMIF(ThresholdAge05,"&lt;"&amp;'19_Расчет_аналитики'!D3595,WeightedMinAge05),MAX(CapacityAge05*'01_Вводные'!$B$218*'19_Расчет_аналитики'!D3595,MeanMinAge05))),0)</f>
        <v/>
      </c>
      <c r="E3504">
        <f>IF('01_Вводные'!$B$234="Да",IF(OR('06_Сеть_и_дети'!E85=0,5&lt;='01_Вводные'!$B$297),0,'06_Сеть_и_дети'!E85*IF('01_Вводные'!$B$239="Да",MeanMinAge05+'19_Расчет_аналитики'!E3595*SUMIF(ThresholdAge05,"&lt;"&amp;'19_Расчет_аналитики'!E3595,WeightedRevAge05)-SUMIF(ThresholdAge05,"&lt;"&amp;'19_Расчет_аналитики'!E3595,WeightedMinAge05),MAX(CapacityAge05*'01_Вводные'!$B$218*'19_Расчет_аналитики'!E3595,MeanMinAge05))),0)</f>
        <v/>
      </c>
      <c r="F3504">
        <f>IF('01_Вводные'!$B$234="Да",IF(OR('19_Расчет_аналитики'!F3476=0,5&lt;='01_Вводные'!$B$297),0,'19_Расчет_аналитики'!F3476*IF('01_Вводные'!$B$239="Да",MeanMinAge05+'19_Расчет_аналитики'!F3595*SUMIF(ThresholdAge05,"&lt;"&amp;'19_Расчет_аналитики'!F3595,WeightedRevAge05)-SUMIF(ThresholdAge05,"&lt;"&amp;'19_Расчет_аналитики'!F3595,WeightedMinAge05),MAX(CapacityAge05*'01_Вводные'!$B$218*'19_Расчет_аналитики'!F3595,MeanMinAge05))),0)</f>
        <v/>
      </c>
      <c r="G3504">
        <f>IF('01_Вводные'!$B$234="Да",IF(OR('19_Расчет_аналитики'!G3476=0,5&lt;='01_Вводные'!$B$297),0,'19_Расчет_аналитики'!G3476*IF('01_Вводные'!$B$239="Да",MeanMinAge05+'19_Расчет_аналитики'!G3595*SUMIF(ThresholdAge05,"&lt;"&amp;'19_Расчет_аналитики'!G3595,WeightedRevAge05)-SUMIF(ThresholdAge05,"&lt;"&amp;'19_Расчет_аналитики'!G3595,WeightedMinAge05),MAX(CapacityAge05*'01_Вводные'!$B$218*'19_Расчет_аналитики'!G3595,MeanMinAge05))),0)</f>
        <v/>
      </c>
      <c r="H3504">
        <f>IF('01_Вводные'!$B$234="Да",IF(OR('19_Расчет_аналитики'!H3476=0,5&lt;='01_Вводные'!$B$297),0,'19_Расчет_аналитики'!H3476*IF('01_Вводные'!$B$239="Да",MeanMinAge05+'19_Расчет_аналитики'!H3595*SUMIF(ThresholdAge05,"&lt;"&amp;'19_Расчет_аналитики'!H3595,WeightedRevAge05)-SUMIF(ThresholdAge05,"&lt;"&amp;'19_Расчет_аналитики'!H3595,WeightedMinAge05),MAX(CapacityAge05*'01_Вводные'!$B$218*'19_Расчет_аналитики'!H3595,MeanMinAge05))),0)</f>
        <v/>
      </c>
      <c r="I3504">
        <f>IF('01_Вводные'!$B$234="Да",IF(OR('19_Расчет_аналитики'!I3476=0,5&lt;='01_Вводные'!$B$297),0,'19_Расчет_аналитики'!I3476*IF('01_Вводные'!$B$239="Да",MeanMinAge05+'19_Расчет_аналитики'!I3595*SUMIF(ThresholdAge05,"&lt;"&amp;'19_Расчет_аналитики'!I3595,WeightedRevAge05)-SUMIF(ThresholdAge05,"&lt;"&amp;'19_Расчет_аналитики'!I3595,WeightedMinAge05),MAX(CapacityAge05*'01_Вводные'!$B$218*'19_Расчет_аналитики'!I3595,MeanMinAge05))),0)</f>
        <v/>
      </c>
      <c r="J3504">
        <f>IF('01_Вводные'!$B$234="Да",IF(OR('19_Расчет_аналитики'!J3476=0,5&lt;='01_Вводные'!$B$297),0,'19_Расчет_аналитики'!J3476*IF('01_Вводные'!$B$239="Да",MeanMinAge05+'19_Расчет_аналитики'!J3595*SUMIF(ThresholdAge05,"&lt;"&amp;'19_Расчет_аналитики'!J3595,WeightedRevAge05)-SUMIF(ThresholdAge05,"&lt;"&amp;'19_Расчет_аналитики'!J3595,WeightedMinAge05),MAX(CapacityAge05*'01_Вводные'!$B$218*'19_Расчет_аналитики'!J3595,MeanMinAge05))),0)</f>
        <v/>
      </c>
      <c r="K3504">
        <f>IF('01_Вводные'!$B$234="Да",IF(OR('19_Расчет_аналитики'!K3476=0,5&lt;='01_Вводные'!$B$297),0,'19_Расчет_аналитики'!K3476*IF('01_Вводные'!$B$239="Да",MeanMinAge05+'19_Расчет_аналитики'!K3595*SUMIF(ThresholdAge05,"&lt;"&amp;'19_Расчет_аналитики'!K3595,WeightedRevAge05)-SUMIF(ThresholdAge05,"&lt;"&amp;'19_Расчет_аналитики'!K3595,WeightedMinAge05),MAX(CapacityAge05*'01_Вводные'!$B$218*'19_Расчет_аналитики'!K3595,MeanMinAge05))),0)</f>
        <v/>
      </c>
      <c r="L3504">
        <f>IF('01_Вводные'!$B$234="Да",IF(OR('19_Расчет_аналитики'!L3476=0,5&lt;='01_Вводные'!$B$297),0,'19_Расчет_аналитики'!L3476*IF('01_Вводные'!$B$239="Да",MeanMinAge05+'19_Расчет_аналитики'!L3595*SUMIF(ThresholdAge05,"&lt;"&amp;'19_Расчет_аналитики'!L3595,WeightedRevAge05)-SUMIF(ThresholdAge05,"&lt;"&amp;'19_Расчет_аналитики'!L3595,WeightedMinAge05),MAX(CapacityAge05*'01_Вводные'!$B$218*'19_Расчет_аналитики'!L3595,MeanMinAge05))),0)</f>
        <v/>
      </c>
      <c r="M3504">
        <f>IF('01_Вводные'!$B$234="Да",IF(OR('19_Расчет_аналитики'!M3476=0,5&lt;='01_Вводные'!$B$297),0,'19_Расчет_аналитики'!M3476*IF('01_Вводные'!$B$239="Да",MeanMinAge05+'19_Расчет_аналитики'!M3595*SUMIF(ThresholdAge05,"&lt;"&amp;'19_Расчет_аналитики'!M3595,WeightedRevAge05)-SUMIF(ThresholdAge05,"&lt;"&amp;'19_Расчет_аналитики'!M3595,WeightedMinAge05),MAX(CapacityAge05*'01_Вводные'!$B$218*'19_Расчет_аналитики'!M3595,MeanMinAge05))),0)</f>
        <v/>
      </c>
      <c r="N3504">
        <f>IF('01_Вводные'!$B$234="Да",IF(OR('19_Расчет_аналитики'!N3476=0,5&lt;='01_Вводные'!$B$297),0,'19_Расчет_аналитики'!N3476*IF('01_Вводные'!$B$239="Да",MeanMinAge05+'19_Расчет_аналитики'!N3595*SUMIF(ThresholdAge05,"&lt;"&amp;'19_Расчет_аналитики'!N3595,WeightedRevAge05)-SUMIF(ThresholdAge05,"&lt;"&amp;'19_Расчет_аналитики'!N3595,WeightedMinAge05),MAX(CapacityAge05*'01_Вводные'!$B$218*'19_Расчет_аналитики'!N3595,MeanMinAge05))),0)</f>
        <v/>
      </c>
      <c r="O3504">
        <f>IF('01_Вводные'!$B$234="Да",IF(OR('19_Расчет_аналитики'!O3476=0,5&lt;='01_Вводные'!$B$297),0,'19_Расчет_аналитики'!O3476*IF('01_Вводные'!$B$239="Да",MeanMinAge05+'19_Расчет_аналитики'!O3595*SUMIF(ThresholdAge05,"&lt;"&amp;'19_Расчет_аналитики'!O3595,WeightedRevAge05)-SUMIF(ThresholdAge05,"&lt;"&amp;'19_Расчет_аналитики'!O3595,WeightedMinAge05),MAX(CapacityAge05*'01_Вводные'!$B$218*'19_Расчет_аналитики'!O3595,MeanMinAge05))),0)</f>
        <v/>
      </c>
      <c r="P3504">
        <f>IF('01_Вводные'!$B$234="Да",IF(OR('19_Расчет_аналитики'!P3476=0,5&lt;='01_Вводные'!$B$297),0,'19_Расчет_аналитики'!P3476*IF('01_Вводные'!$B$239="Да",MeanMinAge05+'19_Расчет_аналитики'!P3595*SUMIF(ThresholdAge05,"&lt;"&amp;'19_Расчет_аналитики'!P3595,WeightedRevAge05)-SUMIF(ThresholdAge05,"&lt;"&amp;'19_Расчет_аналитики'!P3595,WeightedMinAge05),MAX(CapacityAge05*'01_Вводные'!$B$218*'19_Расчет_аналитики'!P3595,MeanMinAge05))),0)</f>
        <v/>
      </c>
      <c r="Q3504">
        <f>IF('01_Вводные'!$B$234="Да",IF(OR('19_Расчет_аналитики'!Q3476=0,5&lt;='01_Вводные'!$B$297),0,'19_Расчет_аналитики'!Q3476*IF('01_Вводные'!$B$239="Да",MeanMinAge05+'19_Расчет_аналитики'!Q3595*SUMIF(ThresholdAge05,"&lt;"&amp;'19_Расчет_аналитики'!Q3595,WeightedRevAge05)-SUMIF(ThresholdAge05,"&lt;"&amp;'19_Расчет_аналитики'!Q3595,WeightedMinAge05),MAX(CapacityAge05*'01_Вводные'!$B$218*'19_Расчет_аналитики'!Q3595,MeanMinAge05))),0)</f>
        <v/>
      </c>
      <c r="R3504">
        <f>IF('01_Вводные'!$B$234="Да",IF(OR('19_Расчет_аналитики'!R3476=0,5&lt;='01_Вводные'!$B$297),0,'19_Расчет_аналитики'!R3476*IF('01_Вводные'!$B$239="Да",MeanMinAge05+'19_Расчет_аналитики'!R3595*SUMIF(ThresholdAge05,"&lt;"&amp;'19_Расчет_аналитики'!R3595,WeightedRevAge05)-SUMIF(ThresholdAge05,"&lt;"&amp;'19_Расчет_аналитики'!R3595,WeightedMinAge05),MAX(CapacityAge05*'01_Вводные'!$B$218*'19_Расчет_аналитики'!R3595,MeanMinAge05))),0)</f>
        <v/>
      </c>
      <c r="S3504">
        <f>IF('01_Вводные'!$B$234="Да",IF(OR('19_Расчет_аналитики'!S3476=0,5&lt;='01_Вводные'!$B$297),0,'19_Расчет_аналитики'!S3476*IF('01_Вводные'!$B$239="Да",MeanMinAge05+'19_Расчет_аналитики'!S3595*SUMIF(ThresholdAge05,"&lt;"&amp;'19_Расчет_аналитики'!S3595,WeightedRevAge05)-SUMIF(ThresholdAge05,"&lt;"&amp;'19_Расчет_аналитики'!S3595,WeightedMinAge05),MAX(CapacityAge05*'01_Вводные'!$B$218*'19_Расчет_аналитики'!S3595,MeanMinAge05))),0)</f>
        <v/>
      </c>
      <c r="T3504">
        <f>IF('01_Вводные'!$B$234="Да",IF(OR('19_Расчет_аналитики'!T3476=0,5&lt;='01_Вводные'!$B$297),0,'19_Расчет_аналитики'!T3476*IF('01_Вводные'!$B$239="Да",MeanMinAge05+'19_Расчет_аналитики'!T3595*SUMIF(ThresholdAge05,"&lt;"&amp;'19_Расчет_аналитики'!T3595,WeightedRevAge05)-SUMIF(ThresholdAge05,"&lt;"&amp;'19_Расчет_аналитики'!T3595,WeightedMinAge05),MAX(CapacityAge05*'01_Вводные'!$B$218*'19_Расчет_аналитики'!T3595,MeanMinAge05))),0)</f>
        <v/>
      </c>
      <c r="U3504">
        <f>IF('01_Вводные'!$B$234="Да",IF(OR('19_Расчет_аналитики'!U3476=0,5&lt;='01_Вводные'!$B$297),0,'19_Расчет_аналитики'!U3476*IF('01_Вводные'!$B$239="Да",MeanMinAge05+'19_Расчет_аналитики'!U3595*SUMIF(ThresholdAge05,"&lt;"&amp;'19_Расчет_аналитики'!U3595,WeightedRevAge05)-SUMIF(ThresholdAge05,"&lt;"&amp;'19_Расчет_аналитики'!U3595,WeightedMinAge05),MAX(CapacityAge05*'01_Вводные'!$B$218*'19_Расчет_аналитики'!U3595,MeanMinAge05))),0)</f>
        <v/>
      </c>
      <c r="V3504">
        <f>IF('01_Вводные'!$B$234="Да",IF(OR('19_Расчет_аналитики'!V3476=0,5&lt;='01_Вводные'!$B$297),0,'19_Расчет_аналитики'!V3476*IF('01_Вводные'!$B$239="Да",MeanMinAge05+'19_Расчет_аналитики'!V3595*SUMIF(ThresholdAge05,"&lt;"&amp;'19_Расчет_аналитики'!V3595,WeightedRevAge05)-SUMIF(ThresholdAge05,"&lt;"&amp;'19_Расчет_аналитики'!V3595,WeightedMinAge05),MAX(CapacityAge05*'01_Вводные'!$B$218*'19_Расчет_аналитики'!V3595,MeanMinAge05))),0)</f>
        <v/>
      </c>
      <c r="W3504">
        <f>IF('01_Вводные'!$B$234="Да",IF(OR('19_Расчет_аналитики'!W3476=0,5&lt;='01_Вводные'!$B$297),0,'19_Расчет_аналитики'!W3476*IF('01_Вводные'!$B$239="Да",MeanMinAge05+'19_Расчет_аналитики'!W3595*SUMIF(ThresholdAge05,"&lt;"&amp;'19_Расчет_аналитики'!W3595,WeightedRevAge05)-SUMIF(ThresholdAge05,"&lt;"&amp;'19_Расчет_аналитики'!W3595,WeightedMinAge05),MAX(CapacityAge05*'01_Вводные'!$B$218*'19_Расчет_аналитики'!W3595,MeanMinAge05))),0)</f>
        <v/>
      </c>
      <c r="X3504">
        <f>IF('01_Вводные'!$B$234="Да",IF(OR('19_Расчет_аналитики'!X3476=0,5&lt;='01_Вводные'!$B$297),0,'19_Расчет_аналитики'!X3476*IF('01_Вводные'!$B$239="Да",MeanMinAge05+'19_Расчет_аналитики'!X3595*SUMIF(ThresholdAge05,"&lt;"&amp;'19_Расчет_аналитики'!X3595,WeightedRevAge05)-SUMIF(ThresholdAge05,"&lt;"&amp;'19_Расчет_аналитики'!X3595,WeightedMinAge05),MAX(CapacityAge05*'01_Вводные'!$B$218*'19_Расчет_аналитики'!X3595,MeanMinAge05))),0)</f>
        <v/>
      </c>
      <c r="Y3504">
        <f>IF('01_Вводные'!$B$234="Да",IF(OR('19_Расчет_аналитики'!Y3476=0,5&lt;='01_Вводные'!$B$297),0,'19_Расчет_аналитики'!Y3476*IF('01_Вводные'!$B$239="Да",MeanMinAge05+'19_Расчет_аналитики'!Y3595*SUMIF(ThresholdAge05,"&lt;"&amp;'19_Расчет_аналитики'!Y3595,WeightedRevAge05)-SUMIF(ThresholdAge05,"&lt;"&amp;'19_Расчет_аналитики'!Y3595,WeightedMinAge05),MAX(CapacityAge05*'01_Вводные'!$B$218*'19_Расчет_аналитики'!Y3595,MeanMinAge05))),0)</f>
        <v/>
      </c>
      <c r="Z3504">
        <f>IF('01_Вводные'!$B$234="Да",IF(OR('19_Расчет_аналитики'!Z3476=0,5&lt;='01_Вводные'!$B$297),0,'19_Расчет_аналитики'!Z3476*IF('01_Вводные'!$B$239="Да",MeanMinAge05+'19_Расчет_аналитики'!Z3595*SUMIF(ThresholdAge05,"&lt;"&amp;'19_Расчет_аналитики'!Z3595,WeightedRevAge05)-SUMIF(ThresholdAge05,"&lt;"&amp;'19_Расчет_аналитики'!Z3595,WeightedMinAge05),MAX(CapacityAge05*'01_Вводные'!$B$218*'19_Расчет_аналитики'!Z3595,MeanMinAge05))),0)</f>
        <v/>
      </c>
      <c r="AA3504">
        <f>IF('01_Вводные'!$B$234="Да",IF(OR('19_Расчет_аналитики'!AA3476=0,5&lt;='01_Вводные'!$B$297),0,'19_Расчет_аналитики'!AA3476*IF('01_Вводные'!$B$239="Да",MeanMinAge05+'19_Расчет_аналитики'!AA3595*SUMIF(ThresholdAge05,"&lt;"&amp;'19_Расчет_аналитики'!AA3595,WeightedRevAge05)-SUMIF(ThresholdAge05,"&lt;"&amp;'19_Расчет_аналитики'!AA3595,WeightedMinAge05),MAX(CapacityAge05*'01_Вводные'!$B$218*'19_Расчет_аналитики'!AA3595,MeanMinAge05))),0)</f>
        <v/>
      </c>
      <c r="AB3504">
        <f>IF('01_Вводные'!$B$234="Да",IF(OR('19_Расчет_аналитики'!AB3476=0,5&lt;='01_Вводные'!$B$297),0,'19_Расчет_аналитики'!AB3476*IF('01_Вводные'!$B$239="Да",MeanMinAge05+'19_Расчет_аналитики'!AB3595*SUMIF(ThresholdAge05,"&lt;"&amp;'19_Расчет_аналитики'!AB3595,WeightedRevAge05)-SUMIF(ThresholdAge05,"&lt;"&amp;'19_Расчет_аналитики'!AB3595,WeightedMinAge05),MAX(CapacityAge05*'01_Вводные'!$B$218*'19_Расчет_аналитики'!AB3595,MeanMinAge05))),0)</f>
        <v/>
      </c>
      <c r="AC3504">
        <f>IF('01_Вводные'!$B$234="Да",IF(OR('19_Расчет_аналитики'!AC3476=0,5&lt;='01_Вводные'!$B$297),0,'19_Расчет_аналитики'!AC3476*IF('01_Вводные'!$B$239="Да",MeanMinAge05+'19_Расчет_аналитики'!AC3595*SUMIF(ThresholdAge05,"&lt;"&amp;'19_Расчет_аналитики'!AC3595,WeightedRevAge05)-SUMIF(ThresholdAge05,"&lt;"&amp;'19_Расчет_аналитики'!AC3595,WeightedMinAge05),MAX(CapacityAge05*'01_Вводные'!$B$218*'19_Расчет_аналитики'!AC3595,MeanMinAge05))),0)</f>
        <v/>
      </c>
      <c r="AD3504">
        <f>IF('01_Вводные'!$B$234="Да",IF(OR('19_Расчет_аналитики'!AD3476=0,5&lt;='01_Вводные'!$B$297),0,'19_Расчет_аналитики'!AD3476*IF('01_Вводные'!$B$239="Да",MeanMinAge05+'19_Расчет_аналитики'!AD3595*SUMIF(ThresholdAge05,"&lt;"&amp;'19_Расчет_аналитики'!AD3595,WeightedRevAge05)-SUMIF(ThresholdAge05,"&lt;"&amp;'19_Расчет_аналитики'!AD3595,WeightedMinAge05),MAX(CapacityAge05*'01_Вводные'!$B$218*'19_Расчет_аналитики'!AD3595,MeanMinAge05))),0)</f>
        <v/>
      </c>
      <c r="AE3504">
        <f>IF('01_Вводные'!$B$234="Да",IF(OR('19_Расчет_аналитики'!AE3476=0,5&lt;='01_Вводные'!$B$297),0,'19_Расчет_аналитики'!AE3476*IF('01_Вводные'!$B$239="Да",MeanMinAge05+'19_Расчет_аналитики'!AE3595*SUMIF(ThresholdAge05,"&lt;"&amp;'19_Расчет_аналитики'!AE3595,WeightedRevAge05)-SUMIF(ThresholdAge05,"&lt;"&amp;'19_Расчет_аналитики'!AE3595,WeightedMinAge05),MAX(CapacityAge05*'01_Вводные'!$B$218*'19_Расчет_аналитики'!AE3595,MeanMinAge05))),0)</f>
        <v/>
      </c>
      <c r="AF3504">
        <f>IF('01_Вводные'!$B$234="Да",IF(OR('19_Расчет_аналитики'!AF3476=0,5&lt;='01_Вводные'!$B$297),0,'19_Расчет_аналитики'!AF3476*IF('01_Вводные'!$B$239="Да",MeanMinAge05+'19_Расчет_аналитики'!AF3595*SUMIF(ThresholdAge05,"&lt;"&amp;'19_Расчет_аналитики'!AF3595,WeightedRevAge05)-SUMIF(ThresholdAge05,"&lt;"&amp;'19_Расчет_аналитики'!AF3595,WeightedMinAge05),MAX(CapacityAge05*'01_Вводные'!$B$218*'19_Расчет_аналитики'!AF3595,MeanMinAge05))),0)</f>
        <v/>
      </c>
      <c r="AG3504">
        <f>IF('01_Вводные'!$B$234="Да",IF(OR('19_Расчет_аналитики'!AG3476=0,5&lt;='01_Вводные'!$B$297),0,'19_Расчет_аналитики'!AG3476*IF('01_Вводные'!$B$239="Да",MeanMinAge05+'19_Расчет_аналитики'!AG3595*SUMIF(ThresholdAge05,"&lt;"&amp;'19_Расчет_аналитики'!AG3595,WeightedRevAge05)-SUMIF(ThresholdAge05,"&lt;"&amp;'19_Расчет_аналитики'!AG3595,WeightedMinAge05),MAX(CapacityAge05*'01_Вводные'!$B$218*'19_Расчет_аналитики'!AG3595,MeanMinAge05))),0)</f>
        <v/>
      </c>
      <c r="AH3504">
        <f>IF('01_Вводные'!$B$234="Да",IF(OR('19_Расчет_аналитики'!AH3476=0,5&lt;='01_Вводные'!$B$297),0,'19_Расчет_аналитики'!AH3476*IF('01_Вводные'!$B$239="Да",MeanMinAge05+'19_Расчет_аналитики'!AH3595*SUMIF(ThresholdAge05,"&lt;"&amp;'19_Расчет_аналитики'!AH3595,WeightedRevAge05)-SUMIF(ThresholdAge05,"&lt;"&amp;'19_Расчет_аналитики'!AH3595,WeightedMinAge05),MAX(CapacityAge05*'01_Вводные'!$B$218*'19_Расчет_аналитики'!AH3595,MeanMinAge05))),0)</f>
        <v/>
      </c>
      <c r="AI3504">
        <f>IF('01_Вводные'!$B$234="Да",IF(OR('19_Расчет_аналитики'!AI3476=0,5&lt;='01_Вводные'!$B$297),0,'19_Расчет_аналитики'!AI3476*IF('01_Вводные'!$B$239="Да",MeanMinAge05+'19_Расчет_аналитики'!AI3595*SUMIF(ThresholdAge05,"&lt;"&amp;'19_Расчет_аналитики'!AI3595,WeightedRevAge05)-SUMIF(ThresholdAge05,"&lt;"&amp;'19_Расчет_аналитики'!AI3595,WeightedMinAge05),MAX(CapacityAge05*'01_Вводные'!$B$218*'19_Расчет_аналитики'!AI3595,MeanMinAge05))),0)</f>
        <v/>
      </c>
      <c r="AJ3504">
        <f>IF('01_Вводные'!$B$234="Да",IF(OR('19_Расчет_аналитики'!AJ3476=0,5&lt;='01_Вводные'!$B$297),0,'19_Расчет_аналитики'!AJ3476*IF('01_Вводные'!$B$239="Да",MeanMinAge05+'19_Расчет_аналитики'!AJ3595*SUMIF(ThresholdAge05,"&lt;"&amp;'19_Расчет_аналитики'!AJ3595,WeightedRevAge05)-SUMIF(ThresholdAge05,"&lt;"&amp;'19_Расчет_аналитики'!AJ3595,WeightedMinAge05),MAX(CapacityAge05*'01_Вводные'!$B$218*'19_Расчет_аналитики'!AJ3595,MeanMinAge05))),0)</f>
        <v/>
      </c>
      <c r="AK3504">
        <f>IF('01_Вводные'!$B$234="Да",IF(OR('19_Расчет_аналитики'!AK3476=0,5&lt;='01_Вводные'!$B$297),0,'19_Расчет_аналитики'!AK3476*IF('01_Вводные'!$B$239="Да",MeanMinAge05+'19_Расчет_аналитики'!AK3595*SUMIF(ThresholdAge05,"&lt;"&amp;'19_Расчет_аналитики'!AK3595,WeightedRevAge05)-SUMIF(ThresholdAge05,"&lt;"&amp;'19_Расчет_аналитики'!AK3595,WeightedMinAge05),MAX(CapacityAge05*'01_Вводные'!$B$218*'19_Расчет_аналитики'!AK3595,MeanMinAge05))),0)</f>
        <v/>
      </c>
      <c r="AL3504">
        <f>IF('01_Вводные'!$B$234="Да",IF(OR('19_Расчет_аналитики'!AL3476=0,5&lt;='01_Вводные'!$B$297),0,'19_Расчет_аналитики'!AL3476*IF('01_Вводные'!$B$239="Да",MeanMinAge05+'19_Расчет_аналитики'!AL3595*SUMIF(ThresholdAge05,"&lt;"&amp;'19_Расчет_аналитики'!AL3595,WeightedRevAge05)-SUMIF(ThresholdAge05,"&lt;"&amp;'19_Расчет_аналитики'!AL3595,WeightedMinAge05),MAX(CapacityAge05*'01_Вводные'!$B$218*'19_Расчет_аналитики'!AL3595,MeanMinAge05))),0)</f>
        <v/>
      </c>
      <c r="AM3504">
        <f>IF('01_Вводные'!$B$234="Да",IF(OR('19_Расчет_аналитики'!AM3476=0,5&lt;='01_Вводные'!$B$297),0,'19_Расчет_аналитики'!AM3476*IF('01_Вводные'!$B$239="Да",MeanMinAge05+'19_Расчет_аналитики'!AM3595*SUMIF(ThresholdAge05,"&lt;"&amp;'19_Расчет_аналитики'!AM3595,WeightedRevAge05)-SUMIF(ThresholdAge05,"&lt;"&amp;'19_Расчет_аналитики'!AM3595,WeightedMinAge05),MAX(CapacityAge05*'01_Вводные'!$B$218*'19_Расчет_аналитики'!AM3595,MeanMinAge05))),0)</f>
        <v/>
      </c>
      <c r="AN3504">
        <f>IF('01_Вводные'!$B$234="Да",IF(OR('19_Расчет_аналитики'!AN3476=0,5&lt;='01_Вводные'!$B$297),0,'19_Расчет_аналитики'!AN3476*IF('01_Вводные'!$B$239="Да",MeanMinAge05+'19_Расчет_аналитики'!AN3595*SUMIF(ThresholdAge05,"&lt;"&amp;'19_Расчет_аналитики'!AN3595,WeightedRevAge05)-SUMIF(ThresholdAge05,"&lt;"&amp;'19_Расчет_аналитики'!AN3595,WeightedMinAge05),MAX(CapacityAge05*'01_Вводные'!$B$218*'19_Расчет_аналитики'!AN3595,MeanMinAge05))),0)</f>
        <v/>
      </c>
      <c r="AO3504">
        <f>IF('01_Вводные'!$B$234="Да",IF(OR('19_Расчет_аналитики'!AO3476=0,5&lt;='01_Вводные'!$B$297),0,'19_Расчет_аналитики'!AO3476*IF('01_Вводные'!$B$239="Да",MeanMinAge05+'19_Расчет_аналитики'!AO3595*SUMIF(ThresholdAge05,"&lt;"&amp;'19_Расчет_аналитики'!AO3595,WeightedRevAge05)-SUMIF(ThresholdAge05,"&lt;"&amp;'19_Расчет_аналитики'!AO3595,WeightedMinAge05),MAX(CapacityAge05*'01_Вводные'!$B$218*'19_Расчет_аналитики'!AO3595,MeanMinAge05))),0)</f>
        <v/>
      </c>
      <c r="AP3504">
        <f>IF('01_Вводные'!$B$234="Да",IF(OR('19_Расчет_аналитики'!AP3476=0,5&lt;='01_Вводные'!$B$297),0,'19_Расчет_аналитики'!AP3476*IF('01_Вводные'!$B$239="Да",MeanMinAge05+'19_Расчет_аналитики'!AP3595*SUMIF(ThresholdAge05,"&lt;"&amp;'19_Расчет_аналитики'!AP3595,WeightedRevAge05)-SUMIF(ThresholdAge05,"&lt;"&amp;'19_Расчет_аналитики'!AP3595,WeightedMinAge05),MAX(CapacityAge05*'01_Вводные'!$B$218*'19_Расчет_аналитики'!AP3595,MeanMinAge05))),0)</f>
        <v/>
      </c>
      <c r="AQ3504">
        <f>IF('01_Вводные'!$B$234="Да",IF(OR('19_Расчет_аналитики'!AQ3476=0,5&lt;='01_Вводные'!$B$297),0,'19_Расчет_аналитики'!AQ3476*IF('01_Вводные'!$B$239="Да",MeanMinAge05+'19_Расчет_аналитики'!AQ3595*SUMIF(ThresholdAge05,"&lt;"&amp;'19_Расчет_аналитики'!AQ3595,WeightedRevAge05)-SUMIF(ThresholdAge05,"&lt;"&amp;'19_Расчет_аналитики'!AQ3595,WeightedMinAge05),MAX(CapacityAge05*'01_Вводные'!$B$218*'19_Расчет_аналитики'!AQ3595,MeanMinAge05))),0)</f>
        <v/>
      </c>
      <c r="AR3504">
        <f>IF('01_Вводные'!$B$234="Да",IF(OR('19_Расчет_аналитики'!AR3476=0,5&lt;='01_Вводные'!$B$297),0,'19_Расчет_аналитики'!AR3476*IF('01_Вводные'!$B$239="Да",MeanMinAge05+'19_Расчет_аналитики'!AR3595*SUMIF(ThresholdAge05,"&lt;"&amp;'19_Расчет_аналитики'!AR3595,WeightedRevAge05)-SUMIF(ThresholdAge05,"&lt;"&amp;'19_Расчет_аналитики'!AR3595,WeightedMinAge05),MAX(CapacityAge05*'01_Вводные'!$B$218*'19_Расчет_аналитики'!AR3595,MeanMinAge05))),0)</f>
        <v/>
      </c>
      <c r="AS3504">
        <f>IF('01_Вводные'!$B$234="Да",IF(OR('19_Расчет_аналитики'!AS3476=0,5&lt;='01_Вводные'!$B$297),0,'19_Расчет_аналитики'!AS3476*IF('01_Вводные'!$B$239="Да",MeanMinAge05+'19_Расчет_аналитики'!AS3595*SUMIF(ThresholdAge05,"&lt;"&amp;'19_Расчет_аналитики'!AS3595,WeightedRevAge05)-SUMIF(ThresholdAge05,"&lt;"&amp;'19_Расчет_аналитики'!AS3595,WeightedMinAge05),MAX(CapacityAge05*'01_Вводные'!$B$218*'19_Расчет_аналитики'!AS3595,MeanMinAge05))),0)</f>
        <v/>
      </c>
      <c r="AT3504">
        <f>IF('01_Вводные'!$B$234="Да",IF(OR('19_Расчет_аналитики'!AT3476=0,5&lt;='01_Вводные'!$B$297),0,'19_Расчет_аналитики'!AT3476*IF('01_Вводные'!$B$239="Да",MeanMinAge05+'19_Расчет_аналитики'!AT3595*SUMIF(ThresholdAge05,"&lt;"&amp;'19_Расчет_аналитики'!AT3595,WeightedRevAge05)-SUMIF(ThresholdAge05,"&lt;"&amp;'19_Расчет_аналитики'!AT3595,WeightedMinAge05),MAX(CapacityAge05*'01_Вводные'!$B$218*'19_Расчет_аналитики'!AT3595,MeanMinAge05))),0)</f>
        <v/>
      </c>
      <c r="AU3504">
        <f>IF('01_Вводные'!$B$234="Да",IF(OR('19_Расчет_аналитики'!AU3476=0,5&lt;='01_Вводные'!$B$297),0,'19_Расчет_аналитики'!AU3476*IF('01_Вводные'!$B$239="Да",MeanMinAge05+'19_Расчет_аналитики'!AU3595*SUMIF(ThresholdAge05,"&lt;"&amp;'19_Расчет_аналитики'!AU3595,WeightedRevAge05)-SUMIF(ThresholdAge05,"&lt;"&amp;'19_Расчет_аналитики'!AU3595,WeightedMinAge05),MAX(CapacityAge05*'01_Вводные'!$B$218*'19_Расчет_аналитики'!AU3595,MeanMinAge05))),0)</f>
        <v/>
      </c>
      <c r="AV3504">
        <f>IF('01_Вводные'!$B$234="Да",IF(OR('19_Расчет_аналитики'!AV3476=0,5&lt;='01_Вводные'!$B$297),0,'19_Расчет_аналитики'!AV3476*IF('01_Вводные'!$B$239="Да",MeanMinAge05+'19_Расчет_аналитики'!AV3595*SUMIF(ThresholdAge05,"&lt;"&amp;'19_Расчет_аналитики'!AV3595,WeightedRevAge05)-SUMIF(ThresholdAge05,"&lt;"&amp;'19_Расчет_аналитики'!AV3595,WeightedMinAge05),MAX(CapacityAge05*'01_Вводные'!$B$218*'19_Расчет_аналитики'!AV3595,MeanMinAge05))),0)</f>
        <v/>
      </c>
      <c r="AW3504">
        <f>IF('01_Вводные'!$B$234="Да",IF(OR('19_Расчет_аналитики'!AW3476=0,5&lt;='01_Вводные'!$B$297),0,'19_Расчет_аналитики'!AW3476*IF('01_Вводные'!$B$239="Да",MeanMinAge05+'19_Расчет_аналитики'!AW3595*SUMIF(ThresholdAge05,"&lt;"&amp;'19_Расчет_аналитики'!AW3595,WeightedRevAge05)-SUMIF(ThresholdAge05,"&lt;"&amp;'19_Расчет_аналитики'!AW3595,WeightedMinAge05),MAX(CapacityAge05*'01_Вводные'!$B$218*'19_Расчет_аналитики'!AW3595,MeanMinAge05))),0)</f>
        <v/>
      </c>
      <c r="AX3504">
        <f>IF('01_Вводные'!$B$234="Да",IF(OR('19_Расчет_аналитики'!AX3476=0,5&lt;='01_Вводные'!$B$297),0,'19_Расчет_аналитики'!AX3476*IF('01_Вводные'!$B$239="Да",MeanMinAge05+'19_Расчет_аналитики'!AX3595*SUMIF(ThresholdAge05,"&lt;"&amp;'19_Расчет_аналитики'!AX3595,WeightedRevAge05)-SUMIF(ThresholdAge05,"&lt;"&amp;'19_Расчет_аналитики'!AX3595,WeightedMinAge05),MAX(CapacityAge05*'01_Вводные'!$B$218*'19_Расчет_аналитики'!AX3595,MeanMinAge05))),0)</f>
        <v/>
      </c>
      <c r="AY3504">
        <f>IF('01_Вводные'!$B$234="Да",IF(OR('19_Расчет_аналитики'!AY3476=0,5&lt;='01_Вводные'!$B$297),0,'19_Расчет_аналитики'!AY3476*IF('01_Вводные'!$B$239="Да",MeanMinAge05+'19_Расчет_аналитики'!AY3595*SUMIF(ThresholdAge05,"&lt;"&amp;'19_Расчет_аналитики'!AY3595,WeightedRevAge05)-SUMIF(ThresholdAge05,"&lt;"&amp;'19_Расчет_аналитики'!AY3595,WeightedMinAge05),MAX(CapacityAge05*'01_Вводные'!$B$218*'19_Расчет_аналитики'!AY3595,MeanMinAge05))),0)</f>
        <v/>
      </c>
      <c r="AZ3504">
        <f>IF('01_Вводные'!$B$234="Да",IF(OR('19_Расчет_аналитики'!AZ3476=0,5&lt;='01_Вводные'!$B$297),0,'19_Расчет_аналитики'!AZ3476*IF('01_Вводные'!$B$239="Да",MeanMinAge05+'19_Расчет_аналитики'!AZ3595*SUMIF(ThresholdAge05,"&lt;"&amp;'19_Расчет_аналитики'!AZ3595,WeightedRevAge05)-SUMIF(ThresholdAge05,"&lt;"&amp;'19_Расчет_аналитики'!AZ3595,WeightedMinAge05),MAX(CapacityAge05*'01_Вводные'!$B$218*'19_Расчет_аналитики'!AZ3595,MeanMinAge05))),0)</f>
        <v/>
      </c>
      <c r="BA3504">
        <f>IF('01_Вводные'!$B$234="Да",IF(OR('19_Расчет_аналитики'!BA3476=0,5&lt;='01_Вводные'!$B$297),0,'19_Расчет_аналитики'!BA3476*IF('01_Вводные'!$B$239="Да",MeanMinAge05+'19_Расчет_аналитики'!BA3595*SUMIF(ThresholdAge05,"&lt;"&amp;'19_Расчет_аналитики'!BA3595,WeightedRevAge05)-SUMIF(ThresholdAge05,"&lt;"&amp;'19_Расчет_аналитики'!BA3595,WeightedMinAge05),MAX(CapacityAge05*'01_Вводные'!$B$218*'19_Расчет_аналитики'!BA3595,MeanMinAge05))),0)</f>
        <v/>
      </c>
      <c r="BB3504">
        <f>IF('01_Вводные'!$B$234="Да",IF(OR('19_Расчет_аналитики'!BB3476=0,5&lt;='01_Вводные'!$B$297),0,'19_Расчет_аналитики'!BB3476*IF('01_Вводные'!$B$239="Да",MeanMinAge05+'19_Расчет_аналитики'!BB3595*SUMIF(ThresholdAge05,"&lt;"&amp;'19_Расчет_аналитики'!BB3595,WeightedRevAge05)-SUMIF(ThresholdAge05,"&lt;"&amp;'19_Расчет_аналитики'!BB3595,WeightedMinAge05),MAX(CapacityAge05*'01_Вводные'!$B$218*'19_Расчет_аналитики'!BB3595,MeanMinAge05))),0)</f>
        <v/>
      </c>
      <c r="BC3504">
        <f>IF('01_Вводные'!$B$234="Да",IF(OR('19_Расчет_аналитики'!BC3476=0,5&lt;='01_Вводные'!$B$297),0,'19_Расчет_аналитики'!BC3476*IF('01_Вводные'!$B$239="Да",MeanMinAge05+'19_Расчет_аналитики'!BC3595*SUMIF(ThresholdAge05,"&lt;"&amp;'19_Расчет_аналитики'!BC3595,WeightedRevAge05)-SUMIF(ThresholdAge05,"&lt;"&amp;'19_Расчет_аналитики'!BC3595,WeightedMinAge05),MAX(CapacityAge05*'01_Вводные'!$B$218*'19_Расчет_аналитики'!BC3595,MeanMinAge05))),0)</f>
        <v/>
      </c>
      <c r="BD3504">
        <f>IF('01_Вводные'!$B$234="Да",IF(OR('19_Расчет_аналитики'!BD3476=0,5&lt;='01_Вводные'!$B$297),0,'19_Расчет_аналитики'!BD3476*IF('01_Вводные'!$B$239="Да",MeanMinAge05+'19_Расчет_аналитики'!BD3595*SUMIF(ThresholdAge05,"&lt;"&amp;'19_Расчет_аналитики'!BD3595,WeightedRevAge05)-SUMIF(ThresholdAge05,"&lt;"&amp;'19_Расчет_аналитики'!BD3595,WeightedMinAge05),MAX(CapacityAge05*'01_Вводные'!$B$218*'19_Расчет_аналитики'!BD3595,MeanMinAge05))),0)</f>
        <v/>
      </c>
      <c r="BE3504">
        <f>IF('01_Вводные'!$B$234="Да",IF(OR('19_Расчет_аналитики'!BE3476=0,5&lt;='01_Вводные'!$B$297),0,'19_Расчет_аналитики'!BE3476*IF('01_Вводные'!$B$239="Да",MeanMinAge05+'19_Расчет_аналитики'!BE3595*SUMIF(ThresholdAge05,"&lt;"&amp;'19_Расчет_аналитики'!BE3595,WeightedRevAge05)-SUMIF(ThresholdAge05,"&lt;"&amp;'19_Расчет_аналитики'!BE3595,WeightedMinAge05),MAX(CapacityAge05*'01_Вводные'!$B$218*'19_Расчет_аналитики'!BE3595,MeanMinAge05))),0)</f>
        <v/>
      </c>
      <c r="BF3504">
        <f>IF('01_Вводные'!$B$234="Да",IF(OR('19_Расчет_аналитики'!BF3476=0,5&lt;='01_Вводные'!$B$297),0,'19_Расчет_аналитики'!BF3476*IF('01_Вводные'!$B$239="Да",MeanMinAge05+'19_Расчет_аналитики'!BF3595*SUMIF(ThresholdAge05,"&lt;"&amp;'19_Расчет_аналитики'!BF3595,WeightedRevAge05)-SUMIF(ThresholdAge05,"&lt;"&amp;'19_Расчет_аналитики'!BF3595,WeightedMinAge05),MAX(CapacityAge05*'01_Вводные'!$B$218*'19_Расчет_аналитики'!BF3595,MeanMinAge05))),0)</f>
        <v/>
      </c>
      <c r="BG3504">
        <f>IF('01_Вводные'!$B$234="Да",IF(OR('19_Расчет_аналитики'!BG3476=0,5&lt;='01_Вводные'!$B$297),0,'19_Расчет_аналитики'!BG3476*IF('01_Вводные'!$B$239="Да",MeanMinAge05+'19_Расчет_аналитики'!BG3595*SUMIF(ThresholdAge05,"&lt;"&amp;'19_Расчет_аналитики'!BG3595,WeightedRevAge05)-SUMIF(ThresholdAge05,"&lt;"&amp;'19_Расчет_аналитики'!BG3595,WeightedMinAge05),MAX(CapacityAge05*'01_Вводные'!$B$218*'19_Расчет_аналитики'!BG3595,MeanMinAge05))),0)</f>
        <v/>
      </c>
      <c r="BH3504">
        <f>IF('01_Вводные'!$B$234="Да",IF(OR('19_Расчет_аналитики'!BH3476=0,5&lt;='01_Вводные'!$B$297),0,'19_Расчет_аналитики'!BH3476*IF('01_Вводные'!$B$239="Да",MeanMinAge05+'19_Расчет_аналитики'!BH3595*SUMIF(ThresholdAge05,"&lt;"&amp;'19_Расчет_аналитики'!BH3595,WeightedRevAge05)-SUMIF(ThresholdAge05,"&lt;"&amp;'19_Расчет_аналитики'!BH3595,WeightedMinAge05),MAX(CapacityAge05*'01_Вводные'!$B$218*'19_Расчет_аналитики'!BH3595,MeanMinAge05))),0)</f>
        <v/>
      </c>
      <c r="BI3504">
        <f>IF('01_Вводные'!$B$234="Да",IF(OR('19_Расчет_аналитики'!BI3476=0,5&lt;='01_Вводные'!$B$297),0,'19_Расчет_аналитики'!BI3476*IF('01_Вводные'!$B$239="Да",MeanMinAge05+'19_Расчет_аналитики'!BI3595*SUMIF(ThresholdAge05,"&lt;"&amp;'19_Расчет_аналитики'!BI3595,WeightedRevAge05)-SUMIF(ThresholdAge05,"&lt;"&amp;'19_Расчет_аналитики'!BI3595,WeightedMinAge05),MAX(CapacityAge05*'01_Вводные'!$B$218*'19_Расчет_аналитики'!BI3595,MeanMinAge05))),0)</f>
        <v/>
      </c>
      <c r="BJ3504">
        <f>IF('01_Вводные'!$B$234="Да",IF(OR('19_Расчет_аналитики'!BJ3476=0,5&lt;='01_Вводные'!$B$297),0,'19_Расчет_аналитики'!BJ3476*IF('01_Вводные'!$B$239="Да",MeanMinAge05+'19_Расчет_аналитики'!BJ3595*SUMIF(ThresholdAge05,"&lt;"&amp;'19_Расчет_аналитики'!BJ3595,WeightedRevAge05)-SUMIF(ThresholdAge05,"&lt;"&amp;'19_Расчет_аналитики'!BJ3595,WeightedMinAge05),MAX(CapacityAge05*'01_Вводные'!$B$218*'19_Расчет_аналитики'!BJ3595,MeanMinAge05))),0)</f>
        <v/>
      </c>
      <c r="BK3504">
        <f>IF('01_Вводные'!$B$234="Да",IF(OR('19_Расчет_аналитики'!BK3476=0,5&lt;='01_Вводные'!$B$297),0,'19_Расчет_аналитики'!BK3476*IF('01_Вводные'!$B$239="Да",MeanMinAge05+'19_Расчет_аналитики'!BK3595*SUMIF(ThresholdAge05,"&lt;"&amp;'19_Расчет_аналитики'!BK3595,WeightedRevAge05)-SUMIF(ThresholdAge05,"&lt;"&amp;'19_Расчет_аналитики'!BK3595,WeightedMinAge05),MAX(CapacityAge05*'01_Вводные'!$B$218*'19_Расчет_аналитики'!BK3595,MeanMinAge05))),0)</f>
        <v/>
      </c>
      <c r="BL3504">
        <f>IF('01_Вводные'!$B$234="Да",IF(OR('19_Расчет_аналитики'!BL3476=0,5&lt;='01_Вводные'!$B$297),0,'19_Расчет_аналитики'!BL3476*IF('01_Вводные'!$B$239="Да",MeanMinAge05+'19_Расчет_аналитики'!BL3595*SUMIF(ThresholdAge05,"&lt;"&amp;'19_Расчет_аналитики'!BL3595,WeightedRevAge05)-SUMIF(ThresholdAge05,"&lt;"&amp;'19_Расчет_аналитики'!BL3595,WeightedMinAge05),MAX(CapacityAge05*'01_Вводные'!$B$218*'19_Расчет_аналитики'!BL3595,MeanMinAge05))),0)</f>
        <v/>
      </c>
      <c r="BM3504">
        <f>IF('01_Вводные'!$B$234="Да",IF(OR('19_Расчет_аналитики'!BM3476=0,5&lt;='01_Вводные'!$B$297),0,'19_Расчет_аналитики'!BM3476*IF('01_Вводные'!$B$239="Да",MeanMinAge05+'19_Расчет_аналитики'!BM3595*SUMIF(ThresholdAge05,"&lt;"&amp;'19_Расчет_аналитики'!BM3595,WeightedRevAge05)-SUMIF(ThresholdAge05,"&lt;"&amp;'19_Расчет_аналитики'!BM3595,WeightedMinAge05),MAX(CapacityAge05*'01_Вводные'!$B$218*'19_Расчет_аналитики'!BM3595,MeanMinAge05))),0)</f>
        <v/>
      </c>
      <c r="BN3504">
        <f>IF('01_Вводные'!$B$234="Да",IF(OR('19_Расчет_аналитики'!BN3476=0,5&lt;='01_Вводные'!$B$297),0,'19_Расчет_аналитики'!BN3476*IF('01_Вводные'!$B$239="Да",MeanMinAge05+'19_Расчет_аналитики'!BN3595*SUMIF(ThresholdAge05,"&lt;"&amp;'19_Расчет_аналитики'!BN3595,WeightedRevAge05)-SUMIF(ThresholdAge05,"&lt;"&amp;'19_Расчет_аналитики'!BN3595,WeightedMinAge05),MAX(CapacityAge05*'01_Вводные'!$B$218*'19_Расчет_аналитики'!BN3595,MeanMinAge05))),0)</f>
        <v/>
      </c>
      <c r="BO3504">
        <f>IF('01_Вводные'!$B$234="Да",IF(OR('19_Расчет_аналитики'!BO3476=0,5&lt;='01_Вводные'!$B$297),0,'19_Расчет_аналитики'!BO3476*IF('01_Вводные'!$B$239="Да",MeanMinAge05+'19_Расчет_аналитики'!BO3595*SUMIF(ThresholdAge05,"&lt;"&amp;'19_Расчет_аналитики'!BO3595,WeightedRevAge05)-SUMIF(ThresholdAge05,"&lt;"&amp;'19_Расчет_аналитики'!BO3595,WeightedMinAge05),MAX(CapacityAge05*'01_Вводные'!$B$218*'19_Расчет_аналитики'!BO3595,MeanMinAge05))),0)</f>
        <v/>
      </c>
    </row>
    <row r="3505">
      <c r="B3505">
        <f>IF('01_Вводные'!$B$234="Да",IF(OR('06_Сеть_и_дети'!B86=0,6&lt;='01_Вводные'!$B$297),0,'06_Сеть_и_дети'!B86*IF('01_Вводные'!$B$239="Да",MeanMinAge06+'19_Расчет_аналитики'!B3595*SUMIF(ThresholdAge06,"&lt;"&amp;'19_Расчет_аналитики'!B3595,WeightedRevAge06)-SUMIF(ThresholdAge06,"&lt;"&amp;'19_Расчет_аналитики'!B3595,WeightedMinAge06),MAX(CapacityAge06*'01_Вводные'!$B$218*'19_Расчет_аналитики'!B3595,MeanMinAge06))),0)</f>
        <v/>
      </c>
      <c r="C3505">
        <f>IF('01_Вводные'!$B$234="Да",IF(OR('06_Сеть_и_дети'!C86=0,6&lt;='01_Вводные'!$B$297),0,'06_Сеть_и_дети'!C86*IF('01_Вводные'!$B$239="Да",MeanMinAge06+'19_Расчет_аналитики'!C3595*SUMIF(ThresholdAge06,"&lt;"&amp;'19_Расчет_аналитики'!C3595,WeightedRevAge06)-SUMIF(ThresholdAge06,"&lt;"&amp;'19_Расчет_аналитики'!C3595,WeightedMinAge06),MAX(CapacityAge06*'01_Вводные'!$B$218*'19_Расчет_аналитики'!C3595,MeanMinAge06))),0)</f>
        <v/>
      </c>
      <c r="D3505">
        <f>IF('01_Вводные'!$B$234="Да",IF(OR('06_Сеть_и_дети'!D86=0,6&lt;='01_Вводные'!$B$297),0,'06_Сеть_и_дети'!D86*IF('01_Вводные'!$B$239="Да",MeanMinAge06+'19_Расчет_аналитики'!D3595*SUMIF(ThresholdAge06,"&lt;"&amp;'19_Расчет_аналитики'!D3595,WeightedRevAge06)-SUMIF(ThresholdAge06,"&lt;"&amp;'19_Расчет_аналитики'!D3595,WeightedMinAge06),MAX(CapacityAge06*'01_Вводные'!$B$218*'19_Расчет_аналитики'!D3595,MeanMinAge06))),0)</f>
        <v/>
      </c>
      <c r="E3505">
        <f>IF('01_Вводные'!$B$234="Да",IF(OR('06_Сеть_и_дети'!E86=0,6&lt;='01_Вводные'!$B$297),0,'06_Сеть_и_дети'!E86*IF('01_Вводные'!$B$239="Да",MeanMinAge06+'19_Расчет_аналитики'!E3595*SUMIF(ThresholdAge06,"&lt;"&amp;'19_Расчет_аналитики'!E3595,WeightedRevAge06)-SUMIF(ThresholdAge06,"&lt;"&amp;'19_Расчет_аналитики'!E3595,WeightedMinAge06),MAX(CapacityAge06*'01_Вводные'!$B$218*'19_Расчет_аналитики'!E3595,MeanMinAge06))),0)</f>
        <v/>
      </c>
      <c r="F3505">
        <f>IF('01_Вводные'!$B$234="Да",IF(OR('06_Сеть_и_дети'!F86=0,6&lt;='01_Вводные'!$B$297),0,'06_Сеть_и_дети'!F86*IF('01_Вводные'!$B$239="Да",MeanMinAge06+'19_Расчет_аналитики'!F3595*SUMIF(ThresholdAge06,"&lt;"&amp;'19_Расчет_аналитики'!F3595,WeightedRevAge06)-SUMIF(ThresholdAge06,"&lt;"&amp;'19_Расчет_аналитики'!F3595,WeightedMinAge06),MAX(CapacityAge06*'01_Вводные'!$B$218*'19_Расчет_аналитики'!F3595,MeanMinAge06))),0)</f>
        <v/>
      </c>
      <c r="G3505">
        <f>IF('01_Вводные'!$B$234="Да",IF(OR('19_Расчет_аналитики'!G3477=0,6&lt;='01_Вводные'!$B$297),0,'19_Расчет_аналитики'!G3477*IF('01_Вводные'!$B$239="Да",MeanMinAge06+'19_Расчет_аналитики'!G3595*SUMIF(ThresholdAge06,"&lt;"&amp;'19_Расчет_аналитики'!G3595,WeightedRevAge06)-SUMIF(ThresholdAge06,"&lt;"&amp;'19_Расчет_аналитики'!G3595,WeightedMinAge06),MAX(CapacityAge06*'01_Вводные'!$B$218*'19_Расчет_аналитики'!G3595,MeanMinAge06))),0)</f>
        <v/>
      </c>
      <c r="H3505">
        <f>IF('01_Вводные'!$B$234="Да",IF(OR('19_Расчет_аналитики'!H3477=0,6&lt;='01_Вводные'!$B$297),0,'19_Расчет_аналитики'!H3477*IF('01_Вводные'!$B$239="Да",MeanMinAge06+'19_Расчет_аналитики'!H3595*SUMIF(ThresholdAge06,"&lt;"&amp;'19_Расчет_аналитики'!H3595,WeightedRevAge06)-SUMIF(ThresholdAge06,"&lt;"&amp;'19_Расчет_аналитики'!H3595,WeightedMinAge06),MAX(CapacityAge06*'01_Вводные'!$B$218*'19_Расчет_аналитики'!H3595,MeanMinAge06))),0)</f>
        <v/>
      </c>
      <c r="I3505">
        <f>IF('01_Вводные'!$B$234="Да",IF(OR('19_Расчет_аналитики'!I3477=0,6&lt;='01_Вводные'!$B$297),0,'19_Расчет_аналитики'!I3477*IF('01_Вводные'!$B$239="Да",MeanMinAge06+'19_Расчет_аналитики'!I3595*SUMIF(ThresholdAge06,"&lt;"&amp;'19_Расчет_аналитики'!I3595,WeightedRevAge06)-SUMIF(ThresholdAge06,"&lt;"&amp;'19_Расчет_аналитики'!I3595,WeightedMinAge06),MAX(CapacityAge06*'01_Вводные'!$B$218*'19_Расчет_аналитики'!I3595,MeanMinAge06))),0)</f>
        <v/>
      </c>
      <c r="J3505">
        <f>IF('01_Вводные'!$B$234="Да",IF(OR('19_Расчет_аналитики'!J3477=0,6&lt;='01_Вводные'!$B$297),0,'19_Расчет_аналитики'!J3477*IF('01_Вводные'!$B$239="Да",MeanMinAge06+'19_Расчет_аналитики'!J3595*SUMIF(ThresholdAge06,"&lt;"&amp;'19_Расчет_аналитики'!J3595,WeightedRevAge06)-SUMIF(ThresholdAge06,"&lt;"&amp;'19_Расчет_аналитики'!J3595,WeightedMinAge06),MAX(CapacityAge06*'01_Вводные'!$B$218*'19_Расчет_аналитики'!J3595,MeanMinAge06))),0)</f>
        <v/>
      </c>
      <c r="K3505">
        <f>IF('01_Вводные'!$B$234="Да",IF(OR('19_Расчет_аналитики'!K3477=0,6&lt;='01_Вводные'!$B$297),0,'19_Расчет_аналитики'!K3477*IF('01_Вводные'!$B$239="Да",MeanMinAge06+'19_Расчет_аналитики'!K3595*SUMIF(ThresholdAge06,"&lt;"&amp;'19_Расчет_аналитики'!K3595,WeightedRevAge06)-SUMIF(ThresholdAge06,"&lt;"&amp;'19_Расчет_аналитики'!K3595,WeightedMinAge06),MAX(CapacityAge06*'01_Вводные'!$B$218*'19_Расчет_аналитики'!K3595,MeanMinAge06))),0)</f>
        <v/>
      </c>
      <c r="L3505">
        <f>IF('01_Вводные'!$B$234="Да",IF(OR('19_Расчет_аналитики'!L3477=0,6&lt;='01_Вводные'!$B$297),0,'19_Расчет_аналитики'!L3477*IF('01_Вводные'!$B$239="Да",MeanMinAge06+'19_Расчет_аналитики'!L3595*SUMIF(ThresholdAge06,"&lt;"&amp;'19_Расчет_аналитики'!L3595,WeightedRevAge06)-SUMIF(ThresholdAge06,"&lt;"&amp;'19_Расчет_аналитики'!L3595,WeightedMinAge06),MAX(CapacityAge06*'01_Вводные'!$B$218*'19_Расчет_аналитики'!L3595,MeanMinAge06))),0)</f>
        <v/>
      </c>
      <c r="M3505">
        <f>IF('01_Вводные'!$B$234="Да",IF(OR('19_Расчет_аналитики'!M3477=0,6&lt;='01_Вводные'!$B$297),0,'19_Расчет_аналитики'!M3477*IF('01_Вводные'!$B$239="Да",MeanMinAge06+'19_Расчет_аналитики'!M3595*SUMIF(ThresholdAge06,"&lt;"&amp;'19_Расчет_аналитики'!M3595,WeightedRevAge06)-SUMIF(ThresholdAge06,"&lt;"&amp;'19_Расчет_аналитики'!M3595,WeightedMinAge06),MAX(CapacityAge06*'01_Вводные'!$B$218*'19_Расчет_аналитики'!M3595,MeanMinAge06))),0)</f>
        <v/>
      </c>
      <c r="N3505">
        <f>IF('01_Вводные'!$B$234="Да",IF(OR('19_Расчет_аналитики'!N3477=0,6&lt;='01_Вводные'!$B$297),0,'19_Расчет_аналитики'!N3477*IF('01_Вводные'!$B$239="Да",MeanMinAge06+'19_Расчет_аналитики'!N3595*SUMIF(ThresholdAge06,"&lt;"&amp;'19_Расчет_аналитики'!N3595,WeightedRevAge06)-SUMIF(ThresholdAge06,"&lt;"&amp;'19_Расчет_аналитики'!N3595,WeightedMinAge06),MAX(CapacityAge06*'01_Вводные'!$B$218*'19_Расчет_аналитики'!N3595,MeanMinAge06))),0)</f>
        <v/>
      </c>
      <c r="O3505">
        <f>IF('01_Вводные'!$B$234="Да",IF(OR('19_Расчет_аналитики'!O3477=0,6&lt;='01_Вводные'!$B$297),0,'19_Расчет_аналитики'!O3477*IF('01_Вводные'!$B$239="Да",MeanMinAge06+'19_Расчет_аналитики'!O3595*SUMIF(ThresholdAge06,"&lt;"&amp;'19_Расчет_аналитики'!O3595,WeightedRevAge06)-SUMIF(ThresholdAge06,"&lt;"&amp;'19_Расчет_аналитики'!O3595,WeightedMinAge06),MAX(CapacityAge06*'01_Вводные'!$B$218*'19_Расчет_аналитики'!O3595,MeanMinAge06))),0)</f>
        <v/>
      </c>
      <c r="P3505">
        <f>IF('01_Вводные'!$B$234="Да",IF(OR('19_Расчет_аналитики'!P3477=0,6&lt;='01_Вводные'!$B$297),0,'19_Расчет_аналитики'!P3477*IF('01_Вводные'!$B$239="Да",MeanMinAge06+'19_Расчет_аналитики'!P3595*SUMIF(ThresholdAge06,"&lt;"&amp;'19_Расчет_аналитики'!P3595,WeightedRevAge06)-SUMIF(ThresholdAge06,"&lt;"&amp;'19_Расчет_аналитики'!P3595,WeightedMinAge06),MAX(CapacityAge06*'01_Вводные'!$B$218*'19_Расчет_аналитики'!P3595,MeanMinAge06))),0)</f>
        <v/>
      </c>
      <c r="Q3505">
        <f>IF('01_Вводные'!$B$234="Да",IF(OR('19_Расчет_аналитики'!Q3477=0,6&lt;='01_Вводные'!$B$297),0,'19_Расчет_аналитики'!Q3477*IF('01_Вводные'!$B$239="Да",MeanMinAge06+'19_Расчет_аналитики'!Q3595*SUMIF(ThresholdAge06,"&lt;"&amp;'19_Расчет_аналитики'!Q3595,WeightedRevAge06)-SUMIF(ThresholdAge06,"&lt;"&amp;'19_Расчет_аналитики'!Q3595,WeightedMinAge06),MAX(CapacityAge06*'01_Вводные'!$B$218*'19_Расчет_аналитики'!Q3595,MeanMinAge06))),0)</f>
        <v/>
      </c>
      <c r="R3505">
        <f>IF('01_Вводные'!$B$234="Да",IF(OR('19_Расчет_аналитики'!R3477=0,6&lt;='01_Вводные'!$B$297),0,'19_Расчет_аналитики'!R3477*IF('01_Вводные'!$B$239="Да",MeanMinAge06+'19_Расчет_аналитики'!R3595*SUMIF(ThresholdAge06,"&lt;"&amp;'19_Расчет_аналитики'!R3595,WeightedRevAge06)-SUMIF(ThresholdAge06,"&lt;"&amp;'19_Расчет_аналитики'!R3595,WeightedMinAge06),MAX(CapacityAge06*'01_Вводные'!$B$218*'19_Расчет_аналитики'!R3595,MeanMinAge06))),0)</f>
        <v/>
      </c>
      <c r="S3505">
        <f>IF('01_Вводные'!$B$234="Да",IF(OR('19_Расчет_аналитики'!S3477=0,6&lt;='01_Вводные'!$B$297),0,'19_Расчет_аналитики'!S3477*IF('01_Вводные'!$B$239="Да",MeanMinAge06+'19_Расчет_аналитики'!S3595*SUMIF(ThresholdAge06,"&lt;"&amp;'19_Расчет_аналитики'!S3595,WeightedRevAge06)-SUMIF(ThresholdAge06,"&lt;"&amp;'19_Расчет_аналитики'!S3595,WeightedMinAge06),MAX(CapacityAge06*'01_Вводные'!$B$218*'19_Расчет_аналитики'!S3595,MeanMinAge06))),0)</f>
        <v/>
      </c>
      <c r="T3505">
        <f>IF('01_Вводные'!$B$234="Да",IF(OR('19_Расчет_аналитики'!T3477=0,6&lt;='01_Вводные'!$B$297),0,'19_Расчет_аналитики'!T3477*IF('01_Вводные'!$B$239="Да",MeanMinAge06+'19_Расчет_аналитики'!T3595*SUMIF(ThresholdAge06,"&lt;"&amp;'19_Расчет_аналитики'!T3595,WeightedRevAge06)-SUMIF(ThresholdAge06,"&lt;"&amp;'19_Расчет_аналитики'!T3595,WeightedMinAge06),MAX(CapacityAge06*'01_Вводные'!$B$218*'19_Расчет_аналитики'!T3595,MeanMinAge06))),0)</f>
        <v/>
      </c>
      <c r="U3505">
        <f>IF('01_Вводные'!$B$234="Да",IF(OR('19_Расчет_аналитики'!U3477=0,6&lt;='01_Вводные'!$B$297),0,'19_Расчет_аналитики'!U3477*IF('01_Вводные'!$B$239="Да",MeanMinAge06+'19_Расчет_аналитики'!U3595*SUMIF(ThresholdAge06,"&lt;"&amp;'19_Расчет_аналитики'!U3595,WeightedRevAge06)-SUMIF(ThresholdAge06,"&lt;"&amp;'19_Расчет_аналитики'!U3595,WeightedMinAge06),MAX(CapacityAge06*'01_Вводные'!$B$218*'19_Расчет_аналитики'!U3595,MeanMinAge06))),0)</f>
        <v/>
      </c>
      <c r="V3505">
        <f>IF('01_Вводные'!$B$234="Да",IF(OR('19_Расчет_аналитики'!V3477=0,6&lt;='01_Вводные'!$B$297),0,'19_Расчет_аналитики'!V3477*IF('01_Вводные'!$B$239="Да",MeanMinAge06+'19_Расчет_аналитики'!V3595*SUMIF(ThresholdAge06,"&lt;"&amp;'19_Расчет_аналитики'!V3595,WeightedRevAge06)-SUMIF(ThresholdAge06,"&lt;"&amp;'19_Расчет_аналитики'!V3595,WeightedMinAge06),MAX(CapacityAge06*'01_Вводные'!$B$218*'19_Расчет_аналитики'!V3595,MeanMinAge06))),0)</f>
        <v/>
      </c>
      <c r="W3505">
        <f>IF('01_Вводные'!$B$234="Да",IF(OR('19_Расчет_аналитики'!W3477=0,6&lt;='01_Вводные'!$B$297),0,'19_Расчет_аналитики'!W3477*IF('01_Вводные'!$B$239="Да",MeanMinAge06+'19_Расчет_аналитики'!W3595*SUMIF(ThresholdAge06,"&lt;"&amp;'19_Расчет_аналитики'!W3595,WeightedRevAge06)-SUMIF(ThresholdAge06,"&lt;"&amp;'19_Расчет_аналитики'!W3595,WeightedMinAge06),MAX(CapacityAge06*'01_Вводные'!$B$218*'19_Расчет_аналитики'!W3595,MeanMinAge06))),0)</f>
        <v/>
      </c>
      <c r="X3505">
        <f>IF('01_Вводные'!$B$234="Да",IF(OR('19_Расчет_аналитики'!X3477=0,6&lt;='01_Вводные'!$B$297),0,'19_Расчет_аналитики'!X3477*IF('01_Вводные'!$B$239="Да",MeanMinAge06+'19_Расчет_аналитики'!X3595*SUMIF(ThresholdAge06,"&lt;"&amp;'19_Расчет_аналитики'!X3595,WeightedRevAge06)-SUMIF(ThresholdAge06,"&lt;"&amp;'19_Расчет_аналитики'!X3595,WeightedMinAge06),MAX(CapacityAge06*'01_Вводные'!$B$218*'19_Расчет_аналитики'!X3595,MeanMinAge06))),0)</f>
        <v/>
      </c>
      <c r="Y3505">
        <f>IF('01_Вводные'!$B$234="Да",IF(OR('19_Расчет_аналитики'!Y3477=0,6&lt;='01_Вводные'!$B$297),0,'19_Расчет_аналитики'!Y3477*IF('01_Вводные'!$B$239="Да",MeanMinAge06+'19_Расчет_аналитики'!Y3595*SUMIF(ThresholdAge06,"&lt;"&amp;'19_Расчет_аналитики'!Y3595,WeightedRevAge06)-SUMIF(ThresholdAge06,"&lt;"&amp;'19_Расчет_аналитики'!Y3595,WeightedMinAge06),MAX(CapacityAge06*'01_Вводные'!$B$218*'19_Расчет_аналитики'!Y3595,MeanMinAge06))),0)</f>
        <v/>
      </c>
      <c r="Z3505">
        <f>IF('01_Вводные'!$B$234="Да",IF(OR('19_Расчет_аналитики'!Z3477=0,6&lt;='01_Вводные'!$B$297),0,'19_Расчет_аналитики'!Z3477*IF('01_Вводные'!$B$239="Да",MeanMinAge06+'19_Расчет_аналитики'!Z3595*SUMIF(ThresholdAge06,"&lt;"&amp;'19_Расчет_аналитики'!Z3595,WeightedRevAge06)-SUMIF(ThresholdAge06,"&lt;"&amp;'19_Расчет_аналитики'!Z3595,WeightedMinAge06),MAX(CapacityAge06*'01_Вводные'!$B$218*'19_Расчет_аналитики'!Z3595,MeanMinAge06))),0)</f>
        <v/>
      </c>
      <c r="AA3505">
        <f>IF('01_Вводные'!$B$234="Да",IF(OR('19_Расчет_аналитики'!AA3477=0,6&lt;='01_Вводные'!$B$297),0,'19_Расчет_аналитики'!AA3477*IF('01_Вводные'!$B$239="Да",MeanMinAge06+'19_Расчет_аналитики'!AA3595*SUMIF(ThresholdAge06,"&lt;"&amp;'19_Расчет_аналитики'!AA3595,WeightedRevAge06)-SUMIF(ThresholdAge06,"&lt;"&amp;'19_Расчет_аналитики'!AA3595,WeightedMinAge06),MAX(CapacityAge06*'01_Вводные'!$B$218*'19_Расчет_аналитики'!AA3595,MeanMinAge06))),0)</f>
        <v/>
      </c>
      <c r="AB3505">
        <f>IF('01_Вводные'!$B$234="Да",IF(OR('19_Расчет_аналитики'!AB3477=0,6&lt;='01_Вводные'!$B$297),0,'19_Расчет_аналитики'!AB3477*IF('01_Вводные'!$B$239="Да",MeanMinAge06+'19_Расчет_аналитики'!AB3595*SUMIF(ThresholdAge06,"&lt;"&amp;'19_Расчет_аналитики'!AB3595,WeightedRevAge06)-SUMIF(ThresholdAge06,"&lt;"&amp;'19_Расчет_аналитики'!AB3595,WeightedMinAge06),MAX(CapacityAge06*'01_Вводные'!$B$218*'19_Расчет_аналитики'!AB3595,MeanMinAge06))),0)</f>
        <v/>
      </c>
      <c r="AC3505">
        <f>IF('01_Вводные'!$B$234="Да",IF(OR('19_Расчет_аналитики'!AC3477=0,6&lt;='01_Вводные'!$B$297),0,'19_Расчет_аналитики'!AC3477*IF('01_Вводные'!$B$239="Да",MeanMinAge06+'19_Расчет_аналитики'!AC3595*SUMIF(ThresholdAge06,"&lt;"&amp;'19_Расчет_аналитики'!AC3595,WeightedRevAge06)-SUMIF(ThresholdAge06,"&lt;"&amp;'19_Расчет_аналитики'!AC3595,WeightedMinAge06),MAX(CapacityAge06*'01_Вводные'!$B$218*'19_Расчет_аналитики'!AC3595,MeanMinAge06))),0)</f>
        <v/>
      </c>
      <c r="AD3505">
        <f>IF('01_Вводные'!$B$234="Да",IF(OR('19_Расчет_аналитики'!AD3477=0,6&lt;='01_Вводные'!$B$297),0,'19_Расчет_аналитики'!AD3477*IF('01_Вводные'!$B$239="Да",MeanMinAge06+'19_Расчет_аналитики'!AD3595*SUMIF(ThresholdAge06,"&lt;"&amp;'19_Расчет_аналитики'!AD3595,WeightedRevAge06)-SUMIF(ThresholdAge06,"&lt;"&amp;'19_Расчет_аналитики'!AD3595,WeightedMinAge06),MAX(CapacityAge06*'01_Вводные'!$B$218*'19_Расчет_аналитики'!AD3595,MeanMinAge06))),0)</f>
        <v/>
      </c>
      <c r="AE3505">
        <f>IF('01_Вводные'!$B$234="Да",IF(OR('19_Расчет_аналитики'!AE3477=0,6&lt;='01_Вводные'!$B$297),0,'19_Расчет_аналитики'!AE3477*IF('01_Вводные'!$B$239="Да",MeanMinAge06+'19_Расчет_аналитики'!AE3595*SUMIF(ThresholdAge06,"&lt;"&amp;'19_Расчет_аналитики'!AE3595,WeightedRevAge06)-SUMIF(ThresholdAge06,"&lt;"&amp;'19_Расчет_аналитики'!AE3595,WeightedMinAge06),MAX(CapacityAge06*'01_Вводные'!$B$218*'19_Расчет_аналитики'!AE3595,MeanMinAge06))),0)</f>
        <v/>
      </c>
      <c r="AF3505">
        <f>IF('01_Вводные'!$B$234="Да",IF(OR('19_Расчет_аналитики'!AF3477=0,6&lt;='01_Вводные'!$B$297),0,'19_Расчет_аналитики'!AF3477*IF('01_Вводные'!$B$239="Да",MeanMinAge06+'19_Расчет_аналитики'!AF3595*SUMIF(ThresholdAge06,"&lt;"&amp;'19_Расчет_аналитики'!AF3595,WeightedRevAge06)-SUMIF(ThresholdAge06,"&lt;"&amp;'19_Расчет_аналитики'!AF3595,WeightedMinAge06),MAX(CapacityAge06*'01_Вводные'!$B$218*'19_Расчет_аналитики'!AF3595,MeanMinAge06))),0)</f>
        <v/>
      </c>
      <c r="AG3505">
        <f>IF('01_Вводные'!$B$234="Да",IF(OR('19_Расчет_аналитики'!AG3477=0,6&lt;='01_Вводные'!$B$297),0,'19_Расчет_аналитики'!AG3477*IF('01_Вводные'!$B$239="Да",MeanMinAge06+'19_Расчет_аналитики'!AG3595*SUMIF(ThresholdAge06,"&lt;"&amp;'19_Расчет_аналитики'!AG3595,WeightedRevAge06)-SUMIF(ThresholdAge06,"&lt;"&amp;'19_Расчет_аналитики'!AG3595,WeightedMinAge06),MAX(CapacityAge06*'01_Вводные'!$B$218*'19_Расчет_аналитики'!AG3595,MeanMinAge06))),0)</f>
        <v/>
      </c>
      <c r="AH3505">
        <f>IF('01_Вводные'!$B$234="Да",IF(OR('19_Расчет_аналитики'!AH3477=0,6&lt;='01_Вводные'!$B$297),0,'19_Расчет_аналитики'!AH3477*IF('01_Вводные'!$B$239="Да",MeanMinAge06+'19_Расчет_аналитики'!AH3595*SUMIF(ThresholdAge06,"&lt;"&amp;'19_Расчет_аналитики'!AH3595,WeightedRevAge06)-SUMIF(ThresholdAge06,"&lt;"&amp;'19_Расчет_аналитики'!AH3595,WeightedMinAge06),MAX(CapacityAge06*'01_Вводные'!$B$218*'19_Расчет_аналитики'!AH3595,MeanMinAge06))),0)</f>
        <v/>
      </c>
      <c r="AI3505">
        <f>IF('01_Вводные'!$B$234="Да",IF(OR('19_Расчет_аналитики'!AI3477=0,6&lt;='01_Вводные'!$B$297),0,'19_Расчет_аналитики'!AI3477*IF('01_Вводные'!$B$239="Да",MeanMinAge06+'19_Расчет_аналитики'!AI3595*SUMIF(ThresholdAge06,"&lt;"&amp;'19_Расчет_аналитики'!AI3595,WeightedRevAge06)-SUMIF(ThresholdAge06,"&lt;"&amp;'19_Расчет_аналитики'!AI3595,WeightedMinAge06),MAX(CapacityAge06*'01_Вводные'!$B$218*'19_Расчет_аналитики'!AI3595,MeanMinAge06))),0)</f>
        <v/>
      </c>
      <c r="AJ3505">
        <f>IF('01_Вводные'!$B$234="Да",IF(OR('19_Расчет_аналитики'!AJ3477=0,6&lt;='01_Вводные'!$B$297),0,'19_Расчет_аналитики'!AJ3477*IF('01_Вводные'!$B$239="Да",MeanMinAge06+'19_Расчет_аналитики'!AJ3595*SUMIF(ThresholdAge06,"&lt;"&amp;'19_Расчет_аналитики'!AJ3595,WeightedRevAge06)-SUMIF(ThresholdAge06,"&lt;"&amp;'19_Расчет_аналитики'!AJ3595,WeightedMinAge06),MAX(CapacityAge06*'01_Вводные'!$B$218*'19_Расчет_аналитики'!AJ3595,MeanMinAge06))),0)</f>
        <v/>
      </c>
      <c r="AK3505">
        <f>IF('01_Вводные'!$B$234="Да",IF(OR('19_Расчет_аналитики'!AK3477=0,6&lt;='01_Вводные'!$B$297),0,'19_Расчет_аналитики'!AK3477*IF('01_Вводные'!$B$239="Да",MeanMinAge06+'19_Расчет_аналитики'!AK3595*SUMIF(ThresholdAge06,"&lt;"&amp;'19_Расчет_аналитики'!AK3595,WeightedRevAge06)-SUMIF(ThresholdAge06,"&lt;"&amp;'19_Расчет_аналитики'!AK3595,WeightedMinAge06),MAX(CapacityAge06*'01_Вводные'!$B$218*'19_Расчет_аналитики'!AK3595,MeanMinAge06))),0)</f>
        <v/>
      </c>
      <c r="AL3505">
        <f>IF('01_Вводные'!$B$234="Да",IF(OR('19_Расчет_аналитики'!AL3477=0,6&lt;='01_Вводные'!$B$297),0,'19_Расчет_аналитики'!AL3477*IF('01_Вводные'!$B$239="Да",MeanMinAge06+'19_Расчет_аналитики'!AL3595*SUMIF(ThresholdAge06,"&lt;"&amp;'19_Расчет_аналитики'!AL3595,WeightedRevAge06)-SUMIF(ThresholdAge06,"&lt;"&amp;'19_Расчет_аналитики'!AL3595,WeightedMinAge06),MAX(CapacityAge06*'01_Вводные'!$B$218*'19_Расчет_аналитики'!AL3595,MeanMinAge06))),0)</f>
        <v/>
      </c>
      <c r="AM3505">
        <f>IF('01_Вводные'!$B$234="Да",IF(OR('19_Расчет_аналитики'!AM3477=0,6&lt;='01_Вводные'!$B$297),0,'19_Расчет_аналитики'!AM3477*IF('01_Вводные'!$B$239="Да",MeanMinAge06+'19_Расчет_аналитики'!AM3595*SUMIF(ThresholdAge06,"&lt;"&amp;'19_Расчет_аналитики'!AM3595,WeightedRevAge06)-SUMIF(ThresholdAge06,"&lt;"&amp;'19_Расчет_аналитики'!AM3595,WeightedMinAge06),MAX(CapacityAge06*'01_Вводные'!$B$218*'19_Расчет_аналитики'!AM3595,MeanMinAge06))),0)</f>
        <v/>
      </c>
      <c r="AN3505">
        <f>IF('01_Вводные'!$B$234="Да",IF(OR('19_Расчет_аналитики'!AN3477=0,6&lt;='01_Вводные'!$B$297),0,'19_Расчет_аналитики'!AN3477*IF('01_Вводные'!$B$239="Да",MeanMinAge06+'19_Расчет_аналитики'!AN3595*SUMIF(ThresholdAge06,"&lt;"&amp;'19_Расчет_аналитики'!AN3595,WeightedRevAge06)-SUMIF(ThresholdAge06,"&lt;"&amp;'19_Расчет_аналитики'!AN3595,WeightedMinAge06),MAX(CapacityAge06*'01_Вводные'!$B$218*'19_Расчет_аналитики'!AN3595,MeanMinAge06))),0)</f>
        <v/>
      </c>
      <c r="AO3505">
        <f>IF('01_Вводные'!$B$234="Да",IF(OR('19_Расчет_аналитики'!AO3477=0,6&lt;='01_Вводные'!$B$297),0,'19_Расчет_аналитики'!AO3477*IF('01_Вводные'!$B$239="Да",MeanMinAge06+'19_Расчет_аналитики'!AO3595*SUMIF(ThresholdAge06,"&lt;"&amp;'19_Расчет_аналитики'!AO3595,WeightedRevAge06)-SUMIF(ThresholdAge06,"&lt;"&amp;'19_Расчет_аналитики'!AO3595,WeightedMinAge06),MAX(CapacityAge06*'01_Вводные'!$B$218*'19_Расчет_аналитики'!AO3595,MeanMinAge06))),0)</f>
        <v/>
      </c>
      <c r="AP3505">
        <f>IF('01_Вводные'!$B$234="Да",IF(OR('19_Расчет_аналитики'!AP3477=0,6&lt;='01_Вводные'!$B$297),0,'19_Расчет_аналитики'!AP3477*IF('01_Вводные'!$B$239="Да",MeanMinAge06+'19_Расчет_аналитики'!AP3595*SUMIF(ThresholdAge06,"&lt;"&amp;'19_Расчет_аналитики'!AP3595,WeightedRevAge06)-SUMIF(ThresholdAge06,"&lt;"&amp;'19_Расчет_аналитики'!AP3595,WeightedMinAge06),MAX(CapacityAge06*'01_Вводные'!$B$218*'19_Расчет_аналитики'!AP3595,MeanMinAge06))),0)</f>
        <v/>
      </c>
      <c r="AQ3505">
        <f>IF('01_Вводные'!$B$234="Да",IF(OR('19_Расчет_аналитики'!AQ3477=0,6&lt;='01_Вводные'!$B$297),0,'19_Расчет_аналитики'!AQ3477*IF('01_Вводные'!$B$239="Да",MeanMinAge06+'19_Расчет_аналитики'!AQ3595*SUMIF(ThresholdAge06,"&lt;"&amp;'19_Расчет_аналитики'!AQ3595,WeightedRevAge06)-SUMIF(ThresholdAge06,"&lt;"&amp;'19_Расчет_аналитики'!AQ3595,WeightedMinAge06),MAX(CapacityAge06*'01_Вводные'!$B$218*'19_Расчет_аналитики'!AQ3595,MeanMinAge06))),0)</f>
        <v/>
      </c>
      <c r="AR3505">
        <f>IF('01_Вводные'!$B$234="Да",IF(OR('19_Расчет_аналитики'!AR3477=0,6&lt;='01_Вводные'!$B$297),0,'19_Расчет_аналитики'!AR3477*IF('01_Вводные'!$B$239="Да",MeanMinAge06+'19_Расчет_аналитики'!AR3595*SUMIF(ThresholdAge06,"&lt;"&amp;'19_Расчет_аналитики'!AR3595,WeightedRevAge06)-SUMIF(ThresholdAge06,"&lt;"&amp;'19_Расчет_аналитики'!AR3595,WeightedMinAge06),MAX(CapacityAge06*'01_Вводные'!$B$218*'19_Расчет_аналитики'!AR3595,MeanMinAge06))),0)</f>
        <v/>
      </c>
      <c r="AS3505">
        <f>IF('01_Вводные'!$B$234="Да",IF(OR('19_Расчет_аналитики'!AS3477=0,6&lt;='01_Вводные'!$B$297),0,'19_Расчет_аналитики'!AS3477*IF('01_Вводные'!$B$239="Да",MeanMinAge06+'19_Расчет_аналитики'!AS3595*SUMIF(ThresholdAge06,"&lt;"&amp;'19_Расчет_аналитики'!AS3595,WeightedRevAge06)-SUMIF(ThresholdAge06,"&lt;"&amp;'19_Расчет_аналитики'!AS3595,WeightedMinAge06),MAX(CapacityAge06*'01_Вводные'!$B$218*'19_Расчет_аналитики'!AS3595,MeanMinAge06))),0)</f>
        <v/>
      </c>
      <c r="AT3505">
        <f>IF('01_Вводные'!$B$234="Да",IF(OR('19_Расчет_аналитики'!AT3477=0,6&lt;='01_Вводные'!$B$297),0,'19_Расчет_аналитики'!AT3477*IF('01_Вводные'!$B$239="Да",MeanMinAge06+'19_Расчет_аналитики'!AT3595*SUMIF(ThresholdAge06,"&lt;"&amp;'19_Расчет_аналитики'!AT3595,WeightedRevAge06)-SUMIF(ThresholdAge06,"&lt;"&amp;'19_Расчет_аналитики'!AT3595,WeightedMinAge06),MAX(CapacityAge06*'01_Вводные'!$B$218*'19_Расчет_аналитики'!AT3595,MeanMinAge06))),0)</f>
        <v/>
      </c>
      <c r="AU3505">
        <f>IF('01_Вводные'!$B$234="Да",IF(OR('19_Расчет_аналитики'!AU3477=0,6&lt;='01_Вводные'!$B$297),0,'19_Расчет_аналитики'!AU3477*IF('01_Вводные'!$B$239="Да",MeanMinAge06+'19_Расчет_аналитики'!AU3595*SUMIF(ThresholdAge06,"&lt;"&amp;'19_Расчет_аналитики'!AU3595,WeightedRevAge06)-SUMIF(ThresholdAge06,"&lt;"&amp;'19_Расчет_аналитики'!AU3595,WeightedMinAge06),MAX(CapacityAge06*'01_Вводные'!$B$218*'19_Расчет_аналитики'!AU3595,MeanMinAge06))),0)</f>
        <v/>
      </c>
      <c r="AV3505">
        <f>IF('01_Вводные'!$B$234="Да",IF(OR('19_Расчет_аналитики'!AV3477=0,6&lt;='01_Вводные'!$B$297),0,'19_Расчет_аналитики'!AV3477*IF('01_Вводные'!$B$239="Да",MeanMinAge06+'19_Расчет_аналитики'!AV3595*SUMIF(ThresholdAge06,"&lt;"&amp;'19_Расчет_аналитики'!AV3595,WeightedRevAge06)-SUMIF(ThresholdAge06,"&lt;"&amp;'19_Расчет_аналитики'!AV3595,WeightedMinAge06),MAX(CapacityAge06*'01_Вводные'!$B$218*'19_Расчет_аналитики'!AV3595,MeanMinAge06))),0)</f>
        <v/>
      </c>
      <c r="AW3505">
        <f>IF('01_Вводные'!$B$234="Да",IF(OR('19_Расчет_аналитики'!AW3477=0,6&lt;='01_Вводные'!$B$297),0,'19_Расчет_аналитики'!AW3477*IF('01_Вводные'!$B$239="Да",MeanMinAge06+'19_Расчет_аналитики'!AW3595*SUMIF(ThresholdAge06,"&lt;"&amp;'19_Расчет_аналитики'!AW3595,WeightedRevAge06)-SUMIF(ThresholdAge06,"&lt;"&amp;'19_Расчет_аналитики'!AW3595,WeightedMinAge06),MAX(CapacityAge06*'01_Вводные'!$B$218*'19_Расчет_аналитики'!AW3595,MeanMinAge06))),0)</f>
        <v/>
      </c>
      <c r="AX3505">
        <f>IF('01_Вводные'!$B$234="Да",IF(OR('19_Расчет_аналитики'!AX3477=0,6&lt;='01_Вводные'!$B$297),0,'19_Расчет_аналитики'!AX3477*IF('01_Вводные'!$B$239="Да",MeanMinAge06+'19_Расчет_аналитики'!AX3595*SUMIF(ThresholdAge06,"&lt;"&amp;'19_Расчет_аналитики'!AX3595,WeightedRevAge06)-SUMIF(ThresholdAge06,"&lt;"&amp;'19_Расчет_аналитики'!AX3595,WeightedMinAge06),MAX(CapacityAge06*'01_Вводные'!$B$218*'19_Расчет_аналитики'!AX3595,MeanMinAge06))),0)</f>
        <v/>
      </c>
      <c r="AY3505">
        <f>IF('01_Вводные'!$B$234="Да",IF(OR('19_Расчет_аналитики'!AY3477=0,6&lt;='01_Вводные'!$B$297),0,'19_Расчет_аналитики'!AY3477*IF('01_Вводные'!$B$239="Да",MeanMinAge06+'19_Расчет_аналитики'!AY3595*SUMIF(ThresholdAge06,"&lt;"&amp;'19_Расчет_аналитики'!AY3595,WeightedRevAge06)-SUMIF(ThresholdAge06,"&lt;"&amp;'19_Расчет_аналитики'!AY3595,WeightedMinAge06),MAX(CapacityAge06*'01_Вводные'!$B$218*'19_Расчет_аналитики'!AY3595,MeanMinAge06))),0)</f>
        <v/>
      </c>
      <c r="AZ3505">
        <f>IF('01_Вводные'!$B$234="Да",IF(OR('19_Расчет_аналитики'!AZ3477=0,6&lt;='01_Вводные'!$B$297),0,'19_Расчет_аналитики'!AZ3477*IF('01_Вводные'!$B$239="Да",MeanMinAge06+'19_Расчет_аналитики'!AZ3595*SUMIF(ThresholdAge06,"&lt;"&amp;'19_Расчет_аналитики'!AZ3595,WeightedRevAge06)-SUMIF(ThresholdAge06,"&lt;"&amp;'19_Расчет_аналитики'!AZ3595,WeightedMinAge06),MAX(CapacityAge06*'01_Вводные'!$B$218*'19_Расчет_аналитики'!AZ3595,MeanMinAge06))),0)</f>
        <v/>
      </c>
      <c r="BA3505">
        <f>IF('01_Вводные'!$B$234="Да",IF(OR('19_Расчет_аналитики'!BA3477=0,6&lt;='01_Вводные'!$B$297),0,'19_Расчет_аналитики'!BA3477*IF('01_Вводные'!$B$239="Да",MeanMinAge06+'19_Расчет_аналитики'!BA3595*SUMIF(ThresholdAge06,"&lt;"&amp;'19_Расчет_аналитики'!BA3595,WeightedRevAge06)-SUMIF(ThresholdAge06,"&lt;"&amp;'19_Расчет_аналитики'!BA3595,WeightedMinAge06),MAX(CapacityAge06*'01_Вводные'!$B$218*'19_Расчет_аналитики'!BA3595,MeanMinAge06))),0)</f>
        <v/>
      </c>
      <c r="BB3505">
        <f>IF('01_Вводные'!$B$234="Да",IF(OR('19_Расчет_аналитики'!BB3477=0,6&lt;='01_Вводные'!$B$297),0,'19_Расчет_аналитики'!BB3477*IF('01_Вводные'!$B$239="Да",MeanMinAge06+'19_Расчет_аналитики'!BB3595*SUMIF(ThresholdAge06,"&lt;"&amp;'19_Расчет_аналитики'!BB3595,WeightedRevAge06)-SUMIF(ThresholdAge06,"&lt;"&amp;'19_Расчет_аналитики'!BB3595,WeightedMinAge06),MAX(CapacityAge06*'01_Вводные'!$B$218*'19_Расчет_аналитики'!BB3595,MeanMinAge06))),0)</f>
        <v/>
      </c>
      <c r="BC3505">
        <f>IF('01_Вводные'!$B$234="Да",IF(OR('19_Расчет_аналитики'!BC3477=0,6&lt;='01_Вводные'!$B$297),0,'19_Расчет_аналитики'!BC3477*IF('01_Вводные'!$B$239="Да",MeanMinAge06+'19_Расчет_аналитики'!BC3595*SUMIF(ThresholdAge06,"&lt;"&amp;'19_Расчет_аналитики'!BC3595,WeightedRevAge06)-SUMIF(ThresholdAge06,"&lt;"&amp;'19_Расчет_аналитики'!BC3595,WeightedMinAge06),MAX(CapacityAge06*'01_Вводные'!$B$218*'19_Расчет_аналитики'!BC3595,MeanMinAge06))),0)</f>
        <v/>
      </c>
      <c r="BD3505">
        <f>IF('01_Вводные'!$B$234="Да",IF(OR('19_Расчет_аналитики'!BD3477=0,6&lt;='01_Вводные'!$B$297),0,'19_Расчет_аналитики'!BD3477*IF('01_Вводные'!$B$239="Да",MeanMinAge06+'19_Расчет_аналитики'!BD3595*SUMIF(ThresholdAge06,"&lt;"&amp;'19_Расчет_аналитики'!BD3595,WeightedRevAge06)-SUMIF(ThresholdAge06,"&lt;"&amp;'19_Расчет_аналитики'!BD3595,WeightedMinAge06),MAX(CapacityAge06*'01_Вводные'!$B$218*'19_Расчет_аналитики'!BD3595,MeanMinAge06))),0)</f>
        <v/>
      </c>
      <c r="BE3505">
        <f>IF('01_Вводные'!$B$234="Да",IF(OR('19_Расчет_аналитики'!BE3477=0,6&lt;='01_Вводные'!$B$297),0,'19_Расчет_аналитики'!BE3477*IF('01_Вводные'!$B$239="Да",MeanMinAge06+'19_Расчет_аналитики'!BE3595*SUMIF(ThresholdAge06,"&lt;"&amp;'19_Расчет_аналитики'!BE3595,WeightedRevAge06)-SUMIF(ThresholdAge06,"&lt;"&amp;'19_Расчет_аналитики'!BE3595,WeightedMinAge06),MAX(CapacityAge06*'01_Вводные'!$B$218*'19_Расчет_аналитики'!BE3595,MeanMinAge06))),0)</f>
        <v/>
      </c>
      <c r="BF3505">
        <f>IF('01_Вводные'!$B$234="Да",IF(OR('19_Расчет_аналитики'!BF3477=0,6&lt;='01_Вводные'!$B$297),0,'19_Расчет_аналитики'!BF3477*IF('01_Вводные'!$B$239="Да",MeanMinAge06+'19_Расчет_аналитики'!BF3595*SUMIF(ThresholdAge06,"&lt;"&amp;'19_Расчет_аналитики'!BF3595,WeightedRevAge06)-SUMIF(ThresholdAge06,"&lt;"&amp;'19_Расчет_аналитики'!BF3595,WeightedMinAge06),MAX(CapacityAge06*'01_Вводные'!$B$218*'19_Расчет_аналитики'!BF3595,MeanMinAge06))),0)</f>
        <v/>
      </c>
      <c r="BG3505">
        <f>IF('01_Вводные'!$B$234="Да",IF(OR('19_Расчет_аналитики'!BG3477=0,6&lt;='01_Вводные'!$B$297),0,'19_Расчет_аналитики'!BG3477*IF('01_Вводные'!$B$239="Да",MeanMinAge06+'19_Расчет_аналитики'!BG3595*SUMIF(ThresholdAge06,"&lt;"&amp;'19_Расчет_аналитики'!BG3595,WeightedRevAge06)-SUMIF(ThresholdAge06,"&lt;"&amp;'19_Расчет_аналитики'!BG3595,WeightedMinAge06),MAX(CapacityAge06*'01_Вводные'!$B$218*'19_Расчет_аналитики'!BG3595,MeanMinAge06))),0)</f>
        <v/>
      </c>
      <c r="BH3505">
        <f>IF('01_Вводные'!$B$234="Да",IF(OR('19_Расчет_аналитики'!BH3477=0,6&lt;='01_Вводные'!$B$297),0,'19_Расчет_аналитики'!BH3477*IF('01_Вводные'!$B$239="Да",MeanMinAge06+'19_Расчет_аналитики'!BH3595*SUMIF(ThresholdAge06,"&lt;"&amp;'19_Расчет_аналитики'!BH3595,WeightedRevAge06)-SUMIF(ThresholdAge06,"&lt;"&amp;'19_Расчет_аналитики'!BH3595,WeightedMinAge06),MAX(CapacityAge06*'01_Вводные'!$B$218*'19_Расчет_аналитики'!BH3595,MeanMinAge06))),0)</f>
        <v/>
      </c>
      <c r="BI3505">
        <f>IF('01_Вводные'!$B$234="Да",IF(OR('19_Расчет_аналитики'!BI3477=0,6&lt;='01_Вводные'!$B$297),0,'19_Расчет_аналитики'!BI3477*IF('01_Вводные'!$B$239="Да",MeanMinAge06+'19_Расчет_аналитики'!BI3595*SUMIF(ThresholdAge06,"&lt;"&amp;'19_Расчет_аналитики'!BI3595,WeightedRevAge06)-SUMIF(ThresholdAge06,"&lt;"&amp;'19_Расчет_аналитики'!BI3595,WeightedMinAge06),MAX(CapacityAge06*'01_Вводные'!$B$218*'19_Расчет_аналитики'!BI3595,MeanMinAge06))),0)</f>
        <v/>
      </c>
      <c r="BJ3505">
        <f>IF('01_Вводные'!$B$234="Да",IF(OR('19_Расчет_аналитики'!BJ3477=0,6&lt;='01_Вводные'!$B$297),0,'19_Расчет_аналитики'!BJ3477*IF('01_Вводные'!$B$239="Да",MeanMinAge06+'19_Расчет_аналитики'!BJ3595*SUMIF(ThresholdAge06,"&lt;"&amp;'19_Расчет_аналитики'!BJ3595,WeightedRevAge06)-SUMIF(ThresholdAge06,"&lt;"&amp;'19_Расчет_аналитики'!BJ3595,WeightedMinAge06),MAX(CapacityAge06*'01_Вводные'!$B$218*'19_Расчет_аналитики'!BJ3595,MeanMinAge06))),0)</f>
        <v/>
      </c>
      <c r="BK3505">
        <f>IF('01_Вводные'!$B$234="Да",IF(OR('19_Расчет_аналитики'!BK3477=0,6&lt;='01_Вводные'!$B$297),0,'19_Расчет_аналитики'!BK3477*IF('01_Вводные'!$B$239="Да",MeanMinAge06+'19_Расчет_аналитики'!BK3595*SUMIF(ThresholdAge06,"&lt;"&amp;'19_Расчет_аналитики'!BK3595,WeightedRevAge06)-SUMIF(ThresholdAge06,"&lt;"&amp;'19_Расчет_аналитики'!BK3595,WeightedMinAge06),MAX(CapacityAge06*'01_Вводные'!$B$218*'19_Расчет_аналитики'!BK3595,MeanMinAge06))),0)</f>
        <v/>
      </c>
      <c r="BL3505">
        <f>IF('01_Вводные'!$B$234="Да",IF(OR('19_Расчет_аналитики'!BL3477=0,6&lt;='01_Вводные'!$B$297),0,'19_Расчет_аналитики'!BL3477*IF('01_Вводные'!$B$239="Да",MeanMinAge06+'19_Расчет_аналитики'!BL3595*SUMIF(ThresholdAge06,"&lt;"&amp;'19_Расчет_аналитики'!BL3595,WeightedRevAge06)-SUMIF(ThresholdAge06,"&lt;"&amp;'19_Расчет_аналитики'!BL3595,WeightedMinAge06),MAX(CapacityAge06*'01_Вводные'!$B$218*'19_Расчет_аналитики'!BL3595,MeanMinAge06))),0)</f>
        <v/>
      </c>
      <c r="BM3505">
        <f>IF('01_Вводные'!$B$234="Да",IF(OR('19_Расчет_аналитики'!BM3477=0,6&lt;='01_Вводные'!$B$297),0,'19_Расчет_аналитики'!BM3477*IF('01_Вводные'!$B$239="Да",MeanMinAge06+'19_Расчет_аналитики'!BM3595*SUMIF(ThresholdAge06,"&lt;"&amp;'19_Расчет_аналитики'!BM3595,WeightedRevAge06)-SUMIF(ThresholdAge06,"&lt;"&amp;'19_Расчет_аналитики'!BM3595,WeightedMinAge06),MAX(CapacityAge06*'01_Вводные'!$B$218*'19_Расчет_аналитики'!BM3595,MeanMinAge06))),0)</f>
        <v/>
      </c>
      <c r="BN3505">
        <f>IF('01_Вводные'!$B$234="Да",IF(OR('19_Расчет_аналитики'!BN3477=0,6&lt;='01_Вводные'!$B$297),0,'19_Расчет_аналитики'!BN3477*IF('01_Вводные'!$B$239="Да",MeanMinAge06+'19_Расчет_аналитики'!BN3595*SUMIF(ThresholdAge06,"&lt;"&amp;'19_Расчет_аналитики'!BN3595,WeightedRevAge06)-SUMIF(ThresholdAge06,"&lt;"&amp;'19_Расчет_аналитики'!BN3595,WeightedMinAge06),MAX(CapacityAge06*'01_Вводные'!$B$218*'19_Расчет_аналитики'!BN3595,MeanMinAge06))),0)</f>
        <v/>
      </c>
      <c r="BO3505">
        <f>IF('01_Вводные'!$B$234="Да",IF(OR('19_Расчет_аналитики'!BO3477=0,6&lt;='01_Вводные'!$B$297),0,'19_Расчет_аналитики'!BO3477*IF('01_Вводные'!$B$239="Да",MeanMinAge06+'19_Расчет_аналитики'!BO3595*SUMIF(ThresholdAge06,"&lt;"&amp;'19_Расчет_аналитики'!BO3595,WeightedRevAge06)-SUMIF(ThresholdAge06,"&lt;"&amp;'19_Расчет_аналитики'!BO3595,WeightedMinAge06),MAX(CapacityAge06*'01_Вводные'!$B$218*'19_Расчет_аналитики'!BO3595,MeanMinAge06))),0)</f>
        <v/>
      </c>
    </row>
    <row r="3506">
      <c r="B3506">
        <f>IF('01_Вводные'!$B$234="Да",IF(OR('06_Сеть_и_дети'!B87=0,7&lt;='01_Вводные'!$B$297),0,'06_Сеть_и_дети'!B87*IF('01_Вводные'!$B$239="Да",MeanMinAge07+'19_Расчет_аналитики'!B3595*SUMIF(ThresholdAge07,"&lt;"&amp;'19_Расчет_аналитики'!B3595,WeightedRevAge07)-SUMIF(ThresholdAge07,"&lt;"&amp;'19_Расчет_аналитики'!B3595,WeightedMinAge07),MAX(CapacityAge07*'01_Вводные'!$B$218*'19_Расчет_аналитики'!B3595,MeanMinAge07))),0)</f>
        <v/>
      </c>
      <c r="C3506">
        <f>IF('01_Вводные'!$B$234="Да",IF(OR('06_Сеть_и_дети'!C87=0,7&lt;='01_Вводные'!$B$297),0,'06_Сеть_и_дети'!C87*IF('01_Вводные'!$B$239="Да",MeanMinAge07+'19_Расчет_аналитики'!C3595*SUMIF(ThresholdAge07,"&lt;"&amp;'19_Расчет_аналитики'!C3595,WeightedRevAge07)-SUMIF(ThresholdAge07,"&lt;"&amp;'19_Расчет_аналитики'!C3595,WeightedMinAge07),MAX(CapacityAge07*'01_Вводные'!$B$218*'19_Расчет_аналитики'!C3595,MeanMinAge07))),0)</f>
        <v/>
      </c>
      <c r="D3506">
        <f>IF('01_Вводные'!$B$234="Да",IF(OR('06_Сеть_и_дети'!D87=0,7&lt;='01_Вводные'!$B$297),0,'06_Сеть_и_дети'!D87*IF('01_Вводные'!$B$239="Да",MeanMinAge07+'19_Расчет_аналитики'!D3595*SUMIF(ThresholdAge07,"&lt;"&amp;'19_Расчет_аналитики'!D3595,WeightedRevAge07)-SUMIF(ThresholdAge07,"&lt;"&amp;'19_Расчет_аналитики'!D3595,WeightedMinAge07),MAX(CapacityAge07*'01_Вводные'!$B$218*'19_Расчет_аналитики'!D3595,MeanMinAge07))),0)</f>
        <v/>
      </c>
      <c r="E3506">
        <f>IF('01_Вводные'!$B$234="Да",IF(OR('06_Сеть_и_дети'!E87=0,7&lt;='01_Вводные'!$B$297),0,'06_Сеть_и_дети'!E87*IF('01_Вводные'!$B$239="Да",MeanMinAge07+'19_Расчет_аналитики'!E3595*SUMIF(ThresholdAge07,"&lt;"&amp;'19_Расчет_аналитики'!E3595,WeightedRevAge07)-SUMIF(ThresholdAge07,"&lt;"&amp;'19_Расчет_аналитики'!E3595,WeightedMinAge07),MAX(CapacityAge07*'01_Вводные'!$B$218*'19_Расчет_аналитики'!E3595,MeanMinAge07))),0)</f>
        <v/>
      </c>
      <c r="F3506">
        <f>IF('01_Вводные'!$B$234="Да",IF(OR('06_Сеть_и_дети'!F87=0,7&lt;='01_Вводные'!$B$297),0,'06_Сеть_и_дети'!F87*IF('01_Вводные'!$B$239="Да",MeanMinAge07+'19_Расчет_аналитики'!F3595*SUMIF(ThresholdAge07,"&lt;"&amp;'19_Расчет_аналитики'!F3595,WeightedRevAge07)-SUMIF(ThresholdAge07,"&lt;"&amp;'19_Расчет_аналитики'!F3595,WeightedMinAge07),MAX(CapacityAge07*'01_Вводные'!$B$218*'19_Расчет_аналитики'!F3595,MeanMinAge07))),0)</f>
        <v/>
      </c>
      <c r="G3506">
        <f>IF('01_Вводные'!$B$234="Да",IF(OR('06_Сеть_и_дети'!G87=0,7&lt;='01_Вводные'!$B$297),0,'06_Сеть_и_дети'!G87*IF('01_Вводные'!$B$239="Да",MeanMinAge07+'19_Расчет_аналитики'!G3595*SUMIF(ThresholdAge07,"&lt;"&amp;'19_Расчет_аналитики'!G3595,WeightedRevAge07)-SUMIF(ThresholdAge07,"&lt;"&amp;'19_Расчет_аналитики'!G3595,WeightedMinAge07),MAX(CapacityAge07*'01_Вводные'!$B$218*'19_Расчет_аналитики'!G3595,MeanMinAge07))),0)</f>
        <v/>
      </c>
      <c r="H3506">
        <f>IF('01_Вводные'!$B$234="Да",IF(OR('19_Расчет_аналитики'!H3478=0,7&lt;='01_Вводные'!$B$297),0,'19_Расчет_аналитики'!H3478*IF('01_Вводные'!$B$239="Да",MeanMinAge07+'19_Расчет_аналитики'!H3595*SUMIF(ThresholdAge07,"&lt;"&amp;'19_Расчет_аналитики'!H3595,WeightedRevAge07)-SUMIF(ThresholdAge07,"&lt;"&amp;'19_Расчет_аналитики'!H3595,WeightedMinAge07),MAX(CapacityAge07*'01_Вводные'!$B$218*'19_Расчет_аналитики'!H3595,MeanMinAge07))),0)</f>
        <v/>
      </c>
      <c r="I3506">
        <f>IF('01_Вводные'!$B$234="Да",IF(OR('19_Расчет_аналитики'!I3478=0,7&lt;='01_Вводные'!$B$297),0,'19_Расчет_аналитики'!I3478*IF('01_Вводные'!$B$239="Да",MeanMinAge07+'19_Расчет_аналитики'!I3595*SUMIF(ThresholdAge07,"&lt;"&amp;'19_Расчет_аналитики'!I3595,WeightedRevAge07)-SUMIF(ThresholdAge07,"&lt;"&amp;'19_Расчет_аналитики'!I3595,WeightedMinAge07),MAX(CapacityAge07*'01_Вводные'!$B$218*'19_Расчет_аналитики'!I3595,MeanMinAge07))),0)</f>
        <v/>
      </c>
      <c r="J3506">
        <f>IF('01_Вводные'!$B$234="Да",IF(OR('19_Расчет_аналитики'!J3478=0,7&lt;='01_Вводные'!$B$297),0,'19_Расчет_аналитики'!J3478*IF('01_Вводные'!$B$239="Да",MeanMinAge07+'19_Расчет_аналитики'!J3595*SUMIF(ThresholdAge07,"&lt;"&amp;'19_Расчет_аналитики'!J3595,WeightedRevAge07)-SUMIF(ThresholdAge07,"&lt;"&amp;'19_Расчет_аналитики'!J3595,WeightedMinAge07),MAX(CapacityAge07*'01_Вводные'!$B$218*'19_Расчет_аналитики'!J3595,MeanMinAge07))),0)</f>
        <v/>
      </c>
      <c r="K3506">
        <f>IF('01_Вводные'!$B$234="Да",IF(OR('19_Расчет_аналитики'!K3478=0,7&lt;='01_Вводные'!$B$297),0,'19_Расчет_аналитики'!K3478*IF('01_Вводные'!$B$239="Да",MeanMinAge07+'19_Расчет_аналитики'!K3595*SUMIF(ThresholdAge07,"&lt;"&amp;'19_Расчет_аналитики'!K3595,WeightedRevAge07)-SUMIF(ThresholdAge07,"&lt;"&amp;'19_Расчет_аналитики'!K3595,WeightedMinAge07),MAX(CapacityAge07*'01_Вводные'!$B$218*'19_Расчет_аналитики'!K3595,MeanMinAge07))),0)</f>
        <v/>
      </c>
      <c r="L3506">
        <f>IF('01_Вводные'!$B$234="Да",IF(OR('19_Расчет_аналитики'!L3478=0,7&lt;='01_Вводные'!$B$297),0,'19_Расчет_аналитики'!L3478*IF('01_Вводные'!$B$239="Да",MeanMinAge07+'19_Расчет_аналитики'!L3595*SUMIF(ThresholdAge07,"&lt;"&amp;'19_Расчет_аналитики'!L3595,WeightedRevAge07)-SUMIF(ThresholdAge07,"&lt;"&amp;'19_Расчет_аналитики'!L3595,WeightedMinAge07),MAX(CapacityAge07*'01_Вводные'!$B$218*'19_Расчет_аналитики'!L3595,MeanMinAge07))),0)</f>
        <v/>
      </c>
      <c r="M3506">
        <f>IF('01_Вводные'!$B$234="Да",IF(OR('19_Расчет_аналитики'!M3478=0,7&lt;='01_Вводные'!$B$297),0,'19_Расчет_аналитики'!M3478*IF('01_Вводные'!$B$239="Да",MeanMinAge07+'19_Расчет_аналитики'!M3595*SUMIF(ThresholdAge07,"&lt;"&amp;'19_Расчет_аналитики'!M3595,WeightedRevAge07)-SUMIF(ThresholdAge07,"&lt;"&amp;'19_Расчет_аналитики'!M3595,WeightedMinAge07),MAX(CapacityAge07*'01_Вводные'!$B$218*'19_Расчет_аналитики'!M3595,MeanMinAge07))),0)</f>
        <v/>
      </c>
      <c r="N3506">
        <f>IF('01_Вводные'!$B$234="Да",IF(OR('19_Расчет_аналитики'!N3478=0,7&lt;='01_Вводные'!$B$297),0,'19_Расчет_аналитики'!N3478*IF('01_Вводные'!$B$239="Да",MeanMinAge07+'19_Расчет_аналитики'!N3595*SUMIF(ThresholdAge07,"&lt;"&amp;'19_Расчет_аналитики'!N3595,WeightedRevAge07)-SUMIF(ThresholdAge07,"&lt;"&amp;'19_Расчет_аналитики'!N3595,WeightedMinAge07),MAX(CapacityAge07*'01_Вводные'!$B$218*'19_Расчет_аналитики'!N3595,MeanMinAge07))),0)</f>
        <v/>
      </c>
      <c r="O3506">
        <f>IF('01_Вводные'!$B$234="Да",IF(OR('19_Расчет_аналитики'!O3478=0,7&lt;='01_Вводные'!$B$297),0,'19_Расчет_аналитики'!O3478*IF('01_Вводные'!$B$239="Да",MeanMinAge07+'19_Расчет_аналитики'!O3595*SUMIF(ThresholdAge07,"&lt;"&amp;'19_Расчет_аналитики'!O3595,WeightedRevAge07)-SUMIF(ThresholdAge07,"&lt;"&amp;'19_Расчет_аналитики'!O3595,WeightedMinAge07),MAX(CapacityAge07*'01_Вводные'!$B$218*'19_Расчет_аналитики'!O3595,MeanMinAge07))),0)</f>
        <v/>
      </c>
      <c r="P3506">
        <f>IF('01_Вводные'!$B$234="Да",IF(OR('19_Расчет_аналитики'!P3478=0,7&lt;='01_Вводные'!$B$297),0,'19_Расчет_аналитики'!P3478*IF('01_Вводные'!$B$239="Да",MeanMinAge07+'19_Расчет_аналитики'!P3595*SUMIF(ThresholdAge07,"&lt;"&amp;'19_Расчет_аналитики'!P3595,WeightedRevAge07)-SUMIF(ThresholdAge07,"&lt;"&amp;'19_Расчет_аналитики'!P3595,WeightedMinAge07),MAX(CapacityAge07*'01_Вводные'!$B$218*'19_Расчет_аналитики'!P3595,MeanMinAge07))),0)</f>
        <v/>
      </c>
      <c r="Q3506">
        <f>IF('01_Вводные'!$B$234="Да",IF(OR('19_Расчет_аналитики'!Q3478=0,7&lt;='01_Вводные'!$B$297),0,'19_Расчет_аналитики'!Q3478*IF('01_Вводные'!$B$239="Да",MeanMinAge07+'19_Расчет_аналитики'!Q3595*SUMIF(ThresholdAge07,"&lt;"&amp;'19_Расчет_аналитики'!Q3595,WeightedRevAge07)-SUMIF(ThresholdAge07,"&lt;"&amp;'19_Расчет_аналитики'!Q3595,WeightedMinAge07),MAX(CapacityAge07*'01_Вводные'!$B$218*'19_Расчет_аналитики'!Q3595,MeanMinAge07))),0)</f>
        <v/>
      </c>
      <c r="R3506">
        <f>IF('01_Вводные'!$B$234="Да",IF(OR('19_Расчет_аналитики'!R3478=0,7&lt;='01_Вводные'!$B$297),0,'19_Расчет_аналитики'!R3478*IF('01_Вводные'!$B$239="Да",MeanMinAge07+'19_Расчет_аналитики'!R3595*SUMIF(ThresholdAge07,"&lt;"&amp;'19_Расчет_аналитики'!R3595,WeightedRevAge07)-SUMIF(ThresholdAge07,"&lt;"&amp;'19_Расчет_аналитики'!R3595,WeightedMinAge07),MAX(CapacityAge07*'01_Вводные'!$B$218*'19_Расчет_аналитики'!R3595,MeanMinAge07))),0)</f>
        <v/>
      </c>
      <c r="S3506">
        <f>IF('01_Вводные'!$B$234="Да",IF(OR('19_Расчет_аналитики'!S3478=0,7&lt;='01_Вводные'!$B$297),0,'19_Расчет_аналитики'!S3478*IF('01_Вводные'!$B$239="Да",MeanMinAge07+'19_Расчет_аналитики'!S3595*SUMIF(ThresholdAge07,"&lt;"&amp;'19_Расчет_аналитики'!S3595,WeightedRevAge07)-SUMIF(ThresholdAge07,"&lt;"&amp;'19_Расчет_аналитики'!S3595,WeightedMinAge07),MAX(CapacityAge07*'01_Вводные'!$B$218*'19_Расчет_аналитики'!S3595,MeanMinAge07))),0)</f>
        <v/>
      </c>
      <c r="T3506">
        <f>IF('01_Вводные'!$B$234="Да",IF(OR('19_Расчет_аналитики'!T3478=0,7&lt;='01_Вводные'!$B$297),0,'19_Расчет_аналитики'!T3478*IF('01_Вводные'!$B$239="Да",MeanMinAge07+'19_Расчет_аналитики'!T3595*SUMIF(ThresholdAge07,"&lt;"&amp;'19_Расчет_аналитики'!T3595,WeightedRevAge07)-SUMIF(ThresholdAge07,"&lt;"&amp;'19_Расчет_аналитики'!T3595,WeightedMinAge07),MAX(CapacityAge07*'01_Вводные'!$B$218*'19_Расчет_аналитики'!T3595,MeanMinAge07))),0)</f>
        <v/>
      </c>
      <c r="U3506">
        <f>IF('01_Вводные'!$B$234="Да",IF(OR('19_Расчет_аналитики'!U3478=0,7&lt;='01_Вводные'!$B$297),0,'19_Расчет_аналитики'!U3478*IF('01_Вводные'!$B$239="Да",MeanMinAge07+'19_Расчет_аналитики'!U3595*SUMIF(ThresholdAge07,"&lt;"&amp;'19_Расчет_аналитики'!U3595,WeightedRevAge07)-SUMIF(ThresholdAge07,"&lt;"&amp;'19_Расчет_аналитики'!U3595,WeightedMinAge07),MAX(CapacityAge07*'01_Вводные'!$B$218*'19_Расчет_аналитики'!U3595,MeanMinAge07))),0)</f>
        <v/>
      </c>
      <c r="V3506">
        <f>IF('01_Вводные'!$B$234="Да",IF(OR('19_Расчет_аналитики'!V3478=0,7&lt;='01_Вводные'!$B$297),0,'19_Расчет_аналитики'!V3478*IF('01_Вводные'!$B$239="Да",MeanMinAge07+'19_Расчет_аналитики'!V3595*SUMIF(ThresholdAge07,"&lt;"&amp;'19_Расчет_аналитики'!V3595,WeightedRevAge07)-SUMIF(ThresholdAge07,"&lt;"&amp;'19_Расчет_аналитики'!V3595,WeightedMinAge07),MAX(CapacityAge07*'01_Вводные'!$B$218*'19_Расчет_аналитики'!V3595,MeanMinAge07))),0)</f>
        <v/>
      </c>
      <c r="W3506">
        <f>IF('01_Вводные'!$B$234="Да",IF(OR('19_Расчет_аналитики'!W3478=0,7&lt;='01_Вводные'!$B$297),0,'19_Расчет_аналитики'!W3478*IF('01_Вводные'!$B$239="Да",MeanMinAge07+'19_Расчет_аналитики'!W3595*SUMIF(ThresholdAge07,"&lt;"&amp;'19_Расчет_аналитики'!W3595,WeightedRevAge07)-SUMIF(ThresholdAge07,"&lt;"&amp;'19_Расчет_аналитики'!W3595,WeightedMinAge07),MAX(CapacityAge07*'01_Вводные'!$B$218*'19_Расчет_аналитики'!W3595,MeanMinAge07))),0)</f>
        <v/>
      </c>
      <c r="X3506">
        <f>IF('01_Вводные'!$B$234="Да",IF(OR('19_Расчет_аналитики'!X3478=0,7&lt;='01_Вводные'!$B$297),0,'19_Расчет_аналитики'!X3478*IF('01_Вводные'!$B$239="Да",MeanMinAge07+'19_Расчет_аналитики'!X3595*SUMIF(ThresholdAge07,"&lt;"&amp;'19_Расчет_аналитики'!X3595,WeightedRevAge07)-SUMIF(ThresholdAge07,"&lt;"&amp;'19_Расчет_аналитики'!X3595,WeightedMinAge07),MAX(CapacityAge07*'01_Вводные'!$B$218*'19_Расчет_аналитики'!X3595,MeanMinAge07))),0)</f>
        <v/>
      </c>
      <c r="Y3506">
        <f>IF('01_Вводные'!$B$234="Да",IF(OR('19_Расчет_аналитики'!Y3478=0,7&lt;='01_Вводные'!$B$297),0,'19_Расчет_аналитики'!Y3478*IF('01_Вводные'!$B$239="Да",MeanMinAge07+'19_Расчет_аналитики'!Y3595*SUMIF(ThresholdAge07,"&lt;"&amp;'19_Расчет_аналитики'!Y3595,WeightedRevAge07)-SUMIF(ThresholdAge07,"&lt;"&amp;'19_Расчет_аналитики'!Y3595,WeightedMinAge07),MAX(CapacityAge07*'01_Вводные'!$B$218*'19_Расчет_аналитики'!Y3595,MeanMinAge07))),0)</f>
        <v/>
      </c>
      <c r="Z3506">
        <f>IF('01_Вводные'!$B$234="Да",IF(OR('19_Расчет_аналитики'!Z3478=0,7&lt;='01_Вводные'!$B$297),0,'19_Расчет_аналитики'!Z3478*IF('01_Вводные'!$B$239="Да",MeanMinAge07+'19_Расчет_аналитики'!Z3595*SUMIF(ThresholdAge07,"&lt;"&amp;'19_Расчет_аналитики'!Z3595,WeightedRevAge07)-SUMIF(ThresholdAge07,"&lt;"&amp;'19_Расчет_аналитики'!Z3595,WeightedMinAge07),MAX(CapacityAge07*'01_Вводные'!$B$218*'19_Расчет_аналитики'!Z3595,MeanMinAge07))),0)</f>
        <v/>
      </c>
      <c r="AA3506">
        <f>IF('01_Вводные'!$B$234="Да",IF(OR('19_Расчет_аналитики'!AA3478=0,7&lt;='01_Вводные'!$B$297),0,'19_Расчет_аналитики'!AA3478*IF('01_Вводные'!$B$239="Да",MeanMinAge07+'19_Расчет_аналитики'!AA3595*SUMIF(ThresholdAge07,"&lt;"&amp;'19_Расчет_аналитики'!AA3595,WeightedRevAge07)-SUMIF(ThresholdAge07,"&lt;"&amp;'19_Расчет_аналитики'!AA3595,WeightedMinAge07),MAX(CapacityAge07*'01_Вводные'!$B$218*'19_Расчет_аналитики'!AA3595,MeanMinAge07))),0)</f>
        <v/>
      </c>
      <c r="AB3506">
        <f>IF('01_Вводные'!$B$234="Да",IF(OR('19_Расчет_аналитики'!AB3478=0,7&lt;='01_Вводные'!$B$297),0,'19_Расчет_аналитики'!AB3478*IF('01_Вводные'!$B$239="Да",MeanMinAge07+'19_Расчет_аналитики'!AB3595*SUMIF(ThresholdAge07,"&lt;"&amp;'19_Расчет_аналитики'!AB3595,WeightedRevAge07)-SUMIF(ThresholdAge07,"&lt;"&amp;'19_Расчет_аналитики'!AB3595,WeightedMinAge07),MAX(CapacityAge07*'01_Вводные'!$B$218*'19_Расчет_аналитики'!AB3595,MeanMinAge07))),0)</f>
        <v/>
      </c>
      <c r="AC3506">
        <f>IF('01_Вводные'!$B$234="Да",IF(OR('19_Расчет_аналитики'!AC3478=0,7&lt;='01_Вводные'!$B$297),0,'19_Расчет_аналитики'!AC3478*IF('01_Вводные'!$B$239="Да",MeanMinAge07+'19_Расчет_аналитики'!AC3595*SUMIF(ThresholdAge07,"&lt;"&amp;'19_Расчет_аналитики'!AC3595,WeightedRevAge07)-SUMIF(ThresholdAge07,"&lt;"&amp;'19_Расчет_аналитики'!AC3595,WeightedMinAge07),MAX(CapacityAge07*'01_Вводные'!$B$218*'19_Расчет_аналитики'!AC3595,MeanMinAge07))),0)</f>
        <v/>
      </c>
      <c r="AD3506">
        <f>IF('01_Вводные'!$B$234="Да",IF(OR('19_Расчет_аналитики'!AD3478=0,7&lt;='01_Вводные'!$B$297),0,'19_Расчет_аналитики'!AD3478*IF('01_Вводные'!$B$239="Да",MeanMinAge07+'19_Расчет_аналитики'!AD3595*SUMIF(ThresholdAge07,"&lt;"&amp;'19_Расчет_аналитики'!AD3595,WeightedRevAge07)-SUMIF(ThresholdAge07,"&lt;"&amp;'19_Расчет_аналитики'!AD3595,WeightedMinAge07),MAX(CapacityAge07*'01_Вводные'!$B$218*'19_Расчет_аналитики'!AD3595,MeanMinAge07))),0)</f>
        <v/>
      </c>
      <c r="AE3506">
        <f>IF('01_Вводные'!$B$234="Да",IF(OR('19_Расчет_аналитики'!AE3478=0,7&lt;='01_Вводные'!$B$297),0,'19_Расчет_аналитики'!AE3478*IF('01_Вводные'!$B$239="Да",MeanMinAge07+'19_Расчет_аналитики'!AE3595*SUMIF(ThresholdAge07,"&lt;"&amp;'19_Расчет_аналитики'!AE3595,WeightedRevAge07)-SUMIF(ThresholdAge07,"&lt;"&amp;'19_Расчет_аналитики'!AE3595,WeightedMinAge07),MAX(CapacityAge07*'01_Вводные'!$B$218*'19_Расчет_аналитики'!AE3595,MeanMinAge07))),0)</f>
        <v/>
      </c>
      <c r="AF3506">
        <f>IF('01_Вводные'!$B$234="Да",IF(OR('19_Расчет_аналитики'!AF3478=0,7&lt;='01_Вводные'!$B$297),0,'19_Расчет_аналитики'!AF3478*IF('01_Вводные'!$B$239="Да",MeanMinAge07+'19_Расчет_аналитики'!AF3595*SUMIF(ThresholdAge07,"&lt;"&amp;'19_Расчет_аналитики'!AF3595,WeightedRevAge07)-SUMIF(ThresholdAge07,"&lt;"&amp;'19_Расчет_аналитики'!AF3595,WeightedMinAge07),MAX(CapacityAge07*'01_Вводные'!$B$218*'19_Расчет_аналитики'!AF3595,MeanMinAge07))),0)</f>
        <v/>
      </c>
      <c r="AG3506">
        <f>IF('01_Вводные'!$B$234="Да",IF(OR('19_Расчет_аналитики'!AG3478=0,7&lt;='01_Вводные'!$B$297),0,'19_Расчет_аналитики'!AG3478*IF('01_Вводные'!$B$239="Да",MeanMinAge07+'19_Расчет_аналитики'!AG3595*SUMIF(ThresholdAge07,"&lt;"&amp;'19_Расчет_аналитики'!AG3595,WeightedRevAge07)-SUMIF(ThresholdAge07,"&lt;"&amp;'19_Расчет_аналитики'!AG3595,WeightedMinAge07),MAX(CapacityAge07*'01_Вводные'!$B$218*'19_Расчет_аналитики'!AG3595,MeanMinAge07))),0)</f>
        <v/>
      </c>
      <c r="AH3506">
        <f>IF('01_Вводные'!$B$234="Да",IF(OR('19_Расчет_аналитики'!AH3478=0,7&lt;='01_Вводные'!$B$297),0,'19_Расчет_аналитики'!AH3478*IF('01_Вводные'!$B$239="Да",MeanMinAge07+'19_Расчет_аналитики'!AH3595*SUMIF(ThresholdAge07,"&lt;"&amp;'19_Расчет_аналитики'!AH3595,WeightedRevAge07)-SUMIF(ThresholdAge07,"&lt;"&amp;'19_Расчет_аналитики'!AH3595,WeightedMinAge07),MAX(CapacityAge07*'01_Вводные'!$B$218*'19_Расчет_аналитики'!AH3595,MeanMinAge07))),0)</f>
        <v/>
      </c>
      <c r="AI3506">
        <f>IF('01_Вводные'!$B$234="Да",IF(OR('19_Расчет_аналитики'!AI3478=0,7&lt;='01_Вводные'!$B$297),0,'19_Расчет_аналитики'!AI3478*IF('01_Вводные'!$B$239="Да",MeanMinAge07+'19_Расчет_аналитики'!AI3595*SUMIF(ThresholdAge07,"&lt;"&amp;'19_Расчет_аналитики'!AI3595,WeightedRevAge07)-SUMIF(ThresholdAge07,"&lt;"&amp;'19_Расчет_аналитики'!AI3595,WeightedMinAge07),MAX(CapacityAge07*'01_Вводные'!$B$218*'19_Расчет_аналитики'!AI3595,MeanMinAge07))),0)</f>
        <v/>
      </c>
      <c r="AJ3506">
        <f>IF('01_Вводные'!$B$234="Да",IF(OR('19_Расчет_аналитики'!AJ3478=0,7&lt;='01_Вводные'!$B$297),0,'19_Расчет_аналитики'!AJ3478*IF('01_Вводные'!$B$239="Да",MeanMinAge07+'19_Расчет_аналитики'!AJ3595*SUMIF(ThresholdAge07,"&lt;"&amp;'19_Расчет_аналитики'!AJ3595,WeightedRevAge07)-SUMIF(ThresholdAge07,"&lt;"&amp;'19_Расчет_аналитики'!AJ3595,WeightedMinAge07),MAX(CapacityAge07*'01_Вводные'!$B$218*'19_Расчет_аналитики'!AJ3595,MeanMinAge07))),0)</f>
        <v/>
      </c>
      <c r="AK3506">
        <f>IF('01_Вводные'!$B$234="Да",IF(OR('19_Расчет_аналитики'!AK3478=0,7&lt;='01_Вводные'!$B$297),0,'19_Расчет_аналитики'!AK3478*IF('01_Вводные'!$B$239="Да",MeanMinAge07+'19_Расчет_аналитики'!AK3595*SUMIF(ThresholdAge07,"&lt;"&amp;'19_Расчет_аналитики'!AK3595,WeightedRevAge07)-SUMIF(ThresholdAge07,"&lt;"&amp;'19_Расчет_аналитики'!AK3595,WeightedMinAge07),MAX(CapacityAge07*'01_Вводные'!$B$218*'19_Расчет_аналитики'!AK3595,MeanMinAge07))),0)</f>
        <v/>
      </c>
      <c r="AL3506">
        <f>IF('01_Вводные'!$B$234="Да",IF(OR('19_Расчет_аналитики'!AL3478=0,7&lt;='01_Вводные'!$B$297),0,'19_Расчет_аналитики'!AL3478*IF('01_Вводные'!$B$239="Да",MeanMinAge07+'19_Расчет_аналитики'!AL3595*SUMIF(ThresholdAge07,"&lt;"&amp;'19_Расчет_аналитики'!AL3595,WeightedRevAge07)-SUMIF(ThresholdAge07,"&lt;"&amp;'19_Расчет_аналитики'!AL3595,WeightedMinAge07),MAX(CapacityAge07*'01_Вводные'!$B$218*'19_Расчет_аналитики'!AL3595,MeanMinAge07))),0)</f>
        <v/>
      </c>
      <c r="AM3506">
        <f>IF('01_Вводные'!$B$234="Да",IF(OR('19_Расчет_аналитики'!AM3478=0,7&lt;='01_Вводные'!$B$297),0,'19_Расчет_аналитики'!AM3478*IF('01_Вводные'!$B$239="Да",MeanMinAge07+'19_Расчет_аналитики'!AM3595*SUMIF(ThresholdAge07,"&lt;"&amp;'19_Расчет_аналитики'!AM3595,WeightedRevAge07)-SUMIF(ThresholdAge07,"&lt;"&amp;'19_Расчет_аналитики'!AM3595,WeightedMinAge07),MAX(CapacityAge07*'01_Вводные'!$B$218*'19_Расчет_аналитики'!AM3595,MeanMinAge07))),0)</f>
        <v/>
      </c>
      <c r="AN3506">
        <f>IF('01_Вводные'!$B$234="Да",IF(OR('19_Расчет_аналитики'!AN3478=0,7&lt;='01_Вводные'!$B$297),0,'19_Расчет_аналитики'!AN3478*IF('01_Вводные'!$B$239="Да",MeanMinAge07+'19_Расчет_аналитики'!AN3595*SUMIF(ThresholdAge07,"&lt;"&amp;'19_Расчет_аналитики'!AN3595,WeightedRevAge07)-SUMIF(ThresholdAge07,"&lt;"&amp;'19_Расчет_аналитики'!AN3595,WeightedMinAge07),MAX(CapacityAge07*'01_Вводные'!$B$218*'19_Расчет_аналитики'!AN3595,MeanMinAge07))),0)</f>
        <v/>
      </c>
      <c r="AO3506">
        <f>IF('01_Вводные'!$B$234="Да",IF(OR('19_Расчет_аналитики'!AO3478=0,7&lt;='01_Вводные'!$B$297),0,'19_Расчет_аналитики'!AO3478*IF('01_Вводные'!$B$239="Да",MeanMinAge07+'19_Расчет_аналитики'!AO3595*SUMIF(ThresholdAge07,"&lt;"&amp;'19_Расчет_аналитики'!AO3595,WeightedRevAge07)-SUMIF(ThresholdAge07,"&lt;"&amp;'19_Расчет_аналитики'!AO3595,WeightedMinAge07),MAX(CapacityAge07*'01_Вводные'!$B$218*'19_Расчет_аналитики'!AO3595,MeanMinAge07))),0)</f>
        <v/>
      </c>
      <c r="AP3506">
        <f>IF('01_Вводные'!$B$234="Да",IF(OR('19_Расчет_аналитики'!AP3478=0,7&lt;='01_Вводные'!$B$297),0,'19_Расчет_аналитики'!AP3478*IF('01_Вводные'!$B$239="Да",MeanMinAge07+'19_Расчет_аналитики'!AP3595*SUMIF(ThresholdAge07,"&lt;"&amp;'19_Расчет_аналитики'!AP3595,WeightedRevAge07)-SUMIF(ThresholdAge07,"&lt;"&amp;'19_Расчет_аналитики'!AP3595,WeightedMinAge07),MAX(CapacityAge07*'01_Вводные'!$B$218*'19_Расчет_аналитики'!AP3595,MeanMinAge07))),0)</f>
        <v/>
      </c>
      <c r="AQ3506">
        <f>IF('01_Вводные'!$B$234="Да",IF(OR('19_Расчет_аналитики'!AQ3478=0,7&lt;='01_Вводные'!$B$297),0,'19_Расчет_аналитики'!AQ3478*IF('01_Вводные'!$B$239="Да",MeanMinAge07+'19_Расчет_аналитики'!AQ3595*SUMIF(ThresholdAge07,"&lt;"&amp;'19_Расчет_аналитики'!AQ3595,WeightedRevAge07)-SUMIF(ThresholdAge07,"&lt;"&amp;'19_Расчет_аналитики'!AQ3595,WeightedMinAge07),MAX(CapacityAge07*'01_Вводные'!$B$218*'19_Расчет_аналитики'!AQ3595,MeanMinAge07))),0)</f>
        <v/>
      </c>
      <c r="AR3506">
        <f>IF('01_Вводные'!$B$234="Да",IF(OR('19_Расчет_аналитики'!AR3478=0,7&lt;='01_Вводные'!$B$297),0,'19_Расчет_аналитики'!AR3478*IF('01_Вводные'!$B$239="Да",MeanMinAge07+'19_Расчет_аналитики'!AR3595*SUMIF(ThresholdAge07,"&lt;"&amp;'19_Расчет_аналитики'!AR3595,WeightedRevAge07)-SUMIF(ThresholdAge07,"&lt;"&amp;'19_Расчет_аналитики'!AR3595,WeightedMinAge07),MAX(CapacityAge07*'01_Вводные'!$B$218*'19_Расчет_аналитики'!AR3595,MeanMinAge07))),0)</f>
        <v/>
      </c>
      <c r="AS3506">
        <f>IF('01_Вводные'!$B$234="Да",IF(OR('19_Расчет_аналитики'!AS3478=0,7&lt;='01_Вводные'!$B$297),0,'19_Расчет_аналитики'!AS3478*IF('01_Вводные'!$B$239="Да",MeanMinAge07+'19_Расчет_аналитики'!AS3595*SUMIF(ThresholdAge07,"&lt;"&amp;'19_Расчет_аналитики'!AS3595,WeightedRevAge07)-SUMIF(ThresholdAge07,"&lt;"&amp;'19_Расчет_аналитики'!AS3595,WeightedMinAge07),MAX(CapacityAge07*'01_Вводные'!$B$218*'19_Расчет_аналитики'!AS3595,MeanMinAge07))),0)</f>
        <v/>
      </c>
      <c r="AT3506">
        <f>IF('01_Вводные'!$B$234="Да",IF(OR('19_Расчет_аналитики'!AT3478=0,7&lt;='01_Вводные'!$B$297),0,'19_Расчет_аналитики'!AT3478*IF('01_Вводные'!$B$239="Да",MeanMinAge07+'19_Расчет_аналитики'!AT3595*SUMIF(ThresholdAge07,"&lt;"&amp;'19_Расчет_аналитики'!AT3595,WeightedRevAge07)-SUMIF(ThresholdAge07,"&lt;"&amp;'19_Расчет_аналитики'!AT3595,WeightedMinAge07),MAX(CapacityAge07*'01_Вводные'!$B$218*'19_Расчет_аналитики'!AT3595,MeanMinAge07))),0)</f>
        <v/>
      </c>
      <c r="AU3506">
        <f>IF('01_Вводные'!$B$234="Да",IF(OR('19_Расчет_аналитики'!AU3478=0,7&lt;='01_Вводные'!$B$297),0,'19_Расчет_аналитики'!AU3478*IF('01_Вводные'!$B$239="Да",MeanMinAge07+'19_Расчет_аналитики'!AU3595*SUMIF(ThresholdAge07,"&lt;"&amp;'19_Расчет_аналитики'!AU3595,WeightedRevAge07)-SUMIF(ThresholdAge07,"&lt;"&amp;'19_Расчет_аналитики'!AU3595,WeightedMinAge07),MAX(CapacityAge07*'01_Вводные'!$B$218*'19_Расчет_аналитики'!AU3595,MeanMinAge07))),0)</f>
        <v/>
      </c>
      <c r="AV3506">
        <f>IF('01_Вводные'!$B$234="Да",IF(OR('19_Расчет_аналитики'!AV3478=0,7&lt;='01_Вводные'!$B$297),0,'19_Расчет_аналитики'!AV3478*IF('01_Вводные'!$B$239="Да",MeanMinAge07+'19_Расчет_аналитики'!AV3595*SUMIF(ThresholdAge07,"&lt;"&amp;'19_Расчет_аналитики'!AV3595,WeightedRevAge07)-SUMIF(ThresholdAge07,"&lt;"&amp;'19_Расчет_аналитики'!AV3595,WeightedMinAge07),MAX(CapacityAge07*'01_Вводные'!$B$218*'19_Расчет_аналитики'!AV3595,MeanMinAge07))),0)</f>
        <v/>
      </c>
      <c r="AW3506">
        <f>IF('01_Вводные'!$B$234="Да",IF(OR('19_Расчет_аналитики'!AW3478=0,7&lt;='01_Вводные'!$B$297),0,'19_Расчет_аналитики'!AW3478*IF('01_Вводные'!$B$239="Да",MeanMinAge07+'19_Расчет_аналитики'!AW3595*SUMIF(ThresholdAge07,"&lt;"&amp;'19_Расчет_аналитики'!AW3595,WeightedRevAge07)-SUMIF(ThresholdAge07,"&lt;"&amp;'19_Расчет_аналитики'!AW3595,WeightedMinAge07),MAX(CapacityAge07*'01_Вводные'!$B$218*'19_Расчет_аналитики'!AW3595,MeanMinAge07))),0)</f>
        <v/>
      </c>
      <c r="AX3506">
        <f>IF('01_Вводные'!$B$234="Да",IF(OR('19_Расчет_аналитики'!AX3478=0,7&lt;='01_Вводные'!$B$297),0,'19_Расчет_аналитики'!AX3478*IF('01_Вводные'!$B$239="Да",MeanMinAge07+'19_Расчет_аналитики'!AX3595*SUMIF(ThresholdAge07,"&lt;"&amp;'19_Расчет_аналитики'!AX3595,WeightedRevAge07)-SUMIF(ThresholdAge07,"&lt;"&amp;'19_Расчет_аналитики'!AX3595,WeightedMinAge07),MAX(CapacityAge07*'01_Вводные'!$B$218*'19_Расчет_аналитики'!AX3595,MeanMinAge07))),0)</f>
        <v/>
      </c>
      <c r="AY3506">
        <f>IF('01_Вводные'!$B$234="Да",IF(OR('19_Расчет_аналитики'!AY3478=0,7&lt;='01_Вводные'!$B$297),0,'19_Расчет_аналитики'!AY3478*IF('01_Вводные'!$B$239="Да",MeanMinAge07+'19_Расчет_аналитики'!AY3595*SUMIF(ThresholdAge07,"&lt;"&amp;'19_Расчет_аналитики'!AY3595,WeightedRevAge07)-SUMIF(ThresholdAge07,"&lt;"&amp;'19_Расчет_аналитики'!AY3595,WeightedMinAge07),MAX(CapacityAge07*'01_Вводные'!$B$218*'19_Расчет_аналитики'!AY3595,MeanMinAge07))),0)</f>
        <v/>
      </c>
      <c r="AZ3506">
        <f>IF('01_Вводные'!$B$234="Да",IF(OR('19_Расчет_аналитики'!AZ3478=0,7&lt;='01_Вводные'!$B$297),0,'19_Расчет_аналитики'!AZ3478*IF('01_Вводные'!$B$239="Да",MeanMinAge07+'19_Расчет_аналитики'!AZ3595*SUMIF(ThresholdAge07,"&lt;"&amp;'19_Расчет_аналитики'!AZ3595,WeightedRevAge07)-SUMIF(ThresholdAge07,"&lt;"&amp;'19_Расчет_аналитики'!AZ3595,WeightedMinAge07),MAX(CapacityAge07*'01_Вводные'!$B$218*'19_Расчет_аналитики'!AZ3595,MeanMinAge07))),0)</f>
        <v/>
      </c>
      <c r="BA3506">
        <f>IF('01_Вводные'!$B$234="Да",IF(OR('19_Расчет_аналитики'!BA3478=0,7&lt;='01_Вводные'!$B$297),0,'19_Расчет_аналитики'!BA3478*IF('01_Вводные'!$B$239="Да",MeanMinAge07+'19_Расчет_аналитики'!BA3595*SUMIF(ThresholdAge07,"&lt;"&amp;'19_Расчет_аналитики'!BA3595,WeightedRevAge07)-SUMIF(ThresholdAge07,"&lt;"&amp;'19_Расчет_аналитики'!BA3595,WeightedMinAge07),MAX(CapacityAge07*'01_Вводные'!$B$218*'19_Расчет_аналитики'!BA3595,MeanMinAge07))),0)</f>
        <v/>
      </c>
      <c r="BB3506">
        <f>IF('01_Вводные'!$B$234="Да",IF(OR('19_Расчет_аналитики'!BB3478=0,7&lt;='01_Вводные'!$B$297),0,'19_Расчет_аналитики'!BB3478*IF('01_Вводные'!$B$239="Да",MeanMinAge07+'19_Расчет_аналитики'!BB3595*SUMIF(ThresholdAge07,"&lt;"&amp;'19_Расчет_аналитики'!BB3595,WeightedRevAge07)-SUMIF(ThresholdAge07,"&lt;"&amp;'19_Расчет_аналитики'!BB3595,WeightedMinAge07),MAX(CapacityAge07*'01_Вводные'!$B$218*'19_Расчет_аналитики'!BB3595,MeanMinAge07))),0)</f>
        <v/>
      </c>
      <c r="BC3506">
        <f>IF('01_Вводные'!$B$234="Да",IF(OR('19_Расчет_аналитики'!BC3478=0,7&lt;='01_Вводные'!$B$297),0,'19_Расчет_аналитики'!BC3478*IF('01_Вводные'!$B$239="Да",MeanMinAge07+'19_Расчет_аналитики'!BC3595*SUMIF(ThresholdAge07,"&lt;"&amp;'19_Расчет_аналитики'!BC3595,WeightedRevAge07)-SUMIF(ThresholdAge07,"&lt;"&amp;'19_Расчет_аналитики'!BC3595,WeightedMinAge07),MAX(CapacityAge07*'01_Вводные'!$B$218*'19_Расчет_аналитики'!BC3595,MeanMinAge07))),0)</f>
        <v/>
      </c>
      <c r="BD3506">
        <f>IF('01_Вводные'!$B$234="Да",IF(OR('19_Расчет_аналитики'!BD3478=0,7&lt;='01_Вводные'!$B$297),0,'19_Расчет_аналитики'!BD3478*IF('01_Вводные'!$B$239="Да",MeanMinAge07+'19_Расчет_аналитики'!BD3595*SUMIF(ThresholdAge07,"&lt;"&amp;'19_Расчет_аналитики'!BD3595,WeightedRevAge07)-SUMIF(ThresholdAge07,"&lt;"&amp;'19_Расчет_аналитики'!BD3595,WeightedMinAge07),MAX(CapacityAge07*'01_Вводные'!$B$218*'19_Расчет_аналитики'!BD3595,MeanMinAge07))),0)</f>
        <v/>
      </c>
      <c r="BE3506">
        <f>IF('01_Вводные'!$B$234="Да",IF(OR('19_Расчет_аналитики'!BE3478=0,7&lt;='01_Вводные'!$B$297),0,'19_Расчет_аналитики'!BE3478*IF('01_Вводные'!$B$239="Да",MeanMinAge07+'19_Расчет_аналитики'!BE3595*SUMIF(ThresholdAge07,"&lt;"&amp;'19_Расчет_аналитики'!BE3595,WeightedRevAge07)-SUMIF(ThresholdAge07,"&lt;"&amp;'19_Расчет_аналитики'!BE3595,WeightedMinAge07),MAX(CapacityAge07*'01_Вводные'!$B$218*'19_Расчет_аналитики'!BE3595,MeanMinAge07))),0)</f>
        <v/>
      </c>
      <c r="BF3506">
        <f>IF('01_Вводные'!$B$234="Да",IF(OR('19_Расчет_аналитики'!BF3478=0,7&lt;='01_Вводные'!$B$297),0,'19_Расчет_аналитики'!BF3478*IF('01_Вводные'!$B$239="Да",MeanMinAge07+'19_Расчет_аналитики'!BF3595*SUMIF(ThresholdAge07,"&lt;"&amp;'19_Расчет_аналитики'!BF3595,WeightedRevAge07)-SUMIF(ThresholdAge07,"&lt;"&amp;'19_Расчет_аналитики'!BF3595,WeightedMinAge07),MAX(CapacityAge07*'01_Вводные'!$B$218*'19_Расчет_аналитики'!BF3595,MeanMinAge07))),0)</f>
        <v/>
      </c>
      <c r="BG3506">
        <f>IF('01_Вводные'!$B$234="Да",IF(OR('19_Расчет_аналитики'!BG3478=0,7&lt;='01_Вводные'!$B$297),0,'19_Расчет_аналитики'!BG3478*IF('01_Вводные'!$B$239="Да",MeanMinAge07+'19_Расчет_аналитики'!BG3595*SUMIF(ThresholdAge07,"&lt;"&amp;'19_Расчет_аналитики'!BG3595,WeightedRevAge07)-SUMIF(ThresholdAge07,"&lt;"&amp;'19_Расчет_аналитики'!BG3595,WeightedMinAge07),MAX(CapacityAge07*'01_Вводные'!$B$218*'19_Расчет_аналитики'!BG3595,MeanMinAge07))),0)</f>
        <v/>
      </c>
      <c r="BH3506">
        <f>IF('01_Вводные'!$B$234="Да",IF(OR('19_Расчет_аналитики'!BH3478=0,7&lt;='01_Вводные'!$B$297),0,'19_Расчет_аналитики'!BH3478*IF('01_Вводные'!$B$239="Да",MeanMinAge07+'19_Расчет_аналитики'!BH3595*SUMIF(ThresholdAge07,"&lt;"&amp;'19_Расчет_аналитики'!BH3595,WeightedRevAge07)-SUMIF(ThresholdAge07,"&lt;"&amp;'19_Расчет_аналитики'!BH3595,WeightedMinAge07),MAX(CapacityAge07*'01_Вводные'!$B$218*'19_Расчет_аналитики'!BH3595,MeanMinAge07))),0)</f>
        <v/>
      </c>
      <c r="BI3506">
        <f>IF('01_Вводные'!$B$234="Да",IF(OR('19_Расчет_аналитики'!BI3478=0,7&lt;='01_Вводные'!$B$297),0,'19_Расчет_аналитики'!BI3478*IF('01_Вводные'!$B$239="Да",MeanMinAge07+'19_Расчет_аналитики'!BI3595*SUMIF(ThresholdAge07,"&lt;"&amp;'19_Расчет_аналитики'!BI3595,WeightedRevAge07)-SUMIF(ThresholdAge07,"&lt;"&amp;'19_Расчет_аналитики'!BI3595,WeightedMinAge07),MAX(CapacityAge07*'01_Вводные'!$B$218*'19_Расчет_аналитики'!BI3595,MeanMinAge07))),0)</f>
        <v/>
      </c>
      <c r="BJ3506">
        <f>IF('01_Вводные'!$B$234="Да",IF(OR('19_Расчет_аналитики'!BJ3478=0,7&lt;='01_Вводные'!$B$297),0,'19_Расчет_аналитики'!BJ3478*IF('01_Вводные'!$B$239="Да",MeanMinAge07+'19_Расчет_аналитики'!BJ3595*SUMIF(ThresholdAge07,"&lt;"&amp;'19_Расчет_аналитики'!BJ3595,WeightedRevAge07)-SUMIF(ThresholdAge07,"&lt;"&amp;'19_Расчет_аналитики'!BJ3595,WeightedMinAge07),MAX(CapacityAge07*'01_Вводные'!$B$218*'19_Расчет_аналитики'!BJ3595,MeanMinAge07))),0)</f>
        <v/>
      </c>
      <c r="BK3506">
        <f>IF('01_Вводные'!$B$234="Да",IF(OR('19_Расчет_аналитики'!BK3478=0,7&lt;='01_Вводные'!$B$297),0,'19_Расчет_аналитики'!BK3478*IF('01_Вводные'!$B$239="Да",MeanMinAge07+'19_Расчет_аналитики'!BK3595*SUMIF(ThresholdAge07,"&lt;"&amp;'19_Расчет_аналитики'!BK3595,WeightedRevAge07)-SUMIF(ThresholdAge07,"&lt;"&amp;'19_Расчет_аналитики'!BK3595,WeightedMinAge07),MAX(CapacityAge07*'01_Вводные'!$B$218*'19_Расчет_аналитики'!BK3595,MeanMinAge07))),0)</f>
        <v/>
      </c>
      <c r="BL3506">
        <f>IF('01_Вводные'!$B$234="Да",IF(OR('19_Расчет_аналитики'!BL3478=0,7&lt;='01_Вводные'!$B$297),0,'19_Расчет_аналитики'!BL3478*IF('01_Вводные'!$B$239="Да",MeanMinAge07+'19_Расчет_аналитики'!BL3595*SUMIF(ThresholdAge07,"&lt;"&amp;'19_Расчет_аналитики'!BL3595,WeightedRevAge07)-SUMIF(ThresholdAge07,"&lt;"&amp;'19_Расчет_аналитики'!BL3595,WeightedMinAge07),MAX(CapacityAge07*'01_Вводные'!$B$218*'19_Расчет_аналитики'!BL3595,MeanMinAge07))),0)</f>
        <v/>
      </c>
      <c r="BM3506">
        <f>IF('01_Вводные'!$B$234="Да",IF(OR('19_Расчет_аналитики'!BM3478=0,7&lt;='01_Вводные'!$B$297),0,'19_Расчет_аналитики'!BM3478*IF('01_Вводные'!$B$239="Да",MeanMinAge07+'19_Расчет_аналитики'!BM3595*SUMIF(ThresholdAge07,"&lt;"&amp;'19_Расчет_аналитики'!BM3595,WeightedRevAge07)-SUMIF(ThresholdAge07,"&lt;"&amp;'19_Расчет_аналитики'!BM3595,WeightedMinAge07),MAX(CapacityAge07*'01_Вводные'!$B$218*'19_Расчет_аналитики'!BM3595,MeanMinAge07))),0)</f>
        <v/>
      </c>
      <c r="BN3506">
        <f>IF('01_Вводные'!$B$234="Да",IF(OR('19_Расчет_аналитики'!BN3478=0,7&lt;='01_Вводные'!$B$297),0,'19_Расчет_аналитики'!BN3478*IF('01_Вводные'!$B$239="Да",MeanMinAge07+'19_Расчет_аналитики'!BN3595*SUMIF(ThresholdAge07,"&lt;"&amp;'19_Расчет_аналитики'!BN3595,WeightedRevAge07)-SUMIF(ThresholdAge07,"&lt;"&amp;'19_Расчет_аналитики'!BN3595,WeightedMinAge07),MAX(CapacityAge07*'01_Вводные'!$B$218*'19_Расчет_аналитики'!BN3595,MeanMinAge07))),0)</f>
        <v/>
      </c>
      <c r="BO3506">
        <f>IF('01_Вводные'!$B$234="Да",IF(OR('19_Расчет_аналитики'!BO3478=0,7&lt;='01_Вводные'!$B$297),0,'19_Расчет_аналитики'!BO3478*IF('01_Вводные'!$B$239="Да",MeanMinAge07+'19_Расчет_аналитики'!BO3595*SUMIF(ThresholdAge07,"&lt;"&amp;'19_Расчет_аналитики'!BO3595,WeightedRevAge07)-SUMIF(ThresholdAge07,"&lt;"&amp;'19_Расчет_аналитики'!BO3595,WeightedMinAge07),MAX(CapacityAge07*'01_Вводные'!$B$218*'19_Расчет_аналитики'!BO3595,MeanMinAge07))),0)</f>
        <v/>
      </c>
    </row>
    <row r="3507">
      <c r="B3507">
        <f>IF('01_Вводные'!$B$234="Да",IF(OR('06_Сеть_и_дети'!B88=0,8&lt;='01_Вводные'!$B$297),0,'06_Сеть_и_дети'!B88*IF('01_Вводные'!$B$239="Да",MeanMinAge08+'19_Расчет_аналитики'!B3595*SUMIF(ThresholdAge08,"&lt;"&amp;'19_Расчет_аналитики'!B3595,WeightedRevAge08)-SUMIF(ThresholdAge08,"&lt;"&amp;'19_Расчет_аналитики'!B3595,WeightedMinAge08),MAX(CapacityAge08*'01_Вводные'!$B$218*'19_Расчет_аналитики'!B3595,MeanMinAge08))),0)</f>
        <v/>
      </c>
      <c r="C3507">
        <f>IF('01_Вводные'!$B$234="Да",IF(OR('06_Сеть_и_дети'!C88=0,8&lt;='01_Вводные'!$B$297),0,'06_Сеть_и_дети'!C88*IF('01_Вводные'!$B$239="Да",MeanMinAge08+'19_Расчет_аналитики'!C3595*SUMIF(ThresholdAge08,"&lt;"&amp;'19_Расчет_аналитики'!C3595,WeightedRevAge08)-SUMIF(ThresholdAge08,"&lt;"&amp;'19_Расчет_аналитики'!C3595,WeightedMinAge08),MAX(CapacityAge08*'01_Вводные'!$B$218*'19_Расчет_аналитики'!C3595,MeanMinAge08))),0)</f>
        <v/>
      </c>
      <c r="D3507">
        <f>IF('01_Вводные'!$B$234="Да",IF(OR('06_Сеть_и_дети'!D88=0,8&lt;='01_Вводные'!$B$297),0,'06_Сеть_и_дети'!D88*IF('01_Вводные'!$B$239="Да",MeanMinAge08+'19_Расчет_аналитики'!D3595*SUMIF(ThresholdAge08,"&lt;"&amp;'19_Расчет_аналитики'!D3595,WeightedRevAge08)-SUMIF(ThresholdAge08,"&lt;"&amp;'19_Расчет_аналитики'!D3595,WeightedMinAge08),MAX(CapacityAge08*'01_Вводные'!$B$218*'19_Расчет_аналитики'!D3595,MeanMinAge08))),0)</f>
        <v/>
      </c>
      <c r="E3507">
        <f>IF('01_Вводные'!$B$234="Да",IF(OR('06_Сеть_и_дети'!E88=0,8&lt;='01_Вводные'!$B$297),0,'06_Сеть_и_дети'!E88*IF('01_Вводные'!$B$239="Да",MeanMinAge08+'19_Расчет_аналитики'!E3595*SUMIF(ThresholdAge08,"&lt;"&amp;'19_Расчет_аналитики'!E3595,WeightedRevAge08)-SUMIF(ThresholdAge08,"&lt;"&amp;'19_Расчет_аналитики'!E3595,WeightedMinAge08),MAX(CapacityAge08*'01_Вводные'!$B$218*'19_Расчет_аналитики'!E3595,MeanMinAge08))),0)</f>
        <v/>
      </c>
      <c r="F3507">
        <f>IF('01_Вводные'!$B$234="Да",IF(OR('06_Сеть_и_дети'!F88=0,8&lt;='01_Вводные'!$B$297),0,'06_Сеть_и_дети'!F88*IF('01_Вводные'!$B$239="Да",MeanMinAge08+'19_Расчет_аналитики'!F3595*SUMIF(ThresholdAge08,"&lt;"&amp;'19_Расчет_аналитики'!F3595,WeightedRevAge08)-SUMIF(ThresholdAge08,"&lt;"&amp;'19_Расчет_аналитики'!F3595,WeightedMinAge08),MAX(CapacityAge08*'01_Вводные'!$B$218*'19_Расчет_аналитики'!F3595,MeanMinAge08))),0)</f>
        <v/>
      </c>
      <c r="G3507">
        <f>IF('01_Вводные'!$B$234="Да",IF(OR('06_Сеть_и_дети'!G88=0,8&lt;='01_Вводные'!$B$297),0,'06_Сеть_и_дети'!G88*IF('01_Вводные'!$B$239="Да",MeanMinAge08+'19_Расчет_аналитики'!G3595*SUMIF(ThresholdAge08,"&lt;"&amp;'19_Расчет_аналитики'!G3595,WeightedRevAge08)-SUMIF(ThresholdAge08,"&lt;"&amp;'19_Расчет_аналитики'!G3595,WeightedMinAge08),MAX(CapacityAge08*'01_Вводные'!$B$218*'19_Расчет_аналитики'!G3595,MeanMinAge08))),0)</f>
        <v/>
      </c>
      <c r="H3507">
        <f>IF('01_Вводные'!$B$234="Да",IF(OR('06_Сеть_и_дети'!H88=0,8&lt;='01_Вводные'!$B$297),0,'06_Сеть_и_дети'!H88*IF('01_Вводные'!$B$239="Да",MeanMinAge08+'19_Расчет_аналитики'!H3595*SUMIF(ThresholdAge08,"&lt;"&amp;'19_Расчет_аналитики'!H3595,WeightedRevAge08)-SUMIF(ThresholdAge08,"&lt;"&amp;'19_Расчет_аналитики'!H3595,WeightedMinAge08),MAX(CapacityAge08*'01_Вводные'!$B$218*'19_Расчет_аналитики'!H3595,MeanMinAge08))),0)</f>
        <v/>
      </c>
      <c r="I3507">
        <f>IF('01_Вводные'!$B$234="Да",IF(OR('19_Расчет_аналитики'!I3479=0,8&lt;='01_Вводные'!$B$297),0,'19_Расчет_аналитики'!I3479*IF('01_Вводные'!$B$239="Да",MeanMinAge08+'19_Расчет_аналитики'!I3595*SUMIF(ThresholdAge08,"&lt;"&amp;'19_Расчет_аналитики'!I3595,WeightedRevAge08)-SUMIF(ThresholdAge08,"&lt;"&amp;'19_Расчет_аналитики'!I3595,WeightedMinAge08),MAX(CapacityAge08*'01_Вводные'!$B$218*'19_Расчет_аналитики'!I3595,MeanMinAge08))),0)</f>
        <v/>
      </c>
      <c r="J3507">
        <f>IF('01_Вводные'!$B$234="Да",IF(OR('19_Расчет_аналитики'!J3479=0,8&lt;='01_Вводные'!$B$297),0,'19_Расчет_аналитики'!J3479*IF('01_Вводные'!$B$239="Да",MeanMinAge08+'19_Расчет_аналитики'!J3595*SUMIF(ThresholdAge08,"&lt;"&amp;'19_Расчет_аналитики'!J3595,WeightedRevAge08)-SUMIF(ThresholdAge08,"&lt;"&amp;'19_Расчет_аналитики'!J3595,WeightedMinAge08),MAX(CapacityAge08*'01_Вводные'!$B$218*'19_Расчет_аналитики'!J3595,MeanMinAge08))),0)</f>
        <v/>
      </c>
      <c r="K3507">
        <f>IF('01_Вводные'!$B$234="Да",IF(OR('19_Расчет_аналитики'!K3479=0,8&lt;='01_Вводные'!$B$297),0,'19_Расчет_аналитики'!K3479*IF('01_Вводные'!$B$239="Да",MeanMinAge08+'19_Расчет_аналитики'!K3595*SUMIF(ThresholdAge08,"&lt;"&amp;'19_Расчет_аналитики'!K3595,WeightedRevAge08)-SUMIF(ThresholdAge08,"&lt;"&amp;'19_Расчет_аналитики'!K3595,WeightedMinAge08),MAX(CapacityAge08*'01_Вводные'!$B$218*'19_Расчет_аналитики'!K3595,MeanMinAge08))),0)</f>
        <v/>
      </c>
      <c r="L3507">
        <f>IF('01_Вводные'!$B$234="Да",IF(OR('19_Расчет_аналитики'!L3479=0,8&lt;='01_Вводные'!$B$297),0,'19_Расчет_аналитики'!L3479*IF('01_Вводные'!$B$239="Да",MeanMinAge08+'19_Расчет_аналитики'!L3595*SUMIF(ThresholdAge08,"&lt;"&amp;'19_Расчет_аналитики'!L3595,WeightedRevAge08)-SUMIF(ThresholdAge08,"&lt;"&amp;'19_Расчет_аналитики'!L3595,WeightedMinAge08),MAX(CapacityAge08*'01_Вводные'!$B$218*'19_Расчет_аналитики'!L3595,MeanMinAge08))),0)</f>
        <v/>
      </c>
      <c r="M3507">
        <f>IF('01_Вводные'!$B$234="Да",IF(OR('19_Расчет_аналитики'!M3479=0,8&lt;='01_Вводные'!$B$297),0,'19_Расчет_аналитики'!M3479*IF('01_Вводные'!$B$239="Да",MeanMinAge08+'19_Расчет_аналитики'!M3595*SUMIF(ThresholdAge08,"&lt;"&amp;'19_Расчет_аналитики'!M3595,WeightedRevAge08)-SUMIF(ThresholdAge08,"&lt;"&amp;'19_Расчет_аналитики'!M3595,WeightedMinAge08),MAX(CapacityAge08*'01_Вводные'!$B$218*'19_Расчет_аналитики'!M3595,MeanMinAge08))),0)</f>
        <v/>
      </c>
      <c r="N3507">
        <f>IF('01_Вводные'!$B$234="Да",IF(OR('19_Расчет_аналитики'!N3479=0,8&lt;='01_Вводные'!$B$297),0,'19_Расчет_аналитики'!N3479*IF('01_Вводные'!$B$239="Да",MeanMinAge08+'19_Расчет_аналитики'!N3595*SUMIF(ThresholdAge08,"&lt;"&amp;'19_Расчет_аналитики'!N3595,WeightedRevAge08)-SUMIF(ThresholdAge08,"&lt;"&amp;'19_Расчет_аналитики'!N3595,WeightedMinAge08),MAX(CapacityAge08*'01_Вводные'!$B$218*'19_Расчет_аналитики'!N3595,MeanMinAge08))),0)</f>
        <v/>
      </c>
      <c r="O3507">
        <f>IF('01_Вводные'!$B$234="Да",IF(OR('19_Расчет_аналитики'!O3479=0,8&lt;='01_Вводные'!$B$297),0,'19_Расчет_аналитики'!O3479*IF('01_Вводные'!$B$239="Да",MeanMinAge08+'19_Расчет_аналитики'!O3595*SUMIF(ThresholdAge08,"&lt;"&amp;'19_Расчет_аналитики'!O3595,WeightedRevAge08)-SUMIF(ThresholdAge08,"&lt;"&amp;'19_Расчет_аналитики'!O3595,WeightedMinAge08),MAX(CapacityAge08*'01_Вводные'!$B$218*'19_Расчет_аналитики'!O3595,MeanMinAge08))),0)</f>
        <v/>
      </c>
      <c r="P3507">
        <f>IF('01_Вводные'!$B$234="Да",IF(OR('19_Расчет_аналитики'!P3479=0,8&lt;='01_Вводные'!$B$297),0,'19_Расчет_аналитики'!P3479*IF('01_Вводные'!$B$239="Да",MeanMinAge08+'19_Расчет_аналитики'!P3595*SUMIF(ThresholdAge08,"&lt;"&amp;'19_Расчет_аналитики'!P3595,WeightedRevAge08)-SUMIF(ThresholdAge08,"&lt;"&amp;'19_Расчет_аналитики'!P3595,WeightedMinAge08),MAX(CapacityAge08*'01_Вводные'!$B$218*'19_Расчет_аналитики'!P3595,MeanMinAge08))),0)</f>
        <v/>
      </c>
      <c r="Q3507">
        <f>IF('01_Вводные'!$B$234="Да",IF(OR('19_Расчет_аналитики'!Q3479=0,8&lt;='01_Вводные'!$B$297),0,'19_Расчет_аналитики'!Q3479*IF('01_Вводные'!$B$239="Да",MeanMinAge08+'19_Расчет_аналитики'!Q3595*SUMIF(ThresholdAge08,"&lt;"&amp;'19_Расчет_аналитики'!Q3595,WeightedRevAge08)-SUMIF(ThresholdAge08,"&lt;"&amp;'19_Расчет_аналитики'!Q3595,WeightedMinAge08),MAX(CapacityAge08*'01_Вводные'!$B$218*'19_Расчет_аналитики'!Q3595,MeanMinAge08))),0)</f>
        <v/>
      </c>
      <c r="R3507">
        <f>IF('01_Вводные'!$B$234="Да",IF(OR('19_Расчет_аналитики'!R3479=0,8&lt;='01_Вводные'!$B$297),0,'19_Расчет_аналитики'!R3479*IF('01_Вводные'!$B$239="Да",MeanMinAge08+'19_Расчет_аналитики'!R3595*SUMIF(ThresholdAge08,"&lt;"&amp;'19_Расчет_аналитики'!R3595,WeightedRevAge08)-SUMIF(ThresholdAge08,"&lt;"&amp;'19_Расчет_аналитики'!R3595,WeightedMinAge08),MAX(CapacityAge08*'01_Вводные'!$B$218*'19_Расчет_аналитики'!R3595,MeanMinAge08))),0)</f>
        <v/>
      </c>
      <c r="S3507">
        <f>IF('01_Вводные'!$B$234="Да",IF(OR('19_Расчет_аналитики'!S3479=0,8&lt;='01_Вводные'!$B$297),0,'19_Расчет_аналитики'!S3479*IF('01_Вводные'!$B$239="Да",MeanMinAge08+'19_Расчет_аналитики'!S3595*SUMIF(ThresholdAge08,"&lt;"&amp;'19_Расчет_аналитики'!S3595,WeightedRevAge08)-SUMIF(ThresholdAge08,"&lt;"&amp;'19_Расчет_аналитики'!S3595,WeightedMinAge08),MAX(CapacityAge08*'01_Вводные'!$B$218*'19_Расчет_аналитики'!S3595,MeanMinAge08))),0)</f>
        <v/>
      </c>
      <c r="T3507">
        <f>IF('01_Вводные'!$B$234="Да",IF(OR('19_Расчет_аналитики'!T3479=0,8&lt;='01_Вводные'!$B$297),0,'19_Расчет_аналитики'!T3479*IF('01_Вводные'!$B$239="Да",MeanMinAge08+'19_Расчет_аналитики'!T3595*SUMIF(ThresholdAge08,"&lt;"&amp;'19_Расчет_аналитики'!T3595,WeightedRevAge08)-SUMIF(ThresholdAge08,"&lt;"&amp;'19_Расчет_аналитики'!T3595,WeightedMinAge08),MAX(CapacityAge08*'01_Вводные'!$B$218*'19_Расчет_аналитики'!T3595,MeanMinAge08))),0)</f>
        <v/>
      </c>
      <c r="U3507">
        <f>IF('01_Вводные'!$B$234="Да",IF(OR('19_Расчет_аналитики'!U3479=0,8&lt;='01_Вводные'!$B$297),0,'19_Расчет_аналитики'!U3479*IF('01_Вводные'!$B$239="Да",MeanMinAge08+'19_Расчет_аналитики'!U3595*SUMIF(ThresholdAge08,"&lt;"&amp;'19_Расчет_аналитики'!U3595,WeightedRevAge08)-SUMIF(ThresholdAge08,"&lt;"&amp;'19_Расчет_аналитики'!U3595,WeightedMinAge08),MAX(CapacityAge08*'01_Вводные'!$B$218*'19_Расчет_аналитики'!U3595,MeanMinAge08))),0)</f>
        <v/>
      </c>
      <c r="V3507">
        <f>IF('01_Вводные'!$B$234="Да",IF(OR('19_Расчет_аналитики'!V3479=0,8&lt;='01_Вводные'!$B$297),0,'19_Расчет_аналитики'!V3479*IF('01_Вводные'!$B$239="Да",MeanMinAge08+'19_Расчет_аналитики'!V3595*SUMIF(ThresholdAge08,"&lt;"&amp;'19_Расчет_аналитики'!V3595,WeightedRevAge08)-SUMIF(ThresholdAge08,"&lt;"&amp;'19_Расчет_аналитики'!V3595,WeightedMinAge08),MAX(CapacityAge08*'01_Вводные'!$B$218*'19_Расчет_аналитики'!V3595,MeanMinAge08))),0)</f>
        <v/>
      </c>
      <c r="W3507">
        <f>IF('01_Вводные'!$B$234="Да",IF(OR('19_Расчет_аналитики'!W3479=0,8&lt;='01_Вводные'!$B$297),0,'19_Расчет_аналитики'!W3479*IF('01_Вводные'!$B$239="Да",MeanMinAge08+'19_Расчет_аналитики'!W3595*SUMIF(ThresholdAge08,"&lt;"&amp;'19_Расчет_аналитики'!W3595,WeightedRevAge08)-SUMIF(ThresholdAge08,"&lt;"&amp;'19_Расчет_аналитики'!W3595,WeightedMinAge08),MAX(CapacityAge08*'01_Вводные'!$B$218*'19_Расчет_аналитики'!W3595,MeanMinAge08))),0)</f>
        <v/>
      </c>
      <c r="X3507">
        <f>IF('01_Вводные'!$B$234="Да",IF(OR('19_Расчет_аналитики'!X3479=0,8&lt;='01_Вводные'!$B$297),0,'19_Расчет_аналитики'!X3479*IF('01_Вводные'!$B$239="Да",MeanMinAge08+'19_Расчет_аналитики'!X3595*SUMIF(ThresholdAge08,"&lt;"&amp;'19_Расчет_аналитики'!X3595,WeightedRevAge08)-SUMIF(ThresholdAge08,"&lt;"&amp;'19_Расчет_аналитики'!X3595,WeightedMinAge08),MAX(CapacityAge08*'01_Вводные'!$B$218*'19_Расчет_аналитики'!X3595,MeanMinAge08))),0)</f>
        <v/>
      </c>
      <c r="Y3507">
        <f>IF('01_Вводные'!$B$234="Да",IF(OR('19_Расчет_аналитики'!Y3479=0,8&lt;='01_Вводные'!$B$297),0,'19_Расчет_аналитики'!Y3479*IF('01_Вводные'!$B$239="Да",MeanMinAge08+'19_Расчет_аналитики'!Y3595*SUMIF(ThresholdAge08,"&lt;"&amp;'19_Расчет_аналитики'!Y3595,WeightedRevAge08)-SUMIF(ThresholdAge08,"&lt;"&amp;'19_Расчет_аналитики'!Y3595,WeightedMinAge08),MAX(CapacityAge08*'01_Вводные'!$B$218*'19_Расчет_аналитики'!Y3595,MeanMinAge08))),0)</f>
        <v/>
      </c>
      <c r="Z3507">
        <f>IF('01_Вводные'!$B$234="Да",IF(OR('19_Расчет_аналитики'!Z3479=0,8&lt;='01_Вводные'!$B$297),0,'19_Расчет_аналитики'!Z3479*IF('01_Вводные'!$B$239="Да",MeanMinAge08+'19_Расчет_аналитики'!Z3595*SUMIF(ThresholdAge08,"&lt;"&amp;'19_Расчет_аналитики'!Z3595,WeightedRevAge08)-SUMIF(ThresholdAge08,"&lt;"&amp;'19_Расчет_аналитики'!Z3595,WeightedMinAge08),MAX(CapacityAge08*'01_Вводные'!$B$218*'19_Расчет_аналитики'!Z3595,MeanMinAge08))),0)</f>
        <v/>
      </c>
      <c r="AA3507">
        <f>IF('01_Вводные'!$B$234="Да",IF(OR('19_Расчет_аналитики'!AA3479=0,8&lt;='01_Вводные'!$B$297),0,'19_Расчет_аналитики'!AA3479*IF('01_Вводные'!$B$239="Да",MeanMinAge08+'19_Расчет_аналитики'!AA3595*SUMIF(ThresholdAge08,"&lt;"&amp;'19_Расчет_аналитики'!AA3595,WeightedRevAge08)-SUMIF(ThresholdAge08,"&lt;"&amp;'19_Расчет_аналитики'!AA3595,WeightedMinAge08),MAX(CapacityAge08*'01_Вводные'!$B$218*'19_Расчет_аналитики'!AA3595,MeanMinAge08))),0)</f>
        <v/>
      </c>
      <c r="AB3507">
        <f>IF('01_Вводные'!$B$234="Да",IF(OR('19_Расчет_аналитики'!AB3479=0,8&lt;='01_Вводные'!$B$297),0,'19_Расчет_аналитики'!AB3479*IF('01_Вводные'!$B$239="Да",MeanMinAge08+'19_Расчет_аналитики'!AB3595*SUMIF(ThresholdAge08,"&lt;"&amp;'19_Расчет_аналитики'!AB3595,WeightedRevAge08)-SUMIF(ThresholdAge08,"&lt;"&amp;'19_Расчет_аналитики'!AB3595,WeightedMinAge08),MAX(CapacityAge08*'01_Вводные'!$B$218*'19_Расчет_аналитики'!AB3595,MeanMinAge08))),0)</f>
        <v/>
      </c>
      <c r="AC3507">
        <f>IF('01_Вводные'!$B$234="Да",IF(OR('19_Расчет_аналитики'!AC3479=0,8&lt;='01_Вводные'!$B$297),0,'19_Расчет_аналитики'!AC3479*IF('01_Вводные'!$B$239="Да",MeanMinAge08+'19_Расчет_аналитики'!AC3595*SUMIF(ThresholdAge08,"&lt;"&amp;'19_Расчет_аналитики'!AC3595,WeightedRevAge08)-SUMIF(ThresholdAge08,"&lt;"&amp;'19_Расчет_аналитики'!AC3595,WeightedMinAge08),MAX(CapacityAge08*'01_Вводные'!$B$218*'19_Расчет_аналитики'!AC3595,MeanMinAge08))),0)</f>
        <v/>
      </c>
      <c r="AD3507">
        <f>IF('01_Вводные'!$B$234="Да",IF(OR('19_Расчет_аналитики'!AD3479=0,8&lt;='01_Вводные'!$B$297),0,'19_Расчет_аналитики'!AD3479*IF('01_Вводные'!$B$239="Да",MeanMinAge08+'19_Расчет_аналитики'!AD3595*SUMIF(ThresholdAge08,"&lt;"&amp;'19_Расчет_аналитики'!AD3595,WeightedRevAge08)-SUMIF(ThresholdAge08,"&lt;"&amp;'19_Расчет_аналитики'!AD3595,WeightedMinAge08),MAX(CapacityAge08*'01_Вводные'!$B$218*'19_Расчет_аналитики'!AD3595,MeanMinAge08))),0)</f>
        <v/>
      </c>
      <c r="AE3507">
        <f>IF('01_Вводные'!$B$234="Да",IF(OR('19_Расчет_аналитики'!AE3479=0,8&lt;='01_Вводные'!$B$297),0,'19_Расчет_аналитики'!AE3479*IF('01_Вводные'!$B$239="Да",MeanMinAge08+'19_Расчет_аналитики'!AE3595*SUMIF(ThresholdAge08,"&lt;"&amp;'19_Расчет_аналитики'!AE3595,WeightedRevAge08)-SUMIF(ThresholdAge08,"&lt;"&amp;'19_Расчет_аналитики'!AE3595,WeightedMinAge08),MAX(CapacityAge08*'01_Вводные'!$B$218*'19_Расчет_аналитики'!AE3595,MeanMinAge08))),0)</f>
        <v/>
      </c>
      <c r="AF3507">
        <f>IF('01_Вводные'!$B$234="Да",IF(OR('19_Расчет_аналитики'!AF3479=0,8&lt;='01_Вводные'!$B$297),0,'19_Расчет_аналитики'!AF3479*IF('01_Вводные'!$B$239="Да",MeanMinAge08+'19_Расчет_аналитики'!AF3595*SUMIF(ThresholdAge08,"&lt;"&amp;'19_Расчет_аналитики'!AF3595,WeightedRevAge08)-SUMIF(ThresholdAge08,"&lt;"&amp;'19_Расчет_аналитики'!AF3595,WeightedMinAge08),MAX(CapacityAge08*'01_Вводные'!$B$218*'19_Расчет_аналитики'!AF3595,MeanMinAge08))),0)</f>
        <v/>
      </c>
      <c r="AG3507">
        <f>IF('01_Вводные'!$B$234="Да",IF(OR('19_Расчет_аналитики'!AG3479=0,8&lt;='01_Вводные'!$B$297),0,'19_Расчет_аналитики'!AG3479*IF('01_Вводные'!$B$239="Да",MeanMinAge08+'19_Расчет_аналитики'!AG3595*SUMIF(ThresholdAge08,"&lt;"&amp;'19_Расчет_аналитики'!AG3595,WeightedRevAge08)-SUMIF(ThresholdAge08,"&lt;"&amp;'19_Расчет_аналитики'!AG3595,WeightedMinAge08),MAX(CapacityAge08*'01_Вводные'!$B$218*'19_Расчет_аналитики'!AG3595,MeanMinAge08))),0)</f>
        <v/>
      </c>
      <c r="AH3507">
        <f>IF('01_Вводные'!$B$234="Да",IF(OR('19_Расчет_аналитики'!AH3479=0,8&lt;='01_Вводные'!$B$297),0,'19_Расчет_аналитики'!AH3479*IF('01_Вводные'!$B$239="Да",MeanMinAge08+'19_Расчет_аналитики'!AH3595*SUMIF(ThresholdAge08,"&lt;"&amp;'19_Расчет_аналитики'!AH3595,WeightedRevAge08)-SUMIF(ThresholdAge08,"&lt;"&amp;'19_Расчет_аналитики'!AH3595,WeightedMinAge08),MAX(CapacityAge08*'01_Вводные'!$B$218*'19_Расчет_аналитики'!AH3595,MeanMinAge08))),0)</f>
        <v/>
      </c>
      <c r="AI3507">
        <f>IF('01_Вводные'!$B$234="Да",IF(OR('19_Расчет_аналитики'!AI3479=0,8&lt;='01_Вводные'!$B$297),0,'19_Расчет_аналитики'!AI3479*IF('01_Вводные'!$B$239="Да",MeanMinAge08+'19_Расчет_аналитики'!AI3595*SUMIF(ThresholdAge08,"&lt;"&amp;'19_Расчет_аналитики'!AI3595,WeightedRevAge08)-SUMIF(ThresholdAge08,"&lt;"&amp;'19_Расчет_аналитики'!AI3595,WeightedMinAge08),MAX(CapacityAge08*'01_Вводные'!$B$218*'19_Расчет_аналитики'!AI3595,MeanMinAge08))),0)</f>
        <v/>
      </c>
      <c r="AJ3507">
        <f>IF('01_Вводные'!$B$234="Да",IF(OR('19_Расчет_аналитики'!AJ3479=0,8&lt;='01_Вводные'!$B$297),0,'19_Расчет_аналитики'!AJ3479*IF('01_Вводные'!$B$239="Да",MeanMinAge08+'19_Расчет_аналитики'!AJ3595*SUMIF(ThresholdAge08,"&lt;"&amp;'19_Расчет_аналитики'!AJ3595,WeightedRevAge08)-SUMIF(ThresholdAge08,"&lt;"&amp;'19_Расчет_аналитики'!AJ3595,WeightedMinAge08),MAX(CapacityAge08*'01_Вводные'!$B$218*'19_Расчет_аналитики'!AJ3595,MeanMinAge08))),0)</f>
        <v/>
      </c>
      <c r="AK3507">
        <f>IF('01_Вводные'!$B$234="Да",IF(OR('19_Расчет_аналитики'!AK3479=0,8&lt;='01_Вводные'!$B$297),0,'19_Расчет_аналитики'!AK3479*IF('01_Вводные'!$B$239="Да",MeanMinAge08+'19_Расчет_аналитики'!AK3595*SUMIF(ThresholdAge08,"&lt;"&amp;'19_Расчет_аналитики'!AK3595,WeightedRevAge08)-SUMIF(ThresholdAge08,"&lt;"&amp;'19_Расчет_аналитики'!AK3595,WeightedMinAge08),MAX(CapacityAge08*'01_Вводные'!$B$218*'19_Расчет_аналитики'!AK3595,MeanMinAge08))),0)</f>
        <v/>
      </c>
      <c r="AL3507">
        <f>IF('01_Вводные'!$B$234="Да",IF(OR('19_Расчет_аналитики'!AL3479=0,8&lt;='01_Вводные'!$B$297),0,'19_Расчет_аналитики'!AL3479*IF('01_Вводные'!$B$239="Да",MeanMinAge08+'19_Расчет_аналитики'!AL3595*SUMIF(ThresholdAge08,"&lt;"&amp;'19_Расчет_аналитики'!AL3595,WeightedRevAge08)-SUMIF(ThresholdAge08,"&lt;"&amp;'19_Расчет_аналитики'!AL3595,WeightedMinAge08),MAX(CapacityAge08*'01_Вводные'!$B$218*'19_Расчет_аналитики'!AL3595,MeanMinAge08))),0)</f>
        <v/>
      </c>
      <c r="AM3507">
        <f>IF('01_Вводные'!$B$234="Да",IF(OR('19_Расчет_аналитики'!AM3479=0,8&lt;='01_Вводные'!$B$297),0,'19_Расчет_аналитики'!AM3479*IF('01_Вводные'!$B$239="Да",MeanMinAge08+'19_Расчет_аналитики'!AM3595*SUMIF(ThresholdAge08,"&lt;"&amp;'19_Расчет_аналитики'!AM3595,WeightedRevAge08)-SUMIF(ThresholdAge08,"&lt;"&amp;'19_Расчет_аналитики'!AM3595,WeightedMinAge08),MAX(CapacityAge08*'01_Вводные'!$B$218*'19_Расчет_аналитики'!AM3595,MeanMinAge08))),0)</f>
        <v/>
      </c>
      <c r="AN3507">
        <f>IF('01_Вводные'!$B$234="Да",IF(OR('19_Расчет_аналитики'!AN3479=0,8&lt;='01_Вводные'!$B$297),0,'19_Расчет_аналитики'!AN3479*IF('01_Вводные'!$B$239="Да",MeanMinAge08+'19_Расчет_аналитики'!AN3595*SUMIF(ThresholdAge08,"&lt;"&amp;'19_Расчет_аналитики'!AN3595,WeightedRevAge08)-SUMIF(ThresholdAge08,"&lt;"&amp;'19_Расчет_аналитики'!AN3595,WeightedMinAge08),MAX(CapacityAge08*'01_Вводные'!$B$218*'19_Расчет_аналитики'!AN3595,MeanMinAge08))),0)</f>
        <v/>
      </c>
      <c r="AO3507">
        <f>IF('01_Вводные'!$B$234="Да",IF(OR('19_Расчет_аналитики'!AO3479=0,8&lt;='01_Вводные'!$B$297),0,'19_Расчет_аналитики'!AO3479*IF('01_Вводные'!$B$239="Да",MeanMinAge08+'19_Расчет_аналитики'!AO3595*SUMIF(ThresholdAge08,"&lt;"&amp;'19_Расчет_аналитики'!AO3595,WeightedRevAge08)-SUMIF(ThresholdAge08,"&lt;"&amp;'19_Расчет_аналитики'!AO3595,WeightedMinAge08),MAX(CapacityAge08*'01_Вводные'!$B$218*'19_Расчет_аналитики'!AO3595,MeanMinAge08))),0)</f>
        <v/>
      </c>
      <c r="AP3507">
        <f>IF('01_Вводные'!$B$234="Да",IF(OR('19_Расчет_аналитики'!AP3479=0,8&lt;='01_Вводные'!$B$297),0,'19_Расчет_аналитики'!AP3479*IF('01_Вводные'!$B$239="Да",MeanMinAge08+'19_Расчет_аналитики'!AP3595*SUMIF(ThresholdAge08,"&lt;"&amp;'19_Расчет_аналитики'!AP3595,WeightedRevAge08)-SUMIF(ThresholdAge08,"&lt;"&amp;'19_Расчет_аналитики'!AP3595,WeightedMinAge08),MAX(CapacityAge08*'01_Вводные'!$B$218*'19_Расчет_аналитики'!AP3595,MeanMinAge08))),0)</f>
        <v/>
      </c>
      <c r="AQ3507">
        <f>IF('01_Вводные'!$B$234="Да",IF(OR('19_Расчет_аналитики'!AQ3479=0,8&lt;='01_Вводные'!$B$297),0,'19_Расчет_аналитики'!AQ3479*IF('01_Вводные'!$B$239="Да",MeanMinAge08+'19_Расчет_аналитики'!AQ3595*SUMIF(ThresholdAge08,"&lt;"&amp;'19_Расчет_аналитики'!AQ3595,WeightedRevAge08)-SUMIF(ThresholdAge08,"&lt;"&amp;'19_Расчет_аналитики'!AQ3595,WeightedMinAge08),MAX(CapacityAge08*'01_Вводные'!$B$218*'19_Расчет_аналитики'!AQ3595,MeanMinAge08))),0)</f>
        <v/>
      </c>
      <c r="AR3507">
        <f>IF('01_Вводные'!$B$234="Да",IF(OR('19_Расчет_аналитики'!AR3479=0,8&lt;='01_Вводные'!$B$297),0,'19_Расчет_аналитики'!AR3479*IF('01_Вводные'!$B$239="Да",MeanMinAge08+'19_Расчет_аналитики'!AR3595*SUMIF(ThresholdAge08,"&lt;"&amp;'19_Расчет_аналитики'!AR3595,WeightedRevAge08)-SUMIF(ThresholdAge08,"&lt;"&amp;'19_Расчет_аналитики'!AR3595,WeightedMinAge08),MAX(CapacityAge08*'01_Вводные'!$B$218*'19_Расчет_аналитики'!AR3595,MeanMinAge08))),0)</f>
        <v/>
      </c>
      <c r="AS3507">
        <f>IF('01_Вводные'!$B$234="Да",IF(OR('19_Расчет_аналитики'!AS3479=0,8&lt;='01_Вводные'!$B$297),0,'19_Расчет_аналитики'!AS3479*IF('01_Вводные'!$B$239="Да",MeanMinAge08+'19_Расчет_аналитики'!AS3595*SUMIF(ThresholdAge08,"&lt;"&amp;'19_Расчет_аналитики'!AS3595,WeightedRevAge08)-SUMIF(ThresholdAge08,"&lt;"&amp;'19_Расчет_аналитики'!AS3595,WeightedMinAge08),MAX(CapacityAge08*'01_Вводные'!$B$218*'19_Расчет_аналитики'!AS3595,MeanMinAge08))),0)</f>
        <v/>
      </c>
      <c r="AT3507">
        <f>IF('01_Вводные'!$B$234="Да",IF(OR('19_Расчет_аналитики'!AT3479=0,8&lt;='01_Вводные'!$B$297),0,'19_Расчет_аналитики'!AT3479*IF('01_Вводные'!$B$239="Да",MeanMinAge08+'19_Расчет_аналитики'!AT3595*SUMIF(ThresholdAge08,"&lt;"&amp;'19_Расчет_аналитики'!AT3595,WeightedRevAge08)-SUMIF(ThresholdAge08,"&lt;"&amp;'19_Расчет_аналитики'!AT3595,WeightedMinAge08),MAX(CapacityAge08*'01_Вводные'!$B$218*'19_Расчет_аналитики'!AT3595,MeanMinAge08))),0)</f>
        <v/>
      </c>
      <c r="AU3507">
        <f>IF('01_Вводные'!$B$234="Да",IF(OR('19_Расчет_аналитики'!AU3479=0,8&lt;='01_Вводные'!$B$297),0,'19_Расчет_аналитики'!AU3479*IF('01_Вводные'!$B$239="Да",MeanMinAge08+'19_Расчет_аналитики'!AU3595*SUMIF(ThresholdAge08,"&lt;"&amp;'19_Расчет_аналитики'!AU3595,WeightedRevAge08)-SUMIF(ThresholdAge08,"&lt;"&amp;'19_Расчет_аналитики'!AU3595,WeightedMinAge08),MAX(CapacityAge08*'01_Вводные'!$B$218*'19_Расчет_аналитики'!AU3595,MeanMinAge08))),0)</f>
        <v/>
      </c>
      <c r="AV3507">
        <f>IF('01_Вводные'!$B$234="Да",IF(OR('19_Расчет_аналитики'!AV3479=0,8&lt;='01_Вводные'!$B$297),0,'19_Расчет_аналитики'!AV3479*IF('01_Вводные'!$B$239="Да",MeanMinAge08+'19_Расчет_аналитики'!AV3595*SUMIF(ThresholdAge08,"&lt;"&amp;'19_Расчет_аналитики'!AV3595,WeightedRevAge08)-SUMIF(ThresholdAge08,"&lt;"&amp;'19_Расчет_аналитики'!AV3595,WeightedMinAge08),MAX(CapacityAge08*'01_Вводные'!$B$218*'19_Расчет_аналитики'!AV3595,MeanMinAge08))),0)</f>
        <v/>
      </c>
      <c r="AW3507">
        <f>IF('01_Вводные'!$B$234="Да",IF(OR('19_Расчет_аналитики'!AW3479=0,8&lt;='01_Вводные'!$B$297),0,'19_Расчет_аналитики'!AW3479*IF('01_Вводные'!$B$239="Да",MeanMinAge08+'19_Расчет_аналитики'!AW3595*SUMIF(ThresholdAge08,"&lt;"&amp;'19_Расчет_аналитики'!AW3595,WeightedRevAge08)-SUMIF(ThresholdAge08,"&lt;"&amp;'19_Расчет_аналитики'!AW3595,WeightedMinAge08),MAX(CapacityAge08*'01_Вводные'!$B$218*'19_Расчет_аналитики'!AW3595,MeanMinAge08))),0)</f>
        <v/>
      </c>
      <c r="AX3507">
        <f>IF('01_Вводные'!$B$234="Да",IF(OR('19_Расчет_аналитики'!AX3479=0,8&lt;='01_Вводные'!$B$297),0,'19_Расчет_аналитики'!AX3479*IF('01_Вводные'!$B$239="Да",MeanMinAge08+'19_Расчет_аналитики'!AX3595*SUMIF(ThresholdAge08,"&lt;"&amp;'19_Расчет_аналитики'!AX3595,WeightedRevAge08)-SUMIF(ThresholdAge08,"&lt;"&amp;'19_Расчет_аналитики'!AX3595,WeightedMinAge08),MAX(CapacityAge08*'01_Вводные'!$B$218*'19_Расчет_аналитики'!AX3595,MeanMinAge08))),0)</f>
        <v/>
      </c>
      <c r="AY3507">
        <f>IF('01_Вводные'!$B$234="Да",IF(OR('19_Расчет_аналитики'!AY3479=0,8&lt;='01_Вводные'!$B$297),0,'19_Расчет_аналитики'!AY3479*IF('01_Вводные'!$B$239="Да",MeanMinAge08+'19_Расчет_аналитики'!AY3595*SUMIF(ThresholdAge08,"&lt;"&amp;'19_Расчет_аналитики'!AY3595,WeightedRevAge08)-SUMIF(ThresholdAge08,"&lt;"&amp;'19_Расчет_аналитики'!AY3595,WeightedMinAge08),MAX(CapacityAge08*'01_Вводные'!$B$218*'19_Расчет_аналитики'!AY3595,MeanMinAge08))),0)</f>
        <v/>
      </c>
      <c r="AZ3507">
        <f>IF('01_Вводные'!$B$234="Да",IF(OR('19_Расчет_аналитики'!AZ3479=0,8&lt;='01_Вводные'!$B$297),0,'19_Расчет_аналитики'!AZ3479*IF('01_Вводные'!$B$239="Да",MeanMinAge08+'19_Расчет_аналитики'!AZ3595*SUMIF(ThresholdAge08,"&lt;"&amp;'19_Расчет_аналитики'!AZ3595,WeightedRevAge08)-SUMIF(ThresholdAge08,"&lt;"&amp;'19_Расчет_аналитики'!AZ3595,WeightedMinAge08),MAX(CapacityAge08*'01_Вводные'!$B$218*'19_Расчет_аналитики'!AZ3595,MeanMinAge08))),0)</f>
        <v/>
      </c>
      <c r="BA3507">
        <f>IF('01_Вводные'!$B$234="Да",IF(OR('19_Расчет_аналитики'!BA3479=0,8&lt;='01_Вводные'!$B$297),0,'19_Расчет_аналитики'!BA3479*IF('01_Вводные'!$B$239="Да",MeanMinAge08+'19_Расчет_аналитики'!BA3595*SUMIF(ThresholdAge08,"&lt;"&amp;'19_Расчет_аналитики'!BA3595,WeightedRevAge08)-SUMIF(ThresholdAge08,"&lt;"&amp;'19_Расчет_аналитики'!BA3595,WeightedMinAge08),MAX(CapacityAge08*'01_Вводные'!$B$218*'19_Расчет_аналитики'!BA3595,MeanMinAge08))),0)</f>
        <v/>
      </c>
      <c r="BB3507">
        <f>IF('01_Вводные'!$B$234="Да",IF(OR('19_Расчет_аналитики'!BB3479=0,8&lt;='01_Вводные'!$B$297),0,'19_Расчет_аналитики'!BB3479*IF('01_Вводные'!$B$239="Да",MeanMinAge08+'19_Расчет_аналитики'!BB3595*SUMIF(ThresholdAge08,"&lt;"&amp;'19_Расчет_аналитики'!BB3595,WeightedRevAge08)-SUMIF(ThresholdAge08,"&lt;"&amp;'19_Расчет_аналитики'!BB3595,WeightedMinAge08),MAX(CapacityAge08*'01_Вводные'!$B$218*'19_Расчет_аналитики'!BB3595,MeanMinAge08))),0)</f>
        <v/>
      </c>
      <c r="BC3507">
        <f>IF('01_Вводные'!$B$234="Да",IF(OR('19_Расчет_аналитики'!BC3479=0,8&lt;='01_Вводные'!$B$297),0,'19_Расчет_аналитики'!BC3479*IF('01_Вводные'!$B$239="Да",MeanMinAge08+'19_Расчет_аналитики'!BC3595*SUMIF(ThresholdAge08,"&lt;"&amp;'19_Расчет_аналитики'!BC3595,WeightedRevAge08)-SUMIF(ThresholdAge08,"&lt;"&amp;'19_Расчет_аналитики'!BC3595,WeightedMinAge08),MAX(CapacityAge08*'01_Вводные'!$B$218*'19_Расчет_аналитики'!BC3595,MeanMinAge08))),0)</f>
        <v/>
      </c>
      <c r="BD3507">
        <f>IF('01_Вводные'!$B$234="Да",IF(OR('19_Расчет_аналитики'!BD3479=0,8&lt;='01_Вводные'!$B$297),0,'19_Расчет_аналитики'!BD3479*IF('01_Вводные'!$B$239="Да",MeanMinAge08+'19_Расчет_аналитики'!BD3595*SUMIF(ThresholdAge08,"&lt;"&amp;'19_Расчет_аналитики'!BD3595,WeightedRevAge08)-SUMIF(ThresholdAge08,"&lt;"&amp;'19_Расчет_аналитики'!BD3595,WeightedMinAge08),MAX(CapacityAge08*'01_Вводные'!$B$218*'19_Расчет_аналитики'!BD3595,MeanMinAge08))),0)</f>
        <v/>
      </c>
      <c r="BE3507">
        <f>IF('01_Вводные'!$B$234="Да",IF(OR('19_Расчет_аналитики'!BE3479=0,8&lt;='01_Вводные'!$B$297),0,'19_Расчет_аналитики'!BE3479*IF('01_Вводные'!$B$239="Да",MeanMinAge08+'19_Расчет_аналитики'!BE3595*SUMIF(ThresholdAge08,"&lt;"&amp;'19_Расчет_аналитики'!BE3595,WeightedRevAge08)-SUMIF(ThresholdAge08,"&lt;"&amp;'19_Расчет_аналитики'!BE3595,WeightedMinAge08),MAX(CapacityAge08*'01_Вводные'!$B$218*'19_Расчет_аналитики'!BE3595,MeanMinAge08))),0)</f>
        <v/>
      </c>
      <c r="BF3507">
        <f>IF('01_Вводные'!$B$234="Да",IF(OR('19_Расчет_аналитики'!BF3479=0,8&lt;='01_Вводные'!$B$297),0,'19_Расчет_аналитики'!BF3479*IF('01_Вводные'!$B$239="Да",MeanMinAge08+'19_Расчет_аналитики'!BF3595*SUMIF(ThresholdAge08,"&lt;"&amp;'19_Расчет_аналитики'!BF3595,WeightedRevAge08)-SUMIF(ThresholdAge08,"&lt;"&amp;'19_Расчет_аналитики'!BF3595,WeightedMinAge08),MAX(CapacityAge08*'01_Вводные'!$B$218*'19_Расчет_аналитики'!BF3595,MeanMinAge08))),0)</f>
        <v/>
      </c>
      <c r="BG3507">
        <f>IF('01_Вводные'!$B$234="Да",IF(OR('19_Расчет_аналитики'!BG3479=0,8&lt;='01_Вводные'!$B$297),0,'19_Расчет_аналитики'!BG3479*IF('01_Вводные'!$B$239="Да",MeanMinAge08+'19_Расчет_аналитики'!BG3595*SUMIF(ThresholdAge08,"&lt;"&amp;'19_Расчет_аналитики'!BG3595,WeightedRevAge08)-SUMIF(ThresholdAge08,"&lt;"&amp;'19_Расчет_аналитики'!BG3595,WeightedMinAge08),MAX(CapacityAge08*'01_Вводные'!$B$218*'19_Расчет_аналитики'!BG3595,MeanMinAge08))),0)</f>
        <v/>
      </c>
      <c r="BH3507">
        <f>IF('01_Вводные'!$B$234="Да",IF(OR('19_Расчет_аналитики'!BH3479=0,8&lt;='01_Вводные'!$B$297),0,'19_Расчет_аналитики'!BH3479*IF('01_Вводные'!$B$239="Да",MeanMinAge08+'19_Расчет_аналитики'!BH3595*SUMIF(ThresholdAge08,"&lt;"&amp;'19_Расчет_аналитики'!BH3595,WeightedRevAge08)-SUMIF(ThresholdAge08,"&lt;"&amp;'19_Расчет_аналитики'!BH3595,WeightedMinAge08),MAX(CapacityAge08*'01_Вводные'!$B$218*'19_Расчет_аналитики'!BH3595,MeanMinAge08))),0)</f>
        <v/>
      </c>
      <c r="BI3507">
        <f>IF('01_Вводные'!$B$234="Да",IF(OR('19_Расчет_аналитики'!BI3479=0,8&lt;='01_Вводные'!$B$297),0,'19_Расчет_аналитики'!BI3479*IF('01_Вводные'!$B$239="Да",MeanMinAge08+'19_Расчет_аналитики'!BI3595*SUMIF(ThresholdAge08,"&lt;"&amp;'19_Расчет_аналитики'!BI3595,WeightedRevAge08)-SUMIF(ThresholdAge08,"&lt;"&amp;'19_Расчет_аналитики'!BI3595,WeightedMinAge08),MAX(CapacityAge08*'01_Вводные'!$B$218*'19_Расчет_аналитики'!BI3595,MeanMinAge08))),0)</f>
        <v/>
      </c>
      <c r="BJ3507">
        <f>IF('01_Вводные'!$B$234="Да",IF(OR('19_Расчет_аналитики'!BJ3479=0,8&lt;='01_Вводные'!$B$297),0,'19_Расчет_аналитики'!BJ3479*IF('01_Вводные'!$B$239="Да",MeanMinAge08+'19_Расчет_аналитики'!BJ3595*SUMIF(ThresholdAge08,"&lt;"&amp;'19_Расчет_аналитики'!BJ3595,WeightedRevAge08)-SUMIF(ThresholdAge08,"&lt;"&amp;'19_Расчет_аналитики'!BJ3595,WeightedMinAge08),MAX(CapacityAge08*'01_Вводные'!$B$218*'19_Расчет_аналитики'!BJ3595,MeanMinAge08))),0)</f>
        <v/>
      </c>
      <c r="BK3507">
        <f>IF('01_Вводные'!$B$234="Да",IF(OR('19_Расчет_аналитики'!BK3479=0,8&lt;='01_Вводные'!$B$297),0,'19_Расчет_аналитики'!BK3479*IF('01_Вводные'!$B$239="Да",MeanMinAge08+'19_Расчет_аналитики'!BK3595*SUMIF(ThresholdAge08,"&lt;"&amp;'19_Расчет_аналитики'!BK3595,WeightedRevAge08)-SUMIF(ThresholdAge08,"&lt;"&amp;'19_Расчет_аналитики'!BK3595,WeightedMinAge08),MAX(CapacityAge08*'01_Вводные'!$B$218*'19_Расчет_аналитики'!BK3595,MeanMinAge08))),0)</f>
        <v/>
      </c>
      <c r="BL3507">
        <f>IF('01_Вводные'!$B$234="Да",IF(OR('19_Расчет_аналитики'!BL3479=0,8&lt;='01_Вводные'!$B$297),0,'19_Расчет_аналитики'!BL3479*IF('01_Вводные'!$B$239="Да",MeanMinAge08+'19_Расчет_аналитики'!BL3595*SUMIF(ThresholdAge08,"&lt;"&amp;'19_Расчет_аналитики'!BL3595,WeightedRevAge08)-SUMIF(ThresholdAge08,"&lt;"&amp;'19_Расчет_аналитики'!BL3595,WeightedMinAge08),MAX(CapacityAge08*'01_Вводные'!$B$218*'19_Расчет_аналитики'!BL3595,MeanMinAge08))),0)</f>
        <v/>
      </c>
      <c r="BM3507">
        <f>IF('01_Вводные'!$B$234="Да",IF(OR('19_Расчет_аналитики'!BM3479=0,8&lt;='01_Вводные'!$B$297),0,'19_Расчет_аналитики'!BM3479*IF('01_Вводные'!$B$239="Да",MeanMinAge08+'19_Расчет_аналитики'!BM3595*SUMIF(ThresholdAge08,"&lt;"&amp;'19_Расчет_аналитики'!BM3595,WeightedRevAge08)-SUMIF(ThresholdAge08,"&lt;"&amp;'19_Расчет_аналитики'!BM3595,WeightedMinAge08),MAX(CapacityAge08*'01_Вводные'!$B$218*'19_Расчет_аналитики'!BM3595,MeanMinAge08))),0)</f>
        <v/>
      </c>
      <c r="BN3507">
        <f>IF('01_Вводные'!$B$234="Да",IF(OR('19_Расчет_аналитики'!BN3479=0,8&lt;='01_Вводные'!$B$297),0,'19_Расчет_аналитики'!BN3479*IF('01_Вводные'!$B$239="Да",MeanMinAge08+'19_Расчет_аналитики'!BN3595*SUMIF(ThresholdAge08,"&lt;"&amp;'19_Расчет_аналитики'!BN3595,WeightedRevAge08)-SUMIF(ThresholdAge08,"&lt;"&amp;'19_Расчет_аналитики'!BN3595,WeightedMinAge08),MAX(CapacityAge08*'01_Вводные'!$B$218*'19_Расчет_аналитики'!BN3595,MeanMinAge08))),0)</f>
        <v/>
      </c>
      <c r="BO3507">
        <f>IF('01_Вводные'!$B$234="Да",IF(OR('19_Расчет_аналитики'!BO3479=0,8&lt;='01_Вводные'!$B$297),0,'19_Расчет_аналитики'!BO3479*IF('01_Вводные'!$B$239="Да",MeanMinAge08+'19_Расчет_аналитики'!BO3595*SUMIF(ThresholdAge08,"&lt;"&amp;'19_Расчет_аналитики'!BO3595,WeightedRevAge08)-SUMIF(ThresholdAge08,"&lt;"&amp;'19_Расчет_аналитики'!BO3595,WeightedMinAge08),MAX(CapacityAge08*'01_Вводные'!$B$218*'19_Расчет_аналитики'!BO3595,MeanMinAge08))),0)</f>
        <v/>
      </c>
    </row>
    <row r="3508">
      <c r="B3508">
        <f>IF('01_Вводные'!$B$234="Да",IF(OR('06_Сеть_и_дети'!B89=0,9&lt;='01_Вводные'!$B$297),0,'06_Сеть_и_дети'!B89*IF('01_Вводные'!$B$239="Да",MeanMinAge09+'19_Расчет_аналитики'!B3595*SUMIF(ThresholdAge09,"&lt;"&amp;'19_Расчет_аналитики'!B3595,WeightedRevAge09)-SUMIF(ThresholdAge09,"&lt;"&amp;'19_Расчет_аналитики'!B3595,WeightedMinAge09),MAX(CapacityAge09*'01_Вводные'!$B$218*'19_Расчет_аналитики'!B3595,MeanMinAge09))),0)</f>
        <v/>
      </c>
      <c r="C3508">
        <f>IF('01_Вводные'!$B$234="Да",IF(OR('06_Сеть_и_дети'!C89=0,9&lt;='01_Вводные'!$B$297),0,'06_Сеть_и_дети'!C89*IF('01_Вводные'!$B$239="Да",MeanMinAge09+'19_Расчет_аналитики'!C3595*SUMIF(ThresholdAge09,"&lt;"&amp;'19_Расчет_аналитики'!C3595,WeightedRevAge09)-SUMIF(ThresholdAge09,"&lt;"&amp;'19_Расчет_аналитики'!C3595,WeightedMinAge09),MAX(CapacityAge09*'01_Вводные'!$B$218*'19_Расчет_аналитики'!C3595,MeanMinAge09))),0)</f>
        <v/>
      </c>
      <c r="D3508">
        <f>IF('01_Вводные'!$B$234="Да",IF(OR('06_Сеть_и_дети'!D89=0,9&lt;='01_Вводные'!$B$297),0,'06_Сеть_и_дети'!D89*IF('01_Вводные'!$B$239="Да",MeanMinAge09+'19_Расчет_аналитики'!D3595*SUMIF(ThresholdAge09,"&lt;"&amp;'19_Расчет_аналитики'!D3595,WeightedRevAge09)-SUMIF(ThresholdAge09,"&lt;"&amp;'19_Расчет_аналитики'!D3595,WeightedMinAge09),MAX(CapacityAge09*'01_Вводные'!$B$218*'19_Расчет_аналитики'!D3595,MeanMinAge09))),0)</f>
        <v/>
      </c>
      <c r="E3508">
        <f>IF('01_Вводные'!$B$234="Да",IF(OR('06_Сеть_и_дети'!E89=0,9&lt;='01_Вводные'!$B$297),0,'06_Сеть_и_дети'!E89*IF('01_Вводные'!$B$239="Да",MeanMinAge09+'19_Расчет_аналитики'!E3595*SUMIF(ThresholdAge09,"&lt;"&amp;'19_Расчет_аналитики'!E3595,WeightedRevAge09)-SUMIF(ThresholdAge09,"&lt;"&amp;'19_Расчет_аналитики'!E3595,WeightedMinAge09),MAX(CapacityAge09*'01_Вводные'!$B$218*'19_Расчет_аналитики'!E3595,MeanMinAge09))),0)</f>
        <v/>
      </c>
      <c r="F3508">
        <f>IF('01_Вводные'!$B$234="Да",IF(OR('06_Сеть_и_дети'!F89=0,9&lt;='01_Вводные'!$B$297),0,'06_Сеть_и_дети'!F89*IF('01_Вводные'!$B$239="Да",MeanMinAge09+'19_Расчет_аналитики'!F3595*SUMIF(ThresholdAge09,"&lt;"&amp;'19_Расчет_аналитики'!F3595,WeightedRevAge09)-SUMIF(ThresholdAge09,"&lt;"&amp;'19_Расчет_аналитики'!F3595,WeightedMinAge09),MAX(CapacityAge09*'01_Вводные'!$B$218*'19_Расчет_аналитики'!F3595,MeanMinAge09))),0)</f>
        <v/>
      </c>
      <c r="G3508">
        <f>IF('01_Вводные'!$B$234="Да",IF(OR('06_Сеть_и_дети'!G89=0,9&lt;='01_Вводные'!$B$297),0,'06_Сеть_и_дети'!G89*IF('01_Вводные'!$B$239="Да",MeanMinAge09+'19_Расчет_аналитики'!G3595*SUMIF(ThresholdAge09,"&lt;"&amp;'19_Расчет_аналитики'!G3595,WeightedRevAge09)-SUMIF(ThresholdAge09,"&lt;"&amp;'19_Расчет_аналитики'!G3595,WeightedMinAge09),MAX(CapacityAge09*'01_Вводные'!$B$218*'19_Расчет_аналитики'!G3595,MeanMinAge09))),0)</f>
        <v/>
      </c>
      <c r="H3508">
        <f>IF('01_Вводные'!$B$234="Да",IF(OR('06_Сеть_и_дети'!H89=0,9&lt;='01_Вводные'!$B$297),0,'06_Сеть_и_дети'!H89*IF('01_Вводные'!$B$239="Да",MeanMinAge09+'19_Расчет_аналитики'!H3595*SUMIF(ThresholdAge09,"&lt;"&amp;'19_Расчет_аналитики'!H3595,WeightedRevAge09)-SUMIF(ThresholdAge09,"&lt;"&amp;'19_Расчет_аналитики'!H3595,WeightedMinAge09),MAX(CapacityAge09*'01_Вводные'!$B$218*'19_Расчет_аналитики'!H3595,MeanMinAge09))),0)</f>
        <v/>
      </c>
      <c r="I3508">
        <f>IF('01_Вводные'!$B$234="Да",IF(OR('06_Сеть_и_дети'!I89=0,9&lt;='01_Вводные'!$B$297),0,'06_Сеть_и_дети'!I89*IF('01_Вводные'!$B$239="Да",MeanMinAge09+'19_Расчет_аналитики'!I3595*SUMIF(ThresholdAge09,"&lt;"&amp;'19_Расчет_аналитики'!I3595,WeightedRevAge09)-SUMIF(ThresholdAge09,"&lt;"&amp;'19_Расчет_аналитики'!I3595,WeightedMinAge09),MAX(CapacityAge09*'01_Вводные'!$B$218*'19_Расчет_аналитики'!I3595,MeanMinAge09))),0)</f>
        <v/>
      </c>
      <c r="J3508">
        <f>IF('01_Вводные'!$B$234="Да",IF(OR('19_Расчет_аналитики'!J3480=0,9&lt;='01_Вводные'!$B$297),0,'19_Расчет_аналитики'!J3480*IF('01_Вводные'!$B$239="Да",MeanMinAge09+'19_Расчет_аналитики'!J3595*SUMIF(ThresholdAge09,"&lt;"&amp;'19_Расчет_аналитики'!J3595,WeightedRevAge09)-SUMIF(ThresholdAge09,"&lt;"&amp;'19_Расчет_аналитики'!J3595,WeightedMinAge09),MAX(CapacityAge09*'01_Вводные'!$B$218*'19_Расчет_аналитики'!J3595,MeanMinAge09))),0)</f>
        <v/>
      </c>
      <c r="K3508">
        <f>IF('01_Вводные'!$B$234="Да",IF(OR('19_Расчет_аналитики'!K3480=0,9&lt;='01_Вводные'!$B$297),0,'19_Расчет_аналитики'!K3480*IF('01_Вводные'!$B$239="Да",MeanMinAge09+'19_Расчет_аналитики'!K3595*SUMIF(ThresholdAge09,"&lt;"&amp;'19_Расчет_аналитики'!K3595,WeightedRevAge09)-SUMIF(ThresholdAge09,"&lt;"&amp;'19_Расчет_аналитики'!K3595,WeightedMinAge09),MAX(CapacityAge09*'01_Вводные'!$B$218*'19_Расчет_аналитики'!K3595,MeanMinAge09))),0)</f>
        <v/>
      </c>
      <c r="L3508">
        <f>IF('01_Вводные'!$B$234="Да",IF(OR('19_Расчет_аналитики'!L3480=0,9&lt;='01_Вводные'!$B$297),0,'19_Расчет_аналитики'!L3480*IF('01_Вводные'!$B$239="Да",MeanMinAge09+'19_Расчет_аналитики'!L3595*SUMIF(ThresholdAge09,"&lt;"&amp;'19_Расчет_аналитики'!L3595,WeightedRevAge09)-SUMIF(ThresholdAge09,"&lt;"&amp;'19_Расчет_аналитики'!L3595,WeightedMinAge09),MAX(CapacityAge09*'01_Вводные'!$B$218*'19_Расчет_аналитики'!L3595,MeanMinAge09))),0)</f>
        <v/>
      </c>
      <c r="M3508">
        <f>IF('01_Вводные'!$B$234="Да",IF(OR('19_Расчет_аналитики'!M3480=0,9&lt;='01_Вводные'!$B$297),0,'19_Расчет_аналитики'!M3480*IF('01_Вводные'!$B$239="Да",MeanMinAge09+'19_Расчет_аналитики'!M3595*SUMIF(ThresholdAge09,"&lt;"&amp;'19_Расчет_аналитики'!M3595,WeightedRevAge09)-SUMIF(ThresholdAge09,"&lt;"&amp;'19_Расчет_аналитики'!M3595,WeightedMinAge09),MAX(CapacityAge09*'01_Вводные'!$B$218*'19_Расчет_аналитики'!M3595,MeanMinAge09))),0)</f>
        <v/>
      </c>
      <c r="N3508">
        <f>IF('01_Вводные'!$B$234="Да",IF(OR('19_Расчет_аналитики'!N3480=0,9&lt;='01_Вводные'!$B$297),0,'19_Расчет_аналитики'!N3480*IF('01_Вводные'!$B$239="Да",MeanMinAge09+'19_Расчет_аналитики'!N3595*SUMIF(ThresholdAge09,"&lt;"&amp;'19_Расчет_аналитики'!N3595,WeightedRevAge09)-SUMIF(ThresholdAge09,"&lt;"&amp;'19_Расчет_аналитики'!N3595,WeightedMinAge09),MAX(CapacityAge09*'01_Вводные'!$B$218*'19_Расчет_аналитики'!N3595,MeanMinAge09))),0)</f>
        <v/>
      </c>
      <c r="O3508">
        <f>IF('01_Вводные'!$B$234="Да",IF(OR('19_Расчет_аналитики'!O3480=0,9&lt;='01_Вводные'!$B$297),0,'19_Расчет_аналитики'!O3480*IF('01_Вводные'!$B$239="Да",MeanMinAge09+'19_Расчет_аналитики'!O3595*SUMIF(ThresholdAge09,"&lt;"&amp;'19_Расчет_аналитики'!O3595,WeightedRevAge09)-SUMIF(ThresholdAge09,"&lt;"&amp;'19_Расчет_аналитики'!O3595,WeightedMinAge09),MAX(CapacityAge09*'01_Вводные'!$B$218*'19_Расчет_аналитики'!O3595,MeanMinAge09))),0)</f>
        <v/>
      </c>
      <c r="P3508">
        <f>IF('01_Вводные'!$B$234="Да",IF(OR('19_Расчет_аналитики'!P3480=0,9&lt;='01_Вводные'!$B$297),0,'19_Расчет_аналитики'!P3480*IF('01_Вводные'!$B$239="Да",MeanMinAge09+'19_Расчет_аналитики'!P3595*SUMIF(ThresholdAge09,"&lt;"&amp;'19_Расчет_аналитики'!P3595,WeightedRevAge09)-SUMIF(ThresholdAge09,"&lt;"&amp;'19_Расчет_аналитики'!P3595,WeightedMinAge09),MAX(CapacityAge09*'01_Вводные'!$B$218*'19_Расчет_аналитики'!P3595,MeanMinAge09))),0)</f>
        <v/>
      </c>
      <c r="Q3508">
        <f>IF('01_Вводные'!$B$234="Да",IF(OR('19_Расчет_аналитики'!Q3480=0,9&lt;='01_Вводные'!$B$297),0,'19_Расчет_аналитики'!Q3480*IF('01_Вводные'!$B$239="Да",MeanMinAge09+'19_Расчет_аналитики'!Q3595*SUMIF(ThresholdAge09,"&lt;"&amp;'19_Расчет_аналитики'!Q3595,WeightedRevAge09)-SUMIF(ThresholdAge09,"&lt;"&amp;'19_Расчет_аналитики'!Q3595,WeightedMinAge09),MAX(CapacityAge09*'01_Вводные'!$B$218*'19_Расчет_аналитики'!Q3595,MeanMinAge09))),0)</f>
        <v/>
      </c>
      <c r="R3508">
        <f>IF('01_Вводные'!$B$234="Да",IF(OR('19_Расчет_аналитики'!R3480=0,9&lt;='01_Вводные'!$B$297),0,'19_Расчет_аналитики'!R3480*IF('01_Вводные'!$B$239="Да",MeanMinAge09+'19_Расчет_аналитики'!R3595*SUMIF(ThresholdAge09,"&lt;"&amp;'19_Расчет_аналитики'!R3595,WeightedRevAge09)-SUMIF(ThresholdAge09,"&lt;"&amp;'19_Расчет_аналитики'!R3595,WeightedMinAge09),MAX(CapacityAge09*'01_Вводные'!$B$218*'19_Расчет_аналитики'!R3595,MeanMinAge09))),0)</f>
        <v/>
      </c>
      <c r="S3508">
        <f>IF('01_Вводные'!$B$234="Да",IF(OR('19_Расчет_аналитики'!S3480=0,9&lt;='01_Вводные'!$B$297),0,'19_Расчет_аналитики'!S3480*IF('01_Вводные'!$B$239="Да",MeanMinAge09+'19_Расчет_аналитики'!S3595*SUMIF(ThresholdAge09,"&lt;"&amp;'19_Расчет_аналитики'!S3595,WeightedRevAge09)-SUMIF(ThresholdAge09,"&lt;"&amp;'19_Расчет_аналитики'!S3595,WeightedMinAge09),MAX(CapacityAge09*'01_Вводные'!$B$218*'19_Расчет_аналитики'!S3595,MeanMinAge09))),0)</f>
        <v/>
      </c>
      <c r="T3508">
        <f>IF('01_Вводные'!$B$234="Да",IF(OR('19_Расчет_аналитики'!T3480=0,9&lt;='01_Вводные'!$B$297),0,'19_Расчет_аналитики'!T3480*IF('01_Вводные'!$B$239="Да",MeanMinAge09+'19_Расчет_аналитики'!T3595*SUMIF(ThresholdAge09,"&lt;"&amp;'19_Расчет_аналитики'!T3595,WeightedRevAge09)-SUMIF(ThresholdAge09,"&lt;"&amp;'19_Расчет_аналитики'!T3595,WeightedMinAge09),MAX(CapacityAge09*'01_Вводные'!$B$218*'19_Расчет_аналитики'!T3595,MeanMinAge09))),0)</f>
        <v/>
      </c>
      <c r="U3508">
        <f>IF('01_Вводные'!$B$234="Да",IF(OR('19_Расчет_аналитики'!U3480=0,9&lt;='01_Вводные'!$B$297),0,'19_Расчет_аналитики'!U3480*IF('01_Вводные'!$B$239="Да",MeanMinAge09+'19_Расчет_аналитики'!U3595*SUMIF(ThresholdAge09,"&lt;"&amp;'19_Расчет_аналитики'!U3595,WeightedRevAge09)-SUMIF(ThresholdAge09,"&lt;"&amp;'19_Расчет_аналитики'!U3595,WeightedMinAge09),MAX(CapacityAge09*'01_Вводные'!$B$218*'19_Расчет_аналитики'!U3595,MeanMinAge09))),0)</f>
        <v/>
      </c>
      <c r="V3508">
        <f>IF('01_Вводные'!$B$234="Да",IF(OR('19_Расчет_аналитики'!V3480=0,9&lt;='01_Вводные'!$B$297),0,'19_Расчет_аналитики'!V3480*IF('01_Вводные'!$B$239="Да",MeanMinAge09+'19_Расчет_аналитики'!V3595*SUMIF(ThresholdAge09,"&lt;"&amp;'19_Расчет_аналитики'!V3595,WeightedRevAge09)-SUMIF(ThresholdAge09,"&lt;"&amp;'19_Расчет_аналитики'!V3595,WeightedMinAge09),MAX(CapacityAge09*'01_Вводные'!$B$218*'19_Расчет_аналитики'!V3595,MeanMinAge09))),0)</f>
        <v/>
      </c>
      <c r="W3508">
        <f>IF('01_Вводные'!$B$234="Да",IF(OR('19_Расчет_аналитики'!W3480=0,9&lt;='01_Вводные'!$B$297),0,'19_Расчет_аналитики'!W3480*IF('01_Вводные'!$B$239="Да",MeanMinAge09+'19_Расчет_аналитики'!W3595*SUMIF(ThresholdAge09,"&lt;"&amp;'19_Расчет_аналитики'!W3595,WeightedRevAge09)-SUMIF(ThresholdAge09,"&lt;"&amp;'19_Расчет_аналитики'!W3595,WeightedMinAge09),MAX(CapacityAge09*'01_Вводные'!$B$218*'19_Расчет_аналитики'!W3595,MeanMinAge09))),0)</f>
        <v/>
      </c>
      <c r="X3508">
        <f>IF('01_Вводные'!$B$234="Да",IF(OR('19_Расчет_аналитики'!X3480=0,9&lt;='01_Вводные'!$B$297),0,'19_Расчет_аналитики'!X3480*IF('01_Вводные'!$B$239="Да",MeanMinAge09+'19_Расчет_аналитики'!X3595*SUMIF(ThresholdAge09,"&lt;"&amp;'19_Расчет_аналитики'!X3595,WeightedRevAge09)-SUMIF(ThresholdAge09,"&lt;"&amp;'19_Расчет_аналитики'!X3595,WeightedMinAge09),MAX(CapacityAge09*'01_Вводные'!$B$218*'19_Расчет_аналитики'!X3595,MeanMinAge09))),0)</f>
        <v/>
      </c>
      <c r="Y3508">
        <f>IF('01_Вводные'!$B$234="Да",IF(OR('19_Расчет_аналитики'!Y3480=0,9&lt;='01_Вводные'!$B$297),0,'19_Расчет_аналитики'!Y3480*IF('01_Вводные'!$B$239="Да",MeanMinAge09+'19_Расчет_аналитики'!Y3595*SUMIF(ThresholdAge09,"&lt;"&amp;'19_Расчет_аналитики'!Y3595,WeightedRevAge09)-SUMIF(ThresholdAge09,"&lt;"&amp;'19_Расчет_аналитики'!Y3595,WeightedMinAge09),MAX(CapacityAge09*'01_Вводные'!$B$218*'19_Расчет_аналитики'!Y3595,MeanMinAge09))),0)</f>
        <v/>
      </c>
      <c r="Z3508">
        <f>IF('01_Вводные'!$B$234="Да",IF(OR('19_Расчет_аналитики'!Z3480=0,9&lt;='01_Вводные'!$B$297),0,'19_Расчет_аналитики'!Z3480*IF('01_Вводные'!$B$239="Да",MeanMinAge09+'19_Расчет_аналитики'!Z3595*SUMIF(ThresholdAge09,"&lt;"&amp;'19_Расчет_аналитики'!Z3595,WeightedRevAge09)-SUMIF(ThresholdAge09,"&lt;"&amp;'19_Расчет_аналитики'!Z3595,WeightedMinAge09),MAX(CapacityAge09*'01_Вводные'!$B$218*'19_Расчет_аналитики'!Z3595,MeanMinAge09))),0)</f>
        <v/>
      </c>
      <c r="AA3508">
        <f>IF('01_Вводные'!$B$234="Да",IF(OR('19_Расчет_аналитики'!AA3480=0,9&lt;='01_Вводные'!$B$297),0,'19_Расчет_аналитики'!AA3480*IF('01_Вводные'!$B$239="Да",MeanMinAge09+'19_Расчет_аналитики'!AA3595*SUMIF(ThresholdAge09,"&lt;"&amp;'19_Расчет_аналитики'!AA3595,WeightedRevAge09)-SUMIF(ThresholdAge09,"&lt;"&amp;'19_Расчет_аналитики'!AA3595,WeightedMinAge09),MAX(CapacityAge09*'01_Вводные'!$B$218*'19_Расчет_аналитики'!AA3595,MeanMinAge09))),0)</f>
        <v/>
      </c>
      <c r="AB3508">
        <f>IF('01_Вводные'!$B$234="Да",IF(OR('19_Расчет_аналитики'!AB3480=0,9&lt;='01_Вводные'!$B$297),0,'19_Расчет_аналитики'!AB3480*IF('01_Вводные'!$B$239="Да",MeanMinAge09+'19_Расчет_аналитики'!AB3595*SUMIF(ThresholdAge09,"&lt;"&amp;'19_Расчет_аналитики'!AB3595,WeightedRevAge09)-SUMIF(ThresholdAge09,"&lt;"&amp;'19_Расчет_аналитики'!AB3595,WeightedMinAge09),MAX(CapacityAge09*'01_Вводные'!$B$218*'19_Расчет_аналитики'!AB3595,MeanMinAge09))),0)</f>
        <v/>
      </c>
      <c r="AC3508">
        <f>IF('01_Вводные'!$B$234="Да",IF(OR('19_Расчет_аналитики'!AC3480=0,9&lt;='01_Вводные'!$B$297),0,'19_Расчет_аналитики'!AC3480*IF('01_Вводные'!$B$239="Да",MeanMinAge09+'19_Расчет_аналитики'!AC3595*SUMIF(ThresholdAge09,"&lt;"&amp;'19_Расчет_аналитики'!AC3595,WeightedRevAge09)-SUMIF(ThresholdAge09,"&lt;"&amp;'19_Расчет_аналитики'!AC3595,WeightedMinAge09),MAX(CapacityAge09*'01_Вводные'!$B$218*'19_Расчет_аналитики'!AC3595,MeanMinAge09))),0)</f>
        <v/>
      </c>
      <c r="AD3508">
        <f>IF('01_Вводные'!$B$234="Да",IF(OR('19_Расчет_аналитики'!AD3480=0,9&lt;='01_Вводные'!$B$297),0,'19_Расчет_аналитики'!AD3480*IF('01_Вводные'!$B$239="Да",MeanMinAge09+'19_Расчет_аналитики'!AD3595*SUMIF(ThresholdAge09,"&lt;"&amp;'19_Расчет_аналитики'!AD3595,WeightedRevAge09)-SUMIF(ThresholdAge09,"&lt;"&amp;'19_Расчет_аналитики'!AD3595,WeightedMinAge09),MAX(CapacityAge09*'01_Вводные'!$B$218*'19_Расчет_аналитики'!AD3595,MeanMinAge09))),0)</f>
        <v/>
      </c>
      <c r="AE3508">
        <f>IF('01_Вводные'!$B$234="Да",IF(OR('19_Расчет_аналитики'!AE3480=0,9&lt;='01_Вводные'!$B$297),0,'19_Расчет_аналитики'!AE3480*IF('01_Вводные'!$B$239="Да",MeanMinAge09+'19_Расчет_аналитики'!AE3595*SUMIF(ThresholdAge09,"&lt;"&amp;'19_Расчет_аналитики'!AE3595,WeightedRevAge09)-SUMIF(ThresholdAge09,"&lt;"&amp;'19_Расчет_аналитики'!AE3595,WeightedMinAge09),MAX(CapacityAge09*'01_Вводные'!$B$218*'19_Расчет_аналитики'!AE3595,MeanMinAge09))),0)</f>
        <v/>
      </c>
      <c r="AF3508">
        <f>IF('01_Вводные'!$B$234="Да",IF(OR('19_Расчет_аналитики'!AF3480=0,9&lt;='01_Вводные'!$B$297),0,'19_Расчет_аналитики'!AF3480*IF('01_Вводные'!$B$239="Да",MeanMinAge09+'19_Расчет_аналитики'!AF3595*SUMIF(ThresholdAge09,"&lt;"&amp;'19_Расчет_аналитики'!AF3595,WeightedRevAge09)-SUMIF(ThresholdAge09,"&lt;"&amp;'19_Расчет_аналитики'!AF3595,WeightedMinAge09),MAX(CapacityAge09*'01_Вводные'!$B$218*'19_Расчет_аналитики'!AF3595,MeanMinAge09))),0)</f>
        <v/>
      </c>
      <c r="AG3508">
        <f>IF('01_Вводные'!$B$234="Да",IF(OR('19_Расчет_аналитики'!AG3480=0,9&lt;='01_Вводные'!$B$297),0,'19_Расчет_аналитики'!AG3480*IF('01_Вводные'!$B$239="Да",MeanMinAge09+'19_Расчет_аналитики'!AG3595*SUMIF(ThresholdAge09,"&lt;"&amp;'19_Расчет_аналитики'!AG3595,WeightedRevAge09)-SUMIF(ThresholdAge09,"&lt;"&amp;'19_Расчет_аналитики'!AG3595,WeightedMinAge09),MAX(CapacityAge09*'01_Вводные'!$B$218*'19_Расчет_аналитики'!AG3595,MeanMinAge09))),0)</f>
        <v/>
      </c>
      <c r="AH3508">
        <f>IF('01_Вводные'!$B$234="Да",IF(OR('19_Расчет_аналитики'!AH3480=0,9&lt;='01_Вводные'!$B$297),0,'19_Расчет_аналитики'!AH3480*IF('01_Вводные'!$B$239="Да",MeanMinAge09+'19_Расчет_аналитики'!AH3595*SUMIF(ThresholdAge09,"&lt;"&amp;'19_Расчет_аналитики'!AH3595,WeightedRevAge09)-SUMIF(ThresholdAge09,"&lt;"&amp;'19_Расчет_аналитики'!AH3595,WeightedMinAge09),MAX(CapacityAge09*'01_Вводные'!$B$218*'19_Расчет_аналитики'!AH3595,MeanMinAge09))),0)</f>
        <v/>
      </c>
      <c r="AI3508">
        <f>IF('01_Вводные'!$B$234="Да",IF(OR('19_Расчет_аналитики'!AI3480=0,9&lt;='01_Вводные'!$B$297),0,'19_Расчет_аналитики'!AI3480*IF('01_Вводные'!$B$239="Да",MeanMinAge09+'19_Расчет_аналитики'!AI3595*SUMIF(ThresholdAge09,"&lt;"&amp;'19_Расчет_аналитики'!AI3595,WeightedRevAge09)-SUMIF(ThresholdAge09,"&lt;"&amp;'19_Расчет_аналитики'!AI3595,WeightedMinAge09),MAX(CapacityAge09*'01_Вводные'!$B$218*'19_Расчет_аналитики'!AI3595,MeanMinAge09))),0)</f>
        <v/>
      </c>
      <c r="AJ3508">
        <f>IF('01_Вводные'!$B$234="Да",IF(OR('19_Расчет_аналитики'!AJ3480=0,9&lt;='01_Вводные'!$B$297),0,'19_Расчет_аналитики'!AJ3480*IF('01_Вводные'!$B$239="Да",MeanMinAge09+'19_Расчет_аналитики'!AJ3595*SUMIF(ThresholdAge09,"&lt;"&amp;'19_Расчет_аналитики'!AJ3595,WeightedRevAge09)-SUMIF(ThresholdAge09,"&lt;"&amp;'19_Расчет_аналитики'!AJ3595,WeightedMinAge09),MAX(CapacityAge09*'01_Вводные'!$B$218*'19_Расчет_аналитики'!AJ3595,MeanMinAge09))),0)</f>
        <v/>
      </c>
      <c r="AK3508">
        <f>IF('01_Вводные'!$B$234="Да",IF(OR('19_Расчет_аналитики'!AK3480=0,9&lt;='01_Вводные'!$B$297),0,'19_Расчет_аналитики'!AK3480*IF('01_Вводные'!$B$239="Да",MeanMinAge09+'19_Расчет_аналитики'!AK3595*SUMIF(ThresholdAge09,"&lt;"&amp;'19_Расчет_аналитики'!AK3595,WeightedRevAge09)-SUMIF(ThresholdAge09,"&lt;"&amp;'19_Расчет_аналитики'!AK3595,WeightedMinAge09),MAX(CapacityAge09*'01_Вводные'!$B$218*'19_Расчет_аналитики'!AK3595,MeanMinAge09))),0)</f>
        <v/>
      </c>
      <c r="AL3508">
        <f>IF('01_Вводные'!$B$234="Да",IF(OR('19_Расчет_аналитики'!AL3480=0,9&lt;='01_Вводные'!$B$297),0,'19_Расчет_аналитики'!AL3480*IF('01_Вводные'!$B$239="Да",MeanMinAge09+'19_Расчет_аналитики'!AL3595*SUMIF(ThresholdAge09,"&lt;"&amp;'19_Расчет_аналитики'!AL3595,WeightedRevAge09)-SUMIF(ThresholdAge09,"&lt;"&amp;'19_Расчет_аналитики'!AL3595,WeightedMinAge09),MAX(CapacityAge09*'01_Вводные'!$B$218*'19_Расчет_аналитики'!AL3595,MeanMinAge09))),0)</f>
        <v/>
      </c>
      <c r="AM3508">
        <f>IF('01_Вводные'!$B$234="Да",IF(OR('19_Расчет_аналитики'!AM3480=0,9&lt;='01_Вводные'!$B$297),0,'19_Расчет_аналитики'!AM3480*IF('01_Вводные'!$B$239="Да",MeanMinAge09+'19_Расчет_аналитики'!AM3595*SUMIF(ThresholdAge09,"&lt;"&amp;'19_Расчет_аналитики'!AM3595,WeightedRevAge09)-SUMIF(ThresholdAge09,"&lt;"&amp;'19_Расчет_аналитики'!AM3595,WeightedMinAge09),MAX(CapacityAge09*'01_Вводные'!$B$218*'19_Расчет_аналитики'!AM3595,MeanMinAge09))),0)</f>
        <v/>
      </c>
      <c r="AN3508">
        <f>IF('01_Вводные'!$B$234="Да",IF(OR('19_Расчет_аналитики'!AN3480=0,9&lt;='01_Вводные'!$B$297),0,'19_Расчет_аналитики'!AN3480*IF('01_Вводные'!$B$239="Да",MeanMinAge09+'19_Расчет_аналитики'!AN3595*SUMIF(ThresholdAge09,"&lt;"&amp;'19_Расчет_аналитики'!AN3595,WeightedRevAge09)-SUMIF(ThresholdAge09,"&lt;"&amp;'19_Расчет_аналитики'!AN3595,WeightedMinAge09),MAX(CapacityAge09*'01_Вводные'!$B$218*'19_Расчет_аналитики'!AN3595,MeanMinAge09))),0)</f>
        <v/>
      </c>
      <c r="AO3508">
        <f>IF('01_Вводные'!$B$234="Да",IF(OR('19_Расчет_аналитики'!AO3480=0,9&lt;='01_Вводные'!$B$297),0,'19_Расчет_аналитики'!AO3480*IF('01_Вводные'!$B$239="Да",MeanMinAge09+'19_Расчет_аналитики'!AO3595*SUMIF(ThresholdAge09,"&lt;"&amp;'19_Расчет_аналитики'!AO3595,WeightedRevAge09)-SUMIF(ThresholdAge09,"&lt;"&amp;'19_Расчет_аналитики'!AO3595,WeightedMinAge09),MAX(CapacityAge09*'01_Вводные'!$B$218*'19_Расчет_аналитики'!AO3595,MeanMinAge09))),0)</f>
        <v/>
      </c>
      <c r="AP3508">
        <f>IF('01_Вводные'!$B$234="Да",IF(OR('19_Расчет_аналитики'!AP3480=0,9&lt;='01_Вводные'!$B$297),0,'19_Расчет_аналитики'!AP3480*IF('01_Вводные'!$B$239="Да",MeanMinAge09+'19_Расчет_аналитики'!AP3595*SUMIF(ThresholdAge09,"&lt;"&amp;'19_Расчет_аналитики'!AP3595,WeightedRevAge09)-SUMIF(ThresholdAge09,"&lt;"&amp;'19_Расчет_аналитики'!AP3595,WeightedMinAge09),MAX(CapacityAge09*'01_Вводные'!$B$218*'19_Расчет_аналитики'!AP3595,MeanMinAge09))),0)</f>
        <v/>
      </c>
      <c r="AQ3508">
        <f>IF('01_Вводные'!$B$234="Да",IF(OR('19_Расчет_аналитики'!AQ3480=0,9&lt;='01_Вводные'!$B$297),0,'19_Расчет_аналитики'!AQ3480*IF('01_Вводные'!$B$239="Да",MeanMinAge09+'19_Расчет_аналитики'!AQ3595*SUMIF(ThresholdAge09,"&lt;"&amp;'19_Расчет_аналитики'!AQ3595,WeightedRevAge09)-SUMIF(ThresholdAge09,"&lt;"&amp;'19_Расчет_аналитики'!AQ3595,WeightedMinAge09),MAX(CapacityAge09*'01_Вводные'!$B$218*'19_Расчет_аналитики'!AQ3595,MeanMinAge09))),0)</f>
        <v/>
      </c>
      <c r="AR3508">
        <f>IF('01_Вводные'!$B$234="Да",IF(OR('19_Расчет_аналитики'!AR3480=0,9&lt;='01_Вводные'!$B$297),0,'19_Расчет_аналитики'!AR3480*IF('01_Вводные'!$B$239="Да",MeanMinAge09+'19_Расчет_аналитики'!AR3595*SUMIF(ThresholdAge09,"&lt;"&amp;'19_Расчет_аналитики'!AR3595,WeightedRevAge09)-SUMIF(ThresholdAge09,"&lt;"&amp;'19_Расчет_аналитики'!AR3595,WeightedMinAge09),MAX(CapacityAge09*'01_Вводные'!$B$218*'19_Расчет_аналитики'!AR3595,MeanMinAge09))),0)</f>
        <v/>
      </c>
      <c r="AS3508">
        <f>IF('01_Вводные'!$B$234="Да",IF(OR('19_Расчет_аналитики'!AS3480=0,9&lt;='01_Вводные'!$B$297),0,'19_Расчет_аналитики'!AS3480*IF('01_Вводные'!$B$239="Да",MeanMinAge09+'19_Расчет_аналитики'!AS3595*SUMIF(ThresholdAge09,"&lt;"&amp;'19_Расчет_аналитики'!AS3595,WeightedRevAge09)-SUMIF(ThresholdAge09,"&lt;"&amp;'19_Расчет_аналитики'!AS3595,WeightedMinAge09),MAX(CapacityAge09*'01_Вводные'!$B$218*'19_Расчет_аналитики'!AS3595,MeanMinAge09))),0)</f>
        <v/>
      </c>
      <c r="AT3508">
        <f>IF('01_Вводные'!$B$234="Да",IF(OR('19_Расчет_аналитики'!AT3480=0,9&lt;='01_Вводные'!$B$297),0,'19_Расчет_аналитики'!AT3480*IF('01_Вводные'!$B$239="Да",MeanMinAge09+'19_Расчет_аналитики'!AT3595*SUMIF(ThresholdAge09,"&lt;"&amp;'19_Расчет_аналитики'!AT3595,WeightedRevAge09)-SUMIF(ThresholdAge09,"&lt;"&amp;'19_Расчет_аналитики'!AT3595,WeightedMinAge09),MAX(CapacityAge09*'01_Вводные'!$B$218*'19_Расчет_аналитики'!AT3595,MeanMinAge09))),0)</f>
        <v/>
      </c>
      <c r="AU3508">
        <f>IF('01_Вводные'!$B$234="Да",IF(OR('19_Расчет_аналитики'!AU3480=0,9&lt;='01_Вводные'!$B$297),0,'19_Расчет_аналитики'!AU3480*IF('01_Вводные'!$B$239="Да",MeanMinAge09+'19_Расчет_аналитики'!AU3595*SUMIF(ThresholdAge09,"&lt;"&amp;'19_Расчет_аналитики'!AU3595,WeightedRevAge09)-SUMIF(ThresholdAge09,"&lt;"&amp;'19_Расчет_аналитики'!AU3595,WeightedMinAge09),MAX(CapacityAge09*'01_Вводные'!$B$218*'19_Расчет_аналитики'!AU3595,MeanMinAge09))),0)</f>
        <v/>
      </c>
      <c r="AV3508">
        <f>IF('01_Вводные'!$B$234="Да",IF(OR('19_Расчет_аналитики'!AV3480=0,9&lt;='01_Вводные'!$B$297),0,'19_Расчет_аналитики'!AV3480*IF('01_Вводные'!$B$239="Да",MeanMinAge09+'19_Расчет_аналитики'!AV3595*SUMIF(ThresholdAge09,"&lt;"&amp;'19_Расчет_аналитики'!AV3595,WeightedRevAge09)-SUMIF(ThresholdAge09,"&lt;"&amp;'19_Расчет_аналитики'!AV3595,WeightedMinAge09),MAX(CapacityAge09*'01_Вводные'!$B$218*'19_Расчет_аналитики'!AV3595,MeanMinAge09))),0)</f>
        <v/>
      </c>
      <c r="AW3508">
        <f>IF('01_Вводные'!$B$234="Да",IF(OR('19_Расчет_аналитики'!AW3480=0,9&lt;='01_Вводные'!$B$297),0,'19_Расчет_аналитики'!AW3480*IF('01_Вводные'!$B$239="Да",MeanMinAge09+'19_Расчет_аналитики'!AW3595*SUMIF(ThresholdAge09,"&lt;"&amp;'19_Расчет_аналитики'!AW3595,WeightedRevAge09)-SUMIF(ThresholdAge09,"&lt;"&amp;'19_Расчет_аналитики'!AW3595,WeightedMinAge09),MAX(CapacityAge09*'01_Вводные'!$B$218*'19_Расчет_аналитики'!AW3595,MeanMinAge09))),0)</f>
        <v/>
      </c>
      <c r="AX3508">
        <f>IF('01_Вводные'!$B$234="Да",IF(OR('19_Расчет_аналитики'!AX3480=0,9&lt;='01_Вводные'!$B$297),0,'19_Расчет_аналитики'!AX3480*IF('01_Вводные'!$B$239="Да",MeanMinAge09+'19_Расчет_аналитики'!AX3595*SUMIF(ThresholdAge09,"&lt;"&amp;'19_Расчет_аналитики'!AX3595,WeightedRevAge09)-SUMIF(ThresholdAge09,"&lt;"&amp;'19_Расчет_аналитики'!AX3595,WeightedMinAge09),MAX(CapacityAge09*'01_Вводные'!$B$218*'19_Расчет_аналитики'!AX3595,MeanMinAge09))),0)</f>
        <v/>
      </c>
      <c r="AY3508">
        <f>IF('01_Вводные'!$B$234="Да",IF(OR('19_Расчет_аналитики'!AY3480=0,9&lt;='01_Вводные'!$B$297),0,'19_Расчет_аналитики'!AY3480*IF('01_Вводные'!$B$239="Да",MeanMinAge09+'19_Расчет_аналитики'!AY3595*SUMIF(ThresholdAge09,"&lt;"&amp;'19_Расчет_аналитики'!AY3595,WeightedRevAge09)-SUMIF(ThresholdAge09,"&lt;"&amp;'19_Расчет_аналитики'!AY3595,WeightedMinAge09),MAX(CapacityAge09*'01_Вводные'!$B$218*'19_Расчет_аналитики'!AY3595,MeanMinAge09))),0)</f>
        <v/>
      </c>
      <c r="AZ3508">
        <f>IF('01_Вводные'!$B$234="Да",IF(OR('19_Расчет_аналитики'!AZ3480=0,9&lt;='01_Вводные'!$B$297),0,'19_Расчет_аналитики'!AZ3480*IF('01_Вводные'!$B$239="Да",MeanMinAge09+'19_Расчет_аналитики'!AZ3595*SUMIF(ThresholdAge09,"&lt;"&amp;'19_Расчет_аналитики'!AZ3595,WeightedRevAge09)-SUMIF(ThresholdAge09,"&lt;"&amp;'19_Расчет_аналитики'!AZ3595,WeightedMinAge09),MAX(CapacityAge09*'01_Вводные'!$B$218*'19_Расчет_аналитики'!AZ3595,MeanMinAge09))),0)</f>
        <v/>
      </c>
      <c r="BA3508">
        <f>IF('01_Вводные'!$B$234="Да",IF(OR('19_Расчет_аналитики'!BA3480=0,9&lt;='01_Вводные'!$B$297),0,'19_Расчет_аналитики'!BA3480*IF('01_Вводные'!$B$239="Да",MeanMinAge09+'19_Расчет_аналитики'!BA3595*SUMIF(ThresholdAge09,"&lt;"&amp;'19_Расчет_аналитики'!BA3595,WeightedRevAge09)-SUMIF(ThresholdAge09,"&lt;"&amp;'19_Расчет_аналитики'!BA3595,WeightedMinAge09),MAX(CapacityAge09*'01_Вводные'!$B$218*'19_Расчет_аналитики'!BA3595,MeanMinAge09))),0)</f>
        <v/>
      </c>
      <c r="BB3508">
        <f>IF('01_Вводные'!$B$234="Да",IF(OR('19_Расчет_аналитики'!BB3480=0,9&lt;='01_Вводные'!$B$297),0,'19_Расчет_аналитики'!BB3480*IF('01_Вводные'!$B$239="Да",MeanMinAge09+'19_Расчет_аналитики'!BB3595*SUMIF(ThresholdAge09,"&lt;"&amp;'19_Расчет_аналитики'!BB3595,WeightedRevAge09)-SUMIF(ThresholdAge09,"&lt;"&amp;'19_Расчет_аналитики'!BB3595,WeightedMinAge09),MAX(CapacityAge09*'01_Вводные'!$B$218*'19_Расчет_аналитики'!BB3595,MeanMinAge09))),0)</f>
        <v/>
      </c>
      <c r="BC3508">
        <f>IF('01_Вводные'!$B$234="Да",IF(OR('19_Расчет_аналитики'!BC3480=0,9&lt;='01_Вводные'!$B$297),0,'19_Расчет_аналитики'!BC3480*IF('01_Вводные'!$B$239="Да",MeanMinAge09+'19_Расчет_аналитики'!BC3595*SUMIF(ThresholdAge09,"&lt;"&amp;'19_Расчет_аналитики'!BC3595,WeightedRevAge09)-SUMIF(ThresholdAge09,"&lt;"&amp;'19_Расчет_аналитики'!BC3595,WeightedMinAge09),MAX(CapacityAge09*'01_Вводные'!$B$218*'19_Расчет_аналитики'!BC3595,MeanMinAge09))),0)</f>
        <v/>
      </c>
      <c r="BD3508">
        <f>IF('01_Вводные'!$B$234="Да",IF(OR('19_Расчет_аналитики'!BD3480=0,9&lt;='01_Вводные'!$B$297),0,'19_Расчет_аналитики'!BD3480*IF('01_Вводные'!$B$239="Да",MeanMinAge09+'19_Расчет_аналитики'!BD3595*SUMIF(ThresholdAge09,"&lt;"&amp;'19_Расчет_аналитики'!BD3595,WeightedRevAge09)-SUMIF(ThresholdAge09,"&lt;"&amp;'19_Расчет_аналитики'!BD3595,WeightedMinAge09),MAX(CapacityAge09*'01_Вводные'!$B$218*'19_Расчет_аналитики'!BD3595,MeanMinAge09))),0)</f>
        <v/>
      </c>
      <c r="BE3508">
        <f>IF('01_Вводные'!$B$234="Да",IF(OR('19_Расчет_аналитики'!BE3480=0,9&lt;='01_Вводные'!$B$297),0,'19_Расчет_аналитики'!BE3480*IF('01_Вводные'!$B$239="Да",MeanMinAge09+'19_Расчет_аналитики'!BE3595*SUMIF(ThresholdAge09,"&lt;"&amp;'19_Расчет_аналитики'!BE3595,WeightedRevAge09)-SUMIF(ThresholdAge09,"&lt;"&amp;'19_Расчет_аналитики'!BE3595,WeightedMinAge09),MAX(CapacityAge09*'01_Вводные'!$B$218*'19_Расчет_аналитики'!BE3595,MeanMinAge09))),0)</f>
        <v/>
      </c>
      <c r="BF3508">
        <f>IF('01_Вводные'!$B$234="Да",IF(OR('19_Расчет_аналитики'!BF3480=0,9&lt;='01_Вводные'!$B$297),0,'19_Расчет_аналитики'!BF3480*IF('01_Вводные'!$B$239="Да",MeanMinAge09+'19_Расчет_аналитики'!BF3595*SUMIF(ThresholdAge09,"&lt;"&amp;'19_Расчет_аналитики'!BF3595,WeightedRevAge09)-SUMIF(ThresholdAge09,"&lt;"&amp;'19_Расчет_аналитики'!BF3595,WeightedMinAge09),MAX(CapacityAge09*'01_Вводные'!$B$218*'19_Расчет_аналитики'!BF3595,MeanMinAge09))),0)</f>
        <v/>
      </c>
      <c r="BG3508">
        <f>IF('01_Вводные'!$B$234="Да",IF(OR('19_Расчет_аналитики'!BG3480=0,9&lt;='01_Вводные'!$B$297),0,'19_Расчет_аналитики'!BG3480*IF('01_Вводные'!$B$239="Да",MeanMinAge09+'19_Расчет_аналитики'!BG3595*SUMIF(ThresholdAge09,"&lt;"&amp;'19_Расчет_аналитики'!BG3595,WeightedRevAge09)-SUMIF(ThresholdAge09,"&lt;"&amp;'19_Расчет_аналитики'!BG3595,WeightedMinAge09),MAX(CapacityAge09*'01_Вводные'!$B$218*'19_Расчет_аналитики'!BG3595,MeanMinAge09))),0)</f>
        <v/>
      </c>
      <c r="BH3508">
        <f>IF('01_Вводные'!$B$234="Да",IF(OR('19_Расчет_аналитики'!BH3480=0,9&lt;='01_Вводные'!$B$297),0,'19_Расчет_аналитики'!BH3480*IF('01_Вводные'!$B$239="Да",MeanMinAge09+'19_Расчет_аналитики'!BH3595*SUMIF(ThresholdAge09,"&lt;"&amp;'19_Расчет_аналитики'!BH3595,WeightedRevAge09)-SUMIF(ThresholdAge09,"&lt;"&amp;'19_Расчет_аналитики'!BH3595,WeightedMinAge09),MAX(CapacityAge09*'01_Вводные'!$B$218*'19_Расчет_аналитики'!BH3595,MeanMinAge09))),0)</f>
        <v/>
      </c>
      <c r="BI3508">
        <f>IF('01_Вводные'!$B$234="Да",IF(OR('19_Расчет_аналитики'!BI3480=0,9&lt;='01_Вводные'!$B$297),0,'19_Расчет_аналитики'!BI3480*IF('01_Вводные'!$B$239="Да",MeanMinAge09+'19_Расчет_аналитики'!BI3595*SUMIF(ThresholdAge09,"&lt;"&amp;'19_Расчет_аналитики'!BI3595,WeightedRevAge09)-SUMIF(ThresholdAge09,"&lt;"&amp;'19_Расчет_аналитики'!BI3595,WeightedMinAge09),MAX(CapacityAge09*'01_Вводные'!$B$218*'19_Расчет_аналитики'!BI3595,MeanMinAge09))),0)</f>
        <v/>
      </c>
      <c r="BJ3508">
        <f>IF('01_Вводные'!$B$234="Да",IF(OR('19_Расчет_аналитики'!BJ3480=0,9&lt;='01_Вводные'!$B$297),0,'19_Расчет_аналитики'!BJ3480*IF('01_Вводные'!$B$239="Да",MeanMinAge09+'19_Расчет_аналитики'!BJ3595*SUMIF(ThresholdAge09,"&lt;"&amp;'19_Расчет_аналитики'!BJ3595,WeightedRevAge09)-SUMIF(ThresholdAge09,"&lt;"&amp;'19_Расчет_аналитики'!BJ3595,WeightedMinAge09),MAX(CapacityAge09*'01_Вводные'!$B$218*'19_Расчет_аналитики'!BJ3595,MeanMinAge09))),0)</f>
        <v/>
      </c>
      <c r="BK3508">
        <f>IF('01_Вводные'!$B$234="Да",IF(OR('19_Расчет_аналитики'!BK3480=0,9&lt;='01_Вводные'!$B$297),0,'19_Расчет_аналитики'!BK3480*IF('01_Вводные'!$B$239="Да",MeanMinAge09+'19_Расчет_аналитики'!BK3595*SUMIF(ThresholdAge09,"&lt;"&amp;'19_Расчет_аналитики'!BK3595,WeightedRevAge09)-SUMIF(ThresholdAge09,"&lt;"&amp;'19_Расчет_аналитики'!BK3595,WeightedMinAge09),MAX(CapacityAge09*'01_Вводные'!$B$218*'19_Расчет_аналитики'!BK3595,MeanMinAge09))),0)</f>
        <v/>
      </c>
      <c r="BL3508">
        <f>IF('01_Вводные'!$B$234="Да",IF(OR('19_Расчет_аналитики'!BL3480=0,9&lt;='01_Вводные'!$B$297),0,'19_Расчет_аналитики'!BL3480*IF('01_Вводные'!$B$239="Да",MeanMinAge09+'19_Расчет_аналитики'!BL3595*SUMIF(ThresholdAge09,"&lt;"&amp;'19_Расчет_аналитики'!BL3595,WeightedRevAge09)-SUMIF(ThresholdAge09,"&lt;"&amp;'19_Расчет_аналитики'!BL3595,WeightedMinAge09),MAX(CapacityAge09*'01_Вводные'!$B$218*'19_Расчет_аналитики'!BL3595,MeanMinAge09))),0)</f>
        <v/>
      </c>
      <c r="BM3508">
        <f>IF('01_Вводные'!$B$234="Да",IF(OR('19_Расчет_аналитики'!BM3480=0,9&lt;='01_Вводные'!$B$297),0,'19_Расчет_аналитики'!BM3480*IF('01_Вводные'!$B$239="Да",MeanMinAge09+'19_Расчет_аналитики'!BM3595*SUMIF(ThresholdAge09,"&lt;"&amp;'19_Расчет_аналитики'!BM3595,WeightedRevAge09)-SUMIF(ThresholdAge09,"&lt;"&amp;'19_Расчет_аналитики'!BM3595,WeightedMinAge09),MAX(CapacityAge09*'01_Вводные'!$B$218*'19_Расчет_аналитики'!BM3595,MeanMinAge09))),0)</f>
        <v/>
      </c>
      <c r="BN3508">
        <f>IF('01_Вводные'!$B$234="Да",IF(OR('19_Расчет_аналитики'!BN3480=0,9&lt;='01_Вводные'!$B$297),0,'19_Расчет_аналитики'!BN3480*IF('01_Вводные'!$B$239="Да",MeanMinAge09+'19_Расчет_аналитики'!BN3595*SUMIF(ThresholdAge09,"&lt;"&amp;'19_Расчет_аналитики'!BN3595,WeightedRevAge09)-SUMIF(ThresholdAge09,"&lt;"&amp;'19_Расчет_аналитики'!BN3595,WeightedMinAge09),MAX(CapacityAge09*'01_Вводные'!$B$218*'19_Расчет_аналитики'!BN3595,MeanMinAge09))),0)</f>
        <v/>
      </c>
      <c r="BO3508">
        <f>IF('01_Вводные'!$B$234="Да",IF(OR('19_Расчет_аналитики'!BO3480=0,9&lt;='01_Вводные'!$B$297),0,'19_Расчет_аналитики'!BO3480*IF('01_Вводные'!$B$239="Да",MeanMinAge09+'19_Расчет_аналитики'!BO3595*SUMIF(ThresholdAge09,"&lt;"&amp;'19_Расчет_аналитики'!BO3595,WeightedRevAge09)-SUMIF(ThresholdAge09,"&lt;"&amp;'19_Расчет_аналитики'!BO3595,WeightedMinAge09),MAX(CapacityAge09*'01_Вводные'!$B$218*'19_Расчет_аналитики'!BO3595,MeanMinAge09))),0)</f>
        <v/>
      </c>
    </row>
    <row r="3509">
      <c r="B3509">
        <f>IF('01_Вводные'!$B$234="Да",IF(OR('06_Сеть_и_дети'!B90=0,10&lt;='01_Вводные'!$B$297),0,'06_Сеть_и_дети'!B90*IF('01_Вводные'!$B$239="Да",MeanMinAge10+'19_Расчет_аналитики'!B3595*SUMIF(ThresholdAge10,"&lt;"&amp;'19_Расчет_аналитики'!B3595,WeightedRevAge10)-SUMIF(ThresholdAge10,"&lt;"&amp;'19_Расчет_аналитики'!B3595,WeightedMinAge10),MAX(CapacityAge10*'01_Вводные'!$B$218*'19_Расчет_аналитики'!B3595,MeanMinAge10))),0)</f>
        <v/>
      </c>
      <c r="C3509">
        <f>IF('01_Вводные'!$B$234="Да",IF(OR('06_Сеть_и_дети'!C90=0,10&lt;='01_Вводные'!$B$297),0,'06_Сеть_и_дети'!C90*IF('01_Вводные'!$B$239="Да",MeanMinAge10+'19_Расчет_аналитики'!C3595*SUMIF(ThresholdAge10,"&lt;"&amp;'19_Расчет_аналитики'!C3595,WeightedRevAge10)-SUMIF(ThresholdAge10,"&lt;"&amp;'19_Расчет_аналитики'!C3595,WeightedMinAge10),MAX(CapacityAge10*'01_Вводные'!$B$218*'19_Расчет_аналитики'!C3595,MeanMinAge10))),0)</f>
        <v/>
      </c>
      <c r="D3509">
        <f>IF('01_Вводные'!$B$234="Да",IF(OR('06_Сеть_и_дети'!D90=0,10&lt;='01_Вводные'!$B$297),0,'06_Сеть_и_дети'!D90*IF('01_Вводные'!$B$239="Да",MeanMinAge10+'19_Расчет_аналитики'!D3595*SUMIF(ThresholdAge10,"&lt;"&amp;'19_Расчет_аналитики'!D3595,WeightedRevAge10)-SUMIF(ThresholdAge10,"&lt;"&amp;'19_Расчет_аналитики'!D3595,WeightedMinAge10),MAX(CapacityAge10*'01_Вводные'!$B$218*'19_Расчет_аналитики'!D3595,MeanMinAge10))),0)</f>
        <v/>
      </c>
      <c r="E3509">
        <f>IF('01_Вводные'!$B$234="Да",IF(OR('06_Сеть_и_дети'!E90=0,10&lt;='01_Вводные'!$B$297),0,'06_Сеть_и_дети'!E90*IF('01_Вводные'!$B$239="Да",MeanMinAge10+'19_Расчет_аналитики'!E3595*SUMIF(ThresholdAge10,"&lt;"&amp;'19_Расчет_аналитики'!E3595,WeightedRevAge10)-SUMIF(ThresholdAge10,"&lt;"&amp;'19_Расчет_аналитики'!E3595,WeightedMinAge10),MAX(CapacityAge10*'01_Вводные'!$B$218*'19_Расчет_аналитики'!E3595,MeanMinAge10))),0)</f>
        <v/>
      </c>
      <c r="F3509">
        <f>IF('01_Вводные'!$B$234="Да",IF(OR('06_Сеть_и_дети'!F90=0,10&lt;='01_Вводные'!$B$297),0,'06_Сеть_и_дети'!F90*IF('01_Вводные'!$B$239="Да",MeanMinAge10+'19_Расчет_аналитики'!F3595*SUMIF(ThresholdAge10,"&lt;"&amp;'19_Расчет_аналитики'!F3595,WeightedRevAge10)-SUMIF(ThresholdAge10,"&lt;"&amp;'19_Расчет_аналитики'!F3595,WeightedMinAge10),MAX(CapacityAge10*'01_Вводные'!$B$218*'19_Расчет_аналитики'!F3595,MeanMinAge10))),0)</f>
        <v/>
      </c>
      <c r="G3509">
        <f>IF('01_Вводные'!$B$234="Да",IF(OR('06_Сеть_и_дети'!G90=0,10&lt;='01_Вводные'!$B$297),0,'06_Сеть_и_дети'!G90*IF('01_Вводные'!$B$239="Да",MeanMinAge10+'19_Расчет_аналитики'!G3595*SUMIF(ThresholdAge10,"&lt;"&amp;'19_Расчет_аналитики'!G3595,WeightedRevAge10)-SUMIF(ThresholdAge10,"&lt;"&amp;'19_Расчет_аналитики'!G3595,WeightedMinAge10),MAX(CapacityAge10*'01_Вводные'!$B$218*'19_Расчет_аналитики'!G3595,MeanMinAge10))),0)</f>
        <v/>
      </c>
      <c r="H3509">
        <f>IF('01_Вводные'!$B$234="Да",IF(OR('06_Сеть_и_дети'!H90=0,10&lt;='01_Вводные'!$B$297),0,'06_Сеть_и_дети'!H90*IF('01_Вводные'!$B$239="Да",MeanMinAge10+'19_Расчет_аналитики'!H3595*SUMIF(ThresholdAge10,"&lt;"&amp;'19_Расчет_аналитики'!H3595,WeightedRevAge10)-SUMIF(ThresholdAge10,"&lt;"&amp;'19_Расчет_аналитики'!H3595,WeightedMinAge10),MAX(CapacityAge10*'01_Вводные'!$B$218*'19_Расчет_аналитики'!H3595,MeanMinAge10))),0)</f>
        <v/>
      </c>
      <c r="I3509">
        <f>IF('01_Вводные'!$B$234="Да",IF(OR('06_Сеть_и_дети'!I90=0,10&lt;='01_Вводные'!$B$297),0,'06_Сеть_и_дети'!I90*IF('01_Вводные'!$B$239="Да",MeanMinAge10+'19_Расчет_аналитики'!I3595*SUMIF(ThresholdAge10,"&lt;"&amp;'19_Расчет_аналитики'!I3595,WeightedRevAge10)-SUMIF(ThresholdAge10,"&lt;"&amp;'19_Расчет_аналитики'!I3595,WeightedMinAge10),MAX(CapacityAge10*'01_Вводные'!$B$218*'19_Расчет_аналитики'!I3595,MeanMinAge10))),0)</f>
        <v/>
      </c>
      <c r="J3509">
        <f>IF('01_Вводные'!$B$234="Да",IF(OR('06_Сеть_и_дети'!J90=0,10&lt;='01_Вводные'!$B$297),0,'06_Сеть_и_дети'!J90*IF('01_Вводные'!$B$239="Да",MeanMinAge10+'19_Расчет_аналитики'!J3595*SUMIF(ThresholdAge10,"&lt;"&amp;'19_Расчет_аналитики'!J3595,WeightedRevAge10)-SUMIF(ThresholdAge10,"&lt;"&amp;'19_Расчет_аналитики'!J3595,WeightedMinAge10),MAX(CapacityAge10*'01_Вводные'!$B$218*'19_Расчет_аналитики'!J3595,MeanMinAge10))),0)</f>
        <v/>
      </c>
      <c r="K3509">
        <f>IF('01_Вводные'!$B$234="Да",IF(OR('19_Расчет_аналитики'!K3481=0,10&lt;='01_Вводные'!$B$297),0,'19_Расчет_аналитики'!K3481*IF('01_Вводные'!$B$239="Да",MeanMinAge10+'19_Расчет_аналитики'!K3595*SUMIF(ThresholdAge10,"&lt;"&amp;'19_Расчет_аналитики'!K3595,WeightedRevAge10)-SUMIF(ThresholdAge10,"&lt;"&amp;'19_Расчет_аналитики'!K3595,WeightedMinAge10),MAX(CapacityAge10*'01_Вводные'!$B$218*'19_Расчет_аналитики'!K3595,MeanMinAge10))),0)</f>
        <v/>
      </c>
      <c r="L3509">
        <f>IF('01_Вводные'!$B$234="Да",IF(OR('19_Расчет_аналитики'!L3481=0,10&lt;='01_Вводные'!$B$297),0,'19_Расчет_аналитики'!L3481*IF('01_Вводные'!$B$239="Да",MeanMinAge10+'19_Расчет_аналитики'!L3595*SUMIF(ThresholdAge10,"&lt;"&amp;'19_Расчет_аналитики'!L3595,WeightedRevAge10)-SUMIF(ThresholdAge10,"&lt;"&amp;'19_Расчет_аналитики'!L3595,WeightedMinAge10),MAX(CapacityAge10*'01_Вводные'!$B$218*'19_Расчет_аналитики'!L3595,MeanMinAge10))),0)</f>
        <v/>
      </c>
      <c r="M3509">
        <f>IF('01_Вводные'!$B$234="Да",IF(OR('19_Расчет_аналитики'!M3481=0,10&lt;='01_Вводные'!$B$297),0,'19_Расчет_аналитики'!M3481*IF('01_Вводные'!$B$239="Да",MeanMinAge10+'19_Расчет_аналитики'!M3595*SUMIF(ThresholdAge10,"&lt;"&amp;'19_Расчет_аналитики'!M3595,WeightedRevAge10)-SUMIF(ThresholdAge10,"&lt;"&amp;'19_Расчет_аналитики'!M3595,WeightedMinAge10),MAX(CapacityAge10*'01_Вводные'!$B$218*'19_Расчет_аналитики'!M3595,MeanMinAge10))),0)</f>
        <v/>
      </c>
      <c r="N3509">
        <f>IF('01_Вводные'!$B$234="Да",IF(OR('19_Расчет_аналитики'!N3481=0,10&lt;='01_Вводные'!$B$297),0,'19_Расчет_аналитики'!N3481*IF('01_Вводные'!$B$239="Да",MeanMinAge10+'19_Расчет_аналитики'!N3595*SUMIF(ThresholdAge10,"&lt;"&amp;'19_Расчет_аналитики'!N3595,WeightedRevAge10)-SUMIF(ThresholdAge10,"&lt;"&amp;'19_Расчет_аналитики'!N3595,WeightedMinAge10),MAX(CapacityAge10*'01_Вводные'!$B$218*'19_Расчет_аналитики'!N3595,MeanMinAge10))),0)</f>
        <v/>
      </c>
      <c r="O3509">
        <f>IF('01_Вводные'!$B$234="Да",IF(OR('19_Расчет_аналитики'!O3481=0,10&lt;='01_Вводные'!$B$297),0,'19_Расчет_аналитики'!O3481*IF('01_Вводные'!$B$239="Да",MeanMinAge10+'19_Расчет_аналитики'!O3595*SUMIF(ThresholdAge10,"&lt;"&amp;'19_Расчет_аналитики'!O3595,WeightedRevAge10)-SUMIF(ThresholdAge10,"&lt;"&amp;'19_Расчет_аналитики'!O3595,WeightedMinAge10),MAX(CapacityAge10*'01_Вводные'!$B$218*'19_Расчет_аналитики'!O3595,MeanMinAge10))),0)</f>
        <v/>
      </c>
      <c r="P3509">
        <f>IF('01_Вводные'!$B$234="Да",IF(OR('19_Расчет_аналитики'!P3481=0,10&lt;='01_Вводные'!$B$297),0,'19_Расчет_аналитики'!P3481*IF('01_Вводные'!$B$239="Да",MeanMinAge10+'19_Расчет_аналитики'!P3595*SUMIF(ThresholdAge10,"&lt;"&amp;'19_Расчет_аналитики'!P3595,WeightedRevAge10)-SUMIF(ThresholdAge10,"&lt;"&amp;'19_Расчет_аналитики'!P3595,WeightedMinAge10),MAX(CapacityAge10*'01_Вводные'!$B$218*'19_Расчет_аналитики'!P3595,MeanMinAge10))),0)</f>
        <v/>
      </c>
      <c r="Q3509">
        <f>IF('01_Вводные'!$B$234="Да",IF(OR('19_Расчет_аналитики'!Q3481=0,10&lt;='01_Вводные'!$B$297),0,'19_Расчет_аналитики'!Q3481*IF('01_Вводные'!$B$239="Да",MeanMinAge10+'19_Расчет_аналитики'!Q3595*SUMIF(ThresholdAge10,"&lt;"&amp;'19_Расчет_аналитики'!Q3595,WeightedRevAge10)-SUMIF(ThresholdAge10,"&lt;"&amp;'19_Расчет_аналитики'!Q3595,WeightedMinAge10),MAX(CapacityAge10*'01_Вводные'!$B$218*'19_Расчет_аналитики'!Q3595,MeanMinAge10))),0)</f>
        <v/>
      </c>
      <c r="R3509">
        <f>IF('01_Вводные'!$B$234="Да",IF(OR('19_Расчет_аналитики'!R3481=0,10&lt;='01_Вводные'!$B$297),0,'19_Расчет_аналитики'!R3481*IF('01_Вводные'!$B$239="Да",MeanMinAge10+'19_Расчет_аналитики'!R3595*SUMIF(ThresholdAge10,"&lt;"&amp;'19_Расчет_аналитики'!R3595,WeightedRevAge10)-SUMIF(ThresholdAge10,"&lt;"&amp;'19_Расчет_аналитики'!R3595,WeightedMinAge10),MAX(CapacityAge10*'01_Вводные'!$B$218*'19_Расчет_аналитики'!R3595,MeanMinAge10))),0)</f>
        <v/>
      </c>
      <c r="S3509">
        <f>IF('01_Вводные'!$B$234="Да",IF(OR('19_Расчет_аналитики'!S3481=0,10&lt;='01_Вводные'!$B$297),0,'19_Расчет_аналитики'!S3481*IF('01_Вводные'!$B$239="Да",MeanMinAge10+'19_Расчет_аналитики'!S3595*SUMIF(ThresholdAge10,"&lt;"&amp;'19_Расчет_аналитики'!S3595,WeightedRevAge10)-SUMIF(ThresholdAge10,"&lt;"&amp;'19_Расчет_аналитики'!S3595,WeightedMinAge10),MAX(CapacityAge10*'01_Вводные'!$B$218*'19_Расчет_аналитики'!S3595,MeanMinAge10))),0)</f>
        <v/>
      </c>
      <c r="T3509">
        <f>IF('01_Вводные'!$B$234="Да",IF(OR('19_Расчет_аналитики'!T3481=0,10&lt;='01_Вводные'!$B$297),0,'19_Расчет_аналитики'!T3481*IF('01_Вводные'!$B$239="Да",MeanMinAge10+'19_Расчет_аналитики'!T3595*SUMIF(ThresholdAge10,"&lt;"&amp;'19_Расчет_аналитики'!T3595,WeightedRevAge10)-SUMIF(ThresholdAge10,"&lt;"&amp;'19_Расчет_аналитики'!T3595,WeightedMinAge10),MAX(CapacityAge10*'01_Вводные'!$B$218*'19_Расчет_аналитики'!T3595,MeanMinAge10))),0)</f>
        <v/>
      </c>
      <c r="U3509">
        <f>IF('01_Вводные'!$B$234="Да",IF(OR('19_Расчет_аналитики'!U3481=0,10&lt;='01_Вводные'!$B$297),0,'19_Расчет_аналитики'!U3481*IF('01_Вводные'!$B$239="Да",MeanMinAge10+'19_Расчет_аналитики'!U3595*SUMIF(ThresholdAge10,"&lt;"&amp;'19_Расчет_аналитики'!U3595,WeightedRevAge10)-SUMIF(ThresholdAge10,"&lt;"&amp;'19_Расчет_аналитики'!U3595,WeightedMinAge10),MAX(CapacityAge10*'01_Вводные'!$B$218*'19_Расчет_аналитики'!U3595,MeanMinAge10))),0)</f>
        <v/>
      </c>
      <c r="V3509">
        <f>IF('01_Вводные'!$B$234="Да",IF(OR('19_Расчет_аналитики'!V3481=0,10&lt;='01_Вводные'!$B$297),0,'19_Расчет_аналитики'!V3481*IF('01_Вводные'!$B$239="Да",MeanMinAge10+'19_Расчет_аналитики'!V3595*SUMIF(ThresholdAge10,"&lt;"&amp;'19_Расчет_аналитики'!V3595,WeightedRevAge10)-SUMIF(ThresholdAge10,"&lt;"&amp;'19_Расчет_аналитики'!V3595,WeightedMinAge10),MAX(CapacityAge10*'01_Вводные'!$B$218*'19_Расчет_аналитики'!V3595,MeanMinAge10))),0)</f>
        <v/>
      </c>
      <c r="W3509">
        <f>IF('01_Вводные'!$B$234="Да",IF(OR('19_Расчет_аналитики'!W3481=0,10&lt;='01_Вводные'!$B$297),0,'19_Расчет_аналитики'!W3481*IF('01_Вводные'!$B$239="Да",MeanMinAge10+'19_Расчет_аналитики'!W3595*SUMIF(ThresholdAge10,"&lt;"&amp;'19_Расчет_аналитики'!W3595,WeightedRevAge10)-SUMIF(ThresholdAge10,"&lt;"&amp;'19_Расчет_аналитики'!W3595,WeightedMinAge10),MAX(CapacityAge10*'01_Вводные'!$B$218*'19_Расчет_аналитики'!W3595,MeanMinAge10))),0)</f>
        <v/>
      </c>
      <c r="X3509">
        <f>IF('01_Вводные'!$B$234="Да",IF(OR('19_Расчет_аналитики'!X3481=0,10&lt;='01_Вводные'!$B$297),0,'19_Расчет_аналитики'!X3481*IF('01_Вводные'!$B$239="Да",MeanMinAge10+'19_Расчет_аналитики'!X3595*SUMIF(ThresholdAge10,"&lt;"&amp;'19_Расчет_аналитики'!X3595,WeightedRevAge10)-SUMIF(ThresholdAge10,"&lt;"&amp;'19_Расчет_аналитики'!X3595,WeightedMinAge10),MAX(CapacityAge10*'01_Вводные'!$B$218*'19_Расчет_аналитики'!X3595,MeanMinAge10))),0)</f>
        <v/>
      </c>
      <c r="Y3509">
        <f>IF('01_Вводные'!$B$234="Да",IF(OR('19_Расчет_аналитики'!Y3481=0,10&lt;='01_Вводные'!$B$297),0,'19_Расчет_аналитики'!Y3481*IF('01_Вводные'!$B$239="Да",MeanMinAge10+'19_Расчет_аналитики'!Y3595*SUMIF(ThresholdAge10,"&lt;"&amp;'19_Расчет_аналитики'!Y3595,WeightedRevAge10)-SUMIF(ThresholdAge10,"&lt;"&amp;'19_Расчет_аналитики'!Y3595,WeightedMinAge10),MAX(CapacityAge10*'01_Вводные'!$B$218*'19_Расчет_аналитики'!Y3595,MeanMinAge10))),0)</f>
        <v/>
      </c>
      <c r="Z3509">
        <f>IF('01_Вводные'!$B$234="Да",IF(OR('19_Расчет_аналитики'!Z3481=0,10&lt;='01_Вводные'!$B$297),0,'19_Расчет_аналитики'!Z3481*IF('01_Вводные'!$B$239="Да",MeanMinAge10+'19_Расчет_аналитики'!Z3595*SUMIF(ThresholdAge10,"&lt;"&amp;'19_Расчет_аналитики'!Z3595,WeightedRevAge10)-SUMIF(ThresholdAge10,"&lt;"&amp;'19_Расчет_аналитики'!Z3595,WeightedMinAge10),MAX(CapacityAge10*'01_Вводные'!$B$218*'19_Расчет_аналитики'!Z3595,MeanMinAge10))),0)</f>
        <v/>
      </c>
      <c r="AA3509">
        <f>IF('01_Вводные'!$B$234="Да",IF(OR('19_Расчет_аналитики'!AA3481=0,10&lt;='01_Вводные'!$B$297),0,'19_Расчет_аналитики'!AA3481*IF('01_Вводные'!$B$239="Да",MeanMinAge10+'19_Расчет_аналитики'!AA3595*SUMIF(ThresholdAge10,"&lt;"&amp;'19_Расчет_аналитики'!AA3595,WeightedRevAge10)-SUMIF(ThresholdAge10,"&lt;"&amp;'19_Расчет_аналитики'!AA3595,WeightedMinAge10),MAX(CapacityAge10*'01_Вводные'!$B$218*'19_Расчет_аналитики'!AA3595,MeanMinAge10))),0)</f>
        <v/>
      </c>
      <c r="AB3509">
        <f>IF('01_Вводные'!$B$234="Да",IF(OR('19_Расчет_аналитики'!AB3481=0,10&lt;='01_Вводные'!$B$297),0,'19_Расчет_аналитики'!AB3481*IF('01_Вводные'!$B$239="Да",MeanMinAge10+'19_Расчет_аналитики'!AB3595*SUMIF(ThresholdAge10,"&lt;"&amp;'19_Расчет_аналитики'!AB3595,WeightedRevAge10)-SUMIF(ThresholdAge10,"&lt;"&amp;'19_Расчет_аналитики'!AB3595,WeightedMinAge10),MAX(CapacityAge10*'01_Вводные'!$B$218*'19_Расчет_аналитики'!AB3595,MeanMinAge10))),0)</f>
        <v/>
      </c>
      <c r="AC3509">
        <f>IF('01_Вводные'!$B$234="Да",IF(OR('19_Расчет_аналитики'!AC3481=0,10&lt;='01_Вводные'!$B$297),0,'19_Расчет_аналитики'!AC3481*IF('01_Вводные'!$B$239="Да",MeanMinAge10+'19_Расчет_аналитики'!AC3595*SUMIF(ThresholdAge10,"&lt;"&amp;'19_Расчет_аналитики'!AC3595,WeightedRevAge10)-SUMIF(ThresholdAge10,"&lt;"&amp;'19_Расчет_аналитики'!AC3595,WeightedMinAge10),MAX(CapacityAge10*'01_Вводные'!$B$218*'19_Расчет_аналитики'!AC3595,MeanMinAge10))),0)</f>
        <v/>
      </c>
      <c r="AD3509">
        <f>IF('01_Вводные'!$B$234="Да",IF(OR('19_Расчет_аналитики'!AD3481=0,10&lt;='01_Вводные'!$B$297),0,'19_Расчет_аналитики'!AD3481*IF('01_Вводные'!$B$239="Да",MeanMinAge10+'19_Расчет_аналитики'!AD3595*SUMIF(ThresholdAge10,"&lt;"&amp;'19_Расчет_аналитики'!AD3595,WeightedRevAge10)-SUMIF(ThresholdAge10,"&lt;"&amp;'19_Расчет_аналитики'!AD3595,WeightedMinAge10),MAX(CapacityAge10*'01_Вводные'!$B$218*'19_Расчет_аналитики'!AD3595,MeanMinAge10))),0)</f>
        <v/>
      </c>
      <c r="AE3509">
        <f>IF('01_Вводные'!$B$234="Да",IF(OR('19_Расчет_аналитики'!AE3481=0,10&lt;='01_Вводные'!$B$297),0,'19_Расчет_аналитики'!AE3481*IF('01_Вводные'!$B$239="Да",MeanMinAge10+'19_Расчет_аналитики'!AE3595*SUMIF(ThresholdAge10,"&lt;"&amp;'19_Расчет_аналитики'!AE3595,WeightedRevAge10)-SUMIF(ThresholdAge10,"&lt;"&amp;'19_Расчет_аналитики'!AE3595,WeightedMinAge10),MAX(CapacityAge10*'01_Вводные'!$B$218*'19_Расчет_аналитики'!AE3595,MeanMinAge10))),0)</f>
        <v/>
      </c>
      <c r="AF3509">
        <f>IF('01_Вводные'!$B$234="Да",IF(OR('19_Расчет_аналитики'!AF3481=0,10&lt;='01_Вводные'!$B$297),0,'19_Расчет_аналитики'!AF3481*IF('01_Вводные'!$B$239="Да",MeanMinAge10+'19_Расчет_аналитики'!AF3595*SUMIF(ThresholdAge10,"&lt;"&amp;'19_Расчет_аналитики'!AF3595,WeightedRevAge10)-SUMIF(ThresholdAge10,"&lt;"&amp;'19_Расчет_аналитики'!AF3595,WeightedMinAge10),MAX(CapacityAge10*'01_Вводные'!$B$218*'19_Расчет_аналитики'!AF3595,MeanMinAge10))),0)</f>
        <v/>
      </c>
      <c r="AG3509">
        <f>IF('01_Вводные'!$B$234="Да",IF(OR('19_Расчет_аналитики'!AG3481=0,10&lt;='01_Вводные'!$B$297),0,'19_Расчет_аналитики'!AG3481*IF('01_Вводные'!$B$239="Да",MeanMinAge10+'19_Расчет_аналитики'!AG3595*SUMIF(ThresholdAge10,"&lt;"&amp;'19_Расчет_аналитики'!AG3595,WeightedRevAge10)-SUMIF(ThresholdAge10,"&lt;"&amp;'19_Расчет_аналитики'!AG3595,WeightedMinAge10),MAX(CapacityAge10*'01_Вводные'!$B$218*'19_Расчет_аналитики'!AG3595,MeanMinAge10))),0)</f>
        <v/>
      </c>
      <c r="AH3509">
        <f>IF('01_Вводные'!$B$234="Да",IF(OR('19_Расчет_аналитики'!AH3481=0,10&lt;='01_Вводные'!$B$297),0,'19_Расчет_аналитики'!AH3481*IF('01_Вводные'!$B$239="Да",MeanMinAge10+'19_Расчет_аналитики'!AH3595*SUMIF(ThresholdAge10,"&lt;"&amp;'19_Расчет_аналитики'!AH3595,WeightedRevAge10)-SUMIF(ThresholdAge10,"&lt;"&amp;'19_Расчет_аналитики'!AH3595,WeightedMinAge10),MAX(CapacityAge10*'01_Вводные'!$B$218*'19_Расчет_аналитики'!AH3595,MeanMinAge10))),0)</f>
        <v/>
      </c>
      <c r="AI3509">
        <f>IF('01_Вводные'!$B$234="Да",IF(OR('19_Расчет_аналитики'!AI3481=0,10&lt;='01_Вводные'!$B$297),0,'19_Расчет_аналитики'!AI3481*IF('01_Вводные'!$B$239="Да",MeanMinAge10+'19_Расчет_аналитики'!AI3595*SUMIF(ThresholdAge10,"&lt;"&amp;'19_Расчет_аналитики'!AI3595,WeightedRevAge10)-SUMIF(ThresholdAge10,"&lt;"&amp;'19_Расчет_аналитики'!AI3595,WeightedMinAge10),MAX(CapacityAge10*'01_Вводные'!$B$218*'19_Расчет_аналитики'!AI3595,MeanMinAge10))),0)</f>
        <v/>
      </c>
      <c r="AJ3509">
        <f>IF('01_Вводные'!$B$234="Да",IF(OR('19_Расчет_аналитики'!AJ3481=0,10&lt;='01_Вводные'!$B$297),0,'19_Расчет_аналитики'!AJ3481*IF('01_Вводные'!$B$239="Да",MeanMinAge10+'19_Расчет_аналитики'!AJ3595*SUMIF(ThresholdAge10,"&lt;"&amp;'19_Расчет_аналитики'!AJ3595,WeightedRevAge10)-SUMIF(ThresholdAge10,"&lt;"&amp;'19_Расчет_аналитики'!AJ3595,WeightedMinAge10),MAX(CapacityAge10*'01_Вводные'!$B$218*'19_Расчет_аналитики'!AJ3595,MeanMinAge10))),0)</f>
        <v/>
      </c>
      <c r="AK3509">
        <f>IF('01_Вводные'!$B$234="Да",IF(OR('19_Расчет_аналитики'!AK3481=0,10&lt;='01_Вводные'!$B$297),0,'19_Расчет_аналитики'!AK3481*IF('01_Вводные'!$B$239="Да",MeanMinAge10+'19_Расчет_аналитики'!AK3595*SUMIF(ThresholdAge10,"&lt;"&amp;'19_Расчет_аналитики'!AK3595,WeightedRevAge10)-SUMIF(ThresholdAge10,"&lt;"&amp;'19_Расчет_аналитики'!AK3595,WeightedMinAge10),MAX(CapacityAge10*'01_Вводные'!$B$218*'19_Расчет_аналитики'!AK3595,MeanMinAge10))),0)</f>
        <v/>
      </c>
      <c r="AL3509">
        <f>IF('01_Вводные'!$B$234="Да",IF(OR('19_Расчет_аналитики'!AL3481=0,10&lt;='01_Вводные'!$B$297),0,'19_Расчет_аналитики'!AL3481*IF('01_Вводные'!$B$239="Да",MeanMinAge10+'19_Расчет_аналитики'!AL3595*SUMIF(ThresholdAge10,"&lt;"&amp;'19_Расчет_аналитики'!AL3595,WeightedRevAge10)-SUMIF(ThresholdAge10,"&lt;"&amp;'19_Расчет_аналитики'!AL3595,WeightedMinAge10),MAX(CapacityAge10*'01_Вводные'!$B$218*'19_Расчет_аналитики'!AL3595,MeanMinAge10))),0)</f>
        <v/>
      </c>
      <c r="AM3509">
        <f>IF('01_Вводные'!$B$234="Да",IF(OR('19_Расчет_аналитики'!AM3481=0,10&lt;='01_Вводные'!$B$297),0,'19_Расчет_аналитики'!AM3481*IF('01_Вводные'!$B$239="Да",MeanMinAge10+'19_Расчет_аналитики'!AM3595*SUMIF(ThresholdAge10,"&lt;"&amp;'19_Расчет_аналитики'!AM3595,WeightedRevAge10)-SUMIF(ThresholdAge10,"&lt;"&amp;'19_Расчет_аналитики'!AM3595,WeightedMinAge10),MAX(CapacityAge10*'01_Вводные'!$B$218*'19_Расчет_аналитики'!AM3595,MeanMinAge10))),0)</f>
        <v/>
      </c>
      <c r="AN3509">
        <f>IF('01_Вводные'!$B$234="Да",IF(OR('19_Расчет_аналитики'!AN3481=0,10&lt;='01_Вводные'!$B$297),0,'19_Расчет_аналитики'!AN3481*IF('01_Вводные'!$B$239="Да",MeanMinAge10+'19_Расчет_аналитики'!AN3595*SUMIF(ThresholdAge10,"&lt;"&amp;'19_Расчет_аналитики'!AN3595,WeightedRevAge10)-SUMIF(ThresholdAge10,"&lt;"&amp;'19_Расчет_аналитики'!AN3595,WeightedMinAge10),MAX(CapacityAge10*'01_Вводные'!$B$218*'19_Расчет_аналитики'!AN3595,MeanMinAge10))),0)</f>
        <v/>
      </c>
      <c r="AO3509">
        <f>IF('01_Вводные'!$B$234="Да",IF(OR('19_Расчет_аналитики'!AO3481=0,10&lt;='01_Вводные'!$B$297),0,'19_Расчет_аналитики'!AO3481*IF('01_Вводные'!$B$239="Да",MeanMinAge10+'19_Расчет_аналитики'!AO3595*SUMIF(ThresholdAge10,"&lt;"&amp;'19_Расчет_аналитики'!AO3595,WeightedRevAge10)-SUMIF(ThresholdAge10,"&lt;"&amp;'19_Расчет_аналитики'!AO3595,WeightedMinAge10),MAX(CapacityAge10*'01_Вводные'!$B$218*'19_Расчет_аналитики'!AO3595,MeanMinAge10))),0)</f>
        <v/>
      </c>
      <c r="AP3509">
        <f>IF('01_Вводные'!$B$234="Да",IF(OR('19_Расчет_аналитики'!AP3481=0,10&lt;='01_Вводные'!$B$297),0,'19_Расчет_аналитики'!AP3481*IF('01_Вводные'!$B$239="Да",MeanMinAge10+'19_Расчет_аналитики'!AP3595*SUMIF(ThresholdAge10,"&lt;"&amp;'19_Расчет_аналитики'!AP3595,WeightedRevAge10)-SUMIF(ThresholdAge10,"&lt;"&amp;'19_Расчет_аналитики'!AP3595,WeightedMinAge10),MAX(CapacityAge10*'01_Вводные'!$B$218*'19_Расчет_аналитики'!AP3595,MeanMinAge10))),0)</f>
        <v/>
      </c>
      <c r="AQ3509">
        <f>IF('01_Вводные'!$B$234="Да",IF(OR('19_Расчет_аналитики'!AQ3481=0,10&lt;='01_Вводные'!$B$297),0,'19_Расчет_аналитики'!AQ3481*IF('01_Вводные'!$B$239="Да",MeanMinAge10+'19_Расчет_аналитики'!AQ3595*SUMIF(ThresholdAge10,"&lt;"&amp;'19_Расчет_аналитики'!AQ3595,WeightedRevAge10)-SUMIF(ThresholdAge10,"&lt;"&amp;'19_Расчет_аналитики'!AQ3595,WeightedMinAge10),MAX(CapacityAge10*'01_Вводные'!$B$218*'19_Расчет_аналитики'!AQ3595,MeanMinAge10))),0)</f>
        <v/>
      </c>
      <c r="AR3509">
        <f>IF('01_Вводные'!$B$234="Да",IF(OR('19_Расчет_аналитики'!AR3481=0,10&lt;='01_Вводные'!$B$297),0,'19_Расчет_аналитики'!AR3481*IF('01_Вводные'!$B$239="Да",MeanMinAge10+'19_Расчет_аналитики'!AR3595*SUMIF(ThresholdAge10,"&lt;"&amp;'19_Расчет_аналитики'!AR3595,WeightedRevAge10)-SUMIF(ThresholdAge10,"&lt;"&amp;'19_Расчет_аналитики'!AR3595,WeightedMinAge10),MAX(CapacityAge10*'01_Вводные'!$B$218*'19_Расчет_аналитики'!AR3595,MeanMinAge10))),0)</f>
        <v/>
      </c>
      <c r="AS3509">
        <f>IF('01_Вводные'!$B$234="Да",IF(OR('19_Расчет_аналитики'!AS3481=0,10&lt;='01_Вводные'!$B$297),0,'19_Расчет_аналитики'!AS3481*IF('01_Вводные'!$B$239="Да",MeanMinAge10+'19_Расчет_аналитики'!AS3595*SUMIF(ThresholdAge10,"&lt;"&amp;'19_Расчет_аналитики'!AS3595,WeightedRevAge10)-SUMIF(ThresholdAge10,"&lt;"&amp;'19_Расчет_аналитики'!AS3595,WeightedMinAge10),MAX(CapacityAge10*'01_Вводные'!$B$218*'19_Расчет_аналитики'!AS3595,MeanMinAge10))),0)</f>
        <v/>
      </c>
      <c r="AT3509">
        <f>IF('01_Вводные'!$B$234="Да",IF(OR('19_Расчет_аналитики'!AT3481=0,10&lt;='01_Вводные'!$B$297),0,'19_Расчет_аналитики'!AT3481*IF('01_Вводные'!$B$239="Да",MeanMinAge10+'19_Расчет_аналитики'!AT3595*SUMIF(ThresholdAge10,"&lt;"&amp;'19_Расчет_аналитики'!AT3595,WeightedRevAge10)-SUMIF(ThresholdAge10,"&lt;"&amp;'19_Расчет_аналитики'!AT3595,WeightedMinAge10),MAX(CapacityAge10*'01_Вводные'!$B$218*'19_Расчет_аналитики'!AT3595,MeanMinAge10))),0)</f>
        <v/>
      </c>
      <c r="AU3509">
        <f>IF('01_Вводные'!$B$234="Да",IF(OR('19_Расчет_аналитики'!AU3481=0,10&lt;='01_Вводные'!$B$297),0,'19_Расчет_аналитики'!AU3481*IF('01_Вводные'!$B$239="Да",MeanMinAge10+'19_Расчет_аналитики'!AU3595*SUMIF(ThresholdAge10,"&lt;"&amp;'19_Расчет_аналитики'!AU3595,WeightedRevAge10)-SUMIF(ThresholdAge10,"&lt;"&amp;'19_Расчет_аналитики'!AU3595,WeightedMinAge10),MAX(CapacityAge10*'01_Вводные'!$B$218*'19_Расчет_аналитики'!AU3595,MeanMinAge10))),0)</f>
        <v/>
      </c>
      <c r="AV3509">
        <f>IF('01_Вводные'!$B$234="Да",IF(OR('19_Расчет_аналитики'!AV3481=0,10&lt;='01_Вводные'!$B$297),0,'19_Расчет_аналитики'!AV3481*IF('01_Вводные'!$B$239="Да",MeanMinAge10+'19_Расчет_аналитики'!AV3595*SUMIF(ThresholdAge10,"&lt;"&amp;'19_Расчет_аналитики'!AV3595,WeightedRevAge10)-SUMIF(ThresholdAge10,"&lt;"&amp;'19_Расчет_аналитики'!AV3595,WeightedMinAge10),MAX(CapacityAge10*'01_Вводные'!$B$218*'19_Расчет_аналитики'!AV3595,MeanMinAge10))),0)</f>
        <v/>
      </c>
      <c r="AW3509">
        <f>IF('01_Вводные'!$B$234="Да",IF(OR('19_Расчет_аналитики'!AW3481=0,10&lt;='01_Вводные'!$B$297),0,'19_Расчет_аналитики'!AW3481*IF('01_Вводные'!$B$239="Да",MeanMinAge10+'19_Расчет_аналитики'!AW3595*SUMIF(ThresholdAge10,"&lt;"&amp;'19_Расчет_аналитики'!AW3595,WeightedRevAge10)-SUMIF(ThresholdAge10,"&lt;"&amp;'19_Расчет_аналитики'!AW3595,WeightedMinAge10),MAX(CapacityAge10*'01_Вводные'!$B$218*'19_Расчет_аналитики'!AW3595,MeanMinAge10))),0)</f>
        <v/>
      </c>
      <c r="AX3509">
        <f>IF('01_Вводные'!$B$234="Да",IF(OR('19_Расчет_аналитики'!AX3481=0,10&lt;='01_Вводные'!$B$297),0,'19_Расчет_аналитики'!AX3481*IF('01_Вводные'!$B$239="Да",MeanMinAge10+'19_Расчет_аналитики'!AX3595*SUMIF(ThresholdAge10,"&lt;"&amp;'19_Расчет_аналитики'!AX3595,WeightedRevAge10)-SUMIF(ThresholdAge10,"&lt;"&amp;'19_Расчет_аналитики'!AX3595,WeightedMinAge10),MAX(CapacityAge10*'01_Вводные'!$B$218*'19_Расчет_аналитики'!AX3595,MeanMinAge10))),0)</f>
        <v/>
      </c>
      <c r="AY3509">
        <f>IF('01_Вводные'!$B$234="Да",IF(OR('19_Расчет_аналитики'!AY3481=0,10&lt;='01_Вводные'!$B$297),0,'19_Расчет_аналитики'!AY3481*IF('01_Вводные'!$B$239="Да",MeanMinAge10+'19_Расчет_аналитики'!AY3595*SUMIF(ThresholdAge10,"&lt;"&amp;'19_Расчет_аналитики'!AY3595,WeightedRevAge10)-SUMIF(ThresholdAge10,"&lt;"&amp;'19_Расчет_аналитики'!AY3595,WeightedMinAge10),MAX(CapacityAge10*'01_Вводные'!$B$218*'19_Расчет_аналитики'!AY3595,MeanMinAge10))),0)</f>
        <v/>
      </c>
      <c r="AZ3509">
        <f>IF('01_Вводные'!$B$234="Да",IF(OR('19_Расчет_аналитики'!AZ3481=0,10&lt;='01_Вводные'!$B$297),0,'19_Расчет_аналитики'!AZ3481*IF('01_Вводные'!$B$239="Да",MeanMinAge10+'19_Расчет_аналитики'!AZ3595*SUMIF(ThresholdAge10,"&lt;"&amp;'19_Расчет_аналитики'!AZ3595,WeightedRevAge10)-SUMIF(ThresholdAge10,"&lt;"&amp;'19_Расчет_аналитики'!AZ3595,WeightedMinAge10),MAX(CapacityAge10*'01_Вводные'!$B$218*'19_Расчет_аналитики'!AZ3595,MeanMinAge10))),0)</f>
        <v/>
      </c>
      <c r="BA3509">
        <f>IF('01_Вводные'!$B$234="Да",IF(OR('19_Расчет_аналитики'!BA3481=0,10&lt;='01_Вводные'!$B$297),0,'19_Расчет_аналитики'!BA3481*IF('01_Вводные'!$B$239="Да",MeanMinAge10+'19_Расчет_аналитики'!BA3595*SUMIF(ThresholdAge10,"&lt;"&amp;'19_Расчет_аналитики'!BA3595,WeightedRevAge10)-SUMIF(ThresholdAge10,"&lt;"&amp;'19_Расчет_аналитики'!BA3595,WeightedMinAge10),MAX(CapacityAge10*'01_Вводные'!$B$218*'19_Расчет_аналитики'!BA3595,MeanMinAge10))),0)</f>
        <v/>
      </c>
      <c r="BB3509">
        <f>IF('01_Вводные'!$B$234="Да",IF(OR('19_Расчет_аналитики'!BB3481=0,10&lt;='01_Вводные'!$B$297),0,'19_Расчет_аналитики'!BB3481*IF('01_Вводные'!$B$239="Да",MeanMinAge10+'19_Расчет_аналитики'!BB3595*SUMIF(ThresholdAge10,"&lt;"&amp;'19_Расчет_аналитики'!BB3595,WeightedRevAge10)-SUMIF(ThresholdAge10,"&lt;"&amp;'19_Расчет_аналитики'!BB3595,WeightedMinAge10),MAX(CapacityAge10*'01_Вводные'!$B$218*'19_Расчет_аналитики'!BB3595,MeanMinAge10))),0)</f>
        <v/>
      </c>
      <c r="BC3509">
        <f>IF('01_Вводные'!$B$234="Да",IF(OR('19_Расчет_аналитики'!BC3481=0,10&lt;='01_Вводные'!$B$297),0,'19_Расчет_аналитики'!BC3481*IF('01_Вводные'!$B$239="Да",MeanMinAge10+'19_Расчет_аналитики'!BC3595*SUMIF(ThresholdAge10,"&lt;"&amp;'19_Расчет_аналитики'!BC3595,WeightedRevAge10)-SUMIF(ThresholdAge10,"&lt;"&amp;'19_Расчет_аналитики'!BC3595,WeightedMinAge10),MAX(CapacityAge10*'01_Вводные'!$B$218*'19_Расчет_аналитики'!BC3595,MeanMinAge10))),0)</f>
        <v/>
      </c>
      <c r="BD3509">
        <f>IF('01_Вводные'!$B$234="Да",IF(OR('19_Расчет_аналитики'!BD3481=0,10&lt;='01_Вводные'!$B$297),0,'19_Расчет_аналитики'!BD3481*IF('01_Вводные'!$B$239="Да",MeanMinAge10+'19_Расчет_аналитики'!BD3595*SUMIF(ThresholdAge10,"&lt;"&amp;'19_Расчет_аналитики'!BD3595,WeightedRevAge10)-SUMIF(ThresholdAge10,"&lt;"&amp;'19_Расчет_аналитики'!BD3595,WeightedMinAge10),MAX(CapacityAge10*'01_Вводные'!$B$218*'19_Расчет_аналитики'!BD3595,MeanMinAge10))),0)</f>
        <v/>
      </c>
      <c r="BE3509">
        <f>IF('01_Вводные'!$B$234="Да",IF(OR('19_Расчет_аналитики'!BE3481=0,10&lt;='01_Вводные'!$B$297),0,'19_Расчет_аналитики'!BE3481*IF('01_Вводные'!$B$239="Да",MeanMinAge10+'19_Расчет_аналитики'!BE3595*SUMIF(ThresholdAge10,"&lt;"&amp;'19_Расчет_аналитики'!BE3595,WeightedRevAge10)-SUMIF(ThresholdAge10,"&lt;"&amp;'19_Расчет_аналитики'!BE3595,WeightedMinAge10),MAX(CapacityAge10*'01_Вводные'!$B$218*'19_Расчет_аналитики'!BE3595,MeanMinAge10))),0)</f>
        <v/>
      </c>
      <c r="BF3509">
        <f>IF('01_Вводные'!$B$234="Да",IF(OR('19_Расчет_аналитики'!BF3481=0,10&lt;='01_Вводные'!$B$297),0,'19_Расчет_аналитики'!BF3481*IF('01_Вводные'!$B$239="Да",MeanMinAge10+'19_Расчет_аналитики'!BF3595*SUMIF(ThresholdAge10,"&lt;"&amp;'19_Расчет_аналитики'!BF3595,WeightedRevAge10)-SUMIF(ThresholdAge10,"&lt;"&amp;'19_Расчет_аналитики'!BF3595,WeightedMinAge10),MAX(CapacityAge10*'01_Вводные'!$B$218*'19_Расчет_аналитики'!BF3595,MeanMinAge10))),0)</f>
        <v/>
      </c>
      <c r="BG3509">
        <f>IF('01_Вводные'!$B$234="Да",IF(OR('19_Расчет_аналитики'!BG3481=0,10&lt;='01_Вводные'!$B$297),0,'19_Расчет_аналитики'!BG3481*IF('01_Вводные'!$B$239="Да",MeanMinAge10+'19_Расчет_аналитики'!BG3595*SUMIF(ThresholdAge10,"&lt;"&amp;'19_Расчет_аналитики'!BG3595,WeightedRevAge10)-SUMIF(ThresholdAge10,"&lt;"&amp;'19_Расчет_аналитики'!BG3595,WeightedMinAge10),MAX(CapacityAge10*'01_Вводные'!$B$218*'19_Расчет_аналитики'!BG3595,MeanMinAge10))),0)</f>
        <v/>
      </c>
      <c r="BH3509">
        <f>IF('01_Вводные'!$B$234="Да",IF(OR('19_Расчет_аналитики'!BH3481=0,10&lt;='01_Вводные'!$B$297),0,'19_Расчет_аналитики'!BH3481*IF('01_Вводные'!$B$239="Да",MeanMinAge10+'19_Расчет_аналитики'!BH3595*SUMIF(ThresholdAge10,"&lt;"&amp;'19_Расчет_аналитики'!BH3595,WeightedRevAge10)-SUMIF(ThresholdAge10,"&lt;"&amp;'19_Расчет_аналитики'!BH3595,WeightedMinAge10),MAX(CapacityAge10*'01_Вводные'!$B$218*'19_Расчет_аналитики'!BH3595,MeanMinAge10))),0)</f>
        <v/>
      </c>
      <c r="BI3509">
        <f>IF('01_Вводные'!$B$234="Да",IF(OR('19_Расчет_аналитики'!BI3481=0,10&lt;='01_Вводные'!$B$297),0,'19_Расчет_аналитики'!BI3481*IF('01_Вводные'!$B$239="Да",MeanMinAge10+'19_Расчет_аналитики'!BI3595*SUMIF(ThresholdAge10,"&lt;"&amp;'19_Расчет_аналитики'!BI3595,WeightedRevAge10)-SUMIF(ThresholdAge10,"&lt;"&amp;'19_Расчет_аналитики'!BI3595,WeightedMinAge10),MAX(CapacityAge10*'01_Вводные'!$B$218*'19_Расчет_аналитики'!BI3595,MeanMinAge10))),0)</f>
        <v/>
      </c>
      <c r="BJ3509">
        <f>IF('01_Вводные'!$B$234="Да",IF(OR('19_Расчет_аналитики'!BJ3481=0,10&lt;='01_Вводные'!$B$297),0,'19_Расчет_аналитики'!BJ3481*IF('01_Вводные'!$B$239="Да",MeanMinAge10+'19_Расчет_аналитики'!BJ3595*SUMIF(ThresholdAge10,"&lt;"&amp;'19_Расчет_аналитики'!BJ3595,WeightedRevAge10)-SUMIF(ThresholdAge10,"&lt;"&amp;'19_Расчет_аналитики'!BJ3595,WeightedMinAge10),MAX(CapacityAge10*'01_Вводные'!$B$218*'19_Расчет_аналитики'!BJ3595,MeanMinAge10))),0)</f>
        <v/>
      </c>
      <c r="BK3509">
        <f>IF('01_Вводные'!$B$234="Да",IF(OR('19_Расчет_аналитики'!BK3481=0,10&lt;='01_Вводные'!$B$297),0,'19_Расчет_аналитики'!BK3481*IF('01_Вводные'!$B$239="Да",MeanMinAge10+'19_Расчет_аналитики'!BK3595*SUMIF(ThresholdAge10,"&lt;"&amp;'19_Расчет_аналитики'!BK3595,WeightedRevAge10)-SUMIF(ThresholdAge10,"&lt;"&amp;'19_Расчет_аналитики'!BK3595,WeightedMinAge10),MAX(CapacityAge10*'01_Вводные'!$B$218*'19_Расчет_аналитики'!BK3595,MeanMinAge10))),0)</f>
        <v/>
      </c>
      <c r="BL3509">
        <f>IF('01_Вводные'!$B$234="Да",IF(OR('19_Расчет_аналитики'!BL3481=0,10&lt;='01_Вводные'!$B$297),0,'19_Расчет_аналитики'!BL3481*IF('01_Вводные'!$B$239="Да",MeanMinAge10+'19_Расчет_аналитики'!BL3595*SUMIF(ThresholdAge10,"&lt;"&amp;'19_Расчет_аналитики'!BL3595,WeightedRevAge10)-SUMIF(ThresholdAge10,"&lt;"&amp;'19_Расчет_аналитики'!BL3595,WeightedMinAge10),MAX(CapacityAge10*'01_Вводные'!$B$218*'19_Расчет_аналитики'!BL3595,MeanMinAge10))),0)</f>
        <v/>
      </c>
      <c r="BM3509">
        <f>IF('01_Вводные'!$B$234="Да",IF(OR('19_Расчет_аналитики'!BM3481=0,10&lt;='01_Вводные'!$B$297),0,'19_Расчет_аналитики'!BM3481*IF('01_Вводные'!$B$239="Да",MeanMinAge10+'19_Расчет_аналитики'!BM3595*SUMIF(ThresholdAge10,"&lt;"&amp;'19_Расчет_аналитики'!BM3595,WeightedRevAge10)-SUMIF(ThresholdAge10,"&lt;"&amp;'19_Расчет_аналитики'!BM3595,WeightedMinAge10),MAX(CapacityAge10*'01_Вводные'!$B$218*'19_Расчет_аналитики'!BM3595,MeanMinAge10))),0)</f>
        <v/>
      </c>
      <c r="BN3509">
        <f>IF('01_Вводные'!$B$234="Да",IF(OR('19_Расчет_аналитики'!BN3481=0,10&lt;='01_Вводные'!$B$297),0,'19_Расчет_аналитики'!BN3481*IF('01_Вводные'!$B$239="Да",MeanMinAge10+'19_Расчет_аналитики'!BN3595*SUMIF(ThresholdAge10,"&lt;"&amp;'19_Расчет_аналитики'!BN3595,WeightedRevAge10)-SUMIF(ThresholdAge10,"&lt;"&amp;'19_Расчет_аналитики'!BN3595,WeightedMinAge10),MAX(CapacityAge10*'01_Вводные'!$B$218*'19_Расчет_аналитики'!BN3595,MeanMinAge10))),0)</f>
        <v/>
      </c>
      <c r="BO3509">
        <f>IF('01_Вводные'!$B$234="Да",IF(OR('19_Расчет_аналитики'!BO3481=0,10&lt;='01_Вводные'!$B$297),0,'19_Расчет_аналитики'!BO3481*IF('01_Вводные'!$B$239="Да",MeanMinAge10+'19_Расчет_аналитики'!BO3595*SUMIF(ThresholdAge10,"&lt;"&amp;'19_Расчет_аналитики'!BO3595,WeightedRevAge10)-SUMIF(ThresholdAge10,"&lt;"&amp;'19_Расчет_аналитики'!BO3595,WeightedMinAge10),MAX(CapacityAge10*'01_Вводные'!$B$218*'19_Расчет_аналитики'!BO3595,MeanMinAge10))),0)</f>
        <v/>
      </c>
    </row>
    <row r="3510">
      <c r="B3510">
        <f>IF('01_Вводные'!$B$234="Да",IF(OR('06_Сеть_и_дети'!B91=0,11&lt;='01_Вводные'!$B$297),0,'06_Сеть_и_дети'!B91*IF('01_Вводные'!$B$239="Да",MeanMinAge11+'19_Расчет_аналитики'!B3595*SUMIF(ThresholdAge11,"&lt;"&amp;'19_Расчет_аналитики'!B3595,WeightedRevAge11)-SUMIF(ThresholdAge11,"&lt;"&amp;'19_Расчет_аналитики'!B3595,WeightedMinAge11),MAX(CapacityAge11*'01_Вводные'!$B$218*'19_Расчет_аналитики'!B3595,MeanMinAge11))),0)</f>
        <v/>
      </c>
      <c r="C3510">
        <f>IF('01_Вводные'!$B$234="Да",IF(OR('06_Сеть_и_дети'!C91=0,11&lt;='01_Вводные'!$B$297),0,'06_Сеть_и_дети'!C91*IF('01_Вводные'!$B$239="Да",MeanMinAge11+'19_Расчет_аналитики'!C3595*SUMIF(ThresholdAge11,"&lt;"&amp;'19_Расчет_аналитики'!C3595,WeightedRevAge11)-SUMIF(ThresholdAge11,"&lt;"&amp;'19_Расчет_аналитики'!C3595,WeightedMinAge11),MAX(CapacityAge11*'01_Вводные'!$B$218*'19_Расчет_аналитики'!C3595,MeanMinAge11))),0)</f>
        <v/>
      </c>
      <c r="D3510">
        <f>IF('01_Вводные'!$B$234="Да",IF(OR('06_Сеть_и_дети'!D91=0,11&lt;='01_Вводные'!$B$297),0,'06_Сеть_и_дети'!D91*IF('01_Вводные'!$B$239="Да",MeanMinAge11+'19_Расчет_аналитики'!D3595*SUMIF(ThresholdAge11,"&lt;"&amp;'19_Расчет_аналитики'!D3595,WeightedRevAge11)-SUMIF(ThresholdAge11,"&lt;"&amp;'19_Расчет_аналитики'!D3595,WeightedMinAge11),MAX(CapacityAge11*'01_Вводные'!$B$218*'19_Расчет_аналитики'!D3595,MeanMinAge11))),0)</f>
        <v/>
      </c>
      <c r="E3510">
        <f>IF('01_Вводные'!$B$234="Да",IF(OR('06_Сеть_и_дети'!E91=0,11&lt;='01_Вводные'!$B$297),0,'06_Сеть_и_дети'!E91*IF('01_Вводные'!$B$239="Да",MeanMinAge11+'19_Расчет_аналитики'!E3595*SUMIF(ThresholdAge11,"&lt;"&amp;'19_Расчет_аналитики'!E3595,WeightedRevAge11)-SUMIF(ThresholdAge11,"&lt;"&amp;'19_Расчет_аналитики'!E3595,WeightedMinAge11),MAX(CapacityAge11*'01_Вводные'!$B$218*'19_Расчет_аналитики'!E3595,MeanMinAge11))),0)</f>
        <v/>
      </c>
      <c r="F3510">
        <f>IF('01_Вводные'!$B$234="Да",IF(OR('06_Сеть_и_дети'!F91=0,11&lt;='01_Вводные'!$B$297),0,'06_Сеть_и_дети'!F91*IF('01_Вводные'!$B$239="Да",MeanMinAge11+'19_Расчет_аналитики'!F3595*SUMIF(ThresholdAge11,"&lt;"&amp;'19_Расчет_аналитики'!F3595,WeightedRevAge11)-SUMIF(ThresholdAge11,"&lt;"&amp;'19_Расчет_аналитики'!F3595,WeightedMinAge11),MAX(CapacityAge11*'01_Вводные'!$B$218*'19_Расчет_аналитики'!F3595,MeanMinAge11))),0)</f>
        <v/>
      </c>
      <c r="G3510">
        <f>IF('01_Вводные'!$B$234="Да",IF(OR('06_Сеть_и_дети'!G91=0,11&lt;='01_Вводные'!$B$297),0,'06_Сеть_и_дети'!G91*IF('01_Вводные'!$B$239="Да",MeanMinAge11+'19_Расчет_аналитики'!G3595*SUMIF(ThresholdAge11,"&lt;"&amp;'19_Расчет_аналитики'!G3595,WeightedRevAge11)-SUMIF(ThresholdAge11,"&lt;"&amp;'19_Расчет_аналитики'!G3595,WeightedMinAge11),MAX(CapacityAge11*'01_Вводные'!$B$218*'19_Расчет_аналитики'!G3595,MeanMinAge11))),0)</f>
        <v/>
      </c>
      <c r="H3510">
        <f>IF('01_Вводные'!$B$234="Да",IF(OR('06_Сеть_и_дети'!H91=0,11&lt;='01_Вводные'!$B$297),0,'06_Сеть_и_дети'!H91*IF('01_Вводные'!$B$239="Да",MeanMinAge11+'19_Расчет_аналитики'!H3595*SUMIF(ThresholdAge11,"&lt;"&amp;'19_Расчет_аналитики'!H3595,WeightedRevAge11)-SUMIF(ThresholdAge11,"&lt;"&amp;'19_Расчет_аналитики'!H3595,WeightedMinAge11),MAX(CapacityAge11*'01_Вводные'!$B$218*'19_Расчет_аналитики'!H3595,MeanMinAge11))),0)</f>
        <v/>
      </c>
      <c r="I3510">
        <f>IF('01_Вводные'!$B$234="Да",IF(OR('06_Сеть_и_дети'!I91=0,11&lt;='01_Вводные'!$B$297),0,'06_Сеть_и_дети'!I91*IF('01_Вводные'!$B$239="Да",MeanMinAge11+'19_Расчет_аналитики'!I3595*SUMIF(ThresholdAge11,"&lt;"&amp;'19_Расчет_аналитики'!I3595,WeightedRevAge11)-SUMIF(ThresholdAge11,"&lt;"&amp;'19_Расчет_аналитики'!I3595,WeightedMinAge11),MAX(CapacityAge11*'01_Вводные'!$B$218*'19_Расчет_аналитики'!I3595,MeanMinAge11))),0)</f>
        <v/>
      </c>
      <c r="J3510">
        <f>IF('01_Вводные'!$B$234="Да",IF(OR('06_Сеть_и_дети'!J91=0,11&lt;='01_Вводные'!$B$297),0,'06_Сеть_и_дети'!J91*IF('01_Вводные'!$B$239="Да",MeanMinAge11+'19_Расчет_аналитики'!J3595*SUMIF(ThresholdAge11,"&lt;"&amp;'19_Расчет_аналитики'!J3595,WeightedRevAge11)-SUMIF(ThresholdAge11,"&lt;"&amp;'19_Расчет_аналитики'!J3595,WeightedMinAge11),MAX(CapacityAge11*'01_Вводные'!$B$218*'19_Расчет_аналитики'!J3595,MeanMinAge11))),0)</f>
        <v/>
      </c>
      <c r="K3510">
        <f>IF('01_Вводные'!$B$234="Да",IF(OR('06_Сеть_и_дети'!K91=0,11&lt;='01_Вводные'!$B$297),0,'06_Сеть_и_дети'!K91*IF('01_Вводные'!$B$239="Да",MeanMinAge11+'19_Расчет_аналитики'!K3595*SUMIF(ThresholdAge11,"&lt;"&amp;'19_Расчет_аналитики'!K3595,WeightedRevAge11)-SUMIF(ThresholdAge11,"&lt;"&amp;'19_Расчет_аналитики'!K3595,WeightedMinAge11),MAX(CapacityAge11*'01_Вводные'!$B$218*'19_Расчет_аналитики'!K3595,MeanMinAge11))),0)</f>
        <v/>
      </c>
      <c r="L3510">
        <f>IF('01_Вводные'!$B$234="Да",IF(OR('19_Расчет_аналитики'!L3482=0,11&lt;='01_Вводные'!$B$297),0,'19_Расчет_аналитики'!L3482*IF('01_Вводные'!$B$239="Да",MeanMinAge11+'19_Расчет_аналитики'!L3595*SUMIF(ThresholdAge11,"&lt;"&amp;'19_Расчет_аналитики'!L3595,WeightedRevAge11)-SUMIF(ThresholdAge11,"&lt;"&amp;'19_Расчет_аналитики'!L3595,WeightedMinAge11),MAX(CapacityAge11*'01_Вводные'!$B$218*'19_Расчет_аналитики'!L3595,MeanMinAge11))),0)</f>
        <v/>
      </c>
      <c r="M3510">
        <f>IF('01_Вводные'!$B$234="Да",IF(OR('19_Расчет_аналитики'!M3482=0,11&lt;='01_Вводные'!$B$297),0,'19_Расчет_аналитики'!M3482*IF('01_Вводные'!$B$239="Да",MeanMinAge11+'19_Расчет_аналитики'!M3595*SUMIF(ThresholdAge11,"&lt;"&amp;'19_Расчет_аналитики'!M3595,WeightedRevAge11)-SUMIF(ThresholdAge11,"&lt;"&amp;'19_Расчет_аналитики'!M3595,WeightedMinAge11),MAX(CapacityAge11*'01_Вводные'!$B$218*'19_Расчет_аналитики'!M3595,MeanMinAge11))),0)</f>
        <v/>
      </c>
      <c r="N3510">
        <f>IF('01_Вводные'!$B$234="Да",IF(OR('19_Расчет_аналитики'!N3482=0,11&lt;='01_Вводные'!$B$297),0,'19_Расчет_аналитики'!N3482*IF('01_Вводные'!$B$239="Да",MeanMinAge11+'19_Расчет_аналитики'!N3595*SUMIF(ThresholdAge11,"&lt;"&amp;'19_Расчет_аналитики'!N3595,WeightedRevAge11)-SUMIF(ThresholdAge11,"&lt;"&amp;'19_Расчет_аналитики'!N3595,WeightedMinAge11),MAX(CapacityAge11*'01_Вводные'!$B$218*'19_Расчет_аналитики'!N3595,MeanMinAge11))),0)</f>
        <v/>
      </c>
      <c r="O3510">
        <f>IF('01_Вводные'!$B$234="Да",IF(OR('19_Расчет_аналитики'!O3482=0,11&lt;='01_Вводные'!$B$297),0,'19_Расчет_аналитики'!O3482*IF('01_Вводные'!$B$239="Да",MeanMinAge11+'19_Расчет_аналитики'!O3595*SUMIF(ThresholdAge11,"&lt;"&amp;'19_Расчет_аналитики'!O3595,WeightedRevAge11)-SUMIF(ThresholdAge11,"&lt;"&amp;'19_Расчет_аналитики'!O3595,WeightedMinAge11),MAX(CapacityAge11*'01_Вводные'!$B$218*'19_Расчет_аналитики'!O3595,MeanMinAge11))),0)</f>
        <v/>
      </c>
      <c r="P3510">
        <f>IF('01_Вводные'!$B$234="Да",IF(OR('19_Расчет_аналитики'!P3482=0,11&lt;='01_Вводные'!$B$297),0,'19_Расчет_аналитики'!P3482*IF('01_Вводные'!$B$239="Да",MeanMinAge11+'19_Расчет_аналитики'!P3595*SUMIF(ThresholdAge11,"&lt;"&amp;'19_Расчет_аналитики'!P3595,WeightedRevAge11)-SUMIF(ThresholdAge11,"&lt;"&amp;'19_Расчет_аналитики'!P3595,WeightedMinAge11),MAX(CapacityAge11*'01_Вводные'!$B$218*'19_Расчет_аналитики'!P3595,MeanMinAge11))),0)</f>
        <v/>
      </c>
      <c r="Q3510">
        <f>IF('01_Вводные'!$B$234="Да",IF(OR('19_Расчет_аналитики'!Q3482=0,11&lt;='01_Вводные'!$B$297),0,'19_Расчет_аналитики'!Q3482*IF('01_Вводные'!$B$239="Да",MeanMinAge11+'19_Расчет_аналитики'!Q3595*SUMIF(ThresholdAge11,"&lt;"&amp;'19_Расчет_аналитики'!Q3595,WeightedRevAge11)-SUMIF(ThresholdAge11,"&lt;"&amp;'19_Расчет_аналитики'!Q3595,WeightedMinAge11),MAX(CapacityAge11*'01_Вводные'!$B$218*'19_Расчет_аналитики'!Q3595,MeanMinAge11))),0)</f>
        <v/>
      </c>
      <c r="R3510">
        <f>IF('01_Вводные'!$B$234="Да",IF(OR('19_Расчет_аналитики'!R3482=0,11&lt;='01_Вводные'!$B$297),0,'19_Расчет_аналитики'!R3482*IF('01_Вводные'!$B$239="Да",MeanMinAge11+'19_Расчет_аналитики'!R3595*SUMIF(ThresholdAge11,"&lt;"&amp;'19_Расчет_аналитики'!R3595,WeightedRevAge11)-SUMIF(ThresholdAge11,"&lt;"&amp;'19_Расчет_аналитики'!R3595,WeightedMinAge11),MAX(CapacityAge11*'01_Вводные'!$B$218*'19_Расчет_аналитики'!R3595,MeanMinAge11))),0)</f>
        <v/>
      </c>
      <c r="S3510">
        <f>IF('01_Вводные'!$B$234="Да",IF(OR('19_Расчет_аналитики'!S3482=0,11&lt;='01_Вводные'!$B$297),0,'19_Расчет_аналитики'!S3482*IF('01_Вводные'!$B$239="Да",MeanMinAge11+'19_Расчет_аналитики'!S3595*SUMIF(ThresholdAge11,"&lt;"&amp;'19_Расчет_аналитики'!S3595,WeightedRevAge11)-SUMIF(ThresholdAge11,"&lt;"&amp;'19_Расчет_аналитики'!S3595,WeightedMinAge11),MAX(CapacityAge11*'01_Вводные'!$B$218*'19_Расчет_аналитики'!S3595,MeanMinAge11))),0)</f>
        <v/>
      </c>
      <c r="T3510">
        <f>IF('01_Вводные'!$B$234="Да",IF(OR('19_Расчет_аналитики'!T3482=0,11&lt;='01_Вводные'!$B$297),0,'19_Расчет_аналитики'!T3482*IF('01_Вводные'!$B$239="Да",MeanMinAge11+'19_Расчет_аналитики'!T3595*SUMIF(ThresholdAge11,"&lt;"&amp;'19_Расчет_аналитики'!T3595,WeightedRevAge11)-SUMIF(ThresholdAge11,"&lt;"&amp;'19_Расчет_аналитики'!T3595,WeightedMinAge11),MAX(CapacityAge11*'01_Вводные'!$B$218*'19_Расчет_аналитики'!T3595,MeanMinAge11))),0)</f>
        <v/>
      </c>
      <c r="U3510">
        <f>IF('01_Вводные'!$B$234="Да",IF(OR('19_Расчет_аналитики'!U3482=0,11&lt;='01_Вводные'!$B$297),0,'19_Расчет_аналитики'!U3482*IF('01_Вводные'!$B$239="Да",MeanMinAge11+'19_Расчет_аналитики'!U3595*SUMIF(ThresholdAge11,"&lt;"&amp;'19_Расчет_аналитики'!U3595,WeightedRevAge11)-SUMIF(ThresholdAge11,"&lt;"&amp;'19_Расчет_аналитики'!U3595,WeightedMinAge11),MAX(CapacityAge11*'01_Вводные'!$B$218*'19_Расчет_аналитики'!U3595,MeanMinAge11))),0)</f>
        <v/>
      </c>
      <c r="V3510">
        <f>IF('01_Вводные'!$B$234="Да",IF(OR('19_Расчет_аналитики'!V3482=0,11&lt;='01_Вводные'!$B$297),0,'19_Расчет_аналитики'!V3482*IF('01_Вводные'!$B$239="Да",MeanMinAge11+'19_Расчет_аналитики'!V3595*SUMIF(ThresholdAge11,"&lt;"&amp;'19_Расчет_аналитики'!V3595,WeightedRevAge11)-SUMIF(ThresholdAge11,"&lt;"&amp;'19_Расчет_аналитики'!V3595,WeightedMinAge11),MAX(CapacityAge11*'01_Вводные'!$B$218*'19_Расчет_аналитики'!V3595,MeanMinAge11))),0)</f>
        <v/>
      </c>
      <c r="W3510">
        <f>IF('01_Вводные'!$B$234="Да",IF(OR('19_Расчет_аналитики'!W3482=0,11&lt;='01_Вводные'!$B$297),0,'19_Расчет_аналитики'!W3482*IF('01_Вводные'!$B$239="Да",MeanMinAge11+'19_Расчет_аналитики'!W3595*SUMIF(ThresholdAge11,"&lt;"&amp;'19_Расчет_аналитики'!W3595,WeightedRevAge11)-SUMIF(ThresholdAge11,"&lt;"&amp;'19_Расчет_аналитики'!W3595,WeightedMinAge11),MAX(CapacityAge11*'01_Вводные'!$B$218*'19_Расчет_аналитики'!W3595,MeanMinAge11))),0)</f>
        <v/>
      </c>
      <c r="X3510">
        <f>IF('01_Вводные'!$B$234="Да",IF(OR('19_Расчет_аналитики'!X3482=0,11&lt;='01_Вводные'!$B$297),0,'19_Расчет_аналитики'!X3482*IF('01_Вводные'!$B$239="Да",MeanMinAge11+'19_Расчет_аналитики'!X3595*SUMIF(ThresholdAge11,"&lt;"&amp;'19_Расчет_аналитики'!X3595,WeightedRevAge11)-SUMIF(ThresholdAge11,"&lt;"&amp;'19_Расчет_аналитики'!X3595,WeightedMinAge11),MAX(CapacityAge11*'01_Вводные'!$B$218*'19_Расчет_аналитики'!X3595,MeanMinAge11))),0)</f>
        <v/>
      </c>
      <c r="Y3510">
        <f>IF('01_Вводные'!$B$234="Да",IF(OR('19_Расчет_аналитики'!Y3482=0,11&lt;='01_Вводные'!$B$297),0,'19_Расчет_аналитики'!Y3482*IF('01_Вводные'!$B$239="Да",MeanMinAge11+'19_Расчет_аналитики'!Y3595*SUMIF(ThresholdAge11,"&lt;"&amp;'19_Расчет_аналитики'!Y3595,WeightedRevAge11)-SUMIF(ThresholdAge11,"&lt;"&amp;'19_Расчет_аналитики'!Y3595,WeightedMinAge11),MAX(CapacityAge11*'01_Вводные'!$B$218*'19_Расчет_аналитики'!Y3595,MeanMinAge11))),0)</f>
        <v/>
      </c>
      <c r="Z3510">
        <f>IF('01_Вводные'!$B$234="Да",IF(OR('19_Расчет_аналитики'!Z3482=0,11&lt;='01_Вводные'!$B$297),0,'19_Расчет_аналитики'!Z3482*IF('01_Вводные'!$B$239="Да",MeanMinAge11+'19_Расчет_аналитики'!Z3595*SUMIF(ThresholdAge11,"&lt;"&amp;'19_Расчет_аналитики'!Z3595,WeightedRevAge11)-SUMIF(ThresholdAge11,"&lt;"&amp;'19_Расчет_аналитики'!Z3595,WeightedMinAge11),MAX(CapacityAge11*'01_Вводные'!$B$218*'19_Расчет_аналитики'!Z3595,MeanMinAge11))),0)</f>
        <v/>
      </c>
      <c r="AA3510">
        <f>IF('01_Вводные'!$B$234="Да",IF(OR('19_Расчет_аналитики'!AA3482=0,11&lt;='01_Вводные'!$B$297),0,'19_Расчет_аналитики'!AA3482*IF('01_Вводные'!$B$239="Да",MeanMinAge11+'19_Расчет_аналитики'!AA3595*SUMIF(ThresholdAge11,"&lt;"&amp;'19_Расчет_аналитики'!AA3595,WeightedRevAge11)-SUMIF(ThresholdAge11,"&lt;"&amp;'19_Расчет_аналитики'!AA3595,WeightedMinAge11),MAX(CapacityAge11*'01_Вводные'!$B$218*'19_Расчет_аналитики'!AA3595,MeanMinAge11))),0)</f>
        <v/>
      </c>
      <c r="AB3510">
        <f>IF('01_Вводные'!$B$234="Да",IF(OR('19_Расчет_аналитики'!AB3482=0,11&lt;='01_Вводные'!$B$297),0,'19_Расчет_аналитики'!AB3482*IF('01_Вводные'!$B$239="Да",MeanMinAge11+'19_Расчет_аналитики'!AB3595*SUMIF(ThresholdAge11,"&lt;"&amp;'19_Расчет_аналитики'!AB3595,WeightedRevAge11)-SUMIF(ThresholdAge11,"&lt;"&amp;'19_Расчет_аналитики'!AB3595,WeightedMinAge11),MAX(CapacityAge11*'01_Вводные'!$B$218*'19_Расчет_аналитики'!AB3595,MeanMinAge11))),0)</f>
        <v/>
      </c>
      <c r="AC3510">
        <f>IF('01_Вводные'!$B$234="Да",IF(OR('19_Расчет_аналитики'!AC3482=0,11&lt;='01_Вводные'!$B$297),0,'19_Расчет_аналитики'!AC3482*IF('01_Вводные'!$B$239="Да",MeanMinAge11+'19_Расчет_аналитики'!AC3595*SUMIF(ThresholdAge11,"&lt;"&amp;'19_Расчет_аналитики'!AC3595,WeightedRevAge11)-SUMIF(ThresholdAge11,"&lt;"&amp;'19_Расчет_аналитики'!AC3595,WeightedMinAge11),MAX(CapacityAge11*'01_Вводные'!$B$218*'19_Расчет_аналитики'!AC3595,MeanMinAge11))),0)</f>
        <v/>
      </c>
      <c r="AD3510">
        <f>IF('01_Вводные'!$B$234="Да",IF(OR('19_Расчет_аналитики'!AD3482=0,11&lt;='01_Вводные'!$B$297),0,'19_Расчет_аналитики'!AD3482*IF('01_Вводные'!$B$239="Да",MeanMinAge11+'19_Расчет_аналитики'!AD3595*SUMIF(ThresholdAge11,"&lt;"&amp;'19_Расчет_аналитики'!AD3595,WeightedRevAge11)-SUMIF(ThresholdAge11,"&lt;"&amp;'19_Расчет_аналитики'!AD3595,WeightedMinAge11),MAX(CapacityAge11*'01_Вводные'!$B$218*'19_Расчет_аналитики'!AD3595,MeanMinAge11))),0)</f>
        <v/>
      </c>
      <c r="AE3510">
        <f>IF('01_Вводные'!$B$234="Да",IF(OR('19_Расчет_аналитики'!AE3482=0,11&lt;='01_Вводные'!$B$297),0,'19_Расчет_аналитики'!AE3482*IF('01_Вводные'!$B$239="Да",MeanMinAge11+'19_Расчет_аналитики'!AE3595*SUMIF(ThresholdAge11,"&lt;"&amp;'19_Расчет_аналитики'!AE3595,WeightedRevAge11)-SUMIF(ThresholdAge11,"&lt;"&amp;'19_Расчет_аналитики'!AE3595,WeightedMinAge11),MAX(CapacityAge11*'01_Вводные'!$B$218*'19_Расчет_аналитики'!AE3595,MeanMinAge11))),0)</f>
        <v/>
      </c>
      <c r="AF3510">
        <f>IF('01_Вводные'!$B$234="Да",IF(OR('19_Расчет_аналитики'!AF3482=0,11&lt;='01_Вводные'!$B$297),0,'19_Расчет_аналитики'!AF3482*IF('01_Вводные'!$B$239="Да",MeanMinAge11+'19_Расчет_аналитики'!AF3595*SUMIF(ThresholdAge11,"&lt;"&amp;'19_Расчет_аналитики'!AF3595,WeightedRevAge11)-SUMIF(ThresholdAge11,"&lt;"&amp;'19_Расчет_аналитики'!AF3595,WeightedMinAge11),MAX(CapacityAge11*'01_Вводные'!$B$218*'19_Расчет_аналитики'!AF3595,MeanMinAge11))),0)</f>
        <v/>
      </c>
      <c r="AG3510">
        <f>IF('01_Вводные'!$B$234="Да",IF(OR('19_Расчет_аналитики'!AG3482=0,11&lt;='01_Вводные'!$B$297),0,'19_Расчет_аналитики'!AG3482*IF('01_Вводные'!$B$239="Да",MeanMinAge11+'19_Расчет_аналитики'!AG3595*SUMIF(ThresholdAge11,"&lt;"&amp;'19_Расчет_аналитики'!AG3595,WeightedRevAge11)-SUMIF(ThresholdAge11,"&lt;"&amp;'19_Расчет_аналитики'!AG3595,WeightedMinAge11),MAX(CapacityAge11*'01_Вводные'!$B$218*'19_Расчет_аналитики'!AG3595,MeanMinAge11))),0)</f>
        <v/>
      </c>
      <c r="AH3510">
        <f>IF('01_Вводные'!$B$234="Да",IF(OR('19_Расчет_аналитики'!AH3482=0,11&lt;='01_Вводные'!$B$297),0,'19_Расчет_аналитики'!AH3482*IF('01_Вводные'!$B$239="Да",MeanMinAge11+'19_Расчет_аналитики'!AH3595*SUMIF(ThresholdAge11,"&lt;"&amp;'19_Расчет_аналитики'!AH3595,WeightedRevAge11)-SUMIF(ThresholdAge11,"&lt;"&amp;'19_Расчет_аналитики'!AH3595,WeightedMinAge11),MAX(CapacityAge11*'01_Вводные'!$B$218*'19_Расчет_аналитики'!AH3595,MeanMinAge11))),0)</f>
        <v/>
      </c>
      <c r="AI3510">
        <f>IF('01_Вводные'!$B$234="Да",IF(OR('19_Расчет_аналитики'!AI3482=0,11&lt;='01_Вводные'!$B$297),0,'19_Расчет_аналитики'!AI3482*IF('01_Вводные'!$B$239="Да",MeanMinAge11+'19_Расчет_аналитики'!AI3595*SUMIF(ThresholdAge11,"&lt;"&amp;'19_Расчет_аналитики'!AI3595,WeightedRevAge11)-SUMIF(ThresholdAge11,"&lt;"&amp;'19_Расчет_аналитики'!AI3595,WeightedMinAge11),MAX(CapacityAge11*'01_Вводные'!$B$218*'19_Расчет_аналитики'!AI3595,MeanMinAge11))),0)</f>
        <v/>
      </c>
      <c r="AJ3510">
        <f>IF('01_Вводные'!$B$234="Да",IF(OR('19_Расчет_аналитики'!AJ3482=0,11&lt;='01_Вводные'!$B$297),0,'19_Расчет_аналитики'!AJ3482*IF('01_Вводные'!$B$239="Да",MeanMinAge11+'19_Расчет_аналитики'!AJ3595*SUMIF(ThresholdAge11,"&lt;"&amp;'19_Расчет_аналитики'!AJ3595,WeightedRevAge11)-SUMIF(ThresholdAge11,"&lt;"&amp;'19_Расчет_аналитики'!AJ3595,WeightedMinAge11),MAX(CapacityAge11*'01_Вводные'!$B$218*'19_Расчет_аналитики'!AJ3595,MeanMinAge11))),0)</f>
        <v/>
      </c>
      <c r="AK3510">
        <f>IF('01_Вводные'!$B$234="Да",IF(OR('19_Расчет_аналитики'!AK3482=0,11&lt;='01_Вводные'!$B$297),0,'19_Расчет_аналитики'!AK3482*IF('01_Вводные'!$B$239="Да",MeanMinAge11+'19_Расчет_аналитики'!AK3595*SUMIF(ThresholdAge11,"&lt;"&amp;'19_Расчет_аналитики'!AK3595,WeightedRevAge11)-SUMIF(ThresholdAge11,"&lt;"&amp;'19_Расчет_аналитики'!AK3595,WeightedMinAge11),MAX(CapacityAge11*'01_Вводные'!$B$218*'19_Расчет_аналитики'!AK3595,MeanMinAge11))),0)</f>
        <v/>
      </c>
      <c r="AL3510">
        <f>IF('01_Вводные'!$B$234="Да",IF(OR('19_Расчет_аналитики'!AL3482=0,11&lt;='01_Вводные'!$B$297),0,'19_Расчет_аналитики'!AL3482*IF('01_Вводные'!$B$239="Да",MeanMinAge11+'19_Расчет_аналитики'!AL3595*SUMIF(ThresholdAge11,"&lt;"&amp;'19_Расчет_аналитики'!AL3595,WeightedRevAge11)-SUMIF(ThresholdAge11,"&lt;"&amp;'19_Расчет_аналитики'!AL3595,WeightedMinAge11),MAX(CapacityAge11*'01_Вводные'!$B$218*'19_Расчет_аналитики'!AL3595,MeanMinAge11))),0)</f>
        <v/>
      </c>
      <c r="AM3510">
        <f>IF('01_Вводные'!$B$234="Да",IF(OR('19_Расчет_аналитики'!AM3482=0,11&lt;='01_Вводные'!$B$297),0,'19_Расчет_аналитики'!AM3482*IF('01_Вводные'!$B$239="Да",MeanMinAge11+'19_Расчет_аналитики'!AM3595*SUMIF(ThresholdAge11,"&lt;"&amp;'19_Расчет_аналитики'!AM3595,WeightedRevAge11)-SUMIF(ThresholdAge11,"&lt;"&amp;'19_Расчет_аналитики'!AM3595,WeightedMinAge11),MAX(CapacityAge11*'01_Вводные'!$B$218*'19_Расчет_аналитики'!AM3595,MeanMinAge11))),0)</f>
        <v/>
      </c>
      <c r="AN3510">
        <f>IF('01_Вводные'!$B$234="Да",IF(OR('19_Расчет_аналитики'!AN3482=0,11&lt;='01_Вводные'!$B$297),0,'19_Расчет_аналитики'!AN3482*IF('01_Вводные'!$B$239="Да",MeanMinAge11+'19_Расчет_аналитики'!AN3595*SUMIF(ThresholdAge11,"&lt;"&amp;'19_Расчет_аналитики'!AN3595,WeightedRevAge11)-SUMIF(ThresholdAge11,"&lt;"&amp;'19_Расчет_аналитики'!AN3595,WeightedMinAge11),MAX(CapacityAge11*'01_Вводные'!$B$218*'19_Расчет_аналитики'!AN3595,MeanMinAge11))),0)</f>
        <v/>
      </c>
      <c r="AO3510">
        <f>IF('01_Вводные'!$B$234="Да",IF(OR('19_Расчет_аналитики'!AO3482=0,11&lt;='01_Вводные'!$B$297),0,'19_Расчет_аналитики'!AO3482*IF('01_Вводные'!$B$239="Да",MeanMinAge11+'19_Расчет_аналитики'!AO3595*SUMIF(ThresholdAge11,"&lt;"&amp;'19_Расчет_аналитики'!AO3595,WeightedRevAge11)-SUMIF(ThresholdAge11,"&lt;"&amp;'19_Расчет_аналитики'!AO3595,WeightedMinAge11),MAX(CapacityAge11*'01_Вводные'!$B$218*'19_Расчет_аналитики'!AO3595,MeanMinAge11))),0)</f>
        <v/>
      </c>
      <c r="AP3510">
        <f>IF('01_Вводные'!$B$234="Да",IF(OR('19_Расчет_аналитики'!AP3482=0,11&lt;='01_Вводные'!$B$297),0,'19_Расчет_аналитики'!AP3482*IF('01_Вводные'!$B$239="Да",MeanMinAge11+'19_Расчет_аналитики'!AP3595*SUMIF(ThresholdAge11,"&lt;"&amp;'19_Расчет_аналитики'!AP3595,WeightedRevAge11)-SUMIF(ThresholdAge11,"&lt;"&amp;'19_Расчет_аналитики'!AP3595,WeightedMinAge11),MAX(CapacityAge11*'01_Вводные'!$B$218*'19_Расчет_аналитики'!AP3595,MeanMinAge11))),0)</f>
        <v/>
      </c>
      <c r="AQ3510">
        <f>IF('01_Вводные'!$B$234="Да",IF(OR('19_Расчет_аналитики'!AQ3482=0,11&lt;='01_Вводные'!$B$297),0,'19_Расчет_аналитики'!AQ3482*IF('01_Вводные'!$B$239="Да",MeanMinAge11+'19_Расчет_аналитики'!AQ3595*SUMIF(ThresholdAge11,"&lt;"&amp;'19_Расчет_аналитики'!AQ3595,WeightedRevAge11)-SUMIF(ThresholdAge11,"&lt;"&amp;'19_Расчет_аналитики'!AQ3595,WeightedMinAge11),MAX(CapacityAge11*'01_Вводные'!$B$218*'19_Расчет_аналитики'!AQ3595,MeanMinAge11))),0)</f>
        <v/>
      </c>
      <c r="AR3510">
        <f>IF('01_Вводные'!$B$234="Да",IF(OR('19_Расчет_аналитики'!AR3482=0,11&lt;='01_Вводные'!$B$297),0,'19_Расчет_аналитики'!AR3482*IF('01_Вводные'!$B$239="Да",MeanMinAge11+'19_Расчет_аналитики'!AR3595*SUMIF(ThresholdAge11,"&lt;"&amp;'19_Расчет_аналитики'!AR3595,WeightedRevAge11)-SUMIF(ThresholdAge11,"&lt;"&amp;'19_Расчет_аналитики'!AR3595,WeightedMinAge11),MAX(CapacityAge11*'01_Вводные'!$B$218*'19_Расчет_аналитики'!AR3595,MeanMinAge11))),0)</f>
        <v/>
      </c>
      <c r="AS3510">
        <f>IF('01_Вводные'!$B$234="Да",IF(OR('19_Расчет_аналитики'!AS3482=0,11&lt;='01_Вводные'!$B$297),0,'19_Расчет_аналитики'!AS3482*IF('01_Вводные'!$B$239="Да",MeanMinAge11+'19_Расчет_аналитики'!AS3595*SUMIF(ThresholdAge11,"&lt;"&amp;'19_Расчет_аналитики'!AS3595,WeightedRevAge11)-SUMIF(ThresholdAge11,"&lt;"&amp;'19_Расчет_аналитики'!AS3595,WeightedMinAge11),MAX(CapacityAge11*'01_Вводные'!$B$218*'19_Расчет_аналитики'!AS3595,MeanMinAge11))),0)</f>
        <v/>
      </c>
      <c r="AT3510">
        <f>IF('01_Вводные'!$B$234="Да",IF(OR('19_Расчет_аналитики'!AT3482=0,11&lt;='01_Вводные'!$B$297),0,'19_Расчет_аналитики'!AT3482*IF('01_Вводные'!$B$239="Да",MeanMinAge11+'19_Расчет_аналитики'!AT3595*SUMIF(ThresholdAge11,"&lt;"&amp;'19_Расчет_аналитики'!AT3595,WeightedRevAge11)-SUMIF(ThresholdAge11,"&lt;"&amp;'19_Расчет_аналитики'!AT3595,WeightedMinAge11),MAX(CapacityAge11*'01_Вводные'!$B$218*'19_Расчет_аналитики'!AT3595,MeanMinAge11))),0)</f>
        <v/>
      </c>
      <c r="AU3510">
        <f>IF('01_Вводные'!$B$234="Да",IF(OR('19_Расчет_аналитики'!AU3482=0,11&lt;='01_Вводные'!$B$297),0,'19_Расчет_аналитики'!AU3482*IF('01_Вводные'!$B$239="Да",MeanMinAge11+'19_Расчет_аналитики'!AU3595*SUMIF(ThresholdAge11,"&lt;"&amp;'19_Расчет_аналитики'!AU3595,WeightedRevAge11)-SUMIF(ThresholdAge11,"&lt;"&amp;'19_Расчет_аналитики'!AU3595,WeightedMinAge11),MAX(CapacityAge11*'01_Вводные'!$B$218*'19_Расчет_аналитики'!AU3595,MeanMinAge11))),0)</f>
        <v/>
      </c>
      <c r="AV3510">
        <f>IF('01_Вводные'!$B$234="Да",IF(OR('19_Расчет_аналитики'!AV3482=0,11&lt;='01_Вводные'!$B$297),0,'19_Расчет_аналитики'!AV3482*IF('01_Вводные'!$B$239="Да",MeanMinAge11+'19_Расчет_аналитики'!AV3595*SUMIF(ThresholdAge11,"&lt;"&amp;'19_Расчет_аналитики'!AV3595,WeightedRevAge11)-SUMIF(ThresholdAge11,"&lt;"&amp;'19_Расчет_аналитики'!AV3595,WeightedMinAge11),MAX(CapacityAge11*'01_Вводные'!$B$218*'19_Расчет_аналитики'!AV3595,MeanMinAge11))),0)</f>
        <v/>
      </c>
      <c r="AW3510">
        <f>IF('01_Вводные'!$B$234="Да",IF(OR('19_Расчет_аналитики'!AW3482=0,11&lt;='01_Вводные'!$B$297),0,'19_Расчет_аналитики'!AW3482*IF('01_Вводные'!$B$239="Да",MeanMinAge11+'19_Расчет_аналитики'!AW3595*SUMIF(ThresholdAge11,"&lt;"&amp;'19_Расчет_аналитики'!AW3595,WeightedRevAge11)-SUMIF(ThresholdAge11,"&lt;"&amp;'19_Расчет_аналитики'!AW3595,WeightedMinAge11),MAX(CapacityAge11*'01_Вводные'!$B$218*'19_Расчет_аналитики'!AW3595,MeanMinAge11))),0)</f>
        <v/>
      </c>
      <c r="AX3510">
        <f>IF('01_Вводные'!$B$234="Да",IF(OR('19_Расчет_аналитики'!AX3482=0,11&lt;='01_Вводные'!$B$297),0,'19_Расчет_аналитики'!AX3482*IF('01_Вводные'!$B$239="Да",MeanMinAge11+'19_Расчет_аналитики'!AX3595*SUMIF(ThresholdAge11,"&lt;"&amp;'19_Расчет_аналитики'!AX3595,WeightedRevAge11)-SUMIF(ThresholdAge11,"&lt;"&amp;'19_Расчет_аналитики'!AX3595,WeightedMinAge11),MAX(CapacityAge11*'01_Вводные'!$B$218*'19_Расчет_аналитики'!AX3595,MeanMinAge11))),0)</f>
        <v/>
      </c>
      <c r="AY3510">
        <f>IF('01_Вводные'!$B$234="Да",IF(OR('19_Расчет_аналитики'!AY3482=0,11&lt;='01_Вводные'!$B$297),0,'19_Расчет_аналитики'!AY3482*IF('01_Вводные'!$B$239="Да",MeanMinAge11+'19_Расчет_аналитики'!AY3595*SUMIF(ThresholdAge11,"&lt;"&amp;'19_Расчет_аналитики'!AY3595,WeightedRevAge11)-SUMIF(ThresholdAge11,"&lt;"&amp;'19_Расчет_аналитики'!AY3595,WeightedMinAge11),MAX(CapacityAge11*'01_Вводные'!$B$218*'19_Расчет_аналитики'!AY3595,MeanMinAge11))),0)</f>
        <v/>
      </c>
      <c r="AZ3510">
        <f>IF('01_Вводные'!$B$234="Да",IF(OR('19_Расчет_аналитики'!AZ3482=0,11&lt;='01_Вводные'!$B$297),0,'19_Расчет_аналитики'!AZ3482*IF('01_Вводные'!$B$239="Да",MeanMinAge11+'19_Расчет_аналитики'!AZ3595*SUMIF(ThresholdAge11,"&lt;"&amp;'19_Расчет_аналитики'!AZ3595,WeightedRevAge11)-SUMIF(ThresholdAge11,"&lt;"&amp;'19_Расчет_аналитики'!AZ3595,WeightedMinAge11),MAX(CapacityAge11*'01_Вводные'!$B$218*'19_Расчет_аналитики'!AZ3595,MeanMinAge11))),0)</f>
        <v/>
      </c>
      <c r="BA3510">
        <f>IF('01_Вводные'!$B$234="Да",IF(OR('19_Расчет_аналитики'!BA3482=0,11&lt;='01_Вводные'!$B$297),0,'19_Расчет_аналитики'!BA3482*IF('01_Вводные'!$B$239="Да",MeanMinAge11+'19_Расчет_аналитики'!BA3595*SUMIF(ThresholdAge11,"&lt;"&amp;'19_Расчет_аналитики'!BA3595,WeightedRevAge11)-SUMIF(ThresholdAge11,"&lt;"&amp;'19_Расчет_аналитики'!BA3595,WeightedMinAge11),MAX(CapacityAge11*'01_Вводные'!$B$218*'19_Расчет_аналитики'!BA3595,MeanMinAge11))),0)</f>
        <v/>
      </c>
      <c r="BB3510">
        <f>IF('01_Вводные'!$B$234="Да",IF(OR('19_Расчет_аналитики'!BB3482=0,11&lt;='01_Вводные'!$B$297),0,'19_Расчет_аналитики'!BB3482*IF('01_Вводные'!$B$239="Да",MeanMinAge11+'19_Расчет_аналитики'!BB3595*SUMIF(ThresholdAge11,"&lt;"&amp;'19_Расчет_аналитики'!BB3595,WeightedRevAge11)-SUMIF(ThresholdAge11,"&lt;"&amp;'19_Расчет_аналитики'!BB3595,WeightedMinAge11),MAX(CapacityAge11*'01_Вводные'!$B$218*'19_Расчет_аналитики'!BB3595,MeanMinAge11))),0)</f>
        <v/>
      </c>
      <c r="BC3510">
        <f>IF('01_Вводные'!$B$234="Да",IF(OR('19_Расчет_аналитики'!BC3482=0,11&lt;='01_Вводные'!$B$297),0,'19_Расчет_аналитики'!BC3482*IF('01_Вводные'!$B$239="Да",MeanMinAge11+'19_Расчет_аналитики'!BC3595*SUMIF(ThresholdAge11,"&lt;"&amp;'19_Расчет_аналитики'!BC3595,WeightedRevAge11)-SUMIF(ThresholdAge11,"&lt;"&amp;'19_Расчет_аналитики'!BC3595,WeightedMinAge11),MAX(CapacityAge11*'01_Вводные'!$B$218*'19_Расчет_аналитики'!BC3595,MeanMinAge11))),0)</f>
        <v/>
      </c>
      <c r="BD3510">
        <f>IF('01_Вводные'!$B$234="Да",IF(OR('19_Расчет_аналитики'!BD3482=0,11&lt;='01_Вводные'!$B$297),0,'19_Расчет_аналитики'!BD3482*IF('01_Вводные'!$B$239="Да",MeanMinAge11+'19_Расчет_аналитики'!BD3595*SUMIF(ThresholdAge11,"&lt;"&amp;'19_Расчет_аналитики'!BD3595,WeightedRevAge11)-SUMIF(ThresholdAge11,"&lt;"&amp;'19_Расчет_аналитики'!BD3595,WeightedMinAge11),MAX(CapacityAge11*'01_Вводные'!$B$218*'19_Расчет_аналитики'!BD3595,MeanMinAge11))),0)</f>
        <v/>
      </c>
      <c r="BE3510">
        <f>IF('01_Вводные'!$B$234="Да",IF(OR('19_Расчет_аналитики'!BE3482=0,11&lt;='01_Вводные'!$B$297),0,'19_Расчет_аналитики'!BE3482*IF('01_Вводные'!$B$239="Да",MeanMinAge11+'19_Расчет_аналитики'!BE3595*SUMIF(ThresholdAge11,"&lt;"&amp;'19_Расчет_аналитики'!BE3595,WeightedRevAge11)-SUMIF(ThresholdAge11,"&lt;"&amp;'19_Расчет_аналитики'!BE3595,WeightedMinAge11),MAX(CapacityAge11*'01_Вводные'!$B$218*'19_Расчет_аналитики'!BE3595,MeanMinAge11))),0)</f>
        <v/>
      </c>
      <c r="BF3510">
        <f>IF('01_Вводные'!$B$234="Да",IF(OR('19_Расчет_аналитики'!BF3482=0,11&lt;='01_Вводные'!$B$297),0,'19_Расчет_аналитики'!BF3482*IF('01_Вводные'!$B$239="Да",MeanMinAge11+'19_Расчет_аналитики'!BF3595*SUMIF(ThresholdAge11,"&lt;"&amp;'19_Расчет_аналитики'!BF3595,WeightedRevAge11)-SUMIF(ThresholdAge11,"&lt;"&amp;'19_Расчет_аналитики'!BF3595,WeightedMinAge11),MAX(CapacityAge11*'01_Вводные'!$B$218*'19_Расчет_аналитики'!BF3595,MeanMinAge11))),0)</f>
        <v/>
      </c>
      <c r="BG3510">
        <f>IF('01_Вводные'!$B$234="Да",IF(OR('19_Расчет_аналитики'!BG3482=0,11&lt;='01_Вводные'!$B$297),0,'19_Расчет_аналитики'!BG3482*IF('01_Вводные'!$B$239="Да",MeanMinAge11+'19_Расчет_аналитики'!BG3595*SUMIF(ThresholdAge11,"&lt;"&amp;'19_Расчет_аналитики'!BG3595,WeightedRevAge11)-SUMIF(ThresholdAge11,"&lt;"&amp;'19_Расчет_аналитики'!BG3595,WeightedMinAge11),MAX(CapacityAge11*'01_Вводные'!$B$218*'19_Расчет_аналитики'!BG3595,MeanMinAge11))),0)</f>
        <v/>
      </c>
      <c r="BH3510">
        <f>IF('01_Вводные'!$B$234="Да",IF(OR('19_Расчет_аналитики'!BH3482=0,11&lt;='01_Вводные'!$B$297),0,'19_Расчет_аналитики'!BH3482*IF('01_Вводные'!$B$239="Да",MeanMinAge11+'19_Расчет_аналитики'!BH3595*SUMIF(ThresholdAge11,"&lt;"&amp;'19_Расчет_аналитики'!BH3595,WeightedRevAge11)-SUMIF(ThresholdAge11,"&lt;"&amp;'19_Расчет_аналитики'!BH3595,WeightedMinAge11),MAX(CapacityAge11*'01_Вводные'!$B$218*'19_Расчет_аналитики'!BH3595,MeanMinAge11))),0)</f>
        <v/>
      </c>
      <c r="BI3510">
        <f>IF('01_Вводные'!$B$234="Да",IF(OR('19_Расчет_аналитики'!BI3482=0,11&lt;='01_Вводные'!$B$297),0,'19_Расчет_аналитики'!BI3482*IF('01_Вводные'!$B$239="Да",MeanMinAge11+'19_Расчет_аналитики'!BI3595*SUMIF(ThresholdAge11,"&lt;"&amp;'19_Расчет_аналитики'!BI3595,WeightedRevAge11)-SUMIF(ThresholdAge11,"&lt;"&amp;'19_Расчет_аналитики'!BI3595,WeightedMinAge11),MAX(CapacityAge11*'01_Вводные'!$B$218*'19_Расчет_аналитики'!BI3595,MeanMinAge11))),0)</f>
        <v/>
      </c>
      <c r="BJ3510">
        <f>IF('01_Вводные'!$B$234="Да",IF(OR('19_Расчет_аналитики'!BJ3482=0,11&lt;='01_Вводные'!$B$297),0,'19_Расчет_аналитики'!BJ3482*IF('01_Вводные'!$B$239="Да",MeanMinAge11+'19_Расчет_аналитики'!BJ3595*SUMIF(ThresholdAge11,"&lt;"&amp;'19_Расчет_аналитики'!BJ3595,WeightedRevAge11)-SUMIF(ThresholdAge11,"&lt;"&amp;'19_Расчет_аналитики'!BJ3595,WeightedMinAge11),MAX(CapacityAge11*'01_Вводные'!$B$218*'19_Расчет_аналитики'!BJ3595,MeanMinAge11))),0)</f>
        <v/>
      </c>
      <c r="BK3510">
        <f>IF('01_Вводные'!$B$234="Да",IF(OR('19_Расчет_аналитики'!BK3482=0,11&lt;='01_Вводные'!$B$297),0,'19_Расчет_аналитики'!BK3482*IF('01_Вводные'!$B$239="Да",MeanMinAge11+'19_Расчет_аналитики'!BK3595*SUMIF(ThresholdAge11,"&lt;"&amp;'19_Расчет_аналитики'!BK3595,WeightedRevAge11)-SUMIF(ThresholdAge11,"&lt;"&amp;'19_Расчет_аналитики'!BK3595,WeightedMinAge11),MAX(CapacityAge11*'01_Вводные'!$B$218*'19_Расчет_аналитики'!BK3595,MeanMinAge11))),0)</f>
        <v/>
      </c>
      <c r="BL3510">
        <f>IF('01_Вводные'!$B$234="Да",IF(OR('19_Расчет_аналитики'!BL3482=0,11&lt;='01_Вводные'!$B$297),0,'19_Расчет_аналитики'!BL3482*IF('01_Вводные'!$B$239="Да",MeanMinAge11+'19_Расчет_аналитики'!BL3595*SUMIF(ThresholdAge11,"&lt;"&amp;'19_Расчет_аналитики'!BL3595,WeightedRevAge11)-SUMIF(ThresholdAge11,"&lt;"&amp;'19_Расчет_аналитики'!BL3595,WeightedMinAge11),MAX(CapacityAge11*'01_Вводные'!$B$218*'19_Расчет_аналитики'!BL3595,MeanMinAge11))),0)</f>
        <v/>
      </c>
      <c r="BM3510">
        <f>IF('01_Вводные'!$B$234="Да",IF(OR('19_Расчет_аналитики'!BM3482=0,11&lt;='01_Вводные'!$B$297),0,'19_Расчет_аналитики'!BM3482*IF('01_Вводные'!$B$239="Да",MeanMinAge11+'19_Расчет_аналитики'!BM3595*SUMIF(ThresholdAge11,"&lt;"&amp;'19_Расчет_аналитики'!BM3595,WeightedRevAge11)-SUMIF(ThresholdAge11,"&lt;"&amp;'19_Расчет_аналитики'!BM3595,WeightedMinAge11),MAX(CapacityAge11*'01_Вводные'!$B$218*'19_Расчет_аналитики'!BM3595,MeanMinAge11))),0)</f>
        <v/>
      </c>
      <c r="BN3510">
        <f>IF('01_Вводные'!$B$234="Да",IF(OR('19_Расчет_аналитики'!BN3482=0,11&lt;='01_Вводные'!$B$297),0,'19_Расчет_аналитики'!BN3482*IF('01_Вводные'!$B$239="Да",MeanMinAge11+'19_Расчет_аналитики'!BN3595*SUMIF(ThresholdAge11,"&lt;"&amp;'19_Расчет_аналитики'!BN3595,WeightedRevAge11)-SUMIF(ThresholdAge11,"&lt;"&amp;'19_Расчет_аналитики'!BN3595,WeightedMinAge11),MAX(CapacityAge11*'01_Вводные'!$B$218*'19_Расчет_аналитики'!BN3595,MeanMinAge11))),0)</f>
        <v/>
      </c>
      <c r="BO3510">
        <f>IF('01_Вводные'!$B$234="Да",IF(OR('19_Расчет_аналитики'!BO3482=0,11&lt;='01_Вводные'!$B$297),0,'19_Расчет_аналитики'!BO3482*IF('01_Вводные'!$B$239="Да",MeanMinAge11+'19_Расчет_аналитики'!BO3595*SUMIF(ThresholdAge11,"&lt;"&amp;'19_Расчет_аналитики'!BO3595,WeightedRevAge11)-SUMIF(ThresholdAge11,"&lt;"&amp;'19_Расчет_аналитики'!BO3595,WeightedMinAge11),MAX(CapacityAge11*'01_Вводные'!$B$218*'19_Расчет_аналитики'!BO3595,MeanMinAge11))),0)</f>
        <v/>
      </c>
    </row>
    <row r="3511">
      <c r="B3511">
        <f>IF('01_Вводные'!$B$234="Да",IF(OR('06_Сеть_и_дети'!B92=0,12&lt;='01_Вводные'!$B$297),0,'06_Сеть_и_дети'!B92*IF('01_Вводные'!$B$239="Да",MeanMinAge12+'19_Расчет_аналитики'!B3595*SUMIF(ThresholdAge12,"&lt;"&amp;'19_Расчет_аналитики'!B3595,WeightedRevAge12)-SUMIF(ThresholdAge12,"&lt;"&amp;'19_Расчет_аналитики'!B3595,WeightedMinAge12),MAX(CapacityAge12*'01_Вводные'!$B$218*'19_Расчет_аналитики'!B3595,MeanMinAge12))),0)</f>
        <v/>
      </c>
      <c r="C3511">
        <f>IF('01_Вводные'!$B$234="Да",IF(OR('06_Сеть_и_дети'!C92=0,12&lt;='01_Вводные'!$B$297),0,'06_Сеть_и_дети'!C92*IF('01_Вводные'!$B$239="Да",MeanMinAge12+'19_Расчет_аналитики'!C3595*SUMIF(ThresholdAge12,"&lt;"&amp;'19_Расчет_аналитики'!C3595,WeightedRevAge12)-SUMIF(ThresholdAge12,"&lt;"&amp;'19_Расчет_аналитики'!C3595,WeightedMinAge12),MAX(CapacityAge12*'01_Вводные'!$B$218*'19_Расчет_аналитики'!C3595,MeanMinAge12))),0)</f>
        <v/>
      </c>
      <c r="D3511">
        <f>IF('01_Вводные'!$B$234="Да",IF(OR('06_Сеть_и_дети'!D92=0,12&lt;='01_Вводные'!$B$297),0,'06_Сеть_и_дети'!D92*IF('01_Вводные'!$B$239="Да",MeanMinAge12+'19_Расчет_аналитики'!D3595*SUMIF(ThresholdAge12,"&lt;"&amp;'19_Расчет_аналитики'!D3595,WeightedRevAge12)-SUMIF(ThresholdAge12,"&lt;"&amp;'19_Расчет_аналитики'!D3595,WeightedMinAge12),MAX(CapacityAge12*'01_Вводные'!$B$218*'19_Расчет_аналитики'!D3595,MeanMinAge12))),0)</f>
        <v/>
      </c>
      <c r="E3511">
        <f>IF('01_Вводные'!$B$234="Да",IF(OR('06_Сеть_и_дети'!E92=0,12&lt;='01_Вводные'!$B$297),0,'06_Сеть_и_дети'!E92*IF('01_Вводные'!$B$239="Да",MeanMinAge12+'19_Расчет_аналитики'!E3595*SUMIF(ThresholdAge12,"&lt;"&amp;'19_Расчет_аналитики'!E3595,WeightedRevAge12)-SUMIF(ThresholdAge12,"&lt;"&amp;'19_Расчет_аналитики'!E3595,WeightedMinAge12),MAX(CapacityAge12*'01_Вводные'!$B$218*'19_Расчет_аналитики'!E3595,MeanMinAge12))),0)</f>
        <v/>
      </c>
      <c r="F3511">
        <f>IF('01_Вводные'!$B$234="Да",IF(OR('06_Сеть_и_дети'!F92=0,12&lt;='01_Вводные'!$B$297),0,'06_Сеть_и_дети'!F92*IF('01_Вводные'!$B$239="Да",MeanMinAge12+'19_Расчет_аналитики'!F3595*SUMIF(ThresholdAge12,"&lt;"&amp;'19_Расчет_аналитики'!F3595,WeightedRevAge12)-SUMIF(ThresholdAge12,"&lt;"&amp;'19_Расчет_аналитики'!F3595,WeightedMinAge12),MAX(CapacityAge12*'01_Вводные'!$B$218*'19_Расчет_аналитики'!F3595,MeanMinAge12))),0)</f>
        <v/>
      </c>
      <c r="G3511">
        <f>IF('01_Вводные'!$B$234="Да",IF(OR('06_Сеть_и_дети'!G92=0,12&lt;='01_Вводные'!$B$297),0,'06_Сеть_и_дети'!G92*IF('01_Вводные'!$B$239="Да",MeanMinAge12+'19_Расчет_аналитики'!G3595*SUMIF(ThresholdAge12,"&lt;"&amp;'19_Расчет_аналитики'!G3595,WeightedRevAge12)-SUMIF(ThresholdAge12,"&lt;"&amp;'19_Расчет_аналитики'!G3595,WeightedMinAge12),MAX(CapacityAge12*'01_Вводные'!$B$218*'19_Расчет_аналитики'!G3595,MeanMinAge12))),0)</f>
        <v/>
      </c>
      <c r="H3511">
        <f>IF('01_Вводные'!$B$234="Да",IF(OR('06_Сеть_и_дети'!H92=0,12&lt;='01_Вводные'!$B$297),0,'06_Сеть_и_дети'!H92*IF('01_Вводные'!$B$239="Да",MeanMinAge12+'19_Расчет_аналитики'!H3595*SUMIF(ThresholdAge12,"&lt;"&amp;'19_Расчет_аналитики'!H3595,WeightedRevAge12)-SUMIF(ThresholdAge12,"&lt;"&amp;'19_Расчет_аналитики'!H3595,WeightedMinAge12),MAX(CapacityAge12*'01_Вводные'!$B$218*'19_Расчет_аналитики'!H3595,MeanMinAge12))),0)</f>
        <v/>
      </c>
      <c r="I3511">
        <f>IF('01_Вводные'!$B$234="Да",IF(OR('06_Сеть_и_дети'!I92=0,12&lt;='01_Вводные'!$B$297),0,'06_Сеть_и_дети'!I92*IF('01_Вводные'!$B$239="Да",MeanMinAge12+'19_Расчет_аналитики'!I3595*SUMIF(ThresholdAge12,"&lt;"&amp;'19_Расчет_аналитики'!I3595,WeightedRevAge12)-SUMIF(ThresholdAge12,"&lt;"&amp;'19_Расчет_аналитики'!I3595,WeightedMinAge12),MAX(CapacityAge12*'01_Вводные'!$B$218*'19_Расчет_аналитики'!I3595,MeanMinAge12))),0)</f>
        <v/>
      </c>
      <c r="J3511">
        <f>IF('01_Вводные'!$B$234="Да",IF(OR('06_Сеть_и_дети'!J92=0,12&lt;='01_Вводные'!$B$297),0,'06_Сеть_и_дети'!J92*IF('01_Вводные'!$B$239="Да",MeanMinAge12+'19_Расчет_аналитики'!J3595*SUMIF(ThresholdAge12,"&lt;"&amp;'19_Расчет_аналитики'!J3595,WeightedRevAge12)-SUMIF(ThresholdAge12,"&lt;"&amp;'19_Расчет_аналитики'!J3595,WeightedMinAge12),MAX(CapacityAge12*'01_Вводные'!$B$218*'19_Расчет_аналитики'!J3595,MeanMinAge12))),0)</f>
        <v/>
      </c>
      <c r="K3511">
        <f>IF('01_Вводные'!$B$234="Да",IF(OR('06_Сеть_и_дети'!K92=0,12&lt;='01_Вводные'!$B$297),0,'06_Сеть_и_дети'!K92*IF('01_Вводные'!$B$239="Да",MeanMinAge12+'19_Расчет_аналитики'!K3595*SUMIF(ThresholdAge12,"&lt;"&amp;'19_Расчет_аналитики'!K3595,WeightedRevAge12)-SUMIF(ThresholdAge12,"&lt;"&amp;'19_Расчет_аналитики'!K3595,WeightedMinAge12),MAX(CapacityAge12*'01_Вводные'!$B$218*'19_Расчет_аналитики'!K3595,MeanMinAge12))),0)</f>
        <v/>
      </c>
      <c r="L3511">
        <f>IF('01_Вводные'!$B$234="Да",IF(OR('06_Сеть_и_дети'!L92=0,12&lt;='01_Вводные'!$B$297),0,'06_Сеть_и_дети'!L92*IF('01_Вводные'!$B$239="Да",MeanMinAge12+'19_Расчет_аналитики'!L3595*SUMIF(ThresholdAge12,"&lt;"&amp;'19_Расчет_аналитики'!L3595,WeightedRevAge12)-SUMIF(ThresholdAge12,"&lt;"&amp;'19_Расчет_аналитики'!L3595,WeightedMinAge12),MAX(CapacityAge12*'01_Вводные'!$B$218*'19_Расчет_аналитики'!L3595,MeanMinAge12))),0)</f>
        <v/>
      </c>
      <c r="M3511">
        <f>IF('01_Вводные'!$B$234="Да",IF(OR('19_Расчет_аналитики'!M3483=0,12&lt;='01_Вводные'!$B$297),0,'19_Расчет_аналитики'!M3483*IF('01_Вводные'!$B$239="Да",MeanMinAge12+'19_Расчет_аналитики'!M3595*SUMIF(ThresholdAge12,"&lt;"&amp;'19_Расчет_аналитики'!M3595,WeightedRevAge12)-SUMIF(ThresholdAge12,"&lt;"&amp;'19_Расчет_аналитики'!M3595,WeightedMinAge12),MAX(CapacityAge12*'01_Вводные'!$B$218*'19_Расчет_аналитики'!M3595,MeanMinAge12))),0)</f>
        <v/>
      </c>
      <c r="N3511">
        <f>IF('01_Вводные'!$B$234="Да",IF(OR('19_Расчет_аналитики'!N3483=0,12&lt;='01_Вводные'!$B$297),0,'19_Расчет_аналитики'!N3483*IF('01_Вводные'!$B$239="Да",MeanMinAge12+'19_Расчет_аналитики'!N3595*SUMIF(ThresholdAge12,"&lt;"&amp;'19_Расчет_аналитики'!N3595,WeightedRevAge12)-SUMIF(ThresholdAge12,"&lt;"&amp;'19_Расчет_аналитики'!N3595,WeightedMinAge12),MAX(CapacityAge12*'01_Вводные'!$B$218*'19_Расчет_аналитики'!N3595,MeanMinAge12))),0)</f>
        <v/>
      </c>
      <c r="O3511">
        <f>IF('01_Вводные'!$B$234="Да",IF(OR('19_Расчет_аналитики'!O3483=0,12&lt;='01_Вводные'!$B$297),0,'19_Расчет_аналитики'!O3483*IF('01_Вводные'!$B$239="Да",MeanMinAge12+'19_Расчет_аналитики'!O3595*SUMIF(ThresholdAge12,"&lt;"&amp;'19_Расчет_аналитики'!O3595,WeightedRevAge12)-SUMIF(ThresholdAge12,"&lt;"&amp;'19_Расчет_аналитики'!O3595,WeightedMinAge12),MAX(CapacityAge12*'01_Вводные'!$B$218*'19_Расчет_аналитики'!O3595,MeanMinAge12))),0)</f>
        <v/>
      </c>
      <c r="P3511">
        <f>IF('01_Вводные'!$B$234="Да",IF(OR('19_Расчет_аналитики'!P3483=0,12&lt;='01_Вводные'!$B$297),0,'19_Расчет_аналитики'!P3483*IF('01_Вводные'!$B$239="Да",MeanMinAge12+'19_Расчет_аналитики'!P3595*SUMIF(ThresholdAge12,"&lt;"&amp;'19_Расчет_аналитики'!P3595,WeightedRevAge12)-SUMIF(ThresholdAge12,"&lt;"&amp;'19_Расчет_аналитики'!P3595,WeightedMinAge12),MAX(CapacityAge12*'01_Вводные'!$B$218*'19_Расчет_аналитики'!P3595,MeanMinAge12))),0)</f>
        <v/>
      </c>
      <c r="Q3511">
        <f>IF('01_Вводные'!$B$234="Да",IF(OR('19_Расчет_аналитики'!Q3483=0,12&lt;='01_Вводные'!$B$297),0,'19_Расчет_аналитики'!Q3483*IF('01_Вводные'!$B$239="Да",MeanMinAge12+'19_Расчет_аналитики'!Q3595*SUMIF(ThresholdAge12,"&lt;"&amp;'19_Расчет_аналитики'!Q3595,WeightedRevAge12)-SUMIF(ThresholdAge12,"&lt;"&amp;'19_Расчет_аналитики'!Q3595,WeightedMinAge12),MAX(CapacityAge12*'01_Вводные'!$B$218*'19_Расчет_аналитики'!Q3595,MeanMinAge12))),0)</f>
        <v/>
      </c>
      <c r="R3511">
        <f>IF('01_Вводные'!$B$234="Да",IF(OR('19_Расчет_аналитики'!R3483=0,12&lt;='01_Вводные'!$B$297),0,'19_Расчет_аналитики'!R3483*IF('01_Вводные'!$B$239="Да",MeanMinAge12+'19_Расчет_аналитики'!R3595*SUMIF(ThresholdAge12,"&lt;"&amp;'19_Расчет_аналитики'!R3595,WeightedRevAge12)-SUMIF(ThresholdAge12,"&lt;"&amp;'19_Расчет_аналитики'!R3595,WeightedMinAge12),MAX(CapacityAge12*'01_Вводные'!$B$218*'19_Расчет_аналитики'!R3595,MeanMinAge12))),0)</f>
        <v/>
      </c>
      <c r="S3511">
        <f>IF('01_Вводные'!$B$234="Да",IF(OR('19_Расчет_аналитики'!S3483=0,12&lt;='01_Вводные'!$B$297),0,'19_Расчет_аналитики'!S3483*IF('01_Вводные'!$B$239="Да",MeanMinAge12+'19_Расчет_аналитики'!S3595*SUMIF(ThresholdAge12,"&lt;"&amp;'19_Расчет_аналитики'!S3595,WeightedRevAge12)-SUMIF(ThresholdAge12,"&lt;"&amp;'19_Расчет_аналитики'!S3595,WeightedMinAge12),MAX(CapacityAge12*'01_Вводные'!$B$218*'19_Расчет_аналитики'!S3595,MeanMinAge12))),0)</f>
        <v/>
      </c>
      <c r="T3511">
        <f>IF('01_Вводные'!$B$234="Да",IF(OR('19_Расчет_аналитики'!T3483=0,12&lt;='01_Вводные'!$B$297),0,'19_Расчет_аналитики'!T3483*IF('01_Вводные'!$B$239="Да",MeanMinAge12+'19_Расчет_аналитики'!T3595*SUMIF(ThresholdAge12,"&lt;"&amp;'19_Расчет_аналитики'!T3595,WeightedRevAge12)-SUMIF(ThresholdAge12,"&lt;"&amp;'19_Расчет_аналитики'!T3595,WeightedMinAge12),MAX(CapacityAge12*'01_Вводные'!$B$218*'19_Расчет_аналитики'!T3595,MeanMinAge12))),0)</f>
        <v/>
      </c>
      <c r="U3511">
        <f>IF('01_Вводные'!$B$234="Да",IF(OR('19_Расчет_аналитики'!U3483=0,12&lt;='01_Вводные'!$B$297),0,'19_Расчет_аналитики'!U3483*IF('01_Вводные'!$B$239="Да",MeanMinAge12+'19_Расчет_аналитики'!U3595*SUMIF(ThresholdAge12,"&lt;"&amp;'19_Расчет_аналитики'!U3595,WeightedRevAge12)-SUMIF(ThresholdAge12,"&lt;"&amp;'19_Расчет_аналитики'!U3595,WeightedMinAge12),MAX(CapacityAge12*'01_Вводные'!$B$218*'19_Расчет_аналитики'!U3595,MeanMinAge12))),0)</f>
        <v/>
      </c>
      <c r="V3511">
        <f>IF('01_Вводные'!$B$234="Да",IF(OR('19_Расчет_аналитики'!V3483=0,12&lt;='01_Вводные'!$B$297),0,'19_Расчет_аналитики'!V3483*IF('01_Вводные'!$B$239="Да",MeanMinAge12+'19_Расчет_аналитики'!V3595*SUMIF(ThresholdAge12,"&lt;"&amp;'19_Расчет_аналитики'!V3595,WeightedRevAge12)-SUMIF(ThresholdAge12,"&lt;"&amp;'19_Расчет_аналитики'!V3595,WeightedMinAge12),MAX(CapacityAge12*'01_Вводные'!$B$218*'19_Расчет_аналитики'!V3595,MeanMinAge12))),0)</f>
        <v/>
      </c>
      <c r="W3511">
        <f>IF('01_Вводные'!$B$234="Да",IF(OR('19_Расчет_аналитики'!W3483=0,12&lt;='01_Вводные'!$B$297),0,'19_Расчет_аналитики'!W3483*IF('01_Вводные'!$B$239="Да",MeanMinAge12+'19_Расчет_аналитики'!W3595*SUMIF(ThresholdAge12,"&lt;"&amp;'19_Расчет_аналитики'!W3595,WeightedRevAge12)-SUMIF(ThresholdAge12,"&lt;"&amp;'19_Расчет_аналитики'!W3595,WeightedMinAge12),MAX(CapacityAge12*'01_Вводные'!$B$218*'19_Расчет_аналитики'!W3595,MeanMinAge12))),0)</f>
        <v/>
      </c>
      <c r="X3511">
        <f>IF('01_Вводные'!$B$234="Да",IF(OR('19_Расчет_аналитики'!X3483=0,12&lt;='01_Вводные'!$B$297),0,'19_Расчет_аналитики'!X3483*IF('01_Вводные'!$B$239="Да",MeanMinAge12+'19_Расчет_аналитики'!X3595*SUMIF(ThresholdAge12,"&lt;"&amp;'19_Расчет_аналитики'!X3595,WeightedRevAge12)-SUMIF(ThresholdAge12,"&lt;"&amp;'19_Расчет_аналитики'!X3595,WeightedMinAge12),MAX(CapacityAge12*'01_Вводные'!$B$218*'19_Расчет_аналитики'!X3595,MeanMinAge12))),0)</f>
        <v/>
      </c>
      <c r="Y3511">
        <f>IF('01_Вводные'!$B$234="Да",IF(OR('19_Расчет_аналитики'!Y3483=0,12&lt;='01_Вводные'!$B$297),0,'19_Расчет_аналитики'!Y3483*IF('01_Вводные'!$B$239="Да",MeanMinAge12+'19_Расчет_аналитики'!Y3595*SUMIF(ThresholdAge12,"&lt;"&amp;'19_Расчет_аналитики'!Y3595,WeightedRevAge12)-SUMIF(ThresholdAge12,"&lt;"&amp;'19_Расчет_аналитики'!Y3595,WeightedMinAge12),MAX(CapacityAge12*'01_Вводные'!$B$218*'19_Расчет_аналитики'!Y3595,MeanMinAge12))),0)</f>
        <v/>
      </c>
      <c r="Z3511">
        <f>IF('01_Вводные'!$B$234="Да",IF(OR('19_Расчет_аналитики'!Z3483=0,12&lt;='01_Вводные'!$B$297),0,'19_Расчет_аналитики'!Z3483*IF('01_Вводные'!$B$239="Да",MeanMinAge12+'19_Расчет_аналитики'!Z3595*SUMIF(ThresholdAge12,"&lt;"&amp;'19_Расчет_аналитики'!Z3595,WeightedRevAge12)-SUMIF(ThresholdAge12,"&lt;"&amp;'19_Расчет_аналитики'!Z3595,WeightedMinAge12),MAX(CapacityAge12*'01_Вводные'!$B$218*'19_Расчет_аналитики'!Z3595,MeanMinAge12))),0)</f>
        <v/>
      </c>
      <c r="AA3511">
        <f>IF('01_Вводные'!$B$234="Да",IF(OR('19_Расчет_аналитики'!AA3483=0,12&lt;='01_Вводные'!$B$297),0,'19_Расчет_аналитики'!AA3483*IF('01_Вводные'!$B$239="Да",MeanMinAge12+'19_Расчет_аналитики'!AA3595*SUMIF(ThresholdAge12,"&lt;"&amp;'19_Расчет_аналитики'!AA3595,WeightedRevAge12)-SUMIF(ThresholdAge12,"&lt;"&amp;'19_Расчет_аналитики'!AA3595,WeightedMinAge12),MAX(CapacityAge12*'01_Вводные'!$B$218*'19_Расчет_аналитики'!AA3595,MeanMinAge12))),0)</f>
        <v/>
      </c>
      <c r="AB3511">
        <f>IF('01_Вводные'!$B$234="Да",IF(OR('19_Расчет_аналитики'!AB3483=0,12&lt;='01_Вводные'!$B$297),0,'19_Расчет_аналитики'!AB3483*IF('01_Вводные'!$B$239="Да",MeanMinAge12+'19_Расчет_аналитики'!AB3595*SUMIF(ThresholdAge12,"&lt;"&amp;'19_Расчет_аналитики'!AB3595,WeightedRevAge12)-SUMIF(ThresholdAge12,"&lt;"&amp;'19_Расчет_аналитики'!AB3595,WeightedMinAge12),MAX(CapacityAge12*'01_Вводные'!$B$218*'19_Расчет_аналитики'!AB3595,MeanMinAge12))),0)</f>
        <v/>
      </c>
      <c r="AC3511">
        <f>IF('01_Вводные'!$B$234="Да",IF(OR('19_Расчет_аналитики'!AC3483=0,12&lt;='01_Вводные'!$B$297),0,'19_Расчет_аналитики'!AC3483*IF('01_Вводные'!$B$239="Да",MeanMinAge12+'19_Расчет_аналитики'!AC3595*SUMIF(ThresholdAge12,"&lt;"&amp;'19_Расчет_аналитики'!AC3595,WeightedRevAge12)-SUMIF(ThresholdAge12,"&lt;"&amp;'19_Расчет_аналитики'!AC3595,WeightedMinAge12),MAX(CapacityAge12*'01_Вводные'!$B$218*'19_Расчет_аналитики'!AC3595,MeanMinAge12))),0)</f>
        <v/>
      </c>
      <c r="AD3511">
        <f>IF('01_Вводные'!$B$234="Да",IF(OR('19_Расчет_аналитики'!AD3483=0,12&lt;='01_Вводные'!$B$297),0,'19_Расчет_аналитики'!AD3483*IF('01_Вводные'!$B$239="Да",MeanMinAge12+'19_Расчет_аналитики'!AD3595*SUMIF(ThresholdAge12,"&lt;"&amp;'19_Расчет_аналитики'!AD3595,WeightedRevAge12)-SUMIF(ThresholdAge12,"&lt;"&amp;'19_Расчет_аналитики'!AD3595,WeightedMinAge12),MAX(CapacityAge12*'01_Вводные'!$B$218*'19_Расчет_аналитики'!AD3595,MeanMinAge12))),0)</f>
        <v/>
      </c>
      <c r="AE3511">
        <f>IF('01_Вводные'!$B$234="Да",IF(OR('19_Расчет_аналитики'!AE3483=0,12&lt;='01_Вводные'!$B$297),0,'19_Расчет_аналитики'!AE3483*IF('01_Вводные'!$B$239="Да",MeanMinAge12+'19_Расчет_аналитики'!AE3595*SUMIF(ThresholdAge12,"&lt;"&amp;'19_Расчет_аналитики'!AE3595,WeightedRevAge12)-SUMIF(ThresholdAge12,"&lt;"&amp;'19_Расчет_аналитики'!AE3595,WeightedMinAge12),MAX(CapacityAge12*'01_Вводные'!$B$218*'19_Расчет_аналитики'!AE3595,MeanMinAge12))),0)</f>
        <v/>
      </c>
      <c r="AF3511">
        <f>IF('01_Вводные'!$B$234="Да",IF(OR('19_Расчет_аналитики'!AF3483=0,12&lt;='01_Вводные'!$B$297),0,'19_Расчет_аналитики'!AF3483*IF('01_Вводные'!$B$239="Да",MeanMinAge12+'19_Расчет_аналитики'!AF3595*SUMIF(ThresholdAge12,"&lt;"&amp;'19_Расчет_аналитики'!AF3595,WeightedRevAge12)-SUMIF(ThresholdAge12,"&lt;"&amp;'19_Расчет_аналитики'!AF3595,WeightedMinAge12),MAX(CapacityAge12*'01_Вводные'!$B$218*'19_Расчет_аналитики'!AF3595,MeanMinAge12))),0)</f>
        <v/>
      </c>
      <c r="AG3511">
        <f>IF('01_Вводные'!$B$234="Да",IF(OR('19_Расчет_аналитики'!AG3483=0,12&lt;='01_Вводные'!$B$297),0,'19_Расчет_аналитики'!AG3483*IF('01_Вводные'!$B$239="Да",MeanMinAge12+'19_Расчет_аналитики'!AG3595*SUMIF(ThresholdAge12,"&lt;"&amp;'19_Расчет_аналитики'!AG3595,WeightedRevAge12)-SUMIF(ThresholdAge12,"&lt;"&amp;'19_Расчет_аналитики'!AG3595,WeightedMinAge12),MAX(CapacityAge12*'01_Вводные'!$B$218*'19_Расчет_аналитики'!AG3595,MeanMinAge12))),0)</f>
        <v/>
      </c>
      <c r="AH3511">
        <f>IF('01_Вводные'!$B$234="Да",IF(OR('19_Расчет_аналитики'!AH3483=0,12&lt;='01_Вводные'!$B$297),0,'19_Расчет_аналитики'!AH3483*IF('01_Вводные'!$B$239="Да",MeanMinAge12+'19_Расчет_аналитики'!AH3595*SUMIF(ThresholdAge12,"&lt;"&amp;'19_Расчет_аналитики'!AH3595,WeightedRevAge12)-SUMIF(ThresholdAge12,"&lt;"&amp;'19_Расчет_аналитики'!AH3595,WeightedMinAge12),MAX(CapacityAge12*'01_Вводные'!$B$218*'19_Расчет_аналитики'!AH3595,MeanMinAge12))),0)</f>
        <v/>
      </c>
      <c r="AI3511">
        <f>IF('01_Вводные'!$B$234="Да",IF(OR('19_Расчет_аналитики'!AI3483=0,12&lt;='01_Вводные'!$B$297),0,'19_Расчет_аналитики'!AI3483*IF('01_Вводные'!$B$239="Да",MeanMinAge12+'19_Расчет_аналитики'!AI3595*SUMIF(ThresholdAge12,"&lt;"&amp;'19_Расчет_аналитики'!AI3595,WeightedRevAge12)-SUMIF(ThresholdAge12,"&lt;"&amp;'19_Расчет_аналитики'!AI3595,WeightedMinAge12),MAX(CapacityAge12*'01_Вводные'!$B$218*'19_Расчет_аналитики'!AI3595,MeanMinAge12))),0)</f>
        <v/>
      </c>
      <c r="AJ3511">
        <f>IF('01_Вводные'!$B$234="Да",IF(OR('19_Расчет_аналитики'!AJ3483=0,12&lt;='01_Вводные'!$B$297),0,'19_Расчет_аналитики'!AJ3483*IF('01_Вводные'!$B$239="Да",MeanMinAge12+'19_Расчет_аналитики'!AJ3595*SUMIF(ThresholdAge12,"&lt;"&amp;'19_Расчет_аналитики'!AJ3595,WeightedRevAge12)-SUMIF(ThresholdAge12,"&lt;"&amp;'19_Расчет_аналитики'!AJ3595,WeightedMinAge12),MAX(CapacityAge12*'01_Вводные'!$B$218*'19_Расчет_аналитики'!AJ3595,MeanMinAge12))),0)</f>
        <v/>
      </c>
      <c r="AK3511">
        <f>IF('01_Вводные'!$B$234="Да",IF(OR('19_Расчет_аналитики'!AK3483=0,12&lt;='01_Вводные'!$B$297),0,'19_Расчет_аналитики'!AK3483*IF('01_Вводные'!$B$239="Да",MeanMinAge12+'19_Расчет_аналитики'!AK3595*SUMIF(ThresholdAge12,"&lt;"&amp;'19_Расчет_аналитики'!AK3595,WeightedRevAge12)-SUMIF(ThresholdAge12,"&lt;"&amp;'19_Расчет_аналитики'!AK3595,WeightedMinAge12),MAX(CapacityAge12*'01_Вводные'!$B$218*'19_Расчет_аналитики'!AK3595,MeanMinAge12))),0)</f>
        <v/>
      </c>
      <c r="AL3511">
        <f>IF('01_Вводные'!$B$234="Да",IF(OR('19_Расчет_аналитики'!AL3483=0,12&lt;='01_Вводные'!$B$297),0,'19_Расчет_аналитики'!AL3483*IF('01_Вводные'!$B$239="Да",MeanMinAge12+'19_Расчет_аналитики'!AL3595*SUMIF(ThresholdAge12,"&lt;"&amp;'19_Расчет_аналитики'!AL3595,WeightedRevAge12)-SUMIF(ThresholdAge12,"&lt;"&amp;'19_Расчет_аналитики'!AL3595,WeightedMinAge12),MAX(CapacityAge12*'01_Вводные'!$B$218*'19_Расчет_аналитики'!AL3595,MeanMinAge12))),0)</f>
        <v/>
      </c>
      <c r="AM3511">
        <f>IF('01_Вводные'!$B$234="Да",IF(OR('19_Расчет_аналитики'!AM3483=0,12&lt;='01_Вводные'!$B$297),0,'19_Расчет_аналитики'!AM3483*IF('01_Вводные'!$B$239="Да",MeanMinAge12+'19_Расчет_аналитики'!AM3595*SUMIF(ThresholdAge12,"&lt;"&amp;'19_Расчет_аналитики'!AM3595,WeightedRevAge12)-SUMIF(ThresholdAge12,"&lt;"&amp;'19_Расчет_аналитики'!AM3595,WeightedMinAge12),MAX(CapacityAge12*'01_Вводные'!$B$218*'19_Расчет_аналитики'!AM3595,MeanMinAge12))),0)</f>
        <v/>
      </c>
      <c r="AN3511">
        <f>IF('01_Вводные'!$B$234="Да",IF(OR('19_Расчет_аналитики'!AN3483=0,12&lt;='01_Вводные'!$B$297),0,'19_Расчет_аналитики'!AN3483*IF('01_Вводные'!$B$239="Да",MeanMinAge12+'19_Расчет_аналитики'!AN3595*SUMIF(ThresholdAge12,"&lt;"&amp;'19_Расчет_аналитики'!AN3595,WeightedRevAge12)-SUMIF(ThresholdAge12,"&lt;"&amp;'19_Расчет_аналитики'!AN3595,WeightedMinAge12),MAX(CapacityAge12*'01_Вводные'!$B$218*'19_Расчет_аналитики'!AN3595,MeanMinAge12))),0)</f>
        <v/>
      </c>
      <c r="AO3511">
        <f>IF('01_Вводные'!$B$234="Да",IF(OR('19_Расчет_аналитики'!AO3483=0,12&lt;='01_Вводные'!$B$297),0,'19_Расчет_аналитики'!AO3483*IF('01_Вводные'!$B$239="Да",MeanMinAge12+'19_Расчет_аналитики'!AO3595*SUMIF(ThresholdAge12,"&lt;"&amp;'19_Расчет_аналитики'!AO3595,WeightedRevAge12)-SUMIF(ThresholdAge12,"&lt;"&amp;'19_Расчет_аналитики'!AO3595,WeightedMinAge12),MAX(CapacityAge12*'01_Вводные'!$B$218*'19_Расчет_аналитики'!AO3595,MeanMinAge12))),0)</f>
        <v/>
      </c>
      <c r="AP3511">
        <f>IF('01_Вводные'!$B$234="Да",IF(OR('19_Расчет_аналитики'!AP3483=0,12&lt;='01_Вводные'!$B$297),0,'19_Расчет_аналитики'!AP3483*IF('01_Вводные'!$B$239="Да",MeanMinAge12+'19_Расчет_аналитики'!AP3595*SUMIF(ThresholdAge12,"&lt;"&amp;'19_Расчет_аналитики'!AP3595,WeightedRevAge12)-SUMIF(ThresholdAge12,"&lt;"&amp;'19_Расчет_аналитики'!AP3595,WeightedMinAge12),MAX(CapacityAge12*'01_Вводные'!$B$218*'19_Расчет_аналитики'!AP3595,MeanMinAge12))),0)</f>
        <v/>
      </c>
      <c r="AQ3511">
        <f>IF('01_Вводные'!$B$234="Да",IF(OR('19_Расчет_аналитики'!AQ3483=0,12&lt;='01_Вводные'!$B$297),0,'19_Расчет_аналитики'!AQ3483*IF('01_Вводные'!$B$239="Да",MeanMinAge12+'19_Расчет_аналитики'!AQ3595*SUMIF(ThresholdAge12,"&lt;"&amp;'19_Расчет_аналитики'!AQ3595,WeightedRevAge12)-SUMIF(ThresholdAge12,"&lt;"&amp;'19_Расчет_аналитики'!AQ3595,WeightedMinAge12),MAX(CapacityAge12*'01_Вводные'!$B$218*'19_Расчет_аналитики'!AQ3595,MeanMinAge12))),0)</f>
        <v/>
      </c>
      <c r="AR3511">
        <f>IF('01_Вводные'!$B$234="Да",IF(OR('19_Расчет_аналитики'!AR3483=0,12&lt;='01_Вводные'!$B$297),0,'19_Расчет_аналитики'!AR3483*IF('01_Вводные'!$B$239="Да",MeanMinAge12+'19_Расчет_аналитики'!AR3595*SUMIF(ThresholdAge12,"&lt;"&amp;'19_Расчет_аналитики'!AR3595,WeightedRevAge12)-SUMIF(ThresholdAge12,"&lt;"&amp;'19_Расчет_аналитики'!AR3595,WeightedMinAge12),MAX(CapacityAge12*'01_Вводные'!$B$218*'19_Расчет_аналитики'!AR3595,MeanMinAge12))),0)</f>
        <v/>
      </c>
      <c r="AS3511">
        <f>IF('01_Вводные'!$B$234="Да",IF(OR('19_Расчет_аналитики'!AS3483=0,12&lt;='01_Вводные'!$B$297),0,'19_Расчет_аналитики'!AS3483*IF('01_Вводные'!$B$239="Да",MeanMinAge12+'19_Расчет_аналитики'!AS3595*SUMIF(ThresholdAge12,"&lt;"&amp;'19_Расчет_аналитики'!AS3595,WeightedRevAge12)-SUMIF(ThresholdAge12,"&lt;"&amp;'19_Расчет_аналитики'!AS3595,WeightedMinAge12),MAX(CapacityAge12*'01_Вводные'!$B$218*'19_Расчет_аналитики'!AS3595,MeanMinAge12))),0)</f>
        <v/>
      </c>
      <c r="AT3511">
        <f>IF('01_Вводные'!$B$234="Да",IF(OR('19_Расчет_аналитики'!AT3483=0,12&lt;='01_Вводные'!$B$297),0,'19_Расчет_аналитики'!AT3483*IF('01_Вводные'!$B$239="Да",MeanMinAge12+'19_Расчет_аналитики'!AT3595*SUMIF(ThresholdAge12,"&lt;"&amp;'19_Расчет_аналитики'!AT3595,WeightedRevAge12)-SUMIF(ThresholdAge12,"&lt;"&amp;'19_Расчет_аналитики'!AT3595,WeightedMinAge12),MAX(CapacityAge12*'01_Вводные'!$B$218*'19_Расчет_аналитики'!AT3595,MeanMinAge12))),0)</f>
        <v/>
      </c>
      <c r="AU3511">
        <f>IF('01_Вводные'!$B$234="Да",IF(OR('19_Расчет_аналитики'!AU3483=0,12&lt;='01_Вводные'!$B$297),0,'19_Расчет_аналитики'!AU3483*IF('01_Вводные'!$B$239="Да",MeanMinAge12+'19_Расчет_аналитики'!AU3595*SUMIF(ThresholdAge12,"&lt;"&amp;'19_Расчет_аналитики'!AU3595,WeightedRevAge12)-SUMIF(ThresholdAge12,"&lt;"&amp;'19_Расчет_аналитики'!AU3595,WeightedMinAge12),MAX(CapacityAge12*'01_Вводные'!$B$218*'19_Расчет_аналитики'!AU3595,MeanMinAge12))),0)</f>
        <v/>
      </c>
      <c r="AV3511">
        <f>IF('01_Вводные'!$B$234="Да",IF(OR('19_Расчет_аналитики'!AV3483=0,12&lt;='01_Вводные'!$B$297),0,'19_Расчет_аналитики'!AV3483*IF('01_Вводные'!$B$239="Да",MeanMinAge12+'19_Расчет_аналитики'!AV3595*SUMIF(ThresholdAge12,"&lt;"&amp;'19_Расчет_аналитики'!AV3595,WeightedRevAge12)-SUMIF(ThresholdAge12,"&lt;"&amp;'19_Расчет_аналитики'!AV3595,WeightedMinAge12),MAX(CapacityAge12*'01_Вводные'!$B$218*'19_Расчет_аналитики'!AV3595,MeanMinAge12))),0)</f>
        <v/>
      </c>
      <c r="AW3511">
        <f>IF('01_Вводные'!$B$234="Да",IF(OR('19_Расчет_аналитики'!AW3483=0,12&lt;='01_Вводные'!$B$297),0,'19_Расчет_аналитики'!AW3483*IF('01_Вводные'!$B$239="Да",MeanMinAge12+'19_Расчет_аналитики'!AW3595*SUMIF(ThresholdAge12,"&lt;"&amp;'19_Расчет_аналитики'!AW3595,WeightedRevAge12)-SUMIF(ThresholdAge12,"&lt;"&amp;'19_Расчет_аналитики'!AW3595,WeightedMinAge12),MAX(CapacityAge12*'01_Вводные'!$B$218*'19_Расчет_аналитики'!AW3595,MeanMinAge12))),0)</f>
        <v/>
      </c>
      <c r="AX3511">
        <f>IF('01_Вводные'!$B$234="Да",IF(OR('19_Расчет_аналитики'!AX3483=0,12&lt;='01_Вводные'!$B$297),0,'19_Расчет_аналитики'!AX3483*IF('01_Вводные'!$B$239="Да",MeanMinAge12+'19_Расчет_аналитики'!AX3595*SUMIF(ThresholdAge12,"&lt;"&amp;'19_Расчет_аналитики'!AX3595,WeightedRevAge12)-SUMIF(ThresholdAge12,"&lt;"&amp;'19_Расчет_аналитики'!AX3595,WeightedMinAge12),MAX(CapacityAge12*'01_Вводные'!$B$218*'19_Расчет_аналитики'!AX3595,MeanMinAge12))),0)</f>
        <v/>
      </c>
      <c r="AY3511">
        <f>IF('01_Вводные'!$B$234="Да",IF(OR('19_Расчет_аналитики'!AY3483=0,12&lt;='01_Вводные'!$B$297),0,'19_Расчет_аналитики'!AY3483*IF('01_Вводные'!$B$239="Да",MeanMinAge12+'19_Расчет_аналитики'!AY3595*SUMIF(ThresholdAge12,"&lt;"&amp;'19_Расчет_аналитики'!AY3595,WeightedRevAge12)-SUMIF(ThresholdAge12,"&lt;"&amp;'19_Расчет_аналитики'!AY3595,WeightedMinAge12),MAX(CapacityAge12*'01_Вводные'!$B$218*'19_Расчет_аналитики'!AY3595,MeanMinAge12))),0)</f>
        <v/>
      </c>
      <c r="AZ3511">
        <f>IF('01_Вводные'!$B$234="Да",IF(OR('19_Расчет_аналитики'!AZ3483=0,12&lt;='01_Вводные'!$B$297),0,'19_Расчет_аналитики'!AZ3483*IF('01_Вводные'!$B$239="Да",MeanMinAge12+'19_Расчет_аналитики'!AZ3595*SUMIF(ThresholdAge12,"&lt;"&amp;'19_Расчет_аналитики'!AZ3595,WeightedRevAge12)-SUMIF(ThresholdAge12,"&lt;"&amp;'19_Расчет_аналитики'!AZ3595,WeightedMinAge12),MAX(CapacityAge12*'01_Вводные'!$B$218*'19_Расчет_аналитики'!AZ3595,MeanMinAge12))),0)</f>
        <v/>
      </c>
      <c r="BA3511">
        <f>IF('01_Вводные'!$B$234="Да",IF(OR('19_Расчет_аналитики'!BA3483=0,12&lt;='01_Вводные'!$B$297),0,'19_Расчет_аналитики'!BA3483*IF('01_Вводные'!$B$239="Да",MeanMinAge12+'19_Расчет_аналитики'!BA3595*SUMIF(ThresholdAge12,"&lt;"&amp;'19_Расчет_аналитики'!BA3595,WeightedRevAge12)-SUMIF(ThresholdAge12,"&lt;"&amp;'19_Расчет_аналитики'!BA3595,WeightedMinAge12),MAX(CapacityAge12*'01_Вводные'!$B$218*'19_Расчет_аналитики'!BA3595,MeanMinAge12))),0)</f>
        <v/>
      </c>
      <c r="BB3511">
        <f>IF('01_Вводные'!$B$234="Да",IF(OR('19_Расчет_аналитики'!BB3483=0,12&lt;='01_Вводные'!$B$297),0,'19_Расчет_аналитики'!BB3483*IF('01_Вводные'!$B$239="Да",MeanMinAge12+'19_Расчет_аналитики'!BB3595*SUMIF(ThresholdAge12,"&lt;"&amp;'19_Расчет_аналитики'!BB3595,WeightedRevAge12)-SUMIF(ThresholdAge12,"&lt;"&amp;'19_Расчет_аналитики'!BB3595,WeightedMinAge12),MAX(CapacityAge12*'01_Вводные'!$B$218*'19_Расчет_аналитики'!BB3595,MeanMinAge12))),0)</f>
        <v/>
      </c>
      <c r="BC3511">
        <f>IF('01_Вводные'!$B$234="Да",IF(OR('19_Расчет_аналитики'!BC3483=0,12&lt;='01_Вводные'!$B$297),0,'19_Расчет_аналитики'!BC3483*IF('01_Вводные'!$B$239="Да",MeanMinAge12+'19_Расчет_аналитики'!BC3595*SUMIF(ThresholdAge12,"&lt;"&amp;'19_Расчет_аналитики'!BC3595,WeightedRevAge12)-SUMIF(ThresholdAge12,"&lt;"&amp;'19_Расчет_аналитики'!BC3595,WeightedMinAge12),MAX(CapacityAge12*'01_Вводные'!$B$218*'19_Расчет_аналитики'!BC3595,MeanMinAge12))),0)</f>
        <v/>
      </c>
      <c r="BD3511">
        <f>IF('01_Вводные'!$B$234="Да",IF(OR('19_Расчет_аналитики'!BD3483=0,12&lt;='01_Вводные'!$B$297),0,'19_Расчет_аналитики'!BD3483*IF('01_Вводные'!$B$239="Да",MeanMinAge12+'19_Расчет_аналитики'!BD3595*SUMIF(ThresholdAge12,"&lt;"&amp;'19_Расчет_аналитики'!BD3595,WeightedRevAge12)-SUMIF(ThresholdAge12,"&lt;"&amp;'19_Расчет_аналитики'!BD3595,WeightedMinAge12),MAX(CapacityAge12*'01_Вводные'!$B$218*'19_Расчет_аналитики'!BD3595,MeanMinAge12))),0)</f>
        <v/>
      </c>
      <c r="BE3511">
        <f>IF('01_Вводные'!$B$234="Да",IF(OR('19_Расчет_аналитики'!BE3483=0,12&lt;='01_Вводные'!$B$297),0,'19_Расчет_аналитики'!BE3483*IF('01_Вводные'!$B$239="Да",MeanMinAge12+'19_Расчет_аналитики'!BE3595*SUMIF(ThresholdAge12,"&lt;"&amp;'19_Расчет_аналитики'!BE3595,WeightedRevAge12)-SUMIF(ThresholdAge12,"&lt;"&amp;'19_Расчет_аналитики'!BE3595,WeightedMinAge12),MAX(CapacityAge12*'01_Вводные'!$B$218*'19_Расчет_аналитики'!BE3595,MeanMinAge12))),0)</f>
        <v/>
      </c>
      <c r="BF3511">
        <f>IF('01_Вводные'!$B$234="Да",IF(OR('19_Расчет_аналитики'!BF3483=0,12&lt;='01_Вводные'!$B$297),0,'19_Расчет_аналитики'!BF3483*IF('01_Вводные'!$B$239="Да",MeanMinAge12+'19_Расчет_аналитики'!BF3595*SUMIF(ThresholdAge12,"&lt;"&amp;'19_Расчет_аналитики'!BF3595,WeightedRevAge12)-SUMIF(ThresholdAge12,"&lt;"&amp;'19_Расчет_аналитики'!BF3595,WeightedMinAge12),MAX(CapacityAge12*'01_Вводные'!$B$218*'19_Расчет_аналитики'!BF3595,MeanMinAge12))),0)</f>
        <v/>
      </c>
      <c r="BG3511">
        <f>IF('01_Вводные'!$B$234="Да",IF(OR('19_Расчет_аналитики'!BG3483=0,12&lt;='01_Вводные'!$B$297),0,'19_Расчет_аналитики'!BG3483*IF('01_Вводные'!$B$239="Да",MeanMinAge12+'19_Расчет_аналитики'!BG3595*SUMIF(ThresholdAge12,"&lt;"&amp;'19_Расчет_аналитики'!BG3595,WeightedRevAge12)-SUMIF(ThresholdAge12,"&lt;"&amp;'19_Расчет_аналитики'!BG3595,WeightedMinAge12),MAX(CapacityAge12*'01_Вводные'!$B$218*'19_Расчет_аналитики'!BG3595,MeanMinAge12))),0)</f>
        <v/>
      </c>
      <c r="BH3511">
        <f>IF('01_Вводные'!$B$234="Да",IF(OR('19_Расчет_аналитики'!BH3483=0,12&lt;='01_Вводные'!$B$297),0,'19_Расчет_аналитики'!BH3483*IF('01_Вводные'!$B$239="Да",MeanMinAge12+'19_Расчет_аналитики'!BH3595*SUMIF(ThresholdAge12,"&lt;"&amp;'19_Расчет_аналитики'!BH3595,WeightedRevAge12)-SUMIF(ThresholdAge12,"&lt;"&amp;'19_Расчет_аналитики'!BH3595,WeightedMinAge12),MAX(CapacityAge12*'01_Вводные'!$B$218*'19_Расчет_аналитики'!BH3595,MeanMinAge12))),0)</f>
        <v/>
      </c>
      <c r="BI3511">
        <f>IF('01_Вводные'!$B$234="Да",IF(OR('19_Расчет_аналитики'!BI3483=0,12&lt;='01_Вводные'!$B$297),0,'19_Расчет_аналитики'!BI3483*IF('01_Вводные'!$B$239="Да",MeanMinAge12+'19_Расчет_аналитики'!BI3595*SUMIF(ThresholdAge12,"&lt;"&amp;'19_Расчет_аналитики'!BI3595,WeightedRevAge12)-SUMIF(ThresholdAge12,"&lt;"&amp;'19_Расчет_аналитики'!BI3595,WeightedMinAge12),MAX(CapacityAge12*'01_Вводные'!$B$218*'19_Расчет_аналитики'!BI3595,MeanMinAge12))),0)</f>
        <v/>
      </c>
      <c r="BJ3511">
        <f>IF('01_Вводные'!$B$234="Да",IF(OR('19_Расчет_аналитики'!BJ3483=0,12&lt;='01_Вводные'!$B$297),0,'19_Расчет_аналитики'!BJ3483*IF('01_Вводные'!$B$239="Да",MeanMinAge12+'19_Расчет_аналитики'!BJ3595*SUMIF(ThresholdAge12,"&lt;"&amp;'19_Расчет_аналитики'!BJ3595,WeightedRevAge12)-SUMIF(ThresholdAge12,"&lt;"&amp;'19_Расчет_аналитики'!BJ3595,WeightedMinAge12),MAX(CapacityAge12*'01_Вводные'!$B$218*'19_Расчет_аналитики'!BJ3595,MeanMinAge12))),0)</f>
        <v/>
      </c>
      <c r="BK3511">
        <f>IF('01_Вводные'!$B$234="Да",IF(OR('19_Расчет_аналитики'!BK3483=0,12&lt;='01_Вводные'!$B$297),0,'19_Расчет_аналитики'!BK3483*IF('01_Вводные'!$B$239="Да",MeanMinAge12+'19_Расчет_аналитики'!BK3595*SUMIF(ThresholdAge12,"&lt;"&amp;'19_Расчет_аналитики'!BK3595,WeightedRevAge12)-SUMIF(ThresholdAge12,"&lt;"&amp;'19_Расчет_аналитики'!BK3595,WeightedMinAge12),MAX(CapacityAge12*'01_Вводные'!$B$218*'19_Расчет_аналитики'!BK3595,MeanMinAge12))),0)</f>
        <v/>
      </c>
      <c r="BL3511">
        <f>IF('01_Вводные'!$B$234="Да",IF(OR('19_Расчет_аналитики'!BL3483=0,12&lt;='01_Вводные'!$B$297),0,'19_Расчет_аналитики'!BL3483*IF('01_Вводные'!$B$239="Да",MeanMinAge12+'19_Расчет_аналитики'!BL3595*SUMIF(ThresholdAge12,"&lt;"&amp;'19_Расчет_аналитики'!BL3595,WeightedRevAge12)-SUMIF(ThresholdAge12,"&lt;"&amp;'19_Расчет_аналитики'!BL3595,WeightedMinAge12),MAX(CapacityAge12*'01_Вводные'!$B$218*'19_Расчет_аналитики'!BL3595,MeanMinAge12))),0)</f>
        <v/>
      </c>
      <c r="BM3511">
        <f>IF('01_Вводные'!$B$234="Да",IF(OR('19_Расчет_аналитики'!BM3483=0,12&lt;='01_Вводные'!$B$297),0,'19_Расчет_аналитики'!BM3483*IF('01_Вводные'!$B$239="Да",MeanMinAge12+'19_Расчет_аналитики'!BM3595*SUMIF(ThresholdAge12,"&lt;"&amp;'19_Расчет_аналитики'!BM3595,WeightedRevAge12)-SUMIF(ThresholdAge12,"&lt;"&amp;'19_Расчет_аналитики'!BM3595,WeightedMinAge12),MAX(CapacityAge12*'01_Вводные'!$B$218*'19_Расчет_аналитики'!BM3595,MeanMinAge12))),0)</f>
        <v/>
      </c>
      <c r="BN3511">
        <f>IF('01_Вводные'!$B$234="Да",IF(OR('19_Расчет_аналитики'!BN3483=0,12&lt;='01_Вводные'!$B$297),0,'19_Расчет_аналитики'!BN3483*IF('01_Вводные'!$B$239="Да",MeanMinAge12+'19_Расчет_аналитики'!BN3595*SUMIF(ThresholdAge12,"&lt;"&amp;'19_Расчет_аналитики'!BN3595,WeightedRevAge12)-SUMIF(ThresholdAge12,"&lt;"&amp;'19_Расчет_аналитики'!BN3595,WeightedMinAge12),MAX(CapacityAge12*'01_Вводные'!$B$218*'19_Расчет_аналитики'!BN3595,MeanMinAge12))),0)</f>
        <v/>
      </c>
      <c r="BO3511">
        <f>IF('01_Вводные'!$B$234="Да",IF(OR('19_Расчет_аналитики'!BO3483=0,12&lt;='01_Вводные'!$B$297),0,'19_Расчет_аналитики'!BO3483*IF('01_Вводные'!$B$239="Да",MeanMinAge12+'19_Расчет_аналитики'!BO3595*SUMIF(ThresholdAge12,"&lt;"&amp;'19_Расчет_аналитики'!BO3595,WeightedRevAge12)-SUMIF(ThresholdAge12,"&lt;"&amp;'19_Расчет_аналитики'!BO3595,WeightedMinAge12),MAX(CapacityAge12*'01_Вводные'!$B$218*'19_Расчет_аналитики'!BO3595,MeanMinAge12))),0)</f>
        <v/>
      </c>
    </row>
    <row r="3512">
      <c r="B3512">
        <f>IF('01_Вводные'!$B$234="Да",IF(OR('06_Сеть_и_дети'!B93=0,13&lt;='01_Вводные'!$B$297),0,'06_Сеть_и_дети'!B93*IF('01_Вводные'!$B$239="Да",MeanMinAge13+'19_Расчет_аналитики'!B3595*SUMIF(ThresholdAge13,"&lt;"&amp;'19_Расчет_аналитики'!B3595,WeightedRevAge13)-SUMIF(ThresholdAge13,"&lt;"&amp;'19_Расчет_аналитики'!B3595,WeightedMinAge13),MAX(CapacityAge13*'01_Вводные'!$B$218*'19_Расчет_аналитики'!B3595,MeanMinAge13))),0)</f>
        <v/>
      </c>
      <c r="C3512">
        <f>IF('01_Вводные'!$B$234="Да",IF(OR('06_Сеть_и_дети'!C93=0,13&lt;='01_Вводные'!$B$297),0,'06_Сеть_и_дети'!C93*IF('01_Вводные'!$B$239="Да",MeanMinAge13+'19_Расчет_аналитики'!C3595*SUMIF(ThresholdAge13,"&lt;"&amp;'19_Расчет_аналитики'!C3595,WeightedRevAge13)-SUMIF(ThresholdAge13,"&lt;"&amp;'19_Расчет_аналитики'!C3595,WeightedMinAge13),MAX(CapacityAge13*'01_Вводные'!$B$218*'19_Расчет_аналитики'!C3595,MeanMinAge13))),0)</f>
        <v/>
      </c>
      <c r="D3512">
        <f>IF('01_Вводные'!$B$234="Да",IF(OR('06_Сеть_и_дети'!D93=0,13&lt;='01_Вводные'!$B$297),0,'06_Сеть_и_дети'!D93*IF('01_Вводные'!$B$239="Да",MeanMinAge13+'19_Расчет_аналитики'!D3595*SUMIF(ThresholdAge13,"&lt;"&amp;'19_Расчет_аналитики'!D3595,WeightedRevAge13)-SUMIF(ThresholdAge13,"&lt;"&amp;'19_Расчет_аналитики'!D3595,WeightedMinAge13),MAX(CapacityAge13*'01_Вводные'!$B$218*'19_Расчет_аналитики'!D3595,MeanMinAge13))),0)</f>
        <v/>
      </c>
      <c r="E3512">
        <f>IF('01_Вводные'!$B$234="Да",IF(OR('06_Сеть_и_дети'!E93=0,13&lt;='01_Вводные'!$B$297),0,'06_Сеть_и_дети'!E93*IF('01_Вводные'!$B$239="Да",MeanMinAge13+'19_Расчет_аналитики'!E3595*SUMIF(ThresholdAge13,"&lt;"&amp;'19_Расчет_аналитики'!E3595,WeightedRevAge13)-SUMIF(ThresholdAge13,"&lt;"&amp;'19_Расчет_аналитики'!E3595,WeightedMinAge13),MAX(CapacityAge13*'01_Вводные'!$B$218*'19_Расчет_аналитики'!E3595,MeanMinAge13))),0)</f>
        <v/>
      </c>
      <c r="F3512">
        <f>IF('01_Вводные'!$B$234="Да",IF(OR('06_Сеть_и_дети'!F93=0,13&lt;='01_Вводные'!$B$297),0,'06_Сеть_и_дети'!F93*IF('01_Вводные'!$B$239="Да",MeanMinAge13+'19_Расчет_аналитики'!F3595*SUMIF(ThresholdAge13,"&lt;"&amp;'19_Расчет_аналитики'!F3595,WeightedRevAge13)-SUMIF(ThresholdAge13,"&lt;"&amp;'19_Расчет_аналитики'!F3595,WeightedMinAge13),MAX(CapacityAge13*'01_Вводные'!$B$218*'19_Расчет_аналитики'!F3595,MeanMinAge13))),0)</f>
        <v/>
      </c>
      <c r="G3512">
        <f>IF('01_Вводные'!$B$234="Да",IF(OR('06_Сеть_и_дети'!G93=0,13&lt;='01_Вводные'!$B$297),0,'06_Сеть_и_дети'!G93*IF('01_Вводные'!$B$239="Да",MeanMinAge13+'19_Расчет_аналитики'!G3595*SUMIF(ThresholdAge13,"&lt;"&amp;'19_Расчет_аналитики'!G3595,WeightedRevAge13)-SUMIF(ThresholdAge13,"&lt;"&amp;'19_Расчет_аналитики'!G3595,WeightedMinAge13),MAX(CapacityAge13*'01_Вводные'!$B$218*'19_Расчет_аналитики'!G3595,MeanMinAge13))),0)</f>
        <v/>
      </c>
      <c r="H3512">
        <f>IF('01_Вводные'!$B$234="Да",IF(OR('06_Сеть_и_дети'!H93=0,13&lt;='01_Вводные'!$B$297),0,'06_Сеть_и_дети'!H93*IF('01_Вводные'!$B$239="Да",MeanMinAge13+'19_Расчет_аналитики'!H3595*SUMIF(ThresholdAge13,"&lt;"&amp;'19_Расчет_аналитики'!H3595,WeightedRevAge13)-SUMIF(ThresholdAge13,"&lt;"&amp;'19_Расчет_аналитики'!H3595,WeightedMinAge13),MAX(CapacityAge13*'01_Вводные'!$B$218*'19_Расчет_аналитики'!H3595,MeanMinAge13))),0)</f>
        <v/>
      </c>
      <c r="I3512">
        <f>IF('01_Вводные'!$B$234="Да",IF(OR('06_Сеть_и_дети'!I93=0,13&lt;='01_Вводные'!$B$297),0,'06_Сеть_и_дети'!I93*IF('01_Вводные'!$B$239="Да",MeanMinAge13+'19_Расчет_аналитики'!I3595*SUMIF(ThresholdAge13,"&lt;"&amp;'19_Расчет_аналитики'!I3595,WeightedRevAge13)-SUMIF(ThresholdAge13,"&lt;"&amp;'19_Расчет_аналитики'!I3595,WeightedMinAge13),MAX(CapacityAge13*'01_Вводные'!$B$218*'19_Расчет_аналитики'!I3595,MeanMinAge13))),0)</f>
        <v/>
      </c>
      <c r="J3512">
        <f>IF('01_Вводные'!$B$234="Да",IF(OR('06_Сеть_и_дети'!J93=0,13&lt;='01_Вводные'!$B$297),0,'06_Сеть_и_дети'!J93*IF('01_Вводные'!$B$239="Да",MeanMinAge13+'19_Расчет_аналитики'!J3595*SUMIF(ThresholdAge13,"&lt;"&amp;'19_Расчет_аналитики'!J3595,WeightedRevAge13)-SUMIF(ThresholdAge13,"&lt;"&amp;'19_Расчет_аналитики'!J3595,WeightedMinAge13),MAX(CapacityAge13*'01_Вводные'!$B$218*'19_Расчет_аналитики'!J3595,MeanMinAge13))),0)</f>
        <v/>
      </c>
      <c r="K3512">
        <f>IF('01_Вводные'!$B$234="Да",IF(OR('06_Сеть_и_дети'!K93=0,13&lt;='01_Вводные'!$B$297),0,'06_Сеть_и_дети'!K93*IF('01_Вводные'!$B$239="Да",MeanMinAge13+'19_Расчет_аналитики'!K3595*SUMIF(ThresholdAge13,"&lt;"&amp;'19_Расчет_аналитики'!K3595,WeightedRevAge13)-SUMIF(ThresholdAge13,"&lt;"&amp;'19_Расчет_аналитики'!K3595,WeightedMinAge13),MAX(CapacityAge13*'01_Вводные'!$B$218*'19_Расчет_аналитики'!K3595,MeanMinAge13))),0)</f>
        <v/>
      </c>
      <c r="L3512">
        <f>IF('01_Вводные'!$B$234="Да",IF(OR('06_Сеть_и_дети'!L93=0,13&lt;='01_Вводные'!$B$297),0,'06_Сеть_и_дети'!L93*IF('01_Вводные'!$B$239="Да",MeanMinAge13+'19_Расчет_аналитики'!L3595*SUMIF(ThresholdAge13,"&lt;"&amp;'19_Расчет_аналитики'!L3595,WeightedRevAge13)-SUMIF(ThresholdAge13,"&lt;"&amp;'19_Расчет_аналитики'!L3595,WeightedMinAge13),MAX(CapacityAge13*'01_Вводные'!$B$218*'19_Расчет_аналитики'!L3595,MeanMinAge13))),0)</f>
        <v/>
      </c>
      <c r="M3512">
        <f>IF('01_Вводные'!$B$234="Да",IF(OR('06_Сеть_и_дети'!M93=0,13&lt;='01_Вводные'!$B$297),0,'06_Сеть_и_дети'!M93*IF('01_Вводные'!$B$239="Да",MeanMinAge13+'19_Расчет_аналитики'!M3595*SUMIF(ThresholdAge13,"&lt;"&amp;'19_Расчет_аналитики'!M3595,WeightedRevAge13)-SUMIF(ThresholdAge13,"&lt;"&amp;'19_Расчет_аналитики'!M3595,WeightedMinAge13),MAX(CapacityAge13*'01_Вводные'!$B$218*'19_Расчет_аналитики'!M3595,MeanMinAge13))),0)</f>
        <v/>
      </c>
      <c r="N3512">
        <f>IF('01_Вводные'!$B$234="Да",IF(OR('19_Расчет_аналитики'!N3484=0,13&lt;='01_Вводные'!$B$297),0,'19_Расчет_аналитики'!N3484*IF('01_Вводные'!$B$239="Да",MeanMinAge13+'19_Расчет_аналитики'!N3595*SUMIF(ThresholdAge13,"&lt;"&amp;'19_Расчет_аналитики'!N3595,WeightedRevAge13)-SUMIF(ThresholdAge13,"&lt;"&amp;'19_Расчет_аналитики'!N3595,WeightedMinAge13),MAX(CapacityAge13*'01_Вводные'!$B$218*'19_Расчет_аналитики'!N3595,MeanMinAge13))),0)</f>
        <v/>
      </c>
      <c r="O3512">
        <f>IF('01_Вводные'!$B$234="Да",IF(OR('19_Расчет_аналитики'!O3484=0,13&lt;='01_Вводные'!$B$297),0,'19_Расчет_аналитики'!O3484*IF('01_Вводные'!$B$239="Да",MeanMinAge13+'19_Расчет_аналитики'!O3595*SUMIF(ThresholdAge13,"&lt;"&amp;'19_Расчет_аналитики'!O3595,WeightedRevAge13)-SUMIF(ThresholdAge13,"&lt;"&amp;'19_Расчет_аналитики'!O3595,WeightedMinAge13),MAX(CapacityAge13*'01_Вводные'!$B$218*'19_Расчет_аналитики'!O3595,MeanMinAge13))),0)</f>
        <v/>
      </c>
      <c r="P3512">
        <f>IF('01_Вводные'!$B$234="Да",IF(OR('19_Расчет_аналитики'!P3484=0,13&lt;='01_Вводные'!$B$297),0,'19_Расчет_аналитики'!P3484*IF('01_Вводные'!$B$239="Да",MeanMinAge13+'19_Расчет_аналитики'!P3595*SUMIF(ThresholdAge13,"&lt;"&amp;'19_Расчет_аналитики'!P3595,WeightedRevAge13)-SUMIF(ThresholdAge13,"&lt;"&amp;'19_Расчет_аналитики'!P3595,WeightedMinAge13),MAX(CapacityAge13*'01_Вводные'!$B$218*'19_Расчет_аналитики'!P3595,MeanMinAge13))),0)</f>
        <v/>
      </c>
      <c r="Q3512">
        <f>IF('01_Вводные'!$B$234="Да",IF(OR('19_Расчет_аналитики'!Q3484=0,13&lt;='01_Вводные'!$B$297),0,'19_Расчет_аналитики'!Q3484*IF('01_Вводные'!$B$239="Да",MeanMinAge13+'19_Расчет_аналитики'!Q3595*SUMIF(ThresholdAge13,"&lt;"&amp;'19_Расчет_аналитики'!Q3595,WeightedRevAge13)-SUMIF(ThresholdAge13,"&lt;"&amp;'19_Расчет_аналитики'!Q3595,WeightedMinAge13),MAX(CapacityAge13*'01_Вводные'!$B$218*'19_Расчет_аналитики'!Q3595,MeanMinAge13))),0)</f>
        <v/>
      </c>
      <c r="R3512">
        <f>IF('01_Вводные'!$B$234="Да",IF(OR('19_Расчет_аналитики'!R3484=0,13&lt;='01_Вводные'!$B$297),0,'19_Расчет_аналитики'!R3484*IF('01_Вводные'!$B$239="Да",MeanMinAge13+'19_Расчет_аналитики'!R3595*SUMIF(ThresholdAge13,"&lt;"&amp;'19_Расчет_аналитики'!R3595,WeightedRevAge13)-SUMIF(ThresholdAge13,"&lt;"&amp;'19_Расчет_аналитики'!R3595,WeightedMinAge13),MAX(CapacityAge13*'01_Вводные'!$B$218*'19_Расчет_аналитики'!R3595,MeanMinAge13))),0)</f>
        <v/>
      </c>
      <c r="S3512">
        <f>IF('01_Вводные'!$B$234="Да",IF(OR('19_Расчет_аналитики'!S3484=0,13&lt;='01_Вводные'!$B$297),0,'19_Расчет_аналитики'!S3484*IF('01_Вводные'!$B$239="Да",MeanMinAge13+'19_Расчет_аналитики'!S3595*SUMIF(ThresholdAge13,"&lt;"&amp;'19_Расчет_аналитики'!S3595,WeightedRevAge13)-SUMIF(ThresholdAge13,"&lt;"&amp;'19_Расчет_аналитики'!S3595,WeightedMinAge13),MAX(CapacityAge13*'01_Вводные'!$B$218*'19_Расчет_аналитики'!S3595,MeanMinAge13))),0)</f>
        <v/>
      </c>
      <c r="T3512">
        <f>IF('01_Вводные'!$B$234="Да",IF(OR('19_Расчет_аналитики'!T3484=0,13&lt;='01_Вводные'!$B$297),0,'19_Расчет_аналитики'!T3484*IF('01_Вводные'!$B$239="Да",MeanMinAge13+'19_Расчет_аналитики'!T3595*SUMIF(ThresholdAge13,"&lt;"&amp;'19_Расчет_аналитики'!T3595,WeightedRevAge13)-SUMIF(ThresholdAge13,"&lt;"&amp;'19_Расчет_аналитики'!T3595,WeightedMinAge13),MAX(CapacityAge13*'01_Вводные'!$B$218*'19_Расчет_аналитики'!T3595,MeanMinAge13))),0)</f>
        <v/>
      </c>
      <c r="U3512">
        <f>IF('01_Вводные'!$B$234="Да",IF(OR('19_Расчет_аналитики'!U3484=0,13&lt;='01_Вводные'!$B$297),0,'19_Расчет_аналитики'!U3484*IF('01_Вводные'!$B$239="Да",MeanMinAge13+'19_Расчет_аналитики'!U3595*SUMIF(ThresholdAge13,"&lt;"&amp;'19_Расчет_аналитики'!U3595,WeightedRevAge13)-SUMIF(ThresholdAge13,"&lt;"&amp;'19_Расчет_аналитики'!U3595,WeightedMinAge13),MAX(CapacityAge13*'01_Вводные'!$B$218*'19_Расчет_аналитики'!U3595,MeanMinAge13))),0)</f>
        <v/>
      </c>
      <c r="V3512">
        <f>IF('01_Вводные'!$B$234="Да",IF(OR('19_Расчет_аналитики'!V3484=0,13&lt;='01_Вводные'!$B$297),0,'19_Расчет_аналитики'!V3484*IF('01_Вводные'!$B$239="Да",MeanMinAge13+'19_Расчет_аналитики'!V3595*SUMIF(ThresholdAge13,"&lt;"&amp;'19_Расчет_аналитики'!V3595,WeightedRevAge13)-SUMIF(ThresholdAge13,"&lt;"&amp;'19_Расчет_аналитики'!V3595,WeightedMinAge13),MAX(CapacityAge13*'01_Вводные'!$B$218*'19_Расчет_аналитики'!V3595,MeanMinAge13))),0)</f>
        <v/>
      </c>
      <c r="W3512">
        <f>IF('01_Вводные'!$B$234="Да",IF(OR('19_Расчет_аналитики'!W3484=0,13&lt;='01_Вводные'!$B$297),0,'19_Расчет_аналитики'!W3484*IF('01_Вводные'!$B$239="Да",MeanMinAge13+'19_Расчет_аналитики'!W3595*SUMIF(ThresholdAge13,"&lt;"&amp;'19_Расчет_аналитики'!W3595,WeightedRevAge13)-SUMIF(ThresholdAge13,"&lt;"&amp;'19_Расчет_аналитики'!W3595,WeightedMinAge13),MAX(CapacityAge13*'01_Вводные'!$B$218*'19_Расчет_аналитики'!W3595,MeanMinAge13))),0)</f>
        <v/>
      </c>
      <c r="X3512">
        <f>IF('01_Вводные'!$B$234="Да",IF(OR('19_Расчет_аналитики'!X3484=0,13&lt;='01_Вводные'!$B$297),0,'19_Расчет_аналитики'!X3484*IF('01_Вводные'!$B$239="Да",MeanMinAge13+'19_Расчет_аналитики'!X3595*SUMIF(ThresholdAge13,"&lt;"&amp;'19_Расчет_аналитики'!X3595,WeightedRevAge13)-SUMIF(ThresholdAge13,"&lt;"&amp;'19_Расчет_аналитики'!X3595,WeightedMinAge13),MAX(CapacityAge13*'01_Вводные'!$B$218*'19_Расчет_аналитики'!X3595,MeanMinAge13))),0)</f>
        <v/>
      </c>
      <c r="Y3512">
        <f>IF('01_Вводные'!$B$234="Да",IF(OR('19_Расчет_аналитики'!Y3484=0,13&lt;='01_Вводные'!$B$297),0,'19_Расчет_аналитики'!Y3484*IF('01_Вводные'!$B$239="Да",MeanMinAge13+'19_Расчет_аналитики'!Y3595*SUMIF(ThresholdAge13,"&lt;"&amp;'19_Расчет_аналитики'!Y3595,WeightedRevAge13)-SUMIF(ThresholdAge13,"&lt;"&amp;'19_Расчет_аналитики'!Y3595,WeightedMinAge13),MAX(CapacityAge13*'01_Вводные'!$B$218*'19_Расчет_аналитики'!Y3595,MeanMinAge13))),0)</f>
        <v/>
      </c>
      <c r="Z3512">
        <f>IF('01_Вводные'!$B$234="Да",IF(OR('19_Расчет_аналитики'!Z3484=0,13&lt;='01_Вводные'!$B$297),0,'19_Расчет_аналитики'!Z3484*IF('01_Вводные'!$B$239="Да",MeanMinAge13+'19_Расчет_аналитики'!Z3595*SUMIF(ThresholdAge13,"&lt;"&amp;'19_Расчет_аналитики'!Z3595,WeightedRevAge13)-SUMIF(ThresholdAge13,"&lt;"&amp;'19_Расчет_аналитики'!Z3595,WeightedMinAge13),MAX(CapacityAge13*'01_Вводные'!$B$218*'19_Расчет_аналитики'!Z3595,MeanMinAge13))),0)</f>
        <v/>
      </c>
      <c r="AA3512">
        <f>IF('01_Вводные'!$B$234="Да",IF(OR('19_Расчет_аналитики'!AA3484=0,13&lt;='01_Вводные'!$B$297),0,'19_Расчет_аналитики'!AA3484*IF('01_Вводные'!$B$239="Да",MeanMinAge13+'19_Расчет_аналитики'!AA3595*SUMIF(ThresholdAge13,"&lt;"&amp;'19_Расчет_аналитики'!AA3595,WeightedRevAge13)-SUMIF(ThresholdAge13,"&lt;"&amp;'19_Расчет_аналитики'!AA3595,WeightedMinAge13),MAX(CapacityAge13*'01_Вводные'!$B$218*'19_Расчет_аналитики'!AA3595,MeanMinAge13))),0)</f>
        <v/>
      </c>
      <c r="AB3512">
        <f>IF('01_Вводные'!$B$234="Да",IF(OR('19_Расчет_аналитики'!AB3484=0,13&lt;='01_Вводные'!$B$297),0,'19_Расчет_аналитики'!AB3484*IF('01_Вводные'!$B$239="Да",MeanMinAge13+'19_Расчет_аналитики'!AB3595*SUMIF(ThresholdAge13,"&lt;"&amp;'19_Расчет_аналитики'!AB3595,WeightedRevAge13)-SUMIF(ThresholdAge13,"&lt;"&amp;'19_Расчет_аналитики'!AB3595,WeightedMinAge13),MAX(CapacityAge13*'01_Вводные'!$B$218*'19_Расчет_аналитики'!AB3595,MeanMinAge13))),0)</f>
        <v/>
      </c>
      <c r="AC3512">
        <f>IF('01_Вводные'!$B$234="Да",IF(OR('19_Расчет_аналитики'!AC3484=0,13&lt;='01_Вводные'!$B$297),0,'19_Расчет_аналитики'!AC3484*IF('01_Вводные'!$B$239="Да",MeanMinAge13+'19_Расчет_аналитики'!AC3595*SUMIF(ThresholdAge13,"&lt;"&amp;'19_Расчет_аналитики'!AC3595,WeightedRevAge13)-SUMIF(ThresholdAge13,"&lt;"&amp;'19_Расчет_аналитики'!AC3595,WeightedMinAge13),MAX(CapacityAge13*'01_Вводные'!$B$218*'19_Расчет_аналитики'!AC3595,MeanMinAge13))),0)</f>
        <v/>
      </c>
      <c r="AD3512">
        <f>IF('01_Вводные'!$B$234="Да",IF(OR('19_Расчет_аналитики'!AD3484=0,13&lt;='01_Вводные'!$B$297),0,'19_Расчет_аналитики'!AD3484*IF('01_Вводные'!$B$239="Да",MeanMinAge13+'19_Расчет_аналитики'!AD3595*SUMIF(ThresholdAge13,"&lt;"&amp;'19_Расчет_аналитики'!AD3595,WeightedRevAge13)-SUMIF(ThresholdAge13,"&lt;"&amp;'19_Расчет_аналитики'!AD3595,WeightedMinAge13),MAX(CapacityAge13*'01_Вводные'!$B$218*'19_Расчет_аналитики'!AD3595,MeanMinAge13))),0)</f>
        <v/>
      </c>
      <c r="AE3512">
        <f>IF('01_Вводные'!$B$234="Да",IF(OR('19_Расчет_аналитики'!AE3484=0,13&lt;='01_Вводные'!$B$297),0,'19_Расчет_аналитики'!AE3484*IF('01_Вводные'!$B$239="Да",MeanMinAge13+'19_Расчет_аналитики'!AE3595*SUMIF(ThresholdAge13,"&lt;"&amp;'19_Расчет_аналитики'!AE3595,WeightedRevAge13)-SUMIF(ThresholdAge13,"&lt;"&amp;'19_Расчет_аналитики'!AE3595,WeightedMinAge13),MAX(CapacityAge13*'01_Вводные'!$B$218*'19_Расчет_аналитики'!AE3595,MeanMinAge13))),0)</f>
        <v/>
      </c>
      <c r="AF3512">
        <f>IF('01_Вводные'!$B$234="Да",IF(OR('19_Расчет_аналитики'!AF3484=0,13&lt;='01_Вводные'!$B$297),0,'19_Расчет_аналитики'!AF3484*IF('01_Вводные'!$B$239="Да",MeanMinAge13+'19_Расчет_аналитики'!AF3595*SUMIF(ThresholdAge13,"&lt;"&amp;'19_Расчет_аналитики'!AF3595,WeightedRevAge13)-SUMIF(ThresholdAge13,"&lt;"&amp;'19_Расчет_аналитики'!AF3595,WeightedMinAge13),MAX(CapacityAge13*'01_Вводные'!$B$218*'19_Расчет_аналитики'!AF3595,MeanMinAge13))),0)</f>
        <v/>
      </c>
      <c r="AG3512">
        <f>IF('01_Вводные'!$B$234="Да",IF(OR('19_Расчет_аналитики'!AG3484=0,13&lt;='01_Вводные'!$B$297),0,'19_Расчет_аналитики'!AG3484*IF('01_Вводные'!$B$239="Да",MeanMinAge13+'19_Расчет_аналитики'!AG3595*SUMIF(ThresholdAge13,"&lt;"&amp;'19_Расчет_аналитики'!AG3595,WeightedRevAge13)-SUMIF(ThresholdAge13,"&lt;"&amp;'19_Расчет_аналитики'!AG3595,WeightedMinAge13),MAX(CapacityAge13*'01_Вводные'!$B$218*'19_Расчет_аналитики'!AG3595,MeanMinAge13))),0)</f>
        <v/>
      </c>
      <c r="AH3512">
        <f>IF('01_Вводные'!$B$234="Да",IF(OR('19_Расчет_аналитики'!AH3484=0,13&lt;='01_Вводные'!$B$297),0,'19_Расчет_аналитики'!AH3484*IF('01_Вводные'!$B$239="Да",MeanMinAge13+'19_Расчет_аналитики'!AH3595*SUMIF(ThresholdAge13,"&lt;"&amp;'19_Расчет_аналитики'!AH3595,WeightedRevAge13)-SUMIF(ThresholdAge13,"&lt;"&amp;'19_Расчет_аналитики'!AH3595,WeightedMinAge13),MAX(CapacityAge13*'01_Вводные'!$B$218*'19_Расчет_аналитики'!AH3595,MeanMinAge13))),0)</f>
        <v/>
      </c>
      <c r="AI3512">
        <f>IF('01_Вводные'!$B$234="Да",IF(OR('19_Расчет_аналитики'!AI3484=0,13&lt;='01_Вводные'!$B$297),0,'19_Расчет_аналитики'!AI3484*IF('01_Вводные'!$B$239="Да",MeanMinAge13+'19_Расчет_аналитики'!AI3595*SUMIF(ThresholdAge13,"&lt;"&amp;'19_Расчет_аналитики'!AI3595,WeightedRevAge13)-SUMIF(ThresholdAge13,"&lt;"&amp;'19_Расчет_аналитики'!AI3595,WeightedMinAge13),MAX(CapacityAge13*'01_Вводные'!$B$218*'19_Расчет_аналитики'!AI3595,MeanMinAge13))),0)</f>
        <v/>
      </c>
      <c r="AJ3512">
        <f>IF('01_Вводные'!$B$234="Да",IF(OR('19_Расчет_аналитики'!AJ3484=0,13&lt;='01_Вводные'!$B$297),0,'19_Расчет_аналитики'!AJ3484*IF('01_Вводные'!$B$239="Да",MeanMinAge13+'19_Расчет_аналитики'!AJ3595*SUMIF(ThresholdAge13,"&lt;"&amp;'19_Расчет_аналитики'!AJ3595,WeightedRevAge13)-SUMIF(ThresholdAge13,"&lt;"&amp;'19_Расчет_аналитики'!AJ3595,WeightedMinAge13),MAX(CapacityAge13*'01_Вводные'!$B$218*'19_Расчет_аналитики'!AJ3595,MeanMinAge13))),0)</f>
        <v/>
      </c>
      <c r="AK3512">
        <f>IF('01_Вводные'!$B$234="Да",IF(OR('19_Расчет_аналитики'!AK3484=0,13&lt;='01_Вводные'!$B$297),0,'19_Расчет_аналитики'!AK3484*IF('01_Вводные'!$B$239="Да",MeanMinAge13+'19_Расчет_аналитики'!AK3595*SUMIF(ThresholdAge13,"&lt;"&amp;'19_Расчет_аналитики'!AK3595,WeightedRevAge13)-SUMIF(ThresholdAge13,"&lt;"&amp;'19_Расчет_аналитики'!AK3595,WeightedMinAge13),MAX(CapacityAge13*'01_Вводные'!$B$218*'19_Расчет_аналитики'!AK3595,MeanMinAge13))),0)</f>
        <v/>
      </c>
      <c r="AL3512">
        <f>IF('01_Вводные'!$B$234="Да",IF(OR('19_Расчет_аналитики'!AL3484=0,13&lt;='01_Вводные'!$B$297),0,'19_Расчет_аналитики'!AL3484*IF('01_Вводные'!$B$239="Да",MeanMinAge13+'19_Расчет_аналитики'!AL3595*SUMIF(ThresholdAge13,"&lt;"&amp;'19_Расчет_аналитики'!AL3595,WeightedRevAge13)-SUMIF(ThresholdAge13,"&lt;"&amp;'19_Расчет_аналитики'!AL3595,WeightedMinAge13),MAX(CapacityAge13*'01_Вводные'!$B$218*'19_Расчет_аналитики'!AL3595,MeanMinAge13))),0)</f>
        <v/>
      </c>
      <c r="AM3512">
        <f>IF('01_Вводные'!$B$234="Да",IF(OR('19_Расчет_аналитики'!AM3484=0,13&lt;='01_Вводные'!$B$297),0,'19_Расчет_аналитики'!AM3484*IF('01_Вводные'!$B$239="Да",MeanMinAge13+'19_Расчет_аналитики'!AM3595*SUMIF(ThresholdAge13,"&lt;"&amp;'19_Расчет_аналитики'!AM3595,WeightedRevAge13)-SUMIF(ThresholdAge13,"&lt;"&amp;'19_Расчет_аналитики'!AM3595,WeightedMinAge13),MAX(CapacityAge13*'01_Вводные'!$B$218*'19_Расчет_аналитики'!AM3595,MeanMinAge13))),0)</f>
        <v/>
      </c>
      <c r="AN3512">
        <f>IF('01_Вводные'!$B$234="Да",IF(OR('19_Расчет_аналитики'!AN3484=0,13&lt;='01_Вводные'!$B$297),0,'19_Расчет_аналитики'!AN3484*IF('01_Вводные'!$B$239="Да",MeanMinAge13+'19_Расчет_аналитики'!AN3595*SUMIF(ThresholdAge13,"&lt;"&amp;'19_Расчет_аналитики'!AN3595,WeightedRevAge13)-SUMIF(ThresholdAge13,"&lt;"&amp;'19_Расчет_аналитики'!AN3595,WeightedMinAge13),MAX(CapacityAge13*'01_Вводные'!$B$218*'19_Расчет_аналитики'!AN3595,MeanMinAge13))),0)</f>
        <v/>
      </c>
      <c r="AO3512">
        <f>IF('01_Вводные'!$B$234="Да",IF(OR('19_Расчет_аналитики'!AO3484=0,13&lt;='01_Вводные'!$B$297),0,'19_Расчет_аналитики'!AO3484*IF('01_Вводные'!$B$239="Да",MeanMinAge13+'19_Расчет_аналитики'!AO3595*SUMIF(ThresholdAge13,"&lt;"&amp;'19_Расчет_аналитики'!AO3595,WeightedRevAge13)-SUMIF(ThresholdAge13,"&lt;"&amp;'19_Расчет_аналитики'!AO3595,WeightedMinAge13),MAX(CapacityAge13*'01_Вводные'!$B$218*'19_Расчет_аналитики'!AO3595,MeanMinAge13))),0)</f>
        <v/>
      </c>
      <c r="AP3512">
        <f>IF('01_Вводные'!$B$234="Да",IF(OR('19_Расчет_аналитики'!AP3484=0,13&lt;='01_Вводные'!$B$297),0,'19_Расчет_аналитики'!AP3484*IF('01_Вводные'!$B$239="Да",MeanMinAge13+'19_Расчет_аналитики'!AP3595*SUMIF(ThresholdAge13,"&lt;"&amp;'19_Расчет_аналитики'!AP3595,WeightedRevAge13)-SUMIF(ThresholdAge13,"&lt;"&amp;'19_Расчет_аналитики'!AP3595,WeightedMinAge13),MAX(CapacityAge13*'01_Вводные'!$B$218*'19_Расчет_аналитики'!AP3595,MeanMinAge13))),0)</f>
        <v/>
      </c>
      <c r="AQ3512">
        <f>IF('01_Вводные'!$B$234="Да",IF(OR('19_Расчет_аналитики'!AQ3484=0,13&lt;='01_Вводные'!$B$297),0,'19_Расчет_аналитики'!AQ3484*IF('01_Вводные'!$B$239="Да",MeanMinAge13+'19_Расчет_аналитики'!AQ3595*SUMIF(ThresholdAge13,"&lt;"&amp;'19_Расчет_аналитики'!AQ3595,WeightedRevAge13)-SUMIF(ThresholdAge13,"&lt;"&amp;'19_Расчет_аналитики'!AQ3595,WeightedMinAge13),MAX(CapacityAge13*'01_Вводные'!$B$218*'19_Расчет_аналитики'!AQ3595,MeanMinAge13))),0)</f>
        <v/>
      </c>
      <c r="AR3512">
        <f>IF('01_Вводные'!$B$234="Да",IF(OR('19_Расчет_аналитики'!AR3484=0,13&lt;='01_Вводные'!$B$297),0,'19_Расчет_аналитики'!AR3484*IF('01_Вводные'!$B$239="Да",MeanMinAge13+'19_Расчет_аналитики'!AR3595*SUMIF(ThresholdAge13,"&lt;"&amp;'19_Расчет_аналитики'!AR3595,WeightedRevAge13)-SUMIF(ThresholdAge13,"&lt;"&amp;'19_Расчет_аналитики'!AR3595,WeightedMinAge13),MAX(CapacityAge13*'01_Вводные'!$B$218*'19_Расчет_аналитики'!AR3595,MeanMinAge13))),0)</f>
        <v/>
      </c>
      <c r="AS3512">
        <f>IF('01_Вводные'!$B$234="Да",IF(OR('19_Расчет_аналитики'!AS3484=0,13&lt;='01_Вводные'!$B$297),0,'19_Расчет_аналитики'!AS3484*IF('01_Вводные'!$B$239="Да",MeanMinAge13+'19_Расчет_аналитики'!AS3595*SUMIF(ThresholdAge13,"&lt;"&amp;'19_Расчет_аналитики'!AS3595,WeightedRevAge13)-SUMIF(ThresholdAge13,"&lt;"&amp;'19_Расчет_аналитики'!AS3595,WeightedMinAge13),MAX(CapacityAge13*'01_Вводные'!$B$218*'19_Расчет_аналитики'!AS3595,MeanMinAge13))),0)</f>
        <v/>
      </c>
      <c r="AT3512">
        <f>IF('01_Вводные'!$B$234="Да",IF(OR('19_Расчет_аналитики'!AT3484=0,13&lt;='01_Вводные'!$B$297),0,'19_Расчет_аналитики'!AT3484*IF('01_Вводные'!$B$239="Да",MeanMinAge13+'19_Расчет_аналитики'!AT3595*SUMIF(ThresholdAge13,"&lt;"&amp;'19_Расчет_аналитики'!AT3595,WeightedRevAge13)-SUMIF(ThresholdAge13,"&lt;"&amp;'19_Расчет_аналитики'!AT3595,WeightedMinAge13),MAX(CapacityAge13*'01_Вводные'!$B$218*'19_Расчет_аналитики'!AT3595,MeanMinAge13))),0)</f>
        <v/>
      </c>
      <c r="AU3512">
        <f>IF('01_Вводные'!$B$234="Да",IF(OR('19_Расчет_аналитики'!AU3484=0,13&lt;='01_Вводные'!$B$297),0,'19_Расчет_аналитики'!AU3484*IF('01_Вводные'!$B$239="Да",MeanMinAge13+'19_Расчет_аналитики'!AU3595*SUMIF(ThresholdAge13,"&lt;"&amp;'19_Расчет_аналитики'!AU3595,WeightedRevAge13)-SUMIF(ThresholdAge13,"&lt;"&amp;'19_Расчет_аналитики'!AU3595,WeightedMinAge13),MAX(CapacityAge13*'01_Вводные'!$B$218*'19_Расчет_аналитики'!AU3595,MeanMinAge13))),0)</f>
        <v/>
      </c>
      <c r="AV3512">
        <f>IF('01_Вводные'!$B$234="Да",IF(OR('19_Расчет_аналитики'!AV3484=0,13&lt;='01_Вводные'!$B$297),0,'19_Расчет_аналитики'!AV3484*IF('01_Вводные'!$B$239="Да",MeanMinAge13+'19_Расчет_аналитики'!AV3595*SUMIF(ThresholdAge13,"&lt;"&amp;'19_Расчет_аналитики'!AV3595,WeightedRevAge13)-SUMIF(ThresholdAge13,"&lt;"&amp;'19_Расчет_аналитики'!AV3595,WeightedMinAge13),MAX(CapacityAge13*'01_Вводные'!$B$218*'19_Расчет_аналитики'!AV3595,MeanMinAge13))),0)</f>
        <v/>
      </c>
      <c r="AW3512">
        <f>IF('01_Вводные'!$B$234="Да",IF(OR('19_Расчет_аналитики'!AW3484=0,13&lt;='01_Вводные'!$B$297),0,'19_Расчет_аналитики'!AW3484*IF('01_Вводные'!$B$239="Да",MeanMinAge13+'19_Расчет_аналитики'!AW3595*SUMIF(ThresholdAge13,"&lt;"&amp;'19_Расчет_аналитики'!AW3595,WeightedRevAge13)-SUMIF(ThresholdAge13,"&lt;"&amp;'19_Расчет_аналитики'!AW3595,WeightedMinAge13),MAX(CapacityAge13*'01_Вводные'!$B$218*'19_Расчет_аналитики'!AW3595,MeanMinAge13))),0)</f>
        <v/>
      </c>
      <c r="AX3512">
        <f>IF('01_Вводные'!$B$234="Да",IF(OR('19_Расчет_аналитики'!AX3484=0,13&lt;='01_Вводные'!$B$297),0,'19_Расчет_аналитики'!AX3484*IF('01_Вводные'!$B$239="Да",MeanMinAge13+'19_Расчет_аналитики'!AX3595*SUMIF(ThresholdAge13,"&lt;"&amp;'19_Расчет_аналитики'!AX3595,WeightedRevAge13)-SUMIF(ThresholdAge13,"&lt;"&amp;'19_Расчет_аналитики'!AX3595,WeightedMinAge13),MAX(CapacityAge13*'01_Вводные'!$B$218*'19_Расчет_аналитики'!AX3595,MeanMinAge13))),0)</f>
        <v/>
      </c>
      <c r="AY3512">
        <f>IF('01_Вводные'!$B$234="Да",IF(OR('19_Расчет_аналитики'!AY3484=0,13&lt;='01_Вводные'!$B$297),0,'19_Расчет_аналитики'!AY3484*IF('01_Вводные'!$B$239="Да",MeanMinAge13+'19_Расчет_аналитики'!AY3595*SUMIF(ThresholdAge13,"&lt;"&amp;'19_Расчет_аналитики'!AY3595,WeightedRevAge13)-SUMIF(ThresholdAge13,"&lt;"&amp;'19_Расчет_аналитики'!AY3595,WeightedMinAge13),MAX(CapacityAge13*'01_Вводные'!$B$218*'19_Расчет_аналитики'!AY3595,MeanMinAge13))),0)</f>
        <v/>
      </c>
      <c r="AZ3512">
        <f>IF('01_Вводные'!$B$234="Да",IF(OR('19_Расчет_аналитики'!AZ3484=0,13&lt;='01_Вводные'!$B$297),0,'19_Расчет_аналитики'!AZ3484*IF('01_Вводные'!$B$239="Да",MeanMinAge13+'19_Расчет_аналитики'!AZ3595*SUMIF(ThresholdAge13,"&lt;"&amp;'19_Расчет_аналитики'!AZ3595,WeightedRevAge13)-SUMIF(ThresholdAge13,"&lt;"&amp;'19_Расчет_аналитики'!AZ3595,WeightedMinAge13),MAX(CapacityAge13*'01_Вводные'!$B$218*'19_Расчет_аналитики'!AZ3595,MeanMinAge13))),0)</f>
        <v/>
      </c>
      <c r="BA3512">
        <f>IF('01_Вводные'!$B$234="Да",IF(OR('19_Расчет_аналитики'!BA3484=0,13&lt;='01_Вводные'!$B$297),0,'19_Расчет_аналитики'!BA3484*IF('01_Вводные'!$B$239="Да",MeanMinAge13+'19_Расчет_аналитики'!BA3595*SUMIF(ThresholdAge13,"&lt;"&amp;'19_Расчет_аналитики'!BA3595,WeightedRevAge13)-SUMIF(ThresholdAge13,"&lt;"&amp;'19_Расчет_аналитики'!BA3595,WeightedMinAge13),MAX(CapacityAge13*'01_Вводные'!$B$218*'19_Расчет_аналитики'!BA3595,MeanMinAge13))),0)</f>
        <v/>
      </c>
      <c r="BB3512">
        <f>IF('01_Вводные'!$B$234="Да",IF(OR('19_Расчет_аналитики'!BB3484=0,13&lt;='01_Вводные'!$B$297),0,'19_Расчет_аналитики'!BB3484*IF('01_Вводные'!$B$239="Да",MeanMinAge13+'19_Расчет_аналитики'!BB3595*SUMIF(ThresholdAge13,"&lt;"&amp;'19_Расчет_аналитики'!BB3595,WeightedRevAge13)-SUMIF(ThresholdAge13,"&lt;"&amp;'19_Расчет_аналитики'!BB3595,WeightedMinAge13),MAX(CapacityAge13*'01_Вводные'!$B$218*'19_Расчет_аналитики'!BB3595,MeanMinAge13))),0)</f>
        <v/>
      </c>
      <c r="BC3512">
        <f>IF('01_Вводные'!$B$234="Да",IF(OR('19_Расчет_аналитики'!BC3484=0,13&lt;='01_Вводные'!$B$297),0,'19_Расчет_аналитики'!BC3484*IF('01_Вводные'!$B$239="Да",MeanMinAge13+'19_Расчет_аналитики'!BC3595*SUMIF(ThresholdAge13,"&lt;"&amp;'19_Расчет_аналитики'!BC3595,WeightedRevAge13)-SUMIF(ThresholdAge13,"&lt;"&amp;'19_Расчет_аналитики'!BC3595,WeightedMinAge13),MAX(CapacityAge13*'01_Вводные'!$B$218*'19_Расчет_аналитики'!BC3595,MeanMinAge13))),0)</f>
        <v/>
      </c>
      <c r="BD3512">
        <f>IF('01_Вводные'!$B$234="Да",IF(OR('19_Расчет_аналитики'!BD3484=0,13&lt;='01_Вводные'!$B$297),0,'19_Расчет_аналитики'!BD3484*IF('01_Вводные'!$B$239="Да",MeanMinAge13+'19_Расчет_аналитики'!BD3595*SUMIF(ThresholdAge13,"&lt;"&amp;'19_Расчет_аналитики'!BD3595,WeightedRevAge13)-SUMIF(ThresholdAge13,"&lt;"&amp;'19_Расчет_аналитики'!BD3595,WeightedMinAge13),MAX(CapacityAge13*'01_Вводные'!$B$218*'19_Расчет_аналитики'!BD3595,MeanMinAge13))),0)</f>
        <v/>
      </c>
      <c r="BE3512">
        <f>IF('01_Вводные'!$B$234="Да",IF(OR('19_Расчет_аналитики'!BE3484=0,13&lt;='01_Вводные'!$B$297),0,'19_Расчет_аналитики'!BE3484*IF('01_Вводные'!$B$239="Да",MeanMinAge13+'19_Расчет_аналитики'!BE3595*SUMIF(ThresholdAge13,"&lt;"&amp;'19_Расчет_аналитики'!BE3595,WeightedRevAge13)-SUMIF(ThresholdAge13,"&lt;"&amp;'19_Расчет_аналитики'!BE3595,WeightedMinAge13),MAX(CapacityAge13*'01_Вводные'!$B$218*'19_Расчет_аналитики'!BE3595,MeanMinAge13))),0)</f>
        <v/>
      </c>
      <c r="BF3512">
        <f>IF('01_Вводные'!$B$234="Да",IF(OR('19_Расчет_аналитики'!BF3484=0,13&lt;='01_Вводные'!$B$297),0,'19_Расчет_аналитики'!BF3484*IF('01_Вводные'!$B$239="Да",MeanMinAge13+'19_Расчет_аналитики'!BF3595*SUMIF(ThresholdAge13,"&lt;"&amp;'19_Расчет_аналитики'!BF3595,WeightedRevAge13)-SUMIF(ThresholdAge13,"&lt;"&amp;'19_Расчет_аналитики'!BF3595,WeightedMinAge13),MAX(CapacityAge13*'01_Вводные'!$B$218*'19_Расчет_аналитики'!BF3595,MeanMinAge13))),0)</f>
        <v/>
      </c>
      <c r="BG3512">
        <f>IF('01_Вводные'!$B$234="Да",IF(OR('19_Расчет_аналитики'!BG3484=0,13&lt;='01_Вводные'!$B$297),0,'19_Расчет_аналитики'!BG3484*IF('01_Вводные'!$B$239="Да",MeanMinAge13+'19_Расчет_аналитики'!BG3595*SUMIF(ThresholdAge13,"&lt;"&amp;'19_Расчет_аналитики'!BG3595,WeightedRevAge13)-SUMIF(ThresholdAge13,"&lt;"&amp;'19_Расчет_аналитики'!BG3595,WeightedMinAge13),MAX(CapacityAge13*'01_Вводные'!$B$218*'19_Расчет_аналитики'!BG3595,MeanMinAge13))),0)</f>
        <v/>
      </c>
      <c r="BH3512">
        <f>IF('01_Вводные'!$B$234="Да",IF(OR('19_Расчет_аналитики'!BH3484=0,13&lt;='01_Вводные'!$B$297),0,'19_Расчет_аналитики'!BH3484*IF('01_Вводные'!$B$239="Да",MeanMinAge13+'19_Расчет_аналитики'!BH3595*SUMIF(ThresholdAge13,"&lt;"&amp;'19_Расчет_аналитики'!BH3595,WeightedRevAge13)-SUMIF(ThresholdAge13,"&lt;"&amp;'19_Расчет_аналитики'!BH3595,WeightedMinAge13),MAX(CapacityAge13*'01_Вводные'!$B$218*'19_Расчет_аналитики'!BH3595,MeanMinAge13))),0)</f>
        <v/>
      </c>
      <c r="BI3512">
        <f>IF('01_Вводные'!$B$234="Да",IF(OR('19_Расчет_аналитики'!BI3484=0,13&lt;='01_Вводные'!$B$297),0,'19_Расчет_аналитики'!BI3484*IF('01_Вводные'!$B$239="Да",MeanMinAge13+'19_Расчет_аналитики'!BI3595*SUMIF(ThresholdAge13,"&lt;"&amp;'19_Расчет_аналитики'!BI3595,WeightedRevAge13)-SUMIF(ThresholdAge13,"&lt;"&amp;'19_Расчет_аналитики'!BI3595,WeightedMinAge13),MAX(CapacityAge13*'01_Вводные'!$B$218*'19_Расчет_аналитики'!BI3595,MeanMinAge13))),0)</f>
        <v/>
      </c>
      <c r="BJ3512">
        <f>IF('01_Вводные'!$B$234="Да",IF(OR('19_Расчет_аналитики'!BJ3484=0,13&lt;='01_Вводные'!$B$297),0,'19_Расчет_аналитики'!BJ3484*IF('01_Вводные'!$B$239="Да",MeanMinAge13+'19_Расчет_аналитики'!BJ3595*SUMIF(ThresholdAge13,"&lt;"&amp;'19_Расчет_аналитики'!BJ3595,WeightedRevAge13)-SUMIF(ThresholdAge13,"&lt;"&amp;'19_Расчет_аналитики'!BJ3595,WeightedMinAge13),MAX(CapacityAge13*'01_Вводные'!$B$218*'19_Расчет_аналитики'!BJ3595,MeanMinAge13))),0)</f>
        <v/>
      </c>
      <c r="BK3512">
        <f>IF('01_Вводные'!$B$234="Да",IF(OR('19_Расчет_аналитики'!BK3484=0,13&lt;='01_Вводные'!$B$297),0,'19_Расчет_аналитики'!BK3484*IF('01_Вводные'!$B$239="Да",MeanMinAge13+'19_Расчет_аналитики'!BK3595*SUMIF(ThresholdAge13,"&lt;"&amp;'19_Расчет_аналитики'!BK3595,WeightedRevAge13)-SUMIF(ThresholdAge13,"&lt;"&amp;'19_Расчет_аналитики'!BK3595,WeightedMinAge13),MAX(CapacityAge13*'01_Вводные'!$B$218*'19_Расчет_аналитики'!BK3595,MeanMinAge13))),0)</f>
        <v/>
      </c>
      <c r="BL3512">
        <f>IF('01_Вводные'!$B$234="Да",IF(OR('19_Расчет_аналитики'!BL3484=0,13&lt;='01_Вводные'!$B$297),0,'19_Расчет_аналитики'!BL3484*IF('01_Вводные'!$B$239="Да",MeanMinAge13+'19_Расчет_аналитики'!BL3595*SUMIF(ThresholdAge13,"&lt;"&amp;'19_Расчет_аналитики'!BL3595,WeightedRevAge13)-SUMIF(ThresholdAge13,"&lt;"&amp;'19_Расчет_аналитики'!BL3595,WeightedMinAge13),MAX(CapacityAge13*'01_Вводные'!$B$218*'19_Расчет_аналитики'!BL3595,MeanMinAge13))),0)</f>
        <v/>
      </c>
      <c r="BM3512">
        <f>IF('01_Вводные'!$B$234="Да",IF(OR('19_Расчет_аналитики'!BM3484=0,13&lt;='01_Вводные'!$B$297),0,'19_Расчет_аналитики'!BM3484*IF('01_Вводные'!$B$239="Да",MeanMinAge13+'19_Расчет_аналитики'!BM3595*SUMIF(ThresholdAge13,"&lt;"&amp;'19_Расчет_аналитики'!BM3595,WeightedRevAge13)-SUMIF(ThresholdAge13,"&lt;"&amp;'19_Расчет_аналитики'!BM3595,WeightedMinAge13),MAX(CapacityAge13*'01_Вводные'!$B$218*'19_Расчет_аналитики'!BM3595,MeanMinAge13))),0)</f>
        <v/>
      </c>
      <c r="BN3512">
        <f>IF('01_Вводные'!$B$234="Да",IF(OR('19_Расчет_аналитики'!BN3484=0,13&lt;='01_Вводные'!$B$297),0,'19_Расчет_аналитики'!BN3484*IF('01_Вводные'!$B$239="Да",MeanMinAge13+'19_Расчет_аналитики'!BN3595*SUMIF(ThresholdAge13,"&lt;"&amp;'19_Расчет_аналитики'!BN3595,WeightedRevAge13)-SUMIF(ThresholdAge13,"&lt;"&amp;'19_Расчет_аналитики'!BN3595,WeightedMinAge13),MAX(CapacityAge13*'01_Вводные'!$B$218*'19_Расчет_аналитики'!BN3595,MeanMinAge13))),0)</f>
        <v/>
      </c>
      <c r="BO3512">
        <f>IF('01_Вводные'!$B$234="Да",IF(OR('19_Расчет_аналитики'!BO3484=0,13&lt;='01_Вводные'!$B$297),0,'19_Расчет_аналитики'!BO3484*IF('01_Вводные'!$B$239="Да",MeanMinAge13+'19_Расчет_аналитики'!BO3595*SUMIF(ThresholdAge13,"&lt;"&amp;'19_Расчет_аналитики'!BO3595,WeightedRevAge13)-SUMIF(ThresholdAge13,"&lt;"&amp;'19_Расчет_аналитики'!BO3595,WeightedMinAge13),MAX(CapacityAge13*'01_Вводные'!$B$218*'19_Расчет_аналитики'!BO3595,MeanMinAge13))),0)</f>
        <v/>
      </c>
    </row>
    <row r="3513">
      <c r="B3513">
        <f>IF('01_Вводные'!$B$234="Да",IF(OR('06_Сеть_и_дети'!B94=0,14&lt;='01_Вводные'!$B$297),0,'06_Сеть_и_дети'!B94*IF('01_Вводные'!$B$239="Да",MeanMinAge14+'19_Расчет_аналитики'!B3595*SUMIF(ThresholdAge14,"&lt;"&amp;'19_Расчет_аналитики'!B3595,WeightedRevAge14)-SUMIF(ThresholdAge14,"&lt;"&amp;'19_Расчет_аналитики'!B3595,WeightedMinAge14),MAX(CapacityAge14*'01_Вводные'!$B$218*'19_Расчет_аналитики'!B3595,MeanMinAge14))),0)</f>
        <v/>
      </c>
      <c r="C3513">
        <f>IF('01_Вводные'!$B$234="Да",IF(OR('06_Сеть_и_дети'!C94=0,14&lt;='01_Вводные'!$B$297),0,'06_Сеть_и_дети'!C94*IF('01_Вводные'!$B$239="Да",MeanMinAge14+'19_Расчет_аналитики'!C3595*SUMIF(ThresholdAge14,"&lt;"&amp;'19_Расчет_аналитики'!C3595,WeightedRevAge14)-SUMIF(ThresholdAge14,"&lt;"&amp;'19_Расчет_аналитики'!C3595,WeightedMinAge14),MAX(CapacityAge14*'01_Вводные'!$B$218*'19_Расчет_аналитики'!C3595,MeanMinAge14))),0)</f>
        <v/>
      </c>
      <c r="D3513">
        <f>IF('01_Вводные'!$B$234="Да",IF(OR('06_Сеть_и_дети'!D94=0,14&lt;='01_Вводные'!$B$297),0,'06_Сеть_и_дети'!D94*IF('01_Вводные'!$B$239="Да",MeanMinAge14+'19_Расчет_аналитики'!D3595*SUMIF(ThresholdAge14,"&lt;"&amp;'19_Расчет_аналитики'!D3595,WeightedRevAge14)-SUMIF(ThresholdAge14,"&lt;"&amp;'19_Расчет_аналитики'!D3595,WeightedMinAge14),MAX(CapacityAge14*'01_Вводные'!$B$218*'19_Расчет_аналитики'!D3595,MeanMinAge14))),0)</f>
        <v/>
      </c>
      <c r="E3513">
        <f>IF('01_Вводные'!$B$234="Да",IF(OR('06_Сеть_и_дети'!E94=0,14&lt;='01_Вводные'!$B$297),0,'06_Сеть_и_дети'!E94*IF('01_Вводные'!$B$239="Да",MeanMinAge14+'19_Расчет_аналитики'!E3595*SUMIF(ThresholdAge14,"&lt;"&amp;'19_Расчет_аналитики'!E3595,WeightedRevAge14)-SUMIF(ThresholdAge14,"&lt;"&amp;'19_Расчет_аналитики'!E3595,WeightedMinAge14),MAX(CapacityAge14*'01_Вводные'!$B$218*'19_Расчет_аналитики'!E3595,MeanMinAge14))),0)</f>
        <v/>
      </c>
      <c r="F3513">
        <f>IF('01_Вводные'!$B$234="Да",IF(OR('06_Сеть_и_дети'!F94=0,14&lt;='01_Вводные'!$B$297),0,'06_Сеть_и_дети'!F94*IF('01_Вводные'!$B$239="Да",MeanMinAge14+'19_Расчет_аналитики'!F3595*SUMIF(ThresholdAge14,"&lt;"&amp;'19_Расчет_аналитики'!F3595,WeightedRevAge14)-SUMIF(ThresholdAge14,"&lt;"&amp;'19_Расчет_аналитики'!F3595,WeightedMinAge14),MAX(CapacityAge14*'01_Вводные'!$B$218*'19_Расчет_аналитики'!F3595,MeanMinAge14))),0)</f>
        <v/>
      </c>
      <c r="G3513">
        <f>IF('01_Вводные'!$B$234="Да",IF(OR('06_Сеть_и_дети'!G94=0,14&lt;='01_Вводные'!$B$297),0,'06_Сеть_и_дети'!G94*IF('01_Вводные'!$B$239="Да",MeanMinAge14+'19_Расчет_аналитики'!G3595*SUMIF(ThresholdAge14,"&lt;"&amp;'19_Расчет_аналитики'!G3595,WeightedRevAge14)-SUMIF(ThresholdAge14,"&lt;"&amp;'19_Расчет_аналитики'!G3595,WeightedMinAge14),MAX(CapacityAge14*'01_Вводные'!$B$218*'19_Расчет_аналитики'!G3595,MeanMinAge14))),0)</f>
        <v/>
      </c>
      <c r="H3513">
        <f>IF('01_Вводные'!$B$234="Да",IF(OR('06_Сеть_и_дети'!H94=0,14&lt;='01_Вводные'!$B$297),0,'06_Сеть_и_дети'!H94*IF('01_Вводные'!$B$239="Да",MeanMinAge14+'19_Расчет_аналитики'!H3595*SUMIF(ThresholdAge14,"&lt;"&amp;'19_Расчет_аналитики'!H3595,WeightedRevAge14)-SUMIF(ThresholdAge14,"&lt;"&amp;'19_Расчет_аналитики'!H3595,WeightedMinAge14),MAX(CapacityAge14*'01_Вводные'!$B$218*'19_Расчет_аналитики'!H3595,MeanMinAge14))),0)</f>
        <v/>
      </c>
      <c r="I3513">
        <f>IF('01_Вводные'!$B$234="Да",IF(OR('06_Сеть_и_дети'!I94=0,14&lt;='01_Вводные'!$B$297),0,'06_Сеть_и_дети'!I94*IF('01_Вводные'!$B$239="Да",MeanMinAge14+'19_Расчет_аналитики'!I3595*SUMIF(ThresholdAge14,"&lt;"&amp;'19_Расчет_аналитики'!I3595,WeightedRevAge14)-SUMIF(ThresholdAge14,"&lt;"&amp;'19_Расчет_аналитики'!I3595,WeightedMinAge14),MAX(CapacityAge14*'01_Вводные'!$B$218*'19_Расчет_аналитики'!I3595,MeanMinAge14))),0)</f>
        <v/>
      </c>
      <c r="J3513">
        <f>IF('01_Вводные'!$B$234="Да",IF(OR('06_Сеть_и_дети'!J94=0,14&lt;='01_Вводные'!$B$297),0,'06_Сеть_и_дети'!J94*IF('01_Вводные'!$B$239="Да",MeanMinAge14+'19_Расчет_аналитики'!J3595*SUMIF(ThresholdAge14,"&lt;"&amp;'19_Расчет_аналитики'!J3595,WeightedRevAge14)-SUMIF(ThresholdAge14,"&lt;"&amp;'19_Расчет_аналитики'!J3595,WeightedMinAge14),MAX(CapacityAge14*'01_Вводные'!$B$218*'19_Расчет_аналитики'!J3595,MeanMinAge14))),0)</f>
        <v/>
      </c>
      <c r="K3513">
        <f>IF('01_Вводные'!$B$234="Да",IF(OR('06_Сеть_и_дети'!K94=0,14&lt;='01_Вводные'!$B$297),0,'06_Сеть_и_дети'!K94*IF('01_Вводные'!$B$239="Да",MeanMinAge14+'19_Расчет_аналитики'!K3595*SUMIF(ThresholdAge14,"&lt;"&amp;'19_Расчет_аналитики'!K3595,WeightedRevAge14)-SUMIF(ThresholdAge14,"&lt;"&amp;'19_Расчет_аналитики'!K3595,WeightedMinAge14),MAX(CapacityAge14*'01_Вводные'!$B$218*'19_Расчет_аналитики'!K3595,MeanMinAge14))),0)</f>
        <v/>
      </c>
      <c r="L3513">
        <f>IF('01_Вводные'!$B$234="Да",IF(OR('06_Сеть_и_дети'!L94=0,14&lt;='01_Вводные'!$B$297),0,'06_Сеть_и_дети'!L94*IF('01_Вводные'!$B$239="Да",MeanMinAge14+'19_Расчет_аналитики'!L3595*SUMIF(ThresholdAge14,"&lt;"&amp;'19_Расчет_аналитики'!L3595,WeightedRevAge14)-SUMIF(ThresholdAge14,"&lt;"&amp;'19_Расчет_аналитики'!L3595,WeightedMinAge14),MAX(CapacityAge14*'01_Вводные'!$B$218*'19_Расчет_аналитики'!L3595,MeanMinAge14))),0)</f>
        <v/>
      </c>
      <c r="M3513">
        <f>IF('01_Вводные'!$B$234="Да",IF(OR('06_Сеть_и_дети'!M94=0,14&lt;='01_Вводные'!$B$297),0,'06_Сеть_и_дети'!M94*IF('01_Вводные'!$B$239="Да",MeanMinAge14+'19_Расчет_аналитики'!M3595*SUMIF(ThresholdAge14,"&lt;"&amp;'19_Расчет_аналитики'!M3595,WeightedRevAge14)-SUMIF(ThresholdAge14,"&lt;"&amp;'19_Расчет_аналитики'!M3595,WeightedMinAge14),MAX(CapacityAge14*'01_Вводные'!$B$218*'19_Расчет_аналитики'!M3595,MeanMinAge14))),0)</f>
        <v/>
      </c>
      <c r="N3513">
        <f>IF('01_Вводные'!$B$234="Да",IF(OR('06_Сеть_и_дети'!N94=0,14&lt;='01_Вводные'!$B$297),0,'06_Сеть_и_дети'!N94*IF('01_Вводные'!$B$239="Да",MeanMinAge14+'19_Расчет_аналитики'!N3595*SUMIF(ThresholdAge14,"&lt;"&amp;'19_Расчет_аналитики'!N3595,WeightedRevAge14)-SUMIF(ThresholdAge14,"&lt;"&amp;'19_Расчет_аналитики'!N3595,WeightedMinAge14),MAX(CapacityAge14*'01_Вводные'!$B$218*'19_Расчет_аналитики'!N3595,MeanMinAge14))),0)</f>
        <v/>
      </c>
      <c r="O3513">
        <f>IF('01_Вводные'!$B$234="Да",IF(OR('19_Расчет_аналитики'!O3485=0,14&lt;='01_Вводные'!$B$297),0,'19_Расчет_аналитики'!O3485*IF('01_Вводные'!$B$239="Да",MeanMinAge14+'19_Расчет_аналитики'!O3595*SUMIF(ThresholdAge14,"&lt;"&amp;'19_Расчет_аналитики'!O3595,WeightedRevAge14)-SUMIF(ThresholdAge14,"&lt;"&amp;'19_Расчет_аналитики'!O3595,WeightedMinAge14),MAX(CapacityAge14*'01_Вводные'!$B$218*'19_Расчет_аналитики'!O3595,MeanMinAge14))),0)</f>
        <v/>
      </c>
      <c r="P3513">
        <f>IF('01_Вводные'!$B$234="Да",IF(OR('19_Расчет_аналитики'!P3485=0,14&lt;='01_Вводные'!$B$297),0,'19_Расчет_аналитики'!P3485*IF('01_Вводные'!$B$239="Да",MeanMinAge14+'19_Расчет_аналитики'!P3595*SUMIF(ThresholdAge14,"&lt;"&amp;'19_Расчет_аналитики'!P3595,WeightedRevAge14)-SUMIF(ThresholdAge14,"&lt;"&amp;'19_Расчет_аналитики'!P3595,WeightedMinAge14),MAX(CapacityAge14*'01_Вводные'!$B$218*'19_Расчет_аналитики'!P3595,MeanMinAge14))),0)</f>
        <v/>
      </c>
      <c r="Q3513">
        <f>IF('01_Вводные'!$B$234="Да",IF(OR('19_Расчет_аналитики'!Q3485=0,14&lt;='01_Вводные'!$B$297),0,'19_Расчет_аналитики'!Q3485*IF('01_Вводные'!$B$239="Да",MeanMinAge14+'19_Расчет_аналитики'!Q3595*SUMIF(ThresholdAge14,"&lt;"&amp;'19_Расчет_аналитики'!Q3595,WeightedRevAge14)-SUMIF(ThresholdAge14,"&lt;"&amp;'19_Расчет_аналитики'!Q3595,WeightedMinAge14),MAX(CapacityAge14*'01_Вводные'!$B$218*'19_Расчет_аналитики'!Q3595,MeanMinAge14))),0)</f>
        <v/>
      </c>
      <c r="R3513">
        <f>IF('01_Вводные'!$B$234="Да",IF(OR('19_Расчет_аналитики'!R3485=0,14&lt;='01_Вводные'!$B$297),0,'19_Расчет_аналитики'!R3485*IF('01_Вводные'!$B$239="Да",MeanMinAge14+'19_Расчет_аналитики'!R3595*SUMIF(ThresholdAge14,"&lt;"&amp;'19_Расчет_аналитики'!R3595,WeightedRevAge14)-SUMIF(ThresholdAge14,"&lt;"&amp;'19_Расчет_аналитики'!R3595,WeightedMinAge14),MAX(CapacityAge14*'01_Вводные'!$B$218*'19_Расчет_аналитики'!R3595,MeanMinAge14))),0)</f>
        <v/>
      </c>
      <c r="S3513">
        <f>IF('01_Вводные'!$B$234="Да",IF(OR('19_Расчет_аналитики'!S3485=0,14&lt;='01_Вводные'!$B$297),0,'19_Расчет_аналитики'!S3485*IF('01_Вводные'!$B$239="Да",MeanMinAge14+'19_Расчет_аналитики'!S3595*SUMIF(ThresholdAge14,"&lt;"&amp;'19_Расчет_аналитики'!S3595,WeightedRevAge14)-SUMIF(ThresholdAge14,"&lt;"&amp;'19_Расчет_аналитики'!S3595,WeightedMinAge14),MAX(CapacityAge14*'01_Вводные'!$B$218*'19_Расчет_аналитики'!S3595,MeanMinAge14))),0)</f>
        <v/>
      </c>
      <c r="T3513">
        <f>IF('01_Вводные'!$B$234="Да",IF(OR('19_Расчет_аналитики'!T3485=0,14&lt;='01_Вводные'!$B$297),0,'19_Расчет_аналитики'!T3485*IF('01_Вводные'!$B$239="Да",MeanMinAge14+'19_Расчет_аналитики'!T3595*SUMIF(ThresholdAge14,"&lt;"&amp;'19_Расчет_аналитики'!T3595,WeightedRevAge14)-SUMIF(ThresholdAge14,"&lt;"&amp;'19_Расчет_аналитики'!T3595,WeightedMinAge14),MAX(CapacityAge14*'01_Вводные'!$B$218*'19_Расчет_аналитики'!T3595,MeanMinAge14))),0)</f>
        <v/>
      </c>
      <c r="U3513">
        <f>IF('01_Вводные'!$B$234="Да",IF(OR('19_Расчет_аналитики'!U3485=0,14&lt;='01_Вводные'!$B$297),0,'19_Расчет_аналитики'!U3485*IF('01_Вводные'!$B$239="Да",MeanMinAge14+'19_Расчет_аналитики'!U3595*SUMIF(ThresholdAge14,"&lt;"&amp;'19_Расчет_аналитики'!U3595,WeightedRevAge14)-SUMIF(ThresholdAge14,"&lt;"&amp;'19_Расчет_аналитики'!U3595,WeightedMinAge14),MAX(CapacityAge14*'01_Вводные'!$B$218*'19_Расчет_аналитики'!U3595,MeanMinAge14))),0)</f>
        <v/>
      </c>
      <c r="V3513">
        <f>IF('01_Вводные'!$B$234="Да",IF(OR('19_Расчет_аналитики'!V3485=0,14&lt;='01_Вводные'!$B$297),0,'19_Расчет_аналитики'!V3485*IF('01_Вводные'!$B$239="Да",MeanMinAge14+'19_Расчет_аналитики'!V3595*SUMIF(ThresholdAge14,"&lt;"&amp;'19_Расчет_аналитики'!V3595,WeightedRevAge14)-SUMIF(ThresholdAge14,"&lt;"&amp;'19_Расчет_аналитики'!V3595,WeightedMinAge14),MAX(CapacityAge14*'01_Вводные'!$B$218*'19_Расчет_аналитики'!V3595,MeanMinAge14))),0)</f>
        <v/>
      </c>
      <c r="W3513">
        <f>IF('01_Вводные'!$B$234="Да",IF(OR('19_Расчет_аналитики'!W3485=0,14&lt;='01_Вводные'!$B$297),0,'19_Расчет_аналитики'!W3485*IF('01_Вводные'!$B$239="Да",MeanMinAge14+'19_Расчет_аналитики'!W3595*SUMIF(ThresholdAge14,"&lt;"&amp;'19_Расчет_аналитики'!W3595,WeightedRevAge14)-SUMIF(ThresholdAge14,"&lt;"&amp;'19_Расчет_аналитики'!W3595,WeightedMinAge14),MAX(CapacityAge14*'01_Вводные'!$B$218*'19_Расчет_аналитики'!W3595,MeanMinAge14))),0)</f>
        <v/>
      </c>
      <c r="X3513">
        <f>IF('01_Вводные'!$B$234="Да",IF(OR('19_Расчет_аналитики'!X3485=0,14&lt;='01_Вводные'!$B$297),0,'19_Расчет_аналитики'!X3485*IF('01_Вводные'!$B$239="Да",MeanMinAge14+'19_Расчет_аналитики'!X3595*SUMIF(ThresholdAge14,"&lt;"&amp;'19_Расчет_аналитики'!X3595,WeightedRevAge14)-SUMIF(ThresholdAge14,"&lt;"&amp;'19_Расчет_аналитики'!X3595,WeightedMinAge14),MAX(CapacityAge14*'01_Вводные'!$B$218*'19_Расчет_аналитики'!X3595,MeanMinAge14))),0)</f>
        <v/>
      </c>
      <c r="Y3513">
        <f>IF('01_Вводные'!$B$234="Да",IF(OR('19_Расчет_аналитики'!Y3485=0,14&lt;='01_Вводные'!$B$297),0,'19_Расчет_аналитики'!Y3485*IF('01_Вводные'!$B$239="Да",MeanMinAge14+'19_Расчет_аналитики'!Y3595*SUMIF(ThresholdAge14,"&lt;"&amp;'19_Расчет_аналитики'!Y3595,WeightedRevAge14)-SUMIF(ThresholdAge14,"&lt;"&amp;'19_Расчет_аналитики'!Y3595,WeightedMinAge14),MAX(CapacityAge14*'01_Вводные'!$B$218*'19_Расчет_аналитики'!Y3595,MeanMinAge14))),0)</f>
        <v/>
      </c>
      <c r="Z3513">
        <f>IF('01_Вводные'!$B$234="Да",IF(OR('19_Расчет_аналитики'!Z3485=0,14&lt;='01_Вводные'!$B$297),0,'19_Расчет_аналитики'!Z3485*IF('01_Вводные'!$B$239="Да",MeanMinAge14+'19_Расчет_аналитики'!Z3595*SUMIF(ThresholdAge14,"&lt;"&amp;'19_Расчет_аналитики'!Z3595,WeightedRevAge14)-SUMIF(ThresholdAge14,"&lt;"&amp;'19_Расчет_аналитики'!Z3595,WeightedMinAge14),MAX(CapacityAge14*'01_Вводные'!$B$218*'19_Расчет_аналитики'!Z3595,MeanMinAge14))),0)</f>
        <v/>
      </c>
      <c r="AA3513">
        <f>IF('01_Вводные'!$B$234="Да",IF(OR('19_Расчет_аналитики'!AA3485=0,14&lt;='01_Вводные'!$B$297),0,'19_Расчет_аналитики'!AA3485*IF('01_Вводные'!$B$239="Да",MeanMinAge14+'19_Расчет_аналитики'!AA3595*SUMIF(ThresholdAge14,"&lt;"&amp;'19_Расчет_аналитики'!AA3595,WeightedRevAge14)-SUMIF(ThresholdAge14,"&lt;"&amp;'19_Расчет_аналитики'!AA3595,WeightedMinAge14),MAX(CapacityAge14*'01_Вводные'!$B$218*'19_Расчет_аналитики'!AA3595,MeanMinAge14))),0)</f>
        <v/>
      </c>
      <c r="AB3513">
        <f>IF('01_Вводные'!$B$234="Да",IF(OR('19_Расчет_аналитики'!AB3485=0,14&lt;='01_Вводные'!$B$297),0,'19_Расчет_аналитики'!AB3485*IF('01_Вводные'!$B$239="Да",MeanMinAge14+'19_Расчет_аналитики'!AB3595*SUMIF(ThresholdAge14,"&lt;"&amp;'19_Расчет_аналитики'!AB3595,WeightedRevAge14)-SUMIF(ThresholdAge14,"&lt;"&amp;'19_Расчет_аналитики'!AB3595,WeightedMinAge14),MAX(CapacityAge14*'01_Вводные'!$B$218*'19_Расчет_аналитики'!AB3595,MeanMinAge14))),0)</f>
        <v/>
      </c>
      <c r="AC3513">
        <f>IF('01_Вводные'!$B$234="Да",IF(OR('19_Расчет_аналитики'!AC3485=0,14&lt;='01_Вводные'!$B$297),0,'19_Расчет_аналитики'!AC3485*IF('01_Вводные'!$B$239="Да",MeanMinAge14+'19_Расчет_аналитики'!AC3595*SUMIF(ThresholdAge14,"&lt;"&amp;'19_Расчет_аналитики'!AC3595,WeightedRevAge14)-SUMIF(ThresholdAge14,"&lt;"&amp;'19_Расчет_аналитики'!AC3595,WeightedMinAge14),MAX(CapacityAge14*'01_Вводные'!$B$218*'19_Расчет_аналитики'!AC3595,MeanMinAge14))),0)</f>
        <v/>
      </c>
      <c r="AD3513">
        <f>IF('01_Вводные'!$B$234="Да",IF(OR('19_Расчет_аналитики'!AD3485=0,14&lt;='01_Вводные'!$B$297),0,'19_Расчет_аналитики'!AD3485*IF('01_Вводные'!$B$239="Да",MeanMinAge14+'19_Расчет_аналитики'!AD3595*SUMIF(ThresholdAge14,"&lt;"&amp;'19_Расчет_аналитики'!AD3595,WeightedRevAge14)-SUMIF(ThresholdAge14,"&lt;"&amp;'19_Расчет_аналитики'!AD3595,WeightedMinAge14),MAX(CapacityAge14*'01_Вводные'!$B$218*'19_Расчет_аналитики'!AD3595,MeanMinAge14))),0)</f>
        <v/>
      </c>
      <c r="AE3513">
        <f>IF('01_Вводные'!$B$234="Да",IF(OR('19_Расчет_аналитики'!AE3485=0,14&lt;='01_Вводные'!$B$297),0,'19_Расчет_аналитики'!AE3485*IF('01_Вводные'!$B$239="Да",MeanMinAge14+'19_Расчет_аналитики'!AE3595*SUMIF(ThresholdAge14,"&lt;"&amp;'19_Расчет_аналитики'!AE3595,WeightedRevAge14)-SUMIF(ThresholdAge14,"&lt;"&amp;'19_Расчет_аналитики'!AE3595,WeightedMinAge14),MAX(CapacityAge14*'01_Вводные'!$B$218*'19_Расчет_аналитики'!AE3595,MeanMinAge14))),0)</f>
        <v/>
      </c>
      <c r="AF3513">
        <f>IF('01_Вводные'!$B$234="Да",IF(OR('19_Расчет_аналитики'!AF3485=0,14&lt;='01_Вводные'!$B$297),0,'19_Расчет_аналитики'!AF3485*IF('01_Вводные'!$B$239="Да",MeanMinAge14+'19_Расчет_аналитики'!AF3595*SUMIF(ThresholdAge14,"&lt;"&amp;'19_Расчет_аналитики'!AF3595,WeightedRevAge14)-SUMIF(ThresholdAge14,"&lt;"&amp;'19_Расчет_аналитики'!AF3595,WeightedMinAge14),MAX(CapacityAge14*'01_Вводные'!$B$218*'19_Расчет_аналитики'!AF3595,MeanMinAge14))),0)</f>
        <v/>
      </c>
      <c r="AG3513">
        <f>IF('01_Вводные'!$B$234="Да",IF(OR('19_Расчет_аналитики'!AG3485=0,14&lt;='01_Вводные'!$B$297),0,'19_Расчет_аналитики'!AG3485*IF('01_Вводные'!$B$239="Да",MeanMinAge14+'19_Расчет_аналитики'!AG3595*SUMIF(ThresholdAge14,"&lt;"&amp;'19_Расчет_аналитики'!AG3595,WeightedRevAge14)-SUMIF(ThresholdAge14,"&lt;"&amp;'19_Расчет_аналитики'!AG3595,WeightedMinAge14),MAX(CapacityAge14*'01_Вводные'!$B$218*'19_Расчет_аналитики'!AG3595,MeanMinAge14))),0)</f>
        <v/>
      </c>
      <c r="AH3513">
        <f>IF('01_Вводные'!$B$234="Да",IF(OR('19_Расчет_аналитики'!AH3485=0,14&lt;='01_Вводные'!$B$297),0,'19_Расчет_аналитики'!AH3485*IF('01_Вводные'!$B$239="Да",MeanMinAge14+'19_Расчет_аналитики'!AH3595*SUMIF(ThresholdAge14,"&lt;"&amp;'19_Расчет_аналитики'!AH3595,WeightedRevAge14)-SUMIF(ThresholdAge14,"&lt;"&amp;'19_Расчет_аналитики'!AH3595,WeightedMinAge14),MAX(CapacityAge14*'01_Вводные'!$B$218*'19_Расчет_аналитики'!AH3595,MeanMinAge14))),0)</f>
        <v/>
      </c>
      <c r="AI3513">
        <f>IF('01_Вводные'!$B$234="Да",IF(OR('19_Расчет_аналитики'!AI3485=0,14&lt;='01_Вводные'!$B$297),0,'19_Расчет_аналитики'!AI3485*IF('01_Вводные'!$B$239="Да",MeanMinAge14+'19_Расчет_аналитики'!AI3595*SUMIF(ThresholdAge14,"&lt;"&amp;'19_Расчет_аналитики'!AI3595,WeightedRevAge14)-SUMIF(ThresholdAge14,"&lt;"&amp;'19_Расчет_аналитики'!AI3595,WeightedMinAge14),MAX(CapacityAge14*'01_Вводные'!$B$218*'19_Расчет_аналитики'!AI3595,MeanMinAge14))),0)</f>
        <v/>
      </c>
      <c r="AJ3513">
        <f>IF('01_Вводные'!$B$234="Да",IF(OR('19_Расчет_аналитики'!AJ3485=0,14&lt;='01_Вводные'!$B$297),0,'19_Расчет_аналитики'!AJ3485*IF('01_Вводные'!$B$239="Да",MeanMinAge14+'19_Расчет_аналитики'!AJ3595*SUMIF(ThresholdAge14,"&lt;"&amp;'19_Расчет_аналитики'!AJ3595,WeightedRevAge14)-SUMIF(ThresholdAge14,"&lt;"&amp;'19_Расчет_аналитики'!AJ3595,WeightedMinAge14),MAX(CapacityAge14*'01_Вводные'!$B$218*'19_Расчет_аналитики'!AJ3595,MeanMinAge14))),0)</f>
        <v/>
      </c>
      <c r="AK3513">
        <f>IF('01_Вводные'!$B$234="Да",IF(OR('19_Расчет_аналитики'!AK3485=0,14&lt;='01_Вводные'!$B$297),0,'19_Расчет_аналитики'!AK3485*IF('01_Вводные'!$B$239="Да",MeanMinAge14+'19_Расчет_аналитики'!AK3595*SUMIF(ThresholdAge14,"&lt;"&amp;'19_Расчет_аналитики'!AK3595,WeightedRevAge14)-SUMIF(ThresholdAge14,"&lt;"&amp;'19_Расчет_аналитики'!AK3595,WeightedMinAge14),MAX(CapacityAge14*'01_Вводные'!$B$218*'19_Расчет_аналитики'!AK3595,MeanMinAge14))),0)</f>
        <v/>
      </c>
      <c r="AL3513">
        <f>IF('01_Вводные'!$B$234="Да",IF(OR('19_Расчет_аналитики'!AL3485=0,14&lt;='01_Вводные'!$B$297),0,'19_Расчет_аналитики'!AL3485*IF('01_Вводные'!$B$239="Да",MeanMinAge14+'19_Расчет_аналитики'!AL3595*SUMIF(ThresholdAge14,"&lt;"&amp;'19_Расчет_аналитики'!AL3595,WeightedRevAge14)-SUMIF(ThresholdAge14,"&lt;"&amp;'19_Расчет_аналитики'!AL3595,WeightedMinAge14),MAX(CapacityAge14*'01_Вводные'!$B$218*'19_Расчет_аналитики'!AL3595,MeanMinAge14))),0)</f>
        <v/>
      </c>
      <c r="AM3513">
        <f>IF('01_Вводные'!$B$234="Да",IF(OR('19_Расчет_аналитики'!AM3485=0,14&lt;='01_Вводные'!$B$297),0,'19_Расчет_аналитики'!AM3485*IF('01_Вводные'!$B$239="Да",MeanMinAge14+'19_Расчет_аналитики'!AM3595*SUMIF(ThresholdAge14,"&lt;"&amp;'19_Расчет_аналитики'!AM3595,WeightedRevAge14)-SUMIF(ThresholdAge14,"&lt;"&amp;'19_Расчет_аналитики'!AM3595,WeightedMinAge14),MAX(CapacityAge14*'01_Вводные'!$B$218*'19_Расчет_аналитики'!AM3595,MeanMinAge14))),0)</f>
        <v/>
      </c>
      <c r="AN3513">
        <f>IF('01_Вводные'!$B$234="Да",IF(OR('19_Расчет_аналитики'!AN3485=0,14&lt;='01_Вводные'!$B$297),0,'19_Расчет_аналитики'!AN3485*IF('01_Вводные'!$B$239="Да",MeanMinAge14+'19_Расчет_аналитики'!AN3595*SUMIF(ThresholdAge14,"&lt;"&amp;'19_Расчет_аналитики'!AN3595,WeightedRevAge14)-SUMIF(ThresholdAge14,"&lt;"&amp;'19_Расчет_аналитики'!AN3595,WeightedMinAge14),MAX(CapacityAge14*'01_Вводные'!$B$218*'19_Расчет_аналитики'!AN3595,MeanMinAge14))),0)</f>
        <v/>
      </c>
      <c r="AO3513">
        <f>IF('01_Вводные'!$B$234="Да",IF(OR('19_Расчет_аналитики'!AO3485=0,14&lt;='01_Вводные'!$B$297),0,'19_Расчет_аналитики'!AO3485*IF('01_Вводные'!$B$239="Да",MeanMinAge14+'19_Расчет_аналитики'!AO3595*SUMIF(ThresholdAge14,"&lt;"&amp;'19_Расчет_аналитики'!AO3595,WeightedRevAge14)-SUMIF(ThresholdAge14,"&lt;"&amp;'19_Расчет_аналитики'!AO3595,WeightedMinAge14),MAX(CapacityAge14*'01_Вводные'!$B$218*'19_Расчет_аналитики'!AO3595,MeanMinAge14))),0)</f>
        <v/>
      </c>
      <c r="AP3513">
        <f>IF('01_Вводные'!$B$234="Да",IF(OR('19_Расчет_аналитики'!AP3485=0,14&lt;='01_Вводные'!$B$297),0,'19_Расчет_аналитики'!AP3485*IF('01_Вводные'!$B$239="Да",MeanMinAge14+'19_Расчет_аналитики'!AP3595*SUMIF(ThresholdAge14,"&lt;"&amp;'19_Расчет_аналитики'!AP3595,WeightedRevAge14)-SUMIF(ThresholdAge14,"&lt;"&amp;'19_Расчет_аналитики'!AP3595,WeightedMinAge14),MAX(CapacityAge14*'01_Вводные'!$B$218*'19_Расчет_аналитики'!AP3595,MeanMinAge14))),0)</f>
        <v/>
      </c>
      <c r="AQ3513">
        <f>IF('01_Вводные'!$B$234="Да",IF(OR('19_Расчет_аналитики'!AQ3485=0,14&lt;='01_Вводные'!$B$297),0,'19_Расчет_аналитики'!AQ3485*IF('01_Вводные'!$B$239="Да",MeanMinAge14+'19_Расчет_аналитики'!AQ3595*SUMIF(ThresholdAge14,"&lt;"&amp;'19_Расчет_аналитики'!AQ3595,WeightedRevAge14)-SUMIF(ThresholdAge14,"&lt;"&amp;'19_Расчет_аналитики'!AQ3595,WeightedMinAge14),MAX(CapacityAge14*'01_Вводные'!$B$218*'19_Расчет_аналитики'!AQ3595,MeanMinAge14))),0)</f>
        <v/>
      </c>
      <c r="AR3513">
        <f>IF('01_Вводные'!$B$234="Да",IF(OR('19_Расчет_аналитики'!AR3485=0,14&lt;='01_Вводные'!$B$297),0,'19_Расчет_аналитики'!AR3485*IF('01_Вводные'!$B$239="Да",MeanMinAge14+'19_Расчет_аналитики'!AR3595*SUMIF(ThresholdAge14,"&lt;"&amp;'19_Расчет_аналитики'!AR3595,WeightedRevAge14)-SUMIF(ThresholdAge14,"&lt;"&amp;'19_Расчет_аналитики'!AR3595,WeightedMinAge14),MAX(CapacityAge14*'01_Вводные'!$B$218*'19_Расчет_аналитики'!AR3595,MeanMinAge14))),0)</f>
        <v/>
      </c>
      <c r="AS3513">
        <f>IF('01_Вводные'!$B$234="Да",IF(OR('19_Расчет_аналитики'!AS3485=0,14&lt;='01_Вводные'!$B$297),0,'19_Расчет_аналитики'!AS3485*IF('01_Вводные'!$B$239="Да",MeanMinAge14+'19_Расчет_аналитики'!AS3595*SUMIF(ThresholdAge14,"&lt;"&amp;'19_Расчет_аналитики'!AS3595,WeightedRevAge14)-SUMIF(ThresholdAge14,"&lt;"&amp;'19_Расчет_аналитики'!AS3595,WeightedMinAge14),MAX(CapacityAge14*'01_Вводные'!$B$218*'19_Расчет_аналитики'!AS3595,MeanMinAge14))),0)</f>
        <v/>
      </c>
      <c r="AT3513">
        <f>IF('01_Вводные'!$B$234="Да",IF(OR('19_Расчет_аналитики'!AT3485=0,14&lt;='01_Вводные'!$B$297),0,'19_Расчет_аналитики'!AT3485*IF('01_Вводные'!$B$239="Да",MeanMinAge14+'19_Расчет_аналитики'!AT3595*SUMIF(ThresholdAge14,"&lt;"&amp;'19_Расчет_аналитики'!AT3595,WeightedRevAge14)-SUMIF(ThresholdAge14,"&lt;"&amp;'19_Расчет_аналитики'!AT3595,WeightedMinAge14),MAX(CapacityAge14*'01_Вводные'!$B$218*'19_Расчет_аналитики'!AT3595,MeanMinAge14))),0)</f>
        <v/>
      </c>
      <c r="AU3513">
        <f>IF('01_Вводные'!$B$234="Да",IF(OR('19_Расчет_аналитики'!AU3485=0,14&lt;='01_Вводные'!$B$297),0,'19_Расчет_аналитики'!AU3485*IF('01_Вводные'!$B$239="Да",MeanMinAge14+'19_Расчет_аналитики'!AU3595*SUMIF(ThresholdAge14,"&lt;"&amp;'19_Расчет_аналитики'!AU3595,WeightedRevAge14)-SUMIF(ThresholdAge14,"&lt;"&amp;'19_Расчет_аналитики'!AU3595,WeightedMinAge14),MAX(CapacityAge14*'01_Вводные'!$B$218*'19_Расчет_аналитики'!AU3595,MeanMinAge14))),0)</f>
        <v/>
      </c>
      <c r="AV3513">
        <f>IF('01_Вводные'!$B$234="Да",IF(OR('19_Расчет_аналитики'!AV3485=0,14&lt;='01_Вводные'!$B$297),0,'19_Расчет_аналитики'!AV3485*IF('01_Вводные'!$B$239="Да",MeanMinAge14+'19_Расчет_аналитики'!AV3595*SUMIF(ThresholdAge14,"&lt;"&amp;'19_Расчет_аналитики'!AV3595,WeightedRevAge14)-SUMIF(ThresholdAge14,"&lt;"&amp;'19_Расчет_аналитики'!AV3595,WeightedMinAge14),MAX(CapacityAge14*'01_Вводные'!$B$218*'19_Расчет_аналитики'!AV3595,MeanMinAge14))),0)</f>
        <v/>
      </c>
      <c r="AW3513">
        <f>IF('01_Вводные'!$B$234="Да",IF(OR('19_Расчет_аналитики'!AW3485=0,14&lt;='01_Вводные'!$B$297),0,'19_Расчет_аналитики'!AW3485*IF('01_Вводные'!$B$239="Да",MeanMinAge14+'19_Расчет_аналитики'!AW3595*SUMIF(ThresholdAge14,"&lt;"&amp;'19_Расчет_аналитики'!AW3595,WeightedRevAge14)-SUMIF(ThresholdAge14,"&lt;"&amp;'19_Расчет_аналитики'!AW3595,WeightedMinAge14),MAX(CapacityAge14*'01_Вводные'!$B$218*'19_Расчет_аналитики'!AW3595,MeanMinAge14))),0)</f>
        <v/>
      </c>
      <c r="AX3513">
        <f>IF('01_Вводные'!$B$234="Да",IF(OR('19_Расчет_аналитики'!AX3485=0,14&lt;='01_Вводные'!$B$297),0,'19_Расчет_аналитики'!AX3485*IF('01_Вводные'!$B$239="Да",MeanMinAge14+'19_Расчет_аналитики'!AX3595*SUMIF(ThresholdAge14,"&lt;"&amp;'19_Расчет_аналитики'!AX3595,WeightedRevAge14)-SUMIF(ThresholdAge14,"&lt;"&amp;'19_Расчет_аналитики'!AX3595,WeightedMinAge14),MAX(CapacityAge14*'01_Вводные'!$B$218*'19_Расчет_аналитики'!AX3595,MeanMinAge14))),0)</f>
        <v/>
      </c>
      <c r="AY3513">
        <f>IF('01_Вводные'!$B$234="Да",IF(OR('19_Расчет_аналитики'!AY3485=0,14&lt;='01_Вводные'!$B$297),0,'19_Расчет_аналитики'!AY3485*IF('01_Вводные'!$B$239="Да",MeanMinAge14+'19_Расчет_аналитики'!AY3595*SUMIF(ThresholdAge14,"&lt;"&amp;'19_Расчет_аналитики'!AY3595,WeightedRevAge14)-SUMIF(ThresholdAge14,"&lt;"&amp;'19_Расчет_аналитики'!AY3595,WeightedMinAge14),MAX(CapacityAge14*'01_Вводные'!$B$218*'19_Расчет_аналитики'!AY3595,MeanMinAge14))),0)</f>
        <v/>
      </c>
      <c r="AZ3513">
        <f>IF('01_Вводные'!$B$234="Да",IF(OR('19_Расчет_аналитики'!AZ3485=0,14&lt;='01_Вводные'!$B$297),0,'19_Расчет_аналитики'!AZ3485*IF('01_Вводные'!$B$239="Да",MeanMinAge14+'19_Расчет_аналитики'!AZ3595*SUMIF(ThresholdAge14,"&lt;"&amp;'19_Расчет_аналитики'!AZ3595,WeightedRevAge14)-SUMIF(ThresholdAge14,"&lt;"&amp;'19_Расчет_аналитики'!AZ3595,WeightedMinAge14),MAX(CapacityAge14*'01_Вводные'!$B$218*'19_Расчет_аналитики'!AZ3595,MeanMinAge14))),0)</f>
        <v/>
      </c>
      <c r="BA3513">
        <f>IF('01_Вводные'!$B$234="Да",IF(OR('19_Расчет_аналитики'!BA3485=0,14&lt;='01_Вводные'!$B$297),0,'19_Расчет_аналитики'!BA3485*IF('01_Вводные'!$B$239="Да",MeanMinAge14+'19_Расчет_аналитики'!BA3595*SUMIF(ThresholdAge14,"&lt;"&amp;'19_Расчет_аналитики'!BA3595,WeightedRevAge14)-SUMIF(ThresholdAge14,"&lt;"&amp;'19_Расчет_аналитики'!BA3595,WeightedMinAge14),MAX(CapacityAge14*'01_Вводные'!$B$218*'19_Расчет_аналитики'!BA3595,MeanMinAge14))),0)</f>
        <v/>
      </c>
      <c r="BB3513">
        <f>IF('01_Вводные'!$B$234="Да",IF(OR('19_Расчет_аналитики'!BB3485=0,14&lt;='01_Вводные'!$B$297),0,'19_Расчет_аналитики'!BB3485*IF('01_Вводные'!$B$239="Да",MeanMinAge14+'19_Расчет_аналитики'!BB3595*SUMIF(ThresholdAge14,"&lt;"&amp;'19_Расчет_аналитики'!BB3595,WeightedRevAge14)-SUMIF(ThresholdAge14,"&lt;"&amp;'19_Расчет_аналитики'!BB3595,WeightedMinAge14),MAX(CapacityAge14*'01_Вводные'!$B$218*'19_Расчет_аналитики'!BB3595,MeanMinAge14))),0)</f>
        <v/>
      </c>
      <c r="BC3513">
        <f>IF('01_Вводные'!$B$234="Да",IF(OR('19_Расчет_аналитики'!BC3485=0,14&lt;='01_Вводные'!$B$297),0,'19_Расчет_аналитики'!BC3485*IF('01_Вводные'!$B$239="Да",MeanMinAge14+'19_Расчет_аналитики'!BC3595*SUMIF(ThresholdAge14,"&lt;"&amp;'19_Расчет_аналитики'!BC3595,WeightedRevAge14)-SUMIF(ThresholdAge14,"&lt;"&amp;'19_Расчет_аналитики'!BC3595,WeightedMinAge14),MAX(CapacityAge14*'01_Вводные'!$B$218*'19_Расчет_аналитики'!BC3595,MeanMinAge14))),0)</f>
        <v/>
      </c>
      <c r="BD3513">
        <f>IF('01_Вводные'!$B$234="Да",IF(OR('19_Расчет_аналитики'!BD3485=0,14&lt;='01_Вводные'!$B$297),0,'19_Расчет_аналитики'!BD3485*IF('01_Вводные'!$B$239="Да",MeanMinAge14+'19_Расчет_аналитики'!BD3595*SUMIF(ThresholdAge14,"&lt;"&amp;'19_Расчет_аналитики'!BD3595,WeightedRevAge14)-SUMIF(ThresholdAge14,"&lt;"&amp;'19_Расчет_аналитики'!BD3595,WeightedMinAge14),MAX(CapacityAge14*'01_Вводные'!$B$218*'19_Расчет_аналитики'!BD3595,MeanMinAge14))),0)</f>
        <v/>
      </c>
      <c r="BE3513">
        <f>IF('01_Вводные'!$B$234="Да",IF(OR('19_Расчет_аналитики'!BE3485=0,14&lt;='01_Вводные'!$B$297),0,'19_Расчет_аналитики'!BE3485*IF('01_Вводные'!$B$239="Да",MeanMinAge14+'19_Расчет_аналитики'!BE3595*SUMIF(ThresholdAge14,"&lt;"&amp;'19_Расчет_аналитики'!BE3595,WeightedRevAge14)-SUMIF(ThresholdAge14,"&lt;"&amp;'19_Расчет_аналитики'!BE3595,WeightedMinAge14),MAX(CapacityAge14*'01_Вводные'!$B$218*'19_Расчет_аналитики'!BE3595,MeanMinAge14))),0)</f>
        <v/>
      </c>
      <c r="BF3513">
        <f>IF('01_Вводные'!$B$234="Да",IF(OR('19_Расчет_аналитики'!BF3485=0,14&lt;='01_Вводные'!$B$297),0,'19_Расчет_аналитики'!BF3485*IF('01_Вводные'!$B$239="Да",MeanMinAge14+'19_Расчет_аналитики'!BF3595*SUMIF(ThresholdAge14,"&lt;"&amp;'19_Расчет_аналитики'!BF3595,WeightedRevAge14)-SUMIF(ThresholdAge14,"&lt;"&amp;'19_Расчет_аналитики'!BF3595,WeightedMinAge14),MAX(CapacityAge14*'01_Вводные'!$B$218*'19_Расчет_аналитики'!BF3595,MeanMinAge14))),0)</f>
        <v/>
      </c>
      <c r="BG3513">
        <f>IF('01_Вводные'!$B$234="Да",IF(OR('19_Расчет_аналитики'!BG3485=0,14&lt;='01_Вводные'!$B$297),0,'19_Расчет_аналитики'!BG3485*IF('01_Вводные'!$B$239="Да",MeanMinAge14+'19_Расчет_аналитики'!BG3595*SUMIF(ThresholdAge14,"&lt;"&amp;'19_Расчет_аналитики'!BG3595,WeightedRevAge14)-SUMIF(ThresholdAge14,"&lt;"&amp;'19_Расчет_аналитики'!BG3595,WeightedMinAge14),MAX(CapacityAge14*'01_Вводные'!$B$218*'19_Расчет_аналитики'!BG3595,MeanMinAge14))),0)</f>
        <v/>
      </c>
      <c r="BH3513">
        <f>IF('01_Вводные'!$B$234="Да",IF(OR('19_Расчет_аналитики'!BH3485=0,14&lt;='01_Вводные'!$B$297),0,'19_Расчет_аналитики'!BH3485*IF('01_Вводные'!$B$239="Да",MeanMinAge14+'19_Расчет_аналитики'!BH3595*SUMIF(ThresholdAge14,"&lt;"&amp;'19_Расчет_аналитики'!BH3595,WeightedRevAge14)-SUMIF(ThresholdAge14,"&lt;"&amp;'19_Расчет_аналитики'!BH3595,WeightedMinAge14),MAX(CapacityAge14*'01_Вводные'!$B$218*'19_Расчет_аналитики'!BH3595,MeanMinAge14))),0)</f>
        <v/>
      </c>
      <c r="BI3513">
        <f>IF('01_Вводные'!$B$234="Да",IF(OR('19_Расчет_аналитики'!BI3485=0,14&lt;='01_Вводные'!$B$297),0,'19_Расчет_аналитики'!BI3485*IF('01_Вводные'!$B$239="Да",MeanMinAge14+'19_Расчет_аналитики'!BI3595*SUMIF(ThresholdAge14,"&lt;"&amp;'19_Расчет_аналитики'!BI3595,WeightedRevAge14)-SUMIF(ThresholdAge14,"&lt;"&amp;'19_Расчет_аналитики'!BI3595,WeightedMinAge14),MAX(CapacityAge14*'01_Вводные'!$B$218*'19_Расчет_аналитики'!BI3595,MeanMinAge14))),0)</f>
        <v/>
      </c>
      <c r="BJ3513">
        <f>IF('01_Вводные'!$B$234="Да",IF(OR('19_Расчет_аналитики'!BJ3485=0,14&lt;='01_Вводные'!$B$297),0,'19_Расчет_аналитики'!BJ3485*IF('01_Вводные'!$B$239="Да",MeanMinAge14+'19_Расчет_аналитики'!BJ3595*SUMIF(ThresholdAge14,"&lt;"&amp;'19_Расчет_аналитики'!BJ3595,WeightedRevAge14)-SUMIF(ThresholdAge14,"&lt;"&amp;'19_Расчет_аналитики'!BJ3595,WeightedMinAge14),MAX(CapacityAge14*'01_Вводные'!$B$218*'19_Расчет_аналитики'!BJ3595,MeanMinAge14))),0)</f>
        <v/>
      </c>
      <c r="BK3513">
        <f>IF('01_Вводные'!$B$234="Да",IF(OR('19_Расчет_аналитики'!BK3485=0,14&lt;='01_Вводные'!$B$297),0,'19_Расчет_аналитики'!BK3485*IF('01_Вводные'!$B$239="Да",MeanMinAge14+'19_Расчет_аналитики'!BK3595*SUMIF(ThresholdAge14,"&lt;"&amp;'19_Расчет_аналитики'!BK3595,WeightedRevAge14)-SUMIF(ThresholdAge14,"&lt;"&amp;'19_Расчет_аналитики'!BK3595,WeightedMinAge14),MAX(CapacityAge14*'01_Вводные'!$B$218*'19_Расчет_аналитики'!BK3595,MeanMinAge14))),0)</f>
        <v/>
      </c>
      <c r="BL3513">
        <f>IF('01_Вводные'!$B$234="Да",IF(OR('19_Расчет_аналитики'!BL3485=0,14&lt;='01_Вводные'!$B$297),0,'19_Расчет_аналитики'!BL3485*IF('01_Вводные'!$B$239="Да",MeanMinAge14+'19_Расчет_аналитики'!BL3595*SUMIF(ThresholdAge14,"&lt;"&amp;'19_Расчет_аналитики'!BL3595,WeightedRevAge14)-SUMIF(ThresholdAge14,"&lt;"&amp;'19_Расчет_аналитики'!BL3595,WeightedMinAge14),MAX(CapacityAge14*'01_Вводные'!$B$218*'19_Расчет_аналитики'!BL3595,MeanMinAge14))),0)</f>
        <v/>
      </c>
      <c r="BM3513">
        <f>IF('01_Вводные'!$B$234="Да",IF(OR('19_Расчет_аналитики'!BM3485=0,14&lt;='01_Вводные'!$B$297),0,'19_Расчет_аналитики'!BM3485*IF('01_Вводные'!$B$239="Да",MeanMinAge14+'19_Расчет_аналитики'!BM3595*SUMIF(ThresholdAge14,"&lt;"&amp;'19_Расчет_аналитики'!BM3595,WeightedRevAge14)-SUMIF(ThresholdAge14,"&lt;"&amp;'19_Расчет_аналитики'!BM3595,WeightedMinAge14),MAX(CapacityAge14*'01_Вводные'!$B$218*'19_Расчет_аналитики'!BM3595,MeanMinAge14))),0)</f>
        <v/>
      </c>
      <c r="BN3513">
        <f>IF('01_Вводные'!$B$234="Да",IF(OR('19_Расчет_аналитики'!BN3485=0,14&lt;='01_Вводные'!$B$297),0,'19_Расчет_аналитики'!BN3485*IF('01_Вводные'!$B$239="Да",MeanMinAge14+'19_Расчет_аналитики'!BN3595*SUMIF(ThresholdAge14,"&lt;"&amp;'19_Расчет_аналитики'!BN3595,WeightedRevAge14)-SUMIF(ThresholdAge14,"&lt;"&amp;'19_Расчет_аналитики'!BN3595,WeightedMinAge14),MAX(CapacityAge14*'01_Вводные'!$B$218*'19_Расчет_аналитики'!BN3595,MeanMinAge14))),0)</f>
        <v/>
      </c>
      <c r="BO3513">
        <f>IF('01_Вводные'!$B$234="Да",IF(OR('19_Расчет_аналитики'!BO3485=0,14&lt;='01_Вводные'!$B$297),0,'19_Расчет_аналитики'!BO3485*IF('01_Вводные'!$B$239="Да",MeanMinAge14+'19_Расчет_аналитики'!BO3595*SUMIF(ThresholdAge14,"&lt;"&amp;'19_Расчет_аналитики'!BO3595,WeightedRevAge14)-SUMIF(ThresholdAge14,"&lt;"&amp;'19_Расчет_аналитики'!BO3595,WeightedMinAge14),MAX(CapacityAge14*'01_Вводные'!$B$218*'19_Расчет_аналитики'!BO3595,MeanMinAge14))),0)</f>
        <v/>
      </c>
    </row>
    <row r="3514">
      <c r="B3514">
        <f>IF('01_Вводные'!$B$234="Да",IF(OR('06_Сеть_и_дети'!B95=0,15&lt;='01_Вводные'!$B$297),0,'06_Сеть_и_дети'!B95*IF('01_Вводные'!$B$239="Да",MeanMinAge15+'19_Расчет_аналитики'!B3595*SUMIF(ThresholdAge15,"&lt;"&amp;'19_Расчет_аналитики'!B3595,WeightedRevAge15)-SUMIF(ThresholdAge15,"&lt;"&amp;'19_Расчет_аналитики'!B3595,WeightedMinAge15),MAX(CapacityAge15*'01_Вводные'!$B$218*'19_Расчет_аналитики'!B3595,MeanMinAge15))),0)</f>
        <v/>
      </c>
      <c r="C3514">
        <f>IF('01_Вводные'!$B$234="Да",IF(OR('06_Сеть_и_дети'!C95=0,15&lt;='01_Вводные'!$B$297),0,'06_Сеть_и_дети'!C95*IF('01_Вводные'!$B$239="Да",MeanMinAge15+'19_Расчет_аналитики'!C3595*SUMIF(ThresholdAge15,"&lt;"&amp;'19_Расчет_аналитики'!C3595,WeightedRevAge15)-SUMIF(ThresholdAge15,"&lt;"&amp;'19_Расчет_аналитики'!C3595,WeightedMinAge15),MAX(CapacityAge15*'01_Вводные'!$B$218*'19_Расчет_аналитики'!C3595,MeanMinAge15))),0)</f>
        <v/>
      </c>
      <c r="D3514">
        <f>IF('01_Вводные'!$B$234="Да",IF(OR('06_Сеть_и_дети'!D95=0,15&lt;='01_Вводные'!$B$297),0,'06_Сеть_и_дети'!D95*IF('01_Вводные'!$B$239="Да",MeanMinAge15+'19_Расчет_аналитики'!D3595*SUMIF(ThresholdAge15,"&lt;"&amp;'19_Расчет_аналитики'!D3595,WeightedRevAge15)-SUMIF(ThresholdAge15,"&lt;"&amp;'19_Расчет_аналитики'!D3595,WeightedMinAge15),MAX(CapacityAge15*'01_Вводные'!$B$218*'19_Расчет_аналитики'!D3595,MeanMinAge15))),0)</f>
        <v/>
      </c>
      <c r="E3514">
        <f>IF('01_Вводные'!$B$234="Да",IF(OR('06_Сеть_и_дети'!E95=0,15&lt;='01_Вводные'!$B$297),0,'06_Сеть_и_дети'!E95*IF('01_Вводные'!$B$239="Да",MeanMinAge15+'19_Расчет_аналитики'!E3595*SUMIF(ThresholdAge15,"&lt;"&amp;'19_Расчет_аналитики'!E3595,WeightedRevAge15)-SUMIF(ThresholdAge15,"&lt;"&amp;'19_Расчет_аналитики'!E3595,WeightedMinAge15),MAX(CapacityAge15*'01_Вводные'!$B$218*'19_Расчет_аналитики'!E3595,MeanMinAge15))),0)</f>
        <v/>
      </c>
      <c r="F3514">
        <f>IF('01_Вводные'!$B$234="Да",IF(OR('06_Сеть_и_дети'!F95=0,15&lt;='01_Вводные'!$B$297),0,'06_Сеть_и_дети'!F95*IF('01_Вводные'!$B$239="Да",MeanMinAge15+'19_Расчет_аналитики'!F3595*SUMIF(ThresholdAge15,"&lt;"&amp;'19_Расчет_аналитики'!F3595,WeightedRevAge15)-SUMIF(ThresholdAge15,"&lt;"&amp;'19_Расчет_аналитики'!F3595,WeightedMinAge15),MAX(CapacityAge15*'01_Вводные'!$B$218*'19_Расчет_аналитики'!F3595,MeanMinAge15))),0)</f>
        <v/>
      </c>
      <c r="G3514">
        <f>IF('01_Вводные'!$B$234="Да",IF(OR('06_Сеть_и_дети'!G95=0,15&lt;='01_Вводные'!$B$297),0,'06_Сеть_и_дети'!G95*IF('01_Вводные'!$B$239="Да",MeanMinAge15+'19_Расчет_аналитики'!G3595*SUMIF(ThresholdAge15,"&lt;"&amp;'19_Расчет_аналитики'!G3595,WeightedRevAge15)-SUMIF(ThresholdAge15,"&lt;"&amp;'19_Расчет_аналитики'!G3595,WeightedMinAge15),MAX(CapacityAge15*'01_Вводные'!$B$218*'19_Расчет_аналитики'!G3595,MeanMinAge15))),0)</f>
        <v/>
      </c>
      <c r="H3514">
        <f>IF('01_Вводные'!$B$234="Да",IF(OR('06_Сеть_и_дети'!H95=0,15&lt;='01_Вводные'!$B$297),0,'06_Сеть_и_дети'!H95*IF('01_Вводные'!$B$239="Да",MeanMinAge15+'19_Расчет_аналитики'!H3595*SUMIF(ThresholdAge15,"&lt;"&amp;'19_Расчет_аналитики'!H3595,WeightedRevAge15)-SUMIF(ThresholdAge15,"&lt;"&amp;'19_Расчет_аналитики'!H3595,WeightedMinAge15),MAX(CapacityAge15*'01_Вводные'!$B$218*'19_Расчет_аналитики'!H3595,MeanMinAge15))),0)</f>
        <v/>
      </c>
      <c r="I3514">
        <f>IF('01_Вводные'!$B$234="Да",IF(OR('06_Сеть_и_дети'!I95=0,15&lt;='01_Вводные'!$B$297),0,'06_Сеть_и_дети'!I95*IF('01_Вводные'!$B$239="Да",MeanMinAge15+'19_Расчет_аналитики'!I3595*SUMIF(ThresholdAge15,"&lt;"&amp;'19_Расчет_аналитики'!I3595,WeightedRevAge15)-SUMIF(ThresholdAge15,"&lt;"&amp;'19_Расчет_аналитики'!I3595,WeightedMinAge15),MAX(CapacityAge15*'01_Вводные'!$B$218*'19_Расчет_аналитики'!I3595,MeanMinAge15))),0)</f>
        <v/>
      </c>
      <c r="J3514">
        <f>IF('01_Вводные'!$B$234="Да",IF(OR('06_Сеть_и_дети'!J95=0,15&lt;='01_Вводные'!$B$297),0,'06_Сеть_и_дети'!J95*IF('01_Вводные'!$B$239="Да",MeanMinAge15+'19_Расчет_аналитики'!J3595*SUMIF(ThresholdAge15,"&lt;"&amp;'19_Расчет_аналитики'!J3595,WeightedRevAge15)-SUMIF(ThresholdAge15,"&lt;"&amp;'19_Расчет_аналитики'!J3595,WeightedMinAge15),MAX(CapacityAge15*'01_Вводные'!$B$218*'19_Расчет_аналитики'!J3595,MeanMinAge15))),0)</f>
        <v/>
      </c>
      <c r="K3514">
        <f>IF('01_Вводные'!$B$234="Да",IF(OR('06_Сеть_и_дети'!K95=0,15&lt;='01_Вводные'!$B$297),0,'06_Сеть_и_дети'!K95*IF('01_Вводные'!$B$239="Да",MeanMinAge15+'19_Расчет_аналитики'!K3595*SUMIF(ThresholdAge15,"&lt;"&amp;'19_Расчет_аналитики'!K3595,WeightedRevAge15)-SUMIF(ThresholdAge15,"&lt;"&amp;'19_Расчет_аналитики'!K3595,WeightedMinAge15),MAX(CapacityAge15*'01_Вводные'!$B$218*'19_Расчет_аналитики'!K3595,MeanMinAge15))),0)</f>
        <v/>
      </c>
      <c r="L3514">
        <f>IF('01_Вводные'!$B$234="Да",IF(OR('06_Сеть_и_дети'!L95=0,15&lt;='01_Вводные'!$B$297),0,'06_Сеть_и_дети'!L95*IF('01_Вводные'!$B$239="Да",MeanMinAge15+'19_Расчет_аналитики'!L3595*SUMIF(ThresholdAge15,"&lt;"&amp;'19_Расчет_аналитики'!L3595,WeightedRevAge15)-SUMIF(ThresholdAge15,"&lt;"&amp;'19_Расчет_аналитики'!L3595,WeightedMinAge15),MAX(CapacityAge15*'01_Вводные'!$B$218*'19_Расчет_аналитики'!L3595,MeanMinAge15))),0)</f>
        <v/>
      </c>
      <c r="M3514">
        <f>IF('01_Вводные'!$B$234="Да",IF(OR('06_Сеть_и_дети'!M95=0,15&lt;='01_Вводные'!$B$297),0,'06_Сеть_и_дети'!M95*IF('01_Вводные'!$B$239="Да",MeanMinAge15+'19_Расчет_аналитики'!M3595*SUMIF(ThresholdAge15,"&lt;"&amp;'19_Расчет_аналитики'!M3595,WeightedRevAge15)-SUMIF(ThresholdAge15,"&lt;"&amp;'19_Расчет_аналитики'!M3595,WeightedMinAge15),MAX(CapacityAge15*'01_Вводные'!$B$218*'19_Расчет_аналитики'!M3595,MeanMinAge15))),0)</f>
        <v/>
      </c>
      <c r="N3514">
        <f>IF('01_Вводные'!$B$234="Да",IF(OR('06_Сеть_и_дети'!N95=0,15&lt;='01_Вводные'!$B$297),0,'06_Сеть_и_дети'!N95*IF('01_Вводные'!$B$239="Да",MeanMinAge15+'19_Расчет_аналитики'!N3595*SUMIF(ThresholdAge15,"&lt;"&amp;'19_Расчет_аналитики'!N3595,WeightedRevAge15)-SUMIF(ThresholdAge15,"&lt;"&amp;'19_Расчет_аналитики'!N3595,WeightedMinAge15),MAX(CapacityAge15*'01_Вводные'!$B$218*'19_Расчет_аналитики'!N3595,MeanMinAge15))),0)</f>
        <v/>
      </c>
      <c r="O3514">
        <f>IF('01_Вводные'!$B$234="Да",IF(OR('06_Сеть_и_дети'!O95=0,15&lt;='01_Вводные'!$B$297),0,'06_Сеть_и_дети'!O95*IF('01_Вводные'!$B$239="Да",MeanMinAge15+'19_Расчет_аналитики'!O3595*SUMIF(ThresholdAge15,"&lt;"&amp;'19_Расчет_аналитики'!O3595,WeightedRevAge15)-SUMIF(ThresholdAge15,"&lt;"&amp;'19_Расчет_аналитики'!O3595,WeightedMinAge15),MAX(CapacityAge15*'01_Вводные'!$B$218*'19_Расчет_аналитики'!O3595,MeanMinAge15))),0)</f>
        <v/>
      </c>
      <c r="P3514">
        <f>IF('01_Вводные'!$B$234="Да",IF(OR('19_Расчет_аналитики'!P3486=0,15&lt;='01_Вводные'!$B$297),0,'19_Расчет_аналитики'!P3486*IF('01_Вводные'!$B$239="Да",MeanMinAge15+'19_Расчет_аналитики'!P3595*SUMIF(ThresholdAge15,"&lt;"&amp;'19_Расчет_аналитики'!P3595,WeightedRevAge15)-SUMIF(ThresholdAge15,"&lt;"&amp;'19_Расчет_аналитики'!P3595,WeightedMinAge15),MAX(CapacityAge15*'01_Вводные'!$B$218*'19_Расчет_аналитики'!P3595,MeanMinAge15))),0)</f>
        <v/>
      </c>
      <c r="Q3514">
        <f>IF('01_Вводные'!$B$234="Да",IF(OR('19_Расчет_аналитики'!Q3486=0,15&lt;='01_Вводные'!$B$297),0,'19_Расчет_аналитики'!Q3486*IF('01_Вводные'!$B$239="Да",MeanMinAge15+'19_Расчет_аналитики'!Q3595*SUMIF(ThresholdAge15,"&lt;"&amp;'19_Расчет_аналитики'!Q3595,WeightedRevAge15)-SUMIF(ThresholdAge15,"&lt;"&amp;'19_Расчет_аналитики'!Q3595,WeightedMinAge15),MAX(CapacityAge15*'01_Вводные'!$B$218*'19_Расчет_аналитики'!Q3595,MeanMinAge15))),0)</f>
        <v/>
      </c>
      <c r="R3514">
        <f>IF('01_Вводные'!$B$234="Да",IF(OR('19_Расчет_аналитики'!R3486=0,15&lt;='01_Вводные'!$B$297),0,'19_Расчет_аналитики'!R3486*IF('01_Вводные'!$B$239="Да",MeanMinAge15+'19_Расчет_аналитики'!R3595*SUMIF(ThresholdAge15,"&lt;"&amp;'19_Расчет_аналитики'!R3595,WeightedRevAge15)-SUMIF(ThresholdAge15,"&lt;"&amp;'19_Расчет_аналитики'!R3595,WeightedMinAge15),MAX(CapacityAge15*'01_Вводные'!$B$218*'19_Расчет_аналитики'!R3595,MeanMinAge15))),0)</f>
        <v/>
      </c>
      <c r="S3514">
        <f>IF('01_Вводные'!$B$234="Да",IF(OR('19_Расчет_аналитики'!S3486=0,15&lt;='01_Вводные'!$B$297),0,'19_Расчет_аналитики'!S3486*IF('01_Вводные'!$B$239="Да",MeanMinAge15+'19_Расчет_аналитики'!S3595*SUMIF(ThresholdAge15,"&lt;"&amp;'19_Расчет_аналитики'!S3595,WeightedRevAge15)-SUMIF(ThresholdAge15,"&lt;"&amp;'19_Расчет_аналитики'!S3595,WeightedMinAge15),MAX(CapacityAge15*'01_Вводные'!$B$218*'19_Расчет_аналитики'!S3595,MeanMinAge15))),0)</f>
        <v/>
      </c>
      <c r="T3514">
        <f>IF('01_Вводные'!$B$234="Да",IF(OR('19_Расчет_аналитики'!T3486=0,15&lt;='01_Вводные'!$B$297),0,'19_Расчет_аналитики'!T3486*IF('01_Вводные'!$B$239="Да",MeanMinAge15+'19_Расчет_аналитики'!T3595*SUMIF(ThresholdAge15,"&lt;"&amp;'19_Расчет_аналитики'!T3595,WeightedRevAge15)-SUMIF(ThresholdAge15,"&lt;"&amp;'19_Расчет_аналитики'!T3595,WeightedMinAge15),MAX(CapacityAge15*'01_Вводные'!$B$218*'19_Расчет_аналитики'!T3595,MeanMinAge15))),0)</f>
        <v/>
      </c>
      <c r="U3514">
        <f>IF('01_Вводные'!$B$234="Да",IF(OR('19_Расчет_аналитики'!U3486=0,15&lt;='01_Вводные'!$B$297),0,'19_Расчет_аналитики'!U3486*IF('01_Вводные'!$B$239="Да",MeanMinAge15+'19_Расчет_аналитики'!U3595*SUMIF(ThresholdAge15,"&lt;"&amp;'19_Расчет_аналитики'!U3595,WeightedRevAge15)-SUMIF(ThresholdAge15,"&lt;"&amp;'19_Расчет_аналитики'!U3595,WeightedMinAge15),MAX(CapacityAge15*'01_Вводные'!$B$218*'19_Расчет_аналитики'!U3595,MeanMinAge15))),0)</f>
        <v/>
      </c>
      <c r="V3514">
        <f>IF('01_Вводные'!$B$234="Да",IF(OR('19_Расчет_аналитики'!V3486=0,15&lt;='01_Вводные'!$B$297),0,'19_Расчет_аналитики'!V3486*IF('01_Вводные'!$B$239="Да",MeanMinAge15+'19_Расчет_аналитики'!V3595*SUMIF(ThresholdAge15,"&lt;"&amp;'19_Расчет_аналитики'!V3595,WeightedRevAge15)-SUMIF(ThresholdAge15,"&lt;"&amp;'19_Расчет_аналитики'!V3595,WeightedMinAge15),MAX(CapacityAge15*'01_Вводные'!$B$218*'19_Расчет_аналитики'!V3595,MeanMinAge15))),0)</f>
        <v/>
      </c>
      <c r="W3514">
        <f>IF('01_Вводные'!$B$234="Да",IF(OR('19_Расчет_аналитики'!W3486=0,15&lt;='01_Вводные'!$B$297),0,'19_Расчет_аналитики'!W3486*IF('01_Вводные'!$B$239="Да",MeanMinAge15+'19_Расчет_аналитики'!W3595*SUMIF(ThresholdAge15,"&lt;"&amp;'19_Расчет_аналитики'!W3595,WeightedRevAge15)-SUMIF(ThresholdAge15,"&lt;"&amp;'19_Расчет_аналитики'!W3595,WeightedMinAge15),MAX(CapacityAge15*'01_Вводные'!$B$218*'19_Расчет_аналитики'!W3595,MeanMinAge15))),0)</f>
        <v/>
      </c>
      <c r="X3514">
        <f>IF('01_Вводные'!$B$234="Да",IF(OR('19_Расчет_аналитики'!X3486=0,15&lt;='01_Вводные'!$B$297),0,'19_Расчет_аналитики'!X3486*IF('01_Вводные'!$B$239="Да",MeanMinAge15+'19_Расчет_аналитики'!X3595*SUMIF(ThresholdAge15,"&lt;"&amp;'19_Расчет_аналитики'!X3595,WeightedRevAge15)-SUMIF(ThresholdAge15,"&lt;"&amp;'19_Расчет_аналитики'!X3595,WeightedMinAge15),MAX(CapacityAge15*'01_Вводные'!$B$218*'19_Расчет_аналитики'!X3595,MeanMinAge15))),0)</f>
        <v/>
      </c>
      <c r="Y3514">
        <f>IF('01_Вводные'!$B$234="Да",IF(OR('19_Расчет_аналитики'!Y3486=0,15&lt;='01_Вводные'!$B$297),0,'19_Расчет_аналитики'!Y3486*IF('01_Вводные'!$B$239="Да",MeanMinAge15+'19_Расчет_аналитики'!Y3595*SUMIF(ThresholdAge15,"&lt;"&amp;'19_Расчет_аналитики'!Y3595,WeightedRevAge15)-SUMIF(ThresholdAge15,"&lt;"&amp;'19_Расчет_аналитики'!Y3595,WeightedMinAge15),MAX(CapacityAge15*'01_Вводные'!$B$218*'19_Расчет_аналитики'!Y3595,MeanMinAge15))),0)</f>
        <v/>
      </c>
      <c r="Z3514">
        <f>IF('01_Вводные'!$B$234="Да",IF(OR('19_Расчет_аналитики'!Z3486=0,15&lt;='01_Вводные'!$B$297),0,'19_Расчет_аналитики'!Z3486*IF('01_Вводные'!$B$239="Да",MeanMinAge15+'19_Расчет_аналитики'!Z3595*SUMIF(ThresholdAge15,"&lt;"&amp;'19_Расчет_аналитики'!Z3595,WeightedRevAge15)-SUMIF(ThresholdAge15,"&lt;"&amp;'19_Расчет_аналитики'!Z3595,WeightedMinAge15),MAX(CapacityAge15*'01_Вводные'!$B$218*'19_Расчет_аналитики'!Z3595,MeanMinAge15))),0)</f>
        <v/>
      </c>
      <c r="AA3514">
        <f>IF('01_Вводные'!$B$234="Да",IF(OR('19_Расчет_аналитики'!AA3486=0,15&lt;='01_Вводные'!$B$297),0,'19_Расчет_аналитики'!AA3486*IF('01_Вводные'!$B$239="Да",MeanMinAge15+'19_Расчет_аналитики'!AA3595*SUMIF(ThresholdAge15,"&lt;"&amp;'19_Расчет_аналитики'!AA3595,WeightedRevAge15)-SUMIF(ThresholdAge15,"&lt;"&amp;'19_Расчет_аналитики'!AA3595,WeightedMinAge15),MAX(CapacityAge15*'01_Вводные'!$B$218*'19_Расчет_аналитики'!AA3595,MeanMinAge15))),0)</f>
        <v/>
      </c>
      <c r="AB3514">
        <f>IF('01_Вводные'!$B$234="Да",IF(OR('19_Расчет_аналитики'!AB3486=0,15&lt;='01_Вводные'!$B$297),0,'19_Расчет_аналитики'!AB3486*IF('01_Вводные'!$B$239="Да",MeanMinAge15+'19_Расчет_аналитики'!AB3595*SUMIF(ThresholdAge15,"&lt;"&amp;'19_Расчет_аналитики'!AB3595,WeightedRevAge15)-SUMIF(ThresholdAge15,"&lt;"&amp;'19_Расчет_аналитики'!AB3595,WeightedMinAge15),MAX(CapacityAge15*'01_Вводные'!$B$218*'19_Расчет_аналитики'!AB3595,MeanMinAge15))),0)</f>
        <v/>
      </c>
      <c r="AC3514">
        <f>IF('01_Вводные'!$B$234="Да",IF(OR('19_Расчет_аналитики'!AC3486=0,15&lt;='01_Вводные'!$B$297),0,'19_Расчет_аналитики'!AC3486*IF('01_Вводные'!$B$239="Да",MeanMinAge15+'19_Расчет_аналитики'!AC3595*SUMIF(ThresholdAge15,"&lt;"&amp;'19_Расчет_аналитики'!AC3595,WeightedRevAge15)-SUMIF(ThresholdAge15,"&lt;"&amp;'19_Расчет_аналитики'!AC3595,WeightedMinAge15),MAX(CapacityAge15*'01_Вводные'!$B$218*'19_Расчет_аналитики'!AC3595,MeanMinAge15))),0)</f>
        <v/>
      </c>
      <c r="AD3514">
        <f>IF('01_Вводные'!$B$234="Да",IF(OR('19_Расчет_аналитики'!AD3486=0,15&lt;='01_Вводные'!$B$297),0,'19_Расчет_аналитики'!AD3486*IF('01_Вводные'!$B$239="Да",MeanMinAge15+'19_Расчет_аналитики'!AD3595*SUMIF(ThresholdAge15,"&lt;"&amp;'19_Расчет_аналитики'!AD3595,WeightedRevAge15)-SUMIF(ThresholdAge15,"&lt;"&amp;'19_Расчет_аналитики'!AD3595,WeightedMinAge15),MAX(CapacityAge15*'01_Вводные'!$B$218*'19_Расчет_аналитики'!AD3595,MeanMinAge15))),0)</f>
        <v/>
      </c>
      <c r="AE3514">
        <f>IF('01_Вводные'!$B$234="Да",IF(OR('19_Расчет_аналитики'!AE3486=0,15&lt;='01_Вводные'!$B$297),0,'19_Расчет_аналитики'!AE3486*IF('01_Вводные'!$B$239="Да",MeanMinAge15+'19_Расчет_аналитики'!AE3595*SUMIF(ThresholdAge15,"&lt;"&amp;'19_Расчет_аналитики'!AE3595,WeightedRevAge15)-SUMIF(ThresholdAge15,"&lt;"&amp;'19_Расчет_аналитики'!AE3595,WeightedMinAge15),MAX(CapacityAge15*'01_Вводные'!$B$218*'19_Расчет_аналитики'!AE3595,MeanMinAge15))),0)</f>
        <v/>
      </c>
      <c r="AF3514">
        <f>IF('01_Вводные'!$B$234="Да",IF(OR('19_Расчет_аналитики'!AF3486=0,15&lt;='01_Вводные'!$B$297),0,'19_Расчет_аналитики'!AF3486*IF('01_Вводные'!$B$239="Да",MeanMinAge15+'19_Расчет_аналитики'!AF3595*SUMIF(ThresholdAge15,"&lt;"&amp;'19_Расчет_аналитики'!AF3595,WeightedRevAge15)-SUMIF(ThresholdAge15,"&lt;"&amp;'19_Расчет_аналитики'!AF3595,WeightedMinAge15),MAX(CapacityAge15*'01_Вводные'!$B$218*'19_Расчет_аналитики'!AF3595,MeanMinAge15))),0)</f>
        <v/>
      </c>
      <c r="AG3514">
        <f>IF('01_Вводные'!$B$234="Да",IF(OR('19_Расчет_аналитики'!AG3486=0,15&lt;='01_Вводные'!$B$297),0,'19_Расчет_аналитики'!AG3486*IF('01_Вводные'!$B$239="Да",MeanMinAge15+'19_Расчет_аналитики'!AG3595*SUMIF(ThresholdAge15,"&lt;"&amp;'19_Расчет_аналитики'!AG3595,WeightedRevAge15)-SUMIF(ThresholdAge15,"&lt;"&amp;'19_Расчет_аналитики'!AG3595,WeightedMinAge15),MAX(CapacityAge15*'01_Вводные'!$B$218*'19_Расчет_аналитики'!AG3595,MeanMinAge15))),0)</f>
        <v/>
      </c>
      <c r="AH3514">
        <f>IF('01_Вводные'!$B$234="Да",IF(OR('19_Расчет_аналитики'!AH3486=0,15&lt;='01_Вводные'!$B$297),0,'19_Расчет_аналитики'!AH3486*IF('01_Вводные'!$B$239="Да",MeanMinAge15+'19_Расчет_аналитики'!AH3595*SUMIF(ThresholdAge15,"&lt;"&amp;'19_Расчет_аналитики'!AH3595,WeightedRevAge15)-SUMIF(ThresholdAge15,"&lt;"&amp;'19_Расчет_аналитики'!AH3595,WeightedMinAge15),MAX(CapacityAge15*'01_Вводные'!$B$218*'19_Расчет_аналитики'!AH3595,MeanMinAge15))),0)</f>
        <v/>
      </c>
      <c r="AI3514">
        <f>IF('01_Вводные'!$B$234="Да",IF(OR('19_Расчет_аналитики'!AI3486=0,15&lt;='01_Вводные'!$B$297),0,'19_Расчет_аналитики'!AI3486*IF('01_Вводные'!$B$239="Да",MeanMinAge15+'19_Расчет_аналитики'!AI3595*SUMIF(ThresholdAge15,"&lt;"&amp;'19_Расчет_аналитики'!AI3595,WeightedRevAge15)-SUMIF(ThresholdAge15,"&lt;"&amp;'19_Расчет_аналитики'!AI3595,WeightedMinAge15),MAX(CapacityAge15*'01_Вводные'!$B$218*'19_Расчет_аналитики'!AI3595,MeanMinAge15))),0)</f>
        <v/>
      </c>
      <c r="AJ3514">
        <f>IF('01_Вводные'!$B$234="Да",IF(OR('19_Расчет_аналитики'!AJ3486=0,15&lt;='01_Вводные'!$B$297),0,'19_Расчет_аналитики'!AJ3486*IF('01_Вводные'!$B$239="Да",MeanMinAge15+'19_Расчет_аналитики'!AJ3595*SUMIF(ThresholdAge15,"&lt;"&amp;'19_Расчет_аналитики'!AJ3595,WeightedRevAge15)-SUMIF(ThresholdAge15,"&lt;"&amp;'19_Расчет_аналитики'!AJ3595,WeightedMinAge15),MAX(CapacityAge15*'01_Вводные'!$B$218*'19_Расчет_аналитики'!AJ3595,MeanMinAge15))),0)</f>
        <v/>
      </c>
      <c r="AK3514">
        <f>IF('01_Вводные'!$B$234="Да",IF(OR('19_Расчет_аналитики'!AK3486=0,15&lt;='01_Вводные'!$B$297),0,'19_Расчет_аналитики'!AK3486*IF('01_Вводные'!$B$239="Да",MeanMinAge15+'19_Расчет_аналитики'!AK3595*SUMIF(ThresholdAge15,"&lt;"&amp;'19_Расчет_аналитики'!AK3595,WeightedRevAge15)-SUMIF(ThresholdAge15,"&lt;"&amp;'19_Расчет_аналитики'!AK3595,WeightedMinAge15),MAX(CapacityAge15*'01_Вводные'!$B$218*'19_Расчет_аналитики'!AK3595,MeanMinAge15))),0)</f>
        <v/>
      </c>
      <c r="AL3514">
        <f>IF('01_Вводные'!$B$234="Да",IF(OR('19_Расчет_аналитики'!AL3486=0,15&lt;='01_Вводные'!$B$297),0,'19_Расчет_аналитики'!AL3486*IF('01_Вводные'!$B$239="Да",MeanMinAge15+'19_Расчет_аналитики'!AL3595*SUMIF(ThresholdAge15,"&lt;"&amp;'19_Расчет_аналитики'!AL3595,WeightedRevAge15)-SUMIF(ThresholdAge15,"&lt;"&amp;'19_Расчет_аналитики'!AL3595,WeightedMinAge15),MAX(CapacityAge15*'01_Вводные'!$B$218*'19_Расчет_аналитики'!AL3595,MeanMinAge15))),0)</f>
        <v/>
      </c>
      <c r="AM3514">
        <f>IF('01_Вводные'!$B$234="Да",IF(OR('19_Расчет_аналитики'!AM3486=0,15&lt;='01_Вводные'!$B$297),0,'19_Расчет_аналитики'!AM3486*IF('01_Вводные'!$B$239="Да",MeanMinAge15+'19_Расчет_аналитики'!AM3595*SUMIF(ThresholdAge15,"&lt;"&amp;'19_Расчет_аналитики'!AM3595,WeightedRevAge15)-SUMIF(ThresholdAge15,"&lt;"&amp;'19_Расчет_аналитики'!AM3595,WeightedMinAge15),MAX(CapacityAge15*'01_Вводные'!$B$218*'19_Расчет_аналитики'!AM3595,MeanMinAge15))),0)</f>
        <v/>
      </c>
      <c r="AN3514">
        <f>IF('01_Вводные'!$B$234="Да",IF(OR('19_Расчет_аналитики'!AN3486=0,15&lt;='01_Вводные'!$B$297),0,'19_Расчет_аналитики'!AN3486*IF('01_Вводные'!$B$239="Да",MeanMinAge15+'19_Расчет_аналитики'!AN3595*SUMIF(ThresholdAge15,"&lt;"&amp;'19_Расчет_аналитики'!AN3595,WeightedRevAge15)-SUMIF(ThresholdAge15,"&lt;"&amp;'19_Расчет_аналитики'!AN3595,WeightedMinAge15),MAX(CapacityAge15*'01_Вводные'!$B$218*'19_Расчет_аналитики'!AN3595,MeanMinAge15))),0)</f>
        <v/>
      </c>
      <c r="AO3514">
        <f>IF('01_Вводные'!$B$234="Да",IF(OR('19_Расчет_аналитики'!AO3486=0,15&lt;='01_Вводные'!$B$297),0,'19_Расчет_аналитики'!AO3486*IF('01_Вводные'!$B$239="Да",MeanMinAge15+'19_Расчет_аналитики'!AO3595*SUMIF(ThresholdAge15,"&lt;"&amp;'19_Расчет_аналитики'!AO3595,WeightedRevAge15)-SUMIF(ThresholdAge15,"&lt;"&amp;'19_Расчет_аналитики'!AO3595,WeightedMinAge15),MAX(CapacityAge15*'01_Вводные'!$B$218*'19_Расчет_аналитики'!AO3595,MeanMinAge15))),0)</f>
        <v/>
      </c>
      <c r="AP3514">
        <f>IF('01_Вводные'!$B$234="Да",IF(OR('19_Расчет_аналитики'!AP3486=0,15&lt;='01_Вводные'!$B$297),0,'19_Расчет_аналитики'!AP3486*IF('01_Вводные'!$B$239="Да",MeanMinAge15+'19_Расчет_аналитики'!AP3595*SUMIF(ThresholdAge15,"&lt;"&amp;'19_Расчет_аналитики'!AP3595,WeightedRevAge15)-SUMIF(ThresholdAge15,"&lt;"&amp;'19_Расчет_аналитики'!AP3595,WeightedMinAge15),MAX(CapacityAge15*'01_Вводные'!$B$218*'19_Расчет_аналитики'!AP3595,MeanMinAge15))),0)</f>
        <v/>
      </c>
      <c r="AQ3514">
        <f>IF('01_Вводные'!$B$234="Да",IF(OR('19_Расчет_аналитики'!AQ3486=0,15&lt;='01_Вводные'!$B$297),0,'19_Расчет_аналитики'!AQ3486*IF('01_Вводные'!$B$239="Да",MeanMinAge15+'19_Расчет_аналитики'!AQ3595*SUMIF(ThresholdAge15,"&lt;"&amp;'19_Расчет_аналитики'!AQ3595,WeightedRevAge15)-SUMIF(ThresholdAge15,"&lt;"&amp;'19_Расчет_аналитики'!AQ3595,WeightedMinAge15),MAX(CapacityAge15*'01_Вводные'!$B$218*'19_Расчет_аналитики'!AQ3595,MeanMinAge15))),0)</f>
        <v/>
      </c>
      <c r="AR3514">
        <f>IF('01_Вводные'!$B$234="Да",IF(OR('19_Расчет_аналитики'!AR3486=0,15&lt;='01_Вводные'!$B$297),0,'19_Расчет_аналитики'!AR3486*IF('01_Вводные'!$B$239="Да",MeanMinAge15+'19_Расчет_аналитики'!AR3595*SUMIF(ThresholdAge15,"&lt;"&amp;'19_Расчет_аналитики'!AR3595,WeightedRevAge15)-SUMIF(ThresholdAge15,"&lt;"&amp;'19_Расчет_аналитики'!AR3595,WeightedMinAge15),MAX(CapacityAge15*'01_Вводные'!$B$218*'19_Расчет_аналитики'!AR3595,MeanMinAge15))),0)</f>
        <v/>
      </c>
      <c r="AS3514">
        <f>IF('01_Вводные'!$B$234="Да",IF(OR('19_Расчет_аналитики'!AS3486=0,15&lt;='01_Вводные'!$B$297),0,'19_Расчет_аналитики'!AS3486*IF('01_Вводные'!$B$239="Да",MeanMinAge15+'19_Расчет_аналитики'!AS3595*SUMIF(ThresholdAge15,"&lt;"&amp;'19_Расчет_аналитики'!AS3595,WeightedRevAge15)-SUMIF(ThresholdAge15,"&lt;"&amp;'19_Расчет_аналитики'!AS3595,WeightedMinAge15),MAX(CapacityAge15*'01_Вводные'!$B$218*'19_Расчет_аналитики'!AS3595,MeanMinAge15))),0)</f>
        <v/>
      </c>
      <c r="AT3514">
        <f>IF('01_Вводные'!$B$234="Да",IF(OR('19_Расчет_аналитики'!AT3486=0,15&lt;='01_Вводные'!$B$297),0,'19_Расчет_аналитики'!AT3486*IF('01_Вводные'!$B$239="Да",MeanMinAge15+'19_Расчет_аналитики'!AT3595*SUMIF(ThresholdAge15,"&lt;"&amp;'19_Расчет_аналитики'!AT3595,WeightedRevAge15)-SUMIF(ThresholdAge15,"&lt;"&amp;'19_Расчет_аналитики'!AT3595,WeightedMinAge15),MAX(CapacityAge15*'01_Вводные'!$B$218*'19_Расчет_аналитики'!AT3595,MeanMinAge15))),0)</f>
        <v/>
      </c>
      <c r="AU3514">
        <f>IF('01_Вводные'!$B$234="Да",IF(OR('19_Расчет_аналитики'!AU3486=0,15&lt;='01_Вводные'!$B$297),0,'19_Расчет_аналитики'!AU3486*IF('01_Вводные'!$B$239="Да",MeanMinAge15+'19_Расчет_аналитики'!AU3595*SUMIF(ThresholdAge15,"&lt;"&amp;'19_Расчет_аналитики'!AU3595,WeightedRevAge15)-SUMIF(ThresholdAge15,"&lt;"&amp;'19_Расчет_аналитики'!AU3595,WeightedMinAge15),MAX(CapacityAge15*'01_Вводные'!$B$218*'19_Расчет_аналитики'!AU3595,MeanMinAge15))),0)</f>
        <v/>
      </c>
      <c r="AV3514">
        <f>IF('01_Вводные'!$B$234="Да",IF(OR('19_Расчет_аналитики'!AV3486=0,15&lt;='01_Вводные'!$B$297),0,'19_Расчет_аналитики'!AV3486*IF('01_Вводные'!$B$239="Да",MeanMinAge15+'19_Расчет_аналитики'!AV3595*SUMIF(ThresholdAge15,"&lt;"&amp;'19_Расчет_аналитики'!AV3595,WeightedRevAge15)-SUMIF(ThresholdAge15,"&lt;"&amp;'19_Расчет_аналитики'!AV3595,WeightedMinAge15),MAX(CapacityAge15*'01_Вводные'!$B$218*'19_Расчет_аналитики'!AV3595,MeanMinAge15))),0)</f>
        <v/>
      </c>
      <c r="AW3514">
        <f>IF('01_Вводные'!$B$234="Да",IF(OR('19_Расчет_аналитики'!AW3486=0,15&lt;='01_Вводные'!$B$297),0,'19_Расчет_аналитики'!AW3486*IF('01_Вводные'!$B$239="Да",MeanMinAge15+'19_Расчет_аналитики'!AW3595*SUMIF(ThresholdAge15,"&lt;"&amp;'19_Расчет_аналитики'!AW3595,WeightedRevAge15)-SUMIF(ThresholdAge15,"&lt;"&amp;'19_Расчет_аналитики'!AW3595,WeightedMinAge15),MAX(CapacityAge15*'01_Вводные'!$B$218*'19_Расчет_аналитики'!AW3595,MeanMinAge15))),0)</f>
        <v/>
      </c>
      <c r="AX3514">
        <f>IF('01_Вводные'!$B$234="Да",IF(OR('19_Расчет_аналитики'!AX3486=0,15&lt;='01_Вводные'!$B$297),0,'19_Расчет_аналитики'!AX3486*IF('01_Вводные'!$B$239="Да",MeanMinAge15+'19_Расчет_аналитики'!AX3595*SUMIF(ThresholdAge15,"&lt;"&amp;'19_Расчет_аналитики'!AX3595,WeightedRevAge15)-SUMIF(ThresholdAge15,"&lt;"&amp;'19_Расчет_аналитики'!AX3595,WeightedMinAge15),MAX(CapacityAge15*'01_Вводные'!$B$218*'19_Расчет_аналитики'!AX3595,MeanMinAge15))),0)</f>
        <v/>
      </c>
      <c r="AY3514">
        <f>IF('01_Вводные'!$B$234="Да",IF(OR('19_Расчет_аналитики'!AY3486=0,15&lt;='01_Вводные'!$B$297),0,'19_Расчет_аналитики'!AY3486*IF('01_Вводные'!$B$239="Да",MeanMinAge15+'19_Расчет_аналитики'!AY3595*SUMIF(ThresholdAge15,"&lt;"&amp;'19_Расчет_аналитики'!AY3595,WeightedRevAge15)-SUMIF(ThresholdAge15,"&lt;"&amp;'19_Расчет_аналитики'!AY3595,WeightedMinAge15),MAX(CapacityAge15*'01_Вводные'!$B$218*'19_Расчет_аналитики'!AY3595,MeanMinAge15))),0)</f>
        <v/>
      </c>
      <c r="AZ3514">
        <f>IF('01_Вводные'!$B$234="Да",IF(OR('19_Расчет_аналитики'!AZ3486=0,15&lt;='01_Вводные'!$B$297),0,'19_Расчет_аналитики'!AZ3486*IF('01_Вводные'!$B$239="Да",MeanMinAge15+'19_Расчет_аналитики'!AZ3595*SUMIF(ThresholdAge15,"&lt;"&amp;'19_Расчет_аналитики'!AZ3595,WeightedRevAge15)-SUMIF(ThresholdAge15,"&lt;"&amp;'19_Расчет_аналитики'!AZ3595,WeightedMinAge15),MAX(CapacityAge15*'01_Вводные'!$B$218*'19_Расчет_аналитики'!AZ3595,MeanMinAge15))),0)</f>
        <v/>
      </c>
      <c r="BA3514">
        <f>IF('01_Вводные'!$B$234="Да",IF(OR('19_Расчет_аналитики'!BA3486=0,15&lt;='01_Вводные'!$B$297),0,'19_Расчет_аналитики'!BA3486*IF('01_Вводные'!$B$239="Да",MeanMinAge15+'19_Расчет_аналитики'!BA3595*SUMIF(ThresholdAge15,"&lt;"&amp;'19_Расчет_аналитики'!BA3595,WeightedRevAge15)-SUMIF(ThresholdAge15,"&lt;"&amp;'19_Расчет_аналитики'!BA3595,WeightedMinAge15),MAX(CapacityAge15*'01_Вводные'!$B$218*'19_Расчет_аналитики'!BA3595,MeanMinAge15))),0)</f>
        <v/>
      </c>
      <c r="BB3514">
        <f>IF('01_Вводные'!$B$234="Да",IF(OR('19_Расчет_аналитики'!BB3486=0,15&lt;='01_Вводные'!$B$297),0,'19_Расчет_аналитики'!BB3486*IF('01_Вводные'!$B$239="Да",MeanMinAge15+'19_Расчет_аналитики'!BB3595*SUMIF(ThresholdAge15,"&lt;"&amp;'19_Расчет_аналитики'!BB3595,WeightedRevAge15)-SUMIF(ThresholdAge15,"&lt;"&amp;'19_Расчет_аналитики'!BB3595,WeightedMinAge15),MAX(CapacityAge15*'01_Вводные'!$B$218*'19_Расчет_аналитики'!BB3595,MeanMinAge15))),0)</f>
        <v/>
      </c>
      <c r="BC3514">
        <f>IF('01_Вводные'!$B$234="Да",IF(OR('19_Расчет_аналитики'!BC3486=0,15&lt;='01_Вводные'!$B$297),0,'19_Расчет_аналитики'!BC3486*IF('01_Вводные'!$B$239="Да",MeanMinAge15+'19_Расчет_аналитики'!BC3595*SUMIF(ThresholdAge15,"&lt;"&amp;'19_Расчет_аналитики'!BC3595,WeightedRevAge15)-SUMIF(ThresholdAge15,"&lt;"&amp;'19_Расчет_аналитики'!BC3595,WeightedMinAge15),MAX(CapacityAge15*'01_Вводные'!$B$218*'19_Расчет_аналитики'!BC3595,MeanMinAge15))),0)</f>
        <v/>
      </c>
      <c r="BD3514">
        <f>IF('01_Вводные'!$B$234="Да",IF(OR('19_Расчет_аналитики'!BD3486=0,15&lt;='01_Вводные'!$B$297),0,'19_Расчет_аналитики'!BD3486*IF('01_Вводные'!$B$239="Да",MeanMinAge15+'19_Расчет_аналитики'!BD3595*SUMIF(ThresholdAge15,"&lt;"&amp;'19_Расчет_аналитики'!BD3595,WeightedRevAge15)-SUMIF(ThresholdAge15,"&lt;"&amp;'19_Расчет_аналитики'!BD3595,WeightedMinAge15),MAX(CapacityAge15*'01_Вводные'!$B$218*'19_Расчет_аналитики'!BD3595,MeanMinAge15))),0)</f>
        <v/>
      </c>
      <c r="BE3514">
        <f>IF('01_Вводные'!$B$234="Да",IF(OR('19_Расчет_аналитики'!BE3486=0,15&lt;='01_Вводные'!$B$297),0,'19_Расчет_аналитики'!BE3486*IF('01_Вводные'!$B$239="Да",MeanMinAge15+'19_Расчет_аналитики'!BE3595*SUMIF(ThresholdAge15,"&lt;"&amp;'19_Расчет_аналитики'!BE3595,WeightedRevAge15)-SUMIF(ThresholdAge15,"&lt;"&amp;'19_Расчет_аналитики'!BE3595,WeightedMinAge15),MAX(CapacityAge15*'01_Вводные'!$B$218*'19_Расчет_аналитики'!BE3595,MeanMinAge15))),0)</f>
        <v/>
      </c>
      <c r="BF3514">
        <f>IF('01_Вводные'!$B$234="Да",IF(OR('19_Расчет_аналитики'!BF3486=0,15&lt;='01_Вводные'!$B$297),0,'19_Расчет_аналитики'!BF3486*IF('01_Вводные'!$B$239="Да",MeanMinAge15+'19_Расчет_аналитики'!BF3595*SUMIF(ThresholdAge15,"&lt;"&amp;'19_Расчет_аналитики'!BF3595,WeightedRevAge15)-SUMIF(ThresholdAge15,"&lt;"&amp;'19_Расчет_аналитики'!BF3595,WeightedMinAge15),MAX(CapacityAge15*'01_Вводные'!$B$218*'19_Расчет_аналитики'!BF3595,MeanMinAge15))),0)</f>
        <v/>
      </c>
      <c r="BG3514">
        <f>IF('01_Вводные'!$B$234="Да",IF(OR('19_Расчет_аналитики'!BG3486=0,15&lt;='01_Вводные'!$B$297),0,'19_Расчет_аналитики'!BG3486*IF('01_Вводные'!$B$239="Да",MeanMinAge15+'19_Расчет_аналитики'!BG3595*SUMIF(ThresholdAge15,"&lt;"&amp;'19_Расчет_аналитики'!BG3595,WeightedRevAge15)-SUMIF(ThresholdAge15,"&lt;"&amp;'19_Расчет_аналитики'!BG3595,WeightedMinAge15),MAX(CapacityAge15*'01_Вводные'!$B$218*'19_Расчет_аналитики'!BG3595,MeanMinAge15))),0)</f>
        <v/>
      </c>
      <c r="BH3514">
        <f>IF('01_Вводные'!$B$234="Да",IF(OR('19_Расчет_аналитики'!BH3486=0,15&lt;='01_Вводные'!$B$297),0,'19_Расчет_аналитики'!BH3486*IF('01_Вводные'!$B$239="Да",MeanMinAge15+'19_Расчет_аналитики'!BH3595*SUMIF(ThresholdAge15,"&lt;"&amp;'19_Расчет_аналитики'!BH3595,WeightedRevAge15)-SUMIF(ThresholdAge15,"&lt;"&amp;'19_Расчет_аналитики'!BH3595,WeightedMinAge15),MAX(CapacityAge15*'01_Вводные'!$B$218*'19_Расчет_аналитики'!BH3595,MeanMinAge15))),0)</f>
        <v/>
      </c>
      <c r="BI3514">
        <f>IF('01_Вводные'!$B$234="Да",IF(OR('19_Расчет_аналитики'!BI3486=0,15&lt;='01_Вводные'!$B$297),0,'19_Расчет_аналитики'!BI3486*IF('01_Вводные'!$B$239="Да",MeanMinAge15+'19_Расчет_аналитики'!BI3595*SUMIF(ThresholdAge15,"&lt;"&amp;'19_Расчет_аналитики'!BI3595,WeightedRevAge15)-SUMIF(ThresholdAge15,"&lt;"&amp;'19_Расчет_аналитики'!BI3595,WeightedMinAge15),MAX(CapacityAge15*'01_Вводные'!$B$218*'19_Расчет_аналитики'!BI3595,MeanMinAge15))),0)</f>
        <v/>
      </c>
      <c r="BJ3514">
        <f>IF('01_Вводные'!$B$234="Да",IF(OR('19_Расчет_аналитики'!BJ3486=0,15&lt;='01_Вводные'!$B$297),0,'19_Расчет_аналитики'!BJ3486*IF('01_Вводные'!$B$239="Да",MeanMinAge15+'19_Расчет_аналитики'!BJ3595*SUMIF(ThresholdAge15,"&lt;"&amp;'19_Расчет_аналитики'!BJ3595,WeightedRevAge15)-SUMIF(ThresholdAge15,"&lt;"&amp;'19_Расчет_аналитики'!BJ3595,WeightedMinAge15),MAX(CapacityAge15*'01_Вводные'!$B$218*'19_Расчет_аналитики'!BJ3595,MeanMinAge15))),0)</f>
        <v/>
      </c>
      <c r="BK3514">
        <f>IF('01_Вводные'!$B$234="Да",IF(OR('19_Расчет_аналитики'!BK3486=0,15&lt;='01_Вводные'!$B$297),0,'19_Расчет_аналитики'!BK3486*IF('01_Вводные'!$B$239="Да",MeanMinAge15+'19_Расчет_аналитики'!BK3595*SUMIF(ThresholdAge15,"&lt;"&amp;'19_Расчет_аналитики'!BK3595,WeightedRevAge15)-SUMIF(ThresholdAge15,"&lt;"&amp;'19_Расчет_аналитики'!BK3595,WeightedMinAge15),MAX(CapacityAge15*'01_Вводные'!$B$218*'19_Расчет_аналитики'!BK3595,MeanMinAge15))),0)</f>
        <v/>
      </c>
      <c r="BL3514">
        <f>IF('01_Вводные'!$B$234="Да",IF(OR('19_Расчет_аналитики'!BL3486=0,15&lt;='01_Вводные'!$B$297),0,'19_Расчет_аналитики'!BL3486*IF('01_Вводные'!$B$239="Да",MeanMinAge15+'19_Расчет_аналитики'!BL3595*SUMIF(ThresholdAge15,"&lt;"&amp;'19_Расчет_аналитики'!BL3595,WeightedRevAge15)-SUMIF(ThresholdAge15,"&lt;"&amp;'19_Расчет_аналитики'!BL3595,WeightedMinAge15),MAX(CapacityAge15*'01_Вводные'!$B$218*'19_Расчет_аналитики'!BL3595,MeanMinAge15))),0)</f>
        <v/>
      </c>
      <c r="BM3514">
        <f>IF('01_Вводные'!$B$234="Да",IF(OR('19_Расчет_аналитики'!BM3486=0,15&lt;='01_Вводные'!$B$297),0,'19_Расчет_аналитики'!BM3486*IF('01_Вводные'!$B$239="Да",MeanMinAge15+'19_Расчет_аналитики'!BM3595*SUMIF(ThresholdAge15,"&lt;"&amp;'19_Расчет_аналитики'!BM3595,WeightedRevAge15)-SUMIF(ThresholdAge15,"&lt;"&amp;'19_Расчет_аналитики'!BM3595,WeightedMinAge15),MAX(CapacityAge15*'01_Вводные'!$B$218*'19_Расчет_аналитики'!BM3595,MeanMinAge15))),0)</f>
        <v/>
      </c>
      <c r="BN3514">
        <f>IF('01_Вводные'!$B$234="Да",IF(OR('19_Расчет_аналитики'!BN3486=0,15&lt;='01_Вводные'!$B$297),0,'19_Расчет_аналитики'!BN3486*IF('01_Вводные'!$B$239="Да",MeanMinAge15+'19_Расчет_аналитики'!BN3595*SUMIF(ThresholdAge15,"&lt;"&amp;'19_Расчет_аналитики'!BN3595,WeightedRevAge15)-SUMIF(ThresholdAge15,"&lt;"&amp;'19_Расчет_аналитики'!BN3595,WeightedMinAge15),MAX(CapacityAge15*'01_Вводные'!$B$218*'19_Расчет_аналитики'!BN3595,MeanMinAge15))),0)</f>
        <v/>
      </c>
      <c r="BO3514">
        <f>IF('01_Вводные'!$B$234="Да",IF(OR('19_Расчет_аналитики'!BO3486=0,15&lt;='01_Вводные'!$B$297),0,'19_Расчет_аналитики'!BO3486*IF('01_Вводные'!$B$239="Да",MeanMinAge15+'19_Расчет_аналитики'!BO3595*SUMIF(ThresholdAge15,"&lt;"&amp;'19_Расчет_аналитики'!BO3595,WeightedRevAge15)-SUMIF(ThresholdAge15,"&lt;"&amp;'19_Расчет_аналитики'!BO3595,WeightedMinAge15),MAX(CapacityAge15*'01_Вводные'!$B$218*'19_Расчет_аналитики'!BO3595,MeanMinAge15))),0)</f>
        <v/>
      </c>
    </row>
    <row r="3515">
      <c r="B3515">
        <f>IF('01_Вводные'!$B$234="Да",IF(OR('06_Сеть_и_дети'!B96=0,16&lt;='01_Вводные'!$B$297),0,'06_Сеть_и_дети'!B96*IF('01_Вводные'!$B$239="Да",MeanMinAge16+'19_Расчет_аналитики'!B3595*SUMIF(ThresholdAge16,"&lt;"&amp;'19_Расчет_аналитики'!B3595,WeightedRevAge16)-SUMIF(ThresholdAge16,"&lt;"&amp;'19_Расчет_аналитики'!B3595,WeightedMinAge16),MAX(CapacityAge16*'01_Вводные'!$B$218*'19_Расчет_аналитики'!B3595,MeanMinAge16))),0)</f>
        <v/>
      </c>
      <c r="C3515">
        <f>IF('01_Вводные'!$B$234="Да",IF(OR('06_Сеть_и_дети'!C96=0,16&lt;='01_Вводные'!$B$297),0,'06_Сеть_и_дети'!C96*IF('01_Вводные'!$B$239="Да",MeanMinAge16+'19_Расчет_аналитики'!C3595*SUMIF(ThresholdAge16,"&lt;"&amp;'19_Расчет_аналитики'!C3595,WeightedRevAge16)-SUMIF(ThresholdAge16,"&lt;"&amp;'19_Расчет_аналитики'!C3595,WeightedMinAge16),MAX(CapacityAge16*'01_Вводные'!$B$218*'19_Расчет_аналитики'!C3595,MeanMinAge16))),0)</f>
        <v/>
      </c>
      <c r="D3515">
        <f>IF('01_Вводные'!$B$234="Да",IF(OR('06_Сеть_и_дети'!D96=0,16&lt;='01_Вводные'!$B$297),0,'06_Сеть_и_дети'!D96*IF('01_Вводные'!$B$239="Да",MeanMinAge16+'19_Расчет_аналитики'!D3595*SUMIF(ThresholdAge16,"&lt;"&amp;'19_Расчет_аналитики'!D3595,WeightedRevAge16)-SUMIF(ThresholdAge16,"&lt;"&amp;'19_Расчет_аналитики'!D3595,WeightedMinAge16),MAX(CapacityAge16*'01_Вводные'!$B$218*'19_Расчет_аналитики'!D3595,MeanMinAge16))),0)</f>
        <v/>
      </c>
      <c r="E3515">
        <f>IF('01_Вводные'!$B$234="Да",IF(OR('06_Сеть_и_дети'!E96=0,16&lt;='01_Вводные'!$B$297),0,'06_Сеть_и_дети'!E96*IF('01_Вводные'!$B$239="Да",MeanMinAge16+'19_Расчет_аналитики'!E3595*SUMIF(ThresholdAge16,"&lt;"&amp;'19_Расчет_аналитики'!E3595,WeightedRevAge16)-SUMIF(ThresholdAge16,"&lt;"&amp;'19_Расчет_аналитики'!E3595,WeightedMinAge16),MAX(CapacityAge16*'01_Вводные'!$B$218*'19_Расчет_аналитики'!E3595,MeanMinAge16))),0)</f>
        <v/>
      </c>
      <c r="F3515">
        <f>IF('01_Вводные'!$B$234="Да",IF(OR('06_Сеть_и_дети'!F96=0,16&lt;='01_Вводные'!$B$297),0,'06_Сеть_и_дети'!F96*IF('01_Вводные'!$B$239="Да",MeanMinAge16+'19_Расчет_аналитики'!F3595*SUMIF(ThresholdAge16,"&lt;"&amp;'19_Расчет_аналитики'!F3595,WeightedRevAge16)-SUMIF(ThresholdAge16,"&lt;"&amp;'19_Расчет_аналитики'!F3595,WeightedMinAge16),MAX(CapacityAge16*'01_Вводные'!$B$218*'19_Расчет_аналитики'!F3595,MeanMinAge16))),0)</f>
        <v/>
      </c>
      <c r="G3515">
        <f>IF('01_Вводные'!$B$234="Да",IF(OR('06_Сеть_и_дети'!G96=0,16&lt;='01_Вводные'!$B$297),0,'06_Сеть_и_дети'!G96*IF('01_Вводные'!$B$239="Да",MeanMinAge16+'19_Расчет_аналитики'!G3595*SUMIF(ThresholdAge16,"&lt;"&amp;'19_Расчет_аналитики'!G3595,WeightedRevAge16)-SUMIF(ThresholdAge16,"&lt;"&amp;'19_Расчет_аналитики'!G3595,WeightedMinAge16),MAX(CapacityAge16*'01_Вводные'!$B$218*'19_Расчет_аналитики'!G3595,MeanMinAge16))),0)</f>
        <v/>
      </c>
      <c r="H3515">
        <f>IF('01_Вводные'!$B$234="Да",IF(OR('06_Сеть_и_дети'!H96=0,16&lt;='01_Вводные'!$B$297),0,'06_Сеть_и_дети'!H96*IF('01_Вводные'!$B$239="Да",MeanMinAge16+'19_Расчет_аналитики'!H3595*SUMIF(ThresholdAge16,"&lt;"&amp;'19_Расчет_аналитики'!H3595,WeightedRevAge16)-SUMIF(ThresholdAge16,"&lt;"&amp;'19_Расчет_аналитики'!H3595,WeightedMinAge16),MAX(CapacityAge16*'01_Вводные'!$B$218*'19_Расчет_аналитики'!H3595,MeanMinAge16))),0)</f>
        <v/>
      </c>
      <c r="I3515">
        <f>IF('01_Вводные'!$B$234="Да",IF(OR('06_Сеть_и_дети'!I96=0,16&lt;='01_Вводные'!$B$297),0,'06_Сеть_и_дети'!I96*IF('01_Вводные'!$B$239="Да",MeanMinAge16+'19_Расчет_аналитики'!I3595*SUMIF(ThresholdAge16,"&lt;"&amp;'19_Расчет_аналитики'!I3595,WeightedRevAge16)-SUMIF(ThresholdAge16,"&lt;"&amp;'19_Расчет_аналитики'!I3595,WeightedMinAge16),MAX(CapacityAge16*'01_Вводные'!$B$218*'19_Расчет_аналитики'!I3595,MeanMinAge16))),0)</f>
        <v/>
      </c>
      <c r="J3515">
        <f>IF('01_Вводные'!$B$234="Да",IF(OR('06_Сеть_и_дети'!J96=0,16&lt;='01_Вводные'!$B$297),0,'06_Сеть_и_дети'!J96*IF('01_Вводные'!$B$239="Да",MeanMinAge16+'19_Расчет_аналитики'!J3595*SUMIF(ThresholdAge16,"&lt;"&amp;'19_Расчет_аналитики'!J3595,WeightedRevAge16)-SUMIF(ThresholdAge16,"&lt;"&amp;'19_Расчет_аналитики'!J3595,WeightedMinAge16),MAX(CapacityAge16*'01_Вводные'!$B$218*'19_Расчет_аналитики'!J3595,MeanMinAge16))),0)</f>
        <v/>
      </c>
      <c r="K3515">
        <f>IF('01_Вводные'!$B$234="Да",IF(OR('06_Сеть_и_дети'!K96=0,16&lt;='01_Вводные'!$B$297),0,'06_Сеть_и_дети'!K96*IF('01_Вводные'!$B$239="Да",MeanMinAge16+'19_Расчет_аналитики'!K3595*SUMIF(ThresholdAge16,"&lt;"&amp;'19_Расчет_аналитики'!K3595,WeightedRevAge16)-SUMIF(ThresholdAge16,"&lt;"&amp;'19_Расчет_аналитики'!K3595,WeightedMinAge16),MAX(CapacityAge16*'01_Вводные'!$B$218*'19_Расчет_аналитики'!K3595,MeanMinAge16))),0)</f>
        <v/>
      </c>
      <c r="L3515">
        <f>IF('01_Вводные'!$B$234="Да",IF(OR('06_Сеть_и_дети'!L96=0,16&lt;='01_Вводные'!$B$297),0,'06_Сеть_и_дети'!L96*IF('01_Вводные'!$B$239="Да",MeanMinAge16+'19_Расчет_аналитики'!L3595*SUMIF(ThresholdAge16,"&lt;"&amp;'19_Расчет_аналитики'!L3595,WeightedRevAge16)-SUMIF(ThresholdAge16,"&lt;"&amp;'19_Расчет_аналитики'!L3595,WeightedMinAge16),MAX(CapacityAge16*'01_Вводные'!$B$218*'19_Расчет_аналитики'!L3595,MeanMinAge16))),0)</f>
        <v/>
      </c>
      <c r="M3515">
        <f>IF('01_Вводные'!$B$234="Да",IF(OR('06_Сеть_и_дети'!M96=0,16&lt;='01_Вводные'!$B$297),0,'06_Сеть_и_дети'!M96*IF('01_Вводные'!$B$239="Да",MeanMinAge16+'19_Расчет_аналитики'!M3595*SUMIF(ThresholdAge16,"&lt;"&amp;'19_Расчет_аналитики'!M3595,WeightedRevAge16)-SUMIF(ThresholdAge16,"&lt;"&amp;'19_Расчет_аналитики'!M3595,WeightedMinAge16),MAX(CapacityAge16*'01_Вводные'!$B$218*'19_Расчет_аналитики'!M3595,MeanMinAge16))),0)</f>
        <v/>
      </c>
      <c r="N3515">
        <f>IF('01_Вводные'!$B$234="Да",IF(OR('06_Сеть_и_дети'!N96=0,16&lt;='01_Вводные'!$B$297),0,'06_Сеть_и_дети'!N96*IF('01_Вводные'!$B$239="Да",MeanMinAge16+'19_Расчет_аналитики'!N3595*SUMIF(ThresholdAge16,"&lt;"&amp;'19_Расчет_аналитики'!N3595,WeightedRevAge16)-SUMIF(ThresholdAge16,"&lt;"&amp;'19_Расчет_аналитики'!N3595,WeightedMinAge16),MAX(CapacityAge16*'01_Вводные'!$B$218*'19_Расчет_аналитики'!N3595,MeanMinAge16))),0)</f>
        <v/>
      </c>
      <c r="O3515">
        <f>IF('01_Вводные'!$B$234="Да",IF(OR('06_Сеть_и_дети'!O96=0,16&lt;='01_Вводные'!$B$297),0,'06_Сеть_и_дети'!O96*IF('01_Вводные'!$B$239="Да",MeanMinAge16+'19_Расчет_аналитики'!O3595*SUMIF(ThresholdAge16,"&lt;"&amp;'19_Расчет_аналитики'!O3595,WeightedRevAge16)-SUMIF(ThresholdAge16,"&lt;"&amp;'19_Расчет_аналитики'!O3595,WeightedMinAge16),MAX(CapacityAge16*'01_Вводные'!$B$218*'19_Расчет_аналитики'!O3595,MeanMinAge16))),0)</f>
        <v/>
      </c>
      <c r="P3515">
        <f>IF('01_Вводные'!$B$234="Да",IF(OR('06_Сеть_и_дети'!P96=0,16&lt;='01_Вводные'!$B$297),0,'06_Сеть_и_дети'!P96*IF('01_Вводные'!$B$239="Да",MeanMinAge16+'19_Расчет_аналитики'!P3595*SUMIF(ThresholdAge16,"&lt;"&amp;'19_Расчет_аналитики'!P3595,WeightedRevAge16)-SUMIF(ThresholdAge16,"&lt;"&amp;'19_Расчет_аналитики'!P3595,WeightedMinAge16),MAX(CapacityAge16*'01_Вводные'!$B$218*'19_Расчет_аналитики'!P3595,MeanMinAge16))),0)</f>
        <v/>
      </c>
      <c r="Q3515">
        <f>IF('01_Вводные'!$B$234="Да",IF(OR('19_Расчет_аналитики'!Q3487=0,16&lt;='01_Вводные'!$B$297),0,'19_Расчет_аналитики'!Q3487*IF('01_Вводные'!$B$239="Да",MeanMinAge16+'19_Расчет_аналитики'!Q3595*SUMIF(ThresholdAge16,"&lt;"&amp;'19_Расчет_аналитики'!Q3595,WeightedRevAge16)-SUMIF(ThresholdAge16,"&lt;"&amp;'19_Расчет_аналитики'!Q3595,WeightedMinAge16),MAX(CapacityAge16*'01_Вводные'!$B$218*'19_Расчет_аналитики'!Q3595,MeanMinAge16))),0)</f>
        <v/>
      </c>
      <c r="R3515">
        <f>IF('01_Вводные'!$B$234="Да",IF(OR('19_Расчет_аналитики'!R3487=0,16&lt;='01_Вводные'!$B$297),0,'19_Расчет_аналитики'!R3487*IF('01_Вводные'!$B$239="Да",MeanMinAge16+'19_Расчет_аналитики'!R3595*SUMIF(ThresholdAge16,"&lt;"&amp;'19_Расчет_аналитики'!R3595,WeightedRevAge16)-SUMIF(ThresholdAge16,"&lt;"&amp;'19_Расчет_аналитики'!R3595,WeightedMinAge16),MAX(CapacityAge16*'01_Вводные'!$B$218*'19_Расчет_аналитики'!R3595,MeanMinAge16))),0)</f>
        <v/>
      </c>
      <c r="S3515">
        <f>IF('01_Вводные'!$B$234="Да",IF(OR('19_Расчет_аналитики'!S3487=0,16&lt;='01_Вводные'!$B$297),0,'19_Расчет_аналитики'!S3487*IF('01_Вводные'!$B$239="Да",MeanMinAge16+'19_Расчет_аналитики'!S3595*SUMIF(ThresholdAge16,"&lt;"&amp;'19_Расчет_аналитики'!S3595,WeightedRevAge16)-SUMIF(ThresholdAge16,"&lt;"&amp;'19_Расчет_аналитики'!S3595,WeightedMinAge16),MAX(CapacityAge16*'01_Вводные'!$B$218*'19_Расчет_аналитики'!S3595,MeanMinAge16))),0)</f>
        <v/>
      </c>
      <c r="T3515">
        <f>IF('01_Вводные'!$B$234="Да",IF(OR('19_Расчет_аналитики'!T3487=0,16&lt;='01_Вводные'!$B$297),0,'19_Расчет_аналитики'!T3487*IF('01_Вводные'!$B$239="Да",MeanMinAge16+'19_Расчет_аналитики'!T3595*SUMIF(ThresholdAge16,"&lt;"&amp;'19_Расчет_аналитики'!T3595,WeightedRevAge16)-SUMIF(ThresholdAge16,"&lt;"&amp;'19_Расчет_аналитики'!T3595,WeightedMinAge16),MAX(CapacityAge16*'01_Вводные'!$B$218*'19_Расчет_аналитики'!T3595,MeanMinAge16))),0)</f>
        <v/>
      </c>
      <c r="U3515">
        <f>IF('01_Вводные'!$B$234="Да",IF(OR('19_Расчет_аналитики'!U3487=0,16&lt;='01_Вводные'!$B$297),0,'19_Расчет_аналитики'!U3487*IF('01_Вводные'!$B$239="Да",MeanMinAge16+'19_Расчет_аналитики'!U3595*SUMIF(ThresholdAge16,"&lt;"&amp;'19_Расчет_аналитики'!U3595,WeightedRevAge16)-SUMIF(ThresholdAge16,"&lt;"&amp;'19_Расчет_аналитики'!U3595,WeightedMinAge16),MAX(CapacityAge16*'01_Вводные'!$B$218*'19_Расчет_аналитики'!U3595,MeanMinAge16))),0)</f>
        <v/>
      </c>
      <c r="V3515">
        <f>IF('01_Вводные'!$B$234="Да",IF(OR('19_Расчет_аналитики'!V3487=0,16&lt;='01_Вводные'!$B$297),0,'19_Расчет_аналитики'!V3487*IF('01_Вводные'!$B$239="Да",MeanMinAge16+'19_Расчет_аналитики'!V3595*SUMIF(ThresholdAge16,"&lt;"&amp;'19_Расчет_аналитики'!V3595,WeightedRevAge16)-SUMIF(ThresholdAge16,"&lt;"&amp;'19_Расчет_аналитики'!V3595,WeightedMinAge16),MAX(CapacityAge16*'01_Вводные'!$B$218*'19_Расчет_аналитики'!V3595,MeanMinAge16))),0)</f>
        <v/>
      </c>
      <c r="W3515">
        <f>IF('01_Вводные'!$B$234="Да",IF(OR('19_Расчет_аналитики'!W3487=0,16&lt;='01_Вводные'!$B$297),0,'19_Расчет_аналитики'!W3487*IF('01_Вводные'!$B$239="Да",MeanMinAge16+'19_Расчет_аналитики'!W3595*SUMIF(ThresholdAge16,"&lt;"&amp;'19_Расчет_аналитики'!W3595,WeightedRevAge16)-SUMIF(ThresholdAge16,"&lt;"&amp;'19_Расчет_аналитики'!W3595,WeightedMinAge16),MAX(CapacityAge16*'01_Вводные'!$B$218*'19_Расчет_аналитики'!W3595,MeanMinAge16))),0)</f>
        <v/>
      </c>
      <c r="X3515">
        <f>IF('01_Вводные'!$B$234="Да",IF(OR('19_Расчет_аналитики'!X3487=0,16&lt;='01_Вводные'!$B$297),0,'19_Расчет_аналитики'!X3487*IF('01_Вводные'!$B$239="Да",MeanMinAge16+'19_Расчет_аналитики'!X3595*SUMIF(ThresholdAge16,"&lt;"&amp;'19_Расчет_аналитики'!X3595,WeightedRevAge16)-SUMIF(ThresholdAge16,"&lt;"&amp;'19_Расчет_аналитики'!X3595,WeightedMinAge16),MAX(CapacityAge16*'01_Вводные'!$B$218*'19_Расчет_аналитики'!X3595,MeanMinAge16))),0)</f>
        <v/>
      </c>
      <c r="Y3515">
        <f>IF('01_Вводные'!$B$234="Да",IF(OR('19_Расчет_аналитики'!Y3487=0,16&lt;='01_Вводные'!$B$297),0,'19_Расчет_аналитики'!Y3487*IF('01_Вводные'!$B$239="Да",MeanMinAge16+'19_Расчет_аналитики'!Y3595*SUMIF(ThresholdAge16,"&lt;"&amp;'19_Расчет_аналитики'!Y3595,WeightedRevAge16)-SUMIF(ThresholdAge16,"&lt;"&amp;'19_Расчет_аналитики'!Y3595,WeightedMinAge16),MAX(CapacityAge16*'01_Вводные'!$B$218*'19_Расчет_аналитики'!Y3595,MeanMinAge16))),0)</f>
        <v/>
      </c>
      <c r="Z3515">
        <f>IF('01_Вводные'!$B$234="Да",IF(OR('19_Расчет_аналитики'!Z3487=0,16&lt;='01_Вводные'!$B$297),0,'19_Расчет_аналитики'!Z3487*IF('01_Вводные'!$B$239="Да",MeanMinAge16+'19_Расчет_аналитики'!Z3595*SUMIF(ThresholdAge16,"&lt;"&amp;'19_Расчет_аналитики'!Z3595,WeightedRevAge16)-SUMIF(ThresholdAge16,"&lt;"&amp;'19_Расчет_аналитики'!Z3595,WeightedMinAge16),MAX(CapacityAge16*'01_Вводные'!$B$218*'19_Расчет_аналитики'!Z3595,MeanMinAge16))),0)</f>
        <v/>
      </c>
      <c r="AA3515">
        <f>IF('01_Вводные'!$B$234="Да",IF(OR('19_Расчет_аналитики'!AA3487=0,16&lt;='01_Вводные'!$B$297),0,'19_Расчет_аналитики'!AA3487*IF('01_Вводные'!$B$239="Да",MeanMinAge16+'19_Расчет_аналитики'!AA3595*SUMIF(ThresholdAge16,"&lt;"&amp;'19_Расчет_аналитики'!AA3595,WeightedRevAge16)-SUMIF(ThresholdAge16,"&lt;"&amp;'19_Расчет_аналитики'!AA3595,WeightedMinAge16),MAX(CapacityAge16*'01_Вводные'!$B$218*'19_Расчет_аналитики'!AA3595,MeanMinAge16))),0)</f>
        <v/>
      </c>
      <c r="AB3515">
        <f>IF('01_Вводные'!$B$234="Да",IF(OR('19_Расчет_аналитики'!AB3487=0,16&lt;='01_Вводные'!$B$297),0,'19_Расчет_аналитики'!AB3487*IF('01_Вводные'!$B$239="Да",MeanMinAge16+'19_Расчет_аналитики'!AB3595*SUMIF(ThresholdAge16,"&lt;"&amp;'19_Расчет_аналитики'!AB3595,WeightedRevAge16)-SUMIF(ThresholdAge16,"&lt;"&amp;'19_Расчет_аналитики'!AB3595,WeightedMinAge16),MAX(CapacityAge16*'01_Вводные'!$B$218*'19_Расчет_аналитики'!AB3595,MeanMinAge16))),0)</f>
        <v/>
      </c>
      <c r="AC3515">
        <f>IF('01_Вводные'!$B$234="Да",IF(OR('19_Расчет_аналитики'!AC3487=0,16&lt;='01_Вводные'!$B$297),0,'19_Расчет_аналитики'!AC3487*IF('01_Вводные'!$B$239="Да",MeanMinAge16+'19_Расчет_аналитики'!AC3595*SUMIF(ThresholdAge16,"&lt;"&amp;'19_Расчет_аналитики'!AC3595,WeightedRevAge16)-SUMIF(ThresholdAge16,"&lt;"&amp;'19_Расчет_аналитики'!AC3595,WeightedMinAge16),MAX(CapacityAge16*'01_Вводные'!$B$218*'19_Расчет_аналитики'!AC3595,MeanMinAge16))),0)</f>
        <v/>
      </c>
      <c r="AD3515">
        <f>IF('01_Вводные'!$B$234="Да",IF(OR('19_Расчет_аналитики'!AD3487=0,16&lt;='01_Вводные'!$B$297),0,'19_Расчет_аналитики'!AD3487*IF('01_Вводные'!$B$239="Да",MeanMinAge16+'19_Расчет_аналитики'!AD3595*SUMIF(ThresholdAge16,"&lt;"&amp;'19_Расчет_аналитики'!AD3595,WeightedRevAge16)-SUMIF(ThresholdAge16,"&lt;"&amp;'19_Расчет_аналитики'!AD3595,WeightedMinAge16),MAX(CapacityAge16*'01_Вводные'!$B$218*'19_Расчет_аналитики'!AD3595,MeanMinAge16))),0)</f>
        <v/>
      </c>
      <c r="AE3515">
        <f>IF('01_Вводные'!$B$234="Да",IF(OR('19_Расчет_аналитики'!AE3487=0,16&lt;='01_Вводные'!$B$297),0,'19_Расчет_аналитики'!AE3487*IF('01_Вводные'!$B$239="Да",MeanMinAge16+'19_Расчет_аналитики'!AE3595*SUMIF(ThresholdAge16,"&lt;"&amp;'19_Расчет_аналитики'!AE3595,WeightedRevAge16)-SUMIF(ThresholdAge16,"&lt;"&amp;'19_Расчет_аналитики'!AE3595,WeightedMinAge16),MAX(CapacityAge16*'01_Вводные'!$B$218*'19_Расчет_аналитики'!AE3595,MeanMinAge16))),0)</f>
        <v/>
      </c>
      <c r="AF3515">
        <f>IF('01_Вводные'!$B$234="Да",IF(OR('19_Расчет_аналитики'!AF3487=0,16&lt;='01_Вводные'!$B$297),0,'19_Расчет_аналитики'!AF3487*IF('01_Вводные'!$B$239="Да",MeanMinAge16+'19_Расчет_аналитики'!AF3595*SUMIF(ThresholdAge16,"&lt;"&amp;'19_Расчет_аналитики'!AF3595,WeightedRevAge16)-SUMIF(ThresholdAge16,"&lt;"&amp;'19_Расчет_аналитики'!AF3595,WeightedMinAge16),MAX(CapacityAge16*'01_Вводные'!$B$218*'19_Расчет_аналитики'!AF3595,MeanMinAge16))),0)</f>
        <v/>
      </c>
      <c r="AG3515">
        <f>IF('01_Вводные'!$B$234="Да",IF(OR('19_Расчет_аналитики'!AG3487=0,16&lt;='01_Вводные'!$B$297),0,'19_Расчет_аналитики'!AG3487*IF('01_Вводные'!$B$239="Да",MeanMinAge16+'19_Расчет_аналитики'!AG3595*SUMIF(ThresholdAge16,"&lt;"&amp;'19_Расчет_аналитики'!AG3595,WeightedRevAge16)-SUMIF(ThresholdAge16,"&lt;"&amp;'19_Расчет_аналитики'!AG3595,WeightedMinAge16),MAX(CapacityAge16*'01_Вводные'!$B$218*'19_Расчет_аналитики'!AG3595,MeanMinAge16))),0)</f>
        <v/>
      </c>
      <c r="AH3515">
        <f>IF('01_Вводные'!$B$234="Да",IF(OR('19_Расчет_аналитики'!AH3487=0,16&lt;='01_Вводные'!$B$297),0,'19_Расчет_аналитики'!AH3487*IF('01_Вводные'!$B$239="Да",MeanMinAge16+'19_Расчет_аналитики'!AH3595*SUMIF(ThresholdAge16,"&lt;"&amp;'19_Расчет_аналитики'!AH3595,WeightedRevAge16)-SUMIF(ThresholdAge16,"&lt;"&amp;'19_Расчет_аналитики'!AH3595,WeightedMinAge16),MAX(CapacityAge16*'01_Вводные'!$B$218*'19_Расчет_аналитики'!AH3595,MeanMinAge16))),0)</f>
        <v/>
      </c>
      <c r="AI3515">
        <f>IF('01_Вводные'!$B$234="Да",IF(OR('19_Расчет_аналитики'!AI3487=0,16&lt;='01_Вводные'!$B$297),0,'19_Расчет_аналитики'!AI3487*IF('01_Вводные'!$B$239="Да",MeanMinAge16+'19_Расчет_аналитики'!AI3595*SUMIF(ThresholdAge16,"&lt;"&amp;'19_Расчет_аналитики'!AI3595,WeightedRevAge16)-SUMIF(ThresholdAge16,"&lt;"&amp;'19_Расчет_аналитики'!AI3595,WeightedMinAge16),MAX(CapacityAge16*'01_Вводные'!$B$218*'19_Расчет_аналитики'!AI3595,MeanMinAge16))),0)</f>
        <v/>
      </c>
      <c r="AJ3515">
        <f>IF('01_Вводные'!$B$234="Да",IF(OR('19_Расчет_аналитики'!AJ3487=0,16&lt;='01_Вводные'!$B$297),0,'19_Расчет_аналитики'!AJ3487*IF('01_Вводные'!$B$239="Да",MeanMinAge16+'19_Расчет_аналитики'!AJ3595*SUMIF(ThresholdAge16,"&lt;"&amp;'19_Расчет_аналитики'!AJ3595,WeightedRevAge16)-SUMIF(ThresholdAge16,"&lt;"&amp;'19_Расчет_аналитики'!AJ3595,WeightedMinAge16),MAX(CapacityAge16*'01_Вводные'!$B$218*'19_Расчет_аналитики'!AJ3595,MeanMinAge16))),0)</f>
        <v/>
      </c>
      <c r="AK3515">
        <f>IF('01_Вводные'!$B$234="Да",IF(OR('19_Расчет_аналитики'!AK3487=0,16&lt;='01_Вводные'!$B$297),0,'19_Расчет_аналитики'!AK3487*IF('01_Вводные'!$B$239="Да",MeanMinAge16+'19_Расчет_аналитики'!AK3595*SUMIF(ThresholdAge16,"&lt;"&amp;'19_Расчет_аналитики'!AK3595,WeightedRevAge16)-SUMIF(ThresholdAge16,"&lt;"&amp;'19_Расчет_аналитики'!AK3595,WeightedMinAge16),MAX(CapacityAge16*'01_Вводные'!$B$218*'19_Расчет_аналитики'!AK3595,MeanMinAge16))),0)</f>
        <v/>
      </c>
      <c r="AL3515">
        <f>IF('01_Вводные'!$B$234="Да",IF(OR('19_Расчет_аналитики'!AL3487=0,16&lt;='01_Вводные'!$B$297),0,'19_Расчет_аналитики'!AL3487*IF('01_Вводные'!$B$239="Да",MeanMinAge16+'19_Расчет_аналитики'!AL3595*SUMIF(ThresholdAge16,"&lt;"&amp;'19_Расчет_аналитики'!AL3595,WeightedRevAge16)-SUMIF(ThresholdAge16,"&lt;"&amp;'19_Расчет_аналитики'!AL3595,WeightedMinAge16),MAX(CapacityAge16*'01_Вводные'!$B$218*'19_Расчет_аналитики'!AL3595,MeanMinAge16))),0)</f>
        <v/>
      </c>
      <c r="AM3515">
        <f>IF('01_Вводные'!$B$234="Да",IF(OR('19_Расчет_аналитики'!AM3487=0,16&lt;='01_Вводные'!$B$297),0,'19_Расчет_аналитики'!AM3487*IF('01_Вводные'!$B$239="Да",MeanMinAge16+'19_Расчет_аналитики'!AM3595*SUMIF(ThresholdAge16,"&lt;"&amp;'19_Расчет_аналитики'!AM3595,WeightedRevAge16)-SUMIF(ThresholdAge16,"&lt;"&amp;'19_Расчет_аналитики'!AM3595,WeightedMinAge16),MAX(CapacityAge16*'01_Вводные'!$B$218*'19_Расчет_аналитики'!AM3595,MeanMinAge16))),0)</f>
        <v/>
      </c>
      <c r="AN3515">
        <f>IF('01_Вводные'!$B$234="Да",IF(OR('19_Расчет_аналитики'!AN3487=0,16&lt;='01_Вводные'!$B$297),0,'19_Расчет_аналитики'!AN3487*IF('01_Вводные'!$B$239="Да",MeanMinAge16+'19_Расчет_аналитики'!AN3595*SUMIF(ThresholdAge16,"&lt;"&amp;'19_Расчет_аналитики'!AN3595,WeightedRevAge16)-SUMIF(ThresholdAge16,"&lt;"&amp;'19_Расчет_аналитики'!AN3595,WeightedMinAge16),MAX(CapacityAge16*'01_Вводные'!$B$218*'19_Расчет_аналитики'!AN3595,MeanMinAge16))),0)</f>
        <v/>
      </c>
      <c r="AO3515">
        <f>IF('01_Вводные'!$B$234="Да",IF(OR('19_Расчет_аналитики'!AO3487=0,16&lt;='01_Вводные'!$B$297),0,'19_Расчет_аналитики'!AO3487*IF('01_Вводные'!$B$239="Да",MeanMinAge16+'19_Расчет_аналитики'!AO3595*SUMIF(ThresholdAge16,"&lt;"&amp;'19_Расчет_аналитики'!AO3595,WeightedRevAge16)-SUMIF(ThresholdAge16,"&lt;"&amp;'19_Расчет_аналитики'!AO3595,WeightedMinAge16),MAX(CapacityAge16*'01_Вводные'!$B$218*'19_Расчет_аналитики'!AO3595,MeanMinAge16))),0)</f>
        <v/>
      </c>
      <c r="AP3515">
        <f>IF('01_Вводные'!$B$234="Да",IF(OR('19_Расчет_аналитики'!AP3487=0,16&lt;='01_Вводные'!$B$297),0,'19_Расчет_аналитики'!AP3487*IF('01_Вводные'!$B$239="Да",MeanMinAge16+'19_Расчет_аналитики'!AP3595*SUMIF(ThresholdAge16,"&lt;"&amp;'19_Расчет_аналитики'!AP3595,WeightedRevAge16)-SUMIF(ThresholdAge16,"&lt;"&amp;'19_Расчет_аналитики'!AP3595,WeightedMinAge16),MAX(CapacityAge16*'01_Вводные'!$B$218*'19_Расчет_аналитики'!AP3595,MeanMinAge16))),0)</f>
        <v/>
      </c>
      <c r="AQ3515">
        <f>IF('01_Вводные'!$B$234="Да",IF(OR('19_Расчет_аналитики'!AQ3487=0,16&lt;='01_Вводные'!$B$297),0,'19_Расчет_аналитики'!AQ3487*IF('01_Вводные'!$B$239="Да",MeanMinAge16+'19_Расчет_аналитики'!AQ3595*SUMIF(ThresholdAge16,"&lt;"&amp;'19_Расчет_аналитики'!AQ3595,WeightedRevAge16)-SUMIF(ThresholdAge16,"&lt;"&amp;'19_Расчет_аналитики'!AQ3595,WeightedMinAge16),MAX(CapacityAge16*'01_Вводные'!$B$218*'19_Расчет_аналитики'!AQ3595,MeanMinAge16))),0)</f>
        <v/>
      </c>
      <c r="AR3515">
        <f>IF('01_Вводные'!$B$234="Да",IF(OR('19_Расчет_аналитики'!AR3487=0,16&lt;='01_Вводные'!$B$297),0,'19_Расчет_аналитики'!AR3487*IF('01_Вводные'!$B$239="Да",MeanMinAge16+'19_Расчет_аналитики'!AR3595*SUMIF(ThresholdAge16,"&lt;"&amp;'19_Расчет_аналитики'!AR3595,WeightedRevAge16)-SUMIF(ThresholdAge16,"&lt;"&amp;'19_Расчет_аналитики'!AR3595,WeightedMinAge16),MAX(CapacityAge16*'01_Вводные'!$B$218*'19_Расчет_аналитики'!AR3595,MeanMinAge16))),0)</f>
        <v/>
      </c>
      <c r="AS3515">
        <f>IF('01_Вводные'!$B$234="Да",IF(OR('19_Расчет_аналитики'!AS3487=0,16&lt;='01_Вводные'!$B$297),0,'19_Расчет_аналитики'!AS3487*IF('01_Вводные'!$B$239="Да",MeanMinAge16+'19_Расчет_аналитики'!AS3595*SUMIF(ThresholdAge16,"&lt;"&amp;'19_Расчет_аналитики'!AS3595,WeightedRevAge16)-SUMIF(ThresholdAge16,"&lt;"&amp;'19_Расчет_аналитики'!AS3595,WeightedMinAge16),MAX(CapacityAge16*'01_Вводные'!$B$218*'19_Расчет_аналитики'!AS3595,MeanMinAge16))),0)</f>
        <v/>
      </c>
      <c r="AT3515">
        <f>IF('01_Вводные'!$B$234="Да",IF(OR('19_Расчет_аналитики'!AT3487=0,16&lt;='01_Вводные'!$B$297),0,'19_Расчет_аналитики'!AT3487*IF('01_Вводные'!$B$239="Да",MeanMinAge16+'19_Расчет_аналитики'!AT3595*SUMIF(ThresholdAge16,"&lt;"&amp;'19_Расчет_аналитики'!AT3595,WeightedRevAge16)-SUMIF(ThresholdAge16,"&lt;"&amp;'19_Расчет_аналитики'!AT3595,WeightedMinAge16),MAX(CapacityAge16*'01_Вводные'!$B$218*'19_Расчет_аналитики'!AT3595,MeanMinAge16))),0)</f>
        <v/>
      </c>
      <c r="AU3515">
        <f>IF('01_Вводные'!$B$234="Да",IF(OR('19_Расчет_аналитики'!AU3487=0,16&lt;='01_Вводные'!$B$297),0,'19_Расчет_аналитики'!AU3487*IF('01_Вводные'!$B$239="Да",MeanMinAge16+'19_Расчет_аналитики'!AU3595*SUMIF(ThresholdAge16,"&lt;"&amp;'19_Расчет_аналитики'!AU3595,WeightedRevAge16)-SUMIF(ThresholdAge16,"&lt;"&amp;'19_Расчет_аналитики'!AU3595,WeightedMinAge16),MAX(CapacityAge16*'01_Вводные'!$B$218*'19_Расчет_аналитики'!AU3595,MeanMinAge16))),0)</f>
        <v/>
      </c>
      <c r="AV3515">
        <f>IF('01_Вводные'!$B$234="Да",IF(OR('19_Расчет_аналитики'!AV3487=0,16&lt;='01_Вводные'!$B$297),0,'19_Расчет_аналитики'!AV3487*IF('01_Вводные'!$B$239="Да",MeanMinAge16+'19_Расчет_аналитики'!AV3595*SUMIF(ThresholdAge16,"&lt;"&amp;'19_Расчет_аналитики'!AV3595,WeightedRevAge16)-SUMIF(ThresholdAge16,"&lt;"&amp;'19_Расчет_аналитики'!AV3595,WeightedMinAge16),MAX(CapacityAge16*'01_Вводные'!$B$218*'19_Расчет_аналитики'!AV3595,MeanMinAge16))),0)</f>
        <v/>
      </c>
      <c r="AW3515">
        <f>IF('01_Вводные'!$B$234="Да",IF(OR('19_Расчет_аналитики'!AW3487=0,16&lt;='01_Вводные'!$B$297),0,'19_Расчет_аналитики'!AW3487*IF('01_Вводные'!$B$239="Да",MeanMinAge16+'19_Расчет_аналитики'!AW3595*SUMIF(ThresholdAge16,"&lt;"&amp;'19_Расчет_аналитики'!AW3595,WeightedRevAge16)-SUMIF(ThresholdAge16,"&lt;"&amp;'19_Расчет_аналитики'!AW3595,WeightedMinAge16),MAX(CapacityAge16*'01_Вводные'!$B$218*'19_Расчет_аналитики'!AW3595,MeanMinAge16))),0)</f>
        <v/>
      </c>
      <c r="AX3515">
        <f>IF('01_Вводные'!$B$234="Да",IF(OR('19_Расчет_аналитики'!AX3487=0,16&lt;='01_Вводные'!$B$297),0,'19_Расчет_аналитики'!AX3487*IF('01_Вводные'!$B$239="Да",MeanMinAge16+'19_Расчет_аналитики'!AX3595*SUMIF(ThresholdAge16,"&lt;"&amp;'19_Расчет_аналитики'!AX3595,WeightedRevAge16)-SUMIF(ThresholdAge16,"&lt;"&amp;'19_Расчет_аналитики'!AX3595,WeightedMinAge16),MAX(CapacityAge16*'01_Вводные'!$B$218*'19_Расчет_аналитики'!AX3595,MeanMinAge16))),0)</f>
        <v/>
      </c>
      <c r="AY3515">
        <f>IF('01_Вводные'!$B$234="Да",IF(OR('19_Расчет_аналитики'!AY3487=0,16&lt;='01_Вводные'!$B$297),0,'19_Расчет_аналитики'!AY3487*IF('01_Вводные'!$B$239="Да",MeanMinAge16+'19_Расчет_аналитики'!AY3595*SUMIF(ThresholdAge16,"&lt;"&amp;'19_Расчет_аналитики'!AY3595,WeightedRevAge16)-SUMIF(ThresholdAge16,"&lt;"&amp;'19_Расчет_аналитики'!AY3595,WeightedMinAge16),MAX(CapacityAge16*'01_Вводные'!$B$218*'19_Расчет_аналитики'!AY3595,MeanMinAge16))),0)</f>
        <v/>
      </c>
      <c r="AZ3515">
        <f>IF('01_Вводные'!$B$234="Да",IF(OR('19_Расчет_аналитики'!AZ3487=0,16&lt;='01_Вводные'!$B$297),0,'19_Расчет_аналитики'!AZ3487*IF('01_Вводные'!$B$239="Да",MeanMinAge16+'19_Расчет_аналитики'!AZ3595*SUMIF(ThresholdAge16,"&lt;"&amp;'19_Расчет_аналитики'!AZ3595,WeightedRevAge16)-SUMIF(ThresholdAge16,"&lt;"&amp;'19_Расчет_аналитики'!AZ3595,WeightedMinAge16),MAX(CapacityAge16*'01_Вводные'!$B$218*'19_Расчет_аналитики'!AZ3595,MeanMinAge16))),0)</f>
        <v/>
      </c>
      <c r="BA3515">
        <f>IF('01_Вводные'!$B$234="Да",IF(OR('19_Расчет_аналитики'!BA3487=0,16&lt;='01_Вводные'!$B$297),0,'19_Расчет_аналитики'!BA3487*IF('01_Вводные'!$B$239="Да",MeanMinAge16+'19_Расчет_аналитики'!BA3595*SUMIF(ThresholdAge16,"&lt;"&amp;'19_Расчет_аналитики'!BA3595,WeightedRevAge16)-SUMIF(ThresholdAge16,"&lt;"&amp;'19_Расчет_аналитики'!BA3595,WeightedMinAge16),MAX(CapacityAge16*'01_Вводные'!$B$218*'19_Расчет_аналитики'!BA3595,MeanMinAge16))),0)</f>
        <v/>
      </c>
      <c r="BB3515">
        <f>IF('01_Вводные'!$B$234="Да",IF(OR('19_Расчет_аналитики'!BB3487=0,16&lt;='01_Вводные'!$B$297),0,'19_Расчет_аналитики'!BB3487*IF('01_Вводные'!$B$239="Да",MeanMinAge16+'19_Расчет_аналитики'!BB3595*SUMIF(ThresholdAge16,"&lt;"&amp;'19_Расчет_аналитики'!BB3595,WeightedRevAge16)-SUMIF(ThresholdAge16,"&lt;"&amp;'19_Расчет_аналитики'!BB3595,WeightedMinAge16),MAX(CapacityAge16*'01_Вводные'!$B$218*'19_Расчет_аналитики'!BB3595,MeanMinAge16))),0)</f>
        <v/>
      </c>
      <c r="BC3515">
        <f>IF('01_Вводные'!$B$234="Да",IF(OR('19_Расчет_аналитики'!BC3487=0,16&lt;='01_Вводные'!$B$297),0,'19_Расчет_аналитики'!BC3487*IF('01_Вводные'!$B$239="Да",MeanMinAge16+'19_Расчет_аналитики'!BC3595*SUMIF(ThresholdAge16,"&lt;"&amp;'19_Расчет_аналитики'!BC3595,WeightedRevAge16)-SUMIF(ThresholdAge16,"&lt;"&amp;'19_Расчет_аналитики'!BC3595,WeightedMinAge16),MAX(CapacityAge16*'01_Вводные'!$B$218*'19_Расчет_аналитики'!BC3595,MeanMinAge16))),0)</f>
        <v/>
      </c>
      <c r="BD3515">
        <f>IF('01_Вводные'!$B$234="Да",IF(OR('19_Расчет_аналитики'!BD3487=0,16&lt;='01_Вводные'!$B$297),0,'19_Расчет_аналитики'!BD3487*IF('01_Вводные'!$B$239="Да",MeanMinAge16+'19_Расчет_аналитики'!BD3595*SUMIF(ThresholdAge16,"&lt;"&amp;'19_Расчет_аналитики'!BD3595,WeightedRevAge16)-SUMIF(ThresholdAge16,"&lt;"&amp;'19_Расчет_аналитики'!BD3595,WeightedMinAge16),MAX(CapacityAge16*'01_Вводные'!$B$218*'19_Расчет_аналитики'!BD3595,MeanMinAge16))),0)</f>
        <v/>
      </c>
      <c r="BE3515">
        <f>IF('01_Вводные'!$B$234="Да",IF(OR('19_Расчет_аналитики'!BE3487=0,16&lt;='01_Вводные'!$B$297),0,'19_Расчет_аналитики'!BE3487*IF('01_Вводные'!$B$239="Да",MeanMinAge16+'19_Расчет_аналитики'!BE3595*SUMIF(ThresholdAge16,"&lt;"&amp;'19_Расчет_аналитики'!BE3595,WeightedRevAge16)-SUMIF(ThresholdAge16,"&lt;"&amp;'19_Расчет_аналитики'!BE3595,WeightedMinAge16),MAX(CapacityAge16*'01_Вводные'!$B$218*'19_Расчет_аналитики'!BE3595,MeanMinAge16))),0)</f>
        <v/>
      </c>
      <c r="BF3515">
        <f>IF('01_Вводные'!$B$234="Да",IF(OR('19_Расчет_аналитики'!BF3487=0,16&lt;='01_Вводные'!$B$297),0,'19_Расчет_аналитики'!BF3487*IF('01_Вводные'!$B$239="Да",MeanMinAge16+'19_Расчет_аналитики'!BF3595*SUMIF(ThresholdAge16,"&lt;"&amp;'19_Расчет_аналитики'!BF3595,WeightedRevAge16)-SUMIF(ThresholdAge16,"&lt;"&amp;'19_Расчет_аналитики'!BF3595,WeightedMinAge16),MAX(CapacityAge16*'01_Вводные'!$B$218*'19_Расчет_аналитики'!BF3595,MeanMinAge16))),0)</f>
        <v/>
      </c>
      <c r="BG3515">
        <f>IF('01_Вводные'!$B$234="Да",IF(OR('19_Расчет_аналитики'!BG3487=0,16&lt;='01_Вводные'!$B$297),0,'19_Расчет_аналитики'!BG3487*IF('01_Вводные'!$B$239="Да",MeanMinAge16+'19_Расчет_аналитики'!BG3595*SUMIF(ThresholdAge16,"&lt;"&amp;'19_Расчет_аналитики'!BG3595,WeightedRevAge16)-SUMIF(ThresholdAge16,"&lt;"&amp;'19_Расчет_аналитики'!BG3595,WeightedMinAge16),MAX(CapacityAge16*'01_Вводные'!$B$218*'19_Расчет_аналитики'!BG3595,MeanMinAge16))),0)</f>
        <v/>
      </c>
      <c r="BH3515">
        <f>IF('01_Вводные'!$B$234="Да",IF(OR('19_Расчет_аналитики'!BH3487=0,16&lt;='01_Вводные'!$B$297),0,'19_Расчет_аналитики'!BH3487*IF('01_Вводные'!$B$239="Да",MeanMinAge16+'19_Расчет_аналитики'!BH3595*SUMIF(ThresholdAge16,"&lt;"&amp;'19_Расчет_аналитики'!BH3595,WeightedRevAge16)-SUMIF(ThresholdAge16,"&lt;"&amp;'19_Расчет_аналитики'!BH3595,WeightedMinAge16),MAX(CapacityAge16*'01_Вводные'!$B$218*'19_Расчет_аналитики'!BH3595,MeanMinAge16))),0)</f>
        <v/>
      </c>
      <c r="BI3515">
        <f>IF('01_Вводные'!$B$234="Да",IF(OR('19_Расчет_аналитики'!BI3487=0,16&lt;='01_Вводные'!$B$297),0,'19_Расчет_аналитики'!BI3487*IF('01_Вводные'!$B$239="Да",MeanMinAge16+'19_Расчет_аналитики'!BI3595*SUMIF(ThresholdAge16,"&lt;"&amp;'19_Расчет_аналитики'!BI3595,WeightedRevAge16)-SUMIF(ThresholdAge16,"&lt;"&amp;'19_Расчет_аналитики'!BI3595,WeightedMinAge16),MAX(CapacityAge16*'01_Вводные'!$B$218*'19_Расчет_аналитики'!BI3595,MeanMinAge16))),0)</f>
        <v/>
      </c>
      <c r="BJ3515">
        <f>IF('01_Вводные'!$B$234="Да",IF(OR('19_Расчет_аналитики'!BJ3487=0,16&lt;='01_Вводные'!$B$297),0,'19_Расчет_аналитики'!BJ3487*IF('01_Вводные'!$B$239="Да",MeanMinAge16+'19_Расчет_аналитики'!BJ3595*SUMIF(ThresholdAge16,"&lt;"&amp;'19_Расчет_аналитики'!BJ3595,WeightedRevAge16)-SUMIF(ThresholdAge16,"&lt;"&amp;'19_Расчет_аналитики'!BJ3595,WeightedMinAge16),MAX(CapacityAge16*'01_Вводные'!$B$218*'19_Расчет_аналитики'!BJ3595,MeanMinAge16))),0)</f>
        <v/>
      </c>
      <c r="BK3515">
        <f>IF('01_Вводные'!$B$234="Да",IF(OR('19_Расчет_аналитики'!BK3487=0,16&lt;='01_Вводные'!$B$297),0,'19_Расчет_аналитики'!BK3487*IF('01_Вводные'!$B$239="Да",MeanMinAge16+'19_Расчет_аналитики'!BK3595*SUMIF(ThresholdAge16,"&lt;"&amp;'19_Расчет_аналитики'!BK3595,WeightedRevAge16)-SUMIF(ThresholdAge16,"&lt;"&amp;'19_Расчет_аналитики'!BK3595,WeightedMinAge16),MAX(CapacityAge16*'01_Вводные'!$B$218*'19_Расчет_аналитики'!BK3595,MeanMinAge16))),0)</f>
        <v/>
      </c>
      <c r="BL3515">
        <f>IF('01_Вводные'!$B$234="Да",IF(OR('19_Расчет_аналитики'!BL3487=0,16&lt;='01_Вводные'!$B$297),0,'19_Расчет_аналитики'!BL3487*IF('01_Вводные'!$B$239="Да",MeanMinAge16+'19_Расчет_аналитики'!BL3595*SUMIF(ThresholdAge16,"&lt;"&amp;'19_Расчет_аналитики'!BL3595,WeightedRevAge16)-SUMIF(ThresholdAge16,"&lt;"&amp;'19_Расчет_аналитики'!BL3595,WeightedMinAge16),MAX(CapacityAge16*'01_Вводные'!$B$218*'19_Расчет_аналитики'!BL3595,MeanMinAge16))),0)</f>
        <v/>
      </c>
      <c r="BM3515">
        <f>IF('01_Вводные'!$B$234="Да",IF(OR('19_Расчет_аналитики'!BM3487=0,16&lt;='01_Вводные'!$B$297),0,'19_Расчет_аналитики'!BM3487*IF('01_Вводные'!$B$239="Да",MeanMinAge16+'19_Расчет_аналитики'!BM3595*SUMIF(ThresholdAge16,"&lt;"&amp;'19_Расчет_аналитики'!BM3595,WeightedRevAge16)-SUMIF(ThresholdAge16,"&lt;"&amp;'19_Расчет_аналитики'!BM3595,WeightedMinAge16),MAX(CapacityAge16*'01_Вводные'!$B$218*'19_Расчет_аналитики'!BM3595,MeanMinAge16))),0)</f>
        <v/>
      </c>
      <c r="BN3515">
        <f>IF('01_Вводные'!$B$234="Да",IF(OR('19_Расчет_аналитики'!BN3487=0,16&lt;='01_Вводные'!$B$297),0,'19_Расчет_аналитики'!BN3487*IF('01_Вводные'!$B$239="Да",MeanMinAge16+'19_Расчет_аналитики'!BN3595*SUMIF(ThresholdAge16,"&lt;"&amp;'19_Расчет_аналитики'!BN3595,WeightedRevAge16)-SUMIF(ThresholdAge16,"&lt;"&amp;'19_Расчет_аналитики'!BN3595,WeightedMinAge16),MAX(CapacityAge16*'01_Вводные'!$B$218*'19_Расчет_аналитики'!BN3595,MeanMinAge16))),0)</f>
        <v/>
      </c>
      <c r="BO3515">
        <f>IF('01_Вводные'!$B$234="Да",IF(OR('19_Расчет_аналитики'!BO3487=0,16&lt;='01_Вводные'!$B$297),0,'19_Расчет_аналитики'!BO3487*IF('01_Вводные'!$B$239="Да",MeanMinAge16+'19_Расчет_аналитики'!BO3595*SUMIF(ThresholdAge16,"&lt;"&amp;'19_Расчет_аналитики'!BO3595,WeightedRevAge16)-SUMIF(ThresholdAge16,"&lt;"&amp;'19_Расчет_аналитики'!BO3595,WeightedMinAge16),MAX(CapacityAge16*'01_Вводные'!$B$218*'19_Расчет_аналитики'!BO3595,MeanMinAge16))),0)</f>
        <v/>
      </c>
    </row>
    <row r="3516">
      <c r="B3516">
        <f>IF('01_Вводные'!$B$234="Да",IF(OR('06_Сеть_и_дети'!B97=0,17&lt;='01_Вводные'!$B$297),0,'06_Сеть_и_дети'!B97*IF('01_Вводные'!$B$239="Да",MeanMinAge17+'19_Расчет_аналитики'!B3595*SUMIF(ThresholdAge17,"&lt;"&amp;'19_Расчет_аналитики'!B3595,WeightedRevAge17)-SUMIF(ThresholdAge17,"&lt;"&amp;'19_Расчет_аналитики'!B3595,WeightedMinAge17),MAX(CapacityAge17*'01_Вводные'!$B$218*'19_Расчет_аналитики'!B3595,MeanMinAge17))),0)</f>
        <v/>
      </c>
      <c r="C3516">
        <f>IF('01_Вводные'!$B$234="Да",IF(OR('06_Сеть_и_дети'!C97=0,17&lt;='01_Вводные'!$B$297),0,'06_Сеть_и_дети'!C97*IF('01_Вводные'!$B$239="Да",MeanMinAge17+'19_Расчет_аналитики'!C3595*SUMIF(ThresholdAge17,"&lt;"&amp;'19_Расчет_аналитики'!C3595,WeightedRevAge17)-SUMIF(ThresholdAge17,"&lt;"&amp;'19_Расчет_аналитики'!C3595,WeightedMinAge17),MAX(CapacityAge17*'01_Вводные'!$B$218*'19_Расчет_аналитики'!C3595,MeanMinAge17))),0)</f>
        <v/>
      </c>
      <c r="D3516">
        <f>IF('01_Вводные'!$B$234="Да",IF(OR('06_Сеть_и_дети'!D97=0,17&lt;='01_Вводные'!$B$297),0,'06_Сеть_и_дети'!D97*IF('01_Вводные'!$B$239="Да",MeanMinAge17+'19_Расчет_аналитики'!D3595*SUMIF(ThresholdAge17,"&lt;"&amp;'19_Расчет_аналитики'!D3595,WeightedRevAge17)-SUMIF(ThresholdAge17,"&lt;"&amp;'19_Расчет_аналитики'!D3595,WeightedMinAge17),MAX(CapacityAge17*'01_Вводные'!$B$218*'19_Расчет_аналитики'!D3595,MeanMinAge17))),0)</f>
        <v/>
      </c>
      <c r="E3516">
        <f>IF('01_Вводные'!$B$234="Да",IF(OR('06_Сеть_и_дети'!E97=0,17&lt;='01_Вводные'!$B$297),0,'06_Сеть_и_дети'!E97*IF('01_Вводные'!$B$239="Да",MeanMinAge17+'19_Расчет_аналитики'!E3595*SUMIF(ThresholdAge17,"&lt;"&amp;'19_Расчет_аналитики'!E3595,WeightedRevAge17)-SUMIF(ThresholdAge17,"&lt;"&amp;'19_Расчет_аналитики'!E3595,WeightedMinAge17),MAX(CapacityAge17*'01_Вводные'!$B$218*'19_Расчет_аналитики'!E3595,MeanMinAge17))),0)</f>
        <v/>
      </c>
      <c r="F3516">
        <f>IF('01_Вводные'!$B$234="Да",IF(OR('06_Сеть_и_дети'!F97=0,17&lt;='01_Вводные'!$B$297),0,'06_Сеть_и_дети'!F97*IF('01_Вводные'!$B$239="Да",MeanMinAge17+'19_Расчет_аналитики'!F3595*SUMIF(ThresholdAge17,"&lt;"&amp;'19_Расчет_аналитики'!F3595,WeightedRevAge17)-SUMIF(ThresholdAge17,"&lt;"&amp;'19_Расчет_аналитики'!F3595,WeightedMinAge17),MAX(CapacityAge17*'01_Вводные'!$B$218*'19_Расчет_аналитики'!F3595,MeanMinAge17))),0)</f>
        <v/>
      </c>
      <c r="G3516">
        <f>IF('01_Вводные'!$B$234="Да",IF(OR('06_Сеть_и_дети'!G97=0,17&lt;='01_Вводные'!$B$297),0,'06_Сеть_и_дети'!G97*IF('01_Вводные'!$B$239="Да",MeanMinAge17+'19_Расчет_аналитики'!G3595*SUMIF(ThresholdAge17,"&lt;"&amp;'19_Расчет_аналитики'!G3595,WeightedRevAge17)-SUMIF(ThresholdAge17,"&lt;"&amp;'19_Расчет_аналитики'!G3595,WeightedMinAge17),MAX(CapacityAge17*'01_Вводные'!$B$218*'19_Расчет_аналитики'!G3595,MeanMinAge17))),0)</f>
        <v/>
      </c>
      <c r="H3516">
        <f>IF('01_Вводные'!$B$234="Да",IF(OR('06_Сеть_и_дети'!H97=0,17&lt;='01_Вводные'!$B$297),0,'06_Сеть_и_дети'!H97*IF('01_Вводные'!$B$239="Да",MeanMinAge17+'19_Расчет_аналитики'!H3595*SUMIF(ThresholdAge17,"&lt;"&amp;'19_Расчет_аналитики'!H3595,WeightedRevAge17)-SUMIF(ThresholdAge17,"&lt;"&amp;'19_Расчет_аналитики'!H3595,WeightedMinAge17),MAX(CapacityAge17*'01_Вводные'!$B$218*'19_Расчет_аналитики'!H3595,MeanMinAge17))),0)</f>
        <v/>
      </c>
      <c r="I3516">
        <f>IF('01_Вводные'!$B$234="Да",IF(OR('06_Сеть_и_дети'!I97=0,17&lt;='01_Вводные'!$B$297),0,'06_Сеть_и_дети'!I97*IF('01_Вводные'!$B$239="Да",MeanMinAge17+'19_Расчет_аналитики'!I3595*SUMIF(ThresholdAge17,"&lt;"&amp;'19_Расчет_аналитики'!I3595,WeightedRevAge17)-SUMIF(ThresholdAge17,"&lt;"&amp;'19_Расчет_аналитики'!I3595,WeightedMinAge17),MAX(CapacityAge17*'01_Вводные'!$B$218*'19_Расчет_аналитики'!I3595,MeanMinAge17))),0)</f>
        <v/>
      </c>
      <c r="J3516">
        <f>IF('01_Вводные'!$B$234="Да",IF(OR('06_Сеть_и_дети'!J97=0,17&lt;='01_Вводные'!$B$297),0,'06_Сеть_и_дети'!J97*IF('01_Вводные'!$B$239="Да",MeanMinAge17+'19_Расчет_аналитики'!J3595*SUMIF(ThresholdAge17,"&lt;"&amp;'19_Расчет_аналитики'!J3595,WeightedRevAge17)-SUMIF(ThresholdAge17,"&lt;"&amp;'19_Расчет_аналитики'!J3595,WeightedMinAge17),MAX(CapacityAge17*'01_Вводные'!$B$218*'19_Расчет_аналитики'!J3595,MeanMinAge17))),0)</f>
        <v/>
      </c>
      <c r="K3516">
        <f>IF('01_Вводные'!$B$234="Да",IF(OR('06_Сеть_и_дети'!K97=0,17&lt;='01_Вводные'!$B$297),0,'06_Сеть_и_дети'!K97*IF('01_Вводные'!$B$239="Да",MeanMinAge17+'19_Расчет_аналитики'!K3595*SUMIF(ThresholdAge17,"&lt;"&amp;'19_Расчет_аналитики'!K3595,WeightedRevAge17)-SUMIF(ThresholdAge17,"&lt;"&amp;'19_Расчет_аналитики'!K3595,WeightedMinAge17),MAX(CapacityAge17*'01_Вводные'!$B$218*'19_Расчет_аналитики'!K3595,MeanMinAge17))),0)</f>
        <v/>
      </c>
      <c r="L3516">
        <f>IF('01_Вводные'!$B$234="Да",IF(OR('06_Сеть_и_дети'!L97=0,17&lt;='01_Вводные'!$B$297),0,'06_Сеть_и_дети'!L97*IF('01_Вводные'!$B$239="Да",MeanMinAge17+'19_Расчет_аналитики'!L3595*SUMIF(ThresholdAge17,"&lt;"&amp;'19_Расчет_аналитики'!L3595,WeightedRevAge17)-SUMIF(ThresholdAge17,"&lt;"&amp;'19_Расчет_аналитики'!L3595,WeightedMinAge17),MAX(CapacityAge17*'01_Вводные'!$B$218*'19_Расчет_аналитики'!L3595,MeanMinAge17))),0)</f>
        <v/>
      </c>
      <c r="M3516">
        <f>IF('01_Вводные'!$B$234="Да",IF(OR('06_Сеть_и_дети'!M97=0,17&lt;='01_Вводные'!$B$297),0,'06_Сеть_и_дети'!M97*IF('01_Вводные'!$B$239="Да",MeanMinAge17+'19_Расчет_аналитики'!M3595*SUMIF(ThresholdAge17,"&lt;"&amp;'19_Расчет_аналитики'!M3595,WeightedRevAge17)-SUMIF(ThresholdAge17,"&lt;"&amp;'19_Расчет_аналитики'!M3595,WeightedMinAge17),MAX(CapacityAge17*'01_Вводные'!$B$218*'19_Расчет_аналитики'!M3595,MeanMinAge17))),0)</f>
        <v/>
      </c>
      <c r="N3516">
        <f>IF('01_Вводные'!$B$234="Да",IF(OR('06_Сеть_и_дети'!N97=0,17&lt;='01_Вводные'!$B$297),0,'06_Сеть_и_дети'!N97*IF('01_Вводные'!$B$239="Да",MeanMinAge17+'19_Расчет_аналитики'!N3595*SUMIF(ThresholdAge17,"&lt;"&amp;'19_Расчет_аналитики'!N3595,WeightedRevAge17)-SUMIF(ThresholdAge17,"&lt;"&amp;'19_Расчет_аналитики'!N3595,WeightedMinAge17),MAX(CapacityAge17*'01_Вводные'!$B$218*'19_Расчет_аналитики'!N3595,MeanMinAge17))),0)</f>
        <v/>
      </c>
      <c r="O3516">
        <f>IF('01_Вводные'!$B$234="Да",IF(OR('06_Сеть_и_дети'!O97=0,17&lt;='01_Вводные'!$B$297),0,'06_Сеть_и_дети'!O97*IF('01_Вводные'!$B$239="Да",MeanMinAge17+'19_Расчет_аналитики'!O3595*SUMIF(ThresholdAge17,"&lt;"&amp;'19_Расчет_аналитики'!O3595,WeightedRevAge17)-SUMIF(ThresholdAge17,"&lt;"&amp;'19_Расчет_аналитики'!O3595,WeightedMinAge17),MAX(CapacityAge17*'01_Вводные'!$B$218*'19_Расчет_аналитики'!O3595,MeanMinAge17))),0)</f>
        <v/>
      </c>
      <c r="P3516">
        <f>IF('01_Вводные'!$B$234="Да",IF(OR('06_Сеть_и_дети'!P97=0,17&lt;='01_Вводные'!$B$297),0,'06_Сеть_и_дети'!P97*IF('01_Вводные'!$B$239="Да",MeanMinAge17+'19_Расчет_аналитики'!P3595*SUMIF(ThresholdAge17,"&lt;"&amp;'19_Расчет_аналитики'!P3595,WeightedRevAge17)-SUMIF(ThresholdAge17,"&lt;"&amp;'19_Расчет_аналитики'!P3595,WeightedMinAge17),MAX(CapacityAge17*'01_Вводные'!$B$218*'19_Расчет_аналитики'!P3595,MeanMinAge17))),0)</f>
        <v/>
      </c>
      <c r="Q3516">
        <f>IF('01_Вводные'!$B$234="Да",IF(OR('06_Сеть_и_дети'!Q97=0,17&lt;='01_Вводные'!$B$297),0,'06_Сеть_и_дети'!Q97*IF('01_Вводные'!$B$239="Да",MeanMinAge17+'19_Расчет_аналитики'!Q3595*SUMIF(ThresholdAge17,"&lt;"&amp;'19_Расчет_аналитики'!Q3595,WeightedRevAge17)-SUMIF(ThresholdAge17,"&lt;"&amp;'19_Расчет_аналитики'!Q3595,WeightedMinAge17),MAX(CapacityAge17*'01_Вводные'!$B$218*'19_Расчет_аналитики'!Q3595,MeanMinAge17))),0)</f>
        <v/>
      </c>
      <c r="R3516">
        <f>IF('01_Вводные'!$B$234="Да",IF(OR('19_Расчет_аналитики'!R3488=0,17&lt;='01_Вводные'!$B$297),0,'19_Расчет_аналитики'!R3488*IF('01_Вводные'!$B$239="Да",MeanMinAge17+'19_Расчет_аналитики'!R3595*SUMIF(ThresholdAge17,"&lt;"&amp;'19_Расчет_аналитики'!R3595,WeightedRevAge17)-SUMIF(ThresholdAge17,"&lt;"&amp;'19_Расчет_аналитики'!R3595,WeightedMinAge17),MAX(CapacityAge17*'01_Вводные'!$B$218*'19_Расчет_аналитики'!R3595,MeanMinAge17))),0)</f>
        <v/>
      </c>
      <c r="S3516">
        <f>IF('01_Вводные'!$B$234="Да",IF(OR('19_Расчет_аналитики'!S3488=0,17&lt;='01_Вводные'!$B$297),0,'19_Расчет_аналитики'!S3488*IF('01_Вводные'!$B$239="Да",MeanMinAge17+'19_Расчет_аналитики'!S3595*SUMIF(ThresholdAge17,"&lt;"&amp;'19_Расчет_аналитики'!S3595,WeightedRevAge17)-SUMIF(ThresholdAge17,"&lt;"&amp;'19_Расчет_аналитики'!S3595,WeightedMinAge17),MAX(CapacityAge17*'01_Вводные'!$B$218*'19_Расчет_аналитики'!S3595,MeanMinAge17))),0)</f>
        <v/>
      </c>
      <c r="T3516">
        <f>IF('01_Вводные'!$B$234="Да",IF(OR('19_Расчет_аналитики'!T3488=0,17&lt;='01_Вводные'!$B$297),0,'19_Расчет_аналитики'!T3488*IF('01_Вводные'!$B$239="Да",MeanMinAge17+'19_Расчет_аналитики'!T3595*SUMIF(ThresholdAge17,"&lt;"&amp;'19_Расчет_аналитики'!T3595,WeightedRevAge17)-SUMIF(ThresholdAge17,"&lt;"&amp;'19_Расчет_аналитики'!T3595,WeightedMinAge17),MAX(CapacityAge17*'01_Вводные'!$B$218*'19_Расчет_аналитики'!T3595,MeanMinAge17))),0)</f>
        <v/>
      </c>
      <c r="U3516">
        <f>IF('01_Вводные'!$B$234="Да",IF(OR('19_Расчет_аналитики'!U3488=0,17&lt;='01_Вводные'!$B$297),0,'19_Расчет_аналитики'!U3488*IF('01_Вводные'!$B$239="Да",MeanMinAge17+'19_Расчет_аналитики'!U3595*SUMIF(ThresholdAge17,"&lt;"&amp;'19_Расчет_аналитики'!U3595,WeightedRevAge17)-SUMIF(ThresholdAge17,"&lt;"&amp;'19_Расчет_аналитики'!U3595,WeightedMinAge17),MAX(CapacityAge17*'01_Вводные'!$B$218*'19_Расчет_аналитики'!U3595,MeanMinAge17))),0)</f>
        <v/>
      </c>
      <c r="V3516">
        <f>IF('01_Вводные'!$B$234="Да",IF(OR('19_Расчет_аналитики'!V3488=0,17&lt;='01_Вводные'!$B$297),0,'19_Расчет_аналитики'!V3488*IF('01_Вводные'!$B$239="Да",MeanMinAge17+'19_Расчет_аналитики'!V3595*SUMIF(ThresholdAge17,"&lt;"&amp;'19_Расчет_аналитики'!V3595,WeightedRevAge17)-SUMIF(ThresholdAge17,"&lt;"&amp;'19_Расчет_аналитики'!V3595,WeightedMinAge17),MAX(CapacityAge17*'01_Вводные'!$B$218*'19_Расчет_аналитики'!V3595,MeanMinAge17))),0)</f>
        <v/>
      </c>
      <c r="W3516">
        <f>IF('01_Вводные'!$B$234="Да",IF(OR('19_Расчет_аналитики'!W3488=0,17&lt;='01_Вводные'!$B$297),0,'19_Расчет_аналитики'!W3488*IF('01_Вводные'!$B$239="Да",MeanMinAge17+'19_Расчет_аналитики'!W3595*SUMIF(ThresholdAge17,"&lt;"&amp;'19_Расчет_аналитики'!W3595,WeightedRevAge17)-SUMIF(ThresholdAge17,"&lt;"&amp;'19_Расчет_аналитики'!W3595,WeightedMinAge17),MAX(CapacityAge17*'01_Вводные'!$B$218*'19_Расчет_аналитики'!W3595,MeanMinAge17))),0)</f>
        <v/>
      </c>
      <c r="X3516">
        <f>IF('01_Вводные'!$B$234="Да",IF(OR('19_Расчет_аналитики'!X3488=0,17&lt;='01_Вводные'!$B$297),0,'19_Расчет_аналитики'!X3488*IF('01_Вводные'!$B$239="Да",MeanMinAge17+'19_Расчет_аналитики'!X3595*SUMIF(ThresholdAge17,"&lt;"&amp;'19_Расчет_аналитики'!X3595,WeightedRevAge17)-SUMIF(ThresholdAge17,"&lt;"&amp;'19_Расчет_аналитики'!X3595,WeightedMinAge17),MAX(CapacityAge17*'01_Вводные'!$B$218*'19_Расчет_аналитики'!X3595,MeanMinAge17))),0)</f>
        <v/>
      </c>
      <c r="Y3516">
        <f>IF('01_Вводные'!$B$234="Да",IF(OR('19_Расчет_аналитики'!Y3488=0,17&lt;='01_Вводные'!$B$297),0,'19_Расчет_аналитики'!Y3488*IF('01_Вводные'!$B$239="Да",MeanMinAge17+'19_Расчет_аналитики'!Y3595*SUMIF(ThresholdAge17,"&lt;"&amp;'19_Расчет_аналитики'!Y3595,WeightedRevAge17)-SUMIF(ThresholdAge17,"&lt;"&amp;'19_Расчет_аналитики'!Y3595,WeightedMinAge17),MAX(CapacityAge17*'01_Вводные'!$B$218*'19_Расчет_аналитики'!Y3595,MeanMinAge17))),0)</f>
        <v/>
      </c>
      <c r="Z3516">
        <f>IF('01_Вводные'!$B$234="Да",IF(OR('19_Расчет_аналитики'!Z3488=0,17&lt;='01_Вводные'!$B$297),0,'19_Расчет_аналитики'!Z3488*IF('01_Вводные'!$B$239="Да",MeanMinAge17+'19_Расчет_аналитики'!Z3595*SUMIF(ThresholdAge17,"&lt;"&amp;'19_Расчет_аналитики'!Z3595,WeightedRevAge17)-SUMIF(ThresholdAge17,"&lt;"&amp;'19_Расчет_аналитики'!Z3595,WeightedMinAge17),MAX(CapacityAge17*'01_Вводные'!$B$218*'19_Расчет_аналитики'!Z3595,MeanMinAge17))),0)</f>
        <v/>
      </c>
      <c r="AA3516">
        <f>IF('01_Вводные'!$B$234="Да",IF(OR('19_Расчет_аналитики'!AA3488=0,17&lt;='01_Вводные'!$B$297),0,'19_Расчет_аналитики'!AA3488*IF('01_Вводные'!$B$239="Да",MeanMinAge17+'19_Расчет_аналитики'!AA3595*SUMIF(ThresholdAge17,"&lt;"&amp;'19_Расчет_аналитики'!AA3595,WeightedRevAge17)-SUMIF(ThresholdAge17,"&lt;"&amp;'19_Расчет_аналитики'!AA3595,WeightedMinAge17),MAX(CapacityAge17*'01_Вводные'!$B$218*'19_Расчет_аналитики'!AA3595,MeanMinAge17))),0)</f>
        <v/>
      </c>
      <c r="AB3516">
        <f>IF('01_Вводные'!$B$234="Да",IF(OR('19_Расчет_аналитики'!AB3488=0,17&lt;='01_Вводные'!$B$297),0,'19_Расчет_аналитики'!AB3488*IF('01_Вводные'!$B$239="Да",MeanMinAge17+'19_Расчет_аналитики'!AB3595*SUMIF(ThresholdAge17,"&lt;"&amp;'19_Расчет_аналитики'!AB3595,WeightedRevAge17)-SUMIF(ThresholdAge17,"&lt;"&amp;'19_Расчет_аналитики'!AB3595,WeightedMinAge17),MAX(CapacityAge17*'01_Вводные'!$B$218*'19_Расчет_аналитики'!AB3595,MeanMinAge17))),0)</f>
        <v/>
      </c>
      <c r="AC3516">
        <f>IF('01_Вводные'!$B$234="Да",IF(OR('19_Расчет_аналитики'!AC3488=0,17&lt;='01_Вводные'!$B$297),0,'19_Расчет_аналитики'!AC3488*IF('01_Вводные'!$B$239="Да",MeanMinAge17+'19_Расчет_аналитики'!AC3595*SUMIF(ThresholdAge17,"&lt;"&amp;'19_Расчет_аналитики'!AC3595,WeightedRevAge17)-SUMIF(ThresholdAge17,"&lt;"&amp;'19_Расчет_аналитики'!AC3595,WeightedMinAge17),MAX(CapacityAge17*'01_Вводные'!$B$218*'19_Расчет_аналитики'!AC3595,MeanMinAge17))),0)</f>
        <v/>
      </c>
      <c r="AD3516">
        <f>IF('01_Вводные'!$B$234="Да",IF(OR('19_Расчет_аналитики'!AD3488=0,17&lt;='01_Вводные'!$B$297),0,'19_Расчет_аналитики'!AD3488*IF('01_Вводные'!$B$239="Да",MeanMinAge17+'19_Расчет_аналитики'!AD3595*SUMIF(ThresholdAge17,"&lt;"&amp;'19_Расчет_аналитики'!AD3595,WeightedRevAge17)-SUMIF(ThresholdAge17,"&lt;"&amp;'19_Расчет_аналитики'!AD3595,WeightedMinAge17),MAX(CapacityAge17*'01_Вводные'!$B$218*'19_Расчет_аналитики'!AD3595,MeanMinAge17))),0)</f>
        <v/>
      </c>
      <c r="AE3516">
        <f>IF('01_Вводные'!$B$234="Да",IF(OR('19_Расчет_аналитики'!AE3488=0,17&lt;='01_Вводные'!$B$297),0,'19_Расчет_аналитики'!AE3488*IF('01_Вводные'!$B$239="Да",MeanMinAge17+'19_Расчет_аналитики'!AE3595*SUMIF(ThresholdAge17,"&lt;"&amp;'19_Расчет_аналитики'!AE3595,WeightedRevAge17)-SUMIF(ThresholdAge17,"&lt;"&amp;'19_Расчет_аналитики'!AE3595,WeightedMinAge17),MAX(CapacityAge17*'01_Вводные'!$B$218*'19_Расчет_аналитики'!AE3595,MeanMinAge17))),0)</f>
        <v/>
      </c>
      <c r="AF3516">
        <f>IF('01_Вводные'!$B$234="Да",IF(OR('19_Расчет_аналитики'!AF3488=0,17&lt;='01_Вводные'!$B$297),0,'19_Расчет_аналитики'!AF3488*IF('01_Вводные'!$B$239="Да",MeanMinAge17+'19_Расчет_аналитики'!AF3595*SUMIF(ThresholdAge17,"&lt;"&amp;'19_Расчет_аналитики'!AF3595,WeightedRevAge17)-SUMIF(ThresholdAge17,"&lt;"&amp;'19_Расчет_аналитики'!AF3595,WeightedMinAge17),MAX(CapacityAge17*'01_Вводные'!$B$218*'19_Расчет_аналитики'!AF3595,MeanMinAge17))),0)</f>
        <v/>
      </c>
      <c r="AG3516">
        <f>IF('01_Вводные'!$B$234="Да",IF(OR('19_Расчет_аналитики'!AG3488=0,17&lt;='01_Вводные'!$B$297),0,'19_Расчет_аналитики'!AG3488*IF('01_Вводные'!$B$239="Да",MeanMinAge17+'19_Расчет_аналитики'!AG3595*SUMIF(ThresholdAge17,"&lt;"&amp;'19_Расчет_аналитики'!AG3595,WeightedRevAge17)-SUMIF(ThresholdAge17,"&lt;"&amp;'19_Расчет_аналитики'!AG3595,WeightedMinAge17),MAX(CapacityAge17*'01_Вводные'!$B$218*'19_Расчет_аналитики'!AG3595,MeanMinAge17))),0)</f>
        <v/>
      </c>
      <c r="AH3516">
        <f>IF('01_Вводные'!$B$234="Да",IF(OR('19_Расчет_аналитики'!AH3488=0,17&lt;='01_Вводные'!$B$297),0,'19_Расчет_аналитики'!AH3488*IF('01_Вводные'!$B$239="Да",MeanMinAge17+'19_Расчет_аналитики'!AH3595*SUMIF(ThresholdAge17,"&lt;"&amp;'19_Расчет_аналитики'!AH3595,WeightedRevAge17)-SUMIF(ThresholdAge17,"&lt;"&amp;'19_Расчет_аналитики'!AH3595,WeightedMinAge17),MAX(CapacityAge17*'01_Вводные'!$B$218*'19_Расчет_аналитики'!AH3595,MeanMinAge17))),0)</f>
        <v/>
      </c>
      <c r="AI3516">
        <f>IF('01_Вводные'!$B$234="Да",IF(OR('19_Расчет_аналитики'!AI3488=0,17&lt;='01_Вводные'!$B$297),0,'19_Расчет_аналитики'!AI3488*IF('01_Вводные'!$B$239="Да",MeanMinAge17+'19_Расчет_аналитики'!AI3595*SUMIF(ThresholdAge17,"&lt;"&amp;'19_Расчет_аналитики'!AI3595,WeightedRevAge17)-SUMIF(ThresholdAge17,"&lt;"&amp;'19_Расчет_аналитики'!AI3595,WeightedMinAge17),MAX(CapacityAge17*'01_Вводные'!$B$218*'19_Расчет_аналитики'!AI3595,MeanMinAge17))),0)</f>
        <v/>
      </c>
      <c r="AJ3516">
        <f>IF('01_Вводные'!$B$234="Да",IF(OR('19_Расчет_аналитики'!AJ3488=0,17&lt;='01_Вводные'!$B$297),0,'19_Расчет_аналитики'!AJ3488*IF('01_Вводные'!$B$239="Да",MeanMinAge17+'19_Расчет_аналитики'!AJ3595*SUMIF(ThresholdAge17,"&lt;"&amp;'19_Расчет_аналитики'!AJ3595,WeightedRevAge17)-SUMIF(ThresholdAge17,"&lt;"&amp;'19_Расчет_аналитики'!AJ3595,WeightedMinAge17),MAX(CapacityAge17*'01_Вводные'!$B$218*'19_Расчет_аналитики'!AJ3595,MeanMinAge17))),0)</f>
        <v/>
      </c>
      <c r="AK3516">
        <f>IF('01_Вводные'!$B$234="Да",IF(OR('19_Расчет_аналитики'!AK3488=0,17&lt;='01_Вводные'!$B$297),0,'19_Расчет_аналитики'!AK3488*IF('01_Вводные'!$B$239="Да",MeanMinAge17+'19_Расчет_аналитики'!AK3595*SUMIF(ThresholdAge17,"&lt;"&amp;'19_Расчет_аналитики'!AK3595,WeightedRevAge17)-SUMIF(ThresholdAge17,"&lt;"&amp;'19_Расчет_аналитики'!AK3595,WeightedMinAge17),MAX(CapacityAge17*'01_Вводные'!$B$218*'19_Расчет_аналитики'!AK3595,MeanMinAge17))),0)</f>
        <v/>
      </c>
      <c r="AL3516">
        <f>IF('01_Вводные'!$B$234="Да",IF(OR('19_Расчет_аналитики'!AL3488=0,17&lt;='01_Вводные'!$B$297),0,'19_Расчет_аналитики'!AL3488*IF('01_Вводные'!$B$239="Да",MeanMinAge17+'19_Расчет_аналитики'!AL3595*SUMIF(ThresholdAge17,"&lt;"&amp;'19_Расчет_аналитики'!AL3595,WeightedRevAge17)-SUMIF(ThresholdAge17,"&lt;"&amp;'19_Расчет_аналитики'!AL3595,WeightedMinAge17),MAX(CapacityAge17*'01_Вводные'!$B$218*'19_Расчет_аналитики'!AL3595,MeanMinAge17))),0)</f>
        <v/>
      </c>
      <c r="AM3516">
        <f>IF('01_Вводные'!$B$234="Да",IF(OR('19_Расчет_аналитики'!AM3488=0,17&lt;='01_Вводные'!$B$297),0,'19_Расчет_аналитики'!AM3488*IF('01_Вводные'!$B$239="Да",MeanMinAge17+'19_Расчет_аналитики'!AM3595*SUMIF(ThresholdAge17,"&lt;"&amp;'19_Расчет_аналитики'!AM3595,WeightedRevAge17)-SUMIF(ThresholdAge17,"&lt;"&amp;'19_Расчет_аналитики'!AM3595,WeightedMinAge17),MAX(CapacityAge17*'01_Вводные'!$B$218*'19_Расчет_аналитики'!AM3595,MeanMinAge17))),0)</f>
        <v/>
      </c>
      <c r="AN3516">
        <f>IF('01_Вводные'!$B$234="Да",IF(OR('19_Расчет_аналитики'!AN3488=0,17&lt;='01_Вводные'!$B$297),0,'19_Расчет_аналитики'!AN3488*IF('01_Вводные'!$B$239="Да",MeanMinAge17+'19_Расчет_аналитики'!AN3595*SUMIF(ThresholdAge17,"&lt;"&amp;'19_Расчет_аналитики'!AN3595,WeightedRevAge17)-SUMIF(ThresholdAge17,"&lt;"&amp;'19_Расчет_аналитики'!AN3595,WeightedMinAge17),MAX(CapacityAge17*'01_Вводные'!$B$218*'19_Расчет_аналитики'!AN3595,MeanMinAge17))),0)</f>
        <v/>
      </c>
      <c r="AO3516">
        <f>IF('01_Вводные'!$B$234="Да",IF(OR('19_Расчет_аналитики'!AO3488=0,17&lt;='01_Вводные'!$B$297),0,'19_Расчет_аналитики'!AO3488*IF('01_Вводные'!$B$239="Да",MeanMinAge17+'19_Расчет_аналитики'!AO3595*SUMIF(ThresholdAge17,"&lt;"&amp;'19_Расчет_аналитики'!AO3595,WeightedRevAge17)-SUMIF(ThresholdAge17,"&lt;"&amp;'19_Расчет_аналитики'!AO3595,WeightedMinAge17),MAX(CapacityAge17*'01_Вводные'!$B$218*'19_Расчет_аналитики'!AO3595,MeanMinAge17))),0)</f>
        <v/>
      </c>
      <c r="AP3516">
        <f>IF('01_Вводные'!$B$234="Да",IF(OR('19_Расчет_аналитики'!AP3488=0,17&lt;='01_Вводные'!$B$297),0,'19_Расчет_аналитики'!AP3488*IF('01_Вводные'!$B$239="Да",MeanMinAge17+'19_Расчет_аналитики'!AP3595*SUMIF(ThresholdAge17,"&lt;"&amp;'19_Расчет_аналитики'!AP3595,WeightedRevAge17)-SUMIF(ThresholdAge17,"&lt;"&amp;'19_Расчет_аналитики'!AP3595,WeightedMinAge17),MAX(CapacityAge17*'01_Вводные'!$B$218*'19_Расчет_аналитики'!AP3595,MeanMinAge17))),0)</f>
        <v/>
      </c>
      <c r="AQ3516">
        <f>IF('01_Вводные'!$B$234="Да",IF(OR('19_Расчет_аналитики'!AQ3488=0,17&lt;='01_Вводные'!$B$297),0,'19_Расчет_аналитики'!AQ3488*IF('01_Вводные'!$B$239="Да",MeanMinAge17+'19_Расчет_аналитики'!AQ3595*SUMIF(ThresholdAge17,"&lt;"&amp;'19_Расчет_аналитики'!AQ3595,WeightedRevAge17)-SUMIF(ThresholdAge17,"&lt;"&amp;'19_Расчет_аналитики'!AQ3595,WeightedMinAge17),MAX(CapacityAge17*'01_Вводные'!$B$218*'19_Расчет_аналитики'!AQ3595,MeanMinAge17))),0)</f>
        <v/>
      </c>
      <c r="AR3516">
        <f>IF('01_Вводные'!$B$234="Да",IF(OR('19_Расчет_аналитики'!AR3488=0,17&lt;='01_Вводные'!$B$297),0,'19_Расчет_аналитики'!AR3488*IF('01_Вводные'!$B$239="Да",MeanMinAge17+'19_Расчет_аналитики'!AR3595*SUMIF(ThresholdAge17,"&lt;"&amp;'19_Расчет_аналитики'!AR3595,WeightedRevAge17)-SUMIF(ThresholdAge17,"&lt;"&amp;'19_Расчет_аналитики'!AR3595,WeightedMinAge17),MAX(CapacityAge17*'01_Вводные'!$B$218*'19_Расчет_аналитики'!AR3595,MeanMinAge17))),0)</f>
        <v/>
      </c>
      <c r="AS3516">
        <f>IF('01_Вводные'!$B$234="Да",IF(OR('19_Расчет_аналитики'!AS3488=0,17&lt;='01_Вводные'!$B$297),0,'19_Расчет_аналитики'!AS3488*IF('01_Вводные'!$B$239="Да",MeanMinAge17+'19_Расчет_аналитики'!AS3595*SUMIF(ThresholdAge17,"&lt;"&amp;'19_Расчет_аналитики'!AS3595,WeightedRevAge17)-SUMIF(ThresholdAge17,"&lt;"&amp;'19_Расчет_аналитики'!AS3595,WeightedMinAge17),MAX(CapacityAge17*'01_Вводные'!$B$218*'19_Расчет_аналитики'!AS3595,MeanMinAge17))),0)</f>
        <v/>
      </c>
      <c r="AT3516">
        <f>IF('01_Вводные'!$B$234="Да",IF(OR('19_Расчет_аналитики'!AT3488=0,17&lt;='01_Вводные'!$B$297),0,'19_Расчет_аналитики'!AT3488*IF('01_Вводные'!$B$239="Да",MeanMinAge17+'19_Расчет_аналитики'!AT3595*SUMIF(ThresholdAge17,"&lt;"&amp;'19_Расчет_аналитики'!AT3595,WeightedRevAge17)-SUMIF(ThresholdAge17,"&lt;"&amp;'19_Расчет_аналитики'!AT3595,WeightedMinAge17),MAX(CapacityAge17*'01_Вводные'!$B$218*'19_Расчет_аналитики'!AT3595,MeanMinAge17))),0)</f>
        <v/>
      </c>
      <c r="AU3516">
        <f>IF('01_Вводные'!$B$234="Да",IF(OR('19_Расчет_аналитики'!AU3488=0,17&lt;='01_Вводные'!$B$297),0,'19_Расчет_аналитики'!AU3488*IF('01_Вводные'!$B$239="Да",MeanMinAge17+'19_Расчет_аналитики'!AU3595*SUMIF(ThresholdAge17,"&lt;"&amp;'19_Расчет_аналитики'!AU3595,WeightedRevAge17)-SUMIF(ThresholdAge17,"&lt;"&amp;'19_Расчет_аналитики'!AU3595,WeightedMinAge17),MAX(CapacityAge17*'01_Вводные'!$B$218*'19_Расчет_аналитики'!AU3595,MeanMinAge17))),0)</f>
        <v/>
      </c>
      <c r="AV3516">
        <f>IF('01_Вводные'!$B$234="Да",IF(OR('19_Расчет_аналитики'!AV3488=0,17&lt;='01_Вводные'!$B$297),0,'19_Расчет_аналитики'!AV3488*IF('01_Вводные'!$B$239="Да",MeanMinAge17+'19_Расчет_аналитики'!AV3595*SUMIF(ThresholdAge17,"&lt;"&amp;'19_Расчет_аналитики'!AV3595,WeightedRevAge17)-SUMIF(ThresholdAge17,"&lt;"&amp;'19_Расчет_аналитики'!AV3595,WeightedMinAge17),MAX(CapacityAge17*'01_Вводные'!$B$218*'19_Расчет_аналитики'!AV3595,MeanMinAge17))),0)</f>
        <v/>
      </c>
      <c r="AW3516">
        <f>IF('01_Вводные'!$B$234="Да",IF(OR('19_Расчет_аналитики'!AW3488=0,17&lt;='01_Вводные'!$B$297),0,'19_Расчет_аналитики'!AW3488*IF('01_Вводные'!$B$239="Да",MeanMinAge17+'19_Расчет_аналитики'!AW3595*SUMIF(ThresholdAge17,"&lt;"&amp;'19_Расчет_аналитики'!AW3595,WeightedRevAge17)-SUMIF(ThresholdAge17,"&lt;"&amp;'19_Расчет_аналитики'!AW3595,WeightedMinAge17),MAX(CapacityAge17*'01_Вводные'!$B$218*'19_Расчет_аналитики'!AW3595,MeanMinAge17))),0)</f>
        <v/>
      </c>
      <c r="AX3516">
        <f>IF('01_Вводные'!$B$234="Да",IF(OR('19_Расчет_аналитики'!AX3488=0,17&lt;='01_Вводные'!$B$297),0,'19_Расчет_аналитики'!AX3488*IF('01_Вводные'!$B$239="Да",MeanMinAge17+'19_Расчет_аналитики'!AX3595*SUMIF(ThresholdAge17,"&lt;"&amp;'19_Расчет_аналитики'!AX3595,WeightedRevAge17)-SUMIF(ThresholdAge17,"&lt;"&amp;'19_Расчет_аналитики'!AX3595,WeightedMinAge17),MAX(CapacityAge17*'01_Вводные'!$B$218*'19_Расчет_аналитики'!AX3595,MeanMinAge17))),0)</f>
        <v/>
      </c>
      <c r="AY3516">
        <f>IF('01_Вводные'!$B$234="Да",IF(OR('19_Расчет_аналитики'!AY3488=0,17&lt;='01_Вводные'!$B$297),0,'19_Расчет_аналитики'!AY3488*IF('01_Вводные'!$B$239="Да",MeanMinAge17+'19_Расчет_аналитики'!AY3595*SUMIF(ThresholdAge17,"&lt;"&amp;'19_Расчет_аналитики'!AY3595,WeightedRevAge17)-SUMIF(ThresholdAge17,"&lt;"&amp;'19_Расчет_аналитики'!AY3595,WeightedMinAge17),MAX(CapacityAge17*'01_Вводные'!$B$218*'19_Расчет_аналитики'!AY3595,MeanMinAge17))),0)</f>
        <v/>
      </c>
      <c r="AZ3516">
        <f>IF('01_Вводные'!$B$234="Да",IF(OR('19_Расчет_аналитики'!AZ3488=0,17&lt;='01_Вводные'!$B$297),0,'19_Расчет_аналитики'!AZ3488*IF('01_Вводные'!$B$239="Да",MeanMinAge17+'19_Расчет_аналитики'!AZ3595*SUMIF(ThresholdAge17,"&lt;"&amp;'19_Расчет_аналитики'!AZ3595,WeightedRevAge17)-SUMIF(ThresholdAge17,"&lt;"&amp;'19_Расчет_аналитики'!AZ3595,WeightedMinAge17),MAX(CapacityAge17*'01_Вводные'!$B$218*'19_Расчет_аналитики'!AZ3595,MeanMinAge17))),0)</f>
        <v/>
      </c>
      <c r="BA3516">
        <f>IF('01_Вводные'!$B$234="Да",IF(OR('19_Расчет_аналитики'!BA3488=0,17&lt;='01_Вводные'!$B$297),0,'19_Расчет_аналитики'!BA3488*IF('01_Вводные'!$B$239="Да",MeanMinAge17+'19_Расчет_аналитики'!BA3595*SUMIF(ThresholdAge17,"&lt;"&amp;'19_Расчет_аналитики'!BA3595,WeightedRevAge17)-SUMIF(ThresholdAge17,"&lt;"&amp;'19_Расчет_аналитики'!BA3595,WeightedMinAge17),MAX(CapacityAge17*'01_Вводные'!$B$218*'19_Расчет_аналитики'!BA3595,MeanMinAge17))),0)</f>
        <v/>
      </c>
      <c r="BB3516">
        <f>IF('01_Вводные'!$B$234="Да",IF(OR('19_Расчет_аналитики'!BB3488=0,17&lt;='01_Вводные'!$B$297),0,'19_Расчет_аналитики'!BB3488*IF('01_Вводные'!$B$239="Да",MeanMinAge17+'19_Расчет_аналитики'!BB3595*SUMIF(ThresholdAge17,"&lt;"&amp;'19_Расчет_аналитики'!BB3595,WeightedRevAge17)-SUMIF(ThresholdAge17,"&lt;"&amp;'19_Расчет_аналитики'!BB3595,WeightedMinAge17),MAX(CapacityAge17*'01_Вводные'!$B$218*'19_Расчет_аналитики'!BB3595,MeanMinAge17))),0)</f>
        <v/>
      </c>
      <c r="BC3516">
        <f>IF('01_Вводные'!$B$234="Да",IF(OR('19_Расчет_аналитики'!BC3488=0,17&lt;='01_Вводные'!$B$297),0,'19_Расчет_аналитики'!BC3488*IF('01_Вводные'!$B$239="Да",MeanMinAge17+'19_Расчет_аналитики'!BC3595*SUMIF(ThresholdAge17,"&lt;"&amp;'19_Расчет_аналитики'!BC3595,WeightedRevAge17)-SUMIF(ThresholdAge17,"&lt;"&amp;'19_Расчет_аналитики'!BC3595,WeightedMinAge17),MAX(CapacityAge17*'01_Вводные'!$B$218*'19_Расчет_аналитики'!BC3595,MeanMinAge17))),0)</f>
        <v/>
      </c>
      <c r="BD3516">
        <f>IF('01_Вводные'!$B$234="Да",IF(OR('19_Расчет_аналитики'!BD3488=0,17&lt;='01_Вводные'!$B$297),0,'19_Расчет_аналитики'!BD3488*IF('01_Вводные'!$B$239="Да",MeanMinAge17+'19_Расчет_аналитики'!BD3595*SUMIF(ThresholdAge17,"&lt;"&amp;'19_Расчет_аналитики'!BD3595,WeightedRevAge17)-SUMIF(ThresholdAge17,"&lt;"&amp;'19_Расчет_аналитики'!BD3595,WeightedMinAge17),MAX(CapacityAge17*'01_Вводные'!$B$218*'19_Расчет_аналитики'!BD3595,MeanMinAge17))),0)</f>
        <v/>
      </c>
      <c r="BE3516">
        <f>IF('01_Вводные'!$B$234="Да",IF(OR('19_Расчет_аналитики'!BE3488=0,17&lt;='01_Вводные'!$B$297),0,'19_Расчет_аналитики'!BE3488*IF('01_Вводные'!$B$239="Да",MeanMinAge17+'19_Расчет_аналитики'!BE3595*SUMIF(ThresholdAge17,"&lt;"&amp;'19_Расчет_аналитики'!BE3595,WeightedRevAge17)-SUMIF(ThresholdAge17,"&lt;"&amp;'19_Расчет_аналитики'!BE3595,WeightedMinAge17),MAX(CapacityAge17*'01_Вводные'!$B$218*'19_Расчет_аналитики'!BE3595,MeanMinAge17))),0)</f>
        <v/>
      </c>
      <c r="BF3516">
        <f>IF('01_Вводные'!$B$234="Да",IF(OR('19_Расчет_аналитики'!BF3488=0,17&lt;='01_Вводные'!$B$297),0,'19_Расчет_аналитики'!BF3488*IF('01_Вводные'!$B$239="Да",MeanMinAge17+'19_Расчет_аналитики'!BF3595*SUMIF(ThresholdAge17,"&lt;"&amp;'19_Расчет_аналитики'!BF3595,WeightedRevAge17)-SUMIF(ThresholdAge17,"&lt;"&amp;'19_Расчет_аналитики'!BF3595,WeightedMinAge17),MAX(CapacityAge17*'01_Вводные'!$B$218*'19_Расчет_аналитики'!BF3595,MeanMinAge17))),0)</f>
        <v/>
      </c>
      <c r="BG3516">
        <f>IF('01_Вводные'!$B$234="Да",IF(OR('19_Расчет_аналитики'!BG3488=0,17&lt;='01_Вводные'!$B$297),0,'19_Расчет_аналитики'!BG3488*IF('01_Вводные'!$B$239="Да",MeanMinAge17+'19_Расчет_аналитики'!BG3595*SUMIF(ThresholdAge17,"&lt;"&amp;'19_Расчет_аналитики'!BG3595,WeightedRevAge17)-SUMIF(ThresholdAge17,"&lt;"&amp;'19_Расчет_аналитики'!BG3595,WeightedMinAge17),MAX(CapacityAge17*'01_Вводные'!$B$218*'19_Расчет_аналитики'!BG3595,MeanMinAge17))),0)</f>
        <v/>
      </c>
      <c r="BH3516">
        <f>IF('01_Вводные'!$B$234="Да",IF(OR('19_Расчет_аналитики'!BH3488=0,17&lt;='01_Вводные'!$B$297),0,'19_Расчет_аналитики'!BH3488*IF('01_Вводные'!$B$239="Да",MeanMinAge17+'19_Расчет_аналитики'!BH3595*SUMIF(ThresholdAge17,"&lt;"&amp;'19_Расчет_аналитики'!BH3595,WeightedRevAge17)-SUMIF(ThresholdAge17,"&lt;"&amp;'19_Расчет_аналитики'!BH3595,WeightedMinAge17),MAX(CapacityAge17*'01_Вводные'!$B$218*'19_Расчет_аналитики'!BH3595,MeanMinAge17))),0)</f>
        <v/>
      </c>
      <c r="BI3516">
        <f>IF('01_Вводные'!$B$234="Да",IF(OR('19_Расчет_аналитики'!BI3488=0,17&lt;='01_Вводные'!$B$297),0,'19_Расчет_аналитики'!BI3488*IF('01_Вводные'!$B$239="Да",MeanMinAge17+'19_Расчет_аналитики'!BI3595*SUMIF(ThresholdAge17,"&lt;"&amp;'19_Расчет_аналитики'!BI3595,WeightedRevAge17)-SUMIF(ThresholdAge17,"&lt;"&amp;'19_Расчет_аналитики'!BI3595,WeightedMinAge17),MAX(CapacityAge17*'01_Вводные'!$B$218*'19_Расчет_аналитики'!BI3595,MeanMinAge17))),0)</f>
        <v/>
      </c>
      <c r="BJ3516">
        <f>IF('01_Вводные'!$B$234="Да",IF(OR('19_Расчет_аналитики'!BJ3488=0,17&lt;='01_Вводные'!$B$297),0,'19_Расчет_аналитики'!BJ3488*IF('01_Вводные'!$B$239="Да",MeanMinAge17+'19_Расчет_аналитики'!BJ3595*SUMIF(ThresholdAge17,"&lt;"&amp;'19_Расчет_аналитики'!BJ3595,WeightedRevAge17)-SUMIF(ThresholdAge17,"&lt;"&amp;'19_Расчет_аналитики'!BJ3595,WeightedMinAge17),MAX(CapacityAge17*'01_Вводные'!$B$218*'19_Расчет_аналитики'!BJ3595,MeanMinAge17))),0)</f>
        <v/>
      </c>
      <c r="BK3516">
        <f>IF('01_Вводные'!$B$234="Да",IF(OR('19_Расчет_аналитики'!BK3488=0,17&lt;='01_Вводные'!$B$297),0,'19_Расчет_аналитики'!BK3488*IF('01_Вводные'!$B$239="Да",MeanMinAge17+'19_Расчет_аналитики'!BK3595*SUMIF(ThresholdAge17,"&lt;"&amp;'19_Расчет_аналитики'!BK3595,WeightedRevAge17)-SUMIF(ThresholdAge17,"&lt;"&amp;'19_Расчет_аналитики'!BK3595,WeightedMinAge17),MAX(CapacityAge17*'01_Вводные'!$B$218*'19_Расчет_аналитики'!BK3595,MeanMinAge17))),0)</f>
        <v/>
      </c>
      <c r="BL3516">
        <f>IF('01_Вводные'!$B$234="Да",IF(OR('19_Расчет_аналитики'!BL3488=0,17&lt;='01_Вводные'!$B$297),0,'19_Расчет_аналитики'!BL3488*IF('01_Вводные'!$B$239="Да",MeanMinAge17+'19_Расчет_аналитики'!BL3595*SUMIF(ThresholdAge17,"&lt;"&amp;'19_Расчет_аналитики'!BL3595,WeightedRevAge17)-SUMIF(ThresholdAge17,"&lt;"&amp;'19_Расчет_аналитики'!BL3595,WeightedMinAge17),MAX(CapacityAge17*'01_Вводные'!$B$218*'19_Расчет_аналитики'!BL3595,MeanMinAge17))),0)</f>
        <v/>
      </c>
      <c r="BM3516">
        <f>IF('01_Вводные'!$B$234="Да",IF(OR('19_Расчет_аналитики'!BM3488=0,17&lt;='01_Вводные'!$B$297),0,'19_Расчет_аналитики'!BM3488*IF('01_Вводные'!$B$239="Да",MeanMinAge17+'19_Расчет_аналитики'!BM3595*SUMIF(ThresholdAge17,"&lt;"&amp;'19_Расчет_аналитики'!BM3595,WeightedRevAge17)-SUMIF(ThresholdAge17,"&lt;"&amp;'19_Расчет_аналитики'!BM3595,WeightedMinAge17),MAX(CapacityAge17*'01_Вводные'!$B$218*'19_Расчет_аналитики'!BM3595,MeanMinAge17))),0)</f>
        <v/>
      </c>
      <c r="BN3516">
        <f>IF('01_Вводные'!$B$234="Да",IF(OR('19_Расчет_аналитики'!BN3488=0,17&lt;='01_Вводные'!$B$297),0,'19_Расчет_аналитики'!BN3488*IF('01_Вводные'!$B$239="Да",MeanMinAge17+'19_Расчет_аналитики'!BN3595*SUMIF(ThresholdAge17,"&lt;"&amp;'19_Расчет_аналитики'!BN3595,WeightedRevAge17)-SUMIF(ThresholdAge17,"&lt;"&amp;'19_Расчет_аналитики'!BN3595,WeightedMinAge17),MAX(CapacityAge17*'01_Вводные'!$B$218*'19_Расчет_аналитики'!BN3595,MeanMinAge17))),0)</f>
        <v/>
      </c>
      <c r="BO3516">
        <f>IF('01_Вводные'!$B$234="Да",IF(OR('19_Расчет_аналитики'!BO3488=0,17&lt;='01_Вводные'!$B$297),0,'19_Расчет_аналитики'!BO3488*IF('01_Вводные'!$B$239="Да",MeanMinAge17+'19_Расчет_аналитики'!BO3595*SUMIF(ThresholdAge17,"&lt;"&amp;'19_Расчет_аналитики'!BO3595,WeightedRevAge17)-SUMIF(ThresholdAge17,"&lt;"&amp;'19_Расчет_аналитики'!BO3595,WeightedMinAge17),MAX(CapacityAge17*'01_Вводные'!$B$218*'19_Расчет_аналитики'!BO3595,MeanMinAge17))),0)</f>
        <v/>
      </c>
    </row>
    <row r="3517">
      <c r="B3517">
        <f>IF('01_Вводные'!$B$234="Да",IF(OR('06_Сеть_и_дети'!B98=0,18&lt;='01_Вводные'!$B$297),0,'06_Сеть_и_дети'!B98*IF('01_Вводные'!$B$239="Да",MeanMinAge18+'19_Расчет_аналитики'!B3595*SUMIF(ThresholdAge18,"&lt;"&amp;'19_Расчет_аналитики'!B3595,WeightedRevAge18)-SUMIF(ThresholdAge18,"&lt;"&amp;'19_Расчет_аналитики'!B3595,WeightedMinAge18),MAX(CapacityAge18*'01_Вводные'!$B$218*'19_Расчет_аналитики'!B3595,MeanMinAge18))),0)</f>
        <v/>
      </c>
      <c r="C3517">
        <f>IF('01_Вводные'!$B$234="Да",IF(OR('06_Сеть_и_дети'!C98=0,18&lt;='01_Вводные'!$B$297),0,'06_Сеть_и_дети'!C98*IF('01_Вводные'!$B$239="Да",MeanMinAge18+'19_Расчет_аналитики'!C3595*SUMIF(ThresholdAge18,"&lt;"&amp;'19_Расчет_аналитики'!C3595,WeightedRevAge18)-SUMIF(ThresholdAge18,"&lt;"&amp;'19_Расчет_аналитики'!C3595,WeightedMinAge18),MAX(CapacityAge18*'01_Вводные'!$B$218*'19_Расчет_аналитики'!C3595,MeanMinAge18))),0)</f>
        <v/>
      </c>
      <c r="D3517">
        <f>IF('01_Вводные'!$B$234="Да",IF(OR('06_Сеть_и_дети'!D98=0,18&lt;='01_Вводные'!$B$297),0,'06_Сеть_и_дети'!D98*IF('01_Вводные'!$B$239="Да",MeanMinAge18+'19_Расчет_аналитики'!D3595*SUMIF(ThresholdAge18,"&lt;"&amp;'19_Расчет_аналитики'!D3595,WeightedRevAge18)-SUMIF(ThresholdAge18,"&lt;"&amp;'19_Расчет_аналитики'!D3595,WeightedMinAge18),MAX(CapacityAge18*'01_Вводные'!$B$218*'19_Расчет_аналитики'!D3595,MeanMinAge18))),0)</f>
        <v/>
      </c>
      <c r="E3517">
        <f>IF('01_Вводные'!$B$234="Да",IF(OR('06_Сеть_и_дети'!E98=0,18&lt;='01_Вводные'!$B$297),0,'06_Сеть_и_дети'!E98*IF('01_Вводные'!$B$239="Да",MeanMinAge18+'19_Расчет_аналитики'!E3595*SUMIF(ThresholdAge18,"&lt;"&amp;'19_Расчет_аналитики'!E3595,WeightedRevAge18)-SUMIF(ThresholdAge18,"&lt;"&amp;'19_Расчет_аналитики'!E3595,WeightedMinAge18),MAX(CapacityAge18*'01_Вводные'!$B$218*'19_Расчет_аналитики'!E3595,MeanMinAge18))),0)</f>
        <v/>
      </c>
      <c r="F3517">
        <f>IF('01_Вводные'!$B$234="Да",IF(OR('06_Сеть_и_дети'!F98=0,18&lt;='01_Вводные'!$B$297),0,'06_Сеть_и_дети'!F98*IF('01_Вводные'!$B$239="Да",MeanMinAge18+'19_Расчет_аналитики'!F3595*SUMIF(ThresholdAge18,"&lt;"&amp;'19_Расчет_аналитики'!F3595,WeightedRevAge18)-SUMIF(ThresholdAge18,"&lt;"&amp;'19_Расчет_аналитики'!F3595,WeightedMinAge18),MAX(CapacityAge18*'01_Вводные'!$B$218*'19_Расчет_аналитики'!F3595,MeanMinAge18))),0)</f>
        <v/>
      </c>
      <c r="G3517">
        <f>IF('01_Вводные'!$B$234="Да",IF(OR('06_Сеть_и_дети'!G98=0,18&lt;='01_Вводные'!$B$297),0,'06_Сеть_и_дети'!G98*IF('01_Вводные'!$B$239="Да",MeanMinAge18+'19_Расчет_аналитики'!G3595*SUMIF(ThresholdAge18,"&lt;"&amp;'19_Расчет_аналитики'!G3595,WeightedRevAge18)-SUMIF(ThresholdAge18,"&lt;"&amp;'19_Расчет_аналитики'!G3595,WeightedMinAge18),MAX(CapacityAge18*'01_Вводные'!$B$218*'19_Расчет_аналитики'!G3595,MeanMinAge18))),0)</f>
        <v/>
      </c>
      <c r="H3517">
        <f>IF('01_Вводные'!$B$234="Да",IF(OR('06_Сеть_и_дети'!H98=0,18&lt;='01_Вводные'!$B$297),0,'06_Сеть_и_дети'!H98*IF('01_Вводные'!$B$239="Да",MeanMinAge18+'19_Расчет_аналитики'!H3595*SUMIF(ThresholdAge18,"&lt;"&amp;'19_Расчет_аналитики'!H3595,WeightedRevAge18)-SUMIF(ThresholdAge18,"&lt;"&amp;'19_Расчет_аналитики'!H3595,WeightedMinAge18),MAX(CapacityAge18*'01_Вводные'!$B$218*'19_Расчет_аналитики'!H3595,MeanMinAge18))),0)</f>
        <v/>
      </c>
      <c r="I3517">
        <f>IF('01_Вводные'!$B$234="Да",IF(OR('06_Сеть_и_дети'!I98=0,18&lt;='01_Вводные'!$B$297),0,'06_Сеть_и_дети'!I98*IF('01_Вводные'!$B$239="Да",MeanMinAge18+'19_Расчет_аналитики'!I3595*SUMIF(ThresholdAge18,"&lt;"&amp;'19_Расчет_аналитики'!I3595,WeightedRevAge18)-SUMIF(ThresholdAge18,"&lt;"&amp;'19_Расчет_аналитики'!I3595,WeightedMinAge18),MAX(CapacityAge18*'01_Вводные'!$B$218*'19_Расчет_аналитики'!I3595,MeanMinAge18))),0)</f>
        <v/>
      </c>
      <c r="J3517">
        <f>IF('01_Вводные'!$B$234="Да",IF(OR('06_Сеть_и_дети'!J98=0,18&lt;='01_Вводные'!$B$297),0,'06_Сеть_и_дети'!J98*IF('01_Вводные'!$B$239="Да",MeanMinAge18+'19_Расчет_аналитики'!J3595*SUMIF(ThresholdAge18,"&lt;"&amp;'19_Расчет_аналитики'!J3595,WeightedRevAge18)-SUMIF(ThresholdAge18,"&lt;"&amp;'19_Расчет_аналитики'!J3595,WeightedMinAge18),MAX(CapacityAge18*'01_Вводные'!$B$218*'19_Расчет_аналитики'!J3595,MeanMinAge18))),0)</f>
        <v/>
      </c>
      <c r="K3517">
        <f>IF('01_Вводные'!$B$234="Да",IF(OR('06_Сеть_и_дети'!K98=0,18&lt;='01_Вводные'!$B$297),0,'06_Сеть_и_дети'!K98*IF('01_Вводные'!$B$239="Да",MeanMinAge18+'19_Расчет_аналитики'!K3595*SUMIF(ThresholdAge18,"&lt;"&amp;'19_Расчет_аналитики'!K3595,WeightedRevAge18)-SUMIF(ThresholdAge18,"&lt;"&amp;'19_Расчет_аналитики'!K3595,WeightedMinAge18),MAX(CapacityAge18*'01_Вводные'!$B$218*'19_Расчет_аналитики'!K3595,MeanMinAge18))),0)</f>
        <v/>
      </c>
      <c r="L3517">
        <f>IF('01_Вводные'!$B$234="Да",IF(OR('06_Сеть_и_дети'!L98=0,18&lt;='01_Вводные'!$B$297),0,'06_Сеть_и_дети'!L98*IF('01_Вводные'!$B$239="Да",MeanMinAge18+'19_Расчет_аналитики'!L3595*SUMIF(ThresholdAge18,"&lt;"&amp;'19_Расчет_аналитики'!L3595,WeightedRevAge18)-SUMIF(ThresholdAge18,"&lt;"&amp;'19_Расчет_аналитики'!L3595,WeightedMinAge18),MAX(CapacityAge18*'01_Вводные'!$B$218*'19_Расчет_аналитики'!L3595,MeanMinAge18))),0)</f>
        <v/>
      </c>
      <c r="M3517">
        <f>IF('01_Вводные'!$B$234="Да",IF(OR('06_Сеть_и_дети'!M98=0,18&lt;='01_Вводные'!$B$297),0,'06_Сеть_и_дети'!M98*IF('01_Вводные'!$B$239="Да",MeanMinAge18+'19_Расчет_аналитики'!M3595*SUMIF(ThresholdAge18,"&lt;"&amp;'19_Расчет_аналитики'!M3595,WeightedRevAge18)-SUMIF(ThresholdAge18,"&lt;"&amp;'19_Расчет_аналитики'!M3595,WeightedMinAge18),MAX(CapacityAge18*'01_Вводные'!$B$218*'19_Расчет_аналитики'!M3595,MeanMinAge18))),0)</f>
        <v/>
      </c>
      <c r="N3517">
        <f>IF('01_Вводные'!$B$234="Да",IF(OR('06_Сеть_и_дети'!N98=0,18&lt;='01_Вводные'!$B$297),0,'06_Сеть_и_дети'!N98*IF('01_Вводные'!$B$239="Да",MeanMinAge18+'19_Расчет_аналитики'!N3595*SUMIF(ThresholdAge18,"&lt;"&amp;'19_Расчет_аналитики'!N3595,WeightedRevAge18)-SUMIF(ThresholdAge18,"&lt;"&amp;'19_Расчет_аналитики'!N3595,WeightedMinAge18),MAX(CapacityAge18*'01_Вводные'!$B$218*'19_Расчет_аналитики'!N3595,MeanMinAge18))),0)</f>
        <v/>
      </c>
      <c r="O3517">
        <f>IF('01_Вводные'!$B$234="Да",IF(OR('06_Сеть_и_дети'!O98=0,18&lt;='01_Вводные'!$B$297),0,'06_Сеть_и_дети'!O98*IF('01_Вводные'!$B$239="Да",MeanMinAge18+'19_Расчет_аналитики'!O3595*SUMIF(ThresholdAge18,"&lt;"&amp;'19_Расчет_аналитики'!O3595,WeightedRevAge18)-SUMIF(ThresholdAge18,"&lt;"&amp;'19_Расчет_аналитики'!O3595,WeightedMinAge18),MAX(CapacityAge18*'01_Вводные'!$B$218*'19_Расчет_аналитики'!O3595,MeanMinAge18))),0)</f>
        <v/>
      </c>
      <c r="P3517">
        <f>IF('01_Вводные'!$B$234="Да",IF(OR('06_Сеть_и_дети'!P98=0,18&lt;='01_Вводные'!$B$297),0,'06_Сеть_и_дети'!P98*IF('01_Вводные'!$B$239="Да",MeanMinAge18+'19_Расчет_аналитики'!P3595*SUMIF(ThresholdAge18,"&lt;"&amp;'19_Расчет_аналитики'!P3595,WeightedRevAge18)-SUMIF(ThresholdAge18,"&lt;"&amp;'19_Расчет_аналитики'!P3595,WeightedMinAge18),MAX(CapacityAge18*'01_Вводные'!$B$218*'19_Расчет_аналитики'!P3595,MeanMinAge18))),0)</f>
        <v/>
      </c>
      <c r="Q3517">
        <f>IF('01_Вводные'!$B$234="Да",IF(OR('06_Сеть_и_дети'!Q98=0,18&lt;='01_Вводные'!$B$297),0,'06_Сеть_и_дети'!Q98*IF('01_Вводные'!$B$239="Да",MeanMinAge18+'19_Расчет_аналитики'!Q3595*SUMIF(ThresholdAge18,"&lt;"&amp;'19_Расчет_аналитики'!Q3595,WeightedRevAge18)-SUMIF(ThresholdAge18,"&lt;"&amp;'19_Расчет_аналитики'!Q3595,WeightedMinAge18),MAX(CapacityAge18*'01_Вводные'!$B$218*'19_Расчет_аналитики'!Q3595,MeanMinAge18))),0)</f>
        <v/>
      </c>
      <c r="R3517">
        <f>IF('01_Вводные'!$B$234="Да",IF(OR('06_Сеть_и_дети'!R98=0,18&lt;='01_Вводные'!$B$297),0,'06_Сеть_и_дети'!R98*IF('01_Вводные'!$B$239="Да",MeanMinAge18+'19_Расчет_аналитики'!R3595*SUMIF(ThresholdAge18,"&lt;"&amp;'19_Расчет_аналитики'!R3595,WeightedRevAge18)-SUMIF(ThresholdAge18,"&lt;"&amp;'19_Расчет_аналитики'!R3595,WeightedMinAge18),MAX(CapacityAge18*'01_Вводные'!$B$218*'19_Расчет_аналитики'!R3595,MeanMinAge18))),0)</f>
        <v/>
      </c>
      <c r="S3517">
        <f>IF('01_Вводные'!$B$234="Да",IF(OR('19_Расчет_аналитики'!S3489=0,18&lt;='01_Вводные'!$B$297),0,'19_Расчет_аналитики'!S3489*IF('01_Вводные'!$B$239="Да",MeanMinAge18+'19_Расчет_аналитики'!S3595*SUMIF(ThresholdAge18,"&lt;"&amp;'19_Расчет_аналитики'!S3595,WeightedRevAge18)-SUMIF(ThresholdAge18,"&lt;"&amp;'19_Расчет_аналитики'!S3595,WeightedMinAge18),MAX(CapacityAge18*'01_Вводные'!$B$218*'19_Расчет_аналитики'!S3595,MeanMinAge18))),0)</f>
        <v/>
      </c>
      <c r="T3517">
        <f>IF('01_Вводные'!$B$234="Да",IF(OR('19_Расчет_аналитики'!T3489=0,18&lt;='01_Вводные'!$B$297),0,'19_Расчет_аналитики'!T3489*IF('01_Вводные'!$B$239="Да",MeanMinAge18+'19_Расчет_аналитики'!T3595*SUMIF(ThresholdAge18,"&lt;"&amp;'19_Расчет_аналитики'!T3595,WeightedRevAge18)-SUMIF(ThresholdAge18,"&lt;"&amp;'19_Расчет_аналитики'!T3595,WeightedMinAge18),MAX(CapacityAge18*'01_Вводные'!$B$218*'19_Расчет_аналитики'!T3595,MeanMinAge18))),0)</f>
        <v/>
      </c>
      <c r="U3517">
        <f>IF('01_Вводные'!$B$234="Да",IF(OR('19_Расчет_аналитики'!U3489=0,18&lt;='01_Вводные'!$B$297),0,'19_Расчет_аналитики'!U3489*IF('01_Вводные'!$B$239="Да",MeanMinAge18+'19_Расчет_аналитики'!U3595*SUMIF(ThresholdAge18,"&lt;"&amp;'19_Расчет_аналитики'!U3595,WeightedRevAge18)-SUMIF(ThresholdAge18,"&lt;"&amp;'19_Расчет_аналитики'!U3595,WeightedMinAge18),MAX(CapacityAge18*'01_Вводные'!$B$218*'19_Расчет_аналитики'!U3595,MeanMinAge18))),0)</f>
        <v/>
      </c>
      <c r="V3517">
        <f>IF('01_Вводные'!$B$234="Да",IF(OR('19_Расчет_аналитики'!V3489=0,18&lt;='01_Вводные'!$B$297),0,'19_Расчет_аналитики'!V3489*IF('01_Вводные'!$B$239="Да",MeanMinAge18+'19_Расчет_аналитики'!V3595*SUMIF(ThresholdAge18,"&lt;"&amp;'19_Расчет_аналитики'!V3595,WeightedRevAge18)-SUMIF(ThresholdAge18,"&lt;"&amp;'19_Расчет_аналитики'!V3595,WeightedMinAge18),MAX(CapacityAge18*'01_Вводные'!$B$218*'19_Расчет_аналитики'!V3595,MeanMinAge18))),0)</f>
        <v/>
      </c>
      <c r="W3517">
        <f>IF('01_Вводные'!$B$234="Да",IF(OR('19_Расчет_аналитики'!W3489=0,18&lt;='01_Вводные'!$B$297),0,'19_Расчет_аналитики'!W3489*IF('01_Вводные'!$B$239="Да",MeanMinAge18+'19_Расчет_аналитики'!W3595*SUMIF(ThresholdAge18,"&lt;"&amp;'19_Расчет_аналитики'!W3595,WeightedRevAge18)-SUMIF(ThresholdAge18,"&lt;"&amp;'19_Расчет_аналитики'!W3595,WeightedMinAge18),MAX(CapacityAge18*'01_Вводные'!$B$218*'19_Расчет_аналитики'!W3595,MeanMinAge18))),0)</f>
        <v/>
      </c>
      <c r="X3517">
        <f>IF('01_Вводные'!$B$234="Да",IF(OR('19_Расчет_аналитики'!X3489=0,18&lt;='01_Вводные'!$B$297),0,'19_Расчет_аналитики'!X3489*IF('01_Вводные'!$B$239="Да",MeanMinAge18+'19_Расчет_аналитики'!X3595*SUMIF(ThresholdAge18,"&lt;"&amp;'19_Расчет_аналитики'!X3595,WeightedRevAge18)-SUMIF(ThresholdAge18,"&lt;"&amp;'19_Расчет_аналитики'!X3595,WeightedMinAge18),MAX(CapacityAge18*'01_Вводные'!$B$218*'19_Расчет_аналитики'!X3595,MeanMinAge18))),0)</f>
        <v/>
      </c>
      <c r="Y3517">
        <f>IF('01_Вводные'!$B$234="Да",IF(OR('19_Расчет_аналитики'!Y3489=0,18&lt;='01_Вводные'!$B$297),0,'19_Расчет_аналитики'!Y3489*IF('01_Вводные'!$B$239="Да",MeanMinAge18+'19_Расчет_аналитики'!Y3595*SUMIF(ThresholdAge18,"&lt;"&amp;'19_Расчет_аналитики'!Y3595,WeightedRevAge18)-SUMIF(ThresholdAge18,"&lt;"&amp;'19_Расчет_аналитики'!Y3595,WeightedMinAge18),MAX(CapacityAge18*'01_Вводные'!$B$218*'19_Расчет_аналитики'!Y3595,MeanMinAge18))),0)</f>
        <v/>
      </c>
      <c r="Z3517">
        <f>IF('01_Вводные'!$B$234="Да",IF(OR('19_Расчет_аналитики'!Z3489=0,18&lt;='01_Вводные'!$B$297),0,'19_Расчет_аналитики'!Z3489*IF('01_Вводные'!$B$239="Да",MeanMinAge18+'19_Расчет_аналитики'!Z3595*SUMIF(ThresholdAge18,"&lt;"&amp;'19_Расчет_аналитики'!Z3595,WeightedRevAge18)-SUMIF(ThresholdAge18,"&lt;"&amp;'19_Расчет_аналитики'!Z3595,WeightedMinAge18),MAX(CapacityAge18*'01_Вводные'!$B$218*'19_Расчет_аналитики'!Z3595,MeanMinAge18))),0)</f>
        <v/>
      </c>
      <c r="AA3517">
        <f>IF('01_Вводные'!$B$234="Да",IF(OR('19_Расчет_аналитики'!AA3489=0,18&lt;='01_Вводные'!$B$297),0,'19_Расчет_аналитики'!AA3489*IF('01_Вводные'!$B$239="Да",MeanMinAge18+'19_Расчет_аналитики'!AA3595*SUMIF(ThresholdAge18,"&lt;"&amp;'19_Расчет_аналитики'!AA3595,WeightedRevAge18)-SUMIF(ThresholdAge18,"&lt;"&amp;'19_Расчет_аналитики'!AA3595,WeightedMinAge18),MAX(CapacityAge18*'01_Вводные'!$B$218*'19_Расчет_аналитики'!AA3595,MeanMinAge18))),0)</f>
        <v/>
      </c>
      <c r="AB3517">
        <f>IF('01_Вводные'!$B$234="Да",IF(OR('19_Расчет_аналитики'!AB3489=0,18&lt;='01_Вводные'!$B$297),0,'19_Расчет_аналитики'!AB3489*IF('01_Вводные'!$B$239="Да",MeanMinAge18+'19_Расчет_аналитики'!AB3595*SUMIF(ThresholdAge18,"&lt;"&amp;'19_Расчет_аналитики'!AB3595,WeightedRevAge18)-SUMIF(ThresholdAge18,"&lt;"&amp;'19_Расчет_аналитики'!AB3595,WeightedMinAge18),MAX(CapacityAge18*'01_Вводные'!$B$218*'19_Расчет_аналитики'!AB3595,MeanMinAge18))),0)</f>
        <v/>
      </c>
      <c r="AC3517">
        <f>IF('01_Вводные'!$B$234="Да",IF(OR('19_Расчет_аналитики'!AC3489=0,18&lt;='01_Вводные'!$B$297),0,'19_Расчет_аналитики'!AC3489*IF('01_Вводные'!$B$239="Да",MeanMinAge18+'19_Расчет_аналитики'!AC3595*SUMIF(ThresholdAge18,"&lt;"&amp;'19_Расчет_аналитики'!AC3595,WeightedRevAge18)-SUMIF(ThresholdAge18,"&lt;"&amp;'19_Расчет_аналитики'!AC3595,WeightedMinAge18),MAX(CapacityAge18*'01_Вводные'!$B$218*'19_Расчет_аналитики'!AC3595,MeanMinAge18))),0)</f>
        <v/>
      </c>
      <c r="AD3517">
        <f>IF('01_Вводные'!$B$234="Да",IF(OR('19_Расчет_аналитики'!AD3489=0,18&lt;='01_Вводные'!$B$297),0,'19_Расчет_аналитики'!AD3489*IF('01_Вводные'!$B$239="Да",MeanMinAge18+'19_Расчет_аналитики'!AD3595*SUMIF(ThresholdAge18,"&lt;"&amp;'19_Расчет_аналитики'!AD3595,WeightedRevAge18)-SUMIF(ThresholdAge18,"&lt;"&amp;'19_Расчет_аналитики'!AD3595,WeightedMinAge18),MAX(CapacityAge18*'01_Вводные'!$B$218*'19_Расчет_аналитики'!AD3595,MeanMinAge18))),0)</f>
        <v/>
      </c>
      <c r="AE3517">
        <f>IF('01_Вводные'!$B$234="Да",IF(OR('19_Расчет_аналитики'!AE3489=0,18&lt;='01_Вводные'!$B$297),0,'19_Расчет_аналитики'!AE3489*IF('01_Вводные'!$B$239="Да",MeanMinAge18+'19_Расчет_аналитики'!AE3595*SUMIF(ThresholdAge18,"&lt;"&amp;'19_Расчет_аналитики'!AE3595,WeightedRevAge18)-SUMIF(ThresholdAge18,"&lt;"&amp;'19_Расчет_аналитики'!AE3595,WeightedMinAge18),MAX(CapacityAge18*'01_Вводные'!$B$218*'19_Расчет_аналитики'!AE3595,MeanMinAge18))),0)</f>
        <v/>
      </c>
      <c r="AF3517">
        <f>IF('01_Вводные'!$B$234="Да",IF(OR('19_Расчет_аналитики'!AF3489=0,18&lt;='01_Вводные'!$B$297),0,'19_Расчет_аналитики'!AF3489*IF('01_Вводные'!$B$239="Да",MeanMinAge18+'19_Расчет_аналитики'!AF3595*SUMIF(ThresholdAge18,"&lt;"&amp;'19_Расчет_аналитики'!AF3595,WeightedRevAge18)-SUMIF(ThresholdAge18,"&lt;"&amp;'19_Расчет_аналитики'!AF3595,WeightedMinAge18),MAX(CapacityAge18*'01_Вводные'!$B$218*'19_Расчет_аналитики'!AF3595,MeanMinAge18))),0)</f>
        <v/>
      </c>
      <c r="AG3517">
        <f>IF('01_Вводные'!$B$234="Да",IF(OR('19_Расчет_аналитики'!AG3489=0,18&lt;='01_Вводные'!$B$297),0,'19_Расчет_аналитики'!AG3489*IF('01_Вводные'!$B$239="Да",MeanMinAge18+'19_Расчет_аналитики'!AG3595*SUMIF(ThresholdAge18,"&lt;"&amp;'19_Расчет_аналитики'!AG3595,WeightedRevAge18)-SUMIF(ThresholdAge18,"&lt;"&amp;'19_Расчет_аналитики'!AG3595,WeightedMinAge18),MAX(CapacityAge18*'01_Вводные'!$B$218*'19_Расчет_аналитики'!AG3595,MeanMinAge18))),0)</f>
        <v/>
      </c>
      <c r="AH3517">
        <f>IF('01_Вводные'!$B$234="Да",IF(OR('19_Расчет_аналитики'!AH3489=0,18&lt;='01_Вводные'!$B$297),0,'19_Расчет_аналитики'!AH3489*IF('01_Вводные'!$B$239="Да",MeanMinAge18+'19_Расчет_аналитики'!AH3595*SUMIF(ThresholdAge18,"&lt;"&amp;'19_Расчет_аналитики'!AH3595,WeightedRevAge18)-SUMIF(ThresholdAge18,"&lt;"&amp;'19_Расчет_аналитики'!AH3595,WeightedMinAge18),MAX(CapacityAge18*'01_Вводные'!$B$218*'19_Расчет_аналитики'!AH3595,MeanMinAge18))),0)</f>
        <v/>
      </c>
      <c r="AI3517">
        <f>IF('01_Вводные'!$B$234="Да",IF(OR('19_Расчет_аналитики'!AI3489=0,18&lt;='01_Вводные'!$B$297),0,'19_Расчет_аналитики'!AI3489*IF('01_Вводные'!$B$239="Да",MeanMinAge18+'19_Расчет_аналитики'!AI3595*SUMIF(ThresholdAge18,"&lt;"&amp;'19_Расчет_аналитики'!AI3595,WeightedRevAge18)-SUMIF(ThresholdAge18,"&lt;"&amp;'19_Расчет_аналитики'!AI3595,WeightedMinAge18),MAX(CapacityAge18*'01_Вводные'!$B$218*'19_Расчет_аналитики'!AI3595,MeanMinAge18))),0)</f>
        <v/>
      </c>
      <c r="AJ3517">
        <f>IF('01_Вводные'!$B$234="Да",IF(OR('19_Расчет_аналитики'!AJ3489=0,18&lt;='01_Вводные'!$B$297),0,'19_Расчет_аналитики'!AJ3489*IF('01_Вводные'!$B$239="Да",MeanMinAge18+'19_Расчет_аналитики'!AJ3595*SUMIF(ThresholdAge18,"&lt;"&amp;'19_Расчет_аналитики'!AJ3595,WeightedRevAge18)-SUMIF(ThresholdAge18,"&lt;"&amp;'19_Расчет_аналитики'!AJ3595,WeightedMinAge18),MAX(CapacityAge18*'01_Вводные'!$B$218*'19_Расчет_аналитики'!AJ3595,MeanMinAge18))),0)</f>
        <v/>
      </c>
      <c r="AK3517">
        <f>IF('01_Вводные'!$B$234="Да",IF(OR('19_Расчет_аналитики'!AK3489=0,18&lt;='01_Вводные'!$B$297),0,'19_Расчет_аналитики'!AK3489*IF('01_Вводные'!$B$239="Да",MeanMinAge18+'19_Расчет_аналитики'!AK3595*SUMIF(ThresholdAge18,"&lt;"&amp;'19_Расчет_аналитики'!AK3595,WeightedRevAge18)-SUMIF(ThresholdAge18,"&lt;"&amp;'19_Расчет_аналитики'!AK3595,WeightedMinAge18),MAX(CapacityAge18*'01_Вводные'!$B$218*'19_Расчет_аналитики'!AK3595,MeanMinAge18))),0)</f>
        <v/>
      </c>
      <c r="AL3517">
        <f>IF('01_Вводные'!$B$234="Да",IF(OR('19_Расчет_аналитики'!AL3489=0,18&lt;='01_Вводные'!$B$297),0,'19_Расчет_аналитики'!AL3489*IF('01_Вводные'!$B$239="Да",MeanMinAge18+'19_Расчет_аналитики'!AL3595*SUMIF(ThresholdAge18,"&lt;"&amp;'19_Расчет_аналитики'!AL3595,WeightedRevAge18)-SUMIF(ThresholdAge18,"&lt;"&amp;'19_Расчет_аналитики'!AL3595,WeightedMinAge18),MAX(CapacityAge18*'01_Вводные'!$B$218*'19_Расчет_аналитики'!AL3595,MeanMinAge18))),0)</f>
        <v/>
      </c>
      <c r="AM3517">
        <f>IF('01_Вводные'!$B$234="Да",IF(OR('19_Расчет_аналитики'!AM3489=0,18&lt;='01_Вводные'!$B$297),0,'19_Расчет_аналитики'!AM3489*IF('01_Вводные'!$B$239="Да",MeanMinAge18+'19_Расчет_аналитики'!AM3595*SUMIF(ThresholdAge18,"&lt;"&amp;'19_Расчет_аналитики'!AM3595,WeightedRevAge18)-SUMIF(ThresholdAge18,"&lt;"&amp;'19_Расчет_аналитики'!AM3595,WeightedMinAge18),MAX(CapacityAge18*'01_Вводные'!$B$218*'19_Расчет_аналитики'!AM3595,MeanMinAge18))),0)</f>
        <v/>
      </c>
      <c r="AN3517">
        <f>IF('01_Вводные'!$B$234="Да",IF(OR('19_Расчет_аналитики'!AN3489=0,18&lt;='01_Вводные'!$B$297),0,'19_Расчет_аналитики'!AN3489*IF('01_Вводные'!$B$239="Да",MeanMinAge18+'19_Расчет_аналитики'!AN3595*SUMIF(ThresholdAge18,"&lt;"&amp;'19_Расчет_аналитики'!AN3595,WeightedRevAge18)-SUMIF(ThresholdAge18,"&lt;"&amp;'19_Расчет_аналитики'!AN3595,WeightedMinAge18),MAX(CapacityAge18*'01_Вводные'!$B$218*'19_Расчет_аналитики'!AN3595,MeanMinAge18))),0)</f>
        <v/>
      </c>
      <c r="AO3517">
        <f>IF('01_Вводные'!$B$234="Да",IF(OR('19_Расчет_аналитики'!AO3489=0,18&lt;='01_Вводные'!$B$297),0,'19_Расчет_аналитики'!AO3489*IF('01_Вводные'!$B$239="Да",MeanMinAge18+'19_Расчет_аналитики'!AO3595*SUMIF(ThresholdAge18,"&lt;"&amp;'19_Расчет_аналитики'!AO3595,WeightedRevAge18)-SUMIF(ThresholdAge18,"&lt;"&amp;'19_Расчет_аналитики'!AO3595,WeightedMinAge18),MAX(CapacityAge18*'01_Вводные'!$B$218*'19_Расчет_аналитики'!AO3595,MeanMinAge18))),0)</f>
        <v/>
      </c>
      <c r="AP3517">
        <f>IF('01_Вводные'!$B$234="Да",IF(OR('19_Расчет_аналитики'!AP3489=0,18&lt;='01_Вводные'!$B$297),0,'19_Расчет_аналитики'!AP3489*IF('01_Вводные'!$B$239="Да",MeanMinAge18+'19_Расчет_аналитики'!AP3595*SUMIF(ThresholdAge18,"&lt;"&amp;'19_Расчет_аналитики'!AP3595,WeightedRevAge18)-SUMIF(ThresholdAge18,"&lt;"&amp;'19_Расчет_аналитики'!AP3595,WeightedMinAge18),MAX(CapacityAge18*'01_Вводные'!$B$218*'19_Расчет_аналитики'!AP3595,MeanMinAge18))),0)</f>
        <v/>
      </c>
      <c r="AQ3517">
        <f>IF('01_Вводные'!$B$234="Да",IF(OR('19_Расчет_аналитики'!AQ3489=0,18&lt;='01_Вводные'!$B$297),0,'19_Расчет_аналитики'!AQ3489*IF('01_Вводные'!$B$239="Да",MeanMinAge18+'19_Расчет_аналитики'!AQ3595*SUMIF(ThresholdAge18,"&lt;"&amp;'19_Расчет_аналитики'!AQ3595,WeightedRevAge18)-SUMIF(ThresholdAge18,"&lt;"&amp;'19_Расчет_аналитики'!AQ3595,WeightedMinAge18),MAX(CapacityAge18*'01_Вводные'!$B$218*'19_Расчет_аналитики'!AQ3595,MeanMinAge18))),0)</f>
        <v/>
      </c>
      <c r="AR3517">
        <f>IF('01_Вводные'!$B$234="Да",IF(OR('19_Расчет_аналитики'!AR3489=0,18&lt;='01_Вводные'!$B$297),0,'19_Расчет_аналитики'!AR3489*IF('01_Вводные'!$B$239="Да",MeanMinAge18+'19_Расчет_аналитики'!AR3595*SUMIF(ThresholdAge18,"&lt;"&amp;'19_Расчет_аналитики'!AR3595,WeightedRevAge18)-SUMIF(ThresholdAge18,"&lt;"&amp;'19_Расчет_аналитики'!AR3595,WeightedMinAge18),MAX(CapacityAge18*'01_Вводные'!$B$218*'19_Расчет_аналитики'!AR3595,MeanMinAge18))),0)</f>
        <v/>
      </c>
      <c r="AS3517">
        <f>IF('01_Вводные'!$B$234="Да",IF(OR('19_Расчет_аналитики'!AS3489=0,18&lt;='01_Вводные'!$B$297),0,'19_Расчет_аналитики'!AS3489*IF('01_Вводные'!$B$239="Да",MeanMinAge18+'19_Расчет_аналитики'!AS3595*SUMIF(ThresholdAge18,"&lt;"&amp;'19_Расчет_аналитики'!AS3595,WeightedRevAge18)-SUMIF(ThresholdAge18,"&lt;"&amp;'19_Расчет_аналитики'!AS3595,WeightedMinAge18),MAX(CapacityAge18*'01_Вводные'!$B$218*'19_Расчет_аналитики'!AS3595,MeanMinAge18))),0)</f>
        <v/>
      </c>
      <c r="AT3517">
        <f>IF('01_Вводные'!$B$234="Да",IF(OR('19_Расчет_аналитики'!AT3489=0,18&lt;='01_Вводные'!$B$297),0,'19_Расчет_аналитики'!AT3489*IF('01_Вводные'!$B$239="Да",MeanMinAge18+'19_Расчет_аналитики'!AT3595*SUMIF(ThresholdAge18,"&lt;"&amp;'19_Расчет_аналитики'!AT3595,WeightedRevAge18)-SUMIF(ThresholdAge18,"&lt;"&amp;'19_Расчет_аналитики'!AT3595,WeightedMinAge18),MAX(CapacityAge18*'01_Вводные'!$B$218*'19_Расчет_аналитики'!AT3595,MeanMinAge18))),0)</f>
        <v/>
      </c>
      <c r="AU3517">
        <f>IF('01_Вводные'!$B$234="Да",IF(OR('19_Расчет_аналитики'!AU3489=0,18&lt;='01_Вводные'!$B$297),0,'19_Расчет_аналитики'!AU3489*IF('01_Вводные'!$B$239="Да",MeanMinAge18+'19_Расчет_аналитики'!AU3595*SUMIF(ThresholdAge18,"&lt;"&amp;'19_Расчет_аналитики'!AU3595,WeightedRevAge18)-SUMIF(ThresholdAge18,"&lt;"&amp;'19_Расчет_аналитики'!AU3595,WeightedMinAge18),MAX(CapacityAge18*'01_Вводные'!$B$218*'19_Расчет_аналитики'!AU3595,MeanMinAge18))),0)</f>
        <v/>
      </c>
      <c r="AV3517">
        <f>IF('01_Вводные'!$B$234="Да",IF(OR('19_Расчет_аналитики'!AV3489=0,18&lt;='01_Вводные'!$B$297),0,'19_Расчет_аналитики'!AV3489*IF('01_Вводные'!$B$239="Да",MeanMinAge18+'19_Расчет_аналитики'!AV3595*SUMIF(ThresholdAge18,"&lt;"&amp;'19_Расчет_аналитики'!AV3595,WeightedRevAge18)-SUMIF(ThresholdAge18,"&lt;"&amp;'19_Расчет_аналитики'!AV3595,WeightedMinAge18),MAX(CapacityAge18*'01_Вводные'!$B$218*'19_Расчет_аналитики'!AV3595,MeanMinAge18))),0)</f>
        <v/>
      </c>
      <c r="AW3517">
        <f>IF('01_Вводные'!$B$234="Да",IF(OR('19_Расчет_аналитики'!AW3489=0,18&lt;='01_Вводные'!$B$297),0,'19_Расчет_аналитики'!AW3489*IF('01_Вводные'!$B$239="Да",MeanMinAge18+'19_Расчет_аналитики'!AW3595*SUMIF(ThresholdAge18,"&lt;"&amp;'19_Расчет_аналитики'!AW3595,WeightedRevAge18)-SUMIF(ThresholdAge18,"&lt;"&amp;'19_Расчет_аналитики'!AW3595,WeightedMinAge18),MAX(CapacityAge18*'01_Вводные'!$B$218*'19_Расчет_аналитики'!AW3595,MeanMinAge18))),0)</f>
        <v/>
      </c>
      <c r="AX3517">
        <f>IF('01_Вводные'!$B$234="Да",IF(OR('19_Расчет_аналитики'!AX3489=0,18&lt;='01_Вводные'!$B$297),0,'19_Расчет_аналитики'!AX3489*IF('01_Вводные'!$B$239="Да",MeanMinAge18+'19_Расчет_аналитики'!AX3595*SUMIF(ThresholdAge18,"&lt;"&amp;'19_Расчет_аналитики'!AX3595,WeightedRevAge18)-SUMIF(ThresholdAge18,"&lt;"&amp;'19_Расчет_аналитики'!AX3595,WeightedMinAge18),MAX(CapacityAge18*'01_Вводные'!$B$218*'19_Расчет_аналитики'!AX3595,MeanMinAge18))),0)</f>
        <v/>
      </c>
      <c r="AY3517">
        <f>IF('01_Вводные'!$B$234="Да",IF(OR('19_Расчет_аналитики'!AY3489=0,18&lt;='01_Вводные'!$B$297),0,'19_Расчет_аналитики'!AY3489*IF('01_Вводные'!$B$239="Да",MeanMinAge18+'19_Расчет_аналитики'!AY3595*SUMIF(ThresholdAge18,"&lt;"&amp;'19_Расчет_аналитики'!AY3595,WeightedRevAge18)-SUMIF(ThresholdAge18,"&lt;"&amp;'19_Расчет_аналитики'!AY3595,WeightedMinAge18),MAX(CapacityAge18*'01_Вводные'!$B$218*'19_Расчет_аналитики'!AY3595,MeanMinAge18))),0)</f>
        <v/>
      </c>
      <c r="AZ3517">
        <f>IF('01_Вводные'!$B$234="Да",IF(OR('19_Расчет_аналитики'!AZ3489=0,18&lt;='01_Вводные'!$B$297),0,'19_Расчет_аналитики'!AZ3489*IF('01_Вводные'!$B$239="Да",MeanMinAge18+'19_Расчет_аналитики'!AZ3595*SUMIF(ThresholdAge18,"&lt;"&amp;'19_Расчет_аналитики'!AZ3595,WeightedRevAge18)-SUMIF(ThresholdAge18,"&lt;"&amp;'19_Расчет_аналитики'!AZ3595,WeightedMinAge18),MAX(CapacityAge18*'01_Вводные'!$B$218*'19_Расчет_аналитики'!AZ3595,MeanMinAge18))),0)</f>
        <v/>
      </c>
      <c r="BA3517">
        <f>IF('01_Вводные'!$B$234="Да",IF(OR('19_Расчет_аналитики'!BA3489=0,18&lt;='01_Вводные'!$B$297),0,'19_Расчет_аналитики'!BA3489*IF('01_Вводные'!$B$239="Да",MeanMinAge18+'19_Расчет_аналитики'!BA3595*SUMIF(ThresholdAge18,"&lt;"&amp;'19_Расчет_аналитики'!BA3595,WeightedRevAge18)-SUMIF(ThresholdAge18,"&lt;"&amp;'19_Расчет_аналитики'!BA3595,WeightedMinAge18),MAX(CapacityAge18*'01_Вводные'!$B$218*'19_Расчет_аналитики'!BA3595,MeanMinAge18))),0)</f>
        <v/>
      </c>
      <c r="BB3517">
        <f>IF('01_Вводные'!$B$234="Да",IF(OR('19_Расчет_аналитики'!BB3489=0,18&lt;='01_Вводные'!$B$297),0,'19_Расчет_аналитики'!BB3489*IF('01_Вводные'!$B$239="Да",MeanMinAge18+'19_Расчет_аналитики'!BB3595*SUMIF(ThresholdAge18,"&lt;"&amp;'19_Расчет_аналитики'!BB3595,WeightedRevAge18)-SUMIF(ThresholdAge18,"&lt;"&amp;'19_Расчет_аналитики'!BB3595,WeightedMinAge18),MAX(CapacityAge18*'01_Вводные'!$B$218*'19_Расчет_аналитики'!BB3595,MeanMinAge18))),0)</f>
        <v/>
      </c>
      <c r="BC3517">
        <f>IF('01_Вводные'!$B$234="Да",IF(OR('19_Расчет_аналитики'!BC3489=0,18&lt;='01_Вводные'!$B$297),0,'19_Расчет_аналитики'!BC3489*IF('01_Вводные'!$B$239="Да",MeanMinAge18+'19_Расчет_аналитики'!BC3595*SUMIF(ThresholdAge18,"&lt;"&amp;'19_Расчет_аналитики'!BC3595,WeightedRevAge18)-SUMIF(ThresholdAge18,"&lt;"&amp;'19_Расчет_аналитики'!BC3595,WeightedMinAge18),MAX(CapacityAge18*'01_Вводные'!$B$218*'19_Расчет_аналитики'!BC3595,MeanMinAge18))),0)</f>
        <v/>
      </c>
      <c r="BD3517">
        <f>IF('01_Вводные'!$B$234="Да",IF(OR('19_Расчет_аналитики'!BD3489=0,18&lt;='01_Вводные'!$B$297),0,'19_Расчет_аналитики'!BD3489*IF('01_Вводные'!$B$239="Да",MeanMinAge18+'19_Расчет_аналитики'!BD3595*SUMIF(ThresholdAge18,"&lt;"&amp;'19_Расчет_аналитики'!BD3595,WeightedRevAge18)-SUMIF(ThresholdAge18,"&lt;"&amp;'19_Расчет_аналитики'!BD3595,WeightedMinAge18),MAX(CapacityAge18*'01_Вводные'!$B$218*'19_Расчет_аналитики'!BD3595,MeanMinAge18))),0)</f>
        <v/>
      </c>
      <c r="BE3517">
        <f>IF('01_Вводные'!$B$234="Да",IF(OR('19_Расчет_аналитики'!BE3489=0,18&lt;='01_Вводные'!$B$297),0,'19_Расчет_аналитики'!BE3489*IF('01_Вводные'!$B$239="Да",MeanMinAge18+'19_Расчет_аналитики'!BE3595*SUMIF(ThresholdAge18,"&lt;"&amp;'19_Расчет_аналитики'!BE3595,WeightedRevAge18)-SUMIF(ThresholdAge18,"&lt;"&amp;'19_Расчет_аналитики'!BE3595,WeightedMinAge18),MAX(CapacityAge18*'01_Вводные'!$B$218*'19_Расчет_аналитики'!BE3595,MeanMinAge18))),0)</f>
        <v/>
      </c>
      <c r="BF3517">
        <f>IF('01_Вводные'!$B$234="Да",IF(OR('19_Расчет_аналитики'!BF3489=0,18&lt;='01_Вводные'!$B$297),0,'19_Расчет_аналитики'!BF3489*IF('01_Вводные'!$B$239="Да",MeanMinAge18+'19_Расчет_аналитики'!BF3595*SUMIF(ThresholdAge18,"&lt;"&amp;'19_Расчет_аналитики'!BF3595,WeightedRevAge18)-SUMIF(ThresholdAge18,"&lt;"&amp;'19_Расчет_аналитики'!BF3595,WeightedMinAge18),MAX(CapacityAge18*'01_Вводные'!$B$218*'19_Расчет_аналитики'!BF3595,MeanMinAge18))),0)</f>
        <v/>
      </c>
      <c r="BG3517">
        <f>IF('01_Вводные'!$B$234="Да",IF(OR('19_Расчет_аналитики'!BG3489=0,18&lt;='01_Вводные'!$B$297),0,'19_Расчет_аналитики'!BG3489*IF('01_Вводные'!$B$239="Да",MeanMinAge18+'19_Расчет_аналитики'!BG3595*SUMIF(ThresholdAge18,"&lt;"&amp;'19_Расчет_аналитики'!BG3595,WeightedRevAge18)-SUMIF(ThresholdAge18,"&lt;"&amp;'19_Расчет_аналитики'!BG3595,WeightedMinAge18),MAX(CapacityAge18*'01_Вводные'!$B$218*'19_Расчет_аналитики'!BG3595,MeanMinAge18))),0)</f>
        <v/>
      </c>
      <c r="BH3517">
        <f>IF('01_Вводные'!$B$234="Да",IF(OR('19_Расчет_аналитики'!BH3489=0,18&lt;='01_Вводные'!$B$297),0,'19_Расчет_аналитики'!BH3489*IF('01_Вводные'!$B$239="Да",MeanMinAge18+'19_Расчет_аналитики'!BH3595*SUMIF(ThresholdAge18,"&lt;"&amp;'19_Расчет_аналитики'!BH3595,WeightedRevAge18)-SUMIF(ThresholdAge18,"&lt;"&amp;'19_Расчет_аналитики'!BH3595,WeightedMinAge18),MAX(CapacityAge18*'01_Вводные'!$B$218*'19_Расчет_аналитики'!BH3595,MeanMinAge18))),0)</f>
        <v/>
      </c>
      <c r="BI3517">
        <f>IF('01_Вводные'!$B$234="Да",IF(OR('19_Расчет_аналитики'!BI3489=0,18&lt;='01_Вводные'!$B$297),0,'19_Расчет_аналитики'!BI3489*IF('01_Вводные'!$B$239="Да",MeanMinAge18+'19_Расчет_аналитики'!BI3595*SUMIF(ThresholdAge18,"&lt;"&amp;'19_Расчет_аналитики'!BI3595,WeightedRevAge18)-SUMIF(ThresholdAge18,"&lt;"&amp;'19_Расчет_аналитики'!BI3595,WeightedMinAge18),MAX(CapacityAge18*'01_Вводные'!$B$218*'19_Расчет_аналитики'!BI3595,MeanMinAge18))),0)</f>
        <v/>
      </c>
      <c r="BJ3517">
        <f>IF('01_Вводные'!$B$234="Да",IF(OR('19_Расчет_аналитики'!BJ3489=0,18&lt;='01_Вводные'!$B$297),0,'19_Расчет_аналитики'!BJ3489*IF('01_Вводные'!$B$239="Да",MeanMinAge18+'19_Расчет_аналитики'!BJ3595*SUMIF(ThresholdAge18,"&lt;"&amp;'19_Расчет_аналитики'!BJ3595,WeightedRevAge18)-SUMIF(ThresholdAge18,"&lt;"&amp;'19_Расчет_аналитики'!BJ3595,WeightedMinAge18),MAX(CapacityAge18*'01_Вводные'!$B$218*'19_Расчет_аналитики'!BJ3595,MeanMinAge18))),0)</f>
        <v/>
      </c>
      <c r="BK3517">
        <f>IF('01_Вводные'!$B$234="Да",IF(OR('19_Расчет_аналитики'!BK3489=0,18&lt;='01_Вводные'!$B$297),0,'19_Расчет_аналитики'!BK3489*IF('01_Вводные'!$B$239="Да",MeanMinAge18+'19_Расчет_аналитики'!BK3595*SUMIF(ThresholdAge18,"&lt;"&amp;'19_Расчет_аналитики'!BK3595,WeightedRevAge18)-SUMIF(ThresholdAge18,"&lt;"&amp;'19_Расчет_аналитики'!BK3595,WeightedMinAge18),MAX(CapacityAge18*'01_Вводные'!$B$218*'19_Расчет_аналитики'!BK3595,MeanMinAge18))),0)</f>
        <v/>
      </c>
      <c r="BL3517">
        <f>IF('01_Вводные'!$B$234="Да",IF(OR('19_Расчет_аналитики'!BL3489=0,18&lt;='01_Вводные'!$B$297),0,'19_Расчет_аналитики'!BL3489*IF('01_Вводные'!$B$239="Да",MeanMinAge18+'19_Расчет_аналитики'!BL3595*SUMIF(ThresholdAge18,"&lt;"&amp;'19_Расчет_аналитики'!BL3595,WeightedRevAge18)-SUMIF(ThresholdAge18,"&lt;"&amp;'19_Расчет_аналитики'!BL3595,WeightedMinAge18),MAX(CapacityAge18*'01_Вводные'!$B$218*'19_Расчет_аналитики'!BL3595,MeanMinAge18))),0)</f>
        <v/>
      </c>
      <c r="BM3517">
        <f>IF('01_Вводные'!$B$234="Да",IF(OR('19_Расчет_аналитики'!BM3489=0,18&lt;='01_Вводные'!$B$297),0,'19_Расчет_аналитики'!BM3489*IF('01_Вводные'!$B$239="Да",MeanMinAge18+'19_Расчет_аналитики'!BM3595*SUMIF(ThresholdAge18,"&lt;"&amp;'19_Расчет_аналитики'!BM3595,WeightedRevAge18)-SUMIF(ThresholdAge18,"&lt;"&amp;'19_Расчет_аналитики'!BM3595,WeightedMinAge18),MAX(CapacityAge18*'01_Вводные'!$B$218*'19_Расчет_аналитики'!BM3595,MeanMinAge18))),0)</f>
        <v/>
      </c>
      <c r="BN3517">
        <f>IF('01_Вводные'!$B$234="Да",IF(OR('19_Расчет_аналитики'!BN3489=0,18&lt;='01_Вводные'!$B$297),0,'19_Расчет_аналитики'!BN3489*IF('01_Вводные'!$B$239="Да",MeanMinAge18+'19_Расчет_аналитики'!BN3595*SUMIF(ThresholdAge18,"&lt;"&amp;'19_Расчет_аналитики'!BN3595,WeightedRevAge18)-SUMIF(ThresholdAge18,"&lt;"&amp;'19_Расчет_аналитики'!BN3595,WeightedMinAge18),MAX(CapacityAge18*'01_Вводные'!$B$218*'19_Расчет_аналитики'!BN3595,MeanMinAge18))),0)</f>
        <v/>
      </c>
      <c r="BO3517">
        <f>IF('01_Вводные'!$B$234="Да",IF(OR('19_Расчет_аналитики'!BO3489=0,18&lt;='01_Вводные'!$B$297),0,'19_Расчет_аналитики'!BO3489*IF('01_Вводные'!$B$239="Да",MeanMinAge18+'19_Расчет_аналитики'!BO3595*SUMIF(ThresholdAge18,"&lt;"&amp;'19_Расчет_аналитики'!BO3595,WeightedRevAge18)-SUMIF(ThresholdAge18,"&lt;"&amp;'19_Расчет_аналитики'!BO3595,WeightedMinAge18),MAX(CapacityAge18*'01_Вводные'!$B$218*'19_Расчет_аналитики'!BO3595,MeanMinAge18))),0)</f>
        <v/>
      </c>
    </row>
    <row r="3518">
      <c r="B3518">
        <f>IF('01_Вводные'!$B$234="Да",IF(OR('06_Сеть_и_дети'!B99=0,19&lt;='01_Вводные'!$B$297),0,'06_Сеть_и_дети'!B99*IF('01_Вводные'!$B$239="Да",MeanMinAge19+'19_Расчет_аналитики'!B3595*SUMIF(ThresholdAge19,"&lt;"&amp;'19_Расчет_аналитики'!B3595,WeightedRevAge19)-SUMIF(ThresholdAge19,"&lt;"&amp;'19_Расчет_аналитики'!B3595,WeightedMinAge19),MAX(CapacityAge19*'01_Вводные'!$B$218*'19_Расчет_аналитики'!B3595,MeanMinAge19))),0)</f>
        <v/>
      </c>
      <c r="C3518">
        <f>IF('01_Вводные'!$B$234="Да",IF(OR('06_Сеть_и_дети'!C99=0,19&lt;='01_Вводные'!$B$297),0,'06_Сеть_и_дети'!C99*IF('01_Вводные'!$B$239="Да",MeanMinAge19+'19_Расчет_аналитики'!C3595*SUMIF(ThresholdAge19,"&lt;"&amp;'19_Расчет_аналитики'!C3595,WeightedRevAge19)-SUMIF(ThresholdAge19,"&lt;"&amp;'19_Расчет_аналитики'!C3595,WeightedMinAge19),MAX(CapacityAge19*'01_Вводные'!$B$218*'19_Расчет_аналитики'!C3595,MeanMinAge19))),0)</f>
        <v/>
      </c>
      <c r="D3518">
        <f>IF('01_Вводные'!$B$234="Да",IF(OR('06_Сеть_и_дети'!D99=0,19&lt;='01_Вводные'!$B$297),0,'06_Сеть_и_дети'!D99*IF('01_Вводные'!$B$239="Да",MeanMinAge19+'19_Расчет_аналитики'!D3595*SUMIF(ThresholdAge19,"&lt;"&amp;'19_Расчет_аналитики'!D3595,WeightedRevAge19)-SUMIF(ThresholdAge19,"&lt;"&amp;'19_Расчет_аналитики'!D3595,WeightedMinAge19),MAX(CapacityAge19*'01_Вводные'!$B$218*'19_Расчет_аналитики'!D3595,MeanMinAge19))),0)</f>
        <v/>
      </c>
      <c r="E3518">
        <f>IF('01_Вводные'!$B$234="Да",IF(OR('06_Сеть_и_дети'!E99=0,19&lt;='01_Вводные'!$B$297),0,'06_Сеть_и_дети'!E99*IF('01_Вводные'!$B$239="Да",MeanMinAge19+'19_Расчет_аналитики'!E3595*SUMIF(ThresholdAge19,"&lt;"&amp;'19_Расчет_аналитики'!E3595,WeightedRevAge19)-SUMIF(ThresholdAge19,"&lt;"&amp;'19_Расчет_аналитики'!E3595,WeightedMinAge19),MAX(CapacityAge19*'01_Вводные'!$B$218*'19_Расчет_аналитики'!E3595,MeanMinAge19))),0)</f>
        <v/>
      </c>
      <c r="F3518">
        <f>IF('01_Вводные'!$B$234="Да",IF(OR('06_Сеть_и_дети'!F99=0,19&lt;='01_Вводные'!$B$297),0,'06_Сеть_и_дети'!F99*IF('01_Вводные'!$B$239="Да",MeanMinAge19+'19_Расчет_аналитики'!F3595*SUMIF(ThresholdAge19,"&lt;"&amp;'19_Расчет_аналитики'!F3595,WeightedRevAge19)-SUMIF(ThresholdAge19,"&lt;"&amp;'19_Расчет_аналитики'!F3595,WeightedMinAge19),MAX(CapacityAge19*'01_Вводные'!$B$218*'19_Расчет_аналитики'!F3595,MeanMinAge19))),0)</f>
        <v/>
      </c>
      <c r="G3518">
        <f>IF('01_Вводные'!$B$234="Да",IF(OR('06_Сеть_и_дети'!G99=0,19&lt;='01_Вводные'!$B$297),0,'06_Сеть_и_дети'!G99*IF('01_Вводные'!$B$239="Да",MeanMinAge19+'19_Расчет_аналитики'!G3595*SUMIF(ThresholdAge19,"&lt;"&amp;'19_Расчет_аналитики'!G3595,WeightedRevAge19)-SUMIF(ThresholdAge19,"&lt;"&amp;'19_Расчет_аналитики'!G3595,WeightedMinAge19),MAX(CapacityAge19*'01_Вводные'!$B$218*'19_Расчет_аналитики'!G3595,MeanMinAge19))),0)</f>
        <v/>
      </c>
      <c r="H3518">
        <f>IF('01_Вводные'!$B$234="Да",IF(OR('06_Сеть_и_дети'!H99=0,19&lt;='01_Вводные'!$B$297),0,'06_Сеть_и_дети'!H99*IF('01_Вводные'!$B$239="Да",MeanMinAge19+'19_Расчет_аналитики'!H3595*SUMIF(ThresholdAge19,"&lt;"&amp;'19_Расчет_аналитики'!H3595,WeightedRevAge19)-SUMIF(ThresholdAge19,"&lt;"&amp;'19_Расчет_аналитики'!H3595,WeightedMinAge19),MAX(CapacityAge19*'01_Вводные'!$B$218*'19_Расчет_аналитики'!H3595,MeanMinAge19))),0)</f>
        <v/>
      </c>
      <c r="I3518">
        <f>IF('01_Вводные'!$B$234="Да",IF(OR('06_Сеть_и_дети'!I99=0,19&lt;='01_Вводные'!$B$297),0,'06_Сеть_и_дети'!I99*IF('01_Вводные'!$B$239="Да",MeanMinAge19+'19_Расчет_аналитики'!I3595*SUMIF(ThresholdAge19,"&lt;"&amp;'19_Расчет_аналитики'!I3595,WeightedRevAge19)-SUMIF(ThresholdAge19,"&lt;"&amp;'19_Расчет_аналитики'!I3595,WeightedMinAge19),MAX(CapacityAge19*'01_Вводные'!$B$218*'19_Расчет_аналитики'!I3595,MeanMinAge19))),0)</f>
        <v/>
      </c>
      <c r="J3518">
        <f>IF('01_Вводные'!$B$234="Да",IF(OR('06_Сеть_и_дети'!J99=0,19&lt;='01_Вводные'!$B$297),0,'06_Сеть_и_дети'!J99*IF('01_Вводные'!$B$239="Да",MeanMinAge19+'19_Расчет_аналитики'!J3595*SUMIF(ThresholdAge19,"&lt;"&amp;'19_Расчет_аналитики'!J3595,WeightedRevAge19)-SUMIF(ThresholdAge19,"&lt;"&amp;'19_Расчет_аналитики'!J3595,WeightedMinAge19),MAX(CapacityAge19*'01_Вводные'!$B$218*'19_Расчет_аналитики'!J3595,MeanMinAge19))),0)</f>
        <v/>
      </c>
      <c r="K3518">
        <f>IF('01_Вводные'!$B$234="Да",IF(OR('06_Сеть_и_дети'!K99=0,19&lt;='01_Вводные'!$B$297),0,'06_Сеть_и_дети'!K99*IF('01_Вводные'!$B$239="Да",MeanMinAge19+'19_Расчет_аналитики'!K3595*SUMIF(ThresholdAge19,"&lt;"&amp;'19_Расчет_аналитики'!K3595,WeightedRevAge19)-SUMIF(ThresholdAge19,"&lt;"&amp;'19_Расчет_аналитики'!K3595,WeightedMinAge19),MAX(CapacityAge19*'01_Вводные'!$B$218*'19_Расчет_аналитики'!K3595,MeanMinAge19))),0)</f>
        <v/>
      </c>
      <c r="L3518">
        <f>IF('01_Вводные'!$B$234="Да",IF(OR('06_Сеть_и_дети'!L99=0,19&lt;='01_Вводные'!$B$297),0,'06_Сеть_и_дети'!L99*IF('01_Вводные'!$B$239="Да",MeanMinAge19+'19_Расчет_аналитики'!L3595*SUMIF(ThresholdAge19,"&lt;"&amp;'19_Расчет_аналитики'!L3595,WeightedRevAge19)-SUMIF(ThresholdAge19,"&lt;"&amp;'19_Расчет_аналитики'!L3595,WeightedMinAge19),MAX(CapacityAge19*'01_Вводные'!$B$218*'19_Расчет_аналитики'!L3595,MeanMinAge19))),0)</f>
        <v/>
      </c>
      <c r="M3518">
        <f>IF('01_Вводные'!$B$234="Да",IF(OR('06_Сеть_и_дети'!M99=0,19&lt;='01_Вводные'!$B$297),0,'06_Сеть_и_дети'!M99*IF('01_Вводные'!$B$239="Да",MeanMinAge19+'19_Расчет_аналитики'!M3595*SUMIF(ThresholdAge19,"&lt;"&amp;'19_Расчет_аналитики'!M3595,WeightedRevAge19)-SUMIF(ThresholdAge19,"&lt;"&amp;'19_Расчет_аналитики'!M3595,WeightedMinAge19),MAX(CapacityAge19*'01_Вводные'!$B$218*'19_Расчет_аналитики'!M3595,MeanMinAge19))),0)</f>
        <v/>
      </c>
      <c r="N3518">
        <f>IF('01_Вводные'!$B$234="Да",IF(OR('06_Сеть_и_дети'!N99=0,19&lt;='01_Вводные'!$B$297),0,'06_Сеть_и_дети'!N99*IF('01_Вводные'!$B$239="Да",MeanMinAge19+'19_Расчет_аналитики'!N3595*SUMIF(ThresholdAge19,"&lt;"&amp;'19_Расчет_аналитики'!N3595,WeightedRevAge19)-SUMIF(ThresholdAge19,"&lt;"&amp;'19_Расчет_аналитики'!N3595,WeightedMinAge19),MAX(CapacityAge19*'01_Вводные'!$B$218*'19_Расчет_аналитики'!N3595,MeanMinAge19))),0)</f>
        <v/>
      </c>
      <c r="O3518">
        <f>IF('01_Вводные'!$B$234="Да",IF(OR('06_Сеть_и_дети'!O99=0,19&lt;='01_Вводные'!$B$297),0,'06_Сеть_и_дети'!O99*IF('01_Вводные'!$B$239="Да",MeanMinAge19+'19_Расчет_аналитики'!O3595*SUMIF(ThresholdAge19,"&lt;"&amp;'19_Расчет_аналитики'!O3595,WeightedRevAge19)-SUMIF(ThresholdAge19,"&lt;"&amp;'19_Расчет_аналитики'!O3595,WeightedMinAge19),MAX(CapacityAge19*'01_Вводные'!$B$218*'19_Расчет_аналитики'!O3595,MeanMinAge19))),0)</f>
        <v/>
      </c>
      <c r="P3518">
        <f>IF('01_Вводные'!$B$234="Да",IF(OR('06_Сеть_и_дети'!P99=0,19&lt;='01_Вводные'!$B$297),0,'06_Сеть_и_дети'!P99*IF('01_Вводные'!$B$239="Да",MeanMinAge19+'19_Расчет_аналитики'!P3595*SUMIF(ThresholdAge19,"&lt;"&amp;'19_Расчет_аналитики'!P3595,WeightedRevAge19)-SUMIF(ThresholdAge19,"&lt;"&amp;'19_Расчет_аналитики'!P3595,WeightedMinAge19),MAX(CapacityAge19*'01_Вводные'!$B$218*'19_Расчет_аналитики'!P3595,MeanMinAge19))),0)</f>
        <v/>
      </c>
      <c r="Q3518">
        <f>IF('01_Вводные'!$B$234="Да",IF(OR('06_Сеть_и_дети'!Q99=0,19&lt;='01_Вводные'!$B$297),0,'06_Сеть_и_дети'!Q99*IF('01_Вводные'!$B$239="Да",MeanMinAge19+'19_Расчет_аналитики'!Q3595*SUMIF(ThresholdAge19,"&lt;"&amp;'19_Расчет_аналитики'!Q3595,WeightedRevAge19)-SUMIF(ThresholdAge19,"&lt;"&amp;'19_Расчет_аналитики'!Q3595,WeightedMinAge19),MAX(CapacityAge19*'01_Вводные'!$B$218*'19_Расчет_аналитики'!Q3595,MeanMinAge19))),0)</f>
        <v/>
      </c>
      <c r="R3518">
        <f>IF('01_Вводные'!$B$234="Да",IF(OR('06_Сеть_и_дети'!R99=0,19&lt;='01_Вводные'!$B$297),0,'06_Сеть_и_дети'!R99*IF('01_Вводные'!$B$239="Да",MeanMinAge19+'19_Расчет_аналитики'!R3595*SUMIF(ThresholdAge19,"&lt;"&amp;'19_Расчет_аналитики'!R3595,WeightedRevAge19)-SUMIF(ThresholdAge19,"&lt;"&amp;'19_Расчет_аналитики'!R3595,WeightedMinAge19),MAX(CapacityAge19*'01_Вводные'!$B$218*'19_Расчет_аналитики'!R3595,MeanMinAge19))),0)</f>
        <v/>
      </c>
      <c r="S3518">
        <f>IF('01_Вводные'!$B$234="Да",IF(OR('06_Сеть_и_дети'!S99=0,19&lt;='01_Вводные'!$B$297),0,'06_Сеть_и_дети'!S99*IF('01_Вводные'!$B$239="Да",MeanMinAge19+'19_Расчет_аналитики'!S3595*SUMIF(ThresholdAge19,"&lt;"&amp;'19_Расчет_аналитики'!S3595,WeightedRevAge19)-SUMIF(ThresholdAge19,"&lt;"&amp;'19_Расчет_аналитики'!S3595,WeightedMinAge19),MAX(CapacityAge19*'01_Вводные'!$B$218*'19_Расчет_аналитики'!S3595,MeanMinAge19))),0)</f>
        <v/>
      </c>
      <c r="T3518">
        <f>IF('01_Вводные'!$B$234="Да",IF(OR('19_Расчет_аналитики'!T3490=0,19&lt;='01_Вводные'!$B$297),0,'19_Расчет_аналитики'!T3490*IF('01_Вводные'!$B$239="Да",MeanMinAge19+'19_Расчет_аналитики'!T3595*SUMIF(ThresholdAge19,"&lt;"&amp;'19_Расчет_аналитики'!T3595,WeightedRevAge19)-SUMIF(ThresholdAge19,"&lt;"&amp;'19_Расчет_аналитики'!T3595,WeightedMinAge19),MAX(CapacityAge19*'01_Вводные'!$B$218*'19_Расчет_аналитики'!T3595,MeanMinAge19))),0)</f>
        <v/>
      </c>
      <c r="U3518">
        <f>IF('01_Вводные'!$B$234="Да",IF(OR('19_Расчет_аналитики'!U3490=0,19&lt;='01_Вводные'!$B$297),0,'19_Расчет_аналитики'!U3490*IF('01_Вводные'!$B$239="Да",MeanMinAge19+'19_Расчет_аналитики'!U3595*SUMIF(ThresholdAge19,"&lt;"&amp;'19_Расчет_аналитики'!U3595,WeightedRevAge19)-SUMIF(ThresholdAge19,"&lt;"&amp;'19_Расчет_аналитики'!U3595,WeightedMinAge19),MAX(CapacityAge19*'01_Вводные'!$B$218*'19_Расчет_аналитики'!U3595,MeanMinAge19))),0)</f>
        <v/>
      </c>
      <c r="V3518">
        <f>IF('01_Вводные'!$B$234="Да",IF(OR('19_Расчет_аналитики'!V3490=0,19&lt;='01_Вводные'!$B$297),0,'19_Расчет_аналитики'!V3490*IF('01_Вводные'!$B$239="Да",MeanMinAge19+'19_Расчет_аналитики'!V3595*SUMIF(ThresholdAge19,"&lt;"&amp;'19_Расчет_аналитики'!V3595,WeightedRevAge19)-SUMIF(ThresholdAge19,"&lt;"&amp;'19_Расчет_аналитики'!V3595,WeightedMinAge19),MAX(CapacityAge19*'01_Вводные'!$B$218*'19_Расчет_аналитики'!V3595,MeanMinAge19))),0)</f>
        <v/>
      </c>
      <c r="W3518">
        <f>IF('01_Вводные'!$B$234="Да",IF(OR('19_Расчет_аналитики'!W3490=0,19&lt;='01_Вводные'!$B$297),0,'19_Расчет_аналитики'!W3490*IF('01_Вводные'!$B$239="Да",MeanMinAge19+'19_Расчет_аналитики'!W3595*SUMIF(ThresholdAge19,"&lt;"&amp;'19_Расчет_аналитики'!W3595,WeightedRevAge19)-SUMIF(ThresholdAge19,"&lt;"&amp;'19_Расчет_аналитики'!W3595,WeightedMinAge19),MAX(CapacityAge19*'01_Вводные'!$B$218*'19_Расчет_аналитики'!W3595,MeanMinAge19))),0)</f>
        <v/>
      </c>
      <c r="X3518">
        <f>IF('01_Вводные'!$B$234="Да",IF(OR('19_Расчет_аналитики'!X3490=0,19&lt;='01_Вводные'!$B$297),0,'19_Расчет_аналитики'!X3490*IF('01_Вводные'!$B$239="Да",MeanMinAge19+'19_Расчет_аналитики'!X3595*SUMIF(ThresholdAge19,"&lt;"&amp;'19_Расчет_аналитики'!X3595,WeightedRevAge19)-SUMIF(ThresholdAge19,"&lt;"&amp;'19_Расчет_аналитики'!X3595,WeightedMinAge19),MAX(CapacityAge19*'01_Вводные'!$B$218*'19_Расчет_аналитики'!X3595,MeanMinAge19))),0)</f>
        <v/>
      </c>
      <c r="Y3518">
        <f>IF('01_Вводные'!$B$234="Да",IF(OR('19_Расчет_аналитики'!Y3490=0,19&lt;='01_Вводные'!$B$297),0,'19_Расчет_аналитики'!Y3490*IF('01_Вводные'!$B$239="Да",MeanMinAge19+'19_Расчет_аналитики'!Y3595*SUMIF(ThresholdAge19,"&lt;"&amp;'19_Расчет_аналитики'!Y3595,WeightedRevAge19)-SUMIF(ThresholdAge19,"&lt;"&amp;'19_Расчет_аналитики'!Y3595,WeightedMinAge19),MAX(CapacityAge19*'01_Вводные'!$B$218*'19_Расчет_аналитики'!Y3595,MeanMinAge19))),0)</f>
        <v/>
      </c>
      <c r="Z3518">
        <f>IF('01_Вводные'!$B$234="Да",IF(OR('19_Расчет_аналитики'!Z3490=0,19&lt;='01_Вводные'!$B$297),0,'19_Расчет_аналитики'!Z3490*IF('01_Вводные'!$B$239="Да",MeanMinAge19+'19_Расчет_аналитики'!Z3595*SUMIF(ThresholdAge19,"&lt;"&amp;'19_Расчет_аналитики'!Z3595,WeightedRevAge19)-SUMIF(ThresholdAge19,"&lt;"&amp;'19_Расчет_аналитики'!Z3595,WeightedMinAge19),MAX(CapacityAge19*'01_Вводные'!$B$218*'19_Расчет_аналитики'!Z3595,MeanMinAge19))),0)</f>
        <v/>
      </c>
      <c r="AA3518">
        <f>IF('01_Вводные'!$B$234="Да",IF(OR('19_Расчет_аналитики'!AA3490=0,19&lt;='01_Вводные'!$B$297),0,'19_Расчет_аналитики'!AA3490*IF('01_Вводные'!$B$239="Да",MeanMinAge19+'19_Расчет_аналитики'!AA3595*SUMIF(ThresholdAge19,"&lt;"&amp;'19_Расчет_аналитики'!AA3595,WeightedRevAge19)-SUMIF(ThresholdAge19,"&lt;"&amp;'19_Расчет_аналитики'!AA3595,WeightedMinAge19),MAX(CapacityAge19*'01_Вводные'!$B$218*'19_Расчет_аналитики'!AA3595,MeanMinAge19))),0)</f>
        <v/>
      </c>
      <c r="AB3518">
        <f>IF('01_Вводные'!$B$234="Да",IF(OR('19_Расчет_аналитики'!AB3490=0,19&lt;='01_Вводные'!$B$297),0,'19_Расчет_аналитики'!AB3490*IF('01_Вводные'!$B$239="Да",MeanMinAge19+'19_Расчет_аналитики'!AB3595*SUMIF(ThresholdAge19,"&lt;"&amp;'19_Расчет_аналитики'!AB3595,WeightedRevAge19)-SUMIF(ThresholdAge19,"&lt;"&amp;'19_Расчет_аналитики'!AB3595,WeightedMinAge19),MAX(CapacityAge19*'01_Вводные'!$B$218*'19_Расчет_аналитики'!AB3595,MeanMinAge19))),0)</f>
        <v/>
      </c>
      <c r="AC3518">
        <f>IF('01_Вводные'!$B$234="Да",IF(OR('19_Расчет_аналитики'!AC3490=0,19&lt;='01_Вводные'!$B$297),0,'19_Расчет_аналитики'!AC3490*IF('01_Вводные'!$B$239="Да",MeanMinAge19+'19_Расчет_аналитики'!AC3595*SUMIF(ThresholdAge19,"&lt;"&amp;'19_Расчет_аналитики'!AC3595,WeightedRevAge19)-SUMIF(ThresholdAge19,"&lt;"&amp;'19_Расчет_аналитики'!AC3595,WeightedMinAge19),MAX(CapacityAge19*'01_Вводные'!$B$218*'19_Расчет_аналитики'!AC3595,MeanMinAge19))),0)</f>
        <v/>
      </c>
      <c r="AD3518">
        <f>IF('01_Вводные'!$B$234="Да",IF(OR('19_Расчет_аналитики'!AD3490=0,19&lt;='01_Вводные'!$B$297),0,'19_Расчет_аналитики'!AD3490*IF('01_Вводные'!$B$239="Да",MeanMinAge19+'19_Расчет_аналитики'!AD3595*SUMIF(ThresholdAge19,"&lt;"&amp;'19_Расчет_аналитики'!AD3595,WeightedRevAge19)-SUMIF(ThresholdAge19,"&lt;"&amp;'19_Расчет_аналитики'!AD3595,WeightedMinAge19),MAX(CapacityAge19*'01_Вводные'!$B$218*'19_Расчет_аналитики'!AD3595,MeanMinAge19))),0)</f>
        <v/>
      </c>
      <c r="AE3518">
        <f>IF('01_Вводные'!$B$234="Да",IF(OR('19_Расчет_аналитики'!AE3490=0,19&lt;='01_Вводные'!$B$297),0,'19_Расчет_аналитики'!AE3490*IF('01_Вводные'!$B$239="Да",MeanMinAge19+'19_Расчет_аналитики'!AE3595*SUMIF(ThresholdAge19,"&lt;"&amp;'19_Расчет_аналитики'!AE3595,WeightedRevAge19)-SUMIF(ThresholdAge19,"&lt;"&amp;'19_Расчет_аналитики'!AE3595,WeightedMinAge19),MAX(CapacityAge19*'01_Вводные'!$B$218*'19_Расчет_аналитики'!AE3595,MeanMinAge19))),0)</f>
        <v/>
      </c>
      <c r="AF3518">
        <f>IF('01_Вводные'!$B$234="Да",IF(OR('19_Расчет_аналитики'!AF3490=0,19&lt;='01_Вводные'!$B$297),0,'19_Расчет_аналитики'!AF3490*IF('01_Вводные'!$B$239="Да",MeanMinAge19+'19_Расчет_аналитики'!AF3595*SUMIF(ThresholdAge19,"&lt;"&amp;'19_Расчет_аналитики'!AF3595,WeightedRevAge19)-SUMIF(ThresholdAge19,"&lt;"&amp;'19_Расчет_аналитики'!AF3595,WeightedMinAge19),MAX(CapacityAge19*'01_Вводные'!$B$218*'19_Расчет_аналитики'!AF3595,MeanMinAge19))),0)</f>
        <v/>
      </c>
      <c r="AG3518">
        <f>IF('01_Вводные'!$B$234="Да",IF(OR('19_Расчет_аналитики'!AG3490=0,19&lt;='01_Вводные'!$B$297),0,'19_Расчет_аналитики'!AG3490*IF('01_Вводные'!$B$239="Да",MeanMinAge19+'19_Расчет_аналитики'!AG3595*SUMIF(ThresholdAge19,"&lt;"&amp;'19_Расчет_аналитики'!AG3595,WeightedRevAge19)-SUMIF(ThresholdAge19,"&lt;"&amp;'19_Расчет_аналитики'!AG3595,WeightedMinAge19),MAX(CapacityAge19*'01_Вводные'!$B$218*'19_Расчет_аналитики'!AG3595,MeanMinAge19))),0)</f>
        <v/>
      </c>
      <c r="AH3518">
        <f>IF('01_Вводные'!$B$234="Да",IF(OR('19_Расчет_аналитики'!AH3490=0,19&lt;='01_Вводные'!$B$297),0,'19_Расчет_аналитики'!AH3490*IF('01_Вводные'!$B$239="Да",MeanMinAge19+'19_Расчет_аналитики'!AH3595*SUMIF(ThresholdAge19,"&lt;"&amp;'19_Расчет_аналитики'!AH3595,WeightedRevAge19)-SUMIF(ThresholdAge19,"&lt;"&amp;'19_Расчет_аналитики'!AH3595,WeightedMinAge19),MAX(CapacityAge19*'01_Вводные'!$B$218*'19_Расчет_аналитики'!AH3595,MeanMinAge19))),0)</f>
        <v/>
      </c>
      <c r="AI3518">
        <f>IF('01_Вводные'!$B$234="Да",IF(OR('19_Расчет_аналитики'!AI3490=0,19&lt;='01_Вводные'!$B$297),0,'19_Расчет_аналитики'!AI3490*IF('01_Вводные'!$B$239="Да",MeanMinAge19+'19_Расчет_аналитики'!AI3595*SUMIF(ThresholdAge19,"&lt;"&amp;'19_Расчет_аналитики'!AI3595,WeightedRevAge19)-SUMIF(ThresholdAge19,"&lt;"&amp;'19_Расчет_аналитики'!AI3595,WeightedMinAge19),MAX(CapacityAge19*'01_Вводные'!$B$218*'19_Расчет_аналитики'!AI3595,MeanMinAge19))),0)</f>
        <v/>
      </c>
      <c r="AJ3518">
        <f>IF('01_Вводные'!$B$234="Да",IF(OR('19_Расчет_аналитики'!AJ3490=0,19&lt;='01_Вводные'!$B$297),0,'19_Расчет_аналитики'!AJ3490*IF('01_Вводные'!$B$239="Да",MeanMinAge19+'19_Расчет_аналитики'!AJ3595*SUMIF(ThresholdAge19,"&lt;"&amp;'19_Расчет_аналитики'!AJ3595,WeightedRevAge19)-SUMIF(ThresholdAge19,"&lt;"&amp;'19_Расчет_аналитики'!AJ3595,WeightedMinAge19),MAX(CapacityAge19*'01_Вводные'!$B$218*'19_Расчет_аналитики'!AJ3595,MeanMinAge19))),0)</f>
        <v/>
      </c>
      <c r="AK3518">
        <f>IF('01_Вводные'!$B$234="Да",IF(OR('19_Расчет_аналитики'!AK3490=0,19&lt;='01_Вводные'!$B$297),0,'19_Расчет_аналитики'!AK3490*IF('01_Вводные'!$B$239="Да",MeanMinAge19+'19_Расчет_аналитики'!AK3595*SUMIF(ThresholdAge19,"&lt;"&amp;'19_Расчет_аналитики'!AK3595,WeightedRevAge19)-SUMIF(ThresholdAge19,"&lt;"&amp;'19_Расчет_аналитики'!AK3595,WeightedMinAge19),MAX(CapacityAge19*'01_Вводные'!$B$218*'19_Расчет_аналитики'!AK3595,MeanMinAge19))),0)</f>
        <v/>
      </c>
      <c r="AL3518">
        <f>IF('01_Вводные'!$B$234="Да",IF(OR('19_Расчет_аналитики'!AL3490=0,19&lt;='01_Вводные'!$B$297),0,'19_Расчет_аналитики'!AL3490*IF('01_Вводные'!$B$239="Да",MeanMinAge19+'19_Расчет_аналитики'!AL3595*SUMIF(ThresholdAge19,"&lt;"&amp;'19_Расчет_аналитики'!AL3595,WeightedRevAge19)-SUMIF(ThresholdAge19,"&lt;"&amp;'19_Расчет_аналитики'!AL3595,WeightedMinAge19),MAX(CapacityAge19*'01_Вводные'!$B$218*'19_Расчет_аналитики'!AL3595,MeanMinAge19))),0)</f>
        <v/>
      </c>
      <c r="AM3518">
        <f>IF('01_Вводные'!$B$234="Да",IF(OR('19_Расчет_аналитики'!AM3490=0,19&lt;='01_Вводные'!$B$297),0,'19_Расчет_аналитики'!AM3490*IF('01_Вводные'!$B$239="Да",MeanMinAge19+'19_Расчет_аналитики'!AM3595*SUMIF(ThresholdAge19,"&lt;"&amp;'19_Расчет_аналитики'!AM3595,WeightedRevAge19)-SUMIF(ThresholdAge19,"&lt;"&amp;'19_Расчет_аналитики'!AM3595,WeightedMinAge19),MAX(CapacityAge19*'01_Вводные'!$B$218*'19_Расчет_аналитики'!AM3595,MeanMinAge19))),0)</f>
        <v/>
      </c>
      <c r="AN3518">
        <f>IF('01_Вводные'!$B$234="Да",IF(OR('19_Расчет_аналитики'!AN3490=0,19&lt;='01_Вводные'!$B$297),0,'19_Расчет_аналитики'!AN3490*IF('01_Вводные'!$B$239="Да",MeanMinAge19+'19_Расчет_аналитики'!AN3595*SUMIF(ThresholdAge19,"&lt;"&amp;'19_Расчет_аналитики'!AN3595,WeightedRevAge19)-SUMIF(ThresholdAge19,"&lt;"&amp;'19_Расчет_аналитики'!AN3595,WeightedMinAge19),MAX(CapacityAge19*'01_Вводные'!$B$218*'19_Расчет_аналитики'!AN3595,MeanMinAge19))),0)</f>
        <v/>
      </c>
      <c r="AO3518">
        <f>IF('01_Вводные'!$B$234="Да",IF(OR('19_Расчет_аналитики'!AO3490=0,19&lt;='01_Вводные'!$B$297),0,'19_Расчет_аналитики'!AO3490*IF('01_Вводные'!$B$239="Да",MeanMinAge19+'19_Расчет_аналитики'!AO3595*SUMIF(ThresholdAge19,"&lt;"&amp;'19_Расчет_аналитики'!AO3595,WeightedRevAge19)-SUMIF(ThresholdAge19,"&lt;"&amp;'19_Расчет_аналитики'!AO3595,WeightedMinAge19),MAX(CapacityAge19*'01_Вводные'!$B$218*'19_Расчет_аналитики'!AO3595,MeanMinAge19))),0)</f>
        <v/>
      </c>
      <c r="AP3518">
        <f>IF('01_Вводные'!$B$234="Да",IF(OR('19_Расчет_аналитики'!AP3490=0,19&lt;='01_Вводные'!$B$297),0,'19_Расчет_аналитики'!AP3490*IF('01_Вводные'!$B$239="Да",MeanMinAge19+'19_Расчет_аналитики'!AP3595*SUMIF(ThresholdAge19,"&lt;"&amp;'19_Расчет_аналитики'!AP3595,WeightedRevAge19)-SUMIF(ThresholdAge19,"&lt;"&amp;'19_Расчет_аналитики'!AP3595,WeightedMinAge19),MAX(CapacityAge19*'01_Вводные'!$B$218*'19_Расчет_аналитики'!AP3595,MeanMinAge19))),0)</f>
        <v/>
      </c>
      <c r="AQ3518">
        <f>IF('01_Вводные'!$B$234="Да",IF(OR('19_Расчет_аналитики'!AQ3490=0,19&lt;='01_Вводные'!$B$297),0,'19_Расчет_аналитики'!AQ3490*IF('01_Вводные'!$B$239="Да",MeanMinAge19+'19_Расчет_аналитики'!AQ3595*SUMIF(ThresholdAge19,"&lt;"&amp;'19_Расчет_аналитики'!AQ3595,WeightedRevAge19)-SUMIF(ThresholdAge19,"&lt;"&amp;'19_Расчет_аналитики'!AQ3595,WeightedMinAge19),MAX(CapacityAge19*'01_Вводные'!$B$218*'19_Расчет_аналитики'!AQ3595,MeanMinAge19))),0)</f>
        <v/>
      </c>
      <c r="AR3518">
        <f>IF('01_Вводные'!$B$234="Да",IF(OR('19_Расчет_аналитики'!AR3490=0,19&lt;='01_Вводные'!$B$297),0,'19_Расчет_аналитики'!AR3490*IF('01_Вводные'!$B$239="Да",MeanMinAge19+'19_Расчет_аналитики'!AR3595*SUMIF(ThresholdAge19,"&lt;"&amp;'19_Расчет_аналитики'!AR3595,WeightedRevAge19)-SUMIF(ThresholdAge19,"&lt;"&amp;'19_Расчет_аналитики'!AR3595,WeightedMinAge19),MAX(CapacityAge19*'01_Вводные'!$B$218*'19_Расчет_аналитики'!AR3595,MeanMinAge19))),0)</f>
        <v/>
      </c>
      <c r="AS3518">
        <f>IF('01_Вводные'!$B$234="Да",IF(OR('19_Расчет_аналитики'!AS3490=0,19&lt;='01_Вводные'!$B$297),0,'19_Расчет_аналитики'!AS3490*IF('01_Вводные'!$B$239="Да",MeanMinAge19+'19_Расчет_аналитики'!AS3595*SUMIF(ThresholdAge19,"&lt;"&amp;'19_Расчет_аналитики'!AS3595,WeightedRevAge19)-SUMIF(ThresholdAge19,"&lt;"&amp;'19_Расчет_аналитики'!AS3595,WeightedMinAge19),MAX(CapacityAge19*'01_Вводные'!$B$218*'19_Расчет_аналитики'!AS3595,MeanMinAge19))),0)</f>
        <v/>
      </c>
      <c r="AT3518">
        <f>IF('01_Вводные'!$B$234="Да",IF(OR('19_Расчет_аналитики'!AT3490=0,19&lt;='01_Вводные'!$B$297),0,'19_Расчет_аналитики'!AT3490*IF('01_Вводные'!$B$239="Да",MeanMinAge19+'19_Расчет_аналитики'!AT3595*SUMIF(ThresholdAge19,"&lt;"&amp;'19_Расчет_аналитики'!AT3595,WeightedRevAge19)-SUMIF(ThresholdAge19,"&lt;"&amp;'19_Расчет_аналитики'!AT3595,WeightedMinAge19),MAX(CapacityAge19*'01_Вводные'!$B$218*'19_Расчет_аналитики'!AT3595,MeanMinAge19))),0)</f>
        <v/>
      </c>
      <c r="AU3518">
        <f>IF('01_Вводные'!$B$234="Да",IF(OR('19_Расчет_аналитики'!AU3490=0,19&lt;='01_Вводные'!$B$297),0,'19_Расчет_аналитики'!AU3490*IF('01_Вводные'!$B$239="Да",MeanMinAge19+'19_Расчет_аналитики'!AU3595*SUMIF(ThresholdAge19,"&lt;"&amp;'19_Расчет_аналитики'!AU3595,WeightedRevAge19)-SUMIF(ThresholdAge19,"&lt;"&amp;'19_Расчет_аналитики'!AU3595,WeightedMinAge19),MAX(CapacityAge19*'01_Вводные'!$B$218*'19_Расчет_аналитики'!AU3595,MeanMinAge19))),0)</f>
        <v/>
      </c>
      <c r="AV3518">
        <f>IF('01_Вводные'!$B$234="Да",IF(OR('19_Расчет_аналитики'!AV3490=0,19&lt;='01_Вводные'!$B$297),0,'19_Расчет_аналитики'!AV3490*IF('01_Вводные'!$B$239="Да",MeanMinAge19+'19_Расчет_аналитики'!AV3595*SUMIF(ThresholdAge19,"&lt;"&amp;'19_Расчет_аналитики'!AV3595,WeightedRevAge19)-SUMIF(ThresholdAge19,"&lt;"&amp;'19_Расчет_аналитики'!AV3595,WeightedMinAge19),MAX(CapacityAge19*'01_Вводные'!$B$218*'19_Расчет_аналитики'!AV3595,MeanMinAge19))),0)</f>
        <v/>
      </c>
      <c r="AW3518">
        <f>IF('01_Вводные'!$B$234="Да",IF(OR('19_Расчет_аналитики'!AW3490=0,19&lt;='01_Вводные'!$B$297),0,'19_Расчет_аналитики'!AW3490*IF('01_Вводные'!$B$239="Да",MeanMinAge19+'19_Расчет_аналитики'!AW3595*SUMIF(ThresholdAge19,"&lt;"&amp;'19_Расчет_аналитики'!AW3595,WeightedRevAge19)-SUMIF(ThresholdAge19,"&lt;"&amp;'19_Расчет_аналитики'!AW3595,WeightedMinAge19),MAX(CapacityAge19*'01_Вводные'!$B$218*'19_Расчет_аналитики'!AW3595,MeanMinAge19))),0)</f>
        <v/>
      </c>
      <c r="AX3518">
        <f>IF('01_Вводные'!$B$234="Да",IF(OR('19_Расчет_аналитики'!AX3490=0,19&lt;='01_Вводные'!$B$297),0,'19_Расчет_аналитики'!AX3490*IF('01_Вводные'!$B$239="Да",MeanMinAge19+'19_Расчет_аналитики'!AX3595*SUMIF(ThresholdAge19,"&lt;"&amp;'19_Расчет_аналитики'!AX3595,WeightedRevAge19)-SUMIF(ThresholdAge19,"&lt;"&amp;'19_Расчет_аналитики'!AX3595,WeightedMinAge19),MAX(CapacityAge19*'01_Вводные'!$B$218*'19_Расчет_аналитики'!AX3595,MeanMinAge19))),0)</f>
        <v/>
      </c>
      <c r="AY3518">
        <f>IF('01_Вводные'!$B$234="Да",IF(OR('19_Расчет_аналитики'!AY3490=0,19&lt;='01_Вводные'!$B$297),0,'19_Расчет_аналитики'!AY3490*IF('01_Вводные'!$B$239="Да",MeanMinAge19+'19_Расчет_аналитики'!AY3595*SUMIF(ThresholdAge19,"&lt;"&amp;'19_Расчет_аналитики'!AY3595,WeightedRevAge19)-SUMIF(ThresholdAge19,"&lt;"&amp;'19_Расчет_аналитики'!AY3595,WeightedMinAge19),MAX(CapacityAge19*'01_Вводные'!$B$218*'19_Расчет_аналитики'!AY3595,MeanMinAge19))),0)</f>
        <v/>
      </c>
      <c r="AZ3518">
        <f>IF('01_Вводные'!$B$234="Да",IF(OR('19_Расчет_аналитики'!AZ3490=0,19&lt;='01_Вводные'!$B$297),0,'19_Расчет_аналитики'!AZ3490*IF('01_Вводные'!$B$239="Да",MeanMinAge19+'19_Расчет_аналитики'!AZ3595*SUMIF(ThresholdAge19,"&lt;"&amp;'19_Расчет_аналитики'!AZ3595,WeightedRevAge19)-SUMIF(ThresholdAge19,"&lt;"&amp;'19_Расчет_аналитики'!AZ3595,WeightedMinAge19),MAX(CapacityAge19*'01_Вводные'!$B$218*'19_Расчет_аналитики'!AZ3595,MeanMinAge19))),0)</f>
        <v/>
      </c>
      <c r="BA3518">
        <f>IF('01_Вводные'!$B$234="Да",IF(OR('19_Расчет_аналитики'!BA3490=0,19&lt;='01_Вводные'!$B$297),0,'19_Расчет_аналитики'!BA3490*IF('01_Вводные'!$B$239="Да",MeanMinAge19+'19_Расчет_аналитики'!BA3595*SUMIF(ThresholdAge19,"&lt;"&amp;'19_Расчет_аналитики'!BA3595,WeightedRevAge19)-SUMIF(ThresholdAge19,"&lt;"&amp;'19_Расчет_аналитики'!BA3595,WeightedMinAge19),MAX(CapacityAge19*'01_Вводные'!$B$218*'19_Расчет_аналитики'!BA3595,MeanMinAge19))),0)</f>
        <v/>
      </c>
      <c r="BB3518">
        <f>IF('01_Вводные'!$B$234="Да",IF(OR('19_Расчет_аналитики'!BB3490=0,19&lt;='01_Вводные'!$B$297),0,'19_Расчет_аналитики'!BB3490*IF('01_Вводные'!$B$239="Да",MeanMinAge19+'19_Расчет_аналитики'!BB3595*SUMIF(ThresholdAge19,"&lt;"&amp;'19_Расчет_аналитики'!BB3595,WeightedRevAge19)-SUMIF(ThresholdAge19,"&lt;"&amp;'19_Расчет_аналитики'!BB3595,WeightedMinAge19),MAX(CapacityAge19*'01_Вводные'!$B$218*'19_Расчет_аналитики'!BB3595,MeanMinAge19))),0)</f>
        <v/>
      </c>
      <c r="BC3518">
        <f>IF('01_Вводные'!$B$234="Да",IF(OR('19_Расчет_аналитики'!BC3490=0,19&lt;='01_Вводные'!$B$297),0,'19_Расчет_аналитики'!BC3490*IF('01_Вводные'!$B$239="Да",MeanMinAge19+'19_Расчет_аналитики'!BC3595*SUMIF(ThresholdAge19,"&lt;"&amp;'19_Расчет_аналитики'!BC3595,WeightedRevAge19)-SUMIF(ThresholdAge19,"&lt;"&amp;'19_Расчет_аналитики'!BC3595,WeightedMinAge19),MAX(CapacityAge19*'01_Вводные'!$B$218*'19_Расчет_аналитики'!BC3595,MeanMinAge19))),0)</f>
        <v/>
      </c>
      <c r="BD3518">
        <f>IF('01_Вводные'!$B$234="Да",IF(OR('19_Расчет_аналитики'!BD3490=0,19&lt;='01_Вводные'!$B$297),0,'19_Расчет_аналитики'!BD3490*IF('01_Вводные'!$B$239="Да",MeanMinAge19+'19_Расчет_аналитики'!BD3595*SUMIF(ThresholdAge19,"&lt;"&amp;'19_Расчет_аналитики'!BD3595,WeightedRevAge19)-SUMIF(ThresholdAge19,"&lt;"&amp;'19_Расчет_аналитики'!BD3595,WeightedMinAge19),MAX(CapacityAge19*'01_Вводные'!$B$218*'19_Расчет_аналитики'!BD3595,MeanMinAge19))),0)</f>
        <v/>
      </c>
      <c r="BE3518">
        <f>IF('01_Вводные'!$B$234="Да",IF(OR('19_Расчет_аналитики'!BE3490=0,19&lt;='01_Вводные'!$B$297),0,'19_Расчет_аналитики'!BE3490*IF('01_Вводные'!$B$239="Да",MeanMinAge19+'19_Расчет_аналитики'!BE3595*SUMIF(ThresholdAge19,"&lt;"&amp;'19_Расчет_аналитики'!BE3595,WeightedRevAge19)-SUMIF(ThresholdAge19,"&lt;"&amp;'19_Расчет_аналитики'!BE3595,WeightedMinAge19),MAX(CapacityAge19*'01_Вводные'!$B$218*'19_Расчет_аналитики'!BE3595,MeanMinAge19))),0)</f>
        <v/>
      </c>
      <c r="BF3518">
        <f>IF('01_Вводные'!$B$234="Да",IF(OR('19_Расчет_аналитики'!BF3490=0,19&lt;='01_Вводные'!$B$297),0,'19_Расчет_аналитики'!BF3490*IF('01_Вводные'!$B$239="Да",MeanMinAge19+'19_Расчет_аналитики'!BF3595*SUMIF(ThresholdAge19,"&lt;"&amp;'19_Расчет_аналитики'!BF3595,WeightedRevAge19)-SUMIF(ThresholdAge19,"&lt;"&amp;'19_Расчет_аналитики'!BF3595,WeightedMinAge19),MAX(CapacityAge19*'01_Вводные'!$B$218*'19_Расчет_аналитики'!BF3595,MeanMinAge19))),0)</f>
        <v/>
      </c>
      <c r="BG3518">
        <f>IF('01_Вводные'!$B$234="Да",IF(OR('19_Расчет_аналитики'!BG3490=0,19&lt;='01_Вводные'!$B$297),0,'19_Расчет_аналитики'!BG3490*IF('01_Вводные'!$B$239="Да",MeanMinAge19+'19_Расчет_аналитики'!BG3595*SUMIF(ThresholdAge19,"&lt;"&amp;'19_Расчет_аналитики'!BG3595,WeightedRevAge19)-SUMIF(ThresholdAge19,"&lt;"&amp;'19_Расчет_аналитики'!BG3595,WeightedMinAge19),MAX(CapacityAge19*'01_Вводные'!$B$218*'19_Расчет_аналитики'!BG3595,MeanMinAge19))),0)</f>
        <v/>
      </c>
      <c r="BH3518">
        <f>IF('01_Вводные'!$B$234="Да",IF(OR('19_Расчет_аналитики'!BH3490=0,19&lt;='01_Вводные'!$B$297),0,'19_Расчет_аналитики'!BH3490*IF('01_Вводные'!$B$239="Да",MeanMinAge19+'19_Расчет_аналитики'!BH3595*SUMIF(ThresholdAge19,"&lt;"&amp;'19_Расчет_аналитики'!BH3595,WeightedRevAge19)-SUMIF(ThresholdAge19,"&lt;"&amp;'19_Расчет_аналитики'!BH3595,WeightedMinAge19),MAX(CapacityAge19*'01_Вводные'!$B$218*'19_Расчет_аналитики'!BH3595,MeanMinAge19))),0)</f>
        <v/>
      </c>
      <c r="BI3518">
        <f>IF('01_Вводные'!$B$234="Да",IF(OR('19_Расчет_аналитики'!BI3490=0,19&lt;='01_Вводные'!$B$297),0,'19_Расчет_аналитики'!BI3490*IF('01_Вводные'!$B$239="Да",MeanMinAge19+'19_Расчет_аналитики'!BI3595*SUMIF(ThresholdAge19,"&lt;"&amp;'19_Расчет_аналитики'!BI3595,WeightedRevAge19)-SUMIF(ThresholdAge19,"&lt;"&amp;'19_Расчет_аналитики'!BI3595,WeightedMinAge19),MAX(CapacityAge19*'01_Вводные'!$B$218*'19_Расчет_аналитики'!BI3595,MeanMinAge19))),0)</f>
        <v/>
      </c>
      <c r="BJ3518">
        <f>IF('01_Вводные'!$B$234="Да",IF(OR('19_Расчет_аналитики'!BJ3490=0,19&lt;='01_Вводные'!$B$297),0,'19_Расчет_аналитики'!BJ3490*IF('01_Вводные'!$B$239="Да",MeanMinAge19+'19_Расчет_аналитики'!BJ3595*SUMIF(ThresholdAge19,"&lt;"&amp;'19_Расчет_аналитики'!BJ3595,WeightedRevAge19)-SUMIF(ThresholdAge19,"&lt;"&amp;'19_Расчет_аналитики'!BJ3595,WeightedMinAge19),MAX(CapacityAge19*'01_Вводные'!$B$218*'19_Расчет_аналитики'!BJ3595,MeanMinAge19))),0)</f>
        <v/>
      </c>
      <c r="BK3518">
        <f>IF('01_Вводные'!$B$234="Да",IF(OR('19_Расчет_аналитики'!BK3490=0,19&lt;='01_Вводные'!$B$297),0,'19_Расчет_аналитики'!BK3490*IF('01_Вводные'!$B$239="Да",MeanMinAge19+'19_Расчет_аналитики'!BK3595*SUMIF(ThresholdAge19,"&lt;"&amp;'19_Расчет_аналитики'!BK3595,WeightedRevAge19)-SUMIF(ThresholdAge19,"&lt;"&amp;'19_Расчет_аналитики'!BK3595,WeightedMinAge19),MAX(CapacityAge19*'01_Вводные'!$B$218*'19_Расчет_аналитики'!BK3595,MeanMinAge19))),0)</f>
        <v/>
      </c>
      <c r="BL3518">
        <f>IF('01_Вводные'!$B$234="Да",IF(OR('19_Расчет_аналитики'!BL3490=0,19&lt;='01_Вводные'!$B$297),0,'19_Расчет_аналитики'!BL3490*IF('01_Вводные'!$B$239="Да",MeanMinAge19+'19_Расчет_аналитики'!BL3595*SUMIF(ThresholdAge19,"&lt;"&amp;'19_Расчет_аналитики'!BL3595,WeightedRevAge19)-SUMIF(ThresholdAge19,"&lt;"&amp;'19_Расчет_аналитики'!BL3595,WeightedMinAge19),MAX(CapacityAge19*'01_Вводные'!$B$218*'19_Расчет_аналитики'!BL3595,MeanMinAge19))),0)</f>
        <v/>
      </c>
      <c r="BM3518">
        <f>IF('01_Вводные'!$B$234="Да",IF(OR('19_Расчет_аналитики'!BM3490=0,19&lt;='01_Вводные'!$B$297),0,'19_Расчет_аналитики'!BM3490*IF('01_Вводные'!$B$239="Да",MeanMinAge19+'19_Расчет_аналитики'!BM3595*SUMIF(ThresholdAge19,"&lt;"&amp;'19_Расчет_аналитики'!BM3595,WeightedRevAge19)-SUMIF(ThresholdAge19,"&lt;"&amp;'19_Расчет_аналитики'!BM3595,WeightedMinAge19),MAX(CapacityAge19*'01_Вводные'!$B$218*'19_Расчет_аналитики'!BM3595,MeanMinAge19))),0)</f>
        <v/>
      </c>
      <c r="BN3518">
        <f>IF('01_Вводные'!$B$234="Да",IF(OR('19_Расчет_аналитики'!BN3490=0,19&lt;='01_Вводные'!$B$297),0,'19_Расчет_аналитики'!BN3490*IF('01_Вводные'!$B$239="Да",MeanMinAge19+'19_Расчет_аналитики'!BN3595*SUMIF(ThresholdAge19,"&lt;"&amp;'19_Расчет_аналитики'!BN3595,WeightedRevAge19)-SUMIF(ThresholdAge19,"&lt;"&amp;'19_Расчет_аналитики'!BN3595,WeightedMinAge19),MAX(CapacityAge19*'01_Вводные'!$B$218*'19_Расчет_аналитики'!BN3595,MeanMinAge19))),0)</f>
        <v/>
      </c>
      <c r="BO3518">
        <f>IF('01_Вводные'!$B$234="Да",IF(OR('19_Расчет_аналитики'!BO3490=0,19&lt;='01_Вводные'!$B$297),0,'19_Расчет_аналитики'!BO3490*IF('01_Вводные'!$B$239="Да",MeanMinAge19+'19_Расчет_аналитики'!BO3595*SUMIF(ThresholdAge19,"&lt;"&amp;'19_Расчет_аналитики'!BO3595,WeightedRevAge19)-SUMIF(ThresholdAge19,"&lt;"&amp;'19_Расчет_аналитики'!BO3595,WeightedMinAge19),MAX(CapacityAge19*'01_Вводные'!$B$218*'19_Расчет_аналитики'!BO3595,MeanMinAge19))),0)</f>
        <v/>
      </c>
    </row>
    <row r="3519">
      <c r="B3519">
        <f>IF('01_Вводные'!$B$234="Да",IF(OR('06_Сеть_и_дети'!B100=0,20&lt;='01_Вводные'!$B$297),0,'06_Сеть_и_дети'!B100*IF('01_Вводные'!$B$239="Да",MeanMinAge20+'19_Расчет_аналитики'!B3595*SUMIF(ThresholdAge20,"&lt;"&amp;'19_Расчет_аналитики'!B3595,WeightedRevAge20)-SUMIF(ThresholdAge20,"&lt;"&amp;'19_Расчет_аналитики'!B3595,WeightedMinAge20),MAX(CapacityAge20*'01_Вводные'!$B$218*'19_Расчет_аналитики'!B3595,MeanMinAge20))),0)</f>
        <v/>
      </c>
      <c r="C3519">
        <f>IF('01_Вводные'!$B$234="Да",IF(OR('06_Сеть_и_дети'!C100=0,20&lt;='01_Вводные'!$B$297),0,'06_Сеть_и_дети'!C100*IF('01_Вводные'!$B$239="Да",MeanMinAge20+'19_Расчет_аналитики'!C3595*SUMIF(ThresholdAge20,"&lt;"&amp;'19_Расчет_аналитики'!C3595,WeightedRevAge20)-SUMIF(ThresholdAge20,"&lt;"&amp;'19_Расчет_аналитики'!C3595,WeightedMinAge20),MAX(CapacityAge20*'01_Вводные'!$B$218*'19_Расчет_аналитики'!C3595,MeanMinAge20))),0)</f>
        <v/>
      </c>
      <c r="D3519">
        <f>IF('01_Вводные'!$B$234="Да",IF(OR('06_Сеть_и_дети'!D100=0,20&lt;='01_Вводные'!$B$297),0,'06_Сеть_и_дети'!D100*IF('01_Вводные'!$B$239="Да",MeanMinAge20+'19_Расчет_аналитики'!D3595*SUMIF(ThresholdAge20,"&lt;"&amp;'19_Расчет_аналитики'!D3595,WeightedRevAge20)-SUMIF(ThresholdAge20,"&lt;"&amp;'19_Расчет_аналитики'!D3595,WeightedMinAge20),MAX(CapacityAge20*'01_Вводные'!$B$218*'19_Расчет_аналитики'!D3595,MeanMinAge20))),0)</f>
        <v/>
      </c>
      <c r="E3519">
        <f>IF('01_Вводные'!$B$234="Да",IF(OR('06_Сеть_и_дети'!E100=0,20&lt;='01_Вводные'!$B$297),0,'06_Сеть_и_дети'!E100*IF('01_Вводные'!$B$239="Да",MeanMinAge20+'19_Расчет_аналитики'!E3595*SUMIF(ThresholdAge20,"&lt;"&amp;'19_Расчет_аналитики'!E3595,WeightedRevAge20)-SUMIF(ThresholdAge20,"&lt;"&amp;'19_Расчет_аналитики'!E3595,WeightedMinAge20),MAX(CapacityAge20*'01_Вводные'!$B$218*'19_Расчет_аналитики'!E3595,MeanMinAge20))),0)</f>
        <v/>
      </c>
      <c r="F3519">
        <f>IF('01_Вводные'!$B$234="Да",IF(OR('06_Сеть_и_дети'!F100=0,20&lt;='01_Вводные'!$B$297),0,'06_Сеть_и_дети'!F100*IF('01_Вводные'!$B$239="Да",MeanMinAge20+'19_Расчет_аналитики'!F3595*SUMIF(ThresholdAge20,"&lt;"&amp;'19_Расчет_аналитики'!F3595,WeightedRevAge20)-SUMIF(ThresholdAge20,"&lt;"&amp;'19_Расчет_аналитики'!F3595,WeightedMinAge20),MAX(CapacityAge20*'01_Вводные'!$B$218*'19_Расчет_аналитики'!F3595,MeanMinAge20))),0)</f>
        <v/>
      </c>
      <c r="G3519">
        <f>IF('01_Вводные'!$B$234="Да",IF(OR('06_Сеть_и_дети'!G100=0,20&lt;='01_Вводные'!$B$297),0,'06_Сеть_и_дети'!G100*IF('01_Вводные'!$B$239="Да",MeanMinAge20+'19_Расчет_аналитики'!G3595*SUMIF(ThresholdAge20,"&lt;"&amp;'19_Расчет_аналитики'!G3595,WeightedRevAge20)-SUMIF(ThresholdAge20,"&lt;"&amp;'19_Расчет_аналитики'!G3595,WeightedMinAge20),MAX(CapacityAge20*'01_Вводные'!$B$218*'19_Расчет_аналитики'!G3595,MeanMinAge20))),0)</f>
        <v/>
      </c>
      <c r="H3519">
        <f>IF('01_Вводные'!$B$234="Да",IF(OR('06_Сеть_и_дети'!H100=0,20&lt;='01_Вводные'!$B$297),0,'06_Сеть_и_дети'!H100*IF('01_Вводные'!$B$239="Да",MeanMinAge20+'19_Расчет_аналитики'!H3595*SUMIF(ThresholdAge20,"&lt;"&amp;'19_Расчет_аналитики'!H3595,WeightedRevAge20)-SUMIF(ThresholdAge20,"&lt;"&amp;'19_Расчет_аналитики'!H3595,WeightedMinAge20),MAX(CapacityAge20*'01_Вводные'!$B$218*'19_Расчет_аналитики'!H3595,MeanMinAge20))),0)</f>
        <v/>
      </c>
      <c r="I3519">
        <f>IF('01_Вводные'!$B$234="Да",IF(OR('06_Сеть_и_дети'!I100=0,20&lt;='01_Вводные'!$B$297),0,'06_Сеть_и_дети'!I100*IF('01_Вводные'!$B$239="Да",MeanMinAge20+'19_Расчет_аналитики'!I3595*SUMIF(ThresholdAge20,"&lt;"&amp;'19_Расчет_аналитики'!I3595,WeightedRevAge20)-SUMIF(ThresholdAge20,"&lt;"&amp;'19_Расчет_аналитики'!I3595,WeightedMinAge20),MAX(CapacityAge20*'01_Вводные'!$B$218*'19_Расчет_аналитики'!I3595,MeanMinAge20))),0)</f>
        <v/>
      </c>
      <c r="J3519">
        <f>IF('01_Вводные'!$B$234="Да",IF(OR('06_Сеть_и_дети'!J100=0,20&lt;='01_Вводные'!$B$297),0,'06_Сеть_и_дети'!J100*IF('01_Вводные'!$B$239="Да",MeanMinAge20+'19_Расчет_аналитики'!J3595*SUMIF(ThresholdAge20,"&lt;"&amp;'19_Расчет_аналитики'!J3595,WeightedRevAge20)-SUMIF(ThresholdAge20,"&lt;"&amp;'19_Расчет_аналитики'!J3595,WeightedMinAge20),MAX(CapacityAge20*'01_Вводные'!$B$218*'19_Расчет_аналитики'!J3595,MeanMinAge20))),0)</f>
        <v/>
      </c>
      <c r="K3519">
        <f>IF('01_Вводные'!$B$234="Да",IF(OR('06_Сеть_и_дети'!K100=0,20&lt;='01_Вводные'!$B$297),0,'06_Сеть_и_дети'!K100*IF('01_Вводные'!$B$239="Да",MeanMinAge20+'19_Расчет_аналитики'!K3595*SUMIF(ThresholdAge20,"&lt;"&amp;'19_Расчет_аналитики'!K3595,WeightedRevAge20)-SUMIF(ThresholdAge20,"&lt;"&amp;'19_Расчет_аналитики'!K3595,WeightedMinAge20),MAX(CapacityAge20*'01_Вводные'!$B$218*'19_Расчет_аналитики'!K3595,MeanMinAge20))),0)</f>
        <v/>
      </c>
      <c r="L3519">
        <f>IF('01_Вводные'!$B$234="Да",IF(OR('06_Сеть_и_дети'!L100=0,20&lt;='01_Вводные'!$B$297),0,'06_Сеть_и_дети'!L100*IF('01_Вводные'!$B$239="Да",MeanMinAge20+'19_Расчет_аналитики'!L3595*SUMIF(ThresholdAge20,"&lt;"&amp;'19_Расчет_аналитики'!L3595,WeightedRevAge20)-SUMIF(ThresholdAge20,"&lt;"&amp;'19_Расчет_аналитики'!L3595,WeightedMinAge20),MAX(CapacityAge20*'01_Вводные'!$B$218*'19_Расчет_аналитики'!L3595,MeanMinAge20))),0)</f>
        <v/>
      </c>
      <c r="M3519">
        <f>IF('01_Вводные'!$B$234="Да",IF(OR('06_Сеть_и_дети'!M100=0,20&lt;='01_Вводные'!$B$297),0,'06_Сеть_и_дети'!M100*IF('01_Вводные'!$B$239="Да",MeanMinAge20+'19_Расчет_аналитики'!M3595*SUMIF(ThresholdAge20,"&lt;"&amp;'19_Расчет_аналитики'!M3595,WeightedRevAge20)-SUMIF(ThresholdAge20,"&lt;"&amp;'19_Расчет_аналитики'!M3595,WeightedMinAge20),MAX(CapacityAge20*'01_Вводные'!$B$218*'19_Расчет_аналитики'!M3595,MeanMinAge20))),0)</f>
        <v/>
      </c>
      <c r="N3519">
        <f>IF('01_Вводные'!$B$234="Да",IF(OR('06_Сеть_и_дети'!N100=0,20&lt;='01_Вводные'!$B$297),0,'06_Сеть_и_дети'!N100*IF('01_Вводные'!$B$239="Да",MeanMinAge20+'19_Расчет_аналитики'!N3595*SUMIF(ThresholdAge20,"&lt;"&amp;'19_Расчет_аналитики'!N3595,WeightedRevAge20)-SUMIF(ThresholdAge20,"&lt;"&amp;'19_Расчет_аналитики'!N3595,WeightedMinAge20),MAX(CapacityAge20*'01_Вводные'!$B$218*'19_Расчет_аналитики'!N3595,MeanMinAge20))),0)</f>
        <v/>
      </c>
      <c r="O3519">
        <f>IF('01_Вводные'!$B$234="Да",IF(OR('06_Сеть_и_дети'!O100=0,20&lt;='01_Вводные'!$B$297),0,'06_Сеть_и_дети'!O100*IF('01_Вводные'!$B$239="Да",MeanMinAge20+'19_Расчет_аналитики'!O3595*SUMIF(ThresholdAge20,"&lt;"&amp;'19_Расчет_аналитики'!O3595,WeightedRevAge20)-SUMIF(ThresholdAge20,"&lt;"&amp;'19_Расчет_аналитики'!O3595,WeightedMinAge20),MAX(CapacityAge20*'01_Вводные'!$B$218*'19_Расчет_аналитики'!O3595,MeanMinAge20))),0)</f>
        <v/>
      </c>
      <c r="P3519">
        <f>IF('01_Вводные'!$B$234="Да",IF(OR('06_Сеть_и_дети'!P100=0,20&lt;='01_Вводные'!$B$297),0,'06_Сеть_и_дети'!P100*IF('01_Вводные'!$B$239="Да",MeanMinAge20+'19_Расчет_аналитики'!P3595*SUMIF(ThresholdAge20,"&lt;"&amp;'19_Расчет_аналитики'!P3595,WeightedRevAge20)-SUMIF(ThresholdAge20,"&lt;"&amp;'19_Расчет_аналитики'!P3595,WeightedMinAge20),MAX(CapacityAge20*'01_Вводные'!$B$218*'19_Расчет_аналитики'!P3595,MeanMinAge20))),0)</f>
        <v/>
      </c>
      <c r="Q3519">
        <f>IF('01_Вводные'!$B$234="Да",IF(OR('06_Сеть_и_дети'!Q100=0,20&lt;='01_Вводные'!$B$297),0,'06_Сеть_и_дети'!Q100*IF('01_Вводные'!$B$239="Да",MeanMinAge20+'19_Расчет_аналитики'!Q3595*SUMIF(ThresholdAge20,"&lt;"&amp;'19_Расчет_аналитики'!Q3595,WeightedRevAge20)-SUMIF(ThresholdAge20,"&lt;"&amp;'19_Расчет_аналитики'!Q3595,WeightedMinAge20),MAX(CapacityAge20*'01_Вводные'!$B$218*'19_Расчет_аналитики'!Q3595,MeanMinAge20))),0)</f>
        <v/>
      </c>
      <c r="R3519">
        <f>IF('01_Вводные'!$B$234="Да",IF(OR('06_Сеть_и_дети'!R100=0,20&lt;='01_Вводные'!$B$297),0,'06_Сеть_и_дети'!R100*IF('01_Вводные'!$B$239="Да",MeanMinAge20+'19_Расчет_аналитики'!R3595*SUMIF(ThresholdAge20,"&lt;"&amp;'19_Расчет_аналитики'!R3595,WeightedRevAge20)-SUMIF(ThresholdAge20,"&lt;"&amp;'19_Расчет_аналитики'!R3595,WeightedMinAge20),MAX(CapacityAge20*'01_Вводные'!$B$218*'19_Расчет_аналитики'!R3595,MeanMinAge20))),0)</f>
        <v/>
      </c>
      <c r="S3519">
        <f>IF('01_Вводные'!$B$234="Да",IF(OR('06_Сеть_и_дети'!S100=0,20&lt;='01_Вводные'!$B$297),0,'06_Сеть_и_дети'!S100*IF('01_Вводные'!$B$239="Да",MeanMinAge20+'19_Расчет_аналитики'!S3595*SUMIF(ThresholdAge20,"&lt;"&amp;'19_Расчет_аналитики'!S3595,WeightedRevAge20)-SUMIF(ThresholdAge20,"&lt;"&amp;'19_Расчет_аналитики'!S3595,WeightedMinAge20),MAX(CapacityAge20*'01_Вводные'!$B$218*'19_Расчет_аналитики'!S3595,MeanMinAge20))),0)</f>
        <v/>
      </c>
      <c r="T3519">
        <f>IF('01_Вводные'!$B$234="Да",IF(OR('06_Сеть_и_дети'!T100=0,20&lt;='01_Вводные'!$B$297),0,'06_Сеть_и_дети'!T100*IF('01_Вводные'!$B$239="Да",MeanMinAge20+'19_Расчет_аналитики'!T3595*SUMIF(ThresholdAge20,"&lt;"&amp;'19_Расчет_аналитики'!T3595,WeightedRevAge20)-SUMIF(ThresholdAge20,"&lt;"&amp;'19_Расчет_аналитики'!T3595,WeightedMinAge20),MAX(CapacityAge20*'01_Вводные'!$B$218*'19_Расчет_аналитики'!T3595,MeanMinAge20))),0)</f>
        <v/>
      </c>
      <c r="U3519">
        <f>IF('01_Вводные'!$B$234="Да",IF(OR('19_Расчет_аналитики'!U3491=0,20&lt;='01_Вводные'!$B$297),0,'19_Расчет_аналитики'!U3491*IF('01_Вводные'!$B$239="Да",MeanMinAge20+'19_Расчет_аналитики'!U3595*SUMIF(ThresholdAge20,"&lt;"&amp;'19_Расчет_аналитики'!U3595,WeightedRevAge20)-SUMIF(ThresholdAge20,"&lt;"&amp;'19_Расчет_аналитики'!U3595,WeightedMinAge20),MAX(CapacityAge20*'01_Вводные'!$B$218*'19_Расчет_аналитики'!U3595,MeanMinAge20))),0)</f>
        <v/>
      </c>
      <c r="V3519">
        <f>IF('01_Вводные'!$B$234="Да",IF(OR('19_Расчет_аналитики'!V3491=0,20&lt;='01_Вводные'!$B$297),0,'19_Расчет_аналитики'!V3491*IF('01_Вводные'!$B$239="Да",MeanMinAge20+'19_Расчет_аналитики'!V3595*SUMIF(ThresholdAge20,"&lt;"&amp;'19_Расчет_аналитики'!V3595,WeightedRevAge20)-SUMIF(ThresholdAge20,"&lt;"&amp;'19_Расчет_аналитики'!V3595,WeightedMinAge20),MAX(CapacityAge20*'01_Вводные'!$B$218*'19_Расчет_аналитики'!V3595,MeanMinAge20))),0)</f>
        <v/>
      </c>
      <c r="W3519">
        <f>IF('01_Вводные'!$B$234="Да",IF(OR('19_Расчет_аналитики'!W3491=0,20&lt;='01_Вводные'!$B$297),0,'19_Расчет_аналитики'!W3491*IF('01_Вводные'!$B$239="Да",MeanMinAge20+'19_Расчет_аналитики'!W3595*SUMIF(ThresholdAge20,"&lt;"&amp;'19_Расчет_аналитики'!W3595,WeightedRevAge20)-SUMIF(ThresholdAge20,"&lt;"&amp;'19_Расчет_аналитики'!W3595,WeightedMinAge20),MAX(CapacityAge20*'01_Вводные'!$B$218*'19_Расчет_аналитики'!W3595,MeanMinAge20))),0)</f>
        <v/>
      </c>
      <c r="X3519">
        <f>IF('01_Вводные'!$B$234="Да",IF(OR('19_Расчет_аналитики'!X3491=0,20&lt;='01_Вводные'!$B$297),0,'19_Расчет_аналитики'!X3491*IF('01_Вводные'!$B$239="Да",MeanMinAge20+'19_Расчет_аналитики'!X3595*SUMIF(ThresholdAge20,"&lt;"&amp;'19_Расчет_аналитики'!X3595,WeightedRevAge20)-SUMIF(ThresholdAge20,"&lt;"&amp;'19_Расчет_аналитики'!X3595,WeightedMinAge20),MAX(CapacityAge20*'01_Вводные'!$B$218*'19_Расчет_аналитики'!X3595,MeanMinAge20))),0)</f>
        <v/>
      </c>
      <c r="Y3519">
        <f>IF('01_Вводные'!$B$234="Да",IF(OR('19_Расчет_аналитики'!Y3491=0,20&lt;='01_Вводные'!$B$297),0,'19_Расчет_аналитики'!Y3491*IF('01_Вводные'!$B$239="Да",MeanMinAge20+'19_Расчет_аналитики'!Y3595*SUMIF(ThresholdAge20,"&lt;"&amp;'19_Расчет_аналитики'!Y3595,WeightedRevAge20)-SUMIF(ThresholdAge20,"&lt;"&amp;'19_Расчет_аналитики'!Y3595,WeightedMinAge20),MAX(CapacityAge20*'01_Вводные'!$B$218*'19_Расчет_аналитики'!Y3595,MeanMinAge20))),0)</f>
        <v/>
      </c>
      <c r="Z3519">
        <f>IF('01_Вводные'!$B$234="Да",IF(OR('19_Расчет_аналитики'!Z3491=0,20&lt;='01_Вводные'!$B$297),0,'19_Расчет_аналитики'!Z3491*IF('01_Вводные'!$B$239="Да",MeanMinAge20+'19_Расчет_аналитики'!Z3595*SUMIF(ThresholdAge20,"&lt;"&amp;'19_Расчет_аналитики'!Z3595,WeightedRevAge20)-SUMIF(ThresholdAge20,"&lt;"&amp;'19_Расчет_аналитики'!Z3595,WeightedMinAge20),MAX(CapacityAge20*'01_Вводные'!$B$218*'19_Расчет_аналитики'!Z3595,MeanMinAge20))),0)</f>
        <v/>
      </c>
      <c r="AA3519">
        <f>IF('01_Вводные'!$B$234="Да",IF(OR('19_Расчет_аналитики'!AA3491=0,20&lt;='01_Вводные'!$B$297),0,'19_Расчет_аналитики'!AA3491*IF('01_Вводные'!$B$239="Да",MeanMinAge20+'19_Расчет_аналитики'!AA3595*SUMIF(ThresholdAge20,"&lt;"&amp;'19_Расчет_аналитики'!AA3595,WeightedRevAge20)-SUMIF(ThresholdAge20,"&lt;"&amp;'19_Расчет_аналитики'!AA3595,WeightedMinAge20),MAX(CapacityAge20*'01_Вводные'!$B$218*'19_Расчет_аналитики'!AA3595,MeanMinAge20))),0)</f>
        <v/>
      </c>
      <c r="AB3519">
        <f>IF('01_Вводные'!$B$234="Да",IF(OR('19_Расчет_аналитики'!AB3491=0,20&lt;='01_Вводные'!$B$297),0,'19_Расчет_аналитики'!AB3491*IF('01_Вводные'!$B$239="Да",MeanMinAge20+'19_Расчет_аналитики'!AB3595*SUMIF(ThresholdAge20,"&lt;"&amp;'19_Расчет_аналитики'!AB3595,WeightedRevAge20)-SUMIF(ThresholdAge20,"&lt;"&amp;'19_Расчет_аналитики'!AB3595,WeightedMinAge20),MAX(CapacityAge20*'01_Вводные'!$B$218*'19_Расчет_аналитики'!AB3595,MeanMinAge20))),0)</f>
        <v/>
      </c>
      <c r="AC3519">
        <f>IF('01_Вводные'!$B$234="Да",IF(OR('19_Расчет_аналитики'!AC3491=0,20&lt;='01_Вводные'!$B$297),0,'19_Расчет_аналитики'!AC3491*IF('01_Вводные'!$B$239="Да",MeanMinAge20+'19_Расчет_аналитики'!AC3595*SUMIF(ThresholdAge20,"&lt;"&amp;'19_Расчет_аналитики'!AC3595,WeightedRevAge20)-SUMIF(ThresholdAge20,"&lt;"&amp;'19_Расчет_аналитики'!AC3595,WeightedMinAge20),MAX(CapacityAge20*'01_Вводные'!$B$218*'19_Расчет_аналитики'!AC3595,MeanMinAge20))),0)</f>
        <v/>
      </c>
      <c r="AD3519">
        <f>IF('01_Вводные'!$B$234="Да",IF(OR('19_Расчет_аналитики'!AD3491=0,20&lt;='01_Вводные'!$B$297),0,'19_Расчет_аналитики'!AD3491*IF('01_Вводные'!$B$239="Да",MeanMinAge20+'19_Расчет_аналитики'!AD3595*SUMIF(ThresholdAge20,"&lt;"&amp;'19_Расчет_аналитики'!AD3595,WeightedRevAge20)-SUMIF(ThresholdAge20,"&lt;"&amp;'19_Расчет_аналитики'!AD3595,WeightedMinAge20),MAX(CapacityAge20*'01_Вводные'!$B$218*'19_Расчет_аналитики'!AD3595,MeanMinAge20))),0)</f>
        <v/>
      </c>
      <c r="AE3519">
        <f>IF('01_Вводные'!$B$234="Да",IF(OR('19_Расчет_аналитики'!AE3491=0,20&lt;='01_Вводные'!$B$297),0,'19_Расчет_аналитики'!AE3491*IF('01_Вводные'!$B$239="Да",MeanMinAge20+'19_Расчет_аналитики'!AE3595*SUMIF(ThresholdAge20,"&lt;"&amp;'19_Расчет_аналитики'!AE3595,WeightedRevAge20)-SUMIF(ThresholdAge20,"&lt;"&amp;'19_Расчет_аналитики'!AE3595,WeightedMinAge20),MAX(CapacityAge20*'01_Вводные'!$B$218*'19_Расчет_аналитики'!AE3595,MeanMinAge20))),0)</f>
        <v/>
      </c>
      <c r="AF3519">
        <f>IF('01_Вводные'!$B$234="Да",IF(OR('19_Расчет_аналитики'!AF3491=0,20&lt;='01_Вводные'!$B$297),0,'19_Расчет_аналитики'!AF3491*IF('01_Вводные'!$B$239="Да",MeanMinAge20+'19_Расчет_аналитики'!AF3595*SUMIF(ThresholdAge20,"&lt;"&amp;'19_Расчет_аналитики'!AF3595,WeightedRevAge20)-SUMIF(ThresholdAge20,"&lt;"&amp;'19_Расчет_аналитики'!AF3595,WeightedMinAge20),MAX(CapacityAge20*'01_Вводные'!$B$218*'19_Расчет_аналитики'!AF3595,MeanMinAge20))),0)</f>
        <v/>
      </c>
      <c r="AG3519">
        <f>IF('01_Вводные'!$B$234="Да",IF(OR('19_Расчет_аналитики'!AG3491=0,20&lt;='01_Вводные'!$B$297),0,'19_Расчет_аналитики'!AG3491*IF('01_Вводные'!$B$239="Да",MeanMinAge20+'19_Расчет_аналитики'!AG3595*SUMIF(ThresholdAge20,"&lt;"&amp;'19_Расчет_аналитики'!AG3595,WeightedRevAge20)-SUMIF(ThresholdAge20,"&lt;"&amp;'19_Расчет_аналитики'!AG3595,WeightedMinAge20),MAX(CapacityAge20*'01_Вводные'!$B$218*'19_Расчет_аналитики'!AG3595,MeanMinAge20))),0)</f>
        <v/>
      </c>
      <c r="AH3519">
        <f>IF('01_Вводные'!$B$234="Да",IF(OR('19_Расчет_аналитики'!AH3491=0,20&lt;='01_Вводные'!$B$297),0,'19_Расчет_аналитики'!AH3491*IF('01_Вводные'!$B$239="Да",MeanMinAge20+'19_Расчет_аналитики'!AH3595*SUMIF(ThresholdAge20,"&lt;"&amp;'19_Расчет_аналитики'!AH3595,WeightedRevAge20)-SUMIF(ThresholdAge20,"&lt;"&amp;'19_Расчет_аналитики'!AH3595,WeightedMinAge20),MAX(CapacityAge20*'01_Вводные'!$B$218*'19_Расчет_аналитики'!AH3595,MeanMinAge20))),0)</f>
        <v/>
      </c>
      <c r="AI3519">
        <f>IF('01_Вводные'!$B$234="Да",IF(OR('19_Расчет_аналитики'!AI3491=0,20&lt;='01_Вводные'!$B$297),0,'19_Расчет_аналитики'!AI3491*IF('01_Вводные'!$B$239="Да",MeanMinAge20+'19_Расчет_аналитики'!AI3595*SUMIF(ThresholdAge20,"&lt;"&amp;'19_Расчет_аналитики'!AI3595,WeightedRevAge20)-SUMIF(ThresholdAge20,"&lt;"&amp;'19_Расчет_аналитики'!AI3595,WeightedMinAge20),MAX(CapacityAge20*'01_Вводные'!$B$218*'19_Расчет_аналитики'!AI3595,MeanMinAge20))),0)</f>
        <v/>
      </c>
      <c r="AJ3519">
        <f>IF('01_Вводные'!$B$234="Да",IF(OR('19_Расчет_аналитики'!AJ3491=0,20&lt;='01_Вводные'!$B$297),0,'19_Расчет_аналитики'!AJ3491*IF('01_Вводные'!$B$239="Да",MeanMinAge20+'19_Расчет_аналитики'!AJ3595*SUMIF(ThresholdAge20,"&lt;"&amp;'19_Расчет_аналитики'!AJ3595,WeightedRevAge20)-SUMIF(ThresholdAge20,"&lt;"&amp;'19_Расчет_аналитики'!AJ3595,WeightedMinAge20),MAX(CapacityAge20*'01_Вводные'!$B$218*'19_Расчет_аналитики'!AJ3595,MeanMinAge20))),0)</f>
        <v/>
      </c>
      <c r="AK3519">
        <f>IF('01_Вводные'!$B$234="Да",IF(OR('19_Расчет_аналитики'!AK3491=0,20&lt;='01_Вводные'!$B$297),0,'19_Расчет_аналитики'!AK3491*IF('01_Вводные'!$B$239="Да",MeanMinAge20+'19_Расчет_аналитики'!AK3595*SUMIF(ThresholdAge20,"&lt;"&amp;'19_Расчет_аналитики'!AK3595,WeightedRevAge20)-SUMIF(ThresholdAge20,"&lt;"&amp;'19_Расчет_аналитики'!AK3595,WeightedMinAge20),MAX(CapacityAge20*'01_Вводные'!$B$218*'19_Расчет_аналитики'!AK3595,MeanMinAge20))),0)</f>
        <v/>
      </c>
      <c r="AL3519">
        <f>IF('01_Вводные'!$B$234="Да",IF(OR('19_Расчет_аналитики'!AL3491=0,20&lt;='01_Вводные'!$B$297),0,'19_Расчет_аналитики'!AL3491*IF('01_Вводные'!$B$239="Да",MeanMinAge20+'19_Расчет_аналитики'!AL3595*SUMIF(ThresholdAge20,"&lt;"&amp;'19_Расчет_аналитики'!AL3595,WeightedRevAge20)-SUMIF(ThresholdAge20,"&lt;"&amp;'19_Расчет_аналитики'!AL3595,WeightedMinAge20),MAX(CapacityAge20*'01_Вводные'!$B$218*'19_Расчет_аналитики'!AL3595,MeanMinAge20))),0)</f>
        <v/>
      </c>
      <c r="AM3519">
        <f>IF('01_Вводные'!$B$234="Да",IF(OR('19_Расчет_аналитики'!AM3491=0,20&lt;='01_Вводные'!$B$297),0,'19_Расчет_аналитики'!AM3491*IF('01_Вводные'!$B$239="Да",MeanMinAge20+'19_Расчет_аналитики'!AM3595*SUMIF(ThresholdAge20,"&lt;"&amp;'19_Расчет_аналитики'!AM3595,WeightedRevAge20)-SUMIF(ThresholdAge20,"&lt;"&amp;'19_Расчет_аналитики'!AM3595,WeightedMinAge20),MAX(CapacityAge20*'01_Вводные'!$B$218*'19_Расчет_аналитики'!AM3595,MeanMinAge20))),0)</f>
        <v/>
      </c>
      <c r="AN3519">
        <f>IF('01_Вводные'!$B$234="Да",IF(OR('19_Расчет_аналитики'!AN3491=0,20&lt;='01_Вводные'!$B$297),0,'19_Расчет_аналитики'!AN3491*IF('01_Вводные'!$B$239="Да",MeanMinAge20+'19_Расчет_аналитики'!AN3595*SUMIF(ThresholdAge20,"&lt;"&amp;'19_Расчет_аналитики'!AN3595,WeightedRevAge20)-SUMIF(ThresholdAge20,"&lt;"&amp;'19_Расчет_аналитики'!AN3595,WeightedMinAge20),MAX(CapacityAge20*'01_Вводные'!$B$218*'19_Расчет_аналитики'!AN3595,MeanMinAge20))),0)</f>
        <v/>
      </c>
      <c r="AO3519">
        <f>IF('01_Вводные'!$B$234="Да",IF(OR('19_Расчет_аналитики'!AO3491=0,20&lt;='01_Вводные'!$B$297),0,'19_Расчет_аналитики'!AO3491*IF('01_Вводные'!$B$239="Да",MeanMinAge20+'19_Расчет_аналитики'!AO3595*SUMIF(ThresholdAge20,"&lt;"&amp;'19_Расчет_аналитики'!AO3595,WeightedRevAge20)-SUMIF(ThresholdAge20,"&lt;"&amp;'19_Расчет_аналитики'!AO3595,WeightedMinAge20),MAX(CapacityAge20*'01_Вводные'!$B$218*'19_Расчет_аналитики'!AO3595,MeanMinAge20))),0)</f>
        <v/>
      </c>
      <c r="AP3519">
        <f>IF('01_Вводные'!$B$234="Да",IF(OR('19_Расчет_аналитики'!AP3491=0,20&lt;='01_Вводные'!$B$297),0,'19_Расчет_аналитики'!AP3491*IF('01_Вводные'!$B$239="Да",MeanMinAge20+'19_Расчет_аналитики'!AP3595*SUMIF(ThresholdAge20,"&lt;"&amp;'19_Расчет_аналитики'!AP3595,WeightedRevAge20)-SUMIF(ThresholdAge20,"&lt;"&amp;'19_Расчет_аналитики'!AP3595,WeightedMinAge20),MAX(CapacityAge20*'01_Вводные'!$B$218*'19_Расчет_аналитики'!AP3595,MeanMinAge20))),0)</f>
        <v/>
      </c>
      <c r="AQ3519">
        <f>IF('01_Вводные'!$B$234="Да",IF(OR('19_Расчет_аналитики'!AQ3491=0,20&lt;='01_Вводные'!$B$297),0,'19_Расчет_аналитики'!AQ3491*IF('01_Вводные'!$B$239="Да",MeanMinAge20+'19_Расчет_аналитики'!AQ3595*SUMIF(ThresholdAge20,"&lt;"&amp;'19_Расчет_аналитики'!AQ3595,WeightedRevAge20)-SUMIF(ThresholdAge20,"&lt;"&amp;'19_Расчет_аналитики'!AQ3595,WeightedMinAge20),MAX(CapacityAge20*'01_Вводные'!$B$218*'19_Расчет_аналитики'!AQ3595,MeanMinAge20))),0)</f>
        <v/>
      </c>
      <c r="AR3519">
        <f>IF('01_Вводные'!$B$234="Да",IF(OR('19_Расчет_аналитики'!AR3491=0,20&lt;='01_Вводные'!$B$297),0,'19_Расчет_аналитики'!AR3491*IF('01_Вводные'!$B$239="Да",MeanMinAge20+'19_Расчет_аналитики'!AR3595*SUMIF(ThresholdAge20,"&lt;"&amp;'19_Расчет_аналитики'!AR3595,WeightedRevAge20)-SUMIF(ThresholdAge20,"&lt;"&amp;'19_Расчет_аналитики'!AR3595,WeightedMinAge20),MAX(CapacityAge20*'01_Вводные'!$B$218*'19_Расчет_аналитики'!AR3595,MeanMinAge20))),0)</f>
        <v/>
      </c>
      <c r="AS3519">
        <f>IF('01_Вводные'!$B$234="Да",IF(OR('19_Расчет_аналитики'!AS3491=0,20&lt;='01_Вводные'!$B$297),0,'19_Расчет_аналитики'!AS3491*IF('01_Вводные'!$B$239="Да",MeanMinAge20+'19_Расчет_аналитики'!AS3595*SUMIF(ThresholdAge20,"&lt;"&amp;'19_Расчет_аналитики'!AS3595,WeightedRevAge20)-SUMIF(ThresholdAge20,"&lt;"&amp;'19_Расчет_аналитики'!AS3595,WeightedMinAge20),MAX(CapacityAge20*'01_Вводные'!$B$218*'19_Расчет_аналитики'!AS3595,MeanMinAge20))),0)</f>
        <v/>
      </c>
      <c r="AT3519">
        <f>IF('01_Вводные'!$B$234="Да",IF(OR('19_Расчет_аналитики'!AT3491=0,20&lt;='01_Вводные'!$B$297),0,'19_Расчет_аналитики'!AT3491*IF('01_Вводные'!$B$239="Да",MeanMinAge20+'19_Расчет_аналитики'!AT3595*SUMIF(ThresholdAge20,"&lt;"&amp;'19_Расчет_аналитики'!AT3595,WeightedRevAge20)-SUMIF(ThresholdAge20,"&lt;"&amp;'19_Расчет_аналитики'!AT3595,WeightedMinAge20),MAX(CapacityAge20*'01_Вводные'!$B$218*'19_Расчет_аналитики'!AT3595,MeanMinAge20))),0)</f>
        <v/>
      </c>
      <c r="AU3519">
        <f>IF('01_Вводные'!$B$234="Да",IF(OR('19_Расчет_аналитики'!AU3491=0,20&lt;='01_Вводные'!$B$297),0,'19_Расчет_аналитики'!AU3491*IF('01_Вводные'!$B$239="Да",MeanMinAge20+'19_Расчет_аналитики'!AU3595*SUMIF(ThresholdAge20,"&lt;"&amp;'19_Расчет_аналитики'!AU3595,WeightedRevAge20)-SUMIF(ThresholdAge20,"&lt;"&amp;'19_Расчет_аналитики'!AU3595,WeightedMinAge20),MAX(CapacityAge20*'01_Вводные'!$B$218*'19_Расчет_аналитики'!AU3595,MeanMinAge20))),0)</f>
        <v/>
      </c>
      <c r="AV3519">
        <f>IF('01_Вводные'!$B$234="Да",IF(OR('19_Расчет_аналитики'!AV3491=0,20&lt;='01_Вводные'!$B$297),0,'19_Расчет_аналитики'!AV3491*IF('01_Вводные'!$B$239="Да",MeanMinAge20+'19_Расчет_аналитики'!AV3595*SUMIF(ThresholdAge20,"&lt;"&amp;'19_Расчет_аналитики'!AV3595,WeightedRevAge20)-SUMIF(ThresholdAge20,"&lt;"&amp;'19_Расчет_аналитики'!AV3595,WeightedMinAge20),MAX(CapacityAge20*'01_Вводные'!$B$218*'19_Расчет_аналитики'!AV3595,MeanMinAge20))),0)</f>
        <v/>
      </c>
      <c r="AW3519">
        <f>IF('01_Вводные'!$B$234="Да",IF(OR('19_Расчет_аналитики'!AW3491=0,20&lt;='01_Вводные'!$B$297),0,'19_Расчет_аналитики'!AW3491*IF('01_Вводные'!$B$239="Да",MeanMinAge20+'19_Расчет_аналитики'!AW3595*SUMIF(ThresholdAge20,"&lt;"&amp;'19_Расчет_аналитики'!AW3595,WeightedRevAge20)-SUMIF(ThresholdAge20,"&lt;"&amp;'19_Расчет_аналитики'!AW3595,WeightedMinAge20),MAX(CapacityAge20*'01_Вводные'!$B$218*'19_Расчет_аналитики'!AW3595,MeanMinAge20))),0)</f>
        <v/>
      </c>
      <c r="AX3519">
        <f>IF('01_Вводные'!$B$234="Да",IF(OR('19_Расчет_аналитики'!AX3491=0,20&lt;='01_Вводные'!$B$297),0,'19_Расчет_аналитики'!AX3491*IF('01_Вводные'!$B$239="Да",MeanMinAge20+'19_Расчет_аналитики'!AX3595*SUMIF(ThresholdAge20,"&lt;"&amp;'19_Расчет_аналитики'!AX3595,WeightedRevAge20)-SUMIF(ThresholdAge20,"&lt;"&amp;'19_Расчет_аналитики'!AX3595,WeightedMinAge20),MAX(CapacityAge20*'01_Вводные'!$B$218*'19_Расчет_аналитики'!AX3595,MeanMinAge20))),0)</f>
        <v/>
      </c>
      <c r="AY3519">
        <f>IF('01_Вводные'!$B$234="Да",IF(OR('19_Расчет_аналитики'!AY3491=0,20&lt;='01_Вводные'!$B$297),0,'19_Расчет_аналитики'!AY3491*IF('01_Вводные'!$B$239="Да",MeanMinAge20+'19_Расчет_аналитики'!AY3595*SUMIF(ThresholdAge20,"&lt;"&amp;'19_Расчет_аналитики'!AY3595,WeightedRevAge20)-SUMIF(ThresholdAge20,"&lt;"&amp;'19_Расчет_аналитики'!AY3595,WeightedMinAge20),MAX(CapacityAge20*'01_Вводные'!$B$218*'19_Расчет_аналитики'!AY3595,MeanMinAge20))),0)</f>
        <v/>
      </c>
      <c r="AZ3519">
        <f>IF('01_Вводные'!$B$234="Да",IF(OR('19_Расчет_аналитики'!AZ3491=0,20&lt;='01_Вводные'!$B$297),0,'19_Расчет_аналитики'!AZ3491*IF('01_Вводные'!$B$239="Да",MeanMinAge20+'19_Расчет_аналитики'!AZ3595*SUMIF(ThresholdAge20,"&lt;"&amp;'19_Расчет_аналитики'!AZ3595,WeightedRevAge20)-SUMIF(ThresholdAge20,"&lt;"&amp;'19_Расчет_аналитики'!AZ3595,WeightedMinAge20),MAX(CapacityAge20*'01_Вводные'!$B$218*'19_Расчет_аналитики'!AZ3595,MeanMinAge20))),0)</f>
        <v/>
      </c>
      <c r="BA3519">
        <f>IF('01_Вводные'!$B$234="Да",IF(OR('19_Расчет_аналитики'!BA3491=0,20&lt;='01_Вводные'!$B$297),0,'19_Расчет_аналитики'!BA3491*IF('01_Вводные'!$B$239="Да",MeanMinAge20+'19_Расчет_аналитики'!BA3595*SUMIF(ThresholdAge20,"&lt;"&amp;'19_Расчет_аналитики'!BA3595,WeightedRevAge20)-SUMIF(ThresholdAge20,"&lt;"&amp;'19_Расчет_аналитики'!BA3595,WeightedMinAge20),MAX(CapacityAge20*'01_Вводные'!$B$218*'19_Расчет_аналитики'!BA3595,MeanMinAge20))),0)</f>
        <v/>
      </c>
      <c r="BB3519">
        <f>IF('01_Вводные'!$B$234="Да",IF(OR('19_Расчет_аналитики'!BB3491=0,20&lt;='01_Вводные'!$B$297),0,'19_Расчет_аналитики'!BB3491*IF('01_Вводные'!$B$239="Да",MeanMinAge20+'19_Расчет_аналитики'!BB3595*SUMIF(ThresholdAge20,"&lt;"&amp;'19_Расчет_аналитики'!BB3595,WeightedRevAge20)-SUMIF(ThresholdAge20,"&lt;"&amp;'19_Расчет_аналитики'!BB3595,WeightedMinAge20),MAX(CapacityAge20*'01_Вводные'!$B$218*'19_Расчет_аналитики'!BB3595,MeanMinAge20))),0)</f>
        <v/>
      </c>
      <c r="BC3519">
        <f>IF('01_Вводные'!$B$234="Да",IF(OR('19_Расчет_аналитики'!BC3491=0,20&lt;='01_Вводные'!$B$297),0,'19_Расчет_аналитики'!BC3491*IF('01_Вводные'!$B$239="Да",MeanMinAge20+'19_Расчет_аналитики'!BC3595*SUMIF(ThresholdAge20,"&lt;"&amp;'19_Расчет_аналитики'!BC3595,WeightedRevAge20)-SUMIF(ThresholdAge20,"&lt;"&amp;'19_Расчет_аналитики'!BC3595,WeightedMinAge20),MAX(CapacityAge20*'01_Вводные'!$B$218*'19_Расчет_аналитики'!BC3595,MeanMinAge20))),0)</f>
        <v/>
      </c>
      <c r="BD3519">
        <f>IF('01_Вводные'!$B$234="Да",IF(OR('19_Расчет_аналитики'!BD3491=0,20&lt;='01_Вводные'!$B$297),0,'19_Расчет_аналитики'!BD3491*IF('01_Вводные'!$B$239="Да",MeanMinAge20+'19_Расчет_аналитики'!BD3595*SUMIF(ThresholdAge20,"&lt;"&amp;'19_Расчет_аналитики'!BD3595,WeightedRevAge20)-SUMIF(ThresholdAge20,"&lt;"&amp;'19_Расчет_аналитики'!BD3595,WeightedMinAge20),MAX(CapacityAge20*'01_Вводные'!$B$218*'19_Расчет_аналитики'!BD3595,MeanMinAge20))),0)</f>
        <v/>
      </c>
      <c r="BE3519">
        <f>IF('01_Вводные'!$B$234="Да",IF(OR('19_Расчет_аналитики'!BE3491=0,20&lt;='01_Вводные'!$B$297),0,'19_Расчет_аналитики'!BE3491*IF('01_Вводные'!$B$239="Да",MeanMinAge20+'19_Расчет_аналитики'!BE3595*SUMIF(ThresholdAge20,"&lt;"&amp;'19_Расчет_аналитики'!BE3595,WeightedRevAge20)-SUMIF(ThresholdAge20,"&lt;"&amp;'19_Расчет_аналитики'!BE3595,WeightedMinAge20),MAX(CapacityAge20*'01_Вводные'!$B$218*'19_Расчет_аналитики'!BE3595,MeanMinAge20))),0)</f>
        <v/>
      </c>
      <c r="BF3519">
        <f>IF('01_Вводные'!$B$234="Да",IF(OR('19_Расчет_аналитики'!BF3491=0,20&lt;='01_Вводные'!$B$297),0,'19_Расчет_аналитики'!BF3491*IF('01_Вводные'!$B$239="Да",MeanMinAge20+'19_Расчет_аналитики'!BF3595*SUMIF(ThresholdAge20,"&lt;"&amp;'19_Расчет_аналитики'!BF3595,WeightedRevAge20)-SUMIF(ThresholdAge20,"&lt;"&amp;'19_Расчет_аналитики'!BF3595,WeightedMinAge20),MAX(CapacityAge20*'01_Вводные'!$B$218*'19_Расчет_аналитики'!BF3595,MeanMinAge20))),0)</f>
        <v/>
      </c>
      <c r="BG3519">
        <f>IF('01_Вводные'!$B$234="Да",IF(OR('19_Расчет_аналитики'!BG3491=0,20&lt;='01_Вводные'!$B$297),0,'19_Расчет_аналитики'!BG3491*IF('01_Вводные'!$B$239="Да",MeanMinAge20+'19_Расчет_аналитики'!BG3595*SUMIF(ThresholdAge20,"&lt;"&amp;'19_Расчет_аналитики'!BG3595,WeightedRevAge20)-SUMIF(ThresholdAge20,"&lt;"&amp;'19_Расчет_аналитики'!BG3595,WeightedMinAge20),MAX(CapacityAge20*'01_Вводные'!$B$218*'19_Расчет_аналитики'!BG3595,MeanMinAge20))),0)</f>
        <v/>
      </c>
      <c r="BH3519">
        <f>IF('01_Вводные'!$B$234="Да",IF(OR('19_Расчет_аналитики'!BH3491=0,20&lt;='01_Вводные'!$B$297),0,'19_Расчет_аналитики'!BH3491*IF('01_Вводные'!$B$239="Да",MeanMinAge20+'19_Расчет_аналитики'!BH3595*SUMIF(ThresholdAge20,"&lt;"&amp;'19_Расчет_аналитики'!BH3595,WeightedRevAge20)-SUMIF(ThresholdAge20,"&lt;"&amp;'19_Расчет_аналитики'!BH3595,WeightedMinAge20),MAX(CapacityAge20*'01_Вводные'!$B$218*'19_Расчет_аналитики'!BH3595,MeanMinAge20))),0)</f>
        <v/>
      </c>
      <c r="BI3519">
        <f>IF('01_Вводные'!$B$234="Да",IF(OR('19_Расчет_аналитики'!BI3491=0,20&lt;='01_Вводные'!$B$297),0,'19_Расчет_аналитики'!BI3491*IF('01_Вводные'!$B$239="Да",MeanMinAge20+'19_Расчет_аналитики'!BI3595*SUMIF(ThresholdAge20,"&lt;"&amp;'19_Расчет_аналитики'!BI3595,WeightedRevAge20)-SUMIF(ThresholdAge20,"&lt;"&amp;'19_Расчет_аналитики'!BI3595,WeightedMinAge20),MAX(CapacityAge20*'01_Вводные'!$B$218*'19_Расчет_аналитики'!BI3595,MeanMinAge20))),0)</f>
        <v/>
      </c>
      <c r="BJ3519">
        <f>IF('01_Вводные'!$B$234="Да",IF(OR('19_Расчет_аналитики'!BJ3491=0,20&lt;='01_Вводные'!$B$297),0,'19_Расчет_аналитики'!BJ3491*IF('01_Вводные'!$B$239="Да",MeanMinAge20+'19_Расчет_аналитики'!BJ3595*SUMIF(ThresholdAge20,"&lt;"&amp;'19_Расчет_аналитики'!BJ3595,WeightedRevAge20)-SUMIF(ThresholdAge20,"&lt;"&amp;'19_Расчет_аналитики'!BJ3595,WeightedMinAge20),MAX(CapacityAge20*'01_Вводные'!$B$218*'19_Расчет_аналитики'!BJ3595,MeanMinAge20))),0)</f>
        <v/>
      </c>
      <c r="BK3519">
        <f>IF('01_Вводные'!$B$234="Да",IF(OR('19_Расчет_аналитики'!BK3491=0,20&lt;='01_Вводные'!$B$297),0,'19_Расчет_аналитики'!BK3491*IF('01_Вводные'!$B$239="Да",MeanMinAge20+'19_Расчет_аналитики'!BK3595*SUMIF(ThresholdAge20,"&lt;"&amp;'19_Расчет_аналитики'!BK3595,WeightedRevAge20)-SUMIF(ThresholdAge20,"&lt;"&amp;'19_Расчет_аналитики'!BK3595,WeightedMinAge20),MAX(CapacityAge20*'01_Вводные'!$B$218*'19_Расчет_аналитики'!BK3595,MeanMinAge20))),0)</f>
        <v/>
      </c>
      <c r="BL3519">
        <f>IF('01_Вводные'!$B$234="Да",IF(OR('19_Расчет_аналитики'!BL3491=0,20&lt;='01_Вводные'!$B$297),0,'19_Расчет_аналитики'!BL3491*IF('01_Вводные'!$B$239="Да",MeanMinAge20+'19_Расчет_аналитики'!BL3595*SUMIF(ThresholdAge20,"&lt;"&amp;'19_Расчет_аналитики'!BL3595,WeightedRevAge20)-SUMIF(ThresholdAge20,"&lt;"&amp;'19_Расчет_аналитики'!BL3595,WeightedMinAge20),MAX(CapacityAge20*'01_Вводные'!$B$218*'19_Расчет_аналитики'!BL3595,MeanMinAge20))),0)</f>
        <v/>
      </c>
      <c r="BM3519">
        <f>IF('01_Вводные'!$B$234="Да",IF(OR('19_Расчет_аналитики'!BM3491=0,20&lt;='01_Вводные'!$B$297),0,'19_Расчет_аналитики'!BM3491*IF('01_Вводные'!$B$239="Да",MeanMinAge20+'19_Расчет_аналитики'!BM3595*SUMIF(ThresholdAge20,"&lt;"&amp;'19_Расчет_аналитики'!BM3595,WeightedRevAge20)-SUMIF(ThresholdAge20,"&lt;"&amp;'19_Расчет_аналитики'!BM3595,WeightedMinAge20),MAX(CapacityAge20*'01_Вводные'!$B$218*'19_Расчет_аналитики'!BM3595,MeanMinAge20))),0)</f>
        <v/>
      </c>
      <c r="BN3519">
        <f>IF('01_Вводные'!$B$234="Да",IF(OR('19_Расчет_аналитики'!BN3491=0,20&lt;='01_Вводные'!$B$297),0,'19_Расчет_аналитики'!BN3491*IF('01_Вводные'!$B$239="Да",MeanMinAge20+'19_Расчет_аналитики'!BN3595*SUMIF(ThresholdAge20,"&lt;"&amp;'19_Расчет_аналитики'!BN3595,WeightedRevAge20)-SUMIF(ThresholdAge20,"&lt;"&amp;'19_Расчет_аналитики'!BN3595,WeightedMinAge20),MAX(CapacityAge20*'01_Вводные'!$B$218*'19_Расчет_аналитики'!BN3595,MeanMinAge20))),0)</f>
        <v/>
      </c>
      <c r="BO3519">
        <f>IF('01_Вводные'!$B$234="Да",IF(OR('19_Расчет_аналитики'!BO3491=0,20&lt;='01_Вводные'!$B$297),0,'19_Расчет_аналитики'!BO3491*IF('01_Вводные'!$B$239="Да",MeanMinAge20+'19_Расчет_аналитики'!BO3595*SUMIF(ThresholdAge20,"&lt;"&amp;'19_Расчет_аналитики'!BO3595,WeightedRevAge20)-SUMIF(ThresholdAge20,"&lt;"&amp;'19_Расчет_аналитики'!BO3595,WeightedMinAge20),MAX(CapacityAge20*'01_Вводные'!$B$218*'19_Расчет_аналитики'!BO3595,MeanMinAge20))),0)</f>
        <v/>
      </c>
    </row>
    <row r="3520">
      <c r="B3520">
        <f>IF('01_Вводные'!$B$234="Да",IF(OR('06_Сеть_и_дети'!B101=0,21&lt;='01_Вводные'!$B$297),0,'06_Сеть_и_дети'!B101*IF('01_Вводные'!$B$239="Да",MeanMinAge21+'19_Расчет_аналитики'!B3595*SUMIF(ThresholdAge21,"&lt;"&amp;'19_Расчет_аналитики'!B3595,WeightedRevAge21)-SUMIF(ThresholdAge21,"&lt;"&amp;'19_Расчет_аналитики'!B3595,WeightedMinAge21),MAX(CapacityAge21*'01_Вводные'!$B$218*'19_Расчет_аналитики'!B3595,MeanMinAge21))),0)</f>
        <v/>
      </c>
      <c r="C3520">
        <f>IF('01_Вводные'!$B$234="Да",IF(OR('06_Сеть_и_дети'!C101=0,21&lt;='01_Вводные'!$B$297),0,'06_Сеть_и_дети'!C101*IF('01_Вводные'!$B$239="Да",MeanMinAge21+'19_Расчет_аналитики'!C3595*SUMIF(ThresholdAge21,"&lt;"&amp;'19_Расчет_аналитики'!C3595,WeightedRevAge21)-SUMIF(ThresholdAge21,"&lt;"&amp;'19_Расчет_аналитики'!C3595,WeightedMinAge21),MAX(CapacityAge21*'01_Вводные'!$B$218*'19_Расчет_аналитики'!C3595,MeanMinAge21))),0)</f>
        <v/>
      </c>
      <c r="D3520">
        <f>IF('01_Вводные'!$B$234="Да",IF(OR('06_Сеть_и_дети'!D101=0,21&lt;='01_Вводные'!$B$297),0,'06_Сеть_и_дети'!D101*IF('01_Вводные'!$B$239="Да",MeanMinAge21+'19_Расчет_аналитики'!D3595*SUMIF(ThresholdAge21,"&lt;"&amp;'19_Расчет_аналитики'!D3595,WeightedRevAge21)-SUMIF(ThresholdAge21,"&lt;"&amp;'19_Расчет_аналитики'!D3595,WeightedMinAge21),MAX(CapacityAge21*'01_Вводные'!$B$218*'19_Расчет_аналитики'!D3595,MeanMinAge21))),0)</f>
        <v/>
      </c>
      <c r="E3520">
        <f>IF('01_Вводные'!$B$234="Да",IF(OR('06_Сеть_и_дети'!E101=0,21&lt;='01_Вводные'!$B$297),0,'06_Сеть_и_дети'!E101*IF('01_Вводные'!$B$239="Да",MeanMinAge21+'19_Расчет_аналитики'!E3595*SUMIF(ThresholdAge21,"&lt;"&amp;'19_Расчет_аналитики'!E3595,WeightedRevAge21)-SUMIF(ThresholdAge21,"&lt;"&amp;'19_Расчет_аналитики'!E3595,WeightedMinAge21),MAX(CapacityAge21*'01_Вводные'!$B$218*'19_Расчет_аналитики'!E3595,MeanMinAge21))),0)</f>
        <v/>
      </c>
      <c r="F3520">
        <f>IF('01_Вводные'!$B$234="Да",IF(OR('06_Сеть_и_дети'!F101=0,21&lt;='01_Вводные'!$B$297),0,'06_Сеть_и_дети'!F101*IF('01_Вводные'!$B$239="Да",MeanMinAge21+'19_Расчет_аналитики'!F3595*SUMIF(ThresholdAge21,"&lt;"&amp;'19_Расчет_аналитики'!F3595,WeightedRevAge21)-SUMIF(ThresholdAge21,"&lt;"&amp;'19_Расчет_аналитики'!F3595,WeightedMinAge21),MAX(CapacityAge21*'01_Вводные'!$B$218*'19_Расчет_аналитики'!F3595,MeanMinAge21))),0)</f>
        <v/>
      </c>
      <c r="G3520">
        <f>IF('01_Вводные'!$B$234="Да",IF(OR('06_Сеть_и_дети'!G101=0,21&lt;='01_Вводные'!$B$297),0,'06_Сеть_и_дети'!G101*IF('01_Вводные'!$B$239="Да",MeanMinAge21+'19_Расчет_аналитики'!G3595*SUMIF(ThresholdAge21,"&lt;"&amp;'19_Расчет_аналитики'!G3595,WeightedRevAge21)-SUMIF(ThresholdAge21,"&lt;"&amp;'19_Расчет_аналитики'!G3595,WeightedMinAge21),MAX(CapacityAge21*'01_Вводные'!$B$218*'19_Расчет_аналитики'!G3595,MeanMinAge21))),0)</f>
        <v/>
      </c>
      <c r="H3520">
        <f>IF('01_Вводные'!$B$234="Да",IF(OR('06_Сеть_и_дети'!H101=0,21&lt;='01_Вводные'!$B$297),0,'06_Сеть_и_дети'!H101*IF('01_Вводные'!$B$239="Да",MeanMinAge21+'19_Расчет_аналитики'!H3595*SUMIF(ThresholdAge21,"&lt;"&amp;'19_Расчет_аналитики'!H3595,WeightedRevAge21)-SUMIF(ThresholdAge21,"&lt;"&amp;'19_Расчет_аналитики'!H3595,WeightedMinAge21),MAX(CapacityAge21*'01_Вводные'!$B$218*'19_Расчет_аналитики'!H3595,MeanMinAge21))),0)</f>
        <v/>
      </c>
      <c r="I3520">
        <f>IF('01_Вводные'!$B$234="Да",IF(OR('06_Сеть_и_дети'!I101=0,21&lt;='01_Вводные'!$B$297),0,'06_Сеть_и_дети'!I101*IF('01_Вводные'!$B$239="Да",MeanMinAge21+'19_Расчет_аналитики'!I3595*SUMIF(ThresholdAge21,"&lt;"&amp;'19_Расчет_аналитики'!I3595,WeightedRevAge21)-SUMIF(ThresholdAge21,"&lt;"&amp;'19_Расчет_аналитики'!I3595,WeightedMinAge21),MAX(CapacityAge21*'01_Вводные'!$B$218*'19_Расчет_аналитики'!I3595,MeanMinAge21))),0)</f>
        <v/>
      </c>
      <c r="J3520">
        <f>IF('01_Вводные'!$B$234="Да",IF(OR('06_Сеть_и_дети'!J101=0,21&lt;='01_Вводные'!$B$297),0,'06_Сеть_и_дети'!J101*IF('01_Вводные'!$B$239="Да",MeanMinAge21+'19_Расчет_аналитики'!J3595*SUMIF(ThresholdAge21,"&lt;"&amp;'19_Расчет_аналитики'!J3595,WeightedRevAge21)-SUMIF(ThresholdAge21,"&lt;"&amp;'19_Расчет_аналитики'!J3595,WeightedMinAge21),MAX(CapacityAge21*'01_Вводные'!$B$218*'19_Расчет_аналитики'!J3595,MeanMinAge21))),0)</f>
        <v/>
      </c>
      <c r="K3520">
        <f>IF('01_Вводные'!$B$234="Да",IF(OR('06_Сеть_и_дети'!K101=0,21&lt;='01_Вводные'!$B$297),0,'06_Сеть_и_дети'!K101*IF('01_Вводные'!$B$239="Да",MeanMinAge21+'19_Расчет_аналитики'!K3595*SUMIF(ThresholdAge21,"&lt;"&amp;'19_Расчет_аналитики'!K3595,WeightedRevAge21)-SUMIF(ThresholdAge21,"&lt;"&amp;'19_Расчет_аналитики'!K3595,WeightedMinAge21),MAX(CapacityAge21*'01_Вводные'!$B$218*'19_Расчет_аналитики'!K3595,MeanMinAge21))),0)</f>
        <v/>
      </c>
      <c r="L3520">
        <f>IF('01_Вводные'!$B$234="Да",IF(OR('06_Сеть_и_дети'!L101=0,21&lt;='01_Вводные'!$B$297),0,'06_Сеть_и_дети'!L101*IF('01_Вводные'!$B$239="Да",MeanMinAge21+'19_Расчет_аналитики'!L3595*SUMIF(ThresholdAge21,"&lt;"&amp;'19_Расчет_аналитики'!L3595,WeightedRevAge21)-SUMIF(ThresholdAge21,"&lt;"&amp;'19_Расчет_аналитики'!L3595,WeightedMinAge21),MAX(CapacityAge21*'01_Вводные'!$B$218*'19_Расчет_аналитики'!L3595,MeanMinAge21))),0)</f>
        <v/>
      </c>
      <c r="M3520">
        <f>IF('01_Вводные'!$B$234="Да",IF(OR('06_Сеть_и_дети'!M101=0,21&lt;='01_Вводные'!$B$297),0,'06_Сеть_и_дети'!M101*IF('01_Вводные'!$B$239="Да",MeanMinAge21+'19_Расчет_аналитики'!M3595*SUMIF(ThresholdAge21,"&lt;"&amp;'19_Расчет_аналитики'!M3595,WeightedRevAge21)-SUMIF(ThresholdAge21,"&lt;"&amp;'19_Расчет_аналитики'!M3595,WeightedMinAge21),MAX(CapacityAge21*'01_Вводные'!$B$218*'19_Расчет_аналитики'!M3595,MeanMinAge21))),0)</f>
        <v/>
      </c>
      <c r="N3520">
        <f>IF('01_Вводные'!$B$234="Да",IF(OR('06_Сеть_и_дети'!N101=0,21&lt;='01_Вводные'!$B$297),0,'06_Сеть_и_дети'!N101*IF('01_Вводные'!$B$239="Да",MeanMinAge21+'19_Расчет_аналитики'!N3595*SUMIF(ThresholdAge21,"&lt;"&amp;'19_Расчет_аналитики'!N3595,WeightedRevAge21)-SUMIF(ThresholdAge21,"&lt;"&amp;'19_Расчет_аналитики'!N3595,WeightedMinAge21),MAX(CapacityAge21*'01_Вводные'!$B$218*'19_Расчет_аналитики'!N3595,MeanMinAge21))),0)</f>
        <v/>
      </c>
      <c r="O3520">
        <f>IF('01_Вводные'!$B$234="Да",IF(OR('06_Сеть_и_дети'!O101=0,21&lt;='01_Вводные'!$B$297),0,'06_Сеть_и_дети'!O101*IF('01_Вводные'!$B$239="Да",MeanMinAge21+'19_Расчет_аналитики'!O3595*SUMIF(ThresholdAge21,"&lt;"&amp;'19_Расчет_аналитики'!O3595,WeightedRevAge21)-SUMIF(ThresholdAge21,"&lt;"&amp;'19_Расчет_аналитики'!O3595,WeightedMinAge21),MAX(CapacityAge21*'01_Вводные'!$B$218*'19_Расчет_аналитики'!O3595,MeanMinAge21))),0)</f>
        <v/>
      </c>
      <c r="P3520">
        <f>IF('01_Вводные'!$B$234="Да",IF(OR('06_Сеть_и_дети'!P101=0,21&lt;='01_Вводные'!$B$297),0,'06_Сеть_и_дети'!P101*IF('01_Вводные'!$B$239="Да",MeanMinAge21+'19_Расчет_аналитики'!P3595*SUMIF(ThresholdAge21,"&lt;"&amp;'19_Расчет_аналитики'!P3595,WeightedRevAge21)-SUMIF(ThresholdAge21,"&lt;"&amp;'19_Расчет_аналитики'!P3595,WeightedMinAge21),MAX(CapacityAge21*'01_Вводные'!$B$218*'19_Расчет_аналитики'!P3595,MeanMinAge21))),0)</f>
        <v/>
      </c>
      <c r="Q3520">
        <f>IF('01_Вводные'!$B$234="Да",IF(OR('06_Сеть_и_дети'!Q101=0,21&lt;='01_Вводные'!$B$297),0,'06_Сеть_и_дети'!Q101*IF('01_Вводные'!$B$239="Да",MeanMinAge21+'19_Расчет_аналитики'!Q3595*SUMIF(ThresholdAge21,"&lt;"&amp;'19_Расчет_аналитики'!Q3595,WeightedRevAge21)-SUMIF(ThresholdAge21,"&lt;"&amp;'19_Расчет_аналитики'!Q3595,WeightedMinAge21),MAX(CapacityAge21*'01_Вводные'!$B$218*'19_Расчет_аналитики'!Q3595,MeanMinAge21))),0)</f>
        <v/>
      </c>
      <c r="R3520">
        <f>IF('01_Вводные'!$B$234="Да",IF(OR('06_Сеть_и_дети'!R101=0,21&lt;='01_Вводные'!$B$297),0,'06_Сеть_и_дети'!R101*IF('01_Вводные'!$B$239="Да",MeanMinAge21+'19_Расчет_аналитики'!R3595*SUMIF(ThresholdAge21,"&lt;"&amp;'19_Расчет_аналитики'!R3595,WeightedRevAge21)-SUMIF(ThresholdAge21,"&lt;"&amp;'19_Расчет_аналитики'!R3595,WeightedMinAge21),MAX(CapacityAge21*'01_Вводные'!$B$218*'19_Расчет_аналитики'!R3595,MeanMinAge21))),0)</f>
        <v/>
      </c>
      <c r="S3520">
        <f>IF('01_Вводные'!$B$234="Да",IF(OR('06_Сеть_и_дети'!S101=0,21&lt;='01_Вводные'!$B$297),0,'06_Сеть_и_дети'!S101*IF('01_Вводные'!$B$239="Да",MeanMinAge21+'19_Расчет_аналитики'!S3595*SUMIF(ThresholdAge21,"&lt;"&amp;'19_Расчет_аналитики'!S3595,WeightedRevAge21)-SUMIF(ThresholdAge21,"&lt;"&amp;'19_Расчет_аналитики'!S3595,WeightedMinAge21),MAX(CapacityAge21*'01_Вводные'!$B$218*'19_Расчет_аналитики'!S3595,MeanMinAge21))),0)</f>
        <v/>
      </c>
      <c r="T3520">
        <f>IF('01_Вводные'!$B$234="Да",IF(OR('06_Сеть_и_дети'!T101=0,21&lt;='01_Вводные'!$B$297),0,'06_Сеть_и_дети'!T101*IF('01_Вводные'!$B$239="Да",MeanMinAge21+'19_Расчет_аналитики'!T3595*SUMIF(ThresholdAge21,"&lt;"&amp;'19_Расчет_аналитики'!T3595,WeightedRevAge21)-SUMIF(ThresholdAge21,"&lt;"&amp;'19_Расчет_аналитики'!T3595,WeightedMinAge21),MAX(CapacityAge21*'01_Вводные'!$B$218*'19_Расчет_аналитики'!T3595,MeanMinAge21))),0)</f>
        <v/>
      </c>
      <c r="U3520">
        <f>IF('01_Вводные'!$B$234="Да",IF(OR('06_Сеть_и_дети'!U101=0,21&lt;='01_Вводные'!$B$297),0,'06_Сеть_и_дети'!U101*IF('01_Вводные'!$B$239="Да",MeanMinAge21+'19_Расчет_аналитики'!U3595*SUMIF(ThresholdAge21,"&lt;"&amp;'19_Расчет_аналитики'!U3595,WeightedRevAge21)-SUMIF(ThresholdAge21,"&lt;"&amp;'19_Расчет_аналитики'!U3595,WeightedMinAge21),MAX(CapacityAge21*'01_Вводные'!$B$218*'19_Расчет_аналитики'!U3595,MeanMinAge21))),0)</f>
        <v/>
      </c>
      <c r="V3520">
        <f>IF('01_Вводные'!$B$234="Да",IF(OR('19_Расчет_аналитики'!V3492=0,21&lt;='01_Вводные'!$B$297),0,'19_Расчет_аналитики'!V3492*IF('01_Вводные'!$B$239="Да",MeanMinAge21+'19_Расчет_аналитики'!V3595*SUMIF(ThresholdAge21,"&lt;"&amp;'19_Расчет_аналитики'!V3595,WeightedRevAge21)-SUMIF(ThresholdAge21,"&lt;"&amp;'19_Расчет_аналитики'!V3595,WeightedMinAge21),MAX(CapacityAge21*'01_Вводные'!$B$218*'19_Расчет_аналитики'!V3595,MeanMinAge21))),0)</f>
        <v/>
      </c>
      <c r="W3520">
        <f>IF('01_Вводные'!$B$234="Да",IF(OR('19_Расчет_аналитики'!W3492=0,21&lt;='01_Вводные'!$B$297),0,'19_Расчет_аналитики'!W3492*IF('01_Вводные'!$B$239="Да",MeanMinAge21+'19_Расчет_аналитики'!W3595*SUMIF(ThresholdAge21,"&lt;"&amp;'19_Расчет_аналитики'!W3595,WeightedRevAge21)-SUMIF(ThresholdAge21,"&lt;"&amp;'19_Расчет_аналитики'!W3595,WeightedMinAge21),MAX(CapacityAge21*'01_Вводные'!$B$218*'19_Расчет_аналитики'!W3595,MeanMinAge21))),0)</f>
        <v/>
      </c>
      <c r="X3520">
        <f>IF('01_Вводные'!$B$234="Да",IF(OR('19_Расчет_аналитики'!X3492=0,21&lt;='01_Вводные'!$B$297),0,'19_Расчет_аналитики'!X3492*IF('01_Вводные'!$B$239="Да",MeanMinAge21+'19_Расчет_аналитики'!X3595*SUMIF(ThresholdAge21,"&lt;"&amp;'19_Расчет_аналитики'!X3595,WeightedRevAge21)-SUMIF(ThresholdAge21,"&lt;"&amp;'19_Расчет_аналитики'!X3595,WeightedMinAge21),MAX(CapacityAge21*'01_Вводные'!$B$218*'19_Расчет_аналитики'!X3595,MeanMinAge21))),0)</f>
        <v/>
      </c>
      <c r="Y3520">
        <f>IF('01_Вводные'!$B$234="Да",IF(OR('19_Расчет_аналитики'!Y3492=0,21&lt;='01_Вводные'!$B$297),0,'19_Расчет_аналитики'!Y3492*IF('01_Вводные'!$B$239="Да",MeanMinAge21+'19_Расчет_аналитики'!Y3595*SUMIF(ThresholdAge21,"&lt;"&amp;'19_Расчет_аналитики'!Y3595,WeightedRevAge21)-SUMIF(ThresholdAge21,"&lt;"&amp;'19_Расчет_аналитики'!Y3595,WeightedMinAge21),MAX(CapacityAge21*'01_Вводные'!$B$218*'19_Расчет_аналитики'!Y3595,MeanMinAge21))),0)</f>
        <v/>
      </c>
      <c r="Z3520">
        <f>IF('01_Вводные'!$B$234="Да",IF(OR('19_Расчет_аналитики'!Z3492=0,21&lt;='01_Вводные'!$B$297),0,'19_Расчет_аналитики'!Z3492*IF('01_Вводные'!$B$239="Да",MeanMinAge21+'19_Расчет_аналитики'!Z3595*SUMIF(ThresholdAge21,"&lt;"&amp;'19_Расчет_аналитики'!Z3595,WeightedRevAge21)-SUMIF(ThresholdAge21,"&lt;"&amp;'19_Расчет_аналитики'!Z3595,WeightedMinAge21),MAX(CapacityAge21*'01_Вводные'!$B$218*'19_Расчет_аналитики'!Z3595,MeanMinAge21))),0)</f>
        <v/>
      </c>
      <c r="AA3520">
        <f>IF('01_Вводные'!$B$234="Да",IF(OR('19_Расчет_аналитики'!AA3492=0,21&lt;='01_Вводные'!$B$297),0,'19_Расчет_аналитики'!AA3492*IF('01_Вводные'!$B$239="Да",MeanMinAge21+'19_Расчет_аналитики'!AA3595*SUMIF(ThresholdAge21,"&lt;"&amp;'19_Расчет_аналитики'!AA3595,WeightedRevAge21)-SUMIF(ThresholdAge21,"&lt;"&amp;'19_Расчет_аналитики'!AA3595,WeightedMinAge21),MAX(CapacityAge21*'01_Вводные'!$B$218*'19_Расчет_аналитики'!AA3595,MeanMinAge21))),0)</f>
        <v/>
      </c>
      <c r="AB3520">
        <f>IF('01_Вводные'!$B$234="Да",IF(OR('19_Расчет_аналитики'!AB3492=0,21&lt;='01_Вводные'!$B$297),0,'19_Расчет_аналитики'!AB3492*IF('01_Вводные'!$B$239="Да",MeanMinAge21+'19_Расчет_аналитики'!AB3595*SUMIF(ThresholdAge21,"&lt;"&amp;'19_Расчет_аналитики'!AB3595,WeightedRevAge21)-SUMIF(ThresholdAge21,"&lt;"&amp;'19_Расчет_аналитики'!AB3595,WeightedMinAge21),MAX(CapacityAge21*'01_Вводные'!$B$218*'19_Расчет_аналитики'!AB3595,MeanMinAge21))),0)</f>
        <v/>
      </c>
      <c r="AC3520">
        <f>IF('01_Вводные'!$B$234="Да",IF(OR('19_Расчет_аналитики'!AC3492=0,21&lt;='01_Вводные'!$B$297),0,'19_Расчет_аналитики'!AC3492*IF('01_Вводные'!$B$239="Да",MeanMinAge21+'19_Расчет_аналитики'!AC3595*SUMIF(ThresholdAge21,"&lt;"&amp;'19_Расчет_аналитики'!AC3595,WeightedRevAge21)-SUMIF(ThresholdAge21,"&lt;"&amp;'19_Расчет_аналитики'!AC3595,WeightedMinAge21),MAX(CapacityAge21*'01_Вводные'!$B$218*'19_Расчет_аналитики'!AC3595,MeanMinAge21))),0)</f>
        <v/>
      </c>
      <c r="AD3520">
        <f>IF('01_Вводные'!$B$234="Да",IF(OR('19_Расчет_аналитики'!AD3492=0,21&lt;='01_Вводные'!$B$297),0,'19_Расчет_аналитики'!AD3492*IF('01_Вводные'!$B$239="Да",MeanMinAge21+'19_Расчет_аналитики'!AD3595*SUMIF(ThresholdAge21,"&lt;"&amp;'19_Расчет_аналитики'!AD3595,WeightedRevAge21)-SUMIF(ThresholdAge21,"&lt;"&amp;'19_Расчет_аналитики'!AD3595,WeightedMinAge21),MAX(CapacityAge21*'01_Вводные'!$B$218*'19_Расчет_аналитики'!AD3595,MeanMinAge21))),0)</f>
        <v/>
      </c>
      <c r="AE3520">
        <f>IF('01_Вводные'!$B$234="Да",IF(OR('19_Расчет_аналитики'!AE3492=0,21&lt;='01_Вводные'!$B$297),0,'19_Расчет_аналитики'!AE3492*IF('01_Вводные'!$B$239="Да",MeanMinAge21+'19_Расчет_аналитики'!AE3595*SUMIF(ThresholdAge21,"&lt;"&amp;'19_Расчет_аналитики'!AE3595,WeightedRevAge21)-SUMIF(ThresholdAge21,"&lt;"&amp;'19_Расчет_аналитики'!AE3595,WeightedMinAge21),MAX(CapacityAge21*'01_Вводные'!$B$218*'19_Расчет_аналитики'!AE3595,MeanMinAge21))),0)</f>
        <v/>
      </c>
      <c r="AF3520">
        <f>IF('01_Вводные'!$B$234="Да",IF(OR('19_Расчет_аналитики'!AF3492=0,21&lt;='01_Вводные'!$B$297),0,'19_Расчет_аналитики'!AF3492*IF('01_Вводные'!$B$239="Да",MeanMinAge21+'19_Расчет_аналитики'!AF3595*SUMIF(ThresholdAge21,"&lt;"&amp;'19_Расчет_аналитики'!AF3595,WeightedRevAge21)-SUMIF(ThresholdAge21,"&lt;"&amp;'19_Расчет_аналитики'!AF3595,WeightedMinAge21),MAX(CapacityAge21*'01_Вводные'!$B$218*'19_Расчет_аналитики'!AF3595,MeanMinAge21))),0)</f>
        <v/>
      </c>
      <c r="AG3520">
        <f>IF('01_Вводные'!$B$234="Да",IF(OR('19_Расчет_аналитики'!AG3492=0,21&lt;='01_Вводные'!$B$297),0,'19_Расчет_аналитики'!AG3492*IF('01_Вводные'!$B$239="Да",MeanMinAge21+'19_Расчет_аналитики'!AG3595*SUMIF(ThresholdAge21,"&lt;"&amp;'19_Расчет_аналитики'!AG3595,WeightedRevAge21)-SUMIF(ThresholdAge21,"&lt;"&amp;'19_Расчет_аналитики'!AG3595,WeightedMinAge21),MAX(CapacityAge21*'01_Вводные'!$B$218*'19_Расчет_аналитики'!AG3595,MeanMinAge21))),0)</f>
        <v/>
      </c>
      <c r="AH3520">
        <f>IF('01_Вводные'!$B$234="Да",IF(OR('19_Расчет_аналитики'!AH3492=0,21&lt;='01_Вводные'!$B$297),0,'19_Расчет_аналитики'!AH3492*IF('01_Вводные'!$B$239="Да",MeanMinAge21+'19_Расчет_аналитики'!AH3595*SUMIF(ThresholdAge21,"&lt;"&amp;'19_Расчет_аналитики'!AH3595,WeightedRevAge21)-SUMIF(ThresholdAge21,"&lt;"&amp;'19_Расчет_аналитики'!AH3595,WeightedMinAge21),MAX(CapacityAge21*'01_Вводные'!$B$218*'19_Расчет_аналитики'!AH3595,MeanMinAge21))),0)</f>
        <v/>
      </c>
      <c r="AI3520">
        <f>IF('01_Вводные'!$B$234="Да",IF(OR('19_Расчет_аналитики'!AI3492=0,21&lt;='01_Вводные'!$B$297),0,'19_Расчет_аналитики'!AI3492*IF('01_Вводные'!$B$239="Да",MeanMinAge21+'19_Расчет_аналитики'!AI3595*SUMIF(ThresholdAge21,"&lt;"&amp;'19_Расчет_аналитики'!AI3595,WeightedRevAge21)-SUMIF(ThresholdAge21,"&lt;"&amp;'19_Расчет_аналитики'!AI3595,WeightedMinAge21),MAX(CapacityAge21*'01_Вводные'!$B$218*'19_Расчет_аналитики'!AI3595,MeanMinAge21))),0)</f>
        <v/>
      </c>
      <c r="AJ3520">
        <f>IF('01_Вводные'!$B$234="Да",IF(OR('19_Расчет_аналитики'!AJ3492=0,21&lt;='01_Вводные'!$B$297),0,'19_Расчет_аналитики'!AJ3492*IF('01_Вводные'!$B$239="Да",MeanMinAge21+'19_Расчет_аналитики'!AJ3595*SUMIF(ThresholdAge21,"&lt;"&amp;'19_Расчет_аналитики'!AJ3595,WeightedRevAge21)-SUMIF(ThresholdAge21,"&lt;"&amp;'19_Расчет_аналитики'!AJ3595,WeightedMinAge21),MAX(CapacityAge21*'01_Вводные'!$B$218*'19_Расчет_аналитики'!AJ3595,MeanMinAge21))),0)</f>
        <v/>
      </c>
      <c r="AK3520">
        <f>IF('01_Вводные'!$B$234="Да",IF(OR('19_Расчет_аналитики'!AK3492=0,21&lt;='01_Вводные'!$B$297),0,'19_Расчет_аналитики'!AK3492*IF('01_Вводные'!$B$239="Да",MeanMinAge21+'19_Расчет_аналитики'!AK3595*SUMIF(ThresholdAge21,"&lt;"&amp;'19_Расчет_аналитики'!AK3595,WeightedRevAge21)-SUMIF(ThresholdAge21,"&lt;"&amp;'19_Расчет_аналитики'!AK3595,WeightedMinAge21),MAX(CapacityAge21*'01_Вводные'!$B$218*'19_Расчет_аналитики'!AK3595,MeanMinAge21))),0)</f>
        <v/>
      </c>
      <c r="AL3520">
        <f>IF('01_Вводные'!$B$234="Да",IF(OR('19_Расчет_аналитики'!AL3492=0,21&lt;='01_Вводные'!$B$297),0,'19_Расчет_аналитики'!AL3492*IF('01_Вводные'!$B$239="Да",MeanMinAge21+'19_Расчет_аналитики'!AL3595*SUMIF(ThresholdAge21,"&lt;"&amp;'19_Расчет_аналитики'!AL3595,WeightedRevAge21)-SUMIF(ThresholdAge21,"&lt;"&amp;'19_Расчет_аналитики'!AL3595,WeightedMinAge21),MAX(CapacityAge21*'01_Вводные'!$B$218*'19_Расчет_аналитики'!AL3595,MeanMinAge21))),0)</f>
        <v/>
      </c>
      <c r="AM3520">
        <f>IF('01_Вводные'!$B$234="Да",IF(OR('19_Расчет_аналитики'!AM3492=0,21&lt;='01_Вводные'!$B$297),0,'19_Расчет_аналитики'!AM3492*IF('01_Вводные'!$B$239="Да",MeanMinAge21+'19_Расчет_аналитики'!AM3595*SUMIF(ThresholdAge21,"&lt;"&amp;'19_Расчет_аналитики'!AM3595,WeightedRevAge21)-SUMIF(ThresholdAge21,"&lt;"&amp;'19_Расчет_аналитики'!AM3595,WeightedMinAge21),MAX(CapacityAge21*'01_Вводные'!$B$218*'19_Расчет_аналитики'!AM3595,MeanMinAge21))),0)</f>
        <v/>
      </c>
      <c r="AN3520">
        <f>IF('01_Вводные'!$B$234="Да",IF(OR('19_Расчет_аналитики'!AN3492=0,21&lt;='01_Вводные'!$B$297),0,'19_Расчет_аналитики'!AN3492*IF('01_Вводные'!$B$239="Да",MeanMinAge21+'19_Расчет_аналитики'!AN3595*SUMIF(ThresholdAge21,"&lt;"&amp;'19_Расчет_аналитики'!AN3595,WeightedRevAge21)-SUMIF(ThresholdAge21,"&lt;"&amp;'19_Расчет_аналитики'!AN3595,WeightedMinAge21),MAX(CapacityAge21*'01_Вводные'!$B$218*'19_Расчет_аналитики'!AN3595,MeanMinAge21))),0)</f>
        <v/>
      </c>
      <c r="AO3520">
        <f>IF('01_Вводные'!$B$234="Да",IF(OR('19_Расчет_аналитики'!AO3492=0,21&lt;='01_Вводные'!$B$297),0,'19_Расчет_аналитики'!AO3492*IF('01_Вводные'!$B$239="Да",MeanMinAge21+'19_Расчет_аналитики'!AO3595*SUMIF(ThresholdAge21,"&lt;"&amp;'19_Расчет_аналитики'!AO3595,WeightedRevAge21)-SUMIF(ThresholdAge21,"&lt;"&amp;'19_Расчет_аналитики'!AO3595,WeightedMinAge21),MAX(CapacityAge21*'01_Вводные'!$B$218*'19_Расчет_аналитики'!AO3595,MeanMinAge21))),0)</f>
        <v/>
      </c>
      <c r="AP3520">
        <f>IF('01_Вводные'!$B$234="Да",IF(OR('19_Расчет_аналитики'!AP3492=0,21&lt;='01_Вводные'!$B$297),0,'19_Расчет_аналитики'!AP3492*IF('01_Вводные'!$B$239="Да",MeanMinAge21+'19_Расчет_аналитики'!AP3595*SUMIF(ThresholdAge21,"&lt;"&amp;'19_Расчет_аналитики'!AP3595,WeightedRevAge21)-SUMIF(ThresholdAge21,"&lt;"&amp;'19_Расчет_аналитики'!AP3595,WeightedMinAge21),MAX(CapacityAge21*'01_Вводные'!$B$218*'19_Расчет_аналитики'!AP3595,MeanMinAge21))),0)</f>
        <v/>
      </c>
      <c r="AQ3520">
        <f>IF('01_Вводные'!$B$234="Да",IF(OR('19_Расчет_аналитики'!AQ3492=0,21&lt;='01_Вводные'!$B$297),0,'19_Расчет_аналитики'!AQ3492*IF('01_Вводные'!$B$239="Да",MeanMinAge21+'19_Расчет_аналитики'!AQ3595*SUMIF(ThresholdAge21,"&lt;"&amp;'19_Расчет_аналитики'!AQ3595,WeightedRevAge21)-SUMIF(ThresholdAge21,"&lt;"&amp;'19_Расчет_аналитики'!AQ3595,WeightedMinAge21),MAX(CapacityAge21*'01_Вводные'!$B$218*'19_Расчет_аналитики'!AQ3595,MeanMinAge21))),0)</f>
        <v/>
      </c>
      <c r="AR3520">
        <f>IF('01_Вводные'!$B$234="Да",IF(OR('19_Расчет_аналитики'!AR3492=0,21&lt;='01_Вводные'!$B$297),0,'19_Расчет_аналитики'!AR3492*IF('01_Вводные'!$B$239="Да",MeanMinAge21+'19_Расчет_аналитики'!AR3595*SUMIF(ThresholdAge21,"&lt;"&amp;'19_Расчет_аналитики'!AR3595,WeightedRevAge21)-SUMIF(ThresholdAge21,"&lt;"&amp;'19_Расчет_аналитики'!AR3595,WeightedMinAge21),MAX(CapacityAge21*'01_Вводные'!$B$218*'19_Расчет_аналитики'!AR3595,MeanMinAge21))),0)</f>
        <v/>
      </c>
      <c r="AS3520">
        <f>IF('01_Вводные'!$B$234="Да",IF(OR('19_Расчет_аналитики'!AS3492=0,21&lt;='01_Вводные'!$B$297),0,'19_Расчет_аналитики'!AS3492*IF('01_Вводные'!$B$239="Да",MeanMinAge21+'19_Расчет_аналитики'!AS3595*SUMIF(ThresholdAge21,"&lt;"&amp;'19_Расчет_аналитики'!AS3595,WeightedRevAge21)-SUMIF(ThresholdAge21,"&lt;"&amp;'19_Расчет_аналитики'!AS3595,WeightedMinAge21),MAX(CapacityAge21*'01_Вводные'!$B$218*'19_Расчет_аналитики'!AS3595,MeanMinAge21))),0)</f>
        <v/>
      </c>
      <c r="AT3520">
        <f>IF('01_Вводные'!$B$234="Да",IF(OR('19_Расчет_аналитики'!AT3492=0,21&lt;='01_Вводные'!$B$297),0,'19_Расчет_аналитики'!AT3492*IF('01_Вводные'!$B$239="Да",MeanMinAge21+'19_Расчет_аналитики'!AT3595*SUMIF(ThresholdAge21,"&lt;"&amp;'19_Расчет_аналитики'!AT3595,WeightedRevAge21)-SUMIF(ThresholdAge21,"&lt;"&amp;'19_Расчет_аналитики'!AT3595,WeightedMinAge21),MAX(CapacityAge21*'01_Вводные'!$B$218*'19_Расчет_аналитики'!AT3595,MeanMinAge21))),0)</f>
        <v/>
      </c>
      <c r="AU3520">
        <f>IF('01_Вводные'!$B$234="Да",IF(OR('19_Расчет_аналитики'!AU3492=0,21&lt;='01_Вводные'!$B$297),0,'19_Расчет_аналитики'!AU3492*IF('01_Вводные'!$B$239="Да",MeanMinAge21+'19_Расчет_аналитики'!AU3595*SUMIF(ThresholdAge21,"&lt;"&amp;'19_Расчет_аналитики'!AU3595,WeightedRevAge21)-SUMIF(ThresholdAge21,"&lt;"&amp;'19_Расчет_аналитики'!AU3595,WeightedMinAge21),MAX(CapacityAge21*'01_Вводные'!$B$218*'19_Расчет_аналитики'!AU3595,MeanMinAge21))),0)</f>
        <v/>
      </c>
      <c r="AV3520">
        <f>IF('01_Вводные'!$B$234="Да",IF(OR('19_Расчет_аналитики'!AV3492=0,21&lt;='01_Вводные'!$B$297),0,'19_Расчет_аналитики'!AV3492*IF('01_Вводные'!$B$239="Да",MeanMinAge21+'19_Расчет_аналитики'!AV3595*SUMIF(ThresholdAge21,"&lt;"&amp;'19_Расчет_аналитики'!AV3595,WeightedRevAge21)-SUMIF(ThresholdAge21,"&lt;"&amp;'19_Расчет_аналитики'!AV3595,WeightedMinAge21),MAX(CapacityAge21*'01_Вводные'!$B$218*'19_Расчет_аналитики'!AV3595,MeanMinAge21))),0)</f>
        <v/>
      </c>
      <c r="AW3520">
        <f>IF('01_Вводные'!$B$234="Да",IF(OR('19_Расчет_аналитики'!AW3492=0,21&lt;='01_Вводные'!$B$297),0,'19_Расчет_аналитики'!AW3492*IF('01_Вводные'!$B$239="Да",MeanMinAge21+'19_Расчет_аналитики'!AW3595*SUMIF(ThresholdAge21,"&lt;"&amp;'19_Расчет_аналитики'!AW3595,WeightedRevAge21)-SUMIF(ThresholdAge21,"&lt;"&amp;'19_Расчет_аналитики'!AW3595,WeightedMinAge21),MAX(CapacityAge21*'01_Вводные'!$B$218*'19_Расчет_аналитики'!AW3595,MeanMinAge21))),0)</f>
        <v/>
      </c>
      <c r="AX3520">
        <f>IF('01_Вводные'!$B$234="Да",IF(OR('19_Расчет_аналитики'!AX3492=0,21&lt;='01_Вводные'!$B$297),0,'19_Расчет_аналитики'!AX3492*IF('01_Вводные'!$B$239="Да",MeanMinAge21+'19_Расчет_аналитики'!AX3595*SUMIF(ThresholdAge21,"&lt;"&amp;'19_Расчет_аналитики'!AX3595,WeightedRevAge21)-SUMIF(ThresholdAge21,"&lt;"&amp;'19_Расчет_аналитики'!AX3595,WeightedMinAge21),MAX(CapacityAge21*'01_Вводные'!$B$218*'19_Расчет_аналитики'!AX3595,MeanMinAge21))),0)</f>
        <v/>
      </c>
      <c r="AY3520">
        <f>IF('01_Вводные'!$B$234="Да",IF(OR('19_Расчет_аналитики'!AY3492=0,21&lt;='01_Вводные'!$B$297),0,'19_Расчет_аналитики'!AY3492*IF('01_Вводные'!$B$239="Да",MeanMinAge21+'19_Расчет_аналитики'!AY3595*SUMIF(ThresholdAge21,"&lt;"&amp;'19_Расчет_аналитики'!AY3595,WeightedRevAge21)-SUMIF(ThresholdAge21,"&lt;"&amp;'19_Расчет_аналитики'!AY3595,WeightedMinAge21),MAX(CapacityAge21*'01_Вводные'!$B$218*'19_Расчет_аналитики'!AY3595,MeanMinAge21))),0)</f>
        <v/>
      </c>
      <c r="AZ3520">
        <f>IF('01_Вводные'!$B$234="Да",IF(OR('19_Расчет_аналитики'!AZ3492=0,21&lt;='01_Вводные'!$B$297),0,'19_Расчет_аналитики'!AZ3492*IF('01_Вводные'!$B$239="Да",MeanMinAge21+'19_Расчет_аналитики'!AZ3595*SUMIF(ThresholdAge21,"&lt;"&amp;'19_Расчет_аналитики'!AZ3595,WeightedRevAge21)-SUMIF(ThresholdAge21,"&lt;"&amp;'19_Расчет_аналитики'!AZ3595,WeightedMinAge21),MAX(CapacityAge21*'01_Вводные'!$B$218*'19_Расчет_аналитики'!AZ3595,MeanMinAge21))),0)</f>
        <v/>
      </c>
      <c r="BA3520">
        <f>IF('01_Вводные'!$B$234="Да",IF(OR('19_Расчет_аналитики'!BA3492=0,21&lt;='01_Вводные'!$B$297),0,'19_Расчет_аналитики'!BA3492*IF('01_Вводные'!$B$239="Да",MeanMinAge21+'19_Расчет_аналитики'!BA3595*SUMIF(ThresholdAge21,"&lt;"&amp;'19_Расчет_аналитики'!BA3595,WeightedRevAge21)-SUMIF(ThresholdAge21,"&lt;"&amp;'19_Расчет_аналитики'!BA3595,WeightedMinAge21),MAX(CapacityAge21*'01_Вводные'!$B$218*'19_Расчет_аналитики'!BA3595,MeanMinAge21))),0)</f>
        <v/>
      </c>
      <c r="BB3520">
        <f>IF('01_Вводные'!$B$234="Да",IF(OR('19_Расчет_аналитики'!BB3492=0,21&lt;='01_Вводные'!$B$297),0,'19_Расчет_аналитики'!BB3492*IF('01_Вводные'!$B$239="Да",MeanMinAge21+'19_Расчет_аналитики'!BB3595*SUMIF(ThresholdAge21,"&lt;"&amp;'19_Расчет_аналитики'!BB3595,WeightedRevAge21)-SUMIF(ThresholdAge21,"&lt;"&amp;'19_Расчет_аналитики'!BB3595,WeightedMinAge21),MAX(CapacityAge21*'01_Вводные'!$B$218*'19_Расчет_аналитики'!BB3595,MeanMinAge21))),0)</f>
        <v/>
      </c>
      <c r="BC3520">
        <f>IF('01_Вводные'!$B$234="Да",IF(OR('19_Расчет_аналитики'!BC3492=0,21&lt;='01_Вводные'!$B$297),0,'19_Расчет_аналитики'!BC3492*IF('01_Вводные'!$B$239="Да",MeanMinAge21+'19_Расчет_аналитики'!BC3595*SUMIF(ThresholdAge21,"&lt;"&amp;'19_Расчет_аналитики'!BC3595,WeightedRevAge21)-SUMIF(ThresholdAge21,"&lt;"&amp;'19_Расчет_аналитики'!BC3595,WeightedMinAge21),MAX(CapacityAge21*'01_Вводные'!$B$218*'19_Расчет_аналитики'!BC3595,MeanMinAge21))),0)</f>
        <v/>
      </c>
      <c r="BD3520">
        <f>IF('01_Вводные'!$B$234="Да",IF(OR('19_Расчет_аналитики'!BD3492=0,21&lt;='01_Вводные'!$B$297),0,'19_Расчет_аналитики'!BD3492*IF('01_Вводные'!$B$239="Да",MeanMinAge21+'19_Расчет_аналитики'!BD3595*SUMIF(ThresholdAge21,"&lt;"&amp;'19_Расчет_аналитики'!BD3595,WeightedRevAge21)-SUMIF(ThresholdAge21,"&lt;"&amp;'19_Расчет_аналитики'!BD3595,WeightedMinAge21),MAX(CapacityAge21*'01_Вводные'!$B$218*'19_Расчет_аналитики'!BD3595,MeanMinAge21))),0)</f>
        <v/>
      </c>
      <c r="BE3520">
        <f>IF('01_Вводные'!$B$234="Да",IF(OR('19_Расчет_аналитики'!BE3492=0,21&lt;='01_Вводные'!$B$297),0,'19_Расчет_аналитики'!BE3492*IF('01_Вводные'!$B$239="Да",MeanMinAge21+'19_Расчет_аналитики'!BE3595*SUMIF(ThresholdAge21,"&lt;"&amp;'19_Расчет_аналитики'!BE3595,WeightedRevAge21)-SUMIF(ThresholdAge21,"&lt;"&amp;'19_Расчет_аналитики'!BE3595,WeightedMinAge21),MAX(CapacityAge21*'01_Вводные'!$B$218*'19_Расчет_аналитики'!BE3595,MeanMinAge21))),0)</f>
        <v/>
      </c>
      <c r="BF3520">
        <f>IF('01_Вводные'!$B$234="Да",IF(OR('19_Расчет_аналитики'!BF3492=0,21&lt;='01_Вводные'!$B$297),0,'19_Расчет_аналитики'!BF3492*IF('01_Вводные'!$B$239="Да",MeanMinAge21+'19_Расчет_аналитики'!BF3595*SUMIF(ThresholdAge21,"&lt;"&amp;'19_Расчет_аналитики'!BF3595,WeightedRevAge21)-SUMIF(ThresholdAge21,"&lt;"&amp;'19_Расчет_аналитики'!BF3595,WeightedMinAge21),MAX(CapacityAge21*'01_Вводные'!$B$218*'19_Расчет_аналитики'!BF3595,MeanMinAge21))),0)</f>
        <v/>
      </c>
      <c r="BG3520">
        <f>IF('01_Вводные'!$B$234="Да",IF(OR('19_Расчет_аналитики'!BG3492=0,21&lt;='01_Вводные'!$B$297),0,'19_Расчет_аналитики'!BG3492*IF('01_Вводные'!$B$239="Да",MeanMinAge21+'19_Расчет_аналитики'!BG3595*SUMIF(ThresholdAge21,"&lt;"&amp;'19_Расчет_аналитики'!BG3595,WeightedRevAge21)-SUMIF(ThresholdAge21,"&lt;"&amp;'19_Расчет_аналитики'!BG3595,WeightedMinAge21),MAX(CapacityAge21*'01_Вводные'!$B$218*'19_Расчет_аналитики'!BG3595,MeanMinAge21))),0)</f>
        <v/>
      </c>
      <c r="BH3520">
        <f>IF('01_Вводные'!$B$234="Да",IF(OR('19_Расчет_аналитики'!BH3492=0,21&lt;='01_Вводные'!$B$297),0,'19_Расчет_аналитики'!BH3492*IF('01_Вводные'!$B$239="Да",MeanMinAge21+'19_Расчет_аналитики'!BH3595*SUMIF(ThresholdAge21,"&lt;"&amp;'19_Расчет_аналитики'!BH3595,WeightedRevAge21)-SUMIF(ThresholdAge21,"&lt;"&amp;'19_Расчет_аналитики'!BH3595,WeightedMinAge21),MAX(CapacityAge21*'01_Вводные'!$B$218*'19_Расчет_аналитики'!BH3595,MeanMinAge21))),0)</f>
        <v/>
      </c>
      <c r="BI3520">
        <f>IF('01_Вводные'!$B$234="Да",IF(OR('19_Расчет_аналитики'!BI3492=0,21&lt;='01_Вводные'!$B$297),0,'19_Расчет_аналитики'!BI3492*IF('01_Вводные'!$B$239="Да",MeanMinAge21+'19_Расчет_аналитики'!BI3595*SUMIF(ThresholdAge21,"&lt;"&amp;'19_Расчет_аналитики'!BI3595,WeightedRevAge21)-SUMIF(ThresholdAge21,"&lt;"&amp;'19_Расчет_аналитики'!BI3595,WeightedMinAge21),MAX(CapacityAge21*'01_Вводные'!$B$218*'19_Расчет_аналитики'!BI3595,MeanMinAge21))),0)</f>
        <v/>
      </c>
      <c r="BJ3520">
        <f>IF('01_Вводные'!$B$234="Да",IF(OR('19_Расчет_аналитики'!BJ3492=0,21&lt;='01_Вводные'!$B$297),0,'19_Расчет_аналитики'!BJ3492*IF('01_Вводные'!$B$239="Да",MeanMinAge21+'19_Расчет_аналитики'!BJ3595*SUMIF(ThresholdAge21,"&lt;"&amp;'19_Расчет_аналитики'!BJ3595,WeightedRevAge21)-SUMIF(ThresholdAge21,"&lt;"&amp;'19_Расчет_аналитики'!BJ3595,WeightedMinAge21),MAX(CapacityAge21*'01_Вводные'!$B$218*'19_Расчет_аналитики'!BJ3595,MeanMinAge21))),0)</f>
        <v/>
      </c>
      <c r="BK3520">
        <f>IF('01_Вводные'!$B$234="Да",IF(OR('19_Расчет_аналитики'!BK3492=0,21&lt;='01_Вводные'!$B$297),0,'19_Расчет_аналитики'!BK3492*IF('01_Вводные'!$B$239="Да",MeanMinAge21+'19_Расчет_аналитики'!BK3595*SUMIF(ThresholdAge21,"&lt;"&amp;'19_Расчет_аналитики'!BK3595,WeightedRevAge21)-SUMIF(ThresholdAge21,"&lt;"&amp;'19_Расчет_аналитики'!BK3595,WeightedMinAge21),MAX(CapacityAge21*'01_Вводные'!$B$218*'19_Расчет_аналитики'!BK3595,MeanMinAge21))),0)</f>
        <v/>
      </c>
      <c r="BL3520">
        <f>IF('01_Вводные'!$B$234="Да",IF(OR('19_Расчет_аналитики'!BL3492=0,21&lt;='01_Вводные'!$B$297),0,'19_Расчет_аналитики'!BL3492*IF('01_Вводные'!$B$239="Да",MeanMinAge21+'19_Расчет_аналитики'!BL3595*SUMIF(ThresholdAge21,"&lt;"&amp;'19_Расчет_аналитики'!BL3595,WeightedRevAge21)-SUMIF(ThresholdAge21,"&lt;"&amp;'19_Расчет_аналитики'!BL3595,WeightedMinAge21),MAX(CapacityAge21*'01_Вводные'!$B$218*'19_Расчет_аналитики'!BL3595,MeanMinAge21))),0)</f>
        <v/>
      </c>
      <c r="BM3520">
        <f>IF('01_Вводные'!$B$234="Да",IF(OR('19_Расчет_аналитики'!BM3492=0,21&lt;='01_Вводные'!$B$297),0,'19_Расчет_аналитики'!BM3492*IF('01_Вводные'!$B$239="Да",MeanMinAge21+'19_Расчет_аналитики'!BM3595*SUMIF(ThresholdAge21,"&lt;"&amp;'19_Расчет_аналитики'!BM3595,WeightedRevAge21)-SUMIF(ThresholdAge21,"&lt;"&amp;'19_Расчет_аналитики'!BM3595,WeightedMinAge21),MAX(CapacityAge21*'01_Вводные'!$B$218*'19_Расчет_аналитики'!BM3595,MeanMinAge21))),0)</f>
        <v/>
      </c>
      <c r="BN3520">
        <f>IF('01_Вводные'!$B$234="Да",IF(OR('19_Расчет_аналитики'!BN3492=0,21&lt;='01_Вводные'!$B$297),0,'19_Расчет_аналитики'!BN3492*IF('01_Вводные'!$B$239="Да",MeanMinAge21+'19_Расчет_аналитики'!BN3595*SUMIF(ThresholdAge21,"&lt;"&amp;'19_Расчет_аналитики'!BN3595,WeightedRevAge21)-SUMIF(ThresholdAge21,"&lt;"&amp;'19_Расчет_аналитики'!BN3595,WeightedMinAge21),MAX(CapacityAge21*'01_Вводные'!$B$218*'19_Расчет_аналитики'!BN3595,MeanMinAge21))),0)</f>
        <v/>
      </c>
      <c r="BO3520">
        <f>IF('01_Вводные'!$B$234="Да",IF(OR('19_Расчет_аналитики'!BO3492=0,21&lt;='01_Вводные'!$B$297),0,'19_Расчет_аналитики'!BO3492*IF('01_Вводные'!$B$239="Да",MeanMinAge21+'19_Расчет_аналитики'!BO3595*SUMIF(ThresholdAge21,"&lt;"&amp;'19_Расчет_аналитики'!BO3595,WeightedRevAge21)-SUMIF(ThresholdAge21,"&lt;"&amp;'19_Расчет_аналитики'!BO3595,WeightedMinAge21),MAX(CapacityAge21*'01_Вводные'!$B$218*'19_Расчет_аналитики'!BO3595,MeanMinAge21))),0)</f>
        <v/>
      </c>
    </row>
    <row r="3521">
      <c r="B3521">
        <f>IF('01_Вводные'!$B$234="Да",IF(OR('06_Сеть_и_дети'!B102=0,22&lt;='01_Вводные'!$B$297),0,'06_Сеть_и_дети'!B102*IF('01_Вводные'!$B$239="Да",MeanMinAge22+'19_Расчет_аналитики'!B3595*SUMIF(ThresholdAge22,"&lt;"&amp;'19_Расчет_аналитики'!B3595,WeightedRevAge22)-SUMIF(ThresholdAge22,"&lt;"&amp;'19_Расчет_аналитики'!B3595,WeightedMinAge22),MAX(CapacityAge22*'01_Вводные'!$B$218*'19_Расчет_аналитики'!B3595,MeanMinAge22))),0)</f>
        <v/>
      </c>
      <c r="C3521">
        <f>IF('01_Вводные'!$B$234="Да",IF(OR('06_Сеть_и_дети'!C102=0,22&lt;='01_Вводные'!$B$297),0,'06_Сеть_и_дети'!C102*IF('01_Вводные'!$B$239="Да",MeanMinAge22+'19_Расчет_аналитики'!C3595*SUMIF(ThresholdAge22,"&lt;"&amp;'19_Расчет_аналитики'!C3595,WeightedRevAge22)-SUMIF(ThresholdAge22,"&lt;"&amp;'19_Расчет_аналитики'!C3595,WeightedMinAge22),MAX(CapacityAge22*'01_Вводные'!$B$218*'19_Расчет_аналитики'!C3595,MeanMinAge22))),0)</f>
        <v/>
      </c>
      <c r="D3521">
        <f>IF('01_Вводные'!$B$234="Да",IF(OR('06_Сеть_и_дети'!D102=0,22&lt;='01_Вводные'!$B$297),0,'06_Сеть_и_дети'!D102*IF('01_Вводные'!$B$239="Да",MeanMinAge22+'19_Расчет_аналитики'!D3595*SUMIF(ThresholdAge22,"&lt;"&amp;'19_Расчет_аналитики'!D3595,WeightedRevAge22)-SUMIF(ThresholdAge22,"&lt;"&amp;'19_Расчет_аналитики'!D3595,WeightedMinAge22),MAX(CapacityAge22*'01_Вводные'!$B$218*'19_Расчет_аналитики'!D3595,MeanMinAge22))),0)</f>
        <v/>
      </c>
      <c r="E3521">
        <f>IF('01_Вводные'!$B$234="Да",IF(OR('06_Сеть_и_дети'!E102=0,22&lt;='01_Вводные'!$B$297),0,'06_Сеть_и_дети'!E102*IF('01_Вводные'!$B$239="Да",MeanMinAge22+'19_Расчет_аналитики'!E3595*SUMIF(ThresholdAge22,"&lt;"&amp;'19_Расчет_аналитики'!E3595,WeightedRevAge22)-SUMIF(ThresholdAge22,"&lt;"&amp;'19_Расчет_аналитики'!E3595,WeightedMinAge22),MAX(CapacityAge22*'01_Вводные'!$B$218*'19_Расчет_аналитики'!E3595,MeanMinAge22))),0)</f>
        <v/>
      </c>
      <c r="F3521">
        <f>IF('01_Вводные'!$B$234="Да",IF(OR('06_Сеть_и_дети'!F102=0,22&lt;='01_Вводные'!$B$297),0,'06_Сеть_и_дети'!F102*IF('01_Вводные'!$B$239="Да",MeanMinAge22+'19_Расчет_аналитики'!F3595*SUMIF(ThresholdAge22,"&lt;"&amp;'19_Расчет_аналитики'!F3595,WeightedRevAge22)-SUMIF(ThresholdAge22,"&lt;"&amp;'19_Расчет_аналитики'!F3595,WeightedMinAge22),MAX(CapacityAge22*'01_Вводные'!$B$218*'19_Расчет_аналитики'!F3595,MeanMinAge22))),0)</f>
        <v/>
      </c>
      <c r="G3521">
        <f>IF('01_Вводные'!$B$234="Да",IF(OR('06_Сеть_и_дети'!G102=0,22&lt;='01_Вводные'!$B$297),0,'06_Сеть_и_дети'!G102*IF('01_Вводные'!$B$239="Да",MeanMinAge22+'19_Расчет_аналитики'!G3595*SUMIF(ThresholdAge22,"&lt;"&amp;'19_Расчет_аналитики'!G3595,WeightedRevAge22)-SUMIF(ThresholdAge22,"&lt;"&amp;'19_Расчет_аналитики'!G3595,WeightedMinAge22),MAX(CapacityAge22*'01_Вводные'!$B$218*'19_Расчет_аналитики'!G3595,MeanMinAge22))),0)</f>
        <v/>
      </c>
      <c r="H3521">
        <f>IF('01_Вводные'!$B$234="Да",IF(OR('06_Сеть_и_дети'!H102=0,22&lt;='01_Вводные'!$B$297),0,'06_Сеть_и_дети'!H102*IF('01_Вводные'!$B$239="Да",MeanMinAge22+'19_Расчет_аналитики'!H3595*SUMIF(ThresholdAge22,"&lt;"&amp;'19_Расчет_аналитики'!H3595,WeightedRevAge22)-SUMIF(ThresholdAge22,"&lt;"&amp;'19_Расчет_аналитики'!H3595,WeightedMinAge22),MAX(CapacityAge22*'01_Вводные'!$B$218*'19_Расчет_аналитики'!H3595,MeanMinAge22))),0)</f>
        <v/>
      </c>
      <c r="I3521">
        <f>IF('01_Вводные'!$B$234="Да",IF(OR('06_Сеть_и_дети'!I102=0,22&lt;='01_Вводные'!$B$297),0,'06_Сеть_и_дети'!I102*IF('01_Вводные'!$B$239="Да",MeanMinAge22+'19_Расчет_аналитики'!I3595*SUMIF(ThresholdAge22,"&lt;"&amp;'19_Расчет_аналитики'!I3595,WeightedRevAge22)-SUMIF(ThresholdAge22,"&lt;"&amp;'19_Расчет_аналитики'!I3595,WeightedMinAge22),MAX(CapacityAge22*'01_Вводные'!$B$218*'19_Расчет_аналитики'!I3595,MeanMinAge22))),0)</f>
        <v/>
      </c>
      <c r="J3521">
        <f>IF('01_Вводные'!$B$234="Да",IF(OR('06_Сеть_и_дети'!J102=0,22&lt;='01_Вводные'!$B$297),0,'06_Сеть_и_дети'!J102*IF('01_Вводные'!$B$239="Да",MeanMinAge22+'19_Расчет_аналитики'!J3595*SUMIF(ThresholdAge22,"&lt;"&amp;'19_Расчет_аналитики'!J3595,WeightedRevAge22)-SUMIF(ThresholdAge22,"&lt;"&amp;'19_Расчет_аналитики'!J3595,WeightedMinAge22),MAX(CapacityAge22*'01_Вводные'!$B$218*'19_Расчет_аналитики'!J3595,MeanMinAge22))),0)</f>
        <v/>
      </c>
      <c r="K3521">
        <f>IF('01_Вводные'!$B$234="Да",IF(OR('06_Сеть_и_дети'!K102=0,22&lt;='01_Вводные'!$B$297),0,'06_Сеть_и_дети'!K102*IF('01_Вводные'!$B$239="Да",MeanMinAge22+'19_Расчет_аналитики'!K3595*SUMIF(ThresholdAge22,"&lt;"&amp;'19_Расчет_аналитики'!K3595,WeightedRevAge22)-SUMIF(ThresholdAge22,"&lt;"&amp;'19_Расчет_аналитики'!K3595,WeightedMinAge22),MAX(CapacityAge22*'01_Вводные'!$B$218*'19_Расчет_аналитики'!K3595,MeanMinAge22))),0)</f>
        <v/>
      </c>
      <c r="L3521">
        <f>IF('01_Вводные'!$B$234="Да",IF(OR('06_Сеть_и_дети'!L102=0,22&lt;='01_Вводные'!$B$297),0,'06_Сеть_и_дети'!L102*IF('01_Вводные'!$B$239="Да",MeanMinAge22+'19_Расчет_аналитики'!L3595*SUMIF(ThresholdAge22,"&lt;"&amp;'19_Расчет_аналитики'!L3595,WeightedRevAge22)-SUMIF(ThresholdAge22,"&lt;"&amp;'19_Расчет_аналитики'!L3595,WeightedMinAge22),MAX(CapacityAge22*'01_Вводные'!$B$218*'19_Расчет_аналитики'!L3595,MeanMinAge22))),0)</f>
        <v/>
      </c>
      <c r="M3521">
        <f>IF('01_Вводные'!$B$234="Да",IF(OR('06_Сеть_и_дети'!M102=0,22&lt;='01_Вводные'!$B$297),0,'06_Сеть_и_дети'!M102*IF('01_Вводные'!$B$239="Да",MeanMinAge22+'19_Расчет_аналитики'!M3595*SUMIF(ThresholdAge22,"&lt;"&amp;'19_Расчет_аналитики'!M3595,WeightedRevAge22)-SUMIF(ThresholdAge22,"&lt;"&amp;'19_Расчет_аналитики'!M3595,WeightedMinAge22),MAX(CapacityAge22*'01_Вводные'!$B$218*'19_Расчет_аналитики'!M3595,MeanMinAge22))),0)</f>
        <v/>
      </c>
      <c r="N3521">
        <f>IF('01_Вводные'!$B$234="Да",IF(OR('06_Сеть_и_дети'!N102=0,22&lt;='01_Вводные'!$B$297),0,'06_Сеть_и_дети'!N102*IF('01_Вводные'!$B$239="Да",MeanMinAge22+'19_Расчет_аналитики'!N3595*SUMIF(ThresholdAge22,"&lt;"&amp;'19_Расчет_аналитики'!N3595,WeightedRevAge22)-SUMIF(ThresholdAge22,"&lt;"&amp;'19_Расчет_аналитики'!N3595,WeightedMinAge22),MAX(CapacityAge22*'01_Вводные'!$B$218*'19_Расчет_аналитики'!N3595,MeanMinAge22))),0)</f>
        <v/>
      </c>
      <c r="O3521">
        <f>IF('01_Вводные'!$B$234="Да",IF(OR('06_Сеть_и_дети'!O102=0,22&lt;='01_Вводные'!$B$297),0,'06_Сеть_и_дети'!O102*IF('01_Вводные'!$B$239="Да",MeanMinAge22+'19_Расчет_аналитики'!O3595*SUMIF(ThresholdAge22,"&lt;"&amp;'19_Расчет_аналитики'!O3595,WeightedRevAge22)-SUMIF(ThresholdAge22,"&lt;"&amp;'19_Расчет_аналитики'!O3595,WeightedMinAge22),MAX(CapacityAge22*'01_Вводные'!$B$218*'19_Расчет_аналитики'!O3595,MeanMinAge22))),0)</f>
        <v/>
      </c>
      <c r="P3521">
        <f>IF('01_Вводные'!$B$234="Да",IF(OR('06_Сеть_и_дети'!P102=0,22&lt;='01_Вводные'!$B$297),0,'06_Сеть_и_дети'!P102*IF('01_Вводные'!$B$239="Да",MeanMinAge22+'19_Расчет_аналитики'!P3595*SUMIF(ThresholdAge22,"&lt;"&amp;'19_Расчет_аналитики'!P3595,WeightedRevAge22)-SUMIF(ThresholdAge22,"&lt;"&amp;'19_Расчет_аналитики'!P3595,WeightedMinAge22),MAX(CapacityAge22*'01_Вводные'!$B$218*'19_Расчет_аналитики'!P3595,MeanMinAge22))),0)</f>
        <v/>
      </c>
      <c r="Q3521">
        <f>IF('01_Вводные'!$B$234="Да",IF(OR('06_Сеть_и_дети'!Q102=0,22&lt;='01_Вводные'!$B$297),0,'06_Сеть_и_дети'!Q102*IF('01_Вводные'!$B$239="Да",MeanMinAge22+'19_Расчет_аналитики'!Q3595*SUMIF(ThresholdAge22,"&lt;"&amp;'19_Расчет_аналитики'!Q3595,WeightedRevAge22)-SUMIF(ThresholdAge22,"&lt;"&amp;'19_Расчет_аналитики'!Q3595,WeightedMinAge22),MAX(CapacityAge22*'01_Вводные'!$B$218*'19_Расчет_аналитики'!Q3595,MeanMinAge22))),0)</f>
        <v/>
      </c>
      <c r="R3521">
        <f>IF('01_Вводные'!$B$234="Да",IF(OR('06_Сеть_и_дети'!R102=0,22&lt;='01_Вводные'!$B$297),0,'06_Сеть_и_дети'!R102*IF('01_Вводные'!$B$239="Да",MeanMinAge22+'19_Расчет_аналитики'!R3595*SUMIF(ThresholdAge22,"&lt;"&amp;'19_Расчет_аналитики'!R3595,WeightedRevAge22)-SUMIF(ThresholdAge22,"&lt;"&amp;'19_Расчет_аналитики'!R3595,WeightedMinAge22),MAX(CapacityAge22*'01_Вводные'!$B$218*'19_Расчет_аналитики'!R3595,MeanMinAge22))),0)</f>
        <v/>
      </c>
      <c r="S3521">
        <f>IF('01_Вводные'!$B$234="Да",IF(OR('06_Сеть_и_дети'!S102=0,22&lt;='01_Вводные'!$B$297),0,'06_Сеть_и_дети'!S102*IF('01_Вводные'!$B$239="Да",MeanMinAge22+'19_Расчет_аналитики'!S3595*SUMIF(ThresholdAge22,"&lt;"&amp;'19_Расчет_аналитики'!S3595,WeightedRevAge22)-SUMIF(ThresholdAge22,"&lt;"&amp;'19_Расчет_аналитики'!S3595,WeightedMinAge22),MAX(CapacityAge22*'01_Вводные'!$B$218*'19_Расчет_аналитики'!S3595,MeanMinAge22))),0)</f>
        <v/>
      </c>
      <c r="T3521">
        <f>IF('01_Вводные'!$B$234="Да",IF(OR('06_Сеть_и_дети'!T102=0,22&lt;='01_Вводные'!$B$297),0,'06_Сеть_и_дети'!T102*IF('01_Вводные'!$B$239="Да",MeanMinAge22+'19_Расчет_аналитики'!T3595*SUMIF(ThresholdAge22,"&lt;"&amp;'19_Расчет_аналитики'!T3595,WeightedRevAge22)-SUMIF(ThresholdAge22,"&lt;"&amp;'19_Расчет_аналитики'!T3595,WeightedMinAge22),MAX(CapacityAge22*'01_Вводные'!$B$218*'19_Расчет_аналитики'!T3595,MeanMinAge22))),0)</f>
        <v/>
      </c>
      <c r="U3521">
        <f>IF('01_Вводные'!$B$234="Да",IF(OR('06_Сеть_и_дети'!U102=0,22&lt;='01_Вводные'!$B$297),0,'06_Сеть_и_дети'!U102*IF('01_Вводные'!$B$239="Да",MeanMinAge22+'19_Расчет_аналитики'!U3595*SUMIF(ThresholdAge22,"&lt;"&amp;'19_Расчет_аналитики'!U3595,WeightedRevAge22)-SUMIF(ThresholdAge22,"&lt;"&amp;'19_Расчет_аналитики'!U3595,WeightedMinAge22),MAX(CapacityAge22*'01_Вводные'!$B$218*'19_Расчет_аналитики'!U3595,MeanMinAge22))),0)</f>
        <v/>
      </c>
      <c r="V3521">
        <f>IF('01_Вводные'!$B$234="Да",IF(OR('06_Сеть_и_дети'!V102=0,22&lt;='01_Вводные'!$B$297),0,'06_Сеть_и_дети'!V102*IF('01_Вводные'!$B$239="Да",MeanMinAge22+'19_Расчет_аналитики'!V3595*SUMIF(ThresholdAge22,"&lt;"&amp;'19_Расчет_аналитики'!V3595,WeightedRevAge22)-SUMIF(ThresholdAge22,"&lt;"&amp;'19_Расчет_аналитики'!V3595,WeightedMinAge22),MAX(CapacityAge22*'01_Вводные'!$B$218*'19_Расчет_аналитики'!V3595,MeanMinAge22))),0)</f>
        <v/>
      </c>
      <c r="W3521">
        <f>IF('01_Вводные'!$B$234="Да",IF(OR('19_Расчет_аналитики'!W3493=0,22&lt;='01_Вводные'!$B$297),0,'19_Расчет_аналитики'!W3493*IF('01_Вводные'!$B$239="Да",MeanMinAge22+'19_Расчет_аналитики'!W3595*SUMIF(ThresholdAge22,"&lt;"&amp;'19_Расчет_аналитики'!W3595,WeightedRevAge22)-SUMIF(ThresholdAge22,"&lt;"&amp;'19_Расчет_аналитики'!W3595,WeightedMinAge22),MAX(CapacityAge22*'01_Вводные'!$B$218*'19_Расчет_аналитики'!W3595,MeanMinAge22))),0)</f>
        <v/>
      </c>
      <c r="X3521">
        <f>IF('01_Вводные'!$B$234="Да",IF(OR('19_Расчет_аналитики'!X3493=0,22&lt;='01_Вводные'!$B$297),0,'19_Расчет_аналитики'!X3493*IF('01_Вводные'!$B$239="Да",MeanMinAge22+'19_Расчет_аналитики'!X3595*SUMIF(ThresholdAge22,"&lt;"&amp;'19_Расчет_аналитики'!X3595,WeightedRevAge22)-SUMIF(ThresholdAge22,"&lt;"&amp;'19_Расчет_аналитики'!X3595,WeightedMinAge22),MAX(CapacityAge22*'01_Вводные'!$B$218*'19_Расчет_аналитики'!X3595,MeanMinAge22))),0)</f>
        <v/>
      </c>
      <c r="Y3521">
        <f>IF('01_Вводные'!$B$234="Да",IF(OR('19_Расчет_аналитики'!Y3493=0,22&lt;='01_Вводные'!$B$297),0,'19_Расчет_аналитики'!Y3493*IF('01_Вводные'!$B$239="Да",MeanMinAge22+'19_Расчет_аналитики'!Y3595*SUMIF(ThresholdAge22,"&lt;"&amp;'19_Расчет_аналитики'!Y3595,WeightedRevAge22)-SUMIF(ThresholdAge22,"&lt;"&amp;'19_Расчет_аналитики'!Y3595,WeightedMinAge22),MAX(CapacityAge22*'01_Вводные'!$B$218*'19_Расчет_аналитики'!Y3595,MeanMinAge22))),0)</f>
        <v/>
      </c>
      <c r="Z3521">
        <f>IF('01_Вводные'!$B$234="Да",IF(OR('19_Расчет_аналитики'!Z3493=0,22&lt;='01_Вводные'!$B$297),0,'19_Расчет_аналитики'!Z3493*IF('01_Вводные'!$B$239="Да",MeanMinAge22+'19_Расчет_аналитики'!Z3595*SUMIF(ThresholdAge22,"&lt;"&amp;'19_Расчет_аналитики'!Z3595,WeightedRevAge22)-SUMIF(ThresholdAge22,"&lt;"&amp;'19_Расчет_аналитики'!Z3595,WeightedMinAge22),MAX(CapacityAge22*'01_Вводные'!$B$218*'19_Расчет_аналитики'!Z3595,MeanMinAge22))),0)</f>
        <v/>
      </c>
      <c r="AA3521">
        <f>IF('01_Вводные'!$B$234="Да",IF(OR('19_Расчет_аналитики'!AA3493=0,22&lt;='01_Вводные'!$B$297),0,'19_Расчет_аналитики'!AA3493*IF('01_Вводные'!$B$239="Да",MeanMinAge22+'19_Расчет_аналитики'!AA3595*SUMIF(ThresholdAge22,"&lt;"&amp;'19_Расчет_аналитики'!AA3595,WeightedRevAge22)-SUMIF(ThresholdAge22,"&lt;"&amp;'19_Расчет_аналитики'!AA3595,WeightedMinAge22),MAX(CapacityAge22*'01_Вводные'!$B$218*'19_Расчет_аналитики'!AA3595,MeanMinAge22))),0)</f>
        <v/>
      </c>
      <c r="AB3521">
        <f>IF('01_Вводные'!$B$234="Да",IF(OR('19_Расчет_аналитики'!AB3493=0,22&lt;='01_Вводные'!$B$297),0,'19_Расчет_аналитики'!AB3493*IF('01_Вводные'!$B$239="Да",MeanMinAge22+'19_Расчет_аналитики'!AB3595*SUMIF(ThresholdAge22,"&lt;"&amp;'19_Расчет_аналитики'!AB3595,WeightedRevAge22)-SUMIF(ThresholdAge22,"&lt;"&amp;'19_Расчет_аналитики'!AB3595,WeightedMinAge22),MAX(CapacityAge22*'01_Вводные'!$B$218*'19_Расчет_аналитики'!AB3595,MeanMinAge22))),0)</f>
        <v/>
      </c>
      <c r="AC3521">
        <f>IF('01_Вводные'!$B$234="Да",IF(OR('19_Расчет_аналитики'!AC3493=0,22&lt;='01_Вводные'!$B$297),0,'19_Расчет_аналитики'!AC3493*IF('01_Вводные'!$B$239="Да",MeanMinAge22+'19_Расчет_аналитики'!AC3595*SUMIF(ThresholdAge22,"&lt;"&amp;'19_Расчет_аналитики'!AC3595,WeightedRevAge22)-SUMIF(ThresholdAge22,"&lt;"&amp;'19_Расчет_аналитики'!AC3595,WeightedMinAge22),MAX(CapacityAge22*'01_Вводные'!$B$218*'19_Расчет_аналитики'!AC3595,MeanMinAge22))),0)</f>
        <v/>
      </c>
      <c r="AD3521">
        <f>IF('01_Вводные'!$B$234="Да",IF(OR('19_Расчет_аналитики'!AD3493=0,22&lt;='01_Вводные'!$B$297),0,'19_Расчет_аналитики'!AD3493*IF('01_Вводные'!$B$239="Да",MeanMinAge22+'19_Расчет_аналитики'!AD3595*SUMIF(ThresholdAge22,"&lt;"&amp;'19_Расчет_аналитики'!AD3595,WeightedRevAge22)-SUMIF(ThresholdAge22,"&lt;"&amp;'19_Расчет_аналитики'!AD3595,WeightedMinAge22),MAX(CapacityAge22*'01_Вводные'!$B$218*'19_Расчет_аналитики'!AD3595,MeanMinAge22))),0)</f>
        <v/>
      </c>
      <c r="AE3521">
        <f>IF('01_Вводные'!$B$234="Да",IF(OR('19_Расчет_аналитики'!AE3493=0,22&lt;='01_Вводные'!$B$297),0,'19_Расчет_аналитики'!AE3493*IF('01_Вводные'!$B$239="Да",MeanMinAge22+'19_Расчет_аналитики'!AE3595*SUMIF(ThresholdAge22,"&lt;"&amp;'19_Расчет_аналитики'!AE3595,WeightedRevAge22)-SUMIF(ThresholdAge22,"&lt;"&amp;'19_Расчет_аналитики'!AE3595,WeightedMinAge22),MAX(CapacityAge22*'01_Вводные'!$B$218*'19_Расчет_аналитики'!AE3595,MeanMinAge22))),0)</f>
        <v/>
      </c>
      <c r="AF3521">
        <f>IF('01_Вводные'!$B$234="Да",IF(OR('19_Расчет_аналитики'!AF3493=0,22&lt;='01_Вводные'!$B$297),0,'19_Расчет_аналитики'!AF3493*IF('01_Вводные'!$B$239="Да",MeanMinAge22+'19_Расчет_аналитики'!AF3595*SUMIF(ThresholdAge22,"&lt;"&amp;'19_Расчет_аналитики'!AF3595,WeightedRevAge22)-SUMIF(ThresholdAge22,"&lt;"&amp;'19_Расчет_аналитики'!AF3595,WeightedMinAge22),MAX(CapacityAge22*'01_Вводные'!$B$218*'19_Расчет_аналитики'!AF3595,MeanMinAge22))),0)</f>
        <v/>
      </c>
      <c r="AG3521">
        <f>IF('01_Вводные'!$B$234="Да",IF(OR('19_Расчет_аналитики'!AG3493=0,22&lt;='01_Вводные'!$B$297),0,'19_Расчет_аналитики'!AG3493*IF('01_Вводные'!$B$239="Да",MeanMinAge22+'19_Расчет_аналитики'!AG3595*SUMIF(ThresholdAge22,"&lt;"&amp;'19_Расчет_аналитики'!AG3595,WeightedRevAge22)-SUMIF(ThresholdAge22,"&lt;"&amp;'19_Расчет_аналитики'!AG3595,WeightedMinAge22),MAX(CapacityAge22*'01_Вводные'!$B$218*'19_Расчет_аналитики'!AG3595,MeanMinAge22))),0)</f>
        <v/>
      </c>
      <c r="AH3521">
        <f>IF('01_Вводные'!$B$234="Да",IF(OR('19_Расчет_аналитики'!AH3493=0,22&lt;='01_Вводные'!$B$297),0,'19_Расчет_аналитики'!AH3493*IF('01_Вводные'!$B$239="Да",MeanMinAge22+'19_Расчет_аналитики'!AH3595*SUMIF(ThresholdAge22,"&lt;"&amp;'19_Расчет_аналитики'!AH3595,WeightedRevAge22)-SUMIF(ThresholdAge22,"&lt;"&amp;'19_Расчет_аналитики'!AH3595,WeightedMinAge22),MAX(CapacityAge22*'01_Вводные'!$B$218*'19_Расчет_аналитики'!AH3595,MeanMinAge22))),0)</f>
        <v/>
      </c>
      <c r="AI3521">
        <f>IF('01_Вводные'!$B$234="Да",IF(OR('19_Расчет_аналитики'!AI3493=0,22&lt;='01_Вводные'!$B$297),0,'19_Расчет_аналитики'!AI3493*IF('01_Вводные'!$B$239="Да",MeanMinAge22+'19_Расчет_аналитики'!AI3595*SUMIF(ThresholdAge22,"&lt;"&amp;'19_Расчет_аналитики'!AI3595,WeightedRevAge22)-SUMIF(ThresholdAge22,"&lt;"&amp;'19_Расчет_аналитики'!AI3595,WeightedMinAge22),MAX(CapacityAge22*'01_Вводные'!$B$218*'19_Расчет_аналитики'!AI3595,MeanMinAge22))),0)</f>
        <v/>
      </c>
      <c r="AJ3521">
        <f>IF('01_Вводные'!$B$234="Да",IF(OR('19_Расчет_аналитики'!AJ3493=0,22&lt;='01_Вводные'!$B$297),0,'19_Расчет_аналитики'!AJ3493*IF('01_Вводные'!$B$239="Да",MeanMinAge22+'19_Расчет_аналитики'!AJ3595*SUMIF(ThresholdAge22,"&lt;"&amp;'19_Расчет_аналитики'!AJ3595,WeightedRevAge22)-SUMIF(ThresholdAge22,"&lt;"&amp;'19_Расчет_аналитики'!AJ3595,WeightedMinAge22),MAX(CapacityAge22*'01_Вводные'!$B$218*'19_Расчет_аналитики'!AJ3595,MeanMinAge22))),0)</f>
        <v/>
      </c>
      <c r="AK3521">
        <f>IF('01_Вводные'!$B$234="Да",IF(OR('19_Расчет_аналитики'!AK3493=0,22&lt;='01_Вводные'!$B$297),0,'19_Расчет_аналитики'!AK3493*IF('01_Вводные'!$B$239="Да",MeanMinAge22+'19_Расчет_аналитики'!AK3595*SUMIF(ThresholdAge22,"&lt;"&amp;'19_Расчет_аналитики'!AK3595,WeightedRevAge22)-SUMIF(ThresholdAge22,"&lt;"&amp;'19_Расчет_аналитики'!AK3595,WeightedMinAge22),MAX(CapacityAge22*'01_Вводные'!$B$218*'19_Расчет_аналитики'!AK3595,MeanMinAge22))),0)</f>
        <v/>
      </c>
      <c r="AL3521">
        <f>IF('01_Вводные'!$B$234="Да",IF(OR('19_Расчет_аналитики'!AL3493=0,22&lt;='01_Вводные'!$B$297),0,'19_Расчет_аналитики'!AL3493*IF('01_Вводные'!$B$239="Да",MeanMinAge22+'19_Расчет_аналитики'!AL3595*SUMIF(ThresholdAge22,"&lt;"&amp;'19_Расчет_аналитики'!AL3595,WeightedRevAge22)-SUMIF(ThresholdAge22,"&lt;"&amp;'19_Расчет_аналитики'!AL3595,WeightedMinAge22),MAX(CapacityAge22*'01_Вводные'!$B$218*'19_Расчет_аналитики'!AL3595,MeanMinAge22))),0)</f>
        <v/>
      </c>
      <c r="AM3521">
        <f>IF('01_Вводные'!$B$234="Да",IF(OR('19_Расчет_аналитики'!AM3493=0,22&lt;='01_Вводные'!$B$297),0,'19_Расчет_аналитики'!AM3493*IF('01_Вводные'!$B$239="Да",MeanMinAge22+'19_Расчет_аналитики'!AM3595*SUMIF(ThresholdAge22,"&lt;"&amp;'19_Расчет_аналитики'!AM3595,WeightedRevAge22)-SUMIF(ThresholdAge22,"&lt;"&amp;'19_Расчет_аналитики'!AM3595,WeightedMinAge22),MAX(CapacityAge22*'01_Вводные'!$B$218*'19_Расчет_аналитики'!AM3595,MeanMinAge22))),0)</f>
        <v/>
      </c>
      <c r="AN3521">
        <f>IF('01_Вводные'!$B$234="Да",IF(OR('19_Расчет_аналитики'!AN3493=0,22&lt;='01_Вводные'!$B$297),0,'19_Расчет_аналитики'!AN3493*IF('01_Вводные'!$B$239="Да",MeanMinAge22+'19_Расчет_аналитики'!AN3595*SUMIF(ThresholdAge22,"&lt;"&amp;'19_Расчет_аналитики'!AN3595,WeightedRevAge22)-SUMIF(ThresholdAge22,"&lt;"&amp;'19_Расчет_аналитики'!AN3595,WeightedMinAge22),MAX(CapacityAge22*'01_Вводные'!$B$218*'19_Расчет_аналитики'!AN3595,MeanMinAge22))),0)</f>
        <v/>
      </c>
      <c r="AO3521">
        <f>IF('01_Вводные'!$B$234="Да",IF(OR('19_Расчет_аналитики'!AO3493=0,22&lt;='01_Вводные'!$B$297),0,'19_Расчет_аналитики'!AO3493*IF('01_Вводные'!$B$239="Да",MeanMinAge22+'19_Расчет_аналитики'!AO3595*SUMIF(ThresholdAge22,"&lt;"&amp;'19_Расчет_аналитики'!AO3595,WeightedRevAge22)-SUMIF(ThresholdAge22,"&lt;"&amp;'19_Расчет_аналитики'!AO3595,WeightedMinAge22),MAX(CapacityAge22*'01_Вводные'!$B$218*'19_Расчет_аналитики'!AO3595,MeanMinAge22))),0)</f>
        <v/>
      </c>
      <c r="AP3521">
        <f>IF('01_Вводные'!$B$234="Да",IF(OR('19_Расчет_аналитики'!AP3493=0,22&lt;='01_Вводные'!$B$297),0,'19_Расчет_аналитики'!AP3493*IF('01_Вводные'!$B$239="Да",MeanMinAge22+'19_Расчет_аналитики'!AP3595*SUMIF(ThresholdAge22,"&lt;"&amp;'19_Расчет_аналитики'!AP3595,WeightedRevAge22)-SUMIF(ThresholdAge22,"&lt;"&amp;'19_Расчет_аналитики'!AP3595,WeightedMinAge22),MAX(CapacityAge22*'01_Вводные'!$B$218*'19_Расчет_аналитики'!AP3595,MeanMinAge22))),0)</f>
        <v/>
      </c>
      <c r="AQ3521">
        <f>IF('01_Вводные'!$B$234="Да",IF(OR('19_Расчет_аналитики'!AQ3493=0,22&lt;='01_Вводные'!$B$297),0,'19_Расчет_аналитики'!AQ3493*IF('01_Вводные'!$B$239="Да",MeanMinAge22+'19_Расчет_аналитики'!AQ3595*SUMIF(ThresholdAge22,"&lt;"&amp;'19_Расчет_аналитики'!AQ3595,WeightedRevAge22)-SUMIF(ThresholdAge22,"&lt;"&amp;'19_Расчет_аналитики'!AQ3595,WeightedMinAge22),MAX(CapacityAge22*'01_Вводные'!$B$218*'19_Расчет_аналитики'!AQ3595,MeanMinAge22))),0)</f>
        <v/>
      </c>
      <c r="AR3521">
        <f>IF('01_Вводные'!$B$234="Да",IF(OR('19_Расчет_аналитики'!AR3493=0,22&lt;='01_Вводные'!$B$297),0,'19_Расчет_аналитики'!AR3493*IF('01_Вводные'!$B$239="Да",MeanMinAge22+'19_Расчет_аналитики'!AR3595*SUMIF(ThresholdAge22,"&lt;"&amp;'19_Расчет_аналитики'!AR3595,WeightedRevAge22)-SUMIF(ThresholdAge22,"&lt;"&amp;'19_Расчет_аналитики'!AR3595,WeightedMinAge22),MAX(CapacityAge22*'01_Вводные'!$B$218*'19_Расчет_аналитики'!AR3595,MeanMinAge22))),0)</f>
        <v/>
      </c>
      <c r="AS3521">
        <f>IF('01_Вводные'!$B$234="Да",IF(OR('19_Расчет_аналитики'!AS3493=0,22&lt;='01_Вводные'!$B$297),0,'19_Расчет_аналитики'!AS3493*IF('01_Вводные'!$B$239="Да",MeanMinAge22+'19_Расчет_аналитики'!AS3595*SUMIF(ThresholdAge22,"&lt;"&amp;'19_Расчет_аналитики'!AS3595,WeightedRevAge22)-SUMIF(ThresholdAge22,"&lt;"&amp;'19_Расчет_аналитики'!AS3595,WeightedMinAge22),MAX(CapacityAge22*'01_Вводные'!$B$218*'19_Расчет_аналитики'!AS3595,MeanMinAge22))),0)</f>
        <v/>
      </c>
      <c r="AT3521">
        <f>IF('01_Вводные'!$B$234="Да",IF(OR('19_Расчет_аналитики'!AT3493=0,22&lt;='01_Вводные'!$B$297),0,'19_Расчет_аналитики'!AT3493*IF('01_Вводные'!$B$239="Да",MeanMinAge22+'19_Расчет_аналитики'!AT3595*SUMIF(ThresholdAge22,"&lt;"&amp;'19_Расчет_аналитики'!AT3595,WeightedRevAge22)-SUMIF(ThresholdAge22,"&lt;"&amp;'19_Расчет_аналитики'!AT3595,WeightedMinAge22),MAX(CapacityAge22*'01_Вводные'!$B$218*'19_Расчет_аналитики'!AT3595,MeanMinAge22))),0)</f>
        <v/>
      </c>
      <c r="AU3521">
        <f>IF('01_Вводные'!$B$234="Да",IF(OR('19_Расчет_аналитики'!AU3493=0,22&lt;='01_Вводные'!$B$297),0,'19_Расчет_аналитики'!AU3493*IF('01_Вводные'!$B$239="Да",MeanMinAge22+'19_Расчет_аналитики'!AU3595*SUMIF(ThresholdAge22,"&lt;"&amp;'19_Расчет_аналитики'!AU3595,WeightedRevAge22)-SUMIF(ThresholdAge22,"&lt;"&amp;'19_Расчет_аналитики'!AU3595,WeightedMinAge22),MAX(CapacityAge22*'01_Вводные'!$B$218*'19_Расчет_аналитики'!AU3595,MeanMinAge22))),0)</f>
        <v/>
      </c>
      <c r="AV3521">
        <f>IF('01_Вводные'!$B$234="Да",IF(OR('19_Расчет_аналитики'!AV3493=0,22&lt;='01_Вводные'!$B$297),0,'19_Расчет_аналитики'!AV3493*IF('01_Вводные'!$B$239="Да",MeanMinAge22+'19_Расчет_аналитики'!AV3595*SUMIF(ThresholdAge22,"&lt;"&amp;'19_Расчет_аналитики'!AV3595,WeightedRevAge22)-SUMIF(ThresholdAge22,"&lt;"&amp;'19_Расчет_аналитики'!AV3595,WeightedMinAge22),MAX(CapacityAge22*'01_Вводные'!$B$218*'19_Расчет_аналитики'!AV3595,MeanMinAge22))),0)</f>
        <v/>
      </c>
      <c r="AW3521">
        <f>IF('01_Вводные'!$B$234="Да",IF(OR('19_Расчет_аналитики'!AW3493=0,22&lt;='01_Вводные'!$B$297),0,'19_Расчет_аналитики'!AW3493*IF('01_Вводные'!$B$239="Да",MeanMinAge22+'19_Расчет_аналитики'!AW3595*SUMIF(ThresholdAge22,"&lt;"&amp;'19_Расчет_аналитики'!AW3595,WeightedRevAge22)-SUMIF(ThresholdAge22,"&lt;"&amp;'19_Расчет_аналитики'!AW3595,WeightedMinAge22),MAX(CapacityAge22*'01_Вводные'!$B$218*'19_Расчет_аналитики'!AW3595,MeanMinAge22))),0)</f>
        <v/>
      </c>
      <c r="AX3521">
        <f>IF('01_Вводные'!$B$234="Да",IF(OR('19_Расчет_аналитики'!AX3493=0,22&lt;='01_Вводные'!$B$297),0,'19_Расчет_аналитики'!AX3493*IF('01_Вводные'!$B$239="Да",MeanMinAge22+'19_Расчет_аналитики'!AX3595*SUMIF(ThresholdAge22,"&lt;"&amp;'19_Расчет_аналитики'!AX3595,WeightedRevAge22)-SUMIF(ThresholdAge22,"&lt;"&amp;'19_Расчет_аналитики'!AX3595,WeightedMinAge22),MAX(CapacityAge22*'01_Вводные'!$B$218*'19_Расчет_аналитики'!AX3595,MeanMinAge22))),0)</f>
        <v/>
      </c>
      <c r="AY3521">
        <f>IF('01_Вводные'!$B$234="Да",IF(OR('19_Расчет_аналитики'!AY3493=0,22&lt;='01_Вводные'!$B$297),0,'19_Расчет_аналитики'!AY3493*IF('01_Вводные'!$B$239="Да",MeanMinAge22+'19_Расчет_аналитики'!AY3595*SUMIF(ThresholdAge22,"&lt;"&amp;'19_Расчет_аналитики'!AY3595,WeightedRevAge22)-SUMIF(ThresholdAge22,"&lt;"&amp;'19_Расчет_аналитики'!AY3595,WeightedMinAge22),MAX(CapacityAge22*'01_Вводные'!$B$218*'19_Расчет_аналитики'!AY3595,MeanMinAge22))),0)</f>
        <v/>
      </c>
      <c r="AZ3521">
        <f>IF('01_Вводные'!$B$234="Да",IF(OR('19_Расчет_аналитики'!AZ3493=0,22&lt;='01_Вводные'!$B$297),0,'19_Расчет_аналитики'!AZ3493*IF('01_Вводные'!$B$239="Да",MeanMinAge22+'19_Расчет_аналитики'!AZ3595*SUMIF(ThresholdAge22,"&lt;"&amp;'19_Расчет_аналитики'!AZ3595,WeightedRevAge22)-SUMIF(ThresholdAge22,"&lt;"&amp;'19_Расчет_аналитики'!AZ3595,WeightedMinAge22),MAX(CapacityAge22*'01_Вводные'!$B$218*'19_Расчет_аналитики'!AZ3595,MeanMinAge22))),0)</f>
        <v/>
      </c>
      <c r="BA3521">
        <f>IF('01_Вводные'!$B$234="Да",IF(OR('19_Расчет_аналитики'!BA3493=0,22&lt;='01_Вводные'!$B$297),0,'19_Расчет_аналитики'!BA3493*IF('01_Вводные'!$B$239="Да",MeanMinAge22+'19_Расчет_аналитики'!BA3595*SUMIF(ThresholdAge22,"&lt;"&amp;'19_Расчет_аналитики'!BA3595,WeightedRevAge22)-SUMIF(ThresholdAge22,"&lt;"&amp;'19_Расчет_аналитики'!BA3595,WeightedMinAge22),MAX(CapacityAge22*'01_Вводные'!$B$218*'19_Расчет_аналитики'!BA3595,MeanMinAge22))),0)</f>
        <v/>
      </c>
      <c r="BB3521">
        <f>IF('01_Вводные'!$B$234="Да",IF(OR('19_Расчет_аналитики'!BB3493=0,22&lt;='01_Вводные'!$B$297),0,'19_Расчет_аналитики'!BB3493*IF('01_Вводные'!$B$239="Да",MeanMinAge22+'19_Расчет_аналитики'!BB3595*SUMIF(ThresholdAge22,"&lt;"&amp;'19_Расчет_аналитики'!BB3595,WeightedRevAge22)-SUMIF(ThresholdAge22,"&lt;"&amp;'19_Расчет_аналитики'!BB3595,WeightedMinAge22),MAX(CapacityAge22*'01_Вводные'!$B$218*'19_Расчет_аналитики'!BB3595,MeanMinAge22))),0)</f>
        <v/>
      </c>
      <c r="BC3521">
        <f>IF('01_Вводные'!$B$234="Да",IF(OR('19_Расчет_аналитики'!BC3493=0,22&lt;='01_Вводные'!$B$297),0,'19_Расчет_аналитики'!BC3493*IF('01_Вводные'!$B$239="Да",MeanMinAge22+'19_Расчет_аналитики'!BC3595*SUMIF(ThresholdAge22,"&lt;"&amp;'19_Расчет_аналитики'!BC3595,WeightedRevAge22)-SUMIF(ThresholdAge22,"&lt;"&amp;'19_Расчет_аналитики'!BC3595,WeightedMinAge22),MAX(CapacityAge22*'01_Вводные'!$B$218*'19_Расчет_аналитики'!BC3595,MeanMinAge22))),0)</f>
        <v/>
      </c>
      <c r="BD3521">
        <f>IF('01_Вводные'!$B$234="Да",IF(OR('19_Расчет_аналитики'!BD3493=0,22&lt;='01_Вводные'!$B$297),0,'19_Расчет_аналитики'!BD3493*IF('01_Вводные'!$B$239="Да",MeanMinAge22+'19_Расчет_аналитики'!BD3595*SUMIF(ThresholdAge22,"&lt;"&amp;'19_Расчет_аналитики'!BD3595,WeightedRevAge22)-SUMIF(ThresholdAge22,"&lt;"&amp;'19_Расчет_аналитики'!BD3595,WeightedMinAge22),MAX(CapacityAge22*'01_Вводные'!$B$218*'19_Расчет_аналитики'!BD3595,MeanMinAge22))),0)</f>
        <v/>
      </c>
      <c r="BE3521">
        <f>IF('01_Вводные'!$B$234="Да",IF(OR('19_Расчет_аналитики'!BE3493=0,22&lt;='01_Вводные'!$B$297),0,'19_Расчет_аналитики'!BE3493*IF('01_Вводные'!$B$239="Да",MeanMinAge22+'19_Расчет_аналитики'!BE3595*SUMIF(ThresholdAge22,"&lt;"&amp;'19_Расчет_аналитики'!BE3595,WeightedRevAge22)-SUMIF(ThresholdAge22,"&lt;"&amp;'19_Расчет_аналитики'!BE3595,WeightedMinAge22),MAX(CapacityAge22*'01_Вводные'!$B$218*'19_Расчет_аналитики'!BE3595,MeanMinAge22))),0)</f>
        <v/>
      </c>
      <c r="BF3521">
        <f>IF('01_Вводные'!$B$234="Да",IF(OR('19_Расчет_аналитики'!BF3493=0,22&lt;='01_Вводные'!$B$297),0,'19_Расчет_аналитики'!BF3493*IF('01_Вводные'!$B$239="Да",MeanMinAge22+'19_Расчет_аналитики'!BF3595*SUMIF(ThresholdAge22,"&lt;"&amp;'19_Расчет_аналитики'!BF3595,WeightedRevAge22)-SUMIF(ThresholdAge22,"&lt;"&amp;'19_Расчет_аналитики'!BF3595,WeightedMinAge22),MAX(CapacityAge22*'01_Вводные'!$B$218*'19_Расчет_аналитики'!BF3595,MeanMinAge22))),0)</f>
        <v/>
      </c>
      <c r="BG3521">
        <f>IF('01_Вводные'!$B$234="Да",IF(OR('19_Расчет_аналитики'!BG3493=0,22&lt;='01_Вводные'!$B$297),0,'19_Расчет_аналитики'!BG3493*IF('01_Вводные'!$B$239="Да",MeanMinAge22+'19_Расчет_аналитики'!BG3595*SUMIF(ThresholdAge22,"&lt;"&amp;'19_Расчет_аналитики'!BG3595,WeightedRevAge22)-SUMIF(ThresholdAge22,"&lt;"&amp;'19_Расчет_аналитики'!BG3595,WeightedMinAge22),MAX(CapacityAge22*'01_Вводные'!$B$218*'19_Расчет_аналитики'!BG3595,MeanMinAge22))),0)</f>
        <v/>
      </c>
      <c r="BH3521">
        <f>IF('01_Вводные'!$B$234="Да",IF(OR('19_Расчет_аналитики'!BH3493=0,22&lt;='01_Вводные'!$B$297),0,'19_Расчет_аналитики'!BH3493*IF('01_Вводные'!$B$239="Да",MeanMinAge22+'19_Расчет_аналитики'!BH3595*SUMIF(ThresholdAge22,"&lt;"&amp;'19_Расчет_аналитики'!BH3595,WeightedRevAge22)-SUMIF(ThresholdAge22,"&lt;"&amp;'19_Расчет_аналитики'!BH3595,WeightedMinAge22),MAX(CapacityAge22*'01_Вводные'!$B$218*'19_Расчет_аналитики'!BH3595,MeanMinAge22))),0)</f>
        <v/>
      </c>
      <c r="BI3521">
        <f>IF('01_Вводные'!$B$234="Да",IF(OR('19_Расчет_аналитики'!BI3493=0,22&lt;='01_Вводные'!$B$297),0,'19_Расчет_аналитики'!BI3493*IF('01_Вводные'!$B$239="Да",MeanMinAge22+'19_Расчет_аналитики'!BI3595*SUMIF(ThresholdAge22,"&lt;"&amp;'19_Расчет_аналитики'!BI3595,WeightedRevAge22)-SUMIF(ThresholdAge22,"&lt;"&amp;'19_Расчет_аналитики'!BI3595,WeightedMinAge22),MAX(CapacityAge22*'01_Вводные'!$B$218*'19_Расчет_аналитики'!BI3595,MeanMinAge22))),0)</f>
        <v/>
      </c>
      <c r="BJ3521">
        <f>IF('01_Вводные'!$B$234="Да",IF(OR('19_Расчет_аналитики'!BJ3493=0,22&lt;='01_Вводные'!$B$297),0,'19_Расчет_аналитики'!BJ3493*IF('01_Вводные'!$B$239="Да",MeanMinAge22+'19_Расчет_аналитики'!BJ3595*SUMIF(ThresholdAge22,"&lt;"&amp;'19_Расчет_аналитики'!BJ3595,WeightedRevAge22)-SUMIF(ThresholdAge22,"&lt;"&amp;'19_Расчет_аналитики'!BJ3595,WeightedMinAge22),MAX(CapacityAge22*'01_Вводные'!$B$218*'19_Расчет_аналитики'!BJ3595,MeanMinAge22))),0)</f>
        <v/>
      </c>
      <c r="BK3521">
        <f>IF('01_Вводные'!$B$234="Да",IF(OR('19_Расчет_аналитики'!BK3493=0,22&lt;='01_Вводные'!$B$297),0,'19_Расчет_аналитики'!BK3493*IF('01_Вводные'!$B$239="Да",MeanMinAge22+'19_Расчет_аналитики'!BK3595*SUMIF(ThresholdAge22,"&lt;"&amp;'19_Расчет_аналитики'!BK3595,WeightedRevAge22)-SUMIF(ThresholdAge22,"&lt;"&amp;'19_Расчет_аналитики'!BK3595,WeightedMinAge22),MAX(CapacityAge22*'01_Вводные'!$B$218*'19_Расчет_аналитики'!BK3595,MeanMinAge22))),0)</f>
        <v/>
      </c>
      <c r="BL3521">
        <f>IF('01_Вводные'!$B$234="Да",IF(OR('19_Расчет_аналитики'!BL3493=0,22&lt;='01_Вводные'!$B$297),0,'19_Расчет_аналитики'!BL3493*IF('01_Вводные'!$B$239="Да",MeanMinAge22+'19_Расчет_аналитики'!BL3595*SUMIF(ThresholdAge22,"&lt;"&amp;'19_Расчет_аналитики'!BL3595,WeightedRevAge22)-SUMIF(ThresholdAge22,"&lt;"&amp;'19_Расчет_аналитики'!BL3595,WeightedMinAge22),MAX(CapacityAge22*'01_Вводные'!$B$218*'19_Расчет_аналитики'!BL3595,MeanMinAge22))),0)</f>
        <v/>
      </c>
      <c r="BM3521">
        <f>IF('01_Вводные'!$B$234="Да",IF(OR('19_Расчет_аналитики'!BM3493=0,22&lt;='01_Вводные'!$B$297),0,'19_Расчет_аналитики'!BM3493*IF('01_Вводные'!$B$239="Да",MeanMinAge22+'19_Расчет_аналитики'!BM3595*SUMIF(ThresholdAge22,"&lt;"&amp;'19_Расчет_аналитики'!BM3595,WeightedRevAge22)-SUMIF(ThresholdAge22,"&lt;"&amp;'19_Расчет_аналитики'!BM3595,WeightedMinAge22),MAX(CapacityAge22*'01_Вводные'!$B$218*'19_Расчет_аналитики'!BM3595,MeanMinAge22))),0)</f>
        <v/>
      </c>
      <c r="BN3521">
        <f>IF('01_Вводные'!$B$234="Да",IF(OR('19_Расчет_аналитики'!BN3493=0,22&lt;='01_Вводные'!$B$297),0,'19_Расчет_аналитики'!BN3493*IF('01_Вводные'!$B$239="Да",MeanMinAge22+'19_Расчет_аналитики'!BN3595*SUMIF(ThresholdAge22,"&lt;"&amp;'19_Расчет_аналитики'!BN3595,WeightedRevAge22)-SUMIF(ThresholdAge22,"&lt;"&amp;'19_Расчет_аналитики'!BN3595,WeightedMinAge22),MAX(CapacityAge22*'01_Вводные'!$B$218*'19_Расчет_аналитики'!BN3595,MeanMinAge22))),0)</f>
        <v/>
      </c>
      <c r="BO3521">
        <f>IF('01_Вводные'!$B$234="Да",IF(OR('19_Расчет_аналитики'!BO3493=0,22&lt;='01_Вводные'!$B$297),0,'19_Расчет_аналитики'!BO3493*IF('01_Вводные'!$B$239="Да",MeanMinAge22+'19_Расчет_аналитики'!BO3595*SUMIF(ThresholdAge22,"&lt;"&amp;'19_Расчет_аналитики'!BO3595,WeightedRevAge22)-SUMIF(ThresholdAge22,"&lt;"&amp;'19_Расчет_аналитики'!BO3595,WeightedMinAge22),MAX(CapacityAge22*'01_Вводные'!$B$218*'19_Расчет_аналитики'!BO3595,MeanMinAge22))),0)</f>
        <v/>
      </c>
    </row>
    <row r="3522">
      <c r="B3522">
        <f>IF('01_Вводные'!$B$234="Да",IF(OR('06_Сеть_и_дети'!B103=0,23&lt;='01_Вводные'!$B$297),0,'06_Сеть_и_дети'!B103*IF('01_Вводные'!$B$239="Да",MeanMinAge23+'19_Расчет_аналитики'!B3595*SUMIF(ThresholdAge23,"&lt;"&amp;'19_Расчет_аналитики'!B3595,WeightedRevAge23)-SUMIF(ThresholdAge23,"&lt;"&amp;'19_Расчет_аналитики'!B3595,WeightedMinAge23),MAX(CapacityAge23*'01_Вводные'!$B$218*'19_Расчет_аналитики'!B3595,MeanMinAge23))),0)</f>
        <v/>
      </c>
      <c r="C3522">
        <f>IF('01_Вводные'!$B$234="Да",IF(OR('06_Сеть_и_дети'!C103=0,23&lt;='01_Вводные'!$B$297),0,'06_Сеть_и_дети'!C103*IF('01_Вводные'!$B$239="Да",MeanMinAge23+'19_Расчет_аналитики'!C3595*SUMIF(ThresholdAge23,"&lt;"&amp;'19_Расчет_аналитики'!C3595,WeightedRevAge23)-SUMIF(ThresholdAge23,"&lt;"&amp;'19_Расчет_аналитики'!C3595,WeightedMinAge23),MAX(CapacityAge23*'01_Вводные'!$B$218*'19_Расчет_аналитики'!C3595,MeanMinAge23))),0)</f>
        <v/>
      </c>
      <c r="D3522">
        <f>IF('01_Вводные'!$B$234="Да",IF(OR('06_Сеть_и_дети'!D103=0,23&lt;='01_Вводные'!$B$297),0,'06_Сеть_и_дети'!D103*IF('01_Вводные'!$B$239="Да",MeanMinAge23+'19_Расчет_аналитики'!D3595*SUMIF(ThresholdAge23,"&lt;"&amp;'19_Расчет_аналитики'!D3595,WeightedRevAge23)-SUMIF(ThresholdAge23,"&lt;"&amp;'19_Расчет_аналитики'!D3595,WeightedMinAge23),MAX(CapacityAge23*'01_Вводные'!$B$218*'19_Расчет_аналитики'!D3595,MeanMinAge23))),0)</f>
        <v/>
      </c>
      <c r="E3522">
        <f>IF('01_Вводные'!$B$234="Да",IF(OR('06_Сеть_и_дети'!E103=0,23&lt;='01_Вводные'!$B$297),0,'06_Сеть_и_дети'!E103*IF('01_Вводные'!$B$239="Да",MeanMinAge23+'19_Расчет_аналитики'!E3595*SUMIF(ThresholdAge23,"&lt;"&amp;'19_Расчет_аналитики'!E3595,WeightedRevAge23)-SUMIF(ThresholdAge23,"&lt;"&amp;'19_Расчет_аналитики'!E3595,WeightedMinAge23),MAX(CapacityAge23*'01_Вводные'!$B$218*'19_Расчет_аналитики'!E3595,MeanMinAge23))),0)</f>
        <v/>
      </c>
      <c r="F3522">
        <f>IF('01_Вводные'!$B$234="Да",IF(OR('06_Сеть_и_дети'!F103=0,23&lt;='01_Вводные'!$B$297),0,'06_Сеть_и_дети'!F103*IF('01_Вводные'!$B$239="Да",MeanMinAge23+'19_Расчет_аналитики'!F3595*SUMIF(ThresholdAge23,"&lt;"&amp;'19_Расчет_аналитики'!F3595,WeightedRevAge23)-SUMIF(ThresholdAge23,"&lt;"&amp;'19_Расчет_аналитики'!F3595,WeightedMinAge23),MAX(CapacityAge23*'01_Вводные'!$B$218*'19_Расчет_аналитики'!F3595,MeanMinAge23))),0)</f>
        <v/>
      </c>
      <c r="G3522">
        <f>IF('01_Вводные'!$B$234="Да",IF(OR('06_Сеть_и_дети'!G103=0,23&lt;='01_Вводные'!$B$297),0,'06_Сеть_и_дети'!G103*IF('01_Вводные'!$B$239="Да",MeanMinAge23+'19_Расчет_аналитики'!G3595*SUMIF(ThresholdAge23,"&lt;"&amp;'19_Расчет_аналитики'!G3595,WeightedRevAge23)-SUMIF(ThresholdAge23,"&lt;"&amp;'19_Расчет_аналитики'!G3595,WeightedMinAge23),MAX(CapacityAge23*'01_Вводные'!$B$218*'19_Расчет_аналитики'!G3595,MeanMinAge23))),0)</f>
        <v/>
      </c>
      <c r="H3522">
        <f>IF('01_Вводные'!$B$234="Да",IF(OR('06_Сеть_и_дети'!H103=0,23&lt;='01_Вводные'!$B$297),0,'06_Сеть_и_дети'!H103*IF('01_Вводные'!$B$239="Да",MeanMinAge23+'19_Расчет_аналитики'!H3595*SUMIF(ThresholdAge23,"&lt;"&amp;'19_Расчет_аналитики'!H3595,WeightedRevAge23)-SUMIF(ThresholdAge23,"&lt;"&amp;'19_Расчет_аналитики'!H3595,WeightedMinAge23),MAX(CapacityAge23*'01_Вводные'!$B$218*'19_Расчет_аналитики'!H3595,MeanMinAge23))),0)</f>
        <v/>
      </c>
      <c r="I3522">
        <f>IF('01_Вводные'!$B$234="Да",IF(OR('06_Сеть_и_дети'!I103=0,23&lt;='01_Вводные'!$B$297),0,'06_Сеть_и_дети'!I103*IF('01_Вводные'!$B$239="Да",MeanMinAge23+'19_Расчет_аналитики'!I3595*SUMIF(ThresholdAge23,"&lt;"&amp;'19_Расчет_аналитики'!I3595,WeightedRevAge23)-SUMIF(ThresholdAge23,"&lt;"&amp;'19_Расчет_аналитики'!I3595,WeightedMinAge23),MAX(CapacityAge23*'01_Вводные'!$B$218*'19_Расчет_аналитики'!I3595,MeanMinAge23))),0)</f>
        <v/>
      </c>
      <c r="J3522">
        <f>IF('01_Вводные'!$B$234="Да",IF(OR('06_Сеть_и_дети'!J103=0,23&lt;='01_Вводные'!$B$297),0,'06_Сеть_и_дети'!J103*IF('01_Вводные'!$B$239="Да",MeanMinAge23+'19_Расчет_аналитики'!J3595*SUMIF(ThresholdAge23,"&lt;"&amp;'19_Расчет_аналитики'!J3595,WeightedRevAge23)-SUMIF(ThresholdAge23,"&lt;"&amp;'19_Расчет_аналитики'!J3595,WeightedMinAge23),MAX(CapacityAge23*'01_Вводные'!$B$218*'19_Расчет_аналитики'!J3595,MeanMinAge23))),0)</f>
        <v/>
      </c>
      <c r="K3522">
        <f>IF('01_Вводные'!$B$234="Да",IF(OR('06_Сеть_и_дети'!K103=0,23&lt;='01_Вводные'!$B$297),0,'06_Сеть_и_дети'!K103*IF('01_Вводные'!$B$239="Да",MeanMinAge23+'19_Расчет_аналитики'!K3595*SUMIF(ThresholdAge23,"&lt;"&amp;'19_Расчет_аналитики'!K3595,WeightedRevAge23)-SUMIF(ThresholdAge23,"&lt;"&amp;'19_Расчет_аналитики'!K3595,WeightedMinAge23),MAX(CapacityAge23*'01_Вводные'!$B$218*'19_Расчет_аналитики'!K3595,MeanMinAge23))),0)</f>
        <v/>
      </c>
      <c r="L3522">
        <f>IF('01_Вводные'!$B$234="Да",IF(OR('06_Сеть_и_дети'!L103=0,23&lt;='01_Вводные'!$B$297),0,'06_Сеть_и_дети'!L103*IF('01_Вводные'!$B$239="Да",MeanMinAge23+'19_Расчет_аналитики'!L3595*SUMIF(ThresholdAge23,"&lt;"&amp;'19_Расчет_аналитики'!L3595,WeightedRevAge23)-SUMIF(ThresholdAge23,"&lt;"&amp;'19_Расчет_аналитики'!L3595,WeightedMinAge23),MAX(CapacityAge23*'01_Вводные'!$B$218*'19_Расчет_аналитики'!L3595,MeanMinAge23))),0)</f>
        <v/>
      </c>
      <c r="M3522">
        <f>IF('01_Вводные'!$B$234="Да",IF(OR('06_Сеть_и_дети'!M103=0,23&lt;='01_Вводные'!$B$297),0,'06_Сеть_и_дети'!M103*IF('01_Вводные'!$B$239="Да",MeanMinAge23+'19_Расчет_аналитики'!M3595*SUMIF(ThresholdAge23,"&lt;"&amp;'19_Расчет_аналитики'!M3595,WeightedRevAge23)-SUMIF(ThresholdAge23,"&lt;"&amp;'19_Расчет_аналитики'!M3595,WeightedMinAge23),MAX(CapacityAge23*'01_Вводные'!$B$218*'19_Расчет_аналитики'!M3595,MeanMinAge23))),0)</f>
        <v/>
      </c>
      <c r="N3522">
        <f>IF('01_Вводные'!$B$234="Да",IF(OR('06_Сеть_и_дети'!N103=0,23&lt;='01_Вводные'!$B$297),0,'06_Сеть_и_дети'!N103*IF('01_Вводные'!$B$239="Да",MeanMinAge23+'19_Расчет_аналитики'!N3595*SUMIF(ThresholdAge23,"&lt;"&amp;'19_Расчет_аналитики'!N3595,WeightedRevAge23)-SUMIF(ThresholdAge23,"&lt;"&amp;'19_Расчет_аналитики'!N3595,WeightedMinAge23),MAX(CapacityAge23*'01_Вводные'!$B$218*'19_Расчет_аналитики'!N3595,MeanMinAge23))),0)</f>
        <v/>
      </c>
      <c r="O3522">
        <f>IF('01_Вводные'!$B$234="Да",IF(OR('06_Сеть_и_дети'!O103=0,23&lt;='01_Вводные'!$B$297),0,'06_Сеть_и_дети'!O103*IF('01_Вводные'!$B$239="Да",MeanMinAge23+'19_Расчет_аналитики'!O3595*SUMIF(ThresholdAge23,"&lt;"&amp;'19_Расчет_аналитики'!O3595,WeightedRevAge23)-SUMIF(ThresholdAge23,"&lt;"&amp;'19_Расчет_аналитики'!O3595,WeightedMinAge23),MAX(CapacityAge23*'01_Вводные'!$B$218*'19_Расчет_аналитики'!O3595,MeanMinAge23))),0)</f>
        <v/>
      </c>
      <c r="P3522">
        <f>IF('01_Вводные'!$B$234="Да",IF(OR('06_Сеть_и_дети'!P103=0,23&lt;='01_Вводные'!$B$297),0,'06_Сеть_и_дети'!P103*IF('01_Вводные'!$B$239="Да",MeanMinAge23+'19_Расчет_аналитики'!P3595*SUMIF(ThresholdAge23,"&lt;"&amp;'19_Расчет_аналитики'!P3595,WeightedRevAge23)-SUMIF(ThresholdAge23,"&lt;"&amp;'19_Расчет_аналитики'!P3595,WeightedMinAge23),MAX(CapacityAge23*'01_Вводные'!$B$218*'19_Расчет_аналитики'!P3595,MeanMinAge23))),0)</f>
        <v/>
      </c>
      <c r="Q3522">
        <f>IF('01_Вводные'!$B$234="Да",IF(OR('06_Сеть_и_дети'!Q103=0,23&lt;='01_Вводные'!$B$297),0,'06_Сеть_и_дети'!Q103*IF('01_Вводные'!$B$239="Да",MeanMinAge23+'19_Расчет_аналитики'!Q3595*SUMIF(ThresholdAge23,"&lt;"&amp;'19_Расчет_аналитики'!Q3595,WeightedRevAge23)-SUMIF(ThresholdAge23,"&lt;"&amp;'19_Расчет_аналитики'!Q3595,WeightedMinAge23),MAX(CapacityAge23*'01_Вводные'!$B$218*'19_Расчет_аналитики'!Q3595,MeanMinAge23))),0)</f>
        <v/>
      </c>
      <c r="R3522">
        <f>IF('01_Вводные'!$B$234="Да",IF(OR('06_Сеть_и_дети'!R103=0,23&lt;='01_Вводные'!$B$297),0,'06_Сеть_и_дети'!R103*IF('01_Вводные'!$B$239="Да",MeanMinAge23+'19_Расчет_аналитики'!R3595*SUMIF(ThresholdAge23,"&lt;"&amp;'19_Расчет_аналитики'!R3595,WeightedRevAge23)-SUMIF(ThresholdAge23,"&lt;"&amp;'19_Расчет_аналитики'!R3595,WeightedMinAge23),MAX(CapacityAge23*'01_Вводные'!$B$218*'19_Расчет_аналитики'!R3595,MeanMinAge23))),0)</f>
        <v/>
      </c>
      <c r="S3522">
        <f>IF('01_Вводные'!$B$234="Да",IF(OR('06_Сеть_и_дети'!S103=0,23&lt;='01_Вводные'!$B$297),0,'06_Сеть_и_дети'!S103*IF('01_Вводные'!$B$239="Да",MeanMinAge23+'19_Расчет_аналитики'!S3595*SUMIF(ThresholdAge23,"&lt;"&amp;'19_Расчет_аналитики'!S3595,WeightedRevAge23)-SUMIF(ThresholdAge23,"&lt;"&amp;'19_Расчет_аналитики'!S3595,WeightedMinAge23),MAX(CapacityAge23*'01_Вводные'!$B$218*'19_Расчет_аналитики'!S3595,MeanMinAge23))),0)</f>
        <v/>
      </c>
      <c r="T3522">
        <f>IF('01_Вводные'!$B$234="Да",IF(OR('06_Сеть_и_дети'!T103=0,23&lt;='01_Вводные'!$B$297),0,'06_Сеть_и_дети'!T103*IF('01_Вводные'!$B$239="Да",MeanMinAge23+'19_Расчет_аналитики'!T3595*SUMIF(ThresholdAge23,"&lt;"&amp;'19_Расчет_аналитики'!T3595,WeightedRevAge23)-SUMIF(ThresholdAge23,"&lt;"&amp;'19_Расчет_аналитики'!T3595,WeightedMinAge23),MAX(CapacityAge23*'01_Вводные'!$B$218*'19_Расчет_аналитики'!T3595,MeanMinAge23))),0)</f>
        <v/>
      </c>
      <c r="U3522">
        <f>IF('01_Вводные'!$B$234="Да",IF(OR('06_Сеть_и_дети'!U103=0,23&lt;='01_Вводные'!$B$297),0,'06_Сеть_и_дети'!U103*IF('01_Вводные'!$B$239="Да",MeanMinAge23+'19_Расчет_аналитики'!U3595*SUMIF(ThresholdAge23,"&lt;"&amp;'19_Расчет_аналитики'!U3595,WeightedRevAge23)-SUMIF(ThresholdAge23,"&lt;"&amp;'19_Расчет_аналитики'!U3595,WeightedMinAge23),MAX(CapacityAge23*'01_Вводные'!$B$218*'19_Расчет_аналитики'!U3595,MeanMinAge23))),0)</f>
        <v/>
      </c>
      <c r="V3522">
        <f>IF('01_Вводные'!$B$234="Да",IF(OR('06_Сеть_и_дети'!V103=0,23&lt;='01_Вводные'!$B$297),0,'06_Сеть_и_дети'!V103*IF('01_Вводные'!$B$239="Да",MeanMinAge23+'19_Расчет_аналитики'!V3595*SUMIF(ThresholdAge23,"&lt;"&amp;'19_Расчет_аналитики'!V3595,WeightedRevAge23)-SUMIF(ThresholdAge23,"&lt;"&amp;'19_Расчет_аналитики'!V3595,WeightedMinAge23),MAX(CapacityAge23*'01_Вводные'!$B$218*'19_Расчет_аналитики'!V3595,MeanMinAge23))),0)</f>
        <v/>
      </c>
      <c r="W3522">
        <f>IF('01_Вводные'!$B$234="Да",IF(OR('06_Сеть_и_дети'!W103=0,23&lt;='01_Вводные'!$B$297),0,'06_Сеть_и_дети'!W103*IF('01_Вводные'!$B$239="Да",MeanMinAge23+'19_Расчет_аналитики'!W3595*SUMIF(ThresholdAge23,"&lt;"&amp;'19_Расчет_аналитики'!W3595,WeightedRevAge23)-SUMIF(ThresholdAge23,"&lt;"&amp;'19_Расчет_аналитики'!W3595,WeightedMinAge23),MAX(CapacityAge23*'01_Вводные'!$B$218*'19_Расчет_аналитики'!W3595,MeanMinAge23))),0)</f>
        <v/>
      </c>
      <c r="X3522">
        <f>IF('01_Вводные'!$B$234="Да",IF(OR('19_Расчет_аналитики'!X3494=0,23&lt;='01_Вводные'!$B$297),0,'19_Расчет_аналитики'!X3494*IF('01_Вводные'!$B$239="Да",MeanMinAge23+'19_Расчет_аналитики'!X3595*SUMIF(ThresholdAge23,"&lt;"&amp;'19_Расчет_аналитики'!X3595,WeightedRevAge23)-SUMIF(ThresholdAge23,"&lt;"&amp;'19_Расчет_аналитики'!X3595,WeightedMinAge23),MAX(CapacityAge23*'01_Вводные'!$B$218*'19_Расчет_аналитики'!X3595,MeanMinAge23))),0)</f>
        <v/>
      </c>
      <c r="Y3522">
        <f>IF('01_Вводные'!$B$234="Да",IF(OR('19_Расчет_аналитики'!Y3494=0,23&lt;='01_Вводные'!$B$297),0,'19_Расчет_аналитики'!Y3494*IF('01_Вводные'!$B$239="Да",MeanMinAge23+'19_Расчет_аналитики'!Y3595*SUMIF(ThresholdAge23,"&lt;"&amp;'19_Расчет_аналитики'!Y3595,WeightedRevAge23)-SUMIF(ThresholdAge23,"&lt;"&amp;'19_Расчет_аналитики'!Y3595,WeightedMinAge23),MAX(CapacityAge23*'01_Вводные'!$B$218*'19_Расчет_аналитики'!Y3595,MeanMinAge23))),0)</f>
        <v/>
      </c>
      <c r="Z3522">
        <f>IF('01_Вводные'!$B$234="Да",IF(OR('19_Расчет_аналитики'!Z3494=0,23&lt;='01_Вводные'!$B$297),0,'19_Расчет_аналитики'!Z3494*IF('01_Вводные'!$B$239="Да",MeanMinAge23+'19_Расчет_аналитики'!Z3595*SUMIF(ThresholdAge23,"&lt;"&amp;'19_Расчет_аналитики'!Z3595,WeightedRevAge23)-SUMIF(ThresholdAge23,"&lt;"&amp;'19_Расчет_аналитики'!Z3595,WeightedMinAge23),MAX(CapacityAge23*'01_Вводные'!$B$218*'19_Расчет_аналитики'!Z3595,MeanMinAge23))),0)</f>
        <v/>
      </c>
      <c r="AA3522">
        <f>IF('01_Вводные'!$B$234="Да",IF(OR('19_Расчет_аналитики'!AA3494=0,23&lt;='01_Вводные'!$B$297),0,'19_Расчет_аналитики'!AA3494*IF('01_Вводные'!$B$239="Да",MeanMinAge23+'19_Расчет_аналитики'!AA3595*SUMIF(ThresholdAge23,"&lt;"&amp;'19_Расчет_аналитики'!AA3595,WeightedRevAge23)-SUMIF(ThresholdAge23,"&lt;"&amp;'19_Расчет_аналитики'!AA3595,WeightedMinAge23),MAX(CapacityAge23*'01_Вводные'!$B$218*'19_Расчет_аналитики'!AA3595,MeanMinAge23))),0)</f>
        <v/>
      </c>
      <c r="AB3522">
        <f>IF('01_Вводные'!$B$234="Да",IF(OR('19_Расчет_аналитики'!AB3494=0,23&lt;='01_Вводные'!$B$297),0,'19_Расчет_аналитики'!AB3494*IF('01_Вводные'!$B$239="Да",MeanMinAge23+'19_Расчет_аналитики'!AB3595*SUMIF(ThresholdAge23,"&lt;"&amp;'19_Расчет_аналитики'!AB3595,WeightedRevAge23)-SUMIF(ThresholdAge23,"&lt;"&amp;'19_Расчет_аналитики'!AB3595,WeightedMinAge23),MAX(CapacityAge23*'01_Вводные'!$B$218*'19_Расчет_аналитики'!AB3595,MeanMinAge23))),0)</f>
        <v/>
      </c>
      <c r="AC3522">
        <f>IF('01_Вводные'!$B$234="Да",IF(OR('19_Расчет_аналитики'!AC3494=0,23&lt;='01_Вводные'!$B$297),0,'19_Расчет_аналитики'!AC3494*IF('01_Вводные'!$B$239="Да",MeanMinAge23+'19_Расчет_аналитики'!AC3595*SUMIF(ThresholdAge23,"&lt;"&amp;'19_Расчет_аналитики'!AC3595,WeightedRevAge23)-SUMIF(ThresholdAge23,"&lt;"&amp;'19_Расчет_аналитики'!AC3595,WeightedMinAge23),MAX(CapacityAge23*'01_Вводные'!$B$218*'19_Расчет_аналитики'!AC3595,MeanMinAge23))),0)</f>
        <v/>
      </c>
      <c r="AD3522">
        <f>IF('01_Вводные'!$B$234="Да",IF(OR('19_Расчет_аналитики'!AD3494=0,23&lt;='01_Вводные'!$B$297),0,'19_Расчет_аналитики'!AD3494*IF('01_Вводные'!$B$239="Да",MeanMinAge23+'19_Расчет_аналитики'!AD3595*SUMIF(ThresholdAge23,"&lt;"&amp;'19_Расчет_аналитики'!AD3595,WeightedRevAge23)-SUMIF(ThresholdAge23,"&lt;"&amp;'19_Расчет_аналитики'!AD3595,WeightedMinAge23),MAX(CapacityAge23*'01_Вводные'!$B$218*'19_Расчет_аналитики'!AD3595,MeanMinAge23))),0)</f>
        <v/>
      </c>
      <c r="AE3522">
        <f>IF('01_Вводные'!$B$234="Да",IF(OR('19_Расчет_аналитики'!AE3494=0,23&lt;='01_Вводные'!$B$297),0,'19_Расчет_аналитики'!AE3494*IF('01_Вводные'!$B$239="Да",MeanMinAge23+'19_Расчет_аналитики'!AE3595*SUMIF(ThresholdAge23,"&lt;"&amp;'19_Расчет_аналитики'!AE3595,WeightedRevAge23)-SUMIF(ThresholdAge23,"&lt;"&amp;'19_Расчет_аналитики'!AE3595,WeightedMinAge23),MAX(CapacityAge23*'01_Вводные'!$B$218*'19_Расчет_аналитики'!AE3595,MeanMinAge23))),0)</f>
        <v/>
      </c>
      <c r="AF3522">
        <f>IF('01_Вводные'!$B$234="Да",IF(OR('19_Расчет_аналитики'!AF3494=0,23&lt;='01_Вводные'!$B$297),0,'19_Расчет_аналитики'!AF3494*IF('01_Вводные'!$B$239="Да",MeanMinAge23+'19_Расчет_аналитики'!AF3595*SUMIF(ThresholdAge23,"&lt;"&amp;'19_Расчет_аналитики'!AF3595,WeightedRevAge23)-SUMIF(ThresholdAge23,"&lt;"&amp;'19_Расчет_аналитики'!AF3595,WeightedMinAge23),MAX(CapacityAge23*'01_Вводные'!$B$218*'19_Расчет_аналитики'!AF3595,MeanMinAge23))),0)</f>
        <v/>
      </c>
      <c r="AG3522">
        <f>IF('01_Вводные'!$B$234="Да",IF(OR('19_Расчет_аналитики'!AG3494=0,23&lt;='01_Вводные'!$B$297),0,'19_Расчет_аналитики'!AG3494*IF('01_Вводные'!$B$239="Да",MeanMinAge23+'19_Расчет_аналитики'!AG3595*SUMIF(ThresholdAge23,"&lt;"&amp;'19_Расчет_аналитики'!AG3595,WeightedRevAge23)-SUMIF(ThresholdAge23,"&lt;"&amp;'19_Расчет_аналитики'!AG3595,WeightedMinAge23),MAX(CapacityAge23*'01_Вводные'!$B$218*'19_Расчет_аналитики'!AG3595,MeanMinAge23))),0)</f>
        <v/>
      </c>
      <c r="AH3522">
        <f>IF('01_Вводные'!$B$234="Да",IF(OR('19_Расчет_аналитики'!AH3494=0,23&lt;='01_Вводные'!$B$297),0,'19_Расчет_аналитики'!AH3494*IF('01_Вводные'!$B$239="Да",MeanMinAge23+'19_Расчет_аналитики'!AH3595*SUMIF(ThresholdAge23,"&lt;"&amp;'19_Расчет_аналитики'!AH3595,WeightedRevAge23)-SUMIF(ThresholdAge23,"&lt;"&amp;'19_Расчет_аналитики'!AH3595,WeightedMinAge23),MAX(CapacityAge23*'01_Вводные'!$B$218*'19_Расчет_аналитики'!AH3595,MeanMinAge23))),0)</f>
        <v/>
      </c>
      <c r="AI3522">
        <f>IF('01_Вводные'!$B$234="Да",IF(OR('19_Расчет_аналитики'!AI3494=0,23&lt;='01_Вводные'!$B$297),0,'19_Расчет_аналитики'!AI3494*IF('01_Вводные'!$B$239="Да",MeanMinAge23+'19_Расчет_аналитики'!AI3595*SUMIF(ThresholdAge23,"&lt;"&amp;'19_Расчет_аналитики'!AI3595,WeightedRevAge23)-SUMIF(ThresholdAge23,"&lt;"&amp;'19_Расчет_аналитики'!AI3595,WeightedMinAge23),MAX(CapacityAge23*'01_Вводные'!$B$218*'19_Расчет_аналитики'!AI3595,MeanMinAge23))),0)</f>
        <v/>
      </c>
      <c r="AJ3522">
        <f>IF('01_Вводные'!$B$234="Да",IF(OR('19_Расчет_аналитики'!AJ3494=0,23&lt;='01_Вводные'!$B$297),0,'19_Расчет_аналитики'!AJ3494*IF('01_Вводные'!$B$239="Да",MeanMinAge23+'19_Расчет_аналитики'!AJ3595*SUMIF(ThresholdAge23,"&lt;"&amp;'19_Расчет_аналитики'!AJ3595,WeightedRevAge23)-SUMIF(ThresholdAge23,"&lt;"&amp;'19_Расчет_аналитики'!AJ3595,WeightedMinAge23),MAX(CapacityAge23*'01_Вводные'!$B$218*'19_Расчет_аналитики'!AJ3595,MeanMinAge23))),0)</f>
        <v/>
      </c>
      <c r="AK3522">
        <f>IF('01_Вводные'!$B$234="Да",IF(OR('19_Расчет_аналитики'!AK3494=0,23&lt;='01_Вводные'!$B$297),0,'19_Расчет_аналитики'!AK3494*IF('01_Вводные'!$B$239="Да",MeanMinAge23+'19_Расчет_аналитики'!AK3595*SUMIF(ThresholdAge23,"&lt;"&amp;'19_Расчет_аналитики'!AK3595,WeightedRevAge23)-SUMIF(ThresholdAge23,"&lt;"&amp;'19_Расчет_аналитики'!AK3595,WeightedMinAge23),MAX(CapacityAge23*'01_Вводные'!$B$218*'19_Расчет_аналитики'!AK3595,MeanMinAge23))),0)</f>
        <v/>
      </c>
      <c r="AL3522">
        <f>IF('01_Вводные'!$B$234="Да",IF(OR('19_Расчет_аналитики'!AL3494=0,23&lt;='01_Вводные'!$B$297),0,'19_Расчет_аналитики'!AL3494*IF('01_Вводные'!$B$239="Да",MeanMinAge23+'19_Расчет_аналитики'!AL3595*SUMIF(ThresholdAge23,"&lt;"&amp;'19_Расчет_аналитики'!AL3595,WeightedRevAge23)-SUMIF(ThresholdAge23,"&lt;"&amp;'19_Расчет_аналитики'!AL3595,WeightedMinAge23),MAX(CapacityAge23*'01_Вводные'!$B$218*'19_Расчет_аналитики'!AL3595,MeanMinAge23))),0)</f>
        <v/>
      </c>
      <c r="AM3522">
        <f>IF('01_Вводные'!$B$234="Да",IF(OR('19_Расчет_аналитики'!AM3494=0,23&lt;='01_Вводные'!$B$297),0,'19_Расчет_аналитики'!AM3494*IF('01_Вводные'!$B$239="Да",MeanMinAge23+'19_Расчет_аналитики'!AM3595*SUMIF(ThresholdAge23,"&lt;"&amp;'19_Расчет_аналитики'!AM3595,WeightedRevAge23)-SUMIF(ThresholdAge23,"&lt;"&amp;'19_Расчет_аналитики'!AM3595,WeightedMinAge23),MAX(CapacityAge23*'01_Вводные'!$B$218*'19_Расчет_аналитики'!AM3595,MeanMinAge23))),0)</f>
        <v/>
      </c>
      <c r="AN3522">
        <f>IF('01_Вводные'!$B$234="Да",IF(OR('19_Расчет_аналитики'!AN3494=0,23&lt;='01_Вводные'!$B$297),0,'19_Расчет_аналитики'!AN3494*IF('01_Вводные'!$B$239="Да",MeanMinAge23+'19_Расчет_аналитики'!AN3595*SUMIF(ThresholdAge23,"&lt;"&amp;'19_Расчет_аналитики'!AN3595,WeightedRevAge23)-SUMIF(ThresholdAge23,"&lt;"&amp;'19_Расчет_аналитики'!AN3595,WeightedMinAge23),MAX(CapacityAge23*'01_Вводные'!$B$218*'19_Расчет_аналитики'!AN3595,MeanMinAge23))),0)</f>
        <v/>
      </c>
      <c r="AO3522">
        <f>IF('01_Вводные'!$B$234="Да",IF(OR('19_Расчет_аналитики'!AO3494=0,23&lt;='01_Вводные'!$B$297),0,'19_Расчет_аналитики'!AO3494*IF('01_Вводные'!$B$239="Да",MeanMinAge23+'19_Расчет_аналитики'!AO3595*SUMIF(ThresholdAge23,"&lt;"&amp;'19_Расчет_аналитики'!AO3595,WeightedRevAge23)-SUMIF(ThresholdAge23,"&lt;"&amp;'19_Расчет_аналитики'!AO3595,WeightedMinAge23),MAX(CapacityAge23*'01_Вводные'!$B$218*'19_Расчет_аналитики'!AO3595,MeanMinAge23))),0)</f>
        <v/>
      </c>
      <c r="AP3522">
        <f>IF('01_Вводные'!$B$234="Да",IF(OR('19_Расчет_аналитики'!AP3494=0,23&lt;='01_Вводные'!$B$297),0,'19_Расчет_аналитики'!AP3494*IF('01_Вводные'!$B$239="Да",MeanMinAge23+'19_Расчет_аналитики'!AP3595*SUMIF(ThresholdAge23,"&lt;"&amp;'19_Расчет_аналитики'!AP3595,WeightedRevAge23)-SUMIF(ThresholdAge23,"&lt;"&amp;'19_Расчет_аналитики'!AP3595,WeightedMinAge23),MAX(CapacityAge23*'01_Вводные'!$B$218*'19_Расчет_аналитики'!AP3595,MeanMinAge23))),0)</f>
        <v/>
      </c>
      <c r="AQ3522">
        <f>IF('01_Вводные'!$B$234="Да",IF(OR('19_Расчет_аналитики'!AQ3494=0,23&lt;='01_Вводные'!$B$297),0,'19_Расчет_аналитики'!AQ3494*IF('01_Вводные'!$B$239="Да",MeanMinAge23+'19_Расчет_аналитики'!AQ3595*SUMIF(ThresholdAge23,"&lt;"&amp;'19_Расчет_аналитики'!AQ3595,WeightedRevAge23)-SUMIF(ThresholdAge23,"&lt;"&amp;'19_Расчет_аналитики'!AQ3595,WeightedMinAge23),MAX(CapacityAge23*'01_Вводные'!$B$218*'19_Расчет_аналитики'!AQ3595,MeanMinAge23))),0)</f>
        <v/>
      </c>
      <c r="AR3522">
        <f>IF('01_Вводные'!$B$234="Да",IF(OR('19_Расчет_аналитики'!AR3494=0,23&lt;='01_Вводные'!$B$297),0,'19_Расчет_аналитики'!AR3494*IF('01_Вводные'!$B$239="Да",MeanMinAge23+'19_Расчет_аналитики'!AR3595*SUMIF(ThresholdAge23,"&lt;"&amp;'19_Расчет_аналитики'!AR3595,WeightedRevAge23)-SUMIF(ThresholdAge23,"&lt;"&amp;'19_Расчет_аналитики'!AR3595,WeightedMinAge23),MAX(CapacityAge23*'01_Вводные'!$B$218*'19_Расчет_аналитики'!AR3595,MeanMinAge23))),0)</f>
        <v/>
      </c>
      <c r="AS3522">
        <f>IF('01_Вводные'!$B$234="Да",IF(OR('19_Расчет_аналитики'!AS3494=0,23&lt;='01_Вводные'!$B$297),0,'19_Расчет_аналитики'!AS3494*IF('01_Вводные'!$B$239="Да",MeanMinAge23+'19_Расчет_аналитики'!AS3595*SUMIF(ThresholdAge23,"&lt;"&amp;'19_Расчет_аналитики'!AS3595,WeightedRevAge23)-SUMIF(ThresholdAge23,"&lt;"&amp;'19_Расчет_аналитики'!AS3595,WeightedMinAge23),MAX(CapacityAge23*'01_Вводные'!$B$218*'19_Расчет_аналитики'!AS3595,MeanMinAge23))),0)</f>
        <v/>
      </c>
      <c r="AT3522">
        <f>IF('01_Вводные'!$B$234="Да",IF(OR('19_Расчет_аналитики'!AT3494=0,23&lt;='01_Вводные'!$B$297),0,'19_Расчет_аналитики'!AT3494*IF('01_Вводные'!$B$239="Да",MeanMinAge23+'19_Расчет_аналитики'!AT3595*SUMIF(ThresholdAge23,"&lt;"&amp;'19_Расчет_аналитики'!AT3595,WeightedRevAge23)-SUMIF(ThresholdAge23,"&lt;"&amp;'19_Расчет_аналитики'!AT3595,WeightedMinAge23),MAX(CapacityAge23*'01_Вводные'!$B$218*'19_Расчет_аналитики'!AT3595,MeanMinAge23))),0)</f>
        <v/>
      </c>
      <c r="AU3522">
        <f>IF('01_Вводные'!$B$234="Да",IF(OR('19_Расчет_аналитики'!AU3494=0,23&lt;='01_Вводные'!$B$297),0,'19_Расчет_аналитики'!AU3494*IF('01_Вводные'!$B$239="Да",MeanMinAge23+'19_Расчет_аналитики'!AU3595*SUMIF(ThresholdAge23,"&lt;"&amp;'19_Расчет_аналитики'!AU3595,WeightedRevAge23)-SUMIF(ThresholdAge23,"&lt;"&amp;'19_Расчет_аналитики'!AU3595,WeightedMinAge23),MAX(CapacityAge23*'01_Вводные'!$B$218*'19_Расчет_аналитики'!AU3595,MeanMinAge23))),0)</f>
        <v/>
      </c>
      <c r="AV3522">
        <f>IF('01_Вводные'!$B$234="Да",IF(OR('19_Расчет_аналитики'!AV3494=0,23&lt;='01_Вводные'!$B$297),0,'19_Расчет_аналитики'!AV3494*IF('01_Вводные'!$B$239="Да",MeanMinAge23+'19_Расчет_аналитики'!AV3595*SUMIF(ThresholdAge23,"&lt;"&amp;'19_Расчет_аналитики'!AV3595,WeightedRevAge23)-SUMIF(ThresholdAge23,"&lt;"&amp;'19_Расчет_аналитики'!AV3595,WeightedMinAge23),MAX(CapacityAge23*'01_Вводные'!$B$218*'19_Расчет_аналитики'!AV3595,MeanMinAge23))),0)</f>
        <v/>
      </c>
      <c r="AW3522">
        <f>IF('01_Вводные'!$B$234="Да",IF(OR('19_Расчет_аналитики'!AW3494=0,23&lt;='01_Вводные'!$B$297),0,'19_Расчет_аналитики'!AW3494*IF('01_Вводные'!$B$239="Да",MeanMinAge23+'19_Расчет_аналитики'!AW3595*SUMIF(ThresholdAge23,"&lt;"&amp;'19_Расчет_аналитики'!AW3595,WeightedRevAge23)-SUMIF(ThresholdAge23,"&lt;"&amp;'19_Расчет_аналитики'!AW3595,WeightedMinAge23),MAX(CapacityAge23*'01_Вводные'!$B$218*'19_Расчет_аналитики'!AW3595,MeanMinAge23))),0)</f>
        <v/>
      </c>
      <c r="AX3522">
        <f>IF('01_Вводные'!$B$234="Да",IF(OR('19_Расчет_аналитики'!AX3494=0,23&lt;='01_Вводные'!$B$297),0,'19_Расчет_аналитики'!AX3494*IF('01_Вводные'!$B$239="Да",MeanMinAge23+'19_Расчет_аналитики'!AX3595*SUMIF(ThresholdAge23,"&lt;"&amp;'19_Расчет_аналитики'!AX3595,WeightedRevAge23)-SUMIF(ThresholdAge23,"&lt;"&amp;'19_Расчет_аналитики'!AX3595,WeightedMinAge23),MAX(CapacityAge23*'01_Вводные'!$B$218*'19_Расчет_аналитики'!AX3595,MeanMinAge23))),0)</f>
        <v/>
      </c>
      <c r="AY3522">
        <f>IF('01_Вводные'!$B$234="Да",IF(OR('19_Расчет_аналитики'!AY3494=0,23&lt;='01_Вводные'!$B$297),0,'19_Расчет_аналитики'!AY3494*IF('01_Вводные'!$B$239="Да",MeanMinAge23+'19_Расчет_аналитики'!AY3595*SUMIF(ThresholdAge23,"&lt;"&amp;'19_Расчет_аналитики'!AY3595,WeightedRevAge23)-SUMIF(ThresholdAge23,"&lt;"&amp;'19_Расчет_аналитики'!AY3595,WeightedMinAge23),MAX(CapacityAge23*'01_Вводные'!$B$218*'19_Расчет_аналитики'!AY3595,MeanMinAge23))),0)</f>
        <v/>
      </c>
      <c r="AZ3522">
        <f>IF('01_Вводные'!$B$234="Да",IF(OR('19_Расчет_аналитики'!AZ3494=0,23&lt;='01_Вводные'!$B$297),0,'19_Расчет_аналитики'!AZ3494*IF('01_Вводные'!$B$239="Да",MeanMinAge23+'19_Расчет_аналитики'!AZ3595*SUMIF(ThresholdAge23,"&lt;"&amp;'19_Расчет_аналитики'!AZ3595,WeightedRevAge23)-SUMIF(ThresholdAge23,"&lt;"&amp;'19_Расчет_аналитики'!AZ3595,WeightedMinAge23),MAX(CapacityAge23*'01_Вводные'!$B$218*'19_Расчет_аналитики'!AZ3595,MeanMinAge23))),0)</f>
        <v/>
      </c>
      <c r="BA3522">
        <f>IF('01_Вводные'!$B$234="Да",IF(OR('19_Расчет_аналитики'!BA3494=0,23&lt;='01_Вводные'!$B$297),0,'19_Расчет_аналитики'!BA3494*IF('01_Вводные'!$B$239="Да",MeanMinAge23+'19_Расчет_аналитики'!BA3595*SUMIF(ThresholdAge23,"&lt;"&amp;'19_Расчет_аналитики'!BA3595,WeightedRevAge23)-SUMIF(ThresholdAge23,"&lt;"&amp;'19_Расчет_аналитики'!BA3595,WeightedMinAge23),MAX(CapacityAge23*'01_Вводные'!$B$218*'19_Расчет_аналитики'!BA3595,MeanMinAge23))),0)</f>
        <v/>
      </c>
      <c r="BB3522">
        <f>IF('01_Вводные'!$B$234="Да",IF(OR('19_Расчет_аналитики'!BB3494=0,23&lt;='01_Вводные'!$B$297),0,'19_Расчет_аналитики'!BB3494*IF('01_Вводные'!$B$239="Да",MeanMinAge23+'19_Расчет_аналитики'!BB3595*SUMIF(ThresholdAge23,"&lt;"&amp;'19_Расчет_аналитики'!BB3595,WeightedRevAge23)-SUMIF(ThresholdAge23,"&lt;"&amp;'19_Расчет_аналитики'!BB3595,WeightedMinAge23),MAX(CapacityAge23*'01_Вводные'!$B$218*'19_Расчет_аналитики'!BB3595,MeanMinAge23))),0)</f>
        <v/>
      </c>
      <c r="BC3522">
        <f>IF('01_Вводные'!$B$234="Да",IF(OR('19_Расчет_аналитики'!BC3494=0,23&lt;='01_Вводные'!$B$297),0,'19_Расчет_аналитики'!BC3494*IF('01_Вводные'!$B$239="Да",MeanMinAge23+'19_Расчет_аналитики'!BC3595*SUMIF(ThresholdAge23,"&lt;"&amp;'19_Расчет_аналитики'!BC3595,WeightedRevAge23)-SUMIF(ThresholdAge23,"&lt;"&amp;'19_Расчет_аналитики'!BC3595,WeightedMinAge23),MAX(CapacityAge23*'01_Вводные'!$B$218*'19_Расчет_аналитики'!BC3595,MeanMinAge23))),0)</f>
        <v/>
      </c>
      <c r="BD3522">
        <f>IF('01_Вводные'!$B$234="Да",IF(OR('19_Расчет_аналитики'!BD3494=0,23&lt;='01_Вводные'!$B$297),0,'19_Расчет_аналитики'!BD3494*IF('01_Вводные'!$B$239="Да",MeanMinAge23+'19_Расчет_аналитики'!BD3595*SUMIF(ThresholdAge23,"&lt;"&amp;'19_Расчет_аналитики'!BD3595,WeightedRevAge23)-SUMIF(ThresholdAge23,"&lt;"&amp;'19_Расчет_аналитики'!BD3595,WeightedMinAge23),MAX(CapacityAge23*'01_Вводные'!$B$218*'19_Расчет_аналитики'!BD3595,MeanMinAge23))),0)</f>
        <v/>
      </c>
      <c r="BE3522">
        <f>IF('01_Вводные'!$B$234="Да",IF(OR('19_Расчет_аналитики'!BE3494=0,23&lt;='01_Вводные'!$B$297),0,'19_Расчет_аналитики'!BE3494*IF('01_Вводные'!$B$239="Да",MeanMinAge23+'19_Расчет_аналитики'!BE3595*SUMIF(ThresholdAge23,"&lt;"&amp;'19_Расчет_аналитики'!BE3595,WeightedRevAge23)-SUMIF(ThresholdAge23,"&lt;"&amp;'19_Расчет_аналитики'!BE3595,WeightedMinAge23),MAX(CapacityAge23*'01_Вводные'!$B$218*'19_Расчет_аналитики'!BE3595,MeanMinAge23))),0)</f>
        <v/>
      </c>
      <c r="BF3522">
        <f>IF('01_Вводные'!$B$234="Да",IF(OR('19_Расчет_аналитики'!BF3494=0,23&lt;='01_Вводные'!$B$297),0,'19_Расчет_аналитики'!BF3494*IF('01_Вводные'!$B$239="Да",MeanMinAge23+'19_Расчет_аналитики'!BF3595*SUMIF(ThresholdAge23,"&lt;"&amp;'19_Расчет_аналитики'!BF3595,WeightedRevAge23)-SUMIF(ThresholdAge23,"&lt;"&amp;'19_Расчет_аналитики'!BF3595,WeightedMinAge23),MAX(CapacityAge23*'01_Вводные'!$B$218*'19_Расчет_аналитики'!BF3595,MeanMinAge23))),0)</f>
        <v/>
      </c>
      <c r="BG3522">
        <f>IF('01_Вводные'!$B$234="Да",IF(OR('19_Расчет_аналитики'!BG3494=0,23&lt;='01_Вводные'!$B$297),0,'19_Расчет_аналитики'!BG3494*IF('01_Вводные'!$B$239="Да",MeanMinAge23+'19_Расчет_аналитики'!BG3595*SUMIF(ThresholdAge23,"&lt;"&amp;'19_Расчет_аналитики'!BG3595,WeightedRevAge23)-SUMIF(ThresholdAge23,"&lt;"&amp;'19_Расчет_аналитики'!BG3595,WeightedMinAge23),MAX(CapacityAge23*'01_Вводные'!$B$218*'19_Расчет_аналитики'!BG3595,MeanMinAge23))),0)</f>
        <v/>
      </c>
      <c r="BH3522">
        <f>IF('01_Вводные'!$B$234="Да",IF(OR('19_Расчет_аналитики'!BH3494=0,23&lt;='01_Вводные'!$B$297),0,'19_Расчет_аналитики'!BH3494*IF('01_Вводные'!$B$239="Да",MeanMinAge23+'19_Расчет_аналитики'!BH3595*SUMIF(ThresholdAge23,"&lt;"&amp;'19_Расчет_аналитики'!BH3595,WeightedRevAge23)-SUMIF(ThresholdAge23,"&lt;"&amp;'19_Расчет_аналитики'!BH3595,WeightedMinAge23),MAX(CapacityAge23*'01_Вводные'!$B$218*'19_Расчет_аналитики'!BH3595,MeanMinAge23))),0)</f>
        <v/>
      </c>
      <c r="BI3522">
        <f>IF('01_Вводные'!$B$234="Да",IF(OR('19_Расчет_аналитики'!BI3494=0,23&lt;='01_Вводные'!$B$297),0,'19_Расчет_аналитики'!BI3494*IF('01_Вводные'!$B$239="Да",MeanMinAge23+'19_Расчет_аналитики'!BI3595*SUMIF(ThresholdAge23,"&lt;"&amp;'19_Расчет_аналитики'!BI3595,WeightedRevAge23)-SUMIF(ThresholdAge23,"&lt;"&amp;'19_Расчет_аналитики'!BI3595,WeightedMinAge23),MAX(CapacityAge23*'01_Вводные'!$B$218*'19_Расчет_аналитики'!BI3595,MeanMinAge23))),0)</f>
        <v/>
      </c>
      <c r="BJ3522">
        <f>IF('01_Вводные'!$B$234="Да",IF(OR('19_Расчет_аналитики'!BJ3494=0,23&lt;='01_Вводные'!$B$297),0,'19_Расчет_аналитики'!BJ3494*IF('01_Вводные'!$B$239="Да",MeanMinAge23+'19_Расчет_аналитики'!BJ3595*SUMIF(ThresholdAge23,"&lt;"&amp;'19_Расчет_аналитики'!BJ3595,WeightedRevAge23)-SUMIF(ThresholdAge23,"&lt;"&amp;'19_Расчет_аналитики'!BJ3595,WeightedMinAge23),MAX(CapacityAge23*'01_Вводные'!$B$218*'19_Расчет_аналитики'!BJ3595,MeanMinAge23))),0)</f>
        <v/>
      </c>
      <c r="BK3522">
        <f>IF('01_Вводные'!$B$234="Да",IF(OR('19_Расчет_аналитики'!BK3494=0,23&lt;='01_Вводные'!$B$297),0,'19_Расчет_аналитики'!BK3494*IF('01_Вводные'!$B$239="Да",MeanMinAge23+'19_Расчет_аналитики'!BK3595*SUMIF(ThresholdAge23,"&lt;"&amp;'19_Расчет_аналитики'!BK3595,WeightedRevAge23)-SUMIF(ThresholdAge23,"&lt;"&amp;'19_Расчет_аналитики'!BK3595,WeightedMinAge23),MAX(CapacityAge23*'01_Вводные'!$B$218*'19_Расчет_аналитики'!BK3595,MeanMinAge23))),0)</f>
        <v/>
      </c>
      <c r="BL3522">
        <f>IF('01_Вводные'!$B$234="Да",IF(OR('19_Расчет_аналитики'!BL3494=0,23&lt;='01_Вводные'!$B$297),0,'19_Расчет_аналитики'!BL3494*IF('01_Вводные'!$B$239="Да",MeanMinAge23+'19_Расчет_аналитики'!BL3595*SUMIF(ThresholdAge23,"&lt;"&amp;'19_Расчет_аналитики'!BL3595,WeightedRevAge23)-SUMIF(ThresholdAge23,"&lt;"&amp;'19_Расчет_аналитики'!BL3595,WeightedMinAge23),MAX(CapacityAge23*'01_Вводные'!$B$218*'19_Расчет_аналитики'!BL3595,MeanMinAge23))),0)</f>
        <v/>
      </c>
      <c r="BM3522">
        <f>IF('01_Вводные'!$B$234="Да",IF(OR('19_Расчет_аналитики'!BM3494=0,23&lt;='01_Вводные'!$B$297),0,'19_Расчет_аналитики'!BM3494*IF('01_Вводные'!$B$239="Да",MeanMinAge23+'19_Расчет_аналитики'!BM3595*SUMIF(ThresholdAge23,"&lt;"&amp;'19_Расчет_аналитики'!BM3595,WeightedRevAge23)-SUMIF(ThresholdAge23,"&lt;"&amp;'19_Расчет_аналитики'!BM3595,WeightedMinAge23),MAX(CapacityAge23*'01_Вводные'!$B$218*'19_Расчет_аналитики'!BM3595,MeanMinAge23))),0)</f>
        <v/>
      </c>
      <c r="BN3522">
        <f>IF('01_Вводные'!$B$234="Да",IF(OR('19_Расчет_аналитики'!BN3494=0,23&lt;='01_Вводные'!$B$297),0,'19_Расчет_аналитики'!BN3494*IF('01_Вводные'!$B$239="Да",MeanMinAge23+'19_Расчет_аналитики'!BN3595*SUMIF(ThresholdAge23,"&lt;"&amp;'19_Расчет_аналитики'!BN3595,WeightedRevAge23)-SUMIF(ThresholdAge23,"&lt;"&amp;'19_Расчет_аналитики'!BN3595,WeightedMinAge23),MAX(CapacityAge23*'01_Вводные'!$B$218*'19_Расчет_аналитики'!BN3595,MeanMinAge23))),0)</f>
        <v/>
      </c>
      <c r="BO3522">
        <f>IF('01_Вводные'!$B$234="Да",IF(OR('19_Расчет_аналитики'!BO3494=0,23&lt;='01_Вводные'!$B$297),0,'19_Расчет_аналитики'!BO3494*IF('01_Вводные'!$B$239="Да",MeanMinAge23+'19_Расчет_аналитики'!BO3595*SUMIF(ThresholdAge23,"&lt;"&amp;'19_Расчет_аналитики'!BO3595,WeightedRevAge23)-SUMIF(ThresholdAge23,"&lt;"&amp;'19_Расчет_аналитики'!BO3595,WeightedMinAge23),MAX(CapacityAge23*'01_Вводные'!$B$218*'19_Расчет_аналитики'!BO3595,MeanMinAge23))),0)</f>
        <v/>
      </c>
    </row>
    <row r="3523">
      <c r="B3523">
        <f>IF('01_Вводные'!$B$234="Да",IF(OR('06_Сеть_и_дети'!B104=0,24&lt;='01_Вводные'!$B$297),0,'06_Сеть_и_дети'!B104*IF('01_Вводные'!$B$239="Да",MeanMinAge24+'19_Расчет_аналитики'!B3595*SUMIF(ThresholdAge24,"&lt;"&amp;'19_Расчет_аналитики'!B3595,WeightedRevAge24)-SUMIF(ThresholdAge24,"&lt;"&amp;'19_Расчет_аналитики'!B3595,WeightedMinAge24),MAX(CapacityAge24*'01_Вводные'!$B$218*'19_Расчет_аналитики'!B3595,MeanMinAge24))),0)</f>
        <v/>
      </c>
      <c r="C3523">
        <f>IF('01_Вводные'!$B$234="Да",IF(OR('06_Сеть_и_дети'!C104=0,24&lt;='01_Вводные'!$B$297),0,'06_Сеть_и_дети'!C104*IF('01_Вводные'!$B$239="Да",MeanMinAge24+'19_Расчет_аналитики'!C3595*SUMIF(ThresholdAge24,"&lt;"&amp;'19_Расчет_аналитики'!C3595,WeightedRevAge24)-SUMIF(ThresholdAge24,"&lt;"&amp;'19_Расчет_аналитики'!C3595,WeightedMinAge24),MAX(CapacityAge24*'01_Вводные'!$B$218*'19_Расчет_аналитики'!C3595,MeanMinAge24))),0)</f>
        <v/>
      </c>
      <c r="D3523">
        <f>IF('01_Вводные'!$B$234="Да",IF(OR('06_Сеть_и_дети'!D104=0,24&lt;='01_Вводные'!$B$297),0,'06_Сеть_и_дети'!D104*IF('01_Вводные'!$B$239="Да",MeanMinAge24+'19_Расчет_аналитики'!D3595*SUMIF(ThresholdAge24,"&lt;"&amp;'19_Расчет_аналитики'!D3595,WeightedRevAge24)-SUMIF(ThresholdAge24,"&lt;"&amp;'19_Расчет_аналитики'!D3595,WeightedMinAge24),MAX(CapacityAge24*'01_Вводные'!$B$218*'19_Расчет_аналитики'!D3595,MeanMinAge24))),0)</f>
        <v/>
      </c>
      <c r="E3523">
        <f>IF('01_Вводные'!$B$234="Да",IF(OR('06_Сеть_и_дети'!E104=0,24&lt;='01_Вводные'!$B$297),0,'06_Сеть_и_дети'!E104*IF('01_Вводные'!$B$239="Да",MeanMinAge24+'19_Расчет_аналитики'!E3595*SUMIF(ThresholdAge24,"&lt;"&amp;'19_Расчет_аналитики'!E3595,WeightedRevAge24)-SUMIF(ThresholdAge24,"&lt;"&amp;'19_Расчет_аналитики'!E3595,WeightedMinAge24),MAX(CapacityAge24*'01_Вводные'!$B$218*'19_Расчет_аналитики'!E3595,MeanMinAge24))),0)</f>
        <v/>
      </c>
      <c r="F3523">
        <f>IF('01_Вводные'!$B$234="Да",IF(OR('06_Сеть_и_дети'!F104=0,24&lt;='01_Вводные'!$B$297),0,'06_Сеть_и_дети'!F104*IF('01_Вводные'!$B$239="Да",MeanMinAge24+'19_Расчет_аналитики'!F3595*SUMIF(ThresholdAge24,"&lt;"&amp;'19_Расчет_аналитики'!F3595,WeightedRevAge24)-SUMIF(ThresholdAge24,"&lt;"&amp;'19_Расчет_аналитики'!F3595,WeightedMinAge24),MAX(CapacityAge24*'01_Вводные'!$B$218*'19_Расчет_аналитики'!F3595,MeanMinAge24))),0)</f>
        <v/>
      </c>
      <c r="G3523">
        <f>IF('01_Вводные'!$B$234="Да",IF(OR('06_Сеть_и_дети'!G104=0,24&lt;='01_Вводные'!$B$297),0,'06_Сеть_и_дети'!G104*IF('01_Вводные'!$B$239="Да",MeanMinAge24+'19_Расчет_аналитики'!G3595*SUMIF(ThresholdAge24,"&lt;"&amp;'19_Расчет_аналитики'!G3595,WeightedRevAge24)-SUMIF(ThresholdAge24,"&lt;"&amp;'19_Расчет_аналитики'!G3595,WeightedMinAge24),MAX(CapacityAge24*'01_Вводные'!$B$218*'19_Расчет_аналитики'!G3595,MeanMinAge24))),0)</f>
        <v/>
      </c>
      <c r="H3523">
        <f>IF('01_Вводные'!$B$234="Да",IF(OR('06_Сеть_и_дети'!H104=0,24&lt;='01_Вводные'!$B$297),0,'06_Сеть_и_дети'!H104*IF('01_Вводные'!$B$239="Да",MeanMinAge24+'19_Расчет_аналитики'!H3595*SUMIF(ThresholdAge24,"&lt;"&amp;'19_Расчет_аналитики'!H3595,WeightedRevAge24)-SUMIF(ThresholdAge24,"&lt;"&amp;'19_Расчет_аналитики'!H3595,WeightedMinAge24),MAX(CapacityAge24*'01_Вводные'!$B$218*'19_Расчет_аналитики'!H3595,MeanMinAge24))),0)</f>
        <v/>
      </c>
      <c r="I3523">
        <f>IF('01_Вводные'!$B$234="Да",IF(OR('06_Сеть_и_дети'!I104=0,24&lt;='01_Вводные'!$B$297),0,'06_Сеть_и_дети'!I104*IF('01_Вводные'!$B$239="Да",MeanMinAge24+'19_Расчет_аналитики'!I3595*SUMIF(ThresholdAge24,"&lt;"&amp;'19_Расчет_аналитики'!I3595,WeightedRevAge24)-SUMIF(ThresholdAge24,"&lt;"&amp;'19_Расчет_аналитики'!I3595,WeightedMinAge24),MAX(CapacityAge24*'01_Вводные'!$B$218*'19_Расчет_аналитики'!I3595,MeanMinAge24))),0)</f>
        <v/>
      </c>
      <c r="J3523">
        <f>IF('01_Вводные'!$B$234="Да",IF(OR('06_Сеть_и_дети'!J104=0,24&lt;='01_Вводные'!$B$297),0,'06_Сеть_и_дети'!J104*IF('01_Вводные'!$B$239="Да",MeanMinAge24+'19_Расчет_аналитики'!J3595*SUMIF(ThresholdAge24,"&lt;"&amp;'19_Расчет_аналитики'!J3595,WeightedRevAge24)-SUMIF(ThresholdAge24,"&lt;"&amp;'19_Расчет_аналитики'!J3595,WeightedMinAge24),MAX(CapacityAge24*'01_Вводные'!$B$218*'19_Расчет_аналитики'!J3595,MeanMinAge24))),0)</f>
        <v/>
      </c>
      <c r="K3523">
        <f>IF('01_Вводные'!$B$234="Да",IF(OR('06_Сеть_и_дети'!K104=0,24&lt;='01_Вводные'!$B$297),0,'06_Сеть_и_дети'!K104*IF('01_Вводные'!$B$239="Да",MeanMinAge24+'19_Расчет_аналитики'!K3595*SUMIF(ThresholdAge24,"&lt;"&amp;'19_Расчет_аналитики'!K3595,WeightedRevAge24)-SUMIF(ThresholdAge24,"&lt;"&amp;'19_Расчет_аналитики'!K3595,WeightedMinAge24),MAX(CapacityAge24*'01_Вводные'!$B$218*'19_Расчет_аналитики'!K3595,MeanMinAge24))),0)</f>
        <v/>
      </c>
      <c r="L3523">
        <f>IF('01_Вводные'!$B$234="Да",IF(OR('06_Сеть_и_дети'!L104=0,24&lt;='01_Вводные'!$B$297),0,'06_Сеть_и_дети'!L104*IF('01_Вводные'!$B$239="Да",MeanMinAge24+'19_Расчет_аналитики'!L3595*SUMIF(ThresholdAge24,"&lt;"&amp;'19_Расчет_аналитики'!L3595,WeightedRevAge24)-SUMIF(ThresholdAge24,"&lt;"&amp;'19_Расчет_аналитики'!L3595,WeightedMinAge24),MAX(CapacityAge24*'01_Вводные'!$B$218*'19_Расчет_аналитики'!L3595,MeanMinAge24))),0)</f>
        <v/>
      </c>
      <c r="M3523">
        <f>IF('01_Вводные'!$B$234="Да",IF(OR('06_Сеть_и_дети'!M104=0,24&lt;='01_Вводные'!$B$297),0,'06_Сеть_и_дети'!M104*IF('01_Вводные'!$B$239="Да",MeanMinAge24+'19_Расчет_аналитики'!M3595*SUMIF(ThresholdAge24,"&lt;"&amp;'19_Расчет_аналитики'!M3595,WeightedRevAge24)-SUMIF(ThresholdAge24,"&lt;"&amp;'19_Расчет_аналитики'!M3595,WeightedMinAge24),MAX(CapacityAge24*'01_Вводные'!$B$218*'19_Расчет_аналитики'!M3595,MeanMinAge24))),0)</f>
        <v/>
      </c>
      <c r="N3523">
        <f>IF('01_Вводные'!$B$234="Да",IF(OR('06_Сеть_и_дети'!N104=0,24&lt;='01_Вводные'!$B$297),0,'06_Сеть_и_дети'!N104*IF('01_Вводные'!$B$239="Да",MeanMinAge24+'19_Расчет_аналитики'!N3595*SUMIF(ThresholdAge24,"&lt;"&amp;'19_Расчет_аналитики'!N3595,WeightedRevAge24)-SUMIF(ThresholdAge24,"&lt;"&amp;'19_Расчет_аналитики'!N3595,WeightedMinAge24),MAX(CapacityAge24*'01_Вводные'!$B$218*'19_Расчет_аналитики'!N3595,MeanMinAge24))),0)</f>
        <v/>
      </c>
      <c r="O3523">
        <f>IF('01_Вводные'!$B$234="Да",IF(OR('06_Сеть_и_дети'!O104=0,24&lt;='01_Вводные'!$B$297),0,'06_Сеть_и_дети'!O104*IF('01_Вводные'!$B$239="Да",MeanMinAge24+'19_Расчет_аналитики'!O3595*SUMIF(ThresholdAge24,"&lt;"&amp;'19_Расчет_аналитики'!O3595,WeightedRevAge24)-SUMIF(ThresholdAge24,"&lt;"&amp;'19_Расчет_аналитики'!O3595,WeightedMinAge24),MAX(CapacityAge24*'01_Вводные'!$B$218*'19_Расчет_аналитики'!O3595,MeanMinAge24))),0)</f>
        <v/>
      </c>
      <c r="P3523">
        <f>IF('01_Вводные'!$B$234="Да",IF(OR('06_Сеть_и_дети'!P104=0,24&lt;='01_Вводные'!$B$297),0,'06_Сеть_и_дети'!P104*IF('01_Вводные'!$B$239="Да",MeanMinAge24+'19_Расчет_аналитики'!P3595*SUMIF(ThresholdAge24,"&lt;"&amp;'19_Расчет_аналитики'!P3595,WeightedRevAge24)-SUMIF(ThresholdAge24,"&lt;"&amp;'19_Расчет_аналитики'!P3595,WeightedMinAge24),MAX(CapacityAge24*'01_Вводные'!$B$218*'19_Расчет_аналитики'!P3595,MeanMinAge24))),0)</f>
        <v/>
      </c>
      <c r="Q3523">
        <f>IF('01_Вводные'!$B$234="Да",IF(OR('06_Сеть_и_дети'!Q104=0,24&lt;='01_Вводные'!$B$297),0,'06_Сеть_и_дети'!Q104*IF('01_Вводные'!$B$239="Да",MeanMinAge24+'19_Расчет_аналитики'!Q3595*SUMIF(ThresholdAge24,"&lt;"&amp;'19_Расчет_аналитики'!Q3595,WeightedRevAge24)-SUMIF(ThresholdAge24,"&lt;"&amp;'19_Расчет_аналитики'!Q3595,WeightedMinAge24),MAX(CapacityAge24*'01_Вводные'!$B$218*'19_Расчет_аналитики'!Q3595,MeanMinAge24))),0)</f>
        <v/>
      </c>
      <c r="R3523">
        <f>IF('01_Вводные'!$B$234="Да",IF(OR('06_Сеть_и_дети'!R104=0,24&lt;='01_Вводные'!$B$297),0,'06_Сеть_и_дети'!R104*IF('01_Вводные'!$B$239="Да",MeanMinAge24+'19_Расчет_аналитики'!R3595*SUMIF(ThresholdAge24,"&lt;"&amp;'19_Расчет_аналитики'!R3595,WeightedRevAge24)-SUMIF(ThresholdAge24,"&lt;"&amp;'19_Расчет_аналитики'!R3595,WeightedMinAge24),MAX(CapacityAge24*'01_Вводные'!$B$218*'19_Расчет_аналитики'!R3595,MeanMinAge24))),0)</f>
        <v/>
      </c>
      <c r="S3523">
        <f>IF('01_Вводные'!$B$234="Да",IF(OR('06_Сеть_и_дети'!S104=0,24&lt;='01_Вводные'!$B$297),0,'06_Сеть_и_дети'!S104*IF('01_Вводные'!$B$239="Да",MeanMinAge24+'19_Расчет_аналитики'!S3595*SUMIF(ThresholdAge24,"&lt;"&amp;'19_Расчет_аналитики'!S3595,WeightedRevAge24)-SUMIF(ThresholdAge24,"&lt;"&amp;'19_Расчет_аналитики'!S3595,WeightedMinAge24),MAX(CapacityAge24*'01_Вводные'!$B$218*'19_Расчет_аналитики'!S3595,MeanMinAge24))),0)</f>
        <v/>
      </c>
      <c r="T3523">
        <f>IF('01_Вводные'!$B$234="Да",IF(OR('06_Сеть_и_дети'!T104=0,24&lt;='01_Вводные'!$B$297),0,'06_Сеть_и_дети'!T104*IF('01_Вводные'!$B$239="Да",MeanMinAge24+'19_Расчет_аналитики'!T3595*SUMIF(ThresholdAge24,"&lt;"&amp;'19_Расчет_аналитики'!T3595,WeightedRevAge24)-SUMIF(ThresholdAge24,"&lt;"&amp;'19_Расчет_аналитики'!T3595,WeightedMinAge24),MAX(CapacityAge24*'01_Вводные'!$B$218*'19_Расчет_аналитики'!T3595,MeanMinAge24))),0)</f>
        <v/>
      </c>
      <c r="U3523">
        <f>IF('01_Вводные'!$B$234="Да",IF(OR('06_Сеть_и_дети'!U104=0,24&lt;='01_Вводные'!$B$297),0,'06_Сеть_и_дети'!U104*IF('01_Вводные'!$B$239="Да",MeanMinAge24+'19_Расчет_аналитики'!U3595*SUMIF(ThresholdAge24,"&lt;"&amp;'19_Расчет_аналитики'!U3595,WeightedRevAge24)-SUMIF(ThresholdAge24,"&lt;"&amp;'19_Расчет_аналитики'!U3595,WeightedMinAge24),MAX(CapacityAge24*'01_Вводные'!$B$218*'19_Расчет_аналитики'!U3595,MeanMinAge24))),0)</f>
        <v/>
      </c>
      <c r="V3523">
        <f>IF('01_Вводные'!$B$234="Да",IF(OR('06_Сеть_и_дети'!V104=0,24&lt;='01_Вводные'!$B$297),0,'06_Сеть_и_дети'!V104*IF('01_Вводные'!$B$239="Да",MeanMinAge24+'19_Расчет_аналитики'!V3595*SUMIF(ThresholdAge24,"&lt;"&amp;'19_Расчет_аналитики'!V3595,WeightedRevAge24)-SUMIF(ThresholdAge24,"&lt;"&amp;'19_Расчет_аналитики'!V3595,WeightedMinAge24),MAX(CapacityAge24*'01_Вводные'!$B$218*'19_Расчет_аналитики'!V3595,MeanMinAge24))),0)</f>
        <v/>
      </c>
      <c r="W3523">
        <f>IF('01_Вводные'!$B$234="Да",IF(OR('06_Сеть_и_дети'!W104=0,24&lt;='01_Вводные'!$B$297),0,'06_Сеть_и_дети'!W104*IF('01_Вводные'!$B$239="Да",MeanMinAge24+'19_Расчет_аналитики'!W3595*SUMIF(ThresholdAge24,"&lt;"&amp;'19_Расчет_аналитики'!W3595,WeightedRevAge24)-SUMIF(ThresholdAge24,"&lt;"&amp;'19_Расчет_аналитики'!W3595,WeightedMinAge24),MAX(CapacityAge24*'01_Вводные'!$B$218*'19_Расчет_аналитики'!W3595,MeanMinAge24))),0)</f>
        <v/>
      </c>
      <c r="X3523">
        <f>IF('01_Вводные'!$B$234="Да",IF(OR('06_Сеть_и_дети'!X104=0,24&lt;='01_Вводные'!$B$297),0,'06_Сеть_и_дети'!X104*IF('01_Вводные'!$B$239="Да",MeanMinAge24+'19_Расчет_аналитики'!X3595*SUMIF(ThresholdAge24,"&lt;"&amp;'19_Расчет_аналитики'!X3595,WeightedRevAge24)-SUMIF(ThresholdAge24,"&lt;"&amp;'19_Расчет_аналитики'!X3595,WeightedMinAge24),MAX(CapacityAge24*'01_Вводные'!$B$218*'19_Расчет_аналитики'!X3595,MeanMinAge24))),0)</f>
        <v/>
      </c>
      <c r="Y3523">
        <f>IF('01_Вводные'!$B$234="Да",IF(OR('19_Расчет_аналитики'!Y3495=0,24&lt;='01_Вводные'!$B$297),0,'19_Расчет_аналитики'!Y3495*IF('01_Вводные'!$B$239="Да",MeanMinAge24+'19_Расчет_аналитики'!Y3595*SUMIF(ThresholdAge24,"&lt;"&amp;'19_Расчет_аналитики'!Y3595,WeightedRevAge24)-SUMIF(ThresholdAge24,"&lt;"&amp;'19_Расчет_аналитики'!Y3595,WeightedMinAge24),MAX(CapacityAge24*'01_Вводные'!$B$218*'19_Расчет_аналитики'!Y3595,MeanMinAge24))),0)</f>
        <v/>
      </c>
      <c r="Z3523">
        <f>IF('01_Вводные'!$B$234="Да",IF(OR('19_Расчет_аналитики'!Z3495=0,24&lt;='01_Вводные'!$B$297),0,'19_Расчет_аналитики'!Z3495*IF('01_Вводные'!$B$239="Да",MeanMinAge24+'19_Расчет_аналитики'!Z3595*SUMIF(ThresholdAge24,"&lt;"&amp;'19_Расчет_аналитики'!Z3595,WeightedRevAge24)-SUMIF(ThresholdAge24,"&lt;"&amp;'19_Расчет_аналитики'!Z3595,WeightedMinAge24),MAX(CapacityAge24*'01_Вводные'!$B$218*'19_Расчет_аналитики'!Z3595,MeanMinAge24))),0)</f>
        <v/>
      </c>
      <c r="AA3523">
        <f>IF('01_Вводные'!$B$234="Да",IF(OR('19_Расчет_аналитики'!AA3495=0,24&lt;='01_Вводные'!$B$297),0,'19_Расчет_аналитики'!AA3495*IF('01_Вводные'!$B$239="Да",MeanMinAge24+'19_Расчет_аналитики'!AA3595*SUMIF(ThresholdAge24,"&lt;"&amp;'19_Расчет_аналитики'!AA3595,WeightedRevAge24)-SUMIF(ThresholdAge24,"&lt;"&amp;'19_Расчет_аналитики'!AA3595,WeightedMinAge24),MAX(CapacityAge24*'01_Вводные'!$B$218*'19_Расчет_аналитики'!AA3595,MeanMinAge24))),0)</f>
        <v/>
      </c>
      <c r="AB3523">
        <f>IF('01_Вводные'!$B$234="Да",IF(OR('19_Расчет_аналитики'!AB3495=0,24&lt;='01_Вводные'!$B$297),0,'19_Расчет_аналитики'!AB3495*IF('01_Вводные'!$B$239="Да",MeanMinAge24+'19_Расчет_аналитики'!AB3595*SUMIF(ThresholdAge24,"&lt;"&amp;'19_Расчет_аналитики'!AB3595,WeightedRevAge24)-SUMIF(ThresholdAge24,"&lt;"&amp;'19_Расчет_аналитики'!AB3595,WeightedMinAge24),MAX(CapacityAge24*'01_Вводные'!$B$218*'19_Расчет_аналитики'!AB3595,MeanMinAge24))),0)</f>
        <v/>
      </c>
      <c r="AC3523">
        <f>IF('01_Вводные'!$B$234="Да",IF(OR('19_Расчет_аналитики'!AC3495=0,24&lt;='01_Вводные'!$B$297),0,'19_Расчет_аналитики'!AC3495*IF('01_Вводные'!$B$239="Да",MeanMinAge24+'19_Расчет_аналитики'!AC3595*SUMIF(ThresholdAge24,"&lt;"&amp;'19_Расчет_аналитики'!AC3595,WeightedRevAge24)-SUMIF(ThresholdAge24,"&lt;"&amp;'19_Расчет_аналитики'!AC3595,WeightedMinAge24),MAX(CapacityAge24*'01_Вводные'!$B$218*'19_Расчет_аналитики'!AC3595,MeanMinAge24))),0)</f>
        <v/>
      </c>
      <c r="AD3523">
        <f>IF('01_Вводные'!$B$234="Да",IF(OR('19_Расчет_аналитики'!AD3495=0,24&lt;='01_Вводные'!$B$297),0,'19_Расчет_аналитики'!AD3495*IF('01_Вводные'!$B$239="Да",MeanMinAge24+'19_Расчет_аналитики'!AD3595*SUMIF(ThresholdAge24,"&lt;"&amp;'19_Расчет_аналитики'!AD3595,WeightedRevAge24)-SUMIF(ThresholdAge24,"&lt;"&amp;'19_Расчет_аналитики'!AD3595,WeightedMinAge24),MAX(CapacityAge24*'01_Вводные'!$B$218*'19_Расчет_аналитики'!AD3595,MeanMinAge24))),0)</f>
        <v/>
      </c>
      <c r="AE3523">
        <f>IF('01_Вводные'!$B$234="Да",IF(OR('19_Расчет_аналитики'!AE3495=0,24&lt;='01_Вводные'!$B$297),0,'19_Расчет_аналитики'!AE3495*IF('01_Вводные'!$B$239="Да",MeanMinAge24+'19_Расчет_аналитики'!AE3595*SUMIF(ThresholdAge24,"&lt;"&amp;'19_Расчет_аналитики'!AE3595,WeightedRevAge24)-SUMIF(ThresholdAge24,"&lt;"&amp;'19_Расчет_аналитики'!AE3595,WeightedMinAge24),MAX(CapacityAge24*'01_Вводные'!$B$218*'19_Расчет_аналитики'!AE3595,MeanMinAge24))),0)</f>
        <v/>
      </c>
      <c r="AF3523">
        <f>IF('01_Вводные'!$B$234="Да",IF(OR('19_Расчет_аналитики'!AF3495=0,24&lt;='01_Вводные'!$B$297),0,'19_Расчет_аналитики'!AF3495*IF('01_Вводные'!$B$239="Да",MeanMinAge24+'19_Расчет_аналитики'!AF3595*SUMIF(ThresholdAge24,"&lt;"&amp;'19_Расчет_аналитики'!AF3595,WeightedRevAge24)-SUMIF(ThresholdAge24,"&lt;"&amp;'19_Расчет_аналитики'!AF3595,WeightedMinAge24),MAX(CapacityAge24*'01_Вводные'!$B$218*'19_Расчет_аналитики'!AF3595,MeanMinAge24))),0)</f>
        <v/>
      </c>
      <c r="AG3523">
        <f>IF('01_Вводные'!$B$234="Да",IF(OR('19_Расчет_аналитики'!AG3495=0,24&lt;='01_Вводные'!$B$297),0,'19_Расчет_аналитики'!AG3495*IF('01_Вводные'!$B$239="Да",MeanMinAge24+'19_Расчет_аналитики'!AG3595*SUMIF(ThresholdAge24,"&lt;"&amp;'19_Расчет_аналитики'!AG3595,WeightedRevAge24)-SUMIF(ThresholdAge24,"&lt;"&amp;'19_Расчет_аналитики'!AG3595,WeightedMinAge24),MAX(CapacityAge24*'01_Вводные'!$B$218*'19_Расчет_аналитики'!AG3595,MeanMinAge24))),0)</f>
        <v/>
      </c>
      <c r="AH3523">
        <f>IF('01_Вводные'!$B$234="Да",IF(OR('19_Расчет_аналитики'!AH3495=0,24&lt;='01_Вводные'!$B$297),0,'19_Расчет_аналитики'!AH3495*IF('01_Вводные'!$B$239="Да",MeanMinAge24+'19_Расчет_аналитики'!AH3595*SUMIF(ThresholdAge24,"&lt;"&amp;'19_Расчет_аналитики'!AH3595,WeightedRevAge24)-SUMIF(ThresholdAge24,"&lt;"&amp;'19_Расчет_аналитики'!AH3595,WeightedMinAge24),MAX(CapacityAge24*'01_Вводные'!$B$218*'19_Расчет_аналитики'!AH3595,MeanMinAge24))),0)</f>
        <v/>
      </c>
      <c r="AI3523">
        <f>IF('01_Вводные'!$B$234="Да",IF(OR('19_Расчет_аналитики'!AI3495=0,24&lt;='01_Вводные'!$B$297),0,'19_Расчет_аналитики'!AI3495*IF('01_Вводные'!$B$239="Да",MeanMinAge24+'19_Расчет_аналитики'!AI3595*SUMIF(ThresholdAge24,"&lt;"&amp;'19_Расчет_аналитики'!AI3595,WeightedRevAge24)-SUMIF(ThresholdAge24,"&lt;"&amp;'19_Расчет_аналитики'!AI3595,WeightedMinAge24),MAX(CapacityAge24*'01_Вводные'!$B$218*'19_Расчет_аналитики'!AI3595,MeanMinAge24))),0)</f>
        <v/>
      </c>
      <c r="AJ3523">
        <f>IF('01_Вводные'!$B$234="Да",IF(OR('19_Расчет_аналитики'!AJ3495=0,24&lt;='01_Вводные'!$B$297),0,'19_Расчет_аналитики'!AJ3495*IF('01_Вводные'!$B$239="Да",MeanMinAge24+'19_Расчет_аналитики'!AJ3595*SUMIF(ThresholdAge24,"&lt;"&amp;'19_Расчет_аналитики'!AJ3595,WeightedRevAge24)-SUMIF(ThresholdAge24,"&lt;"&amp;'19_Расчет_аналитики'!AJ3595,WeightedMinAge24),MAX(CapacityAge24*'01_Вводные'!$B$218*'19_Расчет_аналитики'!AJ3595,MeanMinAge24))),0)</f>
        <v/>
      </c>
      <c r="AK3523">
        <f>IF('01_Вводные'!$B$234="Да",IF(OR('19_Расчет_аналитики'!AK3495=0,24&lt;='01_Вводные'!$B$297),0,'19_Расчет_аналитики'!AK3495*IF('01_Вводные'!$B$239="Да",MeanMinAge24+'19_Расчет_аналитики'!AK3595*SUMIF(ThresholdAge24,"&lt;"&amp;'19_Расчет_аналитики'!AK3595,WeightedRevAge24)-SUMIF(ThresholdAge24,"&lt;"&amp;'19_Расчет_аналитики'!AK3595,WeightedMinAge24),MAX(CapacityAge24*'01_Вводные'!$B$218*'19_Расчет_аналитики'!AK3595,MeanMinAge24))),0)</f>
        <v/>
      </c>
      <c r="AL3523">
        <f>IF('01_Вводные'!$B$234="Да",IF(OR('19_Расчет_аналитики'!AL3495=0,24&lt;='01_Вводные'!$B$297),0,'19_Расчет_аналитики'!AL3495*IF('01_Вводные'!$B$239="Да",MeanMinAge24+'19_Расчет_аналитики'!AL3595*SUMIF(ThresholdAge24,"&lt;"&amp;'19_Расчет_аналитики'!AL3595,WeightedRevAge24)-SUMIF(ThresholdAge24,"&lt;"&amp;'19_Расчет_аналитики'!AL3595,WeightedMinAge24),MAX(CapacityAge24*'01_Вводные'!$B$218*'19_Расчет_аналитики'!AL3595,MeanMinAge24))),0)</f>
        <v/>
      </c>
      <c r="AM3523">
        <f>IF('01_Вводные'!$B$234="Да",IF(OR('19_Расчет_аналитики'!AM3495=0,24&lt;='01_Вводные'!$B$297),0,'19_Расчет_аналитики'!AM3495*IF('01_Вводные'!$B$239="Да",MeanMinAge24+'19_Расчет_аналитики'!AM3595*SUMIF(ThresholdAge24,"&lt;"&amp;'19_Расчет_аналитики'!AM3595,WeightedRevAge24)-SUMIF(ThresholdAge24,"&lt;"&amp;'19_Расчет_аналитики'!AM3595,WeightedMinAge24),MAX(CapacityAge24*'01_Вводные'!$B$218*'19_Расчет_аналитики'!AM3595,MeanMinAge24))),0)</f>
        <v/>
      </c>
      <c r="AN3523">
        <f>IF('01_Вводные'!$B$234="Да",IF(OR('19_Расчет_аналитики'!AN3495=0,24&lt;='01_Вводные'!$B$297),0,'19_Расчет_аналитики'!AN3495*IF('01_Вводные'!$B$239="Да",MeanMinAge24+'19_Расчет_аналитики'!AN3595*SUMIF(ThresholdAge24,"&lt;"&amp;'19_Расчет_аналитики'!AN3595,WeightedRevAge24)-SUMIF(ThresholdAge24,"&lt;"&amp;'19_Расчет_аналитики'!AN3595,WeightedMinAge24),MAX(CapacityAge24*'01_Вводные'!$B$218*'19_Расчет_аналитики'!AN3595,MeanMinAge24))),0)</f>
        <v/>
      </c>
      <c r="AO3523">
        <f>IF('01_Вводные'!$B$234="Да",IF(OR('19_Расчет_аналитики'!AO3495=0,24&lt;='01_Вводные'!$B$297),0,'19_Расчет_аналитики'!AO3495*IF('01_Вводные'!$B$239="Да",MeanMinAge24+'19_Расчет_аналитики'!AO3595*SUMIF(ThresholdAge24,"&lt;"&amp;'19_Расчет_аналитики'!AO3595,WeightedRevAge24)-SUMIF(ThresholdAge24,"&lt;"&amp;'19_Расчет_аналитики'!AO3595,WeightedMinAge24),MAX(CapacityAge24*'01_Вводные'!$B$218*'19_Расчет_аналитики'!AO3595,MeanMinAge24))),0)</f>
        <v/>
      </c>
      <c r="AP3523">
        <f>IF('01_Вводные'!$B$234="Да",IF(OR('19_Расчет_аналитики'!AP3495=0,24&lt;='01_Вводные'!$B$297),0,'19_Расчет_аналитики'!AP3495*IF('01_Вводные'!$B$239="Да",MeanMinAge24+'19_Расчет_аналитики'!AP3595*SUMIF(ThresholdAge24,"&lt;"&amp;'19_Расчет_аналитики'!AP3595,WeightedRevAge24)-SUMIF(ThresholdAge24,"&lt;"&amp;'19_Расчет_аналитики'!AP3595,WeightedMinAge24),MAX(CapacityAge24*'01_Вводные'!$B$218*'19_Расчет_аналитики'!AP3595,MeanMinAge24))),0)</f>
        <v/>
      </c>
      <c r="AQ3523">
        <f>IF('01_Вводные'!$B$234="Да",IF(OR('19_Расчет_аналитики'!AQ3495=0,24&lt;='01_Вводные'!$B$297),0,'19_Расчет_аналитики'!AQ3495*IF('01_Вводные'!$B$239="Да",MeanMinAge24+'19_Расчет_аналитики'!AQ3595*SUMIF(ThresholdAge24,"&lt;"&amp;'19_Расчет_аналитики'!AQ3595,WeightedRevAge24)-SUMIF(ThresholdAge24,"&lt;"&amp;'19_Расчет_аналитики'!AQ3595,WeightedMinAge24),MAX(CapacityAge24*'01_Вводные'!$B$218*'19_Расчет_аналитики'!AQ3595,MeanMinAge24))),0)</f>
        <v/>
      </c>
      <c r="AR3523">
        <f>IF('01_Вводные'!$B$234="Да",IF(OR('19_Расчет_аналитики'!AR3495=0,24&lt;='01_Вводные'!$B$297),0,'19_Расчет_аналитики'!AR3495*IF('01_Вводные'!$B$239="Да",MeanMinAge24+'19_Расчет_аналитики'!AR3595*SUMIF(ThresholdAge24,"&lt;"&amp;'19_Расчет_аналитики'!AR3595,WeightedRevAge24)-SUMIF(ThresholdAge24,"&lt;"&amp;'19_Расчет_аналитики'!AR3595,WeightedMinAge24),MAX(CapacityAge24*'01_Вводные'!$B$218*'19_Расчет_аналитики'!AR3595,MeanMinAge24))),0)</f>
        <v/>
      </c>
      <c r="AS3523">
        <f>IF('01_Вводные'!$B$234="Да",IF(OR('19_Расчет_аналитики'!AS3495=0,24&lt;='01_Вводные'!$B$297),0,'19_Расчет_аналитики'!AS3495*IF('01_Вводные'!$B$239="Да",MeanMinAge24+'19_Расчет_аналитики'!AS3595*SUMIF(ThresholdAge24,"&lt;"&amp;'19_Расчет_аналитики'!AS3595,WeightedRevAge24)-SUMIF(ThresholdAge24,"&lt;"&amp;'19_Расчет_аналитики'!AS3595,WeightedMinAge24),MAX(CapacityAge24*'01_Вводные'!$B$218*'19_Расчет_аналитики'!AS3595,MeanMinAge24))),0)</f>
        <v/>
      </c>
      <c r="AT3523">
        <f>IF('01_Вводные'!$B$234="Да",IF(OR('19_Расчет_аналитики'!AT3495=0,24&lt;='01_Вводные'!$B$297),0,'19_Расчет_аналитики'!AT3495*IF('01_Вводные'!$B$239="Да",MeanMinAge24+'19_Расчет_аналитики'!AT3595*SUMIF(ThresholdAge24,"&lt;"&amp;'19_Расчет_аналитики'!AT3595,WeightedRevAge24)-SUMIF(ThresholdAge24,"&lt;"&amp;'19_Расчет_аналитики'!AT3595,WeightedMinAge24),MAX(CapacityAge24*'01_Вводные'!$B$218*'19_Расчет_аналитики'!AT3595,MeanMinAge24))),0)</f>
        <v/>
      </c>
      <c r="AU3523">
        <f>IF('01_Вводные'!$B$234="Да",IF(OR('19_Расчет_аналитики'!AU3495=0,24&lt;='01_Вводные'!$B$297),0,'19_Расчет_аналитики'!AU3495*IF('01_Вводные'!$B$239="Да",MeanMinAge24+'19_Расчет_аналитики'!AU3595*SUMIF(ThresholdAge24,"&lt;"&amp;'19_Расчет_аналитики'!AU3595,WeightedRevAge24)-SUMIF(ThresholdAge24,"&lt;"&amp;'19_Расчет_аналитики'!AU3595,WeightedMinAge24),MAX(CapacityAge24*'01_Вводные'!$B$218*'19_Расчет_аналитики'!AU3595,MeanMinAge24))),0)</f>
        <v/>
      </c>
      <c r="AV3523">
        <f>IF('01_Вводные'!$B$234="Да",IF(OR('19_Расчет_аналитики'!AV3495=0,24&lt;='01_Вводные'!$B$297),0,'19_Расчет_аналитики'!AV3495*IF('01_Вводные'!$B$239="Да",MeanMinAge24+'19_Расчет_аналитики'!AV3595*SUMIF(ThresholdAge24,"&lt;"&amp;'19_Расчет_аналитики'!AV3595,WeightedRevAge24)-SUMIF(ThresholdAge24,"&lt;"&amp;'19_Расчет_аналитики'!AV3595,WeightedMinAge24),MAX(CapacityAge24*'01_Вводные'!$B$218*'19_Расчет_аналитики'!AV3595,MeanMinAge24))),0)</f>
        <v/>
      </c>
      <c r="AW3523">
        <f>IF('01_Вводные'!$B$234="Да",IF(OR('19_Расчет_аналитики'!AW3495=0,24&lt;='01_Вводные'!$B$297),0,'19_Расчет_аналитики'!AW3495*IF('01_Вводные'!$B$239="Да",MeanMinAge24+'19_Расчет_аналитики'!AW3595*SUMIF(ThresholdAge24,"&lt;"&amp;'19_Расчет_аналитики'!AW3595,WeightedRevAge24)-SUMIF(ThresholdAge24,"&lt;"&amp;'19_Расчет_аналитики'!AW3595,WeightedMinAge24),MAX(CapacityAge24*'01_Вводные'!$B$218*'19_Расчет_аналитики'!AW3595,MeanMinAge24))),0)</f>
        <v/>
      </c>
      <c r="AX3523">
        <f>IF('01_Вводные'!$B$234="Да",IF(OR('19_Расчет_аналитики'!AX3495=0,24&lt;='01_Вводные'!$B$297),0,'19_Расчет_аналитики'!AX3495*IF('01_Вводные'!$B$239="Да",MeanMinAge24+'19_Расчет_аналитики'!AX3595*SUMIF(ThresholdAge24,"&lt;"&amp;'19_Расчет_аналитики'!AX3595,WeightedRevAge24)-SUMIF(ThresholdAge24,"&lt;"&amp;'19_Расчет_аналитики'!AX3595,WeightedMinAge24),MAX(CapacityAge24*'01_Вводные'!$B$218*'19_Расчет_аналитики'!AX3595,MeanMinAge24))),0)</f>
        <v/>
      </c>
      <c r="AY3523">
        <f>IF('01_Вводные'!$B$234="Да",IF(OR('19_Расчет_аналитики'!AY3495=0,24&lt;='01_Вводные'!$B$297),0,'19_Расчет_аналитики'!AY3495*IF('01_Вводные'!$B$239="Да",MeanMinAge24+'19_Расчет_аналитики'!AY3595*SUMIF(ThresholdAge24,"&lt;"&amp;'19_Расчет_аналитики'!AY3595,WeightedRevAge24)-SUMIF(ThresholdAge24,"&lt;"&amp;'19_Расчет_аналитики'!AY3595,WeightedMinAge24),MAX(CapacityAge24*'01_Вводные'!$B$218*'19_Расчет_аналитики'!AY3595,MeanMinAge24))),0)</f>
        <v/>
      </c>
      <c r="AZ3523">
        <f>IF('01_Вводные'!$B$234="Да",IF(OR('19_Расчет_аналитики'!AZ3495=0,24&lt;='01_Вводные'!$B$297),0,'19_Расчет_аналитики'!AZ3495*IF('01_Вводные'!$B$239="Да",MeanMinAge24+'19_Расчет_аналитики'!AZ3595*SUMIF(ThresholdAge24,"&lt;"&amp;'19_Расчет_аналитики'!AZ3595,WeightedRevAge24)-SUMIF(ThresholdAge24,"&lt;"&amp;'19_Расчет_аналитики'!AZ3595,WeightedMinAge24),MAX(CapacityAge24*'01_Вводные'!$B$218*'19_Расчет_аналитики'!AZ3595,MeanMinAge24))),0)</f>
        <v/>
      </c>
      <c r="BA3523">
        <f>IF('01_Вводные'!$B$234="Да",IF(OR('19_Расчет_аналитики'!BA3495=0,24&lt;='01_Вводные'!$B$297),0,'19_Расчет_аналитики'!BA3495*IF('01_Вводные'!$B$239="Да",MeanMinAge24+'19_Расчет_аналитики'!BA3595*SUMIF(ThresholdAge24,"&lt;"&amp;'19_Расчет_аналитики'!BA3595,WeightedRevAge24)-SUMIF(ThresholdAge24,"&lt;"&amp;'19_Расчет_аналитики'!BA3595,WeightedMinAge24),MAX(CapacityAge24*'01_Вводные'!$B$218*'19_Расчет_аналитики'!BA3595,MeanMinAge24))),0)</f>
        <v/>
      </c>
      <c r="BB3523">
        <f>IF('01_Вводные'!$B$234="Да",IF(OR('19_Расчет_аналитики'!BB3495=0,24&lt;='01_Вводные'!$B$297),0,'19_Расчет_аналитики'!BB3495*IF('01_Вводные'!$B$239="Да",MeanMinAge24+'19_Расчет_аналитики'!BB3595*SUMIF(ThresholdAge24,"&lt;"&amp;'19_Расчет_аналитики'!BB3595,WeightedRevAge24)-SUMIF(ThresholdAge24,"&lt;"&amp;'19_Расчет_аналитики'!BB3595,WeightedMinAge24),MAX(CapacityAge24*'01_Вводные'!$B$218*'19_Расчет_аналитики'!BB3595,MeanMinAge24))),0)</f>
        <v/>
      </c>
      <c r="BC3523">
        <f>IF('01_Вводные'!$B$234="Да",IF(OR('19_Расчет_аналитики'!BC3495=0,24&lt;='01_Вводные'!$B$297),0,'19_Расчет_аналитики'!BC3495*IF('01_Вводные'!$B$239="Да",MeanMinAge24+'19_Расчет_аналитики'!BC3595*SUMIF(ThresholdAge24,"&lt;"&amp;'19_Расчет_аналитики'!BC3595,WeightedRevAge24)-SUMIF(ThresholdAge24,"&lt;"&amp;'19_Расчет_аналитики'!BC3595,WeightedMinAge24),MAX(CapacityAge24*'01_Вводные'!$B$218*'19_Расчет_аналитики'!BC3595,MeanMinAge24))),0)</f>
        <v/>
      </c>
      <c r="BD3523">
        <f>IF('01_Вводные'!$B$234="Да",IF(OR('19_Расчет_аналитики'!BD3495=0,24&lt;='01_Вводные'!$B$297),0,'19_Расчет_аналитики'!BD3495*IF('01_Вводные'!$B$239="Да",MeanMinAge24+'19_Расчет_аналитики'!BD3595*SUMIF(ThresholdAge24,"&lt;"&amp;'19_Расчет_аналитики'!BD3595,WeightedRevAge24)-SUMIF(ThresholdAge24,"&lt;"&amp;'19_Расчет_аналитики'!BD3595,WeightedMinAge24),MAX(CapacityAge24*'01_Вводные'!$B$218*'19_Расчет_аналитики'!BD3595,MeanMinAge24))),0)</f>
        <v/>
      </c>
      <c r="BE3523">
        <f>IF('01_Вводные'!$B$234="Да",IF(OR('19_Расчет_аналитики'!BE3495=0,24&lt;='01_Вводные'!$B$297),0,'19_Расчет_аналитики'!BE3495*IF('01_Вводные'!$B$239="Да",MeanMinAge24+'19_Расчет_аналитики'!BE3595*SUMIF(ThresholdAge24,"&lt;"&amp;'19_Расчет_аналитики'!BE3595,WeightedRevAge24)-SUMIF(ThresholdAge24,"&lt;"&amp;'19_Расчет_аналитики'!BE3595,WeightedMinAge24),MAX(CapacityAge24*'01_Вводные'!$B$218*'19_Расчет_аналитики'!BE3595,MeanMinAge24))),0)</f>
        <v/>
      </c>
      <c r="BF3523">
        <f>IF('01_Вводные'!$B$234="Да",IF(OR('19_Расчет_аналитики'!BF3495=0,24&lt;='01_Вводные'!$B$297),0,'19_Расчет_аналитики'!BF3495*IF('01_Вводные'!$B$239="Да",MeanMinAge24+'19_Расчет_аналитики'!BF3595*SUMIF(ThresholdAge24,"&lt;"&amp;'19_Расчет_аналитики'!BF3595,WeightedRevAge24)-SUMIF(ThresholdAge24,"&lt;"&amp;'19_Расчет_аналитики'!BF3595,WeightedMinAge24),MAX(CapacityAge24*'01_Вводные'!$B$218*'19_Расчет_аналитики'!BF3595,MeanMinAge24))),0)</f>
        <v/>
      </c>
      <c r="BG3523">
        <f>IF('01_Вводные'!$B$234="Да",IF(OR('19_Расчет_аналитики'!BG3495=0,24&lt;='01_Вводные'!$B$297),0,'19_Расчет_аналитики'!BG3495*IF('01_Вводные'!$B$239="Да",MeanMinAge24+'19_Расчет_аналитики'!BG3595*SUMIF(ThresholdAge24,"&lt;"&amp;'19_Расчет_аналитики'!BG3595,WeightedRevAge24)-SUMIF(ThresholdAge24,"&lt;"&amp;'19_Расчет_аналитики'!BG3595,WeightedMinAge24),MAX(CapacityAge24*'01_Вводные'!$B$218*'19_Расчет_аналитики'!BG3595,MeanMinAge24))),0)</f>
        <v/>
      </c>
      <c r="BH3523">
        <f>IF('01_Вводные'!$B$234="Да",IF(OR('19_Расчет_аналитики'!BH3495=0,24&lt;='01_Вводные'!$B$297),0,'19_Расчет_аналитики'!BH3495*IF('01_Вводные'!$B$239="Да",MeanMinAge24+'19_Расчет_аналитики'!BH3595*SUMIF(ThresholdAge24,"&lt;"&amp;'19_Расчет_аналитики'!BH3595,WeightedRevAge24)-SUMIF(ThresholdAge24,"&lt;"&amp;'19_Расчет_аналитики'!BH3595,WeightedMinAge24),MAX(CapacityAge24*'01_Вводные'!$B$218*'19_Расчет_аналитики'!BH3595,MeanMinAge24))),0)</f>
        <v/>
      </c>
      <c r="BI3523">
        <f>IF('01_Вводные'!$B$234="Да",IF(OR('19_Расчет_аналитики'!BI3495=0,24&lt;='01_Вводные'!$B$297),0,'19_Расчет_аналитики'!BI3495*IF('01_Вводные'!$B$239="Да",MeanMinAge24+'19_Расчет_аналитики'!BI3595*SUMIF(ThresholdAge24,"&lt;"&amp;'19_Расчет_аналитики'!BI3595,WeightedRevAge24)-SUMIF(ThresholdAge24,"&lt;"&amp;'19_Расчет_аналитики'!BI3595,WeightedMinAge24),MAX(CapacityAge24*'01_Вводные'!$B$218*'19_Расчет_аналитики'!BI3595,MeanMinAge24))),0)</f>
        <v/>
      </c>
      <c r="BJ3523">
        <f>IF('01_Вводные'!$B$234="Да",IF(OR('19_Расчет_аналитики'!BJ3495=0,24&lt;='01_Вводные'!$B$297),0,'19_Расчет_аналитики'!BJ3495*IF('01_Вводные'!$B$239="Да",MeanMinAge24+'19_Расчет_аналитики'!BJ3595*SUMIF(ThresholdAge24,"&lt;"&amp;'19_Расчет_аналитики'!BJ3595,WeightedRevAge24)-SUMIF(ThresholdAge24,"&lt;"&amp;'19_Расчет_аналитики'!BJ3595,WeightedMinAge24),MAX(CapacityAge24*'01_Вводные'!$B$218*'19_Расчет_аналитики'!BJ3595,MeanMinAge24))),0)</f>
        <v/>
      </c>
      <c r="BK3523">
        <f>IF('01_Вводные'!$B$234="Да",IF(OR('19_Расчет_аналитики'!BK3495=0,24&lt;='01_Вводные'!$B$297),0,'19_Расчет_аналитики'!BK3495*IF('01_Вводные'!$B$239="Да",MeanMinAge24+'19_Расчет_аналитики'!BK3595*SUMIF(ThresholdAge24,"&lt;"&amp;'19_Расчет_аналитики'!BK3595,WeightedRevAge24)-SUMIF(ThresholdAge24,"&lt;"&amp;'19_Расчет_аналитики'!BK3595,WeightedMinAge24),MAX(CapacityAge24*'01_Вводные'!$B$218*'19_Расчет_аналитики'!BK3595,MeanMinAge24))),0)</f>
        <v/>
      </c>
      <c r="BL3523">
        <f>IF('01_Вводные'!$B$234="Да",IF(OR('19_Расчет_аналитики'!BL3495=0,24&lt;='01_Вводные'!$B$297),0,'19_Расчет_аналитики'!BL3495*IF('01_Вводные'!$B$239="Да",MeanMinAge24+'19_Расчет_аналитики'!BL3595*SUMIF(ThresholdAge24,"&lt;"&amp;'19_Расчет_аналитики'!BL3595,WeightedRevAge24)-SUMIF(ThresholdAge24,"&lt;"&amp;'19_Расчет_аналитики'!BL3595,WeightedMinAge24),MAX(CapacityAge24*'01_Вводные'!$B$218*'19_Расчет_аналитики'!BL3595,MeanMinAge24))),0)</f>
        <v/>
      </c>
      <c r="BM3523">
        <f>IF('01_Вводные'!$B$234="Да",IF(OR('19_Расчет_аналитики'!BM3495=0,24&lt;='01_Вводные'!$B$297),0,'19_Расчет_аналитики'!BM3495*IF('01_Вводные'!$B$239="Да",MeanMinAge24+'19_Расчет_аналитики'!BM3595*SUMIF(ThresholdAge24,"&lt;"&amp;'19_Расчет_аналитики'!BM3595,WeightedRevAge24)-SUMIF(ThresholdAge24,"&lt;"&amp;'19_Расчет_аналитики'!BM3595,WeightedMinAge24),MAX(CapacityAge24*'01_Вводные'!$B$218*'19_Расчет_аналитики'!BM3595,MeanMinAge24))),0)</f>
        <v/>
      </c>
      <c r="BN3523">
        <f>IF('01_Вводные'!$B$234="Да",IF(OR('19_Расчет_аналитики'!BN3495=0,24&lt;='01_Вводные'!$B$297),0,'19_Расчет_аналитики'!BN3495*IF('01_Вводные'!$B$239="Да",MeanMinAge24+'19_Расчет_аналитики'!BN3595*SUMIF(ThresholdAge24,"&lt;"&amp;'19_Расчет_аналитики'!BN3595,WeightedRevAge24)-SUMIF(ThresholdAge24,"&lt;"&amp;'19_Расчет_аналитики'!BN3595,WeightedMinAge24),MAX(CapacityAge24*'01_Вводные'!$B$218*'19_Расчет_аналитики'!BN3595,MeanMinAge24))),0)</f>
        <v/>
      </c>
      <c r="BO3523">
        <f>IF('01_Вводные'!$B$234="Да",IF(OR('19_Расчет_аналитики'!BO3495=0,24&lt;='01_Вводные'!$B$297),0,'19_Расчет_аналитики'!BO3495*IF('01_Вводные'!$B$239="Да",MeanMinAge24+'19_Расчет_аналитики'!BO3595*SUMIF(ThresholdAge24,"&lt;"&amp;'19_Расчет_аналитики'!BO3595,WeightedRevAge24)-SUMIF(ThresholdAge24,"&lt;"&amp;'19_Расчет_аналитики'!BO3595,WeightedMinAge24),MAX(CapacityAge24*'01_Вводные'!$B$218*'19_Расчет_аналитики'!BO3595,MeanMinAge24))),0)</f>
        <v/>
      </c>
    </row>
    <row r="3524">
      <c r="B3524">
        <f>IF('01_Вводные'!$B$234="Да",IF(OR('06_Сеть_и_дети'!B105=0,25&lt;='01_Вводные'!$B$297),0,'06_Сеть_и_дети'!B105*IF('01_Вводные'!$B$239="Да",MeanMinAge25+'19_Расчет_аналитики'!B3595*SUMIF(ThresholdAge25,"&lt;"&amp;'19_Расчет_аналитики'!B3595,WeightedRevAge25)-SUMIF(ThresholdAge25,"&lt;"&amp;'19_Расчет_аналитики'!B3595,WeightedMinAge25),MAX(CapacityAge25*'01_Вводные'!$B$218*'19_Расчет_аналитики'!B3595,MeanMinAge25))),0)</f>
        <v/>
      </c>
      <c r="C3524">
        <f>IF('01_Вводные'!$B$234="Да",IF(OR('06_Сеть_и_дети'!C105=0,25&lt;='01_Вводные'!$B$297),0,'06_Сеть_и_дети'!C105*IF('01_Вводные'!$B$239="Да",MeanMinAge25+'19_Расчет_аналитики'!C3595*SUMIF(ThresholdAge25,"&lt;"&amp;'19_Расчет_аналитики'!C3595,WeightedRevAge25)-SUMIF(ThresholdAge25,"&lt;"&amp;'19_Расчет_аналитики'!C3595,WeightedMinAge25),MAX(CapacityAge25*'01_Вводные'!$B$218*'19_Расчет_аналитики'!C3595,MeanMinAge25))),0)</f>
        <v/>
      </c>
      <c r="D3524">
        <f>IF('01_Вводные'!$B$234="Да",IF(OR('06_Сеть_и_дети'!D105=0,25&lt;='01_Вводные'!$B$297),0,'06_Сеть_и_дети'!D105*IF('01_Вводные'!$B$239="Да",MeanMinAge25+'19_Расчет_аналитики'!D3595*SUMIF(ThresholdAge25,"&lt;"&amp;'19_Расчет_аналитики'!D3595,WeightedRevAge25)-SUMIF(ThresholdAge25,"&lt;"&amp;'19_Расчет_аналитики'!D3595,WeightedMinAge25),MAX(CapacityAge25*'01_Вводные'!$B$218*'19_Расчет_аналитики'!D3595,MeanMinAge25))),0)</f>
        <v/>
      </c>
      <c r="E3524">
        <f>IF('01_Вводные'!$B$234="Да",IF(OR('06_Сеть_и_дети'!E105=0,25&lt;='01_Вводные'!$B$297),0,'06_Сеть_и_дети'!E105*IF('01_Вводные'!$B$239="Да",MeanMinAge25+'19_Расчет_аналитики'!E3595*SUMIF(ThresholdAge25,"&lt;"&amp;'19_Расчет_аналитики'!E3595,WeightedRevAge25)-SUMIF(ThresholdAge25,"&lt;"&amp;'19_Расчет_аналитики'!E3595,WeightedMinAge25),MAX(CapacityAge25*'01_Вводные'!$B$218*'19_Расчет_аналитики'!E3595,MeanMinAge25))),0)</f>
        <v/>
      </c>
      <c r="F3524">
        <f>IF('01_Вводные'!$B$234="Да",IF(OR('06_Сеть_и_дети'!F105=0,25&lt;='01_Вводные'!$B$297),0,'06_Сеть_и_дети'!F105*IF('01_Вводные'!$B$239="Да",MeanMinAge25+'19_Расчет_аналитики'!F3595*SUMIF(ThresholdAge25,"&lt;"&amp;'19_Расчет_аналитики'!F3595,WeightedRevAge25)-SUMIF(ThresholdAge25,"&lt;"&amp;'19_Расчет_аналитики'!F3595,WeightedMinAge25),MAX(CapacityAge25*'01_Вводные'!$B$218*'19_Расчет_аналитики'!F3595,MeanMinAge25))),0)</f>
        <v/>
      </c>
      <c r="G3524">
        <f>IF('01_Вводные'!$B$234="Да",IF(OR('06_Сеть_и_дети'!G105=0,25&lt;='01_Вводные'!$B$297),0,'06_Сеть_и_дети'!G105*IF('01_Вводные'!$B$239="Да",MeanMinAge25+'19_Расчет_аналитики'!G3595*SUMIF(ThresholdAge25,"&lt;"&amp;'19_Расчет_аналитики'!G3595,WeightedRevAge25)-SUMIF(ThresholdAge25,"&lt;"&amp;'19_Расчет_аналитики'!G3595,WeightedMinAge25),MAX(CapacityAge25*'01_Вводные'!$B$218*'19_Расчет_аналитики'!G3595,MeanMinAge25))),0)</f>
        <v/>
      </c>
      <c r="H3524">
        <f>IF('01_Вводные'!$B$234="Да",IF(OR('06_Сеть_и_дети'!H105=0,25&lt;='01_Вводные'!$B$297),0,'06_Сеть_и_дети'!H105*IF('01_Вводные'!$B$239="Да",MeanMinAge25+'19_Расчет_аналитики'!H3595*SUMIF(ThresholdAge25,"&lt;"&amp;'19_Расчет_аналитики'!H3595,WeightedRevAge25)-SUMIF(ThresholdAge25,"&lt;"&amp;'19_Расчет_аналитики'!H3595,WeightedMinAge25),MAX(CapacityAge25*'01_Вводные'!$B$218*'19_Расчет_аналитики'!H3595,MeanMinAge25))),0)</f>
        <v/>
      </c>
      <c r="I3524">
        <f>IF('01_Вводные'!$B$234="Да",IF(OR('06_Сеть_и_дети'!I105=0,25&lt;='01_Вводные'!$B$297),0,'06_Сеть_и_дети'!I105*IF('01_Вводные'!$B$239="Да",MeanMinAge25+'19_Расчет_аналитики'!I3595*SUMIF(ThresholdAge25,"&lt;"&amp;'19_Расчет_аналитики'!I3595,WeightedRevAge25)-SUMIF(ThresholdAge25,"&lt;"&amp;'19_Расчет_аналитики'!I3595,WeightedMinAge25),MAX(CapacityAge25*'01_Вводные'!$B$218*'19_Расчет_аналитики'!I3595,MeanMinAge25))),0)</f>
        <v/>
      </c>
      <c r="J3524">
        <f>IF('01_Вводные'!$B$234="Да",IF(OR('06_Сеть_и_дети'!J105=0,25&lt;='01_Вводные'!$B$297),0,'06_Сеть_и_дети'!J105*IF('01_Вводные'!$B$239="Да",MeanMinAge25+'19_Расчет_аналитики'!J3595*SUMIF(ThresholdAge25,"&lt;"&amp;'19_Расчет_аналитики'!J3595,WeightedRevAge25)-SUMIF(ThresholdAge25,"&lt;"&amp;'19_Расчет_аналитики'!J3595,WeightedMinAge25),MAX(CapacityAge25*'01_Вводные'!$B$218*'19_Расчет_аналитики'!J3595,MeanMinAge25))),0)</f>
        <v/>
      </c>
      <c r="K3524">
        <f>IF('01_Вводные'!$B$234="Да",IF(OR('06_Сеть_и_дети'!K105=0,25&lt;='01_Вводные'!$B$297),0,'06_Сеть_и_дети'!K105*IF('01_Вводные'!$B$239="Да",MeanMinAge25+'19_Расчет_аналитики'!K3595*SUMIF(ThresholdAge25,"&lt;"&amp;'19_Расчет_аналитики'!K3595,WeightedRevAge25)-SUMIF(ThresholdAge25,"&lt;"&amp;'19_Расчет_аналитики'!K3595,WeightedMinAge25),MAX(CapacityAge25*'01_Вводные'!$B$218*'19_Расчет_аналитики'!K3595,MeanMinAge25))),0)</f>
        <v/>
      </c>
      <c r="L3524">
        <f>IF('01_Вводные'!$B$234="Да",IF(OR('06_Сеть_и_дети'!L105=0,25&lt;='01_Вводные'!$B$297),0,'06_Сеть_и_дети'!L105*IF('01_Вводные'!$B$239="Да",MeanMinAge25+'19_Расчет_аналитики'!L3595*SUMIF(ThresholdAge25,"&lt;"&amp;'19_Расчет_аналитики'!L3595,WeightedRevAge25)-SUMIF(ThresholdAge25,"&lt;"&amp;'19_Расчет_аналитики'!L3595,WeightedMinAge25),MAX(CapacityAge25*'01_Вводные'!$B$218*'19_Расчет_аналитики'!L3595,MeanMinAge25))),0)</f>
        <v/>
      </c>
      <c r="M3524">
        <f>IF('01_Вводные'!$B$234="Да",IF(OR('06_Сеть_и_дети'!M105=0,25&lt;='01_Вводные'!$B$297),0,'06_Сеть_и_дети'!M105*IF('01_Вводные'!$B$239="Да",MeanMinAge25+'19_Расчет_аналитики'!M3595*SUMIF(ThresholdAge25,"&lt;"&amp;'19_Расчет_аналитики'!M3595,WeightedRevAge25)-SUMIF(ThresholdAge25,"&lt;"&amp;'19_Расчет_аналитики'!M3595,WeightedMinAge25),MAX(CapacityAge25*'01_Вводные'!$B$218*'19_Расчет_аналитики'!M3595,MeanMinAge25))),0)</f>
        <v/>
      </c>
      <c r="N3524">
        <f>IF('01_Вводные'!$B$234="Да",IF(OR('06_Сеть_и_дети'!N105=0,25&lt;='01_Вводные'!$B$297),0,'06_Сеть_и_дети'!N105*IF('01_Вводные'!$B$239="Да",MeanMinAge25+'19_Расчет_аналитики'!N3595*SUMIF(ThresholdAge25,"&lt;"&amp;'19_Расчет_аналитики'!N3595,WeightedRevAge25)-SUMIF(ThresholdAge25,"&lt;"&amp;'19_Расчет_аналитики'!N3595,WeightedMinAge25),MAX(CapacityAge25*'01_Вводные'!$B$218*'19_Расчет_аналитики'!N3595,MeanMinAge25))),0)</f>
        <v/>
      </c>
      <c r="O3524">
        <f>IF('01_Вводные'!$B$234="Да",IF(OR('06_Сеть_и_дети'!O105=0,25&lt;='01_Вводные'!$B$297),0,'06_Сеть_и_дети'!O105*IF('01_Вводные'!$B$239="Да",MeanMinAge25+'19_Расчет_аналитики'!O3595*SUMIF(ThresholdAge25,"&lt;"&amp;'19_Расчет_аналитики'!O3595,WeightedRevAge25)-SUMIF(ThresholdAge25,"&lt;"&amp;'19_Расчет_аналитики'!O3595,WeightedMinAge25),MAX(CapacityAge25*'01_Вводные'!$B$218*'19_Расчет_аналитики'!O3595,MeanMinAge25))),0)</f>
        <v/>
      </c>
      <c r="P3524">
        <f>IF('01_Вводные'!$B$234="Да",IF(OR('06_Сеть_и_дети'!P105=0,25&lt;='01_Вводные'!$B$297),0,'06_Сеть_и_дети'!P105*IF('01_Вводные'!$B$239="Да",MeanMinAge25+'19_Расчет_аналитики'!P3595*SUMIF(ThresholdAge25,"&lt;"&amp;'19_Расчет_аналитики'!P3595,WeightedRevAge25)-SUMIF(ThresholdAge25,"&lt;"&amp;'19_Расчет_аналитики'!P3595,WeightedMinAge25),MAX(CapacityAge25*'01_Вводные'!$B$218*'19_Расчет_аналитики'!P3595,MeanMinAge25))),0)</f>
        <v/>
      </c>
      <c r="Q3524">
        <f>IF('01_Вводные'!$B$234="Да",IF(OR('06_Сеть_и_дети'!Q105=0,25&lt;='01_Вводные'!$B$297),0,'06_Сеть_и_дети'!Q105*IF('01_Вводные'!$B$239="Да",MeanMinAge25+'19_Расчет_аналитики'!Q3595*SUMIF(ThresholdAge25,"&lt;"&amp;'19_Расчет_аналитики'!Q3595,WeightedRevAge25)-SUMIF(ThresholdAge25,"&lt;"&amp;'19_Расчет_аналитики'!Q3595,WeightedMinAge25),MAX(CapacityAge25*'01_Вводные'!$B$218*'19_Расчет_аналитики'!Q3595,MeanMinAge25))),0)</f>
        <v/>
      </c>
      <c r="R3524">
        <f>IF('01_Вводные'!$B$234="Да",IF(OR('06_Сеть_и_дети'!R105=0,25&lt;='01_Вводные'!$B$297),0,'06_Сеть_и_дети'!R105*IF('01_Вводные'!$B$239="Да",MeanMinAge25+'19_Расчет_аналитики'!R3595*SUMIF(ThresholdAge25,"&lt;"&amp;'19_Расчет_аналитики'!R3595,WeightedRevAge25)-SUMIF(ThresholdAge25,"&lt;"&amp;'19_Расчет_аналитики'!R3595,WeightedMinAge25),MAX(CapacityAge25*'01_Вводные'!$B$218*'19_Расчет_аналитики'!R3595,MeanMinAge25))),0)</f>
        <v/>
      </c>
      <c r="S3524">
        <f>IF('01_Вводные'!$B$234="Да",IF(OR('06_Сеть_и_дети'!S105=0,25&lt;='01_Вводные'!$B$297),0,'06_Сеть_и_дети'!S105*IF('01_Вводные'!$B$239="Да",MeanMinAge25+'19_Расчет_аналитики'!S3595*SUMIF(ThresholdAge25,"&lt;"&amp;'19_Расчет_аналитики'!S3595,WeightedRevAge25)-SUMIF(ThresholdAge25,"&lt;"&amp;'19_Расчет_аналитики'!S3595,WeightedMinAge25),MAX(CapacityAge25*'01_Вводные'!$B$218*'19_Расчет_аналитики'!S3595,MeanMinAge25))),0)</f>
        <v/>
      </c>
      <c r="T3524">
        <f>IF('01_Вводные'!$B$234="Да",IF(OR('06_Сеть_и_дети'!T105=0,25&lt;='01_Вводные'!$B$297),0,'06_Сеть_и_дети'!T105*IF('01_Вводные'!$B$239="Да",MeanMinAge25+'19_Расчет_аналитики'!T3595*SUMIF(ThresholdAge25,"&lt;"&amp;'19_Расчет_аналитики'!T3595,WeightedRevAge25)-SUMIF(ThresholdAge25,"&lt;"&amp;'19_Расчет_аналитики'!T3595,WeightedMinAge25),MAX(CapacityAge25*'01_Вводные'!$B$218*'19_Расчет_аналитики'!T3595,MeanMinAge25))),0)</f>
        <v/>
      </c>
      <c r="U3524">
        <f>IF('01_Вводные'!$B$234="Да",IF(OR('06_Сеть_и_дети'!U105=0,25&lt;='01_Вводные'!$B$297),0,'06_Сеть_и_дети'!U105*IF('01_Вводные'!$B$239="Да",MeanMinAge25+'19_Расчет_аналитики'!U3595*SUMIF(ThresholdAge25,"&lt;"&amp;'19_Расчет_аналитики'!U3595,WeightedRevAge25)-SUMIF(ThresholdAge25,"&lt;"&amp;'19_Расчет_аналитики'!U3595,WeightedMinAge25),MAX(CapacityAge25*'01_Вводные'!$B$218*'19_Расчет_аналитики'!U3595,MeanMinAge25))),0)</f>
        <v/>
      </c>
      <c r="V3524">
        <f>IF('01_Вводные'!$B$234="Да",IF(OR('06_Сеть_и_дети'!V105=0,25&lt;='01_Вводные'!$B$297),0,'06_Сеть_и_дети'!V105*IF('01_Вводные'!$B$239="Да",MeanMinAge25+'19_Расчет_аналитики'!V3595*SUMIF(ThresholdAge25,"&lt;"&amp;'19_Расчет_аналитики'!V3595,WeightedRevAge25)-SUMIF(ThresholdAge25,"&lt;"&amp;'19_Расчет_аналитики'!V3595,WeightedMinAge25),MAX(CapacityAge25*'01_Вводные'!$B$218*'19_Расчет_аналитики'!V3595,MeanMinAge25))),0)</f>
        <v/>
      </c>
      <c r="W3524">
        <f>IF('01_Вводные'!$B$234="Да",IF(OR('06_Сеть_и_дети'!W105=0,25&lt;='01_Вводные'!$B$297),0,'06_Сеть_и_дети'!W105*IF('01_Вводные'!$B$239="Да",MeanMinAge25+'19_Расчет_аналитики'!W3595*SUMIF(ThresholdAge25,"&lt;"&amp;'19_Расчет_аналитики'!W3595,WeightedRevAge25)-SUMIF(ThresholdAge25,"&lt;"&amp;'19_Расчет_аналитики'!W3595,WeightedMinAge25),MAX(CapacityAge25*'01_Вводные'!$B$218*'19_Расчет_аналитики'!W3595,MeanMinAge25))),0)</f>
        <v/>
      </c>
      <c r="X3524">
        <f>IF('01_Вводные'!$B$234="Да",IF(OR('06_Сеть_и_дети'!X105=0,25&lt;='01_Вводные'!$B$297),0,'06_Сеть_и_дети'!X105*IF('01_Вводные'!$B$239="Да",MeanMinAge25+'19_Расчет_аналитики'!X3595*SUMIF(ThresholdAge25,"&lt;"&amp;'19_Расчет_аналитики'!X3595,WeightedRevAge25)-SUMIF(ThresholdAge25,"&lt;"&amp;'19_Расчет_аналитики'!X3595,WeightedMinAge25),MAX(CapacityAge25*'01_Вводные'!$B$218*'19_Расчет_аналитики'!X3595,MeanMinAge25))),0)</f>
        <v/>
      </c>
      <c r="Y3524">
        <f>IF('01_Вводные'!$B$234="Да",IF(OR('06_Сеть_и_дети'!Y105=0,25&lt;='01_Вводные'!$B$297),0,'06_Сеть_и_дети'!Y105*IF('01_Вводные'!$B$239="Да",MeanMinAge25+'19_Расчет_аналитики'!Y3595*SUMIF(ThresholdAge25,"&lt;"&amp;'19_Расчет_аналитики'!Y3595,WeightedRevAge25)-SUMIF(ThresholdAge25,"&lt;"&amp;'19_Расчет_аналитики'!Y3595,WeightedMinAge25),MAX(CapacityAge25*'01_Вводные'!$B$218*'19_Расчет_аналитики'!Y3595,MeanMinAge25))),0)</f>
        <v/>
      </c>
      <c r="Z3524">
        <f>IF('01_Вводные'!$B$234="Да",IF(OR('19_Расчет_аналитики'!Z3496=0,25&lt;='01_Вводные'!$B$297),0,'19_Расчет_аналитики'!Z3496*IF('01_Вводные'!$B$239="Да",MeanMinAge25+'19_Расчет_аналитики'!Z3595*SUMIF(ThresholdAge25,"&lt;"&amp;'19_Расчет_аналитики'!Z3595,WeightedRevAge25)-SUMIF(ThresholdAge25,"&lt;"&amp;'19_Расчет_аналитики'!Z3595,WeightedMinAge25),MAX(CapacityAge25*'01_Вводные'!$B$218*'19_Расчет_аналитики'!Z3595,MeanMinAge25))),0)</f>
        <v/>
      </c>
      <c r="AA3524">
        <f>IF('01_Вводные'!$B$234="Да",IF(OR('19_Расчет_аналитики'!AA3496=0,25&lt;='01_Вводные'!$B$297),0,'19_Расчет_аналитики'!AA3496*IF('01_Вводные'!$B$239="Да",MeanMinAge25+'19_Расчет_аналитики'!AA3595*SUMIF(ThresholdAge25,"&lt;"&amp;'19_Расчет_аналитики'!AA3595,WeightedRevAge25)-SUMIF(ThresholdAge25,"&lt;"&amp;'19_Расчет_аналитики'!AA3595,WeightedMinAge25),MAX(CapacityAge25*'01_Вводные'!$B$218*'19_Расчет_аналитики'!AA3595,MeanMinAge25))),0)</f>
        <v/>
      </c>
      <c r="AB3524">
        <f>IF('01_Вводные'!$B$234="Да",IF(OR('19_Расчет_аналитики'!AB3496=0,25&lt;='01_Вводные'!$B$297),0,'19_Расчет_аналитики'!AB3496*IF('01_Вводные'!$B$239="Да",MeanMinAge25+'19_Расчет_аналитики'!AB3595*SUMIF(ThresholdAge25,"&lt;"&amp;'19_Расчет_аналитики'!AB3595,WeightedRevAge25)-SUMIF(ThresholdAge25,"&lt;"&amp;'19_Расчет_аналитики'!AB3595,WeightedMinAge25),MAX(CapacityAge25*'01_Вводные'!$B$218*'19_Расчет_аналитики'!AB3595,MeanMinAge25))),0)</f>
        <v/>
      </c>
      <c r="AC3524">
        <f>IF('01_Вводные'!$B$234="Да",IF(OR('19_Расчет_аналитики'!AC3496=0,25&lt;='01_Вводные'!$B$297),0,'19_Расчет_аналитики'!AC3496*IF('01_Вводные'!$B$239="Да",MeanMinAge25+'19_Расчет_аналитики'!AC3595*SUMIF(ThresholdAge25,"&lt;"&amp;'19_Расчет_аналитики'!AC3595,WeightedRevAge25)-SUMIF(ThresholdAge25,"&lt;"&amp;'19_Расчет_аналитики'!AC3595,WeightedMinAge25),MAX(CapacityAge25*'01_Вводные'!$B$218*'19_Расчет_аналитики'!AC3595,MeanMinAge25))),0)</f>
        <v/>
      </c>
      <c r="AD3524">
        <f>IF('01_Вводные'!$B$234="Да",IF(OR('19_Расчет_аналитики'!AD3496=0,25&lt;='01_Вводные'!$B$297),0,'19_Расчет_аналитики'!AD3496*IF('01_Вводные'!$B$239="Да",MeanMinAge25+'19_Расчет_аналитики'!AD3595*SUMIF(ThresholdAge25,"&lt;"&amp;'19_Расчет_аналитики'!AD3595,WeightedRevAge25)-SUMIF(ThresholdAge25,"&lt;"&amp;'19_Расчет_аналитики'!AD3595,WeightedMinAge25),MAX(CapacityAge25*'01_Вводные'!$B$218*'19_Расчет_аналитики'!AD3595,MeanMinAge25))),0)</f>
        <v/>
      </c>
      <c r="AE3524">
        <f>IF('01_Вводные'!$B$234="Да",IF(OR('19_Расчет_аналитики'!AE3496=0,25&lt;='01_Вводные'!$B$297),0,'19_Расчет_аналитики'!AE3496*IF('01_Вводные'!$B$239="Да",MeanMinAge25+'19_Расчет_аналитики'!AE3595*SUMIF(ThresholdAge25,"&lt;"&amp;'19_Расчет_аналитики'!AE3595,WeightedRevAge25)-SUMIF(ThresholdAge25,"&lt;"&amp;'19_Расчет_аналитики'!AE3595,WeightedMinAge25),MAX(CapacityAge25*'01_Вводные'!$B$218*'19_Расчет_аналитики'!AE3595,MeanMinAge25))),0)</f>
        <v/>
      </c>
      <c r="AF3524">
        <f>IF('01_Вводные'!$B$234="Да",IF(OR('19_Расчет_аналитики'!AF3496=0,25&lt;='01_Вводные'!$B$297),0,'19_Расчет_аналитики'!AF3496*IF('01_Вводные'!$B$239="Да",MeanMinAge25+'19_Расчет_аналитики'!AF3595*SUMIF(ThresholdAge25,"&lt;"&amp;'19_Расчет_аналитики'!AF3595,WeightedRevAge25)-SUMIF(ThresholdAge25,"&lt;"&amp;'19_Расчет_аналитики'!AF3595,WeightedMinAge25),MAX(CapacityAge25*'01_Вводные'!$B$218*'19_Расчет_аналитики'!AF3595,MeanMinAge25))),0)</f>
        <v/>
      </c>
      <c r="AG3524">
        <f>IF('01_Вводные'!$B$234="Да",IF(OR('19_Расчет_аналитики'!AG3496=0,25&lt;='01_Вводные'!$B$297),0,'19_Расчет_аналитики'!AG3496*IF('01_Вводные'!$B$239="Да",MeanMinAge25+'19_Расчет_аналитики'!AG3595*SUMIF(ThresholdAge25,"&lt;"&amp;'19_Расчет_аналитики'!AG3595,WeightedRevAge25)-SUMIF(ThresholdAge25,"&lt;"&amp;'19_Расчет_аналитики'!AG3595,WeightedMinAge25),MAX(CapacityAge25*'01_Вводные'!$B$218*'19_Расчет_аналитики'!AG3595,MeanMinAge25))),0)</f>
        <v/>
      </c>
      <c r="AH3524">
        <f>IF('01_Вводные'!$B$234="Да",IF(OR('19_Расчет_аналитики'!AH3496=0,25&lt;='01_Вводные'!$B$297),0,'19_Расчет_аналитики'!AH3496*IF('01_Вводные'!$B$239="Да",MeanMinAge25+'19_Расчет_аналитики'!AH3595*SUMIF(ThresholdAge25,"&lt;"&amp;'19_Расчет_аналитики'!AH3595,WeightedRevAge25)-SUMIF(ThresholdAge25,"&lt;"&amp;'19_Расчет_аналитики'!AH3595,WeightedMinAge25),MAX(CapacityAge25*'01_Вводные'!$B$218*'19_Расчет_аналитики'!AH3595,MeanMinAge25))),0)</f>
        <v/>
      </c>
      <c r="AI3524">
        <f>IF('01_Вводные'!$B$234="Да",IF(OR('19_Расчет_аналитики'!AI3496=0,25&lt;='01_Вводные'!$B$297),0,'19_Расчет_аналитики'!AI3496*IF('01_Вводные'!$B$239="Да",MeanMinAge25+'19_Расчет_аналитики'!AI3595*SUMIF(ThresholdAge25,"&lt;"&amp;'19_Расчет_аналитики'!AI3595,WeightedRevAge25)-SUMIF(ThresholdAge25,"&lt;"&amp;'19_Расчет_аналитики'!AI3595,WeightedMinAge25),MAX(CapacityAge25*'01_Вводные'!$B$218*'19_Расчет_аналитики'!AI3595,MeanMinAge25))),0)</f>
        <v/>
      </c>
      <c r="AJ3524">
        <f>IF('01_Вводные'!$B$234="Да",IF(OR('19_Расчет_аналитики'!AJ3496=0,25&lt;='01_Вводные'!$B$297),0,'19_Расчет_аналитики'!AJ3496*IF('01_Вводные'!$B$239="Да",MeanMinAge25+'19_Расчет_аналитики'!AJ3595*SUMIF(ThresholdAge25,"&lt;"&amp;'19_Расчет_аналитики'!AJ3595,WeightedRevAge25)-SUMIF(ThresholdAge25,"&lt;"&amp;'19_Расчет_аналитики'!AJ3595,WeightedMinAge25),MAX(CapacityAge25*'01_Вводные'!$B$218*'19_Расчет_аналитики'!AJ3595,MeanMinAge25))),0)</f>
        <v/>
      </c>
      <c r="AK3524">
        <f>IF('01_Вводные'!$B$234="Да",IF(OR('19_Расчет_аналитики'!AK3496=0,25&lt;='01_Вводные'!$B$297),0,'19_Расчет_аналитики'!AK3496*IF('01_Вводные'!$B$239="Да",MeanMinAge25+'19_Расчет_аналитики'!AK3595*SUMIF(ThresholdAge25,"&lt;"&amp;'19_Расчет_аналитики'!AK3595,WeightedRevAge25)-SUMIF(ThresholdAge25,"&lt;"&amp;'19_Расчет_аналитики'!AK3595,WeightedMinAge25),MAX(CapacityAge25*'01_Вводные'!$B$218*'19_Расчет_аналитики'!AK3595,MeanMinAge25))),0)</f>
        <v/>
      </c>
      <c r="AL3524">
        <f>IF('01_Вводные'!$B$234="Да",IF(OR('19_Расчет_аналитики'!AL3496=0,25&lt;='01_Вводные'!$B$297),0,'19_Расчет_аналитики'!AL3496*IF('01_Вводные'!$B$239="Да",MeanMinAge25+'19_Расчет_аналитики'!AL3595*SUMIF(ThresholdAge25,"&lt;"&amp;'19_Расчет_аналитики'!AL3595,WeightedRevAge25)-SUMIF(ThresholdAge25,"&lt;"&amp;'19_Расчет_аналитики'!AL3595,WeightedMinAge25),MAX(CapacityAge25*'01_Вводные'!$B$218*'19_Расчет_аналитики'!AL3595,MeanMinAge25))),0)</f>
        <v/>
      </c>
      <c r="AM3524">
        <f>IF('01_Вводные'!$B$234="Да",IF(OR('19_Расчет_аналитики'!AM3496=0,25&lt;='01_Вводные'!$B$297),0,'19_Расчет_аналитики'!AM3496*IF('01_Вводные'!$B$239="Да",MeanMinAge25+'19_Расчет_аналитики'!AM3595*SUMIF(ThresholdAge25,"&lt;"&amp;'19_Расчет_аналитики'!AM3595,WeightedRevAge25)-SUMIF(ThresholdAge25,"&lt;"&amp;'19_Расчет_аналитики'!AM3595,WeightedMinAge25),MAX(CapacityAge25*'01_Вводные'!$B$218*'19_Расчет_аналитики'!AM3595,MeanMinAge25))),0)</f>
        <v/>
      </c>
      <c r="AN3524">
        <f>IF('01_Вводные'!$B$234="Да",IF(OR('19_Расчет_аналитики'!AN3496=0,25&lt;='01_Вводные'!$B$297),0,'19_Расчет_аналитики'!AN3496*IF('01_Вводные'!$B$239="Да",MeanMinAge25+'19_Расчет_аналитики'!AN3595*SUMIF(ThresholdAge25,"&lt;"&amp;'19_Расчет_аналитики'!AN3595,WeightedRevAge25)-SUMIF(ThresholdAge25,"&lt;"&amp;'19_Расчет_аналитики'!AN3595,WeightedMinAge25),MAX(CapacityAge25*'01_Вводные'!$B$218*'19_Расчет_аналитики'!AN3595,MeanMinAge25))),0)</f>
        <v/>
      </c>
      <c r="AO3524">
        <f>IF('01_Вводные'!$B$234="Да",IF(OR('19_Расчет_аналитики'!AO3496=0,25&lt;='01_Вводные'!$B$297),0,'19_Расчет_аналитики'!AO3496*IF('01_Вводные'!$B$239="Да",MeanMinAge25+'19_Расчет_аналитики'!AO3595*SUMIF(ThresholdAge25,"&lt;"&amp;'19_Расчет_аналитики'!AO3595,WeightedRevAge25)-SUMIF(ThresholdAge25,"&lt;"&amp;'19_Расчет_аналитики'!AO3595,WeightedMinAge25),MAX(CapacityAge25*'01_Вводные'!$B$218*'19_Расчет_аналитики'!AO3595,MeanMinAge25))),0)</f>
        <v/>
      </c>
      <c r="AP3524">
        <f>IF('01_Вводные'!$B$234="Да",IF(OR('19_Расчет_аналитики'!AP3496=0,25&lt;='01_Вводные'!$B$297),0,'19_Расчет_аналитики'!AP3496*IF('01_Вводные'!$B$239="Да",MeanMinAge25+'19_Расчет_аналитики'!AP3595*SUMIF(ThresholdAge25,"&lt;"&amp;'19_Расчет_аналитики'!AP3595,WeightedRevAge25)-SUMIF(ThresholdAge25,"&lt;"&amp;'19_Расчет_аналитики'!AP3595,WeightedMinAge25),MAX(CapacityAge25*'01_Вводные'!$B$218*'19_Расчет_аналитики'!AP3595,MeanMinAge25))),0)</f>
        <v/>
      </c>
      <c r="AQ3524">
        <f>IF('01_Вводные'!$B$234="Да",IF(OR('19_Расчет_аналитики'!AQ3496=0,25&lt;='01_Вводные'!$B$297),0,'19_Расчет_аналитики'!AQ3496*IF('01_Вводные'!$B$239="Да",MeanMinAge25+'19_Расчет_аналитики'!AQ3595*SUMIF(ThresholdAge25,"&lt;"&amp;'19_Расчет_аналитики'!AQ3595,WeightedRevAge25)-SUMIF(ThresholdAge25,"&lt;"&amp;'19_Расчет_аналитики'!AQ3595,WeightedMinAge25),MAX(CapacityAge25*'01_Вводные'!$B$218*'19_Расчет_аналитики'!AQ3595,MeanMinAge25))),0)</f>
        <v/>
      </c>
      <c r="AR3524">
        <f>IF('01_Вводные'!$B$234="Да",IF(OR('19_Расчет_аналитики'!AR3496=0,25&lt;='01_Вводные'!$B$297),0,'19_Расчет_аналитики'!AR3496*IF('01_Вводные'!$B$239="Да",MeanMinAge25+'19_Расчет_аналитики'!AR3595*SUMIF(ThresholdAge25,"&lt;"&amp;'19_Расчет_аналитики'!AR3595,WeightedRevAge25)-SUMIF(ThresholdAge25,"&lt;"&amp;'19_Расчет_аналитики'!AR3595,WeightedMinAge25),MAX(CapacityAge25*'01_Вводные'!$B$218*'19_Расчет_аналитики'!AR3595,MeanMinAge25))),0)</f>
        <v/>
      </c>
      <c r="AS3524">
        <f>IF('01_Вводные'!$B$234="Да",IF(OR('19_Расчет_аналитики'!AS3496=0,25&lt;='01_Вводные'!$B$297),0,'19_Расчет_аналитики'!AS3496*IF('01_Вводные'!$B$239="Да",MeanMinAge25+'19_Расчет_аналитики'!AS3595*SUMIF(ThresholdAge25,"&lt;"&amp;'19_Расчет_аналитики'!AS3595,WeightedRevAge25)-SUMIF(ThresholdAge25,"&lt;"&amp;'19_Расчет_аналитики'!AS3595,WeightedMinAge25),MAX(CapacityAge25*'01_Вводные'!$B$218*'19_Расчет_аналитики'!AS3595,MeanMinAge25))),0)</f>
        <v/>
      </c>
      <c r="AT3524">
        <f>IF('01_Вводные'!$B$234="Да",IF(OR('19_Расчет_аналитики'!AT3496=0,25&lt;='01_Вводные'!$B$297),0,'19_Расчет_аналитики'!AT3496*IF('01_Вводные'!$B$239="Да",MeanMinAge25+'19_Расчет_аналитики'!AT3595*SUMIF(ThresholdAge25,"&lt;"&amp;'19_Расчет_аналитики'!AT3595,WeightedRevAge25)-SUMIF(ThresholdAge25,"&lt;"&amp;'19_Расчет_аналитики'!AT3595,WeightedMinAge25),MAX(CapacityAge25*'01_Вводные'!$B$218*'19_Расчет_аналитики'!AT3595,MeanMinAge25))),0)</f>
        <v/>
      </c>
      <c r="AU3524">
        <f>IF('01_Вводные'!$B$234="Да",IF(OR('19_Расчет_аналитики'!AU3496=0,25&lt;='01_Вводные'!$B$297),0,'19_Расчет_аналитики'!AU3496*IF('01_Вводные'!$B$239="Да",MeanMinAge25+'19_Расчет_аналитики'!AU3595*SUMIF(ThresholdAge25,"&lt;"&amp;'19_Расчет_аналитики'!AU3595,WeightedRevAge25)-SUMIF(ThresholdAge25,"&lt;"&amp;'19_Расчет_аналитики'!AU3595,WeightedMinAge25),MAX(CapacityAge25*'01_Вводные'!$B$218*'19_Расчет_аналитики'!AU3595,MeanMinAge25))),0)</f>
        <v/>
      </c>
      <c r="AV3524">
        <f>IF('01_Вводные'!$B$234="Да",IF(OR('19_Расчет_аналитики'!AV3496=0,25&lt;='01_Вводные'!$B$297),0,'19_Расчет_аналитики'!AV3496*IF('01_Вводные'!$B$239="Да",MeanMinAge25+'19_Расчет_аналитики'!AV3595*SUMIF(ThresholdAge25,"&lt;"&amp;'19_Расчет_аналитики'!AV3595,WeightedRevAge25)-SUMIF(ThresholdAge25,"&lt;"&amp;'19_Расчет_аналитики'!AV3595,WeightedMinAge25),MAX(CapacityAge25*'01_Вводные'!$B$218*'19_Расчет_аналитики'!AV3595,MeanMinAge25))),0)</f>
        <v/>
      </c>
      <c r="AW3524">
        <f>IF('01_Вводные'!$B$234="Да",IF(OR('19_Расчет_аналитики'!AW3496=0,25&lt;='01_Вводные'!$B$297),0,'19_Расчет_аналитики'!AW3496*IF('01_Вводные'!$B$239="Да",MeanMinAge25+'19_Расчет_аналитики'!AW3595*SUMIF(ThresholdAge25,"&lt;"&amp;'19_Расчет_аналитики'!AW3595,WeightedRevAge25)-SUMIF(ThresholdAge25,"&lt;"&amp;'19_Расчет_аналитики'!AW3595,WeightedMinAge25),MAX(CapacityAge25*'01_Вводные'!$B$218*'19_Расчет_аналитики'!AW3595,MeanMinAge25))),0)</f>
        <v/>
      </c>
      <c r="AX3524">
        <f>IF('01_Вводные'!$B$234="Да",IF(OR('19_Расчет_аналитики'!AX3496=0,25&lt;='01_Вводные'!$B$297),0,'19_Расчет_аналитики'!AX3496*IF('01_Вводные'!$B$239="Да",MeanMinAge25+'19_Расчет_аналитики'!AX3595*SUMIF(ThresholdAge25,"&lt;"&amp;'19_Расчет_аналитики'!AX3595,WeightedRevAge25)-SUMIF(ThresholdAge25,"&lt;"&amp;'19_Расчет_аналитики'!AX3595,WeightedMinAge25),MAX(CapacityAge25*'01_Вводные'!$B$218*'19_Расчет_аналитики'!AX3595,MeanMinAge25))),0)</f>
        <v/>
      </c>
      <c r="AY3524">
        <f>IF('01_Вводные'!$B$234="Да",IF(OR('19_Расчет_аналитики'!AY3496=0,25&lt;='01_Вводные'!$B$297),0,'19_Расчет_аналитики'!AY3496*IF('01_Вводные'!$B$239="Да",MeanMinAge25+'19_Расчет_аналитики'!AY3595*SUMIF(ThresholdAge25,"&lt;"&amp;'19_Расчет_аналитики'!AY3595,WeightedRevAge25)-SUMIF(ThresholdAge25,"&lt;"&amp;'19_Расчет_аналитики'!AY3595,WeightedMinAge25),MAX(CapacityAge25*'01_Вводные'!$B$218*'19_Расчет_аналитики'!AY3595,MeanMinAge25))),0)</f>
        <v/>
      </c>
      <c r="AZ3524">
        <f>IF('01_Вводные'!$B$234="Да",IF(OR('19_Расчет_аналитики'!AZ3496=0,25&lt;='01_Вводные'!$B$297),0,'19_Расчет_аналитики'!AZ3496*IF('01_Вводные'!$B$239="Да",MeanMinAge25+'19_Расчет_аналитики'!AZ3595*SUMIF(ThresholdAge25,"&lt;"&amp;'19_Расчет_аналитики'!AZ3595,WeightedRevAge25)-SUMIF(ThresholdAge25,"&lt;"&amp;'19_Расчет_аналитики'!AZ3595,WeightedMinAge25),MAX(CapacityAge25*'01_Вводные'!$B$218*'19_Расчет_аналитики'!AZ3595,MeanMinAge25))),0)</f>
        <v/>
      </c>
      <c r="BA3524">
        <f>IF('01_Вводные'!$B$234="Да",IF(OR('19_Расчет_аналитики'!BA3496=0,25&lt;='01_Вводные'!$B$297),0,'19_Расчет_аналитики'!BA3496*IF('01_Вводные'!$B$239="Да",MeanMinAge25+'19_Расчет_аналитики'!BA3595*SUMIF(ThresholdAge25,"&lt;"&amp;'19_Расчет_аналитики'!BA3595,WeightedRevAge25)-SUMIF(ThresholdAge25,"&lt;"&amp;'19_Расчет_аналитики'!BA3595,WeightedMinAge25),MAX(CapacityAge25*'01_Вводные'!$B$218*'19_Расчет_аналитики'!BA3595,MeanMinAge25))),0)</f>
        <v/>
      </c>
      <c r="BB3524">
        <f>IF('01_Вводные'!$B$234="Да",IF(OR('19_Расчет_аналитики'!BB3496=0,25&lt;='01_Вводные'!$B$297),0,'19_Расчет_аналитики'!BB3496*IF('01_Вводные'!$B$239="Да",MeanMinAge25+'19_Расчет_аналитики'!BB3595*SUMIF(ThresholdAge25,"&lt;"&amp;'19_Расчет_аналитики'!BB3595,WeightedRevAge25)-SUMIF(ThresholdAge25,"&lt;"&amp;'19_Расчет_аналитики'!BB3595,WeightedMinAge25),MAX(CapacityAge25*'01_Вводные'!$B$218*'19_Расчет_аналитики'!BB3595,MeanMinAge25))),0)</f>
        <v/>
      </c>
      <c r="BC3524">
        <f>IF('01_Вводные'!$B$234="Да",IF(OR('19_Расчет_аналитики'!BC3496=0,25&lt;='01_Вводные'!$B$297),0,'19_Расчет_аналитики'!BC3496*IF('01_Вводные'!$B$239="Да",MeanMinAge25+'19_Расчет_аналитики'!BC3595*SUMIF(ThresholdAge25,"&lt;"&amp;'19_Расчет_аналитики'!BC3595,WeightedRevAge25)-SUMIF(ThresholdAge25,"&lt;"&amp;'19_Расчет_аналитики'!BC3595,WeightedMinAge25),MAX(CapacityAge25*'01_Вводные'!$B$218*'19_Расчет_аналитики'!BC3595,MeanMinAge25))),0)</f>
        <v/>
      </c>
      <c r="BD3524">
        <f>IF('01_Вводные'!$B$234="Да",IF(OR('19_Расчет_аналитики'!BD3496=0,25&lt;='01_Вводные'!$B$297),0,'19_Расчет_аналитики'!BD3496*IF('01_Вводные'!$B$239="Да",MeanMinAge25+'19_Расчет_аналитики'!BD3595*SUMIF(ThresholdAge25,"&lt;"&amp;'19_Расчет_аналитики'!BD3595,WeightedRevAge25)-SUMIF(ThresholdAge25,"&lt;"&amp;'19_Расчет_аналитики'!BD3595,WeightedMinAge25),MAX(CapacityAge25*'01_Вводные'!$B$218*'19_Расчет_аналитики'!BD3595,MeanMinAge25))),0)</f>
        <v/>
      </c>
      <c r="BE3524">
        <f>IF('01_Вводные'!$B$234="Да",IF(OR('19_Расчет_аналитики'!BE3496=0,25&lt;='01_Вводные'!$B$297),0,'19_Расчет_аналитики'!BE3496*IF('01_Вводные'!$B$239="Да",MeanMinAge25+'19_Расчет_аналитики'!BE3595*SUMIF(ThresholdAge25,"&lt;"&amp;'19_Расчет_аналитики'!BE3595,WeightedRevAge25)-SUMIF(ThresholdAge25,"&lt;"&amp;'19_Расчет_аналитики'!BE3595,WeightedMinAge25),MAX(CapacityAge25*'01_Вводные'!$B$218*'19_Расчет_аналитики'!BE3595,MeanMinAge25))),0)</f>
        <v/>
      </c>
      <c r="BF3524">
        <f>IF('01_Вводные'!$B$234="Да",IF(OR('19_Расчет_аналитики'!BF3496=0,25&lt;='01_Вводные'!$B$297),0,'19_Расчет_аналитики'!BF3496*IF('01_Вводные'!$B$239="Да",MeanMinAge25+'19_Расчет_аналитики'!BF3595*SUMIF(ThresholdAge25,"&lt;"&amp;'19_Расчет_аналитики'!BF3595,WeightedRevAge25)-SUMIF(ThresholdAge25,"&lt;"&amp;'19_Расчет_аналитики'!BF3595,WeightedMinAge25),MAX(CapacityAge25*'01_Вводные'!$B$218*'19_Расчет_аналитики'!BF3595,MeanMinAge25))),0)</f>
        <v/>
      </c>
      <c r="BG3524">
        <f>IF('01_Вводные'!$B$234="Да",IF(OR('19_Расчет_аналитики'!BG3496=0,25&lt;='01_Вводные'!$B$297),0,'19_Расчет_аналитики'!BG3496*IF('01_Вводные'!$B$239="Да",MeanMinAge25+'19_Расчет_аналитики'!BG3595*SUMIF(ThresholdAge25,"&lt;"&amp;'19_Расчет_аналитики'!BG3595,WeightedRevAge25)-SUMIF(ThresholdAge25,"&lt;"&amp;'19_Расчет_аналитики'!BG3595,WeightedMinAge25),MAX(CapacityAge25*'01_Вводные'!$B$218*'19_Расчет_аналитики'!BG3595,MeanMinAge25))),0)</f>
        <v/>
      </c>
      <c r="BH3524">
        <f>IF('01_Вводные'!$B$234="Да",IF(OR('19_Расчет_аналитики'!BH3496=0,25&lt;='01_Вводные'!$B$297),0,'19_Расчет_аналитики'!BH3496*IF('01_Вводные'!$B$239="Да",MeanMinAge25+'19_Расчет_аналитики'!BH3595*SUMIF(ThresholdAge25,"&lt;"&amp;'19_Расчет_аналитики'!BH3595,WeightedRevAge25)-SUMIF(ThresholdAge25,"&lt;"&amp;'19_Расчет_аналитики'!BH3595,WeightedMinAge25),MAX(CapacityAge25*'01_Вводные'!$B$218*'19_Расчет_аналитики'!BH3595,MeanMinAge25))),0)</f>
        <v/>
      </c>
      <c r="BI3524">
        <f>IF('01_Вводные'!$B$234="Да",IF(OR('19_Расчет_аналитики'!BI3496=0,25&lt;='01_Вводные'!$B$297),0,'19_Расчет_аналитики'!BI3496*IF('01_Вводные'!$B$239="Да",MeanMinAge25+'19_Расчет_аналитики'!BI3595*SUMIF(ThresholdAge25,"&lt;"&amp;'19_Расчет_аналитики'!BI3595,WeightedRevAge25)-SUMIF(ThresholdAge25,"&lt;"&amp;'19_Расчет_аналитики'!BI3595,WeightedMinAge25),MAX(CapacityAge25*'01_Вводные'!$B$218*'19_Расчет_аналитики'!BI3595,MeanMinAge25))),0)</f>
        <v/>
      </c>
      <c r="BJ3524">
        <f>IF('01_Вводные'!$B$234="Да",IF(OR('19_Расчет_аналитики'!BJ3496=0,25&lt;='01_Вводные'!$B$297),0,'19_Расчет_аналитики'!BJ3496*IF('01_Вводные'!$B$239="Да",MeanMinAge25+'19_Расчет_аналитики'!BJ3595*SUMIF(ThresholdAge25,"&lt;"&amp;'19_Расчет_аналитики'!BJ3595,WeightedRevAge25)-SUMIF(ThresholdAge25,"&lt;"&amp;'19_Расчет_аналитики'!BJ3595,WeightedMinAge25),MAX(CapacityAge25*'01_Вводные'!$B$218*'19_Расчет_аналитики'!BJ3595,MeanMinAge25))),0)</f>
        <v/>
      </c>
      <c r="BK3524">
        <f>IF('01_Вводные'!$B$234="Да",IF(OR('19_Расчет_аналитики'!BK3496=0,25&lt;='01_Вводные'!$B$297),0,'19_Расчет_аналитики'!BK3496*IF('01_Вводные'!$B$239="Да",MeanMinAge25+'19_Расчет_аналитики'!BK3595*SUMIF(ThresholdAge25,"&lt;"&amp;'19_Расчет_аналитики'!BK3595,WeightedRevAge25)-SUMIF(ThresholdAge25,"&lt;"&amp;'19_Расчет_аналитики'!BK3595,WeightedMinAge25),MAX(CapacityAge25*'01_Вводные'!$B$218*'19_Расчет_аналитики'!BK3595,MeanMinAge25))),0)</f>
        <v/>
      </c>
      <c r="BL3524">
        <f>IF('01_Вводные'!$B$234="Да",IF(OR('19_Расчет_аналитики'!BL3496=0,25&lt;='01_Вводные'!$B$297),0,'19_Расчет_аналитики'!BL3496*IF('01_Вводные'!$B$239="Да",MeanMinAge25+'19_Расчет_аналитики'!BL3595*SUMIF(ThresholdAge25,"&lt;"&amp;'19_Расчет_аналитики'!BL3595,WeightedRevAge25)-SUMIF(ThresholdAge25,"&lt;"&amp;'19_Расчет_аналитики'!BL3595,WeightedMinAge25),MAX(CapacityAge25*'01_Вводные'!$B$218*'19_Расчет_аналитики'!BL3595,MeanMinAge25))),0)</f>
        <v/>
      </c>
      <c r="BM3524">
        <f>IF('01_Вводные'!$B$234="Да",IF(OR('19_Расчет_аналитики'!BM3496=0,25&lt;='01_Вводные'!$B$297),0,'19_Расчет_аналитики'!BM3496*IF('01_Вводные'!$B$239="Да",MeanMinAge25+'19_Расчет_аналитики'!BM3595*SUMIF(ThresholdAge25,"&lt;"&amp;'19_Расчет_аналитики'!BM3595,WeightedRevAge25)-SUMIF(ThresholdAge25,"&lt;"&amp;'19_Расчет_аналитики'!BM3595,WeightedMinAge25),MAX(CapacityAge25*'01_Вводные'!$B$218*'19_Расчет_аналитики'!BM3595,MeanMinAge25))),0)</f>
        <v/>
      </c>
      <c r="BN3524">
        <f>IF('01_Вводные'!$B$234="Да",IF(OR('19_Расчет_аналитики'!BN3496=0,25&lt;='01_Вводные'!$B$297),0,'19_Расчет_аналитики'!BN3496*IF('01_Вводные'!$B$239="Да",MeanMinAge25+'19_Расчет_аналитики'!BN3595*SUMIF(ThresholdAge25,"&lt;"&amp;'19_Расчет_аналитики'!BN3595,WeightedRevAge25)-SUMIF(ThresholdAge25,"&lt;"&amp;'19_Расчет_аналитики'!BN3595,WeightedMinAge25),MAX(CapacityAge25*'01_Вводные'!$B$218*'19_Расчет_аналитики'!BN3595,MeanMinAge25))),0)</f>
        <v/>
      </c>
      <c r="BO3524">
        <f>IF('01_Вводные'!$B$234="Да",IF(OR('19_Расчет_аналитики'!BO3496=0,25&lt;='01_Вводные'!$B$297),0,'19_Расчет_аналитики'!BO3496*IF('01_Вводные'!$B$239="Да",MeanMinAge25+'19_Расчет_аналитики'!BO3595*SUMIF(ThresholdAge25,"&lt;"&amp;'19_Расчет_аналитики'!BO3595,WeightedRevAge25)-SUMIF(ThresholdAge25,"&lt;"&amp;'19_Расчет_аналитики'!BO3595,WeightedMinAge25),MAX(CapacityAge25*'01_Вводные'!$B$218*'19_Расчет_аналитики'!BO3595,MeanMinAge25))),0)</f>
        <v/>
      </c>
    </row>
    <row r="3525"/>
    <row r="3526"/>
    <row r="3527"/>
    <row r="3528">
      <c r="B3528">
        <f>IF('01_Вводные'!$B$234="Да",IF(OR(('19_Расчет_аналитики'!B3444-'19_Расчет_аналитики'!B3472)=0,1&lt;='01_Вводные'!$B$297),0,('19_Расчет_аналитики'!B3444-'19_Расчет_аналитики'!B3472)*IF('01_Вводные'!$B$239="Да",MeanMinAge01+'19_Расчет_аналитики'!B3596*SUMIF(ThresholdAge01,"&lt;"&amp;'19_Расчет_аналитики'!B3596,WeightedRevAge01)-SUMIF(ThresholdAge01,"&lt;"&amp;'19_Расчет_аналитики'!B3596,WeightedMinAge01),MAX(CapacityAge01*'01_Вводные'!$B$218*'19_Расчет_аналитики'!B3596,MeanMinAge01))),0)</f>
        <v/>
      </c>
      <c r="C3528">
        <f>IF('01_Вводные'!$B$234="Да",IF(OR(('19_Расчет_аналитики'!C3444-'19_Расчет_аналитики'!C3472)=0,1&lt;='01_Вводные'!$B$297),0,('19_Расчет_аналитики'!C3444-'19_Расчет_аналитики'!C3472)*IF('01_Вводные'!$B$239="Да",MeanMinAge01+'19_Расчет_аналитики'!C3596*SUMIF(ThresholdAge01,"&lt;"&amp;'19_Расчет_аналитики'!C3596,WeightedRevAge01)-SUMIF(ThresholdAge01,"&lt;"&amp;'19_Расчет_аналитики'!C3596,WeightedMinAge01),MAX(CapacityAge01*'01_Вводные'!$B$218*'19_Расчет_аналитики'!C3596,MeanMinAge01))),0)</f>
        <v/>
      </c>
      <c r="D3528">
        <f>IF('01_Вводные'!$B$234="Да",IF(OR(('19_Расчет_аналитики'!D3444-'19_Расчет_аналитики'!D3472)=0,1&lt;='01_Вводные'!$B$297),0,('19_Расчет_аналитики'!D3444-'19_Расчет_аналитики'!D3472)*IF('01_Вводные'!$B$239="Да",MeanMinAge01+'19_Расчет_аналитики'!D3596*SUMIF(ThresholdAge01,"&lt;"&amp;'19_Расчет_аналитики'!D3596,WeightedRevAge01)-SUMIF(ThresholdAge01,"&lt;"&amp;'19_Расчет_аналитики'!D3596,WeightedMinAge01),MAX(CapacityAge01*'01_Вводные'!$B$218*'19_Расчет_аналитики'!D3596,MeanMinAge01))),0)</f>
        <v/>
      </c>
      <c r="E3528">
        <f>IF('01_Вводные'!$B$234="Да",IF(OR(('19_Расчет_аналитики'!E3444-'19_Расчет_аналитики'!E3472)=0,1&lt;='01_Вводные'!$B$297),0,('19_Расчет_аналитики'!E3444-'19_Расчет_аналитики'!E3472)*IF('01_Вводные'!$B$239="Да",MeanMinAge01+'19_Расчет_аналитики'!E3596*SUMIF(ThresholdAge01,"&lt;"&amp;'19_Расчет_аналитики'!E3596,WeightedRevAge01)-SUMIF(ThresholdAge01,"&lt;"&amp;'19_Расчет_аналитики'!E3596,WeightedMinAge01),MAX(CapacityAge01*'01_Вводные'!$B$218*'19_Расчет_аналитики'!E3596,MeanMinAge01))),0)</f>
        <v/>
      </c>
      <c r="F3528">
        <f>IF('01_Вводные'!$B$234="Да",IF(OR(('19_Расчет_аналитики'!F3444-'19_Расчет_аналитики'!F3472)=0,1&lt;='01_Вводные'!$B$297),0,('19_Расчет_аналитики'!F3444-'19_Расчет_аналитики'!F3472)*IF('01_Вводные'!$B$239="Да",MeanMinAge01+'19_Расчет_аналитики'!F3596*SUMIF(ThresholdAge01,"&lt;"&amp;'19_Расчет_аналитики'!F3596,WeightedRevAge01)-SUMIF(ThresholdAge01,"&lt;"&amp;'19_Расчет_аналитики'!F3596,WeightedMinAge01),MAX(CapacityAge01*'01_Вводные'!$B$218*'19_Расчет_аналитики'!F3596,MeanMinAge01))),0)</f>
        <v/>
      </c>
      <c r="G3528">
        <f>IF('01_Вводные'!$B$234="Да",IF(OR(('19_Расчет_аналитики'!G3444-'19_Расчет_аналитики'!G3472)=0,1&lt;='01_Вводные'!$B$297),0,('19_Расчет_аналитики'!G3444-'19_Расчет_аналитики'!G3472)*IF('01_Вводные'!$B$239="Да",MeanMinAge01+'19_Расчет_аналитики'!G3596*SUMIF(ThresholdAge01,"&lt;"&amp;'19_Расчет_аналитики'!G3596,WeightedRevAge01)-SUMIF(ThresholdAge01,"&lt;"&amp;'19_Расчет_аналитики'!G3596,WeightedMinAge01),MAX(CapacityAge01*'01_Вводные'!$B$218*'19_Расчет_аналитики'!G3596,MeanMinAge01))),0)</f>
        <v/>
      </c>
      <c r="H3528">
        <f>IF('01_Вводные'!$B$234="Да",IF(OR(('19_Расчет_аналитики'!H3444-'19_Расчет_аналитики'!H3472)=0,1&lt;='01_Вводные'!$B$297),0,('19_Расчет_аналитики'!H3444-'19_Расчет_аналитики'!H3472)*IF('01_Вводные'!$B$239="Да",MeanMinAge01+'19_Расчет_аналитики'!H3596*SUMIF(ThresholdAge01,"&lt;"&amp;'19_Расчет_аналитики'!H3596,WeightedRevAge01)-SUMIF(ThresholdAge01,"&lt;"&amp;'19_Расчет_аналитики'!H3596,WeightedMinAge01),MAX(CapacityAge01*'01_Вводные'!$B$218*'19_Расчет_аналитики'!H3596,MeanMinAge01))),0)</f>
        <v/>
      </c>
      <c r="I3528">
        <f>IF('01_Вводные'!$B$234="Да",IF(OR(('19_Расчет_аналитики'!I3444-'19_Расчет_аналитики'!I3472)=0,1&lt;='01_Вводные'!$B$297),0,('19_Расчет_аналитики'!I3444-'19_Расчет_аналитики'!I3472)*IF('01_Вводные'!$B$239="Да",MeanMinAge01+'19_Расчет_аналитики'!I3596*SUMIF(ThresholdAge01,"&lt;"&amp;'19_Расчет_аналитики'!I3596,WeightedRevAge01)-SUMIF(ThresholdAge01,"&lt;"&amp;'19_Расчет_аналитики'!I3596,WeightedMinAge01),MAX(CapacityAge01*'01_Вводные'!$B$218*'19_Расчет_аналитики'!I3596,MeanMinAge01))),0)</f>
        <v/>
      </c>
      <c r="J3528">
        <f>IF('01_Вводные'!$B$234="Да",IF(OR(('19_Расчет_аналитики'!J3444-'19_Расчет_аналитики'!J3472)=0,1&lt;='01_Вводные'!$B$297),0,('19_Расчет_аналитики'!J3444-'19_Расчет_аналитики'!J3472)*IF('01_Вводные'!$B$239="Да",MeanMinAge01+'19_Расчет_аналитики'!J3596*SUMIF(ThresholdAge01,"&lt;"&amp;'19_Расчет_аналитики'!J3596,WeightedRevAge01)-SUMIF(ThresholdAge01,"&lt;"&amp;'19_Расчет_аналитики'!J3596,WeightedMinAge01),MAX(CapacityAge01*'01_Вводные'!$B$218*'19_Расчет_аналитики'!J3596,MeanMinAge01))),0)</f>
        <v/>
      </c>
      <c r="K3528">
        <f>IF('01_Вводные'!$B$234="Да",IF(OR(('19_Расчет_аналитики'!K3444-'19_Расчет_аналитики'!K3472)=0,1&lt;='01_Вводные'!$B$297),0,('19_Расчет_аналитики'!K3444-'19_Расчет_аналитики'!K3472)*IF('01_Вводные'!$B$239="Да",MeanMinAge01+'19_Расчет_аналитики'!K3596*SUMIF(ThresholdAge01,"&lt;"&amp;'19_Расчет_аналитики'!K3596,WeightedRevAge01)-SUMIF(ThresholdAge01,"&lt;"&amp;'19_Расчет_аналитики'!K3596,WeightedMinAge01),MAX(CapacityAge01*'01_Вводные'!$B$218*'19_Расчет_аналитики'!K3596,MeanMinAge01))),0)</f>
        <v/>
      </c>
      <c r="L3528">
        <f>IF('01_Вводные'!$B$234="Да",IF(OR(('19_Расчет_аналитики'!L3444-'19_Расчет_аналитики'!L3472)=0,1&lt;='01_Вводные'!$B$297),0,('19_Расчет_аналитики'!L3444-'19_Расчет_аналитики'!L3472)*IF('01_Вводные'!$B$239="Да",MeanMinAge01+'19_Расчет_аналитики'!L3596*SUMIF(ThresholdAge01,"&lt;"&amp;'19_Расчет_аналитики'!L3596,WeightedRevAge01)-SUMIF(ThresholdAge01,"&lt;"&amp;'19_Расчет_аналитики'!L3596,WeightedMinAge01),MAX(CapacityAge01*'01_Вводные'!$B$218*'19_Расчет_аналитики'!L3596,MeanMinAge01))),0)</f>
        <v/>
      </c>
      <c r="M3528">
        <f>IF('01_Вводные'!$B$234="Да",IF(OR(('19_Расчет_аналитики'!M3444-'19_Расчет_аналитики'!M3472)=0,1&lt;='01_Вводные'!$B$297),0,('19_Расчет_аналитики'!M3444-'19_Расчет_аналитики'!M3472)*IF('01_Вводные'!$B$239="Да",MeanMinAge01+'19_Расчет_аналитики'!M3596*SUMIF(ThresholdAge01,"&lt;"&amp;'19_Расчет_аналитики'!M3596,WeightedRevAge01)-SUMIF(ThresholdAge01,"&lt;"&amp;'19_Расчет_аналитики'!M3596,WeightedMinAge01),MAX(CapacityAge01*'01_Вводные'!$B$218*'19_Расчет_аналитики'!M3596,MeanMinAge01))),0)</f>
        <v/>
      </c>
      <c r="N3528">
        <f>IF('01_Вводные'!$B$234="Да",IF(OR(('19_Расчет_аналитики'!N3444-'19_Расчет_аналитики'!N3472)=0,1&lt;='01_Вводные'!$B$297),0,('19_Расчет_аналитики'!N3444-'19_Расчет_аналитики'!N3472)*IF('01_Вводные'!$B$239="Да",MeanMinAge01+'19_Расчет_аналитики'!N3596*SUMIF(ThresholdAge01,"&lt;"&amp;'19_Расчет_аналитики'!N3596,WeightedRevAge01)-SUMIF(ThresholdAge01,"&lt;"&amp;'19_Расчет_аналитики'!N3596,WeightedMinAge01),MAX(CapacityAge01*'01_Вводные'!$B$218*'19_Расчет_аналитики'!N3596,MeanMinAge01))),0)</f>
        <v/>
      </c>
      <c r="O3528">
        <f>IF('01_Вводные'!$B$234="Да",IF(OR(('19_Расчет_аналитики'!O3444-'19_Расчет_аналитики'!O3472)=0,1&lt;='01_Вводные'!$B$297),0,('19_Расчет_аналитики'!O3444-'19_Расчет_аналитики'!O3472)*IF('01_Вводные'!$B$239="Да",MeanMinAge01+'19_Расчет_аналитики'!O3596*SUMIF(ThresholdAge01,"&lt;"&amp;'19_Расчет_аналитики'!O3596,WeightedRevAge01)-SUMIF(ThresholdAge01,"&lt;"&amp;'19_Расчет_аналитики'!O3596,WeightedMinAge01),MAX(CapacityAge01*'01_Вводные'!$B$218*'19_Расчет_аналитики'!O3596,MeanMinAge01))),0)</f>
        <v/>
      </c>
      <c r="P3528">
        <f>IF('01_Вводные'!$B$234="Да",IF(OR(('19_Расчет_аналитики'!P3444-'19_Расчет_аналитики'!P3472)=0,1&lt;='01_Вводные'!$B$297),0,('19_Расчет_аналитики'!P3444-'19_Расчет_аналитики'!P3472)*IF('01_Вводные'!$B$239="Да",MeanMinAge01+'19_Расчет_аналитики'!P3596*SUMIF(ThresholdAge01,"&lt;"&amp;'19_Расчет_аналитики'!P3596,WeightedRevAge01)-SUMIF(ThresholdAge01,"&lt;"&amp;'19_Расчет_аналитики'!P3596,WeightedMinAge01),MAX(CapacityAge01*'01_Вводные'!$B$218*'19_Расчет_аналитики'!P3596,MeanMinAge01))),0)</f>
        <v/>
      </c>
      <c r="Q3528">
        <f>IF('01_Вводные'!$B$234="Да",IF(OR(('19_Расчет_аналитики'!Q3444-'19_Расчет_аналитики'!Q3472)=0,1&lt;='01_Вводные'!$B$297),0,('19_Расчет_аналитики'!Q3444-'19_Расчет_аналитики'!Q3472)*IF('01_Вводные'!$B$239="Да",MeanMinAge01+'19_Расчет_аналитики'!Q3596*SUMIF(ThresholdAge01,"&lt;"&amp;'19_Расчет_аналитики'!Q3596,WeightedRevAge01)-SUMIF(ThresholdAge01,"&lt;"&amp;'19_Расчет_аналитики'!Q3596,WeightedMinAge01),MAX(CapacityAge01*'01_Вводные'!$B$218*'19_Расчет_аналитики'!Q3596,MeanMinAge01))),0)</f>
        <v/>
      </c>
      <c r="R3528">
        <f>IF('01_Вводные'!$B$234="Да",IF(OR(('19_Расчет_аналитики'!R3444-'19_Расчет_аналитики'!R3472)=0,1&lt;='01_Вводные'!$B$297),0,('19_Расчет_аналитики'!R3444-'19_Расчет_аналитики'!R3472)*IF('01_Вводные'!$B$239="Да",MeanMinAge01+'19_Расчет_аналитики'!R3596*SUMIF(ThresholdAge01,"&lt;"&amp;'19_Расчет_аналитики'!R3596,WeightedRevAge01)-SUMIF(ThresholdAge01,"&lt;"&amp;'19_Расчет_аналитики'!R3596,WeightedMinAge01),MAX(CapacityAge01*'01_Вводные'!$B$218*'19_Расчет_аналитики'!R3596,MeanMinAge01))),0)</f>
        <v/>
      </c>
      <c r="S3528">
        <f>IF('01_Вводные'!$B$234="Да",IF(OR(('19_Расчет_аналитики'!S3444-'19_Расчет_аналитики'!S3472)=0,1&lt;='01_Вводные'!$B$297),0,('19_Расчет_аналитики'!S3444-'19_Расчет_аналитики'!S3472)*IF('01_Вводные'!$B$239="Да",MeanMinAge01+'19_Расчет_аналитики'!S3596*SUMIF(ThresholdAge01,"&lt;"&amp;'19_Расчет_аналитики'!S3596,WeightedRevAge01)-SUMIF(ThresholdAge01,"&lt;"&amp;'19_Расчет_аналитики'!S3596,WeightedMinAge01),MAX(CapacityAge01*'01_Вводные'!$B$218*'19_Расчет_аналитики'!S3596,MeanMinAge01))),0)</f>
        <v/>
      </c>
      <c r="T3528">
        <f>IF('01_Вводные'!$B$234="Да",IF(OR(('19_Расчет_аналитики'!T3444-'19_Расчет_аналитики'!T3472)=0,1&lt;='01_Вводные'!$B$297),0,('19_Расчет_аналитики'!T3444-'19_Расчет_аналитики'!T3472)*IF('01_Вводные'!$B$239="Да",MeanMinAge01+'19_Расчет_аналитики'!T3596*SUMIF(ThresholdAge01,"&lt;"&amp;'19_Расчет_аналитики'!T3596,WeightedRevAge01)-SUMIF(ThresholdAge01,"&lt;"&amp;'19_Расчет_аналитики'!T3596,WeightedMinAge01),MAX(CapacityAge01*'01_Вводные'!$B$218*'19_Расчет_аналитики'!T3596,MeanMinAge01))),0)</f>
        <v/>
      </c>
      <c r="U3528">
        <f>IF('01_Вводные'!$B$234="Да",IF(OR(('19_Расчет_аналитики'!U3444-'19_Расчет_аналитики'!U3472)=0,1&lt;='01_Вводные'!$B$297),0,('19_Расчет_аналитики'!U3444-'19_Расчет_аналитики'!U3472)*IF('01_Вводные'!$B$239="Да",MeanMinAge01+'19_Расчет_аналитики'!U3596*SUMIF(ThresholdAge01,"&lt;"&amp;'19_Расчет_аналитики'!U3596,WeightedRevAge01)-SUMIF(ThresholdAge01,"&lt;"&amp;'19_Расчет_аналитики'!U3596,WeightedMinAge01),MAX(CapacityAge01*'01_Вводные'!$B$218*'19_Расчет_аналитики'!U3596,MeanMinAge01))),0)</f>
        <v/>
      </c>
      <c r="V3528">
        <f>IF('01_Вводные'!$B$234="Да",IF(OR(('19_Расчет_аналитики'!V3444-'19_Расчет_аналитики'!V3472)=0,1&lt;='01_Вводные'!$B$297),0,('19_Расчет_аналитики'!V3444-'19_Расчет_аналитики'!V3472)*IF('01_Вводные'!$B$239="Да",MeanMinAge01+'19_Расчет_аналитики'!V3596*SUMIF(ThresholdAge01,"&lt;"&amp;'19_Расчет_аналитики'!V3596,WeightedRevAge01)-SUMIF(ThresholdAge01,"&lt;"&amp;'19_Расчет_аналитики'!V3596,WeightedMinAge01),MAX(CapacityAge01*'01_Вводные'!$B$218*'19_Расчет_аналитики'!V3596,MeanMinAge01))),0)</f>
        <v/>
      </c>
      <c r="W3528">
        <f>IF('01_Вводные'!$B$234="Да",IF(OR(('19_Расчет_аналитики'!W3444-'19_Расчет_аналитики'!W3472)=0,1&lt;='01_Вводные'!$B$297),0,('19_Расчет_аналитики'!W3444-'19_Расчет_аналитики'!W3472)*IF('01_Вводные'!$B$239="Да",MeanMinAge01+'19_Расчет_аналитики'!W3596*SUMIF(ThresholdAge01,"&lt;"&amp;'19_Расчет_аналитики'!W3596,WeightedRevAge01)-SUMIF(ThresholdAge01,"&lt;"&amp;'19_Расчет_аналитики'!W3596,WeightedMinAge01),MAX(CapacityAge01*'01_Вводные'!$B$218*'19_Расчет_аналитики'!W3596,MeanMinAge01))),0)</f>
        <v/>
      </c>
      <c r="X3528">
        <f>IF('01_Вводные'!$B$234="Да",IF(OR(('19_Расчет_аналитики'!X3444-'19_Расчет_аналитики'!X3472)=0,1&lt;='01_Вводные'!$B$297),0,('19_Расчет_аналитики'!X3444-'19_Расчет_аналитики'!X3472)*IF('01_Вводные'!$B$239="Да",MeanMinAge01+'19_Расчет_аналитики'!X3596*SUMIF(ThresholdAge01,"&lt;"&amp;'19_Расчет_аналитики'!X3596,WeightedRevAge01)-SUMIF(ThresholdAge01,"&lt;"&amp;'19_Расчет_аналитики'!X3596,WeightedMinAge01),MAX(CapacityAge01*'01_Вводные'!$B$218*'19_Расчет_аналитики'!X3596,MeanMinAge01))),0)</f>
        <v/>
      </c>
      <c r="Y3528">
        <f>IF('01_Вводные'!$B$234="Да",IF(OR(('19_Расчет_аналитики'!Y3444-'19_Расчет_аналитики'!Y3472)=0,1&lt;='01_Вводные'!$B$297),0,('19_Расчет_аналитики'!Y3444-'19_Расчет_аналитики'!Y3472)*IF('01_Вводные'!$B$239="Да",MeanMinAge01+'19_Расчет_аналитики'!Y3596*SUMIF(ThresholdAge01,"&lt;"&amp;'19_Расчет_аналитики'!Y3596,WeightedRevAge01)-SUMIF(ThresholdAge01,"&lt;"&amp;'19_Расчет_аналитики'!Y3596,WeightedMinAge01),MAX(CapacityAge01*'01_Вводные'!$B$218*'19_Расчет_аналитики'!Y3596,MeanMinAge01))),0)</f>
        <v/>
      </c>
      <c r="Z3528">
        <f>IF('01_Вводные'!$B$234="Да",IF(OR(('19_Расчет_аналитики'!Z3444-'19_Расчет_аналитики'!Z3472)=0,1&lt;='01_Вводные'!$B$297),0,('19_Расчет_аналитики'!Z3444-'19_Расчет_аналитики'!Z3472)*IF('01_Вводные'!$B$239="Да",MeanMinAge01+'19_Расчет_аналитики'!Z3596*SUMIF(ThresholdAge01,"&lt;"&amp;'19_Расчет_аналитики'!Z3596,WeightedRevAge01)-SUMIF(ThresholdAge01,"&lt;"&amp;'19_Расчет_аналитики'!Z3596,WeightedMinAge01),MAX(CapacityAge01*'01_Вводные'!$B$218*'19_Расчет_аналитики'!Z3596,MeanMinAge01))),0)</f>
        <v/>
      </c>
      <c r="AA3528">
        <f>IF('01_Вводные'!$B$234="Да",IF(OR(('19_Расчет_аналитики'!AA3444-'19_Расчет_аналитики'!AA3472)=0,1&lt;='01_Вводные'!$B$297),0,('19_Расчет_аналитики'!AA3444-'19_Расчет_аналитики'!AA3472)*IF('01_Вводные'!$B$239="Да",MeanMinAge01+'19_Расчет_аналитики'!AA3596*SUMIF(ThresholdAge01,"&lt;"&amp;'19_Расчет_аналитики'!AA3596,WeightedRevAge01)-SUMIF(ThresholdAge01,"&lt;"&amp;'19_Расчет_аналитики'!AA3596,WeightedMinAge01),MAX(CapacityAge01*'01_Вводные'!$B$218*'19_Расчет_аналитики'!AA3596,MeanMinAge01))),0)</f>
        <v/>
      </c>
      <c r="AB3528">
        <f>IF('01_Вводные'!$B$234="Да",IF(OR(('19_Расчет_аналитики'!AB3444-'19_Расчет_аналитики'!AB3472)=0,1&lt;='01_Вводные'!$B$297),0,('19_Расчет_аналитики'!AB3444-'19_Расчет_аналитики'!AB3472)*IF('01_Вводные'!$B$239="Да",MeanMinAge01+'19_Расчет_аналитики'!AB3596*SUMIF(ThresholdAge01,"&lt;"&amp;'19_Расчет_аналитики'!AB3596,WeightedRevAge01)-SUMIF(ThresholdAge01,"&lt;"&amp;'19_Расчет_аналитики'!AB3596,WeightedMinAge01),MAX(CapacityAge01*'01_Вводные'!$B$218*'19_Расчет_аналитики'!AB3596,MeanMinAge01))),0)</f>
        <v/>
      </c>
      <c r="AC3528">
        <f>IF('01_Вводные'!$B$234="Да",IF(OR(('19_Расчет_аналитики'!AC3444-'19_Расчет_аналитики'!AC3472)=0,1&lt;='01_Вводные'!$B$297),0,('19_Расчет_аналитики'!AC3444-'19_Расчет_аналитики'!AC3472)*IF('01_Вводные'!$B$239="Да",MeanMinAge01+'19_Расчет_аналитики'!AC3596*SUMIF(ThresholdAge01,"&lt;"&amp;'19_Расчет_аналитики'!AC3596,WeightedRevAge01)-SUMIF(ThresholdAge01,"&lt;"&amp;'19_Расчет_аналитики'!AC3596,WeightedMinAge01),MAX(CapacityAge01*'01_Вводные'!$B$218*'19_Расчет_аналитики'!AC3596,MeanMinAge01))),0)</f>
        <v/>
      </c>
      <c r="AD3528">
        <f>IF('01_Вводные'!$B$234="Да",IF(OR(('19_Расчет_аналитики'!AD3444-'19_Расчет_аналитики'!AD3472)=0,1&lt;='01_Вводные'!$B$297),0,('19_Расчет_аналитики'!AD3444-'19_Расчет_аналитики'!AD3472)*IF('01_Вводные'!$B$239="Да",MeanMinAge01+'19_Расчет_аналитики'!AD3596*SUMIF(ThresholdAge01,"&lt;"&amp;'19_Расчет_аналитики'!AD3596,WeightedRevAge01)-SUMIF(ThresholdAge01,"&lt;"&amp;'19_Расчет_аналитики'!AD3596,WeightedMinAge01),MAX(CapacityAge01*'01_Вводные'!$B$218*'19_Расчет_аналитики'!AD3596,MeanMinAge01))),0)</f>
        <v/>
      </c>
      <c r="AE3528">
        <f>IF('01_Вводные'!$B$234="Да",IF(OR(('19_Расчет_аналитики'!AE3444-'19_Расчет_аналитики'!AE3472)=0,1&lt;='01_Вводные'!$B$297),0,('19_Расчет_аналитики'!AE3444-'19_Расчет_аналитики'!AE3472)*IF('01_Вводные'!$B$239="Да",MeanMinAge01+'19_Расчет_аналитики'!AE3596*SUMIF(ThresholdAge01,"&lt;"&amp;'19_Расчет_аналитики'!AE3596,WeightedRevAge01)-SUMIF(ThresholdAge01,"&lt;"&amp;'19_Расчет_аналитики'!AE3596,WeightedMinAge01),MAX(CapacityAge01*'01_Вводные'!$B$218*'19_Расчет_аналитики'!AE3596,MeanMinAge01))),0)</f>
        <v/>
      </c>
      <c r="AF3528">
        <f>IF('01_Вводные'!$B$234="Да",IF(OR(('19_Расчет_аналитики'!AF3444-'19_Расчет_аналитики'!AF3472)=0,1&lt;='01_Вводные'!$B$297),0,('19_Расчет_аналитики'!AF3444-'19_Расчет_аналитики'!AF3472)*IF('01_Вводные'!$B$239="Да",MeanMinAge01+'19_Расчет_аналитики'!AF3596*SUMIF(ThresholdAge01,"&lt;"&amp;'19_Расчет_аналитики'!AF3596,WeightedRevAge01)-SUMIF(ThresholdAge01,"&lt;"&amp;'19_Расчет_аналитики'!AF3596,WeightedMinAge01),MAX(CapacityAge01*'01_Вводные'!$B$218*'19_Расчет_аналитики'!AF3596,MeanMinAge01))),0)</f>
        <v/>
      </c>
      <c r="AG3528">
        <f>IF('01_Вводные'!$B$234="Да",IF(OR(('19_Расчет_аналитики'!AG3444-'19_Расчет_аналитики'!AG3472)=0,1&lt;='01_Вводные'!$B$297),0,('19_Расчет_аналитики'!AG3444-'19_Расчет_аналитики'!AG3472)*IF('01_Вводные'!$B$239="Да",MeanMinAge01+'19_Расчет_аналитики'!AG3596*SUMIF(ThresholdAge01,"&lt;"&amp;'19_Расчет_аналитики'!AG3596,WeightedRevAge01)-SUMIF(ThresholdAge01,"&lt;"&amp;'19_Расчет_аналитики'!AG3596,WeightedMinAge01),MAX(CapacityAge01*'01_Вводные'!$B$218*'19_Расчет_аналитики'!AG3596,MeanMinAge01))),0)</f>
        <v/>
      </c>
      <c r="AH3528">
        <f>IF('01_Вводные'!$B$234="Да",IF(OR(('19_Расчет_аналитики'!AH3444-'19_Расчет_аналитики'!AH3472)=0,1&lt;='01_Вводные'!$B$297),0,('19_Расчет_аналитики'!AH3444-'19_Расчет_аналитики'!AH3472)*IF('01_Вводные'!$B$239="Да",MeanMinAge01+'19_Расчет_аналитики'!AH3596*SUMIF(ThresholdAge01,"&lt;"&amp;'19_Расчет_аналитики'!AH3596,WeightedRevAge01)-SUMIF(ThresholdAge01,"&lt;"&amp;'19_Расчет_аналитики'!AH3596,WeightedMinAge01),MAX(CapacityAge01*'01_Вводные'!$B$218*'19_Расчет_аналитики'!AH3596,MeanMinAge01))),0)</f>
        <v/>
      </c>
      <c r="AI3528">
        <f>IF('01_Вводные'!$B$234="Да",IF(OR(('19_Расчет_аналитики'!AI3444-'19_Расчет_аналитики'!AI3472)=0,1&lt;='01_Вводные'!$B$297),0,('19_Расчет_аналитики'!AI3444-'19_Расчет_аналитики'!AI3472)*IF('01_Вводные'!$B$239="Да",MeanMinAge01+'19_Расчет_аналитики'!AI3596*SUMIF(ThresholdAge01,"&lt;"&amp;'19_Расчет_аналитики'!AI3596,WeightedRevAge01)-SUMIF(ThresholdAge01,"&lt;"&amp;'19_Расчет_аналитики'!AI3596,WeightedMinAge01),MAX(CapacityAge01*'01_Вводные'!$B$218*'19_Расчет_аналитики'!AI3596,MeanMinAge01))),0)</f>
        <v/>
      </c>
      <c r="AJ3528">
        <f>IF('01_Вводные'!$B$234="Да",IF(OR(('19_Расчет_аналитики'!AJ3444-'19_Расчет_аналитики'!AJ3472)=0,1&lt;='01_Вводные'!$B$297),0,('19_Расчет_аналитики'!AJ3444-'19_Расчет_аналитики'!AJ3472)*IF('01_Вводные'!$B$239="Да",MeanMinAge01+'19_Расчет_аналитики'!AJ3596*SUMIF(ThresholdAge01,"&lt;"&amp;'19_Расчет_аналитики'!AJ3596,WeightedRevAge01)-SUMIF(ThresholdAge01,"&lt;"&amp;'19_Расчет_аналитики'!AJ3596,WeightedMinAge01),MAX(CapacityAge01*'01_Вводные'!$B$218*'19_Расчет_аналитики'!AJ3596,MeanMinAge01))),0)</f>
        <v/>
      </c>
      <c r="AK3528">
        <f>IF('01_Вводные'!$B$234="Да",IF(OR(('19_Расчет_аналитики'!AK3444-'19_Расчет_аналитики'!AK3472)=0,1&lt;='01_Вводные'!$B$297),0,('19_Расчет_аналитики'!AK3444-'19_Расчет_аналитики'!AK3472)*IF('01_Вводные'!$B$239="Да",MeanMinAge01+'19_Расчет_аналитики'!AK3596*SUMIF(ThresholdAge01,"&lt;"&amp;'19_Расчет_аналитики'!AK3596,WeightedRevAge01)-SUMIF(ThresholdAge01,"&lt;"&amp;'19_Расчет_аналитики'!AK3596,WeightedMinAge01),MAX(CapacityAge01*'01_Вводные'!$B$218*'19_Расчет_аналитики'!AK3596,MeanMinAge01))),0)</f>
        <v/>
      </c>
      <c r="AL3528">
        <f>IF('01_Вводные'!$B$234="Да",IF(OR(('19_Расчет_аналитики'!AL3444-'19_Расчет_аналитики'!AL3472)=0,1&lt;='01_Вводные'!$B$297),0,('19_Расчет_аналитики'!AL3444-'19_Расчет_аналитики'!AL3472)*IF('01_Вводные'!$B$239="Да",MeanMinAge01+'19_Расчет_аналитики'!AL3596*SUMIF(ThresholdAge01,"&lt;"&amp;'19_Расчет_аналитики'!AL3596,WeightedRevAge01)-SUMIF(ThresholdAge01,"&lt;"&amp;'19_Расчет_аналитики'!AL3596,WeightedMinAge01),MAX(CapacityAge01*'01_Вводные'!$B$218*'19_Расчет_аналитики'!AL3596,MeanMinAge01))),0)</f>
        <v/>
      </c>
      <c r="AM3528">
        <f>IF('01_Вводные'!$B$234="Да",IF(OR(('19_Расчет_аналитики'!AM3444-'19_Расчет_аналитики'!AM3472)=0,1&lt;='01_Вводные'!$B$297),0,('19_Расчет_аналитики'!AM3444-'19_Расчет_аналитики'!AM3472)*IF('01_Вводные'!$B$239="Да",MeanMinAge01+'19_Расчет_аналитики'!AM3596*SUMIF(ThresholdAge01,"&lt;"&amp;'19_Расчет_аналитики'!AM3596,WeightedRevAge01)-SUMIF(ThresholdAge01,"&lt;"&amp;'19_Расчет_аналитики'!AM3596,WeightedMinAge01),MAX(CapacityAge01*'01_Вводные'!$B$218*'19_Расчет_аналитики'!AM3596,MeanMinAge01))),0)</f>
        <v/>
      </c>
      <c r="AN3528">
        <f>IF('01_Вводные'!$B$234="Да",IF(OR(('19_Расчет_аналитики'!AN3444-'19_Расчет_аналитики'!AN3472)=0,1&lt;='01_Вводные'!$B$297),0,('19_Расчет_аналитики'!AN3444-'19_Расчет_аналитики'!AN3472)*IF('01_Вводные'!$B$239="Да",MeanMinAge01+'19_Расчет_аналитики'!AN3596*SUMIF(ThresholdAge01,"&lt;"&amp;'19_Расчет_аналитики'!AN3596,WeightedRevAge01)-SUMIF(ThresholdAge01,"&lt;"&amp;'19_Расчет_аналитики'!AN3596,WeightedMinAge01),MAX(CapacityAge01*'01_Вводные'!$B$218*'19_Расчет_аналитики'!AN3596,MeanMinAge01))),0)</f>
        <v/>
      </c>
      <c r="AO3528">
        <f>IF('01_Вводные'!$B$234="Да",IF(OR(('19_Расчет_аналитики'!AO3444-'19_Расчет_аналитики'!AO3472)=0,1&lt;='01_Вводные'!$B$297),0,('19_Расчет_аналитики'!AO3444-'19_Расчет_аналитики'!AO3472)*IF('01_Вводные'!$B$239="Да",MeanMinAge01+'19_Расчет_аналитики'!AO3596*SUMIF(ThresholdAge01,"&lt;"&amp;'19_Расчет_аналитики'!AO3596,WeightedRevAge01)-SUMIF(ThresholdAge01,"&lt;"&amp;'19_Расчет_аналитики'!AO3596,WeightedMinAge01),MAX(CapacityAge01*'01_Вводные'!$B$218*'19_Расчет_аналитики'!AO3596,MeanMinAge01))),0)</f>
        <v/>
      </c>
      <c r="AP3528">
        <f>IF('01_Вводные'!$B$234="Да",IF(OR(('19_Расчет_аналитики'!AP3444-'19_Расчет_аналитики'!AP3472)=0,1&lt;='01_Вводные'!$B$297),0,('19_Расчет_аналитики'!AP3444-'19_Расчет_аналитики'!AP3472)*IF('01_Вводные'!$B$239="Да",MeanMinAge01+'19_Расчет_аналитики'!AP3596*SUMIF(ThresholdAge01,"&lt;"&amp;'19_Расчет_аналитики'!AP3596,WeightedRevAge01)-SUMIF(ThresholdAge01,"&lt;"&amp;'19_Расчет_аналитики'!AP3596,WeightedMinAge01),MAX(CapacityAge01*'01_Вводные'!$B$218*'19_Расчет_аналитики'!AP3596,MeanMinAge01))),0)</f>
        <v/>
      </c>
      <c r="AQ3528">
        <f>IF('01_Вводные'!$B$234="Да",IF(OR(('19_Расчет_аналитики'!AQ3444-'19_Расчет_аналитики'!AQ3472)=0,1&lt;='01_Вводные'!$B$297),0,('19_Расчет_аналитики'!AQ3444-'19_Расчет_аналитики'!AQ3472)*IF('01_Вводные'!$B$239="Да",MeanMinAge01+'19_Расчет_аналитики'!AQ3596*SUMIF(ThresholdAge01,"&lt;"&amp;'19_Расчет_аналитики'!AQ3596,WeightedRevAge01)-SUMIF(ThresholdAge01,"&lt;"&amp;'19_Расчет_аналитики'!AQ3596,WeightedMinAge01),MAX(CapacityAge01*'01_Вводные'!$B$218*'19_Расчет_аналитики'!AQ3596,MeanMinAge01))),0)</f>
        <v/>
      </c>
      <c r="AR3528">
        <f>IF('01_Вводные'!$B$234="Да",IF(OR(('19_Расчет_аналитики'!AR3444-'19_Расчет_аналитики'!AR3472)=0,1&lt;='01_Вводные'!$B$297),0,('19_Расчет_аналитики'!AR3444-'19_Расчет_аналитики'!AR3472)*IF('01_Вводные'!$B$239="Да",MeanMinAge01+'19_Расчет_аналитики'!AR3596*SUMIF(ThresholdAge01,"&lt;"&amp;'19_Расчет_аналитики'!AR3596,WeightedRevAge01)-SUMIF(ThresholdAge01,"&lt;"&amp;'19_Расчет_аналитики'!AR3596,WeightedMinAge01),MAX(CapacityAge01*'01_Вводные'!$B$218*'19_Расчет_аналитики'!AR3596,MeanMinAge01))),0)</f>
        <v/>
      </c>
      <c r="AS3528">
        <f>IF('01_Вводные'!$B$234="Да",IF(OR(('19_Расчет_аналитики'!AS3444-'19_Расчет_аналитики'!AS3472)=0,1&lt;='01_Вводные'!$B$297),0,('19_Расчет_аналитики'!AS3444-'19_Расчет_аналитики'!AS3472)*IF('01_Вводные'!$B$239="Да",MeanMinAge01+'19_Расчет_аналитики'!AS3596*SUMIF(ThresholdAge01,"&lt;"&amp;'19_Расчет_аналитики'!AS3596,WeightedRevAge01)-SUMIF(ThresholdAge01,"&lt;"&amp;'19_Расчет_аналитики'!AS3596,WeightedMinAge01),MAX(CapacityAge01*'01_Вводные'!$B$218*'19_Расчет_аналитики'!AS3596,MeanMinAge01))),0)</f>
        <v/>
      </c>
      <c r="AT3528">
        <f>IF('01_Вводные'!$B$234="Да",IF(OR(('19_Расчет_аналитики'!AT3444-'19_Расчет_аналитики'!AT3472)=0,1&lt;='01_Вводные'!$B$297),0,('19_Расчет_аналитики'!AT3444-'19_Расчет_аналитики'!AT3472)*IF('01_Вводные'!$B$239="Да",MeanMinAge01+'19_Расчет_аналитики'!AT3596*SUMIF(ThresholdAge01,"&lt;"&amp;'19_Расчет_аналитики'!AT3596,WeightedRevAge01)-SUMIF(ThresholdAge01,"&lt;"&amp;'19_Расчет_аналитики'!AT3596,WeightedMinAge01),MAX(CapacityAge01*'01_Вводные'!$B$218*'19_Расчет_аналитики'!AT3596,MeanMinAge01))),0)</f>
        <v/>
      </c>
      <c r="AU3528">
        <f>IF('01_Вводные'!$B$234="Да",IF(OR(('19_Расчет_аналитики'!AU3444-'19_Расчет_аналитики'!AU3472)=0,1&lt;='01_Вводные'!$B$297),0,('19_Расчет_аналитики'!AU3444-'19_Расчет_аналитики'!AU3472)*IF('01_Вводные'!$B$239="Да",MeanMinAge01+'19_Расчет_аналитики'!AU3596*SUMIF(ThresholdAge01,"&lt;"&amp;'19_Расчет_аналитики'!AU3596,WeightedRevAge01)-SUMIF(ThresholdAge01,"&lt;"&amp;'19_Расчет_аналитики'!AU3596,WeightedMinAge01),MAX(CapacityAge01*'01_Вводные'!$B$218*'19_Расчет_аналитики'!AU3596,MeanMinAge01))),0)</f>
        <v/>
      </c>
      <c r="AV3528">
        <f>IF('01_Вводные'!$B$234="Да",IF(OR(('19_Расчет_аналитики'!AV3444-'19_Расчет_аналитики'!AV3472)=0,1&lt;='01_Вводные'!$B$297),0,('19_Расчет_аналитики'!AV3444-'19_Расчет_аналитики'!AV3472)*IF('01_Вводные'!$B$239="Да",MeanMinAge01+'19_Расчет_аналитики'!AV3596*SUMIF(ThresholdAge01,"&lt;"&amp;'19_Расчет_аналитики'!AV3596,WeightedRevAge01)-SUMIF(ThresholdAge01,"&lt;"&amp;'19_Расчет_аналитики'!AV3596,WeightedMinAge01),MAX(CapacityAge01*'01_Вводные'!$B$218*'19_Расчет_аналитики'!AV3596,MeanMinAge01))),0)</f>
        <v/>
      </c>
      <c r="AW3528">
        <f>IF('01_Вводные'!$B$234="Да",IF(OR(('19_Расчет_аналитики'!AW3444-'19_Расчет_аналитики'!AW3472)=0,1&lt;='01_Вводные'!$B$297),0,('19_Расчет_аналитики'!AW3444-'19_Расчет_аналитики'!AW3472)*IF('01_Вводные'!$B$239="Да",MeanMinAge01+'19_Расчет_аналитики'!AW3596*SUMIF(ThresholdAge01,"&lt;"&amp;'19_Расчет_аналитики'!AW3596,WeightedRevAge01)-SUMIF(ThresholdAge01,"&lt;"&amp;'19_Расчет_аналитики'!AW3596,WeightedMinAge01),MAX(CapacityAge01*'01_Вводные'!$B$218*'19_Расчет_аналитики'!AW3596,MeanMinAge01))),0)</f>
        <v/>
      </c>
      <c r="AX3528">
        <f>IF('01_Вводные'!$B$234="Да",IF(OR(('19_Расчет_аналитики'!AX3444-'19_Расчет_аналитики'!AX3472)=0,1&lt;='01_Вводные'!$B$297),0,('19_Расчет_аналитики'!AX3444-'19_Расчет_аналитики'!AX3472)*IF('01_Вводные'!$B$239="Да",MeanMinAge01+'19_Расчет_аналитики'!AX3596*SUMIF(ThresholdAge01,"&lt;"&amp;'19_Расчет_аналитики'!AX3596,WeightedRevAge01)-SUMIF(ThresholdAge01,"&lt;"&amp;'19_Расчет_аналитики'!AX3596,WeightedMinAge01),MAX(CapacityAge01*'01_Вводные'!$B$218*'19_Расчет_аналитики'!AX3596,MeanMinAge01))),0)</f>
        <v/>
      </c>
      <c r="AY3528">
        <f>IF('01_Вводные'!$B$234="Да",IF(OR(('19_Расчет_аналитики'!AY3444-'19_Расчет_аналитики'!AY3472)=0,1&lt;='01_Вводные'!$B$297),0,('19_Расчет_аналитики'!AY3444-'19_Расчет_аналитики'!AY3472)*IF('01_Вводные'!$B$239="Да",MeanMinAge01+'19_Расчет_аналитики'!AY3596*SUMIF(ThresholdAge01,"&lt;"&amp;'19_Расчет_аналитики'!AY3596,WeightedRevAge01)-SUMIF(ThresholdAge01,"&lt;"&amp;'19_Расчет_аналитики'!AY3596,WeightedMinAge01),MAX(CapacityAge01*'01_Вводные'!$B$218*'19_Расчет_аналитики'!AY3596,MeanMinAge01))),0)</f>
        <v/>
      </c>
      <c r="AZ3528">
        <f>IF('01_Вводные'!$B$234="Да",IF(OR(('19_Расчет_аналитики'!AZ3444-'19_Расчет_аналитики'!AZ3472)=0,1&lt;='01_Вводные'!$B$297),0,('19_Расчет_аналитики'!AZ3444-'19_Расчет_аналитики'!AZ3472)*IF('01_Вводные'!$B$239="Да",MeanMinAge01+'19_Расчет_аналитики'!AZ3596*SUMIF(ThresholdAge01,"&lt;"&amp;'19_Расчет_аналитики'!AZ3596,WeightedRevAge01)-SUMIF(ThresholdAge01,"&lt;"&amp;'19_Расчет_аналитики'!AZ3596,WeightedMinAge01),MAX(CapacityAge01*'01_Вводные'!$B$218*'19_Расчет_аналитики'!AZ3596,MeanMinAge01))),0)</f>
        <v/>
      </c>
      <c r="BA3528">
        <f>IF('01_Вводные'!$B$234="Да",IF(OR(('19_Расчет_аналитики'!BA3444-'19_Расчет_аналитики'!BA3472)=0,1&lt;='01_Вводные'!$B$297),0,('19_Расчет_аналитики'!BA3444-'19_Расчет_аналитики'!BA3472)*IF('01_Вводные'!$B$239="Да",MeanMinAge01+'19_Расчет_аналитики'!BA3596*SUMIF(ThresholdAge01,"&lt;"&amp;'19_Расчет_аналитики'!BA3596,WeightedRevAge01)-SUMIF(ThresholdAge01,"&lt;"&amp;'19_Расчет_аналитики'!BA3596,WeightedMinAge01),MAX(CapacityAge01*'01_Вводные'!$B$218*'19_Расчет_аналитики'!BA3596,MeanMinAge01))),0)</f>
        <v/>
      </c>
      <c r="BB3528">
        <f>IF('01_Вводные'!$B$234="Да",IF(OR(('19_Расчет_аналитики'!BB3444-'19_Расчет_аналитики'!BB3472)=0,1&lt;='01_Вводные'!$B$297),0,('19_Расчет_аналитики'!BB3444-'19_Расчет_аналитики'!BB3472)*IF('01_Вводные'!$B$239="Да",MeanMinAge01+'19_Расчет_аналитики'!BB3596*SUMIF(ThresholdAge01,"&lt;"&amp;'19_Расчет_аналитики'!BB3596,WeightedRevAge01)-SUMIF(ThresholdAge01,"&lt;"&amp;'19_Расчет_аналитики'!BB3596,WeightedMinAge01),MAX(CapacityAge01*'01_Вводные'!$B$218*'19_Расчет_аналитики'!BB3596,MeanMinAge01))),0)</f>
        <v/>
      </c>
      <c r="BC3528">
        <f>IF('01_Вводные'!$B$234="Да",IF(OR(('19_Расчет_аналитики'!BC3444-'19_Расчет_аналитики'!BC3472)=0,1&lt;='01_Вводные'!$B$297),0,('19_Расчет_аналитики'!BC3444-'19_Расчет_аналитики'!BC3472)*IF('01_Вводные'!$B$239="Да",MeanMinAge01+'19_Расчет_аналитики'!BC3596*SUMIF(ThresholdAge01,"&lt;"&amp;'19_Расчет_аналитики'!BC3596,WeightedRevAge01)-SUMIF(ThresholdAge01,"&lt;"&amp;'19_Расчет_аналитики'!BC3596,WeightedMinAge01),MAX(CapacityAge01*'01_Вводные'!$B$218*'19_Расчет_аналитики'!BC3596,MeanMinAge01))),0)</f>
        <v/>
      </c>
      <c r="BD3528">
        <f>IF('01_Вводные'!$B$234="Да",IF(OR(('19_Расчет_аналитики'!BD3444-'19_Расчет_аналитики'!BD3472)=0,1&lt;='01_Вводные'!$B$297),0,('19_Расчет_аналитики'!BD3444-'19_Расчет_аналитики'!BD3472)*IF('01_Вводные'!$B$239="Да",MeanMinAge01+'19_Расчет_аналитики'!BD3596*SUMIF(ThresholdAge01,"&lt;"&amp;'19_Расчет_аналитики'!BD3596,WeightedRevAge01)-SUMIF(ThresholdAge01,"&lt;"&amp;'19_Расчет_аналитики'!BD3596,WeightedMinAge01),MAX(CapacityAge01*'01_Вводные'!$B$218*'19_Расчет_аналитики'!BD3596,MeanMinAge01))),0)</f>
        <v/>
      </c>
      <c r="BE3528">
        <f>IF('01_Вводные'!$B$234="Да",IF(OR(('19_Расчет_аналитики'!BE3444-'19_Расчет_аналитики'!BE3472)=0,1&lt;='01_Вводные'!$B$297),0,('19_Расчет_аналитики'!BE3444-'19_Расчет_аналитики'!BE3472)*IF('01_Вводные'!$B$239="Да",MeanMinAge01+'19_Расчет_аналитики'!BE3596*SUMIF(ThresholdAge01,"&lt;"&amp;'19_Расчет_аналитики'!BE3596,WeightedRevAge01)-SUMIF(ThresholdAge01,"&lt;"&amp;'19_Расчет_аналитики'!BE3596,WeightedMinAge01),MAX(CapacityAge01*'01_Вводные'!$B$218*'19_Расчет_аналитики'!BE3596,MeanMinAge01))),0)</f>
        <v/>
      </c>
      <c r="BF3528">
        <f>IF('01_Вводные'!$B$234="Да",IF(OR(('19_Расчет_аналитики'!BF3444-'19_Расчет_аналитики'!BF3472)=0,1&lt;='01_Вводные'!$B$297),0,('19_Расчет_аналитики'!BF3444-'19_Расчет_аналитики'!BF3472)*IF('01_Вводные'!$B$239="Да",MeanMinAge01+'19_Расчет_аналитики'!BF3596*SUMIF(ThresholdAge01,"&lt;"&amp;'19_Расчет_аналитики'!BF3596,WeightedRevAge01)-SUMIF(ThresholdAge01,"&lt;"&amp;'19_Расчет_аналитики'!BF3596,WeightedMinAge01),MAX(CapacityAge01*'01_Вводные'!$B$218*'19_Расчет_аналитики'!BF3596,MeanMinAge01))),0)</f>
        <v/>
      </c>
      <c r="BG3528">
        <f>IF('01_Вводные'!$B$234="Да",IF(OR(('19_Расчет_аналитики'!BG3444-'19_Расчет_аналитики'!BG3472)=0,1&lt;='01_Вводные'!$B$297),0,('19_Расчет_аналитики'!BG3444-'19_Расчет_аналитики'!BG3472)*IF('01_Вводные'!$B$239="Да",MeanMinAge01+'19_Расчет_аналитики'!BG3596*SUMIF(ThresholdAge01,"&lt;"&amp;'19_Расчет_аналитики'!BG3596,WeightedRevAge01)-SUMIF(ThresholdAge01,"&lt;"&amp;'19_Расчет_аналитики'!BG3596,WeightedMinAge01),MAX(CapacityAge01*'01_Вводные'!$B$218*'19_Расчет_аналитики'!BG3596,MeanMinAge01))),0)</f>
        <v/>
      </c>
      <c r="BH3528">
        <f>IF('01_Вводные'!$B$234="Да",IF(OR(('19_Расчет_аналитики'!BH3444-'19_Расчет_аналитики'!BH3472)=0,1&lt;='01_Вводные'!$B$297),0,('19_Расчет_аналитики'!BH3444-'19_Расчет_аналитики'!BH3472)*IF('01_Вводные'!$B$239="Да",MeanMinAge01+'19_Расчет_аналитики'!BH3596*SUMIF(ThresholdAge01,"&lt;"&amp;'19_Расчет_аналитики'!BH3596,WeightedRevAge01)-SUMIF(ThresholdAge01,"&lt;"&amp;'19_Расчет_аналитики'!BH3596,WeightedMinAge01),MAX(CapacityAge01*'01_Вводные'!$B$218*'19_Расчет_аналитики'!BH3596,MeanMinAge01))),0)</f>
        <v/>
      </c>
      <c r="BI3528">
        <f>IF('01_Вводные'!$B$234="Да",IF(OR(('19_Расчет_аналитики'!BI3444-'19_Расчет_аналитики'!BI3472)=0,1&lt;='01_Вводные'!$B$297),0,('19_Расчет_аналитики'!BI3444-'19_Расчет_аналитики'!BI3472)*IF('01_Вводные'!$B$239="Да",MeanMinAge01+'19_Расчет_аналитики'!BI3596*SUMIF(ThresholdAge01,"&lt;"&amp;'19_Расчет_аналитики'!BI3596,WeightedRevAge01)-SUMIF(ThresholdAge01,"&lt;"&amp;'19_Расчет_аналитики'!BI3596,WeightedMinAge01),MAX(CapacityAge01*'01_Вводные'!$B$218*'19_Расчет_аналитики'!BI3596,MeanMinAge01))),0)</f>
        <v/>
      </c>
      <c r="BJ3528">
        <f>IF('01_Вводные'!$B$234="Да",IF(OR(('19_Расчет_аналитики'!BJ3444-'19_Расчет_аналитики'!BJ3472)=0,1&lt;='01_Вводные'!$B$297),0,('19_Расчет_аналитики'!BJ3444-'19_Расчет_аналитики'!BJ3472)*IF('01_Вводные'!$B$239="Да",MeanMinAge01+'19_Расчет_аналитики'!BJ3596*SUMIF(ThresholdAge01,"&lt;"&amp;'19_Расчет_аналитики'!BJ3596,WeightedRevAge01)-SUMIF(ThresholdAge01,"&lt;"&amp;'19_Расчет_аналитики'!BJ3596,WeightedMinAge01),MAX(CapacityAge01*'01_Вводные'!$B$218*'19_Расчет_аналитики'!BJ3596,MeanMinAge01))),0)</f>
        <v/>
      </c>
      <c r="BK3528">
        <f>IF('01_Вводные'!$B$234="Да",IF(OR(('19_Расчет_аналитики'!BK3444-'19_Расчет_аналитики'!BK3472)=0,1&lt;='01_Вводные'!$B$297),0,('19_Расчет_аналитики'!BK3444-'19_Расчет_аналитики'!BK3472)*IF('01_Вводные'!$B$239="Да",MeanMinAge01+'19_Расчет_аналитики'!BK3596*SUMIF(ThresholdAge01,"&lt;"&amp;'19_Расчет_аналитики'!BK3596,WeightedRevAge01)-SUMIF(ThresholdAge01,"&lt;"&amp;'19_Расчет_аналитики'!BK3596,WeightedMinAge01),MAX(CapacityAge01*'01_Вводные'!$B$218*'19_Расчет_аналитики'!BK3596,MeanMinAge01))),0)</f>
        <v/>
      </c>
      <c r="BL3528">
        <f>IF('01_Вводные'!$B$234="Да",IF(OR(('19_Расчет_аналитики'!BL3444-'19_Расчет_аналитики'!BL3472)=0,1&lt;='01_Вводные'!$B$297),0,('19_Расчет_аналитики'!BL3444-'19_Расчет_аналитики'!BL3472)*IF('01_Вводные'!$B$239="Да",MeanMinAge01+'19_Расчет_аналитики'!BL3596*SUMIF(ThresholdAge01,"&lt;"&amp;'19_Расчет_аналитики'!BL3596,WeightedRevAge01)-SUMIF(ThresholdAge01,"&lt;"&amp;'19_Расчет_аналитики'!BL3596,WeightedMinAge01),MAX(CapacityAge01*'01_Вводные'!$B$218*'19_Расчет_аналитики'!BL3596,MeanMinAge01))),0)</f>
        <v/>
      </c>
      <c r="BM3528">
        <f>IF('01_Вводные'!$B$234="Да",IF(OR(('19_Расчет_аналитики'!BM3444-'19_Расчет_аналитики'!BM3472)=0,1&lt;='01_Вводные'!$B$297),0,('19_Расчет_аналитики'!BM3444-'19_Расчет_аналитики'!BM3472)*IF('01_Вводные'!$B$239="Да",MeanMinAge01+'19_Расчет_аналитики'!BM3596*SUMIF(ThresholdAge01,"&lt;"&amp;'19_Расчет_аналитики'!BM3596,WeightedRevAge01)-SUMIF(ThresholdAge01,"&lt;"&amp;'19_Расчет_аналитики'!BM3596,WeightedMinAge01),MAX(CapacityAge01*'01_Вводные'!$B$218*'19_Расчет_аналитики'!BM3596,MeanMinAge01))),0)</f>
        <v/>
      </c>
      <c r="BN3528">
        <f>IF('01_Вводные'!$B$234="Да",IF(OR(('19_Расчет_аналитики'!BN3444-'19_Расчет_аналитики'!BN3472)=0,1&lt;='01_Вводные'!$B$297),0,('19_Расчет_аналитики'!BN3444-'19_Расчет_аналитики'!BN3472)*IF('01_Вводные'!$B$239="Да",MeanMinAge01+'19_Расчет_аналитики'!BN3596*SUMIF(ThresholdAge01,"&lt;"&amp;'19_Расчет_аналитики'!BN3596,WeightedRevAge01)-SUMIF(ThresholdAge01,"&lt;"&amp;'19_Расчет_аналитики'!BN3596,WeightedMinAge01),MAX(CapacityAge01*'01_Вводные'!$B$218*'19_Расчет_аналитики'!BN3596,MeanMinAge01))),0)</f>
        <v/>
      </c>
      <c r="BO3528">
        <f>IF('01_Вводные'!$B$234="Да",IF(OR(('19_Расчет_аналитики'!BO3444-'19_Расчет_аналитики'!BO3472)=0,1&lt;='01_Вводные'!$B$297),0,('19_Расчет_аналитики'!BO3444-'19_Расчет_аналитики'!BO3472)*IF('01_Вводные'!$B$239="Да",MeanMinAge01+'19_Расчет_аналитики'!BO3596*SUMIF(ThresholdAge01,"&lt;"&amp;'19_Расчет_аналитики'!BO3596,WeightedRevAge01)-SUMIF(ThresholdAge01,"&lt;"&amp;'19_Расчет_аналитики'!BO3596,WeightedMinAge01),MAX(CapacityAge01*'01_Вводные'!$B$218*'19_Расчет_аналитики'!BO3596,MeanMinAge01))),0)</f>
        <v/>
      </c>
    </row>
    <row r="3529">
      <c r="B3529">
        <f>IF('01_Вводные'!$B$234="Да",IF(OR(('06_Сеть_и_дети'!B54-'06_Сеть_и_дети'!B82)=0,2&lt;='01_Вводные'!$B$297),0,('06_Сеть_и_дети'!B54-'06_Сеть_и_дети'!B82)*IF('01_Вводные'!$B$239="Да",MeanMinAge02+'19_Расчет_аналитики'!B3596*SUMIF(ThresholdAge02,"&lt;"&amp;'19_Расчет_аналитики'!B3596,WeightedRevAge02)-SUMIF(ThresholdAge02,"&lt;"&amp;'19_Расчет_аналитики'!B3596,WeightedMinAge02),MAX(CapacityAge02*'01_Вводные'!$B$218*'19_Расчет_аналитики'!B3596,MeanMinAge02))),0)</f>
        <v/>
      </c>
      <c r="C3529">
        <f>IF('01_Вводные'!$B$234="Да",IF(OR(('19_Расчет_аналитики'!C3445-'19_Расчет_аналитики'!C3473)=0,2&lt;='01_Вводные'!$B$297),0,('19_Расчет_аналитики'!C3445-'19_Расчет_аналитики'!C3473)*IF('01_Вводные'!$B$239="Да",MeanMinAge02+'19_Расчет_аналитики'!C3596*SUMIF(ThresholdAge02,"&lt;"&amp;'19_Расчет_аналитики'!C3596,WeightedRevAge02)-SUMIF(ThresholdAge02,"&lt;"&amp;'19_Расчет_аналитики'!C3596,WeightedMinAge02),MAX(CapacityAge02*'01_Вводные'!$B$218*'19_Расчет_аналитики'!C3596,MeanMinAge02))),0)</f>
        <v/>
      </c>
      <c r="D3529">
        <f>IF('01_Вводные'!$B$234="Да",IF(OR(('19_Расчет_аналитики'!D3445-'19_Расчет_аналитики'!D3473)=0,2&lt;='01_Вводные'!$B$297),0,('19_Расчет_аналитики'!D3445-'19_Расчет_аналитики'!D3473)*IF('01_Вводные'!$B$239="Да",MeanMinAge02+'19_Расчет_аналитики'!D3596*SUMIF(ThresholdAge02,"&lt;"&amp;'19_Расчет_аналитики'!D3596,WeightedRevAge02)-SUMIF(ThresholdAge02,"&lt;"&amp;'19_Расчет_аналитики'!D3596,WeightedMinAge02),MAX(CapacityAge02*'01_Вводные'!$B$218*'19_Расчет_аналитики'!D3596,MeanMinAge02))),0)</f>
        <v/>
      </c>
      <c r="E3529">
        <f>IF('01_Вводные'!$B$234="Да",IF(OR(('19_Расчет_аналитики'!E3445-'19_Расчет_аналитики'!E3473)=0,2&lt;='01_Вводные'!$B$297),0,('19_Расчет_аналитики'!E3445-'19_Расчет_аналитики'!E3473)*IF('01_Вводные'!$B$239="Да",MeanMinAge02+'19_Расчет_аналитики'!E3596*SUMIF(ThresholdAge02,"&lt;"&amp;'19_Расчет_аналитики'!E3596,WeightedRevAge02)-SUMIF(ThresholdAge02,"&lt;"&amp;'19_Расчет_аналитики'!E3596,WeightedMinAge02),MAX(CapacityAge02*'01_Вводные'!$B$218*'19_Расчет_аналитики'!E3596,MeanMinAge02))),0)</f>
        <v/>
      </c>
      <c r="F3529">
        <f>IF('01_Вводные'!$B$234="Да",IF(OR(('19_Расчет_аналитики'!F3445-'19_Расчет_аналитики'!F3473)=0,2&lt;='01_Вводные'!$B$297),0,('19_Расчет_аналитики'!F3445-'19_Расчет_аналитики'!F3473)*IF('01_Вводные'!$B$239="Да",MeanMinAge02+'19_Расчет_аналитики'!F3596*SUMIF(ThresholdAge02,"&lt;"&amp;'19_Расчет_аналитики'!F3596,WeightedRevAge02)-SUMIF(ThresholdAge02,"&lt;"&amp;'19_Расчет_аналитики'!F3596,WeightedMinAge02),MAX(CapacityAge02*'01_Вводные'!$B$218*'19_Расчет_аналитики'!F3596,MeanMinAge02))),0)</f>
        <v/>
      </c>
      <c r="G3529">
        <f>IF('01_Вводные'!$B$234="Да",IF(OR(('19_Расчет_аналитики'!G3445-'19_Расчет_аналитики'!G3473)=0,2&lt;='01_Вводные'!$B$297),0,('19_Расчет_аналитики'!G3445-'19_Расчет_аналитики'!G3473)*IF('01_Вводные'!$B$239="Да",MeanMinAge02+'19_Расчет_аналитики'!G3596*SUMIF(ThresholdAge02,"&lt;"&amp;'19_Расчет_аналитики'!G3596,WeightedRevAge02)-SUMIF(ThresholdAge02,"&lt;"&amp;'19_Расчет_аналитики'!G3596,WeightedMinAge02),MAX(CapacityAge02*'01_Вводные'!$B$218*'19_Расчет_аналитики'!G3596,MeanMinAge02))),0)</f>
        <v/>
      </c>
      <c r="H3529">
        <f>IF('01_Вводные'!$B$234="Да",IF(OR(('19_Расчет_аналитики'!H3445-'19_Расчет_аналитики'!H3473)=0,2&lt;='01_Вводные'!$B$297),0,('19_Расчет_аналитики'!H3445-'19_Расчет_аналитики'!H3473)*IF('01_Вводные'!$B$239="Да",MeanMinAge02+'19_Расчет_аналитики'!H3596*SUMIF(ThresholdAge02,"&lt;"&amp;'19_Расчет_аналитики'!H3596,WeightedRevAge02)-SUMIF(ThresholdAge02,"&lt;"&amp;'19_Расчет_аналитики'!H3596,WeightedMinAge02),MAX(CapacityAge02*'01_Вводные'!$B$218*'19_Расчет_аналитики'!H3596,MeanMinAge02))),0)</f>
        <v/>
      </c>
      <c r="I3529">
        <f>IF('01_Вводные'!$B$234="Да",IF(OR(('19_Расчет_аналитики'!I3445-'19_Расчет_аналитики'!I3473)=0,2&lt;='01_Вводные'!$B$297),0,('19_Расчет_аналитики'!I3445-'19_Расчет_аналитики'!I3473)*IF('01_Вводные'!$B$239="Да",MeanMinAge02+'19_Расчет_аналитики'!I3596*SUMIF(ThresholdAge02,"&lt;"&amp;'19_Расчет_аналитики'!I3596,WeightedRevAge02)-SUMIF(ThresholdAge02,"&lt;"&amp;'19_Расчет_аналитики'!I3596,WeightedMinAge02),MAX(CapacityAge02*'01_Вводные'!$B$218*'19_Расчет_аналитики'!I3596,MeanMinAge02))),0)</f>
        <v/>
      </c>
      <c r="J3529">
        <f>IF('01_Вводные'!$B$234="Да",IF(OR(('19_Расчет_аналитики'!J3445-'19_Расчет_аналитики'!J3473)=0,2&lt;='01_Вводные'!$B$297),0,('19_Расчет_аналитики'!J3445-'19_Расчет_аналитики'!J3473)*IF('01_Вводные'!$B$239="Да",MeanMinAge02+'19_Расчет_аналитики'!J3596*SUMIF(ThresholdAge02,"&lt;"&amp;'19_Расчет_аналитики'!J3596,WeightedRevAge02)-SUMIF(ThresholdAge02,"&lt;"&amp;'19_Расчет_аналитики'!J3596,WeightedMinAge02),MAX(CapacityAge02*'01_Вводные'!$B$218*'19_Расчет_аналитики'!J3596,MeanMinAge02))),0)</f>
        <v/>
      </c>
      <c r="K3529">
        <f>IF('01_Вводные'!$B$234="Да",IF(OR(('19_Расчет_аналитики'!K3445-'19_Расчет_аналитики'!K3473)=0,2&lt;='01_Вводные'!$B$297),0,('19_Расчет_аналитики'!K3445-'19_Расчет_аналитики'!K3473)*IF('01_Вводные'!$B$239="Да",MeanMinAge02+'19_Расчет_аналитики'!K3596*SUMIF(ThresholdAge02,"&lt;"&amp;'19_Расчет_аналитики'!K3596,WeightedRevAge02)-SUMIF(ThresholdAge02,"&lt;"&amp;'19_Расчет_аналитики'!K3596,WeightedMinAge02),MAX(CapacityAge02*'01_Вводные'!$B$218*'19_Расчет_аналитики'!K3596,MeanMinAge02))),0)</f>
        <v/>
      </c>
      <c r="L3529">
        <f>IF('01_Вводные'!$B$234="Да",IF(OR(('19_Расчет_аналитики'!L3445-'19_Расчет_аналитики'!L3473)=0,2&lt;='01_Вводные'!$B$297),0,('19_Расчет_аналитики'!L3445-'19_Расчет_аналитики'!L3473)*IF('01_Вводные'!$B$239="Да",MeanMinAge02+'19_Расчет_аналитики'!L3596*SUMIF(ThresholdAge02,"&lt;"&amp;'19_Расчет_аналитики'!L3596,WeightedRevAge02)-SUMIF(ThresholdAge02,"&lt;"&amp;'19_Расчет_аналитики'!L3596,WeightedMinAge02),MAX(CapacityAge02*'01_Вводные'!$B$218*'19_Расчет_аналитики'!L3596,MeanMinAge02))),0)</f>
        <v/>
      </c>
      <c r="M3529">
        <f>IF('01_Вводные'!$B$234="Да",IF(OR(('19_Расчет_аналитики'!M3445-'19_Расчет_аналитики'!M3473)=0,2&lt;='01_Вводные'!$B$297),0,('19_Расчет_аналитики'!M3445-'19_Расчет_аналитики'!M3473)*IF('01_Вводные'!$B$239="Да",MeanMinAge02+'19_Расчет_аналитики'!M3596*SUMIF(ThresholdAge02,"&lt;"&amp;'19_Расчет_аналитики'!M3596,WeightedRevAge02)-SUMIF(ThresholdAge02,"&lt;"&amp;'19_Расчет_аналитики'!M3596,WeightedMinAge02),MAX(CapacityAge02*'01_Вводные'!$B$218*'19_Расчет_аналитики'!M3596,MeanMinAge02))),0)</f>
        <v/>
      </c>
      <c r="N3529">
        <f>IF('01_Вводные'!$B$234="Да",IF(OR(('19_Расчет_аналитики'!N3445-'19_Расчет_аналитики'!N3473)=0,2&lt;='01_Вводные'!$B$297),0,('19_Расчет_аналитики'!N3445-'19_Расчет_аналитики'!N3473)*IF('01_Вводные'!$B$239="Да",MeanMinAge02+'19_Расчет_аналитики'!N3596*SUMIF(ThresholdAge02,"&lt;"&amp;'19_Расчет_аналитики'!N3596,WeightedRevAge02)-SUMIF(ThresholdAge02,"&lt;"&amp;'19_Расчет_аналитики'!N3596,WeightedMinAge02),MAX(CapacityAge02*'01_Вводные'!$B$218*'19_Расчет_аналитики'!N3596,MeanMinAge02))),0)</f>
        <v/>
      </c>
      <c r="O3529">
        <f>IF('01_Вводные'!$B$234="Да",IF(OR(('19_Расчет_аналитики'!O3445-'19_Расчет_аналитики'!O3473)=0,2&lt;='01_Вводные'!$B$297),0,('19_Расчет_аналитики'!O3445-'19_Расчет_аналитики'!O3473)*IF('01_Вводные'!$B$239="Да",MeanMinAge02+'19_Расчет_аналитики'!O3596*SUMIF(ThresholdAge02,"&lt;"&amp;'19_Расчет_аналитики'!O3596,WeightedRevAge02)-SUMIF(ThresholdAge02,"&lt;"&amp;'19_Расчет_аналитики'!O3596,WeightedMinAge02),MAX(CapacityAge02*'01_Вводные'!$B$218*'19_Расчет_аналитики'!O3596,MeanMinAge02))),0)</f>
        <v/>
      </c>
      <c r="P3529">
        <f>IF('01_Вводные'!$B$234="Да",IF(OR(('19_Расчет_аналитики'!P3445-'19_Расчет_аналитики'!P3473)=0,2&lt;='01_Вводные'!$B$297),0,('19_Расчет_аналитики'!P3445-'19_Расчет_аналитики'!P3473)*IF('01_Вводные'!$B$239="Да",MeanMinAge02+'19_Расчет_аналитики'!P3596*SUMIF(ThresholdAge02,"&lt;"&amp;'19_Расчет_аналитики'!P3596,WeightedRevAge02)-SUMIF(ThresholdAge02,"&lt;"&amp;'19_Расчет_аналитики'!P3596,WeightedMinAge02),MAX(CapacityAge02*'01_Вводные'!$B$218*'19_Расчет_аналитики'!P3596,MeanMinAge02))),0)</f>
        <v/>
      </c>
      <c r="Q3529">
        <f>IF('01_Вводные'!$B$234="Да",IF(OR(('19_Расчет_аналитики'!Q3445-'19_Расчет_аналитики'!Q3473)=0,2&lt;='01_Вводные'!$B$297),0,('19_Расчет_аналитики'!Q3445-'19_Расчет_аналитики'!Q3473)*IF('01_Вводные'!$B$239="Да",MeanMinAge02+'19_Расчет_аналитики'!Q3596*SUMIF(ThresholdAge02,"&lt;"&amp;'19_Расчет_аналитики'!Q3596,WeightedRevAge02)-SUMIF(ThresholdAge02,"&lt;"&amp;'19_Расчет_аналитики'!Q3596,WeightedMinAge02),MAX(CapacityAge02*'01_Вводные'!$B$218*'19_Расчет_аналитики'!Q3596,MeanMinAge02))),0)</f>
        <v/>
      </c>
      <c r="R3529">
        <f>IF('01_Вводные'!$B$234="Да",IF(OR(('19_Расчет_аналитики'!R3445-'19_Расчет_аналитики'!R3473)=0,2&lt;='01_Вводные'!$B$297),0,('19_Расчет_аналитики'!R3445-'19_Расчет_аналитики'!R3473)*IF('01_Вводные'!$B$239="Да",MeanMinAge02+'19_Расчет_аналитики'!R3596*SUMIF(ThresholdAge02,"&lt;"&amp;'19_Расчет_аналитики'!R3596,WeightedRevAge02)-SUMIF(ThresholdAge02,"&lt;"&amp;'19_Расчет_аналитики'!R3596,WeightedMinAge02),MAX(CapacityAge02*'01_Вводные'!$B$218*'19_Расчет_аналитики'!R3596,MeanMinAge02))),0)</f>
        <v/>
      </c>
      <c r="S3529">
        <f>IF('01_Вводные'!$B$234="Да",IF(OR(('19_Расчет_аналитики'!S3445-'19_Расчет_аналитики'!S3473)=0,2&lt;='01_Вводные'!$B$297),0,('19_Расчет_аналитики'!S3445-'19_Расчет_аналитики'!S3473)*IF('01_Вводные'!$B$239="Да",MeanMinAge02+'19_Расчет_аналитики'!S3596*SUMIF(ThresholdAge02,"&lt;"&amp;'19_Расчет_аналитики'!S3596,WeightedRevAge02)-SUMIF(ThresholdAge02,"&lt;"&amp;'19_Расчет_аналитики'!S3596,WeightedMinAge02),MAX(CapacityAge02*'01_Вводные'!$B$218*'19_Расчет_аналитики'!S3596,MeanMinAge02))),0)</f>
        <v/>
      </c>
      <c r="T3529">
        <f>IF('01_Вводные'!$B$234="Да",IF(OR(('19_Расчет_аналитики'!T3445-'19_Расчет_аналитики'!T3473)=0,2&lt;='01_Вводные'!$B$297),0,('19_Расчет_аналитики'!T3445-'19_Расчет_аналитики'!T3473)*IF('01_Вводные'!$B$239="Да",MeanMinAge02+'19_Расчет_аналитики'!T3596*SUMIF(ThresholdAge02,"&lt;"&amp;'19_Расчет_аналитики'!T3596,WeightedRevAge02)-SUMIF(ThresholdAge02,"&lt;"&amp;'19_Расчет_аналитики'!T3596,WeightedMinAge02),MAX(CapacityAge02*'01_Вводные'!$B$218*'19_Расчет_аналитики'!T3596,MeanMinAge02))),0)</f>
        <v/>
      </c>
      <c r="U3529">
        <f>IF('01_Вводные'!$B$234="Да",IF(OR(('19_Расчет_аналитики'!U3445-'19_Расчет_аналитики'!U3473)=0,2&lt;='01_Вводные'!$B$297),0,('19_Расчет_аналитики'!U3445-'19_Расчет_аналитики'!U3473)*IF('01_Вводные'!$B$239="Да",MeanMinAge02+'19_Расчет_аналитики'!U3596*SUMIF(ThresholdAge02,"&lt;"&amp;'19_Расчет_аналитики'!U3596,WeightedRevAge02)-SUMIF(ThresholdAge02,"&lt;"&amp;'19_Расчет_аналитики'!U3596,WeightedMinAge02),MAX(CapacityAge02*'01_Вводные'!$B$218*'19_Расчет_аналитики'!U3596,MeanMinAge02))),0)</f>
        <v/>
      </c>
      <c r="V3529">
        <f>IF('01_Вводные'!$B$234="Да",IF(OR(('19_Расчет_аналитики'!V3445-'19_Расчет_аналитики'!V3473)=0,2&lt;='01_Вводные'!$B$297),0,('19_Расчет_аналитики'!V3445-'19_Расчет_аналитики'!V3473)*IF('01_Вводные'!$B$239="Да",MeanMinAge02+'19_Расчет_аналитики'!V3596*SUMIF(ThresholdAge02,"&lt;"&amp;'19_Расчет_аналитики'!V3596,WeightedRevAge02)-SUMIF(ThresholdAge02,"&lt;"&amp;'19_Расчет_аналитики'!V3596,WeightedMinAge02),MAX(CapacityAge02*'01_Вводные'!$B$218*'19_Расчет_аналитики'!V3596,MeanMinAge02))),0)</f>
        <v/>
      </c>
      <c r="W3529">
        <f>IF('01_Вводные'!$B$234="Да",IF(OR(('19_Расчет_аналитики'!W3445-'19_Расчет_аналитики'!W3473)=0,2&lt;='01_Вводные'!$B$297),0,('19_Расчет_аналитики'!W3445-'19_Расчет_аналитики'!W3473)*IF('01_Вводные'!$B$239="Да",MeanMinAge02+'19_Расчет_аналитики'!W3596*SUMIF(ThresholdAge02,"&lt;"&amp;'19_Расчет_аналитики'!W3596,WeightedRevAge02)-SUMIF(ThresholdAge02,"&lt;"&amp;'19_Расчет_аналитики'!W3596,WeightedMinAge02),MAX(CapacityAge02*'01_Вводные'!$B$218*'19_Расчет_аналитики'!W3596,MeanMinAge02))),0)</f>
        <v/>
      </c>
      <c r="X3529">
        <f>IF('01_Вводные'!$B$234="Да",IF(OR(('19_Расчет_аналитики'!X3445-'19_Расчет_аналитики'!X3473)=0,2&lt;='01_Вводные'!$B$297),0,('19_Расчет_аналитики'!X3445-'19_Расчет_аналитики'!X3473)*IF('01_Вводные'!$B$239="Да",MeanMinAge02+'19_Расчет_аналитики'!X3596*SUMIF(ThresholdAge02,"&lt;"&amp;'19_Расчет_аналитики'!X3596,WeightedRevAge02)-SUMIF(ThresholdAge02,"&lt;"&amp;'19_Расчет_аналитики'!X3596,WeightedMinAge02),MAX(CapacityAge02*'01_Вводные'!$B$218*'19_Расчет_аналитики'!X3596,MeanMinAge02))),0)</f>
        <v/>
      </c>
      <c r="Y3529">
        <f>IF('01_Вводные'!$B$234="Да",IF(OR(('19_Расчет_аналитики'!Y3445-'19_Расчет_аналитики'!Y3473)=0,2&lt;='01_Вводные'!$B$297),0,('19_Расчет_аналитики'!Y3445-'19_Расчет_аналитики'!Y3473)*IF('01_Вводные'!$B$239="Да",MeanMinAge02+'19_Расчет_аналитики'!Y3596*SUMIF(ThresholdAge02,"&lt;"&amp;'19_Расчет_аналитики'!Y3596,WeightedRevAge02)-SUMIF(ThresholdAge02,"&lt;"&amp;'19_Расчет_аналитики'!Y3596,WeightedMinAge02),MAX(CapacityAge02*'01_Вводные'!$B$218*'19_Расчет_аналитики'!Y3596,MeanMinAge02))),0)</f>
        <v/>
      </c>
      <c r="Z3529">
        <f>IF('01_Вводные'!$B$234="Да",IF(OR(('19_Расчет_аналитики'!Z3445-'19_Расчет_аналитики'!Z3473)=0,2&lt;='01_Вводные'!$B$297),0,('19_Расчет_аналитики'!Z3445-'19_Расчет_аналитики'!Z3473)*IF('01_Вводные'!$B$239="Да",MeanMinAge02+'19_Расчет_аналитики'!Z3596*SUMIF(ThresholdAge02,"&lt;"&amp;'19_Расчет_аналитики'!Z3596,WeightedRevAge02)-SUMIF(ThresholdAge02,"&lt;"&amp;'19_Расчет_аналитики'!Z3596,WeightedMinAge02),MAX(CapacityAge02*'01_Вводные'!$B$218*'19_Расчет_аналитики'!Z3596,MeanMinAge02))),0)</f>
        <v/>
      </c>
      <c r="AA3529">
        <f>IF('01_Вводные'!$B$234="Да",IF(OR(('19_Расчет_аналитики'!AA3445-'19_Расчет_аналитики'!AA3473)=0,2&lt;='01_Вводные'!$B$297),0,('19_Расчет_аналитики'!AA3445-'19_Расчет_аналитики'!AA3473)*IF('01_Вводные'!$B$239="Да",MeanMinAge02+'19_Расчет_аналитики'!AA3596*SUMIF(ThresholdAge02,"&lt;"&amp;'19_Расчет_аналитики'!AA3596,WeightedRevAge02)-SUMIF(ThresholdAge02,"&lt;"&amp;'19_Расчет_аналитики'!AA3596,WeightedMinAge02),MAX(CapacityAge02*'01_Вводные'!$B$218*'19_Расчет_аналитики'!AA3596,MeanMinAge02))),0)</f>
        <v/>
      </c>
      <c r="AB3529">
        <f>IF('01_Вводные'!$B$234="Да",IF(OR(('19_Расчет_аналитики'!AB3445-'19_Расчет_аналитики'!AB3473)=0,2&lt;='01_Вводные'!$B$297),0,('19_Расчет_аналитики'!AB3445-'19_Расчет_аналитики'!AB3473)*IF('01_Вводные'!$B$239="Да",MeanMinAge02+'19_Расчет_аналитики'!AB3596*SUMIF(ThresholdAge02,"&lt;"&amp;'19_Расчет_аналитики'!AB3596,WeightedRevAge02)-SUMIF(ThresholdAge02,"&lt;"&amp;'19_Расчет_аналитики'!AB3596,WeightedMinAge02),MAX(CapacityAge02*'01_Вводные'!$B$218*'19_Расчет_аналитики'!AB3596,MeanMinAge02))),0)</f>
        <v/>
      </c>
      <c r="AC3529">
        <f>IF('01_Вводные'!$B$234="Да",IF(OR(('19_Расчет_аналитики'!AC3445-'19_Расчет_аналитики'!AC3473)=0,2&lt;='01_Вводные'!$B$297),0,('19_Расчет_аналитики'!AC3445-'19_Расчет_аналитики'!AC3473)*IF('01_Вводные'!$B$239="Да",MeanMinAge02+'19_Расчет_аналитики'!AC3596*SUMIF(ThresholdAge02,"&lt;"&amp;'19_Расчет_аналитики'!AC3596,WeightedRevAge02)-SUMIF(ThresholdAge02,"&lt;"&amp;'19_Расчет_аналитики'!AC3596,WeightedMinAge02),MAX(CapacityAge02*'01_Вводные'!$B$218*'19_Расчет_аналитики'!AC3596,MeanMinAge02))),0)</f>
        <v/>
      </c>
      <c r="AD3529">
        <f>IF('01_Вводные'!$B$234="Да",IF(OR(('19_Расчет_аналитики'!AD3445-'19_Расчет_аналитики'!AD3473)=0,2&lt;='01_Вводные'!$B$297),0,('19_Расчет_аналитики'!AD3445-'19_Расчет_аналитики'!AD3473)*IF('01_Вводные'!$B$239="Да",MeanMinAge02+'19_Расчет_аналитики'!AD3596*SUMIF(ThresholdAge02,"&lt;"&amp;'19_Расчет_аналитики'!AD3596,WeightedRevAge02)-SUMIF(ThresholdAge02,"&lt;"&amp;'19_Расчет_аналитики'!AD3596,WeightedMinAge02),MAX(CapacityAge02*'01_Вводные'!$B$218*'19_Расчет_аналитики'!AD3596,MeanMinAge02))),0)</f>
        <v/>
      </c>
      <c r="AE3529">
        <f>IF('01_Вводные'!$B$234="Да",IF(OR(('19_Расчет_аналитики'!AE3445-'19_Расчет_аналитики'!AE3473)=0,2&lt;='01_Вводные'!$B$297),0,('19_Расчет_аналитики'!AE3445-'19_Расчет_аналитики'!AE3473)*IF('01_Вводные'!$B$239="Да",MeanMinAge02+'19_Расчет_аналитики'!AE3596*SUMIF(ThresholdAge02,"&lt;"&amp;'19_Расчет_аналитики'!AE3596,WeightedRevAge02)-SUMIF(ThresholdAge02,"&lt;"&amp;'19_Расчет_аналитики'!AE3596,WeightedMinAge02),MAX(CapacityAge02*'01_Вводные'!$B$218*'19_Расчет_аналитики'!AE3596,MeanMinAge02))),0)</f>
        <v/>
      </c>
      <c r="AF3529">
        <f>IF('01_Вводные'!$B$234="Да",IF(OR(('19_Расчет_аналитики'!AF3445-'19_Расчет_аналитики'!AF3473)=0,2&lt;='01_Вводные'!$B$297),0,('19_Расчет_аналитики'!AF3445-'19_Расчет_аналитики'!AF3473)*IF('01_Вводные'!$B$239="Да",MeanMinAge02+'19_Расчет_аналитики'!AF3596*SUMIF(ThresholdAge02,"&lt;"&amp;'19_Расчет_аналитики'!AF3596,WeightedRevAge02)-SUMIF(ThresholdAge02,"&lt;"&amp;'19_Расчет_аналитики'!AF3596,WeightedMinAge02),MAX(CapacityAge02*'01_Вводные'!$B$218*'19_Расчет_аналитики'!AF3596,MeanMinAge02))),0)</f>
        <v/>
      </c>
      <c r="AG3529">
        <f>IF('01_Вводные'!$B$234="Да",IF(OR(('19_Расчет_аналитики'!AG3445-'19_Расчет_аналитики'!AG3473)=0,2&lt;='01_Вводные'!$B$297),0,('19_Расчет_аналитики'!AG3445-'19_Расчет_аналитики'!AG3473)*IF('01_Вводные'!$B$239="Да",MeanMinAge02+'19_Расчет_аналитики'!AG3596*SUMIF(ThresholdAge02,"&lt;"&amp;'19_Расчет_аналитики'!AG3596,WeightedRevAge02)-SUMIF(ThresholdAge02,"&lt;"&amp;'19_Расчет_аналитики'!AG3596,WeightedMinAge02),MAX(CapacityAge02*'01_Вводные'!$B$218*'19_Расчет_аналитики'!AG3596,MeanMinAge02))),0)</f>
        <v/>
      </c>
      <c r="AH3529">
        <f>IF('01_Вводные'!$B$234="Да",IF(OR(('19_Расчет_аналитики'!AH3445-'19_Расчет_аналитики'!AH3473)=0,2&lt;='01_Вводные'!$B$297),0,('19_Расчет_аналитики'!AH3445-'19_Расчет_аналитики'!AH3473)*IF('01_Вводные'!$B$239="Да",MeanMinAge02+'19_Расчет_аналитики'!AH3596*SUMIF(ThresholdAge02,"&lt;"&amp;'19_Расчет_аналитики'!AH3596,WeightedRevAge02)-SUMIF(ThresholdAge02,"&lt;"&amp;'19_Расчет_аналитики'!AH3596,WeightedMinAge02),MAX(CapacityAge02*'01_Вводные'!$B$218*'19_Расчет_аналитики'!AH3596,MeanMinAge02))),0)</f>
        <v/>
      </c>
      <c r="AI3529">
        <f>IF('01_Вводные'!$B$234="Да",IF(OR(('19_Расчет_аналитики'!AI3445-'19_Расчет_аналитики'!AI3473)=0,2&lt;='01_Вводные'!$B$297),0,('19_Расчет_аналитики'!AI3445-'19_Расчет_аналитики'!AI3473)*IF('01_Вводные'!$B$239="Да",MeanMinAge02+'19_Расчет_аналитики'!AI3596*SUMIF(ThresholdAge02,"&lt;"&amp;'19_Расчет_аналитики'!AI3596,WeightedRevAge02)-SUMIF(ThresholdAge02,"&lt;"&amp;'19_Расчет_аналитики'!AI3596,WeightedMinAge02),MAX(CapacityAge02*'01_Вводные'!$B$218*'19_Расчет_аналитики'!AI3596,MeanMinAge02))),0)</f>
        <v/>
      </c>
      <c r="AJ3529">
        <f>IF('01_Вводные'!$B$234="Да",IF(OR(('19_Расчет_аналитики'!AJ3445-'19_Расчет_аналитики'!AJ3473)=0,2&lt;='01_Вводные'!$B$297),0,('19_Расчет_аналитики'!AJ3445-'19_Расчет_аналитики'!AJ3473)*IF('01_Вводные'!$B$239="Да",MeanMinAge02+'19_Расчет_аналитики'!AJ3596*SUMIF(ThresholdAge02,"&lt;"&amp;'19_Расчет_аналитики'!AJ3596,WeightedRevAge02)-SUMIF(ThresholdAge02,"&lt;"&amp;'19_Расчет_аналитики'!AJ3596,WeightedMinAge02),MAX(CapacityAge02*'01_Вводные'!$B$218*'19_Расчет_аналитики'!AJ3596,MeanMinAge02))),0)</f>
        <v/>
      </c>
      <c r="AK3529">
        <f>IF('01_Вводные'!$B$234="Да",IF(OR(('19_Расчет_аналитики'!AK3445-'19_Расчет_аналитики'!AK3473)=0,2&lt;='01_Вводные'!$B$297),0,('19_Расчет_аналитики'!AK3445-'19_Расчет_аналитики'!AK3473)*IF('01_Вводные'!$B$239="Да",MeanMinAge02+'19_Расчет_аналитики'!AK3596*SUMIF(ThresholdAge02,"&lt;"&amp;'19_Расчет_аналитики'!AK3596,WeightedRevAge02)-SUMIF(ThresholdAge02,"&lt;"&amp;'19_Расчет_аналитики'!AK3596,WeightedMinAge02),MAX(CapacityAge02*'01_Вводные'!$B$218*'19_Расчет_аналитики'!AK3596,MeanMinAge02))),0)</f>
        <v/>
      </c>
      <c r="AL3529">
        <f>IF('01_Вводные'!$B$234="Да",IF(OR(('19_Расчет_аналитики'!AL3445-'19_Расчет_аналитики'!AL3473)=0,2&lt;='01_Вводные'!$B$297),0,('19_Расчет_аналитики'!AL3445-'19_Расчет_аналитики'!AL3473)*IF('01_Вводные'!$B$239="Да",MeanMinAge02+'19_Расчет_аналитики'!AL3596*SUMIF(ThresholdAge02,"&lt;"&amp;'19_Расчет_аналитики'!AL3596,WeightedRevAge02)-SUMIF(ThresholdAge02,"&lt;"&amp;'19_Расчет_аналитики'!AL3596,WeightedMinAge02),MAX(CapacityAge02*'01_Вводные'!$B$218*'19_Расчет_аналитики'!AL3596,MeanMinAge02))),0)</f>
        <v/>
      </c>
      <c r="AM3529">
        <f>IF('01_Вводные'!$B$234="Да",IF(OR(('19_Расчет_аналитики'!AM3445-'19_Расчет_аналитики'!AM3473)=0,2&lt;='01_Вводные'!$B$297),0,('19_Расчет_аналитики'!AM3445-'19_Расчет_аналитики'!AM3473)*IF('01_Вводные'!$B$239="Да",MeanMinAge02+'19_Расчет_аналитики'!AM3596*SUMIF(ThresholdAge02,"&lt;"&amp;'19_Расчет_аналитики'!AM3596,WeightedRevAge02)-SUMIF(ThresholdAge02,"&lt;"&amp;'19_Расчет_аналитики'!AM3596,WeightedMinAge02),MAX(CapacityAge02*'01_Вводные'!$B$218*'19_Расчет_аналитики'!AM3596,MeanMinAge02))),0)</f>
        <v/>
      </c>
      <c r="AN3529">
        <f>IF('01_Вводные'!$B$234="Да",IF(OR(('19_Расчет_аналитики'!AN3445-'19_Расчет_аналитики'!AN3473)=0,2&lt;='01_Вводные'!$B$297),0,('19_Расчет_аналитики'!AN3445-'19_Расчет_аналитики'!AN3473)*IF('01_Вводные'!$B$239="Да",MeanMinAge02+'19_Расчет_аналитики'!AN3596*SUMIF(ThresholdAge02,"&lt;"&amp;'19_Расчет_аналитики'!AN3596,WeightedRevAge02)-SUMIF(ThresholdAge02,"&lt;"&amp;'19_Расчет_аналитики'!AN3596,WeightedMinAge02),MAX(CapacityAge02*'01_Вводные'!$B$218*'19_Расчет_аналитики'!AN3596,MeanMinAge02))),0)</f>
        <v/>
      </c>
      <c r="AO3529">
        <f>IF('01_Вводные'!$B$234="Да",IF(OR(('19_Расчет_аналитики'!AO3445-'19_Расчет_аналитики'!AO3473)=0,2&lt;='01_Вводные'!$B$297),0,('19_Расчет_аналитики'!AO3445-'19_Расчет_аналитики'!AO3473)*IF('01_Вводные'!$B$239="Да",MeanMinAge02+'19_Расчет_аналитики'!AO3596*SUMIF(ThresholdAge02,"&lt;"&amp;'19_Расчет_аналитики'!AO3596,WeightedRevAge02)-SUMIF(ThresholdAge02,"&lt;"&amp;'19_Расчет_аналитики'!AO3596,WeightedMinAge02),MAX(CapacityAge02*'01_Вводные'!$B$218*'19_Расчет_аналитики'!AO3596,MeanMinAge02))),0)</f>
        <v/>
      </c>
      <c r="AP3529">
        <f>IF('01_Вводные'!$B$234="Да",IF(OR(('19_Расчет_аналитики'!AP3445-'19_Расчет_аналитики'!AP3473)=0,2&lt;='01_Вводные'!$B$297),0,('19_Расчет_аналитики'!AP3445-'19_Расчет_аналитики'!AP3473)*IF('01_Вводные'!$B$239="Да",MeanMinAge02+'19_Расчет_аналитики'!AP3596*SUMIF(ThresholdAge02,"&lt;"&amp;'19_Расчет_аналитики'!AP3596,WeightedRevAge02)-SUMIF(ThresholdAge02,"&lt;"&amp;'19_Расчет_аналитики'!AP3596,WeightedMinAge02),MAX(CapacityAge02*'01_Вводные'!$B$218*'19_Расчет_аналитики'!AP3596,MeanMinAge02))),0)</f>
        <v/>
      </c>
      <c r="AQ3529">
        <f>IF('01_Вводные'!$B$234="Да",IF(OR(('19_Расчет_аналитики'!AQ3445-'19_Расчет_аналитики'!AQ3473)=0,2&lt;='01_Вводные'!$B$297),0,('19_Расчет_аналитики'!AQ3445-'19_Расчет_аналитики'!AQ3473)*IF('01_Вводные'!$B$239="Да",MeanMinAge02+'19_Расчет_аналитики'!AQ3596*SUMIF(ThresholdAge02,"&lt;"&amp;'19_Расчет_аналитики'!AQ3596,WeightedRevAge02)-SUMIF(ThresholdAge02,"&lt;"&amp;'19_Расчет_аналитики'!AQ3596,WeightedMinAge02),MAX(CapacityAge02*'01_Вводные'!$B$218*'19_Расчет_аналитики'!AQ3596,MeanMinAge02))),0)</f>
        <v/>
      </c>
      <c r="AR3529">
        <f>IF('01_Вводные'!$B$234="Да",IF(OR(('19_Расчет_аналитики'!AR3445-'19_Расчет_аналитики'!AR3473)=0,2&lt;='01_Вводные'!$B$297),0,('19_Расчет_аналитики'!AR3445-'19_Расчет_аналитики'!AR3473)*IF('01_Вводные'!$B$239="Да",MeanMinAge02+'19_Расчет_аналитики'!AR3596*SUMIF(ThresholdAge02,"&lt;"&amp;'19_Расчет_аналитики'!AR3596,WeightedRevAge02)-SUMIF(ThresholdAge02,"&lt;"&amp;'19_Расчет_аналитики'!AR3596,WeightedMinAge02),MAX(CapacityAge02*'01_Вводные'!$B$218*'19_Расчет_аналитики'!AR3596,MeanMinAge02))),0)</f>
        <v/>
      </c>
      <c r="AS3529">
        <f>IF('01_Вводные'!$B$234="Да",IF(OR(('19_Расчет_аналитики'!AS3445-'19_Расчет_аналитики'!AS3473)=0,2&lt;='01_Вводные'!$B$297),0,('19_Расчет_аналитики'!AS3445-'19_Расчет_аналитики'!AS3473)*IF('01_Вводные'!$B$239="Да",MeanMinAge02+'19_Расчет_аналитики'!AS3596*SUMIF(ThresholdAge02,"&lt;"&amp;'19_Расчет_аналитики'!AS3596,WeightedRevAge02)-SUMIF(ThresholdAge02,"&lt;"&amp;'19_Расчет_аналитики'!AS3596,WeightedMinAge02),MAX(CapacityAge02*'01_Вводные'!$B$218*'19_Расчет_аналитики'!AS3596,MeanMinAge02))),0)</f>
        <v/>
      </c>
      <c r="AT3529">
        <f>IF('01_Вводные'!$B$234="Да",IF(OR(('19_Расчет_аналитики'!AT3445-'19_Расчет_аналитики'!AT3473)=0,2&lt;='01_Вводные'!$B$297),0,('19_Расчет_аналитики'!AT3445-'19_Расчет_аналитики'!AT3473)*IF('01_Вводные'!$B$239="Да",MeanMinAge02+'19_Расчет_аналитики'!AT3596*SUMIF(ThresholdAge02,"&lt;"&amp;'19_Расчет_аналитики'!AT3596,WeightedRevAge02)-SUMIF(ThresholdAge02,"&lt;"&amp;'19_Расчет_аналитики'!AT3596,WeightedMinAge02),MAX(CapacityAge02*'01_Вводные'!$B$218*'19_Расчет_аналитики'!AT3596,MeanMinAge02))),0)</f>
        <v/>
      </c>
      <c r="AU3529">
        <f>IF('01_Вводные'!$B$234="Да",IF(OR(('19_Расчет_аналитики'!AU3445-'19_Расчет_аналитики'!AU3473)=0,2&lt;='01_Вводные'!$B$297),0,('19_Расчет_аналитики'!AU3445-'19_Расчет_аналитики'!AU3473)*IF('01_Вводные'!$B$239="Да",MeanMinAge02+'19_Расчет_аналитики'!AU3596*SUMIF(ThresholdAge02,"&lt;"&amp;'19_Расчет_аналитики'!AU3596,WeightedRevAge02)-SUMIF(ThresholdAge02,"&lt;"&amp;'19_Расчет_аналитики'!AU3596,WeightedMinAge02),MAX(CapacityAge02*'01_Вводные'!$B$218*'19_Расчет_аналитики'!AU3596,MeanMinAge02))),0)</f>
        <v/>
      </c>
      <c r="AV3529">
        <f>IF('01_Вводные'!$B$234="Да",IF(OR(('19_Расчет_аналитики'!AV3445-'19_Расчет_аналитики'!AV3473)=0,2&lt;='01_Вводные'!$B$297),0,('19_Расчет_аналитики'!AV3445-'19_Расчет_аналитики'!AV3473)*IF('01_Вводные'!$B$239="Да",MeanMinAge02+'19_Расчет_аналитики'!AV3596*SUMIF(ThresholdAge02,"&lt;"&amp;'19_Расчет_аналитики'!AV3596,WeightedRevAge02)-SUMIF(ThresholdAge02,"&lt;"&amp;'19_Расчет_аналитики'!AV3596,WeightedMinAge02),MAX(CapacityAge02*'01_Вводные'!$B$218*'19_Расчет_аналитики'!AV3596,MeanMinAge02))),0)</f>
        <v/>
      </c>
      <c r="AW3529">
        <f>IF('01_Вводные'!$B$234="Да",IF(OR(('19_Расчет_аналитики'!AW3445-'19_Расчет_аналитики'!AW3473)=0,2&lt;='01_Вводные'!$B$297),0,('19_Расчет_аналитики'!AW3445-'19_Расчет_аналитики'!AW3473)*IF('01_Вводные'!$B$239="Да",MeanMinAge02+'19_Расчет_аналитики'!AW3596*SUMIF(ThresholdAge02,"&lt;"&amp;'19_Расчет_аналитики'!AW3596,WeightedRevAge02)-SUMIF(ThresholdAge02,"&lt;"&amp;'19_Расчет_аналитики'!AW3596,WeightedMinAge02),MAX(CapacityAge02*'01_Вводные'!$B$218*'19_Расчет_аналитики'!AW3596,MeanMinAge02))),0)</f>
        <v/>
      </c>
      <c r="AX3529">
        <f>IF('01_Вводные'!$B$234="Да",IF(OR(('19_Расчет_аналитики'!AX3445-'19_Расчет_аналитики'!AX3473)=0,2&lt;='01_Вводные'!$B$297),0,('19_Расчет_аналитики'!AX3445-'19_Расчет_аналитики'!AX3473)*IF('01_Вводные'!$B$239="Да",MeanMinAge02+'19_Расчет_аналитики'!AX3596*SUMIF(ThresholdAge02,"&lt;"&amp;'19_Расчет_аналитики'!AX3596,WeightedRevAge02)-SUMIF(ThresholdAge02,"&lt;"&amp;'19_Расчет_аналитики'!AX3596,WeightedMinAge02),MAX(CapacityAge02*'01_Вводные'!$B$218*'19_Расчет_аналитики'!AX3596,MeanMinAge02))),0)</f>
        <v/>
      </c>
      <c r="AY3529">
        <f>IF('01_Вводные'!$B$234="Да",IF(OR(('19_Расчет_аналитики'!AY3445-'19_Расчет_аналитики'!AY3473)=0,2&lt;='01_Вводные'!$B$297),0,('19_Расчет_аналитики'!AY3445-'19_Расчет_аналитики'!AY3473)*IF('01_Вводные'!$B$239="Да",MeanMinAge02+'19_Расчет_аналитики'!AY3596*SUMIF(ThresholdAge02,"&lt;"&amp;'19_Расчет_аналитики'!AY3596,WeightedRevAge02)-SUMIF(ThresholdAge02,"&lt;"&amp;'19_Расчет_аналитики'!AY3596,WeightedMinAge02),MAX(CapacityAge02*'01_Вводные'!$B$218*'19_Расчет_аналитики'!AY3596,MeanMinAge02))),0)</f>
        <v/>
      </c>
      <c r="AZ3529">
        <f>IF('01_Вводные'!$B$234="Да",IF(OR(('19_Расчет_аналитики'!AZ3445-'19_Расчет_аналитики'!AZ3473)=0,2&lt;='01_Вводные'!$B$297),0,('19_Расчет_аналитики'!AZ3445-'19_Расчет_аналитики'!AZ3473)*IF('01_Вводные'!$B$239="Да",MeanMinAge02+'19_Расчет_аналитики'!AZ3596*SUMIF(ThresholdAge02,"&lt;"&amp;'19_Расчет_аналитики'!AZ3596,WeightedRevAge02)-SUMIF(ThresholdAge02,"&lt;"&amp;'19_Расчет_аналитики'!AZ3596,WeightedMinAge02),MAX(CapacityAge02*'01_Вводные'!$B$218*'19_Расчет_аналитики'!AZ3596,MeanMinAge02))),0)</f>
        <v/>
      </c>
      <c r="BA3529">
        <f>IF('01_Вводные'!$B$234="Да",IF(OR(('19_Расчет_аналитики'!BA3445-'19_Расчет_аналитики'!BA3473)=0,2&lt;='01_Вводные'!$B$297),0,('19_Расчет_аналитики'!BA3445-'19_Расчет_аналитики'!BA3473)*IF('01_Вводные'!$B$239="Да",MeanMinAge02+'19_Расчет_аналитики'!BA3596*SUMIF(ThresholdAge02,"&lt;"&amp;'19_Расчет_аналитики'!BA3596,WeightedRevAge02)-SUMIF(ThresholdAge02,"&lt;"&amp;'19_Расчет_аналитики'!BA3596,WeightedMinAge02),MAX(CapacityAge02*'01_Вводные'!$B$218*'19_Расчет_аналитики'!BA3596,MeanMinAge02))),0)</f>
        <v/>
      </c>
      <c r="BB3529">
        <f>IF('01_Вводные'!$B$234="Да",IF(OR(('19_Расчет_аналитики'!BB3445-'19_Расчет_аналитики'!BB3473)=0,2&lt;='01_Вводные'!$B$297),0,('19_Расчет_аналитики'!BB3445-'19_Расчет_аналитики'!BB3473)*IF('01_Вводные'!$B$239="Да",MeanMinAge02+'19_Расчет_аналитики'!BB3596*SUMIF(ThresholdAge02,"&lt;"&amp;'19_Расчет_аналитики'!BB3596,WeightedRevAge02)-SUMIF(ThresholdAge02,"&lt;"&amp;'19_Расчет_аналитики'!BB3596,WeightedMinAge02),MAX(CapacityAge02*'01_Вводные'!$B$218*'19_Расчет_аналитики'!BB3596,MeanMinAge02))),0)</f>
        <v/>
      </c>
      <c r="BC3529">
        <f>IF('01_Вводные'!$B$234="Да",IF(OR(('19_Расчет_аналитики'!BC3445-'19_Расчет_аналитики'!BC3473)=0,2&lt;='01_Вводные'!$B$297),0,('19_Расчет_аналитики'!BC3445-'19_Расчет_аналитики'!BC3473)*IF('01_Вводные'!$B$239="Да",MeanMinAge02+'19_Расчет_аналитики'!BC3596*SUMIF(ThresholdAge02,"&lt;"&amp;'19_Расчет_аналитики'!BC3596,WeightedRevAge02)-SUMIF(ThresholdAge02,"&lt;"&amp;'19_Расчет_аналитики'!BC3596,WeightedMinAge02),MAX(CapacityAge02*'01_Вводные'!$B$218*'19_Расчет_аналитики'!BC3596,MeanMinAge02))),0)</f>
        <v/>
      </c>
      <c r="BD3529">
        <f>IF('01_Вводные'!$B$234="Да",IF(OR(('19_Расчет_аналитики'!BD3445-'19_Расчет_аналитики'!BD3473)=0,2&lt;='01_Вводные'!$B$297),0,('19_Расчет_аналитики'!BD3445-'19_Расчет_аналитики'!BD3473)*IF('01_Вводные'!$B$239="Да",MeanMinAge02+'19_Расчет_аналитики'!BD3596*SUMIF(ThresholdAge02,"&lt;"&amp;'19_Расчет_аналитики'!BD3596,WeightedRevAge02)-SUMIF(ThresholdAge02,"&lt;"&amp;'19_Расчет_аналитики'!BD3596,WeightedMinAge02),MAX(CapacityAge02*'01_Вводные'!$B$218*'19_Расчет_аналитики'!BD3596,MeanMinAge02))),0)</f>
        <v/>
      </c>
      <c r="BE3529">
        <f>IF('01_Вводные'!$B$234="Да",IF(OR(('19_Расчет_аналитики'!BE3445-'19_Расчет_аналитики'!BE3473)=0,2&lt;='01_Вводные'!$B$297),0,('19_Расчет_аналитики'!BE3445-'19_Расчет_аналитики'!BE3473)*IF('01_Вводные'!$B$239="Да",MeanMinAge02+'19_Расчет_аналитики'!BE3596*SUMIF(ThresholdAge02,"&lt;"&amp;'19_Расчет_аналитики'!BE3596,WeightedRevAge02)-SUMIF(ThresholdAge02,"&lt;"&amp;'19_Расчет_аналитики'!BE3596,WeightedMinAge02),MAX(CapacityAge02*'01_Вводные'!$B$218*'19_Расчет_аналитики'!BE3596,MeanMinAge02))),0)</f>
        <v/>
      </c>
      <c r="BF3529">
        <f>IF('01_Вводные'!$B$234="Да",IF(OR(('19_Расчет_аналитики'!BF3445-'19_Расчет_аналитики'!BF3473)=0,2&lt;='01_Вводные'!$B$297),0,('19_Расчет_аналитики'!BF3445-'19_Расчет_аналитики'!BF3473)*IF('01_Вводные'!$B$239="Да",MeanMinAge02+'19_Расчет_аналитики'!BF3596*SUMIF(ThresholdAge02,"&lt;"&amp;'19_Расчет_аналитики'!BF3596,WeightedRevAge02)-SUMIF(ThresholdAge02,"&lt;"&amp;'19_Расчет_аналитики'!BF3596,WeightedMinAge02),MAX(CapacityAge02*'01_Вводные'!$B$218*'19_Расчет_аналитики'!BF3596,MeanMinAge02))),0)</f>
        <v/>
      </c>
      <c r="BG3529">
        <f>IF('01_Вводные'!$B$234="Да",IF(OR(('19_Расчет_аналитики'!BG3445-'19_Расчет_аналитики'!BG3473)=0,2&lt;='01_Вводные'!$B$297),0,('19_Расчет_аналитики'!BG3445-'19_Расчет_аналитики'!BG3473)*IF('01_Вводные'!$B$239="Да",MeanMinAge02+'19_Расчет_аналитики'!BG3596*SUMIF(ThresholdAge02,"&lt;"&amp;'19_Расчет_аналитики'!BG3596,WeightedRevAge02)-SUMIF(ThresholdAge02,"&lt;"&amp;'19_Расчет_аналитики'!BG3596,WeightedMinAge02),MAX(CapacityAge02*'01_Вводные'!$B$218*'19_Расчет_аналитики'!BG3596,MeanMinAge02))),0)</f>
        <v/>
      </c>
      <c r="BH3529">
        <f>IF('01_Вводные'!$B$234="Да",IF(OR(('19_Расчет_аналитики'!BH3445-'19_Расчет_аналитики'!BH3473)=0,2&lt;='01_Вводные'!$B$297),0,('19_Расчет_аналитики'!BH3445-'19_Расчет_аналитики'!BH3473)*IF('01_Вводные'!$B$239="Да",MeanMinAge02+'19_Расчет_аналитики'!BH3596*SUMIF(ThresholdAge02,"&lt;"&amp;'19_Расчет_аналитики'!BH3596,WeightedRevAge02)-SUMIF(ThresholdAge02,"&lt;"&amp;'19_Расчет_аналитики'!BH3596,WeightedMinAge02),MAX(CapacityAge02*'01_Вводные'!$B$218*'19_Расчет_аналитики'!BH3596,MeanMinAge02))),0)</f>
        <v/>
      </c>
      <c r="BI3529">
        <f>IF('01_Вводные'!$B$234="Да",IF(OR(('19_Расчет_аналитики'!BI3445-'19_Расчет_аналитики'!BI3473)=0,2&lt;='01_Вводные'!$B$297),0,('19_Расчет_аналитики'!BI3445-'19_Расчет_аналитики'!BI3473)*IF('01_Вводные'!$B$239="Да",MeanMinAge02+'19_Расчет_аналитики'!BI3596*SUMIF(ThresholdAge02,"&lt;"&amp;'19_Расчет_аналитики'!BI3596,WeightedRevAge02)-SUMIF(ThresholdAge02,"&lt;"&amp;'19_Расчет_аналитики'!BI3596,WeightedMinAge02),MAX(CapacityAge02*'01_Вводные'!$B$218*'19_Расчет_аналитики'!BI3596,MeanMinAge02))),0)</f>
        <v/>
      </c>
      <c r="BJ3529">
        <f>IF('01_Вводные'!$B$234="Да",IF(OR(('19_Расчет_аналитики'!BJ3445-'19_Расчет_аналитики'!BJ3473)=0,2&lt;='01_Вводные'!$B$297),0,('19_Расчет_аналитики'!BJ3445-'19_Расчет_аналитики'!BJ3473)*IF('01_Вводные'!$B$239="Да",MeanMinAge02+'19_Расчет_аналитики'!BJ3596*SUMIF(ThresholdAge02,"&lt;"&amp;'19_Расчет_аналитики'!BJ3596,WeightedRevAge02)-SUMIF(ThresholdAge02,"&lt;"&amp;'19_Расчет_аналитики'!BJ3596,WeightedMinAge02),MAX(CapacityAge02*'01_Вводные'!$B$218*'19_Расчет_аналитики'!BJ3596,MeanMinAge02))),0)</f>
        <v/>
      </c>
      <c r="BK3529">
        <f>IF('01_Вводные'!$B$234="Да",IF(OR(('19_Расчет_аналитики'!BK3445-'19_Расчет_аналитики'!BK3473)=0,2&lt;='01_Вводные'!$B$297),0,('19_Расчет_аналитики'!BK3445-'19_Расчет_аналитики'!BK3473)*IF('01_Вводные'!$B$239="Да",MeanMinAge02+'19_Расчет_аналитики'!BK3596*SUMIF(ThresholdAge02,"&lt;"&amp;'19_Расчет_аналитики'!BK3596,WeightedRevAge02)-SUMIF(ThresholdAge02,"&lt;"&amp;'19_Расчет_аналитики'!BK3596,WeightedMinAge02),MAX(CapacityAge02*'01_Вводные'!$B$218*'19_Расчет_аналитики'!BK3596,MeanMinAge02))),0)</f>
        <v/>
      </c>
      <c r="BL3529">
        <f>IF('01_Вводные'!$B$234="Да",IF(OR(('19_Расчет_аналитики'!BL3445-'19_Расчет_аналитики'!BL3473)=0,2&lt;='01_Вводные'!$B$297),0,('19_Расчет_аналитики'!BL3445-'19_Расчет_аналитики'!BL3473)*IF('01_Вводные'!$B$239="Да",MeanMinAge02+'19_Расчет_аналитики'!BL3596*SUMIF(ThresholdAge02,"&lt;"&amp;'19_Расчет_аналитики'!BL3596,WeightedRevAge02)-SUMIF(ThresholdAge02,"&lt;"&amp;'19_Расчет_аналитики'!BL3596,WeightedMinAge02),MAX(CapacityAge02*'01_Вводные'!$B$218*'19_Расчет_аналитики'!BL3596,MeanMinAge02))),0)</f>
        <v/>
      </c>
      <c r="BM3529">
        <f>IF('01_Вводные'!$B$234="Да",IF(OR(('19_Расчет_аналитики'!BM3445-'19_Расчет_аналитики'!BM3473)=0,2&lt;='01_Вводные'!$B$297),0,('19_Расчет_аналитики'!BM3445-'19_Расчет_аналитики'!BM3473)*IF('01_Вводные'!$B$239="Да",MeanMinAge02+'19_Расчет_аналитики'!BM3596*SUMIF(ThresholdAge02,"&lt;"&amp;'19_Расчет_аналитики'!BM3596,WeightedRevAge02)-SUMIF(ThresholdAge02,"&lt;"&amp;'19_Расчет_аналитики'!BM3596,WeightedMinAge02),MAX(CapacityAge02*'01_Вводные'!$B$218*'19_Расчет_аналитики'!BM3596,MeanMinAge02))),0)</f>
        <v/>
      </c>
      <c r="BN3529">
        <f>IF('01_Вводные'!$B$234="Да",IF(OR(('19_Расчет_аналитики'!BN3445-'19_Расчет_аналитики'!BN3473)=0,2&lt;='01_Вводные'!$B$297),0,('19_Расчет_аналитики'!BN3445-'19_Расчет_аналитики'!BN3473)*IF('01_Вводные'!$B$239="Да",MeanMinAge02+'19_Расчет_аналитики'!BN3596*SUMIF(ThresholdAge02,"&lt;"&amp;'19_Расчет_аналитики'!BN3596,WeightedRevAge02)-SUMIF(ThresholdAge02,"&lt;"&amp;'19_Расчет_аналитики'!BN3596,WeightedMinAge02),MAX(CapacityAge02*'01_Вводные'!$B$218*'19_Расчет_аналитики'!BN3596,MeanMinAge02))),0)</f>
        <v/>
      </c>
      <c r="BO3529">
        <f>IF('01_Вводные'!$B$234="Да",IF(OR(('19_Расчет_аналитики'!BO3445-'19_Расчет_аналитики'!BO3473)=0,2&lt;='01_Вводные'!$B$297),0,('19_Расчет_аналитики'!BO3445-'19_Расчет_аналитики'!BO3473)*IF('01_Вводные'!$B$239="Да",MeanMinAge02+'19_Расчет_аналитики'!BO3596*SUMIF(ThresholdAge02,"&lt;"&amp;'19_Расчет_аналитики'!BO3596,WeightedRevAge02)-SUMIF(ThresholdAge02,"&lt;"&amp;'19_Расчет_аналитики'!BO3596,WeightedMinAge02),MAX(CapacityAge02*'01_Вводные'!$B$218*'19_Расчет_аналитики'!BO3596,MeanMinAge02))),0)</f>
        <v/>
      </c>
    </row>
    <row r="3530">
      <c r="B3530">
        <f>IF('01_Вводные'!$B$234="Да",IF(OR(('06_Сеть_и_дети'!B55-'06_Сеть_и_дети'!B83)=0,3&lt;='01_Вводные'!$B$297),0,('06_Сеть_и_дети'!B55-'06_Сеть_и_дети'!B83)*IF('01_Вводные'!$B$239="Да",MeanMinAge03+'19_Расчет_аналитики'!B3596*SUMIF(ThresholdAge03,"&lt;"&amp;'19_Расчет_аналитики'!B3596,WeightedRevAge03)-SUMIF(ThresholdAge03,"&lt;"&amp;'19_Расчет_аналитики'!B3596,WeightedMinAge03),MAX(CapacityAge03*'01_Вводные'!$B$218*'19_Расчет_аналитики'!B3596,MeanMinAge03))),0)</f>
        <v/>
      </c>
      <c r="C3530">
        <f>IF('01_Вводные'!$B$234="Да",IF(OR(('06_Сеть_и_дети'!C55-'06_Сеть_и_дети'!C83)=0,3&lt;='01_Вводные'!$B$297),0,('06_Сеть_и_дети'!C55-'06_Сеть_и_дети'!C83)*IF('01_Вводные'!$B$239="Да",MeanMinAge03+'19_Расчет_аналитики'!C3596*SUMIF(ThresholdAge03,"&lt;"&amp;'19_Расчет_аналитики'!C3596,WeightedRevAge03)-SUMIF(ThresholdAge03,"&lt;"&amp;'19_Расчет_аналитики'!C3596,WeightedMinAge03),MAX(CapacityAge03*'01_Вводные'!$B$218*'19_Расчет_аналитики'!C3596,MeanMinAge03))),0)</f>
        <v/>
      </c>
      <c r="D3530">
        <f>IF('01_Вводные'!$B$234="Да",IF(OR(('19_Расчет_аналитики'!D3446-'19_Расчет_аналитики'!D3474)=0,3&lt;='01_Вводные'!$B$297),0,('19_Расчет_аналитики'!D3446-'19_Расчет_аналитики'!D3474)*IF('01_Вводные'!$B$239="Да",MeanMinAge03+'19_Расчет_аналитики'!D3596*SUMIF(ThresholdAge03,"&lt;"&amp;'19_Расчет_аналитики'!D3596,WeightedRevAge03)-SUMIF(ThresholdAge03,"&lt;"&amp;'19_Расчет_аналитики'!D3596,WeightedMinAge03),MAX(CapacityAge03*'01_Вводные'!$B$218*'19_Расчет_аналитики'!D3596,MeanMinAge03))),0)</f>
        <v/>
      </c>
      <c r="E3530">
        <f>IF('01_Вводные'!$B$234="Да",IF(OR(('19_Расчет_аналитики'!E3446-'19_Расчет_аналитики'!E3474)=0,3&lt;='01_Вводные'!$B$297),0,('19_Расчет_аналитики'!E3446-'19_Расчет_аналитики'!E3474)*IF('01_Вводные'!$B$239="Да",MeanMinAge03+'19_Расчет_аналитики'!E3596*SUMIF(ThresholdAge03,"&lt;"&amp;'19_Расчет_аналитики'!E3596,WeightedRevAge03)-SUMIF(ThresholdAge03,"&lt;"&amp;'19_Расчет_аналитики'!E3596,WeightedMinAge03),MAX(CapacityAge03*'01_Вводные'!$B$218*'19_Расчет_аналитики'!E3596,MeanMinAge03))),0)</f>
        <v/>
      </c>
      <c r="F3530">
        <f>IF('01_Вводные'!$B$234="Да",IF(OR(('19_Расчет_аналитики'!F3446-'19_Расчет_аналитики'!F3474)=0,3&lt;='01_Вводные'!$B$297),0,('19_Расчет_аналитики'!F3446-'19_Расчет_аналитики'!F3474)*IF('01_Вводные'!$B$239="Да",MeanMinAge03+'19_Расчет_аналитики'!F3596*SUMIF(ThresholdAge03,"&lt;"&amp;'19_Расчет_аналитики'!F3596,WeightedRevAge03)-SUMIF(ThresholdAge03,"&lt;"&amp;'19_Расчет_аналитики'!F3596,WeightedMinAge03),MAX(CapacityAge03*'01_Вводные'!$B$218*'19_Расчет_аналитики'!F3596,MeanMinAge03))),0)</f>
        <v/>
      </c>
      <c r="G3530">
        <f>IF('01_Вводные'!$B$234="Да",IF(OR(('19_Расчет_аналитики'!G3446-'19_Расчет_аналитики'!G3474)=0,3&lt;='01_Вводные'!$B$297),0,('19_Расчет_аналитики'!G3446-'19_Расчет_аналитики'!G3474)*IF('01_Вводные'!$B$239="Да",MeanMinAge03+'19_Расчет_аналитики'!G3596*SUMIF(ThresholdAge03,"&lt;"&amp;'19_Расчет_аналитики'!G3596,WeightedRevAge03)-SUMIF(ThresholdAge03,"&lt;"&amp;'19_Расчет_аналитики'!G3596,WeightedMinAge03),MAX(CapacityAge03*'01_Вводные'!$B$218*'19_Расчет_аналитики'!G3596,MeanMinAge03))),0)</f>
        <v/>
      </c>
      <c r="H3530">
        <f>IF('01_Вводные'!$B$234="Да",IF(OR(('19_Расчет_аналитики'!H3446-'19_Расчет_аналитики'!H3474)=0,3&lt;='01_Вводные'!$B$297),0,('19_Расчет_аналитики'!H3446-'19_Расчет_аналитики'!H3474)*IF('01_Вводные'!$B$239="Да",MeanMinAge03+'19_Расчет_аналитики'!H3596*SUMIF(ThresholdAge03,"&lt;"&amp;'19_Расчет_аналитики'!H3596,WeightedRevAge03)-SUMIF(ThresholdAge03,"&lt;"&amp;'19_Расчет_аналитики'!H3596,WeightedMinAge03),MAX(CapacityAge03*'01_Вводные'!$B$218*'19_Расчет_аналитики'!H3596,MeanMinAge03))),0)</f>
        <v/>
      </c>
      <c r="I3530">
        <f>IF('01_Вводные'!$B$234="Да",IF(OR(('19_Расчет_аналитики'!I3446-'19_Расчет_аналитики'!I3474)=0,3&lt;='01_Вводные'!$B$297),0,('19_Расчет_аналитики'!I3446-'19_Расчет_аналитики'!I3474)*IF('01_Вводные'!$B$239="Да",MeanMinAge03+'19_Расчет_аналитики'!I3596*SUMIF(ThresholdAge03,"&lt;"&amp;'19_Расчет_аналитики'!I3596,WeightedRevAge03)-SUMIF(ThresholdAge03,"&lt;"&amp;'19_Расчет_аналитики'!I3596,WeightedMinAge03),MAX(CapacityAge03*'01_Вводные'!$B$218*'19_Расчет_аналитики'!I3596,MeanMinAge03))),0)</f>
        <v/>
      </c>
      <c r="J3530">
        <f>IF('01_Вводные'!$B$234="Да",IF(OR(('19_Расчет_аналитики'!J3446-'19_Расчет_аналитики'!J3474)=0,3&lt;='01_Вводные'!$B$297),0,('19_Расчет_аналитики'!J3446-'19_Расчет_аналитики'!J3474)*IF('01_Вводные'!$B$239="Да",MeanMinAge03+'19_Расчет_аналитики'!J3596*SUMIF(ThresholdAge03,"&lt;"&amp;'19_Расчет_аналитики'!J3596,WeightedRevAge03)-SUMIF(ThresholdAge03,"&lt;"&amp;'19_Расчет_аналитики'!J3596,WeightedMinAge03),MAX(CapacityAge03*'01_Вводные'!$B$218*'19_Расчет_аналитики'!J3596,MeanMinAge03))),0)</f>
        <v/>
      </c>
      <c r="K3530">
        <f>IF('01_Вводные'!$B$234="Да",IF(OR(('19_Расчет_аналитики'!K3446-'19_Расчет_аналитики'!K3474)=0,3&lt;='01_Вводные'!$B$297),0,('19_Расчет_аналитики'!K3446-'19_Расчет_аналитики'!K3474)*IF('01_Вводные'!$B$239="Да",MeanMinAge03+'19_Расчет_аналитики'!K3596*SUMIF(ThresholdAge03,"&lt;"&amp;'19_Расчет_аналитики'!K3596,WeightedRevAge03)-SUMIF(ThresholdAge03,"&lt;"&amp;'19_Расчет_аналитики'!K3596,WeightedMinAge03),MAX(CapacityAge03*'01_Вводные'!$B$218*'19_Расчет_аналитики'!K3596,MeanMinAge03))),0)</f>
        <v/>
      </c>
      <c r="L3530">
        <f>IF('01_Вводные'!$B$234="Да",IF(OR(('19_Расчет_аналитики'!L3446-'19_Расчет_аналитики'!L3474)=0,3&lt;='01_Вводные'!$B$297),0,('19_Расчет_аналитики'!L3446-'19_Расчет_аналитики'!L3474)*IF('01_Вводные'!$B$239="Да",MeanMinAge03+'19_Расчет_аналитики'!L3596*SUMIF(ThresholdAge03,"&lt;"&amp;'19_Расчет_аналитики'!L3596,WeightedRevAge03)-SUMIF(ThresholdAge03,"&lt;"&amp;'19_Расчет_аналитики'!L3596,WeightedMinAge03),MAX(CapacityAge03*'01_Вводные'!$B$218*'19_Расчет_аналитики'!L3596,MeanMinAge03))),0)</f>
        <v/>
      </c>
      <c r="M3530">
        <f>IF('01_Вводные'!$B$234="Да",IF(OR(('19_Расчет_аналитики'!M3446-'19_Расчет_аналитики'!M3474)=0,3&lt;='01_Вводные'!$B$297),0,('19_Расчет_аналитики'!M3446-'19_Расчет_аналитики'!M3474)*IF('01_Вводные'!$B$239="Да",MeanMinAge03+'19_Расчет_аналитики'!M3596*SUMIF(ThresholdAge03,"&lt;"&amp;'19_Расчет_аналитики'!M3596,WeightedRevAge03)-SUMIF(ThresholdAge03,"&lt;"&amp;'19_Расчет_аналитики'!M3596,WeightedMinAge03),MAX(CapacityAge03*'01_Вводные'!$B$218*'19_Расчет_аналитики'!M3596,MeanMinAge03))),0)</f>
        <v/>
      </c>
      <c r="N3530">
        <f>IF('01_Вводные'!$B$234="Да",IF(OR(('19_Расчет_аналитики'!N3446-'19_Расчет_аналитики'!N3474)=0,3&lt;='01_Вводные'!$B$297),0,('19_Расчет_аналитики'!N3446-'19_Расчет_аналитики'!N3474)*IF('01_Вводные'!$B$239="Да",MeanMinAge03+'19_Расчет_аналитики'!N3596*SUMIF(ThresholdAge03,"&lt;"&amp;'19_Расчет_аналитики'!N3596,WeightedRevAge03)-SUMIF(ThresholdAge03,"&lt;"&amp;'19_Расчет_аналитики'!N3596,WeightedMinAge03),MAX(CapacityAge03*'01_Вводные'!$B$218*'19_Расчет_аналитики'!N3596,MeanMinAge03))),0)</f>
        <v/>
      </c>
      <c r="O3530">
        <f>IF('01_Вводные'!$B$234="Да",IF(OR(('19_Расчет_аналитики'!O3446-'19_Расчет_аналитики'!O3474)=0,3&lt;='01_Вводные'!$B$297),0,('19_Расчет_аналитики'!O3446-'19_Расчет_аналитики'!O3474)*IF('01_Вводные'!$B$239="Да",MeanMinAge03+'19_Расчет_аналитики'!O3596*SUMIF(ThresholdAge03,"&lt;"&amp;'19_Расчет_аналитики'!O3596,WeightedRevAge03)-SUMIF(ThresholdAge03,"&lt;"&amp;'19_Расчет_аналитики'!O3596,WeightedMinAge03),MAX(CapacityAge03*'01_Вводные'!$B$218*'19_Расчет_аналитики'!O3596,MeanMinAge03))),0)</f>
        <v/>
      </c>
      <c r="P3530">
        <f>IF('01_Вводные'!$B$234="Да",IF(OR(('19_Расчет_аналитики'!P3446-'19_Расчет_аналитики'!P3474)=0,3&lt;='01_Вводные'!$B$297),0,('19_Расчет_аналитики'!P3446-'19_Расчет_аналитики'!P3474)*IF('01_Вводные'!$B$239="Да",MeanMinAge03+'19_Расчет_аналитики'!P3596*SUMIF(ThresholdAge03,"&lt;"&amp;'19_Расчет_аналитики'!P3596,WeightedRevAge03)-SUMIF(ThresholdAge03,"&lt;"&amp;'19_Расчет_аналитики'!P3596,WeightedMinAge03),MAX(CapacityAge03*'01_Вводные'!$B$218*'19_Расчет_аналитики'!P3596,MeanMinAge03))),0)</f>
        <v/>
      </c>
      <c r="Q3530">
        <f>IF('01_Вводные'!$B$234="Да",IF(OR(('19_Расчет_аналитики'!Q3446-'19_Расчет_аналитики'!Q3474)=0,3&lt;='01_Вводные'!$B$297),0,('19_Расчет_аналитики'!Q3446-'19_Расчет_аналитики'!Q3474)*IF('01_Вводные'!$B$239="Да",MeanMinAge03+'19_Расчет_аналитики'!Q3596*SUMIF(ThresholdAge03,"&lt;"&amp;'19_Расчет_аналитики'!Q3596,WeightedRevAge03)-SUMIF(ThresholdAge03,"&lt;"&amp;'19_Расчет_аналитики'!Q3596,WeightedMinAge03),MAX(CapacityAge03*'01_Вводные'!$B$218*'19_Расчет_аналитики'!Q3596,MeanMinAge03))),0)</f>
        <v/>
      </c>
      <c r="R3530">
        <f>IF('01_Вводные'!$B$234="Да",IF(OR(('19_Расчет_аналитики'!R3446-'19_Расчет_аналитики'!R3474)=0,3&lt;='01_Вводные'!$B$297),0,('19_Расчет_аналитики'!R3446-'19_Расчет_аналитики'!R3474)*IF('01_Вводные'!$B$239="Да",MeanMinAge03+'19_Расчет_аналитики'!R3596*SUMIF(ThresholdAge03,"&lt;"&amp;'19_Расчет_аналитики'!R3596,WeightedRevAge03)-SUMIF(ThresholdAge03,"&lt;"&amp;'19_Расчет_аналитики'!R3596,WeightedMinAge03),MAX(CapacityAge03*'01_Вводные'!$B$218*'19_Расчет_аналитики'!R3596,MeanMinAge03))),0)</f>
        <v/>
      </c>
      <c r="S3530">
        <f>IF('01_Вводные'!$B$234="Да",IF(OR(('19_Расчет_аналитики'!S3446-'19_Расчет_аналитики'!S3474)=0,3&lt;='01_Вводные'!$B$297),0,('19_Расчет_аналитики'!S3446-'19_Расчет_аналитики'!S3474)*IF('01_Вводные'!$B$239="Да",MeanMinAge03+'19_Расчет_аналитики'!S3596*SUMIF(ThresholdAge03,"&lt;"&amp;'19_Расчет_аналитики'!S3596,WeightedRevAge03)-SUMIF(ThresholdAge03,"&lt;"&amp;'19_Расчет_аналитики'!S3596,WeightedMinAge03),MAX(CapacityAge03*'01_Вводные'!$B$218*'19_Расчет_аналитики'!S3596,MeanMinAge03))),0)</f>
        <v/>
      </c>
      <c r="T3530">
        <f>IF('01_Вводные'!$B$234="Да",IF(OR(('19_Расчет_аналитики'!T3446-'19_Расчет_аналитики'!T3474)=0,3&lt;='01_Вводные'!$B$297),0,('19_Расчет_аналитики'!T3446-'19_Расчет_аналитики'!T3474)*IF('01_Вводные'!$B$239="Да",MeanMinAge03+'19_Расчет_аналитики'!T3596*SUMIF(ThresholdAge03,"&lt;"&amp;'19_Расчет_аналитики'!T3596,WeightedRevAge03)-SUMIF(ThresholdAge03,"&lt;"&amp;'19_Расчет_аналитики'!T3596,WeightedMinAge03),MAX(CapacityAge03*'01_Вводные'!$B$218*'19_Расчет_аналитики'!T3596,MeanMinAge03))),0)</f>
        <v/>
      </c>
      <c r="U3530">
        <f>IF('01_Вводные'!$B$234="Да",IF(OR(('19_Расчет_аналитики'!U3446-'19_Расчет_аналитики'!U3474)=0,3&lt;='01_Вводные'!$B$297),0,('19_Расчет_аналитики'!U3446-'19_Расчет_аналитики'!U3474)*IF('01_Вводные'!$B$239="Да",MeanMinAge03+'19_Расчет_аналитики'!U3596*SUMIF(ThresholdAge03,"&lt;"&amp;'19_Расчет_аналитики'!U3596,WeightedRevAge03)-SUMIF(ThresholdAge03,"&lt;"&amp;'19_Расчет_аналитики'!U3596,WeightedMinAge03),MAX(CapacityAge03*'01_Вводные'!$B$218*'19_Расчет_аналитики'!U3596,MeanMinAge03))),0)</f>
        <v/>
      </c>
      <c r="V3530">
        <f>IF('01_Вводные'!$B$234="Да",IF(OR(('19_Расчет_аналитики'!V3446-'19_Расчет_аналитики'!V3474)=0,3&lt;='01_Вводные'!$B$297),0,('19_Расчет_аналитики'!V3446-'19_Расчет_аналитики'!V3474)*IF('01_Вводные'!$B$239="Да",MeanMinAge03+'19_Расчет_аналитики'!V3596*SUMIF(ThresholdAge03,"&lt;"&amp;'19_Расчет_аналитики'!V3596,WeightedRevAge03)-SUMIF(ThresholdAge03,"&lt;"&amp;'19_Расчет_аналитики'!V3596,WeightedMinAge03),MAX(CapacityAge03*'01_Вводные'!$B$218*'19_Расчет_аналитики'!V3596,MeanMinAge03))),0)</f>
        <v/>
      </c>
      <c r="W3530">
        <f>IF('01_Вводные'!$B$234="Да",IF(OR(('19_Расчет_аналитики'!W3446-'19_Расчет_аналитики'!W3474)=0,3&lt;='01_Вводные'!$B$297),0,('19_Расчет_аналитики'!W3446-'19_Расчет_аналитики'!W3474)*IF('01_Вводные'!$B$239="Да",MeanMinAge03+'19_Расчет_аналитики'!W3596*SUMIF(ThresholdAge03,"&lt;"&amp;'19_Расчет_аналитики'!W3596,WeightedRevAge03)-SUMIF(ThresholdAge03,"&lt;"&amp;'19_Расчет_аналитики'!W3596,WeightedMinAge03),MAX(CapacityAge03*'01_Вводные'!$B$218*'19_Расчет_аналитики'!W3596,MeanMinAge03))),0)</f>
        <v/>
      </c>
      <c r="X3530">
        <f>IF('01_Вводные'!$B$234="Да",IF(OR(('19_Расчет_аналитики'!X3446-'19_Расчет_аналитики'!X3474)=0,3&lt;='01_Вводные'!$B$297),0,('19_Расчет_аналитики'!X3446-'19_Расчет_аналитики'!X3474)*IF('01_Вводные'!$B$239="Да",MeanMinAge03+'19_Расчет_аналитики'!X3596*SUMIF(ThresholdAge03,"&lt;"&amp;'19_Расчет_аналитики'!X3596,WeightedRevAge03)-SUMIF(ThresholdAge03,"&lt;"&amp;'19_Расчет_аналитики'!X3596,WeightedMinAge03),MAX(CapacityAge03*'01_Вводные'!$B$218*'19_Расчет_аналитики'!X3596,MeanMinAge03))),0)</f>
        <v/>
      </c>
      <c r="Y3530">
        <f>IF('01_Вводные'!$B$234="Да",IF(OR(('19_Расчет_аналитики'!Y3446-'19_Расчет_аналитики'!Y3474)=0,3&lt;='01_Вводные'!$B$297),0,('19_Расчет_аналитики'!Y3446-'19_Расчет_аналитики'!Y3474)*IF('01_Вводные'!$B$239="Да",MeanMinAge03+'19_Расчет_аналитики'!Y3596*SUMIF(ThresholdAge03,"&lt;"&amp;'19_Расчет_аналитики'!Y3596,WeightedRevAge03)-SUMIF(ThresholdAge03,"&lt;"&amp;'19_Расчет_аналитики'!Y3596,WeightedMinAge03),MAX(CapacityAge03*'01_Вводные'!$B$218*'19_Расчет_аналитики'!Y3596,MeanMinAge03))),0)</f>
        <v/>
      </c>
      <c r="Z3530">
        <f>IF('01_Вводные'!$B$234="Да",IF(OR(('19_Расчет_аналитики'!Z3446-'19_Расчет_аналитики'!Z3474)=0,3&lt;='01_Вводные'!$B$297),0,('19_Расчет_аналитики'!Z3446-'19_Расчет_аналитики'!Z3474)*IF('01_Вводные'!$B$239="Да",MeanMinAge03+'19_Расчет_аналитики'!Z3596*SUMIF(ThresholdAge03,"&lt;"&amp;'19_Расчет_аналитики'!Z3596,WeightedRevAge03)-SUMIF(ThresholdAge03,"&lt;"&amp;'19_Расчет_аналитики'!Z3596,WeightedMinAge03),MAX(CapacityAge03*'01_Вводные'!$B$218*'19_Расчет_аналитики'!Z3596,MeanMinAge03))),0)</f>
        <v/>
      </c>
      <c r="AA3530">
        <f>IF('01_Вводные'!$B$234="Да",IF(OR(('19_Расчет_аналитики'!AA3446-'19_Расчет_аналитики'!AA3474)=0,3&lt;='01_Вводные'!$B$297),0,('19_Расчет_аналитики'!AA3446-'19_Расчет_аналитики'!AA3474)*IF('01_Вводные'!$B$239="Да",MeanMinAge03+'19_Расчет_аналитики'!AA3596*SUMIF(ThresholdAge03,"&lt;"&amp;'19_Расчет_аналитики'!AA3596,WeightedRevAge03)-SUMIF(ThresholdAge03,"&lt;"&amp;'19_Расчет_аналитики'!AA3596,WeightedMinAge03),MAX(CapacityAge03*'01_Вводные'!$B$218*'19_Расчет_аналитики'!AA3596,MeanMinAge03))),0)</f>
        <v/>
      </c>
      <c r="AB3530">
        <f>IF('01_Вводные'!$B$234="Да",IF(OR(('19_Расчет_аналитики'!AB3446-'19_Расчет_аналитики'!AB3474)=0,3&lt;='01_Вводные'!$B$297),0,('19_Расчет_аналитики'!AB3446-'19_Расчет_аналитики'!AB3474)*IF('01_Вводные'!$B$239="Да",MeanMinAge03+'19_Расчет_аналитики'!AB3596*SUMIF(ThresholdAge03,"&lt;"&amp;'19_Расчет_аналитики'!AB3596,WeightedRevAge03)-SUMIF(ThresholdAge03,"&lt;"&amp;'19_Расчет_аналитики'!AB3596,WeightedMinAge03),MAX(CapacityAge03*'01_Вводные'!$B$218*'19_Расчет_аналитики'!AB3596,MeanMinAge03))),0)</f>
        <v/>
      </c>
      <c r="AC3530">
        <f>IF('01_Вводные'!$B$234="Да",IF(OR(('19_Расчет_аналитики'!AC3446-'19_Расчет_аналитики'!AC3474)=0,3&lt;='01_Вводные'!$B$297),0,('19_Расчет_аналитики'!AC3446-'19_Расчет_аналитики'!AC3474)*IF('01_Вводные'!$B$239="Да",MeanMinAge03+'19_Расчет_аналитики'!AC3596*SUMIF(ThresholdAge03,"&lt;"&amp;'19_Расчет_аналитики'!AC3596,WeightedRevAge03)-SUMIF(ThresholdAge03,"&lt;"&amp;'19_Расчет_аналитики'!AC3596,WeightedMinAge03),MAX(CapacityAge03*'01_Вводные'!$B$218*'19_Расчет_аналитики'!AC3596,MeanMinAge03))),0)</f>
        <v/>
      </c>
      <c r="AD3530">
        <f>IF('01_Вводные'!$B$234="Да",IF(OR(('19_Расчет_аналитики'!AD3446-'19_Расчет_аналитики'!AD3474)=0,3&lt;='01_Вводные'!$B$297),0,('19_Расчет_аналитики'!AD3446-'19_Расчет_аналитики'!AD3474)*IF('01_Вводные'!$B$239="Да",MeanMinAge03+'19_Расчет_аналитики'!AD3596*SUMIF(ThresholdAge03,"&lt;"&amp;'19_Расчет_аналитики'!AD3596,WeightedRevAge03)-SUMIF(ThresholdAge03,"&lt;"&amp;'19_Расчет_аналитики'!AD3596,WeightedMinAge03),MAX(CapacityAge03*'01_Вводные'!$B$218*'19_Расчет_аналитики'!AD3596,MeanMinAge03))),0)</f>
        <v/>
      </c>
      <c r="AE3530">
        <f>IF('01_Вводные'!$B$234="Да",IF(OR(('19_Расчет_аналитики'!AE3446-'19_Расчет_аналитики'!AE3474)=0,3&lt;='01_Вводные'!$B$297),0,('19_Расчет_аналитики'!AE3446-'19_Расчет_аналитики'!AE3474)*IF('01_Вводные'!$B$239="Да",MeanMinAge03+'19_Расчет_аналитики'!AE3596*SUMIF(ThresholdAge03,"&lt;"&amp;'19_Расчет_аналитики'!AE3596,WeightedRevAge03)-SUMIF(ThresholdAge03,"&lt;"&amp;'19_Расчет_аналитики'!AE3596,WeightedMinAge03),MAX(CapacityAge03*'01_Вводные'!$B$218*'19_Расчет_аналитики'!AE3596,MeanMinAge03))),0)</f>
        <v/>
      </c>
      <c r="AF3530">
        <f>IF('01_Вводные'!$B$234="Да",IF(OR(('19_Расчет_аналитики'!AF3446-'19_Расчет_аналитики'!AF3474)=0,3&lt;='01_Вводные'!$B$297),0,('19_Расчет_аналитики'!AF3446-'19_Расчет_аналитики'!AF3474)*IF('01_Вводные'!$B$239="Да",MeanMinAge03+'19_Расчет_аналитики'!AF3596*SUMIF(ThresholdAge03,"&lt;"&amp;'19_Расчет_аналитики'!AF3596,WeightedRevAge03)-SUMIF(ThresholdAge03,"&lt;"&amp;'19_Расчет_аналитики'!AF3596,WeightedMinAge03),MAX(CapacityAge03*'01_Вводные'!$B$218*'19_Расчет_аналитики'!AF3596,MeanMinAge03))),0)</f>
        <v/>
      </c>
      <c r="AG3530">
        <f>IF('01_Вводные'!$B$234="Да",IF(OR(('19_Расчет_аналитики'!AG3446-'19_Расчет_аналитики'!AG3474)=0,3&lt;='01_Вводные'!$B$297),0,('19_Расчет_аналитики'!AG3446-'19_Расчет_аналитики'!AG3474)*IF('01_Вводные'!$B$239="Да",MeanMinAge03+'19_Расчет_аналитики'!AG3596*SUMIF(ThresholdAge03,"&lt;"&amp;'19_Расчет_аналитики'!AG3596,WeightedRevAge03)-SUMIF(ThresholdAge03,"&lt;"&amp;'19_Расчет_аналитики'!AG3596,WeightedMinAge03),MAX(CapacityAge03*'01_Вводные'!$B$218*'19_Расчет_аналитики'!AG3596,MeanMinAge03))),0)</f>
        <v/>
      </c>
      <c r="AH3530">
        <f>IF('01_Вводные'!$B$234="Да",IF(OR(('19_Расчет_аналитики'!AH3446-'19_Расчет_аналитики'!AH3474)=0,3&lt;='01_Вводные'!$B$297),0,('19_Расчет_аналитики'!AH3446-'19_Расчет_аналитики'!AH3474)*IF('01_Вводные'!$B$239="Да",MeanMinAge03+'19_Расчет_аналитики'!AH3596*SUMIF(ThresholdAge03,"&lt;"&amp;'19_Расчет_аналитики'!AH3596,WeightedRevAge03)-SUMIF(ThresholdAge03,"&lt;"&amp;'19_Расчет_аналитики'!AH3596,WeightedMinAge03),MAX(CapacityAge03*'01_Вводные'!$B$218*'19_Расчет_аналитики'!AH3596,MeanMinAge03))),0)</f>
        <v/>
      </c>
      <c r="AI3530">
        <f>IF('01_Вводные'!$B$234="Да",IF(OR(('19_Расчет_аналитики'!AI3446-'19_Расчет_аналитики'!AI3474)=0,3&lt;='01_Вводные'!$B$297),0,('19_Расчет_аналитики'!AI3446-'19_Расчет_аналитики'!AI3474)*IF('01_Вводные'!$B$239="Да",MeanMinAge03+'19_Расчет_аналитики'!AI3596*SUMIF(ThresholdAge03,"&lt;"&amp;'19_Расчет_аналитики'!AI3596,WeightedRevAge03)-SUMIF(ThresholdAge03,"&lt;"&amp;'19_Расчет_аналитики'!AI3596,WeightedMinAge03),MAX(CapacityAge03*'01_Вводные'!$B$218*'19_Расчет_аналитики'!AI3596,MeanMinAge03))),0)</f>
        <v/>
      </c>
      <c r="AJ3530">
        <f>IF('01_Вводные'!$B$234="Да",IF(OR(('19_Расчет_аналитики'!AJ3446-'19_Расчет_аналитики'!AJ3474)=0,3&lt;='01_Вводные'!$B$297),0,('19_Расчет_аналитики'!AJ3446-'19_Расчет_аналитики'!AJ3474)*IF('01_Вводные'!$B$239="Да",MeanMinAge03+'19_Расчет_аналитики'!AJ3596*SUMIF(ThresholdAge03,"&lt;"&amp;'19_Расчет_аналитики'!AJ3596,WeightedRevAge03)-SUMIF(ThresholdAge03,"&lt;"&amp;'19_Расчет_аналитики'!AJ3596,WeightedMinAge03),MAX(CapacityAge03*'01_Вводные'!$B$218*'19_Расчет_аналитики'!AJ3596,MeanMinAge03))),0)</f>
        <v/>
      </c>
      <c r="AK3530">
        <f>IF('01_Вводные'!$B$234="Да",IF(OR(('19_Расчет_аналитики'!AK3446-'19_Расчет_аналитики'!AK3474)=0,3&lt;='01_Вводные'!$B$297),0,('19_Расчет_аналитики'!AK3446-'19_Расчет_аналитики'!AK3474)*IF('01_Вводные'!$B$239="Да",MeanMinAge03+'19_Расчет_аналитики'!AK3596*SUMIF(ThresholdAge03,"&lt;"&amp;'19_Расчет_аналитики'!AK3596,WeightedRevAge03)-SUMIF(ThresholdAge03,"&lt;"&amp;'19_Расчет_аналитики'!AK3596,WeightedMinAge03),MAX(CapacityAge03*'01_Вводные'!$B$218*'19_Расчет_аналитики'!AK3596,MeanMinAge03))),0)</f>
        <v/>
      </c>
      <c r="AL3530">
        <f>IF('01_Вводные'!$B$234="Да",IF(OR(('19_Расчет_аналитики'!AL3446-'19_Расчет_аналитики'!AL3474)=0,3&lt;='01_Вводные'!$B$297),0,('19_Расчет_аналитики'!AL3446-'19_Расчет_аналитики'!AL3474)*IF('01_Вводные'!$B$239="Да",MeanMinAge03+'19_Расчет_аналитики'!AL3596*SUMIF(ThresholdAge03,"&lt;"&amp;'19_Расчет_аналитики'!AL3596,WeightedRevAge03)-SUMIF(ThresholdAge03,"&lt;"&amp;'19_Расчет_аналитики'!AL3596,WeightedMinAge03),MAX(CapacityAge03*'01_Вводные'!$B$218*'19_Расчет_аналитики'!AL3596,MeanMinAge03))),0)</f>
        <v/>
      </c>
      <c r="AM3530">
        <f>IF('01_Вводные'!$B$234="Да",IF(OR(('19_Расчет_аналитики'!AM3446-'19_Расчет_аналитики'!AM3474)=0,3&lt;='01_Вводные'!$B$297),0,('19_Расчет_аналитики'!AM3446-'19_Расчет_аналитики'!AM3474)*IF('01_Вводные'!$B$239="Да",MeanMinAge03+'19_Расчет_аналитики'!AM3596*SUMIF(ThresholdAge03,"&lt;"&amp;'19_Расчет_аналитики'!AM3596,WeightedRevAge03)-SUMIF(ThresholdAge03,"&lt;"&amp;'19_Расчет_аналитики'!AM3596,WeightedMinAge03),MAX(CapacityAge03*'01_Вводные'!$B$218*'19_Расчет_аналитики'!AM3596,MeanMinAge03))),0)</f>
        <v/>
      </c>
      <c r="AN3530">
        <f>IF('01_Вводные'!$B$234="Да",IF(OR(('19_Расчет_аналитики'!AN3446-'19_Расчет_аналитики'!AN3474)=0,3&lt;='01_Вводные'!$B$297),0,('19_Расчет_аналитики'!AN3446-'19_Расчет_аналитики'!AN3474)*IF('01_Вводные'!$B$239="Да",MeanMinAge03+'19_Расчет_аналитики'!AN3596*SUMIF(ThresholdAge03,"&lt;"&amp;'19_Расчет_аналитики'!AN3596,WeightedRevAge03)-SUMIF(ThresholdAge03,"&lt;"&amp;'19_Расчет_аналитики'!AN3596,WeightedMinAge03),MAX(CapacityAge03*'01_Вводные'!$B$218*'19_Расчет_аналитики'!AN3596,MeanMinAge03))),0)</f>
        <v/>
      </c>
      <c r="AO3530">
        <f>IF('01_Вводные'!$B$234="Да",IF(OR(('19_Расчет_аналитики'!AO3446-'19_Расчет_аналитики'!AO3474)=0,3&lt;='01_Вводные'!$B$297),0,('19_Расчет_аналитики'!AO3446-'19_Расчет_аналитики'!AO3474)*IF('01_Вводные'!$B$239="Да",MeanMinAge03+'19_Расчет_аналитики'!AO3596*SUMIF(ThresholdAge03,"&lt;"&amp;'19_Расчет_аналитики'!AO3596,WeightedRevAge03)-SUMIF(ThresholdAge03,"&lt;"&amp;'19_Расчет_аналитики'!AO3596,WeightedMinAge03),MAX(CapacityAge03*'01_Вводные'!$B$218*'19_Расчет_аналитики'!AO3596,MeanMinAge03))),0)</f>
        <v/>
      </c>
      <c r="AP3530">
        <f>IF('01_Вводные'!$B$234="Да",IF(OR(('19_Расчет_аналитики'!AP3446-'19_Расчет_аналитики'!AP3474)=0,3&lt;='01_Вводные'!$B$297),0,('19_Расчет_аналитики'!AP3446-'19_Расчет_аналитики'!AP3474)*IF('01_Вводные'!$B$239="Да",MeanMinAge03+'19_Расчет_аналитики'!AP3596*SUMIF(ThresholdAge03,"&lt;"&amp;'19_Расчет_аналитики'!AP3596,WeightedRevAge03)-SUMIF(ThresholdAge03,"&lt;"&amp;'19_Расчет_аналитики'!AP3596,WeightedMinAge03),MAX(CapacityAge03*'01_Вводные'!$B$218*'19_Расчет_аналитики'!AP3596,MeanMinAge03))),0)</f>
        <v/>
      </c>
      <c r="AQ3530">
        <f>IF('01_Вводные'!$B$234="Да",IF(OR(('19_Расчет_аналитики'!AQ3446-'19_Расчет_аналитики'!AQ3474)=0,3&lt;='01_Вводные'!$B$297),0,('19_Расчет_аналитики'!AQ3446-'19_Расчет_аналитики'!AQ3474)*IF('01_Вводные'!$B$239="Да",MeanMinAge03+'19_Расчет_аналитики'!AQ3596*SUMIF(ThresholdAge03,"&lt;"&amp;'19_Расчет_аналитики'!AQ3596,WeightedRevAge03)-SUMIF(ThresholdAge03,"&lt;"&amp;'19_Расчет_аналитики'!AQ3596,WeightedMinAge03),MAX(CapacityAge03*'01_Вводные'!$B$218*'19_Расчет_аналитики'!AQ3596,MeanMinAge03))),0)</f>
        <v/>
      </c>
      <c r="AR3530">
        <f>IF('01_Вводные'!$B$234="Да",IF(OR(('19_Расчет_аналитики'!AR3446-'19_Расчет_аналитики'!AR3474)=0,3&lt;='01_Вводные'!$B$297),0,('19_Расчет_аналитики'!AR3446-'19_Расчет_аналитики'!AR3474)*IF('01_Вводные'!$B$239="Да",MeanMinAge03+'19_Расчет_аналитики'!AR3596*SUMIF(ThresholdAge03,"&lt;"&amp;'19_Расчет_аналитики'!AR3596,WeightedRevAge03)-SUMIF(ThresholdAge03,"&lt;"&amp;'19_Расчет_аналитики'!AR3596,WeightedMinAge03),MAX(CapacityAge03*'01_Вводные'!$B$218*'19_Расчет_аналитики'!AR3596,MeanMinAge03))),0)</f>
        <v/>
      </c>
      <c r="AS3530">
        <f>IF('01_Вводные'!$B$234="Да",IF(OR(('19_Расчет_аналитики'!AS3446-'19_Расчет_аналитики'!AS3474)=0,3&lt;='01_Вводные'!$B$297),0,('19_Расчет_аналитики'!AS3446-'19_Расчет_аналитики'!AS3474)*IF('01_Вводные'!$B$239="Да",MeanMinAge03+'19_Расчет_аналитики'!AS3596*SUMIF(ThresholdAge03,"&lt;"&amp;'19_Расчет_аналитики'!AS3596,WeightedRevAge03)-SUMIF(ThresholdAge03,"&lt;"&amp;'19_Расчет_аналитики'!AS3596,WeightedMinAge03),MAX(CapacityAge03*'01_Вводные'!$B$218*'19_Расчет_аналитики'!AS3596,MeanMinAge03))),0)</f>
        <v/>
      </c>
      <c r="AT3530">
        <f>IF('01_Вводные'!$B$234="Да",IF(OR(('19_Расчет_аналитики'!AT3446-'19_Расчет_аналитики'!AT3474)=0,3&lt;='01_Вводные'!$B$297),0,('19_Расчет_аналитики'!AT3446-'19_Расчет_аналитики'!AT3474)*IF('01_Вводные'!$B$239="Да",MeanMinAge03+'19_Расчет_аналитики'!AT3596*SUMIF(ThresholdAge03,"&lt;"&amp;'19_Расчет_аналитики'!AT3596,WeightedRevAge03)-SUMIF(ThresholdAge03,"&lt;"&amp;'19_Расчет_аналитики'!AT3596,WeightedMinAge03),MAX(CapacityAge03*'01_Вводные'!$B$218*'19_Расчет_аналитики'!AT3596,MeanMinAge03))),0)</f>
        <v/>
      </c>
      <c r="AU3530">
        <f>IF('01_Вводные'!$B$234="Да",IF(OR(('19_Расчет_аналитики'!AU3446-'19_Расчет_аналитики'!AU3474)=0,3&lt;='01_Вводные'!$B$297),0,('19_Расчет_аналитики'!AU3446-'19_Расчет_аналитики'!AU3474)*IF('01_Вводные'!$B$239="Да",MeanMinAge03+'19_Расчет_аналитики'!AU3596*SUMIF(ThresholdAge03,"&lt;"&amp;'19_Расчет_аналитики'!AU3596,WeightedRevAge03)-SUMIF(ThresholdAge03,"&lt;"&amp;'19_Расчет_аналитики'!AU3596,WeightedMinAge03),MAX(CapacityAge03*'01_Вводные'!$B$218*'19_Расчет_аналитики'!AU3596,MeanMinAge03))),0)</f>
        <v/>
      </c>
      <c r="AV3530">
        <f>IF('01_Вводные'!$B$234="Да",IF(OR(('19_Расчет_аналитики'!AV3446-'19_Расчет_аналитики'!AV3474)=0,3&lt;='01_Вводные'!$B$297),0,('19_Расчет_аналитики'!AV3446-'19_Расчет_аналитики'!AV3474)*IF('01_Вводные'!$B$239="Да",MeanMinAge03+'19_Расчет_аналитики'!AV3596*SUMIF(ThresholdAge03,"&lt;"&amp;'19_Расчет_аналитики'!AV3596,WeightedRevAge03)-SUMIF(ThresholdAge03,"&lt;"&amp;'19_Расчет_аналитики'!AV3596,WeightedMinAge03),MAX(CapacityAge03*'01_Вводные'!$B$218*'19_Расчет_аналитики'!AV3596,MeanMinAge03))),0)</f>
        <v/>
      </c>
      <c r="AW3530">
        <f>IF('01_Вводные'!$B$234="Да",IF(OR(('19_Расчет_аналитики'!AW3446-'19_Расчет_аналитики'!AW3474)=0,3&lt;='01_Вводные'!$B$297),0,('19_Расчет_аналитики'!AW3446-'19_Расчет_аналитики'!AW3474)*IF('01_Вводные'!$B$239="Да",MeanMinAge03+'19_Расчет_аналитики'!AW3596*SUMIF(ThresholdAge03,"&lt;"&amp;'19_Расчет_аналитики'!AW3596,WeightedRevAge03)-SUMIF(ThresholdAge03,"&lt;"&amp;'19_Расчет_аналитики'!AW3596,WeightedMinAge03),MAX(CapacityAge03*'01_Вводные'!$B$218*'19_Расчет_аналитики'!AW3596,MeanMinAge03))),0)</f>
        <v/>
      </c>
      <c r="AX3530">
        <f>IF('01_Вводные'!$B$234="Да",IF(OR(('19_Расчет_аналитики'!AX3446-'19_Расчет_аналитики'!AX3474)=0,3&lt;='01_Вводные'!$B$297),0,('19_Расчет_аналитики'!AX3446-'19_Расчет_аналитики'!AX3474)*IF('01_Вводные'!$B$239="Да",MeanMinAge03+'19_Расчет_аналитики'!AX3596*SUMIF(ThresholdAge03,"&lt;"&amp;'19_Расчет_аналитики'!AX3596,WeightedRevAge03)-SUMIF(ThresholdAge03,"&lt;"&amp;'19_Расчет_аналитики'!AX3596,WeightedMinAge03),MAX(CapacityAge03*'01_Вводные'!$B$218*'19_Расчет_аналитики'!AX3596,MeanMinAge03))),0)</f>
        <v/>
      </c>
      <c r="AY3530">
        <f>IF('01_Вводные'!$B$234="Да",IF(OR(('19_Расчет_аналитики'!AY3446-'19_Расчет_аналитики'!AY3474)=0,3&lt;='01_Вводные'!$B$297),0,('19_Расчет_аналитики'!AY3446-'19_Расчет_аналитики'!AY3474)*IF('01_Вводные'!$B$239="Да",MeanMinAge03+'19_Расчет_аналитики'!AY3596*SUMIF(ThresholdAge03,"&lt;"&amp;'19_Расчет_аналитики'!AY3596,WeightedRevAge03)-SUMIF(ThresholdAge03,"&lt;"&amp;'19_Расчет_аналитики'!AY3596,WeightedMinAge03),MAX(CapacityAge03*'01_Вводные'!$B$218*'19_Расчет_аналитики'!AY3596,MeanMinAge03))),0)</f>
        <v/>
      </c>
      <c r="AZ3530">
        <f>IF('01_Вводные'!$B$234="Да",IF(OR(('19_Расчет_аналитики'!AZ3446-'19_Расчет_аналитики'!AZ3474)=0,3&lt;='01_Вводные'!$B$297),0,('19_Расчет_аналитики'!AZ3446-'19_Расчет_аналитики'!AZ3474)*IF('01_Вводные'!$B$239="Да",MeanMinAge03+'19_Расчет_аналитики'!AZ3596*SUMIF(ThresholdAge03,"&lt;"&amp;'19_Расчет_аналитики'!AZ3596,WeightedRevAge03)-SUMIF(ThresholdAge03,"&lt;"&amp;'19_Расчет_аналитики'!AZ3596,WeightedMinAge03),MAX(CapacityAge03*'01_Вводные'!$B$218*'19_Расчет_аналитики'!AZ3596,MeanMinAge03))),0)</f>
        <v/>
      </c>
      <c r="BA3530">
        <f>IF('01_Вводные'!$B$234="Да",IF(OR(('19_Расчет_аналитики'!BA3446-'19_Расчет_аналитики'!BA3474)=0,3&lt;='01_Вводные'!$B$297),0,('19_Расчет_аналитики'!BA3446-'19_Расчет_аналитики'!BA3474)*IF('01_Вводные'!$B$239="Да",MeanMinAge03+'19_Расчет_аналитики'!BA3596*SUMIF(ThresholdAge03,"&lt;"&amp;'19_Расчет_аналитики'!BA3596,WeightedRevAge03)-SUMIF(ThresholdAge03,"&lt;"&amp;'19_Расчет_аналитики'!BA3596,WeightedMinAge03),MAX(CapacityAge03*'01_Вводные'!$B$218*'19_Расчет_аналитики'!BA3596,MeanMinAge03))),0)</f>
        <v/>
      </c>
      <c r="BB3530">
        <f>IF('01_Вводные'!$B$234="Да",IF(OR(('19_Расчет_аналитики'!BB3446-'19_Расчет_аналитики'!BB3474)=0,3&lt;='01_Вводные'!$B$297),0,('19_Расчет_аналитики'!BB3446-'19_Расчет_аналитики'!BB3474)*IF('01_Вводные'!$B$239="Да",MeanMinAge03+'19_Расчет_аналитики'!BB3596*SUMIF(ThresholdAge03,"&lt;"&amp;'19_Расчет_аналитики'!BB3596,WeightedRevAge03)-SUMIF(ThresholdAge03,"&lt;"&amp;'19_Расчет_аналитики'!BB3596,WeightedMinAge03),MAX(CapacityAge03*'01_Вводные'!$B$218*'19_Расчет_аналитики'!BB3596,MeanMinAge03))),0)</f>
        <v/>
      </c>
      <c r="BC3530">
        <f>IF('01_Вводные'!$B$234="Да",IF(OR(('19_Расчет_аналитики'!BC3446-'19_Расчет_аналитики'!BC3474)=0,3&lt;='01_Вводные'!$B$297),0,('19_Расчет_аналитики'!BC3446-'19_Расчет_аналитики'!BC3474)*IF('01_Вводные'!$B$239="Да",MeanMinAge03+'19_Расчет_аналитики'!BC3596*SUMIF(ThresholdAge03,"&lt;"&amp;'19_Расчет_аналитики'!BC3596,WeightedRevAge03)-SUMIF(ThresholdAge03,"&lt;"&amp;'19_Расчет_аналитики'!BC3596,WeightedMinAge03),MAX(CapacityAge03*'01_Вводные'!$B$218*'19_Расчет_аналитики'!BC3596,MeanMinAge03))),0)</f>
        <v/>
      </c>
      <c r="BD3530">
        <f>IF('01_Вводные'!$B$234="Да",IF(OR(('19_Расчет_аналитики'!BD3446-'19_Расчет_аналитики'!BD3474)=0,3&lt;='01_Вводные'!$B$297),0,('19_Расчет_аналитики'!BD3446-'19_Расчет_аналитики'!BD3474)*IF('01_Вводные'!$B$239="Да",MeanMinAge03+'19_Расчет_аналитики'!BD3596*SUMIF(ThresholdAge03,"&lt;"&amp;'19_Расчет_аналитики'!BD3596,WeightedRevAge03)-SUMIF(ThresholdAge03,"&lt;"&amp;'19_Расчет_аналитики'!BD3596,WeightedMinAge03),MAX(CapacityAge03*'01_Вводные'!$B$218*'19_Расчет_аналитики'!BD3596,MeanMinAge03))),0)</f>
        <v/>
      </c>
      <c r="BE3530">
        <f>IF('01_Вводные'!$B$234="Да",IF(OR(('19_Расчет_аналитики'!BE3446-'19_Расчет_аналитики'!BE3474)=0,3&lt;='01_Вводные'!$B$297),0,('19_Расчет_аналитики'!BE3446-'19_Расчет_аналитики'!BE3474)*IF('01_Вводные'!$B$239="Да",MeanMinAge03+'19_Расчет_аналитики'!BE3596*SUMIF(ThresholdAge03,"&lt;"&amp;'19_Расчет_аналитики'!BE3596,WeightedRevAge03)-SUMIF(ThresholdAge03,"&lt;"&amp;'19_Расчет_аналитики'!BE3596,WeightedMinAge03),MAX(CapacityAge03*'01_Вводные'!$B$218*'19_Расчет_аналитики'!BE3596,MeanMinAge03))),0)</f>
        <v/>
      </c>
      <c r="BF3530">
        <f>IF('01_Вводные'!$B$234="Да",IF(OR(('19_Расчет_аналитики'!BF3446-'19_Расчет_аналитики'!BF3474)=0,3&lt;='01_Вводные'!$B$297),0,('19_Расчет_аналитики'!BF3446-'19_Расчет_аналитики'!BF3474)*IF('01_Вводные'!$B$239="Да",MeanMinAge03+'19_Расчет_аналитики'!BF3596*SUMIF(ThresholdAge03,"&lt;"&amp;'19_Расчет_аналитики'!BF3596,WeightedRevAge03)-SUMIF(ThresholdAge03,"&lt;"&amp;'19_Расчет_аналитики'!BF3596,WeightedMinAge03),MAX(CapacityAge03*'01_Вводные'!$B$218*'19_Расчет_аналитики'!BF3596,MeanMinAge03))),0)</f>
        <v/>
      </c>
      <c r="BG3530">
        <f>IF('01_Вводные'!$B$234="Да",IF(OR(('19_Расчет_аналитики'!BG3446-'19_Расчет_аналитики'!BG3474)=0,3&lt;='01_Вводные'!$B$297),0,('19_Расчет_аналитики'!BG3446-'19_Расчет_аналитики'!BG3474)*IF('01_Вводные'!$B$239="Да",MeanMinAge03+'19_Расчет_аналитики'!BG3596*SUMIF(ThresholdAge03,"&lt;"&amp;'19_Расчет_аналитики'!BG3596,WeightedRevAge03)-SUMIF(ThresholdAge03,"&lt;"&amp;'19_Расчет_аналитики'!BG3596,WeightedMinAge03),MAX(CapacityAge03*'01_Вводные'!$B$218*'19_Расчет_аналитики'!BG3596,MeanMinAge03))),0)</f>
        <v/>
      </c>
      <c r="BH3530">
        <f>IF('01_Вводные'!$B$234="Да",IF(OR(('19_Расчет_аналитики'!BH3446-'19_Расчет_аналитики'!BH3474)=0,3&lt;='01_Вводные'!$B$297),0,('19_Расчет_аналитики'!BH3446-'19_Расчет_аналитики'!BH3474)*IF('01_Вводные'!$B$239="Да",MeanMinAge03+'19_Расчет_аналитики'!BH3596*SUMIF(ThresholdAge03,"&lt;"&amp;'19_Расчет_аналитики'!BH3596,WeightedRevAge03)-SUMIF(ThresholdAge03,"&lt;"&amp;'19_Расчет_аналитики'!BH3596,WeightedMinAge03),MAX(CapacityAge03*'01_Вводные'!$B$218*'19_Расчет_аналитики'!BH3596,MeanMinAge03))),0)</f>
        <v/>
      </c>
      <c r="BI3530">
        <f>IF('01_Вводные'!$B$234="Да",IF(OR(('19_Расчет_аналитики'!BI3446-'19_Расчет_аналитики'!BI3474)=0,3&lt;='01_Вводные'!$B$297),0,('19_Расчет_аналитики'!BI3446-'19_Расчет_аналитики'!BI3474)*IF('01_Вводные'!$B$239="Да",MeanMinAge03+'19_Расчет_аналитики'!BI3596*SUMIF(ThresholdAge03,"&lt;"&amp;'19_Расчет_аналитики'!BI3596,WeightedRevAge03)-SUMIF(ThresholdAge03,"&lt;"&amp;'19_Расчет_аналитики'!BI3596,WeightedMinAge03),MAX(CapacityAge03*'01_Вводные'!$B$218*'19_Расчет_аналитики'!BI3596,MeanMinAge03))),0)</f>
        <v/>
      </c>
      <c r="BJ3530">
        <f>IF('01_Вводные'!$B$234="Да",IF(OR(('19_Расчет_аналитики'!BJ3446-'19_Расчет_аналитики'!BJ3474)=0,3&lt;='01_Вводные'!$B$297),0,('19_Расчет_аналитики'!BJ3446-'19_Расчет_аналитики'!BJ3474)*IF('01_Вводные'!$B$239="Да",MeanMinAge03+'19_Расчет_аналитики'!BJ3596*SUMIF(ThresholdAge03,"&lt;"&amp;'19_Расчет_аналитики'!BJ3596,WeightedRevAge03)-SUMIF(ThresholdAge03,"&lt;"&amp;'19_Расчет_аналитики'!BJ3596,WeightedMinAge03),MAX(CapacityAge03*'01_Вводные'!$B$218*'19_Расчет_аналитики'!BJ3596,MeanMinAge03))),0)</f>
        <v/>
      </c>
      <c r="BK3530">
        <f>IF('01_Вводные'!$B$234="Да",IF(OR(('19_Расчет_аналитики'!BK3446-'19_Расчет_аналитики'!BK3474)=0,3&lt;='01_Вводные'!$B$297),0,('19_Расчет_аналитики'!BK3446-'19_Расчет_аналитики'!BK3474)*IF('01_Вводные'!$B$239="Да",MeanMinAge03+'19_Расчет_аналитики'!BK3596*SUMIF(ThresholdAge03,"&lt;"&amp;'19_Расчет_аналитики'!BK3596,WeightedRevAge03)-SUMIF(ThresholdAge03,"&lt;"&amp;'19_Расчет_аналитики'!BK3596,WeightedMinAge03),MAX(CapacityAge03*'01_Вводные'!$B$218*'19_Расчет_аналитики'!BK3596,MeanMinAge03))),0)</f>
        <v/>
      </c>
      <c r="BL3530">
        <f>IF('01_Вводные'!$B$234="Да",IF(OR(('19_Расчет_аналитики'!BL3446-'19_Расчет_аналитики'!BL3474)=0,3&lt;='01_Вводные'!$B$297),0,('19_Расчет_аналитики'!BL3446-'19_Расчет_аналитики'!BL3474)*IF('01_Вводные'!$B$239="Да",MeanMinAge03+'19_Расчет_аналитики'!BL3596*SUMIF(ThresholdAge03,"&lt;"&amp;'19_Расчет_аналитики'!BL3596,WeightedRevAge03)-SUMIF(ThresholdAge03,"&lt;"&amp;'19_Расчет_аналитики'!BL3596,WeightedMinAge03),MAX(CapacityAge03*'01_Вводные'!$B$218*'19_Расчет_аналитики'!BL3596,MeanMinAge03))),0)</f>
        <v/>
      </c>
      <c r="BM3530">
        <f>IF('01_Вводные'!$B$234="Да",IF(OR(('19_Расчет_аналитики'!BM3446-'19_Расчет_аналитики'!BM3474)=0,3&lt;='01_Вводные'!$B$297),0,('19_Расчет_аналитики'!BM3446-'19_Расчет_аналитики'!BM3474)*IF('01_Вводные'!$B$239="Да",MeanMinAge03+'19_Расчет_аналитики'!BM3596*SUMIF(ThresholdAge03,"&lt;"&amp;'19_Расчет_аналитики'!BM3596,WeightedRevAge03)-SUMIF(ThresholdAge03,"&lt;"&amp;'19_Расчет_аналитики'!BM3596,WeightedMinAge03),MAX(CapacityAge03*'01_Вводные'!$B$218*'19_Расчет_аналитики'!BM3596,MeanMinAge03))),0)</f>
        <v/>
      </c>
      <c r="BN3530">
        <f>IF('01_Вводные'!$B$234="Да",IF(OR(('19_Расчет_аналитики'!BN3446-'19_Расчет_аналитики'!BN3474)=0,3&lt;='01_Вводные'!$B$297),0,('19_Расчет_аналитики'!BN3446-'19_Расчет_аналитики'!BN3474)*IF('01_Вводные'!$B$239="Да",MeanMinAge03+'19_Расчет_аналитики'!BN3596*SUMIF(ThresholdAge03,"&lt;"&amp;'19_Расчет_аналитики'!BN3596,WeightedRevAge03)-SUMIF(ThresholdAge03,"&lt;"&amp;'19_Расчет_аналитики'!BN3596,WeightedMinAge03),MAX(CapacityAge03*'01_Вводные'!$B$218*'19_Расчет_аналитики'!BN3596,MeanMinAge03))),0)</f>
        <v/>
      </c>
      <c r="BO3530">
        <f>IF('01_Вводные'!$B$234="Да",IF(OR(('19_Расчет_аналитики'!BO3446-'19_Расчет_аналитики'!BO3474)=0,3&lt;='01_Вводные'!$B$297),0,('19_Расчет_аналитики'!BO3446-'19_Расчет_аналитики'!BO3474)*IF('01_Вводные'!$B$239="Да",MeanMinAge03+'19_Расчет_аналитики'!BO3596*SUMIF(ThresholdAge03,"&lt;"&amp;'19_Расчет_аналитики'!BO3596,WeightedRevAge03)-SUMIF(ThresholdAge03,"&lt;"&amp;'19_Расчет_аналитики'!BO3596,WeightedMinAge03),MAX(CapacityAge03*'01_Вводные'!$B$218*'19_Расчет_аналитики'!BO3596,MeanMinAge03))),0)</f>
        <v/>
      </c>
    </row>
    <row r="3531">
      <c r="B3531">
        <f>IF('01_Вводные'!$B$234="Да",IF(OR(('06_Сеть_и_дети'!B56-'06_Сеть_и_дети'!B84)=0,4&lt;='01_Вводные'!$B$297),0,('06_Сеть_и_дети'!B56-'06_Сеть_и_дети'!B84)*IF('01_Вводные'!$B$239="Да",MeanMinAge04+'19_Расчет_аналитики'!B3596*SUMIF(ThresholdAge04,"&lt;"&amp;'19_Расчет_аналитики'!B3596,WeightedRevAge04)-SUMIF(ThresholdAge04,"&lt;"&amp;'19_Расчет_аналитики'!B3596,WeightedMinAge04),MAX(CapacityAge04*'01_Вводные'!$B$218*'19_Расчет_аналитики'!B3596,MeanMinAge04))),0)</f>
        <v/>
      </c>
      <c r="C3531">
        <f>IF('01_Вводные'!$B$234="Да",IF(OR(('06_Сеть_и_дети'!C56-'06_Сеть_и_дети'!C84)=0,4&lt;='01_Вводные'!$B$297),0,('06_Сеть_и_дети'!C56-'06_Сеть_и_дети'!C84)*IF('01_Вводные'!$B$239="Да",MeanMinAge04+'19_Расчет_аналитики'!C3596*SUMIF(ThresholdAge04,"&lt;"&amp;'19_Расчет_аналитики'!C3596,WeightedRevAge04)-SUMIF(ThresholdAge04,"&lt;"&amp;'19_Расчет_аналитики'!C3596,WeightedMinAge04),MAX(CapacityAge04*'01_Вводные'!$B$218*'19_Расчет_аналитики'!C3596,MeanMinAge04))),0)</f>
        <v/>
      </c>
      <c r="D3531">
        <f>IF('01_Вводные'!$B$234="Да",IF(OR(('06_Сеть_и_дети'!D56-'06_Сеть_и_дети'!D84)=0,4&lt;='01_Вводные'!$B$297),0,('06_Сеть_и_дети'!D56-'06_Сеть_и_дети'!D84)*IF('01_Вводные'!$B$239="Да",MeanMinAge04+'19_Расчет_аналитики'!D3596*SUMIF(ThresholdAge04,"&lt;"&amp;'19_Расчет_аналитики'!D3596,WeightedRevAge04)-SUMIF(ThresholdAge04,"&lt;"&amp;'19_Расчет_аналитики'!D3596,WeightedMinAge04),MAX(CapacityAge04*'01_Вводные'!$B$218*'19_Расчет_аналитики'!D3596,MeanMinAge04))),0)</f>
        <v/>
      </c>
      <c r="E3531">
        <f>IF('01_Вводные'!$B$234="Да",IF(OR(('19_Расчет_аналитики'!E3447-'19_Расчет_аналитики'!E3475)=0,4&lt;='01_Вводные'!$B$297),0,('19_Расчет_аналитики'!E3447-'19_Расчет_аналитики'!E3475)*IF('01_Вводные'!$B$239="Да",MeanMinAge04+'19_Расчет_аналитики'!E3596*SUMIF(ThresholdAge04,"&lt;"&amp;'19_Расчет_аналитики'!E3596,WeightedRevAge04)-SUMIF(ThresholdAge04,"&lt;"&amp;'19_Расчет_аналитики'!E3596,WeightedMinAge04),MAX(CapacityAge04*'01_Вводные'!$B$218*'19_Расчет_аналитики'!E3596,MeanMinAge04))),0)</f>
        <v/>
      </c>
      <c r="F3531">
        <f>IF('01_Вводные'!$B$234="Да",IF(OR(('19_Расчет_аналитики'!F3447-'19_Расчет_аналитики'!F3475)=0,4&lt;='01_Вводные'!$B$297),0,('19_Расчет_аналитики'!F3447-'19_Расчет_аналитики'!F3475)*IF('01_Вводные'!$B$239="Да",MeanMinAge04+'19_Расчет_аналитики'!F3596*SUMIF(ThresholdAge04,"&lt;"&amp;'19_Расчет_аналитики'!F3596,WeightedRevAge04)-SUMIF(ThresholdAge04,"&lt;"&amp;'19_Расчет_аналитики'!F3596,WeightedMinAge04),MAX(CapacityAge04*'01_Вводные'!$B$218*'19_Расчет_аналитики'!F3596,MeanMinAge04))),0)</f>
        <v/>
      </c>
      <c r="G3531">
        <f>IF('01_Вводные'!$B$234="Да",IF(OR(('19_Расчет_аналитики'!G3447-'19_Расчет_аналитики'!G3475)=0,4&lt;='01_Вводные'!$B$297),0,('19_Расчет_аналитики'!G3447-'19_Расчет_аналитики'!G3475)*IF('01_Вводные'!$B$239="Да",MeanMinAge04+'19_Расчет_аналитики'!G3596*SUMIF(ThresholdAge04,"&lt;"&amp;'19_Расчет_аналитики'!G3596,WeightedRevAge04)-SUMIF(ThresholdAge04,"&lt;"&amp;'19_Расчет_аналитики'!G3596,WeightedMinAge04),MAX(CapacityAge04*'01_Вводные'!$B$218*'19_Расчет_аналитики'!G3596,MeanMinAge04))),0)</f>
        <v/>
      </c>
      <c r="H3531">
        <f>IF('01_Вводные'!$B$234="Да",IF(OR(('19_Расчет_аналитики'!H3447-'19_Расчет_аналитики'!H3475)=0,4&lt;='01_Вводные'!$B$297),0,('19_Расчет_аналитики'!H3447-'19_Расчет_аналитики'!H3475)*IF('01_Вводные'!$B$239="Да",MeanMinAge04+'19_Расчет_аналитики'!H3596*SUMIF(ThresholdAge04,"&lt;"&amp;'19_Расчет_аналитики'!H3596,WeightedRevAge04)-SUMIF(ThresholdAge04,"&lt;"&amp;'19_Расчет_аналитики'!H3596,WeightedMinAge04),MAX(CapacityAge04*'01_Вводные'!$B$218*'19_Расчет_аналитики'!H3596,MeanMinAge04))),0)</f>
        <v/>
      </c>
      <c r="I3531">
        <f>IF('01_Вводные'!$B$234="Да",IF(OR(('19_Расчет_аналитики'!I3447-'19_Расчет_аналитики'!I3475)=0,4&lt;='01_Вводные'!$B$297),0,('19_Расчет_аналитики'!I3447-'19_Расчет_аналитики'!I3475)*IF('01_Вводные'!$B$239="Да",MeanMinAge04+'19_Расчет_аналитики'!I3596*SUMIF(ThresholdAge04,"&lt;"&amp;'19_Расчет_аналитики'!I3596,WeightedRevAge04)-SUMIF(ThresholdAge04,"&lt;"&amp;'19_Расчет_аналитики'!I3596,WeightedMinAge04),MAX(CapacityAge04*'01_Вводные'!$B$218*'19_Расчет_аналитики'!I3596,MeanMinAge04))),0)</f>
        <v/>
      </c>
      <c r="J3531">
        <f>IF('01_Вводные'!$B$234="Да",IF(OR(('19_Расчет_аналитики'!J3447-'19_Расчет_аналитики'!J3475)=0,4&lt;='01_Вводные'!$B$297),0,('19_Расчет_аналитики'!J3447-'19_Расчет_аналитики'!J3475)*IF('01_Вводные'!$B$239="Да",MeanMinAge04+'19_Расчет_аналитики'!J3596*SUMIF(ThresholdAge04,"&lt;"&amp;'19_Расчет_аналитики'!J3596,WeightedRevAge04)-SUMIF(ThresholdAge04,"&lt;"&amp;'19_Расчет_аналитики'!J3596,WeightedMinAge04),MAX(CapacityAge04*'01_Вводные'!$B$218*'19_Расчет_аналитики'!J3596,MeanMinAge04))),0)</f>
        <v/>
      </c>
      <c r="K3531">
        <f>IF('01_Вводные'!$B$234="Да",IF(OR(('19_Расчет_аналитики'!K3447-'19_Расчет_аналитики'!K3475)=0,4&lt;='01_Вводные'!$B$297),0,('19_Расчет_аналитики'!K3447-'19_Расчет_аналитики'!K3475)*IF('01_Вводные'!$B$239="Да",MeanMinAge04+'19_Расчет_аналитики'!K3596*SUMIF(ThresholdAge04,"&lt;"&amp;'19_Расчет_аналитики'!K3596,WeightedRevAge04)-SUMIF(ThresholdAge04,"&lt;"&amp;'19_Расчет_аналитики'!K3596,WeightedMinAge04),MAX(CapacityAge04*'01_Вводные'!$B$218*'19_Расчет_аналитики'!K3596,MeanMinAge04))),0)</f>
        <v/>
      </c>
      <c r="L3531">
        <f>IF('01_Вводные'!$B$234="Да",IF(OR(('19_Расчет_аналитики'!L3447-'19_Расчет_аналитики'!L3475)=0,4&lt;='01_Вводные'!$B$297),0,('19_Расчет_аналитики'!L3447-'19_Расчет_аналитики'!L3475)*IF('01_Вводные'!$B$239="Да",MeanMinAge04+'19_Расчет_аналитики'!L3596*SUMIF(ThresholdAge04,"&lt;"&amp;'19_Расчет_аналитики'!L3596,WeightedRevAge04)-SUMIF(ThresholdAge04,"&lt;"&amp;'19_Расчет_аналитики'!L3596,WeightedMinAge04),MAX(CapacityAge04*'01_Вводные'!$B$218*'19_Расчет_аналитики'!L3596,MeanMinAge04))),0)</f>
        <v/>
      </c>
      <c r="M3531">
        <f>IF('01_Вводные'!$B$234="Да",IF(OR(('19_Расчет_аналитики'!M3447-'19_Расчет_аналитики'!M3475)=0,4&lt;='01_Вводные'!$B$297),0,('19_Расчет_аналитики'!M3447-'19_Расчет_аналитики'!M3475)*IF('01_Вводные'!$B$239="Да",MeanMinAge04+'19_Расчет_аналитики'!M3596*SUMIF(ThresholdAge04,"&lt;"&amp;'19_Расчет_аналитики'!M3596,WeightedRevAge04)-SUMIF(ThresholdAge04,"&lt;"&amp;'19_Расчет_аналитики'!M3596,WeightedMinAge04),MAX(CapacityAge04*'01_Вводные'!$B$218*'19_Расчет_аналитики'!M3596,MeanMinAge04))),0)</f>
        <v/>
      </c>
      <c r="N3531">
        <f>IF('01_Вводные'!$B$234="Да",IF(OR(('19_Расчет_аналитики'!N3447-'19_Расчет_аналитики'!N3475)=0,4&lt;='01_Вводные'!$B$297),0,('19_Расчет_аналитики'!N3447-'19_Расчет_аналитики'!N3475)*IF('01_Вводные'!$B$239="Да",MeanMinAge04+'19_Расчет_аналитики'!N3596*SUMIF(ThresholdAge04,"&lt;"&amp;'19_Расчет_аналитики'!N3596,WeightedRevAge04)-SUMIF(ThresholdAge04,"&lt;"&amp;'19_Расчет_аналитики'!N3596,WeightedMinAge04),MAX(CapacityAge04*'01_Вводные'!$B$218*'19_Расчет_аналитики'!N3596,MeanMinAge04))),0)</f>
        <v/>
      </c>
      <c r="O3531">
        <f>IF('01_Вводные'!$B$234="Да",IF(OR(('19_Расчет_аналитики'!O3447-'19_Расчет_аналитики'!O3475)=0,4&lt;='01_Вводные'!$B$297),0,('19_Расчет_аналитики'!O3447-'19_Расчет_аналитики'!O3475)*IF('01_Вводные'!$B$239="Да",MeanMinAge04+'19_Расчет_аналитики'!O3596*SUMIF(ThresholdAge04,"&lt;"&amp;'19_Расчет_аналитики'!O3596,WeightedRevAge04)-SUMIF(ThresholdAge04,"&lt;"&amp;'19_Расчет_аналитики'!O3596,WeightedMinAge04),MAX(CapacityAge04*'01_Вводные'!$B$218*'19_Расчет_аналитики'!O3596,MeanMinAge04))),0)</f>
        <v/>
      </c>
      <c r="P3531">
        <f>IF('01_Вводные'!$B$234="Да",IF(OR(('19_Расчет_аналитики'!P3447-'19_Расчет_аналитики'!P3475)=0,4&lt;='01_Вводные'!$B$297),0,('19_Расчет_аналитики'!P3447-'19_Расчет_аналитики'!P3475)*IF('01_Вводные'!$B$239="Да",MeanMinAge04+'19_Расчет_аналитики'!P3596*SUMIF(ThresholdAge04,"&lt;"&amp;'19_Расчет_аналитики'!P3596,WeightedRevAge04)-SUMIF(ThresholdAge04,"&lt;"&amp;'19_Расчет_аналитики'!P3596,WeightedMinAge04),MAX(CapacityAge04*'01_Вводные'!$B$218*'19_Расчет_аналитики'!P3596,MeanMinAge04))),0)</f>
        <v/>
      </c>
      <c r="Q3531">
        <f>IF('01_Вводные'!$B$234="Да",IF(OR(('19_Расчет_аналитики'!Q3447-'19_Расчет_аналитики'!Q3475)=0,4&lt;='01_Вводные'!$B$297),0,('19_Расчет_аналитики'!Q3447-'19_Расчет_аналитики'!Q3475)*IF('01_Вводные'!$B$239="Да",MeanMinAge04+'19_Расчет_аналитики'!Q3596*SUMIF(ThresholdAge04,"&lt;"&amp;'19_Расчет_аналитики'!Q3596,WeightedRevAge04)-SUMIF(ThresholdAge04,"&lt;"&amp;'19_Расчет_аналитики'!Q3596,WeightedMinAge04),MAX(CapacityAge04*'01_Вводные'!$B$218*'19_Расчет_аналитики'!Q3596,MeanMinAge04))),0)</f>
        <v/>
      </c>
      <c r="R3531">
        <f>IF('01_Вводные'!$B$234="Да",IF(OR(('19_Расчет_аналитики'!R3447-'19_Расчет_аналитики'!R3475)=0,4&lt;='01_Вводные'!$B$297),0,('19_Расчет_аналитики'!R3447-'19_Расчет_аналитики'!R3475)*IF('01_Вводные'!$B$239="Да",MeanMinAge04+'19_Расчет_аналитики'!R3596*SUMIF(ThresholdAge04,"&lt;"&amp;'19_Расчет_аналитики'!R3596,WeightedRevAge04)-SUMIF(ThresholdAge04,"&lt;"&amp;'19_Расчет_аналитики'!R3596,WeightedMinAge04),MAX(CapacityAge04*'01_Вводные'!$B$218*'19_Расчет_аналитики'!R3596,MeanMinAge04))),0)</f>
        <v/>
      </c>
      <c r="S3531">
        <f>IF('01_Вводные'!$B$234="Да",IF(OR(('19_Расчет_аналитики'!S3447-'19_Расчет_аналитики'!S3475)=0,4&lt;='01_Вводные'!$B$297),0,('19_Расчет_аналитики'!S3447-'19_Расчет_аналитики'!S3475)*IF('01_Вводные'!$B$239="Да",MeanMinAge04+'19_Расчет_аналитики'!S3596*SUMIF(ThresholdAge04,"&lt;"&amp;'19_Расчет_аналитики'!S3596,WeightedRevAge04)-SUMIF(ThresholdAge04,"&lt;"&amp;'19_Расчет_аналитики'!S3596,WeightedMinAge04),MAX(CapacityAge04*'01_Вводные'!$B$218*'19_Расчет_аналитики'!S3596,MeanMinAge04))),0)</f>
        <v/>
      </c>
      <c r="T3531">
        <f>IF('01_Вводные'!$B$234="Да",IF(OR(('19_Расчет_аналитики'!T3447-'19_Расчет_аналитики'!T3475)=0,4&lt;='01_Вводные'!$B$297),0,('19_Расчет_аналитики'!T3447-'19_Расчет_аналитики'!T3475)*IF('01_Вводные'!$B$239="Да",MeanMinAge04+'19_Расчет_аналитики'!T3596*SUMIF(ThresholdAge04,"&lt;"&amp;'19_Расчет_аналитики'!T3596,WeightedRevAge04)-SUMIF(ThresholdAge04,"&lt;"&amp;'19_Расчет_аналитики'!T3596,WeightedMinAge04),MAX(CapacityAge04*'01_Вводные'!$B$218*'19_Расчет_аналитики'!T3596,MeanMinAge04))),0)</f>
        <v/>
      </c>
      <c r="U3531">
        <f>IF('01_Вводные'!$B$234="Да",IF(OR(('19_Расчет_аналитики'!U3447-'19_Расчет_аналитики'!U3475)=0,4&lt;='01_Вводные'!$B$297),0,('19_Расчет_аналитики'!U3447-'19_Расчет_аналитики'!U3475)*IF('01_Вводные'!$B$239="Да",MeanMinAge04+'19_Расчет_аналитики'!U3596*SUMIF(ThresholdAge04,"&lt;"&amp;'19_Расчет_аналитики'!U3596,WeightedRevAge04)-SUMIF(ThresholdAge04,"&lt;"&amp;'19_Расчет_аналитики'!U3596,WeightedMinAge04),MAX(CapacityAge04*'01_Вводные'!$B$218*'19_Расчет_аналитики'!U3596,MeanMinAge04))),0)</f>
        <v/>
      </c>
      <c r="V3531">
        <f>IF('01_Вводные'!$B$234="Да",IF(OR(('19_Расчет_аналитики'!V3447-'19_Расчет_аналитики'!V3475)=0,4&lt;='01_Вводные'!$B$297),0,('19_Расчет_аналитики'!V3447-'19_Расчет_аналитики'!V3475)*IF('01_Вводные'!$B$239="Да",MeanMinAge04+'19_Расчет_аналитики'!V3596*SUMIF(ThresholdAge04,"&lt;"&amp;'19_Расчет_аналитики'!V3596,WeightedRevAge04)-SUMIF(ThresholdAge04,"&lt;"&amp;'19_Расчет_аналитики'!V3596,WeightedMinAge04),MAX(CapacityAge04*'01_Вводные'!$B$218*'19_Расчет_аналитики'!V3596,MeanMinAge04))),0)</f>
        <v/>
      </c>
      <c r="W3531">
        <f>IF('01_Вводные'!$B$234="Да",IF(OR(('19_Расчет_аналитики'!W3447-'19_Расчет_аналитики'!W3475)=0,4&lt;='01_Вводные'!$B$297),0,('19_Расчет_аналитики'!W3447-'19_Расчет_аналитики'!W3475)*IF('01_Вводные'!$B$239="Да",MeanMinAge04+'19_Расчет_аналитики'!W3596*SUMIF(ThresholdAge04,"&lt;"&amp;'19_Расчет_аналитики'!W3596,WeightedRevAge04)-SUMIF(ThresholdAge04,"&lt;"&amp;'19_Расчет_аналитики'!W3596,WeightedMinAge04),MAX(CapacityAge04*'01_Вводные'!$B$218*'19_Расчет_аналитики'!W3596,MeanMinAge04))),0)</f>
        <v/>
      </c>
      <c r="X3531">
        <f>IF('01_Вводные'!$B$234="Да",IF(OR(('19_Расчет_аналитики'!X3447-'19_Расчет_аналитики'!X3475)=0,4&lt;='01_Вводные'!$B$297),0,('19_Расчет_аналитики'!X3447-'19_Расчет_аналитики'!X3475)*IF('01_Вводные'!$B$239="Да",MeanMinAge04+'19_Расчет_аналитики'!X3596*SUMIF(ThresholdAge04,"&lt;"&amp;'19_Расчет_аналитики'!X3596,WeightedRevAge04)-SUMIF(ThresholdAge04,"&lt;"&amp;'19_Расчет_аналитики'!X3596,WeightedMinAge04),MAX(CapacityAge04*'01_Вводные'!$B$218*'19_Расчет_аналитики'!X3596,MeanMinAge04))),0)</f>
        <v/>
      </c>
      <c r="Y3531">
        <f>IF('01_Вводные'!$B$234="Да",IF(OR(('19_Расчет_аналитики'!Y3447-'19_Расчет_аналитики'!Y3475)=0,4&lt;='01_Вводные'!$B$297),0,('19_Расчет_аналитики'!Y3447-'19_Расчет_аналитики'!Y3475)*IF('01_Вводные'!$B$239="Да",MeanMinAge04+'19_Расчет_аналитики'!Y3596*SUMIF(ThresholdAge04,"&lt;"&amp;'19_Расчет_аналитики'!Y3596,WeightedRevAge04)-SUMIF(ThresholdAge04,"&lt;"&amp;'19_Расчет_аналитики'!Y3596,WeightedMinAge04),MAX(CapacityAge04*'01_Вводные'!$B$218*'19_Расчет_аналитики'!Y3596,MeanMinAge04))),0)</f>
        <v/>
      </c>
      <c r="Z3531">
        <f>IF('01_Вводные'!$B$234="Да",IF(OR(('19_Расчет_аналитики'!Z3447-'19_Расчет_аналитики'!Z3475)=0,4&lt;='01_Вводные'!$B$297),0,('19_Расчет_аналитики'!Z3447-'19_Расчет_аналитики'!Z3475)*IF('01_Вводные'!$B$239="Да",MeanMinAge04+'19_Расчет_аналитики'!Z3596*SUMIF(ThresholdAge04,"&lt;"&amp;'19_Расчет_аналитики'!Z3596,WeightedRevAge04)-SUMIF(ThresholdAge04,"&lt;"&amp;'19_Расчет_аналитики'!Z3596,WeightedMinAge04),MAX(CapacityAge04*'01_Вводные'!$B$218*'19_Расчет_аналитики'!Z3596,MeanMinAge04))),0)</f>
        <v/>
      </c>
      <c r="AA3531">
        <f>IF('01_Вводные'!$B$234="Да",IF(OR(('19_Расчет_аналитики'!AA3447-'19_Расчет_аналитики'!AA3475)=0,4&lt;='01_Вводные'!$B$297),0,('19_Расчет_аналитики'!AA3447-'19_Расчет_аналитики'!AA3475)*IF('01_Вводные'!$B$239="Да",MeanMinAge04+'19_Расчет_аналитики'!AA3596*SUMIF(ThresholdAge04,"&lt;"&amp;'19_Расчет_аналитики'!AA3596,WeightedRevAge04)-SUMIF(ThresholdAge04,"&lt;"&amp;'19_Расчет_аналитики'!AA3596,WeightedMinAge04),MAX(CapacityAge04*'01_Вводные'!$B$218*'19_Расчет_аналитики'!AA3596,MeanMinAge04))),0)</f>
        <v/>
      </c>
      <c r="AB3531">
        <f>IF('01_Вводные'!$B$234="Да",IF(OR(('19_Расчет_аналитики'!AB3447-'19_Расчет_аналитики'!AB3475)=0,4&lt;='01_Вводные'!$B$297),0,('19_Расчет_аналитики'!AB3447-'19_Расчет_аналитики'!AB3475)*IF('01_Вводные'!$B$239="Да",MeanMinAge04+'19_Расчет_аналитики'!AB3596*SUMIF(ThresholdAge04,"&lt;"&amp;'19_Расчет_аналитики'!AB3596,WeightedRevAge04)-SUMIF(ThresholdAge04,"&lt;"&amp;'19_Расчет_аналитики'!AB3596,WeightedMinAge04),MAX(CapacityAge04*'01_Вводные'!$B$218*'19_Расчет_аналитики'!AB3596,MeanMinAge04))),0)</f>
        <v/>
      </c>
      <c r="AC3531">
        <f>IF('01_Вводные'!$B$234="Да",IF(OR(('19_Расчет_аналитики'!AC3447-'19_Расчет_аналитики'!AC3475)=0,4&lt;='01_Вводные'!$B$297),0,('19_Расчет_аналитики'!AC3447-'19_Расчет_аналитики'!AC3475)*IF('01_Вводные'!$B$239="Да",MeanMinAge04+'19_Расчет_аналитики'!AC3596*SUMIF(ThresholdAge04,"&lt;"&amp;'19_Расчет_аналитики'!AC3596,WeightedRevAge04)-SUMIF(ThresholdAge04,"&lt;"&amp;'19_Расчет_аналитики'!AC3596,WeightedMinAge04),MAX(CapacityAge04*'01_Вводные'!$B$218*'19_Расчет_аналитики'!AC3596,MeanMinAge04))),0)</f>
        <v/>
      </c>
      <c r="AD3531">
        <f>IF('01_Вводные'!$B$234="Да",IF(OR(('19_Расчет_аналитики'!AD3447-'19_Расчет_аналитики'!AD3475)=0,4&lt;='01_Вводные'!$B$297),0,('19_Расчет_аналитики'!AD3447-'19_Расчет_аналитики'!AD3475)*IF('01_Вводные'!$B$239="Да",MeanMinAge04+'19_Расчет_аналитики'!AD3596*SUMIF(ThresholdAge04,"&lt;"&amp;'19_Расчет_аналитики'!AD3596,WeightedRevAge04)-SUMIF(ThresholdAge04,"&lt;"&amp;'19_Расчет_аналитики'!AD3596,WeightedMinAge04),MAX(CapacityAge04*'01_Вводные'!$B$218*'19_Расчет_аналитики'!AD3596,MeanMinAge04))),0)</f>
        <v/>
      </c>
      <c r="AE3531">
        <f>IF('01_Вводные'!$B$234="Да",IF(OR(('19_Расчет_аналитики'!AE3447-'19_Расчет_аналитики'!AE3475)=0,4&lt;='01_Вводные'!$B$297),0,('19_Расчет_аналитики'!AE3447-'19_Расчет_аналитики'!AE3475)*IF('01_Вводные'!$B$239="Да",MeanMinAge04+'19_Расчет_аналитики'!AE3596*SUMIF(ThresholdAge04,"&lt;"&amp;'19_Расчет_аналитики'!AE3596,WeightedRevAge04)-SUMIF(ThresholdAge04,"&lt;"&amp;'19_Расчет_аналитики'!AE3596,WeightedMinAge04),MAX(CapacityAge04*'01_Вводные'!$B$218*'19_Расчет_аналитики'!AE3596,MeanMinAge04))),0)</f>
        <v/>
      </c>
      <c r="AF3531">
        <f>IF('01_Вводные'!$B$234="Да",IF(OR(('19_Расчет_аналитики'!AF3447-'19_Расчет_аналитики'!AF3475)=0,4&lt;='01_Вводные'!$B$297),0,('19_Расчет_аналитики'!AF3447-'19_Расчет_аналитики'!AF3475)*IF('01_Вводные'!$B$239="Да",MeanMinAge04+'19_Расчет_аналитики'!AF3596*SUMIF(ThresholdAge04,"&lt;"&amp;'19_Расчет_аналитики'!AF3596,WeightedRevAge04)-SUMIF(ThresholdAge04,"&lt;"&amp;'19_Расчет_аналитики'!AF3596,WeightedMinAge04),MAX(CapacityAge04*'01_Вводные'!$B$218*'19_Расчет_аналитики'!AF3596,MeanMinAge04))),0)</f>
        <v/>
      </c>
      <c r="AG3531">
        <f>IF('01_Вводные'!$B$234="Да",IF(OR(('19_Расчет_аналитики'!AG3447-'19_Расчет_аналитики'!AG3475)=0,4&lt;='01_Вводные'!$B$297),0,('19_Расчет_аналитики'!AG3447-'19_Расчет_аналитики'!AG3475)*IF('01_Вводные'!$B$239="Да",MeanMinAge04+'19_Расчет_аналитики'!AG3596*SUMIF(ThresholdAge04,"&lt;"&amp;'19_Расчет_аналитики'!AG3596,WeightedRevAge04)-SUMIF(ThresholdAge04,"&lt;"&amp;'19_Расчет_аналитики'!AG3596,WeightedMinAge04),MAX(CapacityAge04*'01_Вводные'!$B$218*'19_Расчет_аналитики'!AG3596,MeanMinAge04))),0)</f>
        <v/>
      </c>
      <c r="AH3531">
        <f>IF('01_Вводные'!$B$234="Да",IF(OR(('19_Расчет_аналитики'!AH3447-'19_Расчет_аналитики'!AH3475)=0,4&lt;='01_Вводные'!$B$297),0,('19_Расчет_аналитики'!AH3447-'19_Расчет_аналитики'!AH3475)*IF('01_Вводные'!$B$239="Да",MeanMinAge04+'19_Расчет_аналитики'!AH3596*SUMIF(ThresholdAge04,"&lt;"&amp;'19_Расчет_аналитики'!AH3596,WeightedRevAge04)-SUMIF(ThresholdAge04,"&lt;"&amp;'19_Расчет_аналитики'!AH3596,WeightedMinAge04),MAX(CapacityAge04*'01_Вводные'!$B$218*'19_Расчет_аналитики'!AH3596,MeanMinAge04))),0)</f>
        <v/>
      </c>
      <c r="AI3531">
        <f>IF('01_Вводные'!$B$234="Да",IF(OR(('19_Расчет_аналитики'!AI3447-'19_Расчет_аналитики'!AI3475)=0,4&lt;='01_Вводные'!$B$297),0,('19_Расчет_аналитики'!AI3447-'19_Расчет_аналитики'!AI3475)*IF('01_Вводные'!$B$239="Да",MeanMinAge04+'19_Расчет_аналитики'!AI3596*SUMIF(ThresholdAge04,"&lt;"&amp;'19_Расчет_аналитики'!AI3596,WeightedRevAge04)-SUMIF(ThresholdAge04,"&lt;"&amp;'19_Расчет_аналитики'!AI3596,WeightedMinAge04),MAX(CapacityAge04*'01_Вводные'!$B$218*'19_Расчет_аналитики'!AI3596,MeanMinAge04))),0)</f>
        <v/>
      </c>
      <c r="AJ3531">
        <f>IF('01_Вводные'!$B$234="Да",IF(OR(('19_Расчет_аналитики'!AJ3447-'19_Расчет_аналитики'!AJ3475)=0,4&lt;='01_Вводные'!$B$297),0,('19_Расчет_аналитики'!AJ3447-'19_Расчет_аналитики'!AJ3475)*IF('01_Вводные'!$B$239="Да",MeanMinAge04+'19_Расчет_аналитики'!AJ3596*SUMIF(ThresholdAge04,"&lt;"&amp;'19_Расчет_аналитики'!AJ3596,WeightedRevAge04)-SUMIF(ThresholdAge04,"&lt;"&amp;'19_Расчет_аналитики'!AJ3596,WeightedMinAge04),MAX(CapacityAge04*'01_Вводные'!$B$218*'19_Расчет_аналитики'!AJ3596,MeanMinAge04))),0)</f>
        <v/>
      </c>
      <c r="AK3531">
        <f>IF('01_Вводные'!$B$234="Да",IF(OR(('19_Расчет_аналитики'!AK3447-'19_Расчет_аналитики'!AK3475)=0,4&lt;='01_Вводные'!$B$297),0,('19_Расчет_аналитики'!AK3447-'19_Расчет_аналитики'!AK3475)*IF('01_Вводные'!$B$239="Да",MeanMinAge04+'19_Расчет_аналитики'!AK3596*SUMIF(ThresholdAge04,"&lt;"&amp;'19_Расчет_аналитики'!AK3596,WeightedRevAge04)-SUMIF(ThresholdAge04,"&lt;"&amp;'19_Расчет_аналитики'!AK3596,WeightedMinAge04),MAX(CapacityAge04*'01_Вводные'!$B$218*'19_Расчет_аналитики'!AK3596,MeanMinAge04))),0)</f>
        <v/>
      </c>
      <c r="AL3531">
        <f>IF('01_Вводные'!$B$234="Да",IF(OR(('19_Расчет_аналитики'!AL3447-'19_Расчет_аналитики'!AL3475)=0,4&lt;='01_Вводные'!$B$297),0,('19_Расчет_аналитики'!AL3447-'19_Расчет_аналитики'!AL3475)*IF('01_Вводные'!$B$239="Да",MeanMinAge04+'19_Расчет_аналитики'!AL3596*SUMIF(ThresholdAge04,"&lt;"&amp;'19_Расчет_аналитики'!AL3596,WeightedRevAge04)-SUMIF(ThresholdAge04,"&lt;"&amp;'19_Расчет_аналитики'!AL3596,WeightedMinAge04),MAX(CapacityAge04*'01_Вводные'!$B$218*'19_Расчет_аналитики'!AL3596,MeanMinAge04))),0)</f>
        <v/>
      </c>
      <c r="AM3531">
        <f>IF('01_Вводные'!$B$234="Да",IF(OR(('19_Расчет_аналитики'!AM3447-'19_Расчет_аналитики'!AM3475)=0,4&lt;='01_Вводные'!$B$297),0,('19_Расчет_аналитики'!AM3447-'19_Расчет_аналитики'!AM3475)*IF('01_Вводные'!$B$239="Да",MeanMinAge04+'19_Расчет_аналитики'!AM3596*SUMIF(ThresholdAge04,"&lt;"&amp;'19_Расчет_аналитики'!AM3596,WeightedRevAge04)-SUMIF(ThresholdAge04,"&lt;"&amp;'19_Расчет_аналитики'!AM3596,WeightedMinAge04),MAX(CapacityAge04*'01_Вводные'!$B$218*'19_Расчет_аналитики'!AM3596,MeanMinAge04))),0)</f>
        <v/>
      </c>
      <c r="AN3531">
        <f>IF('01_Вводные'!$B$234="Да",IF(OR(('19_Расчет_аналитики'!AN3447-'19_Расчет_аналитики'!AN3475)=0,4&lt;='01_Вводные'!$B$297),0,('19_Расчет_аналитики'!AN3447-'19_Расчет_аналитики'!AN3475)*IF('01_Вводные'!$B$239="Да",MeanMinAge04+'19_Расчет_аналитики'!AN3596*SUMIF(ThresholdAge04,"&lt;"&amp;'19_Расчет_аналитики'!AN3596,WeightedRevAge04)-SUMIF(ThresholdAge04,"&lt;"&amp;'19_Расчет_аналитики'!AN3596,WeightedMinAge04),MAX(CapacityAge04*'01_Вводные'!$B$218*'19_Расчет_аналитики'!AN3596,MeanMinAge04))),0)</f>
        <v/>
      </c>
      <c r="AO3531">
        <f>IF('01_Вводные'!$B$234="Да",IF(OR(('19_Расчет_аналитики'!AO3447-'19_Расчет_аналитики'!AO3475)=0,4&lt;='01_Вводные'!$B$297),0,('19_Расчет_аналитики'!AO3447-'19_Расчет_аналитики'!AO3475)*IF('01_Вводные'!$B$239="Да",MeanMinAge04+'19_Расчет_аналитики'!AO3596*SUMIF(ThresholdAge04,"&lt;"&amp;'19_Расчет_аналитики'!AO3596,WeightedRevAge04)-SUMIF(ThresholdAge04,"&lt;"&amp;'19_Расчет_аналитики'!AO3596,WeightedMinAge04),MAX(CapacityAge04*'01_Вводные'!$B$218*'19_Расчет_аналитики'!AO3596,MeanMinAge04))),0)</f>
        <v/>
      </c>
      <c r="AP3531">
        <f>IF('01_Вводные'!$B$234="Да",IF(OR(('19_Расчет_аналитики'!AP3447-'19_Расчет_аналитики'!AP3475)=0,4&lt;='01_Вводные'!$B$297),0,('19_Расчет_аналитики'!AP3447-'19_Расчет_аналитики'!AP3475)*IF('01_Вводные'!$B$239="Да",MeanMinAge04+'19_Расчет_аналитики'!AP3596*SUMIF(ThresholdAge04,"&lt;"&amp;'19_Расчет_аналитики'!AP3596,WeightedRevAge04)-SUMIF(ThresholdAge04,"&lt;"&amp;'19_Расчет_аналитики'!AP3596,WeightedMinAge04),MAX(CapacityAge04*'01_Вводные'!$B$218*'19_Расчет_аналитики'!AP3596,MeanMinAge04))),0)</f>
        <v/>
      </c>
      <c r="AQ3531">
        <f>IF('01_Вводные'!$B$234="Да",IF(OR(('19_Расчет_аналитики'!AQ3447-'19_Расчет_аналитики'!AQ3475)=0,4&lt;='01_Вводные'!$B$297),0,('19_Расчет_аналитики'!AQ3447-'19_Расчет_аналитики'!AQ3475)*IF('01_Вводные'!$B$239="Да",MeanMinAge04+'19_Расчет_аналитики'!AQ3596*SUMIF(ThresholdAge04,"&lt;"&amp;'19_Расчет_аналитики'!AQ3596,WeightedRevAge04)-SUMIF(ThresholdAge04,"&lt;"&amp;'19_Расчет_аналитики'!AQ3596,WeightedMinAge04),MAX(CapacityAge04*'01_Вводные'!$B$218*'19_Расчет_аналитики'!AQ3596,MeanMinAge04))),0)</f>
        <v/>
      </c>
      <c r="AR3531">
        <f>IF('01_Вводные'!$B$234="Да",IF(OR(('19_Расчет_аналитики'!AR3447-'19_Расчет_аналитики'!AR3475)=0,4&lt;='01_Вводные'!$B$297),0,('19_Расчет_аналитики'!AR3447-'19_Расчет_аналитики'!AR3475)*IF('01_Вводные'!$B$239="Да",MeanMinAge04+'19_Расчет_аналитики'!AR3596*SUMIF(ThresholdAge04,"&lt;"&amp;'19_Расчет_аналитики'!AR3596,WeightedRevAge04)-SUMIF(ThresholdAge04,"&lt;"&amp;'19_Расчет_аналитики'!AR3596,WeightedMinAge04),MAX(CapacityAge04*'01_Вводные'!$B$218*'19_Расчет_аналитики'!AR3596,MeanMinAge04))),0)</f>
        <v/>
      </c>
      <c r="AS3531">
        <f>IF('01_Вводные'!$B$234="Да",IF(OR(('19_Расчет_аналитики'!AS3447-'19_Расчет_аналитики'!AS3475)=0,4&lt;='01_Вводные'!$B$297),0,('19_Расчет_аналитики'!AS3447-'19_Расчет_аналитики'!AS3475)*IF('01_Вводные'!$B$239="Да",MeanMinAge04+'19_Расчет_аналитики'!AS3596*SUMIF(ThresholdAge04,"&lt;"&amp;'19_Расчет_аналитики'!AS3596,WeightedRevAge04)-SUMIF(ThresholdAge04,"&lt;"&amp;'19_Расчет_аналитики'!AS3596,WeightedMinAge04),MAX(CapacityAge04*'01_Вводные'!$B$218*'19_Расчет_аналитики'!AS3596,MeanMinAge04))),0)</f>
        <v/>
      </c>
      <c r="AT3531">
        <f>IF('01_Вводные'!$B$234="Да",IF(OR(('19_Расчет_аналитики'!AT3447-'19_Расчет_аналитики'!AT3475)=0,4&lt;='01_Вводные'!$B$297),0,('19_Расчет_аналитики'!AT3447-'19_Расчет_аналитики'!AT3475)*IF('01_Вводные'!$B$239="Да",MeanMinAge04+'19_Расчет_аналитики'!AT3596*SUMIF(ThresholdAge04,"&lt;"&amp;'19_Расчет_аналитики'!AT3596,WeightedRevAge04)-SUMIF(ThresholdAge04,"&lt;"&amp;'19_Расчет_аналитики'!AT3596,WeightedMinAge04),MAX(CapacityAge04*'01_Вводные'!$B$218*'19_Расчет_аналитики'!AT3596,MeanMinAge04))),0)</f>
        <v/>
      </c>
      <c r="AU3531">
        <f>IF('01_Вводные'!$B$234="Да",IF(OR(('19_Расчет_аналитики'!AU3447-'19_Расчет_аналитики'!AU3475)=0,4&lt;='01_Вводные'!$B$297),0,('19_Расчет_аналитики'!AU3447-'19_Расчет_аналитики'!AU3475)*IF('01_Вводные'!$B$239="Да",MeanMinAge04+'19_Расчет_аналитики'!AU3596*SUMIF(ThresholdAge04,"&lt;"&amp;'19_Расчет_аналитики'!AU3596,WeightedRevAge04)-SUMIF(ThresholdAge04,"&lt;"&amp;'19_Расчет_аналитики'!AU3596,WeightedMinAge04),MAX(CapacityAge04*'01_Вводные'!$B$218*'19_Расчет_аналитики'!AU3596,MeanMinAge04))),0)</f>
        <v/>
      </c>
      <c r="AV3531">
        <f>IF('01_Вводные'!$B$234="Да",IF(OR(('19_Расчет_аналитики'!AV3447-'19_Расчет_аналитики'!AV3475)=0,4&lt;='01_Вводные'!$B$297),0,('19_Расчет_аналитики'!AV3447-'19_Расчет_аналитики'!AV3475)*IF('01_Вводные'!$B$239="Да",MeanMinAge04+'19_Расчет_аналитики'!AV3596*SUMIF(ThresholdAge04,"&lt;"&amp;'19_Расчет_аналитики'!AV3596,WeightedRevAge04)-SUMIF(ThresholdAge04,"&lt;"&amp;'19_Расчет_аналитики'!AV3596,WeightedMinAge04),MAX(CapacityAge04*'01_Вводные'!$B$218*'19_Расчет_аналитики'!AV3596,MeanMinAge04))),0)</f>
        <v/>
      </c>
      <c r="AW3531">
        <f>IF('01_Вводные'!$B$234="Да",IF(OR(('19_Расчет_аналитики'!AW3447-'19_Расчет_аналитики'!AW3475)=0,4&lt;='01_Вводные'!$B$297),0,('19_Расчет_аналитики'!AW3447-'19_Расчет_аналитики'!AW3475)*IF('01_Вводные'!$B$239="Да",MeanMinAge04+'19_Расчет_аналитики'!AW3596*SUMIF(ThresholdAge04,"&lt;"&amp;'19_Расчет_аналитики'!AW3596,WeightedRevAge04)-SUMIF(ThresholdAge04,"&lt;"&amp;'19_Расчет_аналитики'!AW3596,WeightedMinAge04),MAX(CapacityAge04*'01_Вводные'!$B$218*'19_Расчет_аналитики'!AW3596,MeanMinAge04))),0)</f>
        <v/>
      </c>
      <c r="AX3531">
        <f>IF('01_Вводные'!$B$234="Да",IF(OR(('19_Расчет_аналитики'!AX3447-'19_Расчет_аналитики'!AX3475)=0,4&lt;='01_Вводные'!$B$297),0,('19_Расчет_аналитики'!AX3447-'19_Расчет_аналитики'!AX3475)*IF('01_Вводные'!$B$239="Да",MeanMinAge04+'19_Расчет_аналитики'!AX3596*SUMIF(ThresholdAge04,"&lt;"&amp;'19_Расчет_аналитики'!AX3596,WeightedRevAge04)-SUMIF(ThresholdAge04,"&lt;"&amp;'19_Расчет_аналитики'!AX3596,WeightedMinAge04),MAX(CapacityAge04*'01_Вводные'!$B$218*'19_Расчет_аналитики'!AX3596,MeanMinAge04))),0)</f>
        <v/>
      </c>
      <c r="AY3531">
        <f>IF('01_Вводные'!$B$234="Да",IF(OR(('19_Расчет_аналитики'!AY3447-'19_Расчет_аналитики'!AY3475)=0,4&lt;='01_Вводные'!$B$297),0,('19_Расчет_аналитики'!AY3447-'19_Расчет_аналитики'!AY3475)*IF('01_Вводные'!$B$239="Да",MeanMinAge04+'19_Расчет_аналитики'!AY3596*SUMIF(ThresholdAge04,"&lt;"&amp;'19_Расчет_аналитики'!AY3596,WeightedRevAge04)-SUMIF(ThresholdAge04,"&lt;"&amp;'19_Расчет_аналитики'!AY3596,WeightedMinAge04),MAX(CapacityAge04*'01_Вводные'!$B$218*'19_Расчет_аналитики'!AY3596,MeanMinAge04))),0)</f>
        <v/>
      </c>
      <c r="AZ3531">
        <f>IF('01_Вводные'!$B$234="Да",IF(OR(('19_Расчет_аналитики'!AZ3447-'19_Расчет_аналитики'!AZ3475)=0,4&lt;='01_Вводные'!$B$297),0,('19_Расчет_аналитики'!AZ3447-'19_Расчет_аналитики'!AZ3475)*IF('01_Вводные'!$B$239="Да",MeanMinAge04+'19_Расчет_аналитики'!AZ3596*SUMIF(ThresholdAge04,"&lt;"&amp;'19_Расчет_аналитики'!AZ3596,WeightedRevAge04)-SUMIF(ThresholdAge04,"&lt;"&amp;'19_Расчет_аналитики'!AZ3596,WeightedMinAge04),MAX(CapacityAge04*'01_Вводные'!$B$218*'19_Расчет_аналитики'!AZ3596,MeanMinAge04))),0)</f>
        <v/>
      </c>
      <c r="BA3531">
        <f>IF('01_Вводные'!$B$234="Да",IF(OR(('19_Расчет_аналитики'!BA3447-'19_Расчет_аналитики'!BA3475)=0,4&lt;='01_Вводные'!$B$297),0,('19_Расчет_аналитики'!BA3447-'19_Расчет_аналитики'!BA3475)*IF('01_Вводные'!$B$239="Да",MeanMinAge04+'19_Расчет_аналитики'!BA3596*SUMIF(ThresholdAge04,"&lt;"&amp;'19_Расчет_аналитики'!BA3596,WeightedRevAge04)-SUMIF(ThresholdAge04,"&lt;"&amp;'19_Расчет_аналитики'!BA3596,WeightedMinAge04),MAX(CapacityAge04*'01_Вводные'!$B$218*'19_Расчет_аналитики'!BA3596,MeanMinAge04))),0)</f>
        <v/>
      </c>
      <c r="BB3531">
        <f>IF('01_Вводные'!$B$234="Да",IF(OR(('19_Расчет_аналитики'!BB3447-'19_Расчет_аналитики'!BB3475)=0,4&lt;='01_Вводные'!$B$297),0,('19_Расчет_аналитики'!BB3447-'19_Расчет_аналитики'!BB3475)*IF('01_Вводные'!$B$239="Да",MeanMinAge04+'19_Расчет_аналитики'!BB3596*SUMIF(ThresholdAge04,"&lt;"&amp;'19_Расчет_аналитики'!BB3596,WeightedRevAge04)-SUMIF(ThresholdAge04,"&lt;"&amp;'19_Расчет_аналитики'!BB3596,WeightedMinAge04),MAX(CapacityAge04*'01_Вводные'!$B$218*'19_Расчет_аналитики'!BB3596,MeanMinAge04))),0)</f>
        <v/>
      </c>
      <c r="BC3531">
        <f>IF('01_Вводные'!$B$234="Да",IF(OR(('19_Расчет_аналитики'!BC3447-'19_Расчет_аналитики'!BC3475)=0,4&lt;='01_Вводные'!$B$297),0,('19_Расчет_аналитики'!BC3447-'19_Расчет_аналитики'!BC3475)*IF('01_Вводные'!$B$239="Да",MeanMinAge04+'19_Расчет_аналитики'!BC3596*SUMIF(ThresholdAge04,"&lt;"&amp;'19_Расчет_аналитики'!BC3596,WeightedRevAge04)-SUMIF(ThresholdAge04,"&lt;"&amp;'19_Расчет_аналитики'!BC3596,WeightedMinAge04),MAX(CapacityAge04*'01_Вводные'!$B$218*'19_Расчет_аналитики'!BC3596,MeanMinAge04))),0)</f>
        <v/>
      </c>
      <c r="BD3531">
        <f>IF('01_Вводные'!$B$234="Да",IF(OR(('19_Расчет_аналитики'!BD3447-'19_Расчет_аналитики'!BD3475)=0,4&lt;='01_Вводные'!$B$297),0,('19_Расчет_аналитики'!BD3447-'19_Расчет_аналитики'!BD3475)*IF('01_Вводные'!$B$239="Да",MeanMinAge04+'19_Расчет_аналитики'!BD3596*SUMIF(ThresholdAge04,"&lt;"&amp;'19_Расчет_аналитики'!BD3596,WeightedRevAge04)-SUMIF(ThresholdAge04,"&lt;"&amp;'19_Расчет_аналитики'!BD3596,WeightedMinAge04),MAX(CapacityAge04*'01_Вводные'!$B$218*'19_Расчет_аналитики'!BD3596,MeanMinAge04))),0)</f>
        <v/>
      </c>
      <c r="BE3531">
        <f>IF('01_Вводные'!$B$234="Да",IF(OR(('19_Расчет_аналитики'!BE3447-'19_Расчет_аналитики'!BE3475)=0,4&lt;='01_Вводные'!$B$297),0,('19_Расчет_аналитики'!BE3447-'19_Расчет_аналитики'!BE3475)*IF('01_Вводные'!$B$239="Да",MeanMinAge04+'19_Расчет_аналитики'!BE3596*SUMIF(ThresholdAge04,"&lt;"&amp;'19_Расчет_аналитики'!BE3596,WeightedRevAge04)-SUMIF(ThresholdAge04,"&lt;"&amp;'19_Расчет_аналитики'!BE3596,WeightedMinAge04),MAX(CapacityAge04*'01_Вводные'!$B$218*'19_Расчет_аналитики'!BE3596,MeanMinAge04))),0)</f>
        <v/>
      </c>
      <c r="BF3531">
        <f>IF('01_Вводные'!$B$234="Да",IF(OR(('19_Расчет_аналитики'!BF3447-'19_Расчет_аналитики'!BF3475)=0,4&lt;='01_Вводные'!$B$297),0,('19_Расчет_аналитики'!BF3447-'19_Расчет_аналитики'!BF3475)*IF('01_Вводные'!$B$239="Да",MeanMinAge04+'19_Расчет_аналитики'!BF3596*SUMIF(ThresholdAge04,"&lt;"&amp;'19_Расчет_аналитики'!BF3596,WeightedRevAge04)-SUMIF(ThresholdAge04,"&lt;"&amp;'19_Расчет_аналитики'!BF3596,WeightedMinAge04),MAX(CapacityAge04*'01_Вводные'!$B$218*'19_Расчет_аналитики'!BF3596,MeanMinAge04))),0)</f>
        <v/>
      </c>
      <c r="BG3531">
        <f>IF('01_Вводные'!$B$234="Да",IF(OR(('19_Расчет_аналитики'!BG3447-'19_Расчет_аналитики'!BG3475)=0,4&lt;='01_Вводные'!$B$297),0,('19_Расчет_аналитики'!BG3447-'19_Расчет_аналитики'!BG3475)*IF('01_Вводные'!$B$239="Да",MeanMinAge04+'19_Расчет_аналитики'!BG3596*SUMIF(ThresholdAge04,"&lt;"&amp;'19_Расчет_аналитики'!BG3596,WeightedRevAge04)-SUMIF(ThresholdAge04,"&lt;"&amp;'19_Расчет_аналитики'!BG3596,WeightedMinAge04),MAX(CapacityAge04*'01_Вводные'!$B$218*'19_Расчет_аналитики'!BG3596,MeanMinAge04))),0)</f>
        <v/>
      </c>
      <c r="BH3531">
        <f>IF('01_Вводные'!$B$234="Да",IF(OR(('19_Расчет_аналитики'!BH3447-'19_Расчет_аналитики'!BH3475)=0,4&lt;='01_Вводные'!$B$297),0,('19_Расчет_аналитики'!BH3447-'19_Расчет_аналитики'!BH3475)*IF('01_Вводные'!$B$239="Да",MeanMinAge04+'19_Расчет_аналитики'!BH3596*SUMIF(ThresholdAge04,"&lt;"&amp;'19_Расчет_аналитики'!BH3596,WeightedRevAge04)-SUMIF(ThresholdAge04,"&lt;"&amp;'19_Расчет_аналитики'!BH3596,WeightedMinAge04),MAX(CapacityAge04*'01_Вводные'!$B$218*'19_Расчет_аналитики'!BH3596,MeanMinAge04))),0)</f>
        <v/>
      </c>
      <c r="BI3531">
        <f>IF('01_Вводные'!$B$234="Да",IF(OR(('19_Расчет_аналитики'!BI3447-'19_Расчет_аналитики'!BI3475)=0,4&lt;='01_Вводные'!$B$297),0,('19_Расчет_аналитики'!BI3447-'19_Расчет_аналитики'!BI3475)*IF('01_Вводные'!$B$239="Да",MeanMinAge04+'19_Расчет_аналитики'!BI3596*SUMIF(ThresholdAge04,"&lt;"&amp;'19_Расчет_аналитики'!BI3596,WeightedRevAge04)-SUMIF(ThresholdAge04,"&lt;"&amp;'19_Расчет_аналитики'!BI3596,WeightedMinAge04),MAX(CapacityAge04*'01_Вводные'!$B$218*'19_Расчет_аналитики'!BI3596,MeanMinAge04))),0)</f>
        <v/>
      </c>
      <c r="BJ3531">
        <f>IF('01_Вводные'!$B$234="Да",IF(OR(('19_Расчет_аналитики'!BJ3447-'19_Расчет_аналитики'!BJ3475)=0,4&lt;='01_Вводные'!$B$297),0,('19_Расчет_аналитики'!BJ3447-'19_Расчет_аналитики'!BJ3475)*IF('01_Вводные'!$B$239="Да",MeanMinAge04+'19_Расчет_аналитики'!BJ3596*SUMIF(ThresholdAge04,"&lt;"&amp;'19_Расчет_аналитики'!BJ3596,WeightedRevAge04)-SUMIF(ThresholdAge04,"&lt;"&amp;'19_Расчет_аналитики'!BJ3596,WeightedMinAge04),MAX(CapacityAge04*'01_Вводные'!$B$218*'19_Расчет_аналитики'!BJ3596,MeanMinAge04))),0)</f>
        <v/>
      </c>
      <c r="BK3531">
        <f>IF('01_Вводные'!$B$234="Да",IF(OR(('19_Расчет_аналитики'!BK3447-'19_Расчет_аналитики'!BK3475)=0,4&lt;='01_Вводные'!$B$297),0,('19_Расчет_аналитики'!BK3447-'19_Расчет_аналитики'!BK3475)*IF('01_Вводные'!$B$239="Да",MeanMinAge04+'19_Расчет_аналитики'!BK3596*SUMIF(ThresholdAge04,"&lt;"&amp;'19_Расчет_аналитики'!BK3596,WeightedRevAge04)-SUMIF(ThresholdAge04,"&lt;"&amp;'19_Расчет_аналитики'!BK3596,WeightedMinAge04),MAX(CapacityAge04*'01_Вводные'!$B$218*'19_Расчет_аналитики'!BK3596,MeanMinAge04))),0)</f>
        <v/>
      </c>
      <c r="BL3531">
        <f>IF('01_Вводные'!$B$234="Да",IF(OR(('19_Расчет_аналитики'!BL3447-'19_Расчет_аналитики'!BL3475)=0,4&lt;='01_Вводные'!$B$297),0,('19_Расчет_аналитики'!BL3447-'19_Расчет_аналитики'!BL3475)*IF('01_Вводные'!$B$239="Да",MeanMinAge04+'19_Расчет_аналитики'!BL3596*SUMIF(ThresholdAge04,"&lt;"&amp;'19_Расчет_аналитики'!BL3596,WeightedRevAge04)-SUMIF(ThresholdAge04,"&lt;"&amp;'19_Расчет_аналитики'!BL3596,WeightedMinAge04),MAX(CapacityAge04*'01_Вводные'!$B$218*'19_Расчет_аналитики'!BL3596,MeanMinAge04))),0)</f>
        <v/>
      </c>
      <c r="BM3531">
        <f>IF('01_Вводные'!$B$234="Да",IF(OR(('19_Расчет_аналитики'!BM3447-'19_Расчет_аналитики'!BM3475)=0,4&lt;='01_Вводные'!$B$297),0,('19_Расчет_аналитики'!BM3447-'19_Расчет_аналитики'!BM3475)*IF('01_Вводные'!$B$239="Да",MeanMinAge04+'19_Расчет_аналитики'!BM3596*SUMIF(ThresholdAge04,"&lt;"&amp;'19_Расчет_аналитики'!BM3596,WeightedRevAge04)-SUMIF(ThresholdAge04,"&lt;"&amp;'19_Расчет_аналитики'!BM3596,WeightedMinAge04),MAX(CapacityAge04*'01_Вводные'!$B$218*'19_Расчет_аналитики'!BM3596,MeanMinAge04))),0)</f>
        <v/>
      </c>
      <c r="BN3531">
        <f>IF('01_Вводные'!$B$234="Да",IF(OR(('19_Расчет_аналитики'!BN3447-'19_Расчет_аналитики'!BN3475)=0,4&lt;='01_Вводные'!$B$297),0,('19_Расчет_аналитики'!BN3447-'19_Расчет_аналитики'!BN3475)*IF('01_Вводные'!$B$239="Да",MeanMinAge04+'19_Расчет_аналитики'!BN3596*SUMIF(ThresholdAge04,"&lt;"&amp;'19_Расчет_аналитики'!BN3596,WeightedRevAge04)-SUMIF(ThresholdAge04,"&lt;"&amp;'19_Расчет_аналитики'!BN3596,WeightedMinAge04),MAX(CapacityAge04*'01_Вводные'!$B$218*'19_Расчет_аналитики'!BN3596,MeanMinAge04))),0)</f>
        <v/>
      </c>
      <c r="BO3531">
        <f>IF('01_Вводные'!$B$234="Да",IF(OR(('19_Расчет_аналитики'!BO3447-'19_Расчет_аналитики'!BO3475)=0,4&lt;='01_Вводные'!$B$297),0,('19_Расчет_аналитики'!BO3447-'19_Расчет_аналитики'!BO3475)*IF('01_Вводные'!$B$239="Да",MeanMinAge04+'19_Расчет_аналитики'!BO3596*SUMIF(ThresholdAge04,"&lt;"&amp;'19_Расчет_аналитики'!BO3596,WeightedRevAge04)-SUMIF(ThresholdAge04,"&lt;"&amp;'19_Расчет_аналитики'!BO3596,WeightedMinAge04),MAX(CapacityAge04*'01_Вводные'!$B$218*'19_Расчет_аналитики'!BO3596,MeanMinAge04))),0)</f>
        <v/>
      </c>
    </row>
    <row r="3532">
      <c r="B3532">
        <f>IF('01_Вводные'!$B$234="Да",IF(OR(('06_Сеть_и_дети'!B57-'06_Сеть_и_дети'!B85)=0,5&lt;='01_Вводные'!$B$297),0,('06_Сеть_и_дети'!B57-'06_Сеть_и_дети'!B85)*IF('01_Вводные'!$B$239="Да",MeanMinAge05+'19_Расчет_аналитики'!B3596*SUMIF(ThresholdAge05,"&lt;"&amp;'19_Расчет_аналитики'!B3596,WeightedRevAge05)-SUMIF(ThresholdAge05,"&lt;"&amp;'19_Расчет_аналитики'!B3596,WeightedMinAge05),MAX(CapacityAge05*'01_Вводные'!$B$218*'19_Расчет_аналитики'!B3596,MeanMinAge05))),0)</f>
        <v/>
      </c>
      <c r="C3532">
        <f>IF('01_Вводные'!$B$234="Да",IF(OR(('06_Сеть_и_дети'!C57-'06_Сеть_и_дети'!C85)=0,5&lt;='01_Вводные'!$B$297),0,('06_Сеть_и_дети'!C57-'06_Сеть_и_дети'!C85)*IF('01_Вводные'!$B$239="Да",MeanMinAge05+'19_Расчет_аналитики'!C3596*SUMIF(ThresholdAge05,"&lt;"&amp;'19_Расчет_аналитики'!C3596,WeightedRevAge05)-SUMIF(ThresholdAge05,"&lt;"&amp;'19_Расчет_аналитики'!C3596,WeightedMinAge05),MAX(CapacityAge05*'01_Вводные'!$B$218*'19_Расчет_аналитики'!C3596,MeanMinAge05))),0)</f>
        <v/>
      </c>
      <c r="D3532">
        <f>IF('01_Вводные'!$B$234="Да",IF(OR(('06_Сеть_и_дети'!D57-'06_Сеть_и_дети'!D85)=0,5&lt;='01_Вводные'!$B$297),0,('06_Сеть_и_дети'!D57-'06_Сеть_и_дети'!D85)*IF('01_Вводные'!$B$239="Да",MeanMinAge05+'19_Расчет_аналитики'!D3596*SUMIF(ThresholdAge05,"&lt;"&amp;'19_Расчет_аналитики'!D3596,WeightedRevAge05)-SUMIF(ThresholdAge05,"&lt;"&amp;'19_Расчет_аналитики'!D3596,WeightedMinAge05),MAX(CapacityAge05*'01_Вводные'!$B$218*'19_Расчет_аналитики'!D3596,MeanMinAge05))),0)</f>
        <v/>
      </c>
      <c r="E3532">
        <f>IF('01_Вводные'!$B$234="Да",IF(OR(('06_Сеть_и_дети'!E57-'06_Сеть_и_дети'!E85)=0,5&lt;='01_Вводные'!$B$297),0,('06_Сеть_и_дети'!E57-'06_Сеть_и_дети'!E85)*IF('01_Вводные'!$B$239="Да",MeanMinAge05+'19_Расчет_аналитики'!E3596*SUMIF(ThresholdAge05,"&lt;"&amp;'19_Расчет_аналитики'!E3596,WeightedRevAge05)-SUMIF(ThresholdAge05,"&lt;"&amp;'19_Расчет_аналитики'!E3596,WeightedMinAge05),MAX(CapacityAge05*'01_Вводные'!$B$218*'19_Расчет_аналитики'!E3596,MeanMinAge05))),0)</f>
        <v/>
      </c>
      <c r="F3532">
        <f>IF('01_Вводные'!$B$234="Да",IF(OR(('19_Расчет_аналитики'!F3448-'19_Расчет_аналитики'!F3476)=0,5&lt;='01_Вводные'!$B$297),0,('19_Расчет_аналитики'!F3448-'19_Расчет_аналитики'!F3476)*IF('01_Вводные'!$B$239="Да",MeanMinAge05+'19_Расчет_аналитики'!F3596*SUMIF(ThresholdAge05,"&lt;"&amp;'19_Расчет_аналитики'!F3596,WeightedRevAge05)-SUMIF(ThresholdAge05,"&lt;"&amp;'19_Расчет_аналитики'!F3596,WeightedMinAge05),MAX(CapacityAge05*'01_Вводные'!$B$218*'19_Расчет_аналитики'!F3596,MeanMinAge05))),0)</f>
        <v/>
      </c>
      <c r="G3532">
        <f>IF('01_Вводные'!$B$234="Да",IF(OR(('19_Расчет_аналитики'!G3448-'19_Расчет_аналитики'!G3476)=0,5&lt;='01_Вводные'!$B$297),0,('19_Расчет_аналитики'!G3448-'19_Расчет_аналитики'!G3476)*IF('01_Вводные'!$B$239="Да",MeanMinAge05+'19_Расчет_аналитики'!G3596*SUMIF(ThresholdAge05,"&lt;"&amp;'19_Расчет_аналитики'!G3596,WeightedRevAge05)-SUMIF(ThresholdAge05,"&lt;"&amp;'19_Расчет_аналитики'!G3596,WeightedMinAge05),MAX(CapacityAge05*'01_Вводные'!$B$218*'19_Расчет_аналитики'!G3596,MeanMinAge05))),0)</f>
        <v/>
      </c>
      <c r="H3532">
        <f>IF('01_Вводные'!$B$234="Да",IF(OR(('19_Расчет_аналитики'!H3448-'19_Расчет_аналитики'!H3476)=0,5&lt;='01_Вводные'!$B$297),0,('19_Расчет_аналитики'!H3448-'19_Расчет_аналитики'!H3476)*IF('01_Вводные'!$B$239="Да",MeanMinAge05+'19_Расчет_аналитики'!H3596*SUMIF(ThresholdAge05,"&lt;"&amp;'19_Расчет_аналитики'!H3596,WeightedRevAge05)-SUMIF(ThresholdAge05,"&lt;"&amp;'19_Расчет_аналитики'!H3596,WeightedMinAge05),MAX(CapacityAge05*'01_Вводные'!$B$218*'19_Расчет_аналитики'!H3596,MeanMinAge05))),0)</f>
        <v/>
      </c>
      <c r="I3532">
        <f>IF('01_Вводные'!$B$234="Да",IF(OR(('19_Расчет_аналитики'!I3448-'19_Расчет_аналитики'!I3476)=0,5&lt;='01_Вводные'!$B$297),0,('19_Расчет_аналитики'!I3448-'19_Расчет_аналитики'!I3476)*IF('01_Вводные'!$B$239="Да",MeanMinAge05+'19_Расчет_аналитики'!I3596*SUMIF(ThresholdAge05,"&lt;"&amp;'19_Расчет_аналитики'!I3596,WeightedRevAge05)-SUMIF(ThresholdAge05,"&lt;"&amp;'19_Расчет_аналитики'!I3596,WeightedMinAge05),MAX(CapacityAge05*'01_Вводные'!$B$218*'19_Расчет_аналитики'!I3596,MeanMinAge05))),0)</f>
        <v/>
      </c>
      <c r="J3532">
        <f>IF('01_Вводные'!$B$234="Да",IF(OR(('19_Расчет_аналитики'!J3448-'19_Расчет_аналитики'!J3476)=0,5&lt;='01_Вводные'!$B$297),0,('19_Расчет_аналитики'!J3448-'19_Расчет_аналитики'!J3476)*IF('01_Вводные'!$B$239="Да",MeanMinAge05+'19_Расчет_аналитики'!J3596*SUMIF(ThresholdAge05,"&lt;"&amp;'19_Расчет_аналитики'!J3596,WeightedRevAge05)-SUMIF(ThresholdAge05,"&lt;"&amp;'19_Расчет_аналитики'!J3596,WeightedMinAge05),MAX(CapacityAge05*'01_Вводные'!$B$218*'19_Расчет_аналитики'!J3596,MeanMinAge05))),0)</f>
        <v/>
      </c>
      <c r="K3532">
        <f>IF('01_Вводные'!$B$234="Да",IF(OR(('19_Расчет_аналитики'!K3448-'19_Расчет_аналитики'!K3476)=0,5&lt;='01_Вводные'!$B$297),0,('19_Расчет_аналитики'!K3448-'19_Расчет_аналитики'!K3476)*IF('01_Вводные'!$B$239="Да",MeanMinAge05+'19_Расчет_аналитики'!K3596*SUMIF(ThresholdAge05,"&lt;"&amp;'19_Расчет_аналитики'!K3596,WeightedRevAge05)-SUMIF(ThresholdAge05,"&lt;"&amp;'19_Расчет_аналитики'!K3596,WeightedMinAge05),MAX(CapacityAge05*'01_Вводные'!$B$218*'19_Расчет_аналитики'!K3596,MeanMinAge05))),0)</f>
        <v/>
      </c>
      <c r="L3532">
        <f>IF('01_Вводные'!$B$234="Да",IF(OR(('19_Расчет_аналитики'!L3448-'19_Расчет_аналитики'!L3476)=0,5&lt;='01_Вводные'!$B$297),0,('19_Расчет_аналитики'!L3448-'19_Расчет_аналитики'!L3476)*IF('01_Вводные'!$B$239="Да",MeanMinAge05+'19_Расчет_аналитики'!L3596*SUMIF(ThresholdAge05,"&lt;"&amp;'19_Расчет_аналитики'!L3596,WeightedRevAge05)-SUMIF(ThresholdAge05,"&lt;"&amp;'19_Расчет_аналитики'!L3596,WeightedMinAge05),MAX(CapacityAge05*'01_Вводные'!$B$218*'19_Расчет_аналитики'!L3596,MeanMinAge05))),0)</f>
        <v/>
      </c>
      <c r="M3532">
        <f>IF('01_Вводные'!$B$234="Да",IF(OR(('19_Расчет_аналитики'!M3448-'19_Расчет_аналитики'!M3476)=0,5&lt;='01_Вводные'!$B$297),0,('19_Расчет_аналитики'!M3448-'19_Расчет_аналитики'!M3476)*IF('01_Вводные'!$B$239="Да",MeanMinAge05+'19_Расчет_аналитики'!M3596*SUMIF(ThresholdAge05,"&lt;"&amp;'19_Расчет_аналитики'!M3596,WeightedRevAge05)-SUMIF(ThresholdAge05,"&lt;"&amp;'19_Расчет_аналитики'!M3596,WeightedMinAge05),MAX(CapacityAge05*'01_Вводные'!$B$218*'19_Расчет_аналитики'!M3596,MeanMinAge05))),0)</f>
        <v/>
      </c>
      <c r="N3532">
        <f>IF('01_Вводные'!$B$234="Да",IF(OR(('19_Расчет_аналитики'!N3448-'19_Расчет_аналитики'!N3476)=0,5&lt;='01_Вводные'!$B$297),0,('19_Расчет_аналитики'!N3448-'19_Расчет_аналитики'!N3476)*IF('01_Вводные'!$B$239="Да",MeanMinAge05+'19_Расчет_аналитики'!N3596*SUMIF(ThresholdAge05,"&lt;"&amp;'19_Расчет_аналитики'!N3596,WeightedRevAge05)-SUMIF(ThresholdAge05,"&lt;"&amp;'19_Расчет_аналитики'!N3596,WeightedMinAge05),MAX(CapacityAge05*'01_Вводные'!$B$218*'19_Расчет_аналитики'!N3596,MeanMinAge05))),0)</f>
        <v/>
      </c>
      <c r="O3532">
        <f>IF('01_Вводные'!$B$234="Да",IF(OR(('19_Расчет_аналитики'!O3448-'19_Расчет_аналитики'!O3476)=0,5&lt;='01_Вводные'!$B$297),0,('19_Расчет_аналитики'!O3448-'19_Расчет_аналитики'!O3476)*IF('01_Вводные'!$B$239="Да",MeanMinAge05+'19_Расчет_аналитики'!O3596*SUMIF(ThresholdAge05,"&lt;"&amp;'19_Расчет_аналитики'!O3596,WeightedRevAge05)-SUMIF(ThresholdAge05,"&lt;"&amp;'19_Расчет_аналитики'!O3596,WeightedMinAge05),MAX(CapacityAge05*'01_Вводные'!$B$218*'19_Расчет_аналитики'!O3596,MeanMinAge05))),0)</f>
        <v/>
      </c>
      <c r="P3532">
        <f>IF('01_Вводные'!$B$234="Да",IF(OR(('19_Расчет_аналитики'!P3448-'19_Расчет_аналитики'!P3476)=0,5&lt;='01_Вводные'!$B$297),0,('19_Расчет_аналитики'!P3448-'19_Расчет_аналитики'!P3476)*IF('01_Вводные'!$B$239="Да",MeanMinAge05+'19_Расчет_аналитики'!P3596*SUMIF(ThresholdAge05,"&lt;"&amp;'19_Расчет_аналитики'!P3596,WeightedRevAge05)-SUMIF(ThresholdAge05,"&lt;"&amp;'19_Расчет_аналитики'!P3596,WeightedMinAge05),MAX(CapacityAge05*'01_Вводные'!$B$218*'19_Расчет_аналитики'!P3596,MeanMinAge05))),0)</f>
        <v/>
      </c>
      <c r="Q3532">
        <f>IF('01_Вводные'!$B$234="Да",IF(OR(('19_Расчет_аналитики'!Q3448-'19_Расчет_аналитики'!Q3476)=0,5&lt;='01_Вводные'!$B$297),0,('19_Расчет_аналитики'!Q3448-'19_Расчет_аналитики'!Q3476)*IF('01_Вводные'!$B$239="Да",MeanMinAge05+'19_Расчет_аналитики'!Q3596*SUMIF(ThresholdAge05,"&lt;"&amp;'19_Расчет_аналитики'!Q3596,WeightedRevAge05)-SUMIF(ThresholdAge05,"&lt;"&amp;'19_Расчет_аналитики'!Q3596,WeightedMinAge05),MAX(CapacityAge05*'01_Вводные'!$B$218*'19_Расчет_аналитики'!Q3596,MeanMinAge05))),0)</f>
        <v/>
      </c>
      <c r="R3532">
        <f>IF('01_Вводные'!$B$234="Да",IF(OR(('19_Расчет_аналитики'!R3448-'19_Расчет_аналитики'!R3476)=0,5&lt;='01_Вводные'!$B$297),0,('19_Расчет_аналитики'!R3448-'19_Расчет_аналитики'!R3476)*IF('01_Вводные'!$B$239="Да",MeanMinAge05+'19_Расчет_аналитики'!R3596*SUMIF(ThresholdAge05,"&lt;"&amp;'19_Расчет_аналитики'!R3596,WeightedRevAge05)-SUMIF(ThresholdAge05,"&lt;"&amp;'19_Расчет_аналитики'!R3596,WeightedMinAge05),MAX(CapacityAge05*'01_Вводные'!$B$218*'19_Расчет_аналитики'!R3596,MeanMinAge05))),0)</f>
        <v/>
      </c>
      <c r="S3532">
        <f>IF('01_Вводные'!$B$234="Да",IF(OR(('19_Расчет_аналитики'!S3448-'19_Расчет_аналитики'!S3476)=0,5&lt;='01_Вводные'!$B$297),0,('19_Расчет_аналитики'!S3448-'19_Расчет_аналитики'!S3476)*IF('01_Вводные'!$B$239="Да",MeanMinAge05+'19_Расчет_аналитики'!S3596*SUMIF(ThresholdAge05,"&lt;"&amp;'19_Расчет_аналитики'!S3596,WeightedRevAge05)-SUMIF(ThresholdAge05,"&lt;"&amp;'19_Расчет_аналитики'!S3596,WeightedMinAge05),MAX(CapacityAge05*'01_Вводные'!$B$218*'19_Расчет_аналитики'!S3596,MeanMinAge05))),0)</f>
        <v/>
      </c>
      <c r="T3532">
        <f>IF('01_Вводные'!$B$234="Да",IF(OR(('19_Расчет_аналитики'!T3448-'19_Расчет_аналитики'!T3476)=0,5&lt;='01_Вводные'!$B$297),0,('19_Расчет_аналитики'!T3448-'19_Расчет_аналитики'!T3476)*IF('01_Вводные'!$B$239="Да",MeanMinAge05+'19_Расчет_аналитики'!T3596*SUMIF(ThresholdAge05,"&lt;"&amp;'19_Расчет_аналитики'!T3596,WeightedRevAge05)-SUMIF(ThresholdAge05,"&lt;"&amp;'19_Расчет_аналитики'!T3596,WeightedMinAge05),MAX(CapacityAge05*'01_Вводные'!$B$218*'19_Расчет_аналитики'!T3596,MeanMinAge05))),0)</f>
        <v/>
      </c>
      <c r="U3532">
        <f>IF('01_Вводные'!$B$234="Да",IF(OR(('19_Расчет_аналитики'!U3448-'19_Расчет_аналитики'!U3476)=0,5&lt;='01_Вводные'!$B$297),0,('19_Расчет_аналитики'!U3448-'19_Расчет_аналитики'!U3476)*IF('01_Вводные'!$B$239="Да",MeanMinAge05+'19_Расчет_аналитики'!U3596*SUMIF(ThresholdAge05,"&lt;"&amp;'19_Расчет_аналитики'!U3596,WeightedRevAge05)-SUMIF(ThresholdAge05,"&lt;"&amp;'19_Расчет_аналитики'!U3596,WeightedMinAge05),MAX(CapacityAge05*'01_Вводные'!$B$218*'19_Расчет_аналитики'!U3596,MeanMinAge05))),0)</f>
        <v/>
      </c>
      <c r="V3532">
        <f>IF('01_Вводные'!$B$234="Да",IF(OR(('19_Расчет_аналитики'!V3448-'19_Расчет_аналитики'!V3476)=0,5&lt;='01_Вводные'!$B$297),0,('19_Расчет_аналитики'!V3448-'19_Расчет_аналитики'!V3476)*IF('01_Вводные'!$B$239="Да",MeanMinAge05+'19_Расчет_аналитики'!V3596*SUMIF(ThresholdAge05,"&lt;"&amp;'19_Расчет_аналитики'!V3596,WeightedRevAge05)-SUMIF(ThresholdAge05,"&lt;"&amp;'19_Расчет_аналитики'!V3596,WeightedMinAge05),MAX(CapacityAge05*'01_Вводные'!$B$218*'19_Расчет_аналитики'!V3596,MeanMinAge05))),0)</f>
        <v/>
      </c>
      <c r="W3532">
        <f>IF('01_Вводные'!$B$234="Да",IF(OR(('19_Расчет_аналитики'!W3448-'19_Расчет_аналитики'!W3476)=0,5&lt;='01_Вводные'!$B$297),0,('19_Расчет_аналитики'!W3448-'19_Расчет_аналитики'!W3476)*IF('01_Вводные'!$B$239="Да",MeanMinAge05+'19_Расчет_аналитики'!W3596*SUMIF(ThresholdAge05,"&lt;"&amp;'19_Расчет_аналитики'!W3596,WeightedRevAge05)-SUMIF(ThresholdAge05,"&lt;"&amp;'19_Расчет_аналитики'!W3596,WeightedMinAge05),MAX(CapacityAge05*'01_Вводные'!$B$218*'19_Расчет_аналитики'!W3596,MeanMinAge05))),0)</f>
        <v/>
      </c>
      <c r="X3532">
        <f>IF('01_Вводные'!$B$234="Да",IF(OR(('19_Расчет_аналитики'!X3448-'19_Расчет_аналитики'!X3476)=0,5&lt;='01_Вводные'!$B$297),0,('19_Расчет_аналитики'!X3448-'19_Расчет_аналитики'!X3476)*IF('01_Вводные'!$B$239="Да",MeanMinAge05+'19_Расчет_аналитики'!X3596*SUMIF(ThresholdAge05,"&lt;"&amp;'19_Расчет_аналитики'!X3596,WeightedRevAge05)-SUMIF(ThresholdAge05,"&lt;"&amp;'19_Расчет_аналитики'!X3596,WeightedMinAge05),MAX(CapacityAge05*'01_Вводные'!$B$218*'19_Расчет_аналитики'!X3596,MeanMinAge05))),0)</f>
        <v/>
      </c>
      <c r="Y3532">
        <f>IF('01_Вводные'!$B$234="Да",IF(OR(('19_Расчет_аналитики'!Y3448-'19_Расчет_аналитики'!Y3476)=0,5&lt;='01_Вводные'!$B$297),0,('19_Расчет_аналитики'!Y3448-'19_Расчет_аналитики'!Y3476)*IF('01_Вводные'!$B$239="Да",MeanMinAge05+'19_Расчет_аналитики'!Y3596*SUMIF(ThresholdAge05,"&lt;"&amp;'19_Расчет_аналитики'!Y3596,WeightedRevAge05)-SUMIF(ThresholdAge05,"&lt;"&amp;'19_Расчет_аналитики'!Y3596,WeightedMinAge05),MAX(CapacityAge05*'01_Вводные'!$B$218*'19_Расчет_аналитики'!Y3596,MeanMinAge05))),0)</f>
        <v/>
      </c>
      <c r="Z3532">
        <f>IF('01_Вводные'!$B$234="Да",IF(OR(('19_Расчет_аналитики'!Z3448-'19_Расчет_аналитики'!Z3476)=0,5&lt;='01_Вводные'!$B$297),0,('19_Расчет_аналитики'!Z3448-'19_Расчет_аналитики'!Z3476)*IF('01_Вводные'!$B$239="Да",MeanMinAge05+'19_Расчет_аналитики'!Z3596*SUMIF(ThresholdAge05,"&lt;"&amp;'19_Расчет_аналитики'!Z3596,WeightedRevAge05)-SUMIF(ThresholdAge05,"&lt;"&amp;'19_Расчет_аналитики'!Z3596,WeightedMinAge05),MAX(CapacityAge05*'01_Вводные'!$B$218*'19_Расчет_аналитики'!Z3596,MeanMinAge05))),0)</f>
        <v/>
      </c>
      <c r="AA3532">
        <f>IF('01_Вводные'!$B$234="Да",IF(OR(('19_Расчет_аналитики'!AA3448-'19_Расчет_аналитики'!AA3476)=0,5&lt;='01_Вводные'!$B$297),0,('19_Расчет_аналитики'!AA3448-'19_Расчет_аналитики'!AA3476)*IF('01_Вводные'!$B$239="Да",MeanMinAge05+'19_Расчет_аналитики'!AA3596*SUMIF(ThresholdAge05,"&lt;"&amp;'19_Расчет_аналитики'!AA3596,WeightedRevAge05)-SUMIF(ThresholdAge05,"&lt;"&amp;'19_Расчет_аналитики'!AA3596,WeightedMinAge05),MAX(CapacityAge05*'01_Вводные'!$B$218*'19_Расчет_аналитики'!AA3596,MeanMinAge05))),0)</f>
        <v/>
      </c>
      <c r="AB3532">
        <f>IF('01_Вводные'!$B$234="Да",IF(OR(('19_Расчет_аналитики'!AB3448-'19_Расчет_аналитики'!AB3476)=0,5&lt;='01_Вводные'!$B$297),0,('19_Расчет_аналитики'!AB3448-'19_Расчет_аналитики'!AB3476)*IF('01_Вводные'!$B$239="Да",MeanMinAge05+'19_Расчет_аналитики'!AB3596*SUMIF(ThresholdAge05,"&lt;"&amp;'19_Расчет_аналитики'!AB3596,WeightedRevAge05)-SUMIF(ThresholdAge05,"&lt;"&amp;'19_Расчет_аналитики'!AB3596,WeightedMinAge05),MAX(CapacityAge05*'01_Вводные'!$B$218*'19_Расчет_аналитики'!AB3596,MeanMinAge05))),0)</f>
        <v/>
      </c>
      <c r="AC3532">
        <f>IF('01_Вводные'!$B$234="Да",IF(OR(('19_Расчет_аналитики'!AC3448-'19_Расчет_аналитики'!AC3476)=0,5&lt;='01_Вводные'!$B$297),0,('19_Расчет_аналитики'!AC3448-'19_Расчет_аналитики'!AC3476)*IF('01_Вводные'!$B$239="Да",MeanMinAge05+'19_Расчет_аналитики'!AC3596*SUMIF(ThresholdAge05,"&lt;"&amp;'19_Расчет_аналитики'!AC3596,WeightedRevAge05)-SUMIF(ThresholdAge05,"&lt;"&amp;'19_Расчет_аналитики'!AC3596,WeightedMinAge05),MAX(CapacityAge05*'01_Вводные'!$B$218*'19_Расчет_аналитики'!AC3596,MeanMinAge05))),0)</f>
        <v/>
      </c>
      <c r="AD3532">
        <f>IF('01_Вводные'!$B$234="Да",IF(OR(('19_Расчет_аналитики'!AD3448-'19_Расчет_аналитики'!AD3476)=0,5&lt;='01_Вводные'!$B$297),0,('19_Расчет_аналитики'!AD3448-'19_Расчет_аналитики'!AD3476)*IF('01_Вводные'!$B$239="Да",MeanMinAge05+'19_Расчет_аналитики'!AD3596*SUMIF(ThresholdAge05,"&lt;"&amp;'19_Расчет_аналитики'!AD3596,WeightedRevAge05)-SUMIF(ThresholdAge05,"&lt;"&amp;'19_Расчет_аналитики'!AD3596,WeightedMinAge05),MAX(CapacityAge05*'01_Вводные'!$B$218*'19_Расчет_аналитики'!AD3596,MeanMinAge05))),0)</f>
        <v/>
      </c>
      <c r="AE3532">
        <f>IF('01_Вводные'!$B$234="Да",IF(OR(('19_Расчет_аналитики'!AE3448-'19_Расчет_аналитики'!AE3476)=0,5&lt;='01_Вводные'!$B$297),0,('19_Расчет_аналитики'!AE3448-'19_Расчет_аналитики'!AE3476)*IF('01_Вводные'!$B$239="Да",MeanMinAge05+'19_Расчет_аналитики'!AE3596*SUMIF(ThresholdAge05,"&lt;"&amp;'19_Расчет_аналитики'!AE3596,WeightedRevAge05)-SUMIF(ThresholdAge05,"&lt;"&amp;'19_Расчет_аналитики'!AE3596,WeightedMinAge05),MAX(CapacityAge05*'01_Вводные'!$B$218*'19_Расчет_аналитики'!AE3596,MeanMinAge05))),0)</f>
        <v/>
      </c>
      <c r="AF3532">
        <f>IF('01_Вводные'!$B$234="Да",IF(OR(('19_Расчет_аналитики'!AF3448-'19_Расчет_аналитики'!AF3476)=0,5&lt;='01_Вводные'!$B$297),0,('19_Расчет_аналитики'!AF3448-'19_Расчет_аналитики'!AF3476)*IF('01_Вводные'!$B$239="Да",MeanMinAge05+'19_Расчет_аналитики'!AF3596*SUMIF(ThresholdAge05,"&lt;"&amp;'19_Расчет_аналитики'!AF3596,WeightedRevAge05)-SUMIF(ThresholdAge05,"&lt;"&amp;'19_Расчет_аналитики'!AF3596,WeightedMinAge05),MAX(CapacityAge05*'01_Вводные'!$B$218*'19_Расчет_аналитики'!AF3596,MeanMinAge05))),0)</f>
        <v/>
      </c>
      <c r="AG3532">
        <f>IF('01_Вводные'!$B$234="Да",IF(OR(('19_Расчет_аналитики'!AG3448-'19_Расчет_аналитики'!AG3476)=0,5&lt;='01_Вводные'!$B$297),0,('19_Расчет_аналитики'!AG3448-'19_Расчет_аналитики'!AG3476)*IF('01_Вводные'!$B$239="Да",MeanMinAge05+'19_Расчет_аналитики'!AG3596*SUMIF(ThresholdAge05,"&lt;"&amp;'19_Расчет_аналитики'!AG3596,WeightedRevAge05)-SUMIF(ThresholdAge05,"&lt;"&amp;'19_Расчет_аналитики'!AG3596,WeightedMinAge05),MAX(CapacityAge05*'01_Вводные'!$B$218*'19_Расчет_аналитики'!AG3596,MeanMinAge05))),0)</f>
        <v/>
      </c>
      <c r="AH3532">
        <f>IF('01_Вводные'!$B$234="Да",IF(OR(('19_Расчет_аналитики'!AH3448-'19_Расчет_аналитики'!AH3476)=0,5&lt;='01_Вводные'!$B$297),0,('19_Расчет_аналитики'!AH3448-'19_Расчет_аналитики'!AH3476)*IF('01_Вводные'!$B$239="Да",MeanMinAge05+'19_Расчет_аналитики'!AH3596*SUMIF(ThresholdAge05,"&lt;"&amp;'19_Расчет_аналитики'!AH3596,WeightedRevAge05)-SUMIF(ThresholdAge05,"&lt;"&amp;'19_Расчет_аналитики'!AH3596,WeightedMinAge05),MAX(CapacityAge05*'01_Вводные'!$B$218*'19_Расчет_аналитики'!AH3596,MeanMinAge05))),0)</f>
        <v/>
      </c>
      <c r="AI3532">
        <f>IF('01_Вводные'!$B$234="Да",IF(OR(('19_Расчет_аналитики'!AI3448-'19_Расчет_аналитики'!AI3476)=0,5&lt;='01_Вводные'!$B$297),0,('19_Расчет_аналитики'!AI3448-'19_Расчет_аналитики'!AI3476)*IF('01_Вводные'!$B$239="Да",MeanMinAge05+'19_Расчет_аналитики'!AI3596*SUMIF(ThresholdAge05,"&lt;"&amp;'19_Расчет_аналитики'!AI3596,WeightedRevAge05)-SUMIF(ThresholdAge05,"&lt;"&amp;'19_Расчет_аналитики'!AI3596,WeightedMinAge05),MAX(CapacityAge05*'01_Вводные'!$B$218*'19_Расчет_аналитики'!AI3596,MeanMinAge05))),0)</f>
        <v/>
      </c>
      <c r="AJ3532">
        <f>IF('01_Вводные'!$B$234="Да",IF(OR(('19_Расчет_аналитики'!AJ3448-'19_Расчет_аналитики'!AJ3476)=0,5&lt;='01_Вводные'!$B$297),0,('19_Расчет_аналитики'!AJ3448-'19_Расчет_аналитики'!AJ3476)*IF('01_Вводные'!$B$239="Да",MeanMinAge05+'19_Расчет_аналитики'!AJ3596*SUMIF(ThresholdAge05,"&lt;"&amp;'19_Расчет_аналитики'!AJ3596,WeightedRevAge05)-SUMIF(ThresholdAge05,"&lt;"&amp;'19_Расчет_аналитики'!AJ3596,WeightedMinAge05),MAX(CapacityAge05*'01_Вводные'!$B$218*'19_Расчет_аналитики'!AJ3596,MeanMinAge05))),0)</f>
        <v/>
      </c>
      <c r="AK3532">
        <f>IF('01_Вводные'!$B$234="Да",IF(OR(('19_Расчет_аналитики'!AK3448-'19_Расчет_аналитики'!AK3476)=0,5&lt;='01_Вводные'!$B$297),0,('19_Расчет_аналитики'!AK3448-'19_Расчет_аналитики'!AK3476)*IF('01_Вводные'!$B$239="Да",MeanMinAge05+'19_Расчет_аналитики'!AK3596*SUMIF(ThresholdAge05,"&lt;"&amp;'19_Расчет_аналитики'!AK3596,WeightedRevAge05)-SUMIF(ThresholdAge05,"&lt;"&amp;'19_Расчет_аналитики'!AK3596,WeightedMinAge05),MAX(CapacityAge05*'01_Вводные'!$B$218*'19_Расчет_аналитики'!AK3596,MeanMinAge05))),0)</f>
        <v/>
      </c>
      <c r="AL3532">
        <f>IF('01_Вводные'!$B$234="Да",IF(OR(('19_Расчет_аналитики'!AL3448-'19_Расчет_аналитики'!AL3476)=0,5&lt;='01_Вводные'!$B$297),0,('19_Расчет_аналитики'!AL3448-'19_Расчет_аналитики'!AL3476)*IF('01_Вводные'!$B$239="Да",MeanMinAge05+'19_Расчет_аналитики'!AL3596*SUMIF(ThresholdAge05,"&lt;"&amp;'19_Расчет_аналитики'!AL3596,WeightedRevAge05)-SUMIF(ThresholdAge05,"&lt;"&amp;'19_Расчет_аналитики'!AL3596,WeightedMinAge05),MAX(CapacityAge05*'01_Вводные'!$B$218*'19_Расчет_аналитики'!AL3596,MeanMinAge05))),0)</f>
        <v/>
      </c>
      <c r="AM3532">
        <f>IF('01_Вводные'!$B$234="Да",IF(OR(('19_Расчет_аналитики'!AM3448-'19_Расчет_аналитики'!AM3476)=0,5&lt;='01_Вводные'!$B$297),0,('19_Расчет_аналитики'!AM3448-'19_Расчет_аналитики'!AM3476)*IF('01_Вводные'!$B$239="Да",MeanMinAge05+'19_Расчет_аналитики'!AM3596*SUMIF(ThresholdAge05,"&lt;"&amp;'19_Расчет_аналитики'!AM3596,WeightedRevAge05)-SUMIF(ThresholdAge05,"&lt;"&amp;'19_Расчет_аналитики'!AM3596,WeightedMinAge05),MAX(CapacityAge05*'01_Вводные'!$B$218*'19_Расчет_аналитики'!AM3596,MeanMinAge05))),0)</f>
        <v/>
      </c>
      <c r="AN3532">
        <f>IF('01_Вводные'!$B$234="Да",IF(OR(('19_Расчет_аналитики'!AN3448-'19_Расчет_аналитики'!AN3476)=0,5&lt;='01_Вводные'!$B$297),0,('19_Расчет_аналитики'!AN3448-'19_Расчет_аналитики'!AN3476)*IF('01_Вводные'!$B$239="Да",MeanMinAge05+'19_Расчет_аналитики'!AN3596*SUMIF(ThresholdAge05,"&lt;"&amp;'19_Расчет_аналитики'!AN3596,WeightedRevAge05)-SUMIF(ThresholdAge05,"&lt;"&amp;'19_Расчет_аналитики'!AN3596,WeightedMinAge05),MAX(CapacityAge05*'01_Вводные'!$B$218*'19_Расчет_аналитики'!AN3596,MeanMinAge05))),0)</f>
        <v/>
      </c>
      <c r="AO3532">
        <f>IF('01_Вводные'!$B$234="Да",IF(OR(('19_Расчет_аналитики'!AO3448-'19_Расчет_аналитики'!AO3476)=0,5&lt;='01_Вводные'!$B$297),0,('19_Расчет_аналитики'!AO3448-'19_Расчет_аналитики'!AO3476)*IF('01_Вводные'!$B$239="Да",MeanMinAge05+'19_Расчет_аналитики'!AO3596*SUMIF(ThresholdAge05,"&lt;"&amp;'19_Расчет_аналитики'!AO3596,WeightedRevAge05)-SUMIF(ThresholdAge05,"&lt;"&amp;'19_Расчет_аналитики'!AO3596,WeightedMinAge05),MAX(CapacityAge05*'01_Вводные'!$B$218*'19_Расчет_аналитики'!AO3596,MeanMinAge05))),0)</f>
        <v/>
      </c>
      <c r="AP3532">
        <f>IF('01_Вводные'!$B$234="Да",IF(OR(('19_Расчет_аналитики'!AP3448-'19_Расчет_аналитики'!AP3476)=0,5&lt;='01_Вводные'!$B$297),0,('19_Расчет_аналитики'!AP3448-'19_Расчет_аналитики'!AP3476)*IF('01_Вводные'!$B$239="Да",MeanMinAge05+'19_Расчет_аналитики'!AP3596*SUMIF(ThresholdAge05,"&lt;"&amp;'19_Расчет_аналитики'!AP3596,WeightedRevAge05)-SUMIF(ThresholdAge05,"&lt;"&amp;'19_Расчет_аналитики'!AP3596,WeightedMinAge05),MAX(CapacityAge05*'01_Вводные'!$B$218*'19_Расчет_аналитики'!AP3596,MeanMinAge05))),0)</f>
        <v/>
      </c>
      <c r="AQ3532">
        <f>IF('01_Вводные'!$B$234="Да",IF(OR(('19_Расчет_аналитики'!AQ3448-'19_Расчет_аналитики'!AQ3476)=0,5&lt;='01_Вводные'!$B$297),0,('19_Расчет_аналитики'!AQ3448-'19_Расчет_аналитики'!AQ3476)*IF('01_Вводные'!$B$239="Да",MeanMinAge05+'19_Расчет_аналитики'!AQ3596*SUMIF(ThresholdAge05,"&lt;"&amp;'19_Расчет_аналитики'!AQ3596,WeightedRevAge05)-SUMIF(ThresholdAge05,"&lt;"&amp;'19_Расчет_аналитики'!AQ3596,WeightedMinAge05),MAX(CapacityAge05*'01_Вводные'!$B$218*'19_Расчет_аналитики'!AQ3596,MeanMinAge05))),0)</f>
        <v/>
      </c>
      <c r="AR3532">
        <f>IF('01_Вводные'!$B$234="Да",IF(OR(('19_Расчет_аналитики'!AR3448-'19_Расчет_аналитики'!AR3476)=0,5&lt;='01_Вводные'!$B$297),0,('19_Расчет_аналитики'!AR3448-'19_Расчет_аналитики'!AR3476)*IF('01_Вводные'!$B$239="Да",MeanMinAge05+'19_Расчет_аналитики'!AR3596*SUMIF(ThresholdAge05,"&lt;"&amp;'19_Расчет_аналитики'!AR3596,WeightedRevAge05)-SUMIF(ThresholdAge05,"&lt;"&amp;'19_Расчет_аналитики'!AR3596,WeightedMinAge05),MAX(CapacityAge05*'01_Вводные'!$B$218*'19_Расчет_аналитики'!AR3596,MeanMinAge05))),0)</f>
        <v/>
      </c>
      <c r="AS3532">
        <f>IF('01_Вводные'!$B$234="Да",IF(OR(('19_Расчет_аналитики'!AS3448-'19_Расчет_аналитики'!AS3476)=0,5&lt;='01_Вводные'!$B$297),0,('19_Расчет_аналитики'!AS3448-'19_Расчет_аналитики'!AS3476)*IF('01_Вводные'!$B$239="Да",MeanMinAge05+'19_Расчет_аналитики'!AS3596*SUMIF(ThresholdAge05,"&lt;"&amp;'19_Расчет_аналитики'!AS3596,WeightedRevAge05)-SUMIF(ThresholdAge05,"&lt;"&amp;'19_Расчет_аналитики'!AS3596,WeightedMinAge05),MAX(CapacityAge05*'01_Вводные'!$B$218*'19_Расчет_аналитики'!AS3596,MeanMinAge05))),0)</f>
        <v/>
      </c>
      <c r="AT3532">
        <f>IF('01_Вводные'!$B$234="Да",IF(OR(('19_Расчет_аналитики'!AT3448-'19_Расчет_аналитики'!AT3476)=0,5&lt;='01_Вводные'!$B$297),0,('19_Расчет_аналитики'!AT3448-'19_Расчет_аналитики'!AT3476)*IF('01_Вводные'!$B$239="Да",MeanMinAge05+'19_Расчет_аналитики'!AT3596*SUMIF(ThresholdAge05,"&lt;"&amp;'19_Расчет_аналитики'!AT3596,WeightedRevAge05)-SUMIF(ThresholdAge05,"&lt;"&amp;'19_Расчет_аналитики'!AT3596,WeightedMinAge05),MAX(CapacityAge05*'01_Вводные'!$B$218*'19_Расчет_аналитики'!AT3596,MeanMinAge05))),0)</f>
        <v/>
      </c>
      <c r="AU3532">
        <f>IF('01_Вводные'!$B$234="Да",IF(OR(('19_Расчет_аналитики'!AU3448-'19_Расчет_аналитики'!AU3476)=0,5&lt;='01_Вводные'!$B$297),0,('19_Расчет_аналитики'!AU3448-'19_Расчет_аналитики'!AU3476)*IF('01_Вводные'!$B$239="Да",MeanMinAge05+'19_Расчет_аналитики'!AU3596*SUMIF(ThresholdAge05,"&lt;"&amp;'19_Расчет_аналитики'!AU3596,WeightedRevAge05)-SUMIF(ThresholdAge05,"&lt;"&amp;'19_Расчет_аналитики'!AU3596,WeightedMinAge05),MAX(CapacityAge05*'01_Вводные'!$B$218*'19_Расчет_аналитики'!AU3596,MeanMinAge05))),0)</f>
        <v/>
      </c>
      <c r="AV3532">
        <f>IF('01_Вводные'!$B$234="Да",IF(OR(('19_Расчет_аналитики'!AV3448-'19_Расчет_аналитики'!AV3476)=0,5&lt;='01_Вводные'!$B$297),0,('19_Расчет_аналитики'!AV3448-'19_Расчет_аналитики'!AV3476)*IF('01_Вводные'!$B$239="Да",MeanMinAge05+'19_Расчет_аналитики'!AV3596*SUMIF(ThresholdAge05,"&lt;"&amp;'19_Расчет_аналитики'!AV3596,WeightedRevAge05)-SUMIF(ThresholdAge05,"&lt;"&amp;'19_Расчет_аналитики'!AV3596,WeightedMinAge05),MAX(CapacityAge05*'01_Вводные'!$B$218*'19_Расчет_аналитики'!AV3596,MeanMinAge05))),0)</f>
        <v/>
      </c>
      <c r="AW3532">
        <f>IF('01_Вводные'!$B$234="Да",IF(OR(('19_Расчет_аналитики'!AW3448-'19_Расчет_аналитики'!AW3476)=0,5&lt;='01_Вводные'!$B$297),0,('19_Расчет_аналитики'!AW3448-'19_Расчет_аналитики'!AW3476)*IF('01_Вводные'!$B$239="Да",MeanMinAge05+'19_Расчет_аналитики'!AW3596*SUMIF(ThresholdAge05,"&lt;"&amp;'19_Расчет_аналитики'!AW3596,WeightedRevAge05)-SUMIF(ThresholdAge05,"&lt;"&amp;'19_Расчет_аналитики'!AW3596,WeightedMinAge05),MAX(CapacityAge05*'01_Вводные'!$B$218*'19_Расчет_аналитики'!AW3596,MeanMinAge05))),0)</f>
        <v/>
      </c>
      <c r="AX3532">
        <f>IF('01_Вводные'!$B$234="Да",IF(OR(('19_Расчет_аналитики'!AX3448-'19_Расчет_аналитики'!AX3476)=0,5&lt;='01_Вводные'!$B$297),0,('19_Расчет_аналитики'!AX3448-'19_Расчет_аналитики'!AX3476)*IF('01_Вводные'!$B$239="Да",MeanMinAge05+'19_Расчет_аналитики'!AX3596*SUMIF(ThresholdAge05,"&lt;"&amp;'19_Расчет_аналитики'!AX3596,WeightedRevAge05)-SUMIF(ThresholdAge05,"&lt;"&amp;'19_Расчет_аналитики'!AX3596,WeightedMinAge05),MAX(CapacityAge05*'01_Вводные'!$B$218*'19_Расчет_аналитики'!AX3596,MeanMinAge05))),0)</f>
        <v/>
      </c>
      <c r="AY3532">
        <f>IF('01_Вводные'!$B$234="Да",IF(OR(('19_Расчет_аналитики'!AY3448-'19_Расчет_аналитики'!AY3476)=0,5&lt;='01_Вводные'!$B$297),0,('19_Расчет_аналитики'!AY3448-'19_Расчет_аналитики'!AY3476)*IF('01_Вводные'!$B$239="Да",MeanMinAge05+'19_Расчет_аналитики'!AY3596*SUMIF(ThresholdAge05,"&lt;"&amp;'19_Расчет_аналитики'!AY3596,WeightedRevAge05)-SUMIF(ThresholdAge05,"&lt;"&amp;'19_Расчет_аналитики'!AY3596,WeightedMinAge05),MAX(CapacityAge05*'01_Вводные'!$B$218*'19_Расчет_аналитики'!AY3596,MeanMinAge05))),0)</f>
        <v/>
      </c>
      <c r="AZ3532">
        <f>IF('01_Вводные'!$B$234="Да",IF(OR(('19_Расчет_аналитики'!AZ3448-'19_Расчет_аналитики'!AZ3476)=0,5&lt;='01_Вводные'!$B$297),0,('19_Расчет_аналитики'!AZ3448-'19_Расчет_аналитики'!AZ3476)*IF('01_Вводные'!$B$239="Да",MeanMinAge05+'19_Расчет_аналитики'!AZ3596*SUMIF(ThresholdAge05,"&lt;"&amp;'19_Расчет_аналитики'!AZ3596,WeightedRevAge05)-SUMIF(ThresholdAge05,"&lt;"&amp;'19_Расчет_аналитики'!AZ3596,WeightedMinAge05),MAX(CapacityAge05*'01_Вводные'!$B$218*'19_Расчет_аналитики'!AZ3596,MeanMinAge05))),0)</f>
        <v/>
      </c>
      <c r="BA3532">
        <f>IF('01_Вводные'!$B$234="Да",IF(OR(('19_Расчет_аналитики'!BA3448-'19_Расчет_аналитики'!BA3476)=0,5&lt;='01_Вводные'!$B$297),0,('19_Расчет_аналитики'!BA3448-'19_Расчет_аналитики'!BA3476)*IF('01_Вводные'!$B$239="Да",MeanMinAge05+'19_Расчет_аналитики'!BA3596*SUMIF(ThresholdAge05,"&lt;"&amp;'19_Расчет_аналитики'!BA3596,WeightedRevAge05)-SUMIF(ThresholdAge05,"&lt;"&amp;'19_Расчет_аналитики'!BA3596,WeightedMinAge05),MAX(CapacityAge05*'01_Вводные'!$B$218*'19_Расчет_аналитики'!BA3596,MeanMinAge05))),0)</f>
        <v/>
      </c>
      <c r="BB3532">
        <f>IF('01_Вводные'!$B$234="Да",IF(OR(('19_Расчет_аналитики'!BB3448-'19_Расчет_аналитики'!BB3476)=0,5&lt;='01_Вводные'!$B$297),0,('19_Расчет_аналитики'!BB3448-'19_Расчет_аналитики'!BB3476)*IF('01_Вводные'!$B$239="Да",MeanMinAge05+'19_Расчет_аналитики'!BB3596*SUMIF(ThresholdAge05,"&lt;"&amp;'19_Расчет_аналитики'!BB3596,WeightedRevAge05)-SUMIF(ThresholdAge05,"&lt;"&amp;'19_Расчет_аналитики'!BB3596,WeightedMinAge05),MAX(CapacityAge05*'01_Вводные'!$B$218*'19_Расчет_аналитики'!BB3596,MeanMinAge05))),0)</f>
        <v/>
      </c>
      <c r="BC3532">
        <f>IF('01_Вводные'!$B$234="Да",IF(OR(('19_Расчет_аналитики'!BC3448-'19_Расчет_аналитики'!BC3476)=0,5&lt;='01_Вводные'!$B$297),0,('19_Расчет_аналитики'!BC3448-'19_Расчет_аналитики'!BC3476)*IF('01_Вводные'!$B$239="Да",MeanMinAge05+'19_Расчет_аналитики'!BC3596*SUMIF(ThresholdAge05,"&lt;"&amp;'19_Расчет_аналитики'!BC3596,WeightedRevAge05)-SUMIF(ThresholdAge05,"&lt;"&amp;'19_Расчет_аналитики'!BC3596,WeightedMinAge05),MAX(CapacityAge05*'01_Вводные'!$B$218*'19_Расчет_аналитики'!BC3596,MeanMinAge05))),0)</f>
        <v/>
      </c>
      <c r="BD3532">
        <f>IF('01_Вводные'!$B$234="Да",IF(OR(('19_Расчет_аналитики'!BD3448-'19_Расчет_аналитики'!BD3476)=0,5&lt;='01_Вводные'!$B$297),0,('19_Расчет_аналитики'!BD3448-'19_Расчет_аналитики'!BD3476)*IF('01_Вводные'!$B$239="Да",MeanMinAge05+'19_Расчет_аналитики'!BD3596*SUMIF(ThresholdAge05,"&lt;"&amp;'19_Расчет_аналитики'!BD3596,WeightedRevAge05)-SUMIF(ThresholdAge05,"&lt;"&amp;'19_Расчет_аналитики'!BD3596,WeightedMinAge05),MAX(CapacityAge05*'01_Вводные'!$B$218*'19_Расчет_аналитики'!BD3596,MeanMinAge05))),0)</f>
        <v/>
      </c>
      <c r="BE3532">
        <f>IF('01_Вводные'!$B$234="Да",IF(OR(('19_Расчет_аналитики'!BE3448-'19_Расчет_аналитики'!BE3476)=0,5&lt;='01_Вводные'!$B$297),0,('19_Расчет_аналитики'!BE3448-'19_Расчет_аналитики'!BE3476)*IF('01_Вводные'!$B$239="Да",MeanMinAge05+'19_Расчет_аналитики'!BE3596*SUMIF(ThresholdAge05,"&lt;"&amp;'19_Расчет_аналитики'!BE3596,WeightedRevAge05)-SUMIF(ThresholdAge05,"&lt;"&amp;'19_Расчет_аналитики'!BE3596,WeightedMinAge05),MAX(CapacityAge05*'01_Вводные'!$B$218*'19_Расчет_аналитики'!BE3596,MeanMinAge05))),0)</f>
        <v/>
      </c>
      <c r="BF3532">
        <f>IF('01_Вводные'!$B$234="Да",IF(OR(('19_Расчет_аналитики'!BF3448-'19_Расчет_аналитики'!BF3476)=0,5&lt;='01_Вводные'!$B$297),0,('19_Расчет_аналитики'!BF3448-'19_Расчет_аналитики'!BF3476)*IF('01_Вводные'!$B$239="Да",MeanMinAge05+'19_Расчет_аналитики'!BF3596*SUMIF(ThresholdAge05,"&lt;"&amp;'19_Расчет_аналитики'!BF3596,WeightedRevAge05)-SUMIF(ThresholdAge05,"&lt;"&amp;'19_Расчет_аналитики'!BF3596,WeightedMinAge05),MAX(CapacityAge05*'01_Вводные'!$B$218*'19_Расчет_аналитики'!BF3596,MeanMinAge05))),0)</f>
        <v/>
      </c>
      <c r="BG3532">
        <f>IF('01_Вводные'!$B$234="Да",IF(OR(('19_Расчет_аналитики'!BG3448-'19_Расчет_аналитики'!BG3476)=0,5&lt;='01_Вводные'!$B$297),0,('19_Расчет_аналитики'!BG3448-'19_Расчет_аналитики'!BG3476)*IF('01_Вводные'!$B$239="Да",MeanMinAge05+'19_Расчет_аналитики'!BG3596*SUMIF(ThresholdAge05,"&lt;"&amp;'19_Расчет_аналитики'!BG3596,WeightedRevAge05)-SUMIF(ThresholdAge05,"&lt;"&amp;'19_Расчет_аналитики'!BG3596,WeightedMinAge05),MAX(CapacityAge05*'01_Вводные'!$B$218*'19_Расчет_аналитики'!BG3596,MeanMinAge05))),0)</f>
        <v/>
      </c>
      <c r="BH3532">
        <f>IF('01_Вводные'!$B$234="Да",IF(OR(('19_Расчет_аналитики'!BH3448-'19_Расчет_аналитики'!BH3476)=0,5&lt;='01_Вводные'!$B$297),0,('19_Расчет_аналитики'!BH3448-'19_Расчет_аналитики'!BH3476)*IF('01_Вводные'!$B$239="Да",MeanMinAge05+'19_Расчет_аналитики'!BH3596*SUMIF(ThresholdAge05,"&lt;"&amp;'19_Расчет_аналитики'!BH3596,WeightedRevAge05)-SUMIF(ThresholdAge05,"&lt;"&amp;'19_Расчет_аналитики'!BH3596,WeightedMinAge05),MAX(CapacityAge05*'01_Вводные'!$B$218*'19_Расчет_аналитики'!BH3596,MeanMinAge05))),0)</f>
        <v/>
      </c>
      <c r="BI3532">
        <f>IF('01_Вводные'!$B$234="Да",IF(OR(('19_Расчет_аналитики'!BI3448-'19_Расчет_аналитики'!BI3476)=0,5&lt;='01_Вводные'!$B$297),0,('19_Расчет_аналитики'!BI3448-'19_Расчет_аналитики'!BI3476)*IF('01_Вводные'!$B$239="Да",MeanMinAge05+'19_Расчет_аналитики'!BI3596*SUMIF(ThresholdAge05,"&lt;"&amp;'19_Расчет_аналитики'!BI3596,WeightedRevAge05)-SUMIF(ThresholdAge05,"&lt;"&amp;'19_Расчет_аналитики'!BI3596,WeightedMinAge05),MAX(CapacityAge05*'01_Вводные'!$B$218*'19_Расчет_аналитики'!BI3596,MeanMinAge05))),0)</f>
        <v/>
      </c>
      <c r="BJ3532">
        <f>IF('01_Вводные'!$B$234="Да",IF(OR(('19_Расчет_аналитики'!BJ3448-'19_Расчет_аналитики'!BJ3476)=0,5&lt;='01_Вводные'!$B$297),0,('19_Расчет_аналитики'!BJ3448-'19_Расчет_аналитики'!BJ3476)*IF('01_Вводные'!$B$239="Да",MeanMinAge05+'19_Расчет_аналитики'!BJ3596*SUMIF(ThresholdAge05,"&lt;"&amp;'19_Расчет_аналитики'!BJ3596,WeightedRevAge05)-SUMIF(ThresholdAge05,"&lt;"&amp;'19_Расчет_аналитики'!BJ3596,WeightedMinAge05),MAX(CapacityAge05*'01_Вводные'!$B$218*'19_Расчет_аналитики'!BJ3596,MeanMinAge05))),0)</f>
        <v/>
      </c>
      <c r="BK3532">
        <f>IF('01_Вводные'!$B$234="Да",IF(OR(('19_Расчет_аналитики'!BK3448-'19_Расчет_аналитики'!BK3476)=0,5&lt;='01_Вводные'!$B$297),0,('19_Расчет_аналитики'!BK3448-'19_Расчет_аналитики'!BK3476)*IF('01_Вводные'!$B$239="Да",MeanMinAge05+'19_Расчет_аналитики'!BK3596*SUMIF(ThresholdAge05,"&lt;"&amp;'19_Расчет_аналитики'!BK3596,WeightedRevAge05)-SUMIF(ThresholdAge05,"&lt;"&amp;'19_Расчет_аналитики'!BK3596,WeightedMinAge05),MAX(CapacityAge05*'01_Вводные'!$B$218*'19_Расчет_аналитики'!BK3596,MeanMinAge05))),0)</f>
        <v/>
      </c>
      <c r="BL3532">
        <f>IF('01_Вводные'!$B$234="Да",IF(OR(('19_Расчет_аналитики'!BL3448-'19_Расчет_аналитики'!BL3476)=0,5&lt;='01_Вводные'!$B$297),0,('19_Расчет_аналитики'!BL3448-'19_Расчет_аналитики'!BL3476)*IF('01_Вводные'!$B$239="Да",MeanMinAge05+'19_Расчет_аналитики'!BL3596*SUMIF(ThresholdAge05,"&lt;"&amp;'19_Расчет_аналитики'!BL3596,WeightedRevAge05)-SUMIF(ThresholdAge05,"&lt;"&amp;'19_Расчет_аналитики'!BL3596,WeightedMinAge05),MAX(CapacityAge05*'01_Вводные'!$B$218*'19_Расчет_аналитики'!BL3596,MeanMinAge05))),0)</f>
        <v/>
      </c>
      <c r="BM3532">
        <f>IF('01_Вводные'!$B$234="Да",IF(OR(('19_Расчет_аналитики'!BM3448-'19_Расчет_аналитики'!BM3476)=0,5&lt;='01_Вводные'!$B$297),0,('19_Расчет_аналитики'!BM3448-'19_Расчет_аналитики'!BM3476)*IF('01_Вводные'!$B$239="Да",MeanMinAge05+'19_Расчет_аналитики'!BM3596*SUMIF(ThresholdAge05,"&lt;"&amp;'19_Расчет_аналитики'!BM3596,WeightedRevAge05)-SUMIF(ThresholdAge05,"&lt;"&amp;'19_Расчет_аналитики'!BM3596,WeightedMinAge05),MAX(CapacityAge05*'01_Вводные'!$B$218*'19_Расчет_аналитики'!BM3596,MeanMinAge05))),0)</f>
        <v/>
      </c>
      <c r="BN3532">
        <f>IF('01_Вводные'!$B$234="Да",IF(OR(('19_Расчет_аналитики'!BN3448-'19_Расчет_аналитики'!BN3476)=0,5&lt;='01_Вводные'!$B$297),0,('19_Расчет_аналитики'!BN3448-'19_Расчет_аналитики'!BN3476)*IF('01_Вводные'!$B$239="Да",MeanMinAge05+'19_Расчет_аналитики'!BN3596*SUMIF(ThresholdAge05,"&lt;"&amp;'19_Расчет_аналитики'!BN3596,WeightedRevAge05)-SUMIF(ThresholdAge05,"&lt;"&amp;'19_Расчет_аналитики'!BN3596,WeightedMinAge05),MAX(CapacityAge05*'01_Вводные'!$B$218*'19_Расчет_аналитики'!BN3596,MeanMinAge05))),0)</f>
        <v/>
      </c>
      <c r="BO3532">
        <f>IF('01_Вводные'!$B$234="Да",IF(OR(('19_Расчет_аналитики'!BO3448-'19_Расчет_аналитики'!BO3476)=0,5&lt;='01_Вводные'!$B$297),0,('19_Расчет_аналитики'!BO3448-'19_Расчет_аналитики'!BO3476)*IF('01_Вводные'!$B$239="Да",MeanMinAge05+'19_Расчет_аналитики'!BO3596*SUMIF(ThresholdAge05,"&lt;"&amp;'19_Расчет_аналитики'!BO3596,WeightedRevAge05)-SUMIF(ThresholdAge05,"&lt;"&amp;'19_Расчет_аналитики'!BO3596,WeightedMinAge05),MAX(CapacityAge05*'01_Вводные'!$B$218*'19_Расчет_аналитики'!BO3596,MeanMinAge05))),0)</f>
        <v/>
      </c>
    </row>
    <row r="3533">
      <c r="B3533">
        <f>IF('01_Вводные'!$B$234="Да",IF(OR(('06_Сеть_и_дети'!B58-'06_Сеть_и_дети'!B86)=0,6&lt;='01_Вводные'!$B$297),0,('06_Сеть_и_дети'!B58-'06_Сеть_и_дети'!B86)*IF('01_Вводные'!$B$239="Да",MeanMinAge06+'19_Расчет_аналитики'!B3596*SUMIF(ThresholdAge06,"&lt;"&amp;'19_Расчет_аналитики'!B3596,WeightedRevAge06)-SUMIF(ThresholdAge06,"&lt;"&amp;'19_Расчет_аналитики'!B3596,WeightedMinAge06),MAX(CapacityAge06*'01_Вводные'!$B$218*'19_Расчет_аналитики'!B3596,MeanMinAge06))),0)</f>
        <v/>
      </c>
      <c r="C3533">
        <f>IF('01_Вводные'!$B$234="Да",IF(OR(('06_Сеть_и_дети'!C58-'06_Сеть_и_дети'!C86)=0,6&lt;='01_Вводные'!$B$297),0,('06_Сеть_и_дети'!C58-'06_Сеть_и_дети'!C86)*IF('01_Вводные'!$B$239="Да",MeanMinAge06+'19_Расчет_аналитики'!C3596*SUMIF(ThresholdAge06,"&lt;"&amp;'19_Расчет_аналитики'!C3596,WeightedRevAge06)-SUMIF(ThresholdAge06,"&lt;"&amp;'19_Расчет_аналитики'!C3596,WeightedMinAge06),MAX(CapacityAge06*'01_Вводные'!$B$218*'19_Расчет_аналитики'!C3596,MeanMinAge06))),0)</f>
        <v/>
      </c>
      <c r="D3533">
        <f>IF('01_Вводные'!$B$234="Да",IF(OR(('06_Сеть_и_дети'!D58-'06_Сеть_и_дети'!D86)=0,6&lt;='01_Вводные'!$B$297),0,('06_Сеть_и_дети'!D58-'06_Сеть_и_дети'!D86)*IF('01_Вводные'!$B$239="Да",MeanMinAge06+'19_Расчет_аналитики'!D3596*SUMIF(ThresholdAge06,"&lt;"&amp;'19_Расчет_аналитики'!D3596,WeightedRevAge06)-SUMIF(ThresholdAge06,"&lt;"&amp;'19_Расчет_аналитики'!D3596,WeightedMinAge06),MAX(CapacityAge06*'01_Вводные'!$B$218*'19_Расчет_аналитики'!D3596,MeanMinAge06))),0)</f>
        <v/>
      </c>
      <c r="E3533">
        <f>IF('01_Вводные'!$B$234="Да",IF(OR(('06_Сеть_и_дети'!E58-'06_Сеть_и_дети'!E86)=0,6&lt;='01_Вводные'!$B$297),0,('06_Сеть_и_дети'!E58-'06_Сеть_и_дети'!E86)*IF('01_Вводные'!$B$239="Да",MeanMinAge06+'19_Расчет_аналитики'!E3596*SUMIF(ThresholdAge06,"&lt;"&amp;'19_Расчет_аналитики'!E3596,WeightedRevAge06)-SUMIF(ThresholdAge06,"&lt;"&amp;'19_Расчет_аналитики'!E3596,WeightedMinAge06),MAX(CapacityAge06*'01_Вводные'!$B$218*'19_Расчет_аналитики'!E3596,MeanMinAge06))),0)</f>
        <v/>
      </c>
      <c r="F3533">
        <f>IF('01_Вводные'!$B$234="Да",IF(OR(('06_Сеть_и_дети'!F58-'06_Сеть_и_дети'!F86)=0,6&lt;='01_Вводные'!$B$297),0,('06_Сеть_и_дети'!F58-'06_Сеть_и_дети'!F86)*IF('01_Вводные'!$B$239="Да",MeanMinAge06+'19_Расчет_аналитики'!F3596*SUMIF(ThresholdAge06,"&lt;"&amp;'19_Расчет_аналитики'!F3596,WeightedRevAge06)-SUMIF(ThresholdAge06,"&lt;"&amp;'19_Расчет_аналитики'!F3596,WeightedMinAge06),MAX(CapacityAge06*'01_Вводные'!$B$218*'19_Расчет_аналитики'!F3596,MeanMinAge06))),0)</f>
        <v/>
      </c>
      <c r="G3533">
        <f>IF('01_Вводные'!$B$234="Да",IF(OR(('19_Расчет_аналитики'!G3449-'19_Расчет_аналитики'!G3477)=0,6&lt;='01_Вводные'!$B$297),0,('19_Расчет_аналитики'!G3449-'19_Расчет_аналитики'!G3477)*IF('01_Вводные'!$B$239="Да",MeanMinAge06+'19_Расчет_аналитики'!G3596*SUMIF(ThresholdAge06,"&lt;"&amp;'19_Расчет_аналитики'!G3596,WeightedRevAge06)-SUMIF(ThresholdAge06,"&lt;"&amp;'19_Расчет_аналитики'!G3596,WeightedMinAge06),MAX(CapacityAge06*'01_Вводные'!$B$218*'19_Расчет_аналитики'!G3596,MeanMinAge06))),0)</f>
        <v/>
      </c>
      <c r="H3533">
        <f>IF('01_Вводные'!$B$234="Да",IF(OR(('19_Расчет_аналитики'!H3449-'19_Расчет_аналитики'!H3477)=0,6&lt;='01_Вводные'!$B$297),0,('19_Расчет_аналитики'!H3449-'19_Расчет_аналитики'!H3477)*IF('01_Вводные'!$B$239="Да",MeanMinAge06+'19_Расчет_аналитики'!H3596*SUMIF(ThresholdAge06,"&lt;"&amp;'19_Расчет_аналитики'!H3596,WeightedRevAge06)-SUMIF(ThresholdAge06,"&lt;"&amp;'19_Расчет_аналитики'!H3596,WeightedMinAge06),MAX(CapacityAge06*'01_Вводные'!$B$218*'19_Расчет_аналитики'!H3596,MeanMinAge06))),0)</f>
        <v/>
      </c>
      <c r="I3533">
        <f>IF('01_Вводные'!$B$234="Да",IF(OR(('19_Расчет_аналитики'!I3449-'19_Расчет_аналитики'!I3477)=0,6&lt;='01_Вводные'!$B$297),0,('19_Расчет_аналитики'!I3449-'19_Расчет_аналитики'!I3477)*IF('01_Вводные'!$B$239="Да",MeanMinAge06+'19_Расчет_аналитики'!I3596*SUMIF(ThresholdAge06,"&lt;"&amp;'19_Расчет_аналитики'!I3596,WeightedRevAge06)-SUMIF(ThresholdAge06,"&lt;"&amp;'19_Расчет_аналитики'!I3596,WeightedMinAge06),MAX(CapacityAge06*'01_Вводные'!$B$218*'19_Расчет_аналитики'!I3596,MeanMinAge06))),0)</f>
        <v/>
      </c>
      <c r="J3533">
        <f>IF('01_Вводные'!$B$234="Да",IF(OR(('19_Расчет_аналитики'!J3449-'19_Расчет_аналитики'!J3477)=0,6&lt;='01_Вводные'!$B$297),0,('19_Расчет_аналитики'!J3449-'19_Расчет_аналитики'!J3477)*IF('01_Вводные'!$B$239="Да",MeanMinAge06+'19_Расчет_аналитики'!J3596*SUMIF(ThresholdAge06,"&lt;"&amp;'19_Расчет_аналитики'!J3596,WeightedRevAge06)-SUMIF(ThresholdAge06,"&lt;"&amp;'19_Расчет_аналитики'!J3596,WeightedMinAge06),MAX(CapacityAge06*'01_Вводные'!$B$218*'19_Расчет_аналитики'!J3596,MeanMinAge06))),0)</f>
        <v/>
      </c>
      <c r="K3533">
        <f>IF('01_Вводные'!$B$234="Да",IF(OR(('19_Расчет_аналитики'!K3449-'19_Расчет_аналитики'!K3477)=0,6&lt;='01_Вводные'!$B$297),0,('19_Расчет_аналитики'!K3449-'19_Расчет_аналитики'!K3477)*IF('01_Вводные'!$B$239="Да",MeanMinAge06+'19_Расчет_аналитики'!K3596*SUMIF(ThresholdAge06,"&lt;"&amp;'19_Расчет_аналитики'!K3596,WeightedRevAge06)-SUMIF(ThresholdAge06,"&lt;"&amp;'19_Расчет_аналитики'!K3596,WeightedMinAge06),MAX(CapacityAge06*'01_Вводные'!$B$218*'19_Расчет_аналитики'!K3596,MeanMinAge06))),0)</f>
        <v/>
      </c>
      <c r="L3533">
        <f>IF('01_Вводные'!$B$234="Да",IF(OR(('19_Расчет_аналитики'!L3449-'19_Расчет_аналитики'!L3477)=0,6&lt;='01_Вводные'!$B$297),0,('19_Расчет_аналитики'!L3449-'19_Расчет_аналитики'!L3477)*IF('01_Вводные'!$B$239="Да",MeanMinAge06+'19_Расчет_аналитики'!L3596*SUMIF(ThresholdAge06,"&lt;"&amp;'19_Расчет_аналитики'!L3596,WeightedRevAge06)-SUMIF(ThresholdAge06,"&lt;"&amp;'19_Расчет_аналитики'!L3596,WeightedMinAge06),MAX(CapacityAge06*'01_Вводные'!$B$218*'19_Расчет_аналитики'!L3596,MeanMinAge06))),0)</f>
        <v/>
      </c>
      <c r="M3533">
        <f>IF('01_Вводные'!$B$234="Да",IF(OR(('19_Расчет_аналитики'!M3449-'19_Расчет_аналитики'!M3477)=0,6&lt;='01_Вводные'!$B$297),0,('19_Расчет_аналитики'!M3449-'19_Расчет_аналитики'!M3477)*IF('01_Вводные'!$B$239="Да",MeanMinAge06+'19_Расчет_аналитики'!M3596*SUMIF(ThresholdAge06,"&lt;"&amp;'19_Расчет_аналитики'!M3596,WeightedRevAge06)-SUMIF(ThresholdAge06,"&lt;"&amp;'19_Расчет_аналитики'!M3596,WeightedMinAge06),MAX(CapacityAge06*'01_Вводные'!$B$218*'19_Расчет_аналитики'!M3596,MeanMinAge06))),0)</f>
        <v/>
      </c>
      <c r="N3533">
        <f>IF('01_Вводные'!$B$234="Да",IF(OR(('19_Расчет_аналитики'!N3449-'19_Расчет_аналитики'!N3477)=0,6&lt;='01_Вводные'!$B$297),0,('19_Расчет_аналитики'!N3449-'19_Расчет_аналитики'!N3477)*IF('01_Вводные'!$B$239="Да",MeanMinAge06+'19_Расчет_аналитики'!N3596*SUMIF(ThresholdAge06,"&lt;"&amp;'19_Расчет_аналитики'!N3596,WeightedRevAge06)-SUMIF(ThresholdAge06,"&lt;"&amp;'19_Расчет_аналитики'!N3596,WeightedMinAge06),MAX(CapacityAge06*'01_Вводные'!$B$218*'19_Расчет_аналитики'!N3596,MeanMinAge06))),0)</f>
        <v/>
      </c>
      <c r="O3533">
        <f>IF('01_Вводные'!$B$234="Да",IF(OR(('19_Расчет_аналитики'!O3449-'19_Расчет_аналитики'!O3477)=0,6&lt;='01_Вводные'!$B$297),0,('19_Расчет_аналитики'!O3449-'19_Расчет_аналитики'!O3477)*IF('01_Вводные'!$B$239="Да",MeanMinAge06+'19_Расчет_аналитики'!O3596*SUMIF(ThresholdAge06,"&lt;"&amp;'19_Расчет_аналитики'!O3596,WeightedRevAge06)-SUMIF(ThresholdAge06,"&lt;"&amp;'19_Расчет_аналитики'!O3596,WeightedMinAge06),MAX(CapacityAge06*'01_Вводные'!$B$218*'19_Расчет_аналитики'!O3596,MeanMinAge06))),0)</f>
        <v/>
      </c>
      <c r="P3533">
        <f>IF('01_Вводные'!$B$234="Да",IF(OR(('19_Расчет_аналитики'!P3449-'19_Расчет_аналитики'!P3477)=0,6&lt;='01_Вводные'!$B$297),0,('19_Расчет_аналитики'!P3449-'19_Расчет_аналитики'!P3477)*IF('01_Вводные'!$B$239="Да",MeanMinAge06+'19_Расчет_аналитики'!P3596*SUMIF(ThresholdAge06,"&lt;"&amp;'19_Расчет_аналитики'!P3596,WeightedRevAge06)-SUMIF(ThresholdAge06,"&lt;"&amp;'19_Расчет_аналитики'!P3596,WeightedMinAge06),MAX(CapacityAge06*'01_Вводные'!$B$218*'19_Расчет_аналитики'!P3596,MeanMinAge06))),0)</f>
        <v/>
      </c>
      <c r="Q3533">
        <f>IF('01_Вводные'!$B$234="Да",IF(OR(('19_Расчет_аналитики'!Q3449-'19_Расчет_аналитики'!Q3477)=0,6&lt;='01_Вводные'!$B$297),0,('19_Расчет_аналитики'!Q3449-'19_Расчет_аналитики'!Q3477)*IF('01_Вводные'!$B$239="Да",MeanMinAge06+'19_Расчет_аналитики'!Q3596*SUMIF(ThresholdAge06,"&lt;"&amp;'19_Расчет_аналитики'!Q3596,WeightedRevAge06)-SUMIF(ThresholdAge06,"&lt;"&amp;'19_Расчет_аналитики'!Q3596,WeightedMinAge06),MAX(CapacityAge06*'01_Вводные'!$B$218*'19_Расчет_аналитики'!Q3596,MeanMinAge06))),0)</f>
        <v/>
      </c>
      <c r="R3533">
        <f>IF('01_Вводные'!$B$234="Да",IF(OR(('19_Расчет_аналитики'!R3449-'19_Расчет_аналитики'!R3477)=0,6&lt;='01_Вводные'!$B$297),0,('19_Расчет_аналитики'!R3449-'19_Расчет_аналитики'!R3477)*IF('01_Вводные'!$B$239="Да",MeanMinAge06+'19_Расчет_аналитики'!R3596*SUMIF(ThresholdAge06,"&lt;"&amp;'19_Расчет_аналитики'!R3596,WeightedRevAge06)-SUMIF(ThresholdAge06,"&lt;"&amp;'19_Расчет_аналитики'!R3596,WeightedMinAge06),MAX(CapacityAge06*'01_Вводные'!$B$218*'19_Расчет_аналитики'!R3596,MeanMinAge06))),0)</f>
        <v/>
      </c>
      <c r="S3533">
        <f>IF('01_Вводные'!$B$234="Да",IF(OR(('19_Расчет_аналитики'!S3449-'19_Расчет_аналитики'!S3477)=0,6&lt;='01_Вводные'!$B$297),0,('19_Расчет_аналитики'!S3449-'19_Расчет_аналитики'!S3477)*IF('01_Вводные'!$B$239="Да",MeanMinAge06+'19_Расчет_аналитики'!S3596*SUMIF(ThresholdAge06,"&lt;"&amp;'19_Расчет_аналитики'!S3596,WeightedRevAge06)-SUMIF(ThresholdAge06,"&lt;"&amp;'19_Расчет_аналитики'!S3596,WeightedMinAge06),MAX(CapacityAge06*'01_Вводные'!$B$218*'19_Расчет_аналитики'!S3596,MeanMinAge06))),0)</f>
        <v/>
      </c>
      <c r="T3533">
        <f>IF('01_Вводные'!$B$234="Да",IF(OR(('19_Расчет_аналитики'!T3449-'19_Расчет_аналитики'!T3477)=0,6&lt;='01_Вводные'!$B$297),0,('19_Расчет_аналитики'!T3449-'19_Расчет_аналитики'!T3477)*IF('01_Вводные'!$B$239="Да",MeanMinAge06+'19_Расчет_аналитики'!T3596*SUMIF(ThresholdAge06,"&lt;"&amp;'19_Расчет_аналитики'!T3596,WeightedRevAge06)-SUMIF(ThresholdAge06,"&lt;"&amp;'19_Расчет_аналитики'!T3596,WeightedMinAge06),MAX(CapacityAge06*'01_Вводные'!$B$218*'19_Расчет_аналитики'!T3596,MeanMinAge06))),0)</f>
        <v/>
      </c>
      <c r="U3533">
        <f>IF('01_Вводные'!$B$234="Да",IF(OR(('19_Расчет_аналитики'!U3449-'19_Расчет_аналитики'!U3477)=0,6&lt;='01_Вводные'!$B$297),0,('19_Расчет_аналитики'!U3449-'19_Расчет_аналитики'!U3477)*IF('01_Вводные'!$B$239="Да",MeanMinAge06+'19_Расчет_аналитики'!U3596*SUMIF(ThresholdAge06,"&lt;"&amp;'19_Расчет_аналитики'!U3596,WeightedRevAge06)-SUMIF(ThresholdAge06,"&lt;"&amp;'19_Расчет_аналитики'!U3596,WeightedMinAge06),MAX(CapacityAge06*'01_Вводные'!$B$218*'19_Расчет_аналитики'!U3596,MeanMinAge06))),0)</f>
        <v/>
      </c>
      <c r="V3533">
        <f>IF('01_Вводные'!$B$234="Да",IF(OR(('19_Расчет_аналитики'!V3449-'19_Расчет_аналитики'!V3477)=0,6&lt;='01_Вводные'!$B$297),0,('19_Расчет_аналитики'!V3449-'19_Расчет_аналитики'!V3477)*IF('01_Вводные'!$B$239="Да",MeanMinAge06+'19_Расчет_аналитики'!V3596*SUMIF(ThresholdAge06,"&lt;"&amp;'19_Расчет_аналитики'!V3596,WeightedRevAge06)-SUMIF(ThresholdAge06,"&lt;"&amp;'19_Расчет_аналитики'!V3596,WeightedMinAge06),MAX(CapacityAge06*'01_Вводные'!$B$218*'19_Расчет_аналитики'!V3596,MeanMinAge06))),0)</f>
        <v/>
      </c>
      <c r="W3533">
        <f>IF('01_Вводные'!$B$234="Да",IF(OR(('19_Расчет_аналитики'!W3449-'19_Расчет_аналитики'!W3477)=0,6&lt;='01_Вводные'!$B$297),0,('19_Расчет_аналитики'!W3449-'19_Расчет_аналитики'!W3477)*IF('01_Вводные'!$B$239="Да",MeanMinAge06+'19_Расчет_аналитики'!W3596*SUMIF(ThresholdAge06,"&lt;"&amp;'19_Расчет_аналитики'!W3596,WeightedRevAge06)-SUMIF(ThresholdAge06,"&lt;"&amp;'19_Расчет_аналитики'!W3596,WeightedMinAge06),MAX(CapacityAge06*'01_Вводные'!$B$218*'19_Расчет_аналитики'!W3596,MeanMinAge06))),0)</f>
        <v/>
      </c>
      <c r="X3533">
        <f>IF('01_Вводные'!$B$234="Да",IF(OR(('19_Расчет_аналитики'!X3449-'19_Расчет_аналитики'!X3477)=0,6&lt;='01_Вводные'!$B$297),0,('19_Расчет_аналитики'!X3449-'19_Расчет_аналитики'!X3477)*IF('01_Вводные'!$B$239="Да",MeanMinAge06+'19_Расчет_аналитики'!X3596*SUMIF(ThresholdAge06,"&lt;"&amp;'19_Расчет_аналитики'!X3596,WeightedRevAge06)-SUMIF(ThresholdAge06,"&lt;"&amp;'19_Расчет_аналитики'!X3596,WeightedMinAge06),MAX(CapacityAge06*'01_Вводные'!$B$218*'19_Расчет_аналитики'!X3596,MeanMinAge06))),0)</f>
        <v/>
      </c>
      <c r="Y3533">
        <f>IF('01_Вводные'!$B$234="Да",IF(OR(('19_Расчет_аналитики'!Y3449-'19_Расчет_аналитики'!Y3477)=0,6&lt;='01_Вводные'!$B$297),0,('19_Расчет_аналитики'!Y3449-'19_Расчет_аналитики'!Y3477)*IF('01_Вводные'!$B$239="Да",MeanMinAge06+'19_Расчет_аналитики'!Y3596*SUMIF(ThresholdAge06,"&lt;"&amp;'19_Расчет_аналитики'!Y3596,WeightedRevAge06)-SUMIF(ThresholdAge06,"&lt;"&amp;'19_Расчет_аналитики'!Y3596,WeightedMinAge06),MAX(CapacityAge06*'01_Вводные'!$B$218*'19_Расчет_аналитики'!Y3596,MeanMinAge06))),0)</f>
        <v/>
      </c>
      <c r="Z3533">
        <f>IF('01_Вводные'!$B$234="Да",IF(OR(('19_Расчет_аналитики'!Z3449-'19_Расчет_аналитики'!Z3477)=0,6&lt;='01_Вводные'!$B$297),0,('19_Расчет_аналитики'!Z3449-'19_Расчет_аналитики'!Z3477)*IF('01_Вводные'!$B$239="Да",MeanMinAge06+'19_Расчет_аналитики'!Z3596*SUMIF(ThresholdAge06,"&lt;"&amp;'19_Расчет_аналитики'!Z3596,WeightedRevAge06)-SUMIF(ThresholdAge06,"&lt;"&amp;'19_Расчет_аналитики'!Z3596,WeightedMinAge06),MAX(CapacityAge06*'01_Вводные'!$B$218*'19_Расчет_аналитики'!Z3596,MeanMinAge06))),0)</f>
        <v/>
      </c>
      <c r="AA3533">
        <f>IF('01_Вводные'!$B$234="Да",IF(OR(('19_Расчет_аналитики'!AA3449-'19_Расчет_аналитики'!AA3477)=0,6&lt;='01_Вводные'!$B$297),0,('19_Расчет_аналитики'!AA3449-'19_Расчет_аналитики'!AA3477)*IF('01_Вводные'!$B$239="Да",MeanMinAge06+'19_Расчет_аналитики'!AA3596*SUMIF(ThresholdAge06,"&lt;"&amp;'19_Расчет_аналитики'!AA3596,WeightedRevAge06)-SUMIF(ThresholdAge06,"&lt;"&amp;'19_Расчет_аналитики'!AA3596,WeightedMinAge06),MAX(CapacityAge06*'01_Вводные'!$B$218*'19_Расчет_аналитики'!AA3596,MeanMinAge06))),0)</f>
        <v/>
      </c>
      <c r="AB3533">
        <f>IF('01_Вводные'!$B$234="Да",IF(OR(('19_Расчет_аналитики'!AB3449-'19_Расчет_аналитики'!AB3477)=0,6&lt;='01_Вводные'!$B$297),0,('19_Расчет_аналитики'!AB3449-'19_Расчет_аналитики'!AB3477)*IF('01_Вводные'!$B$239="Да",MeanMinAge06+'19_Расчет_аналитики'!AB3596*SUMIF(ThresholdAge06,"&lt;"&amp;'19_Расчет_аналитики'!AB3596,WeightedRevAge06)-SUMIF(ThresholdAge06,"&lt;"&amp;'19_Расчет_аналитики'!AB3596,WeightedMinAge06),MAX(CapacityAge06*'01_Вводные'!$B$218*'19_Расчет_аналитики'!AB3596,MeanMinAge06))),0)</f>
        <v/>
      </c>
      <c r="AC3533">
        <f>IF('01_Вводные'!$B$234="Да",IF(OR(('19_Расчет_аналитики'!AC3449-'19_Расчет_аналитики'!AC3477)=0,6&lt;='01_Вводные'!$B$297),0,('19_Расчет_аналитики'!AC3449-'19_Расчет_аналитики'!AC3477)*IF('01_Вводные'!$B$239="Да",MeanMinAge06+'19_Расчет_аналитики'!AC3596*SUMIF(ThresholdAge06,"&lt;"&amp;'19_Расчет_аналитики'!AC3596,WeightedRevAge06)-SUMIF(ThresholdAge06,"&lt;"&amp;'19_Расчет_аналитики'!AC3596,WeightedMinAge06),MAX(CapacityAge06*'01_Вводные'!$B$218*'19_Расчет_аналитики'!AC3596,MeanMinAge06))),0)</f>
        <v/>
      </c>
      <c r="AD3533">
        <f>IF('01_Вводные'!$B$234="Да",IF(OR(('19_Расчет_аналитики'!AD3449-'19_Расчет_аналитики'!AD3477)=0,6&lt;='01_Вводные'!$B$297),0,('19_Расчет_аналитики'!AD3449-'19_Расчет_аналитики'!AD3477)*IF('01_Вводные'!$B$239="Да",MeanMinAge06+'19_Расчет_аналитики'!AD3596*SUMIF(ThresholdAge06,"&lt;"&amp;'19_Расчет_аналитики'!AD3596,WeightedRevAge06)-SUMIF(ThresholdAge06,"&lt;"&amp;'19_Расчет_аналитики'!AD3596,WeightedMinAge06),MAX(CapacityAge06*'01_Вводные'!$B$218*'19_Расчет_аналитики'!AD3596,MeanMinAge06))),0)</f>
        <v/>
      </c>
      <c r="AE3533">
        <f>IF('01_Вводные'!$B$234="Да",IF(OR(('19_Расчет_аналитики'!AE3449-'19_Расчет_аналитики'!AE3477)=0,6&lt;='01_Вводные'!$B$297),0,('19_Расчет_аналитики'!AE3449-'19_Расчет_аналитики'!AE3477)*IF('01_Вводные'!$B$239="Да",MeanMinAge06+'19_Расчет_аналитики'!AE3596*SUMIF(ThresholdAge06,"&lt;"&amp;'19_Расчет_аналитики'!AE3596,WeightedRevAge06)-SUMIF(ThresholdAge06,"&lt;"&amp;'19_Расчет_аналитики'!AE3596,WeightedMinAge06),MAX(CapacityAge06*'01_Вводные'!$B$218*'19_Расчет_аналитики'!AE3596,MeanMinAge06))),0)</f>
        <v/>
      </c>
      <c r="AF3533">
        <f>IF('01_Вводные'!$B$234="Да",IF(OR(('19_Расчет_аналитики'!AF3449-'19_Расчет_аналитики'!AF3477)=0,6&lt;='01_Вводные'!$B$297),0,('19_Расчет_аналитики'!AF3449-'19_Расчет_аналитики'!AF3477)*IF('01_Вводные'!$B$239="Да",MeanMinAge06+'19_Расчет_аналитики'!AF3596*SUMIF(ThresholdAge06,"&lt;"&amp;'19_Расчет_аналитики'!AF3596,WeightedRevAge06)-SUMIF(ThresholdAge06,"&lt;"&amp;'19_Расчет_аналитики'!AF3596,WeightedMinAge06),MAX(CapacityAge06*'01_Вводные'!$B$218*'19_Расчет_аналитики'!AF3596,MeanMinAge06))),0)</f>
        <v/>
      </c>
      <c r="AG3533">
        <f>IF('01_Вводные'!$B$234="Да",IF(OR(('19_Расчет_аналитики'!AG3449-'19_Расчет_аналитики'!AG3477)=0,6&lt;='01_Вводные'!$B$297),0,('19_Расчет_аналитики'!AG3449-'19_Расчет_аналитики'!AG3477)*IF('01_Вводные'!$B$239="Да",MeanMinAge06+'19_Расчет_аналитики'!AG3596*SUMIF(ThresholdAge06,"&lt;"&amp;'19_Расчет_аналитики'!AG3596,WeightedRevAge06)-SUMIF(ThresholdAge06,"&lt;"&amp;'19_Расчет_аналитики'!AG3596,WeightedMinAge06),MAX(CapacityAge06*'01_Вводные'!$B$218*'19_Расчет_аналитики'!AG3596,MeanMinAge06))),0)</f>
        <v/>
      </c>
      <c r="AH3533">
        <f>IF('01_Вводные'!$B$234="Да",IF(OR(('19_Расчет_аналитики'!AH3449-'19_Расчет_аналитики'!AH3477)=0,6&lt;='01_Вводные'!$B$297),0,('19_Расчет_аналитики'!AH3449-'19_Расчет_аналитики'!AH3477)*IF('01_Вводные'!$B$239="Да",MeanMinAge06+'19_Расчет_аналитики'!AH3596*SUMIF(ThresholdAge06,"&lt;"&amp;'19_Расчет_аналитики'!AH3596,WeightedRevAge06)-SUMIF(ThresholdAge06,"&lt;"&amp;'19_Расчет_аналитики'!AH3596,WeightedMinAge06),MAX(CapacityAge06*'01_Вводные'!$B$218*'19_Расчет_аналитики'!AH3596,MeanMinAge06))),0)</f>
        <v/>
      </c>
      <c r="AI3533">
        <f>IF('01_Вводные'!$B$234="Да",IF(OR(('19_Расчет_аналитики'!AI3449-'19_Расчет_аналитики'!AI3477)=0,6&lt;='01_Вводные'!$B$297),0,('19_Расчет_аналитики'!AI3449-'19_Расчет_аналитики'!AI3477)*IF('01_Вводные'!$B$239="Да",MeanMinAge06+'19_Расчет_аналитики'!AI3596*SUMIF(ThresholdAge06,"&lt;"&amp;'19_Расчет_аналитики'!AI3596,WeightedRevAge06)-SUMIF(ThresholdAge06,"&lt;"&amp;'19_Расчет_аналитики'!AI3596,WeightedMinAge06),MAX(CapacityAge06*'01_Вводные'!$B$218*'19_Расчет_аналитики'!AI3596,MeanMinAge06))),0)</f>
        <v/>
      </c>
      <c r="AJ3533">
        <f>IF('01_Вводные'!$B$234="Да",IF(OR(('19_Расчет_аналитики'!AJ3449-'19_Расчет_аналитики'!AJ3477)=0,6&lt;='01_Вводные'!$B$297),0,('19_Расчет_аналитики'!AJ3449-'19_Расчет_аналитики'!AJ3477)*IF('01_Вводные'!$B$239="Да",MeanMinAge06+'19_Расчет_аналитики'!AJ3596*SUMIF(ThresholdAge06,"&lt;"&amp;'19_Расчет_аналитики'!AJ3596,WeightedRevAge06)-SUMIF(ThresholdAge06,"&lt;"&amp;'19_Расчет_аналитики'!AJ3596,WeightedMinAge06),MAX(CapacityAge06*'01_Вводные'!$B$218*'19_Расчет_аналитики'!AJ3596,MeanMinAge06))),0)</f>
        <v/>
      </c>
      <c r="AK3533">
        <f>IF('01_Вводные'!$B$234="Да",IF(OR(('19_Расчет_аналитики'!AK3449-'19_Расчет_аналитики'!AK3477)=0,6&lt;='01_Вводные'!$B$297),0,('19_Расчет_аналитики'!AK3449-'19_Расчет_аналитики'!AK3477)*IF('01_Вводные'!$B$239="Да",MeanMinAge06+'19_Расчет_аналитики'!AK3596*SUMIF(ThresholdAge06,"&lt;"&amp;'19_Расчет_аналитики'!AK3596,WeightedRevAge06)-SUMIF(ThresholdAge06,"&lt;"&amp;'19_Расчет_аналитики'!AK3596,WeightedMinAge06),MAX(CapacityAge06*'01_Вводные'!$B$218*'19_Расчет_аналитики'!AK3596,MeanMinAge06))),0)</f>
        <v/>
      </c>
      <c r="AL3533">
        <f>IF('01_Вводные'!$B$234="Да",IF(OR(('19_Расчет_аналитики'!AL3449-'19_Расчет_аналитики'!AL3477)=0,6&lt;='01_Вводные'!$B$297),0,('19_Расчет_аналитики'!AL3449-'19_Расчет_аналитики'!AL3477)*IF('01_Вводные'!$B$239="Да",MeanMinAge06+'19_Расчет_аналитики'!AL3596*SUMIF(ThresholdAge06,"&lt;"&amp;'19_Расчет_аналитики'!AL3596,WeightedRevAge06)-SUMIF(ThresholdAge06,"&lt;"&amp;'19_Расчет_аналитики'!AL3596,WeightedMinAge06),MAX(CapacityAge06*'01_Вводные'!$B$218*'19_Расчет_аналитики'!AL3596,MeanMinAge06))),0)</f>
        <v/>
      </c>
      <c r="AM3533">
        <f>IF('01_Вводные'!$B$234="Да",IF(OR(('19_Расчет_аналитики'!AM3449-'19_Расчет_аналитики'!AM3477)=0,6&lt;='01_Вводные'!$B$297),0,('19_Расчет_аналитики'!AM3449-'19_Расчет_аналитики'!AM3477)*IF('01_Вводные'!$B$239="Да",MeanMinAge06+'19_Расчет_аналитики'!AM3596*SUMIF(ThresholdAge06,"&lt;"&amp;'19_Расчет_аналитики'!AM3596,WeightedRevAge06)-SUMIF(ThresholdAge06,"&lt;"&amp;'19_Расчет_аналитики'!AM3596,WeightedMinAge06),MAX(CapacityAge06*'01_Вводные'!$B$218*'19_Расчет_аналитики'!AM3596,MeanMinAge06))),0)</f>
        <v/>
      </c>
      <c r="AN3533">
        <f>IF('01_Вводные'!$B$234="Да",IF(OR(('19_Расчет_аналитики'!AN3449-'19_Расчет_аналитики'!AN3477)=0,6&lt;='01_Вводные'!$B$297),0,('19_Расчет_аналитики'!AN3449-'19_Расчет_аналитики'!AN3477)*IF('01_Вводные'!$B$239="Да",MeanMinAge06+'19_Расчет_аналитики'!AN3596*SUMIF(ThresholdAge06,"&lt;"&amp;'19_Расчет_аналитики'!AN3596,WeightedRevAge06)-SUMIF(ThresholdAge06,"&lt;"&amp;'19_Расчет_аналитики'!AN3596,WeightedMinAge06),MAX(CapacityAge06*'01_Вводные'!$B$218*'19_Расчет_аналитики'!AN3596,MeanMinAge06))),0)</f>
        <v/>
      </c>
      <c r="AO3533">
        <f>IF('01_Вводные'!$B$234="Да",IF(OR(('19_Расчет_аналитики'!AO3449-'19_Расчет_аналитики'!AO3477)=0,6&lt;='01_Вводные'!$B$297),0,('19_Расчет_аналитики'!AO3449-'19_Расчет_аналитики'!AO3477)*IF('01_Вводные'!$B$239="Да",MeanMinAge06+'19_Расчет_аналитики'!AO3596*SUMIF(ThresholdAge06,"&lt;"&amp;'19_Расчет_аналитики'!AO3596,WeightedRevAge06)-SUMIF(ThresholdAge06,"&lt;"&amp;'19_Расчет_аналитики'!AO3596,WeightedMinAge06),MAX(CapacityAge06*'01_Вводные'!$B$218*'19_Расчет_аналитики'!AO3596,MeanMinAge06))),0)</f>
        <v/>
      </c>
      <c r="AP3533">
        <f>IF('01_Вводные'!$B$234="Да",IF(OR(('19_Расчет_аналитики'!AP3449-'19_Расчет_аналитики'!AP3477)=0,6&lt;='01_Вводные'!$B$297),0,('19_Расчет_аналитики'!AP3449-'19_Расчет_аналитики'!AP3477)*IF('01_Вводные'!$B$239="Да",MeanMinAge06+'19_Расчет_аналитики'!AP3596*SUMIF(ThresholdAge06,"&lt;"&amp;'19_Расчет_аналитики'!AP3596,WeightedRevAge06)-SUMIF(ThresholdAge06,"&lt;"&amp;'19_Расчет_аналитики'!AP3596,WeightedMinAge06),MAX(CapacityAge06*'01_Вводные'!$B$218*'19_Расчет_аналитики'!AP3596,MeanMinAge06))),0)</f>
        <v/>
      </c>
      <c r="AQ3533">
        <f>IF('01_Вводные'!$B$234="Да",IF(OR(('19_Расчет_аналитики'!AQ3449-'19_Расчет_аналитики'!AQ3477)=0,6&lt;='01_Вводные'!$B$297),0,('19_Расчет_аналитики'!AQ3449-'19_Расчет_аналитики'!AQ3477)*IF('01_Вводные'!$B$239="Да",MeanMinAge06+'19_Расчет_аналитики'!AQ3596*SUMIF(ThresholdAge06,"&lt;"&amp;'19_Расчет_аналитики'!AQ3596,WeightedRevAge06)-SUMIF(ThresholdAge06,"&lt;"&amp;'19_Расчет_аналитики'!AQ3596,WeightedMinAge06),MAX(CapacityAge06*'01_Вводные'!$B$218*'19_Расчет_аналитики'!AQ3596,MeanMinAge06))),0)</f>
        <v/>
      </c>
      <c r="AR3533">
        <f>IF('01_Вводные'!$B$234="Да",IF(OR(('19_Расчет_аналитики'!AR3449-'19_Расчет_аналитики'!AR3477)=0,6&lt;='01_Вводные'!$B$297),0,('19_Расчет_аналитики'!AR3449-'19_Расчет_аналитики'!AR3477)*IF('01_Вводные'!$B$239="Да",MeanMinAge06+'19_Расчет_аналитики'!AR3596*SUMIF(ThresholdAge06,"&lt;"&amp;'19_Расчет_аналитики'!AR3596,WeightedRevAge06)-SUMIF(ThresholdAge06,"&lt;"&amp;'19_Расчет_аналитики'!AR3596,WeightedMinAge06),MAX(CapacityAge06*'01_Вводные'!$B$218*'19_Расчет_аналитики'!AR3596,MeanMinAge06))),0)</f>
        <v/>
      </c>
      <c r="AS3533">
        <f>IF('01_Вводные'!$B$234="Да",IF(OR(('19_Расчет_аналитики'!AS3449-'19_Расчет_аналитики'!AS3477)=0,6&lt;='01_Вводные'!$B$297),0,('19_Расчет_аналитики'!AS3449-'19_Расчет_аналитики'!AS3477)*IF('01_Вводные'!$B$239="Да",MeanMinAge06+'19_Расчет_аналитики'!AS3596*SUMIF(ThresholdAge06,"&lt;"&amp;'19_Расчет_аналитики'!AS3596,WeightedRevAge06)-SUMIF(ThresholdAge06,"&lt;"&amp;'19_Расчет_аналитики'!AS3596,WeightedMinAge06),MAX(CapacityAge06*'01_Вводные'!$B$218*'19_Расчет_аналитики'!AS3596,MeanMinAge06))),0)</f>
        <v/>
      </c>
      <c r="AT3533">
        <f>IF('01_Вводные'!$B$234="Да",IF(OR(('19_Расчет_аналитики'!AT3449-'19_Расчет_аналитики'!AT3477)=0,6&lt;='01_Вводные'!$B$297),0,('19_Расчет_аналитики'!AT3449-'19_Расчет_аналитики'!AT3477)*IF('01_Вводные'!$B$239="Да",MeanMinAge06+'19_Расчет_аналитики'!AT3596*SUMIF(ThresholdAge06,"&lt;"&amp;'19_Расчет_аналитики'!AT3596,WeightedRevAge06)-SUMIF(ThresholdAge06,"&lt;"&amp;'19_Расчет_аналитики'!AT3596,WeightedMinAge06),MAX(CapacityAge06*'01_Вводные'!$B$218*'19_Расчет_аналитики'!AT3596,MeanMinAge06))),0)</f>
        <v/>
      </c>
      <c r="AU3533">
        <f>IF('01_Вводные'!$B$234="Да",IF(OR(('19_Расчет_аналитики'!AU3449-'19_Расчет_аналитики'!AU3477)=0,6&lt;='01_Вводные'!$B$297),0,('19_Расчет_аналитики'!AU3449-'19_Расчет_аналитики'!AU3477)*IF('01_Вводные'!$B$239="Да",MeanMinAge06+'19_Расчет_аналитики'!AU3596*SUMIF(ThresholdAge06,"&lt;"&amp;'19_Расчет_аналитики'!AU3596,WeightedRevAge06)-SUMIF(ThresholdAge06,"&lt;"&amp;'19_Расчет_аналитики'!AU3596,WeightedMinAge06),MAX(CapacityAge06*'01_Вводные'!$B$218*'19_Расчет_аналитики'!AU3596,MeanMinAge06))),0)</f>
        <v/>
      </c>
      <c r="AV3533">
        <f>IF('01_Вводные'!$B$234="Да",IF(OR(('19_Расчет_аналитики'!AV3449-'19_Расчет_аналитики'!AV3477)=0,6&lt;='01_Вводные'!$B$297),0,('19_Расчет_аналитики'!AV3449-'19_Расчет_аналитики'!AV3477)*IF('01_Вводные'!$B$239="Да",MeanMinAge06+'19_Расчет_аналитики'!AV3596*SUMIF(ThresholdAge06,"&lt;"&amp;'19_Расчет_аналитики'!AV3596,WeightedRevAge06)-SUMIF(ThresholdAge06,"&lt;"&amp;'19_Расчет_аналитики'!AV3596,WeightedMinAge06),MAX(CapacityAge06*'01_Вводные'!$B$218*'19_Расчет_аналитики'!AV3596,MeanMinAge06))),0)</f>
        <v/>
      </c>
      <c r="AW3533">
        <f>IF('01_Вводные'!$B$234="Да",IF(OR(('19_Расчет_аналитики'!AW3449-'19_Расчет_аналитики'!AW3477)=0,6&lt;='01_Вводные'!$B$297),0,('19_Расчет_аналитики'!AW3449-'19_Расчет_аналитики'!AW3477)*IF('01_Вводные'!$B$239="Да",MeanMinAge06+'19_Расчет_аналитики'!AW3596*SUMIF(ThresholdAge06,"&lt;"&amp;'19_Расчет_аналитики'!AW3596,WeightedRevAge06)-SUMIF(ThresholdAge06,"&lt;"&amp;'19_Расчет_аналитики'!AW3596,WeightedMinAge06),MAX(CapacityAge06*'01_Вводные'!$B$218*'19_Расчет_аналитики'!AW3596,MeanMinAge06))),0)</f>
        <v/>
      </c>
      <c r="AX3533">
        <f>IF('01_Вводные'!$B$234="Да",IF(OR(('19_Расчет_аналитики'!AX3449-'19_Расчет_аналитики'!AX3477)=0,6&lt;='01_Вводные'!$B$297),0,('19_Расчет_аналитики'!AX3449-'19_Расчет_аналитики'!AX3477)*IF('01_Вводные'!$B$239="Да",MeanMinAge06+'19_Расчет_аналитики'!AX3596*SUMIF(ThresholdAge06,"&lt;"&amp;'19_Расчет_аналитики'!AX3596,WeightedRevAge06)-SUMIF(ThresholdAge06,"&lt;"&amp;'19_Расчет_аналитики'!AX3596,WeightedMinAge06),MAX(CapacityAge06*'01_Вводные'!$B$218*'19_Расчет_аналитики'!AX3596,MeanMinAge06))),0)</f>
        <v/>
      </c>
      <c r="AY3533">
        <f>IF('01_Вводные'!$B$234="Да",IF(OR(('19_Расчет_аналитики'!AY3449-'19_Расчет_аналитики'!AY3477)=0,6&lt;='01_Вводные'!$B$297),0,('19_Расчет_аналитики'!AY3449-'19_Расчет_аналитики'!AY3477)*IF('01_Вводные'!$B$239="Да",MeanMinAge06+'19_Расчет_аналитики'!AY3596*SUMIF(ThresholdAge06,"&lt;"&amp;'19_Расчет_аналитики'!AY3596,WeightedRevAge06)-SUMIF(ThresholdAge06,"&lt;"&amp;'19_Расчет_аналитики'!AY3596,WeightedMinAge06),MAX(CapacityAge06*'01_Вводные'!$B$218*'19_Расчет_аналитики'!AY3596,MeanMinAge06))),0)</f>
        <v/>
      </c>
      <c r="AZ3533">
        <f>IF('01_Вводные'!$B$234="Да",IF(OR(('19_Расчет_аналитики'!AZ3449-'19_Расчет_аналитики'!AZ3477)=0,6&lt;='01_Вводные'!$B$297),0,('19_Расчет_аналитики'!AZ3449-'19_Расчет_аналитики'!AZ3477)*IF('01_Вводные'!$B$239="Да",MeanMinAge06+'19_Расчет_аналитики'!AZ3596*SUMIF(ThresholdAge06,"&lt;"&amp;'19_Расчет_аналитики'!AZ3596,WeightedRevAge06)-SUMIF(ThresholdAge06,"&lt;"&amp;'19_Расчет_аналитики'!AZ3596,WeightedMinAge06),MAX(CapacityAge06*'01_Вводные'!$B$218*'19_Расчет_аналитики'!AZ3596,MeanMinAge06))),0)</f>
        <v/>
      </c>
      <c r="BA3533">
        <f>IF('01_Вводные'!$B$234="Да",IF(OR(('19_Расчет_аналитики'!BA3449-'19_Расчет_аналитики'!BA3477)=0,6&lt;='01_Вводные'!$B$297),0,('19_Расчет_аналитики'!BA3449-'19_Расчет_аналитики'!BA3477)*IF('01_Вводные'!$B$239="Да",MeanMinAge06+'19_Расчет_аналитики'!BA3596*SUMIF(ThresholdAge06,"&lt;"&amp;'19_Расчет_аналитики'!BA3596,WeightedRevAge06)-SUMIF(ThresholdAge06,"&lt;"&amp;'19_Расчет_аналитики'!BA3596,WeightedMinAge06),MAX(CapacityAge06*'01_Вводные'!$B$218*'19_Расчет_аналитики'!BA3596,MeanMinAge06))),0)</f>
        <v/>
      </c>
      <c r="BB3533">
        <f>IF('01_Вводные'!$B$234="Да",IF(OR(('19_Расчет_аналитики'!BB3449-'19_Расчет_аналитики'!BB3477)=0,6&lt;='01_Вводные'!$B$297),0,('19_Расчет_аналитики'!BB3449-'19_Расчет_аналитики'!BB3477)*IF('01_Вводные'!$B$239="Да",MeanMinAge06+'19_Расчет_аналитики'!BB3596*SUMIF(ThresholdAge06,"&lt;"&amp;'19_Расчет_аналитики'!BB3596,WeightedRevAge06)-SUMIF(ThresholdAge06,"&lt;"&amp;'19_Расчет_аналитики'!BB3596,WeightedMinAge06),MAX(CapacityAge06*'01_Вводные'!$B$218*'19_Расчет_аналитики'!BB3596,MeanMinAge06))),0)</f>
        <v/>
      </c>
      <c r="BC3533">
        <f>IF('01_Вводные'!$B$234="Да",IF(OR(('19_Расчет_аналитики'!BC3449-'19_Расчет_аналитики'!BC3477)=0,6&lt;='01_Вводные'!$B$297),0,('19_Расчет_аналитики'!BC3449-'19_Расчет_аналитики'!BC3477)*IF('01_Вводные'!$B$239="Да",MeanMinAge06+'19_Расчет_аналитики'!BC3596*SUMIF(ThresholdAge06,"&lt;"&amp;'19_Расчет_аналитики'!BC3596,WeightedRevAge06)-SUMIF(ThresholdAge06,"&lt;"&amp;'19_Расчет_аналитики'!BC3596,WeightedMinAge06),MAX(CapacityAge06*'01_Вводные'!$B$218*'19_Расчет_аналитики'!BC3596,MeanMinAge06))),0)</f>
        <v/>
      </c>
      <c r="BD3533">
        <f>IF('01_Вводные'!$B$234="Да",IF(OR(('19_Расчет_аналитики'!BD3449-'19_Расчет_аналитики'!BD3477)=0,6&lt;='01_Вводные'!$B$297),0,('19_Расчет_аналитики'!BD3449-'19_Расчет_аналитики'!BD3477)*IF('01_Вводные'!$B$239="Да",MeanMinAge06+'19_Расчет_аналитики'!BD3596*SUMIF(ThresholdAge06,"&lt;"&amp;'19_Расчет_аналитики'!BD3596,WeightedRevAge06)-SUMIF(ThresholdAge06,"&lt;"&amp;'19_Расчет_аналитики'!BD3596,WeightedMinAge06),MAX(CapacityAge06*'01_Вводные'!$B$218*'19_Расчет_аналитики'!BD3596,MeanMinAge06))),0)</f>
        <v/>
      </c>
      <c r="BE3533">
        <f>IF('01_Вводные'!$B$234="Да",IF(OR(('19_Расчет_аналитики'!BE3449-'19_Расчет_аналитики'!BE3477)=0,6&lt;='01_Вводные'!$B$297),0,('19_Расчет_аналитики'!BE3449-'19_Расчет_аналитики'!BE3477)*IF('01_Вводные'!$B$239="Да",MeanMinAge06+'19_Расчет_аналитики'!BE3596*SUMIF(ThresholdAge06,"&lt;"&amp;'19_Расчет_аналитики'!BE3596,WeightedRevAge06)-SUMIF(ThresholdAge06,"&lt;"&amp;'19_Расчет_аналитики'!BE3596,WeightedMinAge06),MAX(CapacityAge06*'01_Вводные'!$B$218*'19_Расчет_аналитики'!BE3596,MeanMinAge06))),0)</f>
        <v/>
      </c>
      <c r="BF3533">
        <f>IF('01_Вводные'!$B$234="Да",IF(OR(('19_Расчет_аналитики'!BF3449-'19_Расчет_аналитики'!BF3477)=0,6&lt;='01_Вводные'!$B$297),0,('19_Расчет_аналитики'!BF3449-'19_Расчет_аналитики'!BF3477)*IF('01_Вводные'!$B$239="Да",MeanMinAge06+'19_Расчет_аналитики'!BF3596*SUMIF(ThresholdAge06,"&lt;"&amp;'19_Расчет_аналитики'!BF3596,WeightedRevAge06)-SUMIF(ThresholdAge06,"&lt;"&amp;'19_Расчет_аналитики'!BF3596,WeightedMinAge06),MAX(CapacityAge06*'01_Вводные'!$B$218*'19_Расчет_аналитики'!BF3596,MeanMinAge06))),0)</f>
        <v/>
      </c>
      <c r="BG3533">
        <f>IF('01_Вводные'!$B$234="Да",IF(OR(('19_Расчет_аналитики'!BG3449-'19_Расчет_аналитики'!BG3477)=0,6&lt;='01_Вводные'!$B$297),0,('19_Расчет_аналитики'!BG3449-'19_Расчет_аналитики'!BG3477)*IF('01_Вводные'!$B$239="Да",MeanMinAge06+'19_Расчет_аналитики'!BG3596*SUMIF(ThresholdAge06,"&lt;"&amp;'19_Расчет_аналитики'!BG3596,WeightedRevAge06)-SUMIF(ThresholdAge06,"&lt;"&amp;'19_Расчет_аналитики'!BG3596,WeightedMinAge06),MAX(CapacityAge06*'01_Вводные'!$B$218*'19_Расчет_аналитики'!BG3596,MeanMinAge06))),0)</f>
        <v/>
      </c>
      <c r="BH3533">
        <f>IF('01_Вводные'!$B$234="Да",IF(OR(('19_Расчет_аналитики'!BH3449-'19_Расчет_аналитики'!BH3477)=0,6&lt;='01_Вводные'!$B$297),0,('19_Расчет_аналитики'!BH3449-'19_Расчет_аналитики'!BH3477)*IF('01_Вводные'!$B$239="Да",MeanMinAge06+'19_Расчет_аналитики'!BH3596*SUMIF(ThresholdAge06,"&lt;"&amp;'19_Расчет_аналитики'!BH3596,WeightedRevAge06)-SUMIF(ThresholdAge06,"&lt;"&amp;'19_Расчет_аналитики'!BH3596,WeightedMinAge06),MAX(CapacityAge06*'01_Вводные'!$B$218*'19_Расчет_аналитики'!BH3596,MeanMinAge06))),0)</f>
        <v/>
      </c>
      <c r="BI3533">
        <f>IF('01_Вводные'!$B$234="Да",IF(OR(('19_Расчет_аналитики'!BI3449-'19_Расчет_аналитики'!BI3477)=0,6&lt;='01_Вводные'!$B$297),0,('19_Расчет_аналитики'!BI3449-'19_Расчет_аналитики'!BI3477)*IF('01_Вводные'!$B$239="Да",MeanMinAge06+'19_Расчет_аналитики'!BI3596*SUMIF(ThresholdAge06,"&lt;"&amp;'19_Расчет_аналитики'!BI3596,WeightedRevAge06)-SUMIF(ThresholdAge06,"&lt;"&amp;'19_Расчет_аналитики'!BI3596,WeightedMinAge06),MAX(CapacityAge06*'01_Вводные'!$B$218*'19_Расчет_аналитики'!BI3596,MeanMinAge06))),0)</f>
        <v/>
      </c>
      <c r="BJ3533">
        <f>IF('01_Вводные'!$B$234="Да",IF(OR(('19_Расчет_аналитики'!BJ3449-'19_Расчет_аналитики'!BJ3477)=0,6&lt;='01_Вводные'!$B$297),0,('19_Расчет_аналитики'!BJ3449-'19_Расчет_аналитики'!BJ3477)*IF('01_Вводные'!$B$239="Да",MeanMinAge06+'19_Расчет_аналитики'!BJ3596*SUMIF(ThresholdAge06,"&lt;"&amp;'19_Расчет_аналитики'!BJ3596,WeightedRevAge06)-SUMIF(ThresholdAge06,"&lt;"&amp;'19_Расчет_аналитики'!BJ3596,WeightedMinAge06),MAX(CapacityAge06*'01_Вводные'!$B$218*'19_Расчет_аналитики'!BJ3596,MeanMinAge06))),0)</f>
        <v/>
      </c>
      <c r="BK3533">
        <f>IF('01_Вводные'!$B$234="Да",IF(OR(('19_Расчет_аналитики'!BK3449-'19_Расчет_аналитики'!BK3477)=0,6&lt;='01_Вводные'!$B$297),0,('19_Расчет_аналитики'!BK3449-'19_Расчет_аналитики'!BK3477)*IF('01_Вводные'!$B$239="Да",MeanMinAge06+'19_Расчет_аналитики'!BK3596*SUMIF(ThresholdAge06,"&lt;"&amp;'19_Расчет_аналитики'!BK3596,WeightedRevAge06)-SUMIF(ThresholdAge06,"&lt;"&amp;'19_Расчет_аналитики'!BK3596,WeightedMinAge06),MAX(CapacityAge06*'01_Вводные'!$B$218*'19_Расчет_аналитики'!BK3596,MeanMinAge06))),0)</f>
        <v/>
      </c>
      <c r="BL3533">
        <f>IF('01_Вводные'!$B$234="Да",IF(OR(('19_Расчет_аналитики'!BL3449-'19_Расчет_аналитики'!BL3477)=0,6&lt;='01_Вводные'!$B$297),0,('19_Расчет_аналитики'!BL3449-'19_Расчет_аналитики'!BL3477)*IF('01_Вводные'!$B$239="Да",MeanMinAge06+'19_Расчет_аналитики'!BL3596*SUMIF(ThresholdAge06,"&lt;"&amp;'19_Расчет_аналитики'!BL3596,WeightedRevAge06)-SUMIF(ThresholdAge06,"&lt;"&amp;'19_Расчет_аналитики'!BL3596,WeightedMinAge06),MAX(CapacityAge06*'01_Вводные'!$B$218*'19_Расчет_аналитики'!BL3596,MeanMinAge06))),0)</f>
        <v/>
      </c>
      <c r="BM3533">
        <f>IF('01_Вводные'!$B$234="Да",IF(OR(('19_Расчет_аналитики'!BM3449-'19_Расчет_аналитики'!BM3477)=0,6&lt;='01_Вводные'!$B$297),0,('19_Расчет_аналитики'!BM3449-'19_Расчет_аналитики'!BM3477)*IF('01_Вводные'!$B$239="Да",MeanMinAge06+'19_Расчет_аналитики'!BM3596*SUMIF(ThresholdAge06,"&lt;"&amp;'19_Расчет_аналитики'!BM3596,WeightedRevAge06)-SUMIF(ThresholdAge06,"&lt;"&amp;'19_Расчет_аналитики'!BM3596,WeightedMinAge06),MAX(CapacityAge06*'01_Вводные'!$B$218*'19_Расчет_аналитики'!BM3596,MeanMinAge06))),0)</f>
        <v/>
      </c>
      <c r="BN3533">
        <f>IF('01_Вводные'!$B$234="Да",IF(OR(('19_Расчет_аналитики'!BN3449-'19_Расчет_аналитики'!BN3477)=0,6&lt;='01_Вводные'!$B$297),0,('19_Расчет_аналитики'!BN3449-'19_Расчет_аналитики'!BN3477)*IF('01_Вводные'!$B$239="Да",MeanMinAge06+'19_Расчет_аналитики'!BN3596*SUMIF(ThresholdAge06,"&lt;"&amp;'19_Расчет_аналитики'!BN3596,WeightedRevAge06)-SUMIF(ThresholdAge06,"&lt;"&amp;'19_Расчет_аналитики'!BN3596,WeightedMinAge06),MAX(CapacityAge06*'01_Вводные'!$B$218*'19_Расчет_аналитики'!BN3596,MeanMinAge06))),0)</f>
        <v/>
      </c>
      <c r="BO3533">
        <f>IF('01_Вводные'!$B$234="Да",IF(OR(('19_Расчет_аналитики'!BO3449-'19_Расчет_аналитики'!BO3477)=0,6&lt;='01_Вводные'!$B$297),0,('19_Расчет_аналитики'!BO3449-'19_Расчет_аналитики'!BO3477)*IF('01_Вводные'!$B$239="Да",MeanMinAge06+'19_Расчет_аналитики'!BO3596*SUMIF(ThresholdAge06,"&lt;"&amp;'19_Расчет_аналитики'!BO3596,WeightedRevAge06)-SUMIF(ThresholdAge06,"&lt;"&amp;'19_Расчет_аналитики'!BO3596,WeightedMinAge06),MAX(CapacityAge06*'01_Вводные'!$B$218*'19_Расчет_аналитики'!BO3596,MeanMinAge06))),0)</f>
        <v/>
      </c>
    </row>
    <row r="3534">
      <c r="B3534">
        <f>IF('01_Вводные'!$B$234="Да",IF(OR(('06_Сеть_и_дети'!B59-'06_Сеть_и_дети'!B87)=0,7&lt;='01_Вводные'!$B$297),0,('06_Сеть_и_дети'!B59-'06_Сеть_и_дети'!B87)*IF('01_Вводные'!$B$239="Да",MeanMinAge07+'19_Расчет_аналитики'!B3596*SUMIF(ThresholdAge07,"&lt;"&amp;'19_Расчет_аналитики'!B3596,WeightedRevAge07)-SUMIF(ThresholdAge07,"&lt;"&amp;'19_Расчет_аналитики'!B3596,WeightedMinAge07),MAX(CapacityAge07*'01_Вводные'!$B$218*'19_Расчет_аналитики'!B3596,MeanMinAge07))),0)</f>
        <v/>
      </c>
      <c r="C3534">
        <f>IF('01_Вводные'!$B$234="Да",IF(OR(('06_Сеть_и_дети'!C59-'06_Сеть_и_дети'!C87)=0,7&lt;='01_Вводные'!$B$297),0,('06_Сеть_и_дети'!C59-'06_Сеть_и_дети'!C87)*IF('01_Вводные'!$B$239="Да",MeanMinAge07+'19_Расчет_аналитики'!C3596*SUMIF(ThresholdAge07,"&lt;"&amp;'19_Расчет_аналитики'!C3596,WeightedRevAge07)-SUMIF(ThresholdAge07,"&lt;"&amp;'19_Расчет_аналитики'!C3596,WeightedMinAge07),MAX(CapacityAge07*'01_Вводные'!$B$218*'19_Расчет_аналитики'!C3596,MeanMinAge07))),0)</f>
        <v/>
      </c>
      <c r="D3534">
        <f>IF('01_Вводные'!$B$234="Да",IF(OR(('06_Сеть_и_дети'!D59-'06_Сеть_и_дети'!D87)=0,7&lt;='01_Вводные'!$B$297),0,('06_Сеть_и_дети'!D59-'06_Сеть_и_дети'!D87)*IF('01_Вводные'!$B$239="Да",MeanMinAge07+'19_Расчет_аналитики'!D3596*SUMIF(ThresholdAge07,"&lt;"&amp;'19_Расчет_аналитики'!D3596,WeightedRevAge07)-SUMIF(ThresholdAge07,"&lt;"&amp;'19_Расчет_аналитики'!D3596,WeightedMinAge07),MAX(CapacityAge07*'01_Вводные'!$B$218*'19_Расчет_аналитики'!D3596,MeanMinAge07))),0)</f>
        <v/>
      </c>
      <c r="E3534">
        <f>IF('01_Вводные'!$B$234="Да",IF(OR(('06_Сеть_и_дети'!E59-'06_Сеть_и_дети'!E87)=0,7&lt;='01_Вводные'!$B$297),0,('06_Сеть_и_дети'!E59-'06_Сеть_и_дети'!E87)*IF('01_Вводные'!$B$239="Да",MeanMinAge07+'19_Расчет_аналитики'!E3596*SUMIF(ThresholdAge07,"&lt;"&amp;'19_Расчет_аналитики'!E3596,WeightedRevAge07)-SUMIF(ThresholdAge07,"&lt;"&amp;'19_Расчет_аналитики'!E3596,WeightedMinAge07),MAX(CapacityAge07*'01_Вводные'!$B$218*'19_Расчет_аналитики'!E3596,MeanMinAge07))),0)</f>
        <v/>
      </c>
      <c r="F3534">
        <f>IF('01_Вводные'!$B$234="Да",IF(OR(('06_Сеть_и_дети'!F59-'06_Сеть_и_дети'!F87)=0,7&lt;='01_Вводные'!$B$297),0,('06_Сеть_и_дети'!F59-'06_Сеть_и_дети'!F87)*IF('01_Вводные'!$B$239="Да",MeanMinAge07+'19_Расчет_аналитики'!F3596*SUMIF(ThresholdAge07,"&lt;"&amp;'19_Расчет_аналитики'!F3596,WeightedRevAge07)-SUMIF(ThresholdAge07,"&lt;"&amp;'19_Расчет_аналитики'!F3596,WeightedMinAge07),MAX(CapacityAge07*'01_Вводные'!$B$218*'19_Расчет_аналитики'!F3596,MeanMinAge07))),0)</f>
        <v/>
      </c>
      <c r="G3534">
        <f>IF('01_Вводные'!$B$234="Да",IF(OR(('06_Сеть_и_дети'!G59-'06_Сеть_и_дети'!G87)=0,7&lt;='01_Вводные'!$B$297),0,('06_Сеть_и_дети'!G59-'06_Сеть_и_дети'!G87)*IF('01_Вводные'!$B$239="Да",MeanMinAge07+'19_Расчет_аналитики'!G3596*SUMIF(ThresholdAge07,"&lt;"&amp;'19_Расчет_аналитики'!G3596,WeightedRevAge07)-SUMIF(ThresholdAge07,"&lt;"&amp;'19_Расчет_аналитики'!G3596,WeightedMinAge07),MAX(CapacityAge07*'01_Вводные'!$B$218*'19_Расчет_аналитики'!G3596,MeanMinAge07))),0)</f>
        <v/>
      </c>
      <c r="H3534">
        <f>IF('01_Вводные'!$B$234="Да",IF(OR(('19_Расчет_аналитики'!H3450-'19_Расчет_аналитики'!H3478)=0,7&lt;='01_Вводные'!$B$297),0,('19_Расчет_аналитики'!H3450-'19_Расчет_аналитики'!H3478)*IF('01_Вводные'!$B$239="Да",MeanMinAge07+'19_Расчет_аналитики'!H3596*SUMIF(ThresholdAge07,"&lt;"&amp;'19_Расчет_аналитики'!H3596,WeightedRevAge07)-SUMIF(ThresholdAge07,"&lt;"&amp;'19_Расчет_аналитики'!H3596,WeightedMinAge07),MAX(CapacityAge07*'01_Вводные'!$B$218*'19_Расчет_аналитики'!H3596,MeanMinAge07))),0)</f>
        <v/>
      </c>
      <c r="I3534">
        <f>IF('01_Вводные'!$B$234="Да",IF(OR(('19_Расчет_аналитики'!I3450-'19_Расчет_аналитики'!I3478)=0,7&lt;='01_Вводные'!$B$297),0,('19_Расчет_аналитики'!I3450-'19_Расчет_аналитики'!I3478)*IF('01_Вводные'!$B$239="Да",MeanMinAge07+'19_Расчет_аналитики'!I3596*SUMIF(ThresholdAge07,"&lt;"&amp;'19_Расчет_аналитики'!I3596,WeightedRevAge07)-SUMIF(ThresholdAge07,"&lt;"&amp;'19_Расчет_аналитики'!I3596,WeightedMinAge07),MAX(CapacityAge07*'01_Вводные'!$B$218*'19_Расчет_аналитики'!I3596,MeanMinAge07))),0)</f>
        <v/>
      </c>
      <c r="J3534">
        <f>IF('01_Вводные'!$B$234="Да",IF(OR(('19_Расчет_аналитики'!J3450-'19_Расчет_аналитики'!J3478)=0,7&lt;='01_Вводные'!$B$297),0,('19_Расчет_аналитики'!J3450-'19_Расчет_аналитики'!J3478)*IF('01_Вводные'!$B$239="Да",MeanMinAge07+'19_Расчет_аналитики'!J3596*SUMIF(ThresholdAge07,"&lt;"&amp;'19_Расчет_аналитики'!J3596,WeightedRevAge07)-SUMIF(ThresholdAge07,"&lt;"&amp;'19_Расчет_аналитики'!J3596,WeightedMinAge07),MAX(CapacityAge07*'01_Вводные'!$B$218*'19_Расчет_аналитики'!J3596,MeanMinAge07))),0)</f>
        <v/>
      </c>
      <c r="K3534">
        <f>IF('01_Вводные'!$B$234="Да",IF(OR(('19_Расчет_аналитики'!K3450-'19_Расчет_аналитики'!K3478)=0,7&lt;='01_Вводные'!$B$297),0,('19_Расчет_аналитики'!K3450-'19_Расчет_аналитики'!K3478)*IF('01_Вводные'!$B$239="Да",MeanMinAge07+'19_Расчет_аналитики'!K3596*SUMIF(ThresholdAge07,"&lt;"&amp;'19_Расчет_аналитики'!K3596,WeightedRevAge07)-SUMIF(ThresholdAge07,"&lt;"&amp;'19_Расчет_аналитики'!K3596,WeightedMinAge07),MAX(CapacityAge07*'01_Вводные'!$B$218*'19_Расчет_аналитики'!K3596,MeanMinAge07))),0)</f>
        <v/>
      </c>
      <c r="L3534">
        <f>IF('01_Вводные'!$B$234="Да",IF(OR(('19_Расчет_аналитики'!L3450-'19_Расчет_аналитики'!L3478)=0,7&lt;='01_Вводные'!$B$297),0,('19_Расчет_аналитики'!L3450-'19_Расчет_аналитики'!L3478)*IF('01_Вводные'!$B$239="Да",MeanMinAge07+'19_Расчет_аналитики'!L3596*SUMIF(ThresholdAge07,"&lt;"&amp;'19_Расчет_аналитики'!L3596,WeightedRevAge07)-SUMIF(ThresholdAge07,"&lt;"&amp;'19_Расчет_аналитики'!L3596,WeightedMinAge07),MAX(CapacityAge07*'01_Вводные'!$B$218*'19_Расчет_аналитики'!L3596,MeanMinAge07))),0)</f>
        <v/>
      </c>
      <c r="M3534">
        <f>IF('01_Вводные'!$B$234="Да",IF(OR(('19_Расчет_аналитики'!M3450-'19_Расчет_аналитики'!M3478)=0,7&lt;='01_Вводные'!$B$297),0,('19_Расчет_аналитики'!M3450-'19_Расчет_аналитики'!M3478)*IF('01_Вводные'!$B$239="Да",MeanMinAge07+'19_Расчет_аналитики'!M3596*SUMIF(ThresholdAge07,"&lt;"&amp;'19_Расчет_аналитики'!M3596,WeightedRevAge07)-SUMIF(ThresholdAge07,"&lt;"&amp;'19_Расчет_аналитики'!M3596,WeightedMinAge07),MAX(CapacityAge07*'01_Вводные'!$B$218*'19_Расчет_аналитики'!M3596,MeanMinAge07))),0)</f>
        <v/>
      </c>
      <c r="N3534">
        <f>IF('01_Вводные'!$B$234="Да",IF(OR(('19_Расчет_аналитики'!N3450-'19_Расчет_аналитики'!N3478)=0,7&lt;='01_Вводные'!$B$297),0,('19_Расчет_аналитики'!N3450-'19_Расчет_аналитики'!N3478)*IF('01_Вводные'!$B$239="Да",MeanMinAge07+'19_Расчет_аналитики'!N3596*SUMIF(ThresholdAge07,"&lt;"&amp;'19_Расчет_аналитики'!N3596,WeightedRevAge07)-SUMIF(ThresholdAge07,"&lt;"&amp;'19_Расчет_аналитики'!N3596,WeightedMinAge07),MAX(CapacityAge07*'01_Вводные'!$B$218*'19_Расчет_аналитики'!N3596,MeanMinAge07))),0)</f>
        <v/>
      </c>
      <c r="O3534">
        <f>IF('01_Вводные'!$B$234="Да",IF(OR(('19_Расчет_аналитики'!O3450-'19_Расчет_аналитики'!O3478)=0,7&lt;='01_Вводные'!$B$297),0,('19_Расчет_аналитики'!O3450-'19_Расчет_аналитики'!O3478)*IF('01_Вводные'!$B$239="Да",MeanMinAge07+'19_Расчет_аналитики'!O3596*SUMIF(ThresholdAge07,"&lt;"&amp;'19_Расчет_аналитики'!O3596,WeightedRevAge07)-SUMIF(ThresholdAge07,"&lt;"&amp;'19_Расчет_аналитики'!O3596,WeightedMinAge07),MAX(CapacityAge07*'01_Вводные'!$B$218*'19_Расчет_аналитики'!O3596,MeanMinAge07))),0)</f>
        <v/>
      </c>
      <c r="P3534">
        <f>IF('01_Вводные'!$B$234="Да",IF(OR(('19_Расчет_аналитики'!P3450-'19_Расчет_аналитики'!P3478)=0,7&lt;='01_Вводные'!$B$297),0,('19_Расчет_аналитики'!P3450-'19_Расчет_аналитики'!P3478)*IF('01_Вводные'!$B$239="Да",MeanMinAge07+'19_Расчет_аналитики'!P3596*SUMIF(ThresholdAge07,"&lt;"&amp;'19_Расчет_аналитики'!P3596,WeightedRevAge07)-SUMIF(ThresholdAge07,"&lt;"&amp;'19_Расчет_аналитики'!P3596,WeightedMinAge07),MAX(CapacityAge07*'01_Вводные'!$B$218*'19_Расчет_аналитики'!P3596,MeanMinAge07))),0)</f>
        <v/>
      </c>
      <c r="Q3534">
        <f>IF('01_Вводные'!$B$234="Да",IF(OR(('19_Расчет_аналитики'!Q3450-'19_Расчет_аналитики'!Q3478)=0,7&lt;='01_Вводные'!$B$297),0,('19_Расчет_аналитики'!Q3450-'19_Расчет_аналитики'!Q3478)*IF('01_Вводные'!$B$239="Да",MeanMinAge07+'19_Расчет_аналитики'!Q3596*SUMIF(ThresholdAge07,"&lt;"&amp;'19_Расчет_аналитики'!Q3596,WeightedRevAge07)-SUMIF(ThresholdAge07,"&lt;"&amp;'19_Расчет_аналитики'!Q3596,WeightedMinAge07),MAX(CapacityAge07*'01_Вводные'!$B$218*'19_Расчет_аналитики'!Q3596,MeanMinAge07))),0)</f>
        <v/>
      </c>
      <c r="R3534">
        <f>IF('01_Вводные'!$B$234="Да",IF(OR(('19_Расчет_аналитики'!R3450-'19_Расчет_аналитики'!R3478)=0,7&lt;='01_Вводные'!$B$297),0,('19_Расчет_аналитики'!R3450-'19_Расчет_аналитики'!R3478)*IF('01_Вводные'!$B$239="Да",MeanMinAge07+'19_Расчет_аналитики'!R3596*SUMIF(ThresholdAge07,"&lt;"&amp;'19_Расчет_аналитики'!R3596,WeightedRevAge07)-SUMIF(ThresholdAge07,"&lt;"&amp;'19_Расчет_аналитики'!R3596,WeightedMinAge07),MAX(CapacityAge07*'01_Вводные'!$B$218*'19_Расчет_аналитики'!R3596,MeanMinAge07))),0)</f>
        <v/>
      </c>
      <c r="S3534">
        <f>IF('01_Вводные'!$B$234="Да",IF(OR(('19_Расчет_аналитики'!S3450-'19_Расчет_аналитики'!S3478)=0,7&lt;='01_Вводные'!$B$297),0,('19_Расчет_аналитики'!S3450-'19_Расчет_аналитики'!S3478)*IF('01_Вводные'!$B$239="Да",MeanMinAge07+'19_Расчет_аналитики'!S3596*SUMIF(ThresholdAge07,"&lt;"&amp;'19_Расчет_аналитики'!S3596,WeightedRevAge07)-SUMIF(ThresholdAge07,"&lt;"&amp;'19_Расчет_аналитики'!S3596,WeightedMinAge07),MAX(CapacityAge07*'01_Вводные'!$B$218*'19_Расчет_аналитики'!S3596,MeanMinAge07))),0)</f>
        <v/>
      </c>
      <c r="T3534">
        <f>IF('01_Вводные'!$B$234="Да",IF(OR(('19_Расчет_аналитики'!T3450-'19_Расчет_аналитики'!T3478)=0,7&lt;='01_Вводные'!$B$297),0,('19_Расчет_аналитики'!T3450-'19_Расчет_аналитики'!T3478)*IF('01_Вводные'!$B$239="Да",MeanMinAge07+'19_Расчет_аналитики'!T3596*SUMIF(ThresholdAge07,"&lt;"&amp;'19_Расчет_аналитики'!T3596,WeightedRevAge07)-SUMIF(ThresholdAge07,"&lt;"&amp;'19_Расчет_аналитики'!T3596,WeightedMinAge07),MAX(CapacityAge07*'01_Вводные'!$B$218*'19_Расчет_аналитики'!T3596,MeanMinAge07))),0)</f>
        <v/>
      </c>
      <c r="U3534">
        <f>IF('01_Вводные'!$B$234="Да",IF(OR(('19_Расчет_аналитики'!U3450-'19_Расчет_аналитики'!U3478)=0,7&lt;='01_Вводные'!$B$297),0,('19_Расчет_аналитики'!U3450-'19_Расчет_аналитики'!U3478)*IF('01_Вводные'!$B$239="Да",MeanMinAge07+'19_Расчет_аналитики'!U3596*SUMIF(ThresholdAge07,"&lt;"&amp;'19_Расчет_аналитики'!U3596,WeightedRevAge07)-SUMIF(ThresholdAge07,"&lt;"&amp;'19_Расчет_аналитики'!U3596,WeightedMinAge07),MAX(CapacityAge07*'01_Вводные'!$B$218*'19_Расчет_аналитики'!U3596,MeanMinAge07))),0)</f>
        <v/>
      </c>
      <c r="V3534">
        <f>IF('01_Вводные'!$B$234="Да",IF(OR(('19_Расчет_аналитики'!V3450-'19_Расчет_аналитики'!V3478)=0,7&lt;='01_Вводные'!$B$297),0,('19_Расчет_аналитики'!V3450-'19_Расчет_аналитики'!V3478)*IF('01_Вводные'!$B$239="Да",MeanMinAge07+'19_Расчет_аналитики'!V3596*SUMIF(ThresholdAge07,"&lt;"&amp;'19_Расчет_аналитики'!V3596,WeightedRevAge07)-SUMIF(ThresholdAge07,"&lt;"&amp;'19_Расчет_аналитики'!V3596,WeightedMinAge07),MAX(CapacityAge07*'01_Вводные'!$B$218*'19_Расчет_аналитики'!V3596,MeanMinAge07))),0)</f>
        <v/>
      </c>
      <c r="W3534">
        <f>IF('01_Вводные'!$B$234="Да",IF(OR(('19_Расчет_аналитики'!W3450-'19_Расчет_аналитики'!W3478)=0,7&lt;='01_Вводные'!$B$297),0,('19_Расчет_аналитики'!W3450-'19_Расчет_аналитики'!W3478)*IF('01_Вводные'!$B$239="Да",MeanMinAge07+'19_Расчет_аналитики'!W3596*SUMIF(ThresholdAge07,"&lt;"&amp;'19_Расчет_аналитики'!W3596,WeightedRevAge07)-SUMIF(ThresholdAge07,"&lt;"&amp;'19_Расчет_аналитики'!W3596,WeightedMinAge07),MAX(CapacityAge07*'01_Вводные'!$B$218*'19_Расчет_аналитики'!W3596,MeanMinAge07))),0)</f>
        <v/>
      </c>
      <c r="X3534">
        <f>IF('01_Вводные'!$B$234="Да",IF(OR(('19_Расчет_аналитики'!X3450-'19_Расчет_аналитики'!X3478)=0,7&lt;='01_Вводные'!$B$297),0,('19_Расчет_аналитики'!X3450-'19_Расчет_аналитики'!X3478)*IF('01_Вводные'!$B$239="Да",MeanMinAge07+'19_Расчет_аналитики'!X3596*SUMIF(ThresholdAge07,"&lt;"&amp;'19_Расчет_аналитики'!X3596,WeightedRevAge07)-SUMIF(ThresholdAge07,"&lt;"&amp;'19_Расчет_аналитики'!X3596,WeightedMinAge07),MAX(CapacityAge07*'01_Вводные'!$B$218*'19_Расчет_аналитики'!X3596,MeanMinAge07))),0)</f>
        <v/>
      </c>
      <c r="Y3534">
        <f>IF('01_Вводные'!$B$234="Да",IF(OR(('19_Расчет_аналитики'!Y3450-'19_Расчет_аналитики'!Y3478)=0,7&lt;='01_Вводные'!$B$297),0,('19_Расчет_аналитики'!Y3450-'19_Расчет_аналитики'!Y3478)*IF('01_Вводные'!$B$239="Да",MeanMinAge07+'19_Расчет_аналитики'!Y3596*SUMIF(ThresholdAge07,"&lt;"&amp;'19_Расчет_аналитики'!Y3596,WeightedRevAge07)-SUMIF(ThresholdAge07,"&lt;"&amp;'19_Расчет_аналитики'!Y3596,WeightedMinAge07),MAX(CapacityAge07*'01_Вводные'!$B$218*'19_Расчет_аналитики'!Y3596,MeanMinAge07))),0)</f>
        <v/>
      </c>
      <c r="Z3534">
        <f>IF('01_Вводные'!$B$234="Да",IF(OR(('19_Расчет_аналитики'!Z3450-'19_Расчет_аналитики'!Z3478)=0,7&lt;='01_Вводные'!$B$297),0,('19_Расчет_аналитики'!Z3450-'19_Расчет_аналитики'!Z3478)*IF('01_Вводные'!$B$239="Да",MeanMinAge07+'19_Расчет_аналитики'!Z3596*SUMIF(ThresholdAge07,"&lt;"&amp;'19_Расчет_аналитики'!Z3596,WeightedRevAge07)-SUMIF(ThresholdAge07,"&lt;"&amp;'19_Расчет_аналитики'!Z3596,WeightedMinAge07),MAX(CapacityAge07*'01_Вводные'!$B$218*'19_Расчет_аналитики'!Z3596,MeanMinAge07))),0)</f>
        <v/>
      </c>
      <c r="AA3534">
        <f>IF('01_Вводные'!$B$234="Да",IF(OR(('19_Расчет_аналитики'!AA3450-'19_Расчет_аналитики'!AA3478)=0,7&lt;='01_Вводные'!$B$297),0,('19_Расчет_аналитики'!AA3450-'19_Расчет_аналитики'!AA3478)*IF('01_Вводные'!$B$239="Да",MeanMinAge07+'19_Расчет_аналитики'!AA3596*SUMIF(ThresholdAge07,"&lt;"&amp;'19_Расчет_аналитики'!AA3596,WeightedRevAge07)-SUMIF(ThresholdAge07,"&lt;"&amp;'19_Расчет_аналитики'!AA3596,WeightedMinAge07),MAX(CapacityAge07*'01_Вводные'!$B$218*'19_Расчет_аналитики'!AA3596,MeanMinAge07))),0)</f>
        <v/>
      </c>
      <c r="AB3534">
        <f>IF('01_Вводные'!$B$234="Да",IF(OR(('19_Расчет_аналитики'!AB3450-'19_Расчет_аналитики'!AB3478)=0,7&lt;='01_Вводные'!$B$297),0,('19_Расчет_аналитики'!AB3450-'19_Расчет_аналитики'!AB3478)*IF('01_Вводные'!$B$239="Да",MeanMinAge07+'19_Расчет_аналитики'!AB3596*SUMIF(ThresholdAge07,"&lt;"&amp;'19_Расчет_аналитики'!AB3596,WeightedRevAge07)-SUMIF(ThresholdAge07,"&lt;"&amp;'19_Расчет_аналитики'!AB3596,WeightedMinAge07),MAX(CapacityAge07*'01_Вводные'!$B$218*'19_Расчет_аналитики'!AB3596,MeanMinAge07))),0)</f>
        <v/>
      </c>
      <c r="AC3534">
        <f>IF('01_Вводные'!$B$234="Да",IF(OR(('19_Расчет_аналитики'!AC3450-'19_Расчет_аналитики'!AC3478)=0,7&lt;='01_Вводные'!$B$297),0,('19_Расчет_аналитики'!AC3450-'19_Расчет_аналитики'!AC3478)*IF('01_Вводные'!$B$239="Да",MeanMinAge07+'19_Расчет_аналитики'!AC3596*SUMIF(ThresholdAge07,"&lt;"&amp;'19_Расчет_аналитики'!AC3596,WeightedRevAge07)-SUMIF(ThresholdAge07,"&lt;"&amp;'19_Расчет_аналитики'!AC3596,WeightedMinAge07),MAX(CapacityAge07*'01_Вводные'!$B$218*'19_Расчет_аналитики'!AC3596,MeanMinAge07))),0)</f>
        <v/>
      </c>
      <c r="AD3534">
        <f>IF('01_Вводные'!$B$234="Да",IF(OR(('19_Расчет_аналитики'!AD3450-'19_Расчет_аналитики'!AD3478)=0,7&lt;='01_Вводные'!$B$297),0,('19_Расчет_аналитики'!AD3450-'19_Расчет_аналитики'!AD3478)*IF('01_Вводные'!$B$239="Да",MeanMinAge07+'19_Расчет_аналитики'!AD3596*SUMIF(ThresholdAge07,"&lt;"&amp;'19_Расчет_аналитики'!AD3596,WeightedRevAge07)-SUMIF(ThresholdAge07,"&lt;"&amp;'19_Расчет_аналитики'!AD3596,WeightedMinAge07),MAX(CapacityAge07*'01_Вводные'!$B$218*'19_Расчет_аналитики'!AD3596,MeanMinAge07))),0)</f>
        <v/>
      </c>
      <c r="AE3534">
        <f>IF('01_Вводные'!$B$234="Да",IF(OR(('19_Расчет_аналитики'!AE3450-'19_Расчет_аналитики'!AE3478)=0,7&lt;='01_Вводные'!$B$297),0,('19_Расчет_аналитики'!AE3450-'19_Расчет_аналитики'!AE3478)*IF('01_Вводные'!$B$239="Да",MeanMinAge07+'19_Расчет_аналитики'!AE3596*SUMIF(ThresholdAge07,"&lt;"&amp;'19_Расчет_аналитики'!AE3596,WeightedRevAge07)-SUMIF(ThresholdAge07,"&lt;"&amp;'19_Расчет_аналитики'!AE3596,WeightedMinAge07),MAX(CapacityAge07*'01_Вводные'!$B$218*'19_Расчет_аналитики'!AE3596,MeanMinAge07))),0)</f>
        <v/>
      </c>
      <c r="AF3534">
        <f>IF('01_Вводные'!$B$234="Да",IF(OR(('19_Расчет_аналитики'!AF3450-'19_Расчет_аналитики'!AF3478)=0,7&lt;='01_Вводные'!$B$297),0,('19_Расчет_аналитики'!AF3450-'19_Расчет_аналитики'!AF3478)*IF('01_Вводные'!$B$239="Да",MeanMinAge07+'19_Расчет_аналитики'!AF3596*SUMIF(ThresholdAge07,"&lt;"&amp;'19_Расчет_аналитики'!AF3596,WeightedRevAge07)-SUMIF(ThresholdAge07,"&lt;"&amp;'19_Расчет_аналитики'!AF3596,WeightedMinAge07),MAX(CapacityAge07*'01_Вводные'!$B$218*'19_Расчет_аналитики'!AF3596,MeanMinAge07))),0)</f>
        <v/>
      </c>
      <c r="AG3534">
        <f>IF('01_Вводные'!$B$234="Да",IF(OR(('19_Расчет_аналитики'!AG3450-'19_Расчет_аналитики'!AG3478)=0,7&lt;='01_Вводные'!$B$297),0,('19_Расчет_аналитики'!AG3450-'19_Расчет_аналитики'!AG3478)*IF('01_Вводные'!$B$239="Да",MeanMinAge07+'19_Расчет_аналитики'!AG3596*SUMIF(ThresholdAge07,"&lt;"&amp;'19_Расчет_аналитики'!AG3596,WeightedRevAge07)-SUMIF(ThresholdAge07,"&lt;"&amp;'19_Расчет_аналитики'!AG3596,WeightedMinAge07),MAX(CapacityAge07*'01_Вводные'!$B$218*'19_Расчет_аналитики'!AG3596,MeanMinAge07))),0)</f>
        <v/>
      </c>
      <c r="AH3534">
        <f>IF('01_Вводные'!$B$234="Да",IF(OR(('19_Расчет_аналитики'!AH3450-'19_Расчет_аналитики'!AH3478)=0,7&lt;='01_Вводные'!$B$297),0,('19_Расчет_аналитики'!AH3450-'19_Расчет_аналитики'!AH3478)*IF('01_Вводные'!$B$239="Да",MeanMinAge07+'19_Расчет_аналитики'!AH3596*SUMIF(ThresholdAge07,"&lt;"&amp;'19_Расчет_аналитики'!AH3596,WeightedRevAge07)-SUMIF(ThresholdAge07,"&lt;"&amp;'19_Расчет_аналитики'!AH3596,WeightedMinAge07),MAX(CapacityAge07*'01_Вводные'!$B$218*'19_Расчет_аналитики'!AH3596,MeanMinAge07))),0)</f>
        <v/>
      </c>
      <c r="AI3534">
        <f>IF('01_Вводные'!$B$234="Да",IF(OR(('19_Расчет_аналитики'!AI3450-'19_Расчет_аналитики'!AI3478)=0,7&lt;='01_Вводные'!$B$297),0,('19_Расчет_аналитики'!AI3450-'19_Расчет_аналитики'!AI3478)*IF('01_Вводные'!$B$239="Да",MeanMinAge07+'19_Расчет_аналитики'!AI3596*SUMIF(ThresholdAge07,"&lt;"&amp;'19_Расчет_аналитики'!AI3596,WeightedRevAge07)-SUMIF(ThresholdAge07,"&lt;"&amp;'19_Расчет_аналитики'!AI3596,WeightedMinAge07),MAX(CapacityAge07*'01_Вводные'!$B$218*'19_Расчет_аналитики'!AI3596,MeanMinAge07))),0)</f>
        <v/>
      </c>
      <c r="AJ3534">
        <f>IF('01_Вводные'!$B$234="Да",IF(OR(('19_Расчет_аналитики'!AJ3450-'19_Расчет_аналитики'!AJ3478)=0,7&lt;='01_Вводные'!$B$297),0,('19_Расчет_аналитики'!AJ3450-'19_Расчет_аналитики'!AJ3478)*IF('01_Вводные'!$B$239="Да",MeanMinAge07+'19_Расчет_аналитики'!AJ3596*SUMIF(ThresholdAge07,"&lt;"&amp;'19_Расчет_аналитики'!AJ3596,WeightedRevAge07)-SUMIF(ThresholdAge07,"&lt;"&amp;'19_Расчет_аналитики'!AJ3596,WeightedMinAge07),MAX(CapacityAge07*'01_Вводные'!$B$218*'19_Расчет_аналитики'!AJ3596,MeanMinAge07))),0)</f>
        <v/>
      </c>
      <c r="AK3534">
        <f>IF('01_Вводные'!$B$234="Да",IF(OR(('19_Расчет_аналитики'!AK3450-'19_Расчет_аналитики'!AK3478)=0,7&lt;='01_Вводные'!$B$297),0,('19_Расчет_аналитики'!AK3450-'19_Расчет_аналитики'!AK3478)*IF('01_Вводные'!$B$239="Да",MeanMinAge07+'19_Расчет_аналитики'!AK3596*SUMIF(ThresholdAge07,"&lt;"&amp;'19_Расчет_аналитики'!AK3596,WeightedRevAge07)-SUMIF(ThresholdAge07,"&lt;"&amp;'19_Расчет_аналитики'!AK3596,WeightedMinAge07),MAX(CapacityAge07*'01_Вводные'!$B$218*'19_Расчет_аналитики'!AK3596,MeanMinAge07))),0)</f>
        <v/>
      </c>
      <c r="AL3534">
        <f>IF('01_Вводные'!$B$234="Да",IF(OR(('19_Расчет_аналитики'!AL3450-'19_Расчет_аналитики'!AL3478)=0,7&lt;='01_Вводные'!$B$297),0,('19_Расчет_аналитики'!AL3450-'19_Расчет_аналитики'!AL3478)*IF('01_Вводные'!$B$239="Да",MeanMinAge07+'19_Расчет_аналитики'!AL3596*SUMIF(ThresholdAge07,"&lt;"&amp;'19_Расчет_аналитики'!AL3596,WeightedRevAge07)-SUMIF(ThresholdAge07,"&lt;"&amp;'19_Расчет_аналитики'!AL3596,WeightedMinAge07),MAX(CapacityAge07*'01_Вводные'!$B$218*'19_Расчет_аналитики'!AL3596,MeanMinAge07))),0)</f>
        <v/>
      </c>
      <c r="AM3534">
        <f>IF('01_Вводные'!$B$234="Да",IF(OR(('19_Расчет_аналитики'!AM3450-'19_Расчет_аналитики'!AM3478)=0,7&lt;='01_Вводные'!$B$297),0,('19_Расчет_аналитики'!AM3450-'19_Расчет_аналитики'!AM3478)*IF('01_Вводные'!$B$239="Да",MeanMinAge07+'19_Расчет_аналитики'!AM3596*SUMIF(ThresholdAge07,"&lt;"&amp;'19_Расчет_аналитики'!AM3596,WeightedRevAge07)-SUMIF(ThresholdAge07,"&lt;"&amp;'19_Расчет_аналитики'!AM3596,WeightedMinAge07),MAX(CapacityAge07*'01_Вводные'!$B$218*'19_Расчет_аналитики'!AM3596,MeanMinAge07))),0)</f>
        <v/>
      </c>
      <c r="AN3534">
        <f>IF('01_Вводные'!$B$234="Да",IF(OR(('19_Расчет_аналитики'!AN3450-'19_Расчет_аналитики'!AN3478)=0,7&lt;='01_Вводные'!$B$297),0,('19_Расчет_аналитики'!AN3450-'19_Расчет_аналитики'!AN3478)*IF('01_Вводные'!$B$239="Да",MeanMinAge07+'19_Расчет_аналитики'!AN3596*SUMIF(ThresholdAge07,"&lt;"&amp;'19_Расчет_аналитики'!AN3596,WeightedRevAge07)-SUMIF(ThresholdAge07,"&lt;"&amp;'19_Расчет_аналитики'!AN3596,WeightedMinAge07),MAX(CapacityAge07*'01_Вводные'!$B$218*'19_Расчет_аналитики'!AN3596,MeanMinAge07))),0)</f>
        <v/>
      </c>
      <c r="AO3534">
        <f>IF('01_Вводные'!$B$234="Да",IF(OR(('19_Расчет_аналитики'!AO3450-'19_Расчет_аналитики'!AO3478)=0,7&lt;='01_Вводные'!$B$297),0,('19_Расчет_аналитики'!AO3450-'19_Расчет_аналитики'!AO3478)*IF('01_Вводные'!$B$239="Да",MeanMinAge07+'19_Расчет_аналитики'!AO3596*SUMIF(ThresholdAge07,"&lt;"&amp;'19_Расчет_аналитики'!AO3596,WeightedRevAge07)-SUMIF(ThresholdAge07,"&lt;"&amp;'19_Расчет_аналитики'!AO3596,WeightedMinAge07),MAX(CapacityAge07*'01_Вводные'!$B$218*'19_Расчет_аналитики'!AO3596,MeanMinAge07))),0)</f>
        <v/>
      </c>
      <c r="AP3534">
        <f>IF('01_Вводные'!$B$234="Да",IF(OR(('19_Расчет_аналитики'!AP3450-'19_Расчет_аналитики'!AP3478)=0,7&lt;='01_Вводные'!$B$297),0,('19_Расчет_аналитики'!AP3450-'19_Расчет_аналитики'!AP3478)*IF('01_Вводные'!$B$239="Да",MeanMinAge07+'19_Расчет_аналитики'!AP3596*SUMIF(ThresholdAge07,"&lt;"&amp;'19_Расчет_аналитики'!AP3596,WeightedRevAge07)-SUMIF(ThresholdAge07,"&lt;"&amp;'19_Расчет_аналитики'!AP3596,WeightedMinAge07),MAX(CapacityAge07*'01_Вводные'!$B$218*'19_Расчет_аналитики'!AP3596,MeanMinAge07))),0)</f>
        <v/>
      </c>
      <c r="AQ3534">
        <f>IF('01_Вводные'!$B$234="Да",IF(OR(('19_Расчет_аналитики'!AQ3450-'19_Расчет_аналитики'!AQ3478)=0,7&lt;='01_Вводные'!$B$297),0,('19_Расчет_аналитики'!AQ3450-'19_Расчет_аналитики'!AQ3478)*IF('01_Вводные'!$B$239="Да",MeanMinAge07+'19_Расчет_аналитики'!AQ3596*SUMIF(ThresholdAge07,"&lt;"&amp;'19_Расчет_аналитики'!AQ3596,WeightedRevAge07)-SUMIF(ThresholdAge07,"&lt;"&amp;'19_Расчет_аналитики'!AQ3596,WeightedMinAge07),MAX(CapacityAge07*'01_Вводные'!$B$218*'19_Расчет_аналитики'!AQ3596,MeanMinAge07))),0)</f>
        <v/>
      </c>
      <c r="AR3534">
        <f>IF('01_Вводные'!$B$234="Да",IF(OR(('19_Расчет_аналитики'!AR3450-'19_Расчет_аналитики'!AR3478)=0,7&lt;='01_Вводные'!$B$297),0,('19_Расчет_аналитики'!AR3450-'19_Расчет_аналитики'!AR3478)*IF('01_Вводные'!$B$239="Да",MeanMinAge07+'19_Расчет_аналитики'!AR3596*SUMIF(ThresholdAge07,"&lt;"&amp;'19_Расчет_аналитики'!AR3596,WeightedRevAge07)-SUMIF(ThresholdAge07,"&lt;"&amp;'19_Расчет_аналитики'!AR3596,WeightedMinAge07),MAX(CapacityAge07*'01_Вводные'!$B$218*'19_Расчет_аналитики'!AR3596,MeanMinAge07))),0)</f>
        <v/>
      </c>
      <c r="AS3534">
        <f>IF('01_Вводные'!$B$234="Да",IF(OR(('19_Расчет_аналитики'!AS3450-'19_Расчет_аналитики'!AS3478)=0,7&lt;='01_Вводные'!$B$297),0,('19_Расчет_аналитики'!AS3450-'19_Расчет_аналитики'!AS3478)*IF('01_Вводные'!$B$239="Да",MeanMinAge07+'19_Расчет_аналитики'!AS3596*SUMIF(ThresholdAge07,"&lt;"&amp;'19_Расчет_аналитики'!AS3596,WeightedRevAge07)-SUMIF(ThresholdAge07,"&lt;"&amp;'19_Расчет_аналитики'!AS3596,WeightedMinAge07),MAX(CapacityAge07*'01_Вводные'!$B$218*'19_Расчет_аналитики'!AS3596,MeanMinAge07))),0)</f>
        <v/>
      </c>
      <c r="AT3534">
        <f>IF('01_Вводные'!$B$234="Да",IF(OR(('19_Расчет_аналитики'!AT3450-'19_Расчет_аналитики'!AT3478)=0,7&lt;='01_Вводные'!$B$297),0,('19_Расчет_аналитики'!AT3450-'19_Расчет_аналитики'!AT3478)*IF('01_Вводные'!$B$239="Да",MeanMinAge07+'19_Расчет_аналитики'!AT3596*SUMIF(ThresholdAge07,"&lt;"&amp;'19_Расчет_аналитики'!AT3596,WeightedRevAge07)-SUMIF(ThresholdAge07,"&lt;"&amp;'19_Расчет_аналитики'!AT3596,WeightedMinAge07),MAX(CapacityAge07*'01_Вводные'!$B$218*'19_Расчет_аналитики'!AT3596,MeanMinAge07))),0)</f>
        <v/>
      </c>
      <c r="AU3534">
        <f>IF('01_Вводные'!$B$234="Да",IF(OR(('19_Расчет_аналитики'!AU3450-'19_Расчет_аналитики'!AU3478)=0,7&lt;='01_Вводные'!$B$297),0,('19_Расчет_аналитики'!AU3450-'19_Расчет_аналитики'!AU3478)*IF('01_Вводные'!$B$239="Да",MeanMinAge07+'19_Расчет_аналитики'!AU3596*SUMIF(ThresholdAge07,"&lt;"&amp;'19_Расчет_аналитики'!AU3596,WeightedRevAge07)-SUMIF(ThresholdAge07,"&lt;"&amp;'19_Расчет_аналитики'!AU3596,WeightedMinAge07),MAX(CapacityAge07*'01_Вводные'!$B$218*'19_Расчет_аналитики'!AU3596,MeanMinAge07))),0)</f>
        <v/>
      </c>
      <c r="AV3534">
        <f>IF('01_Вводные'!$B$234="Да",IF(OR(('19_Расчет_аналитики'!AV3450-'19_Расчет_аналитики'!AV3478)=0,7&lt;='01_Вводные'!$B$297),0,('19_Расчет_аналитики'!AV3450-'19_Расчет_аналитики'!AV3478)*IF('01_Вводные'!$B$239="Да",MeanMinAge07+'19_Расчет_аналитики'!AV3596*SUMIF(ThresholdAge07,"&lt;"&amp;'19_Расчет_аналитики'!AV3596,WeightedRevAge07)-SUMIF(ThresholdAge07,"&lt;"&amp;'19_Расчет_аналитики'!AV3596,WeightedMinAge07),MAX(CapacityAge07*'01_Вводные'!$B$218*'19_Расчет_аналитики'!AV3596,MeanMinAge07))),0)</f>
        <v/>
      </c>
      <c r="AW3534">
        <f>IF('01_Вводные'!$B$234="Да",IF(OR(('19_Расчет_аналитики'!AW3450-'19_Расчет_аналитики'!AW3478)=0,7&lt;='01_Вводные'!$B$297),0,('19_Расчет_аналитики'!AW3450-'19_Расчет_аналитики'!AW3478)*IF('01_Вводные'!$B$239="Да",MeanMinAge07+'19_Расчет_аналитики'!AW3596*SUMIF(ThresholdAge07,"&lt;"&amp;'19_Расчет_аналитики'!AW3596,WeightedRevAge07)-SUMIF(ThresholdAge07,"&lt;"&amp;'19_Расчет_аналитики'!AW3596,WeightedMinAge07),MAX(CapacityAge07*'01_Вводные'!$B$218*'19_Расчет_аналитики'!AW3596,MeanMinAge07))),0)</f>
        <v/>
      </c>
      <c r="AX3534">
        <f>IF('01_Вводные'!$B$234="Да",IF(OR(('19_Расчет_аналитики'!AX3450-'19_Расчет_аналитики'!AX3478)=0,7&lt;='01_Вводные'!$B$297),0,('19_Расчет_аналитики'!AX3450-'19_Расчет_аналитики'!AX3478)*IF('01_Вводные'!$B$239="Да",MeanMinAge07+'19_Расчет_аналитики'!AX3596*SUMIF(ThresholdAge07,"&lt;"&amp;'19_Расчет_аналитики'!AX3596,WeightedRevAge07)-SUMIF(ThresholdAge07,"&lt;"&amp;'19_Расчет_аналитики'!AX3596,WeightedMinAge07),MAX(CapacityAge07*'01_Вводные'!$B$218*'19_Расчет_аналитики'!AX3596,MeanMinAge07))),0)</f>
        <v/>
      </c>
      <c r="AY3534">
        <f>IF('01_Вводные'!$B$234="Да",IF(OR(('19_Расчет_аналитики'!AY3450-'19_Расчет_аналитики'!AY3478)=0,7&lt;='01_Вводные'!$B$297),0,('19_Расчет_аналитики'!AY3450-'19_Расчет_аналитики'!AY3478)*IF('01_Вводные'!$B$239="Да",MeanMinAge07+'19_Расчет_аналитики'!AY3596*SUMIF(ThresholdAge07,"&lt;"&amp;'19_Расчет_аналитики'!AY3596,WeightedRevAge07)-SUMIF(ThresholdAge07,"&lt;"&amp;'19_Расчет_аналитики'!AY3596,WeightedMinAge07),MAX(CapacityAge07*'01_Вводные'!$B$218*'19_Расчет_аналитики'!AY3596,MeanMinAge07))),0)</f>
        <v/>
      </c>
      <c r="AZ3534">
        <f>IF('01_Вводные'!$B$234="Да",IF(OR(('19_Расчет_аналитики'!AZ3450-'19_Расчет_аналитики'!AZ3478)=0,7&lt;='01_Вводные'!$B$297),0,('19_Расчет_аналитики'!AZ3450-'19_Расчет_аналитики'!AZ3478)*IF('01_Вводные'!$B$239="Да",MeanMinAge07+'19_Расчет_аналитики'!AZ3596*SUMIF(ThresholdAge07,"&lt;"&amp;'19_Расчет_аналитики'!AZ3596,WeightedRevAge07)-SUMIF(ThresholdAge07,"&lt;"&amp;'19_Расчет_аналитики'!AZ3596,WeightedMinAge07),MAX(CapacityAge07*'01_Вводные'!$B$218*'19_Расчет_аналитики'!AZ3596,MeanMinAge07))),0)</f>
        <v/>
      </c>
      <c r="BA3534">
        <f>IF('01_Вводные'!$B$234="Да",IF(OR(('19_Расчет_аналитики'!BA3450-'19_Расчет_аналитики'!BA3478)=0,7&lt;='01_Вводные'!$B$297),0,('19_Расчет_аналитики'!BA3450-'19_Расчет_аналитики'!BA3478)*IF('01_Вводные'!$B$239="Да",MeanMinAge07+'19_Расчет_аналитики'!BA3596*SUMIF(ThresholdAge07,"&lt;"&amp;'19_Расчет_аналитики'!BA3596,WeightedRevAge07)-SUMIF(ThresholdAge07,"&lt;"&amp;'19_Расчет_аналитики'!BA3596,WeightedMinAge07),MAX(CapacityAge07*'01_Вводные'!$B$218*'19_Расчет_аналитики'!BA3596,MeanMinAge07))),0)</f>
        <v/>
      </c>
      <c r="BB3534">
        <f>IF('01_Вводные'!$B$234="Да",IF(OR(('19_Расчет_аналитики'!BB3450-'19_Расчет_аналитики'!BB3478)=0,7&lt;='01_Вводные'!$B$297),0,('19_Расчет_аналитики'!BB3450-'19_Расчет_аналитики'!BB3478)*IF('01_Вводные'!$B$239="Да",MeanMinAge07+'19_Расчет_аналитики'!BB3596*SUMIF(ThresholdAge07,"&lt;"&amp;'19_Расчет_аналитики'!BB3596,WeightedRevAge07)-SUMIF(ThresholdAge07,"&lt;"&amp;'19_Расчет_аналитики'!BB3596,WeightedMinAge07),MAX(CapacityAge07*'01_Вводные'!$B$218*'19_Расчет_аналитики'!BB3596,MeanMinAge07))),0)</f>
        <v/>
      </c>
      <c r="BC3534">
        <f>IF('01_Вводные'!$B$234="Да",IF(OR(('19_Расчет_аналитики'!BC3450-'19_Расчет_аналитики'!BC3478)=0,7&lt;='01_Вводные'!$B$297),0,('19_Расчет_аналитики'!BC3450-'19_Расчет_аналитики'!BC3478)*IF('01_Вводные'!$B$239="Да",MeanMinAge07+'19_Расчет_аналитики'!BC3596*SUMIF(ThresholdAge07,"&lt;"&amp;'19_Расчет_аналитики'!BC3596,WeightedRevAge07)-SUMIF(ThresholdAge07,"&lt;"&amp;'19_Расчет_аналитики'!BC3596,WeightedMinAge07),MAX(CapacityAge07*'01_Вводные'!$B$218*'19_Расчет_аналитики'!BC3596,MeanMinAge07))),0)</f>
        <v/>
      </c>
      <c r="BD3534">
        <f>IF('01_Вводные'!$B$234="Да",IF(OR(('19_Расчет_аналитики'!BD3450-'19_Расчет_аналитики'!BD3478)=0,7&lt;='01_Вводные'!$B$297),0,('19_Расчет_аналитики'!BD3450-'19_Расчет_аналитики'!BD3478)*IF('01_Вводные'!$B$239="Да",MeanMinAge07+'19_Расчет_аналитики'!BD3596*SUMIF(ThresholdAge07,"&lt;"&amp;'19_Расчет_аналитики'!BD3596,WeightedRevAge07)-SUMIF(ThresholdAge07,"&lt;"&amp;'19_Расчет_аналитики'!BD3596,WeightedMinAge07),MAX(CapacityAge07*'01_Вводные'!$B$218*'19_Расчет_аналитики'!BD3596,MeanMinAge07))),0)</f>
        <v/>
      </c>
      <c r="BE3534">
        <f>IF('01_Вводные'!$B$234="Да",IF(OR(('19_Расчет_аналитики'!BE3450-'19_Расчет_аналитики'!BE3478)=0,7&lt;='01_Вводные'!$B$297),0,('19_Расчет_аналитики'!BE3450-'19_Расчет_аналитики'!BE3478)*IF('01_Вводные'!$B$239="Да",MeanMinAge07+'19_Расчет_аналитики'!BE3596*SUMIF(ThresholdAge07,"&lt;"&amp;'19_Расчет_аналитики'!BE3596,WeightedRevAge07)-SUMIF(ThresholdAge07,"&lt;"&amp;'19_Расчет_аналитики'!BE3596,WeightedMinAge07),MAX(CapacityAge07*'01_Вводные'!$B$218*'19_Расчет_аналитики'!BE3596,MeanMinAge07))),0)</f>
        <v/>
      </c>
      <c r="BF3534">
        <f>IF('01_Вводные'!$B$234="Да",IF(OR(('19_Расчет_аналитики'!BF3450-'19_Расчет_аналитики'!BF3478)=0,7&lt;='01_Вводные'!$B$297),0,('19_Расчет_аналитики'!BF3450-'19_Расчет_аналитики'!BF3478)*IF('01_Вводные'!$B$239="Да",MeanMinAge07+'19_Расчет_аналитики'!BF3596*SUMIF(ThresholdAge07,"&lt;"&amp;'19_Расчет_аналитики'!BF3596,WeightedRevAge07)-SUMIF(ThresholdAge07,"&lt;"&amp;'19_Расчет_аналитики'!BF3596,WeightedMinAge07),MAX(CapacityAge07*'01_Вводные'!$B$218*'19_Расчет_аналитики'!BF3596,MeanMinAge07))),0)</f>
        <v/>
      </c>
      <c r="BG3534">
        <f>IF('01_Вводные'!$B$234="Да",IF(OR(('19_Расчет_аналитики'!BG3450-'19_Расчет_аналитики'!BG3478)=0,7&lt;='01_Вводные'!$B$297),0,('19_Расчет_аналитики'!BG3450-'19_Расчет_аналитики'!BG3478)*IF('01_Вводные'!$B$239="Да",MeanMinAge07+'19_Расчет_аналитики'!BG3596*SUMIF(ThresholdAge07,"&lt;"&amp;'19_Расчет_аналитики'!BG3596,WeightedRevAge07)-SUMIF(ThresholdAge07,"&lt;"&amp;'19_Расчет_аналитики'!BG3596,WeightedMinAge07),MAX(CapacityAge07*'01_Вводные'!$B$218*'19_Расчет_аналитики'!BG3596,MeanMinAge07))),0)</f>
        <v/>
      </c>
      <c r="BH3534">
        <f>IF('01_Вводные'!$B$234="Да",IF(OR(('19_Расчет_аналитики'!BH3450-'19_Расчет_аналитики'!BH3478)=0,7&lt;='01_Вводные'!$B$297),0,('19_Расчет_аналитики'!BH3450-'19_Расчет_аналитики'!BH3478)*IF('01_Вводные'!$B$239="Да",MeanMinAge07+'19_Расчет_аналитики'!BH3596*SUMIF(ThresholdAge07,"&lt;"&amp;'19_Расчет_аналитики'!BH3596,WeightedRevAge07)-SUMIF(ThresholdAge07,"&lt;"&amp;'19_Расчет_аналитики'!BH3596,WeightedMinAge07),MAX(CapacityAge07*'01_Вводные'!$B$218*'19_Расчет_аналитики'!BH3596,MeanMinAge07))),0)</f>
        <v/>
      </c>
      <c r="BI3534">
        <f>IF('01_Вводные'!$B$234="Да",IF(OR(('19_Расчет_аналитики'!BI3450-'19_Расчет_аналитики'!BI3478)=0,7&lt;='01_Вводные'!$B$297),0,('19_Расчет_аналитики'!BI3450-'19_Расчет_аналитики'!BI3478)*IF('01_Вводные'!$B$239="Да",MeanMinAge07+'19_Расчет_аналитики'!BI3596*SUMIF(ThresholdAge07,"&lt;"&amp;'19_Расчет_аналитики'!BI3596,WeightedRevAge07)-SUMIF(ThresholdAge07,"&lt;"&amp;'19_Расчет_аналитики'!BI3596,WeightedMinAge07),MAX(CapacityAge07*'01_Вводные'!$B$218*'19_Расчет_аналитики'!BI3596,MeanMinAge07))),0)</f>
        <v/>
      </c>
      <c r="BJ3534">
        <f>IF('01_Вводные'!$B$234="Да",IF(OR(('19_Расчет_аналитики'!BJ3450-'19_Расчет_аналитики'!BJ3478)=0,7&lt;='01_Вводные'!$B$297),0,('19_Расчет_аналитики'!BJ3450-'19_Расчет_аналитики'!BJ3478)*IF('01_Вводные'!$B$239="Да",MeanMinAge07+'19_Расчет_аналитики'!BJ3596*SUMIF(ThresholdAge07,"&lt;"&amp;'19_Расчет_аналитики'!BJ3596,WeightedRevAge07)-SUMIF(ThresholdAge07,"&lt;"&amp;'19_Расчет_аналитики'!BJ3596,WeightedMinAge07),MAX(CapacityAge07*'01_Вводные'!$B$218*'19_Расчет_аналитики'!BJ3596,MeanMinAge07))),0)</f>
        <v/>
      </c>
      <c r="BK3534">
        <f>IF('01_Вводные'!$B$234="Да",IF(OR(('19_Расчет_аналитики'!BK3450-'19_Расчет_аналитики'!BK3478)=0,7&lt;='01_Вводные'!$B$297),0,('19_Расчет_аналитики'!BK3450-'19_Расчет_аналитики'!BK3478)*IF('01_Вводные'!$B$239="Да",MeanMinAge07+'19_Расчет_аналитики'!BK3596*SUMIF(ThresholdAge07,"&lt;"&amp;'19_Расчет_аналитики'!BK3596,WeightedRevAge07)-SUMIF(ThresholdAge07,"&lt;"&amp;'19_Расчет_аналитики'!BK3596,WeightedMinAge07),MAX(CapacityAge07*'01_Вводные'!$B$218*'19_Расчет_аналитики'!BK3596,MeanMinAge07))),0)</f>
        <v/>
      </c>
      <c r="BL3534">
        <f>IF('01_Вводные'!$B$234="Да",IF(OR(('19_Расчет_аналитики'!BL3450-'19_Расчет_аналитики'!BL3478)=0,7&lt;='01_Вводные'!$B$297),0,('19_Расчет_аналитики'!BL3450-'19_Расчет_аналитики'!BL3478)*IF('01_Вводные'!$B$239="Да",MeanMinAge07+'19_Расчет_аналитики'!BL3596*SUMIF(ThresholdAge07,"&lt;"&amp;'19_Расчет_аналитики'!BL3596,WeightedRevAge07)-SUMIF(ThresholdAge07,"&lt;"&amp;'19_Расчет_аналитики'!BL3596,WeightedMinAge07),MAX(CapacityAge07*'01_Вводные'!$B$218*'19_Расчет_аналитики'!BL3596,MeanMinAge07))),0)</f>
        <v/>
      </c>
      <c r="BM3534">
        <f>IF('01_Вводные'!$B$234="Да",IF(OR(('19_Расчет_аналитики'!BM3450-'19_Расчет_аналитики'!BM3478)=0,7&lt;='01_Вводные'!$B$297),0,('19_Расчет_аналитики'!BM3450-'19_Расчет_аналитики'!BM3478)*IF('01_Вводные'!$B$239="Да",MeanMinAge07+'19_Расчет_аналитики'!BM3596*SUMIF(ThresholdAge07,"&lt;"&amp;'19_Расчет_аналитики'!BM3596,WeightedRevAge07)-SUMIF(ThresholdAge07,"&lt;"&amp;'19_Расчет_аналитики'!BM3596,WeightedMinAge07),MAX(CapacityAge07*'01_Вводные'!$B$218*'19_Расчет_аналитики'!BM3596,MeanMinAge07))),0)</f>
        <v/>
      </c>
      <c r="BN3534">
        <f>IF('01_Вводные'!$B$234="Да",IF(OR(('19_Расчет_аналитики'!BN3450-'19_Расчет_аналитики'!BN3478)=0,7&lt;='01_Вводные'!$B$297),0,('19_Расчет_аналитики'!BN3450-'19_Расчет_аналитики'!BN3478)*IF('01_Вводные'!$B$239="Да",MeanMinAge07+'19_Расчет_аналитики'!BN3596*SUMIF(ThresholdAge07,"&lt;"&amp;'19_Расчет_аналитики'!BN3596,WeightedRevAge07)-SUMIF(ThresholdAge07,"&lt;"&amp;'19_Расчет_аналитики'!BN3596,WeightedMinAge07),MAX(CapacityAge07*'01_Вводные'!$B$218*'19_Расчет_аналитики'!BN3596,MeanMinAge07))),0)</f>
        <v/>
      </c>
      <c r="BO3534">
        <f>IF('01_Вводные'!$B$234="Да",IF(OR(('19_Расчет_аналитики'!BO3450-'19_Расчет_аналитики'!BO3478)=0,7&lt;='01_Вводные'!$B$297),0,('19_Расчет_аналитики'!BO3450-'19_Расчет_аналитики'!BO3478)*IF('01_Вводные'!$B$239="Да",MeanMinAge07+'19_Расчет_аналитики'!BO3596*SUMIF(ThresholdAge07,"&lt;"&amp;'19_Расчет_аналитики'!BO3596,WeightedRevAge07)-SUMIF(ThresholdAge07,"&lt;"&amp;'19_Расчет_аналитики'!BO3596,WeightedMinAge07),MAX(CapacityAge07*'01_Вводные'!$B$218*'19_Расчет_аналитики'!BO3596,MeanMinAge07))),0)</f>
        <v/>
      </c>
    </row>
    <row r="3535">
      <c r="B3535">
        <f>IF('01_Вводные'!$B$234="Да",IF(OR(('06_Сеть_и_дети'!B60-'06_Сеть_и_дети'!B88)=0,8&lt;='01_Вводные'!$B$297),0,('06_Сеть_и_дети'!B60-'06_Сеть_и_дети'!B88)*IF('01_Вводные'!$B$239="Да",MeanMinAge08+'19_Расчет_аналитики'!B3596*SUMIF(ThresholdAge08,"&lt;"&amp;'19_Расчет_аналитики'!B3596,WeightedRevAge08)-SUMIF(ThresholdAge08,"&lt;"&amp;'19_Расчет_аналитики'!B3596,WeightedMinAge08),MAX(CapacityAge08*'01_Вводные'!$B$218*'19_Расчет_аналитики'!B3596,MeanMinAge08))),0)</f>
        <v/>
      </c>
      <c r="C3535">
        <f>IF('01_Вводные'!$B$234="Да",IF(OR(('06_Сеть_и_дети'!C60-'06_Сеть_и_дети'!C88)=0,8&lt;='01_Вводные'!$B$297),0,('06_Сеть_и_дети'!C60-'06_Сеть_и_дети'!C88)*IF('01_Вводные'!$B$239="Да",MeanMinAge08+'19_Расчет_аналитики'!C3596*SUMIF(ThresholdAge08,"&lt;"&amp;'19_Расчет_аналитики'!C3596,WeightedRevAge08)-SUMIF(ThresholdAge08,"&lt;"&amp;'19_Расчет_аналитики'!C3596,WeightedMinAge08),MAX(CapacityAge08*'01_Вводные'!$B$218*'19_Расчет_аналитики'!C3596,MeanMinAge08))),0)</f>
        <v/>
      </c>
      <c r="D3535">
        <f>IF('01_Вводные'!$B$234="Да",IF(OR(('06_Сеть_и_дети'!D60-'06_Сеть_и_дети'!D88)=0,8&lt;='01_Вводные'!$B$297),0,('06_Сеть_и_дети'!D60-'06_Сеть_и_дети'!D88)*IF('01_Вводные'!$B$239="Да",MeanMinAge08+'19_Расчет_аналитики'!D3596*SUMIF(ThresholdAge08,"&lt;"&amp;'19_Расчет_аналитики'!D3596,WeightedRevAge08)-SUMIF(ThresholdAge08,"&lt;"&amp;'19_Расчет_аналитики'!D3596,WeightedMinAge08),MAX(CapacityAge08*'01_Вводные'!$B$218*'19_Расчет_аналитики'!D3596,MeanMinAge08))),0)</f>
        <v/>
      </c>
      <c r="E3535">
        <f>IF('01_Вводные'!$B$234="Да",IF(OR(('06_Сеть_и_дети'!E60-'06_Сеть_и_дети'!E88)=0,8&lt;='01_Вводные'!$B$297),0,('06_Сеть_и_дети'!E60-'06_Сеть_и_дети'!E88)*IF('01_Вводные'!$B$239="Да",MeanMinAge08+'19_Расчет_аналитики'!E3596*SUMIF(ThresholdAge08,"&lt;"&amp;'19_Расчет_аналитики'!E3596,WeightedRevAge08)-SUMIF(ThresholdAge08,"&lt;"&amp;'19_Расчет_аналитики'!E3596,WeightedMinAge08),MAX(CapacityAge08*'01_Вводные'!$B$218*'19_Расчет_аналитики'!E3596,MeanMinAge08))),0)</f>
        <v/>
      </c>
      <c r="F3535">
        <f>IF('01_Вводные'!$B$234="Да",IF(OR(('06_Сеть_и_дети'!F60-'06_Сеть_и_дети'!F88)=0,8&lt;='01_Вводные'!$B$297),0,('06_Сеть_и_дети'!F60-'06_Сеть_и_дети'!F88)*IF('01_Вводные'!$B$239="Да",MeanMinAge08+'19_Расчет_аналитики'!F3596*SUMIF(ThresholdAge08,"&lt;"&amp;'19_Расчет_аналитики'!F3596,WeightedRevAge08)-SUMIF(ThresholdAge08,"&lt;"&amp;'19_Расчет_аналитики'!F3596,WeightedMinAge08),MAX(CapacityAge08*'01_Вводные'!$B$218*'19_Расчет_аналитики'!F3596,MeanMinAge08))),0)</f>
        <v/>
      </c>
      <c r="G3535">
        <f>IF('01_Вводные'!$B$234="Да",IF(OR(('06_Сеть_и_дети'!G60-'06_Сеть_и_дети'!G88)=0,8&lt;='01_Вводные'!$B$297),0,('06_Сеть_и_дети'!G60-'06_Сеть_и_дети'!G88)*IF('01_Вводные'!$B$239="Да",MeanMinAge08+'19_Расчет_аналитики'!G3596*SUMIF(ThresholdAge08,"&lt;"&amp;'19_Расчет_аналитики'!G3596,WeightedRevAge08)-SUMIF(ThresholdAge08,"&lt;"&amp;'19_Расчет_аналитики'!G3596,WeightedMinAge08),MAX(CapacityAge08*'01_Вводные'!$B$218*'19_Расчет_аналитики'!G3596,MeanMinAge08))),0)</f>
        <v/>
      </c>
      <c r="H3535">
        <f>IF('01_Вводные'!$B$234="Да",IF(OR(('06_Сеть_и_дети'!H60-'06_Сеть_и_дети'!H88)=0,8&lt;='01_Вводные'!$B$297),0,('06_Сеть_и_дети'!H60-'06_Сеть_и_дети'!H88)*IF('01_Вводные'!$B$239="Да",MeanMinAge08+'19_Расчет_аналитики'!H3596*SUMIF(ThresholdAge08,"&lt;"&amp;'19_Расчет_аналитики'!H3596,WeightedRevAge08)-SUMIF(ThresholdAge08,"&lt;"&amp;'19_Расчет_аналитики'!H3596,WeightedMinAge08),MAX(CapacityAge08*'01_Вводные'!$B$218*'19_Расчет_аналитики'!H3596,MeanMinAge08))),0)</f>
        <v/>
      </c>
      <c r="I3535">
        <f>IF('01_Вводные'!$B$234="Да",IF(OR(('19_Расчет_аналитики'!I3451-'19_Расчет_аналитики'!I3479)=0,8&lt;='01_Вводные'!$B$297),0,('19_Расчет_аналитики'!I3451-'19_Расчет_аналитики'!I3479)*IF('01_Вводные'!$B$239="Да",MeanMinAge08+'19_Расчет_аналитики'!I3596*SUMIF(ThresholdAge08,"&lt;"&amp;'19_Расчет_аналитики'!I3596,WeightedRevAge08)-SUMIF(ThresholdAge08,"&lt;"&amp;'19_Расчет_аналитики'!I3596,WeightedMinAge08),MAX(CapacityAge08*'01_Вводные'!$B$218*'19_Расчет_аналитики'!I3596,MeanMinAge08))),0)</f>
        <v/>
      </c>
      <c r="J3535">
        <f>IF('01_Вводные'!$B$234="Да",IF(OR(('19_Расчет_аналитики'!J3451-'19_Расчет_аналитики'!J3479)=0,8&lt;='01_Вводные'!$B$297),0,('19_Расчет_аналитики'!J3451-'19_Расчет_аналитики'!J3479)*IF('01_Вводные'!$B$239="Да",MeanMinAge08+'19_Расчет_аналитики'!J3596*SUMIF(ThresholdAge08,"&lt;"&amp;'19_Расчет_аналитики'!J3596,WeightedRevAge08)-SUMIF(ThresholdAge08,"&lt;"&amp;'19_Расчет_аналитики'!J3596,WeightedMinAge08),MAX(CapacityAge08*'01_Вводные'!$B$218*'19_Расчет_аналитики'!J3596,MeanMinAge08))),0)</f>
        <v/>
      </c>
      <c r="K3535">
        <f>IF('01_Вводные'!$B$234="Да",IF(OR(('19_Расчет_аналитики'!K3451-'19_Расчет_аналитики'!K3479)=0,8&lt;='01_Вводные'!$B$297),0,('19_Расчет_аналитики'!K3451-'19_Расчет_аналитики'!K3479)*IF('01_Вводные'!$B$239="Да",MeanMinAge08+'19_Расчет_аналитики'!K3596*SUMIF(ThresholdAge08,"&lt;"&amp;'19_Расчет_аналитики'!K3596,WeightedRevAge08)-SUMIF(ThresholdAge08,"&lt;"&amp;'19_Расчет_аналитики'!K3596,WeightedMinAge08),MAX(CapacityAge08*'01_Вводные'!$B$218*'19_Расчет_аналитики'!K3596,MeanMinAge08))),0)</f>
        <v/>
      </c>
      <c r="L3535">
        <f>IF('01_Вводные'!$B$234="Да",IF(OR(('19_Расчет_аналитики'!L3451-'19_Расчет_аналитики'!L3479)=0,8&lt;='01_Вводные'!$B$297),0,('19_Расчет_аналитики'!L3451-'19_Расчет_аналитики'!L3479)*IF('01_Вводные'!$B$239="Да",MeanMinAge08+'19_Расчет_аналитики'!L3596*SUMIF(ThresholdAge08,"&lt;"&amp;'19_Расчет_аналитики'!L3596,WeightedRevAge08)-SUMIF(ThresholdAge08,"&lt;"&amp;'19_Расчет_аналитики'!L3596,WeightedMinAge08),MAX(CapacityAge08*'01_Вводные'!$B$218*'19_Расчет_аналитики'!L3596,MeanMinAge08))),0)</f>
        <v/>
      </c>
      <c r="M3535">
        <f>IF('01_Вводные'!$B$234="Да",IF(OR(('19_Расчет_аналитики'!M3451-'19_Расчет_аналитики'!M3479)=0,8&lt;='01_Вводные'!$B$297),0,('19_Расчет_аналитики'!M3451-'19_Расчет_аналитики'!M3479)*IF('01_Вводные'!$B$239="Да",MeanMinAge08+'19_Расчет_аналитики'!M3596*SUMIF(ThresholdAge08,"&lt;"&amp;'19_Расчет_аналитики'!M3596,WeightedRevAge08)-SUMIF(ThresholdAge08,"&lt;"&amp;'19_Расчет_аналитики'!M3596,WeightedMinAge08),MAX(CapacityAge08*'01_Вводные'!$B$218*'19_Расчет_аналитики'!M3596,MeanMinAge08))),0)</f>
        <v/>
      </c>
      <c r="N3535">
        <f>IF('01_Вводные'!$B$234="Да",IF(OR(('19_Расчет_аналитики'!N3451-'19_Расчет_аналитики'!N3479)=0,8&lt;='01_Вводные'!$B$297),0,('19_Расчет_аналитики'!N3451-'19_Расчет_аналитики'!N3479)*IF('01_Вводные'!$B$239="Да",MeanMinAge08+'19_Расчет_аналитики'!N3596*SUMIF(ThresholdAge08,"&lt;"&amp;'19_Расчет_аналитики'!N3596,WeightedRevAge08)-SUMIF(ThresholdAge08,"&lt;"&amp;'19_Расчет_аналитики'!N3596,WeightedMinAge08),MAX(CapacityAge08*'01_Вводные'!$B$218*'19_Расчет_аналитики'!N3596,MeanMinAge08))),0)</f>
        <v/>
      </c>
      <c r="O3535">
        <f>IF('01_Вводные'!$B$234="Да",IF(OR(('19_Расчет_аналитики'!O3451-'19_Расчет_аналитики'!O3479)=0,8&lt;='01_Вводные'!$B$297),0,('19_Расчет_аналитики'!O3451-'19_Расчет_аналитики'!O3479)*IF('01_Вводные'!$B$239="Да",MeanMinAge08+'19_Расчет_аналитики'!O3596*SUMIF(ThresholdAge08,"&lt;"&amp;'19_Расчет_аналитики'!O3596,WeightedRevAge08)-SUMIF(ThresholdAge08,"&lt;"&amp;'19_Расчет_аналитики'!O3596,WeightedMinAge08),MAX(CapacityAge08*'01_Вводные'!$B$218*'19_Расчет_аналитики'!O3596,MeanMinAge08))),0)</f>
        <v/>
      </c>
      <c r="P3535">
        <f>IF('01_Вводные'!$B$234="Да",IF(OR(('19_Расчет_аналитики'!P3451-'19_Расчет_аналитики'!P3479)=0,8&lt;='01_Вводные'!$B$297),0,('19_Расчет_аналитики'!P3451-'19_Расчет_аналитики'!P3479)*IF('01_Вводные'!$B$239="Да",MeanMinAge08+'19_Расчет_аналитики'!P3596*SUMIF(ThresholdAge08,"&lt;"&amp;'19_Расчет_аналитики'!P3596,WeightedRevAge08)-SUMIF(ThresholdAge08,"&lt;"&amp;'19_Расчет_аналитики'!P3596,WeightedMinAge08),MAX(CapacityAge08*'01_Вводные'!$B$218*'19_Расчет_аналитики'!P3596,MeanMinAge08))),0)</f>
        <v/>
      </c>
      <c r="Q3535">
        <f>IF('01_Вводные'!$B$234="Да",IF(OR(('19_Расчет_аналитики'!Q3451-'19_Расчет_аналитики'!Q3479)=0,8&lt;='01_Вводные'!$B$297),0,('19_Расчет_аналитики'!Q3451-'19_Расчет_аналитики'!Q3479)*IF('01_Вводные'!$B$239="Да",MeanMinAge08+'19_Расчет_аналитики'!Q3596*SUMIF(ThresholdAge08,"&lt;"&amp;'19_Расчет_аналитики'!Q3596,WeightedRevAge08)-SUMIF(ThresholdAge08,"&lt;"&amp;'19_Расчет_аналитики'!Q3596,WeightedMinAge08),MAX(CapacityAge08*'01_Вводные'!$B$218*'19_Расчет_аналитики'!Q3596,MeanMinAge08))),0)</f>
        <v/>
      </c>
      <c r="R3535">
        <f>IF('01_Вводные'!$B$234="Да",IF(OR(('19_Расчет_аналитики'!R3451-'19_Расчет_аналитики'!R3479)=0,8&lt;='01_Вводные'!$B$297),0,('19_Расчет_аналитики'!R3451-'19_Расчет_аналитики'!R3479)*IF('01_Вводные'!$B$239="Да",MeanMinAge08+'19_Расчет_аналитики'!R3596*SUMIF(ThresholdAge08,"&lt;"&amp;'19_Расчет_аналитики'!R3596,WeightedRevAge08)-SUMIF(ThresholdAge08,"&lt;"&amp;'19_Расчет_аналитики'!R3596,WeightedMinAge08),MAX(CapacityAge08*'01_Вводные'!$B$218*'19_Расчет_аналитики'!R3596,MeanMinAge08))),0)</f>
        <v/>
      </c>
      <c r="S3535">
        <f>IF('01_Вводные'!$B$234="Да",IF(OR(('19_Расчет_аналитики'!S3451-'19_Расчет_аналитики'!S3479)=0,8&lt;='01_Вводные'!$B$297),0,('19_Расчет_аналитики'!S3451-'19_Расчет_аналитики'!S3479)*IF('01_Вводные'!$B$239="Да",MeanMinAge08+'19_Расчет_аналитики'!S3596*SUMIF(ThresholdAge08,"&lt;"&amp;'19_Расчет_аналитики'!S3596,WeightedRevAge08)-SUMIF(ThresholdAge08,"&lt;"&amp;'19_Расчет_аналитики'!S3596,WeightedMinAge08),MAX(CapacityAge08*'01_Вводные'!$B$218*'19_Расчет_аналитики'!S3596,MeanMinAge08))),0)</f>
        <v/>
      </c>
      <c r="T3535">
        <f>IF('01_Вводные'!$B$234="Да",IF(OR(('19_Расчет_аналитики'!T3451-'19_Расчет_аналитики'!T3479)=0,8&lt;='01_Вводные'!$B$297),0,('19_Расчет_аналитики'!T3451-'19_Расчет_аналитики'!T3479)*IF('01_Вводные'!$B$239="Да",MeanMinAge08+'19_Расчет_аналитики'!T3596*SUMIF(ThresholdAge08,"&lt;"&amp;'19_Расчет_аналитики'!T3596,WeightedRevAge08)-SUMIF(ThresholdAge08,"&lt;"&amp;'19_Расчет_аналитики'!T3596,WeightedMinAge08),MAX(CapacityAge08*'01_Вводные'!$B$218*'19_Расчет_аналитики'!T3596,MeanMinAge08))),0)</f>
        <v/>
      </c>
      <c r="U3535">
        <f>IF('01_Вводные'!$B$234="Да",IF(OR(('19_Расчет_аналитики'!U3451-'19_Расчет_аналитики'!U3479)=0,8&lt;='01_Вводные'!$B$297),0,('19_Расчет_аналитики'!U3451-'19_Расчет_аналитики'!U3479)*IF('01_Вводные'!$B$239="Да",MeanMinAge08+'19_Расчет_аналитики'!U3596*SUMIF(ThresholdAge08,"&lt;"&amp;'19_Расчет_аналитики'!U3596,WeightedRevAge08)-SUMIF(ThresholdAge08,"&lt;"&amp;'19_Расчет_аналитики'!U3596,WeightedMinAge08),MAX(CapacityAge08*'01_Вводные'!$B$218*'19_Расчет_аналитики'!U3596,MeanMinAge08))),0)</f>
        <v/>
      </c>
      <c r="V3535">
        <f>IF('01_Вводные'!$B$234="Да",IF(OR(('19_Расчет_аналитики'!V3451-'19_Расчет_аналитики'!V3479)=0,8&lt;='01_Вводные'!$B$297),0,('19_Расчет_аналитики'!V3451-'19_Расчет_аналитики'!V3479)*IF('01_Вводные'!$B$239="Да",MeanMinAge08+'19_Расчет_аналитики'!V3596*SUMIF(ThresholdAge08,"&lt;"&amp;'19_Расчет_аналитики'!V3596,WeightedRevAge08)-SUMIF(ThresholdAge08,"&lt;"&amp;'19_Расчет_аналитики'!V3596,WeightedMinAge08),MAX(CapacityAge08*'01_Вводные'!$B$218*'19_Расчет_аналитики'!V3596,MeanMinAge08))),0)</f>
        <v/>
      </c>
      <c r="W3535">
        <f>IF('01_Вводные'!$B$234="Да",IF(OR(('19_Расчет_аналитики'!W3451-'19_Расчет_аналитики'!W3479)=0,8&lt;='01_Вводные'!$B$297),0,('19_Расчет_аналитики'!W3451-'19_Расчет_аналитики'!W3479)*IF('01_Вводные'!$B$239="Да",MeanMinAge08+'19_Расчет_аналитики'!W3596*SUMIF(ThresholdAge08,"&lt;"&amp;'19_Расчет_аналитики'!W3596,WeightedRevAge08)-SUMIF(ThresholdAge08,"&lt;"&amp;'19_Расчет_аналитики'!W3596,WeightedMinAge08),MAX(CapacityAge08*'01_Вводные'!$B$218*'19_Расчет_аналитики'!W3596,MeanMinAge08))),0)</f>
        <v/>
      </c>
      <c r="X3535">
        <f>IF('01_Вводные'!$B$234="Да",IF(OR(('19_Расчет_аналитики'!X3451-'19_Расчет_аналитики'!X3479)=0,8&lt;='01_Вводные'!$B$297),0,('19_Расчет_аналитики'!X3451-'19_Расчет_аналитики'!X3479)*IF('01_Вводные'!$B$239="Да",MeanMinAge08+'19_Расчет_аналитики'!X3596*SUMIF(ThresholdAge08,"&lt;"&amp;'19_Расчет_аналитики'!X3596,WeightedRevAge08)-SUMIF(ThresholdAge08,"&lt;"&amp;'19_Расчет_аналитики'!X3596,WeightedMinAge08),MAX(CapacityAge08*'01_Вводные'!$B$218*'19_Расчет_аналитики'!X3596,MeanMinAge08))),0)</f>
        <v/>
      </c>
      <c r="Y3535">
        <f>IF('01_Вводные'!$B$234="Да",IF(OR(('19_Расчет_аналитики'!Y3451-'19_Расчет_аналитики'!Y3479)=0,8&lt;='01_Вводные'!$B$297),0,('19_Расчет_аналитики'!Y3451-'19_Расчет_аналитики'!Y3479)*IF('01_Вводные'!$B$239="Да",MeanMinAge08+'19_Расчет_аналитики'!Y3596*SUMIF(ThresholdAge08,"&lt;"&amp;'19_Расчет_аналитики'!Y3596,WeightedRevAge08)-SUMIF(ThresholdAge08,"&lt;"&amp;'19_Расчет_аналитики'!Y3596,WeightedMinAge08),MAX(CapacityAge08*'01_Вводные'!$B$218*'19_Расчет_аналитики'!Y3596,MeanMinAge08))),0)</f>
        <v/>
      </c>
      <c r="Z3535">
        <f>IF('01_Вводные'!$B$234="Да",IF(OR(('19_Расчет_аналитики'!Z3451-'19_Расчет_аналитики'!Z3479)=0,8&lt;='01_Вводные'!$B$297),0,('19_Расчет_аналитики'!Z3451-'19_Расчет_аналитики'!Z3479)*IF('01_Вводные'!$B$239="Да",MeanMinAge08+'19_Расчет_аналитики'!Z3596*SUMIF(ThresholdAge08,"&lt;"&amp;'19_Расчет_аналитики'!Z3596,WeightedRevAge08)-SUMIF(ThresholdAge08,"&lt;"&amp;'19_Расчет_аналитики'!Z3596,WeightedMinAge08),MAX(CapacityAge08*'01_Вводные'!$B$218*'19_Расчет_аналитики'!Z3596,MeanMinAge08))),0)</f>
        <v/>
      </c>
      <c r="AA3535">
        <f>IF('01_Вводные'!$B$234="Да",IF(OR(('19_Расчет_аналитики'!AA3451-'19_Расчет_аналитики'!AA3479)=0,8&lt;='01_Вводные'!$B$297),0,('19_Расчет_аналитики'!AA3451-'19_Расчет_аналитики'!AA3479)*IF('01_Вводные'!$B$239="Да",MeanMinAge08+'19_Расчет_аналитики'!AA3596*SUMIF(ThresholdAge08,"&lt;"&amp;'19_Расчет_аналитики'!AA3596,WeightedRevAge08)-SUMIF(ThresholdAge08,"&lt;"&amp;'19_Расчет_аналитики'!AA3596,WeightedMinAge08),MAX(CapacityAge08*'01_Вводные'!$B$218*'19_Расчет_аналитики'!AA3596,MeanMinAge08))),0)</f>
        <v/>
      </c>
      <c r="AB3535">
        <f>IF('01_Вводные'!$B$234="Да",IF(OR(('19_Расчет_аналитики'!AB3451-'19_Расчет_аналитики'!AB3479)=0,8&lt;='01_Вводные'!$B$297),0,('19_Расчет_аналитики'!AB3451-'19_Расчет_аналитики'!AB3479)*IF('01_Вводные'!$B$239="Да",MeanMinAge08+'19_Расчет_аналитики'!AB3596*SUMIF(ThresholdAge08,"&lt;"&amp;'19_Расчет_аналитики'!AB3596,WeightedRevAge08)-SUMIF(ThresholdAge08,"&lt;"&amp;'19_Расчет_аналитики'!AB3596,WeightedMinAge08),MAX(CapacityAge08*'01_Вводные'!$B$218*'19_Расчет_аналитики'!AB3596,MeanMinAge08))),0)</f>
        <v/>
      </c>
      <c r="AC3535">
        <f>IF('01_Вводные'!$B$234="Да",IF(OR(('19_Расчет_аналитики'!AC3451-'19_Расчет_аналитики'!AC3479)=0,8&lt;='01_Вводные'!$B$297),0,('19_Расчет_аналитики'!AC3451-'19_Расчет_аналитики'!AC3479)*IF('01_Вводные'!$B$239="Да",MeanMinAge08+'19_Расчет_аналитики'!AC3596*SUMIF(ThresholdAge08,"&lt;"&amp;'19_Расчет_аналитики'!AC3596,WeightedRevAge08)-SUMIF(ThresholdAge08,"&lt;"&amp;'19_Расчет_аналитики'!AC3596,WeightedMinAge08),MAX(CapacityAge08*'01_Вводные'!$B$218*'19_Расчет_аналитики'!AC3596,MeanMinAge08))),0)</f>
        <v/>
      </c>
      <c r="AD3535">
        <f>IF('01_Вводные'!$B$234="Да",IF(OR(('19_Расчет_аналитики'!AD3451-'19_Расчет_аналитики'!AD3479)=0,8&lt;='01_Вводные'!$B$297),0,('19_Расчет_аналитики'!AD3451-'19_Расчет_аналитики'!AD3479)*IF('01_Вводные'!$B$239="Да",MeanMinAge08+'19_Расчет_аналитики'!AD3596*SUMIF(ThresholdAge08,"&lt;"&amp;'19_Расчет_аналитики'!AD3596,WeightedRevAge08)-SUMIF(ThresholdAge08,"&lt;"&amp;'19_Расчет_аналитики'!AD3596,WeightedMinAge08),MAX(CapacityAge08*'01_Вводные'!$B$218*'19_Расчет_аналитики'!AD3596,MeanMinAge08))),0)</f>
        <v/>
      </c>
      <c r="AE3535">
        <f>IF('01_Вводные'!$B$234="Да",IF(OR(('19_Расчет_аналитики'!AE3451-'19_Расчет_аналитики'!AE3479)=0,8&lt;='01_Вводные'!$B$297),0,('19_Расчет_аналитики'!AE3451-'19_Расчет_аналитики'!AE3479)*IF('01_Вводные'!$B$239="Да",MeanMinAge08+'19_Расчет_аналитики'!AE3596*SUMIF(ThresholdAge08,"&lt;"&amp;'19_Расчет_аналитики'!AE3596,WeightedRevAge08)-SUMIF(ThresholdAge08,"&lt;"&amp;'19_Расчет_аналитики'!AE3596,WeightedMinAge08),MAX(CapacityAge08*'01_Вводные'!$B$218*'19_Расчет_аналитики'!AE3596,MeanMinAge08))),0)</f>
        <v/>
      </c>
      <c r="AF3535">
        <f>IF('01_Вводные'!$B$234="Да",IF(OR(('19_Расчет_аналитики'!AF3451-'19_Расчет_аналитики'!AF3479)=0,8&lt;='01_Вводные'!$B$297),0,('19_Расчет_аналитики'!AF3451-'19_Расчет_аналитики'!AF3479)*IF('01_Вводные'!$B$239="Да",MeanMinAge08+'19_Расчет_аналитики'!AF3596*SUMIF(ThresholdAge08,"&lt;"&amp;'19_Расчет_аналитики'!AF3596,WeightedRevAge08)-SUMIF(ThresholdAge08,"&lt;"&amp;'19_Расчет_аналитики'!AF3596,WeightedMinAge08),MAX(CapacityAge08*'01_Вводные'!$B$218*'19_Расчет_аналитики'!AF3596,MeanMinAge08))),0)</f>
        <v/>
      </c>
      <c r="AG3535">
        <f>IF('01_Вводные'!$B$234="Да",IF(OR(('19_Расчет_аналитики'!AG3451-'19_Расчет_аналитики'!AG3479)=0,8&lt;='01_Вводные'!$B$297),0,('19_Расчет_аналитики'!AG3451-'19_Расчет_аналитики'!AG3479)*IF('01_Вводные'!$B$239="Да",MeanMinAge08+'19_Расчет_аналитики'!AG3596*SUMIF(ThresholdAge08,"&lt;"&amp;'19_Расчет_аналитики'!AG3596,WeightedRevAge08)-SUMIF(ThresholdAge08,"&lt;"&amp;'19_Расчет_аналитики'!AG3596,WeightedMinAge08),MAX(CapacityAge08*'01_Вводные'!$B$218*'19_Расчет_аналитики'!AG3596,MeanMinAge08))),0)</f>
        <v/>
      </c>
      <c r="AH3535">
        <f>IF('01_Вводные'!$B$234="Да",IF(OR(('19_Расчет_аналитики'!AH3451-'19_Расчет_аналитики'!AH3479)=0,8&lt;='01_Вводные'!$B$297),0,('19_Расчет_аналитики'!AH3451-'19_Расчет_аналитики'!AH3479)*IF('01_Вводные'!$B$239="Да",MeanMinAge08+'19_Расчет_аналитики'!AH3596*SUMIF(ThresholdAge08,"&lt;"&amp;'19_Расчет_аналитики'!AH3596,WeightedRevAge08)-SUMIF(ThresholdAge08,"&lt;"&amp;'19_Расчет_аналитики'!AH3596,WeightedMinAge08),MAX(CapacityAge08*'01_Вводные'!$B$218*'19_Расчет_аналитики'!AH3596,MeanMinAge08))),0)</f>
        <v/>
      </c>
      <c r="AI3535">
        <f>IF('01_Вводные'!$B$234="Да",IF(OR(('19_Расчет_аналитики'!AI3451-'19_Расчет_аналитики'!AI3479)=0,8&lt;='01_Вводные'!$B$297),0,('19_Расчет_аналитики'!AI3451-'19_Расчет_аналитики'!AI3479)*IF('01_Вводные'!$B$239="Да",MeanMinAge08+'19_Расчет_аналитики'!AI3596*SUMIF(ThresholdAge08,"&lt;"&amp;'19_Расчет_аналитики'!AI3596,WeightedRevAge08)-SUMIF(ThresholdAge08,"&lt;"&amp;'19_Расчет_аналитики'!AI3596,WeightedMinAge08),MAX(CapacityAge08*'01_Вводные'!$B$218*'19_Расчет_аналитики'!AI3596,MeanMinAge08))),0)</f>
        <v/>
      </c>
      <c r="AJ3535">
        <f>IF('01_Вводные'!$B$234="Да",IF(OR(('19_Расчет_аналитики'!AJ3451-'19_Расчет_аналитики'!AJ3479)=0,8&lt;='01_Вводные'!$B$297),0,('19_Расчет_аналитики'!AJ3451-'19_Расчет_аналитики'!AJ3479)*IF('01_Вводные'!$B$239="Да",MeanMinAge08+'19_Расчет_аналитики'!AJ3596*SUMIF(ThresholdAge08,"&lt;"&amp;'19_Расчет_аналитики'!AJ3596,WeightedRevAge08)-SUMIF(ThresholdAge08,"&lt;"&amp;'19_Расчет_аналитики'!AJ3596,WeightedMinAge08),MAX(CapacityAge08*'01_Вводные'!$B$218*'19_Расчет_аналитики'!AJ3596,MeanMinAge08))),0)</f>
        <v/>
      </c>
      <c r="AK3535">
        <f>IF('01_Вводные'!$B$234="Да",IF(OR(('19_Расчет_аналитики'!AK3451-'19_Расчет_аналитики'!AK3479)=0,8&lt;='01_Вводные'!$B$297),0,('19_Расчет_аналитики'!AK3451-'19_Расчет_аналитики'!AK3479)*IF('01_Вводные'!$B$239="Да",MeanMinAge08+'19_Расчет_аналитики'!AK3596*SUMIF(ThresholdAge08,"&lt;"&amp;'19_Расчет_аналитики'!AK3596,WeightedRevAge08)-SUMIF(ThresholdAge08,"&lt;"&amp;'19_Расчет_аналитики'!AK3596,WeightedMinAge08),MAX(CapacityAge08*'01_Вводные'!$B$218*'19_Расчет_аналитики'!AK3596,MeanMinAge08))),0)</f>
        <v/>
      </c>
      <c r="AL3535">
        <f>IF('01_Вводные'!$B$234="Да",IF(OR(('19_Расчет_аналитики'!AL3451-'19_Расчет_аналитики'!AL3479)=0,8&lt;='01_Вводные'!$B$297),0,('19_Расчет_аналитики'!AL3451-'19_Расчет_аналитики'!AL3479)*IF('01_Вводные'!$B$239="Да",MeanMinAge08+'19_Расчет_аналитики'!AL3596*SUMIF(ThresholdAge08,"&lt;"&amp;'19_Расчет_аналитики'!AL3596,WeightedRevAge08)-SUMIF(ThresholdAge08,"&lt;"&amp;'19_Расчет_аналитики'!AL3596,WeightedMinAge08),MAX(CapacityAge08*'01_Вводные'!$B$218*'19_Расчет_аналитики'!AL3596,MeanMinAge08))),0)</f>
        <v/>
      </c>
      <c r="AM3535">
        <f>IF('01_Вводные'!$B$234="Да",IF(OR(('19_Расчет_аналитики'!AM3451-'19_Расчет_аналитики'!AM3479)=0,8&lt;='01_Вводные'!$B$297),0,('19_Расчет_аналитики'!AM3451-'19_Расчет_аналитики'!AM3479)*IF('01_Вводные'!$B$239="Да",MeanMinAge08+'19_Расчет_аналитики'!AM3596*SUMIF(ThresholdAge08,"&lt;"&amp;'19_Расчет_аналитики'!AM3596,WeightedRevAge08)-SUMIF(ThresholdAge08,"&lt;"&amp;'19_Расчет_аналитики'!AM3596,WeightedMinAge08),MAX(CapacityAge08*'01_Вводные'!$B$218*'19_Расчет_аналитики'!AM3596,MeanMinAge08))),0)</f>
        <v/>
      </c>
      <c r="AN3535">
        <f>IF('01_Вводные'!$B$234="Да",IF(OR(('19_Расчет_аналитики'!AN3451-'19_Расчет_аналитики'!AN3479)=0,8&lt;='01_Вводные'!$B$297),0,('19_Расчет_аналитики'!AN3451-'19_Расчет_аналитики'!AN3479)*IF('01_Вводные'!$B$239="Да",MeanMinAge08+'19_Расчет_аналитики'!AN3596*SUMIF(ThresholdAge08,"&lt;"&amp;'19_Расчет_аналитики'!AN3596,WeightedRevAge08)-SUMIF(ThresholdAge08,"&lt;"&amp;'19_Расчет_аналитики'!AN3596,WeightedMinAge08),MAX(CapacityAge08*'01_Вводные'!$B$218*'19_Расчет_аналитики'!AN3596,MeanMinAge08))),0)</f>
        <v/>
      </c>
      <c r="AO3535">
        <f>IF('01_Вводные'!$B$234="Да",IF(OR(('19_Расчет_аналитики'!AO3451-'19_Расчет_аналитики'!AO3479)=0,8&lt;='01_Вводные'!$B$297),0,('19_Расчет_аналитики'!AO3451-'19_Расчет_аналитики'!AO3479)*IF('01_Вводные'!$B$239="Да",MeanMinAge08+'19_Расчет_аналитики'!AO3596*SUMIF(ThresholdAge08,"&lt;"&amp;'19_Расчет_аналитики'!AO3596,WeightedRevAge08)-SUMIF(ThresholdAge08,"&lt;"&amp;'19_Расчет_аналитики'!AO3596,WeightedMinAge08),MAX(CapacityAge08*'01_Вводные'!$B$218*'19_Расчет_аналитики'!AO3596,MeanMinAge08))),0)</f>
        <v/>
      </c>
      <c r="AP3535">
        <f>IF('01_Вводные'!$B$234="Да",IF(OR(('19_Расчет_аналитики'!AP3451-'19_Расчет_аналитики'!AP3479)=0,8&lt;='01_Вводные'!$B$297),0,('19_Расчет_аналитики'!AP3451-'19_Расчет_аналитики'!AP3479)*IF('01_Вводные'!$B$239="Да",MeanMinAge08+'19_Расчет_аналитики'!AP3596*SUMIF(ThresholdAge08,"&lt;"&amp;'19_Расчет_аналитики'!AP3596,WeightedRevAge08)-SUMIF(ThresholdAge08,"&lt;"&amp;'19_Расчет_аналитики'!AP3596,WeightedMinAge08),MAX(CapacityAge08*'01_Вводные'!$B$218*'19_Расчет_аналитики'!AP3596,MeanMinAge08))),0)</f>
        <v/>
      </c>
      <c r="AQ3535">
        <f>IF('01_Вводные'!$B$234="Да",IF(OR(('19_Расчет_аналитики'!AQ3451-'19_Расчет_аналитики'!AQ3479)=0,8&lt;='01_Вводные'!$B$297),0,('19_Расчет_аналитики'!AQ3451-'19_Расчет_аналитики'!AQ3479)*IF('01_Вводные'!$B$239="Да",MeanMinAge08+'19_Расчет_аналитики'!AQ3596*SUMIF(ThresholdAge08,"&lt;"&amp;'19_Расчет_аналитики'!AQ3596,WeightedRevAge08)-SUMIF(ThresholdAge08,"&lt;"&amp;'19_Расчет_аналитики'!AQ3596,WeightedMinAge08),MAX(CapacityAge08*'01_Вводные'!$B$218*'19_Расчет_аналитики'!AQ3596,MeanMinAge08))),0)</f>
        <v/>
      </c>
      <c r="AR3535">
        <f>IF('01_Вводные'!$B$234="Да",IF(OR(('19_Расчет_аналитики'!AR3451-'19_Расчет_аналитики'!AR3479)=0,8&lt;='01_Вводные'!$B$297),0,('19_Расчет_аналитики'!AR3451-'19_Расчет_аналитики'!AR3479)*IF('01_Вводные'!$B$239="Да",MeanMinAge08+'19_Расчет_аналитики'!AR3596*SUMIF(ThresholdAge08,"&lt;"&amp;'19_Расчет_аналитики'!AR3596,WeightedRevAge08)-SUMIF(ThresholdAge08,"&lt;"&amp;'19_Расчет_аналитики'!AR3596,WeightedMinAge08),MAX(CapacityAge08*'01_Вводные'!$B$218*'19_Расчет_аналитики'!AR3596,MeanMinAge08))),0)</f>
        <v/>
      </c>
      <c r="AS3535">
        <f>IF('01_Вводные'!$B$234="Да",IF(OR(('19_Расчет_аналитики'!AS3451-'19_Расчет_аналитики'!AS3479)=0,8&lt;='01_Вводные'!$B$297),0,('19_Расчет_аналитики'!AS3451-'19_Расчет_аналитики'!AS3479)*IF('01_Вводные'!$B$239="Да",MeanMinAge08+'19_Расчет_аналитики'!AS3596*SUMIF(ThresholdAge08,"&lt;"&amp;'19_Расчет_аналитики'!AS3596,WeightedRevAge08)-SUMIF(ThresholdAge08,"&lt;"&amp;'19_Расчет_аналитики'!AS3596,WeightedMinAge08),MAX(CapacityAge08*'01_Вводные'!$B$218*'19_Расчет_аналитики'!AS3596,MeanMinAge08))),0)</f>
        <v/>
      </c>
      <c r="AT3535">
        <f>IF('01_Вводные'!$B$234="Да",IF(OR(('19_Расчет_аналитики'!AT3451-'19_Расчет_аналитики'!AT3479)=0,8&lt;='01_Вводные'!$B$297),0,('19_Расчет_аналитики'!AT3451-'19_Расчет_аналитики'!AT3479)*IF('01_Вводные'!$B$239="Да",MeanMinAge08+'19_Расчет_аналитики'!AT3596*SUMIF(ThresholdAge08,"&lt;"&amp;'19_Расчет_аналитики'!AT3596,WeightedRevAge08)-SUMIF(ThresholdAge08,"&lt;"&amp;'19_Расчет_аналитики'!AT3596,WeightedMinAge08),MAX(CapacityAge08*'01_Вводные'!$B$218*'19_Расчет_аналитики'!AT3596,MeanMinAge08))),0)</f>
        <v/>
      </c>
      <c r="AU3535">
        <f>IF('01_Вводные'!$B$234="Да",IF(OR(('19_Расчет_аналитики'!AU3451-'19_Расчет_аналитики'!AU3479)=0,8&lt;='01_Вводные'!$B$297),0,('19_Расчет_аналитики'!AU3451-'19_Расчет_аналитики'!AU3479)*IF('01_Вводные'!$B$239="Да",MeanMinAge08+'19_Расчет_аналитики'!AU3596*SUMIF(ThresholdAge08,"&lt;"&amp;'19_Расчет_аналитики'!AU3596,WeightedRevAge08)-SUMIF(ThresholdAge08,"&lt;"&amp;'19_Расчет_аналитики'!AU3596,WeightedMinAge08),MAX(CapacityAge08*'01_Вводные'!$B$218*'19_Расчет_аналитики'!AU3596,MeanMinAge08))),0)</f>
        <v/>
      </c>
      <c r="AV3535">
        <f>IF('01_Вводные'!$B$234="Да",IF(OR(('19_Расчет_аналитики'!AV3451-'19_Расчет_аналитики'!AV3479)=0,8&lt;='01_Вводные'!$B$297),0,('19_Расчет_аналитики'!AV3451-'19_Расчет_аналитики'!AV3479)*IF('01_Вводные'!$B$239="Да",MeanMinAge08+'19_Расчет_аналитики'!AV3596*SUMIF(ThresholdAge08,"&lt;"&amp;'19_Расчет_аналитики'!AV3596,WeightedRevAge08)-SUMIF(ThresholdAge08,"&lt;"&amp;'19_Расчет_аналитики'!AV3596,WeightedMinAge08),MAX(CapacityAge08*'01_Вводные'!$B$218*'19_Расчет_аналитики'!AV3596,MeanMinAge08))),0)</f>
        <v/>
      </c>
      <c r="AW3535">
        <f>IF('01_Вводные'!$B$234="Да",IF(OR(('19_Расчет_аналитики'!AW3451-'19_Расчет_аналитики'!AW3479)=0,8&lt;='01_Вводные'!$B$297),0,('19_Расчет_аналитики'!AW3451-'19_Расчет_аналитики'!AW3479)*IF('01_Вводные'!$B$239="Да",MeanMinAge08+'19_Расчет_аналитики'!AW3596*SUMIF(ThresholdAge08,"&lt;"&amp;'19_Расчет_аналитики'!AW3596,WeightedRevAge08)-SUMIF(ThresholdAge08,"&lt;"&amp;'19_Расчет_аналитики'!AW3596,WeightedMinAge08),MAX(CapacityAge08*'01_Вводные'!$B$218*'19_Расчет_аналитики'!AW3596,MeanMinAge08))),0)</f>
        <v/>
      </c>
      <c r="AX3535">
        <f>IF('01_Вводные'!$B$234="Да",IF(OR(('19_Расчет_аналитики'!AX3451-'19_Расчет_аналитики'!AX3479)=0,8&lt;='01_Вводные'!$B$297),0,('19_Расчет_аналитики'!AX3451-'19_Расчет_аналитики'!AX3479)*IF('01_Вводные'!$B$239="Да",MeanMinAge08+'19_Расчет_аналитики'!AX3596*SUMIF(ThresholdAge08,"&lt;"&amp;'19_Расчет_аналитики'!AX3596,WeightedRevAge08)-SUMIF(ThresholdAge08,"&lt;"&amp;'19_Расчет_аналитики'!AX3596,WeightedMinAge08),MAX(CapacityAge08*'01_Вводные'!$B$218*'19_Расчет_аналитики'!AX3596,MeanMinAge08))),0)</f>
        <v/>
      </c>
      <c r="AY3535">
        <f>IF('01_Вводные'!$B$234="Да",IF(OR(('19_Расчет_аналитики'!AY3451-'19_Расчет_аналитики'!AY3479)=0,8&lt;='01_Вводные'!$B$297),0,('19_Расчет_аналитики'!AY3451-'19_Расчет_аналитики'!AY3479)*IF('01_Вводные'!$B$239="Да",MeanMinAge08+'19_Расчет_аналитики'!AY3596*SUMIF(ThresholdAge08,"&lt;"&amp;'19_Расчет_аналитики'!AY3596,WeightedRevAge08)-SUMIF(ThresholdAge08,"&lt;"&amp;'19_Расчет_аналитики'!AY3596,WeightedMinAge08),MAX(CapacityAge08*'01_Вводные'!$B$218*'19_Расчет_аналитики'!AY3596,MeanMinAge08))),0)</f>
        <v/>
      </c>
      <c r="AZ3535">
        <f>IF('01_Вводные'!$B$234="Да",IF(OR(('19_Расчет_аналитики'!AZ3451-'19_Расчет_аналитики'!AZ3479)=0,8&lt;='01_Вводные'!$B$297),0,('19_Расчет_аналитики'!AZ3451-'19_Расчет_аналитики'!AZ3479)*IF('01_Вводные'!$B$239="Да",MeanMinAge08+'19_Расчет_аналитики'!AZ3596*SUMIF(ThresholdAge08,"&lt;"&amp;'19_Расчет_аналитики'!AZ3596,WeightedRevAge08)-SUMIF(ThresholdAge08,"&lt;"&amp;'19_Расчет_аналитики'!AZ3596,WeightedMinAge08),MAX(CapacityAge08*'01_Вводные'!$B$218*'19_Расчет_аналитики'!AZ3596,MeanMinAge08))),0)</f>
        <v/>
      </c>
      <c r="BA3535">
        <f>IF('01_Вводные'!$B$234="Да",IF(OR(('19_Расчет_аналитики'!BA3451-'19_Расчет_аналитики'!BA3479)=0,8&lt;='01_Вводные'!$B$297),0,('19_Расчет_аналитики'!BA3451-'19_Расчет_аналитики'!BA3479)*IF('01_Вводные'!$B$239="Да",MeanMinAge08+'19_Расчет_аналитики'!BA3596*SUMIF(ThresholdAge08,"&lt;"&amp;'19_Расчет_аналитики'!BA3596,WeightedRevAge08)-SUMIF(ThresholdAge08,"&lt;"&amp;'19_Расчет_аналитики'!BA3596,WeightedMinAge08),MAX(CapacityAge08*'01_Вводные'!$B$218*'19_Расчет_аналитики'!BA3596,MeanMinAge08))),0)</f>
        <v/>
      </c>
      <c r="BB3535">
        <f>IF('01_Вводные'!$B$234="Да",IF(OR(('19_Расчет_аналитики'!BB3451-'19_Расчет_аналитики'!BB3479)=0,8&lt;='01_Вводные'!$B$297),0,('19_Расчет_аналитики'!BB3451-'19_Расчет_аналитики'!BB3479)*IF('01_Вводные'!$B$239="Да",MeanMinAge08+'19_Расчет_аналитики'!BB3596*SUMIF(ThresholdAge08,"&lt;"&amp;'19_Расчет_аналитики'!BB3596,WeightedRevAge08)-SUMIF(ThresholdAge08,"&lt;"&amp;'19_Расчет_аналитики'!BB3596,WeightedMinAge08),MAX(CapacityAge08*'01_Вводные'!$B$218*'19_Расчет_аналитики'!BB3596,MeanMinAge08))),0)</f>
        <v/>
      </c>
      <c r="BC3535">
        <f>IF('01_Вводные'!$B$234="Да",IF(OR(('19_Расчет_аналитики'!BC3451-'19_Расчет_аналитики'!BC3479)=0,8&lt;='01_Вводные'!$B$297),0,('19_Расчет_аналитики'!BC3451-'19_Расчет_аналитики'!BC3479)*IF('01_Вводные'!$B$239="Да",MeanMinAge08+'19_Расчет_аналитики'!BC3596*SUMIF(ThresholdAge08,"&lt;"&amp;'19_Расчет_аналитики'!BC3596,WeightedRevAge08)-SUMIF(ThresholdAge08,"&lt;"&amp;'19_Расчет_аналитики'!BC3596,WeightedMinAge08),MAX(CapacityAge08*'01_Вводные'!$B$218*'19_Расчет_аналитики'!BC3596,MeanMinAge08))),0)</f>
        <v/>
      </c>
      <c r="BD3535">
        <f>IF('01_Вводные'!$B$234="Да",IF(OR(('19_Расчет_аналитики'!BD3451-'19_Расчет_аналитики'!BD3479)=0,8&lt;='01_Вводные'!$B$297),0,('19_Расчет_аналитики'!BD3451-'19_Расчет_аналитики'!BD3479)*IF('01_Вводные'!$B$239="Да",MeanMinAge08+'19_Расчет_аналитики'!BD3596*SUMIF(ThresholdAge08,"&lt;"&amp;'19_Расчет_аналитики'!BD3596,WeightedRevAge08)-SUMIF(ThresholdAge08,"&lt;"&amp;'19_Расчет_аналитики'!BD3596,WeightedMinAge08),MAX(CapacityAge08*'01_Вводные'!$B$218*'19_Расчет_аналитики'!BD3596,MeanMinAge08))),0)</f>
        <v/>
      </c>
      <c r="BE3535">
        <f>IF('01_Вводные'!$B$234="Да",IF(OR(('19_Расчет_аналитики'!BE3451-'19_Расчет_аналитики'!BE3479)=0,8&lt;='01_Вводные'!$B$297),0,('19_Расчет_аналитики'!BE3451-'19_Расчет_аналитики'!BE3479)*IF('01_Вводные'!$B$239="Да",MeanMinAge08+'19_Расчет_аналитики'!BE3596*SUMIF(ThresholdAge08,"&lt;"&amp;'19_Расчет_аналитики'!BE3596,WeightedRevAge08)-SUMIF(ThresholdAge08,"&lt;"&amp;'19_Расчет_аналитики'!BE3596,WeightedMinAge08),MAX(CapacityAge08*'01_Вводные'!$B$218*'19_Расчет_аналитики'!BE3596,MeanMinAge08))),0)</f>
        <v/>
      </c>
      <c r="BF3535">
        <f>IF('01_Вводные'!$B$234="Да",IF(OR(('19_Расчет_аналитики'!BF3451-'19_Расчет_аналитики'!BF3479)=0,8&lt;='01_Вводные'!$B$297),0,('19_Расчет_аналитики'!BF3451-'19_Расчет_аналитики'!BF3479)*IF('01_Вводные'!$B$239="Да",MeanMinAge08+'19_Расчет_аналитики'!BF3596*SUMIF(ThresholdAge08,"&lt;"&amp;'19_Расчет_аналитики'!BF3596,WeightedRevAge08)-SUMIF(ThresholdAge08,"&lt;"&amp;'19_Расчет_аналитики'!BF3596,WeightedMinAge08),MAX(CapacityAge08*'01_Вводные'!$B$218*'19_Расчет_аналитики'!BF3596,MeanMinAge08))),0)</f>
        <v/>
      </c>
      <c r="BG3535">
        <f>IF('01_Вводные'!$B$234="Да",IF(OR(('19_Расчет_аналитики'!BG3451-'19_Расчет_аналитики'!BG3479)=0,8&lt;='01_Вводные'!$B$297),0,('19_Расчет_аналитики'!BG3451-'19_Расчет_аналитики'!BG3479)*IF('01_Вводные'!$B$239="Да",MeanMinAge08+'19_Расчет_аналитики'!BG3596*SUMIF(ThresholdAge08,"&lt;"&amp;'19_Расчет_аналитики'!BG3596,WeightedRevAge08)-SUMIF(ThresholdAge08,"&lt;"&amp;'19_Расчет_аналитики'!BG3596,WeightedMinAge08),MAX(CapacityAge08*'01_Вводные'!$B$218*'19_Расчет_аналитики'!BG3596,MeanMinAge08))),0)</f>
        <v/>
      </c>
      <c r="BH3535">
        <f>IF('01_Вводные'!$B$234="Да",IF(OR(('19_Расчет_аналитики'!BH3451-'19_Расчет_аналитики'!BH3479)=0,8&lt;='01_Вводные'!$B$297),0,('19_Расчет_аналитики'!BH3451-'19_Расчет_аналитики'!BH3479)*IF('01_Вводные'!$B$239="Да",MeanMinAge08+'19_Расчет_аналитики'!BH3596*SUMIF(ThresholdAge08,"&lt;"&amp;'19_Расчет_аналитики'!BH3596,WeightedRevAge08)-SUMIF(ThresholdAge08,"&lt;"&amp;'19_Расчет_аналитики'!BH3596,WeightedMinAge08),MAX(CapacityAge08*'01_Вводные'!$B$218*'19_Расчет_аналитики'!BH3596,MeanMinAge08))),0)</f>
        <v/>
      </c>
      <c r="BI3535">
        <f>IF('01_Вводные'!$B$234="Да",IF(OR(('19_Расчет_аналитики'!BI3451-'19_Расчет_аналитики'!BI3479)=0,8&lt;='01_Вводные'!$B$297),0,('19_Расчет_аналитики'!BI3451-'19_Расчет_аналитики'!BI3479)*IF('01_Вводные'!$B$239="Да",MeanMinAge08+'19_Расчет_аналитики'!BI3596*SUMIF(ThresholdAge08,"&lt;"&amp;'19_Расчет_аналитики'!BI3596,WeightedRevAge08)-SUMIF(ThresholdAge08,"&lt;"&amp;'19_Расчет_аналитики'!BI3596,WeightedMinAge08),MAX(CapacityAge08*'01_Вводные'!$B$218*'19_Расчет_аналитики'!BI3596,MeanMinAge08))),0)</f>
        <v/>
      </c>
      <c r="BJ3535">
        <f>IF('01_Вводные'!$B$234="Да",IF(OR(('19_Расчет_аналитики'!BJ3451-'19_Расчет_аналитики'!BJ3479)=0,8&lt;='01_Вводные'!$B$297),0,('19_Расчет_аналитики'!BJ3451-'19_Расчет_аналитики'!BJ3479)*IF('01_Вводные'!$B$239="Да",MeanMinAge08+'19_Расчет_аналитики'!BJ3596*SUMIF(ThresholdAge08,"&lt;"&amp;'19_Расчет_аналитики'!BJ3596,WeightedRevAge08)-SUMIF(ThresholdAge08,"&lt;"&amp;'19_Расчет_аналитики'!BJ3596,WeightedMinAge08),MAX(CapacityAge08*'01_Вводные'!$B$218*'19_Расчет_аналитики'!BJ3596,MeanMinAge08))),0)</f>
        <v/>
      </c>
      <c r="BK3535">
        <f>IF('01_Вводные'!$B$234="Да",IF(OR(('19_Расчет_аналитики'!BK3451-'19_Расчет_аналитики'!BK3479)=0,8&lt;='01_Вводные'!$B$297),0,('19_Расчет_аналитики'!BK3451-'19_Расчет_аналитики'!BK3479)*IF('01_Вводные'!$B$239="Да",MeanMinAge08+'19_Расчет_аналитики'!BK3596*SUMIF(ThresholdAge08,"&lt;"&amp;'19_Расчет_аналитики'!BK3596,WeightedRevAge08)-SUMIF(ThresholdAge08,"&lt;"&amp;'19_Расчет_аналитики'!BK3596,WeightedMinAge08),MAX(CapacityAge08*'01_Вводные'!$B$218*'19_Расчет_аналитики'!BK3596,MeanMinAge08))),0)</f>
        <v/>
      </c>
      <c r="BL3535">
        <f>IF('01_Вводные'!$B$234="Да",IF(OR(('19_Расчет_аналитики'!BL3451-'19_Расчет_аналитики'!BL3479)=0,8&lt;='01_Вводные'!$B$297),0,('19_Расчет_аналитики'!BL3451-'19_Расчет_аналитики'!BL3479)*IF('01_Вводные'!$B$239="Да",MeanMinAge08+'19_Расчет_аналитики'!BL3596*SUMIF(ThresholdAge08,"&lt;"&amp;'19_Расчет_аналитики'!BL3596,WeightedRevAge08)-SUMIF(ThresholdAge08,"&lt;"&amp;'19_Расчет_аналитики'!BL3596,WeightedMinAge08),MAX(CapacityAge08*'01_Вводные'!$B$218*'19_Расчет_аналитики'!BL3596,MeanMinAge08))),0)</f>
        <v/>
      </c>
      <c r="BM3535">
        <f>IF('01_Вводные'!$B$234="Да",IF(OR(('19_Расчет_аналитики'!BM3451-'19_Расчет_аналитики'!BM3479)=0,8&lt;='01_Вводные'!$B$297),0,('19_Расчет_аналитики'!BM3451-'19_Расчет_аналитики'!BM3479)*IF('01_Вводные'!$B$239="Да",MeanMinAge08+'19_Расчет_аналитики'!BM3596*SUMIF(ThresholdAge08,"&lt;"&amp;'19_Расчет_аналитики'!BM3596,WeightedRevAge08)-SUMIF(ThresholdAge08,"&lt;"&amp;'19_Расчет_аналитики'!BM3596,WeightedMinAge08),MAX(CapacityAge08*'01_Вводные'!$B$218*'19_Расчет_аналитики'!BM3596,MeanMinAge08))),0)</f>
        <v/>
      </c>
      <c r="BN3535">
        <f>IF('01_Вводные'!$B$234="Да",IF(OR(('19_Расчет_аналитики'!BN3451-'19_Расчет_аналитики'!BN3479)=0,8&lt;='01_Вводные'!$B$297),0,('19_Расчет_аналитики'!BN3451-'19_Расчет_аналитики'!BN3479)*IF('01_Вводные'!$B$239="Да",MeanMinAge08+'19_Расчет_аналитики'!BN3596*SUMIF(ThresholdAge08,"&lt;"&amp;'19_Расчет_аналитики'!BN3596,WeightedRevAge08)-SUMIF(ThresholdAge08,"&lt;"&amp;'19_Расчет_аналитики'!BN3596,WeightedMinAge08),MAX(CapacityAge08*'01_Вводные'!$B$218*'19_Расчет_аналитики'!BN3596,MeanMinAge08))),0)</f>
        <v/>
      </c>
      <c r="BO3535">
        <f>IF('01_Вводные'!$B$234="Да",IF(OR(('19_Расчет_аналитики'!BO3451-'19_Расчет_аналитики'!BO3479)=0,8&lt;='01_Вводные'!$B$297),0,('19_Расчет_аналитики'!BO3451-'19_Расчет_аналитики'!BO3479)*IF('01_Вводные'!$B$239="Да",MeanMinAge08+'19_Расчет_аналитики'!BO3596*SUMIF(ThresholdAge08,"&lt;"&amp;'19_Расчет_аналитики'!BO3596,WeightedRevAge08)-SUMIF(ThresholdAge08,"&lt;"&amp;'19_Расчет_аналитики'!BO3596,WeightedMinAge08),MAX(CapacityAge08*'01_Вводные'!$B$218*'19_Расчет_аналитики'!BO3596,MeanMinAge08))),0)</f>
        <v/>
      </c>
    </row>
    <row r="3536">
      <c r="B3536">
        <f>IF('01_Вводные'!$B$234="Да",IF(OR(('06_Сеть_и_дети'!B61-'06_Сеть_и_дети'!B89)=0,9&lt;='01_Вводные'!$B$297),0,('06_Сеть_и_дети'!B61-'06_Сеть_и_дети'!B89)*IF('01_Вводные'!$B$239="Да",MeanMinAge09+'19_Расчет_аналитики'!B3596*SUMIF(ThresholdAge09,"&lt;"&amp;'19_Расчет_аналитики'!B3596,WeightedRevAge09)-SUMIF(ThresholdAge09,"&lt;"&amp;'19_Расчет_аналитики'!B3596,WeightedMinAge09),MAX(CapacityAge09*'01_Вводные'!$B$218*'19_Расчет_аналитики'!B3596,MeanMinAge09))),0)</f>
        <v/>
      </c>
      <c r="C3536">
        <f>IF('01_Вводные'!$B$234="Да",IF(OR(('06_Сеть_и_дети'!C61-'06_Сеть_и_дети'!C89)=0,9&lt;='01_Вводные'!$B$297),0,('06_Сеть_и_дети'!C61-'06_Сеть_и_дети'!C89)*IF('01_Вводные'!$B$239="Да",MeanMinAge09+'19_Расчет_аналитики'!C3596*SUMIF(ThresholdAge09,"&lt;"&amp;'19_Расчет_аналитики'!C3596,WeightedRevAge09)-SUMIF(ThresholdAge09,"&lt;"&amp;'19_Расчет_аналитики'!C3596,WeightedMinAge09),MAX(CapacityAge09*'01_Вводные'!$B$218*'19_Расчет_аналитики'!C3596,MeanMinAge09))),0)</f>
        <v/>
      </c>
      <c r="D3536">
        <f>IF('01_Вводные'!$B$234="Да",IF(OR(('06_Сеть_и_дети'!D61-'06_Сеть_и_дети'!D89)=0,9&lt;='01_Вводные'!$B$297),0,('06_Сеть_и_дети'!D61-'06_Сеть_и_дети'!D89)*IF('01_Вводные'!$B$239="Да",MeanMinAge09+'19_Расчет_аналитики'!D3596*SUMIF(ThresholdAge09,"&lt;"&amp;'19_Расчет_аналитики'!D3596,WeightedRevAge09)-SUMIF(ThresholdAge09,"&lt;"&amp;'19_Расчет_аналитики'!D3596,WeightedMinAge09),MAX(CapacityAge09*'01_Вводные'!$B$218*'19_Расчет_аналитики'!D3596,MeanMinAge09))),0)</f>
        <v/>
      </c>
      <c r="E3536">
        <f>IF('01_Вводные'!$B$234="Да",IF(OR(('06_Сеть_и_дети'!E61-'06_Сеть_и_дети'!E89)=0,9&lt;='01_Вводные'!$B$297),0,('06_Сеть_и_дети'!E61-'06_Сеть_и_дети'!E89)*IF('01_Вводные'!$B$239="Да",MeanMinAge09+'19_Расчет_аналитики'!E3596*SUMIF(ThresholdAge09,"&lt;"&amp;'19_Расчет_аналитики'!E3596,WeightedRevAge09)-SUMIF(ThresholdAge09,"&lt;"&amp;'19_Расчет_аналитики'!E3596,WeightedMinAge09),MAX(CapacityAge09*'01_Вводные'!$B$218*'19_Расчет_аналитики'!E3596,MeanMinAge09))),0)</f>
        <v/>
      </c>
      <c r="F3536">
        <f>IF('01_Вводные'!$B$234="Да",IF(OR(('06_Сеть_и_дети'!F61-'06_Сеть_и_дети'!F89)=0,9&lt;='01_Вводные'!$B$297),0,('06_Сеть_и_дети'!F61-'06_Сеть_и_дети'!F89)*IF('01_Вводные'!$B$239="Да",MeanMinAge09+'19_Расчет_аналитики'!F3596*SUMIF(ThresholdAge09,"&lt;"&amp;'19_Расчет_аналитики'!F3596,WeightedRevAge09)-SUMIF(ThresholdAge09,"&lt;"&amp;'19_Расчет_аналитики'!F3596,WeightedMinAge09),MAX(CapacityAge09*'01_Вводные'!$B$218*'19_Расчет_аналитики'!F3596,MeanMinAge09))),0)</f>
        <v/>
      </c>
      <c r="G3536">
        <f>IF('01_Вводные'!$B$234="Да",IF(OR(('06_Сеть_и_дети'!G61-'06_Сеть_и_дети'!G89)=0,9&lt;='01_Вводные'!$B$297),0,('06_Сеть_и_дети'!G61-'06_Сеть_и_дети'!G89)*IF('01_Вводные'!$B$239="Да",MeanMinAge09+'19_Расчет_аналитики'!G3596*SUMIF(ThresholdAge09,"&lt;"&amp;'19_Расчет_аналитики'!G3596,WeightedRevAge09)-SUMIF(ThresholdAge09,"&lt;"&amp;'19_Расчет_аналитики'!G3596,WeightedMinAge09),MAX(CapacityAge09*'01_Вводные'!$B$218*'19_Расчет_аналитики'!G3596,MeanMinAge09))),0)</f>
        <v/>
      </c>
      <c r="H3536">
        <f>IF('01_Вводные'!$B$234="Да",IF(OR(('06_Сеть_и_дети'!H61-'06_Сеть_и_дети'!H89)=0,9&lt;='01_Вводные'!$B$297),0,('06_Сеть_и_дети'!H61-'06_Сеть_и_дети'!H89)*IF('01_Вводные'!$B$239="Да",MeanMinAge09+'19_Расчет_аналитики'!H3596*SUMIF(ThresholdAge09,"&lt;"&amp;'19_Расчет_аналитики'!H3596,WeightedRevAge09)-SUMIF(ThresholdAge09,"&lt;"&amp;'19_Расчет_аналитики'!H3596,WeightedMinAge09),MAX(CapacityAge09*'01_Вводные'!$B$218*'19_Расчет_аналитики'!H3596,MeanMinAge09))),0)</f>
        <v/>
      </c>
      <c r="I3536">
        <f>IF('01_Вводные'!$B$234="Да",IF(OR(('06_Сеть_и_дети'!I61-'06_Сеть_и_дети'!I89)=0,9&lt;='01_Вводные'!$B$297),0,('06_Сеть_и_дети'!I61-'06_Сеть_и_дети'!I89)*IF('01_Вводные'!$B$239="Да",MeanMinAge09+'19_Расчет_аналитики'!I3596*SUMIF(ThresholdAge09,"&lt;"&amp;'19_Расчет_аналитики'!I3596,WeightedRevAge09)-SUMIF(ThresholdAge09,"&lt;"&amp;'19_Расчет_аналитики'!I3596,WeightedMinAge09),MAX(CapacityAge09*'01_Вводные'!$B$218*'19_Расчет_аналитики'!I3596,MeanMinAge09))),0)</f>
        <v/>
      </c>
      <c r="J3536">
        <f>IF('01_Вводные'!$B$234="Да",IF(OR(('19_Расчет_аналитики'!J3452-'19_Расчет_аналитики'!J3480)=0,9&lt;='01_Вводные'!$B$297),0,('19_Расчет_аналитики'!J3452-'19_Расчет_аналитики'!J3480)*IF('01_Вводные'!$B$239="Да",MeanMinAge09+'19_Расчет_аналитики'!J3596*SUMIF(ThresholdAge09,"&lt;"&amp;'19_Расчет_аналитики'!J3596,WeightedRevAge09)-SUMIF(ThresholdAge09,"&lt;"&amp;'19_Расчет_аналитики'!J3596,WeightedMinAge09),MAX(CapacityAge09*'01_Вводные'!$B$218*'19_Расчет_аналитики'!J3596,MeanMinAge09))),0)</f>
        <v/>
      </c>
      <c r="K3536">
        <f>IF('01_Вводные'!$B$234="Да",IF(OR(('19_Расчет_аналитики'!K3452-'19_Расчет_аналитики'!K3480)=0,9&lt;='01_Вводные'!$B$297),0,('19_Расчет_аналитики'!K3452-'19_Расчет_аналитики'!K3480)*IF('01_Вводные'!$B$239="Да",MeanMinAge09+'19_Расчет_аналитики'!K3596*SUMIF(ThresholdAge09,"&lt;"&amp;'19_Расчет_аналитики'!K3596,WeightedRevAge09)-SUMIF(ThresholdAge09,"&lt;"&amp;'19_Расчет_аналитики'!K3596,WeightedMinAge09),MAX(CapacityAge09*'01_Вводные'!$B$218*'19_Расчет_аналитики'!K3596,MeanMinAge09))),0)</f>
        <v/>
      </c>
      <c r="L3536">
        <f>IF('01_Вводные'!$B$234="Да",IF(OR(('19_Расчет_аналитики'!L3452-'19_Расчет_аналитики'!L3480)=0,9&lt;='01_Вводные'!$B$297),0,('19_Расчет_аналитики'!L3452-'19_Расчет_аналитики'!L3480)*IF('01_Вводные'!$B$239="Да",MeanMinAge09+'19_Расчет_аналитики'!L3596*SUMIF(ThresholdAge09,"&lt;"&amp;'19_Расчет_аналитики'!L3596,WeightedRevAge09)-SUMIF(ThresholdAge09,"&lt;"&amp;'19_Расчет_аналитики'!L3596,WeightedMinAge09),MAX(CapacityAge09*'01_Вводные'!$B$218*'19_Расчет_аналитики'!L3596,MeanMinAge09))),0)</f>
        <v/>
      </c>
      <c r="M3536">
        <f>IF('01_Вводные'!$B$234="Да",IF(OR(('19_Расчет_аналитики'!M3452-'19_Расчет_аналитики'!M3480)=0,9&lt;='01_Вводные'!$B$297),0,('19_Расчет_аналитики'!M3452-'19_Расчет_аналитики'!M3480)*IF('01_Вводные'!$B$239="Да",MeanMinAge09+'19_Расчет_аналитики'!M3596*SUMIF(ThresholdAge09,"&lt;"&amp;'19_Расчет_аналитики'!M3596,WeightedRevAge09)-SUMIF(ThresholdAge09,"&lt;"&amp;'19_Расчет_аналитики'!M3596,WeightedMinAge09),MAX(CapacityAge09*'01_Вводные'!$B$218*'19_Расчет_аналитики'!M3596,MeanMinAge09))),0)</f>
        <v/>
      </c>
      <c r="N3536">
        <f>IF('01_Вводные'!$B$234="Да",IF(OR(('19_Расчет_аналитики'!N3452-'19_Расчет_аналитики'!N3480)=0,9&lt;='01_Вводные'!$B$297),0,('19_Расчет_аналитики'!N3452-'19_Расчет_аналитики'!N3480)*IF('01_Вводные'!$B$239="Да",MeanMinAge09+'19_Расчет_аналитики'!N3596*SUMIF(ThresholdAge09,"&lt;"&amp;'19_Расчет_аналитики'!N3596,WeightedRevAge09)-SUMIF(ThresholdAge09,"&lt;"&amp;'19_Расчет_аналитики'!N3596,WeightedMinAge09),MAX(CapacityAge09*'01_Вводные'!$B$218*'19_Расчет_аналитики'!N3596,MeanMinAge09))),0)</f>
        <v/>
      </c>
      <c r="O3536">
        <f>IF('01_Вводные'!$B$234="Да",IF(OR(('19_Расчет_аналитики'!O3452-'19_Расчет_аналитики'!O3480)=0,9&lt;='01_Вводные'!$B$297),0,('19_Расчет_аналитики'!O3452-'19_Расчет_аналитики'!O3480)*IF('01_Вводные'!$B$239="Да",MeanMinAge09+'19_Расчет_аналитики'!O3596*SUMIF(ThresholdAge09,"&lt;"&amp;'19_Расчет_аналитики'!O3596,WeightedRevAge09)-SUMIF(ThresholdAge09,"&lt;"&amp;'19_Расчет_аналитики'!O3596,WeightedMinAge09),MAX(CapacityAge09*'01_Вводные'!$B$218*'19_Расчет_аналитики'!O3596,MeanMinAge09))),0)</f>
        <v/>
      </c>
      <c r="P3536">
        <f>IF('01_Вводные'!$B$234="Да",IF(OR(('19_Расчет_аналитики'!P3452-'19_Расчет_аналитики'!P3480)=0,9&lt;='01_Вводные'!$B$297),0,('19_Расчет_аналитики'!P3452-'19_Расчет_аналитики'!P3480)*IF('01_Вводные'!$B$239="Да",MeanMinAge09+'19_Расчет_аналитики'!P3596*SUMIF(ThresholdAge09,"&lt;"&amp;'19_Расчет_аналитики'!P3596,WeightedRevAge09)-SUMIF(ThresholdAge09,"&lt;"&amp;'19_Расчет_аналитики'!P3596,WeightedMinAge09),MAX(CapacityAge09*'01_Вводные'!$B$218*'19_Расчет_аналитики'!P3596,MeanMinAge09))),0)</f>
        <v/>
      </c>
      <c r="Q3536">
        <f>IF('01_Вводные'!$B$234="Да",IF(OR(('19_Расчет_аналитики'!Q3452-'19_Расчет_аналитики'!Q3480)=0,9&lt;='01_Вводные'!$B$297),0,('19_Расчет_аналитики'!Q3452-'19_Расчет_аналитики'!Q3480)*IF('01_Вводные'!$B$239="Да",MeanMinAge09+'19_Расчет_аналитики'!Q3596*SUMIF(ThresholdAge09,"&lt;"&amp;'19_Расчет_аналитики'!Q3596,WeightedRevAge09)-SUMIF(ThresholdAge09,"&lt;"&amp;'19_Расчет_аналитики'!Q3596,WeightedMinAge09),MAX(CapacityAge09*'01_Вводные'!$B$218*'19_Расчет_аналитики'!Q3596,MeanMinAge09))),0)</f>
        <v/>
      </c>
      <c r="R3536">
        <f>IF('01_Вводные'!$B$234="Да",IF(OR(('19_Расчет_аналитики'!R3452-'19_Расчет_аналитики'!R3480)=0,9&lt;='01_Вводные'!$B$297),0,('19_Расчет_аналитики'!R3452-'19_Расчет_аналитики'!R3480)*IF('01_Вводные'!$B$239="Да",MeanMinAge09+'19_Расчет_аналитики'!R3596*SUMIF(ThresholdAge09,"&lt;"&amp;'19_Расчет_аналитики'!R3596,WeightedRevAge09)-SUMIF(ThresholdAge09,"&lt;"&amp;'19_Расчет_аналитики'!R3596,WeightedMinAge09),MAX(CapacityAge09*'01_Вводные'!$B$218*'19_Расчет_аналитики'!R3596,MeanMinAge09))),0)</f>
        <v/>
      </c>
      <c r="S3536">
        <f>IF('01_Вводные'!$B$234="Да",IF(OR(('19_Расчет_аналитики'!S3452-'19_Расчет_аналитики'!S3480)=0,9&lt;='01_Вводные'!$B$297),0,('19_Расчет_аналитики'!S3452-'19_Расчет_аналитики'!S3480)*IF('01_Вводные'!$B$239="Да",MeanMinAge09+'19_Расчет_аналитики'!S3596*SUMIF(ThresholdAge09,"&lt;"&amp;'19_Расчет_аналитики'!S3596,WeightedRevAge09)-SUMIF(ThresholdAge09,"&lt;"&amp;'19_Расчет_аналитики'!S3596,WeightedMinAge09),MAX(CapacityAge09*'01_Вводные'!$B$218*'19_Расчет_аналитики'!S3596,MeanMinAge09))),0)</f>
        <v/>
      </c>
      <c r="T3536">
        <f>IF('01_Вводные'!$B$234="Да",IF(OR(('19_Расчет_аналитики'!T3452-'19_Расчет_аналитики'!T3480)=0,9&lt;='01_Вводные'!$B$297),0,('19_Расчет_аналитики'!T3452-'19_Расчет_аналитики'!T3480)*IF('01_Вводные'!$B$239="Да",MeanMinAge09+'19_Расчет_аналитики'!T3596*SUMIF(ThresholdAge09,"&lt;"&amp;'19_Расчет_аналитики'!T3596,WeightedRevAge09)-SUMIF(ThresholdAge09,"&lt;"&amp;'19_Расчет_аналитики'!T3596,WeightedMinAge09),MAX(CapacityAge09*'01_Вводные'!$B$218*'19_Расчет_аналитики'!T3596,MeanMinAge09))),0)</f>
        <v/>
      </c>
      <c r="U3536">
        <f>IF('01_Вводные'!$B$234="Да",IF(OR(('19_Расчет_аналитики'!U3452-'19_Расчет_аналитики'!U3480)=0,9&lt;='01_Вводные'!$B$297),0,('19_Расчет_аналитики'!U3452-'19_Расчет_аналитики'!U3480)*IF('01_Вводные'!$B$239="Да",MeanMinAge09+'19_Расчет_аналитики'!U3596*SUMIF(ThresholdAge09,"&lt;"&amp;'19_Расчет_аналитики'!U3596,WeightedRevAge09)-SUMIF(ThresholdAge09,"&lt;"&amp;'19_Расчет_аналитики'!U3596,WeightedMinAge09),MAX(CapacityAge09*'01_Вводные'!$B$218*'19_Расчет_аналитики'!U3596,MeanMinAge09))),0)</f>
        <v/>
      </c>
      <c r="V3536">
        <f>IF('01_Вводные'!$B$234="Да",IF(OR(('19_Расчет_аналитики'!V3452-'19_Расчет_аналитики'!V3480)=0,9&lt;='01_Вводные'!$B$297),0,('19_Расчет_аналитики'!V3452-'19_Расчет_аналитики'!V3480)*IF('01_Вводные'!$B$239="Да",MeanMinAge09+'19_Расчет_аналитики'!V3596*SUMIF(ThresholdAge09,"&lt;"&amp;'19_Расчет_аналитики'!V3596,WeightedRevAge09)-SUMIF(ThresholdAge09,"&lt;"&amp;'19_Расчет_аналитики'!V3596,WeightedMinAge09),MAX(CapacityAge09*'01_Вводные'!$B$218*'19_Расчет_аналитики'!V3596,MeanMinAge09))),0)</f>
        <v/>
      </c>
      <c r="W3536">
        <f>IF('01_Вводные'!$B$234="Да",IF(OR(('19_Расчет_аналитики'!W3452-'19_Расчет_аналитики'!W3480)=0,9&lt;='01_Вводные'!$B$297),0,('19_Расчет_аналитики'!W3452-'19_Расчет_аналитики'!W3480)*IF('01_Вводные'!$B$239="Да",MeanMinAge09+'19_Расчет_аналитики'!W3596*SUMIF(ThresholdAge09,"&lt;"&amp;'19_Расчет_аналитики'!W3596,WeightedRevAge09)-SUMIF(ThresholdAge09,"&lt;"&amp;'19_Расчет_аналитики'!W3596,WeightedMinAge09),MAX(CapacityAge09*'01_Вводные'!$B$218*'19_Расчет_аналитики'!W3596,MeanMinAge09))),0)</f>
        <v/>
      </c>
      <c r="X3536">
        <f>IF('01_Вводные'!$B$234="Да",IF(OR(('19_Расчет_аналитики'!X3452-'19_Расчет_аналитики'!X3480)=0,9&lt;='01_Вводные'!$B$297),0,('19_Расчет_аналитики'!X3452-'19_Расчет_аналитики'!X3480)*IF('01_Вводные'!$B$239="Да",MeanMinAge09+'19_Расчет_аналитики'!X3596*SUMIF(ThresholdAge09,"&lt;"&amp;'19_Расчет_аналитики'!X3596,WeightedRevAge09)-SUMIF(ThresholdAge09,"&lt;"&amp;'19_Расчет_аналитики'!X3596,WeightedMinAge09),MAX(CapacityAge09*'01_Вводные'!$B$218*'19_Расчет_аналитики'!X3596,MeanMinAge09))),0)</f>
        <v/>
      </c>
      <c r="Y3536">
        <f>IF('01_Вводные'!$B$234="Да",IF(OR(('19_Расчет_аналитики'!Y3452-'19_Расчет_аналитики'!Y3480)=0,9&lt;='01_Вводные'!$B$297),0,('19_Расчет_аналитики'!Y3452-'19_Расчет_аналитики'!Y3480)*IF('01_Вводные'!$B$239="Да",MeanMinAge09+'19_Расчет_аналитики'!Y3596*SUMIF(ThresholdAge09,"&lt;"&amp;'19_Расчет_аналитики'!Y3596,WeightedRevAge09)-SUMIF(ThresholdAge09,"&lt;"&amp;'19_Расчет_аналитики'!Y3596,WeightedMinAge09),MAX(CapacityAge09*'01_Вводные'!$B$218*'19_Расчет_аналитики'!Y3596,MeanMinAge09))),0)</f>
        <v/>
      </c>
      <c r="Z3536">
        <f>IF('01_Вводные'!$B$234="Да",IF(OR(('19_Расчет_аналитики'!Z3452-'19_Расчет_аналитики'!Z3480)=0,9&lt;='01_Вводные'!$B$297),0,('19_Расчет_аналитики'!Z3452-'19_Расчет_аналитики'!Z3480)*IF('01_Вводные'!$B$239="Да",MeanMinAge09+'19_Расчет_аналитики'!Z3596*SUMIF(ThresholdAge09,"&lt;"&amp;'19_Расчет_аналитики'!Z3596,WeightedRevAge09)-SUMIF(ThresholdAge09,"&lt;"&amp;'19_Расчет_аналитики'!Z3596,WeightedMinAge09),MAX(CapacityAge09*'01_Вводные'!$B$218*'19_Расчет_аналитики'!Z3596,MeanMinAge09))),0)</f>
        <v/>
      </c>
      <c r="AA3536">
        <f>IF('01_Вводные'!$B$234="Да",IF(OR(('19_Расчет_аналитики'!AA3452-'19_Расчет_аналитики'!AA3480)=0,9&lt;='01_Вводные'!$B$297),0,('19_Расчет_аналитики'!AA3452-'19_Расчет_аналитики'!AA3480)*IF('01_Вводные'!$B$239="Да",MeanMinAge09+'19_Расчет_аналитики'!AA3596*SUMIF(ThresholdAge09,"&lt;"&amp;'19_Расчет_аналитики'!AA3596,WeightedRevAge09)-SUMIF(ThresholdAge09,"&lt;"&amp;'19_Расчет_аналитики'!AA3596,WeightedMinAge09),MAX(CapacityAge09*'01_Вводные'!$B$218*'19_Расчет_аналитики'!AA3596,MeanMinAge09))),0)</f>
        <v/>
      </c>
      <c r="AB3536">
        <f>IF('01_Вводные'!$B$234="Да",IF(OR(('19_Расчет_аналитики'!AB3452-'19_Расчет_аналитики'!AB3480)=0,9&lt;='01_Вводные'!$B$297),0,('19_Расчет_аналитики'!AB3452-'19_Расчет_аналитики'!AB3480)*IF('01_Вводные'!$B$239="Да",MeanMinAge09+'19_Расчет_аналитики'!AB3596*SUMIF(ThresholdAge09,"&lt;"&amp;'19_Расчет_аналитики'!AB3596,WeightedRevAge09)-SUMIF(ThresholdAge09,"&lt;"&amp;'19_Расчет_аналитики'!AB3596,WeightedMinAge09),MAX(CapacityAge09*'01_Вводные'!$B$218*'19_Расчет_аналитики'!AB3596,MeanMinAge09))),0)</f>
        <v/>
      </c>
      <c r="AC3536">
        <f>IF('01_Вводные'!$B$234="Да",IF(OR(('19_Расчет_аналитики'!AC3452-'19_Расчет_аналитики'!AC3480)=0,9&lt;='01_Вводные'!$B$297),0,('19_Расчет_аналитики'!AC3452-'19_Расчет_аналитики'!AC3480)*IF('01_Вводные'!$B$239="Да",MeanMinAge09+'19_Расчет_аналитики'!AC3596*SUMIF(ThresholdAge09,"&lt;"&amp;'19_Расчет_аналитики'!AC3596,WeightedRevAge09)-SUMIF(ThresholdAge09,"&lt;"&amp;'19_Расчет_аналитики'!AC3596,WeightedMinAge09),MAX(CapacityAge09*'01_Вводные'!$B$218*'19_Расчет_аналитики'!AC3596,MeanMinAge09))),0)</f>
        <v/>
      </c>
      <c r="AD3536">
        <f>IF('01_Вводные'!$B$234="Да",IF(OR(('19_Расчет_аналитики'!AD3452-'19_Расчет_аналитики'!AD3480)=0,9&lt;='01_Вводные'!$B$297),0,('19_Расчет_аналитики'!AD3452-'19_Расчет_аналитики'!AD3480)*IF('01_Вводные'!$B$239="Да",MeanMinAge09+'19_Расчет_аналитики'!AD3596*SUMIF(ThresholdAge09,"&lt;"&amp;'19_Расчет_аналитики'!AD3596,WeightedRevAge09)-SUMIF(ThresholdAge09,"&lt;"&amp;'19_Расчет_аналитики'!AD3596,WeightedMinAge09),MAX(CapacityAge09*'01_Вводные'!$B$218*'19_Расчет_аналитики'!AD3596,MeanMinAge09))),0)</f>
        <v/>
      </c>
      <c r="AE3536">
        <f>IF('01_Вводные'!$B$234="Да",IF(OR(('19_Расчет_аналитики'!AE3452-'19_Расчет_аналитики'!AE3480)=0,9&lt;='01_Вводные'!$B$297),0,('19_Расчет_аналитики'!AE3452-'19_Расчет_аналитики'!AE3480)*IF('01_Вводные'!$B$239="Да",MeanMinAge09+'19_Расчет_аналитики'!AE3596*SUMIF(ThresholdAge09,"&lt;"&amp;'19_Расчет_аналитики'!AE3596,WeightedRevAge09)-SUMIF(ThresholdAge09,"&lt;"&amp;'19_Расчет_аналитики'!AE3596,WeightedMinAge09),MAX(CapacityAge09*'01_Вводные'!$B$218*'19_Расчет_аналитики'!AE3596,MeanMinAge09))),0)</f>
        <v/>
      </c>
      <c r="AF3536">
        <f>IF('01_Вводные'!$B$234="Да",IF(OR(('19_Расчет_аналитики'!AF3452-'19_Расчет_аналитики'!AF3480)=0,9&lt;='01_Вводные'!$B$297),0,('19_Расчет_аналитики'!AF3452-'19_Расчет_аналитики'!AF3480)*IF('01_Вводные'!$B$239="Да",MeanMinAge09+'19_Расчет_аналитики'!AF3596*SUMIF(ThresholdAge09,"&lt;"&amp;'19_Расчет_аналитики'!AF3596,WeightedRevAge09)-SUMIF(ThresholdAge09,"&lt;"&amp;'19_Расчет_аналитики'!AF3596,WeightedMinAge09),MAX(CapacityAge09*'01_Вводные'!$B$218*'19_Расчет_аналитики'!AF3596,MeanMinAge09))),0)</f>
        <v/>
      </c>
      <c r="AG3536">
        <f>IF('01_Вводные'!$B$234="Да",IF(OR(('19_Расчет_аналитики'!AG3452-'19_Расчет_аналитики'!AG3480)=0,9&lt;='01_Вводные'!$B$297),0,('19_Расчет_аналитики'!AG3452-'19_Расчет_аналитики'!AG3480)*IF('01_Вводные'!$B$239="Да",MeanMinAge09+'19_Расчет_аналитики'!AG3596*SUMIF(ThresholdAge09,"&lt;"&amp;'19_Расчет_аналитики'!AG3596,WeightedRevAge09)-SUMIF(ThresholdAge09,"&lt;"&amp;'19_Расчет_аналитики'!AG3596,WeightedMinAge09),MAX(CapacityAge09*'01_Вводные'!$B$218*'19_Расчет_аналитики'!AG3596,MeanMinAge09))),0)</f>
        <v/>
      </c>
      <c r="AH3536">
        <f>IF('01_Вводные'!$B$234="Да",IF(OR(('19_Расчет_аналитики'!AH3452-'19_Расчет_аналитики'!AH3480)=0,9&lt;='01_Вводные'!$B$297),0,('19_Расчет_аналитики'!AH3452-'19_Расчет_аналитики'!AH3480)*IF('01_Вводные'!$B$239="Да",MeanMinAge09+'19_Расчет_аналитики'!AH3596*SUMIF(ThresholdAge09,"&lt;"&amp;'19_Расчет_аналитики'!AH3596,WeightedRevAge09)-SUMIF(ThresholdAge09,"&lt;"&amp;'19_Расчет_аналитики'!AH3596,WeightedMinAge09),MAX(CapacityAge09*'01_Вводные'!$B$218*'19_Расчет_аналитики'!AH3596,MeanMinAge09))),0)</f>
        <v/>
      </c>
      <c r="AI3536">
        <f>IF('01_Вводные'!$B$234="Да",IF(OR(('19_Расчет_аналитики'!AI3452-'19_Расчет_аналитики'!AI3480)=0,9&lt;='01_Вводные'!$B$297),0,('19_Расчет_аналитики'!AI3452-'19_Расчет_аналитики'!AI3480)*IF('01_Вводные'!$B$239="Да",MeanMinAge09+'19_Расчет_аналитики'!AI3596*SUMIF(ThresholdAge09,"&lt;"&amp;'19_Расчет_аналитики'!AI3596,WeightedRevAge09)-SUMIF(ThresholdAge09,"&lt;"&amp;'19_Расчет_аналитики'!AI3596,WeightedMinAge09),MAX(CapacityAge09*'01_Вводные'!$B$218*'19_Расчет_аналитики'!AI3596,MeanMinAge09))),0)</f>
        <v/>
      </c>
      <c r="AJ3536">
        <f>IF('01_Вводные'!$B$234="Да",IF(OR(('19_Расчет_аналитики'!AJ3452-'19_Расчет_аналитики'!AJ3480)=0,9&lt;='01_Вводные'!$B$297),0,('19_Расчет_аналитики'!AJ3452-'19_Расчет_аналитики'!AJ3480)*IF('01_Вводные'!$B$239="Да",MeanMinAge09+'19_Расчет_аналитики'!AJ3596*SUMIF(ThresholdAge09,"&lt;"&amp;'19_Расчет_аналитики'!AJ3596,WeightedRevAge09)-SUMIF(ThresholdAge09,"&lt;"&amp;'19_Расчет_аналитики'!AJ3596,WeightedMinAge09),MAX(CapacityAge09*'01_Вводные'!$B$218*'19_Расчет_аналитики'!AJ3596,MeanMinAge09))),0)</f>
        <v/>
      </c>
      <c r="AK3536">
        <f>IF('01_Вводные'!$B$234="Да",IF(OR(('19_Расчет_аналитики'!AK3452-'19_Расчет_аналитики'!AK3480)=0,9&lt;='01_Вводные'!$B$297),0,('19_Расчет_аналитики'!AK3452-'19_Расчет_аналитики'!AK3480)*IF('01_Вводные'!$B$239="Да",MeanMinAge09+'19_Расчет_аналитики'!AK3596*SUMIF(ThresholdAge09,"&lt;"&amp;'19_Расчет_аналитики'!AK3596,WeightedRevAge09)-SUMIF(ThresholdAge09,"&lt;"&amp;'19_Расчет_аналитики'!AK3596,WeightedMinAge09),MAX(CapacityAge09*'01_Вводные'!$B$218*'19_Расчет_аналитики'!AK3596,MeanMinAge09))),0)</f>
        <v/>
      </c>
      <c r="AL3536">
        <f>IF('01_Вводные'!$B$234="Да",IF(OR(('19_Расчет_аналитики'!AL3452-'19_Расчет_аналитики'!AL3480)=0,9&lt;='01_Вводные'!$B$297),0,('19_Расчет_аналитики'!AL3452-'19_Расчет_аналитики'!AL3480)*IF('01_Вводные'!$B$239="Да",MeanMinAge09+'19_Расчет_аналитики'!AL3596*SUMIF(ThresholdAge09,"&lt;"&amp;'19_Расчет_аналитики'!AL3596,WeightedRevAge09)-SUMIF(ThresholdAge09,"&lt;"&amp;'19_Расчет_аналитики'!AL3596,WeightedMinAge09),MAX(CapacityAge09*'01_Вводные'!$B$218*'19_Расчет_аналитики'!AL3596,MeanMinAge09))),0)</f>
        <v/>
      </c>
      <c r="AM3536">
        <f>IF('01_Вводные'!$B$234="Да",IF(OR(('19_Расчет_аналитики'!AM3452-'19_Расчет_аналитики'!AM3480)=0,9&lt;='01_Вводные'!$B$297),0,('19_Расчет_аналитики'!AM3452-'19_Расчет_аналитики'!AM3480)*IF('01_Вводные'!$B$239="Да",MeanMinAge09+'19_Расчет_аналитики'!AM3596*SUMIF(ThresholdAge09,"&lt;"&amp;'19_Расчет_аналитики'!AM3596,WeightedRevAge09)-SUMIF(ThresholdAge09,"&lt;"&amp;'19_Расчет_аналитики'!AM3596,WeightedMinAge09),MAX(CapacityAge09*'01_Вводные'!$B$218*'19_Расчет_аналитики'!AM3596,MeanMinAge09))),0)</f>
        <v/>
      </c>
      <c r="AN3536">
        <f>IF('01_Вводные'!$B$234="Да",IF(OR(('19_Расчет_аналитики'!AN3452-'19_Расчет_аналитики'!AN3480)=0,9&lt;='01_Вводные'!$B$297),0,('19_Расчет_аналитики'!AN3452-'19_Расчет_аналитики'!AN3480)*IF('01_Вводные'!$B$239="Да",MeanMinAge09+'19_Расчет_аналитики'!AN3596*SUMIF(ThresholdAge09,"&lt;"&amp;'19_Расчет_аналитики'!AN3596,WeightedRevAge09)-SUMIF(ThresholdAge09,"&lt;"&amp;'19_Расчет_аналитики'!AN3596,WeightedMinAge09),MAX(CapacityAge09*'01_Вводные'!$B$218*'19_Расчет_аналитики'!AN3596,MeanMinAge09))),0)</f>
        <v/>
      </c>
      <c r="AO3536">
        <f>IF('01_Вводные'!$B$234="Да",IF(OR(('19_Расчет_аналитики'!AO3452-'19_Расчет_аналитики'!AO3480)=0,9&lt;='01_Вводные'!$B$297),0,('19_Расчет_аналитики'!AO3452-'19_Расчет_аналитики'!AO3480)*IF('01_Вводные'!$B$239="Да",MeanMinAge09+'19_Расчет_аналитики'!AO3596*SUMIF(ThresholdAge09,"&lt;"&amp;'19_Расчет_аналитики'!AO3596,WeightedRevAge09)-SUMIF(ThresholdAge09,"&lt;"&amp;'19_Расчет_аналитики'!AO3596,WeightedMinAge09),MAX(CapacityAge09*'01_Вводные'!$B$218*'19_Расчет_аналитики'!AO3596,MeanMinAge09))),0)</f>
        <v/>
      </c>
      <c r="AP3536">
        <f>IF('01_Вводные'!$B$234="Да",IF(OR(('19_Расчет_аналитики'!AP3452-'19_Расчет_аналитики'!AP3480)=0,9&lt;='01_Вводные'!$B$297),0,('19_Расчет_аналитики'!AP3452-'19_Расчет_аналитики'!AP3480)*IF('01_Вводные'!$B$239="Да",MeanMinAge09+'19_Расчет_аналитики'!AP3596*SUMIF(ThresholdAge09,"&lt;"&amp;'19_Расчет_аналитики'!AP3596,WeightedRevAge09)-SUMIF(ThresholdAge09,"&lt;"&amp;'19_Расчет_аналитики'!AP3596,WeightedMinAge09),MAX(CapacityAge09*'01_Вводные'!$B$218*'19_Расчет_аналитики'!AP3596,MeanMinAge09))),0)</f>
        <v/>
      </c>
      <c r="AQ3536">
        <f>IF('01_Вводные'!$B$234="Да",IF(OR(('19_Расчет_аналитики'!AQ3452-'19_Расчет_аналитики'!AQ3480)=0,9&lt;='01_Вводные'!$B$297),0,('19_Расчет_аналитики'!AQ3452-'19_Расчет_аналитики'!AQ3480)*IF('01_Вводные'!$B$239="Да",MeanMinAge09+'19_Расчет_аналитики'!AQ3596*SUMIF(ThresholdAge09,"&lt;"&amp;'19_Расчет_аналитики'!AQ3596,WeightedRevAge09)-SUMIF(ThresholdAge09,"&lt;"&amp;'19_Расчет_аналитики'!AQ3596,WeightedMinAge09),MAX(CapacityAge09*'01_Вводные'!$B$218*'19_Расчет_аналитики'!AQ3596,MeanMinAge09))),0)</f>
        <v/>
      </c>
      <c r="AR3536">
        <f>IF('01_Вводные'!$B$234="Да",IF(OR(('19_Расчет_аналитики'!AR3452-'19_Расчет_аналитики'!AR3480)=0,9&lt;='01_Вводные'!$B$297),0,('19_Расчет_аналитики'!AR3452-'19_Расчет_аналитики'!AR3480)*IF('01_Вводные'!$B$239="Да",MeanMinAge09+'19_Расчет_аналитики'!AR3596*SUMIF(ThresholdAge09,"&lt;"&amp;'19_Расчет_аналитики'!AR3596,WeightedRevAge09)-SUMIF(ThresholdAge09,"&lt;"&amp;'19_Расчет_аналитики'!AR3596,WeightedMinAge09),MAX(CapacityAge09*'01_Вводные'!$B$218*'19_Расчет_аналитики'!AR3596,MeanMinAge09))),0)</f>
        <v/>
      </c>
      <c r="AS3536">
        <f>IF('01_Вводные'!$B$234="Да",IF(OR(('19_Расчет_аналитики'!AS3452-'19_Расчет_аналитики'!AS3480)=0,9&lt;='01_Вводные'!$B$297),0,('19_Расчет_аналитики'!AS3452-'19_Расчет_аналитики'!AS3480)*IF('01_Вводные'!$B$239="Да",MeanMinAge09+'19_Расчет_аналитики'!AS3596*SUMIF(ThresholdAge09,"&lt;"&amp;'19_Расчет_аналитики'!AS3596,WeightedRevAge09)-SUMIF(ThresholdAge09,"&lt;"&amp;'19_Расчет_аналитики'!AS3596,WeightedMinAge09),MAX(CapacityAge09*'01_Вводные'!$B$218*'19_Расчет_аналитики'!AS3596,MeanMinAge09))),0)</f>
        <v/>
      </c>
      <c r="AT3536">
        <f>IF('01_Вводные'!$B$234="Да",IF(OR(('19_Расчет_аналитики'!AT3452-'19_Расчет_аналитики'!AT3480)=0,9&lt;='01_Вводные'!$B$297),0,('19_Расчет_аналитики'!AT3452-'19_Расчет_аналитики'!AT3480)*IF('01_Вводные'!$B$239="Да",MeanMinAge09+'19_Расчет_аналитики'!AT3596*SUMIF(ThresholdAge09,"&lt;"&amp;'19_Расчет_аналитики'!AT3596,WeightedRevAge09)-SUMIF(ThresholdAge09,"&lt;"&amp;'19_Расчет_аналитики'!AT3596,WeightedMinAge09),MAX(CapacityAge09*'01_Вводные'!$B$218*'19_Расчет_аналитики'!AT3596,MeanMinAge09))),0)</f>
        <v/>
      </c>
      <c r="AU3536">
        <f>IF('01_Вводные'!$B$234="Да",IF(OR(('19_Расчет_аналитики'!AU3452-'19_Расчет_аналитики'!AU3480)=0,9&lt;='01_Вводные'!$B$297),0,('19_Расчет_аналитики'!AU3452-'19_Расчет_аналитики'!AU3480)*IF('01_Вводные'!$B$239="Да",MeanMinAge09+'19_Расчет_аналитики'!AU3596*SUMIF(ThresholdAge09,"&lt;"&amp;'19_Расчет_аналитики'!AU3596,WeightedRevAge09)-SUMIF(ThresholdAge09,"&lt;"&amp;'19_Расчет_аналитики'!AU3596,WeightedMinAge09),MAX(CapacityAge09*'01_Вводные'!$B$218*'19_Расчет_аналитики'!AU3596,MeanMinAge09))),0)</f>
        <v/>
      </c>
      <c r="AV3536">
        <f>IF('01_Вводные'!$B$234="Да",IF(OR(('19_Расчет_аналитики'!AV3452-'19_Расчет_аналитики'!AV3480)=0,9&lt;='01_Вводные'!$B$297),0,('19_Расчет_аналитики'!AV3452-'19_Расчет_аналитики'!AV3480)*IF('01_Вводные'!$B$239="Да",MeanMinAge09+'19_Расчет_аналитики'!AV3596*SUMIF(ThresholdAge09,"&lt;"&amp;'19_Расчет_аналитики'!AV3596,WeightedRevAge09)-SUMIF(ThresholdAge09,"&lt;"&amp;'19_Расчет_аналитики'!AV3596,WeightedMinAge09),MAX(CapacityAge09*'01_Вводные'!$B$218*'19_Расчет_аналитики'!AV3596,MeanMinAge09))),0)</f>
        <v/>
      </c>
      <c r="AW3536">
        <f>IF('01_Вводные'!$B$234="Да",IF(OR(('19_Расчет_аналитики'!AW3452-'19_Расчет_аналитики'!AW3480)=0,9&lt;='01_Вводные'!$B$297),0,('19_Расчет_аналитики'!AW3452-'19_Расчет_аналитики'!AW3480)*IF('01_Вводные'!$B$239="Да",MeanMinAge09+'19_Расчет_аналитики'!AW3596*SUMIF(ThresholdAge09,"&lt;"&amp;'19_Расчет_аналитики'!AW3596,WeightedRevAge09)-SUMIF(ThresholdAge09,"&lt;"&amp;'19_Расчет_аналитики'!AW3596,WeightedMinAge09),MAX(CapacityAge09*'01_Вводные'!$B$218*'19_Расчет_аналитики'!AW3596,MeanMinAge09))),0)</f>
        <v/>
      </c>
      <c r="AX3536">
        <f>IF('01_Вводные'!$B$234="Да",IF(OR(('19_Расчет_аналитики'!AX3452-'19_Расчет_аналитики'!AX3480)=0,9&lt;='01_Вводные'!$B$297),0,('19_Расчет_аналитики'!AX3452-'19_Расчет_аналитики'!AX3480)*IF('01_Вводные'!$B$239="Да",MeanMinAge09+'19_Расчет_аналитики'!AX3596*SUMIF(ThresholdAge09,"&lt;"&amp;'19_Расчет_аналитики'!AX3596,WeightedRevAge09)-SUMIF(ThresholdAge09,"&lt;"&amp;'19_Расчет_аналитики'!AX3596,WeightedMinAge09),MAX(CapacityAge09*'01_Вводные'!$B$218*'19_Расчет_аналитики'!AX3596,MeanMinAge09))),0)</f>
        <v/>
      </c>
      <c r="AY3536">
        <f>IF('01_Вводные'!$B$234="Да",IF(OR(('19_Расчет_аналитики'!AY3452-'19_Расчет_аналитики'!AY3480)=0,9&lt;='01_Вводные'!$B$297),0,('19_Расчет_аналитики'!AY3452-'19_Расчет_аналитики'!AY3480)*IF('01_Вводные'!$B$239="Да",MeanMinAge09+'19_Расчет_аналитики'!AY3596*SUMIF(ThresholdAge09,"&lt;"&amp;'19_Расчет_аналитики'!AY3596,WeightedRevAge09)-SUMIF(ThresholdAge09,"&lt;"&amp;'19_Расчет_аналитики'!AY3596,WeightedMinAge09),MAX(CapacityAge09*'01_Вводные'!$B$218*'19_Расчет_аналитики'!AY3596,MeanMinAge09))),0)</f>
        <v/>
      </c>
      <c r="AZ3536">
        <f>IF('01_Вводные'!$B$234="Да",IF(OR(('19_Расчет_аналитики'!AZ3452-'19_Расчет_аналитики'!AZ3480)=0,9&lt;='01_Вводные'!$B$297),0,('19_Расчет_аналитики'!AZ3452-'19_Расчет_аналитики'!AZ3480)*IF('01_Вводные'!$B$239="Да",MeanMinAge09+'19_Расчет_аналитики'!AZ3596*SUMIF(ThresholdAge09,"&lt;"&amp;'19_Расчет_аналитики'!AZ3596,WeightedRevAge09)-SUMIF(ThresholdAge09,"&lt;"&amp;'19_Расчет_аналитики'!AZ3596,WeightedMinAge09),MAX(CapacityAge09*'01_Вводные'!$B$218*'19_Расчет_аналитики'!AZ3596,MeanMinAge09))),0)</f>
        <v/>
      </c>
      <c r="BA3536">
        <f>IF('01_Вводные'!$B$234="Да",IF(OR(('19_Расчет_аналитики'!BA3452-'19_Расчет_аналитики'!BA3480)=0,9&lt;='01_Вводные'!$B$297),0,('19_Расчет_аналитики'!BA3452-'19_Расчет_аналитики'!BA3480)*IF('01_Вводные'!$B$239="Да",MeanMinAge09+'19_Расчет_аналитики'!BA3596*SUMIF(ThresholdAge09,"&lt;"&amp;'19_Расчет_аналитики'!BA3596,WeightedRevAge09)-SUMIF(ThresholdAge09,"&lt;"&amp;'19_Расчет_аналитики'!BA3596,WeightedMinAge09),MAX(CapacityAge09*'01_Вводные'!$B$218*'19_Расчет_аналитики'!BA3596,MeanMinAge09))),0)</f>
        <v/>
      </c>
      <c r="BB3536">
        <f>IF('01_Вводные'!$B$234="Да",IF(OR(('19_Расчет_аналитики'!BB3452-'19_Расчет_аналитики'!BB3480)=0,9&lt;='01_Вводные'!$B$297),0,('19_Расчет_аналитики'!BB3452-'19_Расчет_аналитики'!BB3480)*IF('01_Вводные'!$B$239="Да",MeanMinAge09+'19_Расчет_аналитики'!BB3596*SUMIF(ThresholdAge09,"&lt;"&amp;'19_Расчет_аналитики'!BB3596,WeightedRevAge09)-SUMIF(ThresholdAge09,"&lt;"&amp;'19_Расчет_аналитики'!BB3596,WeightedMinAge09),MAX(CapacityAge09*'01_Вводные'!$B$218*'19_Расчет_аналитики'!BB3596,MeanMinAge09))),0)</f>
        <v/>
      </c>
      <c r="BC3536">
        <f>IF('01_Вводные'!$B$234="Да",IF(OR(('19_Расчет_аналитики'!BC3452-'19_Расчет_аналитики'!BC3480)=0,9&lt;='01_Вводные'!$B$297),0,('19_Расчет_аналитики'!BC3452-'19_Расчет_аналитики'!BC3480)*IF('01_Вводные'!$B$239="Да",MeanMinAge09+'19_Расчет_аналитики'!BC3596*SUMIF(ThresholdAge09,"&lt;"&amp;'19_Расчет_аналитики'!BC3596,WeightedRevAge09)-SUMIF(ThresholdAge09,"&lt;"&amp;'19_Расчет_аналитики'!BC3596,WeightedMinAge09),MAX(CapacityAge09*'01_Вводные'!$B$218*'19_Расчет_аналитики'!BC3596,MeanMinAge09))),0)</f>
        <v/>
      </c>
      <c r="BD3536">
        <f>IF('01_Вводные'!$B$234="Да",IF(OR(('19_Расчет_аналитики'!BD3452-'19_Расчет_аналитики'!BD3480)=0,9&lt;='01_Вводные'!$B$297),0,('19_Расчет_аналитики'!BD3452-'19_Расчет_аналитики'!BD3480)*IF('01_Вводные'!$B$239="Да",MeanMinAge09+'19_Расчет_аналитики'!BD3596*SUMIF(ThresholdAge09,"&lt;"&amp;'19_Расчет_аналитики'!BD3596,WeightedRevAge09)-SUMIF(ThresholdAge09,"&lt;"&amp;'19_Расчет_аналитики'!BD3596,WeightedMinAge09),MAX(CapacityAge09*'01_Вводные'!$B$218*'19_Расчет_аналитики'!BD3596,MeanMinAge09))),0)</f>
        <v/>
      </c>
      <c r="BE3536">
        <f>IF('01_Вводные'!$B$234="Да",IF(OR(('19_Расчет_аналитики'!BE3452-'19_Расчет_аналитики'!BE3480)=0,9&lt;='01_Вводные'!$B$297),0,('19_Расчет_аналитики'!BE3452-'19_Расчет_аналитики'!BE3480)*IF('01_Вводные'!$B$239="Да",MeanMinAge09+'19_Расчет_аналитики'!BE3596*SUMIF(ThresholdAge09,"&lt;"&amp;'19_Расчет_аналитики'!BE3596,WeightedRevAge09)-SUMIF(ThresholdAge09,"&lt;"&amp;'19_Расчет_аналитики'!BE3596,WeightedMinAge09),MAX(CapacityAge09*'01_Вводные'!$B$218*'19_Расчет_аналитики'!BE3596,MeanMinAge09))),0)</f>
        <v/>
      </c>
      <c r="BF3536">
        <f>IF('01_Вводные'!$B$234="Да",IF(OR(('19_Расчет_аналитики'!BF3452-'19_Расчет_аналитики'!BF3480)=0,9&lt;='01_Вводные'!$B$297),0,('19_Расчет_аналитики'!BF3452-'19_Расчет_аналитики'!BF3480)*IF('01_Вводные'!$B$239="Да",MeanMinAge09+'19_Расчет_аналитики'!BF3596*SUMIF(ThresholdAge09,"&lt;"&amp;'19_Расчет_аналитики'!BF3596,WeightedRevAge09)-SUMIF(ThresholdAge09,"&lt;"&amp;'19_Расчет_аналитики'!BF3596,WeightedMinAge09),MAX(CapacityAge09*'01_Вводные'!$B$218*'19_Расчет_аналитики'!BF3596,MeanMinAge09))),0)</f>
        <v/>
      </c>
      <c r="BG3536">
        <f>IF('01_Вводные'!$B$234="Да",IF(OR(('19_Расчет_аналитики'!BG3452-'19_Расчет_аналитики'!BG3480)=0,9&lt;='01_Вводные'!$B$297),0,('19_Расчет_аналитики'!BG3452-'19_Расчет_аналитики'!BG3480)*IF('01_Вводные'!$B$239="Да",MeanMinAge09+'19_Расчет_аналитики'!BG3596*SUMIF(ThresholdAge09,"&lt;"&amp;'19_Расчет_аналитики'!BG3596,WeightedRevAge09)-SUMIF(ThresholdAge09,"&lt;"&amp;'19_Расчет_аналитики'!BG3596,WeightedMinAge09),MAX(CapacityAge09*'01_Вводные'!$B$218*'19_Расчет_аналитики'!BG3596,MeanMinAge09))),0)</f>
        <v/>
      </c>
      <c r="BH3536">
        <f>IF('01_Вводные'!$B$234="Да",IF(OR(('19_Расчет_аналитики'!BH3452-'19_Расчет_аналитики'!BH3480)=0,9&lt;='01_Вводные'!$B$297),0,('19_Расчет_аналитики'!BH3452-'19_Расчет_аналитики'!BH3480)*IF('01_Вводные'!$B$239="Да",MeanMinAge09+'19_Расчет_аналитики'!BH3596*SUMIF(ThresholdAge09,"&lt;"&amp;'19_Расчет_аналитики'!BH3596,WeightedRevAge09)-SUMIF(ThresholdAge09,"&lt;"&amp;'19_Расчет_аналитики'!BH3596,WeightedMinAge09),MAX(CapacityAge09*'01_Вводные'!$B$218*'19_Расчет_аналитики'!BH3596,MeanMinAge09))),0)</f>
        <v/>
      </c>
      <c r="BI3536">
        <f>IF('01_Вводные'!$B$234="Да",IF(OR(('19_Расчет_аналитики'!BI3452-'19_Расчет_аналитики'!BI3480)=0,9&lt;='01_Вводные'!$B$297),0,('19_Расчет_аналитики'!BI3452-'19_Расчет_аналитики'!BI3480)*IF('01_Вводные'!$B$239="Да",MeanMinAge09+'19_Расчет_аналитики'!BI3596*SUMIF(ThresholdAge09,"&lt;"&amp;'19_Расчет_аналитики'!BI3596,WeightedRevAge09)-SUMIF(ThresholdAge09,"&lt;"&amp;'19_Расчет_аналитики'!BI3596,WeightedMinAge09),MAX(CapacityAge09*'01_Вводные'!$B$218*'19_Расчет_аналитики'!BI3596,MeanMinAge09))),0)</f>
        <v/>
      </c>
      <c r="BJ3536">
        <f>IF('01_Вводные'!$B$234="Да",IF(OR(('19_Расчет_аналитики'!BJ3452-'19_Расчет_аналитики'!BJ3480)=0,9&lt;='01_Вводные'!$B$297),0,('19_Расчет_аналитики'!BJ3452-'19_Расчет_аналитики'!BJ3480)*IF('01_Вводные'!$B$239="Да",MeanMinAge09+'19_Расчет_аналитики'!BJ3596*SUMIF(ThresholdAge09,"&lt;"&amp;'19_Расчет_аналитики'!BJ3596,WeightedRevAge09)-SUMIF(ThresholdAge09,"&lt;"&amp;'19_Расчет_аналитики'!BJ3596,WeightedMinAge09),MAX(CapacityAge09*'01_Вводные'!$B$218*'19_Расчет_аналитики'!BJ3596,MeanMinAge09))),0)</f>
        <v/>
      </c>
      <c r="BK3536">
        <f>IF('01_Вводные'!$B$234="Да",IF(OR(('19_Расчет_аналитики'!BK3452-'19_Расчет_аналитики'!BK3480)=0,9&lt;='01_Вводные'!$B$297),0,('19_Расчет_аналитики'!BK3452-'19_Расчет_аналитики'!BK3480)*IF('01_Вводные'!$B$239="Да",MeanMinAge09+'19_Расчет_аналитики'!BK3596*SUMIF(ThresholdAge09,"&lt;"&amp;'19_Расчет_аналитики'!BK3596,WeightedRevAge09)-SUMIF(ThresholdAge09,"&lt;"&amp;'19_Расчет_аналитики'!BK3596,WeightedMinAge09),MAX(CapacityAge09*'01_Вводные'!$B$218*'19_Расчет_аналитики'!BK3596,MeanMinAge09))),0)</f>
        <v/>
      </c>
      <c r="BL3536">
        <f>IF('01_Вводные'!$B$234="Да",IF(OR(('19_Расчет_аналитики'!BL3452-'19_Расчет_аналитики'!BL3480)=0,9&lt;='01_Вводные'!$B$297),0,('19_Расчет_аналитики'!BL3452-'19_Расчет_аналитики'!BL3480)*IF('01_Вводные'!$B$239="Да",MeanMinAge09+'19_Расчет_аналитики'!BL3596*SUMIF(ThresholdAge09,"&lt;"&amp;'19_Расчет_аналитики'!BL3596,WeightedRevAge09)-SUMIF(ThresholdAge09,"&lt;"&amp;'19_Расчет_аналитики'!BL3596,WeightedMinAge09),MAX(CapacityAge09*'01_Вводные'!$B$218*'19_Расчет_аналитики'!BL3596,MeanMinAge09))),0)</f>
        <v/>
      </c>
      <c r="BM3536">
        <f>IF('01_Вводные'!$B$234="Да",IF(OR(('19_Расчет_аналитики'!BM3452-'19_Расчет_аналитики'!BM3480)=0,9&lt;='01_Вводные'!$B$297),0,('19_Расчет_аналитики'!BM3452-'19_Расчет_аналитики'!BM3480)*IF('01_Вводные'!$B$239="Да",MeanMinAge09+'19_Расчет_аналитики'!BM3596*SUMIF(ThresholdAge09,"&lt;"&amp;'19_Расчет_аналитики'!BM3596,WeightedRevAge09)-SUMIF(ThresholdAge09,"&lt;"&amp;'19_Расчет_аналитики'!BM3596,WeightedMinAge09),MAX(CapacityAge09*'01_Вводные'!$B$218*'19_Расчет_аналитики'!BM3596,MeanMinAge09))),0)</f>
        <v/>
      </c>
      <c r="BN3536">
        <f>IF('01_Вводные'!$B$234="Да",IF(OR(('19_Расчет_аналитики'!BN3452-'19_Расчет_аналитики'!BN3480)=0,9&lt;='01_Вводные'!$B$297),0,('19_Расчет_аналитики'!BN3452-'19_Расчет_аналитики'!BN3480)*IF('01_Вводные'!$B$239="Да",MeanMinAge09+'19_Расчет_аналитики'!BN3596*SUMIF(ThresholdAge09,"&lt;"&amp;'19_Расчет_аналитики'!BN3596,WeightedRevAge09)-SUMIF(ThresholdAge09,"&lt;"&amp;'19_Расчет_аналитики'!BN3596,WeightedMinAge09),MAX(CapacityAge09*'01_Вводные'!$B$218*'19_Расчет_аналитики'!BN3596,MeanMinAge09))),0)</f>
        <v/>
      </c>
      <c r="BO3536">
        <f>IF('01_Вводные'!$B$234="Да",IF(OR(('19_Расчет_аналитики'!BO3452-'19_Расчет_аналитики'!BO3480)=0,9&lt;='01_Вводные'!$B$297),0,('19_Расчет_аналитики'!BO3452-'19_Расчет_аналитики'!BO3480)*IF('01_Вводные'!$B$239="Да",MeanMinAge09+'19_Расчет_аналитики'!BO3596*SUMIF(ThresholdAge09,"&lt;"&amp;'19_Расчет_аналитики'!BO3596,WeightedRevAge09)-SUMIF(ThresholdAge09,"&lt;"&amp;'19_Расчет_аналитики'!BO3596,WeightedMinAge09),MAX(CapacityAge09*'01_Вводные'!$B$218*'19_Расчет_аналитики'!BO3596,MeanMinAge09))),0)</f>
        <v/>
      </c>
    </row>
    <row r="3537">
      <c r="B3537">
        <f>IF('01_Вводные'!$B$234="Да",IF(OR(('06_Сеть_и_дети'!B62-'06_Сеть_и_дети'!B90)=0,10&lt;='01_Вводные'!$B$297),0,('06_Сеть_и_дети'!B62-'06_Сеть_и_дети'!B90)*IF('01_Вводные'!$B$239="Да",MeanMinAge10+'19_Расчет_аналитики'!B3596*SUMIF(ThresholdAge10,"&lt;"&amp;'19_Расчет_аналитики'!B3596,WeightedRevAge10)-SUMIF(ThresholdAge10,"&lt;"&amp;'19_Расчет_аналитики'!B3596,WeightedMinAge10),MAX(CapacityAge10*'01_Вводные'!$B$218*'19_Расчет_аналитики'!B3596,MeanMinAge10))),0)</f>
        <v/>
      </c>
      <c r="C3537">
        <f>IF('01_Вводные'!$B$234="Да",IF(OR(('06_Сеть_и_дети'!C62-'06_Сеть_и_дети'!C90)=0,10&lt;='01_Вводные'!$B$297),0,('06_Сеть_и_дети'!C62-'06_Сеть_и_дети'!C90)*IF('01_Вводные'!$B$239="Да",MeanMinAge10+'19_Расчет_аналитики'!C3596*SUMIF(ThresholdAge10,"&lt;"&amp;'19_Расчет_аналитики'!C3596,WeightedRevAge10)-SUMIF(ThresholdAge10,"&lt;"&amp;'19_Расчет_аналитики'!C3596,WeightedMinAge10),MAX(CapacityAge10*'01_Вводные'!$B$218*'19_Расчет_аналитики'!C3596,MeanMinAge10))),0)</f>
        <v/>
      </c>
      <c r="D3537">
        <f>IF('01_Вводные'!$B$234="Да",IF(OR(('06_Сеть_и_дети'!D62-'06_Сеть_и_дети'!D90)=0,10&lt;='01_Вводные'!$B$297),0,('06_Сеть_и_дети'!D62-'06_Сеть_и_дети'!D90)*IF('01_Вводные'!$B$239="Да",MeanMinAge10+'19_Расчет_аналитики'!D3596*SUMIF(ThresholdAge10,"&lt;"&amp;'19_Расчет_аналитики'!D3596,WeightedRevAge10)-SUMIF(ThresholdAge10,"&lt;"&amp;'19_Расчет_аналитики'!D3596,WeightedMinAge10),MAX(CapacityAge10*'01_Вводные'!$B$218*'19_Расчет_аналитики'!D3596,MeanMinAge10))),0)</f>
        <v/>
      </c>
      <c r="E3537">
        <f>IF('01_Вводные'!$B$234="Да",IF(OR(('06_Сеть_и_дети'!E62-'06_Сеть_и_дети'!E90)=0,10&lt;='01_Вводные'!$B$297),0,('06_Сеть_и_дети'!E62-'06_Сеть_и_дети'!E90)*IF('01_Вводные'!$B$239="Да",MeanMinAge10+'19_Расчет_аналитики'!E3596*SUMIF(ThresholdAge10,"&lt;"&amp;'19_Расчет_аналитики'!E3596,WeightedRevAge10)-SUMIF(ThresholdAge10,"&lt;"&amp;'19_Расчет_аналитики'!E3596,WeightedMinAge10),MAX(CapacityAge10*'01_Вводные'!$B$218*'19_Расчет_аналитики'!E3596,MeanMinAge10))),0)</f>
        <v/>
      </c>
      <c r="F3537">
        <f>IF('01_Вводные'!$B$234="Да",IF(OR(('06_Сеть_и_дети'!F62-'06_Сеть_и_дети'!F90)=0,10&lt;='01_Вводные'!$B$297),0,('06_Сеть_и_дети'!F62-'06_Сеть_и_дети'!F90)*IF('01_Вводные'!$B$239="Да",MeanMinAge10+'19_Расчет_аналитики'!F3596*SUMIF(ThresholdAge10,"&lt;"&amp;'19_Расчет_аналитики'!F3596,WeightedRevAge10)-SUMIF(ThresholdAge10,"&lt;"&amp;'19_Расчет_аналитики'!F3596,WeightedMinAge10),MAX(CapacityAge10*'01_Вводные'!$B$218*'19_Расчет_аналитики'!F3596,MeanMinAge10))),0)</f>
        <v/>
      </c>
      <c r="G3537">
        <f>IF('01_Вводные'!$B$234="Да",IF(OR(('06_Сеть_и_дети'!G62-'06_Сеть_и_дети'!G90)=0,10&lt;='01_Вводные'!$B$297),0,('06_Сеть_и_дети'!G62-'06_Сеть_и_дети'!G90)*IF('01_Вводные'!$B$239="Да",MeanMinAge10+'19_Расчет_аналитики'!G3596*SUMIF(ThresholdAge10,"&lt;"&amp;'19_Расчет_аналитики'!G3596,WeightedRevAge10)-SUMIF(ThresholdAge10,"&lt;"&amp;'19_Расчет_аналитики'!G3596,WeightedMinAge10),MAX(CapacityAge10*'01_Вводные'!$B$218*'19_Расчет_аналитики'!G3596,MeanMinAge10))),0)</f>
        <v/>
      </c>
      <c r="H3537">
        <f>IF('01_Вводные'!$B$234="Да",IF(OR(('06_Сеть_и_дети'!H62-'06_Сеть_и_дети'!H90)=0,10&lt;='01_Вводные'!$B$297),0,('06_Сеть_и_дети'!H62-'06_Сеть_и_дети'!H90)*IF('01_Вводные'!$B$239="Да",MeanMinAge10+'19_Расчет_аналитики'!H3596*SUMIF(ThresholdAge10,"&lt;"&amp;'19_Расчет_аналитики'!H3596,WeightedRevAge10)-SUMIF(ThresholdAge10,"&lt;"&amp;'19_Расчет_аналитики'!H3596,WeightedMinAge10),MAX(CapacityAge10*'01_Вводные'!$B$218*'19_Расчет_аналитики'!H3596,MeanMinAge10))),0)</f>
        <v/>
      </c>
      <c r="I3537">
        <f>IF('01_Вводные'!$B$234="Да",IF(OR(('06_Сеть_и_дети'!I62-'06_Сеть_и_дети'!I90)=0,10&lt;='01_Вводные'!$B$297),0,('06_Сеть_и_дети'!I62-'06_Сеть_и_дети'!I90)*IF('01_Вводные'!$B$239="Да",MeanMinAge10+'19_Расчет_аналитики'!I3596*SUMIF(ThresholdAge10,"&lt;"&amp;'19_Расчет_аналитики'!I3596,WeightedRevAge10)-SUMIF(ThresholdAge10,"&lt;"&amp;'19_Расчет_аналитики'!I3596,WeightedMinAge10),MAX(CapacityAge10*'01_Вводные'!$B$218*'19_Расчет_аналитики'!I3596,MeanMinAge10))),0)</f>
        <v/>
      </c>
      <c r="J3537">
        <f>IF('01_Вводные'!$B$234="Да",IF(OR(('06_Сеть_и_дети'!J62-'06_Сеть_и_дети'!J90)=0,10&lt;='01_Вводные'!$B$297),0,('06_Сеть_и_дети'!J62-'06_Сеть_и_дети'!J90)*IF('01_Вводные'!$B$239="Да",MeanMinAge10+'19_Расчет_аналитики'!J3596*SUMIF(ThresholdAge10,"&lt;"&amp;'19_Расчет_аналитики'!J3596,WeightedRevAge10)-SUMIF(ThresholdAge10,"&lt;"&amp;'19_Расчет_аналитики'!J3596,WeightedMinAge10),MAX(CapacityAge10*'01_Вводные'!$B$218*'19_Расчет_аналитики'!J3596,MeanMinAge10))),0)</f>
        <v/>
      </c>
      <c r="K3537">
        <f>IF('01_Вводные'!$B$234="Да",IF(OR(('19_Расчет_аналитики'!K3453-'19_Расчет_аналитики'!K3481)=0,10&lt;='01_Вводные'!$B$297),0,('19_Расчет_аналитики'!K3453-'19_Расчет_аналитики'!K3481)*IF('01_Вводные'!$B$239="Да",MeanMinAge10+'19_Расчет_аналитики'!K3596*SUMIF(ThresholdAge10,"&lt;"&amp;'19_Расчет_аналитики'!K3596,WeightedRevAge10)-SUMIF(ThresholdAge10,"&lt;"&amp;'19_Расчет_аналитики'!K3596,WeightedMinAge10),MAX(CapacityAge10*'01_Вводные'!$B$218*'19_Расчет_аналитики'!K3596,MeanMinAge10))),0)</f>
        <v/>
      </c>
      <c r="L3537">
        <f>IF('01_Вводные'!$B$234="Да",IF(OR(('19_Расчет_аналитики'!L3453-'19_Расчет_аналитики'!L3481)=0,10&lt;='01_Вводные'!$B$297),0,('19_Расчет_аналитики'!L3453-'19_Расчет_аналитики'!L3481)*IF('01_Вводные'!$B$239="Да",MeanMinAge10+'19_Расчет_аналитики'!L3596*SUMIF(ThresholdAge10,"&lt;"&amp;'19_Расчет_аналитики'!L3596,WeightedRevAge10)-SUMIF(ThresholdAge10,"&lt;"&amp;'19_Расчет_аналитики'!L3596,WeightedMinAge10),MAX(CapacityAge10*'01_Вводные'!$B$218*'19_Расчет_аналитики'!L3596,MeanMinAge10))),0)</f>
        <v/>
      </c>
      <c r="M3537">
        <f>IF('01_Вводные'!$B$234="Да",IF(OR(('19_Расчет_аналитики'!M3453-'19_Расчет_аналитики'!M3481)=0,10&lt;='01_Вводные'!$B$297),0,('19_Расчет_аналитики'!M3453-'19_Расчет_аналитики'!M3481)*IF('01_Вводные'!$B$239="Да",MeanMinAge10+'19_Расчет_аналитики'!M3596*SUMIF(ThresholdAge10,"&lt;"&amp;'19_Расчет_аналитики'!M3596,WeightedRevAge10)-SUMIF(ThresholdAge10,"&lt;"&amp;'19_Расчет_аналитики'!M3596,WeightedMinAge10),MAX(CapacityAge10*'01_Вводные'!$B$218*'19_Расчет_аналитики'!M3596,MeanMinAge10))),0)</f>
        <v/>
      </c>
      <c r="N3537">
        <f>IF('01_Вводные'!$B$234="Да",IF(OR(('19_Расчет_аналитики'!N3453-'19_Расчет_аналитики'!N3481)=0,10&lt;='01_Вводные'!$B$297),0,('19_Расчет_аналитики'!N3453-'19_Расчет_аналитики'!N3481)*IF('01_Вводные'!$B$239="Да",MeanMinAge10+'19_Расчет_аналитики'!N3596*SUMIF(ThresholdAge10,"&lt;"&amp;'19_Расчет_аналитики'!N3596,WeightedRevAge10)-SUMIF(ThresholdAge10,"&lt;"&amp;'19_Расчет_аналитики'!N3596,WeightedMinAge10),MAX(CapacityAge10*'01_Вводные'!$B$218*'19_Расчет_аналитики'!N3596,MeanMinAge10))),0)</f>
        <v/>
      </c>
      <c r="O3537">
        <f>IF('01_Вводные'!$B$234="Да",IF(OR(('19_Расчет_аналитики'!O3453-'19_Расчет_аналитики'!O3481)=0,10&lt;='01_Вводные'!$B$297),0,('19_Расчет_аналитики'!O3453-'19_Расчет_аналитики'!O3481)*IF('01_Вводные'!$B$239="Да",MeanMinAge10+'19_Расчет_аналитики'!O3596*SUMIF(ThresholdAge10,"&lt;"&amp;'19_Расчет_аналитики'!O3596,WeightedRevAge10)-SUMIF(ThresholdAge10,"&lt;"&amp;'19_Расчет_аналитики'!O3596,WeightedMinAge10),MAX(CapacityAge10*'01_Вводные'!$B$218*'19_Расчет_аналитики'!O3596,MeanMinAge10))),0)</f>
        <v/>
      </c>
      <c r="P3537">
        <f>IF('01_Вводные'!$B$234="Да",IF(OR(('19_Расчет_аналитики'!P3453-'19_Расчет_аналитики'!P3481)=0,10&lt;='01_Вводные'!$B$297),0,('19_Расчет_аналитики'!P3453-'19_Расчет_аналитики'!P3481)*IF('01_Вводные'!$B$239="Да",MeanMinAge10+'19_Расчет_аналитики'!P3596*SUMIF(ThresholdAge10,"&lt;"&amp;'19_Расчет_аналитики'!P3596,WeightedRevAge10)-SUMIF(ThresholdAge10,"&lt;"&amp;'19_Расчет_аналитики'!P3596,WeightedMinAge10),MAX(CapacityAge10*'01_Вводные'!$B$218*'19_Расчет_аналитики'!P3596,MeanMinAge10))),0)</f>
        <v/>
      </c>
      <c r="Q3537">
        <f>IF('01_Вводные'!$B$234="Да",IF(OR(('19_Расчет_аналитики'!Q3453-'19_Расчет_аналитики'!Q3481)=0,10&lt;='01_Вводные'!$B$297),0,('19_Расчет_аналитики'!Q3453-'19_Расчет_аналитики'!Q3481)*IF('01_Вводные'!$B$239="Да",MeanMinAge10+'19_Расчет_аналитики'!Q3596*SUMIF(ThresholdAge10,"&lt;"&amp;'19_Расчет_аналитики'!Q3596,WeightedRevAge10)-SUMIF(ThresholdAge10,"&lt;"&amp;'19_Расчет_аналитики'!Q3596,WeightedMinAge10),MAX(CapacityAge10*'01_Вводные'!$B$218*'19_Расчет_аналитики'!Q3596,MeanMinAge10))),0)</f>
        <v/>
      </c>
      <c r="R3537">
        <f>IF('01_Вводные'!$B$234="Да",IF(OR(('19_Расчет_аналитики'!R3453-'19_Расчет_аналитики'!R3481)=0,10&lt;='01_Вводные'!$B$297),0,('19_Расчет_аналитики'!R3453-'19_Расчет_аналитики'!R3481)*IF('01_Вводные'!$B$239="Да",MeanMinAge10+'19_Расчет_аналитики'!R3596*SUMIF(ThresholdAge10,"&lt;"&amp;'19_Расчет_аналитики'!R3596,WeightedRevAge10)-SUMIF(ThresholdAge10,"&lt;"&amp;'19_Расчет_аналитики'!R3596,WeightedMinAge10),MAX(CapacityAge10*'01_Вводные'!$B$218*'19_Расчет_аналитики'!R3596,MeanMinAge10))),0)</f>
        <v/>
      </c>
      <c r="S3537">
        <f>IF('01_Вводные'!$B$234="Да",IF(OR(('19_Расчет_аналитики'!S3453-'19_Расчет_аналитики'!S3481)=0,10&lt;='01_Вводные'!$B$297),0,('19_Расчет_аналитики'!S3453-'19_Расчет_аналитики'!S3481)*IF('01_Вводные'!$B$239="Да",MeanMinAge10+'19_Расчет_аналитики'!S3596*SUMIF(ThresholdAge10,"&lt;"&amp;'19_Расчет_аналитики'!S3596,WeightedRevAge10)-SUMIF(ThresholdAge10,"&lt;"&amp;'19_Расчет_аналитики'!S3596,WeightedMinAge10),MAX(CapacityAge10*'01_Вводные'!$B$218*'19_Расчет_аналитики'!S3596,MeanMinAge10))),0)</f>
        <v/>
      </c>
      <c r="T3537">
        <f>IF('01_Вводные'!$B$234="Да",IF(OR(('19_Расчет_аналитики'!T3453-'19_Расчет_аналитики'!T3481)=0,10&lt;='01_Вводные'!$B$297),0,('19_Расчет_аналитики'!T3453-'19_Расчет_аналитики'!T3481)*IF('01_Вводные'!$B$239="Да",MeanMinAge10+'19_Расчет_аналитики'!T3596*SUMIF(ThresholdAge10,"&lt;"&amp;'19_Расчет_аналитики'!T3596,WeightedRevAge10)-SUMIF(ThresholdAge10,"&lt;"&amp;'19_Расчет_аналитики'!T3596,WeightedMinAge10),MAX(CapacityAge10*'01_Вводные'!$B$218*'19_Расчет_аналитики'!T3596,MeanMinAge10))),0)</f>
        <v/>
      </c>
      <c r="U3537">
        <f>IF('01_Вводные'!$B$234="Да",IF(OR(('19_Расчет_аналитики'!U3453-'19_Расчет_аналитики'!U3481)=0,10&lt;='01_Вводные'!$B$297),0,('19_Расчет_аналитики'!U3453-'19_Расчет_аналитики'!U3481)*IF('01_Вводные'!$B$239="Да",MeanMinAge10+'19_Расчет_аналитики'!U3596*SUMIF(ThresholdAge10,"&lt;"&amp;'19_Расчет_аналитики'!U3596,WeightedRevAge10)-SUMIF(ThresholdAge10,"&lt;"&amp;'19_Расчет_аналитики'!U3596,WeightedMinAge10),MAX(CapacityAge10*'01_Вводные'!$B$218*'19_Расчет_аналитики'!U3596,MeanMinAge10))),0)</f>
        <v/>
      </c>
      <c r="V3537">
        <f>IF('01_Вводные'!$B$234="Да",IF(OR(('19_Расчет_аналитики'!V3453-'19_Расчет_аналитики'!V3481)=0,10&lt;='01_Вводные'!$B$297),0,('19_Расчет_аналитики'!V3453-'19_Расчет_аналитики'!V3481)*IF('01_Вводные'!$B$239="Да",MeanMinAge10+'19_Расчет_аналитики'!V3596*SUMIF(ThresholdAge10,"&lt;"&amp;'19_Расчет_аналитики'!V3596,WeightedRevAge10)-SUMIF(ThresholdAge10,"&lt;"&amp;'19_Расчет_аналитики'!V3596,WeightedMinAge10),MAX(CapacityAge10*'01_Вводные'!$B$218*'19_Расчет_аналитики'!V3596,MeanMinAge10))),0)</f>
        <v/>
      </c>
      <c r="W3537">
        <f>IF('01_Вводные'!$B$234="Да",IF(OR(('19_Расчет_аналитики'!W3453-'19_Расчет_аналитики'!W3481)=0,10&lt;='01_Вводные'!$B$297),0,('19_Расчет_аналитики'!W3453-'19_Расчет_аналитики'!W3481)*IF('01_Вводные'!$B$239="Да",MeanMinAge10+'19_Расчет_аналитики'!W3596*SUMIF(ThresholdAge10,"&lt;"&amp;'19_Расчет_аналитики'!W3596,WeightedRevAge10)-SUMIF(ThresholdAge10,"&lt;"&amp;'19_Расчет_аналитики'!W3596,WeightedMinAge10),MAX(CapacityAge10*'01_Вводные'!$B$218*'19_Расчет_аналитики'!W3596,MeanMinAge10))),0)</f>
        <v/>
      </c>
      <c r="X3537">
        <f>IF('01_Вводные'!$B$234="Да",IF(OR(('19_Расчет_аналитики'!X3453-'19_Расчет_аналитики'!X3481)=0,10&lt;='01_Вводные'!$B$297),0,('19_Расчет_аналитики'!X3453-'19_Расчет_аналитики'!X3481)*IF('01_Вводные'!$B$239="Да",MeanMinAge10+'19_Расчет_аналитики'!X3596*SUMIF(ThresholdAge10,"&lt;"&amp;'19_Расчет_аналитики'!X3596,WeightedRevAge10)-SUMIF(ThresholdAge10,"&lt;"&amp;'19_Расчет_аналитики'!X3596,WeightedMinAge10),MAX(CapacityAge10*'01_Вводные'!$B$218*'19_Расчет_аналитики'!X3596,MeanMinAge10))),0)</f>
        <v/>
      </c>
      <c r="Y3537">
        <f>IF('01_Вводные'!$B$234="Да",IF(OR(('19_Расчет_аналитики'!Y3453-'19_Расчет_аналитики'!Y3481)=0,10&lt;='01_Вводные'!$B$297),0,('19_Расчет_аналитики'!Y3453-'19_Расчет_аналитики'!Y3481)*IF('01_Вводные'!$B$239="Да",MeanMinAge10+'19_Расчет_аналитики'!Y3596*SUMIF(ThresholdAge10,"&lt;"&amp;'19_Расчет_аналитики'!Y3596,WeightedRevAge10)-SUMIF(ThresholdAge10,"&lt;"&amp;'19_Расчет_аналитики'!Y3596,WeightedMinAge10),MAX(CapacityAge10*'01_Вводные'!$B$218*'19_Расчет_аналитики'!Y3596,MeanMinAge10))),0)</f>
        <v/>
      </c>
      <c r="Z3537">
        <f>IF('01_Вводные'!$B$234="Да",IF(OR(('19_Расчет_аналитики'!Z3453-'19_Расчет_аналитики'!Z3481)=0,10&lt;='01_Вводные'!$B$297),0,('19_Расчет_аналитики'!Z3453-'19_Расчет_аналитики'!Z3481)*IF('01_Вводные'!$B$239="Да",MeanMinAge10+'19_Расчет_аналитики'!Z3596*SUMIF(ThresholdAge10,"&lt;"&amp;'19_Расчет_аналитики'!Z3596,WeightedRevAge10)-SUMIF(ThresholdAge10,"&lt;"&amp;'19_Расчет_аналитики'!Z3596,WeightedMinAge10),MAX(CapacityAge10*'01_Вводные'!$B$218*'19_Расчет_аналитики'!Z3596,MeanMinAge10))),0)</f>
        <v/>
      </c>
      <c r="AA3537">
        <f>IF('01_Вводные'!$B$234="Да",IF(OR(('19_Расчет_аналитики'!AA3453-'19_Расчет_аналитики'!AA3481)=0,10&lt;='01_Вводные'!$B$297),0,('19_Расчет_аналитики'!AA3453-'19_Расчет_аналитики'!AA3481)*IF('01_Вводные'!$B$239="Да",MeanMinAge10+'19_Расчет_аналитики'!AA3596*SUMIF(ThresholdAge10,"&lt;"&amp;'19_Расчет_аналитики'!AA3596,WeightedRevAge10)-SUMIF(ThresholdAge10,"&lt;"&amp;'19_Расчет_аналитики'!AA3596,WeightedMinAge10),MAX(CapacityAge10*'01_Вводные'!$B$218*'19_Расчет_аналитики'!AA3596,MeanMinAge10))),0)</f>
        <v/>
      </c>
      <c r="AB3537">
        <f>IF('01_Вводные'!$B$234="Да",IF(OR(('19_Расчет_аналитики'!AB3453-'19_Расчет_аналитики'!AB3481)=0,10&lt;='01_Вводные'!$B$297),0,('19_Расчет_аналитики'!AB3453-'19_Расчет_аналитики'!AB3481)*IF('01_Вводные'!$B$239="Да",MeanMinAge10+'19_Расчет_аналитики'!AB3596*SUMIF(ThresholdAge10,"&lt;"&amp;'19_Расчет_аналитики'!AB3596,WeightedRevAge10)-SUMIF(ThresholdAge10,"&lt;"&amp;'19_Расчет_аналитики'!AB3596,WeightedMinAge10),MAX(CapacityAge10*'01_Вводные'!$B$218*'19_Расчет_аналитики'!AB3596,MeanMinAge10))),0)</f>
        <v/>
      </c>
      <c r="AC3537">
        <f>IF('01_Вводные'!$B$234="Да",IF(OR(('19_Расчет_аналитики'!AC3453-'19_Расчет_аналитики'!AC3481)=0,10&lt;='01_Вводные'!$B$297),0,('19_Расчет_аналитики'!AC3453-'19_Расчет_аналитики'!AC3481)*IF('01_Вводные'!$B$239="Да",MeanMinAge10+'19_Расчет_аналитики'!AC3596*SUMIF(ThresholdAge10,"&lt;"&amp;'19_Расчет_аналитики'!AC3596,WeightedRevAge10)-SUMIF(ThresholdAge10,"&lt;"&amp;'19_Расчет_аналитики'!AC3596,WeightedMinAge10),MAX(CapacityAge10*'01_Вводные'!$B$218*'19_Расчет_аналитики'!AC3596,MeanMinAge10))),0)</f>
        <v/>
      </c>
      <c r="AD3537">
        <f>IF('01_Вводные'!$B$234="Да",IF(OR(('19_Расчет_аналитики'!AD3453-'19_Расчет_аналитики'!AD3481)=0,10&lt;='01_Вводные'!$B$297),0,('19_Расчет_аналитики'!AD3453-'19_Расчет_аналитики'!AD3481)*IF('01_Вводные'!$B$239="Да",MeanMinAge10+'19_Расчет_аналитики'!AD3596*SUMIF(ThresholdAge10,"&lt;"&amp;'19_Расчет_аналитики'!AD3596,WeightedRevAge10)-SUMIF(ThresholdAge10,"&lt;"&amp;'19_Расчет_аналитики'!AD3596,WeightedMinAge10),MAX(CapacityAge10*'01_Вводные'!$B$218*'19_Расчет_аналитики'!AD3596,MeanMinAge10))),0)</f>
        <v/>
      </c>
      <c r="AE3537">
        <f>IF('01_Вводные'!$B$234="Да",IF(OR(('19_Расчет_аналитики'!AE3453-'19_Расчет_аналитики'!AE3481)=0,10&lt;='01_Вводные'!$B$297),0,('19_Расчет_аналитики'!AE3453-'19_Расчет_аналитики'!AE3481)*IF('01_Вводные'!$B$239="Да",MeanMinAge10+'19_Расчет_аналитики'!AE3596*SUMIF(ThresholdAge10,"&lt;"&amp;'19_Расчет_аналитики'!AE3596,WeightedRevAge10)-SUMIF(ThresholdAge10,"&lt;"&amp;'19_Расчет_аналитики'!AE3596,WeightedMinAge10),MAX(CapacityAge10*'01_Вводные'!$B$218*'19_Расчет_аналитики'!AE3596,MeanMinAge10))),0)</f>
        <v/>
      </c>
      <c r="AF3537">
        <f>IF('01_Вводные'!$B$234="Да",IF(OR(('19_Расчет_аналитики'!AF3453-'19_Расчет_аналитики'!AF3481)=0,10&lt;='01_Вводные'!$B$297),0,('19_Расчет_аналитики'!AF3453-'19_Расчет_аналитики'!AF3481)*IF('01_Вводные'!$B$239="Да",MeanMinAge10+'19_Расчет_аналитики'!AF3596*SUMIF(ThresholdAge10,"&lt;"&amp;'19_Расчет_аналитики'!AF3596,WeightedRevAge10)-SUMIF(ThresholdAge10,"&lt;"&amp;'19_Расчет_аналитики'!AF3596,WeightedMinAge10),MAX(CapacityAge10*'01_Вводные'!$B$218*'19_Расчет_аналитики'!AF3596,MeanMinAge10))),0)</f>
        <v/>
      </c>
      <c r="AG3537">
        <f>IF('01_Вводные'!$B$234="Да",IF(OR(('19_Расчет_аналитики'!AG3453-'19_Расчет_аналитики'!AG3481)=0,10&lt;='01_Вводные'!$B$297),0,('19_Расчет_аналитики'!AG3453-'19_Расчет_аналитики'!AG3481)*IF('01_Вводные'!$B$239="Да",MeanMinAge10+'19_Расчет_аналитики'!AG3596*SUMIF(ThresholdAge10,"&lt;"&amp;'19_Расчет_аналитики'!AG3596,WeightedRevAge10)-SUMIF(ThresholdAge10,"&lt;"&amp;'19_Расчет_аналитики'!AG3596,WeightedMinAge10),MAX(CapacityAge10*'01_Вводные'!$B$218*'19_Расчет_аналитики'!AG3596,MeanMinAge10))),0)</f>
        <v/>
      </c>
      <c r="AH3537">
        <f>IF('01_Вводные'!$B$234="Да",IF(OR(('19_Расчет_аналитики'!AH3453-'19_Расчет_аналитики'!AH3481)=0,10&lt;='01_Вводные'!$B$297),0,('19_Расчет_аналитики'!AH3453-'19_Расчет_аналитики'!AH3481)*IF('01_Вводные'!$B$239="Да",MeanMinAge10+'19_Расчет_аналитики'!AH3596*SUMIF(ThresholdAge10,"&lt;"&amp;'19_Расчет_аналитики'!AH3596,WeightedRevAge10)-SUMIF(ThresholdAge10,"&lt;"&amp;'19_Расчет_аналитики'!AH3596,WeightedMinAge10),MAX(CapacityAge10*'01_Вводные'!$B$218*'19_Расчет_аналитики'!AH3596,MeanMinAge10))),0)</f>
        <v/>
      </c>
      <c r="AI3537">
        <f>IF('01_Вводные'!$B$234="Да",IF(OR(('19_Расчет_аналитики'!AI3453-'19_Расчет_аналитики'!AI3481)=0,10&lt;='01_Вводные'!$B$297),0,('19_Расчет_аналитики'!AI3453-'19_Расчет_аналитики'!AI3481)*IF('01_Вводные'!$B$239="Да",MeanMinAge10+'19_Расчет_аналитики'!AI3596*SUMIF(ThresholdAge10,"&lt;"&amp;'19_Расчет_аналитики'!AI3596,WeightedRevAge10)-SUMIF(ThresholdAge10,"&lt;"&amp;'19_Расчет_аналитики'!AI3596,WeightedMinAge10),MAX(CapacityAge10*'01_Вводные'!$B$218*'19_Расчет_аналитики'!AI3596,MeanMinAge10))),0)</f>
        <v/>
      </c>
      <c r="AJ3537">
        <f>IF('01_Вводные'!$B$234="Да",IF(OR(('19_Расчет_аналитики'!AJ3453-'19_Расчет_аналитики'!AJ3481)=0,10&lt;='01_Вводные'!$B$297),0,('19_Расчет_аналитики'!AJ3453-'19_Расчет_аналитики'!AJ3481)*IF('01_Вводные'!$B$239="Да",MeanMinAge10+'19_Расчет_аналитики'!AJ3596*SUMIF(ThresholdAge10,"&lt;"&amp;'19_Расчет_аналитики'!AJ3596,WeightedRevAge10)-SUMIF(ThresholdAge10,"&lt;"&amp;'19_Расчет_аналитики'!AJ3596,WeightedMinAge10),MAX(CapacityAge10*'01_Вводные'!$B$218*'19_Расчет_аналитики'!AJ3596,MeanMinAge10))),0)</f>
        <v/>
      </c>
      <c r="AK3537">
        <f>IF('01_Вводные'!$B$234="Да",IF(OR(('19_Расчет_аналитики'!AK3453-'19_Расчет_аналитики'!AK3481)=0,10&lt;='01_Вводные'!$B$297),0,('19_Расчет_аналитики'!AK3453-'19_Расчет_аналитики'!AK3481)*IF('01_Вводные'!$B$239="Да",MeanMinAge10+'19_Расчет_аналитики'!AK3596*SUMIF(ThresholdAge10,"&lt;"&amp;'19_Расчет_аналитики'!AK3596,WeightedRevAge10)-SUMIF(ThresholdAge10,"&lt;"&amp;'19_Расчет_аналитики'!AK3596,WeightedMinAge10),MAX(CapacityAge10*'01_Вводные'!$B$218*'19_Расчет_аналитики'!AK3596,MeanMinAge10))),0)</f>
        <v/>
      </c>
      <c r="AL3537">
        <f>IF('01_Вводные'!$B$234="Да",IF(OR(('19_Расчет_аналитики'!AL3453-'19_Расчет_аналитики'!AL3481)=0,10&lt;='01_Вводные'!$B$297),0,('19_Расчет_аналитики'!AL3453-'19_Расчет_аналитики'!AL3481)*IF('01_Вводные'!$B$239="Да",MeanMinAge10+'19_Расчет_аналитики'!AL3596*SUMIF(ThresholdAge10,"&lt;"&amp;'19_Расчет_аналитики'!AL3596,WeightedRevAge10)-SUMIF(ThresholdAge10,"&lt;"&amp;'19_Расчет_аналитики'!AL3596,WeightedMinAge10),MAX(CapacityAge10*'01_Вводные'!$B$218*'19_Расчет_аналитики'!AL3596,MeanMinAge10))),0)</f>
        <v/>
      </c>
      <c r="AM3537">
        <f>IF('01_Вводные'!$B$234="Да",IF(OR(('19_Расчет_аналитики'!AM3453-'19_Расчет_аналитики'!AM3481)=0,10&lt;='01_Вводные'!$B$297),0,('19_Расчет_аналитики'!AM3453-'19_Расчет_аналитики'!AM3481)*IF('01_Вводные'!$B$239="Да",MeanMinAge10+'19_Расчет_аналитики'!AM3596*SUMIF(ThresholdAge10,"&lt;"&amp;'19_Расчет_аналитики'!AM3596,WeightedRevAge10)-SUMIF(ThresholdAge10,"&lt;"&amp;'19_Расчет_аналитики'!AM3596,WeightedMinAge10),MAX(CapacityAge10*'01_Вводные'!$B$218*'19_Расчет_аналитики'!AM3596,MeanMinAge10))),0)</f>
        <v/>
      </c>
      <c r="AN3537">
        <f>IF('01_Вводные'!$B$234="Да",IF(OR(('19_Расчет_аналитики'!AN3453-'19_Расчет_аналитики'!AN3481)=0,10&lt;='01_Вводные'!$B$297),0,('19_Расчет_аналитики'!AN3453-'19_Расчет_аналитики'!AN3481)*IF('01_Вводные'!$B$239="Да",MeanMinAge10+'19_Расчет_аналитики'!AN3596*SUMIF(ThresholdAge10,"&lt;"&amp;'19_Расчет_аналитики'!AN3596,WeightedRevAge10)-SUMIF(ThresholdAge10,"&lt;"&amp;'19_Расчет_аналитики'!AN3596,WeightedMinAge10),MAX(CapacityAge10*'01_Вводные'!$B$218*'19_Расчет_аналитики'!AN3596,MeanMinAge10))),0)</f>
        <v/>
      </c>
      <c r="AO3537">
        <f>IF('01_Вводные'!$B$234="Да",IF(OR(('19_Расчет_аналитики'!AO3453-'19_Расчет_аналитики'!AO3481)=0,10&lt;='01_Вводные'!$B$297),0,('19_Расчет_аналитики'!AO3453-'19_Расчет_аналитики'!AO3481)*IF('01_Вводные'!$B$239="Да",MeanMinAge10+'19_Расчет_аналитики'!AO3596*SUMIF(ThresholdAge10,"&lt;"&amp;'19_Расчет_аналитики'!AO3596,WeightedRevAge10)-SUMIF(ThresholdAge10,"&lt;"&amp;'19_Расчет_аналитики'!AO3596,WeightedMinAge10),MAX(CapacityAge10*'01_Вводные'!$B$218*'19_Расчет_аналитики'!AO3596,MeanMinAge10))),0)</f>
        <v/>
      </c>
      <c r="AP3537">
        <f>IF('01_Вводные'!$B$234="Да",IF(OR(('19_Расчет_аналитики'!AP3453-'19_Расчет_аналитики'!AP3481)=0,10&lt;='01_Вводные'!$B$297),0,('19_Расчет_аналитики'!AP3453-'19_Расчет_аналитики'!AP3481)*IF('01_Вводные'!$B$239="Да",MeanMinAge10+'19_Расчет_аналитики'!AP3596*SUMIF(ThresholdAge10,"&lt;"&amp;'19_Расчет_аналитики'!AP3596,WeightedRevAge10)-SUMIF(ThresholdAge10,"&lt;"&amp;'19_Расчет_аналитики'!AP3596,WeightedMinAge10),MAX(CapacityAge10*'01_Вводные'!$B$218*'19_Расчет_аналитики'!AP3596,MeanMinAge10))),0)</f>
        <v/>
      </c>
      <c r="AQ3537">
        <f>IF('01_Вводные'!$B$234="Да",IF(OR(('19_Расчет_аналитики'!AQ3453-'19_Расчет_аналитики'!AQ3481)=0,10&lt;='01_Вводные'!$B$297),0,('19_Расчет_аналитики'!AQ3453-'19_Расчет_аналитики'!AQ3481)*IF('01_Вводные'!$B$239="Да",MeanMinAge10+'19_Расчет_аналитики'!AQ3596*SUMIF(ThresholdAge10,"&lt;"&amp;'19_Расчет_аналитики'!AQ3596,WeightedRevAge10)-SUMIF(ThresholdAge10,"&lt;"&amp;'19_Расчет_аналитики'!AQ3596,WeightedMinAge10),MAX(CapacityAge10*'01_Вводные'!$B$218*'19_Расчет_аналитики'!AQ3596,MeanMinAge10))),0)</f>
        <v/>
      </c>
      <c r="AR3537">
        <f>IF('01_Вводные'!$B$234="Да",IF(OR(('19_Расчет_аналитики'!AR3453-'19_Расчет_аналитики'!AR3481)=0,10&lt;='01_Вводные'!$B$297),0,('19_Расчет_аналитики'!AR3453-'19_Расчет_аналитики'!AR3481)*IF('01_Вводные'!$B$239="Да",MeanMinAge10+'19_Расчет_аналитики'!AR3596*SUMIF(ThresholdAge10,"&lt;"&amp;'19_Расчет_аналитики'!AR3596,WeightedRevAge10)-SUMIF(ThresholdAge10,"&lt;"&amp;'19_Расчет_аналитики'!AR3596,WeightedMinAge10),MAX(CapacityAge10*'01_Вводные'!$B$218*'19_Расчет_аналитики'!AR3596,MeanMinAge10))),0)</f>
        <v/>
      </c>
      <c r="AS3537">
        <f>IF('01_Вводные'!$B$234="Да",IF(OR(('19_Расчет_аналитики'!AS3453-'19_Расчет_аналитики'!AS3481)=0,10&lt;='01_Вводные'!$B$297),0,('19_Расчет_аналитики'!AS3453-'19_Расчет_аналитики'!AS3481)*IF('01_Вводные'!$B$239="Да",MeanMinAge10+'19_Расчет_аналитики'!AS3596*SUMIF(ThresholdAge10,"&lt;"&amp;'19_Расчет_аналитики'!AS3596,WeightedRevAge10)-SUMIF(ThresholdAge10,"&lt;"&amp;'19_Расчет_аналитики'!AS3596,WeightedMinAge10),MAX(CapacityAge10*'01_Вводные'!$B$218*'19_Расчет_аналитики'!AS3596,MeanMinAge10))),0)</f>
        <v/>
      </c>
      <c r="AT3537">
        <f>IF('01_Вводные'!$B$234="Да",IF(OR(('19_Расчет_аналитики'!AT3453-'19_Расчет_аналитики'!AT3481)=0,10&lt;='01_Вводные'!$B$297),0,('19_Расчет_аналитики'!AT3453-'19_Расчет_аналитики'!AT3481)*IF('01_Вводные'!$B$239="Да",MeanMinAge10+'19_Расчет_аналитики'!AT3596*SUMIF(ThresholdAge10,"&lt;"&amp;'19_Расчет_аналитики'!AT3596,WeightedRevAge10)-SUMIF(ThresholdAge10,"&lt;"&amp;'19_Расчет_аналитики'!AT3596,WeightedMinAge10),MAX(CapacityAge10*'01_Вводные'!$B$218*'19_Расчет_аналитики'!AT3596,MeanMinAge10))),0)</f>
        <v/>
      </c>
      <c r="AU3537">
        <f>IF('01_Вводные'!$B$234="Да",IF(OR(('19_Расчет_аналитики'!AU3453-'19_Расчет_аналитики'!AU3481)=0,10&lt;='01_Вводные'!$B$297),0,('19_Расчет_аналитики'!AU3453-'19_Расчет_аналитики'!AU3481)*IF('01_Вводные'!$B$239="Да",MeanMinAge10+'19_Расчет_аналитики'!AU3596*SUMIF(ThresholdAge10,"&lt;"&amp;'19_Расчет_аналитики'!AU3596,WeightedRevAge10)-SUMIF(ThresholdAge10,"&lt;"&amp;'19_Расчет_аналитики'!AU3596,WeightedMinAge10),MAX(CapacityAge10*'01_Вводные'!$B$218*'19_Расчет_аналитики'!AU3596,MeanMinAge10))),0)</f>
        <v/>
      </c>
      <c r="AV3537">
        <f>IF('01_Вводные'!$B$234="Да",IF(OR(('19_Расчет_аналитики'!AV3453-'19_Расчет_аналитики'!AV3481)=0,10&lt;='01_Вводные'!$B$297),0,('19_Расчет_аналитики'!AV3453-'19_Расчет_аналитики'!AV3481)*IF('01_Вводные'!$B$239="Да",MeanMinAge10+'19_Расчет_аналитики'!AV3596*SUMIF(ThresholdAge10,"&lt;"&amp;'19_Расчет_аналитики'!AV3596,WeightedRevAge10)-SUMIF(ThresholdAge10,"&lt;"&amp;'19_Расчет_аналитики'!AV3596,WeightedMinAge10),MAX(CapacityAge10*'01_Вводные'!$B$218*'19_Расчет_аналитики'!AV3596,MeanMinAge10))),0)</f>
        <v/>
      </c>
      <c r="AW3537">
        <f>IF('01_Вводные'!$B$234="Да",IF(OR(('19_Расчет_аналитики'!AW3453-'19_Расчет_аналитики'!AW3481)=0,10&lt;='01_Вводные'!$B$297),0,('19_Расчет_аналитики'!AW3453-'19_Расчет_аналитики'!AW3481)*IF('01_Вводные'!$B$239="Да",MeanMinAge10+'19_Расчет_аналитики'!AW3596*SUMIF(ThresholdAge10,"&lt;"&amp;'19_Расчет_аналитики'!AW3596,WeightedRevAge10)-SUMIF(ThresholdAge10,"&lt;"&amp;'19_Расчет_аналитики'!AW3596,WeightedMinAge10),MAX(CapacityAge10*'01_Вводные'!$B$218*'19_Расчет_аналитики'!AW3596,MeanMinAge10))),0)</f>
        <v/>
      </c>
      <c r="AX3537">
        <f>IF('01_Вводные'!$B$234="Да",IF(OR(('19_Расчет_аналитики'!AX3453-'19_Расчет_аналитики'!AX3481)=0,10&lt;='01_Вводные'!$B$297),0,('19_Расчет_аналитики'!AX3453-'19_Расчет_аналитики'!AX3481)*IF('01_Вводные'!$B$239="Да",MeanMinAge10+'19_Расчет_аналитики'!AX3596*SUMIF(ThresholdAge10,"&lt;"&amp;'19_Расчет_аналитики'!AX3596,WeightedRevAge10)-SUMIF(ThresholdAge10,"&lt;"&amp;'19_Расчет_аналитики'!AX3596,WeightedMinAge10),MAX(CapacityAge10*'01_Вводные'!$B$218*'19_Расчет_аналитики'!AX3596,MeanMinAge10))),0)</f>
        <v/>
      </c>
      <c r="AY3537">
        <f>IF('01_Вводные'!$B$234="Да",IF(OR(('19_Расчет_аналитики'!AY3453-'19_Расчет_аналитики'!AY3481)=0,10&lt;='01_Вводные'!$B$297),0,('19_Расчет_аналитики'!AY3453-'19_Расчет_аналитики'!AY3481)*IF('01_Вводные'!$B$239="Да",MeanMinAge10+'19_Расчет_аналитики'!AY3596*SUMIF(ThresholdAge10,"&lt;"&amp;'19_Расчет_аналитики'!AY3596,WeightedRevAge10)-SUMIF(ThresholdAge10,"&lt;"&amp;'19_Расчет_аналитики'!AY3596,WeightedMinAge10),MAX(CapacityAge10*'01_Вводные'!$B$218*'19_Расчет_аналитики'!AY3596,MeanMinAge10))),0)</f>
        <v/>
      </c>
      <c r="AZ3537">
        <f>IF('01_Вводные'!$B$234="Да",IF(OR(('19_Расчет_аналитики'!AZ3453-'19_Расчет_аналитики'!AZ3481)=0,10&lt;='01_Вводные'!$B$297),0,('19_Расчет_аналитики'!AZ3453-'19_Расчет_аналитики'!AZ3481)*IF('01_Вводные'!$B$239="Да",MeanMinAge10+'19_Расчет_аналитики'!AZ3596*SUMIF(ThresholdAge10,"&lt;"&amp;'19_Расчет_аналитики'!AZ3596,WeightedRevAge10)-SUMIF(ThresholdAge10,"&lt;"&amp;'19_Расчет_аналитики'!AZ3596,WeightedMinAge10),MAX(CapacityAge10*'01_Вводные'!$B$218*'19_Расчет_аналитики'!AZ3596,MeanMinAge10))),0)</f>
        <v/>
      </c>
      <c r="BA3537">
        <f>IF('01_Вводные'!$B$234="Да",IF(OR(('19_Расчет_аналитики'!BA3453-'19_Расчет_аналитики'!BA3481)=0,10&lt;='01_Вводные'!$B$297),0,('19_Расчет_аналитики'!BA3453-'19_Расчет_аналитики'!BA3481)*IF('01_Вводные'!$B$239="Да",MeanMinAge10+'19_Расчет_аналитики'!BA3596*SUMIF(ThresholdAge10,"&lt;"&amp;'19_Расчет_аналитики'!BA3596,WeightedRevAge10)-SUMIF(ThresholdAge10,"&lt;"&amp;'19_Расчет_аналитики'!BA3596,WeightedMinAge10),MAX(CapacityAge10*'01_Вводные'!$B$218*'19_Расчет_аналитики'!BA3596,MeanMinAge10))),0)</f>
        <v/>
      </c>
      <c r="BB3537">
        <f>IF('01_Вводные'!$B$234="Да",IF(OR(('19_Расчет_аналитики'!BB3453-'19_Расчет_аналитики'!BB3481)=0,10&lt;='01_Вводные'!$B$297),0,('19_Расчет_аналитики'!BB3453-'19_Расчет_аналитики'!BB3481)*IF('01_Вводные'!$B$239="Да",MeanMinAge10+'19_Расчет_аналитики'!BB3596*SUMIF(ThresholdAge10,"&lt;"&amp;'19_Расчет_аналитики'!BB3596,WeightedRevAge10)-SUMIF(ThresholdAge10,"&lt;"&amp;'19_Расчет_аналитики'!BB3596,WeightedMinAge10),MAX(CapacityAge10*'01_Вводные'!$B$218*'19_Расчет_аналитики'!BB3596,MeanMinAge10))),0)</f>
        <v/>
      </c>
      <c r="BC3537">
        <f>IF('01_Вводные'!$B$234="Да",IF(OR(('19_Расчет_аналитики'!BC3453-'19_Расчет_аналитики'!BC3481)=0,10&lt;='01_Вводные'!$B$297),0,('19_Расчет_аналитики'!BC3453-'19_Расчет_аналитики'!BC3481)*IF('01_Вводные'!$B$239="Да",MeanMinAge10+'19_Расчет_аналитики'!BC3596*SUMIF(ThresholdAge10,"&lt;"&amp;'19_Расчет_аналитики'!BC3596,WeightedRevAge10)-SUMIF(ThresholdAge10,"&lt;"&amp;'19_Расчет_аналитики'!BC3596,WeightedMinAge10),MAX(CapacityAge10*'01_Вводные'!$B$218*'19_Расчет_аналитики'!BC3596,MeanMinAge10))),0)</f>
        <v/>
      </c>
      <c r="BD3537">
        <f>IF('01_Вводные'!$B$234="Да",IF(OR(('19_Расчет_аналитики'!BD3453-'19_Расчет_аналитики'!BD3481)=0,10&lt;='01_Вводные'!$B$297),0,('19_Расчет_аналитики'!BD3453-'19_Расчет_аналитики'!BD3481)*IF('01_Вводные'!$B$239="Да",MeanMinAge10+'19_Расчет_аналитики'!BD3596*SUMIF(ThresholdAge10,"&lt;"&amp;'19_Расчет_аналитики'!BD3596,WeightedRevAge10)-SUMIF(ThresholdAge10,"&lt;"&amp;'19_Расчет_аналитики'!BD3596,WeightedMinAge10),MAX(CapacityAge10*'01_Вводные'!$B$218*'19_Расчет_аналитики'!BD3596,MeanMinAge10))),0)</f>
        <v/>
      </c>
      <c r="BE3537">
        <f>IF('01_Вводные'!$B$234="Да",IF(OR(('19_Расчет_аналитики'!BE3453-'19_Расчет_аналитики'!BE3481)=0,10&lt;='01_Вводные'!$B$297),0,('19_Расчет_аналитики'!BE3453-'19_Расчет_аналитики'!BE3481)*IF('01_Вводные'!$B$239="Да",MeanMinAge10+'19_Расчет_аналитики'!BE3596*SUMIF(ThresholdAge10,"&lt;"&amp;'19_Расчет_аналитики'!BE3596,WeightedRevAge10)-SUMIF(ThresholdAge10,"&lt;"&amp;'19_Расчет_аналитики'!BE3596,WeightedMinAge10),MAX(CapacityAge10*'01_Вводные'!$B$218*'19_Расчет_аналитики'!BE3596,MeanMinAge10))),0)</f>
        <v/>
      </c>
      <c r="BF3537">
        <f>IF('01_Вводные'!$B$234="Да",IF(OR(('19_Расчет_аналитики'!BF3453-'19_Расчет_аналитики'!BF3481)=0,10&lt;='01_Вводные'!$B$297),0,('19_Расчет_аналитики'!BF3453-'19_Расчет_аналитики'!BF3481)*IF('01_Вводные'!$B$239="Да",MeanMinAge10+'19_Расчет_аналитики'!BF3596*SUMIF(ThresholdAge10,"&lt;"&amp;'19_Расчет_аналитики'!BF3596,WeightedRevAge10)-SUMIF(ThresholdAge10,"&lt;"&amp;'19_Расчет_аналитики'!BF3596,WeightedMinAge10),MAX(CapacityAge10*'01_Вводные'!$B$218*'19_Расчет_аналитики'!BF3596,MeanMinAge10))),0)</f>
        <v/>
      </c>
      <c r="BG3537">
        <f>IF('01_Вводные'!$B$234="Да",IF(OR(('19_Расчет_аналитики'!BG3453-'19_Расчет_аналитики'!BG3481)=0,10&lt;='01_Вводные'!$B$297),0,('19_Расчет_аналитики'!BG3453-'19_Расчет_аналитики'!BG3481)*IF('01_Вводные'!$B$239="Да",MeanMinAge10+'19_Расчет_аналитики'!BG3596*SUMIF(ThresholdAge10,"&lt;"&amp;'19_Расчет_аналитики'!BG3596,WeightedRevAge10)-SUMIF(ThresholdAge10,"&lt;"&amp;'19_Расчет_аналитики'!BG3596,WeightedMinAge10),MAX(CapacityAge10*'01_Вводные'!$B$218*'19_Расчет_аналитики'!BG3596,MeanMinAge10))),0)</f>
        <v/>
      </c>
      <c r="BH3537">
        <f>IF('01_Вводные'!$B$234="Да",IF(OR(('19_Расчет_аналитики'!BH3453-'19_Расчет_аналитики'!BH3481)=0,10&lt;='01_Вводные'!$B$297),0,('19_Расчет_аналитики'!BH3453-'19_Расчет_аналитики'!BH3481)*IF('01_Вводные'!$B$239="Да",MeanMinAge10+'19_Расчет_аналитики'!BH3596*SUMIF(ThresholdAge10,"&lt;"&amp;'19_Расчет_аналитики'!BH3596,WeightedRevAge10)-SUMIF(ThresholdAge10,"&lt;"&amp;'19_Расчет_аналитики'!BH3596,WeightedMinAge10),MAX(CapacityAge10*'01_Вводные'!$B$218*'19_Расчет_аналитики'!BH3596,MeanMinAge10))),0)</f>
        <v/>
      </c>
      <c r="BI3537">
        <f>IF('01_Вводные'!$B$234="Да",IF(OR(('19_Расчет_аналитики'!BI3453-'19_Расчет_аналитики'!BI3481)=0,10&lt;='01_Вводные'!$B$297),0,('19_Расчет_аналитики'!BI3453-'19_Расчет_аналитики'!BI3481)*IF('01_Вводные'!$B$239="Да",MeanMinAge10+'19_Расчет_аналитики'!BI3596*SUMIF(ThresholdAge10,"&lt;"&amp;'19_Расчет_аналитики'!BI3596,WeightedRevAge10)-SUMIF(ThresholdAge10,"&lt;"&amp;'19_Расчет_аналитики'!BI3596,WeightedMinAge10),MAX(CapacityAge10*'01_Вводные'!$B$218*'19_Расчет_аналитики'!BI3596,MeanMinAge10))),0)</f>
        <v/>
      </c>
      <c r="BJ3537">
        <f>IF('01_Вводные'!$B$234="Да",IF(OR(('19_Расчет_аналитики'!BJ3453-'19_Расчет_аналитики'!BJ3481)=0,10&lt;='01_Вводные'!$B$297),0,('19_Расчет_аналитики'!BJ3453-'19_Расчет_аналитики'!BJ3481)*IF('01_Вводные'!$B$239="Да",MeanMinAge10+'19_Расчет_аналитики'!BJ3596*SUMIF(ThresholdAge10,"&lt;"&amp;'19_Расчет_аналитики'!BJ3596,WeightedRevAge10)-SUMIF(ThresholdAge10,"&lt;"&amp;'19_Расчет_аналитики'!BJ3596,WeightedMinAge10),MAX(CapacityAge10*'01_Вводные'!$B$218*'19_Расчет_аналитики'!BJ3596,MeanMinAge10))),0)</f>
        <v/>
      </c>
      <c r="BK3537">
        <f>IF('01_Вводные'!$B$234="Да",IF(OR(('19_Расчет_аналитики'!BK3453-'19_Расчет_аналитики'!BK3481)=0,10&lt;='01_Вводные'!$B$297),0,('19_Расчет_аналитики'!BK3453-'19_Расчет_аналитики'!BK3481)*IF('01_Вводные'!$B$239="Да",MeanMinAge10+'19_Расчет_аналитики'!BK3596*SUMIF(ThresholdAge10,"&lt;"&amp;'19_Расчет_аналитики'!BK3596,WeightedRevAge10)-SUMIF(ThresholdAge10,"&lt;"&amp;'19_Расчет_аналитики'!BK3596,WeightedMinAge10),MAX(CapacityAge10*'01_Вводные'!$B$218*'19_Расчет_аналитики'!BK3596,MeanMinAge10))),0)</f>
        <v/>
      </c>
      <c r="BL3537">
        <f>IF('01_Вводные'!$B$234="Да",IF(OR(('19_Расчет_аналитики'!BL3453-'19_Расчет_аналитики'!BL3481)=0,10&lt;='01_Вводные'!$B$297),0,('19_Расчет_аналитики'!BL3453-'19_Расчет_аналитики'!BL3481)*IF('01_Вводные'!$B$239="Да",MeanMinAge10+'19_Расчет_аналитики'!BL3596*SUMIF(ThresholdAge10,"&lt;"&amp;'19_Расчет_аналитики'!BL3596,WeightedRevAge10)-SUMIF(ThresholdAge10,"&lt;"&amp;'19_Расчет_аналитики'!BL3596,WeightedMinAge10),MAX(CapacityAge10*'01_Вводные'!$B$218*'19_Расчет_аналитики'!BL3596,MeanMinAge10))),0)</f>
        <v/>
      </c>
      <c r="BM3537">
        <f>IF('01_Вводные'!$B$234="Да",IF(OR(('19_Расчет_аналитики'!BM3453-'19_Расчет_аналитики'!BM3481)=0,10&lt;='01_Вводные'!$B$297),0,('19_Расчет_аналитики'!BM3453-'19_Расчет_аналитики'!BM3481)*IF('01_Вводные'!$B$239="Да",MeanMinAge10+'19_Расчет_аналитики'!BM3596*SUMIF(ThresholdAge10,"&lt;"&amp;'19_Расчет_аналитики'!BM3596,WeightedRevAge10)-SUMIF(ThresholdAge10,"&lt;"&amp;'19_Расчет_аналитики'!BM3596,WeightedMinAge10),MAX(CapacityAge10*'01_Вводные'!$B$218*'19_Расчет_аналитики'!BM3596,MeanMinAge10))),0)</f>
        <v/>
      </c>
      <c r="BN3537">
        <f>IF('01_Вводные'!$B$234="Да",IF(OR(('19_Расчет_аналитики'!BN3453-'19_Расчет_аналитики'!BN3481)=0,10&lt;='01_Вводные'!$B$297),0,('19_Расчет_аналитики'!BN3453-'19_Расчет_аналитики'!BN3481)*IF('01_Вводные'!$B$239="Да",MeanMinAge10+'19_Расчет_аналитики'!BN3596*SUMIF(ThresholdAge10,"&lt;"&amp;'19_Расчет_аналитики'!BN3596,WeightedRevAge10)-SUMIF(ThresholdAge10,"&lt;"&amp;'19_Расчет_аналитики'!BN3596,WeightedMinAge10),MAX(CapacityAge10*'01_Вводные'!$B$218*'19_Расчет_аналитики'!BN3596,MeanMinAge10))),0)</f>
        <v/>
      </c>
      <c r="BO3537">
        <f>IF('01_Вводные'!$B$234="Да",IF(OR(('19_Расчет_аналитики'!BO3453-'19_Расчет_аналитики'!BO3481)=0,10&lt;='01_Вводные'!$B$297),0,('19_Расчет_аналитики'!BO3453-'19_Расчет_аналитики'!BO3481)*IF('01_Вводные'!$B$239="Да",MeanMinAge10+'19_Расчет_аналитики'!BO3596*SUMIF(ThresholdAge10,"&lt;"&amp;'19_Расчет_аналитики'!BO3596,WeightedRevAge10)-SUMIF(ThresholdAge10,"&lt;"&amp;'19_Расчет_аналитики'!BO3596,WeightedMinAge10),MAX(CapacityAge10*'01_Вводные'!$B$218*'19_Расчет_аналитики'!BO3596,MeanMinAge10))),0)</f>
        <v/>
      </c>
    </row>
    <row r="3538">
      <c r="B3538">
        <f>IF('01_Вводные'!$B$234="Да",IF(OR(('06_Сеть_и_дети'!B63-'06_Сеть_и_дети'!B91)=0,11&lt;='01_Вводные'!$B$297),0,('06_Сеть_и_дети'!B63-'06_Сеть_и_дети'!B91)*IF('01_Вводные'!$B$239="Да",MeanMinAge11+'19_Расчет_аналитики'!B3596*SUMIF(ThresholdAge11,"&lt;"&amp;'19_Расчет_аналитики'!B3596,WeightedRevAge11)-SUMIF(ThresholdAge11,"&lt;"&amp;'19_Расчет_аналитики'!B3596,WeightedMinAge11),MAX(CapacityAge11*'01_Вводные'!$B$218*'19_Расчет_аналитики'!B3596,MeanMinAge11))),0)</f>
        <v/>
      </c>
      <c r="C3538">
        <f>IF('01_Вводные'!$B$234="Да",IF(OR(('06_Сеть_и_дети'!C63-'06_Сеть_и_дети'!C91)=0,11&lt;='01_Вводные'!$B$297),0,('06_Сеть_и_дети'!C63-'06_Сеть_и_дети'!C91)*IF('01_Вводные'!$B$239="Да",MeanMinAge11+'19_Расчет_аналитики'!C3596*SUMIF(ThresholdAge11,"&lt;"&amp;'19_Расчет_аналитики'!C3596,WeightedRevAge11)-SUMIF(ThresholdAge11,"&lt;"&amp;'19_Расчет_аналитики'!C3596,WeightedMinAge11),MAX(CapacityAge11*'01_Вводные'!$B$218*'19_Расчет_аналитики'!C3596,MeanMinAge11))),0)</f>
        <v/>
      </c>
      <c r="D3538">
        <f>IF('01_Вводные'!$B$234="Да",IF(OR(('06_Сеть_и_дети'!D63-'06_Сеть_и_дети'!D91)=0,11&lt;='01_Вводные'!$B$297),0,('06_Сеть_и_дети'!D63-'06_Сеть_и_дети'!D91)*IF('01_Вводные'!$B$239="Да",MeanMinAge11+'19_Расчет_аналитики'!D3596*SUMIF(ThresholdAge11,"&lt;"&amp;'19_Расчет_аналитики'!D3596,WeightedRevAge11)-SUMIF(ThresholdAge11,"&lt;"&amp;'19_Расчет_аналитики'!D3596,WeightedMinAge11),MAX(CapacityAge11*'01_Вводные'!$B$218*'19_Расчет_аналитики'!D3596,MeanMinAge11))),0)</f>
        <v/>
      </c>
      <c r="E3538">
        <f>IF('01_Вводные'!$B$234="Да",IF(OR(('06_Сеть_и_дети'!E63-'06_Сеть_и_дети'!E91)=0,11&lt;='01_Вводные'!$B$297),0,('06_Сеть_и_дети'!E63-'06_Сеть_и_дети'!E91)*IF('01_Вводные'!$B$239="Да",MeanMinAge11+'19_Расчет_аналитики'!E3596*SUMIF(ThresholdAge11,"&lt;"&amp;'19_Расчет_аналитики'!E3596,WeightedRevAge11)-SUMIF(ThresholdAge11,"&lt;"&amp;'19_Расчет_аналитики'!E3596,WeightedMinAge11),MAX(CapacityAge11*'01_Вводные'!$B$218*'19_Расчет_аналитики'!E3596,MeanMinAge11))),0)</f>
        <v/>
      </c>
      <c r="F3538">
        <f>IF('01_Вводные'!$B$234="Да",IF(OR(('06_Сеть_и_дети'!F63-'06_Сеть_и_дети'!F91)=0,11&lt;='01_Вводные'!$B$297),0,('06_Сеть_и_дети'!F63-'06_Сеть_и_дети'!F91)*IF('01_Вводные'!$B$239="Да",MeanMinAge11+'19_Расчет_аналитики'!F3596*SUMIF(ThresholdAge11,"&lt;"&amp;'19_Расчет_аналитики'!F3596,WeightedRevAge11)-SUMIF(ThresholdAge11,"&lt;"&amp;'19_Расчет_аналитики'!F3596,WeightedMinAge11),MAX(CapacityAge11*'01_Вводные'!$B$218*'19_Расчет_аналитики'!F3596,MeanMinAge11))),0)</f>
        <v/>
      </c>
      <c r="G3538">
        <f>IF('01_Вводные'!$B$234="Да",IF(OR(('06_Сеть_и_дети'!G63-'06_Сеть_и_дети'!G91)=0,11&lt;='01_Вводные'!$B$297),0,('06_Сеть_и_дети'!G63-'06_Сеть_и_дети'!G91)*IF('01_Вводные'!$B$239="Да",MeanMinAge11+'19_Расчет_аналитики'!G3596*SUMIF(ThresholdAge11,"&lt;"&amp;'19_Расчет_аналитики'!G3596,WeightedRevAge11)-SUMIF(ThresholdAge11,"&lt;"&amp;'19_Расчет_аналитики'!G3596,WeightedMinAge11),MAX(CapacityAge11*'01_Вводные'!$B$218*'19_Расчет_аналитики'!G3596,MeanMinAge11))),0)</f>
        <v/>
      </c>
      <c r="H3538">
        <f>IF('01_Вводные'!$B$234="Да",IF(OR(('06_Сеть_и_дети'!H63-'06_Сеть_и_дети'!H91)=0,11&lt;='01_Вводные'!$B$297),0,('06_Сеть_и_дети'!H63-'06_Сеть_и_дети'!H91)*IF('01_Вводные'!$B$239="Да",MeanMinAge11+'19_Расчет_аналитики'!H3596*SUMIF(ThresholdAge11,"&lt;"&amp;'19_Расчет_аналитики'!H3596,WeightedRevAge11)-SUMIF(ThresholdAge11,"&lt;"&amp;'19_Расчет_аналитики'!H3596,WeightedMinAge11),MAX(CapacityAge11*'01_Вводные'!$B$218*'19_Расчет_аналитики'!H3596,MeanMinAge11))),0)</f>
        <v/>
      </c>
      <c r="I3538">
        <f>IF('01_Вводные'!$B$234="Да",IF(OR(('06_Сеть_и_дети'!I63-'06_Сеть_и_дети'!I91)=0,11&lt;='01_Вводные'!$B$297),0,('06_Сеть_и_дети'!I63-'06_Сеть_и_дети'!I91)*IF('01_Вводные'!$B$239="Да",MeanMinAge11+'19_Расчет_аналитики'!I3596*SUMIF(ThresholdAge11,"&lt;"&amp;'19_Расчет_аналитики'!I3596,WeightedRevAge11)-SUMIF(ThresholdAge11,"&lt;"&amp;'19_Расчет_аналитики'!I3596,WeightedMinAge11),MAX(CapacityAge11*'01_Вводные'!$B$218*'19_Расчет_аналитики'!I3596,MeanMinAge11))),0)</f>
        <v/>
      </c>
      <c r="J3538">
        <f>IF('01_Вводные'!$B$234="Да",IF(OR(('06_Сеть_и_дети'!J63-'06_Сеть_и_дети'!J91)=0,11&lt;='01_Вводные'!$B$297),0,('06_Сеть_и_дети'!J63-'06_Сеть_и_дети'!J91)*IF('01_Вводные'!$B$239="Да",MeanMinAge11+'19_Расчет_аналитики'!J3596*SUMIF(ThresholdAge11,"&lt;"&amp;'19_Расчет_аналитики'!J3596,WeightedRevAge11)-SUMIF(ThresholdAge11,"&lt;"&amp;'19_Расчет_аналитики'!J3596,WeightedMinAge11),MAX(CapacityAge11*'01_Вводные'!$B$218*'19_Расчет_аналитики'!J3596,MeanMinAge11))),0)</f>
        <v/>
      </c>
      <c r="K3538">
        <f>IF('01_Вводные'!$B$234="Да",IF(OR(('06_Сеть_и_дети'!K63-'06_Сеть_и_дети'!K91)=0,11&lt;='01_Вводные'!$B$297),0,('06_Сеть_и_дети'!K63-'06_Сеть_и_дети'!K91)*IF('01_Вводные'!$B$239="Да",MeanMinAge11+'19_Расчет_аналитики'!K3596*SUMIF(ThresholdAge11,"&lt;"&amp;'19_Расчет_аналитики'!K3596,WeightedRevAge11)-SUMIF(ThresholdAge11,"&lt;"&amp;'19_Расчет_аналитики'!K3596,WeightedMinAge11),MAX(CapacityAge11*'01_Вводные'!$B$218*'19_Расчет_аналитики'!K3596,MeanMinAge11))),0)</f>
        <v/>
      </c>
      <c r="L3538">
        <f>IF('01_Вводные'!$B$234="Да",IF(OR(('19_Расчет_аналитики'!L3454-'19_Расчет_аналитики'!L3482)=0,11&lt;='01_Вводные'!$B$297),0,('19_Расчет_аналитики'!L3454-'19_Расчет_аналитики'!L3482)*IF('01_Вводные'!$B$239="Да",MeanMinAge11+'19_Расчет_аналитики'!L3596*SUMIF(ThresholdAge11,"&lt;"&amp;'19_Расчет_аналитики'!L3596,WeightedRevAge11)-SUMIF(ThresholdAge11,"&lt;"&amp;'19_Расчет_аналитики'!L3596,WeightedMinAge11),MAX(CapacityAge11*'01_Вводные'!$B$218*'19_Расчет_аналитики'!L3596,MeanMinAge11))),0)</f>
        <v/>
      </c>
      <c r="M3538">
        <f>IF('01_Вводные'!$B$234="Да",IF(OR(('19_Расчет_аналитики'!M3454-'19_Расчет_аналитики'!M3482)=0,11&lt;='01_Вводные'!$B$297),0,('19_Расчет_аналитики'!M3454-'19_Расчет_аналитики'!M3482)*IF('01_Вводные'!$B$239="Да",MeanMinAge11+'19_Расчет_аналитики'!M3596*SUMIF(ThresholdAge11,"&lt;"&amp;'19_Расчет_аналитики'!M3596,WeightedRevAge11)-SUMIF(ThresholdAge11,"&lt;"&amp;'19_Расчет_аналитики'!M3596,WeightedMinAge11),MAX(CapacityAge11*'01_Вводные'!$B$218*'19_Расчет_аналитики'!M3596,MeanMinAge11))),0)</f>
        <v/>
      </c>
      <c r="N3538">
        <f>IF('01_Вводные'!$B$234="Да",IF(OR(('19_Расчет_аналитики'!N3454-'19_Расчет_аналитики'!N3482)=0,11&lt;='01_Вводные'!$B$297),0,('19_Расчет_аналитики'!N3454-'19_Расчет_аналитики'!N3482)*IF('01_Вводные'!$B$239="Да",MeanMinAge11+'19_Расчет_аналитики'!N3596*SUMIF(ThresholdAge11,"&lt;"&amp;'19_Расчет_аналитики'!N3596,WeightedRevAge11)-SUMIF(ThresholdAge11,"&lt;"&amp;'19_Расчет_аналитики'!N3596,WeightedMinAge11),MAX(CapacityAge11*'01_Вводные'!$B$218*'19_Расчет_аналитики'!N3596,MeanMinAge11))),0)</f>
        <v/>
      </c>
      <c r="O3538">
        <f>IF('01_Вводные'!$B$234="Да",IF(OR(('19_Расчет_аналитики'!O3454-'19_Расчет_аналитики'!O3482)=0,11&lt;='01_Вводные'!$B$297),0,('19_Расчет_аналитики'!O3454-'19_Расчет_аналитики'!O3482)*IF('01_Вводные'!$B$239="Да",MeanMinAge11+'19_Расчет_аналитики'!O3596*SUMIF(ThresholdAge11,"&lt;"&amp;'19_Расчет_аналитики'!O3596,WeightedRevAge11)-SUMIF(ThresholdAge11,"&lt;"&amp;'19_Расчет_аналитики'!O3596,WeightedMinAge11),MAX(CapacityAge11*'01_Вводные'!$B$218*'19_Расчет_аналитики'!O3596,MeanMinAge11))),0)</f>
        <v/>
      </c>
      <c r="P3538">
        <f>IF('01_Вводные'!$B$234="Да",IF(OR(('19_Расчет_аналитики'!P3454-'19_Расчет_аналитики'!P3482)=0,11&lt;='01_Вводные'!$B$297),0,('19_Расчет_аналитики'!P3454-'19_Расчет_аналитики'!P3482)*IF('01_Вводные'!$B$239="Да",MeanMinAge11+'19_Расчет_аналитики'!P3596*SUMIF(ThresholdAge11,"&lt;"&amp;'19_Расчет_аналитики'!P3596,WeightedRevAge11)-SUMIF(ThresholdAge11,"&lt;"&amp;'19_Расчет_аналитики'!P3596,WeightedMinAge11),MAX(CapacityAge11*'01_Вводные'!$B$218*'19_Расчет_аналитики'!P3596,MeanMinAge11))),0)</f>
        <v/>
      </c>
      <c r="Q3538">
        <f>IF('01_Вводные'!$B$234="Да",IF(OR(('19_Расчет_аналитики'!Q3454-'19_Расчет_аналитики'!Q3482)=0,11&lt;='01_Вводные'!$B$297),0,('19_Расчет_аналитики'!Q3454-'19_Расчет_аналитики'!Q3482)*IF('01_Вводные'!$B$239="Да",MeanMinAge11+'19_Расчет_аналитики'!Q3596*SUMIF(ThresholdAge11,"&lt;"&amp;'19_Расчет_аналитики'!Q3596,WeightedRevAge11)-SUMIF(ThresholdAge11,"&lt;"&amp;'19_Расчет_аналитики'!Q3596,WeightedMinAge11),MAX(CapacityAge11*'01_Вводные'!$B$218*'19_Расчет_аналитики'!Q3596,MeanMinAge11))),0)</f>
        <v/>
      </c>
      <c r="R3538">
        <f>IF('01_Вводные'!$B$234="Да",IF(OR(('19_Расчет_аналитики'!R3454-'19_Расчет_аналитики'!R3482)=0,11&lt;='01_Вводные'!$B$297),0,('19_Расчет_аналитики'!R3454-'19_Расчет_аналитики'!R3482)*IF('01_Вводные'!$B$239="Да",MeanMinAge11+'19_Расчет_аналитики'!R3596*SUMIF(ThresholdAge11,"&lt;"&amp;'19_Расчет_аналитики'!R3596,WeightedRevAge11)-SUMIF(ThresholdAge11,"&lt;"&amp;'19_Расчет_аналитики'!R3596,WeightedMinAge11),MAX(CapacityAge11*'01_Вводные'!$B$218*'19_Расчет_аналитики'!R3596,MeanMinAge11))),0)</f>
        <v/>
      </c>
      <c r="S3538">
        <f>IF('01_Вводные'!$B$234="Да",IF(OR(('19_Расчет_аналитики'!S3454-'19_Расчет_аналитики'!S3482)=0,11&lt;='01_Вводные'!$B$297),0,('19_Расчет_аналитики'!S3454-'19_Расчет_аналитики'!S3482)*IF('01_Вводные'!$B$239="Да",MeanMinAge11+'19_Расчет_аналитики'!S3596*SUMIF(ThresholdAge11,"&lt;"&amp;'19_Расчет_аналитики'!S3596,WeightedRevAge11)-SUMIF(ThresholdAge11,"&lt;"&amp;'19_Расчет_аналитики'!S3596,WeightedMinAge11),MAX(CapacityAge11*'01_Вводные'!$B$218*'19_Расчет_аналитики'!S3596,MeanMinAge11))),0)</f>
        <v/>
      </c>
      <c r="T3538">
        <f>IF('01_Вводные'!$B$234="Да",IF(OR(('19_Расчет_аналитики'!T3454-'19_Расчет_аналитики'!T3482)=0,11&lt;='01_Вводные'!$B$297),0,('19_Расчет_аналитики'!T3454-'19_Расчет_аналитики'!T3482)*IF('01_Вводные'!$B$239="Да",MeanMinAge11+'19_Расчет_аналитики'!T3596*SUMIF(ThresholdAge11,"&lt;"&amp;'19_Расчет_аналитики'!T3596,WeightedRevAge11)-SUMIF(ThresholdAge11,"&lt;"&amp;'19_Расчет_аналитики'!T3596,WeightedMinAge11),MAX(CapacityAge11*'01_Вводные'!$B$218*'19_Расчет_аналитики'!T3596,MeanMinAge11))),0)</f>
        <v/>
      </c>
      <c r="U3538">
        <f>IF('01_Вводные'!$B$234="Да",IF(OR(('19_Расчет_аналитики'!U3454-'19_Расчет_аналитики'!U3482)=0,11&lt;='01_Вводные'!$B$297),0,('19_Расчет_аналитики'!U3454-'19_Расчет_аналитики'!U3482)*IF('01_Вводные'!$B$239="Да",MeanMinAge11+'19_Расчет_аналитики'!U3596*SUMIF(ThresholdAge11,"&lt;"&amp;'19_Расчет_аналитики'!U3596,WeightedRevAge11)-SUMIF(ThresholdAge11,"&lt;"&amp;'19_Расчет_аналитики'!U3596,WeightedMinAge11),MAX(CapacityAge11*'01_Вводные'!$B$218*'19_Расчет_аналитики'!U3596,MeanMinAge11))),0)</f>
        <v/>
      </c>
      <c r="V3538">
        <f>IF('01_Вводные'!$B$234="Да",IF(OR(('19_Расчет_аналитики'!V3454-'19_Расчет_аналитики'!V3482)=0,11&lt;='01_Вводные'!$B$297),0,('19_Расчет_аналитики'!V3454-'19_Расчет_аналитики'!V3482)*IF('01_Вводные'!$B$239="Да",MeanMinAge11+'19_Расчет_аналитики'!V3596*SUMIF(ThresholdAge11,"&lt;"&amp;'19_Расчет_аналитики'!V3596,WeightedRevAge11)-SUMIF(ThresholdAge11,"&lt;"&amp;'19_Расчет_аналитики'!V3596,WeightedMinAge11),MAX(CapacityAge11*'01_Вводные'!$B$218*'19_Расчет_аналитики'!V3596,MeanMinAge11))),0)</f>
        <v/>
      </c>
      <c r="W3538">
        <f>IF('01_Вводные'!$B$234="Да",IF(OR(('19_Расчет_аналитики'!W3454-'19_Расчет_аналитики'!W3482)=0,11&lt;='01_Вводные'!$B$297),0,('19_Расчет_аналитики'!W3454-'19_Расчет_аналитики'!W3482)*IF('01_Вводные'!$B$239="Да",MeanMinAge11+'19_Расчет_аналитики'!W3596*SUMIF(ThresholdAge11,"&lt;"&amp;'19_Расчет_аналитики'!W3596,WeightedRevAge11)-SUMIF(ThresholdAge11,"&lt;"&amp;'19_Расчет_аналитики'!W3596,WeightedMinAge11),MAX(CapacityAge11*'01_Вводные'!$B$218*'19_Расчет_аналитики'!W3596,MeanMinAge11))),0)</f>
        <v/>
      </c>
      <c r="X3538">
        <f>IF('01_Вводные'!$B$234="Да",IF(OR(('19_Расчет_аналитики'!X3454-'19_Расчет_аналитики'!X3482)=0,11&lt;='01_Вводные'!$B$297),0,('19_Расчет_аналитики'!X3454-'19_Расчет_аналитики'!X3482)*IF('01_Вводные'!$B$239="Да",MeanMinAge11+'19_Расчет_аналитики'!X3596*SUMIF(ThresholdAge11,"&lt;"&amp;'19_Расчет_аналитики'!X3596,WeightedRevAge11)-SUMIF(ThresholdAge11,"&lt;"&amp;'19_Расчет_аналитики'!X3596,WeightedMinAge11),MAX(CapacityAge11*'01_Вводные'!$B$218*'19_Расчет_аналитики'!X3596,MeanMinAge11))),0)</f>
        <v/>
      </c>
      <c r="Y3538">
        <f>IF('01_Вводные'!$B$234="Да",IF(OR(('19_Расчет_аналитики'!Y3454-'19_Расчет_аналитики'!Y3482)=0,11&lt;='01_Вводные'!$B$297),0,('19_Расчет_аналитики'!Y3454-'19_Расчет_аналитики'!Y3482)*IF('01_Вводные'!$B$239="Да",MeanMinAge11+'19_Расчет_аналитики'!Y3596*SUMIF(ThresholdAge11,"&lt;"&amp;'19_Расчет_аналитики'!Y3596,WeightedRevAge11)-SUMIF(ThresholdAge11,"&lt;"&amp;'19_Расчет_аналитики'!Y3596,WeightedMinAge11),MAX(CapacityAge11*'01_Вводные'!$B$218*'19_Расчет_аналитики'!Y3596,MeanMinAge11))),0)</f>
        <v/>
      </c>
      <c r="Z3538">
        <f>IF('01_Вводные'!$B$234="Да",IF(OR(('19_Расчет_аналитики'!Z3454-'19_Расчет_аналитики'!Z3482)=0,11&lt;='01_Вводные'!$B$297),0,('19_Расчет_аналитики'!Z3454-'19_Расчет_аналитики'!Z3482)*IF('01_Вводные'!$B$239="Да",MeanMinAge11+'19_Расчет_аналитики'!Z3596*SUMIF(ThresholdAge11,"&lt;"&amp;'19_Расчет_аналитики'!Z3596,WeightedRevAge11)-SUMIF(ThresholdAge11,"&lt;"&amp;'19_Расчет_аналитики'!Z3596,WeightedMinAge11),MAX(CapacityAge11*'01_Вводные'!$B$218*'19_Расчет_аналитики'!Z3596,MeanMinAge11))),0)</f>
        <v/>
      </c>
      <c r="AA3538">
        <f>IF('01_Вводные'!$B$234="Да",IF(OR(('19_Расчет_аналитики'!AA3454-'19_Расчет_аналитики'!AA3482)=0,11&lt;='01_Вводные'!$B$297),0,('19_Расчет_аналитики'!AA3454-'19_Расчет_аналитики'!AA3482)*IF('01_Вводные'!$B$239="Да",MeanMinAge11+'19_Расчет_аналитики'!AA3596*SUMIF(ThresholdAge11,"&lt;"&amp;'19_Расчет_аналитики'!AA3596,WeightedRevAge11)-SUMIF(ThresholdAge11,"&lt;"&amp;'19_Расчет_аналитики'!AA3596,WeightedMinAge11),MAX(CapacityAge11*'01_Вводные'!$B$218*'19_Расчет_аналитики'!AA3596,MeanMinAge11))),0)</f>
        <v/>
      </c>
      <c r="AB3538">
        <f>IF('01_Вводные'!$B$234="Да",IF(OR(('19_Расчет_аналитики'!AB3454-'19_Расчет_аналитики'!AB3482)=0,11&lt;='01_Вводные'!$B$297),0,('19_Расчет_аналитики'!AB3454-'19_Расчет_аналитики'!AB3482)*IF('01_Вводные'!$B$239="Да",MeanMinAge11+'19_Расчет_аналитики'!AB3596*SUMIF(ThresholdAge11,"&lt;"&amp;'19_Расчет_аналитики'!AB3596,WeightedRevAge11)-SUMIF(ThresholdAge11,"&lt;"&amp;'19_Расчет_аналитики'!AB3596,WeightedMinAge11),MAX(CapacityAge11*'01_Вводные'!$B$218*'19_Расчет_аналитики'!AB3596,MeanMinAge11))),0)</f>
        <v/>
      </c>
      <c r="AC3538">
        <f>IF('01_Вводные'!$B$234="Да",IF(OR(('19_Расчет_аналитики'!AC3454-'19_Расчет_аналитики'!AC3482)=0,11&lt;='01_Вводные'!$B$297),0,('19_Расчет_аналитики'!AC3454-'19_Расчет_аналитики'!AC3482)*IF('01_Вводные'!$B$239="Да",MeanMinAge11+'19_Расчет_аналитики'!AC3596*SUMIF(ThresholdAge11,"&lt;"&amp;'19_Расчет_аналитики'!AC3596,WeightedRevAge11)-SUMIF(ThresholdAge11,"&lt;"&amp;'19_Расчет_аналитики'!AC3596,WeightedMinAge11),MAX(CapacityAge11*'01_Вводные'!$B$218*'19_Расчет_аналитики'!AC3596,MeanMinAge11))),0)</f>
        <v/>
      </c>
      <c r="AD3538">
        <f>IF('01_Вводные'!$B$234="Да",IF(OR(('19_Расчет_аналитики'!AD3454-'19_Расчет_аналитики'!AD3482)=0,11&lt;='01_Вводные'!$B$297),0,('19_Расчет_аналитики'!AD3454-'19_Расчет_аналитики'!AD3482)*IF('01_Вводные'!$B$239="Да",MeanMinAge11+'19_Расчет_аналитики'!AD3596*SUMIF(ThresholdAge11,"&lt;"&amp;'19_Расчет_аналитики'!AD3596,WeightedRevAge11)-SUMIF(ThresholdAge11,"&lt;"&amp;'19_Расчет_аналитики'!AD3596,WeightedMinAge11),MAX(CapacityAge11*'01_Вводные'!$B$218*'19_Расчет_аналитики'!AD3596,MeanMinAge11))),0)</f>
        <v/>
      </c>
      <c r="AE3538">
        <f>IF('01_Вводные'!$B$234="Да",IF(OR(('19_Расчет_аналитики'!AE3454-'19_Расчет_аналитики'!AE3482)=0,11&lt;='01_Вводные'!$B$297),0,('19_Расчет_аналитики'!AE3454-'19_Расчет_аналитики'!AE3482)*IF('01_Вводные'!$B$239="Да",MeanMinAge11+'19_Расчет_аналитики'!AE3596*SUMIF(ThresholdAge11,"&lt;"&amp;'19_Расчет_аналитики'!AE3596,WeightedRevAge11)-SUMIF(ThresholdAge11,"&lt;"&amp;'19_Расчет_аналитики'!AE3596,WeightedMinAge11),MAX(CapacityAge11*'01_Вводные'!$B$218*'19_Расчет_аналитики'!AE3596,MeanMinAge11))),0)</f>
        <v/>
      </c>
      <c r="AF3538">
        <f>IF('01_Вводные'!$B$234="Да",IF(OR(('19_Расчет_аналитики'!AF3454-'19_Расчет_аналитики'!AF3482)=0,11&lt;='01_Вводные'!$B$297),0,('19_Расчет_аналитики'!AF3454-'19_Расчет_аналитики'!AF3482)*IF('01_Вводные'!$B$239="Да",MeanMinAge11+'19_Расчет_аналитики'!AF3596*SUMIF(ThresholdAge11,"&lt;"&amp;'19_Расчет_аналитики'!AF3596,WeightedRevAge11)-SUMIF(ThresholdAge11,"&lt;"&amp;'19_Расчет_аналитики'!AF3596,WeightedMinAge11),MAX(CapacityAge11*'01_Вводные'!$B$218*'19_Расчет_аналитики'!AF3596,MeanMinAge11))),0)</f>
        <v/>
      </c>
      <c r="AG3538">
        <f>IF('01_Вводные'!$B$234="Да",IF(OR(('19_Расчет_аналитики'!AG3454-'19_Расчет_аналитики'!AG3482)=0,11&lt;='01_Вводные'!$B$297),0,('19_Расчет_аналитики'!AG3454-'19_Расчет_аналитики'!AG3482)*IF('01_Вводные'!$B$239="Да",MeanMinAge11+'19_Расчет_аналитики'!AG3596*SUMIF(ThresholdAge11,"&lt;"&amp;'19_Расчет_аналитики'!AG3596,WeightedRevAge11)-SUMIF(ThresholdAge11,"&lt;"&amp;'19_Расчет_аналитики'!AG3596,WeightedMinAge11),MAX(CapacityAge11*'01_Вводные'!$B$218*'19_Расчет_аналитики'!AG3596,MeanMinAge11))),0)</f>
        <v/>
      </c>
      <c r="AH3538">
        <f>IF('01_Вводные'!$B$234="Да",IF(OR(('19_Расчет_аналитики'!AH3454-'19_Расчет_аналитики'!AH3482)=0,11&lt;='01_Вводные'!$B$297),0,('19_Расчет_аналитики'!AH3454-'19_Расчет_аналитики'!AH3482)*IF('01_Вводные'!$B$239="Да",MeanMinAge11+'19_Расчет_аналитики'!AH3596*SUMIF(ThresholdAge11,"&lt;"&amp;'19_Расчет_аналитики'!AH3596,WeightedRevAge11)-SUMIF(ThresholdAge11,"&lt;"&amp;'19_Расчет_аналитики'!AH3596,WeightedMinAge11),MAX(CapacityAge11*'01_Вводные'!$B$218*'19_Расчет_аналитики'!AH3596,MeanMinAge11))),0)</f>
        <v/>
      </c>
      <c r="AI3538">
        <f>IF('01_Вводные'!$B$234="Да",IF(OR(('19_Расчет_аналитики'!AI3454-'19_Расчет_аналитики'!AI3482)=0,11&lt;='01_Вводные'!$B$297),0,('19_Расчет_аналитики'!AI3454-'19_Расчет_аналитики'!AI3482)*IF('01_Вводные'!$B$239="Да",MeanMinAge11+'19_Расчет_аналитики'!AI3596*SUMIF(ThresholdAge11,"&lt;"&amp;'19_Расчет_аналитики'!AI3596,WeightedRevAge11)-SUMIF(ThresholdAge11,"&lt;"&amp;'19_Расчет_аналитики'!AI3596,WeightedMinAge11),MAX(CapacityAge11*'01_Вводные'!$B$218*'19_Расчет_аналитики'!AI3596,MeanMinAge11))),0)</f>
        <v/>
      </c>
      <c r="AJ3538">
        <f>IF('01_Вводные'!$B$234="Да",IF(OR(('19_Расчет_аналитики'!AJ3454-'19_Расчет_аналитики'!AJ3482)=0,11&lt;='01_Вводные'!$B$297),0,('19_Расчет_аналитики'!AJ3454-'19_Расчет_аналитики'!AJ3482)*IF('01_Вводные'!$B$239="Да",MeanMinAge11+'19_Расчет_аналитики'!AJ3596*SUMIF(ThresholdAge11,"&lt;"&amp;'19_Расчет_аналитики'!AJ3596,WeightedRevAge11)-SUMIF(ThresholdAge11,"&lt;"&amp;'19_Расчет_аналитики'!AJ3596,WeightedMinAge11),MAX(CapacityAge11*'01_Вводные'!$B$218*'19_Расчет_аналитики'!AJ3596,MeanMinAge11))),0)</f>
        <v/>
      </c>
      <c r="AK3538">
        <f>IF('01_Вводные'!$B$234="Да",IF(OR(('19_Расчет_аналитики'!AK3454-'19_Расчет_аналитики'!AK3482)=0,11&lt;='01_Вводные'!$B$297),0,('19_Расчет_аналитики'!AK3454-'19_Расчет_аналитики'!AK3482)*IF('01_Вводные'!$B$239="Да",MeanMinAge11+'19_Расчет_аналитики'!AK3596*SUMIF(ThresholdAge11,"&lt;"&amp;'19_Расчет_аналитики'!AK3596,WeightedRevAge11)-SUMIF(ThresholdAge11,"&lt;"&amp;'19_Расчет_аналитики'!AK3596,WeightedMinAge11),MAX(CapacityAge11*'01_Вводные'!$B$218*'19_Расчет_аналитики'!AK3596,MeanMinAge11))),0)</f>
        <v/>
      </c>
      <c r="AL3538">
        <f>IF('01_Вводные'!$B$234="Да",IF(OR(('19_Расчет_аналитики'!AL3454-'19_Расчет_аналитики'!AL3482)=0,11&lt;='01_Вводные'!$B$297),0,('19_Расчет_аналитики'!AL3454-'19_Расчет_аналитики'!AL3482)*IF('01_Вводные'!$B$239="Да",MeanMinAge11+'19_Расчет_аналитики'!AL3596*SUMIF(ThresholdAge11,"&lt;"&amp;'19_Расчет_аналитики'!AL3596,WeightedRevAge11)-SUMIF(ThresholdAge11,"&lt;"&amp;'19_Расчет_аналитики'!AL3596,WeightedMinAge11),MAX(CapacityAge11*'01_Вводные'!$B$218*'19_Расчет_аналитики'!AL3596,MeanMinAge11))),0)</f>
        <v/>
      </c>
      <c r="AM3538">
        <f>IF('01_Вводные'!$B$234="Да",IF(OR(('19_Расчет_аналитики'!AM3454-'19_Расчет_аналитики'!AM3482)=0,11&lt;='01_Вводные'!$B$297),0,('19_Расчет_аналитики'!AM3454-'19_Расчет_аналитики'!AM3482)*IF('01_Вводные'!$B$239="Да",MeanMinAge11+'19_Расчет_аналитики'!AM3596*SUMIF(ThresholdAge11,"&lt;"&amp;'19_Расчет_аналитики'!AM3596,WeightedRevAge11)-SUMIF(ThresholdAge11,"&lt;"&amp;'19_Расчет_аналитики'!AM3596,WeightedMinAge11),MAX(CapacityAge11*'01_Вводные'!$B$218*'19_Расчет_аналитики'!AM3596,MeanMinAge11))),0)</f>
        <v/>
      </c>
      <c r="AN3538">
        <f>IF('01_Вводные'!$B$234="Да",IF(OR(('19_Расчет_аналитики'!AN3454-'19_Расчет_аналитики'!AN3482)=0,11&lt;='01_Вводные'!$B$297),0,('19_Расчет_аналитики'!AN3454-'19_Расчет_аналитики'!AN3482)*IF('01_Вводные'!$B$239="Да",MeanMinAge11+'19_Расчет_аналитики'!AN3596*SUMIF(ThresholdAge11,"&lt;"&amp;'19_Расчет_аналитики'!AN3596,WeightedRevAge11)-SUMIF(ThresholdAge11,"&lt;"&amp;'19_Расчет_аналитики'!AN3596,WeightedMinAge11),MAX(CapacityAge11*'01_Вводные'!$B$218*'19_Расчет_аналитики'!AN3596,MeanMinAge11))),0)</f>
        <v/>
      </c>
      <c r="AO3538">
        <f>IF('01_Вводные'!$B$234="Да",IF(OR(('19_Расчет_аналитики'!AO3454-'19_Расчет_аналитики'!AO3482)=0,11&lt;='01_Вводные'!$B$297),0,('19_Расчет_аналитики'!AO3454-'19_Расчет_аналитики'!AO3482)*IF('01_Вводные'!$B$239="Да",MeanMinAge11+'19_Расчет_аналитики'!AO3596*SUMIF(ThresholdAge11,"&lt;"&amp;'19_Расчет_аналитики'!AO3596,WeightedRevAge11)-SUMIF(ThresholdAge11,"&lt;"&amp;'19_Расчет_аналитики'!AO3596,WeightedMinAge11),MAX(CapacityAge11*'01_Вводные'!$B$218*'19_Расчет_аналитики'!AO3596,MeanMinAge11))),0)</f>
        <v/>
      </c>
      <c r="AP3538">
        <f>IF('01_Вводные'!$B$234="Да",IF(OR(('19_Расчет_аналитики'!AP3454-'19_Расчет_аналитики'!AP3482)=0,11&lt;='01_Вводные'!$B$297),0,('19_Расчет_аналитики'!AP3454-'19_Расчет_аналитики'!AP3482)*IF('01_Вводные'!$B$239="Да",MeanMinAge11+'19_Расчет_аналитики'!AP3596*SUMIF(ThresholdAge11,"&lt;"&amp;'19_Расчет_аналитики'!AP3596,WeightedRevAge11)-SUMIF(ThresholdAge11,"&lt;"&amp;'19_Расчет_аналитики'!AP3596,WeightedMinAge11),MAX(CapacityAge11*'01_Вводные'!$B$218*'19_Расчет_аналитики'!AP3596,MeanMinAge11))),0)</f>
        <v/>
      </c>
      <c r="AQ3538">
        <f>IF('01_Вводные'!$B$234="Да",IF(OR(('19_Расчет_аналитики'!AQ3454-'19_Расчет_аналитики'!AQ3482)=0,11&lt;='01_Вводные'!$B$297),0,('19_Расчет_аналитики'!AQ3454-'19_Расчет_аналитики'!AQ3482)*IF('01_Вводные'!$B$239="Да",MeanMinAge11+'19_Расчет_аналитики'!AQ3596*SUMIF(ThresholdAge11,"&lt;"&amp;'19_Расчет_аналитики'!AQ3596,WeightedRevAge11)-SUMIF(ThresholdAge11,"&lt;"&amp;'19_Расчет_аналитики'!AQ3596,WeightedMinAge11),MAX(CapacityAge11*'01_Вводные'!$B$218*'19_Расчет_аналитики'!AQ3596,MeanMinAge11))),0)</f>
        <v/>
      </c>
      <c r="AR3538">
        <f>IF('01_Вводные'!$B$234="Да",IF(OR(('19_Расчет_аналитики'!AR3454-'19_Расчет_аналитики'!AR3482)=0,11&lt;='01_Вводные'!$B$297),0,('19_Расчет_аналитики'!AR3454-'19_Расчет_аналитики'!AR3482)*IF('01_Вводные'!$B$239="Да",MeanMinAge11+'19_Расчет_аналитики'!AR3596*SUMIF(ThresholdAge11,"&lt;"&amp;'19_Расчет_аналитики'!AR3596,WeightedRevAge11)-SUMIF(ThresholdAge11,"&lt;"&amp;'19_Расчет_аналитики'!AR3596,WeightedMinAge11),MAX(CapacityAge11*'01_Вводные'!$B$218*'19_Расчет_аналитики'!AR3596,MeanMinAge11))),0)</f>
        <v/>
      </c>
      <c r="AS3538">
        <f>IF('01_Вводные'!$B$234="Да",IF(OR(('19_Расчет_аналитики'!AS3454-'19_Расчет_аналитики'!AS3482)=0,11&lt;='01_Вводные'!$B$297),0,('19_Расчет_аналитики'!AS3454-'19_Расчет_аналитики'!AS3482)*IF('01_Вводные'!$B$239="Да",MeanMinAge11+'19_Расчет_аналитики'!AS3596*SUMIF(ThresholdAge11,"&lt;"&amp;'19_Расчет_аналитики'!AS3596,WeightedRevAge11)-SUMIF(ThresholdAge11,"&lt;"&amp;'19_Расчет_аналитики'!AS3596,WeightedMinAge11),MAX(CapacityAge11*'01_Вводные'!$B$218*'19_Расчет_аналитики'!AS3596,MeanMinAge11))),0)</f>
        <v/>
      </c>
      <c r="AT3538">
        <f>IF('01_Вводные'!$B$234="Да",IF(OR(('19_Расчет_аналитики'!AT3454-'19_Расчет_аналитики'!AT3482)=0,11&lt;='01_Вводные'!$B$297),0,('19_Расчет_аналитики'!AT3454-'19_Расчет_аналитики'!AT3482)*IF('01_Вводные'!$B$239="Да",MeanMinAge11+'19_Расчет_аналитики'!AT3596*SUMIF(ThresholdAge11,"&lt;"&amp;'19_Расчет_аналитики'!AT3596,WeightedRevAge11)-SUMIF(ThresholdAge11,"&lt;"&amp;'19_Расчет_аналитики'!AT3596,WeightedMinAge11),MAX(CapacityAge11*'01_Вводные'!$B$218*'19_Расчет_аналитики'!AT3596,MeanMinAge11))),0)</f>
        <v/>
      </c>
      <c r="AU3538">
        <f>IF('01_Вводные'!$B$234="Да",IF(OR(('19_Расчет_аналитики'!AU3454-'19_Расчет_аналитики'!AU3482)=0,11&lt;='01_Вводные'!$B$297),0,('19_Расчет_аналитики'!AU3454-'19_Расчет_аналитики'!AU3482)*IF('01_Вводные'!$B$239="Да",MeanMinAge11+'19_Расчет_аналитики'!AU3596*SUMIF(ThresholdAge11,"&lt;"&amp;'19_Расчет_аналитики'!AU3596,WeightedRevAge11)-SUMIF(ThresholdAge11,"&lt;"&amp;'19_Расчет_аналитики'!AU3596,WeightedMinAge11),MAX(CapacityAge11*'01_Вводные'!$B$218*'19_Расчет_аналитики'!AU3596,MeanMinAge11))),0)</f>
        <v/>
      </c>
      <c r="AV3538">
        <f>IF('01_Вводные'!$B$234="Да",IF(OR(('19_Расчет_аналитики'!AV3454-'19_Расчет_аналитики'!AV3482)=0,11&lt;='01_Вводные'!$B$297),0,('19_Расчет_аналитики'!AV3454-'19_Расчет_аналитики'!AV3482)*IF('01_Вводные'!$B$239="Да",MeanMinAge11+'19_Расчет_аналитики'!AV3596*SUMIF(ThresholdAge11,"&lt;"&amp;'19_Расчет_аналитики'!AV3596,WeightedRevAge11)-SUMIF(ThresholdAge11,"&lt;"&amp;'19_Расчет_аналитики'!AV3596,WeightedMinAge11),MAX(CapacityAge11*'01_Вводные'!$B$218*'19_Расчет_аналитики'!AV3596,MeanMinAge11))),0)</f>
        <v/>
      </c>
      <c r="AW3538">
        <f>IF('01_Вводные'!$B$234="Да",IF(OR(('19_Расчет_аналитики'!AW3454-'19_Расчет_аналитики'!AW3482)=0,11&lt;='01_Вводные'!$B$297),0,('19_Расчет_аналитики'!AW3454-'19_Расчет_аналитики'!AW3482)*IF('01_Вводные'!$B$239="Да",MeanMinAge11+'19_Расчет_аналитики'!AW3596*SUMIF(ThresholdAge11,"&lt;"&amp;'19_Расчет_аналитики'!AW3596,WeightedRevAge11)-SUMIF(ThresholdAge11,"&lt;"&amp;'19_Расчет_аналитики'!AW3596,WeightedMinAge11),MAX(CapacityAge11*'01_Вводные'!$B$218*'19_Расчет_аналитики'!AW3596,MeanMinAge11))),0)</f>
        <v/>
      </c>
      <c r="AX3538">
        <f>IF('01_Вводные'!$B$234="Да",IF(OR(('19_Расчет_аналитики'!AX3454-'19_Расчет_аналитики'!AX3482)=0,11&lt;='01_Вводные'!$B$297),0,('19_Расчет_аналитики'!AX3454-'19_Расчет_аналитики'!AX3482)*IF('01_Вводные'!$B$239="Да",MeanMinAge11+'19_Расчет_аналитики'!AX3596*SUMIF(ThresholdAge11,"&lt;"&amp;'19_Расчет_аналитики'!AX3596,WeightedRevAge11)-SUMIF(ThresholdAge11,"&lt;"&amp;'19_Расчет_аналитики'!AX3596,WeightedMinAge11),MAX(CapacityAge11*'01_Вводные'!$B$218*'19_Расчет_аналитики'!AX3596,MeanMinAge11))),0)</f>
        <v/>
      </c>
      <c r="AY3538">
        <f>IF('01_Вводные'!$B$234="Да",IF(OR(('19_Расчет_аналитики'!AY3454-'19_Расчет_аналитики'!AY3482)=0,11&lt;='01_Вводные'!$B$297),0,('19_Расчет_аналитики'!AY3454-'19_Расчет_аналитики'!AY3482)*IF('01_Вводные'!$B$239="Да",MeanMinAge11+'19_Расчет_аналитики'!AY3596*SUMIF(ThresholdAge11,"&lt;"&amp;'19_Расчет_аналитики'!AY3596,WeightedRevAge11)-SUMIF(ThresholdAge11,"&lt;"&amp;'19_Расчет_аналитики'!AY3596,WeightedMinAge11),MAX(CapacityAge11*'01_Вводные'!$B$218*'19_Расчет_аналитики'!AY3596,MeanMinAge11))),0)</f>
        <v/>
      </c>
      <c r="AZ3538">
        <f>IF('01_Вводные'!$B$234="Да",IF(OR(('19_Расчет_аналитики'!AZ3454-'19_Расчет_аналитики'!AZ3482)=0,11&lt;='01_Вводные'!$B$297),0,('19_Расчет_аналитики'!AZ3454-'19_Расчет_аналитики'!AZ3482)*IF('01_Вводные'!$B$239="Да",MeanMinAge11+'19_Расчет_аналитики'!AZ3596*SUMIF(ThresholdAge11,"&lt;"&amp;'19_Расчет_аналитики'!AZ3596,WeightedRevAge11)-SUMIF(ThresholdAge11,"&lt;"&amp;'19_Расчет_аналитики'!AZ3596,WeightedMinAge11),MAX(CapacityAge11*'01_Вводные'!$B$218*'19_Расчет_аналитики'!AZ3596,MeanMinAge11))),0)</f>
        <v/>
      </c>
      <c r="BA3538">
        <f>IF('01_Вводные'!$B$234="Да",IF(OR(('19_Расчет_аналитики'!BA3454-'19_Расчет_аналитики'!BA3482)=0,11&lt;='01_Вводные'!$B$297),0,('19_Расчет_аналитики'!BA3454-'19_Расчет_аналитики'!BA3482)*IF('01_Вводные'!$B$239="Да",MeanMinAge11+'19_Расчет_аналитики'!BA3596*SUMIF(ThresholdAge11,"&lt;"&amp;'19_Расчет_аналитики'!BA3596,WeightedRevAge11)-SUMIF(ThresholdAge11,"&lt;"&amp;'19_Расчет_аналитики'!BA3596,WeightedMinAge11),MAX(CapacityAge11*'01_Вводные'!$B$218*'19_Расчет_аналитики'!BA3596,MeanMinAge11))),0)</f>
        <v/>
      </c>
      <c r="BB3538">
        <f>IF('01_Вводные'!$B$234="Да",IF(OR(('19_Расчет_аналитики'!BB3454-'19_Расчет_аналитики'!BB3482)=0,11&lt;='01_Вводные'!$B$297),0,('19_Расчет_аналитики'!BB3454-'19_Расчет_аналитики'!BB3482)*IF('01_Вводные'!$B$239="Да",MeanMinAge11+'19_Расчет_аналитики'!BB3596*SUMIF(ThresholdAge11,"&lt;"&amp;'19_Расчет_аналитики'!BB3596,WeightedRevAge11)-SUMIF(ThresholdAge11,"&lt;"&amp;'19_Расчет_аналитики'!BB3596,WeightedMinAge11),MAX(CapacityAge11*'01_Вводные'!$B$218*'19_Расчет_аналитики'!BB3596,MeanMinAge11))),0)</f>
        <v/>
      </c>
      <c r="BC3538">
        <f>IF('01_Вводные'!$B$234="Да",IF(OR(('19_Расчет_аналитики'!BC3454-'19_Расчет_аналитики'!BC3482)=0,11&lt;='01_Вводные'!$B$297),0,('19_Расчет_аналитики'!BC3454-'19_Расчет_аналитики'!BC3482)*IF('01_Вводные'!$B$239="Да",MeanMinAge11+'19_Расчет_аналитики'!BC3596*SUMIF(ThresholdAge11,"&lt;"&amp;'19_Расчет_аналитики'!BC3596,WeightedRevAge11)-SUMIF(ThresholdAge11,"&lt;"&amp;'19_Расчет_аналитики'!BC3596,WeightedMinAge11),MAX(CapacityAge11*'01_Вводные'!$B$218*'19_Расчет_аналитики'!BC3596,MeanMinAge11))),0)</f>
        <v/>
      </c>
      <c r="BD3538">
        <f>IF('01_Вводные'!$B$234="Да",IF(OR(('19_Расчет_аналитики'!BD3454-'19_Расчет_аналитики'!BD3482)=0,11&lt;='01_Вводные'!$B$297),0,('19_Расчет_аналитики'!BD3454-'19_Расчет_аналитики'!BD3482)*IF('01_Вводные'!$B$239="Да",MeanMinAge11+'19_Расчет_аналитики'!BD3596*SUMIF(ThresholdAge11,"&lt;"&amp;'19_Расчет_аналитики'!BD3596,WeightedRevAge11)-SUMIF(ThresholdAge11,"&lt;"&amp;'19_Расчет_аналитики'!BD3596,WeightedMinAge11),MAX(CapacityAge11*'01_Вводные'!$B$218*'19_Расчет_аналитики'!BD3596,MeanMinAge11))),0)</f>
        <v/>
      </c>
      <c r="BE3538">
        <f>IF('01_Вводные'!$B$234="Да",IF(OR(('19_Расчет_аналитики'!BE3454-'19_Расчет_аналитики'!BE3482)=0,11&lt;='01_Вводные'!$B$297),0,('19_Расчет_аналитики'!BE3454-'19_Расчет_аналитики'!BE3482)*IF('01_Вводные'!$B$239="Да",MeanMinAge11+'19_Расчет_аналитики'!BE3596*SUMIF(ThresholdAge11,"&lt;"&amp;'19_Расчет_аналитики'!BE3596,WeightedRevAge11)-SUMIF(ThresholdAge11,"&lt;"&amp;'19_Расчет_аналитики'!BE3596,WeightedMinAge11),MAX(CapacityAge11*'01_Вводные'!$B$218*'19_Расчет_аналитики'!BE3596,MeanMinAge11))),0)</f>
        <v/>
      </c>
      <c r="BF3538">
        <f>IF('01_Вводные'!$B$234="Да",IF(OR(('19_Расчет_аналитики'!BF3454-'19_Расчет_аналитики'!BF3482)=0,11&lt;='01_Вводные'!$B$297),0,('19_Расчет_аналитики'!BF3454-'19_Расчет_аналитики'!BF3482)*IF('01_Вводные'!$B$239="Да",MeanMinAge11+'19_Расчет_аналитики'!BF3596*SUMIF(ThresholdAge11,"&lt;"&amp;'19_Расчет_аналитики'!BF3596,WeightedRevAge11)-SUMIF(ThresholdAge11,"&lt;"&amp;'19_Расчет_аналитики'!BF3596,WeightedMinAge11),MAX(CapacityAge11*'01_Вводные'!$B$218*'19_Расчет_аналитики'!BF3596,MeanMinAge11))),0)</f>
        <v/>
      </c>
      <c r="BG3538">
        <f>IF('01_Вводные'!$B$234="Да",IF(OR(('19_Расчет_аналитики'!BG3454-'19_Расчет_аналитики'!BG3482)=0,11&lt;='01_Вводные'!$B$297),0,('19_Расчет_аналитики'!BG3454-'19_Расчет_аналитики'!BG3482)*IF('01_Вводные'!$B$239="Да",MeanMinAge11+'19_Расчет_аналитики'!BG3596*SUMIF(ThresholdAge11,"&lt;"&amp;'19_Расчет_аналитики'!BG3596,WeightedRevAge11)-SUMIF(ThresholdAge11,"&lt;"&amp;'19_Расчет_аналитики'!BG3596,WeightedMinAge11),MAX(CapacityAge11*'01_Вводные'!$B$218*'19_Расчет_аналитики'!BG3596,MeanMinAge11))),0)</f>
        <v/>
      </c>
      <c r="BH3538">
        <f>IF('01_Вводные'!$B$234="Да",IF(OR(('19_Расчет_аналитики'!BH3454-'19_Расчет_аналитики'!BH3482)=0,11&lt;='01_Вводные'!$B$297),0,('19_Расчет_аналитики'!BH3454-'19_Расчет_аналитики'!BH3482)*IF('01_Вводные'!$B$239="Да",MeanMinAge11+'19_Расчет_аналитики'!BH3596*SUMIF(ThresholdAge11,"&lt;"&amp;'19_Расчет_аналитики'!BH3596,WeightedRevAge11)-SUMIF(ThresholdAge11,"&lt;"&amp;'19_Расчет_аналитики'!BH3596,WeightedMinAge11),MAX(CapacityAge11*'01_Вводные'!$B$218*'19_Расчет_аналитики'!BH3596,MeanMinAge11))),0)</f>
        <v/>
      </c>
      <c r="BI3538">
        <f>IF('01_Вводные'!$B$234="Да",IF(OR(('19_Расчет_аналитики'!BI3454-'19_Расчет_аналитики'!BI3482)=0,11&lt;='01_Вводные'!$B$297),0,('19_Расчет_аналитики'!BI3454-'19_Расчет_аналитики'!BI3482)*IF('01_Вводные'!$B$239="Да",MeanMinAge11+'19_Расчет_аналитики'!BI3596*SUMIF(ThresholdAge11,"&lt;"&amp;'19_Расчет_аналитики'!BI3596,WeightedRevAge11)-SUMIF(ThresholdAge11,"&lt;"&amp;'19_Расчет_аналитики'!BI3596,WeightedMinAge11),MAX(CapacityAge11*'01_Вводные'!$B$218*'19_Расчет_аналитики'!BI3596,MeanMinAge11))),0)</f>
        <v/>
      </c>
      <c r="BJ3538">
        <f>IF('01_Вводные'!$B$234="Да",IF(OR(('19_Расчет_аналитики'!BJ3454-'19_Расчет_аналитики'!BJ3482)=0,11&lt;='01_Вводные'!$B$297),0,('19_Расчет_аналитики'!BJ3454-'19_Расчет_аналитики'!BJ3482)*IF('01_Вводные'!$B$239="Да",MeanMinAge11+'19_Расчет_аналитики'!BJ3596*SUMIF(ThresholdAge11,"&lt;"&amp;'19_Расчет_аналитики'!BJ3596,WeightedRevAge11)-SUMIF(ThresholdAge11,"&lt;"&amp;'19_Расчет_аналитики'!BJ3596,WeightedMinAge11),MAX(CapacityAge11*'01_Вводные'!$B$218*'19_Расчет_аналитики'!BJ3596,MeanMinAge11))),0)</f>
        <v/>
      </c>
      <c r="BK3538">
        <f>IF('01_Вводные'!$B$234="Да",IF(OR(('19_Расчет_аналитики'!BK3454-'19_Расчет_аналитики'!BK3482)=0,11&lt;='01_Вводные'!$B$297),0,('19_Расчет_аналитики'!BK3454-'19_Расчет_аналитики'!BK3482)*IF('01_Вводные'!$B$239="Да",MeanMinAge11+'19_Расчет_аналитики'!BK3596*SUMIF(ThresholdAge11,"&lt;"&amp;'19_Расчет_аналитики'!BK3596,WeightedRevAge11)-SUMIF(ThresholdAge11,"&lt;"&amp;'19_Расчет_аналитики'!BK3596,WeightedMinAge11),MAX(CapacityAge11*'01_Вводные'!$B$218*'19_Расчет_аналитики'!BK3596,MeanMinAge11))),0)</f>
        <v/>
      </c>
      <c r="BL3538">
        <f>IF('01_Вводные'!$B$234="Да",IF(OR(('19_Расчет_аналитики'!BL3454-'19_Расчет_аналитики'!BL3482)=0,11&lt;='01_Вводные'!$B$297),0,('19_Расчет_аналитики'!BL3454-'19_Расчет_аналитики'!BL3482)*IF('01_Вводные'!$B$239="Да",MeanMinAge11+'19_Расчет_аналитики'!BL3596*SUMIF(ThresholdAge11,"&lt;"&amp;'19_Расчет_аналитики'!BL3596,WeightedRevAge11)-SUMIF(ThresholdAge11,"&lt;"&amp;'19_Расчет_аналитики'!BL3596,WeightedMinAge11),MAX(CapacityAge11*'01_Вводные'!$B$218*'19_Расчет_аналитики'!BL3596,MeanMinAge11))),0)</f>
        <v/>
      </c>
      <c r="BM3538">
        <f>IF('01_Вводные'!$B$234="Да",IF(OR(('19_Расчет_аналитики'!BM3454-'19_Расчет_аналитики'!BM3482)=0,11&lt;='01_Вводные'!$B$297),0,('19_Расчет_аналитики'!BM3454-'19_Расчет_аналитики'!BM3482)*IF('01_Вводные'!$B$239="Да",MeanMinAge11+'19_Расчет_аналитики'!BM3596*SUMIF(ThresholdAge11,"&lt;"&amp;'19_Расчет_аналитики'!BM3596,WeightedRevAge11)-SUMIF(ThresholdAge11,"&lt;"&amp;'19_Расчет_аналитики'!BM3596,WeightedMinAge11),MAX(CapacityAge11*'01_Вводные'!$B$218*'19_Расчет_аналитики'!BM3596,MeanMinAge11))),0)</f>
        <v/>
      </c>
      <c r="BN3538">
        <f>IF('01_Вводные'!$B$234="Да",IF(OR(('19_Расчет_аналитики'!BN3454-'19_Расчет_аналитики'!BN3482)=0,11&lt;='01_Вводные'!$B$297),0,('19_Расчет_аналитики'!BN3454-'19_Расчет_аналитики'!BN3482)*IF('01_Вводные'!$B$239="Да",MeanMinAge11+'19_Расчет_аналитики'!BN3596*SUMIF(ThresholdAge11,"&lt;"&amp;'19_Расчет_аналитики'!BN3596,WeightedRevAge11)-SUMIF(ThresholdAge11,"&lt;"&amp;'19_Расчет_аналитики'!BN3596,WeightedMinAge11),MAX(CapacityAge11*'01_Вводные'!$B$218*'19_Расчет_аналитики'!BN3596,MeanMinAge11))),0)</f>
        <v/>
      </c>
      <c r="BO3538">
        <f>IF('01_Вводные'!$B$234="Да",IF(OR(('19_Расчет_аналитики'!BO3454-'19_Расчет_аналитики'!BO3482)=0,11&lt;='01_Вводные'!$B$297),0,('19_Расчет_аналитики'!BO3454-'19_Расчет_аналитики'!BO3482)*IF('01_Вводные'!$B$239="Да",MeanMinAge11+'19_Расчет_аналитики'!BO3596*SUMIF(ThresholdAge11,"&lt;"&amp;'19_Расчет_аналитики'!BO3596,WeightedRevAge11)-SUMIF(ThresholdAge11,"&lt;"&amp;'19_Расчет_аналитики'!BO3596,WeightedMinAge11),MAX(CapacityAge11*'01_Вводные'!$B$218*'19_Расчет_аналитики'!BO3596,MeanMinAge11))),0)</f>
        <v/>
      </c>
    </row>
    <row r="3539">
      <c r="B3539">
        <f>IF('01_Вводные'!$B$234="Да",IF(OR(('06_Сеть_и_дети'!B64-'06_Сеть_и_дети'!B92)=0,12&lt;='01_Вводные'!$B$297),0,('06_Сеть_и_дети'!B64-'06_Сеть_и_дети'!B92)*IF('01_Вводные'!$B$239="Да",MeanMinAge12+'19_Расчет_аналитики'!B3596*SUMIF(ThresholdAge12,"&lt;"&amp;'19_Расчет_аналитики'!B3596,WeightedRevAge12)-SUMIF(ThresholdAge12,"&lt;"&amp;'19_Расчет_аналитики'!B3596,WeightedMinAge12),MAX(CapacityAge12*'01_Вводные'!$B$218*'19_Расчет_аналитики'!B3596,MeanMinAge12))),0)</f>
        <v/>
      </c>
      <c r="C3539">
        <f>IF('01_Вводные'!$B$234="Да",IF(OR(('06_Сеть_и_дети'!C64-'06_Сеть_и_дети'!C92)=0,12&lt;='01_Вводные'!$B$297),0,('06_Сеть_и_дети'!C64-'06_Сеть_и_дети'!C92)*IF('01_Вводные'!$B$239="Да",MeanMinAge12+'19_Расчет_аналитики'!C3596*SUMIF(ThresholdAge12,"&lt;"&amp;'19_Расчет_аналитики'!C3596,WeightedRevAge12)-SUMIF(ThresholdAge12,"&lt;"&amp;'19_Расчет_аналитики'!C3596,WeightedMinAge12),MAX(CapacityAge12*'01_Вводные'!$B$218*'19_Расчет_аналитики'!C3596,MeanMinAge12))),0)</f>
        <v/>
      </c>
      <c r="D3539">
        <f>IF('01_Вводные'!$B$234="Да",IF(OR(('06_Сеть_и_дети'!D64-'06_Сеть_и_дети'!D92)=0,12&lt;='01_Вводные'!$B$297),0,('06_Сеть_и_дети'!D64-'06_Сеть_и_дети'!D92)*IF('01_Вводные'!$B$239="Да",MeanMinAge12+'19_Расчет_аналитики'!D3596*SUMIF(ThresholdAge12,"&lt;"&amp;'19_Расчет_аналитики'!D3596,WeightedRevAge12)-SUMIF(ThresholdAge12,"&lt;"&amp;'19_Расчет_аналитики'!D3596,WeightedMinAge12),MAX(CapacityAge12*'01_Вводные'!$B$218*'19_Расчет_аналитики'!D3596,MeanMinAge12))),0)</f>
        <v/>
      </c>
      <c r="E3539">
        <f>IF('01_Вводные'!$B$234="Да",IF(OR(('06_Сеть_и_дети'!E64-'06_Сеть_и_дети'!E92)=0,12&lt;='01_Вводные'!$B$297),0,('06_Сеть_и_дети'!E64-'06_Сеть_и_дети'!E92)*IF('01_Вводные'!$B$239="Да",MeanMinAge12+'19_Расчет_аналитики'!E3596*SUMIF(ThresholdAge12,"&lt;"&amp;'19_Расчет_аналитики'!E3596,WeightedRevAge12)-SUMIF(ThresholdAge12,"&lt;"&amp;'19_Расчет_аналитики'!E3596,WeightedMinAge12),MAX(CapacityAge12*'01_Вводные'!$B$218*'19_Расчет_аналитики'!E3596,MeanMinAge12))),0)</f>
        <v/>
      </c>
      <c r="F3539">
        <f>IF('01_Вводные'!$B$234="Да",IF(OR(('06_Сеть_и_дети'!F64-'06_Сеть_и_дети'!F92)=0,12&lt;='01_Вводные'!$B$297),0,('06_Сеть_и_дети'!F64-'06_Сеть_и_дети'!F92)*IF('01_Вводные'!$B$239="Да",MeanMinAge12+'19_Расчет_аналитики'!F3596*SUMIF(ThresholdAge12,"&lt;"&amp;'19_Расчет_аналитики'!F3596,WeightedRevAge12)-SUMIF(ThresholdAge12,"&lt;"&amp;'19_Расчет_аналитики'!F3596,WeightedMinAge12),MAX(CapacityAge12*'01_Вводные'!$B$218*'19_Расчет_аналитики'!F3596,MeanMinAge12))),0)</f>
        <v/>
      </c>
      <c r="G3539">
        <f>IF('01_Вводные'!$B$234="Да",IF(OR(('06_Сеть_и_дети'!G64-'06_Сеть_и_дети'!G92)=0,12&lt;='01_Вводные'!$B$297),0,('06_Сеть_и_дети'!G64-'06_Сеть_и_дети'!G92)*IF('01_Вводные'!$B$239="Да",MeanMinAge12+'19_Расчет_аналитики'!G3596*SUMIF(ThresholdAge12,"&lt;"&amp;'19_Расчет_аналитики'!G3596,WeightedRevAge12)-SUMIF(ThresholdAge12,"&lt;"&amp;'19_Расчет_аналитики'!G3596,WeightedMinAge12),MAX(CapacityAge12*'01_Вводные'!$B$218*'19_Расчет_аналитики'!G3596,MeanMinAge12))),0)</f>
        <v/>
      </c>
      <c r="H3539">
        <f>IF('01_Вводные'!$B$234="Да",IF(OR(('06_Сеть_и_дети'!H64-'06_Сеть_и_дети'!H92)=0,12&lt;='01_Вводные'!$B$297),0,('06_Сеть_и_дети'!H64-'06_Сеть_и_дети'!H92)*IF('01_Вводные'!$B$239="Да",MeanMinAge12+'19_Расчет_аналитики'!H3596*SUMIF(ThresholdAge12,"&lt;"&amp;'19_Расчет_аналитики'!H3596,WeightedRevAge12)-SUMIF(ThresholdAge12,"&lt;"&amp;'19_Расчет_аналитики'!H3596,WeightedMinAge12),MAX(CapacityAge12*'01_Вводные'!$B$218*'19_Расчет_аналитики'!H3596,MeanMinAge12))),0)</f>
        <v/>
      </c>
      <c r="I3539">
        <f>IF('01_Вводные'!$B$234="Да",IF(OR(('06_Сеть_и_дети'!I64-'06_Сеть_и_дети'!I92)=0,12&lt;='01_Вводные'!$B$297),0,('06_Сеть_и_дети'!I64-'06_Сеть_и_дети'!I92)*IF('01_Вводные'!$B$239="Да",MeanMinAge12+'19_Расчет_аналитики'!I3596*SUMIF(ThresholdAge12,"&lt;"&amp;'19_Расчет_аналитики'!I3596,WeightedRevAge12)-SUMIF(ThresholdAge12,"&lt;"&amp;'19_Расчет_аналитики'!I3596,WeightedMinAge12),MAX(CapacityAge12*'01_Вводные'!$B$218*'19_Расчет_аналитики'!I3596,MeanMinAge12))),0)</f>
        <v/>
      </c>
      <c r="J3539">
        <f>IF('01_Вводные'!$B$234="Да",IF(OR(('06_Сеть_и_дети'!J64-'06_Сеть_и_дети'!J92)=0,12&lt;='01_Вводные'!$B$297),0,('06_Сеть_и_дети'!J64-'06_Сеть_и_дети'!J92)*IF('01_Вводные'!$B$239="Да",MeanMinAge12+'19_Расчет_аналитики'!J3596*SUMIF(ThresholdAge12,"&lt;"&amp;'19_Расчет_аналитики'!J3596,WeightedRevAge12)-SUMIF(ThresholdAge12,"&lt;"&amp;'19_Расчет_аналитики'!J3596,WeightedMinAge12),MAX(CapacityAge12*'01_Вводные'!$B$218*'19_Расчет_аналитики'!J3596,MeanMinAge12))),0)</f>
        <v/>
      </c>
      <c r="K3539">
        <f>IF('01_Вводные'!$B$234="Да",IF(OR(('06_Сеть_и_дети'!K64-'06_Сеть_и_дети'!K92)=0,12&lt;='01_Вводные'!$B$297),0,('06_Сеть_и_дети'!K64-'06_Сеть_и_дети'!K92)*IF('01_Вводные'!$B$239="Да",MeanMinAge12+'19_Расчет_аналитики'!K3596*SUMIF(ThresholdAge12,"&lt;"&amp;'19_Расчет_аналитики'!K3596,WeightedRevAge12)-SUMIF(ThresholdAge12,"&lt;"&amp;'19_Расчет_аналитики'!K3596,WeightedMinAge12),MAX(CapacityAge12*'01_Вводные'!$B$218*'19_Расчет_аналитики'!K3596,MeanMinAge12))),0)</f>
        <v/>
      </c>
      <c r="L3539">
        <f>IF('01_Вводные'!$B$234="Да",IF(OR(('06_Сеть_и_дети'!L64-'06_Сеть_и_дети'!L92)=0,12&lt;='01_Вводные'!$B$297),0,('06_Сеть_и_дети'!L64-'06_Сеть_и_дети'!L92)*IF('01_Вводные'!$B$239="Да",MeanMinAge12+'19_Расчет_аналитики'!L3596*SUMIF(ThresholdAge12,"&lt;"&amp;'19_Расчет_аналитики'!L3596,WeightedRevAge12)-SUMIF(ThresholdAge12,"&lt;"&amp;'19_Расчет_аналитики'!L3596,WeightedMinAge12),MAX(CapacityAge12*'01_Вводные'!$B$218*'19_Расчет_аналитики'!L3596,MeanMinAge12))),0)</f>
        <v/>
      </c>
      <c r="M3539">
        <f>IF('01_Вводные'!$B$234="Да",IF(OR(('19_Расчет_аналитики'!M3455-'19_Расчет_аналитики'!M3483)=0,12&lt;='01_Вводные'!$B$297),0,('19_Расчет_аналитики'!M3455-'19_Расчет_аналитики'!M3483)*IF('01_Вводные'!$B$239="Да",MeanMinAge12+'19_Расчет_аналитики'!M3596*SUMIF(ThresholdAge12,"&lt;"&amp;'19_Расчет_аналитики'!M3596,WeightedRevAge12)-SUMIF(ThresholdAge12,"&lt;"&amp;'19_Расчет_аналитики'!M3596,WeightedMinAge12),MAX(CapacityAge12*'01_Вводные'!$B$218*'19_Расчет_аналитики'!M3596,MeanMinAge12))),0)</f>
        <v/>
      </c>
      <c r="N3539">
        <f>IF('01_Вводные'!$B$234="Да",IF(OR(('19_Расчет_аналитики'!N3455-'19_Расчет_аналитики'!N3483)=0,12&lt;='01_Вводные'!$B$297),0,('19_Расчет_аналитики'!N3455-'19_Расчет_аналитики'!N3483)*IF('01_Вводные'!$B$239="Да",MeanMinAge12+'19_Расчет_аналитики'!N3596*SUMIF(ThresholdAge12,"&lt;"&amp;'19_Расчет_аналитики'!N3596,WeightedRevAge12)-SUMIF(ThresholdAge12,"&lt;"&amp;'19_Расчет_аналитики'!N3596,WeightedMinAge12),MAX(CapacityAge12*'01_Вводные'!$B$218*'19_Расчет_аналитики'!N3596,MeanMinAge12))),0)</f>
        <v/>
      </c>
      <c r="O3539">
        <f>IF('01_Вводные'!$B$234="Да",IF(OR(('19_Расчет_аналитики'!O3455-'19_Расчет_аналитики'!O3483)=0,12&lt;='01_Вводные'!$B$297),0,('19_Расчет_аналитики'!O3455-'19_Расчет_аналитики'!O3483)*IF('01_Вводные'!$B$239="Да",MeanMinAge12+'19_Расчет_аналитики'!O3596*SUMIF(ThresholdAge12,"&lt;"&amp;'19_Расчет_аналитики'!O3596,WeightedRevAge12)-SUMIF(ThresholdAge12,"&lt;"&amp;'19_Расчет_аналитики'!O3596,WeightedMinAge12),MAX(CapacityAge12*'01_Вводные'!$B$218*'19_Расчет_аналитики'!O3596,MeanMinAge12))),0)</f>
        <v/>
      </c>
      <c r="P3539">
        <f>IF('01_Вводные'!$B$234="Да",IF(OR(('19_Расчет_аналитики'!P3455-'19_Расчет_аналитики'!P3483)=0,12&lt;='01_Вводные'!$B$297),0,('19_Расчет_аналитики'!P3455-'19_Расчет_аналитики'!P3483)*IF('01_Вводные'!$B$239="Да",MeanMinAge12+'19_Расчет_аналитики'!P3596*SUMIF(ThresholdAge12,"&lt;"&amp;'19_Расчет_аналитики'!P3596,WeightedRevAge12)-SUMIF(ThresholdAge12,"&lt;"&amp;'19_Расчет_аналитики'!P3596,WeightedMinAge12),MAX(CapacityAge12*'01_Вводные'!$B$218*'19_Расчет_аналитики'!P3596,MeanMinAge12))),0)</f>
        <v/>
      </c>
      <c r="Q3539">
        <f>IF('01_Вводные'!$B$234="Да",IF(OR(('19_Расчет_аналитики'!Q3455-'19_Расчет_аналитики'!Q3483)=0,12&lt;='01_Вводные'!$B$297),0,('19_Расчет_аналитики'!Q3455-'19_Расчет_аналитики'!Q3483)*IF('01_Вводные'!$B$239="Да",MeanMinAge12+'19_Расчет_аналитики'!Q3596*SUMIF(ThresholdAge12,"&lt;"&amp;'19_Расчет_аналитики'!Q3596,WeightedRevAge12)-SUMIF(ThresholdAge12,"&lt;"&amp;'19_Расчет_аналитики'!Q3596,WeightedMinAge12),MAX(CapacityAge12*'01_Вводные'!$B$218*'19_Расчет_аналитики'!Q3596,MeanMinAge12))),0)</f>
        <v/>
      </c>
      <c r="R3539">
        <f>IF('01_Вводные'!$B$234="Да",IF(OR(('19_Расчет_аналитики'!R3455-'19_Расчет_аналитики'!R3483)=0,12&lt;='01_Вводные'!$B$297),0,('19_Расчет_аналитики'!R3455-'19_Расчет_аналитики'!R3483)*IF('01_Вводные'!$B$239="Да",MeanMinAge12+'19_Расчет_аналитики'!R3596*SUMIF(ThresholdAge12,"&lt;"&amp;'19_Расчет_аналитики'!R3596,WeightedRevAge12)-SUMIF(ThresholdAge12,"&lt;"&amp;'19_Расчет_аналитики'!R3596,WeightedMinAge12),MAX(CapacityAge12*'01_Вводные'!$B$218*'19_Расчет_аналитики'!R3596,MeanMinAge12))),0)</f>
        <v/>
      </c>
      <c r="S3539">
        <f>IF('01_Вводные'!$B$234="Да",IF(OR(('19_Расчет_аналитики'!S3455-'19_Расчет_аналитики'!S3483)=0,12&lt;='01_Вводные'!$B$297),0,('19_Расчет_аналитики'!S3455-'19_Расчет_аналитики'!S3483)*IF('01_Вводные'!$B$239="Да",MeanMinAge12+'19_Расчет_аналитики'!S3596*SUMIF(ThresholdAge12,"&lt;"&amp;'19_Расчет_аналитики'!S3596,WeightedRevAge12)-SUMIF(ThresholdAge12,"&lt;"&amp;'19_Расчет_аналитики'!S3596,WeightedMinAge12),MAX(CapacityAge12*'01_Вводные'!$B$218*'19_Расчет_аналитики'!S3596,MeanMinAge12))),0)</f>
        <v/>
      </c>
      <c r="T3539">
        <f>IF('01_Вводные'!$B$234="Да",IF(OR(('19_Расчет_аналитики'!T3455-'19_Расчет_аналитики'!T3483)=0,12&lt;='01_Вводные'!$B$297),0,('19_Расчет_аналитики'!T3455-'19_Расчет_аналитики'!T3483)*IF('01_Вводные'!$B$239="Да",MeanMinAge12+'19_Расчет_аналитики'!T3596*SUMIF(ThresholdAge12,"&lt;"&amp;'19_Расчет_аналитики'!T3596,WeightedRevAge12)-SUMIF(ThresholdAge12,"&lt;"&amp;'19_Расчет_аналитики'!T3596,WeightedMinAge12),MAX(CapacityAge12*'01_Вводные'!$B$218*'19_Расчет_аналитики'!T3596,MeanMinAge12))),0)</f>
        <v/>
      </c>
      <c r="U3539">
        <f>IF('01_Вводные'!$B$234="Да",IF(OR(('19_Расчет_аналитики'!U3455-'19_Расчет_аналитики'!U3483)=0,12&lt;='01_Вводные'!$B$297),0,('19_Расчет_аналитики'!U3455-'19_Расчет_аналитики'!U3483)*IF('01_Вводные'!$B$239="Да",MeanMinAge12+'19_Расчет_аналитики'!U3596*SUMIF(ThresholdAge12,"&lt;"&amp;'19_Расчет_аналитики'!U3596,WeightedRevAge12)-SUMIF(ThresholdAge12,"&lt;"&amp;'19_Расчет_аналитики'!U3596,WeightedMinAge12),MAX(CapacityAge12*'01_Вводные'!$B$218*'19_Расчет_аналитики'!U3596,MeanMinAge12))),0)</f>
        <v/>
      </c>
      <c r="V3539">
        <f>IF('01_Вводные'!$B$234="Да",IF(OR(('19_Расчет_аналитики'!V3455-'19_Расчет_аналитики'!V3483)=0,12&lt;='01_Вводные'!$B$297),0,('19_Расчет_аналитики'!V3455-'19_Расчет_аналитики'!V3483)*IF('01_Вводные'!$B$239="Да",MeanMinAge12+'19_Расчет_аналитики'!V3596*SUMIF(ThresholdAge12,"&lt;"&amp;'19_Расчет_аналитики'!V3596,WeightedRevAge12)-SUMIF(ThresholdAge12,"&lt;"&amp;'19_Расчет_аналитики'!V3596,WeightedMinAge12),MAX(CapacityAge12*'01_Вводные'!$B$218*'19_Расчет_аналитики'!V3596,MeanMinAge12))),0)</f>
        <v/>
      </c>
      <c r="W3539">
        <f>IF('01_Вводные'!$B$234="Да",IF(OR(('19_Расчет_аналитики'!W3455-'19_Расчет_аналитики'!W3483)=0,12&lt;='01_Вводные'!$B$297),0,('19_Расчет_аналитики'!W3455-'19_Расчет_аналитики'!W3483)*IF('01_Вводные'!$B$239="Да",MeanMinAge12+'19_Расчет_аналитики'!W3596*SUMIF(ThresholdAge12,"&lt;"&amp;'19_Расчет_аналитики'!W3596,WeightedRevAge12)-SUMIF(ThresholdAge12,"&lt;"&amp;'19_Расчет_аналитики'!W3596,WeightedMinAge12),MAX(CapacityAge12*'01_Вводные'!$B$218*'19_Расчет_аналитики'!W3596,MeanMinAge12))),0)</f>
        <v/>
      </c>
      <c r="X3539">
        <f>IF('01_Вводные'!$B$234="Да",IF(OR(('19_Расчет_аналитики'!X3455-'19_Расчет_аналитики'!X3483)=0,12&lt;='01_Вводные'!$B$297),0,('19_Расчет_аналитики'!X3455-'19_Расчет_аналитики'!X3483)*IF('01_Вводные'!$B$239="Да",MeanMinAge12+'19_Расчет_аналитики'!X3596*SUMIF(ThresholdAge12,"&lt;"&amp;'19_Расчет_аналитики'!X3596,WeightedRevAge12)-SUMIF(ThresholdAge12,"&lt;"&amp;'19_Расчет_аналитики'!X3596,WeightedMinAge12),MAX(CapacityAge12*'01_Вводные'!$B$218*'19_Расчет_аналитики'!X3596,MeanMinAge12))),0)</f>
        <v/>
      </c>
      <c r="Y3539">
        <f>IF('01_Вводные'!$B$234="Да",IF(OR(('19_Расчет_аналитики'!Y3455-'19_Расчет_аналитики'!Y3483)=0,12&lt;='01_Вводные'!$B$297),0,('19_Расчет_аналитики'!Y3455-'19_Расчет_аналитики'!Y3483)*IF('01_Вводные'!$B$239="Да",MeanMinAge12+'19_Расчет_аналитики'!Y3596*SUMIF(ThresholdAge12,"&lt;"&amp;'19_Расчет_аналитики'!Y3596,WeightedRevAge12)-SUMIF(ThresholdAge12,"&lt;"&amp;'19_Расчет_аналитики'!Y3596,WeightedMinAge12),MAX(CapacityAge12*'01_Вводные'!$B$218*'19_Расчет_аналитики'!Y3596,MeanMinAge12))),0)</f>
        <v/>
      </c>
      <c r="Z3539">
        <f>IF('01_Вводные'!$B$234="Да",IF(OR(('19_Расчет_аналитики'!Z3455-'19_Расчет_аналитики'!Z3483)=0,12&lt;='01_Вводные'!$B$297),0,('19_Расчет_аналитики'!Z3455-'19_Расчет_аналитики'!Z3483)*IF('01_Вводные'!$B$239="Да",MeanMinAge12+'19_Расчет_аналитики'!Z3596*SUMIF(ThresholdAge12,"&lt;"&amp;'19_Расчет_аналитики'!Z3596,WeightedRevAge12)-SUMIF(ThresholdAge12,"&lt;"&amp;'19_Расчет_аналитики'!Z3596,WeightedMinAge12),MAX(CapacityAge12*'01_Вводные'!$B$218*'19_Расчет_аналитики'!Z3596,MeanMinAge12))),0)</f>
        <v/>
      </c>
      <c r="AA3539">
        <f>IF('01_Вводные'!$B$234="Да",IF(OR(('19_Расчет_аналитики'!AA3455-'19_Расчет_аналитики'!AA3483)=0,12&lt;='01_Вводные'!$B$297),0,('19_Расчет_аналитики'!AA3455-'19_Расчет_аналитики'!AA3483)*IF('01_Вводные'!$B$239="Да",MeanMinAge12+'19_Расчет_аналитики'!AA3596*SUMIF(ThresholdAge12,"&lt;"&amp;'19_Расчет_аналитики'!AA3596,WeightedRevAge12)-SUMIF(ThresholdAge12,"&lt;"&amp;'19_Расчет_аналитики'!AA3596,WeightedMinAge12),MAX(CapacityAge12*'01_Вводные'!$B$218*'19_Расчет_аналитики'!AA3596,MeanMinAge12))),0)</f>
        <v/>
      </c>
      <c r="AB3539">
        <f>IF('01_Вводные'!$B$234="Да",IF(OR(('19_Расчет_аналитики'!AB3455-'19_Расчет_аналитики'!AB3483)=0,12&lt;='01_Вводные'!$B$297),0,('19_Расчет_аналитики'!AB3455-'19_Расчет_аналитики'!AB3483)*IF('01_Вводные'!$B$239="Да",MeanMinAge12+'19_Расчет_аналитики'!AB3596*SUMIF(ThresholdAge12,"&lt;"&amp;'19_Расчет_аналитики'!AB3596,WeightedRevAge12)-SUMIF(ThresholdAge12,"&lt;"&amp;'19_Расчет_аналитики'!AB3596,WeightedMinAge12),MAX(CapacityAge12*'01_Вводные'!$B$218*'19_Расчет_аналитики'!AB3596,MeanMinAge12))),0)</f>
        <v/>
      </c>
      <c r="AC3539">
        <f>IF('01_Вводные'!$B$234="Да",IF(OR(('19_Расчет_аналитики'!AC3455-'19_Расчет_аналитики'!AC3483)=0,12&lt;='01_Вводные'!$B$297),0,('19_Расчет_аналитики'!AC3455-'19_Расчет_аналитики'!AC3483)*IF('01_Вводные'!$B$239="Да",MeanMinAge12+'19_Расчет_аналитики'!AC3596*SUMIF(ThresholdAge12,"&lt;"&amp;'19_Расчет_аналитики'!AC3596,WeightedRevAge12)-SUMIF(ThresholdAge12,"&lt;"&amp;'19_Расчет_аналитики'!AC3596,WeightedMinAge12),MAX(CapacityAge12*'01_Вводные'!$B$218*'19_Расчет_аналитики'!AC3596,MeanMinAge12))),0)</f>
        <v/>
      </c>
      <c r="AD3539">
        <f>IF('01_Вводные'!$B$234="Да",IF(OR(('19_Расчет_аналитики'!AD3455-'19_Расчет_аналитики'!AD3483)=0,12&lt;='01_Вводные'!$B$297),0,('19_Расчет_аналитики'!AD3455-'19_Расчет_аналитики'!AD3483)*IF('01_Вводные'!$B$239="Да",MeanMinAge12+'19_Расчет_аналитики'!AD3596*SUMIF(ThresholdAge12,"&lt;"&amp;'19_Расчет_аналитики'!AD3596,WeightedRevAge12)-SUMIF(ThresholdAge12,"&lt;"&amp;'19_Расчет_аналитики'!AD3596,WeightedMinAge12),MAX(CapacityAge12*'01_Вводные'!$B$218*'19_Расчет_аналитики'!AD3596,MeanMinAge12))),0)</f>
        <v/>
      </c>
      <c r="AE3539">
        <f>IF('01_Вводные'!$B$234="Да",IF(OR(('19_Расчет_аналитики'!AE3455-'19_Расчет_аналитики'!AE3483)=0,12&lt;='01_Вводные'!$B$297),0,('19_Расчет_аналитики'!AE3455-'19_Расчет_аналитики'!AE3483)*IF('01_Вводные'!$B$239="Да",MeanMinAge12+'19_Расчет_аналитики'!AE3596*SUMIF(ThresholdAge12,"&lt;"&amp;'19_Расчет_аналитики'!AE3596,WeightedRevAge12)-SUMIF(ThresholdAge12,"&lt;"&amp;'19_Расчет_аналитики'!AE3596,WeightedMinAge12),MAX(CapacityAge12*'01_Вводные'!$B$218*'19_Расчет_аналитики'!AE3596,MeanMinAge12))),0)</f>
        <v/>
      </c>
      <c r="AF3539">
        <f>IF('01_Вводные'!$B$234="Да",IF(OR(('19_Расчет_аналитики'!AF3455-'19_Расчет_аналитики'!AF3483)=0,12&lt;='01_Вводные'!$B$297),0,('19_Расчет_аналитики'!AF3455-'19_Расчет_аналитики'!AF3483)*IF('01_Вводные'!$B$239="Да",MeanMinAge12+'19_Расчет_аналитики'!AF3596*SUMIF(ThresholdAge12,"&lt;"&amp;'19_Расчет_аналитики'!AF3596,WeightedRevAge12)-SUMIF(ThresholdAge12,"&lt;"&amp;'19_Расчет_аналитики'!AF3596,WeightedMinAge12),MAX(CapacityAge12*'01_Вводные'!$B$218*'19_Расчет_аналитики'!AF3596,MeanMinAge12))),0)</f>
        <v/>
      </c>
      <c r="AG3539">
        <f>IF('01_Вводные'!$B$234="Да",IF(OR(('19_Расчет_аналитики'!AG3455-'19_Расчет_аналитики'!AG3483)=0,12&lt;='01_Вводные'!$B$297),0,('19_Расчет_аналитики'!AG3455-'19_Расчет_аналитики'!AG3483)*IF('01_Вводные'!$B$239="Да",MeanMinAge12+'19_Расчет_аналитики'!AG3596*SUMIF(ThresholdAge12,"&lt;"&amp;'19_Расчет_аналитики'!AG3596,WeightedRevAge12)-SUMIF(ThresholdAge12,"&lt;"&amp;'19_Расчет_аналитики'!AG3596,WeightedMinAge12),MAX(CapacityAge12*'01_Вводные'!$B$218*'19_Расчет_аналитики'!AG3596,MeanMinAge12))),0)</f>
        <v/>
      </c>
      <c r="AH3539">
        <f>IF('01_Вводные'!$B$234="Да",IF(OR(('19_Расчет_аналитики'!AH3455-'19_Расчет_аналитики'!AH3483)=0,12&lt;='01_Вводные'!$B$297),0,('19_Расчет_аналитики'!AH3455-'19_Расчет_аналитики'!AH3483)*IF('01_Вводные'!$B$239="Да",MeanMinAge12+'19_Расчет_аналитики'!AH3596*SUMIF(ThresholdAge12,"&lt;"&amp;'19_Расчет_аналитики'!AH3596,WeightedRevAge12)-SUMIF(ThresholdAge12,"&lt;"&amp;'19_Расчет_аналитики'!AH3596,WeightedMinAge12),MAX(CapacityAge12*'01_Вводные'!$B$218*'19_Расчет_аналитики'!AH3596,MeanMinAge12))),0)</f>
        <v/>
      </c>
      <c r="AI3539">
        <f>IF('01_Вводные'!$B$234="Да",IF(OR(('19_Расчет_аналитики'!AI3455-'19_Расчет_аналитики'!AI3483)=0,12&lt;='01_Вводные'!$B$297),0,('19_Расчет_аналитики'!AI3455-'19_Расчет_аналитики'!AI3483)*IF('01_Вводные'!$B$239="Да",MeanMinAge12+'19_Расчет_аналитики'!AI3596*SUMIF(ThresholdAge12,"&lt;"&amp;'19_Расчет_аналитики'!AI3596,WeightedRevAge12)-SUMIF(ThresholdAge12,"&lt;"&amp;'19_Расчет_аналитики'!AI3596,WeightedMinAge12),MAX(CapacityAge12*'01_Вводные'!$B$218*'19_Расчет_аналитики'!AI3596,MeanMinAge12))),0)</f>
        <v/>
      </c>
      <c r="AJ3539">
        <f>IF('01_Вводные'!$B$234="Да",IF(OR(('19_Расчет_аналитики'!AJ3455-'19_Расчет_аналитики'!AJ3483)=0,12&lt;='01_Вводные'!$B$297),0,('19_Расчет_аналитики'!AJ3455-'19_Расчет_аналитики'!AJ3483)*IF('01_Вводные'!$B$239="Да",MeanMinAge12+'19_Расчет_аналитики'!AJ3596*SUMIF(ThresholdAge12,"&lt;"&amp;'19_Расчет_аналитики'!AJ3596,WeightedRevAge12)-SUMIF(ThresholdAge12,"&lt;"&amp;'19_Расчет_аналитики'!AJ3596,WeightedMinAge12),MAX(CapacityAge12*'01_Вводные'!$B$218*'19_Расчет_аналитики'!AJ3596,MeanMinAge12))),0)</f>
        <v/>
      </c>
      <c r="AK3539">
        <f>IF('01_Вводные'!$B$234="Да",IF(OR(('19_Расчет_аналитики'!AK3455-'19_Расчет_аналитики'!AK3483)=0,12&lt;='01_Вводные'!$B$297),0,('19_Расчет_аналитики'!AK3455-'19_Расчет_аналитики'!AK3483)*IF('01_Вводные'!$B$239="Да",MeanMinAge12+'19_Расчет_аналитики'!AK3596*SUMIF(ThresholdAge12,"&lt;"&amp;'19_Расчет_аналитики'!AK3596,WeightedRevAge12)-SUMIF(ThresholdAge12,"&lt;"&amp;'19_Расчет_аналитики'!AK3596,WeightedMinAge12),MAX(CapacityAge12*'01_Вводные'!$B$218*'19_Расчет_аналитики'!AK3596,MeanMinAge12))),0)</f>
        <v/>
      </c>
      <c r="AL3539">
        <f>IF('01_Вводные'!$B$234="Да",IF(OR(('19_Расчет_аналитики'!AL3455-'19_Расчет_аналитики'!AL3483)=0,12&lt;='01_Вводные'!$B$297),0,('19_Расчет_аналитики'!AL3455-'19_Расчет_аналитики'!AL3483)*IF('01_Вводные'!$B$239="Да",MeanMinAge12+'19_Расчет_аналитики'!AL3596*SUMIF(ThresholdAge12,"&lt;"&amp;'19_Расчет_аналитики'!AL3596,WeightedRevAge12)-SUMIF(ThresholdAge12,"&lt;"&amp;'19_Расчет_аналитики'!AL3596,WeightedMinAge12),MAX(CapacityAge12*'01_Вводные'!$B$218*'19_Расчет_аналитики'!AL3596,MeanMinAge12))),0)</f>
        <v/>
      </c>
      <c r="AM3539">
        <f>IF('01_Вводные'!$B$234="Да",IF(OR(('19_Расчет_аналитики'!AM3455-'19_Расчет_аналитики'!AM3483)=0,12&lt;='01_Вводные'!$B$297),0,('19_Расчет_аналитики'!AM3455-'19_Расчет_аналитики'!AM3483)*IF('01_Вводные'!$B$239="Да",MeanMinAge12+'19_Расчет_аналитики'!AM3596*SUMIF(ThresholdAge12,"&lt;"&amp;'19_Расчет_аналитики'!AM3596,WeightedRevAge12)-SUMIF(ThresholdAge12,"&lt;"&amp;'19_Расчет_аналитики'!AM3596,WeightedMinAge12),MAX(CapacityAge12*'01_Вводные'!$B$218*'19_Расчет_аналитики'!AM3596,MeanMinAge12))),0)</f>
        <v/>
      </c>
      <c r="AN3539">
        <f>IF('01_Вводные'!$B$234="Да",IF(OR(('19_Расчет_аналитики'!AN3455-'19_Расчет_аналитики'!AN3483)=0,12&lt;='01_Вводные'!$B$297),0,('19_Расчет_аналитики'!AN3455-'19_Расчет_аналитики'!AN3483)*IF('01_Вводные'!$B$239="Да",MeanMinAge12+'19_Расчет_аналитики'!AN3596*SUMIF(ThresholdAge12,"&lt;"&amp;'19_Расчет_аналитики'!AN3596,WeightedRevAge12)-SUMIF(ThresholdAge12,"&lt;"&amp;'19_Расчет_аналитики'!AN3596,WeightedMinAge12),MAX(CapacityAge12*'01_Вводные'!$B$218*'19_Расчет_аналитики'!AN3596,MeanMinAge12))),0)</f>
        <v/>
      </c>
      <c r="AO3539">
        <f>IF('01_Вводные'!$B$234="Да",IF(OR(('19_Расчет_аналитики'!AO3455-'19_Расчет_аналитики'!AO3483)=0,12&lt;='01_Вводные'!$B$297),0,('19_Расчет_аналитики'!AO3455-'19_Расчет_аналитики'!AO3483)*IF('01_Вводные'!$B$239="Да",MeanMinAge12+'19_Расчет_аналитики'!AO3596*SUMIF(ThresholdAge12,"&lt;"&amp;'19_Расчет_аналитики'!AO3596,WeightedRevAge12)-SUMIF(ThresholdAge12,"&lt;"&amp;'19_Расчет_аналитики'!AO3596,WeightedMinAge12),MAX(CapacityAge12*'01_Вводные'!$B$218*'19_Расчет_аналитики'!AO3596,MeanMinAge12))),0)</f>
        <v/>
      </c>
      <c r="AP3539">
        <f>IF('01_Вводные'!$B$234="Да",IF(OR(('19_Расчет_аналитики'!AP3455-'19_Расчет_аналитики'!AP3483)=0,12&lt;='01_Вводные'!$B$297),0,('19_Расчет_аналитики'!AP3455-'19_Расчет_аналитики'!AP3483)*IF('01_Вводные'!$B$239="Да",MeanMinAge12+'19_Расчет_аналитики'!AP3596*SUMIF(ThresholdAge12,"&lt;"&amp;'19_Расчет_аналитики'!AP3596,WeightedRevAge12)-SUMIF(ThresholdAge12,"&lt;"&amp;'19_Расчет_аналитики'!AP3596,WeightedMinAge12),MAX(CapacityAge12*'01_Вводные'!$B$218*'19_Расчет_аналитики'!AP3596,MeanMinAge12))),0)</f>
        <v/>
      </c>
      <c r="AQ3539">
        <f>IF('01_Вводные'!$B$234="Да",IF(OR(('19_Расчет_аналитики'!AQ3455-'19_Расчет_аналитики'!AQ3483)=0,12&lt;='01_Вводные'!$B$297),0,('19_Расчет_аналитики'!AQ3455-'19_Расчет_аналитики'!AQ3483)*IF('01_Вводные'!$B$239="Да",MeanMinAge12+'19_Расчет_аналитики'!AQ3596*SUMIF(ThresholdAge12,"&lt;"&amp;'19_Расчет_аналитики'!AQ3596,WeightedRevAge12)-SUMIF(ThresholdAge12,"&lt;"&amp;'19_Расчет_аналитики'!AQ3596,WeightedMinAge12),MAX(CapacityAge12*'01_Вводные'!$B$218*'19_Расчет_аналитики'!AQ3596,MeanMinAge12))),0)</f>
        <v/>
      </c>
      <c r="AR3539">
        <f>IF('01_Вводные'!$B$234="Да",IF(OR(('19_Расчет_аналитики'!AR3455-'19_Расчет_аналитики'!AR3483)=0,12&lt;='01_Вводные'!$B$297),0,('19_Расчет_аналитики'!AR3455-'19_Расчет_аналитики'!AR3483)*IF('01_Вводные'!$B$239="Да",MeanMinAge12+'19_Расчет_аналитики'!AR3596*SUMIF(ThresholdAge12,"&lt;"&amp;'19_Расчет_аналитики'!AR3596,WeightedRevAge12)-SUMIF(ThresholdAge12,"&lt;"&amp;'19_Расчет_аналитики'!AR3596,WeightedMinAge12),MAX(CapacityAge12*'01_Вводные'!$B$218*'19_Расчет_аналитики'!AR3596,MeanMinAge12))),0)</f>
        <v/>
      </c>
      <c r="AS3539">
        <f>IF('01_Вводные'!$B$234="Да",IF(OR(('19_Расчет_аналитики'!AS3455-'19_Расчет_аналитики'!AS3483)=0,12&lt;='01_Вводные'!$B$297),0,('19_Расчет_аналитики'!AS3455-'19_Расчет_аналитики'!AS3483)*IF('01_Вводные'!$B$239="Да",MeanMinAge12+'19_Расчет_аналитики'!AS3596*SUMIF(ThresholdAge12,"&lt;"&amp;'19_Расчет_аналитики'!AS3596,WeightedRevAge12)-SUMIF(ThresholdAge12,"&lt;"&amp;'19_Расчет_аналитики'!AS3596,WeightedMinAge12),MAX(CapacityAge12*'01_Вводные'!$B$218*'19_Расчет_аналитики'!AS3596,MeanMinAge12))),0)</f>
        <v/>
      </c>
      <c r="AT3539">
        <f>IF('01_Вводные'!$B$234="Да",IF(OR(('19_Расчет_аналитики'!AT3455-'19_Расчет_аналитики'!AT3483)=0,12&lt;='01_Вводные'!$B$297),0,('19_Расчет_аналитики'!AT3455-'19_Расчет_аналитики'!AT3483)*IF('01_Вводные'!$B$239="Да",MeanMinAge12+'19_Расчет_аналитики'!AT3596*SUMIF(ThresholdAge12,"&lt;"&amp;'19_Расчет_аналитики'!AT3596,WeightedRevAge12)-SUMIF(ThresholdAge12,"&lt;"&amp;'19_Расчет_аналитики'!AT3596,WeightedMinAge12),MAX(CapacityAge12*'01_Вводные'!$B$218*'19_Расчет_аналитики'!AT3596,MeanMinAge12))),0)</f>
        <v/>
      </c>
      <c r="AU3539">
        <f>IF('01_Вводные'!$B$234="Да",IF(OR(('19_Расчет_аналитики'!AU3455-'19_Расчет_аналитики'!AU3483)=0,12&lt;='01_Вводные'!$B$297),0,('19_Расчет_аналитики'!AU3455-'19_Расчет_аналитики'!AU3483)*IF('01_Вводные'!$B$239="Да",MeanMinAge12+'19_Расчет_аналитики'!AU3596*SUMIF(ThresholdAge12,"&lt;"&amp;'19_Расчет_аналитики'!AU3596,WeightedRevAge12)-SUMIF(ThresholdAge12,"&lt;"&amp;'19_Расчет_аналитики'!AU3596,WeightedMinAge12),MAX(CapacityAge12*'01_Вводные'!$B$218*'19_Расчет_аналитики'!AU3596,MeanMinAge12))),0)</f>
        <v/>
      </c>
      <c r="AV3539">
        <f>IF('01_Вводные'!$B$234="Да",IF(OR(('19_Расчет_аналитики'!AV3455-'19_Расчет_аналитики'!AV3483)=0,12&lt;='01_Вводные'!$B$297),0,('19_Расчет_аналитики'!AV3455-'19_Расчет_аналитики'!AV3483)*IF('01_Вводные'!$B$239="Да",MeanMinAge12+'19_Расчет_аналитики'!AV3596*SUMIF(ThresholdAge12,"&lt;"&amp;'19_Расчет_аналитики'!AV3596,WeightedRevAge12)-SUMIF(ThresholdAge12,"&lt;"&amp;'19_Расчет_аналитики'!AV3596,WeightedMinAge12),MAX(CapacityAge12*'01_Вводные'!$B$218*'19_Расчет_аналитики'!AV3596,MeanMinAge12))),0)</f>
        <v/>
      </c>
      <c r="AW3539">
        <f>IF('01_Вводные'!$B$234="Да",IF(OR(('19_Расчет_аналитики'!AW3455-'19_Расчет_аналитики'!AW3483)=0,12&lt;='01_Вводные'!$B$297),0,('19_Расчет_аналитики'!AW3455-'19_Расчет_аналитики'!AW3483)*IF('01_Вводные'!$B$239="Да",MeanMinAge12+'19_Расчет_аналитики'!AW3596*SUMIF(ThresholdAge12,"&lt;"&amp;'19_Расчет_аналитики'!AW3596,WeightedRevAge12)-SUMIF(ThresholdAge12,"&lt;"&amp;'19_Расчет_аналитики'!AW3596,WeightedMinAge12),MAX(CapacityAge12*'01_Вводные'!$B$218*'19_Расчет_аналитики'!AW3596,MeanMinAge12))),0)</f>
        <v/>
      </c>
      <c r="AX3539">
        <f>IF('01_Вводные'!$B$234="Да",IF(OR(('19_Расчет_аналитики'!AX3455-'19_Расчет_аналитики'!AX3483)=0,12&lt;='01_Вводные'!$B$297),0,('19_Расчет_аналитики'!AX3455-'19_Расчет_аналитики'!AX3483)*IF('01_Вводные'!$B$239="Да",MeanMinAge12+'19_Расчет_аналитики'!AX3596*SUMIF(ThresholdAge12,"&lt;"&amp;'19_Расчет_аналитики'!AX3596,WeightedRevAge12)-SUMIF(ThresholdAge12,"&lt;"&amp;'19_Расчет_аналитики'!AX3596,WeightedMinAge12),MAX(CapacityAge12*'01_Вводные'!$B$218*'19_Расчет_аналитики'!AX3596,MeanMinAge12))),0)</f>
        <v/>
      </c>
      <c r="AY3539">
        <f>IF('01_Вводные'!$B$234="Да",IF(OR(('19_Расчет_аналитики'!AY3455-'19_Расчет_аналитики'!AY3483)=0,12&lt;='01_Вводные'!$B$297),0,('19_Расчет_аналитики'!AY3455-'19_Расчет_аналитики'!AY3483)*IF('01_Вводные'!$B$239="Да",MeanMinAge12+'19_Расчет_аналитики'!AY3596*SUMIF(ThresholdAge12,"&lt;"&amp;'19_Расчет_аналитики'!AY3596,WeightedRevAge12)-SUMIF(ThresholdAge12,"&lt;"&amp;'19_Расчет_аналитики'!AY3596,WeightedMinAge12),MAX(CapacityAge12*'01_Вводные'!$B$218*'19_Расчет_аналитики'!AY3596,MeanMinAge12))),0)</f>
        <v/>
      </c>
      <c r="AZ3539">
        <f>IF('01_Вводные'!$B$234="Да",IF(OR(('19_Расчет_аналитики'!AZ3455-'19_Расчет_аналитики'!AZ3483)=0,12&lt;='01_Вводные'!$B$297),0,('19_Расчет_аналитики'!AZ3455-'19_Расчет_аналитики'!AZ3483)*IF('01_Вводные'!$B$239="Да",MeanMinAge12+'19_Расчет_аналитики'!AZ3596*SUMIF(ThresholdAge12,"&lt;"&amp;'19_Расчет_аналитики'!AZ3596,WeightedRevAge12)-SUMIF(ThresholdAge12,"&lt;"&amp;'19_Расчет_аналитики'!AZ3596,WeightedMinAge12),MAX(CapacityAge12*'01_Вводные'!$B$218*'19_Расчет_аналитики'!AZ3596,MeanMinAge12))),0)</f>
        <v/>
      </c>
      <c r="BA3539">
        <f>IF('01_Вводные'!$B$234="Да",IF(OR(('19_Расчет_аналитики'!BA3455-'19_Расчет_аналитики'!BA3483)=0,12&lt;='01_Вводные'!$B$297),0,('19_Расчет_аналитики'!BA3455-'19_Расчет_аналитики'!BA3483)*IF('01_Вводные'!$B$239="Да",MeanMinAge12+'19_Расчет_аналитики'!BA3596*SUMIF(ThresholdAge12,"&lt;"&amp;'19_Расчет_аналитики'!BA3596,WeightedRevAge12)-SUMIF(ThresholdAge12,"&lt;"&amp;'19_Расчет_аналитики'!BA3596,WeightedMinAge12),MAX(CapacityAge12*'01_Вводные'!$B$218*'19_Расчет_аналитики'!BA3596,MeanMinAge12))),0)</f>
        <v/>
      </c>
      <c r="BB3539">
        <f>IF('01_Вводные'!$B$234="Да",IF(OR(('19_Расчет_аналитики'!BB3455-'19_Расчет_аналитики'!BB3483)=0,12&lt;='01_Вводные'!$B$297),0,('19_Расчет_аналитики'!BB3455-'19_Расчет_аналитики'!BB3483)*IF('01_Вводные'!$B$239="Да",MeanMinAge12+'19_Расчет_аналитики'!BB3596*SUMIF(ThresholdAge12,"&lt;"&amp;'19_Расчет_аналитики'!BB3596,WeightedRevAge12)-SUMIF(ThresholdAge12,"&lt;"&amp;'19_Расчет_аналитики'!BB3596,WeightedMinAge12),MAX(CapacityAge12*'01_Вводные'!$B$218*'19_Расчет_аналитики'!BB3596,MeanMinAge12))),0)</f>
        <v/>
      </c>
      <c r="BC3539">
        <f>IF('01_Вводные'!$B$234="Да",IF(OR(('19_Расчет_аналитики'!BC3455-'19_Расчет_аналитики'!BC3483)=0,12&lt;='01_Вводные'!$B$297),0,('19_Расчет_аналитики'!BC3455-'19_Расчет_аналитики'!BC3483)*IF('01_Вводные'!$B$239="Да",MeanMinAge12+'19_Расчет_аналитики'!BC3596*SUMIF(ThresholdAge12,"&lt;"&amp;'19_Расчет_аналитики'!BC3596,WeightedRevAge12)-SUMIF(ThresholdAge12,"&lt;"&amp;'19_Расчет_аналитики'!BC3596,WeightedMinAge12),MAX(CapacityAge12*'01_Вводные'!$B$218*'19_Расчет_аналитики'!BC3596,MeanMinAge12))),0)</f>
        <v/>
      </c>
      <c r="BD3539">
        <f>IF('01_Вводные'!$B$234="Да",IF(OR(('19_Расчет_аналитики'!BD3455-'19_Расчет_аналитики'!BD3483)=0,12&lt;='01_Вводные'!$B$297),0,('19_Расчет_аналитики'!BD3455-'19_Расчет_аналитики'!BD3483)*IF('01_Вводные'!$B$239="Да",MeanMinAge12+'19_Расчет_аналитики'!BD3596*SUMIF(ThresholdAge12,"&lt;"&amp;'19_Расчет_аналитики'!BD3596,WeightedRevAge12)-SUMIF(ThresholdAge12,"&lt;"&amp;'19_Расчет_аналитики'!BD3596,WeightedMinAge12),MAX(CapacityAge12*'01_Вводные'!$B$218*'19_Расчет_аналитики'!BD3596,MeanMinAge12))),0)</f>
        <v/>
      </c>
      <c r="BE3539">
        <f>IF('01_Вводные'!$B$234="Да",IF(OR(('19_Расчет_аналитики'!BE3455-'19_Расчет_аналитики'!BE3483)=0,12&lt;='01_Вводные'!$B$297),0,('19_Расчет_аналитики'!BE3455-'19_Расчет_аналитики'!BE3483)*IF('01_Вводные'!$B$239="Да",MeanMinAge12+'19_Расчет_аналитики'!BE3596*SUMIF(ThresholdAge12,"&lt;"&amp;'19_Расчет_аналитики'!BE3596,WeightedRevAge12)-SUMIF(ThresholdAge12,"&lt;"&amp;'19_Расчет_аналитики'!BE3596,WeightedMinAge12),MAX(CapacityAge12*'01_Вводные'!$B$218*'19_Расчет_аналитики'!BE3596,MeanMinAge12))),0)</f>
        <v/>
      </c>
      <c r="BF3539">
        <f>IF('01_Вводные'!$B$234="Да",IF(OR(('19_Расчет_аналитики'!BF3455-'19_Расчет_аналитики'!BF3483)=0,12&lt;='01_Вводные'!$B$297),0,('19_Расчет_аналитики'!BF3455-'19_Расчет_аналитики'!BF3483)*IF('01_Вводные'!$B$239="Да",MeanMinAge12+'19_Расчет_аналитики'!BF3596*SUMIF(ThresholdAge12,"&lt;"&amp;'19_Расчет_аналитики'!BF3596,WeightedRevAge12)-SUMIF(ThresholdAge12,"&lt;"&amp;'19_Расчет_аналитики'!BF3596,WeightedMinAge12),MAX(CapacityAge12*'01_Вводные'!$B$218*'19_Расчет_аналитики'!BF3596,MeanMinAge12))),0)</f>
        <v/>
      </c>
      <c r="BG3539">
        <f>IF('01_Вводные'!$B$234="Да",IF(OR(('19_Расчет_аналитики'!BG3455-'19_Расчет_аналитики'!BG3483)=0,12&lt;='01_Вводные'!$B$297),0,('19_Расчет_аналитики'!BG3455-'19_Расчет_аналитики'!BG3483)*IF('01_Вводные'!$B$239="Да",MeanMinAge12+'19_Расчет_аналитики'!BG3596*SUMIF(ThresholdAge12,"&lt;"&amp;'19_Расчет_аналитики'!BG3596,WeightedRevAge12)-SUMIF(ThresholdAge12,"&lt;"&amp;'19_Расчет_аналитики'!BG3596,WeightedMinAge12),MAX(CapacityAge12*'01_Вводные'!$B$218*'19_Расчет_аналитики'!BG3596,MeanMinAge12))),0)</f>
        <v/>
      </c>
      <c r="BH3539">
        <f>IF('01_Вводные'!$B$234="Да",IF(OR(('19_Расчет_аналитики'!BH3455-'19_Расчет_аналитики'!BH3483)=0,12&lt;='01_Вводные'!$B$297),0,('19_Расчет_аналитики'!BH3455-'19_Расчет_аналитики'!BH3483)*IF('01_Вводные'!$B$239="Да",MeanMinAge12+'19_Расчет_аналитики'!BH3596*SUMIF(ThresholdAge12,"&lt;"&amp;'19_Расчет_аналитики'!BH3596,WeightedRevAge12)-SUMIF(ThresholdAge12,"&lt;"&amp;'19_Расчет_аналитики'!BH3596,WeightedMinAge12),MAX(CapacityAge12*'01_Вводные'!$B$218*'19_Расчет_аналитики'!BH3596,MeanMinAge12))),0)</f>
        <v/>
      </c>
      <c r="BI3539">
        <f>IF('01_Вводные'!$B$234="Да",IF(OR(('19_Расчет_аналитики'!BI3455-'19_Расчет_аналитики'!BI3483)=0,12&lt;='01_Вводные'!$B$297),0,('19_Расчет_аналитики'!BI3455-'19_Расчет_аналитики'!BI3483)*IF('01_Вводные'!$B$239="Да",MeanMinAge12+'19_Расчет_аналитики'!BI3596*SUMIF(ThresholdAge12,"&lt;"&amp;'19_Расчет_аналитики'!BI3596,WeightedRevAge12)-SUMIF(ThresholdAge12,"&lt;"&amp;'19_Расчет_аналитики'!BI3596,WeightedMinAge12),MAX(CapacityAge12*'01_Вводные'!$B$218*'19_Расчет_аналитики'!BI3596,MeanMinAge12))),0)</f>
        <v/>
      </c>
      <c r="BJ3539">
        <f>IF('01_Вводные'!$B$234="Да",IF(OR(('19_Расчет_аналитики'!BJ3455-'19_Расчет_аналитики'!BJ3483)=0,12&lt;='01_Вводные'!$B$297),0,('19_Расчет_аналитики'!BJ3455-'19_Расчет_аналитики'!BJ3483)*IF('01_Вводные'!$B$239="Да",MeanMinAge12+'19_Расчет_аналитики'!BJ3596*SUMIF(ThresholdAge12,"&lt;"&amp;'19_Расчет_аналитики'!BJ3596,WeightedRevAge12)-SUMIF(ThresholdAge12,"&lt;"&amp;'19_Расчет_аналитики'!BJ3596,WeightedMinAge12),MAX(CapacityAge12*'01_Вводные'!$B$218*'19_Расчет_аналитики'!BJ3596,MeanMinAge12))),0)</f>
        <v/>
      </c>
      <c r="BK3539">
        <f>IF('01_Вводные'!$B$234="Да",IF(OR(('19_Расчет_аналитики'!BK3455-'19_Расчет_аналитики'!BK3483)=0,12&lt;='01_Вводные'!$B$297),0,('19_Расчет_аналитики'!BK3455-'19_Расчет_аналитики'!BK3483)*IF('01_Вводные'!$B$239="Да",MeanMinAge12+'19_Расчет_аналитики'!BK3596*SUMIF(ThresholdAge12,"&lt;"&amp;'19_Расчет_аналитики'!BK3596,WeightedRevAge12)-SUMIF(ThresholdAge12,"&lt;"&amp;'19_Расчет_аналитики'!BK3596,WeightedMinAge12),MAX(CapacityAge12*'01_Вводные'!$B$218*'19_Расчет_аналитики'!BK3596,MeanMinAge12))),0)</f>
        <v/>
      </c>
      <c r="BL3539">
        <f>IF('01_Вводные'!$B$234="Да",IF(OR(('19_Расчет_аналитики'!BL3455-'19_Расчет_аналитики'!BL3483)=0,12&lt;='01_Вводные'!$B$297),0,('19_Расчет_аналитики'!BL3455-'19_Расчет_аналитики'!BL3483)*IF('01_Вводные'!$B$239="Да",MeanMinAge12+'19_Расчет_аналитики'!BL3596*SUMIF(ThresholdAge12,"&lt;"&amp;'19_Расчет_аналитики'!BL3596,WeightedRevAge12)-SUMIF(ThresholdAge12,"&lt;"&amp;'19_Расчет_аналитики'!BL3596,WeightedMinAge12),MAX(CapacityAge12*'01_Вводные'!$B$218*'19_Расчет_аналитики'!BL3596,MeanMinAge12))),0)</f>
        <v/>
      </c>
      <c r="BM3539">
        <f>IF('01_Вводные'!$B$234="Да",IF(OR(('19_Расчет_аналитики'!BM3455-'19_Расчет_аналитики'!BM3483)=0,12&lt;='01_Вводные'!$B$297),0,('19_Расчет_аналитики'!BM3455-'19_Расчет_аналитики'!BM3483)*IF('01_Вводные'!$B$239="Да",MeanMinAge12+'19_Расчет_аналитики'!BM3596*SUMIF(ThresholdAge12,"&lt;"&amp;'19_Расчет_аналитики'!BM3596,WeightedRevAge12)-SUMIF(ThresholdAge12,"&lt;"&amp;'19_Расчет_аналитики'!BM3596,WeightedMinAge12),MAX(CapacityAge12*'01_Вводные'!$B$218*'19_Расчет_аналитики'!BM3596,MeanMinAge12))),0)</f>
        <v/>
      </c>
      <c r="BN3539">
        <f>IF('01_Вводные'!$B$234="Да",IF(OR(('19_Расчет_аналитики'!BN3455-'19_Расчет_аналитики'!BN3483)=0,12&lt;='01_Вводные'!$B$297),0,('19_Расчет_аналитики'!BN3455-'19_Расчет_аналитики'!BN3483)*IF('01_Вводные'!$B$239="Да",MeanMinAge12+'19_Расчет_аналитики'!BN3596*SUMIF(ThresholdAge12,"&lt;"&amp;'19_Расчет_аналитики'!BN3596,WeightedRevAge12)-SUMIF(ThresholdAge12,"&lt;"&amp;'19_Расчет_аналитики'!BN3596,WeightedMinAge12),MAX(CapacityAge12*'01_Вводные'!$B$218*'19_Расчет_аналитики'!BN3596,MeanMinAge12))),0)</f>
        <v/>
      </c>
      <c r="BO3539">
        <f>IF('01_Вводные'!$B$234="Да",IF(OR(('19_Расчет_аналитики'!BO3455-'19_Расчет_аналитики'!BO3483)=0,12&lt;='01_Вводные'!$B$297),0,('19_Расчет_аналитики'!BO3455-'19_Расчет_аналитики'!BO3483)*IF('01_Вводные'!$B$239="Да",MeanMinAge12+'19_Расчет_аналитики'!BO3596*SUMIF(ThresholdAge12,"&lt;"&amp;'19_Расчет_аналитики'!BO3596,WeightedRevAge12)-SUMIF(ThresholdAge12,"&lt;"&amp;'19_Расчет_аналитики'!BO3596,WeightedMinAge12),MAX(CapacityAge12*'01_Вводные'!$B$218*'19_Расчет_аналитики'!BO3596,MeanMinAge12))),0)</f>
        <v/>
      </c>
    </row>
    <row r="3540">
      <c r="B3540">
        <f>IF('01_Вводные'!$B$234="Да",IF(OR(('06_Сеть_и_дети'!B65-'06_Сеть_и_дети'!B93)=0,13&lt;='01_Вводные'!$B$297),0,('06_Сеть_и_дети'!B65-'06_Сеть_и_дети'!B93)*IF('01_Вводные'!$B$239="Да",MeanMinAge13+'19_Расчет_аналитики'!B3596*SUMIF(ThresholdAge13,"&lt;"&amp;'19_Расчет_аналитики'!B3596,WeightedRevAge13)-SUMIF(ThresholdAge13,"&lt;"&amp;'19_Расчет_аналитики'!B3596,WeightedMinAge13),MAX(CapacityAge13*'01_Вводные'!$B$218*'19_Расчет_аналитики'!B3596,MeanMinAge13))),0)</f>
        <v/>
      </c>
      <c r="C3540">
        <f>IF('01_Вводные'!$B$234="Да",IF(OR(('06_Сеть_и_дети'!C65-'06_Сеть_и_дети'!C93)=0,13&lt;='01_Вводные'!$B$297),0,('06_Сеть_и_дети'!C65-'06_Сеть_и_дети'!C93)*IF('01_Вводные'!$B$239="Да",MeanMinAge13+'19_Расчет_аналитики'!C3596*SUMIF(ThresholdAge13,"&lt;"&amp;'19_Расчет_аналитики'!C3596,WeightedRevAge13)-SUMIF(ThresholdAge13,"&lt;"&amp;'19_Расчет_аналитики'!C3596,WeightedMinAge13),MAX(CapacityAge13*'01_Вводные'!$B$218*'19_Расчет_аналитики'!C3596,MeanMinAge13))),0)</f>
        <v/>
      </c>
      <c r="D3540">
        <f>IF('01_Вводные'!$B$234="Да",IF(OR(('06_Сеть_и_дети'!D65-'06_Сеть_и_дети'!D93)=0,13&lt;='01_Вводные'!$B$297),0,('06_Сеть_и_дети'!D65-'06_Сеть_и_дети'!D93)*IF('01_Вводные'!$B$239="Да",MeanMinAge13+'19_Расчет_аналитики'!D3596*SUMIF(ThresholdAge13,"&lt;"&amp;'19_Расчет_аналитики'!D3596,WeightedRevAge13)-SUMIF(ThresholdAge13,"&lt;"&amp;'19_Расчет_аналитики'!D3596,WeightedMinAge13),MAX(CapacityAge13*'01_Вводные'!$B$218*'19_Расчет_аналитики'!D3596,MeanMinAge13))),0)</f>
        <v/>
      </c>
      <c r="E3540">
        <f>IF('01_Вводные'!$B$234="Да",IF(OR(('06_Сеть_и_дети'!E65-'06_Сеть_и_дети'!E93)=0,13&lt;='01_Вводные'!$B$297),0,('06_Сеть_и_дети'!E65-'06_Сеть_и_дети'!E93)*IF('01_Вводные'!$B$239="Да",MeanMinAge13+'19_Расчет_аналитики'!E3596*SUMIF(ThresholdAge13,"&lt;"&amp;'19_Расчет_аналитики'!E3596,WeightedRevAge13)-SUMIF(ThresholdAge13,"&lt;"&amp;'19_Расчет_аналитики'!E3596,WeightedMinAge13),MAX(CapacityAge13*'01_Вводные'!$B$218*'19_Расчет_аналитики'!E3596,MeanMinAge13))),0)</f>
        <v/>
      </c>
      <c r="F3540">
        <f>IF('01_Вводные'!$B$234="Да",IF(OR(('06_Сеть_и_дети'!F65-'06_Сеть_и_дети'!F93)=0,13&lt;='01_Вводные'!$B$297),0,('06_Сеть_и_дети'!F65-'06_Сеть_и_дети'!F93)*IF('01_Вводные'!$B$239="Да",MeanMinAge13+'19_Расчет_аналитики'!F3596*SUMIF(ThresholdAge13,"&lt;"&amp;'19_Расчет_аналитики'!F3596,WeightedRevAge13)-SUMIF(ThresholdAge13,"&lt;"&amp;'19_Расчет_аналитики'!F3596,WeightedMinAge13),MAX(CapacityAge13*'01_Вводные'!$B$218*'19_Расчет_аналитики'!F3596,MeanMinAge13))),0)</f>
        <v/>
      </c>
      <c r="G3540">
        <f>IF('01_Вводные'!$B$234="Да",IF(OR(('06_Сеть_и_дети'!G65-'06_Сеть_и_дети'!G93)=0,13&lt;='01_Вводные'!$B$297),0,('06_Сеть_и_дети'!G65-'06_Сеть_и_дети'!G93)*IF('01_Вводные'!$B$239="Да",MeanMinAge13+'19_Расчет_аналитики'!G3596*SUMIF(ThresholdAge13,"&lt;"&amp;'19_Расчет_аналитики'!G3596,WeightedRevAge13)-SUMIF(ThresholdAge13,"&lt;"&amp;'19_Расчет_аналитики'!G3596,WeightedMinAge13),MAX(CapacityAge13*'01_Вводные'!$B$218*'19_Расчет_аналитики'!G3596,MeanMinAge13))),0)</f>
        <v/>
      </c>
      <c r="H3540">
        <f>IF('01_Вводные'!$B$234="Да",IF(OR(('06_Сеть_и_дети'!H65-'06_Сеть_и_дети'!H93)=0,13&lt;='01_Вводные'!$B$297),0,('06_Сеть_и_дети'!H65-'06_Сеть_и_дети'!H93)*IF('01_Вводные'!$B$239="Да",MeanMinAge13+'19_Расчет_аналитики'!H3596*SUMIF(ThresholdAge13,"&lt;"&amp;'19_Расчет_аналитики'!H3596,WeightedRevAge13)-SUMIF(ThresholdAge13,"&lt;"&amp;'19_Расчет_аналитики'!H3596,WeightedMinAge13),MAX(CapacityAge13*'01_Вводные'!$B$218*'19_Расчет_аналитики'!H3596,MeanMinAge13))),0)</f>
        <v/>
      </c>
      <c r="I3540">
        <f>IF('01_Вводные'!$B$234="Да",IF(OR(('06_Сеть_и_дети'!I65-'06_Сеть_и_дети'!I93)=0,13&lt;='01_Вводные'!$B$297),0,('06_Сеть_и_дети'!I65-'06_Сеть_и_дети'!I93)*IF('01_Вводные'!$B$239="Да",MeanMinAge13+'19_Расчет_аналитики'!I3596*SUMIF(ThresholdAge13,"&lt;"&amp;'19_Расчет_аналитики'!I3596,WeightedRevAge13)-SUMIF(ThresholdAge13,"&lt;"&amp;'19_Расчет_аналитики'!I3596,WeightedMinAge13),MAX(CapacityAge13*'01_Вводные'!$B$218*'19_Расчет_аналитики'!I3596,MeanMinAge13))),0)</f>
        <v/>
      </c>
      <c r="J3540">
        <f>IF('01_Вводные'!$B$234="Да",IF(OR(('06_Сеть_и_дети'!J65-'06_Сеть_и_дети'!J93)=0,13&lt;='01_Вводные'!$B$297),0,('06_Сеть_и_дети'!J65-'06_Сеть_и_дети'!J93)*IF('01_Вводные'!$B$239="Да",MeanMinAge13+'19_Расчет_аналитики'!J3596*SUMIF(ThresholdAge13,"&lt;"&amp;'19_Расчет_аналитики'!J3596,WeightedRevAge13)-SUMIF(ThresholdAge13,"&lt;"&amp;'19_Расчет_аналитики'!J3596,WeightedMinAge13),MAX(CapacityAge13*'01_Вводные'!$B$218*'19_Расчет_аналитики'!J3596,MeanMinAge13))),0)</f>
        <v/>
      </c>
      <c r="K3540">
        <f>IF('01_Вводные'!$B$234="Да",IF(OR(('06_Сеть_и_дети'!K65-'06_Сеть_и_дети'!K93)=0,13&lt;='01_Вводные'!$B$297),0,('06_Сеть_и_дети'!K65-'06_Сеть_и_дети'!K93)*IF('01_Вводные'!$B$239="Да",MeanMinAge13+'19_Расчет_аналитики'!K3596*SUMIF(ThresholdAge13,"&lt;"&amp;'19_Расчет_аналитики'!K3596,WeightedRevAge13)-SUMIF(ThresholdAge13,"&lt;"&amp;'19_Расчет_аналитики'!K3596,WeightedMinAge13),MAX(CapacityAge13*'01_Вводные'!$B$218*'19_Расчет_аналитики'!K3596,MeanMinAge13))),0)</f>
        <v/>
      </c>
      <c r="L3540">
        <f>IF('01_Вводные'!$B$234="Да",IF(OR(('06_Сеть_и_дети'!L65-'06_Сеть_и_дети'!L93)=0,13&lt;='01_Вводные'!$B$297),0,('06_Сеть_и_дети'!L65-'06_Сеть_и_дети'!L93)*IF('01_Вводные'!$B$239="Да",MeanMinAge13+'19_Расчет_аналитики'!L3596*SUMIF(ThresholdAge13,"&lt;"&amp;'19_Расчет_аналитики'!L3596,WeightedRevAge13)-SUMIF(ThresholdAge13,"&lt;"&amp;'19_Расчет_аналитики'!L3596,WeightedMinAge13),MAX(CapacityAge13*'01_Вводные'!$B$218*'19_Расчет_аналитики'!L3596,MeanMinAge13))),0)</f>
        <v/>
      </c>
      <c r="M3540">
        <f>IF('01_Вводные'!$B$234="Да",IF(OR(('06_Сеть_и_дети'!M65-'06_Сеть_и_дети'!M93)=0,13&lt;='01_Вводные'!$B$297),0,('06_Сеть_и_дети'!M65-'06_Сеть_и_дети'!M93)*IF('01_Вводные'!$B$239="Да",MeanMinAge13+'19_Расчет_аналитики'!M3596*SUMIF(ThresholdAge13,"&lt;"&amp;'19_Расчет_аналитики'!M3596,WeightedRevAge13)-SUMIF(ThresholdAge13,"&lt;"&amp;'19_Расчет_аналитики'!M3596,WeightedMinAge13),MAX(CapacityAge13*'01_Вводные'!$B$218*'19_Расчет_аналитики'!M3596,MeanMinAge13))),0)</f>
        <v/>
      </c>
      <c r="N3540">
        <f>IF('01_Вводные'!$B$234="Да",IF(OR(('19_Расчет_аналитики'!N3456-'19_Расчет_аналитики'!N3484)=0,13&lt;='01_Вводные'!$B$297),0,('19_Расчет_аналитики'!N3456-'19_Расчет_аналитики'!N3484)*IF('01_Вводные'!$B$239="Да",MeanMinAge13+'19_Расчет_аналитики'!N3596*SUMIF(ThresholdAge13,"&lt;"&amp;'19_Расчет_аналитики'!N3596,WeightedRevAge13)-SUMIF(ThresholdAge13,"&lt;"&amp;'19_Расчет_аналитики'!N3596,WeightedMinAge13),MAX(CapacityAge13*'01_Вводные'!$B$218*'19_Расчет_аналитики'!N3596,MeanMinAge13))),0)</f>
        <v/>
      </c>
      <c r="O3540">
        <f>IF('01_Вводные'!$B$234="Да",IF(OR(('19_Расчет_аналитики'!O3456-'19_Расчет_аналитики'!O3484)=0,13&lt;='01_Вводные'!$B$297),0,('19_Расчет_аналитики'!O3456-'19_Расчет_аналитики'!O3484)*IF('01_Вводные'!$B$239="Да",MeanMinAge13+'19_Расчет_аналитики'!O3596*SUMIF(ThresholdAge13,"&lt;"&amp;'19_Расчет_аналитики'!O3596,WeightedRevAge13)-SUMIF(ThresholdAge13,"&lt;"&amp;'19_Расчет_аналитики'!O3596,WeightedMinAge13),MAX(CapacityAge13*'01_Вводные'!$B$218*'19_Расчет_аналитики'!O3596,MeanMinAge13))),0)</f>
        <v/>
      </c>
      <c r="P3540">
        <f>IF('01_Вводные'!$B$234="Да",IF(OR(('19_Расчет_аналитики'!P3456-'19_Расчет_аналитики'!P3484)=0,13&lt;='01_Вводные'!$B$297),0,('19_Расчет_аналитики'!P3456-'19_Расчет_аналитики'!P3484)*IF('01_Вводные'!$B$239="Да",MeanMinAge13+'19_Расчет_аналитики'!P3596*SUMIF(ThresholdAge13,"&lt;"&amp;'19_Расчет_аналитики'!P3596,WeightedRevAge13)-SUMIF(ThresholdAge13,"&lt;"&amp;'19_Расчет_аналитики'!P3596,WeightedMinAge13),MAX(CapacityAge13*'01_Вводные'!$B$218*'19_Расчет_аналитики'!P3596,MeanMinAge13))),0)</f>
        <v/>
      </c>
      <c r="Q3540">
        <f>IF('01_Вводные'!$B$234="Да",IF(OR(('19_Расчет_аналитики'!Q3456-'19_Расчет_аналитики'!Q3484)=0,13&lt;='01_Вводные'!$B$297),0,('19_Расчет_аналитики'!Q3456-'19_Расчет_аналитики'!Q3484)*IF('01_Вводные'!$B$239="Да",MeanMinAge13+'19_Расчет_аналитики'!Q3596*SUMIF(ThresholdAge13,"&lt;"&amp;'19_Расчет_аналитики'!Q3596,WeightedRevAge13)-SUMIF(ThresholdAge13,"&lt;"&amp;'19_Расчет_аналитики'!Q3596,WeightedMinAge13),MAX(CapacityAge13*'01_Вводные'!$B$218*'19_Расчет_аналитики'!Q3596,MeanMinAge13))),0)</f>
        <v/>
      </c>
      <c r="R3540">
        <f>IF('01_Вводные'!$B$234="Да",IF(OR(('19_Расчет_аналитики'!R3456-'19_Расчет_аналитики'!R3484)=0,13&lt;='01_Вводные'!$B$297),0,('19_Расчет_аналитики'!R3456-'19_Расчет_аналитики'!R3484)*IF('01_Вводные'!$B$239="Да",MeanMinAge13+'19_Расчет_аналитики'!R3596*SUMIF(ThresholdAge13,"&lt;"&amp;'19_Расчет_аналитики'!R3596,WeightedRevAge13)-SUMIF(ThresholdAge13,"&lt;"&amp;'19_Расчет_аналитики'!R3596,WeightedMinAge13),MAX(CapacityAge13*'01_Вводные'!$B$218*'19_Расчет_аналитики'!R3596,MeanMinAge13))),0)</f>
        <v/>
      </c>
      <c r="S3540">
        <f>IF('01_Вводные'!$B$234="Да",IF(OR(('19_Расчет_аналитики'!S3456-'19_Расчет_аналитики'!S3484)=0,13&lt;='01_Вводные'!$B$297),0,('19_Расчет_аналитики'!S3456-'19_Расчет_аналитики'!S3484)*IF('01_Вводные'!$B$239="Да",MeanMinAge13+'19_Расчет_аналитики'!S3596*SUMIF(ThresholdAge13,"&lt;"&amp;'19_Расчет_аналитики'!S3596,WeightedRevAge13)-SUMIF(ThresholdAge13,"&lt;"&amp;'19_Расчет_аналитики'!S3596,WeightedMinAge13),MAX(CapacityAge13*'01_Вводные'!$B$218*'19_Расчет_аналитики'!S3596,MeanMinAge13))),0)</f>
        <v/>
      </c>
      <c r="T3540">
        <f>IF('01_Вводные'!$B$234="Да",IF(OR(('19_Расчет_аналитики'!T3456-'19_Расчет_аналитики'!T3484)=0,13&lt;='01_Вводные'!$B$297),0,('19_Расчет_аналитики'!T3456-'19_Расчет_аналитики'!T3484)*IF('01_Вводные'!$B$239="Да",MeanMinAge13+'19_Расчет_аналитики'!T3596*SUMIF(ThresholdAge13,"&lt;"&amp;'19_Расчет_аналитики'!T3596,WeightedRevAge13)-SUMIF(ThresholdAge13,"&lt;"&amp;'19_Расчет_аналитики'!T3596,WeightedMinAge13),MAX(CapacityAge13*'01_Вводные'!$B$218*'19_Расчет_аналитики'!T3596,MeanMinAge13))),0)</f>
        <v/>
      </c>
      <c r="U3540">
        <f>IF('01_Вводные'!$B$234="Да",IF(OR(('19_Расчет_аналитики'!U3456-'19_Расчет_аналитики'!U3484)=0,13&lt;='01_Вводные'!$B$297),0,('19_Расчет_аналитики'!U3456-'19_Расчет_аналитики'!U3484)*IF('01_Вводные'!$B$239="Да",MeanMinAge13+'19_Расчет_аналитики'!U3596*SUMIF(ThresholdAge13,"&lt;"&amp;'19_Расчет_аналитики'!U3596,WeightedRevAge13)-SUMIF(ThresholdAge13,"&lt;"&amp;'19_Расчет_аналитики'!U3596,WeightedMinAge13),MAX(CapacityAge13*'01_Вводные'!$B$218*'19_Расчет_аналитики'!U3596,MeanMinAge13))),0)</f>
        <v/>
      </c>
      <c r="V3540">
        <f>IF('01_Вводные'!$B$234="Да",IF(OR(('19_Расчет_аналитики'!V3456-'19_Расчет_аналитики'!V3484)=0,13&lt;='01_Вводные'!$B$297),0,('19_Расчет_аналитики'!V3456-'19_Расчет_аналитики'!V3484)*IF('01_Вводные'!$B$239="Да",MeanMinAge13+'19_Расчет_аналитики'!V3596*SUMIF(ThresholdAge13,"&lt;"&amp;'19_Расчет_аналитики'!V3596,WeightedRevAge13)-SUMIF(ThresholdAge13,"&lt;"&amp;'19_Расчет_аналитики'!V3596,WeightedMinAge13),MAX(CapacityAge13*'01_Вводные'!$B$218*'19_Расчет_аналитики'!V3596,MeanMinAge13))),0)</f>
        <v/>
      </c>
      <c r="W3540">
        <f>IF('01_Вводные'!$B$234="Да",IF(OR(('19_Расчет_аналитики'!W3456-'19_Расчет_аналитики'!W3484)=0,13&lt;='01_Вводные'!$B$297),0,('19_Расчет_аналитики'!W3456-'19_Расчет_аналитики'!W3484)*IF('01_Вводные'!$B$239="Да",MeanMinAge13+'19_Расчет_аналитики'!W3596*SUMIF(ThresholdAge13,"&lt;"&amp;'19_Расчет_аналитики'!W3596,WeightedRevAge13)-SUMIF(ThresholdAge13,"&lt;"&amp;'19_Расчет_аналитики'!W3596,WeightedMinAge13),MAX(CapacityAge13*'01_Вводные'!$B$218*'19_Расчет_аналитики'!W3596,MeanMinAge13))),0)</f>
        <v/>
      </c>
      <c r="X3540">
        <f>IF('01_Вводные'!$B$234="Да",IF(OR(('19_Расчет_аналитики'!X3456-'19_Расчет_аналитики'!X3484)=0,13&lt;='01_Вводные'!$B$297),0,('19_Расчет_аналитики'!X3456-'19_Расчет_аналитики'!X3484)*IF('01_Вводные'!$B$239="Да",MeanMinAge13+'19_Расчет_аналитики'!X3596*SUMIF(ThresholdAge13,"&lt;"&amp;'19_Расчет_аналитики'!X3596,WeightedRevAge13)-SUMIF(ThresholdAge13,"&lt;"&amp;'19_Расчет_аналитики'!X3596,WeightedMinAge13),MAX(CapacityAge13*'01_Вводные'!$B$218*'19_Расчет_аналитики'!X3596,MeanMinAge13))),0)</f>
        <v/>
      </c>
      <c r="Y3540">
        <f>IF('01_Вводные'!$B$234="Да",IF(OR(('19_Расчет_аналитики'!Y3456-'19_Расчет_аналитики'!Y3484)=0,13&lt;='01_Вводные'!$B$297),0,('19_Расчет_аналитики'!Y3456-'19_Расчет_аналитики'!Y3484)*IF('01_Вводные'!$B$239="Да",MeanMinAge13+'19_Расчет_аналитики'!Y3596*SUMIF(ThresholdAge13,"&lt;"&amp;'19_Расчет_аналитики'!Y3596,WeightedRevAge13)-SUMIF(ThresholdAge13,"&lt;"&amp;'19_Расчет_аналитики'!Y3596,WeightedMinAge13),MAX(CapacityAge13*'01_Вводные'!$B$218*'19_Расчет_аналитики'!Y3596,MeanMinAge13))),0)</f>
        <v/>
      </c>
      <c r="Z3540">
        <f>IF('01_Вводные'!$B$234="Да",IF(OR(('19_Расчет_аналитики'!Z3456-'19_Расчет_аналитики'!Z3484)=0,13&lt;='01_Вводные'!$B$297),0,('19_Расчет_аналитики'!Z3456-'19_Расчет_аналитики'!Z3484)*IF('01_Вводные'!$B$239="Да",MeanMinAge13+'19_Расчет_аналитики'!Z3596*SUMIF(ThresholdAge13,"&lt;"&amp;'19_Расчет_аналитики'!Z3596,WeightedRevAge13)-SUMIF(ThresholdAge13,"&lt;"&amp;'19_Расчет_аналитики'!Z3596,WeightedMinAge13),MAX(CapacityAge13*'01_Вводные'!$B$218*'19_Расчет_аналитики'!Z3596,MeanMinAge13))),0)</f>
        <v/>
      </c>
      <c r="AA3540">
        <f>IF('01_Вводные'!$B$234="Да",IF(OR(('19_Расчет_аналитики'!AA3456-'19_Расчет_аналитики'!AA3484)=0,13&lt;='01_Вводные'!$B$297),0,('19_Расчет_аналитики'!AA3456-'19_Расчет_аналитики'!AA3484)*IF('01_Вводные'!$B$239="Да",MeanMinAge13+'19_Расчет_аналитики'!AA3596*SUMIF(ThresholdAge13,"&lt;"&amp;'19_Расчет_аналитики'!AA3596,WeightedRevAge13)-SUMIF(ThresholdAge13,"&lt;"&amp;'19_Расчет_аналитики'!AA3596,WeightedMinAge13),MAX(CapacityAge13*'01_Вводные'!$B$218*'19_Расчет_аналитики'!AA3596,MeanMinAge13))),0)</f>
        <v/>
      </c>
      <c r="AB3540">
        <f>IF('01_Вводные'!$B$234="Да",IF(OR(('19_Расчет_аналитики'!AB3456-'19_Расчет_аналитики'!AB3484)=0,13&lt;='01_Вводные'!$B$297),0,('19_Расчет_аналитики'!AB3456-'19_Расчет_аналитики'!AB3484)*IF('01_Вводные'!$B$239="Да",MeanMinAge13+'19_Расчет_аналитики'!AB3596*SUMIF(ThresholdAge13,"&lt;"&amp;'19_Расчет_аналитики'!AB3596,WeightedRevAge13)-SUMIF(ThresholdAge13,"&lt;"&amp;'19_Расчет_аналитики'!AB3596,WeightedMinAge13),MAX(CapacityAge13*'01_Вводные'!$B$218*'19_Расчет_аналитики'!AB3596,MeanMinAge13))),0)</f>
        <v/>
      </c>
      <c r="AC3540">
        <f>IF('01_Вводные'!$B$234="Да",IF(OR(('19_Расчет_аналитики'!AC3456-'19_Расчет_аналитики'!AC3484)=0,13&lt;='01_Вводные'!$B$297),0,('19_Расчет_аналитики'!AC3456-'19_Расчет_аналитики'!AC3484)*IF('01_Вводные'!$B$239="Да",MeanMinAge13+'19_Расчет_аналитики'!AC3596*SUMIF(ThresholdAge13,"&lt;"&amp;'19_Расчет_аналитики'!AC3596,WeightedRevAge13)-SUMIF(ThresholdAge13,"&lt;"&amp;'19_Расчет_аналитики'!AC3596,WeightedMinAge13),MAX(CapacityAge13*'01_Вводные'!$B$218*'19_Расчет_аналитики'!AC3596,MeanMinAge13))),0)</f>
        <v/>
      </c>
      <c r="AD3540">
        <f>IF('01_Вводные'!$B$234="Да",IF(OR(('19_Расчет_аналитики'!AD3456-'19_Расчет_аналитики'!AD3484)=0,13&lt;='01_Вводные'!$B$297),0,('19_Расчет_аналитики'!AD3456-'19_Расчет_аналитики'!AD3484)*IF('01_Вводные'!$B$239="Да",MeanMinAge13+'19_Расчет_аналитики'!AD3596*SUMIF(ThresholdAge13,"&lt;"&amp;'19_Расчет_аналитики'!AD3596,WeightedRevAge13)-SUMIF(ThresholdAge13,"&lt;"&amp;'19_Расчет_аналитики'!AD3596,WeightedMinAge13),MAX(CapacityAge13*'01_Вводные'!$B$218*'19_Расчет_аналитики'!AD3596,MeanMinAge13))),0)</f>
        <v/>
      </c>
      <c r="AE3540">
        <f>IF('01_Вводные'!$B$234="Да",IF(OR(('19_Расчет_аналитики'!AE3456-'19_Расчет_аналитики'!AE3484)=0,13&lt;='01_Вводные'!$B$297),0,('19_Расчет_аналитики'!AE3456-'19_Расчет_аналитики'!AE3484)*IF('01_Вводные'!$B$239="Да",MeanMinAge13+'19_Расчет_аналитики'!AE3596*SUMIF(ThresholdAge13,"&lt;"&amp;'19_Расчет_аналитики'!AE3596,WeightedRevAge13)-SUMIF(ThresholdAge13,"&lt;"&amp;'19_Расчет_аналитики'!AE3596,WeightedMinAge13),MAX(CapacityAge13*'01_Вводные'!$B$218*'19_Расчет_аналитики'!AE3596,MeanMinAge13))),0)</f>
        <v/>
      </c>
      <c r="AF3540">
        <f>IF('01_Вводные'!$B$234="Да",IF(OR(('19_Расчет_аналитики'!AF3456-'19_Расчет_аналитики'!AF3484)=0,13&lt;='01_Вводные'!$B$297),0,('19_Расчет_аналитики'!AF3456-'19_Расчет_аналитики'!AF3484)*IF('01_Вводные'!$B$239="Да",MeanMinAge13+'19_Расчет_аналитики'!AF3596*SUMIF(ThresholdAge13,"&lt;"&amp;'19_Расчет_аналитики'!AF3596,WeightedRevAge13)-SUMIF(ThresholdAge13,"&lt;"&amp;'19_Расчет_аналитики'!AF3596,WeightedMinAge13),MAX(CapacityAge13*'01_Вводные'!$B$218*'19_Расчет_аналитики'!AF3596,MeanMinAge13))),0)</f>
        <v/>
      </c>
      <c r="AG3540">
        <f>IF('01_Вводные'!$B$234="Да",IF(OR(('19_Расчет_аналитики'!AG3456-'19_Расчет_аналитики'!AG3484)=0,13&lt;='01_Вводные'!$B$297),0,('19_Расчет_аналитики'!AG3456-'19_Расчет_аналитики'!AG3484)*IF('01_Вводные'!$B$239="Да",MeanMinAge13+'19_Расчет_аналитики'!AG3596*SUMIF(ThresholdAge13,"&lt;"&amp;'19_Расчет_аналитики'!AG3596,WeightedRevAge13)-SUMIF(ThresholdAge13,"&lt;"&amp;'19_Расчет_аналитики'!AG3596,WeightedMinAge13),MAX(CapacityAge13*'01_Вводные'!$B$218*'19_Расчет_аналитики'!AG3596,MeanMinAge13))),0)</f>
        <v/>
      </c>
      <c r="AH3540">
        <f>IF('01_Вводные'!$B$234="Да",IF(OR(('19_Расчет_аналитики'!AH3456-'19_Расчет_аналитики'!AH3484)=0,13&lt;='01_Вводные'!$B$297),0,('19_Расчет_аналитики'!AH3456-'19_Расчет_аналитики'!AH3484)*IF('01_Вводные'!$B$239="Да",MeanMinAge13+'19_Расчет_аналитики'!AH3596*SUMIF(ThresholdAge13,"&lt;"&amp;'19_Расчет_аналитики'!AH3596,WeightedRevAge13)-SUMIF(ThresholdAge13,"&lt;"&amp;'19_Расчет_аналитики'!AH3596,WeightedMinAge13),MAX(CapacityAge13*'01_Вводные'!$B$218*'19_Расчет_аналитики'!AH3596,MeanMinAge13))),0)</f>
        <v/>
      </c>
      <c r="AI3540">
        <f>IF('01_Вводные'!$B$234="Да",IF(OR(('19_Расчет_аналитики'!AI3456-'19_Расчет_аналитики'!AI3484)=0,13&lt;='01_Вводные'!$B$297),0,('19_Расчет_аналитики'!AI3456-'19_Расчет_аналитики'!AI3484)*IF('01_Вводные'!$B$239="Да",MeanMinAge13+'19_Расчет_аналитики'!AI3596*SUMIF(ThresholdAge13,"&lt;"&amp;'19_Расчет_аналитики'!AI3596,WeightedRevAge13)-SUMIF(ThresholdAge13,"&lt;"&amp;'19_Расчет_аналитики'!AI3596,WeightedMinAge13),MAX(CapacityAge13*'01_Вводные'!$B$218*'19_Расчет_аналитики'!AI3596,MeanMinAge13))),0)</f>
        <v/>
      </c>
      <c r="AJ3540">
        <f>IF('01_Вводные'!$B$234="Да",IF(OR(('19_Расчет_аналитики'!AJ3456-'19_Расчет_аналитики'!AJ3484)=0,13&lt;='01_Вводные'!$B$297),0,('19_Расчет_аналитики'!AJ3456-'19_Расчет_аналитики'!AJ3484)*IF('01_Вводные'!$B$239="Да",MeanMinAge13+'19_Расчет_аналитики'!AJ3596*SUMIF(ThresholdAge13,"&lt;"&amp;'19_Расчет_аналитики'!AJ3596,WeightedRevAge13)-SUMIF(ThresholdAge13,"&lt;"&amp;'19_Расчет_аналитики'!AJ3596,WeightedMinAge13),MAX(CapacityAge13*'01_Вводные'!$B$218*'19_Расчет_аналитики'!AJ3596,MeanMinAge13))),0)</f>
        <v/>
      </c>
      <c r="AK3540">
        <f>IF('01_Вводные'!$B$234="Да",IF(OR(('19_Расчет_аналитики'!AK3456-'19_Расчет_аналитики'!AK3484)=0,13&lt;='01_Вводные'!$B$297),0,('19_Расчет_аналитики'!AK3456-'19_Расчет_аналитики'!AK3484)*IF('01_Вводные'!$B$239="Да",MeanMinAge13+'19_Расчет_аналитики'!AK3596*SUMIF(ThresholdAge13,"&lt;"&amp;'19_Расчет_аналитики'!AK3596,WeightedRevAge13)-SUMIF(ThresholdAge13,"&lt;"&amp;'19_Расчет_аналитики'!AK3596,WeightedMinAge13),MAX(CapacityAge13*'01_Вводные'!$B$218*'19_Расчет_аналитики'!AK3596,MeanMinAge13))),0)</f>
        <v/>
      </c>
      <c r="AL3540">
        <f>IF('01_Вводные'!$B$234="Да",IF(OR(('19_Расчет_аналитики'!AL3456-'19_Расчет_аналитики'!AL3484)=0,13&lt;='01_Вводные'!$B$297),0,('19_Расчет_аналитики'!AL3456-'19_Расчет_аналитики'!AL3484)*IF('01_Вводные'!$B$239="Да",MeanMinAge13+'19_Расчет_аналитики'!AL3596*SUMIF(ThresholdAge13,"&lt;"&amp;'19_Расчет_аналитики'!AL3596,WeightedRevAge13)-SUMIF(ThresholdAge13,"&lt;"&amp;'19_Расчет_аналитики'!AL3596,WeightedMinAge13),MAX(CapacityAge13*'01_Вводные'!$B$218*'19_Расчет_аналитики'!AL3596,MeanMinAge13))),0)</f>
        <v/>
      </c>
      <c r="AM3540">
        <f>IF('01_Вводные'!$B$234="Да",IF(OR(('19_Расчет_аналитики'!AM3456-'19_Расчет_аналитики'!AM3484)=0,13&lt;='01_Вводные'!$B$297),0,('19_Расчет_аналитики'!AM3456-'19_Расчет_аналитики'!AM3484)*IF('01_Вводные'!$B$239="Да",MeanMinAge13+'19_Расчет_аналитики'!AM3596*SUMIF(ThresholdAge13,"&lt;"&amp;'19_Расчет_аналитики'!AM3596,WeightedRevAge13)-SUMIF(ThresholdAge13,"&lt;"&amp;'19_Расчет_аналитики'!AM3596,WeightedMinAge13),MAX(CapacityAge13*'01_Вводные'!$B$218*'19_Расчет_аналитики'!AM3596,MeanMinAge13))),0)</f>
        <v/>
      </c>
      <c r="AN3540">
        <f>IF('01_Вводные'!$B$234="Да",IF(OR(('19_Расчет_аналитики'!AN3456-'19_Расчет_аналитики'!AN3484)=0,13&lt;='01_Вводные'!$B$297),0,('19_Расчет_аналитики'!AN3456-'19_Расчет_аналитики'!AN3484)*IF('01_Вводные'!$B$239="Да",MeanMinAge13+'19_Расчет_аналитики'!AN3596*SUMIF(ThresholdAge13,"&lt;"&amp;'19_Расчет_аналитики'!AN3596,WeightedRevAge13)-SUMIF(ThresholdAge13,"&lt;"&amp;'19_Расчет_аналитики'!AN3596,WeightedMinAge13),MAX(CapacityAge13*'01_Вводные'!$B$218*'19_Расчет_аналитики'!AN3596,MeanMinAge13))),0)</f>
        <v/>
      </c>
      <c r="AO3540">
        <f>IF('01_Вводные'!$B$234="Да",IF(OR(('19_Расчет_аналитики'!AO3456-'19_Расчет_аналитики'!AO3484)=0,13&lt;='01_Вводные'!$B$297),0,('19_Расчет_аналитики'!AO3456-'19_Расчет_аналитики'!AO3484)*IF('01_Вводные'!$B$239="Да",MeanMinAge13+'19_Расчет_аналитики'!AO3596*SUMIF(ThresholdAge13,"&lt;"&amp;'19_Расчет_аналитики'!AO3596,WeightedRevAge13)-SUMIF(ThresholdAge13,"&lt;"&amp;'19_Расчет_аналитики'!AO3596,WeightedMinAge13),MAX(CapacityAge13*'01_Вводные'!$B$218*'19_Расчет_аналитики'!AO3596,MeanMinAge13))),0)</f>
        <v/>
      </c>
      <c r="AP3540">
        <f>IF('01_Вводные'!$B$234="Да",IF(OR(('19_Расчет_аналитики'!AP3456-'19_Расчет_аналитики'!AP3484)=0,13&lt;='01_Вводные'!$B$297),0,('19_Расчет_аналитики'!AP3456-'19_Расчет_аналитики'!AP3484)*IF('01_Вводные'!$B$239="Да",MeanMinAge13+'19_Расчет_аналитики'!AP3596*SUMIF(ThresholdAge13,"&lt;"&amp;'19_Расчет_аналитики'!AP3596,WeightedRevAge13)-SUMIF(ThresholdAge13,"&lt;"&amp;'19_Расчет_аналитики'!AP3596,WeightedMinAge13),MAX(CapacityAge13*'01_Вводные'!$B$218*'19_Расчет_аналитики'!AP3596,MeanMinAge13))),0)</f>
        <v/>
      </c>
      <c r="AQ3540">
        <f>IF('01_Вводные'!$B$234="Да",IF(OR(('19_Расчет_аналитики'!AQ3456-'19_Расчет_аналитики'!AQ3484)=0,13&lt;='01_Вводные'!$B$297),0,('19_Расчет_аналитики'!AQ3456-'19_Расчет_аналитики'!AQ3484)*IF('01_Вводные'!$B$239="Да",MeanMinAge13+'19_Расчет_аналитики'!AQ3596*SUMIF(ThresholdAge13,"&lt;"&amp;'19_Расчет_аналитики'!AQ3596,WeightedRevAge13)-SUMIF(ThresholdAge13,"&lt;"&amp;'19_Расчет_аналитики'!AQ3596,WeightedMinAge13),MAX(CapacityAge13*'01_Вводные'!$B$218*'19_Расчет_аналитики'!AQ3596,MeanMinAge13))),0)</f>
        <v/>
      </c>
      <c r="AR3540">
        <f>IF('01_Вводные'!$B$234="Да",IF(OR(('19_Расчет_аналитики'!AR3456-'19_Расчет_аналитики'!AR3484)=0,13&lt;='01_Вводные'!$B$297),0,('19_Расчет_аналитики'!AR3456-'19_Расчет_аналитики'!AR3484)*IF('01_Вводные'!$B$239="Да",MeanMinAge13+'19_Расчет_аналитики'!AR3596*SUMIF(ThresholdAge13,"&lt;"&amp;'19_Расчет_аналитики'!AR3596,WeightedRevAge13)-SUMIF(ThresholdAge13,"&lt;"&amp;'19_Расчет_аналитики'!AR3596,WeightedMinAge13),MAX(CapacityAge13*'01_Вводные'!$B$218*'19_Расчет_аналитики'!AR3596,MeanMinAge13))),0)</f>
        <v/>
      </c>
      <c r="AS3540">
        <f>IF('01_Вводные'!$B$234="Да",IF(OR(('19_Расчет_аналитики'!AS3456-'19_Расчет_аналитики'!AS3484)=0,13&lt;='01_Вводные'!$B$297),0,('19_Расчет_аналитики'!AS3456-'19_Расчет_аналитики'!AS3484)*IF('01_Вводные'!$B$239="Да",MeanMinAge13+'19_Расчет_аналитики'!AS3596*SUMIF(ThresholdAge13,"&lt;"&amp;'19_Расчет_аналитики'!AS3596,WeightedRevAge13)-SUMIF(ThresholdAge13,"&lt;"&amp;'19_Расчет_аналитики'!AS3596,WeightedMinAge13),MAX(CapacityAge13*'01_Вводные'!$B$218*'19_Расчет_аналитики'!AS3596,MeanMinAge13))),0)</f>
        <v/>
      </c>
      <c r="AT3540">
        <f>IF('01_Вводные'!$B$234="Да",IF(OR(('19_Расчет_аналитики'!AT3456-'19_Расчет_аналитики'!AT3484)=0,13&lt;='01_Вводные'!$B$297),0,('19_Расчет_аналитики'!AT3456-'19_Расчет_аналитики'!AT3484)*IF('01_Вводные'!$B$239="Да",MeanMinAge13+'19_Расчет_аналитики'!AT3596*SUMIF(ThresholdAge13,"&lt;"&amp;'19_Расчет_аналитики'!AT3596,WeightedRevAge13)-SUMIF(ThresholdAge13,"&lt;"&amp;'19_Расчет_аналитики'!AT3596,WeightedMinAge13),MAX(CapacityAge13*'01_Вводные'!$B$218*'19_Расчет_аналитики'!AT3596,MeanMinAge13))),0)</f>
        <v/>
      </c>
      <c r="AU3540">
        <f>IF('01_Вводные'!$B$234="Да",IF(OR(('19_Расчет_аналитики'!AU3456-'19_Расчет_аналитики'!AU3484)=0,13&lt;='01_Вводные'!$B$297),0,('19_Расчет_аналитики'!AU3456-'19_Расчет_аналитики'!AU3484)*IF('01_Вводные'!$B$239="Да",MeanMinAge13+'19_Расчет_аналитики'!AU3596*SUMIF(ThresholdAge13,"&lt;"&amp;'19_Расчет_аналитики'!AU3596,WeightedRevAge13)-SUMIF(ThresholdAge13,"&lt;"&amp;'19_Расчет_аналитики'!AU3596,WeightedMinAge13),MAX(CapacityAge13*'01_Вводные'!$B$218*'19_Расчет_аналитики'!AU3596,MeanMinAge13))),0)</f>
        <v/>
      </c>
      <c r="AV3540">
        <f>IF('01_Вводные'!$B$234="Да",IF(OR(('19_Расчет_аналитики'!AV3456-'19_Расчет_аналитики'!AV3484)=0,13&lt;='01_Вводные'!$B$297),0,('19_Расчет_аналитики'!AV3456-'19_Расчет_аналитики'!AV3484)*IF('01_Вводные'!$B$239="Да",MeanMinAge13+'19_Расчет_аналитики'!AV3596*SUMIF(ThresholdAge13,"&lt;"&amp;'19_Расчет_аналитики'!AV3596,WeightedRevAge13)-SUMIF(ThresholdAge13,"&lt;"&amp;'19_Расчет_аналитики'!AV3596,WeightedMinAge13),MAX(CapacityAge13*'01_Вводные'!$B$218*'19_Расчет_аналитики'!AV3596,MeanMinAge13))),0)</f>
        <v/>
      </c>
      <c r="AW3540">
        <f>IF('01_Вводные'!$B$234="Да",IF(OR(('19_Расчет_аналитики'!AW3456-'19_Расчет_аналитики'!AW3484)=0,13&lt;='01_Вводные'!$B$297),0,('19_Расчет_аналитики'!AW3456-'19_Расчет_аналитики'!AW3484)*IF('01_Вводные'!$B$239="Да",MeanMinAge13+'19_Расчет_аналитики'!AW3596*SUMIF(ThresholdAge13,"&lt;"&amp;'19_Расчет_аналитики'!AW3596,WeightedRevAge13)-SUMIF(ThresholdAge13,"&lt;"&amp;'19_Расчет_аналитики'!AW3596,WeightedMinAge13),MAX(CapacityAge13*'01_Вводные'!$B$218*'19_Расчет_аналитики'!AW3596,MeanMinAge13))),0)</f>
        <v/>
      </c>
      <c r="AX3540">
        <f>IF('01_Вводные'!$B$234="Да",IF(OR(('19_Расчет_аналитики'!AX3456-'19_Расчет_аналитики'!AX3484)=0,13&lt;='01_Вводные'!$B$297),0,('19_Расчет_аналитики'!AX3456-'19_Расчет_аналитики'!AX3484)*IF('01_Вводные'!$B$239="Да",MeanMinAge13+'19_Расчет_аналитики'!AX3596*SUMIF(ThresholdAge13,"&lt;"&amp;'19_Расчет_аналитики'!AX3596,WeightedRevAge13)-SUMIF(ThresholdAge13,"&lt;"&amp;'19_Расчет_аналитики'!AX3596,WeightedMinAge13),MAX(CapacityAge13*'01_Вводные'!$B$218*'19_Расчет_аналитики'!AX3596,MeanMinAge13))),0)</f>
        <v/>
      </c>
      <c r="AY3540">
        <f>IF('01_Вводные'!$B$234="Да",IF(OR(('19_Расчет_аналитики'!AY3456-'19_Расчет_аналитики'!AY3484)=0,13&lt;='01_Вводные'!$B$297),0,('19_Расчет_аналитики'!AY3456-'19_Расчет_аналитики'!AY3484)*IF('01_Вводные'!$B$239="Да",MeanMinAge13+'19_Расчет_аналитики'!AY3596*SUMIF(ThresholdAge13,"&lt;"&amp;'19_Расчет_аналитики'!AY3596,WeightedRevAge13)-SUMIF(ThresholdAge13,"&lt;"&amp;'19_Расчет_аналитики'!AY3596,WeightedMinAge13),MAX(CapacityAge13*'01_Вводные'!$B$218*'19_Расчет_аналитики'!AY3596,MeanMinAge13))),0)</f>
        <v/>
      </c>
      <c r="AZ3540">
        <f>IF('01_Вводные'!$B$234="Да",IF(OR(('19_Расчет_аналитики'!AZ3456-'19_Расчет_аналитики'!AZ3484)=0,13&lt;='01_Вводные'!$B$297),0,('19_Расчет_аналитики'!AZ3456-'19_Расчет_аналитики'!AZ3484)*IF('01_Вводные'!$B$239="Да",MeanMinAge13+'19_Расчет_аналитики'!AZ3596*SUMIF(ThresholdAge13,"&lt;"&amp;'19_Расчет_аналитики'!AZ3596,WeightedRevAge13)-SUMIF(ThresholdAge13,"&lt;"&amp;'19_Расчет_аналитики'!AZ3596,WeightedMinAge13),MAX(CapacityAge13*'01_Вводные'!$B$218*'19_Расчет_аналитики'!AZ3596,MeanMinAge13))),0)</f>
        <v/>
      </c>
      <c r="BA3540">
        <f>IF('01_Вводные'!$B$234="Да",IF(OR(('19_Расчет_аналитики'!BA3456-'19_Расчет_аналитики'!BA3484)=0,13&lt;='01_Вводные'!$B$297),0,('19_Расчет_аналитики'!BA3456-'19_Расчет_аналитики'!BA3484)*IF('01_Вводные'!$B$239="Да",MeanMinAge13+'19_Расчет_аналитики'!BA3596*SUMIF(ThresholdAge13,"&lt;"&amp;'19_Расчет_аналитики'!BA3596,WeightedRevAge13)-SUMIF(ThresholdAge13,"&lt;"&amp;'19_Расчет_аналитики'!BA3596,WeightedMinAge13),MAX(CapacityAge13*'01_Вводные'!$B$218*'19_Расчет_аналитики'!BA3596,MeanMinAge13))),0)</f>
        <v/>
      </c>
      <c r="BB3540">
        <f>IF('01_Вводные'!$B$234="Да",IF(OR(('19_Расчет_аналитики'!BB3456-'19_Расчет_аналитики'!BB3484)=0,13&lt;='01_Вводные'!$B$297),0,('19_Расчет_аналитики'!BB3456-'19_Расчет_аналитики'!BB3484)*IF('01_Вводные'!$B$239="Да",MeanMinAge13+'19_Расчет_аналитики'!BB3596*SUMIF(ThresholdAge13,"&lt;"&amp;'19_Расчет_аналитики'!BB3596,WeightedRevAge13)-SUMIF(ThresholdAge13,"&lt;"&amp;'19_Расчет_аналитики'!BB3596,WeightedMinAge13),MAX(CapacityAge13*'01_Вводные'!$B$218*'19_Расчет_аналитики'!BB3596,MeanMinAge13))),0)</f>
        <v/>
      </c>
      <c r="BC3540">
        <f>IF('01_Вводные'!$B$234="Да",IF(OR(('19_Расчет_аналитики'!BC3456-'19_Расчет_аналитики'!BC3484)=0,13&lt;='01_Вводные'!$B$297),0,('19_Расчет_аналитики'!BC3456-'19_Расчет_аналитики'!BC3484)*IF('01_Вводные'!$B$239="Да",MeanMinAge13+'19_Расчет_аналитики'!BC3596*SUMIF(ThresholdAge13,"&lt;"&amp;'19_Расчет_аналитики'!BC3596,WeightedRevAge13)-SUMIF(ThresholdAge13,"&lt;"&amp;'19_Расчет_аналитики'!BC3596,WeightedMinAge13),MAX(CapacityAge13*'01_Вводные'!$B$218*'19_Расчет_аналитики'!BC3596,MeanMinAge13))),0)</f>
        <v/>
      </c>
      <c r="BD3540">
        <f>IF('01_Вводные'!$B$234="Да",IF(OR(('19_Расчет_аналитики'!BD3456-'19_Расчет_аналитики'!BD3484)=0,13&lt;='01_Вводные'!$B$297),0,('19_Расчет_аналитики'!BD3456-'19_Расчет_аналитики'!BD3484)*IF('01_Вводные'!$B$239="Да",MeanMinAge13+'19_Расчет_аналитики'!BD3596*SUMIF(ThresholdAge13,"&lt;"&amp;'19_Расчет_аналитики'!BD3596,WeightedRevAge13)-SUMIF(ThresholdAge13,"&lt;"&amp;'19_Расчет_аналитики'!BD3596,WeightedMinAge13),MAX(CapacityAge13*'01_Вводные'!$B$218*'19_Расчет_аналитики'!BD3596,MeanMinAge13))),0)</f>
        <v/>
      </c>
      <c r="BE3540">
        <f>IF('01_Вводные'!$B$234="Да",IF(OR(('19_Расчет_аналитики'!BE3456-'19_Расчет_аналитики'!BE3484)=0,13&lt;='01_Вводные'!$B$297),0,('19_Расчет_аналитики'!BE3456-'19_Расчет_аналитики'!BE3484)*IF('01_Вводные'!$B$239="Да",MeanMinAge13+'19_Расчет_аналитики'!BE3596*SUMIF(ThresholdAge13,"&lt;"&amp;'19_Расчет_аналитики'!BE3596,WeightedRevAge13)-SUMIF(ThresholdAge13,"&lt;"&amp;'19_Расчет_аналитики'!BE3596,WeightedMinAge13),MAX(CapacityAge13*'01_Вводные'!$B$218*'19_Расчет_аналитики'!BE3596,MeanMinAge13))),0)</f>
        <v/>
      </c>
      <c r="BF3540">
        <f>IF('01_Вводные'!$B$234="Да",IF(OR(('19_Расчет_аналитики'!BF3456-'19_Расчет_аналитики'!BF3484)=0,13&lt;='01_Вводные'!$B$297),0,('19_Расчет_аналитики'!BF3456-'19_Расчет_аналитики'!BF3484)*IF('01_Вводные'!$B$239="Да",MeanMinAge13+'19_Расчет_аналитики'!BF3596*SUMIF(ThresholdAge13,"&lt;"&amp;'19_Расчет_аналитики'!BF3596,WeightedRevAge13)-SUMIF(ThresholdAge13,"&lt;"&amp;'19_Расчет_аналитики'!BF3596,WeightedMinAge13),MAX(CapacityAge13*'01_Вводные'!$B$218*'19_Расчет_аналитики'!BF3596,MeanMinAge13))),0)</f>
        <v/>
      </c>
      <c r="BG3540">
        <f>IF('01_Вводные'!$B$234="Да",IF(OR(('19_Расчет_аналитики'!BG3456-'19_Расчет_аналитики'!BG3484)=0,13&lt;='01_Вводные'!$B$297),0,('19_Расчет_аналитики'!BG3456-'19_Расчет_аналитики'!BG3484)*IF('01_Вводные'!$B$239="Да",MeanMinAge13+'19_Расчет_аналитики'!BG3596*SUMIF(ThresholdAge13,"&lt;"&amp;'19_Расчет_аналитики'!BG3596,WeightedRevAge13)-SUMIF(ThresholdAge13,"&lt;"&amp;'19_Расчет_аналитики'!BG3596,WeightedMinAge13),MAX(CapacityAge13*'01_Вводные'!$B$218*'19_Расчет_аналитики'!BG3596,MeanMinAge13))),0)</f>
        <v/>
      </c>
      <c r="BH3540">
        <f>IF('01_Вводные'!$B$234="Да",IF(OR(('19_Расчет_аналитики'!BH3456-'19_Расчет_аналитики'!BH3484)=0,13&lt;='01_Вводные'!$B$297),0,('19_Расчет_аналитики'!BH3456-'19_Расчет_аналитики'!BH3484)*IF('01_Вводные'!$B$239="Да",MeanMinAge13+'19_Расчет_аналитики'!BH3596*SUMIF(ThresholdAge13,"&lt;"&amp;'19_Расчет_аналитики'!BH3596,WeightedRevAge13)-SUMIF(ThresholdAge13,"&lt;"&amp;'19_Расчет_аналитики'!BH3596,WeightedMinAge13),MAX(CapacityAge13*'01_Вводные'!$B$218*'19_Расчет_аналитики'!BH3596,MeanMinAge13))),0)</f>
        <v/>
      </c>
      <c r="BI3540">
        <f>IF('01_Вводные'!$B$234="Да",IF(OR(('19_Расчет_аналитики'!BI3456-'19_Расчет_аналитики'!BI3484)=0,13&lt;='01_Вводные'!$B$297),0,('19_Расчет_аналитики'!BI3456-'19_Расчет_аналитики'!BI3484)*IF('01_Вводные'!$B$239="Да",MeanMinAge13+'19_Расчет_аналитики'!BI3596*SUMIF(ThresholdAge13,"&lt;"&amp;'19_Расчет_аналитики'!BI3596,WeightedRevAge13)-SUMIF(ThresholdAge13,"&lt;"&amp;'19_Расчет_аналитики'!BI3596,WeightedMinAge13),MAX(CapacityAge13*'01_Вводные'!$B$218*'19_Расчет_аналитики'!BI3596,MeanMinAge13))),0)</f>
        <v/>
      </c>
      <c r="BJ3540">
        <f>IF('01_Вводные'!$B$234="Да",IF(OR(('19_Расчет_аналитики'!BJ3456-'19_Расчет_аналитики'!BJ3484)=0,13&lt;='01_Вводные'!$B$297),0,('19_Расчет_аналитики'!BJ3456-'19_Расчет_аналитики'!BJ3484)*IF('01_Вводные'!$B$239="Да",MeanMinAge13+'19_Расчет_аналитики'!BJ3596*SUMIF(ThresholdAge13,"&lt;"&amp;'19_Расчет_аналитики'!BJ3596,WeightedRevAge13)-SUMIF(ThresholdAge13,"&lt;"&amp;'19_Расчет_аналитики'!BJ3596,WeightedMinAge13),MAX(CapacityAge13*'01_Вводные'!$B$218*'19_Расчет_аналитики'!BJ3596,MeanMinAge13))),0)</f>
        <v/>
      </c>
      <c r="BK3540">
        <f>IF('01_Вводные'!$B$234="Да",IF(OR(('19_Расчет_аналитики'!BK3456-'19_Расчет_аналитики'!BK3484)=0,13&lt;='01_Вводные'!$B$297),0,('19_Расчет_аналитики'!BK3456-'19_Расчет_аналитики'!BK3484)*IF('01_Вводные'!$B$239="Да",MeanMinAge13+'19_Расчет_аналитики'!BK3596*SUMIF(ThresholdAge13,"&lt;"&amp;'19_Расчет_аналитики'!BK3596,WeightedRevAge13)-SUMIF(ThresholdAge13,"&lt;"&amp;'19_Расчет_аналитики'!BK3596,WeightedMinAge13),MAX(CapacityAge13*'01_Вводные'!$B$218*'19_Расчет_аналитики'!BK3596,MeanMinAge13))),0)</f>
        <v/>
      </c>
      <c r="BL3540">
        <f>IF('01_Вводные'!$B$234="Да",IF(OR(('19_Расчет_аналитики'!BL3456-'19_Расчет_аналитики'!BL3484)=0,13&lt;='01_Вводные'!$B$297),0,('19_Расчет_аналитики'!BL3456-'19_Расчет_аналитики'!BL3484)*IF('01_Вводные'!$B$239="Да",MeanMinAge13+'19_Расчет_аналитики'!BL3596*SUMIF(ThresholdAge13,"&lt;"&amp;'19_Расчет_аналитики'!BL3596,WeightedRevAge13)-SUMIF(ThresholdAge13,"&lt;"&amp;'19_Расчет_аналитики'!BL3596,WeightedMinAge13),MAX(CapacityAge13*'01_Вводные'!$B$218*'19_Расчет_аналитики'!BL3596,MeanMinAge13))),0)</f>
        <v/>
      </c>
      <c r="BM3540">
        <f>IF('01_Вводные'!$B$234="Да",IF(OR(('19_Расчет_аналитики'!BM3456-'19_Расчет_аналитики'!BM3484)=0,13&lt;='01_Вводные'!$B$297),0,('19_Расчет_аналитики'!BM3456-'19_Расчет_аналитики'!BM3484)*IF('01_Вводные'!$B$239="Да",MeanMinAge13+'19_Расчет_аналитики'!BM3596*SUMIF(ThresholdAge13,"&lt;"&amp;'19_Расчет_аналитики'!BM3596,WeightedRevAge13)-SUMIF(ThresholdAge13,"&lt;"&amp;'19_Расчет_аналитики'!BM3596,WeightedMinAge13),MAX(CapacityAge13*'01_Вводные'!$B$218*'19_Расчет_аналитики'!BM3596,MeanMinAge13))),0)</f>
        <v/>
      </c>
      <c r="BN3540">
        <f>IF('01_Вводные'!$B$234="Да",IF(OR(('19_Расчет_аналитики'!BN3456-'19_Расчет_аналитики'!BN3484)=0,13&lt;='01_Вводные'!$B$297),0,('19_Расчет_аналитики'!BN3456-'19_Расчет_аналитики'!BN3484)*IF('01_Вводные'!$B$239="Да",MeanMinAge13+'19_Расчет_аналитики'!BN3596*SUMIF(ThresholdAge13,"&lt;"&amp;'19_Расчет_аналитики'!BN3596,WeightedRevAge13)-SUMIF(ThresholdAge13,"&lt;"&amp;'19_Расчет_аналитики'!BN3596,WeightedMinAge13),MAX(CapacityAge13*'01_Вводные'!$B$218*'19_Расчет_аналитики'!BN3596,MeanMinAge13))),0)</f>
        <v/>
      </c>
      <c r="BO3540">
        <f>IF('01_Вводные'!$B$234="Да",IF(OR(('19_Расчет_аналитики'!BO3456-'19_Расчет_аналитики'!BO3484)=0,13&lt;='01_Вводные'!$B$297),0,('19_Расчет_аналитики'!BO3456-'19_Расчет_аналитики'!BO3484)*IF('01_Вводные'!$B$239="Да",MeanMinAge13+'19_Расчет_аналитики'!BO3596*SUMIF(ThresholdAge13,"&lt;"&amp;'19_Расчет_аналитики'!BO3596,WeightedRevAge13)-SUMIF(ThresholdAge13,"&lt;"&amp;'19_Расчет_аналитики'!BO3596,WeightedMinAge13),MAX(CapacityAge13*'01_Вводные'!$B$218*'19_Расчет_аналитики'!BO3596,MeanMinAge13))),0)</f>
        <v/>
      </c>
    </row>
    <row r="3541">
      <c r="B3541">
        <f>IF('01_Вводные'!$B$234="Да",IF(OR(('06_Сеть_и_дети'!B66-'06_Сеть_и_дети'!B94)=0,14&lt;='01_Вводные'!$B$297),0,('06_Сеть_и_дети'!B66-'06_Сеть_и_дети'!B94)*IF('01_Вводные'!$B$239="Да",MeanMinAge14+'19_Расчет_аналитики'!B3596*SUMIF(ThresholdAge14,"&lt;"&amp;'19_Расчет_аналитики'!B3596,WeightedRevAge14)-SUMIF(ThresholdAge14,"&lt;"&amp;'19_Расчет_аналитики'!B3596,WeightedMinAge14),MAX(CapacityAge14*'01_Вводные'!$B$218*'19_Расчет_аналитики'!B3596,MeanMinAge14))),0)</f>
        <v/>
      </c>
      <c r="C3541">
        <f>IF('01_Вводные'!$B$234="Да",IF(OR(('06_Сеть_и_дети'!C66-'06_Сеть_и_дети'!C94)=0,14&lt;='01_Вводные'!$B$297),0,('06_Сеть_и_дети'!C66-'06_Сеть_и_дети'!C94)*IF('01_Вводные'!$B$239="Да",MeanMinAge14+'19_Расчет_аналитики'!C3596*SUMIF(ThresholdAge14,"&lt;"&amp;'19_Расчет_аналитики'!C3596,WeightedRevAge14)-SUMIF(ThresholdAge14,"&lt;"&amp;'19_Расчет_аналитики'!C3596,WeightedMinAge14),MAX(CapacityAge14*'01_Вводные'!$B$218*'19_Расчет_аналитики'!C3596,MeanMinAge14))),0)</f>
        <v/>
      </c>
      <c r="D3541">
        <f>IF('01_Вводные'!$B$234="Да",IF(OR(('06_Сеть_и_дети'!D66-'06_Сеть_и_дети'!D94)=0,14&lt;='01_Вводные'!$B$297),0,('06_Сеть_и_дети'!D66-'06_Сеть_и_дети'!D94)*IF('01_Вводные'!$B$239="Да",MeanMinAge14+'19_Расчет_аналитики'!D3596*SUMIF(ThresholdAge14,"&lt;"&amp;'19_Расчет_аналитики'!D3596,WeightedRevAge14)-SUMIF(ThresholdAge14,"&lt;"&amp;'19_Расчет_аналитики'!D3596,WeightedMinAge14),MAX(CapacityAge14*'01_Вводные'!$B$218*'19_Расчет_аналитики'!D3596,MeanMinAge14))),0)</f>
        <v/>
      </c>
      <c r="E3541">
        <f>IF('01_Вводные'!$B$234="Да",IF(OR(('06_Сеть_и_дети'!E66-'06_Сеть_и_дети'!E94)=0,14&lt;='01_Вводные'!$B$297),0,('06_Сеть_и_дети'!E66-'06_Сеть_и_дети'!E94)*IF('01_Вводные'!$B$239="Да",MeanMinAge14+'19_Расчет_аналитики'!E3596*SUMIF(ThresholdAge14,"&lt;"&amp;'19_Расчет_аналитики'!E3596,WeightedRevAge14)-SUMIF(ThresholdAge14,"&lt;"&amp;'19_Расчет_аналитики'!E3596,WeightedMinAge14),MAX(CapacityAge14*'01_Вводные'!$B$218*'19_Расчет_аналитики'!E3596,MeanMinAge14))),0)</f>
        <v/>
      </c>
      <c r="F3541">
        <f>IF('01_Вводные'!$B$234="Да",IF(OR(('06_Сеть_и_дети'!F66-'06_Сеть_и_дети'!F94)=0,14&lt;='01_Вводные'!$B$297),0,('06_Сеть_и_дети'!F66-'06_Сеть_и_дети'!F94)*IF('01_Вводные'!$B$239="Да",MeanMinAge14+'19_Расчет_аналитики'!F3596*SUMIF(ThresholdAge14,"&lt;"&amp;'19_Расчет_аналитики'!F3596,WeightedRevAge14)-SUMIF(ThresholdAge14,"&lt;"&amp;'19_Расчет_аналитики'!F3596,WeightedMinAge14),MAX(CapacityAge14*'01_Вводные'!$B$218*'19_Расчет_аналитики'!F3596,MeanMinAge14))),0)</f>
        <v/>
      </c>
      <c r="G3541">
        <f>IF('01_Вводные'!$B$234="Да",IF(OR(('06_Сеть_и_дети'!G66-'06_Сеть_и_дети'!G94)=0,14&lt;='01_Вводные'!$B$297),0,('06_Сеть_и_дети'!G66-'06_Сеть_и_дети'!G94)*IF('01_Вводные'!$B$239="Да",MeanMinAge14+'19_Расчет_аналитики'!G3596*SUMIF(ThresholdAge14,"&lt;"&amp;'19_Расчет_аналитики'!G3596,WeightedRevAge14)-SUMIF(ThresholdAge14,"&lt;"&amp;'19_Расчет_аналитики'!G3596,WeightedMinAge14),MAX(CapacityAge14*'01_Вводные'!$B$218*'19_Расчет_аналитики'!G3596,MeanMinAge14))),0)</f>
        <v/>
      </c>
      <c r="H3541">
        <f>IF('01_Вводные'!$B$234="Да",IF(OR(('06_Сеть_и_дети'!H66-'06_Сеть_и_дети'!H94)=0,14&lt;='01_Вводные'!$B$297),0,('06_Сеть_и_дети'!H66-'06_Сеть_и_дети'!H94)*IF('01_Вводные'!$B$239="Да",MeanMinAge14+'19_Расчет_аналитики'!H3596*SUMIF(ThresholdAge14,"&lt;"&amp;'19_Расчет_аналитики'!H3596,WeightedRevAge14)-SUMIF(ThresholdAge14,"&lt;"&amp;'19_Расчет_аналитики'!H3596,WeightedMinAge14),MAX(CapacityAge14*'01_Вводные'!$B$218*'19_Расчет_аналитики'!H3596,MeanMinAge14))),0)</f>
        <v/>
      </c>
      <c r="I3541">
        <f>IF('01_Вводные'!$B$234="Да",IF(OR(('06_Сеть_и_дети'!I66-'06_Сеть_и_дети'!I94)=0,14&lt;='01_Вводные'!$B$297),0,('06_Сеть_и_дети'!I66-'06_Сеть_и_дети'!I94)*IF('01_Вводные'!$B$239="Да",MeanMinAge14+'19_Расчет_аналитики'!I3596*SUMIF(ThresholdAge14,"&lt;"&amp;'19_Расчет_аналитики'!I3596,WeightedRevAge14)-SUMIF(ThresholdAge14,"&lt;"&amp;'19_Расчет_аналитики'!I3596,WeightedMinAge14),MAX(CapacityAge14*'01_Вводные'!$B$218*'19_Расчет_аналитики'!I3596,MeanMinAge14))),0)</f>
        <v/>
      </c>
      <c r="J3541">
        <f>IF('01_Вводные'!$B$234="Да",IF(OR(('06_Сеть_и_дети'!J66-'06_Сеть_и_дети'!J94)=0,14&lt;='01_Вводные'!$B$297),0,('06_Сеть_и_дети'!J66-'06_Сеть_и_дети'!J94)*IF('01_Вводные'!$B$239="Да",MeanMinAge14+'19_Расчет_аналитики'!J3596*SUMIF(ThresholdAge14,"&lt;"&amp;'19_Расчет_аналитики'!J3596,WeightedRevAge14)-SUMIF(ThresholdAge14,"&lt;"&amp;'19_Расчет_аналитики'!J3596,WeightedMinAge14),MAX(CapacityAge14*'01_Вводные'!$B$218*'19_Расчет_аналитики'!J3596,MeanMinAge14))),0)</f>
        <v/>
      </c>
      <c r="K3541">
        <f>IF('01_Вводные'!$B$234="Да",IF(OR(('06_Сеть_и_дети'!K66-'06_Сеть_и_дети'!K94)=0,14&lt;='01_Вводные'!$B$297),0,('06_Сеть_и_дети'!K66-'06_Сеть_и_дети'!K94)*IF('01_Вводные'!$B$239="Да",MeanMinAge14+'19_Расчет_аналитики'!K3596*SUMIF(ThresholdAge14,"&lt;"&amp;'19_Расчет_аналитики'!K3596,WeightedRevAge14)-SUMIF(ThresholdAge14,"&lt;"&amp;'19_Расчет_аналитики'!K3596,WeightedMinAge14),MAX(CapacityAge14*'01_Вводные'!$B$218*'19_Расчет_аналитики'!K3596,MeanMinAge14))),0)</f>
        <v/>
      </c>
      <c r="L3541">
        <f>IF('01_Вводные'!$B$234="Да",IF(OR(('06_Сеть_и_дети'!L66-'06_Сеть_и_дети'!L94)=0,14&lt;='01_Вводные'!$B$297),0,('06_Сеть_и_дети'!L66-'06_Сеть_и_дети'!L94)*IF('01_Вводные'!$B$239="Да",MeanMinAge14+'19_Расчет_аналитики'!L3596*SUMIF(ThresholdAge14,"&lt;"&amp;'19_Расчет_аналитики'!L3596,WeightedRevAge14)-SUMIF(ThresholdAge14,"&lt;"&amp;'19_Расчет_аналитики'!L3596,WeightedMinAge14),MAX(CapacityAge14*'01_Вводные'!$B$218*'19_Расчет_аналитики'!L3596,MeanMinAge14))),0)</f>
        <v/>
      </c>
      <c r="M3541">
        <f>IF('01_Вводные'!$B$234="Да",IF(OR(('06_Сеть_и_дети'!M66-'06_Сеть_и_дети'!M94)=0,14&lt;='01_Вводные'!$B$297),0,('06_Сеть_и_дети'!M66-'06_Сеть_и_дети'!M94)*IF('01_Вводные'!$B$239="Да",MeanMinAge14+'19_Расчет_аналитики'!M3596*SUMIF(ThresholdAge14,"&lt;"&amp;'19_Расчет_аналитики'!M3596,WeightedRevAge14)-SUMIF(ThresholdAge14,"&lt;"&amp;'19_Расчет_аналитики'!M3596,WeightedMinAge14),MAX(CapacityAge14*'01_Вводные'!$B$218*'19_Расчет_аналитики'!M3596,MeanMinAge14))),0)</f>
        <v/>
      </c>
      <c r="N3541">
        <f>IF('01_Вводные'!$B$234="Да",IF(OR(('06_Сеть_и_дети'!N66-'06_Сеть_и_дети'!N94)=0,14&lt;='01_Вводные'!$B$297),0,('06_Сеть_и_дети'!N66-'06_Сеть_и_дети'!N94)*IF('01_Вводные'!$B$239="Да",MeanMinAge14+'19_Расчет_аналитики'!N3596*SUMIF(ThresholdAge14,"&lt;"&amp;'19_Расчет_аналитики'!N3596,WeightedRevAge14)-SUMIF(ThresholdAge14,"&lt;"&amp;'19_Расчет_аналитики'!N3596,WeightedMinAge14),MAX(CapacityAge14*'01_Вводные'!$B$218*'19_Расчет_аналитики'!N3596,MeanMinAge14))),0)</f>
        <v/>
      </c>
      <c r="O3541">
        <f>IF('01_Вводные'!$B$234="Да",IF(OR(('19_Расчет_аналитики'!O3457-'19_Расчет_аналитики'!O3485)=0,14&lt;='01_Вводные'!$B$297),0,('19_Расчет_аналитики'!O3457-'19_Расчет_аналитики'!O3485)*IF('01_Вводные'!$B$239="Да",MeanMinAge14+'19_Расчет_аналитики'!O3596*SUMIF(ThresholdAge14,"&lt;"&amp;'19_Расчет_аналитики'!O3596,WeightedRevAge14)-SUMIF(ThresholdAge14,"&lt;"&amp;'19_Расчет_аналитики'!O3596,WeightedMinAge14),MAX(CapacityAge14*'01_Вводные'!$B$218*'19_Расчет_аналитики'!O3596,MeanMinAge14))),0)</f>
        <v/>
      </c>
      <c r="P3541">
        <f>IF('01_Вводные'!$B$234="Да",IF(OR(('19_Расчет_аналитики'!P3457-'19_Расчет_аналитики'!P3485)=0,14&lt;='01_Вводные'!$B$297),0,('19_Расчет_аналитики'!P3457-'19_Расчет_аналитики'!P3485)*IF('01_Вводные'!$B$239="Да",MeanMinAge14+'19_Расчет_аналитики'!P3596*SUMIF(ThresholdAge14,"&lt;"&amp;'19_Расчет_аналитики'!P3596,WeightedRevAge14)-SUMIF(ThresholdAge14,"&lt;"&amp;'19_Расчет_аналитики'!P3596,WeightedMinAge14),MAX(CapacityAge14*'01_Вводные'!$B$218*'19_Расчет_аналитики'!P3596,MeanMinAge14))),0)</f>
        <v/>
      </c>
      <c r="Q3541">
        <f>IF('01_Вводные'!$B$234="Да",IF(OR(('19_Расчет_аналитики'!Q3457-'19_Расчет_аналитики'!Q3485)=0,14&lt;='01_Вводные'!$B$297),0,('19_Расчет_аналитики'!Q3457-'19_Расчет_аналитики'!Q3485)*IF('01_Вводные'!$B$239="Да",MeanMinAge14+'19_Расчет_аналитики'!Q3596*SUMIF(ThresholdAge14,"&lt;"&amp;'19_Расчет_аналитики'!Q3596,WeightedRevAge14)-SUMIF(ThresholdAge14,"&lt;"&amp;'19_Расчет_аналитики'!Q3596,WeightedMinAge14),MAX(CapacityAge14*'01_Вводные'!$B$218*'19_Расчет_аналитики'!Q3596,MeanMinAge14))),0)</f>
        <v/>
      </c>
      <c r="R3541">
        <f>IF('01_Вводные'!$B$234="Да",IF(OR(('19_Расчет_аналитики'!R3457-'19_Расчет_аналитики'!R3485)=0,14&lt;='01_Вводные'!$B$297),0,('19_Расчет_аналитики'!R3457-'19_Расчет_аналитики'!R3485)*IF('01_Вводные'!$B$239="Да",MeanMinAge14+'19_Расчет_аналитики'!R3596*SUMIF(ThresholdAge14,"&lt;"&amp;'19_Расчет_аналитики'!R3596,WeightedRevAge14)-SUMIF(ThresholdAge14,"&lt;"&amp;'19_Расчет_аналитики'!R3596,WeightedMinAge14),MAX(CapacityAge14*'01_Вводные'!$B$218*'19_Расчет_аналитики'!R3596,MeanMinAge14))),0)</f>
        <v/>
      </c>
      <c r="S3541">
        <f>IF('01_Вводные'!$B$234="Да",IF(OR(('19_Расчет_аналитики'!S3457-'19_Расчет_аналитики'!S3485)=0,14&lt;='01_Вводные'!$B$297),0,('19_Расчет_аналитики'!S3457-'19_Расчет_аналитики'!S3485)*IF('01_Вводные'!$B$239="Да",MeanMinAge14+'19_Расчет_аналитики'!S3596*SUMIF(ThresholdAge14,"&lt;"&amp;'19_Расчет_аналитики'!S3596,WeightedRevAge14)-SUMIF(ThresholdAge14,"&lt;"&amp;'19_Расчет_аналитики'!S3596,WeightedMinAge14),MAX(CapacityAge14*'01_Вводные'!$B$218*'19_Расчет_аналитики'!S3596,MeanMinAge14))),0)</f>
        <v/>
      </c>
      <c r="T3541">
        <f>IF('01_Вводные'!$B$234="Да",IF(OR(('19_Расчет_аналитики'!T3457-'19_Расчет_аналитики'!T3485)=0,14&lt;='01_Вводные'!$B$297),0,('19_Расчет_аналитики'!T3457-'19_Расчет_аналитики'!T3485)*IF('01_Вводные'!$B$239="Да",MeanMinAge14+'19_Расчет_аналитики'!T3596*SUMIF(ThresholdAge14,"&lt;"&amp;'19_Расчет_аналитики'!T3596,WeightedRevAge14)-SUMIF(ThresholdAge14,"&lt;"&amp;'19_Расчет_аналитики'!T3596,WeightedMinAge14),MAX(CapacityAge14*'01_Вводные'!$B$218*'19_Расчет_аналитики'!T3596,MeanMinAge14))),0)</f>
        <v/>
      </c>
      <c r="U3541">
        <f>IF('01_Вводные'!$B$234="Да",IF(OR(('19_Расчет_аналитики'!U3457-'19_Расчет_аналитики'!U3485)=0,14&lt;='01_Вводные'!$B$297),0,('19_Расчет_аналитики'!U3457-'19_Расчет_аналитики'!U3485)*IF('01_Вводные'!$B$239="Да",MeanMinAge14+'19_Расчет_аналитики'!U3596*SUMIF(ThresholdAge14,"&lt;"&amp;'19_Расчет_аналитики'!U3596,WeightedRevAge14)-SUMIF(ThresholdAge14,"&lt;"&amp;'19_Расчет_аналитики'!U3596,WeightedMinAge14),MAX(CapacityAge14*'01_Вводные'!$B$218*'19_Расчет_аналитики'!U3596,MeanMinAge14))),0)</f>
        <v/>
      </c>
      <c r="V3541">
        <f>IF('01_Вводные'!$B$234="Да",IF(OR(('19_Расчет_аналитики'!V3457-'19_Расчет_аналитики'!V3485)=0,14&lt;='01_Вводные'!$B$297),0,('19_Расчет_аналитики'!V3457-'19_Расчет_аналитики'!V3485)*IF('01_Вводные'!$B$239="Да",MeanMinAge14+'19_Расчет_аналитики'!V3596*SUMIF(ThresholdAge14,"&lt;"&amp;'19_Расчет_аналитики'!V3596,WeightedRevAge14)-SUMIF(ThresholdAge14,"&lt;"&amp;'19_Расчет_аналитики'!V3596,WeightedMinAge14),MAX(CapacityAge14*'01_Вводные'!$B$218*'19_Расчет_аналитики'!V3596,MeanMinAge14))),0)</f>
        <v/>
      </c>
      <c r="W3541">
        <f>IF('01_Вводные'!$B$234="Да",IF(OR(('19_Расчет_аналитики'!W3457-'19_Расчет_аналитики'!W3485)=0,14&lt;='01_Вводные'!$B$297),0,('19_Расчет_аналитики'!W3457-'19_Расчет_аналитики'!W3485)*IF('01_Вводные'!$B$239="Да",MeanMinAge14+'19_Расчет_аналитики'!W3596*SUMIF(ThresholdAge14,"&lt;"&amp;'19_Расчет_аналитики'!W3596,WeightedRevAge14)-SUMIF(ThresholdAge14,"&lt;"&amp;'19_Расчет_аналитики'!W3596,WeightedMinAge14),MAX(CapacityAge14*'01_Вводные'!$B$218*'19_Расчет_аналитики'!W3596,MeanMinAge14))),0)</f>
        <v/>
      </c>
      <c r="X3541">
        <f>IF('01_Вводные'!$B$234="Да",IF(OR(('19_Расчет_аналитики'!X3457-'19_Расчет_аналитики'!X3485)=0,14&lt;='01_Вводные'!$B$297),0,('19_Расчет_аналитики'!X3457-'19_Расчет_аналитики'!X3485)*IF('01_Вводные'!$B$239="Да",MeanMinAge14+'19_Расчет_аналитики'!X3596*SUMIF(ThresholdAge14,"&lt;"&amp;'19_Расчет_аналитики'!X3596,WeightedRevAge14)-SUMIF(ThresholdAge14,"&lt;"&amp;'19_Расчет_аналитики'!X3596,WeightedMinAge14),MAX(CapacityAge14*'01_Вводные'!$B$218*'19_Расчет_аналитики'!X3596,MeanMinAge14))),0)</f>
        <v/>
      </c>
      <c r="Y3541">
        <f>IF('01_Вводные'!$B$234="Да",IF(OR(('19_Расчет_аналитики'!Y3457-'19_Расчет_аналитики'!Y3485)=0,14&lt;='01_Вводные'!$B$297),0,('19_Расчет_аналитики'!Y3457-'19_Расчет_аналитики'!Y3485)*IF('01_Вводные'!$B$239="Да",MeanMinAge14+'19_Расчет_аналитики'!Y3596*SUMIF(ThresholdAge14,"&lt;"&amp;'19_Расчет_аналитики'!Y3596,WeightedRevAge14)-SUMIF(ThresholdAge14,"&lt;"&amp;'19_Расчет_аналитики'!Y3596,WeightedMinAge14),MAX(CapacityAge14*'01_Вводные'!$B$218*'19_Расчет_аналитики'!Y3596,MeanMinAge14))),0)</f>
        <v/>
      </c>
      <c r="Z3541">
        <f>IF('01_Вводные'!$B$234="Да",IF(OR(('19_Расчет_аналитики'!Z3457-'19_Расчет_аналитики'!Z3485)=0,14&lt;='01_Вводные'!$B$297),0,('19_Расчет_аналитики'!Z3457-'19_Расчет_аналитики'!Z3485)*IF('01_Вводные'!$B$239="Да",MeanMinAge14+'19_Расчет_аналитики'!Z3596*SUMIF(ThresholdAge14,"&lt;"&amp;'19_Расчет_аналитики'!Z3596,WeightedRevAge14)-SUMIF(ThresholdAge14,"&lt;"&amp;'19_Расчет_аналитики'!Z3596,WeightedMinAge14),MAX(CapacityAge14*'01_Вводные'!$B$218*'19_Расчет_аналитики'!Z3596,MeanMinAge14))),0)</f>
        <v/>
      </c>
      <c r="AA3541">
        <f>IF('01_Вводные'!$B$234="Да",IF(OR(('19_Расчет_аналитики'!AA3457-'19_Расчет_аналитики'!AA3485)=0,14&lt;='01_Вводные'!$B$297),0,('19_Расчет_аналитики'!AA3457-'19_Расчет_аналитики'!AA3485)*IF('01_Вводные'!$B$239="Да",MeanMinAge14+'19_Расчет_аналитики'!AA3596*SUMIF(ThresholdAge14,"&lt;"&amp;'19_Расчет_аналитики'!AA3596,WeightedRevAge14)-SUMIF(ThresholdAge14,"&lt;"&amp;'19_Расчет_аналитики'!AA3596,WeightedMinAge14),MAX(CapacityAge14*'01_Вводные'!$B$218*'19_Расчет_аналитики'!AA3596,MeanMinAge14))),0)</f>
        <v/>
      </c>
      <c r="AB3541">
        <f>IF('01_Вводные'!$B$234="Да",IF(OR(('19_Расчет_аналитики'!AB3457-'19_Расчет_аналитики'!AB3485)=0,14&lt;='01_Вводные'!$B$297),0,('19_Расчет_аналитики'!AB3457-'19_Расчет_аналитики'!AB3485)*IF('01_Вводные'!$B$239="Да",MeanMinAge14+'19_Расчет_аналитики'!AB3596*SUMIF(ThresholdAge14,"&lt;"&amp;'19_Расчет_аналитики'!AB3596,WeightedRevAge14)-SUMIF(ThresholdAge14,"&lt;"&amp;'19_Расчет_аналитики'!AB3596,WeightedMinAge14),MAX(CapacityAge14*'01_Вводные'!$B$218*'19_Расчет_аналитики'!AB3596,MeanMinAge14))),0)</f>
        <v/>
      </c>
      <c r="AC3541">
        <f>IF('01_Вводные'!$B$234="Да",IF(OR(('19_Расчет_аналитики'!AC3457-'19_Расчет_аналитики'!AC3485)=0,14&lt;='01_Вводные'!$B$297),0,('19_Расчет_аналитики'!AC3457-'19_Расчет_аналитики'!AC3485)*IF('01_Вводные'!$B$239="Да",MeanMinAge14+'19_Расчет_аналитики'!AC3596*SUMIF(ThresholdAge14,"&lt;"&amp;'19_Расчет_аналитики'!AC3596,WeightedRevAge14)-SUMIF(ThresholdAge14,"&lt;"&amp;'19_Расчет_аналитики'!AC3596,WeightedMinAge14),MAX(CapacityAge14*'01_Вводные'!$B$218*'19_Расчет_аналитики'!AC3596,MeanMinAge14))),0)</f>
        <v/>
      </c>
      <c r="AD3541">
        <f>IF('01_Вводные'!$B$234="Да",IF(OR(('19_Расчет_аналитики'!AD3457-'19_Расчет_аналитики'!AD3485)=0,14&lt;='01_Вводные'!$B$297),0,('19_Расчет_аналитики'!AD3457-'19_Расчет_аналитики'!AD3485)*IF('01_Вводные'!$B$239="Да",MeanMinAge14+'19_Расчет_аналитики'!AD3596*SUMIF(ThresholdAge14,"&lt;"&amp;'19_Расчет_аналитики'!AD3596,WeightedRevAge14)-SUMIF(ThresholdAge14,"&lt;"&amp;'19_Расчет_аналитики'!AD3596,WeightedMinAge14),MAX(CapacityAge14*'01_Вводные'!$B$218*'19_Расчет_аналитики'!AD3596,MeanMinAge14))),0)</f>
        <v/>
      </c>
      <c r="AE3541">
        <f>IF('01_Вводные'!$B$234="Да",IF(OR(('19_Расчет_аналитики'!AE3457-'19_Расчет_аналитики'!AE3485)=0,14&lt;='01_Вводные'!$B$297),0,('19_Расчет_аналитики'!AE3457-'19_Расчет_аналитики'!AE3485)*IF('01_Вводные'!$B$239="Да",MeanMinAge14+'19_Расчет_аналитики'!AE3596*SUMIF(ThresholdAge14,"&lt;"&amp;'19_Расчет_аналитики'!AE3596,WeightedRevAge14)-SUMIF(ThresholdAge14,"&lt;"&amp;'19_Расчет_аналитики'!AE3596,WeightedMinAge14),MAX(CapacityAge14*'01_Вводные'!$B$218*'19_Расчет_аналитики'!AE3596,MeanMinAge14))),0)</f>
        <v/>
      </c>
      <c r="AF3541">
        <f>IF('01_Вводные'!$B$234="Да",IF(OR(('19_Расчет_аналитики'!AF3457-'19_Расчет_аналитики'!AF3485)=0,14&lt;='01_Вводные'!$B$297),0,('19_Расчет_аналитики'!AF3457-'19_Расчет_аналитики'!AF3485)*IF('01_Вводные'!$B$239="Да",MeanMinAge14+'19_Расчет_аналитики'!AF3596*SUMIF(ThresholdAge14,"&lt;"&amp;'19_Расчет_аналитики'!AF3596,WeightedRevAge14)-SUMIF(ThresholdAge14,"&lt;"&amp;'19_Расчет_аналитики'!AF3596,WeightedMinAge14),MAX(CapacityAge14*'01_Вводные'!$B$218*'19_Расчет_аналитики'!AF3596,MeanMinAge14))),0)</f>
        <v/>
      </c>
      <c r="AG3541">
        <f>IF('01_Вводные'!$B$234="Да",IF(OR(('19_Расчет_аналитики'!AG3457-'19_Расчет_аналитики'!AG3485)=0,14&lt;='01_Вводные'!$B$297),0,('19_Расчет_аналитики'!AG3457-'19_Расчет_аналитики'!AG3485)*IF('01_Вводные'!$B$239="Да",MeanMinAge14+'19_Расчет_аналитики'!AG3596*SUMIF(ThresholdAge14,"&lt;"&amp;'19_Расчет_аналитики'!AG3596,WeightedRevAge14)-SUMIF(ThresholdAge14,"&lt;"&amp;'19_Расчет_аналитики'!AG3596,WeightedMinAge14),MAX(CapacityAge14*'01_Вводные'!$B$218*'19_Расчет_аналитики'!AG3596,MeanMinAge14))),0)</f>
        <v/>
      </c>
      <c r="AH3541">
        <f>IF('01_Вводные'!$B$234="Да",IF(OR(('19_Расчет_аналитики'!AH3457-'19_Расчет_аналитики'!AH3485)=0,14&lt;='01_Вводные'!$B$297),0,('19_Расчет_аналитики'!AH3457-'19_Расчет_аналитики'!AH3485)*IF('01_Вводные'!$B$239="Да",MeanMinAge14+'19_Расчет_аналитики'!AH3596*SUMIF(ThresholdAge14,"&lt;"&amp;'19_Расчет_аналитики'!AH3596,WeightedRevAge14)-SUMIF(ThresholdAge14,"&lt;"&amp;'19_Расчет_аналитики'!AH3596,WeightedMinAge14),MAX(CapacityAge14*'01_Вводные'!$B$218*'19_Расчет_аналитики'!AH3596,MeanMinAge14))),0)</f>
        <v/>
      </c>
      <c r="AI3541">
        <f>IF('01_Вводные'!$B$234="Да",IF(OR(('19_Расчет_аналитики'!AI3457-'19_Расчет_аналитики'!AI3485)=0,14&lt;='01_Вводные'!$B$297),0,('19_Расчет_аналитики'!AI3457-'19_Расчет_аналитики'!AI3485)*IF('01_Вводные'!$B$239="Да",MeanMinAge14+'19_Расчет_аналитики'!AI3596*SUMIF(ThresholdAge14,"&lt;"&amp;'19_Расчет_аналитики'!AI3596,WeightedRevAge14)-SUMIF(ThresholdAge14,"&lt;"&amp;'19_Расчет_аналитики'!AI3596,WeightedMinAge14),MAX(CapacityAge14*'01_Вводные'!$B$218*'19_Расчет_аналитики'!AI3596,MeanMinAge14))),0)</f>
        <v/>
      </c>
      <c r="AJ3541">
        <f>IF('01_Вводные'!$B$234="Да",IF(OR(('19_Расчет_аналитики'!AJ3457-'19_Расчет_аналитики'!AJ3485)=0,14&lt;='01_Вводные'!$B$297),0,('19_Расчет_аналитики'!AJ3457-'19_Расчет_аналитики'!AJ3485)*IF('01_Вводные'!$B$239="Да",MeanMinAge14+'19_Расчет_аналитики'!AJ3596*SUMIF(ThresholdAge14,"&lt;"&amp;'19_Расчет_аналитики'!AJ3596,WeightedRevAge14)-SUMIF(ThresholdAge14,"&lt;"&amp;'19_Расчет_аналитики'!AJ3596,WeightedMinAge14),MAX(CapacityAge14*'01_Вводные'!$B$218*'19_Расчет_аналитики'!AJ3596,MeanMinAge14))),0)</f>
        <v/>
      </c>
      <c r="AK3541">
        <f>IF('01_Вводные'!$B$234="Да",IF(OR(('19_Расчет_аналитики'!AK3457-'19_Расчет_аналитики'!AK3485)=0,14&lt;='01_Вводные'!$B$297),0,('19_Расчет_аналитики'!AK3457-'19_Расчет_аналитики'!AK3485)*IF('01_Вводные'!$B$239="Да",MeanMinAge14+'19_Расчет_аналитики'!AK3596*SUMIF(ThresholdAge14,"&lt;"&amp;'19_Расчет_аналитики'!AK3596,WeightedRevAge14)-SUMIF(ThresholdAge14,"&lt;"&amp;'19_Расчет_аналитики'!AK3596,WeightedMinAge14),MAX(CapacityAge14*'01_Вводные'!$B$218*'19_Расчет_аналитики'!AK3596,MeanMinAge14))),0)</f>
        <v/>
      </c>
      <c r="AL3541">
        <f>IF('01_Вводные'!$B$234="Да",IF(OR(('19_Расчет_аналитики'!AL3457-'19_Расчет_аналитики'!AL3485)=0,14&lt;='01_Вводные'!$B$297),0,('19_Расчет_аналитики'!AL3457-'19_Расчет_аналитики'!AL3485)*IF('01_Вводные'!$B$239="Да",MeanMinAge14+'19_Расчет_аналитики'!AL3596*SUMIF(ThresholdAge14,"&lt;"&amp;'19_Расчет_аналитики'!AL3596,WeightedRevAge14)-SUMIF(ThresholdAge14,"&lt;"&amp;'19_Расчет_аналитики'!AL3596,WeightedMinAge14),MAX(CapacityAge14*'01_Вводные'!$B$218*'19_Расчет_аналитики'!AL3596,MeanMinAge14))),0)</f>
        <v/>
      </c>
      <c r="AM3541">
        <f>IF('01_Вводные'!$B$234="Да",IF(OR(('19_Расчет_аналитики'!AM3457-'19_Расчет_аналитики'!AM3485)=0,14&lt;='01_Вводные'!$B$297),0,('19_Расчет_аналитики'!AM3457-'19_Расчет_аналитики'!AM3485)*IF('01_Вводные'!$B$239="Да",MeanMinAge14+'19_Расчет_аналитики'!AM3596*SUMIF(ThresholdAge14,"&lt;"&amp;'19_Расчет_аналитики'!AM3596,WeightedRevAge14)-SUMIF(ThresholdAge14,"&lt;"&amp;'19_Расчет_аналитики'!AM3596,WeightedMinAge14),MAX(CapacityAge14*'01_Вводные'!$B$218*'19_Расчет_аналитики'!AM3596,MeanMinAge14))),0)</f>
        <v/>
      </c>
      <c r="AN3541">
        <f>IF('01_Вводные'!$B$234="Да",IF(OR(('19_Расчет_аналитики'!AN3457-'19_Расчет_аналитики'!AN3485)=0,14&lt;='01_Вводные'!$B$297),0,('19_Расчет_аналитики'!AN3457-'19_Расчет_аналитики'!AN3485)*IF('01_Вводные'!$B$239="Да",MeanMinAge14+'19_Расчет_аналитики'!AN3596*SUMIF(ThresholdAge14,"&lt;"&amp;'19_Расчет_аналитики'!AN3596,WeightedRevAge14)-SUMIF(ThresholdAge14,"&lt;"&amp;'19_Расчет_аналитики'!AN3596,WeightedMinAge14),MAX(CapacityAge14*'01_Вводные'!$B$218*'19_Расчет_аналитики'!AN3596,MeanMinAge14))),0)</f>
        <v/>
      </c>
      <c r="AO3541">
        <f>IF('01_Вводные'!$B$234="Да",IF(OR(('19_Расчет_аналитики'!AO3457-'19_Расчет_аналитики'!AO3485)=0,14&lt;='01_Вводные'!$B$297),0,('19_Расчет_аналитики'!AO3457-'19_Расчет_аналитики'!AO3485)*IF('01_Вводные'!$B$239="Да",MeanMinAge14+'19_Расчет_аналитики'!AO3596*SUMIF(ThresholdAge14,"&lt;"&amp;'19_Расчет_аналитики'!AO3596,WeightedRevAge14)-SUMIF(ThresholdAge14,"&lt;"&amp;'19_Расчет_аналитики'!AO3596,WeightedMinAge14),MAX(CapacityAge14*'01_Вводные'!$B$218*'19_Расчет_аналитики'!AO3596,MeanMinAge14))),0)</f>
        <v/>
      </c>
      <c r="AP3541">
        <f>IF('01_Вводные'!$B$234="Да",IF(OR(('19_Расчет_аналитики'!AP3457-'19_Расчет_аналитики'!AP3485)=0,14&lt;='01_Вводные'!$B$297),0,('19_Расчет_аналитики'!AP3457-'19_Расчет_аналитики'!AP3485)*IF('01_Вводные'!$B$239="Да",MeanMinAge14+'19_Расчет_аналитики'!AP3596*SUMIF(ThresholdAge14,"&lt;"&amp;'19_Расчет_аналитики'!AP3596,WeightedRevAge14)-SUMIF(ThresholdAge14,"&lt;"&amp;'19_Расчет_аналитики'!AP3596,WeightedMinAge14),MAX(CapacityAge14*'01_Вводные'!$B$218*'19_Расчет_аналитики'!AP3596,MeanMinAge14))),0)</f>
        <v/>
      </c>
      <c r="AQ3541">
        <f>IF('01_Вводные'!$B$234="Да",IF(OR(('19_Расчет_аналитики'!AQ3457-'19_Расчет_аналитики'!AQ3485)=0,14&lt;='01_Вводные'!$B$297),0,('19_Расчет_аналитики'!AQ3457-'19_Расчет_аналитики'!AQ3485)*IF('01_Вводные'!$B$239="Да",MeanMinAge14+'19_Расчет_аналитики'!AQ3596*SUMIF(ThresholdAge14,"&lt;"&amp;'19_Расчет_аналитики'!AQ3596,WeightedRevAge14)-SUMIF(ThresholdAge14,"&lt;"&amp;'19_Расчет_аналитики'!AQ3596,WeightedMinAge14),MAX(CapacityAge14*'01_Вводные'!$B$218*'19_Расчет_аналитики'!AQ3596,MeanMinAge14))),0)</f>
        <v/>
      </c>
      <c r="AR3541">
        <f>IF('01_Вводные'!$B$234="Да",IF(OR(('19_Расчет_аналитики'!AR3457-'19_Расчет_аналитики'!AR3485)=0,14&lt;='01_Вводные'!$B$297),0,('19_Расчет_аналитики'!AR3457-'19_Расчет_аналитики'!AR3485)*IF('01_Вводные'!$B$239="Да",MeanMinAge14+'19_Расчет_аналитики'!AR3596*SUMIF(ThresholdAge14,"&lt;"&amp;'19_Расчет_аналитики'!AR3596,WeightedRevAge14)-SUMIF(ThresholdAge14,"&lt;"&amp;'19_Расчет_аналитики'!AR3596,WeightedMinAge14),MAX(CapacityAge14*'01_Вводные'!$B$218*'19_Расчет_аналитики'!AR3596,MeanMinAge14))),0)</f>
        <v/>
      </c>
      <c r="AS3541">
        <f>IF('01_Вводные'!$B$234="Да",IF(OR(('19_Расчет_аналитики'!AS3457-'19_Расчет_аналитики'!AS3485)=0,14&lt;='01_Вводные'!$B$297),0,('19_Расчет_аналитики'!AS3457-'19_Расчет_аналитики'!AS3485)*IF('01_Вводные'!$B$239="Да",MeanMinAge14+'19_Расчет_аналитики'!AS3596*SUMIF(ThresholdAge14,"&lt;"&amp;'19_Расчет_аналитики'!AS3596,WeightedRevAge14)-SUMIF(ThresholdAge14,"&lt;"&amp;'19_Расчет_аналитики'!AS3596,WeightedMinAge14),MAX(CapacityAge14*'01_Вводные'!$B$218*'19_Расчет_аналитики'!AS3596,MeanMinAge14))),0)</f>
        <v/>
      </c>
      <c r="AT3541">
        <f>IF('01_Вводные'!$B$234="Да",IF(OR(('19_Расчет_аналитики'!AT3457-'19_Расчет_аналитики'!AT3485)=0,14&lt;='01_Вводные'!$B$297),0,('19_Расчет_аналитики'!AT3457-'19_Расчет_аналитики'!AT3485)*IF('01_Вводные'!$B$239="Да",MeanMinAge14+'19_Расчет_аналитики'!AT3596*SUMIF(ThresholdAge14,"&lt;"&amp;'19_Расчет_аналитики'!AT3596,WeightedRevAge14)-SUMIF(ThresholdAge14,"&lt;"&amp;'19_Расчет_аналитики'!AT3596,WeightedMinAge14),MAX(CapacityAge14*'01_Вводные'!$B$218*'19_Расчет_аналитики'!AT3596,MeanMinAge14))),0)</f>
        <v/>
      </c>
      <c r="AU3541">
        <f>IF('01_Вводные'!$B$234="Да",IF(OR(('19_Расчет_аналитики'!AU3457-'19_Расчет_аналитики'!AU3485)=0,14&lt;='01_Вводные'!$B$297),0,('19_Расчет_аналитики'!AU3457-'19_Расчет_аналитики'!AU3485)*IF('01_Вводные'!$B$239="Да",MeanMinAge14+'19_Расчет_аналитики'!AU3596*SUMIF(ThresholdAge14,"&lt;"&amp;'19_Расчет_аналитики'!AU3596,WeightedRevAge14)-SUMIF(ThresholdAge14,"&lt;"&amp;'19_Расчет_аналитики'!AU3596,WeightedMinAge14),MAX(CapacityAge14*'01_Вводные'!$B$218*'19_Расчет_аналитики'!AU3596,MeanMinAge14))),0)</f>
        <v/>
      </c>
      <c r="AV3541">
        <f>IF('01_Вводные'!$B$234="Да",IF(OR(('19_Расчет_аналитики'!AV3457-'19_Расчет_аналитики'!AV3485)=0,14&lt;='01_Вводные'!$B$297),0,('19_Расчет_аналитики'!AV3457-'19_Расчет_аналитики'!AV3485)*IF('01_Вводные'!$B$239="Да",MeanMinAge14+'19_Расчет_аналитики'!AV3596*SUMIF(ThresholdAge14,"&lt;"&amp;'19_Расчет_аналитики'!AV3596,WeightedRevAge14)-SUMIF(ThresholdAge14,"&lt;"&amp;'19_Расчет_аналитики'!AV3596,WeightedMinAge14),MAX(CapacityAge14*'01_Вводные'!$B$218*'19_Расчет_аналитики'!AV3596,MeanMinAge14))),0)</f>
        <v/>
      </c>
      <c r="AW3541">
        <f>IF('01_Вводные'!$B$234="Да",IF(OR(('19_Расчет_аналитики'!AW3457-'19_Расчет_аналитики'!AW3485)=0,14&lt;='01_Вводные'!$B$297),0,('19_Расчет_аналитики'!AW3457-'19_Расчет_аналитики'!AW3485)*IF('01_Вводные'!$B$239="Да",MeanMinAge14+'19_Расчет_аналитики'!AW3596*SUMIF(ThresholdAge14,"&lt;"&amp;'19_Расчет_аналитики'!AW3596,WeightedRevAge14)-SUMIF(ThresholdAge14,"&lt;"&amp;'19_Расчет_аналитики'!AW3596,WeightedMinAge14),MAX(CapacityAge14*'01_Вводные'!$B$218*'19_Расчет_аналитики'!AW3596,MeanMinAge14))),0)</f>
        <v/>
      </c>
      <c r="AX3541">
        <f>IF('01_Вводные'!$B$234="Да",IF(OR(('19_Расчет_аналитики'!AX3457-'19_Расчет_аналитики'!AX3485)=0,14&lt;='01_Вводные'!$B$297),0,('19_Расчет_аналитики'!AX3457-'19_Расчет_аналитики'!AX3485)*IF('01_Вводные'!$B$239="Да",MeanMinAge14+'19_Расчет_аналитики'!AX3596*SUMIF(ThresholdAge14,"&lt;"&amp;'19_Расчет_аналитики'!AX3596,WeightedRevAge14)-SUMIF(ThresholdAge14,"&lt;"&amp;'19_Расчет_аналитики'!AX3596,WeightedMinAge14),MAX(CapacityAge14*'01_Вводные'!$B$218*'19_Расчет_аналитики'!AX3596,MeanMinAge14))),0)</f>
        <v/>
      </c>
      <c r="AY3541">
        <f>IF('01_Вводные'!$B$234="Да",IF(OR(('19_Расчет_аналитики'!AY3457-'19_Расчет_аналитики'!AY3485)=0,14&lt;='01_Вводные'!$B$297),0,('19_Расчет_аналитики'!AY3457-'19_Расчет_аналитики'!AY3485)*IF('01_Вводные'!$B$239="Да",MeanMinAge14+'19_Расчет_аналитики'!AY3596*SUMIF(ThresholdAge14,"&lt;"&amp;'19_Расчет_аналитики'!AY3596,WeightedRevAge14)-SUMIF(ThresholdAge14,"&lt;"&amp;'19_Расчет_аналитики'!AY3596,WeightedMinAge14),MAX(CapacityAge14*'01_Вводные'!$B$218*'19_Расчет_аналитики'!AY3596,MeanMinAge14))),0)</f>
        <v/>
      </c>
      <c r="AZ3541">
        <f>IF('01_Вводные'!$B$234="Да",IF(OR(('19_Расчет_аналитики'!AZ3457-'19_Расчет_аналитики'!AZ3485)=0,14&lt;='01_Вводные'!$B$297),0,('19_Расчет_аналитики'!AZ3457-'19_Расчет_аналитики'!AZ3485)*IF('01_Вводные'!$B$239="Да",MeanMinAge14+'19_Расчет_аналитики'!AZ3596*SUMIF(ThresholdAge14,"&lt;"&amp;'19_Расчет_аналитики'!AZ3596,WeightedRevAge14)-SUMIF(ThresholdAge14,"&lt;"&amp;'19_Расчет_аналитики'!AZ3596,WeightedMinAge14),MAX(CapacityAge14*'01_Вводные'!$B$218*'19_Расчет_аналитики'!AZ3596,MeanMinAge14))),0)</f>
        <v/>
      </c>
      <c r="BA3541">
        <f>IF('01_Вводные'!$B$234="Да",IF(OR(('19_Расчет_аналитики'!BA3457-'19_Расчет_аналитики'!BA3485)=0,14&lt;='01_Вводные'!$B$297),0,('19_Расчет_аналитики'!BA3457-'19_Расчет_аналитики'!BA3485)*IF('01_Вводные'!$B$239="Да",MeanMinAge14+'19_Расчет_аналитики'!BA3596*SUMIF(ThresholdAge14,"&lt;"&amp;'19_Расчет_аналитики'!BA3596,WeightedRevAge14)-SUMIF(ThresholdAge14,"&lt;"&amp;'19_Расчет_аналитики'!BA3596,WeightedMinAge14),MAX(CapacityAge14*'01_Вводные'!$B$218*'19_Расчет_аналитики'!BA3596,MeanMinAge14))),0)</f>
        <v/>
      </c>
      <c r="BB3541">
        <f>IF('01_Вводные'!$B$234="Да",IF(OR(('19_Расчет_аналитики'!BB3457-'19_Расчет_аналитики'!BB3485)=0,14&lt;='01_Вводные'!$B$297),0,('19_Расчет_аналитики'!BB3457-'19_Расчет_аналитики'!BB3485)*IF('01_Вводные'!$B$239="Да",MeanMinAge14+'19_Расчет_аналитики'!BB3596*SUMIF(ThresholdAge14,"&lt;"&amp;'19_Расчет_аналитики'!BB3596,WeightedRevAge14)-SUMIF(ThresholdAge14,"&lt;"&amp;'19_Расчет_аналитики'!BB3596,WeightedMinAge14),MAX(CapacityAge14*'01_Вводные'!$B$218*'19_Расчет_аналитики'!BB3596,MeanMinAge14))),0)</f>
        <v/>
      </c>
      <c r="BC3541">
        <f>IF('01_Вводные'!$B$234="Да",IF(OR(('19_Расчет_аналитики'!BC3457-'19_Расчет_аналитики'!BC3485)=0,14&lt;='01_Вводные'!$B$297),0,('19_Расчет_аналитики'!BC3457-'19_Расчет_аналитики'!BC3485)*IF('01_Вводные'!$B$239="Да",MeanMinAge14+'19_Расчет_аналитики'!BC3596*SUMIF(ThresholdAge14,"&lt;"&amp;'19_Расчет_аналитики'!BC3596,WeightedRevAge14)-SUMIF(ThresholdAge14,"&lt;"&amp;'19_Расчет_аналитики'!BC3596,WeightedMinAge14),MAX(CapacityAge14*'01_Вводные'!$B$218*'19_Расчет_аналитики'!BC3596,MeanMinAge14))),0)</f>
        <v/>
      </c>
      <c r="BD3541">
        <f>IF('01_Вводные'!$B$234="Да",IF(OR(('19_Расчет_аналитики'!BD3457-'19_Расчет_аналитики'!BD3485)=0,14&lt;='01_Вводные'!$B$297),0,('19_Расчет_аналитики'!BD3457-'19_Расчет_аналитики'!BD3485)*IF('01_Вводные'!$B$239="Да",MeanMinAge14+'19_Расчет_аналитики'!BD3596*SUMIF(ThresholdAge14,"&lt;"&amp;'19_Расчет_аналитики'!BD3596,WeightedRevAge14)-SUMIF(ThresholdAge14,"&lt;"&amp;'19_Расчет_аналитики'!BD3596,WeightedMinAge14),MAX(CapacityAge14*'01_Вводные'!$B$218*'19_Расчет_аналитики'!BD3596,MeanMinAge14))),0)</f>
        <v/>
      </c>
      <c r="BE3541">
        <f>IF('01_Вводные'!$B$234="Да",IF(OR(('19_Расчет_аналитики'!BE3457-'19_Расчет_аналитики'!BE3485)=0,14&lt;='01_Вводные'!$B$297),0,('19_Расчет_аналитики'!BE3457-'19_Расчет_аналитики'!BE3485)*IF('01_Вводные'!$B$239="Да",MeanMinAge14+'19_Расчет_аналитики'!BE3596*SUMIF(ThresholdAge14,"&lt;"&amp;'19_Расчет_аналитики'!BE3596,WeightedRevAge14)-SUMIF(ThresholdAge14,"&lt;"&amp;'19_Расчет_аналитики'!BE3596,WeightedMinAge14),MAX(CapacityAge14*'01_Вводные'!$B$218*'19_Расчет_аналитики'!BE3596,MeanMinAge14))),0)</f>
        <v/>
      </c>
      <c r="BF3541">
        <f>IF('01_Вводные'!$B$234="Да",IF(OR(('19_Расчет_аналитики'!BF3457-'19_Расчет_аналитики'!BF3485)=0,14&lt;='01_Вводные'!$B$297),0,('19_Расчет_аналитики'!BF3457-'19_Расчет_аналитики'!BF3485)*IF('01_Вводные'!$B$239="Да",MeanMinAge14+'19_Расчет_аналитики'!BF3596*SUMIF(ThresholdAge14,"&lt;"&amp;'19_Расчет_аналитики'!BF3596,WeightedRevAge14)-SUMIF(ThresholdAge14,"&lt;"&amp;'19_Расчет_аналитики'!BF3596,WeightedMinAge14),MAX(CapacityAge14*'01_Вводные'!$B$218*'19_Расчет_аналитики'!BF3596,MeanMinAge14))),0)</f>
        <v/>
      </c>
      <c r="BG3541">
        <f>IF('01_Вводные'!$B$234="Да",IF(OR(('19_Расчет_аналитики'!BG3457-'19_Расчет_аналитики'!BG3485)=0,14&lt;='01_Вводные'!$B$297),0,('19_Расчет_аналитики'!BG3457-'19_Расчет_аналитики'!BG3485)*IF('01_Вводные'!$B$239="Да",MeanMinAge14+'19_Расчет_аналитики'!BG3596*SUMIF(ThresholdAge14,"&lt;"&amp;'19_Расчет_аналитики'!BG3596,WeightedRevAge14)-SUMIF(ThresholdAge14,"&lt;"&amp;'19_Расчет_аналитики'!BG3596,WeightedMinAge14),MAX(CapacityAge14*'01_Вводные'!$B$218*'19_Расчет_аналитики'!BG3596,MeanMinAge14))),0)</f>
        <v/>
      </c>
      <c r="BH3541">
        <f>IF('01_Вводные'!$B$234="Да",IF(OR(('19_Расчет_аналитики'!BH3457-'19_Расчет_аналитики'!BH3485)=0,14&lt;='01_Вводные'!$B$297),0,('19_Расчет_аналитики'!BH3457-'19_Расчет_аналитики'!BH3485)*IF('01_Вводные'!$B$239="Да",MeanMinAge14+'19_Расчет_аналитики'!BH3596*SUMIF(ThresholdAge14,"&lt;"&amp;'19_Расчет_аналитики'!BH3596,WeightedRevAge14)-SUMIF(ThresholdAge14,"&lt;"&amp;'19_Расчет_аналитики'!BH3596,WeightedMinAge14),MAX(CapacityAge14*'01_Вводные'!$B$218*'19_Расчет_аналитики'!BH3596,MeanMinAge14))),0)</f>
        <v/>
      </c>
      <c r="BI3541">
        <f>IF('01_Вводные'!$B$234="Да",IF(OR(('19_Расчет_аналитики'!BI3457-'19_Расчет_аналитики'!BI3485)=0,14&lt;='01_Вводные'!$B$297),0,('19_Расчет_аналитики'!BI3457-'19_Расчет_аналитики'!BI3485)*IF('01_Вводные'!$B$239="Да",MeanMinAge14+'19_Расчет_аналитики'!BI3596*SUMIF(ThresholdAge14,"&lt;"&amp;'19_Расчет_аналитики'!BI3596,WeightedRevAge14)-SUMIF(ThresholdAge14,"&lt;"&amp;'19_Расчет_аналитики'!BI3596,WeightedMinAge14),MAX(CapacityAge14*'01_Вводные'!$B$218*'19_Расчет_аналитики'!BI3596,MeanMinAge14))),0)</f>
        <v/>
      </c>
      <c r="BJ3541">
        <f>IF('01_Вводные'!$B$234="Да",IF(OR(('19_Расчет_аналитики'!BJ3457-'19_Расчет_аналитики'!BJ3485)=0,14&lt;='01_Вводные'!$B$297),0,('19_Расчет_аналитики'!BJ3457-'19_Расчет_аналитики'!BJ3485)*IF('01_Вводные'!$B$239="Да",MeanMinAge14+'19_Расчет_аналитики'!BJ3596*SUMIF(ThresholdAge14,"&lt;"&amp;'19_Расчет_аналитики'!BJ3596,WeightedRevAge14)-SUMIF(ThresholdAge14,"&lt;"&amp;'19_Расчет_аналитики'!BJ3596,WeightedMinAge14),MAX(CapacityAge14*'01_Вводные'!$B$218*'19_Расчет_аналитики'!BJ3596,MeanMinAge14))),0)</f>
        <v/>
      </c>
      <c r="BK3541">
        <f>IF('01_Вводные'!$B$234="Да",IF(OR(('19_Расчет_аналитики'!BK3457-'19_Расчет_аналитики'!BK3485)=0,14&lt;='01_Вводные'!$B$297),0,('19_Расчет_аналитики'!BK3457-'19_Расчет_аналитики'!BK3485)*IF('01_Вводные'!$B$239="Да",MeanMinAge14+'19_Расчет_аналитики'!BK3596*SUMIF(ThresholdAge14,"&lt;"&amp;'19_Расчет_аналитики'!BK3596,WeightedRevAge14)-SUMIF(ThresholdAge14,"&lt;"&amp;'19_Расчет_аналитики'!BK3596,WeightedMinAge14),MAX(CapacityAge14*'01_Вводные'!$B$218*'19_Расчет_аналитики'!BK3596,MeanMinAge14))),0)</f>
        <v/>
      </c>
      <c r="BL3541">
        <f>IF('01_Вводные'!$B$234="Да",IF(OR(('19_Расчет_аналитики'!BL3457-'19_Расчет_аналитики'!BL3485)=0,14&lt;='01_Вводные'!$B$297),0,('19_Расчет_аналитики'!BL3457-'19_Расчет_аналитики'!BL3485)*IF('01_Вводные'!$B$239="Да",MeanMinAge14+'19_Расчет_аналитики'!BL3596*SUMIF(ThresholdAge14,"&lt;"&amp;'19_Расчет_аналитики'!BL3596,WeightedRevAge14)-SUMIF(ThresholdAge14,"&lt;"&amp;'19_Расчет_аналитики'!BL3596,WeightedMinAge14),MAX(CapacityAge14*'01_Вводные'!$B$218*'19_Расчет_аналитики'!BL3596,MeanMinAge14))),0)</f>
        <v/>
      </c>
      <c r="BM3541">
        <f>IF('01_Вводные'!$B$234="Да",IF(OR(('19_Расчет_аналитики'!BM3457-'19_Расчет_аналитики'!BM3485)=0,14&lt;='01_Вводные'!$B$297),0,('19_Расчет_аналитики'!BM3457-'19_Расчет_аналитики'!BM3485)*IF('01_Вводные'!$B$239="Да",MeanMinAge14+'19_Расчет_аналитики'!BM3596*SUMIF(ThresholdAge14,"&lt;"&amp;'19_Расчет_аналитики'!BM3596,WeightedRevAge14)-SUMIF(ThresholdAge14,"&lt;"&amp;'19_Расчет_аналитики'!BM3596,WeightedMinAge14),MAX(CapacityAge14*'01_Вводные'!$B$218*'19_Расчет_аналитики'!BM3596,MeanMinAge14))),0)</f>
        <v/>
      </c>
      <c r="BN3541">
        <f>IF('01_Вводные'!$B$234="Да",IF(OR(('19_Расчет_аналитики'!BN3457-'19_Расчет_аналитики'!BN3485)=0,14&lt;='01_Вводные'!$B$297),0,('19_Расчет_аналитики'!BN3457-'19_Расчет_аналитики'!BN3485)*IF('01_Вводные'!$B$239="Да",MeanMinAge14+'19_Расчет_аналитики'!BN3596*SUMIF(ThresholdAge14,"&lt;"&amp;'19_Расчет_аналитики'!BN3596,WeightedRevAge14)-SUMIF(ThresholdAge14,"&lt;"&amp;'19_Расчет_аналитики'!BN3596,WeightedMinAge14),MAX(CapacityAge14*'01_Вводные'!$B$218*'19_Расчет_аналитики'!BN3596,MeanMinAge14))),0)</f>
        <v/>
      </c>
      <c r="BO3541">
        <f>IF('01_Вводные'!$B$234="Да",IF(OR(('19_Расчет_аналитики'!BO3457-'19_Расчет_аналитики'!BO3485)=0,14&lt;='01_Вводные'!$B$297),0,('19_Расчет_аналитики'!BO3457-'19_Расчет_аналитики'!BO3485)*IF('01_Вводные'!$B$239="Да",MeanMinAge14+'19_Расчет_аналитики'!BO3596*SUMIF(ThresholdAge14,"&lt;"&amp;'19_Расчет_аналитики'!BO3596,WeightedRevAge14)-SUMIF(ThresholdAge14,"&lt;"&amp;'19_Расчет_аналитики'!BO3596,WeightedMinAge14),MAX(CapacityAge14*'01_Вводные'!$B$218*'19_Расчет_аналитики'!BO3596,MeanMinAge14))),0)</f>
        <v/>
      </c>
    </row>
    <row r="3542">
      <c r="B3542">
        <f>IF('01_Вводные'!$B$234="Да",IF(OR(('06_Сеть_и_дети'!B67-'06_Сеть_и_дети'!B95)=0,15&lt;='01_Вводные'!$B$297),0,('06_Сеть_и_дети'!B67-'06_Сеть_и_дети'!B95)*IF('01_Вводные'!$B$239="Да",MeanMinAge15+'19_Расчет_аналитики'!B3596*SUMIF(ThresholdAge15,"&lt;"&amp;'19_Расчет_аналитики'!B3596,WeightedRevAge15)-SUMIF(ThresholdAge15,"&lt;"&amp;'19_Расчет_аналитики'!B3596,WeightedMinAge15),MAX(CapacityAge15*'01_Вводные'!$B$218*'19_Расчет_аналитики'!B3596,MeanMinAge15))),0)</f>
        <v/>
      </c>
      <c r="C3542">
        <f>IF('01_Вводные'!$B$234="Да",IF(OR(('06_Сеть_и_дети'!C67-'06_Сеть_и_дети'!C95)=0,15&lt;='01_Вводные'!$B$297),0,('06_Сеть_и_дети'!C67-'06_Сеть_и_дети'!C95)*IF('01_Вводные'!$B$239="Да",MeanMinAge15+'19_Расчет_аналитики'!C3596*SUMIF(ThresholdAge15,"&lt;"&amp;'19_Расчет_аналитики'!C3596,WeightedRevAge15)-SUMIF(ThresholdAge15,"&lt;"&amp;'19_Расчет_аналитики'!C3596,WeightedMinAge15),MAX(CapacityAge15*'01_Вводные'!$B$218*'19_Расчет_аналитики'!C3596,MeanMinAge15))),0)</f>
        <v/>
      </c>
      <c r="D3542">
        <f>IF('01_Вводные'!$B$234="Да",IF(OR(('06_Сеть_и_дети'!D67-'06_Сеть_и_дети'!D95)=0,15&lt;='01_Вводные'!$B$297),0,('06_Сеть_и_дети'!D67-'06_Сеть_и_дети'!D95)*IF('01_Вводные'!$B$239="Да",MeanMinAge15+'19_Расчет_аналитики'!D3596*SUMIF(ThresholdAge15,"&lt;"&amp;'19_Расчет_аналитики'!D3596,WeightedRevAge15)-SUMIF(ThresholdAge15,"&lt;"&amp;'19_Расчет_аналитики'!D3596,WeightedMinAge15),MAX(CapacityAge15*'01_Вводные'!$B$218*'19_Расчет_аналитики'!D3596,MeanMinAge15))),0)</f>
        <v/>
      </c>
      <c r="E3542">
        <f>IF('01_Вводные'!$B$234="Да",IF(OR(('06_Сеть_и_дети'!E67-'06_Сеть_и_дети'!E95)=0,15&lt;='01_Вводные'!$B$297),0,('06_Сеть_и_дети'!E67-'06_Сеть_и_дети'!E95)*IF('01_Вводные'!$B$239="Да",MeanMinAge15+'19_Расчет_аналитики'!E3596*SUMIF(ThresholdAge15,"&lt;"&amp;'19_Расчет_аналитики'!E3596,WeightedRevAge15)-SUMIF(ThresholdAge15,"&lt;"&amp;'19_Расчет_аналитики'!E3596,WeightedMinAge15),MAX(CapacityAge15*'01_Вводные'!$B$218*'19_Расчет_аналитики'!E3596,MeanMinAge15))),0)</f>
        <v/>
      </c>
      <c r="F3542">
        <f>IF('01_Вводные'!$B$234="Да",IF(OR(('06_Сеть_и_дети'!F67-'06_Сеть_и_дети'!F95)=0,15&lt;='01_Вводные'!$B$297),0,('06_Сеть_и_дети'!F67-'06_Сеть_и_дети'!F95)*IF('01_Вводные'!$B$239="Да",MeanMinAge15+'19_Расчет_аналитики'!F3596*SUMIF(ThresholdAge15,"&lt;"&amp;'19_Расчет_аналитики'!F3596,WeightedRevAge15)-SUMIF(ThresholdAge15,"&lt;"&amp;'19_Расчет_аналитики'!F3596,WeightedMinAge15),MAX(CapacityAge15*'01_Вводные'!$B$218*'19_Расчет_аналитики'!F3596,MeanMinAge15))),0)</f>
        <v/>
      </c>
      <c r="G3542">
        <f>IF('01_Вводные'!$B$234="Да",IF(OR(('06_Сеть_и_дети'!G67-'06_Сеть_и_дети'!G95)=0,15&lt;='01_Вводные'!$B$297),0,('06_Сеть_и_дети'!G67-'06_Сеть_и_дети'!G95)*IF('01_Вводные'!$B$239="Да",MeanMinAge15+'19_Расчет_аналитики'!G3596*SUMIF(ThresholdAge15,"&lt;"&amp;'19_Расчет_аналитики'!G3596,WeightedRevAge15)-SUMIF(ThresholdAge15,"&lt;"&amp;'19_Расчет_аналитики'!G3596,WeightedMinAge15),MAX(CapacityAge15*'01_Вводные'!$B$218*'19_Расчет_аналитики'!G3596,MeanMinAge15))),0)</f>
        <v/>
      </c>
      <c r="H3542">
        <f>IF('01_Вводные'!$B$234="Да",IF(OR(('06_Сеть_и_дети'!H67-'06_Сеть_и_дети'!H95)=0,15&lt;='01_Вводные'!$B$297),0,('06_Сеть_и_дети'!H67-'06_Сеть_и_дети'!H95)*IF('01_Вводные'!$B$239="Да",MeanMinAge15+'19_Расчет_аналитики'!H3596*SUMIF(ThresholdAge15,"&lt;"&amp;'19_Расчет_аналитики'!H3596,WeightedRevAge15)-SUMIF(ThresholdAge15,"&lt;"&amp;'19_Расчет_аналитики'!H3596,WeightedMinAge15),MAX(CapacityAge15*'01_Вводные'!$B$218*'19_Расчет_аналитики'!H3596,MeanMinAge15))),0)</f>
        <v/>
      </c>
      <c r="I3542">
        <f>IF('01_Вводные'!$B$234="Да",IF(OR(('06_Сеть_и_дети'!I67-'06_Сеть_и_дети'!I95)=0,15&lt;='01_Вводные'!$B$297),0,('06_Сеть_и_дети'!I67-'06_Сеть_и_дети'!I95)*IF('01_Вводные'!$B$239="Да",MeanMinAge15+'19_Расчет_аналитики'!I3596*SUMIF(ThresholdAge15,"&lt;"&amp;'19_Расчет_аналитики'!I3596,WeightedRevAge15)-SUMIF(ThresholdAge15,"&lt;"&amp;'19_Расчет_аналитики'!I3596,WeightedMinAge15),MAX(CapacityAge15*'01_Вводные'!$B$218*'19_Расчет_аналитики'!I3596,MeanMinAge15))),0)</f>
        <v/>
      </c>
      <c r="J3542">
        <f>IF('01_Вводные'!$B$234="Да",IF(OR(('06_Сеть_и_дети'!J67-'06_Сеть_и_дети'!J95)=0,15&lt;='01_Вводные'!$B$297),0,('06_Сеть_и_дети'!J67-'06_Сеть_и_дети'!J95)*IF('01_Вводные'!$B$239="Да",MeanMinAge15+'19_Расчет_аналитики'!J3596*SUMIF(ThresholdAge15,"&lt;"&amp;'19_Расчет_аналитики'!J3596,WeightedRevAge15)-SUMIF(ThresholdAge15,"&lt;"&amp;'19_Расчет_аналитики'!J3596,WeightedMinAge15),MAX(CapacityAge15*'01_Вводные'!$B$218*'19_Расчет_аналитики'!J3596,MeanMinAge15))),0)</f>
        <v/>
      </c>
      <c r="K3542">
        <f>IF('01_Вводные'!$B$234="Да",IF(OR(('06_Сеть_и_дети'!K67-'06_Сеть_и_дети'!K95)=0,15&lt;='01_Вводные'!$B$297),0,('06_Сеть_и_дети'!K67-'06_Сеть_и_дети'!K95)*IF('01_Вводные'!$B$239="Да",MeanMinAge15+'19_Расчет_аналитики'!K3596*SUMIF(ThresholdAge15,"&lt;"&amp;'19_Расчет_аналитики'!K3596,WeightedRevAge15)-SUMIF(ThresholdAge15,"&lt;"&amp;'19_Расчет_аналитики'!K3596,WeightedMinAge15),MAX(CapacityAge15*'01_Вводные'!$B$218*'19_Расчет_аналитики'!K3596,MeanMinAge15))),0)</f>
        <v/>
      </c>
      <c r="L3542">
        <f>IF('01_Вводные'!$B$234="Да",IF(OR(('06_Сеть_и_дети'!L67-'06_Сеть_и_дети'!L95)=0,15&lt;='01_Вводные'!$B$297),0,('06_Сеть_и_дети'!L67-'06_Сеть_и_дети'!L95)*IF('01_Вводные'!$B$239="Да",MeanMinAge15+'19_Расчет_аналитики'!L3596*SUMIF(ThresholdAge15,"&lt;"&amp;'19_Расчет_аналитики'!L3596,WeightedRevAge15)-SUMIF(ThresholdAge15,"&lt;"&amp;'19_Расчет_аналитики'!L3596,WeightedMinAge15),MAX(CapacityAge15*'01_Вводные'!$B$218*'19_Расчет_аналитики'!L3596,MeanMinAge15))),0)</f>
        <v/>
      </c>
      <c r="M3542">
        <f>IF('01_Вводные'!$B$234="Да",IF(OR(('06_Сеть_и_дети'!M67-'06_Сеть_и_дети'!M95)=0,15&lt;='01_Вводные'!$B$297),0,('06_Сеть_и_дети'!M67-'06_Сеть_и_дети'!M95)*IF('01_Вводные'!$B$239="Да",MeanMinAge15+'19_Расчет_аналитики'!M3596*SUMIF(ThresholdAge15,"&lt;"&amp;'19_Расчет_аналитики'!M3596,WeightedRevAge15)-SUMIF(ThresholdAge15,"&lt;"&amp;'19_Расчет_аналитики'!M3596,WeightedMinAge15),MAX(CapacityAge15*'01_Вводные'!$B$218*'19_Расчет_аналитики'!M3596,MeanMinAge15))),0)</f>
        <v/>
      </c>
      <c r="N3542">
        <f>IF('01_Вводные'!$B$234="Да",IF(OR(('06_Сеть_и_дети'!N67-'06_Сеть_и_дети'!N95)=0,15&lt;='01_Вводные'!$B$297),0,('06_Сеть_и_дети'!N67-'06_Сеть_и_дети'!N95)*IF('01_Вводные'!$B$239="Да",MeanMinAge15+'19_Расчет_аналитики'!N3596*SUMIF(ThresholdAge15,"&lt;"&amp;'19_Расчет_аналитики'!N3596,WeightedRevAge15)-SUMIF(ThresholdAge15,"&lt;"&amp;'19_Расчет_аналитики'!N3596,WeightedMinAge15),MAX(CapacityAge15*'01_Вводные'!$B$218*'19_Расчет_аналитики'!N3596,MeanMinAge15))),0)</f>
        <v/>
      </c>
      <c r="O3542">
        <f>IF('01_Вводные'!$B$234="Да",IF(OR(('06_Сеть_и_дети'!O67-'06_Сеть_и_дети'!O95)=0,15&lt;='01_Вводные'!$B$297),0,('06_Сеть_и_дети'!O67-'06_Сеть_и_дети'!O95)*IF('01_Вводные'!$B$239="Да",MeanMinAge15+'19_Расчет_аналитики'!O3596*SUMIF(ThresholdAge15,"&lt;"&amp;'19_Расчет_аналитики'!O3596,WeightedRevAge15)-SUMIF(ThresholdAge15,"&lt;"&amp;'19_Расчет_аналитики'!O3596,WeightedMinAge15),MAX(CapacityAge15*'01_Вводные'!$B$218*'19_Расчет_аналитики'!O3596,MeanMinAge15))),0)</f>
        <v/>
      </c>
      <c r="P3542">
        <f>IF('01_Вводные'!$B$234="Да",IF(OR(('19_Расчет_аналитики'!P3458-'19_Расчет_аналитики'!P3486)=0,15&lt;='01_Вводные'!$B$297),0,('19_Расчет_аналитики'!P3458-'19_Расчет_аналитики'!P3486)*IF('01_Вводные'!$B$239="Да",MeanMinAge15+'19_Расчет_аналитики'!P3596*SUMIF(ThresholdAge15,"&lt;"&amp;'19_Расчет_аналитики'!P3596,WeightedRevAge15)-SUMIF(ThresholdAge15,"&lt;"&amp;'19_Расчет_аналитики'!P3596,WeightedMinAge15),MAX(CapacityAge15*'01_Вводные'!$B$218*'19_Расчет_аналитики'!P3596,MeanMinAge15))),0)</f>
        <v/>
      </c>
      <c r="Q3542">
        <f>IF('01_Вводные'!$B$234="Да",IF(OR(('19_Расчет_аналитики'!Q3458-'19_Расчет_аналитики'!Q3486)=0,15&lt;='01_Вводные'!$B$297),0,('19_Расчет_аналитики'!Q3458-'19_Расчет_аналитики'!Q3486)*IF('01_Вводные'!$B$239="Да",MeanMinAge15+'19_Расчет_аналитики'!Q3596*SUMIF(ThresholdAge15,"&lt;"&amp;'19_Расчет_аналитики'!Q3596,WeightedRevAge15)-SUMIF(ThresholdAge15,"&lt;"&amp;'19_Расчет_аналитики'!Q3596,WeightedMinAge15),MAX(CapacityAge15*'01_Вводные'!$B$218*'19_Расчет_аналитики'!Q3596,MeanMinAge15))),0)</f>
        <v/>
      </c>
      <c r="R3542">
        <f>IF('01_Вводные'!$B$234="Да",IF(OR(('19_Расчет_аналитики'!R3458-'19_Расчет_аналитики'!R3486)=0,15&lt;='01_Вводные'!$B$297),0,('19_Расчет_аналитики'!R3458-'19_Расчет_аналитики'!R3486)*IF('01_Вводные'!$B$239="Да",MeanMinAge15+'19_Расчет_аналитики'!R3596*SUMIF(ThresholdAge15,"&lt;"&amp;'19_Расчет_аналитики'!R3596,WeightedRevAge15)-SUMIF(ThresholdAge15,"&lt;"&amp;'19_Расчет_аналитики'!R3596,WeightedMinAge15),MAX(CapacityAge15*'01_Вводные'!$B$218*'19_Расчет_аналитики'!R3596,MeanMinAge15))),0)</f>
        <v/>
      </c>
      <c r="S3542">
        <f>IF('01_Вводные'!$B$234="Да",IF(OR(('19_Расчет_аналитики'!S3458-'19_Расчет_аналитики'!S3486)=0,15&lt;='01_Вводные'!$B$297),0,('19_Расчет_аналитики'!S3458-'19_Расчет_аналитики'!S3486)*IF('01_Вводные'!$B$239="Да",MeanMinAge15+'19_Расчет_аналитики'!S3596*SUMIF(ThresholdAge15,"&lt;"&amp;'19_Расчет_аналитики'!S3596,WeightedRevAge15)-SUMIF(ThresholdAge15,"&lt;"&amp;'19_Расчет_аналитики'!S3596,WeightedMinAge15),MAX(CapacityAge15*'01_Вводные'!$B$218*'19_Расчет_аналитики'!S3596,MeanMinAge15))),0)</f>
        <v/>
      </c>
      <c r="T3542">
        <f>IF('01_Вводные'!$B$234="Да",IF(OR(('19_Расчет_аналитики'!T3458-'19_Расчет_аналитики'!T3486)=0,15&lt;='01_Вводные'!$B$297),0,('19_Расчет_аналитики'!T3458-'19_Расчет_аналитики'!T3486)*IF('01_Вводные'!$B$239="Да",MeanMinAge15+'19_Расчет_аналитики'!T3596*SUMIF(ThresholdAge15,"&lt;"&amp;'19_Расчет_аналитики'!T3596,WeightedRevAge15)-SUMIF(ThresholdAge15,"&lt;"&amp;'19_Расчет_аналитики'!T3596,WeightedMinAge15),MAX(CapacityAge15*'01_Вводные'!$B$218*'19_Расчет_аналитики'!T3596,MeanMinAge15))),0)</f>
        <v/>
      </c>
      <c r="U3542">
        <f>IF('01_Вводные'!$B$234="Да",IF(OR(('19_Расчет_аналитики'!U3458-'19_Расчет_аналитики'!U3486)=0,15&lt;='01_Вводные'!$B$297),0,('19_Расчет_аналитики'!U3458-'19_Расчет_аналитики'!U3486)*IF('01_Вводные'!$B$239="Да",MeanMinAge15+'19_Расчет_аналитики'!U3596*SUMIF(ThresholdAge15,"&lt;"&amp;'19_Расчет_аналитики'!U3596,WeightedRevAge15)-SUMIF(ThresholdAge15,"&lt;"&amp;'19_Расчет_аналитики'!U3596,WeightedMinAge15),MAX(CapacityAge15*'01_Вводные'!$B$218*'19_Расчет_аналитики'!U3596,MeanMinAge15))),0)</f>
        <v/>
      </c>
      <c r="V3542">
        <f>IF('01_Вводные'!$B$234="Да",IF(OR(('19_Расчет_аналитики'!V3458-'19_Расчет_аналитики'!V3486)=0,15&lt;='01_Вводные'!$B$297),0,('19_Расчет_аналитики'!V3458-'19_Расчет_аналитики'!V3486)*IF('01_Вводные'!$B$239="Да",MeanMinAge15+'19_Расчет_аналитики'!V3596*SUMIF(ThresholdAge15,"&lt;"&amp;'19_Расчет_аналитики'!V3596,WeightedRevAge15)-SUMIF(ThresholdAge15,"&lt;"&amp;'19_Расчет_аналитики'!V3596,WeightedMinAge15),MAX(CapacityAge15*'01_Вводные'!$B$218*'19_Расчет_аналитики'!V3596,MeanMinAge15))),0)</f>
        <v/>
      </c>
      <c r="W3542">
        <f>IF('01_Вводные'!$B$234="Да",IF(OR(('19_Расчет_аналитики'!W3458-'19_Расчет_аналитики'!W3486)=0,15&lt;='01_Вводные'!$B$297),0,('19_Расчет_аналитики'!W3458-'19_Расчет_аналитики'!W3486)*IF('01_Вводные'!$B$239="Да",MeanMinAge15+'19_Расчет_аналитики'!W3596*SUMIF(ThresholdAge15,"&lt;"&amp;'19_Расчет_аналитики'!W3596,WeightedRevAge15)-SUMIF(ThresholdAge15,"&lt;"&amp;'19_Расчет_аналитики'!W3596,WeightedMinAge15),MAX(CapacityAge15*'01_Вводные'!$B$218*'19_Расчет_аналитики'!W3596,MeanMinAge15))),0)</f>
        <v/>
      </c>
      <c r="X3542">
        <f>IF('01_Вводные'!$B$234="Да",IF(OR(('19_Расчет_аналитики'!X3458-'19_Расчет_аналитики'!X3486)=0,15&lt;='01_Вводные'!$B$297),0,('19_Расчет_аналитики'!X3458-'19_Расчет_аналитики'!X3486)*IF('01_Вводные'!$B$239="Да",MeanMinAge15+'19_Расчет_аналитики'!X3596*SUMIF(ThresholdAge15,"&lt;"&amp;'19_Расчет_аналитики'!X3596,WeightedRevAge15)-SUMIF(ThresholdAge15,"&lt;"&amp;'19_Расчет_аналитики'!X3596,WeightedMinAge15),MAX(CapacityAge15*'01_Вводные'!$B$218*'19_Расчет_аналитики'!X3596,MeanMinAge15))),0)</f>
        <v/>
      </c>
      <c r="Y3542">
        <f>IF('01_Вводные'!$B$234="Да",IF(OR(('19_Расчет_аналитики'!Y3458-'19_Расчет_аналитики'!Y3486)=0,15&lt;='01_Вводные'!$B$297),0,('19_Расчет_аналитики'!Y3458-'19_Расчет_аналитики'!Y3486)*IF('01_Вводные'!$B$239="Да",MeanMinAge15+'19_Расчет_аналитики'!Y3596*SUMIF(ThresholdAge15,"&lt;"&amp;'19_Расчет_аналитики'!Y3596,WeightedRevAge15)-SUMIF(ThresholdAge15,"&lt;"&amp;'19_Расчет_аналитики'!Y3596,WeightedMinAge15),MAX(CapacityAge15*'01_Вводные'!$B$218*'19_Расчет_аналитики'!Y3596,MeanMinAge15))),0)</f>
        <v/>
      </c>
      <c r="Z3542">
        <f>IF('01_Вводные'!$B$234="Да",IF(OR(('19_Расчет_аналитики'!Z3458-'19_Расчет_аналитики'!Z3486)=0,15&lt;='01_Вводные'!$B$297),0,('19_Расчет_аналитики'!Z3458-'19_Расчет_аналитики'!Z3486)*IF('01_Вводные'!$B$239="Да",MeanMinAge15+'19_Расчет_аналитики'!Z3596*SUMIF(ThresholdAge15,"&lt;"&amp;'19_Расчет_аналитики'!Z3596,WeightedRevAge15)-SUMIF(ThresholdAge15,"&lt;"&amp;'19_Расчет_аналитики'!Z3596,WeightedMinAge15),MAX(CapacityAge15*'01_Вводные'!$B$218*'19_Расчет_аналитики'!Z3596,MeanMinAge15))),0)</f>
        <v/>
      </c>
      <c r="AA3542">
        <f>IF('01_Вводные'!$B$234="Да",IF(OR(('19_Расчет_аналитики'!AA3458-'19_Расчет_аналитики'!AA3486)=0,15&lt;='01_Вводные'!$B$297),0,('19_Расчет_аналитики'!AA3458-'19_Расчет_аналитики'!AA3486)*IF('01_Вводные'!$B$239="Да",MeanMinAge15+'19_Расчет_аналитики'!AA3596*SUMIF(ThresholdAge15,"&lt;"&amp;'19_Расчет_аналитики'!AA3596,WeightedRevAge15)-SUMIF(ThresholdAge15,"&lt;"&amp;'19_Расчет_аналитики'!AA3596,WeightedMinAge15),MAX(CapacityAge15*'01_Вводные'!$B$218*'19_Расчет_аналитики'!AA3596,MeanMinAge15))),0)</f>
        <v/>
      </c>
      <c r="AB3542">
        <f>IF('01_Вводные'!$B$234="Да",IF(OR(('19_Расчет_аналитики'!AB3458-'19_Расчет_аналитики'!AB3486)=0,15&lt;='01_Вводные'!$B$297),0,('19_Расчет_аналитики'!AB3458-'19_Расчет_аналитики'!AB3486)*IF('01_Вводные'!$B$239="Да",MeanMinAge15+'19_Расчет_аналитики'!AB3596*SUMIF(ThresholdAge15,"&lt;"&amp;'19_Расчет_аналитики'!AB3596,WeightedRevAge15)-SUMIF(ThresholdAge15,"&lt;"&amp;'19_Расчет_аналитики'!AB3596,WeightedMinAge15),MAX(CapacityAge15*'01_Вводные'!$B$218*'19_Расчет_аналитики'!AB3596,MeanMinAge15))),0)</f>
        <v/>
      </c>
      <c r="AC3542">
        <f>IF('01_Вводные'!$B$234="Да",IF(OR(('19_Расчет_аналитики'!AC3458-'19_Расчет_аналитики'!AC3486)=0,15&lt;='01_Вводные'!$B$297),0,('19_Расчет_аналитики'!AC3458-'19_Расчет_аналитики'!AC3486)*IF('01_Вводные'!$B$239="Да",MeanMinAge15+'19_Расчет_аналитики'!AC3596*SUMIF(ThresholdAge15,"&lt;"&amp;'19_Расчет_аналитики'!AC3596,WeightedRevAge15)-SUMIF(ThresholdAge15,"&lt;"&amp;'19_Расчет_аналитики'!AC3596,WeightedMinAge15),MAX(CapacityAge15*'01_Вводные'!$B$218*'19_Расчет_аналитики'!AC3596,MeanMinAge15))),0)</f>
        <v/>
      </c>
      <c r="AD3542">
        <f>IF('01_Вводные'!$B$234="Да",IF(OR(('19_Расчет_аналитики'!AD3458-'19_Расчет_аналитики'!AD3486)=0,15&lt;='01_Вводные'!$B$297),0,('19_Расчет_аналитики'!AD3458-'19_Расчет_аналитики'!AD3486)*IF('01_Вводные'!$B$239="Да",MeanMinAge15+'19_Расчет_аналитики'!AD3596*SUMIF(ThresholdAge15,"&lt;"&amp;'19_Расчет_аналитики'!AD3596,WeightedRevAge15)-SUMIF(ThresholdAge15,"&lt;"&amp;'19_Расчет_аналитики'!AD3596,WeightedMinAge15),MAX(CapacityAge15*'01_Вводные'!$B$218*'19_Расчет_аналитики'!AD3596,MeanMinAge15))),0)</f>
        <v/>
      </c>
      <c r="AE3542">
        <f>IF('01_Вводные'!$B$234="Да",IF(OR(('19_Расчет_аналитики'!AE3458-'19_Расчет_аналитики'!AE3486)=0,15&lt;='01_Вводные'!$B$297),0,('19_Расчет_аналитики'!AE3458-'19_Расчет_аналитики'!AE3486)*IF('01_Вводные'!$B$239="Да",MeanMinAge15+'19_Расчет_аналитики'!AE3596*SUMIF(ThresholdAge15,"&lt;"&amp;'19_Расчет_аналитики'!AE3596,WeightedRevAge15)-SUMIF(ThresholdAge15,"&lt;"&amp;'19_Расчет_аналитики'!AE3596,WeightedMinAge15),MAX(CapacityAge15*'01_Вводные'!$B$218*'19_Расчет_аналитики'!AE3596,MeanMinAge15))),0)</f>
        <v/>
      </c>
      <c r="AF3542">
        <f>IF('01_Вводные'!$B$234="Да",IF(OR(('19_Расчет_аналитики'!AF3458-'19_Расчет_аналитики'!AF3486)=0,15&lt;='01_Вводные'!$B$297),0,('19_Расчет_аналитики'!AF3458-'19_Расчет_аналитики'!AF3486)*IF('01_Вводные'!$B$239="Да",MeanMinAge15+'19_Расчет_аналитики'!AF3596*SUMIF(ThresholdAge15,"&lt;"&amp;'19_Расчет_аналитики'!AF3596,WeightedRevAge15)-SUMIF(ThresholdAge15,"&lt;"&amp;'19_Расчет_аналитики'!AF3596,WeightedMinAge15),MAX(CapacityAge15*'01_Вводные'!$B$218*'19_Расчет_аналитики'!AF3596,MeanMinAge15))),0)</f>
        <v/>
      </c>
      <c r="AG3542">
        <f>IF('01_Вводные'!$B$234="Да",IF(OR(('19_Расчет_аналитики'!AG3458-'19_Расчет_аналитики'!AG3486)=0,15&lt;='01_Вводные'!$B$297),0,('19_Расчет_аналитики'!AG3458-'19_Расчет_аналитики'!AG3486)*IF('01_Вводные'!$B$239="Да",MeanMinAge15+'19_Расчет_аналитики'!AG3596*SUMIF(ThresholdAge15,"&lt;"&amp;'19_Расчет_аналитики'!AG3596,WeightedRevAge15)-SUMIF(ThresholdAge15,"&lt;"&amp;'19_Расчет_аналитики'!AG3596,WeightedMinAge15),MAX(CapacityAge15*'01_Вводные'!$B$218*'19_Расчет_аналитики'!AG3596,MeanMinAge15))),0)</f>
        <v/>
      </c>
      <c r="AH3542">
        <f>IF('01_Вводные'!$B$234="Да",IF(OR(('19_Расчет_аналитики'!AH3458-'19_Расчет_аналитики'!AH3486)=0,15&lt;='01_Вводные'!$B$297),0,('19_Расчет_аналитики'!AH3458-'19_Расчет_аналитики'!AH3486)*IF('01_Вводные'!$B$239="Да",MeanMinAge15+'19_Расчет_аналитики'!AH3596*SUMIF(ThresholdAge15,"&lt;"&amp;'19_Расчет_аналитики'!AH3596,WeightedRevAge15)-SUMIF(ThresholdAge15,"&lt;"&amp;'19_Расчет_аналитики'!AH3596,WeightedMinAge15),MAX(CapacityAge15*'01_Вводные'!$B$218*'19_Расчет_аналитики'!AH3596,MeanMinAge15))),0)</f>
        <v/>
      </c>
      <c r="AI3542">
        <f>IF('01_Вводные'!$B$234="Да",IF(OR(('19_Расчет_аналитики'!AI3458-'19_Расчет_аналитики'!AI3486)=0,15&lt;='01_Вводные'!$B$297),0,('19_Расчет_аналитики'!AI3458-'19_Расчет_аналитики'!AI3486)*IF('01_Вводные'!$B$239="Да",MeanMinAge15+'19_Расчет_аналитики'!AI3596*SUMIF(ThresholdAge15,"&lt;"&amp;'19_Расчет_аналитики'!AI3596,WeightedRevAge15)-SUMIF(ThresholdAge15,"&lt;"&amp;'19_Расчет_аналитики'!AI3596,WeightedMinAge15),MAX(CapacityAge15*'01_Вводные'!$B$218*'19_Расчет_аналитики'!AI3596,MeanMinAge15))),0)</f>
        <v/>
      </c>
      <c r="AJ3542">
        <f>IF('01_Вводные'!$B$234="Да",IF(OR(('19_Расчет_аналитики'!AJ3458-'19_Расчет_аналитики'!AJ3486)=0,15&lt;='01_Вводные'!$B$297),0,('19_Расчет_аналитики'!AJ3458-'19_Расчет_аналитики'!AJ3486)*IF('01_Вводные'!$B$239="Да",MeanMinAge15+'19_Расчет_аналитики'!AJ3596*SUMIF(ThresholdAge15,"&lt;"&amp;'19_Расчет_аналитики'!AJ3596,WeightedRevAge15)-SUMIF(ThresholdAge15,"&lt;"&amp;'19_Расчет_аналитики'!AJ3596,WeightedMinAge15),MAX(CapacityAge15*'01_Вводные'!$B$218*'19_Расчет_аналитики'!AJ3596,MeanMinAge15))),0)</f>
        <v/>
      </c>
      <c r="AK3542">
        <f>IF('01_Вводные'!$B$234="Да",IF(OR(('19_Расчет_аналитики'!AK3458-'19_Расчет_аналитики'!AK3486)=0,15&lt;='01_Вводные'!$B$297),0,('19_Расчет_аналитики'!AK3458-'19_Расчет_аналитики'!AK3486)*IF('01_Вводные'!$B$239="Да",MeanMinAge15+'19_Расчет_аналитики'!AK3596*SUMIF(ThresholdAge15,"&lt;"&amp;'19_Расчет_аналитики'!AK3596,WeightedRevAge15)-SUMIF(ThresholdAge15,"&lt;"&amp;'19_Расчет_аналитики'!AK3596,WeightedMinAge15),MAX(CapacityAge15*'01_Вводные'!$B$218*'19_Расчет_аналитики'!AK3596,MeanMinAge15))),0)</f>
        <v/>
      </c>
      <c r="AL3542">
        <f>IF('01_Вводные'!$B$234="Да",IF(OR(('19_Расчет_аналитики'!AL3458-'19_Расчет_аналитики'!AL3486)=0,15&lt;='01_Вводные'!$B$297),0,('19_Расчет_аналитики'!AL3458-'19_Расчет_аналитики'!AL3486)*IF('01_Вводные'!$B$239="Да",MeanMinAge15+'19_Расчет_аналитики'!AL3596*SUMIF(ThresholdAge15,"&lt;"&amp;'19_Расчет_аналитики'!AL3596,WeightedRevAge15)-SUMIF(ThresholdAge15,"&lt;"&amp;'19_Расчет_аналитики'!AL3596,WeightedMinAge15),MAX(CapacityAge15*'01_Вводные'!$B$218*'19_Расчет_аналитики'!AL3596,MeanMinAge15))),0)</f>
        <v/>
      </c>
      <c r="AM3542">
        <f>IF('01_Вводные'!$B$234="Да",IF(OR(('19_Расчет_аналитики'!AM3458-'19_Расчет_аналитики'!AM3486)=0,15&lt;='01_Вводные'!$B$297),0,('19_Расчет_аналитики'!AM3458-'19_Расчет_аналитики'!AM3486)*IF('01_Вводные'!$B$239="Да",MeanMinAge15+'19_Расчет_аналитики'!AM3596*SUMIF(ThresholdAge15,"&lt;"&amp;'19_Расчет_аналитики'!AM3596,WeightedRevAge15)-SUMIF(ThresholdAge15,"&lt;"&amp;'19_Расчет_аналитики'!AM3596,WeightedMinAge15),MAX(CapacityAge15*'01_Вводные'!$B$218*'19_Расчет_аналитики'!AM3596,MeanMinAge15))),0)</f>
        <v/>
      </c>
      <c r="AN3542">
        <f>IF('01_Вводные'!$B$234="Да",IF(OR(('19_Расчет_аналитики'!AN3458-'19_Расчет_аналитики'!AN3486)=0,15&lt;='01_Вводные'!$B$297),0,('19_Расчет_аналитики'!AN3458-'19_Расчет_аналитики'!AN3486)*IF('01_Вводные'!$B$239="Да",MeanMinAge15+'19_Расчет_аналитики'!AN3596*SUMIF(ThresholdAge15,"&lt;"&amp;'19_Расчет_аналитики'!AN3596,WeightedRevAge15)-SUMIF(ThresholdAge15,"&lt;"&amp;'19_Расчет_аналитики'!AN3596,WeightedMinAge15),MAX(CapacityAge15*'01_Вводные'!$B$218*'19_Расчет_аналитики'!AN3596,MeanMinAge15))),0)</f>
        <v/>
      </c>
      <c r="AO3542">
        <f>IF('01_Вводные'!$B$234="Да",IF(OR(('19_Расчет_аналитики'!AO3458-'19_Расчет_аналитики'!AO3486)=0,15&lt;='01_Вводные'!$B$297),0,('19_Расчет_аналитики'!AO3458-'19_Расчет_аналитики'!AO3486)*IF('01_Вводные'!$B$239="Да",MeanMinAge15+'19_Расчет_аналитики'!AO3596*SUMIF(ThresholdAge15,"&lt;"&amp;'19_Расчет_аналитики'!AO3596,WeightedRevAge15)-SUMIF(ThresholdAge15,"&lt;"&amp;'19_Расчет_аналитики'!AO3596,WeightedMinAge15),MAX(CapacityAge15*'01_Вводные'!$B$218*'19_Расчет_аналитики'!AO3596,MeanMinAge15))),0)</f>
        <v/>
      </c>
      <c r="AP3542">
        <f>IF('01_Вводные'!$B$234="Да",IF(OR(('19_Расчет_аналитики'!AP3458-'19_Расчет_аналитики'!AP3486)=0,15&lt;='01_Вводные'!$B$297),0,('19_Расчет_аналитики'!AP3458-'19_Расчет_аналитики'!AP3486)*IF('01_Вводные'!$B$239="Да",MeanMinAge15+'19_Расчет_аналитики'!AP3596*SUMIF(ThresholdAge15,"&lt;"&amp;'19_Расчет_аналитики'!AP3596,WeightedRevAge15)-SUMIF(ThresholdAge15,"&lt;"&amp;'19_Расчет_аналитики'!AP3596,WeightedMinAge15),MAX(CapacityAge15*'01_Вводные'!$B$218*'19_Расчет_аналитики'!AP3596,MeanMinAge15))),0)</f>
        <v/>
      </c>
      <c r="AQ3542">
        <f>IF('01_Вводные'!$B$234="Да",IF(OR(('19_Расчет_аналитики'!AQ3458-'19_Расчет_аналитики'!AQ3486)=0,15&lt;='01_Вводные'!$B$297),0,('19_Расчет_аналитики'!AQ3458-'19_Расчет_аналитики'!AQ3486)*IF('01_Вводные'!$B$239="Да",MeanMinAge15+'19_Расчет_аналитики'!AQ3596*SUMIF(ThresholdAge15,"&lt;"&amp;'19_Расчет_аналитики'!AQ3596,WeightedRevAge15)-SUMIF(ThresholdAge15,"&lt;"&amp;'19_Расчет_аналитики'!AQ3596,WeightedMinAge15),MAX(CapacityAge15*'01_Вводные'!$B$218*'19_Расчет_аналитики'!AQ3596,MeanMinAge15))),0)</f>
        <v/>
      </c>
      <c r="AR3542">
        <f>IF('01_Вводные'!$B$234="Да",IF(OR(('19_Расчет_аналитики'!AR3458-'19_Расчет_аналитики'!AR3486)=0,15&lt;='01_Вводные'!$B$297),0,('19_Расчет_аналитики'!AR3458-'19_Расчет_аналитики'!AR3486)*IF('01_Вводные'!$B$239="Да",MeanMinAge15+'19_Расчет_аналитики'!AR3596*SUMIF(ThresholdAge15,"&lt;"&amp;'19_Расчет_аналитики'!AR3596,WeightedRevAge15)-SUMIF(ThresholdAge15,"&lt;"&amp;'19_Расчет_аналитики'!AR3596,WeightedMinAge15),MAX(CapacityAge15*'01_Вводные'!$B$218*'19_Расчет_аналитики'!AR3596,MeanMinAge15))),0)</f>
        <v/>
      </c>
      <c r="AS3542">
        <f>IF('01_Вводные'!$B$234="Да",IF(OR(('19_Расчет_аналитики'!AS3458-'19_Расчет_аналитики'!AS3486)=0,15&lt;='01_Вводные'!$B$297),0,('19_Расчет_аналитики'!AS3458-'19_Расчет_аналитики'!AS3486)*IF('01_Вводные'!$B$239="Да",MeanMinAge15+'19_Расчет_аналитики'!AS3596*SUMIF(ThresholdAge15,"&lt;"&amp;'19_Расчет_аналитики'!AS3596,WeightedRevAge15)-SUMIF(ThresholdAge15,"&lt;"&amp;'19_Расчет_аналитики'!AS3596,WeightedMinAge15),MAX(CapacityAge15*'01_Вводные'!$B$218*'19_Расчет_аналитики'!AS3596,MeanMinAge15))),0)</f>
        <v/>
      </c>
      <c r="AT3542">
        <f>IF('01_Вводные'!$B$234="Да",IF(OR(('19_Расчет_аналитики'!AT3458-'19_Расчет_аналитики'!AT3486)=0,15&lt;='01_Вводные'!$B$297),0,('19_Расчет_аналитики'!AT3458-'19_Расчет_аналитики'!AT3486)*IF('01_Вводные'!$B$239="Да",MeanMinAge15+'19_Расчет_аналитики'!AT3596*SUMIF(ThresholdAge15,"&lt;"&amp;'19_Расчет_аналитики'!AT3596,WeightedRevAge15)-SUMIF(ThresholdAge15,"&lt;"&amp;'19_Расчет_аналитики'!AT3596,WeightedMinAge15),MAX(CapacityAge15*'01_Вводные'!$B$218*'19_Расчет_аналитики'!AT3596,MeanMinAge15))),0)</f>
        <v/>
      </c>
      <c r="AU3542">
        <f>IF('01_Вводные'!$B$234="Да",IF(OR(('19_Расчет_аналитики'!AU3458-'19_Расчет_аналитики'!AU3486)=0,15&lt;='01_Вводные'!$B$297),0,('19_Расчет_аналитики'!AU3458-'19_Расчет_аналитики'!AU3486)*IF('01_Вводные'!$B$239="Да",MeanMinAge15+'19_Расчет_аналитики'!AU3596*SUMIF(ThresholdAge15,"&lt;"&amp;'19_Расчет_аналитики'!AU3596,WeightedRevAge15)-SUMIF(ThresholdAge15,"&lt;"&amp;'19_Расчет_аналитики'!AU3596,WeightedMinAge15),MAX(CapacityAge15*'01_Вводные'!$B$218*'19_Расчет_аналитики'!AU3596,MeanMinAge15))),0)</f>
        <v/>
      </c>
      <c r="AV3542">
        <f>IF('01_Вводные'!$B$234="Да",IF(OR(('19_Расчет_аналитики'!AV3458-'19_Расчет_аналитики'!AV3486)=0,15&lt;='01_Вводные'!$B$297),0,('19_Расчет_аналитики'!AV3458-'19_Расчет_аналитики'!AV3486)*IF('01_Вводные'!$B$239="Да",MeanMinAge15+'19_Расчет_аналитики'!AV3596*SUMIF(ThresholdAge15,"&lt;"&amp;'19_Расчет_аналитики'!AV3596,WeightedRevAge15)-SUMIF(ThresholdAge15,"&lt;"&amp;'19_Расчет_аналитики'!AV3596,WeightedMinAge15),MAX(CapacityAge15*'01_Вводные'!$B$218*'19_Расчет_аналитики'!AV3596,MeanMinAge15))),0)</f>
        <v/>
      </c>
      <c r="AW3542">
        <f>IF('01_Вводные'!$B$234="Да",IF(OR(('19_Расчет_аналитики'!AW3458-'19_Расчет_аналитики'!AW3486)=0,15&lt;='01_Вводные'!$B$297),0,('19_Расчет_аналитики'!AW3458-'19_Расчет_аналитики'!AW3486)*IF('01_Вводные'!$B$239="Да",MeanMinAge15+'19_Расчет_аналитики'!AW3596*SUMIF(ThresholdAge15,"&lt;"&amp;'19_Расчет_аналитики'!AW3596,WeightedRevAge15)-SUMIF(ThresholdAge15,"&lt;"&amp;'19_Расчет_аналитики'!AW3596,WeightedMinAge15),MAX(CapacityAge15*'01_Вводные'!$B$218*'19_Расчет_аналитики'!AW3596,MeanMinAge15))),0)</f>
        <v/>
      </c>
      <c r="AX3542">
        <f>IF('01_Вводные'!$B$234="Да",IF(OR(('19_Расчет_аналитики'!AX3458-'19_Расчет_аналитики'!AX3486)=0,15&lt;='01_Вводные'!$B$297),0,('19_Расчет_аналитики'!AX3458-'19_Расчет_аналитики'!AX3486)*IF('01_Вводные'!$B$239="Да",MeanMinAge15+'19_Расчет_аналитики'!AX3596*SUMIF(ThresholdAge15,"&lt;"&amp;'19_Расчет_аналитики'!AX3596,WeightedRevAge15)-SUMIF(ThresholdAge15,"&lt;"&amp;'19_Расчет_аналитики'!AX3596,WeightedMinAge15),MAX(CapacityAge15*'01_Вводные'!$B$218*'19_Расчет_аналитики'!AX3596,MeanMinAge15))),0)</f>
        <v/>
      </c>
      <c r="AY3542">
        <f>IF('01_Вводные'!$B$234="Да",IF(OR(('19_Расчет_аналитики'!AY3458-'19_Расчет_аналитики'!AY3486)=0,15&lt;='01_Вводные'!$B$297),0,('19_Расчет_аналитики'!AY3458-'19_Расчет_аналитики'!AY3486)*IF('01_Вводные'!$B$239="Да",MeanMinAge15+'19_Расчет_аналитики'!AY3596*SUMIF(ThresholdAge15,"&lt;"&amp;'19_Расчет_аналитики'!AY3596,WeightedRevAge15)-SUMIF(ThresholdAge15,"&lt;"&amp;'19_Расчет_аналитики'!AY3596,WeightedMinAge15),MAX(CapacityAge15*'01_Вводные'!$B$218*'19_Расчет_аналитики'!AY3596,MeanMinAge15))),0)</f>
        <v/>
      </c>
      <c r="AZ3542">
        <f>IF('01_Вводные'!$B$234="Да",IF(OR(('19_Расчет_аналитики'!AZ3458-'19_Расчет_аналитики'!AZ3486)=0,15&lt;='01_Вводные'!$B$297),0,('19_Расчет_аналитики'!AZ3458-'19_Расчет_аналитики'!AZ3486)*IF('01_Вводные'!$B$239="Да",MeanMinAge15+'19_Расчет_аналитики'!AZ3596*SUMIF(ThresholdAge15,"&lt;"&amp;'19_Расчет_аналитики'!AZ3596,WeightedRevAge15)-SUMIF(ThresholdAge15,"&lt;"&amp;'19_Расчет_аналитики'!AZ3596,WeightedMinAge15),MAX(CapacityAge15*'01_Вводные'!$B$218*'19_Расчет_аналитики'!AZ3596,MeanMinAge15))),0)</f>
        <v/>
      </c>
      <c r="BA3542">
        <f>IF('01_Вводные'!$B$234="Да",IF(OR(('19_Расчет_аналитики'!BA3458-'19_Расчет_аналитики'!BA3486)=0,15&lt;='01_Вводные'!$B$297),0,('19_Расчет_аналитики'!BA3458-'19_Расчет_аналитики'!BA3486)*IF('01_Вводные'!$B$239="Да",MeanMinAge15+'19_Расчет_аналитики'!BA3596*SUMIF(ThresholdAge15,"&lt;"&amp;'19_Расчет_аналитики'!BA3596,WeightedRevAge15)-SUMIF(ThresholdAge15,"&lt;"&amp;'19_Расчет_аналитики'!BA3596,WeightedMinAge15),MAX(CapacityAge15*'01_Вводные'!$B$218*'19_Расчет_аналитики'!BA3596,MeanMinAge15))),0)</f>
        <v/>
      </c>
      <c r="BB3542">
        <f>IF('01_Вводные'!$B$234="Да",IF(OR(('19_Расчет_аналитики'!BB3458-'19_Расчет_аналитики'!BB3486)=0,15&lt;='01_Вводные'!$B$297),0,('19_Расчет_аналитики'!BB3458-'19_Расчет_аналитики'!BB3486)*IF('01_Вводные'!$B$239="Да",MeanMinAge15+'19_Расчет_аналитики'!BB3596*SUMIF(ThresholdAge15,"&lt;"&amp;'19_Расчет_аналитики'!BB3596,WeightedRevAge15)-SUMIF(ThresholdAge15,"&lt;"&amp;'19_Расчет_аналитики'!BB3596,WeightedMinAge15),MAX(CapacityAge15*'01_Вводные'!$B$218*'19_Расчет_аналитики'!BB3596,MeanMinAge15))),0)</f>
        <v/>
      </c>
      <c r="BC3542">
        <f>IF('01_Вводные'!$B$234="Да",IF(OR(('19_Расчет_аналитики'!BC3458-'19_Расчет_аналитики'!BC3486)=0,15&lt;='01_Вводные'!$B$297),0,('19_Расчет_аналитики'!BC3458-'19_Расчет_аналитики'!BC3486)*IF('01_Вводные'!$B$239="Да",MeanMinAge15+'19_Расчет_аналитики'!BC3596*SUMIF(ThresholdAge15,"&lt;"&amp;'19_Расчет_аналитики'!BC3596,WeightedRevAge15)-SUMIF(ThresholdAge15,"&lt;"&amp;'19_Расчет_аналитики'!BC3596,WeightedMinAge15),MAX(CapacityAge15*'01_Вводные'!$B$218*'19_Расчет_аналитики'!BC3596,MeanMinAge15))),0)</f>
        <v/>
      </c>
      <c r="BD3542">
        <f>IF('01_Вводные'!$B$234="Да",IF(OR(('19_Расчет_аналитики'!BD3458-'19_Расчет_аналитики'!BD3486)=0,15&lt;='01_Вводные'!$B$297),0,('19_Расчет_аналитики'!BD3458-'19_Расчет_аналитики'!BD3486)*IF('01_Вводные'!$B$239="Да",MeanMinAge15+'19_Расчет_аналитики'!BD3596*SUMIF(ThresholdAge15,"&lt;"&amp;'19_Расчет_аналитики'!BD3596,WeightedRevAge15)-SUMIF(ThresholdAge15,"&lt;"&amp;'19_Расчет_аналитики'!BD3596,WeightedMinAge15),MAX(CapacityAge15*'01_Вводные'!$B$218*'19_Расчет_аналитики'!BD3596,MeanMinAge15))),0)</f>
        <v/>
      </c>
      <c r="BE3542">
        <f>IF('01_Вводные'!$B$234="Да",IF(OR(('19_Расчет_аналитики'!BE3458-'19_Расчет_аналитики'!BE3486)=0,15&lt;='01_Вводные'!$B$297),0,('19_Расчет_аналитики'!BE3458-'19_Расчет_аналитики'!BE3486)*IF('01_Вводные'!$B$239="Да",MeanMinAge15+'19_Расчет_аналитики'!BE3596*SUMIF(ThresholdAge15,"&lt;"&amp;'19_Расчет_аналитики'!BE3596,WeightedRevAge15)-SUMIF(ThresholdAge15,"&lt;"&amp;'19_Расчет_аналитики'!BE3596,WeightedMinAge15),MAX(CapacityAge15*'01_Вводные'!$B$218*'19_Расчет_аналитики'!BE3596,MeanMinAge15))),0)</f>
        <v/>
      </c>
      <c r="BF3542">
        <f>IF('01_Вводные'!$B$234="Да",IF(OR(('19_Расчет_аналитики'!BF3458-'19_Расчет_аналитики'!BF3486)=0,15&lt;='01_Вводные'!$B$297),0,('19_Расчет_аналитики'!BF3458-'19_Расчет_аналитики'!BF3486)*IF('01_Вводные'!$B$239="Да",MeanMinAge15+'19_Расчет_аналитики'!BF3596*SUMIF(ThresholdAge15,"&lt;"&amp;'19_Расчет_аналитики'!BF3596,WeightedRevAge15)-SUMIF(ThresholdAge15,"&lt;"&amp;'19_Расчет_аналитики'!BF3596,WeightedMinAge15),MAX(CapacityAge15*'01_Вводные'!$B$218*'19_Расчет_аналитики'!BF3596,MeanMinAge15))),0)</f>
        <v/>
      </c>
      <c r="BG3542">
        <f>IF('01_Вводные'!$B$234="Да",IF(OR(('19_Расчет_аналитики'!BG3458-'19_Расчет_аналитики'!BG3486)=0,15&lt;='01_Вводные'!$B$297),0,('19_Расчет_аналитики'!BG3458-'19_Расчет_аналитики'!BG3486)*IF('01_Вводные'!$B$239="Да",MeanMinAge15+'19_Расчет_аналитики'!BG3596*SUMIF(ThresholdAge15,"&lt;"&amp;'19_Расчет_аналитики'!BG3596,WeightedRevAge15)-SUMIF(ThresholdAge15,"&lt;"&amp;'19_Расчет_аналитики'!BG3596,WeightedMinAge15),MAX(CapacityAge15*'01_Вводные'!$B$218*'19_Расчет_аналитики'!BG3596,MeanMinAge15))),0)</f>
        <v/>
      </c>
      <c r="BH3542">
        <f>IF('01_Вводные'!$B$234="Да",IF(OR(('19_Расчет_аналитики'!BH3458-'19_Расчет_аналитики'!BH3486)=0,15&lt;='01_Вводные'!$B$297),0,('19_Расчет_аналитики'!BH3458-'19_Расчет_аналитики'!BH3486)*IF('01_Вводные'!$B$239="Да",MeanMinAge15+'19_Расчет_аналитики'!BH3596*SUMIF(ThresholdAge15,"&lt;"&amp;'19_Расчет_аналитики'!BH3596,WeightedRevAge15)-SUMIF(ThresholdAge15,"&lt;"&amp;'19_Расчет_аналитики'!BH3596,WeightedMinAge15),MAX(CapacityAge15*'01_Вводные'!$B$218*'19_Расчет_аналитики'!BH3596,MeanMinAge15))),0)</f>
        <v/>
      </c>
      <c r="BI3542">
        <f>IF('01_Вводные'!$B$234="Да",IF(OR(('19_Расчет_аналитики'!BI3458-'19_Расчет_аналитики'!BI3486)=0,15&lt;='01_Вводные'!$B$297),0,('19_Расчет_аналитики'!BI3458-'19_Расчет_аналитики'!BI3486)*IF('01_Вводные'!$B$239="Да",MeanMinAge15+'19_Расчет_аналитики'!BI3596*SUMIF(ThresholdAge15,"&lt;"&amp;'19_Расчет_аналитики'!BI3596,WeightedRevAge15)-SUMIF(ThresholdAge15,"&lt;"&amp;'19_Расчет_аналитики'!BI3596,WeightedMinAge15),MAX(CapacityAge15*'01_Вводные'!$B$218*'19_Расчет_аналитики'!BI3596,MeanMinAge15))),0)</f>
        <v/>
      </c>
      <c r="BJ3542">
        <f>IF('01_Вводные'!$B$234="Да",IF(OR(('19_Расчет_аналитики'!BJ3458-'19_Расчет_аналитики'!BJ3486)=0,15&lt;='01_Вводные'!$B$297),0,('19_Расчет_аналитики'!BJ3458-'19_Расчет_аналитики'!BJ3486)*IF('01_Вводные'!$B$239="Да",MeanMinAge15+'19_Расчет_аналитики'!BJ3596*SUMIF(ThresholdAge15,"&lt;"&amp;'19_Расчет_аналитики'!BJ3596,WeightedRevAge15)-SUMIF(ThresholdAge15,"&lt;"&amp;'19_Расчет_аналитики'!BJ3596,WeightedMinAge15),MAX(CapacityAge15*'01_Вводные'!$B$218*'19_Расчет_аналитики'!BJ3596,MeanMinAge15))),0)</f>
        <v/>
      </c>
      <c r="BK3542">
        <f>IF('01_Вводные'!$B$234="Да",IF(OR(('19_Расчет_аналитики'!BK3458-'19_Расчет_аналитики'!BK3486)=0,15&lt;='01_Вводные'!$B$297),0,('19_Расчет_аналитики'!BK3458-'19_Расчет_аналитики'!BK3486)*IF('01_Вводные'!$B$239="Да",MeanMinAge15+'19_Расчет_аналитики'!BK3596*SUMIF(ThresholdAge15,"&lt;"&amp;'19_Расчет_аналитики'!BK3596,WeightedRevAge15)-SUMIF(ThresholdAge15,"&lt;"&amp;'19_Расчет_аналитики'!BK3596,WeightedMinAge15),MAX(CapacityAge15*'01_Вводные'!$B$218*'19_Расчет_аналитики'!BK3596,MeanMinAge15))),0)</f>
        <v/>
      </c>
      <c r="BL3542">
        <f>IF('01_Вводные'!$B$234="Да",IF(OR(('19_Расчет_аналитики'!BL3458-'19_Расчет_аналитики'!BL3486)=0,15&lt;='01_Вводные'!$B$297),0,('19_Расчет_аналитики'!BL3458-'19_Расчет_аналитики'!BL3486)*IF('01_Вводные'!$B$239="Да",MeanMinAge15+'19_Расчет_аналитики'!BL3596*SUMIF(ThresholdAge15,"&lt;"&amp;'19_Расчет_аналитики'!BL3596,WeightedRevAge15)-SUMIF(ThresholdAge15,"&lt;"&amp;'19_Расчет_аналитики'!BL3596,WeightedMinAge15),MAX(CapacityAge15*'01_Вводные'!$B$218*'19_Расчет_аналитики'!BL3596,MeanMinAge15))),0)</f>
        <v/>
      </c>
      <c r="BM3542">
        <f>IF('01_Вводные'!$B$234="Да",IF(OR(('19_Расчет_аналитики'!BM3458-'19_Расчет_аналитики'!BM3486)=0,15&lt;='01_Вводные'!$B$297),0,('19_Расчет_аналитики'!BM3458-'19_Расчет_аналитики'!BM3486)*IF('01_Вводные'!$B$239="Да",MeanMinAge15+'19_Расчет_аналитики'!BM3596*SUMIF(ThresholdAge15,"&lt;"&amp;'19_Расчет_аналитики'!BM3596,WeightedRevAge15)-SUMIF(ThresholdAge15,"&lt;"&amp;'19_Расчет_аналитики'!BM3596,WeightedMinAge15),MAX(CapacityAge15*'01_Вводные'!$B$218*'19_Расчет_аналитики'!BM3596,MeanMinAge15))),0)</f>
        <v/>
      </c>
      <c r="BN3542">
        <f>IF('01_Вводные'!$B$234="Да",IF(OR(('19_Расчет_аналитики'!BN3458-'19_Расчет_аналитики'!BN3486)=0,15&lt;='01_Вводные'!$B$297),0,('19_Расчет_аналитики'!BN3458-'19_Расчет_аналитики'!BN3486)*IF('01_Вводные'!$B$239="Да",MeanMinAge15+'19_Расчет_аналитики'!BN3596*SUMIF(ThresholdAge15,"&lt;"&amp;'19_Расчет_аналитики'!BN3596,WeightedRevAge15)-SUMIF(ThresholdAge15,"&lt;"&amp;'19_Расчет_аналитики'!BN3596,WeightedMinAge15),MAX(CapacityAge15*'01_Вводные'!$B$218*'19_Расчет_аналитики'!BN3596,MeanMinAge15))),0)</f>
        <v/>
      </c>
      <c r="BO3542">
        <f>IF('01_Вводные'!$B$234="Да",IF(OR(('19_Расчет_аналитики'!BO3458-'19_Расчет_аналитики'!BO3486)=0,15&lt;='01_Вводные'!$B$297),0,('19_Расчет_аналитики'!BO3458-'19_Расчет_аналитики'!BO3486)*IF('01_Вводные'!$B$239="Да",MeanMinAge15+'19_Расчет_аналитики'!BO3596*SUMIF(ThresholdAge15,"&lt;"&amp;'19_Расчет_аналитики'!BO3596,WeightedRevAge15)-SUMIF(ThresholdAge15,"&lt;"&amp;'19_Расчет_аналитики'!BO3596,WeightedMinAge15),MAX(CapacityAge15*'01_Вводные'!$B$218*'19_Расчет_аналитики'!BO3596,MeanMinAge15))),0)</f>
        <v/>
      </c>
    </row>
    <row r="3543">
      <c r="B3543">
        <f>IF('01_Вводные'!$B$234="Да",IF(OR(('06_Сеть_и_дети'!B68-'06_Сеть_и_дети'!B96)=0,16&lt;='01_Вводные'!$B$297),0,('06_Сеть_и_дети'!B68-'06_Сеть_и_дети'!B96)*IF('01_Вводные'!$B$239="Да",MeanMinAge16+'19_Расчет_аналитики'!B3596*SUMIF(ThresholdAge16,"&lt;"&amp;'19_Расчет_аналитики'!B3596,WeightedRevAge16)-SUMIF(ThresholdAge16,"&lt;"&amp;'19_Расчет_аналитики'!B3596,WeightedMinAge16),MAX(CapacityAge16*'01_Вводные'!$B$218*'19_Расчет_аналитики'!B3596,MeanMinAge16))),0)</f>
        <v/>
      </c>
      <c r="C3543">
        <f>IF('01_Вводные'!$B$234="Да",IF(OR(('06_Сеть_и_дети'!C68-'06_Сеть_и_дети'!C96)=0,16&lt;='01_Вводные'!$B$297),0,('06_Сеть_и_дети'!C68-'06_Сеть_и_дети'!C96)*IF('01_Вводные'!$B$239="Да",MeanMinAge16+'19_Расчет_аналитики'!C3596*SUMIF(ThresholdAge16,"&lt;"&amp;'19_Расчет_аналитики'!C3596,WeightedRevAge16)-SUMIF(ThresholdAge16,"&lt;"&amp;'19_Расчет_аналитики'!C3596,WeightedMinAge16),MAX(CapacityAge16*'01_Вводные'!$B$218*'19_Расчет_аналитики'!C3596,MeanMinAge16))),0)</f>
        <v/>
      </c>
      <c r="D3543">
        <f>IF('01_Вводные'!$B$234="Да",IF(OR(('06_Сеть_и_дети'!D68-'06_Сеть_и_дети'!D96)=0,16&lt;='01_Вводные'!$B$297),0,('06_Сеть_и_дети'!D68-'06_Сеть_и_дети'!D96)*IF('01_Вводные'!$B$239="Да",MeanMinAge16+'19_Расчет_аналитики'!D3596*SUMIF(ThresholdAge16,"&lt;"&amp;'19_Расчет_аналитики'!D3596,WeightedRevAge16)-SUMIF(ThresholdAge16,"&lt;"&amp;'19_Расчет_аналитики'!D3596,WeightedMinAge16),MAX(CapacityAge16*'01_Вводные'!$B$218*'19_Расчет_аналитики'!D3596,MeanMinAge16))),0)</f>
        <v/>
      </c>
      <c r="E3543">
        <f>IF('01_Вводные'!$B$234="Да",IF(OR(('06_Сеть_и_дети'!E68-'06_Сеть_и_дети'!E96)=0,16&lt;='01_Вводные'!$B$297),0,('06_Сеть_и_дети'!E68-'06_Сеть_и_дети'!E96)*IF('01_Вводные'!$B$239="Да",MeanMinAge16+'19_Расчет_аналитики'!E3596*SUMIF(ThresholdAge16,"&lt;"&amp;'19_Расчет_аналитики'!E3596,WeightedRevAge16)-SUMIF(ThresholdAge16,"&lt;"&amp;'19_Расчет_аналитики'!E3596,WeightedMinAge16),MAX(CapacityAge16*'01_Вводные'!$B$218*'19_Расчет_аналитики'!E3596,MeanMinAge16))),0)</f>
        <v/>
      </c>
      <c r="F3543">
        <f>IF('01_Вводные'!$B$234="Да",IF(OR(('06_Сеть_и_дети'!F68-'06_Сеть_и_дети'!F96)=0,16&lt;='01_Вводные'!$B$297),0,('06_Сеть_и_дети'!F68-'06_Сеть_и_дети'!F96)*IF('01_Вводные'!$B$239="Да",MeanMinAge16+'19_Расчет_аналитики'!F3596*SUMIF(ThresholdAge16,"&lt;"&amp;'19_Расчет_аналитики'!F3596,WeightedRevAge16)-SUMIF(ThresholdAge16,"&lt;"&amp;'19_Расчет_аналитики'!F3596,WeightedMinAge16),MAX(CapacityAge16*'01_Вводные'!$B$218*'19_Расчет_аналитики'!F3596,MeanMinAge16))),0)</f>
        <v/>
      </c>
      <c r="G3543">
        <f>IF('01_Вводные'!$B$234="Да",IF(OR(('06_Сеть_и_дети'!G68-'06_Сеть_и_дети'!G96)=0,16&lt;='01_Вводные'!$B$297),0,('06_Сеть_и_дети'!G68-'06_Сеть_и_дети'!G96)*IF('01_Вводные'!$B$239="Да",MeanMinAge16+'19_Расчет_аналитики'!G3596*SUMIF(ThresholdAge16,"&lt;"&amp;'19_Расчет_аналитики'!G3596,WeightedRevAge16)-SUMIF(ThresholdAge16,"&lt;"&amp;'19_Расчет_аналитики'!G3596,WeightedMinAge16),MAX(CapacityAge16*'01_Вводные'!$B$218*'19_Расчет_аналитики'!G3596,MeanMinAge16))),0)</f>
        <v/>
      </c>
      <c r="H3543">
        <f>IF('01_Вводные'!$B$234="Да",IF(OR(('06_Сеть_и_дети'!H68-'06_Сеть_и_дети'!H96)=0,16&lt;='01_Вводные'!$B$297),0,('06_Сеть_и_дети'!H68-'06_Сеть_и_дети'!H96)*IF('01_Вводные'!$B$239="Да",MeanMinAge16+'19_Расчет_аналитики'!H3596*SUMIF(ThresholdAge16,"&lt;"&amp;'19_Расчет_аналитики'!H3596,WeightedRevAge16)-SUMIF(ThresholdAge16,"&lt;"&amp;'19_Расчет_аналитики'!H3596,WeightedMinAge16),MAX(CapacityAge16*'01_Вводные'!$B$218*'19_Расчет_аналитики'!H3596,MeanMinAge16))),0)</f>
        <v/>
      </c>
      <c r="I3543">
        <f>IF('01_Вводные'!$B$234="Да",IF(OR(('06_Сеть_и_дети'!I68-'06_Сеть_и_дети'!I96)=0,16&lt;='01_Вводные'!$B$297),0,('06_Сеть_и_дети'!I68-'06_Сеть_и_дети'!I96)*IF('01_Вводные'!$B$239="Да",MeanMinAge16+'19_Расчет_аналитики'!I3596*SUMIF(ThresholdAge16,"&lt;"&amp;'19_Расчет_аналитики'!I3596,WeightedRevAge16)-SUMIF(ThresholdAge16,"&lt;"&amp;'19_Расчет_аналитики'!I3596,WeightedMinAge16),MAX(CapacityAge16*'01_Вводные'!$B$218*'19_Расчет_аналитики'!I3596,MeanMinAge16))),0)</f>
        <v/>
      </c>
      <c r="J3543">
        <f>IF('01_Вводные'!$B$234="Да",IF(OR(('06_Сеть_и_дети'!J68-'06_Сеть_и_дети'!J96)=0,16&lt;='01_Вводные'!$B$297),0,('06_Сеть_и_дети'!J68-'06_Сеть_и_дети'!J96)*IF('01_Вводные'!$B$239="Да",MeanMinAge16+'19_Расчет_аналитики'!J3596*SUMIF(ThresholdAge16,"&lt;"&amp;'19_Расчет_аналитики'!J3596,WeightedRevAge16)-SUMIF(ThresholdAge16,"&lt;"&amp;'19_Расчет_аналитики'!J3596,WeightedMinAge16),MAX(CapacityAge16*'01_Вводные'!$B$218*'19_Расчет_аналитики'!J3596,MeanMinAge16))),0)</f>
        <v/>
      </c>
      <c r="K3543">
        <f>IF('01_Вводные'!$B$234="Да",IF(OR(('06_Сеть_и_дети'!K68-'06_Сеть_и_дети'!K96)=0,16&lt;='01_Вводные'!$B$297),0,('06_Сеть_и_дети'!K68-'06_Сеть_и_дети'!K96)*IF('01_Вводные'!$B$239="Да",MeanMinAge16+'19_Расчет_аналитики'!K3596*SUMIF(ThresholdAge16,"&lt;"&amp;'19_Расчет_аналитики'!K3596,WeightedRevAge16)-SUMIF(ThresholdAge16,"&lt;"&amp;'19_Расчет_аналитики'!K3596,WeightedMinAge16),MAX(CapacityAge16*'01_Вводные'!$B$218*'19_Расчет_аналитики'!K3596,MeanMinAge16))),0)</f>
        <v/>
      </c>
      <c r="L3543">
        <f>IF('01_Вводные'!$B$234="Да",IF(OR(('06_Сеть_и_дети'!L68-'06_Сеть_и_дети'!L96)=0,16&lt;='01_Вводные'!$B$297),0,('06_Сеть_и_дети'!L68-'06_Сеть_и_дети'!L96)*IF('01_Вводные'!$B$239="Да",MeanMinAge16+'19_Расчет_аналитики'!L3596*SUMIF(ThresholdAge16,"&lt;"&amp;'19_Расчет_аналитики'!L3596,WeightedRevAge16)-SUMIF(ThresholdAge16,"&lt;"&amp;'19_Расчет_аналитики'!L3596,WeightedMinAge16),MAX(CapacityAge16*'01_Вводные'!$B$218*'19_Расчет_аналитики'!L3596,MeanMinAge16))),0)</f>
        <v/>
      </c>
      <c r="M3543">
        <f>IF('01_Вводные'!$B$234="Да",IF(OR(('06_Сеть_и_дети'!M68-'06_Сеть_и_дети'!M96)=0,16&lt;='01_Вводные'!$B$297),0,('06_Сеть_и_дети'!M68-'06_Сеть_и_дети'!M96)*IF('01_Вводные'!$B$239="Да",MeanMinAge16+'19_Расчет_аналитики'!M3596*SUMIF(ThresholdAge16,"&lt;"&amp;'19_Расчет_аналитики'!M3596,WeightedRevAge16)-SUMIF(ThresholdAge16,"&lt;"&amp;'19_Расчет_аналитики'!M3596,WeightedMinAge16),MAX(CapacityAge16*'01_Вводные'!$B$218*'19_Расчет_аналитики'!M3596,MeanMinAge16))),0)</f>
        <v/>
      </c>
      <c r="N3543">
        <f>IF('01_Вводные'!$B$234="Да",IF(OR(('06_Сеть_и_дети'!N68-'06_Сеть_и_дети'!N96)=0,16&lt;='01_Вводные'!$B$297),0,('06_Сеть_и_дети'!N68-'06_Сеть_и_дети'!N96)*IF('01_Вводные'!$B$239="Да",MeanMinAge16+'19_Расчет_аналитики'!N3596*SUMIF(ThresholdAge16,"&lt;"&amp;'19_Расчет_аналитики'!N3596,WeightedRevAge16)-SUMIF(ThresholdAge16,"&lt;"&amp;'19_Расчет_аналитики'!N3596,WeightedMinAge16),MAX(CapacityAge16*'01_Вводные'!$B$218*'19_Расчет_аналитики'!N3596,MeanMinAge16))),0)</f>
        <v/>
      </c>
      <c r="O3543">
        <f>IF('01_Вводные'!$B$234="Да",IF(OR(('06_Сеть_и_дети'!O68-'06_Сеть_и_дети'!O96)=0,16&lt;='01_Вводные'!$B$297),0,('06_Сеть_и_дети'!O68-'06_Сеть_и_дети'!O96)*IF('01_Вводные'!$B$239="Да",MeanMinAge16+'19_Расчет_аналитики'!O3596*SUMIF(ThresholdAge16,"&lt;"&amp;'19_Расчет_аналитики'!O3596,WeightedRevAge16)-SUMIF(ThresholdAge16,"&lt;"&amp;'19_Расчет_аналитики'!O3596,WeightedMinAge16),MAX(CapacityAge16*'01_Вводные'!$B$218*'19_Расчет_аналитики'!O3596,MeanMinAge16))),0)</f>
        <v/>
      </c>
      <c r="P3543">
        <f>IF('01_Вводные'!$B$234="Да",IF(OR(('06_Сеть_и_дети'!P68-'06_Сеть_и_дети'!P96)=0,16&lt;='01_Вводные'!$B$297),0,('06_Сеть_и_дети'!P68-'06_Сеть_и_дети'!P96)*IF('01_Вводные'!$B$239="Да",MeanMinAge16+'19_Расчет_аналитики'!P3596*SUMIF(ThresholdAge16,"&lt;"&amp;'19_Расчет_аналитики'!P3596,WeightedRevAge16)-SUMIF(ThresholdAge16,"&lt;"&amp;'19_Расчет_аналитики'!P3596,WeightedMinAge16),MAX(CapacityAge16*'01_Вводные'!$B$218*'19_Расчет_аналитики'!P3596,MeanMinAge16))),0)</f>
        <v/>
      </c>
      <c r="Q3543">
        <f>IF('01_Вводные'!$B$234="Да",IF(OR(('19_Расчет_аналитики'!Q3459-'19_Расчет_аналитики'!Q3487)=0,16&lt;='01_Вводные'!$B$297),0,('19_Расчет_аналитики'!Q3459-'19_Расчет_аналитики'!Q3487)*IF('01_Вводные'!$B$239="Да",MeanMinAge16+'19_Расчет_аналитики'!Q3596*SUMIF(ThresholdAge16,"&lt;"&amp;'19_Расчет_аналитики'!Q3596,WeightedRevAge16)-SUMIF(ThresholdAge16,"&lt;"&amp;'19_Расчет_аналитики'!Q3596,WeightedMinAge16),MAX(CapacityAge16*'01_Вводные'!$B$218*'19_Расчет_аналитики'!Q3596,MeanMinAge16))),0)</f>
        <v/>
      </c>
      <c r="R3543">
        <f>IF('01_Вводные'!$B$234="Да",IF(OR(('19_Расчет_аналитики'!R3459-'19_Расчет_аналитики'!R3487)=0,16&lt;='01_Вводные'!$B$297),0,('19_Расчет_аналитики'!R3459-'19_Расчет_аналитики'!R3487)*IF('01_Вводные'!$B$239="Да",MeanMinAge16+'19_Расчет_аналитики'!R3596*SUMIF(ThresholdAge16,"&lt;"&amp;'19_Расчет_аналитики'!R3596,WeightedRevAge16)-SUMIF(ThresholdAge16,"&lt;"&amp;'19_Расчет_аналитики'!R3596,WeightedMinAge16),MAX(CapacityAge16*'01_Вводные'!$B$218*'19_Расчет_аналитики'!R3596,MeanMinAge16))),0)</f>
        <v/>
      </c>
      <c r="S3543">
        <f>IF('01_Вводные'!$B$234="Да",IF(OR(('19_Расчет_аналитики'!S3459-'19_Расчет_аналитики'!S3487)=0,16&lt;='01_Вводные'!$B$297),0,('19_Расчет_аналитики'!S3459-'19_Расчет_аналитики'!S3487)*IF('01_Вводные'!$B$239="Да",MeanMinAge16+'19_Расчет_аналитики'!S3596*SUMIF(ThresholdAge16,"&lt;"&amp;'19_Расчет_аналитики'!S3596,WeightedRevAge16)-SUMIF(ThresholdAge16,"&lt;"&amp;'19_Расчет_аналитики'!S3596,WeightedMinAge16),MAX(CapacityAge16*'01_Вводные'!$B$218*'19_Расчет_аналитики'!S3596,MeanMinAge16))),0)</f>
        <v/>
      </c>
      <c r="T3543">
        <f>IF('01_Вводные'!$B$234="Да",IF(OR(('19_Расчет_аналитики'!T3459-'19_Расчет_аналитики'!T3487)=0,16&lt;='01_Вводные'!$B$297),0,('19_Расчет_аналитики'!T3459-'19_Расчет_аналитики'!T3487)*IF('01_Вводные'!$B$239="Да",MeanMinAge16+'19_Расчет_аналитики'!T3596*SUMIF(ThresholdAge16,"&lt;"&amp;'19_Расчет_аналитики'!T3596,WeightedRevAge16)-SUMIF(ThresholdAge16,"&lt;"&amp;'19_Расчет_аналитики'!T3596,WeightedMinAge16),MAX(CapacityAge16*'01_Вводные'!$B$218*'19_Расчет_аналитики'!T3596,MeanMinAge16))),0)</f>
        <v/>
      </c>
      <c r="U3543">
        <f>IF('01_Вводные'!$B$234="Да",IF(OR(('19_Расчет_аналитики'!U3459-'19_Расчет_аналитики'!U3487)=0,16&lt;='01_Вводные'!$B$297),0,('19_Расчет_аналитики'!U3459-'19_Расчет_аналитики'!U3487)*IF('01_Вводные'!$B$239="Да",MeanMinAge16+'19_Расчет_аналитики'!U3596*SUMIF(ThresholdAge16,"&lt;"&amp;'19_Расчет_аналитики'!U3596,WeightedRevAge16)-SUMIF(ThresholdAge16,"&lt;"&amp;'19_Расчет_аналитики'!U3596,WeightedMinAge16),MAX(CapacityAge16*'01_Вводные'!$B$218*'19_Расчет_аналитики'!U3596,MeanMinAge16))),0)</f>
        <v/>
      </c>
      <c r="V3543">
        <f>IF('01_Вводные'!$B$234="Да",IF(OR(('19_Расчет_аналитики'!V3459-'19_Расчет_аналитики'!V3487)=0,16&lt;='01_Вводные'!$B$297),0,('19_Расчет_аналитики'!V3459-'19_Расчет_аналитики'!V3487)*IF('01_Вводные'!$B$239="Да",MeanMinAge16+'19_Расчет_аналитики'!V3596*SUMIF(ThresholdAge16,"&lt;"&amp;'19_Расчет_аналитики'!V3596,WeightedRevAge16)-SUMIF(ThresholdAge16,"&lt;"&amp;'19_Расчет_аналитики'!V3596,WeightedMinAge16),MAX(CapacityAge16*'01_Вводные'!$B$218*'19_Расчет_аналитики'!V3596,MeanMinAge16))),0)</f>
        <v/>
      </c>
      <c r="W3543">
        <f>IF('01_Вводные'!$B$234="Да",IF(OR(('19_Расчет_аналитики'!W3459-'19_Расчет_аналитики'!W3487)=0,16&lt;='01_Вводные'!$B$297),0,('19_Расчет_аналитики'!W3459-'19_Расчет_аналитики'!W3487)*IF('01_Вводные'!$B$239="Да",MeanMinAge16+'19_Расчет_аналитики'!W3596*SUMIF(ThresholdAge16,"&lt;"&amp;'19_Расчет_аналитики'!W3596,WeightedRevAge16)-SUMIF(ThresholdAge16,"&lt;"&amp;'19_Расчет_аналитики'!W3596,WeightedMinAge16),MAX(CapacityAge16*'01_Вводные'!$B$218*'19_Расчет_аналитики'!W3596,MeanMinAge16))),0)</f>
        <v/>
      </c>
      <c r="X3543">
        <f>IF('01_Вводные'!$B$234="Да",IF(OR(('19_Расчет_аналитики'!X3459-'19_Расчет_аналитики'!X3487)=0,16&lt;='01_Вводные'!$B$297),0,('19_Расчет_аналитики'!X3459-'19_Расчет_аналитики'!X3487)*IF('01_Вводные'!$B$239="Да",MeanMinAge16+'19_Расчет_аналитики'!X3596*SUMIF(ThresholdAge16,"&lt;"&amp;'19_Расчет_аналитики'!X3596,WeightedRevAge16)-SUMIF(ThresholdAge16,"&lt;"&amp;'19_Расчет_аналитики'!X3596,WeightedMinAge16),MAX(CapacityAge16*'01_Вводные'!$B$218*'19_Расчет_аналитики'!X3596,MeanMinAge16))),0)</f>
        <v/>
      </c>
      <c r="Y3543">
        <f>IF('01_Вводные'!$B$234="Да",IF(OR(('19_Расчет_аналитики'!Y3459-'19_Расчет_аналитики'!Y3487)=0,16&lt;='01_Вводные'!$B$297),0,('19_Расчет_аналитики'!Y3459-'19_Расчет_аналитики'!Y3487)*IF('01_Вводные'!$B$239="Да",MeanMinAge16+'19_Расчет_аналитики'!Y3596*SUMIF(ThresholdAge16,"&lt;"&amp;'19_Расчет_аналитики'!Y3596,WeightedRevAge16)-SUMIF(ThresholdAge16,"&lt;"&amp;'19_Расчет_аналитики'!Y3596,WeightedMinAge16),MAX(CapacityAge16*'01_Вводные'!$B$218*'19_Расчет_аналитики'!Y3596,MeanMinAge16))),0)</f>
        <v/>
      </c>
      <c r="Z3543">
        <f>IF('01_Вводные'!$B$234="Да",IF(OR(('19_Расчет_аналитики'!Z3459-'19_Расчет_аналитики'!Z3487)=0,16&lt;='01_Вводные'!$B$297),0,('19_Расчет_аналитики'!Z3459-'19_Расчет_аналитики'!Z3487)*IF('01_Вводные'!$B$239="Да",MeanMinAge16+'19_Расчет_аналитики'!Z3596*SUMIF(ThresholdAge16,"&lt;"&amp;'19_Расчет_аналитики'!Z3596,WeightedRevAge16)-SUMIF(ThresholdAge16,"&lt;"&amp;'19_Расчет_аналитики'!Z3596,WeightedMinAge16),MAX(CapacityAge16*'01_Вводные'!$B$218*'19_Расчет_аналитики'!Z3596,MeanMinAge16))),0)</f>
        <v/>
      </c>
      <c r="AA3543">
        <f>IF('01_Вводные'!$B$234="Да",IF(OR(('19_Расчет_аналитики'!AA3459-'19_Расчет_аналитики'!AA3487)=0,16&lt;='01_Вводные'!$B$297),0,('19_Расчет_аналитики'!AA3459-'19_Расчет_аналитики'!AA3487)*IF('01_Вводные'!$B$239="Да",MeanMinAge16+'19_Расчет_аналитики'!AA3596*SUMIF(ThresholdAge16,"&lt;"&amp;'19_Расчет_аналитики'!AA3596,WeightedRevAge16)-SUMIF(ThresholdAge16,"&lt;"&amp;'19_Расчет_аналитики'!AA3596,WeightedMinAge16),MAX(CapacityAge16*'01_Вводные'!$B$218*'19_Расчет_аналитики'!AA3596,MeanMinAge16))),0)</f>
        <v/>
      </c>
      <c r="AB3543">
        <f>IF('01_Вводные'!$B$234="Да",IF(OR(('19_Расчет_аналитики'!AB3459-'19_Расчет_аналитики'!AB3487)=0,16&lt;='01_Вводные'!$B$297),0,('19_Расчет_аналитики'!AB3459-'19_Расчет_аналитики'!AB3487)*IF('01_Вводные'!$B$239="Да",MeanMinAge16+'19_Расчет_аналитики'!AB3596*SUMIF(ThresholdAge16,"&lt;"&amp;'19_Расчет_аналитики'!AB3596,WeightedRevAge16)-SUMIF(ThresholdAge16,"&lt;"&amp;'19_Расчет_аналитики'!AB3596,WeightedMinAge16),MAX(CapacityAge16*'01_Вводные'!$B$218*'19_Расчет_аналитики'!AB3596,MeanMinAge16))),0)</f>
        <v/>
      </c>
      <c r="AC3543">
        <f>IF('01_Вводные'!$B$234="Да",IF(OR(('19_Расчет_аналитики'!AC3459-'19_Расчет_аналитики'!AC3487)=0,16&lt;='01_Вводные'!$B$297),0,('19_Расчет_аналитики'!AC3459-'19_Расчет_аналитики'!AC3487)*IF('01_Вводные'!$B$239="Да",MeanMinAge16+'19_Расчет_аналитики'!AC3596*SUMIF(ThresholdAge16,"&lt;"&amp;'19_Расчет_аналитики'!AC3596,WeightedRevAge16)-SUMIF(ThresholdAge16,"&lt;"&amp;'19_Расчет_аналитики'!AC3596,WeightedMinAge16),MAX(CapacityAge16*'01_Вводные'!$B$218*'19_Расчет_аналитики'!AC3596,MeanMinAge16))),0)</f>
        <v/>
      </c>
      <c r="AD3543">
        <f>IF('01_Вводные'!$B$234="Да",IF(OR(('19_Расчет_аналитики'!AD3459-'19_Расчет_аналитики'!AD3487)=0,16&lt;='01_Вводные'!$B$297),0,('19_Расчет_аналитики'!AD3459-'19_Расчет_аналитики'!AD3487)*IF('01_Вводные'!$B$239="Да",MeanMinAge16+'19_Расчет_аналитики'!AD3596*SUMIF(ThresholdAge16,"&lt;"&amp;'19_Расчет_аналитики'!AD3596,WeightedRevAge16)-SUMIF(ThresholdAge16,"&lt;"&amp;'19_Расчет_аналитики'!AD3596,WeightedMinAge16),MAX(CapacityAge16*'01_Вводные'!$B$218*'19_Расчет_аналитики'!AD3596,MeanMinAge16))),0)</f>
        <v/>
      </c>
      <c r="AE3543">
        <f>IF('01_Вводные'!$B$234="Да",IF(OR(('19_Расчет_аналитики'!AE3459-'19_Расчет_аналитики'!AE3487)=0,16&lt;='01_Вводные'!$B$297),0,('19_Расчет_аналитики'!AE3459-'19_Расчет_аналитики'!AE3487)*IF('01_Вводные'!$B$239="Да",MeanMinAge16+'19_Расчет_аналитики'!AE3596*SUMIF(ThresholdAge16,"&lt;"&amp;'19_Расчет_аналитики'!AE3596,WeightedRevAge16)-SUMIF(ThresholdAge16,"&lt;"&amp;'19_Расчет_аналитики'!AE3596,WeightedMinAge16),MAX(CapacityAge16*'01_Вводные'!$B$218*'19_Расчет_аналитики'!AE3596,MeanMinAge16))),0)</f>
        <v/>
      </c>
      <c r="AF3543">
        <f>IF('01_Вводные'!$B$234="Да",IF(OR(('19_Расчет_аналитики'!AF3459-'19_Расчет_аналитики'!AF3487)=0,16&lt;='01_Вводные'!$B$297),0,('19_Расчет_аналитики'!AF3459-'19_Расчет_аналитики'!AF3487)*IF('01_Вводные'!$B$239="Да",MeanMinAge16+'19_Расчет_аналитики'!AF3596*SUMIF(ThresholdAge16,"&lt;"&amp;'19_Расчет_аналитики'!AF3596,WeightedRevAge16)-SUMIF(ThresholdAge16,"&lt;"&amp;'19_Расчет_аналитики'!AF3596,WeightedMinAge16),MAX(CapacityAge16*'01_Вводные'!$B$218*'19_Расчет_аналитики'!AF3596,MeanMinAge16))),0)</f>
        <v/>
      </c>
      <c r="AG3543">
        <f>IF('01_Вводные'!$B$234="Да",IF(OR(('19_Расчет_аналитики'!AG3459-'19_Расчет_аналитики'!AG3487)=0,16&lt;='01_Вводные'!$B$297),0,('19_Расчет_аналитики'!AG3459-'19_Расчет_аналитики'!AG3487)*IF('01_Вводные'!$B$239="Да",MeanMinAge16+'19_Расчет_аналитики'!AG3596*SUMIF(ThresholdAge16,"&lt;"&amp;'19_Расчет_аналитики'!AG3596,WeightedRevAge16)-SUMIF(ThresholdAge16,"&lt;"&amp;'19_Расчет_аналитики'!AG3596,WeightedMinAge16),MAX(CapacityAge16*'01_Вводные'!$B$218*'19_Расчет_аналитики'!AG3596,MeanMinAge16))),0)</f>
        <v/>
      </c>
      <c r="AH3543">
        <f>IF('01_Вводные'!$B$234="Да",IF(OR(('19_Расчет_аналитики'!AH3459-'19_Расчет_аналитики'!AH3487)=0,16&lt;='01_Вводные'!$B$297),0,('19_Расчет_аналитики'!AH3459-'19_Расчет_аналитики'!AH3487)*IF('01_Вводные'!$B$239="Да",MeanMinAge16+'19_Расчет_аналитики'!AH3596*SUMIF(ThresholdAge16,"&lt;"&amp;'19_Расчет_аналитики'!AH3596,WeightedRevAge16)-SUMIF(ThresholdAge16,"&lt;"&amp;'19_Расчет_аналитики'!AH3596,WeightedMinAge16),MAX(CapacityAge16*'01_Вводные'!$B$218*'19_Расчет_аналитики'!AH3596,MeanMinAge16))),0)</f>
        <v/>
      </c>
      <c r="AI3543">
        <f>IF('01_Вводные'!$B$234="Да",IF(OR(('19_Расчет_аналитики'!AI3459-'19_Расчет_аналитики'!AI3487)=0,16&lt;='01_Вводные'!$B$297),0,('19_Расчет_аналитики'!AI3459-'19_Расчет_аналитики'!AI3487)*IF('01_Вводные'!$B$239="Да",MeanMinAge16+'19_Расчет_аналитики'!AI3596*SUMIF(ThresholdAge16,"&lt;"&amp;'19_Расчет_аналитики'!AI3596,WeightedRevAge16)-SUMIF(ThresholdAge16,"&lt;"&amp;'19_Расчет_аналитики'!AI3596,WeightedMinAge16),MAX(CapacityAge16*'01_Вводные'!$B$218*'19_Расчет_аналитики'!AI3596,MeanMinAge16))),0)</f>
        <v/>
      </c>
      <c r="AJ3543">
        <f>IF('01_Вводные'!$B$234="Да",IF(OR(('19_Расчет_аналитики'!AJ3459-'19_Расчет_аналитики'!AJ3487)=0,16&lt;='01_Вводные'!$B$297),0,('19_Расчет_аналитики'!AJ3459-'19_Расчет_аналитики'!AJ3487)*IF('01_Вводные'!$B$239="Да",MeanMinAge16+'19_Расчет_аналитики'!AJ3596*SUMIF(ThresholdAge16,"&lt;"&amp;'19_Расчет_аналитики'!AJ3596,WeightedRevAge16)-SUMIF(ThresholdAge16,"&lt;"&amp;'19_Расчет_аналитики'!AJ3596,WeightedMinAge16),MAX(CapacityAge16*'01_Вводные'!$B$218*'19_Расчет_аналитики'!AJ3596,MeanMinAge16))),0)</f>
        <v/>
      </c>
      <c r="AK3543">
        <f>IF('01_Вводные'!$B$234="Да",IF(OR(('19_Расчет_аналитики'!AK3459-'19_Расчет_аналитики'!AK3487)=0,16&lt;='01_Вводные'!$B$297),0,('19_Расчет_аналитики'!AK3459-'19_Расчет_аналитики'!AK3487)*IF('01_Вводные'!$B$239="Да",MeanMinAge16+'19_Расчет_аналитики'!AK3596*SUMIF(ThresholdAge16,"&lt;"&amp;'19_Расчет_аналитики'!AK3596,WeightedRevAge16)-SUMIF(ThresholdAge16,"&lt;"&amp;'19_Расчет_аналитики'!AK3596,WeightedMinAge16),MAX(CapacityAge16*'01_Вводные'!$B$218*'19_Расчет_аналитики'!AK3596,MeanMinAge16))),0)</f>
        <v/>
      </c>
      <c r="AL3543">
        <f>IF('01_Вводные'!$B$234="Да",IF(OR(('19_Расчет_аналитики'!AL3459-'19_Расчет_аналитики'!AL3487)=0,16&lt;='01_Вводные'!$B$297),0,('19_Расчет_аналитики'!AL3459-'19_Расчет_аналитики'!AL3487)*IF('01_Вводные'!$B$239="Да",MeanMinAge16+'19_Расчет_аналитики'!AL3596*SUMIF(ThresholdAge16,"&lt;"&amp;'19_Расчет_аналитики'!AL3596,WeightedRevAge16)-SUMIF(ThresholdAge16,"&lt;"&amp;'19_Расчет_аналитики'!AL3596,WeightedMinAge16),MAX(CapacityAge16*'01_Вводные'!$B$218*'19_Расчет_аналитики'!AL3596,MeanMinAge16))),0)</f>
        <v/>
      </c>
      <c r="AM3543">
        <f>IF('01_Вводные'!$B$234="Да",IF(OR(('19_Расчет_аналитики'!AM3459-'19_Расчет_аналитики'!AM3487)=0,16&lt;='01_Вводные'!$B$297),0,('19_Расчет_аналитики'!AM3459-'19_Расчет_аналитики'!AM3487)*IF('01_Вводные'!$B$239="Да",MeanMinAge16+'19_Расчет_аналитики'!AM3596*SUMIF(ThresholdAge16,"&lt;"&amp;'19_Расчет_аналитики'!AM3596,WeightedRevAge16)-SUMIF(ThresholdAge16,"&lt;"&amp;'19_Расчет_аналитики'!AM3596,WeightedMinAge16),MAX(CapacityAge16*'01_Вводные'!$B$218*'19_Расчет_аналитики'!AM3596,MeanMinAge16))),0)</f>
        <v/>
      </c>
      <c r="AN3543">
        <f>IF('01_Вводные'!$B$234="Да",IF(OR(('19_Расчет_аналитики'!AN3459-'19_Расчет_аналитики'!AN3487)=0,16&lt;='01_Вводные'!$B$297),0,('19_Расчет_аналитики'!AN3459-'19_Расчет_аналитики'!AN3487)*IF('01_Вводные'!$B$239="Да",MeanMinAge16+'19_Расчет_аналитики'!AN3596*SUMIF(ThresholdAge16,"&lt;"&amp;'19_Расчет_аналитики'!AN3596,WeightedRevAge16)-SUMIF(ThresholdAge16,"&lt;"&amp;'19_Расчет_аналитики'!AN3596,WeightedMinAge16),MAX(CapacityAge16*'01_Вводные'!$B$218*'19_Расчет_аналитики'!AN3596,MeanMinAge16))),0)</f>
        <v/>
      </c>
      <c r="AO3543">
        <f>IF('01_Вводные'!$B$234="Да",IF(OR(('19_Расчет_аналитики'!AO3459-'19_Расчет_аналитики'!AO3487)=0,16&lt;='01_Вводные'!$B$297),0,('19_Расчет_аналитики'!AO3459-'19_Расчет_аналитики'!AO3487)*IF('01_Вводные'!$B$239="Да",MeanMinAge16+'19_Расчет_аналитики'!AO3596*SUMIF(ThresholdAge16,"&lt;"&amp;'19_Расчет_аналитики'!AO3596,WeightedRevAge16)-SUMIF(ThresholdAge16,"&lt;"&amp;'19_Расчет_аналитики'!AO3596,WeightedMinAge16),MAX(CapacityAge16*'01_Вводные'!$B$218*'19_Расчет_аналитики'!AO3596,MeanMinAge16))),0)</f>
        <v/>
      </c>
      <c r="AP3543">
        <f>IF('01_Вводные'!$B$234="Да",IF(OR(('19_Расчет_аналитики'!AP3459-'19_Расчет_аналитики'!AP3487)=0,16&lt;='01_Вводные'!$B$297),0,('19_Расчет_аналитики'!AP3459-'19_Расчет_аналитики'!AP3487)*IF('01_Вводные'!$B$239="Да",MeanMinAge16+'19_Расчет_аналитики'!AP3596*SUMIF(ThresholdAge16,"&lt;"&amp;'19_Расчет_аналитики'!AP3596,WeightedRevAge16)-SUMIF(ThresholdAge16,"&lt;"&amp;'19_Расчет_аналитики'!AP3596,WeightedMinAge16),MAX(CapacityAge16*'01_Вводные'!$B$218*'19_Расчет_аналитики'!AP3596,MeanMinAge16))),0)</f>
        <v/>
      </c>
      <c r="AQ3543">
        <f>IF('01_Вводные'!$B$234="Да",IF(OR(('19_Расчет_аналитики'!AQ3459-'19_Расчет_аналитики'!AQ3487)=0,16&lt;='01_Вводные'!$B$297),0,('19_Расчет_аналитики'!AQ3459-'19_Расчет_аналитики'!AQ3487)*IF('01_Вводные'!$B$239="Да",MeanMinAge16+'19_Расчет_аналитики'!AQ3596*SUMIF(ThresholdAge16,"&lt;"&amp;'19_Расчет_аналитики'!AQ3596,WeightedRevAge16)-SUMIF(ThresholdAge16,"&lt;"&amp;'19_Расчет_аналитики'!AQ3596,WeightedMinAge16),MAX(CapacityAge16*'01_Вводные'!$B$218*'19_Расчет_аналитики'!AQ3596,MeanMinAge16))),0)</f>
        <v/>
      </c>
      <c r="AR3543">
        <f>IF('01_Вводные'!$B$234="Да",IF(OR(('19_Расчет_аналитики'!AR3459-'19_Расчет_аналитики'!AR3487)=0,16&lt;='01_Вводные'!$B$297),0,('19_Расчет_аналитики'!AR3459-'19_Расчет_аналитики'!AR3487)*IF('01_Вводные'!$B$239="Да",MeanMinAge16+'19_Расчет_аналитики'!AR3596*SUMIF(ThresholdAge16,"&lt;"&amp;'19_Расчет_аналитики'!AR3596,WeightedRevAge16)-SUMIF(ThresholdAge16,"&lt;"&amp;'19_Расчет_аналитики'!AR3596,WeightedMinAge16),MAX(CapacityAge16*'01_Вводные'!$B$218*'19_Расчет_аналитики'!AR3596,MeanMinAge16))),0)</f>
        <v/>
      </c>
      <c r="AS3543">
        <f>IF('01_Вводные'!$B$234="Да",IF(OR(('19_Расчет_аналитики'!AS3459-'19_Расчет_аналитики'!AS3487)=0,16&lt;='01_Вводные'!$B$297),0,('19_Расчет_аналитики'!AS3459-'19_Расчет_аналитики'!AS3487)*IF('01_Вводные'!$B$239="Да",MeanMinAge16+'19_Расчет_аналитики'!AS3596*SUMIF(ThresholdAge16,"&lt;"&amp;'19_Расчет_аналитики'!AS3596,WeightedRevAge16)-SUMIF(ThresholdAge16,"&lt;"&amp;'19_Расчет_аналитики'!AS3596,WeightedMinAge16),MAX(CapacityAge16*'01_Вводные'!$B$218*'19_Расчет_аналитики'!AS3596,MeanMinAge16))),0)</f>
        <v/>
      </c>
      <c r="AT3543">
        <f>IF('01_Вводные'!$B$234="Да",IF(OR(('19_Расчет_аналитики'!AT3459-'19_Расчет_аналитики'!AT3487)=0,16&lt;='01_Вводные'!$B$297),0,('19_Расчет_аналитики'!AT3459-'19_Расчет_аналитики'!AT3487)*IF('01_Вводные'!$B$239="Да",MeanMinAge16+'19_Расчет_аналитики'!AT3596*SUMIF(ThresholdAge16,"&lt;"&amp;'19_Расчет_аналитики'!AT3596,WeightedRevAge16)-SUMIF(ThresholdAge16,"&lt;"&amp;'19_Расчет_аналитики'!AT3596,WeightedMinAge16),MAX(CapacityAge16*'01_Вводные'!$B$218*'19_Расчет_аналитики'!AT3596,MeanMinAge16))),0)</f>
        <v/>
      </c>
      <c r="AU3543">
        <f>IF('01_Вводные'!$B$234="Да",IF(OR(('19_Расчет_аналитики'!AU3459-'19_Расчет_аналитики'!AU3487)=0,16&lt;='01_Вводные'!$B$297),0,('19_Расчет_аналитики'!AU3459-'19_Расчет_аналитики'!AU3487)*IF('01_Вводные'!$B$239="Да",MeanMinAge16+'19_Расчет_аналитики'!AU3596*SUMIF(ThresholdAge16,"&lt;"&amp;'19_Расчет_аналитики'!AU3596,WeightedRevAge16)-SUMIF(ThresholdAge16,"&lt;"&amp;'19_Расчет_аналитики'!AU3596,WeightedMinAge16),MAX(CapacityAge16*'01_Вводные'!$B$218*'19_Расчет_аналитики'!AU3596,MeanMinAge16))),0)</f>
        <v/>
      </c>
      <c r="AV3543">
        <f>IF('01_Вводные'!$B$234="Да",IF(OR(('19_Расчет_аналитики'!AV3459-'19_Расчет_аналитики'!AV3487)=0,16&lt;='01_Вводные'!$B$297),0,('19_Расчет_аналитики'!AV3459-'19_Расчет_аналитики'!AV3487)*IF('01_Вводные'!$B$239="Да",MeanMinAge16+'19_Расчет_аналитики'!AV3596*SUMIF(ThresholdAge16,"&lt;"&amp;'19_Расчет_аналитики'!AV3596,WeightedRevAge16)-SUMIF(ThresholdAge16,"&lt;"&amp;'19_Расчет_аналитики'!AV3596,WeightedMinAge16),MAX(CapacityAge16*'01_Вводные'!$B$218*'19_Расчет_аналитики'!AV3596,MeanMinAge16))),0)</f>
        <v/>
      </c>
      <c r="AW3543">
        <f>IF('01_Вводные'!$B$234="Да",IF(OR(('19_Расчет_аналитики'!AW3459-'19_Расчет_аналитики'!AW3487)=0,16&lt;='01_Вводные'!$B$297),0,('19_Расчет_аналитики'!AW3459-'19_Расчет_аналитики'!AW3487)*IF('01_Вводные'!$B$239="Да",MeanMinAge16+'19_Расчет_аналитики'!AW3596*SUMIF(ThresholdAge16,"&lt;"&amp;'19_Расчет_аналитики'!AW3596,WeightedRevAge16)-SUMIF(ThresholdAge16,"&lt;"&amp;'19_Расчет_аналитики'!AW3596,WeightedMinAge16),MAX(CapacityAge16*'01_Вводные'!$B$218*'19_Расчет_аналитики'!AW3596,MeanMinAge16))),0)</f>
        <v/>
      </c>
      <c r="AX3543">
        <f>IF('01_Вводные'!$B$234="Да",IF(OR(('19_Расчет_аналитики'!AX3459-'19_Расчет_аналитики'!AX3487)=0,16&lt;='01_Вводные'!$B$297),0,('19_Расчет_аналитики'!AX3459-'19_Расчет_аналитики'!AX3487)*IF('01_Вводные'!$B$239="Да",MeanMinAge16+'19_Расчет_аналитики'!AX3596*SUMIF(ThresholdAge16,"&lt;"&amp;'19_Расчет_аналитики'!AX3596,WeightedRevAge16)-SUMIF(ThresholdAge16,"&lt;"&amp;'19_Расчет_аналитики'!AX3596,WeightedMinAge16),MAX(CapacityAge16*'01_Вводные'!$B$218*'19_Расчет_аналитики'!AX3596,MeanMinAge16))),0)</f>
        <v/>
      </c>
      <c r="AY3543">
        <f>IF('01_Вводные'!$B$234="Да",IF(OR(('19_Расчет_аналитики'!AY3459-'19_Расчет_аналитики'!AY3487)=0,16&lt;='01_Вводные'!$B$297),0,('19_Расчет_аналитики'!AY3459-'19_Расчет_аналитики'!AY3487)*IF('01_Вводные'!$B$239="Да",MeanMinAge16+'19_Расчет_аналитики'!AY3596*SUMIF(ThresholdAge16,"&lt;"&amp;'19_Расчет_аналитики'!AY3596,WeightedRevAge16)-SUMIF(ThresholdAge16,"&lt;"&amp;'19_Расчет_аналитики'!AY3596,WeightedMinAge16),MAX(CapacityAge16*'01_Вводные'!$B$218*'19_Расчет_аналитики'!AY3596,MeanMinAge16))),0)</f>
        <v/>
      </c>
      <c r="AZ3543">
        <f>IF('01_Вводные'!$B$234="Да",IF(OR(('19_Расчет_аналитики'!AZ3459-'19_Расчет_аналитики'!AZ3487)=0,16&lt;='01_Вводные'!$B$297),0,('19_Расчет_аналитики'!AZ3459-'19_Расчет_аналитики'!AZ3487)*IF('01_Вводные'!$B$239="Да",MeanMinAge16+'19_Расчет_аналитики'!AZ3596*SUMIF(ThresholdAge16,"&lt;"&amp;'19_Расчет_аналитики'!AZ3596,WeightedRevAge16)-SUMIF(ThresholdAge16,"&lt;"&amp;'19_Расчет_аналитики'!AZ3596,WeightedMinAge16),MAX(CapacityAge16*'01_Вводные'!$B$218*'19_Расчет_аналитики'!AZ3596,MeanMinAge16))),0)</f>
        <v/>
      </c>
      <c r="BA3543">
        <f>IF('01_Вводные'!$B$234="Да",IF(OR(('19_Расчет_аналитики'!BA3459-'19_Расчет_аналитики'!BA3487)=0,16&lt;='01_Вводные'!$B$297),0,('19_Расчет_аналитики'!BA3459-'19_Расчет_аналитики'!BA3487)*IF('01_Вводные'!$B$239="Да",MeanMinAge16+'19_Расчет_аналитики'!BA3596*SUMIF(ThresholdAge16,"&lt;"&amp;'19_Расчет_аналитики'!BA3596,WeightedRevAge16)-SUMIF(ThresholdAge16,"&lt;"&amp;'19_Расчет_аналитики'!BA3596,WeightedMinAge16),MAX(CapacityAge16*'01_Вводные'!$B$218*'19_Расчет_аналитики'!BA3596,MeanMinAge16))),0)</f>
        <v/>
      </c>
      <c r="BB3543">
        <f>IF('01_Вводные'!$B$234="Да",IF(OR(('19_Расчет_аналитики'!BB3459-'19_Расчет_аналитики'!BB3487)=0,16&lt;='01_Вводные'!$B$297),0,('19_Расчет_аналитики'!BB3459-'19_Расчет_аналитики'!BB3487)*IF('01_Вводные'!$B$239="Да",MeanMinAge16+'19_Расчет_аналитики'!BB3596*SUMIF(ThresholdAge16,"&lt;"&amp;'19_Расчет_аналитики'!BB3596,WeightedRevAge16)-SUMIF(ThresholdAge16,"&lt;"&amp;'19_Расчет_аналитики'!BB3596,WeightedMinAge16),MAX(CapacityAge16*'01_Вводные'!$B$218*'19_Расчет_аналитики'!BB3596,MeanMinAge16))),0)</f>
        <v/>
      </c>
      <c r="BC3543">
        <f>IF('01_Вводные'!$B$234="Да",IF(OR(('19_Расчет_аналитики'!BC3459-'19_Расчет_аналитики'!BC3487)=0,16&lt;='01_Вводные'!$B$297),0,('19_Расчет_аналитики'!BC3459-'19_Расчет_аналитики'!BC3487)*IF('01_Вводные'!$B$239="Да",MeanMinAge16+'19_Расчет_аналитики'!BC3596*SUMIF(ThresholdAge16,"&lt;"&amp;'19_Расчет_аналитики'!BC3596,WeightedRevAge16)-SUMIF(ThresholdAge16,"&lt;"&amp;'19_Расчет_аналитики'!BC3596,WeightedMinAge16),MAX(CapacityAge16*'01_Вводные'!$B$218*'19_Расчет_аналитики'!BC3596,MeanMinAge16))),0)</f>
        <v/>
      </c>
      <c r="BD3543">
        <f>IF('01_Вводные'!$B$234="Да",IF(OR(('19_Расчет_аналитики'!BD3459-'19_Расчет_аналитики'!BD3487)=0,16&lt;='01_Вводные'!$B$297),0,('19_Расчет_аналитики'!BD3459-'19_Расчет_аналитики'!BD3487)*IF('01_Вводные'!$B$239="Да",MeanMinAge16+'19_Расчет_аналитики'!BD3596*SUMIF(ThresholdAge16,"&lt;"&amp;'19_Расчет_аналитики'!BD3596,WeightedRevAge16)-SUMIF(ThresholdAge16,"&lt;"&amp;'19_Расчет_аналитики'!BD3596,WeightedMinAge16),MAX(CapacityAge16*'01_Вводные'!$B$218*'19_Расчет_аналитики'!BD3596,MeanMinAge16))),0)</f>
        <v/>
      </c>
      <c r="BE3543">
        <f>IF('01_Вводные'!$B$234="Да",IF(OR(('19_Расчет_аналитики'!BE3459-'19_Расчет_аналитики'!BE3487)=0,16&lt;='01_Вводные'!$B$297),0,('19_Расчет_аналитики'!BE3459-'19_Расчет_аналитики'!BE3487)*IF('01_Вводные'!$B$239="Да",MeanMinAge16+'19_Расчет_аналитики'!BE3596*SUMIF(ThresholdAge16,"&lt;"&amp;'19_Расчет_аналитики'!BE3596,WeightedRevAge16)-SUMIF(ThresholdAge16,"&lt;"&amp;'19_Расчет_аналитики'!BE3596,WeightedMinAge16),MAX(CapacityAge16*'01_Вводные'!$B$218*'19_Расчет_аналитики'!BE3596,MeanMinAge16))),0)</f>
        <v/>
      </c>
      <c r="BF3543">
        <f>IF('01_Вводные'!$B$234="Да",IF(OR(('19_Расчет_аналитики'!BF3459-'19_Расчет_аналитики'!BF3487)=0,16&lt;='01_Вводные'!$B$297),0,('19_Расчет_аналитики'!BF3459-'19_Расчет_аналитики'!BF3487)*IF('01_Вводные'!$B$239="Да",MeanMinAge16+'19_Расчет_аналитики'!BF3596*SUMIF(ThresholdAge16,"&lt;"&amp;'19_Расчет_аналитики'!BF3596,WeightedRevAge16)-SUMIF(ThresholdAge16,"&lt;"&amp;'19_Расчет_аналитики'!BF3596,WeightedMinAge16),MAX(CapacityAge16*'01_Вводные'!$B$218*'19_Расчет_аналитики'!BF3596,MeanMinAge16))),0)</f>
        <v/>
      </c>
      <c r="BG3543">
        <f>IF('01_Вводные'!$B$234="Да",IF(OR(('19_Расчет_аналитики'!BG3459-'19_Расчет_аналитики'!BG3487)=0,16&lt;='01_Вводные'!$B$297),0,('19_Расчет_аналитики'!BG3459-'19_Расчет_аналитики'!BG3487)*IF('01_Вводные'!$B$239="Да",MeanMinAge16+'19_Расчет_аналитики'!BG3596*SUMIF(ThresholdAge16,"&lt;"&amp;'19_Расчет_аналитики'!BG3596,WeightedRevAge16)-SUMIF(ThresholdAge16,"&lt;"&amp;'19_Расчет_аналитики'!BG3596,WeightedMinAge16),MAX(CapacityAge16*'01_Вводные'!$B$218*'19_Расчет_аналитики'!BG3596,MeanMinAge16))),0)</f>
        <v/>
      </c>
      <c r="BH3543">
        <f>IF('01_Вводные'!$B$234="Да",IF(OR(('19_Расчет_аналитики'!BH3459-'19_Расчет_аналитики'!BH3487)=0,16&lt;='01_Вводные'!$B$297),0,('19_Расчет_аналитики'!BH3459-'19_Расчет_аналитики'!BH3487)*IF('01_Вводные'!$B$239="Да",MeanMinAge16+'19_Расчет_аналитики'!BH3596*SUMIF(ThresholdAge16,"&lt;"&amp;'19_Расчет_аналитики'!BH3596,WeightedRevAge16)-SUMIF(ThresholdAge16,"&lt;"&amp;'19_Расчет_аналитики'!BH3596,WeightedMinAge16),MAX(CapacityAge16*'01_Вводные'!$B$218*'19_Расчет_аналитики'!BH3596,MeanMinAge16))),0)</f>
        <v/>
      </c>
      <c r="BI3543">
        <f>IF('01_Вводные'!$B$234="Да",IF(OR(('19_Расчет_аналитики'!BI3459-'19_Расчет_аналитики'!BI3487)=0,16&lt;='01_Вводные'!$B$297),0,('19_Расчет_аналитики'!BI3459-'19_Расчет_аналитики'!BI3487)*IF('01_Вводные'!$B$239="Да",MeanMinAge16+'19_Расчет_аналитики'!BI3596*SUMIF(ThresholdAge16,"&lt;"&amp;'19_Расчет_аналитики'!BI3596,WeightedRevAge16)-SUMIF(ThresholdAge16,"&lt;"&amp;'19_Расчет_аналитики'!BI3596,WeightedMinAge16),MAX(CapacityAge16*'01_Вводные'!$B$218*'19_Расчет_аналитики'!BI3596,MeanMinAge16))),0)</f>
        <v/>
      </c>
      <c r="BJ3543">
        <f>IF('01_Вводные'!$B$234="Да",IF(OR(('19_Расчет_аналитики'!BJ3459-'19_Расчет_аналитики'!BJ3487)=0,16&lt;='01_Вводные'!$B$297),0,('19_Расчет_аналитики'!BJ3459-'19_Расчет_аналитики'!BJ3487)*IF('01_Вводные'!$B$239="Да",MeanMinAge16+'19_Расчет_аналитики'!BJ3596*SUMIF(ThresholdAge16,"&lt;"&amp;'19_Расчет_аналитики'!BJ3596,WeightedRevAge16)-SUMIF(ThresholdAge16,"&lt;"&amp;'19_Расчет_аналитики'!BJ3596,WeightedMinAge16),MAX(CapacityAge16*'01_Вводные'!$B$218*'19_Расчет_аналитики'!BJ3596,MeanMinAge16))),0)</f>
        <v/>
      </c>
      <c r="BK3543">
        <f>IF('01_Вводные'!$B$234="Да",IF(OR(('19_Расчет_аналитики'!BK3459-'19_Расчет_аналитики'!BK3487)=0,16&lt;='01_Вводные'!$B$297),0,('19_Расчет_аналитики'!BK3459-'19_Расчет_аналитики'!BK3487)*IF('01_Вводные'!$B$239="Да",MeanMinAge16+'19_Расчет_аналитики'!BK3596*SUMIF(ThresholdAge16,"&lt;"&amp;'19_Расчет_аналитики'!BK3596,WeightedRevAge16)-SUMIF(ThresholdAge16,"&lt;"&amp;'19_Расчет_аналитики'!BK3596,WeightedMinAge16),MAX(CapacityAge16*'01_Вводные'!$B$218*'19_Расчет_аналитики'!BK3596,MeanMinAge16))),0)</f>
        <v/>
      </c>
      <c r="BL3543">
        <f>IF('01_Вводные'!$B$234="Да",IF(OR(('19_Расчет_аналитики'!BL3459-'19_Расчет_аналитики'!BL3487)=0,16&lt;='01_Вводные'!$B$297),0,('19_Расчет_аналитики'!BL3459-'19_Расчет_аналитики'!BL3487)*IF('01_Вводные'!$B$239="Да",MeanMinAge16+'19_Расчет_аналитики'!BL3596*SUMIF(ThresholdAge16,"&lt;"&amp;'19_Расчет_аналитики'!BL3596,WeightedRevAge16)-SUMIF(ThresholdAge16,"&lt;"&amp;'19_Расчет_аналитики'!BL3596,WeightedMinAge16),MAX(CapacityAge16*'01_Вводные'!$B$218*'19_Расчет_аналитики'!BL3596,MeanMinAge16))),0)</f>
        <v/>
      </c>
      <c r="BM3543">
        <f>IF('01_Вводные'!$B$234="Да",IF(OR(('19_Расчет_аналитики'!BM3459-'19_Расчет_аналитики'!BM3487)=0,16&lt;='01_Вводные'!$B$297),0,('19_Расчет_аналитики'!BM3459-'19_Расчет_аналитики'!BM3487)*IF('01_Вводные'!$B$239="Да",MeanMinAge16+'19_Расчет_аналитики'!BM3596*SUMIF(ThresholdAge16,"&lt;"&amp;'19_Расчет_аналитики'!BM3596,WeightedRevAge16)-SUMIF(ThresholdAge16,"&lt;"&amp;'19_Расчет_аналитики'!BM3596,WeightedMinAge16),MAX(CapacityAge16*'01_Вводные'!$B$218*'19_Расчет_аналитики'!BM3596,MeanMinAge16))),0)</f>
        <v/>
      </c>
      <c r="BN3543">
        <f>IF('01_Вводные'!$B$234="Да",IF(OR(('19_Расчет_аналитики'!BN3459-'19_Расчет_аналитики'!BN3487)=0,16&lt;='01_Вводные'!$B$297),0,('19_Расчет_аналитики'!BN3459-'19_Расчет_аналитики'!BN3487)*IF('01_Вводные'!$B$239="Да",MeanMinAge16+'19_Расчет_аналитики'!BN3596*SUMIF(ThresholdAge16,"&lt;"&amp;'19_Расчет_аналитики'!BN3596,WeightedRevAge16)-SUMIF(ThresholdAge16,"&lt;"&amp;'19_Расчет_аналитики'!BN3596,WeightedMinAge16),MAX(CapacityAge16*'01_Вводные'!$B$218*'19_Расчет_аналитики'!BN3596,MeanMinAge16))),0)</f>
        <v/>
      </c>
      <c r="BO3543">
        <f>IF('01_Вводные'!$B$234="Да",IF(OR(('19_Расчет_аналитики'!BO3459-'19_Расчет_аналитики'!BO3487)=0,16&lt;='01_Вводные'!$B$297),0,('19_Расчет_аналитики'!BO3459-'19_Расчет_аналитики'!BO3487)*IF('01_Вводные'!$B$239="Да",MeanMinAge16+'19_Расчет_аналитики'!BO3596*SUMIF(ThresholdAge16,"&lt;"&amp;'19_Расчет_аналитики'!BO3596,WeightedRevAge16)-SUMIF(ThresholdAge16,"&lt;"&amp;'19_Расчет_аналитики'!BO3596,WeightedMinAge16),MAX(CapacityAge16*'01_Вводные'!$B$218*'19_Расчет_аналитики'!BO3596,MeanMinAge16))),0)</f>
        <v/>
      </c>
    </row>
    <row r="3544">
      <c r="B3544">
        <f>IF('01_Вводные'!$B$234="Да",IF(OR(('06_Сеть_и_дети'!B69-'06_Сеть_и_дети'!B97)=0,17&lt;='01_Вводные'!$B$297),0,('06_Сеть_и_дети'!B69-'06_Сеть_и_дети'!B97)*IF('01_Вводные'!$B$239="Да",MeanMinAge17+'19_Расчет_аналитики'!B3596*SUMIF(ThresholdAge17,"&lt;"&amp;'19_Расчет_аналитики'!B3596,WeightedRevAge17)-SUMIF(ThresholdAge17,"&lt;"&amp;'19_Расчет_аналитики'!B3596,WeightedMinAge17),MAX(CapacityAge17*'01_Вводные'!$B$218*'19_Расчет_аналитики'!B3596,MeanMinAge17))),0)</f>
        <v/>
      </c>
      <c r="C3544">
        <f>IF('01_Вводные'!$B$234="Да",IF(OR(('06_Сеть_и_дети'!C69-'06_Сеть_и_дети'!C97)=0,17&lt;='01_Вводные'!$B$297),0,('06_Сеть_и_дети'!C69-'06_Сеть_и_дети'!C97)*IF('01_Вводные'!$B$239="Да",MeanMinAge17+'19_Расчет_аналитики'!C3596*SUMIF(ThresholdAge17,"&lt;"&amp;'19_Расчет_аналитики'!C3596,WeightedRevAge17)-SUMIF(ThresholdAge17,"&lt;"&amp;'19_Расчет_аналитики'!C3596,WeightedMinAge17),MAX(CapacityAge17*'01_Вводные'!$B$218*'19_Расчет_аналитики'!C3596,MeanMinAge17))),0)</f>
        <v/>
      </c>
      <c r="D3544">
        <f>IF('01_Вводные'!$B$234="Да",IF(OR(('06_Сеть_и_дети'!D69-'06_Сеть_и_дети'!D97)=0,17&lt;='01_Вводные'!$B$297),0,('06_Сеть_и_дети'!D69-'06_Сеть_и_дети'!D97)*IF('01_Вводные'!$B$239="Да",MeanMinAge17+'19_Расчет_аналитики'!D3596*SUMIF(ThresholdAge17,"&lt;"&amp;'19_Расчет_аналитики'!D3596,WeightedRevAge17)-SUMIF(ThresholdAge17,"&lt;"&amp;'19_Расчет_аналитики'!D3596,WeightedMinAge17),MAX(CapacityAge17*'01_Вводные'!$B$218*'19_Расчет_аналитики'!D3596,MeanMinAge17))),0)</f>
        <v/>
      </c>
      <c r="E3544">
        <f>IF('01_Вводные'!$B$234="Да",IF(OR(('06_Сеть_и_дети'!E69-'06_Сеть_и_дети'!E97)=0,17&lt;='01_Вводные'!$B$297),0,('06_Сеть_и_дети'!E69-'06_Сеть_и_дети'!E97)*IF('01_Вводные'!$B$239="Да",MeanMinAge17+'19_Расчет_аналитики'!E3596*SUMIF(ThresholdAge17,"&lt;"&amp;'19_Расчет_аналитики'!E3596,WeightedRevAge17)-SUMIF(ThresholdAge17,"&lt;"&amp;'19_Расчет_аналитики'!E3596,WeightedMinAge17),MAX(CapacityAge17*'01_Вводные'!$B$218*'19_Расчет_аналитики'!E3596,MeanMinAge17))),0)</f>
        <v/>
      </c>
      <c r="F3544">
        <f>IF('01_Вводные'!$B$234="Да",IF(OR(('06_Сеть_и_дети'!F69-'06_Сеть_и_дети'!F97)=0,17&lt;='01_Вводные'!$B$297),0,('06_Сеть_и_дети'!F69-'06_Сеть_и_дети'!F97)*IF('01_Вводные'!$B$239="Да",MeanMinAge17+'19_Расчет_аналитики'!F3596*SUMIF(ThresholdAge17,"&lt;"&amp;'19_Расчет_аналитики'!F3596,WeightedRevAge17)-SUMIF(ThresholdAge17,"&lt;"&amp;'19_Расчет_аналитики'!F3596,WeightedMinAge17),MAX(CapacityAge17*'01_Вводные'!$B$218*'19_Расчет_аналитики'!F3596,MeanMinAge17))),0)</f>
        <v/>
      </c>
      <c r="G3544">
        <f>IF('01_Вводные'!$B$234="Да",IF(OR(('06_Сеть_и_дети'!G69-'06_Сеть_и_дети'!G97)=0,17&lt;='01_Вводные'!$B$297),0,('06_Сеть_и_дети'!G69-'06_Сеть_и_дети'!G97)*IF('01_Вводные'!$B$239="Да",MeanMinAge17+'19_Расчет_аналитики'!G3596*SUMIF(ThresholdAge17,"&lt;"&amp;'19_Расчет_аналитики'!G3596,WeightedRevAge17)-SUMIF(ThresholdAge17,"&lt;"&amp;'19_Расчет_аналитики'!G3596,WeightedMinAge17),MAX(CapacityAge17*'01_Вводные'!$B$218*'19_Расчет_аналитики'!G3596,MeanMinAge17))),0)</f>
        <v/>
      </c>
      <c r="H3544">
        <f>IF('01_Вводные'!$B$234="Да",IF(OR(('06_Сеть_и_дети'!H69-'06_Сеть_и_дети'!H97)=0,17&lt;='01_Вводные'!$B$297),0,('06_Сеть_и_дети'!H69-'06_Сеть_и_дети'!H97)*IF('01_Вводные'!$B$239="Да",MeanMinAge17+'19_Расчет_аналитики'!H3596*SUMIF(ThresholdAge17,"&lt;"&amp;'19_Расчет_аналитики'!H3596,WeightedRevAge17)-SUMIF(ThresholdAge17,"&lt;"&amp;'19_Расчет_аналитики'!H3596,WeightedMinAge17),MAX(CapacityAge17*'01_Вводные'!$B$218*'19_Расчет_аналитики'!H3596,MeanMinAge17))),0)</f>
        <v/>
      </c>
      <c r="I3544">
        <f>IF('01_Вводные'!$B$234="Да",IF(OR(('06_Сеть_и_дети'!I69-'06_Сеть_и_дети'!I97)=0,17&lt;='01_Вводные'!$B$297),0,('06_Сеть_и_дети'!I69-'06_Сеть_и_дети'!I97)*IF('01_Вводные'!$B$239="Да",MeanMinAge17+'19_Расчет_аналитики'!I3596*SUMIF(ThresholdAge17,"&lt;"&amp;'19_Расчет_аналитики'!I3596,WeightedRevAge17)-SUMIF(ThresholdAge17,"&lt;"&amp;'19_Расчет_аналитики'!I3596,WeightedMinAge17),MAX(CapacityAge17*'01_Вводные'!$B$218*'19_Расчет_аналитики'!I3596,MeanMinAge17))),0)</f>
        <v/>
      </c>
      <c r="J3544">
        <f>IF('01_Вводные'!$B$234="Да",IF(OR(('06_Сеть_и_дети'!J69-'06_Сеть_и_дети'!J97)=0,17&lt;='01_Вводные'!$B$297),0,('06_Сеть_и_дети'!J69-'06_Сеть_и_дети'!J97)*IF('01_Вводные'!$B$239="Да",MeanMinAge17+'19_Расчет_аналитики'!J3596*SUMIF(ThresholdAge17,"&lt;"&amp;'19_Расчет_аналитики'!J3596,WeightedRevAge17)-SUMIF(ThresholdAge17,"&lt;"&amp;'19_Расчет_аналитики'!J3596,WeightedMinAge17),MAX(CapacityAge17*'01_Вводные'!$B$218*'19_Расчет_аналитики'!J3596,MeanMinAge17))),0)</f>
        <v/>
      </c>
      <c r="K3544">
        <f>IF('01_Вводные'!$B$234="Да",IF(OR(('06_Сеть_и_дети'!K69-'06_Сеть_и_дети'!K97)=0,17&lt;='01_Вводные'!$B$297),0,('06_Сеть_и_дети'!K69-'06_Сеть_и_дети'!K97)*IF('01_Вводные'!$B$239="Да",MeanMinAge17+'19_Расчет_аналитики'!K3596*SUMIF(ThresholdAge17,"&lt;"&amp;'19_Расчет_аналитики'!K3596,WeightedRevAge17)-SUMIF(ThresholdAge17,"&lt;"&amp;'19_Расчет_аналитики'!K3596,WeightedMinAge17),MAX(CapacityAge17*'01_Вводные'!$B$218*'19_Расчет_аналитики'!K3596,MeanMinAge17))),0)</f>
        <v/>
      </c>
      <c r="L3544">
        <f>IF('01_Вводные'!$B$234="Да",IF(OR(('06_Сеть_и_дети'!L69-'06_Сеть_и_дети'!L97)=0,17&lt;='01_Вводные'!$B$297),0,('06_Сеть_и_дети'!L69-'06_Сеть_и_дети'!L97)*IF('01_Вводные'!$B$239="Да",MeanMinAge17+'19_Расчет_аналитики'!L3596*SUMIF(ThresholdAge17,"&lt;"&amp;'19_Расчет_аналитики'!L3596,WeightedRevAge17)-SUMIF(ThresholdAge17,"&lt;"&amp;'19_Расчет_аналитики'!L3596,WeightedMinAge17),MAX(CapacityAge17*'01_Вводные'!$B$218*'19_Расчет_аналитики'!L3596,MeanMinAge17))),0)</f>
        <v/>
      </c>
      <c r="M3544">
        <f>IF('01_Вводные'!$B$234="Да",IF(OR(('06_Сеть_и_дети'!M69-'06_Сеть_и_дети'!M97)=0,17&lt;='01_Вводные'!$B$297),0,('06_Сеть_и_дети'!M69-'06_Сеть_и_дети'!M97)*IF('01_Вводные'!$B$239="Да",MeanMinAge17+'19_Расчет_аналитики'!M3596*SUMIF(ThresholdAge17,"&lt;"&amp;'19_Расчет_аналитики'!M3596,WeightedRevAge17)-SUMIF(ThresholdAge17,"&lt;"&amp;'19_Расчет_аналитики'!M3596,WeightedMinAge17),MAX(CapacityAge17*'01_Вводные'!$B$218*'19_Расчет_аналитики'!M3596,MeanMinAge17))),0)</f>
        <v/>
      </c>
      <c r="N3544">
        <f>IF('01_Вводные'!$B$234="Да",IF(OR(('06_Сеть_и_дети'!N69-'06_Сеть_и_дети'!N97)=0,17&lt;='01_Вводные'!$B$297),0,('06_Сеть_и_дети'!N69-'06_Сеть_и_дети'!N97)*IF('01_Вводные'!$B$239="Да",MeanMinAge17+'19_Расчет_аналитики'!N3596*SUMIF(ThresholdAge17,"&lt;"&amp;'19_Расчет_аналитики'!N3596,WeightedRevAge17)-SUMIF(ThresholdAge17,"&lt;"&amp;'19_Расчет_аналитики'!N3596,WeightedMinAge17),MAX(CapacityAge17*'01_Вводные'!$B$218*'19_Расчет_аналитики'!N3596,MeanMinAge17))),0)</f>
        <v/>
      </c>
      <c r="O3544">
        <f>IF('01_Вводные'!$B$234="Да",IF(OR(('06_Сеть_и_дети'!O69-'06_Сеть_и_дети'!O97)=0,17&lt;='01_Вводные'!$B$297),0,('06_Сеть_и_дети'!O69-'06_Сеть_и_дети'!O97)*IF('01_Вводные'!$B$239="Да",MeanMinAge17+'19_Расчет_аналитики'!O3596*SUMIF(ThresholdAge17,"&lt;"&amp;'19_Расчет_аналитики'!O3596,WeightedRevAge17)-SUMIF(ThresholdAge17,"&lt;"&amp;'19_Расчет_аналитики'!O3596,WeightedMinAge17),MAX(CapacityAge17*'01_Вводные'!$B$218*'19_Расчет_аналитики'!O3596,MeanMinAge17))),0)</f>
        <v/>
      </c>
      <c r="P3544">
        <f>IF('01_Вводные'!$B$234="Да",IF(OR(('06_Сеть_и_дети'!P69-'06_Сеть_и_дети'!P97)=0,17&lt;='01_Вводные'!$B$297),0,('06_Сеть_и_дети'!P69-'06_Сеть_и_дети'!P97)*IF('01_Вводные'!$B$239="Да",MeanMinAge17+'19_Расчет_аналитики'!P3596*SUMIF(ThresholdAge17,"&lt;"&amp;'19_Расчет_аналитики'!P3596,WeightedRevAge17)-SUMIF(ThresholdAge17,"&lt;"&amp;'19_Расчет_аналитики'!P3596,WeightedMinAge17),MAX(CapacityAge17*'01_Вводные'!$B$218*'19_Расчет_аналитики'!P3596,MeanMinAge17))),0)</f>
        <v/>
      </c>
      <c r="Q3544">
        <f>IF('01_Вводные'!$B$234="Да",IF(OR(('06_Сеть_и_дети'!Q69-'06_Сеть_и_дети'!Q97)=0,17&lt;='01_Вводные'!$B$297),0,('06_Сеть_и_дети'!Q69-'06_Сеть_и_дети'!Q97)*IF('01_Вводные'!$B$239="Да",MeanMinAge17+'19_Расчет_аналитики'!Q3596*SUMIF(ThresholdAge17,"&lt;"&amp;'19_Расчет_аналитики'!Q3596,WeightedRevAge17)-SUMIF(ThresholdAge17,"&lt;"&amp;'19_Расчет_аналитики'!Q3596,WeightedMinAge17),MAX(CapacityAge17*'01_Вводные'!$B$218*'19_Расчет_аналитики'!Q3596,MeanMinAge17))),0)</f>
        <v/>
      </c>
      <c r="R3544">
        <f>IF('01_Вводные'!$B$234="Да",IF(OR(('19_Расчет_аналитики'!R3460-'19_Расчет_аналитики'!R3488)=0,17&lt;='01_Вводные'!$B$297),0,('19_Расчет_аналитики'!R3460-'19_Расчет_аналитики'!R3488)*IF('01_Вводные'!$B$239="Да",MeanMinAge17+'19_Расчет_аналитики'!R3596*SUMIF(ThresholdAge17,"&lt;"&amp;'19_Расчет_аналитики'!R3596,WeightedRevAge17)-SUMIF(ThresholdAge17,"&lt;"&amp;'19_Расчет_аналитики'!R3596,WeightedMinAge17),MAX(CapacityAge17*'01_Вводные'!$B$218*'19_Расчет_аналитики'!R3596,MeanMinAge17))),0)</f>
        <v/>
      </c>
      <c r="S3544">
        <f>IF('01_Вводные'!$B$234="Да",IF(OR(('19_Расчет_аналитики'!S3460-'19_Расчет_аналитики'!S3488)=0,17&lt;='01_Вводные'!$B$297),0,('19_Расчет_аналитики'!S3460-'19_Расчет_аналитики'!S3488)*IF('01_Вводные'!$B$239="Да",MeanMinAge17+'19_Расчет_аналитики'!S3596*SUMIF(ThresholdAge17,"&lt;"&amp;'19_Расчет_аналитики'!S3596,WeightedRevAge17)-SUMIF(ThresholdAge17,"&lt;"&amp;'19_Расчет_аналитики'!S3596,WeightedMinAge17),MAX(CapacityAge17*'01_Вводные'!$B$218*'19_Расчет_аналитики'!S3596,MeanMinAge17))),0)</f>
        <v/>
      </c>
      <c r="T3544">
        <f>IF('01_Вводные'!$B$234="Да",IF(OR(('19_Расчет_аналитики'!T3460-'19_Расчет_аналитики'!T3488)=0,17&lt;='01_Вводные'!$B$297),0,('19_Расчет_аналитики'!T3460-'19_Расчет_аналитики'!T3488)*IF('01_Вводные'!$B$239="Да",MeanMinAge17+'19_Расчет_аналитики'!T3596*SUMIF(ThresholdAge17,"&lt;"&amp;'19_Расчет_аналитики'!T3596,WeightedRevAge17)-SUMIF(ThresholdAge17,"&lt;"&amp;'19_Расчет_аналитики'!T3596,WeightedMinAge17),MAX(CapacityAge17*'01_Вводные'!$B$218*'19_Расчет_аналитики'!T3596,MeanMinAge17))),0)</f>
        <v/>
      </c>
      <c r="U3544">
        <f>IF('01_Вводные'!$B$234="Да",IF(OR(('19_Расчет_аналитики'!U3460-'19_Расчет_аналитики'!U3488)=0,17&lt;='01_Вводные'!$B$297),0,('19_Расчет_аналитики'!U3460-'19_Расчет_аналитики'!U3488)*IF('01_Вводные'!$B$239="Да",MeanMinAge17+'19_Расчет_аналитики'!U3596*SUMIF(ThresholdAge17,"&lt;"&amp;'19_Расчет_аналитики'!U3596,WeightedRevAge17)-SUMIF(ThresholdAge17,"&lt;"&amp;'19_Расчет_аналитики'!U3596,WeightedMinAge17),MAX(CapacityAge17*'01_Вводные'!$B$218*'19_Расчет_аналитики'!U3596,MeanMinAge17))),0)</f>
        <v/>
      </c>
      <c r="V3544">
        <f>IF('01_Вводные'!$B$234="Да",IF(OR(('19_Расчет_аналитики'!V3460-'19_Расчет_аналитики'!V3488)=0,17&lt;='01_Вводные'!$B$297),0,('19_Расчет_аналитики'!V3460-'19_Расчет_аналитики'!V3488)*IF('01_Вводные'!$B$239="Да",MeanMinAge17+'19_Расчет_аналитики'!V3596*SUMIF(ThresholdAge17,"&lt;"&amp;'19_Расчет_аналитики'!V3596,WeightedRevAge17)-SUMIF(ThresholdAge17,"&lt;"&amp;'19_Расчет_аналитики'!V3596,WeightedMinAge17),MAX(CapacityAge17*'01_Вводные'!$B$218*'19_Расчет_аналитики'!V3596,MeanMinAge17))),0)</f>
        <v/>
      </c>
      <c r="W3544">
        <f>IF('01_Вводные'!$B$234="Да",IF(OR(('19_Расчет_аналитики'!W3460-'19_Расчет_аналитики'!W3488)=0,17&lt;='01_Вводные'!$B$297),0,('19_Расчет_аналитики'!W3460-'19_Расчет_аналитики'!W3488)*IF('01_Вводные'!$B$239="Да",MeanMinAge17+'19_Расчет_аналитики'!W3596*SUMIF(ThresholdAge17,"&lt;"&amp;'19_Расчет_аналитики'!W3596,WeightedRevAge17)-SUMIF(ThresholdAge17,"&lt;"&amp;'19_Расчет_аналитики'!W3596,WeightedMinAge17),MAX(CapacityAge17*'01_Вводные'!$B$218*'19_Расчет_аналитики'!W3596,MeanMinAge17))),0)</f>
        <v/>
      </c>
      <c r="X3544">
        <f>IF('01_Вводные'!$B$234="Да",IF(OR(('19_Расчет_аналитики'!X3460-'19_Расчет_аналитики'!X3488)=0,17&lt;='01_Вводные'!$B$297),0,('19_Расчет_аналитики'!X3460-'19_Расчет_аналитики'!X3488)*IF('01_Вводные'!$B$239="Да",MeanMinAge17+'19_Расчет_аналитики'!X3596*SUMIF(ThresholdAge17,"&lt;"&amp;'19_Расчет_аналитики'!X3596,WeightedRevAge17)-SUMIF(ThresholdAge17,"&lt;"&amp;'19_Расчет_аналитики'!X3596,WeightedMinAge17),MAX(CapacityAge17*'01_Вводные'!$B$218*'19_Расчет_аналитики'!X3596,MeanMinAge17))),0)</f>
        <v/>
      </c>
      <c r="Y3544">
        <f>IF('01_Вводные'!$B$234="Да",IF(OR(('19_Расчет_аналитики'!Y3460-'19_Расчет_аналитики'!Y3488)=0,17&lt;='01_Вводные'!$B$297),0,('19_Расчет_аналитики'!Y3460-'19_Расчет_аналитики'!Y3488)*IF('01_Вводные'!$B$239="Да",MeanMinAge17+'19_Расчет_аналитики'!Y3596*SUMIF(ThresholdAge17,"&lt;"&amp;'19_Расчет_аналитики'!Y3596,WeightedRevAge17)-SUMIF(ThresholdAge17,"&lt;"&amp;'19_Расчет_аналитики'!Y3596,WeightedMinAge17),MAX(CapacityAge17*'01_Вводные'!$B$218*'19_Расчет_аналитики'!Y3596,MeanMinAge17))),0)</f>
        <v/>
      </c>
      <c r="Z3544">
        <f>IF('01_Вводные'!$B$234="Да",IF(OR(('19_Расчет_аналитики'!Z3460-'19_Расчет_аналитики'!Z3488)=0,17&lt;='01_Вводные'!$B$297),0,('19_Расчет_аналитики'!Z3460-'19_Расчет_аналитики'!Z3488)*IF('01_Вводные'!$B$239="Да",MeanMinAge17+'19_Расчет_аналитики'!Z3596*SUMIF(ThresholdAge17,"&lt;"&amp;'19_Расчет_аналитики'!Z3596,WeightedRevAge17)-SUMIF(ThresholdAge17,"&lt;"&amp;'19_Расчет_аналитики'!Z3596,WeightedMinAge17),MAX(CapacityAge17*'01_Вводные'!$B$218*'19_Расчет_аналитики'!Z3596,MeanMinAge17))),0)</f>
        <v/>
      </c>
      <c r="AA3544">
        <f>IF('01_Вводные'!$B$234="Да",IF(OR(('19_Расчет_аналитики'!AA3460-'19_Расчет_аналитики'!AA3488)=0,17&lt;='01_Вводные'!$B$297),0,('19_Расчет_аналитики'!AA3460-'19_Расчет_аналитики'!AA3488)*IF('01_Вводные'!$B$239="Да",MeanMinAge17+'19_Расчет_аналитики'!AA3596*SUMIF(ThresholdAge17,"&lt;"&amp;'19_Расчет_аналитики'!AA3596,WeightedRevAge17)-SUMIF(ThresholdAge17,"&lt;"&amp;'19_Расчет_аналитики'!AA3596,WeightedMinAge17),MAX(CapacityAge17*'01_Вводные'!$B$218*'19_Расчет_аналитики'!AA3596,MeanMinAge17))),0)</f>
        <v/>
      </c>
      <c r="AB3544">
        <f>IF('01_Вводные'!$B$234="Да",IF(OR(('19_Расчет_аналитики'!AB3460-'19_Расчет_аналитики'!AB3488)=0,17&lt;='01_Вводные'!$B$297),0,('19_Расчет_аналитики'!AB3460-'19_Расчет_аналитики'!AB3488)*IF('01_Вводные'!$B$239="Да",MeanMinAge17+'19_Расчет_аналитики'!AB3596*SUMIF(ThresholdAge17,"&lt;"&amp;'19_Расчет_аналитики'!AB3596,WeightedRevAge17)-SUMIF(ThresholdAge17,"&lt;"&amp;'19_Расчет_аналитики'!AB3596,WeightedMinAge17),MAX(CapacityAge17*'01_Вводные'!$B$218*'19_Расчет_аналитики'!AB3596,MeanMinAge17))),0)</f>
        <v/>
      </c>
      <c r="AC3544">
        <f>IF('01_Вводные'!$B$234="Да",IF(OR(('19_Расчет_аналитики'!AC3460-'19_Расчет_аналитики'!AC3488)=0,17&lt;='01_Вводные'!$B$297),0,('19_Расчет_аналитики'!AC3460-'19_Расчет_аналитики'!AC3488)*IF('01_Вводные'!$B$239="Да",MeanMinAge17+'19_Расчет_аналитики'!AC3596*SUMIF(ThresholdAge17,"&lt;"&amp;'19_Расчет_аналитики'!AC3596,WeightedRevAge17)-SUMIF(ThresholdAge17,"&lt;"&amp;'19_Расчет_аналитики'!AC3596,WeightedMinAge17),MAX(CapacityAge17*'01_Вводные'!$B$218*'19_Расчет_аналитики'!AC3596,MeanMinAge17))),0)</f>
        <v/>
      </c>
      <c r="AD3544">
        <f>IF('01_Вводные'!$B$234="Да",IF(OR(('19_Расчет_аналитики'!AD3460-'19_Расчет_аналитики'!AD3488)=0,17&lt;='01_Вводные'!$B$297),0,('19_Расчет_аналитики'!AD3460-'19_Расчет_аналитики'!AD3488)*IF('01_Вводные'!$B$239="Да",MeanMinAge17+'19_Расчет_аналитики'!AD3596*SUMIF(ThresholdAge17,"&lt;"&amp;'19_Расчет_аналитики'!AD3596,WeightedRevAge17)-SUMIF(ThresholdAge17,"&lt;"&amp;'19_Расчет_аналитики'!AD3596,WeightedMinAge17),MAX(CapacityAge17*'01_Вводные'!$B$218*'19_Расчет_аналитики'!AD3596,MeanMinAge17))),0)</f>
        <v/>
      </c>
      <c r="AE3544">
        <f>IF('01_Вводные'!$B$234="Да",IF(OR(('19_Расчет_аналитики'!AE3460-'19_Расчет_аналитики'!AE3488)=0,17&lt;='01_Вводные'!$B$297),0,('19_Расчет_аналитики'!AE3460-'19_Расчет_аналитики'!AE3488)*IF('01_Вводные'!$B$239="Да",MeanMinAge17+'19_Расчет_аналитики'!AE3596*SUMIF(ThresholdAge17,"&lt;"&amp;'19_Расчет_аналитики'!AE3596,WeightedRevAge17)-SUMIF(ThresholdAge17,"&lt;"&amp;'19_Расчет_аналитики'!AE3596,WeightedMinAge17),MAX(CapacityAge17*'01_Вводные'!$B$218*'19_Расчет_аналитики'!AE3596,MeanMinAge17))),0)</f>
        <v/>
      </c>
      <c r="AF3544">
        <f>IF('01_Вводные'!$B$234="Да",IF(OR(('19_Расчет_аналитики'!AF3460-'19_Расчет_аналитики'!AF3488)=0,17&lt;='01_Вводные'!$B$297),0,('19_Расчет_аналитики'!AF3460-'19_Расчет_аналитики'!AF3488)*IF('01_Вводные'!$B$239="Да",MeanMinAge17+'19_Расчет_аналитики'!AF3596*SUMIF(ThresholdAge17,"&lt;"&amp;'19_Расчет_аналитики'!AF3596,WeightedRevAge17)-SUMIF(ThresholdAge17,"&lt;"&amp;'19_Расчет_аналитики'!AF3596,WeightedMinAge17),MAX(CapacityAge17*'01_Вводные'!$B$218*'19_Расчет_аналитики'!AF3596,MeanMinAge17))),0)</f>
        <v/>
      </c>
      <c r="AG3544">
        <f>IF('01_Вводные'!$B$234="Да",IF(OR(('19_Расчет_аналитики'!AG3460-'19_Расчет_аналитики'!AG3488)=0,17&lt;='01_Вводные'!$B$297),0,('19_Расчет_аналитики'!AG3460-'19_Расчет_аналитики'!AG3488)*IF('01_Вводные'!$B$239="Да",MeanMinAge17+'19_Расчет_аналитики'!AG3596*SUMIF(ThresholdAge17,"&lt;"&amp;'19_Расчет_аналитики'!AG3596,WeightedRevAge17)-SUMIF(ThresholdAge17,"&lt;"&amp;'19_Расчет_аналитики'!AG3596,WeightedMinAge17),MAX(CapacityAge17*'01_Вводные'!$B$218*'19_Расчет_аналитики'!AG3596,MeanMinAge17))),0)</f>
        <v/>
      </c>
      <c r="AH3544">
        <f>IF('01_Вводные'!$B$234="Да",IF(OR(('19_Расчет_аналитики'!AH3460-'19_Расчет_аналитики'!AH3488)=0,17&lt;='01_Вводные'!$B$297),0,('19_Расчет_аналитики'!AH3460-'19_Расчет_аналитики'!AH3488)*IF('01_Вводные'!$B$239="Да",MeanMinAge17+'19_Расчет_аналитики'!AH3596*SUMIF(ThresholdAge17,"&lt;"&amp;'19_Расчет_аналитики'!AH3596,WeightedRevAge17)-SUMIF(ThresholdAge17,"&lt;"&amp;'19_Расчет_аналитики'!AH3596,WeightedMinAge17),MAX(CapacityAge17*'01_Вводные'!$B$218*'19_Расчет_аналитики'!AH3596,MeanMinAge17))),0)</f>
        <v/>
      </c>
      <c r="AI3544">
        <f>IF('01_Вводные'!$B$234="Да",IF(OR(('19_Расчет_аналитики'!AI3460-'19_Расчет_аналитики'!AI3488)=0,17&lt;='01_Вводные'!$B$297),0,('19_Расчет_аналитики'!AI3460-'19_Расчет_аналитики'!AI3488)*IF('01_Вводные'!$B$239="Да",MeanMinAge17+'19_Расчет_аналитики'!AI3596*SUMIF(ThresholdAge17,"&lt;"&amp;'19_Расчет_аналитики'!AI3596,WeightedRevAge17)-SUMIF(ThresholdAge17,"&lt;"&amp;'19_Расчет_аналитики'!AI3596,WeightedMinAge17),MAX(CapacityAge17*'01_Вводные'!$B$218*'19_Расчет_аналитики'!AI3596,MeanMinAge17))),0)</f>
        <v/>
      </c>
      <c r="AJ3544">
        <f>IF('01_Вводные'!$B$234="Да",IF(OR(('19_Расчет_аналитики'!AJ3460-'19_Расчет_аналитики'!AJ3488)=0,17&lt;='01_Вводные'!$B$297),0,('19_Расчет_аналитики'!AJ3460-'19_Расчет_аналитики'!AJ3488)*IF('01_Вводные'!$B$239="Да",MeanMinAge17+'19_Расчет_аналитики'!AJ3596*SUMIF(ThresholdAge17,"&lt;"&amp;'19_Расчет_аналитики'!AJ3596,WeightedRevAge17)-SUMIF(ThresholdAge17,"&lt;"&amp;'19_Расчет_аналитики'!AJ3596,WeightedMinAge17),MAX(CapacityAge17*'01_Вводные'!$B$218*'19_Расчет_аналитики'!AJ3596,MeanMinAge17))),0)</f>
        <v/>
      </c>
      <c r="AK3544">
        <f>IF('01_Вводные'!$B$234="Да",IF(OR(('19_Расчет_аналитики'!AK3460-'19_Расчет_аналитики'!AK3488)=0,17&lt;='01_Вводные'!$B$297),0,('19_Расчет_аналитики'!AK3460-'19_Расчет_аналитики'!AK3488)*IF('01_Вводные'!$B$239="Да",MeanMinAge17+'19_Расчет_аналитики'!AK3596*SUMIF(ThresholdAge17,"&lt;"&amp;'19_Расчет_аналитики'!AK3596,WeightedRevAge17)-SUMIF(ThresholdAge17,"&lt;"&amp;'19_Расчет_аналитики'!AK3596,WeightedMinAge17),MAX(CapacityAge17*'01_Вводные'!$B$218*'19_Расчет_аналитики'!AK3596,MeanMinAge17))),0)</f>
        <v/>
      </c>
      <c r="AL3544">
        <f>IF('01_Вводные'!$B$234="Да",IF(OR(('19_Расчет_аналитики'!AL3460-'19_Расчет_аналитики'!AL3488)=0,17&lt;='01_Вводные'!$B$297),0,('19_Расчет_аналитики'!AL3460-'19_Расчет_аналитики'!AL3488)*IF('01_Вводные'!$B$239="Да",MeanMinAge17+'19_Расчет_аналитики'!AL3596*SUMIF(ThresholdAge17,"&lt;"&amp;'19_Расчет_аналитики'!AL3596,WeightedRevAge17)-SUMIF(ThresholdAge17,"&lt;"&amp;'19_Расчет_аналитики'!AL3596,WeightedMinAge17),MAX(CapacityAge17*'01_Вводные'!$B$218*'19_Расчет_аналитики'!AL3596,MeanMinAge17))),0)</f>
        <v/>
      </c>
      <c r="AM3544">
        <f>IF('01_Вводные'!$B$234="Да",IF(OR(('19_Расчет_аналитики'!AM3460-'19_Расчет_аналитики'!AM3488)=0,17&lt;='01_Вводные'!$B$297),0,('19_Расчет_аналитики'!AM3460-'19_Расчет_аналитики'!AM3488)*IF('01_Вводные'!$B$239="Да",MeanMinAge17+'19_Расчет_аналитики'!AM3596*SUMIF(ThresholdAge17,"&lt;"&amp;'19_Расчет_аналитики'!AM3596,WeightedRevAge17)-SUMIF(ThresholdAge17,"&lt;"&amp;'19_Расчет_аналитики'!AM3596,WeightedMinAge17),MAX(CapacityAge17*'01_Вводные'!$B$218*'19_Расчет_аналитики'!AM3596,MeanMinAge17))),0)</f>
        <v/>
      </c>
      <c r="AN3544">
        <f>IF('01_Вводные'!$B$234="Да",IF(OR(('19_Расчет_аналитики'!AN3460-'19_Расчет_аналитики'!AN3488)=0,17&lt;='01_Вводные'!$B$297),0,('19_Расчет_аналитики'!AN3460-'19_Расчет_аналитики'!AN3488)*IF('01_Вводные'!$B$239="Да",MeanMinAge17+'19_Расчет_аналитики'!AN3596*SUMIF(ThresholdAge17,"&lt;"&amp;'19_Расчет_аналитики'!AN3596,WeightedRevAge17)-SUMIF(ThresholdAge17,"&lt;"&amp;'19_Расчет_аналитики'!AN3596,WeightedMinAge17),MAX(CapacityAge17*'01_Вводные'!$B$218*'19_Расчет_аналитики'!AN3596,MeanMinAge17))),0)</f>
        <v/>
      </c>
      <c r="AO3544">
        <f>IF('01_Вводные'!$B$234="Да",IF(OR(('19_Расчет_аналитики'!AO3460-'19_Расчет_аналитики'!AO3488)=0,17&lt;='01_Вводные'!$B$297),0,('19_Расчет_аналитики'!AO3460-'19_Расчет_аналитики'!AO3488)*IF('01_Вводные'!$B$239="Да",MeanMinAge17+'19_Расчет_аналитики'!AO3596*SUMIF(ThresholdAge17,"&lt;"&amp;'19_Расчет_аналитики'!AO3596,WeightedRevAge17)-SUMIF(ThresholdAge17,"&lt;"&amp;'19_Расчет_аналитики'!AO3596,WeightedMinAge17),MAX(CapacityAge17*'01_Вводные'!$B$218*'19_Расчет_аналитики'!AO3596,MeanMinAge17))),0)</f>
        <v/>
      </c>
      <c r="AP3544">
        <f>IF('01_Вводные'!$B$234="Да",IF(OR(('19_Расчет_аналитики'!AP3460-'19_Расчет_аналитики'!AP3488)=0,17&lt;='01_Вводные'!$B$297),0,('19_Расчет_аналитики'!AP3460-'19_Расчет_аналитики'!AP3488)*IF('01_Вводные'!$B$239="Да",MeanMinAge17+'19_Расчет_аналитики'!AP3596*SUMIF(ThresholdAge17,"&lt;"&amp;'19_Расчет_аналитики'!AP3596,WeightedRevAge17)-SUMIF(ThresholdAge17,"&lt;"&amp;'19_Расчет_аналитики'!AP3596,WeightedMinAge17),MAX(CapacityAge17*'01_Вводные'!$B$218*'19_Расчет_аналитики'!AP3596,MeanMinAge17))),0)</f>
        <v/>
      </c>
      <c r="AQ3544">
        <f>IF('01_Вводные'!$B$234="Да",IF(OR(('19_Расчет_аналитики'!AQ3460-'19_Расчет_аналитики'!AQ3488)=0,17&lt;='01_Вводные'!$B$297),0,('19_Расчет_аналитики'!AQ3460-'19_Расчет_аналитики'!AQ3488)*IF('01_Вводные'!$B$239="Да",MeanMinAge17+'19_Расчет_аналитики'!AQ3596*SUMIF(ThresholdAge17,"&lt;"&amp;'19_Расчет_аналитики'!AQ3596,WeightedRevAge17)-SUMIF(ThresholdAge17,"&lt;"&amp;'19_Расчет_аналитики'!AQ3596,WeightedMinAge17),MAX(CapacityAge17*'01_Вводные'!$B$218*'19_Расчет_аналитики'!AQ3596,MeanMinAge17))),0)</f>
        <v/>
      </c>
      <c r="AR3544">
        <f>IF('01_Вводные'!$B$234="Да",IF(OR(('19_Расчет_аналитики'!AR3460-'19_Расчет_аналитики'!AR3488)=0,17&lt;='01_Вводные'!$B$297),0,('19_Расчет_аналитики'!AR3460-'19_Расчет_аналитики'!AR3488)*IF('01_Вводные'!$B$239="Да",MeanMinAge17+'19_Расчет_аналитики'!AR3596*SUMIF(ThresholdAge17,"&lt;"&amp;'19_Расчет_аналитики'!AR3596,WeightedRevAge17)-SUMIF(ThresholdAge17,"&lt;"&amp;'19_Расчет_аналитики'!AR3596,WeightedMinAge17),MAX(CapacityAge17*'01_Вводные'!$B$218*'19_Расчет_аналитики'!AR3596,MeanMinAge17))),0)</f>
        <v/>
      </c>
      <c r="AS3544">
        <f>IF('01_Вводные'!$B$234="Да",IF(OR(('19_Расчет_аналитики'!AS3460-'19_Расчет_аналитики'!AS3488)=0,17&lt;='01_Вводные'!$B$297),0,('19_Расчет_аналитики'!AS3460-'19_Расчет_аналитики'!AS3488)*IF('01_Вводные'!$B$239="Да",MeanMinAge17+'19_Расчет_аналитики'!AS3596*SUMIF(ThresholdAge17,"&lt;"&amp;'19_Расчет_аналитики'!AS3596,WeightedRevAge17)-SUMIF(ThresholdAge17,"&lt;"&amp;'19_Расчет_аналитики'!AS3596,WeightedMinAge17),MAX(CapacityAge17*'01_Вводные'!$B$218*'19_Расчет_аналитики'!AS3596,MeanMinAge17))),0)</f>
        <v/>
      </c>
      <c r="AT3544">
        <f>IF('01_Вводные'!$B$234="Да",IF(OR(('19_Расчет_аналитики'!AT3460-'19_Расчет_аналитики'!AT3488)=0,17&lt;='01_Вводные'!$B$297),0,('19_Расчет_аналитики'!AT3460-'19_Расчет_аналитики'!AT3488)*IF('01_Вводные'!$B$239="Да",MeanMinAge17+'19_Расчет_аналитики'!AT3596*SUMIF(ThresholdAge17,"&lt;"&amp;'19_Расчет_аналитики'!AT3596,WeightedRevAge17)-SUMIF(ThresholdAge17,"&lt;"&amp;'19_Расчет_аналитики'!AT3596,WeightedMinAge17),MAX(CapacityAge17*'01_Вводные'!$B$218*'19_Расчет_аналитики'!AT3596,MeanMinAge17))),0)</f>
        <v/>
      </c>
      <c r="AU3544">
        <f>IF('01_Вводные'!$B$234="Да",IF(OR(('19_Расчет_аналитики'!AU3460-'19_Расчет_аналитики'!AU3488)=0,17&lt;='01_Вводные'!$B$297),0,('19_Расчет_аналитики'!AU3460-'19_Расчет_аналитики'!AU3488)*IF('01_Вводные'!$B$239="Да",MeanMinAge17+'19_Расчет_аналитики'!AU3596*SUMIF(ThresholdAge17,"&lt;"&amp;'19_Расчет_аналитики'!AU3596,WeightedRevAge17)-SUMIF(ThresholdAge17,"&lt;"&amp;'19_Расчет_аналитики'!AU3596,WeightedMinAge17),MAX(CapacityAge17*'01_Вводные'!$B$218*'19_Расчет_аналитики'!AU3596,MeanMinAge17))),0)</f>
        <v/>
      </c>
      <c r="AV3544">
        <f>IF('01_Вводные'!$B$234="Да",IF(OR(('19_Расчет_аналитики'!AV3460-'19_Расчет_аналитики'!AV3488)=0,17&lt;='01_Вводные'!$B$297),0,('19_Расчет_аналитики'!AV3460-'19_Расчет_аналитики'!AV3488)*IF('01_Вводные'!$B$239="Да",MeanMinAge17+'19_Расчет_аналитики'!AV3596*SUMIF(ThresholdAge17,"&lt;"&amp;'19_Расчет_аналитики'!AV3596,WeightedRevAge17)-SUMIF(ThresholdAge17,"&lt;"&amp;'19_Расчет_аналитики'!AV3596,WeightedMinAge17),MAX(CapacityAge17*'01_Вводные'!$B$218*'19_Расчет_аналитики'!AV3596,MeanMinAge17))),0)</f>
        <v/>
      </c>
      <c r="AW3544">
        <f>IF('01_Вводные'!$B$234="Да",IF(OR(('19_Расчет_аналитики'!AW3460-'19_Расчет_аналитики'!AW3488)=0,17&lt;='01_Вводные'!$B$297),0,('19_Расчет_аналитики'!AW3460-'19_Расчет_аналитики'!AW3488)*IF('01_Вводные'!$B$239="Да",MeanMinAge17+'19_Расчет_аналитики'!AW3596*SUMIF(ThresholdAge17,"&lt;"&amp;'19_Расчет_аналитики'!AW3596,WeightedRevAge17)-SUMIF(ThresholdAge17,"&lt;"&amp;'19_Расчет_аналитики'!AW3596,WeightedMinAge17),MAX(CapacityAge17*'01_Вводные'!$B$218*'19_Расчет_аналитики'!AW3596,MeanMinAge17))),0)</f>
        <v/>
      </c>
      <c r="AX3544">
        <f>IF('01_Вводные'!$B$234="Да",IF(OR(('19_Расчет_аналитики'!AX3460-'19_Расчет_аналитики'!AX3488)=0,17&lt;='01_Вводные'!$B$297),0,('19_Расчет_аналитики'!AX3460-'19_Расчет_аналитики'!AX3488)*IF('01_Вводные'!$B$239="Да",MeanMinAge17+'19_Расчет_аналитики'!AX3596*SUMIF(ThresholdAge17,"&lt;"&amp;'19_Расчет_аналитики'!AX3596,WeightedRevAge17)-SUMIF(ThresholdAge17,"&lt;"&amp;'19_Расчет_аналитики'!AX3596,WeightedMinAge17),MAX(CapacityAge17*'01_Вводные'!$B$218*'19_Расчет_аналитики'!AX3596,MeanMinAge17))),0)</f>
        <v/>
      </c>
      <c r="AY3544">
        <f>IF('01_Вводные'!$B$234="Да",IF(OR(('19_Расчет_аналитики'!AY3460-'19_Расчет_аналитики'!AY3488)=0,17&lt;='01_Вводные'!$B$297),0,('19_Расчет_аналитики'!AY3460-'19_Расчет_аналитики'!AY3488)*IF('01_Вводные'!$B$239="Да",MeanMinAge17+'19_Расчет_аналитики'!AY3596*SUMIF(ThresholdAge17,"&lt;"&amp;'19_Расчет_аналитики'!AY3596,WeightedRevAge17)-SUMIF(ThresholdAge17,"&lt;"&amp;'19_Расчет_аналитики'!AY3596,WeightedMinAge17),MAX(CapacityAge17*'01_Вводные'!$B$218*'19_Расчет_аналитики'!AY3596,MeanMinAge17))),0)</f>
        <v/>
      </c>
      <c r="AZ3544">
        <f>IF('01_Вводные'!$B$234="Да",IF(OR(('19_Расчет_аналитики'!AZ3460-'19_Расчет_аналитики'!AZ3488)=0,17&lt;='01_Вводные'!$B$297),0,('19_Расчет_аналитики'!AZ3460-'19_Расчет_аналитики'!AZ3488)*IF('01_Вводные'!$B$239="Да",MeanMinAge17+'19_Расчет_аналитики'!AZ3596*SUMIF(ThresholdAge17,"&lt;"&amp;'19_Расчет_аналитики'!AZ3596,WeightedRevAge17)-SUMIF(ThresholdAge17,"&lt;"&amp;'19_Расчет_аналитики'!AZ3596,WeightedMinAge17),MAX(CapacityAge17*'01_Вводные'!$B$218*'19_Расчет_аналитики'!AZ3596,MeanMinAge17))),0)</f>
        <v/>
      </c>
      <c r="BA3544">
        <f>IF('01_Вводные'!$B$234="Да",IF(OR(('19_Расчет_аналитики'!BA3460-'19_Расчет_аналитики'!BA3488)=0,17&lt;='01_Вводные'!$B$297),0,('19_Расчет_аналитики'!BA3460-'19_Расчет_аналитики'!BA3488)*IF('01_Вводные'!$B$239="Да",MeanMinAge17+'19_Расчет_аналитики'!BA3596*SUMIF(ThresholdAge17,"&lt;"&amp;'19_Расчет_аналитики'!BA3596,WeightedRevAge17)-SUMIF(ThresholdAge17,"&lt;"&amp;'19_Расчет_аналитики'!BA3596,WeightedMinAge17),MAX(CapacityAge17*'01_Вводные'!$B$218*'19_Расчет_аналитики'!BA3596,MeanMinAge17))),0)</f>
        <v/>
      </c>
      <c r="BB3544">
        <f>IF('01_Вводные'!$B$234="Да",IF(OR(('19_Расчет_аналитики'!BB3460-'19_Расчет_аналитики'!BB3488)=0,17&lt;='01_Вводные'!$B$297),0,('19_Расчет_аналитики'!BB3460-'19_Расчет_аналитики'!BB3488)*IF('01_Вводные'!$B$239="Да",MeanMinAge17+'19_Расчет_аналитики'!BB3596*SUMIF(ThresholdAge17,"&lt;"&amp;'19_Расчет_аналитики'!BB3596,WeightedRevAge17)-SUMIF(ThresholdAge17,"&lt;"&amp;'19_Расчет_аналитики'!BB3596,WeightedMinAge17),MAX(CapacityAge17*'01_Вводные'!$B$218*'19_Расчет_аналитики'!BB3596,MeanMinAge17))),0)</f>
        <v/>
      </c>
      <c r="BC3544">
        <f>IF('01_Вводные'!$B$234="Да",IF(OR(('19_Расчет_аналитики'!BC3460-'19_Расчет_аналитики'!BC3488)=0,17&lt;='01_Вводные'!$B$297),0,('19_Расчет_аналитики'!BC3460-'19_Расчет_аналитики'!BC3488)*IF('01_Вводные'!$B$239="Да",MeanMinAge17+'19_Расчет_аналитики'!BC3596*SUMIF(ThresholdAge17,"&lt;"&amp;'19_Расчет_аналитики'!BC3596,WeightedRevAge17)-SUMIF(ThresholdAge17,"&lt;"&amp;'19_Расчет_аналитики'!BC3596,WeightedMinAge17),MAX(CapacityAge17*'01_Вводные'!$B$218*'19_Расчет_аналитики'!BC3596,MeanMinAge17))),0)</f>
        <v/>
      </c>
      <c r="BD3544">
        <f>IF('01_Вводные'!$B$234="Да",IF(OR(('19_Расчет_аналитики'!BD3460-'19_Расчет_аналитики'!BD3488)=0,17&lt;='01_Вводные'!$B$297),0,('19_Расчет_аналитики'!BD3460-'19_Расчет_аналитики'!BD3488)*IF('01_Вводные'!$B$239="Да",MeanMinAge17+'19_Расчет_аналитики'!BD3596*SUMIF(ThresholdAge17,"&lt;"&amp;'19_Расчет_аналитики'!BD3596,WeightedRevAge17)-SUMIF(ThresholdAge17,"&lt;"&amp;'19_Расчет_аналитики'!BD3596,WeightedMinAge17),MAX(CapacityAge17*'01_Вводные'!$B$218*'19_Расчет_аналитики'!BD3596,MeanMinAge17))),0)</f>
        <v/>
      </c>
      <c r="BE3544">
        <f>IF('01_Вводные'!$B$234="Да",IF(OR(('19_Расчет_аналитики'!BE3460-'19_Расчет_аналитики'!BE3488)=0,17&lt;='01_Вводные'!$B$297),0,('19_Расчет_аналитики'!BE3460-'19_Расчет_аналитики'!BE3488)*IF('01_Вводные'!$B$239="Да",MeanMinAge17+'19_Расчет_аналитики'!BE3596*SUMIF(ThresholdAge17,"&lt;"&amp;'19_Расчет_аналитики'!BE3596,WeightedRevAge17)-SUMIF(ThresholdAge17,"&lt;"&amp;'19_Расчет_аналитики'!BE3596,WeightedMinAge17),MAX(CapacityAge17*'01_Вводные'!$B$218*'19_Расчет_аналитики'!BE3596,MeanMinAge17))),0)</f>
        <v/>
      </c>
      <c r="BF3544">
        <f>IF('01_Вводные'!$B$234="Да",IF(OR(('19_Расчет_аналитики'!BF3460-'19_Расчет_аналитики'!BF3488)=0,17&lt;='01_Вводные'!$B$297),0,('19_Расчет_аналитики'!BF3460-'19_Расчет_аналитики'!BF3488)*IF('01_Вводные'!$B$239="Да",MeanMinAge17+'19_Расчет_аналитики'!BF3596*SUMIF(ThresholdAge17,"&lt;"&amp;'19_Расчет_аналитики'!BF3596,WeightedRevAge17)-SUMIF(ThresholdAge17,"&lt;"&amp;'19_Расчет_аналитики'!BF3596,WeightedMinAge17),MAX(CapacityAge17*'01_Вводные'!$B$218*'19_Расчет_аналитики'!BF3596,MeanMinAge17))),0)</f>
        <v/>
      </c>
      <c r="BG3544">
        <f>IF('01_Вводные'!$B$234="Да",IF(OR(('19_Расчет_аналитики'!BG3460-'19_Расчет_аналитики'!BG3488)=0,17&lt;='01_Вводные'!$B$297),0,('19_Расчет_аналитики'!BG3460-'19_Расчет_аналитики'!BG3488)*IF('01_Вводные'!$B$239="Да",MeanMinAge17+'19_Расчет_аналитики'!BG3596*SUMIF(ThresholdAge17,"&lt;"&amp;'19_Расчет_аналитики'!BG3596,WeightedRevAge17)-SUMIF(ThresholdAge17,"&lt;"&amp;'19_Расчет_аналитики'!BG3596,WeightedMinAge17),MAX(CapacityAge17*'01_Вводные'!$B$218*'19_Расчет_аналитики'!BG3596,MeanMinAge17))),0)</f>
        <v/>
      </c>
      <c r="BH3544">
        <f>IF('01_Вводные'!$B$234="Да",IF(OR(('19_Расчет_аналитики'!BH3460-'19_Расчет_аналитики'!BH3488)=0,17&lt;='01_Вводные'!$B$297),0,('19_Расчет_аналитики'!BH3460-'19_Расчет_аналитики'!BH3488)*IF('01_Вводные'!$B$239="Да",MeanMinAge17+'19_Расчет_аналитики'!BH3596*SUMIF(ThresholdAge17,"&lt;"&amp;'19_Расчет_аналитики'!BH3596,WeightedRevAge17)-SUMIF(ThresholdAge17,"&lt;"&amp;'19_Расчет_аналитики'!BH3596,WeightedMinAge17),MAX(CapacityAge17*'01_Вводные'!$B$218*'19_Расчет_аналитики'!BH3596,MeanMinAge17))),0)</f>
        <v/>
      </c>
      <c r="BI3544">
        <f>IF('01_Вводные'!$B$234="Да",IF(OR(('19_Расчет_аналитики'!BI3460-'19_Расчет_аналитики'!BI3488)=0,17&lt;='01_Вводные'!$B$297),0,('19_Расчет_аналитики'!BI3460-'19_Расчет_аналитики'!BI3488)*IF('01_Вводные'!$B$239="Да",MeanMinAge17+'19_Расчет_аналитики'!BI3596*SUMIF(ThresholdAge17,"&lt;"&amp;'19_Расчет_аналитики'!BI3596,WeightedRevAge17)-SUMIF(ThresholdAge17,"&lt;"&amp;'19_Расчет_аналитики'!BI3596,WeightedMinAge17),MAX(CapacityAge17*'01_Вводные'!$B$218*'19_Расчет_аналитики'!BI3596,MeanMinAge17))),0)</f>
        <v/>
      </c>
      <c r="BJ3544">
        <f>IF('01_Вводные'!$B$234="Да",IF(OR(('19_Расчет_аналитики'!BJ3460-'19_Расчет_аналитики'!BJ3488)=0,17&lt;='01_Вводные'!$B$297),0,('19_Расчет_аналитики'!BJ3460-'19_Расчет_аналитики'!BJ3488)*IF('01_Вводные'!$B$239="Да",MeanMinAge17+'19_Расчет_аналитики'!BJ3596*SUMIF(ThresholdAge17,"&lt;"&amp;'19_Расчет_аналитики'!BJ3596,WeightedRevAge17)-SUMIF(ThresholdAge17,"&lt;"&amp;'19_Расчет_аналитики'!BJ3596,WeightedMinAge17),MAX(CapacityAge17*'01_Вводные'!$B$218*'19_Расчет_аналитики'!BJ3596,MeanMinAge17))),0)</f>
        <v/>
      </c>
      <c r="BK3544">
        <f>IF('01_Вводные'!$B$234="Да",IF(OR(('19_Расчет_аналитики'!BK3460-'19_Расчет_аналитики'!BK3488)=0,17&lt;='01_Вводные'!$B$297),0,('19_Расчет_аналитики'!BK3460-'19_Расчет_аналитики'!BK3488)*IF('01_Вводные'!$B$239="Да",MeanMinAge17+'19_Расчет_аналитики'!BK3596*SUMIF(ThresholdAge17,"&lt;"&amp;'19_Расчет_аналитики'!BK3596,WeightedRevAge17)-SUMIF(ThresholdAge17,"&lt;"&amp;'19_Расчет_аналитики'!BK3596,WeightedMinAge17),MAX(CapacityAge17*'01_Вводные'!$B$218*'19_Расчет_аналитики'!BK3596,MeanMinAge17))),0)</f>
        <v/>
      </c>
      <c r="BL3544">
        <f>IF('01_Вводные'!$B$234="Да",IF(OR(('19_Расчет_аналитики'!BL3460-'19_Расчет_аналитики'!BL3488)=0,17&lt;='01_Вводные'!$B$297),0,('19_Расчет_аналитики'!BL3460-'19_Расчет_аналитики'!BL3488)*IF('01_Вводные'!$B$239="Да",MeanMinAge17+'19_Расчет_аналитики'!BL3596*SUMIF(ThresholdAge17,"&lt;"&amp;'19_Расчет_аналитики'!BL3596,WeightedRevAge17)-SUMIF(ThresholdAge17,"&lt;"&amp;'19_Расчет_аналитики'!BL3596,WeightedMinAge17),MAX(CapacityAge17*'01_Вводные'!$B$218*'19_Расчет_аналитики'!BL3596,MeanMinAge17))),0)</f>
        <v/>
      </c>
      <c r="BM3544">
        <f>IF('01_Вводные'!$B$234="Да",IF(OR(('19_Расчет_аналитики'!BM3460-'19_Расчет_аналитики'!BM3488)=0,17&lt;='01_Вводные'!$B$297),0,('19_Расчет_аналитики'!BM3460-'19_Расчет_аналитики'!BM3488)*IF('01_Вводные'!$B$239="Да",MeanMinAge17+'19_Расчет_аналитики'!BM3596*SUMIF(ThresholdAge17,"&lt;"&amp;'19_Расчет_аналитики'!BM3596,WeightedRevAge17)-SUMIF(ThresholdAge17,"&lt;"&amp;'19_Расчет_аналитики'!BM3596,WeightedMinAge17),MAX(CapacityAge17*'01_Вводные'!$B$218*'19_Расчет_аналитики'!BM3596,MeanMinAge17))),0)</f>
        <v/>
      </c>
      <c r="BN3544">
        <f>IF('01_Вводные'!$B$234="Да",IF(OR(('19_Расчет_аналитики'!BN3460-'19_Расчет_аналитики'!BN3488)=0,17&lt;='01_Вводные'!$B$297),0,('19_Расчет_аналитики'!BN3460-'19_Расчет_аналитики'!BN3488)*IF('01_Вводные'!$B$239="Да",MeanMinAge17+'19_Расчет_аналитики'!BN3596*SUMIF(ThresholdAge17,"&lt;"&amp;'19_Расчет_аналитики'!BN3596,WeightedRevAge17)-SUMIF(ThresholdAge17,"&lt;"&amp;'19_Расчет_аналитики'!BN3596,WeightedMinAge17),MAX(CapacityAge17*'01_Вводные'!$B$218*'19_Расчет_аналитики'!BN3596,MeanMinAge17))),0)</f>
        <v/>
      </c>
      <c r="BO3544">
        <f>IF('01_Вводные'!$B$234="Да",IF(OR(('19_Расчет_аналитики'!BO3460-'19_Расчет_аналитики'!BO3488)=0,17&lt;='01_Вводные'!$B$297),0,('19_Расчет_аналитики'!BO3460-'19_Расчет_аналитики'!BO3488)*IF('01_Вводные'!$B$239="Да",MeanMinAge17+'19_Расчет_аналитики'!BO3596*SUMIF(ThresholdAge17,"&lt;"&amp;'19_Расчет_аналитики'!BO3596,WeightedRevAge17)-SUMIF(ThresholdAge17,"&lt;"&amp;'19_Расчет_аналитики'!BO3596,WeightedMinAge17),MAX(CapacityAge17*'01_Вводные'!$B$218*'19_Расчет_аналитики'!BO3596,MeanMinAge17))),0)</f>
        <v/>
      </c>
    </row>
    <row r="3545">
      <c r="B3545">
        <f>IF('01_Вводные'!$B$234="Да",IF(OR(('06_Сеть_и_дети'!B70-'06_Сеть_и_дети'!B98)=0,18&lt;='01_Вводные'!$B$297),0,('06_Сеть_и_дети'!B70-'06_Сеть_и_дети'!B98)*IF('01_Вводные'!$B$239="Да",MeanMinAge18+'19_Расчет_аналитики'!B3596*SUMIF(ThresholdAge18,"&lt;"&amp;'19_Расчет_аналитики'!B3596,WeightedRevAge18)-SUMIF(ThresholdAge18,"&lt;"&amp;'19_Расчет_аналитики'!B3596,WeightedMinAge18),MAX(CapacityAge18*'01_Вводные'!$B$218*'19_Расчет_аналитики'!B3596,MeanMinAge18))),0)</f>
        <v/>
      </c>
      <c r="C3545">
        <f>IF('01_Вводные'!$B$234="Да",IF(OR(('06_Сеть_и_дети'!C70-'06_Сеть_и_дети'!C98)=0,18&lt;='01_Вводные'!$B$297),0,('06_Сеть_и_дети'!C70-'06_Сеть_и_дети'!C98)*IF('01_Вводные'!$B$239="Да",MeanMinAge18+'19_Расчет_аналитики'!C3596*SUMIF(ThresholdAge18,"&lt;"&amp;'19_Расчет_аналитики'!C3596,WeightedRevAge18)-SUMIF(ThresholdAge18,"&lt;"&amp;'19_Расчет_аналитики'!C3596,WeightedMinAge18),MAX(CapacityAge18*'01_Вводные'!$B$218*'19_Расчет_аналитики'!C3596,MeanMinAge18))),0)</f>
        <v/>
      </c>
      <c r="D3545">
        <f>IF('01_Вводные'!$B$234="Да",IF(OR(('06_Сеть_и_дети'!D70-'06_Сеть_и_дети'!D98)=0,18&lt;='01_Вводные'!$B$297),0,('06_Сеть_и_дети'!D70-'06_Сеть_и_дети'!D98)*IF('01_Вводные'!$B$239="Да",MeanMinAge18+'19_Расчет_аналитики'!D3596*SUMIF(ThresholdAge18,"&lt;"&amp;'19_Расчет_аналитики'!D3596,WeightedRevAge18)-SUMIF(ThresholdAge18,"&lt;"&amp;'19_Расчет_аналитики'!D3596,WeightedMinAge18),MAX(CapacityAge18*'01_Вводные'!$B$218*'19_Расчет_аналитики'!D3596,MeanMinAge18))),0)</f>
        <v/>
      </c>
      <c r="E3545">
        <f>IF('01_Вводные'!$B$234="Да",IF(OR(('06_Сеть_и_дети'!E70-'06_Сеть_и_дети'!E98)=0,18&lt;='01_Вводные'!$B$297),0,('06_Сеть_и_дети'!E70-'06_Сеть_и_дети'!E98)*IF('01_Вводные'!$B$239="Да",MeanMinAge18+'19_Расчет_аналитики'!E3596*SUMIF(ThresholdAge18,"&lt;"&amp;'19_Расчет_аналитики'!E3596,WeightedRevAge18)-SUMIF(ThresholdAge18,"&lt;"&amp;'19_Расчет_аналитики'!E3596,WeightedMinAge18),MAX(CapacityAge18*'01_Вводные'!$B$218*'19_Расчет_аналитики'!E3596,MeanMinAge18))),0)</f>
        <v/>
      </c>
      <c r="F3545">
        <f>IF('01_Вводные'!$B$234="Да",IF(OR(('06_Сеть_и_дети'!F70-'06_Сеть_и_дети'!F98)=0,18&lt;='01_Вводные'!$B$297),0,('06_Сеть_и_дети'!F70-'06_Сеть_и_дети'!F98)*IF('01_Вводные'!$B$239="Да",MeanMinAge18+'19_Расчет_аналитики'!F3596*SUMIF(ThresholdAge18,"&lt;"&amp;'19_Расчет_аналитики'!F3596,WeightedRevAge18)-SUMIF(ThresholdAge18,"&lt;"&amp;'19_Расчет_аналитики'!F3596,WeightedMinAge18),MAX(CapacityAge18*'01_Вводные'!$B$218*'19_Расчет_аналитики'!F3596,MeanMinAge18))),0)</f>
        <v/>
      </c>
      <c r="G3545">
        <f>IF('01_Вводные'!$B$234="Да",IF(OR(('06_Сеть_и_дети'!G70-'06_Сеть_и_дети'!G98)=0,18&lt;='01_Вводные'!$B$297),0,('06_Сеть_и_дети'!G70-'06_Сеть_и_дети'!G98)*IF('01_Вводные'!$B$239="Да",MeanMinAge18+'19_Расчет_аналитики'!G3596*SUMIF(ThresholdAge18,"&lt;"&amp;'19_Расчет_аналитики'!G3596,WeightedRevAge18)-SUMIF(ThresholdAge18,"&lt;"&amp;'19_Расчет_аналитики'!G3596,WeightedMinAge18),MAX(CapacityAge18*'01_Вводные'!$B$218*'19_Расчет_аналитики'!G3596,MeanMinAge18))),0)</f>
        <v/>
      </c>
      <c r="H3545">
        <f>IF('01_Вводные'!$B$234="Да",IF(OR(('06_Сеть_и_дети'!H70-'06_Сеть_и_дети'!H98)=0,18&lt;='01_Вводные'!$B$297),0,('06_Сеть_и_дети'!H70-'06_Сеть_и_дети'!H98)*IF('01_Вводные'!$B$239="Да",MeanMinAge18+'19_Расчет_аналитики'!H3596*SUMIF(ThresholdAge18,"&lt;"&amp;'19_Расчет_аналитики'!H3596,WeightedRevAge18)-SUMIF(ThresholdAge18,"&lt;"&amp;'19_Расчет_аналитики'!H3596,WeightedMinAge18),MAX(CapacityAge18*'01_Вводные'!$B$218*'19_Расчет_аналитики'!H3596,MeanMinAge18))),0)</f>
        <v/>
      </c>
      <c r="I3545">
        <f>IF('01_Вводные'!$B$234="Да",IF(OR(('06_Сеть_и_дети'!I70-'06_Сеть_и_дети'!I98)=0,18&lt;='01_Вводные'!$B$297),0,('06_Сеть_и_дети'!I70-'06_Сеть_и_дети'!I98)*IF('01_Вводные'!$B$239="Да",MeanMinAge18+'19_Расчет_аналитики'!I3596*SUMIF(ThresholdAge18,"&lt;"&amp;'19_Расчет_аналитики'!I3596,WeightedRevAge18)-SUMIF(ThresholdAge18,"&lt;"&amp;'19_Расчет_аналитики'!I3596,WeightedMinAge18),MAX(CapacityAge18*'01_Вводные'!$B$218*'19_Расчет_аналитики'!I3596,MeanMinAge18))),0)</f>
        <v/>
      </c>
      <c r="J3545">
        <f>IF('01_Вводные'!$B$234="Да",IF(OR(('06_Сеть_и_дети'!J70-'06_Сеть_и_дети'!J98)=0,18&lt;='01_Вводные'!$B$297),0,('06_Сеть_и_дети'!J70-'06_Сеть_и_дети'!J98)*IF('01_Вводные'!$B$239="Да",MeanMinAge18+'19_Расчет_аналитики'!J3596*SUMIF(ThresholdAge18,"&lt;"&amp;'19_Расчет_аналитики'!J3596,WeightedRevAge18)-SUMIF(ThresholdAge18,"&lt;"&amp;'19_Расчет_аналитики'!J3596,WeightedMinAge18),MAX(CapacityAge18*'01_Вводные'!$B$218*'19_Расчет_аналитики'!J3596,MeanMinAge18))),0)</f>
        <v/>
      </c>
      <c r="K3545">
        <f>IF('01_Вводные'!$B$234="Да",IF(OR(('06_Сеть_и_дети'!K70-'06_Сеть_и_дети'!K98)=0,18&lt;='01_Вводные'!$B$297),0,('06_Сеть_и_дети'!K70-'06_Сеть_и_дети'!K98)*IF('01_Вводные'!$B$239="Да",MeanMinAge18+'19_Расчет_аналитики'!K3596*SUMIF(ThresholdAge18,"&lt;"&amp;'19_Расчет_аналитики'!K3596,WeightedRevAge18)-SUMIF(ThresholdAge18,"&lt;"&amp;'19_Расчет_аналитики'!K3596,WeightedMinAge18),MAX(CapacityAge18*'01_Вводные'!$B$218*'19_Расчет_аналитики'!K3596,MeanMinAge18))),0)</f>
        <v/>
      </c>
      <c r="L3545">
        <f>IF('01_Вводные'!$B$234="Да",IF(OR(('06_Сеть_и_дети'!L70-'06_Сеть_и_дети'!L98)=0,18&lt;='01_Вводные'!$B$297),0,('06_Сеть_и_дети'!L70-'06_Сеть_и_дети'!L98)*IF('01_Вводные'!$B$239="Да",MeanMinAge18+'19_Расчет_аналитики'!L3596*SUMIF(ThresholdAge18,"&lt;"&amp;'19_Расчет_аналитики'!L3596,WeightedRevAge18)-SUMIF(ThresholdAge18,"&lt;"&amp;'19_Расчет_аналитики'!L3596,WeightedMinAge18),MAX(CapacityAge18*'01_Вводные'!$B$218*'19_Расчет_аналитики'!L3596,MeanMinAge18))),0)</f>
        <v/>
      </c>
      <c r="M3545">
        <f>IF('01_Вводные'!$B$234="Да",IF(OR(('06_Сеть_и_дети'!M70-'06_Сеть_и_дети'!M98)=0,18&lt;='01_Вводные'!$B$297),0,('06_Сеть_и_дети'!M70-'06_Сеть_и_дети'!M98)*IF('01_Вводные'!$B$239="Да",MeanMinAge18+'19_Расчет_аналитики'!M3596*SUMIF(ThresholdAge18,"&lt;"&amp;'19_Расчет_аналитики'!M3596,WeightedRevAge18)-SUMIF(ThresholdAge18,"&lt;"&amp;'19_Расчет_аналитики'!M3596,WeightedMinAge18),MAX(CapacityAge18*'01_Вводные'!$B$218*'19_Расчет_аналитики'!M3596,MeanMinAge18))),0)</f>
        <v/>
      </c>
      <c r="N3545">
        <f>IF('01_Вводные'!$B$234="Да",IF(OR(('06_Сеть_и_дети'!N70-'06_Сеть_и_дети'!N98)=0,18&lt;='01_Вводные'!$B$297),0,('06_Сеть_и_дети'!N70-'06_Сеть_и_дети'!N98)*IF('01_Вводные'!$B$239="Да",MeanMinAge18+'19_Расчет_аналитики'!N3596*SUMIF(ThresholdAge18,"&lt;"&amp;'19_Расчет_аналитики'!N3596,WeightedRevAge18)-SUMIF(ThresholdAge18,"&lt;"&amp;'19_Расчет_аналитики'!N3596,WeightedMinAge18),MAX(CapacityAge18*'01_Вводные'!$B$218*'19_Расчет_аналитики'!N3596,MeanMinAge18))),0)</f>
        <v/>
      </c>
      <c r="O3545">
        <f>IF('01_Вводные'!$B$234="Да",IF(OR(('06_Сеть_и_дети'!O70-'06_Сеть_и_дети'!O98)=0,18&lt;='01_Вводные'!$B$297),0,('06_Сеть_и_дети'!O70-'06_Сеть_и_дети'!O98)*IF('01_Вводные'!$B$239="Да",MeanMinAge18+'19_Расчет_аналитики'!O3596*SUMIF(ThresholdAge18,"&lt;"&amp;'19_Расчет_аналитики'!O3596,WeightedRevAge18)-SUMIF(ThresholdAge18,"&lt;"&amp;'19_Расчет_аналитики'!O3596,WeightedMinAge18),MAX(CapacityAge18*'01_Вводные'!$B$218*'19_Расчет_аналитики'!O3596,MeanMinAge18))),0)</f>
        <v/>
      </c>
      <c r="P3545">
        <f>IF('01_Вводные'!$B$234="Да",IF(OR(('06_Сеть_и_дети'!P70-'06_Сеть_и_дети'!P98)=0,18&lt;='01_Вводные'!$B$297),0,('06_Сеть_и_дети'!P70-'06_Сеть_и_дети'!P98)*IF('01_Вводные'!$B$239="Да",MeanMinAge18+'19_Расчет_аналитики'!P3596*SUMIF(ThresholdAge18,"&lt;"&amp;'19_Расчет_аналитики'!P3596,WeightedRevAge18)-SUMIF(ThresholdAge18,"&lt;"&amp;'19_Расчет_аналитики'!P3596,WeightedMinAge18),MAX(CapacityAge18*'01_Вводные'!$B$218*'19_Расчет_аналитики'!P3596,MeanMinAge18))),0)</f>
        <v/>
      </c>
      <c r="Q3545">
        <f>IF('01_Вводные'!$B$234="Да",IF(OR(('06_Сеть_и_дети'!Q70-'06_Сеть_и_дети'!Q98)=0,18&lt;='01_Вводные'!$B$297),0,('06_Сеть_и_дети'!Q70-'06_Сеть_и_дети'!Q98)*IF('01_Вводные'!$B$239="Да",MeanMinAge18+'19_Расчет_аналитики'!Q3596*SUMIF(ThresholdAge18,"&lt;"&amp;'19_Расчет_аналитики'!Q3596,WeightedRevAge18)-SUMIF(ThresholdAge18,"&lt;"&amp;'19_Расчет_аналитики'!Q3596,WeightedMinAge18),MAX(CapacityAge18*'01_Вводные'!$B$218*'19_Расчет_аналитики'!Q3596,MeanMinAge18))),0)</f>
        <v/>
      </c>
      <c r="R3545">
        <f>IF('01_Вводные'!$B$234="Да",IF(OR(('06_Сеть_и_дети'!R70-'06_Сеть_и_дети'!R98)=0,18&lt;='01_Вводные'!$B$297),0,('06_Сеть_и_дети'!R70-'06_Сеть_и_дети'!R98)*IF('01_Вводные'!$B$239="Да",MeanMinAge18+'19_Расчет_аналитики'!R3596*SUMIF(ThresholdAge18,"&lt;"&amp;'19_Расчет_аналитики'!R3596,WeightedRevAge18)-SUMIF(ThresholdAge18,"&lt;"&amp;'19_Расчет_аналитики'!R3596,WeightedMinAge18),MAX(CapacityAge18*'01_Вводные'!$B$218*'19_Расчет_аналитики'!R3596,MeanMinAge18))),0)</f>
        <v/>
      </c>
      <c r="S3545">
        <f>IF('01_Вводные'!$B$234="Да",IF(OR(('19_Расчет_аналитики'!S3461-'19_Расчет_аналитики'!S3489)=0,18&lt;='01_Вводные'!$B$297),0,('19_Расчет_аналитики'!S3461-'19_Расчет_аналитики'!S3489)*IF('01_Вводные'!$B$239="Да",MeanMinAge18+'19_Расчет_аналитики'!S3596*SUMIF(ThresholdAge18,"&lt;"&amp;'19_Расчет_аналитики'!S3596,WeightedRevAge18)-SUMIF(ThresholdAge18,"&lt;"&amp;'19_Расчет_аналитики'!S3596,WeightedMinAge18),MAX(CapacityAge18*'01_Вводные'!$B$218*'19_Расчет_аналитики'!S3596,MeanMinAge18))),0)</f>
        <v/>
      </c>
      <c r="T3545">
        <f>IF('01_Вводные'!$B$234="Да",IF(OR(('19_Расчет_аналитики'!T3461-'19_Расчет_аналитики'!T3489)=0,18&lt;='01_Вводные'!$B$297),0,('19_Расчет_аналитики'!T3461-'19_Расчет_аналитики'!T3489)*IF('01_Вводные'!$B$239="Да",MeanMinAge18+'19_Расчет_аналитики'!T3596*SUMIF(ThresholdAge18,"&lt;"&amp;'19_Расчет_аналитики'!T3596,WeightedRevAge18)-SUMIF(ThresholdAge18,"&lt;"&amp;'19_Расчет_аналитики'!T3596,WeightedMinAge18),MAX(CapacityAge18*'01_Вводные'!$B$218*'19_Расчет_аналитики'!T3596,MeanMinAge18))),0)</f>
        <v/>
      </c>
      <c r="U3545">
        <f>IF('01_Вводные'!$B$234="Да",IF(OR(('19_Расчет_аналитики'!U3461-'19_Расчет_аналитики'!U3489)=0,18&lt;='01_Вводные'!$B$297),0,('19_Расчет_аналитики'!U3461-'19_Расчет_аналитики'!U3489)*IF('01_Вводные'!$B$239="Да",MeanMinAge18+'19_Расчет_аналитики'!U3596*SUMIF(ThresholdAge18,"&lt;"&amp;'19_Расчет_аналитики'!U3596,WeightedRevAge18)-SUMIF(ThresholdAge18,"&lt;"&amp;'19_Расчет_аналитики'!U3596,WeightedMinAge18),MAX(CapacityAge18*'01_Вводные'!$B$218*'19_Расчет_аналитики'!U3596,MeanMinAge18))),0)</f>
        <v/>
      </c>
      <c r="V3545">
        <f>IF('01_Вводные'!$B$234="Да",IF(OR(('19_Расчет_аналитики'!V3461-'19_Расчет_аналитики'!V3489)=0,18&lt;='01_Вводные'!$B$297),0,('19_Расчет_аналитики'!V3461-'19_Расчет_аналитики'!V3489)*IF('01_Вводные'!$B$239="Да",MeanMinAge18+'19_Расчет_аналитики'!V3596*SUMIF(ThresholdAge18,"&lt;"&amp;'19_Расчет_аналитики'!V3596,WeightedRevAge18)-SUMIF(ThresholdAge18,"&lt;"&amp;'19_Расчет_аналитики'!V3596,WeightedMinAge18),MAX(CapacityAge18*'01_Вводные'!$B$218*'19_Расчет_аналитики'!V3596,MeanMinAge18))),0)</f>
        <v/>
      </c>
      <c r="W3545">
        <f>IF('01_Вводные'!$B$234="Да",IF(OR(('19_Расчет_аналитики'!W3461-'19_Расчет_аналитики'!W3489)=0,18&lt;='01_Вводные'!$B$297),0,('19_Расчет_аналитики'!W3461-'19_Расчет_аналитики'!W3489)*IF('01_Вводные'!$B$239="Да",MeanMinAge18+'19_Расчет_аналитики'!W3596*SUMIF(ThresholdAge18,"&lt;"&amp;'19_Расчет_аналитики'!W3596,WeightedRevAge18)-SUMIF(ThresholdAge18,"&lt;"&amp;'19_Расчет_аналитики'!W3596,WeightedMinAge18),MAX(CapacityAge18*'01_Вводные'!$B$218*'19_Расчет_аналитики'!W3596,MeanMinAge18))),0)</f>
        <v/>
      </c>
      <c r="X3545">
        <f>IF('01_Вводные'!$B$234="Да",IF(OR(('19_Расчет_аналитики'!X3461-'19_Расчет_аналитики'!X3489)=0,18&lt;='01_Вводные'!$B$297),0,('19_Расчет_аналитики'!X3461-'19_Расчет_аналитики'!X3489)*IF('01_Вводные'!$B$239="Да",MeanMinAge18+'19_Расчет_аналитики'!X3596*SUMIF(ThresholdAge18,"&lt;"&amp;'19_Расчет_аналитики'!X3596,WeightedRevAge18)-SUMIF(ThresholdAge18,"&lt;"&amp;'19_Расчет_аналитики'!X3596,WeightedMinAge18),MAX(CapacityAge18*'01_Вводные'!$B$218*'19_Расчет_аналитики'!X3596,MeanMinAge18))),0)</f>
        <v/>
      </c>
      <c r="Y3545">
        <f>IF('01_Вводные'!$B$234="Да",IF(OR(('19_Расчет_аналитики'!Y3461-'19_Расчет_аналитики'!Y3489)=0,18&lt;='01_Вводные'!$B$297),0,('19_Расчет_аналитики'!Y3461-'19_Расчет_аналитики'!Y3489)*IF('01_Вводные'!$B$239="Да",MeanMinAge18+'19_Расчет_аналитики'!Y3596*SUMIF(ThresholdAge18,"&lt;"&amp;'19_Расчет_аналитики'!Y3596,WeightedRevAge18)-SUMIF(ThresholdAge18,"&lt;"&amp;'19_Расчет_аналитики'!Y3596,WeightedMinAge18),MAX(CapacityAge18*'01_Вводные'!$B$218*'19_Расчет_аналитики'!Y3596,MeanMinAge18))),0)</f>
        <v/>
      </c>
      <c r="Z3545">
        <f>IF('01_Вводные'!$B$234="Да",IF(OR(('19_Расчет_аналитики'!Z3461-'19_Расчет_аналитики'!Z3489)=0,18&lt;='01_Вводные'!$B$297),0,('19_Расчет_аналитики'!Z3461-'19_Расчет_аналитики'!Z3489)*IF('01_Вводные'!$B$239="Да",MeanMinAge18+'19_Расчет_аналитики'!Z3596*SUMIF(ThresholdAge18,"&lt;"&amp;'19_Расчет_аналитики'!Z3596,WeightedRevAge18)-SUMIF(ThresholdAge18,"&lt;"&amp;'19_Расчет_аналитики'!Z3596,WeightedMinAge18),MAX(CapacityAge18*'01_Вводные'!$B$218*'19_Расчет_аналитики'!Z3596,MeanMinAge18))),0)</f>
        <v/>
      </c>
      <c r="AA3545">
        <f>IF('01_Вводные'!$B$234="Да",IF(OR(('19_Расчет_аналитики'!AA3461-'19_Расчет_аналитики'!AA3489)=0,18&lt;='01_Вводные'!$B$297),0,('19_Расчет_аналитики'!AA3461-'19_Расчет_аналитики'!AA3489)*IF('01_Вводные'!$B$239="Да",MeanMinAge18+'19_Расчет_аналитики'!AA3596*SUMIF(ThresholdAge18,"&lt;"&amp;'19_Расчет_аналитики'!AA3596,WeightedRevAge18)-SUMIF(ThresholdAge18,"&lt;"&amp;'19_Расчет_аналитики'!AA3596,WeightedMinAge18),MAX(CapacityAge18*'01_Вводные'!$B$218*'19_Расчет_аналитики'!AA3596,MeanMinAge18))),0)</f>
        <v/>
      </c>
      <c r="AB3545">
        <f>IF('01_Вводные'!$B$234="Да",IF(OR(('19_Расчет_аналитики'!AB3461-'19_Расчет_аналитики'!AB3489)=0,18&lt;='01_Вводные'!$B$297),0,('19_Расчет_аналитики'!AB3461-'19_Расчет_аналитики'!AB3489)*IF('01_Вводные'!$B$239="Да",MeanMinAge18+'19_Расчет_аналитики'!AB3596*SUMIF(ThresholdAge18,"&lt;"&amp;'19_Расчет_аналитики'!AB3596,WeightedRevAge18)-SUMIF(ThresholdAge18,"&lt;"&amp;'19_Расчет_аналитики'!AB3596,WeightedMinAge18),MAX(CapacityAge18*'01_Вводные'!$B$218*'19_Расчет_аналитики'!AB3596,MeanMinAge18))),0)</f>
        <v/>
      </c>
      <c r="AC3545">
        <f>IF('01_Вводные'!$B$234="Да",IF(OR(('19_Расчет_аналитики'!AC3461-'19_Расчет_аналитики'!AC3489)=0,18&lt;='01_Вводные'!$B$297),0,('19_Расчет_аналитики'!AC3461-'19_Расчет_аналитики'!AC3489)*IF('01_Вводные'!$B$239="Да",MeanMinAge18+'19_Расчет_аналитики'!AC3596*SUMIF(ThresholdAge18,"&lt;"&amp;'19_Расчет_аналитики'!AC3596,WeightedRevAge18)-SUMIF(ThresholdAge18,"&lt;"&amp;'19_Расчет_аналитики'!AC3596,WeightedMinAge18),MAX(CapacityAge18*'01_Вводные'!$B$218*'19_Расчет_аналитики'!AC3596,MeanMinAge18))),0)</f>
        <v/>
      </c>
      <c r="AD3545">
        <f>IF('01_Вводные'!$B$234="Да",IF(OR(('19_Расчет_аналитики'!AD3461-'19_Расчет_аналитики'!AD3489)=0,18&lt;='01_Вводные'!$B$297),0,('19_Расчет_аналитики'!AD3461-'19_Расчет_аналитики'!AD3489)*IF('01_Вводные'!$B$239="Да",MeanMinAge18+'19_Расчет_аналитики'!AD3596*SUMIF(ThresholdAge18,"&lt;"&amp;'19_Расчет_аналитики'!AD3596,WeightedRevAge18)-SUMIF(ThresholdAge18,"&lt;"&amp;'19_Расчет_аналитики'!AD3596,WeightedMinAge18),MAX(CapacityAge18*'01_Вводные'!$B$218*'19_Расчет_аналитики'!AD3596,MeanMinAge18))),0)</f>
        <v/>
      </c>
      <c r="AE3545">
        <f>IF('01_Вводные'!$B$234="Да",IF(OR(('19_Расчет_аналитики'!AE3461-'19_Расчет_аналитики'!AE3489)=0,18&lt;='01_Вводные'!$B$297),0,('19_Расчет_аналитики'!AE3461-'19_Расчет_аналитики'!AE3489)*IF('01_Вводные'!$B$239="Да",MeanMinAge18+'19_Расчет_аналитики'!AE3596*SUMIF(ThresholdAge18,"&lt;"&amp;'19_Расчет_аналитики'!AE3596,WeightedRevAge18)-SUMIF(ThresholdAge18,"&lt;"&amp;'19_Расчет_аналитики'!AE3596,WeightedMinAge18),MAX(CapacityAge18*'01_Вводные'!$B$218*'19_Расчет_аналитики'!AE3596,MeanMinAge18))),0)</f>
        <v/>
      </c>
      <c r="AF3545">
        <f>IF('01_Вводные'!$B$234="Да",IF(OR(('19_Расчет_аналитики'!AF3461-'19_Расчет_аналитики'!AF3489)=0,18&lt;='01_Вводные'!$B$297),0,('19_Расчет_аналитики'!AF3461-'19_Расчет_аналитики'!AF3489)*IF('01_Вводные'!$B$239="Да",MeanMinAge18+'19_Расчет_аналитики'!AF3596*SUMIF(ThresholdAge18,"&lt;"&amp;'19_Расчет_аналитики'!AF3596,WeightedRevAge18)-SUMIF(ThresholdAge18,"&lt;"&amp;'19_Расчет_аналитики'!AF3596,WeightedMinAge18),MAX(CapacityAge18*'01_Вводные'!$B$218*'19_Расчет_аналитики'!AF3596,MeanMinAge18))),0)</f>
        <v/>
      </c>
      <c r="AG3545">
        <f>IF('01_Вводные'!$B$234="Да",IF(OR(('19_Расчет_аналитики'!AG3461-'19_Расчет_аналитики'!AG3489)=0,18&lt;='01_Вводные'!$B$297),0,('19_Расчет_аналитики'!AG3461-'19_Расчет_аналитики'!AG3489)*IF('01_Вводные'!$B$239="Да",MeanMinAge18+'19_Расчет_аналитики'!AG3596*SUMIF(ThresholdAge18,"&lt;"&amp;'19_Расчет_аналитики'!AG3596,WeightedRevAge18)-SUMIF(ThresholdAge18,"&lt;"&amp;'19_Расчет_аналитики'!AG3596,WeightedMinAge18),MAX(CapacityAge18*'01_Вводные'!$B$218*'19_Расчет_аналитики'!AG3596,MeanMinAge18))),0)</f>
        <v/>
      </c>
      <c r="AH3545">
        <f>IF('01_Вводные'!$B$234="Да",IF(OR(('19_Расчет_аналитики'!AH3461-'19_Расчет_аналитики'!AH3489)=0,18&lt;='01_Вводные'!$B$297),0,('19_Расчет_аналитики'!AH3461-'19_Расчет_аналитики'!AH3489)*IF('01_Вводные'!$B$239="Да",MeanMinAge18+'19_Расчет_аналитики'!AH3596*SUMIF(ThresholdAge18,"&lt;"&amp;'19_Расчет_аналитики'!AH3596,WeightedRevAge18)-SUMIF(ThresholdAge18,"&lt;"&amp;'19_Расчет_аналитики'!AH3596,WeightedMinAge18),MAX(CapacityAge18*'01_Вводные'!$B$218*'19_Расчет_аналитики'!AH3596,MeanMinAge18))),0)</f>
        <v/>
      </c>
      <c r="AI3545">
        <f>IF('01_Вводные'!$B$234="Да",IF(OR(('19_Расчет_аналитики'!AI3461-'19_Расчет_аналитики'!AI3489)=0,18&lt;='01_Вводные'!$B$297),0,('19_Расчет_аналитики'!AI3461-'19_Расчет_аналитики'!AI3489)*IF('01_Вводные'!$B$239="Да",MeanMinAge18+'19_Расчет_аналитики'!AI3596*SUMIF(ThresholdAge18,"&lt;"&amp;'19_Расчет_аналитики'!AI3596,WeightedRevAge18)-SUMIF(ThresholdAge18,"&lt;"&amp;'19_Расчет_аналитики'!AI3596,WeightedMinAge18),MAX(CapacityAge18*'01_Вводные'!$B$218*'19_Расчет_аналитики'!AI3596,MeanMinAge18))),0)</f>
        <v/>
      </c>
      <c r="AJ3545">
        <f>IF('01_Вводные'!$B$234="Да",IF(OR(('19_Расчет_аналитики'!AJ3461-'19_Расчет_аналитики'!AJ3489)=0,18&lt;='01_Вводные'!$B$297),0,('19_Расчет_аналитики'!AJ3461-'19_Расчет_аналитики'!AJ3489)*IF('01_Вводные'!$B$239="Да",MeanMinAge18+'19_Расчет_аналитики'!AJ3596*SUMIF(ThresholdAge18,"&lt;"&amp;'19_Расчет_аналитики'!AJ3596,WeightedRevAge18)-SUMIF(ThresholdAge18,"&lt;"&amp;'19_Расчет_аналитики'!AJ3596,WeightedMinAge18),MAX(CapacityAge18*'01_Вводные'!$B$218*'19_Расчет_аналитики'!AJ3596,MeanMinAge18))),0)</f>
        <v/>
      </c>
      <c r="AK3545">
        <f>IF('01_Вводные'!$B$234="Да",IF(OR(('19_Расчет_аналитики'!AK3461-'19_Расчет_аналитики'!AK3489)=0,18&lt;='01_Вводные'!$B$297),0,('19_Расчет_аналитики'!AK3461-'19_Расчет_аналитики'!AK3489)*IF('01_Вводные'!$B$239="Да",MeanMinAge18+'19_Расчет_аналитики'!AK3596*SUMIF(ThresholdAge18,"&lt;"&amp;'19_Расчет_аналитики'!AK3596,WeightedRevAge18)-SUMIF(ThresholdAge18,"&lt;"&amp;'19_Расчет_аналитики'!AK3596,WeightedMinAge18),MAX(CapacityAge18*'01_Вводные'!$B$218*'19_Расчет_аналитики'!AK3596,MeanMinAge18))),0)</f>
        <v/>
      </c>
      <c r="AL3545">
        <f>IF('01_Вводные'!$B$234="Да",IF(OR(('19_Расчет_аналитики'!AL3461-'19_Расчет_аналитики'!AL3489)=0,18&lt;='01_Вводные'!$B$297),0,('19_Расчет_аналитики'!AL3461-'19_Расчет_аналитики'!AL3489)*IF('01_Вводные'!$B$239="Да",MeanMinAge18+'19_Расчет_аналитики'!AL3596*SUMIF(ThresholdAge18,"&lt;"&amp;'19_Расчет_аналитики'!AL3596,WeightedRevAge18)-SUMIF(ThresholdAge18,"&lt;"&amp;'19_Расчет_аналитики'!AL3596,WeightedMinAge18),MAX(CapacityAge18*'01_Вводные'!$B$218*'19_Расчет_аналитики'!AL3596,MeanMinAge18))),0)</f>
        <v/>
      </c>
      <c r="AM3545">
        <f>IF('01_Вводные'!$B$234="Да",IF(OR(('19_Расчет_аналитики'!AM3461-'19_Расчет_аналитики'!AM3489)=0,18&lt;='01_Вводные'!$B$297),0,('19_Расчет_аналитики'!AM3461-'19_Расчет_аналитики'!AM3489)*IF('01_Вводные'!$B$239="Да",MeanMinAge18+'19_Расчет_аналитики'!AM3596*SUMIF(ThresholdAge18,"&lt;"&amp;'19_Расчет_аналитики'!AM3596,WeightedRevAge18)-SUMIF(ThresholdAge18,"&lt;"&amp;'19_Расчет_аналитики'!AM3596,WeightedMinAge18),MAX(CapacityAge18*'01_Вводные'!$B$218*'19_Расчет_аналитики'!AM3596,MeanMinAge18))),0)</f>
        <v/>
      </c>
      <c r="AN3545">
        <f>IF('01_Вводные'!$B$234="Да",IF(OR(('19_Расчет_аналитики'!AN3461-'19_Расчет_аналитики'!AN3489)=0,18&lt;='01_Вводные'!$B$297),0,('19_Расчет_аналитики'!AN3461-'19_Расчет_аналитики'!AN3489)*IF('01_Вводные'!$B$239="Да",MeanMinAge18+'19_Расчет_аналитики'!AN3596*SUMIF(ThresholdAge18,"&lt;"&amp;'19_Расчет_аналитики'!AN3596,WeightedRevAge18)-SUMIF(ThresholdAge18,"&lt;"&amp;'19_Расчет_аналитики'!AN3596,WeightedMinAge18),MAX(CapacityAge18*'01_Вводные'!$B$218*'19_Расчет_аналитики'!AN3596,MeanMinAge18))),0)</f>
        <v/>
      </c>
      <c r="AO3545">
        <f>IF('01_Вводные'!$B$234="Да",IF(OR(('19_Расчет_аналитики'!AO3461-'19_Расчет_аналитики'!AO3489)=0,18&lt;='01_Вводные'!$B$297),0,('19_Расчет_аналитики'!AO3461-'19_Расчет_аналитики'!AO3489)*IF('01_Вводные'!$B$239="Да",MeanMinAge18+'19_Расчет_аналитики'!AO3596*SUMIF(ThresholdAge18,"&lt;"&amp;'19_Расчет_аналитики'!AO3596,WeightedRevAge18)-SUMIF(ThresholdAge18,"&lt;"&amp;'19_Расчет_аналитики'!AO3596,WeightedMinAge18),MAX(CapacityAge18*'01_Вводные'!$B$218*'19_Расчет_аналитики'!AO3596,MeanMinAge18))),0)</f>
        <v/>
      </c>
      <c r="AP3545">
        <f>IF('01_Вводные'!$B$234="Да",IF(OR(('19_Расчет_аналитики'!AP3461-'19_Расчет_аналитики'!AP3489)=0,18&lt;='01_Вводные'!$B$297),0,('19_Расчет_аналитики'!AP3461-'19_Расчет_аналитики'!AP3489)*IF('01_Вводные'!$B$239="Да",MeanMinAge18+'19_Расчет_аналитики'!AP3596*SUMIF(ThresholdAge18,"&lt;"&amp;'19_Расчет_аналитики'!AP3596,WeightedRevAge18)-SUMIF(ThresholdAge18,"&lt;"&amp;'19_Расчет_аналитики'!AP3596,WeightedMinAge18),MAX(CapacityAge18*'01_Вводные'!$B$218*'19_Расчет_аналитики'!AP3596,MeanMinAge18))),0)</f>
        <v/>
      </c>
      <c r="AQ3545">
        <f>IF('01_Вводные'!$B$234="Да",IF(OR(('19_Расчет_аналитики'!AQ3461-'19_Расчет_аналитики'!AQ3489)=0,18&lt;='01_Вводные'!$B$297),0,('19_Расчет_аналитики'!AQ3461-'19_Расчет_аналитики'!AQ3489)*IF('01_Вводные'!$B$239="Да",MeanMinAge18+'19_Расчет_аналитики'!AQ3596*SUMIF(ThresholdAge18,"&lt;"&amp;'19_Расчет_аналитики'!AQ3596,WeightedRevAge18)-SUMIF(ThresholdAge18,"&lt;"&amp;'19_Расчет_аналитики'!AQ3596,WeightedMinAge18),MAX(CapacityAge18*'01_Вводные'!$B$218*'19_Расчет_аналитики'!AQ3596,MeanMinAge18))),0)</f>
        <v/>
      </c>
      <c r="AR3545">
        <f>IF('01_Вводные'!$B$234="Да",IF(OR(('19_Расчет_аналитики'!AR3461-'19_Расчет_аналитики'!AR3489)=0,18&lt;='01_Вводные'!$B$297),0,('19_Расчет_аналитики'!AR3461-'19_Расчет_аналитики'!AR3489)*IF('01_Вводные'!$B$239="Да",MeanMinAge18+'19_Расчет_аналитики'!AR3596*SUMIF(ThresholdAge18,"&lt;"&amp;'19_Расчет_аналитики'!AR3596,WeightedRevAge18)-SUMIF(ThresholdAge18,"&lt;"&amp;'19_Расчет_аналитики'!AR3596,WeightedMinAge18),MAX(CapacityAge18*'01_Вводные'!$B$218*'19_Расчет_аналитики'!AR3596,MeanMinAge18))),0)</f>
        <v/>
      </c>
      <c r="AS3545">
        <f>IF('01_Вводные'!$B$234="Да",IF(OR(('19_Расчет_аналитики'!AS3461-'19_Расчет_аналитики'!AS3489)=0,18&lt;='01_Вводные'!$B$297),0,('19_Расчет_аналитики'!AS3461-'19_Расчет_аналитики'!AS3489)*IF('01_Вводные'!$B$239="Да",MeanMinAge18+'19_Расчет_аналитики'!AS3596*SUMIF(ThresholdAge18,"&lt;"&amp;'19_Расчет_аналитики'!AS3596,WeightedRevAge18)-SUMIF(ThresholdAge18,"&lt;"&amp;'19_Расчет_аналитики'!AS3596,WeightedMinAge18),MAX(CapacityAge18*'01_Вводные'!$B$218*'19_Расчет_аналитики'!AS3596,MeanMinAge18))),0)</f>
        <v/>
      </c>
      <c r="AT3545">
        <f>IF('01_Вводные'!$B$234="Да",IF(OR(('19_Расчет_аналитики'!AT3461-'19_Расчет_аналитики'!AT3489)=0,18&lt;='01_Вводные'!$B$297),0,('19_Расчет_аналитики'!AT3461-'19_Расчет_аналитики'!AT3489)*IF('01_Вводные'!$B$239="Да",MeanMinAge18+'19_Расчет_аналитики'!AT3596*SUMIF(ThresholdAge18,"&lt;"&amp;'19_Расчет_аналитики'!AT3596,WeightedRevAge18)-SUMIF(ThresholdAge18,"&lt;"&amp;'19_Расчет_аналитики'!AT3596,WeightedMinAge18),MAX(CapacityAge18*'01_Вводные'!$B$218*'19_Расчет_аналитики'!AT3596,MeanMinAge18))),0)</f>
        <v/>
      </c>
      <c r="AU3545">
        <f>IF('01_Вводные'!$B$234="Да",IF(OR(('19_Расчет_аналитики'!AU3461-'19_Расчет_аналитики'!AU3489)=0,18&lt;='01_Вводные'!$B$297),0,('19_Расчет_аналитики'!AU3461-'19_Расчет_аналитики'!AU3489)*IF('01_Вводные'!$B$239="Да",MeanMinAge18+'19_Расчет_аналитики'!AU3596*SUMIF(ThresholdAge18,"&lt;"&amp;'19_Расчет_аналитики'!AU3596,WeightedRevAge18)-SUMIF(ThresholdAge18,"&lt;"&amp;'19_Расчет_аналитики'!AU3596,WeightedMinAge18),MAX(CapacityAge18*'01_Вводные'!$B$218*'19_Расчет_аналитики'!AU3596,MeanMinAge18))),0)</f>
        <v/>
      </c>
      <c r="AV3545">
        <f>IF('01_Вводные'!$B$234="Да",IF(OR(('19_Расчет_аналитики'!AV3461-'19_Расчет_аналитики'!AV3489)=0,18&lt;='01_Вводные'!$B$297),0,('19_Расчет_аналитики'!AV3461-'19_Расчет_аналитики'!AV3489)*IF('01_Вводные'!$B$239="Да",MeanMinAge18+'19_Расчет_аналитики'!AV3596*SUMIF(ThresholdAge18,"&lt;"&amp;'19_Расчет_аналитики'!AV3596,WeightedRevAge18)-SUMIF(ThresholdAge18,"&lt;"&amp;'19_Расчет_аналитики'!AV3596,WeightedMinAge18),MAX(CapacityAge18*'01_Вводные'!$B$218*'19_Расчет_аналитики'!AV3596,MeanMinAge18))),0)</f>
        <v/>
      </c>
      <c r="AW3545">
        <f>IF('01_Вводные'!$B$234="Да",IF(OR(('19_Расчет_аналитики'!AW3461-'19_Расчет_аналитики'!AW3489)=0,18&lt;='01_Вводные'!$B$297),0,('19_Расчет_аналитики'!AW3461-'19_Расчет_аналитики'!AW3489)*IF('01_Вводные'!$B$239="Да",MeanMinAge18+'19_Расчет_аналитики'!AW3596*SUMIF(ThresholdAge18,"&lt;"&amp;'19_Расчет_аналитики'!AW3596,WeightedRevAge18)-SUMIF(ThresholdAge18,"&lt;"&amp;'19_Расчет_аналитики'!AW3596,WeightedMinAge18),MAX(CapacityAge18*'01_Вводные'!$B$218*'19_Расчет_аналитики'!AW3596,MeanMinAge18))),0)</f>
        <v/>
      </c>
      <c r="AX3545">
        <f>IF('01_Вводные'!$B$234="Да",IF(OR(('19_Расчет_аналитики'!AX3461-'19_Расчет_аналитики'!AX3489)=0,18&lt;='01_Вводные'!$B$297),0,('19_Расчет_аналитики'!AX3461-'19_Расчет_аналитики'!AX3489)*IF('01_Вводные'!$B$239="Да",MeanMinAge18+'19_Расчет_аналитики'!AX3596*SUMIF(ThresholdAge18,"&lt;"&amp;'19_Расчет_аналитики'!AX3596,WeightedRevAge18)-SUMIF(ThresholdAge18,"&lt;"&amp;'19_Расчет_аналитики'!AX3596,WeightedMinAge18),MAX(CapacityAge18*'01_Вводные'!$B$218*'19_Расчет_аналитики'!AX3596,MeanMinAge18))),0)</f>
        <v/>
      </c>
      <c r="AY3545">
        <f>IF('01_Вводные'!$B$234="Да",IF(OR(('19_Расчет_аналитики'!AY3461-'19_Расчет_аналитики'!AY3489)=0,18&lt;='01_Вводные'!$B$297),0,('19_Расчет_аналитики'!AY3461-'19_Расчет_аналитики'!AY3489)*IF('01_Вводные'!$B$239="Да",MeanMinAge18+'19_Расчет_аналитики'!AY3596*SUMIF(ThresholdAge18,"&lt;"&amp;'19_Расчет_аналитики'!AY3596,WeightedRevAge18)-SUMIF(ThresholdAge18,"&lt;"&amp;'19_Расчет_аналитики'!AY3596,WeightedMinAge18),MAX(CapacityAge18*'01_Вводные'!$B$218*'19_Расчет_аналитики'!AY3596,MeanMinAge18))),0)</f>
        <v/>
      </c>
      <c r="AZ3545">
        <f>IF('01_Вводные'!$B$234="Да",IF(OR(('19_Расчет_аналитики'!AZ3461-'19_Расчет_аналитики'!AZ3489)=0,18&lt;='01_Вводные'!$B$297),0,('19_Расчет_аналитики'!AZ3461-'19_Расчет_аналитики'!AZ3489)*IF('01_Вводные'!$B$239="Да",MeanMinAge18+'19_Расчет_аналитики'!AZ3596*SUMIF(ThresholdAge18,"&lt;"&amp;'19_Расчет_аналитики'!AZ3596,WeightedRevAge18)-SUMIF(ThresholdAge18,"&lt;"&amp;'19_Расчет_аналитики'!AZ3596,WeightedMinAge18),MAX(CapacityAge18*'01_Вводные'!$B$218*'19_Расчет_аналитики'!AZ3596,MeanMinAge18))),0)</f>
        <v/>
      </c>
      <c r="BA3545">
        <f>IF('01_Вводные'!$B$234="Да",IF(OR(('19_Расчет_аналитики'!BA3461-'19_Расчет_аналитики'!BA3489)=0,18&lt;='01_Вводные'!$B$297),0,('19_Расчет_аналитики'!BA3461-'19_Расчет_аналитики'!BA3489)*IF('01_Вводные'!$B$239="Да",MeanMinAge18+'19_Расчет_аналитики'!BA3596*SUMIF(ThresholdAge18,"&lt;"&amp;'19_Расчет_аналитики'!BA3596,WeightedRevAge18)-SUMIF(ThresholdAge18,"&lt;"&amp;'19_Расчет_аналитики'!BA3596,WeightedMinAge18),MAX(CapacityAge18*'01_Вводные'!$B$218*'19_Расчет_аналитики'!BA3596,MeanMinAge18))),0)</f>
        <v/>
      </c>
      <c r="BB3545">
        <f>IF('01_Вводные'!$B$234="Да",IF(OR(('19_Расчет_аналитики'!BB3461-'19_Расчет_аналитики'!BB3489)=0,18&lt;='01_Вводные'!$B$297),0,('19_Расчет_аналитики'!BB3461-'19_Расчет_аналитики'!BB3489)*IF('01_Вводные'!$B$239="Да",MeanMinAge18+'19_Расчет_аналитики'!BB3596*SUMIF(ThresholdAge18,"&lt;"&amp;'19_Расчет_аналитики'!BB3596,WeightedRevAge18)-SUMIF(ThresholdAge18,"&lt;"&amp;'19_Расчет_аналитики'!BB3596,WeightedMinAge18),MAX(CapacityAge18*'01_Вводные'!$B$218*'19_Расчет_аналитики'!BB3596,MeanMinAge18))),0)</f>
        <v/>
      </c>
      <c r="BC3545">
        <f>IF('01_Вводные'!$B$234="Да",IF(OR(('19_Расчет_аналитики'!BC3461-'19_Расчет_аналитики'!BC3489)=0,18&lt;='01_Вводные'!$B$297),0,('19_Расчет_аналитики'!BC3461-'19_Расчет_аналитики'!BC3489)*IF('01_Вводные'!$B$239="Да",MeanMinAge18+'19_Расчет_аналитики'!BC3596*SUMIF(ThresholdAge18,"&lt;"&amp;'19_Расчет_аналитики'!BC3596,WeightedRevAge18)-SUMIF(ThresholdAge18,"&lt;"&amp;'19_Расчет_аналитики'!BC3596,WeightedMinAge18),MAX(CapacityAge18*'01_Вводные'!$B$218*'19_Расчет_аналитики'!BC3596,MeanMinAge18))),0)</f>
        <v/>
      </c>
      <c r="BD3545">
        <f>IF('01_Вводные'!$B$234="Да",IF(OR(('19_Расчет_аналитики'!BD3461-'19_Расчет_аналитики'!BD3489)=0,18&lt;='01_Вводные'!$B$297),0,('19_Расчет_аналитики'!BD3461-'19_Расчет_аналитики'!BD3489)*IF('01_Вводные'!$B$239="Да",MeanMinAge18+'19_Расчет_аналитики'!BD3596*SUMIF(ThresholdAge18,"&lt;"&amp;'19_Расчет_аналитики'!BD3596,WeightedRevAge18)-SUMIF(ThresholdAge18,"&lt;"&amp;'19_Расчет_аналитики'!BD3596,WeightedMinAge18),MAX(CapacityAge18*'01_Вводные'!$B$218*'19_Расчет_аналитики'!BD3596,MeanMinAge18))),0)</f>
        <v/>
      </c>
      <c r="BE3545">
        <f>IF('01_Вводные'!$B$234="Да",IF(OR(('19_Расчет_аналитики'!BE3461-'19_Расчет_аналитики'!BE3489)=0,18&lt;='01_Вводные'!$B$297),0,('19_Расчет_аналитики'!BE3461-'19_Расчет_аналитики'!BE3489)*IF('01_Вводные'!$B$239="Да",MeanMinAge18+'19_Расчет_аналитики'!BE3596*SUMIF(ThresholdAge18,"&lt;"&amp;'19_Расчет_аналитики'!BE3596,WeightedRevAge18)-SUMIF(ThresholdAge18,"&lt;"&amp;'19_Расчет_аналитики'!BE3596,WeightedMinAge18),MAX(CapacityAge18*'01_Вводные'!$B$218*'19_Расчет_аналитики'!BE3596,MeanMinAge18))),0)</f>
        <v/>
      </c>
      <c r="BF3545">
        <f>IF('01_Вводные'!$B$234="Да",IF(OR(('19_Расчет_аналитики'!BF3461-'19_Расчет_аналитики'!BF3489)=0,18&lt;='01_Вводные'!$B$297),0,('19_Расчет_аналитики'!BF3461-'19_Расчет_аналитики'!BF3489)*IF('01_Вводные'!$B$239="Да",MeanMinAge18+'19_Расчет_аналитики'!BF3596*SUMIF(ThresholdAge18,"&lt;"&amp;'19_Расчет_аналитики'!BF3596,WeightedRevAge18)-SUMIF(ThresholdAge18,"&lt;"&amp;'19_Расчет_аналитики'!BF3596,WeightedMinAge18),MAX(CapacityAge18*'01_Вводные'!$B$218*'19_Расчет_аналитики'!BF3596,MeanMinAge18))),0)</f>
        <v/>
      </c>
      <c r="BG3545">
        <f>IF('01_Вводные'!$B$234="Да",IF(OR(('19_Расчет_аналитики'!BG3461-'19_Расчет_аналитики'!BG3489)=0,18&lt;='01_Вводные'!$B$297),0,('19_Расчет_аналитики'!BG3461-'19_Расчет_аналитики'!BG3489)*IF('01_Вводные'!$B$239="Да",MeanMinAge18+'19_Расчет_аналитики'!BG3596*SUMIF(ThresholdAge18,"&lt;"&amp;'19_Расчет_аналитики'!BG3596,WeightedRevAge18)-SUMIF(ThresholdAge18,"&lt;"&amp;'19_Расчет_аналитики'!BG3596,WeightedMinAge18),MAX(CapacityAge18*'01_Вводные'!$B$218*'19_Расчет_аналитики'!BG3596,MeanMinAge18))),0)</f>
        <v/>
      </c>
      <c r="BH3545">
        <f>IF('01_Вводные'!$B$234="Да",IF(OR(('19_Расчет_аналитики'!BH3461-'19_Расчет_аналитики'!BH3489)=0,18&lt;='01_Вводные'!$B$297),0,('19_Расчет_аналитики'!BH3461-'19_Расчет_аналитики'!BH3489)*IF('01_Вводные'!$B$239="Да",MeanMinAge18+'19_Расчет_аналитики'!BH3596*SUMIF(ThresholdAge18,"&lt;"&amp;'19_Расчет_аналитики'!BH3596,WeightedRevAge18)-SUMIF(ThresholdAge18,"&lt;"&amp;'19_Расчет_аналитики'!BH3596,WeightedMinAge18),MAX(CapacityAge18*'01_Вводные'!$B$218*'19_Расчет_аналитики'!BH3596,MeanMinAge18))),0)</f>
        <v/>
      </c>
      <c r="BI3545">
        <f>IF('01_Вводные'!$B$234="Да",IF(OR(('19_Расчет_аналитики'!BI3461-'19_Расчет_аналитики'!BI3489)=0,18&lt;='01_Вводные'!$B$297),0,('19_Расчет_аналитики'!BI3461-'19_Расчет_аналитики'!BI3489)*IF('01_Вводные'!$B$239="Да",MeanMinAge18+'19_Расчет_аналитики'!BI3596*SUMIF(ThresholdAge18,"&lt;"&amp;'19_Расчет_аналитики'!BI3596,WeightedRevAge18)-SUMIF(ThresholdAge18,"&lt;"&amp;'19_Расчет_аналитики'!BI3596,WeightedMinAge18),MAX(CapacityAge18*'01_Вводные'!$B$218*'19_Расчет_аналитики'!BI3596,MeanMinAge18))),0)</f>
        <v/>
      </c>
      <c r="BJ3545">
        <f>IF('01_Вводные'!$B$234="Да",IF(OR(('19_Расчет_аналитики'!BJ3461-'19_Расчет_аналитики'!BJ3489)=0,18&lt;='01_Вводные'!$B$297),0,('19_Расчет_аналитики'!BJ3461-'19_Расчет_аналитики'!BJ3489)*IF('01_Вводные'!$B$239="Да",MeanMinAge18+'19_Расчет_аналитики'!BJ3596*SUMIF(ThresholdAge18,"&lt;"&amp;'19_Расчет_аналитики'!BJ3596,WeightedRevAge18)-SUMIF(ThresholdAge18,"&lt;"&amp;'19_Расчет_аналитики'!BJ3596,WeightedMinAge18),MAX(CapacityAge18*'01_Вводные'!$B$218*'19_Расчет_аналитики'!BJ3596,MeanMinAge18))),0)</f>
        <v/>
      </c>
      <c r="BK3545">
        <f>IF('01_Вводные'!$B$234="Да",IF(OR(('19_Расчет_аналитики'!BK3461-'19_Расчет_аналитики'!BK3489)=0,18&lt;='01_Вводные'!$B$297),0,('19_Расчет_аналитики'!BK3461-'19_Расчет_аналитики'!BK3489)*IF('01_Вводные'!$B$239="Да",MeanMinAge18+'19_Расчет_аналитики'!BK3596*SUMIF(ThresholdAge18,"&lt;"&amp;'19_Расчет_аналитики'!BK3596,WeightedRevAge18)-SUMIF(ThresholdAge18,"&lt;"&amp;'19_Расчет_аналитики'!BK3596,WeightedMinAge18),MAX(CapacityAge18*'01_Вводные'!$B$218*'19_Расчет_аналитики'!BK3596,MeanMinAge18))),0)</f>
        <v/>
      </c>
      <c r="BL3545">
        <f>IF('01_Вводные'!$B$234="Да",IF(OR(('19_Расчет_аналитики'!BL3461-'19_Расчет_аналитики'!BL3489)=0,18&lt;='01_Вводные'!$B$297),0,('19_Расчет_аналитики'!BL3461-'19_Расчет_аналитики'!BL3489)*IF('01_Вводные'!$B$239="Да",MeanMinAge18+'19_Расчет_аналитики'!BL3596*SUMIF(ThresholdAge18,"&lt;"&amp;'19_Расчет_аналитики'!BL3596,WeightedRevAge18)-SUMIF(ThresholdAge18,"&lt;"&amp;'19_Расчет_аналитики'!BL3596,WeightedMinAge18),MAX(CapacityAge18*'01_Вводные'!$B$218*'19_Расчет_аналитики'!BL3596,MeanMinAge18))),0)</f>
        <v/>
      </c>
      <c r="BM3545">
        <f>IF('01_Вводные'!$B$234="Да",IF(OR(('19_Расчет_аналитики'!BM3461-'19_Расчет_аналитики'!BM3489)=0,18&lt;='01_Вводные'!$B$297),0,('19_Расчет_аналитики'!BM3461-'19_Расчет_аналитики'!BM3489)*IF('01_Вводные'!$B$239="Да",MeanMinAge18+'19_Расчет_аналитики'!BM3596*SUMIF(ThresholdAge18,"&lt;"&amp;'19_Расчет_аналитики'!BM3596,WeightedRevAge18)-SUMIF(ThresholdAge18,"&lt;"&amp;'19_Расчет_аналитики'!BM3596,WeightedMinAge18),MAX(CapacityAge18*'01_Вводные'!$B$218*'19_Расчет_аналитики'!BM3596,MeanMinAge18))),0)</f>
        <v/>
      </c>
      <c r="BN3545">
        <f>IF('01_Вводные'!$B$234="Да",IF(OR(('19_Расчет_аналитики'!BN3461-'19_Расчет_аналитики'!BN3489)=0,18&lt;='01_Вводные'!$B$297),0,('19_Расчет_аналитики'!BN3461-'19_Расчет_аналитики'!BN3489)*IF('01_Вводные'!$B$239="Да",MeanMinAge18+'19_Расчет_аналитики'!BN3596*SUMIF(ThresholdAge18,"&lt;"&amp;'19_Расчет_аналитики'!BN3596,WeightedRevAge18)-SUMIF(ThresholdAge18,"&lt;"&amp;'19_Расчет_аналитики'!BN3596,WeightedMinAge18),MAX(CapacityAge18*'01_Вводные'!$B$218*'19_Расчет_аналитики'!BN3596,MeanMinAge18))),0)</f>
        <v/>
      </c>
      <c r="BO3545">
        <f>IF('01_Вводные'!$B$234="Да",IF(OR(('19_Расчет_аналитики'!BO3461-'19_Расчет_аналитики'!BO3489)=0,18&lt;='01_Вводные'!$B$297),0,('19_Расчет_аналитики'!BO3461-'19_Расчет_аналитики'!BO3489)*IF('01_Вводные'!$B$239="Да",MeanMinAge18+'19_Расчет_аналитики'!BO3596*SUMIF(ThresholdAge18,"&lt;"&amp;'19_Расчет_аналитики'!BO3596,WeightedRevAge18)-SUMIF(ThresholdAge18,"&lt;"&amp;'19_Расчет_аналитики'!BO3596,WeightedMinAge18),MAX(CapacityAge18*'01_Вводные'!$B$218*'19_Расчет_аналитики'!BO3596,MeanMinAge18))),0)</f>
        <v/>
      </c>
    </row>
    <row r="3546">
      <c r="B3546">
        <f>IF('01_Вводные'!$B$234="Да",IF(OR(('06_Сеть_и_дети'!B71-'06_Сеть_и_дети'!B99)=0,19&lt;='01_Вводные'!$B$297),0,('06_Сеть_и_дети'!B71-'06_Сеть_и_дети'!B99)*IF('01_Вводные'!$B$239="Да",MeanMinAge19+'19_Расчет_аналитики'!B3596*SUMIF(ThresholdAge19,"&lt;"&amp;'19_Расчет_аналитики'!B3596,WeightedRevAge19)-SUMIF(ThresholdAge19,"&lt;"&amp;'19_Расчет_аналитики'!B3596,WeightedMinAge19),MAX(CapacityAge19*'01_Вводные'!$B$218*'19_Расчет_аналитики'!B3596,MeanMinAge19))),0)</f>
        <v/>
      </c>
      <c r="C3546">
        <f>IF('01_Вводные'!$B$234="Да",IF(OR(('06_Сеть_и_дети'!C71-'06_Сеть_и_дети'!C99)=0,19&lt;='01_Вводные'!$B$297),0,('06_Сеть_и_дети'!C71-'06_Сеть_и_дети'!C99)*IF('01_Вводные'!$B$239="Да",MeanMinAge19+'19_Расчет_аналитики'!C3596*SUMIF(ThresholdAge19,"&lt;"&amp;'19_Расчет_аналитики'!C3596,WeightedRevAge19)-SUMIF(ThresholdAge19,"&lt;"&amp;'19_Расчет_аналитики'!C3596,WeightedMinAge19),MAX(CapacityAge19*'01_Вводные'!$B$218*'19_Расчет_аналитики'!C3596,MeanMinAge19))),0)</f>
        <v/>
      </c>
      <c r="D3546">
        <f>IF('01_Вводные'!$B$234="Да",IF(OR(('06_Сеть_и_дети'!D71-'06_Сеть_и_дети'!D99)=0,19&lt;='01_Вводные'!$B$297),0,('06_Сеть_и_дети'!D71-'06_Сеть_и_дети'!D99)*IF('01_Вводные'!$B$239="Да",MeanMinAge19+'19_Расчет_аналитики'!D3596*SUMIF(ThresholdAge19,"&lt;"&amp;'19_Расчет_аналитики'!D3596,WeightedRevAge19)-SUMIF(ThresholdAge19,"&lt;"&amp;'19_Расчет_аналитики'!D3596,WeightedMinAge19),MAX(CapacityAge19*'01_Вводные'!$B$218*'19_Расчет_аналитики'!D3596,MeanMinAge19))),0)</f>
        <v/>
      </c>
      <c r="E3546">
        <f>IF('01_Вводные'!$B$234="Да",IF(OR(('06_Сеть_и_дети'!E71-'06_Сеть_и_дети'!E99)=0,19&lt;='01_Вводные'!$B$297),0,('06_Сеть_и_дети'!E71-'06_Сеть_и_дети'!E99)*IF('01_Вводные'!$B$239="Да",MeanMinAge19+'19_Расчет_аналитики'!E3596*SUMIF(ThresholdAge19,"&lt;"&amp;'19_Расчет_аналитики'!E3596,WeightedRevAge19)-SUMIF(ThresholdAge19,"&lt;"&amp;'19_Расчет_аналитики'!E3596,WeightedMinAge19),MAX(CapacityAge19*'01_Вводные'!$B$218*'19_Расчет_аналитики'!E3596,MeanMinAge19))),0)</f>
        <v/>
      </c>
      <c r="F3546">
        <f>IF('01_Вводные'!$B$234="Да",IF(OR(('06_Сеть_и_дети'!F71-'06_Сеть_и_дети'!F99)=0,19&lt;='01_Вводные'!$B$297),0,('06_Сеть_и_дети'!F71-'06_Сеть_и_дети'!F99)*IF('01_Вводные'!$B$239="Да",MeanMinAge19+'19_Расчет_аналитики'!F3596*SUMIF(ThresholdAge19,"&lt;"&amp;'19_Расчет_аналитики'!F3596,WeightedRevAge19)-SUMIF(ThresholdAge19,"&lt;"&amp;'19_Расчет_аналитики'!F3596,WeightedMinAge19),MAX(CapacityAge19*'01_Вводные'!$B$218*'19_Расчет_аналитики'!F3596,MeanMinAge19))),0)</f>
        <v/>
      </c>
      <c r="G3546">
        <f>IF('01_Вводные'!$B$234="Да",IF(OR(('06_Сеть_и_дети'!G71-'06_Сеть_и_дети'!G99)=0,19&lt;='01_Вводные'!$B$297),0,('06_Сеть_и_дети'!G71-'06_Сеть_и_дети'!G99)*IF('01_Вводные'!$B$239="Да",MeanMinAge19+'19_Расчет_аналитики'!G3596*SUMIF(ThresholdAge19,"&lt;"&amp;'19_Расчет_аналитики'!G3596,WeightedRevAge19)-SUMIF(ThresholdAge19,"&lt;"&amp;'19_Расчет_аналитики'!G3596,WeightedMinAge19),MAX(CapacityAge19*'01_Вводные'!$B$218*'19_Расчет_аналитики'!G3596,MeanMinAge19))),0)</f>
        <v/>
      </c>
      <c r="H3546">
        <f>IF('01_Вводные'!$B$234="Да",IF(OR(('06_Сеть_и_дети'!H71-'06_Сеть_и_дети'!H99)=0,19&lt;='01_Вводные'!$B$297),0,('06_Сеть_и_дети'!H71-'06_Сеть_и_дети'!H99)*IF('01_Вводные'!$B$239="Да",MeanMinAge19+'19_Расчет_аналитики'!H3596*SUMIF(ThresholdAge19,"&lt;"&amp;'19_Расчет_аналитики'!H3596,WeightedRevAge19)-SUMIF(ThresholdAge19,"&lt;"&amp;'19_Расчет_аналитики'!H3596,WeightedMinAge19),MAX(CapacityAge19*'01_Вводные'!$B$218*'19_Расчет_аналитики'!H3596,MeanMinAge19))),0)</f>
        <v/>
      </c>
      <c r="I3546">
        <f>IF('01_Вводные'!$B$234="Да",IF(OR(('06_Сеть_и_дети'!I71-'06_Сеть_и_дети'!I99)=0,19&lt;='01_Вводные'!$B$297),0,('06_Сеть_и_дети'!I71-'06_Сеть_и_дети'!I99)*IF('01_Вводные'!$B$239="Да",MeanMinAge19+'19_Расчет_аналитики'!I3596*SUMIF(ThresholdAge19,"&lt;"&amp;'19_Расчет_аналитики'!I3596,WeightedRevAge19)-SUMIF(ThresholdAge19,"&lt;"&amp;'19_Расчет_аналитики'!I3596,WeightedMinAge19),MAX(CapacityAge19*'01_Вводные'!$B$218*'19_Расчет_аналитики'!I3596,MeanMinAge19))),0)</f>
        <v/>
      </c>
      <c r="J3546">
        <f>IF('01_Вводные'!$B$234="Да",IF(OR(('06_Сеть_и_дети'!J71-'06_Сеть_и_дети'!J99)=0,19&lt;='01_Вводные'!$B$297),0,('06_Сеть_и_дети'!J71-'06_Сеть_и_дети'!J99)*IF('01_Вводные'!$B$239="Да",MeanMinAge19+'19_Расчет_аналитики'!J3596*SUMIF(ThresholdAge19,"&lt;"&amp;'19_Расчет_аналитики'!J3596,WeightedRevAge19)-SUMIF(ThresholdAge19,"&lt;"&amp;'19_Расчет_аналитики'!J3596,WeightedMinAge19),MAX(CapacityAge19*'01_Вводные'!$B$218*'19_Расчет_аналитики'!J3596,MeanMinAge19))),0)</f>
        <v/>
      </c>
      <c r="K3546">
        <f>IF('01_Вводные'!$B$234="Да",IF(OR(('06_Сеть_и_дети'!K71-'06_Сеть_и_дети'!K99)=0,19&lt;='01_Вводные'!$B$297),0,('06_Сеть_и_дети'!K71-'06_Сеть_и_дети'!K99)*IF('01_Вводные'!$B$239="Да",MeanMinAge19+'19_Расчет_аналитики'!K3596*SUMIF(ThresholdAge19,"&lt;"&amp;'19_Расчет_аналитики'!K3596,WeightedRevAge19)-SUMIF(ThresholdAge19,"&lt;"&amp;'19_Расчет_аналитики'!K3596,WeightedMinAge19),MAX(CapacityAge19*'01_Вводные'!$B$218*'19_Расчет_аналитики'!K3596,MeanMinAge19))),0)</f>
        <v/>
      </c>
      <c r="L3546">
        <f>IF('01_Вводные'!$B$234="Да",IF(OR(('06_Сеть_и_дети'!L71-'06_Сеть_и_дети'!L99)=0,19&lt;='01_Вводные'!$B$297),0,('06_Сеть_и_дети'!L71-'06_Сеть_и_дети'!L99)*IF('01_Вводные'!$B$239="Да",MeanMinAge19+'19_Расчет_аналитики'!L3596*SUMIF(ThresholdAge19,"&lt;"&amp;'19_Расчет_аналитики'!L3596,WeightedRevAge19)-SUMIF(ThresholdAge19,"&lt;"&amp;'19_Расчет_аналитики'!L3596,WeightedMinAge19),MAX(CapacityAge19*'01_Вводные'!$B$218*'19_Расчет_аналитики'!L3596,MeanMinAge19))),0)</f>
        <v/>
      </c>
      <c r="M3546">
        <f>IF('01_Вводные'!$B$234="Да",IF(OR(('06_Сеть_и_дети'!M71-'06_Сеть_и_дети'!M99)=0,19&lt;='01_Вводные'!$B$297),0,('06_Сеть_и_дети'!M71-'06_Сеть_и_дети'!M99)*IF('01_Вводные'!$B$239="Да",MeanMinAge19+'19_Расчет_аналитики'!M3596*SUMIF(ThresholdAge19,"&lt;"&amp;'19_Расчет_аналитики'!M3596,WeightedRevAge19)-SUMIF(ThresholdAge19,"&lt;"&amp;'19_Расчет_аналитики'!M3596,WeightedMinAge19),MAX(CapacityAge19*'01_Вводные'!$B$218*'19_Расчет_аналитики'!M3596,MeanMinAge19))),0)</f>
        <v/>
      </c>
      <c r="N3546">
        <f>IF('01_Вводные'!$B$234="Да",IF(OR(('06_Сеть_и_дети'!N71-'06_Сеть_и_дети'!N99)=0,19&lt;='01_Вводные'!$B$297),0,('06_Сеть_и_дети'!N71-'06_Сеть_и_дети'!N99)*IF('01_Вводные'!$B$239="Да",MeanMinAge19+'19_Расчет_аналитики'!N3596*SUMIF(ThresholdAge19,"&lt;"&amp;'19_Расчет_аналитики'!N3596,WeightedRevAge19)-SUMIF(ThresholdAge19,"&lt;"&amp;'19_Расчет_аналитики'!N3596,WeightedMinAge19),MAX(CapacityAge19*'01_Вводные'!$B$218*'19_Расчет_аналитики'!N3596,MeanMinAge19))),0)</f>
        <v/>
      </c>
      <c r="O3546">
        <f>IF('01_Вводные'!$B$234="Да",IF(OR(('06_Сеть_и_дети'!O71-'06_Сеть_и_дети'!O99)=0,19&lt;='01_Вводные'!$B$297),0,('06_Сеть_и_дети'!O71-'06_Сеть_и_дети'!O99)*IF('01_Вводные'!$B$239="Да",MeanMinAge19+'19_Расчет_аналитики'!O3596*SUMIF(ThresholdAge19,"&lt;"&amp;'19_Расчет_аналитики'!O3596,WeightedRevAge19)-SUMIF(ThresholdAge19,"&lt;"&amp;'19_Расчет_аналитики'!O3596,WeightedMinAge19),MAX(CapacityAge19*'01_Вводные'!$B$218*'19_Расчет_аналитики'!O3596,MeanMinAge19))),0)</f>
        <v/>
      </c>
      <c r="P3546">
        <f>IF('01_Вводные'!$B$234="Да",IF(OR(('06_Сеть_и_дети'!P71-'06_Сеть_и_дети'!P99)=0,19&lt;='01_Вводные'!$B$297),0,('06_Сеть_и_дети'!P71-'06_Сеть_и_дети'!P99)*IF('01_Вводные'!$B$239="Да",MeanMinAge19+'19_Расчет_аналитики'!P3596*SUMIF(ThresholdAge19,"&lt;"&amp;'19_Расчет_аналитики'!P3596,WeightedRevAge19)-SUMIF(ThresholdAge19,"&lt;"&amp;'19_Расчет_аналитики'!P3596,WeightedMinAge19),MAX(CapacityAge19*'01_Вводные'!$B$218*'19_Расчет_аналитики'!P3596,MeanMinAge19))),0)</f>
        <v/>
      </c>
      <c r="Q3546">
        <f>IF('01_Вводные'!$B$234="Да",IF(OR(('06_Сеть_и_дети'!Q71-'06_Сеть_и_дети'!Q99)=0,19&lt;='01_Вводные'!$B$297),0,('06_Сеть_и_дети'!Q71-'06_Сеть_и_дети'!Q99)*IF('01_Вводные'!$B$239="Да",MeanMinAge19+'19_Расчет_аналитики'!Q3596*SUMIF(ThresholdAge19,"&lt;"&amp;'19_Расчет_аналитики'!Q3596,WeightedRevAge19)-SUMIF(ThresholdAge19,"&lt;"&amp;'19_Расчет_аналитики'!Q3596,WeightedMinAge19),MAX(CapacityAge19*'01_Вводные'!$B$218*'19_Расчет_аналитики'!Q3596,MeanMinAge19))),0)</f>
        <v/>
      </c>
      <c r="R3546">
        <f>IF('01_Вводные'!$B$234="Да",IF(OR(('06_Сеть_и_дети'!R71-'06_Сеть_и_дети'!R99)=0,19&lt;='01_Вводные'!$B$297),0,('06_Сеть_и_дети'!R71-'06_Сеть_и_дети'!R99)*IF('01_Вводные'!$B$239="Да",MeanMinAge19+'19_Расчет_аналитики'!R3596*SUMIF(ThresholdAge19,"&lt;"&amp;'19_Расчет_аналитики'!R3596,WeightedRevAge19)-SUMIF(ThresholdAge19,"&lt;"&amp;'19_Расчет_аналитики'!R3596,WeightedMinAge19),MAX(CapacityAge19*'01_Вводные'!$B$218*'19_Расчет_аналитики'!R3596,MeanMinAge19))),0)</f>
        <v/>
      </c>
      <c r="S3546">
        <f>IF('01_Вводные'!$B$234="Да",IF(OR(('06_Сеть_и_дети'!S71-'06_Сеть_и_дети'!S99)=0,19&lt;='01_Вводные'!$B$297),0,('06_Сеть_и_дети'!S71-'06_Сеть_и_дети'!S99)*IF('01_Вводные'!$B$239="Да",MeanMinAge19+'19_Расчет_аналитики'!S3596*SUMIF(ThresholdAge19,"&lt;"&amp;'19_Расчет_аналитики'!S3596,WeightedRevAge19)-SUMIF(ThresholdAge19,"&lt;"&amp;'19_Расчет_аналитики'!S3596,WeightedMinAge19),MAX(CapacityAge19*'01_Вводные'!$B$218*'19_Расчет_аналитики'!S3596,MeanMinAge19))),0)</f>
        <v/>
      </c>
      <c r="T3546">
        <f>IF('01_Вводные'!$B$234="Да",IF(OR(('19_Расчет_аналитики'!T3462-'19_Расчет_аналитики'!T3490)=0,19&lt;='01_Вводные'!$B$297),0,('19_Расчет_аналитики'!T3462-'19_Расчет_аналитики'!T3490)*IF('01_Вводные'!$B$239="Да",MeanMinAge19+'19_Расчет_аналитики'!T3596*SUMIF(ThresholdAge19,"&lt;"&amp;'19_Расчет_аналитики'!T3596,WeightedRevAge19)-SUMIF(ThresholdAge19,"&lt;"&amp;'19_Расчет_аналитики'!T3596,WeightedMinAge19),MAX(CapacityAge19*'01_Вводные'!$B$218*'19_Расчет_аналитики'!T3596,MeanMinAge19))),0)</f>
        <v/>
      </c>
      <c r="U3546">
        <f>IF('01_Вводные'!$B$234="Да",IF(OR(('19_Расчет_аналитики'!U3462-'19_Расчет_аналитики'!U3490)=0,19&lt;='01_Вводные'!$B$297),0,('19_Расчет_аналитики'!U3462-'19_Расчет_аналитики'!U3490)*IF('01_Вводные'!$B$239="Да",MeanMinAge19+'19_Расчет_аналитики'!U3596*SUMIF(ThresholdAge19,"&lt;"&amp;'19_Расчет_аналитики'!U3596,WeightedRevAge19)-SUMIF(ThresholdAge19,"&lt;"&amp;'19_Расчет_аналитики'!U3596,WeightedMinAge19),MAX(CapacityAge19*'01_Вводные'!$B$218*'19_Расчет_аналитики'!U3596,MeanMinAge19))),0)</f>
        <v/>
      </c>
      <c r="V3546">
        <f>IF('01_Вводные'!$B$234="Да",IF(OR(('19_Расчет_аналитики'!V3462-'19_Расчет_аналитики'!V3490)=0,19&lt;='01_Вводные'!$B$297),0,('19_Расчет_аналитики'!V3462-'19_Расчет_аналитики'!V3490)*IF('01_Вводные'!$B$239="Да",MeanMinAge19+'19_Расчет_аналитики'!V3596*SUMIF(ThresholdAge19,"&lt;"&amp;'19_Расчет_аналитики'!V3596,WeightedRevAge19)-SUMIF(ThresholdAge19,"&lt;"&amp;'19_Расчет_аналитики'!V3596,WeightedMinAge19),MAX(CapacityAge19*'01_Вводные'!$B$218*'19_Расчет_аналитики'!V3596,MeanMinAge19))),0)</f>
        <v/>
      </c>
      <c r="W3546">
        <f>IF('01_Вводные'!$B$234="Да",IF(OR(('19_Расчет_аналитики'!W3462-'19_Расчет_аналитики'!W3490)=0,19&lt;='01_Вводные'!$B$297),0,('19_Расчет_аналитики'!W3462-'19_Расчет_аналитики'!W3490)*IF('01_Вводные'!$B$239="Да",MeanMinAge19+'19_Расчет_аналитики'!W3596*SUMIF(ThresholdAge19,"&lt;"&amp;'19_Расчет_аналитики'!W3596,WeightedRevAge19)-SUMIF(ThresholdAge19,"&lt;"&amp;'19_Расчет_аналитики'!W3596,WeightedMinAge19),MAX(CapacityAge19*'01_Вводные'!$B$218*'19_Расчет_аналитики'!W3596,MeanMinAge19))),0)</f>
        <v/>
      </c>
      <c r="X3546">
        <f>IF('01_Вводные'!$B$234="Да",IF(OR(('19_Расчет_аналитики'!X3462-'19_Расчет_аналитики'!X3490)=0,19&lt;='01_Вводные'!$B$297),0,('19_Расчет_аналитики'!X3462-'19_Расчет_аналитики'!X3490)*IF('01_Вводные'!$B$239="Да",MeanMinAge19+'19_Расчет_аналитики'!X3596*SUMIF(ThresholdAge19,"&lt;"&amp;'19_Расчет_аналитики'!X3596,WeightedRevAge19)-SUMIF(ThresholdAge19,"&lt;"&amp;'19_Расчет_аналитики'!X3596,WeightedMinAge19),MAX(CapacityAge19*'01_Вводные'!$B$218*'19_Расчет_аналитики'!X3596,MeanMinAge19))),0)</f>
        <v/>
      </c>
      <c r="Y3546">
        <f>IF('01_Вводные'!$B$234="Да",IF(OR(('19_Расчет_аналитики'!Y3462-'19_Расчет_аналитики'!Y3490)=0,19&lt;='01_Вводные'!$B$297),0,('19_Расчет_аналитики'!Y3462-'19_Расчет_аналитики'!Y3490)*IF('01_Вводные'!$B$239="Да",MeanMinAge19+'19_Расчет_аналитики'!Y3596*SUMIF(ThresholdAge19,"&lt;"&amp;'19_Расчет_аналитики'!Y3596,WeightedRevAge19)-SUMIF(ThresholdAge19,"&lt;"&amp;'19_Расчет_аналитики'!Y3596,WeightedMinAge19),MAX(CapacityAge19*'01_Вводные'!$B$218*'19_Расчет_аналитики'!Y3596,MeanMinAge19))),0)</f>
        <v/>
      </c>
      <c r="Z3546">
        <f>IF('01_Вводные'!$B$234="Да",IF(OR(('19_Расчет_аналитики'!Z3462-'19_Расчет_аналитики'!Z3490)=0,19&lt;='01_Вводные'!$B$297),0,('19_Расчет_аналитики'!Z3462-'19_Расчет_аналитики'!Z3490)*IF('01_Вводные'!$B$239="Да",MeanMinAge19+'19_Расчет_аналитики'!Z3596*SUMIF(ThresholdAge19,"&lt;"&amp;'19_Расчет_аналитики'!Z3596,WeightedRevAge19)-SUMIF(ThresholdAge19,"&lt;"&amp;'19_Расчет_аналитики'!Z3596,WeightedMinAge19),MAX(CapacityAge19*'01_Вводные'!$B$218*'19_Расчет_аналитики'!Z3596,MeanMinAge19))),0)</f>
        <v/>
      </c>
      <c r="AA3546">
        <f>IF('01_Вводные'!$B$234="Да",IF(OR(('19_Расчет_аналитики'!AA3462-'19_Расчет_аналитики'!AA3490)=0,19&lt;='01_Вводные'!$B$297),0,('19_Расчет_аналитики'!AA3462-'19_Расчет_аналитики'!AA3490)*IF('01_Вводные'!$B$239="Да",MeanMinAge19+'19_Расчет_аналитики'!AA3596*SUMIF(ThresholdAge19,"&lt;"&amp;'19_Расчет_аналитики'!AA3596,WeightedRevAge19)-SUMIF(ThresholdAge19,"&lt;"&amp;'19_Расчет_аналитики'!AA3596,WeightedMinAge19),MAX(CapacityAge19*'01_Вводные'!$B$218*'19_Расчет_аналитики'!AA3596,MeanMinAge19))),0)</f>
        <v/>
      </c>
      <c r="AB3546">
        <f>IF('01_Вводные'!$B$234="Да",IF(OR(('19_Расчет_аналитики'!AB3462-'19_Расчет_аналитики'!AB3490)=0,19&lt;='01_Вводные'!$B$297),0,('19_Расчет_аналитики'!AB3462-'19_Расчет_аналитики'!AB3490)*IF('01_Вводные'!$B$239="Да",MeanMinAge19+'19_Расчет_аналитики'!AB3596*SUMIF(ThresholdAge19,"&lt;"&amp;'19_Расчет_аналитики'!AB3596,WeightedRevAge19)-SUMIF(ThresholdAge19,"&lt;"&amp;'19_Расчет_аналитики'!AB3596,WeightedMinAge19),MAX(CapacityAge19*'01_Вводные'!$B$218*'19_Расчет_аналитики'!AB3596,MeanMinAge19))),0)</f>
        <v/>
      </c>
      <c r="AC3546">
        <f>IF('01_Вводные'!$B$234="Да",IF(OR(('19_Расчет_аналитики'!AC3462-'19_Расчет_аналитики'!AC3490)=0,19&lt;='01_Вводные'!$B$297),0,('19_Расчет_аналитики'!AC3462-'19_Расчет_аналитики'!AC3490)*IF('01_Вводные'!$B$239="Да",MeanMinAge19+'19_Расчет_аналитики'!AC3596*SUMIF(ThresholdAge19,"&lt;"&amp;'19_Расчет_аналитики'!AC3596,WeightedRevAge19)-SUMIF(ThresholdAge19,"&lt;"&amp;'19_Расчет_аналитики'!AC3596,WeightedMinAge19),MAX(CapacityAge19*'01_Вводные'!$B$218*'19_Расчет_аналитики'!AC3596,MeanMinAge19))),0)</f>
        <v/>
      </c>
      <c r="AD3546">
        <f>IF('01_Вводные'!$B$234="Да",IF(OR(('19_Расчет_аналитики'!AD3462-'19_Расчет_аналитики'!AD3490)=0,19&lt;='01_Вводные'!$B$297),0,('19_Расчет_аналитики'!AD3462-'19_Расчет_аналитики'!AD3490)*IF('01_Вводные'!$B$239="Да",MeanMinAge19+'19_Расчет_аналитики'!AD3596*SUMIF(ThresholdAge19,"&lt;"&amp;'19_Расчет_аналитики'!AD3596,WeightedRevAge19)-SUMIF(ThresholdAge19,"&lt;"&amp;'19_Расчет_аналитики'!AD3596,WeightedMinAge19),MAX(CapacityAge19*'01_Вводные'!$B$218*'19_Расчет_аналитики'!AD3596,MeanMinAge19))),0)</f>
        <v/>
      </c>
      <c r="AE3546">
        <f>IF('01_Вводные'!$B$234="Да",IF(OR(('19_Расчет_аналитики'!AE3462-'19_Расчет_аналитики'!AE3490)=0,19&lt;='01_Вводные'!$B$297),0,('19_Расчет_аналитики'!AE3462-'19_Расчет_аналитики'!AE3490)*IF('01_Вводные'!$B$239="Да",MeanMinAge19+'19_Расчет_аналитики'!AE3596*SUMIF(ThresholdAge19,"&lt;"&amp;'19_Расчет_аналитики'!AE3596,WeightedRevAge19)-SUMIF(ThresholdAge19,"&lt;"&amp;'19_Расчет_аналитики'!AE3596,WeightedMinAge19),MAX(CapacityAge19*'01_Вводные'!$B$218*'19_Расчет_аналитики'!AE3596,MeanMinAge19))),0)</f>
        <v/>
      </c>
      <c r="AF3546">
        <f>IF('01_Вводные'!$B$234="Да",IF(OR(('19_Расчет_аналитики'!AF3462-'19_Расчет_аналитики'!AF3490)=0,19&lt;='01_Вводные'!$B$297),0,('19_Расчет_аналитики'!AF3462-'19_Расчет_аналитики'!AF3490)*IF('01_Вводные'!$B$239="Да",MeanMinAge19+'19_Расчет_аналитики'!AF3596*SUMIF(ThresholdAge19,"&lt;"&amp;'19_Расчет_аналитики'!AF3596,WeightedRevAge19)-SUMIF(ThresholdAge19,"&lt;"&amp;'19_Расчет_аналитики'!AF3596,WeightedMinAge19),MAX(CapacityAge19*'01_Вводные'!$B$218*'19_Расчет_аналитики'!AF3596,MeanMinAge19))),0)</f>
        <v/>
      </c>
      <c r="AG3546">
        <f>IF('01_Вводные'!$B$234="Да",IF(OR(('19_Расчет_аналитики'!AG3462-'19_Расчет_аналитики'!AG3490)=0,19&lt;='01_Вводные'!$B$297),0,('19_Расчет_аналитики'!AG3462-'19_Расчет_аналитики'!AG3490)*IF('01_Вводные'!$B$239="Да",MeanMinAge19+'19_Расчет_аналитики'!AG3596*SUMIF(ThresholdAge19,"&lt;"&amp;'19_Расчет_аналитики'!AG3596,WeightedRevAge19)-SUMIF(ThresholdAge19,"&lt;"&amp;'19_Расчет_аналитики'!AG3596,WeightedMinAge19),MAX(CapacityAge19*'01_Вводные'!$B$218*'19_Расчет_аналитики'!AG3596,MeanMinAge19))),0)</f>
        <v/>
      </c>
      <c r="AH3546">
        <f>IF('01_Вводные'!$B$234="Да",IF(OR(('19_Расчет_аналитики'!AH3462-'19_Расчет_аналитики'!AH3490)=0,19&lt;='01_Вводные'!$B$297),0,('19_Расчет_аналитики'!AH3462-'19_Расчет_аналитики'!AH3490)*IF('01_Вводные'!$B$239="Да",MeanMinAge19+'19_Расчет_аналитики'!AH3596*SUMIF(ThresholdAge19,"&lt;"&amp;'19_Расчет_аналитики'!AH3596,WeightedRevAge19)-SUMIF(ThresholdAge19,"&lt;"&amp;'19_Расчет_аналитики'!AH3596,WeightedMinAge19),MAX(CapacityAge19*'01_Вводные'!$B$218*'19_Расчет_аналитики'!AH3596,MeanMinAge19))),0)</f>
        <v/>
      </c>
      <c r="AI3546">
        <f>IF('01_Вводные'!$B$234="Да",IF(OR(('19_Расчет_аналитики'!AI3462-'19_Расчет_аналитики'!AI3490)=0,19&lt;='01_Вводные'!$B$297),0,('19_Расчет_аналитики'!AI3462-'19_Расчет_аналитики'!AI3490)*IF('01_Вводные'!$B$239="Да",MeanMinAge19+'19_Расчет_аналитики'!AI3596*SUMIF(ThresholdAge19,"&lt;"&amp;'19_Расчет_аналитики'!AI3596,WeightedRevAge19)-SUMIF(ThresholdAge19,"&lt;"&amp;'19_Расчет_аналитики'!AI3596,WeightedMinAge19),MAX(CapacityAge19*'01_Вводные'!$B$218*'19_Расчет_аналитики'!AI3596,MeanMinAge19))),0)</f>
        <v/>
      </c>
      <c r="AJ3546">
        <f>IF('01_Вводные'!$B$234="Да",IF(OR(('19_Расчет_аналитики'!AJ3462-'19_Расчет_аналитики'!AJ3490)=0,19&lt;='01_Вводные'!$B$297),0,('19_Расчет_аналитики'!AJ3462-'19_Расчет_аналитики'!AJ3490)*IF('01_Вводные'!$B$239="Да",MeanMinAge19+'19_Расчет_аналитики'!AJ3596*SUMIF(ThresholdAge19,"&lt;"&amp;'19_Расчет_аналитики'!AJ3596,WeightedRevAge19)-SUMIF(ThresholdAge19,"&lt;"&amp;'19_Расчет_аналитики'!AJ3596,WeightedMinAge19),MAX(CapacityAge19*'01_Вводные'!$B$218*'19_Расчет_аналитики'!AJ3596,MeanMinAge19))),0)</f>
        <v/>
      </c>
      <c r="AK3546">
        <f>IF('01_Вводные'!$B$234="Да",IF(OR(('19_Расчет_аналитики'!AK3462-'19_Расчет_аналитики'!AK3490)=0,19&lt;='01_Вводные'!$B$297),0,('19_Расчет_аналитики'!AK3462-'19_Расчет_аналитики'!AK3490)*IF('01_Вводные'!$B$239="Да",MeanMinAge19+'19_Расчет_аналитики'!AK3596*SUMIF(ThresholdAge19,"&lt;"&amp;'19_Расчет_аналитики'!AK3596,WeightedRevAge19)-SUMIF(ThresholdAge19,"&lt;"&amp;'19_Расчет_аналитики'!AK3596,WeightedMinAge19),MAX(CapacityAge19*'01_Вводные'!$B$218*'19_Расчет_аналитики'!AK3596,MeanMinAge19))),0)</f>
        <v/>
      </c>
      <c r="AL3546">
        <f>IF('01_Вводные'!$B$234="Да",IF(OR(('19_Расчет_аналитики'!AL3462-'19_Расчет_аналитики'!AL3490)=0,19&lt;='01_Вводные'!$B$297),0,('19_Расчет_аналитики'!AL3462-'19_Расчет_аналитики'!AL3490)*IF('01_Вводные'!$B$239="Да",MeanMinAge19+'19_Расчет_аналитики'!AL3596*SUMIF(ThresholdAge19,"&lt;"&amp;'19_Расчет_аналитики'!AL3596,WeightedRevAge19)-SUMIF(ThresholdAge19,"&lt;"&amp;'19_Расчет_аналитики'!AL3596,WeightedMinAge19),MAX(CapacityAge19*'01_Вводные'!$B$218*'19_Расчет_аналитики'!AL3596,MeanMinAge19))),0)</f>
        <v/>
      </c>
      <c r="AM3546">
        <f>IF('01_Вводные'!$B$234="Да",IF(OR(('19_Расчет_аналитики'!AM3462-'19_Расчет_аналитики'!AM3490)=0,19&lt;='01_Вводные'!$B$297),0,('19_Расчет_аналитики'!AM3462-'19_Расчет_аналитики'!AM3490)*IF('01_Вводные'!$B$239="Да",MeanMinAge19+'19_Расчет_аналитики'!AM3596*SUMIF(ThresholdAge19,"&lt;"&amp;'19_Расчет_аналитики'!AM3596,WeightedRevAge19)-SUMIF(ThresholdAge19,"&lt;"&amp;'19_Расчет_аналитики'!AM3596,WeightedMinAge19),MAX(CapacityAge19*'01_Вводные'!$B$218*'19_Расчет_аналитики'!AM3596,MeanMinAge19))),0)</f>
        <v/>
      </c>
      <c r="AN3546">
        <f>IF('01_Вводные'!$B$234="Да",IF(OR(('19_Расчет_аналитики'!AN3462-'19_Расчет_аналитики'!AN3490)=0,19&lt;='01_Вводные'!$B$297),0,('19_Расчет_аналитики'!AN3462-'19_Расчет_аналитики'!AN3490)*IF('01_Вводные'!$B$239="Да",MeanMinAge19+'19_Расчет_аналитики'!AN3596*SUMIF(ThresholdAge19,"&lt;"&amp;'19_Расчет_аналитики'!AN3596,WeightedRevAge19)-SUMIF(ThresholdAge19,"&lt;"&amp;'19_Расчет_аналитики'!AN3596,WeightedMinAge19),MAX(CapacityAge19*'01_Вводные'!$B$218*'19_Расчет_аналитики'!AN3596,MeanMinAge19))),0)</f>
        <v/>
      </c>
      <c r="AO3546">
        <f>IF('01_Вводные'!$B$234="Да",IF(OR(('19_Расчет_аналитики'!AO3462-'19_Расчет_аналитики'!AO3490)=0,19&lt;='01_Вводные'!$B$297),0,('19_Расчет_аналитики'!AO3462-'19_Расчет_аналитики'!AO3490)*IF('01_Вводные'!$B$239="Да",MeanMinAge19+'19_Расчет_аналитики'!AO3596*SUMIF(ThresholdAge19,"&lt;"&amp;'19_Расчет_аналитики'!AO3596,WeightedRevAge19)-SUMIF(ThresholdAge19,"&lt;"&amp;'19_Расчет_аналитики'!AO3596,WeightedMinAge19),MAX(CapacityAge19*'01_Вводные'!$B$218*'19_Расчет_аналитики'!AO3596,MeanMinAge19))),0)</f>
        <v/>
      </c>
      <c r="AP3546">
        <f>IF('01_Вводные'!$B$234="Да",IF(OR(('19_Расчет_аналитики'!AP3462-'19_Расчет_аналитики'!AP3490)=0,19&lt;='01_Вводные'!$B$297),0,('19_Расчет_аналитики'!AP3462-'19_Расчет_аналитики'!AP3490)*IF('01_Вводные'!$B$239="Да",MeanMinAge19+'19_Расчет_аналитики'!AP3596*SUMIF(ThresholdAge19,"&lt;"&amp;'19_Расчет_аналитики'!AP3596,WeightedRevAge19)-SUMIF(ThresholdAge19,"&lt;"&amp;'19_Расчет_аналитики'!AP3596,WeightedMinAge19),MAX(CapacityAge19*'01_Вводные'!$B$218*'19_Расчет_аналитики'!AP3596,MeanMinAge19))),0)</f>
        <v/>
      </c>
      <c r="AQ3546">
        <f>IF('01_Вводные'!$B$234="Да",IF(OR(('19_Расчет_аналитики'!AQ3462-'19_Расчет_аналитики'!AQ3490)=0,19&lt;='01_Вводные'!$B$297),0,('19_Расчет_аналитики'!AQ3462-'19_Расчет_аналитики'!AQ3490)*IF('01_Вводные'!$B$239="Да",MeanMinAge19+'19_Расчет_аналитики'!AQ3596*SUMIF(ThresholdAge19,"&lt;"&amp;'19_Расчет_аналитики'!AQ3596,WeightedRevAge19)-SUMIF(ThresholdAge19,"&lt;"&amp;'19_Расчет_аналитики'!AQ3596,WeightedMinAge19),MAX(CapacityAge19*'01_Вводные'!$B$218*'19_Расчет_аналитики'!AQ3596,MeanMinAge19))),0)</f>
        <v/>
      </c>
      <c r="AR3546">
        <f>IF('01_Вводные'!$B$234="Да",IF(OR(('19_Расчет_аналитики'!AR3462-'19_Расчет_аналитики'!AR3490)=0,19&lt;='01_Вводные'!$B$297),0,('19_Расчет_аналитики'!AR3462-'19_Расчет_аналитики'!AR3490)*IF('01_Вводные'!$B$239="Да",MeanMinAge19+'19_Расчет_аналитики'!AR3596*SUMIF(ThresholdAge19,"&lt;"&amp;'19_Расчет_аналитики'!AR3596,WeightedRevAge19)-SUMIF(ThresholdAge19,"&lt;"&amp;'19_Расчет_аналитики'!AR3596,WeightedMinAge19),MAX(CapacityAge19*'01_Вводные'!$B$218*'19_Расчет_аналитики'!AR3596,MeanMinAge19))),0)</f>
        <v/>
      </c>
      <c r="AS3546">
        <f>IF('01_Вводные'!$B$234="Да",IF(OR(('19_Расчет_аналитики'!AS3462-'19_Расчет_аналитики'!AS3490)=0,19&lt;='01_Вводные'!$B$297),0,('19_Расчет_аналитики'!AS3462-'19_Расчет_аналитики'!AS3490)*IF('01_Вводные'!$B$239="Да",MeanMinAge19+'19_Расчет_аналитики'!AS3596*SUMIF(ThresholdAge19,"&lt;"&amp;'19_Расчет_аналитики'!AS3596,WeightedRevAge19)-SUMIF(ThresholdAge19,"&lt;"&amp;'19_Расчет_аналитики'!AS3596,WeightedMinAge19),MAX(CapacityAge19*'01_Вводные'!$B$218*'19_Расчет_аналитики'!AS3596,MeanMinAge19))),0)</f>
        <v/>
      </c>
      <c r="AT3546">
        <f>IF('01_Вводные'!$B$234="Да",IF(OR(('19_Расчет_аналитики'!AT3462-'19_Расчет_аналитики'!AT3490)=0,19&lt;='01_Вводные'!$B$297),0,('19_Расчет_аналитики'!AT3462-'19_Расчет_аналитики'!AT3490)*IF('01_Вводные'!$B$239="Да",MeanMinAge19+'19_Расчет_аналитики'!AT3596*SUMIF(ThresholdAge19,"&lt;"&amp;'19_Расчет_аналитики'!AT3596,WeightedRevAge19)-SUMIF(ThresholdAge19,"&lt;"&amp;'19_Расчет_аналитики'!AT3596,WeightedMinAge19),MAX(CapacityAge19*'01_Вводные'!$B$218*'19_Расчет_аналитики'!AT3596,MeanMinAge19))),0)</f>
        <v/>
      </c>
      <c r="AU3546">
        <f>IF('01_Вводные'!$B$234="Да",IF(OR(('19_Расчет_аналитики'!AU3462-'19_Расчет_аналитики'!AU3490)=0,19&lt;='01_Вводные'!$B$297),0,('19_Расчет_аналитики'!AU3462-'19_Расчет_аналитики'!AU3490)*IF('01_Вводные'!$B$239="Да",MeanMinAge19+'19_Расчет_аналитики'!AU3596*SUMIF(ThresholdAge19,"&lt;"&amp;'19_Расчет_аналитики'!AU3596,WeightedRevAge19)-SUMIF(ThresholdAge19,"&lt;"&amp;'19_Расчет_аналитики'!AU3596,WeightedMinAge19),MAX(CapacityAge19*'01_Вводные'!$B$218*'19_Расчет_аналитики'!AU3596,MeanMinAge19))),0)</f>
        <v/>
      </c>
      <c r="AV3546">
        <f>IF('01_Вводные'!$B$234="Да",IF(OR(('19_Расчет_аналитики'!AV3462-'19_Расчет_аналитики'!AV3490)=0,19&lt;='01_Вводные'!$B$297),0,('19_Расчет_аналитики'!AV3462-'19_Расчет_аналитики'!AV3490)*IF('01_Вводные'!$B$239="Да",MeanMinAge19+'19_Расчет_аналитики'!AV3596*SUMIF(ThresholdAge19,"&lt;"&amp;'19_Расчет_аналитики'!AV3596,WeightedRevAge19)-SUMIF(ThresholdAge19,"&lt;"&amp;'19_Расчет_аналитики'!AV3596,WeightedMinAge19),MAX(CapacityAge19*'01_Вводные'!$B$218*'19_Расчет_аналитики'!AV3596,MeanMinAge19))),0)</f>
        <v/>
      </c>
      <c r="AW3546">
        <f>IF('01_Вводные'!$B$234="Да",IF(OR(('19_Расчет_аналитики'!AW3462-'19_Расчет_аналитики'!AW3490)=0,19&lt;='01_Вводные'!$B$297),0,('19_Расчет_аналитики'!AW3462-'19_Расчет_аналитики'!AW3490)*IF('01_Вводные'!$B$239="Да",MeanMinAge19+'19_Расчет_аналитики'!AW3596*SUMIF(ThresholdAge19,"&lt;"&amp;'19_Расчет_аналитики'!AW3596,WeightedRevAge19)-SUMIF(ThresholdAge19,"&lt;"&amp;'19_Расчет_аналитики'!AW3596,WeightedMinAge19),MAX(CapacityAge19*'01_Вводные'!$B$218*'19_Расчет_аналитики'!AW3596,MeanMinAge19))),0)</f>
        <v/>
      </c>
      <c r="AX3546">
        <f>IF('01_Вводные'!$B$234="Да",IF(OR(('19_Расчет_аналитики'!AX3462-'19_Расчет_аналитики'!AX3490)=0,19&lt;='01_Вводные'!$B$297),0,('19_Расчет_аналитики'!AX3462-'19_Расчет_аналитики'!AX3490)*IF('01_Вводные'!$B$239="Да",MeanMinAge19+'19_Расчет_аналитики'!AX3596*SUMIF(ThresholdAge19,"&lt;"&amp;'19_Расчет_аналитики'!AX3596,WeightedRevAge19)-SUMIF(ThresholdAge19,"&lt;"&amp;'19_Расчет_аналитики'!AX3596,WeightedMinAge19),MAX(CapacityAge19*'01_Вводные'!$B$218*'19_Расчет_аналитики'!AX3596,MeanMinAge19))),0)</f>
        <v/>
      </c>
      <c r="AY3546">
        <f>IF('01_Вводные'!$B$234="Да",IF(OR(('19_Расчет_аналитики'!AY3462-'19_Расчет_аналитики'!AY3490)=0,19&lt;='01_Вводные'!$B$297),0,('19_Расчет_аналитики'!AY3462-'19_Расчет_аналитики'!AY3490)*IF('01_Вводные'!$B$239="Да",MeanMinAge19+'19_Расчет_аналитики'!AY3596*SUMIF(ThresholdAge19,"&lt;"&amp;'19_Расчет_аналитики'!AY3596,WeightedRevAge19)-SUMIF(ThresholdAge19,"&lt;"&amp;'19_Расчет_аналитики'!AY3596,WeightedMinAge19),MAX(CapacityAge19*'01_Вводные'!$B$218*'19_Расчет_аналитики'!AY3596,MeanMinAge19))),0)</f>
        <v/>
      </c>
      <c r="AZ3546">
        <f>IF('01_Вводные'!$B$234="Да",IF(OR(('19_Расчет_аналитики'!AZ3462-'19_Расчет_аналитики'!AZ3490)=0,19&lt;='01_Вводные'!$B$297),0,('19_Расчет_аналитики'!AZ3462-'19_Расчет_аналитики'!AZ3490)*IF('01_Вводные'!$B$239="Да",MeanMinAge19+'19_Расчет_аналитики'!AZ3596*SUMIF(ThresholdAge19,"&lt;"&amp;'19_Расчет_аналитики'!AZ3596,WeightedRevAge19)-SUMIF(ThresholdAge19,"&lt;"&amp;'19_Расчет_аналитики'!AZ3596,WeightedMinAge19),MAX(CapacityAge19*'01_Вводные'!$B$218*'19_Расчет_аналитики'!AZ3596,MeanMinAge19))),0)</f>
        <v/>
      </c>
      <c r="BA3546">
        <f>IF('01_Вводные'!$B$234="Да",IF(OR(('19_Расчет_аналитики'!BA3462-'19_Расчет_аналитики'!BA3490)=0,19&lt;='01_Вводные'!$B$297),0,('19_Расчет_аналитики'!BA3462-'19_Расчет_аналитики'!BA3490)*IF('01_Вводные'!$B$239="Да",MeanMinAge19+'19_Расчет_аналитики'!BA3596*SUMIF(ThresholdAge19,"&lt;"&amp;'19_Расчет_аналитики'!BA3596,WeightedRevAge19)-SUMIF(ThresholdAge19,"&lt;"&amp;'19_Расчет_аналитики'!BA3596,WeightedMinAge19),MAX(CapacityAge19*'01_Вводные'!$B$218*'19_Расчет_аналитики'!BA3596,MeanMinAge19))),0)</f>
        <v/>
      </c>
      <c r="BB3546">
        <f>IF('01_Вводные'!$B$234="Да",IF(OR(('19_Расчет_аналитики'!BB3462-'19_Расчет_аналитики'!BB3490)=0,19&lt;='01_Вводные'!$B$297),0,('19_Расчет_аналитики'!BB3462-'19_Расчет_аналитики'!BB3490)*IF('01_Вводные'!$B$239="Да",MeanMinAge19+'19_Расчет_аналитики'!BB3596*SUMIF(ThresholdAge19,"&lt;"&amp;'19_Расчет_аналитики'!BB3596,WeightedRevAge19)-SUMIF(ThresholdAge19,"&lt;"&amp;'19_Расчет_аналитики'!BB3596,WeightedMinAge19),MAX(CapacityAge19*'01_Вводные'!$B$218*'19_Расчет_аналитики'!BB3596,MeanMinAge19))),0)</f>
        <v/>
      </c>
      <c r="BC3546">
        <f>IF('01_Вводные'!$B$234="Да",IF(OR(('19_Расчет_аналитики'!BC3462-'19_Расчет_аналитики'!BC3490)=0,19&lt;='01_Вводные'!$B$297),0,('19_Расчет_аналитики'!BC3462-'19_Расчет_аналитики'!BC3490)*IF('01_Вводные'!$B$239="Да",MeanMinAge19+'19_Расчет_аналитики'!BC3596*SUMIF(ThresholdAge19,"&lt;"&amp;'19_Расчет_аналитики'!BC3596,WeightedRevAge19)-SUMIF(ThresholdAge19,"&lt;"&amp;'19_Расчет_аналитики'!BC3596,WeightedMinAge19),MAX(CapacityAge19*'01_Вводные'!$B$218*'19_Расчет_аналитики'!BC3596,MeanMinAge19))),0)</f>
        <v/>
      </c>
      <c r="BD3546">
        <f>IF('01_Вводные'!$B$234="Да",IF(OR(('19_Расчет_аналитики'!BD3462-'19_Расчет_аналитики'!BD3490)=0,19&lt;='01_Вводные'!$B$297),0,('19_Расчет_аналитики'!BD3462-'19_Расчет_аналитики'!BD3490)*IF('01_Вводные'!$B$239="Да",MeanMinAge19+'19_Расчет_аналитики'!BD3596*SUMIF(ThresholdAge19,"&lt;"&amp;'19_Расчет_аналитики'!BD3596,WeightedRevAge19)-SUMIF(ThresholdAge19,"&lt;"&amp;'19_Расчет_аналитики'!BD3596,WeightedMinAge19),MAX(CapacityAge19*'01_Вводные'!$B$218*'19_Расчет_аналитики'!BD3596,MeanMinAge19))),0)</f>
        <v/>
      </c>
      <c r="BE3546">
        <f>IF('01_Вводные'!$B$234="Да",IF(OR(('19_Расчет_аналитики'!BE3462-'19_Расчет_аналитики'!BE3490)=0,19&lt;='01_Вводные'!$B$297),0,('19_Расчет_аналитики'!BE3462-'19_Расчет_аналитики'!BE3490)*IF('01_Вводные'!$B$239="Да",MeanMinAge19+'19_Расчет_аналитики'!BE3596*SUMIF(ThresholdAge19,"&lt;"&amp;'19_Расчет_аналитики'!BE3596,WeightedRevAge19)-SUMIF(ThresholdAge19,"&lt;"&amp;'19_Расчет_аналитики'!BE3596,WeightedMinAge19),MAX(CapacityAge19*'01_Вводные'!$B$218*'19_Расчет_аналитики'!BE3596,MeanMinAge19))),0)</f>
        <v/>
      </c>
      <c r="BF3546">
        <f>IF('01_Вводные'!$B$234="Да",IF(OR(('19_Расчет_аналитики'!BF3462-'19_Расчет_аналитики'!BF3490)=0,19&lt;='01_Вводные'!$B$297),0,('19_Расчет_аналитики'!BF3462-'19_Расчет_аналитики'!BF3490)*IF('01_Вводные'!$B$239="Да",MeanMinAge19+'19_Расчет_аналитики'!BF3596*SUMIF(ThresholdAge19,"&lt;"&amp;'19_Расчет_аналитики'!BF3596,WeightedRevAge19)-SUMIF(ThresholdAge19,"&lt;"&amp;'19_Расчет_аналитики'!BF3596,WeightedMinAge19),MAX(CapacityAge19*'01_Вводные'!$B$218*'19_Расчет_аналитики'!BF3596,MeanMinAge19))),0)</f>
        <v/>
      </c>
      <c r="BG3546">
        <f>IF('01_Вводные'!$B$234="Да",IF(OR(('19_Расчет_аналитики'!BG3462-'19_Расчет_аналитики'!BG3490)=0,19&lt;='01_Вводные'!$B$297),0,('19_Расчет_аналитики'!BG3462-'19_Расчет_аналитики'!BG3490)*IF('01_Вводные'!$B$239="Да",MeanMinAge19+'19_Расчет_аналитики'!BG3596*SUMIF(ThresholdAge19,"&lt;"&amp;'19_Расчет_аналитики'!BG3596,WeightedRevAge19)-SUMIF(ThresholdAge19,"&lt;"&amp;'19_Расчет_аналитики'!BG3596,WeightedMinAge19),MAX(CapacityAge19*'01_Вводные'!$B$218*'19_Расчет_аналитики'!BG3596,MeanMinAge19))),0)</f>
        <v/>
      </c>
      <c r="BH3546">
        <f>IF('01_Вводные'!$B$234="Да",IF(OR(('19_Расчет_аналитики'!BH3462-'19_Расчет_аналитики'!BH3490)=0,19&lt;='01_Вводные'!$B$297),0,('19_Расчет_аналитики'!BH3462-'19_Расчет_аналитики'!BH3490)*IF('01_Вводные'!$B$239="Да",MeanMinAge19+'19_Расчет_аналитики'!BH3596*SUMIF(ThresholdAge19,"&lt;"&amp;'19_Расчет_аналитики'!BH3596,WeightedRevAge19)-SUMIF(ThresholdAge19,"&lt;"&amp;'19_Расчет_аналитики'!BH3596,WeightedMinAge19),MAX(CapacityAge19*'01_Вводные'!$B$218*'19_Расчет_аналитики'!BH3596,MeanMinAge19))),0)</f>
        <v/>
      </c>
      <c r="BI3546">
        <f>IF('01_Вводные'!$B$234="Да",IF(OR(('19_Расчет_аналитики'!BI3462-'19_Расчет_аналитики'!BI3490)=0,19&lt;='01_Вводные'!$B$297),0,('19_Расчет_аналитики'!BI3462-'19_Расчет_аналитики'!BI3490)*IF('01_Вводные'!$B$239="Да",MeanMinAge19+'19_Расчет_аналитики'!BI3596*SUMIF(ThresholdAge19,"&lt;"&amp;'19_Расчет_аналитики'!BI3596,WeightedRevAge19)-SUMIF(ThresholdAge19,"&lt;"&amp;'19_Расчет_аналитики'!BI3596,WeightedMinAge19),MAX(CapacityAge19*'01_Вводные'!$B$218*'19_Расчет_аналитики'!BI3596,MeanMinAge19))),0)</f>
        <v/>
      </c>
      <c r="BJ3546">
        <f>IF('01_Вводные'!$B$234="Да",IF(OR(('19_Расчет_аналитики'!BJ3462-'19_Расчет_аналитики'!BJ3490)=0,19&lt;='01_Вводные'!$B$297),0,('19_Расчет_аналитики'!BJ3462-'19_Расчет_аналитики'!BJ3490)*IF('01_Вводные'!$B$239="Да",MeanMinAge19+'19_Расчет_аналитики'!BJ3596*SUMIF(ThresholdAge19,"&lt;"&amp;'19_Расчет_аналитики'!BJ3596,WeightedRevAge19)-SUMIF(ThresholdAge19,"&lt;"&amp;'19_Расчет_аналитики'!BJ3596,WeightedMinAge19),MAX(CapacityAge19*'01_Вводные'!$B$218*'19_Расчет_аналитики'!BJ3596,MeanMinAge19))),0)</f>
        <v/>
      </c>
      <c r="BK3546">
        <f>IF('01_Вводные'!$B$234="Да",IF(OR(('19_Расчет_аналитики'!BK3462-'19_Расчет_аналитики'!BK3490)=0,19&lt;='01_Вводные'!$B$297),0,('19_Расчет_аналитики'!BK3462-'19_Расчет_аналитики'!BK3490)*IF('01_Вводные'!$B$239="Да",MeanMinAge19+'19_Расчет_аналитики'!BK3596*SUMIF(ThresholdAge19,"&lt;"&amp;'19_Расчет_аналитики'!BK3596,WeightedRevAge19)-SUMIF(ThresholdAge19,"&lt;"&amp;'19_Расчет_аналитики'!BK3596,WeightedMinAge19),MAX(CapacityAge19*'01_Вводные'!$B$218*'19_Расчет_аналитики'!BK3596,MeanMinAge19))),0)</f>
        <v/>
      </c>
      <c r="BL3546">
        <f>IF('01_Вводные'!$B$234="Да",IF(OR(('19_Расчет_аналитики'!BL3462-'19_Расчет_аналитики'!BL3490)=0,19&lt;='01_Вводные'!$B$297),0,('19_Расчет_аналитики'!BL3462-'19_Расчет_аналитики'!BL3490)*IF('01_Вводные'!$B$239="Да",MeanMinAge19+'19_Расчет_аналитики'!BL3596*SUMIF(ThresholdAge19,"&lt;"&amp;'19_Расчет_аналитики'!BL3596,WeightedRevAge19)-SUMIF(ThresholdAge19,"&lt;"&amp;'19_Расчет_аналитики'!BL3596,WeightedMinAge19),MAX(CapacityAge19*'01_Вводные'!$B$218*'19_Расчет_аналитики'!BL3596,MeanMinAge19))),0)</f>
        <v/>
      </c>
      <c r="BM3546">
        <f>IF('01_Вводные'!$B$234="Да",IF(OR(('19_Расчет_аналитики'!BM3462-'19_Расчет_аналитики'!BM3490)=0,19&lt;='01_Вводные'!$B$297),0,('19_Расчет_аналитики'!BM3462-'19_Расчет_аналитики'!BM3490)*IF('01_Вводные'!$B$239="Да",MeanMinAge19+'19_Расчет_аналитики'!BM3596*SUMIF(ThresholdAge19,"&lt;"&amp;'19_Расчет_аналитики'!BM3596,WeightedRevAge19)-SUMIF(ThresholdAge19,"&lt;"&amp;'19_Расчет_аналитики'!BM3596,WeightedMinAge19),MAX(CapacityAge19*'01_Вводные'!$B$218*'19_Расчет_аналитики'!BM3596,MeanMinAge19))),0)</f>
        <v/>
      </c>
      <c r="BN3546">
        <f>IF('01_Вводные'!$B$234="Да",IF(OR(('19_Расчет_аналитики'!BN3462-'19_Расчет_аналитики'!BN3490)=0,19&lt;='01_Вводные'!$B$297),0,('19_Расчет_аналитики'!BN3462-'19_Расчет_аналитики'!BN3490)*IF('01_Вводные'!$B$239="Да",MeanMinAge19+'19_Расчет_аналитики'!BN3596*SUMIF(ThresholdAge19,"&lt;"&amp;'19_Расчет_аналитики'!BN3596,WeightedRevAge19)-SUMIF(ThresholdAge19,"&lt;"&amp;'19_Расчет_аналитики'!BN3596,WeightedMinAge19),MAX(CapacityAge19*'01_Вводные'!$B$218*'19_Расчет_аналитики'!BN3596,MeanMinAge19))),0)</f>
        <v/>
      </c>
      <c r="BO3546">
        <f>IF('01_Вводные'!$B$234="Да",IF(OR(('19_Расчет_аналитики'!BO3462-'19_Расчет_аналитики'!BO3490)=0,19&lt;='01_Вводные'!$B$297),0,('19_Расчет_аналитики'!BO3462-'19_Расчет_аналитики'!BO3490)*IF('01_Вводные'!$B$239="Да",MeanMinAge19+'19_Расчет_аналитики'!BO3596*SUMIF(ThresholdAge19,"&lt;"&amp;'19_Расчет_аналитики'!BO3596,WeightedRevAge19)-SUMIF(ThresholdAge19,"&lt;"&amp;'19_Расчет_аналитики'!BO3596,WeightedMinAge19),MAX(CapacityAge19*'01_Вводные'!$B$218*'19_Расчет_аналитики'!BO3596,MeanMinAge19))),0)</f>
        <v/>
      </c>
    </row>
    <row r="3547">
      <c r="B3547">
        <f>IF('01_Вводные'!$B$234="Да",IF(OR(('06_Сеть_и_дети'!B72-'06_Сеть_и_дети'!B100)=0,20&lt;='01_Вводные'!$B$297),0,('06_Сеть_и_дети'!B72-'06_Сеть_и_дети'!B100)*IF('01_Вводные'!$B$239="Да",MeanMinAge20+'19_Расчет_аналитики'!B3596*SUMIF(ThresholdAge20,"&lt;"&amp;'19_Расчет_аналитики'!B3596,WeightedRevAge20)-SUMIF(ThresholdAge20,"&lt;"&amp;'19_Расчет_аналитики'!B3596,WeightedMinAge20),MAX(CapacityAge20*'01_Вводные'!$B$218*'19_Расчет_аналитики'!B3596,MeanMinAge20))),0)</f>
        <v/>
      </c>
      <c r="C3547">
        <f>IF('01_Вводные'!$B$234="Да",IF(OR(('06_Сеть_и_дети'!C72-'06_Сеть_и_дети'!C100)=0,20&lt;='01_Вводные'!$B$297),0,('06_Сеть_и_дети'!C72-'06_Сеть_и_дети'!C100)*IF('01_Вводные'!$B$239="Да",MeanMinAge20+'19_Расчет_аналитики'!C3596*SUMIF(ThresholdAge20,"&lt;"&amp;'19_Расчет_аналитики'!C3596,WeightedRevAge20)-SUMIF(ThresholdAge20,"&lt;"&amp;'19_Расчет_аналитики'!C3596,WeightedMinAge20),MAX(CapacityAge20*'01_Вводные'!$B$218*'19_Расчет_аналитики'!C3596,MeanMinAge20))),0)</f>
        <v/>
      </c>
      <c r="D3547">
        <f>IF('01_Вводные'!$B$234="Да",IF(OR(('06_Сеть_и_дети'!D72-'06_Сеть_и_дети'!D100)=0,20&lt;='01_Вводные'!$B$297),0,('06_Сеть_и_дети'!D72-'06_Сеть_и_дети'!D100)*IF('01_Вводные'!$B$239="Да",MeanMinAge20+'19_Расчет_аналитики'!D3596*SUMIF(ThresholdAge20,"&lt;"&amp;'19_Расчет_аналитики'!D3596,WeightedRevAge20)-SUMIF(ThresholdAge20,"&lt;"&amp;'19_Расчет_аналитики'!D3596,WeightedMinAge20),MAX(CapacityAge20*'01_Вводные'!$B$218*'19_Расчет_аналитики'!D3596,MeanMinAge20))),0)</f>
        <v/>
      </c>
      <c r="E3547">
        <f>IF('01_Вводные'!$B$234="Да",IF(OR(('06_Сеть_и_дети'!E72-'06_Сеть_и_дети'!E100)=0,20&lt;='01_Вводные'!$B$297),0,('06_Сеть_и_дети'!E72-'06_Сеть_и_дети'!E100)*IF('01_Вводные'!$B$239="Да",MeanMinAge20+'19_Расчет_аналитики'!E3596*SUMIF(ThresholdAge20,"&lt;"&amp;'19_Расчет_аналитики'!E3596,WeightedRevAge20)-SUMIF(ThresholdAge20,"&lt;"&amp;'19_Расчет_аналитики'!E3596,WeightedMinAge20),MAX(CapacityAge20*'01_Вводные'!$B$218*'19_Расчет_аналитики'!E3596,MeanMinAge20))),0)</f>
        <v/>
      </c>
      <c r="F3547">
        <f>IF('01_Вводные'!$B$234="Да",IF(OR(('06_Сеть_и_дети'!F72-'06_Сеть_и_дети'!F100)=0,20&lt;='01_Вводные'!$B$297),0,('06_Сеть_и_дети'!F72-'06_Сеть_и_дети'!F100)*IF('01_Вводные'!$B$239="Да",MeanMinAge20+'19_Расчет_аналитики'!F3596*SUMIF(ThresholdAge20,"&lt;"&amp;'19_Расчет_аналитики'!F3596,WeightedRevAge20)-SUMIF(ThresholdAge20,"&lt;"&amp;'19_Расчет_аналитики'!F3596,WeightedMinAge20),MAX(CapacityAge20*'01_Вводные'!$B$218*'19_Расчет_аналитики'!F3596,MeanMinAge20))),0)</f>
        <v/>
      </c>
      <c r="G3547">
        <f>IF('01_Вводные'!$B$234="Да",IF(OR(('06_Сеть_и_дети'!G72-'06_Сеть_и_дети'!G100)=0,20&lt;='01_Вводные'!$B$297),0,('06_Сеть_и_дети'!G72-'06_Сеть_и_дети'!G100)*IF('01_Вводные'!$B$239="Да",MeanMinAge20+'19_Расчет_аналитики'!G3596*SUMIF(ThresholdAge20,"&lt;"&amp;'19_Расчет_аналитики'!G3596,WeightedRevAge20)-SUMIF(ThresholdAge20,"&lt;"&amp;'19_Расчет_аналитики'!G3596,WeightedMinAge20),MAX(CapacityAge20*'01_Вводные'!$B$218*'19_Расчет_аналитики'!G3596,MeanMinAge20))),0)</f>
        <v/>
      </c>
      <c r="H3547">
        <f>IF('01_Вводные'!$B$234="Да",IF(OR(('06_Сеть_и_дети'!H72-'06_Сеть_и_дети'!H100)=0,20&lt;='01_Вводные'!$B$297),0,('06_Сеть_и_дети'!H72-'06_Сеть_и_дети'!H100)*IF('01_Вводные'!$B$239="Да",MeanMinAge20+'19_Расчет_аналитики'!H3596*SUMIF(ThresholdAge20,"&lt;"&amp;'19_Расчет_аналитики'!H3596,WeightedRevAge20)-SUMIF(ThresholdAge20,"&lt;"&amp;'19_Расчет_аналитики'!H3596,WeightedMinAge20),MAX(CapacityAge20*'01_Вводные'!$B$218*'19_Расчет_аналитики'!H3596,MeanMinAge20))),0)</f>
        <v/>
      </c>
      <c r="I3547">
        <f>IF('01_Вводные'!$B$234="Да",IF(OR(('06_Сеть_и_дети'!I72-'06_Сеть_и_дети'!I100)=0,20&lt;='01_Вводные'!$B$297),0,('06_Сеть_и_дети'!I72-'06_Сеть_и_дети'!I100)*IF('01_Вводные'!$B$239="Да",MeanMinAge20+'19_Расчет_аналитики'!I3596*SUMIF(ThresholdAge20,"&lt;"&amp;'19_Расчет_аналитики'!I3596,WeightedRevAge20)-SUMIF(ThresholdAge20,"&lt;"&amp;'19_Расчет_аналитики'!I3596,WeightedMinAge20),MAX(CapacityAge20*'01_Вводные'!$B$218*'19_Расчет_аналитики'!I3596,MeanMinAge20))),0)</f>
        <v/>
      </c>
      <c r="J3547">
        <f>IF('01_Вводные'!$B$234="Да",IF(OR(('06_Сеть_и_дети'!J72-'06_Сеть_и_дети'!J100)=0,20&lt;='01_Вводные'!$B$297),0,('06_Сеть_и_дети'!J72-'06_Сеть_и_дети'!J100)*IF('01_Вводные'!$B$239="Да",MeanMinAge20+'19_Расчет_аналитики'!J3596*SUMIF(ThresholdAge20,"&lt;"&amp;'19_Расчет_аналитики'!J3596,WeightedRevAge20)-SUMIF(ThresholdAge20,"&lt;"&amp;'19_Расчет_аналитики'!J3596,WeightedMinAge20),MAX(CapacityAge20*'01_Вводные'!$B$218*'19_Расчет_аналитики'!J3596,MeanMinAge20))),0)</f>
        <v/>
      </c>
      <c r="K3547">
        <f>IF('01_Вводные'!$B$234="Да",IF(OR(('06_Сеть_и_дети'!K72-'06_Сеть_и_дети'!K100)=0,20&lt;='01_Вводные'!$B$297),0,('06_Сеть_и_дети'!K72-'06_Сеть_и_дети'!K100)*IF('01_Вводные'!$B$239="Да",MeanMinAge20+'19_Расчет_аналитики'!K3596*SUMIF(ThresholdAge20,"&lt;"&amp;'19_Расчет_аналитики'!K3596,WeightedRevAge20)-SUMIF(ThresholdAge20,"&lt;"&amp;'19_Расчет_аналитики'!K3596,WeightedMinAge20),MAX(CapacityAge20*'01_Вводные'!$B$218*'19_Расчет_аналитики'!K3596,MeanMinAge20))),0)</f>
        <v/>
      </c>
      <c r="L3547">
        <f>IF('01_Вводные'!$B$234="Да",IF(OR(('06_Сеть_и_дети'!L72-'06_Сеть_и_дети'!L100)=0,20&lt;='01_Вводные'!$B$297),0,('06_Сеть_и_дети'!L72-'06_Сеть_и_дети'!L100)*IF('01_Вводные'!$B$239="Да",MeanMinAge20+'19_Расчет_аналитики'!L3596*SUMIF(ThresholdAge20,"&lt;"&amp;'19_Расчет_аналитики'!L3596,WeightedRevAge20)-SUMIF(ThresholdAge20,"&lt;"&amp;'19_Расчет_аналитики'!L3596,WeightedMinAge20),MAX(CapacityAge20*'01_Вводные'!$B$218*'19_Расчет_аналитики'!L3596,MeanMinAge20))),0)</f>
        <v/>
      </c>
      <c r="M3547">
        <f>IF('01_Вводные'!$B$234="Да",IF(OR(('06_Сеть_и_дети'!M72-'06_Сеть_и_дети'!M100)=0,20&lt;='01_Вводные'!$B$297),0,('06_Сеть_и_дети'!M72-'06_Сеть_и_дети'!M100)*IF('01_Вводные'!$B$239="Да",MeanMinAge20+'19_Расчет_аналитики'!M3596*SUMIF(ThresholdAge20,"&lt;"&amp;'19_Расчет_аналитики'!M3596,WeightedRevAge20)-SUMIF(ThresholdAge20,"&lt;"&amp;'19_Расчет_аналитики'!M3596,WeightedMinAge20),MAX(CapacityAge20*'01_Вводные'!$B$218*'19_Расчет_аналитики'!M3596,MeanMinAge20))),0)</f>
        <v/>
      </c>
      <c r="N3547">
        <f>IF('01_Вводные'!$B$234="Да",IF(OR(('06_Сеть_и_дети'!N72-'06_Сеть_и_дети'!N100)=0,20&lt;='01_Вводные'!$B$297),0,('06_Сеть_и_дети'!N72-'06_Сеть_и_дети'!N100)*IF('01_Вводные'!$B$239="Да",MeanMinAge20+'19_Расчет_аналитики'!N3596*SUMIF(ThresholdAge20,"&lt;"&amp;'19_Расчет_аналитики'!N3596,WeightedRevAge20)-SUMIF(ThresholdAge20,"&lt;"&amp;'19_Расчет_аналитики'!N3596,WeightedMinAge20),MAX(CapacityAge20*'01_Вводные'!$B$218*'19_Расчет_аналитики'!N3596,MeanMinAge20))),0)</f>
        <v/>
      </c>
      <c r="O3547">
        <f>IF('01_Вводные'!$B$234="Да",IF(OR(('06_Сеть_и_дети'!O72-'06_Сеть_и_дети'!O100)=0,20&lt;='01_Вводные'!$B$297),0,('06_Сеть_и_дети'!O72-'06_Сеть_и_дети'!O100)*IF('01_Вводные'!$B$239="Да",MeanMinAge20+'19_Расчет_аналитики'!O3596*SUMIF(ThresholdAge20,"&lt;"&amp;'19_Расчет_аналитики'!O3596,WeightedRevAge20)-SUMIF(ThresholdAge20,"&lt;"&amp;'19_Расчет_аналитики'!O3596,WeightedMinAge20),MAX(CapacityAge20*'01_Вводные'!$B$218*'19_Расчет_аналитики'!O3596,MeanMinAge20))),0)</f>
        <v/>
      </c>
      <c r="P3547">
        <f>IF('01_Вводные'!$B$234="Да",IF(OR(('06_Сеть_и_дети'!P72-'06_Сеть_и_дети'!P100)=0,20&lt;='01_Вводные'!$B$297),0,('06_Сеть_и_дети'!P72-'06_Сеть_и_дети'!P100)*IF('01_Вводные'!$B$239="Да",MeanMinAge20+'19_Расчет_аналитики'!P3596*SUMIF(ThresholdAge20,"&lt;"&amp;'19_Расчет_аналитики'!P3596,WeightedRevAge20)-SUMIF(ThresholdAge20,"&lt;"&amp;'19_Расчет_аналитики'!P3596,WeightedMinAge20),MAX(CapacityAge20*'01_Вводные'!$B$218*'19_Расчет_аналитики'!P3596,MeanMinAge20))),0)</f>
        <v/>
      </c>
      <c r="Q3547">
        <f>IF('01_Вводные'!$B$234="Да",IF(OR(('06_Сеть_и_дети'!Q72-'06_Сеть_и_дети'!Q100)=0,20&lt;='01_Вводные'!$B$297),0,('06_Сеть_и_дети'!Q72-'06_Сеть_и_дети'!Q100)*IF('01_Вводные'!$B$239="Да",MeanMinAge20+'19_Расчет_аналитики'!Q3596*SUMIF(ThresholdAge20,"&lt;"&amp;'19_Расчет_аналитики'!Q3596,WeightedRevAge20)-SUMIF(ThresholdAge20,"&lt;"&amp;'19_Расчет_аналитики'!Q3596,WeightedMinAge20),MAX(CapacityAge20*'01_Вводные'!$B$218*'19_Расчет_аналитики'!Q3596,MeanMinAge20))),0)</f>
        <v/>
      </c>
      <c r="R3547">
        <f>IF('01_Вводные'!$B$234="Да",IF(OR(('06_Сеть_и_дети'!R72-'06_Сеть_и_дети'!R100)=0,20&lt;='01_Вводные'!$B$297),0,('06_Сеть_и_дети'!R72-'06_Сеть_и_дети'!R100)*IF('01_Вводные'!$B$239="Да",MeanMinAge20+'19_Расчет_аналитики'!R3596*SUMIF(ThresholdAge20,"&lt;"&amp;'19_Расчет_аналитики'!R3596,WeightedRevAge20)-SUMIF(ThresholdAge20,"&lt;"&amp;'19_Расчет_аналитики'!R3596,WeightedMinAge20),MAX(CapacityAge20*'01_Вводные'!$B$218*'19_Расчет_аналитики'!R3596,MeanMinAge20))),0)</f>
        <v/>
      </c>
      <c r="S3547">
        <f>IF('01_Вводные'!$B$234="Да",IF(OR(('06_Сеть_и_дети'!S72-'06_Сеть_и_дети'!S100)=0,20&lt;='01_Вводные'!$B$297),0,('06_Сеть_и_дети'!S72-'06_Сеть_и_дети'!S100)*IF('01_Вводные'!$B$239="Да",MeanMinAge20+'19_Расчет_аналитики'!S3596*SUMIF(ThresholdAge20,"&lt;"&amp;'19_Расчет_аналитики'!S3596,WeightedRevAge20)-SUMIF(ThresholdAge20,"&lt;"&amp;'19_Расчет_аналитики'!S3596,WeightedMinAge20),MAX(CapacityAge20*'01_Вводные'!$B$218*'19_Расчет_аналитики'!S3596,MeanMinAge20))),0)</f>
        <v/>
      </c>
      <c r="T3547">
        <f>IF('01_Вводные'!$B$234="Да",IF(OR(('06_Сеть_и_дети'!T72-'06_Сеть_и_дети'!T100)=0,20&lt;='01_Вводные'!$B$297),0,('06_Сеть_и_дети'!T72-'06_Сеть_и_дети'!T100)*IF('01_Вводные'!$B$239="Да",MeanMinAge20+'19_Расчет_аналитики'!T3596*SUMIF(ThresholdAge20,"&lt;"&amp;'19_Расчет_аналитики'!T3596,WeightedRevAge20)-SUMIF(ThresholdAge20,"&lt;"&amp;'19_Расчет_аналитики'!T3596,WeightedMinAge20),MAX(CapacityAge20*'01_Вводные'!$B$218*'19_Расчет_аналитики'!T3596,MeanMinAge20))),0)</f>
        <v/>
      </c>
      <c r="U3547">
        <f>IF('01_Вводные'!$B$234="Да",IF(OR(('19_Расчет_аналитики'!U3463-'19_Расчет_аналитики'!U3491)=0,20&lt;='01_Вводные'!$B$297),0,('19_Расчет_аналитики'!U3463-'19_Расчет_аналитики'!U3491)*IF('01_Вводные'!$B$239="Да",MeanMinAge20+'19_Расчет_аналитики'!U3596*SUMIF(ThresholdAge20,"&lt;"&amp;'19_Расчет_аналитики'!U3596,WeightedRevAge20)-SUMIF(ThresholdAge20,"&lt;"&amp;'19_Расчет_аналитики'!U3596,WeightedMinAge20),MAX(CapacityAge20*'01_Вводные'!$B$218*'19_Расчет_аналитики'!U3596,MeanMinAge20))),0)</f>
        <v/>
      </c>
      <c r="V3547">
        <f>IF('01_Вводные'!$B$234="Да",IF(OR(('19_Расчет_аналитики'!V3463-'19_Расчет_аналитики'!V3491)=0,20&lt;='01_Вводные'!$B$297),0,('19_Расчет_аналитики'!V3463-'19_Расчет_аналитики'!V3491)*IF('01_Вводные'!$B$239="Да",MeanMinAge20+'19_Расчет_аналитики'!V3596*SUMIF(ThresholdAge20,"&lt;"&amp;'19_Расчет_аналитики'!V3596,WeightedRevAge20)-SUMIF(ThresholdAge20,"&lt;"&amp;'19_Расчет_аналитики'!V3596,WeightedMinAge20),MAX(CapacityAge20*'01_Вводные'!$B$218*'19_Расчет_аналитики'!V3596,MeanMinAge20))),0)</f>
        <v/>
      </c>
      <c r="W3547">
        <f>IF('01_Вводные'!$B$234="Да",IF(OR(('19_Расчет_аналитики'!W3463-'19_Расчет_аналитики'!W3491)=0,20&lt;='01_Вводные'!$B$297),0,('19_Расчет_аналитики'!W3463-'19_Расчет_аналитики'!W3491)*IF('01_Вводные'!$B$239="Да",MeanMinAge20+'19_Расчет_аналитики'!W3596*SUMIF(ThresholdAge20,"&lt;"&amp;'19_Расчет_аналитики'!W3596,WeightedRevAge20)-SUMIF(ThresholdAge20,"&lt;"&amp;'19_Расчет_аналитики'!W3596,WeightedMinAge20),MAX(CapacityAge20*'01_Вводные'!$B$218*'19_Расчет_аналитики'!W3596,MeanMinAge20))),0)</f>
        <v/>
      </c>
      <c r="X3547">
        <f>IF('01_Вводные'!$B$234="Да",IF(OR(('19_Расчет_аналитики'!X3463-'19_Расчет_аналитики'!X3491)=0,20&lt;='01_Вводные'!$B$297),0,('19_Расчет_аналитики'!X3463-'19_Расчет_аналитики'!X3491)*IF('01_Вводные'!$B$239="Да",MeanMinAge20+'19_Расчет_аналитики'!X3596*SUMIF(ThresholdAge20,"&lt;"&amp;'19_Расчет_аналитики'!X3596,WeightedRevAge20)-SUMIF(ThresholdAge20,"&lt;"&amp;'19_Расчет_аналитики'!X3596,WeightedMinAge20),MAX(CapacityAge20*'01_Вводные'!$B$218*'19_Расчет_аналитики'!X3596,MeanMinAge20))),0)</f>
        <v/>
      </c>
      <c r="Y3547">
        <f>IF('01_Вводные'!$B$234="Да",IF(OR(('19_Расчет_аналитики'!Y3463-'19_Расчет_аналитики'!Y3491)=0,20&lt;='01_Вводные'!$B$297),0,('19_Расчет_аналитики'!Y3463-'19_Расчет_аналитики'!Y3491)*IF('01_Вводные'!$B$239="Да",MeanMinAge20+'19_Расчет_аналитики'!Y3596*SUMIF(ThresholdAge20,"&lt;"&amp;'19_Расчет_аналитики'!Y3596,WeightedRevAge20)-SUMIF(ThresholdAge20,"&lt;"&amp;'19_Расчет_аналитики'!Y3596,WeightedMinAge20),MAX(CapacityAge20*'01_Вводные'!$B$218*'19_Расчет_аналитики'!Y3596,MeanMinAge20))),0)</f>
        <v/>
      </c>
      <c r="Z3547">
        <f>IF('01_Вводные'!$B$234="Да",IF(OR(('19_Расчет_аналитики'!Z3463-'19_Расчет_аналитики'!Z3491)=0,20&lt;='01_Вводные'!$B$297),0,('19_Расчет_аналитики'!Z3463-'19_Расчет_аналитики'!Z3491)*IF('01_Вводные'!$B$239="Да",MeanMinAge20+'19_Расчет_аналитики'!Z3596*SUMIF(ThresholdAge20,"&lt;"&amp;'19_Расчет_аналитики'!Z3596,WeightedRevAge20)-SUMIF(ThresholdAge20,"&lt;"&amp;'19_Расчет_аналитики'!Z3596,WeightedMinAge20),MAX(CapacityAge20*'01_Вводные'!$B$218*'19_Расчет_аналитики'!Z3596,MeanMinAge20))),0)</f>
        <v/>
      </c>
      <c r="AA3547">
        <f>IF('01_Вводные'!$B$234="Да",IF(OR(('19_Расчет_аналитики'!AA3463-'19_Расчет_аналитики'!AA3491)=0,20&lt;='01_Вводные'!$B$297),0,('19_Расчет_аналитики'!AA3463-'19_Расчет_аналитики'!AA3491)*IF('01_Вводные'!$B$239="Да",MeanMinAge20+'19_Расчет_аналитики'!AA3596*SUMIF(ThresholdAge20,"&lt;"&amp;'19_Расчет_аналитики'!AA3596,WeightedRevAge20)-SUMIF(ThresholdAge20,"&lt;"&amp;'19_Расчет_аналитики'!AA3596,WeightedMinAge20),MAX(CapacityAge20*'01_Вводные'!$B$218*'19_Расчет_аналитики'!AA3596,MeanMinAge20))),0)</f>
        <v/>
      </c>
      <c r="AB3547">
        <f>IF('01_Вводные'!$B$234="Да",IF(OR(('19_Расчет_аналитики'!AB3463-'19_Расчет_аналитики'!AB3491)=0,20&lt;='01_Вводные'!$B$297),0,('19_Расчет_аналитики'!AB3463-'19_Расчет_аналитики'!AB3491)*IF('01_Вводные'!$B$239="Да",MeanMinAge20+'19_Расчет_аналитики'!AB3596*SUMIF(ThresholdAge20,"&lt;"&amp;'19_Расчет_аналитики'!AB3596,WeightedRevAge20)-SUMIF(ThresholdAge20,"&lt;"&amp;'19_Расчет_аналитики'!AB3596,WeightedMinAge20),MAX(CapacityAge20*'01_Вводные'!$B$218*'19_Расчет_аналитики'!AB3596,MeanMinAge20))),0)</f>
        <v/>
      </c>
      <c r="AC3547">
        <f>IF('01_Вводные'!$B$234="Да",IF(OR(('19_Расчет_аналитики'!AC3463-'19_Расчет_аналитики'!AC3491)=0,20&lt;='01_Вводные'!$B$297),0,('19_Расчет_аналитики'!AC3463-'19_Расчет_аналитики'!AC3491)*IF('01_Вводные'!$B$239="Да",MeanMinAge20+'19_Расчет_аналитики'!AC3596*SUMIF(ThresholdAge20,"&lt;"&amp;'19_Расчет_аналитики'!AC3596,WeightedRevAge20)-SUMIF(ThresholdAge20,"&lt;"&amp;'19_Расчет_аналитики'!AC3596,WeightedMinAge20),MAX(CapacityAge20*'01_Вводные'!$B$218*'19_Расчет_аналитики'!AC3596,MeanMinAge20))),0)</f>
        <v/>
      </c>
      <c r="AD3547">
        <f>IF('01_Вводные'!$B$234="Да",IF(OR(('19_Расчет_аналитики'!AD3463-'19_Расчет_аналитики'!AD3491)=0,20&lt;='01_Вводные'!$B$297),0,('19_Расчет_аналитики'!AD3463-'19_Расчет_аналитики'!AD3491)*IF('01_Вводные'!$B$239="Да",MeanMinAge20+'19_Расчет_аналитики'!AD3596*SUMIF(ThresholdAge20,"&lt;"&amp;'19_Расчет_аналитики'!AD3596,WeightedRevAge20)-SUMIF(ThresholdAge20,"&lt;"&amp;'19_Расчет_аналитики'!AD3596,WeightedMinAge20),MAX(CapacityAge20*'01_Вводные'!$B$218*'19_Расчет_аналитики'!AD3596,MeanMinAge20))),0)</f>
        <v/>
      </c>
      <c r="AE3547">
        <f>IF('01_Вводные'!$B$234="Да",IF(OR(('19_Расчет_аналитики'!AE3463-'19_Расчет_аналитики'!AE3491)=0,20&lt;='01_Вводные'!$B$297),0,('19_Расчет_аналитики'!AE3463-'19_Расчет_аналитики'!AE3491)*IF('01_Вводные'!$B$239="Да",MeanMinAge20+'19_Расчет_аналитики'!AE3596*SUMIF(ThresholdAge20,"&lt;"&amp;'19_Расчет_аналитики'!AE3596,WeightedRevAge20)-SUMIF(ThresholdAge20,"&lt;"&amp;'19_Расчет_аналитики'!AE3596,WeightedMinAge20),MAX(CapacityAge20*'01_Вводные'!$B$218*'19_Расчет_аналитики'!AE3596,MeanMinAge20))),0)</f>
        <v/>
      </c>
      <c r="AF3547">
        <f>IF('01_Вводные'!$B$234="Да",IF(OR(('19_Расчет_аналитики'!AF3463-'19_Расчет_аналитики'!AF3491)=0,20&lt;='01_Вводные'!$B$297),0,('19_Расчет_аналитики'!AF3463-'19_Расчет_аналитики'!AF3491)*IF('01_Вводные'!$B$239="Да",MeanMinAge20+'19_Расчет_аналитики'!AF3596*SUMIF(ThresholdAge20,"&lt;"&amp;'19_Расчет_аналитики'!AF3596,WeightedRevAge20)-SUMIF(ThresholdAge20,"&lt;"&amp;'19_Расчет_аналитики'!AF3596,WeightedMinAge20),MAX(CapacityAge20*'01_Вводные'!$B$218*'19_Расчет_аналитики'!AF3596,MeanMinAge20))),0)</f>
        <v/>
      </c>
      <c r="AG3547">
        <f>IF('01_Вводные'!$B$234="Да",IF(OR(('19_Расчет_аналитики'!AG3463-'19_Расчет_аналитики'!AG3491)=0,20&lt;='01_Вводные'!$B$297),0,('19_Расчет_аналитики'!AG3463-'19_Расчет_аналитики'!AG3491)*IF('01_Вводные'!$B$239="Да",MeanMinAge20+'19_Расчет_аналитики'!AG3596*SUMIF(ThresholdAge20,"&lt;"&amp;'19_Расчет_аналитики'!AG3596,WeightedRevAge20)-SUMIF(ThresholdAge20,"&lt;"&amp;'19_Расчет_аналитики'!AG3596,WeightedMinAge20),MAX(CapacityAge20*'01_Вводные'!$B$218*'19_Расчет_аналитики'!AG3596,MeanMinAge20))),0)</f>
        <v/>
      </c>
      <c r="AH3547">
        <f>IF('01_Вводные'!$B$234="Да",IF(OR(('19_Расчет_аналитики'!AH3463-'19_Расчет_аналитики'!AH3491)=0,20&lt;='01_Вводные'!$B$297),0,('19_Расчет_аналитики'!AH3463-'19_Расчет_аналитики'!AH3491)*IF('01_Вводные'!$B$239="Да",MeanMinAge20+'19_Расчет_аналитики'!AH3596*SUMIF(ThresholdAge20,"&lt;"&amp;'19_Расчет_аналитики'!AH3596,WeightedRevAge20)-SUMIF(ThresholdAge20,"&lt;"&amp;'19_Расчет_аналитики'!AH3596,WeightedMinAge20),MAX(CapacityAge20*'01_Вводные'!$B$218*'19_Расчет_аналитики'!AH3596,MeanMinAge20))),0)</f>
        <v/>
      </c>
      <c r="AI3547">
        <f>IF('01_Вводные'!$B$234="Да",IF(OR(('19_Расчет_аналитики'!AI3463-'19_Расчет_аналитики'!AI3491)=0,20&lt;='01_Вводные'!$B$297),0,('19_Расчет_аналитики'!AI3463-'19_Расчет_аналитики'!AI3491)*IF('01_Вводные'!$B$239="Да",MeanMinAge20+'19_Расчет_аналитики'!AI3596*SUMIF(ThresholdAge20,"&lt;"&amp;'19_Расчет_аналитики'!AI3596,WeightedRevAge20)-SUMIF(ThresholdAge20,"&lt;"&amp;'19_Расчет_аналитики'!AI3596,WeightedMinAge20),MAX(CapacityAge20*'01_Вводные'!$B$218*'19_Расчет_аналитики'!AI3596,MeanMinAge20))),0)</f>
        <v/>
      </c>
      <c r="AJ3547">
        <f>IF('01_Вводные'!$B$234="Да",IF(OR(('19_Расчет_аналитики'!AJ3463-'19_Расчет_аналитики'!AJ3491)=0,20&lt;='01_Вводные'!$B$297),0,('19_Расчет_аналитики'!AJ3463-'19_Расчет_аналитики'!AJ3491)*IF('01_Вводные'!$B$239="Да",MeanMinAge20+'19_Расчет_аналитики'!AJ3596*SUMIF(ThresholdAge20,"&lt;"&amp;'19_Расчет_аналитики'!AJ3596,WeightedRevAge20)-SUMIF(ThresholdAge20,"&lt;"&amp;'19_Расчет_аналитики'!AJ3596,WeightedMinAge20),MAX(CapacityAge20*'01_Вводные'!$B$218*'19_Расчет_аналитики'!AJ3596,MeanMinAge20))),0)</f>
        <v/>
      </c>
      <c r="AK3547">
        <f>IF('01_Вводные'!$B$234="Да",IF(OR(('19_Расчет_аналитики'!AK3463-'19_Расчет_аналитики'!AK3491)=0,20&lt;='01_Вводные'!$B$297),0,('19_Расчет_аналитики'!AK3463-'19_Расчет_аналитики'!AK3491)*IF('01_Вводные'!$B$239="Да",MeanMinAge20+'19_Расчет_аналитики'!AK3596*SUMIF(ThresholdAge20,"&lt;"&amp;'19_Расчет_аналитики'!AK3596,WeightedRevAge20)-SUMIF(ThresholdAge20,"&lt;"&amp;'19_Расчет_аналитики'!AK3596,WeightedMinAge20),MAX(CapacityAge20*'01_Вводные'!$B$218*'19_Расчет_аналитики'!AK3596,MeanMinAge20))),0)</f>
        <v/>
      </c>
      <c r="AL3547">
        <f>IF('01_Вводные'!$B$234="Да",IF(OR(('19_Расчет_аналитики'!AL3463-'19_Расчет_аналитики'!AL3491)=0,20&lt;='01_Вводные'!$B$297),0,('19_Расчет_аналитики'!AL3463-'19_Расчет_аналитики'!AL3491)*IF('01_Вводные'!$B$239="Да",MeanMinAge20+'19_Расчет_аналитики'!AL3596*SUMIF(ThresholdAge20,"&lt;"&amp;'19_Расчет_аналитики'!AL3596,WeightedRevAge20)-SUMIF(ThresholdAge20,"&lt;"&amp;'19_Расчет_аналитики'!AL3596,WeightedMinAge20),MAX(CapacityAge20*'01_Вводные'!$B$218*'19_Расчет_аналитики'!AL3596,MeanMinAge20))),0)</f>
        <v/>
      </c>
      <c r="AM3547">
        <f>IF('01_Вводные'!$B$234="Да",IF(OR(('19_Расчет_аналитики'!AM3463-'19_Расчет_аналитики'!AM3491)=0,20&lt;='01_Вводные'!$B$297),0,('19_Расчет_аналитики'!AM3463-'19_Расчет_аналитики'!AM3491)*IF('01_Вводные'!$B$239="Да",MeanMinAge20+'19_Расчет_аналитики'!AM3596*SUMIF(ThresholdAge20,"&lt;"&amp;'19_Расчет_аналитики'!AM3596,WeightedRevAge20)-SUMIF(ThresholdAge20,"&lt;"&amp;'19_Расчет_аналитики'!AM3596,WeightedMinAge20),MAX(CapacityAge20*'01_Вводные'!$B$218*'19_Расчет_аналитики'!AM3596,MeanMinAge20))),0)</f>
        <v/>
      </c>
      <c r="AN3547">
        <f>IF('01_Вводные'!$B$234="Да",IF(OR(('19_Расчет_аналитики'!AN3463-'19_Расчет_аналитики'!AN3491)=0,20&lt;='01_Вводные'!$B$297),0,('19_Расчет_аналитики'!AN3463-'19_Расчет_аналитики'!AN3491)*IF('01_Вводные'!$B$239="Да",MeanMinAge20+'19_Расчет_аналитики'!AN3596*SUMIF(ThresholdAge20,"&lt;"&amp;'19_Расчет_аналитики'!AN3596,WeightedRevAge20)-SUMIF(ThresholdAge20,"&lt;"&amp;'19_Расчет_аналитики'!AN3596,WeightedMinAge20),MAX(CapacityAge20*'01_Вводные'!$B$218*'19_Расчет_аналитики'!AN3596,MeanMinAge20))),0)</f>
        <v/>
      </c>
      <c r="AO3547">
        <f>IF('01_Вводные'!$B$234="Да",IF(OR(('19_Расчет_аналитики'!AO3463-'19_Расчет_аналитики'!AO3491)=0,20&lt;='01_Вводные'!$B$297),0,('19_Расчет_аналитики'!AO3463-'19_Расчет_аналитики'!AO3491)*IF('01_Вводные'!$B$239="Да",MeanMinAge20+'19_Расчет_аналитики'!AO3596*SUMIF(ThresholdAge20,"&lt;"&amp;'19_Расчет_аналитики'!AO3596,WeightedRevAge20)-SUMIF(ThresholdAge20,"&lt;"&amp;'19_Расчет_аналитики'!AO3596,WeightedMinAge20),MAX(CapacityAge20*'01_Вводные'!$B$218*'19_Расчет_аналитики'!AO3596,MeanMinAge20))),0)</f>
        <v/>
      </c>
      <c r="AP3547">
        <f>IF('01_Вводные'!$B$234="Да",IF(OR(('19_Расчет_аналитики'!AP3463-'19_Расчет_аналитики'!AP3491)=0,20&lt;='01_Вводные'!$B$297),0,('19_Расчет_аналитики'!AP3463-'19_Расчет_аналитики'!AP3491)*IF('01_Вводные'!$B$239="Да",MeanMinAge20+'19_Расчет_аналитики'!AP3596*SUMIF(ThresholdAge20,"&lt;"&amp;'19_Расчет_аналитики'!AP3596,WeightedRevAge20)-SUMIF(ThresholdAge20,"&lt;"&amp;'19_Расчет_аналитики'!AP3596,WeightedMinAge20),MAX(CapacityAge20*'01_Вводные'!$B$218*'19_Расчет_аналитики'!AP3596,MeanMinAge20))),0)</f>
        <v/>
      </c>
      <c r="AQ3547">
        <f>IF('01_Вводные'!$B$234="Да",IF(OR(('19_Расчет_аналитики'!AQ3463-'19_Расчет_аналитики'!AQ3491)=0,20&lt;='01_Вводные'!$B$297),0,('19_Расчет_аналитики'!AQ3463-'19_Расчет_аналитики'!AQ3491)*IF('01_Вводные'!$B$239="Да",MeanMinAge20+'19_Расчет_аналитики'!AQ3596*SUMIF(ThresholdAge20,"&lt;"&amp;'19_Расчет_аналитики'!AQ3596,WeightedRevAge20)-SUMIF(ThresholdAge20,"&lt;"&amp;'19_Расчет_аналитики'!AQ3596,WeightedMinAge20),MAX(CapacityAge20*'01_Вводные'!$B$218*'19_Расчет_аналитики'!AQ3596,MeanMinAge20))),0)</f>
        <v/>
      </c>
      <c r="AR3547">
        <f>IF('01_Вводные'!$B$234="Да",IF(OR(('19_Расчет_аналитики'!AR3463-'19_Расчет_аналитики'!AR3491)=0,20&lt;='01_Вводные'!$B$297),0,('19_Расчет_аналитики'!AR3463-'19_Расчет_аналитики'!AR3491)*IF('01_Вводные'!$B$239="Да",MeanMinAge20+'19_Расчет_аналитики'!AR3596*SUMIF(ThresholdAge20,"&lt;"&amp;'19_Расчет_аналитики'!AR3596,WeightedRevAge20)-SUMIF(ThresholdAge20,"&lt;"&amp;'19_Расчет_аналитики'!AR3596,WeightedMinAge20),MAX(CapacityAge20*'01_Вводные'!$B$218*'19_Расчет_аналитики'!AR3596,MeanMinAge20))),0)</f>
        <v/>
      </c>
      <c r="AS3547">
        <f>IF('01_Вводные'!$B$234="Да",IF(OR(('19_Расчет_аналитики'!AS3463-'19_Расчет_аналитики'!AS3491)=0,20&lt;='01_Вводные'!$B$297),0,('19_Расчет_аналитики'!AS3463-'19_Расчет_аналитики'!AS3491)*IF('01_Вводные'!$B$239="Да",MeanMinAge20+'19_Расчет_аналитики'!AS3596*SUMIF(ThresholdAge20,"&lt;"&amp;'19_Расчет_аналитики'!AS3596,WeightedRevAge20)-SUMIF(ThresholdAge20,"&lt;"&amp;'19_Расчет_аналитики'!AS3596,WeightedMinAge20),MAX(CapacityAge20*'01_Вводные'!$B$218*'19_Расчет_аналитики'!AS3596,MeanMinAge20))),0)</f>
        <v/>
      </c>
      <c r="AT3547">
        <f>IF('01_Вводные'!$B$234="Да",IF(OR(('19_Расчет_аналитики'!AT3463-'19_Расчет_аналитики'!AT3491)=0,20&lt;='01_Вводные'!$B$297),0,('19_Расчет_аналитики'!AT3463-'19_Расчет_аналитики'!AT3491)*IF('01_Вводные'!$B$239="Да",MeanMinAge20+'19_Расчет_аналитики'!AT3596*SUMIF(ThresholdAge20,"&lt;"&amp;'19_Расчет_аналитики'!AT3596,WeightedRevAge20)-SUMIF(ThresholdAge20,"&lt;"&amp;'19_Расчет_аналитики'!AT3596,WeightedMinAge20),MAX(CapacityAge20*'01_Вводные'!$B$218*'19_Расчет_аналитики'!AT3596,MeanMinAge20))),0)</f>
        <v/>
      </c>
      <c r="AU3547">
        <f>IF('01_Вводные'!$B$234="Да",IF(OR(('19_Расчет_аналитики'!AU3463-'19_Расчет_аналитики'!AU3491)=0,20&lt;='01_Вводные'!$B$297),0,('19_Расчет_аналитики'!AU3463-'19_Расчет_аналитики'!AU3491)*IF('01_Вводные'!$B$239="Да",MeanMinAge20+'19_Расчет_аналитики'!AU3596*SUMIF(ThresholdAge20,"&lt;"&amp;'19_Расчет_аналитики'!AU3596,WeightedRevAge20)-SUMIF(ThresholdAge20,"&lt;"&amp;'19_Расчет_аналитики'!AU3596,WeightedMinAge20),MAX(CapacityAge20*'01_Вводные'!$B$218*'19_Расчет_аналитики'!AU3596,MeanMinAge20))),0)</f>
        <v/>
      </c>
      <c r="AV3547">
        <f>IF('01_Вводные'!$B$234="Да",IF(OR(('19_Расчет_аналитики'!AV3463-'19_Расчет_аналитики'!AV3491)=0,20&lt;='01_Вводные'!$B$297),0,('19_Расчет_аналитики'!AV3463-'19_Расчет_аналитики'!AV3491)*IF('01_Вводные'!$B$239="Да",MeanMinAge20+'19_Расчет_аналитики'!AV3596*SUMIF(ThresholdAge20,"&lt;"&amp;'19_Расчет_аналитики'!AV3596,WeightedRevAge20)-SUMIF(ThresholdAge20,"&lt;"&amp;'19_Расчет_аналитики'!AV3596,WeightedMinAge20),MAX(CapacityAge20*'01_Вводные'!$B$218*'19_Расчет_аналитики'!AV3596,MeanMinAge20))),0)</f>
        <v/>
      </c>
      <c r="AW3547">
        <f>IF('01_Вводные'!$B$234="Да",IF(OR(('19_Расчет_аналитики'!AW3463-'19_Расчет_аналитики'!AW3491)=0,20&lt;='01_Вводные'!$B$297),0,('19_Расчет_аналитики'!AW3463-'19_Расчет_аналитики'!AW3491)*IF('01_Вводные'!$B$239="Да",MeanMinAge20+'19_Расчет_аналитики'!AW3596*SUMIF(ThresholdAge20,"&lt;"&amp;'19_Расчет_аналитики'!AW3596,WeightedRevAge20)-SUMIF(ThresholdAge20,"&lt;"&amp;'19_Расчет_аналитики'!AW3596,WeightedMinAge20),MAX(CapacityAge20*'01_Вводные'!$B$218*'19_Расчет_аналитики'!AW3596,MeanMinAge20))),0)</f>
        <v/>
      </c>
      <c r="AX3547">
        <f>IF('01_Вводные'!$B$234="Да",IF(OR(('19_Расчет_аналитики'!AX3463-'19_Расчет_аналитики'!AX3491)=0,20&lt;='01_Вводные'!$B$297),0,('19_Расчет_аналитики'!AX3463-'19_Расчет_аналитики'!AX3491)*IF('01_Вводные'!$B$239="Да",MeanMinAge20+'19_Расчет_аналитики'!AX3596*SUMIF(ThresholdAge20,"&lt;"&amp;'19_Расчет_аналитики'!AX3596,WeightedRevAge20)-SUMIF(ThresholdAge20,"&lt;"&amp;'19_Расчет_аналитики'!AX3596,WeightedMinAge20),MAX(CapacityAge20*'01_Вводные'!$B$218*'19_Расчет_аналитики'!AX3596,MeanMinAge20))),0)</f>
        <v/>
      </c>
      <c r="AY3547">
        <f>IF('01_Вводные'!$B$234="Да",IF(OR(('19_Расчет_аналитики'!AY3463-'19_Расчет_аналитики'!AY3491)=0,20&lt;='01_Вводные'!$B$297),0,('19_Расчет_аналитики'!AY3463-'19_Расчет_аналитики'!AY3491)*IF('01_Вводные'!$B$239="Да",MeanMinAge20+'19_Расчет_аналитики'!AY3596*SUMIF(ThresholdAge20,"&lt;"&amp;'19_Расчет_аналитики'!AY3596,WeightedRevAge20)-SUMIF(ThresholdAge20,"&lt;"&amp;'19_Расчет_аналитики'!AY3596,WeightedMinAge20),MAX(CapacityAge20*'01_Вводные'!$B$218*'19_Расчет_аналитики'!AY3596,MeanMinAge20))),0)</f>
        <v/>
      </c>
      <c r="AZ3547">
        <f>IF('01_Вводные'!$B$234="Да",IF(OR(('19_Расчет_аналитики'!AZ3463-'19_Расчет_аналитики'!AZ3491)=0,20&lt;='01_Вводные'!$B$297),0,('19_Расчет_аналитики'!AZ3463-'19_Расчет_аналитики'!AZ3491)*IF('01_Вводные'!$B$239="Да",MeanMinAge20+'19_Расчет_аналитики'!AZ3596*SUMIF(ThresholdAge20,"&lt;"&amp;'19_Расчет_аналитики'!AZ3596,WeightedRevAge20)-SUMIF(ThresholdAge20,"&lt;"&amp;'19_Расчет_аналитики'!AZ3596,WeightedMinAge20),MAX(CapacityAge20*'01_Вводные'!$B$218*'19_Расчет_аналитики'!AZ3596,MeanMinAge20))),0)</f>
        <v/>
      </c>
      <c r="BA3547">
        <f>IF('01_Вводные'!$B$234="Да",IF(OR(('19_Расчет_аналитики'!BA3463-'19_Расчет_аналитики'!BA3491)=0,20&lt;='01_Вводные'!$B$297),0,('19_Расчет_аналитики'!BA3463-'19_Расчет_аналитики'!BA3491)*IF('01_Вводные'!$B$239="Да",MeanMinAge20+'19_Расчет_аналитики'!BA3596*SUMIF(ThresholdAge20,"&lt;"&amp;'19_Расчет_аналитики'!BA3596,WeightedRevAge20)-SUMIF(ThresholdAge20,"&lt;"&amp;'19_Расчет_аналитики'!BA3596,WeightedMinAge20),MAX(CapacityAge20*'01_Вводные'!$B$218*'19_Расчет_аналитики'!BA3596,MeanMinAge20))),0)</f>
        <v/>
      </c>
      <c r="BB3547">
        <f>IF('01_Вводные'!$B$234="Да",IF(OR(('19_Расчет_аналитики'!BB3463-'19_Расчет_аналитики'!BB3491)=0,20&lt;='01_Вводные'!$B$297),0,('19_Расчет_аналитики'!BB3463-'19_Расчет_аналитики'!BB3491)*IF('01_Вводные'!$B$239="Да",MeanMinAge20+'19_Расчет_аналитики'!BB3596*SUMIF(ThresholdAge20,"&lt;"&amp;'19_Расчет_аналитики'!BB3596,WeightedRevAge20)-SUMIF(ThresholdAge20,"&lt;"&amp;'19_Расчет_аналитики'!BB3596,WeightedMinAge20),MAX(CapacityAge20*'01_Вводные'!$B$218*'19_Расчет_аналитики'!BB3596,MeanMinAge20))),0)</f>
        <v/>
      </c>
      <c r="BC3547">
        <f>IF('01_Вводные'!$B$234="Да",IF(OR(('19_Расчет_аналитики'!BC3463-'19_Расчет_аналитики'!BC3491)=0,20&lt;='01_Вводные'!$B$297),0,('19_Расчет_аналитики'!BC3463-'19_Расчет_аналитики'!BC3491)*IF('01_Вводные'!$B$239="Да",MeanMinAge20+'19_Расчет_аналитики'!BC3596*SUMIF(ThresholdAge20,"&lt;"&amp;'19_Расчет_аналитики'!BC3596,WeightedRevAge20)-SUMIF(ThresholdAge20,"&lt;"&amp;'19_Расчет_аналитики'!BC3596,WeightedMinAge20),MAX(CapacityAge20*'01_Вводные'!$B$218*'19_Расчет_аналитики'!BC3596,MeanMinAge20))),0)</f>
        <v/>
      </c>
      <c r="BD3547">
        <f>IF('01_Вводные'!$B$234="Да",IF(OR(('19_Расчет_аналитики'!BD3463-'19_Расчет_аналитики'!BD3491)=0,20&lt;='01_Вводные'!$B$297),0,('19_Расчет_аналитики'!BD3463-'19_Расчет_аналитики'!BD3491)*IF('01_Вводные'!$B$239="Да",MeanMinAge20+'19_Расчет_аналитики'!BD3596*SUMIF(ThresholdAge20,"&lt;"&amp;'19_Расчет_аналитики'!BD3596,WeightedRevAge20)-SUMIF(ThresholdAge20,"&lt;"&amp;'19_Расчет_аналитики'!BD3596,WeightedMinAge20),MAX(CapacityAge20*'01_Вводные'!$B$218*'19_Расчет_аналитики'!BD3596,MeanMinAge20))),0)</f>
        <v/>
      </c>
      <c r="BE3547">
        <f>IF('01_Вводные'!$B$234="Да",IF(OR(('19_Расчет_аналитики'!BE3463-'19_Расчет_аналитики'!BE3491)=0,20&lt;='01_Вводные'!$B$297),0,('19_Расчет_аналитики'!BE3463-'19_Расчет_аналитики'!BE3491)*IF('01_Вводные'!$B$239="Да",MeanMinAge20+'19_Расчет_аналитики'!BE3596*SUMIF(ThresholdAge20,"&lt;"&amp;'19_Расчет_аналитики'!BE3596,WeightedRevAge20)-SUMIF(ThresholdAge20,"&lt;"&amp;'19_Расчет_аналитики'!BE3596,WeightedMinAge20),MAX(CapacityAge20*'01_Вводные'!$B$218*'19_Расчет_аналитики'!BE3596,MeanMinAge20))),0)</f>
        <v/>
      </c>
      <c r="BF3547">
        <f>IF('01_Вводные'!$B$234="Да",IF(OR(('19_Расчет_аналитики'!BF3463-'19_Расчет_аналитики'!BF3491)=0,20&lt;='01_Вводные'!$B$297),0,('19_Расчет_аналитики'!BF3463-'19_Расчет_аналитики'!BF3491)*IF('01_Вводные'!$B$239="Да",MeanMinAge20+'19_Расчет_аналитики'!BF3596*SUMIF(ThresholdAge20,"&lt;"&amp;'19_Расчет_аналитики'!BF3596,WeightedRevAge20)-SUMIF(ThresholdAge20,"&lt;"&amp;'19_Расчет_аналитики'!BF3596,WeightedMinAge20),MAX(CapacityAge20*'01_Вводные'!$B$218*'19_Расчет_аналитики'!BF3596,MeanMinAge20))),0)</f>
        <v/>
      </c>
      <c r="BG3547">
        <f>IF('01_Вводные'!$B$234="Да",IF(OR(('19_Расчет_аналитики'!BG3463-'19_Расчет_аналитики'!BG3491)=0,20&lt;='01_Вводные'!$B$297),0,('19_Расчет_аналитики'!BG3463-'19_Расчет_аналитики'!BG3491)*IF('01_Вводные'!$B$239="Да",MeanMinAge20+'19_Расчет_аналитики'!BG3596*SUMIF(ThresholdAge20,"&lt;"&amp;'19_Расчет_аналитики'!BG3596,WeightedRevAge20)-SUMIF(ThresholdAge20,"&lt;"&amp;'19_Расчет_аналитики'!BG3596,WeightedMinAge20),MAX(CapacityAge20*'01_Вводные'!$B$218*'19_Расчет_аналитики'!BG3596,MeanMinAge20))),0)</f>
        <v/>
      </c>
      <c r="BH3547">
        <f>IF('01_Вводные'!$B$234="Да",IF(OR(('19_Расчет_аналитики'!BH3463-'19_Расчет_аналитики'!BH3491)=0,20&lt;='01_Вводные'!$B$297),0,('19_Расчет_аналитики'!BH3463-'19_Расчет_аналитики'!BH3491)*IF('01_Вводные'!$B$239="Да",MeanMinAge20+'19_Расчет_аналитики'!BH3596*SUMIF(ThresholdAge20,"&lt;"&amp;'19_Расчет_аналитики'!BH3596,WeightedRevAge20)-SUMIF(ThresholdAge20,"&lt;"&amp;'19_Расчет_аналитики'!BH3596,WeightedMinAge20),MAX(CapacityAge20*'01_Вводные'!$B$218*'19_Расчет_аналитики'!BH3596,MeanMinAge20))),0)</f>
        <v/>
      </c>
      <c r="BI3547">
        <f>IF('01_Вводные'!$B$234="Да",IF(OR(('19_Расчет_аналитики'!BI3463-'19_Расчет_аналитики'!BI3491)=0,20&lt;='01_Вводные'!$B$297),0,('19_Расчет_аналитики'!BI3463-'19_Расчет_аналитики'!BI3491)*IF('01_Вводные'!$B$239="Да",MeanMinAge20+'19_Расчет_аналитики'!BI3596*SUMIF(ThresholdAge20,"&lt;"&amp;'19_Расчет_аналитики'!BI3596,WeightedRevAge20)-SUMIF(ThresholdAge20,"&lt;"&amp;'19_Расчет_аналитики'!BI3596,WeightedMinAge20),MAX(CapacityAge20*'01_Вводные'!$B$218*'19_Расчет_аналитики'!BI3596,MeanMinAge20))),0)</f>
        <v/>
      </c>
      <c r="BJ3547">
        <f>IF('01_Вводные'!$B$234="Да",IF(OR(('19_Расчет_аналитики'!BJ3463-'19_Расчет_аналитики'!BJ3491)=0,20&lt;='01_Вводные'!$B$297),0,('19_Расчет_аналитики'!BJ3463-'19_Расчет_аналитики'!BJ3491)*IF('01_Вводные'!$B$239="Да",MeanMinAge20+'19_Расчет_аналитики'!BJ3596*SUMIF(ThresholdAge20,"&lt;"&amp;'19_Расчет_аналитики'!BJ3596,WeightedRevAge20)-SUMIF(ThresholdAge20,"&lt;"&amp;'19_Расчет_аналитики'!BJ3596,WeightedMinAge20),MAX(CapacityAge20*'01_Вводные'!$B$218*'19_Расчет_аналитики'!BJ3596,MeanMinAge20))),0)</f>
        <v/>
      </c>
      <c r="BK3547">
        <f>IF('01_Вводные'!$B$234="Да",IF(OR(('19_Расчет_аналитики'!BK3463-'19_Расчет_аналитики'!BK3491)=0,20&lt;='01_Вводные'!$B$297),0,('19_Расчет_аналитики'!BK3463-'19_Расчет_аналитики'!BK3491)*IF('01_Вводные'!$B$239="Да",MeanMinAge20+'19_Расчет_аналитики'!BK3596*SUMIF(ThresholdAge20,"&lt;"&amp;'19_Расчет_аналитики'!BK3596,WeightedRevAge20)-SUMIF(ThresholdAge20,"&lt;"&amp;'19_Расчет_аналитики'!BK3596,WeightedMinAge20),MAX(CapacityAge20*'01_Вводные'!$B$218*'19_Расчет_аналитики'!BK3596,MeanMinAge20))),0)</f>
        <v/>
      </c>
      <c r="BL3547">
        <f>IF('01_Вводные'!$B$234="Да",IF(OR(('19_Расчет_аналитики'!BL3463-'19_Расчет_аналитики'!BL3491)=0,20&lt;='01_Вводные'!$B$297),0,('19_Расчет_аналитики'!BL3463-'19_Расчет_аналитики'!BL3491)*IF('01_Вводные'!$B$239="Да",MeanMinAge20+'19_Расчет_аналитики'!BL3596*SUMIF(ThresholdAge20,"&lt;"&amp;'19_Расчет_аналитики'!BL3596,WeightedRevAge20)-SUMIF(ThresholdAge20,"&lt;"&amp;'19_Расчет_аналитики'!BL3596,WeightedMinAge20),MAX(CapacityAge20*'01_Вводные'!$B$218*'19_Расчет_аналитики'!BL3596,MeanMinAge20))),0)</f>
        <v/>
      </c>
      <c r="BM3547">
        <f>IF('01_Вводные'!$B$234="Да",IF(OR(('19_Расчет_аналитики'!BM3463-'19_Расчет_аналитики'!BM3491)=0,20&lt;='01_Вводные'!$B$297),0,('19_Расчет_аналитики'!BM3463-'19_Расчет_аналитики'!BM3491)*IF('01_Вводные'!$B$239="Да",MeanMinAge20+'19_Расчет_аналитики'!BM3596*SUMIF(ThresholdAge20,"&lt;"&amp;'19_Расчет_аналитики'!BM3596,WeightedRevAge20)-SUMIF(ThresholdAge20,"&lt;"&amp;'19_Расчет_аналитики'!BM3596,WeightedMinAge20),MAX(CapacityAge20*'01_Вводные'!$B$218*'19_Расчет_аналитики'!BM3596,MeanMinAge20))),0)</f>
        <v/>
      </c>
      <c r="BN3547">
        <f>IF('01_Вводные'!$B$234="Да",IF(OR(('19_Расчет_аналитики'!BN3463-'19_Расчет_аналитики'!BN3491)=0,20&lt;='01_Вводные'!$B$297),0,('19_Расчет_аналитики'!BN3463-'19_Расчет_аналитики'!BN3491)*IF('01_Вводные'!$B$239="Да",MeanMinAge20+'19_Расчет_аналитики'!BN3596*SUMIF(ThresholdAge20,"&lt;"&amp;'19_Расчет_аналитики'!BN3596,WeightedRevAge20)-SUMIF(ThresholdAge20,"&lt;"&amp;'19_Расчет_аналитики'!BN3596,WeightedMinAge20),MAX(CapacityAge20*'01_Вводные'!$B$218*'19_Расчет_аналитики'!BN3596,MeanMinAge20))),0)</f>
        <v/>
      </c>
      <c r="BO3547">
        <f>IF('01_Вводные'!$B$234="Да",IF(OR(('19_Расчет_аналитики'!BO3463-'19_Расчет_аналитики'!BO3491)=0,20&lt;='01_Вводные'!$B$297),0,('19_Расчет_аналитики'!BO3463-'19_Расчет_аналитики'!BO3491)*IF('01_Вводные'!$B$239="Да",MeanMinAge20+'19_Расчет_аналитики'!BO3596*SUMIF(ThresholdAge20,"&lt;"&amp;'19_Расчет_аналитики'!BO3596,WeightedRevAge20)-SUMIF(ThresholdAge20,"&lt;"&amp;'19_Расчет_аналитики'!BO3596,WeightedMinAge20),MAX(CapacityAge20*'01_Вводные'!$B$218*'19_Расчет_аналитики'!BO3596,MeanMinAge20))),0)</f>
        <v/>
      </c>
    </row>
    <row r="3548">
      <c r="B3548">
        <f>IF('01_Вводные'!$B$234="Да",IF(OR(('06_Сеть_и_дети'!B73-'06_Сеть_и_дети'!B101)=0,21&lt;='01_Вводные'!$B$297),0,('06_Сеть_и_дети'!B73-'06_Сеть_и_дети'!B101)*IF('01_Вводные'!$B$239="Да",MeanMinAge21+'19_Расчет_аналитики'!B3596*SUMIF(ThresholdAge21,"&lt;"&amp;'19_Расчет_аналитики'!B3596,WeightedRevAge21)-SUMIF(ThresholdAge21,"&lt;"&amp;'19_Расчет_аналитики'!B3596,WeightedMinAge21),MAX(CapacityAge21*'01_Вводные'!$B$218*'19_Расчет_аналитики'!B3596,MeanMinAge21))),0)</f>
        <v/>
      </c>
      <c r="C3548">
        <f>IF('01_Вводные'!$B$234="Да",IF(OR(('06_Сеть_и_дети'!C73-'06_Сеть_и_дети'!C101)=0,21&lt;='01_Вводные'!$B$297),0,('06_Сеть_и_дети'!C73-'06_Сеть_и_дети'!C101)*IF('01_Вводные'!$B$239="Да",MeanMinAge21+'19_Расчет_аналитики'!C3596*SUMIF(ThresholdAge21,"&lt;"&amp;'19_Расчет_аналитики'!C3596,WeightedRevAge21)-SUMIF(ThresholdAge21,"&lt;"&amp;'19_Расчет_аналитики'!C3596,WeightedMinAge21),MAX(CapacityAge21*'01_Вводные'!$B$218*'19_Расчет_аналитики'!C3596,MeanMinAge21))),0)</f>
        <v/>
      </c>
      <c r="D3548">
        <f>IF('01_Вводные'!$B$234="Да",IF(OR(('06_Сеть_и_дети'!D73-'06_Сеть_и_дети'!D101)=0,21&lt;='01_Вводные'!$B$297),0,('06_Сеть_и_дети'!D73-'06_Сеть_и_дети'!D101)*IF('01_Вводные'!$B$239="Да",MeanMinAge21+'19_Расчет_аналитики'!D3596*SUMIF(ThresholdAge21,"&lt;"&amp;'19_Расчет_аналитики'!D3596,WeightedRevAge21)-SUMIF(ThresholdAge21,"&lt;"&amp;'19_Расчет_аналитики'!D3596,WeightedMinAge21),MAX(CapacityAge21*'01_Вводные'!$B$218*'19_Расчет_аналитики'!D3596,MeanMinAge21))),0)</f>
        <v/>
      </c>
      <c r="E3548">
        <f>IF('01_Вводные'!$B$234="Да",IF(OR(('06_Сеть_и_дети'!E73-'06_Сеть_и_дети'!E101)=0,21&lt;='01_Вводные'!$B$297),0,('06_Сеть_и_дети'!E73-'06_Сеть_и_дети'!E101)*IF('01_Вводные'!$B$239="Да",MeanMinAge21+'19_Расчет_аналитики'!E3596*SUMIF(ThresholdAge21,"&lt;"&amp;'19_Расчет_аналитики'!E3596,WeightedRevAge21)-SUMIF(ThresholdAge21,"&lt;"&amp;'19_Расчет_аналитики'!E3596,WeightedMinAge21),MAX(CapacityAge21*'01_Вводные'!$B$218*'19_Расчет_аналитики'!E3596,MeanMinAge21))),0)</f>
        <v/>
      </c>
      <c r="F3548">
        <f>IF('01_Вводные'!$B$234="Да",IF(OR(('06_Сеть_и_дети'!F73-'06_Сеть_и_дети'!F101)=0,21&lt;='01_Вводные'!$B$297),0,('06_Сеть_и_дети'!F73-'06_Сеть_и_дети'!F101)*IF('01_Вводные'!$B$239="Да",MeanMinAge21+'19_Расчет_аналитики'!F3596*SUMIF(ThresholdAge21,"&lt;"&amp;'19_Расчет_аналитики'!F3596,WeightedRevAge21)-SUMIF(ThresholdAge21,"&lt;"&amp;'19_Расчет_аналитики'!F3596,WeightedMinAge21),MAX(CapacityAge21*'01_Вводные'!$B$218*'19_Расчет_аналитики'!F3596,MeanMinAge21))),0)</f>
        <v/>
      </c>
      <c r="G3548">
        <f>IF('01_Вводные'!$B$234="Да",IF(OR(('06_Сеть_и_дети'!G73-'06_Сеть_и_дети'!G101)=0,21&lt;='01_Вводные'!$B$297),0,('06_Сеть_и_дети'!G73-'06_Сеть_и_дети'!G101)*IF('01_Вводные'!$B$239="Да",MeanMinAge21+'19_Расчет_аналитики'!G3596*SUMIF(ThresholdAge21,"&lt;"&amp;'19_Расчет_аналитики'!G3596,WeightedRevAge21)-SUMIF(ThresholdAge21,"&lt;"&amp;'19_Расчет_аналитики'!G3596,WeightedMinAge21),MAX(CapacityAge21*'01_Вводные'!$B$218*'19_Расчет_аналитики'!G3596,MeanMinAge21))),0)</f>
        <v/>
      </c>
      <c r="H3548">
        <f>IF('01_Вводные'!$B$234="Да",IF(OR(('06_Сеть_и_дети'!H73-'06_Сеть_и_дети'!H101)=0,21&lt;='01_Вводные'!$B$297),0,('06_Сеть_и_дети'!H73-'06_Сеть_и_дети'!H101)*IF('01_Вводные'!$B$239="Да",MeanMinAge21+'19_Расчет_аналитики'!H3596*SUMIF(ThresholdAge21,"&lt;"&amp;'19_Расчет_аналитики'!H3596,WeightedRevAge21)-SUMIF(ThresholdAge21,"&lt;"&amp;'19_Расчет_аналитики'!H3596,WeightedMinAge21),MAX(CapacityAge21*'01_Вводные'!$B$218*'19_Расчет_аналитики'!H3596,MeanMinAge21))),0)</f>
        <v/>
      </c>
      <c r="I3548">
        <f>IF('01_Вводные'!$B$234="Да",IF(OR(('06_Сеть_и_дети'!I73-'06_Сеть_и_дети'!I101)=0,21&lt;='01_Вводные'!$B$297),0,('06_Сеть_и_дети'!I73-'06_Сеть_и_дети'!I101)*IF('01_Вводные'!$B$239="Да",MeanMinAge21+'19_Расчет_аналитики'!I3596*SUMIF(ThresholdAge21,"&lt;"&amp;'19_Расчет_аналитики'!I3596,WeightedRevAge21)-SUMIF(ThresholdAge21,"&lt;"&amp;'19_Расчет_аналитики'!I3596,WeightedMinAge21),MAX(CapacityAge21*'01_Вводные'!$B$218*'19_Расчет_аналитики'!I3596,MeanMinAge21))),0)</f>
        <v/>
      </c>
      <c r="J3548">
        <f>IF('01_Вводные'!$B$234="Да",IF(OR(('06_Сеть_и_дети'!J73-'06_Сеть_и_дети'!J101)=0,21&lt;='01_Вводные'!$B$297),0,('06_Сеть_и_дети'!J73-'06_Сеть_и_дети'!J101)*IF('01_Вводные'!$B$239="Да",MeanMinAge21+'19_Расчет_аналитики'!J3596*SUMIF(ThresholdAge21,"&lt;"&amp;'19_Расчет_аналитики'!J3596,WeightedRevAge21)-SUMIF(ThresholdAge21,"&lt;"&amp;'19_Расчет_аналитики'!J3596,WeightedMinAge21),MAX(CapacityAge21*'01_Вводные'!$B$218*'19_Расчет_аналитики'!J3596,MeanMinAge21))),0)</f>
        <v/>
      </c>
      <c r="K3548">
        <f>IF('01_Вводные'!$B$234="Да",IF(OR(('06_Сеть_и_дети'!K73-'06_Сеть_и_дети'!K101)=0,21&lt;='01_Вводные'!$B$297),0,('06_Сеть_и_дети'!K73-'06_Сеть_и_дети'!K101)*IF('01_Вводные'!$B$239="Да",MeanMinAge21+'19_Расчет_аналитики'!K3596*SUMIF(ThresholdAge21,"&lt;"&amp;'19_Расчет_аналитики'!K3596,WeightedRevAge21)-SUMIF(ThresholdAge21,"&lt;"&amp;'19_Расчет_аналитики'!K3596,WeightedMinAge21),MAX(CapacityAge21*'01_Вводные'!$B$218*'19_Расчет_аналитики'!K3596,MeanMinAge21))),0)</f>
        <v/>
      </c>
      <c r="L3548">
        <f>IF('01_Вводные'!$B$234="Да",IF(OR(('06_Сеть_и_дети'!L73-'06_Сеть_и_дети'!L101)=0,21&lt;='01_Вводные'!$B$297),0,('06_Сеть_и_дети'!L73-'06_Сеть_и_дети'!L101)*IF('01_Вводные'!$B$239="Да",MeanMinAge21+'19_Расчет_аналитики'!L3596*SUMIF(ThresholdAge21,"&lt;"&amp;'19_Расчет_аналитики'!L3596,WeightedRevAge21)-SUMIF(ThresholdAge21,"&lt;"&amp;'19_Расчет_аналитики'!L3596,WeightedMinAge21),MAX(CapacityAge21*'01_Вводные'!$B$218*'19_Расчет_аналитики'!L3596,MeanMinAge21))),0)</f>
        <v/>
      </c>
      <c r="M3548">
        <f>IF('01_Вводные'!$B$234="Да",IF(OR(('06_Сеть_и_дети'!M73-'06_Сеть_и_дети'!M101)=0,21&lt;='01_Вводные'!$B$297),0,('06_Сеть_и_дети'!M73-'06_Сеть_и_дети'!M101)*IF('01_Вводные'!$B$239="Да",MeanMinAge21+'19_Расчет_аналитики'!M3596*SUMIF(ThresholdAge21,"&lt;"&amp;'19_Расчет_аналитики'!M3596,WeightedRevAge21)-SUMIF(ThresholdAge21,"&lt;"&amp;'19_Расчет_аналитики'!M3596,WeightedMinAge21),MAX(CapacityAge21*'01_Вводные'!$B$218*'19_Расчет_аналитики'!M3596,MeanMinAge21))),0)</f>
        <v/>
      </c>
      <c r="N3548">
        <f>IF('01_Вводные'!$B$234="Да",IF(OR(('06_Сеть_и_дети'!N73-'06_Сеть_и_дети'!N101)=0,21&lt;='01_Вводные'!$B$297),0,('06_Сеть_и_дети'!N73-'06_Сеть_и_дети'!N101)*IF('01_Вводные'!$B$239="Да",MeanMinAge21+'19_Расчет_аналитики'!N3596*SUMIF(ThresholdAge21,"&lt;"&amp;'19_Расчет_аналитики'!N3596,WeightedRevAge21)-SUMIF(ThresholdAge21,"&lt;"&amp;'19_Расчет_аналитики'!N3596,WeightedMinAge21),MAX(CapacityAge21*'01_Вводные'!$B$218*'19_Расчет_аналитики'!N3596,MeanMinAge21))),0)</f>
        <v/>
      </c>
      <c r="O3548">
        <f>IF('01_Вводные'!$B$234="Да",IF(OR(('06_Сеть_и_дети'!O73-'06_Сеть_и_дети'!O101)=0,21&lt;='01_Вводные'!$B$297),0,('06_Сеть_и_дети'!O73-'06_Сеть_и_дети'!O101)*IF('01_Вводные'!$B$239="Да",MeanMinAge21+'19_Расчет_аналитики'!O3596*SUMIF(ThresholdAge21,"&lt;"&amp;'19_Расчет_аналитики'!O3596,WeightedRevAge21)-SUMIF(ThresholdAge21,"&lt;"&amp;'19_Расчет_аналитики'!O3596,WeightedMinAge21),MAX(CapacityAge21*'01_Вводные'!$B$218*'19_Расчет_аналитики'!O3596,MeanMinAge21))),0)</f>
        <v/>
      </c>
      <c r="P3548">
        <f>IF('01_Вводные'!$B$234="Да",IF(OR(('06_Сеть_и_дети'!P73-'06_Сеть_и_дети'!P101)=0,21&lt;='01_Вводные'!$B$297),0,('06_Сеть_и_дети'!P73-'06_Сеть_и_дети'!P101)*IF('01_Вводные'!$B$239="Да",MeanMinAge21+'19_Расчет_аналитики'!P3596*SUMIF(ThresholdAge21,"&lt;"&amp;'19_Расчет_аналитики'!P3596,WeightedRevAge21)-SUMIF(ThresholdAge21,"&lt;"&amp;'19_Расчет_аналитики'!P3596,WeightedMinAge21),MAX(CapacityAge21*'01_Вводные'!$B$218*'19_Расчет_аналитики'!P3596,MeanMinAge21))),0)</f>
        <v/>
      </c>
      <c r="Q3548">
        <f>IF('01_Вводные'!$B$234="Да",IF(OR(('06_Сеть_и_дети'!Q73-'06_Сеть_и_дети'!Q101)=0,21&lt;='01_Вводные'!$B$297),0,('06_Сеть_и_дети'!Q73-'06_Сеть_и_дети'!Q101)*IF('01_Вводные'!$B$239="Да",MeanMinAge21+'19_Расчет_аналитики'!Q3596*SUMIF(ThresholdAge21,"&lt;"&amp;'19_Расчет_аналитики'!Q3596,WeightedRevAge21)-SUMIF(ThresholdAge21,"&lt;"&amp;'19_Расчет_аналитики'!Q3596,WeightedMinAge21),MAX(CapacityAge21*'01_Вводные'!$B$218*'19_Расчет_аналитики'!Q3596,MeanMinAge21))),0)</f>
        <v/>
      </c>
      <c r="R3548">
        <f>IF('01_Вводные'!$B$234="Да",IF(OR(('06_Сеть_и_дети'!R73-'06_Сеть_и_дети'!R101)=0,21&lt;='01_Вводные'!$B$297),0,('06_Сеть_и_дети'!R73-'06_Сеть_и_дети'!R101)*IF('01_Вводные'!$B$239="Да",MeanMinAge21+'19_Расчет_аналитики'!R3596*SUMIF(ThresholdAge21,"&lt;"&amp;'19_Расчет_аналитики'!R3596,WeightedRevAge21)-SUMIF(ThresholdAge21,"&lt;"&amp;'19_Расчет_аналитики'!R3596,WeightedMinAge21),MAX(CapacityAge21*'01_Вводные'!$B$218*'19_Расчет_аналитики'!R3596,MeanMinAge21))),0)</f>
        <v/>
      </c>
      <c r="S3548">
        <f>IF('01_Вводные'!$B$234="Да",IF(OR(('06_Сеть_и_дети'!S73-'06_Сеть_и_дети'!S101)=0,21&lt;='01_Вводные'!$B$297),0,('06_Сеть_и_дети'!S73-'06_Сеть_и_дети'!S101)*IF('01_Вводные'!$B$239="Да",MeanMinAge21+'19_Расчет_аналитики'!S3596*SUMIF(ThresholdAge21,"&lt;"&amp;'19_Расчет_аналитики'!S3596,WeightedRevAge21)-SUMIF(ThresholdAge21,"&lt;"&amp;'19_Расчет_аналитики'!S3596,WeightedMinAge21),MAX(CapacityAge21*'01_Вводные'!$B$218*'19_Расчет_аналитики'!S3596,MeanMinAge21))),0)</f>
        <v/>
      </c>
      <c r="T3548">
        <f>IF('01_Вводные'!$B$234="Да",IF(OR(('06_Сеть_и_дети'!T73-'06_Сеть_и_дети'!T101)=0,21&lt;='01_Вводные'!$B$297),0,('06_Сеть_и_дети'!T73-'06_Сеть_и_дети'!T101)*IF('01_Вводные'!$B$239="Да",MeanMinAge21+'19_Расчет_аналитики'!T3596*SUMIF(ThresholdAge21,"&lt;"&amp;'19_Расчет_аналитики'!T3596,WeightedRevAge21)-SUMIF(ThresholdAge21,"&lt;"&amp;'19_Расчет_аналитики'!T3596,WeightedMinAge21),MAX(CapacityAge21*'01_Вводные'!$B$218*'19_Расчет_аналитики'!T3596,MeanMinAge21))),0)</f>
        <v/>
      </c>
      <c r="U3548">
        <f>IF('01_Вводные'!$B$234="Да",IF(OR(('06_Сеть_и_дети'!U73-'06_Сеть_и_дети'!U101)=0,21&lt;='01_Вводные'!$B$297),0,('06_Сеть_и_дети'!U73-'06_Сеть_и_дети'!U101)*IF('01_Вводные'!$B$239="Да",MeanMinAge21+'19_Расчет_аналитики'!U3596*SUMIF(ThresholdAge21,"&lt;"&amp;'19_Расчет_аналитики'!U3596,WeightedRevAge21)-SUMIF(ThresholdAge21,"&lt;"&amp;'19_Расчет_аналитики'!U3596,WeightedMinAge21),MAX(CapacityAge21*'01_Вводные'!$B$218*'19_Расчет_аналитики'!U3596,MeanMinAge21))),0)</f>
        <v/>
      </c>
      <c r="V3548">
        <f>IF('01_Вводные'!$B$234="Да",IF(OR(('19_Расчет_аналитики'!V3464-'19_Расчет_аналитики'!V3492)=0,21&lt;='01_Вводные'!$B$297),0,('19_Расчет_аналитики'!V3464-'19_Расчет_аналитики'!V3492)*IF('01_Вводные'!$B$239="Да",MeanMinAge21+'19_Расчет_аналитики'!V3596*SUMIF(ThresholdAge21,"&lt;"&amp;'19_Расчет_аналитики'!V3596,WeightedRevAge21)-SUMIF(ThresholdAge21,"&lt;"&amp;'19_Расчет_аналитики'!V3596,WeightedMinAge21),MAX(CapacityAge21*'01_Вводные'!$B$218*'19_Расчет_аналитики'!V3596,MeanMinAge21))),0)</f>
        <v/>
      </c>
      <c r="W3548">
        <f>IF('01_Вводные'!$B$234="Да",IF(OR(('19_Расчет_аналитики'!W3464-'19_Расчет_аналитики'!W3492)=0,21&lt;='01_Вводные'!$B$297),0,('19_Расчет_аналитики'!W3464-'19_Расчет_аналитики'!W3492)*IF('01_Вводные'!$B$239="Да",MeanMinAge21+'19_Расчет_аналитики'!W3596*SUMIF(ThresholdAge21,"&lt;"&amp;'19_Расчет_аналитики'!W3596,WeightedRevAge21)-SUMIF(ThresholdAge21,"&lt;"&amp;'19_Расчет_аналитики'!W3596,WeightedMinAge21),MAX(CapacityAge21*'01_Вводные'!$B$218*'19_Расчет_аналитики'!W3596,MeanMinAge21))),0)</f>
        <v/>
      </c>
      <c r="X3548">
        <f>IF('01_Вводные'!$B$234="Да",IF(OR(('19_Расчет_аналитики'!X3464-'19_Расчет_аналитики'!X3492)=0,21&lt;='01_Вводные'!$B$297),0,('19_Расчет_аналитики'!X3464-'19_Расчет_аналитики'!X3492)*IF('01_Вводные'!$B$239="Да",MeanMinAge21+'19_Расчет_аналитики'!X3596*SUMIF(ThresholdAge21,"&lt;"&amp;'19_Расчет_аналитики'!X3596,WeightedRevAge21)-SUMIF(ThresholdAge21,"&lt;"&amp;'19_Расчет_аналитики'!X3596,WeightedMinAge21),MAX(CapacityAge21*'01_Вводные'!$B$218*'19_Расчет_аналитики'!X3596,MeanMinAge21))),0)</f>
        <v/>
      </c>
      <c r="Y3548">
        <f>IF('01_Вводные'!$B$234="Да",IF(OR(('19_Расчет_аналитики'!Y3464-'19_Расчет_аналитики'!Y3492)=0,21&lt;='01_Вводные'!$B$297),0,('19_Расчет_аналитики'!Y3464-'19_Расчет_аналитики'!Y3492)*IF('01_Вводные'!$B$239="Да",MeanMinAge21+'19_Расчет_аналитики'!Y3596*SUMIF(ThresholdAge21,"&lt;"&amp;'19_Расчет_аналитики'!Y3596,WeightedRevAge21)-SUMIF(ThresholdAge21,"&lt;"&amp;'19_Расчет_аналитики'!Y3596,WeightedMinAge21),MAX(CapacityAge21*'01_Вводные'!$B$218*'19_Расчет_аналитики'!Y3596,MeanMinAge21))),0)</f>
        <v/>
      </c>
      <c r="Z3548">
        <f>IF('01_Вводные'!$B$234="Да",IF(OR(('19_Расчет_аналитики'!Z3464-'19_Расчет_аналитики'!Z3492)=0,21&lt;='01_Вводные'!$B$297),0,('19_Расчет_аналитики'!Z3464-'19_Расчет_аналитики'!Z3492)*IF('01_Вводные'!$B$239="Да",MeanMinAge21+'19_Расчет_аналитики'!Z3596*SUMIF(ThresholdAge21,"&lt;"&amp;'19_Расчет_аналитики'!Z3596,WeightedRevAge21)-SUMIF(ThresholdAge21,"&lt;"&amp;'19_Расчет_аналитики'!Z3596,WeightedMinAge21),MAX(CapacityAge21*'01_Вводные'!$B$218*'19_Расчет_аналитики'!Z3596,MeanMinAge21))),0)</f>
        <v/>
      </c>
      <c r="AA3548">
        <f>IF('01_Вводные'!$B$234="Да",IF(OR(('19_Расчет_аналитики'!AA3464-'19_Расчет_аналитики'!AA3492)=0,21&lt;='01_Вводные'!$B$297),0,('19_Расчет_аналитики'!AA3464-'19_Расчет_аналитики'!AA3492)*IF('01_Вводные'!$B$239="Да",MeanMinAge21+'19_Расчет_аналитики'!AA3596*SUMIF(ThresholdAge21,"&lt;"&amp;'19_Расчет_аналитики'!AA3596,WeightedRevAge21)-SUMIF(ThresholdAge21,"&lt;"&amp;'19_Расчет_аналитики'!AA3596,WeightedMinAge21),MAX(CapacityAge21*'01_Вводные'!$B$218*'19_Расчет_аналитики'!AA3596,MeanMinAge21))),0)</f>
        <v/>
      </c>
      <c r="AB3548">
        <f>IF('01_Вводные'!$B$234="Да",IF(OR(('19_Расчет_аналитики'!AB3464-'19_Расчет_аналитики'!AB3492)=0,21&lt;='01_Вводные'!$B$297),0,('19_Расчет_аналитики'!AB3464-'19_Расчет_аналитики'!AB3492)*IF('01_Вводные'!$B$239="Да",MeanMinAge21+'19_Расчет_аналитики'!AB3596*SUMIF(ThresholdAge21,"&lt;"&amp;'19_Расчет_аналитики'!AB3596,WeightedRevAge21)-SUMIF(ThresholdAge21,"&lt;"&amp;'19_Расчет_аналитики'!AB3596,WeightedMinAge21),MAX(CapacityAge21*'01_Вводные'!$B$218*'19_Расчет_аналитики'!AB3596,MeanMinAge21))),0)</f>
        <v/>
      </c>
      <c r="AC3548">
        <f>IF('01_Вводные'!$B$234="Да",IF(OR(('19_Расчет_аналитики'!AC3464-'19_Расчет_аналитики'!AC3492)=0,21&lt;='01_Вводные'!$B$297),0,('19_Расчет_аналитики'!AC3464-'19_Расчет_аналитики'!AC3492)*IF('01_Вводные'!$B$239="Да",MeanMinAge21+'19_Расчет_аналитики'!AC3596*SUMIF(ThresholdAge21,"&lt;"&amp;'19_Расчет_аналитики'!AC3596,WeightedRevAge21)-SUMIF(ThresholdAge21,"&lt;"&amp;'19_Расчет_аналитики'!AC3596,WeightedMinAge21),MAX(CapacityAge21*'01_Вводные'!$B$218*'19_Расчет_аналитики'!AC3596,MeanMinAge21))),0)</f>
        <v/>
      </c>
      <c r="AD3548">
        <f>IF('01_Вводные'!$B$234="Да",IF(OR(('19_Расчет_аналитики'!AD3464-'19_Расчет_аналитики'!AD3492)=0,21&lt;='01_Вводные'!$B$297),0,('19_Расчет_аналитики'!AD3464-'19_Расчет_аналитики'!AD3492)*IF('01_Вводные'!$B$239="Да",MeanMinAge21+'19_Расчет_аналитики'!AD3596*SUMIF(ThresholdAge21,"&lt;"&amp;'19_Расчет_аналитики'!AD3596,WeightedRevAge21)-SUMIF(ThresholdAge21,"&lt;"&amp;'19_Расчет_аналитики'!AD3596,WeightedMinAge21),MAX(CapacityAge21*'01_Вводные'!$B$218*'19_Расчет_аналитики'!AD3596,MeanMinAge21))),0)</f>
        <v/>
      </c>
      <c r="AE3548">
        <f>IF('01_Вводные'!$B$234="Да",IF(OR(('19_Расчет_аналитики'!AE3464-'19_Расчет_аналитики'!AE3492)=0,21&lt;='01_Вводные'!$B$297),0,('19_Расчет_аналитики'!AE3464-'19_Расчет_аналитики'!AE3492)*IF('01_Вводные'!$B$239="Да",MeanMinAge21+'19_Расчет_аналитики'!AE3596*SUMIF(ThresholdAge21,"&lt;"&amp;'19_Расчет_аналитики'!AE3596,WeightedRevAge21)-SUMIF(ThresholdAge21,"&lt;"&amp;'19_Расчет_аналитики'!AE3596,WeightedMinAge21),MAX(CapacityAge21*'01_Вводные'!$B$218*'19_Расчет_аналитики'!AE3596,MeanMinAge21))),0)</f>
        <v/>
      </c>
      <c r="AF3548">
        <f>IF('01_Вводные'!$B$234="Да",IF(OR(('19_Расчет_аналитики'!AF3464-'19_Расчет_аналитики'!AF3492)=0,21&lt;='01_Вводные'!$B$297),0,('19_Расчет_аналитики'!AF3464-'19_Расчет_аналитики'!AF3492)*IF('01_Вводные'!$B$239="Да",MeanMinAge21+'19_Расчет_аналитики'!AF3596*SUMIF(ThresholdAge21,"&lt;"&amp;'19_Расчет_аналитики'!AF3596,WeightedRevAge21)-SUMIF(ThresholdAge21,"&lt;"&amp;'19_Расчет_аналитики'!AF3596,WeightedMinAge21),MAX(CapacityAge21*'01_Вводные'!$B$218*'19_Расчет_аналитики'!AF3596,MeanMinAge21))),0)</f>
        <v/>
      </c>
      <c r="AG3548">
        <f>IF('01_Вводные'!$B$234="Да",IF(OR(('19_Расчет_аналитики'!AG3464-'19_Расчет_аналитики'!AG3492)=0,21&lt;='01_Вводные'!$B$297),0,('19_Расчет_аналитики'!AG3464-'19_Расчет_аналитики'!AG3492)*IF('01_Вводные'!$B$239="Да",MeanMinAge21+'19_Расчет_аналитики'!AG3596*SUMIF(ThresholdAge21,"&lt;"&amp;'19_Расчет_аналитики'!AG3596,WeightedRevAge21)-SUMIF(ThresholdAge21,"&lt;"&amp;'19_Расчет_аналитики'!AG3596,WeightedMinAge21),MAX(CapacityAge21*'01_Вводные'!$B$218*'19_Расчет_аналитики'!AG3596,MeanMinAge21))),0)</f>
        <v/>
      </c>
      <c r="AH3548">
        <f>IF('01_Вводные'!$B$234="Да",IF(OR(('19_Расчет_аналитики'!AH3464-'19_Расчет_аналитики'!AH3492)=0,21&lt;='01_Вводные'!$B$297),0,('19_Расчет_аналитики'!AH3464-'19_Расчет_аналитики'!AH3492)*IF('01_Вводные'!$B$239="Да",MeanMinAge21+'19_Расчет_аналитики'!AH3596*SUMIF(ThresholdAge21,"&lt;"&amp;'19_Расчет_аналитики'!AH3596,WeightedRevAge21)-SUMIF(ThresholdAge21,"&lt;"&amp;'19_Расчет_аналитики'!AH3596,WeightedMinAge21),MAX(CapacityAge21*'01_Вводные'!$B$218*'19_Расчет_аналитики'!AH3596,MeanMinAge21))),0)</f>
        <v/>
      </c>
      <c r="AI3548">
        <f>IF('01_Вводные'!$B$234="Да",IF(OR(('19_Расчет_аналитики'!AI3464-'19_Расчет_аналитики'!AI3492)=0,21&lt;='01_Вводные'!$B$297),0,('19_Расчет_аналитики'!AI3464-'19_Расчет_аналитики'!AI3492)*IF('01_Вводные'!$B$239="Да",MeanMinAge21+'19_Расчет_аналитики'!AI3596*SUMIF(ThresholdAge21,"&lt;"&amp;'19_Расчет_аналитики'!AI3596,WeightedRevAge21)-SUMIF(ThresholdAge21,"&lt;"&amp;'19_Расчет_аналитики'!AI3596,WeightedMinAge21),MAX(CapacityAge21*'01_Вводные'!$B$218*'19_Расчет_аналитики'!AI3596,MeanMinAge21))),0)</f>
        <v/>
      </c>
      <c r="AJ3548">
        <f>IF('01_Вводные'!$B$234="Да",IF(OR(('19_Расчет_аналитики'!AJ3464-'19_Расчет_аналитики'!AJ3492)=0,21&lt;='01_Вводные'!$B$297),0,('19_Расчет_аналитики'!AJ3464-'19_Расчет_аналитики'!AJ3492)*IF('01_Вводные'!$B$239="Да",MeanMinAge21+'19_Расчет_аналитики'!AJ3596*SUMIF(ThresholdAge21,"&lt;"&amp;'19_Расчет_аналитики'!AJ3596,WeightedRevAge21)-SUMIF(ThresholdAge21,"&lt;"&amp;'19_Расчет_аналитики'!AJ3596,WeightedMinAge21),MAX(CapacityAge21*'01_Вводные'!$B$218*'19_Расчет_аналитики'!AJ3596,MeanMinAge21))),0)</f>
        <v/>
      </c>
      <c r="AK3548">
        <f>IF('01_Вводные'!$B$234="Да",IF(OR(('19_Расчет_аналитики'!AK3464-'19_Расчет_аналитики'!AK3492)=0,21&lt;='01_Вводные'!$B$297),0,('19_Расчет_аналитики'!AK3464-'19_Расчет_аналитики'!AK3492)*IF('01_Вводные'!$B$239="Да",MeanMinAge21+'19_Расчет_аналитики'!AK3596*SUMIF(ThresholdAge21,"&lt;"&amp;'19_Расчет_аналитики'!AK3596,WeightedRevAge21)-SUMIF(ThresholdAge21,"&lt;"&amp;'19_Расчет_аналитики'!AK3596,WeightedMinAge21),MAX(CapacityAge21*'01_Вводные'!$B$218*'19_Расчет_аналитики'!AK3596,MeanMinAge21))),0)</f>
        <v/>
      </c>
      <c r="AL3548">
        <f>IF('01_Вводные'!$B$234="Да",IF(OR(('19_Расчет_аналитики'!AL3464-'19_Расчет_аналитики'!AL3492)=0,21&lt;='01_Вводные'!$B$297),0,('19_Расчет_аналитики'!AL3464-'19_Расчет_аналитики'!AL3492)*IF('01_Вводные'!$B$239="Да",MeanMinAge21+'19_Расчет_аналитики'!AL3596*SUMIF(ThresholdAge21,"&lt;"&amp;'19_Расчет_аналитики'!AL3596,WeightedRevAge21)-SUMIF(ThresholdAge21,"&lt;"&amp;'19_Расчет_аналитики'!AL3596,WeightedMinAge21),MAX(CapacityAge21*'01_Вводные'!$B$218*'19_Расчет_аналитики'!AL3596,MeanMinAge21))),0)</f>
        <v/>
      </c>
      <c r="AM3548">
        <f>IF('01_Вводные'!$B$234="Да",IF(OR(('19_Расчет_аналитики'!AM3464-'19_Расчет_аналитики'!AM3492)=0,21&lt;='01_Вводные'!$B$297),0,('19_Расчет_аналитики'!AM3464-'19_Расчет_аналитики'!AM3492)*IF('01_Вводные'!$B$239="Да",MeanMinAge21+'19_Расчет_аналитики'!AM3596*SUMIF(ThresholdAge21,"&lt;"&amp;'19_Расчет_аналитики'!AM3596,WeightedRevAge21)-SUMIF(ThresholdAge21,"&lt;"&amp;'19_Расчет_аналитики'!AM3596,WeightedMinAge21),MAX(CapacityAge21*'01_Вводные'!$B$218*'19_Расчет_аналитики'!AM3596,MeanMinAge21))),0)</f>
        <v/>
      </c>
      <c r="AN3548">
        <f>IF('01_Вводные'!$B$234="Да",IF(OR(('19_Расчет_аналитики'!AN3464-'19_Расчет_аналитики'!AN3492)=0,21&lt;='01_Вводные'!$B$297),0,('19_Расчет_аналитики'!AN3464-'19_Расчет_аналитики'!AN3492)*IF('01_Вводные'!$B$239="Да",MeanMinAge21+'19_Расчет_аналитики'!AN3596*SUMIF(ThresholdAge21,"&lt;"&amp;'19_Расчет_аналитики'!AN3596,WeightedRevAge21)-SUMIF(ThresholdAge21,"&lt;"&amp;'19_Расчет_аналитики'!AN3596,WeightedMinAge21),MAX(CapacityAge21*'01_Вводные'!$B$218*'19_Расчет_аналитики'!AN3596,MeanMinAge21))),0)</f>
        <v/>
      </c>
      <c r="AO3548">
        <f>IF('01_Вводные'!$B$234="Да",IF(OR(('19_Расчет_аналитики'!AO3464-'19_Расчет_аналитики'!AO3492)=0,21&lt;='01_Вводные'!$B$297),0,('19_Расчет_аналитики'!AO3464-'19_Расчет_аналитики'!AO3492)*IF('01_Вводные'!$B$239="Да",MeanMinAge21+'19_Расчет_аналитики'!AO3596*SUMIF(ThresholdAge21,"&lt;"&amp;'19_Расчет_аналитики'!AO3596,WeightedRevAge21)-SUMIF(ThresholdAge21,"&lt;"&amp;'19_Расчет_аналитики'!AO3596,WeightedMinAge21),MAX(CapacityAge21*'01_Вводные'!$B$218*'19_Расчет_аналитики'!AO3596,MeanMinAge21))),0)</f>
        <v/>
      </c>
      <c r="AP3548">
        <f>IF('01_Вводные'!$B$234="Да",IF(OR(('19_Расчет_аналитики'!AP3464-'19_Расчет_аналитики'!AP3492)=0,21&lt;='01_Вводные'!$B$297),0,('19_Расчет_аналитики'!AP3464-'19_Расчет_аналитики'!AP3492)*IF('01_Вводные'!$B$239="Да",MeanMinAge21+'19_Расчет_аналитики'!AP3596*SUMIF(ThresholdAge21,"&lt;"&amp;'19_Расчет_аналитики'!AP3596,WeightedRevAge21)-SUMIF(ThresholdAge21,"&lt;"&amp;'19_Расчет_аналитики'!AP3596,WeightedMinAge21),MAX(CapacityAge21*'01_Вводные'!$B$218*'19_Расчет_аналитики'!AP3596,MeanMinAge21))),0)</f>
        <v/>
      </c>
      <c r="AQ3548">
        <f>IF('01_Вводные'!$B$234="Да",IF(OR(('19_Расчет_аналитики'!AQ3464-'19_Расчет_аналитики'!AQ3492)=0,21&lt;='01_Вводные'!$B$297),0,('19_Расчет_аналитики'!AQ3464-'19_Расчет_аналитики'!AQ3492)*IF('01_Вводные'!$B$239="Да",MeanMinAge21+'19_Расчет_аналитики'!AQ3596*SUMIF(ThresholdAge21,"&lt;"&amp;'19_Расчет_аналитики'!AQ3596,WeightedRevAge21)-SUMIF(ThresholdAge21,"&lt;"&amp;'19_Расчет_аналитики'!AQ3596,WeightedMinAge21),MAX(CapacityAge21*'01_Вводные'!$B$218*'19_Расчет_аналитики'!AQ3596,MeanMinAge21))),0)</f>
        <v/>
      </c>
      <c r="AR3548">
        <f>IF('01_Вводные'!$B$234="Да",IF(OR(('19_Расчет_аналитики'!AR3464-'19_Расчет_аналитики'!AR3492)=0,21&lt;='01_Вводные'!$B$297),0,('19_Расчет_аналитики'!AR3464-'19_Расчет_аналитики'!AR3492)*IF('01_Вводные'!$B$239="Да",MeanMinAge21+'19_Расчет_аналитики'!AR3596*SUMIF(ThresholdAge21,"&lt;"&amp;'19_Расчет_аналитики'!AR3596,WeightedRevAge21)-SUMIF(ThresholdAge21,"&lt;"&amp;'19_Расчет_аналитики'!AR3596,WeightedMinAge21),MAX(CapacityAge21*'01_Вводные'!$B$218*'19_Расчет_аналитики'!AR3596,MeanMinAge21))),0)</f>
        <v/>
      </c>
      <c r="AS3548">
        <f>IF('01_Вводные'!$B$234="Да",IF(OR(('19_Расчет_аналитики'!AS3464-'19_Расчет_аналитики'!AS3492)=0,21&lt;='01_Вводные'!$B$297),0,('19_Расчет_аналитики'!AS3464-'19_Расчет_аналитики'!AS3492)*IF('01_Вводные'!$B$239="Да",MeanMinAge21+'19_Расчет_аналитики'!AS3596*SUMIF(ThresholdAge21,"&lt;"&amp;'19_Расчет_аналитики'!AS3596,WeightedRevAge21)-SUMIF(ThresholdAge21,"&lt;"&amp;'19_Расчет_аналитики'!AS3596,WeightedMinAge21),MAX(CapacityAge21*'01_Вводные'!$B$218*'19_Расчет_аналитики'!AS3596,MeanMinAge21))),0)</f>
        <v/>
      </c>
      <c r="AT3548">
        <f>IF('01_Вводные'!$B$234="Да",IF(OR(('19_Расчет_аналитики'!AT3464-'19_Расчет_аналитики'!AT3492)=0,21&lt;='01_Вводные'!$B$297),0,('19_Расчет_аналитики'!AT3464-'19_Расчет_аналитики'!AT3492)*IF('01_Вводные'!$B$239="Да",MeanMinAge21+'19_Расчет_аналитики'!AT3596*SUMIF(ThresholdAge21,"&lt;"&amp;'19_Расчет_аналитики'!AT3596,WeightedRevAge21)-SUMIF(ThresholdAge21,"&lt;"&amp;'19_Расчет_аналитики'!AT3596,WeightedMinAge21),MAX(CapacityAge21*'01_Вводные'!$B$218*'19_Расчет_аналитики'!AT3596,MeanMinAge21))),0)</f>
        <v/>
      </c>
      <c r="AU3548">
        <f>IF('01_Вводные'!$B$234="Да",IF(OR(('19_Расчет_аналитики'!AU3464-'19_Расчет_аналитики'!AU3492)=0,21&lt;='01_Вводные'!$B$297),0,('19_Расчет_аналитики'!AU3464-'19_Расчет_аналитики'!AU3492)*IF('01_Вводные'!$B$239="Да",MeanMinAge21+'19_Расчет_аналитики'!AU3596*SUMIF(ThresholdAge21,"&lt;"&amp;'19_Расчет_аналитики'!AU3596,WeightedRevAge21)-SUMIF(ThresholdAge21,"&lt;"&amp;'19_Расчет_аналитики'!AU3596,WeightedMinAge21),MAX(CapacityAge21*'01_Вводные'!$B$218*'19_Расчет_аналитики'!AU3596,MeanMinAge21))),0)</f>
        <v/>
      </c>
      <c r="AV3548">
        <f>IF('01_Вводные'!$B$234="Да",IF(OR(('19_Расчет_аналитики'!AV3464-'19_Расчет_аналитики'!AV3492)=0,21&lt;='01_Вводные'!$B$297),0,('19_Расчет_аналитики'!AV3464-'19_Расчет_аналитики'!AV3492)*IF('01_Вводные'!$B$239="Да",MeanMinAge21+'19_Расчет_аналитики'!AV3596*SUMIF(ThresholdAge21,"&lt;"&amp;'19_Расчет_аналитики'!AV3596,WeightedRevAge21)-SUMIF(ThresholdAge21,"&lt;"&amp;'19_Расчет_аналитики'!AV3596,WeightedMinAge21),MAX(CapacityAge21*'01_Вводные'!$B$218*'19_Расчет_аналитики'!AV3596,MeanMinAge21))),0)</f>
        <v/>
      </c>
      <c r="AW3548">
        <f>IF('01_Вводные'!$B$234="Да",IF(OR(('19_Расчет_аналитики'!AW3464-'19_Расчет_аналитики'!AW3492)=0,21&lt;='01_Вводные'!$B$297),0,('19_Расчет_аналитики'!AW3464-'19_Расчет_аналитики'!AW3492)*IF('01_Вводные'!$B$239="Да",MeanMinAge21+'19_Расчет_аналитики'!AW3596*SUMIF(ThresholdAge21,"&lt;"&amp;'19_Расчет_аналитики'!AW3596,WeightedRevAge21)-SUMIF(ThresholdAge21,"&lt;"&amp;'19_Расчет_аналитики'!AW3596,WeightedMinAge21),MAX(CapacityAge21*'01_Вводные'!$B$218*'19_Расчет_аналитики'!AW3596,MeanMinAge21))),0)</f>
        <v/>
      </c>
      <c r="AX3548">
        <f>IF('01_Вводные'!$B$234="Да",IF(OR(('19_Расчет_аналитики'!AX3464-'19_Расчет_аналитики'!AX3492)=0,21&lt;='01_Вводные'!$B$297),0,('19_Расчет_аналитики'!AX3464-'19_Расчет_аналитики'!AX3492)*IF('01_Вводные'!$B$239="Да",MeanMinAge21+'19_Расчет_аналитики'!AX3596*SUMIF(ThresholdAge21,"&lt;"&amp;'19_Расчет_аналитики'!AX3596,WeightedRevAge21)-SUMIF(ThresholdAge21,"&lt;"&amp;'19_Расчет_аналитики'!AX3596,WeightedMinAge21),MAX(CapacityAge21*'01_Вводные'!$B$218*'19_Расчет_аналитики'!AX3596,MeanMinAge21))),0)</f>
        <v/>
      </c>
      <c r="AY3548">
        <f>IF('01_Вводные'!$B$234="Да",IF(OR(('19_Расчет_аналитики'!AY3464-'19_Расчет_аналитики'!AY3492)=0,21&lt;='01_Вводные'!$B$297),0,('19_Расчет_аналитики'!AY3464-'19_Расчет_аналитики'!AY3492)*IF('01_Вводные'!$B$239="Да",MeanMinAge21+'19_Расчет_аналитики'!AY3596*SUMIF(ThresholdAge21,"&lt;"&amp;'19_Расчет_аналитики'!AY3596,WeightedRevAge21)-SUMIF(ThresholdAge21,"&lt;"&amp;'19_Расчет_аналитики'!AY3596,WeightedMinAge21),MAX(CapacityAge21*'01_Вводные'!$B$218*'19_Расчет_аналитики'!AY3596,MeanMinAge21))),0)</f>
        <v/>
      </c>
      <c r="AZ3548">
        <f>IF('01_Вводные'!$B$234="Да",IF(OR(('19_Расчет_аналитики'!AZ3464-'19_Расчет_аналитики'!AZ3492)=0,21&lt;='01_Вводные'!$B$297),0,('19_Расчет_аналитики'!AZ3464-'19_Расчет_аналитики'!AZ3492)*IF('01_Вводные'!$B$239="Да",MeanMinAge21+'19_Расчет_аналитики'!AZ3596*SUMIF(ThresholdAge21,"&lt;"&amp;'19_Расчет_аналитики'!AZ3596,WeightedRevAge21)-SUMIF(ThresholdAge21,"&lt;"&amp;'19_Расчет_аналитики'!AZ3596,WeightedMinAge21),MAX(CapacityAge21*'01_Вводные'!$B$218*'19_Расчет_аналитики'!AZ3596,MeanMinAge21))),0)</f>
        <v/>
      </c>
      <c r="BA3548">
        <f>IF('01_Вводные'!$B$234="Да",IF(OR(('19_Расчет_аналитики'!BA3464-'19_Расчет_аналитики'!BA3492)=0,21&lt;='01_Вводные'!$B$297),0,('19_Расчет_аналитики'!BA3464-'19_Расчет_аналитики'!BA3492)*IF('01_Вводные'!$B$239="Да",MeanMinAge21+'19_Расчет_аналитики'!BA3596*SUMIF(ThresholdAge21,"&lt;"&amp;'19_Расчет_аналитики'!BA3596,WeightedRevAge21)-SUMIF(ThresholdAge21,"&lt;"&amp;'19_Расчет_аналитики'!BA3596,WeightedMinAge21),MAX(CapacityAge21*'01_Вводные'!$B$218*'19_Расчет_аналитики'!BA3596,MeanMinAge21))),0)</f>
        <v/>
      </c>
      <c r="BB3548">
        <f>IF('01_Вводные'!$B$234="Да",IF(OR(('19_Расчет_аналитики'!BB3464-'19_Расчет_аналитики'!BB3492)=0,21&lt;='01_Вводные'!$B$297),0,('19_Расчет_аналитики'!BB3464-'19_Расчет_аналитики'!BB3492)*IF('01_Вводные'!$B$239="Да",MeanMinAge21+'19_Расчет_аналитики'!BB3596*SUMIF(ThresholdAge21,"&lt;"&amp;'19_Расчет_аналитики'!BB3596,WeightedRevAge21)-SUMIF(ThresholdAge21,"&lt;"&amp;'19_Расчет_аналитики'!BB3596,WeightedMinAge21),MAX(CapacityAge21*'01_Вводные'!$B$218*'19_Расчет_аналитики'!BB3596,MeanMinAge21))),0)</f>
        <v/>
      </c>
      <c r="BC3548">
        <f>IF('01_Вводные'!$B$234="Да",IF(OR(('19_Расчет_аналитики'!BC3464-'19_Расчет_аналитики'!BC3492)=0,21&lt;='01_Вводные'!$B$297),0,('19_Расчет_аналитики'!BC3464-'19_Расчет_аналитики'!BC3492)*IF('01_Вводные'!$B$239="Да",MeanMinAge21+'19_Расчет_аналитики'!BC3596*SUMIF(ThresholdAge21,"&lt;"&amp;'19_Расчет_аналитики'!BC3596,WeightedRevAge21)-SUMIF(ThresholdAge21,"&lt;"&amp;'19_Расчет_аналитики'!BC3596,WeightedMinAge21),MAX(CapacityAge21*'01_Вводные'!$B$218*'19_Расчет_аналитики'!BC3596,MeanMinAge21))),0)</f>
        <v/>
      </c>
      <c r="BD3548">
        <f>IF('01_Вводные'!$B$234="Да",IF(OR(('19_Расчет_аналитики'!BD3464-'19_Расчет_аналитики'!BD3492)=0,21&lt;='01_Вводные'!$B$297),0,('19_Расчет_аналитики'!BD3464-'19_Расчет_аналитики'!BD3492)*IF('01_Вводные'!$B$239="Да",MeanMinAge21+'19_Расчет_аналитики'!BD3596*SUMIF(ThresholdAge21,"&lt;"&amp;'19_Расчет_аналитики'!BD3596,WeightedRevAge21)-SUMIF(ThresholdAge21,"&lt;"&amp;'19_Расчет_аналитики'!BD3596,WeightedMinAge21),MAX(CapacityAge21*'01_Вводные'!$B$218*'19_Расчет_аналитики'!BD3596,MeanMinAge21))),0)</f>
        <v/>
      </c>
      <c r="BE3548">
        <f>IF('01_Вводные'!$B$234="Да",IF(OR(('19_Расчет_аналитики'!BE3464-'19_Расчет_аналитики'!BE3492)=0,21&lt;='01_Вводные'!$B$297),0,('19_Расчет_аналитики'!BE3464-'19_Расчет_аналитики'!BE3492)*IF('01_Вводные'!$B$239="Да",MeanMinAge21+'19_Расчет_аналитики'!BE3596*SUMIF(ThresholdAge21,"&lt;"&amp;'19_Расчет_аналитики'!BE3596,WeightedRevAge21)-SUMIF(ThresholdAge21,"&lt;"&amp;'19_Расчет_аналитики'!BE3596,WeightedMinAge21),MAX(CapacityAge21*'01_Вводные'!$B$218*'19_Расчет_аналитики'!BE3596,MeanMinAge21))),0)</f>
        <v/>
      </c>
      <c r="BF3548">
        <f>IF('01_Вводные'!$B$234="Да",IF(OR(('19_Расчет_аналитики'!BF3464-'19_Расчет_аналитики'!BF3492)=0,21&lt;='01_Вводные'!$B$297),0,('19_Расчет_аналитики'!BF3464-'19_Расчет_аналитики'!BF3492)*IF('01_Вводные'!$B$239="Да",MeanMinAge21+'19_Расчет_аналитики'!BF3596*SUMIF(ThresholdAge21,"&lt;"&amp;'19_Расчет_аналитики'!BF3596,WeightedRevAge21)-SUMIF(ThresholdAge21,"&lt;"&amp;'19_Расчет_аналитики'!BF3596,WeightedMinAge21),MAX(CapacityAge21*'01_Вводные'!$B$218*'19_Расчет_аналитики'!BF3596,MeanMinAge21))),0)</f>
        <v/>
      </c>
      <c r="BG3548">
        <f>IF('01_Вводные'!$B$234="Да",IF(OR(('19_Расчет_аналитики'!BG3464-'19_Расчет_аналитики'!BG3492)=0,21&lt;='01_Вводные'!$B$297),0,('19_Расчет_аналитики'!BG3464-'19_Расчет_аналитики'!BG3492)*IF('01_Вводные'!$B$239="Да",MeanMinAge21+'19_Расчет_аналитики'!BG3596*SUMIF(ThresholdAge21,"&lt;"&amp;'19_Расчет_аналитики'!BG3596,WeightedRevAge21)-SUMIF(ThresholdAge21,"&lt;"&amp;'19_Расчет_аналитики'!BG3596,WeightedMinAge21),MAX(CapacityAge21*'01_Вводные'!$B$218*'19_Расчет_аналитики'!BG3596,MeanMinAge21))),0)</f>
        <v/>
      </c>
      <c r="BH3548">
        <f>IF('01_Вводные'!$B$234="Да",IF(OR(('19_Расчет_аналитики'!BH3464-'19_Расчет_аналитики'!BH3492)=0,21&lt;='01_Вводные'!$B$297),0,('19_Расчет_аналитики'!BH3464-'19_Расчет_аналитики'!BH3492)*IF('01_Вводные'!$B$239="Да",MeanMinAge21+'19_Расчет_аналитики'!BH3596*SUMIF(ThresholdAge21,"&lt;"&amp;'19_Расчет_аналитики'!BH3596,WeightedRevAge21)-SUMIF(ThresholdAge21,"&lt;"&amp;'19_Расчет_аналитики'!BH3596,WeightedMinAge21),MAX(CapacityAge21*'01_Вводные'!$B$218*'19_Расчет_аналитики'!BH3596,MeanMinAge21))),0)</f>
        <v/>
      </c>
      <c r="BI3548">
        <f>IF('01_Вводные'!$B$234="Да",IF(OR(('19_Расчет_аналитики'!BI3464-'19_Расчет_аналитики'!BI3492)=0,21&lt;='01_Вводные'!$B$297),0,('19_Расчет_аналитики'!BI3464-'19_Расчет_аналитики'!BI3492)*IF('01_Вводные'!$B$239="Да",MeanMinAge21+'19_Расчет_аналитики'!BI3596*SUMIF(ThresholdAge21,"&lt;"&amp;'19_Расчет_аналитики'!BI3596,WeightedRevAge21)-SUMIF(ThresholdAge21,"&lt;"&amp;'19_Расчет_аналитики'!BI3596,WeightedMinAge21),MAX(CapacityAge21*'01_Вводные'!$B$218*'19_Расчет_аналитики'!BI3596,MeanMinAge21))),0)</f>
        <v/>
      </c>
      <c r="BJ3548">
        <f>IF('01_Вводные'!$B$234="Да",IF(OR(('19_Расчет_аналитики'!BJ3464-'19_Расчет_аналитики'!BJ3492)=0,21&lt;='01_Вводные'!$B$297),0,('19_Расчет_аналитики'!BJ3464-'19_Расчет_аналитики'!BJ3492)*IF('01_Вводные'!$B$239="Да",MeanMinAge21+'19_Расчет_аналитики'!BJ3596*SUMIF(ThresholdAge21,"&lt;"&amp;'19_Расчет_аналитики'!BJ3596,WeightedRevAge21)-SUMIF(ThresholdAge21,"&lt;"&amp;'19_Расчет_аналитики'!BJ3596,WeightedMinAge21),MAX(CapacityAge21*'01_Вводные'!$B$218*'19_Расчет_аналитики'!BJ3596,MeanMinAge21))),0)</f>
        <v/>
      </c>
      <c r="BK3548">
        <f>IF('01_Вводные'!$B$234="Да",IF(OR(('19_Расчет_аналитики'!BK3464-'19_Расчет_аналитики'!BK3492)=0,21&lt;='01_Вводные'!$B$297),0,('19_Расчет_аналитики'!BK3464-'19_Расчет_аналитики'!BK3492)*IF('01_Вводные'!$B$239="Да",MeanMinAge21+'19_Расчет_аналитики'!BK3596*SUMIF(ThresholdAge21,"&lt;"&amp;'19_Расчет_аналитики'!BK3596,WeightedRevAge21)-SUMIF(ThresholdAge21,"&lt;"&amp;'19_Расчет_аналитики'!BK3596,WeightedMinAge21),MAX(CapacityAge21*'01_Вводные'!$B$218*'19_Расчет_аналитики'!BK3596,MeanMinAge21))),0)</f>
        <v/>
      </c>
      <c r="BL3548">
        <f>IF('01_Вводные'!$B$234="Да",IF(OR(('19_Расчет_аналитики'!BL3464-'19_Расчет_аналитики'!BL3492)=0,21&lt;='01_Вводные'!$B$297),0,('19_Расчет_аналитики'!BL3464-'19_Расчет_аналитики'!BL3492)*IF('01_Вводные'!$B$239="Да",MeanMinAge21+'19_Расчет_аналитики'!BL3596*SUMIF(ThresholdAge21,"&lt;"&amp;'19_Расчет_аналитики'!BL3596,WeightedRevAge21)-SUMIF(ThresholdAge21,"&lt;"&amp;'19_Расчет_аналитики'!BL3596,WeightedMinAge21),MAX(CapacityAge21*'01_Вводные'!$B$218*'19_Расчет_аналитики'!BL3596,MeanMinAge21))),0)</f>
        <v/>
      </c>
      <c r="BM3548">
        <f>IF('01_Вводные'!$B$234="Да",IF(OR(('19_Расчет_аналитики'!BM3464-'19_Расчет_аналитики'!BM3492)=0,21&lt;='01_Вводные'!$B$297),0,('19_Расчет_аналитики'!BM3464-'19_Расчет_аналитики'!BM3492)*IF('01_Вводные'!$B$239="Да",MeanMinAge21+'19_Расчет_аналитики'!BM3596*SUMIF(ThresholdAge21,"&lt;"&amp;'19_Расчет_аналитики'!BM3596,WeightedRevAge21)-SUMIF(ThresholdAge21,"&lt;"&amp;'19_Расчет_аналитики'!BM3596,WeightedMinAge21),MAX(CapacityAge21*'01_Вводные'!$B$218*'19_Расчет_аналитики'!BM3596,MeanMinAge21))),0)</f>
        <v/>
      </c>
      <c r="BN3548">
        <f>IF('01_Вводные'!$B$234="Да",IF(OR(('19_Расчет_аналитики'!BN3464-'19_Расчет_аналитики'!BN3492)=0,21&lt;='01_Вводные'!$B$297),0,('19_Расчет_аналитики'!BN3464-'19_Расчет_аналитики'!BN3492)*IF('01_Вводные'!$B$239="Да",MeanMinAge21+'19_Расчет_аналитики'!BN3596*SUMIF(ThresholdAge21,"&lt;"&amp;'19_Расчет_аналитики'!BN3596,WeightedRevAge21)-SUMIF(ThresholdAge21,"&lt;"&amp;'19_Расчет_аналитики'!BN3596,WeightedMinAge21),MAX(CapacityAge21*'01_Вводные'!$B$218*'19_Расчет_аналитики'!BN3596,MeanMinAge21))),0)</f>
        <v/>
      </c>
      <c r="BO3548">
        <f>IF('01_Вводные'!$B$234="Да",IF(OR(('19_Расчет_аналитики'!BO3464-'19_Расчет_аналитики'!BO3492)=0,21&lt;='01_Вводные'!$B$297),0,('19_Расчет_аналитики'!BO3464-'19_Расчет_аналитики'!BO3492)*IF('01_Вводные'!$B$239="Да",MeanMinAge21+'19_Расчет_аналитики'!BO3596*SUMIF(ThresholdAge21,"&lt;"&amp;'19_Расчет_аналитики'!BO3596,WeightedRevAge21)-SUMIF(ThresholdAge21,"&lt;"&amp;'19_Расчет_аналитики'!BO3596,WeightedMinAge21),MAX(CapacityAge21*'01_Вводные'!$B$218*'19_Расчет_аналитики'!BO3596,MeanMinAge21))),0)</f>
        <v/>
      </c>
    </row>
    <row r="3549">
      <c r="B3549">
        <f>IF('01_Вводные'!$B$234="Да",IF(OR(('06_Сеть_и_дети'!B74-'06_Сеть_и_дети'!B102)=0,22&lt;='01_Вводные'!$B$297),0,('06_Сеть_и_дети'!B74-'06_Сеть_и_дети'!B102)*IF('01_Вводные'!$B$239="Да",MeanMinAge22+'19_Расчет_аналитики'!B3596*SUMIF(ThresholdAge22,"&lt;"&amp;'19_Расчет_аналитики'!B3596,WeightedRevAge22)-SUMIF(ThresholdAge22,"&lt;"&amp;'19_Расчет_аналитики'!B3596,WeightedMinAge22),MAX(CapacityAge22*'01_Вводные'!$B$218*'19_Расчет_аналитики'!B3596,MeanMinAge22))),0)</f>
        <v/>
      </c>
      <c r="C3549">
        <f>IF('01_Вводные'!$B$234="Да",IF(OR(('06_Сеть_и_дети'!C74-'06_Сеть_и_дети'!C102)=0,22&lt;='01_Вводные'!$B$297),0,('06_Сеть_и_дети'!C74-'06_Сеть_и_дети'!C102)*IF('01_Вводные'!$B$239="Да",MeanMinAge22+'19_Расчет_аналитики'!C3596*SUMIF(ThresholdAge22,"&lt;"&amp;'19_Расчет_аналитики'!C3596,WeightedRevAge22)-SUMIF(ThresholdAge22,"&lt;"&amp;'19_Расчет_аналитики'!C3596,WeightedMinAge22),MAX(CapacityAge22*'01_Вводные'!$B$218*'19_Расчет_аналитики'!C3596,MeanMinAge22))),0)</f>
        <v/>
      </c>
      <c r="D3549">
        <f>IF('01_Вводные'!$B$234="Да",IF(OR(('06_Сеть_и_дети'!D74-'06_Сеть_и_дети'!D102)=0,22&lt;='01_Вводные'!$B$297),0,('06_Сеть_и_дети'!D74-'06_Сеть_и_дети'!D102)*IF('01_Вводные'!$B$239="Да",MeanMinAge22+'19_Расчет_аналитики'!D3596*SUMIF(ThresholdAge22,"&lt;"&amp;'19_Расчет_аналитики'!D3596,WeightedRevAge22)-SUMIF(ThresholdAge22,"&lt;"&amp;'19_Расчет_аналитики'!D3596,WeightedMinAge22),MAX(CapacityAge22*'01_Вводные'!$B$218*'19_Расчет_аналитики'!D3596,MeanMinAge22))),0)</f>
        <v/>
      </c>
      <c r="E3549">
        <f>IF('01_Вводные'!$B$234="Да",IF(OR(('06_Сеть_и_дети'!E74-'06_Сеть_и_дети'!E102)=0,22&lt;='01_Вводные'!$B$297),0,('06_Сеть_и_дети'!E74-'06_Сеть_и_дети'!E102)*IF('01_Вводные'!$B$239="Да",MeanMinAge22+'19_Расчет_аналитики'!E3596*SUMIF(ThresholdAge22,"&lt;"&amp;'19_Расчет_аналитики'!E3596,WeightedRevAge22)-SUMIF(ThresholdAge22,"&lt;"&amp;'19_Расчет_аналитики'!E3596,WeightedMinAge22),MAX(CapacityAge22*'01_Вводные'!$B$218*'19_Расчет_аналитики'!E3596,MeanMinAge22))),0)</f>
        <v/>
      </c>
      <c r="F3549">
        <f>IF('01_Вводные'!$B$234="Да",IF(OR(('06_Сеть_и_дети'!F74-'06_Сеть_и_дети'!F102)=0,22&lt;='01_Вводные'!$B$297),0,('06_Сеть_и_дети'!F74-'06_Сеть_и_дети'!F102)*IF('01_Вводные'!$B$239="Да",MeanMinAge22+'19_Расчет_аналитики'!F3596*SUMIF(ThresholdAge22,"&lt;"&amp;'19_Расчет_аналитики'!F3596,WeightedRevAge22)-SUMIF(ThresholdAge22,"&lt;"&amp;'19_Расчет_аналитики'!F3596,WeightedMinAge22),MAX(CapacityAge22*'01_Вводные'!$B$218*'19_Расчет_аналитики'!F3596,MeanMinAge22))),0)</f>
        <v/>
      </c>
      <c r="G3549">
        <f>IF('01_Вводные'!$B$234="Да",IF(OR(('06_Сеть_и_дети'!G74-'06_Сеть_и_дети'!G102)=0,22&lt;='01_Вводные'!$B$297),0,('06_Сеть_и_дети'!G74-'06_Сеть_и_дети'!G102)*IF('01_Вводные'!$B$239="Да",MeanMinAge22+'19_Расчет_аналитики'!G3596*SUMIF(ThresholdAge22,"&lt;"&amp;'19_Расчет_аналитики'!G3596,WeightedRevAge22)-SUMIF(ThresholdAge22,"&lt;"&amp;'19_Расчет_аналитики'!G3596,WeightedMinAge22),MAX(CapacityAge22*'01_Вводные'!$B$218*'19_Расчет_аналитики'!G3596,MeanMinAge22))),0)</f>
        <v/>
      </c>
      <c r="H3549">
        <f>IF('01_Вводные'!$B$234="Да",IF(OR(('06_Сеть_и_дети'!H74-'06_Сеть_и_дети'!H102)=0,22&lt;='01_Вводные'!$B$297),0,('06_Сеть_и_дети'!H74-'06_Сеть_и_дети'!H102)*IF('01_Вводные'!$B$239="Да",MeanMinAge22+'19_Расчет_аналитики'!H3596*SUMIF(ThresholdAge22,"&lt;"&amp;'19_Расчет_аналитики'!H3596,WeightedRevAge22)-SUMIF(ThresholdAge22,"&lt;"&amp;'19_Расчет_аналитики'!H3596,WeightedMinAge22),MAX(CapacityAge22*'01_Вводные'!$B$218*'19_Расчет_аналитики'!H3596,MeanMinAge22))),0)</f>
        <v/>
      </c>
      <c r="I3549">
        <f>IF('01_Вводные'!$B$234="Да",IF(OR(('06_Сеть_и_дети'!I74-'06_Сеть_и_дети'!I102)=0,22&lt;='01_Вводные'!$B$297),0,('06_Сеть_и_дети'!I74-'06_Сеть_и_дети'!I102)*IF('01_Вводные'!$B$239="Да",MeanMinAge22+'19_Расчет_аналитики'!I3596*SUMIF(ThresholdAge22,"&lt;"&amp;'19_Расчет_аналитики'!I3596,WeightedRevAge22)-SUMIF(ThresholdAge22,"&lt;"&amp;'19_Расчет_аналитики'!I3596,WeightedMinAge22),MAX(CapacityAge22*'01_Вводные'!$B$218*'19_Расчет_аналитики'!I3596,MeanMinAge22))),0)</f>
        <v/>
      </c>
      <c r="J3549">
        <f>IF('01_Вводные'!$B$234="Да",IF(OR(('06_Сеть_и_дети'!J74-'06_Сеть_и_дети'!J102)=0,22&lt;='01_Вводные'!$B$297),0,('06_Сеть_и_дети'!J74-'06_Сеть_и_дети'!J102)*IF('01_Вводные'!$B$239="Да",MeanMinAge22+'19_Расчет_аналитики'!J3596*SUMIF(ThresholdAge22,"&lt;"&amp;'19_Расчет_аналитики'!J3596,WeightedRevAge22)-SUMIF(ThresholdAge22,"&lt;"&amp;'19_Расчет_аналитики'!J3596,WeightedMinAge22),MAX(CapacityAge22*'01_Вводные'!$B$218*'19_Расчет_аналитики'!J3596,MeanMinAge22))),0)</f>
        <v/>
      </c>
      <c r="K3549">
        <f>IF('01_Вводные'!$B$234="Да",IF(OR(('06_Сеть_и_дети'!K74-'06_Сеть_и_дети'!K102)=0,22&lt;='01_Вводные'!$B$297),0,('06_Сеть_и_дети'!K74-'06_Сеть_и_дети'!K102)*IF('01_Вводные'!$B$239="Да",MeanMinAge22+'19_Расчет_аналитики'!K3596*SUMIF(ThresholdAge22,"&lt;"&amp;'19_Расчет_аналитики'!K3596,WeightedRevAge22)-SUMIF(ThresholdAge22,"&lt;"&amp;'19_Расчет_аналитики'!K3596,WeightedMinAge22),MAX(CapacityAge22*'01_Вводные'!$B$218*'19_Расчет_аналитики'!K3596,MeanMinAge22))),0)</f>
        <v/>
      </c>
      <c r="L3549">
        <f>IF('01_Вводные'!$B$234="Да",IF(OR(('06_Сеть_и_дети'!L74-'06_Сеть_и_дети'!L102)=0,22&lt;='01_Вводные'!$B$297),0,('06_Сеть_и_дети'!L74-'06_Сеть_и_дети'!L102)*IF('01_Вводные'!$B$239="Да",MeanMinAge22+'19_Расчет_аналитики'!L3596*SUMIF(ThresholdAge22,"&lt;"&amp;'19_Расчет_аналитики'!L3596,WeightedRevAge22)-SUMIF(ThresholdAge22,"&lt;"&amp;'19_Расчет_аналитики'!L3596,WeightedMinAge22),MAX(CapacityAge22*'01_Вводные'!$B$218*'19_Расчет_аналитики'!L3596,MeanMinAge22))),0)</f>
        <v/>
      </c>
      <c r="M3549">
        <f>IF('01_Вводные'!$B$234="Да",IF(OR(('06_Сеть_и_дети'!M74-'06_Сеть_и_дети'!M102)=0,22&lt;='01_Вводные'!$B$297),0,('06_Сеть_и_дети'!M74-'06_Сеть_и_дети'!M102)*IF('01_Вводные'!$B$239="Да",MeanMinAge22+'19_Расчет_аналитики'!M3596*SUMIF(ThresholdAge22,"&lt;"&amp;'19_Расчет_аналитики'!M3596,WeightedRevAge22)-SUMIF(ThresholdAge22,"&lt;"&amp;'19_Расчет_аналитики'!M3596,WeightedMinAge22),MAX(CapacityAge22*'01_Вводные'!$B$218*'19_Расчет_аналитики'!M3596,MeanMinAge22))),0)</f>
        <v/>
      </c>
      <c r="N3549">
        <f>IF('01_Вводные'!$B$234="Да",IF(OR(('06_Сеть_и_дети'!N74-'06_Сеть_и_дети'!N102)=0,22&lt;='01_Вводные'!$B$297),0,('06_Сеть_и_дети'!N74-'06_Сеть_и_дети'!N102)*IF('01_Вводные'!$B$239="Да",MeanMinAge22+'19_Расчет_аналитики'!N3596*SUMIF(ThresholdAge22,"&lt;"&amp;'19_Расчет_аналитики'!N3596,WeightedRevAge22)-SUMIF(ThresholdAge22,"&lt;"&amp;'19_Расчет_аналитики'!N3596,WeightedMinAge22),MAX(CapacityAge22*'01_Вводные'!$B$218*'19_Расчет_аналитики'!N3596,MeanMinAge22))),0)</f>
        <v/>
      </c>
      <c r="O3549">
        <f>IF('01_Вводные'!$B$234="Да",IF(OR(('06_Сеть_и_дети'!O74-'06_Сеть_и_дети'!O102)=0,22&lt;='01_Вводные'!$B$297),0,('06_Сеть_и_дети'!O74-'06_Сеть_и_дети'!O102)*IF('01_Вводные'!$B$239="Да",MeanMinAge22+'19_Расчет_аналитики'!O3596*SUMIF(ThresholdAge22,"&lt;"&amp;'19_Расчет_аналитики'!O3596,WeightedRevAge22)-SUMIF(ThresholdAge22,"&lt;"&amp;'19_Расчет_аналитики'!O3596,WeightedMinAge22),MAX(CapacityAge22*'01_Вводные'!$B$218*'19_Расчет_аналитики'!O3596,MeanMinAge22))),0)</f>
        <v/>
      </c>
      <c r="P3549">
        <f>IF('01_Вводные'!$B$234="Да",IF(OR(('06_Сеть_и_дети'!P74-'06_Сеть_и_дети'!P102)=0,22&lt;='01_Вводные'!$B$297),0,('06_Сеть_и_дети'!P74-'06_Сеть_и_дети'!P102)*IF('01_Вводные'!$B$239="Да",MeanMinAge22+'19_Расчет_аналитики'!P3596*SUMIF(ThresholdAge22,"&lt;"&amp;'19_Расчет_аналитики'!P3596,WeightedRevAge22)-SUMIF(ThresholdAge22,"&lt;"&amp;'19_Расчет_аналитики'!P3596,WeightedMinAge22),MAX(CapacityAge22*'01_Вводные'!$B$218*'19_Расчет_аналитики'!P3596,MeanMinAge22))),0)</f>
        <v/>
      </c>
      <c r="Q3549">
        <f>IF('01_Вводные'!$B$234="Да",IF(OR(('06_Сеть_и_дети'!Q74-'06_Сеть_и_дети'!Q102)=0,22&lt;='01_Вводные'!$B$297),0,('06_Сеть_и_дети'!Q74-'06_Сеть_и_дети'!Q102)*IF('01_Вводные'!$B$239="Да",MeanMinAge22+'19_Расчет_аналитики'!Q3596*SUMIF(ThresholdAge22,"&lt;"&amp;'19_Расчет_аналитики'!Q3596,WeightedRevAge22)-SUMIF(ThresholdAge22,"&lt;"&amp;'19_Расчет_аналитики'!Q3596,WeightedMinAge22),MAX(CapacityAge22*'01_Вводные'!$B$218*'19_Расчет_аналитики'!Q3596,MeanMinAge22))),0)</f>
        <v/>
      </c>
      <c r="R3549">
        <f>IF('01_Вводные'!$B$234="Да",IF(OR(('06_Сеть_и_дети'!R74-'06_Сеть_и_дети'!R102)=0,22&lt;='01_Вводные'!$B$297),0,('06_Сеть_и_дети'!R74-'06_Сеть_и_дети'!R102)*IF('01_Вводные'!$B$239="Да",MeanMinAge22+'19_Расчет_аналитики'!R3596*SUMIF(ThresholdAge22,"&lt;"&amp;'19_Расчет_аналитики'!R3596,WeightedRevAge22)-SUMIF(ThresholdAge22,"&lt;"&amp;'19_Расчет_аналитики'!R3596,WeightedMinAge22),MAX(CapacityAge22*'01_Вводные'!$B$218*'19_Расчет_аналитики'!R3596,MeanMinAge22))),0)</f>
        <v/>
      </c>
      <c r="S3549">
        <f>IF('01_Вводные'!$B$234="Да",IF(OR(('06_Сеть_и_дети'!S74-'06_Сеть_и_дети'!S102)=0,22&lt;='01_Вводные'!$B$297),0,('06_Сеть_и_дети'!S74-'06_Сеть_и_дети'!S102)*IF('01_Вводные'!$B$239="Да",MeanMinAge22+'19_Расчет_аналитики'!S3596*SUMIF(ThresholdAge22,"&lt;"&amp;'19_Расчет_аналитики'!S3596,WeightedRevAge22)-SUMIF(ThresholdAge22,"&lt;"&amp;'19_Расчет_аналитики'!S3596,WeightedMinAge22),MAX(CapacityAge22*'01_Вводные'!$B$218*'19_Расчет_аналитики'!S3596,MeanMinAge22))),0)</f>
        <v/>
      </c>
      <c r="T3549">
        <f>IF('01_Вводные'!$B$234="Да",IF(OR(('06_Сеть_и_дети'!T74-'06_Сеть_и_дети'!T102)=0,22&lt;='01_Вводные'!$B$297),0,('06_Сеть_и_дети'!T74-'06_Сеть_и_дети'!T102)*IF('01_Вводные'!$B$239="Да",MeanMinAge22+'19_Расчет_аналитики'!T3596*SUMIF(ThresholdAge22,"&lt;"&amp;'19_Расчет_аналитики'!T3596,WeightedRevAge22)-SUMIF(ThresholdAge22,"&lt;"&amp;'19_Расчет_аналитики'!T3596,WeightedMinAge22),MAX(CapacityAge22*'01_Вводные'!$B$218*'19_Расчет_аналитики'!T3596,MeanMinAge22))),0)</f>
        <v/>
      </c>
      <c r="U3549">
        <f>IF('01_Вводные'!$B$234="Да",IF(OR(('06_Сеть_и_дети'!U74-'06_Сеть_и_дети'!U102)=0,22&lt;='01_Вводные'!$B$297),0,('06_Сеть_и_дети'!U74-'06_Сеть_и_дети'!U102)*IF('01_Вводные'!$B$239="Да",MeanMinAge22+'19_Расчет_аналитики'!U3596*SUMIF(ThresholdAge22,"&lt;"&amp;'19_Расчет_аналитики'!U3596,WeightedRevAge22)-SUMIF(ThresholdAge22,"&lt;"&amp;'19_Расчет_аналитики'!U3596,WeightedMinAge22),MAX(CapacityAge22*'01_Вводные'!$B$218*'19_Расчет_аналитики'!U3596,MeanMinAge22))),0)</f>
        <v/>
      </c>
      <c r="V3549">
        <f>IF('01_Вводные'!$B$234="Да",IF(OR(('06_Сеть_и_дети'!V74-'06_Сеть_и_дети'!V102)=0,22&lt;='01_Вводные'!$B$297),0,('06_Сеть_и_дети'!V74-'06_Сеть_и_дети'!V102)*IF('01_Вводные'!$B$239="Да",MeanMinAge22+'19_Расчет_аналитики'!V3596*SUMIF(ThresholdAge22,"&lt;"&amp;'19_Расчет_аналитики'!V3596,WeightedRevAge22)-SUMIF(ThresholdAge22,"&lt;"&amp;'19_Расчет_аналитики'!V3596,WeightedMinAge22),MAX(CapacityAge22*'01_Вводные'!$B$218*'19_Расчет_аналитики'!V3596,MeanMinAge22))),0)</f>
        <v/>
      </c>
      <c r="W3549">
        <f>IF('01_Вводные'!$B$234="Да",IF(OR(('19_Расчет_аналитики'!W3465-'19_Расчет_аналитики'!W3493)=0,22&lt;='01_Вводные'!$B$297),0,('19_Расчет_аналитики'!W3465-'19_Расчет_аналитики'!W3493)*IF('01_Вводные'!$B$239="Да",MeanMinAge22+'19_Расчет_аналитики'!W3596*SUMIF(ThresholdAge22,"&lt;"&amp;'19_Расчет_аналитики'!W3596,WeightedRevAge22)-SUMIF(ThresholdAge22,"&lt;"&amp;'19_Расчет_аналитики'!W3596,WeightedMinAge22),MAX(CapacityAge22*'01_Вводные'!$B$218*'19_Расчет_аналитики'!W3596,MeanMinAge22))),0)</f>
        <v/>
      </c>
      <c r="X3549">
        <f>IF('01_Вводные'!$B$234="Да",IF(OR(('19_Расчет_аналитики'!X3465-'19_Расчет_аналитики'!X3493)=0,22&lt;='01_Вводные'!$B$297),0,('19_Расчет_аналитики'!X3465-'19_Расчет_аналитики'!X3493)*IF('01_Вводные'!$B$239="Да",MeanMinAge22+'19_Расчет_аналитики'!X3596*SUMIF(ThresholdAge22,"&lt;"&amp;'19_Расчет_аналитики'!X3596,WeightedRevAge22)-SUMIF(ThresholdAge22,"&lt;"&amp;'19_Расчет_аналитики'!X3596,WeightedMinAge22),MAX(CapacityAge22*'01_Вводные'!$B$218*'19_Расчет_аналитики'!X3596,MeanMinAge22))),0)</f>
        <v/>
      </c>
      <c r="Y3549">
        <f>IF('01_Вводные'!$B$234="Да",IF(OR(('19_Расчет_аналитики'!Y3465-'19_Расчет_аналитики'!Y3493)=0,22&lt;='01_Вводные'!$B$297),0,('19_Расчет_аналитики'!Y3465-'19_Расчет_аналитики'!Y3493)*IF('01_Вводные'!$B$239="Да",MeanMinAge22+'19_Расчет_аналитики'!Y3596*SUMIF(ThresholdAge22,"&lt;"&amp;'19_Расчет_аналитики'!Y3596,WeightedRevAge22)-SUMIF(ThresholdAge22,"&lt;"&amp;'19_Расчет_аналитики'!Y3596,WeightedMinAge22),MAX(CapacityAge22*'01_Вводные'!$B$218*'19_Расчет_аналитики'!Y3596,MeanMinAge22))),0)</f>
        <v/>
      </c>
      <c r="Z3549">
        <f>IF('01_Вводные'!$B$234="Да",IF(OR(('19_Расчет_аналитики'!Z3465-'19_Расчет_аналитики'!Z3493)=0,22&lt;='01_Вводные'!$B$297),0,('19_Расчет_аналитики'!Z3465-'19_Расчет_аналитики'!Z3493)*IF('01_Вводные'!$B$239="Да",MeanMinAge22+'19_Расчет_аналитики'!Z3596*SUMIF(ThresholdAge22,"&lt;"&amp;'19_Расчет_аналитики'!Z3596,WeightedRevAge22)-SUMIF(ThresholdAge22,"&lt;"&amp;'19_Расчет_аналитики'!Z3596,WeightedMinAge22),MAX(CapacityAge22*'01_Вводные'!$B$218*'19_Расчет_аналитики'!Z3596,MeanMinAge22))),0)</f>
        <v/>
      </c>
      <c r="AA3549">
        <f>IF('01_Вводные'!$B$234="Да",IF(OR(('19_Расчет_аналитики'!AA3465-'19_Расчет_аналитики'!AA3493)=0,22&lt;='01_Вводные'!$B$297),0,('19_Расчет_аналитики'!AA3465-'19_Расчет_аналитики'!AA3493)*IF('01_Вводные'!$B$239="Да",MeanMinAge22+'19_Расчет_аналитики'!AA3596*SUMIF(ThresholdAge22,"&lt;"&amp;'19_Расчет_аналитики'!AA3596,WeightedRevAge22)-SUMIF(ThresholdAge22,"&lt;"&amp;'19_Расчет_аналитики'!AA3596,WeightedMinAge22),MAX(CapacityAge22*'01_Вводные'!$B$218*'19_Расчет_аналитики'!AA3596,MeanMinAge22))),0)</f>
        <v/>
      </c>
      <c r="AB3549">
        <f>IF('01_Вводные'!$B$234="Да",IF(OR(('19_Расчет_аналитики'!AB3465-'19_Расчет_аналитики'!AB3493)=0,22&lt;='01_Вводные'!$B$297),0,('19_Расчет_аналитики'!AB3465-'19_Расчет_аналитики'!AB3493)*IF('01_Вводные'!$B$239="Да",MeanMinAge22+'19_Расчет_аналитики'!AB3596*SUMIF(ThresholdAge22,"&lt;"&amp;'19_Расчет_аналитики'!AB3596,WeightedRevAge22)-SUMIF(ThresholdAge22,"&lt;"&amp;'19_Расчет_аналитики'!AB3596,WeightedMinAge22),MAX(CapacityAge22*'01_Вводные'!$B$218*'19_Расчет_аналитики'!AB3596,MeanMinAge22))),0)</f>
        <v/>
      </c>
      <c r="AC3549">
        <f>IF('01_Вводные'!$B$234="Да",IF(OR(('19_Расчет_аналитики'!AC3465-'19_Расчет_аналитики'!AC3493)=0,22&lt;='01_Вводные'!$B$297),0,('19_Расчет_аналитики'!AC3465-'19_Расчет_аналитики'!AC3493)*IF('01_Вводные'!$B$239="Да",MeanMinAge22+'19_Расчет_аналитики'!AC3596*SUMIF(ThresholdAge22,"&lt;"&amp;'19_Расчет_аналитики'!AC3596,WeightedRevAge22)-SUMIF(ThresholdAge22,"&lt;"&amp;'19_Расчет_аналитики'!AC3596,WeightedMinAge22),MAX(CapacityAge22*'01_Вводные'!$B$218*'19_Расчет_аналитики'!AC3596,MeanMinAge22))),0)</f>
        <v/>
      </c>
      <c r="AD3549">
        <f>IF('01_Вводные'!$B$234="Да",IF(OR(('19_Расчет_аналитики'!AD3465-'19_Расчет_аналитики'!AD3493)=0,22&lt;='01_Вводные'!$B$297),0,('19_Расчет_аналитики'!AD3465-'19_Расчет_аналитики'!AD3493)*IF('01_Вводные'!$B$239="Да",MeanMinAge22+'19_Расчет_аналитики'!AD3596*SUMIF(ThresholdAge22,"&lt;"&amp;'19_Расчет_аналитики'!AD3596,WeightedRevAge22)-SUMIF(ThresholdAge22,"&lt;"&amp;'19_Расчет_аналитики'!AD3596,WeightedMinAge22),MAX(CapacityAge22*'01_Вводные'!$B$218*'19_Расчет_аналитики'!AD3596,MeanMinAge22))),0)</f>
        <v/>
      </c>
      <c r="AE3549">
        <f>IF('01_Вводные'!$B$234="Да",IF(OR(('19_Расчет_аналитики'!AE3465-'19_Расчет_аналитики'!AE3493)=0,22&lt;='01_Вводные'!$B$297),0,('19_Расчет_аналитики'!AE3465-'19_Расчет_аналитики'!AE3493)*IF('01_Вводные'!$B$239="Да",MeanMinAge22+'19_Расчет_аналитики'!AE3596*SUMIF(ThresholdAge22,"&lt;"&amp;'19_Расчет_аналитики'!AE3596,WeightedRevAge22)-SUMIF(ThresholdAge22,"&lt;"&amp;'19_Расчет_аналитики'!AE3596,WeightedMinAge22),MAX(CapacityAge22*'01_Вводные'!$B$218*'19_Расчет_аналитики'!AE3596,MeanMinAge22))),0)</f>
        <v/>
      </c>
      <c r="AF3549">
        <f>IF('01_Вводные'!$B$234="Да",IF(OR(('19_Расчет_аналитики'!AF3465-'19_Расчет_аналитики'!AF3493)=0,22&lt;='01_Вводные'!$B$297),0,('19_Расчет_аналитики'!AF3465-'19_Расчет_аналитики'!AF3493)*IF('01_Вводные'!$B$239="Да",MeanMinAge22+'19_Расчет_аналитики'!AF3596*SUMIF(ThresholdAge22,"&lt;"&amp;'19_Расчет_аналитики'!AF3596,WeightedRevAge22)-SUMIF(ThresholdAge22,"&lt;"&amp;'19_Расчет_аналитики'!AF3596,WeightedMinAge22),MAX(CapacityAge22*'01_Вводные'!$B$218*'19_Расчет_аналитики'!AF3596,MeanMinAge22))),0)</f>
        <v/>
      </c>
      <c r="AG3549">
        <f>IF('01_Вводные'!$B$234="Да",IF(OR(('19_Расчет_аналитики'!AG3465-'19_Расчет_аналитики'!AG3493)=0,22&lt;='01_Вводные'!$B$297),0,('19_Расчет_аналитики'!AG3465-'19_Расчет_аналитики'!AG3493)*IF('01_Вводные'!$B$239="Да",MeanMinAge22+'19_Расчет_аналитики'!AG3596*SUMIF(ThresholdAge22,"&lt;"&amp;'19_Расчет_аналитики'!AG3596,WeightedRevAge22)-SUMIF(ThresholdAge22,"&lt;"&amp;'19_Расчет_аналитики'!AG3596,WeightedMinAge22),MAX(CapacityAge22*'01_Вводные'!$B$218*'19_Расчет_аналитики'!AG3596,MeanMinAge22))),0)</f>
        <v/>
      </c>
      <c r="AH3549">
        <f>IF('01_Вводные'!$B$234="Да",IF(OR(('19_Расчет_аналитики'!AH3465-'19_Расчет_аналитики'!AH3493)=0,22&lt;='01_Вводные'!$B$297),0,('19_Расчет_аналитики'!AH3465-'19_Расчет_аналитики'!AH3493)*IF('01_Вводные'!$B$239="Да",MeanMinAge22+'19_Расчет_аналитики'!AH3596*SUMIF(ThresholdAge22,"&lt;"&amp;'19_Расчет_аналитики'!AH3596,WeightedRevAge22)-SUMIF(ThresholdAge22,"&lt;"&amp;'19_Расчет_аналитики'!AH3596,WeightedMinAge22),MAX(CapacityAge22*'01_Вводные'!$B$218*'19_Расчет_аналитики'!AH3596,MeanMinAge22))),0)</f>
        <v/>
      </c>
      <c r="AI3549">
        <f>IF('01_Вводные'!$B$234="Да",IF(OR(('19_Расчет_аналитики'!AI3465-'19_Расчет_аналитики'!AI3493)=0,22&lt;='01_Вводные'!$B$297),0,('19_Расчет_аналитики'!AI3465-'19_Расчет_аналитики'!AI3493)*IF('01_Вводные'!$B$239="Да",MeanMinAge22+'19_Расчет_аналитики'!AI3596*SUMIF(ThresholdAge22,"&lt;"&amp;'19_Расчет_аналитики'!AI3596,WeightedRevAge22)-SUMIF(ThresholdAge22,"&lt;"&amp;'19_Расчет_аналитики'!AI3596,WeightedMinAge22),MAX(CapacityAge22*'01_Вводные'!$B$218*'19_Расчет_аналитики'!AI3596,MeanMinAge22))),0)</f>
        <v/>
      </c>
      <c r="AJ3549">
        <f>IF('01_Вводные'!$B$234="Да",IF(OR(('19_Расчет_аналитики'!AJ3465-'19_Расчет_аналитики'!AJ3493)=0,22&lt;='01_Вводные'!$B$297),0,('19_Расчет_аналитики'!AJ3465-'19_Расчет_аналитики'!AJ3493)*IF('01_Вводные'!$B$239="Да",MeanMinAge22+'19_Расчет_аналитики'!AJ3596*SUMIF(ThresholdAge22,"&lt;"&amp;'19_Расчет_аналитики'!AJ3596,WeightedRevAge22)-SUMIF(ThresholdAge22,"&lt;"&amp;'19_Расчет_аналитики'!AJ3596,WeightedMinAge22),MAX(CapacityAge22*'01_Вводные'!$B$218*'19_Расчет_аналитики'!AJ3596,MeanMinAge22))),0)</f>
        <v/>
      </c>
      <c r="AK3549">
        <f>IF('01_Вводные'!$B$234="Да",IF(OR(('19_Расчет_аналитики'!AK3465-'19_Расчет_аналитики'!AK3493)=0,22&lt;='01_Вводные'!$B$297),0,('19_Расчет_аналитики'!AK3465-'19_Расчет_аналитики'!AK3493)*IF('01_Вводные'!$B$239="Да",MeanMinAge22+'19_Расчет_аналитики'!AK3596*SUMIF(ThresholdAge22,"&lt;"&amp;'19_Расчет_аналитики'!AK3596,WeightedRevAge22)-SUMIF(ThresholdAge22,"&lt;"&amp;'19_Расчет_аналитики'!AK3596,WeightedMinAge22),MAX(CapacityAge22*'01_Вводные'!$B$218*'19_Расчет_аналитики'!AK3596,MeanMinAge22))),0)</f>
        <v/>
      </c>
      <c r="AL3549">
        <f>IF('01_Вводные'!$B$234="Да",IF(OR(('19_Расчет_аналитики'!AL3465-'19_Расчет_аналитики'!AL3493)=0,22&lt;='01_Вводные'!$B$297),0,('19_Расчет_аналитики'!AL3465-'19_Расчет_аналитики'!AL3493)*IF('01_Вводные'!$B$239="Да",MeanMinAge22+'19_Расчет_аналитики'!AL3596*SUMIF(ThresholdAge22,"&lt;"&amp;'19_Расчет_аналитики'!AL3596,WeightedRevAge22)-SUMIF(ThresholdAge22,"&lt;"&amp;'19_Расчет_аналитики'!AL3596,WeightedMinAge22),MAX(CapacityAge22*'01_Вводные'!$B$218*'19_Расчет_аналитики'!AL3596,MeanMinAge22))),0)</f>
        <v/>
      </c>
      <c r="AM3549">
        <f>IF('01_Вводные'!$B$234="Да",IF(OR(('19_Расчет_аналитики'!AM3465-'19_Расчет_аналитики'!AM3493)=0,22&lt;='01_Вводные'!$B$297),0,('19_Расчет_аналитики'!AM3465-'19_Расчет_аналитики'!AM3493)*IF('01_Вводные'!$B$239="Да",MeanMinAge22+'19_Расчет_аналитики'!AM3596*SUMIF(ThresholdAge22,"&lt;"&amp;'19_Расчет_аналитики'!AM3596,WeightedRevAge22)-SUMIF(ThresholdAge22,"&lt;"&amp;'19_Расчет_аналитики'!AM3596,WeightedMinAge22),MAX(CapacityAge22*'01_Вводные'!$B$218*'19_Расчет_аналитики'!AM3596,MeanMinAge22))),0)</f>
        <v/>
      </c>
      <c r="AN3549">
        <f>IF('01_Вводные'!$B$234="Да",IF(OR(('19_Расчет_аналитики'!AN3465-'19_Расчет_аналитики'!AN3493)=0,22&lt;='01_Вводные'!$B$297),0,('19_Расчет_аналитики'!AN3465-'19_Расчет_аналитики'!AN3493)*IF('01_Вводные'!$B$239="Да",MeanMinAge22+'19_Расчет_аналитики'!AN3596*SUMIF(ThresholdAge22,"&lt;"&amp;'19_Расчет_аналитики'!AN3596,WeightedRevAge22)-SUMIF(ThresholdAge22,"&lt;"&amp;'19_Расчет_аналитики'!AN3596,WeightedMinAge22),MAX(CapacityAge22*'01_Вводные'!$B$218*'19_Расчет_аналитики'!AN3596,MeanMinAge22))),0)</f>
        <v/>
      </c>
      <c r="AO3549">
        <f>IF('01_Вводные'!$B$234="Да",IF(OR(('19_Расчет_аналитики'!AO3465-'19_Расчет_аналитики'!AO3493)=0,22&lt;='01_Вводные'!$B$297),0,('19_Расчет_аналитики'!AO3465-'19_Расчет_аналитики'!AO3493)*IF('01_Вводные'!$B$239="Да",MeanMinAge22+'19_Расчет_аналитики'!AO3596*SUMIF(ThresholdAge22,"&lt;"&amp;'19_Расчет_аналитики'!AO3596,WeightedRevAge22)-SUMIF(ThresholdAge22,"&lt;"&amp;'19_Расчет_аналитики'!AO3596,WeightedMinAge22),MAX(CapacityAge22*'01_Вводные'!$B$218*'19_Расчет_аналитики'!AO3596,MeanMinAge22))),0)</f>
        <v/>
      </c>
      <c r="AP3549">
        <f>IF('01_Вводные'!$B$234="Да",IF(OR(('19_Расчет_аналитики'!AP3465-'19_Расчет_аналитики'!AP3493)=0,22&lt;='01_Вводные'!$B$297),0,('19_Расчет_аналитики'!AP3465-'19_Расчет_аналитики'!AP3493)*IF('01_Вводные'!$B$239="Да",MeanMinAge22+'19_Расчет_аналитики'!AP3596*SUMIF(ThresholdAge22,"&lt;"&amp;'19_Расчет_аналитики'!AP3596,WeightedRevAge22)-SUMIF(ThresholdAge22,"&lt;"&amp;'19_Расчет_аналитики'!AP3596,WeightedMinAge22),MAX(CapacityAge22*'01_Вводные'!$B$218*'19_Расчет_аналитики'!AP3596,MeanMinAge22))),0)</f>
        <v/>
      </c>
      <c r="AQ3549">
        <f>IF('01_Вводные'!$B$234="Да",IF(OR(('19_Расчет_аналитики'!AQ3465-'19_Расчет_аналитики'!AQ3493)=0,22&lt;='01_Вводные'!$B$297),0,('19_Расчет_аналитики'!AQ3465-'19_Расчет_аналитики'!AQ3493)*IF('01_Вводные'!$B$239="Да",MeanMinAge22+'19_Расчет_аналитики'!AQ3596*SUMIF(ThresholdAge22,"&lt;"&amp;'19_Расчет_аналитики'!AQ3596,WeightedRevAge22)-SUMIF(ThresholdAge22,"&lt;"&amp;'19_Расчет_аналитики'!AQ3596,WeightedMinAge22),MAX(CapacityAge22*'01_Вводные'!$B$218*'19_Расчет_аналитики'!AQ3596,MeanMinAge22))),0)</f>
        <v/>
      </c>
      <c r="AR3549">
        <f>IF('01_Вводные'!$B$234="Да",IF(OR(('19_Расчет_аналитики'!AR3465-'19_Расчет_аналитики'!AR3493)=0,22&lt;='01_Вводные'!$B$297),0,('19_Расчет_аналитики'!AR3465-'19_Расчет_аналитики'!AR3493)*IF('01_Вводные'!$B$239="Да",MeanMinAge22+'19_Расчет_аналитики'!AR3596*SUMIF(ThresholdAge22,"&lt;"&amp;'19_Расчет_аналитики'!AR3596,WeightedRevAge22)-SUMIF(ThresholdAge22,"&lt;"&amp;'19_Расчет_аналитики'!AR3596,WeightedMinAge22),MAX(CapacityAge22*'01_Вводные'!$B$218*'19_Расчет_аналитики'!AR3596,MeanMinAge22))),0)</f>
        <v/>
      </c>
      <c r="AS3549">
        <f>IF('01_Вводные'!$B$234="Да",IF(OR(('19_Расчет_аналитики'!AS3465-'19_Расчет_аналитики'!AS3493)=0,22&lt;='01_Вводные'!$B$297),0,('19_Расчет_аналитики'!AS3465-'19_Расчет_аналитики'!AS3493)*IF('01_Вводные'!$B$239="Да",MeanMinAge22+'19_Расчет_аналитики'!AS3596*SUMIF(ThresholdAge22,"&lt;"&amp;'19_Расчет_аналитики'!AS3596,WeightedRevAge22)-SUMIF(ThresholdAge22,"&lt;"&amp;'19_Расчет_аналитики'!AS3596,WeightedMinAge22),MAX(CapacityAge22*'01_Вводные'!$B$218*'19_Расчет_аналитики'!AS3596,MeanMinAge22))),0)</f>
        <v/>
      </c>
      <c r="AT3549">
        <f>IF('01_Вводные'!$B$234="Да",IF(OR(('19_Расчет_аналитики'!AT3465-'19_Расчет_аналитики'!AT3493)=0,22&lt;='01_Вводные'!$B$297),0,('19_Расчет_аналитики'!AT3465-'19_Расчет_аналитики'!AT3493)*IF('01_Вводные'!$B$239="Да",MeanMinAge22+'19_Расчет_аналитики'!AT3596*SUMIF(ThresholdAge22,"&lt;"&amp;'19_Расчет_аналитики'!AT3596,WeightedRevAge22)-SUMIF(ThresholdAge22,"&lt;"&amp;'19_Расчет_аналитики'!AT3596,WeightedMinAge22),MAX(CapacityAge22*'01_Вводные'!$B$218*'19_Расчет_аналитики'!AT3596,MeanMinAge22))),0)</f>
        <v/>
      </c>
      <c r="AU3549">
        <f>IF('01_Вводные'!$B$234="Да",IF(OR(('19_Расчет_аналитики'!AU3465-'19_Расчет_аналитики'!AU3493)=0,22&lt;='01_Вводные'!$B$297),0,('19_Расчет_аналитики'!AU3465-'19_Расчет_аналитики'!AU3493)*IF('01_Вводные'!$B$239="Да",MeanMinAge22+'19_Расчет_аналитики'!AU3596*SUMIF(ThresholdAge22,"&lt;"&amp;'19_Расчет_аналитики'!AU3596,WeightedRevAge22)-SUMIF(ThresholdAge22,"&lt;"&amp;'19_Расчет_аналитики'!AU3596,WeightedMinAge22),MAX(CapacityAge22*'01_Вводные'!$B$218*'19_Расчет_аналитики'!AU3596,MeanMinAge22))),0)</f>
        <v/>
      </c>
      <c r="AV3549">
        <f>IF('01_Вводные'!$B$234="Да",IF(OR(('19_Расчет_аналитики'!AV3465-'19_Расчет_аналитики'!AV3493)=0,22&lt;='01_Вводные'!$B$297),0,('19_Расчет_аналитики'!AV3465-'19_Расчет_аналитики'!AV3493)*IF('01_Вводные'!$B$239="Да",MeanMinAge22+'19_Расчет_аналитики'!AV3596*SUMIF(ThresholdAge22,"&lt;"&amp;'19_Расчет_аналитики'!AV3596,WeightedRevAge22)-SUMIF(ThresholdAge22,"&lt;"&amp;'19_Расчет_аналитики'!AV3596,WeightedMinAge22),MAX(CapacityAge22*'01_Вводные'!$B$218*'19_Расчет_аналитики'!AV3596,MeanMinAge22))),0)</f>
        <v/>
      </c>
      <c r="AW3549">
        <f>IF('01_Вводные'!$B$234="Да",IF(OR(('19_Расчет_аналитики'!AW3465-'19_Расчет_аналитики'!AW3493)=0,22&lt;='01_Вводные'!$B$297),0,('19_Расчет_аналитики'!AW3465-'19_Расчет_аналитики'!AW3493)*IF('01_Вводные'!$B$239="Да",MeanMinAge22+'19_Расчет_аналитики'!AW3596*SUMIF(ThresholdAge22,"&lt;"&amp;'19_Расчет_аналитики'!AW3596,WeightedRevAge22)-SUMIF(ThresholdAge22,"&lt;"&amp;'19_Расчет_аналитики'!AW3596,WeightedMinAge22),MAX(CapacityAge22*'01_Вводные'!$B$218*'19_Расчет_аналитики'!AW3596,MeanMinAge22))),0)</f>
        <v/>
      </c>
      <c r="AX3549">
        <f>IF('01_Вводные'!$B$234="Да",IF(OR(('19_Расчет_аналитики'!AX3465-'19_Расчет_аналитики'!AX3493)=0,22&lt;='01_Вводные'!$B$297),0,('19_Расчет_аналитики'!AX3465-'19_Расчет_аналитики'!AX3493)*IF('01_Вводные'!$B$239="Да",MeanMinAge22+'19_Расчет_аналитики'!AX3596*SUMIF(ThresholdAge22,"&lt;"&amp;'19_Расчет_аналитики'!AX3596,WeightedRevAge22)-SUMIF(ThresholdAge22,"&lt;"&amp;'19_Расчет_аналитики'!AX3596,WeightedMinAge22),MAX(CapacityAge22*'01_Вводные'!$B$218*'19_Расчет_аналитики'!AX3596,MeanMinAge22))),0)</f>
        <v/>
      </c>
      <c r="AY3549">
        <f>IF('01_Вводные'!$B$234="Да",IF(OR(('19_Расчет_аналитики'!AY3465-'19_Расчет_аналитики'!AY3493)=0,22&lt;='01_Вводные'!$B$297),0,('19_Расчет_аналитики'!AY3465-'19_Расчет_аналитики'!AY3493)*IF('01_Вводные'!$B$239="Да",MeanMinAge22+'19_Расчет_аналитики'!AY3596*SUMIF(ThresholdAge22,"&lt;"&amp;'19_Расчет_аналитики'!AY3596,WeightedRevAge22)-SUMIF(ThresholdAge22,"&lt;"&amp;'19_Расчет_аналитики'!AY3596,WeightedMinAge22),MAX(CapacityAge22*'01_Вводные'!$B$218*'19_Расчет_аналитики'!AY3596,MeanMinAge22))),0)</f>
        <v/>
      </c>
      <c r="AZ3549">
        <f>IF('01_Вводные'!$B$234="Да",IF(OR(('19_Расчет_аналитики'!AZ3465-'19_Расчет_аналитики'!AZ3493)=0,22&lt;='01_Вводные'!$B$297),0,('19_Расчет_аналитики'!AZ3465-'19_Расчет_аналитики'!AZ3493)*IF('01_Вводные'!$B$239="Да",MeanMinAge22+'19_Расчет_аналитики'!AZ3596*SUMIF(ThresholdAge22,"&lt;"&amp;'19_Расчет_аналитики'!AZ3596,WeightedRevAge22)-SUMIF(ThresholdAge22,"&lt;"&amp;'19_Расчет_аналитики'!AZ3596,WeightedMinAge22),MAX(CapacityAge22*'01_Вводные'!$B$218*'19_Расчет_аналитики'!AZ3596,MeanMinAge22))),0)</f>
        <v/>
      </c>
      <c r="BA3549">
        <f>IF('01_Вводные'!$B$234="Да",IF(OR(('19_Расчет_аналитики'!BA3465-'19_Расчет_аналитики'!BA3493)=0,22&lt;='01_Вводные'!$B$297),0,('19_Расчет_аналитики'!BA3465-'19_Расчет_аналитики'!BA3493)*IF('01_Вводные'!$B$239="Да",MeanMinAge22+'19_Расчет_аналитики'!BA3596*SUMIF(ThresholdAge22,"&lt;"&amp;'19_Расчет_аналитики'!BA3596,WeightedRevAge22)-SUMIF(ThresholdAge22,"&lt;"&amp;'19_Расчет_аналитики'!BA3596,WeightedMinAge22),MAX(CapacityAge22*'01_Вводные'!$B$218*'19_Расчет_аналитики'!BA3596,MeanMinAge22))),0)</f>
        <v/>
      </c>
      <c r="BB3549">
        <f>IF('01_Вводные'!$B$234="Да",IF(OR(('19_Расчет_аналитики'!BB3465-'19_Расчет_аналитики'!BB3493)=0,22&lt;='01_Вводные'!$B$297),0,('19_Расчет_аналитики'!BB3465-'19_Расчет_аналитики'!BB3493)*IF('01_Вводные'!$B$239="Да",MeanMinAge22+'19_Расчет_аналитики'!BB3596*SUMIF(ThresholdAge22,"&lt;"&amp;'19_Расчет_аналитики'!BB3596,WeightedRevAge22)-SUMIF(ThresholdAge22,"&lt;"&amp;'19_Расчет_аналитики'!BB3596,WeightedMinAge22),MAX(CapacityAge22*'01_Вводные'!$B$218*'19_Расчет_аналитики'!BB3596,MeanMinAge22))),0)</f>
        <v/>
      </c>
      <c r="BC3549">
        <f>IF('01_Вводные'!$B$234="Да",IF(OR(('19_Расчет_аналитики'!BC3465-'19_Расчет_аналитики'!BC3493)=0,22&lt;='01_Вводные'!$B$297),0,('19_Расчет_аналитики'!BC3465-'19_Расчет_аналитики'!BC3493)*IF('01_Вводные'!$B$239="Да",MeanMinAge22+'19_Расчет_аналитики'!BC3596*SUMIF(ThresholdAge22,"&lt;"&amp;'19_Расчет_аналитики'!BC3596,WeightedRevAge22)-SUMIF(ThresholdAge22,"&lt;"&amp;'19_Расчет_аналитики'!BC3596,WeightedMinAge22),MAX(CapacityAge22*'01_Вводные'!$B$218*'19_Расчет_аналитики'!BC3596,MeanMinAge22))),0)</f>
        <v/>
      </c>
      <c r="BD3549">
        <f>IF('01_Вводные'!$B$234="Да",IF(OR(('19_Расчет_аналитики'!BD3465-'19_Расчет_аналитики'!BD3493)=0,22&lt;='01_Вводные'!$B$297),0,('19_Расчет_аналитики'!BD3465-'19_Расчет_аналитики'!BD3493)*IF('01_Вводные'!$B$239="Да",MeanMinAge22+'19_Расчет_аналитики'!BD3596*SUMIF(ThresholdAge22,"&lt;"&amp;'19_Расчет_аналитики'!BD3596,WeightedRevAge22)-SUMIF(ThresholdAge22,"&lt;"&amp;'19_Расчет_аналитики'!BD3596,WeightedMinAge22),MAX(CapacityAge22*'01_Вводные'!$B$218*'19_Расчет_аналитики'!BD3596,MeanMinAge22))),0)</f>
        <v/>
      </c>
      <c r="BE3549">
        <f>IF('01_Вводные'!$B$234="Да",IF(OR(('19_Расчет_аналитики'!BE3465-'19_Расчет_аналитики'!BE3493)=0,22&lt;='01_Вводные'!$B$297),0,('19_Расчет_аналитики'!BE3465-'19_Расчет_аналитики'!BE3493)*IF('01_Вводные'!$B$239="Да",MeanMinAge22+'19_Расчет_аналитики'!BE3596*SUMIF(ThresholdAge22,"&lt;"&amp;'19_Расчет_аналитики'!BE3596,WeightedRevAge22)-SUMIF(ThresholdAge22,"&lt;"&amp;'19_Расчет_аналитики'!BE3596,WeightedMinAge22),MAX(CapacityAge22*'01_Вводные'!$B$218*'19_Расчет_аналитики'!BE3596,MeanMinAge22))),0)</f>
        <v/>
      </c>
      <c r="BF3549">
        <f>IF('01_Вводные'!$B$234="Да",IF(OR(('19_Расчет_аналитики'!BF3465-'19_Расчет_аналитики'!BF3493)=0,22&lt;='01_Вводные'!$B$297),0,('19_Расчет_аналитики'!BF3465-'19_Расчет_аналитики'!BF3493)*IF('01_Вводные'!$B$239="Да",MeanMinAge22+'19_Расчет_аналитики'!BF3596*SUMIF(ThresholdAge22,"&lt;"&amp;'19_Расчет_аналитики'!BF3596,WeightedRevAge22)-SUMIF(ThresholdAge22,"&lt;"&amp;'19_Расчет_аналитики'!BF3596,WeightedMinAge22),MAX(CapacityAge22*'01_Вводные'!$B$218*'19_Расчет_аналитики'!BF3596,MeanMinAge22))),0)</f>
        <v/>
      </c>
      <c r="BG3549">
        <f>IF('01_Вводные'!$B$234="Да",IF(OR(('19_Расчет_аналитики'!BG3465-'19_Расчет_аналитики'!BG3493)=0,22&lt;='01_Вводные'!$B$297),0,('19_Расчет_аналитики'!BG3465-'19_Расчет_аналитики'!BG3493)*IF('01_Вводные'!$B$239="Да",MeanMinAge22+'19_Расчет_аналитики'!BG3596*SUMIF(ThresholdAge22,"&lt;"&amp;'19_Расчет_аналитики'!BG3596,WeightedRevAge22)-SUMIF(ThresholdAge22,"&lt;"&amp;'19_Расчет_аналитики'!BG3596,WeightedMinAge22),MAX(CapacityAge22*'01_Вводные'!$B$218*'19_Расчет_аналитики'!BG3596,MeanMinAge22))),0)</f>
        <v/>
      </c>
      <c r="BH3549">
        <f>IF('01_Вводные'!$B$234="Да",IF(OR(('19_Расчет_аналитики'!BH3465-'19_Расчет_аналитики'!BH3493)=0,22&lt;='01_Вводные'!$B$297),0,('19_Расчет_аналитики'!BH3465-'19_Расчет_аналитики'!BH3493)*IF('01_Вводные'!$B$239="Да",MeanMinAge22+'19_Расчет_аналитики'!BH3596*SUMIF(ThresholdAge22,"&lt;"&amp;'19_Расчет_аналитики'!BH3596,WeightedRevAge22)-SUMIF(ThresholdAge22,"&lt;"&amp;'19_Расчет_аналитики'!BH3596,WeightedMinAge22),MAX(CapacityAge22*'01_Вводные'!$B$218*'19_Расчет_аналитики'!BH3596,MeanMinAge22))),0)</f>
        <v/>
      </c>
      <c r="BI3549">
        <f>IF('01_Вводные'!$B$234="Да",IF(OR(('19_Расчет_аналитики'!BI3465-'19_Расчет_аналитики'!BI3493)=0,22&lt;='01_Вводные'!$B$297),0,('19_Расчет_аналитики'!BI3465-'19_Расчет_аналитики'!BI3493)*IF('01_Вводные'!$B$239="Да",MeanMinAge22+'19_Расчет_аналитики'!BI3596*SUMIF(ThresholdAge22,"&lt;"&amp;'19_Расчет_аналитики'!BI3596,WeightedRevAge22)-SUMIF(ThresholdAge22,"&lt;"&amp;'19_Расчет_аналитики'!BI3596,WeightedMinAge22),MAX(CapacityAge22*'01_Вводные'!$B$218*'19_Расчет_аналитики'!BI3596,MeanMinAge22))),0)</f>
        <v/>
      </c>
      <c r="BJ3549">
        <f>IF('01_Вводные'!$B$234="Да",IF(OR(('19_Расчет_аналитики'!BJ3465-'19_Расчет_аналитики'!BJ3493)=0,22&lt;='01_Вводные'!$B$297),0,('19_Расчет_аналитики'!BJ3465-'19_Расчет_аналитики'!BJ3493)*IF('01_Вводные'!$B$239="Да",MeanMinAge22+'19_Расчет_аналитики'!BJ3596*SUMIF(ThresholdAge22,"&lt;"&amp;'19_Расчет_аналитики'!BJ3596,WeightedRevAge22)-SUMIF(ThresholdAge22,"&lt;"&amp;'19_Расчет_аналитики'!BJ3596,WeightedMinAge22),MAX(CapacityAge22*'01_Вводные'!$B$218*'19_Расчет_аналитики'!BJ3596,MeanMinAge22))),0)</f>
        <v/>
      </c>
      <c r="BK3549">
        <f>IF('01_Вводные'!$B$234="Да",IF(OR(('19_Расчет_аналитики'!BK3465-'19_Расчет_аналитики'!BK3493)=0,22&lt;='01_Вводные'!$B$297),0,('19_Расчет_аналитики'!BK3465-'19_Расчет_аналитики'!BK3493)*IF('01_Вводные'!$B$239="Да",MeanMinAge22+'19_Расчет_аналитики'!BK3596*SUMIF(ThresholdAge22,"&lt;"&amp;'19_Расчет_аналитики'!BK3596,WeightedRevAge22)-SUMIF(ThresholdAge22,"&lt;"&amp;'19_Расчет_аналитики'!BK3596,WeightedMinAge22),MAX(CapacityAge22*'01_Вводные'!$B$218*'19_Расчет_аналитики'!BK3596,MeanMinAge22))),0)</f>
        <v/>
      </c>
      <c r="BL3549">
        <f>IF('01_Вводные'!$B$234="Да",IF(OR(('19_Расчет_аналитики'!BL3465-'19_Расчет_аналитики'!BL3493)=0,22&lt;='01_Вводные'!$B$297),0,('19_Расчет_аналитики'!BL3465-'19_Расчет_аналитики'!BL3493)*IF('01_Вводные'!$B$239="Да",MeanMinAge22+'19_Расчет_аналитики'!BL3596*SUMIF(ThresholdAge22,"&lt;"&amp;'19_Расчет_аналитики'!BL3596,WeightedRevAge22)-SUMIF(ThresholdAge22,"&lt;"&amp;'19_Расчет_аналитики'!BL3596,WeightedMinAge22),MAX(CapacityAge22*'01_Вводные'!$B$218*'19_Расчет_аналитики'!BL3596,MeanMinAge22))),0)</f>
        <v/>
      </c>
      <c r="BM3549">
        <f>IF('01_Вводные'!$B$234="Да",IF(OR(('19_Расчет_аналитики'!BM3465-'19_Расчет_аналитики'!BM3493)=0,22&lt;='01_Вводные'!$B$297),0,('19_Расчет_аналитики'!BM3465-'19_Расчет_аналитики'!BM3493)*IF('01_Вводные'!$B$239="Да",MeanMinAge22+'19_Расчет_аналитики'!BM3596*SUMIF(ThresholdAge22,"&lt;"&amp;'19_Расчет_аналитики'!BM3596,WeightedRevAge22)-SUMIF(ThresholdAge22,"&lt;"&amp;'19_Расчет_аналитики'!BM3596,WeightedMinAge22),MAX(CapacityAge22*'01_Вводные'!$B$218*'19_Расчет_аналитики'!BM3596,MeanMinAge22))),0)</f>
        <v/>
      </c>
      <c r="BN3549">
        <f>IF('01_Вводные'!$B$234="Да",IF(OR(('19_Расчет_аналитики'!BN3465-'19_Расчет_аналитики'!BN3493)=0,22&lt;='01_Вводные'!$B$297),0,('19_Расчет_аналитики'!BN3465-'19_Расчет_аналитики'!BN3493)*IF('01_Вводные'!$B$239="Да",MeanMinAge22+'19_Расчет_аналитики'!BN3596*SUMIF(ThresholdAge22,"&lt;"&amp;'19_Расчет_аналитики'!BN3596,WeightedRevAge22)-SUMIF(ThresholdAge22,"&lt;"&amp;'19_Расчет_аналитики'!BN3596,WeightedMinAge22),MAX(CapacityAge22*'01_Вводные'!$B$218*'19_Расчет_аналитики'!BN3596,MeanMinAge22))),0)</f>
        <v/>
      </c>
      <c r="BO3549">
        <f>IF('01_Вводные'!$B$234="Да",IF(OR(('19_Расчет_аналитики'!BO3465-'19_Расчет_аналитики'!BO3493)=0,22&lt;='01_Вводные'!$B$297),0,('19_Расчет_аналитики'!BO3465-'19_Расчет_аналитики'!BO3493)*IF('01_Вводные'!$B$239="Да",MeanMinAge22+'19_Расчет_аналитики'!BO3596*SUMIF(ThresholdAge22,"&lt;"&amp;'19_Расчет_аналитики'!BO3596,WeightedRevAge22)-SUMIF(ThresholdAge22,"&lt;"&amp;'19_Расчет_аналитики'!BO3596,WeightedMinAge22),MAX(CapacityAge22*'01_Вводные'!$B$218*'19_Расчет_аналитики'!BO3596,MeanMinAge22))),0)</f>
        <v/>
      </c>
    </row>
    <row r="3550">
      <c r="B3550">
        <f>IF('01_Вводные'!$B$234="Да",IF(OR(('06_Сеть_и_дети'!B75-'06_Сеть_и_дети'!B103)=0,23&lt;='01_Вводные'!$B$297),0,('06_Сеть_и_дети'!B75-'06_Сеть_и_дети'!B103)*IF('01_Вводные'!$B$239="Да",MeanMinAge23+'19_Расчет_аналитики'!B3596*SUMIF(ThresholdAge23,"&lt;"&amp;'19_Расчет_аналитики'!B3596,WeightedRevAge23)-SUMIF(ThresholdAge23,"&lt;"&amp;'19_Расчет_аналитики'!B3596,WeightedMinAge23),MAX(CapacityAge23*'01_Вводные'!$B$218*'19_Расчет_аналитики'!B3596,MeanMinAge23))),0)</f>
        <v/>
      </c>
      <c r="C3550">
        <f>IF('01_Вводные'!$B$234="Да",IF(OR(('06_Сеть_и_дети'!C75-'06_Сеть_и_дети'!C103)=0,23&lt;='01_Вводные'!$B$297),0,('06_Сеть_и_дети'!C75-'06_Сеть_и_дети'!C103)*IF('01_Вводные'!$B$239="Да",MeanMinAge23+'19_Расчет_аналитики'!C3596*SUMIF(ThresholdAge23,"&lt;"&amp;'19_Расчет_аналитики'!C3596,WeightedRevAge23)-SUMIF(ThresholdAge23,"&lt;"&amp;'19_Расчет_аналитики'!C3596,WeightedMinAge23),MAX(CapacityAge23*'01_Вводные'!$B$218*'19_Расчет_аналитики'!C3596,MeanMinAge23))),0)</f>
        <v/>
      </c>
      <c r="D3550">
        <f>IF('01_Вводные'!$B$234="Да",IF(OR(('06_Сеть_и_дети'!D75-'06_Сеть_и_дети'!D103)=0,23&lt;='01_Вводные'!$B$297),0,('06_Сеть_и_дети'!D75-'06_Сеть_и_дети'!D103)*IF('01_Вводные'!$B$239="Да",MeanMinAge23+'19_Расчет_аналитики'!D3596*SUMIF(ThresholdAge23,"&lt;"&amp;'19_Расчет_аналитики'!D3596,WeightedRevAge23)-SUMIF(ThresholdAge23,"&lt;"&amp;'19_Расчет_аналитики'!D3596,WeightedMinAge23),MAX(CapacityAge23*'01_Вводные'!$B$218*'19_Расчет_аналитики'!D3596,MeanMinAge23))),0)</f>
        <v/>
      </c>
      <c r="E3550">
        <f>IF('01_Вводные'!$B$234="Да",IF(OR(('06_Сеть_и_дети'!E75-'06_Сеть_и_дети'!E103)=0,23&lt;='01_Вводные'!$B$297),0,('06_Сеть_и_дети'!E75-'06_Сеть_и_дети'!E103)*IF('01_Вводные'!$B$239="Да",MeanMinAge23+'19_Расчет_аналитики'!E3596*SUMIF(ThresholdAge23,"&lt;"&amp;'19_Расчет_аналитики'!E3596,WeightedRevAge23)-SUMIF(ThresholdAge23,"&lt;"&amp;'19_Расчет_аналитики'!E3596,WeightedMinAge23),MAX(CapacityAge23*'01_Вводные'!$B$218*'19_Расчет_аналитики'!E3596,MeanMinAge23))),0)</f>
        <v/>
      </c>
      <c r="F3550">
        <f>IF('01_Вводные'!$B$234="Да",IF(OR(('06_Сеть_и_дети'!F75-'06_Сеть_и_дети'!F103)=0,23&lt;='01_Вводные'!$B$297),0,('06_Сеть_и_дети'!F75-'06_Сеть_и_дети'!F103)*IF('01_Вводные'!$B$239="Да",MeanMinAge23+'19_Расчет_аналитики'!F3596*SUMIF(ThresholdAge23,"&lt;"&amp;'19_Расчет_аналитики'!F3596,WeightedRevAge23)-SUMIF(ThresholdAge23,"&lt;"&amp;'19_Расчет_аналитики'!F3596,WeightedMinAge23),MAX(CapacityAge23*'01_Вводные'!$B$218*'19_Расчет_аналитики'!F3596,MeanMinAge23))),0)</f>
        <v/>
      </c>
      <c r="G3550">
        <f>IF('01_Вводные'!$B$234="Да",IF(OR(('06_Сеть_и_дети'!G75-'06_Сеть_и_дети'!G103)=0,23&lt;='01_Вводные'!$B$297),0,('06_Сеть_и_дети'!G75-'06_Сеть_и_дети'!G103)*IF('01_Вводные'!$B$239="Да",MeanMinAge23+'19_Расчет_аналитики'!G3596*SUMIF(ThresholdAge23,"&lt;"&amp;'19_Расчет_аналитики'!G3596,WeightedRevAge23)-SUMIF(ThresholdAge23,"&lt;"&amp;'19_Расчет_аналитики'!G3596,WeightedMinAge23),MAX(CapacityAge23*'01_Вводные'!$B$218*'19_Расчет_аналитики'!G3596,MeanMinAge23))),0)</f>
        <v/>
      </c>
      <c r="H3550">
        <f>IF('01_Вводные'!$B$234="Да",IF(OR(('06_Сеть_и_дети'!H75-'06_Сеть_и_дети'!H103)=0,23&lt;='01_Вводные'!$B$297),0,('06_Сеть_и_дети'!H75-'06_Сеть_и_дети'!H103)*IF('01_Вводные'!$B$239="Да",MeanMinAge23+'19_Расчет_аналитики'!H3596*SUMIF(ThresholdAge23,"&lt;"&amp;'19_Расчет_аналитики'!H3596,WeightedRevAge23)-SUMIF(ThresholdAge23,"&lt;"&amp;'19_Расчет_аналитики'!H3596,WeightedMinAge23),MAX(CapacityAge23*'01_Вводные'!$B$218*'19_Расчет_аналитики'!H3596,MeanMinAge23))),0)</f>
        <v/>
      </c>
      <c r="I3550">
        <f>IF('01_Вводные'!$B$234="Да",IF(OR(('06_Сеть_и_дети'!I75-'06_Сеть_и_дети'!I103)=0,23&lt;='01_Вводные'!$B$297),0,('06_Сеть_и_дети'!I75-'06_Сеть_и_дети'!I103)*IF('01_Вводные'!$B$239="Да",MeanMinAge23+'19_Расчет_аналитики'!I3596*SUMIF(ThresholdAge23,"&lt;"&amp;'19_Расчет_аналитики'!I3596,WeightedRevAge23)-SUMIF(ThresholdAge23,"&lt;"&amp;'19_Расчет_аналитики'!I3596,WeightedMinAge23),MAX(CapacityAge23*'01_Вводные'!$B$218*'19_Расчет_аналитики'!I3596,MeanMinAge23))),0)</f>
        <v/>
      </c>
      <c r="J3550">
        <f>IF('01_Вводные'!$B$234="Да",IF(OR(('06_Сеть_и_дети'!J75-'06_Сеть_и_дети'!J103)=0,23&lt;='01_Вводные'!$B$297),0,('06_Сеть_и_дети'!J75-'06_Сеть_и_дети'!J103)*IF('01_Вводные'!$B$239="Да",MeanMinAge23+'19_Расчет_аналитики'!J3596*SUMIF(ThresholdAge23,"&lt;"&amp;'19_Расчет_аналитики'!J3596,WeightedRevAge23)-SUMIF(ThresholdAge23,"&lt;"&amp;'19_Расчет_аналитики'!J3596,WeightedMinAge23),MAX(CapacityAge23*'01_Вводные'!$B$218*'19_Расчет_аналитики'!J3596,MeanMinAge23))),0)</f>
        <v/>
      </c>
      <c r="K3550">
        <f>IF('01_Вводные'!$B$234="Да",IF(OR(('06_Сеть_и_дети'!K75-'06_Сеть_и_дети'!K103)=0,23&lt;='01_Вводные'!$B$297),0,('06_Сеть_и_дети'!K75-'06_Сеть_и_дети'!K103)*IF('01_Вводные'!$B$239="Да",MeanMinAge23+'19_Расчет_аналитики'!K3596*SUMIF(ThresholdAge23,"&lt;"&amp;'19_Расчет_аналитики'!K3596,WeightedRevAge23)-SUMIF(ThresholdAge23,"&lt;"&amp;'19_Расчет_аналитики'!K3596,WeightedMinAge23),MAX(CapacityAge23*'01_Вводные'!$B$218*'19_Расчет_аналитики'!K3596,MeanMinAge23))),0)</f>
        <v/>
      </c>
      <c r="L3550">
        <f>IF('01_Вводные'!$B$234="Да",IF(OR(('06_Сеть_и_дети'!L75-'06_Сеть_и_дети'!L103)=0,23&lt;='01_Вводные'!$B$297),0,('06_Сеть_и_дети'!L75-'06_Сеть_и_дети'!L103)*IF('01_Вводные'!$B$239="Да",MeanMinAge23+'19_Расчет_аналитики'!L3596*SUMIF(ThresholdAge23,"&lt;"&amp;'19_Расчет_аналитики'!L3596,WeightedRevAge23)-SUMIF(ThresholdAge23,"&lt;"&amp;'19_Расчет_аналитики'!L3596,WeightedMinAge23),MAX(CapacityAge23*'01_Вводные'!$B$218*'19_Расчет_аналитики'!L3596,MeanMinAge23))),0)</f>
        <v/>
      </c>
      <c r="M3550">
        <f>IF('01_Вводные'!$B$234="Да",IF(OR(('06_Сеть_и_дети'!M75-'06_Сеть_и_дети'!M103)=0,23&lt;='01_Вводные'!$B$297),0,('06_Сеть_и_дети'!M75-'06_Сеть_и_дети'!M103)*IF('01_Вводные'!$B$239="Да",MeanMinAge23+'19_Расчет_аналитики'!M3596*SUMIF(ThresholdAge23,"&lt;"&amp;'19_Расчет_аналитики'!M3596,WeightedRevAge23)-SUMIF(ThresholdAge23,"&lt;"&amp;'19_Расчет_аналитики'!M3596,WeightedMinAge23),MAX(CapacityAge23*'01_Вводные'!$B$218*'19_Расчет_аналитики'!M3596,MeanMinAge23))),0)</f>
        <v/>
      </c>
      <c r="N3550">
        <f>IF('01_Вводные'!$B$234="Да",IF(OR(('06_Сеть_и_дети'!N75-'06_Сеть_и_дети'!N103)=0,23&lt;='01_Вводные'!$B$297),0,('06_Сеть_и_дети'!N75-'06_Сеть_и_дети'!N103)*IF('01_Вводные'!$B$239="Да",MeanMinAge23+'19_Расчет_аналитики'!N3596*SUMIF(ThresholdAge23,"&lt;"&amp;'19_Расчет_аналитики'!N3596,WeightedRevAge23)-SUMIF(ThresholdAge23,"&lt;"&amp;'19_Расчет_аналитики'!N3596,WeightedMinAge23),MAX(CapacityAge23*'01_Вводные'!$B$218*'19_Расчет_аналитики'!N3596,MeanMinAge23))),0)</f>
        <v/>
      </c>
      <c r="O3550">
        <f>IF('01_Вводные'!$B$234="Да",IF(OR(('06_Сеть_и_дети'!O75-'06_Сеть_и_дети'!O103)=0,23&lt;='01_Вводные'!$B$297),0,('06_Сеть_и_дети'!O75-'06_Сеть_и_дети'!O103)*IF('01_Вводные'!$B$239="Да",MeanMinAge23+'19_Расчет_аналитики'!O3596*SUMIF(ThresholdAge23,"&lt;"&amp;'19_Расчет_аналитики'!O3596,WeightedRevAge23)-SUMIF(ThresholdAge23,"&lt;"&amp;'19_Расчет_аналитики'!O3596,WeightedMinAge23),MAX(CapacityAge23*'01_Вводные'!$B$218*'19_Расчет_аналитики'!O3596,MeanMinAge23))),0)</f>
        <v/>
      </c>
      <c r="P3550">
        <f>IF('01_Вводные'!$B$234="Да",IF(OR(('06_Сеть_и_дети'!P75-'06_Сеть_и_дети'!P103)=0,23&lt;='01_Вводные'!$B$297),0,('06_Сеть_и_дети'!P75-'06_Сеть_и_дети'!P103)*IF('01_Вводные'!$B$239="Да",MeanMinAge23+'19_Расчет_аналитики'!P3596*SUMIF(ThresholdAge23,"&lt;"&amp;'19_Расчет_аналитики'!P3596,WeightedRevAge23)-SUMIF(ThresholdAge23,"&lt;"&amp;'19_Расчет_аналитики'!P3596,WeightedMinAge23),MAX(CapacityAge23*'01_Вводные'!$B$218*'19_Расчет_аналитики'!P3596,MeanMinAge23))),0)</f>
        <v/>
      </c>
      <c r="Q3550">
        <f>IF('01_Вводные'!$B$234="Да",IF(OR(('06_Сеть_и_дети'!Q75-'06_Сеть_и_дети'!Q103)=0,23&lt;='01_Вводные'!$B$297),0,('06_Сеть_и_дети'!Q75-'06_Сеть_и_дети'!Q103)*IF('01_Вводные'!$B$239="Да",MeanMinAge23+'19_Расчет_аналитики'!Q3596*SUMIF(ThresholdAge23,"&lt;"&amp;'19_Расчет_аналитики'!Q3596,WeightedRevAge23)-SUMIF(ThresholdAge23,"&lt;"&amp;'19_Расчет_аналитики'!Q3596,WeightedMinAge23),MAX(CapacityAge23*'01_Вводные'!$B$218*'19_Расчет_аналитики'!Q3596,MeanMinAge23))),0)</f>
        <v/>
      </c>
      <c r="R3550">
        <f>IF('01_Вводные'!$B$234="Да",IF(OR(('06_Сеть_и_дети'!R75-'06_Сеть_и_дети'!R103)=0,23&lt;='01_Вводные'!$B$297),0,('06_Сеть_и_дети'!R75-'06_Сеть_и_дети'!R103)*IF('01_Вводные'!$B$239="Да",MeanMinAge23+'19_Расчет_аналитики'!R3596*SUMIF(ThresholdAge23,"&lt;"&amp;'19_Расчет_аналитики'!R3596,WeightedRevAge23)-SUMIF(ThresholdAge23,"&lt;"&amp;'19_Расчет_аналитики'!R3596,WeightedMinAge23),MAX(CapacityAge23*'01_Вводные'!$B$218*'19_Расчет_аналитики'!R3596,MeanMinAge23))),0)</f>
        <v/>
      </c>
      <c r="S3550">
        <f>IF('01_Вводные'!$B$234="Да",IF(OR(('06_Сеть_и_дети'!S75-'06_Сеть_и_дети'!S103)=0,23&lt;='01_Вводные'!$B$297),0,('06_Сеть_и_дети'!S75-'06_Сеть_и_дети'!S103)*IF('01_Вводные'!$B$239="Да",MeanMinAge23+'19_Расчет_аналитики'!S3596*SUMIF(ThresholdAge23,"&lt;"&amp;'19_Расчет_аналитики'!S3596,WeightedRevAge23)-SUMIF(ThresholdAge23,"&lt;"&amp;'19_Расчет_аналитики'!S3596,WeightedMinAge23),MAX(CapacityAge23*'01_Вводные'!$B$218*'19_Расчет_аналитики'!S3596,MeanMinAge23))),0)</f>
        <v/>
      </c>
      <c r="T3550">
        <f>IF('01_Вводные'!$B$234="Да",IF(OR(('06_Сеть_и_дети'!T75-'06_Сеть_и_дети'!T103)=0,23&lt;='01_Вводные'!$B$297),0,('06_Сеть_и_дети'!T75-'06_Сеть_и_дети'!T103)*IF('01_Вводные'!$B$239="Да",MeanMinAge23+'19_Расчет_аналитики'!T3596*SUMIF(ThresholdAge23,"&lt;"&amp;'19_Расчет_аналитики'!T3596,WeightedRevAge23)-SUMIF(ThresholdAge23,"&lt;"&amp;'19_Расчет_аналитики'!T3596,WeightedMinAge23),MAX(CapacityAge23*'01_Вводные'!$B$218*'19_Расчет_аналитики'!T3596,MeanMinAge23))),0)</f>
        <v/>
      </c>
      <c r="U3550">
        <f>IF('01_Вводные'!$B$234="Да",IF(OR(('06_Сеть_и_дети'!U75-'06_Сеть_и_дети'!U103)=0,23&lt;='01_Вводные'!$B$297),0,('06_Сеть_и_дети'!U75-'06_Сеть_и_дети'!U103)*IF('01_Вводные'!$B$239="Да",MeanMinAge23+'19_Расчет_аналитики'!U3596*SUMIF(ThresholdAge23,"&lt;"&amp;'19_Расчет_аналитики'!U3596,WeightedRevAge23)-SUMIF(ThresholdAge23,"&lt;"&amp;'19_Расчет_аналитики'!U3596,WeightedMinAge23),MAX(CapacityAge23*'01_Вводные'!$B$218*'19_Расчет_аналитики'!U3596,MeanMinAge23))),0)</f>
        <v/>
      </c>
      <c r="V3550">
        <f>IF('01_Вводные'!$B$234="Да",IF(OR(('06_Сеть_и_дети'!V75-'06_Сеть_и_дети'!V103)=0,23&lt;='01_Вводные'!$B$297),0,('06_Сеть_и_дети'!V75-'06_Сеть_и_дети'!V103)*IF('01_Вводные'!$B$239="Да",MeanMinAge23+'19_Расчет_аналитики'!V3596*SUMIF(ThresholdAge23,"&lt;"&amp;'19_Расчет_аналитики'!V3596,WeightedRevAge23)-SUMIF(ThresholdAge23,"&lt;"&amp;'19_Расчет_аналитики'!V3596,WeightedMinAge23),MAX(CapacityAge23*'01_Вводные'!$B$218*'19_Расчет_аналитики'!V3596,MeanMinAge23))),0)</f>
        <v/>
      </c>
      <c r="W3550">
        <f>IF('01_Вводные'!$B$234="Да",IF(OR(('06_Сеть_и_дети'!W75-'06_Сеть_и_дети'!W103)=0,23&lt;='01_Вводные'!$B$297),0,('06_Сеть_и_дети'!W75-'06_Сеть_и_дети'!W103)*IF('01_Вводные'!$B$239="Да",MeanMinAge23+'19_Расчет_аналитики'!W3596*SUMIF(ThresholdAge23,"&lt;"&amp;'19_Расчет_аналитики'!W3596,WeightedRevAge23)-SUMIF(ThresholdAge23,"&lt;"&amp;'19_Расчет_аналитики'!W3596,WeightedMinAge23),MAX(CapacityAge23*'01_Вводные'!$B$218*'19_Расчет_аналитики'!W3596,MeanMinAge23))),0)</f>
        <v/>
      </c>
      <c r="X3550">
        <f>IF('01_Вводные'!$B$234="Да",IF(OR(('19_Расчет_аналитики'!X3466-'19_Расчет_аналитики'!X3494)=0,23&lt;='01_Вводные'!$B$297),0,('19_Расчет_аналитики'!X3466-'19_Расчет_аналитики'!X3494)*IF('01_Вводные'!$B$239="Да",MeanMinAge23+'19_Расчет_аналитики'!X3596*SUMIF(ThresholdAge23,"&lt;"&amp;'19_Расчет_аналитики'!X3596,WeightedRevAge23)-SUMIF(ThresholdAge23,"&lt;"&amp;'19_Расчет_аналитики'!X3596,WeightedMinAge23),MAX(CapacityAge23*'01_Вводные'!$B$218*'19_Расчет_аналитики'!X3596,MeanMinAge23))),0)</f>
        <v/>
      </c>
      <c r="Y3550">
        <f>IF('01_Вводные'!$B$234="Да",IF(OR(('19_Расчет_аналитики'!Y3466-'19_Расчет_аналитики'!Y3494)=0,23&lt;='01_Вводные'!$B$297),0,('19_Расчет_аналитики'!Y3466-'19_Расчет_аналитики'!Y3494)*IF('01_Вводные'!$B$239="Да",MeanMinAge23+'19_Расчет_аналитики'!Y3596*SUMIF(ThresholdAge23,"&lt;"&amp;'19_Расчет_аналитики'!Y3596,WeightedRevAge23)-SUMIF(ThresholdAge23,"&lt;"&amp;'19_Расчет_аналитики'!Y3596,WeightedMinAge23),MAX(CapacityAge23*'01_Вводные'!$B$218*'19_Расчет_аналитики'!Y3596,MeanMinAge23))),0)</f>
        <v/>
      </c>
      <c r="Z3550">
        <f>IF('01_Вводные'!$B$234="Да",IF(OR(('19_Расчет_аналитики'!Z3466-'19_Расчет_аналитики'!Z3494)=0,23&lt;='01_Вводные'!$B$297),0,('19_Расчет_аналитики'!Z3466-'19_Расчет_аналитики'!Z3494)*IF('01_Вводные'!$B$239="Да",MeanMinAge23+'19_Расчет_аналитики'!Z3596*SUMIF(ThresholdAge23,"&lt;"&amp;'19_Расчет_аналитики'!Z3596,WeightedRevAge23)-SUMIF(ThresholdAge23,"&lt;"&amp;'19_Расчет_аналитики'!Z3596,WeightedMinAge23),MAX(CapacityAge23*'01_Вводные'!$B$218*'19_Расчет_аналитики'!Z3596,MeanMinAge23))),0)</f>
        <v/>
      </c>
      <c r="AA3550">
        <f>IF('01_Вводные'!$B$234="Да",IF(OR(('19_Расчет_аналитики'!AA3466-'19_Расчет_аналитики'!AA3494)=0,23&lt;='01_Вводные'!$B$297),0,('19_Расчет_аналитики'!AA3466-'19_Расчет_аналитики'!AA3494)*IF('01_Вводные'!$B$239="Да",MeanMinAge23+'19_Расчет_аналитики'!AA3596*SUMIF(ThresholdAge23,"&lt;"&amp;'19_Расчет_аналитики'!AA3596,WeightedRevAge23)-SUMIF(ThresholdAge23,"&lt;"&amp;'19_Расчет_аналитики'!AA3596,WeightedMinAge23),MAX(CapacityAge23*'01_Вводные'!$B$218*'19_Расчет_аналитики'!AA3596,MeanMinAge23))),0)</f>
        <v/>
      </c>
      <c r="AB3550">
        <f>IF('01_Вводные'!$B$234="Да",IF(OR(('19_Расчет_аналитики'!AB3466-'19_Расчет_аналитики'!AB3494)=0,23&lt;='01_Вводные'!$B$297),0,('19_Расчет_аналитики'!AB3466-'19_Расчет_аналитики'!AB3494)*IF('01_Вводные'!$B$239="Да",MeanMinAge23+'19_Расчет_аналитики'!AB3596*SUMIF(ThresholdAge23,"&lt;"&amp;'19_Расчет_аналитики'!AB3596,WeightedRevAge23)-SUMIF(ThresholdAge23,"&lt;"&amp;'19_Расчет_аналитики'!AB3596,WeightedMinAge23),MAX(CapacityAge23*'01_Вводные'!$B$218*'19_Расчет_аналитики'!AB3596,MeanMinAge23))),0)</f>
        <v/>
      </c>
      <c r="AC3550">
        <f>IF('01_Вводные'!$B$234="Да",IF(OR(('19_Расчет_аналитики'!AC3466-'19_Расчет_аналитики'!AC3494)=0,23&lt;='01_Вводные'!$B$297),0,('19_Расчет_аналитики'!AC3466-'19_Расчет_аналитики'!AC3494)*IF('01_Вводные'!$B$239="Да",MeanMinAge23+'19_Расчет_аналитики'!AC3596*SUMIF(ThresholdAge23,"&lt;"&amp;'19_Расчет_аналитики'!AC3596,WeightedRevAge23)-SUMIF(ThresholdAge23,"&lt;"&amp;'19_Расчет_аналитики'!AC3596,WeightedMinAge23),MAX(CapacityAge23*'01_Вводные'!$B$218*'19_Расчет_аналитики'!AC3596,MeanMinAge23))),0)</f>
        <v/>
      </c>
      <c r="AD3550">
        <f>IF('01_Вводные'!$B$234="Да",IF(OR(('19_Расчет_аналитики'!AD3466-'19_Расчет_аналитики'!AD3494)=0,23&lt;='01_Вводные'!$B$297),0,('19_Расчет_аналитики'!AD3466-'19_Расчет_аналитики'!AD3494)*IF('01_Вводные'!$B$239="Да",MeanMinAge23+'19_Расчет_аналитики'!AD3596*SUMIF(ThresholdAge23,"&lt;"&amp;'19_Расчет_аналитики'!AD3596,WeightedRevAge23)-SUMIF(ThresholdAge23,"&lt;"&amp;'19_Расчет_аналитики'!AD3596,WeightedMinAge23),MAX(CapacityAge23*'01_Вводные'!$B$218*'19_Расчет_аналитики'!AD3596,MeanMinAge23))),0)</f>
        <v/>
      </c>
      <c r="AE3550">
        <f>IF('01_Вводные'!$B$234="Да",IF(OR(('19_Расчет_аналитики'!AE3466-'19_Расчет_аналитики'!AE3494)=0,23&lt;='01_Вводные'!$B$297),0,('19_Расчет_аналитики'!AE3466-'19_Расчет_аналитики'!AE3494)*IF('01_Вводные'!$B$239="Да",MeanMinAge23+'19_Расчет_аналитики'!AE3596*SUMIF(ThresholdAge23,"&lt;"&amp;'19_Расчет_аналитики'!AE3596,WeightedRevAge23)-SUMIF(ThresholdAge23,"&lt;"&amp;'19_Расчет_аналитики'!AE3596,WeightedMinAge23),MAX(CapacityAge23*'01_Вводные'!$B$218*'19_Расчет_аналитики'!AE3596,MeanMinAge23))),0)</f>
        <v/>
      </c>
      <c r="AF3550">
        <f>IF('01_Вводные'!$B$234="Да",IF(OR(('19_Расчет_аналитики'!AF3466-'19_Расчет_аналитики'!AF3494)=0,23&lt;='01_Вводные'!$B$297),0,('19_Расчет_аналитики'!AF3466-'19_Расчет_аналитики'!AF3494)*IF('01_Вводные'!$B$239="Да",MeanMinAge23+'19_Расчет_аналитики'!AF3596*SUMIF(ThresholdAge23,"&lt;"&amp;'19_Расчет_аналитики'!AF3596,WeightedRevAge23)-SUMIF(ThresholdAge23,"&lt;"&amp;'19_Расчет_аналитики'!AF3596,WeightedMinAge23),MAX(CapacityAge23*'01_Вводные'!$B$218*'19_Расчет_аналитики'!AF3596,MeanMinAge23))),0)</f>
        <v/>
      </c>
      <c r="AG3550">
        <f>IF('01_Вводные'!$B$234="Да",IF(OR(('19_Расчет_аналитики'!AG3466-'19_Расчет_аналитики'!AG3494)=0,23&lt;='01_Вводные'!$B$297),0,('19_Расчет_аналитики'!AG3466-'19_Расчет_аналитики'!AG3494)*IF('01_Вводные'!$B$239="Да",MeanMinAge23+'19_Расчет_аналитики'!AG3596*SUMIF(ThresholdAge23,"&lt;"&amp;'19_Расчет_аналитики'!AG3596,WeightedRevAge23)-SUMIF(ThresholdAge23,"&lt;"&amp;'19_Расчет_аналитики'!AG3596,WeightedMinAge23),MAX(CapacityAge23*'01_Вводные'!$B$218*'19_Расчет_аналитики'!AG3596,MeanMinAge23))),0)</f>
        <v/>
      </c>
      <c r="AH3550">
        <f>IF('01_Вводные'!$B$234="Да",IF(OR(('19_Расчет_аналитики'!AH3466-'19_Расчет_аналитики'!AH3494)=0,23&lt;='01_Вводные'!$B$297),0,('19_Расчет_аналитики'!AH3466-'19_Расчет_аналитики'!AH3494)*IF('01_Вводные'!$B$239="Да",MeanMinAge23+'19_Расчет_аналитики'!AH3596*SUMIF(ThresholdAge23,"&lt;"&amp;'19_Расчет_аналитики'!AH3596,WeightedRevAge23)-SUMIF(ThresholdAge23,"&lt;"&amp;'19_Расчет_аналитики'!AH3596,WeightedMinAge23),MAX(CapacityAge23*'01_Вводные'!$B$218*'19_Расчет_аналитики'!AH3596,MeanMinAge23))),0)</f>
        <v/>
      </c>
      <c r="AI3550">
        <f>IF('01_Вводные'!$B$234="Да",IF(OR(('19_Расчет_аналитики'!AI3466-'19_Расчет_аналитики'!AI3494)=0,23&lt;='01_Вводные'!$B$297),0,('19_Расчет_аналитики'!AI3466-'19_Расчет_аналитики'!AI3494)*IF('01_Вводные'!$B$239="Да",MeanMinAge23+'19_Расчет_аналитики'!AI3596*SUMIF(ThresholdAge23,"&lt;"&amp;'19_Расчет_аналитики'!AI3596,WeightedRevAge23)-SUMIF(ThresholdAge23,"&lt;"&amp;'19_Расчет_аналитики'!AI3596,WeightedMinAge23),MAX(CapacityAge23*'01_Вводные'!$B$218*'19_Расчет_аналитики'!AI3596,MeanMinAge23))),0)</f>
        <v/>
      </c>
      <c r="AJ3550">
        <f>IF('01_Вводные'!$B$234="Да",IF(OR(('19_Расчет_аналитики'!AJ3466-'19_Расчет_аналитики'!AJ3494)=0,23&lt;='01_Вводные'!$B$297),0,('19_Расчет_аналитики'!AJ3466-'19_Расчет_аналитики'!AJ3494)*IF('01_Вводные'!$B$239="Да",MeanMinAge23+'19_Расчет_аналитики'!AJ3596*SUMIF(ThresholdAge23,"&lt;"&amp;'19_Расчет_аналитики'!AJ3596,WeightedRevAge23)-SUMIF(ThresholdAge23,"&lt;"&amp;'19_Расчет_аналитики'!AJ3596,WeightedMinAge23),MAX(CapacityAge23*'01_Вводные'!$B$218*'19_Расчет_аналитики'!AJ3596,MeanMinAge23))),0)</f>
        <v/>
      </c>
      <c r="AK3550">
        <f>IF('01_Вводные'!$B$234="Да",IF(OR(('19_Расчет_аналитики'!AK3466-'19_Расчет_аналитики'!AK3494)=0,23&lt;='01_Вводные'!$B$297),0,('19_Расчет_аналитики'!AK3466-'19_Расчет_аналитики'!AK3494)*IF('01_Вводные'!$B$239="Да",MeanMinAge23+'19_Расчет_аналитики'!AK3596*SUMIF(ThresholdAge23,"&lt;"&amp;'19_Расчет_аналитики'!AK3596,WeightedRevAge23)-SUMIF(ThresholdAge23,"&lt;"&amp;'19_Расчет_аналитики'!AK3596,WeightedMinAge23),MAX(CapacityAge23*'01_Вводные'!$B$218*'19_Расчет_аналитики'!AK3596,MeanMinAge23))),0)</f>
        <v/>
      </c>
      <c r="AL3550">
        <f>IF('01_Вводные'!$B$234="Да",IF(OR(('19_Расчет_аналитики'!AL3466-'19_Расчет_аналитики'!AL3494)=0,23&lt;='01_Вводные'!$B$297),0,('19_Расчет_аналитики'!AL3466-'19_Расчет_аналитики'!AL3494)*IF('01_Вводные'!$B$239="Да",MeanMinAge23+'19_Расчет_аналитики'!AL3596*SUMIF(ThresholdAge23,"&lt;"&amp;'19_Расчет_аналитики'!AL3596,WeightedRevAge23)-SUMIF(ThresholdAge23,"&lt;"&amp;'19_Расчет_аналитики'!AL3596,WeightedMinAge23),MAX(CapacityAge23*'01_Вводные'!$B$218*'19_Расчет_аналитики'!AL3596,MeanMinAge23))),0)</f>
        <v/>
      </c>
      <c r="AM3550">
        <f>IF('01_Вводные'!$B$234="Да",IF(OR(('19_Расчет_аналитики'!AM3466-'19_Расчет_аналитики'!AM3494)=0,23&lt;='01_Вводные'!$B$297),0,('19_Расчет_аналитики'!AM3466-'19_Расчет_аналитики'!AM3494)*IF('01_Вводные'!$B$239="Да",MeanMinAge23+'19_Расчет_аналитики'!AM3596*SUMIF(ThresholdAge23,"&lt;"&amp;'19_Расчет_аналитики'!AM3596,WeightedRevAge23)-SUMIF(ThresholdAge23,"&lt;"&amp;'19_Расчет_аналитики'!AM3596,WeightedMinAge23),MAX(CapacityAge23*'01_Вводные'!$B$218*'19_Расчет_аналитики'!AM3596,MeanMinAge23))),0)</f>
        <v/>
      </c>
      <c r="AN3550">
        <f>IF('01_Вводные'!$B$234="Да",IF(OR(('19_Расчет_аналитики'!AN3466-'19_Расчет_аналитики'!AN3494)=0,23&lt;='01_Вводные'!$B$297),0,('19_Расчет_аналитики'!AN3466-'19_Расчет_аналитики'!AN3494)*IF('01_Вводные'!$B$239="Да",MeanMinAge23+'19_Расчет_аналитики'!AN3596*SUMIF(ThresholdAge23,"&lt;"&amp;'19_Расчет_аналитики'!AN3596,WeightedRevAge23)-SUMIF(ThresholdAge23,"&lt;"&amp;'19_Расчет_аналитики'!AN3596,WeightedMinAge23),MAX(CapacityAge23*'01_Вводные'!$B$218*'19_Расчет_аналитики'!AN3596,MeanMinAge23))),0)</f>
        <v/>
      </c>
      <c r="AO3550">
        <f>IF('01_Вводные'!$B$234="Да",IF(OR(('19_Расчет_аналитики'!AO3466-'19_Расчет_аналитики'!AO3494)=0,23&lt;='01_Вводные'!$B$297),0,('19_Расчет_аналитики'!AO3466-'19_Расчет_аналитики'!AO3494)*IF('01_Вводные'!$B$239="Да",MeanMinAge23+'19_Расчет_аналитики'!AO3596*SUMIF(ThresholdAge23,"&lt;"&amp;'19_Расчет_аналитики'!AO3596,WeightedRevAge23)-SUMIF(ThresholdAge23,"&lt;"&amp;'19_Расчет_аналитики'!AO3596,WeightedMinAge23),MAX(CapacityAge23*'01_Вводные'!$B$218*'19_Расчет_аналитики'!AO3596,MeanMinAge23))),0)</f>
        <v/>
      </c>
      <c r="AP3550">
        <f>IF('01_Вводные'!$B$234="Да",IF(OR(('19_Расчет_аналитики'!AP3466-'19_Расчет_аналитики'!AP3494)=0,23&lt;='01_Вводные'!$B$297),0,('19_Расчет_аналитики'!AP3466-'19_Расчет_аналитики'!AP3494)*IF('01_Вводные'!$B$239="Да",MeanMinAge23+'19_Расчет_аналитики'!AP3596*SUMIF(ThresholdAge23,"&lt;"&amp;'19_Расчет_аналитики'!AP3596,WeightedRevAge23)-SUMIF(ThresholdAge23,"&lt;"&amp;'19_Расчет_аналитики'!AP3596,WeightedMinAge23),MAX(CapacityAge23*'01_Вводные'!$B$218*'19_Расчет_аналитики'!AP3596,MeanMinAge23))),0)</f>
        <v/>
      </c>
      <c r="AQ3550">
        <f>IF('01_Вводные'!$B$234="Да",IF(OR(('19_Расчет_аналитики'!AQ3466-'19_Расчет_аналитики'!AQ3494)=0,23&lt;='01_Вводные'!$B$297),0,('19_Расчет_аналитики'!AQ3466-'19_Расчет_аналитики'!AQ3494)*IF('01_Вводные'!$B$239="Да",MeanMinAge23+'19_Расчет_аналитики'!AQ3596*SUMIF(ThresholdAge23,"&lt;"&amp;'19_Расчет_аналитики'!AQ3596,WeightedRevAge23)-SUMIF(ThresholdAge23,"&lt;"&amp;'19_Расчет_аналитики'!AQ3596,WeightedMinAge23),MAX(CapacityAge23*'01_Вводные'!$B$218*'19_Расчет_аналитики'!AQ3596,MeanMinAge23))),0)</f>
        <v/>
      </c>
      <c r="AR3550">
        <f>IF('01_Вводные'!$B$234="Да",IF(OR(('19_Расчет_аналитики'!AR3466-'19_Расчет_аналитики'!AR3494)=0,23&lt;='01_Вводные'!$B$297),0,('19_Расчет_аналитики'!AR3466-'19_Расчет_аналитики'!AR3494)*IF('01_Вводные'!$B$239="Да",MeanMinAge23+'19_Расчет_аналитики'!AR3596*SUMIF(ThresholdAge23,"&lt;"&amp;'19_Расчет_аналитики'!AR3596,WeightedRevAge23)-SUMIF(ThresholdAge23,"&lt;"&amp;'19_Расчет_аналитики'!AR3596,WeightedMinAge23),MAX(CapacityAge23*'01_Вводные'!$B$218*'19_Расчет_аналитики'!AR3596,MeanMinAge23))),0)</f>
        <v/>
      </c>
      <c r="AS3550">
        <f>IF('01_Вводные'!$B$234="Да",IF(OR(('19_Расчет_аналитики'!AS3466-'19_Расчет_аналитики'!AS3494)=0,23&lt;='01_Вводные'!$B$297),0,('19_Расчет_аналитики'!AS3466-'19_Расчет_аналитики'!AS3494)*IF('01_Вводные'!$B$239="Да",MeanMinAge23+'19_Расчет_аналитики'!AS3596*SUMIF(ThresholdAge23,"&lt;"&amp;'19_Расчет_аналитики'!AS3596,WeightedRevAge23)-SUMIF(ThresholdAge23,"&lt;"&amp;'19_Расчет_аналитики'!AS3596,WeightedMinAge23),MAX(CapacityAge23*'01_Вводные'!$B$218*'19_Расчет_аналитики'!AS3596,MeanMinAge23))),0)</f>
        <v/>
      </c>
      <c r="AT3550">
        <f>IF('01_Вводные'!$B$234="Да",IF(OR(('19_Расчет_аналитики'!AT3466-'19_Расчет_аналитики'!AT3494)=0,23&lt;='01_Вводные'!$B$297),0,('19_Расчет_аналитики'!AT3466-'19_Расчет_аналитики'!AT3494)*IF('01_Вводные'!$B$239="Да",MeanMinAge23+'19_Расчет_аналитики'!AT3596*SUMIF(ThresholdAge23,"&lt;"&amp;'19_Расчет_аналитики'!AT3596,WeightedRevAge23)-SUMIF(ThresholdAge23,"&lt;"&amp;'19_Расчет_аналитики'!AT3596,WeightedMinAge23),MAX(CapacityAge23*'01_Вводные'!$B$218*'19_Расчет_аналитики'!AT3596,MeanMinAge23))),0)</f>
        <v/>
      </c>
      <c r="AU3550">
        <f>IF('01_Вводные'!$B$234="Да",IF(OR(('19_Расчет_аналитики'!AU3466-'19_Расчет_аналитики'!AU3494)=0,23&lt;='01_Вводные'!$B$297),0,('19_Расчет_аналитики'!AU3466-'19_Расчет_аналитики'!AU3494)*IF('01_Вводные'!$B$239="Да",MeanMinAge23+'19_Расчет_аналитики'!AU3596*SUMIF(ThresholdAge23,"&lt;"&amp;'19_Расчет_аналитики'!AU3596,WeightedRevAge23)-SUMIF(ThresholdAge23,"&lt;"&amp;'19_Расчет_аналитики'!AU3596,WeightedMinAge23),MAX(CapacityAge23*'01_Вводные'!$B$218*'19_Расчет_аналитики'!AU3596,MeanMinAge23))),0)</f>
        <v/>
      </c>
      <c r="AV3550">
        <f>IF('01_Вводные'!$B$234="Да",IF(OR(('19_Расчет_аналитики'!AV3466-'19_Расчет_аналитики'!AV3494)=0,23&lt;='01_Вводные'!$B$297),0,('19_Расчет_аналитики'!AV3466-'19_Расчет_аналитики'!AV3494)*IF('01_Вводные'!$B$239="Да",MeanMinAge23+'19_Расчет_аналитики'!AV3596*SUMIF(ThresholdAge23,"&lt;"&amp;'19_Расчет_аналитики'!AV3596,WeightedRevAge23)-SUMIF(ThresholdAge23,"&lt;"&amp;'19_Расчет_аналитики'!AV3596,WeightedMinAge23),MAX(CapacityAge23*'01_Вводные'!$B$218*'19_Расчет_аналитики'!AV3596,MeanMinAge23))),0)</f>
        <v/>
      </c>
      <c r="AW3550">
        <f>IF('01_Вводные'!$B$234="Да",IF(OR(('19_Расчет_аналитики'!AW3466-'19_Расчет_аналитики'!AW3494)=0,23&lt;='01_Вводные'!$B$297),0,('19_Расчет_аналитики'!AW3466-'19_Расчет_аналитики'!AW3494)*IF('01_Вводные'!$B$239="Да",MeanMinAge23+'19_Расчет_аналитики'!AW3596*SUMIF(ThresholdAge23,"&lt;"&amp;'19_Расчет_аналитики'!AW3596,WeightedRevAge23)-SUMIF(ThresholdAge23,"&lt;"&amp;'19_Расчет_аналитики'!AW3596,WeightedMinAge23),MAX(CapacityAge23*'01_Вводные'!$B$218*'19_Расчет_аналитики'!AW3596,MeanMinAge23))),0)</f>
        <v/>
      </c>
      <c r="AX3550">
        <f>IF('01_Вводные'!$B$234="Да",IF(OR(('19_Расчет_аналитики'!AX3466-'19_Расчет_аналитики'!AX3494)=0,23&lt;='01_Вводные'!$B$297),0,('19_Расчет_аналитики'!AX3466-'19_Расчет_аналитики'!AX3494)*IF('01_Вводные'!$B$239="Да",MeanMinAge23+'19_Расчет_аналитики'!AX3596*SUMIF(ThresholdAge23,"&lt;"&amp;'19_Расчет_аналитики'!AX3596,WeightedRevAge23)-SUMIF(ThresholdAge23,"&lt;"&amp;'19_Расчет_аналитики'!AX3596,WeightedMinAge23),MAX(CapacityAge23*'01_Вводные'!$B$218*'19_Расчет_аналитики'!AX3596,MeanMinAge23))),0)</f>
        <v/>
      </c>
      <c r="AY3550">
        <f>IF('01_Вводные'!$B$234="Да",IF(OR(('19_Расчет_аналитики'!AY3466-'19_Расчет_аналитики'!AY3494)=0,23&lt;='01_Вводные'!$B$297),0,('19_Расчет_аналитики'!AY3466-'19_Расчет_аналитики'!AY3494)*IF('01_Вводные'!$B$239="Да",MeanMinAge23+'19_Расчет_аналитики'!AY3596*SUMIF(ThresholdAge23,"&lt;"&amp;'19_Расчет_аналитики'!AY3596,WeightedRevAge23)-SUMIF(ThresholdAge23,"&lt;"&amp;'19_Расчет_аналитики'!AY3596,WeightedMinAge23),MAX(CapacityAge23*'01_Вводные'!$B$218*'19_Расчет_аналитики'!AY3596,MeanMinAge23))),0)</f>
        <v/>
      </c>
      <c r="AZ3550">
        <f>IF('01_Вводные'!$B$234="Да",IF(OR(('19_Расчет_аналитики'!AZ3466-'19_Расчет_аналитики'!AZ3494)=0,23&lt;='01_Вводные'!$B$297),0,('19_Расчет_аналитики'!AZ3466-'19_Расчет_аналитики'!AZ3494)*IF('01_Вводные'!$B$239="Да",MeanMinAge23+'19_Расчет_аналитики'!AZ3596*SUMIF(ThresholdAge23,"&lt;"&amp;'19_Расчет_аналитики'!AZ3596,WeightedRevAge23)-SUMIF(ThresholdAge23,"&lt;"&amp;'19_Расчет_аналитики'!AZ3596,WeightedMinAge23),MAX(CapacityAge23*'01_Вводные'!$B$218*'19_Расчет_аналитики'!AZ3596,MeanMinAge23))),0)</f>
        <v/>
      </c>
      <c r="BA3550">
        <f>IF('01_Вводные'!$B$234="Да",IF(OR(('19_Расчет_аналитики'!BA3466-'19_Расчет_аналитики'!BA3494)=0,23&lt;='01_Вводные'!$B$297),0,('19_Расчет_аналитики'!BA3466-'19_Расчет_аналитики'!BA3494)*IF('01_Вводные'!$B$239="Да",MeanMinAge23+'19_Расчет_аналитики'!BA3596*SUMIF(ThresholdAge23,"&lt;"&amp;'19_Расчет_аналитики'!BA3596,WeightedRevAge23)-SUMIF(ThresholdAge23,"&lt;"&amp;'19_Расчет_аналитики'!BA3596,WeightedMinAge23),MAX(CapacityAge23*'01_Вводные'!$B$218*'19_Расчет_аналитики'!BA3596,MeanMinAge23))),0)</f>
        <v/>
      </c>
      <c r="BB3550">
        <f>IF('01_Вводные'!$B$234="Да",IF(OR(('19_Расчет_аналитики'!BB3466-'19_Расчет_аналитики'!BB3494)=0,23&lt;='01_Вводные'!$B$297),0,('19_Расчет_аналитики'!BB3466-'19_Расчет_аналитики'!BB3494)*IF('01_Вводные'!$B$239="Да",MeanMinAge23+'19_Расчет_аналитики'!BB3596*SUMIF(ThresholdAge23,"&lt;"&amp;'19_Расчет_аналитики'!BB3596,WeightedRevAge23)-SUMIF(ThresholdAge23,"&lt;"&amp;'19_Расчет_аналитики'!BB3596,WeightedMinAge23),MAX(CapacityAge23*'01_Вводные'!$B$218*'19_Расчет_аналитики'!BB3596,MeanMinAge23))),0)</f>
        <v/>
      </c>
      <c r="BC3550">
        <f>IF('01_Вводные'!$B$234="Да",IF(OR(('19_Расчет_аналитики'!BC3466-'19_Расчет_аналитики'!BC3494)=0,23&lt;='01_Вводные'!$B$297),0,('19_Расчет_аналитики'!BC3466-'19_Расчет_аналитики'!BC3494)*IF('01_Вводные'!$B$239="Да",MeanMinAge23+'19_Расчет_аналитики'!BC3596*SUMIF(ThresholdAge23,"&lt;"&amp;'19_Расчет_аналитики'!BC3596,WeightedRevAge23)-SUMIF(ThresholdAge23,"&lt;"&amp;'19_Расчет_аналитики'!BC3596,WeightedMinAge23),MAX(CapacityAge23*'01_Вводные'!$B$218*'19_Расчет_аналитики'!BC3596,MeanMinAge23))),0)</f>
        <v/>
      </c>
      <c r="BD3550">
        <f>IF('01_Вводные'!$B$234="Да",IF(OR(('19_Расчет_аналитики'!BD3466-'19_Расчет_аналитики'!BD3494)=0,23&lt;='01_Вводные'!$B$297),0,('19_Расчет_аналитики'!BD3466-'19_Расчет_аналитики'!BD3494)*IF('01_Вводные'!$B$239="Да",MeanMinAge23+'19_Расчет_аналитики'!BD3596*SUMIF(ThresholdAge23,"&lt;"&amp;'19_Расчет_аналитики'!BD3596,WeightedRevAge23)-SUMIF(ThresholdAge23,"&lt;"&amp;'19_Расчет_аналитики'!BD3596,WeightedMinAge23),MAX(CapacityAge23*'01_Вводные'!$B$218*'19_Расчет_аналитики'!BD3596,MeanMinAge23))),0)</f>
        <v/>
      </c>
      <c r="BE3550">
        <f>IF('01_Вводные'!$B$234="Да",IF(OR(('19_Расчет_аналитики'!BE3466-'19_Расчет_аналитики'!BE3494)=0,23&lt;='01_Вводные'!$B$297),0,('19_Расчет_аналитики'!BE3466-'19_Расчет_аналитики'!BE3494)*IF('01_Вводные'!$B$239="Да",MeanMinAge23+'19_Расчет_аналитики'!BE3596*SUMIF(ThresholdAge23,"&lt;"&amp;'19_Расчет_аналитики'!BE3596,WeightedRevAge23)-SUMIF(ThresholdAge23,"&lt;"&amp;'19_Расчет_аналитики'!BE3596,WeightedMinAge23),MAX(CapacityAge23*'01_Вводные'!$B$218*'19_Расчет_аналитики'!BE3596,MeanMinAge23))),0)</f>
        <v/>
      </c>
      <c r="BF3550">
        <f>IF('01_Вводные'!$B$234="Да",IF(OR(('19_Расчет_аналитики'!BF3466-'19_Расчет_аналитики'!BF3494)=0,23&lt;='01_Вводные'!$B$297),0,('19_Расчет_аналитики'!BF3466-'19_Расчет_аналитики'!BF3494)*IF('01_Вводные'!$B$239="Да",MeanMinAge23+'19_Расчет_аналитики'!BF3596*SUMIF(ThresholdAge23,"&lt;"&amp;'19_Расчет_аналитики'!BF3596,WeightedRevAge23)-SUMIF(ThresholdAge23,"&lt;"&amp;'19_Расчет_аналитики'!BF3596,WeightedMinAge23),MAX(CapacityAge23*'01_Вводные'!$B$218*'19_Расчет_аналитики'!BF3596,MeanMinAge23))),0)</f>
        <v/>
      </c>
      <c r="BG3550">
        <f>IF('01_Вводные'!$B$234="Да",IF(OR(('19_Расчет_аналитики'!BG3466-'19_Расчет_аналитики'!BG3494)=0,23&lt;='01_Вводные'!$B$297),0,('19_Расчет_аналитики'!BG3466-'19_Расчет_аналитики'!BG3494)*IF('01_Вводные'!$B$239="Да",MeanMinAge23+'19_Расчет_аналитики'!BG3596*SUMIF(ThresholdAge23,"&lt;"&amp;'19_Расчет_аналитики'!BG3596,WeightedRevAge23)-SUMIF(ThresholdAge23,"&lt;"&amp;'19_Расчет_аналитики'!BG3596,WeightedMinAge23),MAX(CapacityAge23*'01_Вводные'!$B$218*'19_Расчет_аналитики'!BG3596,MeanMinAge23))),0)</f>
        <v/>
      </c>
      <c r="BH3550">
        <f>IF('01_Вводные'!$B$234="Да",IF(OR(('19_Расчет_аналитики'!BH3466-'19_Расчет_аналитики'!BH3494)=0,23&lt;='01_Вводные'!$B$297),0,('19_Расчет_аналитики'!BH3466-'19_Расчет_аналитики'!BH3494)*IF('01_Вводные'!$B$239="Да",MeanMinAge23+'19_Расчет_аналитики'!BH3596*SUMIF(ThresholdAge23,"&lt;"&amp;'19_Расчет_аналитики'!BH3596,WeightedRevAge23)-SUMIF(ThresholdAge23,"&lt;"&amp;'19_Расчет_аналитики'!BH3596,WeightedMinAge23),MAX(CapacityAge23*'01_Вводные'!$B$218*'19_Расчет_аналитики'!BH3596,MeanMinAge23))),0)</f>
        <v/>
      </c>
      <c r="BI3550">
        <f>IF('01_Вводные'!$B$234="Да",IF(OR(('19_Расчет_аналитики'!BI3466-'19_Расчет_аналитики'!BI3494)=0,23&lt;='01_Вводные'!$B$297),0,('19_Расчет_аналитики'!BI3466-'19_Расчет_аналитики'!BI3494)*IF('01_Вводные'!$B$239="Да",MeanMinAge23+'19_Расчет_аналитики'!BI3596*SUMIF(ThresholdAge23,"&lt;"&amp;'19_Расчет_аналитики'!BI3596,WeightedRevAge23)-SUMIF(ThresholdAge23,"&lt;"&amp;'19_Расчет_аналитики'!BI3596,WeightedMinAge23),MAX(CapacityAge23*'01_Вводные'!$B$218*'19_Расчет_аналитики'!BI3596,MeanMinAge23))),0)</f>
        <v/>
      </c>
      <c r="BJ3550">
        <f>IF('01_Вводные'!$B$234="Да",IF(OR(('19_Расчет_аналитики'!BJ3466-'19_Расчет_аналитики'!BJ3494)=0,23&lt;='01_Вводные'!$B$297),0,('19_Расчет_аналитики'!BJ3466-'19_Расчет_аналитики'!BJ3494)*IF('01_Вводные'!$B$239="Да",MeanMinAge23+'19_Расчет_аналитики'!BJ3596*SUMIF(ThresholdAge23,"&lt;"&amp;'19_Расчет_аналитики'!BJ3596,WeightedRevAge23)-SUMIF(ThresholdAge23,"&lt;"&amp;'19_Расчет_аналитики'!BJ3596,WeightedMinAge23),MAX(CapacityAge23*'01_Вводные'!$B$218*'19_Расчет_аналитики'!BJ3596,MeanMinAge23))),0)</f>
        <v/>
      </c>
      <c r="BK3550">
        <f>IF('01_Вводные'!$B$234="Да",IF(OR(('19_Расчет_аналитики'!BK3466-'19_Расчет_аналитики'!BK3494)=0,23&lt;='01_Вводные'!$B$297),0,('19_Расчет_аналитики'!BK3466-'19_Расчет_аналитики'!BK3494)*IF('01_Вводные'!$B$239="Да",MeanMinAge23+'19_Расчет_аналитики'!BK3596*SUMIF(ThresholdAge23,"&lt;"&amp;'19_Расчет_аналитики'!BK3596,WeightedRevAge23)-SUMIF(ThresholdAge23,"&lt;"&amp;'19_Расчет_аналитики'!BK3596,WeightedMinAge23),MAX(CapacityAge23*'01_Вводные'!$B$218*'19_Расчет_аналитики'!BK3596,MeanMinAge23))),0)</f>
        <v/>
      </c>
      <c r="BL3550">
        <f>IF('01_Вводные'!$B$234="Да",IF(OR(('19_Расчет_аналитики'!BL3466-'19_Расчет_аналитики'!BL3494)=0,23&lt;='01_Вводные'!$B$297),0,('19_Расчет_аналитики'!BL3466-'19_Расчет_аналитики'!BL3494)*IF('01_Вводные'!$B$239="Да",MeanMinAge23+'19_Расчет_аналитики'!BL3596*SUMIF(ThresholdAge23,"&lt;"&amp;'19_Расчет_аналитики'!BL3596,WeightedRevAge23)-SUMIF(ThresholdAge23,"&lt;"&amp;'19_Расчет_аналитики'!BL3596,WeightedMinAge23),MAX(CapacityAge23*'01_Вводные'!$B$218*'19_Расчет_аналитики'!BL3596,MeanMinAge23))),0)</f>
        <v/>
      </c>
      <c r="BM3550">
        <f>IF('01_Вводные'!$B$234="Да",IF(OR(('19_Расчет_аналитики'!BM3466-'19_Расчет_аналитики'!BM3494)=0,23&lt;='01_Вводные'!$B$297),0,('19_Расчет_аналитики'!BM3466-'19_Расчет_аналитики'!BM3494)*IF('01_Вводные'!$B$239="Да",MeanMinAge23+'19_Расчет_аналитики'!BM3596*SUMIF(ThresholdAge23,"&lt;"&amp;'19_Расчет_аналитики'!BM3596,WeightedRevAge23)-SUMIF(ThresholdAge23,"&lt;"&amp;'19_Расчет_аналитики'!BM3596,WeightedMinAge23),MAX(CapacityAge23*'01_Вводные'!$B$218*'19_Расчет_аналитики'!BM3596,MeanMinAge23))),0)</f>
        <v/>
      </c>
      <c r="BN3550">
        <f>IF('01_Вводные'!$B$234="Да",IF(OR(('19_Расчет_аналитики'!BN3466-'19_Расчет_аналитики'!BN3494)=0,23&lt;='01_Вводные'!$B$297),0,('19_Расчет_аналитики'!BN3466-'19_Расчет_аналитики'!BN3494)*IF('01_Вводные'!$B$239="Да",MeanMinAge23+'19_Расчет_аналитики'!BN3596*SUMIF(ThresholdAge23,"&lt;"&amp;'19_Расчет_аналитики'!BN3596,WeightedRevAge23)-SUMIF(ThresholdAge23,"&lt;"&amp;'19_Расчет_аналитики'!BN3596,WeightedMinAge23),MAX(CapacityAge23*'01_Вводные'!$B$218*'19_Расчет_аналитики'!BN3596,MeanMinAge23))),0)</f>
        <v/>
      </c>
      <c r="BO3550">
        <f>IF('01_Вводные'!$B$234="Да",IF(OR(('19_Расчет_аналитики'!BO3466-'19_Расчет_аналитики'!BO3494)=0,23&lt;='01_Вводные'!$B$297),0,('19_Расчет_аналитики'!BO3466-'19_Расчет_аналитики'!BO3494)*IF('01_Вводные'!$B$239="Да",MeanMinAge23+'19_Расчет_аналитики'!BO3596*SUMIF(ThresholdAge23,"&lt;"&amp;'19_Расчет_аналитики'!BO3596,WeightedRevAge23)-SUMIF(ThresholdAge23,"&lt;"&amp;'19_Расчет_аналитики'!BO3596,WeightedMinAge23),MAX(CapacityAge23*'01_Вводные'!$B$218*'19_Расчет_аналитики'!BO3596,MeanMinAge23))),0)</f>
        <v/>
      </c>
    </row>
    <row r="3551">
      <c r="B3551">
        <f>IF('01_Вводные'!$B$234="Да",IF(OR(('06_Сеть_и_дети'!B76-'06_Сеть_и_дети'!B104)=0,24&lt;='01_Вводные'!$B$297),0,('06_Сеть_и_дети'!B76-'06_Сеть_и_дети'!B104)*IF('01_Вводные'!$B$239="Да",MeanMinAge24+'19_Расчет_аналитики'!B3596*SUMIF(ThresholdAge24,"&lt;"&amp;'19_Расчет_аналитики'!B3596,WeightedRevAge24)-SUMIF(ThresholdAge24,"&lt;"&amp;'19_Расчет_аналитики'!B3596,WeightedMinAge24),MAX(CapacityAge24*'01_Вводные'!$B$218*'19_Расчет_аналитики'!B3596,MeanMinAge24))),0)</f>
        <v/>
      </c>
      <c r="C3551">
        <f>IF('01_Вводные'!$B$234="Да",IF(OR(('06_Сеть_и_дети'!C76-'06_Сеть_и_дети'!C104)=0,24&lt;='01_Вводные'!$B$297),0,('06_Сеть_и_дети'!C76-'06_Сеть_и_дети'!C104)*IF('01_Вводные'!$B$239="Да",MeanMinAge24+'19_Расчет_аналитики'!C3596*SUMIF(ThresholdAge24,"&lt;"&amp;'19_Расчет_аналитики'!C3596,WeightedRevAge24)-SUMIF(ThresholdAge24,"&lt;"&amp;'19_Расчет_аналитики'!C3596,WeightedMinAge24),MAX(CapacityAge24*'01_Вводные'!$B$218*'19_Расчет_аналитики'!C3596,MeanMinAge24))),0)</f>
        <v/>
      </c>
      <c r="D3551">
        <f>IF('01_Вводные'!$B$234="Да",IF(OR(('06_Сеть_и_дети'!D76-'06_Сеть_и_дети'!D104)=0,24&lt;='01_Вводные'!$B$297),0,('06_Сеть_и_дети'!D76-'06_Сеть_и_дети'!D104)*IF('01_Вводные'!$B$239="Да",MeanMinAge24+'19_Расчет_аналитики'!D3596*SUMIF(ThresholdAge24,"&lt;"&amp;'19_Расчет_аналитики'!D3596,WeightedRevAge24)-SUMIF(ThresholdAge24,"&lt;"&amp;'19_Расчет_аналитики'!D3596,WeightedMinAge24),MAX(CapacityAge24*'01_Вводные'!$B$218*'19_Расчет_аналитики'!D3596,MeanMinAge24))),0)</f>
        <v/>
      </c>
      <c r="E3551">
        <f>IF('01_Вводные'!$B$234="Да",IF(OR(('06_Сеть_и_дети'!E76-'06_Сеть_и_дети'!E104)=0,24&lt;='01_Вводные'!$B$297),0,('06_Сеть_и_дети'!E76-'06_Сеть_и_дети'!E104)*IF('01_Вводные'!$B$239="Да",MeanMinAge24+'19_Расчет_аналитики'!E3596*SUMIF(ThresholdAge24,"&lt;"&amp;'19_Расчет_аналитики'!E3596,WeightedRevAge24)-SUMIF(ThresholdAge24,"&lt;"&amp;'19_Расчет_аналитики'!E3596,WeightedMinAge24),MAX(CapacityAge24*'01_Вводные'!$B$218*'19_Расчет_аналитики'!E3596,MeanMinAge24))),0)</f>
        <v/>
      </c>
      <c r="F3551">
        <f>IF('01_Вводные'!$B$234="Да",IF(OR(('06_Сеть_и_дети'!F76-'06_Сеть_и_дети'!F104)=0,24&lt;='01_Вводные'!$B$297),0,('06_Сеть_и_дети'!F76-'06_Сеть_и_дети'!F104)*IF('01_Вводные'!$B$239="Да",MeanMinAge24+'19_Расчет_аналитики'!F3596*SUMIF(ThresholdAge24,"&lt;"&amp;'19_Расчет_аналитики'!F3596,WeightedRevAge24)-SUMIF(ThresholdAge24,"&lt;"&amp;'19_Расчет_аналитики'!F3596,WeightedMinAge24),MAX(CapacityAge24*'01_Вводные'!$B$218*'19_Расчет_аналитики'!F3596,MeanMinAge24))),0)</f>
        <v/>
      </c>
      <c r="G3551">
        <f>IF('01_Вводные'!$B$234="Да",IF(OR(('06_Сеть_и_дети'!G76-'06_Сеть_и_дети'!G104)=0,24&lt;='01_Вводные'!$B$297),0,('06_Сеть_и_дети'!G76-'06_Сеть_и_дети'!G104)*IF('01_Вводные'!$B$239="Да",MeanMinAge24+'19_Расчет_аналитики'!G3596*SUMIF(ThresholdAge24,"&lt;"&amp;'19_Расчет_аналитики'!G3596,WeightedRevAge24)-SUMIF(ThresholdAge24,"&lt;"&amp;'19_Расчет_аналитики'!G3596,WeightedMinAge24),MAX(CapacityAge24*'01_Вводные'!$B$218*'19_Расчет_аналитики'!G3596,MeanMinAge24))),0)</f>
        <v/>
      </c>
      <c r="H3551">
        <f>IF('01_Вводные'!$B$234="Да",IF(OR(('06_Сеть_и_дети'!H76-'06_Сеть_и_дети'!H104)=0,24&lt;='01_Вводные'!$B$297),0,('06_Сеть_и_дети'!H76-'06_Сеть_и_дети'!H104)*IF('01_Вводные'!$B$239="Да",MeanMinAge24+'19_Расчет_аналитики'!H3596*SUMIF(ThresholdAge24,"&lt;"&amp;'19_Расчет_аналитики'!H3596,WeightedRevAge24)-SUMIF(ThresholdAge24,"&lt;"&amp;'19_Расчет_аналитики'!H3596,WeightedMinAge24),MAX(CapacityAge24*'01_Вводные'!$B$218*'19_Расчет_аналитики'!H3596,MeanMinAge24))),0)</f>
        <v/>
      </c>
      <c r="I3551">
        <f>IF('01_Вводные'!$B$234="Да",IF(OR(('06_Сеть_и_дети'!I76-'06_Сеть_и_дети'!I104)=0,24&lt;='01_Вводные'!$B$297),0,('06_Сеть_и_дети'!I76-'06_Сеть_и_дети'!I104)*IF('01_Вводные'!$B$239="Да",MeanMinAge24+'19_Расчет_аналитики'!I3596*SUMIF(ThresholdAge24,"&lt;"&amp;'19_Расчет_аналитики'!I3596,WeightedRevAge24)-SUMIF(ThresholdAge24,"&lt;"&amp;'19_Расчет_аналитики'!I3596,WeightedMinAge24),MAX(CapacityAge24*'01_Вводные'!$B$218*'19_Расчет_аналитики'!I3596,MeanMinAge24))),0)</f>
        <v/>
      </c>
      <c r="J3551">
        <f>IF('01_Вводные'!$B$234="Да",IF(OR(('06_Сеть_и_дети'!J76-'06_Сеть_и_дети'!J104)=0,24&lt;='01_Вводные'!$B$297),0,('06_Сеть_и_дети'!J76-'06_Сеть_и_дети'!J104)*IF('01_Вводные'!$B$239="Да",MeanMinAge24+'19_Расчет_аналитики'!J3596*SUMIF(ThresholdAge24,"&lt;"&amp;'19_Расчет_аналитики'!J3596,WeightedRevAge24)-SUMIF(ThresholdAge24,"&lt;"&amp;'19_Расчет_аналитики'!J3596,WeightedMinAge24),MAX(CapacityAge24*'01_Вводные'!$B$218*'19_Расчет_аналитики'!J3596,MeanMinAge24))),0)</f>
        <v/>
      </c>
      <c r="K3551">
        <f>IF('01_Вводные'!$B$234="Да",IF(OR(('06_Сеть_и_дети'!K76-'06_Сеть_и_дети'!K104)=0,24&lt;='01_Вводные'!$B$297),0,('06_Сеть_и_дети'!K76-'06_Сеть_и_дети'!K104)*IF('01_Вводные'!$B$239="Да",MeanMinAge24+'19_Расчет_аналитики'!K3596*SUMIF(ThresholdAge24,"&lt;"&amp;'19_Расчет_аналитики'!K3596,WeightedRevAge24)-SUMIF(ThresholdAge24,"&lt;"&amp;'19_Расчет_аналитики'!K3596,WeightedMinAge24),MAX(CapacityAge24*'01_Вводные'!$B$218*'19_Расчет_аналитики'!K3596,MeanMinAge24))),0)</f>
        <v/>
      </c>
      <c r="L3551">
        <f>IF('01_Вводные'!$B$234="Да",IF(OR(('06_Сеть_и_дети'!L76-'06_Сеть_и_дети'!L104)=0,24&lt;='01_Вводные'!$B$297),0,('06_Сеть_и_дети'!L76-'06_Сеть_и_дети'!L104)*IF('01_Вводные'!$B$239="Да",MeanMinAge24+'19_Расчет_аналитики'!L3596*SUMIF(ThresholdAge24,"&lt;"&amp;'19_Расчет_аналитики'!L3596,WeightedRevAge24)-SUMIF(ThresholdAge24,"&lt;"&amp;'19_Расчет_аналитики'!L3596,WeightedMinAge24),MAX(CapacityAge24*'01_Вводные'!$B$218*'19_Расчет_аналитики'!L3596,MeanMinAge24))),0)</f>
        <v/>
      </c>
      <c r="M3551">
        <f>IF('01_Вводные'!$B$234="Да",IF(OR(('06_Сеть_и_дети'!M76-'06_Сеть_и_дети'!M104)=0,24&lt;='01_Вводные'!$B$297),0,('06_Сеть_и_дети'!M76-'06_Сеть_и_дети'!M104)*IF('01_Вводные'!$B$239="Да",MeanMinAge24+'19_Расчет_аналитики'!M3596*SUMIF(ThresholdAge24,"&lt;"&amp;'19_Расчет_аналитики'!M3596,WeightedRevAge24)-SUMIF(ThresholdAge24,"&lt;"&amp;'19_Расчет_аналитики'!M3596,WeightedMinAge24),MAX(CapacityAge24*'01_Вводные'!$B$218*'19_Расчет_аналитики'!M3596,MeanMinAge24))),0)</f>
        <v/>
      </c>
      <c r="N3551">
        <f>IF('01_Вводные'!$B$234="Да",IF(OR(('06_Сеть_и_дети'!N76-'06_Сеть_и_дети'!N104)=0,24&lt;='01_Вводные'!$B$297),0,('06_Сеть_и_дети'!N76-'06_Сеть_и_дети'!N104)*IF('01_Вводные'!$B$239="Да",MeanMinAge24+'19_Расчет_аналитики'!N3596*SUMIF(ThresholdAge24,"&lt;"&amp;'19_Расчет_аналитики'!N3596,WeightedRevAge24)-SUMIF(ThresholdAge24,"&lt;"&amp;'19_Расчет_аналитики'!N3596,WeightedMinAge24),MAX(CapacityAge24*'01_Вводные'!$B$218*'19_Расчет_аналитики'!N3596,MeanMinAge24))),0)</f>
        <v/>
      </c>
      <c r="O3551">
        <f>IF('01_Вводные'!$B$234="Да",IF(OR(('06_Сеть_и_дети'!O76-'06_Сеть_и_дети'!O104)=0,24&lt;='01_Вводные'!$B$297),0,('06_Сеть_и_дети'!O76-'06_Сеть_и_дети'!O104)*IF('01_Вводные'!$B$239="Да",MeanMinAge24+'19_Расчет_аналитики'!O3596*SUMIF(ThresholdAge24,"&lt;"&amp;'19_Расчет_аналитики'!O3596,WeightedRevAge24)-SUMIF(ThresholdAge24,"&lt;"&amp;'19_Расчет_аналитики'!O3596,WeightedMinAge24),MAX(CapacityAge24*'01_Вводные'!$B$218*'19_Расчет_аналитики'!O3596,MeanMinAge24))),0)</f>
        <v/>
      </c>
      <c r="P3551">
        <f>IF('01_Вводные'!$B$234="Да",IF(OR(('06_Сеть_и_дети'!P76-'06_Сеть_и_дети'!P104)=0,24&lt;='01_Вводные'!$B$297),0,('06_Сеть_и_дети'!P76-'06_Сеть_и_дети'!P104)*IF('01_Вводные'!$B$239="Да",MeanMinAge24+'19_Расчет_аналитики'!P3596*SUMIF(ThresholdAge24,"&lt;"&amp;'19_Расчет_аналитики'!P3596,WeightedRevAge24)-SUMIF(ThresholdAge24,"&lt;"&amp;'19_Расчет_аналитики'!P3596,WeightedMinAge24),MAX(CapacityAge24*'01_Вводные'!$B$218*'19_Расчет_аналитики'!P3596,MeanMinAge24))),0)</f>
        <v/>
      </c>
      <c r="Q3551">
        <f>IF('01_Вводные'!$B$234="Да",IF(OR(('06_Сеть_и_дети'!Q76-'06_Сеть_и_дети'!Q104)=0,24&lt;='01_Вводные'!$B$297),0,('06_Сеть_и_дети'!Q76-'06_Сеть_и_дети'!Q104)*IF('01_Вводные'!$B$239="Да",MeanMinAge24+'19_Расчет_аналитики'!Q3596*SUMIF(ThresholdAge24,"&lt;"&amp;'19_Расчет_аналитики'!Q3596,WeightedRevAge24)-SUMIF(ThresholdAge24,"&lt;"&amp;'19_Расчет_аналитики'!Q3596,WeightedMinAge24),MAX(CapacityAge24*'01_Вводные'!$B$218*'19_Расчет_аналитики'!Q3596,MeanMinAge24))),0)</f>
        <v/>
      </c>
      <c r="R3551">
        <f>IF('01_Вводные'!$B$234="Да",IF(OR(('06_Сеть_и_дети'!R76-'06_Сеть_и_дети'!R104)=0,24&lt;='01_Вводные'!$B$297),0,('06_Сеть_и_дети'!R76-'06_Сеть_и_дети'!R104)*IF('01_Вводные'!$B$239="Да",MeanMinAge24+'19_Расчет_аналитики'!R3596*SUMIF(ThresholdAge24,"&lt;"&amp;'19_Расчет_аналитики'!R3596,WeightedRevAge24)-SUMIF(ThresholdAge24,"&lt;"&amp;'19_Расчет_аналитики'!R3596,WeightedMinAge24),MAX(CapacityAge24*'01_Вводные'!$B$218*'19_Расчет_аналитики'!R3596,MeanMinAge24))),0)</f>
        <v/>
      </c>
      <c r="S3551">
        <f>IF('01_Вводные'!$B$234="Да",IF(OR(('06_Сеть_и_дети'!S76-'06_Сеть_и_дети'!S104)=0,24&lt;='01_Вводные'!$B$297),0,('06_Сеть_и_дети'!S76-'06_Сеть_и_дети'!S104)*IF('01_Вводные'!$B$239="Да",MeanMinAge24+'19_Расчет_аналитики'!S3596*SUMIF(ThresholdAge24,"&lt;"&amp;'19_Расчет_аналитики'!S3596,WeightedRevAge24)-SUMIF(ThresholdAge24,"&lt;"&amp;'19_Расчет_аналитики'!S3596,WeightedMinAge24),MAX(CapacityAge24*'01_Вводные'!$B$218*'19_Расчет_аналитики'!S3596,MeanMinAge24))),0)</f>
        <v/>
      </c>
      <c r="T3551">
        <f>IF('01_Вводные'!$B$234="Да",IF(OR(('06_Сеть_и_дети'!T76-'06_Сеть_и_дети'!T104)=0,24&lt;='01_Вводные'!$B$297),0,('06_Сеть_и_дети'!T76-'06_Сеть_и_дети'!T104)*IF('01_Вводные'!$B$239="Да",MeanMinAge24+'19_Расчет_аналитики'!T3596*SUMIF(ThresholdAge24,"&lt;"&amp;'19_Расчет_аналитики'!T3596,WeightedRevAge24)-SUMIF(ThresholdAge24,"&lt;"&amp;'19_Расчет_аналитики'!T3596,WeightedMinAge24),MAX(CapacityAge24*'01_Вводные'!$B$218*'19_Расчет_аналитики'!T3596,MeanMinAge24))),0)</f>
        <v/>
      </c>
      <c r="U3551">
        <f>IF('01_Вводные'!$B$234="Да",IF(OR(('06_Сеть_и_дети'!U76-'06_Сеть_и_дети'!U104)=0,24&lt;='01_Вводные'!$B$297),0,('06_Сеть_и_дети'!U76-'06_Сеть_и_дети'!U104)*IF('01_Вводные'!$B$239="Да",MeanMinAge24+'19_Расчет_аналитики'!U3596*SUMIF(ThresholdAge24,"&lt;"&amp;'19_Расчет_аналитики'!U3596,WeightedRevAge24)-SUMIF(ThresholdAge24,"&lt;"&amp;'19_Расчет_аналитики'!U3596,WeightedMinAge24),MAX(CapacityAge24*'01_Вводные'!$B$218*'19_Расчет_аналитики'!U3596,MeanMinAge24))),0)</f>
        <v/>
      </c>
      <c r="V3551">
        <f>IF('01_Вводные'!$B$234="Да",IF(OR(('06_Сеть_и_дети'!V76-'06_Сеть_и_дети'!V104)=0,24&lt;='01_Вводные'!$B$297),0,('06_Сеть_и_дети'!V76-'06_Сеть_и_дети'!V104)*IF('01_Вводные'!$B$239="Да",MeanMinAge24+'19_Расчет_аналитики'!V3596*SUMIF(ThresholdAge24,"&lt;"&amp;'19_Расчет_аналитики'!V3596,WeightedRevAge24)-SUMIF(ThresholdAge24,"&lt;"&amp;'19_Расчет_аналитики'!V3596,WeightedMinAge24),MAX(CapacityAge24*'01_Вводные'!$B$218*'19_Расчет_аналитики'!V3596,MeanMinAge24))),0)</f>
        <v/>
      </c>
      <c r="W3551">
        <f>IF('01_Вводные'!$B$234="Да",IF(OR(('06_Сеть_и_дети'!W76-'06_Сеть_и_дети'!W104)=0,24&lt;='01_Вводные'!$B$297),0,('06_Сеть_и_дети'!W76-'06_Сеть_и_дети'!W104)*IF('01_Вводные'!$B$239="Да",MeanMinAge24+'19_Расчет_аналитики'!W3596*SUMIF(ThresholdAge24,"&lt;"&amp;'19_Расчет_аналитики'!W3596,WeightedRevAge24)-SUMIF(ThresholdAge24,"&lt;"&amp;'19_Расчет_аналитики'!W3596,WeightedMinAge24),MAX(CapacityAge24*'01_Вводные'!$B$218*'19_Расчет_аналитики'!W3596,MeanMinAge24))),0)</f>
        <v/>
      </c>
      <c r="X3551">
        <f>IF('01_Вводные'!$B$234="Да",IF(OR(('06_Сеть_и_дети'!X76-'06_Сеть_и_дети'!X104)=0,24&lt;='01_Вводные'!$B$297),0,('06_Сеть_и_дети'!X76-'06_Сеть_и_дети'!X104)*IF('01_Вводные'!$B$239="Да",MeanMinAge24+'19_Расчет_аналитики'!X3596*SUMIF(ThresholdAge24,"&lt;"&amp;'19_Расчет_аналитики'!X3596,WeightedRevAge24)-SUMIF(ThresholdAge24,"&lt;"&amp;'19_Расчет_аналитики'!X3596,WeightedMinAge24),MAX(CapacityAge24*'01_Вводные'!$B$218*'19_Расчет_аналитики'!X3596,MeanMinAge24))),0)</f>
        <v/>
      </c>
      <c r="Y3551">
        <f>IF('01_Вводные'!$B$234="Да",IF(OR(('19_Расчет_аналитики'!Y3467-'19_Расчет_аналитики'!Y3495)=0,24&lt;='01_Вводные'!$B$297),0,('19_Расчет_аналитики'!Y3467-'19_Расчет_аналитики'!Y3495)*IF('01_Вводные'!$B$239="Да",MeanMinAge24+'19_Расчет_аналитики'!Y3596*SUMIF(ThresholdAge24,"&lt;"&amp;'19_Расчет_аналитики'!Y3596,WeightedRevAge24)-SUMIF(ThresholdAge24,"&lt;"&amp;'19_Расчет_аналитики'!Y3596,WeightedMinAge24),MAX(CapacityAge24*'01_Вводные'!$B$218*'19_Расчет_аналитики'!Y3596,MeanMinAge24))),0)</f>
        <v/>
      </c>
      <c r="Z3551">
        <f>IF('01_Вводные'!$B$234="Да",IF(OR(('19_Расчет_аналитики'!Z3467-'19_Расчет_аналитики'!Z3495)=0,24&lt;='01_Вводные'!$B$297),0,('19_Расчет_аналитики'!Z3467-'19_Расчет_аналитики'!Z3495)*IF('01_Вводные'!$B$239="Да",MeanMinAge24+'19_Расчет_аналитики'!Z3596*SUMIF(ThresholdAge24,"&lt;"&amp;'19_Расчет_аналитики'!Z3596,WeightedRevAge24)-SUMIF(ThresholdAge24,"&lt;"&amp;'19_Расчет_аналитики'!Z3596,WeightedMinAge24),MAX(CapacityAge24*'01_Вводные'!$B$218*'19_Расчет_аналитики'!Z3596,MeanMinAge24))),0)</f>
        <v/>
      </c>
      <c r="AA3551">
        <f>IF('01_Вводные'!$B$234="Да",IF(OR(('19_Расчет_аналитики'!AA3467-'19_Расчет_аналитики'!AA3495)=0,24&lt;='01_Вводные'!$B$297),0,('19_Расчет_аналитики'!AA3467-'19_Расчет_аналитики'!AA3495)*IF('01_Вводные'!$B$239="Да",MeanMinAge24+'19_Расчет_аналитики'!AA3596*SUMIF(ThresholdAge24,"&lt;"&amp;'19_Расчет_аналитики'!AA3596,WeightedRevAge24)-SUMIF(ThresholdAge24,"&lt;"&amp;'19_Расчет_аналитики'!AA3596,WeightedMinAge24),MAX(CapacityAge24*'01_Вводные'!$B$218*'19_Расчет_аналитики'!AA3596,MeanMinAge24))),0)</f>
        <v/>
      </c>
      <c r="AB3551">
        <f>IF('01_Вводные'!$B$234="Да",IF(OR(('19_Расчет_аналитики'!AB3467-'19_Расчет_аналитики'!AB3495)=0,24&lt;='01_Вводные'!$B$297),0,('19_Расчет_аналитики'!AB3467-'19_Расчет_аналитики'!AB3495)*IF('01_Вводные'!$B$239="Да",MeanMinAge24+'19_Расчет_аналитики'!AB3596*SUMIF(ThresholdAge24,"&lt;"&amp;'19_Расчет_аналитики'!AB3596,WeightedRevAge24)-SUMIF(ThresholdAge24,"&lt;"&amp;'19_Расчет_аналитики'!AB3596,WeightedMinAge24),MAX(CapacityAge24*'01_Вводные'!$B$218*'19_Расчет_аналитики'!AB3596,MeanMinAge24))),0)</f>
        <v/>
      </c>
      <c r="AC3551">
        <f>IF('01_Вводные'!$B$234="Да",IF(OR(('19_Расчет_аналитики'!AC3467-'19_Расчет_аналитики'!AC3495)=0,24&lt;='01_Вводные'!$B$297),0,('19_Расчет_аналитики'!AC3467-'19_Расчет_аналитики'!AC3495)*IF('01_Вводные'!$B$239="Да",MeanMinAge24+'19_Расчет_аналитики'!AC3596*SUMIF(ThresholdAge24,"&lt;"&amp;'19_Расчет_аналитики'!AC3596,WeightedRevAge24)-SUMIF(ThresholdAge24,"&lt;"&amp;'19_Расчет_аналитики'!AC3596,WeightedMinAge24),MAX(CapacityAge24*'01_Вводные'!$B$218*'19_Расчет_аналитики'!AC3596,MeanMinAge24))),0)</f>
        <v/>
      </c>
      <c r="AD3551">
        <f>IF('01_Вводные'!$B$234="Да",IF(OR(('19_Расчет_аналитики'!AD3467-'19_Расчет_аналитики'!AD3495)=0,24&lt;='01_Вводные'!$B$297),0,('19_Расчет_аналитики'!AD3467-'19_Расчет_аналитики'!AD3495)*IF('01_Вводные'!$B$239="Да",MeanMinAge24+'19_Расчет_аналитики'!AD3596*SUMIF(ThresholdAge24,"&lt;"&amp;'19_Расчет_аналитики'!AD3596,WeightedRevAge24)-SUMIF(ThresholdAge24,"&lt;"&amp;'19_Расчет_аналитики'!AD3596,WeightedMinAge24),MAX(CapacityAge24*'01_Вводные'!$B$218*'19_Расчет_аналитики'!AD3596,MeanMinAge24))),0)</f>
        <v/>
      </c>
      <c r="AE3551">
        <f>IF('01_Вводные'!$B$234="Да",IF(OR(('19_Расчет_аналитики'!AE3467-'19_Расчет_аналитики'!AE3495)=0,24&lt;='01_Вводные'!$B$297),0,('19_Расчет_аналитики'!AE3467-'19_Расчет_аналитики'!AE3495)*IF('01_Вводные'!$B$239="Да",MeanMinAge24+'19_Расчет_аналитики'!AE3596*SUMIF(ThresholdAge24,"&lt;"&amp;'19_Расчет_аналитики'!AE3596,WeightedRevAge24)-SUMIF(ThresholdAge24,"&lt;"&amp;'19_Расчет_аналитики'!AE3596,WeightedMinAge24),MAX(CapacityAge24*'01_Вводные'!$B$218*'19_Расчет_аналитики'!AE3596,MeanMinAge24))),0)</f>
        <v/>
      </c>
      <c r="AF3551">
        <f>IF('01_Вводные'!$B$234="Да",IF(OR(('19_Расчет_аналитики'!AF3467-'19_Расчет_аналитики'!AF3495)=0,24&lt;='01_Вводные'!$B$297),0,('19_Расчет_аналитики'!AF3467-'19_Расчет_аналитики'!AF3495)*IF('01_Вводные'!$B$239="Да",MeanMinAge24+'19_Расчет_аналитики'!AF3596*SUMIF(ThresholdAge24,"&lt;"&amp;'19_Расчет_аналитики'!AF3596,WeightedRevAge24)-SUMIF(ThresholdAge24,"&lt;"&amp;'19_Расчет_аналитики'!AF3596,WeightedMinAge24),MAX(CapacityAge24*'01_Вводные'!$B$218*'19_Расчет_аналитики'!AF3596,MeanMinAge24))),0)</f>
        <v/>
      </c>
      <c r="AG3551">
        <f>IF('01_Вводные'!$B$234="Да",IF(OR(('19_Расчет_аналитики'!AG3467-'19_Расчет_аналитики'!AG3495)=0,24&lt;='01_Вводные'!$B$297),0,('19_Расчет_аналитики'!AG3467-'19_Расчет_аналитики'!AG3495)*IF('01_Вводные'!$B$239="Да",MeanMinAge24+'19_Расчет_аналитики'!AG3596*SUMIF(ThresholdAge24,"&lt;"&amp;'19_Расчет_аналитики'!AG3596,WeightedRevAge24)-SUMIF(ThresholdAge24,"&lt;"&amp;'19_Расчет_аналитики'!AG3596,WeightedMinAge24),MAX(CapacityAge24*'01_Вводные'!$B$218*'19_Расчет_аналитики'!AG3596,MeanMinAge24))),0)</f>
        <v/>
      </c>
      <c r="AH3551">
        <f>IF('01_Вводные'!$B$234="Да",IF(OR(('19_Расчет_аналитики'!AH3467-'19_Расчет_аналитики'!AH3495)=0,24&lt;='01_Вводные'!$B$297),0,('19_Расчет_аналитики'!AH3467-'19_Расчет_аналитики'!AH3495)*IF('01_Вводные'!$B$239="Да",MeanMinAge24+'19_Расчет_аналитики'!AH3596*SUMIF(ThresholdAge24,"&lt;"&amp;'19_Расчет_аналитики'!AH3596,WeightedRevAge24)-SUMIF(ThresholdAge24,"&lt;"&amp;'19_Расчет_аналитики'!AH3596,WeightedMinAge24),MAX(CapacityAge24*'01_Вводные'!$B$218*'19_Расчет_аналитики'!AH3596,MeanMinAge24))),0)</f>
        <v/>
      </c>
      <c r="AI3551">
        <f>IF('01_Вводные'!$B$234="Да",IF(OR(('19_Расчет_аналитики'!AI3467-'19_Расчет_аналитики'!AI3495)=0,24&lt;='01_Вводные'!$B$297),0,('19_Расчет_аналитики'!AI3467-'19_Расчет_аналитики'!AI3495)*IF('01_Вводные'!$B$239="Да",MeanMinAge24+'19_Расчет_аналитики'!AI3596*SUMIF(ThresholdAge24,"&lt;"&amp;'19_Расчет_аналитики'!AI3596,WeightedRevAge24)-SUMIF(ThresholdAge24,"&lt;"&amp;'19_Расчет_аналитики'!AI3596,WeightedMinAge24),MAX(CapacityAge24*'01_Вводные'!$B$218*'19_Расчет_аналитики'!AI3596,MeanMinAge24))),0)</f>
        <v/>
      </c>
      <c r="AJ3551">
        <f>IF('01_Вводные'!$B$234="Да",IF(OR(('19_Расчет_аналитики'!AJ3467-'19_Расчет_аналитики'!AJ3495)=0,24&lt;='01_Вводные'!$B$297),0,('19_Расчет_аналитики'!AJ3467-'19_Расчет_аналитики'!AJ3495)*IF('01_Вводные'!$B$239="Да",MeanMinAge24+'19_Расчет_аналитики'!AJ3596*SUMIF(ThresholdAge24,"&lt;"&amp;'19_Расчет_аналитики'!AJ3596,WeightedRevAge24)-SUMIF(ThresholdAge24,"&lt;"&amp;'19_Расчет_аналитики'!AJ3596,WeightedMinAge24),MAX(CapacityAge24*'01_Вводные'!$B$218*'19_Расчет_аналитики'!AJ3596,MeanMinAge24))),0)</f>
        <v/>
      </c>
      <c r="AK3551">
        <f>IF('01_Вводные'!$B$234="Да",IF(OR(('19_Расчет_аналитики'!AK3467-'19_Расчет_аналитики'!AK3495)=0,24&lt;='01_Вводные'!$B$297),0,('19_Расчет_аналитики'!AK3467-'19_Расчет_аналитики'!AK3495)*IF('01_Вводные'!$B$239="Да",MeanMinAge24+'19_Расчет_аналитики'!AK3596*SUMIF(ThresholdAge24,"&lt;"&amp;'19_Расчет_аналитики'!AK3596,WeightedRevAge24)-SUMIF(ThresholdAge24,"&lt;"&amp;'19_Расчет_аналитики'!AK3596,WeightedMinAge24),MAX(CapacityAge24*'01_Вводные'!$B$218*'19_Расчет_аналитики'!AK3596,MeanMinAge24))),0)</f>
        <v/>
      </c>
      <c r="AL3551">
        <f>IF('01_Вводные'!$B$234="Да",IF(OR(('19_Расчет_аналитики'!AL3467-'19_Расчет_аналитики'!AL3495)=0,24&lt;='01_Вводные'!$B$297),0,('19_Расчет_аналитики'!AL3467-'19_Расчет_аналитики'!AL3495)*IF('01_Вводные'!$B$239="Да",MeanMinAge24+'19_Расчет_аналитики'!AL3596*SUMIF(ThresholdAge24,"&lt;"&amp;'19_Расчет_аналитики'!AL3596,WeightedRevAge24)-SUMIF(ThresholdAge24,"&lt;"&amp;'19_Расчет_аналитики'!AL3596,WeightedMinAge24),MAX(CapacityAge24*'01_Вводные'!$B$218*'19_Расчет_аналитики'!AL3596,MeanMinAge24))),0)</f>
        <v/>
      </c>
      <c r="AM3551">
        <f>IF('01_Вводные'!$B$234="Да",IF(OR(('19_Расчет_аналитики'!AM3467-'19_Расчет_аналитики'!AM3495)=0,24&lt;='01_Вводные'!$B$297),0,('19_Расчет_аналитики'!AM3467-'19_Расчет_аналитики'!AM3495)*IF('01_Вводные'!$B$239="Да",MeanMinAge24+'19_Расчет_аналитики'!AM3596*SUMIF(ThresholdAge24,"&lt;"&amp;'19_Расчет_аналитики'!AM3596,WeightedRevAge24)-SUMIF(ThresholdAge24,"&lt;"&amp;'19_Расчет_аналитики'!AM3596,WeightedMinAge24),MAX(CapacityAge24*'01_Вводные'!$B$218*'19_Расчет_аналитики'!AM3596,MeanMinAge24))),0)</f>
        <v/>
      </c>
      <c r="AN3551">
        <f>IF('01_Вводные'!$B$234="Да",IF(OR(('19_Расчет_аналитики'!AN3467-'19_Расчет_аналитики'!AN3495)=0,24&lt;='01_Вводные'!$B$297),0,('19_Расчет_аналитики'!AN3467-'19_Расчет_аналитики'!AN3495)*IF('01_Вводные'!$B$239="Да",MeanMinAge24+'19_Расчет_аналитики'!AN3596*SUMIF(ThresholdAge24,"&lt;"&amp;'19_Расчет_аналитики'!AN3596,WeightedRevAge24)-SUMIF(ThresholdAge24,"&lt;"&amp;'19_Расчет_аналитики'!AN3596,WeightedMinAge24),MAX(CapacityAge24*'01_Вводные'!$B$218*'19_Расчет_аналитики'!AN3596,MeanMinAge24))),0)</f>
        <v/>
      </c>
      <c r="AO3551">
        <f>IF('01_Вводные'!$B$234="Да",IF(OR(('19_Расчет_аналитики'!AO3467-'19_Расчет_аналитики'!AO3495)=0,24&lt;='01_Вводные'!$B$297),0,('19_Расчет_аналитики'!AO3467-'19_Расчет_аналитики'!AO3495)*IF('01_Вводные'!$B$239="Да",MeanMinAge24+'19_Расчет_аналитики'!AO3596*SUMIF(ThresholdAge24,"&lt;"&amp;'19_Расчет_аналитики'!AO3596,WeightedRevAge24)-SUMIF(ThresholdAge24,"&lt;"&amp;'19_Расчет_аналитики'!AO3596,WeightedMinAge24),MAX(CapacityAge24*'01_Вводные'!$B$218*'19_Расчет_аналитики'!AO3596,MeanMinAge24))),0)</f>
        <v/>
      </c>
      <c r="AP3551">
        <f>IF('01_Вводные'!$B$234="Да",IF(OR(('19_Расчет_аналитики'!AP3467-'19_Расчет_аналитики'!AP3495)=0,24&lt;='01_Вводные'!$B$297),0,('19_Расчет_аналитики'!AP3467-'19_Расчет_аналитики'!AP3495)*IF('01_Вводные'!$B$239="Да",MeanMinAge24+'19_Расчет_аналитики'!AP3596*SUMIF(ThresholdAge24,"&lt;"&amp;'19_Расчет_аналитики'!AP3596,WeightedRevAge24)-SUMIF(ThresholdAge24,"&lt;"&amp;'19_Расчет_аналитики'!AP3596,WeightedMinAge24),MAX(CapacityAge24*'01_Вводные'!$B$218*'19_Расчет_аналитики'!AP3596,MeanMinAge24))),0)</f>
        <v/>
      </c>
      <c r="AQ3551">
        <f>IF('01_Вводные'!$B$234="Да",IF(OR(('19_Расчет_аналитики'!AQ3467-'19_Расчет_аналитики'!AQ3495)=0,24&lt;='01_Вводные'!$B$297),0,('19_Расчет_аналитики'!AQ3467-'19_Расчет_аналитики'!AQ3495)*IF('01_Вводные'!$B$239="Да",MeanMinAge24+'19_Расчет_аналитики'!AQ3596*SUMIF(ThresholdAge24,"&lt;"&amp;'19_Расчет_аналитики'!AQ3596,WeightedRevAge24)-SUMIF(ThresholdAge24,"&lt;"&amp;'19_Расчет_аналитики'!AQ3596,WeightedMinAge24),MAX(CapacityAge24*'01_Вводные'!$B$218*'19_Расчет_аналитики'!AQ3596,MeanMinAge24))),0)</f>
        <v/>
      </c>
      <c r="AR3551">
        <f>IF('01_Вводные'!$B$234="Да",IF(OR(('19_Расчет_аналитики'!AR3467-'19_Расчет_аналитики'!AR3495)=0,24&lt;='01_Вводные'!$B$297),0,('19_Расчет_аналитики'!AR3467-'19_Расчет_аналитики'!AR3495)*IF('01_Вводные'!$B$239="Да",MeanMinAge24+'19_Расчет_аналитики'!AR3596*SUMIF(ThresholdAge24,"&lt;"&amp;'19_Расчет_аналитики'!AR3596,WeightedRevAge24)-SUMIF(ThresholdAge24,"&lt;"&amp;'19_Расчет_аналитики'!AR3596,WeightedMinAge24),MAX(CapacityAge24*'01_Вводные'!$B$218*'19_Расчет_аналитики'!AR3596,MeanMinAge24))),0)</f>
        <v/>
      </c>
      <c r="AS3551">
        <f>IF('01_Вводные'!$B$234="Да",IF(OR(('19_Расчет_аналитики'!AS3467-'19_Расчет_аналитики'!AS3495)=0,24&lt;='01_Вводные'!$B$297),0,('19_Расчет_аналитики'!AS3467-'19_Расчет_аналитики'!AS3495)*IF('01_Вводные'!$B$239="Да",MeanMinAge24+'19_Расчет_аналитики'!AS3596*SUMIF(ThresholdAge24,"&lt;"&amp;'19_Расчет_аналитики'!AS3596,WeightedRevAge24)-SUMIF(ThresholdAge24,"&lt;"&amp;'19_Расчет_аналитики'!AS3596,WeightedMinAge24),MAX(CapacityAge24*'01_Вводные'!$B$218*'19_Расчет_аналитики'!AS3596,MeanMinAge24))),0)</f>
        <v/>
      </c>
      <c r="AT3551">
        <f>IF('01_Вводные'!$B$234="Да",IF(OR(('19_Расчет_аналитики'!AT3467-'19_Расчет_аналитики'!AT3495)=0,24&lt;='01_Вводные'!$B$297),0,('19_Расчет_аналитики'!AT3467-'19_Расчет_аналитики'!AT3495)*IF('01_Вводные'!$B$239="Да",MeanMinAge24+'19_Расчет_аналитики'!AT3596*SUMIF(ThresholdAge24,"&lt;"&amp;'19_Расчет_аналитики'!AT3596,WeightedRevAge24)-SUMIF(ThresholdAge24,"&lt;"&amp;'19_Расчет_аналитики'!AT3596,WeightedMinAge24),MAX(CapacityAge24*'01_Вводные'!$B$218*'19_Расчет_аналитики'!AT3596,MeanMinAge24))),0)</f>
        <v/>
      </c>
      <c r="AU3551">
        <f>IF('01_Вводные'!$B$234="Да",IF(OR(('19_Расчет_аналитики'!AU3467-'19_Расчет_аналитики'!AU3495)=0,24&lt;='01_Вводные'!$B$297),0,('19_Расчет_аналитики'!AU3467-'19_Расчет_аналитики'!AU3495)*IF('01_Вводные'!$B$239="Да",MeanMinAge24+'19_Расчет_аналитики'!AU3596*SUMIF(ThresholdAge24,"&lt;"&amp;'19_Расчет_аналитики'!AU3596,WeightedRevAge24)-SUMIF(ThresholdAge24,"&lt;"&amp;'19_Расчет_аналитики'!AU3596,WeightedMinAge24),MAX(CapacityAge24*'01_Вводные'!$B$218*'19_Расчет_аналитики'!AU3596,MeanMinAge24))),0)</f>
        <v/>
      </c>
      <c r="AV3551">
        <f>IF('01_Вводные'!$B$234="Да",IF(OR(('19_Расчет_аналитики'!AV3467-'19_Расчет_аналитики'!AV3495)=0,24&lt;='01_Вводные'!$B$297),0,('19_Расчет_аналитики'!AV3467-'19_Расчет_аналитики'!AV3495)*IF('01_Вводные'!$B$239="Да",MeanMinAge24+'19_Расчет_аналитики'!AV3596*SUMIF(ThresholdAge24,"&lt;"&amp;'19_Расчет_аналитики'!AV3596,WeightedRevAge24)-SUMIF(ThresholdAge24,"&lt;"&amp;'19_Расчет_аналитики'!AV3596,WeightedMinAge24),MAX(CapacityAge24*'01_Вводные'!$B$218*'19_Расчет_аналитики'!AV3596,MeanMinAge24))),0)</f>
        <v/>
      </c>
      <c r="AW3551">
        <f>IF('01_Вводные'!$B$234="Да",IF(OR(('19_Расчет_аналитики'!AW3467-'19_Расчет_аналитики'!AW3495)=0,24&lt;='01_Вводные'!$B$297),0,('19_Расчет_аналитики'!AW3467-'19_Расчет_аналитики'!AW3495)*IF('01_Вводные'!$B$239="Да",MeanMinAge24+'19_Расчет_аналитики'!AW3596*SUMIF(ThresholdAge24,"&lt;"&amp;'19_Расчет_аналитики'!AW3596,WeightedRevAge24)-SUMIF(ThresholdAge24,"&lt;"&amp;'19_Расчет_аналитики'!AW3596,WeightedMinAge24),MAX(CapacityAge24*'01_Вводные'!$B$218*'19_Расчет_аналитики'!AW3596,MeanMinAge24))),0)</f>
        <v/>
      </c>
      <c r="AX3551">
        <f>IF('01_Вводные'!$B$234="Да",IF(OR(('19_Расчет_аналитики'!AX3467-'19_Расчет_аналитики'!AX3495)=0,24&lt;='01_Вводные'!$B$297),0,('19_Расчет_аналитики'!AX3467-'19_Расчет_аналитики'!AX3495)*IF('01_Вводные'!$B$239="Да",MeanMinAge24+'19_Расчет_аналитики'!AX3596*SUMIF(ThresholdAge24,"&lt;"&amp;'19_Расчет_аналитики'!AX3596,WeightedRevAge24)-SUMIF(ThresholdAge24,"&lt;"&amp;'19_Расчет_аналитики'!AX3596,WeightedMinAge24),MAX(CapacityAge24*'01_Вводные'!$B$218*'19_Расчет_аналитики'!AX3596,MeanMinAge24))),0)</f>
        <v/>
      </c>
      <c r="AY3551">
        <f>IF('01_Вводные'!$B$234="Да",IF(OR(('19_Расчет_аналитики'!AY3467-'19_Расчет_аналитики'!AY3495)=0,24&lt;='01_Вводные'!$B$297),0,('19_Расчет_аналитики'!AY3467-'19_Расчет_аналитики'!AY3495)*IF('01_Вводные'!$B$239="Да",MeanMinAge24+'19_Расчет_аналитики'!AY3596*SUMIF(ThresholdAge24,"&lt;"&amp;'19_Расчет_аналитики'!AY3596,WeightedRevAge24)-SUMIF(ThresholdAge24,"&lt;"&amp;'19_Расчет_аналитики'!AY3596,WeightedMinAge24),MAX(CapacityAge24*'01_Вводные'!$B$218*'19_Расчет_аналитики'!AY3596,MeanMinAge24))),0)</f>
        <v/>
      </c>
      <c r="AZ3551">
        <f>IF('01_Вводные'!$B$234="Да",IF(OR(('19_Расчет_аналитики'!AZ3467-'19_Расчет_аналитики'!AZ3495)=0,24&lt;='01_Вводные'!$B$297),0,('19_Расчет_аналитики'!AZ3467-'19_Расчет_аналитики'!AZ3495)*IF('01_Вводные'!$B$239="Да",MeanMinAge24+'19_Расчет_аналитики'!AZ3596*SUMIF(ThresholdAge24,"&lt;"&amp;'19_Расчет_аналитики'!AZ3596,WeightedRevAge24)-SUMIF(ThresholdAge24,"&lt;"&amp;'19_Расчет_аналитики'!AZ3596,WeightedMinAge24),MAX(CapacityAge24*'01_Вводные'!$B$218*'19_Расчет_аналитики'!AZ3596,MeanMinAge24))),0)</f>
        <v/>
      </c>
      <c r="BA3551">
        <f>IF('01_Вводные'!$B$234="Да",IF(OR(('19_Расчет_аналитики'!BA3467-'19_Расчет_аналитики'!BA3495)=0,24&lt;='01_Вводные'!$B$297),0,('19_Расчет_аналитики'!BA3467-'19_Расчет_аналитики'!BA3495)*IF('01_Вводные'!$B$239="Да",MeanMinAge24+'19_Расчет_аналитики'!BA3596*SUMIF(ThresholdAge24,"&lt;"&amp;'19_Расчет_аналитики'!BA3596,WeightedRevAge24)-SUMIF(ThresholdAge24,"&lt;"&amp;'19_Расчет_аналитики'!BA3596,WeightedMinAge24),MAX(CapacityAge24*'01_Вводные'!$B$218*'19_Расчет_аналитики'!BA3596,MeanMinAge24))),0)</f>
        <v/>
      </c>
      <c r="BB3551">
        <f>IF('01_Вводные'!$B$234="Да",IF(OR(('19_Расчет_аналитики'!BB3467-'19_Расчет_аналитики'!BB3495)=0,24&lt;='01_Вводные'!$B$297),0,('19_Расчет_аналитики'!BB3467-'19_Расчет_аналитики'!BB3495)*IF('01_Вводные'!$B$239="Да",MeanMinAge24+'19_Расчет_аналитики'!BB3596*SUMIF(ThresholdAge24,"&lt;"&amp;'19_Расчет_аналитики'!BB3596,WeightedRevAge24)-SUMIF(ThresholdAge24,"&lt;"&amp;'19_Расчет_аналитики'!BB3596,WeightedMinAge24),MAX(CapacityAge24*'01_Вводные'!$B$218*'19_Расчет_аналитики'!BB3596,MeanMinAge24))),0)</f>
        <v/>
      </c>
      <c r="BC3551">
        <f>IF('01_Вводные'!$B$234="Да",IF(OR(('19_Расчет_аналитики'!BC3467-'19_Расчет_аналитики'!BC3495)=0,24&lt;='01_Вводные'!$B$297),0,('19_Расчет_аналитики'!BC3467-'19_Расчет_аналитики'!BC3495)*IF('01_Вводные'!$B$239="Да",MeanMinAge24+'19_Расчет_аналитики'!BC3596*SUMIF(ThresholdAge24,"&lt;"&amp;'19_Расчет_аналитики'!BC3596,WeightedRevAge24)-SUMIF(ThresholdAge24,"&lt;"&amp;'19_Расчет_аналитики'!BC3596,WeightedMinAge24),MAX(CapacityAge24*'01_Вводные'!$B$218*'19_Расчет_аналитики'!BC3596,MeanMinAge24))),0)</f>
        <v/>
      </c>
      <c r="BD3551">
        <f>IF('01_Вводные'!$B$234="Да",IF(OR(('19_Расчет_аналитики'!BD3467-'19_Расчет_аналитики'!BD3495)=0,24&lt;='01_Вводные'!$B$297),0,('19_Расчет_аналитики'!BD3467-'19_Расчет_аналитики'!BD3495)*IF('01_Вводные'!$B$239="Да",MeanMinAge24+'19_Расчет_аналитики'!BD3596*SUMIF(ThresholdAge24,"&lt;"&amp;'19_Расчет_аналитики'!BD3596,WeightedRevAge24)-SUMIF(ThresholdAge24,"&lt;"&amp;'19_Расчет_аналитики'!BD3596,WeightedMinAge24),MAX(CapacityAge24*'01_Вводные'!$B$218*'19_Расчет_аналитики'!BD3596,MeanMinAge24))),0)</f>
        <v/>
      </c>
      <c r="BE3551">
        <f>IF('01_Вводные'!$B$234="Да",IF(OR(('19_Расчет_аналитики'!BE3467-'19_Расчет_аналитики'!BE3495)=0,24&lt;='01_Вводные'!$B$297),0,('19_Расчет_аналитики'!BE3467-'19_Расчет_аналитики'!BE3495)*IF('01_Вводные'!$B$239="Да",MeanMinAge24+'19_Расчет_аналитики'!BE3596*SUMIF(ThresholdAge24,"&lt;"&amp;'19_Расчет_аналитики'!BE3596,WeightedRevAge24)-SUMIF(ThresholdAge24,"&lt;"&amp;'19_Расчет_аналитики'!BE3596,WeightedMinAge24),MAX(CapacityAge24*'01_Вводные'!$B$218*'19_Расчет_аналитики'!BE3596,MeanMinAge24))),0)</f>
        <v/>
      </c>
      <c r="BF3551">
        <f>IF('01_Вводные'!$B$234="Да",IF(OR(('19_Расчет_аналитики'!BF3467-'19_Расчет_аналитики'!BF3495)=0,24&lt;='01_Вводные'!$B$297),0,('19_Расчет_аналитики'!BF3467-'19_Расчет_аналитики'!BF3495)*IF('01_Вводные'!$B$239="Да",MeanMinAge24+'19_Расчет_аналитики'!BF3596*SUMIF(ThresholdAge24,"&lt;"&amp;'19_Расчет_аналитики'!BF3596,WeightedRevAge24)-SUMIF(ThresholdAge24,"&lt;"&amp;'19_Расчет_аналитики'!BF3596,WeightedMinAge24),MAX(CapacityAge24*'01_Вводные'!$B$218*'19_Расчет_аналитики'!BF3596,MeanMinAge24))),0)</f>
        <v/>
      </c>
      <c r="BG3551">
        <f>IF('01_Вводные'!$B$234="Да",IF(OR(('19_Расчет_аналитики'!BG3467-'19_Расчет_аналитики'!BG3495)=0,24&lt;='01_Вводные'!$B$297),0,('19_Расчет_аналитики'!BG3467-'19_Расчет_аналитики'!BG3495)*IF('01_Вводные'!$B$239="Да",MeanMinAge24+'19_Расчет_аналитики'!BG3596*SUMIF(ThresholdAge24,"&lt;"&amp;'19_Расчет_аналитики'!BG3596,WeightedRevAge24)-SUMIF(ThresholdAge24,"&lt;"&amp;'19_Расчет_аналитики'!BG3596,WeightedMinAge24),MAX(CapacityAge24*'01_Вводные'!$B$218*'19_Расчет_аналитики'!BG3596,MeanMinAge24))),0)</f>
        <v/>
      </c>
      <c r="BH3551">
        <f>IF('01_Вводные'!$B$234="Да",IF(OR(('19_Расчет_аналитики'!BH3467-'19_Расчет_аналитики'!BH3495)=0,24&lt;='01_Вводные'!$B$297),0,('19_Расчет_аналитики'!BH3467-'19_Расчет_аналитики'!BH3495)*IF('01_Вводные'!$B$239="Да",MeanMinAge24+'19_Расчет_аналитики'!BH3596*SUMIF(ThresholdAge24,"&lt;"&amp;'19_Расчет_аналитики'!BH3596,WeightedRevAge24)-SUMIF(ThresholdAge24,"&lt;"&amp;'19_Расчет_аналитики'!BH3596,WeightedMinAge24),MAX(CapacityAge24*'01_Вводные'!$B$218*'19_Расчет_аналитики'!BH3596,MeanMinAge24))),0)</f>
        <v/>
      </c>
      <c r="BI3551">
        <f>IF('01_Вводные'!$B$234="Да",IF(OR(('19_Расчет_аналитики'!BI3467-'19_Расчет_аналитики'!BI3495)=0,24&lt;='01_Вводные'!$B$297),0,('19_Расчет_аналитики'!BI3467-'19_Расчет_аналитики'!BI3495)*IF('01_Вводные'!$B$239="Да",MeanMinAge24+'19_Расчет_аналитики'!BI3596*SUMIF(ThresholdAge24,"&lt;"&amp;'19_Расчет_аналитики'!BI3596,WeightedRevAge24)-SUMIF(ThresholdAge24,"&lt;"&amp;'19_Расчет_аналитики'!BI3596,WeightedMinAge24),MAX(CapacityAge24*'01_Вводные'!$B$218*'19_Расчет_аналитики'!BI3596,MeanMinAge24))),0)</f>
        <v/>
      </c>
      <c r="BJ3551">
        <f>IF('01_Вводные'!$B$234="Да",IF(OR(('19_Расчет_аналитики'!BJ3467-'19_Расчет_аналитики'!BJ3495)=0,24&lt;='01_Вводные'!$B$297),0,('19_Расчет_аналитики'!BJ3467-'19_Расчет_аналитики'!BJ3495)*IF('01_Вводные'!$B$239="Да",MeanMinAge24+'19_Расчет_аналитики'!BJ3596*SUMIF(ThresholdAge24,"&lt;"&amp;'19_Расчет_аналитики'!BJ3596,WeightedRevAge24)-SUMIF(ThresholdAge24,"&lt;"&amp;'19_Расчет_аналитики'!BJ3596,WeightedMinAge24),MAX(CapacityAge24*'01_Вводные'!$B$218*'19_Расчет_аналитики'!BJ3596,MeanMinAge24))),0)</f>
        <v/>
      </c>
      <c r="BK3551">
        <f>IF('01_Вводные'!$B$234="Да",IF(OR(('19_Расчет_аналитики'!BK3467-'19_Расчет_аналитики'!BK3495)=0,24&lt;='01_Вводные'!$B$297),0,('19_Расчет_аналитики'!BK3467-'19_Расчет_аналитики'!BK3495)*IF('01_Вводные'!$B$239="Да",MeanMinAge24+'19_Расчет_аналитики'!BK3596*SUMIF(ThresholdAge24,"&lt;"&amp;'19_Расчет_аналитики'!BK3596,WeightedRevAge24)-SUMIF(ThresholdAge24,"&lt;"&amp;'19_Расчет_аналитики'!BK3596,WeightedMinAge24),MAX(CapacityAge24*'01_Вводные'!$B$218*'19_Расчет_аналитики'!BK3596,MeanMinAge24))),0)</f>
        <v/>
      </c>
      <c r="BL3551">
        <f>IF('01_Вводные'!$B$234="Да",IF(OR(('19_Расчет_аналитики'!BL3467-'19_Расчет_аналитики'!BL3495)=0,24&lt;='01_Вводные'!$B$297),0,('19_Расчет_аналитики'!BL3467-'19_Расчет_аналитики'!BL3495)*IF('01_Вводные'!$B$239="Да",MeanMinAge24+'19_Расчет_аналитики'!BL3596*SUMIF(ThresholdAge24,"&lt;"&amp;'19_Расчет_аналитики'!BL3596,WeightedRevAge24)-SUMIF(ThresholdAge24,"&lt;"&amp;'19_Расчет_аналитики'!BL3596,WeightedMinAge24),MAX(CapacityAge24*'01_Вводные'!$B$218*'19_Расчет_аналитики'!BL3596,MeanMinAge24))),0)</f>
        <v/>
      </c>
      <c r="BM3551">
        <f>IF('01_Вводные'!$B$234="Да",IF(OR(('19_Расчет_аналитики'!BM3467-'19_Расчет_аналитики'!BM3495)=0,24&lt;='01_Вводные'!$B$297),0,('19_Расчет_аналитики'!BM3467-'19_Расчет_аналитики'!BM3495)*IF('01_Вводные'!$B$239="Да",MeanMinAge24+'19_Расчет_аналитики'!BM3596*SUMIF(ThresholdAge24,"&lt;"&amp;'19_Расчет_аналитики'!BM3596,WeightedRevAge24)-SUMIF(ThresholdAge24,"&lt;"&amp;'19_Расчет_аналитики'!BM3596,WeightedMinAge24),MAX(CapacityAge24*'01_Вводные'!$B$218*'19_Расчет_аналитики'!BM3596,MeanMinAge24))),0)</f>
        <v/>
      </c>
      <c r="BN3551">
        <f>IF('01_Вводные'!$B$234="Да",IF(OR(('19_Расчет_аналитики'!BN3467-'19_Расчет_аналитики'!BN3495)=0,24&lt;='01_Вводные'!$B$297),0,('19_Расчет_аналитики'!BN3467-'19_Расчет_аналитики'!BN3495)*IF('01_Вводные'!$B$239="Да",MeanMinAge24+'19_Расчет_аналитики'!BN3596*SUMIF(ThresholdAge24,"&lt;"&amp;'19_Расчет_аналитики'!BN3596,WeightedRevAge24)-SUMIF(ThresholdAge24,"&lt;"&amp;'19_Расчет_аналитики'!BN3596,WeightedMinAge24),MAX(CapacityAge24*'01_Вводные'!$B$218*'19_Расчет_аналитики'!BN3596,MeanMinAge24))),0)</f>
        <v/>
      </c>
      <c r="BO3551">
        <f>IF('01_Вводные'!$B$234="Да",IF(OR(('19_Расчет_аналитики'!BO3467-'19_Расчет_аналитики'!BO3495)=0,24&lt;='01_Вводные'!$B$297),0,('19_Расчет_аналитики'!BO3467-'19_Расчет_аналитики'!BO3495)*IF('01_Вводные'!$B$239="Да",MeanMinAge24+'19_Расчет_аналитики'!BO3596*SUMIF(ThresholdAge24,"&lt;"&amp;'19_Расчет_аналитики'!BO3596,WeightedRevAge24)-SUMIF(ThresholdAge24,"&lt;"&amp;'19_Расчет_аналитики'!BO3596,WeightedMinAge24),MAX(CapacityAge24*'01_Вводные'!$B$218*'19_Расчет_аналитики'!BO3596,MeanMinAge24))),0)</f>
        <v/>
      </c>
    </row>
    <row r="3552">
      <c r="B3552">
        <f>IF('01_Вводные'!$B$234="Да",IF(OR(('06_Сеть_и_дети'!B77-'06_Сеть_и_дети'!B105)=0,25&lt;='01_Вводные'!$B$297),0,('06_Сеть_и_дети'!B77-'06_Сеть_и_дети'!B105)*IF('01_Вводные'!$B$239="Да",MeanMinAge25+'19_Расчет_аналитики'!B3596*SUMIF(ThresholdAge25,"&lt;"&amp;'19_Расчет_аналитики'!B3596,WeightedRevAge25)-SUMIF(ThresholdAge25,"&lt;"&amp;'19_Расчет_аналитики'!B3596,WeightedMinAge25),MAX(CapacityAge25*'01_Вводные'!$B$218*'19_Расчет_аналитики'!B3596,MeanMinAge25))),0)</f>
        <v/>
      </c>
      <c r="C3552">
        <f>IF('01_Вводные'!$B$234="Да",IF(OR(('06_Сеть_и_дети'!C77-'06_Сеть_и_дети'!C105)=0,25&lt;='01_Вводные'!$B$297),0,('06_Сеть_и_дети'!C77-'06_Сеть_и_дети'!C105)*IF('01_Вводные'!$B$239="Да",MeanMinAge25+'19_Расчет_аналитики'!C3596*SUMIF(ThresholdAge25,"&lt;"&amp;'19_Расчет_аналитики'!C3596,WeightedRevAge25)-SUMIF(ThresholdAge25,"&lt;"&amp;'19_Расчет_аналитики'!C3596,WeightedMinAge25),MAX(CapacityAge25*'01_Вводные'!$B$218*'19_Расчет_аналитики'!C3596,MeanMinAge25))),0)</f>
        <v/>
      </c>
      <c r="D3552">
        <f>IF('01_Вводные'!$B$234="Да",IF(OR(('06_Сеть_и_дети'!D77-'06_Сеть_и_дети'!D105)=0,25&lt;='01_Вводные'!$B$297),0,('06_Сеть_и_дети'!D77-'06_Сеть_и_дети'!D105)*IF('01_Вводные'!$B$239="Да",MeanMinAge25+'19_Расчет_аналитики'!D3596*SUMIF(ThresholdAge25,"&lt;"&amp;'19_Расчет_аналитики'!D3596,WeightedRevAge25)-SUMIF(ThresholdAge25,"&lt;"&amp;'19_Расчет_аналитики'!D3596,WeightedMinAge25),MAX(CapacityAge25*'01_Вводные'!$B$218*'19_Расчет_аналитики'!D3596,MeanMinAge25))),0)</f>
        <v/>
      </c>
      <c r="E3552">
        <f>IF('01_Вводные'!$B$234="Да",IF(OR(('06_Сеть_и_дети'!E77-'06_Сеть_и_дети'!E105)=0,25&lt;='01_Вводные'!$B$297),0,('06_Сеть_и_дети'!E77-'06_Сеть_и_дети'!E105)*IF('01_Вводные'!$B$239="Да",MeanMinAge25+'19_Расчет_аналитики'!E3596*SUMIF(ThresholdAge25,"&lt;"&amp;'19_Расчет_аналитики'!E3596,WeightedRevAge25)-SUMIF(ThresholdAge25,"&lt;"&amp;'19_Расчет_аналитики'!E3596,WeightedMinAge25),MAX(CapacityAge25*'01_Вводные'!$B$218*'19_Расчет_аналитики'!E3596,MeanMinAge25))),0)</f>
        <v/>
      </c>
      <c r="F3552">
        <f>IF('01_Вводные'!$B$234="Да",IF(OR(('06_Сеть_и_дети'!F77-'06_Сеть_и_дети'!F105)=0,25&lt;='01_Вводные'!$B$297),0,('06_Сеть_и_дети'!F77-'06_Сеть_и_дети'!F105)*IF('01_Вводные'!$B$239="Да",MeanMinAge25+'19_Расчет_аналитики'!F3596*SUMIF(ThresholdAge25,"&lt;"&amp;'19_Расчет_аналитики'!F3596,WeightedRevAge25)-SUMIF(ThresholdAge25,"&lt;"&amp;'19_Расчет_аналитики'!F3596,WeightedMinAge25),MAX(CapacityAge25*'01_Вводные'!$B$218*'19_Расчет_аналитики'!F3596,MeanMinAge25))),0)</f>
        <v/>
      </c>
      <c r="G3552">
        <f>IF('01_Вводные'!$B$234="Да",IF(OR(('06_Сеть_и_дети'!G77-'06_Сеть_и_дети'!G105)=0,25&lt;='01_Вводные'!$B$297),0,('06_Сеть_и_дети'!G77-'06_Сеть_и_дети'!G105)*IF('01_Вводные'!$B$239="Да",MeanMinAge25+'19_Расчет_аналитики'!G3596*SUMIF(ThresholdAge25,"&lt;"&amp;'19_Расчет_аналитики'!G3596,WeightedRevAge25)-SUMIF(ThresholdAge25,"&lt;"&amp;'19_Расчет_аналитики'!G3596,WeightedMinAge25),MAX(CapacityAge25*'01_Вводные'!$B$218*'19_Расчет_аналитики'!G3596,MeanMinAge25))),0)</f>
        <v/>
      </c>
      <c r="H3552">
        <f>IF('01_Вводные'!$B$234="Да",IF(OR(('06_Сеть_и_дети'!H77-'06_Сеть_и_дети'!H105)=0,25&lt;='01_Вводные'!$B$297),0,('06_Сеть_и_дети'!H77-'06_Сеть_и_дети'!H105)*IF('01_Вводные'!$B$239="Да",MeanMinAge25+'19_Расчет_аналитики'!H3596*SUMIF(ThresholdAge25,"&lt;"&amp;'19_Расчет_аналитики'!H3596,WeightedRevAge25)-SUMIF(ThresholdAge25,"&lt;"&amp;'19_Расчет_аналитики'!H3596,WeightedMinAge25),MAX(CapacityAge25*'01_Вводные'!$B$218*'19_Расчет_аналитики'!H3596,MeanMinAge25))),0)</f>
        <v/>
      </c>
      <c r="I3552">
        <f>IF('01_Вводные'!$B$234="Да",IF(OR(('06_Сеть_и_дети'!I77-'06_Сеть_и_дети'!I105)=0,25&lt;='01_Вводные'!$B$297),0,('06_Сеть_и_дети'!I77-'06_Сеть_и_дети'!I105)*IF('01_Вводные'!$B$239="Да",MeanMinAge25+'19_Расчет_аналитики'!I3596*SUMIF(ThresholdAge25,"&lt;"&amp;'19_Расчет_аналитики'!I3596,WeightedRevAge25)-SUMIF(ThresholdAge25,"&lt;"&amp;'19_Расчет_аналитики'!I3596,WeightedMinAge25),MAX(CapacityAge25*'01_Вводные'!$B$218*'19_Расчет_аналитики'!I3596,MeanMinAge25))),0)</f>
        <v/>
      </c>
      <c r="J3552">
        <f>IF('01_Вводные'!$B$234="Да",IF(OR(('06_Сеть_и_дети'!J77-'06_Сеть_и_дети'!J105)=0,25&lt;='01_Вводные'!$B$297),0,('06_Сеть_и_дети'!J77-'06_Сеть_и_дети'!J105)*IF('01_Вводные'!$B$239="Да",MeanMinAge25+'19_Расчет_аналитики'!J3596*SUMIF(ThresholdAge25,"&lt;"&amp;'19_Расчет_аналитики'!J3596,WeightedRevAge25)-SUMIF(ThresholdAge25,"&lt;"&amp;'19_Расчет_аналитики'!J3596,WeightedMinAge25),MAX(CapacityAge25*'01_Вводные'!$B$218*'19_Расчет_аналитики'!J3596,MeanMinAge25))),0)</f>
        <v/>
      </c>
      <c r="K3552">
        <f>IF('01_Вводные'!$B$234="Да",IF(OR(('06_Сеть_и_дети'!K77-'06_Сеть_и_дети'!K105)=0,25&lt;='01_Вводные'!$B$297),0,('06_Сеть_и_дети'!K77-'06_Сеть_и_дети'!K105)*IF('01_Вводные'!$B$239="Да",MeanMinAge25+'19_Расчет_аналитики'!K3596*SUMIF(ThresholdAge25,"&lt;"&amp;'19_Расчет_аналитики'!K3596,WeightedRevAge25)-SUMIF(ThresholdAge25,"&lt;"&amp;'19_Расчет_аналитики'!K3596,WeightedMinAge25),MAX(CapacityAge25*'01_Вводные'!$B$218*'19_Расчет_аналитики'!K3596,MeanMinAge25))),0)</f>
        <v/>
      </c>
      <c r="L3552">
        <f>IF('01_Вводные'!$B$234="Да",IF(OR(('06_Сеть_и_дети'!L77-'06_Сеть_и_дети'!L105)=0,25&lt;='01_Вводные'!$B$297),0,('06_Сеть_и_дети'!L77-'06_Сеть_и_дети'!L105)*IF('01_Вводные'!$B$239="Да",MeanMinAge25+'19_Расчет_аналитики'!L3596*SUMIF(ThresholdAge25,"&lt;"&amp;'19_Расчет_аналитики'!L3596,WeightedRevAge25)-SUMIF(ThresholdAge25,"&lt;"&amp;'19_Расчет_аналитики'!L3596,WeightedMinAge25),MAX(CapacityAge25*'01_Вводные'!$B$218*'19_Расчет_аналитики'!L3596,MeanMinAge25))),0)</f>
        <v/>
      </c>
      <c r="M3552">
        <f>IF('01_Вводные'!$B$234="Да",IF(OR(('06_Сеть_и_дети'!M77-'06_Сеть_и_дети'!M105)=0,25&lt;='01_Вводные'!$B$297),0,('06_Сеть_и_дети'!M77-'06_Сеть_и_дети'!M105)*IF('01_Вводные'!$B$239="Да",MeanMinAge25+'19_Расчет_аналитики'!M3596*SUMIF(ThresholdAge25,"&lt;"&amp;'19_Расчет_аналитики'!M3596,WeightedRevAge25)-SUMIF(ThresholdAge25,"&lt;"&amp;'19_Расчет_аналитики'!M3596,WeightedMinAge25),MAX(CapacityAge25*'01_Вводные'!$B$218*'19_Расчет_аналитики'!M3596,MeanMinAge25))),0)</f>
        <v/>
      </c>
      <c r="N3552">
        <f>IF('01_Вводные'!$B$234="Да",IF(OR(('06_Сеть_и_дети'!N77-'06_Сеть_и_дети'!N105)=0,25&lt;='01_Вводные'!$B$297),0,('06_Сеть_и_дети'!N77-'06_Сеть_и_дети'!N105)*IF('01_Вводные'!$B$239="Да",MeanMinAge25+'19_Расчет_аналитики'!N3596*SUMIF(ThresholdAge25,"&lt;"&amp;'19_Расчет_аналитики'!N3596,WeightedRevAge25)-SUMIF(ThresholdAge25,"&lt;"&amp;'19_Расчет_аналитики'!N3596,WeightedMinAge25),MAX(CapacityAge25*'01_Вводные'!$B$218*'19_Расчет_аналитики'!N3596,MeanMinAge25))),0)</f>
        <v/>
      </c>
      <c r="O3552">
        <f>IF('01_Вводные'!$B$234="Да",IF(OR(('06_Сеть_и_дети'!O77-'06_Сеть_и_дети'!O105)=0,25&lt;='01_Вводные'!$B$297),0,('06_Сеть_и_дети'!O77-'06_Сеть_и_дети'!O105)*IF('01_Вводные'!$B$239="Да",MeanMinAge25+'19_Расчет_аналитики'!O3596*SUMIF(ThresholdAge25,"&lt;"&amp;'19_Расчет_аналитики'!O3596,WeightedRevAge25)-SUMIF(ThresholdAge25,"&lt;"&amp;'19_Расчет_аналитики'!O3596,WeightedMinAge25),MAX(CapacityAge25*'01_Вводные'!$B$218*'19_Расчет_аналитики'!O3596,MeanMinAge25))),0)</f>
        <v/>
      </c>
      <c r="P3552">
        <f>IF('01_Вводные'!$B$234="Да",IF(OR(('06_Сеть_и_дети'!P77-'06_Сеть_и_дети'!P105)=0,25&lt;='01_Вводные'!$B$297),0,('06_Сеть_и_дети'!P77-'06_Сеть_и_дети'!P105)*IF('01_Вводные'!$B$239="Да",MeanMinAge25+'19_Расчет_аналитики'!P3596*SUMIF(ThresholdAge25,"&lt;"&amp;'19_Расчет_аналитики'!P3596,WeightedRevAge25)-SUMIF(ThresholdAge25,"&lt;"&amp;'19_Расчет_аналитики'!P3596,WeightedMinAge25),MAX(CapacityAge25*'01_Вводные'!$B$218*'19_Расчет_аналитики'!P3596,MeanMinAge25))),0)</f>
        <v/>
      </c>
      <c r="Q3552">
        <f>IF('01_Вводные'!$B$234="Да",IF(OR(('06_Сеть_и_дети'!Q77-'06_Сеть_и_дети'!Q105)=0,25&lt;='01_Вводные'!$B$297),0,('06_Сеть_и_дети'!Q77-'06_Сеть_и_дети'!Q105)*IF('01_Вводные'!$B$239="Да",MeanMinAge25+'19_Расчет_аналитики'!Q3596*SUMIF(ThresholdAge25,"&lt;"&amp;'19_Расчет_аналитики'!Q3596,WeightedRevAge25)-SUMIF(ThresholdAge25,"&lt;"&amp;'19_Расчет_аналитики'!Q3596,WeightedMinAge25),MAX(CapacityAge25*'01_Вводные'!$B$218*'19_Расчет_аналитики'!Q3596,MeanMinAge25))),0)</f>
        <v/>
      </c>
      <c r="R3552">
        <f>IF('01_Вводные'!$B$234="Да",IF(OR(('06_Сеть_и_дети'!R77-'06_Сеть_и_дети'!R105)=0,25&lt;='01_Вводные'!$B$297),0,('06_Сеть_и_дети'!R77-'06_Сеть_и_дети'!R105)*IF('01_Вводные'!$B$239="Да",MeanMinAge25+'19_Расчет_аналитики'!R3596*SUMIF(ThresholdAge25,"&lt;"&amp;'19_Расчет_аналитики'!R3596,WeightedRevAge25)-SUMIF(ThresholdAge25,"&lt;"&amp;'19_Расчет_аналитики'!R3596,WeightedMinAge25),MAX(CapacityAge25*'01_Вводные'!$B$218*'19_Расчет_аналитики'!R3596,MeanMinAge25))),0)</f>
        <v/>
      </c>
      <c r="S3552">
        <f>IF('01_Вводные'!$B$234="Да",IF(OR(('06_Сеть_и_дети'!S77-'06_Сеть_и_дети'!S105)=0,25&lt;='01_Вводные'!$B$297),0,('06_Сеть_и_дети'!S77-'06_Сеть_и_дети'!S105)*IF('01_Вводные'!$B$239="Да",MeanMinAge25+'19_Расчет_аналитики'!S3596*SUMIF(ThresholdAge25,"&lt;"&amp;'19_Расчет_аналитики'!S3596,WeightedRevAge25)-SUMIF(ThresholdAge25,"&lt;"&amp;'19_Расчет_аналитики'!S3596,WeightedMinAge25),MAX(CapacityAge25*'01_Вводные'!$B$218*'19_Расчет_аналитики'!S3596,MeanMinAge25))),0)</f>
        <v/>
      </c>
      <c r="T3552">
        <f>IF('01_Вводные'!$B$234="Да",IF(OR(('06_Сеть_и_дети'!T77-'06_Сеть_и_дети'!T105)=0,25&lt;='01_Вводные'!$B$297),0,('06_Сеть_и_дети'!T77-'06_Сеть_и_дети'!T105)*IF('01_Вводные'!$B$239="Да",MeanMinAge25+'19_Расчет_аналитики'!T3596*SUMIF(ThresholdAge25,"&lt;"&amp;'19_Расчет_аналитики'!T3596,WeightedRevAge25)-SUMIF(ThresholdAge25,"&lt;"&amp;'19_Расчет_аналитики'!T3596,WeightedMinAge25),MAX(CapacityAge25*'01_Вводные'!$B$218*'19_Расчет_аналитики'!T3596,MeanMinAge25))),0)</f>
        <v/>
      </c>
      <c r="U3552">
        <f>IF('01_Вводные'!$B$234="Да",IF(OR(('06_Сеть_и_дети'!U77-'06_Сеть_и_дети'!U105)=0,25&lt;='01_Вводные'!$B$297),0,('06_Сеть_и_дети'!U77-'06_Сеть_и_дети'!U105)*IF('01_Вводные'!$B$239="Да",MeanMinAge25+'19_Расчет_аналитики'!U3596*SUMIF(ThresholdAge25,"&lt;"&amp;'19_Расчет_аналитики'!U3596,WeightedRevAge25)-SUMIF(ThresholdAge25,"&lt;"&amp;'19_Расчет_аналитики'!U3596,WeightedMinAge25),MAX(CapacityAge25*'01_Вводные'!$B$218*'19_Расчет_аналитики'!U3596,MeanMinAge25))),0)</f>
        <v/>
      </c>
      <c r="V3552">
        <f>IF('01_Вводные'!$B$234="Да",IF(OR(('06_Сеть_и_дети'!V77-'06_Сеть_и_дети'!V105)=0,25&lt;='01_Вводные'!$B$297),0,('06_Сеть_и_дети'!V77-'06_Сеть_и_дети'!V105)*IF('01_Вводные'!$B$239="Да",MeanMinAge25+'19_Расчет_аналитики'!V3596*SUMIF(ThresholdAge25,"&lt;"&amp;'19_Расчет_аналитики'!V3596,WeightedRevAge25)-SUMIF(ThresholdAge25,"&lt;"&amp;'19_Расчет_аналитики'!V3596,WeightedMinAge25),MAX(CapacityAge25*'01_Вводные'!$B$218*'19_Расчет_аналитики'!V3596,MeanMinAge25))),0)</f>
        <v/>
      </c>
      <c r="W3552">
        <f>IF('01_Вводные'!$B$234="Да",IF(OR(('06_Сеть_и_дети'!W77-'06_Сеть_и_дети'!W105)=0,25&lt;='01_Вводные'!$B$297),0,('06_Сеть_и_дети'!W77-'06_Сеть_и_дети'!W105)*IF('01_Вводные'!$B$239="Да",MeanMinAge25+'19_Расчет_аналитики'!W3596*SUMIF(ThresholdAge25,"&lt;"&amp;'19_Расчет_аналитики'!W3596,WeightedRevAge25)-SUMIF(ThresholdAge25,"&lt;"&amp;'19_Расчет_аналитики'!W3596,WeightedMinAge25),MAX(CapacityAge25*'01_Вводные'!$B$218*'19_Расчет_аналитики'!W3596,MeanMinAge25))),0)</f>
        <v/>
      </c>
      <c r="X3552">
        <f>IF('01_Вводные'!$B$234="Да",IF(OR(('06_Сеть_и_дети'!X77-'06_Сеть_и_дети'!X105)=0,25&lt;='01_Вводные'!$B$297),0,('06_Сеть_и_дети'!X77-'06_Сеть_и_дети'!X105)*IF('01_Вводные'!$B$239="Да",MeanMinAge25+'19_Расчет_аналитики'!X3596*SUMIF(ThresholdAge25,"&lt;"&amp;'19_Расчет_аналитики'!X3596,WeightedRevAge25)-SUMIF(ThresholdAge25,"&lt;"&amp;'19_Расчет_аналитики'!X3596,WeightedMinAge25),MAX(CapacityAge25*'01_Вводные'!$B$218*'19_Расчет_аналитики'!X3596,MeanMinAge25))),0)</f>
        <v/>
      </c>
      <c r="Y3552">
        <f>IF('01_Вводные'!$B$234="Да",IF(OR(('06_Сеть_и_дети'!Y77-'06_Сеть_и_дети'!Y105)=0,25&lt;='01_Вводные'!$B$297),0,('06_Сеть_и_дети'!Y77-'06_Сеть_и_дети'!Y105)*IF('01_Вводные'!$B$239="Да",MeanMinAge25+'19_Расчет_аналитики'!Y3596*SUMIF(ThresholdAge25,"&lt;"&amp;'19_Расчет_аналитики'!Y3596,WeightedRevAge25)-SUMIF(ThresholdAge25,"&lt;"&amp;'19_Расчет_аналитики'!Y3596,WeightedMinAge25),MAX(CapacityAge25*'01_Вводные'!$B$218*'19_Расчет_аналитики'!Y3596,MeanMinAge25))),0)</f>
        <v/>
      </c>
      <c r="Z3552">
        <f>IF('01_Вводные'!$B$234="Да",IF(OR(('19_Расчет_аналитики'!Z3468-'19_Расчет_аналитики'!Z3496)=0,25&lt;='01_Вводные'!$B$297),0,('19_Расчет_аналитики'!Z3468-'19_Расчет_аналитики'!Z3496)*IF('01_Вводные'!$B$239="Да",MeanMinAge25+'19_Расчет_аналитики'!Z3596*SUMIF(ThresholdAge25,"&lt;"&amp;'19_Расчет_аналитики'!Z3596,WeightedRevAge25)-SUMIF(ThresholdAge25,"&lt;"&amp;'19_Расчет_аналитики'!Z3596,WeightedMinAge25),MAX(CapacityAge25*'01_Вводные'!$B$218*'19_Расчет_аналитики'!Z3596,MeanMinAge25))),0)</f>
        <v/>
      </c>
      <c r="AA3552">
        <f>IF('01_Вводные'!$B$234="Да",IF(OR(('19_Расчет_аналитики'!AA3468-'19_Расчет_аналитики'!AA3496)=0,25&lt;='01_Вводные'!$B$297),0,('19_Расчет_аналитики'!AA3468-'19_Расчет_аналитики'!AA3496)*IF('01_Вводные'!$B$239="Да",MeanMinAge25+'19_Расчет_аналитики'!AA3596*SUMIF(ThresholdAge25,"&lt;"&amp;'19_Расчет_аналитики'!AA3596,WeightedRevAge25)-SUMIF(ThresholdAge25,"&lt;"&amp;'19_Расчет_аналитики'!AA3596,WeightedMinAge25),MAX(CapacityAge25*'01_Вводные'!$B$218*'19_Расчет_аналитики'!AA3596,MeanMinAge25))),0)</f>
        <v/>
      </c>
      <c r="AB3552">
        <f>IF('01_Вводные'!$B$234="Да",IF(OR(('19_Расчет_аналитики'!AB3468-'19_Расчет_аналитики'!AB3496)=0,25&lt;='01_Вводные'!$B$297),0,('19_Расчет_аналитики'!AB3468-'19_Расчет_аналитики'!AB3496)*IF('01_Вводные'!$B$239="Да",MeanMinAge25+'19_Расчет_аналитики'!AB3596*SUMIF(ThresholdAge25,"&lt;"&amp;'19_Расчет_аналитики'!AB3596,WeightedRevAge25)-SUMIF(ThresholdAge25,"&lt;"&amp;'19_Расчет_аналитики'!AB3596,WeightedMinAge25),MAX(CapacityAge25*'01_Вводные'!$B$218*'19_Расчет_аналитики'!AB3596,MeanMinAge25))),0)</f>
        <v/>
      </c>
      <c r="AC3552">
        <f>IF('01_Вводные'!$B$234="Да",IF(OR(('19_Расчет_аналитики'!AC3468-'19_Расчет_аналитики'!AC3496)=0,25&lt;='01_Вводные'!$B$297),0,('19_Расчет_аналитики'!AC3468-'19_Расчет_аналитики'!AC3496)*IF('01_Вводные'!$B$239="Да",MeanMinAge25+'19_Расчет_аналитики'!AC3596*SUMIF(ThresholdAge25,"&lt;"&amp;'19_Расчет_аналитики'!AC3596,WeightedRevAge25)-SUMIF(ThresholdAge25,"&lt;"&amp;'19_Расчет_аналитики'!AC3596,WeightedMinAge25),MAX(CapacityAge25*'01_Вводные'!$B$218*'19_Расчет_аналитики'!AC3596,MeanMinAge25))),0)</f>
        <v/>
      </c>
      <c r="AD3552">
        <f>IF('01_Вводные'!$B$234="Да",IF(OR(('19_Расчет_аналитики'!AD3468-'19_Расчет_аналитики'!AD3496)=0,25&lt;='01_Вводные'!$B$297),0,('19_Расчет_аналитики'!AD3468-'19_Расчет_аналитики'!AD3496)*IF('01_Вводные'!$B$239="Да",MeanMinAge25+'19_Расчет_аналитики'!AD3596*SUMIF(ThresholdAge25,"&lt;"&amp;'19_Расчет_аналитики'!AD3596,WeightedRevAge25)-SUMIF(ThresholdAge25,"&lt;"&amp;'19_Расчет_аналитики'!AD3596,WeightedMinAge25),MAX(CapacityAge25*'01_Вводные'!$B$218*'19_Расчет_аналитики'!AD3596,MeanMinAge25))),0)</f>
        <v/>
      </c>
      <c r="AE3552">
        <f>IF('01_Вводные'!$B$234="Да",IF(OR(('19_Расчет_аналитики'!AE3468-'19_Расчет_аналитики'!AE3496)=0,25&lt;='01_Вводные'!$B$297),0,('19_Расчет_аналитики'!AE3468-'19_Расчет_аналитики'!AE3496)*IF('01_Вводные'!$B$239="Да",MeanMinAge25+'19_Расчет_аналитики'!AE3596*SUMIF(ThresholdAge25,"&lt;"&amp;'19_Расчет_аналитики'!AE3596,WeightedRevAge25)-SUMIF(ThresholdAge25,"&lt;"&amp;'19_Расчет_аналитики'!AE3596,WeightedMinAge25),MAX(CapacityAge25*'01_Вводные'!$B$218*'19_Расчет_аналитики'!AE3596,MeanMinAge25))),0)</f>
        <v/>
      </c>
      <c r="AF3552">
        <f>IF('01_Вводные'!$B$234="Да",IF(OR(('19_Расчет_аналитики'!AF3468-'19_Расчет_аналитики'!AF3496)=0,25&lt;='01_Вводные'!$B$297),0,('19_Расчет_аналитики'!AF3468-'19_Расчет_аналитики'!AF3496)*IF('01_Вводные'!$B$239="Да",MeanMinAge25+'19_Расчет_аналитики'!AF3596*SUMIF(ThresholdAge25,"&lt;"&amp;'19_Расчет_аналитики'!AF3596,WeightedRevAge25)-SUMIF(ThresholdAge25,"&lt;"&amp;'19_Расчет_аналитики'!AF3596,WeightedMinAge25),MAX(CapacityAge25*'01_Вводные'!$B$218*'19_Расчет_аналитики'!AF3596,MeanMinAge25))),0)</f>
        <v/>
      </c>
      <c r="AG3552">
        <f>IF('01_Вводные'!$B$234="Да",IF(OR(('19_Расчет_аналитики'!AG3468-'19_Расчет_аналитики'!AG3496)=0,25&lt;='01_Вводные'!$B$297),0,('19_Расчет_аналитики'!AG3468-'19_Расчет_аналитики'!AG3496)*IF('01_Вводные'!$B$239="Да",MeanMinAge25+'19_Расчет_аналитики'!AG3596*SUMIF(ThresholdAge25,"&lt;"&amp;'19_Расчет_аналитики'!AG3596,WeightedRevAge25)-SUMIF(ThresholdAge25,"&lt;"&amp;'19_Расчет_аналитики'!AG3596,WeightedMinAge25),MAX(CapacityAge25*'01_Вводные'!$B$218*'19_Расчет_аналитики'!AG3596,MeanMinAge25))),0)</f>
        <v/>
      </c>
      <c r="AH3552">
        <f>IF('01_Вводные'!$B$234="Да",IF(OR(('19_Расчет_аналитики'!AH3468-'19_Расчет_аналитики'!AH3496)=0,25&lt;='01_Вводные'!$B$297),0,('19_Расчет_аналитики'!AH3468-'19_Расчет_аналитики'!AH3496)*IF('01_Вводные'!$B$239="Да",MeanMinAge25+'19_Расчет_аналитики'!AH3596*SUMIF(ThresholdAge25,"&lt;"&amp;'19_Расчет_аналитики'!AH3596,WeightedRevAge25)-SUMIF(ThresholdAge25,"&lt;"&amp;'19_Расчет_аналитики'!AH3596,WeightedMinAge25),MAX(CapacityAge25*'01_Вводные'!$B$218*'19_Расчет_аналитики'!AH3596,MeanMinAge25))),0)</f>
        <v/>
      </c>
      <c r="AI3552">
        <f>IF('01_Вводные'!$B$234="Да",IF(OR(('19_Расчет_аналитики'!AI3468-'19_Расчет_аналитики'!AI3496)=0,25&lt;='01_Вводные'!$B$297),0,('19_Расчет_аналитики'!AI3468-'19_Расчет_аналитики'!AI3496)*IF('01_Вводные'!$B$239="Да",MeanMinAge25+'19_Расчет_аналитики'!AI3596*SUMIF(ThresholdAge25,"&lt;"&amp;'19_Расчет_аналитики'!AI3596,WeightedRevAge25)-SUMIF(ThresholdAge25,"&lt;"&amp;'19_Расчет_аналитики'!AI3596,WeightedMinAge25),MAX(CapacityAge25*'01_Вводные'!$B$218*'19_Расчет_аналитики'!AI3596,MeanMinAge25))),0)</f>
        <v/>
      </c>
      <c r="AJ3552">
        <f>IF('01_Вводные'!$B$234="Да",IF(OR(('19_Расчет_аналитики'!AJ3468-'19_Расчет_аналитики'!AJ3496)=0,25&lt;='01_Вводные'!$B$297),0,('19_Расчет_аналитики'!AJ3468-'19_Расчет_аналитики'!AJ3496)*IF('01_Вводные'!$B$239="Да",MeanMinAge25+'19_Расчет_аналитики'!AJ3596*SUMIF(ThresholdAge25,"&lt;"&amp;'19_Расчет_аналитики'!AJ3596,WeightedRevAge25)-SUMIF(ThresholdAge25,"&lt;"&amp;'19_Расчет_аналитики'!AJ3596,WeightedMinAge25),MAX(CapacityAge25*'01_Вводные'!$B$218*'19_Расчет_аналитики'!AJ3596,MeanMinAge25))),0)</f>
        <v/>
      </c>
      <c r="AK3552">
        <f>IF('01_Вводные'!$B$234="Да",IF(OR(('19_Расчет_аналитики'!AK3468-'19_Расчет_аналитики'!AK3496)=0,25&lt;='01_Вводные'!$B$297),0,('19_Расчет_аналитики'!AK3468-'19_Расчет_аналитики'!AK3496)*IF('01_Вводные'!$B$239="Да",MeanMinAge25+'19_Расчет_аналитики'!AK3596*SUMIF(ThresholdAge25,"&lt;"&amp;'19_Расчет_аналитики'!AK3596,WeightedRevAge25)-SUMIF(ThresholdAge25,"&lt;"&amp;'19_Расчет_аналитики'!AK3596,WeightedMinAge25),MAX(CapacityAge25*'01_Вводные'!$B$218*'19_Расчет_аналитики'!AK3596,MeanMinAge25))),0)</f>
        <v/>
      </c>
      <c r="AL3552">
        <f>IF('01_Вводные'!$B$234="Да",IF(OR(('19_Расчет_аналитики'!AL3468-'19_Расчет_аналитики'!AL3496)=0,25&lt;='01_Вводные'!$B$297),0,('19_Расчет_аналитики'!AL3468-'19_Расчет_аналитики'!AL3496)*IF('01_Вводные'!$B$239="Да",MeanMinAge25+'19_Расчет_аналитики'!AL3596*SUMIF(ThresholdAge25,"&lt;"&amp;'19_Расчет_аналитики'!AL3596,WeightedRevAge25)-SUMIF(ThresholdAge25,"&lt;"&amp;'19_Расчет_аналитики'!AL3596,WeightedMinAge25),MAX(CapacityAge25*'01_Вводные'!$B$218*'19_Расчет_аналитики'!AL3596,MeanMinAge25))),0)</f>
        <v/>
      </c>
      <c r="AM3552">
        <f>IF('01_Вводные'!$B$234="Да",IF(OR(('19_Расчет_аналитики'!AM3468-'19_Расчет_аналитики'!AM3496)=0,25&lt;='01_Вводные'!$B$297),0,('19_Расчет_аналитики'!AM3468-'19_Расчет_аналитики'!AM3496)*IF('01_Вводные'!$B$239="Да",MeanMinAge25+'19_Расчет_аналитики'!AM3596*SUMIF(ThresholdAge25,"&lt;"&amp;'19_Расчет_аналитики'!AM3596,WeightedRevAge25)-SUMIF(ThresholdAge25,"&lt;"&amp;'19_Расчет_аналитики'!AM3596,WeightedMinAge25),MAX(CapacityAge25*'01_Вводные'!$B$218*'19_Расчет_аналитики'!AM3596,MeanMinAge25))),0)</f>
        <v/>
      </c>
      <c r="AN3552">
        <f>IF('01_Вводные'!$B$234="Да",IF(OR(('19_Расчет_аналитики'!AN3468-'19_Расчет_аналитики'!AN3496)=0,25&lt;='01_Вводные'!$B$297),0,('19_Расчет_аналитики'!AN3468-'19_Расчет_аналитики'!AN3496)*IF('01_Вводные'!$B$239="Да",MeanMinAge25+'19_Расчет_аналитики'!AN3596*SUMIF(ThresholdAge25,"&lt;"&amp;'19_Расчет_аналитики'!AN3596,WeightedRevAge25)-SUMIF(ThresholdAge25,"&lt;"&amp;'19_Расчет_аналитики'!AN3596,WeightedMinAge25),MAX(CapacityAge25*'01_Вводные'!$B$218*'19_Расчет_аналитики'!AN3596,MeanMinAge25))),0)</f>
        <v/>
      </c>
      <c r="AO3552">
        <f>IF('01_Вводные'!$B$234="Да",IF(OR(('19_Расчет_аналитики'!AO3468-'19_Расчет_аналитики'!AO3496)=0,25&lt;='01_Вводные'!$B$297),0,('19_Расчет_аналитики'!AO3468-'19_Расчет_аналитики'!AO3496)*IF('01_Вводные'!$B$239="Да",MeanMinAge25+'19_Расчет_аналитики'!AO3596*SUMIF(ThresholdAge25,"&lt;"&amp;'19_Расчет_аналитики'!AO3596,WeightedRevAge25)-SUMIF(ThresholdAge25,"&lt;"&amp;'19_Расчет_аналитики'!AO3596,WeightedMinAge25),MAX(CapacityAge25*'01_Вводные'!$B$218*'19_Расчет_аналитики'!AO3596,MeanMinAge25))),0)</f>
        <v/>
      </c>
      <c r="AP3552">
        <f>IF('01_Вводные'!$B$234="Да",IF(OR(('19_Расчет_аналитики'!AP3468-'19_Расчет_аналитики'!AP3496)=0,25&lt;='01_Вводные'!$B$297),0,('19_Расчет_аналитики'!AP3468-'19_Расчет_аналитики'!AP3496)*IF('01_Вводные'!$B$239="Да",MeanMinAge25+'19_Расчет_аналитики'!AP3596*SUMIF(ThresholdAge25,"&lt;"&amp;'19_Расчет_аналитики'!AP3596,WeightedRevAge25)-SUMIF(ThresholdAge25,"&lt;"&amp;'19_Расчет_аналитики'!AP3596,WeightedMinAge25),MAX(CapacityAge25*'01_Вводные'!$B$218*'19_Расчет_аналитики'!AP3596,MeanMinAge25))),0)</f>
        <v/>
      </c>
      <c r="AQ3552">
        <f>IF('01_Вводные'!$B$234="Да",IF(OR(('19_Расчет_аналитики'!AQ3468-'19_Расчет_аналитики'!AQ3496)=0,25&lt;='01_Вводные'!$B$297),0,('19_Расчет_аналитики'!AQ3468-'19_Расчет_аналитики'!AQ3496)*IF('01_Вводные'!$B$239="Да",MeanMinAge25+'19_Расчет_аналитики'!AQ3596*SUMIF(ThresholdAge25,"&lt;"&amp;'19_Расчет_аналитики'!AQ3596,WeightedRevAge25)-SUMIF(ThresholdAge25,"&lt;"&amp;'19_Расчет_аналитики'!AQ3596,WeightedMinAge25),MAX(CapacityAge25*'01_Вводные'!$B$218*'19_Расчет_аналитики'!AQ3596,MeanMinAge25))),0)</f>
        <v/>
      </c>
      <c r="AR3552">
        <f>IF('01_Вводные'!$B$234="Да",IF(OR(('19_Расчет_аналитики'!AR3468-'19_Расчет_аналитики'!AR3496)=0,25&lt;='01_Вводные'!$B$297),0,('19_Расчет_аналитики'!AR3468-'19_Расчет_аналитики'!AR3496)*IF('01_Вводные'!$B$239="Да",MeanMinAge25+'19_Расчет_аналитики'!AR3596*SUMIF(ThresholdAge25,"&lt;"&amp;'19_Расчет_аналитики'!AR3596,WeightedRevAge25)-SUMIF(ThresholdAge25,"&lt;"&amp;'19_Расчет_аналитики'!AR3596,WeightedMinAge25),MAX(CapacityAge25*'01_Вводные'!$B$218*'19_Расчет_аналитики'!AR3596,MeanMinAge25))),0)</f>
        <v/>
      </c>
      <c r="AS3552">
        <f>IF('01_Вводные'!$B$234="Да",IF(OR(('19_Расчет_аналитики'!AS3468-'19_Расчет_аналитики'!AS3496)=0,25&lt;='01_Вводные'!$B$297),0,('19_Расчет_аналитики'!AS3468-'19_Расчет_аналитики'!AS3496)*IF('01_Вводные'!$B$239="Да",MeanMinAge25+'19_Расчет_аналитики'!AS3596*SUMIF(ThresholdAge25,"&lt;"&amp;'19_Расчет_аналитики'!AS3596,WeightedRevAge25)-SUMIF(ThresholdAge25,"&lt;"&amp;'19_Расчет_аналитики'!AS3596,WeightedMinAge25),MAX(CapacityAge25*'01_Вводные'!$B$218*'19_Расчет_аналитики'!AS3596,MeanMinAge25))),0)</f>
        <v/>
      </c>
      <c r="AT3552">
        <f>IF('01_Вводные'!$B$234="Да",IF(OR(('19_Расчет_аналитики'!AT3468-'19_Расчет_аналитики'!AT3496)=0,25&lt;='01_Вводные'!$B$297),0,('19_Расчет_аналитики'!AT3468-'19_Расчет_аналитики'!AT3496)*IF('01_Вводные'!$B$239="Да",MeanMinAge25+'19_Расчет_аналитики'!AT3596*SUMIF(ThresholdAge25,"&lt;"&amp;'19_Расчет_аналитики'!AT3596,WeightedRevAge25)-SUMIF(ThresholdAge25,"&lt;"&amp;'19_Расчет_аналитики'!AT3596,WeightedMinAge25),MAX(CapacityAge25*'01_Вводные'!$B$218*'19_Расчет_аналитики'!AT3596,MeanMinAge25))),0)</f>
        <v/>
      </c>
      <c r="AU3552">
        <f>IF('01_Вводные'!$B$234="Да",IF(OR(('19_Расчет_аналитики'!AU3468-'19_Расчет_аналитики'!AU3496)=0,25&lt;='01_Вводные'!$B$297),0,('19_Расчет_аналитики'!AU3468-'19_Расчет_аналитики'!AU3496)*IF('01_Вводные'!$B$239="Да",MeanMinAge25+'19_Расчет_аналитики'!AU3596*SUMIF(ThresholdAge25,"&lt;"&amp;'19_Расчет_аналитики'!AU3596,WeightedRevAge25)-SUMIF(ThresholdAge25,"&lt;"&amp;'19_Расчет_аналитики'!AU3596,WeightedMinAge25),MAX(CapacityAge25*'01_Вводные'!$B$218*'19_Расчет_аналитики'!AU3596,MeanMinAge25))),0)</f>
        <v/>
      </c>
      <c r="AV3552">
        <f>IF('01_Вводные'!$B$234="Да",IF(OR(('19_Расчет_аналитики'!AV3468-'19_Расчет_аналитики'!AV3496)=0,25&lt;='01_Вводные'!$B$297),0,('19_Расчет_аналитики'!AV3468-'19_Расчет_аналитики'!AV3496)*IF('01_Вводные'!$B$239="Да",MeanMinAge25+'19_Расчет_аналитики'!AV3596*SUMIF(ThresholdAge25,"&lt;"&amp;'19_Расчет_аналитики'!AV3596,WeightedRevAge25)-SUMIF(ThresholdAge25,"&lt;"&amp;'19_Расчет_аналитики'!AV3596,WeightedMinAge25),MAX(CapacityAge25*'01_Вводные'!$B$218*'19_Расчет_аналитики'!AV3596,MeanMinAge25))),0)</f>
        <v/>
      </c>
      <c r="AW3552">
        <f>IF('01_Вводные'!$B$234="Да",IF(OR(('19_Расчет_аналитики'!AW3468-'19_Расчет_аналитики'!AW3496)=0,25&lt;='01_Вводные'!$B$297),0,('19_Расчет_аналитики'!AW3468-'19_Расчет_аналитики'!AW3496)*IF('01_Вводные'!$B$239="Да",MeanMinAge25+'19_Расчет_аналитики'!AW3596*SUMIF(ThresholdAge25,"&lt;"&amp;'19_Расчет_аналитики'!AW3596,WeightedRevAge25)-SUMIF(ThresholdAge25,"&lt;"&amp;'19_Расчет_аналитики'!AW3596,WeightedMinAge25),MAX(CapacityAge25*'01_Вводные'!$B$218*'19_Расчет_аналитики'!AW3596,MeanMinAge25))),0)</f>
        <v/>
      </c>
      <c r="AX3552">
        <f>IF('01_Вводные'!$B$234="Да",IF(OR(('19_Расчет_аналитики'!AX3468-'19_Расчет_аналитики'!AX3496)=0,25&lt;='01_Вводные'!$B$297),0,('19_Расчет_аналитики'!AX3468-'19_Расчет_аналитики'!AX3496)*IF('01_Вводные'!$B$239="Да",MeanMinAge25+'19_Расчет_аналитики'!AX3596*SUMIF(ThresholdAge25,"&lt;"&amp;'19_Расчет_аналитики'!AX3596,WeightedRevAge25)-SUMIF(ThresholdAge25,"&lt;"&amp;'19_Расчет_аналитики'!AX3596,WeightedMinAge25),MAX(CapacityAge25*'01_Вводные'!$B$218*'19_Расчет_аналитики'!AX3596,MeanMinAge25))),0)</f>
        <v/>
      </c>
      <c r="AY3552">
        <f>IF('01_Вводные'!$B$234="Да",IF(OR(('19_Расчет_аналитики'!AY3468-'19_Расчет_аналитики'!AY3496)=0,25&lt;='01_Вводные'!$B$297),0,('19_Расчет_аналитики'!AY3468-'19_Расчет_аналитики'!AY3496)*IF('01_Вводные'!$B$239="Да",MeanMinAge25+'19_Расчет_аналитики'!AY3596*SUMIF(ThresholdAge25,"&lt;"&amp;'19_Расчет_аналитики'!AY3596,WeightedRevAge25)-SUMIF(ThresholdAge25,"&lt;"&amp;'19_Расчет_аналитики'!AY3596,WeightedMinAge25),MAX(CapacityAge25*'01_Вводные'!$B$218*'19_Расчет_аналитики'!AY3596,MeanMinAge25))),0)</f>
        <v/>
      </c>
      <c r="AZ3552">
        <f>IF('01_Вводные'!$B$234="Да",IF(OR(('19_Расчет_аналитики'!AZ3468-'19_Расчет_аналитики'!AZ3496)=0,25&lt;='01_Вводные'!$B$297),0,('19_Расчет_аналитики'!AZ3468-'19_Расчет_аналитики'!AZ3496)*IF('01_Вводные'!$B$239="Да",MeanMinAge25+'19_Расчет_аналитики'!AZ3596*SUMIF(ThresholdAge25,"&lt;"&amp;'19_Расчет_аналитики'!AZ3596,WeightedRevAge25)-SUMIF(ThresholdAge25,"&lt;"&amp;'19_Расчет_аналитики'!AZ3596,WeightedMinAge25),MAX(CapacityAge25*'01_Вводные'!$B$218*'19_Расчет_аналитики'!AZ3596,MeanMinAge25))),0)</f>
        <v/>
      </c>
      <c r="BA3552">
        <f>IF('01_Вводные'!$B$234="Да",IF(OR(('19_Расчет_аналитики'!BA3468-'19_Расчет_аналитики'!BA3496)=0,25&lt;='01_Вводные'!$B$297),0,('19_Расчет_аналитики'!BA3468-'19_Расчет_аналитики'!BA3496)*IF('01_Вводные'!$B$239="Да",MeanMinAge25+'19_Расчет_аналитики'!BA3596*SUMIF(ThresholdAge25,"&lt;"&amp;'19_Расчет_аналитики'!BA3596,WeightedRevAge25)-SUMIF(ThresholdAge25,"&lt;"&amp;'19_Расчет_аналитики'!BA3596,WeightedMinAge25),MAX(CapacityAge25*'01_Вводные'!$B$218*'19_Расчет_аналитики'!BA3596,MeanMinAge25))),0)</f>
        <v/>
      </c>
      <c r="BB3552">
        <f>IF('01_Вводные'!$B$234="Да",IF(OR(('19_Расчет_аналитики'!BB3468-'19_Расчет_аналитики'!BB3496)=0,25&lt;='01_Вводные'!$B$297),0,('19_Расчет_аналитики'!BB3468-'19_Расчет_аналитики'!BB3496)*IF('01_Вводные'!$B$239="Да",MeanMinAge25+'19_Расчет_аналитики'!BB3596*SUMIF(ThresholdAge25,"&lt;"&amp;'19_Расчет_аналитики'!BB3596,WeightedRevAge25)-SUMIF(ThresholdAge25,"&lt;"&amp;'19_Расчет_аналитики'!BB3596,WeightedMinAge25),MAX(CapacityAge25*'01_Вводные'!$B$218*'19_Расчет_аналитики'!BB3596,MeanMinAge25))),0)</f>
        <v/>
      </c>
      <c r="BC3552">
        <f>IF('01_Вводные'!$B$234="Да",IF(OR(('19_Расчет_аналитики'!BC3468-'19_Расчет_аналитики'!BC3496)=0,25&lt;='01_Вводные'!$B$297),0,('19_Расчет_аналитики'!BC3468-'19_Расчет_аналитики'!BC3496)*IF('01_Вводные'!$B$239="Да",MeanMinAge25+'19_Расчет_аналитики'!BC3596*SUMIF(ThresholdAge25,"&lt;"&amp;'19_Расчет_аналитики'!BC3596,WeightedRevAge25)-SUMIF(ThresholdAge25,"&lt;"&amp;'19_Расчет_аналитики'!BC3596,WeightedMinAge25),MAX(CapacityAge25*'01_Вводные'!$B$218*'19_Расчет_аналитики'!BC3596,MeanMinAge25))),0)</f>
        <v/>
      </c>
      <c r="BD3552">
        <f>IF('01_Вводные'!$B$234="Да",IF(OR(('19_Расчет_аналитики'!BD3468-'19_Расчет_аналитики'!BD3496)=0,25&lt;='01_Вводные'!$B$297),0,('19_Расчет_аналитики'!BD3468-'19_Расчет_аналитики'!BD3496)*IF('01_Вводные'!$B$239="Да",MeanMinAge25+'19_Расчет_аналитики'!BD3596*SUMIF(ThresholdAge25,"&lt;"&amp;'19_Расчет_аналитики'!BD3596,WeightedRevAge25)-SUMIF(ThresholdAge25,"&lt;"&amp;'19_Расчет_аналитики'!BD3596,WeightedMinAge25),MAX(CapacityAge25*'01_Вводные'!$B$218*'19_Расчет_аналитики'!BD3596,MeanMinAge25))),0)</f>
        <v/>
      </c>
      <c r="BE3552">
        <f>IF('01_Вводные'!$B$234="Да",IF(OR(('19_Расчет_аналитики'!BE3468-'19_Расчет_аналитики'!BE3496)=0,25&lt;='01_Вводные'!$B$297),0,('19_Расчет_аналитики'!BE3468-'19_Расчет_аналитики'!BE3496)*IF('01_Вводные'!$B$239="Да",MeanMinAge25+'19_Расчет_аналитики'!BE3596*SUMIF(ThresholdAge25,"&lt;"&amp;'19_Расчет_аналитики'!BE3596,WeightedRevAge25)-SUMIF(ThresholdAge25,"&lt;"&amp;'19_Расчет_аналитики'!BE3596,WeightedMinAge25),MAX(CapacityAge25*'01_Вводные'!$B$218*'19_Расчет_аналитики'!BE3596,MeanMinAge25))),0)</f>
        <v/>
      </c>
      <c r="BF3552">
        <f>IF('01_Вводные'!$B$234="Да",IF(OR(('19_Расчет_аналитики'!BF3468-'19_Расчет_аналитики'!BF3496)=0,25&lt;='01_Вводные'!$B$297),0,('19_Расчет_аналитики'!BF3468-'19_Расчет_аналитики'!BF3496)*IF('01_Вводные'!$B$239="Да",MeanMinAge25+'19_Расчет_аналитики'!BF3596*SUMIF(ThresholdAge25,"&lt;"&amp;'19_Расчет_аналитики'!BF3596,WeightedRevAge25)-SUMIF(ThresholdAge25,"&lt;"&amp;'19_Расчет_аналитики'!BF3596,WeightedMinAge25),MAX(CapacityAge25*'01_Вводные'!$B$218*'19_Расчет_аналитики'!BF3596,MeanMinAge25))),0)</f>
        <v/>
      </c>
      <c r="BG3552">
        <f>IF('01_Вводные'!$B$234="Да",IF(OR(('19_Расчет_аналитики'!BG3468-'19_Расчет_аналитики'!BG3496)=0,25&lt;='01_Вводные'!$B$297),0,('19_Расчет_аналитики'!BG3468-'19_Расчет_аналитики'!BG3496)*IF('01_Вводные'!$B$239="Да",MeanMinAge25+'19_Расчет_аналитики'!BG3596*SUMIF(ThresholdAge25,"&lt;"&amp;'19_Расчет_аналитики'!BG3596,WeightedRevAge25)-SUMIF(ThresholdAge25,"&lt;"&amp;'19_Расчет_аналитики'!BG3596,WeightedMinAge25),MAX(CapacityAge25*'01_Вводные'!$B$218*'19_Расчет_аналитики'!BG3596,MeanMinAge25))),0)</f>
        <v/>
      </c>
      <c r="BH3552">
        <f>IF('01_Вводные'!$B$234="Да",IF(OR(('19_Расчет_аналитики'!BH3468-'19_Расчет_аналитики'!BH3496)=0,25&lt;='01_Вводные'!$B$297),0,('19_Расчет_аналитики'!BH3468-'19_Расчет_аналитики'!BH3496)*IF('01_Вводные'!$B$239="Да",MeanMinAge25+'19_Расчет_аналитики'!BH3596*SUMIF(ThresholdAge25,"&lt;"&amp;'19_Расчет_аналитики'!BH3596,WeightedRevAge25)-SUMIF(ThresholdAge25,"&lt;"&amp;'19_Расчет_аналитики'!BH3596,WeightedMinAge25),MAX(CapacityAge25*'01_Вводные'!$B$218*'19_Расчет_аналитики'!BH3596,MeanMinAge25))),0)</f>
        <v/>
      </c>
      <c r="BI3552">
        <f>IF('01_Вводные'!$B$234="Да",IF(OR(('19_Расчет_аналитики'!BI3468-'19_Расчет_аналитики'!BI3496)=0,25&lt;='01_Вводные'!$B$297),0,('19_Расчет_аналитики'!BI3468-'19_Расчет_аналитики'!BI3496)*IF('01_Вводные'!$B$239="Да",MeanMinAge25+'19_Расчет_аналитики'!BI3596*SUMIF(ThresholdAge25,"&lt;"&amp;'19_Расчет_аналитики'!BI3596,WeightedRevAge25)-SUMIF(ThresholdAge25,"&lt;"&amp;'19_Расчет_аналитики'!BI3596,WeightedMinAge25),MAX(CapacityAge25*'01_Вводные'!$B$218*'19_Расчет_аналитики'!BI3596,MeanMinAge25))),0)</f>
        <v/>
      </c>
      <c r="BJ3552">
        <f>IF('01_Вводные'!$B$234="Да",IF(OR(('19_Расчет_аналитики'!BJ3468-'19_Расчет_аналитики'!BJ3496)=0,25&lt;='01_Вводные'!$B$297),0,('19_Расчет_аналитики'!BJ3468-'19_Расчет_аналитики'!BJ3496)*IF('01_Вводные'!$B$239="Да",MeanMinAge25+'19_Расчет_аналитики'!BJ3596*SUMIF(ThresholdAge25,"&lt;"&amp;'19_Расчет_аналитики'!BJ3596,WeightedRevAge25)-SUMIF(ThresholdAge25,"&lt;"&amp;'19_Расчет_аналитики'!BJ3596,WeightedMinAge25),MAX(CapacityAge25*'01_Вводные'!$B$218*'19_Расчет_аналитики'!BJ3596,MeanMinAge25))),0)</f>
        <v/>
      </c>
      <c r="BK3552">
        <f>IF('01_Вводные'!$B$234="Да",IF(OR(('19_Расчет_аналитики'!BK3468-'19_Расчет_аналитики'!BK3496)=0,25&lt;='01_Вводные'!$B$297),0,('19_Расчет_аналитики'!BK3468-'19_Расчет_аналитики'!BK3496)*IF('01_Вводные'!$B$239="Да",MeanMinAge25+'19_Расчет_аналитики'!BK3596*SUMIF(ThresholdAge25,"&lt;"&amp;'19_Расчет_аналитики'!BK3596,WeightedRevAge25)-SUMIF(ThresholdAge25,"&lt;"&amp;'19_Расчет_аналитики'!BK3596,WeightedMinAge25),MAX(CapacityAge25*'01_Вводные'!$B$218*'19_Расчет_аналитики'!BK3596,MeanMinAge25))),0)</f>
        <v/>
      </c>
      <c r="BL3552">
        <f>IF('01_Вводные'!$B$234="Да",IF(OR(('19_Расчет_аналитики'!BL3468-'19_Расчет_аналитики'!BL3496)=0,25&lt;='01_Вводные'!$B$297),0,('19_Расчет_аналитики'!BL3468-'19_Расчет_аналитики'!BL3496)*IF('01_Вводные'!$B$239="Да",MeanMinAge25+'19_Расчет_аналитики'!BL3596*SUMIF(ThresholdAge25,"&lt;"&amp;'19_Расчет_аналитики'!BL3596,WeightedRevAge25)-SUMIF(ThresholdAge25,"&lt;"&amp;'19_Расчет_аналитики'!BL3596,WeightedMinAge25),MAX(CapacityAge25*'01_Вводные'!$B$218*'19_Расчет_аналитики'!BL3596,MeanMinAge25))),0)</f>
        <v/>
      </c>
      <c r="BM3552">
        <f>IF('01_Вводные'!$B$234="Да",IF(OR(('19_Расчет_аналитики'!BM3468-'19_Расчет_аналитики'!BM3496)=0,25&lt;='01_Вводные'!$B$297),0,('19_Расчет_аналитики'!BM3468-'19_Расчет_аналитики'!BM3496)*IF('01_Вводные'!$B$239="Да",MeanMinAge25+'19_Расчет_аналитики'!BM3596*SUMIF(ThresholdAge25,"&lt;"&amp;'19_Расчет_аналитики'!BM3596,WeightedRevAge25)-SUMIF(ThresholdAge25,"&lt;"&amp;'19_Расчет_аналитики'!BM3596,WeightedMinAge25),MAX(CapacityAge25*'01_Вводные'!$B$218*'19_Расчет_аналитики'!BM3596,MeanMinAge25))),0)</f>
        <v/>
      </c>
      <c r="BN3552">
        <f>IF('01_Вводные'!$B$234="Да",IF(OR(('19_Расчет_аналитики'!BN3468-'19_Расчет_аналитики'!BN3496)=0,25&lt;='01_Вводные'!$B$297),0,('19_Расчет_аналитики'!BN3468-'19_Расчет_аналитики'!BN3496)*IF('01_Вводные'!$B$239="Да",MeanMinAge25+'19_Расчет_аналитики'!BN3596*SUMIF(ThresholdAge25,"&lt;"&amp;'19_Расчет_аналитики'!BN3596,WeightedRevAge25)-SUMIF(ThresholdAge25,"&lt;"&amp;'19_Расчет_аналитики'!BN3596,WeightedMinAge25),MAX(CapacityAge25*'01_Вводные'!$B$218*'19_Расчет_аналитики'!BN3596,MeanMinAge25))),0)</f>
        <v/>
      </c>
      <c r="BO3552">
        <f>IF('01_Вводные'!$B$234="Да",IF(OR(('19_Расчет_аналитики'!BO3468-'19_Расчет_аналитики'!BO3496)=0,25&lt;='01_Вводные'!$B$297),0,('19_Расчет_аналитики'!BO3468-'19_Расчет_аналитики'!BO3496)*IF('01_Вводные'!$B$239="Да",MeanMinAge25+'19_Расчет_аналитики'!BO3596*SUMIF(ThresholdAge25,"&lt;"&amp;'19_Расчет_аналитики'!BO3596,WeightedRevAge25)-SUMIF(ThresholdAge25,"&lt;"&amp;'19_Расчет_аналитики'!BO3596,WeightedMinAge25),MAX(CapacityAge25*'01_Вводные'!$B$218*'19_Расчет_аналитики'!BO3596,MeanMinAge25))),0)</f>
        <v/>
      </c>
    </row>
    <row r="3553"/>
    <row r="3554"/>
    <row r="3555"/>
    <row r="3556">
      <c r="B3556">
        <f>IF('01_Вводные'!$B$234="Да",IF(IF('01_Вводные'!$B$296="Новый сезон",FALSE,FALSE),'19_Расчет_аналитики'!B3444*CapacityAge01*'19_Расчет_аналитики'!$F$3247,0),0)</f>
        <v/>
      </c>
      <c r="C3556">
        <f>IF('01_Вводные'!$B$234="Да",IF(IF('01_Вводные'!$B$296="Новый сезон",FALSE,FALSE),'19_Расчет_аналитики'!C3444*CapacityAge01*'19_Расчет_аналитики'!$F$3247,0),0)</f>
        <v/>
      </c>
      <c r="D3556">
        <f>IF('01_Вводные'!$B$234="Да",IF(IF('01_Вводные'!$B$296="Новый сезон",FALSE,FALSE),'19_Расчет_аналитики'!D3444*CapacityAge01*'19_Расчет_аналитики'!$F$3247,0),0)</f>
        <v/>
      </c>
      <c r="E3556">
        <f>IF('01_Вводные'!$B$234="Да",IF(IF('01_Вводные'!$B$296="Новый сезон",FALSE,FALSE),'19_Расчет_аналитики'!E3444*CapacityAge01*'19_Расчет_аналитики'!$F$3247,0),0)</f>
        <v/>
      </c>
      <c r="F3556">
        <f>IF('01_Вводные'!$B$234="Да",IF(IF('01_Вводные'!$B$296="Новый сезон",FALSE,FALSE),'19_Расчет_аналитики'!F3444*CapacityAge01*'19_Расчет_аналитики'!$F$3247,0),0)</f>
        <v/>
      </c>
      <c r="G3556">
        <f>IF('01_Вводные'!$B$234="Да",IF(IF('01_Вводные'!$B$296="Новый сезон",FALSE,FALSE),'19_Расчет_аналитики'!G3444*CapacityAge01*'19_Расчет_аналитики'!$F$3247,0),0)</f>
        <v/>
      </c>
      <c r="H3556">
        <f>IF('01_Вводные'!$B$234="Да",IF(IF('01_Вводные'!$B$296="Новый сезон",FALSE,FALSE),'19_Расчет_аналитики'!H3444*CapacityAge01*'19_Расчет_аналитики'!$F$3247,0),0)</f>
        <v/>
      </c>
      <c r="I3556">
        <f>IF('01_Вводные'!$B$234="Да",IF(IF('01_Вводные'!$B$296="Новый сезон",FALSE,FALSE),'19_Расчет_аналитики'!I3444*CapacityAge01*'19_Расчет_аналитики'!$F$3247,0),0)</f>
        <v/>
      </c>
      <c r="J3556">
        <f>IF('01_Вводные'!$B$234="Да",IF(IF('01_Вводные'!$B$296="Новый сезон",FALSE,FALSE),'19_Расчет_аналитики'!J3444*CapacityAge01*'19_Расчет_аналитики'!$F$3247,0),0)</f>
        <v/>
      </c>
      <c r="K3556">
        <f>IF('01_Вводные'!$B$234="Да",IF(IF('01_Вводные'!$B$296="Новый сезон",FALSE,FALSE),'19_Расчет_аналитики'!K3444*CapacityAge01*'19_Расчет_аналитики'!$F$3247,0),0)</f>
        <v/>
      </c>
      <c r="L3556">
        <f>IF('01_Вводные'!$B$234="Да",IF(IF('01_Вводные'!$B$296="Новый сезон",FALSE,FALSE),'19_Расчет_аналитики'!L3444*CapacityAge01*'19_Расчет_аналитики'!$F$3247,0),0)</f>
        <v/>
      </c>
      <c r="M3556">
        <f>IF('01_Вводные'!$B$234="Да",IF(IF('01_Вводные'!$B$296="Новый сезон",FALSE,FALSE),'19_Расчет_аналитики'!M3444*CapacityAge01*'19_Расчет_аналитики'!$F$3247,0),0)</f>
        <v/>
      </c>
      <c r="N3556">
        <f>IF('01_Вводные'!$B$234="Да",IF(IF('01_Вводные'!$B$296="Новый сезон",FALSE,FALSE),'19_Расчет_аналитики'!N3444*CapacityAge01*'19_Расчет_аналитики'!$F$3247,0),0)</f>
        <v/>
      </c>
      <c r="O3556">
        <f>IF('01_Вводные'!$B$234="Да",IF(IF('01_Вводные'!$B$296="Новый сезон",FALSE,FALSE),'19_Расчет_аналитики'!O3444*CapacityAge01*'19_Расчет_аналитики'!$F$3247,0),0)</f>
        <v/>
      </c>
      <c r="P3556">
        <f>IF('01_Вводные'!$B$234="Да",IF(IF('01_Вводные'!$B$296="Новый сезон",FALSE,FALSE),'19_Расчет_аналитики'!P3444*CapacityAge01*'19_Расчет_аналитики'!$F$3247,0),0)</f>
        <v/>
      </c>
      <c r="Q3556">
        <f>IF('01_Вводные'!$B$234="Да",IF(IF('01_Вводные'!$B$296="Новый сезон",FALSE,FALSE),'19_Расчет_аналитики'!Q3444*CapacityAge01*'19_Расчет_аналитики'!$F$3247,0),0)</f>
        <v/>
      </c>
      <c r="R3556">
        <f>IF('01_Вводные'!$B$234="Да",IF(IF('01_Вводные'!$B$296="Новый сезон",FALSE,FALSE),'19_Расчет_аналитики'!R3444*CapacityAge01*'19_Расчет_аналитики'!$F$3247,0),0)</f>
        <v/>
      </c>
      <c r="S3556">
        <f>IF('01_Вводные'!$B$234="Да",IF(IF('01_Вводные'!$B$296="Новый сезон",FALSE,FALSE),'19_Расчет_аналитики'!S3444*CapacityAge01*'19_Расчет_аналитики'!$F$3247,0),0)</f>
        <v/>
      </c>
      <c r="T3556">
        <f>IF('01_Вводные'!$B$234="Да",IF(IF('01_Вводные'!$B$296="Новый сезон",FALSE,FALSE),'19_Расчет_аналитики'!T3444*CapacityAge01*'19_Расчет_аналитики'!$F$3247,0),0)</f>
        <v/>
      </c>
      <c r="U3556">
        <f>IF('01_Вводные'!$B$234="Да",IF(IF('01_Вводные'!$B$296="Новый сезон",FALSE,FALSE),'19_Расчет_аналитики'!U3444*CapacityAge01*'19_Расчет_аналитики'!$F$3247,0),0)</f>
        <v/>
      </c>
      <c r="V3556">
        <f>IF('01_Вводные'!$B$234="Да",IF(IF('01_Вводные'!$B$296="Новый сезон",FALSE,FALSE),'19_Расчет_аналитики'!V3444*CapacityAge01*'19_Расчет_аналитики'!$F$3247,0),0)</f>
        <v/>
      </c>
      <c r="W3556">
        <f>IF('01_Вводные'!$B$234="Да",IF(IF('01_Вводные'!$B$296="Новый сезон",FALSE,FALSE),'19_Расчет_аналитики'!W3444*CapacityAge01*'19_Расчет_аналитики'!$F$3247,0),0)</f>
        <v/>
      </c>
      <c r="X3556">
        <f>IF('01_Вводные'!$B$234="Да",IF(IF('01_Вводные'!$B$296="Новый сезон",FALSE,FALSE),'19_Расчет_аналитики'!X3444*CapacityAge01*'19_Расчет_аналитики'!$F$3247,0),0)</f>
        <v/>
      </c>
      <c r="Y3556">
        <f>IF('01_Вводные'!$B$234="Да",IF(IF('01_Вводные'!$B$296="Новый сезон",FALSE,FALSE),'19_Расчет_аналитики'!Y3444*CapacityAge01*'19_Расчет_аналитики'!$F$3247,0),0)</f>
        <v/>
      </c>
      <c r="Z3556">
        <f>IF('01_Вводные'!$B$234="Да",IF(IF('01_Вводные'!$B$296="Новый сезон",FALSE,FALSE),'19_Расчет_аналитики'!Z3444*CapacityAge01*'19_Расчет_аналитики'!$F$3247,0),0)</f>
        <v/>
      </c>
      <c r="AA3556">
        <f>IF('01_Вводные'!$B$234="Да",IF(IF('01_Вводные'!$B$296="Новый сезон",FALSE,FALSE),'19_Расчет_аналитики'!AA3444*CapacityAge01*'19_Расчет_аналитики'!$F$3247,0),0)</f>
        <v/>
      </c>
      <c r="AB3556">
        <f>IF('01_Вводные'!$B$234="Да",IF(IF('01_Вводные'!$B$296="Новый сезон",FALSE,FALSE),'19_Расчет_аналитики'!AB3444*CapacityAge01*'19_Расчет_аналитики'!$F$3247,0),0)</f>
        <v/>
      </c>
      <c r="AC3556">
        <f>IF('01_Вводные'!$B$234="Да",IF(IF('01_Вводные'!$B$296="Новый сезон",FALSE,FALSE),'19_Расчет_аналитики'!AC3444*CapacityAge01*'19_Расчет_аналитики'!$F$3247,0),0)</f>
        <v/>
      </c>
      <c r="AD3556">
        <f>IF('01_Вводные'!$B$234="Да",IF(IF('01_Вводные'!$B$296="Новый сезон",FALSE,FALSE),'19_Расчет_аналитики'!AD3444*CapacityAge01*'19_Расчет_аналитики'!$F$3247,0),0)</f>
        <v/>
      </c>
      <c r="AE3556">
        <f>IF('01_Вводные'!$B$234="Да",IF(IF('01_Вводные'!$B$296="Новый сезон",FALSE,FALSE),'19_Расчет_аналитики'!AE3444*CapacityAge01*'19_Расчет_аналитики'!$F$3247,0),0)</f>
        <v/>
      </c>
      <c r="AF3556">
        <f>IF('01_Вводные'!$B$234="Да",IF(IF('01_Вводные'!$B$296="Новый сезон",FALSE,FALSE),'19_Расчет_аналитики'!AF3444*CapacityAge01*'19_Расчет_аналитики'!$F$3247,0),0)</f>
        <v/>
      </c>
      <c r="AG3556">
        <f>IF('01_Вводные'!$B$234="Да",IF(IF('01_Вводные'!$B$296="Новый сезон",FALSE,FALSE),'19_Расчет_аналитики'!AG3444*CapacityAge01*'19_Расчет_аналитики'!$F$3247,0),0)</f>
        <v/>
      </c>
      <c r="AH3556">
        <f>IF('01_Вводные'!$B$234="Да",IF(IF('01_Вводные'!$B$296="Новый сезон",FALSE,FALSE),'19_Расчет_аналитики'!AH3444*CapacityAge01*'19_Расчет_аналитики'!$F$3247,0),0)</f>
        <v/>
      </c>
      <c r="AI3556">
        <f>IF('01_Вводные'!$B$234="Да",IF(IF('01_Вводные'!$B$296="Новый сезон",FALSE,FALSE),'19_Расчет_аналитики'!AI3444*CapacityAge01*'19_Расчет_аналитики'!$F$3247,0),0)</f>
        <v/>
      </c>
      <c r="AJ3556">
        <f>IF('01_Вводные'!$B$234="Да",IF(IF('01_Вводные'!$B$296="Новый сезон",FALSE,FALSE),'19_Расчет_аналитики'!AJ3444*CapacityAge01*'19_Расчет_аналитики'!$F$3247,0),0)</f>
        <v/>
      </c>
      <c r="AK3556">
        <f>IF('01_Вводные'!$B$234="Да",IF(IF('01_Вводные'!$B$296="Новый сезон",FALSE,FALSE),'19_Расчет_аналитики'!AK3444*CapacityAge01*'19_Расчет_аналитики'!$F$3247,0),0)</f>
        <v/>
      </c>
      <c r="AL3556">
        <f>IF('01_Вводные'!$B$234="Да",IF(IF('01_Вводные'!$B$296="Новый сезон",FALSE,FALSE),'19_Расчет_аналитики'!AL3444*CapacityAge01*'19_Расчет_аналитики'!$F$3247,0),0)</f>
        <v/>
      </c>
      <c r="AM3556">
        <f>IF('01_Вводные'!$B$234="Да",IF(IF('01_Вводные'!$B$296="Новый сезон",FALSE,FALSE),'19_Расчет_аналитики'!AM3444*CapacityAge01*'19_Расчет_аналитики'!$F$3247,0),0)</f>
        <v/>
      </c>
      <c r="AN3556">
        <f>IF('01_Вводные'!$B$234="Да",IF(IF('01_Вводные'!$B$296="Новый сезон",FALSE,FALSE),'19_Расчет_аналитики'!AN3444*CapacityAge01*'19_Расчет_аналитики'!$F$3247,0),0)</f>
        <v/>
      </c>
      <c r="AO3556">
        <f>IF('01_Вводные'!$B$234="Да",IF(IF('01_Вводные'!$B$296="Новый сезон",FALSE,FALSE),'19_Расчет_аналитики'!AO3444*CapacityAge01*'19_Расчет_аналитики'!$F$3247,0),0)</f>
        <v/>
      </c>
      <c r="AP3556">
        <f>IF('01_Вводные'!$B$234="Да",IF(IF('01_Вводные'!$B$296="Новый сезон",FALSE,FALSE),'19_Расчет_аналитики'!AP3444*CapacityAge01*'19_Расчет_аналитики'!$F$3247,0),0)</f>
        <v/>
      </c>
      <c r="AQ3556">
        <f>IF('01_Вводные'!$B$234="Да",IF(IF('01_Вводные'!$B$296="Новый сезон",FALSE,FALSE),'19_Расчет_аналитики'!AQ3444*CapacityAge01*'19_Расчет_аналитики'!$F$3247,0),0)</f>
        <v/>
      </c>
      <c r="AR3556">
        <f>IF('01_Вводные'!$B$234="Да",IF(IF('01_Вводные'!$B$296="Новый сезон",FALSE,FALSE),'19_Расчет_аналитики'!AR3444*CapacityAge01*'19_Расчет_аналитики'!$F$3247,0),0)</f>
        <v/>
      </c>
      <c r="AS3556">
        <f>IF('01_Вводные'!$B$234="Да",IF(IF('01_Вводные'!$B$296="Новый сезон",FALSE,FALSE),'19_Расчет_аналитики'!AS3444*CapacityAge01*'19_Расчет_аналитики'!$F$3247,0),0)</f>
        <v/>
      </c>
      <c r="AT3556">
        <f>IF('01_Вводные'!$B$234="Да",IF(IF('01_Вводные'!$B$296="Новый сезон",FALSE,FALSE),'19_Расчет_аналитики'!AT3444*CapacityAge01*'19_Расчет_аналитики'!$F$3247,0),0)</f>
        <v/>
      </c>
      <c r="AU3556">
        <f>IF('01_Вводные'!$B$234="Да",IF(IF('01_Вводные'!$B$296="Новый сезон",FALSE,FALSE),'19_Расчет_аналитики'!AU3444*CapacityAge01*'19_Расчет_аналитики'!$F$3247,0),0)</f>
        <v/>
      </c>
      <c r="AV3556">
        <f>IF('01_Вводные'!$B$234="Да",IF(IF('01_Вводные'!$B$296="Новый сезон",FALSE,FALSE),'19_Расчет_аналитики'!AV3444*CapacityAge01*'19_Расчет_аналитики'!$F$3247,0),0)</f>
        <v/>
      </c>
      <c r="AW3556">
        <f>IF('01_Вводные'!$B$234="Да",IF(IF('01_Вводные'!$B$296="Новый сезон",FALSE,FALSE),'19_Расчет_аналитики'!AW3444*CapacityAge01*'19_Расчет_аналитики'!$F$3247,0),0)</f>
        <v/>
      </c>
      <c r="AX3556">
        <f>IF('01_Вводные'!$B$234="Да",IF(IF('01_Вводные'!$B$296="Новый сезон",FALSE,FALSE),'19_Расчет_аналитики'!AX3444*CapacityAge01*'19_Расчет_аналитики'!$F$3247,0),0)</f>
        <v/>
      </c>
      <c r="AY3556">
        <f>IF('01_Вводные'!$B$234="Да",IF(IF('01_Вводные'!$B$296="Новый сезон",FALSE,FALSE),'19_Расчет_аналитики'!AY3444*CapacityAge01*'19_Расчет_аналитики'!$F$3247,0),0)</f>
        <v/>
      </c>
      <c r="AZ3556">
        <f>IF('01_Вводные'!$B$234="Да",IF(IF('01_Вводные'!$B$296="Новый сезон",FALSE,FALSE),'19_Расчет_аналитики'!AZ3444*CapacityAge01*'19_Расчет_аналитики'!$F$3247,0),0)</f>
        <v/>
      </c>
      <c r="BA3556">
        <f>IF('01_Вводные'!$B$234="Да",IF(IF('01_Вводные'!$B$296="Новый сезон",FALSE,FALSE),'19_Расчет_аналитики'!BA3444*CapacityAge01*'19_Расчет_аналитики'!$F$3247,0),0)</f>
        <v/>
      </c>
      <c r="BB3556">
        <f>IF('01_Вводные'!$B$234="Да",IF(IF('01_Вводные'!$B$296="Новый сезон",FALSE,FALSE),'19_Расчет_аналитики'!BB3444*CapacityAge01*'19_Расчет_аналитики'!$F$3247,0),0)</f>
        <v/>
      </c>
      <c r="BC3556">
        <f>IF('01_Вводные'!$B$234="Да",IF(IF('01_Вводные'!$B$296="Новый сезон",FALSE,FALSE),'19_Расчет_аналитики'!BC3444*CapacityAge01*'19_Расчет_аналитики'!$F$3247,0),0)</f>
        <v/>
      </c>
      <c r="BD3556">
        <f>IF('01_Вводные'!$B$234="Да",IF(IF('01_Вводные'!$B$296="Новый сезон",FALSE,FALSE),'19_Расчет_аналитики'!BD3444*CapacityAge01*'19_Расчет_аналитики'!$F$3247,0),0)</f>
        <v/>
      </c>
      <c r="BE3556">
        <f>IF('01_Вводные'!$B$234="Да",IF(IF('01_Вводные'!$B$296="Новый сезон",FALSE,FALSE),'19_Расчет_аналитики'!BE3444*CapacityAge01*'19_Расчет_аналитики'!$F$3247,0),0)</f>
        <v/>
      </c>
      <c r="BF3556">
        <f>IF('01_Вводные'!$B$234="Да",IF(IF('01_Вводные'!$B$296="Новый сезон",FALSE,FALSE),'19_Расчет_аналитики'!BF3444*CapacityAge01*'19_Расчет_аналитики'!$F$3247,0),0)</f>
        <v/>
      </c>
      <c r="BG3556">
        <f>IF('01_Вводные'!$B$234="Да",IF(IF('01_Вводные'!$B$296="Новый сезон",FALSE,FALSE),'19_Расчет_аналитики'!BG3444*CapacityAge01*'19_Расчет_аналитики'!$F$3247,0),0)</f>
        <v/>
      </c>
      <c r="BH3556">
        <f>IF('01_Вводные'!$B$234="Да",IF(IF('01_Вводные'!$B$296="Новый сезон",FALSE,FALSE),'19_Расчет_аналитики'!BH3444*CapacityAge01*'19_Расчет_аналитики'!$F$3247,0),0)</f>
        <v/>
      </c>
      <c r="BI3556">
        <f>IF('01_Вводные'!$B$234="Да",IF(IF('01_Вводные'!$B$296="Новый сезон",FALSE,FALSE),'19_Расчет_аналитики'!BI3444*CapacityAge01*'19_Расчет_аналитики'!$F$3247,0),0)</f>
        <v/>
      </c>
      <c r="BJ3556">
        <f>IF('01_Вводные'!$B$234="Да",IF(IF('01_Вводные'!$B$296="Новый сезон",FALSE,FALSE),'19_Расчет_аналитики'!BJ3444*CapacityAge01*'19_Расчет_аналитики'!$F$3247,0),0)</f>
        <v/>
      </c>
      <c r="BK3556">
        <f>IF('01_Вводные'!$B$234="Да",IF(IF('01_Вводные'!$B$296="Новый сезон",FALSE,FALSE),'19_Расчет_аналитики'!BK3444*CapacityAge01*'19_Расчет_аналитики'!$F$3247,0),0)</f>
        <v/>
      </c>
      <c r="BL3556">
        <f>IF('01_Вводные'!$B$234="Да",IF(IF('01_Вводные'!$B$296="Новый сезон",FALSE,FALSE),'19_Расчет_аналитики'!BL3444*CapacityAge01*'19_Расчет_аналитики'!$F$3247,0),0)</f>
        <v/>
      </c>
      <c r="BM3556">
        <f>IF('01_Вводные'!$B$234="Да",IF(IF('01_Вводные'!$B$296="Новый сезон",FALSE,FALSE),'19_Расчет_аналитики'!BM3444*CapacityAge01*'19_Расчет_аналитики'!$F$3247,0),0)</f>
        <v/>
      </c>
      <c r="BN3556">
        <f>IF('01_Вводные'!$B$234="Да",IF(IF('01_Вводные'!$B$296="Новый сезон",FALSE,FALSE),'19_Расчет_аналитики'!BN3444*CapacityAge01*'19_Расчет_аналитики'!$F$3247,0),0)</f>
        <v/>
      </c>
      <c r="BO3556">
        <f>IF('01_Вводные'!$B$234="Да",IF(IF('01_Вводные'!$B$296="Новый сезон",FALSE,FALSE),'19_Расчет_аналитики'!BO3444*CapacityAge01*'19_Расчет_аналитики'!$F$3247,0),0)</f>
        <v/>
      </c>
    </row>
    <row r="3557">
      <c r="B3557">
        <f>IF('01_Вводные'!$B$234="Да",IF(IF('01_Вводные'!$B$296="Новый сезон",FALSE,FALSE),'06_Сеть_и_дети'!B54*CapacityAge02*'19_Расчет_аналитики'!$F$3247,0),0)</f>
        <v/>
      </c>
      <c r="C3557">
        <f>IF('01_Вводные'!$B$234="Да",IF(IF('01_Вводные'!$B$296="Новый сезон",FALSE,FALSE),'19_Расчет_аналитики'!C3445*CapacityAge02*'19_Расчет_аналитики'!$F$3247,0),0)</f>
        <v/>
      </c>
      <c r="D3557">
        <f>IF('01_Вводные'!$B$234="Да",IF(IF('01_Вводные'!$B$296="Новый сезон",FALSE,FALSE),'19_Расчет_аналитики'!D3445*CapacityAge02*'19_Расчет_аналитики'!$F$3247,0),0)</f>
        <v/>
      </c>
      <c r="E3557">
        <f>IF('01_Вводные'!$B$234="Да",IF(IF('01_Вводные'!$B$296="Новый сезон",FALSE,FALSE),'19_Расчет_аналитики'!E3445*CapacityAge02*'19_Расчет_аналитики'!$F$3247,0),0)</f>
        <v/>
      </c>
      <c r="F3557">
        <f>IF('01_Вводные'!$B$234="Да",IF(IF('01_Вводные'!$B$296="Новый сезон",FALSE,FALSE),'19_Расчет_аналитики'!F3445*CapacityAge02*'19_Расчет_аналитики'!$F$3247,0),0)</f>
        <v/>
      </c>
      <c r="G3557">
        <f>IF('01_Вводные'!$B$234="Да",IF(IF('01_Вводные'!$B$296="Новый сезон",FALSE,FALSE),'19_Расчет_аналитики'!G3445*CapacityAge02*'19_Расчет_аналитики'!$F$3247,0),0)</f>
        <v/>
      </c>
      <c r="H3557">
        <f>IF('01_Вводные'!$B$234="Да",IF(IF('01_Вводные'!$B$296="Новый сезон",FALSE,FALSE),'19_Расчет_аналитики'!H3445*CapacityAge02*'19_Расчет_аналитики'!$F$3247,0),0)</f>
        <v/>
      </c>
      <c r="I3557">
        <f>IF('01_Вводные'!$B$234="Да",IF(IF('01_Вводные'!$B$296="Новый сезон",FALSE,FALSE),'19_Расчет_аналитики'!I3445*CapacityAge02*'19_Расчет_аналитики'!$F$3247,0),0)</f>
        <v/>
      </c>
      <c r="J3557">
        <f>IF('01_Вводные'!$B$234="Да",IF(IF('01_Вводные'!$B$296="Новый сезон",FALSE,FALSE),'19_Расчет_аналитики'!J3445*CapacityAge02*'19_Расчет_аналитики'!$F$3247,0),0)</f>
        <v/>
      </c>
      <c r="K3557">
        <f>IF('01_Вводные'!$B$234="Да",IF(IF('01_Вводные'!$B$296="Новый сезон",FALSE,FALSE),'19_Расчет_аналитики'!K3445*CapacityAge02*'19_Расчет_аналитики'!$F$3247,0),0)</f>
        <v/>
      </c>
      <c r="L3557">
        <f>IF('01_Вводные'!$B$234="Да",IF(IF('01_Вводные'!$B$296="Новый сезон",FALSE,FALSE),'19_Расчет_аналитики'!L3445*CapacityAge02*'19_Расчет_аналитики'!$F$3247,0),0)</f>
        <v/>
      </c>
      <c r="M3557">
        <f>IF('01_Вводные'!$B$234="Да",IF(IF('01_Вводные'!$B$296="Новый сезон",FALSE,FALSE),'19_Расчет_аналитики'!M3445*CapacityAge02*'19_Расчет_аналитики'!$F$3247,0),0)</f>
        <v/>
      </c>
      <c r="N3557">
        <f>IF('01_Вводные'!$B$234="Да",IF(IF('01_Вводные'!$B$296="Новый сезон",FALSE,FALSE),'19_Расчет_аналитики'!N3445*CapacityAge02*'19_Расчет_аналитики'!$F$3247,0),0)</f>
        <v/>
      </c>
      <c r="O3557">
        <f>IF('01_Вводные'!$B$234="Да",IF(IF('01_Вводные'!$B$296="Новый сезон",FALSE,FALSE),'19_Расчет_аналитики'!O3445*CapacityAge02*'19_Расчет_аналитики'!$F$3247,0),0)</f>
        <v/>
      </c>
      <c r="P3557">
        <f>IF('01_Вводные'!$B$234="Да",IF(IF('01_Вводные'!$B$296="Новый сезон",FALSE,FALSE),'19_Расчет_аналитики'!P3445*CapacityAge02*'19_Расчет_аналитики'!$F$3247,0),0)</f>
        <v/>
      </c>
      <c r="Q3557">
        <f>IF('01_Вводные'!$B$234="Да",IF(IF('01_Вводные'!$B$296="Новый сезон",FALSE,FALSE),'19_Расчет_аналитики'!Q3445*CapacityAge02*'19_Расчет_аналитики'!$F$3247,0),0)</f>
        <v/>
      </c>
      <c r="R3557">
        <f>IF('01_Вводные'!$B$234="Да",IF(IF('01_Вводные'!$B$296="Новый сезон",FALSE,FALSE),'19_Расчет_аналитики'!R3445*CapacityAge02*'19_Расчет_аналитики'!$F$3247,0),0)</f>
        <v/>
      </c>
      <c r="S3557">
        <f>IF('01_Вводные'!$B$234="Да",IF(IF('01_Вводные'!$B$296="Новый сезон",FALSE,FALSE),'19_Расчет_аналитики'!S3445*CapacityAge02*'19_Расчет_аналитики'!$F$3247,0),0)</f>
        <v/>
      </c>
      <c r="T3557">
        <f>IF('01_Вводные'!$B$234="Да",IF(IF('01_Вводные'!$B$296="Новый сезон",FALSE,FALSE),'19_Расчет_аналитики'!T3445*CapacityAge02*'19_Расчет_аналитики'!$F$3247,0),0)</f>
        <v/>
      </c>
      <c r="U3557">
        <f>IF('01_Вводные'!$B$234="Да",IF(IF('01_Вводные'!$B$296="Новый сезон",FALSE,FALSE),'19_Расчет_аналитики'!U3445*CapacityAge02*'19_Расчет_аналитики'!$F$3247,0),0)</f>
        <v/>
      </c>
      <c r="V3557">
        <f>IF('01_Вводные'!$B$234="Да",IF(IF('01_Вводные'!$B$296="Новый сезон",FALSE,FALSE),'19_Расчет_аналитики'!V3445*CapacityAge02*'19_Расчет_аналитики'!$F$3247,0),0)</f>
        <v/>
      </c>
      <c r="W3557">
        <f>IF('01_Вводные'!$B$234="Да",IF(IF('01_Вводные'!$B$296="Новый сезон",FALSE,FALSE),'19_Расчет_аналитики'!W3445*CapacityAge02*'19_Расчет_аналитики'!$F$3247,0),0)</f>
        <v/>
      </c>
      <c r="X3557">
        <f>IF('01_Вводные'!$B$234="Да",IF(IF('01_Вводные'!$B$296="Новый сезон",FALSE,FALSE),'19_Расчет_аналитики'!X3445*CapacityAge02*'19_Расчет_аналитики'!$F$3247,0),0)</f>
        <v/>
      </c>
      <c r="Y3557">
        <f>IF('01_Вводные'!$B$234="Да",IF(IF('01_Вводные'!$B$296="Новый сезон",FALSE,FALSE),'19_Расчет_аналитики'!Y3445*CapacityAge02*'19_Расчет_аналитики'!$F$3247,0),0)</f>
        <v/>
      </c>
      <c r="Z3557">
        <f>IF('01_Вводные'!$B$234="Да",IF(IF('01_Вводные'!$B$296="Новый сезон",FALSE,FALSE),'19_Расчет_аналитики'!Z3445*CapacityAge02*'19_Расчет_аналитики'!$F$3247,0),0)</f>
        <v/>
      </c>
      <c r="AA3557">
        <f>IF('01_Вводные'!$B$234="Да",IF(IF('01_Вводные'!$B$296="Новый сезон",FALSE,FALSE),'19_Расчет_аналитики'!AA3445*CapacityAge02*'19_Расчет_аналитики'!$F$3247,0),0)</f>
        <v/>
      </c>
      <c r="AB3557">
        <f>IF('01_Вводные'!$B$234="Да",IF(IF('01_Вводные'!$B$296="Новый сезон",FALSE,FALSE),'19_Расчет_аналитики'!AB3445*CapacityAge02*'19_Расчет_аналитики'!$F$3247,0),0)</f>
        <v/>
      </c>
      <c r="AC3557">
        <f>IF('01_Вводные'!$B$234="Да",IF(IF('01_Вводные'!$B$296="Новый сезон",FALSE,FALSE),'19_Расчет_аналитики'!AC3445*CapacityAge02*'19_Расчет_аналитики'!$F$3247,0),0)</f>
        <v/>
      </c>
      <c r="AD3557">
        <f>IF('01_Вводные'!$B$234="Да",IF(IF('01_Вводные'!$B$296="Новый сезон",FALSE,FALSE),'19_Расчет_аналитики'!AD3445*CapacityAge02*'19_Расчет_аналитики'!$F$3247,0),0)</f>
        <v/>
      </c>
      <c r="AE3557">
        <f>IF('01_Вводные'!$B$234="Да",IF(IF('01_Вводные'!$B$296="Новый сезон",FALSE,FALSE),'19_Расчет_аналитики'!AE3445*CapacityAge02*'19_Расчет_аналитики'!$F$3247,0),0)</f>
        <v/>
      </c>
      <c r="AF3557">
        <f>IF('01_Вводные'!$B$234="Да",IF(IF('01_Вводные'!$B$296="Новый сезон",FALSE,FALSE),'19_Расчет_аналитики'!AF3445*CapacityAge02*'19_Расчет_аналитики'!$F$3247,0),0)</f>
        <v/>
      </c>
      <c r="AG3557">
        <f>IF('01_Вводные'!$B$234="Да",IF(IF('01_Вводные'!$B$296="Новый сезон",FALSE,FALSE),'19_Расчет_аналитики'!AG3445*CapacityAge02*'19_Расчет_аналитики'!$F$3247,0),0)</f>
        <v/>
      </c>
      <c r="AH3557">
        <f>IF('01_Вводные'!$B$234="Да",IF(IF('01_Вводные'!$B$296="Новый сезон",FALSE,FALSE),'19_Расчет_аналитики'!AH3445*CapacityAge02*'19_Расчет_аналитики'!$F$3247,0),0)</f>
        <v/>
      </c>
      <c r="AI3557">
        <f>IF('01_Вводные'!$B$234="Да",IF(IF('01_Вводные'!$B$296="Новый сезон",FALSE,FALSE),'19_Расчет_аналитики'!AI3445*CapacityAge02*'19_Расчет_аналитики'!$F$3247,0),0)</f>
        <v/>
      </c>
      <c r="AJ3557">
        <f>IF('01_Вводные'!$B$234="Да",IF(IF('01_Вводные'!$B$296="Новый сезон",FALSE,FALSE),'19_Расчет_аналитики'!AJ3445*CapacityAge02*'19_Расчет_аналитики'!$F$3247,0),0)</f>
        <v/>
      </c>
      <c r="AK3557">
        <f>IF('01_Вводные'!$B$234="Да",IF(IF('01_Вводные'!$B$296="Новый сезон",FALSE,FALSE),'19_Расчет_аналитики'!AK3445*CapacityAge02*'19_Расчет_аналитики'!$F$3247,0),0)</f>
        <v/>
      </c>
      <c r="AL3557">
        <f>IF('01_Вводные'!$B$234="Да",IF(IF('01_Вводные'!$B$296="Новый сезон",FALSE,FALSE),'19_Расчет_аналитики'!AL3445*CapacityAge02*'19_Расчет_аналитики'!$F$3247,0),0)</f>
        <v/>
      </c>
      <c r="AM3557">
        <f>IF('01_Вводные'!$B$234="Да",IF(IF('01_Вводные'!$B$296="Новый сезон",FALSE,FALSE),'19_Расчет_аналитики'!AM3445*CapacityAge02*'19_Расчет_аналитики'!$F$3247,0),0)</f>
        <v/>
      </c>
      <c r="AN3557">
        <f>IF('01_Вводные'!$B$234="Да",IF(IF('01_Вводные'!$B$296="Новый сезон",FALSE,FALSE),'19_Расчет_аналитики'!AN3445*CapacityAge02*'19_Расчет_аналитики'!$F$3247,0),0)</f>
        <v/>
      </c>
      <c r="AO3557">
        <f>IF('01_Вводные'!$B$234="Да",IF(IF('01_Вводные'!$B$296="Новый сезон",FALSE,FALSE),'19_Расчет_аналитики'!AO3445*CapacityAge02*'19_Расчет_аналитики'!$F$3247,0),0)</f>
        <v/>
      </c>
      <c r="AP3557">
        <f>IF('01_Вводные'!$B$234="Да",IF(IF('01_Вводные'!$B$296="Новый сезон",FALSE,FALSE),'19_Расчет_аналитики'!AP3445*CapacityAge02*'19_Расчет_аналитики'!$F$3247,0),0)</f>
        <v/>
      </c>
      <c r="AQ3557">
        <f>IF('01_Вводные'!$B$234="Да",IF(IF('01_Вводные'!$B$296="Новый сезон",FALSE,FALSE),'19_Расчет_аналитики'!AQ3445*CapacityAge02*'19_Расчет_аналитики'!$F$3247,0),0)</f>
        <v/>
      </c>
      <c r="AR3557">
        <f>IF('01_Вводные'!$B$234="Да",IF(IF('01_Вводные'!$B$296="Новый сезон",FALSE,FALSE),'19_Расчет_аналитики'!AR3445*CapacityAge02*'19_Расчет_аналитики'!$F$3247,0),0)</f>
        <v/>
      </c>
      <c r="AS3557">
        <f>IF('01_Вводные'!$B$234="Да",IF(IF('01_Вводные'!$B$296="Новый сезон",FALSE,FALSE),'19_Расчет_аналитики'!AS3445*CapacityAge02*'19_Расчет_аналитики'!$F$3247,0),0)</f>
        <v/>
      </c>
      <c r="AT3557">
        <f>IF('01_Вводные'!$B$234="Да",IF(IF('01_Вводные'!$B$296="Новый сезон",FALSE,FALSE),'19_Расчет_аналитики'!AT3445*CapacityAge02*'19_Расчет_аналитики'!$F$3247,0),0)</f>
        <v/>
      </c>
      <c r="AU3557">
        <f>IF('01_Вводные'!$B$234="Да",IF(IF('01_Вводные'!$B$296="Новый сезон",FALSE,FALSE),'19_Расчет_аналитики'!AU3445*CapacityAge02*'19_Расчет_аналитики'!$F$3247,0),0)</f>
        <v/>
      </c>
      <c r="AV3557">
        <f>IF('01_Вводные'!$B$234="Да",IF(IF('01_Вводные'!$B$296="Новый сезон",FALSE,FALSE),'19_Расчет_аналитики'!AV3445*CapacityAge02*'19_Расчет_аналитики'!$F$3247,0),0)</f>
        <v/>
      </c>
      <c r="AW3557">
        <f>IF('01_Вводные'!$B$234="Да",IF(IF('01_Вводные'!$B$296="Новый сезон",FALSE,FALSE),'19_Расчет_аналитики'!AW3445*CapacityAge02*'19_Расчет_аналитики'!$F$3247,0),0)</f>
        <v/>
      </c>
      <c r="AX3557">
        <f>IF('01_Вводные'!$B$234="Да",IF(IF('01_Вводные'!$B$296="Новый сезон",FALSE,FALSE),'19_Расчет_аналитики'!AX3445*CapacityAge02*'19_Расчет_аналитики'!$F$3247,0),0)</f>
        <v/>
      </c>
      <c r="AY3557">
        <f>IF('01_Вводные'!$B$234="Да",IF(IF('01_Вводные'!$B$296="Новый сезон",FALSE,FALSE),'19_Расчет_аналитики'!AY3445*CapacityAge02*'19_Расчет_аналитики'!$F$3247,0),0)</f>
        <v/>
      </c>
      <c r="AZ3557">
        <f>IF('01_Вводные'!$B$234="Да",IF(IF('01_Вводные'!$B$296="Новый сезон",FALSE,FALSE),'19_Расчет_аналитики'!AZ3445*CapacityAge02*'19_Расчет_аналитики'!$F$3247,0),0)</f>
        <v/>
      </c>
      <c r="BA3557">
        <f>IF('01_Вводные'!$B$234="Да",IF(IF('01_Вводные'!$B$296="Новый сезон",FALSE,FALSE),'19_Расчет_аналитики'!BA3445*CapacityAge02*'19_Расчет_аналитики'!$F$3247,0),0)</f>
        <v/>
      </c>
      <c r="BB3557">
        <f>IF('01_Вводные'!$B$234="Да",IF(IF('01_Вводные'!$B$296="Новый сезон",FALSE,FALSE),'19_Расчет_аналитики'!BB3445*CapacityAge02*'19_Расчет_аналитики'!$F$3247,0),0)</f>
        <v/>
      </c>
      <c r="BC3557">
        <f>IF('01_Вводные'!$B$234="Да",IF(IF('01_Вводные'!$B$296="Новый сезон",FALSE,FALSE),'19_Расчет_аналитики'!BC3445*CapacityAge02*'19_Расчет_аналитики'!$F$3247,0),0)</f>
        <v/>
      </c>
      <c r="BD3557">
        <f>IF('01_Вводные'!$B$234="Да",IF(IF('01_Вводные'!$B$296="Новый сезон",FALSE,FALSE),'19_Расчет_аналитики'!BD3445*CapacityAge02*'19_Расчет_аналитики'!$F$3247,0),0)</f>
        <v/>
      </c>
      <c r="BE3557">
        <f>IF('01_Вводные'!$B$234="Да",IF(IF('01_Вводные'!$B$296="Новый сезон",FALSE,FALSE),'19_Расчет_аналитики'!BE3445*CapacityAge02*'19_Расчет_аналитики'!$F$3247,0),0)</f>
        <v/>
      </c>
      <c r="BF3557">
        <f>IF('01_Вводные'!$B$234="Да",IF(IF('01_Вводные'!$B$296="Новый сезон",FALSE,FALSE),'19_Расчет_аналитики'!BF3445*CapacityAge02*'19_Расчет_аналитики'!$F$3247,0),0)</f>
        <v/>
      </c>
      <c r="BG3557">
        <f>IF('01_Вводные'!$B$234="Да",IF(IF('01_Вводные'!$B$296="Новый сезон",FALSE,FALSE),'19_Расчет_аналитики'!BG3445*CapacityAge02*'19_Расчет_аналитики'!$F$3247,0),0)</f>
        <v/>
      </c>
      <c r="BH3557">
        <f>IF('01_Вводные'!$B$234="Да",IF(IF('01_Вводные'!$B$296="Новый сезон",FALSE,FALSE),'19_Расчет_аналитики'!BH3445*CapacityAge02*'19_Расчет_аналитики'!$F$3247,0),0)</f>
        <v/>
      </c>
      <c r="BI3557">
        <f>IF('01_Вводные'!$B$234="Да",IF(IF('01_Вводные'!$B$296="Новый сезон",FALSE,FALSE),'19_Расчет_аналитики'!BI3445*CapacityAge02*'19_Расчет_аналитики'!$F$3247,0),0)</f>
        <v/>
      </c>
      <c r="BJ3557">
        <f>IF('01_Вводные'!$B$234="Да",IF(IF('01_Вводные'!$B$296="Новый сезон",FALSE,FALSE),'19_Расчет_аналитики'!BJ3445*CapacityAge02*'19_Расчет_аналитики'!$F$3247,0),0)</f>
        <v/>
      </c>
      <c r="BK3557">
        <f>IF('01_Вводные'!$B$234="Да",IF(IF('01_Вводные'!$B$296="Новый сезон",FALSE,FALSE),'19_Расчет_аналитики'!BK3445*CapacityAge02*'19_Расчет_аналитики'!$F$3247,0),0)</f>
        <v/>
      </c>
      <c r="BL3557">
        <f>IF('01_Вводные'!$B$234="Да",IF(IF('01_Вводные'!$B$296="Новый сезон",FALSE,FALSE),'19_Расчет_аналитики'!BL3445*CapacityAge02*'19_Расчет_аналитики'!$F$3247,0),0)</f>
        <v/>
      </c>
      <c r="BM3557">
        <f>IF('01_Вводные'!$B$234="Да",IF(IF('01_Вводные'!$B$296="Новый сезон",FALSE,FALSE),'19_Расчет_аналитики'!BM3445*CapacityAge02*'19_Расчет_аналитики'!$F$3247,0),0)</f>
        <v/>
      </c>
      <c r="BN3557">
        <f>IF('01_Вводные'!$B$234="Да",IF(IF('01_Вводные'!$B$296="Новый сезон",FALSE,FALSE),'19_Расчет_аналитики'!BN3445*CapacityAge02*'19_Расчет_аналитики'!$F$3247,0),0)</f>
        <v/>
      </c>
      <c r="BO3557">
        <f>IF('01_Вводные'!$B$234="Да",IF(IF('01_Вводные'!$B$296="Новый сезон",FALSE,FALSE),'19_Расчет_аналитики'!BO3445*CapacityAge02*'19_Расчет_аналитики'!$F$3247,0),0)</f>
        <v/>
      </c>
    </row>
    <row r="3558">
      <c r="B3558">
        <f>IF('01_Вводные'!$B$234="Да",IF(IF('01_Вводные'!$B$296="Новый сезон",FALSE,FALSE),'06_Сеть_и_дети'!B55*CapacityAge03*'19_Расчет_аналитики'!$F$3247,0),0)</f>
        <v/>
      </c>
      <c r="C3558">
        <f>IF('01_Вводные'!$B$234="Да",IF(IF('01_Вводные'!$B$296="Новый сезон",FALSE,FALSE),'06_Сеть_и_дети'!C55*CapacityAge03*'19_Расчет_аналитики'!$F$3247,0),0)</f>
        <v/>
      </c>
      <c r="D3558">
        <f>IF('01_Вводные'!$B$234="Да",IF(IF('01_Вводные'!$B$296="Новый сезон",FALSE,FALSE),'19_Расчет_аналитики'!D3446*CapacityAge03*'19_Расчет_аналитики'!$F$3247,0),0)</f>
        <v/>
      </c>
      <c r="E3558">
        <f>IF('01_Вводные'!$B$234="Да",IF(IF('01_Вводные'!$B$296="Новый сезон",FALSE,FALSE),'19_Расчет_аналитики'!E3446*CapacityAge03*'19_Расчет_аналитики'!$F$3247,0),0)</f>
        <v/>
      </c>
      <c r="F3558">
        <f>IF('01_Вводные'!$B$234="Да",IF(IF('01_Вводные'!$B$296="Новый сезон",FALSE,FALSE),'19_Расчет_аналитики'!F3446*CapacityAge03*'19_Расчет_аналитики'!$F$3247,0),0)</f>
        <v/>
      </c>
      <c r="G3558">
        <f>IF('01_Вводные'!$B$234="Да",IF(IF('01_Вводные'!$B$296="Новый сезон",FALSE,FALSE),'19_Расчет_аналитики'!G3446*CapacityAge03*'19_Расчет_аналитики'!$F$3247,0),0)</f>
        <v/>
      </c>
      <c r="H3558">
        <f>IF('01_Вводные'!$B$234="Да",IF(IF('01_Вводные'!$B$296="Новый сезон",FALSE,FALSE),'19_Расчет_аналитики'!H3446*CapacityAge03*'19_Расчет_аналитики'!$F$3247,0),0)</f>
        <v/>
      </c>
      <c r="I3558">
        <f>IF('01_Вводные'!$B$234="Да",IF(IF('01_Вводные'!$B$296="Новый сезон",FALSE,FALSE),'19_Расчет_аналитики'!I3446*CapacityAge03*'19_Расчет_аналитики'!$F$3247,0),0)</f>
        <v/>
      </c>
      <c r="J3558">
        <f>IF('01_Вводные'!$B$234="Да",IF(IF('01_Вводные'!$B$296="Новый сезон",FALSE,FALSE),'19_Расчет_аналитики'!J3446*CapacityAge03*'19_Расчет_аналитики'!$F$3247,0),0)</f>
        <v/>
      </c>
      <c r="K3558">
        <f>IF('01_Вводные'!$B$234="Да",IF(IF('01_Вводные'!$B$296="Новый сезон",FALSE,FALSE),'19_Расчет_аналитики'!K3446*CapacityAge03*'19_Расчет_аналитики'!$F$3247,0),0)</f>
        <v/>
      </c>
      <c r="L3558">
        <f>IF('01_Вводные'!$B$234="Да",IF(IF('01_Вводные'!$B$296="Новый сезон",FALSE,FALSE),'19_Расчет_аналитики'!L3446*CapacityAge03*'19_Расчет_аналитики'!$F$3247,0),0)</f>
        <v/>
      </c>
      <c r="M3558">
        <f>IF('01_Вводные'!$B$234="Да",IF(IF('01_Вводные'!$B$296="Новый сезон",FALSE,FALSE),'19_Расчет_аналитики'!M3446*CapacityAge03*'19_Расчет_аналитики'!$F$3247,0),0)</f>
        <v/>
      </c>
      <c r="N3558">
        <f>IF('01_Вводные'!$B$234="Да",IF(IF('01_Вводные'!$B$296="Новый сезон",FALSE,FALSE),'19_Расчет_аналитики'!N3446*CapacityAge03*'19_Расчет_аналитики'!$F$3247,0),0)</f>
        <v/>
      </c>
      <c r="O3558">
        <f>IF('01_Вводные'!$B$234="Да",IF(IF('01_Вводные'!$B$296="Новый сезон",FALSE,FALSE),'19_Расчет_аналитики'!O3446*CapacityAge03*'19_Расчет_аналитики'!$F$3247,0),0)</f>
        <v/>
      </c>
      <c r="P3558">
        <f>IF('01_Вводные'!$B$234="Да",IF(IF('01_Вводные'!$B$296="Новый сезон",FALSE,FALSE),'19_Расчет_аналитики'!P3446*CapacityAge03*'19_Расчет_аналитики'!$F$3247,0),0)</f>
        <v/>
      </c>
      <c r="Q3558">
        <f>IF('01_Вводные'!$B$234="Да",IF(IF('01_Вводные'!$B$296="Новый сезон",FALSE,FALSE),'19_Расчет_аналитики'!Q3446*CapacityAge03*'19_Расчет_аналитики'!$F$3247,0),0)</f>
        <v/>
      </c>
      <c r="R3558">
        <f>IF('01_Вводные'!$B$234="Да",IF(IF('01_Вводные'!$B$296="Новый сезон",FALSE,FALSE),'19_Расчет_аналитики'!R3446*CapacityAge03*'19_Расчет_аналитики'!$F$3247,0),0)</f>
        <v/>
      </c>
      <c r="S3558">
        <f>IF('01_Вводные'!$B$234="Да",IF(IF('01_Вводные'!$B$296="Новый сезон",FALSE,FALSE),'19_Расчет_аналитики'!S3446*CapacityAge03*'19_Расчет_аналитики'!$F$3247,0),0)</f>
        <v/>
      </c>
      <c r="T3558">
        <f>IF('01_Вводные'!$B$234="Да",IF(IF('01_Вводные'!$B$296="Новый сезон",FALSE,FALSE),'19_Расчет_аналитики'!T3446*CapacityAge03*'19_Расчет_аналитики'!$F$3247,0),0)</f>
        <v/>
      </c>
      <c r="U3558">
        <f>IF('01_Вводные'!$B$234="Да",IF(IF('01_Вводные'!$B$296="Новый сезон",FALSE,FALSE),'19_Расчет_аналитики'!U3446*CapacityAge03*'19_Расчет_аналитики'!$F$3247,0),0)</f>
        <v/>
      </c>
      <c r="V3558">
        <f>IF('01_Вводные'!$B$234="Да",IF(IF('01_Вводные'!$B$296="Новый сезон",FALSE,FALSE),'19_Расчет_аналитики'!V3446*CapacityAge03*'19_Расчет_аналитики'!$F$3247,0),0)</f>
        <v/>
      </c>
      <c r="W3558">
        <f>IF('01_Вводные'!$B$234="Да",IF(IF('01_Вводные'!$B$296="Новый сезон",FALSE,FALSE),'19_Расчет_аналитики'!W3446*CapacityAge03*'19_Расчет_аналитики'!$F$3247,0),0)</f>
        <v/>
      </c>
      <c r="X3558">
        <f>IF('01_Вводные'!$B$234="Да",IF(IF('01_Вводные'!$B$296="Новый сезон",FALSE,FALSE),'19_Расчет_аналитики'!X3446*CapacityAge03*'19_Расчет_аналитики'!$F$3247,0),0)</f>
        <v/>
      </c>
      <c r="Y3558">
        <f>IF('01_Вводные'!$B$234="Да",IF(IF('01_Вводные'!$B$296="Новый сезон",FALSE,FALSE),'19_Расчет_аналитики'!Y3446*CapacityAge03*'19_Расчет_аналитики'!$F$3247,0),0)</f>
        <v/>
      </c>
      <c r="Z3558">
        <f>IF('01_Вводные'!$B$234="Да",IF(IF('01_Вводные'!$B$296="Новый сезон",FALSE,FALSE),'19_Расчет_аналитики'!Z3446*CapacityAge03*'19_Расчет_аналитики'!$F$3247,0),0)</f>
        <v/>
      </c>
      <c r="AA3558">
        <f>IF('01_Вводные'!$B$234="Да",IF(IF('01_Вводные'!$B$296="Новый сезон",FALSE,FALSE),'19_Расчет_аналитики'!AA3446*CapacityAge03*'19_Расчет_аналитики'!$F$3247,0),0)</f>
        <v/>
      </c>
      <c r="AB3558">
        <f>IF('01_Вводные'!$B$234="Да",IF(IF('01_Вводные'!$B$296="Новый сезон",FALSE,FALSE),'19_Расчет_аналитики'!AB3446*CapacityAge03*'19_Расчет_аналитики'!$F$3247,0),0)</f>
        <v/>
      </c>
      <c r="AC3558">
        <f>IF('01_Вводные'!$B$234="Да",IF(IF('01_Вводные'!$B$296="Новый сезон",FALSE,FALSE),'19_Расчет_аналитики'!AC3446*CapacityAge03*'19_Расчет_аналитики'!$F$3247,0),0)</f>
        <v/>
      </c>
      <c r="AD3558">
        <f>IF('01_Вводные'!$B$234="Да",IF(IF('01_Вводные'!$B$296="Новый сезон",FALSE,FALSE),'19_Расчет_аналитики'!AD3446*CapacityAge03*'19_Расчет_аналитики'!$F$3247,0),0)</f>
        <v/>
      </c>
      <c r="AE3558">
        <f>IF('01_Вводные'!$B$234="Да",IF(IF('01_Вводные'!$B$296="Новый сезон",FALSE,FALSE),'19_Расчет_аналитики'!AE3446*CapacityAge03*'19_Расчет_аналитики'!$F$3247,0),0)</f>
        <v/>
      </c>
      <c r="AF3558">
        <f>IF('01_Вводные'!$B$234="Да",IF(IF('01_Вводные'!$B$296="Новый сезон",FALSE,FALSE),'19_Расчет_аналитики'!AF3446*CapacityAge03*'19_Расчет_аналитики'!$F$3247,0),0)</f>
        <v/>
      </c>
      <c r="AG3558">
        <f>IF('01_Вводные'!$B$234="Да",IF(IF('01_Вводные'!$B$296="Новый сезон",FALSE,FALSE),'19_Расчет_аналитики'!AG3446*CapacityAge03*'19_Расчет_аналитики'!$F$3247,0),0)</f>
        <v/>
      </c>
      <c r="AH3558">
        <f>IF('01_Вводные'!$B$234="Да",IF(IF('01_Вводные'!$B$296="Новый сезон",FALSE,FALSE),'19_Расчет_аналитики'!AH3446*CapacityAge03*'19_Расчет_аналитики'!$F$3247,0),0)</f>
        <v/>
      </c>
      <c r="AI3558">
        <f>IF('01_Вводные'!$B$234="Да",IF(IF('01_Вводные'!$B$296="Новый сезон",FALSE,FALSE),'19_Расчет_аналитики'!AI3446*CapacityAge03*'19_Расчет_аналитики'!$F$3247,0),0)</f>
        <v/>
      </c>
      <c r="AJ3558">
        <f>IF('01_Вводные'!$B$234="Да",IF(IF('01_Вводные'!$B$296="Новый сезон",FALSE,FALSE),'19_Расчет_аналитики'!AJ3446*CapacityAge03*'19_Расчет_аналитики'!$F$3247,0),0)</f>
        <v/>
      </c>
      <c r="AK3558">
        <f>IF('01_Вводные'!$B$234="Да",IF(IF('01_Вводные'!$B$296="Новый сезон",FALSE,FALSE),'19_Расчет_аналитики'!AK3446*CapacityAge03*'19_Расчет_аналитики'!$F$3247,0),0)</f>
        <v/>
      </c>
      <c r="AL3558">
        <f>IF('01_Вводные'!$B$234="Да",IF(IF('01_Вводные'!$B$296="Новый сезон",FALSE,FALSE),'19_Расчет_аналитики'!AL3446*CapacityAge03*'19_Расчет_аналитики'!$F$3247,0),0)</f>
        <v/>
      </c>
      <c r="AM3558">
        <f>IF('01_Вводные'!$B$234="Да",IF(IF('01_Вводные'!$B$296="Новый сезон",FALSE,FALSE),'19_Расчет_аналитики'!AM3446*CapacityAge03*'19_Расчет_аналитики'!$F$3247,0),0)</f>
        <v/>
      </c>
      <c r="AN3558">
        <f>IF('01_Вводные'!$B$234="Да",IF(IF('01_Вводные'!$B$296="Новый сезон",FALSE,FALSE),'19_Расчет_аналитики'!AN3446*CapacityAge03*'19_Расчет_аналитики'!$F$3247,0),0)</f>
        <v/>
      </c>
      <c r="AO3558">
        <f>IF('01_Вводные'!$B$234="Да",IF(IF('01_Вводные'!$B$296="Новый сезон",FALSE,FALSE),'19_Расчет_аналитики'!AO3446*CapacityAge03*'19_Расчет_аналитики'!$F$3247,0),0)</f>
        <v/>
      </c>
      <c r="AP3558">
        <f>IF('01_Вводные'!$B$234="Да",IF(IF('01_Вводные'!$B$296="Новый сезон",FALSE,FALSE),'19_Расчет_аналитики'!AP3446*CapacityAge03*'19_Расчет_аналитики'!$F$3247,0),0)</f>
        <v/>
      </c>
      <c r="AQ3558">
        <f>IF('01_Вводные'!$B$234="Да",IF(IF('01_Вводные'!$B$296="Новый сезон",FALSE,FALSE),'19_Расчет_аналитики'!AQ3446*CapacityAge03*'19_Расчет_аналитики'!$F$3247,0),0)</f>
        <v/>
      </c>
      <c r="AR3558">
        <f>IF('01_Вводные'!$B$234="Да",IF(IF('01_Вводные'!$B$296="Новый сезон",FALSE,FALSE),'19_Расчет_аналитики'!AR3446*CapacityAge03*'19_Расчет_аналитики'!$F$3247,0),0)</f>
        <v/>
      </c>
      <c r="AS3558">
        <f>IF('01_Вводные'!$B$234="Да",IF(IF('01_Вводные'!$B$296="Новый сезон",FALSE,FALSE),'19_Расчет_аналитики'!AS3446*CapacityAge03*'19_Расчет_аналитики'!$F$3247,0),0)</f>
        <v/>
      </c>
      <c r="AT3558">
        <f>IF('01_Вводные'!$B$234="Да",IF(IF('01_Вводные'!$B$296="Новый сезон",FALSE,FALSE),'19_Расчет_аналитики'!AT3446*CapacityAge03*'19_Расчет_аналитики'!$F$3247,0),0)</f>
        <v/>
      </c>
      <c r="AU3558">
        <f>IF('01_Вводные'!$B$234="Да",IF(IF('01_Вводные'!$B$296="Новый сезон",FALSE,FALSE),'19_Расчет_аналитики'!AU3446*CapacityAge03*'19_Расчет_аналитики'!$F$3247,0),0)</f>
        <v/>
      </c>
      <c r="AV3558">
        <f>IF('01_Вводные'!$B$234="Да",IF(IF('01_Вводные'!$B$296="Новый сезон",FALSE,FALSE),'19_Расчет_аналитики'!AV3446*CapacityAge03*'19_Расчет_аналитики'!$F$3247,0),0)</f>
        <v/>
      </c>
      <c r="AW3558">
        <f>IF('01_Вводные'!$B$234="Да",IF(IF('01_Вводные'!$B$296="Новый сезон",FALSE,FALSE),'19_Расчет_аналитики'!AW3446*CapacityAge03*'19_Расчет_аналитики'!$F$3247,0),0)</f>
        <v/>
      </c>
      <c r="AX3558">
        <f>IF('01_Вводные'!$B$234="Да",IF(IF('01_Вводные'!$B$296="Новый сезон",FALSE,FALSE),'19_Расчет_аналитики'!AX3446*CapacityAge03*'19_Расчет_аналитики'!$F$3247,0),0)</f>
        <v/>
      </c>
      <c r="AY3558">
        <f>IF('01_Вводные'!$B$234="Да",IF(IF('01_Вводные'!$B$296="Новый сезон",FALSE,FALSE),'19_Расчет_аналитики'!AY3446*CapacityAge03*'19_Расчет_аналитики'!$F$3247,0),0)</f>
        <v/>
      </c>
      <c r="AZ3558">
        <f>IF('01_Вводные'!$B$234="Да",IF(IF('01_Вводные'!$B$296="Новый сезон",FALSE,FALSE),'19_Расчет_аналитики'!AZ3446*CapacityAge03*'19_Расчет_аналитики'!$F$3247,0),0)</f>
        <v/>
      </c>
      <c r="BA3558">
        <f>IF('01_Вводные'!$B$234="Да",IF(IF('01_Вводные'!$B$296="Новый сезон",FALSE,FALSE),'19_Расчет_аналитики'!BA3446*CapacityAge03*'19_Расчет_аналитики'!$F$3247,0),0)</f>
        <v/>
      </c>
      <c r="BB3558">
        <f>IF('01_Вводные'!$B$234="Да",IF(IF('01_Вводные'!$B$296="Новый сезон",FALSE,FALSE),'19_Расчет_аналитики'!BB3446*CapacityAge03*'19_Расчет_аналитики'!$F$3247,0),0)</f>
        <v/>
      </c>
      <c r="BC3558">
        <f>IF('01_Вводные'!$B$234="Да",IF(IF('01_Вводные'!$B$296="Новый сезон",FALSE,FALSE),'19_Расчет_аналитики'!BC3446*CapacityAge03*'19_Расчет_аналитики'!$F$3247,0),0)</f>
        <v/>
      </c>
      <c r="BD3558">
        <f>IF('01_Вводные'!$B$234="Да",IF(IF('01_Вводные'!$B$296="Новый сезон",FALSE,FALSE),'19_Расчет_аналитики'!BD3446*CapacityAge03*'19_Расчет_аналитики'!$F$3247,0),0)</f>
        <v/>
      </c>
      <c r="BE3558">
        <f>IF('01_Вводные'!$B$234="Да",IF(IF('01_Вводные'!$B$296="Новый сезон",FALSE,FALSE),'19_Расчет_аналитики'!BE3446*CapacityAge03*'19_Расчет_аналитики'!$F$3247,0),0)</f>
        <v/>
      </c>
      <c r="BF3558">
        <f>IF('01_Вводные'!$B$234="Да",IF(IF('01_Вводные'!$B$296="Новый сезон",FALSE,FALSE),'19_Расчет_аналитики'!BF3446*CapacityAge03*'19_Расчет_аналитики'!$F$3247,0),0)</f>
        <v/>
      </c>
      <c r="BG3558">
        <f>IF('01_Вводные'!$B$234="Да",IF(IF('01_Вводные'!$B$296="Новый сезон",FALSE,FALSE),'19_Расчет_аналитики'!BG3446*CapacityAge03*'19_Расчет_аналитики'!$F$3247,0),0)</f>
        <v/>
      </c>
      <c r="BH3558">
        <f>IF('01_Вводные'!$B$234="Да",IF(IF('01_Вводные'!$B$296="Новый сезон",FALSE,FALSE),'19_Расчет_аналитики'!BH3446*CapacityAge03*'19_Расчет_аналитики'!$F$3247,0),0)</f>
        <v/>
      </c>
      <c r="BI3558">
        <f>IF('01_Вводные'!$B$234="Да",IF(IF('01_Вводные'!$B$296="Новый сезон",FALSE,FALSE),'19_Расчет_аналитики'!BI3446*CapacityAge03*'19_Расчет_аналитики'!$F$3247,0),0)</f>
        <v/>
      </c>
      <c r="BJ3558">
        <f>IF('01_Вводные'!$B$234="Да",IF(IF('01_Вводные'!$B$296="Новый сезон",FALSE,FALSE),'19_Расчет_аналитики'!BJ3446*CapacityAge03*'19_Расчет_аналитики'!$F$3247,0),0)</f>
        <v/>
      </c>
      <c r="BK3558">
        <f>IF('01_Вводные'!$B$234="Да",IF(IF('01_Вводные'!$B$296="Новый сезон",FALSE,FALSE),'19_Расчет_аналитики'!BK3446*CapacityAge03*'19_Расчет_аналитики'!$F$3247,0),0)</f>
        <v/>
      </c>
      <c r="BL3558">
        <f>IF('01_Вводные'!$B$234="Да",IF(IF('01_Вводные'!$B$296="Новый сезон",FALSE,FALSE),'19_Расчет_аналитики'!BL3446*CapacityAge03*'19_Расчет_аналитики'!$F$3247,0),0)</f>
        <v/>
      </c>
      <c r="BM3558">
        <f>IF('01_Вводные'!$B$234="Да",IF(IF('01_Вводные'!$B$296="Новый сезон",FALSE,FALSE),'19_Расчет_аналитики'!BM3446*CapacityAge03*'19_Расчет_аналитики'!$F$3247,0),0)</f>
        <v/>
      </c>
      <c r="BN3558">
        <f>IF('01_Вводные'!$B$234="Да",IF(IF('01_Вводные'!$B$296="Новый сезон",FALSE,FALSE),'19_Расчет_аналитики'!BN3446*CapacityAge03*'19_Расчет_аналитики'!$F$3247,0),0)</f>
        <v/>
      </c>
      <c r="BO3558">
        <f>IF('01_Вводные'!$B$234="Да",IF(IF('01_Вводные'!$B$296="Новый сезон",FALSE,FALSE),'19_Расчет_аналитики'!BO3446*CapacityAge03*'19_Расчет_аналитики'!$F$3247,0),0)</f>
        <v/>
      </c>
    </row>
    <row r="3559">
      <c r="B3559">
        <f>IF('01_Вводные'!$B$234="Да",IF(IF('01_Вводные'!$B$296="Новый сезон",FALSE,FALSE),'06_Сеть_и_дети'!B56*CapacityAge04*'19_Расчет_аналитики'!$F$3247,0),0)</f>
        <v/>
      </c>
      <c r="C3559">
        <f>IF('01_Вводные'!$B$234="Да",IF(IF('01_Вводные'!$B$296="Новый сезон",FALSE,FALSE),'06_Сеть_и_дети'!C56*CapacityAge04*'19_Расчет_аналитики'!$F$3247,0),0)</f>
        <v/>
      </c>
      <c r="D3559">
        <f>IF('01_Вводные'!$B$234="Да",IF(IF('01_Вводные'!$B$296="Новый сезон",FALSE,FALSE),'06_Сеть_и_дети'!D56*CapacityAge04*'19_Расчет_аналитики'!$F$3247,0),0)</f>
        <v/>
      </c>
      <c r="E3559">
        <f>IF('01_Вводные'!$B$234="Да",IF(IF('01_Вводные'!$B$296="Новый сезон",FALSE,FALSE),'19_Расчет_аналитики'!E3447*CapacityAge04*'19_Расчет_аналитики'!$F$3247,0),0)</f>
        <v/>
      </c>
      <c r="F3559">
        <f>IF('01_Вводные'!$B$234="Да",IF(IF('01_Вводные'!$B$296="Новый сезон",FALSE,FALSE),'19_Расчет_аналитики'!F3447*CapacityAge04*'19_Расчет_аналитики'!$F$3247,0),0)</f>
        <v/>
      </c>
      <c r="G3559">
        <f>IF('01_Вводные'!$B$234="Да",IF(IF('01_Вводные'!$B$296="Новый сезон",FALSE,FALSE),'19_Расчет_аналитики'!G3447*CapacityAge04*'19_Расчет_аналитики'!$F$3247,0),0)</f>
        <v/>
      </c>
      <c r="H3559">
        <f>IF('01_Вводные'!$B$234="Да",IF(IF('01_Вводные'!$B$296="Новый сезон",FALSE,FALSE),'19_Расчет_аналитики'!H3447*CapacityAge04*'19_Расчет_аналитики'!$F$3247,0),0)</f>
        <v/>
      </c>
      <c r="I3559">
        <f>IF('01_Вводные'!$B$234="Да",IF(IF('01_Вводные'!$B$296="Новый сезон",FALSE,FALSE),'19_Расчет_аналитики'!I3447*CapacityAge04*'19_Расчет_аналитики'!$F$3247,0),0)</f>
        <v/>
      </c>
      <c r="J3559">
        <f>IF('01_Вводные'!$B$234="Да",IF(IF('01_Вводные'!$B$296="Новый сезон",FALSE,FALSE),'19_Расчет_аналитики'!J3447*CapacityAge04*'19_Расчет_аналитики'!$F$3247,0),0)</f>
        <v/>
      </c>
      <c r="K3559">
        <f>IF('01_Вводные'!$B$234="Да",IF(IF('01_Вводные'!$B$296="Новый сезон",FALSE,FALSE),'19_Расчет_аналитики'!K3447*CapacityAge04*'19_Расчет_аналитики'!$F$3247,0),0)</f>
        <v/>
      </c>
      <c r="L3559">
        <f>IF('01_Вводные'!$B$234="Да",IF(IF('01_Вводные'!$B$296="Новый сезон",FALSE,FALSE),'19_Расчет_аналитики'!L3447*CapacityAge04*'19_Расчет_аналитики'!$F$3247,0),0)</f>
        <v/>
      </c>
      <c r="M3559">
        <f>IF('01_Вводные'!$B$234="Да",IF(IF('01_Вводные'!$B$296="Новый сезон",FALSE,FALSE),'19_Расчет_аналитики'!M3447*CapacityAge04*'19_Расчет_аналитики'!$F$3247,0),0)</f>
        <v/>
      </c>
      <c r="N3559">
        <f>IF('01_Вводные'!$B$234="Да",IF(IF('01_Вводные'!$B$296="Новый сезон",FALSE,FALSE),'19_Расчет_аналитики'!N3447*CapacityAge04*'19_Расчет_аналитики'!$F$3247,0),0)</f>
        <v/>
      </c>
      <c r="O3559">
        <f>IF('01_Вводные'!$B$234="Да",IF(IF('01_Вводные'!$B$296="Новый сезон",FALSE,FALSE),'19_Расчет_аналитики'!O3447*CapacityAge04*'19_Расчет_аналитики'!$F$3247,0),0)</f>
        <v/>
      </c>
      <c r="P3559">
        <f>IF('01_Вводные'!$B$234="Да",IF(IF('01_Вводные'!$B$296="Новый сезон",FALSE,FALSE),'19_Расчет_аналитики'!P3447*CapacityAge04*'19_Расчет_аналитики'!$F$3247,0),0)</f>
        <v/>
      </c>
      <c r="Q3559">
        <f>IF('01_Вводные'!$B$234="Да",IF(IF('01_Вводные'!$B$296="Новый сезон",FALSE,FALSE),'19_Расчет_аналитики'!Q3447*CapacityAge04*'19_Расчет_аналитики'!$F$3247,0),0)</f>
        <v/>
      </c>
      <c r="R3559">
        <f>IF('01_Вводные'!$B$234="Да",IF(IF('01_Вводные'!$B$296="Новый сезон",FALSE,FALSE),'19_Расчет_аналитики'!R3447*CapacityAge04*'19_Расчет_аналитики'!$F$3247,0),0)</f>
        <v/>
      </c>
      <c r="S3559">
        <f>IF('01_Вводные'!$B$234="Да",IF(IF('01_Вводные'!$B$296="Новый сезон",FALSE,FALSE),'19_Расчет_аналитики'!S3447*CapacityAge04*'19_Расчет_аналитики'!$F$3247,0),0)</f>
        <v/>
      </c>
      <c r="T3559">
        <f>IF('01_Вводные'!$B$234="Да",IF(IF('01_Вводные'!$B$296="Новый сезон",FALSE,FALSE),'19_Расчет_аналитики'!T3447*CapacityAge04*'19_Расчет_аналитики'!$F$3247,0),0)</f>
        <v/>
      </c>
      <c r="U3559">
        <f>IF('01_Вводные'!$B$234="Да",IF(IF('01_Вводные'!$B$296="Новый сезон",FALSE,FALSE),'19_Расчет_аналитики'!U3447*CapacityAge04*'19_Расчет_аналитики'!$F$3247,0),0)</f>
        <v/>
      </c>
      <c r="V3559">
        <f>IF('01_Вводные'!$B$234="Да",IF(IF('01_Вводные'!$B$296="Новый сезон",FALSE,FALSE),'19_Расчет_аналитики'!V3447*CapacityAge04*'19_Расчет_аналитики'!$F$3247,0),0)</f>
        <v/>
      </c>
      <c r="W3559">
        <f>IF('01_Вводные'!$B$234="Да",IF(IF('01_Вводные'!$B$296="Новый сезон",FALSE,FALSE),'19_Расчет_аналитики'!W3447*CapacityAge04*'19_Расчет_аналитики'!$F$3247,0),0)</f>
        <v/>
      </c>
      <c r="X3559">
        <f>IF('01_Вводные'!$B$234="Да",IF(IF('01_Вводные'!$B$296="Новый сезон",FALSE,FALSE),'19_Расчет_аналитики'!X3447*CapacityAge04*'19_Расчет_аналитики'!$F$3247,0),0)</f>
        <v/>
      </c>
      <c r="Y3559">
        <f>IF('01_Вводные'!$B$234="Да",IF(IF('01_Вводные'!$B$296="Новый сезон",FALSE,FALSE),'19_Расчет_аналитики'!Y3447*CapacityAge04*'19_Расчет_аналитики'!$F$3247,0),0)</f>
        <v/>
      </c>
      <c r="Z3559">
        <f>IF('01_Вводные'!$B$234="Да",IF(IF('01_Вводные'!$B$296="Новый сезон",FALSE,FALSE),'19_Расчет_аналитики'!Z3447*CapacityAge04*'19_Расчет_аналитики'!$F$3247,0),0)</f>
        <v/>
      </c>
      <c r="AA3559">
        <f>IF('01_Вводные'!$B$234="Да",IF(IF('01_Вводные'!$B$296="Новый сезон",FALSE,FALSE),'19_Расчет_аналитики'!AA3447*CapacityAge04*'19_Расчет_аналитики'!$F$3247,0),0)</f>
        <v/>
      </c>
      <c r="AB3559">
        <f>IF('01_Вводные'!$B$234="Да",IF(IF('01_Вводные'!$B$296="Новый сезон",FALSE,FALSE),'19_Расчет_аналитики'!AB3447*CapacityAge04*'19_Расчет_аналитики'!$F$3247,0),0)</f>
        <v/>
      </c>
      <c r="AC3559">
        <f>IF('01_Вводные'!$B$234="Да",IF(IF('01_Вводные'!$B$296="Новый сезон",FALSE,FALSE),'19_Расчет_аналитики'!AC3447*CapacityAge04*'19_Расчет_аналитики'!$F$3247,0),0)</f>
        <v/>
      </c>
      <c r="AD3559">
        <f>IF('01_Вводные'!$B$234="Да",IF(IF('01_Вводные'!$B$296="Новый сезон",FALSE,FALSE),'19_Расчет_аналитики'!AD3447*CapacityAge04*'19_Расчет_аналитики'!$F$3247,0),0)</f>
        <v/>
      </c>
      <c r="AE3559">
        <f>IF('01_Вводные'!$B$234="Да",IF(IF('01_Вводные'!$B$296="Новый сезон",FALSE,FALSE),'19_Расчет_аналитики'!AE3447*CapacityAge04*'19_Расчет_аналитики'!$F$3247,0),0)</f>
        <v/>
      </c>
      <c r="AF3559">
        <f>IF('01_Вводные'!$B$234="Да",IF(IF('01_Вводные'!$B$296="Новый сезон",FALSE,FALSE),'19_Расчет_аналитики'!AF3447*CapacityAge04*'19_Расчет_аналитики'!$F$3247,0),0)</f>
        <v/>
      </c>
      <c r="AG3559">
        <f>IF('01_Вводные'!$B$234="Да",IF(IF('01_Вводные'!$B$296="Новый сезон",FALSE,FALSE),'19_Расчет_аналитики'!AG3447*CapacityAge04*'19_Расчет_аналитики'!$F$3247,0),0)</f>
        <v/>
      </c>
      <c r="AH3559">
        <f>IF('01_Вводные'!$B$234="Да",IF(IF('01_Вводные'!$B$296="Новый сезон",FALSE,FALSE),'19_Расчет_аналитики'!AH3447*CapacityAge04*'19_Расчет_аналитики'!$F$3247,0),0)</f>
        <v/>
      </c>
      <c r="AI3559">
        <f>IF('01_Вводные'!$B$234="Да",IF(IF('01_Вводные'!$B$296="Новый сезон",FALSE,FALSE),'19_Расчет_аналитики'!AI3447*CapacityAge04*'19_Расчет_аналитики'!$F$3247,0),0)</f>
        <v/>
      </c>
      <c r="AJ3559">
        <f>IF('01_Вводные'!$B$234="Да",IF(IF('01_Вводные'!$B$296="Новый сезон",FALSE,FALSE),'19_Расчет_аналитики'!AJ3447*CapacityAge04*'19_Расчет_аналитики'!$F$3247,0),0)</f>
        <v/>
      </c>
      <c r="AK3559">
        <f>IF('01_Вводные'!$B$234="Да",IF(IF('01_Вводные'!$B$296="Новый сезон",FALSE,FALSE),'19_Расчет_аналитики'!AK3447*CapacityAge04*'19_Расчет_аналитики'!$F$3247,0),0)</f>
        <v/>
      </c>
      <c r="AL3559">
        <f>IF('01_Вводные'!$B$234="Да",IF(IF('01_Вводные'!$B$296="Новый сезон",FALSE,FALSE),'19_Расчет_аналитики'!AL3447*CapacityAge04*'19_Расчет_аналитики'!$F$3247,0),0)</f>
        <v/>
      </c>
      <c r="AM3559">
        <f>IF('01_Вводные'!$B$234="Да",IF(IF('01_Вводные'!$B$296="Новый сезон",FALSE,FALSE),'19_Расчет_аналитики'!AM3447*CapacityAge04*'19_Расчет_аналитики'!$F$3247,0),0)</f>
        <v/>
      </c>
      <c r="AN3559">
        <f>IF('01_Вводные'!$B$234="Да",IF(IF('01_Вводные'!$B$296="Новый сезон",FALSE,FALSE),'19_Расчет_аналитики'!AN3447*CapacityAge04*'19_Расчет_аналитики'!$F$3247,0),0)</f>
        <v/>
      </c>
      <c r="AO3559">
        <f>IF('01_Вводные'!$B$234="Да",IF(IF('01_Вводные'!$B$296="Новый сезон",FALSE,FALSE),'19_Расчет_аналитики'!AO3447*CapacityAge04*'19_Расчет_аналитики'!$F$3247,0),0)</f>
        <v/>
      </c>
      <c r="AP3559">
        <f>IF('01_Вводные'!$B$234="Да",IF(IF('01_Вводные'!$B$296="Новый сезон",FALSE,FALSE),'19_Расчет_аналитики'!AP3447*CapacityAge04*'19_Расчет_аналитики'!$F$3247,0),0)</f>
        <v/>
      </c>
      <c r="AQ3559">
        <f>IF('01_Вводные'!$B$234="Да",IF(IF('01_Вводные'!$B$296="Новый сезон",FALSE,FALSE),'19_Расчет_аналитики'!AQ3447*CapacityAge04*'19_Расчет_аналитики'!$F$3247,0),0)</f>
        <v/>
      </c>
      <c r="AR3559">
        <f>IF('01_Вводные'!$B$234="Да",IF(IF('01_Вводные'!$B$296="Новый сезон",FALSE,FALSE),'19_Расчет_аналитики'!AR3447*CapacityAge04*'19_Расчет_аналитики'!$F$3247,0),0)</f>
        <v/>
      </c>
      <c r="AS3559">
        <f>IF('01_Вводные'!$B$234="Да",IF(IF('01_Вводные'!$B$296="Новый сезон",FALSE,FALSE),'19_Расчет_аналитики'!AS3447*CapacityAge04*'19_Расчет_аналитики'!$F$3247,0),0)</f>
        <v/>
      </c>
      <c r="AT3559">
        <f>IF('01_Вводные'!$B$234="Да",IF(IF('01_Вводные'!$B$296="Новый сезон",FALSE,FALSE),'19_Расчет_аналитики'!AT3447*CapacityAge04*'19_Расчет_аналитики'!$F$3247,0),0)</f>
        <v/>
      </c>
      <c r="AU3559">
        <f>IF('01_Вводные'!$B$234="Да",IF(IF('01_Вводные'!$B$296="Новый сезон",FALSE,FALSE),'19_Расчет_аналитики'!AU3447*CapacityAge04*'19_Расчет_аналитики'!$F$3247,0),0)</f>
        <v/>
      </c>
      <c r="AV3559">
        <f>IF('01_Вводные'!$B$234="Да",IF(IF('01_Вводные'!$B$296="Новый сезон",FALSE,FALSE),'19_Расчет_аналитики'!AV3447*CapacityAge04*'19_Расчет_аналитики'!$F$3247,0),0)</f>
        <v/>
      </c>
      <c r="AW3559">
        <f>IF('01_Вводные'!$B$234="Да",IF(IF('01_Вводные'!$B$296="Новый сезон",FALSE,FALSE),'19_Расчет_аналитики'!AW3447*CapacityAge04*'19_Расчет_аналитики'!$F$3247,0),0)</f>
        <v/>
      </c>
      <c r="AX3559">
        <f>IF('01_Вводные'!$B$234="Да",IF(IF('01_Вводные'!$B$296="Новый сезон",FALSE,FALSE),'19_Расчет_аналитики'!AX3447*CapacityAge04*'19_Расчет_аналитики'!$F$3247,0),0)</f>
        <v/>
      </c>
      <c r="AY3559">
        <f>IF('01_Вводные'!$B$234="Да",IF(IF('01_Вводные'!$B$296="Новый сезон",FALSE,FALSE),'19_Расчет_аналитики'!AY3447*CapacityAge04*'19_Расчет_аналитики'!$F$3247,0),0)</f>
        <v/>
      </c>
      <c r="AZ3559">
        <f>IF('01_Вводные'!$B$234="Да",IF(IF('01_Вводные'!$B$296="Новый сезон",FALSE,FALSE),'19_Расчет_аналитики'!AZ3447*CapacityAge04*'19_Расчет_аналитики'!$F$3247,0),0)</f>
        <v/>
      </c>
      <c r="BA3559">
        <f>IF('01_Вводные'!$B$234="Да",IF(IF('01_Вводные'!$B$296="Новый сезон",FALSE,FALSE),'19_Расчет_аналитики'!BA3447*CapacityAge04*'19_Расчет_аналитики'!$F$3247,0),0)</f>
        <v/>
      </c>
      <c r="BB3559">
        <f>IF('01_Вводные'!$B$234="Да",IF(IF('01_Вводные'!$B$296="Новый сезон",FALSE,FALSE),'19_Расчет_аналитики'!BB3447*CapacityAge04*'19_Расчет_аналитики'!$F$3247,0),0)</f>
        <v/>
      </c>
      <c r="BC3559">
        <f>IF('01_Вводные'!$B$234="Да",IF(IF('01_Вводные'!$B$296="Новый сезон",FALSE,FALSE),'19_Расчет_аналитики'!BC3447*CapacityAge04*'19_Расчет_аналитики'!$F$3247,0),0)</f>
        <v/>
      </c>
      <c r="BD3559">
        <f>IF('01_Вводные'!$B$234="Да",IF(IF('01_Вводные'!$B$296="Новый сезон",FALSE,FALSE),'19_Расчет_аналитики'!BD3447*CapacityAge04*'19_Расчет_аналитики'!$F$3247,0),0)</f>
        <v/>
      </c>
      <c r="BE3559">
        <f>IF('01_Вводные'!$B$234="Да",IF(IF('01_Вводные'!$B$296="Новый сезон",FALSE,FALSE),'19_Расчет_аналитики'!BE3447*CapacityAge04*'19_Расчет_аналитики'!$F$3247,0),0)</f>
        <v/>
      </c>
      <c r="BF3559">
        <f>IF('01_Вводные'!$B$234="Да",IF(IF('01_Вводные'!$B$296="Новый сезон",FALSE,FALSE),'19_Расчет_аналитики'!BF3447*CapacityAge04*'19_Расчет_аналитики'!$F$3247,0),0)</f>
        <v/>
      </c>
      <c r="BG3559">
        <f>IF('01_Вводные'!$B$234="Да",IF(IF('01_Вводные'!$B$296="Новый сезон",FALSE,FALSE),'19_Расчет_аналитики'!BG3447*CapacityAge04*'19_Расчет_аналитики'!$F$3247,0),0)</f>
        <v/>
      </c>
      <c r="BH3559">
        <f>IF('01_Вводные'!$B$234="Да",IF(IF('01_Вводные'!$B$296="Новый сезон",FALSE,FALSE),'19_Расчет_аналитики'!BH3447*CapacityAge04*'19_Расчет_аналитики'!$F$3247,0),0)</f>
        <v/>
      </c>
      <c r="BI3559">
        <f>IF('01_Вводные'!$B$234="Да",IF(IF('01_Вводные'!$B$296="Новый сезон",FALSE,FALSE),'19_Расчет_аналитики'!BI3447*CapacityAge04*'19_Расчет_аналитики'!$F$3247,0),0)</f>
        <v/>
      </c>
      <c r="BJ3559">
        <f>IF('01_Вводные'!$B$234="Да",IF(IF('01_Вводные'!$B$296="Новый сезон",FALSE,FALSE),'19_Расчет_аналитики'!BJ3447*CapacityAge04*'19_Расчет_аналитики'!$F$3247,0),0)</f>
        <v/>
      </c>
      <c r="BK3559">
        <f>IF('01_Вводные'!$B$234="Да",IF(IF('01_Вводные'!$B$296="Новый сезон",FALSE,FALSE),'19_Расчет_аналитики'!BK3447*CapacityAge04*'19_Расчет_аналитики'!$F$3247,0),0)</f>
        <v/>
      </c>
      <c r="BL3559">
        <f>IF('01_Вводные'!$B$234="Да",IF(IF('01_Вводные'!$B$296="Новый сезон",FALSE,FALSE),'19_Расчет_аналитики'!BL3447*CapacityAge04*'19_Расчет_аналитики'!$F$3247,0),0)</f>
        <v/>
      </c>
      <c r="BM3559">
        <f>IF('01_Вводные'!$B$234="Да",IF(IF('01_Вводные'!$B$296="Новый сезон",FALSE,FALSE),'19_Расчет_аналитики'!BM3447*CapacityAge04*'19_Расчет_аналитики'!$F$3247,0),0)</f>
        <v/>
      </c>
      <c r="BN3559">
        <f>IF('01_Вводные'!$B$234="Да",IF(IF('01_Вводные'!$B$296="Новый сезон",FALSE,FALSE),'19_Расчет_аналитики'!BN3447*CapacityAge04*'19_Расчет_аналитики'!$F$3247,0),0)</f>
        <v/>
      </c>
      <c r="BO3559">
        <f>IF('01_Вводные'!$B$234="Да",IF(IF('01_Вводные'!$B$296="Новый сезон",FALSE,FALSE),'19_Расчет_аналитики'!BO3447*CapacityAge04*'19_Расчет_аналитики'!$F$3247,0),0)</f>
        <v/>
      </c>
    </row>
    <row r="3560">
      <c r="B3560">
        <f>IF('01_Вводные'!$B$234="Да",IF(IF('01_Вводные'!$B$296="Новый сезон",5-1&gt;MOD(MONTH('06_Сеть_и_дети'!B$3)-9,12),FALSE),'06_Сеть_и_дети'!B57*CapacityAge05*'19_Расчет_аналитики'!$F$3247,0),0)</f>
        <v/>
      </c>
      <c r="C3560">
        <f>IF('01_Вводные'!$B$234="Да",IF(IF('01_Вводные'!$B$296="Новый сезон",5-1&gt;MOD(MONTH('06_Сеть_и_дети'!C$3)-9,12),FALSE),'06_Сеть_и_дети'!C57*CapacityAge05*'19_Расчет_аналитики'!$F$3247,0),0)</f>
        <v/>
      </c>
      <c r="D3560">
        <f>IF('01_Вводные'!$B$234="Да",IF(IF('01_Вводные'!$B$296="Новый сезон",5-1&gt;MOD(MONTH('06_Сеть_и_дети'!D$3)-9,12),FALSE),'06_Сеть_и_дети'!D57*CapacityAge05*'19_Расчет_аналитики'!$F$3247,0),0)</f>
        <v/>
      </c>
      <c r="E3560">
        <f>IF('01_Вводные'!$B$234="Да",IF(IF('01_Вводные'!$B$296="Новый сезон",5-1&gt;MOD(MONTH('06_Сеть_и_дети'!E$3)-9,12),FALSE),'06_Сеть_и_дети'!E57*CapacityAge05*'19_Расчет_аналитики'!$F$3247,0),0)</f>
        <v/>
      </c>
      <c r="F3560">
        <f>IF('01_Вводные'!$B$234="Да",IF(IF('01_Вводные'!$B$296="Новый сезон",5-1&gt;MOD(MONTH('06_Сеть_и_дети'!F$3)-9,12),FALSE),'19_Расчет_аналитики'!F3448*CapacityAge05*'19_Расчет_аналитики'!$F$3247,0),0)</f>
        <v/>
      </c>
      <c r="G3560">
        <f>IF('01_Вводные'!$B$234="Да",IF(IF('01_Вводные'!$B$296="Новый сезон",5-1&gt;MOD(MONTH('06_Сеть_и_дети'!G$3)-9,12),FALSE),'19_Расчет_аналитики'!G3448*CapacityAge05*'19_Расчет_аналитики'!$F$3247,0),0)</f>
        <v/>
      </c>
      <c r="H3560">
        <f>IF('01_Вводные'!$B$234="Да",IF(IF('01_Вводные'!$B$296="Новый сезон",5-1&gt;MOD(MONTH('06_Сеть_и_дети'!H$3)-9,12),FALSE),'19_Расчет_аналитики'!H3448*CapacityAge05*'19_Расчет_аналитики'!$F$3247,0),0)</f>
        <v/>
      </c>
      <c r="I3560">
        <f>IF('01_Вводные'!$B$234="Да",IF(IF('01_Вводные'!$B$296="Новый сезон",5-1&gt;MOD(MONTH('06_Сеть_и_дети'!I$3)-9,12),FALSE),'19_Расчет_аналитики'!I3448*CapacityAge05*'19_Расчет_аналитики'!$F$3247,0),0)</f>
        <v/>
      </c>
      <c r="J3560">
        <f>IF('01_Вводные'!$B$234="Да",IF(IF('01_Вводные'!$B$296="Новый сезон",5-1&gt;MOD(MONTH('06_Сеть_и_дети'!J$3)-9,12),FALSE),'19_Расчет_аналитики'!J3448*CapacityAge05*'19_Расчет_аналитики'!$F$3247,0),0)</f>
        <v/>
      </c>
      <c r="K3560">
        <f>IF('01_Вводные'!$B$234="Да",IF(IF('01_Вводные'!$B$296="Новый сезон",5-1&gt;MOD(MONTH('06_Сеть_и_дети'!K$3)-9,12),FALSE),'19_Расчет_аналитики'!K3448*CapacityAge05*'19_Расчет_аналитики'!$F$3247,0),0)</f>
        <v/>
      </c>
      <c r="L3560">
        <f>IF('01_Вводные'!$B$234="Да",IF(IF('01_Вводные'!$B$296="Новый сезон",5-1&gt;MOD(MONTH('06_Сеть_и_дети'!L$3)-9,12),FALSE),'19_Расчет_аналитики'!L3448*CapacityAge05*'19_Расчет_аналитики'!$F$3247,0),0)</f>
        <v/>
      </c>
      <c r="M3560">
        <f>IF('01_Вводные'!$B$234="Да",IF(IF('01_Вводные'!$B$296="Новый сезон",5-1&gt;MOD(MONTH('06_Сеть_и_дети'!M$3)-9,12),FALSE),'19_Расчет_аналитики'!M3448*CapacityAge05*'19_Расчет_аналитики'!$F$3247,0),0)</f>
        <v/>
      </c>
      <c r="N3560">
        <f>IF('01_Вводные'!$B$234="Да",IF(IF('01_Вводные'!$B$296="Новый сезон",5-1&gt;MOD(MONTH('06_Сеть_и_дети'!N$3)-9,12),FALSE),'19_Расчет_аналитики'!N3448*CapacityAge05*'19_Расчет_аналитики'!$F$3247,0),0)</f>
        <v/>
      </c>
      <c r="O3560">
        <f>IF('01_Вводные'!$B$234="Да",IF(IF('01_Вводные'!$B$296="Новый сезон",5-1&gt;MOD(MONTH('06_Сеть_и_дети'!O$3)-9,12),FALSE),'19_Расчет_аналитики'!O3448*CapacityAge05*'19_Расчет_аналитики'!$F$3247,0),0)</f>
        <v/>
      </c>
      <c r="P3560">
        <f>IF('01_Вводные'!$B$234="Да",IF(IF('01_Вводные'!$B$296="Новый сезон",5-1&gt;MOD(MONTH('06_Сеть_и_дети'!P$3)-9,12),FALSE),'19_Расчет_аналитики'!P3448*CapacityAge05*'19_Расчет_аналитики'!$F$3247,0),0)</f>
        <v/>
      </c>
      <c r="Q3560">
        <f>IF('01_Вводные'!$B$234="Да",IF(IF('01_Вводные'!$B$296="Новый сезон",5-1&gt;MOD(MONTH('06_Сеть_и_дети'!Q$3)-9,12),FALSE),'19_Расчет_аналитики'!Q3448*CapacityAge05*'19_Расчет_аналитики'!$F$3247,0),0)</f>
        <v/>
      </c>
      <c r="R3560">
        <f>IF('01_Вводные'!$B$234="Да",IF(IF('01_Вводные'!$B$296="Новый сезон",5-1&gt;MOD(MONTH('06_Сеть_и_дети'!R$3)-9,12),FALSE),'19_Расчет_аналитики'!R3448*CapacityAge05*'19_Расчет_аналитики'!$F$3247,0),0)</f>
        <v/>
      </c>
      <c r="S3560">
        <f>IF('01_Вводные'!$B$234="Да",IF(IF('01_Вводные'!$B$296="Новый сезон",5-1&gt;MOD(MONTH('06_Сеть_и_дети'!S$3)-9,12),FALSE),'19_Расчет_аналитики'!S3448*CapacityAge05*'19_Расчет_аналитики'!$F$3247,0),0)</f>
        <v/>
      </c>
      <c r="T3560">
        <f>IF('01_Вводные'!$B$234="Да",IF(IF('01_Вводные'!$B$296="Новый сезон",5-1&gt;MOD(MONTH('06_Сеть_и_дети'!T$3)-9,12),FALSE),'19_Расчет_аналитики'!T3448*CapacityAge05*'19_Расчет_аналитики'!$F$3247,0),0)</f>
        <v/>
      </c>
      <c r="U3560">
        <f>IF('01_Вводные'!$B$234="Да",IF(IF('01_Вводные'!$B$296="Новый сезон",5-1&gt;MOD(MONTH('06_Сеть_и_дети'!U$3)-9,12),FALSE),'19_Расчет_аналитики'!U3448*CapacityAge05*'19_Расчет_аналитики'!$F$3247,0),0)</f>
        <v/>
      </c>
      <c r="V3560">
        <f>IF('01_Вводные'!$B$234="Да",IF(IF('01_Вводные'!$B$296="Новый сезон",5-1&gt;MOD(MONTH('06_Сеть_и_дети'!V$3)-9,12),FALSE),'19_Расчет_аналитики'!V3448*CapacityAge05*'19_Расчет_аналитики'!$F$3247,0),0)</f>
        <v/>
      </c>
      <c r="W3560">
        <f>IF('01_Вводные'!$B$234="Да",IF(IF('01_Вводные'!$B$296="Новый сезон",5-1&gt;MOD(MONTH('06_Сеть_и_дети'!W$3)-9,12),FALSE),'19_Расчет_аналитики'!W3448*CapacityAge05*'19_Расчет_аналитики'!$F$3247,0),0)</f>
        <v/>
      </c>
      <c r="X3560">
        <f>IF('01_Вводные'!$B$234="Да",IF(IF('01_Вводные'!$B$296="Новый сезон",5-1&gt;MOD(MONTH('06_Сеть_и_дети'!X$3)-9,12),FALSE),'19_Расчет_аналитики'!X3448*CapacityAge05*'19_Расчет_аналитики'!$F$3247,0),0)</f>
        <v/>
      </c>
      <c r="Y3560">
        <f>IF('01_Вводные'!$B$234="Да",IF(IF('01_Вводные'!$B$296="Новый сезон",5-1&gt;MOD(MONTH('06_Сеть_и_дети'!Y$3)-9,12),FALSE),'19_Расчет_аналитики'!Y3448*CapacityAge05*'19_Расчет_аналитики'!$F$3247,0),0)</f>
        <v/>
      </c>
      <c r="Z3560">
        <f>IF('01_Вводные'!$B$234="Да",IF(IF('01_Вводные'!$B$296="Новый сезон",5-1&gt;MOD(MONTH('06_Сеть_и_дети'!Z$3)-9,12),FALSE),'19_Расчет_аналитики'!Z3448*CapacityAge05*'19_Расчет_аналитики'!$F$3247,0),0)</f>
        <v/>
      </c>
      <c r="AA3560">
        <f>IF('01_Вводные'!$B$234="Да",IF(IF('01_Вводные'!$B$296="Новый сезон",5-1&gt;MOD(MONTH('06_Сеть_и_дети'!AA$3)-9,12),FALSE),'19_Расчет_аналитики'!AA3448*CapacityAge05*'19_Расчет_аналитики'!$F$3247,0),0)</f>
        <v/>
      </c>
      <c r="AB3560">
        <f>IF('01_Вводные'!$B$234="Да",IF(IF('01_Вводные'!$B$296="Новый сезон",5-1&gt;MOD(MONTH('06_Сеть_и_дети'!AB$3)-9,12),FALSE),'19_Расчет_аналитики'!AB3448*CapacityAge05*'19_Расчет_аналитики'!$F$3247,0),0)</f>
        <v/>
      </c>
      <c r="AC3560">
        <f>IF('01_Вводные'!$B$234="Да",IF(IF('01_Вводные'!$B$296="Новый сезон",5-1&gt;MOD(MONTH('06_Сеть_и_дети'!AC$3)-9,12),FALSE),'19_Расчет_аналитики'!AC3448*CapacityAge05*'19_Расчет_аналитики'!$F$3247,0),0)</f>
        <v/>
      </c>
      <c r="AD3560">
        <f>IF('01_Вводные'!$B$234="Да",IF(IF('01_Вводные'!$B$296="Новый сезон",5-1&gt;MOD(MONTH('06_Сеть_и_дети'!AD$3)-9,12),FALSE),'19_Расчет_аналитики'!AD3448*CapacityAge05*'19_Расчет_аналитики'!$F$3247,0),0)</f>
        <v/>
      </c>
      <c r="AE3560">
        <f>IF('01_Вводные'!$B$234="Да",IF(IF('01_Вводные'!$B$296="Новый сезон",5-1&gt;MOD(MONTH('06_Сеть_и_дети'!AE$3)-9,12),FALSE),'19_Расчет_аналитики'!AE3448*CapacityAge05*'19_Расчет_аналитики'!$F$3247,0),0)</f>
        <v/>
      </c>
      <c r="AF3560">
        <f>IF('01_Вводные'!$B$234="Да",IF(IF('01_Вводные'!$B$296="Новый сезон",5-1&gt;MOD(MONTH('06_Сеть_и_дети'!AF$3)-9,12),FALSE),'19_Расчет_аналитики'!AF3448*CapacityAge05*'19_Расчет_аналитики'!$F$3247,0),0)</f>
        <v/>
      </c>
      <c r="AG3560">
        <f>IF('01_Вводные'!$B$234="Да",IF(IF('01_Вводные'!$B$296="Новый сезон",5-1&gt;MOD(MONTH('06_Сеть_и_дети'!AG$3)-9,12),FALSE),'19_Расчет_аналитики'!AG3448*CapacityAge05*'19_Расчет_аналитики'!$F$3247,0),0)</f>
        <v/>
      </c>
      <c r="AH3560">
        <f>IF('01_Вводные'!$B$234="Да",IF(IF('01_Вводные'!$B$296="Новый сезон",5-1&gt;MOD(MONTH('06_Сеть_и_дети'!AH$3)-9,12),FALSE),'19_Расчет_аналитики'!AH3448*CapacityAge05*'19_Расчет_аналитики'!$F$3247,0),0)</f>
        <v/>
      </c>
      <c r="AI3560">
        <f>IF('01_Вводные'!$B$234="Да",IF(IF('01_Вводные'!$B$296="Новый сезон",5-1&gt;MOD(MONTH('06_Сеть_и_дети'!AI$3)-9,12),FALSE),'19_Расчет_аналитики'!AI3448*CapacityAge05*'19_Расчет_аналитики'!$F$3247,0),0)</f>
        <v/>
      </c>
      <c r="AJ3560">
        <f>IF('01_Вводные'!$B$234="Да",IF(IF('01_Вводные'!$B$296="Новый сезон",5-1&gt;MOD(MONTH('06_Сеть_и_дети'!AJ$3)-9,12),FALSE),'19_Расчет_аналитики'!AJ3448*CapacityAge05*'19_Расчет_аналитики'!$F$3247,0),0)</f>
        <v/>
      </c>
      <c r="AK3560">
        <f>IF('01_Вводные'!$B$234="Да",IF(IF('01_Вводные'!$B$296="Новый сезон",5-1&gt;MOD(MONTH('06_Сеть_и_дети'!AK$3)-9,12),FALSE),'19_Расчет_аналитики'!AK3448*CapacityAge05*'19_Расчет_аналитики'!$F$3247,0),0)</f>
        <v/>
      </c>
      <c r="AL3560">
        <f>IF('01_Вводные'!$B$234="Да",IF(IF('01_Вводные'!$B$296="Новый сезон",5-1&gt;MOD(MONTH('06_Сеть_и_дети'!AL$3)-9,12),FALSE),'19_Расчет_аналитики'!AL3448*CapacityAge05*'19_Расчет_аналитики'!$F$3247,0),0)</f>
        <v/>
      </c>
      <c r="AM3560">
        <f>IF('01_Вводные'!$B$234="Да",IF(IF('01_Вводные'!$B$296="Новый сезон",5-1&gt;MOD(MONTH('06_Сеть_и_дети'!AM$3)-9,12),FALSE),'19_Расчет_аналитики'!AM3448*CapacityAge05*'19_Расчет_аналитики'!$F$3247,0),0)</f>
        <v/>
      </c>
      <c r="AN3560">
        <f>IF('01_Вводные'!$B$234="Да",IF(IF('01_Вводные'!$B$296="Новый сезон",5-1&gt;MOD(MONTH('06_Сеть_и_дети'!AN$3)-9,12),FALSE),'19_Расчет_аналитики'!AN3448*CapacityAge05*'19_Расчет_аналитики'!$F$3247,0),0)</f>
        <v/>
      </c>
      <c r="AO3560">
        <f>IF('01_Вводные'!$B$234="Да",IF(IF('01_Вводные'!$B$296="Новый сезон",5-1&gt;MOD(MONTH('06_Сеть_и_дети'!AO$3)-9,12),FALSE),'19_Расчет_аналитики'!AO3448*CapacityAge05*'19_Расчет_аналитики'!$F$3247,0),0)</f>
        <v/>
      </c>
      <c r="AP3560">
        <f>IF('01_Вводные'!$B$234="Да",IF(IF('01_Вводные'!$B$296="Новый сезон",5-1&gt;MOD(MONTH('06_Сеть_и_дети'!AP$3)-9,12),FALSE),'19_Расчет_аналитики'!AP3448*CapacityAge05*'19_Расчет_аналитики'!$F$3247,0),0)</f>
        <v/>
      </c>
      <c r="AQ3560">
        <f>IF('01_Вводные'!$B$234="Да",IF(IF('01_Вводные'!$B$296="Новый сезон",5-1&gt;MOD(MONTH('06_Сеть_и_дети'!AQ$3)-9,12),FALSE),'19_Расчет_аналитики'!AQ3448*CapacityAge05*'19_Расчет_аналитики'!$F$3247,0),0)</f>
        <v/>
      </c>
      <c r="AR3560">
        <f>IF('01_Вводные'!$B$234="Да",IF(IF('01_Вводные'!$B$296="Новый сезон",5-1&gt;MOD(MONTH('06_Сеть_и_дети'!AR$3)-9,12),FALSE),'19_Расчет_аналитики'!AR3448*CapacityAge05*'19_Расчет_аналитики'!$F$3247,0),0)</f>
        <v/>
      </c>
      <c r="AS3560">
        <f>IF('01_Вводные'!$B$234="Да",IF(IF('01_Вводные'!$B$296="Новый сезон",5-1&gt;MOD(MONTH('06_Сеть_и_дети'!AS$3)-9,12),FALSE),'19_Расчет_аналитики'!AS3448*CapacityAge05*'19_Расчет_аналитики'!$F$3247,0),0)</f>
        <v/>
      </c>
      <c r="AT3560">
        <f>IF('01_Вводные'!$B$234="Да",IF(IF('01_Вводные'!$B$296="Новый сезон",5-1&gt;MOD(MONTH('06_Сеть_и_дети'!AT$3)-9,12),FALSE),'19_Расчет_аналитики'!AT3448*CapacityAge05*'19_Расчет_аналитики'!$F$3247,0),0)</f>
        <v/>
      </c>
      <c r="AU3560">
        <f>IF('01_Вводные'!$B$234="Да",IF(IF('01_Вводные'!$B$296="Новый сезон",5-1&gt;MOD(MONTH('06_Сеть_и_дети'!AU$3)-9,12),FALSE),'19_Расчет_аналитики'!AU3448*CapacityAge05*'19_Расчет_аналитики'!$F$3247,0),0)</f>
        <v/>
      </c>
      <c r="AV3560">
        <f>IF('01_Вводные'!$B$234="Да",IF(IF('01_Вводные'!$B$296="Новый сезон",5-1&gt;MOD(MONTH('06_Сеть_и_дети'!AV$3)-9,12),FALSE),'19_Расчет_аналитики'!AV3448*CapacityAge05*'19_Расчет_аналитики'!$F$3247,0),0)</f>
        <v/>
      </c>
      <c r="AW3560">
        <f>IF('01_Вводные'!$B$234="Да",IF(IF('01_Вводные'!$B$296="Новый сезон",5-1&gt;MOD(MONTH('06_Сеть_и_дети'!AW$3)-9,12),FALSE),'19_Расчет_аналитики'!AW3448*CapacityAge05*'19_Расчет_аналитики'!$F$3247,0),0)</f>
        <v/>
      </c>
      <c r="AX3560">
        <f>IF('01_Вводные'!$B$234="Да",IF(IF('01_Вводные'!$B$296="Новый сезон",5-1&gt;MOD(MONTH('06_Сеть_и_дети'!AX$3)-9,12),FALSE),'19_Расчет_аналитики'!AX3448*CapacityAge05*'19_Расчет_аналитики'!$F$3247,0),0)</f>
        <v/>
      </c>
      <c r="AY3560">
        <f>IF('01_Вводные'!$B$234="Да",IF(IF('01_Вводные'!$B$296="Новый сезон",5-1&gt;MOD(MONTH('06_Сеть_и_дети'!AY$3)-9,12),FALSE),'19_Расчет_аналитики'!AY3448*CapacityAge05*'19_Расчет_аналитики'!$F$3247,0),0)</f>
        <v/>
      </c>
      <c r="AZ3560">
        <f>IF('01_Вводные'!$B$234="Да",IF(IF('01_Вводные'!$B$296="Новый сезон",5-1&gt;MOD(MONTH('06_Сеть_и_дети'!AZ$3)-9,12),FALSE),'19_Расчет_аналитики'!AZ3448*CapacityAge05*'19_Расчет_аналитики'!$F$3247,0),0)</f>
        <v/>
      </c>
      <c r="BA3560">
        <f>IF('01_Вводные'!$B$234="Да",IF(IF('01_Вводные'!$B$296="Новый сезон",5-1&gt;MOD(MONTH('06_Сеть_и_дети'!BA$3)-9,12),FALSE),'19_Расчет_аналитики'!BA3448*CapacityAge05*'19_Расчет_аналитики'!$F$3247,0),0)</f>
        <v/>
      </c>
      <c r="BB3560">
        <f>IF('01_Вводные'!$B$234="Да",IF(IF('01_Вводные'!$B$296="Новый сезон",5-1&gt;MOD(MONTH('06_Сеть_и_дети'!BB$3)-9,12),FALSE),'19_Расчет_аналитики'!BB3448*CapacityAge05*'19_Расчет_аналитики'!$F$3247,0),0)</f>
        <v/>
      </c>
      <c r="BC3560">
        <f>IF('01_Вводные'!$B$234="Да",IF(IF('01_Вводные'!$B$296="Новый сезон",5-1&gt;MOD(MONTH('06_Сеть_и_дети'!BC$3)-9,12),FALSE),'19_Расчет_аналитики'!BC3448*CapacityAge05*'19_Расчет_аналитики'!$F$3247,0),0)</f>
        <v/>
      </c>
      <c r="BD3560">
        <f>IF('01_Вводные'!$B$234="Да",IF(IF('01_Вводные'!$B$296="Новый сезон",5-1&gt;MOD(MONTH('06_Сеть_и_дети'!BD$3)-9,12),FALSE),'19_Расчет_аналитики'!BD3448*CapacityAge05*'19_Расчет_аналитики'!$F$3247,0),0)</f>
        <v/>
      </c>
      <c r="BE3560">
        <f>IF('01_Вводные'!$B$234="Да",IF(IF('01_Вводные'!$B$296="Новый сезон",5-1&gt;MOD(MONTH('06_Сеть_и_дети'!BE$3)-9,12),FALSE),'19_Расчет_аналитики'!BE3448*CapacityAge05*'19_Расчет_аналитики'!$F$3247,0),0)</f>
        <v/>
      </c>
      <c r="BF3560">
        <f>IF('01_Вводные'!$B$234="Да",IF(IF('01_Вводные'!$B$296="Новый сезон",5-1&gt;MOD(MONTH('06_Сеть_и_дети'!BF$3)-9,12),FALSE),'19_Расчет_аналитики'!BF3448*CapacityAge05*'19_Расчет_аналитики'!$F$3247,0),0)</f>
        <v/>
      </c>
      <c r="BG3560">
        <f>IF('01_Вводные'!$B$234="Да",IF(IF('01_Вводные'!$B$296="Новый сезон",5-1&gt;MOD(MONTH('06_Сеть_и_дети'!BG$3)-9,12),FALSE),'19_Расчет_аналитики'!BG3448*CapacityAge05*'19_Расчет_аналитики'!$F$3247,0),0)</f>
        <v/>
      </c>
      <c r="BH3560">
        <f>IF('01_Вводные'!$B$234="Да",IF(IF('01_Вводные'!$B$296="Новый сезон",5-1&gt;MOD(MONTH('06_Сеть_и_дети'!BH$3)-9,12),FALSE),'19_Расчет_аналитики'!BH3448*CapacityAge05*'19_Расчет_аналитики'!$F$3247,0),0)</f>
        <v/>
      </c>
      <c r="BI3560">
        <f>IF('01_Вводные'!$B$234="Да",IF(IF('01_Вводные'!$B$296="Новый сезон",5-1&gt;MOD(MONTH('06_Сеть_и_дети'!BI$3)-9,12),FALSE),'19_Расчет_аналитики'!BI3448*CapacityAge05*'19_Расчет_аналитики'!$F$3247,0),0)</f>
        <v/>
      </c>
      <c r="BJ3560">
        <f>IF('01_Вводные'!$B$234="Да",IF(IF('01_Вводные'!$B$296="Новый сезон",5-1&gt;MOD(MONTH('06_Сеть_и_дети'!BJ$3)-9,12),FALSE),'19_Расчет_аналитики'!BJ3448*CapacityAge05*'19_Расчет_аналитики'!$F$3247,0),0)</f>
        <v/>
      </c>
      <c r="BK3560">
        <f>IF('01_Вводные'!$B$234="Да",IF(IF('01_Вводные'!$B$296="Новый сезон",5-1&gt;MOD(MONTH('06_Сеть_и_дети'!BK$3)-9,12),FALSE),'19_Расчет_аналитики'!BK3448*CapacityAge05*'19_Расчет_аналитики'!$F$3247,0),0)</f>
        <v/>
      </c>
      <c r="BL3560">
        <f>IF('01_Вводные'!$B$234="Да",IF(IF('01_Вводные'!$B$296="Новый сезон",5-1&gt;MOD(MONTH('06_Сеть_и_дети'!BL$3)-9,12),FALSE),'19_Расчет_аналитики'!BL3448*CapacityAge05*'19_Расчет_аналитики'!$F$3247,0),0)</f>
        <v/>
      </c>
      <c r="BM3560">
        <f>IF('01_Вводные'!$B$234="Да",IF(IF('01_Вводные'!$B$296="Новый сезон",5-1&gt;MOD(MONTH('06_Сеть_и_дети'!BM$3)-9,12),FALSE),'19_Расчет_аналитики'!BM3448*CapacityAge05*'19_Расчет_аналитики'!$F$3247,0),0)</f>
        <v/>
      </c>
      <c r="BN3560">
        <f>IF('01_Вводные'!$B$234="Да",IF(IF('01_Вводные'!$B$296="Новый сезон",5-1&gt;MOD(MONTH('06_Сеть_и_дети'!BN$3)-9,12),FALSE),'19_Расчет_аналитики'!BN3448*CapacityAge05*'19_Расчет_аналитики'!$F$3247,0),0)</f>
        <v/>
      </c>
      <c r="BO3560">
        <f>IF('01_Вводные'!$B$234="Да",IF(IF('01_Вводные'!$B$296="Новый сезон",5-1&gt;MOD(MONTH('06_Сеть_и_дети'!BO$3)-9,12),FALSE),'19_Расчет_аналитики'!BO3448*CapacityAge05*'19_Расчет_аналитики'!$F$3247,0),0)</f>
        <v/>
      </c>
    </row>
    <row r="3561">
      <c r="B3561">
        <f>IF('01_Вводные'!$B$234="Да",IF(IF('01_Вводные'!$B$296="Новый сезон",6-1&gt;MOD(MONTH('06_Сеть_и_дети'!B$3)-9,12),FALSE),'06_Сеть_и_дети'!B58*CapacityAge06*'19_Расчет_аналитики'!$F$3247,0),0)</f>
        <v/>
      </c>
      <c r="C3561">
        <f>IF('01_Вводные'!$B$234="Да",IF(IF('01_Вводные'!$B$296="Новый сезон",6-1&gt;MOD(MONTH('06_Сеть_и_дети'!C$3)-9,12),FALSE),'06_Сеть_и_дети'!C58*CapacityAge06*'19_Расчет_аналитики'!$F$3247,0),0)</f>
        <v/>
      </c>
      <c r="D3561">
        <f>IF('01_Вводные'!$B$234="Да",IF(IF('01_Вводные'!$B$296="Новый сезон",6-1&gt;MOD(MONTH('06_Сеть_и_дети'!D$3)-9,12),FALSE),'06_Сеть_и_дети'!D58*CapacityAge06*'19_Расчет_аналитики'!$F$3247,0),0)</f>
        <v/>
      </c>
      <c r="E3561">
        <f>IF('01_Вводные'!$B$234="Да",IF(IF('01_Вводные'!$B$296="Новый сезон",6-1&gt;MOD(MONTH('06_Сеть_и_дети'!E$3)-9,12),FALSE),'06_Сеть_и_дети'!E58*CapacityAge06*'19_Расчет_аналитики'!$F$3247,0),0)</f>
        <v/>
      </c>
      <c r="F3561">
        <f>IF('01_Вводные'!$B$234="Да",IF(IF('01_Вводные'!$B$296="Новый сезон",6-1&gt;MOD(MONTH('06_Сеть_и_дети'!F$3)-9,12),FALSE),'06_Сеть_и_дети'!F58*CapacityAge06*'19_Расчет_аналитики'!$F$3247,0),0)</f>
        <v/>
      </c>
      <c r="G3561">
        <f>IF('01_Вводные'!$B$234="Да",IF(IF('01_Вводные'!$B$296="Новый сезон",6-1&gt;MOD(MONTH('06_Сеть_и_дети'!G$3)-9,12),FALSE),'19_Расчет_аналитики'!G3449*CapacityAge06*'19_Расчет_аналитики'!$F$3247,0),0)</f>
        <v/>
      </c>
      <c r="H3561">
        <f>IF('01_Вводные'!$B$234="Да",IF(IF('01_Вводные'!$B$296="Новый сезон",6-1&gt;MOD(MONTH('06_Сеть_и_дети'!H$3)-9,12),FALSE),'19_Расчет_аналитики'!H3449*CapacityAge06*'19_Расчет_аналитики'!$F$3247,0),0)</f>
        <v/>
      </c>
      <c r="I3561">
        <f>IF('01_Вводные'!$B$234="Да",IF(IF('01_Вводные'!$B$296="Новый сезон",6-1&gt;MOD(MONTH('06_Сеть_и_дети'!I$3)-9,12),FALSE),'19_Расчет_аналитики'!I3449*CapacityAge06*'19_Расчет_аналитики'!$F$3247,0),0)</f>
        <v/>
      </c>
      <c r="J3561">
        <f>IF('01_Вводные'!$B$234="Да",IF(IF('01_Вводные'!$B$296="Новый сезон",6-1&gt;MOD(MONTH('06_Сеть_и_дети'!J$3)-9,12),FALSE),'19_Расчет_аналитики'!J3449*CapacityAge06*'19_Расчет_аналитики'!$F$3247,0),0)</f>
        <v/>
      </c>
      <c r="K3561">
        <f>IF('01_Вводные'!$B$234="Да",IF(IF('01_Вводные'!$B$296="Новый сезон",6-1&gt;MOD(MONTH('06_Сеть_и_дети'!K$3)-9,12),FALSE),'19_Расчет_аналитики'!K3449*CapacityAge06*'19_Расчет_аналитики'!$F$3247,0),0)</f>
        <v/>
      </c>
      <c r="L3561">
        <f>IF('01_Вводные'!$B$234="Да",IF(IF('01_Вводные'!$B$296="Новый сезон",6-1&gt;MOD(MONTH('06_Сеть_и_дети'!L$3)-9,12),FALSE),'19_Расчет_аналитики'!L3449*CapacityAge06*'19_Расчет_аналитики'!$F$3247,0),0)</f>
        <v/>
      </c>
      <c r="M3561">
        <f>IF('01_Вводные'!$B$234="Да",IF(IF('01_Вводные'!$B$296="Новый сезон",6-1&gt;MOD(MONTH('06_Сеть_и_дети'!M$3)-9,12),FALSE),'19_Расчет_аналитики'!M3449*CapacityAge06*'19_Расчет_аналитики'!$F$3247,0),0)</f>
        <v/>
      </c>
      <c r="N3561">
        <f>IF('01_Вводные'!$B$234="Да",IF(IF('01_Вводные'!$B$296="Новый сезон",6-1&gt;MOD(MONTH('06_Сеть_и_дети'!N$3)-9,12),FALSE),'19_Расчет_аналитики'!N3449*CapacityAge06*'19_Расчет_аналитики'!$F$3247,0),0)</f>
        <v/>
      </c>
      <c r="O3561">
        <f>IF('01_Вводные'!$B$234="Да",IF(IF('01_Вводные'!$B$296="Новый сезон",6-1&gt;MOD(MONTH('06_Сеть_и_дети'!O$3)-9,12),FALSE),'19_Расчет_аналитики'!O3449*CapacityAge06*'19_Расчет_аналитики'!$F$3247,0),0)</f>
        <v/>
      </c>
      <c r="P3561">
        <f>IF('01_Вводные'!$B$234="Да",IF(IF('01_Вводные'!$B$296="Новый сезон",6-1&gt;MOD(MONTH('06_Сеть_и_дети'!P$3)-9,12),FALSE),'19_Расчет_аналитики'!P3449*CapacityAge06*'19_Расчет_аналитики'!$F$3247,0),0)</f>
        <v/>
      </c>
      <c r="Q3561">
        <f>IF('01_Вводные'!$B$234="Да",IF(IF('01_Вводные'!$B$296="Новый сезон",6-1&gt;MOD(MONTH('06_Сеть_и_дети'!Q$3)-9,12),FALSE),'19_Расчет_аналитики'!Q3449*CapacityAge06*'19_Расчет_аналитики'!$F$3247,0),0)</f>
        <v/>
      </c>
      <c r="R3561">
        <f>IF('01_Вводные'!$B$234="Да",IF(IF('01_Вводные'!$B$296="Новый сезон",6-1&gt;MOD(MONTH('06_Сеть_и_дети'!R$3)-9,12),FALSE),'19_Расчет_аналитики'!R3449*CapacityAge06*'19_Расчет_аналитики'!$F$3247,0),0)</f>
        <v/>
      </c>
      <c r="S3561">
        <f>IF('01_Вводные'!$B$234="Да",IF(IF('01_Вводные'!$B$296="Новый сезон",6-1&gt;MOD(MONTH('06_Сеть_и_дети'!S$3)-9,12),FALSE),'19_Расчет_аналитики'!S3449*CapacityAge06*'19_Расчет_аналитики'!$F$3247,0),0)</f>
        <v/>
      </c>
      <c r="T3561">
        <f>IF('01_Вводные'!$B$234="Да",IF(IF('01_Вводные'!$B$296="Новый сезон",6-1&gt;MOD(MONTH('06_Сеть_и_дети'!T$3)-9,12),FALSE),'19_Расчет_аналитики'!T3449*CapacityAge06*'19_Расчет_аналитики'!$F$3247,0),0)</f>
        <v/>
      </c>
      <c r="U3561">
        <f>IF('01_Вводные'!$B$234="Да",IF(IF('01_Вводные'!$B$296="Новый сезон",6-1&gt;MOD(MONTH('06_Сеть_и_дети'!U$3)-9,12),FALSE),'19_Расчет_аналитики'!U3449*CapacityAge06*'19_Расчет_аналитики'!$F$3247,0),0)</f>
        <v/>
      </c>
      <c r="V3561">
        <f>IF('01_Вводные'!$B$234="Да",IF(IF('01_Вводные'!$B$296="Новый сезон",6-1&gt;MOD(MONTH('06_Сеть_и_дети'!V$3)-9,12),FALSE),'19_Расчет_аналитики'!V3449*CapacityAge06*'19_Расчет_аналитики'!$F$3247,0),0)</f>
        <v/>
      </c>
      <c r="W3561">
        <f>IF('01_Вводные'!$B$234="Да",IF(IF('01_Вводные'!$B$296="Новый сезон",6-1&gt;MOD(MONTH('06_Сеть_и_дети'!W$3)-9,12),FALSE),'19_Расчет_аналитики'!W3449*CapacityAge06*'19_Расчет_аналитики'!$F$3247,0),0)</f>
        <v/>
      </c>
      <c r="X3561">
        <f>IF('01_Вводные'!$B$234="Да",IF(IF('01_Вводные'!$B$296="Новый сезон",6-1&gt;MOD(MONTH('06_Сеть_и_дети'!X$3)-9,12),FALSE),'19_Расчет_аналитики'!X3449*CapacityAge06*'19_Расчет_аналитики'!$F$3247,0),0)</f>
        <v/>
      </c>
      <c r="Y3561">
        <f>IF('01_Вводные'!$B$234="Да",IF(IF('01_Вводные'!$B$296="Новый сезон",6-1&gt;MOD(MONTH('06_Сеть_и_дети'!Y$3)-9,12),FALSE),'19_Расчет_аналитики'!Y3449*CapacityAge06*'19_Расчет_аналитики'!$F$3247,0),0)</f>
        <v/>
      </c>
      <c r="Z3561">
        <f>IF('01_Вводные'!$B$234="Да",IF(IF('01_Вводные'!$B$296="Новый сезон",6-1&gt;MOD(MONTH('06_Сеть_и_дети'!Z$3)-9,12),FALSE),'19_Расчет_аналитики'!Z3449*CapacityAge06*'19_Расчет_аналитики'!$F$3247,0),0)</f>
        <v/>
      </c>
      <c r="AA3561">
        <f>IF('01_Вводные'!$B$234="Да",IF(IF('01_Вводные'!$B$296="Новый сезон",6-1&gt;MOD(MONTH('06_Сеть_и_дети'!AA$3)-9,12),FALSE),'19_Расчет_аналитики'!AA3449*CapacityAge06*'19_Расчет_аналитики'!$F$3247,0),0)</f>
        <v/>
      </c>
      <c r="AB3561">
        <f>IF('01_Вводные'!$B$234="Да",IF(IF('01_Вводные'!$B$296="Новый сезон",6-1&gt;MOD(MONTH('06_Сеть_и_дети'!AB$3)-9,12),FALSE),'19_Расчет_аналитики'!AB3449*CapacityAge06*'19_Расчет_аналитики'!$F$3247,0),0)</f>
        <v/>
      </c>
      <c r="AC3561">
        <f>IF('01_Вводные'!$B$234="Да",IF(IF('01_Вводные'!$B$296="Новый сезон",6-1&gt;MOD(MONTH('06_Сеть_и_дети'!AC$3)-9,12),FALSE),'19_Расчет_аналитики'!AC3449*CapacityAge06*'19_Расчет_аналитики'!$F$3247,0),0)</f>
        <v/>
      </c>
      <c r="AD3561">
        <f>IF('01_Вводные'!$B$234="Да",IF(IF('01_Вводные'!$B$296="Новый сезон",6-1&gt;MOD(MONTH('06_Сеть_и_дети'!AD$3)-9,12),FALSE),'19_Расчет_аналитики'!AD3449*CapacityAge06*'19_Расчет_аналитики'!$F$3247,0),0)</f>
        <v/>
      </c>
      <c r="AE3561">
        <f>IF('01_Вводные'!$B$234="Да",IF(IF('01_Вводные'!$B$296="Новый сезон",6-1&gt;MOD(MONTH('06_Сеть_и_дети'!AE$3)-9,12),FALSE),'19_Расчет_аналитики'!AE3449*CapacityAge06*'19_Расчет_аналитики'!$F$3247,0),0)</f>
        <v/>
      </c>
      <c r="AF3561">
        <f>IF('01_Вводные'!$B$234="Да",IF(IF('01_Вводные'!$B$296="Новый сезон",6-1&gt;MOD(MONTH('06_Сеть_и_дети'!AF$3)-9,12),FALSE),'19_Расчет_аналитики'!AF3449*CapacityAge06*'19_Расчет_аналитики'!$F$3247,0),0)</f>
        <v/>
      </c>
      <c r="AG3561">
        <f>IF('01_Вводные'!$B$234="Да",IF(IF('01_Вводные'!$B$296="Новый сезон",6-1&gt;MOD(MONTH('06_Сеть_и_дети'!AG$3)-9,12),FALSE),'19_Расчет_аналитики'!AG3449*CapacityAge06*'19_Расчет_аналитики'!$F$3247,0),0)</f>
        <v/>
      </c>
      <c r="AH3561">
        <f>IF('01_Вводные'!$B$234="Да",IF(IF('01_Вводные'!$B$296="Новый сезон",6-1&gt;MOD(MONTH('06_Сеть_и_дети'!AH$3)-9,12),FALSE),'19_Расчет_аналитики'!AH3449*CapacityAge06*'19_Расчет_аналитики'!$F$3247,0),0)</f>
        <v/>
      </c>
      <c r="AI3561">
        <f>IF('01_Вводные'!$B$234="Да",IF(IF('01_Вводные'!$B$296="Новый сезон",6-1&gt;MOD(MONTH('06_Сеть_и_дети'!AI$3)-9,12),FALSE),'19_Расчет_аналитики'!AI3449*CapacityAge06*'19_Расчет_аналитики'!$F$3247,0),0)</f>
        <v/>
      </c>
      <c r="AJ3561">
        <f>IF('01_Вводные'!$B$234="Да",IF(IF('01_Вводные'!$B$296="Новый сезон",6-1&gt;MOD(MONTH('06_Сеть_и_дети'!AJ$3)-9,12),FALSE),'19_Расчет_аналитики'!AJ3449*CapacityAge06*'19_Расчет_аналитики'!$F$3247,0),0)</f>
        <v/>
      </c>
      <c r="AK3561">
        <f>IF('01_Вводные'!$B$234="Да",IF(IF('01_Вводные'!$B$296="Новый сезон",6-1&gt;MOD(MONTH('06_Сеть_и_дети'!AK$3)-9,12),FALSE),'19_Расчет_аналитики'!AK3449*CapacityAge06*'19_Расчет_аналитики'!$F$3247,0),0)</f>
        <v/>
      </c>
      <c r="AL3561">
        <f>IF('01_Вводные'!$B$234="Да",IF(IF('01_Вводные'!$B$296="Новый сезон",6-1&gt;MOD(MONTH('06_Сеть_и_дети'!AL$3)-9,12),FALSE),'19_Расчет_аналитики'!AL3449*CapacityAge06*'19_Расчет_аналитики'!$F$3247,0),0)</f>
        <v/>
      </c>
      <c r="AM3561">
        <f>IF('01_Вводные'!$B$234="Да",IF(IF('01_Вводные'!$B$296="Новый сезон",6-1&gt;MOD(MONTH('06_Сеть_и_дети'!AM$3)-9,12),FALSE),'19_Расчет_аналитики'!AM3449*CapacityAge06*'19_Расчет_аналитики'!$F$3247,0),0)</f>
        <v/>
      </c>
      <c r="AN3561">
        <f>IF('01_Вводные'!$B$234="Да",IF(IF('01_Вводные'!$B$296="Новый сезон",6-1&gt;MOD(MONTH('06_Сеть_и_дети'!AN$3)-9,12),FALSE),'19_Расчет_аналитики'!AN3449*CapacityAge06*'19_Расчет_аналитики'!$F$3247,0),0)</f>
        <v/>
      </c>
      <c r="AO3561">
        <f>IF('01_Вводные'!$B$234="Да",IF(IF('01_Вводные'!$B$296="Новый сезон",6-1&gt;MOD(MONTH('06_Сеть_и_дети'!AO$3)-9,12),FALSE),'19_Расчет_аналитики'!AO3449*CapacityAge06*'19_Расчет_аналитики'!$F$3247,0),0)</f>
        <v/>
      </c>
      <c r="AP3561">
        <f>IF('01_Вводные'!$B$234="Да",IF(IF('01_Вводные'!$B$296="Новый сезон",6-1&gt;MOD(MONTH('06_Сеть_и_дети'!AP$3)-9,12),FALSE),'19_Расчет_аналитики'!AP3449*CapacityAge06*'19_Расчет_аналитики'!$F$3247,0),0)</f>
        <v/>
      </c>
      <c r="AQ3561">
        <f>IF('01_Вводные'!$B$234="Да",IF(IF('01_Вводные'!$B$296="Новый сезон",6-1&gt;MOD(MONTH('06_Сеть_и_дети'!AQ$3)-9,12),FALSE),'19_Расчет_аналитики'!AQ3449*CapacityAge06*'19_Расчет_аналитики'!$F$3247,0),0)</f>
        <v/>
      </c>
      <c r="AR3561">
        <f>IF('01_Вводные'!$B$234="Да",IF(IF('01_Вводные'!$B$296="Новый сезон",6-1&gt;MOD(MONTH('06_Сеть_и_дети'!AR$3)-9,12),FALSE),'19_Расчет_аналитики'!AR3449*CapacityAge06*'19_Расчет_аналитики'!$F$3247,0),0)</f>
        <v/>
      </c>
      <c r="AS3561">
        <f>IF('01_Вводные'!$B$234="Да",IF(IF('01_Вводные'!$B$296="Новый сезон",6-1&gt;MOD(MONTH('06_Сеть_и_дети'!AS$3)-9,12),FALSE),'19_Расчет_аналитики'!AS3449*CapacityAge06*'19_Расчет_аналитики'!$F$3247,0),0)</f>
        <v/>
      </c>
      <c r="AT3561">
        <f>IF('01_Вводные'!$B$234="Да",IF(IF('01_Вводные'!$B$296="Новый сезон",6-1&gt;MOD(MONTH('06_Сеть_и_дети'!AT$3)-9,12),FALSE),'19_Расчет_аналитики'!AT3449*CapacityAge06*'19_Расчет_аналитики'!$F$3247,0),0)</f>
        <v/>
      </c>
      <c r="AU3561">
        <f>IF('01_Вводные'!$B$234="Да",IF(IF('01_Вводные'!$B$296="Новый сезон",6-1&gt;MOD(MONTH('06_Сеть_и_дети'!AU$3)-9,12),FALSE),'19_Расчет_аналитики'!AU3449*CapacityAge06*'19_Расчет_аналитики'!$F$3247,0),0)</f>
        <v/>
      </c>
      <c r="AV3561">
        <f>IF('01_Вводные'!$B$234="Да",IF(IF('01_Вводные'!$B$296="Новый сезон",6-1&gt;MOD(MONTH('06_Сеть_и_дети'!AV$3)-9,12),FALSE),'19_Расчет_аналитики'!AV3449*CapacityAge06*'19_Расчет_аналитики'!$F$3247,0),0)</f>
        <v/>
      </c>
      <c r="AW3561">
        <f>IF('01_Вводные'!$B$234="Да",IF(IF('01_Вводные'!$B$296="Новый сезон",6-1&gt;MOD(MONTH('06_Сеть_и_дети'!AW$3)-9,12),FALSE),'19_Расчет_аналитики'!AW3449*CapacityAge06*'19_Расчет_аналитики'!$F$3247,0),0)</f>
        <v/>
      </c>
      <c r="AX3561">
        <f>IF('01_Вводные'!$B$234="Да",IF(IF('01_Вводные'!$B$296="Новый сезон",6-1&gt;MOD(MONTH('06_Сеть_и_дети'!AX$3)-9,12),FALSE),'19_Расчет_аналитики'!AX3449*CapacityAge06*'19_Расчет_аналитики'!$F$3247,0),0)</f>
        <v/>
      </c>
      <c r="AY3561">
        <f>IF('01_Вводные'!$B$234="Да",IF(IF('01_Вводные'!$B$296="Новый сезон",6-1&gt;MOD(MONTH('06_Сеть_и_дети'!AY$3)-9,12),FALSE),'19_Расчет_аналитики'!AY3449*CapacityAge06*'19_Расчет_аналитики'!$F$3247,0),0)</f>
        <v/>
      </c>
      <c r="AZ3561">
        <f>IF('01_Вводные'!$B$234="Да",IF(IF('01_Вводные'!$B$296="Новый сезон",6-1&gt;MOD(MONTH('06_Сеть_и_дети'!AZ$3)-9,12),FALSE),'19_Расчет_аналитики'!AZ3449*CapacityAge06*'19_Расчет_аналитики'!$F$3247,0),0)</f>
        <v/>
      </c>
      <c r="BA3561">
        <f>IF('01_Вводные'!$B$234="Да",IF(IF('01_Вводные'!$B$296="Новый сезон",6-1&gt;MOD(MONTH('06_Сеть_и_дети'!BA$3)-9,12),FALSE),'19_Расчет_аналитики'!BA3449*CapacityAge06*'19_Расчет_аналитики'!$F$3247,0),0)</f>
        <v/>
      </c>
      <c r="BB3561">
        <f>IF('01_Вводные'!$B$234="Да",IF(IF('01_Вводные'!$B$296="Новый сезон",6-1&gt;MOD(MONTH('06_Сеть_и_дети'!BB$3)-9,12),FALSE),'19_Расчет_аналитики'!BB3449*CapacityAge06*'19_Расчет_аналитики'!$F$3247,0),0)</f>
        <v/>
      </c>
      <c r="BC3561">
        <f>IF('01_Вводные'!$B$234="Да",IF(IF('01_Вводные'!$B$296="Новый сезон",6-1&gt;MOD(MONTH('06_Сеть_и_дети'!BC$3)-9,12),FALSE),'19_Расчет_аналитики'!BC3449*CapacityAge06*'19_Расчет_аналитики'!$F$3247,0),0)</f>
        <v/>
      </c>
      <c r="BD3561">
        <f>IF('01_Вводные'!$B$234="Да",IF(IF('01_Вводные'!$B$296="Новый сезон",6-1&gt;MOD(MONTH('06_Сеть_и_дети'!BD$3)-9,12),FALSE),'19_Расчет_аналитики'!BD3449*CapacityAge06*'19_Расчет_аналитики'!$F$3247,0),0)</f>
        <v/>
      </c>
      <c r="BE3561">
        <f>IF('01_Вводные'!$B$234="Да",IF(IF('01_Вводные'!$B$296="Новый сезон",6-1&gt;MOD(MONTH('06_Сеть_и_дети'!BE$3)-9,12),FALSE),'19_Расчет_аналитики'!BE3449*CapacityAge06*'19_Расчет_аналитики'!$F$3247,0),0)</f>
        <v/>
      </c>
      <c r="BF3561">
        <f>IF('01_Вводные'!$B$234="Да",IF(IF('01_Вводные'!$B$296="Новый сезон",6-1&gt;MOD(MONTH('06_Сеть_и_дети'!BF$3)-9,12),FALSE),'19_Расчет_аналитики'!BF3449*CapacityAge06*'19_Расчет_аналитики'!$F$3247,0),0)</f>
        <v/>
      </c>
      <c r="BG3561">
        <f>IF('01_Вводные'!$B$234="Да",IF(IF('01_Вводные'!$B$296="Новый сезон",6-1&gt;MOD(MONTH('06_Сеть_и_дети'!BG$3)-9,12),FALSE),'19_Расчет_аналитики'!BG3449*CapacityAge06*'19_Расчет_аналитики'!$F$3247,0),0)</f>
        <v/>
      </c>
      <c r="BH3561">
        <f>IF('01_Вводные'!$B$234="Да",IF(IF('01_Вводные'!$B$296="Новый сезон",6-1&gt;MOD(MONTH('06_Сеть_и_дети'!BH$3)-9,12),FALSE),'19_Расчет_аналитики'!BH3449*CapacityAge06*'19_Расчет_аналитики'!$F$3247,0),0)</f>
        <v/>
      </c>
      <c r="BI3561">
        <f>IF('01_Вводные'!$B$234="Да",IF(IF('01_Вводные'!$B$296="Новый сезон",6-1&gt;MOD(MONTH('06_Сеть_и_дети'!BI$3)-9,12),FALSE),'19_Расчет_аналитики'!BI3449*CapacityAge06*'19_Расчет_аналитики'!$F$3247,0),0)</f>
        <v/>
      </c>
      <c r="BJ3561">
        <f>IF('01_Вводные'!$B$234="Да",IF(IF('01_Вводные'!$B$296="Новый сезон",6-1&gt;MOD(MONTH('06_Сеть_и_дети'!BJ$3)-9,12),FALSE),'19_Расчет_аналитики'!BJ3449*CapacityAge06*'19_Расчет_аналитики'!$F$3247,0),0)</f>
        <v/>
      </c>
      <c r="BK3561">
        <f>IF('01_Вводные'!$B$234="Да",IF(IF('01_Вводные'!$B$296="Новый сезон",6-1&gt;MOD(MONTH('06_Сеть_и_дети'!BK$3)-9,12),FALSE),'19_Расчет_аналитики'!BK3449*CapacityAge06*'19_Расчет_аналитики'!$F$3247,0),0)</f>
        <v/>
      </c>
      <c r="BL3561">
        <f>IF('01_Вводные'!$B$234="Да",IF(IF('01_Вводные'!$B$296="Новый сезон",6-1&gt;MOD(MONTH('06_Сеть_и_дети'!BL$3)-9,12),FALSE),'19_Расчет_аналитики'!BL3449*CapacityAge06*'19_Расчет_аналитики'!$F$3247,0),0)</f>
        <v/>
      </c>
      <c r="BM3561">
        <f>IF('01_Вводные'!$B$234="Да",IF(IF('01_Вводные'!$B$296="Новый сезон",6-1&gt;MOD(MONTH('06_Сеть_и_дети'!BM$3)-9,12),FALSE),'19_Расчет_аналитики'!BM3449*CapacityAge06*'19_Расчет_аналитики'!$F$3247,0),0)</f>
        <v/>
      </c>
      <c r="BN3561">
        <f>IF('01_Вводные'!$B$234="Да",IF(IF('01_Вводные'!$B$296="Новый сезон",6-1&gt;MOD(MONTH('06_Сеть_и_дети'!BN$3)-9,12),FALSE),'19_Расчет_аналитики'!BN3449*CapacityAge06*'19_Расчет_аналитики'!$F$3247,0),0)</f>
        <v/>
      </c>
      <c r="BO3561">
        <f>IF('01_Вводные'!$B$234="Да",IF(IF('01_Вводные'!$B$296="Новый сезон",6-1&gt;MOD(MONTH('06_Сеть_и_дети'!BO$3)-9,12),FALSE),'19_Расчет_аналитики'!BO3449*CapacityAge06*'19_Расчет_аналитики'!$F$3247,0),0)</f>
        <v/>
      </c>
    </row>
    <row r="3562">
      <c r="B3562">
        <f>IF('01_Вводные'!$B$234="Да",IF(IF('01_Вводные'!$B$296="Новый сезон",7-1&gt;MOD(MONTH('06_Сеть_и_дети'!B$3)-9,12),FALSE),'06_Сеть_и_дети'!B59*CapacityAge07*'19_Расчет_аналитики'!$F$3247,0),0)</f>
        <v/>
      </c>
      <c r="C3562">
        <f>IF('01_Вводные'!$B$234="Да",IF(IF('01_Вводные'!$B$296="Новый сезон",7-1&gt;MOD(MONTH('06_Сеть_и_дети'!C$3)-9,12),FALSE),'06_Сеть_и_дети'!C59*CapacityAge07*'19_Расчет_аналитики'!$F$3247,0),0)</f>
        <v/>
      </c>
      <c r="D3562">
        <f>IF('01_Вводные'!$B$234="Да",IF(IF('01_Вводные'!$B$296="Новый сезон",7-1&gt;MOD(MONTH('06_Сеть_и_дети'!D$3)-9,12),FALSE),'06_Сеть_и_дети'!D59*CapacityAge07*'19_Расчет_аналитики'!$F$3247,0),0)</f>
        <v/>
      </c>
      <c r="E3562">
        <f>IF('01_Вводные'!$B$234="Да",IF(IF('01_Вводные'!$B$296="Новый сезон",7-1&gt;MOD(MONTH('06_Сеть_и_дети'!E$3)-9,12),FALSE),'06_Сеть_и_дети'!E59*CapacityAge07*'19_Расчет_аналитики'!$F$3247,0),0)</f>
        <v/>
      </c>
      <c r="F3562">
        <f>IF('01_Вводные'!$B$234="Да",IF(IF('01_Вводные'!$B$296="Новый сезон",7-1&gt;MOD(MONTH('06_Сеть_и_дети'!F$3)-9,12),FALSE),'06_Сеть_и_дети'!F59*CapacityAge07*'19_Расчет_аналитики'!$F$3247,0),0)</f>
        <v/>
      </c>
      <c r="G3562">
        <f>IF('01_Вводные'!$B$234="Да",IF(IF('01_Вводные'!$B$296="Новый сезон",7-1&gt;MOD(MONTH('06_Сеть_и_дети'!G$3)-9,12),FALSE),'06_Сеть_и_дети'!G59*CapacityAge07*'19_Расчет_аналитики'!$F$3247,0),0)</f>
        <v/>
      </c>
      <c r="H3562">
        <f>IF('01_Вводные'!$B$234="Да",IF(IF('01_Вводные'!$B$296="Новый сезон",7-1&gt;MOD(MONTH('06_Сеть_и_дети'!H$3)-9,12),FALSE),'19_Расчет_аналитики'!H3450*CapacityAge07*'19_Расчет_аналитики'!$F$3247,0),0)</f>
        <v/>
      </c>
      <c r="I3562">
        <f>IF('01_Вводные'!$B$234="Да",IF(IF('01_Вводные'!$B$296="Новый сезон",7-1&gt;MOD(MONTH('06_Сеть_и_дети'!I$3)-9,12),FALSE),'19_Расчет_аналитики'!I3450*CapacityAge07*'19_Расчет_аналитики'!$F$3247,0),0)</f>
        <v/>
      </c>
      <c r="J3562">
        <f>IF('01_Вводные'!$B$234="Да",IF(IF('01_Вводные'!$B$296="Новый сезон",7-1&gt;MOD(MONTH('06_Сеть_и_дети'!J$3)-9,12),FALSE),'19_Расчет_аналитики'!J3450*CapacityAge07*'19_Расчет_аналитики'!$F$3247,0),0)</f>
        <v/>
      </c>
      <c r="K3562">
        <f>IF('01_Вводные'!$B$234="Да",IF(IF('01_Вводные'!$B$296="Новый сезон",7-1&gt;MOD(MONTH('06_Сеть_и_дети'!K$3)-9,12),FALSE),'19_Расчет_аналитики'!K3450*CapacityAge07*'19_Расчет_аналитики'!$F$3247,0),0)</f>
        <v/>
      </c>
      <c r="L3562">
        <f>IF('01_Вводные'!$B$234="Да",IF(IF('01_Вводные'!$B$296="Новый сезон",7-1&gt;MOD(MONTH('06_Сеть_и_дети'!L$3)-9,12),FALSE),'19_Расчет_аналитики'!L3450*CapacityAge07*'19_Расчет_аналитики'!$F$3247,0),0)</f>
        <v/>
      </c>
      <c r="M3562">
        <f>IF('01_Вводные'!$B$234="Да",IF(IF('01_Вводные'!$B$296="Новый сезон",7-1&gt;MOD(MONTH('06_Сеть_и_дети'!M$3)-9,12),FALSE),'19_Расчет_аналитики'!M3450*CapacityAge07*'19_Расчет_аналитики'!$F$3247,0),0)</f>
        <v/>
      </c>
      <c r="N3562">
        <f>IF('01_Вводные'!$B$234="Да",IF(IF('01_Вводные'!$B$296="Новый сезон",7-1&gt;MOD(MONTH('06_Сеть_и_дети'!N$3)-9,12),FALSE),'19_Расчет_аналитики'!N3450*CapacityAge07*'19_Расчет_аналитики'!$F$3247,0),0)</f>
        <v/>
      </c>
      <c r="O3562">
        <f>IF('01_Вводные'!$B$234="Да",IF(IF('01_Вводные'!$B$296="Новый сезон",7-1&gt;MOD(MONTH('06_Сеть_и_дети'!O$3)-9,12),FALSE),'19_Расчет_аналитики'!O3450*CapacityAge07*'19_Расчет_аналитики'!$F$3247,0),0)</f>
        <v/>
      </c>
      <c r="P3562">
        <f>IF('01_Вводные'!$B$234="Да",IF(IF('01_Вводные'!$B$296="Новый сезон",7-1&gt;MOD(MONTH('06_Сеть_и_дети'!P$3)-9,12),FALSE),'19_Расчет_аналитики'!P3450*CapacityAge07*'19_Расчет_аналитики'!$F$3247,0),0)</f>
        <v/>
      </c>
      <c r="Q3562">
        <f>IF('01_Вводные'!$B$234="Да",IF(IF('01_Вводные'!$B$296="Новый сезон",7-1&gt;MOD(MONTH('06_Сеть_и_дети'!Q$3)-9,12),FALSE),'19_Расчет_аналитики'!Q3450*CapacityAge07*'19_Расчет_аналитики'!$F$3247,0),0)</f>
        <v/>
      </c>
      <c r="R3562">
        <f>IF('01_Вводные'!$B$234="Да",IF(IF('01_Вводные'!$B$296="Новый сезон",7-1&gt;MOD(MONTH('06_Сеть_и_дети'!R$3)-9,12),FALSE),'19_Расчет_аналитики'!R3450*CapacityAge07*'19_Расчет_аналитики'!$F$3247,0),0)</f>
        <v/>
      </c>
      <c r="S3562">
        <f>IF('01_Вводные'!$B$234="Да",IF(IF('01_Вводные'!$B$296="Новый сезон",7-1&gt;MOD(MONTH('06_Сеть_и_дети'!S$3)-9,12),FALSE),'19_Расчет_аналитики'!S3450*CapacityAge07*'19_Расчет_аналитики'!$F$3247,0),0)</f>
        <v/>
      </c>
      <c r="T3562">
        <f>IF('01_Вводные'!$B$234="Да",IF(IF('01_Вводные'!$B$296="Новый сезон",7-1&gt;MOD(MONTH('06_Сеть_и_дети'!T$3)-9,12),FALSE),'19_Расчет_аналитики'!T3450*CapacityAge07*'19_Расчет_аналитики'!$F$3247,0),0)</f>
        <v/>
      </c>
      <c r="U3562">
        <f>IF('01_Вводные'!$B$234="Да",IF(IF('01_Вводные'!$B$296="Новый сезон",7-1&gt;MOD(MONTH('06_Сеть_и_дети'!U$3)-9,12),FALSE),'19_Расчет_аналитики'!U3450*CapacityAge07*'19_Расчет_аналитики'!$F$3247,0),0)</f>
        <v/>
      </c>
      <c r="V3562">
        <f>IF('01_Вводные'!$B$234="Да",IF(IF('01_Вводные'!$B$296="Новый сезон",7-1&gt;MOD(MONTH('06_Сеть_и_дети'!V$3)-9,12),FALSE),'19_Расчет_аналитики'!V3450*CapacityAge07*'19_Расчет_аналитики'!$F$3247,0),0)</f>
        <v/>
      </c>
      <c r="W3562">
        <f>IF('01_Вводные'!$B$234="Да",IF(IF('01_Вводные'!$B$296="Новый сезон",7-1&gt;MOD(MONTH('06_Сеть_и_дети'!W$3)-9,12),FALSE),'19_Расчет_аналитики'!W3450*CapacityAge07*'19_Расчет_аналитики'!$F$3247,0),0)</f>
        <v/>
      </c>
      <c r="X3562">
        <f>IF('01_Вводные'!$B$234="Да",IF(IF('01_Вводные'!$B$296="Новый сезон",7-1&gt;MOD(MONTH('06_Сеть_и_дети'!X$3)-9,12),FALSE),'19_Расчет_аналитики'!X3450*CapacityAge07*'19_Расчет_аналитики'!$F$3247,0),0)</f>
        <v/>
      </c>
      <c r="Y3562">
        <f>IF('01_Вводные'!$B$234="Да",IF(IF('01_Вводные'!$B$296="Новый сезон",7-1&gt;MOD(MONTH('06_Сеть_и_дети'!Y$3)-9,12),FALSE),'19_Расчет_аналитики'!Y3450*CapacityAge07*'19_Расчет_аналитики'!$F$3247,0),0)</f>
        <v/>
      </c>
      <c r="Z3562">
        <f>IF('01_Вводные'!$B$234="Да",IF(IF('01_Вводные'!$B$296="Новый сезон",7-1&gt;MOD(MONTH('06_Сеть_и_дети'!Z$3)-9,12),FALSE),'19_Расчет_аналитики'!Z3450*CapacityAge07*'19_Расчет_аналитики'!$F$3247,0),0)</f>
        <v/>
      </c>
      <c r="AA3562">
        <f>IF('01_Вводные'!$B$234="Да",IF(IF('01_Вводные'!$B$296="Новый сезон",7-1&gt;MOD(MONTH('06_Сеть_и_дети'!AA$3)-9,12),FALSE),'19_Расчет_аналитики'!AA3450*CapacityAge07*'19_Расчет_аналитики'!$F$3247,0),0)</f>
        <v/>
      </c>
      <c r="AB3562">
        <f>IF('01_Вводные'!$B$234="Да",IF(IF('01_Вводные'!$B$296="Новый сезон",7-1&gt;MOD(MONTH('06_Сеть_и_дети'!AB$3)-9,12),FALSE),'19_Расчет_аналитики'!AB3450*CapacityAge07*'19_Расчет_аналитики'!$F$3247,0),0)</f>
        <v/>
      </c>
      <c r="AC3562">
        <f>IF('01_Вводные'!$B$234="Да",IF(IF('01_Вводные'!$B$296="Новый сезон",7-1&gt;MOD(MONTH('06_Сеть_и_дети'!AC$3)-9,12),FALSE),'19_Расчет_аналитики'!AC3450*CapacityAge07*'19_Расчет_аналитики'!$F$3247,0),0)</f>
        <v/>
      </c>
      <c r="AD3562">
        <f>IF('01_Вводные'!$B$234="Да",IF(IF('01_Вводные'!$B$296="Новый сезон",7-1&gt;MOD(MONTH('06_Сеть_и_дети'!AD$3)-9,12),FALSE),'19_Расчет_аналитики'!AD3450*CapacityAge07*'19_Расчет_аналитики'!$F$3247,0),0)</f>
        <v/>
      </c>
      <c r="AE3562">
        <f>IF('01_Вводные'!$B$234="Да",IF(IF('01_Вводные'!$B$296="Новый сезон",7-1&gt;MOD(MONTH('06_Сеть_и_дети'!AE$3)-9,12),FALSE),'19_Расчет_аналитики'!AE3450*CapacityAge07*'19_Расчет_аналитики'!$F$3247,0),0)</f>
        <v/>
      </c>
      <c r="AF3562">
        <f>IF('01_Вводные'!$B$234="Да",IF(IF('01_Вводные'!$B$296="Новый сезон",7-1&gt;MOD(MONTH('06_Сеть_и_дети'!AF$3)-9,12),FALSE),'19_Расчет_аналитики'!AF3450*CapacityAge07*'19_Расчет_аналитики'!$F$3247,0),0)</f>
        <v/>
      </c>
      <c r="AG3562">
        <f>IF('01_Вводные'!$B$234="Да",IF(IF('01_Вводные'!$B$296="Новый сезон",7-1&gt;MOD(MONTH('06_Сеть_и_дети'!AG$3)-9,12),FALSE),'19_Расчет_аналитики'!AG3450*CapacityAge07*'19_Расчет_аналитики'!$F$3247,0),0)</f>
        <v/>
      </c>
      <c r="AH3562">
        <f>IF('01_Вводные'!$B$234="Да",IF(IF('01_Вводные'!$B$296="Новый сезон",7-1&gt;MOD(MONTH('06_Сеть_и_дети'!AH$3)-9,12),FALSE),'19_Расчет_аналитики'!AH3450*CapacityAge07*'19_Расчет_аналитики'!$F$3247,0),0)</f>
        <v/>
      </c>
      <c r="AI3562">
        <f>IF('01_Вводные'!$B$234="Да",IF(IF('01_Вводные'!$B$296="Новый сезон",7-1&gt;MOD(MONTH('06_Сеть_и_дети'!AI$3)-9,12),FALSE),'19_Расчет_аналитики'!AI3450*CapacityAge07*'19_Расчет_аналитики'!$F$3247,0),0)</f>
        <v/>
      </c>
      <c r="AJ3562">
        <f>IF('01_Вводные'!$B$234="Да",IF(IF('01_Вводные'!$B$296="Новый сезон",7-1&gt;MOD(MONTH('06_Сеть_и_дети'!AJ$3)-9,12),FALSE),'19_Расчет_аналитики'!AJ3450*CapacityAge07*'19_Расчет_аналитики'!$F$3247,0),0)</f>
        <v/>
      </c>
      <c r="AK3562">
        <f>IF('01_Вводные'!$B$234="Да",IF(IF('01_Вводные'!$B$296="Новый сезон",7-1&gt;MOD(MONTH('06_Сеть_и_дети'!AK$3)-9,12),FALSE),'19_Расчет_аналитики'!AK3450*CapacityAge07*'19_Расчет_аналитики'!$F$3247,0),0)</f>
        <v/>
      </c>
      <c r="AL3562">
        <f>IF('01_Вводные'!$B$234="Да",IF(IF('01_Вводные'!$B$296="Новый сезон",7-1&gt;MOD(MONTH('06_Сеть_и_дети'!AL$3)-9,12),FALSE),'19_Расчет_аналитики'!AL3450*CapacityAge07*'19_Расчет_аналитики'!$F$3247,0),0)</f>
        <v/>
      </c>
      <c r="AM3562">
        <f>IF('01_Вводные'!$B$234="Да",IF(IF('01_Вводные'!$B$296="Новый сезон",7-1&gt;MOD(MONTH('06_Сеть_и_дети'!AM$3)-9,12),FALSE),'19_Расчет_аналитики'!AM3450*CapacityAge07*'19_Расчет_аналитики'!$F$3247,0),0)</f>
        <v/>
      </c>
      <c r="AN3562">
        <f>IF('01_Вводные'!$B$234="Да",IF(IF('01_Вводные'!$B$296="Новый сезон",7-1&gt;MOD(MONTH('06_Сеть_и_дети'!AN$3)-9,12),FALSE),'19_Расчет_аналитики'!AN3450*CapacityAge07*'19_Расчет_аналитики'!$F$3247,0),0)</f>
        <v/>
      </c>
      <c r="AO3562">
        <f>IF('01_Вводные'!$B$234="Да",IF(IF('01_Вводные'!$B$296="Новый сезон",7-1&gt;MOD(MONTH('06_Сеть_и_дети'!AO$3)-9,12),FALSE),'19_Расчет_аналитики'!AO3450*CapacityAge07*'19_Расчет_аналитики'!$F$3247,0),0)</f>
        <v/>
      </c>
      <c r="AP3562">
        <f>IF('01_Вводные'!$B$234="Да",IF(IF('01_Вводные'!$B$296="Новый сезон",7-1&gt;MOD(MONTH('06_Сеть_и_дети'!AP$3)-9,12),FALSE),'19_Расчет_аналитики'!AP3450*CapacityAge07*'19_Расчет_аналитики'!$F$3247,0),0)</f>
        <v/>
      </c>
      <c r="AQ3562">
        <f>IF('01_Вводные'!$B$234="Да",IF(IF('01_Вводные'!$B$296="Новый сезон",7-1&gt;MOD(MONTH('06_Сеть_и_дети'!AQ$3)-9,12),FALSE),'19_Расчет_аналитики'!AQ3450*CapacityAge07*'19_Расчет_аналитики'!$F$3247,0),0)</f>
        <v/>
      </c>
      <c r="AR3562">
        <f>IF('01_Вводные'!$B$234="Да",IF(IF('01_Вводные'!$B$296="Новый сезон",7-1&gt;MOD(MONTH('06_Сеть_и_дети'!AR$3)-9,12),FALSE),'19_Расчет_аналитики'!AR3450*CapacityAge07*'19_Расчет_аналитики'!$F$3247,0),0)</f>
        <v/>
      </c>
      <c r="AS3562">
        <f>IF('01_Вводные'!$B$234="Да",IF(IF('01_Вводные'!$B$296="Новый сезон",7-1&gt;MOD(MONTH('06_Сеть_и_дети'!AS$3)-9,12),FALSE),'19_Расчет_аналитики'!AS3450*CapacityAge07*'19_Расчет_аналитики'!$F$3247,0),0)</f>
        <v/>
      </c>
      <c r="AT3562">
        <f>IF('01_Вводные'!$B$234="Да",IF(IF('01_Вводные'!$B$296="Новый сезон",7-1&gt;MOD(MONTH('06_Сеть_и_дети'!AT$3)-9,12),FALSE),'19_Расчет_аналитики'!AT3450*CapacityAge07*'19_Расчет_аналитики'!$F$3247,0),0)</f>
        <v/>
      </c>
      <c r="AU3562">
        <f>IF('01_Вводные'!$B$234="Да",IF(IF('01_Вводные'!$B$296="Новый сезон",7-1&gt;MOD(MONTH('06_Сеть_и_дети'!AU$3)-9,12),FALSE),'19_Расчет_аналитики'!AU3450*CapacityAge07*'19_Расчет_аналитики'!$F$3247,0),0)</f>
        <v/>
      </c>
      <c r="AV3562">
        <f>IF('01_Вводные'!$B$234="Да",IF(IF('01_Вводные'!$B$296="Новый сезон",7-1&gt;MOD(MONTH('06_Сеть_и_дети'!AV$3)-9,12),FALSE),'19_Расчет_аналитики'!AV3450*CapacityAge07*'19_Расчет_аналитики'!$F$3247,0),0)</f>
        <v/>
      </c>
      <c r="AW3562">
        <f>IF('01_Вводные'!$B$234="Да",IF(IF('01_Вводные'!$B$296="Новый сезон",7-1&gt;MOD(MONTH('06_Сеть_и_дети'!AW$3)-9,12),FALSE),'19_Расчет_аналитики'!AW3450*CapacityAge07*'19_Расчет_аналитики'!$F$3247,0),0)</f>
        <v/>
      </c>
      <c r="AX3562">
        <f>IF('01_Вводные'!$B$234="Да",IF(IF('01_Вводные'!$B$296="Новый сезон",7-1&gt;MOD(MONTH('06_Сеть_и_дети'!AX$3)-9,12),FALSE),'19_Расчет_аналитики'!AX3450*CapacityAge07*'19_Расчет_аналитики'!$F$3247,0),0)</f>
        <v/>
      </c>
      <c r="AY3562">
        <f>IF('01_Вводные'!$B$234="Да",IF(IF('01_Вводные'!$B$296="Новый сезон",7-1&gt;MOD(MONTH('06_Сеть_и_дети'!AY$3)-9,12),FALSE),'19_Расчет_аналитики'!AY3450*CapacityAge07*'19_Расчет_аналитики'!$F$3247,0),0)</f>
        <v/>
      </c>
      <c r="AZ3562">
        <f>IF('01_Вводные'!$B$234="Да",IF(IF('01_Вводные'!$B$296="Новый сезон",7-1&gt;MOD(MONTH('06_Сеть_и_дети'!AZ$3)-9,12),FALSE),'19_Расчет_аналитики'!AZ3450*CapacityAge07*'19_Расчет_аналитики'!$F$3247,0),0)</f>
        <v/>
      </c>
      <c r="BA3562">
        <f>IF('01_Вводные'!$B$234="Да",IF(IF('01_Вводные'!$B$296="Новый сезон",7-1&gt;MOD(MONTH('06_Сеть_и_дети'!BA$3)-9,12),FALSE),'19_Расчет_аналитики'!BA3450*CapacityAge07*'19_Расчет_аналитики'!$F$3247,0),0)</f>
        <v/>
      </c>
      <c r="BB3562">
        <f>IF('01_Вводные'!$B$234="Да",IF(IF('01_Вводные'!$B$296="Новый сезон",7-1&gt;MOD(MONTH('06_Сеть_и_дети'!BB$3)-9,12),FALSE),'19_Расчет_аналитики'!BB3450*CapacityAge07*'19_Расчет_аналитики'!$F$3247,0),0)</f>
        <v/>
      </c>
      <c r="BC3562">
        <f>IF('01_Вводные'!$B$234="Да",IF(IF('01_Вводные'!$B$296="Новый сезон",7-1&gt;MOD(MONTH('06_Сеть_и_дети'!BC$3)-9,12),FALSE),'19_Расчет_аналитики'!BC3450*CapacityAge07*'19_Расчет_аналитики'!$F$3247,0),0)</f>
        <v/>
      </c>
      <c r="BD3562">
        <f>IF('01_Вводные'!$B$234="Да",IF(IF('01_Вводные'!$B$296="Новый сезон",7-1&gt;MOD(MONTH('06_Сеть_и_дети'!BD$3)-9,12),FALSE),'19_Расчет_аналитики'!BD3450*CapacityAge07*'19_Расчет_аналитики'!$F$3247,0),0)</f>
        <v/>
      </c>
      <c r="BE3562">
        <f>IF('01_Вводные'!$B$234="Да",IF(IF('01_Вводные'!$B$296="Новый сезон",7-1&gt;MOD(MONTH('06_Сеть_и_дети'!BE$3)-9,12),FALSE),'19_Расчет_аналитики'!BE3450*CapacityAge07*'19_Расчет_аналитики'!$F$3247,0),0)</f>
        <v/>
      </c>
      <c r="BF3562">
        <f>IF('01_Вводные'!$B$234="Да",IF(IF('01_Вводные'!$B$296="Новый сезон",7-1&gt;MOD(MONTH('06_Сеть_и_дети'!BF$3)-9,12),FALSE),'19_Расчет_аналитики'!BF3450*CapacityAge07*'19_Расчет_аналитики'!$F$3247,0),0)</f>
        <v/>
      </c>
      <c r="BG3562">
        <f>IF('01_Вводные'!$B$234="Да",IF(IF('01_Вводные'!$B$296="Новый сезон",7-1&gt;MOD(MONTH('06_Сеть_и_дети'!BG$3)-9,12),FALSE),'19_Расчет_аналитики'!BG3450*CapacityAge07*'19_Расчет_аналитики'!$F$3247,0),0)</f>
        <v/>
      </c>
      <c r="BH3562">
        <f>IF('01_Вводные'!$B$234="Да",IF(IF('01_Вводные'!$B$296="Новый сезон",7-1&gt;MOD(MONTH('06_Сеть_и_дети'!BH$3)-9,12),FALSE),'19_Расчет_аналитики'!BH3450*CapacityAge07*'19_Расчет_аналитики'!$F$3247,0),0)</f>
        <v/>
      </c>
      <c r="BI3562">
        <f>IF('01_Вводные'!$B$234="Да",IF(IF('01_Вводные'!$B$296="Новый сезон",7-1&gt;MOD(MONTH('06_Сеть_и_дети'!BI$3)-9,12),FALSE),'19_Расчет_аналитики'!BI3450*CapacityAge07*'19_Расчет_аналитики'!$F$3247,0),0)</f>
        <v/>
      </c>
      <c r="BJ3562">
        <f>IF('01_Вводные'!$B$234="Да",IF(IF('01_Вводные'!$B$296="Новый сезон",7-1&gt;MOD(MONTH('06_Сеть_и_дети'!BJ$3)-9,12),FALSE),'19_Расчет_аналитики'!BJ3450*CapacityAge07*'19_Расчет_аналитики'!$F$3247,0),0)</f>
        <v/>
      </c>
      <c r="BK3562">
        <f>IF('01_Вводные'!$B$234="Да",IF(IF('01_Вводные'!$B$296="Новый сезон",7-1&gt;MOD(MONTH('06_Сеть_и_дети'!BK$3)-9,12),FALSE),'19_Расчет_аналитики'!BK3450*CapacityAge07*'19_Расчет_аналитики'!$F$3247,0),0)</f>
        <v/>
      </c>
      <c r="BL3562">
        <f>IF('01_Вводные'!$B$234="Да",IF(IF('01_Вводные'!$B$296="Новый сезон",7-1&gt;MOD(MONTH('06_Сеть_и_дети'!BL$3)-9,12),FALSE),'19_Расчет_аналитики'!BL3450*CapacityAge07*'19_Расчет_аналитики'!$F$3247,0),0)</f>
        <v/>
      </c>
      <c r="BM3562">
        <f>IF('01_Вводные'!$B$234="Да",IF(IF('01_Вводные'!$B$296="Новый сезон",7-1&gt;MOD(MONTH('06_Сеть_и_дети'!BM$3)-9,12),FALSE),'19_Расчет_аналитики'!BM3450*CapacityAge07*'19_Расчет_аналитики'!$F$3247,0),0)</f>
        <v/>
      </c>
      <c r="BN3562">
        <f>IF('01_Вводные'!$B$234="Да",IF(IF('01_Вводные'!$B$296="Новый сезон",7-1&gt;MOD(MONTH('06_Сеть_и_дети'!BN$3)-9,12),FALSE),'19_Расчет_аналитики'!BN3450*CapacityAge07*'19_Расчет_аналитики'!$F$3247,0),0)</f>
        <v/>
      </c>
      <c r="BO3562">
        <f>IF('01_Вводные'!$B$234="Да",IF(IF('01_Вводные'!$B$296="Новый сезон",7-1&gt;MOD(MONTH('06_Сеть_и_дети'!BO$3)-9,12),FALSE),'19_Расчет_аналитики'!BO3450*CapacityAge07*'19_Расчет_аналитики'!$F$3247,0),0)</f>
        <v/>
      </c>
    </row>
    <row r="3563">
      <c r="B3563">
        <f>IF('01_Вводные'!$B$234="Да",IF(IF('01_Вводные'!$B$296="Новый сезон",8-1&gt;MOD(MONTH('06_Сеть_и_дети'!B$3)-9,12),FALSE),'06_Сеть_и_дети'!B60*CapacityAge08*'19_Расчет_аналитики'!$F$3247,0),0)</f>
        <v/>
      </c>
      <c r="C3563">
        <f>IF('01_Вводные'!$B$234="Да",IF(IF('01_Вводные'!$B$296="Новый сезон",8-1&gt;MOD(MONTH('06_Сеть_и_дети'!C$3)-9,12),FALSE),'06_Сеть_и_дети'!C60*CapacityAge08*'19_Расчет_аналитики'!$F$3247,0),0)</f>
        <v/>
      </c>
      <c r="D3563">
        <f>IF('01_Вводные'!$B$234="Да",IF(IF('01_Вводные'!$B$296="Новый сезон",8-1&gt;MOD(MONTH('06_Сеть_и_дети'!D$3)-9,12),FALSE),'06_Сеть_и_дети'!D60*CapacityAge08*'19_Расчет_аналитики'!$F$3247,0),0)</f>
        <v/>
      </c>
      <c r="E3563">
        <f>IF('01_Вводные'!$B$234="Да",IF(IF('01_Вводные'!$B$296="Новый сезон",8-1&gt;MOD(MONTH('06_Сеть_и_дети'!E$3)-9,12),FALSE),'06_Сеть_и_дети'!E60*CapacityAge08*'19_Расчет_аналитики'!$F$3247,0),0)</f>
        <v/>
      </c>
      <c r="F3563">
        <f>IF('01_Вводные'!$B$234="Да",IF(IF('01_Вводные'!$B$296="Новый сезон",8-1&gt;MOD(MONTH('06_Сеть_и_дети'!F$3)-9,12),FALSE),'06_Сеть_и_дети'!F60*CapacityAge08*'19_Расчет_аналитики'!$F$3247,0),0)</f>
        <v/>
      </c>
      <c r="G3563">
        <f>IF('01_Вводные'!$B$234="Да",IF(IF('01_Вводные'!$B$296="Новый сезон",8-1&gt;MOD(MONTH('06_Сеть_и_дети'!G$3)-9,12),FALSE),'06_Сеть_и_дети'!G60*CapacityAge08*'19_Расчет_аналитики'!$F$3247,0),0)</f>
        <v/>
      </c>
      <c r="H3563">
        <f>IF('01_Вводные'!$B$234="Да",IF(IF('01_Вводные'!$B$296="Новый сезон",8-1&gt;MOD(MONTH('06_Сеть_и_дети'!H$3)-9,12),FALSE),'06_Сеть_и_дети'!H60*CapacityAge08*'19_Расчет_аналитики'!$F$3247,0),0)</f>
        <v/>
      </c>
      <c r="I3563">
        <f>IF('01_Вводные'!$B$234="Да",IF(IF('01_Вводные'!$B$296="Новый сезон",8-1&gt;MOD(MONTH('06_Сеть_и_дети'!I$3)-9,12),FALSE),'19_Расчет_аналитики'!I3451*CapacityAge08*'19_Расчет_аналитики'!$F$3247,0),0)</f>
        <v/>
      </c>
      <c r="J3563">
        <f>IF('01_Вводные'!$B$234="Да",IF(IF('01_Вводные'!$B$296="Новый сезон",8-1&gt;MOD(MONTH('06_Сеть_и_дети'!J$3)-9,12),FALSE),'19_Расчет_аналитики'!J3451*CapacityAge08*'19_Расчет_аналитики'!$F$3247,0),0)</f>
        <v/>
      </c>
      <c r="K3563">
        <f>IF('01_Вводные'!$B$234="Да",IF(IF('01_Вводные'!$B$296="Новый сезон",8-1&gt;MOD(MONTH('06_Сеть_и_дети'!K$3)-9,12),FALSE),'19_Расчет_аналитики'!K3451*CapacityAge08*'19_Расчет_аналитики'!$F$3247,0),0)</f>
        <v/>
      </c>
      <c r="L3563">
        <f>IF('01_Вводные'!$B$234="Да",IF(IF('01_Вводные'!$B$296="Новый сезон",8-1&gt;MOD(MONTH('06_Сеть_и_дети'!L$3)-9,12),FALSE),'19_Расчет_аналитики'!L3451*CapacityAge08*'19_Расчет_аналитики'!$F$3247,0),0)</f>
        <v/>
      </c>
      <c r="M3563">
        <f>IF('01_Вводные'!$B$234="Да",IF(IF('01_Вводные'!$B$296="Новый сезон",8-1&gt;MOD(MONTH('06_Сеть_и_дети'!M$3)-9,12),FALSE),'19_Расчет_аналитики'!M3451*CapacityAge08*'19_Расчет_аналитики'!$F$3247,0),0)</f>
        <v/>
      </c>
      <c r="N3563">
        <f>IF('01_Вводные'!$B$234="Да",IF(IF('01_Вводные'!$B$296="Новый сезон",8-1&gt;MOD(MONTH('06_Сеть_и_дети'!N$3)-9,12),FALSE),'19_Расчет_аналитики'!N3451*CapacityAge08*'19_Расчет_аналитики'!$F$3247,0),0)</f>
        <v/>
      </c>
      <c r="O3563">
        <f>IF('01_Вводные'!$B$234="Да",IF(IF('01_Вводные'!$B$296="Новый сезон",8-1&gt;MOD(MONTH('06_Сеть_и_дети'!O$3)-9,12),FALSE),'19_Расчет_аналитики'!O3451*CapacityAge08*'19_Расчет_аналитики'!$F$3247,0),0)</f>
        <v/>
      </c>
      <c r="P3563">
        <f>IF('01_Вводные'!$B$234="Да",IF(IF('01_Вводные'!$B$296="Новый сезон",8-1&gt;MOD(MONTH('06_Сеть_и_дети'!P$3)-9,12),FALSE),'19_Расчет_аналитики'!P3451*CapacityAge08*'19_Расчет_аналитики'!$F$3247,0),0)</f>
        <v/>
      </c>
      <c r="Q3563">
        <f>IF('01_Вводные'!$B$234="Да",IF(IF('01_Вводные'!$B$296="Новый сезон",8-1&gt;MOD(MONTH('06_Сеть_и_дети'!Q$3)-9,12),FALSE),'19_Расчет_аналитики'!Q3451*CapacityAge08*'19_Расчет_аналитики'!$F$3247,0),0)</f>
        <v/>
      </c>
      <c r="R3563">
        <f>IF('01_Вводные'!$B$234="Да",IF(IF('01_Вводные'!$B$296="Новый сезон",8-1&gt;MOD(MONTH('06_Сеть_и_дети'!R$3)-9,12),FALSE),'19_Расчет_аналитики'!R3451*CapacityAge08*'19_Расчет_аналитики'!$F$3247,0),0)</f>
        <v/>
      </c>
      <c r="S3563">
        <f>IF('01_Вводные'!$B$234="Да",IF(IF('01_Вводные'!$B$296="Новый сезон",8-1&gt;MOD(MONTH('06_Сеть_и_дети'!S$3)-9,12),FALSE),'19_Расчет_аналитики'!S3451*CapacityAge08*'19_Расчет_аналитики'!$F$3247,0),0)</f>
        <v/>
      </c>
      <c r="T3563">
        <f>IF('01_Вводные'!$B$234="Да",IF(IF('01_Вводные'!$B$296="Новый сезон",8-1&gt;MOD(MONTH('06_Сеть_и_дети'!T$3)-9,12),FALSE),'19_Расчет_аналитики'!T3451*CapacityAge08*'19_Расчет_аналитики'!$F$3247,0),0)</f>
        <v/>
      </c>
      <c r="U3563">
        <f>IF('01_Вводные'!$B$234="Да",IF(IF('01_Вводные'!$B$296="Новый сезон",8-1&gt;MOD(MONTH('06_Сеть_и_дети'!U$3)-9,12),FALSE),'19_Расчет_аналитики'!U3451*CapacityAge08*'19_Расчет_аналитики'!$F$3247,0),0)</f>
        <v/>
      </c>
      <c r="V3563">
        <f>IF('01_Вводные'!$B$234="Да",IF(IF('01_Вводные'!$B$296="Новый сезон",8-1&gt;MOD(MONTH('06_Сеть_и_дети'!V$3)-9,12),FALSE),'19_Расчет_аналитики'!V3451*CapacityAge08*'19_Расчет_аналитики'!$F$3247,0),0)</f>
        <v/>
      </c>
      <c r="W3563">
        <f>IF('01_Вводные'!$B$234="Да",IF(IF('01_Вводные'!$B$296="Новый сезон",8-1&gt;MOD(MONTH('06_Сеть_и_дети'!W$3)-9,12),FALSE),'19_Расчет_аналитики'!W3451*CapacityAge08*'19_Расчет_аналитики'!$F$3247,0),0)</f>
        <v/>
      </c>
      <c r="X3563">
        <f>IF('01_Вводные'!$B$234="Да",IF(IF('01_Вводные'!$B$296="Новый сезон",8-1&gt;MOD(MONTH('06_Сеть_и_дети'!X$3)-9,12),FALSE),'19_Расчет_аналитики'!X3451*CapacityAge08*'19_Расчет_аналитики'!$F$3247,0),0)</f>
        <v/>
      </c>
      <c r="Y3563">
        <f>IF('01_Вводные'!$B$234="Да",IF(IF('01_Вводные'!$B$296="Новый сезон",8-1&gt;MOD(MONTH('06_Сеть_и_дети'!Y$3)-9,12),FALSE),'19_Расчет_аналитики'!Y3451*CapacityAge08*'19_Расчет_аналитики'!$F$3247,0),0)</f>
        <v/>
      </c>
      <c r="Z3563">
        <f>IF('01_Вводные'!$B$234="Да",IF(IF('01_Вводные'!$B$296="Новый сезон",8-1&gt;MOD(MONTH('06_Сеть_и_дети'!Z$3)-9,12),FALSE),'19_Расчет_аналитики'!Z3451*CapacityAge08*'19_Расчет_аналитики'!$F$3247,0),0)</f>
        <v/>
      </c>
      <c r="AA3563">
        <f>IF('01_Вводные'!$B$234="Да",IF(IF('01_Вводные'!$B$296="Новый сезон",8-1&gt;MOD(MONTH('06_Сеть_и_дети'!AA$3)-9,12),FALSE),'19_Расчет_аналитики'!AA3451*CapacityAge08*'19_Расчет_аналитики'!$F$3247,0),0)</f>
        <v/>
      </c>
      <c r="AB3563">
        <f>IF('01_Вводные'!$B$234="Да",IF(IF('01_Вводные'!$B$296="Новый сезон",8-1&gt;MOD(MONTH('06_Сеть_и_дети'!AB$3)-9,12),FALSE),'19_Расчет_аналитики'!AB3451*CapacityAge08*'19_Расчет_аналитики'!$F$3247,0),0)</f>
        <v/>
      </c>
      <c r="AC3563">
        <f>IF('01_Вводные'!$B$234="Да",IF(IF('01_Вводные'!$B$296="Новый сезон",8-1&gt;MOD(MONTH('06_Сеть_и_дети'!AC$3)-9,12),FALSE),'19_Расчет_аналитики'!AC3451*CapacityAge08*'19_Расчет_аналитики'!$F$3247,0),0)</f>
        <v/>
      </c>
      <c r="AD3563">
        <f>IF('01_Вводные'!$B$234="Да",IF(IF('01_Вводные'!$B$296="Новый сезон",8-1&gt;MOD(MONTH('06_Сеть_и_дети'!AD$3)-9,12),FALSE),'19_Расчет_аналитики'!AD3451*CapacityAge08*'19_Расчет_аналитики'!$F$3247,0),0)</f>
        <v/>
      </c>
      <c r="AE3563">
        <f>IF('01_Вводные'!$B$234="Да",IF(IF('01_Вводные'!$B$296="Новый сезон",8-1&gt;MOD(MONTH('06_Сеть_и_дети'!AE$3)-9,12),FALSE),'19_Расчет_аналитики'!AE3451*CapacityAge08*'19_Расчет_аналитики'!$F$3247,0),0)</f>
        <v/>
      </c>
      <c r="AF3563">
        <f>IF('01_Вводные'!$B$234="Да",IF(IF('01_Вводные'!$B$296="Новый сезон",8-1&gt;MOD(MONTH('06_Сеть_и_дети'!AF$3)-9,12),FALSE),'19_Расчет_аналитики'!AF3451*CapacityAge08*'19_Расчет_аналитики'!$F$3247,0),0)</f>
        <v/>
      </c>
      <c r="AG3563">
        <f>IF('01_Вводные'!$B$234="Да",IF(IF('01_Вводные'!$B$296="Новый сезон",8-1&gt;MOD(MONTH('06_Сеть_и_дети'!AG$3)-9,12),FALSE),'19_Расчет_аналитики'!AG3451*CapacityAge08*'19_Расчет_аналитики'!$F$3247,0),0)</f>
        <v/>
      </c>
      <c r="AH3563">
        <f>IF('01_Вводные'!$B$234="Да",IF(IF('01_Вводные'!$B$296="Новый сезон",8-1&gt;MOD(MONTH('06_Сеть_и_дети'!AH$3)-9,12),FALSE),'19_Расчет_аналитики'!AH3451*CapacityAge08*'19_Расчет_аналитики'!$F$3247,0),0)</f>
        <v/>
      </c>
      <c r="AI3563">
        <f>IF('01_Вводные'!$B$234="Да",IF(IF('01_Вводные'!$B$296="Новый сезон",8-1&gt;MOD(MONTH('06_Сеть_и_дети'!AI$3)-9,12),FALSE),'19_Расчет_аналитики'!AI3451*CapacityAge08*'19_Расчет_аналитики'!$F$3247,0),0)</f>
        <v/>
      </c>
      <c r="AJ3563">
        <f>IF('01_Вводные'!$B$234="Да",IF(IF('01_Вводные'!$B$296="Новый сезон",8-1&gt;MOD(MONTH('06_Сеть_и_дети'!AJ$3)-9,12),FALSE),'19_Расчет_аналитики'!AJ3451*CapacityAge08*'19_Расчет_аналитики'!$F$3247,0),0)</f>
        <v/>
      </c>
      <c r="AK3563">
        <f>IF('01_Вводные'!$B$234="Да",IF(IF('01_Вводные'!$B$296="Новый сезон",8-1&gt;MOD(MONTH('06_Сеть_и_дети'!AK$3)-9,12),FALSE),'19_Расчет_аналитики'!AK3451*CapacityAge08*'19_Расчет_аналитики'!$F$3247,0),0)</f>
        <v/>
      </c>
      <c r="AL3563">
        <f>IF('01_Вводные'!$B$234="Да",IF(IF('01_Вводные'!$B$296="Новый сезон",8-1&gt;MOD(MONTH('06_Сеть_и_дети'!AL$3)-9,12),FALSE),'19_Расчет_аналитики'!AL3451*CapacityAge08*'19_Расчет_аналитики'!$F$3247,0),0)</f>
        <v/>
      </c>
      <c r="AM3563">
        <f>IF('01_Вводные'!$B$234="Да",IF(IF('01_Вводные'!$B$296="Новый сезон",8-1&gt;MOD(MONTH('06_Сеть_и_дети'!AM$3)-9,12),FALSE),'19_Расчет_аналитики'!AM3451*CapacityAge08*'19_Расчет_аналитики'!$F$3247,0),0)</f>
        <v/>
      </c>
      <c r="AN3563">
        <f>IF('01_Вводные'!$B$234="Да",IF(IF('01_Вводные'!$B$296="Новый сезон",8-1&gt;MOD(MONTH('06_Сеть_и_дети'!AN$3)-9,12),FALSE),'19_Расчет_аналитики'!AN3451*CapacityAge08*'19_Расчет_аналитики'!$F$3247,0),0)</f>
        <v/>
      </c>
      <c r="AO3563">
        <f>IF('01_Вводные'!$B$234="Да",IF(IF('01_Вводные'!$B$296="Новый сезон",8-1&gt;MOD(MONTH('06_Сеть_и_дети'!AO$3)-9,12),FALSE),'19_Расчет_аналитики'!AO3451*CapacityAge08*'19_Расчет_аналитики'!$F$3247,0),0)</f>
        <v/>
      </c>
      <c r="AP3563">
        <f>IF('01_Вводные'!$B$234="Да",IF(IF('01_Вводные'!$B$296="Новый сезон",8-1&gt;MOD(MONTH('06_Сеть_и_дети'!AP$3)-9,12),FALSE),'19_Расчет_аналитики'!AP3451*CapacityAge08*'19_Расчет_аналитики'!$F$3247,0),0)</f>
        <v/>
      </c>
      <c r="AQ3563">
        <f>IF('01_Вводные'!$B$234="Да",IF(IF('01_Вводные'!$B$296="Новый сезон",8-1&gt;MOD(MONTH('06_Сеть_и_дети'!AQ$3)-9,12),FALSE),'19_Расчет_аналитики'!AQ3451*CapacityAge08*'19_Расчет_аналитики'!$F$3247,0),0)</f>
        <v/>
      </c>
      <c r="AR3563">
        <f>IF('01_Вводные'!$B$234="Да",IF(IF('01_Вводные'!$B$296="Новый сезон",8-1&gt;MOD(MONTH('06_Сеть_и_дети'!AR$3)-9,12),FALSE),'19_Расчет_аналитики'!AR3451*CapacityAge08*'19_Расчет_аналитики'!$F$3247,0),0)</f>
        <v/>
      </c>
      <c r="AS3563">
        <f>IF('01_Вводные'!$B$234="Да",IF(IF('01_Вводные'!$B$296="Новый сезон",8-1&gt;MOD(MONTH('06_Сеть_и_дети'!AS$3)-9,12),FALSE),'19_Расчет_аналитики'!AS3451*CapacityAge08*'19_Расчет_аналитики'!$F$3247,0),0)</f>
        <v/>
      </c>
      <c r="AT3563">
        <f>IF('01_Вводные'!$B$234="Да",IF(IF('01_Вводные'!$B$296="Новый сезон",8-1&gt;MOD(MONTH('06_Сеть_и_дети'!AT$3)-9,12),FALSE),'19_Расчет_аналитики'!AT3451*CapacityAge08*'19_Расчет_аналитики'!$F$3247,0),0)</f>
        <v/>
      </c>
      <c r="AU3563">
        <f>IF('01_Вводные'!$B$234="Да",IF(IF('01_Вводные'!$B$296="Новый сезон",8-1&gt;MOD(MONTH('06_Сеть_и_дети'!AU$3)-9,12),FALSE),'19_Расчет_аналитики'!AU3451*CapacityAge08*'19_Расчет_аналитики'!$F$3247,0),0)</f>
        <v/>
      </c>
      <c r="AV3563">
        <f>IF('01_Вводные'!$B$234="Да",IF(IF('01_Вводные'!$B$296="Новый сезон",8-1&gt;MOD(MONTH('06_Сеть_и_дети'!AV$3)-9,12),FALSE),'19_Расчет_аналитики'!AV3451*CapacityAge08*'19_Расчет_аналитики'!$F$3247,0),0)</f>
        <v/>
      </c>
      <c r="AW3563">
        <f>IF('01_Вводные'!$B$234="Да",IF(IF('01_Вводные'!$B$296="Новый сезон",8-1&gt;MOD(MONTH('06_Сеть_и_дети'!AW$3)-9,12),FALSE),'19_Расчет_аналитики'!AW3451*CapacityAge08*'19_Расчет_аналитики'!$F$3247,0),0)</f>
        <v/>
      </c>
      <c r="AX3563">
        <f>IF('01_Вводные'!$B$234="Да",IF(IF('01_Вводные'!$B$296="Новый сезон",8-1&gt;MOD(MONTH('06_Сеть_и_дети'!AX$3)-9,12),FALSE),'19_Расчет_аналитики'!AX3451*CapacityAge08*'19_Расчет_аналитики'!$F$3247,0),0)</f>
        <v/>
      </c>
      <c r="AY3563">
        <f>IF('01_Вводные'!$B$234="Да",IF(IF('01_Вводные'!$B$296="Новый сезон",8-1&gt;MOD(MONTH('06_Сеть_и_дети'!AY$3)-9,12),FALSE),'19_Расчет_аналитики'!AY3451*CapacityAge08*'19_Расчет_аналитики'!$F$3247,0),0)</f>
        <v/>
      </c>
      <c r="AZ3563">
        <f>IF('01_Вводные'!$B$234="Да",IF(IF('01_Вводные'!$B$296="Новый сезон",8-1&gt;MOD(MONTH('06_Сеть_и_дети'!AZ$3)-9,12),FALSE),'19_Расчет_аналитики'!AZ3451*CapacityAge08*'19_Расчет_аналитики'!$F$3247,0),0)</f>
        <v/>
      </c>
      <c r="BA3563">
        <f>IF('01_Вводные'!$B$234="Да",IF(IF('01_Вводные'!$B$296="Новый сезон",8-1&gt;MOD(MONTH('06_Сеть_и_дети'!BA$3)-9,12),FALSE),'19_Расчет_аналитики'!BA3451*CapacityAge08*'19_Расчет_аналитики'!$F$3247,0),0)</f>
        <v/>
      </c>
      <c r="BB3563">
        <f>IF('01_Вводные'!$B$234="Да",IF(IF('01_Вводные'!$B$296="Новый сезон",8-1&gt;MOD(MONTH('06_Сеть_и_дети'!BB$3)-9,12),FALSE),'19_Расчет_аналитики'!BB3451*CapacityAge08*'19_Расчет_аналитики'!$F$3247,0),0)</f>
        <v/>
      </c>
      <c r="BC3563">
        <f>IF('01_Вводные'!$B$234="Да",IF(IF('01_Вводные'!$B$296="Новый сезон",8-1&gt;MOD(MONTH('06_Сеть_и_дети'!BC$3)-9,12),FALSE),'19_Расчет_аналитики'!BC3451*CapacityAge08*'19_Расчет_аналитики'!$F$3247,0),0)</f>
        <v/>
      </c>
      <c r="BD3563">
        <f>IF('01_Вводные'!$B$234="Да",IF(IF('01_Вводные'!$B$296="Новый сезон",8-1&gt;MOD(MONTH('06_Сеть_и_дети'!BD$3)-9,12),FALSE),'19_Расчет_аналитики'!BD3451*CapacityAge08*'19_Расчет_аналитики'!$F$3247,0),0)</f>
        <v/>
      </c>
      <c r="BE3563">
        <f>IF('01_Вводные'!$B$234="Да",IF(IF('01_Вводные'!$B$296="Новый сезон",8-1&gt;MOD(MONTH('06_Сеть_и_дети'!BE$3)-9,12),FALSE),'19_Расчет_аналитики'!BE3451*CapacityAge08*'19_Расчет_аналитики'!$F$3247,0),0)</f>
        <v/>
      </c>
      <c r="BF3563">
        <f>IF('01_Вводные'!$B$234="Да",IF(IF('01_Вводные'!$B$296="Новый сезон",8-1&gt;MOD(MONTH('06_Сеть_и_дети'!BF$3)-9,12),FALSE),'19_Расчет_аналитики'!BF3451*CapacityAge08*'19_Расчет_аналитики'!$F$3247,0),0)</f>
        <v/>
      </c>
      <c r="BG3563">
        <f>IF('01_Вводные'!$B$234="Да",IF(IF('01_Вводные'!$B$296="Новый сезон",8-1&gt;MOD(MONTH('06_Сеть_и_дети'!BG$3)-9,12),FALSE),'19_Расчет_аналитики'!BG3451*CapacityAge08*'19_Расчет_аналитики'!$F$3247,0),0)</f>
        <v/>
      </c>
      <c r="BH3563">
        <f>IF('01_Вводные'!$B$234="Да",IF(IF('01_Вводные'!$B$296="Новый сезон",8-1&gt;MOD(MONTH('06_Сеть_и_дети'!BH$3)-9,12),FALSE),'19_Расчет_аналитики'!BH3451*CapacityAge08*'19_Расчет_аналитики'!$F$3247,0),0)</f>
        <v/>
      </c>
      <c r="BI3563">
        <f>IF('01_Вводные'!$B$234="Да",IF(IF('01_Вводные'!$B$296="Новый сезон",8-1&gt;MOD(MONTH('06_Сеть_и_дети'!BI$3)-9,12),FALSE),'19_Расчет_аналитики'!BI3451*CapacityAge08*'19_Расчет_аналитики'!$F$3247,0),0)</f>
        <v/>
      </c>
      <c r="BJ3563">
        <f>IF('01_Вводные'!$B$234="Да",IF(IF('01_Вводные'!$B$296="Новый сезон",8-1&gt;MOD(MONTH('06_Сеть_и_дети'!BJ$3)-9,12),FALSE),'19_Расчет_аналитики'!BJ3451*CapacityAge08*'19_Расчет_аналитики'!$F$3247,0),0)</f>
        <v/>
      </c>
      <c r="BK3563">
        <f>IF('01_Вводные'!$B$234="Да",IF(IF('01_Вводные'!$B$296="Новый сезон",8-1&gt;MOD(MONTH('06_Сеть_и_дети'!BK$3)-9,12),FALSE),'19_Расчет_аналитики'!BK3451*CapacityAge08*'19_Расчет_аналитики'!$F$3247,0),0)</f>
        <v/>
      </c>
      <c r="BL3563">
        <f>IF('01_Вводные'!$B$234="Да",IF(IF('01_Вводные'!$B$296="Новый сезон",8-1&gt;MOD(MONTH('06_Сеть_и_дети'!BL$3)-9,12),FALSE),'19_Расчет_аналитики'!BL3451*CapacityAge08*'19_Расчет_аналитики'!$F$3247,0),0)</f>
        <v/>
      </c>
      <c r="BM3563">
        <f>IF('01_Вводные'!$B$234="Да",IF(IF('01_Вводные'!$B$296="Новый сезон",8-1&gt;MOD(MONTH('06_Сеть_и_дети'!BM$3)-9,12),FALSE),'19_Расчет_аналитики'!BM3451*CapacityAge08*'19_Расчет_аналитики'!$F$3247,0),0)</f>
        <v/>
      </c>
      <c r="BN3563">
        <f>IF('01_Вводные'!$B$234="Да",IF(IF('01_Вводные'!$B$296="Новый сезон",8-1&gt;MOD(MONTH('06_Сеть_и_дети'!BN$3)-9,12),FALSE),'19_Расчет_аналитики'!BN3451*CapacityAge08*'19_Расчет_аналитики'!$F$3247,0),0)</f>
        <v/>
      </c>
      <c r="BO3563">
        <f>IF('01_Вводные'!$B$234="Да",IF(IF('01_Вводные'!$B$296="Новый сезон",8-1&gt;MOD(MONTH('06_Сеть_и_дети'!BO$3)-9,12),FALSE),'19_Расчет_аналитики'!BO3451*CapacityAge08*'19_Расчет_аналитики'!$F$3247,0),0)</f>
        <v/>
      </c>
    </row>
    <row r="3564">
      <c r="B3564">
        <f>IF('01_Вводные'!$B$234="Да",IF(IF('01_Вводные'!$B$296="Новый сезон",9-1&gt;MOD(MONTH('06_Сеть_и_дети'!B$3)-9,12),FALSE),'06_Сеть_и_дети'!B61*CapacityAge09*'19_Расчет_аналитики'!$F$3247,0),0)</f>
        <v/>
      </c>
      <c r="C3564">
        <f>IF('01_Вводные'!$B$234="Да",IF(IF('01_Вводные'!$B$296="Новый сезон",9-1&gt;MOD(MONTH('06_Сеть_и_дети'!C$3)-9,12),FALSE),'06_Сеть_и_дети'!C61*CapacityAge09*'19_Расчет_аналитики'!$F$3247,0),0)</f>
        <v/>
      </c>
      <c r="D3564">
        <f>IF('01_Вводные'!$B$234="Да",IF(IF('01_Вводные'!$B$296="Новый сезон",9-1&gt;MOD(MONTH('06_Сеть_и_дети'!D$3)-9,12),FALSE),'06_Сеть_и_дети'!D61*CapacityAge09*'19_Расчет_аналитики'!$F$3247,0),0)</f>
        <v/>
      </c>
      <c r="E3564">
        <f>IF('01_Вводные'!$B$234="Да",IF(IF('01_Вводные'!$B$296="Новый сезон",9-1&gt;MOD(MONTH('06_Сеть_и_дети'!E$3)-9,12),FALSE),'06_Сеть_и_дети'!E61*CapacityAge09*'19_Расчет_аналитики'!$F$3247,0),0)</f>
        <v/>
      </c>
      <c r="F3564">
        <f>IF('01_Вводные'!$B$234="Да",IF(IF('01_Вводные'!$B$296="Новый сезон",9-1&gt;MOD(MONTH('06_Сеть_и_дети'!F$3)-9,12),FALSE),'06_Сеть_и_дети'!F61*CapacityAge09*'19_Расчет_аналитики'!$F$3247,0),0)</f>
        <v/>
      </c>
      <c r="G3564">
        <f>IF('01_Вводные'!$B$234="Да",IF(IF('01_Вводные'!$B$296="Новый сезон",9-1&gt;MOD(MONTH('06_Сеть_и_дети'!G$3)-9,12),FALSE),'06_Сеть_и_дети'!G61*CapacityAge09*'19_Расчет_аналитики'!$F$3247,0),0)</f>
        <v/>
      </c>
      <c r="H3564">
        <f>IF('01_Вводные'!$B$234="Да",IF(IF('01_Вводные'!$B$296="Новый сезон",9-1&gt;MOD(MONTH('06_Сеть_и_дети'!H$3)-9,12),FALSE),'06_Сеть_и_дети'!H61*CapacityAge09*'19_Расчет_аналитики'!$F$3247,0),0)</f>
        <v/>
      </c>
      <c r="I3564">
        <f>IF('01_Вводные'!$B$234="Да",IF(IF('01_Вводные'!$B$296="Новый сезон",9-1&gt;MOD(MONTH('06_Сеть_и_дети'!I$3)-9,12),FALSE),'06_Сеть_и_дети'!I61*CapacityAge09*'19_Расчет_аналитики'!$F$3247,0),0)</f>
        <v/>
      </c>
      <c r="J3564">
        <f>IF('01_Вводные'!$B$234="Да",IF(IF('01_Вводные'!$B$296="Новый сезон",9-1&gt;MOD(MONTH('06_Сеть_и_дети'!J$3)-9,12),FALSE),'19_Расчет_аналитики'!J3452*CapacityAge09*'19_Расчет_аналитики'!$F$3247,0),0)</f>
        <v/>
      </c>
      <c r="K3564">
        <f>IF('01_Вводные'!$B$234="Да",IF(IF('01_Вводные'!$B$296="Новый сезон",9-1&gt;MOD(MONTH('06_Сеть_и_дети'!K$3)-9,12),FALSE),'19_Расчет_аналитики'!K3452*CapacityAge09*'19_Расчет_аналитики'!$F$3247,0),0)</f>
        <v/>
      </c>
      <c r="L3564">
        <f>IF('01_Вводные'!$B$234="Да",IF(IF('01_Вводные'!$B$296="Новый сезон",9-1&gt;MOD(MONTH('06_Сеть_и_дети'!L$3)-9,12),FALSE),'19_Расчет_аналитики'!L3452*CapacityAge09*'19_Расчет_аналитики'!$F$3247,0),0)</f>
        <v/>
      </c>
      <c r="M3564">
        <f>IF('01_Вводные'!$B$234="Да",IF(IF('01_Вводные'!$B$296="Новый сезон",9-1&gt;MOD(MONTH('06_Сеть_и_дети'!M$3)-9,12),FALSE),'19_Расчет_аналитики'!M3452*CapacityAge09*'19_Расчет_аналитики'!$F$3247,0),0)</f>
        <v/>
      </c>
      <c r="N3564">
        <f>IF('01_Вводные'!$B$234="Да",IF(IF('01_Вводные'!$B$296="Новый сезон",9-1&gt;MOD(MONTH('06_Сеть_и_дети'!N$3)-9,12),FALSE),'19_Расчет_аналитики'!N3452*CapacityAge09*'19_Расчет_аналитики'!$F$3247,0),0)</f>
        <v/>
      </c>
      <c r="O3564">
        <f>IF('01_Вводные'!$B$234="Да",IF(IF('01_Вводные'!$B$296="Новый сезон",9-1&gt;MOD(MONTH('06_Сеть_и_дети'!O$3)-9,12),FALSE),'19_Расчет_аналитики'!O3452*CapacityAge09*'19_Расчет_аналитики'!$F$3247,0),0)</f>
        <v/>
      </c>
      <c r="P3564">
        <f>IF('01_Вводные'!$B$234="Да",IF(IF('01_Вводные'!$B$296="Новый сезон",9-1&gt;MOD(MONTH('06_Сеть_и_дети'!P$3)-9,12),FALSE),'19_Расчет_аналитики'!P3452*CapacityAge09*'19_Расчет_аналитики'!$F$3247,0),0)</f>
        <v/>
      </c>
      <c r="Q3564">
        <f>IF('01_Вводные'!$B$234="Да",IF(IF('01_Вводные'!$B$296="Новый сезон",9-1&gt;MOD(MONTH('06_Сеть_и_дети'!Q$3)-9,12),FALSE),'19_Расчет_аналитики'!Q3452*CapacityAge09*'19_Расчет_аналитики'!$F$3247,0),0)</f>
        <v/>
      </c>
      <c r="R3564">
        <f>IF('01_Вводные'!$B$234="Да",IF(IF('01_Вводные'!$B$296="Новый сезон",9-1&gt;MOD(MONTH('06_Сеть_и_дети'!R$3)-9,12),FALSE),'19_Расчет_аналитики'!R3452*CapacityAge09*'19_Расчет_аналитики'!$F$3247,0),0)</f>
        <v/>
      </c>
      <c r="S3564">
        <f>IF('01_Вводные'!$B$234="Да",IF(IF('01_Вводные'!$B$296="Новый сезон",9-1&gt;MOD(MONTH('06_Сеть_и_дети'!S$3)-9,12),FALSE),'19_Расчет_аналитики'!S3452*CapacityAge09*'19_Расчет_аналитики'!$F$3247,0),0)</f>
        <v/>
      </c>
      <c r="T3564">
        <f>IF('01_Вводные'!$B$234="Да",IF(IF('01_Вводные'!$B$296="Новый сезон",9-1&gt;MOD(MONTH('06_Сеть_и_дети'!T$3)-9,12),FALSE),'19_Расчет_аналитики'!T3452*CapacityAge09*'19_Расчет_аналитики'!$F$3247,0),0)</f>
        <v/>
      </c>
      <c r="U3564">
        <f>IF('01_Вводные'!$B$234="Да",IF(IF('01_Вводные'!$B$296="Новый сезон",9-1&gt;MOD(MONTH('06_Сеть_и_дети'!U$3)-9,12),FALSE),'19_Расчет_аналитики'!U3452*CapacityAge09*'19_Расчет_аналитики'!$F$3247,0),0)</f>
        <v/>
      </c>
      <c r="V3564">
        <f>IF('01_Вводные'!$B$234="Да",IF(IF('01_Вводные'!$B$296="Новый сезон",9-1&gt;MOD(MONTH('06_Сеть_и_дети'!V$3)-9,12),FALSE),'19_Расчет_аналитики'!V3452*CapacityAge09*'19_Расчет_аналитики'!$F$3247,0),0)</f>
        <v/>
      </c>
      <c r="W3564">
        <f>IF('01_Вводные'!$B$234="Да",IF(IF('01_Вводные'!$B$296="Новый сезон",9-1&gt;MOD(MONTH('06_Сеть_и_дети'!W$3)-9,12),FALSE),'19_Расчет_аналитики'!W3452*CapacityAge09*'19_Расчет_аналитики'!$F$3247,0),0)</f>
        <v/>
      </c>
      <c r="X3564">
        <f>IF('01_Вводные'!$B$234="Да",IF(IF('01_Вводные'!$B$296="Новый сезон",9-1&gt;MOD(MONTH('06_Сеть_и_дети'!X$3)-9,12),FALSE),'19_Расчет_аналитики'!X3452*CapacityAge09*'19_Расчет_аналитики'!$F$3247,0),0)</f>
        <v/>
      </c>
      <c r="Y3564">
        <f>IF('01_Вводные'!$B$234="Да",IF(IF('01_Вводные'!$B$296="Новый сезон",9-1&gt;MOD(MONTH('06_Сеть_и_дети'!Y$3)-9,12),FALSE),'19_Расчет_аналитики'!Y3452*CapacityAge09*'19_Расчет_аналитики'!$F$3247,0),0)</f>
        <v/>
      </c>
      <c r="Z3564">
        <f>IF('01_Вводные'!$B$234="Да",IF(IF('01_Вводные'!$B$296="Новый сезон",9-1&gt;MOD(MONTH('06_Сеть_и_дети'!Z$3)-9,12),FALSE),'19_Расчет_аналитики'!Z3452*CapacityAge09*'19_Расчет_аналитики'!$F$3247,0),0)</f>
        <v/>
      </c>
      <c r="AA3564">
        <f>IF('01_Вводные'!$B$234="Да",IF(IF('01_Вводные'!$B$296="Новый сезон",9-1&gt;MOD(MONTH('06_Сеть_и_дети'!AA$3)-9,12),FALSE),'19_Расчет_аналитики'!AA3452*CapacityAge09*'19_Расчет_аналитики'!$F$3247,0),0)</f>
        <v/>
      </c>
      <c r="AB3564">
        <f>IF('01_Вводные'!$B$234="Да",IF(IF('01_Вводные'!$B$296="Новый сезон",9-1&gt;MOD(MONTH('06_Сеть_и_дети'!AB$3)-9,12),FALSE),'19_Расчет_аналитики'!AB3452*CapacityAge09*'19_Расчет_аналитики'!$F$3247,0),0)</f>
        <v/>
      </c>
      <c r="AC3564">
        <f>IF('01_Вводные'!$B$234="Да",IF(IF('01_Вводные'!$B$296="Новый сезон",9-1&gt;MOD(MONTH('06_Сеть_и_дети'!AC$3)-9,12),FALSE),'19_Расчет_аналитики'!AC3452*CapacityAge09*'19_Расчет_аналитики'!$F$3247,0),0)</f>
        <v/>
      </c>
      <c r="AD3564">
        <f>IF('01_Вводные'!$B$234="Да",IF(IF('01_Вводные'!$B$296="Новый сезон",9-1&gt;MOD(MONTH('06_Сеть_и_дети'!AD$3)-9,12),FALSE),'19_Расчет_аналитики'!AD3452*CapacityAge09*'19_Расчет_аналитики'!$F$3247,0),0)</f>
        <v/>
      </c>
      <c r="AE3564">
        <f>IF('01_Вводные'!$B$234="Да",IF(IF('01_Вводные'!$B$296="Новый сезон",9-1&gt;MOD(MONTH('06_Сеть_и_дети'!AE$3)-9,12),FALSE),'19_Расчет_аналитики'!AE3452*CapacityAge09*'19_Расчет_аналитики'!$F$3247,0),0)</f>
        <v/>
      </c>
      <c r="AF3564">
        <f>IF('01_Вводные'!$B$234="Да",IF(IF('01_Вводные'!$B$296="Новый сезон",9-1&gt;MOD(MONTH('06_Сеть_и_дети'!AF$3)-9,12),FALSE),'19_Расчет_аналитики'!AF3452*CapacityAge09*'19_Расчет_аналитики'!$F$3247,0),0)</f>
        <v/>
      </c>
      <c r="AG3564">
        <f>IF('01_Вводные'!$B$234="Да",IF(IF('01_Вводные'!$B$296="Новый сезон",9-1&gt;MOD(MONTH('06_Сеть_и_дети'!AG$3)-9,12),FALSE),'19_Расчет_аналитики'!AG3452*CapacityAge09*'19_Расчет_аналитики'!$F$3247,0),0)</f>
        <v/>
      </c>
      <c r="AH3564">
        <f>IF('01_Вводные'!$B$234="Да",IF(IF('01_Вводные'!$B$296="Новый сезон",9-1&gt;MOD(MONTH('06_Сеть_и_дети'!AH$3)-9,12),FALSE),'19_Расчет_аналитики'!AH3452*CapacityAge09*'19_Расчет_аналитики'!$F$3247,0),0)</f>
        <v/>
      </c>
      <c r="AI3564">
        <f>IF('01_Вводные'!$B$234="Да",IF(IF('01_Вводные'!$B$296="Новый сезон",9-1&gt;MOD(MONTH('06_Сеть_и_дети'!AI$3)-9,12),FALSE),'19_Расчет_аналитики'!AI3452*CapacityAge09*'19_Расчет_аналитики'!$F$3247,0),0)</f>
        <v/>
      </c>
      <c r="AJ3564">
        <f>IF('01_Вводные'!$B$234="Да",IF(IF('01_Вводные'!$B$296="Новый сезон",9-1&gt;MOD(MONTH('06_Сеть_и_дети'!AJ$3)-9,12),FALSE),'19_Расчет_аналитики'!AJ3452*CapacityAge09*'19_Расчет_аналитики'!$F$3247,0),0)</f>
        <v/>
      </c>
      <c r="AK3564">
        <f>IF('01_Вводные'!$B$234="Да",IF(IF('01_Вводные'!$B$296="Новый сезон",9-1&gt;MOD(MONTH('06_Сеть_и_дети'!AK$3)-9,12),FALSE),'19_Расчет_аналитики'!AK3452*CapacityAge09*'19_Расчет_аналитики'!$F$3247,0),0)</f>
        <v/>
      </c>
      <c r="AL3564">
        <f>IF('01_Вводные'!$B$234="Да",IF(IF('01_Вводные'!$B$296="Новый сезон",9-1&gt;MOD(MONTH('06_Сеть_и_дети'!AL$3)-9,12),FALSE),'19_Расчет_аналитики'!AL3452*CapacityAge09*'19_Расчет_аналитики'!$F$3247,0),0)</f>
        <v/>
      </c>
      <c r="AM3564">
        <f>IF('01_Вводные'!$B$234="Да",IF(IF('01_Вводные'!$B$296="Новый сезон",9-1&gt;MOD(MONTH('06_Сеть_и_дети'!AM$3)-9,12),FALSE),'19_Расчет_аналитики'!AM3452*CapacityAge09*'19_Расчет_аналитики'!$F$3247,0),0)</f>
        <v/>
      </c>
      <c r="AN3564">
        <f>IF('01_Вводные'!$B$234="Да",IF(IF('01_Вводные'!$B$296="Новый сезон",9-1&gt;MOD(MONTH('06_Сеть_и_дети'!AN$3)-9,12),FALSE),'19_Расчет_аналитики'!AN3452*CapacityAge09*'19_Расчет_аналитики'!$F$3247,0),0)</f>
        <v/>
      </c>
      <c r="AO3564">
        <f>IF('01_Вводные'!$B$234="Да",IF(IF('01_Вводные'!$B$296="Новый сезон",9-1&gt;MOD(MONTH('06_Сеть_и_дети'!AO$3)-9,12),FALSE),'19_Расчет_аналитики'!AO3452*CapacityAge09*'19_Расчет_аналитики'!$F$3247,0),0)</f>
        <v/>
      </c>
      <c r="AP3564">
        <f>IF('01_Вводные'!$B$234="Да",IF(IF('01_Вводные'!$B$296="Новый сезон",9-1&gt;MOD(MONTH('06_Сеть_и_дети'!AP$3)-9,12),FALSE),'19_Расчет_аналитики'!AP3452*CapacityAge09*'19_Расчет_аналитики'!$F$3247,0),0)</f>
        <v/>
      </c>
      <c r="AQ3564">
        <f>IF('01_Вводные'!$B$234="Да",IF(IF('01_Вводные'!$B$296="Новый сезон",9-1&gt;MOD(MONTH('06_Сеть_и_дети'!AQ$3)-9,12),FALSE),'19_Расчет_аналитики'!AQ3452*CapacityAge09*'19_Расчет_аналитики'!$F$3247,0),0)</f>
        <v/>
      </c>
      <c r="AR3564">
        <f>IF('01_Вводные'!$B$234="Да",IF(IF('01_Вводные'!$B$296="Новый сезон",9-1&gt;MOD(MONTH('06_Сеть_и_дети'!AR$3)-9,12),FALSE),'19_Расчет_аналитики'!AR3452*CapacityAge09*'19_Расчет_аналитики'!$F$3247,0),0)</f>
        <v/>
      </c>
      <c r="AS3564">
        <f>IF('01_Вводные'!$B$234="Да",IF(IF('01_Вводные'!$B$296="Новый сезон",9-1&gt;MOD(MONTH('06_Сеть_и_дети'!AS$3)-9,12),FALSE),'19_Расчет_аналитики'!AS3452*CapacityAge09*'19_Расчет_аналитики'!$F$3247,0),0)</f>
        <v/>
      </c>
      <c r="AT3564">
        <f>IF('01_Вводные'!$B$234="Да",IF(IF('01_Вводные'!$B$296="Новый сезон",9-1&gt;MOD(MONTH('06_Сеть_и_дети'!AT$3)-9,12),FALSE),'19_Расчет_аналитики'!AT3452*CapacityAge09*'19_Расчет_аналитики'!$F$3247,0),0)</f>
        <v/>
      </c>
      <c r="AU3564">
        <f>IF('01_Вводные'!$B$234="Да",IF(IF('01_Вводные'!$B$296="Новый сезон",9-1&gt;MOD(MONTH('06_Сеть_и_дети'!AU$3)-9,12),FALSE),'19_Расчет_аналитики'!AU3452*CapacityAge09*'19_Расчет_аналитики'!$F$3247,0),0)</f>
        <v/>
      </c>
      <c r="AV3564">
        <f>IF('01_Вводные'!$B$234="Да",IF(IF('01_Вводные'!$B$296="Новый сезон",9-1&gt;MOD(MONTH('06_Сеть_и_дети'!AV$3)-9,12),FALSE),'19_Расчет_аналитики'!AV3452*CapacityAge09*'19_Расчет_аналитики'!$F$3247,0),0)</f>
        <v/>
      </c>
      <c r="AW3564">
        <f>IF('01_Вводные'!$B$234="Да",IF(IF('01_Вводные'!$B$296="Новый сезон",9-1&gt;MOD(MONTH('06_Сеть_и_дети'!AW$3)-9,12),FALSE),'19_Расчет_аналитики'!AW3452*CapacityAge09*'19_Расчет_аналитики'!$F$3247,0),0)</f>
        <v/>
      </c>
      <c r="AX3564">
        <f>IF('01_Вводные'!$B$234="Да",IF(IF('01_Вводные'!$B$296="Новый сезон",9-1&gt;MOD(MONTH('06_Сеть_и_дети'!AX$3)-9,12),FALSE),'19_Расчет_аналитики'!AX3452*CapacityAge09*'19_Расчет_аналитики'!$F$3247,0),0)</f>
        <v/>
      </c>
      <c r="AY3564">
        <f>IF('01_Вводные'!$B$234="Да",IF(IF('01_Вводные'!$B$296="Новый сезон",9-1&gt;MOD(MONTH('06_Сеть_и_дети'!AY$3)-9,12),FALSE),'19_Расчет_аналитики'!AY3452*CapacityAge09*'19_Расчет_аналитики'!$F$3247,0),0)</f>
        <v/>
      </c>
      <c r="AZ3564">
        <f>IF('01_Вводные'!$B$234="Да",IF(IF('01_Вводные'!$B$296="Новый сезон",9-1&gt;MOD(MONTH('06_Сеть_и_дети'!AZ$3)-9,12),FALSE),'19_Расчет_аналитики'!AZ3452*CapacityAge09*'19_Расчет_аналитики'!$F$3247,0),0)</f>
        <v/>
      </c>
      <c r="BA3564">
        <f>IF('01_Вводные'!$B$234="Да",IF(IF('01_Вводные'!$B$296="Новый сезон",9-1&gt;MOD(MONTH('06_Сеть_и_дети'!BA$3)-9,12),FALSE),'19_Расчет_аналитики'!BA3452*CapacityAge09*'19_Расчет_аналитики'!$F$3247,0),0)</f>
        <v/>
      </c>
      <c r="BB3564">
        <f>IF('01_Вводные'!$B$234="Да",IF(IF('01_Вводные'!$B$296="Новый сезон",9-1&gt;MOD(MONTH('06_Сеть_и_дети'!BB$3)-9,12),FALSE),'19_Расчет_аналитики'!BB3452*CapacityAge09*'19_Расчет_аналитики'!$F$3247,0),0)</f>
        <v/>
      </c>
      <c r="BC3564">
        <f>IF('01_Вводные'!$B$234="Да",IF(IF('01_Вводные'!$B$296="Новый сезон",9-1&gt;MOD(MONTH('06_Сеть_и_дети'!BC$3)-9,12),FALSE),'19_Расчет_аналитики'!BC3452*CapacityAge09*'19_Расчет_аналитики'!$F$3247,0),0)</f>
        <v/>
      </c>
      <c r="BD3564">
        <f>IF('01_Вводные'!$B$234="Да",IF(IF('01_Вводные'!$B$296="Новый сезон",9-1&gt;MOD(MONTH('06_Сеть_и_дети'!BD$3)-9,12),FALSE),'19_Расчет_аналитики'!BD3452*CapacityAge09*'19_Расчет_аналитики'!$F$3247,0),0)</f>
        <v/>
      </c>
      <c r="BE3564">
        <f>IF('01_Вводные'!$B$234="Да",IF(IF('01_Вводные'!$B$296="Новый сезон",9-1&gt;MOD(MONTH('06_Сеть_и_дети'!BE$3)-9,12),FALSE),'19_Расчет_аналитики'!BE3452*CapacityAge09*'19_Расчет_аналитики'!$F$3247,0),0)</f>
        <v/>
      </c>
      <c r="BF3564">
        <f>IF('01_Вводные'!$B$234="Да",IF(IF('01_Вводные'!$B$296="Новый сезон",9-1&gt;MOD(MONTH('06_Сеть_и_дети'!BF$3)-9,12),FALSE),'19_Расчет_аналитики'!BF3452*CapacityAge09*'19_Расчет_аналитики'!$F$3247,0),0)</f>
        <v/>
      </c>
      <c r="BG3564">
        <f>IF('01_Вводные'!$B$234="Да",IF(IF('01_Вводные'!$B$296="Новый сезон",9-1&gt;MOD(MONTH('06_Сеть_и_дети'!BG$3)-9,12),FALSE),'19_Расчет_аналитики'!BG3452*CapacityAge09*'19_Расчет_аналитики'!$F$3247,0),0)</f>
        <v/>
      </c>
      <c r="BH3564">
        <f>IF('01_Вводные'!$B$234="Да",IF(IF('01_Вводные'!$B$296="Новый сезон",9-1&gt;MOD(MONTH('06_Сеть_и_дети'!BH$3)-9,12),FALSE),'19_Расчет_аналитики'!BH3452*CapacityAge09*'19_Расчет_аналитики'!$F$3247,0),0)</f>
        <v/>
      </c>
      <c r="BI3564">
        <f>IF('01_Вводные'!$B$234="Да",IF(IF('01_Вводные'!$B$296="Новый сезон",9-1&gt;MOD(MONTH('06_Сеть_и_дети'!BI$3)-9,12),FALSE),'19_Расчет_аналитики'!BI3452*CapacityAge09*'19_Расчет_аналитики'!$F$3247,0),0)</f>
        <v/>
      </c>
      <c r="BJ3564">
        <f>IF('01_Вводные'!$B$234="Да",IF(IF('01_Вводные'!$B$296="Новый сезон",9-1&gt;MOD(MONTH('06_Сеть_и_дети'!BJ$3)-9,12),FALSE),'19_Расчет_аналитики'!BJ3452*CapacityAge09*'19_Расчет_аналитики'!$F$3247,0),0)</f>
        <v/>
      </c>
      <c r="BK3564">
        <f>IF('01_Вводные'!$B$234="Да",IF(IF('01_Вводные'!$B$296="Новый сезон",9-1&gt;MOD(MONTH('06_Сеть_и_дети'!BK$3)-9,12),FALSE),'19_Расчет_аналитики'!BK3452*CapacityAge09*'19_Расчет_аналитики'!$F$3247,0),0)</f>
        <v/>
      </c>
      <c r="BL3564">
        <f>IF('01_Вводные'!$B$234="Да",IF(IF('01_Вводные'!$B$296="Новый сезон",9-1&gt;MOD(MONTH('06_Сеть_и_дети'!BL$3)-9,12),FALSE),'19_Расчет_аналитики'!BL3452*CapacityAge09*'19_Расчет_аналитики'!$F$3247,0),0)</f>
        <v/>
      </c>
      <c r="BM3564">
        <f>IF('01_Вводные'!$B$234="Да",IF(IF('01_Вводные'!$B$296="Новый сезон",9-1&gt;MOD(MONTH('06_Сеть_и_дети'!BM$3)-9,12),FALSE),'19_Расчет_аналитики'!BM3452*CapacityAge09*'19_Расчет_аналитики'!$F$3247,0),0)</f>
        <v/>
      </c>
      <c r="BN3564">
        <f>IF('01_Вводные'!$B$234="Да",IF(IF('01_Вводные'!$B$296="Новый сезон",9-1&gt;MOD(MONTH('06_Сеть_и_дети'!BN$3)-9,12),FALSE),'19_Расчет_аналитики'!BN3452*CapacityAge09*'19_Расчет_аналитики'!$F$3247,0),0)</f>
        <v/>
      </c>
      <c r="BO3564">
        <f>IF('01_Вводные'!$B$234="Да",IF(IF('01_Вводные'!$B$296="Новый сезон",9-1&gt;MOD(MONTH('06_Сеть_и_дети'!BO$3)-9,12),FALSE),'19_Расчет_аналитики'!BO3452*CapacityAge09*'19_Расчет_аналитики'!$F$3247,0),0)</f>
        <v/>
      </c>
    </row>
    <row r="3565">
      <c r="B3565">
        <f>IF('01_Вводные'!$B$234="Да",IF(IF('01_Вводные'!$B$296="Новый сезон",10-1&gt;MOD(MONTH('06_Сеть_и_дети'!B$3)-9,12),FALSE),'06_Сеть_и_дети'!B62*CapacityAge10*'19_Расчет_аналитики'!$F$3247,0),0)</f>
        <v/>
      </c>
      <c r="C3565">
        <f>IF('01_Вводные'!$B$234="Да",IF(IF('01_Вводные'!$B$296="Новый сезон",10-1&gt;MOD(MONTH('06_Сеть_и_дети'!C$3)-9,12),FALSE),'06_Сеть_и_дети'!C62*CapacityAge10*'19_Расчет_аналитики'!$F$3247,0),0)</f>
        <v/>
      </c>
      <c r="D3565">
        <f>IF('01_Вводные'!$B$234="Да",IF(IF('01_Вводные'!$B$296="Новый сезон",10-1&gt;MOD(MONTH('06_Сеть_и_дети'!D$3)-9,12),FALSE),'06_Сеть_и_дети'!D62*CapacityAge10*'19_Расчет_аналитики'!$F$3247,0),0)</f>
        <v/>
      </c>
      <c r="E3565">
        <f>IF('01_Вводные'!$B$234="Да",IF(IF('01_Вводные'!$B$296="Новый сезон",10-1&gt;MOD(MONTH('06_Сеть_и_дети'!E$3)-9,12),FALSE),'06_Сеть_и_дети'!E62*CapacityAge10*'19_Расчет_аналитики'!$F$3247,0),0)</f>
        <v/>
      </c>
      <c r="F3565">
        <f>IF('01_Вводные'!$B$234="Да",IF(IF('01_Вводные'!$B$296="Новый сезон",10-1&gt;MOD(MONTH('06_Сеть_и_дети'!F$3)-9,12),FALSE),'06_Сеть_и_дети'!F62*CapacityAge10*'19_Расчет_аналитики'!$F$3247,0),0)</f>
        <v/>
      </c>
      <c r="G3565">
        <f>IF('01_Вводные'!$B$234="Да",IF(IF('01_Вводные'!$B$296="Новый сезон",10-1&gt;MOD(MONTH('06_Сеть_и_дети'!G$3)-9,12),FALSE),'06_Сеть_и_дети'!G62*CapacityAge10*'19_Расчет_аналитики'!$F$3247,0),0)</f>
        <v/>
      </c>
      <c r="H3565">
        <f>IF('01_Вводные'!$B$234="Да",IF(IF('01_Вводные'!$B$296="Новый сезон",10-1&gt;MOD(MONTH('06_Сеть_и_дети'!H$3)-9,12),FALSE),'06_Сеть_и_дети'!H62*CapacityAge10*'19_Расчет_аналитики'!$F$3247,0),0)</f>
        <v/>
      </c>
      <c r="I3565">
        <f>IF('01_Вводные'!$B$234="Да",IF(IF('01_Вводные'!$B$296="Новый сезон",10-1&gt;MOD(MONTH('06_Сеть_и_дети'!I$3)-9,12),FALSE),'06_Сеть_и_дети'!I62*CapacityAge10*'19_Расчет_аналитики'!$F$3247,0),0)</f>
        <v/>
      </c>
      <c r="J3565">
        <f>IF('01_Вводные'!$B$234="Да",IF(IF('01_Вводные'!$B$296="Новый сезон",10-1&gt;MOD(MONTH('06_Сеть_и_дети'!J$3)-9,12),FALSE),'06_Сеть_и_дети'!J62*CapacityAge10*'19_Расчет_аналитики'!$F$3247,0),0)</f>
        <v/>
      </c>
      <c r="K3565">
        <f>IF('01_Вводные'!$B$234="Да",IF(IF('01_Вводные'!$B$296="Новый сезон",10-1&gt;MOD(MONTH('06_Сеть_и_дети'!K$3)-9,12),FALSE),'19_Расчет_аналитики'!K3453*CapacityAge10*'19_Расчет_аналитики'!$F$3247,0),0)</f>
        <v/>
      </c>
      <c r="L3565">
        <f>IF('01_Вводные'!$B$234="Да",IF(IF('01_Вводные'!$B$296="Новый сезон",10-1&gt;MOD(MONTH('06_Сеть_и_дети'!L$3)-9,12),FALSE),'19_Расчет_аналитики'!L3453*CapacityAge10*'19_Расчет_аналитики'!$F$3247,0),0)</f>
        <v/>
      </c>
      <c r="M3565">
        <f>IF('01_Вводные'!$B$234="Да",IF(IF('01_Вводные'!$B$296="Новый сезон",10-1&gt;MOD(MONTH('06_Сеть_и_дети'!M$3)-9,12),FALSE),'19_Расчет_аналитики'!M3453*CapacityAge10*'19_Расчет_аналитики'!$F$3247,0),0)</f>
        <v/>
      </c>
      <c r="N3565">
        <f>IF('01_Вводные'!$B$234="Да",IF(IF('01_Вводные'!$B$296="Новый сезон",10-1&gt;MOD(MONTH('06_Сеть_и_дети'!N$3)-9,12),FALSE),'19_Расчет_аналитики'!N3453*CapacityAge10*'19_Расчет_аналитики'!$F$3247,0),0)</f>
        <v/>
      </c>
      <c r="O3565">
        <f>IF('01_Вводные'!$B$234="Да",IF(IF('01_Вводные'!$B$296="Новый сезон",10-1&gt;MOD(MONTH('06_Сеть_и_дети'!O$3)-9,12),FALSE),'19_Расчет_аналитики'!O3453*CapacityAge10*'19_Расчет_аналитики'!$F$3247,0),0)</f>
        <v/>
      </c>
      <c r="P3565">
        <f>IF('01_Вводные'!$B$234="Да",IF(IF('01_Вводные'!$B$296="Новый сезон",10-1&gt;MOD(MONTH('06_Сеть_и_дети'!P$3)-9,12),FALSE),'19_Расчет_аналитики'!P3453*CapacityAge10*'19_Расчет_аналитики'!$F$3247,0),0)</f>
        <v/>
      </c>
      <c r="Q3565">
        <f>IF('01_Вводные'!$B$234="Да",IF(IF('01_Вводные'!$B$296="Новый сезон",10-1&gt;MOD(MONTH('06_Сеть_и_дети'!Q$3)-9,12),FALSE),'19_Расчет_аналитики'!Q3453*CapacityAge10*'19_Расчет_аналитики'!$F$3247,0),0)</f>
        <v/>
      </c>
      <c r="R3565">
        <f>IF('01_Вводные'!$B$234="Да",IF(IF('01_Вводные'!$B$296="Новый сезон",10-1&gt;MOD(MONTH('06_Сеть_и_дети'!R$3)-9,12),FALSE),'19_Расчет_аналитики'!R3453*CapacityAge10*'19_Расчет_аналитики'!$F$3247,0),0)</f>
        <v/>
      </c>
      <c r="S3565">
        <f>IF('01_Вводные'!$B$234="Да",IF(IF('01_Вводные'!$B$296="Новый сезон",10-1&gt;MOD(MONTH('06_Сеть_и_дети'!S$3)-9,12),FALSE),'19_Расчет_аналитики'!S3453*CapacityAge10*'19_Расчет_аналитики'!$F$3247,0),0)</f>
        <v/>
      </c>
      <c r="T3565">
        <f>IF('01_Вводные'!$B$234="Да",IF(IF('01_Вводные'!$B$296="Новый сезон",10-1&gt;MOD(MONTH('06_Сеть_и_дети'!T$3)-9,12),FALSE),'19_Расчет_аналитики'!T3453*CapacityAge10*'19_Расчет_аналитики'!$F$3247,0),0)</f>
        <v/>
      </c>
      <c r="U3565">
        <f>IF('01_Вводные'!$B$234="Да",IF(IF('01_Вводные'!$B$296="Новый сезон",10-1&gt;MOD(MONTH('06_Сеть_и_дети'!U$3)-9,12),FALSE),'19_Расчет_аналитики'!U3453*CapacityAge10*'19_Расчет_аналитики'!$F$3247,0),0)</f>
        <v/>
      </c>
      <c r="V3565">
        <f>IF('01_Вводные'!$B$234="Да",IF(IF('01_Вводные'!$B$296="Новый сезон",10-1&gt;MOD(MONTH('06_Сеть_и_дети'!V$3)-9,12),FALSE),'19_Расчет_аналитики'!V3453*CapacityAge10*'19_Расчет_аналитики'!$F$3247,0),0)</f>
        <v/>
      </c>
      <c r="W3565">
        <f>IF('01_Вводные'!$B$234="Да",IF(IF('01_Вводные'!$B$296="Новый сезон",10-1&gt;MOD(MONTH('06_Сеть_и_дети'!W$3)-9,12),FALSE),'19_Расчет_аналитики'!W3453*CapacityAge10*'19_Расчет_аналитики'!$F$3247,0),0)</f>
        <v/>
      </c>
      <c r="X3565">
        <f>IF('01_Вводные'!$B$234="Да",IF(IF('01_Вводные'!$B$296="Новый сезон",10-1&gt;MOD(MONTH('06_Сеть_и_дети'!X$3)-9,12),FALSE),'19_Расчет_аналитики'!X3453*CapacityAge10*'19_Расчет_аналитики'!$F$3247,0),0)</f>
        <v/>
      </c>
      <c r="Y3565">
        <f>IF('01_Вводные'!$B$234="Да",IF(IF('01_Вводные'!$B$296="Новый сезон",10-1&gt;MOD(MONTH('06_Сеть_и_дети'!Y$3)-9,12),FALSE),'19_Расчет_аналитики'!Y3453*CapacityAge10*'19_Расчет_аналитики'!$F$3247,0),0)</f>
        <v/>
      </c>
      <c r="Z3565">
        <f>IF('01_Вводные'!$B$234="Да",IF(IF('01_Вводные'!$B$296="Новый сезон",10-1&gt;MOD(MONTH('06_Сеть_и_дети'!Z$3)-9,12),FALSE),'19_Расчет_аналитики'!Z3453*CapacityAge10*'19_Расчет_аналитики'!$F$3247,0),0)</f>
        <v/>
      </c>
      <c r="AA3565">
        <f>IF('01_Вводные'!$B$234="Да",IF(IF('01_Вводные'!$B$296="Новый сезон",10-1&gt;MOD(MONTH('06_Сеть_и_дети'!AA$3)-9,12),FALSE),'19_Расчет_аналитики'!AA3453*CapacityAge10*'19_Расчет_аналитики'!$F$3247,0),0)</f>
        <v/>
      </c>
      <c r="AB3565">
        <f>IF('01_Вводные'!$B$234="Да",IF(IF('01_Вводные'!$B$296="Новый сезон",10-1&gt;MOD(MONTH('06_Сеть_и_дети'!AB$3)-9,12),FALSE),'19_Расчет_аналитики'!AB3453*CapacityAge10*'19_Расчет_аналитики'!$F$3247,0),0)</f>
        <v/>
      </c>
      <c r="AC3565">
        <f>IF('01_Вводные'!$B$234="Да",IF(IF('01_Вводные'!$B$296="Новый сезон",10-1&gt;MOD(MONTH('06_Сеть_и_дети'!AC$3)-9,12),FALSE),'19_Расчет_аналитики'!AC3453*CapacityAge10*'19_Расчет_аналитики'!$F$3247,0),0)</f>
        <v/>
      </c>
      <c r="AD3565">
        <f>IF('01_Вводные'!$B$234="Да",IF(IF('01_Вводные'!$B$296="Новый сезон",10-1&gt;MOD(MONTH('06_Сеть_и_дети'!AD$3)-9,12),FALSE),'19_Расчет_аналитики'!AD3453*CapacityAge10*'19_Расчет_аналитики'!$F$3247,0),0)</f>
        <v/>
      </c>
      <c r="AE3565">
        <f>IF('01_Вводные'!$B$234="Да",IF(IF('01_Вводные'!$B$296="Новый сезон",10-1&gt;MOD(MONTH('06_Сеть_и_дети'!AE$3)-9,12),FALSE),'19_Расчет_аналитики'!AE3453*CapacityAge10*'19_Расчет_аналитики'!$F$3247,0),0)</f>
        <v/>
      </c>
      <c r="AF3565">
        <f>IF('01_Вводные'!$B$234="Да",IF(IF('01_Вводные'!$B$296="Новый сезон",10-1&gt;MOD(MONTH('06_Сеть_и_дети'!AF$3)-9,12),FALSE),'19_Расчет_аналитики'!AF3453*CapacityAge10*'19_Расчет_аналитики'!$F$3247,0),0)</f>
        <v/>
      </c>
      <c r="AG3565">
        <f>IF('01_Вводные'!$B$234="Да",IF(IF('01_Вводные'!$B$296="Новый сезон",10-1&gt;MOD(MONTH('06_Сеть_и_дети'!AG$3)-9,12),FALSE),'19_Расчет_аналитики'!AG3453*CapacityAge10*'19_Расчет_аналитики'!$F$3247,0),0)</f>
        <v/>
      </c>
      <c r="AH3565">
        <f>IF('01_Вводные'!$B$234="Да",IF(IF('01_Вводные'!$B$296="Новый сезон",10-1&gt;MOD(MONTH('06_Сеть_и_дети'!AH$3)-9,12),FALSE),'19_Расчет_аналитики'!AH3453*CapacityAge10*'19_Расчет_аналитики'!$F$3247,0),0)</f>
        <v/>
      </c>
      <c r="AI3565">
        <f>IF('01_Вводные'!$B$234="Да",IF(IF('01_Вводные'!$B$296="Новый сезон",10-1&gt;MOD(MONTH('06_Сеть_и_дети'!AI$3)-9,12),FALSE),'19_Расчет_аналитики'!AI3453*CapacityAge10*'19_Расчет_аналитики'!$F$3247,0),0)</f>
        <v/>
      </c>
      <c r="AJ3565">
        <f>IF('01_Вводные'!$B$234="Да",IF(IF('01_Вводные'!$B$296="Новый сезон",10-1&gt;MOD(MONTH('06_Сеть_и_дети'!AJ$3)-9,12),FALSE),'19_Расчет_аналитики'!AJ3453*CapacityAge10*'19_Расчет_аналитики'!$F$3247,0),0)</f>
        <v/>
      </c>
      <c r="AK3565">
        <f>IF('01_Вводные'!$B$234="Да",IF(IF('01_Вводные'!$B$296="Новый сезон",10-1&gt;MOD(MONTH('06_Сеть_и_дети'!AK$3)-9,12),FALSE),'19_Расчет_аналитики'!AK3453*CapacityAge10*'19_Расчет_аналитики'!$F$3247,0),0)</f>
        <v/>
      </c>
      <c r="AL3565">
        <f>IF('01_Вводные'!$B$234="Да",IF(IF('01_Вводные'!$B$296="Новый сезон",10-1&gt;MOD(MONTH('06_Сеть_и_дети'!AL$3)-9,12),FALSE),'19_Расчет_аналитики'!AL3453*CapacityAge10*'19_Расчет_аналитики'!$F$3247,0),0)</f>
        <v/>
      </c>
      <c r="AM3565">
        <f>IF('01_Вводные'!$B$234="Да",IF(IF('01_Вводные'!$B$296="Новый сезон",10-1&gt;MOD(MONTH('06_Сеть_и_дети'!AM$3)-9,12),FALSE),'19_Расчет_аналитики'!AM3453*CapacityAge10*'19_Расчет_аналитики'!$F$3247,0),0)</f>
        <v/>
      </c>
      <c r="AN3565">
        <f>IF('01_Вводные'!$B$234="Да",IF(IF('01_Вводные'!$B$296="Новый сезон",10-1&gt;MOD(MONTH('06_Сеть_и_дети'!AN$3)-9,12),FALSE),'19_Расчет_аналитики'!AN3453*CapacityAge10*'19_Расчет_аналитики'!$F$3247,0),0)</f>
        <v/>
      </c>
      <c r="AO3565">
        <f>IF('01_Вводные'!$B$234="Да",IF(IF('01_Вводные'!$B$296="Новый сезон",10-1&gt;MOD(MONTH('06_Сеть_и_дети'!AO$3)-9,12),FALSE),'19_Расчет_аналитики'!AO3453*CapacityAge10*'19_Расчет_аналитики'!$F$3247,0),0)</f>
        <v/>
      </c>
      <c r="AP3565">
        <f>IF('01_Вводные'!$B$234="Да",IF(IF('01_Вводные'!$B$296="Новый сезон",10-1&gt;MOD(MONTH('06_Сеть_и_дети'!AP$3)-9,12),FALSE),'19_Расчет_аналитики'!AP3453*CapacityAge10*'19_Расчет_аналитики'!$F$3247,0),0)</f>
        <v/>
      </c>
      <c r="AQ3565">
        <f>IF('01_Вводные'!$B$234="Да",IF(IF('01_Вводные'!$B$296="Новый сезон",10-1&gt;MOD(MONTH('06_Сеть_и_дети'!AQ$3)-9,12),FALSE),'19_Расчет_аналитики'!AQ3453*CapacityAge10*'19_Расчет_аналитики'!$F$3247,0),0)</f>
        <v/>
      </c>
      <c r="AR3565">
        <f>IF('01_Вводные'!$B$234="Да",IF(IF('01_Вводные'!$B$296="Новый сезон",10-1&gt;MOD(MONTH('06_Сеть_и_дети'!AR$3)-9,12),FALSE),'19_Расчет_аналитики'!AR3453*CapacityAge10*'19_Расчет_аналитики'!$F$3247,0),0)</f>
        <v/>
      </c>
      <c r="AS3565">
        <f>IF('01_Вводные'!$B$234="Да",IF(IF('01_Вводные'!$B$296="Новый сезон",10-1&gt;MOD(MONTH('06_Сеть_и_дети'!AS$3)-9,12),FALSE),'19_Расчет_аналитики'!AS3453*CapacityAge10*'19_Расчет_аналитики'!$F$3247,0),0)</f>
        <v/>
      </c>
      <c r="AT3565">
        <f>IF('01_Вводные'!$B$234="Да",IF(IF('01_Вводные'!$B$296="Новый сезон",10-1&gt;MOD(MONTH('06_Сеть_и_дети'!AT$3)-9,12),FALSE),'19_Расчет_аналитики'!AT3453*CapacityAge10*'19_Расчет_аналитики'!$F$3247,0),0)</f>
        <v/>
      </c>
      <c r="AU3565">
        <f>IF('01_Вводные'!$B$234="Да",IF(IF('01_Вводные'!$B$296="Новый сезон",10-1&gt;MOD(MONTH('06_Сеть_и_дети'!AU$3)-9,12),FALSE),'19_Расчет_аналитики'!AU3453*CapacityAge10*'19_Расчет_аналитики'!$F$3247,0),0)</f>
        <v/>
      </c>
      <c r="AV3565">
        <f>IF('01_Вводные'!$B$234="Да",IF(IF('01_Вводные'!$B$296="Новый сезон",10-1&gt;MOD(MONTH('06_Сеть_и_дети'!AV$3)-9,12),FALSE),'19_Расчет_аналитики'!AV3453*CapacityAge10*'19_Расчет_аналитики'!$F$3247,0),0)</f>
        <v/>
      </c>
      <c r="AW3565">
        <f>IF('01_Вводные'!$B$234="Да",IF(IF('01_Вводные'!$B$296="Новый сезон",10-1&gt;MOD(MONTH('06_Сеть_и_дети'!AW$3)-9,12),FALSE),'19_Расчет_аналитики'!AW3453*CapacityAge10*'19_Расчет_аналитики'!$F$3247,0),0)</f>
        <v/>
      </c>
      <c r="AX3565">
        <f>IF('01_Вводные'!$B$234="Да",IF(IF('01_Вводные'!$B$296="Новый сезон",10-1&gt;MOD(MONTH('06_Сеть_и_дети'!AX$3)-9,12),FALSE),'19_Расчет_аналитики'!AX3453*CapacityAge10*'19_Расчет_аналитики'!$F$3247,0),0)</f>
        <v/>
      </c>
      <c r="AY3565">
        <f>IF('01_Вводные'!$B$234="Да",IF(IF('01_Вводные'!$B$296="Новый сезон",10-1&gt;MOD(MONTH('06_Сеть_и_дети'!AY$3)-9,12),FALSE),'19_Расчет_аналитики'!AY3453*CapacityAge10*'19_Расчет_аналитики'!$F$3247,0),0)</f>
        <v/>
      </c>
      <c r="AZ3565">
        <f>IF('01_Вводные'!$B$234="Да",IF(IF('01_Вводные'!$B$296="Новый сезон",10-1&gt;MOD(MONTH('06_Сеть_и_дети'!AZ$3)-9,12),FALSE),'19_Расчет_аналитики'!AZ3453*CapacityAge10*'19_Расчет_аналитики'!$F$3247,0),0)</f>
        <v/>
      </c>
      <c r="BA3565">
        <f>IF('01_Вводные'!$B$234="Да",IF(IF('01_Вводные'!$B$296="Новый сезон",10-1&gt;MOD(MONTH('06_Сеть_и_дети'!BA$3)-9,12),FALSE),'19_Расчет_аналитики'!BA3453*CapacityAge10*'19_Расчет_аналитики'!$F$3247,0),0)</f>
        <v/>
      </c>
      <c r="BB3565">
        <f>IF('01_Вводные'!$B$234="Да",IF(IF('01_Вводные'!$B$296="Новый сезон",10-1&gt;MOD(MONTH('06_Сеть_и_дети'!BB$3)-9,12),FALSE),'19_Расчет_аналитики'!BB3453*CapacityAge10*'19_Расчет_аналитики'!$F$3247,0),0)</f>
        <v/>
      </c>
      <c r="BC3565">
        <f>IF('01_Вводные'!$B$234="Да",IF(IF('01_Вводные'!$B$296="Новый сезон",10-1&gt;MOD(MONTH('06_Сеть_и_дети'!BC$3)-9,12),FALSE),'19_Расчет_аналитики'!BC3453*CapacityAge10*'19_Расчет_аналитики'!$F$3247,0),0)</f>
        <v/>
      </c>
      <c r="BD3565">
        <f>IF('01_Вводные'!$B$234="Да",IF(IF('01_Вводные'!$B$296="Новый сезон",10-1&gt;MOD(MONTH('06_Сеть_и_дети'!BD$3)-9,12),FALSE),'19_Расчет_аналитики'!BD3453*CapacityAge10*'19_Расчет_аналитики'!$F$3247,0),0)</f>
        <v/>
      </c>
      <c r="BE3565">
        <f>IF('01_Вводные'!$B$234="Да",IF(IF('01_Вводные'!$B$296="Новый сезон",10-1&gt;MOD(MONTH('06_Сеть_и_дети'!BE$3)-9,12),FALSE),'19_Расчет_аналитики'!BE3453*CapacityAge10*'19_Расчет_аналитики'!$F$3247,0),0)</f>
        <v/>
      </c>
      <c r="BF3565">
        <f>IF('01_Вводные'!$B$234="Да",IF(IF('01_Вводные'!$B$296="Новый сезон",10-1&gt;MOD(MONTH('06_Сеть_и_дети'!BF$3)-9,12),FALSE),'19_Расчет_аналитики'!BF3453*CapacityAge10*'19_Расчет_аналитики'!$F$3247,0),0)</f>
        <v/>
      </c>
      <c r="BG3565">
        <f>IF('01_Вводные'!$B$234="Да",IF(IF('01_Вводные'!$B$296="Новый сезон",10-1&gt;MOD(MONTH('06_Сеть_и_дети'!BG$3)-9,12),FALSE),'19_Расчет_аналитики'!BG3453*CapacityAge10*'19_Расчет_аналитики'!$F$3247,0),0)</f>
        <v/>
      </c>
      <c r="BH3565">
        <f>IF('01_Вводные'!$B$234="Да",IF(IF('01_Вводные'!$B$296="Новый сезон",10-1&gt;MOD(MONTH('06_Сеть_и_дети'!BH$3)-9,12),FALSE),'19_Расчет_аналитики'!BH3453*CapacityAge10*'19_Расчет_аналитики'!$F$3247,0),0)</f>
        <v/>
      </c>
      <c r="BI3565">
        <f>IF('01_Вводные'!$B$234="Да",IF(IF('01_Вводные'!$B$296="Новый сезон",10-1&gt;MOD(MONTH('06_Сеть_и_дети'!BI$3)-9,12),FALSE),'19_Расчет_аналитики'!BI3453*CapacityAge10*'19_Расчет_аналитики'!$F$3247,0),0)</f>
        <v/>
      </c>
      <c r="BJ3565">
        <f>IF('01_Вводные'!$B$234="Да",IF(IF('01_Вводные'!$B$296="Новый сезон",10-1&gt;MOD(MONTH('06_Сеть_и_дети'!BJ$3)-9,12),FALSE),'19_Расчет_аналитики'!BJ3453*CapacityAge10*'19_Расчет_аналитики'!$F$3247,0),0)</f>
        <v/>
      </c>
      <c r="BK3565">
        <f>IF('01_Вводные'!$B$234="Да",IF(IF('01_Вводные'!$B$296="Новый сезон",10-1&gt;MOD(MONTH('06_Сеть_и_дети'!BK$3)-9,12),FALSE),'19_Расчет_аналитики'!BK3453*CapacityAge10*'19_Расчет_аналитики'!$F$3247,0),0)</f>
        <v/>
      </c>
      <c r="BL3565">
        <f>IF('01_Вводные'!$B$234="Да",IF(IF('01_Вводные'!$B$296="Новый сезон",10-1&gt;MOD(MONTH('06_Сеть_и_дети'!BL$3)-9,12),FALSE),'19_Расчет_аналитики'!BL3453*CapacityAge10*'19_Расчет_аналитики'!$F$3247,0),0)</f>
        <v/>
      </c>
      <c r="BM3565">
        <f>IF('01_Вводные'!$B$234="Да",IF(IF('01_Вводные'!$B$296="Новый сезон",10-1&gt;MOD(MONTH('06_Сеть_и_дети'!BM$3)-9,12),FALSE),'19_Расчет_аналитики'!BM3453*CapacityAge10*'19_Расчет_аналитики'!$F$3247,0),0)</f>
        <v/>
      </c>
      <c r="BN3565">
        <f>IF('01_Вводные'!$B$234="Да",IF(IF('01_Вводные'!$B$296="Новый сезон",10-1&gt;MOD(MONTH('06_Сеть_и_дети'!BN$3)-9,12),FALSE),'19_Расчет_аналитики'!BN3453*CapacityAge10*'19_Расчет_аналитики'!$F$3247,0),0)</f>
        <v/>
      </c>
      <c r="BO3565">
        <f>IF('01_Вводные'!$B$234="Да",IF(IF('01_Вводные'!$B$296="Новый сезон",10-1&gt;MOD(MONTH('06_Сеть_и_дети'!BO$3)-9,12),FALSE),'19_Расчет_аналитики'!BO3453*CapacityAge10*'19_Расчет_аналитики'!$F$3247,0),0)</f>
        <v/>
      </c>
    </row>
    <row r="3566">
      <c r="B3566">
        <f>IF('01_Вводные'!$B$234="Да",IF(IF('01_Вводные'!$B$296="Новый сезон",11-1&gt;MOD(MONTH('06_Сеть_и_дети'!B$3)-9,12),FALSE),'06_Сеть_и_дети'!B63*CapacityAge11*'19_Расчет_аналитики'!$F$3247,0),0)</f>
        <v/>
      </c>
      <c r="C3566">
        <f>IF('01_Вводные'!$B$234="Да",IF(IF('01_Вводные'!$B$296="Новый сезон",11-1&gt;MOD(MONTH('06_Сеть_и_дети'!C$3)-9,12),FALSE),'06_Сеть_и_дети'!C63*CapacityAge11*'19_Расчет_аналитики'!$F$3247,0),0)</f>
        <v/>
      </c>
      <c r="D3566">
        <f>IF('01_Вводные'!$B$234="Да",IF(IF('01_Вводные'!$B$296="Новый сезон",11-1&gt;MOD(MONTH('06_Сеть_и_дети'!D$3)-9,12),FALSE),'06_Сеть_и_дети'!D63*CapacityAge11*'19_Расчет_аналитики'!$F$3247,0),0)</f>
        <v/>
      </c>
      <c r="E3566">
        <f>IF('01_Вводные'!$B$234="Да",IF(IF('01_Вводные'!$B$296="Новый сезон",11-1&gt;MOD(MONTH('06_Сеть_и_дети'!E$3)-9,12),FALSE),'06_Сеть_и_дети'!E63*CapacityAge11*'19_Расчет_аналитики'!$F$3247,0),0)</f>
        <v/>
      </c>
      <c r="F3566">
        <f>IF('01_Вводные'!$B$234="Да",IF(IF('01_Вводные'!$B$296="Новый сезон",11-1&gt;MOD(MONTH('06_Сеть_и_дети'!F$3)-9,12),FALSE),'06_Сеть_и_дети'!F63*CapacityAge11*'19_Расчет_аналитики'!$F$3247,0),0)</f>
        <v/>
      </c>
      <c r="G3566">
        <f>IF('01_Вводные'!$B$234="Да",IF(IF('01_Вводные'!$B$296="Новый сезон",11-1&gt;MOD(MONTH('06_Сеть_и_дети'!G$3)-9,12),FALSE),'06_Сеть_и_дети'!G63*CapacityAge11*'19_Расчет_аналитики'!$F$3247,0),0)</f>
        <v/>
      </c>
      <c r="H3566">
        <f>IF('01_Вводные'!$B$234="Да",IF(IF('01_Вводные'!$B$296="Новый сезон",11-1&gt;MOD(MONTH('06_Сеть_и_дети'!H$3)-9,12),FALSE),'06_Сеть_и_дети'!H63*CapacityAge11*'19_Расчет_аналитики'!$F$3247,0),0)</f>
        <v/>
      </c>
      <c r="I3566">
        <f>IF('01_Вводные'!$B$234="Да",IF(IF('01_Вводные'!$B$296="Новый сезон",11-1&gt;MOD(MONTH('06_Сеть_и_дети'!I$3)-9,12),FALSE),'06_Сеть_и_дети'!I63*CapacityAge11*'19_Расчет_аналитики'!$F$3247,0),0)</f>
        <v/>
      </c>
      <c r="J3566">
        <f>IF('01_Вводные'!$B$234="Да",IF(IF('01_Вводные'!$B$296="Новый сезон",11-1&gt;MOD(MONTH('06_Сеть_и_дети'!J$3)-9,12),FALSE),'06_Сеть_и_дети'!J63*CapacityAge11*'19_Расчет_аналитики'!$F$3247,0),0)</f>
        <v/>
      </c>
      <c r="K3566">
        <f>IF('01_Вводные'!$B$234="Да",IF(IF('01_Вводные'!$B$296="Новый сезон",11-1&gt;MOD(MONTH('06_Сеть_и_дети'!K$3)-9,12),FALSE),'06_Сеть_и_дети'!K63*CapacityAge11*'19_Расчет_аналитики'!$F$3247,0),0)</f>
        <v/>
      </c>
      <c r="L3566">
        <f>IF('01_Вводные'!$B$234="Да",IF(IF('01_Вводные'!$B$296="Новый сезон",11-1&gt;MOD(MONTH('06_Сеть_и_дети'!L$3)-9,12),FALSE),'19_Расчет_аналитики'!L3454*CapacityAge11*'19_Расчет_аналитики'!$F$3247,0),0)</f>
        <v/>
      </c>
      <c r="M3566">
        <f>IF('01_Вводные'!$B$234="Да",IF(IF('01_Вводные'!$B$296="Новый сезон",11-1&gt;MOD(MONTH('06_Сеть_и_дети'!M$3)-9,12),FALSE),'19_Расчет_аналитики'!M3454*CapacityAge11*'19_Расчет_аналитики'!$F$3247,0),0)</f>
        <v/>
      </c>
      <c r="N3566">
        <f>IF('01_Вводные'!$B$234="Да",IF(IF('01_Вводные'!$B$296="Новый сезон",11-1&gt;MOD(MONTH('06_Сеть_и_дети'!N$3)-9,12),FALSE),'19_Расчет_аналитики'!N3454*CapacityAge11*'19_Расчет_аналитики'!$F$3247,0),0)</f>
        <v/>
      </c>
      <c r="O3566">
        <f>IF('01_Вводные'!$B$234="Да",IF(IF('01_Вводные'!$B$296="Новый сезон",11-1&gt;MOD(MONTH('06_Сеть_и_дети'!O$3)-9,12),FALSE),'19_Расчет_аналитики'!O3454*CapacityAge11*'19_Расчет_аналитики'!$F$3247,0),0)</f>
        <v/>
      </c>
      <c r="P3566">
        <f>IF('01_Вводные'!$B$234="Да",IF(IF('01_Вводные'!$B$296="Новый сезон",11-1&gt;MOD(MONTH('06_Сеть_и_дети'!P$3)-9,12),FALSE),'19_Расчет_аналитики'!P3454*CapacityAge11*'19_Расчет_аналитики'!$F$3247,0),0)</f>
        <v/>
      </c>
      <c r="Q3566">
        <f>IF('01_Вводные'!$B$234="Да",IF(IF('01_Вводные'!$B$296="Новый сезон",11-1&gt;MOD(MONTH('06_Сеть_и_дети'!Q$3)-9,12),FALSE),'19_Расчет_аналитики'!Q3454*CapacityAge11*'19_Расчет_аналитики'!$F$3247,0),0)</f>
        <v/>
      </c>
      <c r="R3566">
        <f>IF('01_Вводные'!$B$234="Да",IF(IF('01_Вводные'!$B$296="Новый сезон",11-1&gt;MOD(MONTH('06_Сеть_и_дети'!R$3)-9,12),FALSE),'19_Расчет_аналитики'!R3454*CapacityAge11*'19_Расчет_аналитики'!$F$3247,0),0)</f>
        <v/>
      </c>
      <c r="S3566">
        <f>IF('01_Вводные'!$B$234="Да",IF(IF('01_Вводные'!$B$296="Новый сезон",11-1&gt;MOD(MONTH('06_Сеть_и_дети'!S$3)-9,12),FALSE),'19_Расчет_аналитики'!S3454*CapacityAge11*'19_Расчет_аналитики'!$F$3247,0),0)</f>
        <v/>
      </c>
      <c r="T3566">
        <f>IF('01_Вводные'!$B$234="Да",IF(IF('01_Вводные'!$B$296="Новый сезон",11-1&gt;MOD(MONTH('06_Сеть_и_дети'!T$3)-9,12),FALSE),'19_Расчет_аналитики'!T3454*CapacityAge11*'19_Расчет_аналитики'!$F$3247,0),0)</f>
        <v/>
      </c>
      <c r="U3566">
        <f>IF('01_Вводные'!$B$234="Да",IF(IF('01_Вводные'!$B$296="Новый сезон",11-1&gt;MOD(MONTH('06_Сеть_и_дети'!U$3)-9,12),FALSE),'19_Расчет_аналитики'!U3454*CapacityAge11*'19_Расчет_аналитики'!$F$3247,0),0)</f>
        <v/>
      </c>
      <c r="V3566">
        <f>IF('01_Вводные'!$B$234="Да",IF(IF('01_Вводные'!$B$296="Новый сезон",11-1&gt;MOD(MONTH('06_Сеть_и_дети'!V$3)-9,12),FALSE),'19_Расчет_аналитики'!V3454*CapacityAge11*'19_Расчет_аналитики'!$F$3247,0),0)</f>
        <v/>
      </c>
      <c r="W3566">
        <f>IF('01_Вводные'!$B$234="Да",IF(IF('01_Вводные'!$B$296="Новый сезон",11-1&gt;MOD(MONTH('06_Сеть_и_дети'!W$3)-9,12),FALSE),'19_Расчет_аналитики'!W3454*CapacityAge11*'19_Расчет_аналитики'!$F$3247,0),0)</f>
        <v/>
      </c>
      <c r="X3566">
        <f>IF('01_Вводные'!$B$234="Да",IF(IF('01_Вводные'!$B$296="Новый сезон",11-1&gt;MOD(MONTH('06_Сеть_и_дети'!X$3)-9,12),FALSE),'19_Расчет_аналитики'!X3454*CapacityAge11*'19_Расчет_аналитики'!$F$3247,0),0)</f>
        <v/>
      </c>
      <c r="Y3566">
        <f>IF('01_Вводные'!$B$234="Да",IF(IF('01_Вводные'!$B$296="Новый сезон",11-1&gt;MOD(MONTH('06_Сеть_и_дети'!Y$3)-9,12),FALSE),'19_Расчет_аналитики'!Y3454*CapacityAge11*'19_Расчет_аналитики'!$F$3247,0),0)</f>
        <v/>
      </c>
      <c r="Z3566">
        <f>IF('01_Вводные'!$B$234="Да",IF(IF('01_Вводные'!$B$296="Новый сезон",11-1&gt;MOD(MONTH('06_Сеть_и_дети'!Z$3)-9,12),FALSE),'19_Расчет_аналитики'!Z3454*CapacityAge11*'19_Расчет_аналитики'!$F$3247,0),0)</f>
        <v/>
      </c>
      <c r="AA3566">
        <f>IF('01_Вводные'!$B$234="Да",IF(IF('01_Вводные'!$B$296="Новый сезон",11-1&gt;MOD(MONTH('06_Сеть_и_дети'!AA$3)-9,12),FALSE),'19_Расчет_аналитики'!AA3454*CapacityAge11*'19_Расчет_аналитики'!$F$3247,0),0)</f>
        <v/>
      </c>
      <c r="AB3566">
        <f>IF('01_Вводные'!$B$234="Да",IF(IF('01_Вводные'!$B$296="Новый сезон",11-1&gt;MOD(MONTH('06_Сеть_и_дети'!AB$3)-9,12),FALSE),'19_Расчет_аналитики'!AB3454*CapacityAge11*'19_Расчет_аналитики'!$F$3247,0),0)</f>
        <v/>
      </c>
      <c r="AC3566">
        <f>IF('01_Вводные'!$B$234="Да",IF(IF('01_Вводные'!$B$296="Новый сезон",11-1&gt;MOD(MONTH('06_Сеть_и_дети'!AC$3)-9,12),FALSE),'19_Расчет_аналитики'!AC3454*CapacityAge11*'19_Расчет_аналитики'!$F$3247,0),0)</f>
        <v/>
      </c>
      <c r="AD3566">
        <f>IF('01_Вводные'!$B$234="Да",IF(IF('01_Вводные'!$B$296="Новый сезон",11-1&gt;MOD(MONTH('06_Сеть_и_дети'!AD$3)-9,12),FALSE),'19_Расчет_аналитики'!AD3454*CapacityAge11*'19_Расчет_аналитики'!$F$3247,0),0)</f>
        <v/>
      </c>
      <c r="AE3566">
        <f>IF('01_Вводные'!$B$234="Да",IF(IF('01_Вводные'!$B$296="Новый сезон",11-1&gt;MOD(MONTH('06_Сеть_и_дети'!AE$3)-9,12),FALSE),'19_Расчет_аналитики'!AE3454*CapacityAge11*'19_Расчет_аналитики'!$F$3247,0),0)</f>
        <v/>
      </c>
      <c r="AF3566">
        <f>IF('01_Вводные'!$B$234="Да",IF(IF('01_Вводные'!$B$296="Новый сезон",11-1&gt;MOD(MONTH('06_Сеть_и_дети'!AF$3)-9,12),FALSE),'19_Расчет_аналитики'!AF3454*CapacityAge11*'19_Расчет_аналитики'!$F$3247,0),0)</f>
        <v/>
      </c>
      <c r="AG3566">
        <f>IF('01_Вводные'!$B$234="Да",IF(IF('01_Вводные'!$B$296="Новый сезон",11-1&gt;MOD(MONTH('06_Сеть_и_дети'!AG$3)-9,12),FALSE),'19_Расчет_аналитики'!AG3454*CapacityAge11*'19_Расчет_аналитики'!$F$3247,0),0)</f>
        <v/>
      </c>
      <c r="AH3566">
        <f>IF('01_Вводные'!$B$234="Да",IF(IF('01_Вводные'!$B$296="Новый сезон",11-1&gt;MOD(MONTH('06_Сеть_и_дети'!AH$3)-9,12),FALSE),'19_Расчет_аналитики'!AH3454*CapacityAge11*'19_Расчет_аналитики'!$F$3247,0),0)</f>
        <v/>
      </c>
      <c r="AI3566">
        <f>IF('01_Вводные'!$B$234="Да",IF(IF('01_Вводные'!$B$296="Новый сезон",11-1&gt;MOD(MONTH('06_Сеть_и_дети'!AI$3)-9,12),FALSE),'19_Расчет_аналитики'!AI3454*CapacityAge11*'19_Расчет_аналитики'!$F$3247,0),0)</f>
        <v/>
      </c>
      <c r="AJ3566">
        <f>IF('01_Вводные'!$B$234="Да",IF(IF('01_Вводные'!$B$296="Новый сезон",11-1&gt;MOD(MONTH('06_Сеть_и_дети'!AJ$3)-9,12),FALSE),'19_Расчет_аналитики'!AJ3454*CapacityAge11*'19_Расчет_аналитики'!$F$3247,0),0)</f>
        <v/>
      </c>
      <c r="AK3566">
        <f>IF('01_Вводные'!$B$234="Да",IF(IF('01_Вводные'!$B$296="Новый сезон",11-1&gt;MOD(MONTH('06_Сеть_и_дети'!AK$3)-9,12),FALSE),'19_Расчет_аналитики'!AK3454*CapacityAge11*'19_Расчет_аналитики'!$F$3247,0),0)</f>
        <v/>
      </c>
      <c r="AL3566">
        <f>IF('01_Вводные'!$B$234="Да",IF(IF('01_Вводные'!$B$296="Новый сезон",11-1&gt;MOD(MONTH('06_Сеть_и_дети'!AL$3)-9,12),FALSE),'19_Расчет_аналитики'!AL3454*CapacityAge11*'19_Расчет_аналитики'!$F$3247,0),0)</f>
        <v/>
      </c>
      <c r="AM3566">
        <f>IF('01_Вводные'!$B$234="Да",IF(IF('01_Вводные'!$B$296="Новый сезон",11-1&gt;MOD(MONTH('06_Сеть_и_дети'!AM$3)-9,12),FALSE),'19_Расчет_аналитики'!AM3454*CapacityAge11*'19_Расчет_аналитики'!$F$3247,0),0)</f>
        <v/>
      </c>
      <c r="AN3566">
        <f>IF('01_Вводные'!$B$234="Да",IF(IF('01_Вводные'!$B$296="Новый сезон",11-1&gt;MOD(MONTH('06_Сеть_и_дети'!AN$3)-9,12),FALSE),'19_Расчет_аналитики'!AN3454*CapacityAge11*'19_Расчет_аналитики'!$F$3247,0),0)</f>
        <v/>
      </c>
      <c r="AO3566">
        <f>IF('01_Вводные'!$B$234="Да",IF(IF('01_Вводные'!$B$296="Новый сезон",11-1&gt;MOD(MONTH('06_Сеть_и_дети'!AO$3)-9,12),FALSE),'19_Расчет_аналитики'!AO3454*CapacityAge11*'19_Расчет_аналитики'!$F$3247,0),0)</f>
        <v/>
      </c>
      <c r="AP3566">
        <f>IF('01_Вводные'!$B$234="Да",IF(IF('01_Вводные'!$B$296="Новый сезон",11-1&gt;MOD(MONTH('06_Сеть_и_дети'!AP$3)-9,12),FALSE),'19_Расчет_аналитики'!AP3454*CapacityAge11*'19_Расчет_аналитики'!$F$3247,0),0)</f>
        <v/>
      </c>
      <c r="AQ3566">
        <f>IF('01_Вводные'!$B$234="Да",IF(IF('01_Вводные'!$B$296="Новый сезон",11-1&gt;MOD(MONTH('06_Сеть_и_дети'!AQ$3)-9,12),FALSE),'19_Расчет_аналитики'!AQ3454*CapacityAge11*'19_Расчет_аналитики'!$F$3247,0),0)</f>
        <v/>
      </c>
      <c r="AR3566">
        <f>IF('01_Вводные'!$B$234="Да",IF(IF('01_Вводные'!$B$296="Новый сезон",11-1&gt;MOD(MONTH('06_Сеть_и_дети'!AR$3)-9,12),FALSE),'19_Расчет_аналитики'!AR3454*CapacityAge11*'19_Расчет_аналитики'!$F$3247,0),0)</f>
        <v/>
      </c>
      <c r="AS3566">
        <f>IF('01_Вводные'!$B$234="Да",IF(IF('01_Вводные'!$B$296="Новый сезон",11-1&gt;MOD(MONTH('06_Сеть_и_дети'!AS$3)-9,12),FALSE),'19_Расчет_аналитики'!AS3454*CapacityAge11*'19_Расчет_аналитики'!$F$3247,0),0)</f>
        <v/>
      </c>
      <c r="AT3566">
        <f>IF('01_Вводные'!$B$234="Да",IF(IF('01_Вводные'!$B$296="Новый сезон",11-1&gt;MOD(MONTH('06_Сеть_и_дети'!AT$3)-9,12),FALSE),'19_Расчет_аналитики'!AT3454*CapacityAge11*'19_Расчет_аналитики'!$F$3247,0),0)</f>
        <v/>
      </c>
      <c r="AU3566">
        <f>IF('01_Вводные'!$B$234="Да",IF(IF('01_Вводные'!$B$296="Новый сезон",11-1&gt;MOD(MONTH('06_Сеть_и_дети'!AU$3)-9,12),FALSE),'19_Расчет_аналитики'!AU3454*CapacityAge11*'19_Расчет_аналитики'!$F$3247,0),0)</f>
        <v/>
      </c>
      <c r="AV3566">
        <f>IF('01_Вводные'!$B$234="Да",IF(IF('01_Вводные'!$B$296="Новый сезон",11-1&gt;MOD(MONTH('06_Сеть_и_дети'!AV$3)-9,12),FALSE),'19_Расчет_аналитики'!AV3454*CapacityAge11*'19_Расчет_аналитики'!$F$3247,0),0)</f>
        <v/>
      </c>
      <c r="AW3566">
        <f>IF('01_Вводные'!$B$234="Да",IF(IF('01_Вводные'!$B$296="Новый сезон",11-1&gt;MOD(MONTH('06_Сеть_и_дети'!AW$3)-9,12),FALSE),'19_Расчет_аналитики'!AW3454*CapacityAge11*'19_Расчет_аналитики'!$F$3247,0),0)</f>
        <v/>
      </c>
      <c r="AX3566">
        <f>IF('01_Вводные'!$B$234="Да",IF(IF('01_Вводные'!$B$296="Новый сезон",11-1&gt;MOD(MONTH('06_Сеть_и_дети'!AX$3)-9,12),FALSE),'19_Расчет_аналитики'!AX3454*CapacityAge11*'19_Расчет_аналитики'!$F$3247,0),0)</f>
        <v/>
      </c>
      <c r="AY3566">
        <f>IF('01_Вводные'!$B$234="Да",IF(IF('01_Вводные'!$B$296="Новый сезон",11-1&gt;MOD(MONTH('06_Сеть_и_дети'!AY$3)-9,12),FALSE),'19_Расчет_аналитики'!AY3454*CapacityAge11*'19_Расчет_аналитики'!$F$3247,0),0)</f>
        <v/>
      </c>
      <c r="AZ3566">
        <f>IF('01_Вводные'!$B$234="Да",IF(IF('01_Вводные'!$B$296="Новый сезон",11-1&gt;MOD(MONTH('06_Сеть_и_дети'!AZ$3)-9,12),FALSE),'19_Расчет_аналитики'!AZ3454*CapacityAge11*'19_Расчет_аналитики'!$F$3247,0),0)</f>
        <v/>
      </c>
      <c r="BA3566">
        <f>IF('01_Вводные'!$B$234="Да",IF(IF('01_Вводные'!$B$296="Новый сезон",11-1&gt;MOD(MONTH('06_Сеть_и_дети'!BA$3)-9,12),FALSE),'19_Расчет_аналитики'!BA3454*CapacityAge11*'19_Расчет_аналитики'!$F$3247,0),0)</f>
        <v/>
      </c>
      <c r="BB3566">
        <f>IF('01_Вводные'!$B$234="Да",IF(IF('01_Вводные'!$B$296="Новый сезон",11-1&gt;MOD(MONTH('06_Сеть_и_дети'!BB$3)-9,12),FALSE),'19_Расчет_аналитики'!BB3454*CapacityAge11*'19_Расчет_аналитики'!$F$3247,0),0)</f>
        <v/>
      </c>
      <c r="BC3566">
        <f>IF('01_Вводные'!$B$234="Да",IF(IF('01_Вводные'!$B$296="Новый сезон",11-1&gt;MOD(MONTH('06_Сеть_и_дети'!BC$3)-9,12),FALSE),'19_Расчет_аналитики'!BC3454*CapacityAge11*'19_Расчет_аналитики'!$F$3247,0),0)</f>
        <v/>
      </c>
      <c r="BD3566">
        <f>IF('01_Вводные'!$B$234="Да",IF(IF('01_Вводные'!$B$296="Новый сезон",11-1&gt;MOD(MONTH('06_Сеть_и_дети'!BD$3)-9,12),FALSE),'19_Расчет_аналитики'!BD3454*CapacityAge11*'19_Расчет_аналитики'!$F$3247,0),0)</f>
        <v/>
      </c>
      <c r="BE3566">
        <f>IF('01_Вводные'!$B$234="Да",IF(IF('01_Вводные'!$B$296="Новый сезон",11-1&gt;MOD(MONTH('06_Сеть_и_дети'!BE$3)-9,12),FALSE),'19_Расчет_аналитики'!BE3454*CapacityAge11*'19_Расчет_аналитики'!$F$3247,0),0)</f>
        <v/>
      </c>
      <c r="BF3566">
        <f>IF('01_Вводные'!$B$234="Да",IF(IF('01_Вводные'!$B$296="Новый сезон",11-1&gt;MOD(MONTH('06_Сеть_и_дети'!BF$3)-9,12),FALSE),'19_Расчет_аналитики'!BF3454*CapacityAge11*'19_Расчет_аналитики'!$F$3247,0),0)</f>
        <v/>
      </c>
      <c r="BG3566">
        <f>IF('01_Вводные'!$B$234="Да",IF(IF('01_Вводные'!$B$296="Новый сезон",11-1&gt;MOD(MONTH('06_Сеть_и_дети'!BG$3)-9,12),FALSE),'19_Расчет_аналитики'!BG3454*CapacityAge11*'19_Расчет_аналитики'!$F$3247,0),0)</f>
        <v/>
      </c>
      <c r="BH3566">
        <f>IF('01_Вводные'!$B$234="Да",IF(IF('01_Вводные'!$B$296="Новый сезон",11-1&gt;MOD(MONTH('06_Сеть_и_дети'!BH$3)-9,12),FALSE),'19_Расчет_аналитики'!BH3454*CapacityAge11*'19_Расчет_аналитики'!$F$3247,0),0)</f>
        <v/>
      </c>
      <c r="BI3566">
        <f>IF('01_Вводные'!$B$234="Да",IF(IF('01_Вводные'!$B$296="Новый сезон",11-1&gt;MOD(MONTH('06_Сеть_и_дети'!BI$3)-9,12),FALSE),'19_Расчет_аналитики'!BI3454*CapacityAge11*'19_Расчет_аналитики'!$F$3247,0),0)</f>
        <v/>
      </c>
      <c r="BJ3566">
        <f>IF('01_Вводные'!$B$234="Да",IF(IF('01_Вводные'!$B$296="Новый сезон",11-1&gt;MOD(MONTH('06_Сеть_и_дети'!BJ$3)-9,12),FALSE),'19_Расчет_аналитики'!BJ3454*CapacityAge11*'19_Расчет_аналитики'!$F$3247,0),0)</f>
        <v/>
      </c>
      <c r="BK3566">
        <f>IF('01_Вводные'!$B$234="Да",IF(IF('01_Вводные'!$B$296="Новый сезон",11-1&gt;MOD(MONTH('06_Сеть_и_дети'!BK$3)-9,12),FALSE),'19_Расчет_аналитики'!BK3454*CapacityAge11*'19_Расчет_аналитики'!$F$3247,0),0)</f>
        <v/>
      </c>
      <c r="BL3566">
        <f>IF('01_Вводные'!$B$234="Да",IF(IF('01_Вводные'!$B$296="Новый сезон",11-1&gt;MOD(MONTH('06_Сеть_и_дети'!BL$3)-9,12),FALSE),'19_Расчет_аналитики'!BL3454*CapacityAge11*'19_Расчет_аналитики'!$F$3247,0),0)</f>
        <v/>
      </c>
      <c r="BM3566">
        <f>IF('01_Вводные'!$B$234="Да",IF(IF('01_Вводные'!$B$296="Новый сезон",11-1&gt;MOD(MONTH('06_Сеть_и_дети'!BM$3)-9,12),FALSE),'19_Расчет_аналитики'!BM3454*CapacityAge11*'19_Расчет_аналитики'!$F$3247,0),0)</f>
        <v/>
      </c>
      <c r="BN3566">
        <f>IF('01_Вводные'!$B$234="Да",IF(IF('01_Вводные'!$B$296="Новый сезон",11-1&gt;MOD(MONTH('06_Сеть_и_дети'!BN$3)-9,12),FALSE),'19_Расчет_аналитики'!BN3454*CapacityAge11*'19_Расчет_аналитики'!$F$3247,0),0)</f>
        <v/>
      </c>
      <c r="BO3566">
        <f>IF('01_Вводные'!$B$234="Да",IF(IF('01_Вводные'!$B$296="Новый сезон",11-1&gt;MOD(MONTH('06_Сеть_и_дети'!BO$3)-9,12),FALSE),'19_Расчет_аналитики'!BO3454*CapacityAge11*'19_Расчет_аналитики'!$F$3247,0),0)</f>
        <v/>
      </c>
    </row>
    <row r="3567">
      <c r="B3567">
        <f>IF('01_Вводные'!$B$234="Да",IF(IF('01_Вводные'!$B$296="Новый сезон",12-1&gt;MOD(MONTH('06_Сеть_и_дети'!B$3)-9,12),FALSE),'06_Сеть_и_дети'!B64*CapacityAge12*'19_Расчет_аналитики'!$F$3247,0),0)</f>
        <v/>
      </c>
      <c r="C3567">
        <f>IF('01_Вводные'!$B$234="Да",IF(IF('01_Вводные'!$B$296="Новый сезон",12-1&gt;MOD(MONTH('06_Сеть_и_дети'!C$3)-9,12),FALSE),'06_Сеть_и_дети'!C64*CapacityAge12*'19_Расчет_аналитики'!$F$3247,0),0)</f>
        <v/>
      </c>
      <c r="D3567">
        <f>IF('01_Вводные'!$B$234="Да",IF(IF('01_Вводные'!$B$296="Новый сезон",12-1&gt;MOD(MONTH('06_Сеть_и_дети'!D$3)-9,12),FALSE),'06_Сеть_и_дети'!D64*CapacityAge12*'19_Расчет_аналитики'!$F$3247,0),0)</f>
        <v/>
      </c>
      <c r="E3567">
        <f>IF('01_Вводные'!$B$234="Да",IF(IF('01_Вводные'!$B$296="Новый сезон",12-1&gt;MOD(MONTH('06_Сеть_и_дети'!E$3)-9,12),FALSE),'06_Сеть_и_дети'!E64*CapacityAge12*'19_Расчет_аналитики'!$F$3247,0),0)</f>
        <v/>
      </c>
      <c r="F3567">
        <f>IF('01_Вводные'!$B$234="Да",IF(IF('01_Вводные'!$B$296="Новый сезон",12-1&gt;MOD(MONTH('06_Сеть_и_дети'!F$3)-9,12),FALSE),'06_Сеть_и_дети'!F64*CapacityAge12*'19_Расчет_аналитики'!$F$3247,0),0)</f>
        <v/>
      </c>
      <c r="G3567">
        <f>IF('01_Вводные'!$B$234="Да",IF(IF('01_Вводные'!$B$296="Новый сезон",12-1&gt;MOD(MONTH('06_Сеть_и_дети'!G$3)-9,12),FALSE),'06_Сеть_и_дети'!G64*CapacityAge12*'19_Расчет_аналитики'!$F$3247,0),0)</f>
        <v/>
      </c>
      <c r="H3567">
        <f>IF('01_Вводные'!$B$234="Да",IF(IF('01_Вводные'!$B$296="Новый сезон",12-1&gt;MOD(MONTH('06_Сеть_и_дети'!H$3)-9,12),FALSE),'06_Сеть_и_дети'!H64*CapacityAge12*'19_Расчет_аналитики'!$F$3247,0),0)</f>
        <v/>
      </c>
      <c r="I3567">
        <f>IF('01_Вводные'!$B$234="Да",IF(IF('01_Вводные'!$B$296="Новый сезон",12-1&gt;MOD(MONTH('06_Сеть_и_дети'!I$3)-9,12),FALSE),'06_Сеть_и_дети'!I64*CapacityAge12*'19_Расчет_аналитики'!$F$3247,0),0)</f>
        <v/>
      </c>
      <c r="J3567">
        <f>IF('01_Вводные'!$B$234="Да",IF(IF('01_Вводные'!$B$296="Новый сезон",12-1&gt;MOD(MONTH('06_Сеть_и_дети'!J$3)-9,12),FALSE),'06_Сеть_и_дети'!J64*CapacityAge12*'19_Расчет_аналитики'!$F$3247,0),0)</f>
        <v/>
      </c>
      <c r="K3567">
        <f>IF('01_Вводные'!$B$234="Да",IF(IF('01_Вводные'!$B$296="Новый сезон",12-1&gt;MOD(MONTH('06_Сеть_и_дети'!K$3)-9,12),FALSE),'06_Сеть_и_дети'!K64*CapacityAge12*'19_Расчет_аналитики'!$F$3247,0),0)</f>
        <v/>
      </c>
      <c r="L3567">
        <f>IF('01_Вводные'!$B$234="Да",IF(IF('01_Вводные'!$B$296="Новый сезон",12-1&gt;MOD(MONTH('06_Сеть_и_дети'!L$3)-9,12),FALSE),'06_Сеть_и_дети'!L64*CapacityAge12*'19_Расчет_аналитики'!$F$3247,0),0)</f>
        <v/>
      </c>
      <c r="M3567">
        <f>IF('01_Вводные'!$B$234="Да",IF(IF('01_Вводные'!$B$296="Новый сезон",12-1&gt;MOD(MONTH('06_Сеть_и_дети'!M$3)-9,12),FALSE),'19_Расчет_аналитики'!M3455*CapacityAge12*'19_Расчет_аналитики'!$F$3247,0),0)</f>
        <v/>
      </c>
      <c r="N3567">
        <f>IF('01_Вводные'!$B$234="Да",IF(IF('01_Вводные'!$B$296="Новый сезон",12-1&gt;MOD(MONTH('06_Сеть_и_дети'!N$3)-9,12),FALSE),'19_Расчет_аналитики'!N3455*CapacityAge12*'19_Расчет_аналитики'!$F$3247,0),0)</f>
        <v/>
      </c>
      <c r="O3567">
        <f>IF('01_Вводные'!$B$234="Да",IF(IF('01_Вводные'!$B$296="Новый сезон",12-1&gt;MOD(MONTH('06_Сеть_и_дети'!O$3)-9,12),FALSE),'19_Расчет_аналитики'!O3455*CapacityAge12*'19_Расчет_аналитики'!$F$3247,0),0)</f>
        <v/>
      </c>
      <c r="P3567">
        <f>IF('01_Вводные'!$B$234="Да",IF(IF('01_Вводные'!$B$296="Новый сезон",12-1&gt;MOD(MONTH('06_Сеть_и_дети'!P$3)-9,12),FALSE),'19_Расчет_аналитики'!P3455*CapacityAge12*'19_Расчет_аналитики'!$F$3247,0),0)</f>
        <v/>
      </c>
      <c r="Q3567">
        <f>IF('01_Вводные'!$B$234="Да",IF(IF('01_Вводные'!$B$296="Новый сезон",12-1&gt;MOD(MONTH('06_Сеть_и_дети'!Q$3)-9,12),FALSE),'19_Расчет_аналитики'!Q3455*CapacityAge12*'19_Расчет_аналитики'!$F$3247,0),0)</f>
        <v/>
      </c>
      <c r="R3567">
        <f>IF('01_Вводные'!$B$234="Да",IF(IF('01_Вводные'!$B$296="Новый сезон",12-1&gt;MOD(MONTH('06_Сеть_и_дети'!R$3)-9,12),FALSE),'19_Расчет_аналитики'!R3455*CapacityAge12*'19_Расчет_аналитики'!$F$3247,0),0)</f>
        <v/>
      </c>
      <c r="S3567">
        <f>IF('01_Вводные'!$B$234="Да",IF(IF('01_Вводные'!$B$296="Новый сезон",12-1&gt;MOD(MONTH('06_Сеть_и_дети'!S$3)-9,12),FALSE),'19_Расчет_аналитики'!S3455*CapacityAge12*'19_Расчет_аналитики'!$F$3247,0),0)</f>
        <v/>
      </c>
      <c r="T3567">
        <f>IF('01_Вводные'!$B$234="Да",IF(IF('01_Вводные'!$B$296="Новый сезон",12-1&gt;MOD(MONTH('06_Сеть_и_дети'!T$3)-9,12),FALSE),'19_Расчет_аналитики'!T3455*CapacityAge12*'19_Расчет_аналитики'!$F$3247,0),0)</f>
        <v/>
      </c>
      <c r="U3567">
        <f>IF('01_Вводные'!$B$234="Да",IF(IF('01_Вводные'!$B$296="Новый сезон",12-1&gt;MOD(MONTH('06_Сеть_и_дети'!U$3)-9,12),FALSE),'19_Расчет_аналитики'!U3455*CapacityAge12*'19_Расчет_аналитики'!$F$3247,0),0)</f>
        <v/>
      </c>
      <c r="V3567">
        <f>IF('01_Вводные'!$B$234="Да",IF(IF('01_Вводные'!$B$296="Новый сезон",12-1&gt;MOD(MONTH('06_Сеть_и_дети'!V$3)-9,12),FALSE),'19_Расчет_аналитики'!V3455*CapacityAge12*'19_Расчет_аналитики'!$F$3247,0),0)</f>
        <v/>
      </c>
      <c r="W3567">
        <f>IF('01_Вводные'!$B$234="Да",IF(IF('01_Вводные'!$B$296="Новый сезон",12-1&gt;MOD(MONTH('06_Сеть_и_дети'!W$3)-9,12),FALSE),'19_Расчет_аналитики'!W3455*CapacityAge12*'19_Расчет_аналитики'!$F$3247,0),0)</f>
        <v/>
      </c>
      <c r="X3567">
        <f>IF('01_Вводные'!$B$234="Да",IF(IF('01_Вводные'!$B$296="Новый сезон",12-1&gt;MOD(MONTH('06_Сеть_и_дети'!X$3)-9,12),FALSE),'19_Расчет_аналитики'!X3455*CapacityAge12*'19_Расчет_аналитики'!$F$3247,0),0)</f>
        <v/>
      </c>
      <c r="Y3567">
        <f>IF('01_Вводные'!$B$234="Да",IF(IF('01_Вводные'!$B$296="Новый сезон",12-1&gt;MOD(MONTH('06_Сеть_и_дети'!Y$3)-9,12),FALSE),'19_Расчет_аналитики'!Y3455*CapacityAge12*'19_Расчет_аналитики'!$F$3247,0),0)</f>
        <v/>
      </c>
      <c r="Z3567">
        <f>IF('01_Вводные'!$B$234="Да",IF(IF('01_Вводные'!$B$296="Новый сезон",12-1&gt;MOD(MONTH('06_Сеть_и_дети'!Z$3)-9,12),FALSE),'19_Расчет_аналитики'!Z3455*CapacityAge12*'19_Расчет_аналитики'!$F$3247,0),0)</f>
        <v/>
      </c>
      <c r="AA3567">
        <f>IF('01_Вводные'!$B$234="Да",IF(IF('01_Вводные'!$B$296="Новый сезон",12-1&gt;MOD(MONTH('06_Сеть_и_дети'!AA$3)-9,12),FALSE),'19_Расчет_аналитики'!AA3455*CapacityAge12*'19_Расчет_аналитики'!$F$3247,0),0)</f>
        <v/>
      </c>
      <c r="AB3567">
        <f>IF('01_Вводные'!$B$234="Да",IF(IF('01_Вводные'!$B$296="Новый сезон",12-1&gt;MOD(MONTH('06_Сеть_и_дети'!AB$3)-9,12),FALSE),'19_Расчет_аналитики'!AB3455*CapacityAge12*'19_Расчет_аналитики'!$F$3247,0),0)</f>
        <v/>
      </c>
      <c r="AC3567">
        <f>IF('01_Вводные'!$B$234="Да",IF(IF('01_Вводные'!$B$296="Новый сезон",12-1&gt;MOD(MONTH('06_Сеть_и_дети'!AC$3)-9,12),FALSE),'19_Расчет_аналитики'!AC3455*CapacityAge12*'19_Расчет_аналитики'!$F$3247,0),0)</f>
        <v/>
      </c>
      <c r="AD3567">
        <f>IF('01_Вводные'!$B$234="Да",IF(IF('01_Вводные'!$B$296="Новый сезон",12-1&gt;MOD(MONTH('06_Сеть_и_дети'!AD$3)-9,12),FALSE),'19_Расчет_аналитики'!AD3455*CapacityAge12*'19_Расчет_аналитики'!$F$3247,0),0)</f>
        <v/>
      </c>
      <c r="AE3567">
        <f>IF('01_Вводные'!$B$234="Да",IF(IF('01_Вводные'!$B$296="Новый сезон",12-1&gt;MOD(MONTH('06_Сеть_и_дети'!AE$3)-9,12),FALSE),'19_Расчет_аналитики'!AE3455*CapacityAge12*'19_Расчет_аналитики'!$F$3247,0),0)</f>
        <v/>
      </c>
      <c r="AF3567">
        <f>IF('01_Вводные'!$B$234="Да",IF(IF('01_Вводные'!$B$296="Новый сезон",12-1&gt;MOD(MONTH('06_Сеть_и_дети'!AF$3)-9,12),FALSE),'19_Расчет_аналитики'!AF3455*CapacityAge12*'19_Расчет_аналитики'!$F$3247,0),0)</f>
        <v/>
      </c>
      <c r="AG3567">
        <f>IF('01_Вводные'!$B$234="Да",IF(IF('01_Вводные'!$B$296="Новый сезон",12-1&gt;MOD(MONTH('06_Сеть_и_дети'!AG$3)-9,12),FALSE),'19_Расчет_аналитики'!AG3455*CapacityAge12*'19_Расчет_аналитики'!$F$3247,0),0)</f>
        <v/>
      </c>
      <c r="AH3567">
        <f>IF('01_Вводные'!$B$234="Да",IF(IF('01_Вводные'!$B$296="Новый сезон",12-1&gt;MOD(MONTH('06_Сеть_и_дети'!AH$3)-9,12),FALSE),'19_Расчет_аналитики'!AH3455*CapacityAge12*'19_Расчет_аналитики'!$F$3247,0),0)</f>
        <v/>
      </c>
      <c r="AI3567">
        <f>IF('01_Вводные'!$B$234="Да",IF(IF('01_Вводные'!$B$296="Новый сезон",12-1&gt;MOD(MONTH('06_Сеть_и_дети'!AI$3)-9,12),FALSE),'19_Расчет_аналитики'!AI3455*CapacityAge12*'19_Расчет_аналитики'!$F$3247,0),0)</f>
        <v/>
      </c>
      <c r="AJ3567">
        <f>IF('01_Вводные'!$B$234="Да",IF(IF('01_Вводные'!$B$296="Новый сезон",12-1&gt;MOD(MONTH('06_Сеть_и_дети'!AJ$3)-9,12),FALSE),'19_Расчет_аналитики'!AJ3455*CapacityAge12*'19_Расчет_аналитики'!$F$3247,0),0)</f>
        <v/>
      </c>
      <c r="AK3567">
        <f>IF('01_Вводные'!$B$234="Да",IF(IF('01_Вводные'!$B$296="Новый сезон",12-1&gt;MOD(MONTH('06_Сеть_и_дети'!AK$3)-9,12),FALSE),'19_Расчет_аналитики'!AK3455*CapacityAge12*'19_Расчет_аналитики'!$F$3247,0),0)</f>
        <v/>
      </c>
      <c r="AL3567">
        <f>IF('01_Вводные'!$B$234="Да",IF(IF('01_Вводные'!$B$296="Новый сезон",12-1&gt;MOD(MONTH('06_Сеть_и_дети'!AL$3)-9,12),FALSE),'19_Расчет_аналитики'!AL3455*CapacityAge12*'19_Расчет_аналитики'!$F$3247,0),0)</f>
        <v/>
      </c>
      <c r="AM3567">
        <f>IF('01_Вводные'!$B$234="Да",IF(IF('01_Вводные'!$B$296="Новый сезон",12-1&gt;MOD(MONTH('06_Сеть_и_дети'!AM$3)-9,12),FALSE),'19_Расчет_аналитики'!AM3455*CapacityAge12*'19_Расчет_аналитики'!$F$3247,0),0)</f>
        <v/>
      </c>
      <c r="AN3567">
        <f>IF('01_Вводные'!$B$234="Да",IF(IF('01_Вводные'!$B$296="Новый сезон",12-1&gt;MOD(MONTH('06_Сеть_и_дети'!AN$3)-9,12),FALSE),'19_Расчет_аналитики'!AN3455*CapacityAge12*'19_Расчет_аналитики'!$F$3247,0),0)</f>
        <v/>
      </c>
      <c r="AO3567">
        <f>IF('01_Вводные'!$B$234="Да",IF(IF('01_Вводные'!$B$296="Новый сезон",12-1&gt;MOD(MONTH('06_Сеть_и_дети'!AO$3)-9,12),FALSE),'19_Расчет_аналитики'!AO3455*CapacityAge12*'19_Расчет_аналитики'!$F$3247,0),0)</f>
        <v/>
      </c>
      <c r="AP3567">
        <f>IF('01_Вводные'!$B$234="Да",IF(IF('01_Вводные'!$B$296="Новый сезон",12-1&gt;MOD(MONTH('06_Сеть_и_дети'!AP$3)-9,12),FALSE),'19_Расчет_аналитики'!AP3455*CapacityAge12*'19_Расчет_аналитики'!$F$3247,0),0)</f>
        <v/>
      </c>
      <c r="AQ3567">
        <f>IF('01_Вводные'!$B$234="Да",IF(IF('01_Вводные'!$B$296="Новый сезон",12-1&gt;MOD(MONTH('06_Сеть_и_дети'!AQ$3)-9,12),FALSE),'19_Расчет_аналитики'!AQ3455*CapacityAge12*'19_Расчет_аналитики'!$F$3247,0),0)</f>
        <v/>
      </c>
      <c r="AR3567">
        <f>IF('01_Вводные'!$B$234="Да",IF(IF('01_Вводные'!$B$296="Новый сезон",12-1&gt;MOD(MONTH('06_Сеть_и_дети'!AR$3)-9,12),FALSE),'19_Расчет_аналитики'!AR3455*CapacityAge12*'19_Расчет_аналитики'!$F$3247,0),0)</f>
        <v/>
      </c>
      <c r="AS3567">
        <f>IF('01_Вводные'!$B$234="Да",IF(IF('01_Вводные'!$B$296="Новый сезон",12-1&gt;MOD(MONTH('06_Сеть_и_дети'!AS$3)-9,12),FALSE),'19_Расчет_аналитики'!AS3455*CapacityAge12*'19_Расчет_аналитики'!$F$3247,0),0)</f>
        <v/>
      </c>
      <c r="AT3567">
        <f>IF('01_Вводные'!$B$234="Да",IF(IF('01_Вводные'!$B$296="Новый сезон",12-1&gt;MOD(MONTH('06_Сеть_и_дети'!AT$3)-9,12),FALSE),'19_Расчет_аналитики'!AT3455*CapacityAge12*'19_Расчет_аналитики'!$F$3247,0),0)</f>
        <v/>
      </c>
      <c r="AU3567">
        <f>IF('01_Вводные'!$B$234="Да",IF(IF('01_Вводные'!$B$296="Новый сезон",12-1&gt;MOD(MONTH('06_Сеть_и_дети'!AU$3)-9,12),FALSE),'19_Расчет_аналитики'!AU3455*CapacityAge12*'19_Расчет_аналитики'!$F$3247,0),0)</f>
        <v/>
      </c>
      <c r="AV3567">
        <f>IF('01_Вводные'!$B$234="Да",IF(IF('01_Вводные'!$B$296="Новый сезон",12-1&gt;MOD(MONTH('06_Сеть_и_дети'!AV$3)-9,12),FALSE),'19_Расчет_аналитики'!AV3455*CapacityAge12*'19_Расчет_аналитики'!$F$3247,0),0)</f>
        <v/>
      </c>
      <c r="AW3567">
        <f>IF('01_Вводные'!$B$234="Да",IF(IF('01_Вводные'!$B$296="Новый сезон",12-1&gt;MOD(MONTH('06_Сеть_и_дети'!AW$3)-9,12),FALSE),'19_Расчет_аналитики'!AW3455*CapacityAge12*'19_Расчет_аналитики'!$F$3247,0),0)</f>
        <v/>
      </c>
      <c r="AX3567">
        <f>IF('01_Вводные'!$B$234="Да",IF(IF('01_Вводные'!$B$296="Новый сезон",12-1&gt;MOD(MONTH('06_Сеть_и_дети'!AX$3)-9,12),FALSE),'19_Расчет_аналитики'!AX3455*CapacityAge12*'19_Расчет_аналитики'!$F$3247,0),0)</f>
        <v/>
      </c>
      <c r="AY3567">
        <f>IF('01_Вводные'!$B$234="Да",IF(IF('01_Вводные'!$B$296="Новый сезон",12-1&gt;MOD(MONTH('06_Сеть_и_дети'!AY$3)-9,12),FALSE),'19_Расчет_аналитики'!AY3455*CapacityAge12*'19_Расчет_аналитики'!$F$3247,0),0)</f>
        <v/>
      </c>
      <c r="AZ3567">
        <f>IF('01_Вводные'!$B$234="Да",IF(IF('01_Вводные'!$B$296="Новый сезон",12-1&gt;MOD(MONTH('06_Сеть_и_дети'!AZ$3)-9,12),FALSE),'19_Расчет_аналитики'!AZ3455*CapacityAge12*'19_Расчет_аналитики'!$F$3247,0),0)</f>
        <v/>
      </c>
      <c r="BA3567">
        <f>IF('01_Вводные'!$B$234="Да",IF(IF('01_Вводные'!$B$296="Новый сезон",12-1&gt;MOD(MONTH('06_Сеть_и_дети'!BA$3)-9,12),FALSE),'19_Расчет_аналитики'!BA3455*CapacityAge12*'19_Расчет_аналитики'!$F$3247,0),0)</f>
        <v/>
      </c>
      <c r="BB3567">
        <f>IF('01_Вводные'!$B$234="Да",IF(IF('01_Вводные'!$B$296="Новый сезон",12-1&gt;MOD(MONTH('06_Сеть_и_дети'!BB$3)-9,12),FALSE),'19_Расчет_аналитики'!BB3455*CapacityAge12*'19_Расчет_аналитики'!$F$3247,0),0)</f>
        <v/>
      </c>
      <c r="BC3567">
        <f>IF('01_Вводные'!$B$234="Да",IF(IF('01_Вводные'!$B$296="Новый сезон",12-1&gt;MOD(MONTH('06_Сеть_и_дети'!BC$3)-9,12),FALSE),'19_Расчет_аналитики'!BC3455*CapacityAge12*'19_Расчет_аналитики'!$F$3247,0),0)</f>
        <v/>
      </c>
      <c r="BD3567">
        <f>IF('01_Вводные'!$B$234="Да",IF(IF('01_Вводные'!$B$296="Новый сезон",12-1&gt;MOD(MONTH('06_Сеть_и_дети'!BD$3)-9,12),FALSE),'19_Расчет_аналитики'!BD3455*CapacityAge12*'19_Расчет_аналитики'!$F$3247,0),0)</f>
        <v/>
      </c>
      <c r="BE3567">
        <f>IF('01_Вводные'!$B$234="Да",IF(IF('01_Вводные'!$B$296="Новый сезон",12-1&gt;MOD(MONTH('06_Сеть_и_дети'!BE$3)-9,12),FALSE),'19_Расчет_аналитики'!BE3455*CapacityAge12*'19_Расчет_аналитики'!$F$3247,0),0)</f>
        <v/>
      </c>
      <c r="BF3567">
        <f>IF('01_Вводные'!$B$234="Да",IF(IF('01_Вводные'!$B$296="Новый сезон",12-1&gt;MOD(MONTH('06_Сеть_и_дети'!BF$3)-9,12),FALSE),'19_Расчет_аналитики'!BF3455*CapacityAge12*'19_Расчет_аналитики'!$F$3247,0),0)</f>
        <v/>
      </c>
      <c r="BG3567">
        <f>IF('01_Вводные'!$B$234="Да",IF(IF('01_Вводные'!$B$296="Новый сезон",12-1&gt;MOD(MONTH('06_Сеть_и_дети'!BG$3)-9,12),FALSE),'19_Расчет_аналитики'!BG3455*CapacityAge12*'19_Расчет_аналитики'!$F$3247,0),0)</f>
        <v/>
      </c>
      <c r="BH3567">
        <f>IF('01_Вводные'!$B$234="Да",IF(IF('01_Вводные'!$B$296="Новый сезон",12-1&gt;MOD(MONTH('06_Сеть_и_дети'!BH$3)-9,12),FALSE),'19_Расчет_аналитики'!BH3455*CapacityAge12*'19_Расчет_аналитики'!$F$3247,0),0)</f>
        <v/>
      </c>
      <c r="BI3567">
        <f>IF('01_Вводные'!$B$234="Да",IF(IF('01_Вводные'!$B$296="Новый сезон",12-1&gt;MOD(MONTH('06_Сеть_и_дети'!BI$3)-9,12),FALSE),'19_Расчет_аналитики'!BI3455*CapacityAge12*'19_Расчет_аналитики'!$F$3247,0),0)</f>
        <v/>
      </c>
      <c r="BJ3567">
        <f>IF('01_Вводные'!$B$234="Да",IF(IF('01_Вводные'!$B$296="Новый сезон",12-1&gt;MOD(MONTH('06_Сеть_и_дети'!BJ$3)-9,12),FALSE),'19_Расчет_аналитики'!BJ3455*CapacityAge12*'19_Расчет_аналитики'!$F$3247,0),0)</f>
        <v/>
      </c>
      <c r="BK3567">
        <f>IF('01_Вводные'!$B$234="Да",IF(IF('01_Вводные'!$B$296="Новый сезон",12-1&gt;MOD(MONTH('06_Сеть_и_дети'!BK$3)-9,12),FALSE),'19_Расчет_аналитики'!BK3455*CapacityAge12*'19_Расчет_аналитики'!$F$3247,0),0)</f>
        <v/>
      </c>
      <c r="BL3567">
        <f>IF('01_Вводные'!$B$234="Да",IF(IF('01_Вводные'!$B$296="Новый сезон",12-1&gt;MOD(MONTH('06_Сеть_и_дети'!BL$3)-9,12),FALSE),'19_Расчет_аналитики'!BL3455*CapacityAge12*'19_Расчет_аналитики'!$F$3247,0),0)</f>
        <v/>
      </c>
      <c r="BM3567">
        <f>IF('01_Вводные'!$B$234="Да",IF(IF('01_Вводные'!$B$296="Новый сезон",12-1&gt;MOD(MONTH('06_Сеть_и_дети'!BM$3)-9,12),FALSE),'19_Расчет_аналитики'!BM3455*CapacityAge12*'19_Расчет_аналитики'!$F$3247,0),0)</f>
        <v/>
      </c>
      <c r="BN3567">
        <f>IF('01_Вводные'!$B$234="Да",IF(IF('01_Вводные'!$B$296="Новый сезон",12-1&gt;MOD(MONTH('06_Сеть_и_дети'!BN$3)-9,12),FALSE),'19_Расчет_аналитики'!BN3455*CapacityAge12*'19_Расчет_аналитики'!$F$3247,0),0)</f>
        <v/>
      </c>
      <c r="BO3567">
        <f>IF('01_Вводные'!$B$234="Да",IF(IF('01_Вводные'!$B$296="Новый сезон",12-1&gt;MOD(MONTH('06_Сеть_и_дети'!BO$3)-9,12),FALSE),'19_Расчет_аналитики'!BO3455*CapacityAge12*'19_Расчет_аналитики'!$F$3247,0),0)</f>
        <v/>
      </c>
    </row>
    <row r="3568">
      <c r="B3568">
        <f>IF('01_Вводные'!$B$234="Да",IF(IF('01_Вводные'!$B$296="Новый сезон",TRUE,TRUE),'06_Сеть_и_дети'!B65*CapacityAge13*'19_Расчет_аналитики'!$F$3247,0),0)</f>
        <v/>
      </c>
      <c r="C3568">
        <f>IF('01_Вводные'!$B$234="Да",IF(IF('01_Вводные'!$B$296="Новый сезон",TRUE,TRUE),'06_Сеть_и_дети'!C65*CapacityAge13*'19_Расчет_аналитики'!$F$3247,0),0)</f>
        <v/>
      </c>
      <c r="D3568">
        <f>IF('01_Вводные'!$B$234="Да",IF(IF('01_Вводные'!$B$296="Новый сезон",TRUE,TRUE),'06_Сеть_и_дети'!D65*CapacityAge13*'19_Расчет_аналитики'!$F$3247,0),0)</f>
        <v/>
      </c>
      <c r="E3568">
        <f>IF('01_Вводные'!$B$234="Да",IF(IF('01_Вводные'!$B$296="Новый сезон",TRUE,TRUE),'06_Сеть_и_дети'!E65*CapacityAge13*'19_Расчет_аналитики'!$F$3247,0),0)</f>
        <v/>
      </c>
      <c r="F3568">
        <f>IF('01_Вводные'!$B$234="Да",IF(IF('01_Вводные'!$B$296="Новый сезон",TRUE,TRUE),'06_Сеть_и_дети'!F65*CapacityAge13*'19_Расчет_аналитики'!$F$3247,0),0)</f>
        <v/>
      </c>
      <c r="G3568">
        <f>IF('01_Вводные'!$B$234="Да",IF(IF('01_Вводные'!$B$296="Новый сезон",TRUE,TRUE),'06_Сеть_и_дети'!G65*CapacityAge13*'19_Расчет_аналитики'!$F$3247,0),0)</f>
        <v/>
      </c>
      <c r="H3568">
        <f>IF('01_Вводные'!$B$234="Да",IF(IF('01_Вводные'!$B$296="Новый сезон",TRUE,TRUE),'06_Сеть_и_дети'!H65*CapacityAge13*'19_Расчет_аналитики'!$F$3247,0),0)</f>
        <v/>
      </c>
      <c r="I3568">
        <f>IF('01_Вводные'!$B$234="Да",IF(IF('01_Вводные'!$B$296="Новый сезон",TRUE,TRUE),'06_Сеть_и_дети'!I65*CapacityAge13*'19_Расчет_аналитики'!$F$3247,0),0)</f>
        <v/>
      </c>
      <c r="J3568">
        <f>IF('01_Вводные'!$B$234="Да",IF(IF('01_Вводные'!$B$296="Новый сезон",TRUE,TRUE),'06_Сеть_и_дети'!J65*CapacityAge13*'19_Расчет_аналитики'!$F$3247,0),0)</f>
        <v/>
      </c>
      <c r="K3568">
        <f>IF('01_Вводные'!$B$234="Да",IF(IF('01_Вводные'!$B$296="Новый сезон",TRUE,TRUE),'06_Сеть_и_дети'!K65*CapacityAge13*'19_Расчет_аналитики'!$F$3247,0),0)</f>
        <v/>
      </c>
      <c r="L3568">
        <f>IF('01_Вводные'!$B$234="Да",IF(IF('01_Вводные'!$B$296="Новый сезон",TRUE,TRUE),'06_Сеть_и_дети'!L65*CapacityAge13*'19_Расчет_аналитики'!$F$3247,0),0)</f>
        <v/>
      </c>
      <c r="M3568">
        <f>IF('01_Вводные'!$B$234="Да",IF(IF('01_Вводные'!$B$296="Новый сезон",TRUE,TRUE),'06_Сеть_и_дети'!M65*CapacityAge13*'19_Расчет_аналитики'!$F$3247,0),0)</f>
        <v/>
      </c>
      <c r="N3568">
        <f>IF('01_Вводные'!$B$234="Да",IF(IF('01_Вводные'!$B$296="Новый сезон",TRUE,TRUE),'19_Расчет_аналитики'!N3456*CapacityAge13*'19_Расчет_аналитики'!$F$3247,0),0)</f>
        <v/>
      </c>
      <c r="O3568">
        <f>IF('01_Вводные'!$B$234="Да",IF(IF('01_Вводные'!$B$296="Новый сезон",TRUE,TRUE),'19_Расчет_аналитики'!O3456*CapacityAge13*'19_Расчет_аналитики'!$F$3247,0),0)</f>
        <v/>
      </c>
      <c r="P3568">
        <f>IF('01_Вводные'!$B$234="Да",IF(IF('01_Вводные'!$B$296="Новый сезон",TRUE,TRUE),'19_Расчет_аналитики'!P3456*CapacityAge13*'19_Расчет_аналитики'!$F$3247,0),0)</f>
        <v/>
      </c>
      <c r="Q3568">
        <f>IF('01_Вводные'!$B$234="Да",IF(IF('01_Вводные'!$B$296="Новый сезон",TRUE,TRUE),'19_Расчет_аналитики'!Q3456*CapacityAge13*'19_Расчет_аналитики'!$F$3247,0),0)</f>
        <v/>
      </c>
      <c r="R3568">
        <f>IF('01_Вводные'!$B$234="Да",IF(IF('01_Вводные'!$B$296="Новый сезон",TRUE,TRUE),'19_Расчет_аналитики'!R3456*CapacityAge13*'19_Расчет_аналитики'!$F$3247,0),0)</f>
        <v/>
      </c>
      <c r="S3568">
        <f>IF('01_Вводные'!$B$234="Да",IF(IF('01_Вводные'!$B$296="Новый сезон",TRUE,TRUE),'19_Расчет_аналитики'!S3456*CapacityAge13*'19_Расчет_аналитики'!$F$3247,0),0)</f>
        <v/>
      </c>
      <c r="T3568">
        <f>IF('01_Вводные'!$B$234="Да",IF(IF('01_Вводные'!$B$296="Новый сезон",TRUE,TRUE),'19_Расчет_аналитики'!T3456*CapacityAge13*'19_Расчет_аналитики'!$F$3247,0),0)</f>
        <v/>
      </c>
      <c r="U3568">
        <f>IF('01_Вводные'!$B$234="Да",IF(IF('01_Вводные'!$B$296="Новый сезон",TRUE,TRUE),'19_Расчет_аналитики'!U3456*CapacityAge13*'19_Расчет_аналитики'!$F$3247,0),0)</f>
        <v/>
      </c>
      <c r="V3568">
        <f>IF('01_Вводные'!$B$234="Да",IF(IF('01_Вводные'!$B$296="Новый сезон",TRUE,TRUE),'19_Расчет_аналитики'!V3456*CapacityAge13*'19_Расчет_аналитики'!$F$3247,0),0)</f>
        <v/>
      </c>
      <c r="W3568">
        <f>IF('01_Вводные'!$B$234="Да",IF(IF('01_Вводные'!$B$296="Новый сезон",TRUE,TRUE),'19_Расчет_аналитики'!W3456*CapacityAge13*'19_Расчет_аналитики'!$F$3247,0),0)</f>
        <v/>
      </c>
      <c r="X3568">
        <f>IF('01_Вводные'!$B$234="Да",IF(IF('01_Вводные'!$B$296="Новый сезон",TRUE,TRUE),'19_Расчет_аналитики'!X3456*CapacityAge13*'19_Расчет_аналитики'!$F$3247,0),0)</f>
        <v/>
      </c>
      <c r="Y3568">
        <f>IF('01_Вводные'!$B$234="Да",IF(IF('01_Вводные'!$B$296="Новый сезон",TRUE,TRUE),'19_Расчет_аналитики'!Y3456*CapacityAge13*'19_Расчет_аналитики'!$F$3247,0),0)</f>
        <v/>
      </c>
      <c r="Z3568">
        <f>IF('01_Вводные'!$B$234="Да",IF(IF('01_Вводные'!$B$296="Новый сезон",TRUE,TRUE),'19_Расчет_аналитики'!Z3456*CapacityAge13*'19_Расчет_аналитики'!$F$3247,0),0)</f>
        <v/>
      </c>
      <c r="AA3568">
        <f>IF('01_Вводные'!$B$234="Да",IF(IF('01_Вводные'!$B$296="Новый сезон",TRUE,TRUE),'19_Расчет_аналитики'!AA3456*CapacityAge13*'19_Расчет_аналитики'!$F$3247,0),0)</f>
        <v/>
      </c>
      <c r="AB3568">
        <f>IF('01_Вводные'!$B$234="Да",IF(IF('01_Вводные'!$B$296="Новый сезон",TRUE,TRUE),'19_Расчет_аналитики'!AB3456*CapacityAge13*'19_Расчет_аналитики'!$F$3247,0),0)</f>
        <v/>
      </c>
      <c r="AC3568">
        <f>IF('01_Вводные'!$B$234="Да",IF(IF('01_Вводные'!$B$296="Новый сезон",TRUE,TRUE),'19_Расчет_аналитики'!AC3456*CapacityAge13*'19_Расчет_аналитики'!$F$3247,0),0)</f>
        <v/>
      </c>
      <c r="AD3568">
        <f>IF('01_Вводные'!$B$234="Да",IF(IF('01_Вводные'!$B$296="Новый сезон",TRUE,TRUE),'19_Расчет_аналитики'!AD3456*CapacityAge13*'19_Расчет_аналитики'!$F$3247,0),0)</f>
        <v/>
      </c>
      <c r="AE3568">
        <f>IF('01_Вводные'!$B$234="Да",IF(IF('01_Вводные'!$B$296="Новый сезон",TRUE,TRUE),'19_Расчет_аналитики'!AE3456*CapacityAge13*'19_Расчет_аналитики'!$F$3247,0),0)</f>
        <v/>
      </c>
      <c r="AF3568">
        <f>IF('01_Вводные'!$B$234="Да",IF(IF('01_Вводные'!$B$296="Новый сезон",TRUE,TRUE),'19_Расчет_аналитики'!AF3456*CapacityAge13*'19_Расчет_аналитики'!$F$3247,0),0)</f>
        <v/>
      </c>
      <c r="AG3568">
        <f>IF('01_Вводные'!$B$234="Да",IF(IF('01_Вводные'!$B$296="Новый сезон",TRUE,TRUE),'19_Расчет_аналитики'!AG3456*CapacityAge13*'19_Расчет_аналитики'!$F$3247,0),0)</f>
        <v/>
      </c>
      <c r="AH3568">
        <f>IF('01_Вводные'!$B$234="Да",IF(IF('01_Вводные'!$B$296="Новый сезон",TRUE,TRUE),'19_Расчет_аналитики'!AH3456*CapacityAge13*'19_Расчет_аналитики'!$F$3247,0),0)</f>
        <v/>
      </c>
      <c r="AI3568">
        <f>IF('01_Вводные'!$B$234="Да",IF(IF('01_Вводные'!$B$296="Новый сезон",TRUE,TRUE),'19_Расчет_аналитики'!AI3456*CapacityAge13*'19_Расчет_аналитики'!$F$3247,0),0)</f>
        <v/>
      </c>
      <c r="AJ3568">
        <f>IF('01_Вводные'!$B$234="Да",IF(IF('01_Вводные'!$B$296="Новый сезон",TRUE,TRUE),'19_Расчет_аналитики'!AJ3456*CapacityAge13*'19_Расчет_аналитики'!$F$3247,0),0)</f>
        <v/>
      </c>
      <c r="AK3568">
        <f>IF('01_Вводные'!$B$234="Да",IF(IF('01_Вводные'!$B$296="Новый сезон",TRUE,TRUE),'19_Расчет_аналитики'!AK3456*CapacityAge13*'19_Расчет_аналитики'!$F$3247,0),0)</f>
        <v/>
      </c>
      <c r="AL3568">
        <f>IF('01_Вводные'!$B$234="Да",IF(IF('01_Вводные'!$B$296="Новый сезон",TRUE,TRUE),'19_Расчет_аналитики'!AL3456*CapacityAge13*'19_Расчет_аналитики'!$F$3247,0),0)</f>
        <v/>
      </c>
      <c r="AM3568">
        <f>IF('01_Вводные'!$B$234="Да",IF(IF('01_Вводные'!$B$296="Новый сезон",TRUE,TRUE),'19_Расчет_аналитики'!AM3456*CapacityAge13*'19_Расчет_аналитики'!$F$3247,0),0)</f>
        <v/>
      </c>
      <c r="AN3568">
        <f>IF('01_Вводные'!$B$234="Да",IF(IF('01_Вводные'!$B$296="Новый сезон",TRUE,TRUE),'19_Расчет_аналитики'!AN3456*CapacityAge13*'19_Расчет_аналитики'!$F$3247,0),0)</f>
        <v/>
      </c>
      <c r="AO3568">
        <f>IF('01_Вводные'!$B$234="Да",IF(IF('01_Вводные'!$B$296="Новый сезон",TRUE,TRUE),'19_Расчет_аналитики'!AO3456*CapacityAge13*'19_Расчет_аналитики'!$F$3247,0),0)</f>
        <v/>
      </c>
      <c r="AP3568">
        <f>IF('01_Вводные'!$B$234="Да",IF(IF('01_Вводные'!$B$296="Новый сезон",TRUE,TRUE),'19_Расчет_аналитики'!AP3456*CapacityAge13*'19_Расчет_аналитики'!$F$3247,0),0)</f>
        <v/>
      </c>
      <c r="AQ3568">
        <f>IF('01_Вводные'!$B$234="Да",IF(IF('01_Вводные'!$B$296="Новый сезон",TRUE,TRUE),'19_Расчет_аналитики'!AQ3456*CapacityAge13*'19_Расчет_аналитики'!$F$3247,0),0)</f>
        <v/>
      </c>
      <c r="AR3568">
        <f>IF('01_Вводные'!$B$234="Да",IF(IF('01_Вводные'!$B$296="Новый сезон",TRUE,TRUE),'19_Расчет_аналитики'!AR3456*CapacityAge13*'19_Расчет_аналитики'!$F$3247,0),0)</f>
        <v/>
      </c>
      <c r="AS3568">
        <f>IF('01_Вводные'!$B$234="Да",IF(IF('01_Вводные'!$B$296="Новый сезон",TRUE,TRUE),'19_Расчет_аналитики'!AS3456*CapacityAge13*'19_Расчет_аналитики'!$F$3247,0),0)</f>
        <v/>
      </c>
      <c r="AT3568">
        <f>IF('01_Вводные'!$B$234="Да",IF(IF('01_Вводные'!$B$296="Новый сезон",TRUE,TRUE),'19_Расчет_аналитики'!AT3456*CapacityAge13*'19_Расчет_аналитики'!$F$3247,0),0)</f>
        <v/>
      </c>
      <c r="AU3568">
        <f>IF('01_Вводные'!$B$234="Да",IF(IF('01_Вводные'!$B$296="Новый сезон",TRUE,TRUE),'19_Расчет_аналитики'!AU3456*CapacityAge13*'19_Расчет_аналитики'!$F$3247,0),0)</f>
        <v/>
      </c>
      <c r="AV3568">
        <f>IF('01_Вводные'!$B$234="Да",IF(IF('01_Вводные'!$B$296="Новый сезон",TRUE,TRUE),'19_Расчет_аналитики'!AV3456*CapacityAge13*'19_Расчет_аналитики'!$F$3247,0),0)</f>
        <v/>
      </c>
      <c r="AW3568">
        <f>IF('01_Вводные'!$B$234="Да",IF(IF('01_Вводные'!$B$296="Новый сезон",TRUE,TRUE),'19_Расчет_аналитики'!AW3456*CapacityAge13*'19_Расчет_аналитики'!$F$3247,0),0)</f>
        <v/>
      </c>
      <c r="AX3568">
        <f>IF('01_Вводные'!$B$234="Да",IF(IF('01_Вводные'!$B$296="Новый сезон",TRUE,TRUE),'19_Расчет_аналитики'!AX3456*CapacityAge13*'19_Расчет_аналитики'!$F$3247,0),0)</f>
        <v/>
      </c>
      <c r="AY3568">
        <f>IF('01_Вводные'!$B$234="Да",IF(IF('01_Вводные'!$B$296="Новый сезон",TRUE,TRUE),'19_Расчет_аналитики'!AY3456*CapacityAge13*'19_Расчет_аналитики'!$F$3247,0),0)</f>
        <v/>
      </c>
      <c r="AZ3568">
        <f>IF('01_Вводные'!$B$234="Да",IF(IF('01_Вводные'!$B$296="Новый сезон",TRUE,TRUE),'19_Расчет_аналитики'!AZ3456*CapacityAge13*'19_Расчет_аналитики'!$F$3247,0),0)</f>
        <v/>
      </c>
      <c r="BA3568">
        <f>IF('01_Вводные'!$B$234="Да",IF(IF('01_Вводные'!$B$296="Новый сезон",TRUE,TRUE),'19_Расчет_аналитики'!BA3456*CapacityAge13*'19_Расчет_аналитики'!$F$3247,0),0)</f>
        <v/>
      </c>
      <c r="BB3568">
        <f>IF('01_Вводные'!$B$234="Да",IF(IF('01_Вводные'!$B$296="Новый сезон",TRUE,TRUE),'19_Расчет_аналитики'!BB3456*CapacityAge13*'19_Расчет_аналитики'!$F$3247,0),0)</f>
        <v/>
      </c>
      <c r="BC3568">
        <f>IF('01_Вводные'!$B$234="Да",IF(IF('01_Вводные'!$B$296="Новый сезон",TRUE,TRUE),'19_Расчет_аналитики'!BC3456*CapacityAge13*'19_Расчет_аналитики'!$F$3247,0),0)</f>
        <v/>
      </c>
      <c r="BD3568">
        <f>IF('01_Вводные'!$B$234="Да",IF(IF('01_Вводные'!$B$296="Новый сезон",TRUE,TRUE),'19_Расчет_аналитики'!BD3456*CapacityAge13*'19_Расчет_аналитики'!$F$3247,0),0)</f>
        <v/>
      </c>
      <c r="BE3568">
        <f>IF('01_Вводные'!$B$234="Да",IF(IF('01_Вводные'!$B$296="Новый сезон",TRUE,TRUE),'19_Расчет_аналитики'!BE3456*CapacityAge13*'19_Расчет_аналитики'!$F$3247,0),0)</f>
        <v/>
      </c>
      <c r="BF3568">
        <f>IF('01_Вводные'!$B$234="Да",IF(IF('01_Вводные'!$B$296="Новый сезон",TRUE,TRUE),'19_Расчет_аналитики'!BF3456*CapacityAge13*'19_Расчет_аналитики'!$F$3247,0),0)</f>
        <v/>
      </c>
      <c r="BG3568">
        <f>IF('01_Вводные'!$B$234="Да",IF(IF('01_Вводные'!$B$296="Новый сезон",TRUE,TRUE),'19_Расчет_аналитики'!BG3456*CapacityAge13*'19_Расчет_аналитики'!$F$3247,0),0)</f>
        <v/>
      </c>
      <c r="BH3568">
        <f>IF('01_Вводные'!$B$234="Да",IF(IF('01_Вводные'!$B$296="Новый сезон",TRUE,TRUE),'19_Расчет_аналитики'!BH3456*CapacityAge13*'19_Расчет_аналитики'!$F$3247,0),0)</f>
        <v/>
      </c>
      <c r="BI3568">
        <f>IF('01_Вводные'!$B$234="Да",IF(IF('01_Вводные'!$B$296="Новый сезон",TRUE,TRUE),'19_Расчет_аналитики'!BI3456*CapacityAge13*'19_Расчет_аналитики'!$F$3247,0),0)</f>
        <v/>
      </c>
      <c r="BJ3568">
        <f>IF('01_Вводные'!$B$234="Да",IF(IF('01_Вводные'!$B$296="Новый сезон",TRUE,TRUE),'19_Расчет_аналитики'!BJ3456*CapacityAge13*'19_Расчет_аналитики'!$F$3247,0),0)</f>
        <v/>
      </c>
      <c r="BK3568">
        <f>IF('01_Вводные'!$B$234="Да",IF(IF('01_Вводные'!$B$296="Новый сезон",TRUE,TRUE),'19_Расчет_аналитики'!BK3456*CapacityAge13*'19_Расчет_аналитики'!$F$3247,0),0)</f>
        <v/>
      </c>
      <c r="BL3568">
        <f>IF('01_Вводные'!$B$234="Да",IF(IF('01_Вводные'!$B$296="Новый сезон",TRUE,TRUE),'19_Расчет_аналитики'!BL3456*CapacityAge13*'19_Расчет_аналитики'!$F$3247,0),0)</f>
        <v/>
      </c>
      <c r="BM3568">
        <f>IF('01_Вводные'!$B$234="Да",IF(IF('01_Вводные'!$B$296="Новый сезон",TRUE,TRUE),'19_Расчет_аналитики'!BM3456*CapacityAge13*'19_Расчет_аналитики'!$F$3247,0),0)</f>
        <v/>
      </c>
      <c r="BN3568">
        <f>IF('01_Вводные'!$B$234="Да",IF(IF('01_Вводные'!$B$296="Новый сезон",TRUE,TRUE),'19_Расчет_аналитики'!BN3456*CapacityAge13*'19_Расчет_аналитики'!$F$3247,0),0)</f>
        <v/>
      </c>
      <c r="BO3568">
        <f>IF('01_Вводные'!$B$234="Да",IF(IF('01_Вводные'!$B$296="Новый сезон",TRUE,TRUE),'19_Расчет_аналитики'!BO3456*CapacityAge13*'19_Расчет_аналитики'!$F$3247,0),0)</f>
        <v/>
      </c>
    </row>
    <row r="3569">
      <c r="B3569">
        <f>IF('01_Вводные'!$B$234="Да",IF(IF('01_Вводные'!$B$296="Новый сезон",TRUE,TRUE),'06_Сеть_и_дети'!B66*CapacityAge14*'19_Расчет_аналитики'!$F$3247,0),0)</f>
        <v/>
      </c>
      <c r="C3569">
        <f>IF('01_Вводные'!$B$234="Да",IF(IF('01_Вводные'!$B$296="Новый сезон",TRUE,TRUE),'06_Сеть_и_дети'!C66*CapacityAge14*'19_Расчет_аналитики'!$F$3247,0),0)</f>
        <v/>
      </c>
      <c r="D3569">
        <f>IF('01_Вводные'!$B$234="Да",IF(IF('01_Вводные'!$B$296="Новый сезон",TRUE,TRUE),'06_Сеть_и_дети'!D66*CapacityAge14*'19_Расчет_аналитики'!$F$3247,0),0)</f>
        <v/>
      </c>
      <c r="E3569">
        <f>IF('01_Вводные'!$B$234="Да",IF(IF('01_Вводные'!$B$296="Новый сезон",TRUE,TRUE),'06_Сеть_и_дети'!E66*CapacityAge14*'19_Расчет_аналитики'!$F$3247,0),0)</f>
        <v/>
      </c>
      <c r="F3569">
        <f>IF('01_Вводные'!$B$234="Да",IF(IF('01_Вводные'!$B$296="Новый сезон",TRUE,TRUE),'06_Сеть_и_дети'!F66*CapacityAge14*'19_Расчет_аналитики'!$F$3247,0),0)</f>
        <v/>
      </c>
      <c r="G3569">
        <f>IF('01_Вводные'!$B$234="Да",IF(IF('01_Вводные'!$B$296="Новый сезон",TRUE,TRUE),'06_Сеть_и_дети'!G66*CapacityAge14*'19_Расчет_аналитики'!$F$3247,0),0)</f>
        <v/>
      </c>
      <c r="H3569">
        <f>IF('01_Вводные'!$B$234="Да",IF(IF('01_Вводные'!$B$296="Новый сезон",TRUE,TRUE),'06_Сеть_и_дети'!H66*CapacityAge14*'19_Расчет_аналитики'!$F$3247,0),0)</f>
        <v/>
      </c>
      <c r="I3569">
        <f>IF('01_Вводные'!$B$234="Да",IF(IF('01_Вводные'!$B$296="Новый сезон",TRUE,TRUE),'06_Сеть_и_дети'!I66*CapacityAge14*'19_Расчет_аналитики'!$F$3247,0),0)</f>
        <v/>
      </c>
      <c r="J3569">
        <f>IF('01_Вводные'!$B$234="Да",IF(IF('01_Вводные'!$B$296="Новый сезон",TRUE,TRUE),'06_Сеть_и_дети'!J66*CapacityAge14*'19_Расчет_аналитики'!$F$3247,0),0)</f>
        <v/>
      </c>
      <c r="K3569">
        <f>IF('01_Вводные'!$B$234="Да",IF(IF('01_Вводные'!$B$296="Новый сезон",TRUE,TRUE),'06_Сеть_и_дети'!K66*CapacityAge14*'19_Расчет_аналитики'!$F$3247,0),0)</f>
        <v/>
      </c>
      <c r="L3569">
        <f>IF('01_Вводные'!$B$234="Да",IF(IF('01_Вводные'!$B$296="Новый сезон",TRUE,TRUE),'06_Сеть_и_дети'!L66*CapacityAge14*'19_Расчет_аналитики'!$F$3247,0),0)</f>
        <v/>
      </c>
      <c r="M3569">
        <f>IF('01_Вводные'!$B$234="Да",IF(IF('01_Вводные'!$B$296="Новый сезон",TRUE,TRUE),'06_Сеть_и_дети'!M66*CapacityAge14*'19_Расчет_аналитики'!$F$3247,0),0)</f>
        <v/>
      </c>
      <c r="N3569">
        <f>IF('01_Вводные'!$B$234="Да",IF(IF('01_Вводные'!$B$296="Новый сезон",TRUE,TRUE),'06_Сеть_и_дети'!N66*CapacityAge14*'19_Расчет_аналитики'!$F$3247,0),0)</f>
        <v/>
      </c>
      <c r="O3569">
        <f>IF('01_Вводные'!$B$234="Да",IF(IF('01_Вводные'!$B$296="Новый сезон",TRUE,TRUE),'19_Расчет_аналитики'!O3457*CapacityAge14*'19_Расчет_аналитики'!$F$3247,0),0)</f>
        <v/>
      </c>
      <c r="P3569">
        <f>IF('01_Вводные'!$B$234="Да",IF(IF('01_Вводные'!$B$296="Новый сезон",TRUE,TRUE),'19_Расчет_аналитики'!P3457*CapacityAge14*'19_Расчет_аналитики'!$F$3247,0),0)</f>
        <v/>
      </c>
      <c r="Q3569">
        <f>IF('01_Вводные'!$B$234="Да",IF(IF('01_Вводные'!$B$296="Новый сезон",TRUE,TRUE),'19_Расчет_аналитики'!Q3457*CapacityAge14*'19_Расчет_аналитики'!$F$3247,0),0)</f>
        <v/>
      </c>
      <c r="R3569">
        <f>IF('01_Вводные'!$B$234="Да",IF(IF('01_Вводные'!$B$296="Новый сезон",TRUE,TRUE),'19_Расчет_аналитики'!R3457*CapacityAge14*'19_Расчет_аналитики'!$F$3247,0),0)</f>
        <v/>
      </c>
      <c r="S3569">
        <f>IF('01_Вводные'!$B$234="Да",IF(IF('01_Вводные'!$B$296="Новый сезон",TRUE,TRUE),'19_Расчет_аналитики'!S3457*CapacityAge14*'19_Расчет_аналитики'!$F$3247,0),0)</f>
        <v/>
      </c>
      <c r="T3569">
        <f>IF('01_Вводные'!$B$234="Да",IF(IF('01_Вводные'!$B$296="Новый сезон",TRUE,TRUE),'19_Расчет_аналитики'!T3457*CapacityAge14*'19_Расчет_аналитики'!$F$3247,0),0)</f>
        <v/>
      </c>
      <c r="U3569">
        <f>IF('01_Вводные'!$B$234="Да",IF(IF('01_Вводные'!$B$296="Новый сезон",TRUE,TRUE),'19_Расчет_аналитики'!U3457*CapacityAge14*'19_Расчет_аналитики'!$F$3247,0),0)</f>
        <v/>
      </c>
      <c r="V3569">
        <f>IF('01_Вводные'!$B$234="Да",IF(IF('01_Вводные'!$B$296="Новый сезон",TRUE,TRUE),'19_Расчет_аналитики'!V3457*CapacityAge14*'19_Расчет_аналитики'!$F$3247,0),0)</f>
        <v/>
      </c>
      <c r="W3569">
        <f>IF('01_Вводные'!$B$234="Да",IF(IF('01_Вводные'!$B$296="Новый сезон",TRUE,TRUE),'19_Расчет_аналитики'!W3457*CapacityAge14*'19_Расчет_аналитики'!$F$3247,0),0)</f>
        <v/>
      </c>
      <c r="X3569">
        <f>IF('01_Вводные'!$B$234="Да",IF(IF('01_Вводные'!$B$296="Новый сезон",TRUE,TRUE),'19_Расчет_аналитики'!X3457*CapacityAge14*'19_Расчет_аналитики'!$F$3247,0),0)</f>
        <v/>
      </c>
      <c r="Y3569">
        <f>IF('01_Вводные'!$B$234="Да",IF(IF('01_Вводные'!$B$296="Новый сезон",TRUE,TRUE),'19_Расчет_аналитики'!Y3457*CapacityAge14*'19_Расчет_аналитики'!$F$3247,0),0)</f>
        <v/>
      </c>
      <c r="Z3569">
        <f>IF('01_Вводные'!$B$234="Да",IF(IF('01_Вводные'!$B$296="Новый сезон",TRUE,TRUE),'19_Расчет_аналитики'!Z3457*CapacityAge14*'19_Расчет_аналитики'!$F$3247,0),0)</f>
        <v/>
      </c>
      <c r="AA3569">
        <f>IF('01_Вводные'!$B$234="Да",IF(IF('01_Вводные'!$B$296="Новый сезон",TRUE,TRUE),'19_Расчет_аналитики'!AA3457*CapacityAge14*'19_Расчет_аналитики'!$F$3247,0),0)</f>
        <v/>
      </c>
      <c r="AB3569">
        <f>IF('01_Вводные'!$B$234="Да",IF(IF('01_Вводные'!$B$296="Новый сезон",TRUE,TRUE),'19_Расчет_аналитики'!AB3457*CapacityAge14*'19_Расчет_аналитики'!$F$3247,0),0)</f>
        <v/>
      </c>
      <c r="AC3569">
        <f>IF('01_Вводные'!$B$234="Да",IF(IF('01_Вводные'!$B$296="Новый сезон",TRUE,TRUE),'19_Расчет_аналитики'!AC3457*CapacityAge14*'19_Расчет_аналитики'!$F$3247,0),0)</f>
        <v/>
      </c>
      <c r="AD3569">
        <f>IF('01_Вводные'!$B$234="Да",IF(IF('01_Вводные'!$B$296="Новый сезон",TRUE,TRUE),'19_Расчет_аналитики'!AD3457*CapacityAge14*'19_Расчет_аналитики'!$F$3247,0),0)</f>
        <v/>
      </c>
      <c r="AE3569">
        <f>IF('01_Вводные'!$B$234="Да",IF(IF('01_Вводные'!$B$296="Новый сезон",TRUE,TRUE),'19_Расчет_аналитики'!AE3457*CapacityAge14*'19_Расчет_аналитики'!$F$3247,0),0)</f>
        <v/>
      </c>
      <c r="AF3569">
        <f>IF('01_Вводные'!$B$234="Да",IF(IF('01_Вводные'!$B$296="Новый сезон",TRUE,TRUE),'19_Расчет_аналитики'!AF3457*CapacityAge14*'19_Расчет_аналитики'!$F$3247,0),0)</f>
        <v/>
      </c>
      <c r="AG3569">
        <f>IF('01_Вводные'!$B$234="Да",IF(IF('01_Вводные'!$B$296="Новый сезон",TRUE,TRUE),'19_Расчет_аналитики'!AG3457*CapacityAge14*'19_Расчет_аналитики'!$F$3247,0),0)</f>
        <v/>
      </c>
      <c r="AH3569">
        <f>IF('01_Вводные'!$B$234="Да",IF(IF('01_Вводные'!$B$296="Новый сезон",TRUE,TRUE),'19_Расчет_аналитики'!AH3457*CapacityAge14*'19_Расчет_аналитики'!$F$3247,0),0)</f>
        <v/>
      </c>
      <c r="AI3569">
        <f>IF('01_Вводные'!$B$234="Да",IF(IF('01_Вводные'!$B$296="Новый сезон",TRUE,TRUE),'19_Расчет_аналитики'!AI3457*CapacityAge14*'19_Расчет_аналитики'!$F$3247,0),0)</f>
        <v/>
      </c>
      <c r="AJ3569">
        <f>IF('01_Вводные'!$B$234="Да",IF(IF('01_Вводные'!$B$296="Новый сезон",TRUE,TRUE),'19_Расчет_аналитики'!AJ3457*CapacityAge14*'19_Расчет_аналитики'!$F$3247,0),0)</f>
        <v/>
      </c>
      <c r="AK3569">
        <f>IF('01_Вводные'!$B$234="Да",IF(IF('01_Вводные'!$B$296="Новый сезон",TRUE,TRUE),'19_Расчет_аналитики'!AK3457*CapacityAge14*'19_Расчет_аналитики'!$F$3247,0),0)</f>
        <v/>
      </c>
      <c r="AL3569">
        <f>IF('01_Вводные'!$B$234="Да",IF(IF('01_Вводные'!$B$296="Новый сезон",TRUE,TRUE),'19_Расчет_аналитики'!AL3457*CapacityAge14*'19_Расчет_аналитики'!$F$3247,0),0)</f>
        <v/>
      </c>
      <c r="AM3569">
        <f>IF('01_Вводные'!$B$234="Да",IF(IF('01_Вводные'!$B$296="Новый сезон",TRUE,TRUE),'19_Расчет_аналитики'!AM3457*CapacityAge14*'19_Расчет_аналитики'!$F$3247,0),0)</f>
        <v/>
      </c>
      <c r="AN3569">
        <f>IF('01_Вводные'!$B$234="Да",IF(IF('01_Вводные'!$B$296="Новый сезон",TRUE,TRUE),'19_Расчет_аналитики'!AN3457*CapacityAge14*'19_Расчет_аналитики'!$F$3247,0),0)</f>
        <v/>
      </c>
      <c r="AO3569">
        <f>IF('01_Вводные'!$B$234="Да",IF(IF('01_Вводные'!$B$296="Новый сезон",TRUE,TRUE),'19_Расчет_аналитики'!AO3457*CapacityAge14*'19_Расчет_аналитики'!$F$3247,0),0)</f>
        <v/>
      </c>
      <c r="AP3569">
        <f>IF('01_Вводные'!$B$234="Да",IF(IF('01_Вводные'!$B$296="Новый сезон",TRUE,TRUE),'19_Расчет_аналитики'!AP3457*CapacityAge14*'19_Расчет_аналитики'!$F$3247,0),0)</f>
        <v/>
      </c>
      <c r="AQ3569">
        <f>IF('01_Вводные'!$B$234="Да",IF(IF('01_Вводные'!$B$296="Новый сезон",TRUE,TRUE),'19_Расчет_аналитики'!AQ3457*CapacityAge14*'19_Расчет_аналитики'!$F$3247,0),0)</f>
        <v/>
      </c>
      <c r="AR3569">
        <f>IF('01_Вводные'!$B$234="Да",IF(IF('01_Вводные'!$B$296="Новый сезон",TRUE,TRUE),'19_Расчет_аналитики'!AR3457*CapacityAge14*'19_Расчет_аналитики'!$F$3247,0),0)</f>
        <v/>
      </c>
      <c r="AS3569">
        <f>IF('01_Вводные'!$B$234="Да",IF(IF('01_Вводные'!$B$296="Новый сезон",TRUE,TRUE),'19_Расчет_аналитики'!AS3457*CapacityAge14*'19_Расчет_аналитики'!$F$3247,0),0)</f>
        <v/>
      </c>
      <c r="AT3569">
        <f>IF('01_Вводные'!$B$234="Да",IF(IF('01_Вводные'!$B$296="Новый сезон",TRUE,TRUE),'19_Расчет_аналитики'!AT3457*CapacityAge14*'19_Расчет_аналитики'!$F$3247,0),0)</f>
        <v/>
      </c>
      <c r="AU3569">
        <f>IF('01_Вводные'!$B$234="Да",IF(IF('01_Вводные'!$B$296="Новый сезон",TRUE,TRUE),'19_Расчет_аналитики'!AU3457*CapacityAge14*'19_Расчет_аналитики'!$F$3247,0),0)</f>
        <v/>
      </c>
      <c r="AV3569">
        <f>IF('01_Вводные'!$B$234="Да",IF(IF('01_Вводные'!$B$296="Новый сезон",TRUE,TRUE),'19_Расчет_аналитики'!AV3457*CapacityAge14*'19_Расчет_аналитики'!$F$3247,0),0)</f>
        <v/>
      </c>
      <c r="AW3569">
        <f>IF('01_Вводные'!$B$234="Да",IF(IF('01_Вводные'!$B$296="Новый сезон",TRUE,TRUE),'19_Расчет_аналитики'!AW3457*CapacityAge14*'19_Расчет_аналитики'!$F$3247,0),0)</f>
        <v/>
      </c>
      <c r="AX3569">
        <f>IF('01_Вводные'!$B$234="Да",IF(IF('01_Вводные'!$B$296="Новый сезон",TRUE,TRUE),'19_Расчет_аналитики'!AX3457*CapacityAge14*'19_Расчет_аналитики'!$F$3247,0),0)</f>
        <v/>
      </c>
      <c r="AY3569">
        <f>IF('01_Вводные'!$B$234="Да",IF(IF('01_Вводные'!$B$296="Новый сезон",TRUE,TRUE),'19_Расчет_аналитики'!AY3457*CapacityAge14*'19_Расчет_аналитики'!$F$3247,0),0)</f>
        <v/>
      </c>
      <c r="AZ3569">
        <f>IF('01_Вводные'!$B$234="Да",IF(IF('01_Вводные'!$B$296="Новый сезон",TRUE,TRUE),'19_Расчет_аналитики'!AZ3457*CapacityAge14*'19_Расчет_аналитики'!$F$3247,0),0)</f>
        <v/>
      </c>
      <c r="BA3569">
        <f>IF('01_Вводные'!$B$234="Да",IF(IF('01_Вводные'!$B$296="Новый сезон",TRUE,TRUE),'19_Расчет_аналитики'!BA3457*CapacityAge14*'19_Расчет_аналитики'!$F$3247,0),0)</f>
        <v/>
      </c>
      <c r="BB3569">
        <f>IF('01_Вводные'!$B$234="Да",IF(IF('01_Вводные'!$B$296="Новый сезон",TRUE,TRUE),'19_Расчет_аналитики'!BB3457*CapacityAge14*'19_Расчет_аналитики'!$F$3247,0),0)</f>
        <v/>
      </c>
      <c r="BC3569">
        <f>IF('01_Вводные'!$B$234="Да",IF(IF('01_Вводные'!$B$296="Новый сезон",TRUE,TRUE),'19_Расчет_аналитики'!BC3457*CapacityAge14*'19_Расчет_аналитики'!$F$3247,0),0)</f>
        <v/>
      </c>
      <c r="BD3569">
        <f>IF('01_Вводные'!$B$234="Да",IF(IF('01_Вводные'!$B$296="Новый сезон",TRUE,TRUE),'19_Расчет_аналитики'!BD3457*CapacityAge14*'19_Расчет_аналитики'!$F$3247,0),0)</f>
        <v/>
      </c>
      <c r="BE3569">
        <f>IF('01_Вводные'!$B$234="Да",IF(IF('01_Вводные'!$B$296="Новый сезон",TRUE,TRUE),'19_Расчет_аналитики'!BE3457*CapacityAge14*'19_Расчет_аналитики'!$F$3247,0),0)</f>
        <v/>
      </c>
      <c r="BF3569">
        <f>IF('01_Вводные'!$B$234="Да",IF(IF('01_Вводные'!$B$296="Новый сезон",TRUE,TRUE),'19_Расчет_аналитики'!BF3457*CapacityAge14*'19_Расчет_аналитики'!$F$3247,0),0)</f>
        <v/>
      </c>
      <c r="BG3569">
        <f>IF('01_Вводные'!$B$234="Да",IF(IF('01_Вводные'!$B$296="Новый сезон",TRUE,TRUE),'19_Расчет_аналитики'!BG3457*CapacityAge14*'19_Расчет_аналитики'!$F$3247,0),0)</f>
        <v/>
      </c>
      <c r="BH3569">
        <f>IF('01_Вводные'!$B$234="Да",IF(IF('01_Вводные'!$B$296="Новый сезон",TRUE,TRUE),'19_Расчет_аналитики'!BH3457*CapacityAge14*'19_Расчет_аналитики'!$F$3247,0),0)</f>
        <v/>
      </c>
      <c r="BI3569">
        <f>IF('01_Вводные'!$B$234="Да",IF(IF('01_Вводные'!$B$296="Новый сезон",TRUE,TRUE),'19_Расчет_аналитики'!BI3457*CapacityAge14*'19_Расчет_аналитики'!$F$3247,0),0)</f>
        <v/>
      </c>
      <c r="BJ3569">
        <f>IF('01_Вводные'!$B$234="Да",IF(IF('01_Вводные'!$B$296="Новый сезон",TRUE,TRUE),'19_Расчет_аналитики'!BJ3457*CapacityAge14*'19_Расчет_аналитики'!$F$3247,0),0)</f>
        <v/>
      </c>
      <c r="BK3569">
        <f>IF('01_Вводные'!$B$234="Да",IF(IF('01_Вводные'!$B$296="Новый сезон",TRUE,TRUE),'19_Расчет_аналитики'!BK3457*CapacityAge14*'19_Расчет_аналитики'!$F$3247,0),0)</f>
        <v/>
      </c>
      <c r="BL3569">
        <f>IF('01_Вводные'!$B$234="Да",IF(IF('01_Вводные'!$B$296="Новый сезон",TRUE,TRUE),'19_Расчет_аналитики'!BL3457*CapacityAge14*'19_Расчет_аналитики'!$F$3247,0),0)</f>
        <v/>
      </c>
      <c r="BM3569">
        <f>IF('01_Вводные'!$B$234="Да",IF(IF('01_Вводные'!$B$296="Новый сезон",TRUE,TRUE),'19_Расчет_аналитики'!BM3457*CapacityAge14*'19_Расчет_аналитики'!$F$3247,0),0)</f>
        <v/>
      </c>
      <c r="BN3569">
        <f>IF('01_Вводные'!$B$234="Да",IF(IF('01_Вводные'!$B$296="Новый сезон",TRUE,TRUE),'19_Расчет_аналитики'!BN3457*CapacityAge14*'19_Расчет_аналитики'!$F$3247,0),0)</f>
        <v/>
      </c>
      <c r="BO3569">
        <f>IF('01_Вводные'!$B$234="Да",IF(IF('01_Вводные'!$B$296="Новый сезон",TRUE,TRUE),'19_Расчет_аналитики'!BO3457*CapacityAge14*'19_Расчет_аналитики'!$F$3247,0),0)</f>
        <v/>
      </c>
    </row>
    <row r="3570">
      <c r="B3570">
        <f>IF('01_Вводные'!$B$234="Да",IF(IF('01_Вводные'!$B$296="Новый сезон",TRUE,TRUE),'06_Сеть_и_дети'!B67*CapacityAge15*'19_Расчет_аналитики'!$F$3247,0),0)</f>
        <v/>
      </c>
      <c r="C3570">
        <f>IF('01_Вводные'!$B$234="Да",IF(IF('01_Вводные'!$B$296="Новый сезон",TRUE,TRUE),'06_Сеть_и_дети'!C67*CapacityAge15*'19_Расчет_аналитики'!$F$3247,0),0)</f>
        <v/>
      </c>
      <c r="D3570">
        <f>IF('01_Вводные'!$B$234="Да",IF(IF('01_Вводные'!$B$296="Новый сезон",TRUE,TRUE),'06_Сеть_и_дети'!D67*CapacityAge15*'19_Расчет_аналитики'!$F$3247,0),0)</f>
        <v/>
      </c>
      <c r="E3570">
        <f>IF('01_Вводные'!$B$234="Да",IF(IF('01_Вводные'!$B$296="Новый сезон",TRUE,TRUE),'06_Сеть_и_дети'!E67*CapacityAge15*'19_Расчет_аналитики'!$F$3247,0),0)</f>
        <v/>
      </c>
      <c r="F3570">
        <f>IF('01_Вводные'!$B$234="Да",IF(IF('01_Вводные'!$B$296="Новый сезон",TRUE,TRUE),'06_Сеть_и_дети'!F67*CapacityAge15*'19_Расчет_аналитики'!$F$3247,0),0)</f>
        <v/>
      </c>
      <c r="G3570">
        <f>IF('01_Вводные'!$B$234="Да",IF(IF('01_Вводные'!$B$296="Новый сезон",TRUE,TRUE),'06_Сеть_и_дети'!G67*CapacityAge15*'19_Расчет_аналитики'!$F$3247,0),0)</f>
        <v/>
      </c>
      <c r="H3570">
        <f>IF('01_Вводные'!$B$234="Да",IF(IF('01_Вводные'!$B$296="Новый сезон",TRUE,TRUE),'06_Сеть_и_дети'!H67*CapacityAge15*'19_Расчет_аналитики'!$F$3247,0),0)</f>
        <v/>
      </c>
      <c r="I3570">
        <f>IF('01_Вводные'!$B$234="Да",IF(IF('01_Вводные'!$B$296="Новый сезон",TRUE,TRUE),'06_Сеть_и_дети'!I67*CapacityAge15*'19_Расчет_аналитики'!$F$3247,0),0)</f>
        <v/>
      </c>
      <c r="J3570">
        <f>IF('01_Вводные'!$B$234="Да",IF(IF('01_Вводные'!$B$296="Новый сезон",TRUE,TRUE),'06_Сеть_и_дети'!J67*CapacityAge15*'19_Расчет_аналитики'!$F$3247,0),0)</f>
        <v/>
      </c>
      <c r="K3570">
        <f>IF('01_Вводные'!$B$234="Да",IF(IF('01_Вводные'!$B$296="Новый сезон",TRUE,TRUE),'06_Сеть_и_дети'!K67*CapacityAge15*'19_Расчет_аналитики'!$F$3247,0),0)</f>
        <v/>
      </c>
      <c r="L3570">
        <f>IF('01_Вводные'!$B$234="Да",IF(IF('01_Вводные'!$B$296="Новый сезон",TRUE,TRUE),'06_Сеть_и_дети'!L67*CapacityAge15*'19_Расчет_аналитики'!$F$3247,0),0)</f>
        <v/>
      </c>
      <c r="M3570">
        <f>IF('01_Вводные'!$B$234="Да",IF(IF('01_Вводные'!$B$296="Новый сезон",TRUE,TRUE),'06_Сеть_и_дети'!M67*CapacityAge15*'19_Расчет_аналитики'!$F$3247,0),0)</f>
        <v/>
      </c>
      <c r="N3570">
        <f>IF('01_Вводные'!$B$234="Да",IF(IF('01_Вводные'!$B$296="Новый сезон",TRUE,TRUE),'06_Сеть_и_дети'!N67*CapacityAge15*'19_Расчет_аналитики'!$F$3247,0),0)</f>
        <v/>
      </c>
      <c r="O3570">
        <f>IF('01_Вводные'!$B$234="Да",IF(IF('01_Вводные'!$B$296="Новый сезон",TRUE,TRUE),'06_Сеть_и_дети'!O67*CapacityAge15*'19_Расчет_аналитики'!$F$3247,0),0)</f>
        <v/>
      </c>
      <c r="P3570">
        <f>IF('01_Вводные'!$B$234="Да",IF(IF('01_Вводные'!$B$296="Новый сезон",TRUE,TRUE),'19_Расчет_аналитики'!P3458*CapacityAge15*'19_Расчет_аналитики'!$F$3247,0),0)</f>
        <v/>
      </c>
      <c r="Q3570">
        <f>IF('01_Вводные'!$B$234="Да",IF(IF('01_Вводные'!$B$296="Новый сезон",TRUE,TRUE),'19_Расчет_аналитики'!Q3458*CapacityAge15*'19_Расчет_аналитики'!$F$3247,0),0)</f>
        <v/>
      </c>
      <c r="R3570">
        <f>IF('01_Вводные'!$B$234="Да",IF(IF('01_Вводные'!$B$296="Новый сезон",TRUE,TRUE),'19_Расчет_аналитики'!R3458*CapacityAge15*'19_Расчет_аналитики'!$F$3247,0),0)</f>
        <v/>
      </c>
      <c r="S3570">
        <f>IF('01_Вводные'!$B$234="Да",IF(IF('01_Вводные'!$B$296="Новый сезон",TRUE,TRUE),'19_Расчет_аналитики'!S3458*CapacityAge15*'19_Расчет_аналитики'!$F$3247,0),0)</f>
        <v/>
      </c>
      <c r="T3570">
        <f>IF('01_Вводные'!$B$234="Да",IF(IF('01_Вводные'!$B$296="Новый сезон",TRUE,TRUE),'19_Расчет_аналитики'!T3458*CapacityAge15*'19_Расчет_аналитики'!$F$3247,0),0)</f>
        <v/>
      </c>
      <c r="U3570">
        <f>IF('01_Вводные'!$B$234="Да",IF(IF('01_Вводные'!$B$296="Новый сезон",TRUE,TRUE),'19_Расчет_аналитики'!U3458*CapacityAge15*'19_Расчет_аналитики'!$F$3247,0),0)</f>
        <v/>
      </c>
      <c r="V3570">
        <f>IF('01_Вводные'!$B$234="Да",IF(IF('01_Вводные'!$B$296="Новый сезон",TRUE,TRUE),'19_Расчет_аналитики'!V3458*CapacityAge15*'19_Расчет_аналитики'!$F$3247,0),0)</f>
        <v/>
      </c>
      <c r="W3570">
        <f>IF('01_Вводные'!$B$234="Да",IF(IF('01_Вводные'!$B$296="Новый сезон",TRUE,TRUE),'19_Расчет_аналитики'!W3458*CapacityAge15*'19_Расчет_аналитики'!$F$3247,0),0)</f>
        <v/>
      </c>
      <c r="X3570">
        <f>IF('01_Вводные'!$B$234="Да",IF(IF('01_Вводные'!$B$296="Новый сезон",TRUE,TRUE),'19_Расчет_аналитики'!X3458*CapacityAge15*'19_Расчет_аналитики'!$F$3247,0),0)</f>
        <v/>
      </c>
      <c r="Y3570">
        <f>IF('01_Вводные'!$B$234="Да",IF(IF('01_Вводные'!$B$296="Новый сезон",TRUE,TRUE),'19_Расчет_аналитики'!Y3458*CapacityAge15*'19_Расчет_аналитики'!$F$3247,0),0)</f>
        <v/>
      </c>
      <c r="Z3570">
        <f>IF('01_Вводные'!$B$234="Да",IF(IF('01_Вводные'!$B$296="Новый сезон",TRUE,TRUE),'19_Расчет_аналитики'!Z3458*CapacityAge15*'19_Расчет_аналитики'!$F$3247,0),0)</f>
        <v/>
      </c>
      <c r="AA3570">
        <f>IF('01_Вводные'!$B$234="Да",IF(IF('01_Вводные'!$B$296="Новый сезон",TRUE,TRUE),'19_Расчет_аналитики'!AA3458*CapacityAge15*'19_Расчет_аналитики'!$F$3247,0),0)</f>
        <v/>
      </c>
      <c r="AB3570">
        <f>IF('01_Вводные'!$B$234="Да",IF(IF('01_Вводные'!$B$296="Новый сезон",TRUE,TRUE),'19_Расчет_аналитики'!AB3458*CapacityAge15*'19_Расчет_аналитики'!$F$3247,0),0)</f>
        <v/>
      </c>
      <c r="AC3570">
        <f>IF('01_Вводные'!$B$234="Да",IF(IF('01_Вводные'!$B$296="Новый сезон",TRUE,TRUE),'19_Расчет_аналитики'!AC3458*CapacityAge15*'19_Расчет_аналитики'!$F$3247,0),0)</f>
        <v/>
      </c>
      <c r="AD3570">
        <f>IF('01_Вводные'!$B$234="Да",IF(IF('01_Вводные'!$B$296="Новый сезон",TRUE,TRUE),'19_Расчет_аналитики'!AD3458*CapacityAge15*'19_Расчет_аналитики'!$F$3247,0),0)</f>
        <v/>
      </c>
      <c r="AE3570">
        <f>IF('01_Вводные'!$B$234="Да",IF(IF('01_Вводные'!$B$296="Новый сезон",TRUE,TRUE),'19_Расчет_аналитики'!AE3458*CapacityAge15*'19_Расчет_аналитики'!$F$3247,0),0)</f>
        <v/>
      </c>
      <c r="AF3570">
        <f>IF('01_Вводные'!$B$234="Да",IF(IF('01_Вводные'!$B$296="Новый сезон",TRUE,TRUE),'19_Расчет_аналитики'!AF3458*CapacityAge15*'19_Расчет_аналитики'!$F$3247,0),0)</f>
        <v/>
      </c>
      <c r="AG3570">
        <f>IF('01_Вводные'!$B$234="Да",IF(IF('01_Вводные'!$B$296="Новый сезон",TRUE,TRUE),'19_Расчет_аналитики'!AG3458*CapacityAge15*'19_Расчет_аналитики'!$F$3247,0),0)</f>
        <v/>
      </c>
      <c r="AH3570">
        <f>IF('01_Вводные'!$B$234="Да",IF(IF('01_Вводные'!$B$296="Новый сезон",TRUE,TRUE),'19_Расчет_аналитики'!AH3458*CapacityAge15*'19_Расчет_аналитики'!$F$3247,0),0)</f>
        <v/>
      </c>
      <c r="AI3570">
        <f>IF('01_Вводные'!$B$234="Да",IF(IF('01_Вводные'!$B$296="Новый сезон",TRUE,TRUE),'19_Расчет_аналитики'!AI3458*CapacityAge15*'19_Расчет_аналитики'!$F$3247,0),0)</f>
        <v/>
      </c>
      <c r="AJ3570">
        <f>IF('01_Вводные'!$B$234="Да",IF(IF('01_Вводные'!$B$296="Новый сезон",TRUE,TRUE),'19_Расчет_аналитики'!AJ3458*CapacityAge15*'19_Расчет_аналитики'!$F$3247,0),0)</f>
        <v/>
      </c>
      <c r="AK3570">
        <f>IF('01_Вводные'!$B$234="Да",IF(IF('01_Вводные'!$B$296="Новый сезон",TRUE,TRUE),'19_Расчет_аналитики'!AK3458*CapacityAge15*'19_Расчет_аналитики'!$F$3247,0),0)</f>
        <v/>
      </c>
      <c r="AL3570">
        <f>IF('01_Вводные'!$B$234="Да",IF(IF('01_Вводные'!$B$296="Новый сезон",TRUE,TRUE),'19_Расчет_аналитики'!AL3458*CapacityAge15*'19_Расчет_аналитики'!$F$3247,0),0)</f>
        <v/>
      </c>
      <c r="AM3570">
        <f>IF('01_Вводные'!$B$234="Да",IF(IF('01_Вводные'!$B$296="Новый сезон",TRUE,TRUE),'19_Расчет_аналитики'!AM3458*CapacityAge15*'19_Расчет_аналитики'!$F$3247,0),0)</f>
        <v/>
      </c>
      <c r="AN3570">
        <f>IF('01_Вводные'!$B$234="Да",IF(IF('01_Вводные'!$B$296="Новый сезон",TRUE,TRUE),'19_Расчет_аналитики'!AN3458*CapacityAge15*'19_Расчет_аналитики'!$F$3247,0),0)</f>
        <v/>
      </c>
      <c r="AO3570">
        <f>IF('01_Вводные'!$B$234="Да",IF(IF('01_Вводные'!$B$296="Новый сезон",TRUE,TRUE),'19_Расчет_аналитики'!AO3458*CapacityAge15*'19_Расчет_аналитики'!$F$3247,0),0)</f>
        <v/>
      </c>
      <c r="AP3570">
        <f>IF('01_Вводные'!$B$234="Да",IF(IF('01_Вводные'!$B$296="Новый сезон",TRUE,TRUE),'19_Расчет_аналитики'!AP3458*CapacityAge15*'19_Расчет_аналитики'!$F$3247,0),0)</f>
        <v/>
      </c>
      <c r="AQ3570">
        <f>IF('01_Вводные'!$B$234="Да",IF(IF('01_Вводные'!$B$296="Новый сезон",TRUE,TRUE),'19_Расчет_аналитики'!AQ3458*CapacityAge15*'19_Расчет_аналитики'!$F$3247,0),0)</f>
        <v/>
      </c>
      <c r="AR3570">
        <f>IF('01_Вводные'!$B$234="Да",IF(IF('01_Вводные'!$B$296="Новый сезон",TRUE,TRUE),'19_Расчет_аналитики'!AR3458*CapacityAge15*'19_Расчет_аналитики'!$F$3247,0),0)</f>
        <v/>
      </c>
      <c r="AS3570">
        <f>IF('01_Вводные'!$B$234="Да",IF(IF('01_Вводные'!$B$296="Новый сезон",TRUE,TRUE),'19_Расчет_аналитики'!AS3458*CapacityAge15*'19_Расчет_аналитики'!$F$3247,0),0)</f>
        <v/>
      </c>
      <c r="AT3570">
        <f>IF('01_Вводные'!$B$234="Да",IF(IF('01_Вводные'!$B$296="Новый сезон",TRUE,TRUE),'19_Расчет_аналитики'!AT3458*CapacityAge15*'19_Расчет_аналитики'!$F$3247,0),0)</f>
        <v/>
      </c>
      <c r="AU3570">
        <f>IF('01_Вводные'!$B$234="Да",IF(IF('01_Вводные'!$B$296="Новый сезон",TRUE,TRUE),'19_Расчет_аналитики'!AU3458*CapacityAge15*'19_Расчет_аналитики'!$F$3247,0),0)</f>
        <v/>
      </c>
      <c r="AV3570">
        <f>IF('01_Вводные'!$B$234="Да",IF(IF('01_Вводные'!$B$296="Новый сезон",TRUE,TRUE),'19_Расчет_аналитики'!AV3458*CapacityAge15*'19_Расчет_аналитики'!$F$3247,0),0)</f>
        <v/>
      </c>
      <c r="AW3570">
        <f>IF('01_Вводные'!$B$234="Да",IF(IF('01_Вводные'!$B$296="Новый сезон",TRUE,TRUE),'19_Расчет_аналитики'!AW3458*CapacityAge15*'19_Расчет_аналитики'!$F$3247,0),0)</f>
        <v/>
      </c>
      <c r="AX3570">
        <f>IF('01_Вводные'!$B$234="Да",IF(IF('01_Вводные'!$B$296="Новый сезон",TRUE,TRUE),'19_Расчет_аналитики'!AX3458*CapacityAge15*'19_Расчет_аналитики'!$F$3247,0),0)</f>
        <v/>
      </c>
      <c r="AY3570">
        <f>IF('01_Вводные'!$B$234="Да",IF(IF('01_Вводные'!$B$296="Новый сезон",TRUE,TRUE),'19_Расчет_аналитики'!AY3458*CapacityAge15*'19_Расчет_аналитики'!$F$3247,0),0)</f>
        <v/>
      </c>
      <c r="AZ3570">
        <f>IF('01_Вводные'!$B$234="Да",IF(IF('01_Вводные'!$B$296="Новый сезон",TRUE,TRUE),'19_Расчет_аналитики'!AZ3458*CapacityAge15*'19_Расчет_аналитики'!$F$3247,0),0)</f>
        <v/>
      </c>
      <c r="BA3570">
        <f>IF('01_Вводные'!$B$234="Да",IF(IF('01_Вводные'!$B$296="Новый сезон",TRUE,TRUE),'19_Расчет_аналитики'!BA3458*CapacityAge15*'19_Расчет_аналитики'!$F$3247,0),0)</f>
        <v/>
      </c>
      <c r="BB3570">
        <f>IF('01_Вводные'!$B$234="Да",IF(IF('01_Вводные'!$B$296="Новый сезон",TRUE,TRUE),'19_Расчет_аналитики'!BB3458*CapacityAge15*'19_Расчет_аналитики'!$F$3247,0),0)</f>
        <v/>
      </c>
      <c r="BC3570">
        <f>IF('01_Вводные'!$B$234="Да",IF(IF('01_Вводные'!$B$296="Новый сезон",TRUE,TRUE),'19_Расчет_аналитики'!BC3458*CapacityAge15*'19_Расчет_аналитики'!$F$3247,0),0)</f>
        <v/>
      </c>
      <c r="BD3570">
        <f>IF('01_Вводные'!$B$234="Да",IF(IF('01_Вводные'!$B$296="Новый сезон",TRUE,TRUE),'19_Расчет_аналитики'!BD3458*CapacityAge15*'19_Расчет_аналитики'!$F$3247,0),0)</f>
        <v/>
      </c>
      <c r="BE3570">
        <f>IF('01_Вводные'!$B$234="Да",IF(IF('01_Вводные'!$B$296="Новый сезон",TRUE,TRUE),'19_Расчет_аналитики'!BE3458*CapacityAge15*'19_Расчет_аналитики'!$F$3247,0),0)</f>
        <v/>
      </c>
      <c r="BF3570">
        <f>IF('01_Вводные'!$B$234="Да",IF(IF('01_Вводные'!$B$296="Новый сезон",TRUE,TRUE),'19_Расчет_аналитики'!BF3458*CapacityAge15*'19_Расчет_аналитики'!$F$3247,0),0)</f>
        <v/>
      </c>
      <c r="BG3570">
        <f>IF('01_Вводные'!$B$234="Да",IF(IF('01_Вводные'!$B$296="Новый сезон",TRUE,TRUE),'19_Расчет_аналитики'!BG3458*CapacityAge15*'19_Расчет_аналитики'!$F$3247,0),0)</f>
        <v/>
      </c>
      <c r="BH3570">
        <f>IF('01_Вводные'!$B$234="Да",IF(IF('01_Вводные'!$B$296="Новый сезон",TRUE,TRUE),'19_Расчет_аналитики'!BH3458*CapacityAge15*'19_Расчет_аналитики'!$F$3247,0),0)</f>
        <v/>
      </c>
      <c r="BI3570">
        <f>IF('01_Вводные'!$B$234="Да",IF(IF('01_Вводные'!$B$296="Новый сезон",TRUE,TRUE),'19_Расчет_аналитики'!BI3458*CapacityAge15*'19_Расчет_аналитики'!$F$3247,0),0)</f>
        <v/>
      </c>
      <c r="BJ3570">
        <f>IF('01_Вводные'!$B$234="Да",IF(IF('01_Вводные'!$B$296="Новый сезон",TRUE,TRUE),'19_Расчет_аналитики'!BJ3458*CapacityAge15*'19_Расчет_аналитики'!$F$3247,0),0)</f>
        <v/>
      </c>
      <c r="BK3570">
        <f>IF('01_Вводные'!$B$234="Да",IF(IF('01_Вводные'!$B$296="Новый сезон",TRUE,TRUE),'19_Расчет_аналитики'!BK3458*CapacityAge15*'19_Расчет_аналитики'!$F$3247,0),0)</f>
        <v/>
      </c>
      <c r="BL3570">
        <f>IF('01_Вводные'!$B$234="Да",IF(IF('01_Вводные'!$B$296="Новый сезон",TRUE,TRUE),'19_Расчет_аналитики'!BL3458*CapacityAge15*'19_Расчет_аналитики'!$F$3247,0),0)</f>
        <v/>
      </c>
      <c r="BM3570">
        <f>IF('01_Вводные'!$B$234="Да",IF(IF('01_Вводные'!$B$296="Новый сезон",TRUE,TRUE),'19_Расчет_аналитики'!BM3458*CapacityAge15*'19_Расчет_аналитики'!$F$3247,0),0)</f>
        <v/>
      </c>
      <c r="BN3570">
        <f>IF('01_Вводные'!$B$234="Да",IF(IF('01_Вводные'!$B$296="Новый сезон",TRUE,TRUE),'19_Расчет_аналитики'!BN3458*CapacityAge15*'19_Расчет_аналитики'!$F$3247,0),0)</f>
        <v/>
      </c>
      <c r="BO3570">
        <f>IF('01_Вводные'!$B$234="Да",IF(IF('01_Вводные'!$B$296="Новый сезон",TRUE,TRUE),'19_Расчет_аналитики'!BO3458*CapacityAge15*'19_Расчет_аналитики'!$F$3247,0),0)</f>
        <v/>
      </c>
    </row>
    <row r="3571">
      <c r="B3571">
        <f>IF('01_Вводные'!$B$234="Да",IF(IF('01_Вводные'!$B$296="Новый сезон",TRUE,TRUE),'06_Сеть_и_дети'!B68*CapacityAge16*'19_Расчет_аналитики'!$F$3247,0),0)</f>
        <v/>
      </c>
      <c r="C3571">
        <f>IF('01_Вводные'!$B$234="Да",IF(IF('01_Вводные'!$B$296="Новый сезон",TRUE,TRUE),'06_Сеть_и_дети'!C68*CapacityAge16*'19_Расчет_аналитики'!$F$3247,0),0)</f>
        <v/>
      </c>
      <c r="D3571">
        <f>IF('01_Вводные'!$B$234="Да",IF(IF('01_Вводные'!$B$296="Новый сезон",TRUE,TRUE),'06_Сеть_и_дети'!D68*CapacityAge16*'19_Расчет_аналитики'!$F$3247,0),0)</f>
        <v/>
      </c>
      <c r="E3571">
        <f>IF('01_Вводные'!$B$234="Да",IF(IF('01_Вводные'!$B$296="Новый сезон",TRUE,TRUE),'06_Сеть_и_дети'!E68*CapacityAge16*'19_Расчет_аналитики'!$F$3247,0),0)</f>
        <v/>
      </c>
      <c r="F3571">
        <f>IF('01_Вводные'!$B$234="Да",IF(IF('01_Вводные'!$B$296="Новый сезон",TRUE,TRUE),'06_Сеть_и_дети'!F68*CapacityAge16*'19_Расчет_аналитики'!$F$3247,0),0)</f>
        <v/>
      </c>
      <c r="G3571">
        <f>IF('01_Вводные'!$B$234="Да",IF(IF('01_Вводные'!$B$296="Новый сезон",TRUE,TRUE),'06_Сеть_и_дети'!G68*CapacityAge16*'19_Расчет_аналитики'!$F$3247,0),0)</f>
        <v/>
      </c>
      <c r="H3571">
        <f>IF('01_Вводные'!$B$234="Да",IF(IF('01_Вводные'!$B$296="Новый сезон",TRUE,TRUE),'06_Сеть_и_дети'!H68*CapacityAge16*'19_Расчет_аналитики'!$F$3247,0),0)</f>
        <v/>
      </c>
      <c r="I3571">
        <f>IF('01_Вводные'!$B$234="Да",IF(IF('01_Вводные'!$B$296="Новый сезон",TRUE,TRUE),'06_Сеть_и_дети'!I68*CapacityAge16*'19_Расчет_аналитики'!$F$3247,0),0)</f>
        <v/>
      </c>
      <c r="J3571">
        <f>IF('01_Вводные'!$B$234="Да",IF(IF('01_Вводные'!$B$296="Новый сезон",TRUE,TRUE),'06_Сеть_и_дети'!J68*CapacityAge16*'19_Расчет_аналитики'!$F$3247,0),0)</f>
        <v/>
      </c>
      <c r="K3571">
        <f>IF('01_Вводные'!$B$234="Да",IF(IF('01_Вводные'!$B$296="Новый сезон",TRUE,TRUE),'06_Сеть_и_дети'!K68*CapacityAge16*'19_Расчет_аналитики'!$F$3247,0),0)</f>
        <v/>
      </c>
      <c r="L3571">
        <f>IF('01_Вводные'!$B$234="Да",IF(IF('01_Вводные'!$B$296="Новый сезон",TRUE,TRUE),'06_Сеть_и_дети'!L68*CapacityAge16*'19_Расчет_аналитики'!$F$3247,0),0)</f>
        <v/>
      </c>
      <c r="M3571">
        <f>IF('01_Вводные'!$B$234="Да",IF(IF('01_Вводные'!$B$296="Новый сезон",TRUE,TRUE),'06_Сеть_и_дети'!M68*CapacityAge16*'19_Расчет_аналитики'!$F$3247,0),0)</f>
        <v/>
      </c>
      <c r="N3571">
        <f>IF('01_Вводные'!$B$234="Да",IF(IF('01_Вводные'!$B$296="Новый сезон",TRUE,TRUE),'06_Сеть_и_дети'!N68*CapacityAge16*'19_Расчет_аналитики'!$F$3247,0),0)</f>
        <v/>
      </c>
      <c r="O3571">
        <f>IF('01_Вводные'!$B$234="Да",IF(IF('01_Вводные'!$B$296="Новый сезон",TRUE,TRUE),'06_Сеть_и_дети'!O68*CapacityAge16*'19_Расчет_аналитики'!$F$3247,0),0)</f>
        <v/>
      </c>
      <c r="P3571">
        <f>IF('01_Вводные'!$B$234="Да",IF(IF('01_Вводные'!$B$296="Новый сезон",TRUE,TRUE),'06_Сеть_и_дети'!P68*CapacityAge16*'19_Расчет_аналитики'!$F$3247,0),0)</f>
        <v/>
      </c>
      <c r="Q3571">
        <f>IF('01_Вводные'!$B$234="Да",IF(IF('01_Вводные'!$B$296="Новый сезон",TRUE,TRUE),'19_Расчет_аналитики'!Q3459*CapacityAge16*'19_Расчет_аналитики'!$F$3247,0),0)</f>
        <v/>
      </c>
      <c r="R3571">
        <f>IF('01_Вводные'!$B$234="Да",IF(IF('01_Вводные'!$B$296="Новый сезон",TRUE,TRUE),'19_Расчет_аналитики'!R3459*CapacityAge16*'19_Расчет_аналитики'!$F$3247,0),0)</f>
        <v/>
      </c>
      <c r="S3571">
        <f>IF('01_Вводные'!$B$234="Да",IF(IF('01_Вводные'!$B$296="Новый сезон",TRUE,TRUE),'19_Расчет_аналитики'!S3459*CapacityAge16*'19_Расчет_аналитики'!$F$3247,0),0)</f>
        <v/>
      </c>
      <c r="T3571">
        <f>IF('01_Вводные'!$B$234="Да",IF(IF('01_Вводные'!$B$296="Новый сезон",TRUE,TRUE),'19_Расчет_аналитики'!T3459*CapacityAge16*'19_Расчет_аналитики'!$F$3247,0),0)</f>
        <v/>
      </c>
      <c r="U3571">
        <f>IF('01_Вводные'!$B$234="Да",IF(IF('01_Вводные'!$B$296="Новый сезон",TRUE,TRUE),'19_Расчет_аналитики'!U3459*CapacityAge16*'19_Расчет_аналитики'!$F$3247,0),0)</f>
        <v/>
      </c>
      <c r="V3571">
        <f>IF('01_Вводные'!$B$234="Да",IF(IF('01_Вводные'!$B$296="Новый сезон",TRUE,TRUE),'19_Расчет_аналитики'!V3459*CapacityAge16*'19_Расчет_аналитики'!$F$3247,0),0)</f>
        <v/>
      </c>
      <c r="W3571">
        <f>IF('01_Вводные'!$B$234="Да",IF(IF('01_Вводные'!$B$296="Новый сезон",TRUE,TRUE),'19_Расчет_аналитики'!W3459*CapacityAge16*'19_Расчет_аналитики'!$F$3247,0),0)</f>
        <v/>
      </c>
      <c r="X3571">
        <f>IF('01_Вводные'!$B$234="Да",IF(IF('01_Вводные'!$B$296="Новый сезон",TRUE,TRUE),'19_Расчет_аналитики'!X3459*CapacityAge16*'19_Расчет_аналитики'!$F$3247,0),0)</f>
        <v/>
      </c>
      <c r="Y3571">
        <f>IF('01_Вводные'!$B$234="Да",IF(IF('01_Вводные'!$B$296="Новый сезон",TRUE,TRUE),'19_Расчет_аналитики'!Y3459*CapacityAge16*'19_Расчет_аналитики'!$F$3247,0),0)</f>
        <v/>
      </c>
      <c r="Z3571">
        <f>IF('01_Вводные'!$B$234="Да",IF(IF('01_Вводные'!$B$296="Новый сезон",TRUE,TRUE),'19_Расчет_аналитики'!Z3459*CapacityAge16*'19_Расчет_аналитики'!$F$3247,0),0)</f>
        <v/>
      </c>
      <c r="AA3571">
        <f>IF('01_Вводные'!$B$234="Да",IF(IF('01_Вводные'!$B$296="Новый сезон",TRUE,TRUE),'19_Расчет_аналитики'!AA3459*CapacityAge16*'19_Расчет_аналитики'!$F$3247,0),0)</f>
        <v/>
      </c>
      <c r="AB3571">
        <f>IF('01_Вводные'!$B$234="Да",IF(IF('01_Вводные'!$B$296="Новый сезон",TRUE,TRUE),'19_Расчет_аналитики'!AB3459*CapacityAge16*'19_Расчет_аналитики'!$F$3247,0),0)</f>
        <v/>
      </c>
      <c r="AC3571">
        <f>IF('01_Вводные'!$B$234="Да",IF(IF('01_Вводные'!$B$296="Новый сезон",TRUE,TRUE),'19_Расчет_аналитики'!AC3459*CapacityAge16*'19_Расчет_аналитики'!$F$3247,0),0)</f>
        <v/>
      </c>
      <c r="AD3571">
        <f>IF('01_Вводные'!$B$234="Да",IF(IF('01_Вводные'!$B$296="Новый сезон",TRUE,TRUE),'19_Расчет_аналитики'!AD3459*CapacityAge16*'19_Расчет_аналитики'!$F$3247,0),0)</f>
        <v/>
      </c>
      <c r="AE3571">
        <f>IF('01_Вводные'!$B$234="Да",IF(IF('01_Вводные'!$B$296="Новый сезон",TRUE,TRUE),'19_Расчет_аналитики'!AE3459*CapacityAge16*'19_Расчет_аналитики'!$F$3247,0),0)</f>
        <v/>
      </c>
      <c r="AF3571">
        <f>IF('01_Вводные'!$B$234="Да",IF(IF('01_Вводные'!$B$296="Новый сезон",TRUE,TRUE),'19_Расчет_аналитики'!AF3459*CapacityAge16*'19_Расчет_аналитики'!$F$3247,0),0)</f>
        <v/>
      </c>
      <c r="AG3571">
        <f>IF('01_Вводные'!$B$234="Да",IF(IF('01_Вводные'!$B$296="Новый сезон",TRUE,TRUE),'19_Расчет_аналитики'!AG3459*CapacityAge16*'19_Расчет_аналитики'!$F$3247,0),0)</f>
        <v/>
      </c>
      <c r="AH3571">
        <f>IF('01_Вводные'!$B$234="Да",IF(IF('01_Вводные'!$B$296="Новый сезон",TRUE,TRUE),'19_Расчет_аналитики'!AH3459*CapacityAge16*'19_Расчет_аналитики'!$F$3247,0),0)</f>
        <v/>
      </c>
      <c r="AI3571">
        <f>IF('01_Вводные'!$B$234="Да",IF(IF('01_Вводные'!$B$296="Новый сезон",TRUE,TRUE),'19_Расчет_аналитики'!AI3459*CapacityAge16*'19_Расчет_аналитики'!$F$3247,0),0)</f>
        <v/>
      </c>
      <c r="AJ3571">
        <f>IF('01_Вводные'!$B$234="Да",IF(IF('01_Вводные'!$B$296="Новый сезон",TRUE,TRUE),'19_Расчет_аналитики'!AJ3459*CapacityAge16*'19_Расчет_аналитики'!$F$3247,0),0)</f>
        <v/>
      </c>
      <c r="AK3571">
        <f>IF('01_Вводные'!$B$234="Да",IF(IF('01_Вводные'!$B$296="Новый сезон",TRUE,TRUE),'19_Расчет_аналитики'!AK3459*CapacityAge16*'19_Расчет_аналитики'!$F$3247,0),0)</f>
        <v/>
      </c>
      <c r="AL3571">
        <f>IF('01_Вводные'!$B$234="Да",IF(IF('01_Вводные'!$B$296="Новый сезон",TRUE,TRUE),'19_Расчет_аналитики'!AL3459*CapacityAge16*'19_Расчет_аналитики'!$F$3247,0),0)</f>
        <v/>
      </c>
      <c r="AM3571">
        <f>IF('01_Вводные'!$B$234="Да",IF(IF('01_Вводные'!$B$296="Новый сезон",TRUE,TRUE),'19_Расчет_аналитики'!AM3459*CapacityAge16*'19_Расчет_аналитики'!$F$3247,0),0)</f>
        <v/>
      </c>
      <c r="AN3571">
        <f>IF('01_Вводные'!$B$234="Да",IF(IF('01_Вводные'!$B$296="Новый сезон",TRUE,TRUE),'19_Расчет_аналитики'!AN3459*CapacityAge16*'19_Расчет_аналитики'!$F$3247,0),0)</f>
        <v/>
      </c>
      <c r="AO3571">
        <f>IF('01_Вводные'!$B$234="Да",IF(IF('01_Вводные'!$B$296="Новый сезон",TRUE,TRUE),'19_Расчет_аналитики'!AO3459*CapacityAge16*'19_Расчет_аналитики'!$F$3247,0),0)</f>
        <v/>
      </c>
      <c r="AP3571">
        <f>IF('01_Вводные'!$B$234="Да",IF(IF('01_Вводные'!$B$296="Новый сезон",TRUE,TRUE),'19_Расчет_аналитики'!AP3459*CapacityAge16*'19_Расчет_аналитики'!$F$3247,0),0)</f>
        <v/>
      </c>
      <c r="AQ3571">
        <f>IF('01_Вводные'!$B$234="Да",IF(IF('01_Вводные'!$B$296="Новый сезон",TRUE,TRUE),'19_Расчет_аналитики'!AQ3459*CapacityAge16*'19_Расчет_аналитики'!$F$3247,0),0)</f>
        <v/>
      </c>
      <c r="AR3571">
        <f>IF('01_Вводные'!$B$234="Да",IF(IF('01_Вводные'!$B$296="Новый сезон",TRUE,TRUE),'19_Расчет_аналитики'!AR3459*CapacityAge16*'19_Расчет_аналитики'!$F$3247,0),0)</f>
        <v/>
      </c>
      <c r="AS3571">
        <f>IF('01_Вводные'!$B$234="Да",IF(IF('01_Вводные'!$B$296="Новый сезон",TRUE,TRUE),'19_Расчет_аналитики'!AS3459*CapacityAge16*'19_Расчет_аналитики'!$F$3247,0),0)</f>
        <v/>
      </c>
      <c r="AT3571">
        <f>IF('01_Вводные'!$B$234="Да",IF(IF('01_Вводные'!$B$296="Новый сезон",TRUE,TRUE),'19_Расчет_аналитики'!AT3459*CapacityAge16*'19_Расчет_аналитики'!$F$3247,0),0)</f>
        <v/>
      </c>
      <c r="AU3571">
        <f>IF('01_Вводные'!$B$234="Да",IF(IF('01_Вводные'!$B$296="Новый сезон",TRUE,TRUE),'19_Расчет_аналитики'!AU3459*CapacityAge16*'19_Расчет_аналитики'!$F$3247,0),0)</f>
        <v/>
      </c>
      <c r="AV3571">
        <f>IF('01_Вводные'!$B$234="Да",IF(IF('01_Вводные'!$B$296="Новый сезон",TRUE,TRUE),'19_Расчет_аналитики'!AV3459*CapacityAge16*'19_Расчет_аналитики'!$F$3247,0),0)</f>
        <v/>
      </c>
      <c r="AW3571">
        <f>IF('01_Вводные'!$B$234="Да",IF(IF('01_Вводные'!$B$296="Новый сезон",TRUE,TRUE),'19_Расчет_аналитики'!AW3459*CapacityAge16*'19_Расчет_аналитики'!$F$3247,0),0)</f>
        <v/>
      </c>
      <c r="AX3571">
        <f>IF('01_Вводные'!$B$234="Да",IF(IF('01_Вводные'!$B$296="Новый сезон",TRUE,TRUE),'19_Расчет_аналитики'!AX3459*CapacityAge16*'19_Расчет_аналитики'!$F$3247,0),0)</f>
        <v/>
      </c>
      <c r="AY3571">
        <f>IF('01_Вводные'!$B$234="Да",IF(IF('01_Вводные'!$B$296="Новый сезон",TRUE,TRUE),'19_Расчет_аналитики'!AY3459*CapacityAge16*'19_Расчет_аналитики'!$F$3247,0),0)</f>
        <v/>
      </c>
      <c r="AZ3571">
        <f>IF('01_Вводные'!$B$234="Да",IF(IF('01_Вводные'!$B$296="Новый сезон",TRUE,TRUE),'19_Расчет_аналитики'!AZ3459*CapacityAge16*'19_Расчет_аналитики'!$F$3247,0),0)</f>
        <v/>
      </c>
      <c r="BA3571">
        <f>IF('01_Вводные'!$B$234="Да",IF(IF('01_Вводные'!$B$296="Новый сезон",TRUE,TRUE),'19_Расчет_аналитики'!BA3459*CapacityAge16*'19_Расчет_аналитики'!$F$3247,0),0)</f>
        <v/>
      </c>
      <c r="BB3571">
        <f>IF('01_Вводные'!$B$234="Да",IF(IF('01_Вводные'!$B$296="Новый сезон",TRUE,TRUE),'19_Расчет_аналитики'!BB3459*CapacityAge16*'19_Расчет_аналитики'!$F$3247,0),0)</f>
        <v/>
      </c>
      <c r="BC3571">
        <f>IF('01_Вводные'!$B$234="Да",IF(IF('01_Вводные'!$B$296="Новый сезон",TRUE,TRUE),'19_Расчет_аналитики'!BC3459*CapacityAge16*'19_Расчет_аналитики'!$F$3247,0),0)</f>
        <v/>
      </c>
      <c r="BD3571">
        <f>IF('01_Вводные'!$B$234="Да",IF(IF('01_Вводные'!$B$296="Новый сезон",TRUE,TRUE),'19_Расчет_аналитики'!BD3459*CapacityAge16*'19_Расчет_аналитики'!$F$3247,0),0)</f>
        <v/>
      </c>
      <c r="BE3571">
        <f>IF('01_Вводные'!$B$234="Да",IF(IF('01_Вводные'!$B$296="Новый сезон",TRUE,TRUE),'19_Расчет_аналитики'!BE3459*CapacityAge16*'19_Расчет_аналитики'!$F$3247,0),0)</f>
        <v/>
      </c>
      <c r="BF3571">
        <f>IF('01_Вводные'!$B$234="Да",IF(IF('01_Вводные'!$B$296="Новый сезон",TRUE,TRUE),'19_Расчет_аналитики'!BF3459*CapacityAge16*'19_Расчет_аналитики'!$F$3247,0),0)</f>
        <v/>
      </c>
      <c r="BG3571">
        <f>IF('01_Вводные'!$B$234="Да",IF(IF('01_Вводные'!$B$296="Новый сезон",TRUE,TRUE),'19_Расчет_аналитики'!BG3459*CapacityAge16*'19_Расчет_аналитики'!$F$3247,0),0)</f>
        <v/>
      </c>
      <c r="BH3571">
        <f>IF('01_Вводные'!$B$234="Да",IF(IF('01_Вводные'!$B$296="Новый сезон",TRUE,TRUE),'19_Расчет_аналитики'!BH3459*CapacityAge16*'19_Расчет_аналитики'!$F$3247,0),0)</f>
        <v/>
      </c>
      <c r="BI3571">
        <f>IF('01_Вводные'!$B$234="Да",IF(IF('01_Вводные'!$B$296="Новый сезон",TRUE,TRUE),'19_Расчет_аналитики'!BI3459*CapacityAge16*'19_Расчет_аналитики'!$F$3247,0),0)</f>
        <v/>
      </c>
      <c r="BJ3571">
        <f>IF('01_Вводные'!$B$234="Да",IF(IF('01_Вводные'!$B$296="Новый сезон",TRUE,TRUE),'19_Расчет_аналитики'!BJ3459*CapacityAge16*'19_Расчет_аналитики'!$F$3247,0),0)</f>
        <v/>
      </c>
      <c r="BK3571">
        <f>IF('01_Вводные'!$B$234="Да",IF(IF('01_Вводные'!$B$296="Новый сезон",TRUE,TRUE),'19_Расчет_аналитики'!BK3459*CapacityAge16*'19_Расчет_аналитики'!$F$3247,0),0)</f>
        <v/>
      </c>
      <c r="BL3571">
        <f>IF('01_Вводные'!$B$234="Да",IF(IF('01_Вводные'!$B$296="Новый сезон",TRUE,TRUE),'19_Расчет_аналитики'!BL3459*CapacityAge16*'19_Расчет_аналитики'!$F$3247,0),0)</f>
        <v/>
      </c>
      <c r="BM3571">
        <f>IF('01_Вводные'!$B$234="Да",IF(IF('01_Вводные'!$B$296="Новый сезон",TRUE,TRUE),'19_Расчет_аналитики'!BM3459*CapacityAge16*'19_Расчет_аналитики'!$F$3247,0),0)</f>
        <v/>
      </c>
      <c r="BN3571">
        <f>IF('01_Вводные'!$B$234="Да",IF(IF('01_Вводные'!$B$296="Новый сезон",TRUE,TRUE),'19_Расчет_аналитики'!BN3459*CapacityAge16*'19_Расчет_аналитики'!$F$3247,0),0)</f>
        <v/>
      </c>
      <c r="BO3571">
        <f>IF('01_Вводные'!$B$234="Да",IF(IF('01_Вводные'!$B$296="Новый сезон",TRUE,TRUE),'19_Расчет_аналитики'!BO3459*CapacityAge16*'19_Расчет_аналитики'!$F$3247,0),0)</f>
        <v/>
      </c>
    </row>
    <row r="3572">
      <c r="B3572">
        <f>IF('01_Вводные'!$B$234="Да",IF(IF('01_Вводные'!$B$296="Новый сезон",TRUE,TRUE),'06_Сеть_и_дети'!B69*CapacityAge17*'19_Расчет_аналитики'!$F$3247,0),0)</f>
        <v/>
      </c>
      <c r="C3572">
        <f>IF('01_Вводные'!$B$234="Да",IF(IF('01_Вводные'!$B$296="Новый сезон",TRUE,TRUE),'06_Сеть_и_дети'!C69*CapacityAge17*'19_Расчет_аналитики'!$F$3247,0),0)</f>
        <v/>
      </c>
      <c r="D3572">
        <f>IF('01_Вводные'!$B$234="Да",IF(IF('01_Вводные'!$B$296="Новый сезон",TRUE,TRUE),'06_Сеть_и_дети'!D69*CapacityAge17*'19_Расчет_аналитики'!$F$3247,0),0)</f>
        <v/>
      </c>
      <c r="E3572">
        <f>IF('01_Вводные'!$B$234="Да",IF(IF('01_Вводные'!$B$296="Новый сезон",TRUE,TRUE),'06_Сеть_и_дети'!E69*CapacityAge17*'19_Расчет_аналитики'!$F$3247,0),0)</f>
        <v/>
      </c>
      <c r="F3572">
        <f>IF('01_Вводные'!$B$234="Да",IF(IF('01_Вводные'!$B$296="Новый сезон",TRUE,TRUE),'06_Сеть_и_дети'!F69*CapacityAge17*'19_Расчет_аналитики'!$F$3247,0),0)</f>
        <v/>
      </c>
      <c r="G3572">
        <f>IF('01_Вводные'!$B$234="Да",IF(IF('01_Вводные'!$B$296="Новый сезон",TRUE,TRUE),'06_Сеть_и_дети'!G69*CapacityAge17*'19_Расчет_аналитики'!$F$3247,0),0)</f>
        <v/>
      </c>
      <c r="H3572">
        <f>IF('01_Вводные'!$B$234="Да",IF(IF('01_Вводные'!$B$296="Новый сезон",TRUE,TRUE),'06_Сеть_и_дети'!H69*CapacityAge17*'19_Расчет_аналитики'!$F$3247,0),0)</f>
        <v/>
      </c>
      <c r="I3572">
        <f>IF('01_Вводные'!$B$234="Да",IF(IF('01_Вводные'!$B$296="Новый сезон",TRUE,TRUE),'06_Сеть_и_дети'!I69*CapacityAge17*'19_Расчет_аналитики'!$F$3247,0),0)</f>
        <v/>
      </c>
      <c r="J3572">
        <f>IF('01_Вводные'!$B$234="Да",IF(IF('01_Вводные'!$B$296="Новый сезон",TRUE,TRUE),'06_Сеть_и_дети'!J69*CapacityAge17*'19_Расчет_аналитики'!$F$3247,0),0)</f>
        <v/>
      </c>
      <c r="K3572">
        <f>IF('01_Вводные'!$B$234="Да",IF(IF('01_Вводные'!$B$296="Новый сезон",TRUE,TRUE),'06_Сеть_и_дети'!K69*CapacityAge17*'19_Расчет_аналитики'!$F$3247,0),0)</f>
        <v/>
      </c>
      <c r="L3572">
        <f>IF('01_Вводные'!$B$234="Да",IF(IF('01_Вводные'!$B$296="Новый сезон",TRUE,TRUE),'06_Сеть_и_дети'!L69*CapacityAge17*'19_Расчет_аналитики'!$F$3247,0),0)</f>
        <v/>
      </c>
      <c r="M3572">
        <f>IF('01_Вводные'!$B$234="Да",IF(IF('01_Вводные'!$B$296="Новый сезон",TRUE,TRUE),'06_Сеть_и_дети'!M69*CapacityAge17*'19_Расчет_аналитики'!$F$3247,0),0)</f>
        <v/>
      </c>
      <c r="N3572">
        <f>IF('01_Вводные'!$B$234="Да",IF(IF('01_Вводные'!$B$296="Новый сезон",TRUE,TRUE),'06_Сеть_и_дети'!N69*CapacityAge17*'19_Расчет_аналитики'!$F$3247,0),0)</f>
        <v/>
      </c>
      <c r="O3572">
        <f>IF('01_Вводные'!$B$234="Да",IF(IF('01_Вводные'!$B$296="Новый сезон",TRUE,TRUE),'06_Сеть_и_дети'!O69*CapacityAge17*'19_Расчет_аналитики'!$F$3247,0),0)</f>
        <v/>
      </c>
      <c r="P3572">
        <f>IF('01_Вводные'!$B$234="Да",IF(IF('01_Вводные'!$B$296="Новый сезон",TRUE,TRUE),'06_Сеть_и_дети'!P69*CapacityAge17*'19_Расчет_аналитики'!$F$3247,0),0)</f>
        <v/>
      </c>
      <c r="Q3572">
        <f>IF('01_Вводные'!$B$234="Да",IF(IF('01_Вводные'!$B$296="Новый сезон",TRUE,TRUE),'06_Сеть_и_дети'!Q69*CapacityAge17*'19_Расчет_аналитики'!$F$3247,0),0)</f>
        <v/>
      </c>
      <c r="R3572">
        <f>IF('01_Вводные'!$B$234="Да",IF(IF('01_Вводные'!$B$296="Новый сезон",TRUE,TRUE),'19_Расчет_аналитики'!R3460*CapacityAge17*'19_Расчет_аналитики'!$F$3247,0),0)</f>
        <v/>
      </c>
      <c r="S3572">
        <f>IF('01_Вводные'!$B$234="Да",IF(IF('01_Вводные'!$B$296="Новый сезон",TRUE,TRUE),'19_Расчет_аналитики'!S3460*CapacityAge17*'19_Расчет_аналитики'!$F$3247,0),0)</f>
        <v/>
      </c>
      <c r="T3572">
        <f>IF('01_Вводные'!$B$234="Да",IF(IF('01_Вводные'!$B$296="Новый сезон",TRUE,TRUE),'19_Расчет_аналитики'!T3460*CapacityAge17*'19_Расчет_аналитики'!$F$3247,0),0)</f>
        <v/>
      </c>
      <c r="U3572">
        <f>IF('01_Вводные'!$B$234="Да",IF(IF('01_Вводные'!$B$296="Новый сезон",TRUE,TRUE),'19_Расчет_аналитики'!U3460*CapacityAge17*'19_Расчет_аналитики'!$F$3247,0),0)</f>
        <v/>
      </c>
      <c r="V3572">
        <f>IF('01_Вводные'!$B$234="Да",IF(IF('01_Вводные'!$B$296="Новый сезон",TRUE,TRUE),'19_Расчет_аналитики'!V3460*CapacityAge17*'19_Расчет_аналитики'!$F$3247,0),0)</f>
        <v/>
      </c>
      <c r="W3572">
        <f>IF('01_Вводные'!$B$234="Да",IF(IF('01_Вводные'!$B$296="Новый сезон",TRUE,TRUE),'19_Расчет_аналитики'!W3460*CapacityAge17*'19_Расчет_аналитики'!$F$3247,0),0)</f>
        <v/>
      </c>
      <c r="X3572">
        <f>IF('01_Вводные'!$B$234="Да",IF(IF('01_Вводные'!$B$296="Новый сезон",TRUE,TRUE),'19_Расчет_аналитики'!X3460*CapacityAge17*'19_Расчет_аналитики'!$F$3247,0),0)</f>
        <v/>
      </c>
      <c r="Y3572">
        <f>IF('01_Вводные'!$B$234="Да",IF(IF('01_Вводные'!$B$296="Новый сезон",TRUE,TRUE),'19_Расчет_аналитики'!Y3460*CapacityAge17*'19_Расчет_аналитики'!$F$3247,0),0)</f>
        <v/>
      </c>
      <c r="Z3572">
        <f>IF('01_Вводные'!$B$234="Да",IF(IF('01_Вводные'!$B$296="Новый сезон",TRUE,TRUE),'19_Расчет_аналитики'!Z3460*CapacityAge17*'19_Расчет_аналитики'!$F$3247,0),0)</f>
        <v/>
      </c>
      <c r="AA3572">
        <f>IF('01_Вводные'!$B$234="Да",IF(IF('01_Вводные'!$B$296="Новый сезон",TRUE,TRUE),'19_Расчет_аналитики'!AA3460*CapacityAge17*'19_Расчет_аналитики'!$F$3247,0),0)</f>
        <v/>
      </c>
      <c r="AB3572">
        <f>IF('01_Вводные'!$B$234="Да",IF(IF('01_Вводные'!$B$296="Новый сезон",TRUE,TRUE),'19_Расчет_аналитики'!AB3460*CapacityAge17*'19_Расчет_аналитики'!$F$3247,0),0)</f>
        <v/>
      </c>
      <c r="AC3572">
        <f>IF('01_Вводные'!$B$234="Да",IF(IF('01_Вводные'!$B$296="Новый сезон",TRUE,TRUE),'19_Расчет_аналитики'!AC3460*CapacityAge17*'19_Расчет_аналитики'!$F$3247,0),0)</f>
        <v/>
      </c>
      <c r="AD3572">
        <f>IF('01_Вводные'!$B$234="Да",IF(IF('01_Вводные'!$B$296="Новый сезон",TRUE,TRUE),'19_Расчет_аналитики'!AD3460*CapacityAge17*'19_Расчет_аналитики'!$F$3247,0),0)</f>
        <v/>
      </c>
      <c r="AE3572">
        <f>IF('01_Вводные'!$B$234="Да",IF(IF('01_Вводные'!$B$296="Новый сезон",TRUE,TRUE),'19_Расчет_аналитики'!AE3460*CapacityAge17*'19_Расчет_аналитики'!$F$3247,0),0)</f>
        <v/>
      </c>
      <c r="AF3572">
        <f>IF('01_Вводные'!$B$234="Да",IF(IF('01_Вводные'!$B$296="Новый сезон",TRUE,TRUE),'19_Расчет_аналитики'!AF3460*CapacityAge17*'19_Расчет_аналитики'!$F$3247,0),0)</f>
        <v/>
      </c>
      <c r="AG3572">
        <f>IF('01_Вводные'!$B$234="Да",IF(IF('01_Вводные'!$B$296="Новый сезон",TRUE,TRUE),'19_Расчет_аналитики'!AG3460*CapacityAge17*'19_Расчет_аналитики'!$F$3247,0),0)</f>
        <v/>
      </c>
      <c r="AH3572">
        <f>IF('01_Вводные'!$B$234="Да",IF(IF('01_Вводные'!$B$296="Новый сезон",TRUE,TRUE),'19_Расчет_аналитики'!AH3460*CapacityAge17*'19_Расчет_аналитики'!$F$3247,0),0)</f>
        <v/>
      </c>
      <c r="AI3572">
        <f>IF('01_Вводные'!$B$234="Да",IF(IF('01_Вводные'!$B$296="Новый сезон",TRUE,TRUE),'19_Расчет_аналитики'!AI3460*CapacityAge17*'19_Расчет_аналитики'!$F$3247,0),0)</f>
        <v/>
      </c>
      <c r="AJ3572">
        <f>IF('01_Вводные'!$B$234="Да",IF(IF('01_Вводные'!$B$296="Новый сезон",TRUE,TRUE),'19_Расчет_аналитики'!AJ3460*CapacityAge17*'19_Расчет_аналитики'!$F$3247,0),0)</f>
        <v/>
      </c>
      <c r="AK3572">
        <f>IF('01_Вводные'!$B$234="Да",IF(IF('01_Вводные'!$B$296="Новый сезон",TRUE,TRUE),'19_Расчет_аналитики'!AK3460*CapacityAge17*'19_Расчет_аналитики'!$F$3247,0),0)</f>
        <v/>
      </c>
      <c r="AL3572">
        <f>IF('01_Вводные'!$B$234="Да",IF(IF('01_Вводные'!$B$296="Новый сезон",TRUE,TRUE),'19_Расчет_аналитики'!AL3460*CapacityAge17*'19_Расчет_аналитики'!$F$3247,0),0)</f>
        <v/>
      </c>
      <c r="AM3572">
        <f>IF('01_Вводные'!$B$234="Да",IF(IF('01_Вводные'!$B$296="Новый сезон",TRUE,TRUE),'19_Расчет_аналитики'!AM3460*CapacityAge17*'19_Расчет_аналитики'!$F$3247,0),0)</f>
        <v/>
      </c>
      <c r="AN3572">
        <f>IF('01_Вводные'!$B$234="Да",IF(IF('01_Вводные'!$B$296="Новый сезон",TRUE,TRUE),'19_Расчет_аналитики'!AN3460*CapacityAge17*'19_Расчет_аналитики'!$F$3247,0),0)</f>
        <v/>
      </c>
      <c r="AO3572">
        <f>IF('01_Вводные'!$B$234="Да",IF(IF('01_Вводные'!$B$296="Новый сезон",TRUE,TRUE),'19_Расчет_аналитики'!AO3460*CapacityAge17*'19_Расчет_аналитики'!$F$3247,0),0)</f>
        <v/>
      </c>
      <c r="AP3572">
        <f>IF('01_Вводные'!$B$234="Да",IF(IF('01_Вводные'!$B$296="Новый сезон",TRUE,TRUE),'19_Расчет_аналитики'!AP3460*CapacityAge17*'19_Расчет_аналитики'!$F$3247,0),0)</f>
        <v/>
      </c>
      <c r="AQ3572">
        <f>IF('01_Вводные'!$B$234="Да",IF(IF('01_Вводные'!$B$296="Новый сезон",TRUE,TRUE),'19_Расчет_аналитики'!AQ3460*CapacityAge17*'19_Расчет_аналитики'!$F$3247,0),0)</f>
        <v/>
      </c>
      <c r="AR3572">
        <f>IF('01_Вводные'!$B$234="Да",IF(IF('01_Вводные'!$B$296="Новый сезон",TRUE,TRUE),'19_Расчет_аналитики'!AR3460*CapacityAge17*'19_Расчет_аналитики'!$F$3247,0),0)</f>
        <v/>
      </c>
      <c r="AS3572">
        <f>IF('01_Вводные'!$B$234="Да",IF(IF('01_Вводные'!$B$296="Новый сезон",TRUE,TRUE),'19_Расчет_аналитики'!AS3460*CapacityAge17*'19_Расчет_аналитики'!$F$3247,0),0)</f>
        <v/>
      </c>
      <c r="AT3572">
        <f>IF('01_Вводные'!$B$234="Да",IF(IF('01_Вводные'!$B$296="Новый сезон",TRUE,TRUE),'19_Расчет_аналитики'!AT3460*CapacityAge17*'19_Расчет_аналитики'!$F$3247,0),0)</f>
        <v/>
      </c>
      <c r="AU3572">
        <f>IF('01_Вводные'!$B$234="Да",IF(IF('01_Вводные'!$B$296="Новый сезон",TRUE,TRUE),'19_Расчет_аналитики'!AU3460*CapacityAge17*'19_Расчет_аналитики'!$F$3247,0),0)</f>
        <v/>
      </c>
      <c r="AV3572">
        <f>IF('01_Вводные'!$B$234="Да",IF(IF('01_Вводные'!$B$296="Новый сезон",TRUE,TRUE),'19_Расчет_аналитики'!AV3460*CapacityAge17*'19_Расчет_аналитики'!$F$3247,0),0)</f>
        <v/>
      </c>
      <c r="AW3572">
        <f>IF('01_Вводные'!$B$234="Да",IF(IF('01_Вводные'!$B$296="Новый сезон",TRUE,TRUE),'19_Расчет_аналитики'!AW3460*CapacityAge17*'19_Расчет_аналитики'!$F$3247,0),0)</f>
        <v/>
      </c>
      <c r="AX3572">
        <f>IF('01_Вводные'!$B$234="Да",IF(IF('01_Вводные'!$B$296="Новый сезон",TRUE,TRUE),'19_Расчет_аналитики'!AX3460*CapacityAge17*'19_Расчет_аналитики'!$F$3247,0),0)</f>
        <v/>
      </c>
      <c r="AY3572">
        <f>IF('01_Вводные'!$B$234="Да",IF(IF('01_Вводные'!$B$296="Новый сезон",TRUE,TRUE),'19_Расчет_аналитики'!AY3460*CapacityAge17*'19_Расчет_аналитики'!$F$3247,0),0)</f>
        <v/>
      </c>
      <c r="AZ3572">
        <f>IF('01_Вводные'!$B$234="Да",IF(IF('01_Вводные'!$B$296="Новый сезон",TRUE,TRUE),'19_Расчет_аналитики'!AZ3460*CapacityAge17*'19_Расчет_аналитики'!$F$3247,0),0)</f>
        <v/>
      </c>
      <c r="BA3572">
        <f>IF('01_Вводные'!$B$234="Да",IF(IF('01_Вводные'!$B$296="Новый сезон",TRUE,TRUE),'19_Расчет_аналитики'!BA3460*CapacityAge17*'19_Расчет_аналитики'!$F$3247,0),0)</f>
        <v/>
      </c>
      <c r="BB3572">
        <f>IF('01_Вводные'!$B$234="Да",IF(IF('01_Вводные'!$B$296="Новый сезон",TRUE,TRUE),'19_Расчет_аналитики'!BB3460*CapacityAge17*'19_Расчет_аналитики'!$F$3247,0),0)</f>
        <v/>
      </c>
      <c r="BC3572">
        <f>IF('01_Вводные'!$B$234="Да",IF(IF('01_Вводные'!$B$296="Новый сезон",TRUE,TRUE),'19_Расчет_аналитики'!BC3460*CapacityAge17*'19_Расчет_аналитики'!$F$3247,0),0)</f>
        <v/>
      </c>
      <c r="BD3572">
        <f>IF('01_Вводные'!$B$234="Да",IF(IF('01_Вводные'!$B$296="Новый сезон",TRUE,TRUE),'19_Расчет_аналитики'!BD3460*CapacityAge17*'19_Расчет_аналитики'!$F$3247,0),0)</f>
        <v/>
      </c>
      <c r="BE3572">
        <f>IF('01_Вводные'!$B$234="Да",IF(IF('01_Вводные'!$B$296="Новый сезон",TRUE,TRUE),'19_Расчет_аналитики'!BE3460*CapacityAge17*'19_Расчет_аналитики'!$F$3247,0),0)</f>
        <v/>
      </c>
      <c r="BF3572">
        <f>IF('01_Вводные'!$B$234="Да",IF(IF('01_Вводные'!$B$296="Новый сезон",TRUE,TRUE),'19_Расчет_аналитики'!BF3460*CapacityAge17*'19_Расчет_аналитики'!$F$3247,0),0)</f>
        <v/>
      </c>
      <c r="BG3572">
        <f>IF('01_Вводные'!$B$234="Да",IF(IF('01_Вводные'!$B$296="Новый сезон",TRUE,TRUE),'19_Расчет_аналитики'!BG3460*CapacityAge17*'19_Расчет_аналитики'!$F$3247,0),0)</f>
        <v/>
      </c>
      <c r="BH3572">
        <f>IF('01_Вводные'!$B$234="Да",IF(IF('01_Вводные'!$B$296="Новый сезон",TRUE,TRUE),'19_Расчет_аналитики'!BH3460*CapacityAge17*'19_Расчет_аналитики'!$F$3247,0),0)</f>
        <v/>
      </c>
      <c r="BI3572">
        <f>IF('01_Вводные'!$B$234="Да",IF(IF('01_Вводные'!$B$296="Новый сезон",TRUE,TRUE),'19_Расчет_аналитики'!BI3460*CapacityAge17*'19_Расчет_аналитики'!$F$3247,0),0)</f>
        <v/>
      </c>
      <c r="BJ3572">
        <f>IF('01_Вводные'!$B$234="Да",IF(IF('01_Вводные'!$B$296="Новый сезон",TRUE,TRUE),'19_Расчет_аналитики'!BJ3460*CapacityAge17*'19_Расчет_аналитики'!$F$3247,0),0)</f>
        <v/>
      </c>
      <c r="BK3572">
        <f>IF('01_Вводные'!$B$234="Да",IF(IF('01_Вводные'!$B$296="Новый сезон",TRUE,TRUE),'19_Расчет_аналитики'!BK3460*CapacityAge17*'19_Расчет_аналитики'!$F$3247,0),0)</f>
        <v/>
      </c>
      <c r="BL3572">
        <f>IF('01_Вводные'!$B$234="Да",IF(IF('01_Вводные'!$B$296="Новый сезон",TRUE,TRUE),'19_Расчет_аналитики'!BL3460*CapacityAge17*'19_Расчет_аналитики'!$F$3247,0),0)</f>
        <v/>
      </c>
      <c r="BM3572">
        <f>IF('01_Вводные'!$B$234="Да",IF(IF('01_Вводные'!$B$296="Новый сезон",TRUE,TRUE),'19_Расчет_аналитики'!BM3460*CapacityAge17*'19_Расчет_аналитики'!$F$3247,0),0)</f>
        <v/>
      </c>
      <c r="BN3572">
        <f>IF('01_Вводные'!$B$234="Да",IF(IF('01_Вводные'!$B$296="Новый сезон",TRUE,TRUE),'19_Расчет_аналитики'!BN3460*CapacityAge17*'19_Расчет_аналитики'!$F$3247,0),0)</f>
        <v/>
      </c>
      <c r="BO3572">
        <f>IF('01_Вводные'!$B$234="Да",IF(IF('01_Вводные'!$B$296="Новый сезон",TRUE,TRUE),'19_Расчет_аналитики'!BO3460*CapacityAge17*'19_Расчет_аналитики'!$F$3247,0),0)</f>
        <v/>
      </c>
    </row>
    <row r="3573">
      <c r="B3573">
        <f>IF('01_Вводные'!$B$234="Да",IF(IF('01_Вводные'!$B$296="Новый сезон",TRUE,TRUE),'06_Сеть_и_дети'!B70*CapacityAge18*'19_Расчет_аналитики'!$F$3247,0),0)</f>
        <v/>
      </c>
      <c r="C3573">
        <f>IF('01_Вводные'!$B$234="Да",IF(IF('01_Вводные'!$B$296="Новый сезон",TRUE,TRUE),'06_Сеть_и_дети'!C70*CapacityAge18*'19_Расчет_аналитики'!$F$3247,0),0)</f>
        <v/>
      </c>
      <c r="D3573">
        <f>IF('01_Вводные'!$B$234="Да",IF(IF('01_Вводные'!$B$296="Новый сезон",TRUE,TRUE),'06_Сеть_и_дети'!D70*CapacityAge18*'19_Расчет_аналитики'!$F$3247,0),0)</f>
        <v/>
      </c>
      <c r="E3573">
        <f>IF('01_Вводные'!$B$234="Да",IF(IF('01_Вводные'!$B$296="Новый сезон",TRUE,TRUE),'06_Сеть_и_дети'!E70*CapacityAge18*'19_Расчет_аналитики'!$F$3247,0),0)</f>
        <v/>
      </c>
      <c r="F3573">
        <f>IF('01_Вводные'!$B$234="Да",IF(IF('01_Вводные'!$B$296="Новый сезон",TRUE,TRUE),'06_Сеть_и_дети'!F70*CapacityAge18*'19_Расчет_аналитики'!$F$3247,0),0)</f>
        <v/>
      </c>
      <c r="G3573">
        <f>IF('01_Вводные'!$B$234="Да",IF(IF('01_Вводные'!$B$296="Новый сезон",TRUE,TRUE),'06_Сеть_и_дети'!G70*CapacityAge18*'19_Расчет_аналитики'!$F$3247,0),0)</f>
        <v/>
      </c>
      <c r="H3573">
        <f>IF('01_Вводные'!$B$234="Да",IF(IF('01_Вводные'!$B$296="Новый сезон",TRUE,TRUE),'06_Сеть_и_дети'!H70*CapacityAge18*'19_Расчет_аналитики'!$F$3247,0),0)</f>
        <v/>
      </c>
      <c r="I3573">
        <f>IF('01_Вводные'!$B$234="Да",IF(IF('01_Вводные'!$B$296="Новый сезон",TRUE,TRUE),'06_Сеть_и_дети'!I70*CapacityAge18*'19_Расчет_аналитики'!$F$3247,0),0)</f>
        <v/>
      </c>
      <c r="J3573">
        <f>IF('01_Вводные'!$B$234="Да",IF(IF('01_Вводные'!$B$296="Новый сезон",TRUE,TRUE),'06_Сеть_и_дети'!J70*CapacityAge18*'19_Расчет_аналитики'!$F$3247,0),0)</f>
        <v/>
      </c>
      <c r="K3573">
        <f>IF('01_Вводные'!$B$234="Да",IF(IF('01_Вводные'!$B$296="Новый сезон",TRUE,TRUE),'06_Сеть_и_дети'!K70*CapacityAge18*'19_Расчет_аналитики'!$F$3247,0),0)</f>
        <v/>
      </c>
      <c r="L3573">
        <f>IF('01_Вводные'!$B$234="Да",IF(IF('01_Вводные'!$B$296="Новый сезон",TRUE,TRUE),'06_Сеть_и_дети'!L70*CapacityAge18*'19_Расчет_аналитики'!$F$3247,0),0)</f>
        <v/>
      </c>
      <c r="M3573">
        <f>IF('01_Вводные'!$B$234="Да",IF(IF('01_Вводные'!$B$296="Новый сезон",TRUE,TRUE),'06_Сеть_и_дети'!M70*CapacityAge18*'19_Расчет_аналитики'!$F$3247,0),0)</f>
        <v/>
      </c>
      <c r="N3573">
        <f>IF('01_Вводные'!$B$234="Да",IF(IF('01_Вводные'!$B$296="Новый сезон",TRUE,TRUE),'06_Сеть_и_дети'!N70*CapacityAge18*'19_Расчет_аналитики'!$F$3247,0),0)</f>
        <v/>
      </c>
      <c r="O3573">
        <f>IF('01_Вводные'!$B$234="Да",IF(IF('01_Вводные'!$B$296="Новый сезон",TRUE,TRUE),'06_Сеть_и_дети'!O70*CapacityAge18*'19_Расчет_аналитики'!$F$3247,0),0)</f>
        <v/>
      </c>
      <c r="P3573">
        <f>IF('01_Вводные'!$B$234="Да",IF(IF('01_Вводные'!$B$296="Новый сезон",TRUE,TRUE),'06_Сеть_и_дети'!P70*CapacityAge18*'19_Расчет_аналитики'!$F$3247,0),0)</f>
        <v/>
      </c>
      <c r="Q3573">
        <f>IF('01_Вводные'!$B$234="Да",IF(IF('01_Вводные'!$B$296="Новый сезон",TRUE,TRUE),'06_Сеть_и_дети'!Q70*CapacityAge18*'19_Расчет_аналитики'!$F$3247,0),0)</f>
        <v/>
      </c>
      <c r="R3573">
        <f>IF('01_Вводные'!$B$234="Да",IF(IF('01_Вводные'!$B$296="Новый сезон",TRUE,TRUE),'06_Сеть_и_дети'!R70*CapacityAge18*'19_Расчет_аналитики'!$F$3247,0),0)</f>
        <v/>
      </c>
      <c r="S3573">
        <f>IF('01_Вводные'!$B$234="Да",IF(IF('01_Вводные'!$B$296="Новый сезон",TRUE,TRUE),'19_Расчет_аналитики'!S3461*CapacityAge18*'19_Расчет_аналитики'!$F$3247,0),0)</f>
        <v/>
      </c>
      <c r="T3573">
        <f>IF('01_Вводные'!$B$234="Да",IF(IF('01_Вводные'!$B$296="Новый сезон",TRUE,TRUE),'19_Расчет_аналитики'!T3461*CapacityAge18*'19_Расчет_аналитики'!$F$3247,0),0)</f>
        <v/>
      </c>
      <c r="U3573">
        <f>IF('01_Вводные'!$B$234="Да",IF(IF('01_Вводные'!$B$296="Новый сезон",TRUE,TRUE),'19_Расчет_аналитики'!U3461*CapacityAge18*'19_Расчет_аналитики'!$F$3247,0),0)</f>
        <v/>
      </c>
      <c r="V3573">
        <f>IF('01_Вводные'!$B$234="Да",IF(IF('01_Вводные'!$B$296="Новый сезон",TRUE,TRUE),'19_Расчет_аналитики'!V3461*CapacityAge18*'19_Расчет_аналитики'!$F$3247,0),0)</f>
        <v/>
      </c>
      <c r="W3573">
        <f>IF('01_Вводные'!$B$234="Да",IF(IF('01_Вводные'!$B$296="Новый сезон",TRUE,TRUE),'19_Расчет_аналитики'!W3461*CapacityAge18*'19_Расчет_аналитики'!$F$3247,0),0)</f>
        <v/>
      </c>
      <c r="X3573">
        <f>IF('01_Вводные'!$B$234="Да",IF(IF('01_Вводные'!$B$296="Новый сезон",TRUE,TRUE),'19_Расчет_аналитики'!X3461*CapacityAge18*'19_Расчет_аналитики'!$F$3247,0),0)</f>
        <v/>
      </c>
      <c r="Y3573">
        <f>IF('01_Вводные'!$B$234="Да",IF(IF('01_Вводные'!$B$296="Новый сезон",TRUE,TRUE),'19_Расчет_аналитики'!Y3461*CapacityAge18*'19_Расчет_аналитики'!$F$3247,0),0)</f>
        <v/>
      </c>
      <c r="Z3573">
        <f>IF('01_Вводные'!$B$234="Да",IF(IF('01_Вводные'!$B$296="Новый сезон",TRUE,TRUE),'19_Расчет_аналитики'!Z3461*CapacityAge18*'19_Расчет_аналитики'!$F$3247,0),0)</f>
        <v/>
      </c>
      <c r="AA3573">
        <f>IF('01_Вводные'!$B$234="Да",IF(IF('01_Вводные'!$B$296="Новый сезон",TRUE,TRUE),'19_Расчет_аналитики'!AA3461*CapacityAge18*'19_Расчет_аналитики'!$F$3247,0),0)</f>
        <v/>
      </c>
      <c r="AB3573">
        <f>IF('01_Вводные'!$B$234="Да",IF(IF('01_Вводные'!$B$296="Новый сезон",TRUE,TRUE),'19_Расчет_аналитики'!AB3461*CapacityAge18*'19_Расчет_аналитики'!$F$3247,0),0)</f>
        <v/>
      </c>
      <c r="AC3573">
        <f>IF('01_Вводные'!$B$234="Да",IF(IF('01_Вводные'!$B$296="Новый сезон",TRUE,TRUE),'19_Расчет_аналитики'!AC3461*CapacityAge18*'19_Расчет_аналитики'!$F$3247,0),0)</f>
        <v/>
      </c>
      <c r="AD3573">
        <f>IF('01_Вводные'!$B$234="Да",IF(IF('01_Вводные'!$B$296="Новый сезон",TRUE,TRUE),'19_Расчет_аналитики'!AD3461*CapacityAge18*'19_Расчет_аналитики'!$F$3247,0),0)</f>
        <v/>
      </c>
      <c r="AE3573">
        <f>IF('01_Вводные'!$B$234="Да",IF(IF('01_Вводные'!$B$296="Новый сезон",TRUE,TRUE),'19_Расчет_аналитики'!AE3461*CapacityAge18*'19_Расчет_аналитики'!$F$3247,0),0)</f>
        <v/>
      </c>
      <c r="AF3573">
        <f>IF('01_Вводные'!$B$234="Да",IF(IF('01_Вводные'!$B$296="Новый сезон",TRUE,TRUE),'19_Расчет_аналитики'!AF3461*CapacityAge18*'19_Расчет_аналитики'!$F$3247,0),0)</f>
        <v/>
      </c>
      <c r="AG3573">
        <f>IF('01_Вводные'!$B$234="Да",IF(IF('01_Вводные'!$B$296="Новый сезон",TRUE,TRUE),'19_Расчет_аналитики'!AG3461*CapacityAge18*'19_Расчет_аналитики'!$F$3247,0),0)</f>
        <v/>
      </c>
      <c r="AH3573">
        <f>IF('01_Вводные'!$B$234="Да",IF(IF('01_Вводные'!$B$296="Новый сезон",TRUE,TRUE),'19_Расчет_аналитики'!AH3461*CapacityAge18*'19_Расчет_аналитики'!$F$3247,0),0)</f>
        <v/>
      </c>
      <c r="AI3573">
        <f>IF('01_Вводные'!$B$234="Да",IF(IF('01_Вводные'!$B$296="Новый сезон",TRUE,TRUE),'19_Расчет_аналитики'!AI3461*CapacityAge18*'19_Расчет_аналитики'!$F$3247,0),0)</f>
        <v/>
      </c>
      <c r="AJ3573">
        <f>IF('01_Вводные'!$B$234="Да",IF(IF('01_Вводные'!$B$296="Новый сезон",TRUE,TRUE),'19_Расчет_аналитики'!AJ3461*CapacityAge18*'19_Расчет_аналитики'!$F$3247,0),0)</f>
        <v/>
      </c>
      <c r="AK3573">
        <f>IF('01_Вводные'!$B$234="Да",IF(IF('01_Вводные'!$B$296="Новый сезон",TRUE,TRUE),'19_Расчет_аналитики'!AK3461*CapacityAge18*'19_Расчет_аналитики'!$F$3247,0),0)</f>
        <v/>
      </c>
      <c r="AL3573">
        <f>IF('01_Вводные'!$B$234="Да",IF(IF('01_Вводные'!$B$296="Новый сезон",TRUE,TRUE),'19_Расчет_аналитики'!AL3461*CapacityAge18*'19_Расчет_аналитики'!$F$3247,0),0)</f>
        <v/>
      </c>
      <c r="AM3573">
        <f>IF('01_Вводные'!$B$234="Да",IF(IF('01_Вводные'!$B$296="Новый сезон",TRUE,TRUE),'19_Расчет_аналитики'!AM3461*CapacityAge18*'19_Расчет_аналитики'!$F$3247,0),0)</f>
        <v/>
      </c>
      <c r="AN3573">
        <f>IF('01_Вводные'!$B$234="Да",IF(IF('01_Вводные'!$B$296="Новый сезон",TRUE,TRUE),'19_Расчет_аналитики'!AN3461*CapacityAge18*'19_Расчет_аналитики'!$F$3247,0),0)</f>
        <v/>
      </c>
      <c r="AO3573">
        <f>IF('01_Вводные'!$B$234="Да",IF(IF('01_Вводные'!$B$296="Новый сезон",TRUE,TRUE),'19_Расчет_аналитики'!AO3461*CapacityAge18*'19_Расчет_аналитики'!$F$3247,0),0)</f>
        <v/>
      </c>
      <c r="AP3573">
        <f>IF('01_Вводные'!$B$234="Да",IF(IF('01_Вводные'!$B$296="Новый сезон",TRUE,TRUE),'19_Расчет_аналитики'!AP3461*CapacityAge18*'19_Расчет_аналитики'!$F$3247,0),0)</f>
        <v/>
      </c>
      <c r="AQ3573">
        <f>IF('01_Вводные'!$B$234="Да",IF(IF('01_Вводные'!$B$296="Новый сезон",TRUE,TRUE),'19_Расчет_аналитики'!AQ3461*CapacityAge18*'19_Расчет_аналитики'!$F$3247,0),0)</f>
        <v/>
      </c>
      <c r="AR3573">
        <f>IF('01_Вводные'!$B$234="Да",IF(IF('01_Вводные'!$B$296="Новый сезон",TRUE,TRUE),'19_Расчет_аналитики'!AR3461*CapacityAge18*'19_Расчет_аналитики'!$F$3247,0),0)</f>
        <v/>
      </c>
      <c r="AS3573">
        <f>IF('01_Вводные'!$B$234="Да",IF(IF('01_Вводные'!$B$296="Новый сезон",TRUE,TRUE),'19_Расчет_аналитики'!AS3461*CapacityAge18*'19_Расчет_аналитики'!$F$3247,0),0)</f>
        <v/>
      </c>
      <c r="AT3573">
        <f>IF('01_Вводные'!$B$234="Да",IF(IF('01_Вводные'!$B$296="Новый сезон",TRUE,TRUE),'19_Расчет_аналитики'!AT3461*CapacityAge18*'19_Расчет_аналитики'!$F$3247,0),0)</f>
        <v/>
      </c>
      <c r="AU3573">
        <f>IF('01_Вводные'!$B$234="Да",IF(IF('01_Вводные'!$B$296="Новый сезон",TRUE,TRUE),'19_Расчет_аналитики'!AU3461*CapacityAge18*'19_Расчет_аналитики'!$F$3247,0),0)</f>
        <v/>
      </c>
      <c r="AV3573">
        <f>IF('01_Вводные'!$B$234="Да",IF(IF('01_Вводные'!$B$296="Новый сезон",TRUE,TRUE),'19_Расчет_аналитики'!AV3461*CapacityAge18*'19_Расчет_аналитики'!$F$3247,0),0)</f>
        <v/>
      </c>
      <c r="AW3573">
        <f>IF('01_Вводные'!$B$234="Да",IF(IF('01_Вводные'!$B$296="Новый сезон",TRUE,TRUE),'19_Расчет_аналитики'!AW3461*CapacityAge18*'19_Расчет_аналитики'!$F$3247,0),0)</f>
        <v/>
      </c>
      <c r="AX3573">
        <f>IF('01_Вводные'!$B$234="Да",IF(IF('01_Вводные'!$B$296="Новый сезон",TRUE,TRUE),'19_Расчет_аналитики'!AX3461*CapacityAge18*'19_Расчет_аналитики'!$F$3247,0),0)</f>
        <v/>
      </c>
      <c r="AY3573">
        <f>IF('01_Вводные'!$B$234="Да",IF(IF('01_Вводные'!$B$296="Новый сезон",TRUE,TRUE),'19_Расчет_аналитики'!AY3461*CapacityAge18*'19_Расчет_аналитики'!$F$3247,0),0)</f>
        <v/>
      </c>
      <c r="AZ3573">
        <f>IF('01_Вводные'!$B$234="Да",IF(IF('01_Вводные'!$B$296="Новый сезон",TRUE,TRUE),'19_Расчет_аналитики'!AZ3461*CapacityAge18*'19_Расчет_аналитики'!$F$3247,0),0)</f>
        <v/>
      </c>
      <c r="BA3573">
        <f>IF('01_Вводные'!$B$234="Да",IF(IF('01_Вводные'!$B$296="Новый сезон",TRUE,TRUE),'19_Расчет_аналитики'!BA3461*CapacityAge18*'19_Расчет_аналитики'!$F$3247,0),0)</f>
        <v/>
      </c>
      <c r="BB3573">
        <f>IF('01_Вводные'!$B$234="Да",IF(IF('01_Вводные'!$B$296="Новый сезон",TRUE,TRUE),'19_Расчет_аналитики'!BB3461*CapacityAge18*'19_Расчет_аналитики'!$F$3247,0),0)</f>
        <v/>
      </c>
      <c r="BC3573">
        <f>IF('01_Вводные'!$B$234="Да",IF(IF('01_Вводные'!$B$296="Новый сезон",TRUE,TRUE),'19_Расчет_аналитики'!BC3461*CapacityAge18*'19_Расчет_аналитики'!$F$3247,0),0)</f>
        <v/>
      </c>
      <c r="BD3573">
        <f>IF('01_Вводные'!$B$234="Да",IF(IF('01_Вводные'!$B$296="Новый сезон",TRUE,TRUE),'19_Расчет_аналитики'!BD3461*CapacityAge18*'19_Расчет_аналитики'!$F$3247,0),0)</f>
        <v/>
      </c>
      <c r="BE3573">
        <f>IF('01_Вводные'!$B$234="Да",IF(IF('01_Вводные'!$B$296="Новый сезон",TRUE,TRUE),'19_Расчет_аналитики'!BE3461*CapacityAge18*'19_Расчет_аналитики'!$F$3247,0),0)</f>
        <v/>
      </c>
      <c r="BF3573">
        <f>IF('01_Вводные'!$B$234="Да",IF(IF('01_Вводные'!$B$296="Новый сезон",TRUE,TRUE),'19_Расчет_аналитики'!BF3461*CapacityAge18*'19_Расчет_аналитики'!$F$3247,0),0)</f>
        <v/>
      </c>
      <c r="BG3573">
        <f>IF('01_Вводные'!$B$234="Да",IF(IF('01_Вводные'!$B$296="Новый сезон",TRUE,TRUE),'19_Расчет_аналитики'!BG3461*CapacityAge18*'19_Расчет_аналитики'!$F$3247,0),0)</f>
        <v/>
      </c>
      <c r="BH3573">
        <f>IF('01_Вводные'!$B$234="Да",IF(IF('01_Вводные'!$B$296="Новый сезон",TRUE,TRUE),'19_Расчет_аналитики'!BH3461*CapacityAge18*'19_Расчет_аналитики'!$F$3247,0),0)</f>
        <v/>
      </c>
      <c r="BI3573">
        <f>IF('01_Вводные'!$B$234="Да",IF(IF('01_Вводные'!$B$296="Новый сезон",TRUE,TRUE),'19_Расчет_аналитики'!BI3461*CapacityAge18*'19_Расчет_аналитики'!$F$3247,0),0)</f>
        <v/>
      </c>
      <c r="BJ3573">
        <f>IF('01_Вводные'!$B$234="Да",IF(IF('01_Вводные'!$B$296="Новый сезон",TRUE,TRUE),'19_Расчет_аналитики'!BJ3461*CapacityAge18*'19_Расчет_аналитики'!$F$3247,0),0)</f>
        <v/>
      </c>
      <c r="BK3573">
        <f>IF('01_Вводные'!$B$234="Да",IF(IF('01_Вводные'!$B$296="Новый сезон",TRUE,TRUE),'19_Расчет_аналитики'!BK3461*CapacityAge18*'19_Расчет_аналитики'!$F$3247,0),0)</f>
        <v/>
      </c>
      <c r="BL3573">
        <f>IF('01_Вводные'!$B$234="Да",IF(IF('01_Вводные'!$B$296="Новый сезон",TRUE,TRUE),'19_Расчет_аналитики'!BL3461*CapacityAge18*'19_Расчет_аналитики'!$F$3247,0),0)</f>
        <v/>
      </c>
      <c r="BM3573">
        <f>IF('01_Вводные'!$B$234="Да",IF(IF('01_Вводные'!$B$296="Новый сезон",TRUE,TRUE),'19_Расчет_аналитики'!BM3461*CapacityAge18*'19_Расчет_аналитики'!$F$3247,0),0)</f>
        <v/>
      </c>
      <c r="BN3573">
        <f>IF('01_Вводные'!$B$234="Да",IF(IF('01_Вводные'!$B$296="Новый сезон",TRUE,TRUE),'19_Расчет_аналитики'!BN3461*CapacityAge18*'19_Расчет_аналитики'!$F$3247,0),0)</f>
        <v/>
      </c>
      <c r="BO3573">
        <f>IF('01_Вводные'!$B$234="Да",IF(IF('01_Вводные'!$B$296="Новый сезон",TRUE,TRUE),'19_Расчет_аналитики'!BO3461*CapacityAge18*'19_Расчет_аналитики'!$F$3247,0),0)</f>
        <v/>
      </c>
    </row>
    <row r="3574">
      <c r="B3574">
        <f>IF('01_Вводные'!$B$234="Да",IF(IF('01_Вводные'!$B$296="Новый сезон",TRUE,TRUE),'06_Сеть_и_дети'!B71*CapacityAge19*'19_Расчет_аналитики'!$F$3247,0),0)</f>
        <v/>
      </c>
      <c r="C3574">
        <f>IF('01_Вводные'!$B$234="Да",IF(IF('01_Вводные'!$B$296="Новый сезон",TRUE,TRUE),'06_Сеть_и_дети'!C71*CapacityAge19*'19_Расчет_аналитики'!$F$3247,0),0)</f>
        <v/>
      </c>
      <c r="D3574">
        <f>IF('01_Вводные'!$B$234="Да",IF(IF('01_Вводные'!$B$296="Новый сезон",TRUE,TRUE),'06_Сеть_и_дети'!D71*CapacityAge19*'19_Расчет_аналитики'!$F$3247,0),0)</f>
        <v/>
      </c>
      <c r="E3574">
        <f>IF('01_Вводные'!$B$234="Да",IF(IF('01_Вводные'!$B$296="Новый сезон",TRUE,TRUE),'06_Сеть_и_дети'!E71*CapacityAge19*'19_Расчет_аналитики'!$F$3247,0),0)</f>
        <v/>
      </c>
      <c r="F3574">
        <f>IF('01_Вводные'!$B$234="Да",IF(IF('01_Вводные'!$B$296="Новый сезон",TRUE,TRUE),'06_Сеть_и_дети'!F71*CapacityAge19*'19_Расчет_аналитики'!$F$3247,0),0)</f>
        <v/>
      </c>
      <c r="G3574">
        <f>IF('01_Вводные'!$B$234="Да",IF(IF('01_Вводные'!$B$296="Новый сезон",TRUE,TRUE),'06_Сеть_и_дети'!G71*CapacityAge19*'19_Расчет_аналитики'!$F$3247,0),0)</f>
        <v/>
      </c>
      <c r="H3574">
        <f>IF('01_Вводные'!$B$234="Да",IF(IF('01_Вводные'!$B$296="Новый сезон",TRUE,TRUE),'06_Сеть_и_дети'!H71*CapacityAge19*'19_Расчет_аналитики'!$F$3247,0),0)</f>
        <v/>
      </c>
      <c r="I3574">
        <f>IF('01_Вводные'!$B$234="Да",IF(IF('01_Вводные'!$B$296="Новый сезон",TRUE,TRUE),'06_Сеть_и_дети'!I71*CapacityAge19*'19_Расчет_аналитики'!$F$3247,0),0)</f>
        <v/>
      </c>
      <c r="J3574">
        <f>IF('01_Вводные'!$B$234="Да",IF(IF('01_Вводные'!$B$296="Новый сезон",TRUE,TRUE),'06_Сеть_и_дети'!J71*CapacityAge19*'19_Расчет_аналитики'!$F$3247,0),0)</f>
        <v/>
      </c>
      <c r="K3574">
        <f>IF('01_Вводные'!$B$234="Да",IF(IF('01_Вводные'!$B$296="Новый сезон",TRUE,TRUE),'06_Сеть_и_дети'!K71*CapacityAge19*'19_Расчет_аналитики'!$F$3247,0),0)</f>
        <v/>
      </c>
      <c r="L3574">
        <f>IF('01_Вводные'!$B$234="Да",IF(IF('01_Вводные'!$B$296="Новый сезон",TRUE,TRUE),'06_Сеть_и_дети'!L71*CapacityAge19*'19_Расчет_аналитики'!$F$3247,0),0)</f>
        <v/>
      </c>
      <c r="M3574">
        <f>IF('01_Вводные'!$B$234="Да",IF(IF('01_Вводные'!$B$296="Новый сезон",TRUE,TRUE),'06_Сеть_и_дети'!M71*CapacityAge19*'19_Расчет_аналитики'!$F$3247,0),0)</f>
        <v/>
      </c>
      <c r="N3574">
        <f>IF('01_Вводные'!$B$234="Да",IF(IF('01_Вводные'!$B$296="Новый сезон",TRUE,TRUE),'06_Сеть_и_дети'!N71*CapacityAge19*'19_Расчет_аналитики'!$F$3247,0),0)</f>
        <v/>
      </c>
      <c r="O3574">
        <f>IF('01_Вводные'!$B$234="Да",IF(IF('01_Вводные'!$B$296="Новый сезон",TRUE,TRUE),'06_Сеть_и_дети'!O71*CapacityAge19*'19_Расчет_аналитики'!$F$3247,0),0)</f>
        <v/>
      </c>
      <c r="P3574">
        <f>IF('01_Вводные'!$B$234="Да",IF(IF('01_Вводные'!$B$296="Новый сезон",TRUE,TRUE),'06_Сеть_и_дети'!P71*CapacityAge19*'19_Расчет_аналитики'!$F$3247,0),0)</f>
        <v/>
      </c>
      <c r="Q3574">
        <f>IF('01_Вводные'!$B$234="Да",IF(IF('01_Вводные'!$B$296="Новый сезон",TRUE,TRUE),'06_Сеть_и_дети'!Q71*CapacityAge19*'19_Расчет_аналитики'!$F$3247,0),0)</f>
        <v/>
      </c>
      <c r="R3574">
        <f>IF('01_Вводные'!$B$234="Да",IF(IF('01_Вводные'!$B$296="Новый сезон",TRUE,TRUE),'06_Сеть_и_дети'!R71*CapacityAge19*'19_Расчет_аналитики'!$F$3247,0),0)</f>
        <v/>
      </c>
      <c r="S3574">
        <f>IF('01_Вводные'!$B$234="Да",IF(IF('01_Вводные'!$B$296="Новый сезон",TRUE,TRUE),'06_Сеть_и_дети'!S71*CapacityAge19*'19_Расчет_аналитики'!$F$3247,0),0)</f>
        <v/>
      </c>
      <c r="T3574">
        <f>IF('01_Вводные'!$B$234="Да",IF(IF('01_Вводные'!$B$296="Новый сезон",TRUE,TRUE),'19_Расчет_аналитики'!T3462*CapacityAge19*'19_Расчет_аналитики'!$F$3247,0),0)</f>
        <v/>
      </c>
      <c r="U3574">
        <f>IF('01_Вводные'!$B$234="Да",IF(IF('01_Вводные'!$B$296="Новый сезон",TRUE,TRUE),'19_Расчет_аналитики'!U3462*CapacityAge19*'19_Расчет_аналитики'!$F$3247,0),0)</f>
        <v/>
      </c>
      <c r="V3574">
        <f>IF('01_Вводные'!$B$234="Да",IF(IF('01_Вводные'!$B$296="Новый сезон",TRUE,TRUE),'19_Расчет_аналитики'!V3462*CapacityAge19*'19_Расчет_аналитики'!$F$3247,0),0)</f>
        <v/>
      </c>
      <c r="W3574">
        <f>IF('01_Вводные'!$B$234="Да",IF(IF('01_Вводные'!$B$296="Новый сезон",TRUE,TRUE),'19_Расчет_аналитики'!W3462*CapacityAge19*'19_Расчет_аналитики'!$F$3247,0),0)</f>
        <v/>
      </c>
      <c r="X3574">
        <f>IF('01_Вводные'!$B$234="Да",IF(IF('01_Вводные'!$B$296="Новый сезон",TRUE,TRUE),'19_Расчет_аналитики'!X3462*CapacityAge19*'19_Расчет_аналитики'!$F$3247,0),0)</f>
        <v/>
      </c>
      <c r="Y3574">
        <f>IF('01_Вводные'!$B$234="Да",IF(IF('01_Вводные'!$B$296="Новый сезон",TRUE,TRUE),'19_Расчет_аналитики'!Y3462*CapacityAge19*'19_Расчет_аналитики'!$F$3247,0),0)</f>
        <v/>
      </c>
      <c r="Z3574">
        <f>IF('01_Вводные'!$B$234="Да",IF(IF('01_Вводные'!$B$296="Новый сезон",TRUE,TRUE),'19_Расчет_аналитики'!Z3462*CapacityAge19*'19_Расчет_аналитики'!$F$3247,0),0)</f>
        <v/>
      </c>
      <c r="AA3574">
        <f>IF('01_Вводные'!$B$234="Да",IF(IF('01_Вводные'!$B$296="Новый сезон",TRUE,TRUE),'19_Расчет_аналитики'!AA3462*CapacityAge19*'19_Расчет_аналитики'!$F$3247,0),0)</f>
        <v/>
      </c>
      <c r="AB3574">
        <f>IF('01_Вводные'!$B$234="Да",IF(IF('01_Вводные'!$B$296="Новый сезон",TRUE,TRUE),'19_Расчет_аналитики'!AB3462*CapacityAge19*'19_Расчет_аналитики'!$F$3247,0),0)</f>
        <v/>
      </c>
      <c r="AC3574">
        <f>IF('01_Вводные'!$B$234="Да",IF(IF('01_Вводные'!$B$296="Новый сезон",TRUE,TRUE),'19_Расчет_аналитики'!AC3462*CapacityAge19*'19_Расчет_аналитики'!$F$3247,0),0)</f>
        <v/>
      </c>
      <c r="AD3574">
        <f>IF('01_Вводные'!$B$234="Да",IF(IF('01_Вводные'!$B$296="Новый сезон",TRUE,TRUE),'19_Расчет_аналитики'!AD3462*CapacityAge19*'19_Расчет_аналитики'!$F$3247,0),0)</f>
        <v/>
      </c>
      <c r="AE3574">
        <f>IF('01_Вводные'!$B$234="Да",IF(IF('01_Вводные'!$B$296="Новый сезон",TRUE,TRUE),'19_Расчет_аналитики'!AE3462*CapacityAge19*'19_Расчет_аналитики'!$F$3247,0),0)</f>
        <v/>
      </c>
      <c r="AF3574">
        <f>IF('01_Вводные'!$B$234="Да",IF(IF('01_Вводные'!$B$296="Новый сезон",TRUE,TRUE),'19_Расчет_аналитики'!AF3462*CapacityAge19*'19_Расчет_аналитики'!$F$3247,0),0)</f>
        <v/>
      </c>
      <c r="AG3574">
        <f>IF('01_Вводные'!$B$234="Да",IF(IF('01_Вводные'!$B$296="Новый сезон",TRUE,TRUE),'19_Расчет_аналитики'!AG3462*CapacityAge19*'19_Расчет_аналитики'!$F$3247,0),0)</f>
        <v/>
      </c>
      <c r="AH3574">
        <f>IF('01_Вводные'!$B$234="Да",IF(IF('01_Вводные'!$B$296="Новый сезон",TRUE,TRUE),'19_Расчет_аналитики'!AH3462*CapacityAge19*'19_Расчет_аналитики'!$F$3247,0),0)</f>
        <v/>
      </c>
      <c r="AI3574">
        <f>IF('01_Вводные'!$B$234="Да",IF(IF('01_Вводные'!$B$296="Новый сезон",TRUE,TRUE),'19_Расчет_аналитики'!AI3462*CapacityAge19*'19_Расчет_аналитики'!$F$3247,0),0)</f>
        <v/>
      </c>
      <c r="AJ3574">
        <f>IF('01_Вводные'!$B$234="Да",IF(IF('01_Вводные'!$B$296="Новый сезон",TRUE,TRUE),'19_Расчет_аналитики'!AJ3462*CapacityAge19*'19_Расчет_аналитики'!$F$3247,0),0)</f>
        <v/>
      </c>
      <c r="AK3574">
        <f>IF('01_Вводные'!$B$234="Да",IF(IF('01_Вводные'!$B$296="Новый сезон",TRUE,TRUE),'19_Расчет_аналитики'!AK3462*CapacityAge19*'19_Расчет_аналитики'!$F$3247,0),0)</f>
        <v/>
      </c>
      <c r="AL3574">
        <f>IF('01_Вводные'!$B$234="Да",IF(IF('01_Вводные'!$B$296="Новый сезон",TRUE,TRUE),'19_Расчет_аналитики'!AL3462*CapacityAge19*'19_Расчет_аналитики'!$F$3247,0),0)</f>
        <v/>
      </c>
      <c r="AM3574">
        <f>IF('01_Вводные'!$B$234="Да",IF(IF('01_Вводные'!$B$296="Новый сезон",TRUE,TRUE),'19_Расчет_аналитики'!AM3462*CapacityAge19*'19_Расчет_аналитики'!$F$3247,0),0)</f>
        <v/>
      </c>
      <c r="AN3574">
        <f>IF('01_Вводные'!$B$234="Да",IF(IF('01_Вводные'!$B$296="Новый сезон",TRUE,TRUE),'19_Расчет_аналитики'!AN3462*CapacityAge19*'19_Расчет_аналитики'!$F$3247,0),0)</f>
        <v/>
      </c>
      <c r="AO3574">
        <f>IF('01_Вводные'!$B$234="Да",IF(IF('01_Вводные'!$B$296="Новый сезон",TRUE,TRUE),'19_Расчет_аналитики'!AO3462*CapacityAge19*'19_Расчет_аналитики'!$F$3247,0),0)</f>
        <v/>
      </c>
      <c r="AP3574">
        <f>IF('01_Вводные'!$B$234="Да",IF(IF('01_Вводные'!$B$296="Новый сезон",TRUE,TRUE),'19_Расчет_аналитики'!AP3462*CapacityAge19*'19_Расчет_аналитики'!$F$3247,0),0)</f>
        <v/>
      </c>
      <c r="AQ3574">
        <f>IF('01_Вводные'!$B$234="Да",IF(IF('01_Вводные'!$B$296="Новый сезон",TRUE,TRUE),'19_Расчет_аналитики'!AQ3462*CapacityAge19*'19_Расчет_аналитики'!$F$3247,0),0)</f>
        <v/>
      </c>
      <c r="AR3574">
        <f>IF('01_Вводные'!$B$234="Да",IF(IF('01_Вводные'!$B$296="Новый сезон",TRUE,TRUE),'19_Расчет_аналитики'!AR3462*CapacityAge19*'19_Расчет_аналитики'!$F$3247,0),0)</f>
        <v/>
      </c>
      <c r="AS3574">
        <f>IF('01_Вводные'!$B$234="Да",IF(IF('01_Вводные'!$B$296="Новый сезон",TRUE,TRUE),'19_Расчет_аналитики'!AS3462*CapacityAge19*'19_Расчет_аналитики'!$F$3247,0),0)</f>
        <v/>
      </c>
      <c r="AT3574">
        <f>IF('01_Вводные'!$B$234="Да",IF(IF('01_Вводные'!$B$296="Новый сезон",TRUE,TRUE),'19_Расчет_аналитики'!AT3462*CapacityAge19*'19_Расчет_аналитики'!$F$3247,0),0)</f>
        <v/>
      </c>
      <c r="AU3574">
        <f>IF('01_Вводные'!$B$234="Да",IF(IF('01_Вводные'!$B$296="Новый сезон",TRUE,TRUE),'19_Расчет_аналитики'!AU3462*CapacityAge19*'19_Расчет_аналитики'!$F$3247,0),0)</f>
        <v/>
      </c>
      <c r="AV3574">
        <f>IF('01_Вводные'!$B$234="Да",IF(IF('01_Вводные'!$B$296="Новый сезон",TRUE,TRUE),'19_Расчет_аналитики'!AV3462*CapacityAge19*'19_Расчет_аналитики'!$F$3247,0),0)</f>
        <v/>
      </c>
      <c r="AW3574">
        <f>IF('01_Вводные'!$B$234="Да",IF(IF('01_Вводные'!$B$296="Новый сезон",TRUE,TRUE),'19_Расчет_аналитики'!AW3462*CapacityAge19*'19_Расчет_аналитики'!$F$3247,0),0)</f>
        <v/>
      </c>
      <c r="AX3574">
        <f>IF('01_Вводные'!$B$234="Да",IF(IF('01_Вводные'!$B$296="Новый сезон",TRUE,TRUE),'19_Расчет_аналитики'!AX3462*CapacityAge19*'19_Расчет_аналитики'!$F$3247,0),0)</f>
        <v/>
      </c>
      <c r="AY3574">
        <f>IF('01_Вводные'!$B$234="Да",IF(IF('01_Вводные'!$B$296="Новый сезон",TRUE,TRUE),'19_Расчет_аналитики'!AY3462*CapacityAge19*'19_Расчет_аналитики'!$F$3247,0),0)</f>
        <v/>
      </c>
      <c r="AZ3574">
        <f>IF('01_Вводные'!$B$234="Да",IF(IF('01_Вводные'!$B$296="Новый сезон",TRUE,TRUE),'19_Расчет_аналитики'!AZ3462*CapacityAge19*'19_Расчет_аналитики'!$F$3247,0),0)</f>
        <v/>
      </c>
      <c r="BA3574">
        <f>IF('01_Вводные'!$B$234="Да",IF(IF('01_Вводные'!$B$296="Новый сезон",TRUE,TRUE),'19_Расчет_аналитики'!BA3462*CapacityAge19*'19_Расчет_аналитики'!$F$3247,0),0)</f>
        <v/>
      </c>
      <c r="BB3574">
        <f>IF('01_Вводные'!$B$234="Да",IF(IF('01_Вводные'!$B$296="Новый сезон",TRUE,TRUE),'19_Расчет_аналитики'!BB3462*CapacityAge19*'19_Расчет_аналитики'!$F$3247,0),0)</f>
        <v/>
      </c>
      <c r="BC3574">
        <f>IF('01_Вводные'!$B$234="Да",IF(IF('01_Вводные'!$B$296="Новый сезон",TRUE,TRUE),'19_Расчет_аналитики'!BC3462*CapacityAge19*'19_Расчет_аналитики'!$F$3247,0),0)</f>
        <v/>
      </c>
      <c r="BD3574">
        <f>IF('01_Вводные'!$B$234="Да",IF(IF('01_Вводные'!$B$296="Новый сезон",TRUE,TRUE),'19_Расчет_аналитики'!BD3462*CapacityAge19*'19_Расчет_аналитики'!$F$3247,0),0)</f>
        <v/>
      </c>
      <c r="BE3574">
        <f>IF('01_Вводные'!$B$234="Да",IF(IF('01_Вводные'!$B$296="Новый сезон",TRUE,TRUE),'19_Расчет_аналитики'!BE3462*CapacityAge19*'19_Расчет_аналитики'!$F$3247,0),0)</f>
        <v/>
      </c>
      <c r="BF3574">
        <f>IF('01_Вводные'!$B$234="Да",IF(IF('01_Вводные'!$B$296="Новый сезон",TRUE,TRUE),'19_Расчет_аналитики'!BF3462*CapacityAge19*'19_Расчет_аналитики'!$F$3247,0),0)</f>
        <v/>
      </c>
      <c r="BG3574">
        <f>IF('01_Вводные'!$B$234="Да",IF(IF('01_Вводные'!$B$296="Новый сезон",TRUE,TRUE),'19_Расчет_аналитики'!BG3462*CapacityAge19*'19_Расчет_аналитики'!$F$3247,0),0)</f>
        <v/>
      </c>
      <c r="BH3574">
        <f>IF('01_Вводные'!$B$234="Да",IF(IF('01_Вводные'!$B$296="Новый сезон",TRUE,TRUE),'19_Расчет_аналитики'!BH3462*CapacityAge19*'19_Расчет_аналитики'!$F$3247,0),0)</f>
        <v/>
      </c>
      <c r="BI3574">
        <f>IF('01_Вводные'!$B$234="Да",IF(IF('01_Вводные'!$B$296="Новый сезон",TRUE,TRUE),'19_Расчет_аналитики'!BI3462*CapacityAge19*'19_Расчет_аналитики'!$F$3247,0),0)</f>
        <v/>
      </c>
      <c r="BJ3574">
        <f>IF('01_Вводные'!$B$234="Да",IF(IF('01_Вводные'!$B$296="Новый сезон",TRUE,TRUE),'19_Расчет_аналитики'!BJ3462*CapacityAge19*'19_Расчет_аналитики'!$F$3247,0),0)</f>
        <v/>
      </c>
      <c r="BK3574">
        <f>IF('01_Вводные'!$B$234="Да",IF(IF('01_Вводные'!$B$296="Новый сезон",TRUE,TRUE),'19_Расчет_аналитики'!BK3462*CapacityAge19*'19_Расчет_аналитики'!$F$3247,0),0)</f>
        <v/>
      </c>
      <c r="BL3574">
        <f>IF('01_Вводные'!$B$234="Да",IF(IF('01_Вводные'!$B$296="Новый сезон",TRUE,TRUE),'19_Расчет_аналитики'!BL3462*CapacityAge19*'19_Расчет_аналитики'!$F$3247,0),0)</f>
        <v/>
      </c>
      <c r="BM3574">
        <f>IF('01_Вводные'!$B$234="Да",IF(IF('01_Вводные'!$B$296="Новый сезон",TRUE,TRUE),'19_Расчет_аналитики'!BM3462*CapacityAge19*'19_Расчет_аналитики'!$F$3247,0),0)</f>
        <v/>
      </c>
      <c r="BN3574">
        <f>IF('01_Вводные'!$B$234="Да",IF(IF('01_Вводные'!$B$296="Новый сезон",TRUE,TRUE),'19_Расчет_аналитики'!BN3462*CapacityAge19*'19_Расчет_аналитики'!$F$3247,0),0)</f>
        <v/>
      </c>
      <c r="BO3574">
        <f>IF('01_Вводные'!$B$234="Да",IF(IF('01_Вводные'!$B$296="Новый сезон",TRUE,TRUE),'19_Расчет_аналитики'!BO3462*CapacityAge19*'19_Расчет_аналитики'!$F$3247,0),0)</f>
        <v/>
      </c>
    </row>
    <row r="3575">
      <c r="B3575">
        <f>IF('01_Вводные'!$B$234="Да",IF(IF('01_Вводные'!$B$296="Новый сезон",TRUE,TRUE),'06_Сеть_и_дети'!B72*CapacityAge20*'19_Расчет_аналитики'!$F$3247,0),0)</f>
        <v/>
      </c>
      <c r="C3575">
        <f>IF('01_Вводные'!$B$234="Да",IF(IF('01_Вводные'!$B$296="Новый сезон",TRUE,TRUE),'06_Сеть_и_дети'!C72*CapacityAge20*'19_Расчет_аналитики'!$F$3247,0),0)</f>
        <v/>
      </c>
      <c r="D3575">
        <f>IF('01_Вводные'!$B$234="Да",IF(IF('01_Вводные'!$B$296="Новый сезон",TRUE,TRUE),'06_Сеть_и_дети'!D72*CapacityAge20*'19_Расчет_аналитики'!$F$3247,0),0)</f>
        <v/>
      </c>
      <c r="E3575">
        <f>IF('01_Вводные'!$B$234="Да",IF(IF('01_Вводные'!$B$296="Новый сезон",TRUE,TRUE),'06_Сеть_и_дети'!E72*CapacityAge20*'19_Расчет_аналитики'!$F$3247,0),0)</f>
        <v/>
      </c>
      <c r="F3575">
        <f>IF('01_Вводные'!$B$234="Да",IF(IF('01_Вводные'!$B$296="Новый сезон",TRUE,TRUE),'06_Сеть_и_дети'!F72*CapacityAge20*'19_Расчет_аналитики'!$F$3247,0),0)</f>
        <v/>
      </c>
      <c r="G3575">
        <f>IF('01_Вводные'!$B$234="Да",IF(IF('01_Вводные'!$B$296="Новый сезон",TRUE,TRUE),'06_Сеть_и_дети'!G72*CapacityAge20*'19_Расчет_аналитики'!$F$3247,0),0)</f>
        <v/>
      </c>
      <c r="H3575">
        <f>IF('01_Вводные'!$B$234="Да",IF(IF('01_Вводные'!$B$296="Новый сезон",TRUE,TRUE),'06_Сеть_и_дети'!H72*CapacityAge20*'19_Расчет_аналитики'!$F$3247,0),0)</f>
        <v/>
      </c>
      <c r="I3575">
        <f>IF('01_Вводные'!$B$234="Да",IF(IF('01_Вводные'!$B$296="Новый сезон",TRUE,TRUE),'06_Сеть_и_дети'!I72*CapacityAge20*'19_Расчет_аналитики'!$F$3247,0),0)</f>
        <v/>
      </c>
      <c r="J3575">
        <f>IF('01_Вводные'!$B$234="Да",IF(IF('01_Вводные'!$B$296="Новый сезон",TRUE,TRUE),'06_Сеть_и_дети'!J72*CapacityAge20*'19_Расчет_аналитики'!$F$3247,0),0)</f>
        <v/>
      </c>
      <c r="K3575">
        <f>IF('01_Вводные'!$B$234="Да",IF(IF('01_Вводные'!$B$296="Новый сезон",TRUE,TRUE),'06_Сеть_и_дети'!K72*CapacityAge20*'19_Расчет_аналитики'!$F$3247,0),0)</f>
        <v/>
      </c>
      <c r="L3575">
        <f>IF('01_Вводные'!$B$234="Да",IF(IF('01_Вводные'!$B$296="Новый сезон",TRUE,TRUE),'06_Сеть_и_дети'!L72*CapacityAge20*'19_Расчет_аналитики'!$F$3247,0),0)</f>
        <v/>
      </c>
      <c r="M3575">
        <f>IF('01_Вводные'!$B$234="Да",IF(IF('01_Вводные'!$B$296="Новый сезон",TRUE,TRUE),'06_Сеть_и_дети'!M72*CapacityAge20*'19_Расчет_аналитики'!$F$3247,0),0)</f>
        <v/>
      </c>
      <c r="N3575">
        <f>IF('01_Вводные'!$B$234="Да",IF(IF('01_Вводные'!$B$296="Новый сезон",TRUE,TRUE),'06_Сеть_и_дети'!N72*CapacityAge20*'19_Расчет_аналитики'!$F$3247,0),0)</f>
        <v/>
      </c>
      <c r="O3575">
        <f>IF('01_Вводные'!$B$234="Да",IF(IF('01_Вводные'!$B$296="Новый сезон",TRUE,TRUE),'06_Сеть_и_дети'!O72*CapacityAge20*'19_Расчет_аналитики'!$F$3247,0),0)</f>
        <v/>
      </c>
      <c r="P3575">
        <f>IF('01_Вводные'!$B$234="Да",IF(IF('01_Вводные'!$B$296="Новый сезон",TRUE,TRUE),'06_Сеть_и_дети'!P72*CapacityAge20*'19_Расчет_аналитики'!$F$3247,0),0)</f>
        <v/>
      </c>
      <c r="Q3575">
        <f>IF('01_Вводные'!$B$234="Да",IF(IF('01_Вводные'!$B$296="Новый сезон",TRUE,TRUE),'06_Сеть_и_дети'!Q72*CapacityAge20*'19_Расчет_аналитики'!$F$3247,0),0)</f>
        <v/>
      </c>
      <c r="R3575">
        <f>IF('01_Вводные'!$B$234="Да",IF(IF('01_Вводные'!$B$296="Новый сезон",TRUE,TRUE),'06_Сеть_и_дети'!R72*CapacityAge20*'19_Расчет_аналитики'!$F$3247,0),0)</f>
        <v/>
      </c>
      <c r="S3575">
        <f>IF('01_Вводные'!$B$234="Да",IF(IF('01_Вводные'!$B$296="Новый сезон",TRUE,TRUE),'06_Сеть_и_дети'!S72*CapacityAge20*'19_Расчет_аналитики'!$F$3247,0),0)</f>
        <v/>
      </c>
      <c r="T3575">
        <f>IF('01_Вводные'!$B$234="Да",IF(IF('01_Вводные'!$B$296="Новый сезон",TRUE,TRUE),'06_Сеть_и_дети'!T72*CapacityAge20*'19_Расчет_аналитики'!$F$3247,0),0)</f>
        <v/>
      </c>
      <c r="U3575">
        <f>IF('01_Вводные'!$B$234="Да",IF(IF('01_Вводные'!$B$296="Новый сезон",TRUE,TRUE),'19_Расчет_аналитики'!U3463*CapacityAge20*'19_Расчет_аналитики'!$F$3247,0),0)</f>
        <v/>
      </c>
      <c r="V3575">
        <f>IF('01_Вводные'!$B$234="Да",IF(IF('01_Вводные'!$B$296="Новый сезон",TRUE,TRUE),'19_Расчет_аналитики'!V3463*CapacityAge20*'19_Расчет_аналитики'!$F$3247,0),0)</f>
        <v/>
      </c>
      <c r="W3575">
        <f>IF('01_Вводные'!$B$234="Да",IF(IF('01_Вводные'!$B$296="Новый сезон",TRUE,TRUE),'19_Расчет_аналитики'!W3463*CapacityAge20*'19_Расчет_аналитики'!$F$3247,0),0)</f>
        <v/>
      </c>
      <c r="X3575">
        <f>IF('01_Вводные'!$B$234="Да",IF(IF('01_Вводные'!$B$296="Новый сезон",TRUE,TRUE),'19_Расчет_аналитики'!X3463*CapacityAge20*'19_Расчет_аналитики'!$F$3247,0),0)</f>
        <v/>
      </c>
      <c r="Y3575">
        <f>IF('01_Вводные'!$B$234="Да",IF(IF('01_Вводные'!$B$296="Новый сезон",TRUE,TRUE),'19_Расчет_аналитики'!Y3463*CapacityAge20*'19_Расчет_аналитики'!$F$3247,0),0)</f>
        <v/>
      </c>
      <c r="Z3575">
        <f>IF('01_Вводные'!$B$234="Да",IF(IF('01_Вводные'!$B$296="Новый сезон",TRUE,TRUE),'19_Расчет_аналитики'!Z3463*CapacityAge20*'19_Расчет_аналитики'!$F$3247,0),0)</f>
        <v/>
      </c>
      <c r="AA3575">
        <f>IF('01_Вводные'!$B$234="Да",IF(IF('01_Вводные'!$B$296="Новый сезон",TRUE,TRUE),'19_Расчет_аналитики'!AA3463*CapacityAge20*'19_Расчет_аналитики'!$F$3247,0),0)</f>
        <v/>
      </c>
      <c r="AB3575">
        <f>IF('01_Вводные'!$B$234="Да",IF(IF('01_Вводные'!$B$296="Новый сезон",TRUE,TRUE),'19_Расчет_аналитики'!AB3463*CapacityAge20*'19_Расчет_аналитики'!$F$3247,0),0)</f>
        <v/>
      </c>
      <c r="AC3575">
        <f>IF('01_Вводные'!$B$234="Да",IF(IF('01_Вводные'!$B$296="Новый сезон",TRUE,TRUE),'19_Расчет_аналитики'!AC3463*CapacityAge20*'19_Расчет_аналитики'!$F$3247,0),0)</f>
        <v/>
      </c>
      <c r="AD3575">
        <f>IF('01_Вводные'!$B$234="Да",IF(IF('01_Вводные'!$B$296="Новый сезон",TRUE,TRUE),'19_Расчет_аналитики'!AD3463*CapacityAge20*'19_Расчет_аналитики'!$F$3247,0),0)</f>
        <v/>
      </c>
      <c r="AE3575">
        <f>IF('01_Вводные'!$B$234="Да",IF(IF('01_Вводные'!$B$296="Новый сезон",TRUE,TRUE),'19_Расчет_аналитики'!AE3463*CapacityAge20*'19_Расчет_аналитики'!$F$3247,0),0)</f>
        <v/>
      </c>
      <c r="AF3575">
        <f>IF('01_Вводные'!$B$234="Да",IF(IF('01_Вводные'!$B$296="Новый сезон",TRUE,TRUE),'19_Расчет_аналитики'!AF3463*CapacityAge20*'19_Расчет_аналитики'!$F$3247,0),0)</f>
        <v/>
      </c>
      <c r="AG3575">
        <f>IF('01_Вводные'!$B$234="Да",IF(IF('01_Вводные'!$B$296="Новый сезон",TRUE,TRUE),'19_Расчет_аналитики'!AG3463*CapacityAge20*'19_Расчет_аналитики'!$F$3247,0),0)</f>
        <v/>
      </c>
      <c r="AH3575">
        <f>IF('01_Вводные'!$B$234="Да",IF(IF('01_Вводные'!$B$296="Новый сезон",TRUE,TRUE),'19_Расчет_аналитики'!AH3463*CapacityAge20*'19_Расчет_аналитики'!$F$3247,0),0)</f>
        <v/>
      </c>
      <c r="AI3575">
        <f>IF('01_Вводные'!$B$234="Да",IF(IF('01_Вводные'!$B$296="Новый сезон",TRUE,TRUE),'19_Расчет_аналитики'!AI3463*CapacityAge20*'19_Расчет_аналитики'!$F$3247,0),0)</f>
        <v/>
      </c>
      <c r="AJ3575">
        <f>IF('01_Вводные'!$B$234="Да",IF(IF('01_Вводные'!$B$296="Новый сезон",TRUE,TRUE),'19_Расчет_аналитики'!AJ3463*CapacityAge20*'19_Расчет_аналитики'!$F$3247,0),0)</f>
        <v/>
      </c>
      <c r="AK3575">
        <f>IF('01_Вводные'!$B$234="Да",IF(IF('01_Вводные'!$B$296="Новый сезон",TRUE,TRUE),'19_Расчет_аналитики'!AK3463*CapacityAge20*'19_Расчет_аналитики'!$F$3247,0),0)</f>
        <v/>
      </c>
      <c r="AL3575">
        <f>IF('01_Вводные'!$B$234="Да",IF(IF('01_Вводные'!$B$296="Новый сезон",TRUE,TRUE),'19_Расчет_аналитики'!AL3463*CapacityAge20*'19_Расчет_аналитики'!$F$3247,0),0)</f>
        <v/>
      </c>
      <c r="AM3575">
        <f>IF('01_Вводные'!$B$234="Да",IF(IF('01_Вводные'!$B$296="Новый сезон",TRUE,TRUE),'19_Расчет_аналитики'!AM3463*CapacityAge20*'19_Расчет_аналитики'!$F$3247,0),0)</f>
        <v/>
      </c>
      <c r="AN3575">
        <f>IF('01_Вводные'!$B$234="Да",IF(IF('01_Вводные'!$B$296="Новый сезон",TRUE,TRUE),'19_Расчет_аналитики'!AN3463*CapacityAge20*'19_Расчет_аналитики'!$F$3247,0),0)</f>
        <v/>
      </c>
      <c r="AO3575">
        <f>IF('01_Вводные'!$B$234="Да",IF(IF('01_Вводные'!$B$296="Новый сезон",TRUE,TRUE),'19_Расчет_аналитики'!AO3463*CapacityAge20*'19_Расчет_аналитики'!$F$3247,0),0)</f>
        <v/>
      </c>
      <c r="AP3575">
        <f>IF('01_Вводные'!$B$234="Да",IF(IF('01_Вводные'!$B$296="Новый сезон",TRUE,TRUE),'19_Расчет_аналитики'!AP3463*CapacityAge20*'19_Расчет_аналитики'!$F$3247,0),0)</f>
        <v/>
      </c>
      <c r="AQ3575">
        <f>IF('01_Вводные'!$B$234="Да",IF(IF('01_Вводные'!$B$296="Новый сезон",TRUE,TRUE),'19_Расчет_аналитики'!AQ3463*CapacityAge20*'19_Расчет_аналитики'!$F$3247,0),0)</f>
        <v/>
      </c>
      <c r="AR3575">
        <f>IF('01_Вводные'!$B$234="Да",IF(IF('01_Вводные'!$B$296="Новый сезон",TRUE,TRUE),'19_Расчет_аналитики'!AR3463*CapacityAge20*'19_Расчет_аналитики'!$F$3247,0),0)</f>
        <v/>
      </c>
      <c r="AS3575">
        <f>IF('01_Вводные'!$B$234="Да",IF(IF('01_Вводные'!$B$296="Новый сезон",TRUE,TRUE),'19_Расчет_аналитики'!AS3463*CapacityAge20*'19_Расчет_аналитики'!$F$3247,0),0)</f>
        <v/>
      </c>
      <c r="AT3575">
        <f>IF('01_Вводные'!$B$234="Да",IF(IF('01_Вводные'!$B$296="Новый сезон",TRUE,TRUE),'19_Расчет_аналитики'!AT3463*CapacityAge20*'19_Расчет_аналитики'!$F$3247,0),0)</f>
        <v/>
      </c>
      <c r="AU3575">
        <f>IF('01_Вводные'!$B$234="Да",IF(IF('01_Вводные'!$B$296="Новый сезон",TRUE,TRUE),'19_Расчет_аналитики'!AU3463*CapacityAge20*'19_Расчет_аналитики'!$F$3247,0),0)</f>
        <v/>
      </c>
      <c r="AV3575">
        <f>IF('01_Вводные'!$B$234="Да",IF(IF('01_Вводные'!$B$296="Новый сезон",TRUE,TRUE),'19_Расчет_аналитики'!AV3463*CapacityAge20*'19_Расчет_аналитики'!$F$3247,0),0)</f>
        <v/>
      </c>
      <c r="AW3575">
        <f>IF('01_Вводные'!$B$234="Да",IF(IF('01_Вводные'!$B$296="Новый сезон",TRUE,TRUE),'19_Расчет_аналитики'!AW3463*CapacityAge20*'19_Расчет_аналитики'!$F$3247,0),0)</f>
        <v/>
      </c>
      <c r="AX3575">
        <f>IF('01_Вводные'!$B$234="Да",IF(IF('01_Вводные'!$B$296="Новый сезон",TRUE,TRUE),'19_Расчет_аналитики'!AX3463*CapacityAge20*'19_Расчет_аналитики'!$F$3247,0),0)</f>
        <v/>
      </c>
      <c r="AY3575">
        <f>IF('01_Вводные'!$B$234="Да",IF(IF('01_Вводные'!$B$296="Новый сезон",TRUE,TRUE),'19_Расчет_аналитики'!AY3463*CapacityAge20*'19_Расчет_аналитики'!$F$3247,0),0)</f>
        <v/>
      </c>
      <c r="AZ3575">
        <f>IF('01_Вводные'!$B$234="Да",IF(IF('01_Вводные'!$B$296="Новый сезон",TRUE,TRUE),'19_Расчет_аналитики'!AZ3463*CapacityAge20*'19_Расчет_аналитики'!$F$3247,0),0)</f>
        <v/>
      </c>
      <c r="BA3575">
        <f>IF('01_Вводные'!$B$234="Да",IF(IF('01_Вводные'!$B$296="Новый сезон",TRUE,TRUE),'19_Расчет_аналитики'!BA3463*CapacityAge20*'19_Расчет_аналитики'!$F$3247,0),0)</f>
        <v/>
      </c>
      <c r="BB3575">
        <f>IF('01_Вводные'!$B$234="Да",IF(IF('01_Вводные'!$B$296="Новый сезон",TRUE,TRUE),'19_Расчет_аналитики'!BB3463*CapacityAge20*'19_Расчет_аналитики'!$F$3247,0),0)</f>
        <v/>
      </c>
      <c r="BC3575">
        <f>IF('01_Вводные'!$B$234="Да",IF(IF('01_Вводные'!$B$296="Новый сезон",TRUE,TRUE),'19_Расчет_аналитики'!BC3463*CapacityAge20*'19_Расчет_аналитики'!$F$3247,0),0)</f>
        <v/>
      </c>
      <c r="BD3575">
        <f>IF('01_Вводные'!$B$234="Да",IF(IF('01_Вводные'!$B$296="Новый сезон",TRUE,TRUE),'19_Расчет_аналитики'!BD3463*CapacityAge20*'19_Расчет_аналитики'!$F$3247,0),0)</f>
        <v/>
      </c>
      <c r="BE3575">
        <f>IF('01_Вводные'!$B$234="Да",IF(IF('01_Вводные'!$B$296="Новый сезон",TRUE,TRUE),'19_Расчет_аналитики'!BE3463*CapacityAge20*'19_Расчет_аналитики'!$F$3247,0),0)</f>
        <v/>
      </c>
      <c r="BF3575">
        <f>IF('01_Вводные'!$B$234="Да",IF(IF('01_Вводные'!$B$296="Новый сезон",TRUE,TRUE),'19_Расчет_аналитики'!BF3463*CapacityAge20*'19_Расчет_аналитики'!$F$3247,0),0)</f>
        <v/>
      </c>
      <c r="BG3575">
        <f>IF('01_Вводные'!$B$234="Да",IF(IF('01_Вводные'!$B$296="Новый сезон",TRUE,TRUE),'19_Расчет_аналитики'!BG3463*CapacityAge20*'19_Расчет_аналитики'!$F$3247,0),0)</f>
        <v/>
      </c>
      <c r="BH3575">
        <f>IF('01_Вводные'!$B$234="Да",IF(IF('01_Вводные'!$B$296="Новый сезон",TRUE,TRUE),'19_Расчет_аналитики'!BH3463*CapacityAge20*'19_Расчет_аналитики'!$F$3247,0),0)</f>
        <v/>
      </c>
      <c r="BI3575">
        <f>IF('01_Вводные'!$B$234="Да",IF(IF('01_Вводные'!$B$296="Новый сезон",TRUE,TRUE),'19_Расчет_аналитики'!BI3463*CapacityAge20*'19_Расчет_аналитики'!$F$3247,0),0)</f>
        <v/>
      </c>
      <c r="BJ3575">
        <f>IF('01_Вводные'!$B$234="Да",IF(IF('01_Вводные'!$B$296="Новый сезон",TRUE,TRUE),'19_Расчет_аналитики'!BJ3463*CapacityAge20*'19_Расчет_аналитики'!$F$3247,0),0)</f>
        <v/>
      </c>
      <c r="BK3575">
        <f>IF('01_Вводные'!$B$234="Да",IF(IF('01_Вводные'!$B$296="Новый сезон",TRUE,TRUE),'19_Расчет_аналитики'!BK3463*CapacityAge20*'19_Расчет_аналитики'!$F$3247,0),0)</f>
        <v/>
      </c>
      <c r="BL3575">
        <f>IF('01_Вводные'!$B$234="Да",IF(IF('01_Вводные'!$B$296="Новый сезон",TRUE,TRUE),'19_Расчет_аналитики'!BL3463*CapacityAge20*'19_Расчет_аналитики'!$F$3247,0),0)</f>
        <v/>
      </c>
      <c r="BM3575">
        <f>IF('01_Вводные'!$B$234="Да",IF(IF('01_Вводные'!$B$296="Новый сезон",TRUE,TRUE),'19_Расчет_аналитики'!BM3463*CapacityAge20*'19_Расчет_аналитики'!$F$3247,0),0)</f>
        <v/>
      </c>
      <c r="BN3575">
        <f>IF('01_Вводные'!$B$234="Да",IF(IF('01_Вводные'!$B$296="Новый сезон",TRUE,TRUE),'19_Расчет_аналитики'!BN3463*CapacityAge20*'19_Расчет_аналитики'!$F$3247,0),0)</f>
        <v/>
      </c>
      <c r="BO3575">
        <f>IF('01_Вводные'!$B$234="Да",IF(IF('01_Вводные'!$B$296="Новый сезон",TRUE,TRUE),'19_Расчет_аналитики'!BO3463*CapacityAge20*'19_Расчет_аналитики'!$F$3247,0),0)</f>
        <v/>
      </c>
    </row>
    <row r="3576">
      <c r="B3576">
        <f>IF('01_Вводные'!$B$234="Да",IF(IF('01_Вводные'!$B$296="Новый сезон",TRUE,TRUE),'06_Сеть_и_дети'!B73*CapacityAge21*'19_Расчет_аналитики'!$F$3247,0),0)</f>
        <v/>
      </c>
      <c r="C3576">
        <f>IF('01_Вводные'!$B$234="Да",IF(IF('01_Вводные'!$B$296="Новый сезон",TRUE,TRUE),'06_Сеть_и_дети'!C73*CapacityAge21*'19_Расчет_аналитики'!$F$3247,0),0)</f>
        <v/>
      </c>
      <c r="D3576">
        <f>IF('01_Вводные'!$B$234="Да",IF(IF('01_Вводные'!$B$296="Новый сезон",TRUE,TRUE),'06_Сеть_и_дети'!D73*CapacityAge21*'19_Расчет_аналитики'!$F$3247,0),0)</f>
        <v/>
      </c>
      <c r="E3576">
        <f>IF('01_Вводные'!$B$234="Да",IF(IF('01_Вводные'!$B$296="Новый сезон",TRUE,TRUE),'06_Сеть_и_дети'!E73*CapacityAge21*'19_Расчет_аналитики'!$F$3247,0),0)</f>
        <v/>
      </c>
      <c r="F3576">
        <f>IF('01_Вводные'!$B$234="Да",IF(IF('01_Вводные'!$B$296="Новый сезон",TRUE,TRUE),'06_Сеть_и_дети'!F73*CapacityAge21*'19_Расчет_аналитики'!$F$3247,0),0)</f>
        <v/>
      </c>
      <c r="G3576">
        <f>IF('01_Вводные'!$B$234="Да",IF(IF('01_Вводные'!$B$296="Новый сезон",TRUE,TRUE),'06_Сеть_и_дети'!G73*CapacityAge21*'19_Расчет_аналитики'!$F$3247,0),0)</f>
        <v/>
      </c>
      <c r="H3576">
        <f>IF('01_Вводные'!$B$234="Да",IF(IF('01_Вводные'!$B$296="Новый сезон",TRUE,TRUE),'06_Сеть_и_дети'!H73*CapacityAge21*'19_Расчет_аналитики'!$F$3247,0),0)</f>
        <v/>
      </c>
      <c r="I3576">
        <f>IF('01_Вводные'!$B$234="Да",IF(IF('01_Вводные'!$B$296="Новый сезон",TRUE,TRUE),'06_Сеть_и_дети'!I73*CapacityAge21*'19_Расчет_аналитики'!$F$3247,0),0)</f>
        <v/>
      </c>
      <c r="J3576">
        <f>IF('01_Вводные'!$B$234="Да",IF(IF('01_Вводные'!$B$296="Новый сезон",TRUE,TRUE),'06_Сеть_и_дети'!J73*CapacityAge21*'19_Расчет_аналитики'!$F$3247,0),0)</f>
        <v/>
      </c>
      <c r="K3576">
        <f>IF('01_Вводные'!$B$234="Да",IF(IF('01_Вводные'!$B$296="Новый сезон",TRUE,TRUE),'06_Сеть_и_дети'!K73*CapacityAge21*'19_Расчет_аналитики'!$F$3247,0),0)</f>
        <v/>
      </c>
      <c r="L3576">
        <f>IF('01_Вводные'!$B$234="Да",IF(IF('01_Вводные'!$B$296="Новый сезон",TRUE,TRUE),'06_Сеть_и_дети'!L73*CapacityAge21*'19_Расчет_аналитики'!$F$3247,0),0)</f>
        <v/>
      </c>
      <c r="M3576">
        <f>IF('01_Вводные'!$B$234="Да",IF(IF('01_Вводные'!$B$296="Новый сезон",TRUE,TRUE),'06_Сеть_и_дети'!M73*CapacityAge21*'19_Расчет_аналитики'!$F$3247,0),0)</f>
        <v/>
      </c>
      <c r="N3576">
        <f>IF('01_Вводные'!$B$234="Да",IF(IF('01_Вводные'!$B$296="Новый сезон",TRUE,TRUE),'06_Сеть_и_дети'!N73*CapacityAge21*'19_Расчет_аналитики'!$F$3247,0),0)</f>
        <v/>
      </c>
      <c r="O3576">
        <f>IF('01_Вводные'!$B$234="Да",IF(IF('01_Вводные'!$B$296="Новый сезон",TRUE,TRUE),'06_Сеть_и_дети'!O73*CapacityAge21*'19_Расчет_аналитики'!$F$3247,0),0)</f>
        <v/>
      </c>
      <c r="P3576">
        <f>IF('01_Вводные'!$B$234="Да",IF(IF('01_Вводные'!$B$296="Новый сезон",TRUE,TRUE),'06_Сеть_и_дети'!P73*CapacityAge21*'19_Расчет_аналитики'!$F$3247,0),0)</f>
        <v/>
      </c>
      <c r="Q3576">
        <f>IF('01_Вводные'!$B$234="Да",IF(IF('01_Вводные'!$B$296="Новый сезон",TRUE,TRUE),'06_Сеть_и_дети'!Q73*CapacityAge21*'19_Расчет_аналитики'!$F$3247,0),0)</f>
        <v/>
      </c>
      <c r="R3576">
        <f>IF('01_Вводные'!$B$234="Да",IF(IF('01_Вводные'!$B$296="Новый сезон",TRUE,TRUE),'06_Сеть_и_дети'!R73*CapacityAge21*'19_Расчет_аналитики'!$F$3247,0),0)</f>
        <v/>
      </c>
      <c r="S3576">
        <f>IF('01_Вводные'!$B$234="Да",IF(IF('01_Вводные'!$B$296="Новый сезон",TRUE,TRUE),'06_Сеть_и_дети'!S73*CapacityAge21*'19_Расчет_аналитики'!$F$3247,0),0)</f>
        <v/>
      </c>
      <c r="T3576">
        <f>IF('01_Вводные'!$B$234="Да",IF(IF('01_Вводные'!$B$296="Новый сезон",TRUE,TRUE),'06_Сеть_и_дети'!T73*CapacityAge21*'19_Расчет_аналитики'!$F$3247,0),0)</f>
        <v/>
      </c>
      <c r="U3576">
        <f>IF('01_Вводные'!$B$234="Да",IF(IF('01_Вводные'!$B$296="Новый сезон",TRUE,TRUE),'06_Сеть_и_дети'!U73*CapacityAge21*'19_Расчет_аналитики'!$F$3247,0),0)</f>
        <v/>
      </c>
      <c r="V3576">
        <f>IF('01_Вводные'!$B$234="Да",IF(IF('01_Вводные'!$B$296="Новый сезон",TRUE,TRUE),'19_Расчет_аналитики'!V3464*CapacityAge21*'19_Расчет_аналитики'!$F$3247,0),0)</f>
        <v/>
      </c>
      <c r="W3576">
        <f>IF('01_Вводные'!$B$234="Да",IF(IF('01_Вводные'!$B$296="Новый сезон",TRUE,TRUE),'19_Расчет_аналитики'!W3464*CapacityAge21*'19_Расчет_аналитики'!$F$3247,0),0)</f>
        <v/>
      </c>
      <c r="X3576">
        <f>IF('01_Вводные'!$B$234="Да",IF(IF('01_Вводные'!$B$296="Новый сезон",TRUE,TRUE),'19_Расчет_аналитики'!X3464*CapacityAge21*'19_Расчет_аналитики'!$F$3247,0),0)</f>
        <v/>
      </c>
      <c r="Y3576">
        <f>IF('01_Вводные'!$B$234="Да",IF(IF('01_Вводные'!$B$296="Новый сезон",TRUE,TRUE),'19_Расчет_аналитики'!Y3464*CapacityAge21*'19_Расчет_аналитики'!$F$3247,0),0)</f>
        <v/>
      </c>
      <c r="Z3576">
        <f>IF('01_Вводные'!$B$234="Да",IF(IF('01_Вводные'!$B$296="Новый сезон",TRUE,TRUE),'19_Расчет_аналитики'!Z3464*CapacityAge21*'19_Расчет_аналитики'!$F$3247,0),0)</f>
        <v/>
      </c>
      <c r="AA3576">
        <f>IF('01_Вводные'!$B$234="Да",IF(IF('01_Вводные'!$B$296="Новый сезон",TRUE,TRUE),'19_Расчет_аналитики'!AA3464*CapacityAge21*'19_Расчет_аналитики'!$F$3247,0),0)</f>
        <v/>
      </c>
      <c r="AB3576">
        <f>IF('01_Вводные'!$B$234="Да",IF(IF('01_Вводные'!$B$296="Новый сезон",TRUE,TRUE),'19_Расчет_аналитики'!AB3464*CapacityAge21*'19_Расчет_аналитики'!$F$3247,0),0)</f>
        <v/>
      </c>
      <c r="AC3576">
        <f>IF('01_Вводные'!$B$234="Да",IF(IF('01_Вводные'!$B$296="Новый сезон",TRUE,TRUE),'19_Расчет_аналитики'!AC3464*CapacityAge21*'19_Расчет_аналитики'!$F$3247,0),0)</f>
        <v/>
      </c>
      <c r="AD3576">
        <f>IF('01_Вводные'!$B$234="Да",IF(IF('01_Вводные'!$B$296="Новый сезон",TRUE,TRUE),'19_Расчет_аналитики'!AD3464*CapacityAge21*'19_Расчет_аналитики'!$F$3247,0),0)</f>
        <v/>
      </c>
      <c r="AE3576">
        <f>IF('01_Вводные'!$B$234="Да",IF(IF('01_Вводные'!$B$296="Новый сезон",TRUE,TRUE),'19_Расчет_аналитики'!AE3464*CapacityAge21*'19_Расчет_аналитики'!$F$3247,0),0)</f>
        <v/>
      </c>
      <c r="AF3576">
        <f>IF('01_Вводные'!$B$234="Да",IF(IF('01_Вводные'!$B$296="Новый сезон",TRUE,TRUE),'19_Расчет_аналитики'!AF3464*CapacityAge21*'19_Расчет_аналитики'!$F$3247,0),0)</f>
        <v/>
      </c>
      <c r="AG3576">
        <f>IF('01_Вводные'!$B$234="Да",IF(IF('01_Вводные'!$B$296="Новый сезон",TRUE,TRUE),'19_Расчет_аналитики'!AG3464*CapacityAge21*'19_Расчет_аналитики'!$F$3247,0),0)</f>
        <v/>
      </c>
      <c r="AH3576">
        <f>IF('01_Вводные'!$B$234="Да",IF(IF('01_Вводные'!$B$296="Новый сезон",TRUE,TRUE),'19_Расчет_аналитики'!AH3464*CapacityAge21*'19_Расчет_аналитики'!$F$3247,0),0)</f>
        <v/>
      </c>
      <c r="AI3576">
        <f>IF('01_Вводные'!$B$234="Да",IF(IF('01_Вводные'!$B$296="Новый сезон",TRUE,TRUE),'19_Расчет_аналитики'!AI3464*CapacityAge21*'19_Расчет_аналитики'!$F$3247,0),0)</f>
        <v/>
      </c>
      <c r="AJ3576">
        <f>IF('01_Вводные'!$B$234="Да",IF(IF('01_Вводные'!$B$296="Новый сезон",TRUE,TRUE),'19_Расчет_аналитики'!AJ3464*CapacityAge21*'19_Расчет_аналитики'!$F$3247,0),0)</f>
        <v/>
      </c>
      <c r="AK3576">
        <f>IF('01_Вводные'!$B$234="Да",IF(IF('01_Вводные'!$B$296="Новый сезон",TRUE,TRUE),'19_Расчет_аналитики'!AK3464*CapacityAge21*'19_Расчет_аналитики'!$F$3247,0),0)</f>
        <v/>
      </c>
      <c r="AL3576">
        <f>IF('01_Вводные'!$B$234="Да",IF(IF('01_Вводные'!$B$296="Новый сезон",TRUE,TRUE),'19_Расчет_аналитики'!AL3464*CapacityAge21*'19_Расчет_аналитики'!$F$3247,0),0)</f>
        <v/>
      </c>
      <c r="AM3576">
        <f>IF('01_Вводные'!$B$234="Да",IF(IF('01_Вводные'!$B$296="Новый сезон",TRUE,TRUE),'19_Расчет_аналитики'!AM3464*CapacityAge21*'19_Расчет_аналитики'!$F$3247,0),0)</f>
        <v/>
      </c>
      <c r="AN3576">
        <f>IF('01_Вводные'!$B$234="Да",IF(IF('01_Вводные'!$B$296="Новый сезон",TRUE,TRUE),'19_Расчет_аналитики'!AN3464*CapacityAge21*'19_Расчет_аналитики'!$F$3247,0),0)</f>
        <v/>
      </c>
      <c r="AO3576">
        <f>IF('01_Вводные'!$B$234="Да",IF(IF('01_Вводные'!$B$296="Новый сезон",TRUE,TRUE),'19_Расчет_аналитики'!AO3464*CapacityAge21*'19_Расчет_аналитики'!$F$3247,0),0)</f>
        <v/>
      </c>
      <c r="AP3576">
        <f>IF('01_Вводные'!$B$234="Да",IF(IF('01_Вводные'!$B$296="Новый сезон",TRUE,TRUE),'19_Расчет_аналитики'!AP3464*CapacityAge21*'19_Расчет_аналитики'!$F$3247,0),0)</f>
        <v/>
      </c>
      <c r="AQ3576">
        <f>IF('01_Вводные'!$B$234="Да",IF(IF('01_Вводные'!$B$296="Новый сезон",TRUE,TRUE),'19_Расчет_аналитики'!AQ3464*CapacityAge21*'19_Расчет_аналитики'!$F$3247,0),0)</f>
        <v/>
      </c>
      <c r="AR3576">
        <f>IF('01_Вводные'!$B$234="Да",IF(IF('01_Вводные'!$B$296="Новый сезон",TRUE,TRUE),'19_Расчет_аналитики'!AR3464*CapacityAge21*'19_Расчет_аналитики'!$F$3247,0),0)</f>
        <v/>
      </c>
      <c r="AS3576">
        <f>IF('01_Вводные'!$B$234="Да",IF(IF('01_Вводные'!$B$296="Новый сезон",TRUE,TRUE),'19_Расчет_аналитики'!AS3464*CapacityAge21*'19_Расчет_аналитики'!$F$3247,0),0)</f>
        <v/>
      </c>
      <c r="AT3576">
        <f>IF('01_Вводные'!$B$234="Да",IF(IF('01_Вводные'!$B$296="Новый сезон",TRUE,TRUE),'19_Расчет_аналитики'!AT3464*CapacityAge21*'19_Расчет_аналитики'!$F$3247,0),0)</f>
        <v/>
      </c>
      <c r="AU3576">
        <f>IF('01_Вводные'!$B$234="Да",IF(IF('01_Вводные'!$B$296="Новый сезон",TRUE,TRUE),'19_Расчет_аналитики'!AU3464*CapacityAge21*'19_Расчет_аналитики'!$F$3247,0),0)</f>
        <v/>
      </c>
      <c r="AV3576">
        <f>IF('01_Вводные'!$B$234="Да",IF(IF('01_Вводные'!$B$296="Новый сезон",TRUE,TRUE),'19_Расчет_аналитики'!AV3464*CapacityAge21*'19_Расчет_аналитики'!$F$3247,0),0)</f>
        <v/>
      </c>
      <c r="AW3576">
        <f>IF('01_Вводные'!$B$234="Да",IF(IF('01_Вводные'!$B$296="Новый сезон",TRUE,TRUE),'19_Расчет_аналитики'!AW3464*CapacityAge21*'19_Расчет_аналитики'!$F$3247,0),0)</f>
        <v/>
      </c>
      <c r="AX3576">
        <f>IF('01_Вводные'!$B$234="Да",IF(IF('01_Вводные'!$B$296="Новый сезон",TRUE,TRUE),'19_Расчет_аналитики'!AX3464*CapacityAge21*'19_Расчет_аналитики'!$F$3247,0),0)</f>
        <v/>
      </c>
      <c r="AY3576">
        <f>IF('01_Вводные'!$B$234="Да",IF(IF('01_Вводные'!$B$296="Новый сезон",TRUE,TRUE),'19_Расчет_аналитики'!AY3464*CapacityAge21*'19_Расчет_аналитики'!$F$3247,0),0)</f>
        <v/>
      </c>
      <c r="AZ3576">
        <f>IF('01_Вводные'!$B$234="Да",IF(IF('01_Вводные'!$B$296="Новый сезон",TRUE,TRUE),'19_Расчет_аналитики'!AZ3464*CapacityAge21*'19_Расчет_аналитики'!$F$3247,0),0)</f>
        <v/>
      </c>
      <c r="BA3576">
        <f>IF('01_Вводные'!$B$234="Да",IF(IF('01_Вводные'!$B$296="Новый сезон",TRUE,TRUE),'19_Расчет_аналитики'!BA3464*CapacityAge21*'19_Расчет_аналитики'!$F$3247,0),0)</f>
        <v/>
      </c>
      <c r="BB3576">
        <f>IF('01_Вводные'!$B$234="Да",IF(IF('01_Вводные'!$B$296="Новый сезон",TRUE,TRUE),'19_Расчет_аналитики'!BB3464*CapacityAge21*'19_Расчет_аналитики'!$F$3247,0),0)</f>
        <v/>
      </c>
      <c r="BC3576">
        <f>IF('01_Вводные'!$B$234="Да",IF(IF('01_Вводные'!$B$296="Новый сезон",TRUE,TRUE),'19_Расчет_аналитики'!BC3464*CapacityAge21*'19_Расчет_аналитики'!$F$3247,0),0)</f>
        <v/>
      </c>
      <c r="BD3576">
        <f>IF('01_Вводные'!$B$234="Да",IF(IF('01_Вводные'!$B$296="Новый сезон",TRUE,TRUE),'19_Расчет_аналитики'!BD3464*CapacityAge21*'19_Расчет_аналитики'!$F$3247,0),0)</f>
        <v/>
      </c>
      <c r="BE3576">
        <f>IF('01_Вводные'!$B$234="Да",IF(IF('01_Вводные'!$B$296="Новый сезон",TRUE,TRUE),'19_Расчет_аналитики'!BE3464*CapacityAge21*'19_Расчет_аналитики'!$F$3247,0),0)</f>
        <v/>
      </c>
      <c r="BF3576">
        <f>IF('01_Вводные'!$B$234="Да",IF(IF('01_Вводные'!$B$296="Новый сезон",TRUE,TRUE),'19_Расчет_аналитики'!BF3464*CapacityAge21*'19_Расчет_аналитики'!$F$3247,0),0)</f>
        <v/>
      </c>
      <c r="BG3576">
        <f>IF('01_Вводные'!$B$234="Да",IF(IF('01_Вводные'!$B$296="Новый сезон",TRUE,TRUE),'19_Расчет_аналитики'!BG3464*CapacityAge21*'19_Расчет_аналитики'!$F$3247,0),0)</f>
        <v/>
      </c>
      <c r="BH3576">
        <f>IF('01_Вводные'!$B$234="Да",IF(IF('01_Вводные'!$B$296="Новый сезон",TRUE,TRUE),'19_Расчет_аналитики'!BH3464*CapacityAge21*'19_Расчет_аналитики'!$F$3247,0),0)</f>
        <v/>
      </c>
      <c r="BI3576">
        <f>IF('01_Вводные'!$B$234="Да",IF(IF('01_Вводные'!$B$296="Новый сезон",TRUE,TRUE),'19_Расчет_аналитики'!BI3464*CapacityAge21*'19_Расчет_аналитики'!$F$3247,0),0)</f>
        <v/>
      </c>
      <c r="BJ3576">
        <f>IF('01_Вводные'!$B$234="Да",IF(IF('01_Вводные'!$B$296="Новый сезон",TRUE,TRUE),'19_Расчет_аналитики'!BJ3464*CapacityAge21*'19_Расчет_аналитики'!$F$3247,0),0)</f>
        <v/>
      </c>
      <c r="BK3576">
        <f>IF('01_Вводные'!$B$234="Да",IF(IF('01_Вводные'!$B$296="Новый сезон",TRUE,TRUE),'19_Расчет_аналитики'!BK3464*CapacityAge21*'19_Расчет_аналитики'!$F$3247,0),0)</f>
        <v/>
      </c>
      <c r="BL3576">
        <f>IF('01_Вводные'!$B$234="Да",IF(IF('01_Вводные'!$B$296="Новый сезон",TRUE,TRUE),'19_Расчет_аналитики'!BL3464*CapacityAge21*'19_Расчет_аналитики'!$F$3247,0),0)</f>
        <v/>
      </c>
      <c r="BM3576">
        <f>IF('01_Вводные'!$B$234="Да",IF(IF('01_Вводные'!$B$296="Новый сезон",TRUE,TRUE),'19_Расчет_аналитики'!BM3464*CapacityAge21*'19_Расчет_аналитики'!$F$3247,0),0)</f>
        <v/>
      </c>
      <c r="BN3576">
        <f>IF('01_Вводные'!$B$234="Да",IF(IF('01_Вводные'!$B$296="Новый сезон",TRUE,TRUE),'19_Расчет_аналитики'!BN3464*CapacityAge21*'19_Расчет_аналитики'!$F$3247,0),0)</f>
        <v/>
      </c>
      <c r="BO3576">
        <f>IF('01_Вводные'!$B$234="Да",IF(IF('01_Вводные'!$B$296="Новый сезон",TRUE,TRUE),'19_Расчет_аналитики'!BO3464*CapacityAge21*'19_Расчет_аналитики'!$F$3247,0),0)</f>
        <v/>
      </c>
    </row>
    <row r="3577">
      <c r="B3577">
        <f>IF('01_Вводные'!$B$234="Да",IF(IF('01_Вводные'!$B$296="Новый сезон",TRUE,TRUE),'06_Сеть_и_дети'!B74*CapacityAge22*'19_Расчет_аналитики'!$F$3247,0),0)</f>
        <v/>
      </c>
      <c r="C3577">
        <f>IF('01_Вводные'!$B$234="Да",IF(IF('01_Вводные'!$B$296="Новый сезон",TRUE,TRUE),'06_Сеть_и_дети'!C74*CapacityAge22*'19_Расчет_аналитики'!$F$3247,0),0)</f>
        <v/>
      </c>
      <c r="D3577">
        <f>IF('01_Вводные'!$B$234="Да",IF(IF('01_Вводные'!$B$296="Новый сезон",TRUE,TRUE),'06_Сеть_и_дети'!D74*CapacityAge22*'19_Расчет_аналитики'!$F$3247,0),0)</f>
        <v/>
      </c>
      <c r="E3577">
        <f>IF('01_Вводные'!$B$234="Да",IF(IF('01_Вводные'!$B$296="Новый сезон",TRUE,TRUE),'06_Сеть_и_дети'!E74*CapacityAge22*'19_Расчет_аналитики'!$F$3247,0),0)</f>
        <v/>
      </c>
      <c r="F3577">
        <f>IF('01_Вводные'!$B$234="Да",IF(IF('01_Вводные'!$B$296="Новый сезон",TRUE,TRUE),'06_Сеть_и_дети'!F74*CapacityAge22*'19_Расчет_аналитики'!$F$3247,0),0)</f>
        <v/>
      </c>
      <c r="G3577">
        <f>IF('01_Вводные'!$B$234="Да",IF(IF('01_Вводные'!$B$296="Новый сезон",TRUE,TRUE),'06_Сеть_и_дети'!G74*CapacityAge22*'19_Расчет_аналитики'!$F$3247,0),0)</f>
        <v/>
      </c>
      <c r="H3577">
        <f>IF('01_Вводные'!$B$234="Да",IF(IF('01_Вводные'!$B$296="Новый сезон",TRUE,TRUE),'06_Сеть_и_дети'!H74*CapacityAge22*'19_Расчет_аналитики'!$F$3247,0),0)</f>
        <v/>
      </c>
      <c r="I3577">
        <f>IF('01_Вводные'!$B$234="Да",IF(IF('01_Вводные'!$B$296="Новый сезон",TRUE,TRUE),'06_Сеть_и_дети'!I74*CapacityAge22*'19_Расчет_аналитики'!$F$3247,0),0)</f>
        <v/>
      </c>
      <c r="J3577">
        <f>IF('01_Вводные'!$B$234="Да",IF(IF('01_Вводные'!$B$296="Новый сезон",TRUE,TRUE),'06_Сеть_и_дети'!J74*CapacityAge22*'19_Расчет_аналитики'!$F$3247,0),0)</f>
        <v/>
      </c>
      <c r="K3577">
        <f>IF('01_Вводные'!$B$234="Да",IF(IF('01_Вводные'!$B$296="Новый сезон",TRUE,TRUE),'06_Сеть_и_дети'!K74*CapacityAge22*'19_Расчет_аналитики'!$F$3247,0),0)</f>
        <v/>
      </c>
      <c r="L3577">
        <f>IF('01_Вводные'!$B$234="Да",IF(IF('01_Вводные'!$B$296="Новый сезон",TRUE,TRUE),'06_Сеть_и_дети'!L74*CapacityAge22*'19_Расчет_аналитики'!$F$3247,0),0)</f>
        <v/>
      </c>
      <c r="M3577">
        <f>IF('01_Вводные'!$B$234="Да",IF(IF('01_Вводные'!$B$296="Новый сезон",TRUE,TRUE),'06_Сеть_и_дети'!M74*CapacityAge22*'19_Расчет_аналитики'!$F$3247,0),0)</f>
        <v/>
      </c>
      <c r="N3577">
        <f>IF('01_Вводные'!$B$234="Да",IF(IF('01_Вводные'!$B$296="Новый сезон",TRUE,TRUE),'06_Сеть_и_дети'!N74*CapacityAge22*'19_Расчет_аналитики'!$F$3247,0),0)</f>
        <v/>
      </c>
      <c r="O3577">
        <f>IF('01_Вводные'!$B$234="Да",IF(IF('01_Вводные'!$B$296="Новый сезон",TRUE,TRUE),'06_Сеть_и_дети'!O74*CapacityAge22*'19_Расчет_аналитики'!$F$3247,0),0)</f>
        <v/>
      </c>
      <c r="P3577">
        <f>IF('01_Вводные'!$B$234="Да",IF(IF('01_Вводные'!$B$296="Новый сезон",TRUE,TRUE),'06_Сеть_и_дети'!P74*CapacityAge22*'19_Расчет_аналитики'!$F$3247,0),0)</f>
        <v/>
      </c>
      <c r="Q3577">
        <f>IF('01_Вводные'!$B$234="Да",IF(IF('01_Вводные'!$B$296="Новый сезон",TRUE,TRUE),'06_Сеть_и_дети'!Q74*CapacityAge22*'19_Расчет_аналитики'!$F$3247,0),0)</f>
        <v/>
      </c>
      <c r="R3577">
        <f>IF('01_Вводные'!$B$234="Да",IF(IF('01_Вводные'!$B$296="Новый сезон",TRUE,TRUE),'06_Сеть_и_дети'!R74*CapacityAge22*'19_Расчет_аналитики'!$F$3247,0),0)</f>
        <v/>
      </c>
      <c r="S3577">
        <f>IF('01_Вводные'!$B$234="Да",IF(IF('01_Вводные'!$B$296="Новый сезон",TRUE,TRUE),'06_Сеть_и_дети'!S74*CapacityAge22*'19_Расчет_аналитики'!$F$3247,0),0)</f>
        <v/>
      </c>
      <c r="T3577">
        <f>IF('01_Вводные'!$B$234="Да",IF(IF('01_Вводные'!$B$296="Новый сезон",TRUE,TRUE),'06_Сеть_и_дети'!T74*CapacityAge22*'19_Расчет_аналитики'!$F$3247,0),0)</f>
        <v/>
      </c>
      <c r="U3577">
        <f>IF('01_Вводные'!$B$234="Да",IF(IF('01_Вводные'!$B$296="Новый сезон",TRUE,TRUE),'06_Сеть_и_дети'!U74*CapacityAge22*'19_Расчет_аналитики'!$F$3247,0),0)</f>
        <v/>
      </c>
      <c r="V3577">
        <f>IF('01_Вводные'!$B$234="Да",IF(IF('01_Вводные'!$B$296="Новый сезон",TRUE,TRUE),'06_Сеть_и_дети'!V74*CapacityAge22*'19_Расчет_аналитики'!$F$3247,0),0)</f>
        <v/>
      </c>
      <c r="W3577">
        <f>IF('01_Вводные'!$B$234="Да",IF(IF('01_Вводные'!$B$296="Новый сезон",TRUE,TRUE),'19_Расчет_аналитики'!W3465*CapacityAge22*'19_Расчет_аналитики'!$F$3247,0),0)</f>
        <v/>
      </c>
      <c r="X3577">
        <f>IF('01_Вводные'!$B$234="Да",IF(IF('01_Вводные'!$B$296="Новый сезон",TRUE,TRUE),'19_Расчет_аналитики'!X3465*CapacityAge22*'19_Расчет_аналитики'!$F$3247,0),0)</f>
        <v/>
      </c>
      <c r="Y3577">
        <f>IF('01_Вводные'!$B$234="Да",IF(IF('01_Вводные'!$B$296="Новый сезон",TRUE,TRUE),'19_Расчет_аналитики'!Y3465*CapacityAge22*'19_Расчет_аналитики'!$F$3247,0),0)</f>
        <v/>
      </c>
      <c r="Z3577">
        <f>IF('01_Вводные'!$B$234="Да",IF(IF('01_Вводные'!$B$296="Новый сезон",TRUE,TRUE),'19_Расчет_аналитики'!Z3465*CapacityAge22*'19_Расчет_аналитики'!$F$3247,0),0)</f>
        <v/>
      </c>
      <c r="AA3577">
        <f>IF('01_Вводные'!$B$234="Да",IF(IF('01_Вводные'!$B$296="Новый сезон",TRUE,TRUE),'19_Расчет_аналитики'!AA3465*CapacityAge22*'19_Расчет_аналитики'!$F$3247,0),0)</f>
        <v/>
      </c>
      <c r="AB3577">
        <f>IF('01_Вводные'!$B$234="Да",IF(IF('01_Вводные'!$B$296="Новый сезон",TRUE,TRUE),'19_Расчет_аналитики'!AB3465*CapacityAge22*'19_Расчет_аналитики'!$F$3247,0),0)</f>
        <v/>
      </c>
      <c r="AC3577">
        <f>IF('01_Вводные'!$B$234="Да",IF(IF('01_Вводные'!$B$296="Новый сезон",TRUE,TRUE),'19_Расчет_аналитики'!AC3465*CapacityAge22*'19_Расчет_аналитики'!$F$3247,0),0)</f>
        <v/>
      </c>
      <c r="AD3577">
        <f>IF('01_Вводные'!$B$234="Да",IF(IF('01_Вводные'!$B$296="Новый сезон",TRUE,TRUE),'19_Расчет_аналитики'!AD3465*CapacityAge22*'19_Расчет_аналитики'!$F$3247,0),0)</f>
        <v/>
      </c>
      <c r="AE3577">
        <f>IF('01_Вводные'!$B$234="Да",IF(IF('01_Вводные'!$B$296="Новый сезон",TRUE,TRUE),'19_Расчет_аналитики'!AE3465*CapacityAge22*'19_Расчет_аналитики'!$F$3247,0),0)</f>
        <v/>
      </c>
      <c r="AF3577">
        <f>IF('01_Вводные'!$B$234="Да",IF(IF('01_Вводные'!$B$296="Новый сезон",TRUE,TRUE),'19_Расчет_аналитики'!AF3465*CapacityAge22*'19_Расчет_аналитики'!$F$3247,0),0)</f>
        <v/>
      </c>
      <c r="AG3577">
        <f>IF('01_Вводные'!$B$234="Да",IF(IF('01_Вводные'!$B$296="Новый сезон",TRUE,TRUE),'19_Расчет_аналитики'!AG3465*CapacityAge22*'19_Расчет_аналитики'!$F$3247,0),0)</f>
        <v/>
      </c>
      <c r="AH3577">
        <f>IF('01_Вводные'!$B$234="Да",IF(IF('01_Вводные'!$B$296="Новый сезон",TRUE,TRUE),'19_Расчет_аналитики'!AH3465*CapacityAge22*'19_Расчет_аналитики'!$F$3247,0),0)</f>
        <v/>
      </c>
      <c r="AI3577">
        <f>IF('01_Вводные'!$B$234="Да",IF(IF('01_Вводные'!$B$296="Новый сезон",TRUE,TRUE),'19_Расчет_аналитики'!AI3465*CapacityAge22*'19_Расчет_аналитики'!$F$3247,0),0)</f>
        <v/>
      </c>
      <c r="AJ3577">
        <f>IF('01_Вводные'!$B$234="Да",IF(IF('01_Вводные'!$B$296="Новый сезон",TRUE,TRUE),'19_Расчет_аналитики'!AJ3465*CapacityAge22*'19_Расчет_аналитики'!$F$3247,0),0)</f>
        <v/>
      </c>
      <c r="AK3577">
        <f>IF('01_Вводные'!$B$234="Да",IF(IF('01_Вводные'!$B$296="Новый сезон",TRUE,TRUE),'19_Расчет_аналитики'!AK3465*CapacityAge22*'19_Расчет_аналитики'!$F$3247,0),0)</f>
        <v/>
      </c>
      <c r="AL3577">
        <f>IF('01_Вводные'!$B$234="Да",IF(IF('01_Вводные'!$B$296="Новый сезон",TRUE,TRUE),'19_Расчет_аналитики'!AL3465*CapacityAge22*'19_Расчет_аналитики'!$F$3247,0),0)</f>
        <v/>
      </c>
      <c r="AM3577">
        <f>IF('01_Вводные'!$B$234="Да",IF(IF('01_Вводные'!$B$296="Новый сезон",TRUE,TRUE),'19_Расчет_аналитики'!AM3465*CapacityAge22*'19_Расчет_аналитики'!$F$3247,0),0)</f>
        <v/>
      </c>
      <c r="AN3577">
        <f>IF('01_Вводные'!$B$234="Да",IF(IF('01_Вводные'!$B$296="Новый сезон",TRUE,TRUE),'19_Расчет_аналитики'!AN3465*CapacityAge22*'19_Расчет_аналитики'!$F$3247,0),0)</f>
        <v/>
      </c>
      <c r="AO3577">
        <f>IF('01_Вводные'!$B$234="Да",IF(IF('01_Вводные'!$B$296="Новый сезон",TRUE,TRUE),'19_Расчет_аналитики'!AO3465*CapacityAge22*'19_Расчет_аналитики'!$F$3247,0),0)</f>
        <v/>
      </c>
      <c r="AP3577">
        <f>IF('01_Вводные'!$B$234="Да",IF(IF('01_Вводные'!$B$296="Новый сезон",TRUE,TRUE),'19_Расчет_аналитики'!AP3465*CapacityAge22*'19_Расчет_аналитики'!$F$3247,0),0)</f>
        <v/>
      </c>
      <c r="AQ3577">
        <f>IF('01_Вводные'!$B$234="Да",IF(IF('01_Вводные'!$B$296="Новый сезон",TRUE,TRUE),'19_Расчет_аналитики'!AQ3465*CapacityAge22*'19_Расчет_аналитики'!$F$3247,0),0)</f>
        <v/>
      </c>
      <c r="AR3577">
        <f>IF('01_Вводные'!$B$234="Да",IF(IF('01_Вводные'!$B$296="Новый сезон",TRUE,TRUE),'19_Расчет_аналитики'!AR3465*CapacityAge22*'19_Расчет_аналитики'!$F$3247,0),0)</f>
        <v/>
      </c>
      <c r="AS3577">
        <f>IF('01_Вводные'!$B$234="Да",IF(IF('01_Вводные'!$B$296="Новый сезон",TRUE,TRUE),'19_Расчет_аналитики'!AS3465*CapacityAge22*'19_Расчет_аналитики'!$F$3247,0),0)</f>
        <v/>
      </c>
      <c r="AT3577">
        <f>IF('01_Вводные'!$B$234="Да",IF(IF('01_Вводные'!$B$296="Новый сезон",TRUE,TRUE),'19_Расчет_аналитики'!AT3465*CapacityAge22*'19_Расчет_аналитики'!$F$3247,0),0)</f>
        <v/>
      </c>
      <c r="AU3577">
        <f>IF('01_Вводные'!$B$234="Да",IF(IF('01_Вводные'!$B$296="Новый сезон",TRUE,TRUE),'19_Расчет_аналитики'!AU3465*CapacityAge22*'19_Расчет_аналитики'!$F$3247,0),0)</f>
        <v/>
      </c>
      <c r="AV3577">
        <f>IF('01_Вводные'!$B$234="Да",IF(IF('01_Вводные'!$B$296="Новый сезон",TRUE,TRUE),'19_Расчет_аналитики'!AV3465*CapacityAge22*'19_Расчет_аналитики'!$F$3247,0),0)</f>
        <v/>
      </c>
      <c r="AW3577">
        <f>IF('01_Вводные'!$B$234="Да",IF(IF('01_Вводные'!$B$296="Новый сезон",TRUE,TRUE),'19_Расчет_аналитики'!AW3465*CapacityAge22*'19_Расчет_аналитики'!$F$3247,0),0)</f>
        <v/>
      </c>
      <c r="AX3577">
        <f>IF('01_Вводные'!$B$234="Да",IF(IF('01_Вводные'!$B$296="Новый сезон",TRUE,TRUE),'19_Расчет_аналитики'!AX3465*CapacityAge22*'19_Расчет_аналитики'!$F$3247,0),0)</f>
        <v/>
      </c>
      <c r="AY3577">
        <f>IF('01_Вводные'!$B$234="Да",IF(IF('01_Вводные'!$B$296="Новый сезон",TRUE,TRUE),'19_Расчет_аналитики'!AY3465*CapacityAge22*'19_Расчет_аналитики'!$F$3247,0),0)</f>
        <v/>
      </c>
      <c r="AZ3577">
        <f>IF('01_Вводные'!$B$234="Да",IF(IF('01_Вводные'!$B$296="Новый сезон",TRUE,TRUE),'19_Расчет_аналитики'!AZ3465*CapacityAge22*'19_Расчет_аналитики'!$F$3247,0),0)</f>
        <v/>
      </c>
      <c r="BA3577">
        <f>IF('01_Вводные'!$B$234="Да",IF(IF('01_Вводные'!$B$296="Новый сезон",TRUE,TRUE),'19_Расчет_аналитики'!BA3465*CapacityAge22*'19_Расчет_аналитики'!$F$3247,0),0)</f>
        <v/>
      </c>
      <c r="BB3577">
        <f>IF('01_Вводные'!$B$234="Да",IF(IF('01_Вводные'!$B$296="Новый сезон",TRUE,TRUE),'19_Расчет_аналитики'!BB3465*CapacityAge22*'19_Расчет_аналитики'!$F$3247,0),0)</f>
        <v/>
      </c>
      <c r="BC3577">
        <f>IF('01_Вводные'!$B$234="Да",IF(IF('01_Вводные'!$B$296="Новый сезон",TRUE,TRUE),'19_Расчет_аналитики'!BC3465*CapacityAge22*'19_Расчет_аналитики'!$F$3247,0),0)</f>
        <v/>
      </c>
      <c r="BD3577">
        <f>IF('01_Вводные'!$B$234="Да",IF(IF('01_Вводные'!$B$296="Новый сезон",TRUE,TRUE),'19_Расчет_аналитики'!BD3465*CapacityAge22*'19_Расчет_аналитики'!$F$3247,0),0)</f>
        <v/>
      </c>
      <c r="BE3577">
        <f>IF('01_Вводные'!$B$234="Да",IF(IF('01_Вводные'!$B$296="Новый сезон",TRUE,TRUE),'19_Расчет_аналитики'!BE3465*CapacityAge22*'19_Расчет_аналитики'!$F$3247,0),0)</f>
        <v/>
      </c>
      <c r="BF3577">
        <f>IF('01_Вводные'!$B$234="Да",IF(IF('01_Вводные'!$B$296="Новый сезон",TRUE,TRUE),'19_Расчет_аналитики'!BF3465*CapacityAge22*'19_Расчет_аналитики'!$F$3247,0),0)</f>
        <v/>
      </c>
      <c r="BG3577">
        <f>IF('01_Вводные'!$B$234="Да",IF(IF('01_Вводные'!$B$296="Новый сезон",TRUE,TRUE),'19_Расчет_аналитики'!BG3465*CapacityAge22*'19_Расчет_аналитики'!$F$3247,0),0)</f>
        <v/>
      </c>
      <c r="BH3577">
        <f>IF('01_Вводные'!$B$234="Да",IF(IF('01_Вводные'!$B$296="Новый сезон",TRUE,TRUE),'19_Расчет_аналитики'!BH3465*CapacityAge22*'19_Расчет_аналитики'!$F$3247,0),0)</f>
        <v/>
      </c>
      <c r="BI3577">
        <f>IF('01_Вводные'!$B$234="Да",IF(IF('01_Вводные'!$B$296="Новый сезон",TRUE,TRUE),'19_Расчет_аналитики'!BI3465*CapacityAge22*'19_Расчет_аналитики'!$F$3247,0),0)</f>
        <v/>
      </c>
      <c r="BJ3577">
        <f>IF('01_Вводные'!$B$234="Да",IF(IF('01_Вводные'!$B$296="Новый сезон",TRUE,TRUE),'19_Расчет_аналитики'!BJ3465*CapacityAge22*'19_Расчет_аналитики'!$F$3247,0),0)</f>
        <v/>
      </c>
      <c r="BK3577">
        <f>IF('01_Вводные'!$B$234="Да",IF(IF('01_Вводные'!$B$296="Новый сезон",TRUE,TRUE),'19_Расчет_аналитики'!BK3465*CapacityAge22*'19_Расчет_аналитики'!$F$3247,0),0)</f>
        <v/>
      </c>
      <c r="BL3577">
        <f>IF('01_Вводные'!$B$234="Да",IF(IF('01_Вводные'!$B$296="Новый сезон",TRUE,TRUE),'19_Расчет_аналитики'!BL3465*CapacityAge22*'19_Расчет_аналитики'!$F$3247,0),0)</f>
        <v/>
      </c>
      <c r="BM3577">
        <f>IF('01_Вводные'!$B$234="Да",IF(IF('01_Вводные'!$B$296="Новый сезон",TRUE,TRUE),'19_Расчет_аналитики'!BM3465*CapacityAge22*'19_Расчет_аналитики'!$F$3247,0),0)</f>
        <v/>
      </c>
      <c r="BN3577">
        <f>IF('01_Вводные'!$B$234="Да",IF(IF('01_Вводные'!$B$296="Новый сезон",TRUE,TRUE),'19_Расчет_аналитики'!BN3465*CapacityAge22*'19_Расчет_аналитики'!$F$3247,0),0)</f>
        <v/>
      </c>
      <c r="BO3577">
        <f>IF('01_Вводные'!$B$234="Да",IF(IF('01_Вводные'!$B$296="Новый сезон",TRUE,TRUE),'19_Расчет_аналитики'!BO3465*CapacityAge22*'19_Расчет_аналитики'!$F$3247,0),0)</f>
        <v/>
      </c>
    </row>
    <row r="3578">
      <c r="B3578">
        <f>IF('01_Вводные'!$B$234="Да",IF(IF('01_Вводные'!$B$296="Новый сезон",TRUE,TRUE),'06_Сеть_и_дети'!B75*CapacityAge23*'19_Расчет_аналитики'!$F$3247,0),0)</f>
        <v/>
      </c>
      <c r="C3578">
        <f>IF('01_Вводные'!$B$234="Да",IF(IF('01_Вводные'!$B$296="Новый сезон",TRUE,TRUE),'06_Сеть_и_дети'!C75*CapacityAge23*'19_Расчет_аналитики'!$F$3247,0),0)</f>
        <v/>
      </c>
      <c r="D3578">
        <f>IF('01_Вводные'!$B$234="Да",IF(IF('01_Вводные'!$B$296="Новый сезон",TRUE,TRUE),'06_Сеть_и_дети'!D75*CapacityAge23*'19_Расчет_аналитики'!$F$3247,0),0)</f>
        <v/>
      </c>
      <c r="E3578">
        <f>IF('01_Вводные'!$B$234="Да",IF(IF('01_Вводные'!$B$296="Новый сезон",TRUE,TRUE),'06_Сеть_и_дети'!E75*CapacityAge23*'19_Расчет_аналитики'!$F$3247,0),0)</f>
        <v/>
      </c>
      <c r="F3578">
        <f>IF('01_Вводные'!$B$234="Да",IF(IF('01_Вводные'!$B$296="Новый сезон",TRUE,TRUE),'06_Сеть_и_дети'!F75*CapacityAge23*'19_Расчет_аналитики'!$F$3247,0),0)</f>
        <v/>
      </c>
      <c r="G3578">
        <f>IF('01_Вводные'!$B$234="Да",IF(IF('01_Вводные'!$B$296="Новый сезон",TRUE,TRUE),'06_Сеть_и_дети'!G75*CapacityAge23*'19_Расчет_аналитики'!$F$3247,0),0)</f>
        <v/>
      </c>
      <c r="H3578">
        <f>IF('01_Вводные'!$B$234="Да",IF(IF('01_Вводные'!$B$296="Новый сезон",TRUE,TRUE),'06_Сеть_и_дети'!H75*CapacityAge23*'19_Расчет_аналитики'!$F$3247,0),0)</f>
        <v/>
      </c>
      <c r="I3578">
        <f>IF('01_Вводные'!$B$234="Да",IF(IF('01_Вводные'!$B$296="Новый сезон",TRUE,TRUE),'06_Сеть_и_дети'!I75*CapacityAge23*'19_Расчет_аналитики'!$F$3247,0),0)</f>
        <v/>
      </c>
      <c r="J3578">
        <f>IF('01_Вводные'!$B$234="Да",IF(IF('01_Вводные'!$B$296="Новый сезон",TRUE,TRUE),'06_Сеть_и_дети'!J75*CapacityAge23*'19_Расчет_аналитики'!$F$3247,0),0)</f>
        <v/>
      </c>
      <c r="K3578">
        <f>IF('01_Вводные'!$B$234="Да",IF(IF('01_Вводные'!$B$296="Новый сезон",TRUE,TRUE),'06_Сеть_и_дети'!K75*CapacityAge23*'19_Расчет_аналитики'!$F$3247,0),0)</f>
        <v/>
      </c>
      <c r="L3578">
        <f>IF('01_Вводные'!$B$234="Да",IF(IF('01_Вводные'!$B$296="Новый сезон",TRUE,TRUE),'06_Сеть_и_дети'!L75*CapacityAge23*'19_Расчет_аналитики'!$F$3247,0),0)</f>
        <v/>
      </c>
      <c r="M3578">
        <f>IF('01_Вводные'!$B$234="Да",IF(IF('01_Вводные'!$B$296="Новый сезон",TRUE,TRUE),'06_Сеть_и_дети'!M75*CapacityAge23*'19_Расчет_аналитики'!$F$3247,0),0)</f>
        <v/>
      </c>
      <c r="N3578">
        <f>IF('01_Вводные'!$B$234="Да",IF(IF('01_Вводные'!$B$296="Новый сезон",TRUE,TRUE),'06_Сеть_и_дети'!N75*CapacityAge23*'19_Расчет_аналитики'!$F$3247,0),0)</f>
        <v/>
      </c>
      <c r="O3578">
        <f>IF('01_Вводные'!$B$234="Да",IF(IF('01_Вводные'!$B$296="Новый сезон",TRUE,TRUE),'06_Сеть_и_дети'!O75*CapacityAge23*'19_Расчет_аналитики'!$F$3247,0),0)</f>
        <v/>
      </c>
      <c r="P3578">
        <f>IF('01_Вводные'!$B$234="Да",IF(IF('01_Вводные'!$B$296="Новый сезон",TRUE,TRUE),'06_Сеть_и_дети'!P75*CapacityAge23*'19_Расчет_аналитики'!$F$3247,0),0)</f>
        <v/>
      </c>
      <c r="Q3578">
        <f>IF('01_Вводные'!$B$234="Да",IF(IF('01_Вводные'!$B$296="Новый сезон",TRUE,TRUE),'06_Сеть_и_дети'!Q75*CapacityAge23*'19_Расчет_аналитики'!$F$3247,0),0)</f>
        <v/>
      </c>
      <c r="R3578">
        <f>IF('01_Вводные'!$B$234="Да",IF(IF('01_Вводные'!$B$296="Новый сезон",TRUE,TRUE),'06_Сеть_и_дети'!R75*CapacityAge23*'19_Расчет_аналитики'!$F$3247,0),0)</f>
        <v/>
      </c>
      <c r="S3578">
        <f>IF('01_Вводные'!$B$234="Да",IF(IF('01_Вводные'!$B$296="Новый сезон",TRUE,TRUE),'06_Сеть_и_дети'!S75*CapacityAge23*'19_Расчет_аналитики'!$F$3247,0),0)</f>
        <v/>
      </c>
      <c r="T3578">
        <f>IF('01_Вводные'!$B$234="Да",IF(IF('01_Вводные'!$B$296="Новый сезон",TRUE,TRUE),'06_Сеть_и_дети'!T75*CapacityAge23*'19_Расчет_аналитики'!$F$3247,0),0)</f>
        <v/>
      </c>
      <c r="U3578">
        <f>IF('01_Вводные'!$B$234="Да",IF(IF('01_Вводные'!$B$296="Новый сезон",TRUE,TRUE),'06_Сеть_и_дети'!U75*CapacityAge23*'19_Расчет_аналитики'!$F$3247,0),0)</f>
        <v/>
      </c>
      <c r="V3578">
        <f>IF('01_Вводные'!$B$234="Да",IF(IF('01_Вводные'!$B$296="Новый сезон",TRUE,TRUE),'06_Сеть_и_дети'!V75*CapacityAge23*'19_Расчет_аналитики'!$F$3247,0),0)</f>
        <v/>
      </c>
      <c r="W3578">
        <f>IF('01_Вводные'!$B$234="Да",IF(IF('01_Вводные'!$B$296="Новый сезон",TRUE,TRUE),'06_Сеть_и_дети'!W75*CapacityAge23*'19_Расчет_аналитики'!$F$3247,0),0)</f>
        <v/>
      </c>
      <c r="X3578">
        <f>IF('01_Вводные'!$B$234="Да",IF(IF('01_Вводные'!$B$296="Новый сезон",TRUE,TRUE),'19_Расчет_аналитики'!X3466*CapacityAge23*'19_Расчет_аналитики'!$F$3247,0),0)</f>
        <v/>
      </c>
      <c r="Y3578">
        <f>IF('01_Вводные'!$B$234="Да",IF(IF('01_Вводные'!$B$296="Новый сезон",TRUE,TRUE),'19_Расчет_аналитики'!Y3466*CapacityAge23*'19_Расчет_аналитики'!$F$3247,0),0)</f>
        <v/>
      </c>
      <c r="Z3578">
        <f>IF('01_Вводные'!$B$234="Да",IF(IF('01_Вводные'!$B$296="Новый сезон",TRUE,TRUE),'19_Расчет_аналитики'!Z3466*CapacityAge23*'19_Расчет_аналитики'!$F$3247,0),0)</f>
        <v/>
      </c>
      <c r="AA3578">
        <f>IF('01_Вводные'!$B$234="Да",IF(IF('01_Вводные'!$B$296="Новый сезон",TRUE,TRUE),'19_Расчет_аналитики'!AA3466*CapacityAge23*'19_Расчет_аналитики'!$F$3247,0),0)</f>
        <v/>
      </c>
      <c r="AB3578">
        <f>IF('01_Вводные'!$B$234="Да",IF(IF('01_Вводные'!$B$296="Новый сезон",TRUE,TRUE),'19_Расчет_аналитики'!AB3466*CapacityAge23*'19_Расчет_аналитики'!$F$3247,0),0)</f>
        <v/>
      </c>
      <c r="AC3578">
        <f>IF('01_Вводные'!$B$234="Да",IF(IF('01_Вводные'!$B$296="Новый сезон",TRUE,TRUE),'19_Расчет_аналитики'!AC3466*CapacityAge23*'19_Расчет_аналитики'!$F$3247,0),0)</f>
        <v/>
      </c>
      <c r="AD3578">
        <f>IF('01_Вводные'!$B$234="Да",IF(IF('01_Вводные'!$B$296="Новый сезон",TRUE,TRUE),'19_Расчет_аналитики'!AD3466*CapacityAge23*'19_Расчет_аналитики'!$F$3247,0),0)</f>
        <v/>
      </c>
      <c r="AE3578">
        <f>IF('01_Вводные'!$B$234="Да",IF(IF('01_Вводные'!$B$296="Новый сезон",TRUE,TRUE),'19_Расчет_аналитики'!AE3466*CapacityAge23*'19_Расчет_аналитики'!$F$3247,0),0)</f>
        <v/>
      </c>
      <c r="AF3578">
        <f>IF('01_Вводные'!$B$234="Да",IF(IF('01_Вводные'!$B$296="Новый сезон",TRUE,TRUE),'19_Расчет_аналитики'!AF3466*CapacityAge23*'19_Расчет_аналитики'!$F$3247,0),0)</f>
        <v/>
      </c>
      <c r="AG3578">
        <f>IF('01_Вводные'!$B$234="Да",IF(IF('01_Вводные'!$B$296="Новый сезон",TRUE,TRUE),'19_Расчет_аналитики'!AG3466*CapacityAge23*'19_Расчет_аналитики'!$F$3247,0),0)</f>
        <v/>
      </c>
      <c r="AH3578">
        <f>IF('01_Вводные'!$B$234="Да",IF(IF('01_Вводные'!$B$296="Новый сезон",TRUE,TRUE),'19_Расчет_аналитики'!AH3466*CapacityAge23*'19_Расчет_аналитики'!$F$3247,0),0)</f>
        <v/>
      </c>
      <c r="AI3578">
        <f>IF('01_Вводные'!$B$234="Да",IF(IF('01_Вводные'!$B$296="Новый сезон",TRUE,TRUE),'19_Расчет_аналитики'!AI3466*CapacityAge23*'19_Расчет_аналитики'!$F$3247,0),0)</f>
        <v/>
      </c>
      <c r="AJ3578">
        <f>IF('01_Вводные'!$B$234="Да",IF(IF('01_Вводные'!$B$296="Новый сезон",TRUE,TRUE),'19_Расчет_аналитики'!AJ3466*CapacityAge23*'19_Расчет_аналитики'!$F$3247,0),0)</f>
        <v/>
      </c>
      <c r="AK3578">
        <f>IF('01_Вводные'!$B$234="Да",IF(IF('01_Вводные'!$B$296="Новый сезон",TRUE,TRUE),'19_Расчет_аналитики'!AK3466*CapacityAge23*'19_Расчет_аналитики'!$F$3247,0),0)</f>
        <v/>
      </c>
      <c r="AL3578">
        <f>IF('01_Вводные'!$B$234="Да",IF(IF('01_Вводные'!$B$296="Новый сезон",TRUE,TRUE),'19_Расчет_аналитики'!AL3466*CapacityAge23*'19_Расчет_аналитики'!$F$3247,0),0)</f>
        <v/>
      </c>
      <c r="AM3578">
        <f>IF('01_Вводные'!$B$234="Да",IF(IF('01_Вводные'!$B$296="Новый сезон",TRUE,TRUE),'19_Расчет_аналитики'!AM3466*CapacityAge23*'19_Расчет_аналитики'!$F$3247,0),0)</f>
        <v/>
      </c>
      <c r="AN3578">
        <f>IF('01_Вводные'!$B$234="Да",IF(IF('01_Вводные'!$B$296="Новый сезон",TRUE,TRUE),'19_Расчет_аналитики'!AN3466*CapacityAge23*'19_Расчет_аналитики'!$F$3247,0),0)</f>
        <v/>
      </c>
      <c r="AO3578">
        <f>IF('01_Вводные'!$B$234="Да",IF(IF('01_Вводные'!$B$296="Новый сезон",TRUE,TRUE),'19_Расчет_аналитики'!AO3466*CapacityAge23*'19_Расчет_аналитики'!$F$3247,0),0)</f>
        <v/>
      </c>
      <c r="AP3578">
        <f>IF('01_Вводные'!$B$234="Да",IF(IF('01_Вводные'!$B$296="Новый сезон",TRUE,TRUE),'19_Расчет_аналитики'!AP3466*CapacityAge23*'19_Расчет_аналитики'!$F$3247,0),0)</f>
        <v/>
      </c>
      <c r="AQ3578">
        <f>IF('01_Вводные'!$B$234="Да",IF(IF('01_Вводные'!$B$296="Новый сезон",TRUE,TRUE),'19_Расчет_аналитики'!AQ3466*CapacityAge23*'19_Расчет_аналитики'!$F$3247,0),0)</f>
        <v/>
      </c>
      <c r="AR3578">
        <f>IF('01_Вводные'!$B$234="Да",IF(IF('01_Вводные'!$B$296="Новый сезон",TRUE,TRUE),'19_Расчет_аналитики'!AR3466*CapacityAge23*'19_Расчет_аналитики'!$F$3247,0),0)</f>
        <v/>
      </c>
      <c r="AS3578">
        <f>IF('01_Вводные'!$B$234="Да",IF(IF('01_Вводные'!$B$296="Новый сезон",TRUE,TRUE),'19_Расчет_аналитики'!AS3466*CapacityAge23*'19_Расчет_аналитики'!$F$3247,0),0)</f>
        <v/>
      </c>
      <c r="AT3578">
        <f>IF('01_Вводные'!$B$234="Да",IF(IF('01_Вводные'!$B$296="Новый сезон",TRUE,TRUE),'19_Расчет_аналитики'!AT3466*CapacityAge23*'19_Расчет_аналитики'!$F$3247,0),0)</f>
        <v/>
      </c>
      <c r="AU3578">
        <f>IF('01_Вводные'!$B$234="Да",IF(IF('01_Вводные'!$B$296="Новый сезон",TRUE,TRUE),'19_Расчет_аналитики'!AU3466*CapacityAge23*'19_Расчет_аналитики'!$F$3247,0),0)</f>
        <v/>
      </c>
      <c r="AV3578">
        <f>IF('01_Вводные'!$B$234="Да",IF(IF('01_Вводные'!$B$296="Новый сезон",TRUE,TRUE),'19_Расчет_аналитики'!AV3466*CapacityAge23*'19_Расчет_аналитики'!$F$3247,0),0)</f>
        <v/>
      </c>
      <c r="AW3578">
        <f>IF('01_Вводные'!$B$234="Да",IF(IF('01_Вводные'!$B$296="Новый сезон",TRUE,TRUE),'19_Расчет_аналитики'!AW3466*CapacityAge23*'19_Расчет_аналитики'!$F$3247,0),0)</f>
        <v/>
      </c>
      <c r="AX3578">
        <f>IF('01_Вводные'!$B$234="Да",IF(IF('01_Вводные'!$B$296="Новый сезон",TRUE,TRUE),'19_Расчет_аналитики'!AX3466*CapacityAge23*'19_Расчет_аналитики'!$F$3247,0),0)</f>
        <v/>
      </c>
      <c r="AY3578">
        <f>IF('01_Вводные'!$B$234="Да",IF(IF('01_Вводные'!$B$296="Новый сезон",TRUE,TRUE),'19_Расчет_аналитики'!AY3466*CapacityAge23*'19_Расчет_аналитики'!$F$3247,0),0)</f>
        <v/>
      </c>
      <c r="AZ3578">
        <f>IF('01_Вводные'!$B$234="Да",IF(IF('01_Вводные'!$B$296="Новый сезон",TRUE,TRUE),'19_Расчет_аналитики'!AZ3466*CapacityAge23*'19_Расчет_аналитики'!$F$3247,0),0)</f>
        <v/>
      </c>
      <c r="BA3578">
        <f>IF('01_Вводные'!$B$234="Да",IF(IF('01_Вводные'!$B$296="Новый сезон",TRUE,TRUE),'19_Расчет_аналитики'!BA3466*CapacityAge23*'19_Расчет_аналитики'!$F$3247,0),0)</f>
        <v/>
      </c>
      <c r="BB3578">
        <f>IF('01_Вводные'!$B$234="Да",IF(IF('01_Вводные'!$B$296="Новый сезон",TRUE,TRUE),'19_Расчет_аналитики'!BB3466*CapacityAge23*'19_Расчет_аналитики'!$F$3247,0),0)</f>
        <v/>
      </c>
      <c r="BC3578">
        <f>IF('01_Вводные'!$B$234="Да",IF(IF('01_Вводные'!$B$296="Новый сезон",TRUE,TRUE),'19_Расчет_аналитики'!BC3466*CapacityAge23*'19_Расчет_аналитики'!$F$3247,0),0)</f>
        <v/>
      </c>
      <c r="BD3578">
        <f>IF('01_Вводные'!$B$234="Да",IF(IF('01_Вводные'!$B$296="Новый сезон",TRUE,TRUE),'19_Расчет_аналитики'!BD3466*CapacityAge23*'19_Расчет_аналитики'!$F$3247,0),0)</f>
        <v/>
      </c>
      <c r="BE3578">
        <f>IF('01_Вводные'!$B$234="Да",IF(IF('01_Вводные'!$B$296="Новый сезон",TRUE,TRUE),'19_Расчет_аналитики'!BE3466*CapacityAge23*'19_Расчет_аналитики'!$F$3247,0),0)</f>
        <v/>
      </c>
      <c r="BF3578">
        <f>IF('01_Вводные'!$B$234="Да",IF(IF('01_Вводные'!$B$296="Новый сезон",TRUE,TRUE),'19_Расчет_аналитики'!BF3466*CapacityAge23*'19_Расчет_аналитики'!$F$3247,0),0)</f>
        <v/>
      </c>
      <c r="BG3578">
        <f>IF('01_Вводные'!$B$234="Да",IF(IF('01_Вводные'!$B$296="Новый сезон",TRUE,TRUE),'19_Расчет_аналитики'!BG3466*CapacityAge23*'19_Расчет_аналитики'!$F$3247,0),0)</f>
        <v/>
      </c>
      <c r="BH3578">
        <f>IF('01_Вводные'!$B$234="Да",IF(IF('01_Вводные'!$B$296="Новый сезон",TRUE,TRUE),'19_Расчет_аналитики'!BH3466*CapacityAge23*'19_Расчет_аналитики'!$F$3247,0),0)</f>
        <v/>
      </c>
      <c r="BI3578">
        <f>IF('01_Вводные'!$B$234="Да",IF(IF('01_Вводные'!$B$296="Новый сезон",TRUE,TRUE),'19_Расчет_аналитики'!BI3466*CapacityAge23*'19_Расчет_аналитики'!$F$3247,0),0)</f>
        <v/>
      </c>
      <c r="BJ3578">
        <f>IF('01_Вводные'!$B$234="Да",IF(IF('01_Вводные'!$B$296="Новый сезон",TRUE,TRUE),'19_Расчет_аналитики'!BJ3466*CapacityAge23*'19_Расчет_аналитики'!$F$3247,0),0)</f>
        <v/>
      </c>
      <c r="BK3578">
        <f>IF('01_Вводные'!$B$234="Да",IF(IF('01_Вводные'!$B$296="Новый сезон",TRUE,TRUE),'19_Расчет_аналитики'!BK3466*CapacityAge23*'19_Расчет_аналитики'!$F$3247,0),0)</f>
        <v/>
      </c>
      <c r="BL3578">
        <f>IF('01_Вводные'!$B$234="Да",IF(IF('01_Вводные'!$B$296="Новый сезон",TRUE,TRUE),'19_Расчет_аналитики'!BL3466*CapacityAge23*'19_Расчет_аналитики'!$F$3247,0),0)</f>
        <v/>
      </c>
      <c r="BM3578">
        <f>IF('01_Вводные'!$B$234="Да",IF(IF('01_Вводные'!$B$296="Новый сезон",TRUE,TRUE),'19_Расчет_аналитики'!BM3466*CapacityAge23*'19_Расчет_аналитики'!$F$3247,0),0)</f>
        <v/>
      </c>
      <c r="BN3578">
        <f>IF('01_Вводные'!$B$234="Да",IF(IF('01_Вводные'!$B$296="Новый сезон",TRUE,TRUE),'19_Расчет_аналитики'!BN3466*CapacityAge23*'19_Расчет_аналитики'!$F$3247,0),0)</f>
        <v/>
      </c>
      <c r="BO3578">
        <f>IF('01_Вводные'!$B$234="Да",IF(IF('01_Вводные'!$B$296="Новый сезон",TRUE,TRUE),'19_Расчет_аналитики'!BO3466*CapacityAge23*'19_Расчет_аналитики'!$F$3247,0),0)</f>
        <v/>
      </c>
    </row>
    <row r="3579">
      <c r="B3579">
        <f>IF('01_Вводные'!$B$234="Да",IF(IF('01_Вводные'!$B$296="Новый сезон",TRUE,TRUE),'06_Сеть_и_дети'!B76*CapacityAge24*'19_Расчет_аналитики'!$F$3247,0),0)</f>
        <v/>
      </c>
      <c r="C3579">
        <f>IF('01_Вводные'!$B$234="Да",IF(IF('01_Вводные'!$B$296="Новый сезон",TRUE,TRUE),'06_Сеть_и_дети'!C76*CapacityAge24*'19_Расчет_аналитики'!$F$3247,0),0)</f>
        <v/>
      </c>
      <c r="D3579">
        <f>IF('01_Вводные'!$B$234="Да",IF(IF('01_Вводные'!$B$296="Новый сезон",TRUE,TRUE),'06_Сеть_и_дети'!D76*CapacityAge24*'19_Расчет_аналитики'!$F$3247,0),0)</f>
        <v/>
      </c>
      <c r="E3579">
        <f>IF('01_Вводные'!$B$234="Да",IF(IF('01_Вводные'!$B$296="Новый сезон",TRUE,TRUE),'06_Сеть_и_дети'!E76*CapacityAge24*'19_Расчет_аналитики'!$F$3247,0),0)</f>
        <v/>
      </c>
      <c r="F3579">
        <f>IF('01_Вводные'!$B$234="Да",IF(IF('01_Вводные'!$B$296="Новый сезон",TRUE,TRUE),'06_Сеть_и_дети'!F76*CapacityAge24*'19_Расчет_аналитики'!$F$3247,0),0)</f>
        <v/>
      </c>
      <c r="G3579">
        <f>IF('01_Вводные'!$B$234="Да",IF(IF('01_Вводные'!$B$296="Новый сезон",TRUE,TRUE),'06_Сеть_и_дети'!G76*CapacityAge24*'19_Расчет_аналитики'!$F$3247,0),0)</f>
        <v/>
      </c>
      <c r="H3579">
        <f>IF('01_Вводные'!$B$234="Да",IF(IF('01_Вводные'!$B$296="Новый сезон",TRUE,TRUE),'06_Сеть_и_дети'!H76*CapacityAge24*'19_Расчет_аналитики'!$F$3247,0),0)</f>
        <v/>
      </c>
      <c r="I3579">
        <f>IF('01_Вводные'!$B$234="Да",IF(IF('01_Вводные'!$B$296="Новый сезон",TRUE,TRUE),'06_Сеть_и_дети'!I76*CapacityAge24*'19_Расчет_аналитики'!$F$3247,0),0)</f>
        <v/>
      </c>
      <c r="J3579">
        <f>IF('01_Вводные'!$B$234="Да",IF(IF('01_Вводные'!$B$296="Новый сезон",TRUE,TRUE),'06_Сеть_и_дети'!J76*CapacityAge24*'19_Расчет_аналитики'!$F$3247,0),0)</f>
        <v/>
      </c>
      <c r="K3579">
        <f>IF('01_Вводные'!$B$234="Да",IF(IF('01_Вводные'!$B$296="Новый сезон",TRUE,TRUE),'06_Сеть_и_дети'!K76*CapacityAge24*'19_Расчет_аналитики'!$F$3247,0),0)</f>
        <v/>
      </c>
      <c r="L3579">
        <f>IF('01_Вводные'!$B$234="Да",IF(IF('01_Вводные'!$B$296="Новый сезон",TRUE,TRUE),'06_Сеть_и_дети'!L76*CapacityAge24*'19_Расчет_аналитики'!$F$3247,0),0)</f>
        <v/>
      </c>
      <c r="M3579">
        <f>IF('01_Вводные'!$B$234="Да",IF(IF('01_Вводные'!$B$296="Новый сезон",TRUE,TRUE),'06_Сеть_и_дети'!M76*CapacityAge24*'19_Расчет_аналитики'!$F$3247,0),0)</f>
        <v/>
      </c>
      <c r="N3579">
        <f>IF('01_Вводные'!$B$234="Да",IF(IF('01_Вводные'!$B$296="Новый сезон",TRUE,TRUE),'06_Сеть_и_дети'!N76*CapacityAge24*'19_Расчет_аналитики'!$F$3247,0),0)</f>
        <v/>
      </c>
      <c r="O3579">
        <f>IF('01_Вводные'!$B$234="Да",IF(IF('01_Вводные'!$B$296="Новый сезон",TRUE,TRUE),'06_Сеть_и_дети'!O76*CapacityAge24*'19_Расчет_аналитики'!$F$3247,0),0)</f>
        <v/>
      </c>
      <c r="P3579">
        <f>IF('01_Вводные'!$B$234="Да",IF(IF('01_Вводные'!$B$296="Новый сезон",TRUE,TRUE),'06_Сеть_и_дети'!P76*CapacityAge24*'19_Расчет_аналитики'!$F$3247,0),0)</f>
        <v/>
      </c>
      <c r="Q3579">
        <f>IF('01_Вводные'!$B$234="Да",IF(IF('01_Вводные'!$B$296="Новый сезон",TRUE,TRUE),'06_Сеть_и_дети'!Q76*CapacityAge24*'19_Расчет_аналитики'!$F$3247,0),0)</f>
        <v/>
      </c>
      <c r="R3579">
        <f>IF('01_Вводные'!$B$234="Да",IF(IF('01_Вводные'!$B$296="Новый сезон",TRUE,TRUE),'06_Сеть_и_дети'!R76*CapacityAge24*'19_Расчет_аналитики'!$F$3247,0),0)</f>
        <v/>
      </c>
      <c r="S3579">
        <f>IF('01_Вводные'!$B$234="Да",IF(IF('01_Вводные'!$B$296="Новый сезон",TRUE,TRUE),'06_Сеть_и_дети'!S76*CapacityAge24*'19_Расчет_аналитики'!$F$3247,0),0)</f>
        <v/>
      </c>
      <c r="T3579">
        <f>IF('01_Вводные'!$B$234="Да",IF(IF('01_Вводные'!$B$296="Новый сезон",TRUE,TRUE),'06_Сеть_и_дети'!T76*CapacityAge24*'19_Расчет_аналитики'!$F$3247,0),0)</f>
        <v/>
      </c>
      <c r="U3579">
        <f>IF('01_Вводные'!$B$234="Да",IF(IF('01_Вводные'!$B$296="Новый сезон",TRUE,TRUE),'06_Сеть_и_дети'!U76*CapacityAge24*'19_Расчет_аналитики'!$F$3247,0),0)</f>
        <v/>
      </c>
      <c r="V3579">
        <f>IF('01_Вводные'!$B$234="Да",IF(IF('01_Вводные'!$B$296="Новый сезон",TRUE,TRUE),'06_Сеть_и_дети'!V76*CapacityAge24*'19_Расчет_аналитики'!$F$3247,0),0)</f>
        <v/>
      </c>
      <c r="W3579">
        <f>IF('01_Вводные'!$B$234="Да",IF(IF('01_Вводные'!$B$296="Новый сезон",TRUE,TRUE),'06_Сеть_и_дети'!W76*CapacityAge24*'19_Расчет_аналитики'!$F$3247,0),0)</f>
        <v/>
      </c>
      <c r="X3579">
        <f>IF('01_Вводные'!$B$234="Да",IF(IF('01_Вводные'!$B$296="Новый сезон",TRUE,TRUE),'06_Сеть_и_дети'!X76*CapacityAge24*'19_Расчет_аналитики'!$F$3247,0),0)</f>
        <v/>
      </c>
      <c r="Y3579">
        <f>IF('01_Вводные'!$B$234="Да",IF(IF('01_Вводные'!$B$296="Новый сезон",TRUE,TRUE),'19_Расчет_аналитики'!Y3467*CapacityAge24*'19_Расчет_аналитики'!$F$3247,0),0)</f>
        <v/>
      </c>
      <c r="Z3579">
        <f>IF('01_Вводные'!$B$234="Да",IF(IF('01_Вводные'!$B$296="Новый сезон",TRUE,TRUE),'19_Расчет_аналитики'!Z3467*CapacityAge24*'19_Расчет_аналитики'!$F$3247,0),0)</f>
        <v/>
      </c>
      <c r="AA3579">
        <f>IF('01_Вводные'!$B$234="Да",IF(IF('01_Вводные'!$B$296="Новый сезон",TRUE,TRUE),'19_Расчет_аналитики'!AA3467*CapacityAge24*'19_Расчет_аналитики'!$F$3247,0),0)</f>
        <v/>
      </c>
      <c r="AB3579">
        <f>IF('01_Вводные'!$B$234="Да",IF(IF('01_Вводные'!$B$296="Новый сезон",TRUE,TRUE),'19_Расчет_аналитики'!AB3467*CapacityAge24*'19_Расчет_аналитики'!$F$3247,0),0)</f>
        <v/>
      </c>
      <c r="AC3579">
        <f>IF('01_Вводные'!$B$234="Да",IF(IF('01_Вводные'!$B$296="Новый сезон",TRUE,TRUE),'19_Расчет_аналитики'!AC3467*CapacityAge24*'19_Расчет_аналитики'!$F$3247,0),0)</f>
        <v/>
      </c>
      <c r="AD3579">
        <f>IF('01_Вводные'!$B$234="Да",IF(IF('01_Вводные'!$B$296="Новый сезон",TRUE,TRUE),'19_Расчет_аналитики'!AD3467*CapacityAge24*'19_Расчет_аналитики'!$F$3247,0),0)</f>
        <v/>
      </c>
      <c r="AE3579">
        <f>IF('01_Вводные'!$B$234="Да",IF(IF('01_Вводные'!$B$296="Новый сезон",TRUE,TRUE),'19_Расчет_аналитики'!AE3467*CapacityAge24*'19_Расчет_аналитики'!$F$3247,0),0)</f>
        <v/>
      </c>
      <c r="AF3579">
        <f>IF('01_Вводные'!$B$234="Да",IF(IF('01_Вводные'!$B$296="Новый сезон",TRUE,TRUE),'19_Расчет_аналитики'!AF3467*CapacityAge24*'19_Расчет_аналитики'!$F$3247,0),0)</f>
        <v/>
      </c>
      <c r="AG3579">
        <f>IF('01_Вводные'!$B$234="Да",IF(IF('01_Вводные'!$B$296="Новый сезон",TRUE,TRUE),'19_Расчет_аналитики'!AG3467*CapacityAge24*'19_Расчет_аналитики'!$F$3247,0),0)</f>
        <v/>
      </c>
      <c r="AH3579">
        <f>IF('01_Вводные'!$B$234="Да",IF(IF('01_Вводные'!$B$296="Новый сезон",TRUE,TRUE),'19_Расчет_аналитики'!AH3467*CapacityAge24*'19_Расчет_аналитики'!$F$3247,0),0)</f>
        <v/>
      </c>
      <c r="AI3579">
        <f>IF('01_Вводные'!$B$234="Да",IF(IF('01_Вводные'!$B$296="Новый сезон",TRUE,TRUE),'19_Расчет_аналитики'!AI3467*CapacityAge24*'19_Расчет_аналитики'!$F$3247,0),0)</f>
        <v/>
      </c>
      <c r="AJ3579">
        <f>IF('01_Вводные'!$B$234="Да",IF(IF('01_Вводные'!$B$296="Новый сезон",TRUE,TRUE),'19_Расчет_аналитики'!AJ3467*CapacityAge24*'19_Расчет_аналитики'!$F$3247,0),0)</f>
        <v/>
      </c>
      <c r="AK3579">
        <f>IF('01_Вводные'!$B$234="Да",IF(IF('01_Вводные'!$B$296="Новый сезон",TRUE,TRUE),'19_Расчет_аналитики'!AK3467*CapacityAge24*'19_Расчет_аналитики'!$F$3247,0),0)</f>
        <v/>
      </c>
      <c r="AL3579">
        <f>IF('01_Вводные'!$B$234="Да",IF(IF('01_Вводные'!$B$296="Новый сезон",TRUE,TRUE),'19_Расчет_аналитики'!AL3467*CapacityAge24*'19_Расчет_аналитики'!$F$3247,0),0)</f>
        <v/>
      </c>
      <c r="AM3579">
        <f>IF('01_Вводные'!$B$234="Да",IF(IF('01_Вводные'!$B$296="Новый сезон",TRUE,TRUE),'19_Расчет_аналитики'!AM3467*CapacityAge24*'19_Расчет_аналитики'!$F$3247,0),0)</f>
        <v/>
      </c>
      <c r="AN3579">
        <f>IF('01_Вводные'!$B$234="Да",IF(IF('01_Вводные'!$B$296="Новый сезон",TRUE,TRUE),'19_Расчет_аналитики'!AN3467*CapacityAge24*'19_Расчет_аналитики'!$F$3247,0),0)</f>
        <v/>
      </c>
      <c r="AO3579">
        <f>IF('01_Вводные'!$B$234="Да",IF(IF('01_Вводные'!$B$296="Новый сезон",TRUE,TRUE),'19_Расчет_аналитики'!AO3467*CapacityAge24*'19_Расчет_аналитики'!$F$3247,0),0)</f>
        <v/>
      </c>
      <c r="AP3579">
        <f>IF('01_Вводные'!$B$234="Да",IF(IF('01_Вводные'!$B$296="Новый сезон",TRUE,TRUE),'19_Расчет_аналитики'!AP3467*CapacityAge24*'19_Расчет_аналитики'!$F$3247,0),0)</f>
        <v/>
      </c>
      <c r="AQ3579">
        <f>IF('01_Вводные'!$B$234="Да",IF(IF('01_Вводные'!$B$296="Новый сезон",TRUE,TRUE),'19_Расчет_аналитики'!AQ3467*CapacityAge24*'19_Расчет_аналитики'!$F$3247,0),0)</f>
        <v/>
      </c>
      <c r="AR3579">
        <f>IF('01_Вводные'!$B$234="Да",IF(IF('01_Вводные'!$B$296="Новый сезон",TRUE,TRUE),'19_Расчет_аналитики'!AR3467*CapacityAge24*'19_Расчет_аналитики'!$F$3247,0),0)</f>
        <v/>
      </c>
      <c r="AS3579">
        <f>IF('01_Вводные'!$B$234="Да",IF(IF('01_Вводные'!$B$296="Новый сезон",TRUE,TRUE),'19_Расчет_аналитики'!AS3467*CapacityAge24*'19_Расчет_аналитики'!$F$3247,0),0)</f>
        <v/>
      </c>
      <c r="AT3579">
        <f>IF('01_Вводные'!$B$234="Да",IF(IF('01_Вводные'!$B$296="Новый сезон",TRUE,TRUE),'19_Расчет_аналитики'!AT3467*CapacityAge24*'19_Расчет_аналитики'!$F$3247,0),0)</f>
        <v/>
      </c>
      <c r="AU3579">
        <f>IF('01_Вводные'!$B$234="Да",IF(IF('01_Вводные'!$B$296="Новый сезон",TRUE,TRUE),'19_Расчет_аналитики'!AU3467*CapacityAge24*'19_Расчет_аналитики'!$F$3247,0),0)</f>
        <v/>
      </c>
      <c r="AV3579">
        <f>IF('01_Вводные'!$B$234="Да",IF(IF('01_Вводные'!$B$296="Новый сезон",TRUE,TRUE),'19_Расчет_аналитики'!AV3467*CapacityAge24*'19_Расчет_аналитики'!$F$3247,0),0)</f>
        <v/>
      </c>
      <c r="AW3579">
        <f>IF('01_Вводные'!$B$234="Да",IF(IF('01_Вводные'!$B$296="Новый сезон",TRUE,TRUE),'19_Расчет_аналитики'!AW3467*CapacityAge24*'19_Расчет_аналитики'!$F$3247,0),0)</f>
        <v/>
      </c>
      <c r="AX3579">
        <f>IF('01_Вводные'!$B$234="Да",IF(IF('01_Вводные'!$B$296="Новый сезон",TRUE,TRUE),'19_Расчет_аналитики'!AX3467*CapacityAge24*'19_Расчет_аналитики'!$F$3247,0),0)</f>
        <v/>
      </c>
      <c r="AY3579">
        <f>IF('01_Вводные'!$B$234="Да",IF(IF('01_Вводные'!$B$296="Новый сезон",TRUE,TRUE),'19_Расчет_аналитики'!AY3467*CapacityAge24*'19_Расчет_аналитики'!$F$3247,0),0)</f>
        <v/>
      </c>
      <c r="AZ3579">
        <f>IF('01_Вводные'!$B$234="Да",IF(IF('01_Вводные'!$B$296="Новый сезон",TRUE,TRUE),'19_Расчет_аналитики'!AZ3467*CapacityAge24*'19_Расчет_аналитики'!$F$3247,0),0)</f>
        <v/>
      </c>
      <c r="BA3579">
        <f>IF('01_Вводные'!$B$234="Да",IF(IF('01_Вводные'!$B$296="Новый сезон",TRUE,TRUE),'19_Расчет_аналитики'!BA3467*CapacityAge24*'19_Расчет_аналитики'!$F$3247,0),0)</f>
        <v/>
      </c>
      <c r="BB3579">
        <f>IF('01_Вводные'!$B$234="Да",IF(IF('01_Вводные'!$B$296="Новый сезон",TRUE,TRUE),'19_Расчет_аналитики'!BB3467*CapacityAge24*'19_Расчет_аналитики'!$F$3247,0),0)</f>
        <v/>
      </c>
      <c r="BC3579">
        <f>IF('01_Вводные'!$B$234="Да",IF(IF('01_Вводные'!$B$296="Новый сезон",TRUE,TRUE),'19_Расчет_аналитики'!BC3467*CapacityAge24*'19_Расчет_аналитики'!$F$3247,0),0)</f>
        <v/>
      </c>
      <c r="BD3579">
        <f>IF('01_Вводные'!$B$234="Да",IF(IF('01_Вводные'!$B$296="Новый сезон",TRUE,TRUE),'19_Расчет_аналитики'!BD3467*CapacityAge24*'19_Расчет_аналитики'!$F$3247,0),0)</f>
        <v/>
      </c>
      <c r="BE3579">
        <f>IF('01_Вводные'!$B$234="Да",IF(IF('01_Вводные'!$B$296="Новый сезон",TRUE,TRUE),'19_Расчет_аналитики'!BE3467*CapacityAge24*'19_Расчет_аналитики'!$F$3247,0),0)</f>
        <v/>
      </c>
      <c r="BF3579">
        <f>IF('01_Вводные'!$B$234="Да",IF(IF('01_Вводные'!$B$296="Новый сезон",TRUE,TRUE),'19_Расчет_аналитики'!BF3467*CapacityAge24*'19_Расчет_аналитики'!$F$3247,0),0)</f>
        <v/>
      </c>
      <c r="BG3579">
        <f>IF('01_Вводные'!$B$234="Да",IF(IF('01_Вводные'!$B$296="Новый сезон",TRUE,TRUE),'19_Расчет_аналитики'!BG3467*CapacityAge24*'19_Расчет_аналитики'!$F$3247,0),0)</f>
        <v/>
      </c>
      <c r="BH3579">
        <f>IF('01_Вводные'!$B$234="Да",IF(IF('01_Вводные'!$B$296="Новый сезон",TRUE,TRUE),'19_Расчет_аналитики'!BH3467*CapacityAge24*'19_Расчет_аналитики'!$F$3247,0),0)</f>
        <v/>
      </c>
      <c r="BI3579">
        <f>IF('01_Вводные'!$B$234="Да",IF(IF('01_Вводные'!$B$296="Новый сезон",TRUE,TRUE),'19_Расчет_аналитики'!BI3467*CapacityAge24*'19_Расчет_аналитики'!$F$3247,0),0)</f>
        <v/>
      </c>
      <c r="BJ3579">
        <f>IF('01_Вводные'!$B$234="Да",IF(IF('01_Вводные'!$B$296="Новый сезон",TRUE,TRUE),'19_Расчет_аналитики'!BJ3467*CapacityAge24*'19_Расчет_аналитики'!$F$3247,0),0)</f>
        <v/>
      </c>
      <c r="BK3579">
        <f>IF('01_Вводные'!$B$234="Да",IF(IF('01_Вводные'!$B$296="Новый сезон",TRUE,TRUE),'19_Расчет_аналитики'!BK3467*CapacityAge24*'19_Расчет_аналитики'!$F$3247,0),0)</f>
        <v/>
      </c>
      <c r="BL3579">
        <f>IF('01_Вводные'!$B$234="Да",IF(IF('01_Вводные'!$B$296="Новый сезон",TRUE,TRUE),'19_Расчет_аналитики'!BL3467*CapacityAge24*'19_Расчет_аналитики'!$F$3247,0),0)</f>
        <v/>
      </c>
      <c r="BM3579">
        <f>IF('01_Вводные'!$B$234="Да",IF(IF('01_Вводные'!$B$296="Новый сезон",TRUE,TRUE),'19_Расчет_аналитики'!BM3467*CapacityAge24*'19_Расчет_аналитики'!$F$3247,0),0)</f>
        <v/>
      </c>
      <c r="BN3579">
        <f>IF('01_Вводные'!$B$234="Да",IF(IF('01_Вводные'!$B$296="Новый сезон",TRUE,TRUE),'19_Расчет_аналитики'!BN3467*CapacityAge24*'19_Расчет_аналитики'!$F$3247,0),0)</f>
        <v/>
      </c>
      <c r="BO3579">
        <f>IF('01_Вводные'!$B$234="Да",IF(IF('01_Вводные'!$B$296="Новый сезон",TRUE,TRUE),'19_Расчет_аналитики'!BO3467*CapacityAge24*'19_Расчет_аналитики'!$F$3247,0),0)</f>
        <v/>
      </c>
    </row>
    <row r="3580">
      <c r="B3580">
        <f>IF('01_Вводные'!$B$234="Да",IF(IF('01_Вводные'!$B$296="Новый сезон",TRUE,TRUE),'06_Сеть_и_дети'!B77*CapacityAge25*'19_Расчет_аналитики'!$F$3247,0),0)</f>
        <v/>
      </c>
      <c r="C3580">
        <f>IF('01_Вводные'!$B$234="Да",IF(IF('01_Вводные'!$B$296="Новый сезон",TRUE,TRUE),'06_Сеть_и_дети'!C77*CapacityAge25*'19_Расчет_аналитики'!$F$3247,0),0)</f>
        <v/>
      </c>
      <c r="D3580">
        <f>IF('01_Вводные'!$B$234="Да",IF(IF('01_Вводные'!$B$296="Новый сезон",TRUE,TRUE),'06_Сеть_и_дети'!D77*CapacityAge25*'19_Расчет_аналитики'!$F$3247,0),0)</f>
        <v/>
      </c>
      <c r="E3580">
        <f>IF('01_Вводные'!$B$234="Да",IF(IF('01_Вводные'!$B$296="Новый сезон",TRUE,TRUE),'06_Сеть_и_дети'!E77*CapacityAge25*'19_Расчет_аналитики'!$F$3247,0),0)</f>
        <v/>
      </c>
      <c r="F3580">
        <f>IF('01_Вводные'!$B$234="Да",IF(IF('01_Вводные'!$B$296="Новый сезон",TRUE,TRUE),'06_Сеть_и_дети'!F77*CapacityAge25*'19_Расчет_аналитики'!$F$3247,0),0)</f>
        <v/>
      </c>
      <c r="G3580">
        <f>IF('01_Вводные'!$B$234="Да",IF(IF('01_Вводные'!$B$296="Новый сезон",TRUE,TRUE),'06_Сеть_и_дети'!G77*CapacityAge25*'19_Расчет_аналитики'!$F$3247,0),0)</f>
        <v/>
      </c>
      <c r="H3580">
        <f>IF('01_Вводные'!$B$234="Да",IF(IF('01_Вводные'!$B$296="Новый сезон",TRUE,TRUE),'06_Сеть_и_дети'!H77*CapacityAge25*'19_Расчет_аналитики'!$F$3247,0),0)</f>
        <v/>
      </c>
      <c r="I3580">
        <f>IF('01_Вводные'!$B$234="Да",IF(IF('01_Вводные'!$B$296="Новый сезон",TRUE,TRUE),'06_Сеть_и_дети'!I77*CapacityAge25*'19_Расчет_аналитики'!$F$3247,0),0)</f>
        <v/>
      </c>
      <c r="J3580">
        <f>IF('01_Вводные'!$B$234="Да",IF(IF('01_Вводные'!$B$296="Новый сезон",TRUE,TRUE),'06_Сеть_и_дети'!J77*CapacityAge25*'19_Расчет_аналитики'!$F$3247,0),0)</f>
        <v/>
      </c>
      <c r="K3580">
        <f>IF('01_Вводные'!$B$234="Да",IF(IF('01_Вводные'!$B$296="Новый сезон",TRUE,TRUE),'06_Сеть_и_дети'!K77*CapacityAge25*'19_Расчет_аналитики'!$F$3247,0),0)</f>
        <v/>
      </c>
      <c r="L3580">
        <f>IF('01_Вводные'!$B$234="Да",IF(IF('01_Вводные'!$B$296="Новый сезон",TRUE,TRUE),'06_Сеть_и_дети'!L77*CapacityAge25*'19_Расчет_аналитики'!$F$3247,0),0)</f>
        <v/>
      </c>
      <c r="M3580">
        <f>IF('01_Вводные'!$B$234="Да",IF(IF('01_Вводные'!$B$296="Новый сезон",TRUE,TRUE),'06_Сеть_и_дети'!M77*CapacityAge25*'19_Расчет_аналитики'!$F$3247,0),0)</f>
        <v/>
      </c>
      <c r="N3580">
        <f>IF('01_Вводные'!$B$234="Да",IF(IF('01_Вводные'!$B$296="Новый сезон",TRUE,TRUE),'06_Сеть_и_дети'!N77*CapacityAge25*'19_Расчет_аналитики'!$F$3247,0),0)</f>
        <v/>
      </c>
      <c r="O3580">
        <f>IF('01_Вводные'!$B$234="Да",IF(IF('01_Вводные'!$B$296="Новый сезон",TRUE,TRUE),'06_Сеть_и_дети'!O77*CapacityAge25*'19_Расчет_аналитики'!$F$3247,0),0)</f>
        <v/>
      </c>
      <c r="P3580">
        <f>IF('01_Вводные'!$B$234="Да",IF(IF('01_Вводные'!$B$296="Новый сезон",TRUE,TRUE),'06_Сеть_и_дети'!P77*CapacityAge25*'19_Расчет_аналитики'!$F$3247,0),0)</f>
        <v/>
      </c>
      <c r="Q3580">
        <f>IF('01_Вводные'!$B$234="Да",IF(IF('01_Вводные'!$B$296="Новый сезон",TRUE,TRUE),'06_Сеть_и_дети'!Q77*CapacityAge25*'19_Расчет_аналитики'!$F$3247,0),0)</f>
        <v/>
      </c>
      <c r="R3580">
        <f>IF('01_Вводные'!$B$234="Да",IF(IF('01_Вводные'!$B$296="Новый сезон",TRUE,TRUE),'06_Сеть_и_дети'!R77*CapacityAge25*'19_Расчет_аналитики'!$F$3247,0),0)</f>
        <v/>
      </c>
      <c r="S3580">
        <f>IF('01_Вводные'!$B$234="Да",IF(IF('01_Вводные'!$B$296="Новый сезон",TRUE,TRUE),'06_Сеть_и_дети'!S77*CapacityAge25*'19_Расчет_аналитики'!$F$3247,0),0)</f>
        <v/>
      </c>
      <c r="T3580">
        <f>IF('01_Вводные'!$B$234="Да",IF(IF('01_Вводные'!$B$296="Новый сезон",TRUE,TRUE),'06_Сеть_и_дети'!T77*CapacityAge25*'19_Расчет_аналитики'!$F$3247,0),0)</f>
        <v/>
      </c>
      <c r="U3580">
        <f>IF('01_Вводные'!$B$234="Да",IF(IF('01_Вводные'!$B$296="Новый сезон",TRUE,TRUE),'06_Сеть_и_дети'!U77*CapacityAge25*'19_Расчет_аналитики'!$F$3247,0),0)</f>
        <v/>
      </c>
      <c r="V3580">
        <f>IF('01_Вводные'!$B$234="Да",IF(IF('01_Вводные'!$B$296="Новый сезон",TRUE,TRUE),'06_Сеть_и_дети'!V77*CapacityAge25*'19_Расчет_аналитики'!$F$3247,0),0)</f>
        <v/>
      </c>
      <c r="W3580">
        <f>IF('01_Вводные'!$B$234="Да",IF(IF('01_Вводные'!$B$296="Новый сезон",TRUE,TRUE),'06_Сеть_и_дети'!W77*CapacityAge25*'19_Расчет_аналитики'!$F$3247,0),0)</f>
        <v/>
      </c>
      <c r="X3580">
        <f>IF('01_Вводные'!$B$234="Да",IF(IF('01_Вводные'!$B$296="Новый сезон",TRUE,TRUE),'06_Сеть_и_дети'!X77*CapacityAge25*'19_Расчет_аналитики'!$F$3247,0),0)</f>
        <v/>
      </c>
      <c r="Y3580">
        <f>IF('01_Вводные'!$B$234="Да",IF(IF('01_Вводные'!$B$296="Новый сезон",TRUE,TRUE),'06_Сеть_и_дети'!Y77*CapacityAge25*'19_Расчет_аналитики'!$F$3247,0),0)</f>
        <v/>
      </c>
      <c r="Z3580">
        <f>IF('01_Вводные'!$B$234="Да",IF(IF('01_Вводные'!$B$296="Новый сезон",TRUE,TRUE),'19_Расчет_аналитики'!Z3468*CapacityAge25*'19_Расчет_аналитики'!$F$3247,0),0)</f>
        <v/>
      </c>
      <c r="AA3580">
        <f>IF('01_Вводные'!$B$234="Да",IF(IF('01_Вводные'!$B$296="Новый сезон",TRUE,TRUE),'19_Расчет_аналитики'!AA3468*CapacityAge25*'19_Расчет_аналитики'!$F$3247,0),0)</f>
        <v/>
      </c>
      <c r="AB3580">
        <f>IF('01_Вводные'!$B$234="Да",IF(IF('01_Вводные'!$B$296="Новый сезон",TRUE,TRUE),'19_Расчет_аналитики'!AB3468*CapacityAge25*'19_Расчет_аналитики'!$F$3247,0),0)</f>
        <v/>
      </c>
      <c r="AC3580">
        <f>IF('01_Вводные'!$B$234="Да",IF(IF('01_Вводные'!$B$296="Новый сезон",TRUE,TRUE),'19_Расчет_аналитики'!AC3468*CapacityAge25*'19_Расчет_аналитики'!$F$3247,0),0)</f>
        <v/>
      </c>
      <c r="AD3580">
        <f>IF('01_Вводные'!$B$234="Да",IF(IF('01_Вводные'!$B$296="Новый сезон",TRUE,TRUE),'19_Расчет_аналитики'!AD3468*CapacityAge25*'19_Расчет_аналитики'!$F$3247,0),0)</f>
        <v/>
      </c>
      <c r="AE3580">
        <f>IF('01_Вводные'!$B$234="Да",IF(IF('01_Вводные'!$B$296="Новый сезон",TRUE,TRUE),'19_Расчет_аналитики'!AE3468*CapacityAge25*'19_Расчет_аналитики'!$F$3247,0),0)</f>
        <v/>
      </c>
      <c r="AF3580">
        <f>IF('01_Вводные'!$B$234="Да",IF(IF('01_Вводные'!$B$296="Новый сезон",TRUE,TRUE),'19_Расчет_аналитики'!AF3468*CapacityAge25*'19_Расчет_аналитики'!$F$3247,0),0)</f>
        <v/>
      </c>
      <c r="AG3580">
        <f>IF('01_Вводные'!$B$234="Да",IF(IF('01_Вводные'!$B$296="Новый сезон",TRUE,TRUE),'19_Расчет_аналитики'!AG3468*CapacityAge25*'19_Расчет_аналитики'!$F$3247,0),0)</f>
        <v/>
      </c>
      <c r="AH3580">
        <f>IF('01_Вводные'!$B$234="Да",IF(IF('01_Вводные'!$B$296="Новый сезон",TRUE,TRUE),'19_Расчет_аналитики'!AH3468*CapacityAge25*'19_Расчет_аналитики'!$F$3247,0),0)</f>
        <v/>
      </c>
      <c r="AI3580">
        <f>IF('01_Вводные'!$B$234="Да",IF(IF('01_Вводные'!$B$296="Новый сезон",TRUE,TRUE),'19_Расчет_аналитики'!AI3468*CapacityAge25*'19_Расчет_аналитики'!$F$3247,0),0)</f>
        <v/>
      </c>
      <c r="AJ3580">
        <f>IF('01_Вводные'!$B$234="Да",IF(IF('01_Вводные'!$B$296="Новый сезон",TRUE,TRUE),'19_Расчет_аналитики'!AJ3468*CapacityAge25*'19_Расчет_аналитики'!$F$3247,0),0)</f>
        <v/>
      </c>
      <c r="AK3580">
        <f>IF('01_Вводные'!$B$234="Да",IF(IF('01_Вводные'!$B$296="Новый сезон",TRUE,TRUE),'19_Расчет_аналитики'!AK3468*CapacityAge25*'19_Расчет_аналитики'!$F$3247,0),0)</f>
        <v/>
      </c>
      <c r="AL3580">
        <f>IF('01_Вводные'!$B$234="Да",IF(IF('01_Вводные'!$B$296="Новый сезон",TRUE,TRUE),'19_Расчет_аналитики'!AL3468*CapacityAge25*'19_Расчет_аналитики'!$F$3247,0),0)</f>
        <v/>
      </c>
      <c r="AM3580">
        <f>IF('01_Вводные'!$B$234="Да",IF(IF('01_Вводные'!$B$296="Новый сезон",TRUE,TRUE),'19_Расчет_аналитики'!AM3468*CapacityAge25*'19_Расчет_аналитики'!$F$3247,0),0)</f>
        <v/>
      </c>
      <c r="AN3580">
        <f>IF('01_Вводные'!$B$234="Да",IF(IF('01_Вводные'!$B$296="Новый сезон",TRUE,TRUE),'19_Расчет_аналитики'!AN3468*CapacityAge25*'19_Расчет_аналитики'!$F$3247,0),0)</f>
        <v/>
      </c>
      <c r="AO3580">
        <f>IF('01_Вводные'!$B$234="Да",IF(IF('01_Вводные'!$B$296="Новый сезон",TRUE,TRUE),'19_Расчет_аналитики'!AO3468*CapacityAge25*'19_Расчет_аналитики'!$F$3247,0),0)</f>
        <v/>
      </c>
      <c r="AP3580">
        <f>IF('01_Вводные'!$B$234="Да",IF(IF('01_Вводные'!$B$296="Новый сезон",TRUE,TRUE),'19_Расчет_аналитики'!AP3468*CapacityAge25*'19_Расчет_аналитики'!$F$3247,0),0)</f>
        <v/>
      </c>
      <c r="AQ3580">
        <f>IF('01_Вводные'!$B$234="Да",IF(IF('01_Вводные'!$B$296="Новый сезон",TRUE,TRUE),'19_Расчет_аналитики'!AQ3468*CapacityAge25*'19_Расчет_аналитики'!$F$3247,0),0)</f>
        <v/>
      </c>
      <c r="AR3580">
        <f>IF('01_Вводные'!$B$234="Да",IF(IF('01_Вводные'!$B$296="Новый сезон",TRUE,TRUE),'19_Расчет_аналитики'!AR3468*CapacityAge25*'19_Расчет_аналитики'!$F$3247,0),0)</f>
        <v/>
      </c>
      <c r="AS3580">
        <f>IF('01_Вводные'!$B$234="Да",IF(IF('01_Вводные'!$B$296="Новый сезон",TRUE,TRUE),'19_Расчет_аналитики'!AS3468*CapacityAge25*'19_Расчет_аналитики'!$F$3247,0),0)</f>
        <v/>
      </c>
      <c r="AT3580">
        <f>IF('01_Вводные'!$B$234="Да",IF(IF('01_Вводные'!$B$296="Новый сезон",TRUE,TRUE),'19_Расчет_аналитики'!AT3468*CapacityAge25*'19_Расчет_аналитики'!$F$3247,0),0)</f>
        <v/>
      </c>
      <c r="AU3580">
        <f>IF('01_Вводные'!$B$234="Да",IF(IF('01_Вводные'!$B$296="Новый сезон",TRUE,TRUE),'19_Расчет_аналитики'!AU3468*CapacityAge25*'19_Расчет_аналитики'!$F$3247,0),0)</f>
        <v/>
      </c>
      <c r="AV3580">
        <f>IF('01_Вводные'!$B$234="Да",IF(IF('01_Вводные'!$B$296="Новый сезон",TRUE,TRUE),'19_Расчет_аналитики'!AV3468*CapacityAge25*'19_Расчет_аналитики'!$F$3247,0),0)</f>
        <v/>
      </c>
      <c r="AW3580">
        <f>IF('01_Вводные'!$B$234="Да",IF(IF('01_Вводные'!$B$296="Новый сезон",TRUE,TRUE),'19_Расчет_аналитики'!AW3468*CapacityAge25*'19_Расчет_аналитики'!$F$3247,0),0)</f>
        <v/>
      </c>
      <c r="AX3580">
        <f>IF('01_Вводные'!$B$234="Да",IF(IF('01_Вводные'!$B$296="Новый сезон",TRUE,TRUE),'19_Расчет_аналитики'!AX3468*CapacityAge25*'19_Расчет_аналитики'!$F$3247,0),0)</f>
        <v/>
      </c>
      <c r="AY3580">
        <f>IF('01_Вводные'!$B$234="Да",IF(IF('01_Вводные'!$B$296="Новый сезон",TRUE,TRUE),'19_Расчет_аналитики'!AY3468*CapacityAge25*'19_Расчет_аналитики'!$F$3247,0),0)</f>
        <v/>
      </c>
      <c r="AZ3580">
        <f>IF('01_Вводные'!$B$234="Да",IF(IF('01_Вводные'!$B$296="Новый сезон",TRUE,TRUE),'19_Расчет_аналитики'!AZ3468*CapacityAge25*'19_Расчет_аналитики'!$F$3247,0),0)</f>
        <v/>
      </c>
      <c r="BA3580">
        <f>IF('01_Вводные'!$B$234="Да",IF(IF('01_Вводные'!$B$296="Новый сезон",TRUE,TRUE),'19_Расчет_аналитики'!BA3468*CapacityAge25*'19_Расчет_аналитики'!$F$3247,0),0)</f>
        <v/>
      </c>
      <c r="BB3580">
        <f>IF('01_Вводные'!$B$234="Да",IF(IF('01_Вводные'!$B$296="Новый сезон",TRUE,TRUE),'19_Расчет_аналитики'!BB3468*CapacityAge25*'19_Расчет_аналитики'!$F$3247,0),0)</f>
        <v/>
      </c>
      <c r="BC3580">
        <f>IF('01_Вводные'!$B$234="Да",IF(IF('01_Вводные'!$B$296="Новый сезон",TRUE,TRUE),'19_Расчет_аналитики'!BC3468*CapacityAge25*'19_Расчет_аналитики'!$F$3247,0),0)</f>
        <v/>
      </c>
      <c r="BD3580">
        <f>IF('01_Вводные'!$B$234="Да",IF(IF('01_Вводные'!$B$296="Новый сезон",TRUE,TRUE),'19_Расчет_аналитики'!BD3468*CapacityAge25*'19_Расчет_аналитики'!$F$3247,0),0)</f>
        <v/>
      </c>
      <c r="BE3580">
        <f>IF('01_Вводные'!$B$234="Да",IF(IF('01_Вводные'!$B$296="Новый сезон",TRUE,TRUE),'19_Расчет_аналитики'!BE3468*CapacityAge25*'19_Расчет_аналитики'!$F$3247,0),0)</f>
        <v/>
      </c>
      <c r="BF3580">
        <f>IF('01_Вводные'!$B$234="Да",IF(IF('01_Вводные'!$B$296="Новый сезон",TRUE,TRUE),'19_Расчет_аналитики'!BF3468*CapacityAge25*'19_Расчет_аналитики'!$F$3247,0),0)</f>
        <v/>
      </c>
      <c r="BG3580">
        <f>IF('01_Вводные'!$B$234="Да",IF(IF('01_Вводные'!$B$296="Новый сезон",TRUE,TRUE),'19_Расчет_аналитики'!BG3468*CapacityAge25*'19_Расчет_аналитики'!$F$3247,0),0)</f>
        <v/>
      </c>
      <c r="BH3580">
        <f>IF('01_Вводные'!$B$234="Да",IF(IF('01_Вводные'!$B$296="Новый сезон",TRUE,TRUE),'19_Расчет_аналитики'!BH3468*CapacityAge25*'19_Расчет_аналитики'!$F$3247,0),0)</f>
        <v/>
      </c>
      <c r="BI3580">
        <f>IF('01_Вводные'!$B$234="Да",IF(IF('01_Вводные'!$B$296="Новый сезон",TRUE,TRUE),'19_Расчет_аналитики'!BI3468*CapacityAge25*'19_Расчет_аналитики'!$F$3247,0),0)</f>
        <v/>
      </c>
      <c r="BJ3580">
        <f>IF('01_Вводные'!$B$234="Да",IF(IF('01_Вводные'!$B$296="Новый сезон",TRUE,TRUE),'19_Расчет_аналитики'!BJ3468*CapacityAge25*'19_Расчет_аналитики'!$F$3247,0),0)</f>
        <v/>
      </c>
      <c r="BK3580">
        <f>IF('01_Вводные'!$B$234="Да",IF(IF('01_Вводные'!$B$296="Новый сезон",TRUE,TRUE),'19_Расчет_аналитики'!BK3468*CapacityAge25*'19_Расчет_аналитики'!$F$3247,0),0)</f>
        <v/>
      </c>
      <c r="BL3580">
        <f>IF('01_Вводные'!$B$234="Да",IF(IF('01_Вводные'!$B$296="Новый сезон",TRUE,TRUE),'19_Расчет_аналитики'!BL3468*CapacityAge25*'19_Расчет_аналитики'!$F$3247,0),0)</f>
        <v/>
      </c>
      <c r="BM3580">
        <f>IF('01_Вводные'!$B$234="Да",IF(IF('01_Вводные'!$B$296="Новый сезон",TRUE,TRUE),'19_Расчет_аналитики'!BM3468*CapacityAge25*'19_Расчет_аналитики'!$F$3247,0),0)</f>
        <v/>
      </c>
      <c r="BN3580">
        <f>IF('01_Вводные'!$B$234="Да",IF(IF('01_Вводные'!$B$296="Новый сезон",TRUE,TRUE),'19_Расчет_аналитики'!BN3468*CapacityAge25*'19_Расчет_аналитики'!$F$3247,0),0)</f>
        <v/>
      </c>
      <c r="BO3580">
        <f>IF('01_Вводные'!$B$234="Да",IF(IF('01_Вводные'!$B$296="Новый сезон",TRUE,TRUE),'19_Расчет_аналитики'!BO3468*CapacityAge25*'19_Расчет_аналитики'!$F$3247,0),0)</f>
        <v/>
      </c>
    </row>
    <row r="3581"/>
    <row r="3582">
      <c r="B3582">
        <f>IF('01_Вводные'!$B$234="Да",SUM('19_Расчет_аналитики'!B3556:B3580),0)</f>
        <v/>
      </c>
      <c r="C3582">
        <f>IF('01_Вводные'!$B$234="Да",SUM('19_Расчет_аналитики'!C3556:C3580),0)</f>
        <v/>
      </c>
      <c r="D3582">
        <f>IF('01_Вводные'!$B$234="Да",SUM('19_Расчет_аналитики'!D3556:D3580),0)</f>
        <v/>
      </c>
      <c r="E3582">
        <f>IF('01_Вводные'!$B$234="Да",SUM('19_Расчет_аналитики'!E3556:E3580),0)</f>
        <v/>
      </c>
      <c r="F3582">
        <f>IF('01_Вводные'!$B$234="Да",SUM('19_Расчет_аналитики'!F3556:F3580),0)</f>
        <v/>
      </c>
      <c r="G3582">
        <f>IF('01_Вводные'!$B$234="Да",SUM('19_Расчет_аналитики'!G3556:G3580),0)</f>
        <v/>
      </c>
      <c r="H3582">
        <f>IF('01_Вводные'!$B$234="Да",SUM('19_Расчет_аналитики'!H3556:H3580),0)</f>
        <v/>
      </c>
      <c r="I3582">
        <f>IF('01_Вводные'!$B$234="Да",SUM('19_Расчет_аналитики'!I3556:I3580),0)</f>
        <v/>
      </c>
      <c r="J3582">
        <f>IF('01_Вводные'!$B$234="Да",SUM('19_Расчет_аналитики'!J3556:J3580),0)</f>
        <v/>
      </c>
      <c r="K3582">
        <f>IF('01_Вводные'!$B$234="Да",SUM('19_Расчет_аналитики'!K3556:K3580),0)</f>
        <v/>
      </c>
      <c r="L3582">
        <f>IF('01_Вводные'!$B$234="Да",SUM('19_Расчет_аналитики'!L3556:L3580),0)</f>
        <v/>
      </c>
      <c r="M3582">
        <f>IF('01_Вводные'!$B$234="Да",SUM('19_Расчет_аналитики'!M3556:M3580),0)</f>
        <v/>
      </c>
      <c r="N3582">
        <f>IF('01_Вводные'!$B$234="Да",SUM('19_Расчет_аналитики'!N3556:N3580),0)</f>
        <v/>
      </c>
      <c r="O3582">
        <f>IF('01_Вводные'!$B$234="Да",SUM('19_Расчет_аналитики'!O3556:O3580),0)</f>
        <v/>
      </c>
      <c r="P3582">
        <f>IF('01_Вводные'!$B$234="Да",SUM('19_Расчет_аналитики'!P3556:P3580),0)</f>
        <v/>
      </c>
      <c r="Q3582">
        <f>IF('01_Вводные'!$B$234="Да",SUM('19_Расчет_аналитики'!Q3556:Q3580),0)</f>
        <v/>
      </c>
      <c r="R3582">
        <f>IF('01_Вводные'!$B$234="Да",SUM('19_Расчет_аналитики'!R3556:R3580),0)</f>
        <v/>
      </c>
      <c r="S3582">
        <f>IF('01_Вводные'!$B$234="Да",SUM('19_Расчет_аналитики'!S3556:S3580),0)</f>
        <v/>
      </c>
      <c r="T3582">
        <f>IF('01_Вводные'!$B$234="Да",SUM('19_Расчет_аналитики'!T3556:T3580),0)</f>
        <v/>
      </c>
      <c r="U3582">
        <f>IF('01_Вводные'!$B$234="Да",SUM('19_Расчет_аналитики'!U3556:U3580),0)</f>
        <v/>
      </c>
      <c r="V3582">
        <f>IF('01_Вводные'!$B$234="Да",SUM('19_Расчет_аналитики'!V3556:V3580),0)</f>
        <v/>
      </c>
      <c r="W3582">
        <f>IF('01_Вводные'!$B$234="Да",SUM('19_Расчет_аналитики'!W3556:W3580),0)</f>
        <v/>
      </c>
      <c r="X3582">
        <f>IF('01_Вводные'!$B$234="Да",SUM('19_Расчет_аналитики'!X3556:X3580),0)</f>
        <v/>
      </c>
      <c r="Y3582">
        <f>IF('01_Вводные'!$B$234="Да",SUM('19_Расчет_аналитики'!Y3556:Y3580),0)</f>
        <v/>
      </c>
      <c r="Z3582">
        <f>IF('01_Вводные'!$B$234="Да",SUM('19_Расчет_аналитики'!Z3556:Z3580),0)</f>
        <v/>
      </c>
      <c r="AA3582">
        <f>IF('01_Вводные'!$B$234="Да",SUM('19_Расчет_аналитики'!AA3556:AA3580),0)</f>
        <v/>
      </c>
      <c r="AB3582">
        <f>IF('01_Вводные'!$B$234="Да",SUM('19_Расчет_аналитики'!AB3556:AB3580),0)</f>
        <v/>
      </c>
      <c r="AC3582">
        <f>IF('01_Вводные'!$B$234="Да",SUM('19_Расчет_аналитики'!AC3556:AC3580),0)</f>
        <v/>
      </c>
      <c r="AD3582">
        <f>IF('01_Вводные'!$B$234="Да",SUM('19_Расчет_аналитики'!AD3556:AD3580),0)</f>
        <v/>
      </c>
      <c r="AE3582">
        <f>IF('01_Вводные'!$B$234="Да",SUM('19_Расчет_аналитики'!AE3556:AE3580),0)</f>
        <v/>
      </c>
      <c r="AF3582">
        <f>IF('01_Вводные'!$B$234="Да",SUM('19_Расчет_аналитики'!AF3556:AF3580),0)</f>
        <v/>
      </c>
      <c r="AG3582">
        <f>IF('01_Вводные'!$B$234="Да",SUM('19_Расчет_аналитики'!AG3556:AG3580),0)</f>
        <v/>
      </c>
      <c r="AH3582">
        <f>IF('01_Вводные'!$B$234="Да",SUM('19_Расчет_аналитики'!AH3556:AH3580),0)</f>
        <v/>
      </c>
      <c r="AI3582">
        <f>IF('01_Вводные'!$B$234="Да",SUM('19_Расчет_аналитики'!AI3556:AI3580),0)</f>
        <v/>
      </c>
      <c r="AJ3582">
        <f>IF('01_Вводные'!$B$234="Да",SUM('19_Расчет_аналитики'!AJ3556:AJ3580),0)</f>
        <v/>
      </c>
      <c r="AK3582">
        <f>IF('01_Вводные'!$B$234="Да",SUM('19_Расчет_аналитики'!AK3556:AK3580),0)</f>
        <v/>
      </c>
      <c r="AL3582">
        <f>IF('01_Вводные'!$B$234="Да",SUM('19_Расчет_аналитики'!AL3556:AL3580),0)</f>
        <v/>
      </c>
      <c r="AM3582">
        <f>IF('01_Вводные'!$B$234="Да",SUM('19_Расчет_аналитики'!AM3556:AM3580),0)</f>
        <v/>
      </c>
      <c r="AN3582">
        <f>IF('01_Вводные'!$B$234="Да",SUM('19_Расчет_аналитики'!AN3556:AN3580),0)</f>
        <v/>
      </c>
      <c r="AO3582">
        <f>IF('01_Вводные'!$B$234="Да",SUM('19_Расчет_аналитики'!AO3556:AO3580),0)</f>
        <v/>
      </c>
      <c r="AP3582">
        <f>IF('01_Вводные'!$B$234="Да",SUM('19_Расчет_аналитики'!AP3556:AP3580),0)</f>
        <v/>
      </c>
      <c r="AQ3582">
        <f>IF('01_Вводные'!$B$234="Да",SUM('19_Расчет_аналитики'!AQ3556:AQ3580),0)</f>
        <v/>
      </c>
      <c r="AR3582">
        <f>IF('01_Вводные'!$B$234="Да",SUM('19_Расчет_аналитики'!AR3556:AR3580),0)</f>
        <v/>
      </c>
      <c r="AS3582">
        <f>IF('01_Вводные'!$B$234="Да",SUM('19_Расчет_аналитики'!AS3556:AS3580),0)</f>
        <v/>
      </c>
      <c r="AT3582">
        <f>IF('01_Вводные'!$B$234="Да",SUM('19_Расчет_аналитики'!AT3556:AT3580),0)</f>
        <v/>
      </c>
      <c r="AU3582">
        <f>IF('01_Вводные'!$B$234="Да",SUM('19_Расчет_аналитики'!AU3556:AU3580),0)</f>
        <v/>
      </c>
      <c r="AV3582">
        <f>IF('01_Вводные'!$B$234="Да",SUM('19_Расчет_аналитики'!AV3556:AV3580),0)</f>
        <v/>
      </c>
      <c r="AW3582">
        <f>IF('01_Вводные'!$B$234="Да",SUM('19_Расчет_аналитики'!AW3556:AW3580),0)</f>
        <v/>
      </c>
      <c r="AX3582">
        <f>IF('01_Вводные'!$B$234="Да",SUM('19_Расчет_аналитики'!AX3556:AX3580),0)</f>
        <v/>
      </c>
      <c r="AY3582">
        <f>IF('01_Вводные'!$B$234="Да",SUM('19_Расчет_аналитики'!AY3556:AY3580),0)</f>
        <v/>
      </c>
      <c r="AZ3582">
        <f>IF('01_Вводные'!$B$234="Да",SUM('19_Расчет_аналитики'!AZ3556:AZ3580),0)</f>
        <v/>
      </c>
      <c r="BA3582">
        <f>IF('01_Вводные'!$B$234="Да",SUM('19_Расчет_аналитики'!BA3556:BA3580),0)</f>
        <v/>
      </c>
      <c r="BB3582">
        <f>IF('01_Вводные'!$B$234="Да",SUM('19_Расчет_аналитики'!BB3556:BB3580),0)</f>
        <v/>
      </c>
      <c r="BC3582">
        <f>IF('01_Вводные'!$B$234="Да",SUM('19_Расчет_аналитики'!BC3556:BC3580),0)</f>
        <v/>
      </c>
      <c r="BD3582">
        <f>IF('01_Вводные'!$B$234="Да",SUM('19_Расчет_аналитики'!BD3556:BD3580),0)</f>
        <v/>
      </c>
      <c r="BE3582">
        <f>IF('01_Вводные'!$B$234="Да",SUM('19_Расчет_аналитики'!BE3556:BE3580),0)</f>
        <v/>
      </c>
      <c r="BF3582">
        <f>IF('01_Вводные'!$B$234="Да",SUM('19_Расчет_аналитики'!BF3556:BF3580),0)</f>
        <v/>
      </c>
      <c r="BG3582">
        <f>IF('01_Вводные'!$B$234="Да",SUM('19_Расчет_аналитики'!BG3556:BG3580),0)</f>
        <v/>
      </c>
      <c r="BH3582">
        <f>IF('01_Вводные'!$B$234="Да",SUM('19_Расчет_аналитики'!BH3556:BH3580),0)</f>
        <v/>
      </c>
      <c r="BI3582">
        <f>IF('01_Вводные'!$B$234="Да",SUM('19_Расчет_аналитики'!BI3556:BI3580),0)</f>
        <v/>
      </c>
      <c r="BJ3582">
        <f>IF('01_Вводные'!$B$234="Да",SUM('19_Расчет_аналитики'!BJ3556:BJ3580),0)</f>
        <v/>
      </c>
      <c r="BK3582">
        <f>IF('01_Вводные'!$B$234="Да",SUM('19_Расчет_аналитики'!BK3556:BK3580),0)</f>
        <v/>
      </c>
      <c r="BL3582">
        <f>IF('01_Вводные'!$B$234="Да",SUM('19_Расчет_аналитики'!BL3556:BL3580),0)</f>
        <v/>
      </c>
      <c r="BM3582">
        <f>IF('01_Вводные'!$B$234="Да",SUM('19_Расчет_аналитики'!BM3556:BM3580),0)</f>
        <v/>
      </c>
      <c r="BN3582">
        <f>IF('01_Вводные'!$B$234="Да",SUM('19_Расчет_аналитики'!BN3556:BN3580),0)</f>
        <v/>
      </c>
      <c r="BO3582">
        <f>IF('01_Вводные'!$B$234="Да",SUM('19_Расчет_аналитики'!BO3556:BO3580),0)</f>
        <v/>
      </c>
    </row>
    <row r="3583"/>
    <row r="3584"/>
    <row r="3585"/>
    <row r="3586"/>
    <row r="3587"/>
    <row r="3588"/>
    <row r="3589"/>
    <row r="3590"/>
    <row r="3591"/>
    <row r="3592"/>
    <row r="3593">
      <c r="B3593">
        <f>IF('01_Вводные'!$B$234="Да",'06_Сеть_и_дети'!B5*'19_Расчет_аналитики'!$F$3247*'19_Расчет_аналитики'!$F$3248*'18_Календарь_тарифы'!B4,0)</f>
        <v/>
      </c>
      <c r="C3593">
        <f>IF('01_Вводные'!$B$234="Да",'06_Сеть_и_дети'!C5*'19_Расчет_аналитики'!$F$3247*'19_Расчет_аналитики'!$F$3248*'18_Календарь_тарифы'!C4,0)</f>
        <v/>
      </c>
      <c r="D3593">
        <f>IF('01_Вводные'!$B$234="Да",'06_Сеть_и_дети'!D5*'19_Расчет_аналитики'!$F$3247*'19_Расчет_аналитики'!$F$3248*'18_Календарь_тарифы'!D4,0)</f>
        <v/>
      </c>
      <c r="E3593">
        <f>IF('01_Вводные'!$B$234="Да",'06_Сеть_и_дети'!E5*'19_Расчет_аналитики'!$F$3247*'19_Расчет_аналитики'!$F$3248*'18_Календарь_тарифы'!E4,0)</f>
        <v/>
      </c>
      <c r="F3593">
        <f>IF('01_Вводные'!$B$234="Да",'06_Сеть_и_дети'!F5*'19_Расчет_аналитики'!$F$3247*'19_Расчет_аналитики'!$F$3248*'18_Календарь_тарифы'!F4,0)</f>
        <v/>
      </c>
      <c r="G3593">
        <f>IF('01_Вводные'!$B$234="Да",'06_Сеть_и_дети'!G5*'19_Расчет_аналитики'!$F$3247*'19_Расчет_аналитики'!$F$3248*'18_Календарь_тарифы'!G4,0)</f>
        <v/>
      </c>
      <c r="H3593">
        <f>IF('01_Вводные'!$B$234="Да",'06_Сеть_и_дети'!H5*'19_Расчет_аналитики'!$F$3247*'19_Расчет_аналитики'!$F$3248*'18_Календарь_тарифы'!H4,0)</f>
        <v/>
      </c>
      <c r="I3593">
        <f>IF('01_Вводные'!$B$234="Да",'06_Сеть_и_дети'!I5*'19_Расчет_аналитики'!$F$3247*'19_Расчет_аналитики'!$F$3248*'18_Календарь_тарифы'!I4,0)</f>
        <v/>
      </c>
      <c r="J3593">
        <f>IF('01_Вводные'!$B$234="Да",'06_Сеть_и_дети'!J5*'19_Расчет_аналитики'!$F$3247*'19_Расчет_аналитики'!$F$3248*'18_Календарь_тарифы'!J4,0)</f>
        <v/>
      </c>
      <c r="K3593">
        <f>IF('01_Вводные'!$B$234="Да",'06_Сеть_и_дети'!K5*'19_Расчет_аналитики'!$F$3247*'19_Расчет_аналитики'!$F$3248*'18_Календарь_тарифы'!K4,0)</f>
        <v/>
      </c>
      <c r="L3593">
        <f>IF('01_Вводные'!$B$234="Да",'06_Сеть_и_дети'!L5*'19_Расчет_аналитики'!$F$3247*'19_Расчет_аналитики'!$F$3248*'18_Календарь_тарифы'!L4,0)</f>
        <v/>
      </c>
      <c r="M3593">
        <f>IF('01_Вводные'!$B$234="Да",'06_Сеть_и_дети'!M5*'19_Расчет_аналитики'!$F$3247*'19_Расчет_аналитики'!$F$3248*'18_Календарь_тарифы'!M4,0)</f>
        <v/>
      </c>
      <c r="N3593">
        <f>IF('01_Вводные'!$B$234="Да",'06_Сеть_и_дети'!N5*'19_Расчет_аналитики'!$F$3247*'19_Расчет_аналитики'!$F$3248*'18_Календарь_тарифы'!N4,0)</f>
        <v/>
      </c>
      <c r="O3593">
        <f>IF('01_Вводные'!$B$234="Да",'06_Сеть_и_дети'!O5*'19_Расчет_аналитики'!$F$3247*'19_Расчет_аналитики'!$F$3248*'18_Календарь_тарифы'!O4,0)</f>
        <v/>
      </c>
      <c r="P3593">
        <f>IF('01_Вводные'!$B$234="Да",'06_Сеть_и_дети'!P5*'19_Расчет_аналитики'!$F$3247*'19_Расчет_аналитики'!$F$3248*'18_Календарь_тарифы'!P4,0)</f>
        <v/>
      </c>
      <c r="Q3593">
        <f>IF('01_Вводные'!$B$234="Да",'06_Сеть_и_дети'!Q5*'19_Расчет_аналитики'!$F$3247*'19_Расчет_аналитики'!$F$3248*'18_Календарь_тарифы'!Q4,0)</f>
        <v/>
      </c>
      <c r="R3593">
        <f>IF('01_Вводные'!$B$234="Да",'06_Сеть_и_дети'!R5*'19_Расчет_аналитики'!$F$3247*'19_Расчет_аналитики'!$F$3248*'18_Календарь_тарифы'!R4,0)</f>
        <v/>
      </c>
      <c r="S3593">
        <f>IF('01_Вводные'!$B$234="Да",'06_Сеть_и_дети'!S5*'19_Расчет_аналитики'!$F$3247*'19_Расчет_аналитики'!$F$3248*'18_Календарь_тарифы'!S4,0)</f>
        <v/>
      </c>
      <c r="T3593">
        <f>IF('01_Вводные'!$B$234="Да",'06_Сеть_и_дети'!T5*'19_Расчет_аналитики'!$F$3247*'19_Расчет_аналитики'!$F$3248*'18_Календарь_тарифы'!T4,0)</f>
        <v/>
      </c>
      <c r="U3593">
        <f>IF('01_Вводные'!$B$234="Да",'06_Сеть_и_дети'!U5*'19_Расчет_аналитики'!$F$3247*'19_Расчет_аналитики'!$F$3248*'18_Календарь_тарифы'!U4,0)</f>
        <v/>
      </c>
      <c r="V3593">
        <f>IF('01_Вводные'!$B$234="Да",'06_Сеть_и_дети'!V5*'19_Расчет_аналитики'!$F$3247*'19_Расчет_аналитики'!$F$3248*'18_Календарь_тарифы'!V4,0)</f>
        <v/>
      </c>
      <c r="W3593">
        <f>IF('01_Вводные'!$B$234="Да",'06_Сеть_и_дети'!W5*'19_Расчет_аналитики'!$F$3247*'19_Расчет_аналитики'!$F$3248*'18_Календарь_тарифы'!W4,0)</f>
        <v/>
      </c>
      <c r="X3593">
        <f>IF('01_Вводные'!$B$234="Да",'06_Сеть_и_дети'!X5*'19_Расчет_аналитики'!$F$3247*'19_Расчет_аналитики'!$F$3248*'18_Календарь_тарифы'!X4,0)</f>
        <v/>
      </c>
      <c r="Y3593">
        <f>IF('01_Вводные'!$B$234="Да",'06_Сеть_и_дети'!Y5*'19_Расчет_аналитики'!$F$3247*'19_Расчет_аналитики'!$F$3248*'18_Календарь_тарифы'!Y4,0)</f>
        <v/>
      </c>
      <c r="Z3593">
        <f>IF('01_Вводные'!$B$234="Да",'06_Сеть_и_дети'!Z5*'19_Расчет_аналитики'!$F$3247*'19_Расчет_аналитики'!$F$3248*'18_Календарь_тарифы'!Z4,0)</f>
        <v/>
      </c>
      <c r="AA3593">
        <f>IF('01_Вводные'!$B$234="Да",'06_Сеть_и_дети'!AA5*'19_Расчет_аналитики'!$F$3247*'19_Расчет_аналитики'!$F$3248*'18_Календарь_тарифы'!AA4,0)</f>
        <v/>
      </c>
      <c r="AB3593">
        <f>IF('01_Вводные'!$B$234="Да",'06_Сеть_и_дети'!AB5*'19_Расчет_аналитики'!$F$3247*'19_Расчет_аналитики'!$F$3248*'18_Календарь_тарифы'!AB4,0)</f>
        <v/>
      </c>
      <c r="AC3593">
        <f>IF('01_Вводные'!$B$234="Да",'06_Сеть_и_дети'!AC5*'19_Расчет_аналитики'!$F$3247*'19_Расчет_аналитики'!$F$3248*'18_Календарь_тарифы'!AC4,0)</f>
        <v/>
      </c>
      <c r="AD3593">
        <f>IF('01_Вводные'!$B$234="Да",'06_Сеть_и_дети'!AD5*'19_Расчет_аналитики'!$F$3247*'19_Расчет_аналитики'!$F$3248*'18_Календарь_тарифы'!AD4,0)</f>
        <v/>
      </c>
      <c r="AE3593">
        <f>IF('01_Вводные'!$B$234="Да",'06_Сеть_и_дети'!AE5*'19_Расчет_аналитики'!$F$3247*'19_Расчет_аналитики'!$F$3248*'18_Календарь_тарифы'!AE4,0)</f>
        <v/>
      </c>
      <c r="AF3593">
        <f>IF('01_Вводные'!$B$234="Да",'06_Сеть_и_дети'!AF5*'19_Расчет_аналитики'!$F$3247*'19_Расчет_аналитики'!$F$3248*'18_Календарь_тарифы'!AF4,0)</f>
        <v/>
      </c>
      <c r="AG3593">
        <f>IF('01_Вводные'!$B$234="Да",'06_Сеть_и_дети'!AG5*'19_Расчет_аналитики'!$F$3247*'19_Расчет_аналитики'!$F$3248*'18_Календарь_тарифы'!AG4,0)</f>
        <v/>
      </c>
      <c r="AH3593">
        <f>IF('01_Вводные'!$B$234="Да",'06_Сеть_и_дети'!AH5*'19_Расчет_аналитики'!$F$3247*'19_Расчет_аналитики'!$F$3248*'18_Календарь_тарифы'!AH4,0)</f>
        <v/>
      </c>
      <c r="AI3593">
        <f>IF('01_Вводные'!$B$234="Да",'06_Сеть_и_дети'!AI5*'19_Расчет_аналитики'!$F$3247*'19_Расчет_аналитики'!$F$3248*'18_Календарь_тарифы'!AI4,0)</f>
        <v/>
      </c>
      <c r="AJ3593">
        <f>IF('01_Вводные'!$B$234="Да",'06_Сеть_и_дети'!AJ5*'19_Расчет_аналитики'!$F$3247*'19_Расчет_аналитики'!$F$3248*'18_Календарь_тарифы'!AJ4,0)</f>
        <v/>
      </c>
      <c r="AK3593">
        <f>IF('01_Вводные'!$B$234="Да",'06_Сеть_и_дети'!AK5*'19_Расчет_аналитики'!$F$3247*'19_Расчет_аналитики'!$F$3248*'18_Календарь_тарифы'!AK4,0)</f>
        <v/>
      </c>
      <c r="AL3593">
        <f>IF('01_Вводные'!$B$234="Да",'06_Сеть_и_дети'!AL5*'19_Расчет_аналитики'!$F$3247*'19_Расчет_аналитики'!$F$3248*'18_Календарь_тарифы'!AL4,0)</f>
        <v/>
      </c>
      <c r="AM3593">
        <f>IF('01_Вводные'!$B$234="Да",'06_Сеть_и_дети'!AM5*'19_Расчет_аналитики'!$F$3247*'19_Расчет_аналитики'!$F$3248*'18_Календарь_тарифы'!AM4,0)</f>
        <v/>
      </c>
      <c r="AN3593">
        <f>IF('01_Вводные'!$B$234="Да",'06_Сеть_и_дети'!AN5*'19_Расчет_аналитики'!$F$3247*'19_Расчет_аналитики'!$F$3248*'18_Календарь_тарифы'!AN4,0)</f>
        <v/>
      </c>
      <c r="AO3593">
        <f>IF('01_Вводные'!$B$234="Да",'06_Сеть_и_дети'!AO5*'19_Расчет_аналитики'!$F$3247*'19_Расчет_аналитики'!$F$3248*'18_Календарь_тарифы'!AO4,0)</f>
        <v/>
      </c>
      <c r="AP3593">
        <f>IF('01_Вводные'!$B$234="Да",'06_Сеть_и_дети'!AP5*'19_Расчет_аналитики'!$F$3247*'19_Расчет_аналитики'!$F$3248*'18_Календарь_тарифы'!AP4,0)</f>
        <v/>
      </c>
      <c r="AQ3593">
        <f>IF('01_Вводные'!$B$234="Да",'06_Сеть_и_дети'!AQ5*'19_Расчет_аналитики'!$F$3247*'19_Расчет_аналитики'!$F$3248*'18_Календарь_тарифы'!AQ4,0)</f>
        <v/>
      </c>
      <c r="AR3593">
        <f>IF('01_Вводные'!$B$234="Да",'06_Сеть_и_дети'!AR5*'19_Расчет_аналитики'!$F$3247*'19_Расчет_аналитики'!$F$3248*'18_Календарь_тарифы'!AR4,0)</f>
        <v/>
      </c>
      <c r="AS3593">
        <f>IF('01_Вводные'!$B$234="Да",'06_Сеть_и_дети'!AS5*'19_Расчет_аналитики'!$F$3247*'19_Расчет_аналитики'!$F$3248*'18_Календарь_тарифы'!AS4,0)</f>
        <v/>
      </c>
      <c r="AT3593">
        <f>IF('01_Вводные'!$B$234="Да",'06_Сеть_и_дети'!AT5*'19_Расчет_аналитики'!$F$3247*'19_Расчет_аналитики'!$F$3248*'18_Календарь_тарифы'!AT4,0)</f>
        <v/>
      </c>
      <c r="AU3593">
        <f>IF('01_Вводные'!$B$234="Да",'06_Сеть_и_дети'!AU5*'19_Расчет_аналитики'!$F$3247*'19_Расчет_аналитики'!$F$3248*'18_Календарь_тарифы'!AU4,0)</f>
        <v/>
      </c>
      <c r="AV3593">
        <f>IF('01_Вводные'!$B$234="Да",'06_Сеть_и_дети'!AV5*'19_Расчет_аналитики'!$F$3247*'19_Расчет_аналитики'!$F$3248*'18_Календарь_тарифы'!AV4,0)</f>
        <v/>
      </c>
      <c r="AW3593">
        <f>IF('01_Вводные'!$B$234="Да",'06_Сеть_и_дети'!AW5*'19_Расчет_аналитики'!$F$3247*'19_Расчет_аналитики'!$F$3248*'18_Календарь_тарифы'!AW4,0)</f>
        <v/>
      </c>
      <c r="AX3593">
        <f>IF('01_Вводные'!$B$234="Да",'06_Сеть_и_дети'!AX5*'19_Расчет_аналитики'!$F$3247*'19_Расчет_аналитики'!$F$3248*'18_Календарь_тарифы'!AX4,0)</f>
        <v/>
      </c>
      <c r="AY3593">
        <f>IF('01_Вводные'!$B$234="Да",'06_Сеть_и_дети'!AY5*'19_Расчет_аналитики'!$F$3247*'19_Расчет_аналитики'!$F$3248*'18_Календарь_тарифы'!AY4,0)</f>
        <v/>
      </c>
      <c r="AZ3593">
        <f>IF('01_Вводные'!$B$234="Да",'06_Сеть_и_дети'!AZ5*'19_Расчет_аналитики'!$F$3247*'19_Расчет_аналитики'!$F$3248*'18_Календарь_тарифы'!AZ4,0)</f>
        <v/>
      </c>
      <c r="BA3593">
        <f>IF('01_Вводные'!$B$234="Да",'06_Сеть_и_дети'!BA5*'19_Расчет_аналитики'!$F$3247*'19_Расчет_аналитики'!$F$3248*'18_Календарь_тарифы'!BA4,0)</f>
        <v/>
      </c>
      <c r="BB3593">
        <f>IF('01_Вводные'!$B$234="Да",'06_Сеть_и_дети'!BB5*'19_Расчет_аналитики'!$F$3247*'19_Расчет_аналитики'!$F$3248*'18_Календарь_тарифы'!BB4,0)</f>
        <v/>
      </c>
      <c r="BC3593">
        <f>IF('01_Вводные'!$B$234="Да",'06_Сеть_и_дети'!BC5*'19_Расчет_аналитики'!$F$3247*'19_Расчет_аналитики'!$F$3248*'18_Календарь_тарифы'!BC4,0)</f>
        <v/>
      </c>
      <c r="BD3593">
        <f>IF('01_Вводные'!$B$234="Да",'06_Сеть_и_дети'!BD5*'19_Расчет_аналитики'!$F$3247*'19_Расчет_аналитики'!$F$3248*'18_Календарь_тарифы'!BD4,0)</f>
        <v/>
      </c>
      <c r="BE3593">
        <f>IF('01_Вводные'!$B$234="Да",'06_Сеть_и_дети'!BE5*'19_Расчет_аналитики'!$F$3247*'19_Расчет_аналитики'!$F$3248*'18_Календарь_тарифы'!BE4,0)</f>
        <v/>
      </c>
      <c r="BF3593">
        <f>IF('01_Вводные'!$B$234="Да",'06_Сеть_и_дети'!BF5*'19_Расчет_аналитики'!$F$3247*'19_Расчет_аналитики'!$F$3248*'18_Календарь_тарифы'!BF4,0)</f>
        <v/>
      </c>
      <c r="BG3593">
        <f>IF('01_Вводные'!$B$234="Да",'06_Сеть_и_дети'!BG5*'19_Расчет_аналитики'!$F$3247*'19_Расчет_аналитики'!$F$3248*'18_Календарь_тарифы'!BG4,0)</f>
        <v/>
      </c>
      <c r="BH3593">
        <f>IF('01_Вводные'!$B$234="Да",'06_Сеть_и_дети'!BH5*'19_Расчет_аналитики'!$F$3247*'19_Расчет_аналитики'!$F$3248*'18_Календарь_тарифы'!BH4,0)</f>
        <v/>
      </c>
      <c r="BI3593">
        <f>IF('01_Вводные'!$B$234="Да",'06_Сеть_и_дети'!BI5*'19_Расчет_аналитики'!$F$3247*'19_Расчет_аналитики'!$F$3248*'18_Календарь_тарифы'!BI4,0)</f>
        <v/>
      </c>
      <c r="BJ3593">
        <f>IF('01_Вводные'!$B$234="Да",'06_Сеть_и_дети'!BJ5*'19_Расчет_аналитики'!$F$3247*'19_Расчет_аналитики'!$F$3248*'18_Календарь_тарифы'!BJ4,0)</f>
        <v/>
      </c>
      <c r="BK3593">
        <f>IF('01_Вводные'!$B$234="Да",'06_Сеть_и_дети'!BK5*'19_Расчет_аналитики'!$F$3247*'19_Расчет_аналитики'!$F$3248*'18_Календарь_тарифы'!BK4,0)</f>
        <v/>
      </c>
      <c r="BL3593">
        <f>IF('01_Вводные'!$B$234="Да",'06_Сеть_и_дети'!BL5*'19_Расчет_аналитики'!$F$3247*'19_Расчет_аналитики'!$F$3248*'18_Календарь_тарифы'!BL4,0)</f>
        <v/>
      </c>
      <c r="BM3593">
        <f>IF('01_Вводные'!$B$234="Да",'06_Сеть_и_дети'!BM5*'19_Расчет_аналитики'!$F$3247*'19_Расчет_аналитики'!$F$3248*'18_Календарь_тарифы'!BM4,0)</f>
        <v/>
      </c>
      <c r="BN3593">
        <f>IF('01_Вводные'!$B$234="Да",'06_Сеть_и_дети'!BN5*'19_Расчет_аналитики'!$F$3247*'19_Расчет_аналитики'!$F$3248*'18_Календарь_тарифы'!BN4,0)</f>
        <v/>
      </c>
      <c r="BO3593">
        <f>IF('01_Вводные'!$B$234="Да",'06_Сеть_и_дети'!BO5*'19_Расчет_аналитики'!$F$3247*'19_Расчет_аналитики'!$F$3248*'18_Календарь_тарифы'!BO4,0)</f>
        <v/>
      </c>
    </row>
    <row r="3594"/>
    <row r="3595">
      <c r="B3595">
        <f>IF('01_Вводные'!$B$234="Да",'19_Расчет_аналитики'!B3593*IF('06_Сеть_и_дети'!B$3&gt;='01_Вводные'!$B$245,'01_Вводные'!$B$57,'01_Вводные'!$B$55),0)</f>
        <v/>
      </c>
      <c r="C3595">
        <f>IF('01_Вводные'!$B$234="Да",'19_Расчет_аналитики'!C3593*IF('06_Сеть_и_дети'!C$3&gt;='01_Вводные'!$B$245,'01_Вводные'!$B$57,'01_Вводные'!$B$55),0)</f>
        <v/>
      </c>
      <c r="D3595">
        <f>IF('01_Вводные'!$B$234="Да",'19_Расчет_аналитики'!D3593*IF('06_Сеть_и_дети'!D$3&gt;='01_Вводные'!$B$245,'01_Вводные'!$B$57,'01_Вводные'!$B$55),0)</f>
        <v/>
      </c>
      <c r="E3595">
        <f>IF('01_Вводные'!$B$234="Да",'19_Расчет_аналитики'!E3593*IF('06_Сеть_и_дети'!E$3&gt;='01_Вводные'!$B$245,'01_Вводные'!$B$57,'01_Вводные'!$B$55),0)</f>
        <v/>
      </c>
      <c r="F3595">
        <f>IF('01_Вводные'!$B$234="Да",'19_Расчет_аналитики'!F3593*IF('06_Сеть_и_дети'!F$3&gt;='01_Вводные'!$B$245,'01_Вводные'!$B$57,'01_Вводные'!$B$55),0)</f>
        <v/>
      </c>
      <c r="G3595">
        <f>IF('01_Вводные'!$B$234="Да",'19_Расчет_аналитики'!G3593*IF('06_Сеть_и_дети'!G$3&gt;='01_Вводные'!$B$245,'01_Вводные'!$B$57,'01_Вводные'!$B$55),0)</f>
        <v/>
      </c>
      <c r="H3595">
        <f>IF('01_Вводные'!$B$234="Да",'19_Расчет_аналитики'!H3593*IF('06_Сеть_и_дети'!H$3&gt;='01_Вводные'!$B$245,'01_Вводные'!$B$57,'01_Вводные'!$B$55),0)</f>
        <v/>
      </c>
      <c r="I3595">
        <f>IF('01_Вводные'!$B$234="Да",'19_Расчет_аналитики'!I3593*IF('06_Сеть_и_дети'!I$3&gt;='01_Вводные'!$B$245,'01_Вводные'!$B$57,'01_Вводные'!$B$55),0)</f>
        <v/>
      </c>
      <c r="J3595">
        <f>IF('01_Вводные'!$B$234="Да",'19_Расчет_аналитики'!J3593*IF('06_Сеть_и_дети'!J$3&gt;='01_Вводные'!$B$245,'01_Вводные'!$B$57,'01_Вводные'!$B$55),0)</f>
        <v/>
      </c>
      <c r="K3595">
        <f>IF('01_Вводные'!$B$234="Да",'19_Расчет_аналитики'!K3593*IF('06_Сеть_и_дети'!K$3&gt;='01_Вводные'!$B$245,'01_Вводные'!$B$57,'01_Вводные'!$B$55),0)</f>
        <v/>
      </c>
      <c r="L3595">
        <f>IF('01_Вводные'!$B$234="Да",'19_Расчет_аналитики'!L3593*IF('06_Сеть_и_дети'!L$3&gt;='01_Вводные'!$B$245,'01_Вводные'!$B$57,'01_Вводные'!$B$55),0)</f>
        <v/>
      </c>
      <c r="M3595">
        <f>IF('01_Вводные'!$B$234="Да",'19_Расчет_аналитики'!M3593*IF('06_Сеть_и_дети'!M$3&gt;='01_Вводные'!$B$245,'01_Вводные'!$B$57,'01_Вводные'!$B$55),0)</f>
        <v/>
      </c>
      <c r="N3595">
        <f>IF('01_Вводные'!$B$234="Да",'19_Расчет_аналитики'!N3593*IF('06_Сеть_и_дети'!N$3&gt;='01_Вводные'!$B$245,'01_Вводные'!$B$57,'01_Вводные'!$B$55),0)</f>
        <v/>
      </c>
      <c r="O3595">
        <f>IF('01_Вводные'!$B$234="Да",'19_Расчет_аналитики'!O3593*IF('06_Сеть_и_дети'!O$3&gt;='01_Вводные'!$B$245,'01_Вводные'!$B$57,'01_Вводные'!$B$55),0)</f>
        <v/>
      </c>
      <c r="P3595">
        <f>IF('01_Вводные'!$B$234="Да",'19_Расчет_аналитики'!P3593*IF('06_Сеть_и_дети'!P$3&gt;='01_Вводные'!$B$245,'01_Вводные'!$B$57,'01_Вводные'!$B$55),0)</f>
        <v/>
      </c>
      <c r="Q3595">
        <f>IF('01_Вводные'!$B$234="Да",'19_Расчет_аналитики'!Q3593*IF('06_Сеть_и_дети'!Q$3&gt;='01_Вводные'!$B$245,'01_Вводные'!$B$57,'01_Вводные'!$B$55),0)</f>
        <v/>
      </c>
      <c r="R3595">
        <f>IF('01_Вводные'!$B$234="Да",'19_Расчет_аналитики'!R3593*IF('06_Сеть_и_дети'!R$3&gt;='01_Вводные'!$B$245,'01_Вводные'!$B$57,'01_Вводные'!$B$55),0)</f>
        <v/>
      </c>
      <c r="S3595">
        <f>IF('01_Вводные'!$B$234="Да",'19_Расчет_аналитики'!S3593*IF('06_Сеть_и_дети'!S$3&gt;='01_Вводные'!$B$245,'01_Вводные'!$B$57,'01_Вводные'!$B$55),0)</f>
        <v/>
      </c>
      <c r="T3595">
        <f>IF('01_Вводные'!$B$234="Да",'19_Расчет_аналитики'!T3593*IF('06_Сеть_и_дети'!T$3&gt;='01_Вводные'!$B$245,'01_Вводные'!$B$57,'01_Вводные'!$B$55),0)</f>
        <v/>
      </c>
      <c r="U3595">
        <f>IF('01_Вводные'!$B$234="Да",'19_Расчет_аналитики'!U3593*IF('06_Сеть_и_дети'!U$3&gt;='01_Вводные'!$B$245,'01_Вводные'!$B$57,'01_Вводные'!$B$55),0)</f>
        <v/>
      </c>
      <c r="V3595">
        <f>IF('01_Вводные'!$B$234="Да",'19_Расчет_аналитики'!V3593*IF('06_Сеть_и_дети'!V$3&gt;='01_Вводные'!$B$245,'01_Вводные'!$B$57,'01_Вводные'!$B$55),0)</f>
        <v/>
      </c>
      <c r="W3595">
        <f>IF('01_Вводные'!$B$234="Да",'19_Расчет_аналитики'!W3593*IF('06_Сеть_и_дети'!W$3&gt;='01_Вводные'!$B$245,'01_Вводные'!$B$57,'01_Вводные'!$B$55),0)</f>
        <v/>
      </c>
      <c r="X3595">
        <f>IF('01_Вводные'!$B$234="Да",'19_Расчет_аналитики'!X3593*IF('06_Сеть_и_дети'!X$3&gt;='01_Вводные'!$B$245,'01_Вводные'!$B$57,'01_Вводные'!$B$55),0)</f>
        <v/>
      </c>
      <c r="Y3595">
        <f>IF('01_Вводные'!$B$234="Да",'19_Расчет_аналитики'!Y3593*IF('06_Сеть_и_дети'!Y$3&gt;='01_Вводные'!$B$245,'01_Вводные'!$B$57,'01_Вводные'!$B$55),0)</f>
        <v/>
      </c>
      <c r="Z3595">
        <f>IF('01_Вводные'!$B$234="Да",'19_Расчет_аналитики'!Z3593*IF('06_Сеть_и_дети'!Z$3&gt;='01_Вводные'!$B$245,'01_Вводные'!$B$57,'01_Вводные'!$B$55),0)</f>
        <v/>
      </c>
      <c r="AA3595">
        <f>IF('01_Вводные'!$B$234="Да",'19_Расчет_аналитики'!AA3593*IF('06_Сеть_и_дети'!AA$3&gt;='01_Вводные'!$B$245,'01_Вводные'!$B$57,'01_Вводные'!$B$55),0)</f>
        <v/>
      </c>
      <c r="AB3595">
        <f>IF('01_Вводные'!$B$234="Да",'19_Расчет_аналитики'!AB3593*IF('06_Сеть_и_дети'!AB$3&gt;='01_Вводные'!$B$245,'01_Вводные'!$B$57,'01_Вводные'!$B$55),0)</f>
        <v/>
      </c>
      <c r="AC3595">
        <f>IF('01_Вводные'!$B$234="Да",'19_Расчет_аналитики'!AC3593*IF('06_Сеть_и_дети'!AC$3&gt;='01_Вводные'!$B$245,'01_Вводные'!$B$57,'01_Вводные'!$B$55),0)</f>
        <v/>
      </c>
      <c r="AD3595">
        <f>IF('01_Вводные'!$B$234="Да",'19_Расчет_аналитики'!AD3593*IF('06_Сеть_и_дети'!AD$3&gt;='01_Вводные'!$B$245,'01_Вводные'!$B$57,'01_Вводные'!$B$55),0)</f>
        <v/>
      </c>
      <c r="AE3595">
        <f>IF('01_Вводные'!$B$234="Да",'19_Расчет_аналитики'!AE3593*IF('06_Сеть_и_дети'!AE$3&gt;='01_Вводные'!$B$245,'01_Вводные'!$B$57,'01_Вводные'!$B$55),0)</f>
        <v/>
      </c>
      <c r="AF3595">
        <f>IF('01_Вводные'!$B$234="Да",'19_Расчет_аналитики'!AF3593*IF('06_Сеть_и_дети'!AF$3&gt;='01_Вводные'!$B$245,'01_Вводные'!$B$57,'01_Вводные'!$B$55),0)</f>
        <v/>
      </c>
      <c r="AG3595">
        <f>IF('01_Вводные'!$B$234="Да",'19_Расчет_аналитики'!AG3593*IF('06_Сеть_и_дети'!AG$3&gt;='01_Вводные'!$B$245,'01_Вводные'!$B$57,'01_Вводные'!$B$55),0)</f>
        <v/>
      </c>
      <c r="AH3595">
        <f>IF('01_Вводные'!$B$234="Да",'19_Расчет_аналитики'!AH3593*IF('06_Сеть_и_дети'!AH$3&gt;='01_Вводные'!$B$245,'01_Вводные'!$B$57,'01_Вводные'!$B$55),0)</f>
        <v/>
      </c>
      <c r="AI3595">
        <f>IF('01_Вводные'!$B$234="Да",'19_Расчет_аналитики'!AI3593*IF('06_Сеть_и_дети'!AI$3&gt;='01_Вводные'!$B$245,'01_Вводные'!$B$57,'01_Вводные'!$B$55),0)</f>
        <v/>
      </c>
      <c r="AJ3595">
        <f>IF('01_Вводные'!$B$234="Да",'19_Расчет_аналитики'!AJ3593*IF('06_Сеть_и_дети'!AJ$3&gt;='01_Вводные'!$B$245,'01_Вводные'!$B$57,'01_Вводные'!$B$55),0)</f>
        <v/>
      </c>
      <c r="AK3595">
        <f>IF('01_Вводные'!$B$234="Да",'19_Расчет_аналитики'!AK3593*IF('06_Сеть_и_дети'!AK$3&gt;='01_Вводные'!$B$245,'01_Вводные'!$B$57,'01_Вводные'!$B$55),0)</f>
        <v/>
      </c>
      <c r="AL3595">
        <f>IF('01_Вводные'!$B$234="Да",'19_Расчет_аналитики'!AL3593*IF('06_Сеть_и_дети'!AL$3&gt;='01_Вводные'!$B$245,'01_Вводные'!$B$57,'01_Вводные'!$B$55),0)</f>
        <v/>
      </c>
      <c r="AM3595">
        <f>IF('01_Вводные'!$B$234="Да",'19_Расчет_аналитики'!AM3593*IF('06_Сеть_и_дети'!AM$3&gt;='01_Вводные'!$B$245,'01_Вводные'!$B$57,'01_Вводные'!$B$55),0)</f>
        <v/>
      </c>
      <c r="AN3595">
        <f>IF('01_Вводные'!$B$234="Да",'19_Расчет_аналитики'!AN3593*IF('06_Сеть_и_дети'!AN$3&gt;='01_Вводные'!$B$245,'01_Вводные'!$B$57,'01_Вводные'!$B$55),0)</f>
        <v/>
      </c>
      <c r="AO3595">
        <f>IF('01_Вводные'!$B$234="Да",'19_Расчет_аналитики'!AO3593*IF('06_Сеть_и_дети'!AO$3&gt;='01_Вводные'!$B$245,'01_Вводные'!$B$57,'01_Вводные'!$B$55),0)</f>
        <v/>
      </c>
      <c r="AP3595">
        <f>IF('01_Вводные'!$B$234="Да",'19_Расчет_аналитики'!AP3593*IF('06_Сеть_и_дети'!AP$3&gt;='01_Вводные'!$B$245,'01_Вводные'!$B$57,'01_Вводные'!$B$55),0)</f>
        <v/>
      </c>
      <c r="AQ3595">
        <f>IF('01_Вводные'!$B$234="Да",'19_Расчет_аналитики'!AQ3593*IF('06_Сеть_и_дети'!AQ$3&gt;='01_Вводные'!$B$245,'01_Вводные'!$B$57,'01_Вводные'!$B$55),0)</f>
        <v/>
      </c>
      <c r="AR3595">
        <f>IF('01_Вводные'!$B$234="Да",'19_Расчет_аналитики'!AR3593*IF('06_Сеть_и_дети'!AR$3&gt;='01_Вводные'!$B$245,'01_Вводные'!$B$57,'01_Вводные'!$B$55),0)</f>
        <v/>
      </c>
      <c r="AS3595">
        <f>IF('01_Вводные'!$B$234="Да",'19_Расчет_аналитики'!AS3593*IF('06_Сеть_и_дети'!AS$3&gt;='01_Вводные'!$B$245,'01_Вводные'!$B$57,'01_Вводные'!$B$55),0)</f>
        <v/>
      </c>
      <c r="AT3595">
        <f>IF('01_Вводные'!$B$234="Да",'19_Расчет_аналитики'!AT3593*IF('06_Сеть_и_дети'!AT$3&gt;='01_Вводные'!$B$245,'01_Вводные'!$B$57,'01_Вводные'!$B$55),0)</f>
        <v/>
      </c>
      <c r="AU3595">
        <f>IF('01_Вводные'!$B$234="Да",'19_Расчет_аналитики'!AU3593*IF('06_Сеть_и_дети'!AU$3&gt;='01_Вводные'!$B$245,'01_Вводные'!$B$57,'01_Вводные'!$B$55),0)</f>
        <v/>
      </c>
      <c r="AV3595">
        <f>IF('01_Вводные'!$B$234="Да",'19_Расчет_аналитики'!AV3593*IF('06_Сеть_и_дети'!AV$3&gt;='01_Вводные'!$B$245,'01_Вводные'!$B$57,'01_Вводные'!$B$55),0)</f>
        <v/>
      </c>
      <c r="AW3595">
        <f>IF('01_Вводные'!$B$234="Да",'19_Расчет_аналитики'!AW3593*IF('06_Сеть_и_дети'!AW$3&gt;='01_Вводные'!$B$245,'01_Вводные'!$B$57,'01_Вводные'!$B$55),0)</f>
        <v/>
      </c>
      <c r="AX3595">
        <f>IF('01_Вводные'!$B$234="Да",'19_Расчет_аналитики'!AX3593*IF('06_Сеть_и_дети'!AX$3&gt;='01_Вводные'!$B$245,'01_Вводные'!$B$57,'01_Вводные'!$B$55),0)</f>
        <v/>
      </c>
      <c r="AY3595">
        <f>IF('01_Вводные'!$B$234="Да",'19_Расчет_аналитики'!AY3593*IF('06_Сеть_и_дети'!AY$3&gt;='01_Вводные'!$B$245,'01_Вводные'!$B$57,'01_Вводные'!$B$55),0)</f>
        <v/>
      </c>
      <c r="AZ3595">
        <f>IF('01_Вводные'!$B$234="Да",'19_Расчет_аналитики'!AZ3593*IF('06_Сеть_и_дети'!AZ$3&gt;='01_Вводные'!$B$245,'01_Вводные'!$B$57,'01_Вводные'!$B$55),0)</f>
        <v/>
      </c>
      <c r="BA3595">
        <f>IF('01_Вводные'!$B$234="Да",'19_Расчет_аналитики'!BA3593*IF('06_Сеть_и_дети'!BA$3&gt;='01_Вводные'!$B$245,'01_Вводные'!$B$57,'01_Вводные'!$B$55),0)</f>
        <v/>
      </c>
      <c r="BB3595">
        <f>IF('01_Вводные'!$B$234="Да",'19_Расчет_аналитики'!BB3593*IF('06_Сеть_и_дети'!BB$3&gt;='01_Вводные'!$B$245,'01_Вводные'!$B$57,'01_Вводные'!$B$55),0)</f>
        <v/>
      </c>
      <c r="BC3595">
        <f>IF('01_Вводные'!$B$234="Да",'19_Расчет_аналитики'!BC3593*IF('06_Сеть_и_дети'!BC$3&gt;='01_Вводные'!$B$245,'01_Вводные'!$B$57,'01_Вводные'!$B$55),0)</f>
        <v/>
      </c>
      <c r="BD3595">
        <f>IF('01_Вводные'!$B$234="Да",'19_Расчет_аналитики'!BD3593*IF('06_Сеть_и_дети'!BD$3&gt;='01_Вводные'!$B$245,'01_Вводные'!$B$57,'01_Вводные'!$B$55),0)</f>
        <v/>
      </c>
      <c r="BE3595">
        <f>IF('01_Вводные'!$B$234="Да",'19_Расчет_аналитики'!BE3593*IF('06_Сеть_и_дети'!BE$3&gt;='01_Вводные'!$B$245,'01_Вводные'!$B$57,'01_Вводные'!$B$55),0)</f>
        <v/>
      </c>
      <c r="BF3595">
        <f>IF('01_Вводные'!$B$234="Да",'19_Расчет_аналитики'!BF3593*IF('06_Сеть_и_дети'!BF$3&gt;='01_Вводные'!$B$245,'01_Вводные'!$B$57,'01_Вводные'!$B$55),0)</f>
        <v/>
      </c>
      <c r="BG3595">
        <f>IF('01_Вводные'!$B$234="Да",'19_Расчет_аналитики'!BG3593*IF('06_Сеть_и_дети'!BG$3&gt;='01_Вводные'!$B$245,'01_Вводные'!$B$57,'01_Вводные'!$B$55),0)</f>
        <v/>
      </c>
      <c r="BH3595">
        <f>IF('01_Вводные'!$B$234="Да",'19_Расчет_аналитики'!BH3593*IF('06_Сеть_и_дети'!BH$3&gt;='01_Вводные'!$B$245,'01_Вводные'!$B$57,'01_Вводные'!$B$55),0)</f>
        <v/>
      </c>
      <c r="BI3595">
        <f>IF('01_Вводные'!$B$234="Да",'19_Расчет_аналитики'!BI3593*IF('06_Сеть_и_дети'!BI$3&gt;='01_Вводные'!$B$245,'01_Вводные'!$B$57,'01_Вводные'!$B$55),0)</f>
        <v/>
      </c>
      <c r="BJ3595">
        <f>IF('01_Вводные'!$B$234="Да",'19_Расчет_аналитики'!BJ3593*IF('06_Сеть_и_дети'!BJ$3&gt;='01_Вводные'!$B$245,'01_Вводные'!$B$57,'01_Вводные'!$B$55),0)</f>
        <v/>
      </c>
      <c r="BK3595">
        <f>IF('01_Вводные'!$B$234="Да",'19_Расчет_аналитики'!BK3593*IF('06_Сеть_и_дети'!BK$3&gt;='01_Вводные'!$B$245,'01_Вводные'!$B$57,'01_Вводные'!$B$55),0)</f>
        <v/>
      </c>
      <c r="BL3595">
        <f>IF('01_Вводные'!$B$234="Да",'19_Расчет_аналитики'!BL3593*IF('06_Сеть_и_дети'!BL$3&gt;='01_Вводные'!$B$245,'01_Вводные'!$B$57,'01_Вводные'!$B$55),0)</f>
        <v/>
      </c>
      <c r="BM3595">
        <f>IF('01_Вводные'!$B$234="Да",'19_Расчет_аналитики'!BM3593*IF('06_Сеть_и_дети'!BM$3&gt;='01_Вводные'!$B$245,'01_Вводные'!$B$57,'01_Вводные'!$B$55),0)</f>
        <v/>
      </c>
      <c r="BN3595">
        <f>IF('01_Вводные'!$B$234="Да",'19_Расчет_аналитики'!BN3593*IF('06_Сеть_и_дети'!BN$3&gt;='01_Вводные'!$B$245,'01_Вводные'!$B$57,'01_Вводные'!$B$55),0)</f>
        <v/>
      </c>
      <c r="BO3595">
        <f>IF('01_Вводные'!$B$234="Да",'19_Расчет_аналитики'!BO3593*IF('06_Сеть_и_дети'!BO$3&gt;='01_Вводные'!$B$245,'01_Вводные'!$B$57,'01_Вводные'!$B$55),0)</f>
        <v/>
      </c>
    </row>
    <row r="3596">
      <c r="B3596">
        <f>IF('01_Вводные'!$B$234="Да",'19_Расчет_аналитики'!B3593*IF('06_Сеть_и_дети'!B$3&gt;='01_Вводные'!$B$245,'01_Вводные'!$B$57,'01_Вводные'!$B$56),0)</f>
        <v/>
      </c>
      <c r="C3596">
        <f>IF('01_Вводные'!$B$234="Да",'19_Расчет_аналитики'!C3593*IF('06_Сеть_и_дети'!C$3&gt;='01_Вводные'!$B$245,'01_Вводные'!$B$57,'01_Вводные'!$B$56),0)</f>
        <v/>
      </c>
      <c r="D3596">
        <f>IF('01_Вводные'!$B$234="Да",'19_Расчет_аналитики'!D3593*IF('06_Сеть_и_дети'!D$3&gt;='01_Вводные'!$B$245,'01_Вводные'!$B$57,'01_Вводные'!$B$56),0)</f>
        <v/>
      </c>
      <c r="E3596">
        <f>IF('01_Вводные'!$B$234="Да",'19_Расчет_аналитики'!E3593*IF('06_Сеть_и_дети'!E$3&gt;='01_Вводные'!$B$245,'01_Вводные'!$B$57,'01_Вводные'!$B$56),0)</f>
        <v/>
      </c>
      <c r="F3596">
        <f>IF('01_Вводные'!$B$234="Да",'19_Расчет_аналитики'!F3593*IF('06_Сеть_и_дети'!F$3&gt;='01_Вводные'!$B$245,'01_Вводные'!$B$57,'01_Вводные'!$B$56),0)</f>
        <v/>
      </c>
      <c r="G3596">
        <f>IF('01_Вводные'!$B$234="Да",'19_Расчет_аналитики'!G3593*IF('06_Сеть_и_дети'!G$3&gt;='01_Вводные'!$B$245,'01_Вводные'!$B$57,'01_Вводные'!$B$56),0)</f>
        <v/>
      </c>
      <c r="H3596">
        <f>IF('01_Вводные'!$B$234="Да",'19_Расчет_аналитики'!H3593*IF('06_Сеть_и_дети'!H$3&gt;='01_Вводные'!$B$245,'01_Вводные'!$B$57,'01_Вводные'!$B$56),0)</f>
        <v/>
      </c>
      <c r="I3596">
        <f>IF('01_Вводные'!$B$234="Да",'19_Расчет_аналитики'!I3593*IF('06_Сеть_и_дети'!I$3&gt;='01_Вводные'!$B$245,'01_Вводные'!$B$57,'01_Вводные'!$B$56),0)</f>
        <v/>
      </c>
      <c r="J3596">
        <f>IF('01_Вводные'!$B$234="Да",'19_Расчет_аналитики'!J3593*IF('06_Сеть_и_дети'!J$3&gt;='01_Вводные'!$B$245,'01_Вводные'!$B$57,'01_Вводные'!$B$56),0)</f>
        <v/>
      </c>
      <c r="K3596">
        <f>IF('01_Вводные'!$B$234="Да",'19_Расчет_аналитики'!K3593*IF('06_Сеть_и_дети'!K$3&gt;='01_Вводные'!$B$245,'01_Вводные'!$B$57,'01_Вводные'!$B$56),0)</f>
        <v/>
      </c>
      <c r="L3596">
        <f>IF('01_Вводные'!$B$234="Да",'19_Расчет_аналитики'!L3593*IF('06_Сеть_и_дети'!L$3&gt;='01_Вводные'!$B$245,'01_Вводные'!$B$57,'01_Вводные'!$B$56),0)</f>
        <v/>
      </c>
      <c r="M3596">
        <f>IF('01_Вводные'!$B$234="Да",'19_Расчет_аналитики'!M3593*IF('06_Сеть_и_дети'!M$3&gt;='01_Вводные'!$B$245,'01_Вводные'!$B$57,'01_Вводные'!$B$56),0)</f>
        <v/>
      </c>
      <c r="N3596">
        <f>IF('01_Вводные'!$B$234="Да",'19_Расчет_аналитики'!N3593*IF('06_Сеть_и_дети'!N$3&gt;='01_Вводные'!$B$245,'01_Вводные'!$B$57,'01_Вводные'!$B$56),0)</f>
        <v/>
      </c>
      <c r="O3596">
        <f>IF('01_Вводные'!$B$234="Да",'19_Расчет_аналитики'!O3593*IF('06_Сеть_и_дети'!O$3&gt;='01_Вводные'!$B$245,'01_Вводные'!$B$57,'01_Вводные'!$B$56),0)</f>
        <v/>
      </c>
      <c r="P3596">
        <f>IF('01_Вводные'!$B$234="Да",'19_Расчет_аналитики'!P3593*IF('06_Сеть_и_дети'!P$3&gt;='01_Вводные'!$B$245,'01_Вводные'!$B$57,'01_Вводные'!$B$56),0)</f>
        <v/>
      </c>
      <c r="Q3596">
        <f>IF('01_Вводные'!$B$234="Да",'19_Расчет_аналитики'!Q3593*IF('06_Сеть_и_дети'!Q$3&gt;='01_Вводные'!$B$245,'01_Вводные'!$B$57,'01_Вводные'!$B$56),0)</f>
        <v/>
      </c>
      <c r="R3596">
        <f>IF('01_Вводные'!$B$234="Да",'19_Расчет_аналитики'!R3593*IF('06_Сеть_и_дети'!R$3&gt;='01_Вводные'!$B$245,'01_Вводные'!$B$57,'01_Вводные'!$B$56),0)</f>
        <v/>
      </c>
      <c r="S3596">
        <f>IF('01_Вводные'!$B$234="Да",'19_Расчет_аналитики'!S3593*IF('06_Сеть_и_дети'!S$3&gt;='01_Вводные'!$B$245,'01_Вводные'!$B$57,'01_Вводные'!$B$56),0)</f>
        <v/>
      </c>
      <c r="T3596">
        <f>IF('01_Вводные'!$B$234="Да",'19_Расчет_аналитики'!T3593*IF('06_Сеть_и_дети'!T$3&gt;='01_Вводные'!$B$245,'01_Вводные'!$B$57,'01_Вводные'!$B$56),0)</f>
        <v/>
      </c>
      <c r="U3596">
        <f>IF('01_Вводные'!$B$234="Да",'19_Расчет_аналитики'!U3593*IF('06_Сеть_и_дети'!U$3&gt;='01_Вводные'!$B$245,'01_Вводные'!$B$57,'01_Вводные'!$B$56),0)</f>
        <v/>
      </c>
      <c r="V3596">
        <f>IF('01_Вводные'!$B$234="Да",'19_Расчет_аналитики'!V3593*IF('06_Сеть_и_дети'!V$3&gt;='01_Вводные'!$B$245,'01_Вводные'!$B$57,'01_Вводные'!$B$56),0)</f>
        <v/>
      </c>
      <c r="W3596">
        <f>IF('01_Вводные'!$B$234="Да",'19_Расчет_аналитики'!W3593*IF('06_Сеть_и_дети'!W$3&gt;='01_Вводные'!$B$245,'01_Вводные'!$B$57,'01_Вводные'!$B$56),0)</f>
        <v/>
      </c>
      <c r="X3596">
        <f>IF('01_Вводные'!$B$234="Да",'19_Расчет_аналитики'!X3593*IF('06_Сеть_и_дети'!X$3&gt;='01_Вводные'!$B$245,'01_Вводные'!$B$57,'01_Вводные'!$B$56),0)</f>
        <v/>
      </c>
      <c r="Y3596">
        <f>IF('01_Вводные'!$B$234="Да",'19_Расчет_аналитики'!Y3593*IF('06_Сеть_и_дети'!Y$3&gt;='01_Вводные'!$B$245,'01_Вводные'!$B$57,'01_Вводные'!$B$56),0)</f>
        <v/>
      </c>
      <c r="Z3596">
        <f>IF('01_Вводные'!$B$234="Да",'19_Расчет_аналитики'!Z3593*IF('06_Сеть_и_дети'!Z$3&gt;='01_Вводные'!$B$245,'01_Вводные'!$B$57,'01_Вводные'!$B$56),0)</f>
        <v/>
      </c>
      <c r="AA3596">
        <f>IF('01_Вводные'!$B$234="Да",'19_Расчет_аналитики'!AA3593*IF('06_Сеть_и_дети'!AA$3&gt;='01_Вводные'!$B$245,'01_Вводные'!$B$57,'01_Вводные'!$B$56),0)</f>
        <v/>
      </c>
      <c r="AB3596">
        <f>IF('01_Вводные'!$B$234="Да",'19_Расчет_аналитики'!AB3593*IF('06_Сеть_и_дети'!AB$3&gt;='01_Вводные'!$B$245,'01_Вводные'!$B$57,'01_Вводные'!$B$56),0)</f>
        <v/>
      </c>
      <c r="AC3596">
        <f>IF('01_Вводные'!$B$234="Да",'19_Расчет_аналитики'!AC3593*IF('06_Сеть_и_дети'!AC$3&gt;='01_Вводные'!$B$245,'01_Вводные'!$B$57,'01_Вводные'!$B$56),0)</f>
        <v/>
      </c>
      <c r="AD3596">
        <f>IF('01_Вводные'!$B$234="Да",'19_Расчет_аналитики'!AD3593*IF('06_Сеть_и_дети'!AD$3&gt;='01_Вводные'!$B$245,'01_Вводные'!$B$57,'01_Вводные'!$B$56),0)</f>
        <v/>
      </c>
      <c r="AE3596">
        <f>IF('01_Вводные'!$B$234="Да",'19_Расчет_аналитики'!AE3593*IF('06_Сеть_и_дети'!AE$3&gt;='01_Вводные'!$B$245,'01_Вводные'!$B$57,'01_Вводные'!$B$56),0)</f>
        <v/>
      </c>
      <c r="AF3596">
        <f>IF('01_Вводные'!$B$234="Да",'19_Расчет_аналитики'!AF3593*IF('06_Сеть_и_дети'!AF$3&gt;='01_Вводные'!$B$245,'01_Вводные'!$B$57,'01_Вводные'!$B$56),0)</f>
        <v/>
      </c>
      <c r="AG3596">
        <f>IF('01_Вводные'!$B$234="Да",'19_Расчет_аналитики'!AG3593*IF('06_Сеть_и_дети'!AG$3&gt;='01_Вводные'!$B$245,'01_Вводные'!$B$57,'01_Вводные'!$B$56),0)</f>
        <v/>
      </c>
      <c r="AH3596">
        <f>IF('01_Вводные'!$B$234="Да",'19_Расчет_аналитики'!AH3593*IF('06_Сеть_и_дети'!AH$3&gt;='01_Вводные'!$B$245,'01_Вводные'!$B$57,'01_Вводные'!$B$56),0)</f>
        <v/>
      </c>
      <c r="AI3596">
        <f>IF('01_Вводные'!$B$234="Да",'19_Расчет_аналитики'!AI3593*IF('06_Сеть_и_дети'!AI$3&gt;='01_Вводные'!$B$245,'01_Вводные'!$B$57,'01_Вводные'!$B$56),0)</f>
        <v/>
      </c>
      <c r="AJ3596">
        <f>IF('01_Вводные'!$B$234="Да",'19_Расчет_аналитики'!AJ3593*IF('06_Сеть_и_дети'!AJ$3&gt;='01_Вводные'!$B$245,'01_Вводные'!$B$57,'01_Вводные'!$B$56),0)</f>
        <v/>
      </c>
      <c r="AK3596">
        <f>IF('01_Вводные'!$B$234="Да",'19_Расчет_аналитики'!AK3593*IF('06_Сеть_и_дети'!AK$3&gt;='01_Вводные'!$B$245,'01_Вводные'!$B$57,'01_Вводные'!$B$56),0)</f>
        <v/>
      </c>
      <c r="AL3596">
        <f>IF('01_Вводные'!$B$234="Да",'19_Расчет_аналитики'!AL3593*IF('06_Сеть_и_дети'!AL$3&gt;='01_Вводные'!$B$245,'01_Вводные'!$B$57,'01_Вводные'!$B$56),0)</f>
        <v/>
      </c>
      <c r="AM3596">
        <f>IF('01_Вводные'!$B$234="Да",'19_Расчет_аналитики'!AM3593*IF('06_Сеть_и_дети'!AM$3&gt;='01_Вводные'!$B$245,'01_Вводные'!$B$57,'01_Вводные'!$B$56),0)</f>
        <v/>
      </c>
      <c r="AN3596">
        <f>IF('01_Вводные'!$B$234="Да",'19_Расчет_аналитики'!AN3593*IF('06_Сеть_и_дети'!AN$3&gt;='01_Вводные'!$B$245,'01_Вводные'!$B$57,'01_Вводные'!$B$56),0)</f>
        <v/>
      </c>
      <c r="AO3596">
        <f>IF('01_Вводные'!$B$234="Да",'19_Расчет_аналитики'!AO3593*IF('06_Сеть_и_дети'!AO$3&gt;='01_Вводные'!$B$245,'01_Вводные'!$B$57,'01_Вводные'!$B$56),0)</f>
        <v/>
      </c>
      <c r="AP3596">
        <f>IF('01_Вводные'!$B$234="Да",'19_Расчет_аналитики'!AP3593*IF('06_Сеть_и_дети'!AP$3&gt;='01_Вводные'!$B$245,'01_Вводные'!$B$57,'01_Вводные'!$B$56),0)</f>
        <v/>
      </c>
      <c r="AQ3596">
        <f>IF('01_Вводные'!$B$234="Да",'19_Расчет_аналитики'!AQ3593*IF('06_Сеть_и_дети'!AQ$3&gt;='01_Вводные'!$B$245,'01_Вводные'!$B$57,'01_Вводные'!$B$56),0)</f>
        <v/>
      </c>
      <c r="AR3596">
        <f>IF('01_Вводные'!$B$234="Да",'19_Расчет_аналитики'!AR3593*IF('06_Сеть_и_дети'!AR$3&gt;='01_Вводные'!$B$245,'01_Вводные'!$B$57,'01_Вводные'!$B$56),0)</f>
        <v/>
      </c>
      <c r="AS3596">
        <f>IF('01_Вводные'!$B$234="Да",'19_Расчет_аналитики'!AS3593*IF('06_Сеть_и_дети'!AS$3&gt;='01_Вводные'!$B$245,'01_Вводные'!$B$57,'01_Вводные'!$B$56),0)</f>
        <v/>
      </c>
      <c r="AT3596">
        <f>IF('01_Вводные'!$B$234="Да",'19_Расчет_аналитики'!AT3593*IF('06_Сеть_и_дети'!AT$3&gt;='01_Вводные'!$B$245,'01_Вводные'!$B$57,'01_Вводные'!$B$56),0)</f>
        <v/>
      </c>
      <c r="AU3596">
        <f>IF('01_Вводные'!$B$234="Да",'19_Расчет_аналитики'!AU3593*IF('06_Сеть_и_дети'!AU$3&gt;='01_Вводные'!$B$245,'01_Вводные'!$B$57,'01_Вводные'!$B$56),0)</f>
        <v/>
      </c>
      <c r="AV3596">
        <f>IF('01_Вводные'!$B$234="Да",'19_Расчет_аналитики'!AV3593*IF('06_Сеть_и_дети'!AV$3&gt;='01_Вводные'!$B$245,'01_Вводные'!$B$57,'01_Вводные'!$B$56),0)</f>
        <v/>
      </c>
      <c r="AW3596">
        <f>IF('01_Вводные'!$B$234="Да",'19_Расчет_аналитики'!AW3593*IF('06_Сеть_и_дети'!AW$3&gt;='01_Вводные'!$B$245,'01_Вводные'!$B$57,'01_Вводные'!$B$56),0)</f>
        <v/>
      </c>
      <c r="AX3596">
        <f>IF('01_Вводные'!$B$234="Да",'19_Расчет_аналитики'!AX3593*IF('06_Сеть_и_дети'!AX$3&gt;='01_Вводные'!$B$245,'01_Вводные'!$B$57,'01_Вводные'!$B$56),0)</f>
        <v/>
      </c>
      <c r="AY3596">
        <f>IF('01_Вводные'!$B$234="Да",'19_Расчет_аналитики'!AY3593*IF('06_Сеть_и_дети'!AY$3&gt;='01_Вводные'!$B$245,'01_Вводные'!$B$57,'01_Вводные'!$B$56),0)</f>
        <v/>
      </c>
      <c r="AZ3596">
        <f>IF('01_Вводные'!$B$234="Да",'19_Расчет_аналитики'!AZ3593*IF('06_Сеть_и_дети'!AZ$3&gt;='01_Вводные'!$B$245,'01_Вводные'!$B$57,'01_Вводные'!$B$56),0)</f>
        <v/>
      </c>
      <c r="BA3596">
        <f>IF('01_Вводные'!$B$234="Да",'19_Расчет_аналитики'!BA3593*IF('06_Сеть_и_дети'!BA$3&gt;='01_Вводные'!$B$245,'01_Вводные'!$B$57,'01_Вводные'!$B$56),0)</f>
        <v/>
      </c>
      <c r="BB3596">
        <f>IF('01_Вводные'!$B$234="Да",'19_Расчет_аналитики'!BB3593*IF('06_Сеть_и_дети'!BB$3&gt;='01_Вводные'!$B$245,'01_Вводные'!$B$57,'01_Вводные'!$B$56),0)</f>
        <v/>
      </c>
      <c r="BC3596">
        <f>IF('01_Вводные'!$B$234="Да",'19_Расчет_аналитики'!BC3593*IF('06_Сеть_и_дети'!BC$3&gt;='01_Вводные'!$B$245,'01_Вводные'!$B$57,'01_Вводные'!$B$56),0)</f>
        <v/>
      </c>
      <c r="BD3596">
        <f>IF('01_Вводные'!$B$234="Да",'19_Расчет_аналитики'!BD3593*IF('06_Сеть_и_дети'!BD$3&gt;='01_Вводные'!$B$245,'01_Вводные'!$B$57,'01_Вводные'!$B$56),0)</f>
        <v/>
      </c>
      <c r="BE3596">
        <f>IF('01_Вводные'!$B$234="Да",'19_Расчет_аналитики'!BE3593*IF('06_Сеть_и_дети'!BE$3&gt;='01_Вводные'!$B$245,'01_Вводные'!$B$57,'01_Вводные'!$B$56),0)</f>
        <v/>
      </c>
      <c r="BF3596">
        <f>IF('01_Вводные'!$B$234="Да",'19_Расчет_аналитики'!BF3593*IF('06_Сеть_и_дети'!BF$3&gt;='01_Вводные'!$B$245,'01_Вводные'!$B$57,'01_Вводные'!$B$56),0)</f>
        <v/>
      </c>
      <c r="BG3596">
        <f>IF('01_Вводные'!$B$234="Да",'19_Расчет_аналитики'!BG3593*IF('06_Сеть_и_дети'!BG$3&gt;='01_Вводные'!$B$245,'01_Вводные'!$B$57,'01_Вводные'!$B$56),0)</f>
        <v/>
      </c>
      <c r="BH3596">
        <f>IF('01_Вводные'!$B$234="Да",'19_Расчет_аналитики'!BH3593*IF('06_Сеть_и_дети'!BH$3&gt;='01_Вводные'!$B$245,'01_Вводные'!$B$57,'01_Вводные'!$B$56),0)</f>
        <v/>
      </c>
      <c r="BI3596">
        <f>IF('01_Вводные'!$B$234="Да",'19_Расчет_аналитики'!BI3593*IF('06_Сеть_и_дети'!BI$3&gt;='01_Вводные'!$B$245,'01_Вводные'!$B$57,'01_Вводные'!$B$56),0)</f>
        <v/>
      </c>
      <c r="BJ3596">
        <f>IF('01_Вводные'!$B$234="Да",'19_Расчет_аналитики'!BJ3593*IF('06_Сеть_и_дети'!BJ$3&gt;='01_Вводные'!$B$245,'01_Вводные'!$B$57,'01_Вводные'!$B$56),0)</f>
        <v/>
      </c>
      <c r="BK3596">
        <f>IF('01_Вводные'!$B$234="Да",'19_Расчет_аналитики'!BK3593*IF('06_Сеть_и_дети'!BK$3&gt;='01_Вводные'!$B$245,'01_Вводные'!$B$57,'01_Вводные'!$B$56),0)</f>
        <v/>
      </c>
      <c r="BL3596">
        <f>IF('01_Вводные'!$B$234="Да",'19_Расчет_аналитики'!BL3593*IF('06_Сеть_и_дети'!BL$3&gt;='01_Вводные'!$B$245,'01_Вводные'!$B$57,'01_Вводные'!$B$56),0)</f>
        <v/>
      </c>
      <c r="BM3596">
        <f>IF('01_Вводные'!$B$234="Да",'19_Расчет_аналитики'!BM3593*IF('06_Сеть_и_дети'!BM$3&gt;='01_Вводные'!$B$245,'01_Вводные'!$B$57,'01_Вводные'!$B$56),0)</f>
        <v/>
      </c>
      <c r="BN3596">
        <f>IF('01_Вводные'!$B$234="Да",'19_Расчет_аналитики'!BN3593*IF('06_Сеть_и_дети'!BN$3&gt;='01_Вводные'!$B$245,'01_Вводные'!$B$57,'01_Вводные'!$B$56),0)</f>
        <v/>
      </c>
      <c r="BO3596">
        <f>IF('01_Вводные'!$B$234="Да",'19_Расчет_аналитики'!BO3593*IF('06_Сеть_и_дети'!BO$3&gt;='01_Вводные'!$B$245,'01_Вводные'!$B$57,'01_Вводные'!$B$56),0)</f>
        <v/>
      </c>
    </row>
    <row r="3597">
      <c r="B3597">
        <f>IF('01_Вводные'!$B$234="Да",SUM('19_Расчет_аналитики'!B3444:B3468)-'19_Расчет_аналитики'!B3407,0)</f>
        <v/>
      </c>
      <c r="C3597">
        <f>IF('01_Вводные'!$B$234="Да",SUM('19_Расчет_аналитики'!C3444:C3468)-'19_Расчет_аналитики'!C3407,0)</f>
        <v/>
      </c>
      <c r="D3597">
        <f>IF('01_Вводные'!$B$234="Да",SUM('19_Расчет_аналитики'!D3444:D3468)-'19_Расчет_аналитики'!D3407,0)</f>
        <v/>
      </c>
      <c r="E3597">
        <f>IF('01_Вводные'!$B$234="Да",SUM('19_Расчет_аналитики'!E3444:E3468)-'19_Расчет_аналитики'!E3407,0)</f>
        <v/>
      </c>
      <c r="F3597">
        <f>IF('01_Вводные'!$B$234="Да",SUM('19_Расчет_аналитики'!F3444:F3468)-'19_Расчет_аналитики'!F3407,0)</f>
        <v/>
      </c>
      <c r="G3597">
        <f>IF('01_Вводные'!$B$234="Да",SUM('19_Расчет_аналитики'!G3444:G3468)-'19_Расчет_аналитики'!G3407,0)</f>
        <v/>
      </c>
      <c r="H3597">
        <f>IF('01_Вводные'!$B$234="Да",SUM('19_Расчет_аналитики'!H3444:H3468)-'19_Расчет_аналитики'!H3407,0)</f>
        <v/>
      </c>
      <c r="I3597">
        <f>IF('01_Вводные'!$B$234="Да",SUM('19_Расчет_аналитики'!I3444:I3468)-'19_Расчет_аналитики'!I3407,0)</f>
        <v/>
      </c>
      <c r="J3597">
        <f>IF('01_Вводные'!$B$234="Да",SUM('19_Расчет_аналитики'!J3444:J3468)-'19_Расчет_аналитики'!J3407,0)</f>
        <v/>
      </c>
      <c r="K3597">
        <f>IF('01_Вводные'!$B$234="Да",SUM('19_Расчет_аналитики'!K3444:K3468)-'19_Расчет_аналитики'!K3407,0)</f>
        <v/>
      </c>
      <c r="L3597">
        <f>IF('01_Вводные'!$B$234="Да",SUM('19_Расчет_аналитики'!L3444:L3468)-'19_Расчет_аналитики'!L3407,0)</f>
        <v/>
      </c>
      <c r="M3597">
        <f>IF('01_Вводные'!$B$234="Да",SUM('19_Расчет_аналитики'!M3444:M3468)-'19_Расчет_аналитики'!M3407,0)</f>
        <v/>
      </c>
      <c r="N3597">
        <f>IF('01_Вводные'!$B$234="Да",SUM('19_Расчет_аналитики'!N3444:N3468)-'19_Расчет_аналитики'!N3407,0)</f>
        <v/>
      </c>
      <c r="O3597">
        <f>IF('01_Вводные'!$B$234="Да",SUM('19_Расчет_аналитики'!O3444:O3468)-'19_Расчет_аналитики'!O3407,0)</f>
        <v/>
      </c>
      <c r="P3597">
        <f>IF('01_Вводные'!$B$234="Да",SUM('19_Расчет_аналитики'!P3444:P3468)-'19_Расчет_аналитики'!P3407,0)</f>
        <v/>
      </c>
      <c r="Q3597">
        <f>IF('01_Вводные'!$B$234="Да",SUM('19_Расчет_аналитики'!Q3444:Q3468)-'19_Расчет_аналитики'!Q3407,0)</f>
        <v/>
      </c>
      <c r="R3597">
        <f>IF('01_Вводные'!$B$234="Да",SUM('19_Расчет_аналитики'!R3444:R3468)-'19_Расчет_аналитики'!R3407,0)</f>
        <v/>
      </c>
      <c r="S3597">
        <f>IF('01_Вводные'!$B$234="Да",SUM('19_Расчет_аналитики'!S3444:S3468)-'19_Расчет_аналитики'!S3407,0)</f>
        <v/>
      </c>
      <c r="T3597">
        <f>IF('01_Вводные'!$B$234="Да",SUM('19_Расчет_аналитики'!T3444:T3468)-'19_Расчет_аналитики'!T3407,0)</f>
        <v/>
      </c>
      <c r="U3597">
        <f>IF('01_Вводные'!$B$234="Да",SUM('19_Расчет_аналитики'!U3444:U3468)-'19_Расчет_аналитики'!U3407,0)</f>
        <v/>
      </c>
      <c r="V3597">
        <f>IF('01_Вводные'!$B$234="Да",SUM('19_Расчет_аналитики'!V3444:V3468)-'19_Расчет_аналитики'!V3407,0)</f>
        <v/>
      </c>
      <c r="W3597">
        <f>IF('01_Вводные'!$B$234="Да",SUM('19_Расчет_аналитики'!W3444:W3468)-'19_Расчет_аналитики'!W3407,0)</f>
        <v/>
      </c>
      <c r="X3597">
        <f>IF('01_Вводные'!$B$234="Да",SUM('19_Расчет_аналитики'!X3444:X3468)-'19_Расчет_аналитики'!X3407,0)</f>
        <v/>
      </c>
      <c r="Y3597">
        <f>IF('01_Вводные'!$B$234="Да",SUM('19_Расчет_аналитики'!Y3444:Y3468)-'19_Расчет_аналитики'!Y3407,0)</f>
        <v/>
      </c>
      <c r="Z3597">
        <f>IF('01_Вводные'!$B$234="Да",SUM('19_Расчет_аналитики'!Z3444:Z3468)-'19_Расчет_аналитики'!Z3407,0)</f>
        <v/>
      </c>
      <c r="AA3597">
        <f>IF('01_Вводные'!$B$234="Да",SUM('19_Расчет_аналитики'!AA3444:AA3468)-'19_Расчет_аналитики'!AA3407,0)</f>
        <v/>
      </c>
      <c r="AB3597">
        <f>IF('01_Вводные'!$B$234="Да",SUM('19_Расчет_аналитики'!AB3444:AB3468)-'19_Расчет_аналитики'!AB3407,0)</f>
        <v/>
      </c>
      <c r="AC3597">
        <f>IF('01_Вводные'!$B$234="Да",SUM('19_Расчет_аналитики'!AC3444:AC3468)-'19_Расчет_аналитики'!AC3407,0)</f>
        <v/>
      </c>
      <c r="AD3597">
        <f>IF('01_Вводные'!$B$234="Да",SUM('19_Расчет_аналитики'!AD3444:AD3468)-'19_Расчет_аналитики'!AD3407,0)</f>
        <v/>
      </c>
      <c r="AE3597">
        <f>IF('01_Вводные'!$B$234="Да",SUM('19_Расчет_аналитики'!AE3444:AE3468)-'19_Расчет_аналитики'!AE3407,0)</f>
        <v/>
      </c>
      <c r="AF3597">
        <f>IF('01_Вводные'!$B$234="Да",SUM('19_Расчет_аналитики'!AF3444:AF3468)-'19_Расчет_аналитики'!AF3407,0)</f>
        <v/>
      </c>
      <c r="AG3597">
        <f>IF('01_Вводные'!$B$234="Да",SUM('19_Расчет_аналитики'!AG3444:AG3468)-'19_Расчет_аналитики'!AG3407,0)</f>
        <v/>
      </c>
      <c r="AH3597">
        <f>IF('01_Вводные'!$B$234="Да",SUM('19_Расчет_аналитики'!AH3444:AH3468)-'19_Расчет_аналитики'!AH3407,0)</f>
        <v/>
      </c>
      <c r="AI3597">
        <f>IF('01_Вводные'!$B$234="Да",SUM('19_Расчет_аналитики'!AI3444:AI3468)-'19_Расчет_аналитики'!AI3407,0)</f>
        <v/>
      </c>
      <c r="AJ3597">
        <f>IF('01_Вводные'!$B$234="Да",SUM('19_Расчет_аналитики'!AJ3444:AJ3468)-'19_Расчет_аналитики'!AJ3407,0)</f>
        <v/>
      </c>
      <c r="AK3597">
        <f>IF('01_Вводные'!$B$234="Да",SUM('19_Расчет_аналитики'!AK3444:AK3468)-'19_Расчет_аналитики'!AK3407,0)</f>
        <v/>
      </c>
      <c r="AL3597">
        <f>IF('01_Вводные'!$B$234="Да",SUM('19_Расчет_аналитики'!AL3444:AL3468)-'19_Расчет_аналитики'!AL3407,0)</f>
        <v/>
      </c>
      <c r="AM3597">
        <f>IF('01_Вводные'!$B$234="Да",SUM('19_Расчет_аналитики'!AM3444:AM3468)-'19_Расчет_аналитики'!AM3407,0)</f>
        <v/>
      </c>
      <c r="AN3597">
        <f>IF('01_Вводные'!$B$234="Да",SUM('19_Расчет_аналитики'!AN3444:AN3468)-'19_Расчет_аналитики'!AN3407,0)</f>
        <v/>
      </c>
      <c r="AO3597">
        <f>IF('01_Вводные'!$B$234="Да",SUM('19_Расчет_аналитики'!AO3444:AO3468)-'19_Расчет_аналитики'!AO3407,0)</f>
        <v/>
      </c>
      <c r="AP3597">
        <f>IF('01_Вводные'!$B$234="Да",SUM('19_Расчет_аналитики'!AP3444:AP3468)-'19_Расчет_аналитики'!AP3407,0)</f>
        <v/>
      </c>
      <c r="AQ3597">
        <f>IF('01_Вводные'!$B$234="Да",SUM('19_Расчет_аналитики'!AQ3444:AQ3468)-'19_Расчет_аналитики'!AQ3407,0)</f>
        <v/>
      </c>
      <c r="AR3597">
        <f>IF('01_Вводные'!$B$234="Да",SUM('19_Расчет_аналитики'!AR3444:AR3468)-'19_Расчет_аналитики'!AR3407,0)</f>
        <v/>
      </c>
      <c r="AS3597">
        <f>IF('01_Вводные'!$B$234="Да",SUM('19_Расчет_аналитики'!AS3444:AS3468)-'19_Расчет_аналитики'!AS3407,0)</f>
        <v/>
      </c>
      <c r="AT3597">
        <f>IF('01_Вводные'!$B$234="Да",SUM('19_Расчет_аналитики'!AT3444:AT3468)-'19_Расчет_аналитики'!AT3407,0)</f>
        <v/>
      </c>
      <c r="AU3597">
        <f>IF('01_Вводные'!$B$234="Да",SUM('19_Расчет_аналитики'!AU3444:AU3468)-'19_Расчет_аналитики'!AU3407,0)</f>
        <v/>
      </c>
      <c r="AV3597">
        <f>IF('01_Вводные'!$B$234="Да",SUM('19_Расчет_аналитики'!AV3444:AV3468)-'19_Расчет_аналитики'!AV3407,0)</f>
        <v/>
      </c>
      <c r="AW3597">
        <f>IF('01_Вводные'!$B$234="Да",SUM('19_Расчет_аналитики'!AW3444:AW3468)-'19_Расчет_аналитики'!AW3407,0)</f>
        <v/>
      </c>
      <c r="AX3597">
        <f>IF('01_Вводные'!$B$234="Да",SUM('19_Расчет_аналитики'!AX3444:AX3468)-'19_Расчет_аналитики'!AX3407,0)</f>
        <v/>
      </c>
      <c r="AY3597">
        <f>IF('01_Вводные'!$B$234="Да",SUM('19_Расчет_аналитики'!AY3444:AY3468)-'19_Расчет_аналитики'!AY3407,0)</f>
        <v/>
      </c>
      <c r="AZ3597">
        <f>IF('01_Вводные'!$B$234="Да",SUM('19_Расчет_аналитики'!AZ3444:AZ3468)-'19_Расчет_аналитики'!AZ3407,0)</f>
        <v/>
      </c>
      <c r="BA3597">
        <f>IF('01_Вводные'!$B$234="Да",SUM('19_Расчет_аналитики'!BA3444:BA3468)-'19_Расчет_аналитики'!BA3407,0)</f>
        <v/>
      </c>
      <c r="BB3597">
        <f>IF('01_Вводные'!$B$234="Да",SUM('19_Расчет_аналитики'!BB3444:BB3468)-'19_Расчет_аналитики'!BB3407,0)</f>
        <v/>
      </c>
      <c r="BC3597">
        <f>IF('01_Вводные'!$B$234="Да",SUM('19_Расчет_аналитики'!BC3444:BC3468)-'19_Расчет_аналитики'!BC3407,0)</f>
        <v/>
      </c>
      <c r="BD3597">
        <f>IF('01_Вводные'!$B$234="Да",SUM('19_Расчет_аналитики'!BD3444:BD3468)-'19_Расчет_аналитики'!BD3407,0)</f>
        <v/>
      </c>
      <c r="BE3597">
        <f>IF('01_Вводные'!$B$234="Да",SUM('19_Расчет_аналитики'!BE3444:BE3468)-'19_Расчет_аналитики'!BE3407,0)</f>
        <v/>
      </c>
      <c r="BF3597">
        <f>IF('01_Вводные'!$B$234="Да",SUM('19_Расчет_аналитики'!BF3444:BF3468)-'19_Расчет_аналитики'!BF3407,0)</f>
        <v/>
      </c>
      <c r="BG3597">
        <f>IF('01_Вводные'!$B$234="Да",SUM('19_Расчет_аналитики'!BG3444:BG3468)-'19_Расчет_аналитики'!BG3407,0)</f>
        <v/>
      </c>
      <c r="BH3597">
        <f>IF('01_Вводные'!$B$234="Да",SUM('19_Расчет_аналитики'!BH3444:BH3468)-'19_Расчет_аналитики'!BH3407,0)</f>
        <v/>
      </c>
      <c r="BI3597">
        <f>IF('01_Вводные'!$B$234="Да",SUM('19_Расчет_аналитики'!BI3444:BI3468)-'19_Расчет_аналитики'!BI3407,0)</f>
        <v/>
      </c>
      <c r="BJ3597">
        <f>IF('01_Вводные'!$B$234="Да",SUM('19_Расчет_аналитики'!BJ3444:BJ3468)-'19_Расчет_аналитики'!BJ3407,0)</f>
        <v/>
      </c>
      <c r="BK3597">
        <f>IF('01_Вводные'!$B$234="Да",SUM('19_Расчет_аналитики'!BK3444:BK3468)-'19_Расчет_аналитики'!BK3407,0)</f>
        <v/>
      </c>
      <c r="BL3597">
        <f>IF('01_Вводные'!$B$234="Да",SUM('19_Расчет_аналитики'!BL3444:BL3468)-'19_Расчет_аналитики'!BL3407,0)</f>
        <v/>
      </c>
      <c r="BM3597">
        <f>IF('01_Вводные'!$B$234="Да",SUM('19_Расчет_аналитики'!BM3444:BM3468)-'19_Расчет_аналитики'!BM3407,0)</f>
        <v/>
      </c>
      <c r="BN3597">
        <f>IF('01_Вводные'!$B$234="Да",SUM('19_Расчет_аналитики'!BN3444:BN3468)-'19_Расчет_аналитики'!BN3407,0)</f>
        <v/>
      </c>
      <c r="BO3597">
        <f>IF('01_Вводные'!$B$234="Да",SUM('19_Расчет_аналитики'!BO3444:BO3468)-'19_Расчет_аналитики'!BO3407,0)</f>
        <v/>
      </c>
    </row>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c r="F3642">
        <f>IF('01_Вводные'!$B$234="Да",'06_Сеть_и_дети'!F19*'19_Расчет_аналитики'!$B$3122*'07_Мерч'!F4,0)</f>
        <v/>
      </c>
      <c r="G3642">
        <f>IF('01_Вводные'!$B$234="Да",'06_Сеть_и_дети'!G19*'19_Расчет_аналитики'!$B$3122*'07_Мерч'!G4,0)</f>
        <v/>
      </c>
      <c r="H3642">
        <f>IF('01_Вводные'!$B$234="Да",'06_Сеть_и_дети'!H19*'19_Расчет_аналитики'!$B$3122*'07_Мерч'!H4,0)</f>
        <v/>
      </c>
      <c r="I3642">
        <f>IF('01_Вводные'!$B$234="Да",'06_Сеть_и_дети'!I19*'19_Расчет_аналитики'!$B$3122*'07_Мерч'!I4,0)</f>
        <v/>
      </c>
      <c r="J3642">
        <f>IF('01_Вводные'!$B$234="Да",'06_Сеть_и_дети'!J19*'19_Расчет_аналитики'!$B$3122*'07_Мерч'!J4,0)</f>
        <v/>
      </c>
      <c r="K3642">
        <f>IF('01_Вводные'!$B$234="Да",'06_Сеть_и_дети'!K19*'19_Расчет_аналитики'!$B$3122*'07_Мерч'!K4,0)</f>
        <v/>
      </c>
      <c r="L3642">
        <f>IF('01_Вводные'!$B$234="Да",'06_Сеть_и_дети'!L19*'19_Расчет_аналитики'!$B$3122*'07_Мерч'!L4,0)</f>
        <v/>
      </c>
      <c r="M3642">
        <f>IF('01_Вводные'!$B$234="Да",'06_Сеть_и_дети'!M19*'19_Расчет_аналитики'!$B$3122*'07_Мерч'!M4,0)</f>
        <v/>
      </c>
      <c r="N3642">
        <f>IF('01_Вводные'!$B$234="Да",'06_Сеть_и_дети'!N19*'19_Расчет_аналитики'!$B$3122*'07_Мерч'!N4,0)</f>
        <v/>
      </c>
      <c r="O3642">
        <f>IF('01_Вводные'!$B$234="Да",'06_Сеть_и_дети'!O19*'19_Расчет_аналитики'!$B$3122*'07_Мерч'!O4,0)</f>
        <v/>
      </c>
      <c r="P3642">
        <f>IF('01_Вводные'!$B$234="Да",'06_Сеть_и_дети'!P19*'19_Расчет_аналитики'!$B$3122*'07_Мерч'!P4,0)</f>
        <v/>
      </c>
      <c r="Q3642">
        <f>IF('01_Вводные'!$B$234="Да",'06_Сеть_и_дети'!Q19*'19_Расчет_аналитики'!$B$3122*'07_Мерч'!Q4,0)</f>
        <v/>
      </c>
      <c r="R3642">
        <f>IF('01_Вводные'!$B$234="Да",'06_Сеть_и_дети'!R19*'19_Расчет_аналитики'!$B$3122*'07_Мерч'!R4,0)</f>
        <v/>
      </c>
      <c r="S3642">
        <f>IF('01_Вводные'!$B$234="Да",'06_Сеть_и_дети'!S19*'19_Расчет_аналитики'!$B$3122*'07_Мерч'!S4,0)</f>
        <v/>
      </c>
      <c r="T3642">
        <f>IF('01_Вводные'!$B$234="Да",'06_Сеть_и_дети'!T19*'19_Расчет_аналитики'!$B$3122*'07_Мерч'!T4,0)</f>
        <v/>
      </c>
      <c r="U3642">
        <f>IF('01_Вводные'!$B$234="Да",'06_Сеть_и_дети'!U19*'19_Расчет_аналитики'!$B$3122*'07_Мерч'!U4,0)</f>
        <v/>
      </c>
      <c r="V3642">
        <f>IF('01_Вводные'!$B$234="Да",'06_Сеть_и_дети'!V19*'19_Расчет_аналитики'!$B$3122*'07_Мерч'!V4,0)</f>
        <v/>
      </c>
      <c r="W3642">
        <f>IF('01_Вводные'!$B$234="Да",'06_Сеть_и_дети'!W19*'19_Расчет_аналитики'!$B$3122*'07_Мерч'!W4,0)</f>
        <v/>
      </c>
      <c r="X3642">
        <f>IF('01_Вводные'!$B$234="Да",'06_Сеть_и_дети'!X19*'19_Расчет_аналитики'!$B$3122*'07_Мерч'!X4,0)</f>
        <v/>
      </c>
      <c r="Y3642">
        <f>IF('01_Вводные'!$B$234="Да",'06_Сеть_и_дети'!Y19*'19_Расчет_аналитики'!$B$3122*'07_Мерч'!Y4,0)</f>
        <v/>
      </c>
      <c r="Z3642">
        <f>IF('01_Вводные'!$B$234="Да",'06_Сеть_и_дети'!Z19*'19_Расчет_аналитики'!$B$3122*'07_Мерч'!Z4,0)</f>
        <v/>
      </c>
      <c r="AA3642">
        <f>IF('01_Вводные'!$B$234="Да",'06_Сеть_и_дети'!AA19*'19_Расчет_аналитики'!$B$3122*'07_Мерч'!AA4,0)</f>
        <v/>
      </c>
      <c r="AB3642">
        <f>IF('01_Вводные'!$B$234="Да",'06_Сеть_и_дети'!AB19*'19_Расчет_аналитики'!$B$3122*'07_Мерч'!AB4,0)</f>
        <v/>
      </c>
      <c r="AC3642">
        <f>IF('01_Вводные'!$B$234="Да",'06_Сеть_и_дети'!AC19*'19_Расчет_аналитики'!$B$3122*'07_Мерч'!AC4,0)</f>
        <v/>
      </c>
      <c r="AD3642">
        <f>IF('01_Вводные'!$B$234="Да",'06_Сеть_и_дети'!AD19*'19_Расчет_аналитики'!$B$3122*'07_Мерч'!AD4,0)</f>
        <v/>
      </c>
      <c r="AE3642">
        <f>IF('01_Вводные'!$B$234="Да",'06_Сеть_и_дети'!AE19*'19_Расчет_аналитики'!$B$3122*'07_Мерч'!AE4,0)</f>
        <v/>
      </c>
      <c r="AF3642">
        <f>IF('01_Вводные'!$B$234="Да",'06_Сеть_и_дети'!AF19*'19_Расчет_аналитики'!$B$3122*'07_Мерч'!AF4,0)</f>
        <v/>
      </c>
      <c r="AG3642">
        <f>IF('01_Вводные'!$B$234="Да",'06_Сеть_и_дети'!AG19*'19_Расчет_аналитики'!$B$3122*'07_Мерч'!AG4,0)</f>
        <v/>
      </c>
      <c r="AH3642">
        <f>IF('01_Вводные'!$B$234="Да",'06_Сеть_и_дети'!AH19*'19_Расчет_аналитики'!$B$3122*'07_Мерч'!AH4,0)</f>
        <v/>
      </c>
      <c r="AI3642">
        <f>IF('01_Вводные'!$B$234="Да",'06_Сеть_и_дети'!AI19*'19_Расчет_аналитики'!$B$3122*'07_Мерч'!AI4,0)</f>
        <v/>
      </c>
      <c r="AJ3642">
        <f>IF('01_Вводные'!$B$234="Да",'06_Сеть_и_дети'!AJ19*'19_Расчет_аналитики'!$B$3122*'07_Мерч'!AJ4,0)</f>
        <v/>
      </c>
      <c r="AK3642">
        <f>IF('01_Вводные'!$B$234="Да",'06_Сеть_и_дети'!AK19*'19_Расчет_аналитики'!$B$3122*'07_Мерч'!AK4,0)</f>
        <v/>
      </c>
      <c r="AL3642">
        <f>IF('01_Вводные'!$B$234="Да",'06_Сеть_и_дети'!AL19*'19_Расчет_аналитики'!$B$3122*'07_Мерч'!AL4,0)</f>
        <v/>
      </c>
      <c r="AM3642">
        <f>IF('01_Вводные'!$B$234="Да",'06_Сеть_и_дети'!AM19*'19_Расчет_аналитики'!$B$3122*'07_Мерч'!AM4,0)</f>
        <v/>
      </c>
      <c r="AN3642">
        <f>IF('01_Вводные'!$B$234="Да",'06_Сеть_и_дети'!AN19*'19_Расчет_аналитики'!$B$3122*'07_Мерч'!AN4,0)</f>
        <v/>
      </c>
      <c r="AO3642">
        <f>IF('01_Вводные'!$B$234="Да",'06_Сеть_и_дети'!AO19*'19_Расчет_аналитики'!$B$3122*'07_Мерч'!AO4,0)</f>
        <v/>
      </c>
      <c r="AP3642">
        <f>IF('01_Вводные'!$B$234="Да",'06_Сеть_и_дети'!AP19*'19_Расчет_аналитики'!$B$3122*'07_Мерч'!AP4,0)</f>
        <v/>
      </c>
      <c r="AQ3642">
        <f>IF('01_Вводные'!$B$234="Да",'06_Сеть_и_дети'!AQ19*'19_Расчет_аналитики'!$B$3122*'07_Мерч'!AQ4,0)</f>
        <v/>
      </c>
      <c r="AR3642">
        <f>IF('01_Вводные'!$B$234="Да",'06_Сеть_и_дети'!AR19*'19_Расчет_аналитики'!$B$3122*'07_Мерч'!AR4,0)</f>
        <v/>
      </c>
      <c r="AS3642">
        <f>IF('01_Вводные'!$B$234="Да",'06_Сеть_и_дети'!AS19*'19_Расчет_аналитики'!$B$3122*'07_Мерч'!AS4,0)</f>
        <v/>
      </c>
      <c r="AT3642">
        <f>IF('01_Вводные'!$B$234="Да",'06_Сеть_и_дети'!AT19*'19_Расчет_аналитики'!$B$3122*'07_Мерч'!AT4,0)</f>
        <v/>
      </c>
      <c r="AU3642">
        <f>IF('01_Вводные'!$B$234="Да",'06_Сеть_и_дети'!AU19*'19_Расчет_аналитики'!$B$3122*'07_Мерч'!AU4,0)</f>
        <v/>
      </c>
      <c r="AV3642">
        <f>IF('01_Вводные'!$B$234="Да",'06_Сеть_и_дети'!AV19*'19_Расчет_аналитики'!$B$3122*'07_Мерч'!AV4,0)</f>
        <v/>
      </c>
      <c r="AW3642">
        <f>IF('01_Вводные'!$B$234="Да",'06_Сеть_и_дети'!AW19*'19_Расчет_аналитики'!$B$3122*'07_Мерч'!AW4,0)</f>
        <v/>
      </c>
      <c r="AX3642">
        <f>IF('01_Вводные'!$B$234="Да",'06_Сеть_и_дети'!AX19*'19_Расчет_аналитики'!$B$3122*'07_Мерч'!AX4,0)</f>
        <v/>
      </c>
      <c r="AY3642">
        <f>IF('01_Вводные'!$B$234="Да",'06_Сеть_и_дети'!AY19*'19_Расчет_аналитики'!$B$3122*'07_Мерч'!AY4,0)</f>
        <v/>
      </c>
      <c r="AZ3642">
        <f>IF('01_Вводные'!$B$234="Да",'06_Сеть_и_дети'!AZ19*'19_Расчет_аналитики'!$B$3122*'07_Мерч'!AZ4,0)</f>
        <v/>
      </c>
      <c r="BA3642">
        <f>IF('01_Вводные'!$B$234="Да",'06_Сеть_и_дети'!BA19*'19_Расчет_аналитики'!$B$3122*'07_Мерч'!BA4,0)</f>
        <v/>
      </c>
      <c r="BB3642">
        <f>IF('01_Вводные'!$B$234="Да",'06_Сеть_и_дети'!BB19*'19_Расчет_аналитики'!$B$3122*'07_Мерч'!BB4,0)</f>
        <v/>
      </c>
      <c r="BC3642">
        <f>IF('01_Вводные'!$B$234="Да",'06_Сеть_и_дети'!BC19*'19_Расчет_аналитики'!$B$3122*'07_Мерч'!BC4,0)</f>
        <v/>
      </c>
      <c r="BD3642">
        <f>IF('01_Вводные'!$B$234="Да",'06_Сеть_и_дети'!BD19*'19_Расчет_аналитики'!$B$3122*'07_Мерч'!BD4,0)</f>
        <v/>
      </c>
      <c r="BE3642">
        <f>IF('01_Вводные'!$B$234="Да",'06_Сеть_и_дети'!BE19*'19_Расчет_аналитики'!$B$3122*'07_Мерч'!BE4,0)</f>
        <v/>
      </c>
      <c r="BF3642">
        <f>IF('01_Вводные'!$B$234="Да",'06_Сеть_и_дети'!BF19*'19_Расчет_аналитики'!$B$3122*'07_Мерч'!BF4,0)</f>
        <v/>
      </c>
      <c r="BG3642">
        <f>IF('01_Вводные'!$B$234="Да",'06_Сеть_и_дети'!BG19*'19_Расчет_аналитики'!$B$3122*'07_Мерч'!BG4,0)</f>
        <v/>
      </c>
      <c r="BH3642">
        <f>IF('01_Вводные'!$B$234="Да",'06_Сеть_и_дети'!BH19*'19_Расчет_аналитики'!$B$3122*'07_Мерч'!BH4,0)</f>
        <v/>
      </c>
      <c r="BI3642">
        <f>IF('01_Вводные'!$B$234="Да",'06_Сеть_и_дети'!BI19*'19_Расчет_аналитики'!$B$3122*'07_Мерч'!BI4,0)</f>
        <v/>
      </c>
      <c r="BJ3642">
        <f>IF('01_Вводные'!$B$234="Да",'06_Сеть_и_дети'!BJ19*'19_Расчет_аналитики'!$B$3122*'07_Мерч'!BJ4,0)</f>
        <v/>
      </c>
      <c r="BK3642">
        <f>IF('01_Вводные'!$B$234="Да",'06_Сеть_и_дети'!BK19*'19_Расчет_аналитики'!$B$3122*'07_Мерч'!BK4,0)</f>
        <v/>
      </c>
      <c r="BL3642">
        <f>IF('01_Вводные'!$B$234="Да",'06_Сеть_и_дети'!BL19*'19_Расчет_аналитики'!$B$3122*'07_Мерч'!BL4,0)</f>
        <v/>
      </c>
      <c r="BM3642">
        <f>IF('01_Вводные'!$B$234="Да",'06_Сеть_и_дети'!BM19*'19_Расчет_аналитики'!$B$3122*'07_Мерч'!BM4,0)</f>
        <v/>
      </c>
      <c r="BN3642">
        <f>IF('01_Вводные'!$B$234="Да",'06_Сеть_и_дети'!BN19*'19_Расчет_аналитики'!$B$3122*'07_Мерч'!BN4,0)</f>
        <v/>
      </c>
      <c r="BO3642">
        <f>IF('01_Вводные'!$B$234="Да",'06_Сеть_и_дети'!BO19*'19_Расчет_аналитики'!$B$3122*'07_Мерч'!BO4,0)</f>
        <v/>
      </c>
    </row>
    <row r="3643">
      <c r="F3643">
        <f>IF('01_Вводные'!$B$234="Да",'19_Расчет_аналитики'!F3642*'18_Календарь_тарифы'!F10,0)</f>
        <v/>
      </c>
      <c r="G3643">
        <f>IF('01_Вводные'!$B$234="Да",'19_Расчет_аналитики'!G3642*'18_Календарь_тарифы'!G10,0)</f>
        <v/>
      </c>
      <c r="H3643">
        <f>IF('01_Вводные'!$B$234="Да",'19_Расчет_аналитики'!H3642*'18_Календарь_тарифы'!H10,0)</f>
        <v/>
      </c>
      <c r="I3643">
        <f>IF('01_Вводные'!$B$234="Да",'19_Расчет_аналитики'!I3642*'18_Календарь_тарифы'!I10,0)</f>
        <v/>
      </c>
      <c r="J3643">
        <f>IF('01_Вводные'!$B$234="Да",'19_Расчет_аналитики'!J3642*'18_Календарь_тарифы'!J10,0)</f>
        <v/>
      </c>
      <c r="K3643">
        <f>IF('01_Вводные'!$B$234="Да",'19_Расчет_аналитики'!K3642*'18_Календарь_тарифы'!K10,0)</f>
        <v/>
      </c>
      <c r="L3643">
        <f>IF('01_Вводные'!$B$234="Да",'19_Расчет_аналитики'!L3642*'18_Календарь_тарифы'!L10,0)</f>
        <v/>
      </c>
      <c r="M3643">
        <f>IF('01_Вводные'!$B$234="Да",'19_Расчет_аналитики'!M3642*'18_Календарь_тарифы'!M10,0)</f>
        <v/>
      </c>
      <c r="N3643">
        <f>IF('01_Вводные'!$B$234="Да",'19_Расчет_аналитики'!N3642*'18_Календарь_тарифы'!N10,0)</f>
        <v/>
      </c>
      <c r="O3643">
        <f>IF('01_Вводные'!$B$234="Да",'19_Расчет_аналитики'!O3642*'18_Календарь_тарифы'!O10,0)</f>
        <v/>
      </c>
      <c r="P3643">
        <f>IF('01_Вводные'!$B$234="Да",'19_Расчет_аналитики'!P3642*'18_Календарь_тарифы'!P10,0)</f>
        <v/>
      </c>
      <c r="Q3643">
        <f>IF('01_Вводные'!$B$234="Да",'19_Расчет_аналитики'!Q3642*'18_Календарь_тарифы'!Q10,0)</f>
        <v/>
      </c>
      <c r="R3643">
        <f>IF('01_Вводные'!$B$234="Да",'19_Расчет_аналитики'!R3642*'18_Календарь_тарифы'!R10,0)</f>
        <v/>
      </c>
      <c r="S3643">
        <f>IF('01_Вводные'!$B$234="Да",'19_Расчет_аналитики'!S3642*'18_Календарь_тарифы'!S10,0)</f>
        <v/>
      </c>
      <c r="T3643">
        <f>IF('01_Вводные'!$B$234="Да",'19_Расчет_аналитики'!T3642*'18_Календарь_тарифы'!T10,0)</f>
        <v/>
      </c>
      <c r="U3643">
        <f>IF('01_Вводные'!$B$234="Да",'19_Расчет_аналитики'!U3642*'18_Календарь_тарифы'!U10,0)</f>
        <v/>
      </c>
      <c r="V3643">
        <f>IF('01_Вводные'!$B$234="Да",'19_Расчет_аналитики'!V3642*'18_Календарь_тарифы'!V10,0)</f>
        <v/>
      </c>
      <c r="W3643">
        <f>IF('01_Вводные'!$B$234="Да",'19_Расчет_аналитики'!W3642*'18_Календарь_тарифы'!W10,0)</f>
        <v/>
      </c>
      <c r="X3643">
        <f>IF('01_Вводные'!$B$234="Да",'19_Расчет_аналитики'!X3642*'18_Календарь_тарифы'!X10,0)</f>
        <v/>
      </c>
      <c r="Y3643">
        <f>IF('01_Вводные'!$B$234="Да",'19_Расчет_аналитики'!Y3642*'18_Календарь_тарифы'!Y10,0)</f>
        <v/>
      </c>
      <c r="Z3643">
        <f>IF('01_Вводные'!$B$234="Да",'19_Расчет_аналитики'!Z3642*'18_Календарь_тарифы'!Z10,0)</f>
        <v/>
      </c>
      <c r="AA3643">
        <f>IF('01_Вводные'!$B$234="Да",'19_Расчет_аналитики'!AA3642*'18_Календарь_тарифы'!AA10,0)</f>
        <v/>
      </c>
      <c r="AB3643">
        <f>IF('01_Вводные'!$B$234="Да",'19_Расчет_аналитики'!AB3642*'18_Календарь_тарифы'!AB10,0)</f>
        <v/>
      </c>
      <c r="AC3643">
        <f>IF('01_Вводные'!$B$234="Да",'19_Расчет_аналитики'!AC3642*'18_Календарь_тарифы'!AC10,0)</f>
        <v/>
      </c>
      <c r="AD3643">
        <f>IF('01_Вводные'!$B$234="Да",'19_Расчет_аналитики'!AD3642*'18_Календарь_тарифы'!AD10,0)</f>
        <v/>
      </c>
      <c r="AE3643">
        <f>IF('01_Вводные'!$B$234="Да",'19_Расчет_аналитики'!AE3642*'18_Календарь_тарифы'!AE10,0)</f>
        <v/>
      </c>
      <c r="AF3643">
        <f>IF('01_Вводные'!$B$234="Да",'19_Расчет_аналитики'!AF3642*'18_Календарь_тарифы'!AF10,0)</f>
        <v/>
      </c>
      <c r="AG3643">
        <f>IF('01_Вводные'!$B$234="Да",'19_Расчет_аналитики'!AG3642*'18_Календарь_тарифы'!AG10,0)</f>
        <v/>
      </c>
      <c r="AH3643">
        <f>IF('01_Вводные'!$B$234="Да",'19_Расчет_аналитики'!AH3642*'18_Календарь_тарифы'!AH10,0)</f>
        <v/>
      </c>
      <c r="AI3643">
        <f>IF('01_Вводные'!$B$234="Да",'19_Расчет_аналитики'!AI3642*'18_Календарь_тарифы'!AI10,0)</f>
        <v/>
      </c>
      <c r="AJ3643">
        <f>IF('01_Вводные'!$B$234="Да",'19_Расчет_аналитики'!AJ3642*'18_Календарь_тарифы'!AJ10,0)</f>
        <v/>
      </c>
      <c r="AK3643">
        <f>IF('01_Вводные'!$B$234="Да",'19_Расчет_аналитики'!AK3642*'18_Календарь_тарифы'!AK10,0)</f>
        <v/>
      </c>
      <c r="AL3643">
        <f>IF('01_Вводные'!$B$234="Да",'19_Расчет_аналитики'!AL3642*'18_Календарь_тарифы'!AL10,0)</f>
        <v/>
      </c>
      <c r="AM3643">
        <f>IF('01_Вводные'!$B$234="Да",'19_Расчет_аналитики'!AM3642*'18_Календарь_тарифы'!AM10,0)</f>
        <v/>
      </c>
      <c r="AN3643">
        <f>IF('01_Вводные'!$B$234="Да",'19_Расчет_аналитики'!AN3642*'18_Календарь_тарифы'!AN10,0)</f>
        <v/>
      </c>
      <c r="AO3643">
        <f>IF('01_Вводные'!$B$234="Да",'19_Расчет_аналитики'!AO3642*'18_Календарь_тарифы'!AO10,0)</f>
        <v/>
      </c>
      <c r="AP3643">
        <f>IF('01_Вводные'!$B$234="Да",'19_Расчет_аналитики'!AP3642*'18_Календарь_тарифы'!AP10,0)</f>
        <v/>
      </c>
      <c r="AQ3643">
        <f>IF('01_Вводные'!$B$234="Да",'19_Расчет_аналитики'!AQ3642*'18_Календарь_тарифы'!AQ10,0)</f>
        <v/>
      </c>
      <c r="AR3643">
        <f>IF('01_Вводные'!$B$234="Да",'19_Расчет_аналитики'!AR3642*'18_Календарь_тарифы'!AR10,0)</f>
        <v/>
      </c>
      <c r="AS3643">
        <f>IF('01_Вводные'!$B$234="Да",'19_Расчет_аналитики'!AS3642*'18_Календарь_тарифы'!AS10,0)</f>
        <v/>
      </c>
      <c r="AT3643">
        <f>IF('01_Вводные'!$B$234="Да",'19_Расчет_аналитики'!AT3642*'18_Календарь_тарифы'!AT10,0)</f>
        <v/>
      </c>
      <c r="AU3643">
        <f>IF('01_Вводные'!$B$234="Да",'19_Расчет_аналитики'!AU3642*'18_Календарь_тарифы'!AU10,0)</f>
        <v/>
      </c>
      <c r="AV3643">
        <f>IF('01_Вводные'!$B$234="Да",'19_Расчет_аналитики'!AV3642*'18_Календарь_тарифы'!AV10,0)</f>
        <v/>
      </c>
      <c r="AW3643">
        <f>IF('01_Вводные'!$B$234="Да",'19_Расчет_аналитики'!AW3642*'18_Календарь_тарифы'!AW10,0)</f>
        <v/>
      </c>
      <c r="AX3643">
        <f>IF('01_Вводные'!$B$234="Да",'19_Расчет_аналитики'!AX3642*'18_Календарь_тарифы'!AX10,0)</f>
        <v/>
      </c>
      <c r="AY3643">
        <f>IF('01_Вводные'!$B$234="Да",'19_Расчет_аналитики'!AY3642*'18_Календарь_тарифы'!AY10,0)</f>
        <v/>
      </c>
      <c r="AZ3643">
        <f>IF('01_Вводные'!$B$234="Да",'19_Расчет_аналитики'!AZ3642*'18_Календарь_тарифы'!AZ10,0)</f>
        <v/>
      </c>
      <c r="BA3643">
        <f>IF('01_Вводные'!$B$234="Да",'19_Расчет_аналитики'!BA3642*'18_Календарь_тарифы'!BA10,0)</f>
        <v/>
      </c>
      <c r="BB3643">
        <f>IF('01_Вводные'!$B$234="Да",'19_Расчет_аналитики'!BB3642*'18_Календарь_тарифы'!BB10,0)</f>
        <v/>
      </c>
      <c r="BC3643">
        <f>IF('01_Вводные'!$B$234="Да",'19_Расчет_аналитики'!BC3642*'18_Календарь_тарифы'!BC10,0)</f>
        <v/>
      </c>
      <c r="BD3643">
        <f>IF('01_Вводные'!$B$234="Да",'19_Расчет_аналитики'!BD3642*'18_Календарь_тарифы'!BD10,0)</f>
        <v/>
      </c>
      <c r="BE3643">
        <f>IF('01_Вводные'!$B$234="Да",'19_Расчет_аналитики'!BE3642*'18_Календарь_тарифы'!BE10,0)</f>
        <v/>
      </c>
      <c r="BF3643">
        <f>IF('01_Вводные'!$B$234="Да",'19_Расчет_аналитики'!BF3642*'18_Календарь_тарифы'!BF10,0)</f>
        <v/>
      </c>
      <c r="BG3643">
        <f>IF('01_Вводные'!$B$234="Да",'19_Расчет_аналитики'!BG3642*'18_Календарь_тарифы'!BG10,0)</f>
        <v/>
      </c>
      <c r="BH3643">
        <f>IF('01_Вводные'!$B$234="Да",'19_Расчет_аналитики'!BH3642*'18_Календарь_тарифы'!BH10,0)</f>
        <v/>
      </c>
      <c r="BI3643">
        <f>IF('01_Вводные'!$B$234="Да",'19_Расчет_аналитики'!BI3642*'18_Календарь_тарифы'!BI10,0)</f>
        <v/>
      </c>
      <c r="BJ3643">
        <f>IF('01_Вводные'!$B$234="Да",'19_Расчет_аналитики'!BJ3642*'18_Календарь_тарифы'!BJ10,0)</f>
        <v/>
      </c>
      <c r="BK3643">
        <f>IF('01_Вводные'!$B$234="Да",'19_Расчет_аналитики'!BK3642*'18_Календарь_тарифы'!BK10,0)</f>
        <v/>
      </c>
      <c r="BL3643">
        <f>IF('01_Вводные'!$B$234="Да",'19_Расчет_аналитики'!BL3642*'18_Календарь_тарифы'!BL10,0)</f>
        <v/>
      </c>
      <c r="BM3643">
        <f>IF('01_Вводные'!$B$234="Да",'19_Расчет_аналитики'!BM3642*'18_Календарь_тарифы'!BM10,0)</f>
        <v/>
      </c>
      <c r="BN3643">
        <f>IF('01_Вводные'!$B$234="Да",'19_Расчет_аналитики'!BN3642*'18_Календарь_тарифы'!BN10,0)</f>
        <v/>
      </c>
      <c r="BO3643">
        <f>IF('01_Вводные'!$B$234="Да",'19_Расчет_аналитики'!BO3642*'18_Календарь_тарифы'!BO10,0)</f>
        <v/>
      </c>
    </row>
    <row r="3644">
      <c r="F3644">
        <f>IF('01_Вводные'!$B$234="Да",'19_Расчет_аналитики'!F3642*'18_Календарь_тарифы'!F9,0)</f>
        <v/>
      </c>
      <c r="G3644">
        <f>IF('01_Вводные'!$B$234="Да",'19_Расчет_аналитики'!G3642*'18_Календарь_тарифы'!G9,0)</f>
        <v/>
      </c>
      <c r="H3644">
        <f>IF('01_Вводные'!$B$234="Да",'19_Расчет_аналитики'!H3642*'18_Календарь_тарифы'!H9,0)</f>
        <v/>
      </c>
      <c r="I3644">
        <f>IF('01_Вводные'!$B$234="Да",'19_Расчет_аналитики'!I3642*'18_Календарь_тарифы'!I9,0)</f>
        <v/>
      </c>
      <c r="J3644">
        <f>IF('01_Вводные'!$B$234="Да",'19_Расчет_аналитики'!J3642*'18_Календарь_тарифы'!J9,0)</f>
        <v/>
      </c>
      <c r="K3644">
        <f>IF('01_Вводные'!$B$234="Да",'19_Расчет_аналитики'!K3642*'18_Календарь_тарифы'!K9,0)</f>
        <v/>
      </c>
      <c r="L3644">
        <f>IF('01_Вводные'!$B$234="Да",'19_Расчет_аналитики'!L3642*'18_Календарь_тарифы'!L9,0)</f>
        <v/>
      </c>
      <c r="M3644">
        <f>IF('01_Вводные'!$B$234="Да",'19_Расчет_аналитики'!M3642*'18_Календарь_тарифы'!M9,0)</f>
        <v/>
      </c>
      <c r="N3644">
        <f>IF('01_Вводные'!$B$234="Да",'19_Расчет_аналитики'!N3642*'18_Календарь_тарифы'!N9,0)</f>
        <v/>
      </c>
      <c r="O3644">
        <f>IF('01_Вводные'!$B$234="Да",'19_Расчет_аналитики'!O3642*'18_Календарь_тарифы'!O9,0)</f>
        <v/>
      </c>
      <c r="P3644">
        <f>IF('01_Вводные'!$B$234="Да",'19_Расчет_аналитики'!P3642*'18_Календарь_тарифы'!P9,0)</f>
        <v/>
      </c>
      <c r="Q3644">
        <f>IF('01_Вводные'!$B$234="Да",'19_Расчет_аналитики'!Q3642*'18_Календарь_тарифы'!Q9,0)</f>
        <v/>
      </c>
      <c r="R3644">
        <f>IF('01_Вводные'!$B$234="Да",'19_Расчет_аналитики'!R3642*'18_Календарь_тарифы'!R9,0)</f>
        <v/>
      </c>
      <c r="S3644">
        <f>IF('01_Вводные'!$B$234="Да",'19_Расчет_аналитики'!S3642*'18_Календарь_тарифы'!S9,0)</f>
        <v/>
      </c>
      <c r="T3644">
        <f>IF('01_Вводные'!$B$234="Да",'19_Расчет_аналитики'!T3642*'18_Календарь_тарифы'!T9,0)</f>
        <v/>
      </c>
      <c r="U3644">
        <f>IF('01_Вводные'!$B$234="Да",'19_Расчет_аналитики'!U3642*'18_Календарь_тарифы'!U9,0)</f>
        <v/>
      </c>
      <c r="V3644">
        <f>IF('01_Вводные'!$B$234="Да",'19_Расчет_аналитики'!V3642*'18_Календарь_тарифы'!V9,0)</f>
        <v/>
      </c>
      <c r="W3644">
        <f>IF('01_Вводные'!$B$234="Да",'19_Расчет_аналитики'!W3642*'18_Календарь_тарифы'!W9,0)</f>
        <v/>
      </c>
      <c r="X3644">
        <f>IF('01_Вводные'!$B$234="Да",'19_Расчет_аналитики'!X3642*'18_Календарь_тарифы'!X9,0)</f>
        <v/>
      </c>
      <c r="Y3644">
        <f>IF('01_Вводные'!$B$234="Да",'19_Расчет_аналитики'!Y3642*'18_Календарь_тарифы'!Y9,0)</f>
        <v/>
      </c>
      <c r="Z3644">
        <f>IF('01_Вводные'!$B$234="Да",'19_Расчет_аналитики'!Z3642*'18_Календарь_тарифы'!Z9,0)</f>
        <v/>
      </c>
      <c r="AA3644">
        <f>IF('01_Вводные'!$B$234="Да",'19_Расчет_аналитики'!AA3642*'18_Календарь_тарифы'!AA9,0)</f>
        <v/>
      </c>
      <c r="AB3644">
        <f>IF('01_Вводные'!$B$234="Да",'19_Расчет_аналитики'!AB3642*'18_Календарь_тарифы'!AB9,0)</f>
        <v/>
      </c>
      <c r="AC3644">
        <f>IF('01_Вводные'!$B$234="Да",'19_Расчет_аналитики'!AC3642*'18_Календарь_тарифы'!AC9,0)</f>
        <v/>
      </c>
      <c r="AD3644">
        <f>IF('01_Вводные'!$B$234="Да",'19_Расчет_аналитики'!AD3642*'18_Календарь_тарифы'!AD9,0)</f>
        <v/>
      </c>
      <c r="AE3644">
        <f>IF('01_Вводные'!$B$234="Да",'19_Расчет_аналитики'!AE3642*'18_Календарь_тарифы'!AE9,0)</f>
        <v/>
      </c>
      <c r="AF3644">
        <f>IF('01_Вводные'!$B$234="Да",'19_Расчет_аналитики'!AF3642*'18_Календарь_тарифы'!AF9,0)</f>
        <v/>
      </c>
      <c r="AG3644">
        <f>IF('01_Вводные'!$B$234="Да",'19_Расчет_аналитики'!AG3642*'18_Календарь_тарифы'!AG9,0)</f>
        <v/>
      </c>
      <c r="AH3644">
        <f>IF('01_Вводные'!$B$234="Да",'19_Расчет_аналитики'!AH3642*'18_Календарь_тарифы'!AH9,0)</f>
        <v/>
      </c>
      <c r="AI3644">
        <f>IF('01_Вводные'!$B$234="Да",'19_Расчет_аналитики'!AI3642*'18_Календарь_тарифы'!AI9,0)</f>
        <v/>
      </c>
      <c r="AJ3644">
        <f>IF('01_Вводные'!$B$234="Да",'19_Расчет_аналитики'!AJ3642*'18_Календарь_тарифы'!AJ9,0)</f>
        <v/>
      </c>
      <c r="AK3644">
        <f>IF('01_Вводные'!$B$234="Да",'19_Расчет_аналитики'!AK3642*'18_Календарь_тарифы'!AK9,0)</f>
        <v/>
      </c>
      <c r="AL3644">
        <f>IF('01_Вводные'!$B$234="Да",'19_Расчет_аналитики'!AL3642*'18_Календарь_тарифы'!AL9,0)</f>
        <v/>
      </c>
      <c r="AM3644">
        <f>IF('01_Вводные'!$B$234="Да",'19_Расчет_аналитики'!AM3642*'18_Календарь_тарифы'!AM9,0)</f>
        <v/>
      </c>
      <c r="AN3644">
        <f>IF('01_Вводные'!$B$234="Да",'19_Расчет_аналитики'!AN3642*'18_Календарь_тарифы'!AN9,0)</f>
        <v/>
      </c>
      <c r="AO3644">
        <f>IF('01_Вводные'!$B$234="Да",'19_Расчет_аналитики'!AO3642*'18_Календарь_тарифы'!AO9,0)</f>
        <v/>
      </c>
      <c r="AP3644">
        <f>IF('01_Вводные'!$B$234="Да",'19_Расчет_аналитики'!AP3642*'18_Календарь_тарифы'!AP9,0)</f>
        <v/>
      </c>
      <c r="AQ3644">
        <f>IF('01_Вводные'!$B$234="Да",'19_Расчет_аналитики'!AQ3642*'18_Календарь_тарифы'!AQ9,0)</f>
        <v/>
      </c>
      <c r="AR3644">
        <f>IF('01_Вводные'!$B$234="Да",'19_Расчет_аналитики'!AR3642*'18_Календарь_тарифы'!AR9,0)</f>
        <v/>
      </c>
      <c r="AS3644">
        <f>IF('01_Вводные'!$B$234="Да",'19_Расчет_аналитики'!AS3642*'18_Календарь_тарифы'!AS9,0)</f>
        <v/>
      </c>
      <c r="AT3644">
        <f>IF('01_Вводные'!$B$234="Да",'19_Расчет_аналитики'!AT3642*'18_Календарь_тарифы'!AT9,0)</f>
        <v/>
      </c>
      <c r="AU3644">
        <f>IF('01_Вводные'!$B$234="Да",'19_Расчет_аналитики'!AU3642*'18_Календарь_тарифы'!AU9,0)</f>
        <v/>
      </c>
      <c r="AV3644">
        <f>IF('01_Вводные'!$B$234="Да",'19_Расчет_аналитики'!AV3642*'18_Календарь_тарифы'!AV9,0)</f>
        <v/>
      </c>
      <c r="AW3644">
        <f>IF('01_Вводные'!$B$234="Да",'19_Расчет_аналитики'!AW3642*'18_Календарь_тарифы'!AW9,0)</f>
        <v/>
      </c>
      <c r="AX3644">
        <f>IF('01_Вводные'!$B$234="Да",'19_Расчет_аналитики'!AX3642*'18_Календарь_тарифы'!AX9,0)</f>
        <v/>
      </c>
      <c r="AY3644">
        <f>IF('01_Вводные'!$B$234="Да",'19_Расчет_аналитики'!AY3642*'18_Календарь_тарифы'!AY9,0)</f>
        <v/>
      </c>
      <c r="AZ3644">
        <f>IF('01_Вводные'!$B$234="Да",'19_Расчет_аналитики'!AZ3642*'18_Календарь_тарифы'!AZ9,0)</f>
        <v/>
      </c>
      <c r="BA3644">
        <f>IF('01_Вводные'!$B$234="Да",'19_Расчет_аналитики'!BA3642*'18_Календарь_тарифы'!BA9,0)</f>
        <v/>
      </c>
      <c r="BB3644">
        <f>IF('01_Вводные'!$B$234="Да",'19_Расчет_аналитики'!BB3642*'18_Календарь_тарифы'!BB9,0)</f>
        <v/>
      </c>
      <c r="BC3644">
        <f>IF('01_Вводные'!$B$234="Да",'19_Расчет_аналитики'!BC3642*'18_Календарь_тарифы'!BC9,0)</f>
        <v/>
      </c>
      <c r="BD3644">
        <f>IF('01_Вводные'!$B$234="Да",'19_Расчет_аналитики'!BD3642*'18_Календарь_тарифы'!BD9,0)</f>
        <v/>
      </c>
      <c r="BE3644">
        <f>IF('01_Вводные'!$B$234="Да",'19_Расчет_аналитики'!BE3642*'18_Календарь_тарифы'!BE9,0)</f>
        <v/>
      </c>
      <c r="BF3644">
        <f>IF('01_Вводные'!$B$234="Да",'19_Расчет_аналитики'!BF3642*'18_Календарь_тарифы'!BF9,0)</f>
        <v/>
      </c>
      <c r="BG3644">
        <f>IF('01_Вводные'!$B$234="Да",'19_Расчет_аналитики'!BG3642*'18_Календарь_тарифы'!BG9,0)</f>
        <v/>
      </c>
      <c r="BH3644">
        <f>IF('01_Вводные'!$B$234="Да",'19_Расчет_аналитики'!BH3642*'18_Календарь_тарифы'!BH9,0)</f>
        <v/>
      </c>
      <c r="BI3644">
        <f>IF('01_Вводные'!$B$234="Да",'19_Расчет_аналитики'!BI3642*'18_Календарь_тарифы'!BI9,0)</f>
        <v/>
      </c>
      <c r="BJ3644">
        <f>IF('01_Вводные'!$B$234="Да",'19_Расчет_аналитики'!BJ3642*'18_Календарь_тарифы'!BJ9,0)</f>
        <v/>
      </c>
      <c r="BK3644">
        <f>IF('01_Вводные'!$B$234="Да",'19_Расчет_аналитики'!BK3642*'18_Календарь_тарифы'!BK9,0)</f>
        <v/>
      </c>
      <c r="BL3644">
        <f>IF('01_Вводные'!$B$234="Да",'19_Расчет_аналитики'!BL3642*'18_Календарь_тарифы'!BL9,0)</f>
        <v/>
      </c>
      <c r="BM3644">
        <f>IF('01_Вводные'!$B$234="Да",'19_Расчет_аналитики'!BM3642*'18_Календарь_тарифы'!BM9,0)</f>
        <v/>
      </c>
      <c r="BN3644">
        <f>IF('01_Вводные'!$B$234="Да",'19_Расчет_аналитики'!BN3642*'18_Календарь_тарифы'!BN9,0)</f>
        <v/>
      </c>
      <c r="BO3644">
        <f>IF('01_Вводные'!$B$234="Да",'19_Расчет_аналитики'!BO3642*'18_Календарь_тарифы'!BO9,0)</f>
        <v/>
      </c>
    </row>
    <row r="3645"/>
    <row r="3646">
      <c r="B3646">
        <f>'07_Мерч'!B9</f>
        <v/>
      </c>
      <c r="C3646">
        <f>IF('01_Вводные'!$B$234="Да",('19_Расчет_аналитики'!B3399*'01_Вводные'!$B$87*'01_Вводные'!$B$14^1)*'19_Расчет_аналитики'!$B$3094*'19_Расчет_аналитики'!$B$3122,0)</f>
        <v/>
      </c>
      <c r="D3646">
        <f>IF('01_Вводные'!$B$234="Да",('19_Расчет_аналитики'!C3399*'01_Вводные'!$B$87*'01_Вводные'!$B$14^1+'19_Расчет_аналитики'!B3399*'01_Вводные'!$B$88*'01_Вводные'!$B$14^2)*'19_Расчет_аналитики'!$B$3094*'19_Расчет_аналитики'!$B$3122,0)</f>
        <v/>
      </c>
      <c r="E3646">
        <f>IF('01_Вводные'!$B$234="Да",('19_Расчет_аналитики'!D3399*'01_Вводные'!$B$87*'01_Вводные'!$B$14^1+'19_Расчет_аналитики'!C3399*'01_Вводные'!$B$88*'01_Вводные'!$B$14^2+'19_Расчет_аналитики'!B3399*'01_Вводные'!$B$89*'01_Вводные'!$B$14^3)*'19_Расчет_аналитики'!$B$3094*'19_Расчет_аналитики'!$B$3122,0)</f>
        <v/>
      </c>
      <c r="F3646">
        <f>IF('01_Вводные'!$B$234="Да",('19_Расчет_аналитики'!E3399*'01_Вводные'!$B$87*'01_Вводные'!$B$14^1+'19_Расчет_аналитики'!D3399*'01_Вводные'!$B$88*'01_Вводные'!$B$14^2+'19_Расчет_аналитики'!C3399*'01_Вводные'!$B$89*'01_Вводные'!$B$14^3)*'19_Расчет_аналитики'!$B$3094*'19_Расчет_аналитики'!$B$3122,0)</f>
        <v/>
      </c>
      <c r="G3646">
        <f>IF('01_Вводные'!$B$234="Да",('19_Расчет_аналитики'!F3399*'01_Вводные'!$B$87*'01_Вводные'!$B$14^1+'19_Расчет_аналитики'!E3399*'01_Вводные'!$B$88*'01_Вводные'!$B$14^2+'19_Расчет_аналитики'!D3399*'01_Вводные'!$B$89*'01_Вводные'!$B$14^3)*'19_Расчет_аналитики'!$B$3094*'19_Расчет_аналитики'!$B$3122,0)</f>
        <v/>
      </c>
      <c r="H3646">
        <f>IF('01_Вводные'!$B$234="Да",('19_Расчет_аналитики'!G3399*'01_Вводные'!$B$87*'01_Вводные'!$B$14^1+'19_Расчет_аналитики'!F3399*'01_Вводные'!$B$88*'01_Вводные'!$B$14^2+'19_Расчет_аналитики'!E3399*'01_Вводные'!$B$89*'01_Вводные'!$B$14^3)*'19_Расчет_аналитики'!$B$3094*'19_Расчет_аналитики'!$B$3122,0)</f>
        <v/>
      </c>
      <c r="I3646">
        <f>IF('01_Вводные'!$B$234="Да",('19_Расчет_аналитики'!H3399*'01_Вводные'!$B$87*'01_Вводные'!$B$14^1+'19_Расчет_аналитики'!G3399*'01_Вводные'!$B$88*'01_Вводные'!$B$14^2+'19_Расчет_аналитики'!F3399*'01_Вводные'!$B$89*'01_Вводные'!$B$14^3)*'19_Расчет_аналитики'!$B$3094*'19_Расчет_аналитики'!$B$3122,0)</f>
        <v/>
      </c>
      <c r="J3646">
        <f>IF('01_Вводные'!$B$234="Да",('19_Расчет_аналитики'!I3399*'01_Вводные'!$B$87*'01_Вводные'!$B$14^1+'19_Расчет_аналитики'!H3399*'01_Вводные'!$B$88*'01_Вводные'!$B$14^2+'19_Расчет_аналитики'!G3399*'01_Вводные'!$B$89*'01_Вводные'!$B$14^3)*'19_Расчет_аналитики'!$B$3094*'19_Расчет_аналитики'!$B$3122,0)</f>
        <v/>
      </c>
      <c r="K3646">
        <f>IF('01_Вводные'!$B$234="Да",('19_Расчет_аналитики'!J3399*'01_Вводные'!$B$87*'01_Вводные'!$B$14^1+'19_Расчет_аналитики'!I3399*'01_Вводные'!$B$88*'01_Вводные'!$B$14^2+'19_Расчет_аналитики'!H3399*'01_Вводные'!$B$89*'01_Вводные'!$B$14^3)*'19_Расчет_аналитики'!$B$3094*'19_Расчет_аналитики'!$B$3122,0)</f>
        <v/>
      </c>
      <c r="L3646">
        <f>IF('01_Вводные'!$B$234="Да",('19_Расчет_аналитики'!K3399*'01_Вводные'!$B$87*'01_Вводные'!$B$14^1+'19_Расчет_аналитики'!J3399*'01_Вводные'!$B$88*'01_Вводные'!$B$14^2+'19_Расчет_аналитики'!I3399*'01_Вводные'!$B$89*'01_Вводные'!$B$14^3)*'19_Расчет_аналитики'!$B$3094*'19_Расчет_аналитики'!$B$3122,0)</f>
        <v/>
      </c>
      <c r="M3646">
        <f>IF('01_Вводные'!$B$234="Да",('19_Расчет_аналитики'!L3399*'01_Вводные'!$B$87*'01_Вводные'!$B$14^1+'19_Расчет_аналитики'!K3399*'01_Вводные'!$B$88*'01_Вводные'!$B$14^2+'19_Расчет_аналитики'!J3399*'01_Вводные'!$B$89*'01_Вводные'!$B$14^3)*'19_Расчет_аналитики'!$B$3094*'19_Расчет_аналитики'!$B$3122,0)</f>
        <v/>
      </c>
      <c r="N3646">
        <f>IF('01_Вводные'!$B$234="Да",('19_Расчет_аналитики'!M3399*'01_Вводные'!$B$87*'01_Вводные'!$B$14^1+'19_Расчет_аналитики'!L3399*'01_Вводные'!$B$88*'01_Вводные'!$B$14^2+'19_Расчет_аналитики'!K3399*'01_Вводные'!$B$89*'01_Вводные'!$B$14^3)*'19_Расчет_аналитики'!$B$3094*'19_Расчет_аналитики'!$B$3122,0)</f>
        <v/>
      </c>
      <c r="O3646">
        <f>IF('01_Вводные'!$B$234="Да",('19_Расчет_аналитики'!N3399*'01_Вводные'!$B$87*'01_Вводные'!$B$14^1+'19_Расчет_аналитики'!M3399*'01_Вводные'!$B$88*'01_Вводные'!$B$14^2+'19_Расчет_аналитики'!L3399*'01_Вводные'!$B$89*'01_Вводные'!$B$14^3)*'19_Расчет_аналитики'!$B$3094*'19_Расчет_аналитики'!$B$3122,0)</f>
        <v/>
      </c>
      <c r="P3646">
        <f>IF('01_Вводные'!$B$234="Да",('19_Расчет_аналитики'!O3399*'01_Вводные'!$B$87*'01_Вводные'!$B$14^1+'19_Расчет_аналитики'!N3399*'01_Вводные'!$B$88*'01_Вводные'!$B$14^2+'19_Расчет_аналитики'!M3399*'01_Вводные'!$B$89*'01_Вводные'!$B$14^3)*'19_Расчет_аналитики'!$B$3094*'19_Расчет_аналитики'!$B$3122,0)</f>
        <v/>
      </c>
      <c r="Q3646">
        <f>IF('01_Вводные'!$B$234="Да",('19_Расчет_аналитики'!P3399*'01_Вводные'!$B$87*'01_Вводные'!$B$14^1+'19_Расчет_аналитики'!O3399*'01_Вводные'!$B$88*'01_Вводные'!$B$14^2+'19_Расчет_аналитики'!N3399*'01_Вводные'!$B$89*'01_Вводные'!$B$14^3)*'19_Расчет_аналитики'!$B$3094*'19_Расчет_аналитики'!$B$3122,0)</f>
        <v/>
      </c>
      <c r="R3646">
        <f>IF('01_Вводные'!$B$234="Да",('19_Расчет_аналитики'!Q3399*'01_Вводные'!$B$87*'01_Вводные'!$B$14^1+'19_Расчет_аналитики'!P3399*'01_Вводные'!$B$88*'01_Вводные'!$B$14^2+'19_Расчет_аналитики'!O3399*'01_Вводные'!$B$89*'01_Вводные'!$B$14^3)*'19_Расчет_аналитики'!$B$3094*'19_Расчет_аналитики'!$B$3122,0)</f>
        <v/>
      </c>
      <c r="S3646">
        <f>IF('01_Вводные'!$B$234="Да",('19_Расчет_аналитики'!R3399*'01_Вводные'!$B$87*'01_Вводные'!$B$14^1+'19_Расчет_аналитики'!Q3399*'01_Вводные'!$B$88*'01_Вводные'!$B$14^2+'19_Расчет_аналитики'!P3399*'01_Вводные'!$B$89*'01_Вводные'!$B$14^3)*'19_Расчет_аналитики'!$B$3094*'19_Расчет_аналитики'!$B$3122,0)</f>
        <v/>
      </c>
      <c r="T3646">
        <f>IF('01_Вводные'!$B$234="Да",('19_Расчет_аналитики'!S3399*'01_Вводные'!$B$87*'01_Вводные'!$B$14^1+'19_Расчет_аналитики'!R3399*'01_Вводные'!$B$88*'01_Вводные'!$B$14^2+'19_Расчет_аналитики'!Q3399*'01_Вводные'!$B$89*'01_Вводные'!$B$14^3)*'19_Расчет_аналитики'!$B$3094*'19_Расчет_аналитики'!$B$3122,0)</f>
        <v/>
      </c>
      <c r="U3646">
        <f>IF('01_Вводные'!$B$234="Да",('19_Расчет_аналитики'!T3399*'01_Вводные'!$B$87*'01_Вводные'!$B$14^1+'19_Расчет_аналитики'!S3399*'01_Вводные'!$B$88*'01_Вводные'!$B$14^2+'19_Расчет_аналитики'!R3399*'01_Вводные'!$B$89*'01_Вводные'!$B$14^3)*'19_Расчет_аналитики'!$B$3094*'19_Расчет_аналитики'!$B$3122,0)</f>
        <v/>
      </c>
      <c r="V3646">
        <f>IF('01_Вводные'!$B$234="Да",('19_Расчет_аналитики'!U3399*'01_Вводные'!$B$87*'01_Вводные'!$B$14^1+'19_Расчет_аналитики'!T3399*'01_Вводные'!$B$88*'01_Вводные'!$B$14^2+'19_Расчет_аналитики'!S3399*'01_Вводные'!$B$89*'01_Вводные'!$B$14^3)*'19_Расчет_аналитики'!$B$3094*'19_Расчет_аналитики'!$B$3122,0)</f>
        <v/>
      </c>
      <c r="W3646">
        <f>IF('01_Вводные'!$B$234="Да",('19_Расчет_аналитики'!V3399*'01_Вводные'!$B$87*'01_Вводные'!$B$14^1+'19_Расчет_аналитики'!U3399*'01_Вводные'!$B$88*'01_Вводные'!$B$14^2+'19_Расчет_аналитики'!T3399*'01_Вводные'!$B$89*'01_Вводные'!$B$14^3)*'19_Расчет_аналитики'!$B$3094*'19_Расчет_аналитики'!$B$3122,0)</f>
        <v/>
      </c>
      <c r="X3646">
        <f>IF('01_Вводные'!$B$234="Да",('19_Расчет_аналитики'!W3399*'01_Вводные'!$B$87*'01_Вводные'!$B$14^1+'19_Расчет_аналитики'!V3399*'01_Вводные'!$B$88*'01_Вводные'!$B$14^2+'19_Расчет_аналитики'!U3399*'01_Вводные'!$B$89*'01_Вводные'!$B$14^3)*'19_Расчет_аналитики'!$B$3094*'19_Расчет_аналитики'!$B$3122,0)</f>
        <v/>
      </c>
      <c r="Y3646">
        <f>IF('01_Вводные'!$B$234="Да",('19_Расчет_аналитики'!X3399*'01_Вводные'!$B$87*'01_Вводные'!$B$14^1+'19_Расчет_аналитики'!W3399*'01_Вводные'!$B$88*'01_Вводные'!$B$14^2+'19_Расчет_аналитики'!V3399*'01_Вводные'!$B$89*'01_Вводные'!$B$14^3)*'19_Расчет_аналитики'!$B$3094*'19_Расчет_аналитики'!$B$3122,0)</f>
        <v/>
      </c>
      <c r="Z3646">
        <f>IF('01_Вводные'!$B$234="Да",('19_Расчет_аналитики'!Y3399*'01_Вводные'!$B$87*'01_Вводные'!$B$14^1+'19_Расчет_аналитики'!X3399*'01_Вводные'!$B$88*'01_Вводные'!$B$14^2+'19_Расчет_аналитики'!W3399*'01_Вводные'!$B$89*'01_Вводные'!$B$14^3)*'19_Расчет_аналитики'!$B$3094*'19_Расчет_аналитики'!$B$3122,0)</f>
        <v/>
      </c>
      <c r="AA3646">
        <f>IF('01_Вводные'!$B$234="Да",('19_Расчет_аналитики'!Z3399*'01_Вводные'!$B$87*'01_Вводные'!$B$14^1+'19_Расчет_аналитики'!Y3399*'01_Вводные'!$B$88*'01_Вводные'!$B$14^2+'19_Расчет_аналитики'!X3399*'01_Вводные'!$B$89*'01_Вводные'!$B$14^3)*'19_Расчет_аналитики'!$B$3094*'19_Расчет_аналитики'!$B$3122,0)</f>
        <v/>
      </c>
      <c r="AB3646">
        <f>IF('01_Вводные'!$B$234="Да",('19_Расчет_аналитики'!AA3399*'01_Вводные'!$B$87*'01_Вводные'!$B$14^1+'19_Расчет_аналитики'!Z3399*'01_Вводные'!$B$88*'01_Вводные'!$B$14^2+'19_Расчет_аналитики'!Y3399*'01_Вводные'!$B$89*'01_Вводные'!$B$14^3)*'19_Расчет_аналитики'!$B$3094*'19_Расчет_аналитики'!$B$3122,0)</f>
        <v/>
      </c>
      <c r="AC3646">
        <f>IF('01_Вводные'!$B$234="Да",('19_Расчет_аналитики'!AB3399*'01_Вводные'!$B$87*'01_Вводные'!$B$14^1+'19_Расчет_аналитики'!AA3399*'01_Вводные'!$B$88*'01_Вводные'!$B$14^2+'19_Расчет_аналитики'!Z3399*'01_Вводные'!$B$89*'01_Вводные'!$B$14^3)*'19_Расчет_аналитики'!$B$3094*'19_Расчет_аналитики'!$B$3122,0)</f>
        <v/>
      </c>
      <c r="AD3646">
        <f>IF('01_Вводные'!$B$234="Да",('19_Расчет_аналитики'!AC3399*'01_Вводные'!$B$87*'01_Вводные'!$B$14^1+'19_Расчет_аналитики'!AB3399*'01_Вводные'!$B$88*'01_Вводные'!$B$14^2+'19_Расчет_аналитики'!AA3399*'01_Вводные'!$B$89*'01_Вводные'!$B$14^3)*'19_Расчет_аналитики'!$B$3094*'19_Расчет_аналитики'!$B$3122,0)</f>
        <v/>
      </c>
      <c r="AE3646">
        <f>IF('01_Вводные'!$B$234="Да",('19_Расчет_аналитики'!AD3399*'01_Вводные'!$B$87*'01_Вводные'!$B$14^1+'19_Расчет_аналитики'!AC3399*'01_Вводные'!$B$88*'01_Вводные'!$B$14^2+'19_Расчет_аналитики'!AB3399*'01_Вводные'!$B$89*'01_Вводные'!$B$14^3)*'19_Расчет_аналитики'!$B$3094*'19_Расчет_аналитики'!$B$3122,0)</f>
        <v/>
      </c>
      <c r="AF3646">
        <f>IF('01_Вводные'!$B$234="Да",('19_Расчет_аналитики'!AE3399*'01_Вводные'!$B$87*'01_Вводные'!$B$14^1+'19_Расчет_аналитики'!AD3399*'01_Вводные'!$B$88*'01_Вводные'!$B$14^2+'19_Расчет_аналитики'!AC3399*'01_Вводные'!$B$89*'01_Вводные'!$B$14^3)*'19_Расчет_аналитики'!$B$3094*'19_Расчет_аналитики'!$B$3122,0)</f>
        <v/>
      </c>
      <c r="AG3646">
        <f>IF('01_Вводные'!$B$234="Да",('19_Расчет_аналитики'!AF3399*'01_Вводные'!$B$87*'01_Вводные'!$B$14^1+'19_Расчет_аналитики'!AE3399*'01_Вводные'!$B$88*'01_Вводные'!$B$14^2+'19_Расчет_аналитики'!AD3399*'01_Вводные'!$B$89*'01_Вводные'!$B$14^3)*'19_Расчет_аналитики'!$B$3094*'19_Расчет_аналитики'!$B$3122,0)</f>
        <v/>
      </c>
      <c r="AH3646">
        <f>IF('01_Вводные'!$B$234="Да",('19_Расчет_аналитики'!AG3399*'01_Вводные'!$B$87*'01_Вводные'!$B$14^1+'19_Расчет_аналитики'!AF3399*'01_Вводные'!$B$88*'01_Вводные'!$B$14^2+'19_Расчет_аналитики'!AE3399*'01_Вводные'!$B$89*'01_Вводные'!$B$14^3)*'19_Расчет_аналитики'!$B$3094*'19_Расчет_аналитики'!$B$3122,0)</f>
        <v/>
      </c>
      <c r="AI3646">
        <f>IF('01_Вводные'!$B$234="Да",('19_Расчет_аналитики'!AH3399*'01_Вводные'!$B$87*'01_Вводные'!$B$14^1+'19_Расчет_аналитики'!AG3399*'01_Вводные'!$B$88*'01_Вводные'!$B$14^2+'19_Расчет_аналитики'!AF3399*'01_Вводные'!$B$89*'01_Вводные'!$B$14^3)*'19_Расчет_аналитики'!$B$3094*'19_Расчет_аналитики'!$B$3122,0)</f>
        <v/>
      </c>
      <c r="AJ3646">
        <f>IF('01_Вводные'!$B$234="Да",('19_Расчет_аналитики'!AI3399*'01_Вводные'!$B$87*'01_Вводные'!$B$14^1+'19_Расчет_аналитики'!AH3399*'01_Вводные'!$B$88*'01_Вводные'!$B$14^2+'19_Расчет_аналитики'!AG3399*'01_Вводные'!$B$89*'01_Вводные'!$B$14^3)*'19_Расчет_аналитики'!$B$3094*'19_Расчет_аналитики'!$B$3122,0)</f>
        <v/>
      </c>
      <c r="AK3646">
        <f>IF('01_Вводные'!$B$234="Да",('19_Расчет_аналитики'!AJ3399*'01_Вводные'!$B$87*'01_Вводные'!$B$14^1+'19_Расчет_аналитики'!AI3399*'01_Вводные'!$B$88*'01_Вводные'!$B$14^2+'19_Расчет_аналитики'!AH3399*'01_Вводные'!$B$89*'01_Вводные'!$B$14^3)*'19_Расчет_аналитики'!$B$3094*'19_Расчет_аналитики'!$B$3122,0)</f>
        <v/>
      </c>
      <c r="AL3646">
        <f>IF('01_Вводные'!$B$234="Да",('19_Расчет_аналитики'!AK3399*'01_Вводные'!$B$87*'01_Вводные'!$B$14^1+'19_Расчет_аналитики'!AJ3399*'01_Вводные'!$B$88*'01_Вводные'!$B$14^2+'19_Расчет_аналитики'!AI3399*'01_Вводные'!$B$89*'01_Вводные'!$B$14^3)*'19_Расчет_аналитики'!$B$3094*'19_Расчет_аналитики'!$B$3122,0)</f>
        <v/>
      </c>
      <c r="AM3646">
        <f>IF('01_Вводные'!$B$234="Да",('19_Расчет_аналитики'!AL3399*'01_Вводные'!$B$87*'01_Вводные'!$B$14^1+'19_Расчет_аналитики'!AK3399*'01_Вводные'!$B$88*'01_Вводные'!$B$14^2+'19_Расчет_аналитики'!AJ3399*'01_Вводные'!$B$89*'01_Вводные'!$B$14^3)*'19_Расчет_аналитики'!$B$3094*'19_Расчет_аналитики'!$B$3122,0)</f>
        <v/>
      </c>
      <c r="AN3646">
        <f>IF('01_Вводные'!$B$234="Да",('19_Расчет_аналитики'!AM3399*'01_Вводные'!$B$87*'01_Вводные'!$B$14^1+'19_Расчет_аналитики'!AL3399*'01_Вводные'!$B$88*'01_Вводные'!$B$14^2+'19_Расчет_аналитики'!AK3399*'01_Вводные'!$B$89*'01_Вводные'!$B$14^3)*'19_Расчет_аналитики'!$B$3094*'19_Расчет_аналитики'!$B$3122,0)</f>
        <v/>
      </c>
      <c r="AO3646">
        <f>IF('01_Вводные'!$B$234="Да",('19_Расчет_аналитики'!AN3399*'01_Вводные'!$B$87*'01_Вводные'!$B$14^1+'19_Расчет_аналитики'!AM3399*'01_Вводные'!$B$88*'01_Вводные'!$B$14^2+'19_Расчет_аналитики'!AL3399*'01_Вводные'!$B$89*'01_Вводные'!$B$14^3)*'19_Расчет_аналитики'!$B$3094*'19_Расчет_аналитики'!$B$3122,0)</f>
        <v/>
      </c>
      <c r="AP3646">
        <f>IF('01_Вводные'!$B$234="Да",('19_Расчет_аналитики'!AO3399*'01_Вводные'!$B$87*'01_Вводные'!$B$14^1+'19_Расчет_аналитики'!AN3399*'01_Вводные'!$B$88*'01_Вводные'!$B$14^2+'19_Расчет_аналитики'!AM3399*'01_Вводные'!$B$89*'01_Вводные'!$B$14^3)*'19_Расчет_аналитики'!$B$3094*'19_Расчет_аналитики'!$B$3122,0)</f>
        <v/>
      </c>
      <c r="AQ3646">
        <f>IF('01_Вводные'!$B$234="Да",('19_Расчет_аналитики'!AP3399*'01_Вводные'!$B$87*'01_Вводные'!$B$14^1+'19_Расчет_аналитики'!AO3399*'01_Вводные'!$B$88*'01_Вводные'!$B$14^2+'19_Расчет_аналитики'!AN3399*'01_Вводные'!$B$89*'01_Вводные'!$B$14^3)*'19_Расчет_аналитики'!$B$3094*'19_Расчет_аналитики'!$B$3122,0)</f>
        <v/>
      </c>
      <c r="AR3646">
        <f>IF('01_Вводные'!$B$234="Да",('19_Расчет_аналитики'!AQ3399*'01_Вводные'!$B$87*'01_Вводные'!$B$14^1+'19_Расчет_аналитики'!AP3399*'01_Вводные'!$B$88*'01_Вводные'!$B$14^2+'19_Расчет_аналитики'!AO3399*'01_Вводные'!$B$89*'01_Вводные'!$B$14^3)*'19_Расчет_аналитики'!$B$3094*'19_Расчет_аналитики'!$B$3122,0)</f>
        <v/>
      </c>
      <c r="AS3646">
        <f>IF('01_Вводные'!$B$234="Да",('19_Расчет_аналитики'!AR3399*'01_Вводные'!$B$87*'01_Вводные'!$B$14^1+'19_Расчет_аналитики'!AQ3399*'01_Вводные'!$B$88*'01_Вводные'!$B$14^2+'19_Расчет_аналитики'!AP3399*'01_Вводные'!$B$89*'01_Вводные'!$B$14^3)*'19_Расчет_аналитики'!$B$3094*'19_Расчет_аналитики'!$B$3122,0)</f>
        <v/>
      </c>
      <c r="AT3646">
        <f>IF('01_Вводные'!$B$234="Да",('19_Расчет_аналитики'!AS3399*'01_Вводные'!$B$87*'01_Вводные'!$B$14^1+'19_Расчет_аналитики'!AR3399*'01_Вводные'!$B$88*'01_Вводные'!$B$14^2+'19_Расчет_аналитики'!AQ3399*'01_Вводные'!$B$89*'01_Вводные'!$B$14^3)*'19_Расчет_аналитики'!$B$3094*'19_Расчет_аналитики'!$B$3122,0)</f>
        <v/>
      </c>
      <c r="AU3646">
        <f>IF('01_Вводные'!$B$234="Да",('19_Расчет_аналитики'!AT3399*'01_Вводные'!$B$87*'01_Вводные'!$B$14^1+'19_Расчет_аналитики'!AS3399*'01_Вводные'!$B$88*'01_Вводные'!$B$14^2+'19_Расчет_аналитики'!AR3399*'01_Вводные'!$B$89*'01_Вводные'!$B$14^3)*'19_Расчет_аналитики'!$B$3094*'19_Расчет_аналитики'!$B$3122,0)</f>
        <v/>
      </c>
      <c r="AV3646">
        <f>IF('01_Вводные'!$B$234="Да",('19_Расчет_аналитики'!AU3399*'01_Вводные'!$B$87*'01_Вводные'!$B$14^1+'19_Расчет_аналитики'!AT3399*'01_Вводные'!$B$88*'01_Вводные'!$B$14^2+'19_Расчет_аналитики'!AS3399*'01_Вводные'!$B$89*'01_Вводные'!$B$14^3)*'19_Расчет_аналитики'!$B$3094*'19_Расчет_аналитики'!$B$3122,0)</f>
        <v/>
      </c>
      <c r="AW3646">
        <f>IF('01_Вводные'!$B$234="Да",('19_Расчет_аналитики'!AV3399*'01_Вводные'!$B$87*'01_Вводные'!$B$14^1+'19_Расчет_аналитики'!AU3399*'01_Вводные'!$B$88*'01_Вводные'!$B$14^2+'19_Расчет_аналитики'!AT3399*'01_Вводные'!$B$89*'01_Вводные'!$B$14^3)*'19_Расчет_аналитики'!$B$3094*'19_Расчет_аналитики'!$B$3122,0)</f>
        <v/>
      </c>
      <c r="AX3646">
        <f>IF('01_Вводные'!$B$234="Да",('19_Расчет_аналитики'!AW3399*'01_Вводные'!$B$87*'01_Вводные'!$B$14^1+'19_Расчет_аналитики'!AV3399*'01_Вводные'!$B$88*'01_Вводные'!$B$14^2+'19_Расчет_аналитики'!AU3399*'01_Вводные'!$B$89*'01_Вводные'!$B$14^3)*'19_Расчет_аналитики'!$B$3094*'19_Расчет_аналитики'!$B$3122,0)</f>
        <v/>
      </c>
      <c r="AY3646">
        <f>IF('01_Вводные'!$B$234="Да",('19_Расчет_аналитики'!AX3399*'01_Вводные'!$B$87*'01_Вводные'!$B$14^1+'19_Расчет_аналитики'!AW3399*'01_Вводные'!$B$88*'01_Вводные'!$B$14^2+'19_Расчет_аналитики'!AV3399*'01_Вводные'!$B$89*'01_Вводные'!$B$14^3)*'19_Расчет_аналитики'!$B$3094*'19_Расчет_аналитики'!$B$3122,0)</f>
        <v/>
      </c>
      <c r="AZ3646">
        <f>IF('01_Вводные'!$B$234="Да",('19_Расчет_аналитики'!AY3399*'01_Вводные'!$B$87*'01_Вводные'!$B$14^1+'19_Расчет_аналитики'!AX3399*'01_Вводные'!$B$88*'01_Вводные'!$B$14^2+'19_Расчет_аналитики'!AW3399*'01_Вводные'!$B$89*'01_Вводные'!$B$14^3)*'19_Расчет_аналитики'!$B$3094*'19_Расчет_аналитики'!$B$3122,0)</f>
        <v/>
      </c>
      <c r="BA3646">
        <f>IF('01_Вводные'!$B$234="Да",('19_Расчет_аналитики'!AZ3399*'01_Вводные'!$B$87*'01_Вводные'!$B$14^1+'19_Расчет_аналитики'!AY3399*'01_Вводные'!$B$88*'01_Вводные'!$B$14^2+'19_Расчет_аналитики'!AX3399*'01_Вводные'!$B$89*'01_Вводные'!$B$14^3)*'19_Расчет_аналитики'!$B$3094*'19_Расчет_аналитики'!$B$3122,0)</f>
        <v/>
      </c>
      <c r="BB3646">
        <f>IF('01_Вводные'!$B$234="Да",('19_Расчет_аналитики'!BA3399*'01_Вводные'!$B$87*'01_Вводные'!$B$14^1+'19_Расчет_аналитики'!AZ3399*'01_Вводные'!$B$88*'01_Вводные'!$B$14^2+'19_Расчет_аналитики'!AY3399*'01_Вводные'!$B$89*'01_Вводные'!$B$14^3)*'19_Расчет_аналитики'!$B$3094*'19_Расчет_аналитики'!$B$3122,0)</f>
        <v/>
      </c>
      <c r="BC3646">
        <f>IF('01_Вводные'!$B$234="Да",('19_Расчет_аналитики'!BB3399*'01_Вводные'!$B$87*'01_Вводные'!$B$14^1+'19_Расчет_аналитики'!BA3399*'01_Вводные'!$B$88*'01_Вводные'!$B$14^2+'19_Расчет_аналитики'!AZ3399*'01_Вводные'!$B$89*'01_Вводные'!$B$14^3)*'19_Расчет_аналитики'!$B$3094*'19_Расчет_аналитики'!$B$3122,0)</f>
        <v/>
      </c>
      <c r="BD3646">
        <f>IF('01_Вводные'!$B$234="Да",('19_Расчет_аналитики'!BC3399*'01_Вводные'!$B$87*'01_Вводные'!$B$14^1+'19_Расчет_аналитики'!BB3399*'01_Вводные'!$B$88*'01_Вводные'!$B$14^2+'19_Расчет_аналитики'!BA3399*'01_Вводные'!$B$89*'01_Вводные'!$B$14^3)*'19_Расчет_аналитики'!$B$3094*'19_Расчет_аналитики'!$B$3122,0)</f>
        <v/>
      </c>
      <c r="BE3646">
        <f>IF('01_Вводные'!$B$234="Да",('19_Расчет_аналитики'!BD3399*'01_Вводные'!$B$87*'01_Вводные'!$B$14^1+'19_Расчет_аналитики'!BC3399*'01_Вводные'!$B$88*'01_Вводные'!$B$14^2+'19_Расчет_аналитики'!BB3399*'01_Вводные'!$B$89*'01_Вводные'!$B$14^3)*'19_Расчет_аналитики'!$B$3094*'19_Расчет_аналитики'!$B$3122,0)</f>
        <v/>
      </c>
      <c r="BF3646">
        <f>IF('01_Вводные'!$B$234="Да",('19_Расчет_аналитики'!BE3399*'01_Вводные'!$B$87*'01_Вводные'!$B$14^1+'19_Расчет_аналитики'!BD3399*'01_Вводные'!$B$88*'01_Вводные'!$B$14^2+'19_Расчет_аналитики'!BC3399*'01_Вводные'!$B$89*'01_Вводные'!$B$14^3)*'19_Расчет_аналитики'!$B$3094*'19_Расчет_аналитики'!$B$3122,0)</f>
        <v/>
      </c>
      <c r="BG3646">
        <f>IF('01_Вводные'!$B$234="Да",('19_Расчет_аналитики'!BF3399*'01_Вводные'!$B$87*'01_Вводные'!$B$14^1+'19_Расчет_аналитики'!BE3399*'01_Вводные'!$B$88*'01_Вводные'!$B$14^2+'19_Расчет_аналитики'!BD3399*'01_Вводные'!$B$89*'01_Вводные'!$B$14^3)*'19_Расчет_аналитики'!$B$3094*'19_Расчет_аналитики'!$B$3122,0)</f>
        <v/>
      </c>
      <c r="BH3646">
        <f>IF('01_Вводные'!$B$234="Да",('19_Расчет_аналитики'!BG3399*'01_Вводные'!$B$87*'01_Вводные'!$B$14^1+'19_Расчет_аналитики'!BF3399*'01_Вводные'!$B$88*'01_Вводные'!$B$14^2+'19_Расчет_аналитики'!BE3399*'01_Вводные'!$B$89*'01_Вводные'!$B$14^3)*'19_Расчет_аналитики'!$B$3094*'19_Расчет_аналитики'!$B$3122,0)</f>
        <v/>
      </c>
      <c r="BI3646">
        <f>IF('01_Вводные'!$B$234="Да",('19_Расчет_аналитики'!BH3399*'01_Вводные'!$B$87*'01_Вводные'!$B$14^1+'19_Расчет_аналитики'!BG3399*'01_Вводные'!$B$88*'01_Вводные'!$B$14^2+'19_Расчет_аналитики'!BF3399*'01_Вводные'!$B$89*'01_Вводные'!$B$14^3)*'19_Расчет_аналитики'!$B$3094*'19_Расчет_аналитики'!$B$3122,0)</f>
        <v/>
      </c>
      <c r="BJ3646">
        <f>IF('01_Вводные'!$B$234="Да",('19_Расчет_аналитики'!BI3399*'01_Вводные'!$B$87*'01_Вводные'!$B$14^1+'19_Расчет_аналитики'!BH3399*'01_Вводные'!$B$88*'01_Вводные'!$B$14^2+'19_Расчет_аналитики'!BG3399*'01_Вводные'!$B$89*'01_Вводные'!$B$14^3)*'19_Расчет_аналитики'!$B$3094*'19_Расчет_аналитики'!$B$3122,0)</f>
        <v/>
      </c>
      <c r="BK3646">
        <f>IF('01_Вводные'!$B$234="Да",('19_Расчет_аналитики'!BJ3399*'01_Вводные'!$B$87*'01_Вводные'!$B$14^1+'19_Расчет_аналитики'!BI3399*'01_Вводные'!$B$88*'01_Вводные'!$B$14^2+'19_Расчет_аналитики'!BH3399*'01_Вводные'!$B$89*'01_Вводные'!$B$14^3)*'19_Расчет_аналитики'!$B$3094*'19_Расчет_аналитики'!$B$3122,0)</f>
        <v/>
      </c>
      <c r="BL3646">
        <f>IF('01_Вводные'!$B$234="Да",('19_Расчет_аналитики'!BK3399*'01_Вводные'!$B$87*'01_Вводные'!$B$14^1+'19_Расчет_аналитики'!BJ3399*'01_Вводные'!$B$88*'01_Вводные'!$B$14^2+'19_Расчет_аналитики'!BI3399*'01_Вводные'!$B$89*'01_Вводные'!$B$14^3)*'19_Расчет_аналитики'!$B$3094*'19_Расчет_аналитики'!$B$3122,0)</f>
        <v/>
      </c>
      <c r="BM3646">
        <f>IF('01_Вводные'!$B$234="Да",('19_Расчет_аналитики'!BL3399*'01_Вводные'!$B$87*'01_Вводные'!$B$14^1+'19_Расчет_аналитики'!BK3399*'01_Вводные'!$B$88*'01_Вводные'!$B$14^2+'19_Расчет_аналитики'!BJ3399*'01_Вводные'!$B$89*'01_Вводные'!$B$14^3)*'19_Расчет_аналитики'!$B$3094*'19_Расчет_аналитики'!$B$3122,0)</f>
        <v/>
      </c>
      <c r="BN3646">
        <f>IF('01_Вводные'!$B$234="Да",('19_Расчет_аналитики'!BM3399*'01_Вводные'!$B$87*'01_Вводные'!$B$14^1+'19_Расчет_аналитики'!BL3399*'01_Вводные'!$B$88*'01_Вводные'!$B$14^2+'19_Расчет_аналитики'!BK3399*'01_Вводные'!$B$89*'01_Вводные'!$B$14^3)*'19_Расчет_аналитики'!$B$3094*'19_Расчет_аналитики'!$B$3122,0)</f>
        <v/>
      </c>
      <c r="BO3646">
        <f>IF('01_Вводные'!$B$234="Да",('19_Расчет_аналитики'!BN3399*'01_Вводные'!$B$87*'01_Вводные'!$B$14^1+'19_Расчет_аналитики'!BM3399*'01_Вводные'!$B$88*'01_Вводные'!$B$14^2+'19_Расчет_аналитики'!BL3399*'01_Вводные'!$B$89*'01_Вводные'!$B$14^3)*'19_Расчет_аналитики'!$B$3094*'19_Расчет_аналитики'!$B$3122,0)</f>
        <v/>
      </c>
    </row>
    <row r="3647">
      <c r="B3647">
        <f>IF('01_Вводные'!$B$234="Да",'19_Расчет_аналитики'!B3582*'19_Расчет_аналитики'!$B$3122*'07_Мерч'!B4,0)</f>
        <v/>
      </c>
      <c r="C3647">
        <f>IF('01_Вводные'!$B$234="Да",'19_Расчет_аналитики'!C3582*'19_Расчет_аналитики'!$B$3122*'07_Мерч'!C4,0)</f>
        <v/>
      </c>
      <c r="D3647">
        <f>IF('01_Вводные'!$B$234="Да",'19_Расчет_аналитики'!D3582*'19_Расчет_аналитики'!$B$3122*'07_Мерч'!D4,0)</f>
        <v/>
      </c>
      <c r="E3647">
        <f>IF('01_Вводные'!$B$234="Да",'19_Расчет_аналитики'!E3582*'19_Расчет_аналитики'!$B$3122*'07_Мерч'!E4,0)</f>
        <v/>
      </c>
      <c r="F3647">
        <f>IF('01_Вводные'!$B$234="Да",'19_Расчет_аналитики'!F3582*'19_Расчет_аналитики'!$B$3122*'07_Мерч'!F4,0)</f>
        <v/>
      </c>
      <c r="G3647">
        <f>IF('01_Вводные'!$B$234="Да",'19_Расчет_аналитики'!G3582*'19_Расчет_аналитики'!$B$3122*'07_Мерч'!G4,0)</f>
        <v/>
      </c>
      <c r="H3647">
        <f>IF('01_Вводные'!$B$234="Да",'19_Расчет_аналитики'!H3582*'19_Расчет_аналитики'!$B$3122*'07_Мерч'!H4,0)</f>
        <v/>
      </c>
      <c r="I3647">
        <f>IF('01_Вводные'!$B$234="Да",'19_Расчет_аналитики'!I3582*'19_Расчет_аналитики'!$B$3122*'07_Мерч'!I4,0)</f>
        <v/>
      </c>
      <c r="J3647">
        <f>IF('01_Вводные'!$B$234="Да",'19_Расчет_аналитики'!J3582*'19_Расчет_аналитики'!$B$3122*'07_Мерч'!J4,0)</f>
        <v/>
      </c>
      <c r="K3647">
        <f>IF('01_Вводные'!$B$234="Да",'19_Расчет_аналитики'!K3582*'19_Расчет_аналитики'!$B$3122*'07_Мерч'!K4,0)</f>
        <v/>
      </c>
      <c r="L3647">
        <f>IF('01_Вводные'!$B$234="Да",'19_Расчет_аналитики'!L3582*'19_Расчет_аналитики'!$B$3122*'07_Мерч'!L4,0)</f>
        <v/>
      </c>
      <c r="M3647">
        <f>IF('01_Вводные'!$B$234="Да",'19_Расчет_аналитики'!M3582*'19_Расчет_аналитики'!$B$3122*'07_Мерч'!M4,0)</f>
        <v/>
      </c>
      <c r="N3647">
        <f>IF('01_Вводные'!$B$234="Да",'19_Расчет_аналитики'!N3582*'19_Расчет_аналитики'!$B$3122*'07_Мерч'!N4,0)</f>
        <v/>
      </c>
      <c r="O3647">
        <f>IF('01_Вводные'!$B$234="Да",'19_Расчет_аналитики'!O3582*'19_Расчет_аналитики'!$B$3122*'07_Мерч'!O4,0)</f>
        <v/>
      </c>
      <c r="P3647">
        <f>IF('01_Вводные'!$B$234="Да",'19_Расчет_аналитики'!P3582*'19_Расчет_аналитики'!$B$3122*'07_Мерч'!P4,0)</f>
        <v/>
      </c>
      <c r="Q3647">
        <f>IF('01_Вводные'!$B$234="Да",'19_Расчет_аналитики'!Q3582*'19_Расчет_аналитики'!$B$3122*'07_Мерч'!Q4,0)</f>
        <v/>
      </c>
      <c r="R3647">
        <f>IF('01_Вводные'!$B$234="Да",'19_Расчет_аналитики'!R3582*'19_Расчет_аналитики'!$B$3122*'07_Мерч'!R4,0)</f>
        <v/>
      </c>
      <c r="S3647">
        <f>IF('01_Вводные'!$B$234="Да",'19_Расчет_аналитики'!S3582*'19_Расчет_аналитики'!$B$3122*'07_Мерч'!S4,0)</f>
        <v/>
      </c>
      <c r="T3647">
        <f>IF('01_Вводные'!$B$234="Да",'19_Расчет_аналитики'!T3582*'19_Расчет_аналитики'!$B$3122*'07_Мерч'!T4,0)</f>
        <v/>
      </c>
      <c r="U3647">
        <f>IF('01_Вводные'!$B$234="Да",'19_Расчет_аналитики'!U3582*'19_Расчет_аналитики'!$B$3122*'07_Мерч'!U4,0)</f>
        <v/>
      </c>
      <c r="V3647">
        <f>IF('01_Вводные'!$B$234="Да",'19_Расчет_аналитики'!V3582*'19_Расчет_аналитики'!$B$3122*'07_Мерч'!V4,0)</f>
        <v/>
      </c>
      <c r="W3647">
        <f>IF('01_Вводные'!$B$234="Да",'19_Расчет_аналитики'!W3582*'19_Расчет_аналитики'!$B$3122*'07_Мерч'!W4,0)</f>
        <v/>
      </c>
      <c r="X3647">
        <f>IF('01_Вводные'!$B$234="Да",'19_Расчет_аналитики'!X3582*'19_Расчет_аналитики'!$B$3122*'07_Мерч'!X4,0)</f>
        <v/>
      </c>
      <c r="Y3647">
        <f>IF('01_Вводные'!$B$234="Да",'19_Расчет_аналитики'!Y3582*'19_Расчет_аналитики'!$B$3122*'07_Мерч'!Y4,0)</f>
        <v/>
      </c>
      <c r="Z3647">
        <f>IF('01_Вводные'!$B$234="Да",'19_Расчет_аналитики'!Z3582*'19_Расчет_аналитики'!$B$3122*'07_Мерч'!Z4,0)</f>
        <v/>
      </c>
      <c r="AA3647">
        <f>IF('01_Вводные'!$B$234="Да",'19_Расчет_аналитики'!AA3582*'19_Расчет_аналитики'!$B$3122*'07_Мерч'!AA4,0)</f>
        <v/>
      </c>
      <c r="AB3647">
        <f>IF('01_Вводные'!$B$234="Да",'19_Расчет_аналитики'!AB3582*'19_Расчет_аналитики'!$B$3122*'07_Мерч'!AB4,0)</f>
        <v/>
      </c>
      <c r="AC3647">
        <f>IF('01_Вводные'!$B$234="Да",'19_Расчет_аналитики'!AC3582*'19_Расчет_аналитики'!$B$3122*'07_Мерч'!AC4,0)</f>
        <v/>
      </c>
      <c r="AD3647">
        <f>IF('01_Вводные'!$B$234="Да",'19_Расчет_аналитики'!AD3582*'19_Расчет_аналитики'!$B$3122*'07_Мерч'!AD4,0)</f>
        <v/>
      </c>
      <c r="AE3647">
        <f>IF('01_Вводные'!$B$234="Да",'19_Расчет_аналитики'!AE3582*'19_Расчет_аналитики'!$B$3122*'07_Мерч'!AE4,0)</f>
        <v/>
      </c>
      <c r="AF3647">
        <f>IF('01_Вводные'!$B$234="Да",'19_Расчет_аналитики'!AF3582*'19_Расчет_аналитики'!$B$3122*'07_Мерч'!AF4,0)</f>
        <v/>
      </c>
      <c r="AG3647">
        <f>IF('01_Вводные'!$B$234="Да",'19_Расчет_аналитики'!AG3582*'19_Расчет_аналитики'!$B$3122*'07_Мерч'!AG4,0)</f>
        <v/>
      </c>
      <c r="AH3647">
        <f>IF('01_Вводные'!$B$234="Да",'19_Расчет_аналитики'!AH3582*'19_Расчет_аналитики'!$B$3122*'07_Мерч'!AH4,0)</f>
        <v/>
      </c>
      <c r="AI3647">
        <f>IF('01_Вводные'!$B$234="Да",'19_Расчет_аналитики'!AI3582*'19_Расчет_аналитики'!$B$3122*'07_Мерч'!AI4,0)</f>
        <v/>
      </c>
      <c r="AJ3647">
        <f>IF('01_Вводные'!$B$234="Да",'19_Расчет_аналитики'!AJ3582*'19_Расчет_аналитики'!$B$3122*'07_Мерч'!AJ4,0)</f>
        <v/>
      </c>
      <c r="AK3647">
        <f>IF('01_Вводные'!$B$234="Да",'19_Расчет_аналитики'!AK3582*'19_Расчет_аналитики'!$B$3122*'07_Мерч'!AK4,0)</f>
        <v/>
      </c>
      <c r="AL3647">
        <f>IF('01_Вводные'!$B$234="Да",'19_Расчет_аналитики'!AL3582*'19_Расчет_аналитики'!$B$3122*'07_Мерч'!AL4,0)</f>
        <v/>
      </c>
      <c r="AM3647">
        <f>IF('01_Вводные'!$B$234="Да",'19_Расчет_аналитики'!AM3582*'19_Расчет_аналитики'!$B$3122*'07_Мерч'!AM4,0)</f>
        <v/>
      </c>
      <c r="AN3647">
        <f>IF('01_Вводные'!$B$234="Да",'19_Расчет_аналитики'!AN3582*'19_Расчет_аналитики'!$B$3122*'07_Мерч'!AN4,0)</f>
        <v/>
      </c>
      <c r="AO3647">
        <f>IF('01_Вводные'!$B$234="Да",'19_Расчет_аналитики'!AO3582*'19_Расчет_аналитики'!$B$3122*'07_Мерч'!AO4,0)</f>
        <v/>
      </c>
      <c r="AP3647">
        <f>IF('01_Вводные'!$B$234="Да",'19_Расчет_аналитики'!AP3582*'19_Расчет_аналитики'!$B$3122*'07_Мерч'!AP4,0)</f>
        <v/>
      </c>
      <c r="AQ3647">
        <f>IF('01_Вводные'!$B$234="Да",'19_Расчет_аналитики'!AQ3582*'19_Расчет_аналитики'!$B$3122*'07_Мерч'!AQ4,0)</f>
        <v/>
      </c>
      <c r="AR3647">
        <f>IF('01_Вводные'!$B$234="Да",'19_Расчет_аналитики'!AR3582*'19_Расчет_аналитики'!$B$3122*'07_Мерч'!AR4,0)</f>
        <v/>
      </c>
      <c r="AS3647">
        <f>IF('01_Вводные'!$B$234="Да",'19_Расчет_аналитики'!AS3582*'19_Расчет_аналитики'!$B$3122*'07_Мерч'!AS4,0)</f>
        <v/>
      </c>
      <c r="AT3647">
        <f>IF('01_Вводные'!$B$234="Да",'19_Расчет_аналитики'!AT3582*'19_Расчет_аналитики'!$B$3122*'07_Мерч'!AT4,0)</f>
        <v/>
      </c>
      <c r="AU3647">
        <f>IF('01_Вводные'!$B$234="Да",'19_Расчет_аналитики'!AU3582*'19_Расчет_аналитики'!$B$3122*'07_Мерч'!AU4,0)</f>
        <v/>
      </c>
      <c r="AV3647">
        <f>IF('01_Вводные'!$B$234="Да",'19_Расчет_аналитики'!AV3582*'19_Расчет_аналитики'!$B$3122*'07_Мерч'!AV4,0)</f>
        <v/>
      </c>
      <c r="AW3647">
        <f>IF('01_Вводные'!$B$234="Да",'19_Расчет_аналитики'!AW3582*'19_Расчет_аналитики'!$B$3122*'07_Мерч'!AW4,0)</f>
        <v/>
      </c>
      <c r="AX3647">
        <f>IF('01_Вводные'!$B$234="Да",'19_Расчет_аналитики'!AX3582*'19_Расчет_аналитики'!$B$3122*'07_Мерч'!AX4,0)</f>
        <v/>
      </c>
      <c r="AY3647">
        <f>IF('01_Вводные'!$B$234="Да",'19_Расчет_аналитики'!AY3582*'19_Расчет_аналитики'!$B$3122*'07_Мерч'!AY4,0)</f>
        <v/>
      </c>
      <c r="AZ3647">
        <f>IF('01_Вводные'!$B$234="Да",'19_Расчет_аналитики'!AZ3582*'19_Расчет_аналитики'!$B$3122*'07_Мерч'!AZ4,0)</f>
        <v/>
      </c>
      <c r="BA3647">
        <f>IF('01_Вводные'!$B$234="Да",'19_Расчет_аналитики'!BA3582*'19_Расчет_аналитики'!$B$3122*'07_Мерч'!BA4,0)</f>
        <v/>
      </c>
      <c r="BB3647">
        <f>IF('01_Вводные'!$B$234="Да",'19_Расчет_аналитики'!BB3582*'19_Расчет_аналитики'!$B$3122*'07_Мерч'!BB4,0)</f>
        <v/>
      </c>
      <c r="BC3647">
        <f>IF('01_Вводные'!$B$234="Да",'19_Расчет_аналитики'!BC3582*'19_Расчет_аналитики'!$B$3122*'07_Мерч'!BC4,0)</f>
        <v/>
      </c>
      <c r="BD3647">
        <f>IF('01_Вводные'!$B$234="Да",'19_Расчет_аналитики'!BD3582*'19_Расчет_аналитики'!$B$3122*'07_Мерч'!BD4,0)</f>
        <v/>
      </c>
      <c r="BE3647">
        <f>IF('01_Вводные'!$B$234="Да",'19_Расчет_аналитики'!BE3582*'19_Расчет_аналитики'!$B$3122*'07_Мерч'!BE4,0)</f>
        <v/>
      </c>
      <c r="BF3647">
        <f>IF('01_Вводные'!$B$234="Да",'19_Расчет_аналитики'!BF3582*'19_Расчет_аналитики'!$B$3122*'07_Мерч'!BF4,0)</f>
        <v/>
      </c>
      <c r="BG3647">
        <f>IF('01_Вводные'!$B$234="Да",'19_Расчет_аналитики'!BG3582*'19_Расчет_аналитики'!$B$3122*'07_Мерч'!BG4,0)</f>
        <v/>
      </c>
      <c r="BH3647">
        <f>IF('01_Вводные'!$B$234="Да",'19_Расчет_аналитики'!BH3582*'19_Расчет_аналитики'!$B$3122*'07_Мерч'!BH4,0)</f>
        <v/>
      </c>
      <c r="BI3647">
        <f>IF('01_Вводные'!$B$234="Да",'19_Расчет_аналитики'!BI3582*'19_Расчет_аналитики'!$B$3122*'07_Мерч'!BI4,0)</f>
        <v/>
      </c>
      <c r="BJ3647">
        <f>IF('01_Вводные'!$B$234="Да",'19_Расчет_аналитики'!BJ3582*'19_Расчет_аналитики'!$B$3122*'07_Мерч'!BJ4,0)</f>
        <v/>
      </c>
      <c r="BK3647">
        <f>IF('01_Вводные'!$B$234="Да",'19_Расчет_аналитики'!BK3582*'19_Расчет_аналитики'!$B$3122*'07_Мерч'!BK4,0)</f>
        <v/>
      </c>
      <c r="BL3647">
        <f>IF('01_Вводные'!$B$234="Да",'19_Расчет_аналитики'!BL3582*'19_Расчет_аналитики'!$B$3122*'07_Мерч'!BL4,0)</f>
        <v/>
      </c>
      <c r="BM3647">
        <f>IF('01_Вводные'!$B$234="Да",'19_Расчет_аналитики'!BM3582*'19_Расчет_аналитики'!$B$3122*'07_Мерч'!BM4,0)</f>
        <v/>
      </c>
      <c r="BN3647">
        <f>IF('01_Вводные'!$B$234="Да",'19_Расчет_аналитики'!BN3582*'19_Расчет_аналитики'!$B$3122*'07_Мерч'!BN4,0)</f>
        <v/>
      </c>
      <c r="BO3647">
        <f>IF('01_Вводные'!$B$234="Да",'19_Расчет_аналитики'!BO3582*'19_Расчет_аналитики'!$B$3122*'07_Мерч'!BO4,0)</f>
        <v/>
      </c>
    </row>
    <row r="3648">
      <c r="B3648">
        <f>IF('01_Вводные'!$B$234="Да",SUM('19_Расчет_аналитики'!B3646:B3647)*'18_Календарь_тарифы'!B10,0)</f>
        <v/>
      </c>
      <c r="C3648">
        <f>IF('01_Вводные'!$B$234="Да",SUM('19_Расчет_аналитики'!C3646:C3647)*'18_Календарь_тарифы'!C10,0)</f>
        <v/>
      </c>
      <c r="D3648">
        <f>IF('01_Вводные'!$B$234="Да",SUM('19_Расчет_аналитики'!D3646:D3647)*'18_Календарь_тарифы'!D10,0)</f>
        <v/>
      </c>
      <c r="E3648">
        <f>IF('01_Вводные'!$B$234="Да",SUM('19_Расчет_аналитики'!E3646:E3647)*'18_Календарь_тарифы'!E10,0)</f>
        <v/>
      </c>
      <c r="F3648">
        <f>IF('01_Вводные'!$B$234="Да",SUM('19_Расчет_аналитики'!F3646:F3647)*'18_Календарь_тарифы'!F10,0)</f>
        <v/>
      </c>
      <c r="G3648">
        <f>IF('01_Вводные'!$B$234="Да",SUM('19_Расчет_аналитики'!G3646:G3647)*'18_Календарь_тарифы'!G10,0)</f>
        <v/>
      </c>
      <c r="H3648">
        <f>IF('01_Вводные'!$B$234="Да",SUM('19_Расчет_аналитики'!H3646:H3647)*'18_Календарь_тарифы'!H10,0)</f>
        <v/>
      </c>
      <c r="I3648">
        <f>IF('01_Вводные'!$B$234="Да",SUM('19_Расчет_аналитики'!I3646:I3647)*'18_Календарь_тарифы'!I10,0)</f>
        <v/>
      </c>
      <c r="J3648">
        <f>IF('01_Вводные'!$B$234="Да",SUM('19_Расчет_аналитики'!J3646:J3647)*'18_Календарь_тарифы'!J10,0)</f>
        <v/>
      </c>
      <c r="K3648">
        <f>IF('01_Вводные'!$B$234="Да",SUM('19_Расчет_аналитики'!K3646:K3647)*'18_Календарь_тарифы'!K10,0)</f>
        <v/>
      </c>
      <c r="L3648">
        <f>IF('01_Вводные'!$B$234="Да",SUM('19_Расчет_аналитики'!L3646:L3647)*'18_Календарь_тарифы'!L10,0)</f>
        <v/>
      </c>
      <c r="M3648">
        <f>IF('01_Вводные'!$B$234="Да",SUM('19_Расчет_аналитики'!M3646:M3647)*'18_Календарь_тарифы'!M10,0)</f>
        <v/>
      </c>
      <c r="N3648">
        <f>IF('01_Вводные'!$B$234="Да",SUM('19_Расчет_аналитики'!N3646:N3647)*'18_Календарь_тарифы'!N10,0)</f>
        <v/>
      </c>
      <c r="O3648">
        <f>IF('01_Вводные'!$B$234="Да",SUM('19_Расчет_аналитики'!O3646:O3647)*'18_Календарь_тарифы'!O10,0)</f>
        <v/>
      </c>
      <c r="P3648">
        <f>IF('01_Вводные'!$B$234="Да",SUM('19_Расчет_аналитики'!P3646:P3647)*'18_Календарь_тарифы'!P10,0)</f>
        <v/>
      </c>
      <c r="Q3648">
        <f>IF('01_Вводные'!$B$234="Да",SUM('19_Расчет_аналитики'!Q3646:Q3647)*'18_Календарь_тарифы'!Q10,0)</f>
        <v/>
      </c>
      <c r="R3648">
        <f>IF('01_Вводные'!$B$234="Да",SUM('19_Расчет_аналитики'!R3646:R3647)*'18_Календарь_тарифы'!R10,0)</f>
        <v/>
      </c>
      <c r="S3648">
        <f>IF('01_Вводные'!$B$234="Да",SUM('19_Расчет_аналитики'!S3646:S3647)*'18_Календарь_тарифы'!S10,0)</f>
        <v/>
      </c>
      <c r="T3648">
        <f>IF('01_Вводные'!$B$234="Да",SUM('19_Расчет_аналитики'!T3646:T3647)*'18_Календарь_тарифы'!T10,0)</f>
        <v/>
      </c>
      <c r="U3648">
        <f>IF('01_Вводные'!$B$234="Да",SUM('19_Расчет_аналитики'!U3646:U3647)*'18_Календарь_тарифы'!U10,0)</f>
        <v/>
      </c>
      <c r="V3648">
        <f>IF('01_Вводные'!$B$234="Да",SUM('19_Расчет_аналитики'!V3646:V3647)*'18_Календарь_тарифы'!V10,0)</f>
        <v/>
      </c>
      <c r="W3648">
        <f>IF('01_Вводные'!$B$234="Да",SUM('19_Расчет_аналитики'!W3646:W3647)*'18_Календарь_тарифы'!W10,0)</f>
        <v/>
      </c>
      <c r="X3648">
        <f>IF('01_Вводные'!$B$234="Да",SUM('19_Расчет_аналитики'!X3646:X3647)*'18_Календарь_тарифы'!X10,0)</f>
        <v/>
      </c>
      <c r="Y3648">
        <f>IF('01_Вводные'!$B$234="Да",SUM('19_Расчет_аналитики'!Y3646:Y3647)*'18_Календарь_тарифы'!Y10,0)</f>
        <v/>
      </c>
      <c r="Z3648">
        <f>IF('01_Вводные'!$B$234="Да",SUM('19_Расчет_аналитики'!Z3646:Z3647)*'18_Календарь_тарифы'!Z10,0)</f>
        <v/>
      </c>
      <c r="AA3648">
        <f>IF('01_Вводные'!$B$234="Да",SUM('19_Расчет_аналитики'!AA3646:AA3647)*'18_Календарь_тарифы'!AA10,0)</f>
        <v/>
      </c>
      <c r="AB3648">
        <f>IF('01_Вводные'!$B$234="Да",SUM('19_Расчет_аналитики'!AB3646:AB3647)*'18_Календарь_тарифы'!AB10,0)</f>
        <v/>
      </c>
      <c r="AC3648">
        <f>IF('01_Вводные'!$B$234="Да",SUM('19_Расчет_аналитики'!AC3646:AC3647)*'18_Календарь_тарифы'!AC10,0)</f>
        <v/>
      </c>
      <c r="AD3648">
        <f>IF('01_Вводные'!$B$234="Да",SUM('19_Расчет_аналитики'!AD3646:AD3647)*'18_Календарь_тарифы'!AD10,0)</f>
        <v/>
      </c>
      <c r="AE3648">
        <f>IF('01_Вводные'!$B$234="Да",SUM('19_Расчет_аналитики'!AE3646:AE3647)*'18_Календарь_тарифы'!AE10,0)</f>
        <v/>
      </c>
      <c r="AF3648">
        <f>IF('01_Вводные'!$B$234="Да",SUM('19_Расчет_аналитики'!AF3646:AF3647)*'18_Календарь_тарифы'!AF10,0)</f>
        <v/>
      </c>
      <c r="AG3648">
        <f>IF('01_Вводные'!$B$234="Да",SUM('19_Расчет_аналитики'!AG3646:AG3647)*'18_Календарь_тарифы'!AG10,0)</f>
        <v/>
      </c>
      <c r="AH3648">
        <f>IF('01_Вводные'!$B$234="Да",SUM('19_Расчет_аналитики'!AH3646:AH3647)*'18_Календарь_тарифы'!AH10,0)</f>
        <v/>
      </c>
      <c r="AI3648">
        <f>IF('01_Вводные'!$B$234="Да",SUM('19_Расчет_аналитики'!AI3646:AI3647)*'18_Календарь_тарифы'!AI10,0)</f>
        <v/>
      </c>
      <c r="AJ3648">
        <f>IF('01_Вводные'!$B$234="Да",SUM('19_Расчет_аналитики'!AJ3646:AJ3647)*'18_Календарь_тарифы'!AJ10,0)</f>
        <v/>
      </c>
      <c r="AK3648">
        <f>IF('01_Вводные'!$B$234="Да",SUM('19_Расчет_аналитики'!AK3646:AK3647)*'18_Календарь_тарифы'!AK10,0)</f>
        <v/>
      </c>
      <c r="AL3648">
        <f>IF('01_Вводные'!$B$234="Да",SUM('19_Расчет_аналитики'!AL3646:AL3647)*'18_Календарь_тарифы'!AL10,0)</f>
        <v/>
      </c>
      <c r="AM3648">
        <f>IF('01_Вводные'!$B$234="Да",SUM('19_Расчет_аналитики'!AM3646:AM3647)*'18_Календарь_тарифы'!AM10,0)</f>
        <v/>
      </c>
      <c r="AN3648">
        <f>IF('01_Вводные'!$B$234="Да",SUM('19_Расчет_аналитики'!AN3646:AN3647)*'18_Календарь_тарифы'!AN10,0)</f>
        <v/>
      </c>
      <c r="AO3648">
        <f>IF('01_Вводные'!$B$234="Да",SUM('19_Расчет_аналитики'!AO3646:AO3647)*'18_Календарь_тарифы'!AO10,0)</f>
        <v/>
      </c>
      <c r="AP3648">
        <f>IF('01_Вводные'!$B$234="Да",SUM('19_Расчет_аналитики'!AP3646:AP3647)*'18_Календарь_тарифы'!AP10,0)</f>
        <v/>
      </c>
      <c r="AQ3648">
        <f>IF('01_Вводные'!$B$234="Да",SUM('19_Расчет_аналитики'!AQ3646:AQ3647)*'18_Календарь_тарифы'!AQ10,0)</f>
        <v/>
      </c>
      <c r="AR3648">
        <f>IF('01_Вводные'!$B$234="Да",SUM('19_Расчет_аналитики'!AR3646:AR3647)*'18_Календарь_тарифы'!AR10,0)</f>
        <v/>
      </c>
      <c r="AS3648">
        <f>IF('01_Вводные'!$B$234="Да",SUM('19_Расчет_аналитики'!AS3646:AS3647)*'18_Календарь_тарифы'!AS10,0)</f>
        <v/>
      </c>
      <c r="AT3648">
        <f>IF('01_Вводные'!$B$234="Да",SUM('19_Расчет_аналитики'!AT3646:AT3647)*'18_Календарь_тарифы'!AT10,0)</f>
        <v/>
      </c>
      <c r="AU3648">
        <f>IF('01_Вводные'!$B$234="Да",SUM('19_Расчет_аналитики'!AU3646:AU3647)*'18_Календарь_тарифы'!AU10,0)</f>
        <v/>
      </c>
      <c r="AV3648">
        <f>IF('01_Вводные'!$B$234="Да",SUM('19_Расчет_аналитики'!AV3646:AV3647)*'18_Календарь_тарифы'!AV10,0)</f>
        <v/>
      </c>
      <c r="AW3648">
        <f>IF('01_Вводные'!$B$234="Да",SUM('19_Расчет_аналитики'!AW3646:AW3647)*'18_Календарь_тарифы'!AW10,0)</f>
        <v/>
      </c>
      <c r="AX3648">
        <f>IF('01_Вводные'!$B$234="Да",SUM('19_Расчет_аналитики'!AX3646:AX3647)*'18_Календарь_тарифы'!AX10,0)</f>
        <v/>
      </c>
      <c r="AY3648">
        <f>IF('01_Вводные'!$B$234="Да",SUM('19_Расчет_аналитики'!AY3646:AY3647)*'18_Календарь_тарифы'!AY10,0)</f>
        <v/>
      </c>
      <c r="AZ3648">
        <f>IF('01_Вводные'!$B$234="Да",SUM('19_Расчет_аналитики'!AZ3646:AZ3647)*'18_Календарь_тарифы'!AZ10,0)</f>
        <v/>
      </c>
      <c r="BA3648">
        <f>IF('01_Вводные'!$B$234="Да",SUM('19_Расчет_аналитики'!BA3646:BA3647)*'18_Календарь_тарифы'!BA10,0)</f>
        <v/>
      </c>
      <c r="BB3648">
        <f>IF('01_Вводные'!$B$234="Да",SUM('19_Расчет_аналитики'!BB3646:BB3647)*'18_Календарь_тарифы'!BB10,0)</f>
        <v/>
      </c>
      <c r="BC3648">
        <f>IF('01_Вводные'!$B$234="Да",SUM('19_Расчет_аналитики'!BC3646:BC3647)*'18_Календарь_тарифы'!BC10,0)</f>
        <v/>
      </c>
      <c r="BD3648">
        <f>IF('01_Вводные'!$B$234="Да",SUM('19_Расчет_аналитики'!BD3646:BD3647)*'18_Календарь_тарифы'!BD10,0)</f>
        <v/>
      </c>
      <c r="BE3648">
        <f>IF('01_Вводные'!$B$234="Да",SUM('19_Расчет_аналитики'!BE3646:BE3647)*'18_Календарь_тарифы'!BE10,0)</f>
        <v/>
      </c>
      <c r="BF3648">
        <f>IF('01_Вводные'!$B$234="Да",SUM('19_Расчет_аналитики'!BF3646:BF3647)*'18_Календарь_тарифы'!BF10,0)</f>
        <v/>
      </c>
      <c r="BG3648">
        <f>IF('01_Вводные'!$B$234="Да",SUM('19_Расчет_аналитики'!BG3646:BG3647)*'18_Календарь_тарифы'!BG10,0)</f>
        <v/>
      </c>
      <c r="BH3648">
        <f>IF('01_Вводные'!$B$234="Да",SUM('19_Расчет_аналитики'!BH3646:BH3647)*'18_Календарь_тарифы'!BH10,0)</f>
        <v/>
      </c>
      <c r="BI3648">
        <f>IF('01_Вводные'!$B$234="Да",SUM('19_Расчет_аналитики'!BI3646:BI3647)*'18_Календарь_тарифы'!BI10,0)</f>
        <v/>
      </c>
      <c r="BJ3648">
        <f>IF('01_Вводные'!$B$234="Да",SUM('19_Расчет_аналитики'!BJ3646:BJ3647)*'18_Календарь_тарифы'!BJ10,0)</f>
        <v/>
      </c>
      <c r="BK3648">
        <f>IF('01_Вводные'!$B$234="Да",SUM('19_Расчет_аналитики'!BK3646:BK3647)*'18_Календарь_тарифы'!BK10,0)</f>
        <v/>
      </c>
      <c r="BL3648">
        <f>IF('01_Вводные'!$B$234="Да",SUM('19_Расчет_аналитики'!BL3646:BL3647)*'18_Календарь_тарифы'!BL10,0)</f>
        <v/>
      </c>
      <c r="BM3648">
        <f>IF('01_Вводные'!$B$234="Да",SUM('19_Расчет_аналитики'!BM3646:BM3647)*'18_Календарь_тарифы'!BM10,0)</f>
        <v/>
      </c>
      <c r="BN3648">
        <f>IF('01_Вводные'!$B$234="Да",SUM('19_Расчет_аналитики'!BN3646:BN3647)*'18_Календарь_тарифы'!BN10,0)</f>
        <v/>
      </c>
      <c r="BO3648">
        <f>IF('01_Вводные'!$B$234="Да",SUM('19_Расчет_аналитики'!BO3646:BO3647)*'18_Календарь_тарифы'!BO10,0)</f>
        <v/>
      </c>
    </row>
    <row r="3649">
      <c r="B3649">
        <f>IF('01_Вводные'!$B$234="Да",SUM('19_Расчет_аналитики'!B3646:B3647)*'18_Календарь_тарифы'!B9,0)</f>
        <v/>
      </c>
      <c r="C3649">
        <f>IF('01_Вводные'!$B$234="Да",SUM('19_Расчет_аналитики'!C3646:C3647)*'18_Календарь_тарифы'!C9,0)</f>
        <v/>
      </c>
      <c r="D3649">
        <f>IF('01_Вводные'!$B$234="Да",SUM('19_Расчет_аналитики'!D3646:D3647)*'18_Календарь_тарифы'!D9,0)</f>
        <v/>
      </c>
      <c r="E3649">
        <f>IF('01_Вводные'!$B$234="Да",SUM('19_Расчет_аналитики'!E3646:E3647)*'18_Календарь_тарифы'!E9,0)</f>
        <v/>
      </c>
      <c r="F3649">
        <f>IF('01_Вводные'!$B$234="Да",SUM('19_Расчет_аналитики'!F3646:F3647)*'18_Календарь_тарифы'!F9,0)</f>
        <v/>
      </c>
      <c r="G3649">
        <f>IF('01_Вводные'!$B$234="Да",SUM('19_Расчет_аналитики'!G3646:G3647)*'18_Календарь_тарифы'!G9,0)</f>
        <v/>
      </c>
      <c r="H3649">
        <f>IF('01_Вводные'!$B$234="Да",SUM('19_Расчет_аналитики'!H3646:H3647)*'18_Календарь_тарифы'!H9,0)</f>
        <v/>
      </c>
      <c r="I3649">
        <f>IF('01_Вводные'!$B$234="Да",SUM('19_Расчет_аналитики'!I3646:I3647)*'18_Календарь_тарифы'!I9,0)</f>
        <v/>
      </c>
      <c r="J3649">
        <f>IF('01_Вводные'!$B$234="Да",SUM('19_Расчет_аналитики'!J3646:J3647)*'18_Календарь_тарифы'!J9,0)</f>
        <v/>
      </c>
      <c r="K3649">
        <f>IF('01_Вводные'!$B$234="Да",SUM('19_Расчет_аналитики'!K3646:K3647)*'18_Календарь_тарифы'!K9,0)</f>
        <v/>
      </c>
      <c r="L3649">
        <f>IF('01_Вводные'!$B$234="Да",SUM('19_Расчет_аналитики'!L3646:L3647)*'18_Календарь_тарифы'!L9,0)</f>
        <v/>
      </c>
      <c r="M3649">
        <f>IF('01_Вводные'!$B$234="Да",SUM('19_Расчет_аналитики'!M3646:M3647)*'18_Календарь_тарифы'!M9,0)</f>
        <v/>
      </c>
      <c r="N3649">
        <f>IF('01_Вводные'!$B$234="Да",SUM('19_Расчет_аналитики'!N3646:N3647)*'18_Календарь_тарифы'!N9,0)</f>
        <v/>
      </c>
      <c r="O3649">
        <f>IF('01_Вводные'!$B$234="Да",SUM('19_Расчет_аналитики'!O3646:O3647)*'18_Календарь_тарифы'!O9,0)</f>
        <v/>
      </c>
      <c r="P3649">
        <f>IF('01_Вводные'!$B$234="Да",SUM('19_Расчет_аналитики'!P3646:P3647)*'18_Календарь_тарифы'!P9,0)</f>
        <v/>
      </c>
      <c r="Q3649">
        <f>IF('01_Вводные'!$B$234="Да",SUM('19_Расчет_аналитики'!Q3646:Q3647)*'18_Календарь_тарифы'!Q9,0)</f>
        <v/>
      </c>
      <c r="R3649">
        <f>IF('01_Вводные'!$B$234="Да",SUM('19_Расчет_аналитики'!R3646:R3647)*'18_Календарь_тарифы'!R9,0)</f>
        <v/>
      </c>
      <c r="S3649">
        <f>IF('01_Вводные'!$B$234="Да",SUM('19_Расчет_аналитики'!S3646:S3647)*'18_Календарь_тарифы'!S9,0)</f>
        <v/>
      </c>
      <c r="T3649">
        <f>IF('01_Вводные'!$B$234="Да",SUM('19_Расчет_аналитики'!T3646:T3647)*'18_Календарь_тарифы'!T9,0)</f>
        <v/>
      </c>
      <c r="U3649">
        <f>IF('01_Вводные'!$B$234="Да",SUM('19_Расчет_аналитики'!U3646:U3647)*'18_Календарь_тарифы'!U9,0)</f>
        <v/>
      </c>
      <c r="V3649">
        <f>IF('01_Вводные'!$B$234="Да",SUM('19_Расчет_аналитики'!V3646:V3647)*'18_Календарь_тарифы'!V9,0)</f>
        <v/>
      </c>
      <c r="W3649">
        <f>IF('01_Вводные'!$B$234="Да",SUM('19_Расчет_аналитики'!W3646:W3647)*'18_Календарь_тарифы'!W9,0)</f>
        <v/>
      </c>
      <c r="X3649">
        <f>IF('01_Вводные'!$B$234="Да",SUM('19_Расчет_аналитики'!X3646:X3647)*'18_Календарь_тарифы'!X9,0)</f>
        <v/>
      </c>
      <c r="Y3649">
        <f>IF('01_Вводные'!$B$234="Да",SUM('19_Расчет_аналитики'!Y3646:Y3647)*'18_Календарь_тарифы'!Y9,0)</f>
        <v/>
      </c>
      <c r="Z3649">
        <f>IF('01_Вводные'!$B$234="Да",SUM('19_Расчет_аналитики'!Z3646:Z3647)*'18_Календарь_тарифы'!Z9,0)</f>
        <v/>
      </c>
      <c r="AA3649">
        <f>IF('01_Вводные'!$B$234="Да",SUM('19_Расчет_аналитики'!AA3646:AA3647)*'18_Календарь_тарифы'!AA9,0)</f>
        <v/>
      </c>
      <c r="AB3649">
        <f>IF('01_Вводные'!$B$234="Да",SUM('19_Расчет_аналитики'!AB3646:AB3647)*'18_Календарь_тарифы'!AB9,0)</f>
        <v/>
      </c>
      <c r="AC3649">
        <f>IF('01_Вводные'!$B$234="Да",SUM('19_Расчет_аналитики'!AC3646:AC3647)*'18_Календарь_тарифы'!AC9,0)</f>
        <v/>
      </c>
      <c r="AD3649">
        <f>IF('01_Вводные'!$B$234="Да",SUM('19_Расчет_аналитики'!AD3646:AD3647)*'18_Календарь_тарифы'!AD9,0)</f>
        <v/>
      </c>
      <c r="AE3649">
        <f>IF('01_Вводные'!$B$234="Да",SUM('19_Расчет_аналитики'!AE3646:AE3647)*'18_Календарь_тарифы'!AE9,0)</f>
        <v/>
      </c>
      <c r="AF3649">
        <f>IF('01_Вводные'!$B$234="Да",SUM('19_Расчет_аналитики'!AF3646:AF3647)*'18_Календарь_тарифы'!AF9,0)</f>
        <v/>
      </c>
      <c r="AG3649">
        <f>IF('01_Вводные'!$B$234="Да",SUM('19_Расчет_аналитики'!AG3646:AG3647)*'18_Календарь_тарифы'!AG9,0)</f>
        <v/>
      </c>
      <c r="AH3649">
        <f>IF('01_Вводные'!$B$234="Да",SUM('19_Расчет_аналитики'!AH3646:AH3647)*'18_Календарь_тарифы'!AH9,0)</f>
        <v/>
      </c>
      <c r="AI3649">
        <f>IF('01_Вводные'!$B$234="Да",SUM('19_Расчет_аналитики'!AI3646:AI3647)*'18_Календарь_тарифы'!AI9,0)</f>
        <v/>
      </c>
      <c r="AJ3649">
        <f>IF('01_Вводные'!$B$234="Да",SUM('19_Расчет_аналитики'!AJ3646:AJ3647)*'18_Календарь_тарифы'!AJ9,0)</f>
        <v/>
      </c>
      <c r="AK3649">
        <f>IF('01_Вводные'!$B$234="Да",SUM('19_Расчет_аналитики'!AK3646:AK3647)*'18_Календарь_тарифы'!AK9,0)</f>
        <v/>
      </c>
      <c r="AL3649">
        <f>IF('01_Вводные'!$B$234="Да",SUM('19_Расчет_аналитики'!AL3646:AL3647)*'18_Календарь_тарифы'!AL9,0)</f>
        <v/>
      </c>
      <c r="AM3649">
        <f>IF('01_Вводные'!$B$234="Да",SUM('19_Расчет_аналитики'!AM3646:AM3647)*'18_Календарь_тарифы'!AM9,0)</f>
        <v/>
      </c>
      <c r="AN3649">
        <f>IF('01_Вводные'!$B$234="Да",SUM('19_Расчет_аналитики'!AN3646:AN3647)*'18_Календарь_тарифы'!AN9,0)</f>
        <v/>
      </c>
      <c r="AO3649">
        <f>IF('01_Вводные'!$B$234="Да",SUM('19_Расчет_аналитики'!AO3646:AO3647)*'18_Календарь_тарифы'!AO9,0)</f>
        <v/>
      </c>
      <c r="AP3649">
        <f>IF('01_Вводные'!$B$234="Да",SUM('19_Расчет_аналитики'!AP3646:AP3647)*'18_Календарь_тарифы'!AP9,0)</f>
        <v/>
      </c>
      <c r="AQ3649">
        <f>IF('01_Вводные'!$B$234="Да",SUM('19_Расчет_аналитики'!AQ3646:AQ3647)*'18_Календарь_тарифы'!AQ9,0)</f>
        <v/>
      </c>
      <c r="AR3649">
        <f>IF('01_Вводные'!$B$234="Да",SUM('19_Расчет_аналитики'!AR3646:AR3647)*'18_Календарь_тарифы'!AR9,0)</f>
        <v/>
      </c>
      <c r="AS3649">
        <f>IF('01_Вводные'!$B$234="Да",SUM('19_Расчет_аналитики'!AS3646:AS3647)*'18_Календарь_тарифы'!AS9,0)</f>
        <v/>
      </c>
      <c r="AT3649">
        <f>IF('01_Вводные'!$B$234="Да",SUM('19_Расчет_аналитики'!AT3646:AT3647)*'18_Календарь_тарифы'!AT9,0)</f>
        <v/>
      </c>
      <c r="AU3649">
        <f>IF('01_Вводные'!$B$234="Да",SUM('19_Расчет_аналитики'!AU3646:AU3647)*'18_Календарь_тарифы'!AU9,0)</f>
        <v/>
      </c>
      <c r="AV3649">
        <f>IF('01_Вводные'!$B$234="Да",SUM('19_Расчет_аналитики'!AV3646:AV3647)*'18_Календарь_тарифы'!AV9,0)</f>
        <v/>
      </c>
      <c r="AW3649">
        <f>IF('01_Вводные'!$B$234="Да",SUM('19_Расчет_аналитики'!AW3646:AW3647)*'18_Календарь_тарифы'!AW9,0)</f>
        <v/>
      </c>
      <c r="AX3649">
        <f>IF('01_Вводные'!$B$234="Да",SUM('19_Расчет_аналитики'!AX3646:AX3647)*'18_Календарь_тарифы'!AX9,0)</f>
        <v/>
      </c>
      <c r="AY3649">
        <f>IF('01_Вводные'!$B$234="Да",SUM('19_Расчет_аналитики'!AY3646:AY3647)*'18_Календарь_тарифы'!AY9,0)</f>
        <v/>
      </c>
      <c r="AZ3649">
        <f>IF('01_Вводные'!$B$234="Да",SUM('19_Расчет_аналитики'!AZ3646:AZ3647)*'18_Календарь_тарифы'!AZ9,0)</f>
        <v/>
      </c>
      <c r="BA3649">
        <f>IF('01_Вводные'!$B$234="Да",SUM('19_Расчет_аналитики'!BA3646:BA3647)*'18_Календарь_тарифы'!BA9,0)</f>
        <v/>
      </c>
      <c r="BB3649">
        <f>IF('01_Вводные'!$B$234="Да",SUM('19_Расчет_аналитики'!BB3646:BB3647)*'18_Календарь_тарифы'!BB9,0)</f>
        <v/>
      </c>
      <c r="BC3649">
        <f>IF('01_Вводные'!$B$234="Да",SUM('19_Расчет_аналитики'!BC3646:BC3647)*'18_Календарь_тарифы'!BC9,0)</f>
        <v/>
      </c>
      <c r="BD3649">
        <f>IF('01_Вводные'!$B$234="Да",SUM('19_Расчет_аналитики'!BD3646:BD3647)*'18_Календарь_тарифы'!BD9,0)</f>
        <v/>
      </c>
      <c r="BE3649">
        <f>IF('01_Вводные'!$B$234="Да",SUM('19_Расчет_аналитики'!BE3646:BE3647)*'18_Календарь_тарифы'!BE9,0)</f>
        <v/>
      </c>
      <c r="BF3649">
        <f>IF('01_Вводные'!$B$234="Да",SUM('19_Расчет_аналитики'!BF3646:BF3647)*'18_Календарь_тарифы'!BF9,0)</f>
        <v/>
      </c>
      <c r="BG3649">
        <f>IF('01_Вводные'!$B$234="Да",SUM('19_Расчет_аналитики'!BG3646:BG3647)*'18_Календарь_тарифы'!BG9,0)</f>
        <v/>
      </c>
      <c r="BH3649">
        <f>IF('01_Вводные'!$B$234="Да",SUM('19_Расчет_аналитики'!BH3646:BH3647)*'18_Календарь_тарифы'!BH9,0)</f>
        <v/>
      </c>
      <c r="BI3649">
        <f>IF('01_Вводные'!$B$234="Да",SUM('19_Расчет_аналитики'!BI3646:BI3647)*'18_Календарь_тарифы'!BI9,0)</f>
        <v/>
      </c>
      <c r="BJ3649">
        <f>IF('01_Вводные'!$B$234="Да",SUM('19_Расчет_аналитики'!BJ3646:BJ3647)*'18_Календарь_тарифы'!BJ9,0)</f>
        <v/>
      </c>
      <c r="BK3649">
        <f>IF('01_Вводные'!$B$234="Да",SUM('19_Расчет_аналитики'!BK3646:BK3647)*'18_Календарь_тарифы'!BK9,0)</f>
        <v/>
      </c>
      <c r="BL3649">
        <f>IF('01_Вводные'!$B$234="Да",SUM('19_Расчет_аналитики'!BL3646:BL3647)*'18_Календарь_тарифы'!BL9,0)</f>
        <v/>
      </c>
      <c r="BM3649">
        <f>IF('01_Вводные'!$B$234="Да",SUM('19_Расчет_аналитики'!BM3646:BM3647)*'18_Календарь_тарифы'!BM9,0)</f>
        <v/>
      </c>
      <c r="BN3649">
        <f>IF('01_Вводные'!$B$234="Да",SUM('19_Расчет_аналитики'!BN3646:BN3647)*'18_Календарь_тарифы'!BN9,0)</f>
        <v/>
      </c>
      <c r="BO3649">
        <f>IF('01_Вводные'!$B$234="Да",SUM('19_Расчет_аналитики'!BO3646:BO3647)*'18_Календарь_тарифы'!BO9,0)</f>
        <v/>
      </c>
    </row>
    <row r="3650"/>
    <row r="3651">
      <c r="B3651">
        <f>IF('01_Вводные'!$B$234="Да",'07_Мерч'!B6+'19_Расчет_аналитики'!B3648,0)</f>
        <v/>
      </c>
      <c r="C3651">
        <f>IF('01_Вводные'!$B$234="Да",'07_Мерч'!C6+'19_Расчет_аналитики'!C3648,0)</f>
        <v/>
      </c>
      <c r="D3651">
        <f>IF('01_Вводные'!$B$234="Да",'07_Мерч'!D6+'19_Расчет_аналитики'!D3648,0)</f>
        <v/>
      </c>
      <c r="E3651">
        <f>IF('01_Вводные'!$B$234="Да",'07_Мерч'!E6+'19_Расчет_аналитики'!E3648,0)</f>
        <v/>
      </c>
      <c r="F3651">
        <f>IF('01_Вводные'!$B$234="Да",'19_Расчет_аналитики'!F3643+'19_Расчет_аналитики'!F3648,0)</f>
        <v/>
      </c>
      <c r="G3651">
        <f>IF('01_Вводные'!$B$234="Да",'19_Расчет_аналитики'!G3643+'19_Расчет_аналитики'!G3648,0)</f>
        <v/>
      </c>
      <c r="H3651">
        <f>IF('01_Вводные'!$B$234="Да",'19_Расчет_аналитики'!H3643+'19_Расчет_аналитики'!H3648,0)</f>
        <v/>
      </c>
      <c r="I3651">
        <f>IF('01_Вводные'!$B$234="Да",'19_Расчет_аналитики'!I3643+'19_Расчет_аналитики'!I3648,0)</f>
        <v/>
      </c>
      <c r="J3651">
        <f>IF('01_Вводные'!$B$234="Да",'19_Расчет_аналитики'!J3643+'19_Расчет_аналитики'!J3648,0)</f>
        <v/>
      </c>
      <c r="K3651">
        <f>IF('01_Вводные'!$B$234="Да",'19_Расчет_аналитики'!K3643+'19_Расчет_аналитики'!K3648,0)</f>
        <v/>
      </c>
      <c r="L3651">
        <f>IF('01_Вводные'!$B$234="Да",'19_Расчет_аналитики'!L3643+'19_Расчет_аналитики'!L3648,0)</f>
        <v/>
      </c>
      <c r="M3651">
        <f>IF('01_Вводные'!$B$234="Да",'19_Расчет_аналитики'!M3643+'19_Расчет_аналитики'!M3648,0)</f>
        <v/>
      </c>
      <c r="N3651">
        <f>IF('01_Вводные'!$B$234="Да",'19_Расчет_аналитики'!N3643+'19_Расчет_аналитики'!N3648,0)</f>
        <v/>
      </c>
      <c r="O3651">
        <f>IF('01_Вводные'!$B$234="Да",'19_Расчет_аналитики'!O3643+'19_Расчет_аналитики'!O3648,0)</f>
        <v/>
      </c>
      <c r="P3651">
        <f>IF('01_Вводные'!$B$234="Да",'19_Расчет_аналитики'!P3643+'19_Расчет_аналитики'!P3648,0)</f>
        <v/>
      </c>
      <c r="Q3651">
        <f>IF('01_Вводные'!$B$234="Да",'19_Расчет_аналитики'!Q3643+'19_Расчет_аналитики'!Q3648,0)</f>
        <v/>
      </c>
      <c r="R3651">
        <f>IF('01_Вводные'!$B$234="Да",'19_Расчет_аналитики'!R3643+'19_Расчет_аналитики'!R3648,0)</f>
        <v/>
      </c>
      <c r="S3651">
        <f>IF('01_Вводные'!$B$234="Да",'19_Расчет_аналитики'!S3643+'19_Расчет_аналитики'!S3648,0)</f>
        <v/>
      </c>
      <c r="T3651">
        <f>IF('01_Вводные'!$B$234="Да",'19_Расчет_аналитики'!T3643+'19_Расчет_аналитики'!T3648,0)</f>
        <v/>
      </c>
      <c r="U3651">
        <f>IF('01_Вводные'!$B$234="Да",'19_Расчет_аналитики'!U3643+'19_Расчет_аналитики'!U3648,0)</f>
        <v/>
      </c>
      <c r="V3651">
        <f>IF('01_Вводные'!$B$234="Да",'19_Расчет_аналитики'!V3643+'19_Расчет_аналитики'!V3648,0)</f>
        <v/>
      </c>
      <c r="W3651">
        <f>IF('01_Вводные'!$B$234="Да",'19_Расчет_аналитики'!W3643+'19_Расчет_аналитики'!W3648,0)</f>
        <v/>
      </c>
      <c r="X3651">
        <f>IF('01_Вводные'!$B$234="Да",'19_Расчет_аналитики'!X3643+'19_Расчет_аналитики'!X3648,0)</f>
        <v/>
      </c>
      <c r="Y3651">
        <f>IF('01_Вводные'!$B$234="Да",'19_Расчет_аналитики'!Y3643+'19_Расчет_аналитики'!Y3648,0)</f>
        <v/>
      </c>
      <c r="Z3651">
        <f>IF('01_Вводные'!$B$234="Да",'19_Расчет_аналитики'!Z3643+'19_Расчет_аналитики'!Z3648,0)</f>
        <v/>
      </c>
      <c r="AA3651">
        <f>IF('01_Вводные'!$B$234="Да",'19_Расчет_аналитики'!AA3643+'19_Расчет_аналитики'!AA3648,0)</f>
        <v/>
      </c>
      <c r="AB3651">
        <f>IF('01_Вводные'!$B$234="Да",'19_Расчет_аналитики'!AB3643+'19_Расчет_аналитики'!AB3648,0)</f>
        <v/>
      </c>
      <c r="AC3651">
        <f>IF('01_Вводные'!$B$234="Да",'19_Расчет_аналитики'!AC3643+'19_Расчет_аналитики'!AC3648,0)</f>
        <v/>
      </c>
      <c r="AD3651">
        <f>IF('01_Вводные'!$B$234="Да",'19_Расчет_аналитики'!AD3643+'19_Расчет_аналитики'!AD3648,0)</f>
        <v/>
      </c>
      <c r="AE3651">
        <f>IF('01_Вводные'!$B$234="Да",'19_Расчет_аналитики'!AE3643+'19_Расчет_аналитики'!AE3648,0)</f>
        <v/>
      </c>
      <c r="AF3651">
        <f>IF('01_Вводные'!$B$234="Да",'19_Расчет_аналитики'!AF3643+'19_Расчет_аналитики'!AF3648,0)</f>
        <v/>
      </c>
      <c r="AG3651">
        <f>IF('01_Вводные'!$B$234="Да",'19_Расчет_аналитики'!AG3643+'19_Расчет_аналитики'!AG3648,0)</f>
        <v/>
      </c>
      <c r="AH3651">
        <f>IF('01_Вводные'!$B$234="Да",'19_Расчет_аналитики'!AH3643+'19_Расчет_аналитики'!AH3648,0)</f>
        <v/>
      </c>
      <c r="AI3651">
        <f>IF('01_Вводные'!$B$234="Да",'19_Расчет_аналитики'!AI3643+'19_Расчет_аналитики'!AI3648,0)</f>
        <v/>
      </c>
      <c r="AJ3651">
        <f>IF('01_Вводные'!$B$234="Да",'19_Расчет_аналитики'!AJ3643+'19_Расчет_аналитики'!AJ3648,0)</f>
        <v/>
      </c>
      <c r="AK3651">
        <f>IF('01_Вводные'!$B$234="Да",'19_Расчет_аналитики'!AK3643+'19_Расчет_аналитики'!AK3648,0)</f>
        <v/>
      </c>
      <c r="AL3651">
        <f>IF('01_Вводные'!$B$234="Да",'19_Расчет_аналитики'!AL3643+'19_Расчет_аналитики'!AL3648,0)</f>
        <v/>
      </c>
      <c r="AM3651">
        <f>IF('01_Вводные'!$B$234="Да",'19_Расчет_аналитики'!AM3643+'19_Расчет_аналитики'!AM3648,0)</f>
        <v/>
      </c>
      <c r="AN3651">
        <f>IF('01_Вводные'!$B$234="Да",'19_Расчет_аналитики'!AN3643+'19_Расчет_аналитики'!AN3648,0)</f>
        <v/>
      </c>
      <c r="AO3651">
        <f>IF('01_Вводные'!$B$234="Да",'19_Расчет_аналитики'!AO3643+'19_Расчет_аналитики'!AO3648,0)</f>
        <v/>
      </c>
      <c r="AP3651">
        <f>IF('01_Вводные'!$B$234="Да",'19_Расчет_аналитики'!AP3643+'19_Расчет_аналитики'!AP3648,0)</f>
        <v/>
      </c>
      <c r="AQ3651">
        <f>IF('01_Вводные'!$B$234="Да",'19_Расчет_аналитики'!AQ3643+'19_Расчет_аналитики'!AQ3648,0)</f>
        <v/>
      </c>
      <c r="AR3651">
        <f>IF('01_Вводные'!$B$234="Да",'19_Расчет_аналитики'!AR3643+'19_Расчет_аналитики'!AR3648,0)</f>
        <v/>
      </c>
      <c r="AS3651">
        <f>IF('01_Вводные'!$B$234="Да",'19_Расчет_аналитики'!AS3643+'19_Расчет_аналитики'!AS3648,0)</f>
        <v/>
      </c>
      <c r="AT3651">
        <f>IF('01_Вводные'!$B$234="Да",'19_Расчет_аналитики'!AT3643+'19_Расчет_аналитики'!AT3648,0)</f>
        <v/>
      </c>
      <c r="AU3651">
        <f>IF('01_Вводные'!$B$234="Да",'19_Расчет_аналитики'!AU3643+'19_Расчет_аналитики'!AU3648,0)</f>
        <v/>
      </c>
      <c r="AV3651">
        <f>IF('01_Вводные'!$B$234="Да",'19_Расчет_аналитики'!AV3643+'19_Расчет_аналитики'!AV3648,0)</f>
        <v/>
      </c>
      <c r="AW3651">
        <f>IF('01_Вводные'!$B$234="Да",'19_Расчет_аналитики'!AW3643+'19_Расчет_аналитики'!AW3648,0)</f>
        <v/>
      </c>
      <c r="AX3651">
        <f>IF('01_Вводные'!$B$234="Да",'19_Расчет_аналитики'!AX3643+'19_Расчет_аналитики'!AX3648,0)</f>
        <v/>
      </c>
      <c r="AY3651">
        <f>IF('01_Вводные'!$B$234="Да",'19_Расчет_аналитики'!AY3643+'19_Расчет_аналитики'!AY3648,0)</f>
        <v/>
      </c>
      <c r="AZ3651">
        <f>IF('01_Вводные'!$B$234="Да",'19_Расчет_аналитики'!AZ3643+'19_Расчет_аналитики'!AZ3648,0)</f>
        <v/>
      </c>
      <c r="BA3651">
        <f>IF('01_Вводные'!$B$234="Да",'19_Расчет_аналитики'!BA3643+'19_Расчет_аналитики'!BA3648,0)</f>
        <v/>
      </c>
      <c r="BB3651">
        <f>IF('01_Вводные'!$B$234="Да",'19_Расчет_аналитики'!BB3643+'19_Расчет_аналитики'!BB3648,0)</f>
        <v/>
      </c>
      <c r="BC3651">
        <f>IF('01_Вводные'!$B$234="Да",'19_Расчет_аналитики'!BC3643+'19_Расчет_аналитики'!BC3648,0)</f>
        <v/>
      </c>
      <c r="BD3651">
        <f>IF('01_Вводные'!$B$234="Да",'19_Расчет_аналитики'!BD3643+'19_Расчет_аналитики'!BD3648,0)</f>
        <v/>
      </c>
      <c r="BE3651">
        <f>IF('01_Вводные'!$B$234="Да",'19_Расчет_аналитики'!BE3643+'19_Расчет_аналитики'!BE3648,0)</f>
        <v/>
      </c>
      <c r="BF3651">
        <f>IF('01_Вводные'!$B$234="Да",'19_Расчет_аналитики'!BF3643+'19_Расчет_аналитики'!BF3648,0)</f>
        <v/>
      </c>
      <c r="BG3651">
        <f>IF('01_Вводные'!$B$234="Да",'19_Расчет_аналитики'!BG3643+'19_Расчет_аналитики'!BG3648,0)</f>
        <v/>
      </c>
      <c r="BH3651">
        <f>IF('01_Вводные'!$B$234="Да",'19_Расчет_аналитики'!BH3643+'19_Расчет_аналитики'!BH3648,0)</f>
        <v/>
      </c>
      <c r="BI3651">
        <f>IF('01_Вводные'!$B$234="Да",'19_Расчет_аналитики'!BI3643+'19_Расчет_аналитики'!BI3648,0)</f>
        <v/>
      </c>
      <c r="BJ3651">
        <f>IF('01_Вводные'!$B$234="Да",'19_Расчет_аналитики'!BJ3643+'19_Расчет_аналитики'!BJ3648,0)</f>
        <v/>
      </c>
      <c r="BK3651">
        <f>IF('01_Вводные'!$B$234="Да",'19_Расчет_аналитики'!BK3643+'19_Расчет_аналитики'!BK3648,0)</f>
        <v/>
      </c>
      <c r="BL3651">
        <f>IF('01_Вводные'!$B$234="Да",'19_Расчет_аналитики'!BL3643+'19_Расчет_аналитики'!BL3648,0)</f>
        <v/>
      </c>
      <c r="BM3651">
        <f>IF('01_Вводные'!$B$234="Да",'19_Расчет_аналитики'!BM3643+'19_Расчет_аналитики'!BM3648,0)</f>
        <v/>
      </c>
      <c r="BN3651">
        <f>IF('01_Вводные'!$B$234="Да",'19_Расчет_аналитики'!BN3643+'19_Расчет_аналитики'!BN3648,0)</f>
        <v/>
      </c>
      <c r="BO3651">
        <f>IF('01_Вводные'!$B$234="Да",'19_Расчет_аналитики'!BO3643+'19_Расчет_аналитики'!BO3648,0)</f>
        <v/>
      </c>
    </row>
    <row r="3652">
      <c r="B3652">
        <f>IF('01_Вводные'!$B$234="Да",'19_Расчет_аналитики'!B3651/(1+'01_Вводные'!$B$58),0)</f>
        <v/>
      </c>
      <c r="C3652">
        <f>IF('01_Вводные'!$B$234="Да",'19_Расчет_аналитики'!C3651/(1+'01_Вводные'!$B$58),0)</f>
        <v/>
      </c>
      <c r="D3652">
        <f>IF('01_Вводные'!$B$234="Да",'19_Расчет_аналитики'!D3651/(1+'01_Вводные'!$B$58),0)</f>
        <v/>
      </c>
      <c r="E3652">
        <f>IF('01_Вводные'!$B$234="Да",'19_Расчет_аналитики'!E3651/(1+'01_Вводные'!$B$58),0)</f>
        <v/>
      </c>
      <c r="F3652">
        <f>IF('01_Вводные'!$B$234="Да",'19_Расчет_аналитики'!F3651/(1+'01_Вводные'!$B$58),0)</f>
        <v/>
      </c>
      <c r="G3652">
        <f>IF('01_Вводные'!$B$234="Да",'19_Расчет_аналитики'!G3651/(1+'01_Вводные'!$B$58),0)</f>
        <v/>
      </c>
      <c r="H3652">
        <f>IF('01_Вводные'!$B$234="Да",'19_Расчет_аналитики'!H3651/(1+'01_Вводные'!$B$58),0)</f>
        <v/>
      </c>
      <c r="I3652">
        <f>IF('01_Вводные'!$B$234="Да",'19_Расчет_аналитики'!I3651/(1+'01_Вводные'!$B$58),0)</f>
        <v/>
      </c>
      <c r="J3652">
        <f>IF('01_Вводные'!$B$234="Да",'19_Расчет_аналитики'!J3651/(1+'01_Вводные'!$B$58),0)</f>
        <v/>
      </c>
      <c r="K3652">
        <f>IF('01_Вводные'!$B$234="Да",'19_Расчет_аналитики'!K3651/(1+'01_Вводные'!$B$58),0)</f>
        <v/>
      </c>
      <c r="L3652">
        <f>IF('01_Вводные'!$B$234="Да",'19_Расчет_аналитики'!L3651/(1+'01_Вводные'!$B$58),0)</f>
        <v/>
      </c>
      <c r="M3652">
        <f>IF('01_Вводные'!$B$234="Да",'19_Расчет_аналитики'!M3651/(1+'01_Вводные'!$B$58),0)</f>
        <v/>
      </c>
      <c r="N3652">
        <f>IF('01_Вводные'!$B$234="Да",'19_Расчет_аналитики'!N3651/(1+'01_Вводные'!$B$58),0)</f>
        <v/>
      </c>
      <c r="O3652">
        <f>IF('01_Вводные'!$B$234="Да",'19_Расчет_аналитики'!O3651/(1+'01_Вводные'!$B$58),0)</f>
        <v/>
      </c>
      <c r="P3652">
        <f>IF('01_Вводные'!$B$234="Да",'19_Расчет_аналитики'!P3651/(1+'01_Вводные'!$B$58),0)</f>
        <v/>
      </c>
      <c r="Q3652">
        <f>IF('01_Вводные'!$B$234="Да",'19_Расчет_аналитики'!Q3651/(1+'01_Вводные'!$B$58),0)</f>
        <v/>
      </c>
      <c r="R3652">
        <f>IF('01_Вводные'!$B$234="Да",'19_Расчет_аналитики'!R3651/(1+'01_Вводные'!$B$58),0)</f>
        <v/>
      </c>
      <c r="S3652">
        <f>IF('01_Вводные'!$B$234="Да",'19_Расчет_аналитики'!S3651/(1+'01_Вводные'!$B$58),0)</f>
        <v/>
      </c>
      <c r="T3652">
        <f>IF('01_Вводные'!$B$234="Да",'19_Расчет_аналитики'!T3651/(1+'01_Вводные'!$B$58),0)</f>
        <v/>
      </c>
      <c r="U3652">
        <f>IF('01_Вводные'!$B$234="Да",'19_Расчет_аналитики'!U3651/(1+'01_Вводные'!$B$58),0)</f>
        <v/>
      </c>
      <c r="V3652">
        <f>IF('01_Вводные'!$B$234="Да",'19_Расчет_аналитики'!V3651/(1+'01_Вводные'!$B$58),0)</f>
        <v/>
      </c>
      <c r="W3652">
        <f>IF('01_Вводные'!$B$234="Да",'19_Расчет_аналитики'!W3651/(1+'01_Вводные'!$B$58),0)</f>
        <v/>
      </c>
      <c r="X3652">
        <f>IF('01_Вводные'!$B$234="Да",'19_Расчет_аналитики'!X3651/(1+'01_Вводные'!$B$58),0)</f>
        <v/>
      </c>
      <c r="Y3652">
        <f>IF('01_Вводные'!$B$234="Да",'19_Расчет_аналитики'!Y3651/(1+'01_Вводные'!$B$58),0)</f>
        <v/>
      </c>
      <c r="Z3652">
        <f>IF('01_Вводные'!$B$234="Да",'19_Расчет_аналитики'!Z3651/(1+'01_Вводные'!$B$58),0)</f>
        <v/>
      </c>
      <c r="AA3652">
        <f>IF('01_Вводные'!$B$234="Да",'19_Расчет_аналитики'!AA3651/(1+'01_Вводные'!$B$58),0)</f>
        <v/>
      </c>
      <c r="AB3652">
        <f>IF('01_Вводные'!$B$234="Да",'19_Расчет_аналитики'!AB3651/(1+'01_Вводные'!$B$58),0)</f>
        <v/>
      </c>
      <c r="AC3652">
        <f>IF('01_Вводные'!$B$234="Да",'19_Расчет_аналитики'!AC3651/(1+'01_Вводные'!$B$58),0)</f>
        <v/>
      </c>
      <c r="AD3652">
        <f>IF('01_Вводные'!$B$234="Да",'19_Расчет_аналитики'!AD3651/(1+'01_Вводные'!$B$58),0)</f>
        <v/>
      </c>
      <c r="AE3652">
        <f>IF('01_Вводные'!$B$234="Да",'19_Расчет_аналитики'!AE3651/(1+'01_Вводные'!$B$58),0)</f>
        <v/>
      </c>
      <c r="AF3652">
        <f>IF('01_Вводные'!$B$234="Да",'19_Расчет_аналитики'!AF3651/(1+'01_Вводные'!$B$58),0)</f>
        <v/>
      </c>
      <c r="AG3652">
        <f>IF('01_Вводные'!$B$234="Да",'19_Расчет_аналитики'!AG3651/(1+'01_Вводные'!$B$58),0)</f>
        <v/>
      </c>
      <c r="AH3652">
        <f>IF('01_Вводные'!$B$234="Да",'19_Расчет_аналитики'!AH3651/(1+'01_Вводные'!$B$58),0)</f>
        <v/>
      </c>
      <c r="AI3652">
        <f>IF('01_Вводные'!$B$234="Да",'19_Расчет_аналитики'!AI3651/(1+'01_Вводные'!$B$58),0)</f>
        <v/>
      </c>
      <c r="AJ3652">
        <f>IF('01_Вводные'!$B$234="Да",'19_Расчет_аналитики'!AJ3651/(1+'01_Вводные'!$B$58),0)</f>
        <v/>
      </c>
      <c r="AK3652">
        <f>IF('01_Вводные'!$B$234="Да",'19_Расчет_аналитики'!AK3651/(1+'01_Вводные'!$B$58),0)</f>
        <v/>
      </c>
      <c r="AL3652">
        <f>IF('01_Вводные'!$B$234="Да",'19_Расчет_аналитики'!AL3651/(1+'01_Вводные'!$B$58),0)</f>
        <v/>
      </c>
      <c r="AM3652">
        <f>IF('01_Вводные'!$B$234="Да",'19_Расчет_аналитики'!AM3651/(1+'01_Вводные'!$B$58),0)</f>
        <v/>
      </c>
      <c r="AN3652">
        <f>IF('01_Вводные'!$B$234="Да",'19_Расчет_аналитики'!AN3651/(1+'01_Вводные'!$B$58),0)</f>
        <v/>
      </c>
      <c r="AO3652">
        <f>IF('01_Вводные'!$B$234="Да",'19_Расчет_аналитики'!AO3651/(1+'01_Вводные'!$B$58),0)</f>
        <v/>
      </c>
      <c r="AP3652">
        <f>IF('01_Вводные'!$B$234="Да",'19_Расчет_аналитики'!AP3651/(1+'01_Вводные'!$B$58),0)</f>
        <v/>
      </c>
      <c r="AQ3652">
        <f>IF('01_Вводные'!$B$234="Да",'19_Расчет_аналитики'!AQ3651/(1+'01_Вводные'!$B$58),0)</f>
        <v/>
      </c>
      <c r="AR3652">
        <f>IF('01_Вводные'!$B$234="Да",'19_Расчет_аналитики'!AR3651/(1+'01_Вводные'!$B$58),0)</f>
        <v/>
      </c>
      <c r="AS3652">
        <f>IF('01_Вводные'!$B$234="Да",'19_Расчет_аналитики'!AS3651/(1+'01_Вводные'!$B$58),0)</f>
        <v/>
      </c>
      <c r="AT3652">
        <f>IF('01_Вводные'!$B$234="Да",'19_Расчет_аналитики'!AT3651/(1+'01_Вводные'!$B$58),0)</f>
        <v/>
      </c>
      <c r="AU3652">
        <f>IF('01_Вводные'!$B$234="Да",'19_Расчет_аналитики'!AU3651/(1+'01_Вводные'!$B$58),0)</f>
        <v/>
      </c>
      <c r="AV3652">
        <f>IF('01_Вводные'!$B$234="Да",'19_Расчет_аналитики'!AV3651/(1+'01_Вводные'!$B$58),0)</f>
        <v/>
      </c>
      <c r="AW3652">
        <f>IF('01_Вводные'!$B$234="Да",'19_Расчет_аналитики'!AW3651/(1+'01_Вводные'!$B$58),0)</f>
        <v/>
      </c>
      <c r="AX3652">
        <f>IF('01_Вводные'!$B$234="Да",'19_Расчет_аналитики'!AX3651/(1+'01_Вводные'!$B$58),0)</f>
        <v/>
      </c>
      <c r="AY3652">
        <f>IF('01_Вводные'!$B$234="Да",'19_Расчет_аналитики'!AY3651/(1+'01_Вводные'!$B$58),0)</f>
        <v/>
      </c>
      <c r="AZ3652">
        <f>IF('01_Вводные'!$B$234="Да",'19_Расчет_аналитики'!AZ3651/(1+'01_Вводные'!$B$58),0)</f>
        <v/>
      </c>
      <c r="BA3652">
        <f>IF('01_Вводные'!$B$234="Да",'19_Расчет_аналитики'!BA3651/(1+'01_Вводные'!$B$58),0)</f>
        <v/>
      </c>
      <c r="BB3652">
        <f>IF('01_Вводные'!$B$234="Да",'19_Расчет_аналитики'!BB3651/(1+'01_Вводные'!$B$58),0)</f>
        <v/>
      </c>
      <c r="BC3652">
        <f>IF('01_Вводные'!$B$234="Да",'19_Расчет_аналитики'!BC3651/(1+'01_Вводные'!$B$58),0)</f>
        <v/>
      </c>
      <c r="BD3652">
        <f>IF('01_Вводные'!$B$234="Да",'19_Расчет_аналитики'!BD3651/(1+'01_Вводные'!$B$58),0)</f>
        <v/>
      </c>
      <c r="BE3652">
        <f>IF('01_Вводные'!$B$234="Да",'19_Расчет_аналитики'!BE3651/(1+'01_Вводные'!$B$58),0)</f>
        <v/>
      </c>
      <c r="BF3652">
        <f>IF('01_Вводные'!$B$234="Да",'19_Расчет_аналитики'!BF3651/(1+'01_Вводные'!$B$58),0)</f>
        <v/>
      </c>
      <c r="BG3652">
        <f>IF('01_Вводные'!$B$234="Да",'19_Расчет_аналитики'!BG3651/(1+'01_Вводные'!$B$58),0)</f>
        <v/>
      </c>
      <c r="BH3652">
        <f>IF('01_Вводные'!$B$234="Да",'19_Расчет_аналитики'!BH3651/(1+'01_Вводные'!$B$58),0)</f>
        <v/>
      </c>
      <c r="BI3652">
        <f>IF('01_Вводные'!$B$234="Да",'19_Расчет_аналитики'!BI3651/(1+'01_Вводные'!$B$58),0)</f>
        <v/>
      </c>
      <c r="BJ3652">
        <f>IF('01_Вводные'!$B$234="Да",'19_Расчет_аналитики'!BJ3651/(1+'01_Вводные'!$B$58),0)</f>
        <v/>
      </c>
      <c r="BK3652">
        <f>IF('01_Вводные'!$B$234="Да",'19_Расчет_аналитики'!BK3651/(1+'01_Вводные'!$B$58),0)</f>
        <v/>
      </c>
      <c r="BL3652">
        <f>IF('01_Вводные'!$B$234="Да",'19_Расчет_аналитики'!BL3651/(1+'01_Вводные'!$B$58),0)</f>
        <v/>
      </c>
      <c r="BM3652">
        <f>IF('01_Вводные'!$B$234="Да",'19_Расчет_аналитики'!BM3651/(1+'01_Вводные'!$B$58),0)</f>
        <v/>
      </c>
      <c r="BN3652">
        <f>IF('01_Вводные'!$B$234="Да",'19_Расчет_аналитики'!BN3651/(1+'01_Вводные'!$B$58),0)</f>
        <v/>
      </c>
      <c r="BO3652">
        <f>IF('01_Вводные'!$B$234="Да",'19_Расчет_аналитики'!BO3651/(1+'01_Вводные'!$B$58),0)</f>
        <v/>
      </c>
    </row>
    <row r="3653">
      <c r="B3653">
        <f>IF('01_Вводные'!$B$234="Да",'07_Мерч'!B7+'19_Расчет_аналитики'!B3649,0)</f>
        <v/>
      </c>
      <c r="C3653">
        <f>IF('01_Вводные'!$B$234="Да",'07_Мерч'!C7+'19_Расчет_аналитики'!C3649,0)</f>
        <v/>
      </c>
      <c r="D3653">
        <f>IF('01_Вводные'!$B$234="Да",'07_Мерч'!D7+'19_Расчет_аналитики'!D3649,0)</f>
        <v/>
      </c>
      <c r="E3653">
        <f>IF('01_Вводные'!$B$234="Да",'07_Мерч'!E7+'19_Расчет_аналитики'!E3649,0)</f>
        <v/>
      </c>
      <c r="F3653">
        <f>IF('01_Вводные'!$B$234="Да",'19_Расчет_аналитики'!F3644+'19_Расчет_аналитики'!F3649,0)</f>
        <v/>
      </c>
      <c r="G3653">
        <f>IF('01_Вводные'!$B$234="Да",'19_Расчет_аналитики'!G3644+'19_Расчет_аналитики'!G3649,0)</f>
        <v/>
      </c>
      <c r="H3653">
        <f>IF('01_Вводные'!$B$234="Да",'19_Расчет_аналитики'!H3644+'19_Расчет_аналитики'!H3649,0)</f>
        <v/>
      </c>
      <c r="I3653">
        <f>IF('01_Вводные'!$B$234="Да",'19_Расчет_аналитики'!I3644+'19_Расчет_аналитики'!I3649,0)</f>
        <v/>
      </c>
      <c r="J3653">
        <f>IF('01_Вводные'!$B$234="Да",'19_Расчет_аналитики'!J3644+'19_Расчет_аналитики'!J3649,0)</f>
        <v/>
      </c>
      <c r="K3653">
        <f>IF('01_Вводные'!$B$234="Да",'19_Расчет_аналитики'!K3644+'19_Расчет_аналитики'!K3649,0)</f>
        <v/>
      </c>
      <c r="L3653">
        <f>IF('01_Вводные'!$B$234="Да",'19_Расчет_аналитики'!L3644+'19_Расчет_аналитики'!L3649,0)</f>
        <v/>
      </c>
      <c r="M3653">
        <f>IF('01_Вводные'!$B$234="Да",'19_Расчет_аналитики'!M3644+'19_Расчет_аналитики'!M3649,0)</f>
        <v/>
      </c>
      <c r="N3653">
        <f>IF('01_Вводные'!$B$234="Да",'19_Расчет_аналитики'!N3644+'19_Расчет_аналитики'!N3649,0)</f>
        <v/>
      </c>
      <c r="O3653">
        <f>IF('01_Вводные'!$B$234="Да",'19_Расчет_аналитики'!O3644+'19_Расчет_аналитики'!O3649,0)</f>
        <v/>
      </c>
      <c r="P3653">
        <f>IF('01_Вводные'!$B$234="Да",'19_Расчет_аналитики'!P3644+'19_Расчет_аналитики'!P3649,0)</f>
        <v/>
      </c>
      <c r="Q3653">
        <f>IF('01_Вводные'!$B$234="Да",'19_Расчет_аналитики'!Q3644+'19_Расчет_аналитики'!Q3649,0)</f>
        <v/>
      </c>
      <c r="R3653">
        <f>IF('01_Вводные'!$B$234="Да",'19_Расчет_аналитики'!R3644+'19_Расчет_аналитики'!R3649,0)</f>
        <v/>
      </c>
      <c r="S3653">
        <f>IF('01_Вводные'!$B$234="Да",'19_Расчет_аналитики'!S3644+'19_Расчет_аналитики'!S3649,0)</f>
        <v/>
      </c>
      <c r="T3653">
        <f>IF('01_Вводные'!$B$234="Да",'19_Расчет_аналитики'!T3644+'19_Расчет_аналитики'!T3649,0)</f>
        <v/>
      </c>
      <c r="U3653">
        <f>IF('01_Вводные'!$B$234="Да",'19_Расчет_аналитики'!U3644+'19_Расчет_аналитики'!U3649,0)</f>
        <v/>
      </c>
      <c r="V3653">
        <f>IF('01_Вводные'!$B$234="Да",'19_Расчет_аналитики'!V3644+'19_Расчет_аналитики'!V3649,0)</f>
        <v/>
      </c>
      <c r="W3653">
        <f>IF('01_Вводные'!$B$234="Да",'19_Расчет_аналитики'!W3644+'19_Расчет_аналитики'!W3649,0)</f>
        <v/>
      </c>
      <c r="X3653">
        <f>IF('01_Вводные'!$B$234="Да",'19_Расчет_аналитики'!X3644+'19_Расчет_аналитики'!X3649,0)</f>
        <v/>
      </c>
      <c r="Y3653">
        <f>IF('01_Вводные'!$B$234="Да",'19_Расчет_аналитики'!Y3644+'19_Расчет_аналитики'!Y3649,0)</f>
        <v/>
      </c>
      <c r="Z3653">
        <f>IF('01_Вводные'!$B$234="Да",'19_Расчет_аналитики'!Z3644+'19_Расчет_аналитики'!Z3649,0)</f>
        <v/>
      </c>
      <c r="AA3653">
        <f>IF('01_Вводные'!$B$234="Да",'19_Расчет_аналитики'!AA3644+'19_Расчет_аналитики'!AA3649,0)</f>
        <v/>
      </c>
      <c r="AB3653">
        <f>IF('01_Вводные'!$B$234="Да",'19_Расчет_аналитики'!AB3644+'19_Расчет_аналитики'!AB3649,0)</f>
        <v/>
      </c>
      <c r="AC3653">
        <f>IF('01_Вводные'!$B$234="Да",'19_Расчет_аналитики'!AC3644+'19_Расчет_аналитики'!AC3649,0)</f>
        <v/>
      </c>
      <c r="AD3653">
        <f>IF('01_Вводные'!$B$234="Да",'19_Расчет_аналитики'!AD3644+'19_Расчет_аналитики'!AD3649,0)</f>
        <v/>
      </c>
      <c r="AE3653">
        <f>IF('01_Вводные'!$B$234="Да",'19_Расчет_аналитики'!AE3644+'19_Расчет_аналитики'!AE3649,0)</f>
        <v/>
      </c>
      <c r="AF3653">
        <f>IF('01_Вводные'!$B$234="Да",'19_Расчет_аналитики'!AF3644+'19_Расчет_аналитики'!AF3649,0)</f>
        <v/>
      </c>
      <c r="AG3653">
        <f>IF('01_Вводные'!$B$234="Да",'19_Расчет_аналитики'!AG3644+'19_Расчет_аналитики'!AG3649,0)</f>
        <v/>
      </c>
      <c r="AH3653">
        <f>IF('01_Вводные'!$B$234="Да",'19_Расчет_аналитики'!AH3644+'19_Расчет_аналитики'!AH3649,0)</f>
        <v/>
      </c>
      <c r="AI3653">
        <f>IF('01_Вводные'!$B$234="Да",'19_Расчет_аналитики'!AI3644+'19_Расчет_аналитики'!AI3649,0)</f>
        <v/>
      </c>
      <c r="AJ3653">
        <f>IF('01_Вводные'!$B$234="Да",'19_Расчет_аналитики'!AJ3644+'19_Расчет_аналитики'!AJ3649,0)</f>
        <v/>
      </c>
      <c r="AK3653">
        <f>IF('01_Вводные'!$B$234="Да",'19_Расчет_аналитики'!AK3644+'19_Расчет_аналитики'!AK3649,0)</f>
        <v/>
      </c>
      <c r="AL3653">
        <f>IF('01_Вводные'!$B$234="Да",'19_Расчет_аналитики'!AL3644+'19_Расчет_аналитики'!AL3649,0)</f>
        <v/>
      </c>
      <c r="AM3653">
        <f>IF('01_Вводные'!$B$234="Да",'19_Расчет_аналитики'!AM3644+'19_Расчет_аналитики'!AM3649,0)</f>
        <v/>
      </c>
      <c r="AN3653">
        <f>IF('01_Вводные'!$B$234="Да",'19_Расчет_аналитики'!AN3644+'19_Расчет_аналитики'!AN3649,0)</f>
        <v/>
      </c>
      <c r="AO3653">
        <f>IF('01_Вводные'!$B$234="Да",'19_Расчет_аналитики'!AO3644+'19_Расчет_аналитики'!AO3649,0)</f>
        <v/>
      </c>
      <c r="AP3653">
        <f>IF('01_Вводные'!$B$234="Да",'19_Расчет_аналитики'!AP3644+'19_Расчет_аналитики'!AP3649,0)</f>
        <v/>
      </c>
      <c r="AQ3653">
        <f>IF('01_Вводные'!$B$234="Да",'19_Расчет_аналитики'!AQ3644+'19_Расчет_аналитики'!AQ3649,0)</f>
        <v/>
      </c>
      <c r="AR3653">
        <f>IF('01_Вводные'!$B$234="Да",'19_Расчет_аналитики'!AR3644+'19_Расчет_аналитики'!AR3649,0)</f>
        <v/>
      </c>
      <c r="AS3653">
        <f>IF('01_Вводные'!$B$234="Да",'19_Расчет_аналитики'!AS3644+'19_Расчет_аналитики'!AS3649,0)</f>
        <v/>
      </c>
      <c r="AT3653">
        <f>IF('01_Вводные'!$B$234="Да",'19_Расчет_аналитики'!AT3644+'19_Расчет_аналитики'!AT3649,0)</f>
        <v/>
      </c>
      <c r="AU3653">
        <f>IF('01_Вводные'!$B$234="Да",'19_Расчет_аналитики'!AU3644+'19_Расчет_аналитики'!AU3649,0)</f>
        <v/>
      </c>
      <c r="AV3653">
        <f>IF('01_Вводные'!$B$234="Да",'19_Расчет_аналитики'!AV3644+'19_Расчет_аналитики'!AV3649,0)</f>
        <v/>
      </c>
      <c r="AW3653">
        <f>IF('01_Вводные'!$B$234="Да",'19_Расчет_аналитики'!AW3644+'19_Расчет_аналитики'!AW3649,0)</f>
        <v/>
      </c>
      <c r="AX3653">
        <f>IF('01_Вводные'!$B$234="Да",'19_Расчет_аналитики'!AX3644+'19_Расчет_аналитики'!AX3649,0)</f>
        <v/>
      </c>
      <c r="AY3653">
        <f>IF('01_Вводные'!$B$234="Да",'19_Расчет_аналитики'!AY3644+'19_Расчет_аналитики'!AY3649,0)</f>
        <v/>
      </c>
      <c r="AZ3653">
        <f>IF('01_Вводные'!$B$234="Да",'19_Расчет_аналитики'!AZ3644+'19_Расчет_аналитики'!AZ3649,0)</f>
        <v/>
      </c>
      <c r="BA3653">
        <f>IF('01_Вводные'!$B$234="Да",'19_Расчет_аналитики'!BA3644+'19_Расчет_аналитики'!BA3649,0)</f>
        <v/>
      </c>
      <c r="BB3653">
        <f>IF('01_Вводные'!$B$234="Да",'19_Расчет_аналитики'!BB3644+'19_Расчет_аналитики'!BB3649,0)</f>
        <v/>
      </c>
      <c r="BC3653">
        <f>IF('01_Вводные'!$B$234="Да",'19_Расчет_аналитики'!BC3644+'19_Расчет_аналитики'!BC3649,0)</f>
        <v/>
      </c>
      <c r="BD3653">
        <f>IF('01_Вводные'!$B$234="Да",'19_Расчет_аналитики'!BD3644+'19_Расчет_аналитики'!BD3649,0)</f>
        <v/>
      </c>
      <c r="BE3653">
        <f>IF('01_Вводные'!$B$234="Да",'19_Расчет_аналитики'!BE3644+'19_Расчет_аналитики'!BE3649,0)</f>
        <v/>
      </c>
      <c r="BF3653">
        <f>IF('01_Вводные'!$B$234="Да",'19_Расчет_аналитики'!BF3644+'19_Расчет_аналитики'!BF3649,0)</f>
        <v/>
      </c>
      <c r="BG3653">
        <f>IF('01_Вводные'!$B$234="Да",'19_Расчет_аналитики'!BG3644+'19_Расчет_аналитики'!BG3649,0)</f>
        <v/>
      </c>
      <c r="BH3653">
        <f>IF('01_Вводные'!$B$234="Да",'19_Расчет_аналитики'!BH3644+'19_Расчет_аналитики'!BH3649,0)</f>
        <v/>
      </c>
      <c r="BI3653">
        <f>IF('01_Вводные'!$B$234="Да",'19_Расчет_аналитики'!BI3644+'19_Расчет_аналитики'!BI3649,0)</f>
        <v/>
      </c>
      <c r="BJ3653">
        <f>IF('01_Вводные'!$B$234="Да",'19_Расчет_аналитики'!BJ3644+'19_Расчет_аналитики'!BJ3649,0)</f>
        <v/>
      </c>
      <c r="BK3653">
        <f>IF('01_Вводные'!$B$234="Да",'19_Расчет_аналитики'!BK3644+'19_Расчет_аналитики'!BK3649,0)</f>
        <v/>
      </c>
      <c r="BL3653">
        <f>IF('01_Вводные'!$B$234="Да",'19_Расчет_аналитики'!BL3644+'19_Расчет_аналитики'!BL3649,0)</f>
        <v/>
      </c>
      <c r="BM3653">
        <f>IF('01_Вводные'!$B$234="Да",'19_Расчет_аналитики'!BM3644+'19_Расчет_аналитики'!BM3649,0)</f>
        <v/>
      </c>
      <c r="BN3653">
        <f>IF('01_Вводные'!$B$234="Да",'19_Расчет_аналитики'!BN3644+'19_Расчет_аналитики'!BN3649,0)</f>
        <v/>
      </c>
      <c r="BO3653">
        <f>IF('01_Вводные'!$B$234="Да",'19_Расчет_аналитики'!BO3644+'19_Расчет_аналитики'!BO3649,0)</f>
        <v/>
      </c>
    </row>
    <row r="3654">
      <c r="B3654">
        <f>IF('01_Вводные'!$B$234="Да",'19_Расчет_аналитики'!B3652*'01_Вводные'!$B$75,0)</f>
        <v/>
      </c>
      <c r="C3654">
        <f>IF('01_Вводные'!$B$234="Да",'19_Расчет_аналитики'!C3652*'01_Вводные'!$B$75,0)</f>
        <v/>
      </c>
      <c r="D3654">
        <f>IF('01_Вводные'!$B$234="Да",'19_Расчет_аналитики'!D3652*'01_Вводные'!$B$75,0)</f>
        <v/>
      </c>
      <c r="E3654">
        <f>IF('01_Вводные'!$B$234="Да",'19_Расчет_аналитики'!E3652*'01_Вводные'!$B$75,0)</f>
        <v/>
      </c>
      <c r="F3654">
        <f>IF('01_Вводные'!$B$234="Да",'19_Расчет_аналитики'!F3652*'01_Вводные'!$B$75,0)</f>
        <v/>
      </c>
      <c r="G3654">
        <f>IF('01_Вводные'!$B$234="Да",'19_Расчет_аналитики'!G3652*'01_Вводные'!$B$75,0)</f>
        <v/>
      </c>
      <c r="H3654">
        <f>IF('01_Вводные'!$B$234="Да",'19_Расчет_аналитики'!H3652*'01_Вводные'!$B$75,0)</f>
        <v/>
      </c>
      <c r="I3654">
        <f>IF('01_Вводные'!$B$234="Да",'19_Расчет_аналитики'!I3652*'01_Вводные'!$B$75,0)</f>
        <v/>
      </c>
      <c r="J3654">
        <f>IF('01_Вводные'!$B$234="Да",'19_Расчет_аналитики'!J3652*'01_Вводные'!$B$75,0)</f>
        <v/>
      </c>
      <c r="K3654">
        <f>IF('01_Вводные'!$B$234="Да",'19_Расчет_аналитики'!K3652*'01_Вводные'!$B$75,0)</f>
        <v/>
      </c>
      <c r="L3654">
        <f>IF('01_Вводные'!$B$234="Да",'19_Расчет_аналитики'!L3652*'01_Вводные'!$B$75,0)</f>
        <v/>
      </c>
      <c r="M3654">
        <f>IF('01_Вводные'!$B$234="Да",'19_Расчет_аналитики'!M3652*'01_Вводные'!$B$75,0)</f>
        <v/>
      </c>
      <c r="N3654">
        <f>IF('01_Вводные'!$B$234="Да",'19_Расчет_аналитики'!N3652*'01_Вводные'!$B$75,0)</f>
        <v/>
      </c>
      <c r="O3654">
        <f>IF('01_Вводные'!$B$234="Да",'19_Расчет_аналитики'!O3652*'01_Вводные'!$B$75,0)</f>
        <v/>
      </c>
      <c r="P3654">
        <f>IF('01_Вводные'!$B$234="Да",'19_Расчет_аналитики'!P3652*'01_Вводные'!$B$75,0)</f>
        <v/>
      </c>
      <c r="Q3654">
        <f>IF('01_Вводные'!$B$234="Да",'19_Расчет_аналитики'!Q3652*'01_Вводные'!$B$75,0)</f>
        <v/>
      </c>
      <c r="R3654">
        <f>IF('01_Вводные'!$B$234="Да",'19_Расчет_аналитики'!R3652*'01_Вводные'!$B$75,0)</f>
        <v/>
      </c>
      <c r="S3654">
        <f>IF('01_Вводные'!$B$234="Да",'19_Расчет_аналитики'!S3652*'01_Вводные'!$B$75,0)</f>
        <v/>
      </c>
      <c r="T3654">
        <f>IF('01_Вводные'!$B$234="Да",'19_Расчет_аналитики'!T3652*'01_Вводные'!$B$75,0)</f>
        <v/>
      </c>
      <c r="U3654">
        <f>IF('01_Вводные'!$B$234="Да",'19_Расчет_аналитики'!U3652*'01_Вводные'!$B$75,0)</f>
        <v/>
      </c>
      <c r="V3654">
        <f>IF('01_Вводные'!$B$234="Да",'19_Расчет_аналитики'!V3652*'01_Вводные'!$B$75,0)</f>
        <v/>
      </c>
      <c r="W3654">
        <f>IF('01_Вводные'!$B$234="Да",'19_Расчет_аналитики'!W3652*'01_Вводные'!$B$75,0)</f>
        <v/>
      </c>
      <c r="X3654">
        <f>IF('01_Вводные'!$B$234="Да",'19_Расчет_аналитики'!X3652*'01_Вводные'!$B$75,0)</f>
        <v/>
      </c>
      <c r="Y3654">
        <f>IF('01_Вводные'!$B$234="Да",'19_Расчет_аналитики'!Y3652*'01_Вводные'!$B$75,0)</f>
        <v/>
      </c>
      <c r="Z3654">
        <f>IF('01_Вводные'!$B$234="Да",'19_Расчет_аналитики'!Z3652*'01_Вводные'!$B$75,0)</f>
        <v/>
      </c>
      <c r="AA3654">
        <f>IF('01_Вводные'!$B$234="Да",'19_Расчет_аналитики'!AA3652*'01_Вводные'!$B$75,0)</f>
        <v/>
      </c>
      <c r="AB3654">
        <f>IF('01_Вводные'!$B$234="Да",'19_Расчет_аналитики'!AB3652*'01_Вводные'!$B$75,0)</f>
        <v/>
      </c>
      <c r="AC3654">
        <f>IF('01_Вводные'!$B$234="Да",'19_Расчет_аналитики'!AC3652*'01_Вводные'!$B$75,0)</f>
        <v/>
      </c>
      <c r="AD3654">
        <f>IF('01_Вводные'!$B$234="Да",'19_Расчет_аналитики'!AD3652*'01_Вводные'!$B$75,0)</f>
        <v/>
      </c>
      <c r="AE3654">
        <f>IF('01_Вводные'!$B$234="Да",'19_Расчет_аналитики'!AE3652*'01_Вводные'!$B$75,0)</f>
        <v/>
      </c>
      <c r="AF3654">
        <f>IF('01_Вводные'!$B$234="Да",'19_Расчет_аналитики'!AF3652*'01_Вводные'!$B$75,0)</f>
        <v/>
      </c>
      <c r="AG3654">
        <f>IF('01_Вводные'!$B$234="Да",'19_Расчет_аналитики'!AG3652*'01_Вводные'!$B$75,0)</f>
        <v/>
      </c>
      <c r="AH3654">
        <f>IF('01_Вводные'!$B$234="Да",'19_Расчет_аналитики'!AH3652*'01_Вводные'!$B$75,0)</f>
        <v/>
      </c>
      <c r="AI3654">
        <f>IF('01_Вводные'!$B$234="Да",'19_Расчет_аналитики'!AI3652*'01_Вводные'!$B$75,0)</f>
        <v/>
      </c>
      <c r="AJ3654">
        <f>IF('01_Вводные'!$B$234="Да",'19_Расчет_аналитики'!AJ3652*'01_Вводные'!$B$75,0)</f>
        <v/>
      </c>
      <c r="AK3654">
        <f>IF('01_Вводные'!$B$234="Да",'19_Расчет_аналитики'!AK3652*'01_Вводные'!$B$75,0)</f>
        <v/>
      </c>
      <c r="AL3654">
        <f>IF('01_Вводные'!$B$234="Да",'19_Расчет_аналитики'!AL3652*'01_Вводные'!$B$75,0)</f>
        <v/>
      </c>
      <c r="AM3654">
        <f>IF('01_Вводные'!$B$234="Да",'19_Расчет_аналитики'!AM3652*'01_Вводные'!$B$75,0)</f>
        <v/>
      </c>
      <c r="AN3654">
        <f>IF('01_Вводные'!$B$234="Да",'19_Расчет_аналитики'!AN3652*'01_Вводные'!$B$75,0)</f>
        <v/>
      </c>
      <c r="AO3654">
        <f>IF('01_Вводные'!$B$234="Да",'19_Расчет_аналитики'!AO3652*'01_Вводные'!$B$75,0)</f>
        <v/>
      </c>
      <c r="AP3654">
        <f>IF('01_Вводные'!$B$234="Да",'19_Расчет_аналитики'!AP3652*'01_Вводные'!$B$75,0)</f>
        <v/>
      </c>
      <c r="AQ3654">
        <f>IF('01_Вводные'!$B$234="Да",'19_Расчет_аналитики'!AQ3652*'01_Вводные'!$B$75,0)</f>
        <v/>
      </c>
      <c r="AR3654">
        <f>IF('01_Вводные'!$B$234="Да",'19_Расчет_аналитики'!AR3652*'01_Вводные'!$B$75,0)</f>
        <v/>
      </c>
      <c r="AS3654">
        <f>IF('01_Вводные'!$B$234="Да",'19_Расчет_аналитики'!AS3652*'01_Вводные'!$B$75,0)</f>
        <v/>
      </c>
      <c r="AT3654">
        <f>IF('01_Вводные'!$B$234="Да",'19_Расчет_аналитики'!AT3652*'01_Вводные'!$B$75,0)</f>
        <v/>
      </c>
      <c r="AU3654">
        <f>IF('01_Вводные'!$B$234="Да",'19_Расчет_аналитики'!AU3652*'01_Вводные'!$B$75,0)</f>
        <v/>
      </c>
      <c r="AV3654">
        <f>IF('01_Вводные'!$B$234="Да",'19_Расчет_аналитики'!AV3652*'01_Вводные'!$B$75,0)</f>
        <v/>
      </c>
      <c r="AW3654">
        <f>IF('01_Вводные'!$B$234="Да",'19_Расчет_аналитики'!AW3652*'01_Вводные'!$B$75,0)</f>
        <v/>
      </c>
      <c r="AX3654">
        <f>IF('01_Вводные'!$B$234="Да",'19_Расчет_аналитики'!AX3652*'01_Вводные'!$B$75,0)</f>
        <v/>
      </c>
      <c r="AY3654">
        <f>IF('01_Вводные'!$B$234="Да",'19_Расчет_аналитики'!AY3652*'01_Вводные'!$B$75,0)</f>
        <v/>
      </c>
      <c r="AZ3654">
        <f>IF('01_Вводные'!$B$234="Да",'19_Расчет_аналитики'!AZ3652*'01_Вводные'!$B$75,0)</f>
        <v/>
      </c>
      <c r="BA3654">
        <f>IF('01_Вводные'!$B$234="Да",'19_Расчет_аналитики'!BA3652*'01_Вводные'!$B$75,0)</f>
        <v/>
      </c>
      <c r="BB3654">
        <f>IF('01_Вводные'!$B$234="Да",'19_Расчет_аналитики'!BB3652*'01_Вводные'!$B$75,0)</f>
        <v/>
      </c>
      <c r="BC3654">
        <f>IF('01_Вводные'!$B$234="Да",'19_Расчет_аналитики'!BC3652*'01_Вводные'!$B$75,0)</f>
        <v/>
      </c>
      <c r="BD3654">
        <f>IF('01_Вводные'!$B$234="Да",'19_Расчет_аналитики'!BD3652*'01_Вводные'!$B$75,0)</f>
        <v/>
      </c>
      <c r="BE3654">
        <f>IF('01_Вводные'!$B$234="Да",'19_Расчет_аналитики'!BE3652*'01_Вводные'!$B$75,0)</f>
        <v/>
      </c>
      <c r="BF3654">
        <f>IF('01_Вводные'!$B$234="Да",'19_Расчет_аналитики'!BF3652*'01_Вводные'!$B$75,0)</f>
        <v/>
      </c>
      <c r="BG3654">
        <f>IF('01_Вводные'!$B$234="Да",'19_Расчет_аналитики'!BG3652*'01_Вводные'!$B$75,0)</f>
        <v/>
      </c>
      <c r="BH3654">
        <f>IF('01_Вводные'!$B$234="Да",'19_Расчет_аналитики'!BH3652*'01_Вводные'!$B$75,0)</f>
        <v/>
      </c>
      <c r="BI3654">
        <f>IF('01_Вводные'!$B$234="Да",'19_Расчет_аналитики'!BI3652*'01_Вводные'!$B$75,0)</f>
        <v/>
      </c>
      <c r="BJ3654">
        <f>IF('01_Вводные'!$B$234="Да",'19_Расчет_аналитики'!BJ3652*'01_Вводные'!$B$75,0)</f>
        <v/>
      </c>
      <c r="BK3654">
        <f>IF('01_Вводные'!$B$234="Да",'19_Расчет_аналитики'!BK3652*'01_Вводные'!$B$75,0)</f>
        <v/>
      </c>
      <c r="BL3654">
        <f>IF('01_Вводные'!$B$234="Да",'19_Расчет_аналитики'!BL3652*'01_Вводные'!$B$75,0)</f>
        <v/>
      </c>
      <c r="BM3654">
        <f>IF('01_Вводные'!$B$234="Да",'19_Расчет_аналитики'!BM3652*'01_Вводные'!$B$75,0)</f>
        <v/>
      </c>
      <c r="BN3654">
        <f>IF('01_Вводные'!$B$234="Да",'19_Расчет_аналитики'!BN3652*'01_Вводные'!$B$75,0)</f>
        <v/>
      </c>
      <c r="BO3654">
        <f>IF('01_Вводные'!$B$234="Да",'19_Расчет_аналитики'!BO3652*'01_Вводные'!$B$75,0)</f>
        <v/>
      </c>
    </row>
    <row r="3655">
      <c r="B3655">
        <f>IF('01_Вводные'!$B$234="Да",MAX(0,'19_Расчет_аналитики'!B3652-'19_Расчет_аналитики'!B3653-'19_Расчет_аналитики'!B3654),0)</f>
        <v/>
      </c>
      <c r="C3655">
        <f>IF('01_Вводные'!$B$234="Да",MAX(0,'19_Расчет_аналитики'!C3652-'19_Расчет_аналитики'!C3653-'19_Расчет_аналитики'!C3654),0)</f>
        <v/>
      </c>
      <c r="D3655">
        <f>IF('01_Вводные'!$B$234="Да",MAX(0,'19_Расчет_аналитики'!D3652-'19_Расчет_аналитики'!D3653-'19_Расчет_аналитики'!D3654),0)</f>
        <v/>
      </c>
      <c r="E3655">
        <f>IF('01_Вводные'!$B$234="Да",MAX(0,'19_Расчет_аналитики'!E3652-'19_Расчет_аналитики'!E3653-'19_Расчет_аналитики'!E3654),0)</f>
        <v/>
      </c>
      <c r="F3655">
        <f>IF('01_Вводные'!$B$234="Да",MAX(0,'19_Расчет_аналитики'!F3652-'19_Расчет_аналитики'!F3653-'19_Расчет_аналитики'!F3654),0)</f>
        <v/>
      </c>
      <c r="G3655">
        <f>IF('01_Вводные'!$B$234="Да",MAX(0,'19_Расчет_аналитики'!G3652-'19_Расчет_аналитики'!G3653-'19_Расчет_аналитики'!G3654),0)</f>
        <v/>
      </c>
      <c r="H3655">
        <f>IF('01_Вводные'!$B$234="Да",MAX(0,'19_Расчет_аналитики'!H3652-'19_Расчет_аналитики'!H3653-'19_Расчет_аналитики'!H3654),0)</f>
        <v/>
      </c>
      <c r="I3655">
        <f>IF('01_Вводные'!$B$234="Да",MAX(0,'19_Расчет_аналитики'!I3652-'19_Расчет_аналитики'!I3653-'19_Расчет_аналитики'!I3654),0)</f>
        <v/>
      </c>
      <c r="J3655">
        <f>IF('01_Вводные'!$B$234="Да",MAX(0,'19_Расчет_аналитики'!J3652-'19_Расчет_аналитики'!J3653-'19_Расчет_аналитики'!J3654),0)</f>
        <v/>
      </c>
      <c r="K3655">
        <f>IF('01_Вводные'!$B$234="Да",MAX(0,'19_Расчет_аналитики'!K3652-'19_Расчет_аналитики'!K3653-'19_Расчет_аналитики'!K3654),0)</f>
        <v/>
      </c>
      <c r="L3655">
        <f>IF('01_Вводные'!$B$234="Да",MAX(0,'19_Расчет_аналитики'!L3652-'19_Расчет_аналитики'!L3653-'19_Расчет_аналитики'!L3654),0)</f>
        <v/>
      </c>
      <c r="M3655">
        <f>IF('01_Вводные'!$B$234="Да",MAX(0,'19_Расчет_аналитики'!M3652-'19_Расчет_аналитики'!M3653-'19_Расчет_аналитики'!M3654),0)</f>
        <v/>
      </c>
      <c r="N3655">
        <f>IF('01_Вводные'!$B$234="Да",MAX(0,'19_Расчет_аналитики'!N3652-'19_Расчет_аналитики'!N3653-'19_Расчет_аналитики'!N3654),0)</f>
        <v/>
      </c>
      <c r="O3655">
        <f>IF('01_Вводные'!$B$234="Да",MAX(0,'19_Расчет_аналитики'!O3652-'19_Расчет_аналитики'!O3653-'19_Расчет_аналитики'!O3654),0)</f>
        <v/>
      </c>
      <c r="P3655">
        <f>IF('01_Вводные'!$B$234="Да",MAX(0,'19_Расчет_аналитики'!P3652-'19_Расчет_аналитики'!P3653-'19_Расчет_аналитики'!P3654),0)</f>
        <v/>
      </c>
      <c r="Q3655">
        <f>IF('01_Вводные'!$B$234="Да",MAX(0,'19_Расчет_аналитики'!Q3652-'19_Расчет_аналитики'!Q3653-'19_Расчет_аналитики'!Q3654),0)</f>
        <v/>
      </c>
      <c r="R3655">
        <f>IF('01_Вводные'!$B$234="Да",MAX(0,'19_Расчет_аналитики'!R3652-'19_Расчет_аналитики'!R3653-'19_Расчет_аналитики'!R3654),0)</f>
        <v/>
      </c>
      <c r="S3655">
        <f>IF('01_Вводные'!$B$234="Да",MAX(0,'19_Расчет_аналитики'!S3652-'19_Расчет_аналитики'!S3653-'19_Расчет_аналитики'!S3654),0)</f>
        <v/>
      </c>
      <c r="T3655">
        <f>IF('01_Вводные'!$B$234="Да",MAX(0,'19_Расчет_аналитики'!T3652-'19_Расчет_аналитики'!T3653-'19_Расчет_аналитики'!T3654),0)</f>
        <v/>
      </c>
      <c r="U3655">
        <f>IF('01_Вводные'!$B$234="Да",MAX(0,'19_Расчет_аналитики'!U3652-'19_Расчет_аналитики'!U3653-'19_Расчет_аналитики'!U3654),0)</f>
        <v/>
      </c>
      <c r="V3655">
        <f>IF('01_Вводные'!$B$234="Да",MAX(0,'19_Расчет_аналитики'!V3652-'19_Расчет_аналитики'!V3653-'19_Расчет_аналитики'!V3654),0)</f>
        <v/>
      </c>
      <c r="W3655">
        <f>IF('01_Вводные'!$B$234="Да",MAX(0,'19_Расчет_аналитики'!W3652-'19_Расчет_аналитики'!W3653-'19_Расчет_аналитики'!W3654),0)</f>
        <v/>
      </c>
      <c r="X3655">
        <f>IF('01_Вводные'!$B$234="Да",MAX(0,'19_Расчет_аналитики'!X3652-'19_Расчет_аналитики'!X3653-'19_Расчет_аналитики'!X3654),0)</f>
        <v/>
      </c>
      <c r="Y3655">
        <f>IF('01_Вводные'!$B$234="Да",MAX(0,'19_Расчет_аналитики'!Y3652-'19_Расчет_аналитики'!Y3653-'19_Расчет_аналитики'!Y3654),0)</f>
        <v/>
      </c>
      <c r="Z3655">
        <f>IF('01_Вводные'!$B$234="Да",MAX(0,'19_Расчет_аналитики'!Z3652-'19_Расчет_аналитики'!Z3653-'19_Расчет_аналитики'!Z3654),0)</f>
        <v/>
      </c>
      <c r="AA3655">
        <f>IF('01_Вводные'!$B$234="Да",MAX(0,'19_Расчет_аналитики'!AA3652-'19_Расчет_аналитики'!AA3653-'19_Расчет_аналитики'!AA3654),0)</f>
        <v/>
      </c>
      <c r="AB3655">
        <f>IF('01_Вводные'!$B$234="Да",MAX(0,'19_Расчет_аналитики'!AB3652-'19_Расчет_аналитики'!AB3653-'19_Расчет_аналитики'!AB3654),0)</f>
        <v/>
      </c>
      <c r="AC3655">
        <f>IF('01_Вводные'!$B$234="Да",MAX(0,'19_Расчет_аналитики'!AC3652-'19_Расчет_аналитики'!AC3653-'19_Расчет_аналитики'!AC3654),0)</f>
        <v/>
      </c>
      <c r="AD3655">
        <f>IF('01_Вводные'!$B$234="Да",MAX(0,'19_Расчет_аналитики'!AD3652-'19_Расчет_аналитики'!AD3653-'19_Расчет_аналитики'!AD3654),0)</f>
        <v/>
      </c>
      <c r="AE3655">
        <f>IF('01_Вводные'!$B$234="Да",MAX(0,'19_Расчет_аналитики'!AE3652-'19_Расчет_аналитики'!AE3653-'19_Расчет_аналитики'!AE3654),0)</f>
        <v/>
      </c>
      <c r="AF3655">
        <f>IF('01_Вводные'!$B$234="Да",MAX(0,'19_Расчет_аналитики'!AF3652-'19_Расчет_аналитики'!AF3653-'19_Расчет_аналитики'!AF3654),0)</f>
        <v/>
      </c>
      <c r="AG3655">
        <f>IF('01_Вводные'!$B$234="Да",MAX(0,'19_Расчет_аналитики'!AG3652-'19_Расчет_аналитики'!AG3653-'19_Расчет_аналитики'!AG3654),0)</f>
        <v/>
      </c>
      <c r="AH3655">
        <f>IF('01_Вводные'!$B$234="Да",MAX(0,'19_Расчет_аналитики'!AH3652-'19_Расчет_аналитики'!AH3653-'19_Расчет_аналитики'!AH3654),0)</f>
        <v/>
      </c>
      <c r="AI3655">
        <f>IF('01_Вводные'!$B$234="Да",MAX(0,'19_Расчет_аналитики'!AI3652-'19_Расчет_аналитики'!AI3653-'19_Расчет_аналитики'!AI3654),0)</f>
        <v/>
      </c>
      <c r="AJ3655">
        <f>IF('01_Вводные'!$B$234="Да",MAX(0,'19_Расчет_аналитики'!AJ3652-'19_Расчет_аналитики'!AJ3653-'19_Расчет_аналитики'!AJ3654),0)</f>
        <v/>
      </c>
      <c r="AK3655">
        <f>IF('01_Вводные'!$B$234="Да",MAX(0,'19_Расчет_аналитики'!AK3652-'19_Расчет_аналитики'!AK3653-'19_Расчет_аналитики'!AK3654),0)</f>
        <v/>
      </c>
      <c r="AL3655">
        <f>IF('01_Вводные'!$B$234="Да",MAX(0,'19_Расчет_аналитики'!AL3652-'19_Расчет_аналитики'!AL3653-'19_Расчет_аналитики'!AL3654),0)</f>
        <v/>
      </c>
      <c r="AM3655">
        <f>IF('01_Вводные'!$B$234="Да",MAX(0,'19_Расчет_аналитики'!AM3652-'19_Расчет_аналитики'!AM3653-'19_Расчет_аналитики'!AM3654),0)</f>
        <v/>
      </c>
      <c r="AN3655">
        <f>IF('01_Вводные'!$B$234="Да",MAX(0,'19_Расчет_аналитики'!AN3652-'19_Расчет_аналитики'!AN3653-'19_Расчет_аналитики'!AN3654),0)</f>
        <v/>
      </c>
      <c r="AO3655">
        <f>IF('01_Вводные'!$B$234="Да",MAX(0,'19_Расчет_аналитики'!AO3652-'19_Расчет_аналитики'!AO3653-'19_Расчет_аналитики'!AO3654),0)</f>
        <v/>
      </c>
      <c r="AP3655">
        <f>IF('01_Вводные'!$B$234="Да",MAX(0,'19_Расчет_аналитики'!AP3652-'19_Расчет_аналитики'!AP3653-'19_Расчет_аналитики'!AP3654),0)</f>
        <v/>
      </c>
      <c r="AQ3655">
        <f>IF('01_Вводные'!$B$234="Да",MAX(0,'19_Расчет_аналитики'!AQ3652-'19_Расчет_аналитики'!AQ3653-'19_Расчет_аналитики'!AQ3654),0)</f>
        <v/>
      </c>
      <c r="AR3655">
        <f>IF('01_Вводные'!$B$234="Да",MAX(0,'19_Расчет_аналитики'!AR3652-'19_Расчет_аналитики'!AR3653-'19_Расчет_аналитики'!AR3654),0)</f>
        <v/>
      </c>
      <c r="AS3655">
        <f>IF('01_Вводные'!$B$234="Да",MAX(0,'19_Расчет_аналитики'!AS3652-'19_Расчет_аналитики'!AS3653-'19_Расчет_аналитики'!AS3654),0)</f>
        <v/>
      </c>
      <c r="AT3655">
        <f>IF('01_Вводные'!$B$234="Да",MAX(0,'19_Расчет_аналитики'!AT3652-'19_Расчет_аналитики'!AT3653-'19_Расчет_аналитики'!AT3654),0)</f>
        <v/>
      </c>
      <c r="AU3655">
        <f>IF('01_Вводные'!$B$234="Да",MAX(0,'19_Расчет_аналитики'!AU3652-'19_Расчет_аналитики'!AU3653-'19_Расчет_аналитики'!AU3654),0)</f>
        <v/>
      </c>
      <c r="AV3655">
        <f>IF('01_Вводные'!$B$234="Да",MAX(0,'19_Расчет_аналитики'!AV3652-'19_Расчет_аналитики'!AV3653-'19_Расчет_аналитики'!AV3654),0)</f>
        <v/>
      </c>
      <c r="AW3655">
        <f>IF('01_Вводные'!$B$234="Да",MAX(0,'19_Расчет_аналитики'!AW3652-'19_Расчет_аналитики'!AW3653-'19_Расчет_аналитики'!AW3654),0)</f>
        <v/>
      </c>
      <c r="AX3655">
        <f>IF('01_Вводные'!$B$234="Да",MAX(0,'19_Расчет_аналитики'!AX3652-'19_Расчет_аналитики'!AX3653-'19_Расчет_аналитики'!AX3654),0)</f>
        <v/>
      </c>
      <c r="AY3655">
        <f>IF('01_Вводные'!$B$234="Да",MAX(0,'19_Расчет_аналитики'!AY3652-'19_Расчет_аналитики'!AY3653-'19_Расчет_аналитики'!AY3654),0)</f>
        <v/>
      </c>
      <c r="AZ3655">
        <f>IF('01_Вводные'!$B$234="Да",MAX(0,'19_Расчет_аналитики'!AZ3652-'19_Расчет_аналитики'!AZ3653-'19_Расчет_аналитики'!AZ3654),0)</f>
        <v/>
      </c>
      <c r="BA3655">
        <f>IF('01_Вводные'!$B$234="Да",MAX(0,'19_Расчет_аналитики'!BA3652-'19_Расчет_аналитики'!BA3653-'19_Расчет_аналитики'!BA3654),0)</f>
        <v/>
      </c>
      <c r="BB3655">
        <f>IF('01_Вводные'!$B$234="Да",MAX(0,'19_Расчет_аналитики'!BB3652-'19_Расчет_аналитики'!BB3653-'19_Расчет_аналитики'!BB3654),0)</f>
        <v/>
      </c>
      <c r="BC3655">
        <f>IF('01_Вводные'!$B$234="Да",MAX(0,'19_Расчет_аналитики'!BC3652-'19_Расчет_аналитики'!BC3653-'19_Расчет_аналитики'!BC3654),0)</f>
        <v/>
      </c>
      <c r="BD3655">
        <f>IF('01_Вводные'!$B$234="Да",MAX(0,'19_Расчет_аналитики'!BD3652-'19_Расчет_аналитики'!BD3653-'19_Расчет_аналитики'!BD3654),0)</f>
        <v/>
      </c>
      <c r="BE3655">
        <f>IF('01_Вводные'!$B$234="Да",MAX(0,'19_Расчет_аналитики'!BE3652-'19_Расчет_аналитики'!BE3653-'19_Расчет_аналитики'!BE3654),0)</f>
        <v/>
      </c>
      <c r="BF3655">
        <f>IF('01_Вводные'!$B$234="Да",MAX(0,'19_Расчет_аналитики'!BF3652-'19_Расчет_аналитики'!BF3653-'19_Расчет_аналитики'!BF3654),0)</f>
        <v/>
      </c>
      <c r="BG3655">
        <f>IF('01_Вводные'!$B$234="Да",MAX(0,'19_Расчет_аналитики'!BG3652-'19_Расчет_аналитики'!BG3653-'19_Расчет_аналитики'!BG3654),0)</f>
        <v/>
      </c>
      <c r="BH3655">
        <f>IF('01_Вводные'!$B$234="Да",MAX(0,'19_Расчет_аналитики'!BH3652-'19_Расчет_аналитики'!BH3653-'19_Расчет_аналитики'!BH3654),0)</f>
        <v/>
      </c>
      <c r="BI3655">
        <f>IF('01_Вводные'!$B$234="Да",MAX(0,'19_Расчет_аналитики'!BI3652-'19_Расчет_аналитики'!BI3653-'19_Расчет_аналитики'!BI3654),0)</f>
        <v/>
      </c>
      <c r="BJ3655">
        <f>IF('01_Вводные'!$B$234="Да",MAX(0,'19_Расчет_аналитики'!BJ3652-'19_Расчет_аналитики'!BJ3653-'19_Расчет_аналитики'!BJ3654),0)</f>
        <v/>
      </c>
      <c r="BK3655">
        <f>IF('01_Вводные'!$B$234="Да",MAX(0,'19_Расчет_аналитики'!BK3652-'19_Расчет_аналитики'!BK3653-'19_Расчет_аналитики'!BK3654),0)</f>
        <v/>
      </c>
      <c r="BL3655">
        <f>IF('01_Вводные'!$B$234="Да",MAX(0,'19_Расчет_аналитики'!BL3652-'19_Расчет_аналитики'!BL3653-'19_Расчет_аналитики'!BL3654),0)</f>
        <v/>
      </c>
      <c r="BM3655">
        <f>IF('01_Вводные'!$B$234="Да",MAX(0,'19_Расчет_аналитики'!BM3652-'19_Расчет_аналитики'!BM3653-'19_Расчет_аналитики'!BM3654),0)</f>
        <v/>
      </c>
      <c r="BN3655">
        <f>IF('01_Вводные'!$B$234="Да",MAX(0,'19_Расчет_аналитики'!BN3652-'19_Расчет_аналитики'!BN3653-'19_Расчет_аналитики'!BN3654),0)</f>
        <v/>
      </c>
      <c r="BO3655">
        <f>IF('01_Вводные'!$B$234="Да",MAX(0,'19_Расчет_аналитики'!BO3652-'19_Расчет_аналитики'!BO3653-'19_Расчет_аналитики'!BO3654),0)</f>
        <v/>
      </c>
    </row>
    <row r="3656">
      <c r="B3656">
        <f>IF('01_Вводные'!$B$234="Да",'19_Расчет_аналитики'!B3655*'01_Вводные'!$B$76,0)</f>
        <v/>
      </c>
      <c r="C3656">
        <f>IF('01_Вводные'!$B$234="Да",'19_Расчет_аналитики'!C3655*'01_Вводные'!$B$76,0)</f>
        <v/>
      </c>
      <c r="D3656">
        <f>IF('01_Вводные'!$B$234="Да",'19_Расчет_аналитики'!D3655*'01_Вводные'!$B$76,0)</f>
        <v/>
      </c>
      <c r="E3656">
        <f>IF('01_Вводные'!$B$234="Да",'19_Расчет_аналитики'!E3655*'01_Вводные'!$B$76,0)</f>
        <v/>
      </c>
      <c r="F3656">
        <f>IF('01_Вводные'!$B$234="Да",'19_Расчет_аналитики'!F3655*'01_Вводные'!$B$76,0)</f>
        <v/>
      </c>
      <c r="G3656">
        <f>IF('01_Вводные'!$B$234="Да",'19_Расчет_аналитики'!G3655*'01_Вводные'!$B$76,0)</f>
        <v/>
      </c>
      <c r="H3656">
        <f>IF('01_Вводные'!$B$234="Да",'19_Расчет_аналитики'!H3655*'01_Вводные'!$B$76,0)</f>
        <v/>
      </c>
      <c r="I3656">
        <f>IF('01_Вводные'!$B$234="Да",'19_Расчет_аналитики'!I3655*'01_Вводные'!$B$76,0)</f>
        <v/>
      </c>
      <c r="J3656">
        <f>IF('01_Вводные'!$B$234="Да",'19_Расчет_аналитики'!J3655*'01_Вводные'!$B$76,0)</f>
        <v/>
      </c>
      <c r="K3656">
        <f>IF('01_Вводные'!$B$234="Да",'19_Расчет_аналитики'!K3655*'01_Вводные'!$B$76,0)</f>
        <v/>
      </c>
      <c r="L3656">
        <f>IF('01_Вводные'!$B$234="Да",'19_Расчет_аналитики'!L3655*'01_Вводные'!$B$76,0)</f>
        <v/>
      </c>
      <c r="M3656">
        <f>IF('01_Вводные'!$B$234="Да",'19_Расчет_аналитики'!M3655*'01_Вводные'!$B$76,0)</f>
        <v/>
      </c>
      <c r="N3656">
        <f>IF('01_Вводные'!$B$234="Да",'19_Расчет_аналитики'!N3655*'01_Вводные'!$B$76,0)</f>
        <v/>
      </c>
      <c r="O3656">
        <f>IF('01_Вводные'!$B$234="Да",'19_Расчет_аналитики'!O3655*'01_Вводные'!$B$76,0)</f>
        <v/>
      </c>
      <c r="P3656">
        <f>IF('01_Вводные'!$B$234="Да",'19_Расчет_аналитики'!P3655*'01_Вводные'!$B$76,0)</f>
        <v/>
      </c>
      <c r="Q3656">
        <f>IF('01_Вводные'!$B$234="Да",'19_Расчет_аналитики'!Q3655*'01_Вводные'!$B$76,0)</f>
        <v/>
      </c>
      <c r="R3656">
        <f>IF('01_Вводные'!$B$234="Да",'19_Расчет_аналитики'!R3655*'01_Вводные'!$B$76,0)</f>
        <v/>
      </c>
      <c r="S3656">
        <f>IF('01_Вводные'!$B$234="Да",'19_Расчет_аналитики'!S3655*'01_Вводные'!$B$76,0)</f>
        <v/>
      </c>
      <c r="T3656">
        <f>IF('01_Вводные'!$B$234="Да",'19_Расчет_аналитики'!T3655*'01_Вводные'!$B$76,0)</f>
        <v/>
      </c>
      <c r="U3656">
        <f>IF('01_Вводные'!$B$234="Да",'19_Расчет_аналитики'!U3655*'01_Вводные'!$B$76,0)</f>
        <v/>
      </c>
      <c r="V3656">
        <f>IF('01_Вводные'!$B$234="Да",'19_Расчет_аналитики'!V3655*'01_Вводные'!$B$76,0)</f>
        <v/>
      </c>
      <c r="W3656">
        <f>IF('01_Вводные'!$B$234="Да",'19_Расчет_аналитики'!W3655*'01_Вводные'!$B$76,0)</f>
        <v/>
      </c>
      <c r="X3656">
        <f>IF('01_Вводные'!$B$234="Да",'19_Расчет_аналитики'!X3655*'01_Вводные'!$B$76,0)</f>
        <v/>
      </c>
      <c r="Y3656">
        <f>IF('01_Вводные'!$B$234="Да",'19_Расчет_аналитики'!Y3655*'01_Вводные'!$B$76,0)</f>
        <v/>
      </c>
      <c r="Z3656">
        <f>IF('01_Вводные'!$B$234="Да",'19_Расчет_аналитики'!Z3655*'01_Вводные'!$B$76,0)</f>
        <v/>
      </c>
      <c r="AA3656">
        <f>IF('01_Вводные'!$B$234="Да",'19_Расчет_аналитики'!AA3655*'01_Вводные'!$B$76,0)</f>
        <v/>
      </c>
      <c r="AB3656">
        <f>IF('01_Вводные'!$B$234="Да",'19_Расчет_аналитики'!AB3655*'01_Вводные'!$B$76,0)</f>
        <v/>
      </c>
      <c r="AC3656">
        <f>IF('01_Вводные'!$B$234="Да",'19_Расчет_аналитики'!AC3655*'01_Вводные'!$B$76,0)</f>
        <v/>
      </c>
      <c r="AD3656">
        <f>IF('01_Вводные'!$B$234="Да",'19_Расчет_аналитики'!AD3655*'01_Вводные'!$B$76,0)</f>
        <v/>
      </c>
      <c r="AE3656">
        <f>IF('01_Вводные'!$B$234="Да",'19_Расчет_аналитики'!AE3655*'01_Вводные'!$B$76,0)</f>
        <v/>
      </c>
      <c r="AF3656">
        <f>IF('01_Вводные'!$B$234="Да",'19_Расчет_аналитики'!AF3655*'01_Вводные'!$B$76,0)</f>
        <v/>
      </c>
      <c r="AG3656">
        <f>IF('01_Вводные'!$B$234="Да",'19_Расчет_аналитики'!AG3655*'01_Вводные'!$B$76,0)</f>
        <v/>
      </c>
      <c r="AH3656">
        <f>IF('01_Вводные'!$B$234="Да",'19_Расчет_аналитики'!AH3655*'01_Вводные'!$B$76,0)</f>
        <v/>
      </c>
      <c r="AI3656">
        <f>IF('01_Вводные'!$B$234="Да",'19_Расчет_аналитики'!AI3655*'01_Вводные'!$B$76,0)</f>
        <v/>
      </c>
      <c r="AJ3656">
        <f>IF('01_Вводные'!$B$234="Да",'19_Расчет_аналитики'!AJ3655*'01_Вводные'!$B$76,0)</f>
        <v/>
      </c>
      <c r="AK3656">
        <f>IF('01_Вводные'!$B$234="Да",'19_Расчет_аналитики'!AK3655*'01_Вводные'!$B$76,0)</f>
        <v/>
      </c>
      <c r="AL3656">
        <f>IF('01_Вводные'!$B$234="Да",'19_Расчет_аналитики'!AL3655*'01_Вводные'!$B$76,0)</f>
        <v/>
      </c>
      <c r="AM3656">
        <f>IF('01_Вводные'!$B$234="Да",'19_Расчет_аналитики'!AM3655*'01_Вводные'!$B$76,0)</f>
        <v/>
      </c>
      <c r="AN3656">
        <f>IF('01_Вводные'!$B$234="Да",'19_Расчет_аналитики'!AN3655*'01_Вводные'!$B$76,0)</f>
        <v/>
      </c>
      <c r="AO3656">
        <f>IF('01_Вводные'!$B$234="Да",'19_Расчет_аналитики'!AO3655*'01_Вводные'!$B$76,0)</f>
        <v/>
      </c>
      <c r="AP3656">
        <f>IF('01_Вводные'!$B$234="Да",'19_Расчет_аналитики'!AP3655*'01_Вводные'!$B$76,0)</f>
        <v/>
      </c>
      <c r="AQ3656">
        <f>IF('01_Вводные'!$B$234="Да",'19_Расчет_аналитики'!AQ3655*'01_Вводные'!$B$76,0)</f>
        <v/>
      </c>
      <c r="AR3656">
        <f>IF('01_Вводные'!$B$234="Да",'19_Расчет_аналитики'!AR3655*'01_Вводные'!$B$76,0)</f>
        <v/>
      </c>
      <c r="AS3656">
        <f>IF('01_Вводные'!$B$234="Да",'19_Расчет_аналитики'!AS3655*'01_Вводные'!$B$76,0)</f>
        <v/>
      </c>
      <c r="AT3656">
        <f>IF('01_Вводные'!$B$234="Да",'19_Расчет_аналитики'!AT3655*'01_Вводные'!$B$76,0)</f>
        <v/>
      </c>
      <c r="AU3656">
        <f>IF('01_Вводные'!$B$234="Да",'19_Расчет_аналитики'!AU3655*'01_Вводные'!$B$76,0)</f>
        <v/>
      </c>
      <c r="AV3656">
        <f>IF('01_Вводные'!$B$234="Да",'19_Расчет_аналитики'!AV3655*'01_Вводные'!$B$76,0)</f>
        <v/>
      </c>
      <c r="AW3656">
        <f>IF('01_Вводные'!$B$234="Да",'19_Расчет_аналитики'!AW3655*'01_Вводные'!$B$76,0)</f>
        <v/>
      </c>
      <c r="AX3656">
        <f>IF('01_Вводные'!$B$234="Да",'19_Расчет_аналитики'!AX3655*'01_Вводные'!$B$76,0)</f>
        <v/>
      </c>
      <c r="AY3656">
        <f>IF('01_Вводные'!$B$234="Да",'19_Расчет_аналитики'!AY3655*'01_Вводные'!$B$76,0)</f>
        <v/>
      </c>
      <c r="AZ3656">
        <f>IF('01_Вводные'!$B$234="Да",'19_Расчет_аналитики'!AZ3655*'01_Вводные'!$B$76,0)</f>
        <v/>
      </c>
      <c r="BA3656">
        <f>IF('01_Вводные'!$B$234="Да",'19_Расчет_аналитики'!BA3655*'01_Вводные'!$B$76,0)</f>
        <v/>
      </c>
      <c r="BB3656">
        <f>IF('01_Вводные'!$B$234="Да",'19_Расчет_аналитики'!BB3655*'01_Вводные'!$B$76,0)</f>
        <v/>
      </c>
      <c r="BC3656">
        <f>IF('01_Вводные'!$B$234="Да",'19_Расчет_аналитики'!BC3655*'01_Вводные'!$B$76,0)</f>
        <v/>
      </c>
      <c r="BD3656">
        <f>IF('01_Вводные'!$B$234="Да",'19_Расчет_аналитики'!BD3655*'01_Вводные'!$B$76,0)</f>
        <v/>
      </c>
      <c r="BE3656">
        <f>IF('01_Вводные'!$B$234="Да",'19_Расчет_аналитики'!BE3655*'01_Вводные'!$B$76,0)</f>
        <v/>
      </c>
      <c r="BF3656">
        <f>IF('01_Вводные'!$B$234="Да",'19_Расчет_аналитики'!BF3655*'01_Вводные'!$B$76,0)</f>
        <v/>
      </c>
      <c r="BG3656">
        <f>IF('01_Вводные'!$B$234="Да",'19_Расчет_аналитики'!BG3655*'01_Вводные'!$B$76,0)</f>
        <v/>
      </c>
      <c r="BH3656">
        <f>IF('01_Вводные'!$B$234="Да",'19_Расчет_аналитики'!BH3655*'01_Вводные'!$B$76,0)</f>
        <v/>
      </c>
      <c r="BI3656">
        <f>IF('01_Вводные'!$B$234="Да",'19_Расчет_аналитики'!BI3655*'01_Вводные'!$B$76,0)</f>
        <v/>
      </c>
      <c r="BJ3656">
        <f>IF('01_Вводные'!$B$234="Да",'19_Расчет_аналитики'!BJ3655*'01_Вводные'!$B$76,0)</f>
        <v/>
      </c>
      <c r="BK3656">
        <f>IF('01_Вводные'!$B$234="Да",'19_Расчет_аналитики'!BK3655*'01_Вводные'!$B$76,0)</f>
        <v/>
      </c>
      <c r="BL3656">
        <f>IF('01_Вводные'!$B$234="Да",'19_Расчет_аналитики'!BL3655*'01_Вводные'!$B$76,0)</f>
        <v/>
      </c>
      <c r="BM3656">
        <f>IF('01_Вводные'!$B$234="Да",'19_Расчет_аналитики'!BM3655*'01_Вводные'!$B$76,0)</f>
        <v/>
      </c>
      <c r="BN3656">
        <f>IF('01_Вводные'!$B$234="Да",'19_Расчет_аналитики'!BN3655*'01_Вводные'!$B$76,0)</f>
        <v/>
      </c>
      <c r="BO3656">
        <f>IF('01_Вводные'!$B$234="Да",'19_Расчет_аналитики'!BO3655*'01_Вводные'!$B$76,0)</f>
        <v/>
      </c>
    </row>
    <row r="3657"/>
    <row r="3658"/>
    <row r="3659">
      <c r="C3659">
        <f>IF('01_Вводные'!$B$234="Да",'19_Расчет_аналитики'!B3663,0)</f>
        <v/>
      </c>
      <c r="D3659">
        <f>IF('01_Вводные'!$B$234="Да",'19_Расчет_аналитики'!C3663,0)</f>
        <v/>
      </c>
      <c r="E3659">
        <f>IF('01_Вводные'!$B$234="Да",'19_Расчет_аналитики'!D3663,0)</f>
        <v/>
      </c>
      <c r="F3659">
        <f>IF('01_Вводные'!$B$234="Да",'19_Расчет_аналитики'!E3663,0)</f>
        <v/>
      </c>
      <c r="G3659">
        <f>IF('01_Вводные'!$B$234="Да",'19_Расчет_аналитики'!F3663,0)</f>
        <v/>
      </c>
      <c r="H3659">
        <f>IF('01_Вводные'!$B$234="Да",'19_Расчет_аналитики'!G3663,0)</f>
        <v/>
      </c>
      <c r="I3659">
        <f>IF('01_Вводные'!$B$234="Да",'19_Расчет_аналитики'!H3663,0)</f>
        <v/>
      </c>
      <c r="J3659">
        <f>IF('01_Вводные'!$B$234="Да",'19_Расчет_аналитики'!I3663,0)</f>
        <v/>
      </c>
      <c r="K3659">
        <f>IF('01_Вводные'!$B$234="Да",'19_Расчет_аналитики'!J3663,0)</f>
        <v/>
      </c>
      <c r="L3659">
        <f>IF('01_Вводные'!$B$234="Да",'19_Расчет_аналитики'!K3663,0)</f>
        <v/>
      </c>
      <c r="M3659">
        <f>IF('01_Вводные'!$B$234="Да",'19_Расчет_аналитики'!L3663,0)</f>
        <v/>
      </c>
      <c r="N3659">
        <f>IF('01_Вводные'!$B$234="Да",'19_Расчет_аналитики'!M3663,0)</f>
        <v/>
      </c>
      <c r="O3659">
        <f>IF('01_Вводные'!$B$234="Да",'19_Расчет_аналитики'!N3663,0)</f>
        <v/>
      </c>
      <c r="P3659">
        <f>IF('01_Вводные'!$B$234="Да",'19_Расчет_аналитики'!O3663,0)</f>
        <v/>
      </c>
      <c r="Q3659">
        <f>IF('01_Вводные'!$B$234="Да",'19_Расчет_аналитики'!P3663,0)</f>
        <v/>
      </c>
      <c r="R3659">
        <f>IF('01_Вводные'!$B$234="Да",'19_Расчет_аналитики'!Q3663,0)</f>
        <v/>
      </c>
      <c r="S3659">
        <f>IF('01_Вводные'!$B$234="Да",'19_Расчет_аналитики'!R3663,0)</f>
        <v/>
      </c>
      <c r="T3659">
        <f>IF('01_Вводные'!$B$234="Да",'19_Расчет_аналитики'!S3663,0)</f>
        <v/>
      </c>
      <c r="U3659">
        <f>IF('01_Вводные'!$B$234="Да",'19_Расчет_аналитики'!T3663,0)</f>
        <v/>
      </c>
      <c r="V3659">
        <f>IF('01_Вводные'!$B$234="Да",'19_Расчет_аналитики'!U3663,0)</f>
        <v/>
      </c>
      <c r="W3659">
        <f>IF('01_Вводные'!$B$234="Да",'19_Расчет_аналитики'!V3663,0)</f>
        <v/>
      </c>
      <c r="X3659">
        <f>IF('01_Вводные'!$B$234="Да",'19_Расчет_аналитики'!W3663,0)</f>
        <v/>
      </c>
      <c r="Y3659">
        <f>IF('01_Вводные'!$B$234="Да",'19_Расчет_аналитики'!X3663,0)</f>
        <v/>
      </c>
      <c r="Z3659">
        <f>IF('01_Вводные'!$B$234="Да",'19_Расчет_аналитики'!Y3663,0)</f>
        <v/>
      </c>
      <c r="AA3659">
        <f>IF('01_Вводные'!$B$234="Да",'19_Расчет_аналитики'!Z3663,0)</f>
        <v/>
      </c>
      <c r="AB3659">
        <f>IF('01_Вводные'!$B$234="Да",'19_Расчет_аналитики'!AA3663,0)</f>
        <v/>
      </c>
      <c r="AC3659">
        <f>IF('01_Вводные'!$B$234="Да",'19_Расчет_аналитики'!AB3663,0)</f>
        <v/>
      </c>
      <c r="AD3659">
        <f>IF('01_Вводные'!$B$234="Да",'19_Расчет_аналитики'!AC3663,0)</f>
        <v/>
      </c>
      <c r="AE3659">
        <f>IF('01_Вводные'!$B$234="Да",'19_Расчет_аналитики'!AD3663,0)</f>
        <v/>
      </c>
      <c r="AF3659">
        <f>IF('01_Вводные'!$B$234="Да",'19_Расчет_аналитики'!AE3663,0)</f>
        <v/>
      </c>
      <c r="AG3659">
        <f>IF('01_Вводные'!$B$234="Да",'19_Расчет_аналитики'!AF3663,0)</f>
        <v/>
      </c>
      <c r="AH3659">
        <f>IF('01_Вводные'!$B$234="Да",'19_Расчет_аналитики'!AG3663,0)</f>
        <v/>
      </c>
      <c r="AI3659">
        <f>IF('01_Вводные'!$B$234="Да",'19_Расчет_аналитики'!AH3663,0)</f>
        <v/>
      </c>
      <c r="AJ3659">
        <f>IF('01_Вводные'!$B$234="Да",'19_Расчет_аналитики'!AI3663,0)</f>
        <v/>
      </c>
      <c r="AK3659">
        <f>IF('01_Вводные'!$B$234="Да",'19_Расчет_аналитики'!AJ3663,0)</f>
        <v/>
      </c>
      <c r="AL3659">
        <f>IF('01_Вводные'!$B$234="Да",'19_Расчет_аналитики'!AK3663,0)</f>
        <v/>
      </c>
      <c r="AM3659">
        <f>IF('01_Вводные'!$B$234="Да",'19_Расчет_аналитики'!AL3663,0)</f>
        <v/>
      </c>
      <c r="AN3659">
        <f>IF('01_Вводные'!$B$234="Да",'19_Расчет_аналитики'!AM3663,0)</f>
        <v/>
      </c>
      <c r="AO3659">
        <f>IF('01_Вводные'!$B$234="Да",'19_Расчет_аналитики'!AN3663,0)</f>
        <v/>
      </c>
      <c r="AP3659">
        <f>IF('01_Вводные'!$B$234="Да",'19_Расчет_аналитики'!AO3663,0)</f>
        <v/>
      </c>
      <c r="AQ3659">
        <f>IF('01_Вводные'!$B$234="Да",'19_Расчет_аналитики'!AP3663,0)</f>
        <v/>
      </c>
      <c r="AR3659">
        <f>IF('01_Вводные'!$B$234="Да",'19_Расчет_аналитики'!AQ3663,0)</f>
        <v/>
      </c>
      <c r="AS3659">
        <f>IF('01_Вводные'!$B$234="Да",'19_Расчет_аналитики'!AR3663,0)</f>
        <v/>
      </c>
      <c r="AT3659">
        <f>IF('01_Вводные'!$B$234="Да",'19_Расчет_аналитики'!AS3663,0)</f>
        <v/>
      </c>
      <c r="AU3659">
        <f>IF('01_Вводные'!$B$234="Да",'19_Расчет_аналитики'!AT3663,0)</f>
        <v/>
      </c>
      <c r="AV3659">
        <f>IF('01_Вводные'!$B$234="Да",'19_Расчет_аналитики'!AU3663,0)</f>
        <v/>
      </c>
      <c r="AW3659">
        <f>IF('01_Вводные'!$B$234="Да",'19_Расчет_аналитики'!AV3663,0)</f>
        <v/>
      </c>
      <c r="AX3659">
        <f>IF('01_Вводные'!$B$234="Да",'19_Расчет_аналитики'!AW3663,0)</f>
        <v/>
      </c>
      <c r="AY3659">
        <f>IF('01_Вводные'!$B$234="Да",'19_Расчет_аналитики'!AX3663,0)</f>
        <v/>
      </c>
      <c r="AZ3659">
        <f>IF('01_Вводные'!$B$234="Да",'19_Расчет_аналитики'!AY3663,0)</f>
        <v/>
      </c>
      <c r="BA3659">
        <f>IF('01_Вводные'!$B$234="Да",'19_Расчет_аналитики'!AZ3663,0)</f>
        <v/>
      </c>
      <c r="BB3659">
        <f>IF('01_Вводные'!$B$234="Да",'19_Расчет_аналитики'!BA3663,0)</f>
        <v/>
      </c>
      <c r="BC3659">
        <f>IF('01_Вводные'!$B$234="Да",'19_Расчет_аналитики'!BB3663,0)</f>
        <v/>
      </c>
      <c r="BD3659">
        <f>IF('01_Вводные'!$B$234="Да",'19_Расчет_аналитики'!BC3663,0)</f>
        <v/>
      </c>
      <c r="BE3659">
        <f>IF('01_Вводные'!$B$234="Да",'19_Расчет_аналитики'!BD3663,0)</f>
        <v/>
      </c>
      <c r="BF3659">
        <f>IF('01_Вводные'!$B$234="Да",'19_Расчет_аналитики'!BE3663,0)</f>
        <v/>
      </c>
      <c r="BG3659">
        <f>IF('01_Вводные'!$B$234="Да",'19_Расчет_аналитики'!BF3663,0)</f>
        <v/>
      </c>
      <c r="BH3659">
        <f>IF('01_Вводные'!$B$234="Да",'19_Расчет_аналитики'!BG3663,0)</f>
        <v/>
      </c>
      <c r="BI3659">
        <f>IF('01_Вводные'!$B$234="Да",'19_Расчет_аналитики'!BH3663,0)</f>
        <v/>
      </c>
      <c r="BJ3659">
        <f>IF('01_Вводные'!$B$234="Да",'19_Расчет_аналитики'!BI3663,0)</f>
        <v/>
      </c>
      <c r="BK3659">
        <f>IF('01_Вводные'!$B$234="Да",'19_Расчет_аналитики'!BJ3663,0)</f>
        <v/>
      </c>
      <c r="BL3659">
        <f>IF('01_Вводные'!$B$234="Да",'19_Расчет_аналитики'!BK3663,0)</f>
        <v/>
      </c>
      <c r="BM3659">
        <f>IF('01_Вводные'!$B$234="Да",'19_Расчет_аналитики'!BL3663,0)</f>
        <v/>
      </c>
      <c r="BN3659">
        <f>IF('01_Вводные'!$B$234="Да",'19_Расчет_аналитики'!BM3663,0)</f>
        <v/>
      </c>
      <c r="BO3659">
        <f>IF('01_Вводные'!$B$234="Да",'19_Расчет_аналитики'!BN3663,0)</f>
        <v/>
      </c>
    </row>
    <row r="3660">
      <c r="B3660">
        <f>IF('01_Вводные'!$B$234="Да",'19_Расчет_аналитики'!B3653,0)</f>
        <v/>
      </c>
      <c r="C3660">
        <f>IF('01_Вводные'!$B$234="Да",'19_Расчет_аналитики'!C3653,0)</f>
        <v/>
      </c>
      <c r="D3660">
        <f>IF('01_Вводные'!$B$234="Да",'19_Расчет_аналитики'!D3653,0)</f>
        <v/>
      </c>
      <c r="E3660">
        <f>IF('01_Вводные'!$B$234="Да",'19_Расчет_аналитики'!E3653,0)</f>
        <v/>
      </c>
      <c r="F3660">
        <f>IF('01_Вводные'!$B$234="Да",'19_Расчет_аналитики'!F3653,0)</f>
        <v/>
      </c>
      <c r="G3660">
        <f>IF('01_Вводные'!$B$234="Да",'19_Расчет_аналитики'!G3653,0)</f>
        <v/>
      </c>
      <c r="H3660">
        <f>IF('01_Вводные'!$B$234="Да",'19_Расчет_аналитики'!H3653,0)</f>
        <v/>
      </c>
      <c r="I3660">
        <f>IF('01_Вводные'!$B$234="Да",'19_Расчет_аналитики'!I3653,0)</f>
        <v/>
      </c>
      <c r="J3660">
        <f>IF('01_Вводные'!$B$234="Да",'19_Расчет_аналитики'!J3653,0)</f>
        <v/>
      </c>
      <c r="K3660">
        <f>IF('01_Вводные'!$B$234="Да",'19_Расчет_аналитики'!K3653,0)</f>
        <v/>
      </c>
      <c r="L3660">
        <f>IF('01_Вводные'!$B$234="Да",'19_Расчет_аналитики'!L3653,0)</f>
        <v/>
      </c>
      <c r="M3660">
        <f>IF('01_Вводные'!$B$234="Да",'19_Расчет_аналитики'!M3653,0)</f>
        <v/>
      </c>
      <c r="N3660">
        <f>IF('01_Вводные'!$B$234="Да",'19_Расчет_аналитики'!N3653,0)</f>
        <v/>
      </c>
      <c r="O3660">
        <f>IF('01_Вводные'!$B$234="Да",'19_Расчет_аналитики'!O3653,0)</f>
        <v/>
      </c>
      <c r="P3660">
        <f>IF('01_Вводные'!$B$234="Да",'19_Расчет_аналитики'!P3653,0)</f>
        <v/>
      </c>
      <c r="Q3660">
        <f>IF('01_Вводные'!$B$234="Да",'19_Расчет_аналитики'!Q3653,0)</f>
        <v/>
      </c>
      <c r="R3660">
        <f>IF('01_Вводные'!$B$234="Да",'19_Расчет_аналитики'!R3653,0)</f>
        <v/>
      </c>
      <c r="S3660">
        <f>IF('01_Вводные'!$B$234="Да",'19_Расчет_аналитики'!S3653,0)</f>
        <v/>
      </c>
      <c r="T3660">
        <f>IF('01_Вводные'!$B$234="Да",'19_Расчет_аналитики'!T3653,0)</f>
        <v/>
      </c>
      <c r="U3660">
        <f>IF('01_Вводные'!$B$234="Да",'19_Расчет_аналитики'!U3653,0)</f>
        <v/>
      </c>
      <c r="V3660">
        <f>IF('01_Вводные'!$B$234="Да",'19_Расчет_аналитики'!V3653,0)</f>
        <v/>
      </c>
      <c r="W3660">
        <f>IF('01_Вводные'!$B$234="Да",'19_Расчет_аналитики'!W3653,0)</f>
        <v/>
      </c>
      <c r="X3660">
        <f>IF('01_Вводные'!$B$234="Да",'19_Расчет_аналитики'!X3653,0)</f>
        <v/>
      </c>
      <c r="Y3660">
        <f>IF('01_Вводные'!$B$234="Да",'19_Расчет_аналитики'!Y3653,0)</f>
        <v/>
      </c>
      <c r="Z3660">
        <f>IF('01_Вводные'!$B$234="Да",'19_Расчет_аналитики'!Z3653,0)</f>
        <v/>
      </c>
      <c r="AA3660">
        <f>IF('01_Вводные'!$B$234="Да",'19_Расчет_аналитики'!AA3653,0)</f>
        <v/>
      </c>
      <c r="AB3660">
        <f>IF('01_Вводные'!$B$234="Да",'19_Расчет_аналитики'!AB3653,0)</f>
        <v/>
      </c>
      <c r="AC3660">
        <f>IF('01_Вводные'!$B$234="Да",'19_Расчет_аналитики'!AC3653,0)</f>
        <v/>
      </c>
      <c r="AD3660">
        <f>IF('01_Вводные'!$B$234="Да",'19_Расчет_аналитики'!AD3653,0)</f>
        <v/>
      </c>
      <c r="AE3660">
        <f>IF('01_Вводные'!$B$234="Да",'19_Расчет_аналитики'!AE3653,0)</f>
        <v/>
      </c>
      <c r="AF3660">
        <f>IF('01_Вводные'!$B$234="Да",'19_Расчет_аналитики'!AF3653,0)</f>
        <v/>
      </c>
      <c r="AG3660">
        <f>IF('01_Вводные'!$B$234="Да",'19_Расчет_аналитики'!AG3653,0)</f>
        <v/>
      </c>
      <c r="AH3660">
        <f>IF('01_Вводные'!$B$234="Да",'19_Расчет_аналитики'!AH3653,0)</f>
        <v/>
      </c>
      <c r="AI3660">
        <f>IF('01_Вводные'!$B$234="Да",'19_Расчет_аналитики'!AI3653,0)</f>
        <v/>
      </c>
      <c r="AJ3660">
        <f>IF('01_Вводные'!$B$234="Да",'19_Расчет_аналитики'!AJ3653,0)</f>
        <v/>
      </c>
      <c r="AK3660">
        <f>IF('01_Вводные'!$B$234="Да",'19_Расчет_аналитики'!AK3653,0)</f>
        <v/>
      </c>
      <c r="AL3660">
        <f>IF('01_Вводные'!$B$234="Да",'19_Расчет_аналитики'!AL3653,0)</f>
        <v/>
      </c>
      <c r="AM3660">
        <f>IF('01_Вводные'!$B$234="Да",'19_Расчет_аналитики'!AM3653,0)</f>
        <v/>
      </c>
      <c r="AN3660">
        <f>IF('01_Вводные'!$B$234="Да",'19_Расчет_аналитики'!AN3653,0)</f>
        <v/>
      </c>
      <c r="AO3660">
        <f>IF('01_Вводные'!$B$234="Да",'19_Расчет_аналитики'!AO3653,0)</f>
        <v/>
      </c>
      <c r="AP3660">
        <f>IF('01_Вводные'!$B$234="Да",'19_Расчет_аналитики'!AP3653,0)</f>
        <v/>
      </c>
      <c r="AQ3660">
        <f>IF('01_Вводные'!$B$234="Да",'19_Расчет_аналитики'!AQ3653,0)</f>
        <v/>
      </c>
      <c r="AR3660">
        <f>IF('01_Вводные'!$B$234="Да",'19_Расчет_аналитики'!AR3653,0)</f>
        <v/>
      </c>
      <c r="AS3660">
        <f>IF('01_Вводные'!$B$234="Да",'19_Расчет_аналитики'!AS3653,0)</f>
        <v/>
      </c>
      <c r="AT3660">
        <f>IF('01_Вводные'!$B$234="Да",'19_Расчет_аналитики'!AT3653,0)</f>
        <v/>
      </c>
      <c r="AU3660">
        <f>IF('01_Вводные'!$B$234="Да",'19_Расчет_аналитики'!AU3653,0)</f>
        <v/>
      </c>
      <c r="AV3660">
        <f>IF('01_Вводные'!$B$234="Да",'19_Расчет_аналитики'!AV3653,0)</f>
        <v/>
      </c>
      <c r="AW3660">
        <f>IF('01_Вводные'!$B$234="Да",'19_Расчет_аналитики'!AW3653,0)</f>
        <v/>
      </c>
      <c r="AX3660">
        <f>IF('01_Вводные'!$B$234="Да",'19_Расчет_аналитики'!AX3653,0)</f>
        <v/>
      </c>
      <c r="AY3660">
        <f>IF('01_Вводные'!$B$234="Да",'19_Расчет_аналитики'!AY3653,0)</f>
        <v/>
      </c>
      <c r="AZ3660">
        <f>IF('01_Вводные'!$B$234="Да",'19_Расчет_аналитики'!AZ3653,0)</f>
        <v/>
      </c>
      <c r="BA3660">
        <f>IF('01_Вводные'!$B$234="Да",'19_Расчет_аналитики'!BA3653,0)</f>
        <v/>
      </c>
      <c r="BB3660">
        <f>IF('01_Вводные'!$B$234="Да",'19_Расчет_аналитики'!BB3653,0)</f>
        <v/>
      </c>
      <c r="BC3660">
        <f>IF('01_Вводные'!$B$234="Да",'19_Расчет_аналитики'!BC3653,0)</f>
        <v/>
      </c>
      <c r="BD3660">
        <f>IF('01_Вводные'!$B$234="Да",'19_Расчет_аналитики'!BD3653,0)</f>
        <v/>
      </c>
      <c r="BE3660">
        <f>IF('01_Вводные'!$B$234="Да",'19_Расчет_аналитики'!BE3653,0)</f>
        <v/>
      </c>
      <c r="BF3660">
        <f>IF('01_Вводные'!$B$234="Да",'19_Расчет_аналитики'!BF3653,0)</f>
        <v/>
      </c>
      <c r="BG3660">
        <f>IF('01_Вводные'!$B$234="Да",'19_Расчет_аналитики'!BG3653,0)</f>
        <v/>
      </c>
      <c r="BH3660">
        <f>IF('01_Вводные'!$B$234="Да",'19_Расчет_аналитики'!BH3653,0)</f>
        <v/>
      </c>
      <c r="BI3660">
        <f>IF('01_Вводные'!$B$234="Да",'19_Расчет_аналитики'!BI3653,0)</f>
        <v/>
      </c>
      <c r="BJ3660">
        <f>IF('01_Вводные'!$B$234="Да",'19_Расчет_аналитики'!BJ3653,0)</f>
        <v/>
      </c>
      <c r="BK3660">
        <f>IF('01_Вводные'!$B$234="Да",'19_Расчет_аналитики'!BK3653,0)</f>
        <v/>
      </c>
      <c r="BL3660">
        <f>IF('01_Вводные'!$B$234="Да",'19_Расчет_аналитики'!BL3653,0)</f>
        <v/>
      </c>
      <c r="BM3660">
        <f>IF('01_Вводные'!$B$234="Да",'19_Расчет_аналитики'!BM3653,0)</f>
        <v/>
      </c>
      <c r="BN3660">
        <f>IF('01_Вводные'!$B$234="Да",'19_Расчет_аналитики'!BN3653,0)</f>
        <v/>
      </c>
      <c r="BO3660">
        <f>IF('01_Вводные'!$B$234="Да",'19_Расчет_аналитики'!BO3653,0)</f>
        <v/>
      </c>
    </row>
    <row r="3661">
      <c r="B3661">
        <f>IF('01_Вводные'!$B$234="Да",SUM(IF('01_Вводные'!$B$80&gt;=1,'19_Расчет_аналитики'!C3653,0),IF('01_Вводные'!$B$80&gt;=2,'19_Расчет_аналитики'!D3653,0),IF('01_Вводные'!$B$80&gt;=3,'19_Расчет_аналитики'!E3653,0),IF('01_Вводные'!$B$80&gt;=4,'19_Расчет_аналитики'!F3653,0),IF('01_Вводные'!$B$80&gt;=5,'19_Расчет_аналитики'!G3653,0),IF('01_Вводные'!$B$80&gt;=6,'19_Расчет_аналитики'!H3653,0)),0)</f>
        <v/>
      </c>
      <c r="C3661">
        <f>IF('01_Вводные'!$B$234="Да",SUM(IF('01_Вводные'!$B$80&gt;=1,'19_Расчет_аналитики'!D3653,0),IF('01_Вводные'!$B$80&gt;=2,'19_Расчет_аналитики'!E3653,0),IF('01_Вводные'!$B$80&gt;=3,'19_Расчет_аналитики'!F3653,0),IF('01_Вводные'!$B$80&gt;=4,'19_Расчет_аналитики'!G3653,0),IF('01_Вводные'!$B$80&gt;=5,'19_Расчет_аналитики'!H3653,0),IF('01_Вводные'!$B$80&gt;=6,'19_Расчет_аналитики'!I3653,0)),0)</f>
        <v/>
      </c>
      <c r="D3661">
        <f>IF('01_Вводные'!$B$234="Да",SUM(IF('01_Вводные'!$B$80&gt;=1,'19_Расчет_аналитики'!E3653,0),IF('01_Вводные'!$B$80&gt;=2,'19_Расчет_аналитики'!F3653,0),IF('01_Вводные'!$B$80&gt;=3,'19_Расчет_аналитики'!G3653,0),IF('01_Вводные'!$B$80&gt;=4,'19_Расчет_аналитики'!H3653,0),IF('01_Вводные'!$B$80&gt;=5,'19_Расчет_аналитики'!I3653,0),IF('01_Вводные'!$B$80&gt;=6,'19_Расчет_аналитики'!J3653,0)),0)</f>
        <v/>
      </c>
      <c r="E3661">
        <f>IF('01_Вводные'!$B$234="Да",SUM(IF('01_Вводные'!$B$80&gt;=1,'19_Расчет_аналитики'!F3653,0),IF('01_Вводные'!$B$80&gt;=2,'19_Расчет_аналитики'!G3653,0),IF('01_Вводные'!$B$80&gt;=3,'19_Расчет_аналитики'!H3653,0),IF('01_Вводные'!$B$80&gt;=4,'19_Расчет_аналитики'!I3653,0),IF('01_Вводные'!$B$80&gt;=5,'19_Расчет_аналитики'!J3653,0),IF('01_Вводные'!$B$80&gt;=6,'19_Расчет_аналитики'!K3653,0)),0)</f>
        <v/>
      </c>
      <c r="F3661">
        <f>IF('01_Вводные'!$B$234="Да",SUM(IF('01_Вводные'!$B$80&gt;=1,'19_Расчет_аналитики'!G3653,0),IF('01_Вводные'!$B$80&gt;=2,'19_Расчет_аналитики'!H3653,0),IF('01_Вводные'!$B$80&gt;=3,'19_Расчет_аналитики'!I3653,0),IF('01_Вводные'!$B$80&gt;=4,'19_Расчет_аналитики'!J3653,0),IF('01_Вводные'!$B$80&gt;=5,'19_Расчет_аналитики'!K3653,0),IF('01_Вводные'!$B$80&gt;=6,'19_Расчет_аналитики'!L3653,0)),0)</f>
        <v/>
      </c>
      <c r="G3661">
        <f>IF('01_Вводные'!$B$234="Да",SUM(IF('01_Вводные'!$B$80&gt;=1,'19_Расчет_аналитики'!H3653,0),IF('01_Вводные'!$B$80&gt;=2,'19_Расчет_аналитики'!I3653,0),IF('01_Вводные'!$B$80&gt;=3,'19_Расчет_аналитики'!J3653,0),IF('01_Вводные'!$B$80&gt;=4,'19_Расчет_аналитики'!K3653,0),IF('01_Вводные'!$B$80&gt;=5,'19_Расчет_аналитики'!L3653,0),IF('01_Вводные'!$B$80&gt;=6,'19_Расчет_аналитики'!M3653,0)),0)</f>
        <v/>
      </c>
      <c r="H3661">
        <f>IF('01_Вводные'!$B$234="Да",SUM(IF('01_Вводные'!$B$80&gt;=1,'19_Расчет_аналитики'!I3653,0),IF('01_Вводные'!$B$80&gt;=2,'19_Расчет_аналитики'!J3653,0),IF('01_Вводные'!$B$80&gt;=3,'19_Расчет_аналитики'!K3653,0),IF('01_Вводные'!$B$80&gt;=4,'19_Расчет_аналитики'!L3653,0),IF('01_Вводные'!$B$80&gt;=5,'19_Расчет_аналитики'!M3653,0),IF('01_Вводные'!$B$80&gt;=6,'19_Расчет_аналитики'!N3653,0)),0)</f>
        <v/>
      </c>
      <c r="I3661">
        <f>IF('01_Вводные'!$B$234="Да",SUM(IF('01_Вводные'!$B$80&gt;=1,'19_Расчет_аналитики'!J3653,0),IF('01_Вводные'!$B$80&gt;=2,'19_Расчет_аналитики'!K3653,0),IF('01_Вводные'!$B$80&gt;=3,'19_Расчет_аналитики'!L3653,0),IF('01_Вводные'!$B$80&gt;=4,'19_Расчет_аналитики'!M3653,0),IF('01_Вводные'!$B$80&gt;=5,'19_Расчет_аналитики'!N3653,0),IF('01_Вводные'!$B$80&gt;=6,'19_Расчет_аналитики'!O3653,0)),0)</f>
        <v/>
      </c>
      <c r="J3661">
        <f>IF('01_Вводные'!$B$234="Да",SUM(IF('01_Вводные'!$B$80&gt;=1,'19_Расчет_аналитики'!K3653,0),IF('01_Вводные'!$B$80&gt;=2,'19_Расчет_аналитики'!L3653,0),IF('01_Вводные'!$B$80&gt;=3,'19_Расчет_аналитики'!M3653,0),IF('01_Вводные'!$B$80&gt;=4,'19_Расчет_аналитики'!N3653,0),IF('01_Вводные'!$B$80&gt;=5,'19_Расчет_аналитики'!O3653,0),IF('01_Вводные'!$B$80&gt;=6,'19_Расчет_аналитики'!P3653,0)),0)</f>
        <v/>
      </c>
      <c r="K3661">
        <f>IF('01_Вводные'!$B$234="Да",SUM(IF('01_Вводные'!$B$80&gt;=1,'19_Расчет_аналитики'!L3653,0),IF('01_Вводные'!$B$80&gt;=2,'19_Расчет_аналитики'!M3653,0),IF('01_Вводные'!$B$80&gt;=3,'19_Расчет_аналитики'!N3653,0),IF('01_Вводные'!$B$80&gt;=4,'19_Расчет_аналитики'!O3653,0),IF('01_Вводные'!$B$80&gt;=5,'19_Расчет_аналитики'!P3653,0),IF('01_Вводные'!$B$80&gt;=6,'19_Расчет_аналитики'!Q3653,0)),0)</f>
        <v/>
      </c>
      <c r="L3661">
        <f>IF('01_Вводные'!$B$234="Да",SUM(IF('01_Вводные'!$B$80&gt;=1,'19_Расчет_аналитики'!M3653,0),IF('01_Вводные'!$B$80&gt;=2,'19_Расчет_аналитики'!N3653,0),IF('01_Вводные'!$B$80&gt;=3,'19_Расчет_аналитики'!O3653,0),IF('01_Вводные'!$B$80&gt;=4,'19_Расчет_аналитики'!P3653,0),IF('01_Вводные'!$B$80&gt;=5,'19_Расчет_аналитики'!Q3653,0),IF('01_Вводные'!$B$80&gt;=6,'19_Расчет_аналитики'!R3653,0)),0)</f>
        <v/>
      </c>
      <c r="M3661">
        <f>IF('01_Вводные'!$B$234="Да",SUM(IF('01_Вводные'!$B$80&gt;=1,'19_Расчет_аналитики'!N3653,0),IF('01_Вводные'!$B$80&gt;=2,'19_Расчет_аналитики'!O3653,0),IF('01_Вводные'!$B$80&gt;=3,'19_Расчет_аналитики'!P3653,0),IF('01_Вводные'!$B$80&gt;=4,'19_Расчет_аналитики'!Q3653,0),IF('01_Вводные'!$B$80&gt;=5,'19_Расчет_аналитики'!R3653,0),IF('01_Вводные'!$B$80&gt;=6,'19_Расчет_аналитики'!S3653,0)),0)</f>
        <v/>
      </c>
      <c r="N3661">
        <f>IF('01_Вводные'!$B$234="Да",SUM(IF('01_Вводные'!$B$80&gt;=1,'19_Расчет_аналитики'!O3653,0),IF('01_Вводные'!$B$80&gt;=2,'19_Расчет_аналитики'!P3653,0),IF('01_Вводные'!$B$80&gt;=3,'19_Расчет_аналитики'!Q3653,0),IF('01_Вводные'!$B$80&gt;=4,'19_Расчет_аналитики'!R3653,0),IF('01_Вводные'!$B$80&gt;=5,'19_Расчет_аналитики'!S3653,0),IF('01_Вводные'!$B$80&gt;=6,'19_Расчет_аналитики'!T3653,0)),0)</f>
        <v/>
      </c>
      <c r="O3661">
        <f>IF('01_Вводные'!$B$234="Да",SUM(IF('01_Вводные'!$B$80&gt;=1,'19_Расчет_аналитики'!P3653,0),IF('01_Вводные'!$B$80&gt;=2,'19_Расчет_аналитики'!Q3653,0),IF('01_Вводные'!$B$80&gt;=3,'19_Расчет_аналитики'!R3653,0),IF('01_Вводные'!$B$80&gt;=4,'19_Расчет_аналитики'!S3653,0),IF('01_Вводные'!$B$80&gt;=5,'19_Расчет_аналитики'!T3653,0),IF('01_Вводные'!$B$80&gt;=6,'19_Расчет_аналитики'!U3653,0)),0)</f>
        <v/>
      </c>
      <c r="P3661">
        <f>IF('01_Вводные'!$B$234="Да",SUM(IF('01_Вводные'!$B$80&gt;=1,'19_Расчет_аналитики'!Q3653,0),IF('01_Вводные'!$B$80&gt;=2,'19_Расчет_аналитики'!R3653,0),IF('01_Вводные'!$B$80&gt;=3,'19_Расчет_аналитики'!S3653,0),IF('01_Вводные'!$B$80&gt;=4,'19_Расчет_аналитики'!T3653,0),IF('01_Вводные'!$B$80&gt;=5,'19_Расчет_аналитики'!U3653,0),IF('01_Вводные'!$B$80&gt;=6,'19_Расчет_аналитики'!V3653,0)),0)</f>
        <v/>
      </c>
      <c r="Q3661">
        <f>IF('01_Вводные'!$B$234="Да",SUM(IF('01_Вводные'!$B$80&gt;=1,'19_Расчет_аналитики'!R3653,0),IF('01_Вводные'!$B$80&gt;=2,'19_Расчет_аналитики'!S3653,0),IF('01_Вводные'!$B$80&gt;=3,'19_Расчет_аналитики'!T3653,0),IF('01_Вводные'!$B$80&gt;=4,'19_Расчет_аналитики'!U3653,0),IF('01_Вводные'!$B$80&gt;=5,'19_Расчет_аналитики'!V3653,0),IF('01_Вводные'!$B$80&gt;=6,'19_Расчет_аналитики'!W3653,0)),0)</f>
        <v/>
      </c>
      <c r="R3661">
        <f>IF('01_Вводные'!$B$234="Да",SUM(IF('01_Вводные'!$B$80&gt;=1,'19_Расчет_аналитики'!S3653,0),IF('01_Вводные'!$B$80&gt;=2,'19_Расчет_аналитики'!T3653,0),IF('01_Вводные'!$B$80&gt;=3,'19_Расчет_аналитики'!U3653,0),IF('01_Вводные'!$B$80&gt;=4,'19_Расчет_аналитики'!V3653,0),IF('01_Вводные'!$B$80&gt;=5,'19_Расчет_аналитики'!W3653,0),IF('01_Вводные'!$B$80&gt;=6,'19_Расчет_аналитики'!X3653,0)),0)</f>
        <v/>
      </c>
      <c r="S3661">
        <f>IF('01_Вводные'!$B$234="Да",SUM(IF('01_Вводные'!$B$80&gt;=1,'19_Расчет_аналитики'!T3653,0),IF('01_Вводные'!$B$80&gt;=2,'19_Расчет_аналитики'!U3653,0),IF('01_Вводные'!$B$80&gt;=3,'19_Расчет_аналитики'!V3653,0),IF('01_Вводные'!$B$80&gt;=4,'19_Расчет_аналитики'!W3653,0),IF('01_Вводные'!$B$80&gt;=5,'19_Расчет_аналитики'!X3653,0),IF('01_Вводные'!$B$80&gt;=6,'19_Расчет_аналитики'!Y3653,0)),0)</f>
        <v/>
      </c>
      <c r="T3661">
        <f>IF('01_Вводные'!$B$234="Да",SUM(IF('01_Вводные'!$B$80&gt;=1,'19_Расчет_аналитики'!U3653,0),IF('01_Вводные'!$B$80&gt;=2,'19_Расчет_аналитики'!V3653,0),IF('01_Вводные'!$B$80&gt;=3,'19_Расчет_аналитики'!W3653,0),IF('01_Вводные'!$B$80&gt;=4,'19_Расчет_аналитики'!X3653,0),IF('01_Вводные'!$B$80&gt;=5,'19_Расчет_аналитики'!Y3653,0),IF('01_Вводные'!$B$80&gt;=6,'19_Расчет_аналитики'!Z3653,0)),0)</f>
        <v/>
      </c>
      <c r="U3661">
        <f>IF('01_Вводные'!$B$234="Да",SUM(IF('01_Вводные'!$B$80&gt;=1,'19_Расчет_аналитики'!V3653,0),IF('01_Вводные'!$B$80&gt;=2,'19_Расчет_аналитики'!W3653,0),IF('01_Вводные'!$B$80&gt;=3,'19_Расчет_аналитики'!X3653,0),IF('01_Вводные'!$B$80&gt;=4,'19_Расчет_аналитики'!Y3653,0),IF('01_Вводные'!$B$80&gt;=5,'19_Расчет_аналитики'!Z3653,0),IF('01_Вводные'!$B$80&gt;=6,'19_Расчет_аналитики'!AA3653,0)),0)</f>
        <v/>
      </c>
      <c r="V3661">
        <f>IF('01_Вводные'!$B$234="Да",SUM(IF('01_Вводные'!$B$80&gt;=1,'19_Расчет_аналитики'!W3653,0),IF('01_Вводные'!$B$80&gt;=2,'19_Расчет_аналитики'!X3653,0),IF('01_Вводные'!$B$80&gt;=3,'19_Расчет_аналитики'!Y3653,0),IF('01_Вводные'!$B$80&gt;=4,'19_Расчет_аналитики'!Z3653,0),IF('01_Вводные'!$B$80&gt;=5,'19_Расчет_аналитики'!AA3653,0),IF('01_Вводные'!$B$80&gt;=6,'19_Расчет_аналитики'!AB3653,0)),0)</f>
        <v/>
      </c>
      <c r="W3661">
        <f>IF('01_Вводные'!$B$234="Да",SUM(IF('01_Вводные'!$B$80&gt;=1,'19_Расчет_аналитики'!X3653,0),IF('01_Вводные'!$B$80&gt;=2,'19_Расчет_аналитики'!Y3653,0),IF('01_Вводные'!$B$80&gt;=3,'19_Расчет_аналитики'!Z3653,0),IF('01_Вводные'!$B$80&gt;=4,'19_Расчет_аналитики'!AA3653,0),IF('01_Вводные'!$B$80&gt;=5,'19_Расчет_аналитики'!AB3653,0),IF('01_Вводные'!$B$80&gt;=6,'19_Расчет_аналитики'!AC3653,0)),0)</f>
        <v/>
      </c>
      <c r="X3661">
        <f>IF('01_Вводные'!$B$234="Да",SUM(IF('01_Вводные'!$B$80&gt;=1,'19_Расчет_аналитики'!Y3653,0),IF('01_Вводные'!$B$80&gt;=2,'19_Расчет_аналитики'!Z3653,0),IF('01_Вводные'!$B$80&gt;=3,'19_Расчет_аналитики'!AA3653,0),IF('01_Вводные'!$B$80&gt;=4,'19_Расчет_аналитики'!AB3653,0),IF('01_Вводные'!$B$80&gt;=5,'19_Расчет_аналитики'!AC3653,0),IF('01_Вводные'!$B$80&gt;=6,'19_Расчет_аналитики'!AD3653,0)),0)</f>
        <v/>
      </c>
      <c r="Y3661">
        <f>IF('01_Вводные'!$B$234="Да",SUM(IF('01_Вводные'!$B$80&gt;=1,'19_Расчет_аналитики'!Z3653,0),IF('01_Вводные'!$B$80&gt;=2,'19_Расчет_аналитики'!AA3653,0),IF('01_Вводные'!$B$80&gt;=3,'19_Расчет_аналитики'!AB3653,0),IF('01_Вводные'!$B$80&gt;=4,'19_Расчет_аналитики'!AC3653,0),IF('01_Вводные'!$B$80&gt;=5,'19_Расчет_аналитики'!AD3653,0),IF('01_Вводные'!$B$80&gt;=6,'19_Расчет_аналитики'!AE3653,0)),0)</f>
        <v/>
      </c>
      <c r="Z3661">
        <f>IF('01_Вводные'!$B$234="Да",SUM(IF('01_Вводные'!$B$80&gt;=1,'19_Расчет_аналитики'!AA3653,0),IF('01_Вводные'!$B$80&gt;=2,'19_Расчет_аналитики'!AB3653,0),IF('01_Вводные'!$B$80&gt;=3,'19_Расчет_аналитики'!AC3653,0),IF('01_Вводные'!$B$80&gt;=4,'19_Расчет_аналитики'!AD3653,0),IF('01_Вводные'!$B$80&gt;=5,'19_Расчет_аналитики'!AE3653,0),IF('01_Вводные'!$B$80&gt;=6,'19_Расчет_аналитики'!AF3653,0)),0)</f>
        <v/>
      </c>
      <c r="AA3661">
        <f>IF('01_Вводные'!$B$234="Да",SUM(IF('01_Вводные'!$B$80&gt;=1,'19_Расчет_аналитики'!AB3653,0),IF('01_Вводные'!$B$80&gt;=2,'19_Расчет_аналитики'!AC3653,0),IF('01_Вводные'!$B$80&gt;=3,'19_Расчет_аналитики'!AD3653,0),IF('01_Вводные'!$B$80&gt;=4,'19_Расчет_аналитики'!AE3653,0),IF('01_Вводные'!$B$80&gt;=5,'19_Расчет_аналитики'!AF3653,0),IF('01_Вводные'!$B$80&gt;=6,'19_Расчет_аналитики'!AG3653,0)),0)</f>
        <v/>
      </c>
      <c r="AB3661">
        <f>IF('01_Вводные'!$B$234="Да",SUM(IF('01_Вводные'!$B$80&gt;=1,'19_Расчет_аналитики'!AC3653,0),IF('01_Вводные'!$B$80&gt;=2,'19_Расчет_аналитики'!AD3653,0),IF('01_Вводные'!$B$80&gt;=3,'19_Расчет_аналитики'!AE3653,0),IF('01_Вводные'!$B$80&gt;=4,'19_Расчет_аналитики'!AF3653,0),IF('01_Вводные'!$B$80&gt;=5,'19_Расчет_аналитики'!AG3653,0),IF('01_Вводные'!$B$80&gt;=6,'19_Расчет_аналитики'!AH3653,0)),0)</f>
        <v/>
      </c>
      <c r="AC3661">
        <f>IF('01_Вводные'!$B$234="Да",SUM(IF('01_Вводные'!$B$80&gt;=1,'19_Расчет_аналитики'!AD3653,0),IF('01_Вводные'!$B$80&gt;=2,'19_Расчет_аналитики'!AE3653,0),IF('01_Вводные'!$B$80&gt;=3,'19_Расчет_аналитики'!AF3653,0),IF('01_Вводные'!$B$80&gt;=4,'19_Расчет_аналитики'!AG3653,0),IF('01_Вводные'!$B$80&gt;=5,'19_Расчет_аналитики'!AH3653,0),IF('01_Вводные'!$B$80&gt;=6,'19_Расчет_аналитики'!AI3653,0)),0)</f>
        <v/>
      </c>
      <c r="AD3661">
        <f>IF('01_Вводные'!$B$234="Да",SUM(IF('01_Вводные'!$B$80&gt;=1,'19_Расчет_аналитики'!AE3653,0),IF('01_Вводные'!$B$80&gt;=2,'19_Расчет_аналитики'!AF3653,0),IF('01_Вводные'!$B$80&gt;=3,'19_Расчет_аналитики'!AG3653,0),IF('01_Вводные'!$B$80&gt;=4,'19_Расчет_аналитики'!AH3653,0),IF('01_Вводные'!$B$80&gt;=5,'19_Расчет_аналитики'!AI3653,0),IF('01_Вводные'!$B$80&gt;=6,'19_Расчет_аналитики'!AJ3653,0)),0)</f>
        <v/>
      </c>
      <c r="AE3661">
        <f>IF('01_Вводные'!$B$234="Да",SUM(IF('01_Вводные'!$B$80&gt;=1,'19_Расчет_аналитики'!AF3653,0),IF('01_Вводные'!$B$80&gt;=2,'19_Расчет_аналитики'!AG3653,0),IF('01_Вводные'!$B$80&gt;=3,'19_Расчет_аналитики'!AH3653,0),IF('01_Вводные'!$B$80&gt;=4,'19_Расчет_аналитики'!AI3653,0),IF('01_Вводные'!$B$80&gt;=5,'19_Расчет_аналитики'!AJ3653,0),IF('01_Вводные'!$B$80&gt;=6,'19_Расчет_аналитики'!AK3653,0)),0)</f>
        <v/>
      </c>
      <c r="AF3661">
        <f>IF('01_Вводные'!$B$234="Да",SUM(IF('01_Вводные'!$B$80&gt;=1,'19_Расчет_аналитики'!AG3653,0),IF('01_Вводные'!$B$80&gt;=2,'19_Расчет_аналитики'!AH3653,0),IF('01_Вводные'!$B$80&gt;=3,'19_Расчет_аналитики'!AI3653,0),IF('01_Вводные'!$B$80&gt;=4,'19_Расчет_аналитики'!AJ3653,0),IF('01_Вводные'!$B$80&gt;=5,'19_Расчет_аналитики'!AK3653,0),IF('01_Вводные'!$B$80&gt;=6,'19_Расчет_аналитики'!AL3653,0)),0)</f>
        <v/>
      </c>
      <c r="AG3661">
        <f>IF('01_Вводные'!$B$234="Да",SUM(IF('01_Вводные'!$B$80&gt;=1,'19_Расчет_аналитики'!AH3653,0),IF('01_Вводные'!$B$80&gt;=2,'19_Расчет_аналитики'!AI3653,0),IF('01_Вводные'!$B$80&gt;=3,'19_Расчет_аналитики'!AJ3653,0),IF('01_Вводные'!$B$80&gt;=4,'19_Расчет_аналитики'!AK3653,0),IF('01_Вводные'!$B$80&gt;=5,'19_Расчет_аналитики'!AL3653,0),IF('01_Вводные'!$B$80&gt;=6,'19_Расчет_аналитики'!AM3653,0)),0)</f>
        <v/>
      </c>
      <c r="AH3661">
        <f>IF('01_Вводные'!$B$234="Да",SUM(IF('01_Вводные'!$B$80&gt;=1,'19_Расчет_аналитики'!AI3653,0),IF('01_Вводные'!$B$80&gt;=2,'19_Расчет_аналитики'!AJ3653,0),IF('01_Вводные'!$B$80&gt;=3,'19_Расчет_аналитики'!AK3653,0),IF('01_Вводные'!$B$80&gt;=4,'19_Расчет_аналитики'!AL3653,0),IF('01_Вводные'!$B$80&gt;=5,'19_Расчет_аналитики'!AM3653,0),IF('01_Вводные'!$B$80&gt;=6,'19_Расчет_аналитики'!AN3653,0)),0)</f>
        <v/>
      </c>
      <c r="AI3661">
        <f>IF('01_Вводные'!$B$234="Да",SUM(IF('01_Вводные'!$B$80&gt;=1,'19_Расчет_аналитики'!AJ3653,0),IF('01_Вводные'!$B$80&gt;=2,'19_Расчет_аналитики'!AK3653,0),IF('01_Вводные'!$B$80&gt;=3,'19_Расчет_аналитики'!AL3653,0),IF('01_Вводные'!$B$80&gt;=4,'19_Расчет_аналитики'!AM3653,0),IF('01_Вводные'!$B$80&gt;=5,'19_Расчет_аналитики'!AN3653,0),IF('01_Вводные'!$B$80&gt;=6,'19_Расчет_аналитики'!AO3653,0)),0)</f>
        <v/>
      </c>
      <c r="AJ3661">
        <f>IF('01_Вводные'!$B$234="Да",SUM(IF('01_Вводные'!$B$80&gt;=1,'19_Расчет_аналитики'!AK3653,0),IF('01_Вводные'!$B$80&gt;=2,'19_Расчет_аналитики'!AL3653,0),IF('01_Вводные'!$B$80&gt;=3,'19_Расчет_аналитики'!AM3653,0),IF('01_Вводные'!$B$80&gt;=4,'19_Расчет_аналитики'!AN3653,0),IF('01_Вводные'!$B$80&gt;=5,'19_Расчет_аналитики'!AO3653,0),IF('01_Вводные'!$B$80&gt;=6,'19_Расчет_аналитики'!AP3653,0)),0)</f>
        <v/>
      </c>
      <c r="AK3661">
        <f>IF('01_Вводные'!$B$234="Да",SUM(IF('01_Вводные'!$B$80&gt;=1,'19_Расчет_аналитики'!AL3653,0),IF('01_Вводные'!$B$80&gt;=2,'19_Расчет_аналитики'!AM3653,0),IF('01_Вводные'!$B$80&gt;=3,'19_Расчет_аналитики'!AN3653,0),IF('01_Вводные'!$B$80&gt;=4,'19_Расчет_аналитики'!AO3653,0),IF('01_Вводные'!$B$80&gt;=5,'19_Расчет_аналитики'!AP3653,0),IF('01_Вводные'!$B$80&gt;=6,'19_Расчет_аналитики'!AQ3653,0)),0)</f>
        <v/>
      </c>
      <c r="AL3661">
        <f>IF('01_Вводные'!$B$234="Да",SUM(IF('01_Вводные'!$B$80&gt;=1,'19_Расчет_аналитики'!AM3653,0),IF('01_Вводные'!$B$80&gt;=2,'19_Расчет_аналитики'!AN3653,0),IF('01_Вводные'!$B$80&gt;=3,'19_Расчет_аналитики'!AO3653,0),IF('01_Вводные'!$B$80&gt;=4,'19_Расчет_аналитики'!AP3653,0),IF('01_Вводные'!$B$80&gt;=5,'19_Расчет_аналитики'!AQ3653,0),IF('01_Вводные'!$B$80&gt;=6,'19_Расчет_аналитики'!AR3653,0)),0)</f>
        <v/>
      </c>
      <c r="AM3661">
        <f>IF('01_Вводные'!$B$234="Да",SUM(IF('01_Вводные'!$B$80&gt;=1,'19_Расчет_аналитики'!AN3653,0),IF('01_Вводные'!$B$80&gt;=2,'19_Расчет_аналитики'!AO3653,0),IF('01_Вводные'!$B$80&gt;=3,'19_Расчет_аналитики'!AP3653,0),IF('01_Вводные'!$B$80&gt;=4,'19_Расчет_аналитики'!AQ3653,0),IF('01_Вводные'!$B$80&gt;=5,'19_Расчет_аналитики'!AR3653,0),IF('01_Вводные'!$B$80&gt;=6,'19_Расчет_аналитики'!AS3653,0)),0)</f>
        <v/>
      </c>
      <c r="AN3661">
        <f>IF('01_Вводные'!$B$234="Да",SUM(IF('01_Вводные'!$B$80&gt;=1,'19_Расчет_аналитики'!AO3653,0),IF('01_Вводные'!$B$80&gt;=2,'19_Расчет_аналитики'!AP3653,0),IF('01_Вводные'!$B$80&gt;=3,'19_Расчет_аналитики'!AQ3653,0),IF('01_Вводные'!$B$80&gt;=4,'19_Расчет_аналитики'!AR3653,0),IF('01_Вводные'!$B$80&gt;=5,'19_Расчет_аналитики'!AS3653,0),IF('01_Вводные'!$B$80&gt;=6,'19_Расчет_аналитики'!AT3653,0)),0)</f>
        <v/>
      </c>
      <c r="AO3661">
        <f>IF('01_Вводные'!$B$234="Да",SUM(IF('01_Вводные'!$B$80&gt;=1,'19_Расчет_аналитики'!AP3653,0),IF('01_Вводные'!$B$80&gt;=2,'19_Расчет_аналитики'!AQ3653,0),IF('01_Вводные'!$B$80&gt;=3,'19_Расчет_аналитики'!AR3653,0),IF('01_Вводные'!$B$80&gt;=4,'19_Расчет_аналитики'!AS3653,0),IF('01_Вводные'!$B$80&gt;=5,'19_Расчет_аналитики'!AT3653,0),IF('01_Вводные'!$B$80&gt;=6,'19_Расчет_аналитики'!AU3653,0)),0)</f>
        <v/>
      </c>
      <c r="AP3661">
        <f>IF('01_Вводные'!$B$234="Да",SUM(IF('01_Вводные'!$B$80&gt;=1,'19_Расчет_аналитики'!AQ3653,0),IF('01_Вводные'!$B$80&gt;=2,'19_Расчет_аналитики'!AR3653,0),IF('01_Вводные'!$B$80&gt;=3,'19_Расчет_аналитики'!AS3653,0),IF('01_Вводные'!$B$80&gt;=4,'19_Расчет_аналитики'!AT3653,0),IF('01_Вводные'!$B$80&gt;=5,'19_Расчет_аналитики'!AU3653,0),IF('01_Вводные'!$B$80&gt;=6,'19_Расчет_аналитики'!AV3653,0)),0)</f>
        <v/>
      </c>
      <c r="AQ3661">
        <f>IF('01_Вводные'!$B$234="Да",SUM(IF('01_Вводные'!$B$80&gt;=1,'19_Расчет_аналитики'!AR3653,0),IF('01_Вводные'!$B$80&gt;=2,'19_Расчет_аналитики'!AS3653,0),IF('01_Вводные'!$B$80&gt;=3,'19_Расчет_аналитики'!AT3653,0),IF('01_Вводные'!$B$80&gt;=4,'19_Расчет_аналитики'!AU3653,0),IF('01_Вводные'!$B$80&gt;=5,'19_Расчет_аналитики'!AV3653,0),IF('01_Вводные'!$B$80&gt;=6,'19_Расчет_аналитики'!AW3653,0)),0)</f>
        <v/>
      </c>
      <c r="AR3661">
        <f>IF('01_Вводные'!$B$234="Да",SUM(IF('01_Вводные'!$B$80&gt;=1,'19_Расчет_аналитики'!AS3653,0),IF('01_Вводные'!$B$80&gt;=2,'19_Расчет_аналитики'!AT3653,0),IF('01_Вводные'!$B$80&gt;=3,'19_Расчет_аналитики'!AU3653,0),IF('01_Вводные'!$B$80&gt;=4,'19_Расчет_аналитики'!AV3653,0),IF('01_Вводные'!$B$80&gt;=5,'19_Расчет_аналитики'!AW3653,0),IF('01_Вводные'!$B$80&gt;=6,'19_Расчет_аналитики'!AX3653,0)),0)</f>
        <v/>
      </c>
      <c r="AS3661">
        <f>IF('01_Вводные'!$B$234="Да",SUM(IF('01_Вводные'!$B$80&gt;=1,'19_Расчет_аналитики'!AT3653,0),IF('01_Вводные'!$B$80&gt;=2,'19_Расчет_аналитики'!AU3653,0),IF('01_Вводные'!$B$80&gt;=3,'19_Расчет_аналитики'!AV3653,0),IF('01_Вводные'!$B$80&gt;=4,'19_Расчет_аналитики'!AW3653,0),IF('01_Вводные'!$B$80&gt;=5,'19_Расчет_аналитики'!AX3653,0),IF('01_Вводные'!$B$80&gt;=6,'19_Расчет_аналитики'!AY3653,0)),0)</f>
        <v/>
      </c>
      <c r="AT3661">
        <f>IF('01_Вводные'!$B$234="Да",SUM(IF('01_Вводные'!$B$80&gt;=1,'19_Расчет_аналитики'!AU3653,0),IF('01_Вводные'!$B$80&gt;=2,'19_Расчет_аналитики'!AV3653,0),IF('01_Вводные'!$B$80&gt;=3,'19_Расчет_аналитики'!AW3653,0),IF('01_Вводные'!$B$80&gt;=4,'19_Расчет_аналитики'!AX3653,0),IF('01_Вводные'!$B$80&gt;=5,'19_Расчет_аналитики'!AY3653,0),IF('01_Вводные'!$B$80&gt;=6,'19_Расчет_аналитики'!AZ3653,0)),0)</f>
        <v/>
      </c>
      <c r="AU3661">
        <f>IF('01_Вводные'!$B$234="Да",SUM(IF('01_Вводные'!$B$80&gt;=1,'19_Расчет_аналитики'!AV3653,0),IF('01_Вводные'!$B$80&gt;=2,'19_Расчет_аналитики'!AW3653,0),IF('01_Вводные'!$B$80&gt;=3,'19_Расчет_аналитики'!AX3653,0),IF('01_Вводные'!$B$80&gt;=4,'19_Расчет_аналитики'!AY3653,0),IF('01_Вводные'!$B$80&gt;=5,'19_Расчет_аналитики'!AZ3653,0),IF('01_Вводные'!$B$80&gt;=6,'19_Расчет_аналитики'!BA3653,0)),0)</f>
        <v/>
      </c>
      <c r="AV3661">
        <f>IF('01_Вводные'!$B$234="Да",SUM(IF('01_Вводные'!$B$80&gt;=1,'19_Расчет_аналитики'!AW3653,0),IF('01_Вводные'!$B$80&gt;=2,'19_Расчет_аналитики'!AX3653,0),IF('01_Вводные'!$B$80&gt;=3,'19_Расчет_аналитики'!AY3653,0),IF('01_Вводные'!$B$80&gt;=4,'19_Расчет_аналитики'!AZ3653,0),IF('01_Вводные'!$B$80&gt;=5,'19_Расчет_аналитики'!BA3653,0),IF('01_Вводные'!$B$80&gt;=6,'19_Расчет_аналитики'!BB3653,0)),0)</f>
        <v/>
      </c>
      <c r="AW3661">
        <f>IF('01_Вводные'!$B$234="Да",SUM(IF('01_Вводные'!$B$80&gt;=1,'19_Расчет_аналитики'!AX3653,0),IF('01_Вводные'!$B$80&gt;=2,'19_Расчет_аналитики'!AY3653,0),IF('01_Вводные'!$B$80&gt;=3,'19_Расчет_аналитики'!AZ3653,0),IF('01_Вводные'!$B$80&gt;=4,'19_Расчет_аналитики'!BA3653,0),IF('01_Вводные'!$B$80&gt;=5,'19_Расчет_аналитики'!BB3653,0),IF('01_Вводные'!$B$80&gt;=6,'19_Расчет_аналитики'!BC3653,0)),0)</f>
        <v/>
      </c>
      <c r="AX3661">
        <f>IF('01_Вводные'!$B$234="Да",SUM(IF('01_Вводные'!$B$80&gt;=1,'19_Расчет_аналитики'!AY3653,0),IF('01_Вводные'!$B$80&gt;=2,'19_Расчет_аналитики'!AZ3653,0),IF('01_Вводные'!$B$80&gt;=3,'19_Расчет_аналитики'!BA3653,0),IF('01_Вводные'!$B$80&gt;=4,'19_Расчет_аналитики'!BB3653,0),IF('01_Вводные'!$B$80&gt;=5,'19_Расчет_аналитики'!BC3653,0),IF('01_Вводные'!$B$80&gt;=6,'19_Расчет_аналитики'!BD3653,0)),0)</f>
        <v/>
      </c>
      <c r="AY3661">
        <f>IF('01_Вводные'!$B$234="Да",SUM(IF('01_Вводные'!$B$80&gt;=1,'19_Расчет_аналитики'!AZ3653,0),IF('01_Вводные'!$B$80&gt;=2,'19_Расчет_аналитики'!BA3653,0),IF('01_Вводные'!$B$80&gt;=3,'19_Расчет_аналитики'!BB3653,0),IF('01_Вводные'!$B$80&gt;=4,'19_Расчет_аналитики'!BC3653,0),IF('01_Вводные'!$B$80&gt;=5,'19_Расчет_аналитики'!BD3653,0),IF('01_Вводные'!$B$80&gt;=6,'19_Расчет_аналитики'!BE3653,0)),0)</f>
        <v/>
      </c>
      <c r="AZ3661">
        <f>IF('01_Вводные'!$B$234="Да",SUM(IF('01_Вводные'!$B$80&gt;=1,'19_Расчет_аналитики'!BA3653,0),IF('01_Вводные'!$B$80&gt;=2,'19_Расчет_аналитики'!BB3653,0),IF('01_Вводные'!$B$80&gt;=3,'19_Расчет_аналитики'!BC3653,0),IF('01_Вводные'!$B$80&gt;=4,'19_Расчет_аналитики'!BD3653,0),IF('01_Вводные'!$B$80&gt;=5,'19_Расчет_аналитики'!BE3653,0),IF('01_Вводные'!$B$80&gt;=6,'19_Расчет_аналитики'!BF3653,0)),0)</f>
        <v/>
      </c>
      <c r="BA3661">
        <f>IF('01_Вводные'!$B$234="Да",SUM(IF('01_Вводные'!$B$80&gt;=1,'19_Расчет_аналитики'!BB3653,0),IF('01_Вводные'!$B$80&gt;=2,'19_Расчет_аналитики'!BC3653,0),IF('01_Вводные'!$B$80&gt;=3,'19_Расчет_аналитики'!BD3653,0),IF('01_Вводные'!$B$80&gt;=4,'19_Расчет_аналитики'!BE3653,0),IF('01_Вводные'!$B$80&gt;=5,'19_Расчет_аналитики'!BF3653,0),IF('01_Вводные'!$B$80&gt;=6,'19_Расчет_аналитики'!BG3653,0)),0)</f>
        <v/>
      </c>
      <c r="BB3661">
        <f>IF('01_Вводные'!$B$234="Да",SUM(IF('01_Вводные'!$B$80&gt;=1,'19_Расчет_аналитики'!BC3653,0),IF('01_Вводные'!$B$80&gt;=2,'19_Расчет_аналитики'!BD3653,0),IF('01_Вводные'!$B$80&gt;=3,'19_Расчет_аналитики'!BE3653,0),IF('01_Вводные'!$B$80&gt;=4,'19_Расчет_аналитики'!BF3653,0),IF('01_Вводные'!$B$80&gt;=5,'19_Расчет_аналитики'!BG3653,0),IF('01_Вводные'!$B$80&gt;=6,'19_Расчет_аналитики'!BH3653,0)),0)</f>
        <v/>
      </c>
      <c r="BC3661">
        <f>IF('01_Вводные'!$B$234="Да",SUM(IF('01_Вводные'!$B$80&gt;=1,'19_Расчет_аналитики'!BD3653,0),IF('01_Вводные'!$B$80&gt;=2,'19_Расчет_аналитики'!BE3653,0),IF('01_Вводные'!$B$80&gt;=3,'19_Расчет_аналитики'!BF3653,0),IF('01_Вводные'!$B$80&gt;=4,'19_Расчет_аналитики'!BG3653,0),IF('01_Вводные'!$B$80&gt;=5,'19_Расчет_аналитики'!BH3653,0),IF('01_Вводные'!$B$80&gt;=6,'19_Расчет_аналитики'!BI3653,0)),0)</f>
        <v/>
      </c>
      <c r="BD3661">
        <f>IF('01_Вводные'!$B$234="Да",SUM(IF('01_Вводные'!$B$80&gt;=1,'19_Расчет_аналитики'!BE3653,0),IF('01_Вводные'!$B$80&gt;=2,'19_Расчет_аналитики'!BF3653,0),IF('01_Вводные'!$B$80&gt;=3,'19_Расчет_аналитики'!BG3653,0),IF('01_Вводные'!$B$80&gt;=4,'19_Расчет_аналитики'!BH3653,0),IF('01_Вводные'!$B$80&gt;=5,'19_Расчет_аналитики'!BI3653,0),IF('01_Вводные'!$B$80&gt;=6,'19_Расчет_аналитики'!BJ3653,0)),0)</f>
        <v/>
      </c>
      <c r="BE3661">
        <f>IF('01_Вводные'!$B$234="Да",SUM(IF('01_Вводные'!$B$80&gt;=1,'19_Расчет_аналитики'!BF3653,0),IF('01_Вводные'!$B$80&gt;=2,'19_Расчет_аналитики'!BG3653,0),IF('01_Вводные'!$B$80&gt;=3,'19_Расчет_аналитики'!BH3653,0),IF('01_Вводные'!$B$80&gt;=4,'19_Расчет_аналитики'!BI3653,0),IF('01_Вводные'!$B$80&gt;=5,'19_Расчет_аналитики'!BJ3653,0),IF('01_Вводные'!$B$80&gt;=6,'19_Расчет_аналитики'!BK3653,0)),0)</f>
        <v/>
      </c>
      <c r="BF3661">
        <f>IF('01_Вводные'!$B$234="Да",SUM(IF('01_Вводные'!$B$80&gt;=1,'19_Расчет_аналитики'!BG3653,0),IF('01_Вводные'!$B$80&gt;=2,'19_Расчет_аналитики'!BH3653,0),IF('01_Вводные'!$B$80&gt;=3,'19_Расчет_аналитики'!BI3653,0),IF('01_Вводные'!$B$80&gt;=4,'19_Расчет_аналитики'!BJ3653,0),IF('01_Вводные'!$B$80&gt;=5,'19_Расчет_аналитики'!BK3653,0),IF('01_Вводные'!$B$80&gt;=6,'19_Расчет_аналитики'!BL3653,0)),0)</f>
        <v/>
      </c>
      <c r="BG3661">
        <f>IF('01_Вводные'!$B$234="Да",SUM(IF('01_Вводные'!$B$80&gt;=1,'19_Расчет_аналитики'!BH3653,0),IF('01_Вводные'!$B$80&gt;=2,'19_Расчет_аналитики'!BI3653,0),IF('01_Вводные'!$B$80&gt;=3,'19_Расчет_аналитики'!BJ3653,0),IF('01_Вводные'!$B$80&gt;=4,'19_Расчет_аналитики'!BK3653,0),IF('01_Вводные'!$B$80&gt;=5,'19_Расчет_аналитики'!BL3653,0),IF('01_Вводные'!$B$80&gt;=6,'19_Расчет_аналитики'!BM3653,0)),0)</f>
        <v/>
      </c>
      <c r="BH3661">
        <f>IF('01_Вводные'!$B$234="Да",SUM(IF('01_Вводные'!$B$80&gt;=1,'19_Расчет_аналитики'!BI3653,0),IF('01_Вводные'!$B$80&gt;=2,'19_Расчет_аналитики'!BJ3653,0),IF('01_Вводные'!$B$80&gt;=3,'19_Расчет_аналитики'!BK3653,0),IF('01_Вводные'!$B$80&gt;=4,'19_Расчет_аналитики'!BL3653,0),IF('01_Вводные'!$B$80&gt;=5,'19_Расчет_аналитики'!BM3653,0),IF('01_Вводные'!$B$80&gt;=6,'19_Расчет_аналитики'!BN3653,0)),0)</f>
        <v/>
      </c>
      <c r="BI3661">
        <f>IF('01_Вводные'!$B$234="Да",SUM(IF('01_Вводные'!$B$80&gt;=1,'19_Расчет_аналитики'!BJ3653,0),IF('01_Вводные'!$B$80&gt;=2,'19_Расчет_аналитики'!BK3653,0),IF('01_Вводные'!$B$80&gt;=3,'19_Расчет_аналитики'!BL3653,0),IF('01_Вводные'!$B$80&gt;=4,'19_Расчет_аналитики'!BM3653,0),IF('01_Вводные'!$B$80&gt;=5,'19_Расчет_аналитики'!BN3653,0),IF('01_Вводные'!$B$80&gt;=6,'19_Расчет_аналитики'!BO3653,0)),0)</f>
        <v/>
      </c>
    </row>
    <row r="3662">
      <c r="B3662">
        <f>IF('01_Вводные'!$B$234="Да",IF(AND('07_Мерч'!B$3&gt;='01_Вводные'!$B$81,OR(MONTH('07_Мерч'!B$3)='01_Вводные'!$B$82,MONTH('07_Мерч'!B$3)='01_Вводные'!$B$83,MONTH('07_Мерч'!B$3)='01_Вводные'!$B$84,MONTH('07_Мерч'!B$3)='01_Вводные'!$B$85)),MAX(0,'19_Расчет_аналитики'!B3661-('07_Мерч'!B22-'19_Расчет_аналитики'!B3660)),0),0)</f>
        <v/>
      </c>
      <c r="C3662">
        <f>IF('01_Вводные'!$B$234="Да",IF(AND('07_Мерч'!C$3&gt;='01_Вводные'!$B$81,OR(MONTH('07_Мерч'!C$3)='01_Вводные'!$B$82,MONTH('07_Мерч'!C$3)='01_Вводные'!$B$83,MONTH('07_Мерч'!C$3)='01_Вводные'!$B$84,MONTH('07_Мерч'!C$3)='01_Вводные'!$B$85)),MAX(0,'19_Расчет_аналитики'!C3661-('19_Расчет_аналитики'!C3659-'19_Расчет_аналитики'!C3660)),0),0)</f>
        <v/>
      </c>
      <c r="D3662">
        <f>IF('01_Вводные'!$B$234="Да",IF(AND('07_Мерч'!D$3&gt;='01_Вводные'!$B$81,OR(MONTH('07_Мерч'!D$3)='01_Вводные'!$B$82,MONTH('07_Мерч'!D$3)='01_Вводные'!$B$83,MONTH('07_Мерч'!D$3)='01_Вводные'!$B$84,MONTH('07_Мерч'!D$3)='01_Вводные'!$B$85)),MAX(0,'19_Расчет_аналитики'!D3661-('19_Расчет_аналитики'!D3659-'19_Расчет_аналитики'!D3660)),0),0)</f>
        <v/>
      </c>
      <c r="E3662">
        <f>IF('01_Вводные'!$B$234="Да",IF(AND('07_Мерч'!E$3&gt;='01_Вводные'!$B$81,OR(MONTH('07_Мерч'!E$3)='01_Вводные'!$B$82,MONTH('07_Мерч'!E$3)='01_Вводные'!$B$83,MONTH('07_Мерч'!E$3)='01_Вводные'!$B$84,MONTH('07_Мерч'!E$3)='01_Вводные'!$B$85)),MAX(0,'19_Расчет_аналитики'!E3661-('19_Расчет_аналитики'!E3659-'19_Расчет_аналитики'!E3660)),0),0)</f>
        <v/>
      </c>
      <c r="F3662">
        <f>IF('01_Вводные'!$B$234="Да",IF(AND('07_Мерч'!F$3&gt;='01_Вводные'!$B$81,OR(MONTH('07_Мерч'!F$3)='01_Вводные'!$B$82,MONTH('07_Мерч'!F$3)='01_Вводные'!$B$83,MONTH('07_Мерч'!F$3)='01_Вводные'!$B$84,MONTH('07_Мерч'!F$3)='01_Вводные'!$B$85)),MAX(0,'19_Расчет_аналитики'!F3661-('19_Расчет_аналитики'!F3659-'19_Расчет_аналитики'!F3660)),0),0)</f>
        <v/>
      </c>
      <c r="G3662">
        <f>IF('01_Вводные'!$B$234="Да",IF(AND('07_Мерч'!G$3&gt;='01_Вводные'!$B$81,OR(MONTH('07_Мерч'!G$3)='01_Вводные'!$B$82,MONTH('07_Мерч'!G$3)='01_Вводные'!$B$83,MONTH('07_Мерч'!G$3)='01_Вводные'!$B$84,MONTH('07_Мерч'!G$3)='01_Вводные'!$B$85)),MAX(0,'19_Расчет_аналитики'!G3661-('19_Расчет_аналитики'!G3659-'19_Расчет_аналитики'!G3660)),0),0)</f>
        <v/>
      </c>
      <c r="H3662">
        <f>IF('01_Вводные'!$B$234="Да",IF(AND('07_Мерч'!H$3&gt;='01_Вводные'!$B$81,OR(MONTH('07_Мерч'!H$3)='01_Вводные'!$B$82,MONTH('07_Мерч'!H$3)='01_Вводные'!$B$83,MONTH('07_Мерч'!H$3)='01_Вводные'!$B$84,MONTH('07_Мерч'!H$3)='01_Вводные'!$B$85)),MAX(0,'19_Расчет_аналитики'!H3661-('19_Расчет_аналитики'!H3659-'19_Расчет_аналитики'!H3660)),0),0)</f>
        <v/>
      </c>
      <c r="I3662">
        <f>IF('01_Вводные'!$B$234="Да",IF(AND('07_Мерч'!I$3&gt;='01_Вводные'!$B$81,OR(MONTH('07_Мерч'!I$3)='01_Вводные'!$B$82,MONTH('07_Мерч'!I$3)='01_Вводные'!$B$83,MONTH('07_Мерч'!I$3)='01_Вводные'!$B$84,MONTH('07_Мерч'!I$3)='01_Вводные'!$B$85)),MAX(0,'19_Расчет_аналитики'!I3661-('19_Расчет_аналитики'!I3659-'19_Расчет_аналитики'!I3660)),0),0)</f>
        <v/>
      </c>
      <c r="J3662">
        <f>IF('01_Вводные'!$B$234="Да",IF(AND('07_Мерч'!J$3&gt;='01_Вводные'!$B$81,OR(MONTH('07_Мерч'!J$3)='01_Вводные'!$B$82,MONTH('07_Мерч'!J$3)='01_Вводные'!$B$83,MONTH('07_Мерч'!J$3)='01_Вводные'!$B$84,MONTH('07_Мерч'!J$3)='01_Вводные'!$B$85)),MAX(0,'19_Расчет_аналитики'!J3661-('19_Расчет_аналитики'!J3659-'19_Расчет_аналитики'!J3660)),0),0)</f>
        <v/>
      </c>
      <c r="K3662">
        <f>IF('01_Вводные'!$B$234="Да",IF(AND('07_Мерч'!K$3&gt;='01_Вводные'!$B$81,OR(MONTH('07_Мерч'!K$3)='01_Вводные'!$B$82,MONTH('07_Мерч'!K$3)='01_Вводные'!$B$83,MONTH('07_Мерч'!K$3)='01_Вводные'!$B$84,MONTH('07_Мерч'!K$3)='01_Вводные'!$B$85)),MAX(0,'19_Расчет_аналитики'!K3661-('19_Расчет_аналитики'!K3659-'19_Расчет_аналитики'!K3660)),0),0)</f>
        <v/>
      </c>
      <c r="L3662">
        <f>IF('01_Вводные'!$B$234="Да",IF(AND('07_Мерч'!L$3&gt;='01_Вводные'!$B$81,OR(MONTH('07_Мерч'!L$3)='01_Вводные'!$B$82,MONTH('07_Мерч'!L$3)='01_Вводные'!$B$83,MONTH('07_Мерч'!L$3)='01_Вводные'!$B$84,MONTH('07_Мерч'!L$3)='01_Вводные'!$B$85)),MAX(0,'19_Расчет_аналитики'!L3661-('19_Расчет_аналитики'!L3659-'19_Расчет_аналитики'!L3660)),0),0)</f>
        <v/>
      </c>
      <c r="M3662">
        <f>IF('01_Вводные'!$B$234="Да",IF(AND('07_Мерч'!M$3&gt;='01_Вводные'!$B$81,OR(MONTH('07_Мерч'!M$3)='01_Вводные'!$B$82,MONTH('07_Мерч'!M$3)='01_Вводные'!$B$83,MONTH('07_Мерч'!M$3)='01_Вводные'!$B$84,MONTH('07_Мерч'!M$3)='01_Вводные'!$B$85)),MAX(0,'19_Расчет_аналитики'!M3661-('19_Расчет_аналитики'!M3659-'19_Расчет_аналитики'!M3660)),0),0)</f>
        <v/>
      </c>
      <c r="N3662">
        <f>IF('01_Вводные'!$B$234="Да",IF(AND('07_Мерч'!N$3&gt;='01_Вводные'!$B$81,OR(MONTH('07_Мерч'!N$3)='01_Вводные'!$B$82,MONTH('07_Мерч'!N$3)='01_Вводные'!$B$83,MONTH('07_Мерч'!N$3)='01_Вводные'!$B$84,MONTH('07_Мерч'!N$3)='01_Вводные'!$B$85)),MAX(0,'19_Расчет_аналитики'!N3661-('19_Расчет_аналитики'!N3659-'19_Расчет_аналитики'!N3660)),0),0)</f>
        <v/>
      </c>
      <c r="O3662">
        <f>IF('01_Вводные'!$B$234="Да",IF(AND('07_Мерч'!O$3&gt;='01_Вводные'!$B$81,OR(MONTH('07_Мерч'!O$3)='01_Вводные'!$B$82,MONTH('07_Мерч'!O$3)='01_Вводные'!$B$83,MONTH('07_Мерч'!O$3)='01_Вводные'!$B$84,MONTH('07_Мерч'!O$3)='01_Вводные'!$B$85)),MAX(0,'19_Расчет_аналитики'!O3661-('19_Расчет_аналитики'!O3659-'19_Расчет_аналитики'!O3660)),0),0)</f>
        <v/>
      </c>
      <c r="P3662">
        <f>IF('01_Вводные'!$B$234="Да",IF(AND('07_Мерч'!P$3&gt;='01_Вводные'!$B$81,OR(MONTH('07_Мерч'!P$3)='01_Вводные'!$B$82,MONTH('07_Мерч'!P$3)='01_Вводные'!$B$83,MONTH('07_Мерч'!P$3)='01_Вводные'!$B$84,MONTH('07_Мерч'!P$3)='01_Вводные'!$B$85)),MAX(0,'19_Расчет_аналитики'!P3661-('19_Расчет_аналитики'!P3659-'19_Расчет_аналитики'!P3660)),0),0)</f>
        <v/>
      </c>
      <c r="Q3662">
        <f>IF('01_Вводные'!$B$234="Да",IF(AND('07_Мерч'!Q$3&gt;='01_Вводные'!$B$81,OR(MONTH('07_Мерч'!Q$3)='01_Вводные'!$B$82,MONTH('07_Мерч'!Q$3)='01_Вводные'!$B$83,MONTH('07_Мерч'!Q$3)='01_Вводные'!$B$84,MONTH('07_Мерч'!Q$3)='01_Вводные'!$B$85)),MAX(0,'19_Расчет_аналитики'!Q3661-('19_Расчет_аналитики'!Q3659-'19_Расчет_аналитики'!Q3660)),0),0)</f>
        <v/>
      </c>
      <c r="R3662">
        <f>IF('01_Вводные'!$B$234="Да",IF(AND('07_Мерч'!R$3&gt;='01_Вводные'!$B$81,OR(MONTH('07_Мерч'!R$3)='01_Вводные'!$B$82,MONTH('07_Мерч'!R$3)='01_Вводные'!$B$83,MONTH('07_Мерч'!R$3)='01_Вводные'!$B$84,MONTH('07_Мерч'!R$3)='01_Вводные'!$B$85)),MAX(0,'19_Расчет_аналитики'!R3661-('19_Расчет_аналитики'!R3659-'19_Расчет_аналитики'!R3660)),0),0)</f>
        <v/>
      </c>
      <c r="S3662">
        <f>IF('01_Вводные'!$B$234="Да",IF(AND('07_Мерч'!S$3&gt;='01_Вводные'!$B$81,OR(MONTH('07_Мерч'!S$3)='01_Вводные'!$B$82,MONTH('07_Мерч'!S$3)='01_Вводные'!$B$83,MONTH('07_Мерч'!S$3)='01_Вводные'!$B$84,MONTH('07_Мерч'!S$3)='01_Вводные'!$B$85)),MAX(0,'19_Расчет_аналитики'!S3661-('19_Расчет_аналитики'!S3659-'19_Расчет_аналитики'!S3660)),0),0)</f>
        <v/>
      </c>
      <c r="T3662">
        <f>IF('01_Вводные'!$B$234="Да",IF(AND('07_Мерч'!T$3&gt;='01_Вводные'!$B$81,OR(MONTH('07_Мерч'!T$3)='01_Вводные'!$B$82,MONTH('07_Мерч'!T$3)='01_Вводные'!$B$83,MONTH('07_Мерч'!T$3)='01_Вводные'!$B$84,MONTH('07_Мерч'!T$3)='01_Вводные'!$B$85)),MAX(0,'19_Расчет_аналитики'!T3661-('19_Расчет_аналитики'!T3659-'19_Расчет_аналитики'!T3660)),0),0)</f>
        <v/>
      </c>
      <c r="U3662">
        <f>IF('01_Вводные'!$B$234="Да",IF(AND('07_Мерч'!U$3&gt;='01_Вводные'!$B$81,OR(MONTH('07_Мерч'!U$3)='01_Вводные'!$B$82,MONTH('07_Мерч'!U$3)='01_Вводные'!$B$83,MONTH('07_Мерч'!U$3)='01_Вводные'!$B$84,MONTH('07_Мерч'!U$3)='01_Вводные'!$B$85)),MAX(0,'19_Расчет_аналитики'!U3661-('19_Расчет_аналитики'!U3659-'19_Расчет_аналитики'!U3660)),0),0)</f>
        <v/>
      </c>
      <c r="V3662">
        <f>IF('01_Вводные'!$B$234="Да",IF(AND('07_Мерч'!V$3&gt;='01_Вводные'!$B$81,OR(MONTH('07_Мерч'!V$3)='01_Вводные'!$B$82,MONTH('07_Мерч'!V$3)='01_Вводные'!$B$83,MONTH('07_Мерч'!V$3)='01_Вводные'!$B$84,MONTH('07_Мерч'!V$3)='01_Вводные'!$B$85)),MAX(0,'19_Расчет_аналитики'!V3661-('19_Расчет_аналитики'!V3659-'19_Расчет_аналитики'!V3660)),0),0)</f>
        <v/>
      </c>
      <c r="W3662">
        <f>IF('01_Вводные'!$B$234="Да",IF(AND('07_Мерч'!W$3&gt;='01_Вводные'!$B$81,OR(MONTH('07_Мерч'!W$3)='01_Вводные'!$B$82,MONTH('07_Мерч'!W$3)='01_Вводные'!$B$83,MONTH('07_Мерч'!W$3)='01_Вводные'!$B$84,MONTH('07_Мерч'!W$3)='01_Вводные'!$B$85)),MAX(0,'19_Расчет_аналитики'!W3661-('19_Расчет_аналитики'!W3659-'19_Расчет_аналитики'!W3660)),0),0)</f>
        <v/>
      </c>
      <c r="X3662">
        <f>IF('01_Вводные'!$B$234="Да",IF(AND('07_Мерч'!X$3&gt;='01_Вводные'!$B$81,OR(MONTH('07_Мерч'!X$3)='01_Вводные'!$B$82,MONTH('07_Мерч'!X$3)='01_Вводные'!$B$83,MONTH('07_Мерч'!X$3)='01_Вводные'!$B$84,MONTH('07_Мерч'!X$3)='01_Вводные'!$B$85)),MAX(0,'19_Расчет_аналитики'!X3661-('19_Расчет_аналитики'!X3659-'19_Расчет_аналитики'!X3660)),0),0)</f>
        <v/>
      </c>
      <c r="Y3662">
        <f>IF('01_Вводные'!$B$234="Да",IF(AND('07_Мерч'!Y$3&gt;='01_Вводные'!$B$81,OR(MONTH('07_Мерч'!Y$3)='01_Вводные'!$B$82,MONTH('07_Мерч'!Y$3)='01_Вводные'!$B$83,MONTH('07_Мерч'!Y$3)='01_Вводные'!$B$84,MONTH('07_Мерч'!Y$3)='01_Вводные'!$B$85)),MAX(0,'19_Расчет_аналитики'!Y3661-('19_Расчет_аналитики'!Y3659-'19_Расчет_аналитики'!Y3660)),0),0)</f>
        <v/>
      </c>
      <c r="Z3662">
        <f>IF('01_Вводные'!$B$234="Да",IF(AND('07_Мерч'!Z$3&gt;='01_Вводные'!$B$81,OR(MONTH('07_Мерч'!Z$3)='01_Вводные'!$B$82,MONTH('07_Мерч'!Z$3)='01_Вводные'!$B$83,MONTH('07_Мерч'!Z$3)='01_Вводные'!$B$84,MONTH('07_Мерч'!Z$3)='01_Вводные'!$B$85)),MAX(0,'19_Расчет_аналитики'!Z3661-('19_Расчет_аналитики'!Z3659-'19_Расчет_аналитики'!Z3660)),0),0)</f>
        <v/>
      </c>
      <c r="AA3662">
        <f>IF('01_Вводные'!$B$234="Да",IF(AND('07_Мерч'!AA$3&gt;='01_Вводные'!$B$81,OR(MONTH('07_Мерч'!AA$3)='01_Вводные'!$B$82,MONTH('07_Мерч'!AA$3)='01_Вводные'!$B$83,MONTH('07_Мерч'!AA$3)='01_Вводные'!$B$84,MONTH('07_Мерч'!AA$3)='01_Вводные'!$B$85)),MAX(0,'19_Расчет_аналитики'!AA3661-('19_Расчет_аналитики'!AA3659-'19_Расчет_аналитики'!AA3660)),0),0)</f>
        <v/>
      </c>
      <c r="AB3662">
        <f>IF('01_Вводные'!$B$234="Да",IF(AND('07_Мерч'!AB$3&gt;='01_Вводные'!$B$81,OR(MONTH('07_Мерч'!AB$3)='01_Вводные'!$B$82,MONTH('07_Мерч'!AB$3)='01_Вводные'!$B$83,MONTH('07_Мерч'!AB$3)='01_Вводные'!$B$84,MONTH('07_Мерч'!AB$3)='01_Вводные'!$B$85)),MAX(0,'19_Расчет_аналитики'!AB3661-('19_Расчет_аналитики'!AB3659-'19_Расчет_аналитики'!AB3660)),0),0)</f>
        <v/>
      </c>
      <c r="AC3662">
        <f>IF('01_Вводные'!$B$234="Да",IF(AND('07_Мерч'!AC$3&gt;='01_Вводные'!$B$81,OR(MONTH('07_Мерч'!AC$3)='01_Вводные'!$B$82,MONTH('07_Мерч'!AC$3)='01_Вводные'!$B$83,MONTH('07_Мерч'!AC$3)='01_Вводные'!$B$84,MONTH('07_Мерч'!AC$3)='01_Вводные'!$B$85)),MAX(0,'19_Расчет_аналитики'!AC3661-('19_Расчет_аналитики'!AC3659-'19_Расчет_аналитики'!AC3660)),0),0)</f>
        <v/>
      </c>
      <c r="AD3662">
        <f>IF('01_Вводные'!$B$234="Да",IF(AND('07_Мерч'!AD$3&gt;='01_Вводные'!$B$81,OR(MONTH('07_Мерч'!AD$3)='01_Вводные'!$B$82,MONTH('07_Мерч'!AD$3)='01_Вводные'!$B$83,MONTH('07_Мерч'!AD$3)='01_Вводные'!$B$84,MONTH('07_Мерч'!AD$3)='01_Вводные'!$B$85)),MAX(0,'19_Расчет_аналитики'!AD3661-('19_Расчет_аналитики'!AD3659-'19_Расчет_аналитики'!AD3660)),0),0)</f>
        <v/>
      </c>
      <c r="AE3662">
        <f>IF('01_Вводные'!$B$234="Да",IF(AND('07_Мерч'!AE$3&gt;='01_Вводные'!$B$81,OR(MONTH('07_Мерч'!AE$3)='01_Вводные'!$B$82,MONTH('07_Мерч'!AE$3)='01_Вводные'!$B$83,MONTH('07_Мерч'!AE$3)='01_Вводные'!$B$84,MONTH('07_Мерч'!AE$3)='01_Вводные'!$B$85)),MAX(0,'19_Расчет_аналитики'!AE3661-('19_Расчет_аналитики'!AE3659-'19_Расчет_аналитики'!AE3660)),0),0)</f>
        <v/>
      </c>
      <c r="AF3662">
        <f>IF('01_Вводные'!$B$234="Да",IF(AND('07_Мерч'!AF$3&gt;='01_Вводные'!$B$81,OR(MONTH('07_Мерч'!AF$3)='01_Вводные'!$B$82,MONTH('07_Мерч'!AF$3)='01_Вводные'!$B$83,MONTH('07_Мерч'!AF$3)='01_Вводные'!$B$84,MONTH('07_Мерч'!AF$3)='01_Вводные'!$B$85)),MAX(0,'19_Расчет_аналитики'!AF3661-('19_Расчет_аналитики'!AF3659-'19_Расчет_аналитики'!AF3660)),0),0)</f>
        <v/>
      </c>
      <c r="AG3662">
        <f>IF('01_Вводные'!$B$234="Да",IF(AND('07_Мерч'!AG$3&gt;='01_Вводные'!$B$81,OR(MONTH('07_Мерч'!AG$3)='01_Вводные'!$B$82,MONTH('07_Мерч'!AG$3)='01_Вводные'!$B$83,MONTH('07_Мерч'!AG$3)='01_Вводные'!$B$84,MONTH('07_Мерч'!AG$3)='01_Вводные'!$B$85)),MAX(0,'19_Расчет_аналитики'!AG3661-('19_Расчет_аналитики'!AG3659-'19_Расчет_аналитики'!AG3660)),0),0)</f>
        <v/>
      </c>
      <c r="AH3662">
        <f>IF('01_Вводные'!$B$234="Да",IF(AND('07_Мерч'!AH$3&gt;='01_Вводные'!$B$81,OR(MONTH('07_Мерч'!AH$3)='01_Вводные'!$B$82,MONTH('07_Мерч'!AH$3)='01_Вводные'!$B$83,MONTH('07_Мерч'!AH$3)='01_Вводные'!$B$84,MONTH('07_Мерч'!AH$3)='01_Вводные'!$B$85)),MAX(0,'19_Расчет_аналитики'!AH3661-('19_Расчет_аналитики'!AH3659-'19_Расчет_аналитики'!AH3660)),0),0)</f>
        <v/>
      </c>
      <c r="AI3662">
        <f>IF('01_Вводные'!$B$234="Да",IF(AND('07_Мерч'!AI$3&gt;='01_Вводные'!$B$81,OR(MONTH('07_Мерч'!AI$3)='01_Вводные'!$B$82,MONTH('07_Мерч'!AI$3)='01_Вводные'!$B$83,MONTH('07_Мерч'!AI$3)='01_Вводные'!$B$84,MONTH('07_Мерч'!AI$3)='01_Вводные'!$B$85)),MAX(0,'19_Расчет_аналитики'!AI3661-('19_Расчет_аналитики'!AI3659-'19_Расчет_аналитики'!AI3660)),0),0)</f>
        <v/>
      </c>
      <c r="AJ3662">
        <f>IF('01_Вводные'!$B$234="Да",IF(AND('07_Мерч'!AJ$3&gt;='01_Вводные'!$B$81,OR(MONTH('07_Мерч'!AJ$3)='01_Вводные'!$B$82,MONTH('07_Мерч'!AJ$3)='01_Вводные'!$B$83,MONTH('07_Мерч'!AJ$3)='01_Вводные'!$B$84,MONTH('07_Мерч'!AJ$3)='01_Вводные'!$B$85)),MAX(0,'19_Расчет_аналитики'!AJ3661-('19_Расчет_аналитики'!AJ3659-'19_Расчет_аналитики'!AJ3660)),0),0)</f>
        <v/>
      </c>
      <c r="AK3662">
        <f>IF('01_Вводные'!$B$234="Да",IF(AND('07_Мерч'!AK$3&gt;='01_Вводные'!$B$81,OR(MONTH('07_Мерч'!AK$3)='01_Вводные'!$B$82,MONTH('07_Мерч'!AK$3)='01_Вводные'!$B$83,MONTH('07_Мерч'!AK$3)='01_Вводные'!$B$84,MONTH('07_Мерч'!AK$3)='01_Вводные'!$B$85)),MAX(0,'19_Расчет_аналитики'!AK3661-('19_Расчет_аналитики'!AK3659-'19_Расчет_аналитики'!AK3660)),0),0)</f>
        <v/>
      </c>
      <c r="AL3662">
        <f>IF('01_Вводные'!$B$234="Да",IF(AND('07_Мерч'!AL$3&gt;='01_Вводные'!$B$81,OR(MONTH('07_Мерч'!AL$3)='01_Вводные'!$B$82,MONTH('07_Мерч'!AL$3)='01_Вводные'!$B$83,MONTH('07_Мерч'!AL$3)='01_Вводные'!$B$84,MONTH('07_Мерч'!AL$3)='01_Вводные'!$B$85)),MAX(0,'19_Расчет_аналитики'!AL3661-('19_Расчет_аналитики'!AL3659-'19_Расчет_аналитики'!AL3660)),0),0)</f>
        <v/>
      </c>
      <c r="AM3662">
        <f>IF('01_Вводные'!$B$234="Да",IF(AND('07_Мерч'!AM$3&gt;='01_Вводные'!$B$81,OR(MONTH('07_Мерч'!AM$3)='01_Вводные'!$B$82,MONTH('07_Мерч'!AM$3)='01_Вводные'!$B$83,MONTH('07_Мерч'!AM$3)='01_Вводные'!$B$84,MONTH('07_Мерч'!AM$3)='01_Вводные'!$B$85)),MAX(0,'19_Расчет_аналитики'!AM3661-('19_Расчет_аналитики'!AM3659-'19_Расчет_аналитики'!AM3660)),0),0)</f>
        <v/>
      </c>
      <c r="AN3662">
        <f>IF('01_Вводные'!$B$234="Да",IF(AND('07_Мерч'!AN$3&gt;='01_Вводные'!$B$81,OR(MONTH('07_Мерч'!AN$3)='01_Вводные'!$B$82,MONTH('07_Мерч'!AN$3)='01_Вводные'!$B$83,MONTH('07_Мерч'!AN$3)='01_Вводные'!$B$84,MONTH('07_Мерч'!AN$3)='01_Вводные'!$B$85)),MAX(0,'19_Расчет_аналитики'!AN3661-('19_Расчет_аналитики'!AN3659-'19_Расчет_аналитики'!AN3660)),0),0)</f>
        <v/>
      </c>
      <c r="AO3662">
        <f>IF('01_Вводные'!$B$234="Да",IF(AND('07_Мерч'!AO$3&gt;='01_Вводные'!$B$81,OR(MONTH('07_Мерч'!AO$3)='01_Вводные'!$B$82,MONTH('07_Мерч'!AO$3)='01_Вводные'!$B$83,MONTH('07_Мерч'!AO$3)='01_Вводные'!$B$84,MONTH('07_Мерч'!AO$3)='01_Вводные'!$B$85)),MAX(0,'19_Расчет_аналитики'!AO3661-('19_Расчет_аналитики'!AO3659-'19_Расчет_аналитики'!AO3660)),0),0)</f>
        <v/>
      </c>
      <c r="AP3662">
        <f>IF('01_Вводные'!$B$234="Да",IF(AND('07_Мерч'!AP$3&gt;='01_Вводные'!$B$81,OR(MONTH('07_Мерч'!AP$3)='01_Вводные'!$B$82,MONTH('07_Мерч'!AP$3)='01_Вводные'!$B$83,MONTH('07_Мерч'!AP$3)='01_Вводные'!$B$84,MONTH('07_Мерч'!AP$3)='01_Вводные'!$B$85)),MAX(0,'19_Расчет_аналитики'!AP3661-('19_Расчет_аналитики'!AP3659-'19_Расчет_аналитики'!AP3660)),0),0)</f>
        <v/>
      </c>
      <c r="AQ3662">
        <f>IF('01_Вводные'!$B$234="Да",IF(AND('07_Мерч'!AQ$3&gt;='01_Вводные'!$B$81,OR(MONTH('07_Мерч'!AQ$3)='01_Вводные'!$B$82,MONTH('07_Мерч'!AQ$3)='01_Вводные'!$B$83,MONTH('07_Мерч'!AQ$3)='01_Вводные'!$B$84,MONTH('07_Мерч'!AQ$3)='01_Вводные'!$B$85)),MAX(0,'19_Расчет_аналитики'!AQ3661-('19_Расчет_аналитики'!AQ3659-'19_Расчет_аналитики'!AQ3660)),0),0)</f>
        <v/>
      </c>
      <c r="AR3662">
        <f>IF('01_Вводные'!$B$234="Да",IF(AND('07_Мерч'!AR$3&gt;='01_Вводные'!$B$81,OR(MONTH('07_Мерч'!AR$3)='01_Вводные'!$B$82,MONTH('07_Мерч'!AR$3)='01_Вводные'!$B$83,MONTH('07_Мерч'!AR$3)='01_Вводные'!$B$84,MONTH('07_Мерч'!AR$3)='01_Вводные'!$B$85)),MAX(0,'19_Расчет_аналитики'!AR3661-('19_Расчет_аналитики'!AR3659-'19_Расчет_аналитики'!AR3660)),0),0)</f>
        <v/>
      </c>
      <c r="AS3662">
        <f>IF('01_Вводные'!$B$234="Да",IF(AND('07_Мерч'!AS$3&gt;='01_Вводные'!$B$81,OR(MONTH('07_Мерч'!AS$3)='01_Вводные'!$B$82,MONTH('07_Мерч'!AS$3)='01_Вводные'!$B$83,MONTH('07_Мерч'!AS$3)='01_Вводные'!$B$84,MONTH('07_Мерч'!AS$3)='01_Вводные'!$B$85)),MAX(0,'19_Расчет_аналитики'!AS3661-('19_Расчет_аналитики'!AS3659-'19_Расчет_аналитики'!AS3660)),0),0)</f>
        <v/>
      </c>
      <c r="AT3662">
        <f>IF('01_Вводные'!$B$234="Да",IF(AND('07_Мерч'!AT$3&gt;='01_Вводные'!$B$81,OR(MONTH('07_Мерч'!AT$3)='01_Вводные'!$B$82,MONTH('07_Мерч'!AT$3)='01_Вводные'!$B$83,MONTH('07_Мерч'!AT$3)='01_Вводные'!$B$84,MONTH('07_Мерч'!AT$3)='01_Вводные'!$B$85)),MAX(0,'19_Расчет_аналитики'!AT3661-('19_Расчет_аналитики'!AT3659-'19_Расчет_аналитики'!AT3660)),0),0)</f>
        <v/>
      </c>
      <c r="AU3662">
        <f>IF('01_Вводные'!$B$234="Да",IF(AND('07_Мерч'!AU$3&gt;='01_Вводные'!$B$81,OR(MONTH('07_Мерч'!AU$3)='01_Вводные'!$B$82,MONTH('07_Мерч'!AU$3)='01_Вводные'!$B$83,MONTH('07_Мерч'!AU$3)='01_Вводные'!$B$84,MONTH('07_Мерч'!AU$3)='01_Вводные'!$B$85)),MAX(0,'19_Расчет_аналитики'!AU3661-('19_Расчет_аналитики'!AU3659-'19_Расчет_аналитики'!AU3660)),0),0)</f>
        <v/>
      </c>
      <c r="AV3662">
        <f>IF('01_Вводные'!$B$234="Да",IF(AND('07_Мерч'!AV$3&gt;='01_Вводные'!$B$81,OR(MONTH('07_Мерч'!AV$3)='01_Вводные'!$B$82,MONTH('07_Мерч'!AV$3)='01_Вводные'!$B$83,MONTH('07_Мерч'!AV$3)='01_Вводные'!$B$84,MONTH('07_Мерч'!AV$3)='01_Вводные'!$B$85)),MAX(0,'19_Расчет_аналитики'!AV3661-('19_Расчет_аналитики'!AV3659-'19_Расчет_аналитики'!AV3660)),0),0)</f>
        <v/>
      </c>
      <c r="AW3662">
        <f>IF('01_Вводные'!$B$234="Да",IF(AND('07_Мерч'!AW$3&gt;='01_Вводные'!$B$81,OR(MONTH('07_Мерч'!AW$3)='01_Вводные'!$B$82,MONTH('07_Мерч'!AW$3)='01_Вводные'!$B$83,MONTH('07_Мерч'!AW$3)='01_Вводные'!$B$84,MONTH('07_Мерч'!AW$3)='01_Вводные'!$B$85)),MAX(0,'19_Расчет_аналитики'!AW3661-('19_Расчет_аналитики'!AW3659-'19_Расчет_аналитики'!AW3660)),0),0)</f>
        <v/>
      </c>
      <c r="AX3662">
        <f>IF('01_Вводные'!$B$234="Да",IF(AND('07_Мерч'!AX$3&gt;='01_Вводные'!$B$81,OR(MONTH('07_Мерч'!AX$3)='01_Вводные'!$B$82,MONTH('07_Мерч'!AX$3)='01_Вводные'!$B$83,MONTH('07_Мерч'!AX$3)='01_Вводные'!$B$84,MONTH('07_Мерч'!AX$3)='01_Вводные'!$B$85)),MAX(0,'19_Расчет_аналитики'!AX3661-('19_Расчет_аналитики'!AX3659-'19_Расчет_аналитики'!AX3660)),0),0)</f>
        <v/>
      </c>
      <c r="AY3662">
        <f>IF('01_Вводные'!$B$234="Да",IF(AND('07_Мерч'!AY$3&gt;='01_Вводные'!$B$81,OR(MONTH('07_Мерч'!AY$3)='01_Вводные'!$B$82,MONTH('07_Мерч'!AY$3)='01_Вводные'!$B$83,MONTH('07_Мерч'!AY$3)='01_Вводные'!$B$84,MONTH('07_Мерч'!AY$3)='01_Вводные'!$B$85)),MAX(0,'19_Расчет_аналитики'!AY3661-('19_Расчет_аналитики'!AY3659-'19_Расчет_аналитики'!AY3660)),0),0)</f>
        <v/>
      </c>
      <c r="AZ3662">
        <f>IF('01_Вводные'!$B$234="Да",IF(AND('07_Мерч'!AZ$3&gt;='01_Вводные'!$B$81,OR(MONTH('07_Мерч'!AZ$3)='01_Вводные'!$B$82,MONTH('07_Мерч'!AZ$3)='01_Вводные'!$B$83,MONTH('07_Мерч'!AZ$3)='01_Вводные'!$B$84,MONTH('07_Мерч'!AZ$3)='01_Вводные'!$B$85)),MAX(0,'19_Расчет_аналитики'!AZ3661-('19_Расчет_аналитики'!AZ3659-'19_Расчет_аналитики'!AZ3660)),0),0)</f>
        <v/>
      </c>
      <c r="BA3662">
        <f>IF('01_Вводные'!$B$234="Да",IF(AND('07_Мерч'!BA$3&gt;='01_Вводные'!$B$81,OR(MONTH('07_Мерч'!BA$3)='01_Вводные'!$B$82,MONTH('07_Мерч'!BA$3)='01_Вводные'!$B$83,MONTH('07_Мерч'!BA$3)='01_Вводные'!$B$84,MONTH('07_Мерч'!BA$3)='01_Вводные'!$B$85)),MAX(0,'19_Расчет_аналитики'!BA3661-('19_Расчет_аналитики'!BA3659-'19_Расчет_аналитики'!BA3660)),0),0)</f>
        <v/>
      </c>
      <c r="BB3662">
        <f>IF('01_Вводные'!$B$234="Да",IF(AND('07_Мерч'!BB$3&gt;='01_Вводные'!$B$81,OR(MONTH('07_Мерч'!BB$3)='01_Вводные'!$B$82,MONTH('07_Мерч'!BB$3)='01_Вводные'!$B$83,MONTH('07_Мерч'!BB$3)='01_Вводные'!$B$84,MONTH('07_Мерч'!BB$3)='01_Вводные'!$B$85)),MAX(0,'19_Расчет_аналитики'!BB3661-('19_Расчет_аналитики'!BB3659-'19_Расчет_аналитики'!BB3660)),0),0)</f>
        <v/>
      </c>
      <c r="BC3662">
        <f>IF('01_Вводные'!$B$234="Да",IF(AND('07_Мерч'!BC$3&gt;='01_Вводные'!$B$81,OR(MONTH('07_Мерч'!BC$3)='01_Вводные'!$B$82,MONTH('07_Мерч'!BC$3)='01_Вводные'!$B$83,MONTH('07_Мерч'!BC$3)='01_Вводные'!$B$84,MONTH('07_Мерч'!BC$3)='01_Вводные'!$B$85)),MAX(0,'19_Расчет_аналитики'!BC3661-('19_Расчет_аналитики'!BC3659-'19_Расчет_аналитики'!BC3660)),0),0)</f>
        <v/>
      </c>
      <c r="BD3662">
        <f>IF('01_Вводные'!$B$234="Да",IF(AND('07_Мерч'!BD$3&gt;='01_Вводные'!$B$81,OR(MONTH('07_Мерч'!BD$3)='01_Вводные'!$B$82,MONTH('07_Мерч'!BD$3)='01_Вводные'!$B$83,MONTH('07_Мерч'!BD$3)='01_Вводные'!$B$84,MONTH('07_Мерч'!BD$3)='01_Вводные'!$B$85)),MAX(0,'19_Расчет_аналитики'!BD3661-('19_Расчет_аналитики'!BD3659-'19_Расчет_аналитики'!BD3660)),0),0)</f>
        <v/>
      </c>
      <c r="BE3662">
        <f>IF('01_Вводные'!$B$234="Да",IF(AND('07_Мерч'!BE$3&gt;='01_Вводные'!$B$81,OR(MONTH('07_Мерч'!BE$3)='01_Вводные'!$B$82,MONTH('07_Мерч'!BE$3)='01_Вводные'!$B$83,MONTH('07_Мерч'!BE$3)='01_Вводные'!$B$84,MONTH('07_Мерч'!BE$3)='01_Вводные'!$B$85)),MAX(0,'19_Расчет_аналитики'!BE3661-('19_Расчет_аналитики'!BE3659-'19_Расчет_аналитики'!BE3660)),0),0)</f>
        <v/>
      </c>
      <c r="BF3662">
        <f>IF('01_Вводные'!$B$234="Да",IF(AND('07_Мерч'!BF$3&gt;='01_Вводные'!$B$81,OR(MONTH('07_Мерч'!BF$3)='01_Вводные'!$B$82,MONTH('07_Мерч'!BF$3)='01_Вводные'!$B$83,MONTH('07_Мерч'!BF$3)='01_Вводные'!$B$84,MONTH('07_Мерч'!BF$3)='01_Вводные'!$B$85)),MAX(0,'19_Расчет_аналитики'!BF3661-('19_Расчет_аналитики'!BF3659-'19_Расчет_аналитики'!BF3660)),0),0)</f>
        <v/>
      </c>
      <c r="BG3662">
        <f>IF('01_Вводные'!$B$234="Да",IF(AND('07_Мерч'!BG$3&gt;='01_Вводные'!$B$81,OR(MONTH('07_Мерч'!BG$3)='01_Вводные'!$B$82,MONTH('07_Мерч'!BG$3)='01_Вводные'!$B$83,MONTH('07_Мерч'!BG$3)='01_Вводные'!$B$84,MONTH('07_Мерч'!BG$3)='01_Вводные'!$B$85)),MAX(0,'19_Расчет_аналитики'!BG3661-('19_Расчет_аналитики'!BG3659-'19_Расчет_аналитики'!BG3660)),0),0)</f>
        <v/>
      </c>
      <c r="BH3662">
        <f>IF('01_Вводные'!$B$234="Да",IF(AND('07_Мерч'!BH$3&gt;='01_Вводные'!$B$81,OR(MONTH('07_Мерч'!BH$3)='01_Вводные'!$B$82,MONTH('07_Мерч'!BH$3)='01_Вводные'!$B$83,MONTH('07_Мерч'!BH$3)='01_Вводные'!$B$84,MONTH('07_Мерч'!BH$3)='01_Вводные'!$B$85)),MAX(0,'19_Расчет_аналитики'!BH3661-('19_Расчет_аналитики'!BH3659-'19_Расчет_аналитики'!BH3660)),0),0)</f>
        <v/>
      </c>
      <c r="BI3662">
        <f>IF('01_Вводные'!$B$234="Да",IF(AND('07_Мерч'!BI$3&gt;='01_Вводные'!$B$81,OR(MONTH('07_Мерч'!BI$3)='01_Вводные'!$B$82,MONTH('07_Мерч'!BI$3)='01_Вводные'!$B$83,MONTH('07_Мерч'!BI$3)='01_Вводные'!$B$84,MONTH('07_Мерч'!BI$3)='01_Вводные'!$B$85)),MAX(0,'19_Расчет_аналитики'!BI3661-('19_Расчет_аналитики'!BI3659-'19_Расчет_аналитики'!BI3660)),0),0)</f>
        <v/>
      </c>
      <c r="BJ3662">
        <f>IF('01_Вводные'!$B$234="Да",IF(AND('07_Мерч'!BJ$3&gt;='01_Вводные'!$B$81,OR(MONTH('07_Мерч'!BJ$3)='01_Вводные'!$B$82,MONTH('07_Мерч'!BJ$3)='01_Вводные'!$B$83,MONTH('07_Мерч'!BJ$3)='01_Вводные'!$B$84,MONTH('07_Мерч'!BJ$3)='01_Вводные'!$B$85)),MAX(0,'07_Мерч'!BJ24-('19_Расчет_аналитики'!BJ3659-'19_Расчет_аналитики'!BJ3660)),0),0)</f>
        <v/>
      </c>
      <c r="BK3662">
        <f>IF('01_Вводные'!$B$234="Да",IF(AND('07_Мерч'!BK$3&gt;='01_Вводные'!$B$81,OR(MONTH('07_Мерч'!BK$3)='01_Вводные'!$B$82,MONTH('07_Мерч'!BK$3)='01_Вводные'!$B$83,MONTH('07_Мерч'!BK$3)='01_Вводные'!$B$84,MONTH('07_Мерч'!BK$3)='01_Вводные'!$B$85)),MAX(0,'07_Мерч'!BK24-('19_Расчет_аналитики'!BK3659-'19_Расчет_аналитики'!BK3660)),0),0)</f>
        <v/>
      </c>
      <c r="BL3662">
        <f>IF('01_Вводные'!$B$234="Да",IF(AND('07_Мерч'!BL$3&gt;='01_Вводные'!$B$81,OR(MONTH('07_Мерч'!BL$3)='01_Вводные'!$B$82,MONTH('07_Мерч'!BL$3)='01_Вводные'!$B$83,MONTH('07_Мерч'!BL$3)='01_Вводные'!$B$84,MONTH('07_Мерч'!BL$3)='01_Вводные'!$B$85)),MAX(0,'07_Мерч'!BL24-('19_Расчет_аналитики'!BL3659-'19_Расчет_аналитики'!BL3660)),0),0)</f>
        <v/>
      </c>
      <c r="BM3662">
        <f>IF('01_Вводные'!$B$234="Да",IF(AND('07_Мерч'!BM$3&gt;='01_Вводные'!$B$81,OR(MONTH('07_Мерч'!BM$3)='01_Вводные'!$B$82,MONTH('07_Мерч'!BM$3)='01_Вводные'!$B$83,MONTH('07_Мерч'!BM$3)='01_Вводные'!$B$84,MONTH('07_Мерч'!BM$3)='01_Вводные'!$B$85)),MAX(0,'07_Мерч'!BM24-('19_Расчет_аналитики'!BM3659-'19_Расчет_аналитики'!BM3660)),0),0)</f>
        <v/>
      </c>
      <c r="BN3662">
        <f>IF('01_Вводные'!$B$234="Да",IF(AND('07_Мерч'!BN$3&gt;='01_Вводные'!$B$81,OR(MONTH('07_Мерч'!BN$3)='01_Вводные'!$B$82,MONTH('07_Мерч'!BN$3)='01_Вводные'!$B$83,MONTH('07_Мерч'!BN$3)='01_Вводные'!$B$84,MONTH('07_Мерч'!BN$3)='01_Вводные'!$B$85)),MAX(0,'07_Мерч'!BN24-('19_Расчет_аналитики'!BN3659-'19_Расчет_аналитики'!BN3660)),0),0)</f>
        <v/>
      </c>
      <c r="BO3662">
        <f>IF('01_Вводные'!$B$234="Да",IF(AND('07_Мерч'!BO$3&gt;='01_Вводные'!$B$81,OR(MONTH('07_Мерч'!BO$3)='01_Вводные'!$B$82,MONTH('07_Мерч'!BO$3)='01_Вводные'!$B$83,MONTH('07_Мерч'!BO$3)='01_Вводные'!$B$84,MONTH('07_Мерч'!BO$3)='01_Вводные'!$B$85)),MAX(0,'07_Мерч'!BO24-('19_Расчет_аналитики'!BO3659-'19_Расчет_аналитики'!BO3660)),0),0)</f>
        <v/>
      </c>
    </row>
    <row r="3663">
      <c r="B3663">
        <f>IF('01_Вводные'!$B$234="Да",'07_Мерч'!B22+'19_Расчет_аналитики'!B3662-'19_Расчет_аналитики'!B3660,0)</f>
        <v/>
      </c>
      <c r="C3663">
        <f>IF('01_Вводные'!$B$234="Да",'19_Расчет_аналитики'!C3659+'19_Расчет_аналитики'!C3662-'19_Расчет_аналитики'!C3660,0)</f>
        <v/>
      </c>
      <c r="D3663">
        <f>IF('01_Вводные'!$B$234="Да",'19_Расчет_аналитики'!D3659+'19_Расчет_аналитики'!D3662-'19_Расчет_аналитики'!D3660,0)</f>
        <v/>
      </c>
      <c r="E3663">
        <f>IF('01_Вводные'!$B$234="Да",'19_Расчет_аналитики'!E3659+'19_Расчет_аналитики'!E3662-'19_Расчет_аналитики'!E3660,0)</f>
        <v/>
      </c>
      <c r="F3663">
        <f>IF('01_Вводные'!$B$234="Да",'19_Расчет_аналитики'!F3659+'19_Расчет_аналитики'!F3662-'19_Расчет_аналитики'!F3660,0)</f>
        <v/>
      </c>
      <c r="G3663">
        <f>IF('01_Вводные'!$B$234="Да",'19_Расчет_аналитики'!G3659+'19_Расчет_аналитики'!G3662-'19_Расчет_аналитики'!G3660,0)</f>
        <v/>
      </c>
      <c r="H3663">
        <f>IF('01_Вводные'!$B$234="Да",'19_Расчет_аналитики'!H3659+'19_Расчет_аналитики'!H3662-'19_Расчет_аналитики'!H3660,0)</f>
        <v/>
      </c>
      <c r="I3663">
        <f>IF('01_Вводные'!$B$234="Да",'19_Расчет_аналитики'!I3659+'19_Расчет_аналитики'!I3662-'19_Расчет_аналитики'!I3660,0)</f>
        <v/>
      </c>
      <c r="J3663">
        <f>IF('01_Вводные'!$B$234="Да",'19_Расчет_аналитики'!J3659+'19_Расчет_аналитики'!J3662-'19_Расчет_аналитики'!J3660,0)</f>
        <v/>
      </c>
      <c r="K3663">
        <f>IF('01_Вводные'!$B$234="Да",'19_Расчет_аналитики'!K3659+'19_Расчет_аналитики'!K3662-'19_Расчет_аналитики'!K3660,0)</f>
        <v/>
      </c>
      <c r="L3663">
        <f>IF('01_Вводные'!$B$234="Да",'19_Расчет_аналитики'!L3659+'19_Расчет_аналитики'!L3662-'19_Расчет_аналитики'!L3660,0)</f>
        <v/>
      </c>
      <c r="M3663">
        <f>IF('01_Вводные'!$B$234="Да",'19_Расчет_аналитики'!M3659+'19_Расчет_аналитики'!M3662-'19_Расчет_аналитики'!M3660,0)</f>
        <v/>
      </c>
      <c r="N3663">
        <f>IF('01_Вводные'!$B$234="Да",'19_Расчет_аналитики'!N3659+'19_Расчет_аналитики'!N3662-'19_Расчет_аналитики'!N3660,0)</f>
        <v/>
      </c>
      <c r="O3663">
        <f>IF('01_Вводные'!$B$234="Да",'19_Расчет_аналитики'!O3659+'19_Расчет_аналитики'!O3662-'19_Расчет_аналитики'!O3660,0)</f>
        <v/>
      </c>
      <c r="P3663">
        <f>IF('01_Вводные'!$B$234="Да",'19_Расчет_аналитики'!P3659+'19_Расчет_аналитики'!P3662-'19_Расчет_аналитики'!P3660,0)</f>
        <v/>
      </c>
      <c r="Q3663">
        <f>IF('01_Вводные'!$B$234="Да",'19_Расчет_аналитики'!Q3659+'19_Расчет_аналитики'!Q3662-'19_Расчет_аналитики'!Q3660,0)</f>
        <v/>
      </c>
      <c r="R3663">
        <f>IF('01_Вводные'!$B$234="Да",'19_Расчет_аналитики'!R3659+'19_Расчет_аналитики'!R3662-'19_Расчет_аналитики'!R3660,0)</f>
        <v/>
      </c>
      <c r="S3663">
        <f>IF('01_Вводные'!$B$234="Да",'19_Расчет_аналитики'!S3659+'19_Расчет_аналитики'!S3662-'19_Расчет_аналитики'!S3660,0)</f>
        <v/>
      </c>
      <c r="T3663">
        <f>IF('01_Вводные'!$B$234="Да",'19_Расчет_аналитики'!T3659+'19_Расчет_аналитики'!T3662-'19_Расчет_аналитики'!T3660,0)</f>
        <v/>
      </c>
      <c r="U3663">
        <f>IF('01_Вводные'!$B$234="Да",'19_Расчет_аналитики'!U3659+'19_Расчет_аналитики'!U3662-'19_Расчет_аналитики'!U3660,0)</f>
        <v/>
      </c>
      <c r="V3663">
        <f>IF('01_Вводные'!$B$234="Да",'19_Расчет_аналитики'!V3659+'19_Расчет_аналитики'!V3662-'19_Расчет_аналитики'!V3660,0)</f>
        <v/>
      </c>
      <c r="W3663">
        <f>IF('01_Вводные'!$B$234="Да",'19_Расчет_аналитики'!W3659+'19_Расчет_аналитики'!W3662-'19_Расчет_аналитики'!W3660,0)</f>
        <v/>
      </c>
      <c r="X3663">
        <f>IF('01_Вводные'!$B$234="Да",'19_Расчет_аналитики'!X3659+'19_Расчет_аналитики'!X3662-'19_Расчет_аналитики'!X3660,0)</f>
        <v/>
      </c>
      <c r="Y3663">
        <f>IF('01_Вводные'!$B$234="Да",'19_Расчет_аналитики'!Y3659+'19_Расчет_аналитики'!Y3662-'19_Расчет_аналитики'!Y3660,0)</f>
        <v/>
      </c>
      <c r="Z3663">
        <f>IF('01_Вводные'!$B$234="Да",'19_Расчет_аналитики'!Z3659+'19_Расчет_аналитики'!Z3662-'19_Расчет_аналитики'!Z3660,0)</f>
        <v/>
      </c>
      <c r="AA3663">
        <f>IF('01_Вводные'!$B$234="Да",'19_Расчет_аналитики'!AA3659+'19_Расчет_аналитики'!AA3662-'19_Расчет_аналитики'!AA3660,0)</f>
        <v/>
      </c>
      <c r="AB3663">
        <f>IF('01_Вводные'!$B$234="Да",'19_Расчет_аналитики'!AB3659+'19_Расчет_аналитики'!AB3662-'19_Расчет_аналитики'!AB3660,0)</f>
        <v/>
      </c>
      <c r="AC3663">
        <f>IF('01_Вводные'!$B$234="Да",'19_Расчет_аналитики'!AC3659+'19_Расчет_аналитики'!AC3662-'19_Расчет_аналитики'!AC3660,0)</f>
        <v/>
      </c>
      <c r="AD3663">
        <f>IF('01_Вводные'!$B$234="Да",'19_Расчет_аналитики'!AD3659+'19_Расчет_аналитики'!AD3662-'19_Расчет_аналитики'!AD3660,0)</f>
        <v/>
      </c>
      <c r="AE3663">
        <f>IF('01_Вводные'!$B$234="Да",'19_Расчет_аналитики'!AE3659+'19_Расчет_аналитики'!AE3662-'19_Расчет_аналитики'!AE3660,0)</f>
        <v/>
      </c>
      <c r="AF3663">
        <f>IF('01_Вводные'!$B$234="Да",'19_Расчет_аналитики'!AF3659+'19_Расчет_аналитики'!AF3662-'19_Расчет_аналитики'!AF3660,0)</f>
        <v/>
      </c>
      <c r="AG3663">
        <f>IF('01_Вводные'!$B$234="Да",'19_Расчет_аналитики'!AG3659+'19_Расчет_аналитики'!AG3662-'19_Расчет_аналитики'!AG3660,0)</f>
        <v/>
      </c>
      <c r="AH3663">
        <f>IF('01_Вводные'!$B$234="Да",'19_Расчет_аналитики'!AH3659+'19_Расчет_аналитики'!AH3662-'19_Расчет_аналитики'!AH3660,0)</f>
        <v/>
      </c>
      <c r="AI3663">
        <f>IF('01_Вводные'!$B$234="Да",'19_Расчет_аналитики'!AI3659+'19_Расчет_аналитики'!AI3662-'19_Расчет_аналитики'!AI3660,0)</f>
        <v/>
      </c>
      <c r="AJ3663">
        <f>IF('01_Вводные'!$B$234="Да",'19_Расчет_аналитики'!AJ3659+'19_Расчет_аналитики'!AJ3662-'19_Расчет_аналитики'!AJ3660,0)</f>
        <v/>
      </c>
      <c r="AK3663">
        <f>IF('01_Вводные'!$B$234="Да",'19_Расчет_аналитики'!AK3659+'19_Расчет_аналитики'!AK3662-'19_Расчет_аналитики'!AK3660,0)</f>
        <v/>
      </c>
      <c r="AL3663">
        <f>IF('01_Вводные'!$B$234="Да",'19_Расчет_аналитики'!AL3659+'19_Расчет_аналитики'!AL3662-'19_Расчет_аналитики'!AL3660,0)</f>
        <v/>
      </c>
      <c r="AM3663">
        <f>IF('01_Вводные'!$B$234="Да",'19_Расчет_аналитики'!AM3659+'19_Расчет_аналитики'!AM3662-'19_Расчет_аналитики'!AM3660,0)</f>
        <v/>
      </c>
      <c r="AN3663">
        <f>IF('01_Вводные'!$B$234="Да",'19_Расчет_аналитики'!AN3659+'19_Расчет_аналитики'!AN3662-'19_Расчет_аналитики'!AN3660,0)</f>
        <v/>
      </c>
      <c r="AO3663">
        <f>IF('01_Вводные'!$B$234="Да",'19_Расчет_аналитики'!AO3659+'19_Расчет_аналитики'!AO3662-'19_Расчет_аналитики'!AO3660,0)</f>
        <v/>
      </c>
      <c r="AP3663">
        <f>IF('01_Вводные'!$B$234="Да",'19_Расчет_аналитики'!AP3659+'19_Расчет_аналитики'!AP3662-'19_Расчет_аналитики'!AP3660,0)</f>
        <v/>
      </c>
      <c r="AQ3663">
        <f>IF('01_Вводные'!$B$234="Да",'19_Расчет_аналитики'!AQ3659+'19_Расчет_аналитики'!AQ3662-'19_Расчет_аналитики'!AQ3660,0)</f>
        <v/>
      </c>
      <c r="AR3663">
        <f>IF('01_Вводные'!$B$234="Да",'19_Расчет_аналитики'!AR3659+'19_Расчет_аналитики'!AR3662-'19_Расчет_аналитики'!AR3660,0)</f>
        <v/>
      </c>
      <c r="AS3663">
        <f>IF('01_Вводные'!$B$234="Да",'19_Расчет_аналитики'!AS3659+'19_Расчет_аналитики'!AS3662-'19_Расчет_аналитики'!AS3660,0)</f>
        <v/>
      </c>
      <c r="AT3663">
        <f>IF('01_Вводные'!$B$234="Да",'19_Расчет_аналитики'!AT3659+'19_Расчет_аналитики'!AT3662-'19_Расчет_аналитики'!AT3660,0)</f>
        <v/>
      </c>
      <c r="AU3663">
        <f>IF('01_Вводные'!$B$234="Да",'19_Расчет_аналитики'!AU3659+'19_Расчет_аналитики'!AU3662-'19_Расчет_аналитики'!AU3660,0)</f>
        <v/>
      </c>
      <c r="AV3663">
        <f>IF('01_Вводные'!$B$234="Да",'19_Расчет_аналитики'!AV3659+'19_Расчет_аналитики'!AV3662-'19_Расчет_аналитики'!AV3660,0)</f>
        <v/>
      </c>
      <c r="AW3663">
        <f>IF('01_Вводные'!$B$234="Да",'19_Расчет_аналитики'!AW3659+'19_Расчет_аналитики'!AW3662-'19_Расчет_аналитики'!AW3660,0)</f>
        <v/>
      </c>
      <c r="AX3663">
        <f>IF('01_Вводные'!$B$234="Да",'19_Расчет_аналитики'!AX3659+'19_Расчет_аналитики'!AX3662-'19_Расчет_аналитики'!AX3660,0)</f>
        <v/>
      </c>
      <c r="AY3663">
        <f>IF('01_Вводные'!$B$234="Да",'19_Расчет_аналитики'!AY3659+'19_Расчет_аналитики'!AY3662-'19_Расчет_аналитики'!AY3660,0)</f>
        <v/>
      </c>
      <c r="AZ3663">
        <f>IF('01_Вводные'!$B$234="Да",'19_Расчет_аналитики'!AZ3659+'19_Расчет_аналитики'!AZ3662-'19_Расчет_аналитики'!AZ3660,0)</f>
        <v/>
      </c>
      <c r="BA3663">
        <f>IF('01_Вводные'!$B$234="Да",'19_Расчет_аналитики'!BA3659+'19_Расчет_аналитики'!BA3662-'19_Расчет_аналитики'!BA3660,0)</f>
        <v/>
      </c>
      <c r="BB3663">
        <f>IF('01_Вводные'!$B$234="Да",'19_Расчет_аналитики'!BB3659+'19_Расчет_аналитики'!BB3662-'19_Расчет_аналитики'!BB3660,0)</f>
        <v/>
      </c>
      <c r="BC3663">
        <f>IF('01_Вводные'!$B$234="Да",'19_Расчет_аналитики'!BC3659+'19_Расчет_аналитики'!BC3662-'19_Расчет_аналитики'!BC3660,0)</f>
        <v/>
      </c>
      <c r="BD3663">
        <f>IF('01_Вводные'!$B$234="Да",'19_Расчет_аналитики'!BD3659+'19_Расчет_аналитики'!BD3662-'19_Расчет_аналитики'!BD3660,0)</f>
        <v/>
      </c>
      <c r="BE3663">
        <f>IF('01_Вводные'!$B$234="Да",'19_Расчет_аналитики'!BE3659+'19_Расчет_аналитики'!BE3662-'19_Расчет_аналитики'!BE3660,0)</f>
        <v/>
      </c>
      <c r="BF3663">
        <f>IF('01_Вводные'!$B$234="Да",'19_Расчет_аналитики'!BF3659+'19_Расчет_аналитики'!BF3662-'19_Расчет_аналитики'!BF3660,0)</f>
        <v/>
      </c>
      <c r="BG3663">
        <f>IF('01_Вводные'!$B$234="Да",'19_Расчет_аналитики'!BG3659+'19_Расчет_аналитики'!BG3662-'19_Расчет_аналитики'!BG3660,0)</f>
        <v/>
      </c>
      <c r="BH3663">
        <f>IF('01_Вводные'!$B$234="Да",'19_Расчет_аналитики'!BH3659+'19_Расчет_аналитики'!BH3662-'19_Расчет_аналитики'!BH3660,0)</f>
        <v/>
      </c>
      <c r="BI3663">
        <f>IF('01_Вводные'!$B$234="Да",'19_Расчет_аналитики'!BI3659+'19_Расчет_аналитики'!BI3662-'19_Расчет_аналитики'!BI3660,0)</f>
        <v/>
      </c>
      <c r="BJ3663">
        <f>IF('01_Вводные'!$B$234="Да",'19_Расчет_аналитики'!BJ3659+'19_Расчет_аналитики'!BJ3662-'19_Расчет_аналитики'!BJ3660,0)</f>
        <v/>
      </c>
      <c r="BK3663">
        <f>IF('01_Вводные'!$B$234="Да",'19_Расчет_аналитики'!BK3659+'19_Расчет_аналитики'!BK3662-'19_Расчет_аналитики'!BK3660,0)</f>
        <v/>
      </c>
      <c r="BL3663">
        <f>IF('01_Вводные'!$B$234="Да",'19_Расчет_аналитики'!BL3659+'19_Расчет_аналитики'!BL3662-'19_Расчет_аналитики'!BL3660,0)</f>
        <v/>
      </c>
      <c r="BM3663">
        <f>IF('01_Вводные'!$B$234="Да",'19_Расчет_аналитики'!BM3659+'19_Расчет_аналитики'!BM3662-'19_Расчет_аналитики'!BM3660,0)</f>
        <v/>
      </c>
      <c r="BN3663">
        <f>IF('01_Вводные'!$B$234="Да",'19_Расчет_аналитики'!BN3659+'19_Расчет_аналитики'!BN3662-'19_Расчет_аналитики'!BN3660,0)</f>
        <v/>
      </c>
      <c r="BO3663">
        <f>IF('01_Вводные'!$B$234="Да",'19_Расчет_аналитики'!BO3659+'19_Расчет_аналитики'!BO3662-'19_Расчет_аналитики'!BO3660,0)</f>
        <v/>
      </c>
    </row>
    <row r="3664">
      <c r="B3664">
        <f>IF('01_Вводные'!$B$234="Да",MAX(0,-'19_Расчет_аналитики'!B3663),0)</f>
        <v/>
      </c>
      <c r="C3664">
        <f>IF('01_Вводные'!$B$234="Да",MAX(0,-'19_Расчет_аналитики'!C3663),0)</f>
        <v/>
      </c>
      <c r="D3664">
        <f>IF('01_Вводные'!$B$234="Да",MAX(0,-'19_Расчет_аналитики'!D3663),0)</f>
        <v/>
      </c>
      <c r="E3664">
        <f>IF('01_Вводные'!$B$234="Да",MAX(0,-'19_Расчет_аналитики'!E3663),0)</f>
        <v/>
      </c>
      <c r="F3664">
        <f>IF('01_Вводные'!$B$234="Да",MAX(0,-'19_Расчет_аналитики'!F3663),0)</f>
        <v/>
      </c>
      <c r="G3664">
        <f>IF('01_Вводные'!$B$234="Да",MAX(0,-'19_Расчет_аналитики'!G3663),0)</f>
        <v/>
      </c>
      <c r="H3664">
        <f>IF('01_Вводные'!$B$234="Да",MAX(0,-'19_Расчет_аналитики'!H3663),0)</f>
        <v/>
      </c>
      <c r="I3664">
        <f>IF('01_Вводные'!$B$234="Да",MAX(0,-'19_Расчет_аналитики'!I3663),0)</f>
        <v/>
      </c>
      <c r="J3664">
        <f>IF('01_Вводные'!$B$234="Да",MAX(0,-'19_Расчет_аналитики'!J3663),0)</f>
        <v/>
      </c>
      <c r="K3664">
        <f>IF('01_Вводные'!$B$234="Да",MAX(0,-'19_Расчет_аналитики'!K3663),0)</f>
        <v/>
      </c>
      <c r="L3664">
        <f>IF('01_Вводные'!$B$234="Да",MAX(0,-'19_Расчет_аналитики'!L3663),0)</f>
        <v/>
      </c>
      <c r="M3664">
        <f>IF('01_Вводные'!$B$234="Да",MAX(0,-'19_Расчет_аналитики'!M3663),0)</f>
        <v/>
      </c>
      <c r="N3664">
        <f>IF('01_Вводные'!$B$234="Да",MAX(0,-'19_Расчет_аналитики'!N3663),0)</f>
        <v/>
      </c>
      <c r="O3664">
        <f>IF('01_Вводные'!$B$234="Да",MAX(0,-'19_Расчет_аналитики'!O3663),0)</f>
        <v/>
      </c>
      <c r="P3664">
        <f>IF('01_Вводные'!$B$234="Да",MAX(0,-'19_Расчет_аналитики'!P3663),0)</f>
        <v/>
      </c>
      <c r="Q3664">
        <f>IF('01_Вводные'!$B$234="Да",MAX(0,-'19_Расчет_аналитики'!Q3663),0)</f>
        <v/>
      </c>
      <c r="R3664">
        <f>IF('01_Вводные'!$B$234="Да",MAX(0,-'19_Расчет_аналитики'!R3663),0)</f>
        <v/>
      </c>
      <c r="S3664">
        <f>IF('01_Вводные'!$B$234="Да",MAX(0,-'19_Расчет_аналитики'!S3663),0)</f>
        <v/>
      </c>
      <c r="T3664">
        <f>IF('01_Вводные'!$B$234="Да",MAX(0,-'19_Расчет_аналитики'!T3663),0)</f>
        <v/>
      </c>
      <c r="U3664">
        <f>IF('01_Вводные'!$B$234="Да",MAX(0,-'19_Расчет_аналитики'!U3663),0)</f>
        <v/>
      </c>
      <c r="V3664">
        <f>IF('01_Вводные'!$B$234="Да",MAX(0,-'19_Расчет_аналитики'!V3663),0)</f>
        <v/>
      </c>
      <c r="W3664">
        <f>IF('01_Вводные'!$B$234="Да",MAX(0,-'19_Расчет_аналитики'!W3663),0)</f>
        <v/>
      </c>
      <c r="X3664">
        <f>IF('01_Вводные'!$B$234="Да",MAX(0,-'19_Расчет_аналитики'!X3663),0)</f>
        <v/>
      </c>
      <c r="Y3664">
        <f>IF('01_Вводные'!$B$234="Да",MAX(0,-'19_Расчет_аналитики'!Y3663),0)</f>
        <v/>
      </c>
      <c r="Z3664">
        <f>IF('01_Вводные'!$B$234="Да",MAX(0,-'19_Расчет_аналитики'!Z3663),0)</f>
        <v/>
      </c>
      <c r="AA3664">
        <f>IF('01_Вводные'!$B$234="Да",MAX(0,-'19_Расчет_аналитики'!AA3663),0)</f>
        <v/>
      </c>
      <c r="AB3664">
        <f>IF('01_Вводные'!$B$234="Да",MAX(0,-'19_Расчет_аналитики'!AB3663),0)</f>
        <v/>
      </c>
      <c r="AC3664">
        <f>IF('01_Вводные'!$B$234="Да",MAX(0,-'19_Расчет_аналитики'!AC3663),0)</f>
        <v/>
      </c>
      <c r="AD3664">
        <f>IF('01_Вводные'!$B$234="Да",MAX(0,-'19_Расчет_аналитики'!AD3663),0)</f>
        <v/>
      </c>
      <c r="AE3664">
        <f>IF('01_Вводные'!$B$234="Да",MAX(0,-'19_Расчет_аналитики'!AE3663),0)</f>
        <v/>
      </c>
      <c r="AF3664">
        <f>IF('01_Вводные'!$B$234="Да",MAX(0,-'19_Расчет_аналитики'!AF3663),0)</f>
        <v/>
      </c>
      <c r="AG3664">
        <f>IF('01_Вводные'!$B$234="Да",MAX(0,-'19_Расчет_аналитики'!AG3663),0)</f>
        <v/>
      </c>
      <c r="AH3664">
        <f>IF('01_Вводные'!$B$234="Да",MAX(0,-'19_Расчет_аналитики'!AH3663),0)</f>
        <v/>
      </c>
      <c r="AI3664">
        <f>IF('01_Вводные'!$B$234="Да",MAX(0,-'19_Расчет_аналитики'!AI3663),0)</f>
        <v/>
      </c>
      <c r="AJ3664">
        <f>IF('01_Вводные'!$B$234="Да",MAX(0,-'19_Расчет_аналитики'!AJ3663),0)</f>
        <v/>
      </c>
      <c r="AK3664">
        <f>IF('01_Вводные'!$B$234="Да",MAX(0,-'19_Расчет_аналитики'!AK3663),0)</f>
        <v/>
      </c>
      <c r="AL3664">
        <f>IF('01_Вводные'!$B$234="Да",MAX(0,-'19_Расчет_аналитики'!AL3663),0)</f>
        <v/>
      </c>
      <c r="AM3664">
        <f>IF('01_Вводные'!$B$234="Да",MAX(0,-'19_Расчет_аналитики'!AM3663),0)</f>
        <v/>
      </c>
      <c r="AN3664">
        <f>IF('01_Вводные'!$B$234="Да",MAX(0,-'19_Расчет_аналитики'!AN3663),0)</f>
        <v/>
      </c>
      <c r="AO3664">
        <f>IF('01_Вводные'!$B$234="Да",MAX(0,-'19_Расчет_аналитики'!AO3663),0)</f>
        <v/>
      </c>
      <c r="AP3664">
        <f>IF('01_Вводные'!$B$234="Да",MAX(0,-'19_Расчет_аналитики'!AP3663),0)</f>
        <v/>
      </c>
      <c r="AQ3664">
        <f>IF('01_Вводные'!$B$234="Да",MAX(0,-'19_Расчет_аналитики'!AQ3663),0)</f>
        <v/>
      </c>
      <c r="AR3664">
        <f>IF('01_Вводные'!$B$234="Да",MAX(0,-'19_Расчет_аналитики'!AR3663),0)</f>
        <v/>
      </c>
      <c r="AS3664">
        <f>IF('01_Вводные'!$B$234="Да",MAX(0,-'19_Расчет_аналитики'!AS3663),0)</f>
        <v/>
      </c>
      <c r="AT3664">
        <f>IF('01_Вводные'!$B$234="Да",MAX(0,-'19_Расчет_аналитики'!AT3663),0)</f>
        <v/>
      </c>
      <c r="AU3664">
        <f>IF('01_Вводные'!$B$234="Да",MAX(0,-'19_Расчет_аналитики'!AU3663),0)</f>
        <v/>
      </c>
      <c r="AV3664">
        <f>IF('01_Вводные'!$B$234="Да",MAX(0,-'19_Расчет_аналитики'!AV3663),0)</f>
        <v/>
      </c>
      <c r="AW3664">
        <f>IF('01_Вводные'!$B$234="Да",MAX(0,-'19_Расчет_аналитики'!AW3663),0)</f>
        <v/>
      </c>
      <c r="AX3664">
        <f>IF('01_Вводные'!$B$234="Да",MAX(0,-'19_Расчет_аналитики'!AX3663),0)</f>
        <v/>
      </c>
      <c r="AY3664">
        <f>IF('01_Вводные'!$B$234="Да",MAX(0,-'19_Расчет_аналитики'!AY3663),0)</f>
        <v/>
      </c>
      <c r="AZ3664">
        <f>IF('01_Вводные'!$B$234="Да",MAX(0,-'19_Расчет_аналитики'!AZ3663),0)</f>
        <v/>
      </c>
      <c r="BA3664">
        <f>IF('01_Вводные'!$B$234="Да",MAX(0,-'19_Расчет_аналитики'!BA3663),0)</f>
        <v/>
      </c>
      <c r="BB3664">
        <f>IF('01_Вводные'!$B$234="Да",MAX(0,-'19_Расчет_аналитики'!BB3663),0)</f>
        <v/>
      </c>
      <c r="BC3664">
        <f>IF('01_Вводные'!$B$234="Да",MAX(0,-'19_Расчет_аналитики'!BC3663),0)</f>
        <v/>
      </c>
      <c r="BD3664">
        <f>IF('01_Вводные'!$B$234="Да",MAX(0,-'19_Расчет_аналитики'!BD3663),0)</f>
        <v/>
      </c>
      <c r="BE3664">
        <f>IF('01_Вводные'!$B$234="Да",MAX(0,-'19_Расчет_аналитики'!BE3663),0)</f>
        <v/>
      </c>
      <c r="BF3664">
        <f>IF('01_Вводные'!$B$234="Да",MAX(0,-'19_Расчет_аналитики'!BF3663),0)</f>
        <v/>
      </c>
      <c r="BG3664">
        <f>IF('01_Вводные'!$B$234="Да",MAX(0,-'19_Расчет_аналитики'!BG3663),0)</f>
        <v/>
      </c>
      <c r="BH3664">
        <f>IF('01_Вводные'!$B$234="Да",MAX(0,-'19_Расчет_аналитики'!BH3663),0)</f>
        <v/>
      </c>
      <c r="BI3664">
        <f>IF('01_Вводные'!$B$234="Да",MAX(0,-'19_Расчет_аналитики'!BI3663),0)</f>
        <v/>
      </c>
      <c r="BJ3664">
        <f>IF('01_Вводные'!$B$234="Да",MAX(0,-'19_Расчет_аналитики'!BJ3663),0)</f>
        <v/>
      </c>
      <c r="BK3664">
        <f>IF('01_Вводные'!$B$234="Да",MAX(0,-'19_Расчет_аналитики'!BK3663),0)</f>
        <v/>
      </c>
      <c r="BL3664">
        <f>IF('01_Вводные'!$B$234="Да",MAX(0,-'19_Расчет_аналитики'!BL3663),0)</f>
        <v/>
      </c>
      <c r="BM3664">
        <f>IF('01_Вводные'!$B$234="Да",MAX(0,-'19_Расчет_аналитики'!BM3663),0)</f>
        <v/>
      </c>
      <c r="BN3664">
        <f>IF('01_Вводные'!$B$234="Да",MAX(0,-'19_Расчет_аналитики'!BN3663),0)</f>
        <v/>
      </c>
      <c r="BO3664">
        <f>IF('01_Вводные'!$B$234="Да",MAX(0,-'19_Расчет_аналитики'!BO3663),0)</f>
        <v/>
      </c>
    </row>
    <row r="3665"/>
    <row r="3666">
      <c r="C3666">
        <f>IF('01_Вводные'!$B$234="Да",'19_Расчет_аналитики'!B3669,0)</f>
        <v/>
      </c>
      <c r="D3666">
        <f>IF('01_Вводные'!$B$234="Да",'19_Расчет_аналитики'!C3669,0)</f>
        <v/>
      </c>
      <c r="E3666">
        <f>IF('01_Вводные'!$B$234="Да",'19_Расчет_аналитики'!D3669,0)</f>
        <v/>
      </c>
      <c r="F3666">
        <f>IF('01_Вводные'!$B$234="Да",'19_Расчет_аналитики'!E3669,0)</f>
        <v/>
      </c>
      <c r="G3666">
        <f>IF('01_Вводные'!$B$234="Да",'19_Расчет_аналитики'!F3669,0)</f>
        <v/>
      </c>
      <c r="H3666">
        <f>IF('01_Вводные'!$B$234="Да",'19_Расчет_аналитики'!G3669,0)</f>
        <v/>
      </c>
      <c r="I3666">
        <f>IF('01_Вводные'!$B$234="Да",'19_Расчет_аналитики'!H3669,0)</f>
        <v/>
      </c>
      <c r="J3666">
        <f>IF('01_Вводные'!$B$234="Да",'19_Расчет_аналитики'!I3669,0)</f>
        <v/>
      </c>
      <c r="K3666">
        <f>IF('01_Вводные'!$B$234="Да",'19_Расчет_аналитики'!J3669,0)</f>
        <v/>
      </c>
      <c r="L3666">
        <f>IF('01_Вводные'!$B$234="Да",'19_Расчет_аналитики'!K3669,0)</f>
        <v/>
      </c>
      <c r="M3666">
        <f>IF('01_Вводные'!$B$234="Да",'19_Расчет_аналитики'!L3669,0)</f>
        <v/>
      </c>
      <c r="N3666">
        <f>IF('01_Вводные'!$B$234="Да",'19_Расчет_аналитики'!M3669,0)</f>
        <v/>
      </c>
      <c r="O3666">
        <f>IF('01_Вводные'!$B$234="Да",'19_Расчет_аналитики'!N3669,0)</f>
        <v/>
      </c>
      <c r="P3666">
        <f>IF('01_Вводные'!$B$234="Да",'19_Расчет_аналитики'!O3669,0)</f>
        <v/>
      </c>
      <c r="Q3666">
        <f>IF('01_Вводные'!$B$234="Да",'19_Расчет_аналитики'!P3669,0)</f>
        <v/>
      </c>
      <c r="R3666">
        <f>IF('01_Вводные'!$B$234="Да",'19_Расчет_аналитики'!Q3669,0)</f>
        <v/>
      </c>
      <c r="S3666">
        <f>IF('01_Вводные'!$B$234="Да",'19_Расчет_аналитики'!R3669,0)</f>
        <v/>
      </c>
      <c r="T3666">
        <f>IF('01_Вводные'!$B$234="Да",'19_Расчет_аналитики'!S3669,0)</f>
        <v/>
      </c>
      <c r="U3666">
        <f>IF('01_Вводные'!$B$234="Да",'19_Расчет_аналитики'!T3669,0)</f>
        <v/>
      </c>
      <c r="V3666">
        <f>IF('01_Вводные'!$B$234="Да",'19_Расчет_аналитики'!U3669,0)</f>
        <v/>
      </c>
      <c r="W3666">
        <f>IF('01_Вводные'!$B$234="Да",'19_Расчет_аналитики'!V3669,0)</f>
        <v/>
      </c>
      <c r="X3666">
        <f>IF('01_Вводные'!$B$234="Да",'19_Расчет_аналитики'!W3669,0)</f>
        <v/>
      </c>
      <c r="Y3666">
        <f>IF('01_Вводные'!$B$234="Да",'19_Расчет_аналитики'!X3669,0)</f>
        <v/>
      </c>
      <c r="Z3666">
        <f>IF('01_Вводные'!$B$234="Да",'19_Расчет_аналитики'!Y3669,0)</f>
        <v/>
      </c>
      <c r="AA3666">
        <f>IF('01_Вводные'!$B$234="Да",'19_Расчет_аналитики'!Z3669,0)</f>
        <v/>
      </c>
      <c r="AB3666">
        <f>IF('01_Вводные'!$B$234="Да",'19_Расчет_аналитики'!AA3669,0)</f>
        <v/>
      </c>
      <c r="AC3666">
        <f>IF('01_Вводные'!$B$234="Да",'19_Расчет_аналитики'!AB3669,0)</f>
        <v/>
      </c>
      <c r="AD3666">
        <f>IF('01_Вводные'!$B$234="Да",'19_Расчет_аналитики'!AC3669,0)</f>
        <v/>
      </c>
      <c r="AE3666">
        <f>IF('01_Вводные'!$B$234="Да",'19_Расчет_аналитики'!AD3669,0)</f>
        <v/>
      </c>
      <c r="AF3666">
        <f>IF('01_Вводные'!$B$234="Да",'19_Расчет_аналитики'!AE3669,0)</f>
        <v/>
      </c>
      <c r="AG3666">
        <f>IF('01_Вводные'!$B$234="Да",'19_Расчет_аналитики'!AF3669,0)</f>
        <v/>
      </c>
      <c r="AH3666">
        <f>IF('01_Вводные'!$B$234="Да",'19_Расчет_аналитики'!AG3669,0)</f>
        <v/>
      </c>
      <c r="AI3666">
        <f>IF('01_Вводные'!$B$234="Да",'19_Расчет_аналитики'!AH3669,0)</f>
        <v/>
      </c>
      <c r="AJ3666">
        <f>IF('01_Вводные'!$B$234="Да",'19_Расчет_аналитики'!AI3669,0)</f>
        <v/>
      </c>
      <c r="AK3666">
        <f>IF('01_Вводные'!$B$234="Да",'19_Расчет_аналитики'!AJ3669,0)</f>
        <v/>
      </c>
      <c r="AL3666">
        <f>IF('01_Вводные'!$B$234="Да",'19_Расчет_аналитики'!AK3669,0)</f>
        <v/>
      </c>
      <c r="AM3666">
        <f>IF('01_Вводные'!$B$234="Да",'19_Расчет_аналитики'!AL3669,0)</f>
        <v/>
      </c>
      <c r="AN3666">
        <f>IF('01_Вводные'!$B$234="Да",'19_Расчет_аналитики'!AM3669,0)</f>
        <v/>
      </c>
      <c r="AO3666">
        <f>IF('01_Вводные'!$B$234="Да",'19_Расчет_аналитики'!AN3669,0)</f>
        <v/>
      </c>
      <c r="AP3666">
        <f>IF('01_Вводные'!$B$234="Да",'19_Расчет_аналитики'!AO3669,0)</f>
        <v/>
      </c>
      <c r="AQ3666">
        <f>IF('01_Вводные'!$B$234="Да",'19_Расчет_аналитики'!AP3669,0)</f>
        <v/>
      </c>
      <c r="AR3666">
        <f>IF('01_Вводные'!$B$234="Да",'19_Расчет_аналитики'!AQ3669,0)</f>
        <v/>
      </c>
      <c r="AS3666">
        <f>IF('01_Вводные'!$B$234="Да",'19_Расчет_аналитики'!AR3669,0)</f>
        <v/>
      </c>
      <c r="AT3666">
        <f>IF('01_Вводные'!$B$234="Да",'19_Расчет_аналитики'!AS3669,0)</f>
        <v/>
      </c>
      <c r="AU3666">
        <f>IF('01_Вводные'!$B$234="Да",'19_Расчет_аналитики'!AT3669,0)</f>
        <v/>
      </c>
      <c r="AV3666">
        <f>IF('01_Вводные'!$B$234="Да",'19_Расчет_аналитики'!AU3669,0)</f>
        <v/>
      </c>
      <c r="AW3666">
        <f>IF('01_Вводные'!$B$234="Да",'19_Расчет_аналитики'!AV3669,0)</f>
        <v/>
      </c>
      <c r="AX3666">
        <f>IF('01_Вводные'!$B$234="Да",'19_Расчет_аналитики'!AW3669,0)</f>
        <v/>
      </c>
      <c r="AY3666">
        <f>IF('01_Вводные'!$B$234="Да",'19_Расчет_аналитики'!AX3669,0)</f>
        <v/>
      </c>
      <c r="AZ3666">
        <f>IF('01_Вводные'!$B$234="Да",'19_Расчет_аналитики'!AY3669,0)</f>
        <v/>
      </c>
      <c r="BA3666">
        <f>IF('01_Вводные'!$B$234="Да",'19_Расчет_аналитики'!AZ3669,0)</f>
        <v/>
      </c>
      <c r="BB3666">
        <f>IF('01_Вводные'!$B$234="Да",'19_Расчет_аналитики'!BA3669,0)</f>
        <v/>
      </c>
      <c r="BC3666">
        <f>IF('01_Вводные'!$B$234="Да",'19_Расчет_аналитики'!BB3669,0)</f>
        <v/>
      </c>
      <c r="BD3666">
        <f>IF('01_Вводные'!$B$234="Да",'19_Расчет_аналитики'!BC3669,0)</f>
        <v/>
      </c>
      <c r="BE3666">
        <f>IF('01_Вводные'!$B$234="Да",'19_Расчет_аналитики'!BD3669,0)</f>
        <v/>
      </c>
      <c r="BF3666">
        <f>IF('01_Вводные'!$B$234="Да",'19_Расчет_аналитики'!BE3669,0)</f>
        <v/>
      </c>
      <c r="BG3666">
        <f>IF('01_Вводные'!$B$234="Да",'19_Расчет_аналитики'!BF3669,0)</f>
        <v/>
      </c>
      <c r="BH3666">
        <f>IF('01_Вводные'!$B$234="Да",'19_Расчет_аналитики'!BG3669,0)</f>
        <v/>
      </c>
      <c r="BI3666">
        <f>IF('01_Вводные'!$B$234="Да",'19_Расчет_аналитики'!BH3669,0)</f>
        <v/>
      </c>
      <c r="BJ3666">
        <f>IF('01_Вводные'!$B$234="Да",'19_Расчет_аналитики'!BI3669,0)</f>
        <v/>
      </c>
      <c r="BK3666">
        <f>IF('01_Вводные'!$B$234="Да",'19_Расчет_аналитики'!BJ3669,0)</f>
        <v/>
      </c>
      <c r="BL3666">
        <f>IF('01_Вводные'!$B$234="Да",'19_Расчет_аналитики'!BK3669,0)</f>
        <v/>
      </c>
      <c r="BM3666">
        <f>IF('01_Вводные'!$B$234="Да",'19_Расчет_аналитики'!BL3669,0)</f>
        <v/>
      </c>
      <c r="BN3666">
        <f>IF('01_Вводные'!$B$234="Да",'19_Расчет_аналитики'!BM3669,0)</f>
        <v/>
      </c>
      <c r="BO3666">
        <f>IF('01_Вводные'!$B$234="Да",'19_Расчет_аналитики'!BN3669,0)</f>
        <v/>
      </c>
    </row>
    <row r="3667">
      <c r="B3667">
        <f>IF('01_Вводные'!$B$234="Да",MIN('07_Мерч'!B29,'19_Расчет_аналитики'!B3653*'01_Вводные'!$B$79),0)</f>
        <v/>
      </c>
      <c r="C3667">
        <f>IF('01_Вводные'!$B$234="Да",MIN('19_Расчет_аналитики'!C3666,'19_Расчет_аналитики'!C3653*'01_Вводные'!$B$79),0)</f>
        <v/>
      </c>
      <c r="D3667">
        <f>IF('01_Вводные'!$B$234="Да",MIN('19_Расчет_аналитики'!D3666,'19_Расчет_аналитики'!D3653*'01_Вводные'!$B$79),0)</f>
        <v/>
      </c>
      <c r="E3667">
        <f>IF('01_Вводные'!$B$234="Да",MIN('19_Расчет_аналитики'!E3666,'19_Расчет_аналитики'!E3653*'01_Вводные'!$B$79),0)</f>
        <v/>
      </c>
      <c r="F3667">
        <f>IF('01_Вводные'!$B$234="Да",MIN('19_Расчет_аналитики'!F3666,'19_Расчет_аналитики'!F3653*'01_Вводные'!$B$79),0)</f>
        <v/>
      </c>
      <c r="G3667">
        <f>IF('01_Вводные'!$B$234="Да",MIN('19_Расчет_аналитики'!G3666,'19_Расчет_аналитики'!G3653*'01_Вводные'!$B$79),0)</f>
        <v/>
      </c>
      <c r="H3667">
        <f>IF('01_Вводные'!$B$234="Да",MIN('19_Расчет_аналитики'!H3666,'19_Расчет_аналитики'!H3653*'01_Вводные'!$B$79),0)</f>
        <v/>
      </c>
      <c r="I3667">
        <f>IF('01_Вводные'!$B$234="Да",MIN('19_Расчет_аналитики'!I3666,'19_Расчет_аналитики'!I3653*'01_Вводные'!$B$79),0)</f>
        <v/>
      </c>
      <c r="J3667">
        <f>IF('01_Вводные'!$B$234="Да",MIN('19_Расчет_аналитики'!J3666,'19_Расчет_аналитики'!J3653*'01_Вводные'!$B$79),0)</f>
        <v/>
      </c>
      <c r="K3667">
        <f>IF('01_Вводные'!$B$234="Да",MIN('19_Расчет_аналитики'!K3666,'19_Расчет_аналитики'!K3653*'01_Вводные'!$B$79),0)</f>
        <v/>
      </c>
      <c r="L3667">
        <f>IF('01_Вводные'!$B$234="Да",MIN('19_Расчет_аналитики'!L3666,'19_Расчет_аналитики'!L3653*'01_Вводные'!$B$79),0)</f>
        <v/>
      </c>
      <c r="M3667">
        <f>IF('01_Вводные'!$B$234="Да",MIN('19_Расчет_аналитики'!M3666,'19_Расчет_аналитики'!M3653*'01_Вводные'!$B$79),0)</f>
        <v/>
      </c>
      <c r="N3667">
        <f>IF('01_Вводные'!$B$234="Да",MIN('19_Расчет_аналитики'!N3666,'19_Расчет_аналитики'!N3653*'01_Вводные'!$B$79),0)</f>
        <v/>
      </c>
      <c r="O3667">
        <f>IF('01_Вводные'!$B$234="Да",MIN('19_Расчет_аналитики'!O3666,'19_Расчет_аналитики'!O3653*'01_Вводные'!$B$79),0)</f>
        <v/>
      </c>
      <c r="P3667">
        <f>IF('01_Вводные'!$B$234="Да",MIN('19_Расчет_аналитики'!P3666,'19_Расчет_аналитики'!P3653*'01_Вводные'!$B$79),0)</f>
        <v/>
      </c>
      <c r="Q3667">
        <f>IF('01_Вводные'!$B$234="Да",MIN('19_Расчет_аналитики'!Q3666,'19_Расчет_аналитики'!Q3653*'01_Вводные'!$B$79),0)</f>
        <v/>
      </c>
      <c r="R3667">
        <f>IF('01_Вводные'!$B$234="Да",MIN('19_Расчет_аналитики'!R3666,'19_Расчет_аналитики'!R3653*'01_Вводные'!$B$79),0)</f>
        <v/>
      </c>
      <c r="S3667">
        <f>IF('01_Вводные'!$B$234="Да",MIN('19_Расчет_аналитики'!S3666,'19_Расчет_аналитики'!S3653*'01_Вводные'!$B$79),0)</f>
        <v/>
      </c>
      <c r="T3667">
        <f>IF('01_Вводные'!$B$234="Да",MIN('19_Расчет_аналитики'!T3666,'19_Расчет_аналитики'!T3653*'01_Вводные'!$B$79),0)</f>
        <v/>
      </c>
      <c r="U3667">
        <f>IF('01_Вводные'!$B$234="Да",MIN('19_Расчет_аналитики'!U3666,'19_Расчет_аналитики'!U3653*'01_Вводные'!$B$79),0)</f>
        <v/>
      </c>
      <c r="V3667">
        <f>IF('01_Вводные'!$B$234="Да",MIN('19_Расчет_аналитики'!V3666,'19_Расчет_аналитики'!V3653*'01_Вводные'!$B$79),0)</f>
        <v/>
      </c>
      <c r="W3667">
        <f>IF('01_Вводные'!$B$234="Да",MIN('19_Расчет_аналитики'!W3666,'19_Расчет_аналитики'!W3653*'01_Вводные'!$B$79),0)</f>
        <v/>
      </c>
      <c r="X3667">
        <f>IF('01_Вводные'!$B$234="Да",MIN('19_Расчет_аналитики'!X3666,'19_Расчет_аналитики'!X3653*'01_Вводные'!$B$79),0)</f>
        <v/>
      </c>
      <c r="Y3667">
        <f>IF('01_Вводные'!$B$234="Да",MIN('19_Расчет_аналитики'!Y3666,'19_Расчет_аналитики'!Y3653*'01_Вводные'!$B$79),0)</f>
        <v/>
      </c>
      <c r="Z3667">
        <f>IF('01_Вводные'!$B$234="Да",MIN('19_Расчет_аналитики'!Z3666,'19_Расчет_аналитики'!Z3653*'01_Вводные'!$B$79),0)</f>
        <v/>
      </c>
      <c r="AA3667">
        <f>IF('01_Вводные'!$B$234="Да",MIN('19_Расчет_аналитики'!AA3666,'19_Расчет_аналитики'!AA3653*'01_Вводные'!$B$79),0)</f>
        <v/>
      </c>
      <c r="AB3667">
        <f>IF('01_Вводные'!$B$234="Да",MIN('19_Расчет_аналитики'!AB3666,'19_Расчет_аналитики'!AB3653*'01_Вводные'!$B$79),0)</f>
        <v/>
      </c>
      <c r="AC3667">
        <f>IF('01_Вводные'!$B$234="Да",MIN('19_Расчет_аналитики'!AC3666,'19_Расчет_аналитики'!AC3653*'01_Вводные'!$B$79),0)</f>
        <v/>
      </c>
      <c r="AD3667">
        <f>IF('01_Вводные'!$B$234="Да",MIN('19_Расчет_аналитики'!AD3666,'19_Расчет_аналитики'!AD3653*'01_Вводные'!$B$79),0)</f>
        <v/>
      </c>
      <c r="AE3667">
        <f>IF('01_Вводные'!$B$234="Да",MIN('19_Расчет_аналитики'!AE3666,'19_Расчет_аналитики'!AE3653*'01_Вводные'!$B$79),0)</f>
        <v/>
      </c>
      <c r="AF3667">
        <f>IF('01_Вводные'!$B$234="Да",MIN('19_Расчет_аналитики'!AF3666,'19_Расчет_аналитики'!AF3653*'01_Вводные'!$B$79),0)</f>
        <v/>
      </c>
      <c r="AG3667">
        <f>IF('01_Вводные'!$B$234="Да",MIN('19_Расчет_аналитики'!AG3666,'19_Расчет_аналитики'!AG3653*'01_Вводные'!$B$79),0)</f>
        <v/>
      </c>
      <c r="AH3667">
        <f>IF('01_Вводные'!$B$234="Да",MIN('19_Расчет_аналитики'!AH3666,'19_Расчет_аналитики'!AH3653*'01_Вводные'!$B$79),0)</f>
        <v/>
      </c>
      <c r="AI3667">
        <f>IF('01_Вводные'!$B$234="Да",MIN('19_Расчет_аналитики'!AI3666,'19_Расчет_аналитики'!AI3653*'01_Вводные'!$B$79),0)</f>
        <v/>
      </c>
      <c r="AJ3667">
        <f>IF('01_Вводные'!$B$234="Да",MIN('19_Расчет_аналитики'!AJ3666,'19_Расчет_аналитики'!AJ3653*'01_Вводные'!$B$79),0)</f>
        <v/>
      </c>
      <c r="AK3667">
        <f>IF('01_Вводные'!$B$234="Да",MIN('19_Расчет_аналитики'!AK3666,'19_Расчет_аналитики'!AK3653*'01_Вводные'!$B$79),0)</f>
        <v/>
      </c>
      <c r="AL3667">
        <f>IF('01_Вводные'!$B$234="Да",MIN('19_Расчет_аналитики'!AL3666,'19_Расчет_аналитики'!AL3653*'01_Вводные'!$B$79),0)</f>
        <v/>
      </c>
      <c r="AM3667">
        <f>IF('01_Вводные'!$B$234="Да",MIN('19_Расчет_аналитики'!AM3666,'19_Расчет_аналитики'!AM3653*'01_Вводные'!$B$79),0)</f>
        <v/>
      </c>
      <c r="AN3667">
        <f>IF('01_Вводные'!$B$234="Да",MIN('19_Расчет_аналитики'!AN3666,'19_Расчет_аналитики'!AN3653*'01_Вводные'!$B$79),0)</f>
        <v/>
      </c>
      <c r="AO3667">
        <f>IF('01_Вводные'!$B$234="Да",MIN('19_Расчет_аналитики'!AO3666,'19_Расчет_аналитики'!AO3653*'01_Вводные'!$B$79),0)</f>
        <v/>
      </c>
      <c r="AP3667">
        <f>IF('01_Вводные'!$B$234="Да",MIN('19_Расчет_аналитики'!AP3666,'19_Расчет_аналитики'!AP3653*'01_Вводные'!$B$79),0)</f>
        <v/>
      </c>
      <c r="AQ3667">
        <f>IF('01_Вводные'!$B$234="Да",MIN('19_Расчет_аналитики'!AQ3666,'19_Расчет_аналитики'!AQ3653*'01_Вводные'!$B$79),0)</f>
        <v/>
      </c>
      <c r="AR3667">
        <f>IF('01_Вводные'!$B$234="Да",MIN('19_Расчет_аналитики'!AR3666,'19_Расчет_аналитики'!AR3653*'01_Вводные'!$B$79),0)</f>
        <v/>
      </c>
      <c r="AS3667">
        <f>IF('01_Вводные'!$B$234="Да",MIN('19_Расчет_аналитики'!AS3666,'19_Расчет_аналитики'!AS3653*'01_Вводные'!$B$79),0)</f>
        <v/>
      </c>
      <c r="AT3667">
        <f>IF('01_Вводные'!$B$234="Да",MIN('19_Расчет_аналитики'!AT3666,'19_Расчет_аналитики'!AT3653*'01_Вводные'!$B$79),0)</f>
        <v/>
      </c>
      <c r="AU3667">
        <f>IF('01_Вводные'!$B$234="Да",MIN('19_Расчет_аналитики'!AU3666,'19_Расчет_аналитики'!AU3653*'01_Вводные'!$B$79),0)</f>
        <v/>
      </c>
      <c r="AV3667">
        <f>IF('01_Вводные'!$B$234="Да",MIN('19_Расчет_аналитики'!AV3666,'19_Расчет_аналитики'!AV3653*'01_Вводные'!$B$79),0)</f>
        <v/>
      </c>
      <c r="AW3667">
        <f>IF('01_Вводные'!$B$234="Да",MIN('19_Расчет_аналитики'!AW3666,'19_Расчет_аналитики'!AW3653*'01_Вводные'!$B$79),0)</f>
        <v/>
      </c>
      <c r="AX3667">
        <f>IF('01_Вводные'!$B$234="Да",MIN('19_Расчет_аналитики'!AX3666,'19_Расчет_аналитики'!AX3653*'01_Вводные'!$B$79),0)</f>
        <v/>
      </c>
      <c r="AY3667">
        <f>IF('01_Вводные'!$B$234="Да",MIN('19_Расчет_аналитики'!AY3666,'19_Расчет_аналитики'!AY3653*'01_Вводные'!$B$79),0)</f>
        <v/>
      </c>
      <c r="AZ3667">
        <f>IF('01_Вводные'!$B$234="Да",MIN('19_Расчет_аналитики'!AZ3666,'19_Расчет_аналитики'!AZ3653*'01_Вводные'!$B$79),0)</f>
        <v/>
      </c>
      <c r="BA3667">
        <f>IF('01_Вводные'!$B$234="Да",MIN('19_Расчет_аналитики'!BA3666,'19_Расчет_аналитики'!BA3653*'01_Вводные'!$B$79),0)</f>
        <v/>
      </c>
      <c r="BB3667">
        <f>IF('01_Вводные'!$B$234="Да",MIN('19_Расчет_аналитики'!BB3666,'19_Расчет_аналитики'!BB3653*'01_Вводные'!$B$79),0)</f>
        <v/>
      </c>
      <c r="BC3667">
        <f>IF('01_Вводные'!$B$234="Да",MIN('19_Расчет_аналитики'!BC3666,'19_Расчет_аналитики'!BC3653*'01_Вводные'!$B$79),0)</f>
        <v/>
      </c>
      <c r="BD3667">
        <f>IF('01_Вводные'!$B$234="Да",MIN('19_Расчет_аналитики'!BD3666,'19_Расчет_аналитики'!BD3653*'01_Вводные'!$B$79),0)</f>
        <v/>
      </c>
      <c r="BE3667">
        <f>IF('01_Вводные'!$B$234="Да",MIN('19_Расчет_аналитики'!BE3666,'19_Расчет_аналитики'!BE3653*'01_Вводные'!$B$79),0)</f>
        <v/>
      </c>
      <c r="BF3667">
        <f>IF('01_Вводные'!$B$234="Да",MIN('19_Расчет_аналитики'!BF3666,'19_Расчет_аналитики'!BF3653*'01_Вводные'!$B$79),0)</f>
        <v/>
      </c>
      <c r="BG3667">
        <f>IF('01_Вводные'!$B$234="Да",MIN('19_Расчет_аналитики'!BG3666,'19_Расчет_аналитики'!BG3653*'01_Вводные'!$B$79),0)</f>
        <v/>
      </c>
      <c r="BH3667">
        <f>IF('01_Вводные'!$B$234="Да",MIN('19_Расчет_аналитики'!BH3666,'19_Расчет_аналитики'!BH3653*'01_Вводные'!$B$79),0)</f>
        <v/>
      </c>
      <c r="BI3667">
        <f>IF('01_Вводные'!$B$234="Да",MIN('19_Расчет_аналитики'!BI3666,'19_Расчет_аналитики'!BI3653*'01_Вводные'!$B$79),0)</f>
        <v/>
      </c>
      <c r="BJ3667">
        <f>IF('01_Вводные'!$B$234="Да",MIN('19_Расчет_аналитики'!BJ3666,'19_Расчет_аналитики'!BJ3653*'01_Вводные'!$B$79),0)</f>
        <v/>
      </c>
      <c r="BK3667">
        <f>IF('01_Вводные'!$B$234="Да",MIN('19_Расчет_аналитики'!BK3666,'19_Расчет_аналитики'!BK3653*'01_Вводные'!$B$79),0)</f>
        <v/>
      </c>
      <c r="BL3667">
        <f>IF('01_Вводные'!$B$234="Да",MIN('19_Расчет_аналитики'!BL3666,'19_Расчет_аналитики'!BL3653*'01_Вводные'!$B$79),0)</f>
        <v/>
      </c>
      <c r="BM3667">
        <f>IF('01_Вводные'!$B$234="Да",MIN('19_Расчет_аналитики'!BM3666,'19_Расчет_аналитики'!BM3653*'01_Вводные'!$B$79),0)</f>
        <v/>
      </c>
      <c r="BN3667">
        <f>IF('01_Вводные'!$B$234="Да",MIN('19_Расчет_аналитики'!BN3666,'19_Расчет_аналитики'!BN3653*'01_Вводные'!$B$79),0)</f>
        <v/>
      </c>
      <c r="BO3667">
        <f>IF('01_Вводные'!$B$234="Да",MIN('19_Расчет_аналитики'!BO3666,'19_Расчет_аналитики'!BO3653*'01_Вводные'!$B$79),0)</f>
        <v/>
      </c>
    </row>
    <row r="3668">
      <c r="B3668">
        <f>IF('01_Вводные'!$B$234="Да",IF(OR('01_Вводные'!$B$238="Нет",'19_Расчет_аналитики'!B3663&gt;='19_Расчет_аналитики'!B3375-0.01),MIN('19_Расчет_аналитики'!B3667,MAX(0,'19_Расчет_аналитики'!B3823)),0),0)</f>
        <v/>
      </c>
      <c r="C3668">
        <f>IF('01_Вводные'!$B$234="Да",IF(OR('01_Вводные'!$B$238="Нет",'19_Расчет_аналитики'!C3663&gt;='19_Расчет_аналитики'!C3375-0.01),MIN('19_Расчет_аналитики'!C3667,MAX(0,'19_Расчет_аналитики'!C3823)),0),0)</f>
        <v/>
      </c>
      <c r="D3668">
        <f>IF('01_Вводные'!$B$234="Да",IF(OR('01_Вводные'!$B$238="Нет",'19_Расчет_аналитики'!D3663&gt;='19_Расчет_аналитики'!D3375-0.01),MIN('19_Расчет_аналитики'!D3667,MAX(0,'19_Расчет_аналитики'!D3823)),0),0)</f>
        <v/>
      </c>
      <c r="E3668">
        <f>IF('01_Вводные'!$B$234="Да",IF(OR('01_Вводные'!$B$238="Нет",'19_Расчет_аналитики'!E3663&gt;='19_Расчет_аналитики'!E3375-0.01),MIN('19_Расчет_аналитики'!E3667,MAX(0,'19_Расчет_аналитики'!E3823)),0),0)</f>
        <v/>
      </c>
      <c r="F3668">
        <f>IF('01_Вводные'!$B$234="Да",IF(OR('01_Вводные'!$B$238="Нет",'19_Расчет_аналитики'!F3663&gt;='19_Расчет_аналитики'!F3375-0.01),MIN('19_Расчет_аналитики'!F3667,MAX(0,'19_Расчет_аналитики'!F3823)),0),0)</f>
        <v/>
      </c>
      <c r="G3668">
        <f>IF('01_Вводные'!$B$234="Да",IF(OR('01_Вводные'!$B$238="Нет",'19_Расчет_аналитики'!G3663&gt;='19_Расчет_аналитики'!G3375-0.01),MIN('19_Расчет_аналитики'!G3667,MAX(0,'19_Расчет_аналитики'!G3823)),0),0)</f>
        <v/>
      </c>
      <c r="H3668">
        <f>IF('01_Вводные'!$B$234="Да",IF(OR('01_Вводные'!$B$238="Нет",'19_Расчет_аналитики'!H3663&gt;='19_Расчет_аналитики'!H3375-0.01),MIN('19_Расчет_аналитики'!H3667,MAX(0,'19_Расчет_аналитики'!H3823)),0),0)</f>
        <v/>
      </c>
      <c r="I3668">
        <f>IF('01_Вводные'!$B$234="Да",IF(OR('01_Вводные'!$B$238="Нет",'19_Расчет_аналитики'!I3663&gt;='19_Расчет_аналитики'!I3375-0.01),MIN('19_Расчет_аналитики'!I3667,MAX(0,'19_Расчет_аналитики'!I3823)),0),0)</f>
        <v/>
      </c>
      <c r="J3668">
        <f>IF('01_Вводные'!$B$234="Да",IF(OR('01_Вводные'!$B$238="Нет",'19_Расчет_аналитики'!J3663&gt;='19_Расчет_аналитики'!J3375-0.01),MIN('19_Расчет_аналитики'!J3667,MAX(0,'19_Расчет_аналитики'!J3823)),0),0)</f>
        <v/>
      </c>
      <c r="K3668">
        <f>IF('01_Вводные'!$B$234="Да",IF(OR('01_Вводные'!$B$238="Нет",'19_Расчет_аналитики'!K3663&gt;='19_Расчет_аналитики'!K3375-0.01),MIN('19_Расчет_аналитики'!K3667,MAX(0,'19_Расчет_аналитики'!K3823)),0),0)</f>
        <v/>
      </c>
      <c r="L3668">
        <f>IF('01_Вводные'!$B$234="Да",IF(OR('01_Вводные'!$B$238="Нет",'19_Расчет_аналитики'!L3663&gt;='19_Расчет_аналитики'!L3375-0.01),MIN('19_Расчет_аналитики'!L3667,MAX(0,'19_Расчет_аналитики'!L3823)),0),0)</f>
        <v/>
      </c>
      <c r="M3668">
        <f>IF('01_Вводные'!$B$234="Да",IF(OR('01_Вводные'!$B$238="Нет",'19_Расчет_аналитики'!M3663&gt;='19_Расчет_аналитики'!M3375-0.01),MIN('19_Расчет_аналитики'!M3667,MAX(0,'19_Расчет_аналитики'!M3823)),0),0)</f>
        <v/>
      </c>
      <c r="N3668">
        <f>IF('01_Вводные'!$B$234="Да",IF(OR('01_Вводные'!$B$238="Нет",'19_Расчет_аналитики'!N3663&gt;='19_Расчет_аналитики'!N3375-0.01),MIN('19_Расчет_аналитики'!N3667,MAX(0,'19_Расчет_аналитики'!N3823)),0),0)</f>
        <v/>
      </c>
      <c r="O3668">
        <f>IF('01_Вводные'!$B$234="Да",IF(OR('01_Вводные'!$B$238="Нет",'19_Расчет_аналитики'!O3663&gt;='19_Расчет_аналитики'!O3375-0.01),MIN('19_Расчет_аналитики'!O3667,MAX(0,'19_Расчет_аналитики'!O3823)),0),0)</f>
        <v/>
      </c>
      <c r="P3668">
        <f>IF('01_Вводные'!$B$234="Да",IF(OR('01_Вводные'!$B$238="Нет",'19_Расчет_аналитики'!P3663&gt;='19_Расчет_аналитики'!P3375-0.01),MIN('19_Расчет_аналитики'!P3667,MAX(0,'19_Расчет_аналитики'!P3823)),0),0)</f>
        <v/>
      </c>
      <c r="Q3668">
        <f>IF('01_Вводные'!$B$234="Да",IF(OR('01_Вводные'!$B$238="Нет",'19_Расчет_аналитики'!Q3663&gt;='19_Расчет_аналитики'!Q3375-0.01),MIN('19_Расчет_аналитики'!Q3667,MAX(0,'19_Расчет_аналитики'!Q3823)),0),0)</f>
        <v/>
      </c>
      <c r="R3668">
        <f>IF('01_Вводные'!$B$234="Да",IF(OR('01_Вводные'!$B$238="Нет",'19_Расчет_аналитики'!R3663&gt;='19_Расчет_аналитики'!R3375-0.01),MIN('19_Расчет_аналитики'!R3667,MAX(0,'19_Расчет_аналитики'!R3823)),0),0)</f>
        <v/>
      </c>
      <c r="S3668">
        <f>IF('01_Вводные'!$B$234="Да",IF(OR('01_Вводные'!$B$238="Нет",'19_Расчет_аналитики'!S3663&gt;='19_Расчет_аналитики'!S3375-0.01),MIN('19_Расчет_аналитики'!S3667,MAX(0,'19_Расчет_аналитики'!S3823)),0),0)</f>
        <v/>
      </c>
      <c r="T3668">
        <f>IF('01_Вводные'!$B$234="Да",IF(OR('01_Вводные'!$B$238="Нет",'19_Расчет_аналитики'!T3663&gt;='19_Расчет_аналитики'!T3375-0.01),MIN('19_Расчет_аналитики'!T3667,MAX(0,'19_Расчет_аналитики'!T3823)),0),0)</f>
        <v/>
      </c>
      <c r="U3668">
        <f>IF('01_Вводные'!$B$234="Да",IF(OR('01_Вводные'!$B$238="Нет",'19_Расчет_аналитики'!U3663&gt;='19_Расчет_аналитики'!U3375-0.01),MIN('19_Расчет_аналитики'!U3667,MAX(0,'19_Расчет_аналитики'!U3823)),0),0)</f>
        <v/>
      </c>
      <c r="V3668">
        <f>IF('01_Вводные'!$B$234="Да",IF(OR('01_Вводные'!$B$238="Нет",'19_Расчет_аналитики'!V3663&gt;='19_Расчет_аналитики'!V3375-0.01),MIN('19_Расчет_аналитики'!V3667,MAX(0,'19_Расчет_аналитики'!V3823)),0),0)</f>
        <v/>
      </c>
      <c r="W3668">
        <f>IF('01_Вводные'!$B$234="Да",IF(OR('01_Вводные'!$B$238="Нет",'19_Расчет_аналитики'!W3663&gt;='19_Расчет_аналитики'!W3375-0.01),MIN('19_Расчет_аналитики'!W3667,MAX(0,'19_Расчет_аналитики'!W3823)),0),0)</f>
        <v/>
      </c>
      <c r="X3668">
        <f>IF('01_Вводные'!$B$234="Да",IF(OR('01_Вводные'!$B$238="Нет",'19_Расчет_аналитики'!X3663&gt;='19_Расчет_аналитики'!X3375-0.01),MIN('19_Расчет_аналитики'!X3667,MAX(0,'19_Расчет_аналитики'!X3823)),0),0)</f>
        <v/>
      </c>
      <c r="Y3668">
        <f>IF('01_Вводные'!$B$234="Да",IF(OR('01_Вводные'!$B$238="Нет",'19_Расчет_аналитики'!Y3663&gt;='19_Расчет_аналитики'!Y3375-0.01),MIN('19_Расчет_аналитики'!Y3667,MAX(0,'19_Расчет_аналитики'!Y3823)),0),0)</f>
        <v/>
      </c>
      <c r="Z3668">
        <f>IF('01_Вводные'!$B$234="Да",IF(OR('01_Вводные'!$B$238="Нет",'19_Расчет_аналитики'!Z3663&gt;='19_Расчет_аналитики'!Z3375-0.01),MIN('19_Расчет_аналитики'!Z3667,MAX(0,'19_Расчет_аналитики'!Z3823)),0),0)</f>
        <v/>
      </c>
      <c r="AA3668">
        <f>IF('01_Вводные'!$B$234="Да",IF(OR('01_Вводные'!$B$238="Нет",'19_Расчет_аналитики'!AA3663&gt;='19_Расчет_аналитики'!AA3375-0.01),MIN('19_Расчет_аналитики'!AA3667,MAX(0,'19_Расчет_аналитики'!AA3823)),0),0)</f>
        <v/>
      </c>
      <c r="AB3668">
        <f>IF('01_Вводные'!$B$234="Да",IF(OR('01_Вводные'!$B$238="Нет",'19_Расчет_аналитики'!AB3663&gt;='19_Расчет_аналитики'!AB3375-0.01),MIN('19_Расчет_аналитики'!AB3667,MAX(0,'19_Расчет_аналитики'!AB3823)),0),0)</f>
        <v/>
      </c>
      <c r="AC3668">
        <f>IF('01_Вводные'!$B$234="Да",IF(OR('01_Вводные'!$B$238="Нет",'19_Расчет_аналитики'!AC3663&gt;='19_Расчет_аналитики'!AC3375-0.01),MIN('19_Расчет_аналитики'!AC3667,MAX(0,'19_Расчет_аналитики'!AC3823)),0),0)</f>
        <v/>
      </c>
      <c r="AD3668">
        <f>IF('01_Вводные'!$B$234="Да",IF(OR('01_Вводные'!$B$238="Нет",'19_Расчет_аналитики'!AD3663&gt;='19_Расчет_аналитики'!AD3375-0.01),MIN('19_Расчет_аналитики'!AD3667,MAX(0,'19_Расчет_аналитики'!AD3823)),0),0)</f>
        <v/>
      </c>
      <c r="AE3668">
        <f>IF('01_Вводные'!$B$234="Да",IF(OR('01_Вводные'!$B$238="Нет",'19_Расчет_аналитики'!AE3663&gt;='19_Расчет_аналитики'!AE3375-0.01),MIN('19_Расчет_аналитики'!AE3667,MAX(0,'19_Расчет_аналитики'!AE3823)),0),0)</f>
        <v/>
      </c>
      <c r="AF3668">
        <f>IF('01_Вводные'!$B$234="Да",IF(OR('01_Вводные'!$B$238="Нет",'19_Расчет_аналитики'!AF3663&gt;='19_Расчет_аналитики'!AF3375-0.01),MIN('19_Расчет_аналитики'!AF3667,MAX(0,'19_Расчет_аналитики'!AF3823)),0),0)</f>
        <v/>
      </c>
      <c r="AG3668">
        <f>IF('01_Вводные'!$B$234="Да",IF(OR('01_Вводные'!$B$238="Нет",'19_Расчет_аналитики'!AG3663&gt;='19_Расчет_аналитики'!AG3375-0.01),MIN('19_Расчет_аналитики'!AG3667,MAX(0,'19_Расчет_аналитики'!AG3823)),0),0)</f>
        <v/>
      </c>
      <c r="AH3668">
        <f>IF('01_Вводные'!$B$234="Да",IF(OR('01_Вводные'!$B$238="Нет",'19_Расчет_аналитики'!AH3663&gt;='19_Расчет_аналитики'!AH3375-0.01),MIN('19_Расчет_аналитики'!AH3667,MAX(0,'19_Расчет_аналитики'!AH3823)),0),0)</f>
        <v/>
      </c>
      <c r="AI3668">
        <f>IF('01_Вводные'!$B$234="Да",IF(OR('01_Вводные'!$B$238="Нет",'19_Расчет_аналитики'!AI3663&gt;='19_Расчет_аналитики'!AI3375-0.01),MIN('19_Расчет_аналитики'!AI3667,MAX(0,'19_Расчет_аналитики'!AI3823)),0),0)</f>
        <v/>
      </c>
      <c r="AJ3668">
        <f>IF('01_Вводные'!$B$234="Да",IF(OR('01_Вводные'!$B$238="Нет",'19_Расчет_аналитики'!AJ3663&gt;='19_Расчет_аналитики'!AJ3375-0.01),MIN('19_Расчет_аналитики'!AJ3667,MAX(0,'19_Расчет_аналитики'!AJ3823)),0),0)</f>
        <v/>
      </c>
      <c r="AK3668">
        <f>IF('01_Вводные'!$B$234="Да",IF(OR('01_Вводные'!$B$238="Нет",'19_Расчет_аналитики'!AK3663&gt;='19_Расчет_аналитики'!AK3375-0.01),MIN('19_Расчет_аналитики'!AK3667,MAX(0,'19_Расчет_аналитики'!AK3823)),0),0)</f>
        <v/>
      </c>
      <c r="AL3668">
        <f>IF('01_Вводные'!$B$234="Да",IF(OR('01_Вводные'!$B$238="Нет",'19_Расчет_аналитики'!AL3663&gt;='19_Расчет_аналитики'!AL3375-0.01),MIN('19_Расчет_аналитики'!AL3667,MAX(0,'19_Расчет_аналитики'!AL3823)),0),0)</f>
        <v/>
      </c>
      <c r="AM3668">
        <f>IF('01_Вводные'!$B$234="Да",IF(OR('01_Вводные'!$B$238="Нет",'19_Расчет_аналитики'!AM3663&gt;='19_Расчет_аналитики'!AM3375-0.01),MIN('19_Расчет_аналитики'!AM3667,MAX(0,'19_Расчет_аналитики'!AM3823)),0),0)</f>
        <v/>
      </c>
      <c r="AN3668">
        <f>IF('01_Вводные'!$B$234="Да",IF(OR('01_Вводные'!$B$238="Нет",'19_Расчет_аналитики'!AN3663&gt;='19_Расчет_аналитики'!AN3375-0.01),MIN('19_Расчет_аналитики'!AN3667,MAX(0,'19_Расчет_аналитики'!AN3823)),0),0)</f>
        <v/>
      </c>
      <c r="AO3668">
        <f>IF('01_Вводные'!$B$234="Да",IF(OR('01_Вводные'!$B$238="Нет",'19_Расчет_аналитики'!AO3663&gt;='19_Расчет_аналитики'!AO3375-0.01),MIN('19_Расчет_аналитики'!AO3667,MAX(0,'19_Расчет_аналитики'!AO3823)),0),0)</f>
        <v/>
      </c>
      <c r="AP3668">
        <f>IF('01_Вводные'!$B$234="Да",IF(OR('01_Вводные'!$B$238="Нет",'19_Расчет_аналитики'!AP3663&gt;='19_Расчет_аналитики'!AP3375-0.01),MIN('19_Расчет_аналитики'!AP3667,MAX(0,'19_Расчет_аналитики'!AP3823)),0),0)</f>
        <v/>
      </c>
      <c r="AQ3668">
        <f>IF('01_Вводные'!$B$234="Да",IF(OR('01_Вводные'!$B$238="Нет",'19_Расчет_аналитики'!AQ3663&gt;='19_Расчет_аналитики'!AQ3375-0.01),MIN('19_Расчет_аналитики'!AQ3667,MAX(0,'19_Расчет_аналитики'!AQ3823)),0),0)</f>
        <v/>
      </c>
      <c r="AR3668">
        <f>IF('01_Вводные'!$B$234="Да",IF(OR('01_Вводные'!$B$238="Нет",'19_Расчет_аналитики'!AR3663&gt;='19_Расчет_аналитики'!AR3375-0.01),MIN('19_Расчет_аналитики'!AR3667,MAX(0,'19_Расчет_аналитики'!AR3823)),0),0)</f>
        <v/>
      </c>
      <c r="AS3668">
        <f>IF('01_Вводные'!$B$234="Да",IF(OR('01_Вводные'!$B$238="Нет",'19_Расчет_аналитики'!AS3663&gt;='19_Расчет_аналитики'!AS3375-0.01),MIN('19_Расчет_аналитики'!AS3667,MAX(0,'19_Расчет_аналитики'!AS3823)),0),0)</f>
        <v/>
      </c>
      <c r="AT3668">
        <f>IF('01_Вводные'!$B$234="Да",IF(OR('01_Вводные'!$B$238="Нет",'19_Расчет_аналитики'!AT3663&gt;='19_Расчет_аналитики'!AT3375-0.01),MIN('19_Расчет_аналитики'!AT3667,MAX(0,'19_Расчет_аналитики'!AT3823)),0),0)</f>
        <v/>
      </c>
      <c r="AU3668">
        <f>IF('01_Вводные'!$B$234="Да",IF(OR('01_Вводные'!$B$238="Нет",'19_Расчет_аналитики'!AU3663&gt;='19_Расчет_аналитики'!AU3375-0.01),MIN('19_Расчет_аналитики'!AU3667,MAX(0,'19_Расчет_аналитики'!AU3823)),0),0)</f>
        <v/>
      </c>
      <c r="AV3668">
        <f>IF('01_Вводные'!$B$234="Да",IF(OR('01_Вводные'!$B$238="Нет",'19_Расчет_аналитики'!AV3663&gt;='19_Расчет_аналитики'!AV3375-0.01),MIN('19_Расчет_аналитики'!AV3667,MAX(0,'19_Расчет_аналитики'!AV3823)),0),0)</f>
        <v/>
      </c>
      <c r="AW3668">
        <f>IF('01_Вводные'!$B$234="Да",IF(OR('01_Вводные'!$B$238="Нет",'19_Расчет_аналитики'!AW3663&gt;='19_Расчет_аналитики'!AW3375-0.01),MIN('19_Расчет_аналитики'!AW3667,MAX(0,'19_Расчет_аналитики'!AW3823)),0),0)</f>
        <v/>
      </c>
      <c r="AX3668">
        <f>IF('01_Вводные'!$B$234="Да",IF(OR('01_Вводные'!$B$238="Нет",'19_Расчет_аналитики'!AX3663&gt;='19_Расчет_аналитики'!AX3375-0.01),MIN('19_Расчет_аналитики'!AX3667,MAX(0,'19_Расчет_аналитики'!AX3823)),0),0)</f>
        <v/>
      </c>
      <c r="AY3668">
        <f>IF('01_Вводные'!$B$234="Да",IF(OR('01_Вводные'!$B$238="Нет",'19_Расчет_аналитики'!AY3663&gt;='19_Расчет_аналитики'!AY3375-0.01),MIN('19_Расчет_аналитики'!AY3667,MAX(0,'19_Расчет_аналитики'!AY3823)),0),0)</f>
        <v/>
      </c>
      <c r="AZ3668">
        <f>IF('01_Вводные'!$B$234="Да",IF(OR('01_Вводные'!$B$238="Нет",'19_Расчет_аналитики'!AZ3663&gt;='19_Расчет_аналитики'!AZ3375-0.01),MIN('19_Расчет_аналитики'!AZ3667,MAX(0,'19_Расчет_аналитики'!AZ3823)),0),0)</f>
        <v/>
      </c>
      <c r="BA3668">
        <f>IF('01_Вводные'!$B$234="Да",IF(OR('01_Вводные'!$B$238="Нет",'19_Расчет_аналитики'!BA3663&gt;='19_Расчет_аналитики'!BA3375-0.01),MIN('19_Расчет_аналитики'!BA3667,MAX(0,'19_Расчет_аналитики'!BA3823)),0),0)</f>
        <v/>
      </c>
      <c r="BB3668">
        <f>IF('01_Вводные'!$B$234="Да",IF(OR('01_Вводные'!$B$238="Нет",'19_Расчет_аналитики'!BB3663&gt;='19_Расчет_аналитики'!BB3375-0.01),MIN('19_Расчет_аналитики'!BB3667,MAX(0,'19_Расчет_аналитики'!BB3823)),0),0)</f>
        <v/>
      </c>
      <c r="BC3668">
        <f>IF('01_Вводные'!$B$234="Да",IF(OR('01_Вводные'!$B$238="Нет",'19_Расчет_аналитики'!BC3663&gt;='19_Расчет_аналитики'!BC3375-0.01),MIN('19_Расчет_аналитики'!BC3667,MAX(0,'19_Расчет_аналитики'!BC3823)),0),0)</f>
        <v/>
      </c>
      <c r="BD3668">
        <f>IF('01_Вводные'!$B$234="Да",IF(OR('01_Вводные'!$B$238="Нет",'19_Расчет_аналитики'!BD3663&gt;='19_Расчет_аналитики'!BD3375-0.01),MIN('19_Расчет_аналитики'!BD3667,MAX(0,'19_Расчет_аналитики'!BD3823)),0),0)</f>
        <v/>
      </c>
      <c r="BE3668">
        <f>IF('01_Вводные'!$B$234="Да",IF(OR('01_Вводные'!$B$238="Нет",'19_Расчет_аналитики'!BE3663&gt;='19_Расчет_аналитики'!BE3375-0.01),MIN('19_Расчет_аналитики'!BE3667,MAX(0,'19_Расчет_аналитики'!BE3823)),0),0)</f>
        <v/>
      </c>
      <c r="BF3668">
        <f>IF('01_Вводные'!$B$234="Да",IF(OR('01_Вводные'!$B$238="Нет",'19_Расчет_аналитики'!BF3663&gt;='19_Расчет_аналитики'!BF3375-0.01),MIN('19_Расчет_аналитики'!BF3667,MAX(0,'19_Расчет_аналитики'!BF3823)),0),0)</f>
        <v/>
      </c>
      <c r="BG3668">
        <f>IF('01_Вводные'!$B$234="Да",IF(OR('01_Вводные'!$B$238="Нет",'19_Расчет_аналитики'!BG3663&gt;='19_Расчет_аналитики'!BG3375-0.01),MIN('19_Расчет_аналитики'!BG3667,MAX(0,'19_Расчет_аналитики'!BG3823)),0),0)</f>
        <v/>
      </c>
      <c r="BH3668">
        <f>IF('01_Вводные'!$B$234="Да",IF(OR('01_Вводные'!$B$238="Нет",'19_Расчет_аналитики'!BH3663&gt;='19_Расчет_аналитики'!BH3375-0.01),MIN('19_Расчет_аналитики'!BH3667,MAX(0,'19_Расчет_аналитики'!BH3823)),0),0)</f>
        <v/>
      </c>
      <c r="BI3668">
        <f>IF('01_Вводные'!$B$234="Да",IF(OR('01_Вводные'!$B$238="Нет",'19_Расчет_аналитики'!BI3663&gt;='19_Расчет_аналитики'!BI3375-0.01),MIN('19_Расчет_аналитики'!BI3667,MAX(0,'19_Расчет_аналитики'!BI3823)),0),0)</f>
        <v/>
      </c>
    </row>
    <row r="3669">
      <c r="B3669">
        <f>IF('01_Вводные'!$B$234="Да",MAX(0,'07_Мерч'!B29-'19_Расчет_аналитики'!B3668),0)</f>
        <v/>
      </c>
      <c r="C3669">
        <f>IF('01_Вводные'!$B$234="Да",MAX(0,'19_Расчет_аналитики'!C3666-'19_Расчет_аналитики'!C3668),0)</f>
        <v/>
      </c>
      <c r="D3669">
        <f>IF('01_Вводные'!$B$234="Да",MAX(0,'19_Расчет_аналитики'!D3666-'19_Расчет_аналитики'!D3668),0)</f>
        <v/>
      </c>
      <c r="E3669">
        <f>IF('01_Вводные'!$B$234="Да",MAX(0,'19_Расчет_аналитики'!E3666-'19_Расчет_аналитики'!E3668),0)</f>
        <v/>
      </c>
      <c r="F3669">
        <f>IF('01_Вводные'!$B$234="Да",MAX(0,'19_Расчет_аналитики'!F3666-'19_Расчет_аналитики'!F3668),0)</f>
        <v/>
      </c>
      <c r="G3669">
        <f>IF('01_Вводные'!$B$234="Да",MAX(0,'19_Расчет_аналитики'!G3666-'19_Расчет_аналитики'!G3668),0)</f>
        <v/>
      </c>
      <c r="H3669">
        <f>IF('01_Вводные'!$B$234="Да",MAX(0,'19_Расчет_аналитики'!H3666-'19_Расчет_аналитики'!H3668),0)</f>
        <v/>
      </c>
      <c r="I3669">
        <f>IF('01_Вводные'!$B$234="Да",MAX(0,'19_Расчет_аналитики'!I3666-'19_Расчет_аналитики'!I3668),0)</f>
        <v/>
      </c>
      <c r="J3669">
        <f>IF('01_Вводные'!$B$234="Да",MAX(0,'19_Расчет_аналитики'!J3666-'19_Расчет_аналитики'!J3668),0)</f>
        <v/>
      </c>
      <c r="K3669">
        <f>IF('01_Вводные'!$B$234="Да",MAX(0,'19_Расчет_аналитики'!K3666-'19_Расчет_аналитики'!K3668),0)</f>
        <v/>
      </c>
      <c r="L3669">
        <f>IF('01_Вводные'!$B$234="Да",MAX(0,'19_Расчет_аналитики'!L3666-'19_Расчет_аналитики'!L3668),0)</f>
        <v/>
      </c>
      <c r="M3669">
        <f>IF('01_Вводные'!$B$234="Да",MAX(0,'19_Расчет_аналитики'!M3666-'19_Расчет_аналитики'!M3668),0)</f>
        <v/>
      </c>
      <c r="N3669">
        <f>IF('01_Вводные'!$B$234="Да",MAX(0,'19_Расчет_аналитики'!N3666-'19_Расчет_аналитики'!N3668),0)</f>
        <v/>
      </c>
      <c r="O3669">
        <f>IF('01_Вводные'!$B$234="Да",MAX(0,'19_Расчет_аналитики'!O3666-'19_Расчет_аналитики'!O3668),0)</f>
        <v/>
      </c>
      <c r="P3669">
        <f>IF('01_Вводные'!$B$234="Да",MAX(0,'19_Расчет_аналитики'!P3666-'19_Расчет_аналитики'!P3668),0)</f>
        <v/>
      </c>
      <c r="Q3669">
        <f>IF('01_Вводные'!$B$234="Да",MAX(0,'19_Расчет_аналитики'!Q3666-'19_Расчет_аналитики'!Q3668),0)</f>
        <v/>
      </c>
      <c r="R3669">
        <f>IF('01_Вводные'!$B$234="Да",MAX(0,'19_Расчет_аналитики'!R3666-'19_Расчет_аналитики'!R3668),0)</f>
        <v/>
      </c>
      <c r="S3669">
        <f>IF('01_Вводные'!$B$234="Да",MAX(0,'19_Расчет_аналитики'!S3666-'19_Расчет_аналитики'!S3668),0)</f>
        <v/>
      </c>
      <c r="T3669">
        <f>IF('01_Вводные'!$B$234="Да",MAX(0,'19_Расчет_аналитики'!T3666-'19_Расчет_аналитики'!T3668),0)</f>
        <v/>
      </c>
      <c r="U3669">
        <f>IF('01_Вводные'!$B$234="Да",MAX(0,'19_Расчет_аналитики'!U3666-'19_Расчет_аналитики'!U3668),0)</f>
        <v/>
      </c>
      <c r="V3669">
        <f>IF('01_Вводные'!$B$234="Да",MAX(0,'19_Расчет_аналитики'!V3666-'19_Расчет_аналитики'!V3668),0)</f>
        <v/>
      </c>
      <c r="W3669">
        <f>IF('01_Вводные'!$B$234="Да",MAX(0,'19_Расчет_аналитики'!W3666-'19_Расчет_аналитики'!W3668),0)</f>
        <v/>
      </c>
      <c r="X3669">
        <f>IF('01_Вводные'!$B$234="Да",MAX(0,'19_Расчет_аналитики'!X3666-'19_Расчет_аналитики'!X3668),0)</f>
        <v/>
      </c>
      <c r="Y3669">
        <f>IF('01_Вводные'!$B$234="Да",MAX(0,'19_Расчет_аналитики'!Y3666-'19_Расчет_аналитики'!Y3668),0)</f>
        <v/>
      </c>
      <c r="Z3669">
        <f>IF('01_Вводные'!$B$234="Да",MAX(0,'19_Расчет_аналитики'!Z3666-'19_Расчет_аналитики'!Z3668),0)</f>
        <v/>
      </c>
      <c r="AA3669">
        <f>IF('01_Вводные'!$B$234="Да",MAX(0,'19_Расчет_аналитики'!AA3666-'19_Расчет_аналитики'!AA3668),0)</f>
        <v/>
      </c>
      <c r="AB3669">
        <f>IF('01_Вводные'!$B$234="Да",MAX(0,'19_Расчет_аналитики'!AB3666-'19_Расчет_аналитики'!AB3668),0)</f>
        <v/>
      </c>
      <c r="AC3669">
        <f>IF('01_Вводные'!$B$234="Да",MAX(0,'19_Расчет_аналитики'!AC3666-'19_Расчет_аналитики'!AC3668),0)</f>
        <v/>
      </c>
      <c r="AD3669">
        <f>IF('01_Вводные'!$B$234="Да",MAX(0,'19_Расчет_аналитики'!AD3666-'19_Расчет_аналитики'!AD3668),0)</f>
        <v/>
      </c>
      <c r="AE3669">
        <f>IF('01_Вводные'!$B$234="Да",MAX(0,'19_Расчет_аналитики'!AE3666-'19_Расчет_аналитики'!AE3668),0)</f>
        <v/>
      </c>
      <c r="AF3669">
        <f>IF('01_Вводные'!$B$234="Да",MAX(0,'19_Расчет_аналитики'!AF3666-'19_Расчет_аналитики'!AF3668),0)</f>
        <v/>
      </c>
      <c r="AG3669">
        <f>IF('01_Вводные'!$B$234="Да",MAX(0,'19_Расчет_аналитики'!AG3666-'19_Расчет_аналитики'!AG3668),0)</f>
        <v/>
      </c>
      <c r="AH3669">
        <f>IF('01_Вводные'!$B$234="Да",MAX(0,'19_Расчет_аналитики'!AH3666-'19_Расчет_аналитики'!AH3668),0)</f>
        <v/>
      </c>
      <c r="AI3669">
        <f>IF('01_Вводные'!$B$234="Да",MAX(0,'19_Расчет_аналитики'!AI3666-'19_Расчет_аналитики'!AI3668),0)</f>
        <v/>
      </c>
      <c r="AJ3669">
        <f>IF('01_Вводные'!$B$234="Да",MAX(0,'19_Расчет_аналитики'!AJ3666-'19_Расчет_аналитики'!AJ3668),0)</f>
        <v/>
      </c>
      <c r="AK3669">
        <f>IF('01_Вводные'!$B$234="Да",MAX(0,'19_Расчет_аналитики'!AK3666-'19_Расчет_аналитики'!AK3668),0)</f>
        <v/>
      </c>
      <c r="AL3669">
        <f>IF('01_Вводные'!$B$234="Да",MAX(0,'19_Расчет_аналитики'!AL3666-'19_Расчет_аналитики'!AL3668),0)</f>
        <v/>
      </c>
      <c r="AM3669">
        <f>IF('01_Вводные'!$B$234="Да",MAX(0,'19_Расчет_аналитики'!AM3666-'19_Расчет_аналитики'!AM3668),0)</f>
        <v/>
      </c>
      <c r="AN3669">
        <f>IF('01_Вводные'!$B$234="Да",MAX(0,'19_Расчет_аналитики'!AN3666-'19_Расчет_аналитики'!AN3668),0)</f>
        <v/>
      </c>
      <c r="AO3669">
        <f>IF('01_Вводные'!$B$234="Да",MAX(0,'19_Расчет_аналитики'!AO3666-'19_Расчет_аналитики'!AO3668),0)</f>
        <v/>
      </c>
      <c r="AP3669">
        <f>IF('01_Вводные'!$B$234="Да",MAX(0,'19_Расчет_аналитики'!AP3666-'19_Расчет_аналитики'!AP3668),0)</f>
        <v/>
      </c>
      <c r="AQ3669">
        <f>IF('01_Вводные'!$B$234="Да",MAX(0,'19_Расчет_аналитики'!AQ3666-'19_Расчет_аналитики'!AQ3668),0)</f>
        <v/>
      </c>
      <c r="AR3669">
        <f>IF('01_Вводные'!$B$234="Да",MAX(0,'19_Расчет_аналитики'!AR3666-'19_Расчет_аналитики'!AR3668),0)</f>
        <v/>
      </c>
      <c r="AS3669">
        <f>IF('01_Вводные'!$B$234="Да",MAX(0,'19_Расчет_аналитики'!AS3666-'19_Расчет_аналитики'!AS3668),0)</f>
        <v/>
      </c>
      <c r="AT3669">
        <f>IF('01_Вводные'!$B$234="Да",MAX(0,'19_Расчет_аналитики'!AT3666-'19_Расчет_аналитики'!AT3668),0)</f>
        <v/>
      </c>
      <c r="AU3669">
        <f>IF('01_Вводные'!$B$234="Да",MAX(0,'19_Расчет_аналитики'!AU3666-'19_Расчет_аналитики'!AU3668),0)</f>
        <v/>
      </c>
      <c r="AV3669">
        <f>IF('01_Вводные'!$B$234="Да",MAX(0,'19_Расчет_аналитики'!AV3666-'19_Расчет_аналитики'!AV3668),0)</f>
        <v/>
      </c>
      <c r="AW3669">
        <f>IF('01_Вводные'!$B$234="Да",MAX(0,'19_Расчет_аналитики'!AW3666-'19_Расчет_аналитики'!AW3668),0)</f>
        <v/>
      </c>
      <c r="AX3669">
        <f>IF('01_Вводные'!$B$234="Да",MAX(0,'19_Расчет_аналитики'!AX3666-'19_Расчет_аналитики'!AX3668),0)</f>
        <v/>
      </c>
      <c r="AY3669">
        <f>IF('01_Вводные'!$B$234="Да",MAX(0,'19_Расчет_аналитики'!AY3666-'19_Расчет_аналитики'!AY3668),0)</f>
        <v/>
      </c>
      <c r="AZ3669">
        <f>IF('01_Вводные'!$B$234="Да",MAX(0,'19_Расчет_аналитики'!AZ3666-'19_Расчет_аналитики'!AZ3668),0)</f>
        <v/>
      </c>
      <c r="BA3669">
        <f>IF('01_Вводные'!$B$234="Да",MAX(0,'19_Расчет_аналитики'!BA3666-'19_Расчет_аналитики'!BA3668),0)</f>
        <v/>
      </c>
      <c r="BB3669">
        <f>IF('01_Вводные'!$B$234="Да",MAX(0,'19_Расчет_аналитики'!BB3666-'19_Расчет_аналитики'!BB3668),0)</f>
        <v/>
      </c>
      <c r="BC3669">
        <f>IF('01_Вводные'!$B$234="Да",MAX(0,'19_Расчет_аналитики'!BC3666-'19_Расчет_аналитики'!BC3668),0)</f>
        <v/>
      </c>
      <c r="BD3669">
        <f>IF('01_Вводные'!$B$234="Да",MAX(0,'19_Расчет_аналитики'!BD3666-'19_Расчет_аналитики'!BD3668),0)</f>
        <v/>
      </c>
      <c r="BE3669">
        <f>IF('01_Вводные'!$B$234="Да",MAX(0,'19_Расчет_аналитики'!BE3666-'19_Расчет_аналитики'!BE3668),0)</f>
        <v/>
      </c>
      <c r="BF3669">
        <f>IF('01_Вводные'!$B$234="Да",MAX(0,'19_Расчет_аналитики'!BF3666-'19_Расчет_аналитики'!BF3668),0)</f>
        <v/>
      </c>
      <c r="BG3669">
        <f>IF('01_Вводные'!$B$234="Да",MAX(0,'19_Расчет_аналитики'!BG3666-'19_Расчет_аналитики'!BG3668),0)</f>
        <v/>
      </c>
      <c r="BH3669">
        <f>IF('01_Вводные'!$B$234="Да",MAX(0,'19_Расчет_аналитики'!BH3666-'19_Расчет_аналитики'!BH3668),0)</f>
        <v/>
      </c>
      <c r="BI3669">
        <f>IF('01_Вводные'!$B$234="Да",MAX(0,'19_Расчет_аналитики'!BI3666-'19_Расчет_аналитики'!BI3668),0)</f>
        <v/>
      </c>
      <c r="BJ3669">
        <f>IF('01_Вводные'!$B$234="Да",MAX(0,'19_Расчет_аналитики'!BJ3666-'07_Мерч'!BJ31),0)</f>
        <v/>
      </c>
      <c r="BK3669">
        <f>IF('01_Вводные'!$B$234="Да",MAX(0,'19_Расчет_аналитики'!BK3666-'07_Мерч'!BK31),0)</f>
        <v/>
      </c>
      <c r="BL3669">
        <f>IF('01_Вводные'!$B$234="Да",MAX(0,'19_Расчет_аналитики'!BL3666-'07_Мерч'!BL31),0)</f>
        <v/>
      </c>
      <c r="BM3669">
        <f>IF('01_Вводные'!$B$234="Да",MAX(0,'19_Расчет_аналитики'!BM3666-'07_Мерч'!BM31),0)</f>
        <v/>
      </c>
      <c r="BN3669">
        <f>IF('01_Вводные'!$B$234="Да",MAX(0,'19_Расчет_аналитики'!BN3666-'07_Мерч'!BN31),0)</f>
        <v/>
      </c>
      <c r="BO3669">
        <f>IF('01_Вводные'!$B$234="Да",MAX(0,'19_Расчет_аналитики'!BO3666-'07_Мерч'!BO31),0)</f>
        <v/>
      </c>
    </row>
    <row r="3670"/>
    <row r="3671"/>
    <row r="3672"/>
    <row r="3673"/>
    <row r="3674"/>
    <row r="3675"/>
    <row r="3676"/>
    <row r="3677"/>
    <row r="3678"/>
    <row r="3679"/>
    <row r="3680"/>
    <row r="3681"/>
    <row r="3682"/>
    <row r="3683">
      <c r="C3683">
        <f>IF('01_Вводные'!$B$234="Да",MAX(0,MAX('01_Вводные'!$B$118,INT('19_Расчет_аналитики'!C3743/'01_Вводные'!$B$117)+1)-'01_Вводные'!$B$118),0)</f>
        <v/>
      </c>
      <c r="D3683">
        <f>IF('01_Вводные'!$B$234="Да",MAX(0,MAX('01_Вводные'!$B$118,INT('19_Расчет_аналитики'!D3743/'01_Вводные'!$B$117)+1)-'01_Вводные'!$B$118),0)</f>
        <v/>
      </c>
      <c r="E3683">
        <f>IF('01_Вводные'!$B$234="Да",MAX(0,MAX('01_Вводные'!$B$118,INT('19_Расчет_аналитики'!E3743/'01_Вводные'!$B$117)+1)-'01_Вводные'!$B$118),0)</f>
        <v/>
      </c>
      <c r="F3683">
        <f>IF('01_Вводные'!$B$234="Да",MAX(0,MAX('01_Вводные'!$B$118,INT('19_Расчет_аналитики'!F3743/'01_Вводные'!$B$117)+1)-'01_Вводные'!$B$118),0)</f>
        <v/>
      </c>
      <c r="G3683">
        <f>IF('01_Вводные'!$B$234="Да",MAX(0,MAX('01_Вводные'!$B$118,INT('19_Расчет_аналитики'!G3743/'01_Вводные'!$B$117)+1)-'01_Вводные'!$B$118),0)</f>
        <v/>
      </c>
      <c r="H3683">
        <f>IF('01_Вводные'!$B$234="Да",MAX(0,MAX('01_Вводные'!$B$118,INT('19_Расчет_аналитики'!H3743/'01_Вводные'!$B$117)+1)-'01_Вводные'!$B$118),0)</f>
        <v/>
      </c>
      <c r="I3683">
        <f>IF('01_Вводные'!$B$234="Да",MAX(0,MAX('01_Вводные'!$B$118,INT('19_Расчет_аналитики'!I3743/'01_Вводные'!$B$117)+1)-'01_Вводные'!$B$118),0)</f>
        <v/>
      </c>
      <c r="J3683">
        <f>IF('01_Вводные'!$B$234="Да",MAX(0,MAX('01_Вводные'!$B$118,INT('19_Расчет_аналитики'!J3743/'01_Вводные'!$B$117)+1)-'01_Вводные'!$B$118),0)</f>
        <v/>
      </c>
      <c r="K3683">
        <f>IF('01_Вводные'!$B$234="Да",MAX(0,MAX('01_Вводные'!$B$118,INT('19_Расчет_аналитики'!K3743/'01_Вводные'!$B$117)+1)-'01_Вводные'!$B$118),0)</f>
        <v/>
      </c>
      <c r="L3683">
        <f>IF('01_Вводные'!$B$234="Да",MAX(0,MAX('01_Вводные'!$B$118,INT('19_Расчет_аналитики'!L3743/'01_Вводные'!$B$117)+1)-'01_Вводные'!$B$118),0)</f>
        <v/>
      </c>
      <c r="M3683">
        <f>IF('01_Вводные'!$B$234="Да",MAX(0,MAX('01_Вводные'!$B$118,INT('19_Расчет_аналитики'!M3743/'01_Вводные'!$B$117)+1)-'01_Вводные'!$B$118),0)</f>
        <v/>
      </c>
      <c r="N3683">
        <f>IF('01_Вводные'!$B$234="Да",MAX(0,MAX('01_Вводные'!$B$118,INT('19_Расчет_аналитики'!N3743/'01_Вводные'!$B$117)+1)-'01_Вводные'!$B$118),0)</f>
        <v/>
      </c>
      <c r="O3683">
        <f>IF('01_Вводные'!$B$234="Да",MAX(0,MAX('01_Вводные'!$B$118,INT('19_Расчет_аналитики'!O3743/'01_Вводные'!$B$117)+1)-'01_Вводные'!$B$118),0)</f>
        <v/>
      </c>
      <c r="P3683">
        <f>IF('01_Вводные'!$B$234="Да",MAX(0,MAX('01_Вводные'!$B$118,INT('19_Расчет_аналитики'!P3743/'01_Вводные'!$B$117)+1)-'01_Вводные'!$B$118),0)</f>
        <v/>
      </c>
      <c r="Q3683">
        <f>IF('01_Вводные'!$B$234="Да",MAX(0,MAX('01_Вводные'!$B$118,INT('19_Расчет_аналитики'!Q3743/'01_Вводные'!$B$117)+1)-'01_Вводные'!$B$118),0)</f>
        <v/>
      </c>
      <c r="R3683">
        <f>IF('01_Вводные'!$B$234="Да",MAX(0,MAX('01_Вводные'!$B$118,INT('19_Расчет_аналитики'!R3743/'01_Вводные'!$B$117)+1)-'01_Вводные'!$B$118),0)</f>
        <v/>
      </c>
      <c r="S3683">
        <f>IF('01_Вводные'!$B$234="Да",MAX(0,MAX('01_Вводные'!$B$118,INT('19_Расчет_аналитики'!S3743/'01_Вводные'!$B$117)+1)-'01_Вводные'!$B$118),0)</f>
        <v/>
      </c>
      <c r="T3683">
        <f>IF('01_Вводные'!$B$234="Да",MAX(0,MAX('01_Вводные'!$B$118,INT('19_Расчет_аналитики'!T3743/'01_Вводные'!$B$117)+1)-'01_Вводные'!$B$118),0)</f>
        <v/>
      </c>
      <c r="U3683">
        <f>IF('01_Вводные'!$B$234="Да",MAX(0,MAX('01_Вводные'!$B$118,INT('19_Расчет_аналитики'!U3743/'01_Вводные'!$B$117)+1)-'01_Вводные'!$B$118),0)</f>
        <v/>
      </c>
      <c r="V3683">
        <f>IF('01_Вводные'!$B$234="Да",MAX(0,MAX('01_Вводные'!$B$118,INT('19_Расчет_аналитики'!V3743/'01_Вводные'!$B$117)+1)-'01_Вводные'!$B$118),0)</f>
        <v/>
      </c>
      <c r="W3683">
        <f>IF('01_Вводные'!$B$234="Да",MAX(0,MAX('01_Вводные'!$B$118,INT('19_Расчет_аналитики'!W3743/'01_Вводные'!$B$117)+1)-'01_Вводные'!$B$118),0)</f>
        <v/>
      </c>
      <c r="X3683">
        <f>IF('01_Вводные'!$B$234="Да",MAX(0,MAX('01_Вводные'!$B$118,INT('19_Расчет_аналитики'!X3743/'01_Вводные'!$B$117)+1)-'01_Вводные'!$B$118),0)</f>
        <v/>
      </c>
      <c r="Y3683">
        <f>IF('01_Вводные'!$B$234="Да",MAX(0,MAX('01_Вводные'!$B$118,INT('19_Расчет_аналитики'!Y3743/'01_Вводные'!$B$117)+1)-'01_Вводные'!$B$118),0)</f>
        <v/>
      </c>
      <c r="Z3683">
        <f>IF('01_Вводные'!$B$234="Да",MAX(0,MAX('01_Вводные'!$B$118,INT('19_Расчет_аналитики'!Z3743/'01_Вводные'!$B$117)+1)-'01_Вводные'!$B$118),0)</f>
        <v/>
      </c>
      <c r="AA3683">
        <f>IF('01_Вводные'!$B$234="Да",MAX(0,MAX('01_Вводные'!$B$118,INT('19_Расчет_аналитики'!AA3743/'01_Вводные'!$B$117)+1)-'01_Вводные'!$B$118),0)</f>
        <v/>
      </c>
      <c r="AB3683">
        <f>IF('01_Вводные'!$B$234="Да",MAX(0,MAX('01_Вводные'!$B$118,INT('19_Расчет_аналитики'!AB3743/'01_Вводные'!$B$117)+1)-'01_Вводные'!$B$118),0)</f>
        <v/>
      </c>
      <c r="AC3683">
        <f>IF('01_Вводные'!$B$234="Да",MAX(0,MAX('01_Вводные'!$B$118,INT('19_Расчет_аналитики'!AC3743/'01_Вводные'!$B$117)+1)-'01_Вводные'!$B$118),0)</f>
        <v/>
      </c>
      <c r="AD3683">
        <f>IF('01_Вводные'!$B$234="Да",MAX(0,MAX('01_Вводные'!$B$118,INT('19_Расчет_аналитики'!AD3743/'01_Вводные'!$B$117)+1)-'01_Вводные'!$B$118),0)</f>
        <v/>
      </c>
      <c r="AE3683">
        <f>IF('01_Вводные'!$B$234="Да",MAX(0,MAX('01_Вводные'!$B$118,INT('19_Расчет_аналитики'!AE3743/'01_Вводные'!$B$117)+1)-'01_Вводные'!$B$118),0)</f>
        <v/>
      </c>
      <c r="AF3683">
        <f>IF('01_Вводные'!$B$234="Да",MAX(0,MAX('01_Вводные'!$B$118,INT('19_Расчет_аналитики'!AF3743/'01_Вводные'!$B$117)+1)-'01_Вводные'!$B$118),0)</f>
        <v/>
      </c>
      <c r="AG3683">
        <f>IF('01_Вводные'!$B$234="Да",MAX(0,MAX('01_Вводные'!$B$118,INT('19_Расчет_аналитики'!AG3743/'01_Вводные'!$B$117)+1)-'01_Вводные'!$B$118),0)</f>
        <v/>
      </c>
      <c r="AH3683">
        <f>IF('01_Вводные'!$B$234="Да",MAX(0,MAX('01_Вводные'!$B$118,INT('19_Расчет_аналитики'!AH3743/'01_Вводные'!$B$117)+1)-'01_Вводные'!$B$118),0)</f>
        <v/>
      </c>
      <c r="AI3683">
        <f>IF('01_Вводные'!$B$234="Да",MAX(0,MAX('01_Вводные'!$B$118,INT('19_Расчет_аналитики'!AI3743/'01_Вводные'!$B$117)+1)-'01_Вводные'!$B$118),0)</f>
        <v/>
      </c>
      <c r="AJ3683">
        <f>IF('01_Вводные'!$B$234="Да",MAX(0,MAX('01_Вводные'!$B$118,INT('19_Расчет_аналитики'!AJ3743/'01_Вводные'!$B$117)+1)-'01_Вводные'!$B$118),0)</f>
        <v/>
      </c>
      <c r="AK3683">
        <f>IF('01_Вводные'!$B$234="Да",MAX(0,MAX('01_Вводные'!$B$118,INT('19_Расчет_аналитики'!AK3743/'01_Вводные'!$B$117)+1)-'01_Вводные'!$B$118),0)</f>
        <v/>
      </c>
      <c r="AL3683">
        <f>IF('01_Вводные'!$B$234="Да",MAX(0,MAX('01_Вводные'!$B$118,INT('19_Расчет_аналитики'!AL3743/'01_Вводные'!$B$117)+1)-'01_Вводные'!$B$118),0)</f>
        <v/>
      </c>
      <c r="AM3683">
        <f>IF('01_Вводные'!$B$234="Да",MAX(0,MAX('01_Вводные'!$B$118,INT('19_Расчет_аналитики'!AM3743/'01_Вводные'!$B$117)+1)-'01_Вводные'!$B$118),0)</f>
        <v/>
      </c>
      <c r="AN3683">
        <f>IF('01_Вводные'!$B$234="Да",MAX(0,MAX('01_Вводные'!$B$118,INT('19_Расчет_аналитики'!AN3743/'01_Вводные'!$B$117)+1)-'01_Вводные'!$B$118),0)</f>
        <v/>
      </c>
      <c r="AO3683">
        <f>IF('01_Вводные'!$B$234="Да",MAX(0,MAX('01_Вводные'!$B$118,INT('19_Расчет_аналитики'!AO3743/'01_Вводные'!$B$117)+1)-'01_Вводные'!$B$118),0)</f>
        <v/>
      </c>
      <c r="AP3683">
        <f>IF('01_Вводные'!$B$234="Да",MAX(0,MAX('01_Вводные'!$B$118,INT('19_Расчет_аналитики'!AP3743/'01_Вводные'!$B$117)+1)-'01_Вводные'!$B$118),0)</f>
        <v/>
      </c>
      <c r="AQ3683">
        <f>IF('01_Вводные'!$B$234="Да",MAX(0,MAX('01_Вводные'!$B$118,INT('19_Расчет_аналитики'!AQ3743/'01_Вводные'!$B$117)+1)-'01_Вводные'!$B$118),0)</f>
        <v/>
      </c>
      <c r="AR3683">
        <f>IF('01_Вводные'!$B$234="Да",MAX(0,MAX('01_Вводные'!$B$118,INT('19_Расчет_аналитики'!AR3743/'01_Вводные'!$B$117)+1)-'01_Вводные'!$B$118),0)</f>
        <v/>
      </c>
      <c r="AS3683">
        <f>IF('01_Вводные'!$B$234="Да",MAX(0,MAX('01_Вводные'!$B$118,INT('19_Расчет_аналитики'!AS3743/'01_Вводные'!$B$117)+1)-'01_Вводные'!$B$118),0)</f>
        <v/>
      </c>
      <c r="AT3683">
        <f>IF('01_Вводные'!$B$234="Да",MAX(0,MAX('01_Вводные'!$B$118,INT('19_Расчет_аналитики'!AT3743/'01_Вводные'!$B$117)+1)-'01_Вводные'!$B$118),0)</f>
        <v/>
      </c>
      <c r="AU3683">
        <f>IF('01_Вводные'!$B$234="Да",MAX(0,MAX('01_Вводные'!$B$118,INT('19_Расчет_аналитики'!AU3743/'01_Вводные'!$B$117)+1)-'01_Вводные'!$B$118),0)</f>
        <v/>
      </c>
      <c r="AV3683">
        <f>IF('01_Вводные'!$B$234="Да",MAX(0,MAX('01_Вводные'!$B$118,INT('19_Расчет_аналитики'!AV3743/'01_Вводные'!$B$117)+1)-'01_Вводные'!$B$118),0)</f>
        <v/>
      </c>
      <c r="AW3683">
        <f>IF('01_Вводные'!$B$234="Да",MAX(0,MAX('01_Вводные'!$B$118,INT('19_Расчет_аналитики'!AW3743/'01_Вводные'!$B$117)+1)-'01_Вводные'!$B$118),0)</f>
        <v/>
      </c>
      <c r="AX3683">
        <f>IF('01_Вводные'!$B$234="Да",MAX(0,MAX('01_Вводные'!$B$118,INT('19_Расчет_аналитики'!AX3743/'01_Вводные'!$B$117)+1)-'01_Вводные'!$B$118),0)</f>
        <v/>
      </c>
      <c r="AY3683">
        <f>IF('01_Вводные'!$B$234="Да",MAX(0,MAX('01_Вводные'!$B$118,INT('19_Расчет_аналитики'!AY3743/'01_Вводные'!$B$117)+1)-'01_Вводные'!$B$118),0)</f>
        <v/>
      </c>
      <c r="AZ3683">
        <f>IF('01_Вводные'!$B$234="Да",MAX(0,MAX('01_Вводные'!$B$118,INT('19_Расчет_аналитики'!AZ3743/'01_Вводные'!$B$117)+1)-'01_Вводные'!$B$118),0)</f>
        <v/>
      </c>
      <c r="BA3683">
        <f>IF('01_Вводные'!$B$234="Да",MAX(0,MAX('01_Вводные'!$B$118,INT('19_Расчет_аналитики'!BA3743/'01_Вводные'!$B$117)+1)-'01_Вводные'!$B$118),0)</f>
        <v/>
      </c>
      <c r="BB3683">
        <f>IF('01_Вводные'!$B$234="Да",MAX(0,MAX('01_Вводные'!$B$118,INT('19_Расчет_аналитики'!BB3743/'01_Вводные'!$B$117)+1)-'01_Вводные'!$B$118),0)</f>
        <v/>
      </c>
      <c r="BC3683">
        <f>IF('01_Вводные'!$B$234="Да",MAX(0,MAX('01_Вводные'!$B$118,INT('19_Расчет_аналитики'!BC3743/'01_Вводные'!$B$117)+1)-'01_Вводные'!$B$118),0)</f>
        <v/>
      </c>
      <c r="BD3683">
        <f>IF('01_Вводные'!$B$234="Да",MAX(0,MAX('01_Вводные'!$B$118,INT('19_Расчет_аналитики'!BD3743/'01_Вводные'!$B$117)+1)-'01_Вводные'!$B$118),0)</f>
        <v/>
      </c>
      <c r="BE3683">
        <f>IF('01_Вводные'!$B$234="Да",MAX(0,MAX('01_Вводные'!$B$118,INT('19_Расчет_аналитики'!BE3743/'01_Вводные'!$B$117)+1)-'01_Вводные'!$B$118),0)</f>
        <v/>
      </c>
      <c r="BF3683">
        <f>IF('01_Вводные'!$B$234="Да",MAX(0,MAX('01_Вводные'!$B$118,INT('19_Расчет_аналитики'!BF3743/'01_Вводные'!$B$117)+1)-'01_Вводные'!$B$118),0)</f>
        <v/>
      </c>
      <c r="BG3683">
        <f>IF('01_Вводные'!$B$234="Да",MAX(0,MAX('01_Вводные'!$B$118,INT('19_Расчет_аналитики'!BG3743/'01_Вводные'!$B$117)+1)-'01_Вводные'!$B$118),0)</f>
        <v/>
      </c>
      <c r="BH3683">
        <f>IF('01_Вводные'!$B$234="Да",MAX(0,MAX('01_Вводные'!$B$118,INT('19_Расчет_аналитики'!BH3743/'01_Вводные'!$B$117)+1)-'01_Вводные'!$B$118),0)</f>
        <v/>
      </c>
      <c r="BI3683">
        <f>IF('01_Вводные'!$B$234="Да",MAX(0,MAX('01_Вводные'!$B$118,INT('19_Расчет_аналитики'!BI3743/'01_Вводные'!$B$117)+1)-'01_Вводные'!$B$118),0)</f>
        <v/>
      </c>
    </row>
    <row r="3684">
      <c r="C3684">
        <f>IF('01_Вводные'!$B$234="Да",'19_Расчет_аналитики'!C3683*'01_Вводные'!$B$119*'08_ФОТ'!C5,0)</f>
        <v/>
      </c>
      <c r="D3684">
        <f>IF('01_Вводные'!$B$234="Да",'19_Расчет_аналитики'!D3683*'01_Вводные'!$B$119*'08_ФОТ'!D5,0)</f>
        <v/>
      </c>
      <c r="E3684">
        <f>IF('01_Вводные'!$B$234="Да",'19_Расчет_аналитики'!E3683*'01_Вводные'!$B$119*'08_ФОТ'!E5,0)</f>
        <v/>
      </c>
      <c r="F3684">
        <f>IF('01_Вводные'!$B$234="Да",'19_Расчет_аналитики'!F3683*'01_Вводные'!$B$119*'08_ФОТ'!F5,0)</f>
        <v/>
      </c>
      <c r="G3684">
        <f>IF('01_Вводные'!$B$234="Да",'19_Расчет_аналитики'!G3683*'01_Вводные'!$B$119*'08_ФОТ'!G5,0)</f>
        <v/>
      </c>
      <c r="H3684">
        <f>IF('01_Вводные'!$B$234="Да",'19_Расчет_аналитики'!H3683*'01_Вводные'!$B$119*'08_ФОТ'!H5,0)</f>
        <v/>
      </c>
      <c r="I3684">
        <f>IF('01_Вводные'!$B$234="Да",'19_Расчет_аналитики'!I3683*'01_Вводные'!$B$119*'08_ФОТ'!I5,0)</f>
        <v/>
      </c>
      <c r="J3684">
        <f>IF('01_Вводные'!$B$234="Да",'19_Расчет_аналитики'!J3683*'01_Вводные'!$B$119*'08_ФОТ'!J5,0)</f>
        <v/>
      </c>
      <c r="K3684">
        <f>IF('01_Вводные'!$B$234="Да",'19_Расчет_аналитики'!K3683*'01_Вводные'!$B$119*'08_ФОТ'!K5,0)</f>
        <v/>
      </c>
      <c r="L3684">
        <f>IF('01_Вводные'!$B$234="Да",'19_Расчет_аналитики'!L3683*'01_Вводные'!$B$119*'08_ФОТ'!L5,0)</f>
        <v/>
      </c>
      <c r="M3684">
        <f>IF('01_Вводные'!$B$234="Да",'19_Расчет_аналитики'!M3683*'01_Вводные'!$B$119*'08_ФОТ'!M5,0)</f>
        <v/>
      </c>
      <c r="N3684">
        <f>IF('01_Вводные'!$B$234="Да",'19_Расчет_аналитики'!N3683*'01_Вводные'!$B$119*'08_ФОТ'!N5,0)</f>
        <v/>
      </c>
      <c r="O3684">
        <f>IF('01_Вводные'!$B$234="Да",'19_Расчет_аналитики'!O3683*'01_Вводные'!$B$119*'08_ФОТ'!O5,0)</f>
        <v/>
      </c>
      <c r="P3684">
        <f>IF('01_Вводные'!$B$234="Да",'19_Расчет_аналитики'!P3683*'01_Вводные'!$B$119*'08_ФОТ'!P5,0)</f>
        <v/>
      </c>
      <c r="Q3684">
        <f>IF('01_Вводные'!$B$234="Да",'19_Расчет_аналитики'!Q3683*'01_Вводные'!$B$119*'08_ФОТ'!Q5,0)</f>
        <v/>
      </c>
      <c r="R3684">
        <f>IF('01_Вводные'!$B$234="Да",'19_Расчет_аналитики'!R3683*'01_Вводные'!$B$119*'08_ФОТ'!R5,0)</f>
        <v/>
      </c>
      <c r="S3684">
        <f>IF('01_Вводные'!$B$234="Да",'19_Расчет_аналитики'!S3683*'01_Вводные'!$B$119*'08_ФОТ'!S5,0)</f>
        <v/>
      </c>
      <c r="T3684">
        <f>IF('01_Вводные'!$B$234="Да",'19_Расчет_аналитики'!T3683*'01_Вводные'!$B$119*'08_ФОТ'!T5,0)</f>
        <v/>
      </c>
      <c r="U3684">
        <f>IF('01_Вводные'!$B$234="Да",'19_Расчет_аналитики'!U3683*'01_Вводные'!$B$119*'08_ФОТ'!U5,0)</f>
        <v/>
      </c>
      <c r="V3684">
        <f>IF('01_Вводные'!$B$234="Да",'19_Расчет_аналитики'!V3683*'01_Вводные'!$B$119*'08_ФОТ'!V5,0)</f>
        <v/>
      </c>
      <c r="W3684">
        <f>IF('01_Вводные'!$B$234="Да",'19_Расчет_аналитики'!W3683*'01_Вводные'!$B$119*'08_ФОТ'!W5,0)</f>
        <v/>
      </c>
      <c r="X3684">
        <f>IF('01_Вводные'!$B$234="Да",'19_Расчет_аналитики'!X3683*'01_Вводные'!$B$119*'08_ФОТ'!X5,0)</f>
        <v/>
      </c>
      <c r="Y3684">
        <f>IF('01_Вводные'!$B$234="Да",'19_Расчет_аналитики'!Y3683*'01_Вводные'!$B$119*'08_ФОТ'!Y5,0)</f>
        <v/>
      </c>
      <c r="Z3684">
        <f>IF('01_Вводные'!$B$234="Да",'19_Расчет_аналитики'!Z3683*'01_Вводные'!$B$119*'08_ФОТ'!Z5,0)</f>
        <v/>
      </c>
      <c r="AA3684">
        <f>IF('01_Вводные'!$B$234="Да",'19_Расчет_аналитики'!AA3683*'01_Вводные'!$B$119*'08_ФОТ'!AA5,0)</f>
        <v/>
      </c>
      <c r="AB3684">
        <f>IF('01_Вводные'!$B$234="Да",'19_Расчет_аналитики'!AB3683*'01_Вводные'!$B$119*'08_ФОТ'!AB5,0)</f>
        <v/>
      </c>
      <c r="AC3684">
        <f>IF('01_Вводные'!$B$234="Да",'19_Расчет_аналитики'!AC3683*'01_Вводные'!$B$119*'08_ФОТ'!AC5,0)</f>
        <v/>
      </c>
      <c r="AD3684">
        <f>IF('01_Вводные'!$B$234="Да",'19_Расчет_аналитики'!AD3683*'01_Вводные'!$B$119*'08_ФОТ'!AD5,0)</f>
        <v/>
      </c>
      <c r="AE3684">
        <f>IF('01_Вводные'!$B$234="Да",'19_Расчет_аналитики'!AE3683*'01_Вводные'!$B$119*'08_ФОТ'!AE5,0)</f>
        <v/>
      </c>
      <c r="AF3684">
        <f>IF('01_Вводные'!$B$234="Да",'19_Расчет_аналитики'!AF3683*'01_Вводные'!$B$119*'08_ФОТ'!AF5,0)</f>
        <v/>
      </c>
      <c r="AG3684">
        <f>IF('01_Вводные'!$B$234="Да",'19_Расчет_аналитики'!AG3683*'01_Вводные'!$B$119*'08_ФОТ'!AG5,0)</f>
        <v/>
      </c>
      <c r="AH3684">
        <f>IF('01_Вводные'!$B$234="Да",'19_Расчет_аналитики'!AH3683*'01_Вводные'!$B$119*'08_ФОТ'!AH5,0)</f>
        <v/>
      </c>
      <c r="AI3684">
        <f>IF('01_Вводные'!$B$234="Да",'19_Расчет_аналитики'!AI3683*'01_Вводные'!$B$119*'08_ФОТ'!AI5,0)</f>
        <v/>
      </c>
      <c r="AJ3684">
        <f>IF('01_Вводные'!$B$234="Да",'19_Расчет_аналитики'!AJ3683*'01_Вводные'!$B$119*'08_ФОТ'!AJ5,0)</f>
        <v/>
      </c>
      <c r="AK3684">
        <f>IF('01_Вводные'!$B$234="Да",'19_Расчет_аналитики'!AK3683*'01_Вводные'!$B$119*'08_ФОТ'!AK5,0)</f>
        <v/>
      </c>
      <c r="AL3684">
        <f>IF('01_Вводные'!$B$234="Да",'19_Расчет_аналитики'!AL3683*'01_Вводные'!$B$119*'08_ФОТ'!AL5,0)</f>
        <v/>
      </c>
      <c r="AM3684">
        <f>IF('01_Вводные'!$B$234="Да",'19_Расчет_аналитики'!AM3683*'01_Вводные'!$B$119*'08_ФОТ'!AM5,0)</f>
        <v/>
      </c>
      <c r="AN3684">
        <f>IF('01_Вводные'!$B$234="Да",'19_Расчет_аналитики'!AN3683*'01_Вводные'!$B$119*'08_ФОТ'!AN5,0)</f>
        <v/>
      </c>
      <c r="AO3684">
        <f>IF('01_Вводные'!$B$234="Да",'19_Расчет_аналитики'!AO3683*'01_Вводные'!$B$119*'08_ФОТ'!AO5,0)</f>
        <v/>
      </c>
      <c r="AP3684">
        <f>IF('01_Вводные'!$B$234="Да",'19_Расчет_аналитики'!AP3683*'01_Вводные'!$B$119*'08_ФОТ'!AP5,0)</f>
        <v/>
      </c>
      <c r="AQ3684">
        <f>IF('01_Вводные'!$B$234="Да",'19_Расчет_аналитики'!AQ3683*'01_Вводные'!$B$119*'08_ФОТ'!AQ5,0)</f>
        <v/>
      </c>
      <c r="AR3684">
        <f>IF('01_Вводные'!$B$234="Да",'19_Расчет_аналитики'!AR3683*'01_Вводные'!$B$119*'08_ФОТ'!AR5,0)</f>
        <v/>
      </c>
      <c r="AS3684">
        <f>IF('01_Вводные'!$B$234="Да",'19_Расчет_аналитики'!AS3683*'01_Вводные'!$B$119*'08_ФОТ'!AS5,0)</f>
        <v/>
      </c>
      <c r="AT3684">
        <f>IF('01_Вводные'!$B$234="Да",'19_Расчет_аналитики'!AT3683*'01_Вводные'!$B$119*'08_ФОТ'!AT5,0)</f>
        <v/>
      </c>
      <c r="AU3684">
        <f>IF('01_Вводные'!$B$234="Да",'19_Расчет_аналитики'!AU3683*'01_Вводные'!$B$119*'08_ФОТ'!AU5,0)</f>
        <v/>
      </c>
      <c r="AV3684">
        <f>IF('01_Вводные'!$B$234="Да",'19_Расчет_аналитики'!AV3683*'01_Вводные'!$B$119*'08_ФОТ'!AV5,0)</f>
        <v/>
      </c>
      <c r="AW3684">
        <f>IF('01_Вводные'!$B$234="Да",'19_Расчет_аналитики'!AW3683*'01_Вводные'!$B$119*'08_ФОТ'!AW5,0)</f>
        <v/>
      </c>
      <c r="AX3684">
        <f>IF('01_Вводные'!$B$234="Да",'19_Расчет_аналитики'!AX3683*'01_Вводные'!$B$119*'08_ФОТ'!AX5,0)</f>
        <v/>
      </c>
      <c r="AY3684">
        <f>IF('01_Вводные'!$B$234="Да",'19_Расчет_аналитики'!AY3683*'01_Вводные'!$B$119*'08_ФОТ'!AY5,0)</f>
        <v/>
      </c>
      <c r="AZ3684">
        <f>IF('01_Вводные'!$B$234="Да",'19_Расчет_аналитики'!AZ3683*'01_Вводные'!$B$119*'08_ФОТ'!AZ5,0)</f>
        <v/>
      </c>
      <c r="BA3684">
        <f>IF('01_Вводные'!$B$234="Да",'19_Расчет_аналитики'!BA3683*'01_Вводные'!$B$119*'08_ФОТ'!BA5,0)</f>
        <v/>
      </c>
      <c r="BB3684">
        <f>IF('01_Вводные'!$B$234="Да",'19_Расчет_аналитики'!BB3683*'01_Вводные'!$B$119*'08_ФОТ'!BB5,0)</f>
        <v/>
      </c>
      <c r="BC3684">
        <f>IF('01_Вводные'!$B$234="Да",'19_Расчет_аналитики'!BC3683*'01_Вводные'!$B$119*'08_ФОТ'!BC5,0)</f>
        <v/>
      </c>
      <c r="BD3684">
        <f>IF('01_Вводные'!$B$234="Да",'19_Расчет_аналитики'!BD3683*'01_Вводные'!$B$119*'08_ФОТ'!BD5,0)</f>
        <v/>
      </c>
      <c r="BE3684">
        <f>IF('01_Вводные'!$B$234="Да",'19_Расчет_аналитики'!BE3683*'01_Вводные'!$B$119*'08_ФОТ'!BE5,0)</f>
        <v/>
      </c>
      <c r="BF3684">
        <f>IF('01_Вводные'!$B$234="Да",'19_Расчет_аналитики'!BF3683*'01_Вводные'!$B$119*'08_ФОТ'!BF5,0)</f>
        <v/>
      </c>
      <c r="BG3684">
        <f>IF('01_Вводные'!$B$234="Да",'19_Расчет_аналитики'!BG3683*'01_Вводные'!$B$119*'08_ФОТ'!BG5,0)</f>
        <v/>
      </c>
      <c r="BH3684">
        <f>IF('01_Вводные'!$B$234="Да",'19_Расчет_аналитики'!BH3683*'01_Вводные'!$B$119*'08_ФОТ'!BH5,0)</f>
        <v/>
      </c>
      <c r="BI3684">
        <f>IF('01_Вводные'!$B$234="Да",'19_Расчет_аналитики'!BI3683*'01_Вводные'!$B$119*'08_ФОТ'!BI5,0)</f>
        <v/>
      </c>
    </row>
    <row r="3685">
      <c r="C3685">
        <f>IF('01_Вводные'!$B$234="Да",SUM('08_ФОТ'!C7:C9,'19_Расчет_аналитики'!C3684),0)</f>
        <v/>
      </c>
      <c r="D3685">
        <f>IF('01_Вводные'!$B$234="Да",SUM('08_ФОТ'!D7:D9,'19_Расчет_аналитики'!D3684),0)</f>
        <v/>
      </c>
      <c r="E3685">
        <f>IF('01_Вводные'!$B$234="Да",SUM('08_ФОТ'!E7:E9,'19_Расчет_аналитики'!E3684),0)</f>
        <v/>
      </c>
      <c r="F3685">
        <f>IF('01_Вводные'!$B$234="Да",SUM('08_ФОТ'!F7:F9,'19_Расчет_аналитики'!F3684),0)</f>
        <v/>
      </c>
      <c r="G3685">
        <f>IF('01_Вводные'!$B$234="Да",SUM('08_ФОТ'!G7:G9,'19_Расчет_аналитики'!G3684),0)</f>
        <v/>
      </c>
      <c r="H3685">
        <f>IF('01_Вводные'!$B$234="Да",SUM('08_ФОТ'!H7:H9,'19_Расчет_аналитики'!H3684),0)</f>
        <v/>
      </c>
      <c r="I3685">
        <f>IF('01_Вводные'!$B$234="Да",SUM('08_ФОТ'!I7:I9,'19_Расчет_аналитики'!I3684),0)</f>
        <v/>
      </c>
      <c r="J3685">
        <f>IF('01_Вводные'!$B$234="Да",SUM('08_ФОТ'!J7:J9,'19_Расчет_аналитики'!J3684),0)</f>
        <v/>
      </c>
      <c r="K3685">
        <f>IF('01_Вводные'!$B$234="Да",SUM('08_ФОТ'!K7:K9,'19_Расчет_аналитики'!K3684),0)</f>
        <v/>
      </c>
      <c r="L3685">
        <f>IF('01_Вводные'!$B$234="Да",SUM('08_ФОТ'!L7:L9,'19_Расчет_аналитики'!L3684),0)</f>
        <v/>
      </c>
      <c r="M3685">
        <f>IF('01_Вводные'!$B$234="Да",SUM('08_ФОТ'!M7:M9,'19_Расчет_аналитики'!M3684),0)</f>
        <v/>
      </c>
      <c r="N3685">
        <f>IF('01_Вводные'!$B$234="Да",SUM('08_ФОТ'!N7:N9,'19_Расчет_аналитики'!N3684),0)</f>
        <v/>
      </c>
      <c r="O3685">
        <f>IF('01_Вводные'!$B$234="Да",SUM('08_ФОТ'!O7:O9,'19_Расчет_аналитики'!O3684),0)</f>
        <v/>
      </c>
      <c r="P3685">
        <f>IF('01_Вводные'!$B$234="Да",SUM('08_ФОТ'!P7:P9,'19_Расчет_аналитики'!P3684),0)</f>
        <v/>
      </c>
      <c r="Q3685">
        <f>IF('01_Вводные'!$B$234="Да",SUM('08_ФОТ'!Q7:Q9,'19_Расчет_аналитики'!Q3684),0)</f>
        <v/>
      </c>
      <c r="R3685">
        <f>IF('01_Вводные'!$B$234="Да",SUM('08_ФОТ'!R7:R9,'19_Расчет_аналитики'!R3684),0)</f>
        <v/>
      </c>
      <c r="S3685">
        <f>IF('01_Вводные'!$B$234="Да",SUM('08_ФОТ'!S7:S9,'19_Расчет_аналитики'!S3684),0)</f>
        <v/>
      </c>
      <c r="T3685">
        <f>IF('01_Вводные'!$B$234="Да",SUM('08_ФОТ'!T7:T9,'19_Расчет_аналитики'!T3684),0)</f>
        <v/>
      </c>
      <c r="U3685">
        <f>IF('01_Вводные'!$B$234="Да",SUM('08_ФОТ'!U7:U9,'19_Расчет_аналитики'!U3684),0)</f>
        <v/>
      </c>
      <c r="V3685">
        <f>IF('01_Вводные'!$B$234="Да",SUM('08_ФОТ'!V7:V9,'19_Расчет_аналитики'!V3684),0)</f>
        <v/>
      </c>
      <c r="W3685">
        <f>IF('01_Вводные'!$B$234="Да",SUM('08_ФОТ'!W7:W9,'19_Расчет_аналитики'!W3684),0)</f>
        <v/>
      </c>
      <c r="X3685">
        <f>IF('01_Вводные'!$B$234="Да",SUM('08_ФОТ'!X7:X9,'19_Расчет_аналитики'!X3684),0)</f>
        <v/>
      </c>
      <c r="Y3685">
        <f>IF('01_Вводные'!$B$234="Да",SUM('08_ФОТ'!Y7:Y9,'19_Расчет_аналитики'!Y3684),0)</f>
        <v/>
      </c>
      <c r="Z3685">
        <f>IF('01_Вводные'!$B$234="Да",SUM('08_ФОТ'!Z7:Z9,'19_Расчет_аналитики'!Z3684),0)</f>
        <v/>
      </c>
      <c r="AA3685">
        <f>IF('01_Вводные'!$B$234="Да",SUM('08_ФОТ'!AA7:AA9,'19_Расчет_аналитики'!AA3684),0)</f>
        <v/>
      </c>
      <c r="AB3685">
        <f>IF('01_Вводные'!$B$234="Да",SUM('08_ФОТ'!AB7:AB9,'19_Расчет_аналитики'!AB3684),0)</f>
        <v/>
      </c>
      <c r="AC3685">
        <f>IF('01_Вводные'!$B$234="Да",SUM('08_ФОТ'!AC7:AC9,'19_Расчет_аналитики'!AC3684),0)</f>
        <v/>
      </c>
      <c r="AD3685">
        <f>IF('01_Вводные'!$B$234="Да",SUM('08_ФОТ'!AD7:AD9,'19_Расчет_аналитики'!AD3684),0)</f>
        <v/>
      </c>
      <c r="AE3685">
        <f>IF('01_Вводные'!$B$234="Да",SUM('08_ФОТ'!AE7:AE9,'19_Расчет_аналитики'!AE3684),0)</f>
        <v/>
      </c>
      <c r="AF3685">
        <f>IF('01_Вводные'!$B$234="Да",SUM('08_ФОТ'!AF7:AF9,'19_Расчет_аналитики'!AF3684),0)</f>
        <v/>
      </c>
      <c r="AG3685">
        <f>IF('01_Вводные'!$B$234="Да",SUM('08_ФОТ'!AG7:AG9,'19_Расчет_аналитики'!AG3684),0)</f>
        <v/>
      </c>
      <c r="AH3685">
        <f>IF('01_Вводные'!$B$234="Да",SUM('08_ФОТ'!AH7:AH9,'19_Расчет_аналитики'!AH3684),0)</f>
        <v/>
      </c>
      <c r="AI3685">
        <f>IF('01_Вводные'!$B$234="Да",SUM('08_ФОТ'!AI7:AI9,'19_Расчет_аналитики'!AI3684),0)</f>
        <v/>
      </c>
      <c r="AJ3685">
        <f>IF('01_Вводные'!$B$234="Да",SUM('08_ФОТ'!AJ7:AJ9,'19_Расчет_аналитики'!AJ3684),0)</f>
        <v/>
      </c>
      <c r="AK3685">
        <f>IF('01_Вводные'!$B$234="Да",SUM('08_ФОТ'!AK7:AK9,'19_Расчет_аналитики'!AK3684),0)</f>
        <v/>
      </c>
      <c r="AL3685">
        <f>IF('01_Вводные'!$B$234="Да",SUM('08_ФОТ'!AL7:AL9,'19_Расчет_аналитики'!AL3684),0)</f>
        <v/>
      </c>
      <c r="AM3685">
        <f>IF('01_Вводные'!$B$234="Да",SUM('08_ФОТ'!AM7:AM9,'19_Расчет_аналитики'!AM3684),0)</f>
        <v/>
      </c>
      <c r="AN3685">
        <f>IF('01_Вводные'!$B$234="Да",SUM('08_ФОТ'!AN7:AN9,'19_Расчет_аналитики'!AN3684),0)</f>
        <v/>
      </c>
      <c r="AO3685">
        <f>IF('01_Вводные'!$B$234="Да",SUM('08_ФОТ'!AO7:AO9,'19_Расчет_аналитики'!AO3684),0)</f>
        <v/>
      </c>
      <c r="AP3685">
        <f>IF('01_Вводные'!$B$234="Да",SUM('08_ФОТ'!AP7:AP9,'19_Расчет_аналитики'!AP3684),0)</f>
        <v/>
      </c>
      <c r="AQ3685">
        <f>IF('01_Вводные'!$B$234="Да",SUM('08_ФОТ'!AQ7:AQ9,'19_Расчет_аналитики'!AQ3684),0)</f>
        <v/>
      </c>
      <c r="AR3685">
        <f>IF('01_Вводные'!$B$234="Да",SUM('08_ФОТ'!AR7:AR9,'19_Расчет_аналитики'!AR3684),0)</f>
        <v/>
      </c>
      <c r="AS3685">
        <f>IF('01_Вводные'!$B$234="Да",SUM('08_ФОТ'!AS7:AS9,'19_Расчет_аналитики'!AS3684),0)</f>
        <v/>
      </c>
      <c r="AT3685">
        <f>IF('01_Вводные'!$B$234="Да",SUM('08_ФОТ'!AT7:AT9,'19_Расчет_аналитики'!AT3684),0)</f>
        <v/>
      </c>
      <c r="AU3685">
        <f>IF('01_Вводные'!$B$234="Да",SUM('08_ФОТ'!AU7:AU9,'19_Расчет_аналитики'!AU3684),0)</f>
        <v/>
      </c>
      <c r="AV3685">
        <f>IF('01_Вводные'!$B$234="Да",SUM('08_ФОТ'!AV7:AV9,'19_Расчет_аналитики'!AV3684),0)</f>
        <v/>
      </c>
      <c r="AW3685">
        <f>IF('01_Вводные'!$B$234="Да",SUM('08_ФОТ'!AW7:AW9,'19_Расчет_аналитики'!AW3684),0)</f>
        <v/>
      </c>
      <c r="AX3685">
        <f>IF('01_Вводные'!$B$234="Да",SUM('08_ФОТ'!AX7:AX9,'19_Расчет_аналитики'!AX3684),0)</f>
        <v/>
      </c>
      <c r="AY3685">
        <f>IF('01_Вводные'!$B$234="Да",SUM('08_ФОТ'!AY7:AY9,'19_Расчет_аналитики'!AY3684),0)</f>
        <v/>
      </c>
      <c r="AZ3685">
        <f>IF('01_Вводные'!$B$234="Да",SUM('08_ФОТ'!AZ7:AZ9,'19_Расчет_аналитики'!AZ3684),0)</f>
        <v/>
      </c>
      <c r="BA3685">
        <f>IF('01_Вводные'!$B$234="Да",SUM('08_ФОТ'!BA7:BA9,'19_Расчет_аналитики'!BA3684),0)</f>
        <v/>
      </c>
      <c r="BB3685">
        <f>IF('01_Вводные'!$B$234="Да",SUM('08_ФОТ'!BB7:BB9,'19_Расчет_аналитики'!BB3684),0)</f>
        <v/>
      </c>
      <c r="BC3685">
        <f>IF('01_Вводные'!$B$234="Да",SUM('08_ФОТ'!BC7:BC9,'19_Расчет_аналитики'!BC3684),0)</f>
        <v/>
      </c>
      <c r="BD3685">
        <f>IF('01_Вводные'!$B$234="Да",SUM('08_ФОТ'!BD7:BD9,'19_Расчет_аналитики'!BD3684),0)</f>
        <v/>
      </c>
      <c r="BE3685">
        <f>IF('01_Вводные'!$B$234="Да",SUM('08_ФОТ'!BE7:BE9,'19_Расчет_аналитики'!BE3684),0)</f>
        <v/>
      </c>
      <c r="BF3685">
        <f>IF('01_Вводные'!$B$234="Да",SUM('08_ФОТ'!BF7:BF9,'19_Расчет_аналитики'!BF3684),0)</f>
        <v/>
      </c>
      <c r="BG3685">
        <f>IF('01_Вводные'!$B$234="Да",SUM('08_ФОТ'!BG7:BG9,'19_Расчет_аналитики'!BG3684),0)</f>
        <v/>
      </c>
      <c r="BH3685">
        <f>IF('01_Вводные'!$B$234="Да",SUM('08_ФОТ'!BH7:BH9,'19_Расчет_аналитики'!BH3684),0)</f>
        <v/>
      </c>
      <c r="BI3685">
        <f>IF('01_Вводные'!$B$234="Да",SUM('08_ФОТ'!BI7:BI9,'19_Расчет_аналитики'!BI3684),0)</f>
        <v/>
      </c>
    </row>
    <row r="3686">
      <c r="C3686">
        <f>IF('01_Вводные'!$B$234="Да",'19_Расчет_аналитики'!C3685*'01_Вводные'!$B$131,0)</f>
        <v/>
      </c>
      <c r="D3686">
        <f>IF('01_Вводные'!$B$234="Да",'19_Расчет_аналитики'!D3685*'01_Вводные'!$B$131,0)</f>
        <v/>
      </c>
      <c r="E3686">
        <f>IF('01_Вводные'!$B$234="Да",'19_Расчет_аналитики'!E3685*'01_Вводные'!$B$131,0)</f>
        <v/>
      </c>
      <c r="F3686">
        <f>IF('01_Вводные'!$B$234="Да",'19_Расчет_аналитики'!F3685*'01_Вводные'!$B$131,0)</f>
        <v/>
      </c>
      <c r="G3686">
        <f>IF('01_Вводные'!$B$234="Да",'19_Расчет_аналитики'!G3685*'01_Вводные'!$B$131,0)</f>
        <v/>
      </c>
      <c r="H3686">
        <f>IF('01_Вводные'!$B$234="Да",'19_Расчет_аналитики'!H3685*'01_Вводные'!$B$131,0)</f>
        <v/>
      </c>
      <c r="I3686">
        <f>IF('01_Вводные'!$B$234="Да",'19_Расчет_аналитики'!I3685*'01_Вводные'!$B$131,0)</f>
        <v/>
      </c>
      <c r="J3686">
        <f>IF('01_Вводные'!$B$234="Да",'19_Расчет_аналитики'!J3685*'01_Вводные'!$B$131,0)</f>
        <v/>
      </c>
      <c r="K3686">
        <f>IF('01_Вводные'!$B$234="Да",'19_Расчет_аналитики'!K3685*'01_Вводные'!$B$131,0)</f>
        <v/>
      </c>
      <c r="L3686">
        <f>IF('01_Вводные'!$B$234="Да",'19_Расчет_аналитики'!L3685*'01_Вводные'!$B$131,0)</f>
        <v/>
      </c>
      <c r="M3686">
        <f>IF('01_Вводные'!$B$234="Да",'19_Расчет_аналитики'!M3685*'01_Вводные'!$B$131,0)</f>
        <v/>
      </c>
      <c r="N3686">
        <f>IF('01_Вводные'!$B$234="Да",'19_Расчет_аналитики'!N3685*'01_Вводные'!$B$131,0)</f>
        <v/>
      </c>
      <c r="O3686">
        <f>IF('01_Вводные'!$B$234="Да",'19_Расчет_аналитики'!O3685*'01_Вводные'!$B$131,0)</f>
        <v/>
      </c>
      <c r="P3686">
        <f>IF('01_Вводные'!$B$234="Да",'19_Расчет_аналитики'!P3685*'01_Вводные'!$B$131,0)</f>
        <v/>
      </c>
      <c r="Q3686">
        <f>IF('01_Вводные'!$B$234="Да",'19_Расчет_аналитики'!Q3685*'01_Вводные'!$B$131,0)</f>
        <v/>
      </c>
      <c r="R3686">
        <f>IF('01_Вводные'!$B$234="Да",'19_Расчет_аналитики'!R3685*'01_Вводные'!$B$131,0)</f>
        <v/>
      </c>
      <c r="S3686">
        <f>IF('01_Вводные'!$B$234="Да",'19_Расчет_аналитики'!S3685*'01_Вводные'!$B$131,0)</f>
        <v/>
      </c>
      <c r="T3686">
        <f>IF('01_Вводные'!$B$234="Да",'19_Расчет_аналитики'!T3685*'01_Вводные'!$B$131,0)</f>
        <v/>
      </c>
      <c r="U3686">
        <f>IF('01_Вводные'!$B$234="Да",'19_Расчет_аналитики'!U3685*'01_Вводные'!$B$131,0)</f>
        <v/>
      </c>
      <c r="V3686">
        <f>IF('01_Вводные'!$B$234="Да",'19_Расчет_аналитики'!V3685*'01_Вводные'!$B$131,0)</f>
        <v/>
      </c>
      <c r="W3686">
        <f>IF('01_Вводные'!$B$234="Да",'19_Расчет_аналитики'!W3685*'01_Вводные'!$B$131,0)</f>
        <v/>
      </c>
      <c r="X3686">
        <f>IF('01_Вводные'!$B$234="Да",'19_Расчет_аналитики'!X3685*'01_Вводные'!$B$131,0)</f>
        <v/>
      </c>
      <c r="Y3686">
        <f>IF('01_Вводные'!$B$234="Да",'19_Расчет_аналитики'!Y3685*'01_Вводные'!$B$131,0)</f>
        <v/>
      </c>
      <c r="Z3686">
        <f>IF('01_Вводные'!$B$234="Да",'19_Расчет_аналитики'!Z3685*'01_Вводные'!$B$131,0)</f>
        <v/>
      </c>
      <c r="AA3686">
        <f>IF('01_Вводные'!$B$234="Да",'19_Расчет_аналитики'!AA3685*'01_Вводные'!$B$131,0)</f>
        <v/>
      </c>
      <c r="AB3686">
        <f>IF('01_Вводные'!$B$234="Да",'19_Расчет_аналитики'!AB3685*'01_Вводные'!$B$131,0)</f>
        <v/>
      </c>
      <c r="AC3686">
        <f>IF('01_Вводные'!$B$234="Да",'19_Расчет_аналитики'!AC3685*'01_Вводные'!$B$131,0)</f>
        <v/>
      </c>
      <c r="AD3686">
        <f>IF('01_Вводные'!$B$234="Да",'19_Расчет_аналитики'!AD3685*'01_Вводные'!$B$131,0)</f>
        <v/>
      </c>
      <c r="AE3686">
        <f>IF('01_Вводные'!$B$234="Да",'19_Расчет_аналитики'!AE3685*'01_Вводные'!$B$131,0)</f>
        <v/>
      </c>
      <c r="AF3686">
        <f>IF('01_Вводные'!$B$234="Да",'19_Расчет_аналитики'!AF3685*'01_Вводные'!$B$131,0)</f>
        <v/>
      </c>
      <c r="AG3686">
        <f>IF('01_Вводные'!$B$234="Да",'19_Расчет_аналитики'!AG3685*'01_Вводные'!$B$131,0)</f>
        <v/>
      </c>
      <c r="AH3686">
        <f>IF('01_Вводные'!$B$234="Да",'19_Расчет_аналитики'!AH3685*'01_Вводные'!$B$131,0)</f>
        <v/>
      </c>
      <c r="AI3686">
        <f>IF('01_Вводные'!$B$234="Да",'19_Расчет_аналитики'!AI3685*'01_Вводные'!$B$131,0)</f>
        <v/>
      </c>
      <c r="AJ3686">
        <f>IF('01_Вводные'!$B$234="Да",'19_Расчет_аналитики'!AJ3685*'01_Вводные'!$B$131,0)</f>
        <v/>
      </c>
      <c r="AK3686">
        <f>IF('01_Вводные'!$B$234="Да",'19_Расчет_аналитики'!AK3685*'01_Вводные'!$B$131,0)</f>
        <v/>
      </c>
      <c r="AL3686">
        <f>IF('01_Вводные'!$B$234="Да",'19_Расчет_аналитики'!AL3685*'01_Вводные'!$B$131,0)</f>
        <v/>
      </c>
      <c r="AM3686">
        <f>IF('01_Вводные'!$B$234="Да",'19_Расчет_аналитики'!AM3685*'01_Вводные'!$B$131,0)</f>
        <v/>
      </c>
      <c r="AN3686">
        <f>IF('01_Вводные'!$B$234="Да",'19_Расчет_аналитики'!AN3685*'01_Вводные'!$B$131,0)</f>
        <v/>
      </c>
      <c r="AO3686">
        <f>IF('01_Вводные'!$B$234="Да",'19_Расчет_аналитики'!AO3685*'01_Вводные'!$B$131,0)</f>
        <v/>
      </c>
      <c r="AP3686">
        <f>IF('01_Вводные'!$B$234="Да",'19_Расчет_аналитики'!AP3685*'01_Вводные'!$B$131,0)</f>
        <v/>
      </c>
      <c r="AQ3686">
        <f>IF('01_Вводные'!$B$234="Да",'19_Расчет_аналитики'!AQ3685*'01_Вводные'!$B$131,0)</f>
        <v/>
      </c>
      <c r="AR3686">
        <f>IF('01_Вводные'!$B$234="Да",'19_Расчет_аналитики'!AR3685*'01_Вводные'!$B$131,0)</f>
        <v/>
      </c>
      <c r="AS3686">
        <f>IF('01_Вводные'!$B$234="Да",'19_Расчет_аналитики'!AS3685*'01_Вводные'!$B$131,0)</f>
        <v/>
      </c>
      <c r="AT3686">
        <f>IF('01_Вводные'!$B$234="Да",'19_Расчет_аналитики'!AT3685*'01_Вводные'!$B$131,0)</f>
        <v/>
      </c>
      <c r="AU3686">
        <f>IF('01_Вводные'!$B$234="Да",'19_Расчет_аналитики'!AU3685*'01_Вводные'!$B$131,0)</f>
        <v/>
      </c>
      <c r="AV3686">
        <f>IF('01_Вводные'!$B$234="Да",'19_Расчет_аналитики'!AV3685*'01_Вводные'!$B$131,0)</f>
        <v/>
      </c>
      <c r="AW3686">
        <f>IF('01_Вводные'!$B$234="Да",'19_Расчет_аналитики'!AW3685*'01_Вводные'!$B$131,0)</f>
        <v/>
      </c>
      <c r="AX3686">
        <f>IF('01_Вводные'!$B$234="Да",'19_Расчет_аналитики'!AX3685*'01_Вводные'!$B$131,0)</f>
        <v/>
      </c>
      <c r="AY3686">
        <f>IF('01_Вводные'!$B$234="Да",'19_Расчет_аналитики'!AY3685*'01_Вводные'!$B$131,0)</f>
        <v/>
      </c>
      <c r="AZ3686">
        <f>IF('01_Вводные'!$B$234="Да",'19_Расчет_аналитики'!AZ3685*'01_Вводные'!$B$131,0)</f>
        <v/>
      </c>
      <c r="BA3686">
        <f>IF('01_Вводные'!$B$234="Да",'19_Расчет_аналитики'!BA3685*'01_Вводные'!$B$131,0)</f>
        <v/>
      </c>
      <c r="BB3686">
        <f>IF('01_Вводные'!$B$234="Да",'19_Расчет_аналитики'!BB3685*'01_Вводные'!$B$131,0)</f>
        <v/>
      </c>
      <c r="BC3686">
        <f>IF('01_Вводные'!$B$234="Да",'19_Расчет_аналитики'!BC3685*'01_Вводные'!$B$131,0)</f>
        <v/>
      </c>
      <c r="BD3686">
        <f>IF('01_Вводные'!$B$234="Да",'19_Расчет_аналитики'!BD3685*'01_Вводные'!$B$131,0)</f>
        <v/>
      </c>
      <c r="BE3686">
        <f>IF('01_Вводные'!$B$234="Да",'19_Расчет_аналитики'!BE3685*'01_Вводные'!$B$131,0)</f>
        <v/>
      </c>
      <c r="BF3686">
        <f>IF('01_Вводные'!$B$234="Да",'19_Расчет_аналитики'!BF3685*'01_Вводные'!$B$131,0)</f>
        <v/>
      </c>
      <c r="BG3686">
        <f>IF('01_Вводные'!$B$234="Да",'19_Расчет_аналитики'!BG3685*'01_Вводные'!$B$131,0)</f>
        <v/>
      </c>
      <c r="BH3686">
        <f>IF('01_Вводные'!$B$234="Да",'19_Расчет_аналитики'!BH3685*'01_Вводные'!$B$131,0)</f>
        <v/>
      </c>
      <c r="BI3686">
        <f>IF('01_Вводные'!$B$234="Да",'19_Расчет_аналитики'!BI3685*'01_Вводные'!$B$131,0)</f>
        <v/>
      </c>
    </row>
    <row r="3687"/>
    <row r="3688">
      <c r="C3688">
        <f>IF('01_Вводные'!$B$234="Да",('01_Вводные'!$B$118+'19_Расчет_аналитики'!C3683+1)*IF('08_ФОТ'!C$3&lt;'01_Вводные'!$B$250,'01_Вводные'!$B$123,'01_Вводные'!$B$124)/'01_Вводные'!$B$132,0)</f>
        <v/>
      </c>
      <c r="D3688">
        <f>IF('01_Вводные'!$B$234="Да",('01_Вводные'!$B$118+'19_Расчет_аналитики'!D3683+1)*IF('08_ФОТ'!D$3&lt;'01_Вводные'!$B$250,'01_Вводные'!$B$123,'01_Вводные'!$B$124)/'01_Вводные'!$B$132,0)</f>
        <v/>
      </c>
      <c r="E3688">
        <f>IF('01_Вводные'!$B$234="Да",('01_Вводные'!$B$118+'19_Расчет_аналитики'!E3683+1)*IF('08_ФОТ'!E$3&lt;'01_Вводные'!$B$250,'01_Вводные'!$B$123,'01_Вводные'!$B$124)/'01_Вводные'!$B$132,0)</f>
        <v/>
      </c>
      <c r="F3688">
        <f>IF('01_Вводные'!$B$234="Да",('01_Вводные'!$B$118+'19_Расчет_аналитики'!F3683+1)*IF('08_ФОТ'!F$3&lt;'01_Вводные'!$B$250,'01_Вводные'!$B$123,'01_Вводные'!$B$124)/'01_Вводные'!$B$132,0)</f>
        <v/>
      </c>
      <c r="G3688">
        <f>IF('01_Вводные'!$B$234="Да",('01_Вводные'!$B$118+'19_Расчет_аналитики'!G3683+1)*IF('08_ФОТ'!G$3&lt;'01_Вводные'!$B$250,'01_Вводные'!$B$123,'01_Вводные'!$B$124)/'01_Вводные'!$B$132,0)</f>
        <v/>
      </c>
      <c r="H3688">
        <f>IF('01_Вводные'!$B$234="Да",('01_Вводные'!$B$118+'19_Расчет_аналитики'!H3683+1)*IF('08_ФОТ'!H$3&lt;'01_Вводные'!$B$250,'01_Вводные'!$B$123,'01_Вводные'!$B$124)/'01_Вводные'!$B$132,0)</f>
        <v/>
      </c>
      <c r="I3688">
        <f>IF('01_Вводные'!$B$234="Да",('01_Вводные'!$B$118+'19_Расчет_аналитики'!I3683+1)*IF('08_ФОТ'!I$3&lt;'01_Вводные'!$B$250,'01_Вводные'!$B$123,'01_Вводные'!$B$124)/'01_Вводные'!$B$132,0)</f>
        <v/>
      </c>
      <c r="J3688">
        <f>IF('01_Вводные'!$B$234="Да",('01_Вводные'!$B$118+'19_Расчет_аналитики'!J3683+1)*IF('08_ФОТ'!J$3&lt;'01_Вводные'!$B$250,'01_Вводные'!$B$123,'01_Вводные'!$B$124)/'01_Вводные'!$B$132,0)</f>
        <v/>
      </c>
      <c r="K3688">
        <f>IF('01_Вводные'!$B$234="Да",('01_Вводные'!$B$118+'19_Расчет_аналитики'!K3683+1)*IF('08_ФОТ'!K$3&lt;'01_Вводные'!$B$250,'01_Вводные'!$B$123,'01_Вводные'!$B$124)/'01_Вводные'!$B$132,0)</f>
        <v/>
      </c>
      <c r="L3688">
        <f>IF('01_Вводные'!$B$234="Да",('01_Вводные'!$B$118+'19_Расчет_аналитики'!L3683+1)*IF('08_ФОТ'!L$3&lt;'01_Вводные'!$B$250,'01_Вводные'!$B$123,'01_Вводные'!$B$124)/'01_Вводные'!$B$132,0)</f>
        <v/>
      </c>
      <c r="M3688">
        <f>IF('01_Вводные'!$B$234="Да",('01_Вводные'!$B$118+'19_Расчет_аналитики'!M3683+1)*IF('08_ФОТ'!M$3&lt;'01_Вводные'!$B$250,'01_Вводные'!$B$123,'01_Вводные'!$B$124)/'01_Вводные'!$B$132,0)</f>
        <v/>
      </c>
      <c r="N3688">
        <f>IF('01_Вводные'!$B$234="Да",('01_Вводные'!$B$118+'19_Расчет_аналитики'!N3683+1)*IF('08_ФОТ'!N$3&lt;'01_Вводные'!$B$250,'01_Вводные'!$B$123,'01_Вводные'!$B$124)/'01_Вводные'!$B$132,0)</f>
        <v/>
      </c>
      <c r="O3688">
        <f>IF('01_Вводные'!$B$234="Да",('01_Вводные'!$B$118+'19_Расчет_аналитики'!O3683+1)*IF('08_ФОТ'!O$3&lt;'01_Вводные'!$B$250,'01_Вводные'!$B$123,'01_Вводные'!$B$124)/'01_Вводные'!$B$132,0)</f>
        <v/>
      </c>
      <c r="P3688">
        <f>IF('01_Вводные'!$B$234="Да",('01_Вводные'!$B$118+'19_Расчет_аналитики'!P3683+1)*IF('08_ФОТ'!P$3&lt;'01_Вводные'!$B$250,'01_Вводные'!$B$123,'01_Вводные'!$B$124)/'01_Вводные'!$B$132,0)</f>
        <v/>
      </c>
      <c r="Q3688">
        <f>IF('01_Вводные'!$B$234="Да",('01_Вводные'!$B$118+'19_Расчет_аналитики'!Q3683+1)*IF('08_ФОТ'!Q$3&lt;'01_Вводные'!$B$250,'01_Вводные'!$B$123,'01_Вводные'!$B$124)/'01_Вводные'!$B$132,0)</f>
        <v/>
      </c>
      <c r="R3688">
        <f>IF('01_Вводные'!$B$234="Да",('01_Вводные'!$B$118+'19_Расчет_аналитики'!R3683+1)*IF('08_ФОТ'!R$3&lt;'01_Вводные'!$B$250,'01_Вводные'!$B$123,'01_Вводные'!$B$124)/'01_Вводные'!$B$132,0)</f>
        <v/>
      </c>
      <c r="S3688">
        <f>IF('01_Вводные'!$B$234="Да",('01_Вводные'!$B$118+'19_Расчет_аналитики'!S3683+1)*IF('08_ФОТ'!S$3&lt;'01_Вводные'!$B$250,'01_Вводные'!$B$123,'01_Вводные'!$B$124)/'01_Вводные'!$B$132,0)</f>
        <v/>
      </c>
      <c r="T3688">
        <f>IF('01_Вводные'!$B$234="Да",('01_Вводные'!$B$118+'19_Расчет_аналитики'!T3683+1)*IF('08_ФОТ'!T$3&lt;'01_Вводные'!$B$250,'01_Вводные'!$B$123,'01_Вводные'!$B$124)/'01_Вводные'!$B$132,0)</f>
        <v/>
      </c>
      <c r="U3688">
        <f>IF('01_Вводные'!$B$234="Да",('01_Вводные'!$B$118+'19_Расчет_аналитики'!U3683+1)*IF('08_ФОТ'!U$3&lt;'01_Вводные'!$B$250,'01_Вводные'!$B$123,'01_Вводные'!$B$124)/'01_Вводные'!$B$132,0)</f>
        <v/>
      </c>
      <c r="V3688">
        <f>IF('01_Вводные'!$B$234="Да",('01_Вводные'!$B$118+'19_Расчет_аналитики'!V3683+1)*IF('08_ФОТ'!V$3&lt;'01_Вводные'!$B$250,'01_Вводные'!$B$123,'01_Вводные'!$B$124)/'01_Вводные'!$B$132,0)</f>
        <v/>
      </c>
      <c r="W3688">
        <f>IF('01_Вводные'!$B$234="Да",('01_Вводные'!$B$118+'19_Расчет_аналитики'!W3683+1)*IF('08_ФОТ'!W$3&lt;'01_Вводные'!$B$250,'01_Вводные'!$B$123,'01_Вводные'!$B$124)/'01_Вводные'!$B$132,0)</f>
        <v/>
      </c>
      <c r="X3688">
        <f>IF('01_Вводные'!$B$234="Да",('01_Вводные'!$B$118+'19_Расчет_аналитики'!X3683+1)*IF('08_ФОТ'!X$3&lt;'01_Вводные'!$B$250,'01_Вводные'!$B$123,'01_Вводные'!$B$124)/'01_Вводные'!$B$132,0)</f>
        <v/>
      </c>
      <c r="Y3688">
        <f>IF('01_Вводные'!$B$234="Да",('01_Вводные'!$B$118+'19_Расчет_аналитики'!Y3683+1)*IF('08_ФОТ'!Y$3&lt;'01_Вводные'!$B$250,'01_Вводные'!$B$123,'01_Вводные'!$B$124)/'01_Вводные'!$B$132,0)</f>
        <v/>
      </c>
      <c r="Z3688">
        <f>IF('01_Вводные'!$B$234="Да",('01_Вводные'!$B$118+'19_Расчет_аналитики'!Z3683+1)*IF('08_ФОТ'!Z$3&lt;'01_Вводные'!$B$250,'01_Вводные'!$B$123,'01_Вводные'!$B$124)/'01_Вводные'!$B$132,0)</f>
        <v/>
      </c>
      <c r="AA3688">
        <f>IF('01_Вводные'!$B$234="Да",('01_Вводные'!$B$118+'19_Расчет_аналитики'!AA3683+1)*IF('08_ФОТ'!AA$3&lt;'01_Вводные'!$B$250,'01_Вводные'!$B$123,'01_Вводные'!$B$124)/'01_Вводные'!$B$132,0)</f>
        <v/>
      </c>
      <c r="AB3688">
        <f>IF('01_Вводные'!$B$234="Да",('01_Вводные'!$B$118+'19_Расчет_аналитики'!AB3683+1)*IF('08_ФОТ'!AB$3&lt;'01_Вводные'!$B$250,'01_Вводные'!$B$123,'01_Вводные'!$B$124)/'01_Вводные'!$B$132,0)</f>
        <v/>
      </c>
      <c r="AC3688">
        <f>IF('01_Вводные'!$B$234="Да",('01_Вводные'!$B$118+'19_Расчет_аналитики'!AC3683+1)*IF('08_ФОТ'!AC$3&lt;'01_Вводные'!$B$250,'01_Вводные'!$B$123,'01_Вводные'!$B$124)/'01_Вводные'!$B$132,0)</f>
        <v/>
      </c>
      <c r="AD3688">
        <f>IF('01_Вводные'!$B$234="Да",('01_Вводные'!$B$118+'19_Расчет_аналитики'!AD3683+1)*IF('08_ФОТ'!AD$3&lt;'01_Вводные'!$B$250,'01_Вводные'!$B$123,'01_Вводные'!$B$124)/'01_Вводные'!$B$132,0)</f>
        <v/>
      </c>
      <c r="AE3688">
        <f>IF('01_Вводные'!$B$234="Да",('01_Вводные'!$B$118+'19_Расчет_аналитики'!AE3683+1)*IF('08_ФОТ'!AE$3&lt;'01_Вводные'!$B$250,'01_Вводные'!$B$123,'01_Вводные'!$B$124)/'01_Вводные'!$B$132,0)</f>
        <v/>
      </c>
      <c r="AF3688">
        <f>IF('01_Вводные'!$B$234="Да",('01_Вводные'!$B$118+'19_Расчет_аналитики'!AF3683+1)*IF('08_ФОТ'!AF$3&lt;'01_Вводные'!$B$250,'01_Вводные'!$B$123,'01_Вводные'!$B$124)/'01_Вводные'!$B$132,0)</f>
        <v/>
      </c>
      <c r="AG3688">
        <f>IF('01_Вводные'!$B$234="Да",('01_Вводные'!$B$118+'19_Расчет_аналитики'!AG3683+1)*IF('08_ФОТ'!AG$3&lt;'01_Вводные'!$B$250,'01_Вводные'!$B$123,'01_Вводные'!$B$124)/'01_Вводные'!$B$132,0)</f>
        <v/>
      </c>
      <c r="AH3688">
        <f>IF('01_Вводные'!$B$234="Да",('01_Вводные'!$B$118+'19_Расчет_аналитики'!AH3683+1)*IF('08_ФОТ'!AH$3&lt;'01_Вводные'!$B$250,'01_Вводные'!$B$123,'01_Вводные'!$B$124)/'01_Вводные'!$B$132,0)</f>
        <v/>
      </c>
      <c r="AI3688">
        <f>IF('01_Вводные'!$B$234="Да",('01_Вводные'!$B$118+'19_Расчет_аналитики'!AI3683+1)*IF('08_ФОТ'!AI$3&lt;'01_Вводные'!$B$250,'01_Вводные'!$B$123,'01_Вводные'!$B$124)/'01_Вводные'!$B$132,0)</f>
        <v/>
      </c>
      <c r="AJ3688">
        <f>IF('01_Вводные'!$B$234="Да",('01_Вводные'!$B$118+'19_Расчет_аналитики'!AJ3683+1)*IF('08_ФОТ'!AJ$3&lt;'01_Вводные'!$B$250,'01_Вводные'!$B$123,'01_Вводные'!$B$124)/'01_Вводные'!$B$132,0)</f>
        <v/>
      </c>
      <c r="AK3688">
        <f>IF('01_Вводные'!$B$234="Да",('01_Вводные'!$B$118+'19_Расчет_аналитики'!AK3683+1)*IF('08_ФОТ'!AK$3&lt;'01_Вводные'!$B$250,'01_Вводные'!$B$123,'01_Вводные'!$B$124)/'01_Вводные'!$B$132,0)</f>
        <v/>
      </c>
      <c r="AL3688">
        <f>IF('01_Вводные'!$B$234="Да",('01_Вводные'!$B$118+'19_Расчет_аналитики'!AL3683+1)*IF('08_ФОТ'!AL$3&lt;'01_Вводные'!$B$250,'01_Вводные'!$B$123,'01_Вводные'!$B$124)/'01_Вводные'!$B$132,0)</f>
        <v/>
      </c>
      <c r="AM3688">
        <f>IF('01_Вводные'!$B$234="Да",('01_Вводные'!$B$118+'19_Расчет_аналитики'!AM3683+1)*IF('08_ФОТ'!AM$3&lt;'01_Вводные'!$B$250,'01_Вводные'!$B$123,'01_Вводные'!$B$124)/'01_Вводные'!$B$132,0)</f>
        <v/>
      </c>
      <c r="AN3688">
        <f>IF('01_Вводные'!$B$234="Да",('01_Вводные'!$B$118+'19_Расчет_аналитики'!AN3683+1)*IF('08_ФОТ'!AN$3&lt;'01_Вводные'!$B$250,'01_Вводные'!$B$123,'01_Вводные'!$B$124)/'01_Вводные'!$B$132,0)</f>
        <v/>
      </c>
      <c r="AO3688">
        <f>IF('01_Вводные'!$B$234="Да",('01_Вводные'!$B$118+'19_Расчет_аналитики'!AO3683+1)*IF('08_ФОТ'!AO$3&lt;'01_Вводные'!$B$250,'01_Вводные'!$B$123,'01_Вводные'!$B$124)/'01_Вводные'!$B$132,0)</f>
        <v/>
      </c>
      <c r="AP3688">
        <f>IF('01_Вводные'!$B$234="Да",('01_Вводные'!$B$118+'19_Расчет_аналитики'!AP3683+1)*IF('08_ФОТ'!AP$3&lt;'01_Вводные'!$B$250,'01_Вводные'!$B$123,'01_Вводные'!$B$124)/'01_Вводные'!$B$132,0)</f>
        <v/>
      </c>
      <c r="AQ3688">
        <f>IF('01_Вводные'!$B$234="Да",('01_Вводные'!$B$118+'19_Расчет_аналитики'!AQ3683+1)*IF('08_ФОТ'!AQ$3&lt;'01_Вводные'!$B$250,'01_Вводные'!$B$123,'01_Вводные'!$B$124)/'01_Вводные'!$B$132,0)</f>
        <v/>
      </c>
      <c r="AR3688">
        <f>IF('01_Вводные'!$B$234="Да",('01_Вводные'!$B$118+'19_Расчет_аналитики'!AR3683+1)*IF('08_ФОТ'!AR$3&lt;'01_Вводные'!$B$250,'01_Вводные'!$B$123,'01_Вводные'!$B$124)/'01_Вводные'!$B$132,0)</f>
        <v/>
      </c>
      <c r="AS3688">
        <f>IF('01_Вводные'!$B$234="Да",('01_Вводные'!$B$118+'19_Расчет_аналитики'!AS3683+1)*IF('08_ФОТ'!AS$3&lt;'01_Вводные'!$B$250,'01_Вводные'!$B$123,'01_Вводные'!$B$124)/'01_Вводные'!$B$132,0)</f>
        <v/>
      </c>
      <c r="AT3688">
        <f>IF('01_Вводные'!$B$234="Да",('01_Вводные'!$B$118+'19_Расчет_аналитики'!AT3683+1)*IF('08_ФОТ'!AT$3&lt;'01_Вводные'!$B$250,'01_Вводные'!$B$123,'01_Вводные'!$B$124)/'01_Вводные'!$B$132,0)</f>
        <v/>
      </c>
      <c r="AU3688">
        <f>IF('01_Вводные'!$B$234="Да",('01_Вводные'!$B$118+'19_Расчет_аналитики'!AU3683+1)*IF('08_ФОТ'!AU$3&lt;'01_Вводные'!$B$250,'01_Вводные'!$B$123,'01_Вводные'!$B$124)/'01_Вводные'!$B$132,0)</f>
        <v/>
      </c>
      <c r="AV3688">
        <f>IF('01_Вводные'!$B$234="Да",('01_Вводные'!$B$118+'19_Расчет_аналитики'!AV3683+1)*IF('08_ФОТ'!AV$3&lt;'01_Вводные'!$B$250,'01_Вводные'!$B$123,'01_Вводные'!$B$124)/'01_Вводные'!$B$132,0)</f>
        <v/>
      </c>
      <c r="AW3688">
        <f>IF('01_Вводные'!$B$234="Да",('01_Вводные'!$B$118+'19_Расчет_аналитики'!AW3683+1)*IF('08_ФОТ'!AW$3&lt;'01_Вводные'!$B$250,'01_Вводные'!$B$123,'01_Вводные'!$B$124)/'01_Вводные'!$B$132,0)</f>
        <v/>
      </c>
      <c r="AX3688">
        <f>IF('01_Вводные'!$B$234="Да",('01_Вводные'!$B$118+'19_Расчет_аналитики'!AX3683+1)*IF('08_ФОТ'!AX$3&lt;'01_Вводные'!$B$250,'01_Вводные'!$B$123,'01_Вводные'!$B$124)/'01_Вводные'!$B$132,0)</f>
        <v/>
      </c>
      <c r="AY3688">
        <f>IF('01_Вводные'!$B$234="Да",('01_Вводные'!$B$118+'19_Расчет_аналитики'!AY3683+1)*IF('08_ФОТ'!AY$3&lt;'01_Вводные'!$B$250,'01_Вводные'!$B$123,'01_Вводные'!$B$124)/'01_Вводные'!$B$132,0)</f>
        <v/>
      </c>
      <c r="AZ3688">
        <f>IF('01_Вводные'!$B$234="Да",('01_Вводные'!$B$118+'19_Расчет_аналитики'!AZ3683+1)*IF('08_ФОТ'!AZ$3&lt;'01_Вводные'!$B$250,'01_Вводные'!$B$123,'01_Вводные'!$B$124)/'01_Вводные'!$B$132,0)</f>
        <v/>
      </c>
      <c r="BA3688">
        <f>IF('01_Вводные'!$B$234="Да",('01_Вводные'!$B$118+'19_Расчет_аналитики'!BA3683+1)*IF('08_ФОТ'!BA$3&lt;'01_Вводные'!$B$250,'01_Вводные'!$B$123,'01_Вводные'!$B$124)/'01_Вводные'!$B$132,0)</f>
        <v/>
      </c>
      <c r="BB3688">
        <f>IF('01_Вводные'!$B$234="Да",('01_Вводные'!$B$118+'19_Расчет_аналитики'!BB3683+1)*IF('08_ФОТ'!BB$3&lt;'01_Вводные'!$B$250,'01_Вводные'!$B$123,'01_Вводные'!$B$124)/'01_Вводные'!$B$132,0)</f>
        <v/>
      </c>
      <c r="BC3688">
        <f>IF('01_Вводные'!$B$234="Да",('01_Вводные'!$B$118+'19_Расчет_аналитики'!BC3683+1)*IF('08_ФОТ'!BC$3&lt;'01_Вводные'!$B$250,'01_Вводные'!$B$123,'01_Вводные'!$B$124)/'01_Вводные'!$B$132,0)</f>
        <v/>
      </c>
      <c r="BD3688">
        <f>IF('01_Вводные'!$B$234="Да",('01_Вводные'!$B$118+'19_Расчет_аналитики'!BD3683+1)*IF('08_ФОТ'!BD$3&lt;'01_Вводные'!$B$250,'01_Вводные'!$B$123,'01_Вводные'!$B$124)/'01_Вводные'!$B$132,0)</f>
        <v/>
      </c>
      <c r="BE3688">
        <f>IF('01_Вводные'!$B$234="Да",('01_Вводные'!$B$118+'19_Расчет_аналитики'!BE3683+1)*IF('08_ФОТ'!BE$3&lt;'01_Вводные'!$B$250,'01_Вводные'!$B$123,'01_Вводные'!$B$124)/'01_Вводные'!$B$132,0)</f>
        <v/>
      </c>
      <c r="BF3688">
        <f>IF('01_Вводные'!$B$234="Да",('01_Вводные'!$B$118+'19_Расчет_аналитики'!BF3683+1)*IF('08_ФОТ'!BF$3&lt;'01_Вводные'!$B$250,'01_Вводные'!$B$123,'01_Вводные'!$B$124)/'01_Вводные'!$B$132,0)</f>
        <v/>
      </c>
      <c r="BG3688">
        <f>IF('01_Вводные'!$B$234="Да",('01_Вводные'!$B$118+'19_Расчет_аналитики'!BG3683+1)*IF('08_ФОТ'!BG$3&lt;'01_Вводные'!$B$250,'01_Вводные'!$B$123,'01_Вводные'!$B$124)/'01_Вводные'!$B$132,0)</f>
        <v/>
      </c>
      <c r="BH3688">
        <f>IF('01_Вводные'!$B$234="Да",('01_Вводные'!$B$118+'19_Расчет_аналитики'!BH3683+1)*IF('08_ФОТ'!BH$3&lt;'01_Вводные'!$B$250,'01_Вводные'!$B$123,'01_Вводные'!$B$124)/'01_Вводные'!$B$132,0)</f>
        <v/>
      </c>
      <c r="BI3688">
        <f>IF('01_Вводные'!$B$234="Да",('01_Вводные'!$B$118+'19_Расчет_аналитики'!BI3683+1)*IF('08_ФОТ'!BI$3&lt;'01_Вводные'!$B$250,'01_Вводные'!$B$123,'01_Вводные'!$B$124)/'01_Вводные'!$B$132,0)</f>
        <v/>
      </c>
    </row>
    <row r="3689">
      <c r="C3689">
        <f>IF('01_Вводные'!$B$234="Да",'19_Расчет_аналитики'!C3688*'01_Вводные'!$B$131,0)</f>
        <v/>
      </c>
      <c r="D3689">
        <f>IF('01_Вводные'!$B$234="Да",'19_Расчет_аналитики'!D3688*'01_Вводные'!$B$131,0)</f>
        <v/>
      </c>
      <c r="E3689">
        <f>IF('01_Вводные'!$B$234="Да",'19_Расчет_аналитики'!E3688*'01_Вводные'!$B$131,0)</f>
        <v/>
      </c>
      <c r="F3689">
        <f>IF('01_Вводные'!$B$234="Да",'19_Расчет_аналитики'!F3688*'01_Вводные'!$B$131,0)</f>
        <v/>
      </c>
      <c r="G3689">
        <f>IF('01_Вводные'!$B$234="Да",'19_Расчет_аналитики'!G3688*'01_Вводные'!$B$131,0)</f>
        <v/>
      </c>
      <c r="H3689">
        <f>IF('01_Вводные'!$B$234="Да",'19_Расчет_аналитики'!H3688*'01_Вводные'!$B$131,0)</f>
        <v/>
      </c>
      <c r="I3689">
        <f>IF('01_Вводные'!$B$234="Да",'19_Расчет_аналитики'!I3688*'01_Вводные'!$B$131,0)</f>
        <v/>
      </c>
      <c r="J3689">
        <f>IF('01_Вводные'!$B$234="Да",'19_Расчет_аналитики'!J3688*'01_Вводные'!$B$131,0)</f>
        <v/>
      </c>
      <c r="K3689">
        <f>IF('01_Вводные'!$B$234="Да",'19_Расчет_аналитики'!K3688*'01_Вводные'!$B$131,0)</f>
        <v/>
      </c>
      <c r="L3689">
        <f>IF('01_Вводные'!$B$234="Да",'19_Расчет_аналитики'!L3688*'01_Вводные'!$B$131,0)</f>
        <v/>
      </c>
      <c r="M3689">
        <f>IF('01_Вводные'!$B$234="Да",'19_Расчет_аналитики'!M3688*'01_Вводные'!$B$131,0)</f>
        <v/>
      </c>
      <c r="N3689">
        <f>IF('01_Вводные'!$B$234="Да",'19_Расчет_аналитики'!N3688*'01_Вводные'!$B$131,0)</f>
        <v/>
      </c>
      <c r="O3689">
        <f>IF('01_Вводные'!$B$234="Да",'19_Расчет_аналитики'!O3688*'01_Вводные'!$B$131,0)</f>
        <v/>
      </c>
      <c r="P3689">
        <f>IF('01_Вводные'!$B$234="Да",'19_Расчет_аналитики'!P3688*'01_Вводные'!$B$131,0)</f>
        <v/>
      </c>
      <c r="Q3689">
        <f>IF('01_Вводные'!$B$234="Да",'19_Расчет_аналитики'!Q3688*'01_Вводные'!$B$131,0)</f>
        <v/>
      </c>
      <c r="R3689">
        <f>IF('01_Вводные'!$B$234="Да",'19_Расчет_аналитики'!R3688*'01_Вводные'!$B$131,0)</f>
        <v/>
      </c>
      <c r="S3689">
        <f>IF('01_Вводные'!$B$234="Да",'19_Расчет_аналитики'!S3688*'01_Вводные'!$B$131,0)</f>
        <v/>
      </c>
      <c r="T3689">
        <f>IF('01_Вводные'!$B$234="Да",'19_Расчет_аналитики'!T3688*'01_Вводные'!$B$131,0)</f>
        <v/>
      </c>
      <c r="U3689">
        <f>IF('01_Вводные'!$B$234="Да",'19_Расчет_аналитики'!U3688*'01_Вводные'!$B$131,0)</f>
        <v/>
      </c>
      <c r="V3689">
        <f>IF('01_Вводные'!$B$234="Да",'19_Расчет_аналитики'!V3688*'01_Вводные'!$B$131,0)</f>
        <v/>
      </c>
      <c r="W3689">
        <f>IF('01_Вводные'!$B$234="Да",'19_Расчет_аналитики'!W3688*'01_Вводные'!$B$131,0)</f>
        <v/>
      </c>
      <c r="X3689">
        <f>IF('01_Вводные'!$B$234="Да",'19_Расчет_аналитики'!X3688*'01_Вводные'!$B$131,0)</f>
        <v/>
      </c>
      <c r="Y3689">
        <f>IF('01_Вводные'!$B$234="Да",'19_Расчет_аналитики'!Y3688*'01_Вводные'!$B$131,0)</f>
        <v/>
      </c>
      <c r="Z3689">
        <f>IF('01_Вводные'!$B$234="Да",'19_Расчет_аналитики'!Z3688*'01_Вводные'!$B$131,0)</f>
        <v/>
      </c>
      <c r="AA3689">
        <f>IF('01_Вводные'!$B$234="Да",'19_Расчет_аналитики'!AA3688*'01_Вводные'!$B$131,0)</f>
        <v/>
      </c>
      <c r="AB3689">
        <f>IF('01_Вводные'!$B$234="Да",'19_Расчет_аналитики'!AB3688*'01_Вводные'!$B$131,0)</f>
        <v/>
      </c>
      <c r="AC3689">
        <f>IF('01_Вводные'!$B$234="Да",'19_Расчет_аналитики'!AC3688*'01_Вводные'!$B$131,0)</f>
        <v/>
      </c>
      <c r="AD3689">
        <f>IF('01_Вводные'!$B$234="Да",'19_Расчет_аналитики'!AD3688*'01_Вводные'!$B$131,0)</f>
        <v/>
      </c>
      <c r="AE3689">
        <f>IF('01_Вводные'!$B$234="Да",'19_Расчет_аналитики'!AE3688*'01_Вводные'!$B$131,0)</f>
        <v/>
      </c>
      <c r="AF3689">
        <f>IF('01_Вводные'!$B$234="Да",'19_Расчет_аналитики'!AF3688*'01_Вводные'!$B$131,0)</f>
        <v/>
      </c>
      <c r="AG3689">
        <f>IF('01_Вводные'!$B$234="Да",'19_Расчет_аналитики'!AG3688*'01_Вводные'!$B$131,0)</f>
        <v/>
      </c>
      <c r="AH3689">
        <f>IF('01_Вводные'!$B$234="Да",'19_Расчет_аналитики'!AH3688*'01_Вводные'!$B$131,0)</f>
        <v/>
      </c>
      <c r="AI3689">
        <f>IF('01_Вводные'!$B$234="Да",'19_Расчет_аналитики'!AI3688*'01_Вводные'!$B$131,0)</f>
        <v/>
      </c>
      <c r="AJ3689">
        <f>IF('01_Вводные'!$B$234="Да",'19_Расчет_аналитики'!AJ3688*'01_Вводные'!$B$131,0)</f>
        <v/>
      </c>
      <c r="AK3689">
        <f>IF('01_Вводные'!$B$234="Да",'19_Расчет_аналитики'!AK3688*'01_Вводные'!$B$131,0)</f>
        <v/>
      </c>
      <c r="AL3689">
        <f>IF('01_Вводные'!$B$234="Да",'19_Расчет_аналитики'!AL3688*'01_Вводные'!$B$131,0)</f>
        <v/>
      </c>
      <c r="AM3689">
        <f>IF('01_Вводные'!$B$234="Да",'19_Расчет_аналитики'!AM3688*'01_Вводные'!$B$131,0)</f>
        <v/>
      </c>
      <c r="AN3689">
        <f>IF('01_Вводные'!$B$234="Да",'19_Расчет_аналитики'!AN3688*'01_Вводные'!$B$131,0)</f>
        <v/>
      </c>
      <c r="AO3689">
        <f>IF('01_Вводные'!$B$234="Да",'19_Расчет_аналитики'!AO3688*'01_Вводные'!$B$131,0)</f>
        <v/>
      </c>
      <c r="AP3689">
        <f>IF('01_Вводные'!$B$234="Да",'19_Расчет_аналитики'!AP3688*'01_Вводные'!$B$131,0)</f>
        <v/>
      </c>
      <c r="AQ3689">
        <f>IF('01_Вводные'!$B$234="Да",'19_Расчет_аналитики'!AQ3688*'01_Вводные'!$B$131,0)</f>
        <v/>
      </c>
      <c r="AR3689">
        <f>IF('01_Вводные'!$B$234="Да",'19_Расчет_аналитики'!AR3688*'01_Вводные'!$B$131,0)</f>
        <v/>
      </c>
      <c r="AS3689">
        <f>IF('01_Вводные'!$B$234="Да",'19_Расчет_аналитики'!AS3688*'01_Вводные'!$B$131,0)</f>
        <v/>
      </c>
      <c r="AT3689">
        <f>IF('01_Вводные'!$B$234="Да",'19_Расчет_аналитики'!AT3688*'01_Вводные'!$B$131,0)</f>
        <v/>
      </c>
      <c r="AU3689">
        <f>IF('01_Вводные'!$B$234="Да",'19_Расчет_аналитики'!AU3688*'01_Вводные'!$B$131,0)</f>
        <v/>
      </c>
      <c r="AV3689">
        <f>IF('01_Вводные'!$B$234="Да",'19_Расчет_аналитики'!AV3688*'01_Вводные'!$B$131,0)</f>
        <v/>
      </c>
      <c r="AW3689">
        <f>IF('01_Вводные'!$B$234="Да",'19_Расчет_аналитики'!AW3688*'01_Вводные'!$B$131,0)</f>
        <v/>
      </c>
      <c r="AX3689">
        <f>IF('01_Вводные'!$B$234="Да",'19_Расчет_аналитики'!AX3688*'01_Вводные'!$B$131,0)</f>
        <v/>
      </c>
      <c r="AY3689">
        <f>IF('01_Вводные'!$B$234="Да",'19_Расчет_аналитики'!AY3688*'01_Вводные'!$B$131,0)</f>
        <v/>
      </c>
      <c r="AZ3689">
        <f>IF('01_Вводные'!$B$234="Да",'19_Расчет_аналитики'!AZ3688*'01_Вводные'!$B$131,0)</f>
        <v/>
      </c>
      <c r="BA3689">
        <f>IF('01_Вводные'!$B$234="Да",'19_Расчет_аналитики'!BA3688*'01_Вводные'!$B$131,0)</f>
        <v/>
      </c>
      <c r="BB3689">
        <f>IF('01_Вводные'!$B$234="Да",'19_Расчет_аналитики'!BB3688*'01_Вводные'!$B$131,0)</f>
        <v/>
      </c>
      <c r="BC3689">
        <f>IF('01_Вводные'!$B$234="Да",'19_Расчет_аналитики'!BC3688*'01_Вводные'!$B$131,0)</f>
        <v/>
      </c>
      <c r="BD3689">
        <f>IF('01_Вводные'!$B$234="Да",'19_Расчет_аналитики'!BD3688*'01_Вводные'!$B$131,0)</f>
        <v/>
      </c>
      <c r="BE3689">
        <f>IF('01_Вводные'!$B$234="Да",'19_Расчет_аналитики'!BE3688*'01_Вводные'!$B$131,0)</f>
        <v/>
      </c>
      <c r="BF3689">
        <f>IF('01_Вводные'!$B$234="Да",'19_Расчет_аналитики'!BF3688*'01_Вводные'!$B$131,0)</f>
        <v/>
      </c>
      <c r="BG3689">
        <f>IF('01_Вводные'!$B$234="Да",'19_Расчет_аналитики'!BG3688*'01_Вводные'!$B$131,0)</f>
        <v/>
      </c>
      <c r="BH3689">
        <f>IF('01_Вводные'!$B$234="Да",'19_Расчет_аналитики'!BH3688*'01_Вводные'!$B$131,0)</f>
        <v/>
      </c>
      <c r="BI3689">
        <f>IF('01_Вводные'!$B$234="Да",'19_Расчет_аналитики'!BI3688*'01_Вводные'!$B$131,0)</f>
        <v/>
      </c>
    </row>
    <row r="3690">
      <c r="C3690">
        <f>IF('01_Вводные'!$B$234="Да",IF('19_Расчет_аналитики'!C3374&gt;=2,'19_Расчет_аналитики'!C3385*'01_Вводные'!$B$125/(1+'01_Вводные'!$B$131),0),0)</f>
        <v/>
      </c>
      <c r="D3690">
        <f>IF('01_Вводные'!$B$234="Да",IF('19_Расчет_аналитики'!D3374&gt;=2,'19_Расчет_аналитики'!D3385*'01_Вводные'!$B$125/(1+'01_Вводные'!$B$131),0),0)</f>
        <v/>
      </c>
      <c r="E3690">
        <f>IF('01_Вводные'!$B$234="Да",IF('19_Расчет_аналитики'!E3374&gt;=2,'19_Расчет_аналитики'!E3385*'01_Вводные'!$B$125/(1+'01_Вводные'!$B$131),0),0)</f>
        <v/>
      </c>
      <c r="F3690">
        <f>IF('01_Вводные'!$B$234="Да",IF('19_Расчет_аналитики'!F3374&gt;=2,'19_Расчет_аналитики'!F3385*'01_Вводные'!$B$125/(1+'01_Вводные'!$B$131),0),0)</f>
        <v/>
      </c>
      <c r="G3690">
        <f>IF('01_Вводные'!$B$234="Да",IF('19_Расчет_аналитики'!G3374&gt;=2,'19_Расчет_аналитики'!G3385*'01_Вводные'!$B$125/(1+'01_Вводные'!$B$131),0),0)</f>
        <v/>
      </c>
      <c r="H3690">
        <f>IF('01_Вводные'!$B$234="Да",IF('19_Расчет_аналитики'!H3374&gt;=2,'19_Расчет_аналитики'!H3385*'01_Вводные'!$B$125/(1+'01_Вводные'!$B$131),0),0)</f>
        <v/>
      </c>
      <c r="I3690">
        <f>IF('01_Вводные'!$B$234="Да",IF('19_Расчет_аналитики'!I3374&gt;=2,'19_Расчет_аналитики'!I3385*'01_Вводные'!$B$125/(1+'01_Вводные'!$B$131),0),0)</f>
        <v/>
      </c>
      <c r="J3690">
        <f>IF('01_Вводные'!$B$234="Да",IF('19_Расчет_аналитики'!J3374&gt;=2,'19_Расчет_аналитики'!J3385*'01_Вводные'!$B$125/(1+'01_Вводные'!$B$131),0),0)</f>
        <v/>
      </c>
      <c r="K3690">
        <f>IF('01_Вводные'!$B$234="Да",IF('19_Расчет_аналитики'!K3374&gt;=2,'19_Расчет_аналитики'!K3385*'01_Вводные'!$B$125/(1+'01_Вводные'!$B$131),0),0)</f>
        <v/>
      </c>
      <c r="L3690">
        <f>IF('01_Вводные'!$B$234="Да",IF('19_Расчет_аналитики'!L3374&gt;=2,'19_Расчет_аналитики'!L3385*'01_Вводные'!$B$125/(1+'01_Вводные'!$B$131),0),0)</f>
        <v/>
      </c>
      <c r="M3690">
        <f>IF('01_Вводные'!$B$234="Да",IF('19_Расчет_аналитики'!M3374&gt;=2,'19_Расчет_аналитики'!M3385*'01_Вводные'!$B$125/(1+'01_Вводные'!$B$131),0),0)</f>
        <v/>
      </c>
      <c r="N3690">
        <f>IF('01_Вводные'!$B$234="Да",IF('19_Расчет_аналитики'!N3374&gt;=2,'19_Расчет_аналитики'!N3385*'01_Вводные'!$B$125/(1+'01_Вводные'!$B$131),0),0)</f>
        <v/>
      </c>
      <c r="O3690">
        <f>IF('01_Вводные'!$B$234="Да",IF('19_Расчет_аналитики'!O3374&gt;=2,'19_Расчет_аналитики'!O3385*'01_Вводные'!$B$125/(1+'01_Вводные'!$B$131),0),0)</f>
        <v/>
      </c>
      <c r="P3690">
        <f>IF('01_Вводные'!$B$234="Да",IF('19_Расчет_аналитики'!P3374&gt;=2,'19_Расчет_аналитики'!P3385*'01_Вводные'!$B$125/(1+'01_Вводные'!$B$131),0),0)</f>
        <v/>
      </c>
      <c r="Q3690">
        <f>IF('01_Вводные'!$B$234="Да",IF('19_Расчет_аналитики'!Q3374&gt;=2,'19_Расчет_аналитики'!Q3385*'01_Вводные'!$B$125/(1+'01_Вводные'!$B$131),0),0)</f>
        <v/>
      </c>
      <c r="R3690">
        <f>IF('01_Вводные'!$B$234="Да",IF('19_Расчет_аналитики'!R3374&gt;=2,'19_Расчет_аналитики'!R3385*'01_Вводные'!$B$125/(1+'01_Вводные'!$B$131),0),0)</f>
        <v/>
      </c>
      <c r="S3690">
        <f>IF('01_Вводные'!$B$234="Да",IF('19_Расчет_аналитики'!S3374&gt;=2,'19_Расчет_аналитики'!S3385*'01_Вводные'!$B$125/(1+'01_Вводные'!$B$131),0),0)</f>
        <v/>
      </c>
      <c r="T3690">
        <f>IF('01_Вводные'!$B$234="Да",IF('19_Расчет_аналитики'!T3374&gt;=2,'19_Расчет_аналитики'!T3385*'01_Вводные'!$B$125/(1+'01_Вводные'!$B$131),0),0)</f>
        <v/>
      </c>
      <c r="U3690">
        <f>IF('01_Вводные'!$B$234="Да",IF('19_Расчет_аналитики'!U3374&gt;=2,'19_Расчет_аналитики'!U3385*'01_Вводные'!$B$125/(1+'01_Вводные'!$B$131),0),0)</f>
        <v/>
      </c>
      <c r="V3690">
        <f>IF('01_Вводные'!$B$234="Да",IF('19_Расчет_аналитики'!V3374&gt;=2,'19_Расчет_аналитики'!V3385*'01_Вводные'!$B$125/(1+'01_Вводные'!$B$131),0),0)</f>
        <v/>
      </c>
      <c r="W3690">
        <f>IF('01_Вводные'!$B$234="Да",IF('19_Расчет_аналитики'!W3374&gt;=2,'19_Расчет_аналитики'!W3385*'01_Вводные'!$B$125/(1+'01_Вводные'!$B$131),0),0)</f>
        <v/>
      </c>
      <c r="X3690">
        <f>IF('01_Вводные'!$B$234="Да",IF('19_Расчет_аналитики'!X3374&gt;=2,'19_Расчет_аналитики'!X3385*'01_Вводные'!$B$125/(1+'01_Вводные'!$B$131),0),0)</f>
        <v/>
      </c>
      <c r="Y3690">
        <f>IF('01_Вводные'!$B$234="Да",IF('19_Расчет_аналитики'!Y3374&gt;=2,'19_Расчет_аналитики'!Y3385*'01_Вводные'!$B$125/(1+'01_Вводные'!$B$131),0),0)</f>
        <v/>
      </c>
      <c r="Z3690">
        <f>IF('01_Вводные'!$B$234="Да",IF('19_Расчет_аналитики'!Z3374&gt;=2,'19_Расчет_аналитики'!Z3385*'01_Вводные'!$B$125/(1+'01_Вводные'!$B$131),0),0)</f>
        <v/>
      </c>
      <c r="AA3690">
        <f>IF('01_Вводные'!$B$234="Да",IF('19_Расчет_аналитики'!AA3374&gt;=2,'19_Расчет_аналитики'!AA3385*'01_Вводные'!$B$125/(1+'01_Вводные'!$B$131),0),0)</f>
        <v/>
      </c>
      <c r="AB3690">
        <f>IF('01_Вводные'!$B$234="Да",IF('19_Расчет_аналитики'!AB3374&gt;=2,'19_Расчет_аналитики'!AB3385*'01_Вводные'!$B$125/(1+'01_Вводные'!$B$131),0),0)</f>
        <v/>
      </c>
      <c r="AC3690">
        <f>IF('01_Вводные'!$B$234="Да",IF('19_Расчет_аналитики'!AC3374&gt;=2,'19_Расчет_аналитики'!AC3385*'01_Вводные'!$B$125/(1+'01_Вводные'!$B$131),0),0)</f>
        <v/>
      </c>
      <c r="AD3690">
        <f>IF('01_Вводные'!$B$234="Да",IF('19_Расчет_аналитики'!AD3374&gt;=2,'19_Расчет_аналитики'!AD3385*'01_Вводные'!$B$125/(1+'01_Вводные'!$B$131),0),0)</f>
        <v/>
      </c>
      <c r="AE3690">
        <f>IF('01_Вводные'!$B$234="Да",IF('19_Расчет_аналитики'!AE3374&gt;=2,'19_Расчет_аналитики'!AE3385*'01_Вводные'!$B$125/(1+'01_Вводные'!$B$131),0),0)</f>
        <v/>
      </c>
      <c r="AF3690">
        <f>IF('01_Вводные'!$B$234="Да",IF('19_Расчет_аналитики'!AF3374&gt;=2,'19_Расчет_аналитики'!AF3385*'01_Вводные'!$B$125/(1+'01_Вводные'!$B$131),0),0)</f>
        <v/>
      </c>
      <c r="AG3690">
        <f>IF('01_Вводные'!$B$234="Да",IF('19_Расчет_аналитики'!AG3374&gt;=2,'19_Расчет_аналитики'!AG3385*'01_Вводные'!$B$125/(1+'01_Вводные'!$B$131),0),0)</f>
        <v/>
      </c>
      <c r="AH3690">
        <f>IF('01_Вводные'!$B$234="Да",IF('19_Расчет_аналитики'!AH3374&gt;=2,'19_Расчет_аналитики'!AH3385*'01_Вводные'!$B$125/(1+'01_Вводные'!$B$131),0),0)</f>
        <v/>
      </c>
      <c r="AI3690">
        <f>IF('01_Вводные'!$B$234="Да",IF('19_Расчет_аналитики'!AI3374&gt;=2,'19_Расчет_аналитики'!AI3385*'01_Вводные'!$B$125/(1+'01_Вводные'!$B$131),0),0)</f>
        <v/>
      </c>
      <c r="AJ3690">
        <f>IF('01_Вводные'!$B$234="Да",IF('19_Расчет_аналитики'!AJ3374&gt;=2,'19_Расчет_аналитики'!AJ3385*'01_Вводные'!$B$125/(1+'01_Вводные'!$B$131),0),0)</f>
        <v/>
      </c>
      <c r="AK3690">
        <f>IF('01_Вводные'!$B$234="Да",IF('19_Расчет_аналитики'!AK3374&gt;=2,'19_Расчет_аналитики'!AK3385*'01_Вводные'!$B$125/(1+'01_Вводные'!$B$131),0),0)</f>
        <v/>
      </c>
      <c r="AL3690">
        <f>IF('01_Вводные'!$B$234="Да",IF('19_Расчет_аналитики'!AL3374&gt;=2,'19_Расчет_аналитики'!AL3385*'01_Вводные'!$B$125/(1+'01_Вводные'!$B$131),0),0)</f>
        <v/>
      </c>
      <c r="AM3690">
        <f>IF('01_Вводные'!$B$234="Да",IF('19_Расчет_аналитики'!AM3374&gt;=2,'19_Расчет_аналитики'!AM3385*'01_Вводные'!$B$125/(1+'01_Вводные'!$B$131),0),0)</f>
        <v/>
      </c>
      <c r="AN3690">
        <f>IF('01_Вводные'!$B$234="Да",IF('19_Расчет_аналитики'!AN3374&gt;=2,'19_Расчет_аналитики'!AN3385*'01_Вводные'!$B$125/(1+'01_Вводные'!$B$131),0),0)</f>
        <v/>
      </c>
      <c r="AO3690">
        <f>IF('01_Вводные'!$B$234="Да",IF('19_Расчет_аналитики'!AO3374&gt;=2,'19_Расчет_аналитики'!AO3385*'01_Вводные'!$B$125/(1+'01_Вводные'!$B$131),0),0)</f>
        <v/>
      </c>
      <c r="AP3690">
        <f>IF('01_Вводные'!$B$234="Да",IF('19_Расчет_аналитики'!AP3374&gt;=2,'19_Расчет_аналитики'!AP3385*'01_Вводные'!$B$125/(1+'01_Вводные'!$B$131),0),0)</f>
        <v/>
      </c>
      <c r="AQ3690">
        <f>IF('01_Вводные'!$B$234="Да",IF('19_Расчет_аналитики'!AQ3374&gt;=2,'19_Расчет_аналитики'!AQ3385*'01_Вводные'!$B$125/(1+'01_Вводные'!$B$131),0),0)</f>
        <v/>
      </c>
      <c r="AR3690">
        <f>IF('01_Вводные'!$B$234="Да",IF('19_Расчет_аналитики'!AR3374&gt;=2,'19_Расчет_аналитики'!AR3385*'01_Вводные'!$B$125/(1+'01_Вводные'!$B$131),0),0)</f>
        <v/>
      </c>
      <c r="AS3690">
        <f>IF('01_Вводные'!$B$234="Да",IF('19_Расчет_аналитики'!AS3374&gt;=2,'19_Расчет_аналитики'!AS3385*'01_Вводные'!$B$125/(1+'01_Вводные'!$B$131),0),0)</f>
        <v/>
      </c>
      <c r="AT3690">
        <f>IF('01_Вводные'!$B$234="Да",IF('19_Расчет_аналитики'!AT3374&gt;=2,'19_Расчет_аналитики'!AT3385*'01_Вводные'!$B$125/(1+'01_Вводные'!$B$131),0),0)</f>
        <v/>
      </c>
      <c r="AU3690">
        <f>IF('01_Вводные'!$B$234="Да",IF('19_Расчет_аналитики'!AU3374&gt;=2,'19_Расчет_аналитики'!AU3385*'01_Вводные'!$B$125/(1+'01_Вводные'!$B$131),0),0)</f>
        <v/>
      </c>
      <c r="AV3690">
        <f>IF('01_Вводные'!$B$234="Да",IF('19_Расчет_аналитики'!AV3374&gt;=2,'19_Расчет_аналитики'!AV3385*'01_Вводные'!$B$125/(1+'01_Вводные'!$B$131),0),0)</f>
        <v/>
      </c>
      <c r="AW3690">
        <f>IF('01_Вводные'!$B$234="Да",IF('19_Расчет_аналитики'!AW3374&gt;=2,'19_Расчет_аналитики'!AW3385*'01_Вводные'!$B$125/(1+'01_Вводные'!$B$131),0),0)</f>
        <v/>
      </c>
      <c r="AX3690">
        <f>IF('01_Вводные'!$B$234="Да",IF('19_Расчет_аналитики'!AX3374&gt;=2,'19_Расчет_аналитики'!AX3385*'01_Вводные'!$B$125/(1+'01_Вводные'!$B$131),0),0)</f>
        <v/>
      </c>
      <c r="AY3690">
        <f>IF('01_Вводные'!$B$234="Да",IF('19_Расчет_аналитики'!AY3374&gt;=2,'19_Расчет_аналитики'!AY3385*'01_Вводные'!$B$125/(1+'01_Вводные'!$B$131),0),0)</f>
        <v/>
      </c>
      <c r="AZ3690">
        <f>IF('01_Вводные'!$B$234="Да",IF('19_Расчет_аналитики'!AZ3374&gt;=2,'19_Расчет_аналитики'!AZ3385*'01_Вводные'!$B$125/(1+'01_Вводные'!$B$131),0),0)</f>
        <v/>
      </c>
      <c r="BA3690">
        <f>IF('01_Вводные'!$B$234="Да",IF('19_Расчет_аналитики'!BA3374&gt;=2,'19_Расчет_аналитики'!BA3385*'01_Вводные'!$B$125/(1+'01_Вводные'!$B$131),0),0)</f>
        <v/>
      </c>
      <c r="BB3690">
        <f>IF('01_Вводные'!$B$234="Да",IF('19_Расчет_аналитики'!BB3374&gt;=2,'19_Расчет_аналитики'!BB3385*'01_Вводные'!$B$125/(1+'01_Вводные'!$B$131),0),0)</f>
        <v/>
      </c>
      <c r="BC3690">
        <f>IF('01_Вводные'!$B$234="Да",IF('19_Расчет_аналитики'!BC3374&gt;=2,'19_Расчет_аналитики'!BC3385*'01_Вводные'!$B$125/(1+'01_Вводные'!$B$131),0),0)</f>
        <v/>
      </c>
      <c r="BD3690">
        <f>IF('01_Вводные'!$B$234="Да",IF('19_Расчет_аналитики'!BD3374&gt;=2,'19_Расчет_аналитики'!BD3385*'01_Вводные'!$B$125/(1+'01_Вводные'!$B$131),0),0)</f>
        <v/>
      </c>
      <c r="BE3690">
        <f>IF('01_Вводные'!$B$234="Да",IF('19_Расчет_аналитики'!BE3374&gt;=2,'19_Расчет_аналитики'!BE3385*'01_Вводные'!$B$125/(1+'01_Вводные'!$B$131),0),0)</f>
        <v/>
      </c>
      <c r="BF3690">
        <f>IF('01_Вводные'!$B$234="Да",IF('19_Расчет_аналитики'!BF3374&gt;=2,'19_Расчет_аналитики'!BF3385*'01_Вводные'!$B$125/(1+'01_Вводные'!$B$131),0),0)</f>
        <v/>
      </c>
      <c r="BG3690">
        <f>IF('01_Вводные'!$B$234="Да",IF('19_Расчет_аналитики'!BG3374&gt;=2,'19_Расчет_аналитики'!BG3385*'01_Вводные'!$B$125/(1+'01_Вводные'!$B$131),0),0)</f>
        <v/>
      </c>
      <c r="BH3690">
        <f>IF('01_Вводные'!$B$234="Да",IF('19_Расчет_аналитики'!BH3374&gt;=2,'19_Расчет_аналитики'!BH3385*'01_Вводные'!$B$125/(1+'01_Вводные'!$B$131),0),0)</f>
        <v/>
      </c>
      <c r="BI3690">
        <f>IF('01_Вводные'!$B$234="Да",IF('19_Расчет_аналитики'!BI3374&gt;=2,'19_Расчет_аналитики'!BI3385*'01_Вводные'!$B$125/(1+'01_Вводные'!$B$131),0),0)</f>
        <v/>
      </c>
    </row>
    <row r="3691">
      <c r="C3691">
        <f>IF('01_Вводные'!$B$234="Да",'19_Расчет_аналитики'!C3690*'01_Вводные'!$B$131,0)</f>
        <v/>
      </c>
      <c r="D3691">
        <f>IF('01_Вводные'!$B$234="Да",'19_Расчет_аналитики'!D3690*'01_Вводные'!$B$131,0)</f>
        <v/>
      </c>
      <c r="E3691">
        <f>IF('01_Вводные'!$B$234="Да",'19_Расчет_аналитики'!E3690*'01_Вводные'!$B$131,0)</f>
        <v/>
      </c>
      <c r="F3691">
        <f>IF('01_Вводные'!$B$234="Да",'19_Расчет_аналитики'!F3690*'01_Вводные'!$B$131,0)</f>
        <v/>
      </c>
      <c r="G3691">
        <f>IF('01_Вводные'!$B$234="Да",'19_Расчет_аналитики'!G3690*'01_Вводные'!$B$131,0)</f>
        <v/>
      </c>
      <c r="H3691">
        <f>IF('01_Вводные'!$B$234="Да",'19_Расчет_аналитики'!H3690*'01_Вводные'!$B$131,0)</f>
        <v/>
      </c>
      <c r="I3691">
        <f>IF('01_Вводные'!$B$234="Да",'19_Расчет_аналитики'!I3690*'01_Вводные'!$B$131,0)</f>
        <v/>
      </c>
      <c r="J3691">
        <f>IF('01_Вводные'!$B$234="Да",'19_Расчет_аналитики'!J3690*'01_Вводные'!$B$131,0)</f>
        <v/>
      </c>
      <c r="K3691">
        <f>IF('01_Вводные'!$B$234="Да",'19_Расчет_аналитики'!K3690*'01_Вводные'!$B$131,0)</f>
        <v/>
      </c>
      <c r="L3691">
        <f>IF('01_Вводные'!$B$234="Да",'19_Расчет_аналитики'!L3690*'01_Вводные'!$B$131,0)</f>
        <v/>
      </c>
      <c r="M3691">
        <f>IF('01_Вводные'!$B$234="Да",'19_Расчет_аналитики'!M3690*'01_Вводные'!$B$131,0)</f>
        <v/>
      </c>
      <c r="N3691">
        <f>IF('01_Вводные'!$B$234="Да",'19_Расчет_аналитики'!N3690*'01_Вводные'!$B$131,0)</f>
        <v/>
      </c>
      <c r="O3691">
        <f>IF('01_Вводные'!$B$234="Да",'19_Расчет_аналитики'!O3690*'01_Вводные'!$B$131,0)</f>
        <v/>
      </c>
      <c r="P3691">
        <f>IF('01_Вводные'!$B$234="Да",'19_Расчет_аналитики'!P3690*'01_Вводные'!$B$131,0)</f>
        <v/>
      </c>
      <c r="Q3691">
        <f>IF('01_Вводные'!$B$234="Да",'19_Расчет_аналитики'!Q3690*'01_Вводные'!$B$131,0)</f>
        <v/>
      </c>
      <c r="R3691">
        <f>IF('01_Вводные'!$B$234="Да",'19_Расчет_аналитики'!R3690*'01_Вводные'!$B$131,0)</f>
        <v/>
      </c>
      <c r="S3691">
        <f>IF('01_Вводные'!$B$234="Да",'19_Расчет_аналитики'!S3690*'01_Вводные'!$B$131,0)</f>
        <v/>
      </c>
      <c r="T3691">
        <f>IF('01_Вводные'!$B$234="Да",'19_Расчет_аналитики'!T3690*'01_Вводные'!$B$131,0)</f>
        <v/>
      </c>
      <c r="U3691">
        <f>IF('01_Вводные'!$B$234="Да",'19_Расчет_аналитики'!U3690*'01_Вводные'!$B$131,0)</f>
        <v/>
      </c>
      <c r="V3691">
        <f>IF('01_Вводные'!$B$234="Да",'19_Расчет_аналитики'!V3690*'01_Вводные'!$B$131,0)</f>
        <v/>
      </c>
      <c r="W3691">
        <f>IF('01_Вводные'!$B$234="Да",'19_Расчет_аналитики'!W3690*'01_Вводные'!$B$131,0)</f>
        <v/>
      </c>
      <c r="X3691">
        <f>IF('01_Вводные'!$B$234="Да",'19_Расчет_аналитики'!X3690*'01_Вводные'!$B$131,0)</f>
        <v/>
      </c>
      <c r="Y3691">
        <f>IF('01_Вводные'!$B$234="Да",'19_Расчет_аналитики'!Y3690*'01_Вводные'!$B$131,0)</f>
        <v/>
      </c>
      <c r="Z3691">
        <f>IF('01_Вводные'!$B$234="Да",'19_Расчет_аналитики'!Z3690*'01_Вводные'!$B$131,0)</f>
        <v/>
      </c>
      <c r="AA3691">
        <f>IF('01_Вводные'!$B$234="Да",'19_Расчет_аналитики'!AA3690*'01_Вводные'!$B$131,0)</f>
        <v/>
      </c>
      <c r="AB3691">
        <f>IF('01_Вводные'!$B$234="Да",'19_Расчет_аналитики'!AB3690*'01_Вводные'!$B$131,0)</f>
        <v/>
      </c>
      <c r="AC3691">
        <f>IF('01_Вводные'!$B$234="Да",'19_Расчет_аналитики'!AC3690*'01_Вводные'!$B$131,0)</f>
        <v/>
      </c>
      <c r="AD3691">
        <f>IF('01_Вводные'!$B$234="Да",'19_Расчет_аналитики'!AD3690*'01_Вводные'!$B$131,0)</f>
        <v/>
      </c>
      <c r="AE3691">
        <f>IF('01_Вводные'!$B$234="Да",'19_Расчет_аналитики'!AE3690*'01_Вводные'!$B$131,0)</f>
        <v/>
      </c>
      <c r="AF3691">
        <f>IF('01_Вводные'!$B$234="Да",'19_Расчет_аналитики'!AF3690*'01_Вводные'!$B$131,0)</f>
        <v/>
      </c>
      <c r="AG3691">
        <f>IF('01_Вводные'!$B$234="Да",'19_Расчет_аналитики'!AG3690*'01_Вводные'!$B$131,0)</f>
        <v/>
      </c>
      <c r="AH3691">
        <f>IF('01_Вводные'!$B$234="Да",'19_Расчет_аналитики'!AH3690*'01_Вводные'!$B$131,0)</f>
        <v/>
      </c>
      <c r="AI3691">
        <f>IF('01_Вводные'!$B$234="Да",'19_Расчет_аналитики'!AI3690*'01_Вводные'!$B$131,0)</f>
        <v/>
      </c>
      <c r="AJ3691">
        <f>IF('01_Вводные'!$B$234="Да",'19_Расчет_аналитики'!AJ3690*'01_Вводные'!$B$131,0)</f>
        <v/>
      </c>
      <c r="AK3691">
        <f>IF('01_Вводные'!$B$234="Да",'19_Расчет_аналитики'!AK3690*'01_Вводные'!$B$131,0)</f>
        <v/>
      </c>
      <c r="AL3691">
        <f>IF('01_Вводные'!$B$234="Да",'19_Расчет_аналитики'!AL3690*'01_Вводные'!$B$131,0)</f>
        <v/>
      </c>
      <c r="AM3691">
        <f>IF('01_Вводные'!$B$234="Да",'19_Расчет_аналитики'!AM3690*'01_Вводные'!$B$131,0)</f>
        <v/>
      </c>
      <c r="AN3691">
        <f>IF('01_Вводные'!$B$234="Да",'19_Расчет_аналитики'!AN3690*'01_Вводные'!$B$131,0)</f>
        <v/>
      </c>
      <c r="AO3691">
        <f>IF('01_Вводные'!$B$234="Да",'19_Расчет_аналитики'!AO3690*'01_Вводные'!$B$131,0)</f>
        <v/>
      </c>
      <c r="AP3691">
        <f>IF('01_Вводные'!$B$234="Да",'19_Расчет_аналитики'!AP3690*'01_Вводные'!$B$131,0)</f>
        <v/>
      </c>
      <c r="AQ3691">
        <f>IF('01_Вводные'!$B$234="Да",'19_Расчет_аналитики'!AQ3690*'01_Вводные'!$B$131,0)</f>
        <v/>
      </c>
      <c r="AR3691">
        <f>IF('01_Вводные'!$B$234="Да",'19_Расчет_аналитики'!AR3690*'01_Вводные'!$B$131,0)</f>
        <v/>
      </c>
      <c r="AS3691">
        <f>IF('01_Вводные'!$B$234="Да",'19_Расчет_аналитики'!AS3690*'01_Вводные'!$B$131,0)</f>
        <v/>
      </c>
      <c r="AT3691">
        <f>IF('01_Вводные'!$B$234="Да",'19_Расчет_аналитики'!AT3690*'01_Вводные'!$B$131,0)</f>
        <v/>
      </c>
      <c r="AU3691">
        <f>IF('01_Вводные'!$B$234="Да",'19_Расчет_аналитики'!AU3690*'01_Вводные'!$B$131,0)</f>
        <v/>
      </c>
      <c r="AV3691">
        <f>IF('01_Вводные'!$B$234="Да",'19_Расчет_аналитики'!AV3690*'01_Вводные'!$B$131,0)</f>
        <v/>
      </c>
      <c r="AW3691">
        <f>IF('01_Вводные'!$B$234="Да",'19_Расчет_аналитики'!AW3690*'01_Вводные'!$B$131,0)</f>
        <v/>
      </c>
      <c r="AX3691">
        <f>IF('01_Вводные'!$B$234="Да",'19_Расчет_аналитики'!AX3690*'01_Вводные'!$B$131,0)</f>
        <v/>
      </c>
      <c r="AY3691">
        <f>IF('01_Вводные'!$B$234="Да",'19_Расчет_аналитики'!AY3690*'01_Вводные'!$B$131,0)</f>
        <v/>
      </c>
      <c r="AZ3691">
        <f>IF('01_Вводные'!$B$234="Да",'19_Расчет_аналитики'!AZ3690*'01_Вводные'!$B$131,0)</f>
        <v/>
      </c>
      <c r="BA3691">
        <f>IF('01_Вводные'!$B$234="Да",'19_Расчет_аналитики'!BA3690*'01_Вводные'!$B$131,0)</f>
        <v/>
      </c>
      <c r="BB3691">
        <f>IF('01_Вводные'!$B$234="Да",'19_Расчет_аналитики'!BB3690*'01_Вводные'!$B$131,0)</f>
        <v/>
      </c>
      <c r="BC3691">
        <f>IF('01_Вводные'!$B$234="Да",'19_Расчет_аналитики'!BC3690*'01_Вводные'!$B$131,0)</f>
        <v/>
      </c>
      <c r="BD3691">
        <f>IF('01_Вводные'!$B$234="Да",'19_Расчет_аналитики'!BD3690*'01_Вводные'!$B$131,0)</f>
        <v/>
      </c>
      <c r="BE3691">
        <f>IF('01_Вводные'!$B$234="Да",'19_Расчет_аналитики'!BE3690*'01_Вводные'!$B$131,0)</f>
        <v/>
      </c>
      <c r="BF3691">
        <f>IF('01_Вводные'!$B$234="Да",'19_Расчет_аналитики'!BF3690*'01_Вводные'!$B$131,0)</f>
        <v/>
      </c>
      <c r="BG3691">
        <f>IF('01_Вводные'!$B$234="Да",'19_Расчет_аналитики'!BG3690*'01_Вводные'!$B$131,0)</f>
        <v/>
      </c>
      <c r="BH3691">
        <f>IF('01_Вводные'!$B$234="Да",'19_Расчет_аналитики'!BH3690*'01_Вводные'!$B$131,0)</f>
        <v/>
      </c>
      <c r="BI3691">
        <f>IF('01_Вводные'!$B$234="Да",'19_Расчет_аналитики'!BI3690*'01_Вводные'!$B$131,0)</f>
        <v/>
      </c>
    </row>
    <row r="3692">
      <c r="C3692">
        <f>IF('01_Вводные'!$B$234="Да",IF('19_Расчет_аналитики'!C3374&gt;='01_Вводные'!$B$126,IF('01_Вводные'!$B$129="ИП",'01_Вводные'!$B$127+'19_Расчет_аналитики'!C3385*'01_Вводные'!$B$128,('01_Вводные'!$B$127/'01_Вводные'!$B$132+'19_Расчет_аналитики'!C3385*'01_Вводные'!$B$128)*(1+'01_Вводные'!$B$131)),0),0)</f>
        <v/>
      </c>
      <c r="D3692">
        <f>IF('01_Вводные'!$B$234="Да",IF('19_Расчет_аналитики'!D3374&gt;='01_Вводные'!$B$126,IF('01_Вводные'!$B$129="ИП",'01_Вводные'!$B$127+'19_Расчет_аналитики'!D3385*'01_Вводные'!$B$128,('01_Вводные'!$B$127/'01_Вводные'!$B$132+'19_Расчет_аналитики'!D3385*'01_Вводные'!$B$128)*(1+'01_Вводные'!$B$131)),0),0)</f>
        <v/>
      </c>
      <c r="E3692">
        <f>IF('01_Вводные'!$B$234="Да",IF('19_Расчет_аналитики'!E3374&gt;='01_Вводные'!$B$126,IF('01_Вводные'!$B$129="ИП",'01_Вводные'!$B$127+'19_Расчет_аналитики'!E3385*'01_Вводные'!$B$128,('01_Вводные'!$B$127/'01_Вводные'!$B$132+'19_Расчет_аналитики'!E3385*'01_Вводные'!$B$128)*(1+'01_Вводные'!$B$131)),0),0)</f>
        <v/>
      </c>
      <c r="F3692">
        <f>IF('01_Вводные'!$B$234="Да",IF('19_Расчет_аналитики'!F3374&gt;='01_Вводные'!$B$126,IF('01_Вводные'!$B$129="ИП",'01_Вводные'!$B$127+'19_Расчет_аналитики'!F3385*'01_Вводные'!$B$128,('01_Вводные'!$B$127/'01_Вводные'!$B$132+'19_Расчет_аналитики'!F3385*'01_Вводные'!$B$128)*(1+'01_Вводные'!$B$131)),0),0)</f>
        <v/>
      </c>
      <c r="G3692">
        <f>IF('01_Вводные'!$B$234="Да",IF('19_Расчет_аналитики'!G3374&gt;='01_Вводные'!$B$126,IF('01_Вводные'!$B$129="ИП",'01_Вводные'!$B$127+'19_Расчет_аналитики'!G3385*'01_Вводные'!$B$128,('01_Вводные'!$B$127/'01_Вводные'!$B$132+'19_Расчет_аналитики'!G3385*'01_Вводные'!$B$128)*(1+'01_Вводные'!$B$131)),0),0)</f>
        <v/>
      </c>
      <c r="H3692">
        <f>IF('01_Вводные'!$B$234="Да",IF('19_Расчет_аналитики'!H3374&gt;='01_Вводные'!$B$126,IF('01_Вводные'!$B$129="ИП",'01_Вводные'!$B$127+'19_Расчет_аналитики'!H3385*'01_Вводные'!$B$128,('01_Вводные'!$B$127/'01_Вводные'!$B$132+'19_Расчет_аналитики'!H3385*'01_Вводные'!$B$128)*(1+'01_Вводные'!$B$131)),0),0)</f>
        <v/>
      </c>
      <c r="I3692">
        <f>IF('01_Вводные'!$B$234="Да",IF('19_Расчет_аналитики'!I3374&gt;='01_Вводные'!$B$126,IF('01_Вводные'!$B$129="ИП",'01_Вводные'!$B$127+'19_Расчет_аналитики'!I3385*'01_Вводные'!$B$128,('01_Вводные'!$B$127/'01_Вводные'!$B$132+'19_Расчет_аналитики'!I3385*'01_Вводные'!$B$128)*(1+'01_Вводные'!$B$131)),0),0)</f>
        <v/>
      </c>
      <c r="J3692">
        <f>IF('01_Вводные'!$B$234="Да",IF('19_Расчет_аналитики'!J3374&gt;='01_Вводные'!$B$126,IF('01_Вводные'!$B$129="ИП",'01_Вводные'!$B$127+'19_Расчет_аналитики'!J3385*'01_Вводные'!$B$128,('01_Вводные'!$B$127/'01_Вводные'!$B$132+'19_Расчет_аналитики'!J3385*'01_Вводные'!$B$128)*(1+'01_Вводные'!$B$131)),0),0)</f>
        <v/>
      </c>
      <c r="K3692">
        <f>IF('01_Вводные'!$B$234="Да",IF('19_Расчет_аналитики'!K3374&gt;='01_Вводные'!$B$126,IF('01_Вводные'!$B$129="ИП",'01_Вводные'!$B$127+'19_Расчет_аналитики'!K3385*'01_Вводные'!$B$128,('01_Вводные'!$B$127/'01_Вводные'!$B$132+'19_Расчет_аналитики'!K3385*'01_Вводные'!$B$128)*(1+'01_Вводные'!$B$131)),0),0)</f>
        <v/>
      </c>
      <c r="L3692">
        <f>IF('01_Вводные'!$B$234="Да",IF('19_Расчет_аналитики'!L3374&gt;='01_Вводные'!$B$126,IF('01_Вводные'!$B$129="ИП",'01_Вводные'!$B$127+'19_Расчет_аналитики'!L3385*'01_Вводные'!$B$128,('01_Вводные'!$B$127/'01_Вводные'!$B$132+'19_Расчет_аналитики'!L3385*'01_Вводные'!$B$128)*(1+'01_Вводные'!$B$131)),0),0)</f>
        <v/>
      </c>
      <c r="M3692">
        <f>IF('01_Вводные'!$B$234="Да",IF('19_Расчет_аналитики'!M3374&gt;='01_Вводные'!$B$126,IF('01_Вводные'!$B$129="ИП",'01_Вводные'!$B$127+'19_Расчет_аналитики'!M3385*'01_Вводные'!$B$128,('01_Вводные'!$B$127/'01_Вводные'!$B$132+'19_Расчет_аналитики'!M3385*'01_Вводные'!$B$128)*(1+'01_Вводные'!$B$131)),0),0)</f>
        <v/>
      </c>
      <c r="N3692">
        <f>IF('01_Вводные'!$B$234="Да",IF('19_Расчет_аналитики'!N3374&gt;='01_Вводные'!$B$126,IF('01_Вводные'!$B$129="ИП",'01_Вводные'!$B$127+'19_Расчет_аналитики'!N3385*'01_Вводные'!$B$128,('01_Вводные'!$B$127/'01_Вводные'!$B$132+'19_Расчет_аналитики'!N3385*'01_Вводные'!$B$128)*(1+'01_Вводные'!$B$131)),0),0)</f>
        <v/>
      </c>
      <c r="O3692">
        <f>IF('01_Вводные'!$B$234="Да",IF('19_Расчет_аналитики'!O3374&gt;='01_Вводные'!$B$126,IF('01_Вводные'!$B$129="ИП",'01_Вводные'!$B$127+'19_Расчет_аналитики'!O3385*'01_Вводные'!$B$128,('01_Вводные'!$B$127/'01_Вводные'!$B$132+'19_Расчет_аналитики'!O3385*'01_Вводные'!$B$128)*(1+'01_Вводные'!$B$131)),0),0)</f>
        <v/>
      </c>
      <c r="P3692">
        <f>IF('01_Вводные'!$B$234="Да",IF('19_Расчет_аналитики'!P3374&gt;='01_Вводные'!$B$126,IF('01_Вводные'!$B$129="ИП",'01_Вводные'!$B$127+'19_Расчет_аналитики'!P3385*'01_Вводные'!$B$128,('01_Вводные'!$B$127/'01_Вводные'!$B$132+'19_Расчет_аналитики'!P3385*'01_Вводные'!$B$128)*(1+'01_Вводные'!$B$131)),0),0)</f>
        <v/>
      </c>
      <c r="Q3692">
        <f>IF('01_Вводные'!$B$234="Да",IF('19_Расчет_аналитики'!Q3374&gt;='01_Вводные'!$B$126,IF('01_Вводные'!$B$129="ИП",'01_Вводные'!$B$127+'19_Расчет_аналитики'!Q3385*'01_Вводные'!$B$128,('01_Вводные'!$B$127/'01_Вводные'!$B$132+'19_Расчет_аналитики'!Q3385*'01_Вводные'!$B$128)*(1+'01_Вводные'!$B$131)),0),0)</f>
        <v/>
      </c>
      <c r="R3692">
        <f>IF('01_Вводные'!$B$234="Да",IF('19_Расчет_аналитики'!R3374&gt;='01_Вводные'!$B$126,IF('01_Вводные'!$B$129="ИП",'01_Вводные'!$B$127+'19_Расчет_аналитики'!R3385*'01_Вводные'!$B$128,('01_Вводные'!$B$127/'01_Вводные'!$B$132+'19_Расчет_аналитики'!R3385*'01_Вводные'!$B$128)*(1+'01_Вводные'!$B$131)),0),0)</f>
        <v/>
      </c>
      <c r="S3692">
        <f>IF('01_Вводные'!$B$234="Да",IF('19_Расчет_аналитики'!S3374&gt;='01_Вводные'!$B$126,IF('01_Вводные'!$B$129="ИП",'01_Вводные'!$B$127+'19_Расчет_аналитики'!S3385*'01_Вводные'!$B$128,('01_Вводные'!$B$127/'01_Вводные'!$B$132+'19_Расчет_аналитики'!S3385*'01_Вводные'!$B$128)*(1+'01_Вводные'!$B$131)),0),0)</f>
        <v/>
      </c>
      <c r="T3692">
        <f>IF('01_Вводные'!$B$234="Да",IF('19_Расчет_аналитики'!T3374&gt;='01_Вводные'!$B$126,IF('01_Вводные'!$B$129="ИП",'01_Вводные'!$B$127+'19_Расчет_аналитики'!T3385*'01_Вводные'!$B$128,('01_Вводные'!$B$127/'01_Вводные'!$B$132+'19_Расчет_аналитики'!T3385*'01_Вводные'!$B$128)*(1+'01_Вводные'!$B$131)),0),0)</f>
        <v/>
      </c>
      <c r="U3692">
        <f>IF('01_Вводные'!$B$234="Да",IF('19_Расчет_аналитики'!U3374&gt;='01_Вводные'!$B$126,IF('01_Вводные'!$B$129="ИП",'01_Вводные'!$B$127+'19_Расчет_аналитики'!U3385*'01_Вводные'!$B$128,('01_Вводные'!$B$127/'01_Вводные'!$B$132+'19_Расчет_аналитики'!U3385*'01_Вводные'!$B$128)*(1+'01_Вводные'!$B$131)),0),0)</f>
        <v/>
      </c>
      <c r="V3692">
        <f>IF('01_Вводные'!$B$234="Да",IF('19_Расчет_аналитики'!V3374&gt;='01_Вводные'!$B$126,IF('01_Вводные'!$B$129="ИП",'01_Вводные'!$B$127+'19_Расчет_аналитики'!V3385*'01_Вводные'!$B$128,('01_Вводные'!$B$127/'01_Вводные'!$B$132+'19_Расчет_аналитики'!V3385*'01_Вводные'!$B$128)*(1+'01_Вводные'!$B$131)),0),0)</f>
        <v/>
      </c>
      <c r="W3692">
        <f>IF('01_Вводные'!$B$234="Да",IF('19_Расчет_аналитики'!W3374&gt;='01_Вводные'!$B$126,IF('01_Вводные'!$B$129="ИП",'01_Вводные'!$B$127+'19_Расчет_аналитики'!W3385*'01_Вводные'!$B$128,('01_Вводные'!$B$127/'01_Вводные'!$B$132+'19_Расчет_аналитики'!W3385*'01_Вводные'!$B$128)*(1+'01_Вводные'!$B$131)),0),0)</f>
        <v/>
      </c>
      <c r="X3692">
        <f>IF('01_Вводные'!$B$234="Да",IF('19_Расчет_аналитики'!X3374&gt;='01_Вводные'!$B$126,IF('01_Вводные'!$B$129="ИП",'01_Вводные'!$B$127+'19_Расчет_аналитики'!X3385*'01_Вводные'!$B$128,('01_Вводные'!$B$127/'01_Вводные'!$B$132+'19_Расчет_аналитики'!X3385*'01_Вводные'!$B$128)*(1+'01_Вводные'!$B$131)),0),0)</f>
        <v/>
      </c>
      <c r="Y3692">
        <f>IF('01_Вводные'!$B$234="Да",IF('19_Расчет_аналитики'!Y3374&gt;='01_Вводные'!$B$126,IF('01_Вводные'!$B$129="ИП",'01_Вводные'!$B$127+'19_Расчет_аналитики'!Y3385*'01_Вводные'!$B$128,('01_Вводные'!$B$127/'01_Вводные'!$B$132+'19_Расчет_аналитики'!Y3385*'01_Вводные'!$B$128)*(1+'01_Вводные'!$B$131)),0),0)</f>
        <v/>
      </c>
      <c r="Z3692">
        <f>IF('01_Вводные'!$B$234="Да",IF('19_Расчет_аналитики'!Z3374&gt;='01_Вводные'!$B$126,IF('01_Вводные'!$B$129="ИП",'01_Вводные'!$B$127+'19_Расчет_аналитики'!Z3385*'01_Вводные'!$B$128,('01_Вводные'!$B$127/'01_Вводные'!$B$132+'19_Расчет_аналитики'!Z3385*'01_Вводные'!$B$128)*(1+'01_Вводные'!$B$131)),0),0)</f>
        <v/>
      </c>
      <c r="AA3692">
        <f>IF('01_Вводные'!$B$234="Да",IF('19_Расчет_аналитики'!AA3374&gt;='01_Вводные'!$B$126,IF('01_Вводные'!$B$129="ИП",'01_Вводные'!$B$127+'19_Расчет_аналитики'!AA3385*'01_Вводные'!$B$128,('01_Вводные'!$B$127/'01_Вводные'!$B$132+'19_Расчет_аналитики'!AA3385*'01_Вводные'!$B$128)*(1+'01_Вводные'!$B$131)),0),0)</f>
        <v/>
      </c>
      <c r="AB3692">
        <f>IF('01_Вводные'!$B$234="Да",IF('19_Расчет_аналитики'!AB3374&gt;='01_Вводные'!$B$126,IF('01_Вводные'!$B$129="ИП",'01_Вводные'!$B$127+'19_Расчет_аналитики'!AB3385*'01_Вводные'!$B$128,('01_Вводные'!$B$127/'01_Вводные'!$B$132+'19_Расчет_аналитики'!AB3385*'01_Вводные'!$B$128)*(1+'01_Вводные'!$B$131)),0),0)</f>
        <v/>
      </c>
      <c r="AC3692">
        <f>IF('01_Вводные'!$B$234="Да",IF('19_Расчет_аналитики'!AC3374&gt;='01_Вводные'!$B$126,IF('01_Вводные'!$B$129="ИП",'01_Вводные'!$B$127+'19_Расчет_аналитики'!AC3385*'01_Вводные'!$B$128,('01_Вводные'!$B$127/'01_Вводные'!$B$132+'19_Расчет_аналитики'!AC3385*'01_Вводные'!$B$128)*(1+'01_Вводные'!$B$131)),0),0)</f>
        <v/>
      </c>
      <c r="AD3692">
        <f>IF('01_Вводные'!$B$234="Да",IF('19_Расчет_аналитики'!AD3374&gt;='01_Вводные'!$B$126,IF('01_Вводные'!$B$129="ИП",'01_Вводные'!$B$127+'19_Расчет_аналитики'!AD3385*'01_Вводные'!$B$128,('01_Вводные'!$B$127/'01_Вводные'!$B$132+'19_Расчет_аналитики'!AD3385*'01_Вводные'!$B$128)*(1+'01_Вводные'!$B$131)),0),0)</f>
        <v/>
      </c>
      <c r="AE3692">
        <f>IF('01_Вводные'!$B$234="Да",IF('19_Расчет_аналитики'!AE3374&gt;='01_Вводные'!$B$126,IF('01_Вводные'!$B$129="ИП",'01_Вводные'!$B$127+'19_Расчет_аналитики'!AE3385*'01_Вводные'!$B$128,('01_Вводные'!$B$127/'01_Вводные'!$B$132+'19_Расчет_аналитики'!AE3385*'01_Вводные'!$B$128)*(1+'01_Вводные'!$B$131)),0),0)</f>
        <v/>
      </c>
      <c r="AF3692">
        <f>IF('01_Вводные'!$B$234="Да",IF('19_Расчет_аналитики'!AF3374&gt;='01_Вводные'!$B$126,IF('01_Вводные'!$B$129="ИП",'01_Вводные'!$B$127+'19_Расчет_аналитики'!AF3385*'01_Вводные'!$B$128,('01_Вводные'!$B$127/'01_Вводные'!$B$132+'19_Расчет_аналитики'!AF3385*'01_Вводные'!$B$128)*(1+'01_Вводные'!$B$131)),0),0)</f>
        <v/>
      </c>
      <c r="AG3692">
        <f>IF('01_Вводные'!$B$234="Да",IF('19_Расчет_аналитики'!AG3374&gt;='01_Вводные'!$B$126,IF('01_Вводные'!$B$129="ИП",'01_Вводные'!$B$127+'19_Расчет_аналитики'!AG3385*'01_Вводные'!$B$128,('01_Вводные'!$B$127/'01_Вводные'!$B$132+'19_Расчет_аналитики'!AG3385*'01_Вводные'!$B$128)*(1+'01_Вводные'!$B$131)),0),0)</f>
        <v/>
      </c>
      <c r="AH3692">
        <f>IF('01_Вводные'!$B$234="Да",IF('19_Расчет_аналитики'!AH3374&gt;='01_Вводные'!$B$126,IF('01_Вводные'!$B$129="ИП",'01_Вводные'!$B$127+'19_Расчет_аналитики'!AH3385*'01_Вводные'!$B$128,('01_Вводные'!$B$127/'01_Вводные'!$B$132+'19_Расчет_аналитики'!AH3385*'01_Вводные'!$B$128)*(1+'01_Вводные'!$B$131)),0),0)</f>
        <v/>
      </c>
      <c r="AI3692">
        <f>IF('01_Вводные'!$B$234="Да",IF('19_Расчет_аналитики'!AI3374&gt;='01_Вводные'!$B$126,IF('01_Вводные'!$B$129="ИП",'01_Вводные'!$B$127+'19_Расчет_аналитики'!AI3385*'01_Вводные'!$B$128,('01_Вводные'!$B$127/'01_Вводные'!$B$132+'19_Расчет_аналитики'!AI3385*'01_Вводные'!$B$128)*(1+'01_Вводные'!$B$131)),0),0)</f>
        <v/>
      </c>
      <c r="AJ3692">
        <f>IF('01_Вводные'!$B$234="Да",IF('19_Расчет_аналитики'!AJ3374&gt;='01_Вводные'!$B$126,IF('01_Вводные'!$B$129="ИП",'01_Вводные'!$B$127+'19_Расчет_аналитики'!AJ3385*'01_Вводные'!$B$128,('01_Вводные'!$B$127/'01_Вводные'!$B$132+'19_Расчет_аналитики'!AJ3385*'01_Вводные'!$B$128)*(1+'01_Вводные'!$B$131)),0),0)</f>
        <v/>
      </c>
      <c r="AK3692">
        <f>IF('01_Вводные'!$B$234="Да",IF('19_Расчет_аналитики'!AK3374&gt;='01_Вводные'!$B$126,IF('01_Вводные'!$B$129="ИП",'01_Вводные'!$B$127+'19_Расчет_аналитики'!AK3385*'01_Вводные'!$B$128,('01_Вводные'!$B$127/'01_Вводные'!$B$132+'19_Расчет_аналитики'!AK3385*'01_Вводные'!$B$128)*(1+'01_Вводные'!$B$131)),0),0)</f>
        <v/>
      </c>
      <c r="AL3692">
        <f>IF('01_Вводные'!$B$234="Да",IF('19_Расчет_аналитики'!AL3374&gt;='01_Вводные'!$B$126,IF('01_Вводные'!$B$129="ИП",'01_Вводные'!$B$127+'19_Расчет_аналитики'!AL3385*'01_Вводные'!$B$128,('01_Вводные'!$B$127/'01_Вводные'!$B$132+'19_Расчет_аналитики'!AL3385*'01_Вводные'!$B$128)*(1+'01_Вводные'!$B$131)),0),0)</f>
        <v/>
      </c>
      <c r="AM3692">
        <f>IF('01_Вводные'!$B$234="Да",IF('19_Расчет_аналитики'!AM3374&gt;='01_Вводные'!$B$126,IF('01_Вводные'!$B$129="ИП",'01_Вводные'!$B$127+'19_Расчет_аналитики'!AM3385*'01_Вводные'!$B$128,('01_Вводные'!$B$127/'01_Вводные'!$B$132+'19_Расчет_аналитики'!AM3385*'01_Вводные'!$B$128)*(1+'01_Вводные'!$B$131)),0),0)</f>
        <v/>
      </c>
      <c r="AN3692">
        <f>IF('01_Вводные'!$B$234="Да",IF('19_Расчет_аналитики'!AN3374&gt;='01_Вводные'!$B$126,IF('01_Вводные'!$B$129="ИП",'01_Вводные'!$B$127+'19_Расчет_аналитики'!AN3385*'01_Вводные'!$B$128,('01_Вводные'!$B$127/'01_Вводные'!$B$132+'19_Расчет_аналитики'!AN3385*'01_Вводные'!$B$128)*(1+'01_Вводные'!$B$131)),0),0)</f>
        <v/>
      </c>
      <c r="AO3692">
        <f>IF('01_Вводные'!$B$234="Да",IF('19_Расчет_аналитики'!AO3374&gt;='01_Вводные'!$B$126,IF('01_Вводные'!$B$129="ИП",'01_Вводные'!$B$127+'19_Расчет_аналитики'!AO3385*'01_Вводные'!$B$128,('01_Вводные'!$B$127/'01_Вводные'!$B$132+'19_Расчет_аналитики'!AO3385*'01_Вводные'!$B$128)*(1+'01_Вводные'!$B$131)),0),0)</f>
        <v/>
      </c>
      <c r="AP3692">
        <f>IF('01_Вводные'!$B$234="Да",IF('19_Расчет_аналитики'!AP3374&gt;='01_Вводные'!$B$126,IF('01_Вводные'!$B$129="ИП",'01_Вводные'!$B$127+'19_Расчет_аналитики'!AP3385*'01_Вводные'!$B$128,('01_Вводные'!$B$127/'01_Вводные'!$B$132+'19_Расчет_аналитики'!AP3385*'01_Вводные'!$B$128)*(1+'01_Вводные'!$B$131)),0),0)</f>
        <v/>
      </c>
      <c r="AQ3692">
        <f>IF('01_Вводные'!$B$234="Да",IF('19_Расчет_аналитики'!AQ3374&gt;='01_Вводные'!$B$126,IF('01_Вводные'!$B$129="ИП",'01_Вводные'!$B$127+'19_Расчет_аналитики'!AQ3385*'01_Вводные'!$B$128,('01_Вводные'!$B$127/'01_Вводные'!$B$132+'19_Расчет_аналитики'!AQ3385*'01_Вводные'!$B$128)*(1+'01_Вводные'!$B$131)),0),0)</f>
        <v/>
      </c>
      <c r="AR3692">
        <f>IF('01_Вводные'!$B$234="Да",IF('19_Расчет_аналитики'!AR3374&gt;='01_Вводные'!$B$126,IF('01_Вводные'!$B$129="ИП",'01_Вводные'!$B$127+'19_Расчет_аналитики'!AR3385*'01_Вводные'!$B$128,('01_Вводные'!$B$127/'01_Вводные'!$B$132+'19_Расчет_аналитики'!AR3385*'01_Вводные'!$B$128)*(1+'01_Вводные'!$B$131)),0),0)</f>
        <v/>
      </c>
      <c r="AS3692">
        <f>IF('01_Вводные'!$B$234="Да",IF('19_Расчет_аналитики'!AS3374&gt;='01_Вводные'!$B$126,IF('01_Вводные'!$B$129="ИП",'01_Вводные'!$B$127+'19_Расчет_аналитики'!AS3385*'01_Вводные'!$B$128,('01_Вводные'!$B$127/'01_Вводные'!$B$132+'19_Расчет_аналитики'!AS3385*'01_Вводные'!$B$128)*(1+'01_Вводные'!$B$131)),0),0)</f>
        <v/>
      </c>
      <c r="AT3692">
        <f>IF('01_Вводные'!$B$234="Да",IF('19_Расчет_аналитики'!AT3374&gt;='01_Вводные'!$B$126,IF('01_Вводные'!$B$129="ИП",'01_Вводные'!$B$127+'19_Расчет_аналитики'!AT3385*'01_Вводные'!$B$128,('01_Вводные'!$B$127/'01_Вводные'!$B$132+'19_Расчет_аналитики'!AT3385*'01_Вводные'!$B$128)*(1+'01_Вводные'!$B$131)),0),0)</f>
        <v/>
      </c>
      <c r="AU3692">
        <f>IF('01_Вводные'!$B$234="Да",IF('19_Расчет_аналитики'!AU3374&gt;='01_Вводные'!$B$126,IF('01_Вводные'!$B$129="ИП",'01_Вводные'!$B$127+'19_Расчет_аналитики'!AU3385*'01_Вводные'!$B$128,('01_Вводные'!$B$127/'01_Вводные'!$B$132+'19_Расчет_аналитики'!AU3385*'01_Вводные'!$B$128)*(1+'01_Вводные'!$B$131)),0),0)</f>
        <v/>
      </c>
      <c r="AV3692">
        <f>IF('01_Вводные'!$B$234="Да",IF('19_Расчет_аналитики'!AV3374&gt;='01_Вводные'!$B$126,IF('01_Вводные'!$B$129="ИП",'01_Вводные'!$B$127+'19_Расчет_аналитики'!AV3385*'01_Вводные'!$B$128,('01_Вводные'!$B$127/'01_Вводные'!$B$132+'19_Расчет_аналитики'!AV3385*'01_Вводные'!$B$128)*(1+'01_Вводные'!$B$131)),0),0)</f>
        <v/>
      </c>
      <c r="AW3692">
        <f>IF('01_Вводные'!$B$234="Да",IF('19_Расчет_аналитики'!AW3374&gt;='01_Вводные'!$B$126,IF('01_Вводные'!$B$129="ИП",'01_Вводные'!$B$127+'19_Расчет_аналитики'!AW3385*'01_Вводные'!$B$128,('01_Вводные'!$B$127/'01_Вводные'!$B$132+'19_Расчет_аналитики'!AW3385*'01_Вводные'!$B$128)*(1+'01_Вводные'!$B$131)),0),0)</f>
        <v/>
      </c>
      <c r="AX3692">
        <f>IF('01_Вводные'!$B$234="Да",IF('19_Расчет_аналитики'!AX3374&gt;='01_Вводные'!$B$126,IF('01_Вводные'!$B$129="ИП",'01_Вводные'!$B$127+'19_Расчет_аналитики'!AX3385*'01_Вводные'!$B$128,('01_Вводные'!$B$127/'01_Вводные'!$B$132+'19_Расчет_аналитики'!AX3385*'01_Вводные'!$B$128)*(1+'01_Вводные'!$B$131)),0),0)</f>
        <v/>
      </c>
      <c r="AY3692">
        <f>IF('01_Вводные'!$B$234="Да",IF('19_Расчет_аналитики'!AY3374&gt;='01_Вводные'!$B$126,IF('01_Вводные'!$B$129="ИП",'01_Вводные'!$B$127+'19_Расчет_аналитики'!AY3385*'01_Вводные'!$B$128,('01_Вводные'!$B$127/'01_Вводные'!$B$132+'19_Расчет_аналитики'!AY3385*'01_Вводные'!$B$128)*(1+'01_Вводные'!$B$131)),0),0)</f>
        <v/>
      </c>
      <c r="AZ3692">
        <f>IF('01_Вводные'!$B$234="Да",IF('19_Расчет_аналитики'!AZ3374&gt;='01_Вводные'!$B$126,IF('01_Вводные'!$B$129="ИП",'01_Вводные'!$B$127+'19_Расчет_аналитики'!AZ3385*'01_Вводные'!$B$128,('01_Вводные'!$B$127/'01_Вводные'!$B$132+'19_Расчет_аналитики'!AZ3385*'01_Вводные'!$B$128)*(1+'01_Вводные'!$B$131)),0),0)</f>
        <v/>
      </c>
      <c r="BA3692">
        <f>IF('01_Вводные'!$B$234="Да",IF('19_Расчет_аналитики'!BA3374&gt;='01_Вводные'!$B$126,IF('01_Вводные'!$B$129="ИП",'01_Вводные'!$B$127+'19_Расчет_аналитики'!BA3385*'01_Вводные'!$B$128,('01_Вводные'!$B$127/'01_Вводные'!$B$132+'19_Расчет_аналитики'!BA3385*'01_Вводные'!$B$128)*(1+'01_Вводные'!$B$131)),0),0)</f>
        <v/>
      </c>
      <c r="BB3692">
        <f>IF('01_Вводные'!$B$234="Да",IF('19_Расчет_аналитики'!BB3374&gt;='01_Вводные'!$B$126,IF('01_Вводные'!$B$129="ИП",'01_Вводные'!$B$127+'19_Расчет_аналитики'!BB3385*'01_Вводные'!$B$128,('01_Вводные'!$B$127/'01_Вводные'!$B$132+'19_Расчет_аналитики'!BB3385*'01_Вводные'!$B$128)*(1+'01_Вводные'!$B$131)),0),0)</f>
        <v/>
      </c>
      <c r="BC3692">
        <f>IF('01_Вводные'!$B$234="Да",IF('19_Расчет_аналитики'!BC3374&gt;='01_Вводные'!$B$126,IF('01_Вводные'!$B$129="ИП",'01_Вводные'!$B$127+'19_Расчет_аналитики'!BC3385*'01_Вводные'!$B$128,('01_Вводные'!$B$127/'01_Вводные'!$B$132+'19_Расчет_аналитики'!BC3385*'01_Вводные'!$B$128)*(1+'01_Вводные'!$B$131)),0),0)</f>
        <v/>
      </c>
      <c r="BD3692">
        <f>IF('01_Вводные'!$B$234="Да",IF('19_Расчет_аналитики'!BD3374&gt;='01_Вводные'!$B$126,IF('01_Вводные'!$B$129="ИП",'01_Вводные'!$B$127+'19_Расчет_аналитики'!BD3385*'01_Вводные'!$B$128,('01_Вводные'!$B$127/'01_Вводные'!$B$132+'19_Расчет_аналитики'!BD3385*'01_Вводные'!$B$128)*(1+'01_Вводные'!$B$131)),0),0)</f>
        <v/>
      </c>
      <c r="BE3692">
        <f>IF('01_Вводные'!$B$234="Да",IF('19_Расчет_аналитики'!BE3374&gt;='01_Вводные'!$B$126,IF('01_Вводные'!$B$129="ИП",'01_Вводные'!$B$127+'19_Расчет_аналитики'!BE3385*'01_Вводные'!$B$128,('01_Вводные'!$B$127/'01_Вводные'!$B$132+'19_Расчет_аналитики'!BE3385*'01_Вводные'!$B$128)*(1+'01_Вводные'!$B$131)),0),0)</f>
        <v/>
      </c>
      <c r="BF3692">
        <f>IF('01_Вводные'!$B$234="Да",IF('19_Расчет_аналитики'!BF3374&gt;='01_Вводные'!$B$126,IF('01_Вводные'!$B$129="ИП",'01_Вводные'!$B$127+'19_Расчет_аналитики'!BF3385*'01_Вводные'!$B$128,('01_Вводные'!$B$127/'01_Вводные'!$B$132+'19_Расчет_аналитики'!BF3385*'01_Вводные'!$B$128)*(1+'01_Вводные'!$B$131)),0),0)</f>
        <v/>
      </c>
      <c r="BG3692">
        <f>IF('01_Вводные'!$B$234="Да",IF('19_Расчет_аналитики'!BG3374&gt;='01_Вводные'!$B$126,IF('01_Вводные'!$B$129="ИП",'01_Вводные'!$B$127+'19_Расчет_аналитики'!BG3385*'01_Вводные'!$B$128,('01_Вводные'!$B$127/'01_Вводные'!$B$132+'19_Расчет_аналитики'!BG3385*'01_Вводные'!$B$128)*(1+'01_Вводные'!$B$131)),0),0)</f>
        <v/>
      </c>
      <c r="BH3692">
        <f>IF('01_Вводные'!$B$234="Да",IF('19_Расчет_аналитики'!BH3374&gt;='01_Вводные'!$B$126,IF('01_Вводные'!$B$129="ИП",'01_Вводные'!$B$127+'19_Расчет_аналитики'!BH3385*'01_Вводные'!$B$128,('01_Вводные'!$B$127/'01_Вводные'!$B$132+'19_Расчет_аналитики'!BH3385*'01_Вводные'!$B$128)*(1+'01_Вводные'!$B$131)),0),0)</f>
        <v/>
      </c>
      <c r="BI3692">
        <f>IF('01_Вводные'!$B$234="Да",IF('19_Расчет_аналитики'!BI3374&gt;='01_Вводные'!$B$126,IF('01_Вводные'!$B$129="ИП",'01_Вводные'!$B$127+'19_Расчет_аналитики'!BI3385*'01_Вводные'!$B$128,('01_Вводные'!$B$127/'01_Вводные'!$B$132+'19_Расчет_аналитики'!BI3385*'01_Вводные'!$B$128)*(1+'01_Вводные'!$B$131)),0),0)</f>
        <v/>
      </c>
    </row>
    <row r="3693"/>
    <row r="3694"/>
    <row r="3695"/>
    <row r="3696"/>
    <row r="3697">
      <c r="C3697">
        <f>IF('01_Вводные'!$B$234="Да",(MAX(0,'19_Расчет_аналитики'!C3683-'08_ФОТ'!B10)*'01_Вводные'!$B$119*'08_ФОТ'!C5+IF('08_ФОТ'!C$3='01_Вводные'!$B$247,'01_Вводные'!$B$133/'01_Вводные'!$B$132,0)+IF('08_ФОТ'!C$3='01_Вводные'!$B$248,'01_Вводные'!$B$134/'01_Вводные'!$B$132,0))*'01_Вводные'!$B$120,0)</f>
        <v/>
      </c>
      <c r="D3697">
        <f>IF('01_Вводные'!$B$234="Да",(MAX(0,'19_Расчет_аналитики'!D3683-'19_Расчет_аналитики'!C3683)*'01_Вводные'!$B$119*'08_ФОТ'!D5+IF('08_ФОТ'!D$3='01_Вводные'!$B$247,'01_Вводные'!$B$133/'01_Вводные'!$B$132,0)+IF('08_ФОТ'!D$3='01_Вводные'!$B$248,'01_Вводные'!$B$134/'01_Вводные'!$B$132,0))*'01_Вводные'!$B$120,0)</f>
        <v/>
      </c>
      <c r="E3697">
        <f>IF('01_Вводные'!$B$234="Да",(MAX(0,'19_Расчет_аналитики'!E3683-'19_Расчет_аналитики'!D3683)*'01_Вводные'!$B$119*'08_ФОТ'!E5+IF('08_ФОТ'!E$3='01_Вводные'!$B$247,'01_Вводные'!$B$133/'01_Вводные'!$B$132,0)+IF('08_ФОТ'!E$3='01_Вводные'!$B$248,'01_Вводные'!$B$134/'01_Вводные'!$B$132,0))*'01_Вводные'!$B$120,0)</f>
        <v/>
      </c>
      <c r="F3697">
        <f>IF('01_Вводные'!$B$234="Да",(MAX(0,'19_Расчет_аналитики'!F3683-'19_Расчет_аналитики'!E3683)*'01_Вводные'!$B$119*'08_ФОТ'!F5+IF('08_ФОТ'!F$3='01_Вводные'!$B$247,'01_Вводные'!$B$133/'01_Вводные'!$B$132,0)+IF('08_ФОТ'!F$3='01_Вводные'!$B$248,'01_Вводные'!$B$134/'01_Вводные'!$B$132,0))*'01_Вводные'!$B$120,0)</f>
        <v/>
      </c>
      <c r="G3697">
        <f>IF('01_Вводные'!$B$234="Да",(MAX(0,'19_Расчет_аналитики'!G3683-'19_Расчет_аналитики'!F3683)*'01_Вводные'!$B$119*'08_ФОТ'!G5+IF('08_ФОТ'!G$3='01_Вводные'!$B$247,'01_Вводные'!$B$133/'01_Вводные'!$B$132,0)+IF('08_ФОТ'!G$3='01_Вводные'!$B$248,'01_Вводные'!$B$134/'01_Вводные'!$B$132,0))*'01_Вводные'!$B$120,0)</f>
        <v/>
      </c>
      <c r="H3697">
        <f>IF('01_Вводные'!$B$234="Да",(MAX(0,'19_Расчет_аналитики'!H3683-'19_Расчет_аналитики'!G3683)*'01_Вводные'!$B$119*'08_ФОТ'!H5+IF('08_ФОТ'!H$3='01_Вводные'!$B$247,'01_Вводные'!$B$133/'01_Вводные'!$B$132,0)+IF('08_ФОТ'!H$3='01_Вводные'!$B$248,'01_Вводные'!$B$134/'01_Вводные'!$B$132,0))*'01_Вводные'!$B$120,0)</f>
        <v/>
      </c>
      <c r="I3697">
        <f>IF('01_Вводные'!$B$234="Да",(MAX(0,'19_Расчет_аналитики'!I3683-'19_Расчет_аналитики'!H3683)*'01_Вводные'!$B$119*'08_ФОТ'!I5+IF('08_ФОТ'!I$3='01_Вводные'!$B$247,'01_Вводные'!$B$133/'01_Вводные'!$B$132,0)+IF('08_ФОТ'!I$3='01_Вводные'!$B$248,'01_Вводные'!$B$134/'01_Вводные'!$B$132,0))*'01_Вводные'!$B$120,0)</f>
        <v/>
      </c>
      <c r="J3697">
        <f>IF('01_Вводные'!$B$234="Да",(MAX(0,'19_Расчет_аналитики'!J3683-'19_Расчет_аналитики'!I3683)*'01_Вводные'!$B$119*'08_ФОТ'!J5+IF('08_ФОТ'!J$3='01_Вводные'!$B$247,'01_Вводные'!$B$133/'01_Вводные'!$B$132,0)+IF('08_ФОТ'!J$3='01_Вводные'!$B$248,'01_Вводные'!$B$134/'01_Вводные'!$B$132,0))*'01_Вводные'!$B$120,0)</f>
        <v/>
      </c>
      <c r="K3697">
        <f>IF('01_Вводные'!$B$234="Да",(MAX(0,'19_Расчет_аналитики'!K3683-'19_Расчет_аналитики'!J3683)*'01_Вводные'!$B$119*'08_ФОТ'!K5+IF('08_ФОТ'!K$3='01_Вводные'!$B$247,'01_Вводные'!$B$133/'01_Вводные'!$B$132,0)+IF('08_ФОТ'!K$3='01_Вводные'!$B$248,'01_Вводные'!$B$134/'01_Вводные'!$B$132,0))*'01_Вводные'!$B$120,0)</f>
        <v/>
      </c>
      <c r="L3697">
        <f>IF('01_Вводные'!$B$234="Да",(MAX(0,'19_Расчет_аналитики'!L3683-'19_Расчет_аналитики'!K3683)*'01_Вводные'!$B$119*'08_ФОТ'!L5+IF('08_ФОТ'!L$3='01_Вводные'!$B$247,'01_Вводные'!$B$133/'01_Вводные'!$B$132,0)+IF('08_ФОТ'!L$3='01_Вводные'!$B$248,'01_Вводные'!$B$134/'01_Вводные'!$B$132,0))*'01_Вводные'!$B$120,0)</f>
        <v/>
      </c>
      <c r="M3697">
        <f>IF('01_Вводные'!$B$234="Да",(MAX(0,'19_Расчет_аналитики'!M3683-'19_Расчет_аналитики'!L3683)*'01_Вводные'!$B$119*'08_ФОТ'!M5+IF('08_ФОТ'!M$3='01_Вводные'!$B$247,'01_Вводные'!$B$133/'01_Вводные'!$B$132,0)+IF('08_ФОТ'!M$3='01_Вводные'!$B$248,'01_Вводные'!$B$134/'01_Вводные'!$B$132,0))*'01_Вводные'!$B$120,0)</f>
        <v/>
      </c>
      <c r="N3697">
        <f>IF('01_Вводные'!$B$234="Да",(MAX(0,'19_Расчет_аналитики'!N3683-'19_Расчет_аналитики'!M3683)*'01_Вводные'!$B$119*'08_ФОТ'!N5+IF('08_ФОТ'!N$3='01_Вводные'!$B$247,'01_Вводные'!$B$133/'01_Вводные'!$B$132,0)+IF('08_ФОТ'!N$3='01_Вводные'!$B$248,'01_Вводные'!$B$134/'01_Вводные'!$B$132,0))*'01_Вводные'!$B$120,0)</f>
        <v/>
      </c>
      <c r="O3697">
        <f>IF('01_Вводные'!$B$234="Да",(MAX(0,'19_Расчет_аналитики'!O3683-'19_Расчет_аналитики'!N3683)*'01_Вводные'!$B$119*'08_ФОТ'!O5+IF('08_ФОТ'!O$3='01_Вводные'!$B$247,'01_Вводные'!$B$133/'01_Вводные'!$B$132,0)+IF('08_ФОТ'!O$3='01_Вводные'!$B$248,'01_Вводные'!$B$134/'01_Вводные'!$B$132,0))*'01_Вводные'!$B$120,0)</f>
        <v/>
      </c>
      <c r="P3697">
        <f>IF('01_Вводные'!$B$234="Да",(MAX(0,'19_Расчет_аналитики'!P3683-'19_Расчет_аналитики'!O3683)*'01_Вводные'!$B$119*'08_ФОТ'!P5+IF('08_ФОТ'!P$3='01_Вводные'!$B$247,'01_Вводные'!$B$133/'01_Вводные'!$B$132,0)+IF('08_ФОТ'!P$3='01_Вводные'!$B$248,'01_Вводные'!$B$134/'01_Вводные'!$B$132,0))*'01_Вводные'!$B$120,0)</f>
        <v/>
      </c>
      <c r="Q3697">
        <f>IF('01_Вводные'!$B$234="Да",(MAX(0,'19_Расчет_аналитики'!Q3683-'19_Расчет_аналитики'!P3683)*'01_Вводные'!$B$119*'08_ФОТ'!Q5+IF('08_ФОТ'!Q$3='01_Вводные'!$B$247,'01_Вводные'!$B$133/'01_Вводные'!$B$132,0)+IF('08_ФОТ'!Q$3='01_Вводные'!$B$248,'01_Вводные'!$B$134/'01_Вводные'!$B$132,0))*'01_Вводные'!$B$120,0)</f>
        <v/>
      </c>
      <c r="R3697">
        <f>IF('01_Вводные'!$B$234="Да",(MAX(0,'19_Расчет_аналитики'!R3683-'19_Расчет_аналитики'!Q3683)*'01_Вводные'!$B$119*'08_ФОТ'!R5+IF('08_ФОТ'!R$3='01_Вводные'!$B$247,'01_Вводные'!$B$133/'01_Вводные'!$B$132,0)+IF('08_ФОТ'!R$3='01_Вводные'!$B$248,'01_Вводные'!$B$134/'01_Вводные'!$B$132,0))*'01_Вводные'!$B$120,0)</f>
        <v/>
      </c>
      <c r="S3697">
        <f>IF('01_Вводные'!$B$234="Да",(MAX(0,'19_Расчет_аналитики'!S3683-'19_Расчет_аналитики'!R3683)*'01_Вводные'!$B$119*'08_ФОТ'!S5+IF('08_ФОТ'!S$3='01_Вводные'!$B$247,'01_Вводные'!$B$133/'01_Вводные'!$B$132,0)+IF('08_ФОТ'!S$3='01_Вводные'!$B$248,'01_Вводные'!$B$134/'01_Вводные'!$B$132,0))*'01_Вводные'!$B$120,0)</f>
        <v/>
      </c>
      <c r="T3697">
        <f>IF('01_Вводные'!$B$234="Да",(MAX(0,'19_Расчет_аналитики'!T3683-'19_Расчет_аналитики'!S3683)*'01_Вводные'!$B$119*'08_ФОТ'!T5+IF('08_ФОТ'!T$3='01_Вводные'!$B$247,'01_Вводные'!$B$133/'01_Вводные'!$B$132,0)+IF('08_ФОТ'!T$3='01_Вводные'!$B$248,'01_Вводные'!$B$134/'01_Вводные'!$B$132,0))*'01_Вводные'!$B$120,0)</f>
        <v/>
      </c>
      <c r="U3697">
        <f>IF('01_Вводные'!$B$234="Да",(MAX(0,'19_Расчет_аналитики'!U3683-'19_Расчет_аналитики'!T3683)*'01_Вводные'!$B$119*'08_ФОТ'!U5+IF('08_ФОТ'!U$3='01_Вводные'!$B$247,'01_Вводные'!$B$133/'01_Вводные'!$B$132,0)+IF('08_ФОТ'!U$3='01_Вводные'!$B$248,'01_Вводные'!$B$134/'01_Вводные'!$B$132,0))*'01_Вводные'!$B$120,0)</f>
        <v/>
      </c>
      <c r="V3697">
        <f>IF('01_Вводные'!$B$234="Да",(MAX(0,'19_Расчет_аналитики'!V3683-'19_Расчет_аналитики'!U3683)*'01_Вводные'!$B$119*'08_ФОТ'!V5+IF('08_ФОТ'!V$3='01_Вводные'!$B$247,'01_Вводные'!$B$133/'01_Вводные'!$B$132,0)+IF('08_ФОТ'!V$3='01_Вводные'!$B$248,'01_Вводные'!$B$134/'01_Вводные'!$B$132,0))*'01_Вводные'!$B$120,0)</f>
        <v/>
      </c>
      <c r="W3697">
        <f>IF('01_Вводные'!$B$234="Да",(MAX(0,'19_Расчет_аналитики'!W3683-'19_Расчет_аналитики'!V3683)*'01_Вводные'!$B$119*'08_ФОТ'!W5+IF('08_ФОТ'!W$3='01_Вводные'!$B$247,'01_Вводные'!$B$133/'01_Вводные'!$B$132,0)+IF('08_ФОТ'!W$3='01_Вводные'!$B$248,'01_Вводные'!$B$134/'01_Вводные'!$B$132,0))*'01_Вводные'!$B$120,0)</f>
        <v/>
      </c>
      <c r="X3697">
        <f>IF('01_Вводные'!$B$234="Да",(MAX(0,'19_Расчет_аналитики'!X3683-'19_Расчет_аналитики'!W3683)*'01_Вводные'!$B$119*'08_ФОТ'!X5+IF('08_ФОТ'!X$3='01_Вводные'!$B$247,'01_Вводные'!$B$133/'01_Вводные'!$B$132,0)+IF('08_ФОТ'!X$3='01_Вводные'!$B$248,'01_Вводные'!$B$134/'01_Вводные'!$B$132,0))*'01_Вводные'!$B$120,0)</f>
        <v/>
      </c>
      <c r="Y3697">
        <f>IF('01_Вводные'!$B$234="Да",(MAX(0,'19_Расчет_аналитики'!Y3683-'19_Расчет_аналитики'!X3683)*'01_Вводные'!$B$119*'08_ФОТ'!Y5+IF('08_ФОТ'!Y$3='01_Вводные'!$B$247,'01_Вводные'!$B$133/'01_Вводные'!$B$132,0)+IF('08_ФОТ'!Y$3='01_Вводные'!$B$248,'01_Вводные'!$B$134/'01_Вводные'!$B$132,0))*'01_Вводные'!$B$120,0)</f>
        <v/>
      </c>
      <c r="Z3697">
        <f>IF('01_Вводные'!$B$234="Да",(MAX(0,'19_Расчет_аналитики'!Z3683-'19_Расчет_аналитики'!Y3683)*'01_Вводные'!$B$119*'08_ФОТ'!Z5+IF('08_ФОТ'!Z$3='01_Вводные'!$B$247,'01_Вводные'!$B$133/'01_Вводные'!$B$132,0)+IF('08_ФОТ'!Z$3='01_Вводные'!$B$248,'01_Вводные'!$B$134/'01_Вводные'!$B$132,0))*'01_Вводные'!$B$120,0)</f>
        <v/>
      </c>
      <c r="AA3697">
        <f>IF('01_Вводные'!$B$234="Да",(MAX(0,'19_Расчет_аналитики'!AA3683-'19_Расчет_аналитики'!Z3683)*'01_Вводные'!$B$119*'08_ФОТ'!AA5+IF('08_ФОТ'!AA$3='01_Вводные'!$B$247,'01_Вводные'!$B$133/'01_Вводные'!$B$132,0)+IF('08_ФОТ'!AA$3='01_Вводные'!$B$248,'01_Вводные'!$B$134/'01_Вводные'!$B$132,0))*'01_Вводные'!$B$120,0)</f>
        <v/>
      </c>
      <c r="AB3697">
        <f>IF('01_Вводные'!$B$234="Да",(MAX(0,'19_Расчет_аналитики'!AB3683-'19_Расчет_аналитики'!AA3683)*'01_Вводные'!$B$119*'08_ФОТ'!AB5+IF('08_ФОТ'!AB$3='01_Вводные'!$B$247,'01_Вводные'!$B$133/'01_Вводные'!$B$132,0)+IF('08_ФОТ'!AB$3='01_Вводные'!$B$248,'01_Вводные'!$B$134/'01_Вводные'!$B$132,0))*'01_Вводные'!$B$120,0)</f>
        <v/>
      </c>
      <c r="AC3697">
        <f>IF('01_Вводные'!$B$234="Да",(MAX(0,'19_Расчет_аналитики'!AC3683-'19_Расчет_аналитики'!AB3683)*'01_Вводные'!$B$119*'08_ФОТ'!AC5+IF('08_ФОТ'!AC$3='01_Вводные'!$B$247,'01_Вводные'!$B$133/'01_Вводные'!$B$132,0)+IF('08_ФОТ'!AC$3='01_Вводные'!$B$248,'01_Вводные'!$B$134/'01_Вводные'!$B$132,0))*'01_Вводные'!$B$120,0)</f>
        <v/>
      </c>
      <c r="AD3697">
        <f>IF('01_Вводные'!$B$234="Да",(MAX(0,'19_Расчет_аналитики'!AD3683-'19_Расчет_аналитики'!AC3683)*'01_Вводные'!$B$119*'08_ФОТ'!AD5+IF('08_ФОТ'!AD$3='01_Вводные'!$B$247,'01_Вводные'!$B$133/'01_Вводные'!$B$132,0)+IF('08_ФОТ'!AD$3='01_Вводные'!$B$248,'01_Вводные'!$B$134/'01_Вводные'!$B$132,0))*'01_Вводные'!$B$120,0)</f>
        <v/>
      </c>
      <c r="AE3697">
        <f>IF('01_Вводные'!$B$234="Да",(MAX(0,'19_Расчет_аналитики'!AE3683-'19_Расчет_аналитики'!AD3683)*'01_Вводные'!$B$119*'08_ФОТ'!AE5+IF('08_ФОТ'!AE$3='01_Вводные'!$B$247,'01_Вводные'!$B$133/'01_Вводные'!$B$132,0)+IF('08_ФОТ'!AE$3='01_Вводные'!$B$248,'01_Вводные'!$B$134/'01_Вводные'!$B$132,0))*'01_Вводные'!$B$120,0)</f>
        <v/>
      </c>
      <c r="AF3697">
        <f>IF('01_Вводные'!$B$234="Да",(MAX(0,'19_Расчет_аналитики'!AF3683-'19_Расчет_аналитики'!AE3683)*'01_Вводные'!$B$119*'08_ФОТ'!AF5+IF('08_ФОТ'!AF$3='01_Вводные'!$B$247,'01_Вводные'!$B$133/'01_Вводные'!$B$132,0)+IF('08_ФОТ'!AF$3='01_Вводные'!$B$248,'01_Вводные'!$B$134/'01_Вводные'!$B$132,0))*'01_Вводные'!$B$120,0)</f>
        <v/>
      </c>
      <c r="AG3697">
        <f>IF('01_Вводные'!$B$234="Да",(MAX(0,'19_Расчет_аналитики'!AG3683-'19_Расчет_аналитики'!AF3683)*'01_Вводные'!$B$119*'08_ФОТ'!AG5+IF('08_ФОТ'!AG$3='01_Вводные'!$B$247,'01_Вводные'!$B$133/'01_Вводные'!$B$132,0)+IF('08_ФОТ'!AG$3='01_Вводные'!$B$248,'01_Вводные'!$B$134/'01_Вводные'!$B$132,0))*'01_Вводные'!$B$120,0)</f>
        <v/>
      </c>
      <c r="AH3697">
        <f>IF('01_Вводные'!$B$234="Да",(MAX(0,'19_Расчет_аналитики'!AH3683-'19_Расчет_аналитики'!AG3683)*'01_Вводные'!$B$119*'08_ФОТ'!AH5+IF('08_ФОТ'!AH$3='01_Вводные'!$B$247,'01_Вводные'!$B$133/'01_Вводные'!$B$132,0)+IF('08_ФОТ'!AH$3='01_Вводные'!$B$248,'01_Вводные'!$B$134/'01_Вводные'!$B$132,0))*'01_Вводные'!$B$120,0)</f>
        <v/>
      </c>
      <c r="AI3697">
        <f>IF('01_Вводные'!$B$234="Да",(MAX(0,'19_Расчет_аналитики'!AI3683-'19_Расчет_аналитики'!AH3683)*'01_Вводные'!$B$119*'08_ФОТ'!AI5+IF('08_ФОТ'!AI$3='01_Вводные'!$B$247,'01_Вводные'!$B$133/'01_Вводные'!$B$132,0)+IF('08_ФОТ'!AI$3='01_Вводные'!$B$248,'01_Вводные'!$B$134/'01_Вводные'!$B$132,0))*'01_Вводные'!$B$120,0)</f>
        <v/>
      </c>
      <c r="AJ3697">
        <f>IF('01_Вводные'!$B$234="Да",(MAX(0,'19_Расчет_аналитики'!AJ3683-'19_Расчет_аналитики'!AI3683)*'01_Вводные'!$B$119*'08_ФОТ'!AJ5+IF('08_ФОТ'!AJ$3='01_Вводные'!$B$247,'01_Вводные'!$B$133/'01_Вводные'!$B$132,0)+IF('08_ФОТ'!AJ$3='01_Вводные'!$B$248,'01_Вводные'!$B$134/'01_Вводные'!$B$132,0))*'01_Вводные'!$B$120,0)</f>
        <v/>
      </c>
      <c r="AK3697">
        <f>IF('01_Вводные'!$B$234="Да",(MAX(0,'19_Расчет_аналитики'!AK3683-'19_Расчет_аналитики'!AJ3683)*'01_Вводные'!$B$119*'08_ФОТ'!AK5+IF('08_ФОТ'!AK$3='01_Вводные'!$B$247,'01_Вводные'!$B$133/'01_Вводные'!$B$132,0)+IF('08_ФОТ'!AK$3='01_Вводные'!$B$248,'01_Вводные'!$B$134/'01_Вводные'!$B$132,0))*'01_Вводные'!$B$120,0)</f>
        <v/>
      </c>
      <c r="AL3697">
        <f>IF('01_Вводные'!$B$234="Да",(MAX(0,'19_Расчет_аналитики'!AL3683-'19_Расчет_аналитики'!AK3683)*'01_Вводные'!$B$119*'08_ФОТ'!AL5+IF('08_ФОТ'!AL$3='01_Вводные'!$B$247,'01_Вводные'!$B$133/'01_Вводные'!$B$132,0)+IF('08_ФОТ'!AL$3='01_Вводные'!$B$248,'01_Вводные'!$B$134/'01_Вводные'!$B$132,0))*'01_Вводные'!$B$120,0)</f>
        <v/>
      </c>
      <c r="AM3697">
        <f>IF('01_Вводные'!$B$234="Да",(MAX(0,'19_Расчет_аналитики'!AM3683-'19_Расчет_аналитики'!AL3683)*'01_Вводные'!$B$119*'08_ФОТ'!AM5+IF('08_ФОТ'!AM$3='01_Вводные'!$B$247,'01_Вводные'!$B$133/'01_Вводные'!$B$132,0)+IF('08_ФОТ'!AM$3='01_Вводные'!$B$248,'01_Вводные'!$B$134/'01_Вводные'!$B$132,0))*'01_Вводные'!$B$120,0)</f>
        <v/>
      </c>
      <c r="AN3697">
        <f>IF('01_Вводные'!$B$234="Да",(MAX(0,'19_Расчет_аналитики'!AN3683-'19_Расчет_аналитики'!AM3683)*'01_Вводные'!$B$119*'08_ФОТ'!AN5+IF('08_ФОТ'!AN$3='01_Вводные'!$B$247,'01_Вводные'!$B$133/'01_Вводные'!$B$132,0)+IF('08_ФОТ'!AN$3='01_Вводные'!$B$248,'01_Вводные'!$B$134/'01_Вводные'!$B$132,0))*'01_Вводные'!$B$120,0)</f>
        <v/>
      </c>
      <c r="AO3697">
        <f>IF('01_Вводные'!$B$234="Да",(MAX(0,'19_Расчет_аналитики'!AO3683-'19_Расчет_аналитики'!AN3683)*'01_Вводные'!$B$119*'08_ФОТ'!AO5+IF('08_ФОТ'!AO$3='01_Вводные'!$B$247,'01_Вводные'!$B$133/'01_Вводные'!$B$132,0)+IF('08_ФОТ'!AO$3='01_Вводные'!$B$248,'01_Вводные'!$B$134/'01_Вводные'!$B$132,0))*'01_Вводные'!$B$120,0)</f>
        <v/>
      </c>
      <c r="AP3697">
        <f>IF('01_Вводные'!$B$234="Да",(MAX(0,'19_Расчет_аналитики'!AP3683-'19_Расчет_аналитики'!AO3683)*'01_Вводные'!$B$119*'08_ФОТ'!AP5+IF('08_ФОТ'!AP$3='01_Вводные'!$B$247,'01_Вводные'!$B$133/'01_Вводные'!$B$132,0)+IF('08_ФОТ'!AP$3='01_Вводные'!$B$248,'01_Вводные'!$B$134/'01_Вводные'!$B$132,0))*'01_Вводные'!$B$120,0)</f>
        <v/>
      </c>
      <c r="AQ3697">
        <f>IF('01_Вводные'!$B$234="Да",(MAX(0,'19_Расчет_аналитики'!AQ3683-'19_Расчет_аналитики'!AP3683)*'01_Вводные'!$B$119*'08_ФОТ'!AQ5+IF('08_ФОТ'!AQ$3='01_Вводные'!$B$247,'01_Вводные'!$B$133/'01_Вводные'!$B$132,0)+IF('08_ФОТ'!AQ$3='01_Вводные'!$B$248,'01_Вводные'!$B$134/'01_Вводные'!$B$132,0))*'01_Вводные'!$B$120,0)</f>
        <v/>
      </c>
      <c r="AR3697">
        <f>IF('01_Вводные'!$B$234="Да",(MAX(0,'19_Расчет_аналитики'!AR3683-'19_Расчет_аналитики'!AQ3683)*'01_Вводные'!$B$119*'08_ФОТ'!AR5+IF('08_ФОТ'!AR$3='01_Вводные'!$B$247,'01_Вводные'!$B$133/'01_Вводные'!$B$132,0)+IF('08_ФОТ'!AR$3='01_Вводные'!$B$248,'01_Вводные'!$B$134/'01_Вводные'!$B$132,0))*'01_Вводные'!$B$120,0)</f>
        <v/>
      </c>
      <c r="AS3697">
        <f>IF('01_Вводные'!$B$234="Да",(MAX(0,'19_Расчет_аналитики'!AS3683-'19_Расчет_аналитики'!AR3683)*'01_Вводные'!$B$119*'08_ФОТ'!AS5+IF('08_ФОТ'!AS$3='01_Вводные'!$B$247,'01_Вводные'!$B$133/'01_Вводные'!$B$132,0)+IF('08_ФОТ'!AS$3='01_Вводные'!$B$248,'01_Вводные'!$B$134/'01_Вводные'!$B$132,0))*'01_Вводные'!$B$120,0)</f>
        <v/>
      </c>
      <c r="AT3697">
        <f>IF('01_Вводные'!$B$234="Да",(MAX(0,'19_Расчет_аналитики'!AT3683-'19_Расчет_аналитики'!AS3683)*'01_Вводные'!$B$119*'08_ФОТ'!AT5+IF('08_ФОТ'!AT$3='01_Вводные'!$B$247,'01_Вводные'!$B$133/'01_Вводные'!$B$132,0)+IF('08_ФОТ'!AT$3='01_Вводные'!$B$248,'01_Вводные'!$B$134/'01_Вводные'!$B$132,0))*'01_Вводные'!$B$120,0)</f>
        <v/>
      </c>
      <c r="AU3697">
        <f>IF('01_Вводные'!$B$234="Да",(MAX(0,'19_Расчет_аналитики'!AU3683-'19_Расчет_аналитики'!AT3683)*'01_Вводные'!$B$119*'08_ФОТ'!AU5+IF('08_ФОТ'!AU$3='01_Вводные'!$B$247,'01_Вводные'!$B$133/'01_Вводные'!$B$132,0)+IF('08_ФОТ'!AU$3='01_Вводные'!$B$248,'01_Вводные'!$B$134/'01_Вводные'!$B$132,0))*'01_Вводные'!$B$120,0)</f>
        <v/>
      </c>
      <c r="AV3697">
        <f>IF('01_Вводные'!$B$234="Да",(MAX(0,'19_Расчет_аналитики'!AV3683-'19_Расчет_аналитики'!AU3683)*'01_Вводные'!$B$119*'08_ФОТ'!AV5+IF('08_ФОТ'!AV$3='01_Вводные'!$B$247,'01_Вводные'!$B$133/'01_Вводные'!$B$132,0)+IF('08_ФОТ'!AV$3='01_Вводные'!$B$248,'01_Вводные'!$B$134/'01_Вводные'!$B$132,0))*'01_Вводные'!$B$120,0)</f>
        <v/>
      </c>
      <c r="AW3697">
        <f>IF('01_Вводные'!$B$234="Да",(MAX(0,'19_Расчет_аналитики'!AW3683-'19_Расчет_аналитики'!AV3683)*'01_Вводные'!$B$119*'08_ФОТ'!AW5+IF('08_ФОТ'!AW$3='01_Вводные'!$B$247,'01_Вводные'!$B$133/'01_Вводные'!$B$132,0)+IF('08_ФОТ'!AW$3='01_Вводные'!$B$248,'01_Вводные'!$B$134/'01_Вводные'!$B$132,0))*'01_Вводные'!$B$120,0)</f>
        <v/>
      </c>
      <c r="AX3697">
        <f>IF('01_Вводные'!$B$234="Да",(MAX(0,'19_Расчет_аналитики'!AX3683-'19_Расчет_аналитики'!AW3683)*'01_Вводные'!$B$119*'08_ФОТ'!AX5+IF('08_ФОТ'!AX$3='01_Вводные'!$B$247,'01_Вводные'!$B$133/'01_Вводные'!$B$132,0)+IF('08_ФОТ'!AX$3='01_Вводные'!$B$248,'01_Вводные'!$B$134/'01_Вводные'!$B$132,0))*'01_Вводные'!$B$120,0)</f>
        <v/>
      </c>
      <c r="AY3697">
        <f>IF('01_Вводные'!$B$234="Да",(MAX(0,'19_Расчет_аналитики'!AY3683-'19_Расчет_аналитики'!AX3683)*'01_Вводные'!$B$119*'08_ФОТ'!AY5+IF('08_ФОТ'!AY$3='01_Вводные'!$B$247,'01_Вводные'!$B$133/'01_Вводные'!$B$132,0)+IF('08_ФОТ'!AY$3='01_Вводные'!$B$248,'01_Вводные'!$B$134/'01_Вводные'!$B$132,0))*'01_Вводные'!$B$120,0)</f>
        <v/>
      </c>
      <c r="AZ3697">
        <f>IF('01_Вводные'!$B$234="Да",(MAX(0,'19_Расчет_аналитики'!AZ3683-'19_Расчет_аналитики'!AY3683)*'01_Вводные'!$B$119*'08_ФОТ'!AZ5+IF('08_ФОТ'!AZ$3='01_Вводные'!$B$247,'01_Вводные'!$B$133/'01_Вводные'!$B$132,0)+IF('08_ФОТ'!AZ$3='01_Вводные'!$B$248,'01_Вводные'!$B$134/'01_Вводные'!$B$132,0))*'01_Вводные'!$B$120,0)</f>
        <v/>
      </c>
      <c r="BA3697">
        <f>IF('01_Вводные'!$B$234="Да",(MAX(0,'19_Расчет_аналитики'!BA3683-'19_Расчет_аналитики'!AZ3683)*'01_Вводные'!$B$119*'08_ФОТ'!BA5+IF('08_ФОТ'!BA$3='01_Вводные'!$B$247,'01_Вводные'!$B$133/'01_Вводные'!$B$132,0)+IF('08_ФОТ'!BA$3='01_Вводные'!$B$248,'01_Вводные'!$B$134/'01_Вводные'!$B$132,0))*'01_Вводные'!$B$120,0)</f>
        <v/>
      </c>
      <c r="BB3697">
        <f>IF('01_Вводные'!$B$234="Да",(MAX(0,'19_Расчет_аналитики'!BB3683-'19_Расчет_аналитики'!BA3683)*'01_Вводные'!$B$119*'08_ФОТ'!BB5+IF('08_ФОТ'!BB$3='01_Вводные'!$B$247,'01_Вводные'!$B$133/'01_Вводные'!$B$132,0)+IF('08_ФОТ'!BB$3='01_Вводные'!$B$248,'01_Вводные'!$B$134/'01_Вводные'!$B$132,0))*'01_Вводные'!$B$120,0)</f>
        <v/>
      </c>
      <c r="BC3697">
        <f>IF('01_Вводные'!$B$234="Да",(MAX(0,'19_Расчет_аналитики'!BC3683-'19_Расчет_аналитики'!BB3683)*'01_Вводные'!$B$119*'08_ФОТ'!BC5+IF('08_ФОТ'!BC$3='01_Вводные'!$B$247,'01_Вводные'!$B$133/'01_Вводные'!$B$132,0)+IF('08_ФОТ'!BC$3='01_Вводные'!$B$248,'01_Вводные'!$B$134/'01_Вводные'!$B$132,0))*'01_Вводные'!$B$120,0)</f>
        <v/>
      </c>
      <c r="BD3697">
        <f>IF('01_Вводные'!$B$234="Да",(MAX(0,'19_Расчет_аналитики'!BD3683-'19_Расчет_аналитики'!BC3683)*'01_Вводные'!$B$119*'08_ФОТ'!BD5+IF('08_ФОТ'!BD$3='01_Вводные'!$B$247,'01_Вводные'!$B$133/'01_Вводные'!$B$132,0)+IF('08_ФОТ'!BD$3='01_Вводные'!$B$248,'01_Вводные'!$B$134/'01_Вводные'!$B$132,0))*'01_Вводные'!$B$120,0)</f>
        <v/>
      </c>
      <c r="BE3697">
        <f>IF('01_Вводные'!$B$234="Да",(MAX(0,'19_Расчет_аналитики'!BE3683-'19_Расчет_аналитики'!BD3683)*'01_Вводные'!$B$119*'08_ФОТ'!BE5+IF('08_ФОТ'!BE$3='01_Вводные'!$B$247,'01_Вводные'!$B$133/'01_Вводные'!$B$132,0)+IF('08_ФОТ'!BE$3='01_Вводные'!$B$248,'01_Вводные'!$B$134/'01_Вводные'!$B$132,0))*'01_Вводные'!$B$120,0)</f>
        <v/>
      </c>
      <c r="BF3697">
        <f>IF('01_Вводные'!$B$234="Да",(MAX(0,'19_Расчет_аналитики'!BF3683-'19_Расчет_аналитики'!BE3683)*'01_Вводные'!$B$119*'08_ФОТ'!BF5+IF('08_ФОТ'!BF$3='01_Вводные'!$B$247,'01_Вводные'!$B$133/'01_Вводные'!$B$132,0)+IF('08_ФОТ'!BF$3='01_Вводные'!$B$248,'01_Вводные'!$B$134/'01_Вводные'!$B$132,0))*'01_Вводные'!$B$120,0)</f>
        <v/>
      </c>
      <c r="BG3697">
        <f>IF('01_Вводные'!$B$234="Да",(MAX(0,'19_Расчет_аналитики'!BG3683-'19_Расчет_аналитики'!BF3683)*'01_Вводные'!$B$119*'08_ФОТ'!BG5+IF('08_ФОТ'!BG$3='01_Вводные'!$B$247,'01_Вводные'!$B$133/'01_Вводные'!$B$132,0)+IF('08_ФОТ'!BG$3='01_Вводные'!$B$248,'01_Вводные'!$B$134/'01_Вводные'!$B$132,0))*'01_Вводные'!$B$120,0)</f>
        <v/>
      </c>
      <c r="BH3697">
        <f>IF('01_Вводные'!$B$234="Да",(MAX(0,'19_Расчет_аналитики'!BH3683-'19_Расчет_аналитики'!BG3683)*'01_Вводные'!$B$119*'08_ФОТ'!BH5+IF('08_ФОТ'!BH$3='01_Вводные'!$B$247,'01_Вводные'!$B$133/'01_Вводные'!$B$132,0)+IF('08_ФОТ'!BH$3='01_Вводные'!$B$248,'01_Вводные'!$B$134/'01_Вводные'!$B$132,0))*'01_Вводные'!$B$120,0)</f>
        <v/>
      </c>
      <c r="BI3697">
        <f>IF('01_Вводные'!$B$234="Да",(MAX(0,'19_Расчет_аналитики'!BI3683-'19_Расчет_аналитики'!BH3683)*'01_Вводные'!$B$119*'08_ФОТ'!BI5+IF('08_ФОТ'!BI$3='01_Вводные'!$B$247,'01_Вводные'!$B$133/'01_Вводные'!$B$132,0)+IF('08_ФОТ'!BI$3='01_Вводные'!$B$248,'01_Вводные'!$B$134/'01_Вводные'!$B$132,0))*'01_Вводные'!$B$120,0)</f>
        <v/>
      </c>
    </row>
    <row r="3698">
      <c r="C3698">
        <f>'08_ФОТ'!C25</f>
        <v/>
      </c>
      <c r="D3698">
        <f>'08_ФОТ'!D25</f>
        <v/>
      </c>
      <c r="E3698">
        <f>'08_ФОТ'!E25</f>
        <v/>
      </c>
      <c r="F3698">
        <f>'08_ФОТ'!F25</f>
        <v/>
      </c>
      <c r="G3698">
        <f>'08_ФОТ'!G25</f>
        <v/>
      </c>
      <c r="H3698">
        <f>'08_ФОТ'!H25</f>
        <v/>
      </c>
      <c r="I3698">
        <f>'08_ФОТ'!I25</f>
        <v/>
      </c>
      <c r="J3698">
        <f>'08_ФОТ'!J25</f>
        <v/>
      </c>
      <c r="K3698">
        <f>'08_ФОТ'!K25</f>
        <v/>
      </c>
      <c r="L3698">
        <f>'08_ФОТ'!L25</f>
        <v/>
      </c>
      <c r="M3698">
        <f>'08_ФОТ'!M25</f>
        <v/>
      </c>
      <c r="N3698">
        <f>'08_ФОТ'!N25</f>
        <v/>
      </c>
      <c r="O3698">
        <f>'08_ФОТ'!O25</f>
        <v/>
      </c>
      <c r="P3698">
        <f>'08_ФОТ'!P25</f>
        <v/>
      </c>
      <c r="Q3698">
        <f>'08_ФОТ'!Q25</f>
        <v/>
      </c>
      <c r="R3698">
        <f>'08_ФОТ'!R25</f>
        <v/>
      </c>
      <c r="S3698">
        <f>'08_ФОТ'!S25</f>
        <v/>
      </c>
      <c r="T3698">
        <f>'08_ФОТ'!T25</f>
        <v/>
      </c>
      <c r="U3698">
        <f>'08_ФОТ'!U25</f>
        <v/>
      </c>
      <c r="V3698">
        <f>'08_ФОТ'!V25</f>
        <v/>
      </c>
      <c r="W3698">
        <f>'08_ФОТ'!W25</f>
        <v/>
      </c>
      <c r="X3698">
        <f>'08_ФОТ'!X25</f>
        <v/>
      </c>
      <c r="Y3698">
        <f>'08_ФОТ'!Y25</f>
        <v/>
      </c>
      <c r="Z3698">
        <f>'08_ФОТ'!Z25</f>
        <v/>
      </c>
      <c r="AA3698">
        <f>'08_ФОТ'!AA25</f>
        <v/>
      </c>
      <c r="AB3698">
        <f>'08_ФОТ'!AB25</f>
        <v/>
      </c>
      <c r="AC3698">
        <f>'08_ФОТ'!AC25</f>
        <v/>
      </c>
      <c r="AD3698">
        <f>'08_ФОТ'!AD25</f>
        <v/>
      </c>
      <c r="AE3698">
        <f>'08_ФОТ'!AE25</f>
        <v/>
      </c>
      <c r="AF3698">
        <f>'08_ФОТ'!AF25</f>
        <v/>
      </c>
      <c r="AG3698">
        <f>'08_ФОТ'!AG25</f>
        <v/>
      </c>
      <c r="AH3698">
        <f>'08_ФОТ'!AH25</f>
        <v/>
      </c>
      <c r="AI3698">
        <f>'08_ФОТ'!AI25</f>
        <v/>
      </c>
      <c r="AJ3698">
        <f>'08_ФОТ'!AJ25</f>
        <v/>
      </c>
      <c r="AK3698">
        <f>'08_ФОТ'!AK25</f>
        <v/>
      </c>
      <c r="AL3698">
        <f>'08_ФОТ'!AL25</f>
        <v/>
      </c>
      <c r="AM3698">
        <f>'08_ФОТ'!AM25</f>
        <v/>
      </c>
      <c r="AN3698">
        <f>'08_ФОТ'!AN25</f>
        <v/>
      </c>
      <c r="AO3698">
        <f>'08_ФОТ'!AO25</f>
        <v/>
      </c>
      <c r="AP3698">
        <f>'08_ФОТ'!AP25</f>
        <v/>
      </c>
      <c r="AQ3698">
        <f>'08_ФОТ'!AQ25</f>
        <v/>
      </c>
      <c r="AR3698">
        <f>'08_ФОТ'!AR25</f>
        <v/>
      </c>
      <c r="AS3698">
        <f>'08_ФОТ'!AS25</f>
        <v/>
      </c>
      <c r="AT3698">
        <f>'08_ФОТ'!AT25</f>
        <v/>
      </c>
      <c r="AU3698">
        <f>'08_ФОТ'!AU25</f>
        <v/>
      </c>
      <c r="AV3698">
        <f>'08_ФОТ'!AV25</f>
        <v/>
      </c>
      <c r="AW3698">
        <f>'08_ФОТ'!AW25</f>
        <v/>
      </c>
      <c r="AX3698">
        <f>'08_ФОТ'!AX25</f>
        <v/>
      </c>
      <c r="AY3698">
        <f>'08_ФОТ'!AY25</f>
        <v/>
      </c>
      <c r="AZ3698">
        <f>'08_ФОТ'!AZ25</f>
        <v/>
      </c>
      <c r="BA3698">
        <f>'08_ФОТ'!BA25</f>
        <v/>
      </c>
      <c r="BB3698">
        <f>'08_ФОТ'!BB25</f>
        <v/>
      </c>
      <c r="BC3698">
        <f>'08_ФОТ'!BC25</f>
        <v/>
      </c>
      <c r="BD3698">
        <f>'08_ФОТ'!BD25</f>
        <v/>
      </c>
      <c r="BE3698">
        <f>'08_ФОТ'!BE25</f>
        <v/>
      </c>
      <c r="BF3698">
        <f>'08_ФОТ'!BF25</f>
        <v/>
      </c>
      <c r="BG3698">
        <f>'08_ФОТ'!BG25</f>
        <v/>
      </c>
      <c r="BH3698">
        <f>'08_ФОТ'!BH25</f>
        <v/>
      </c>
      <c r="BI3698">
        <f>'08_ФОТ'!BI25</f>
        <v/>
      </c>
    </row>
    <row r="3699">
      <c r="C3699">
        <f>'08_ФОТ'!C26</f>
        <v/>
      </c>
      <c r="D3699">
        <f>'08_ФОТ'!D26</f>
        <v/>
      </c>
      <c r="E3699">
        <f>'08_ФОТ'!E26</f>
        <v/>
      </c>
      <c r="F3699">
        <f>'08_ФОТ'!F26</f>
        <v/>
      </c>
      <c r="G3699">
        <f>'08_ФОТ'!G26</f>
        <v/>
      </c>
      <c r="H3699">
        <f>'08_ФОТ'!H26</f>
        <v/>
      </c>
      <c r="I3699">
        <f>'08_ФОТ'!I26</f>
        <v/>
      </c>
      <c r="J3699">
        <f>'08_ФОТ'!J26</f>
        <v/>
      </c>
      <c r="K3699">
        <f>'08_ФОТ'!K26</f>
        <v/>
      </c>
      <c r="L3699">
        <f>'08_ФОТ'!L26</f>
        <v/>
      </c>
      <c r="M3699">
        <f>'08_ФОТ'!M26</f>
        <v/>
      </c>
      <c r="N3699">
        <f>'08_ФОТ'!N26</f>
        <v/>
      </c>
      <c r="O3699">
        <f>'08_ФОТ'!O26</f>
        <v/>
      </c>
      <c r="P3699">
        <f>'08_ФОТ'!P26</f>
        <v/>
      </c>
      <c r="Q3699">
        <f>'08_ФОТ'!Q26</f>
        <v/>
      </c>
      <c r="R3699">
        <f>'08_ФОТ'!R26</f>
        <v/>
      </c>
      <c r="S3699">
        <f>'08_ФОТ'!S26</f>
        <v/>
      </c>
      <c r="T3699">
        <f>'08_ФОТ'!T26</f>
        <v/>
      </c>
      <c r="U3699">
        <f>'08_ФОТ'!U26</f>
        <v/>
      </c>
      <c r="V3699">
        <f>'08_ФОТ'!V26</f>
        <v/>
      </c>
      <c r="W3699">
        <f>'08_ФОТ'!W26</f>
        <v/>
      </c>
      <c r="X3699">
        <f>'08_ФОТ'!X26</f>
        <v/>
      </c>
      <c r="Y3699">
        <f>'08_ФОТ'!Y26</f>
        <v/>
      </c>
      <c r="Z3699">
        <f>'08_ФОТ'!Z26</f>
        <v/>
      </c>
      <c r="AA3699">
        <f>'08_ФОТ'!AA26</f>
        <v/>
      </c>
      <c r="AB3699">
        <f>'08_ФОТ'!AB26</f>
        <v/>
      </c>
      <c r="AC3699">
        <f>'08_ФОТ'!AC26</f>
        <v/>
      </c>
      <c r="AD3699">
        <f>'08_ФОТ'!AD26</f>
        <v/>
      </c>
      <c r="AE3699">
        <f>'08_ФОТ'!AE26</f>
        <v/>
      </c>
      <c r="AF3699">
        <f>'08_ФОТ'!AF26</f>
        <v/>
      </c>
      <c r="AG3699">
        <f>'08_ФОТ'!AG26</f>
        <v/>
      </c>
      <c r="AH3699">
        <f>'08_ФОТ'!AH26</f>
        <v/>
      </c>
      <c r="AI3699">
        <f>'08_ФОТ'!AI26</f>
        <v/>
      </c>
      <c r="AJ3699">
        <f>'08_ФОТ'!AJ26</f>
        <v/>
      </c>
      <c r="AK3699">
        <f>'08_ФОТ'!AK26</f>
        <v/>
      </c>
      <c r="AL3699">
        <f>'08_ФОТ'!AL26</f>
        <v/>
      </c>
      <c r="AM3699">
        <f>'08_ФОТ'!AM26</f>
        <v/>
      </c>
      <c r="AN3699">
        <f>'08_ФОТ'!AN26</f>
        <v/>
      </c>
      <c r="AO3699">
        <f>'08_ФОТ'!AO26</f>
        <v/>
      </c>
      <c r="AP3699">
        <f>'08_ФОТ'!AP26</f>
        <v/>
      </c>
      <c r="AQ3699">
        <f>'08_ФОТ'!AQ26</f>
        <v/>
      </c>
      <c r="AR3699">
        <f>'08_ФОТ'!AR26</f>
        <v/>
      </c>
      <c r="AS3699">
        <f>'08_ФОТ'!AS26</f>
        <v/>
      </c>
      <c r="AT3699">
        <f>'08_ФОТ'!AT26</f>
        <v/>
      </c>
      <c r="AU3699">
        <f>'08_ФОТ'!AU26</f>
        <v/>
      </c>
      <c r="AV3699">
        <f>'08_ФОТ'!AV26</f>
        <v/>
      </c>
      <c r="AW3699">
        <f>'08_ФОТ'!AW26</f>
        <v/>
      </c>
      <c r="AX3699">
        <f>'08_ФОТ'!AX26</f>
        <v/>
      </c>
      <c r="AY3699">
        <f>'08_ФОТ'!AY26</f>
        <v/>
      </c>
      <c r="AZ3699">
        <f>'08_ФОТ'!AZ26</f>
        <v/>
      </c>
      <c r="BA3699">
        <f>'08_ФОТ'!BA26</f>
        <v/>
      </c>
      <c r="BB3699">
        <f>'08_ФОТ'!BB26</f>
        <v/>
      </c>
      <c r="BC3699">
        <f>'08_ФОТ'!BC26</f>
        <v/>
      </c>
      <c r="BD3699">
        <f>'08_ФОТ'!BD26</f>
        <v/>
      </c>
      <c r="BE3699">
        <f>'08_ФОТ'!BE26</f>
        <v/>
      </c>
      <c r="BF3699">
        <f>'08_ФОТ'!BF26</f>
        <v/>
      </c>
      <c r="BG3699">
        <f>'08_ФОТ'!BG26</f>
        <v/>
      </c>
      <c r="BH3699">
        <f>'08_ФОТ'!BH26</f>
        <v/>
      </c>
      <c r="BI3699">
        <f>'08_ФОТ'!BI26</f>
        <v/>
      </c>
    </row>
    <row r="3700"/>
    <row r="3701">
      <c r="C3701">
        <f>IF('01_Вводные'!$B$234="Да",SUM('19_Расчет_аналитики'!C3685:C3686,'19_Расчет_аналитики'!C3688:C3692,'08_ФОТ'!C21:C22,'19_Расчет_аналитики'!C3697:C3699),0)</f>
        <v/>
      </c>
      <c r="D3701">
        <f>IF('01_Вводные'!$B$234="Да",SUM('19_Расчет_аналитики'!D3685:D3686,'19_Расчет_аналитики'!D3688:D3692,'08_ФОТ'!D21:D22,'19_Расчет_аналитики'!D3697:D3699),0)</f>
        <v/>
      </c>
      <c r="E3701">
        <f>IF('01_Вводные'!$B$234="Да",SUM('19_Расчет_аналитики'!E3685:E3686,'19_Расчет_аналитики'!E3688:E3692,'08_ФОТ'!E21:E22,'19_Расчет_аналитики'!E3697:E3699),0)</f>
        <v/>
      </c>
      <c r="F3701">
        <f>IF('01_Вводные'!$B$234="Да",SUM('19_Расчет_аналитики'!F3685:F3686,'19_Расчет_аналитики'!F3688:F3692,'08_ФОТ'!F21:F22,'19_Расчет_аналитики'!F3697:F3699),0)</f>
        <v/>
      </c>
      <c r="G3701">
        <f>IF('01_Вводные'!$B$234="Да",SUM('19_Расчет_аналитики'!G3685:G3686,'19_Расчет_аналитики'!G3688:G3692,'08_ФОТ'!G21:G22,'19_Расчет_аналитики'!G3697:G3699),0)</f>
        <v/>
      </c>
      <c r="H3701">
        <f>IF('01_Вводные'!$B$234="Да",SUM('19_Расчет_аналитики'!H3685:H3686,'19_Расчет_аналитики'!H3688:H3692,'08_ФОТ'!H21:H22,'19_Расчет_аналитики'!H3697:H3699),0)</f>
        <v/>
      </c>
      <c r="I3701">
        <f>IF('01_Вводные'!$B$234="Да",SUM('19_Расчет_аналитики'!I3685:I3686,'19_Расчет_аналитики'!I3688:I3692,'08_ФОТ'!I21:I22,'19_Расчет_аналитики'!I3697:I3699),0)</f>
        <v/>
      </c>
      <c r="J3701">
        <f>IF('01_Вводные'!$B$234="Да",SUM('19_Расчет_аналитики'!J3685:J3686,'19_Расчет_аналитики'!J3688:J3692,'08_ФОТ'!J21:J22,'19_Расчет_аналитики'!J3697:J3699),0)</f>
        <v/>
      </c>
      <c r="K3701">
        <f>IF('01_Вводные'!$B$234="Да",SUM('19_Расчет_аналитики'!K3685:K3686,'19_Расчет_аналитики'!K3688:K3692,'08_ФОТ'!K21:K22,'19_Расчет_аналитики'!K3697:K3699),0)</f>
        <v/>
      </c>
      <c r="L3701">
        <f>IF('01_Вводные'!$B$234="Да",SUM('19_Расчет_аналитики'!L3685:L3686,'19_Расчет_аналитики'!L3688:L3692,'08_ФОТ'!L21:L22,'19_Расчет_аналитики'!L3697:L3699),0)</f>
        <v/>
      </c>
      <c r="M3701">
        <f>IF('01_Вводные'!$B$234="Да",SUM('19_Расчет_аналитики'!M3685:M3686,'19_Расчет_аналитики'!M3688:M3692,'08_ФОТ'!M21:M22,'19_Расчет_аналитики'!M3697:M3699),0)</f>
        <v/>
      </c>
      <c r="N3701">
        <f>IF('01_Вводные'!$B$234="Да",SUM('19_Расчет_аналитики'!N3685:N3686,'19_Расчет_аналитики'!N3688:N3692,'08_ФОТ'!N21:N22,'19_Расчет_аналитики'!N3697:N3699),0)</f>
        <v/>
      </c>
      <c r="O3701">
        <f>IF('01_Вводные'!$B$234="Да",SUM('19_Расчет_аналитики'!O3685:O3686,'19_Расчет_аналитики'!O3688:O3692,'08_ФОТ'!O21:O22,'19_Расчет_аналитики'!O3697:O3699),0)</f>
        <v/>
      </c>
      <c r="P3701">
        <f>IF('01_Вводные'!$B$234="Да",SUM('19_Расчет_аналитики'!P3685:P3686,'19_Расчет_аналитики'!P3688:P3692,'08_ФОТ'!P21:P22,'19_Расчет_аналитики'!P3697:P3699),0)</f>
        <v/>
      </c>
      <c r="Q3701">
        <f>IF('01_Вводные'!$B$234="Да",SUM('19_Расчет_аналитики'!Q3685:Q3686,'19_Расчет_аналитики'!Q3688:Q3692,'08_ФОТ'!Q21:Q22,'19_Расчет_аналитики'!Q3697:Q3699),0)</f>
        <v/>
      </c>
      <c r="R3701">
        <f>IF('01_Вводные'!$B$234="Да",SUM('19_Расчет_аналитики'!R3685:R3686,'19_Расчет_аналитики'!R3688:R3692,'08_ФОТ'!R21:R22,'19_Расчет_аналитики'!R3697:R3699),0)</f>
        <v/>
      </c>
      <c r="S3701">
        <f>IF('01_Вводные'!$B$234="Да",SUM('19_Расчет_аналитики'!S3685:S3686,'19_Расчет_аналитики'!S3688:S3692,'08_ФОТ'!S21:S22,'19_Расчет_аналитики'!S3697:S3699),0)</f>
        <v/>
      </c>
      <c r="T3701">
        <f>IF('01_Вводные'!$B$234="Да",SUM('19_Расчет_аналитики'!T3685:T3686,'19_Расчет_аналитики'!T3688:T3692,'08_ФОТ'!T21:T22,'19_Расчет_аналитики'!T3697:T3699),0)</f>
        <v/>
      </c>
      <c r="U3701">
        <f>IF('01_Вводные'!$B$234="Да",SUM('19_Расчет_аналитики'!U3685:U3686,'19_Расчет_аналитики'!U3688:U3692,'08_ФОТ'!U21:U22,'19_Расчет_аналитики'!U3697:U3699),0)</f>
        <v/>
      </c>
      <c r="V3701">
        <f>IF('01_Вводные'!$B$234="Да",SUM('19_Расчет_аналитики'!V3685:V3686,'19_Расчет_аналитики'!V3688:V3692,'08_ФОТ'!V21:V22,'19_Расчет_аналитики'!V3697:V3699),0)</f>
        <v/>
      </c>
      <c r="W3701">
        <f>IF('01_Вводные'!$B$234="Да",SUM('19_Расчет_аналитики'!W3685:W3686,'19_Расчет_аналитики'!W3688:W3692,'08_ФОТ'!W21:W22,'19_Расчет_аналитики'!W3697:W3699),0)</f>
        <v/>
      </c>
      <c r="X3701">
        <f>IF('01_Вводные'!$B$234="Да",SUM('19_Расчет_аналитики'!X3685:X3686,'19_Расчет_аналитики'!X3688:X3692,'08_ФОТ'!X21:X22,'19_Расчет_аналитики'!X3697:X3699),0)</f>
        <v/>
      </c>
      <c r="Y3701">
        <f>IF('01_Вводные'!$B$234="Да",SUM('19_Расчет_аналитики'!Y3685:Y3686,'19_Расчет_аналитики'!Y3688:Y3692,'08_ФОТ'!Y21:Y22,'19_Расчет_аналитики'!Y3697:Y3699),0)</f>
        <v/>
      </c>
      <c r="Z3701">
        <f>IF('01_Вводные'!$B$234="Да",SUM('19_Расчет_аналитики'!Z3685:Z3686,'19_Расчет_аналитики'!Z3688:Z3692,'08_ФОТ'!Z21:Z22,'19_Расчет_аналитики'!Z3697:Z3699),0)</f>
        <v/>
      </c>
      <c r="AA3701">
        <f>IF('01_Вводные'!$B$234="Да",SUM('19_Расчет_аналитики'!AA3685:AA3686,'19_Расчет_аналитики'!AA3688:AA3692,'08_ФОТ'!AA21:AA22,'19_Расчет_аналитики'!AA3697:AA3699),0)</f>
        <v/>
      </c>
      <c r="AB3701">
        <f>IF('01_Вводные'!$B$234="Да",SUM('19_Расчет_аналитики'!AB3685:AB3686,'19_Расчет_аналитики'!AB3688:AB3692,'08_ФОТ'!AB21:AB22,'19_Расчет_аналитики'!AB3697:AB3699),0)</f>
        <v/>
      </c>
      <c r="AC3701">
        <f>IF('01_Вводные'!$B$234="Да",SUM('19_Расчет_аналитики'!AC3685:AC3686,'19_Расчет_аналитики'!AC3688:AC3692,'08_ФОТ'!AC21:AC22,'19_Расчет_аналитики'!AC3697:AC3699),0)</f>
        <v/>
      </c>
      <c r="AD3701">
        <f>IF('01_Вводные'!$B$234="Да",SUM('19_Расчет_аналитики'!AD3685:AD3686,'19_Расчет_аналитики'!AD3688:AD3692,'08_ФОТ'!AD21:AD22,'19_Расчет_аналитики'!AD3697:AD3699),0)</f>
        <v/>
      </c>
      <c r="AE3701">
        <f>IF('01_Вводные'!$B$234="Да",SUM('19_Расчет_аналитики'!AE3685:AE3686,'19_Расчет_аналитики'!AE3688:AE3692,'08_ФОТ'!AE21:AE22,'19_Расчет_аналитики'!AE3697:AE3699),0)</f>
        <v/>
      </c>
      <c r="AF3701">
        <f>IF('01_Вводные'!$B$234="Да",SUM('19_Расчет_аналитики'!AF3685:AF3686,'19_Расчет_аналитики'!AF3688:AF3692,'08_ФОТ'!AF21:AF22,'19_Расчет_аналитики'!AF3697:AF3699),0)</f>
        <v/>
      </c>
      <c r="AG3701">
        <f>IF('01_Вводные'!$B$234="Да",SUM('19_Расчет_аналитики'!AG3685:AG3686,'19_Расчет_аналитики'!AG3688:AG3692,'08_ФОТ'!AG21:AG22,'19_Расчет_аналитики'!AG3697:AG3699),0)</f>
        <v/>
      </c>
      <c r="AH3701">
        <f>IF('01_Вводные'!$B$234="Да",SUM('19_Расчет_аналитики'!AH3685:AH3686,'19_Расчет_аналитики'!AH3688:AH3692,'08_ФОТ'!AH21:AH22,'19_Расчет_аналитики'!AH3697:AH3699),0)</f>
        <v/>
      </c>
      <c r="AI3701">
        <f>IF('01_Вводные'!$B$234="Да",SUM('19_Расчет_аналитики'!AI3685:AI3686,'19_Расчет_аналитики'!AI3688:AI3692,'08_ФОТ'!AI21:AI22,'19_Расчет_аналитики'!AI3697:AI3699),0)</f>
        <v/>
      </c>
      <c r="AJ3701">
        <f>IF('01_Вводные'!$B$234="Да",SUM('19_Расчет_аналитики'!AJ3685:AJ3686,'19_Расчет_аналитики'!AJ3688:AJ3692,'08_ФОТ'!AJ21:AJ22,'19_Расчет_аналитики'!AJ3697:AJ3699),0)</f>
        <v/>
      </c>
      <c r="AK3701">
        <f>IF('01_Вводные'!$B$234="Да",SUM('19_Расчет_аналитики'!AK3685:AK3686,'19_Расчет_аналитики'!AK3688:AK3692,'08_ФОТ'!AK21:AK22,'19_Расчет_аналитики'!AK3697:AK3699),0)</f>
        <v/>
      </c>
      <c r="AL3701">
        <f>IF('01_Вводные'!$B$234="Да",SUM('19_Расчет_аналитики'!AL3685:AL3686,'19_Расчет_аналитики'!AL3688:AL3692,'08_ФОТ'!AL21:AL22,'19_Расчет_аналитики'!AL3697:AL3699),0)</f>
        <v/>
      </c>
      <c r="AM3701">
        <f>IF('01_Вводные'!$B$234="Да",SUM('19_Расчет_аналитики'!AM3685:AM3686,'19_Расчет_аналитики'!AM3688:AM3692,'08_ФОТ'!AM21:AM22,'19_Расчет_аналитики'!AM3697:AM3699),0)</f>
        <v/>
      </c>
      <c r="AN3701">
        <f>IF('01_Вводные'!$B$234="Да",SUM('19_Расчет_аналитики'!AN3685:AN3686,'19_Расчет_аналитики'!AN3688:AN3692,'08_ФОТ'!AN21:AN22,'19_Расчет_аналитики'!AN3697:AN3699),0)</f>
        <v/>
      </c>
      <c r="AO3701">
        <f>IF('01_Вводные'!$B$234="Да",SUM('19_Расчет_аналитики'!AO3685:AO3686,'19_Расчет_аналитики'!AO3688:AO3692,'08_ФОТ'!AO21:AO22,'19_Расчет_аналитики'!AO3697:AO3699),0)</f>
        <v/>
      </c>
      <c r="AP3701">
        <f>IF('01_Вводные'!$B$234="Да",SUM('19_Расчет_аналитики'!AP3685:AP3686,'19_Расчет_аналитики'!AP3688:AP3692,'08_ФОТ'!AP21:AP22,'19_Расчет_аналитики'!AP3697:AP3699),0)</f>
        <v/>
      </c>
      <c r="AQ3701">
        <f>IF('01_Вводные'!$B$234="Да",SUM('19_Расчет_аналитики'!AQ3685:AQ3686,'19_Расчет_аналитики'!AQ3688:AQ3692,'08_ФОТ'!AQ21:AQ22,'19_Расчет_аналитики'!AQ3697:AQ3699),0)</f>
        <v/>
      </c>
      <c r="AR3701">
        <f>IF('01_Вводные'!$B$234="Да",SUM('19_Расчет_аналитики'!AR3685:AR3686,'19_Расчет_аналитики'!AR3688:AR3692,'08_ФОТ'!AR21:AR22,'19_Расчет_аналитики'!AR3697:AR3699),0)</f>
        <v/>
      </c>
      <c r="AS3701">
        <f>IF('01_Вводные'!$B$234="Да",SUM('19_Расчет_аналитики'!AS3685:AS3686,'19_Расчет_аналитики'!AS3688:AS3692,'08_ФОТ'!AS21:AS22,'19_Расчет_аналитики'!AS3697:AS3699),0)</f>
        <v/>
      </c>
      <c r="AT3701">
        <f>IF('01_Вводные'!$B$234="Да",SUM('19_Расчет_аналитики'!AT3685:AT3686,'19_Расчет_аналитики'!AT3688:AT3692,'08_ФОТ'!AT21:AT22,'19_Расчет_аналитики'!AT3697:AT3699),0)</f>
        <v/>
      </c>
      <c r="AU3701">
        <f>IF('01_Вводные'!$B$234="Да",SUM('19_Расчет_аналитики'!AU3685:AU3686,'19_Расчет_аналитики'!AU3688:AU3692,'08_ФОТ'!AU21:AU22,'19_Расчет_аналитики'!AU3697:AU3699),0)</f>
        <v/>
      </c>
      <c r="AV3701">
        <f>IF('01_Вводные'!$B$234="Да",SUM('19_Расчет_аналитики'!AV3685:AV3686,'19_Расчет_аналитики'!AV3688:AV3692,'08_ФОТ'!AV21:AV22,'19_Расчет_аналитики'!AV3697:AV3699),0)</f>
        <v/>
      </c>
      <c r="AW3701">
        <f>IF('01_Вводные'!$B$234="Да",SUM('19_Расчет_аналитики'!AW3685:AW3686,'19_Расчет_аналитики'!AW3688:AW3692,'08_ФОТ'!AW21:AW22,'19_Расчет_аналитики'!AW3697:AW3699),0)</f>
        <v/>
      </c>
      <c r="AX3701">
        <f>IF('01_Вводные'!$B$234="Да",SUM('19_Расчет_аналитики'!AX3685:AX3686,'19_Расчет_аналитики'!AX3688:AX3692,'08_ФОТ'!AX21:AX22,'19_Расчет_аналитики'!AX3697:AX3699),0)</f>
        <v/>
      </c>
      <c r="AY3701">
        <f>IF('01_Вводные'!$B$234="Да",SUM('19_Расчет_аналитики'!AY3685:AY3686,'19_Расчет_аналитики'!AY3688:AY3692,'08_ФОТ'!AY21:AY22,'19_Расчет_аналитики'!AY3697:AY3699),0)</f>
        <v/>
      </c>
      <c r="AZ3701">
        <f>IF('01_Вводные'!$B$234="Да",SUM('19_Расчет_аналитики'!AZ3685:AZ3686,'19_Расчет_аналитики'!AZ3688:AZ3692,'08_ФОТ'!AZ21:AZ22,'19_Расчет_аналитики'!AZ3697:AZ3699),0)</f>
        <v/>
      </c>
      <c r="BA3701">
        <f>IF('01_Вводные'!$B$234="Да",SUM('19_Расчет_аналитики'!BA3685:BA3686,'19_Расчет_аналитики'!BA3688:BA3692,'08_ФОТ'!BA21:BA22,'19_Расчет_аналитики'!BA3697:BA3699),0)</f>
        <v/>
      </c>
      <c r="BB3701">
        <f>IF('01_Вводные'!$B$234="Да",SUM('19_Расчет_аналитики'!BB3685:BB3686,'19_Расчет_аналитики'!BB3688:BB3692,'08_ФОТ'!BB21:BB22,'19_Расчет_аналитики'!BB3697:BB3699),0)</f>
        <v/>
      </c>
      <c r="BC3701">
        <f>IF('01_Вводные'!$B$234="Да",SUM('19_Расчет_аналитики'!BC3685:BC3686,'19_Расчет_аналитики'!BC3688:BC3692,'08_ФОТ'!BC21:BC22,'19_Расчет_аналитики'!BC3697:BC3699),0)</f>
        <v/>
      </c>
      <c r="BD3701">
        <f>IF('01_Вводные'!$B$234="Да",SUM('19_Расчет_аналитики'!BD3685:BD3686,'19_Расчет_аналитики'!BD3688:BD3692,'08_ФОТ'!BD21:BD22,'19_Расчет_аналитики'!BD3697:BD3699),0)</f>
        <v/>
      </c>
      <c r="BE3701">
        <f>IF('01_Вводные'!$B$234="Да",SUM('19_Расчет_аналитики'!BE3685:BE3686,'19_Расчет_аналитики'!BE3688:BE3692,'08_ФОТ'!BE21:BE22,'19_Расчет_аналитики'!BE3697:BE3699),0)</f>
        <v/>
      </c>
      <c r="BF3701">
        <f>IF('01_Вводные'!$B$234="Да",SUM('19_Расчет_аналитики'!BF3685:BF3686,'19_Расчет_аналитики'!BF3688:BF3692,'08_ФОТ'!BF21:BF22,'19_Расчет_аналитики'!BF3697:BF3699),0)</f>
        <v/>
      </c>
      <c r="BG3701">
        <f>IF('01_Вводные'!$B$234="Да",SUM('19_Расчет_аналитики'!BG3685:BG3686,'19_Расчет_аналитики'!BG3688:BG3692,'08_ФОТ'!BG21:BG22,'19_Расчет_аналитики'!BG3697:BG3699),0)</f>
        <v/>
      </c>
      <c r="BH3701">
        <f>IF('01_Вводные'!$B$234="Да",SUM('19_Расчет_аналитики'!BH3685:BH3686,'19_Расчет_аналитики'!BH3688:BH3692,'08_ФОТ'!BH21:BH22,'19_Расчет_аналитики'!BH3697:BH3699),0)</f>
        <v/>
      </c>
      <c r="BI3701">
        <f>IF('01_Вводные'!$B$234="Да",SUM('19_Расчет_аналитики'!BI3685:BI3686,'19_Расчет_аналитики'!BI3688:BI3692,'08_ФОТ'!BI21:BI22,'19_Расчет_аналитики'!BI3697:BI3699),0)</f>
        <v/>
      </c>
    </row>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c r="C3743">
        <f>IF('01_Вводные'!$B$234="Да",'19_Расчет_аналитики'!C3401,0)</f>
        <v/>
      </c>
      <c r="D3743">
        <f>IF('01_Вводные'!$B$234="Да",'19_Расчет_аналитики'!D3401,0)</f>
        <v/>
      </c>
      <c r="E3743">
        <f>IF('01_Вводные'!$B$234="Да",'19_Расчет_аналитики'!E3401,0)</f>
        <v/>
      </c>
      <c r="F3743">
        <f>IF('01_Вводные'!$B$234="Да",'19_Расчет_аналитики'!F3401,0)</f>
        <v/>
      </c>
      <c r="G3743">
        <f>IF('01_Вводные'!$B$234="Да",'19_Расчет_аналитики'!G3401,0)</f>
        <v/>
      </c>
      <c r="H3743">
        <f>IF('01_Вводные'!$B$234="Да",'19_Расчет_аналитики'!H3401,0)</f>
        <v/>
      </c>
      <c r="I3743">
        <f>IF('01_Вводные'!$B$234="Да",'19_Расчет_аналитики'!I3401,0)</f>
        <v/>
      </c>
      <c r="J3743">
        <f>IF('01_Вводные'!$B$234="Да",'19_Расчет_аналитики'!J3401,0)</f>
        <v/>
      </c>
      <c r="K3743">
        <f>IF('01_Вводные'!$B$234="Да",'19_Расчет_аналитики'!K3401,0)</f>
        <v/>
      </c>
      <c r="L3743">
        <f>IF('01_Вводные'!$B$234="Да",'19_Расчет_аналитики'!L3401,0)</f>
        <v/>
      </c>
      <c r="M3743">
        <f>IF('01_Вводные'!$B$234="Да",'19_Расчет_аналитики'!M3401,0)</f>
        <v/>
      </c>
      <c r="N3743">
        <f>IF('01_Вводные'!$B$234="Да",'19_Расчет_аналитики'!N3401,0)</f>
        <v/>
      </c>
      <c r="O3743">
        <f>IF('01_Вводные'!$B$234="Да",'19_Расчет_аналитики'!O3401,0)</f>
        <v/>
      </c>
      <c r="P3743">
        <f>IF('01_Вводные'!$B$234="Да",'19_Расчет_аналитики'!P3401,0)</f>
        <v/>
      </c>
      <c r="Q3743">
        <f>IF('01_Вводные'!$B$234="Да",'19_Расчет_аналитики'!Q3401,0)</f>
        <v/>
      </c>
      <c r="R3743">
        <f>IF('01_Вводные'!$B$234="Да",'19_Расчет_аналитики'!R3401,0)</f>
        <v/>
      </c>
      <c r="S3743">
        <f>IF('01_Вводные'!$B$234="Да",'19_Расчет_аналитики'!S3401,0)</f>
        <v/>
      </c>
      <c r="T3743">
        <f>IF('01_Вводные'!$B$234="Да",'19_Расчет_аналитики'!T3401,0)</f>
        <v/>
      </c>
      <c r="U3743">
        <f>IF('01_Вводные'!$B$234="Да",'19_Расчет_аналитики'!U3401,0)</f>
        <v/>
      </c>
      <c r="V3743">
        <f>IF('01_Вводные'!$B$234="Да",'19_Расчет_аналитики'!V3401,0)</f>
        <v/>
      </c>
      <c r="W3743">
        <f>IF('01_Вводные'!$B$234="Да",'19_Расчет_аналитики'!W3401,0)</f>
        <v/>
      </c>
      <c r="X3743">
        <f>IF('01_Вводные'!$B$234="Да",'19_Расчет_аналитики'!X3401,0)</f>
        <v/>
      </c>
      <c r="Y3743">
        <f>IF('01_Вводные'!$B$234="Да",'19_Расчет_аналитики'!Y3401,0)</f>
        <v/>
      </c>
      <c r="Z3743">
        <f>IF('01_Вводные'!$B$234="Да",'19_Расчет_аналитики'!Z3401,0)</f>
        <v/>
      </c>
      <c r="AA3743">
        <f>IF('01_Вводные'!$B$234="Да",'19_Расчет_аналитики'!AA3401,0)</f>
        <v/>
      </c>
      <c r="AB3743">
        <f>IF('01_Вводные'!$B$234="Да",'19_Расчет_аналитики'!AB3401,0)</f>
        <v/>
      </c>
      <c r="AC3743">
        <f>IF('01_Вводные'!$B$234="Да",'19_Расчет_аналитики'!AC3401,0)</f>
        <v/>
      </c>
      <c r="AD3743">
        <f>IF('01_Вводные'!$B$234="Да",'19_Расчет_аналитики'!AD3401,0)</f>
        <v/>
      </c>
      <c r="AE3743">
        <f>IF('01_Вводные'!$B$234="Да",'19_Расчет_аналитики'!AE3401,0)</f>
        <v/>
      </c>
      <c r="AF3743">
        <f>IF('01_Вводные'!$B$234="Да",'19_Расчет_аналитики'!AF3401,0)</f>
        <v/>
      </c>
      <c r="AG3743">
        <f>IF('01_Вводные'!$B$234="Да",'19_Расчет_аналитики'!AG3401,0)</f>
        <v/>
      </c>
      <c r="AH3743">
        <f>IF('01_Вводные'!$B$234="Да",'19_Расчет_аналитики'!AH3401,0)</f>
        <v/>
      </c>
      <c r="AI3743">
        <f>IF('01_Вводные'!$B$234="Да",'19_Расчет_аналитики'!AI3401,0)</f>
        <v/>
      </c>
      <c r="AJ3743">
        <f>IF('01_Вводные'!$B$234="Да",'19_Расчет_аналитики'!AJ3401,0)</f>
        <v/>
      </c>
      <c r="AK3743">
        <f>IF('01_Вводные'!$B$234="Да",'19_Расчет_аналитики'!AK3401,0)</f>
        <v/>
      </c>
      <c r="AL3743">
        <f>IF('01_Вводные'!$B$234="Да",'19_Расчет_аналитики'!AL3401,0)</f>
        <v/>
      </c>
      <c r="AM3743">
        <f>IF('01_Вводные'!$B$234="Да",'19_Расчет_аналитики'!AM3401,0)</f>
        <v/>
      </c>
      <c r="AN3743">
        <f>IF('01_Вводные'!$B$234="Да",'19_Расчет_аналитики'!AN3401,0)</f>
        <v/>
      </c>
      <c r="AO3743">
        <f>IF('01_Вводные'!$B$234="Да",'19_Расчет_аналитики'!AO3401,0)</f>
        <v/>
      </c>
      <c r="AP3743">
        <f>IF('01_Вводные'!$B$234="Да",'19_Расчет_аналитики'!AP3401,0)</f>
        <v/>
      </c>
      <c r="AQ3743">
        <f>IF('01_Вводные'!$B$234="Да",'19_Расчет_аналитики'!AQ3401,0)</f>
        <v/>
      </c>
      <c r="AR3743">
        <f>IF('01_Вводные'!$B$234="Да",'19_Расчет_аналитики'!AR3401,0)</f>
        <v/>
      </c>
      <c r="AS3743">
        <f>IF('01_Вводные'!$B$234="Да",'19_Расчет_аналитики'!AS3401,0)</f>
        <v/>
      </c>
      <c r="AT3743">
        <f>IF('01_Вводные'!$B$234="Да",'19_Расчет_аналитики'!AT3401,0)</f>
        <v/>
      </c>
      <c r="AU3743">
        <f>IF('01_Вводные'!$B$234="Да",'19_Расчет_аналитики'!AU3401,0)</f>
        <v/>
      </c>
      <c r="AV3743">
        <f>IF('01_Вводные'!$B$234="Да",'19_Расчет_аналитики'!AV3401,0)</f>
        <v/>
      </c>
      <c r="AW3743">
        <f>IF('01_Вводные'!$B$234="Да",'19_Расчет_аналитики'!AW3401,0)</f>
        <v/>
      </c>
      <c r="AX3743">
        <f>IF('01_Вводные'!$B$234="Да",'19_Расчет_аналитики'!AX3401,0)</f>
        <v/>
      </c>
      <c r="AY3743">
        <f>IF('01_Вводные'!$B$234="Да",'19_Расчет_аналитики'!AY3401,0)</f>
        <v/>
      </c>
      <c r="AZ3743">
        <f>IF('01_Вводные'!$B$234="Да",'19_Расчет_аналитики'!AZ3401,0)</f>
        <v/>
      </c>
      <c r="BA3743">
        <f>IF('01_Вводные'!$B$234="Да",'19_Расчет_аналитики'!BA3401,0)</f>
        <v/>
      </c>
      <c r="BB3743">
        <f>IF('01_Вводные'!$B$234="Да",'19_Расчет_аналитики'!BB3401,0)</f>
        <v/>
      </c>
      <c r="BC3743">
        <f>IF('01_Вводные'!$B$234="Да",'19_Расчет_аналитики'!BC3401,0)</f>
        <v/>
      </c>
      <c r="BD3743">
        <f>IF('01_Вводные'!$B$234="Да",'19_Расчет_аналитики'!BD3401,0)</f>
        <v/>
      </c>
      <c r="BE3743">
        <f>IF('01_Вводные'!$B$234="Да",'19_Расчет_аналитики'!BE3401,0)</f>
        <v/>
      </c>
      <c r="BF3743">
        <f>IF('01_Вводные'!$B$234="Да",'19_Расчет_аналитики'!BF3401,0)</f>
        <v/>
      </c>
      <c r="BG3743">
        <f>IF('01_Вводные'!$B$234="Да",'19_Расчет_аналитики'!BG3401,0)</f>
        <v/>
      </c>
      <c r="BH3743">
        <f>IF('01_Вводные'!$B$234="Да",'19_Расчет_аналитики'!BH3401,0)</f>
        <v/>
      </c>
      <c r="BI3743">
        <f>IF('01_Вводные'!$B$234="Да",'19_Расчет_аналитики'!BI3401,0)</f>
        <v/>
      </c>
    </row>
    <row r="3744">
      <c r="B3744">
        <f>IF('01_Вводные'!$B$234="Да",'19_Расчет_аналитики'!B3415,0)</f>
        <v/>
      </c>
      <c r="C3744">
        <f>IF('01_Вводные'!$B$234="Да",'19_Расчет_аналитики'!C3415,0)</f>
        <v/>
      </c>
      <c r="D3744">
        <f>IF('01_Вводные'!$B$234="Да",'19_Расчет_аналитики'!D3415,0)</f>
        <v/>
      </c>
      <c r="E3744">
        <f>IF('01_Вводные'!$B$234="Да",'19_Расчет_аналитики'!E3415,0)</f>
        <v/>
      </c>
      <c r="F3744">
        <f>IF('01_Вводные'!$B$234="Да",'19_Расчет_аналитики'!F3415,0)</f>
        <v/>
      </c>
      <c r="G3744">
        <f>IF('01_Вводные'!$B$234="Да",'19_Расчет_аналитики'!G3415,0)</f>
        <v/>
      </c>
      <c r="H3744">
        <f>IF('01_Вводные'!$B$234="Да",'19_Расчет_аналитики'!H3415,0)</f>
        <v/>
      </c>
      <c r="I3744">
        <f>IF('01_Вводные'!$B$234="Да",'19_Расчет_аналитики'!I3415,0)</f>
        <v/>
      </c>
      <c r="J3744">
        <f>IF('01_Вводные'!$B$234="Да",'19_Расчет_аналитики'!J3415,0)</f>
        <v/>
      </c>
      <c r="K3744">
        <f>IF('01_Вводные'!$B$234="Да",'19_Расчет_аналитики'!K3415,0)</f>
        <v/>
      </c>
      <c r="L3744">
        <f>IF('01_Вводные'!$B$234="Да",'19_Расчет_аналитики'!L3415,0)</f>
        <v/>
      </c>
      <c r="M3744">
        <f>IF('01_Вводные'!$B$234="Да",'19_Расчет_аналитики'!M3415,0)</f>
        <v/>
      </c>
      <c r="N3744">
        <f>IF('01_Вводные'!$B$234="Да",'19_Расчет_аналитики'!N3415,0)</f>
        <v/>
      </c>
      <c r="O3744">
        <f>IF('01_Вводные'!$B$234="Да",'19_Расчет_аналитики'!O3415,0)</f>
        <v/>
      </c>
      <c r="P3744">
        <f>IF('01_Вводные'!$B$234="Да",'19_Расчет_аналитики'!P3415,0)</f>
        <v/>
      </c>
      <c r="Q3744">
        <f>IF('01_Вводные'!$B$234="Да",'19_Расчет_аналитики'!Q3415,0)</f>
        <v/>
      </c>
      <c r="R3744">
        <f>IF('01_Вводные'!$B$234="Да",'19_Расчет_аналитики'!R3415,0)</f>
        <v/>
      </c>
      <c r="S3744">
        <f>IF('01_Вводные'!$B$234="Да",'19_Расчет_аналитики'!S3415,0)</f>
        <v/>
      </c>
      <c r="T3744">
        <f>IF('01_Вводные'!$B$234="Да",'19_Расчет_аналитики'!T3415,0)</f>
        <v/>
      </c>
      <c r="U3744">
        <f>IF('01_Вводные'!$B$234="Да",'19_Расчет_аналитики'!U3415,0)</f>
        <v/>
      </c>
      <c r="V3744">
        <f>IF('01_Вводные'!$B$234="Да",'19_Расчет_аналитики'!V3415,0)</f>
        <v/>
      </c>
      <c r="W3744">
        <f>IF('01_Вводные'!$B$234="Да",'19_Расчет_аналитики'!W3415,0)</f>
        <v/>
      </c>
      <c r="X3744">
        <f>IF('01_Вводные'!$B$234="Да",'19_Расчет_аналитики'!X3415,0)</f>
        <v/>
      </c>
      <c r="Y3744">
        <f>IF('01_Вводные'!$B$234="Да",'19_Расчет_аналитики'!Y3415,0)</f>
        <v/>
      </c>
      <c r="Z3744">
        <f>IF('01_Вводные'!$B$234="Да",'19_Расчет_аналитики'!Z3415,0)</f>
        <v/>
      </c>
      <c r="AA3744">
        <f>IF('01_Вводные'!$B$234="Да",'19_Расчет_аналитики'!AA3415,0)</f>
        <v/>
      </c>
      <c r="AB3744">
        <f>IF('01_Вводные'!$B$234="Да",'19_Расчет_аналитики'!AB3415,0)</f>
        <v/>
      </c>
      <c r="AC3744">
        <f>IF('01_Вводные'!$B$234="Да",'19_Расчет_аналитики'!AC3415,0)</f>
        <v/>
      </c>
      <c r="AD3744">
        <f>IF('01_Вводные'!$B$234="Да",'19_Расчет_аналитики'!AD3415,0)</f>
        <v/>
      </c>
      <c r="AE3744">
        <f>IF('01_Вводные'!$B$234="Да",'19_Расчет_аналитики'!AE3415,0)</f>
        <v/>
      </c>
      <c r="AF3744">
        <f>IF('01_Вводные'!$B$234="Да",'19_Расчет_аналитики'!AF3415,0)</f>
        <v/>
      </c>
      <c r="AG3744">
        <f>IF('01_Вводные'!$B$234="Да",'19_Расчет_аналитики'!AG3415,0)</f>
        <v/>
      </c>
      <c r="AH3744">
        <f>IF('01_Вводные'!$B$234="Да",'19_Расчет_аналитики'!AH3415,0)</f>
        <v/>
      </c>
      <c r="AI3744">
        <f>IF('01_Вводные'!$B$234="Да",'19_Расчет_аналитики'!AI3415,0)</f>
        <v/>
      </c>
      <c r="AJ3744">
        <f>IF('01_Вводные'!$B$234="Да",'19_Расчет_аналитики'!AJ3415,0)</f>
        <v/>
      </c>
      <c r="AK3744">
        <f>IF('01_Вводные'!$B$234="Да",'19_Расчет_аналитики'!AK3415,0)</f>
        <v/>
      </c>
      <c r="AL3744">
        <f>IF('01_Вводные'!$B$234="Да",'19_Расчет_аналитики'!AL3415,0)</f>
        <v/>
      </c>
      <c r="AM3744">
        <f>IF('01_Вводные'!$B$234="Да",'19_Расчет_аналитики'!AM3415,0)</f>
        <v/>
      </c>
      <c r="AN3744">
        <f>IF('01_Вводные'!$B$234="Да",'19_Расчет_аналитики'!AN3415,0)</f>
        <v/>
      </c>
      <c r="AO3744">
        <f>IF('01_Вводные'!$B$234="Да",'19_Расчет_аналитики'!AO3415,0)</f>
        <v/>
      </c>
      <c r="AP3744">
        <f>IF('01_Вводные'!$B$234="Да",'19_Расчет_аналитики'!AP3415,0)</f>
        <v/>
      </c>
      <c r="AQ3744">
        <f>IF('01_Вводные'!$B$234="Да",'19_Расчет_аналитики'!AQ3415,0)</f>
        <v/>
      </c>
      <c r="AR3744">
        <f>IF('01_Вводные'!$B$234="Да",'19_Расчет_аналитики'!AR3415,0)</f>
        <v/>
      </c>
      <c r="AS3744">
        <f>IF('01_Вводные'!$B$234="Да",'19_Расчет_аналитики'!AS3415,0)</f>
        <v/>
      </c>
      <c r="AT3744">
        <f>IF('01_Вводные'!$B$234="Да",'19_Расчет_аналитики'!AT3415,0)</f>
        <v/>
      </c>
      <c r="AU3744">
        <f>IF('01_Вводные'!$B$234="Да",'19_Расчет_аналитики'!AU3415,0)</f>
        <v/>
      </c>
      <c r="AV3744">
        <f>IF('01_Вводные'!$B$234="Да",'19_Расчет_аналитики'!AV3415,0)</f>
        <v/>
      </c>
      <c r="AW3744">
        <f>IF('01_Вводные'!$B$234="Да",'19_Расчет_аналитики'!AW3415,0)</f>
        <v/>
      </c>
      <c r="AX3744">
        <f>IF('01_Вводные'!$B$234="Да",'19_Расчет_аналитики'!AX3415,0)</f>
        <v/>
      </c>
      <c r="AY3744">
        <f>IF('01_Вводные'!$B$234="Да",'19_Расчет_аналитики'!AY3415,0)</f>
        <v/>
      </c>
      <c r="AZ3744">
        <f>IF('01_Вводные'!$B$234="Да",'19_Расчет_аналитики'!AZ3415,0)</f>
        <v/>
      </c>
      <c r="BA3744">
        <f>IF('01_Вводные'!$B$234="Да",'19_Расчет_аналитики'!BA3415,0)</f>
        <v/>
      </c>
      <c r="BB3744">
        <f>IF('01_Вводные'!$B$234="Да",'19_Расчет_аналитики'!BB3415,0)</f>
        <v/>
      </c>
      <c r="BC3744">
        <f>IF('01_Вводные'!$B$234="Да",'19_Расчет_аналитики'!BC3415,0)</f>
        <v/>
      </c>
      <c r="BD3744">
        <f>IF('01_Вводные'!$B$234="Да",'19_Расчет_аналитики'!BD3415,0)</f>
        <v/>
      </c>
      <c r="BE3744">
        <f>IF('01_Вводные'!$B$234="Да",'19_Расчет_аналитики'!BE3415,0)</f>
        <v/>
      </c>
      <c r="BF3744">
        <f>IF('01_Вводные'!$B$234="Да",'19_Расчет_аналитики'!BF3415,0)</f>
        <v/>
      </c>
      <c r="BG3744">
        <f>IF('01_Вводные'!$B$234="Да",'19_Расчет_аналитики'!BG3415,0)</f>
        <v/>
      </c>
      <c r="BH3744">
        <f>IF('01_Вводные'!$B$234="Да",'19_Расчет_аналитики'!BH3415,0)</f>
        <v/>
      </c>
      <c r="BI3744">
        <f>IF('01_Вводные'!$B$234="Да",'19_Расчет_аналитики'!BI3415,0)</f>
        <v/>
      </c>
    </row>
    <row r="3745">
      <c r="B3745">
        <f>IF('01_Вводные'!$B$234="Да",'19_Расчет_аналитики'!B3416,0)</f>
        <v/>
      </c>
      <c r="C3745">
        <f>IF('01_Вводные'!$B$234="Да",'19_Расчет_аналитики'!C3416,0)</f>
        <v/>
      </c>
      <c r="D3745">
        <f>IF('01_Вводные'!$B$234="Да",'19_Расчет_аналитики'!D3416,0)</f>
        <v/>
      </c>
      <c r="E3745">
        <f>IF('01_Вводные'!$B$234="Да",'19_Расчет_аналитики'!E3416,0)</f>
        <v/>
      </c>
      <c r="F3745">
        <f>IF('01_Вводные'!$B$234="Да",'19_Расчет_аналитики'!F3416,0)</f>
        <v/>
      </c>
      <c r="G3745">
        <f>IF('01_Вводные'!$B$234="Да",'19_Расчет_аналитики'!G3416,0)</f>
        <v/>
      </c>
      <c r="H3745">
        <f>IF('01_Вводные'!$B$234="Да",'19_Расчет_аналитики'!H3416,0)</f>
        <v/>
      </c>
      <c r="I3745">
        <f>IF('01_Вводные'!$B$234="Да",'19_Расчет_аналитики'!I3416,0)</f>
        <v/>
      </c>
      <c r="J3745">
        <f>IF('01_Вводные'!$B$234="Да",'19_Расчет_аналитики'!J3416,0)</f>
        <v/>
      </c>
      <c r="K3745">
        <f>IF('01_Вводные'!$B$234="Да",'19_Расчет_аналитики'!K3416,0)</f>
        <v/>
      </c>
      <c r="L3745">
        <f>IF('01_Вводные'!$B$234="Да",'19_Расчет_аналитики'!L3416,0)</f>
        <v/>
      </c>
      <c r="M3745">
        <f>IF('01_Вводные'!$B$234="Да",'19_Расчет_аналитики'!M3416,0)</f>
        <v/>
      </c>
      <c r="N3745">
        <f>IF('01_Вводные'!$B$234="Да",'19_Расчет_аналитики'!N3416,0)</f>
        <v/>
      </c>
      <c r="O3745">
        <f>IF('01_Вводные'!$B$234="Да",'19_Расчет_аналитики'!O3416,0)</f>
        <v/>
      </c>
      <c r="P3745">
        <f>IF('01_Вводные'!$B$234="Да",'19_Расчет_аналитики'!P3416,0)</f>
        <v/>
      </c>
      <c r="Q3745">
        <f>IF('01_Вводные'!$B$234="Да",'19_Расчет_аналитики'!Q3416,0)</f>
        <v/>
      </c>
      <c r="R3745">
        <f>IF('01_Вводные'!$B$234="Да",'19_Расчет_аналитики'!R3416,0)</f>
        <v/>
      </c>
      <c r="S3745">
        <f>IF('01_Вводные'!$B$234="Да",'19_Расчет_аналитики'!S3416,0)</f>
        <v/>
      </c>
      <c r="T3745">
        <f>IF('01_Вводные'!$B$234="Да",'19_Расчет_аналитики'!T3416,0)</f>
        <v/>
      </c>
      <c r="U3745">
        <f>IF('01_Вводные'!$B$234="Да",'19_Расчет_аналитики'!U3416,0)</f>
        <v/>
      </c>
      <c r="V3745">
        <f>IF('01_Вводные'!$B$234="Да",'19_Расчет_аналитики'!V3416,0)</f>
        <v/>
      </c>
      <c r="W3745">
        <f>IF('01_Вводные'!$B$234="Да",'19_Расчет_аналитики'!W3416,0)</f>
        <v/>
      </c>
      <c r="X3745">
        <f>IF('01_Вводные'!$B$234="Да",'19_Расчет_аналитики'!X3416,0)</f>
        <v/>
      </c>
      <c r="Y3745">
        <f>IF('01_Вводные'!$B$234="Да",'19_Расчет_аналитики'!Y3416,0)</f>
        <v/>
      </c>
      <c r="Z3745">
        <f>IF('01_Вводные'!$B$234="Да",'19_Расчет_аналитики'!Z3416,0)</f>
        <v/>
      </c>
      <c r="AA3745">
        <f>IF('01_Вводные'!$B$234="Да",'19_Расчет_аналитики'!AA3416,0)</f>
        <v/>
      </c>
      <c r="AB3745">
        <f>IF('01_Вводные'!$B$234="Да",'19_Расчет_аналитики'!AB3416,0)</f>
        <v/>
      </c>
      <c r="AC3745">
        <f>IF('01_Вводные'!$B$234="Да",'19_Расчет_аналитики'!AC3416,0)</f>
        <v/>
      </c>
      <c r="AD3745">
        <f>IF('01_Вводные'!$B$234="Да",'19_Расчет_аналитики'!AD3416,0)</f>
        <v/>
      </c>
      <c r="AE3745">
        <f>IF('01_Вводные'!$B$234="Да",'19_Расчет_аналитики'!AE3416,0)</f>
        <v/>
      </c>
      <c r="AF3745">
        <f>IF('01_Вводные'!$B$234="Да",'19_Расчет_аналитики'!AF3416,0)</f>
        <v/>
      </c>
      <c r="AG3745">
        <f>IF('01_Вводные'!$B$234="Да",'19_Расчет_аналитики'!AG3416,0)</f>
        <v/>
      </c>
      <c r="AH3745">
        <f>IF('01_Вводные'!$B$234="Да",'19_Расчет_аналитики'!AH3416,0)</f>
        <v/>
      </c>
      <c r="AI3745">
        <f>IF('01_Вводные'!$B$234="Да",'19_Расчет_аналитики'!AI3416,0)</f>
        <v/>
      </c>
      <c r="AJ3745">
        <f>IF('01_Вводные'!$B$234="Да",'19_Расчет_аналитики'!AJ3416,0)</f>
        <v/>
      </c>
      <c r="AK3745">
        <f>IF('01_Вводные'!$B$234="Да",'19_Расчет_аналитики'!AK3416,0)</f>
        <v/>
      </c>
      <c r="AL3745">
        <f>IF('01_Вводные'!$B$234="Да",'19_Расчет_аналитики'!AL3416,0)</f>
        <v/>
      </c>
      <c r="AM3745">
        <f>IF('01_Вводные'!$B$234="Да",'19_Расчет_аналитики'!AM3416,0)</f>
        <v/>
      </c>
      <c r="AN3745">
        <f>IF('01_Вводные'!$B$234="Да",'19_Расчет_аналитики'!AN3416,0)</f>
        <v/>
      </c>
      <c r="AO3745">
        <f>IF('01_Вводные'!$B$234="Да",'19_Расчет_аналитики'!AO3416,0)</f>
        <v/>
      </c>
      <c r="AP3745">
        <f>IF('01_Вводные'!$B$234="Да",'19_Расчет_аналитики'!AP3416,0)</f>
        <v/>
      </c>
      <c r="AQ3745">
        <f>IF('01_Вводные'!$B$234="Да",'19_Расчет_аналитики'!AQ3416,0)</f>
        <v/>
      </c>
      <c r="AR3745">
        <f>IF('01_Вводные'!$B$234="Да",'19_Расчет_аналитики'!AR3416,0)</f>
        <v/>
      </c>
      <c r="AS3745">
        <f>IF('01_Вводные'!$B$234="Да",'19_Расчет_аналитики'!AS3416,0)</f>
        <v/>
      </c>
      <c r="AT3745">
        <f>IF('01_Вводные'!$B$234="Да",'19_Расчет_аналитики'!AT3416,0)</f>
        <v/>
      </c>
      <c r="AU3745">
        <f>IF('01_Вводные'!$B$234="Да",'19_Расчет_аналитики'!AU3416,0)</f>
        <v/>
      </c>
      <c r="AV3745">
        <f>IF('01_Вводные'!$B$234="Да",'19_Расчет_аналитики'!AV3416,0)</f>
        <v/>
      </c>
      <c r="AW3745">
        <f>IF('01_Вводные'!$B$234="Да",'19_Расчет_аналитики'!AW3416,0)</f>
        <v/>
      </c>
      <c r="AX3745">
        <f>IF('01_Вводные'!$B$234="Да",'19_Расчет_аналитики'!AX3416,0)</f>
        <v/>
      </c>
      <c r="AY3745">
        <f>IF('01_Вводные'!$B$234="Да",'19_Расчет_аналитики'!AY3416,0)</f>
        <v/>
      </c>
      <c r="AZ3745">
        <f>IF('01_Вводные'!$B$234="Да",'19_Расчет_аналитики'!AZ3416,0)</f>
        <v/>
      </c>
      <c r="BA3745">
        <f>IF('01_Вводные'!$B$234="Да",'19_Расчет_аналитики'!BA3416,0)</f>
        <v/>
      </c>
      <c r="BB3745">
        <f>IF('01_Вводные'!$B$234="Да",'19_Расчет_аналитики'!BB3416,0)</f>
        <v/>
      </c>
      <c r="BC3745">
        <f>IF('01_Вводные'!$B$234="Да",'19_Расчет_аналитики'!BC3416,0)</f>
        <v/>
      </c>
      <c r="BD3745">
        <f>IF('01_Вводные'!$B$234="Да",'19_Расчет_аналитики'!BD3416,0)</f>
        <v/>
      </c>
      <c r="BE3745">
        <f>IF('01_Вводные'!$B$234="Да",'19_Расчет_аналитики'!BE3416,0)</f>
        <v/>
      </c>
      <c r="BF3745">
        <f>IF('01_Вводные'!$B$234="Да",'19_Расчет_аналитики'!BF3416,0)</f>
        <v/>
      </c>
      <c r="BG3745">
        <f>IF('01_Вводные'!$B$234="Да",'19_Расчет_аналитики'!BG3416,0)</f>
        <v/>
      </c>
      <c r="BH3745">
        <f>IF('01_Вводные'!$B$234="Да",'19_Расчет_аналитики'!BH3416,0)</f>
        <v/>
      </c>
      <c r="BI3745">
        <f>IF('01_Вводные'!$B$234="Да",'19_Расчет_аналитики'!BI3416,0)</f>
        <v/>
      </c>
    </row>
    <row r="3746"/>
    <row r="3747"/>
    <row r="3748">
      <c r="B3748">
        <f>'02_Модель'!B18</f>
        <v/>
      </c>
      <c r="C3748">
        <f>IF('01_Вводные'!$B$234="Да",'19_Расчет_аналитики'!C3385,0)</f>
        <v/>
      </c>
      <c r="D3748">
        <f>IF('01_Вводные'!$B$234="Да",'19_Расчет_аналитики'!D3385,0)</f>
        <v/>
      </c>
      <c r="E3748">
        <f>IF('01_Вводные'!$B$234="Да",'19_Расчет_аналитики'!E3385,0)</f>
        <v/>
      </c>
      <c r="F3748">
        <f>IF('01_Вводные'!$B$234="Да",'19_Расчет_аналитики'!F3385,0)</f>
        <v/>
      </c>
      <c r="G3748">
        <f>IF('01_Вводные'!$B$234="Да",'19_Расчет_аналитики'!G3385,0)</f>
        <v/>
      </c>
      <c r="H3748">
        <f>IF('01_Вводные'!$B$234="Да",'19_Расчет_аналитики'!H3385,0)</f>
        <v/>
      </c>
      <c r="I3748">
        <f>IF('01_Вводные'!$B$234="Да",'19_Расчет_аналитики'!I3385,0)</f>
        <v/>
      </c>
      <c r="J3748">
        <f>IF('01_Вводные'!$B$234="Да",'19_Расчет_аналитики'!J3385,0)</f>
        <v/>
      </c>
      <c r="K3748">
        <f>IF('01_Вводные'!$B$234="Да",'19_Расчет_аналитики'!K3385,0)</f>
        <v/>
      </c>
      <c r="L3748">
        <f>IF('01_Вводные'!$B$234="Да",'19_Расчет_аналитики'!L3385,0)</f>
        <v/>
      </c>
      <c r="M3748">
        <f>IF('01_Вводные'!$B$234="Да",'19_Расчет_аналитики'!M3385,0)</f>
        <v/>
      </c>
      <c r="N3748">
        <f>IF('01_Вводные'!$B$234="Да",'19_Расчет_аналитики'!N3385,0)</f>
        <v/>
      </c>
      <c r="O3748">
        <f>IF('01_Вводные'!$B$234="Да",'19_Расчет_аналитики'!O3385,0)</f>
        <v/>
      </c>
      <c r="P3748">
        <f>IF('01_Вводные'!$B$234="Да",'19_Расчет_аналитики'!P3385,0)</f>
        <v/>
      </c>
      <c r="Q3748">
        <f>IF('01_Вводные'!$B$234="Да",'19_Расчет_аналитики'!Q3385,0)</f>
        <v/>
      </c>
      <c r="R3748">
        <f>IF('01_Вводные'!$B$234="Да",'19_Расчет_аналитики'!R3385,0)</f>
        <v/>
      </c>
      <c r="S3748">
        <f>IF('01_Вводные'!$B$234="Да",'19_Расчет_аналитики'!S3385,0)</f>
        <v/>
      </c>
      <c r="T3748">
        <f>IF('01_Вводные'!$B$234="Да",'19_Расчет_аналитики'!T3385,0)</f>
        <v/>
      </c>
      <c r="U3748">
        <f>IF('01_Вводные'!$B$234="Да",'19_Расчет_аналитики'!U3385,0)</f>
        <v/>
      </c>
      <c r="V3748">
        <f>IF('01_Вводные'!$B$234="Да",'19_Расчет_аналитики'!V3385,0)</f>
        <v/>
      </c>
      <c r="W3748">
        <f>IF('01_Вводные'!$B$234="Да",'19_Расчет_аналитики'!W3385,0)</f>
        <v/>
      </c>
      <c r="X3748">
        <f>IF('01_Вводные'!$B$234="Да",'19_Расчет_аналитики'!X3385,0)</f>
        <v/>
      </c>
      <c r="Y3748">
        <f>IF('01_Вводные'!$B$234="Да",'19_Расчет_аналитики'!Y3385,0)</f>
        <v/>
      </c>
      <c r="Z3748">
        <f>IF('01_Вводные'!$B$234="Да",'19_Расчет_аналитики'!Z3385,0)</f>
        <v/>
      </c>
      <c r="AA3748">
        <f>IF('01_Вводные'!$B$234="Да",'19_Расчет_аналитики'!AA3385,0)</f>
        <v/>
      </c>
      <c r="AB3748">
        <f>IF('01_Вводные'!$B$234="Да",'19_Расчет_аналитики'!AB3385,0)</f>
        <v/>
      </c>
      <c r="AC3748">
        <f>IF('01_Вводные'!$B$234="Да",'19_Расчет_аналитики'!AC3385,0)</f>
        <v/>
      </c>
      <c r="AD3748">
        <f>IF('01_Вводные'!$B$234="Да",'19_Расчет_аналитики'!AD3385,0)</f>
        <v/>
      </c>
      <c r="AE3748">
        <f>IF('01_Вводные'!$B$234="Да",'19_Расчет_аналитики'!AE3385,0)</f>
        <v/>
      </c>
      <c r="AF3748">
        <f>IF('01_Вводные'!$B$234="Да",'19_Расчет_аналитики'!AF3385,0)</f>
        <v/>
      </c>
      <c r="AG3748">
        <f>IF('01_Вводные'!$B$234="Да",'19_Расчет_аналитики'!AG3385,0)</f>
        <v/>
      </c>
      <c r="AH3748">
        <f>IF('01_Вводные'!$B$234="Да",'19_Расчет_аналитики'!AH3385,0)</f>
        <v/>
      </c>
      <c r="AI3748">
        <f>IF('01_Вводные'!$B$234="Да",'19_Расчет_аналитики'!AI3385,0)</f>
        <v/>
      </c>
      <c r="AJ3748">
        <f>IF('01_Вводные'!$B$234="Да",'19_Расчет_аналитики'!AJ3385,0)</f>
        <v/>
      </c>
      <c r="AK3748">
        <f>IF('01_Вводные'!$B$234="Да",'19_Расчет_аналитики'!AK3385,0)</f>
        <v/>
      </c>
      <c r="AL3748">
        <f>IF('01_Вводные'!$B$234="Да",'19_Расчет_аналитики'!AL3385,0)</f>
        <v/>
      </c>
      <c r="AM3748">
        <f>IF('01_Вводные'!$B$234="Да",'19_Расчет_аналитики'!AM3385,0)</f>
        <v/>
      </c>
      <c r="AN3748">
        <f>IF('01_Вводные'!$B$234="Да",'19_Расчет_аналитики'!AN3385,0)</f>
        <v/>
      </c>
      <c r="AO3748">
        <f>IF('01_Вводные'!$B$234="Да",'19_Расчет_аналитики'!AO3385,0)</f>
        <v/>
      </c>
      <c r="AP3748">
        <f>IF('01_Вводные'!$B$234="Да",'19_Расчет_аналитики'!AP3385,0)</f>
        <v/>
      </c>
      <c r="AQ3748">
        <f>IF('01_Вводные'!$B$234="Да",'19_Расчет_аналитики'!AQ3385,0)</f>
        <v/>
      </c>
      <c r="AR3748">
        <f>IF('01_Вводные'!$B$234="Да",'19_Расчет_аналитики'!AR3385,0)</f>
        <v/>
      </c>
      <c r="AS3748">
        <f>IF('01_Вводные'!$B$234="Да",'19_Расчет_аналитики'!AS3385,0)</f>
        <v/>
      </c>
      <c r="AT3748">
        <f>IF('01_Вводные'!$B$234="Да",'19_Расчет_аналитики'!AT3385,0)</f>
        <v/>
      </c>
      <c r="AU3748">
        <f>IF('01_Вводные'!$B$234="Да",'19_Расчет_аналитики'!AU3385,0)</f>
        <v/>
      </c>
      <c r="AV3748">
        <f>IF('01_Вводные'!$B$234="Да",'19_Расчет_аналитики'!AV3385,0)</f>
        <v/>
      </c>
      <c r="AW3748">
        <f>IF('01_Вводные'!$B$234="Да",'19_Расчет_аналитики'!AW3385,0)</f>
        <v/>
      </c>
      <c r="AX3748">
        <f>IF('01_Вводные'!$B$234="Да",'19_Расчет_аналитики'!AX3385,0)</f>
        <v/>
      </c>
      <c r="AY3748">
        <f>IF('01_Вводные'!$B$234="Да",'19_Расчет_аналитики'!AY3385,0)</f>
        <v/>
      </c>
      <c r="AZ3748">
        <f>IF('01_Вводные'!$B$234="Да",'19_Расчет_аналитики'!AZ3385,0)</f>
        <v/>
      </c>
      <c r="BA3748">
        <f>IF('01_Вводные'!$B$234="Да",'19_Расчет_аналитики'!BA3385,0)</f>
        <v/>
      </c>
      <c r="BB3748">
        <f>IF('01_Вводные'!$B$234="Да",'19_Расчет_аналитики'!BB3385,0)</f>
        <v/>
      </c>
      <c r="BC3748">
        <f>IF('01_Вводные'!$B$234="Да",'19_Расчет_аналитики'!BC3385,0)</f>
        <v/>
      </c>
      <c r="BD3748">
        <f>IF('01_Вводные'!$B$234="Да",'19_Расчет_аналитики'!BD3385,0)</f>
        <v/>
      </c>
      <c r="BE3748">
        <f>IF('01_Вводные'!$B$234="Да",'19_Расчет_аналитики'!BE3385,0)</f>
        <v/>
      </c>
      <c r="BF3748">
        <f>IF('01_Вводные'!$B$234="Да",'19_Расчет_аналитики'!BF3385,0)</f>
        <v/>
      </c>
      <c r="BG3748">
        <f>IF('01_Вводные'!$B$234="Да",'19_Расчет_аналитики'!BG3385,0)</f>
        <v/>
      </c>
      <c r="BH3748">
        <f>IF('01_Вводные'!$B$234="Да",'19_Расчет_аналитики'!BH3385,0)</f>
        <v/>
      </c>
      <c r="BI3748">
        <f>IF('01_Вводные'!$B$234="Да",'19_Расчет_аналитики'!BI3385,0)</f>
        <v/>
      </c>
    </row>
    <row r="3749">
      <c r="B3749">
        <f>IF('01_Вводные'!$B$234="Да",'19_Расчет_аналитики'!B3419/(1+'01_Вводные'!$B$58),0)</f>
        <v/>
      </c>
      <c r="C3749">
        <f>IF('01_Вводные'!$B$234="Да",'19_Расчет_аналитики'!C3419/(1+'01_Вводные'!$B$58),0)</f>
        <v/>
      </c>
      <c r="D3749">
        <f>IF('01_Вводные'!$B$234="Да",'19_Расчет_аналитики'!D3419/(1+'01_Вводные'!$B$58),0)</f>
        <v/>
      </c>
      <c r="E3749">
        <f>IF('01_Вводные'!$B$234="Да",'19_Расчет_аналитики'!E3419/(1+'01_Вводные'!$B$58),0)</f>
        <v/>
      </c>
      <c r="F3749">
        <f>IF('01_Вводные'!$B$234="Да",'19_Расчет_аналитики'!F3419/(1+'01_Вводные'!$B$58),0)</f>
        <v/>
      </c>
      <c r="G3749">
        <f>IF('01_Вводные'!$B$234="Да",'19_Расчет_аналитики'!G3419/(1+'01_Вводные'!$B$58),0)</f>
        <v/>
      </c>
      <c r="H3749">
        <f>IF('01_Вводные'!$B$234="Да",'19_Расчет_аналитики'!H3419/(1+'01_Вводные'!$B$58),0)</f>
        <v/>
      </c>
      <c r="I3749">
        <f>IF('01_Вводные'!$B$234="Да",'19_Расчет_аналитики'!I3419/(1+'01_Вводные'!$B$58),0)</f>
        <v/>
      </c>
      <c r="J3749">
        <f>IF('01_Вводные'!$B$234="Да",'19_Расчет_аналитики'!J3419/(1+'01_Вводные'!$B$58),0)</f>
        <v/>
      </c>
      <c r="K3749">
        <f>IF('01_Вводные'!$B$234="Да",'19_Расчет_аналитики'!K3419/(1+'01_Вводные'!$B$58),0)</f>
        <v/>
      </c>
      <c r="L3749">
        <f>IF('01_Вводные'!$B$234="Да",'19_Расчет_аналитики'!L3419/(1+'01_Вводные'!$B$58),0)</f>
        <v/>
      </c>
      <c r="M3749">
        <f>IF('01_Вводные'!$B$234="Да",'19_Расчет_аналитики'!M3419/(1+'01_Вводные'!$B$58),0)</f>
        <v/>
      </c>
      <c r="N3749">
        <f>IF('01_Вводные'!$B$234="Да",'19_Расчет_аналитики'!N3419/(1+'01_Вводные'!$B$58),0)</f>
        <v/>
      </c>
      <c r="O3749">
        <f>IF('01_Вводные'!$B$234="Да",'19_Расчет_аналитики'!O3419/(1+'01_Вводные'!$B$58),0)</f>
        <v/>
      </c>
      <c r="P3749">
        <f>IF('01_Вводные'!$B$234="Да",'19_Расчет_аналитики'!P3419/(1+'01_Вводные'!$B$58),0)</f>
        <v/>
      </c>
      <c r="Q3749">
        <f>IF('01_Вводные'!$B$234="Да",'19_Расчет_аналитики'!Q3419/(1+'01_Вводные'!$B$58),0)</f>
        <v/>
      </c>
      <c r="R3749">
        <f>IF('01_Вводные'!$B$234="Да",'19_Расчет_аналитики'!R3419/(1+'01_Вводные'!$B$58),0)</f>
        <v/>
      </c>
      <c r="S3749">
        <f>IF('01_Вводные'!$B$234="Да",'19_Расчет_аналитики'!S3419/(1+'01_Вводные'!$B$58),0)</f>
        <v/>
      </c>
      <c r="T3749">
        <f>IF('01_Вводные'!$B$234="Да",'19_Расчет_аналитики'!T3419/(1+'01_Вводные'!$B$58),0)</f>
        <v/>
      </c>
      <c r="U3749">
        <f>IF('01_Вводные'!$B$234="Да",'19_Расчет_аналитики'!U3419/(1+'01_Вводные'!$B$58),0)</f>
        <v/>
      </c>
      <c r="V3749">
        <f>IF('01_Вводные'!$B$234="Да",'19_Расчет_аналитики'!V3419/(1+'01_Вводные'!$B$58),0)</f>
        <v/>
      </c>
      <c r="W3749">
        <f>IF('01_Вводные'!$B$234="Да",'19_Расчет_аналитики'!W3419/(1+'01_Вводные'!$B$58),0)</f>
        <v/>
      </c>
      <c r="X3749">
        <f>IF('01_Вводные'!$B$234="Да",'19_Расчет_аналитики'!X3419/(1+'01_Вводные'!$B$58),0)</f>
        <v/>
      </c>
      <c r="Y3749">
        <f>IF('01_Вводные'!$B$234="Да",'19_Расчет_аналитики'!Y3419/(1+'01_Вводные'!$B$58),0)</f>
        <v/>
      </c>
      <c r="Z3749">
        <f>IF('01_Вводные'!$B$234="Да",'19_Расчет_аналитики'!Z3419/(1+'01_Вводные'!$B$58),0)</f>
        <v/>
      </c>
      <c r="AA3749">
        <f>IF('01_Вводные'!$B$234="Да",'19_Расчет_аналитики'!AA3419/(1+'01_Вводные'!$B$58),0)</f>
        <v/>
      </c>
      <c r="AB3749">
        <f>IF('01_Вводные'!$B$234="Да",'19_Расчет_аналитики'!AB3419/(1+'01_Вводные'!$B$58),0)</f>
        <v/>
      </c>
      <c r="AC3749">
        <f>IF('01_Вводные'!$B$234="Да",'19_Расчет_аналитики'!AC3419/(1+'01_Вводные'!$B$58),0)</f>
        <v/>
      </c>
      <c r="AD3749">
        <f>IF('01_Вводные'!$B$234="Да",'19_Расчет_аналитики'!AD3419/(1+'01_Вводные'!$B$58),0)</f>
        <v/>
      </c>
      <c r="AE3749">
        <f>IF('01_Вводные'!$B$234="Да",'19_Расчет_аналитики'!AE3419/(1+'01_Вводные'!$B$58),0)</f>
        <v/>
      </c>
      <c r="AF3749">
        <f>IF('01_Вводные'!$B$234="Да",'19_Расчет_аналитики'!AF3419/(1+'01_Вводные'!$B$58),0)</f>
        <v/>
      </c>
      <c r="AG3749">
        <f>IF('01_Вводные'!$B$234="Да",'19_Расчет_аналитики'!AG3419/(1+'01_Вводные'!$B$58),0)</f>
        <v/>
      </c>
      <c r="AH3749">
        <f>IF('01_Вводные'!$B$234="Да",'19_Расчет_аналитики'!AH3419/(1+'01_Вводные'!$B$58),0)</f>
        <v/>
      </c>
      <c r="AI3749">
        <f>IF('01_Вводные'!$B$234="Да",'19_Расчет_аналитики'!AI3419/(1+'01_Вводные'!$B$58),0)</f>
        <v/>
      </c>
      <c r="AJ3749">
        <f>IF('01_Вводные'!$B$234="Да",'19_Расчет_аналитики'!AJ3419/(1+'01_Вводные'!$B$58),0)</f>
        <v/>
      </c>
      <c r="AK3749">
        <f>IF('01_Вводные'!$B$234="Да",'19_Расчет_аналитики'!AK3419/(1+'01_Вводные'!$B$58),0)</f>
        <v/>
      </c>
      <c r="AL3749">
        <f>IF('01_Вводные'!$B$234="Да",'19_Расчет_аналитики'!AL3419/(1+'01_Вводные'!$B$58),0)</f>
        <v/>
      </c>
      <c r="AM3749">
        <f>IF('01_Вводные'!$B$234="Да",'19_Расчет_аналитики'!AM3419/(1+'01_Вводные'!$B$58),0)</f>
        <v/>
      </c>
      <c r="AN3749">
        <f>IF('01_Вводные'!$B$234="Да",'19_Расчет_аналитики'!AN3419/(1+'01_Вводные'!$B$58),0)</f>
        <v/>
      </c>
      <c r="AO3749">
        <f>IF('01_Вводные'!$B$234="Да",'19_Расчет_аналитики'!AO3419/(1+'01_Вводные'!$B$58),0)</f>
        <v/>
      </c>
      <c r="AP3749">
        <f>IF('01_Вводные'!$B$234="Да",'19_Расчет_аналитики'!AP3419/(1+'01_Вводные'!$B$58),0)</f>
        <v/>
      </c>
      <c r="AQ3749">
        <f>IF('01_Вводные'!$B$234="Да",'19_Расчет_аналитики'!AQ3419/(1+'01_Вводные'!$B$58),0)</f>
        <v/>
      </c>
      <c r="AR3749">
        <f>IF('01_Вводные'!$B$234="Да",'19_Расчет_аналитики'!AR3419/(1+'01_Вводные'!$B$58),0)</f>
        <v/>
      </c>
      <c r="AS3749">
        <f>IF('01_Вводные'!$B$234="Да",'19_Расчет_аналитики'!AS3419/(1+'01_Вводные'!$B$58),0)</f>
        <v/>
      </c>
      <c r="AT3749">
        <f>IF('01_Вводные'!$B$234="Да",'19_Расчет_аналитики'!AT3419/(1+'01_Вводные'!$B$58),0)</f>
        <v/>
      </c>
      <c r="AU3749">
        <f>IF('01_Вводные'!$B$234="Да",'19_Расчет_аналитики'!AU3419/(1+'01_Вводные'!$B$58),0)</f>
        <v/>
      </c>
      <c r="AV3749">
        <f>IF('01_Вводные'!$B$234="Да",'19_Расчет_аналитики'!AV3419/(1+'01_Вводные'!$B$58),0)</f>
        <v/>
      </c>
      <c r="AW3749">
        <f>IF('01_Вводные'!$B$234="Да",'19_Расчет_аналитики'!AW3419/(1+'01_Вводные'!$B$58),0)</f>
        <v/>
      </c>
      <c r="AX3749">
        <f>IF('01_Вводные'!$B$234="Да",'19_Расчет_аналитики'!AX3419/(1+'01_Вводные'!$B$58),0)</f>
        <v/>
      </c>
      <c r="AY3749">
        <f>IF('01_Вводные'!$B$234="Да",'19_Расчет_аналитики'!AY3419/(1+'01_Вводные'!$B$58),0)</f>
        <v/>
      </c>
      <c r="AZ3749">
        <f>IF('01_Вводные'!$B$234="Да",'19_Расчет_аналитики'!AZ3419/(1+'01_Вводные'!$B$58),0)</f>
        <v/>
      </c>
      <c r="BA3749">
        <f>IF('01_Вводные'!$B$234="Да",'19_Расчет_аналитики'!BA3419/(1+'01_Вводные'!$B$58),0)</f>
        <v/>
      </c>
      <c r="BB3749">
        <f>IF('01_Вводные'!$B$234="Да",'19_Расчет_аналитики'!BB3419/(1+'01_Вводные'!$B$58),0)</f>
        <v/>
      </c>
      <c r="BC3749">
        <f>IF('01_Вводные'!$B$234="Да",'19_Расчет_аналитики'!BC3419/(1+'01_Вводные'!$B$58),0)</f>
        <v/>
      </c>
      <c r="BD3749">
        <f>IF('01_Вводные'!$B$234="Да",'19_Расчет_аналитики'!BD3419/(1+'01_Вводные'!$B$58),0)</f>
        <v/>
      </c>
      <c r="BE3749">
        <f>IF('01_Вводные'!$B$234="Да",'19_Расчет_аналитики'!BE3419/(1+'01_Вводные'!$B$58),0)</f>
        <v/>
      </c>
      <c r="BF3749">
        <f>IF('01_Вводные'!$B$234="Да",'19_Расчет_аналитики'!BF3419/(1+'01_Вводные'!$B$58),0)</f>
        <v/>
      </c>
      <c r="BG3749">
        <f>IF('01_Вводные'!$B$234="Да",'19_Расчет_аналитики'!BG3419/(1+'01_Вводные'!$B$58),0)</f>
        <v/>
      </c>
      <c r="BH3749">
        <f>IF('01_Вводные'!$B$234="Да",'19_Расчет_аналитики'!BH3419/(1+'01_Вводные'!$B$58),0)</f>
        <v/>
      </c>
      <c r="BI3749">
        <f>IF('01_Вводные'!$B$234="Да",'19_Расчет_аналитики'!BI3419/(1+'01_Вводные'!$B$58),0)</f>
        <v/>
      </c>
    </row>
    <row r="3750">
      <c r="B3750">
        <f>IF('01_Вводные'!$B$234="Да",'19_Расчет_аналитики'!B3420/(1+'01_Вводные'!$B$58),0)</f>
        <v/>
      </c>
      <c r="C3750">
        <f>IF('01_Вводные'!$B$234="Да",'19_Расчет_аналитики'!C3420/(1+'01_Вводные'!$B$58),0)</f>
        <v/>
      </c>
      <c r="D3750">
        <f>IF('01_Вводные'!$B$234="Да",'19_Расчет_аналитики'!D3420/(1+'01_Вводные'!$B$58),0)</f>
        <v/>
      </c>
      <c r="E3750">
        <f>IF('01_Вводные'!$B$234="Да",'19_Расчет_аналитики'!E3420/(1+'01_Вводные'!$B$58),0)</f>
        <v/>
      </c>
      <c r="F3750">
        <f>IF('01_Вводные'!$B$234="Да",'19_Расчет_аналитики'!F3420/(1+'01_Вводные'!$B$58),0)</f>
        <v/>
      </c>
      <c r="G3750">
        <f>IF('01_Вводные'!$B$234="Да",'19_Расчет_аналитики'!G3420/(1+'01_Вводные'!$B$58),0)</f>
        <v/>
      </c>
      <c r="H3750">
        <f>IF('01_Вводные'!$B$234="Да",'19_Расчет_аналитики'!H3420/(1+'01_Вводные'!$B$58),0)</f>
        <v/>
      </c>
      <c r="I3750">
        <f>IF('01_Вводные'!$B$234="Да",'19_Расчет_аналитики'!I3420/(1+'01_Вводные'!$B$58),0)</f>
        <v/>
      </c>
      <c r="J3750">
        <f>IF('01_Вводные'!$B$234="Да",'19_Расчет_аналитики'!J3420/(1+'01_Вводные'!$B$58),0)</f>
        <v/>
      </c>
      <c r="K3750">
        <f>IF('01_Вводные'!$B$234="Да",'19_Расчет_аналитики'!K3420/(1+'01_Вводные'!$B$58),0)</f>
        <v/>
      </c>
      <c r="L3750">
        <f>IF('01_Вводные'!$B$234="Да",'19_Расчет_аналитики'!L3420/(1+'01_Вводные'!$B$58),0)</f>
        <v/>
      </c>
      <c r="M3750">
        <f>IF('01_Вводные'!$B$234="Да",'19_Расчет_аналитики'!M3420/(1+'01_Вводные'!$B$58),0)</f>
        <v/>
      </c>
      <c r="N3750">
        <f>IF('01_Вводные'!$B$234="Да",'19_Расчет_аналитики'!N3420/(1+'01_Вводные'!$B$58),0)</f>
        <v/>
      </c>
      <c r="O3750">
        <f>IF('01_Вводные'!$B$234="Да",'19_Расчет_аналитики'!O3420/(1+'01_Вводные'!$B$58),0)</f>
        <v/>
      </c>
      <c r="P3750">
        <f>IF('01_Вводные'!$B$234="Да",'19_Расчет_аналитики'!P3420/(1+'01_Вводные'!$B$58),0)</f>
        <v/>
      </c>
      <c r="Q3750">
        <f>IF('01_Вводные'!$B$234="Да",'19_Расчет_аналитики'!Q3420/(1+'01_Вводные'!$B$58),0)</f>
        <v/>
      </c>
      <c r="R3750">
        <f>IF('01_Вводные'!$B$234="Да",'19_Расчет_аналитики'!R3420/(1+'01_Вводные'!$B$58),0)</f>
        <v/>
      </c>
      <c r="S3750">
        <f>IF('01_Вводные'!$B$234="Да",'19_Расчет_аналитики'!S3420/(1+'01_Вводные'!$B$58),0)</f>
        <v/>
      </c>
      <c r="T3750">
        <f>IF('01_Вводные'!$B$234="Да",'19_Расчет_аналитики'!T3420/(1+'01_Вводные'!$B$58),0)</f>
        <v/>
      </c>
      <c r="U3750">
        <f>IF('01_Вводные'!$B$234="Да",'19_Расчет_аналитики'!U3420/(1+'01_Вводные'!$B$58),0)</f>
        <v/>
      </c>
      <c r="V3750">
        <f>IF('01_Вводные'!$B$234="Да",'19_Расчет_аналитики'!V3420/(1+'01_Вводные'!$B$58),0)</f>
        <v/>
      </c>
      <c r="W3750">
        <f>IF('01_Вводные'!$B$234="Да",'19_Расчет_аналитики'!W3420/(1+'01_Вводные'!$B$58),0)</f>
        <v/>
      </c>
      <c r="X3750">
        <f>IF('01_Вводные'!$B$234="Да",'19_Расчет_аналитики'!X3420/(1+'01_Вводные'!$B$58),0)</f>
        <v/>
      </c>
      <c r="Y3750">
        <f>IF('01_Вводные'!$B$234="Да",'19_Расчет_аналитики'!Y3420/(1+'01_Вводные'!$B$58),0)</f>
        <v/>
      </c>
      <c r="Z3750">
        <f>IF('01_Вводные'!$B$234="Да",'19_Расчет_аналитики'!Z3420/(1+'01_Вводные'!$B$58),0)</f>
        <v/>
      </c>
      <c r="AA3750">
        <f>IF('01_Вводные'!$B$234="Да",'19_Расчет_аналитики'!AA3420/(1+'01_Вводные'!$B$58),0)</f>
        <v/>
      </c>
      <c r="AB3750">
        <f>IF('01_Вводные'!$B$234="Да",'19_Расчет_аналитики'!AB3420/(1+'01_Вводные'!$B$58),0)</f>
        <v/>
      </c>
      <c r="AC3750">
        <f>IF('01_Вводные'!$B$234="Да",'19_Расчет_аналитики'!AC3420/(1+'01_Вводные'!$B$58),0)</f>
        <v/>
      </c>
      <c r="AD3750">
        <f>IF('01_Вводные'!$B$234="Да",'19_Расчет_аналитики'!AD3420/(1+'01_Вводные'!$B$58),0)</f>
        <v/>
      </c>
      <c r="AE3750">
        <f>IF('01_Вводные'!$B$234="Да",'19_Расчет_аналитики'!AE3420/(1+'01_Вводные'!$B$58),0)</f>
        <v/>
      </c>
      <c r="AF3750">
        <f>IF('01_Вводные'!$B$234="Да",'19_Расчет_аналитики'!AF3420/(1+'01_Вводные'!$B$58),0)</f>
        <v/>
      </c>
      <c r="AG3750">
        <f>IF('01_Вводные'!$B$234="Да",'19_Расчет_аналитики'!AG3420/(1+'01_Вводные'!$B$58),0)</f>
        <v/>
      </c>
      <c r="AH3750">
        <f>IF('01_Вводные'!$B$234="Да",'19_Расчет_аналитики'!AH3420/(1+'01_Вводные'!$B$58),0)</f>
        <v/>
      </c>
      <c r="AI3750">
        <f>IF('01_Вводные'!$B$234="Да",'19_Расчет_аналитики'!AI3420/(1+'01_Вводные'!$B$58),0)</f>
        <v/>
      </c>
      <c r="AJ3750">
        <f>IF('01_Вводные'!$B$234="Да",'19_Расчет_аналитики'!AJ3420/(1+'01_Вводные'!$B$58),0)</f>
        <v/>
      </c>
      <c r="AK3750">
        <f>IF('01_Вводные'!$B$234="Да",'19_Расчет_аналитики'!AK3420/(1+'01_Вводные'!$B$58),0)</f>
        <v/>
      </c>
      <c r="AL3750">
        <f>IF('01_Вводные'!$B$234="Да",'19_Расчет_аналитики'!AL3420/(1+'01_Вводные'!$B$58),0)</f>
        <v/>
      </c>
      <c r="AM3750">
        <f>IF('01_Вводные'!$B$234="Да",'19_Расчет_аналитики'!AM3420/(1+'01_Вводные'!$B$58),0)</f>
        <v/>
      </c>
      <c r="AN3750">
        <f>IF('01_Вводные'!$B$234="Да",'19_Расчет_аналитики'!AN3420/(1+'01_Вводные'!$B$58),0)</f>
        <v/>
      </c>
      <c r="AO3750">
        <f>IF('01_Вводные'!$B$234="Да",'19_Расчет_аналитики'!AO3420/(1+'01_Вводные'!$B$58),0)</f>
        <v/>
      </c>
      <c r="AP3750">
        <f>IF('01_Вводные'!$B$234="Да",'19_Расчет_аналитики'!AP3420/(1+'01_Вводные'!$B$58),0)</f>
        <v/>
      </c>
      <c r="AQ3750">
        <f>IF('01_Вводные'!$B$234="Да",'19_Расчет_аналитики'!AQ3420/(1+'01_Вводные'!$B$58),0)</f>
        <v/>
      </c>
      <c r="AR3750">
        <f>IF('01_Вводные'!$B$234="Да",'19_Расчет_аналитики'!AR3420/(1+'01_Вводные'!$B$58),0)</f>
        <v/>
      </c>
      <c r="AS3750">
        <f>IF('01_Вводные'!$B$234="Да",'19_Расчет_аналитики'!AS3420/(1+'01_Вводные'!$B$58),0)</f>
        <v/>
      </c>
      <c r="AT3750">
        <f>IF('01_Вводные'!$B$234="Да",'19_Расчет_аналитики'!AT3420/(1+'01_Вводные'!$B$58),0)</f>
        <v/>
      </c>
      <c r="AU3750">
        <f>IF('01_Вводные'!$B$234="Да",'19_Расчет_аналитики'!AU3420/(1+'01_Вводные'!$B$58),0)</f>
        <v/>
      </c>
      <c r="AV3750">
        <f>IF('01_Вводные'!$B$234="Да",'19_Расчет_аналитики'!AV3420/(1+'01_Вводные'!$B$58),0)</f>
        <v/>
      </c>
      <c r="AW3750">
        <f>IF('01_Вводные'!$B$234="Да",'19_Расчет_аналитики'!AW3420/(1+'01_Вводные'!$B$58),0)</f>
        <v/>
      </c>
      <c r="AX3750">
        <f>IF('01_Вводные'!$B$234="Да",'19_Расчет_аналитики'!AX3420/(1+'01_Вводные'!$B$58),0)</f>
        <v/>
      </c>
      <c r="AY3750">
        <f>IF('01_Вводные'!$B$234="Да",'19_Расчет_аналитики'!AY3420/(1+'01_Вводные'!$B$58),0)</f>
        <v/>
      </c>
      <c r="AZ3750">
        <f>IF('01_Вводные'!$B$234="Да",'19_Расчет_аналитики'!AZ3420/(1+'01_Вводные'!$B$58),0)</f>
        <v/>
      </c>
      <c r="BA3750">
        <f>IF('01_Вводные'!$B$234="Да",'19_Расчет_аналитики'!BA3420/(1+'01_Вводные'!$B$58),0)</f>
        <v/>
      </c>
      <c r="BB3750">
        <f>IF('01_Вводные'!$B$234="Да",'19_Расчет_аналитики'!BB3420/(1+'01_Вводные'!$B$58),0)</f>
        <v/>
      </c>
      <c r="BC3750">
        <f>IF('01_Вводные'!$B$234="Да",'19_Расчет_аналитики'!BC3420/(1+'01_Вводные'!$B$58),0)</f>
        <v/>
      </c>
      <c r="BD3750">
        <f>IF('01_Вводные'!$B$234="Да",'19_Расчет_аналитики'!BD3420/(1+'01_Вводные'!$B$58),0)</f>
        <v/>
      </c>
      <c r="BE3750">
        <f>IF('01_Вводные'!$B$234="Да",'19_Расчет_аналитики'!BE3420/(1+'01_Вводные'!$B$58),0)</f>
        <v/>
      </c>
      <c r="BF3750">
        <f>IF('01_Вводные'!$B$234="Да",'19_Расчет_аналитики'!BF3420/(1+'01_Вводные'!$B$58),0)</f>
        <v/>
      </c>
      <c r="BG3750">
        <f>IF('01_Вводные'!$B$234="Да",'19_Расчет_аналитики'!BG3420/(1+'01_Вводные'!$B$58),0)</f>
        <v/>
      </c>
      <c r="BH3750">
        <f>IF('01_Вводные'!$B$234="Да",'19_Расчет_аналитики'!BH3420/(1+'01_Вводные'!$B$58),0)</f>
        <v/>
      </c>
      <c r="BI3750">
        <f>IF('01_Вводные'!$B$234="Да",'19_Расчет_аналитики'!BI3420/(1+'01_Вводные'!$B$58),0)</f>
        <v/>
      </c>
    </row>
    <row r="3751">
      <c r="B3751">
        <f>IF('01_Вводные'!$B$234="Да",'19_Расчет_аналитики'!B3652,0)</f>
        <v/>
      </c>
      <c r="C3751">
        <f>IF('01_Вводные'!$B$234="Да",'19_Расчет_аналитики'!C3652,0)</f>
        <v/>
      </c>
      <c r="D3751">
        <f>IF('01_Вводные'!$B$234="Да",'19_Расчет_аналитики'!D3652,0)</f>
        <v/>
      </c>
      <c r="E3751">
        <f>IF('01_Вводные'!$B$234="Да",'19_Расчет_аналитики'!E3652,0)</f>
        <v/>
      </c>
      <c r="F3751">
        <f>IF('01_Вводные'!$B$234="Да",'19_Расчет_аналитики'!F3652,0)</f>
        <v/>
      </c>
      <c r="G3751">
        <f>IF('01_Вводные'!$B$234="Да",'19_Расчет_аналитики'!G3652,0)</f>
        <v/>
      </c>
      <c r="H3751">
        <f>IF('01_Вводные'!$B$234="Да",'19_Расчет_аналитики'!H3652,0)</f>
        <v/>
      </c>
      <c r="I3751">
        <f>IF('01_Вводные'!$B$234="Да",'19_Расчет_аналитики'!I3652,0)</f>
        <v/>
      </c>
      <c r="J3751">
        <f>IF('01_Вводные'!$B$234="Да",'19_Расчет_аналитики'!J3652,0)</f>
        <v/>
      </c>
      <c r="K3751">
        <f>IF('01_Вводные'!$B$234="Да",'19_Расчет_аналитики'!K3652,0)</f>
        <v/>
      </c>
      <c r="L3751">
        <f>IF('01_Вводные'!$B$234="Да",'19_Расчет_аналитики'!L3652,0)</f>
        <v/>
      </c>
      <c r="M3751">
        <f>IF('01_Вводные'!$B$234="Да",'19_Расчет_аналитики'!M3652,0)</f>
        <v/>
      </c>
      <c r="N3751">
        <f>IF('01_Вводные'!$B$234="Да",'19_Расчет_аналитики'!N3652,0)</f>
        <v/>
      </c>
      <c r="O3751">
        <f>IF('01_Вводные'!$B$234="Да",'19_Расчет_аналитики'!O3652,0)</f>
        <v/>
      </c>
      <c r="P3751">
        <f>IF('01_Вводные'!$B$234="Да",'19_Расчет_аналитики'!P3652,0)</f>
        <v/>
      </c>
      <c r="Q3751">
        <f>IF('01_Вводные'!$B$234="Да",'19_Расчет_аналитики'!Q3652,0)</f>
        <v/>
      </c>
      <c r="R3751">
        <f>IF('01_Вводные'!$B$234="Да",'19_Расчет_аналитики'!R3652,0)</f>
        <v/>
      </c>
      <c r="S3751">
        <f>IF('01_Вводные'!$B$234="Да",'19_Расчет_аналитики'!S3652,0)</f>
        <v/>
      </c>
      <c r="T3751">
        <f>IF('01_Вводные'!$B$234="Да",'19_Расчет_аналитики'!T3652,0)</f>
        <v/>
      </c>
      <c r="U3751">
        <f>IF('01_Вводные'!$B$234="Да",'19_Расчет_аналитики'!U3652,0)</f>
        <v/>
      </c>
      <c r="V3751">
        <f>IF('01_Вводные'!$B$234="Да",'19_Расчет_аналитики'!V3652,0)</f>
        <v/>
      </c>
      <c r="W3751">
        <f>IF('01_Вводные'!$B$234="Да",'19_Расчет_аналитики'!W3652,0)</f>
        <v/>
      </c>
      <c r="X3751">
        <f>IF('01_Вводные'!$B$234="Да",'19_Расчет_аналитики'!X3652,0)</f>
        <v/>
      </c>
      <c r="Y3751">
        <f>IF('01_Вводные'!$B$234="Да",'19_Расчет_аналитики'!Y3652,0)</f>
        <v/>
      </c>
      <c r="Z3751">
        <f>IF('01_Вводные'!$B$234="Да",'19_Расчет_аналитики'!Z3652,0)</f>
        <v/>
      </c>
      <c r="AA3751">
        <f>IF('01_Вводные'!$B$234="Да",'19_Расчет_аналитики'!AA3652,0)</f>
        <v/>
      </c>
      <c r="AB3751">
        <f>IF('01_Вводные'!$B$234="Да",'19_Расчет_аналитики'!AB3652,0)</f>
        <v/>
      </c>
      <c r="AC3751">
        <f>IF('01_Вводные'!$B$234="Да",'19_Расчет_аналитики'!AC3652,0)</f>
        <v/>
      </c>
      <c r="AD3751">
        <f>IF('01_Вводные'!$B$234="Да",'19_Расчет_аналитики'!AD3652,0)</f>
        <v/>
      </c>
      <c r="AE3751">
        <f>IF('01_Вводные'!$B$234="Да",'19_Расчет_аналитики'!AE3652,0)</f>
        <v/>
      </c>
      <c r="AF3751">
        <f>IF('01_Вводные'!$B$234="Да",'19_Расчет_аналитики'!AF3652,0)</f>
        <v/>
      </c>
      <c r="AG3751">
        <f>IF('01_Вводные'!$B$234="Да",'19_Расчет_аналитики'!AG3652,0)</f>
        <v/>
      </c>
      <c r="AH3751">
        <f>IF('01_Вводные'!$B$234="Да",'19_Расчет_аналитики'!AH3652,0)</f>
        <v/>
      </c>
      <c r="AI3751">
        <f>IF('01_Вводные'!$B$234="Да",'19_Расчет_аналитики'!AI3652,0)</f>
        <v/>
      </c>
      <c r="AJ3751">
        <f>IF('01_Вводные'!$B$234="Да",'19_Расчет_аналитики'!AJ3652,0)</f>
        <v/>
      </c>
      <c r="AK3751">
        <f>IF('01_Вводные'!$B$234="Да",'19_Расчет_аналитики'!AK3652,0)</f>
        <v/>
      </c>
      <c r="AL3751">
        <f>IF('01_Вводные'!$B$234="Да",'19_Расчет_аналитики'!AL3652,0)</f>
        <v/>
      </c>
      <c r="AM3751">
        <f>IF('01_Вводные'!$B$234="Да",'19_Расчет_аналитики'!AM3652,0)</f>
        <v/>
      </c>
      <c r="AN3751">
        <f>IF('01_Вводные'!$B$234="Да",'19_Расчет_аналитики'!AN3652,0)</f>
        <v/>
      </c>
      <c r="AO3751">
        <f>IF('01_Вводные'!$B$234="Да",'19_Расчет_аналитики'!AO3652,0)</f>
        <v/>
      </c>
      <c r="AP3751">
        <f>IF('01_Вводные'!$B$234="Да",'19_Расчет_аналитики'!AP3652,0)</f>
        <v/>
      </c>
      <c r="AQ3751">
        <f>IF('01_Вводные'!$B$234="Да",'19_Расчет_аналитики'!AQ3652,0)</f>
        <v/>
      </c>
      <c r="AR3751">
        <f>IF('01_Вводные'!$B$234="Да",'19_Расчет_аналитики'!AR3652,0)</f>
        <v/>
      </c>
      <c r="AS3751">
        <f>IF('01_Вводные'!$B$234="Да",'19_Расчет_аналитики'!AS3652,0)</f>
        <v/>
      </c>
      <c r="AT3751">
        <f>IF('01_Вводные'!$B$234="Да",'19_Расчет_аналитики'!AT3652,0)</f>
        <v/>
      </c>
      <c r="AU3751">
        <f>IF('01_Вводные'!$B$234="Да",'19_Расчет_аналитики'!AU3652,0)</f>
        <v/>
      </c>
      <c r="AV3751">
        <f>IF('01_Вводные'!$B$234="Да",'19_Расчет_аналитики'!AV3652,0)</f>
        <v/>
      </c>
      <c r="AW3751">
        <f>IF('01_Вводные'!$B$234="Да",'19_Расчет_аналитики'!AW3652,0)</f>
        <v/>
      </c>
      <c r="AX3751">
        <f>IF('01_Вводные'!$B$234="Да",'19_Расчет_аналитики'!AX3652,0)</f>
        <v/>
      </c>
      <c r="AY3751">
        <f>IF('01_Вводные'!$B$234="Да",'19_Расчет_аналитики'!AY3652,0)</f>
        <v/>
      </c>
      <c r="AZ3751">
        <f>IF('01_Вводные'!$B$234="Да",'19_Расчет_аналитики'!AZ3652,0)</f>
        <v/>
      </c>
      <c r="BA3751">
        <f>IF('01_Вводные'!$B$234="Да",'19_Расчет_аналитики'!BA3652,0)</f>
        <v/>
      </c>
      <c r="BB3751">
        <f>IF('01_Вводные'!$B$234="Да",'19_Расчет_аналитики'!BB3652,0)</f>
        <v/>
      </c>
      <c r="BC3751">
        <f>IF('01_Вводные'!$B$234="Да",'19_Расчет_аналитики'!BC3652,0)</f>
        <v/>
      </c>
      <c r="BD3751">
        <f>IF('01_Вводные'!$B$234="Да",'19_Расчет_аналитики'!BD3652,0)</f>
        <v/>
      </c>
      <c r="BE3751">
        <f>IF('01_Вводные'!$B$234="Да",'19_Расчет_аналитики'!BE3652,0)</f>
        <v/>
      </c>
      <c r="BF3751">
        <f>IF('01_Вводные'!$B$234="Да",'19_Расчет_аналитики'!BF3652,0)</f>
        <v/>
      </c>
      <c r="BG3751">
        <f>IF('01_Вводные'!$B$234="Да",'19_Расчет_аналитики'!BG3652,0)</f>
        <v/>
      </c>
      <c r="BH3751">
        <f>IF('01_Вводные'!$B$234="Да",'19_Расчет_аналитики'!BH3652,0)</f>
        <v/>
      </c>
      <c r="BI3751">
        <f>IF('01_Вводные'!$B$234="Да",'19_Расчет_аналитики'!BI3652,0)</f>
        <v/>
      </c>
    </row>
    <row r="3752">
      <c r="B3752">
        <f>'02_Модель'!B22</f>
        <v/>
      </c>
      <c r="C3752">
        <f>'02_Модель'!C22</f>
        <v/>
      </c>
      <c r="D3752">
        <f>'02_Модель'!D22</f>
        <v/>
      </c>
      <c r="E3752">
        <f>'02_Модель'!E22</f>
        <v/>
      </c>
      <c r="F3752">
        <f>'02_Модель'!F22</f>
        <v/>
      </c>
      <c r="G3752">
        <f>'02_Модель'!G22</f>
        <v/>
      </c>
      <c r="H3752">
        <f>'02_Модель'!H22</f>
        <v/>
      </c>
      <c r="I3752">
        <f>'02_Модель'!I22</f>
        <v/>
      </c>
      <c r="J3752">
        <f>'02_Модель'!J22</f>
        <v/>
      </c>
      <c r="K3752">
        <f>'02_Модель'!K22</f>
        <v/>
      </c>
      <c r="L3752">
        <f>'02_Модель'!L22</f>
        <v/>
      </c>
      <c r="M3752">
        <f>'02_Модель'!M22</f>
        <v/>
      </c>
      <c r="N3752">
        <f>'02_Модель'!N22</f>
        <v/>
      </c>
      <c r="O3752">
        <f>'02_Модель'!O22</f>
        <v/>
      </c>
      <c r="P3752">
        <f>'02_Модель'!P22</f>
        <v/>
      </c>
      <c r="Q3752">
        <f>'02_Модель'!Q22</f>
        <v/>
      </c>
      <c r="R3752">
        <f>'02_Модель'!R22</f>
        <v/>
      </c>
      <c r="S3752">
        <f>'02_Модель'!S22</f>
        <v/>
      </c>
      <c r="T3752">
        <f>'02_Модель'!T22</f>
        <v/>
      </c>
      <c r="U3752">
        <f>'02_Модель'!U22</f>
        <v/>
      </c>
      <c r="V3752">
        <f>'02_Модель'!V22</f>
        <v/>
      </c>
      <c r="W3752">
        <f>'02_Модель'!W22</f>
        <v/>
      </c>
      <c r="X3752">
        <f>'02_Модель'!X22</f>
        <v/>
      </c>
      <c r="Y3752">
        <f>'02_Модель'!Y22</f>
        <v/>
      </c>
      <c r="Z3752">
        <f>'02_Модель'!Z22</f>
        <v/>
      </c>
      <c r="AA3752">
        <f>'02_Модель'!AA22</f>
        <v/>
      </c>
      <c r="AB3752">
        <f>'02_Модель'!AB22</f>
        <v/>
      </c>
      <c r="AC3752">
        <f>'02_Модель'!AC22</f>
        <v/>
      </c>
      <c r="AD3752">
        <f>'02_Модель'!AD22</f>
        <v/>
      </c>
      <c r="AE3752">
        <f>'02_Модель'!AE22</f>
        <v/>
      </c>
      <c r="AF3752">
        <f>'02_Модель'!AF22</f>
        <v/>
      </c>
      <c r="AG3752">
        <f>'02_Модель'!AG22</f>
        <v/>
      </c>
      <c r="AH3752">
        <f>'02_Модель'!AH22</f>
        <v/>
      </c>
      <c r="AI3752">
        <f>'02_Модель'!AI22</f>
        <v/>
      </c>
      <c r="AJ3752">
        <f>'02_Модель'!AJ22</f>
        <v/>
      </c>
      <c r="AK3752">
        <f>'02_Модель'!AK22</f>
        <v/>
      </c>
      <c r="AL3752">
        <f>'02_Модель'!AL22</f>
        <v/>
      </c>
      <c r="AM3752">
        <f>'02_Модель'!AM22</f>
        <v/>
      </c>
      <c r="AN3752">
        <f>'02_Модель'!AN22</f>
        <v/>
      </c>
      <c r="AO3752">
        <f>'02_Модель'!AO22</f>
        <v/>
      </c>
      <c r="AP3752">
        <f>'02_Модель'!AP22</f>
        <v/>
      </c>
      <c r="AQ3752">
        <f>'02_Модель'!AQ22</f>
        <v/>
      </c>
      <c r="AR3752">
        <f>'02_Модель'!AR22</f>
        <v/>
      </c>
      <c r="AS3752">
        <f>'02_Модель'!AS22</f>
        <v/>
      </c>
      <c r="AT3752">
        <f>'02_Модель'!AT22</f>
        <v/>
      </c>
      <c r="AU3752">
        <f>'02_Модель'!AU22</f>
        <v/>
      </c>
      <c r="AV3752">
        <f>'02_Модель'!AV22</f>
        <v/>
      </c>
      <c r="AW3752">
        <f>'02_Модель'!AW22</f>
        <v/>
      </c>
      <c r="AX3752">
        <f>'02_Модель'!AX22</f>
        <v/>
      </c>
      <c r="AY3752">
        <f>'02_Модель'!AY22</f>
        <v/>
      </c>
      <c r="AZ3752">
        <f>'02_Модель'!AZ22</f>
        <v/>
      </c>
      <c r="BA3752">
        <f>'02_Модель'!BA22</f>
        <v/>
      </c>
      <c r="BB3752">
        <f>'02_Модель'!BB22</f>
        <v/>
      </c>
      <c r="BC3752">
        <f>'02_Модель'!BC22</f>
        <v/>
      </c>
      <c r="BD3752">
        <f>'02_Модель'!BD22</f>
        <v/>
      </c>
      <c r="BE3752">
        <f>'02_Модель'!BE22</f>
        <v/>
      </c>
      <c r="BF3752">
        <f>'02_Модель'!BF22</f>
        <v/>
      </c>
      <c r="BG3752">
        <f>'02_Модель'!BG22</f>
        <v/>
      </c>
      <c r="BH3752">
        <f>'02_Модель'!BH22</f>
        <v/>
      </c>
      <c r="BI3752">
        <f>'02_Модель'!BI22</f>
        <v/>
      </c>
    </row>
    <row r="3753">
      <c r="B3753">
        <f>IF('01_Вводные'!$B$234="Да",SUM('19_Расчет_аналитики'!B3748:B3752),0)</f>
        <v/>
      </c>
      <c r="C3753">
        <f>IF('01_Вводные'!$B$234="Да",SUM('19_Расчет_аналитики'!C3748:C3752),0)</f>
        <v/>
      </c>
      <c r="D3753">
        <f>IF('01_Вводные'!$B$234="Да",SUM('19_Расчет_аналитики'!D3748:D3752),0)</f>
        <v/>
      </c>
      <c r="E3753">
        <f>IF('01_Вводные'!$B$234="Да",SUM('19_Расчет_аналитики'!E3748:E3752),0)</f>
        <v/>
      </c>
      <c r="F3753">
        <f>IF('01_Вводные'!$B$234="Да",SUM('19_Расчет_аналитики'!F3748:F3752),0)</f>
        <v/>
      </c>
      <c r="G3753">
        <f>IF('01_Вводные'!$B$234="Да",SUM('19_Расчет_аналитики'!G3748:G3752),0)</f>
        <v/>
      </c>
      <c r="H3753">
        <f>IF('01_Вводные'!$B$234="Да",SUM('19_Расчет_аналитики'!H3748:H3752),0)</f>
        <v/>
      </c>
      <c r="I3753">
        <f>IF('01_Вводные'!$B$234="Да",SUM('19_Расчет_аналитики'!I3748:I3752),0)</f>
        <v/>
      </c>
      <c r="J3753">
        <f>IF('01_Вводные'!$B$234="Да",SUM('19_Расчет_аналитики'!J3748:J3752),0)</f>
        <v/>
      </c>
      <c r="K3753">
        <f>IF('01_Вводные'!$B$234="Да",SUM('19_Расчет_аналитики'!K3748:K3752),0)</f>
        <v/>
      </c>
      <c r="L3753">
        <f>IF('01_Вводные'!$B$234="Да",SUM('19_Расчет_аналитики'!L3748:L3752),0)</f>
        <v/>
      </c>
      <c r="M3753">
        <f>IF('01_Вводные'!$B$234="Да",SUM('19_Расчет_аналитики'!M3748:M3752),0)</f>
        <v/>
      </c>
      <c r="N3753">
        <f>IF('01_Вводные'!$B$234="Да",SUM('19_Расчет_аналитики'!N3748:N3752),0)</f>
        <v/>
      </c>
      <c r="O3753">
        <f>IF('01_Вводные'!$B$234="Да",SUM('19_Расчет_аналитики'!O3748:O3752),0)</f>
        <v/>
      </c>
      <c r="P3753">
        <f>IF('01_Вводные'!$B$234="Да",SUM('19_Расчет_аналитики'!P3748:P3752),0)</f>
        <v/>
      </c>
      <c r="Q3753">
        <f>IF('01_Вводные'!$B$234="Да",SUM('19_Расчет_аналитики'!Q3748:Q3752),0)</f>
        <v/>
      </c>
      <c r="R3753">
        <f>IF('01_Вводные'!$B$234="Да",SUM('19_Расчет_аналитики'!R3748:R3752),0)</f>
        <v/>
      </c>
      <c r="S3753">
        <f>IF('01_Вводные'!$B$234="Да",SUM('19_Расчет_аналитики'!S3748:S3752),0)</f>
        <v/>
      </c>
      <c r="T3753">
        <f>IF('01_Вводные'!$B$234="Да",SUM('19_Расчет_аналитики'!T3748:T3752),0)</f>
        <v/>
      </c>
      <c r="U3753">
        <f>IF('01_Вводные'!$B$234="Да",SUM('19_Расчет_аналитики'!U3748:U3752),0)</f>
        <v/>
      </c>
      <c r="V3753">
        <f>IF('01_Вводные'!$B$234="Да",SUM('19_Расчет_аналитики'!V3748:V3752),0)</f>
        <v/>
      </c>
      <c r="W3753">
        <f>IF('01_Вводные'!$B$234="Да",SUM('19_Расчет_аналитики'!W3748:W3752),0)</f>
        <v/>
      </c>
      <c r="X3753">
        <f>IF('01_Вводные'!$B$234="Да",SUM('19_Расчет_аналитики'!X3748:X3752),0)</f>
        <v/>
      </c>
      <c r="Y3753">
        <f>IF('01_Вводные'!$B$234="Да",SUM('19_Расчет_аналитики'!Y3748:Y3752),0)</f>
        <v/>
      </c>
      <c r="Z3753">
        <f>IF('01_Вводные'!$B$234="Да",SUM('19_Расчет_аналитики'!Z3748:Z3752),0)</f>
        <v/>
      </c>
      <c r="AA3753">
        <f>IF('01_Вводные'!$B$234="Да",SUM('19_Расчет_аналитики'!AA3748:AA3752),0)</f>
        <v/>
      </c>
      <c r="AB3753">
        <f>IF('01_Вводные'!$B$234="Да",SUM('19_Расчет_аналитики'!AB3748:AB3752),0)</f>
        <v/>
      </c>
      <c r="AC3753">
        <f>IF('01_Вводные'!$B$234="Да",SUM('19_Расчет_аналитики'!AC3748:AC3752),0)</f>
        <v/>
      </c>
      <c r="AD3753">
        <f>IF('01_Вводные'!$B$234="Да",SUM('19_Расчет_аналитики'!AD3748:AD3752),0)</f>
        <v/>
      </c>
      <c r="AE3753">
        <f>IF('01_Вводные'!$B$234="Да",SUM('19_Расчет_аналитики'!AE3748:AE3752),0)</f>
        <v/>
      </c>
      <c r="AF3753">
        <f>IF('01_Вводные'!$B$234="Да",SUM('19_Расчет_аналитики'!AF3748:AF3752),0)</f>
        <v/>
      </c>
      <c r="AG3753">
        <f>IF('01_Вводные'!$B$234="Да",SUM('19_Расчет_аналитики'!AG3748:AG3752),0)</f>
        <v/>
      </c>
      <c r="AH3753">
        <f>IF('01_Вводные'!$B$234="Да",SUM('19_Расчет_аналитики'!AH3748:AH3752),0)</f>
        <v/>
      </c>
      <c r="AI3753">
        <f>IF('01_Вводные'!$B$234="Да",SUM('19_Расчет_аналитики'!AI3748:AI3752),0)</f>
        <v/>
      </c>
      <c r="AJ3753">
        <f>IF('01_Вводные'!$B$234="Да",SUM('19_Расчет_аналитики'!AJ3748:AJ3752),0)</f>
        <v/>
      </c>
      <c r="AK3753">
        <f>IF('01_Вводные'!$B$234="Да",SUM('19_Расчет_аналитики'!AK3748:AK3752),0)</f>
        <v/>
      </c>
      <c r="AL3753">
        <f>IF('01_Вводные'!$B$234="Да",SUM('19_Расчет_аналитики'!AL3748:AL3752),0)</f>
        <v/>
      </c>
      <c r="AM3753">
        <f>IF('01_Вводные'!$B$234="Да",SUM('19_Расчет_аналитики'!AM3748:AM3752),0)</f>
        <v/>
      </c>
      <c r="AN3753">
        <f>IF('01_Вводные'!$B$234="Да",SUM('19_Расчет_аналитики'!AN3748:AN3752),0)</f>
        <v/>
      </c>
      <c r="AO3753">
        <f>IF('01_Вводные'!$B$234="Да",SUM('19_Расчет_аналитики'!AO3748:AO3752),0)</f>
        <v/>
      </c>
      <c r="AP3753">
        <f>IF('01_Вводные'!$B$234="Да",SUM('19_Расчет_аналитики'!AP3748:AP3752),0)</f>
        <v/>
      </c>
      <c r="AQ3753">
        <f>IF('01_Вводные'!$B$234="Да",SUM('19_Расчет_аналитики'!AQ3748:AQ3752),0)</f>
        <v/>
      </c>
      <c r="AR3753">
        <f>IF('01_Вводные'!$B$234="Да",SUM('19_Расчет_аналитики'!AR3748:AR3752),0)</f>
        <v/>
      </c>
      <c r="AS3753">
        <f>IF('01_Вводные'!$B$234="Да",SUM('19_Расчет_аналитики'!AS3748:AS3752),0)</f>
        <v/>
      </c>
      <c r="AT3753">
        <f>IF('01_Вводные'!$B$234="Да",SUM('19_Расчет_аналитики'!AT3748:AT3752),0)</f>
        <v/>
      </c>
      <c r="AU3753">
        <f>IF('01_Вводные'!$B$234="Да",SUM('19_Расчет_аналитики'!AU3748:AU3752),0)</f>
        <v/>
      </c>
      <c r="AV3753">
        <f>IF('01_Вводные'!$B$234="Да",SUM('19_Расчет_аналитики'!AV3748:AV3752),0)</f>
        <v/>
      </c>
      <c r="AW3753">
        <f>IF('01_Вводные'!$B$234="Да",SUM('19_Расчет_аналитики'!AW3748:AW3752),0)</f>
        <v/>
      </c>
      <c r="AX3753">
        <f>IF('01_Вводные'!$B$234="Да",SUM('19_Расчет_аналитики'!AX3748:AX3752),0)</f>
        <v/>
      </c>
      <c r="AY3753">
        <f>IF('01_Вводные'!$B$234="Да",SUM('19_Расчет_аналитики'!AY3748:AY3752),0)</f>
        <v/>
      </c>
      <c r="AZ3753">
        <f>IF('01_Вводные'!$B$234="Да",SUM('19_Расчет_аналитики'!AZ3748:AZ3752),0)</f>
        <v/>
      </c>
      <c r="BA3753">
        <f>IF('01_Вводные'!$B$234="Да",SUM('19_Расчет_аналитики'!BA3748:BA3752),0)</f>
        <v/>
      </c>
      <c r="BB3753">
        <f>IF('01_Вводные'!$B$234="Да",SUM('19_Расчет_аналитики'!BB3748:BB3752),0)</f>
        <v/>
      </c>
      <c r="BC3753">
        <f>IF('01_Вводные'!$B$234="Да",SUM('19_Расчет_аналитики'!BC3748:BC3752),0)</f>
        <v/>
      </c>
      <c r="BD3753">
        <f>IF('01_Вводные'!$B$234="Да",SUM('19_Расчет_аналитики'!BD3748:BD3752),0)</f>
        <v/>
      </c>
      <c r="BE3753">
        <f>IF('01_Вводные'!$B$234="Да",SUM('19_Расчет_аналитики'!BE3748:BE3752),0)</f>
        <v/>
      </c>
      <c r="BF3753">
        <f>IF('01_Вводные'!$B$234="Да",SUM('19_Расчет_аналитики'!BF3748:BF3752),0)</f>
        <v/>
      </c>
      <c r="BG3753">
        <f>IF('01_Вводные'!$B$234="Да",SUM('19_Расчет_аналитики'!BG3748:BG3752),0)</f>
        <v/>
      </c>
      <c r="BH3753">
        <f>IF('01_Вводные'!$B$234="Да",SUM('19_Расчет_аналитики'!BH3748:BH3752),0)</f>
        <v/>
      </c>
      <c r="BI3753">
        <f>IF('01_Вводные'!$B$234="Да",SUM('19_Расчет_аналитики'!BI3748:BI3752),0)</f>
        <v/>
      </c>
    </row>
    <row r="3754"/>
    <row r="3755"/>
    <row r="3756">
      <c r="B3756">
        <f>IF('01_Вводные'!$B$234="Да",'19_Расчет_аналитики'!B3653,0)</f>
        <v/>
      </c>
      <c r="C3756">
        <f>IF('01_Вводные'!$B$234="Да",'19_Расчет_аналитики'!C3653,0)</f>
        <v/>
      </c>
      <c r="D3756">
        <f>IF('01_Вводные'!$B$234="Да",'19_Расчет_аналитики'!D3653,0)</f>
        <v/>
      </c>
      <c r="E3756">
        <f>IF('01_Вводные'!$B$234="Да",'19_Расчет_аналитики'!E3653,0)</f>
        <v/>
      </c>
      <c r="F3756">
        <f>IF('01_Вводные'!$B$234="Да",'19_Расчет_аналитики'!F3653,0)</f>
        <v/>
      </c>
      <c r="G3756">
        <f>IF('01_Вводные'!$B$234="Да",'19_Расчет_аналитики'!G3653,0)</f>
        <v/>
      </c>
      <c r="H3756">
        <f>IF('01_Вводные'!$B$234="Да",'19_Расчет_аналитики'!H3653,0)</f>
        <v/>
      </c>
      <c r="I3756">
        <f>IF('01_Вводные'!$B$234="Да",'19_Расчет_аналитики'!I3653,0)</f>
        <v/>
      </c>
      <c r="J3756">
        <f>IF('01_Вводные'!$B$234="Да",'19_Расчет_аналитики'!J3653,0)</f>
        <v/>
      </c>
      <c r="K3756">
        <f>IF('01_Вводные'!$B$234="Да",'19_Расчет_аналитики'!K3653,0)</f>
        <v/>
      </c>
      <c r="L3756">
        <f>IF('01_Вводные'!$B$234="Да",'19_Расчет_аналитики'!L3653,0)</f>
        <v/>
      </c>
      <c r="M3756">
        <f>IF('01_Вводные'!$B$234="Да",'19_Расчет_аналитики'!M3653,0)</f>
        <v/>
      </c>
      <c r="N3756">
        <f>IF('01_Вводные'!$B$234="Да",'19_Расчет_аналитики'!N3653,0)</f>
        <v/>
      </c>
      <c r="O3756">
        <f>IF('01_Вводные'!$B$234="Да",'19_Расчет_аналитики'!O3653,0)</f>
        <v/>
      </c>
      <c r="P3756">
        <f>IF('01_Вводные'!$B$234="Да",'19_Расчет_аналитики'!P3653,0)</f>
        <v/>
      </c>
      <c r="Q3756">
        <f>IF('01_Вводные'!$B$234="Да",'19_Расчет_аналитики'!Q3653,0)</f>
        <v/>
      </c>
      <c r="R3756">
        <f>IF('01_Вводные'!$B$234="Да",'19_Расчет_аналитики'!R3653,0)</f>
        <v/>
      </c>
      <c r="S3756">
        <f>IF('01_Вводные'!$B$234="Да",'19_Расчет_аналитики'!S3653,0)</f>
        <v/>
      </c>
      <c r="T3756">
        <f>IF('01_Вводные'!$B$234="Да",'19_Расчет_аналитики'!T3653,0)</f>
        <v/>
      </c>
      <c r="U3756">
        <f>IF('01_Вводные'!$B$234="Да",'19_Расчет_аналитики'!U3653,0)</f>
        <v/>
      </c>
      <c r="V3756">
        <f>IF('01_Вводные'!$B$234="Да",'19_Расчет_аналитики'!V3653,0)</f>
        <v/>
      </c>
      <c r="W3756">
        <f>IF('01_Вводные'!$B$234="Да",'19_Расчет_аналитики'!W3653,0)</f>
        <v/>
      </c>
      <c r="X3756">
        <f>IF('01_Вводные'!$B$234="Да",'19_Расчет_аналитики'!X3653,0)</f>
        <v/>
      </c>
      <c r="Y3756">
        <f>IF('01_Вводные'!$B$234="Да",'19_Расчет_аналитики'!Y3653,0)</f>
        <v/>
      </c>
      <c r="Z3756">
        <f>IF('01_Вводные'!$B$234="Да",'19_Расчет_аналитики'!Z3653,0)</f>
        <v/>
      </c>
      <c r="AA3756">
        <f>IF('01_Вводные'!$B$234="Да",'19_Расчет_аналитики'!AA3653,0)</f>
        <v/>
      </c>
      <c r="AB3756">
        <f>IF('01_Вводные'!$B$234="Да",'19_Расчет_аналитики'!AB3653,0)</f>
        <v/>
      </c>
      <c r="AC3756">
        <f>IF('01_Вводные'!$B$234="Да",'19_Расчет_аналитики'!AC3653,0)</f>
        <v/>
      </c>
      <c r="AD3756">
        <f>IF('01_Вводные'!$B$234="Да",'19_Расчет_аналитики'!AD3653,0)</f>
        <v/>
      </c>
      <c r="AE3756">
        <f>IF('01_Вводные'!$B$234="Да",'19_Расчет_аналитики'!AE3653,0)</f>
        <v/>
      </c>
      <c r="AF3756">
        <f>IF('01_Вводные'!$B$234="Да",'19_Расчет_аналитики'!AF3653,0)</f>
        <v/>
      </c>
      <c r="AG3756">
        <f>IF('01_Вводные'!$B$234="Да",'19_Расчет_аналитики'!AG3653,0)</f>
        <v/>
      </c>
      <c r="AH3756">
        <f>IF('01_Вводные'!$B$234="Да",'19_Расчет_аналитики'!AH3653,0)</f>
        <v/>
      </c>
      <c r="AI3756">
        <f>IF('01_Вводные'!$B$234="Да",'19_Расчет_аналитики'!AI3653,0)</f>
        <v/>
      </c>
      <c r="AJ3756">
        <f>IF('01_Вводные'!$B$234="Да",'19_Расчет_аналитики'!AJ3653,0)</f>
        <v/>
      </c>
      <c r="AK3756">
        <f>IF('01_Вводные'!$B$234="Да",'19_Расчет_аналитики'!AK3653,0)</f>
        <v/>
      </c>
      <c r="AL3756">
        <f>IF('01_Вводные'!$B$234="Да",'19_Расчет_аналитики'!AL3653,0)</f>
        <v/>
      </c>
      <c r="AM3756">
        <f>IF('01_Вводные'!$B$234="Да",'19_Расчет_аналитики'!AM3653,0)</f>
        <v/>
      </c>
      <c r="AN3756">
        <f>IF('01_Вводные'!$B$234="Да",'19_Расчет_аналитики'!AN3653,0)</f>
        <v/>
      </c>
      <c r="AO3756">
        <f>IF('01_Вводные'!$B$234="Да",'19_Расчет_аналитики'!AO3653,0)</f>
        <v/>
      </c>
      <c r="AP3756">
        <f>IF('01_Вводные'!$B$234="Да",'19_Расчет_аналитики'!AP3653,0)</f>
        <v/>
      </c>
      <c r="AQ3756">
        <f>IF('01_Вводные'!$B$234="Да",'19_Расчет_аналитики'!AQ3653,0)</f>
        <v/>
      </c>
      <c r="AR3756">
        <f>IF('01_Вводные'!$B$234="Да",'19_Расчет_аналитики'!AR3653,0)</f>
        <v/>
      </c>
      <c r="AS3756">
        <f>IF('01_Вводные'!$B$234="Да",'19_Расчет_аналитики'!AS3653,0)</f>
        <v/>
      </c>
      <c r="AT3756">
        <f>IF('01_Вводные'!$B$234="Да",'19_Расчет_аналитики'!AT3653,0)</f>
        <v/>
      </c>
      <c r="AU3756">
        <f>IF('01_Вводные'!$B$234="Да",'19_Расчет_аналитики'!AU3653,0)</f>
        <v/>
      </c>
      <c r="AV3756">
        <f>IF('01_Вводные'!$B$234="Да",'19_Расчет_аналитики'!AV3653,0)</f>
        <v/>
      </c>
      <c r="AW3756">
        <f>IF('01_Вводные'!$B$234="Да",'19_Расчет_аналитики'!AW3653,0)</f>
        <v/>
      </c>
      <c r="AX3756">
        <f>IF('01_Вводные'!$B$234="Да",'19_Расчет_аналитики'!AX3653,0)</f>
        <v/>
      </c>
      <c r="AY3756">
        <f>IF('01_Вводные'!$B$234="Да",'19_Расчет_аналитики'!AY3653,0)</f>
        <v/>
      </c>
      <c r="AZ3756">
        <f>IF('01_Вводные'!$B$234="Да",'19_Расчет_аналитики'!AZ3653,0)</f>
        <v/>
      </c>
      <c r="BA3756">
        <f>IF('01_Вводные'!$B$234="Да",'19_Расчет_аналитики'!BA3653,0)</f>
        <v/>
      </c>
      <c r="BB3756">
        <f>IF('01_Вводные'!$B$234="Да",'19_Расчет_аналитики'!BB3653,0)</f>
        <v/>
      </c>
      <c r="BC3756">
        <f>IF('01_Вводные'!$B$234="Да",'19_Расчет_аналитики'!BC3653,0)</f>
        <v/>
      </c>
      <c r="BD3756">
        <f>IF('01_Вводные'!$B$234="Да",'19_Расчет_аналитики'!BD3653,0)</f>
        <v/>
      </c>
      <c r="BE3756">
        <f>IF('01_Вводные'!$B$234="Да",'19_Расчет_аналитики'!BE3653,0)</f>
        <v/>
      </c>
      <c r="BF3756">
        <f>IF('01_Вводные'!$B$234="Да",'19_Расчет_аналитики'!BF3653,0)</f>
        <v/>
      </c>
      <c r="BG3756">
        <f>IF('01_Вводные'!$B$234="Да",'19_Расчет_аналитики'!BG3653,0)</f>
        <v/>
      </c>
      <c r="BH3756">
        <f>IF('01_Вводные'!$B$234="Да",'19_Расчет_аналитики'!BH3653,0)</f>
        <v/>
      </c>
      <c r="BI3756">
        <f>IF('01_Вводные'!$B$234="Да",'19_Расчет_аналитики'!BI3653,0)</f>
        <v/>
      </c>
    </row>
    <row r="3757">
      <c r="B3757">
        <f>IF('01_Вводные'!$B$234="Да",'19_Расчет_аналитики'!B3654,0)</f>
        <v/>
      </c>
      <c r="C3757">
        <f>IF('01_Вводные'!$B$234="Да",'19_Расчет_аналитики'!C3654,0)</f>
        <v/>
      </c>
      <c r="D3757">
        <f>IF('01_Вводные'!$B$234="Да",'19_Расчет_аналитики'!D3654,0)</f>
        <v/>
      </c>
      <c r="E3757">
        <f>IF('01_Вводные'!$B$234="Да",'19_Расчет_аналитики'!E3654,0)</f>
        <v/>
      </c>
      <c r="F3757">
        <f>IF('01_Вводные'!$B$234="Да",'19_Расчет_аналитики'!F3654,0)</f>
        <v/>
      </c>
      <c r="G3757">
        <f>IF('01_Вводные'!$B$234="Да",'19_Расчет_аналитики'!G3654,0)</f>
        <v/>
      </c>
      <c r="H3757">
        <f>IF('01_Вводные'!$B$234="Да",'19_Расчет_аналитики'!H3654,0)</f>
        <v/>
      </c>
      <c r="I3757">
        <f>IF('01_Вводные'!$B$234="Да",'19_Расчет_аналитики'!I3654,0)</f>
        <v/>
      </c>
      <c r="J3757">
        <f>IF('01_Вводные'!$B$234="Да",'19_Расчет_аналитики'!J3654,0)</f>
        <v/>
      </c>
      <c r="K3757">
        <f>IF('01_Вводные'!$B$234="Да",'19_Расчет_аналитики'!K3654,0)</f>
        <v/>
      </c>
      <c r="L3757">
        <f>IF('01_Вводные'!$B$234="Да",'19_Расчет_аналитики'!L3654,0)</f>
        <v/>
      </c>
      <c r="M3757">
        <f>IF('01_Вводные'!$B$234="Да",'19_Расчет_аналитики'!M3654,0)</f>
        <v/>
      </c>
      <c r="N3757">
        <f>IF('01_Вводные'!$B$234="Да",'19_Расчет_аналитики'!N3654,0)</f>
        <v/>
      </c>
      <c r="O3757">
        <f>IF('01_Вводные'!$B$234="Да",'19_Расчет_аналитики'!O3654,0)</f>
        <v/>
      </c>
      <c r="P3757">
        <f>IF('01_Вводные'!$B$234="Да",'19_Расчет_аналитики'!P3654,0)</f>
        <v/>
      </c>
      <c r="Q3757">
        <f>IF('01_Вводные'!$B$234="Да",'19_Расчет_аналитики'!Q3654,0)</f>
        <v/>
      </c>
      <c r="R3757">
        <f>IF('01_Вводные'!$B$234="Да",'19_Расчет_аналитики'!R3654,0)</f>
        <v/>
      </c>
      <c r="S3757">
        <f>IF('01_Вводные'!$B$234="Да",'19_Расчет_аналитики'!S3654,0)</f>
        <v/>
      </c>
      <c r="T3757">
        <f>IF('01_Вводные'!$B$234="Да",'19_Расчет_аналитики'!T3654,0)</f>
        <v/>
      </c>
      <c r="U3757">
        <f>IF('01_Вводные'!$B$234="Да",'19_Расчет_аналитики'!U3654,0)</f>
        <v/>
      </c>
      <c r="V3757">
        <f>IF('01_Вводные'!$B$234="Да",'19_Расчет_аналитики'!V3654,0)</f>
        <v/>
      </c>
      <c r="W3757">
        <f>IF('01_Вводные'!$B$234="Да",'19_Расчет_аналитики'!W3654,0)</f>
        <v/>
      </c>
      <c r="X3757">
        <f>IF('01_Вводные'!$B$234="Да",'19_Расчет_аналитики'!X3654,0)</f>
        <v/>
      </c>
      <c r="Y3757">
        <f>IF('01_Вводные'!$B$234="Да",'19_Расчет_аналитики'!Y3654,0)</f>
        <v/>
      </c>
      <c r="Z3757">
        <f>IF('01_Вводные'!$B$234="Да",'19_Расчет_аналитики'!Z3654,0)</f>
        <v/>
      </c>
      <c r="AA3757">
        <f>IF('01_Вводные'!$B$234="Да",'19_Расчет_аналитики'!AA3654,0)</f>
        <v/>
      </c>
      <c r="AB3757">
        <f>IF('01_Вводные'!$B$234="Да",'19_Расчет_аналитики'!AB3654,0)</f>
        <v/>
      </c>
      <c r="AC3757">
        <f>IF('01_Вводные'!$B$234="Да",'19_Расчет_аналитики'!AC3654,0)</f>
        <v/>
      </c>
      <c r="AD3757">
        <f>IF('01_Вводные'!$B$234="Да",'19_Расчет_аналитики'!AD3654,0)</f>
        <v/>
      </c>
      <c r="AE3757">
        <f>IF('01_Вводные'!$B$234="Да",'19_Расчет_аналитики'!AE3654,0)</f>
        <v/>
      </c>
      <c r="AF3757">
        <f>IF('01_Вводные'!$B$234="Да",'19_Расчет_аналитики'!AF3654,0)</f>
        <v/>
      </c>
      <c r="AG3757">
        <f>IF('01_Вводные'!$B$234="Да",'19_Расчет_аналитики'!AG3654,0)</f>
        <v/>
      </c>
      <c r="AH3757">
        <f>IF('01_Вводные'!$B$234="Да",'19_Расчет_аналитики'!AH3654,0)</f>
        <v/>
      </c>
      <c r="AI3757">
        <f>IF('01_Вводные'!$B$234="Да",'19_Расчет_аналитики'!AI3654,0)</f>
        <v/>
      </c>
      <c r="AJ3757">
        <f>IF('01_Вводные'!$B$234="Да",'19_Расчет_аналитики'!AJ3654,0)</f>
        <v/>
      </c>
      <c r="AK3757">
        <f>IF('01_Вводные'!$B$234="Да",'19_Расчет_аналитики'!AK3654,0)</f>
        <v/>
      </c>
      <c r="AL3757">
        <f>IF('01_Вводные'!$B$234="Да",'19_Расчет_аналитики'!AL3654,0)</f>
        <v/>
      </c>
      <c r="AM3757">
        <f>IF('01_Вводные'!$B$234="Да",'19_Расчет_аналитики'!AM3654,0)</f>
        <v/>
      </c>
      <c r="AN3757">
        <f>IF('01_Вводные'!$B$234="Да",'19_Расчет_аналитики'!AN3654,0)</f>
        <v/>
      </c>
      <c r="AO3757">
        <f>IF('01_Вводные'!$B$234="Да",'19_Расчет_аналитики'!AO3654,0)</f>
        <v/>
      </c>
      <c r="AP3757">
        <f>IF('01_Вводные'!$B$234="Да",'19_Расчет_аналитики'!AP3654,0)</f>
        <v/>
      </c>
      <c r="AQ3757">
        <f>IF('01_Вводные'!$B$234="Да",'19_Расчет_аналитики'!AQ3654,0)</f>
        <v/>
      </c>
      <c r="AR3757">
        <f>IF('01_Вводные'!$B$234="Да",'19_Расчет_аналитики'!AR3654,0)</f>
        <v/>
      </c>
      <c r="AS3757">
        <f>IF('01_Вводные'!$B$234="Да",'19_Расчет_аналитики'!AS3654,0)</f>
        <v/>
      </c>
      <c r="AT3757">
        <f>IF('01_Вводные'!$B$234="Да",'19_Расчет_аналитики'!AT3654,0)</f>
        <v/>
      </c>
      <c r="AU3757">
        <f>IF('01_Вводные'!$B$234="Да",'19_Расчет_аналитики'!AU3654,0)</f>
        <v/>
      </c>
      <c r="AV3757">
        <f>IF('01_Вводные'!$B$234="Да",'19_Расчет_аналитики'!AV3654,0)</f>
        <v/>
      </c>
      <c r="AW3757">
        <f>IF('01_Вводные'!$B$234="Да",'19_Расчет_аналитики'!AW3654,0)</f>
        <v/>
      </c>
      <c r="AX3757">
        <f>IF('01_Вводные'!$B$234="Да",'19_Расчет_аналитики'!AX3654,0)</f>
        <v/>
      </c>
      <c r="AY3757">
        <f>IF('01_Вводные'!$B$234="Да",'19_Расчет_аналитики'!AY3654,0)</f>
        <v/>
      </c>
      <c r="AZ3757">
        <f>IF('01_Вводные'!$B$234="Да",'19_Расчет_аналитики'!AZ3654,0)</f>
        <v/>
      </c>
      <c r="BA3757">
        <f>IF('01_Вводные'!$B$234="Да",'19_Расчет_аналитики'!BA3654,0)</f>
        <v/>
      </c>
      <c r="BB3757">
        <f>IF('01_Вводные'!$B$234="Да",'19_Расчет_аналитики'!BB3654,0)</f>
        <v/>
      </c>
      <c r="BC3757">
        <f>IF('01_Вводные'!$B$234="Да",'19_Расчет_аналитики'!BC3654,0)</f>
        <v/>
      </c>
      <c r="BD3757">
        <f>IF('01_Вводные'!$B$234="Да",'19_Расчет_аналитики'!BD3654,0)</f>
        <v/>
      </c>
      <c r="BE3757">
        <f>IF('01_Вводные'!$B$234="Да",'19_Расчет_аналитики'!BE3654,0)</f>
        <v/>
      </c>
      <c r="BF3757">
        <f>IF('01_Вводные'!$B$234="Да",'19_Расчет_аналитики'!BF3654,0)</f>
        <v/>
      </c>
      <c r="BG3757">
        <f>IF('01_Вводные'!$B$234="Да",'19_Расчет_аналитики'!BG3654,0)</f>
        <v/>
      </c>
      <c r="BH3757">
        <f>IF('01_Вводные'!$B$234="Да",'19_Расчет_аналитики'!BH3654,0)</f>
        <v/>
      </c>
      <c r="BI3757">
        <f>IF('01_Вводные'!$B$234="Да",'19_Расчет_аналитики'!BI3654,0)</f>
        <v/>
      </c>
    </row>
    <row r="3758">
      <c r="B3758">
        <f>IF('01_Вводные'!$B$234="Да",'19_Расчет_аналитики'!B3656,0)</f>
        <v/>
      </c>
      <c r="C3758">
        <f>IF('01_Вводные'!$B$234="Да",'19_Расчет_аналитики'!C3656,0)</f>
        <v/>
      </c>
      <c r="D3758">
        <f>IF('01_Вводные'!$B$234="Да",'19_Расчет_аналитики'!D3656,0)</f>
        <v/>
      </c>
      <c r="E3758">
        <f>IF('01_Вводные'!$B$234="Да",'19_Расчет_аналитики'!E3656,0)</f>
        <v/>
      </c>
      <c r="F3758">
        <f>IF('01_Вводные'!$B$234="Да",'19_Расчет_аналитики'!F3656,0)</f>
        <v/>
      </c>
      <c r="G3758">
        <f>IF('01_Вводные'!$B$234="Да",'19_Расчет_аналитики'!G3656,0)</f>
        <v/>
      </c>
      <c r="H3758">
        <f>IF('01_Вводные'!$B$234="Да",'19_Расчет_аналитики'!H3656,0)</f>
        <v/>
      </c>
      <c r="I3758">
        <f>IF('01_Вводные'!$B$234="Да",'19_Расчет_аналитики'!I3656,0)</f>
        <v/>
      </c>
      <c r="J3758">
        <f>IF('01_Вводные'!$B$234="Да",'19_Расчет_аналитики'!J3656,0)</f>
        <v/>
      </c>
      <c r="K3758">
        <f>IF('01_Вводные'!$B$234="Да",'19_Расчет_аналитики'!K3656,0)</f>
        <v/>
      </c>
      <c r="L3758">
        <f>IF('01_Вводные'!$B$234="Да",'19_Расчет_аналитики'!L3656,0)</f>
        <v/>
      </c>
      <c r="M3758">
        <f>IF('01_Вводные'!$B$234="Да",'19_Расчет_аналитики'!M3656,0)</f>
        <v/>
      </c>
      <c r="N3758">
        <f>IF('01_Вводные'!$B$234="Да",'19_Расчет_аналитики'!N3656,0)</f>
        <v/>
      </c>
      <c r="O3758">
        <f>IF('01_Вводные'!$B$234="Да",'19_Расчет_аналитики'!O3656,0)</f>
        <v/>
      </c>
      <c r="P3758">
        <f>IF('01_Вводные'!$B$234="Да",'19_Расчет_аналитики'!P3656,0)</f>
        <v/>
      </c>
      <c r="Q3758">
        <f>IF('01_Вводные'!$B$234="Да",'19_Расчет_аналитики'!Q3656,0)</f>
        <v/>
      </c>
      <c r="R3758">
        <f>IF('01_Вводные'!$B$234="Да",'19_Расчет_аналитики'!R3656,0)</f>
        <v/>
      </c>
      <c r="S3758">
        <f>IF('01_Вводные'!$B$234="Да",'19_Расчет_аналитики'!S3656,0)</f>
        <v/>
      </c>
      <c r="T3758">
        <f>IF('01_Вводные'!$B$234="Да",'19_Расчет_аналитики'!T3656,0)</f>
        <v/>
      </c>
      <c r="U3758">
        <f>IF('01_Вводные'!$B$234="Да",'19_Расчет_аналитики'!U3656,0)</f>
        <v/>
      </c>
      <c r="V3758">
        <f>IF('01_Вводные'!$B$234="Да",'19_Расчет_аналитики'!V3656,0)</f>
        <v/>
      </c>
      <c r="W3758">
        <f>IF('01_Вводные'!$B$234="Да",'19_Расчет_аналитики'!W3656,0)</f>
        <v/>
      </c>
      <c r="X3758">
        <f>IF('01_Вводные'!$B$234="Да",'19_Расчет_аналитики'!X3656,0)</f>
        <v/>
      </c>
      <c r="Y3758">
        <f>IF('01_Вводные'!$B$234="Да",'19_Расчет_аналитики'!Y3656,0)</f>
        <v/>
      </c>
      <c r="Z3758">
        <f>IF('01_Вводные'!$B$234="Да",'19_Расчет_аналитики'!Z3656,0)</f>
        <v/>
      </c>
      <c r="AA3758">
        <f>IF('01_Вводные'!$B$234="Да",'19_Расчет_аналитики'!AA3656,0)</f>
        <v/>
      </c>
      <c r="AB3758">
        <f>IF('01_Вводные'!$B$234="Да",'19_Расчет_аналитики'!AB3656,0)</f>
        <v/>
      </c>
      <c r="AC3758">
        <f>IF('01_Вводные'!$B$234="Да",'19_Расчет_аналитики'!AC3656,0)</f>
        <v/>
      </c>
      <c r="AD3758">
        <f>IF('01_Вводные'!$B$234="Да",'19_Расчет_аналитики'!AD3656,0)</f>
        <v/>
      </c>
      <c r="AE3758">
        <f>IF('01_Вводные'!$B$234="Да",'19_Расчет_аналитики'!AE3656,0)</f>
        <v/>
      </c>
      <c r="AF3758">
        <f>IF('01_Вводные'!$B$234="Да",'19_Расчет_аналитики'!AF3656,0)</f>
        <v/>
      </c>
      <c r="AG3758">
        <f>IF('01_Вводные'!$B$234="Да",'19_Расчет_аналитики'!AG3656,0)</f>
        <v/>
      </c>
      <c r="AH3758">
        <f>IF('01_Вводные'!$B$234="Да",'19_Расчет_аналитики'!AH3656,0)</f>
        <v/>
      </c>
      <c r="AI3758">
        <f>IF('01_Вводные'!$B$234="Да",'19_Расчет_аналитики'!AI3656,0)</f>
        <v/>
      </c>
      <c r="AJ3758">
        <f>IF('01_Вводные'!$B$234="Да",'19_Расчет_аналитики'!AJ3656,0)</f>
        <v/>
      </c>
      <c r="AK3758">
        <f>IF('01_Вводные'!$B$234="Да",'19_Расчет_аналитики'!AK3656,0)</f>
        <v/>
      </c>
      <c r="AL3758">
        <f>IF('01_Вводные'!$B$234="Да",'19_Расчет_аналитики'!AL3656,0)</f>
        <v/>
      </c>
      <c r="AM3758">
        <f>IF('01_Вводные'!$B$234="Да",'19_Расчет_аналитики'!AM3656,0)</f>
        <v/>
      </c>
      <c r="AN3758">
        <f>IF('01_Вводные'!$B$234="Да",'19_Расчет_аналитики'!AN3656,0)</f>
        <v/>
      </c>
      <c r="AO3758">
        <f>IF('01_Вводные'!$B$234="Да",'19_Расчет_аналитики'!AO3656,0)</f>
        <v/>
      </c>
      <c r="AP3758">
        <f>IF('01_Вводные'!$B$234="Да",'19_Расчет_аналитики'!AP3656,0)</f>
        <v/>
      </c>
      <c r="AQ3758">
        <f>IF('01_Вводные'!$B$234="Да",'19_Расчет_аналитики'!AQ3656,0)</f>
        <v/>
      </c>
      <c r="AR3758">
        <f>IF('01_Вводные'!$B$234="Да",'19_Расчет_аналитики'!AR3656,0)</f>
        <v/>
      </c>
      <c r="AS3758">
        <f>IF('01_Вводные'!$B$234="Да",'19_Расчет_аналитики'!AS3656,0)</f>
        <v/>
      </c>
      <c r="AT3758">
        <f>IF('01_Вводные'!$B$234="Да",'19_Расчет_аналитики'!AT3656,0)</f>
        <v/>
      </c>
      <c r="AU3758">
        <f>IF('01_Вводные'!$B$234="Да",'19_Расчет_аналитики'!AU3656,0)</f>
        <v/>
      </c>
      <c r="AV3758">
        <f>IF('01_Вводные'!$B$234="Да",'19_Расчет_аналитики'!AV3656,0)</f>
        <v/>
      </c>
      <c r="AW3758">
        <f>IF('01_Вводные'!$B$234="Да",'19_Расчет_аналитики'!AW3656,0)</f>
        <v/>
      </c>
      <c r="AX3758">
        <f>IF('01_Вводные'!$B$234="Да",'19_Расчет_аналитики'!AX3656,0)</f>
        <v/>
      </c>
      <c r="AY3758">
        <f>IF('01_Вводные'!$B$234="Да",'19_Расчет_аналитики'!AY3656,0)</f>
        <v/>
      </c>
      <c r="AZ3758">
        <f>IF('01_Вводные'!$B$234="Да",'19_Расчет_аналитики'!AZ3656,0)</f>
        <v/>
      </c>
      <c r="BA3758">
        <f>IF('01_Вводные'!$B$234="Да",'19_Расчет_аналитики'!BA3656,0)</f>
        <v/>
      </c>
      <c r="BB3758">
        <f>IF('01_Вводные'!$B$234="Да",'19_Расчет_аналитики'!BB3656,0)</f>
        <v/>
      </c>
      <c r="BC3758">
        <f>IF('01_Вводные'!$B$234="Да",'19_Расчет_аналитики'!BC3656,0)</f>
        <v/>
      </c>
      <c r="BD3758">
        <f>IF('01_Вводные'!$B$234="Да",'19_Расчет_аналитики'!BD3656,0)</f>
        <v/>
      </c>
      <c r="BE3758">
        <f>IF('01_Вводные'!$B$234="Да",'19_Расчет_аналитики'!BE3656,0)</f>
        <v/>
      </c>
      <c r="BF3758">
        <f>IF('01_Вводные'!$B$234="Да",'19_Расчет_аналитики'!BF3656,0)</f>
        <v/>
      </c>
      <c r="BG3758">
        <f>IF('01_Вводные'!$B$234="Да",'19_Расчет_аналитики'!BG3656,0)</f>
        <v/>
      </c>
      <c r="BH3758">
        <f>IF('01_Вводные'!$B$234="Да",'19_Расчет_аналитики'!BH3656,0)</f>
        <v/>
      </c>
      <c r="BI3758">
        <f>IF('01_Вводные'!$B$234="Да",'19_Расчет_аналитики'!BI3656,0)</f>
        <v/>
      </c>
    </row>
    <row r="3759">
      <c r="B3759">
        <f>'02_Модель'!B29</f>
        <v/>
      </c>
      <c r="C3759">
        <f>IF('01_Вводные'!$B$234="Да",'19_Расчет_аналитики'!C3748*'01_Вводные'!$B$59,0)</f>
        <v/>
      </c>
      <c r="D3759">
        <f>IF('01_Вводные'!$B$234="Да",'19_Расчет_аналитики'!D3748*'01_Вводные'!$B$59,0)</f>
        <v/>
      </c>
      <c r="E3759">
        <f>IF('01_Вводные'!$B$234="Да",'19_Расчет_аналитики'!E3748*'01_Вводные'!$B$59,0)</f>
        <v/>
      </c>
      <c r="F3759">
        <f>IF('01_Вводные'!$B$234="Да",'19_Расчет_аналитики'!F3748*'01_Вводные'!$B$59,0)</f>
        <v/>
      </c>
      <c r="G3759">
        <f>IF('01_Вводные'!$B$234="Да",'19_Расчет_аналитики'!G3748*'01_Вводные'!$B$59,0)</f>
        <v/>
      </c>
      <c r="H3759">
        <f>IF('01_Вводные'!$B$234="Да",'19_Расчет_аналитики'!H3748*'01_Вводные'!$B$59,0)</f>
        <v/>
      </c>
      <c r="I3759">
        <f>IF('01_Вводные'!$B$234="Да",'19_Расчет_аналитики'!I3748*'01_Вводные'!$B$59,0)</f>
        <v/>
      </c>
      <c r="J3759">
        <f>IF('01_Вводные'!$B$234="Да",'19_Расчет_аналитики'!J3748*'01_Вводные'!$B$59,0)</f>
        <v/>
      </c>
      <c r="K3759">
        <f>IF('01_Вводные'!$B$234="Да",'19_Расчет_аналитики'!K3748*'01_Вводные'!$B$59,0)</f>
        <v/>
      </c>
      <c r="L3759">
        <f>IF('01_Вводные'!$B$234="Да",'19_Расчет_аналитики'!L3748*'01_Вводные'!$B$59,0)</f>
        <v/>
      </c>
      <c r="M3759">
        <f>IF('01_Вводные'!$B$234="Да",'19_Расчет_аналитики'!M3748*'01_Вводные'!$B$59,0)</f>
        <v/>
      </c>
      <c r="N3759">
        <f>IF('01_Вводные'!$B$234="Да",'19_Расчет_аналитики'!N3748*'01_Вводные'!$B$59,0)</f>
        <v/>
      </c>
      <c r="O3759">
        <f>IF('01_Вводные'!$B$234="Да",'19_Расчет_аналитики'!O3748*'01_Вводные'!$B$59,0)</f>
        <v/>
      </c>
      <c r="P3759">
        <f>IF('01_Вводные'!$B$234="Да",'19_Расчет_аналитики'!P3748*'01_Вводные'!$B$59,0)</f>
        <v/>
      </c>
      <c r="Q3759">
        <f>IF('01_Вводные'!$B$234="Да",'19_Расчет_аналитики'!Q3748*'01_Вводные'!$B$59,0)</f>
        <v/>
      </c>
      <c r="R3759">
        <f>IF('01_Вводные'!$B$234="Да",'19_Расчет_аналитики'!R3748*'01_Вводные'!$B$59,0)</f>
        <v/>
      </c>
      <c r="S3759">
        <f>IF('01_Вводные'!$B$234="Да",'19_Расчет_аналитики'!S3748*'01_Вводные'!$B$59,0)</f>
        <v/>
      </c>
      <c r="T3759">
        <f>IF('01_Вводные'!$B$234="Да",'19_Расчет_аналитики'!T3748*'01_Вводные'!$B$59,0)</f>
        <v/>
      </c>
      <c r="U3759">
        <f>IF('01_Вводные'!$B$234="Да",'19_Расчет_аналитики'!U3748*'01_Вводные'!$B$59,0)</f>
        <v/>
      </c>
      <c r="V3759">
        <f>IF('01_Вводные'!$B$234="Да",'19_Расчет_аналитики'!V3748*'01_Вводные'!$B$59,0)</f>
        <v/>
      </c>
      <c r="W3759">
        <f>IF('01_Вводные'!$B$234="Да",'19_Расчет_аналитики'!W3748*'01_Вводные'!$B$59,0)</f>
        <v/>
      </c>
      <c r="X3759">
        <f>IF('01_Вводные'!$B$234="Да",'19_Расчет_аналитики'!X3748*'01_Вводные'!$B$59,0)</f>
        <v/>
      </c>
      <c r="Y3759">
        <f>IF('01_Вводные'!$B$234="Да",'19_Расчет_аналитики'!Y3748*'01_Вводные'!$B$59,0)</f>
        <v/>
      </c>
      <c r="Z3759">
        <f>IF('01_Вводные'!$B$234="Да",'19_Расчет_аналитики'!Z3748*'01_Вводные'!$B$59,0)</f>
        <v/>
      </c>
      <c r="AA3759">
        <f>IF('01_Вводные'!$B$234="Да",'19_Расчет_аналитики'!AA3748*'01_Вводные'!$B$59,0)</f>
        <v/>
      </c>
      <c r="AB3759">
        <f>IF('01_Вводные'!$B$234="Да",'19_Расчет_аналитики'!AB3748*'01_Вводные'!$B$59,0)</f>
        <v/>
      </c>
      <c r="AC3759">
        <f>IF('01_Вводные'!$B$234="Да",'19_Расчет_аналитики'!AC3748*'01_Вводные'!$B$59,0)</f>
        <v/>
      </c>
      <c r="AD3759">
        <f>IF('01_Вводные'!$B$234="Да",'19_Расчет_аналитики'!AD3748*'01_Вводные'!$B$59,0)</f>
        <v/>
      </c>
      <c r="AE3759">
        <f>IF('01_Вводные'!$B$234="Да",'19_Расчет_аналитики'!AE3748*'01_Вводные'!$B$59,0)</f>
        <v/>
      </c>
      <c r="AF3759">
        <f>IF('01_Вводные'!$B$234="Да",'19_Расчет_аналитики'!AF3748*'01_Вводные'!$B$59,0)</f>
        <v/>
      </c>
      <c r="AG3759">
        <f>IF('01_Вводные'!$B$234="Да",'19_Расчет_аналитики'!AG3748*'01_Вводные'!$B$59,0)</f>
        <v/>
      </c>
      <c r="AH3759">
        <f>IF('01_Вводные'!$B$234="Да",'19_Расчет_аналитики'!AH3748*'01_Вводные'!$B$59,0)</f>
        <v/>
      </c>
      <c r="AI3759">
        <f>IF('01_Вводные'!$B$234="Да",'19_Расчет_аналитики'!AI3748*'01_Вводные'!$B$59,0)</f>
        <v/>
      </c>
      <c r="AJ3759">
        <f>IF('01_Вводные'!$B$234="Да",'19_Расчет_аналитики'!AJ3748*'01_Вводные'!$B$59,0)</f>
        <v/>
      </c>
      <c r="AK3759">
        <f>IF('01_Вводные'!$B$234="Да",'19_Расчет_аналитики'!AK3748*'01_Вводные'!$B$59,0)</f>
        <v/>
      </c>
      <c r="AL3759">
        <f>IF('01_Вводные'!$B$234="Да",'19_Расчет_аналитики'!AL3748*'01_Вводные'!$B$59,0)</f>
        <v/>
      </c>
      <c r="AM3759">
        <f>IF('01_Вводные'!$B$234="Да",'19_Расчет_аналитики'!AM3748*'01_Вводные'!$B$59,0)</f>
        <v/>
      </c>
      <c r="AN3759">
        <f>IF('01_Вводные'!$B$234="Да",'19_Расчет_аналитики'!AN3748*'01_Вводные'!$B$59,0)</f>
        <v/>
      </c>
      <c r="AO3759">
        <f>IF('01_Вводные'!$B$234="Да",'19_Расчет_аналитики'!AO3748*'01_Вводные'!$B$59,0)</f>
        <v/>
      </c>
      <c r="AP3759">
        <f>IF('01_Вводные'!$B$234="Да",'19_Расчет_аналитики'!AP3748*'01_Вводные'!$B$59,0)</f>
        <v/>
      </c>
      <c r="AQ3759">
        <f>IF('01_Вводные'!$B$234="Да",'19_Расчет_аналитики'!AQ3748*'01_Вводные'!$B$59,0)</f>
        <v/>
      </c>
      <c r="AR3759">
        <f>IF('01_Вводные'!$B$234="Да",'19_Расчет_аналитики'!AR3748*'01_Вводные'!$B$59,0)</f>
        <v/>
      </c>
      <c r="AS3759">
        <f>IF('01_Вводные'!$B$234="Да",'19_Расчет_аналитики'!AS3748*'01_Вводные'!$B$59,0)</f>
        <v/>
      </c>
      <c r="AT3759">
        <f>IF('01_Вводные'!$B$234="Да",'19_Расчет_аналитики'!AT3748*'01_Вводные'!$B$59,0)</f>
        <v/>
      </c>
      <c r="AU3759">
        <f>IF('01_Вводные'!$B$234="Да",'19_Расчет_аналитики'!AU3748*'01_Вводные'!$B$59,0)</f>
        <v/>
      </c>
      <c r="AV3759">
        <f>IF('01_Вводные'!$B$234="Да",'19_Расчет_аналитики'!AV3748*'01_Вводные'!$B$59,0)</f>
        <v/>
      </c>
      <c r="AW3759">
        <f>IF('01_Вводные'!$B$234="Да",'19_Расчет_аналитики'!AW3748*'01_Вводные'!$B$59,0)</f>
        <v/>
      </c>
      <c r="AX3759">
        <f>IF('01_Вводные'!$B$234="Да",'19_Расчет_аналитики'!AX3748*'01_Вводные'!$B$59,0)</f>
        <v/>
      </c>
      <c r="AY3759">
        <f>IF('01_Вводные'!$B$234="Да",'19_Расчет_аналитики'!AY3748*'01_Вводные'!$B$59,0)</f>
        <v/>
      </c>
      <c r="AZ3759">
        <f>IF('01_Вводные'!$B$234="Да",'19_Расчет_аналитики'!AZ3748*'01_Вводные'!$B$59,0)</f>
        <v/>
      </c>
      <c r="BA3759">
        <f>IF('01_Вводные'!$B$234="Да",'19_Расчет_аналитики'!BA3748*'01_Вводные'!$B$59,0)</f>
        <v/>
      </c>
      <c r="BB3759">
        <f>IF('01_Вводные'!$B$234="Да",'19_Расчет_аналитики'!BB3748*'01_Вводные'!$B$59,0)</f>
        <v/>
      </c>
      <c r="BC3759">
        <f>IF('01_Вводные'!$B$234="Да",'19_Расчет_аналитики'!BC3748*'01_Вводные'!$B$59,0)</f>
        <v/>
      </c>
      <c r="BD3759">
        <f>IF('01_Вводные'!$B$234="Да",'19_Расчет_аналитики'!BD3748*'01_Вводные'!$B$59,0)</f>
        <v/>
      </c>
      <c r="BE3759">
        <f>IF('01_Вводные'!$B$234="Да",'19_Расчет_аналитики'!BE3748*'01_Вводные'!$B$59,0)</f>
        <v/>
      </c>
      <c r="BF3759">
        <f>IF('01_Вводные'!$B$234="Да",'19_Расчет_аналитики'!BF3748*'01_Вводные'!$B$59,0)</f>
        <v/>
      </c>
      <c r="BG3759">
        <f>IF('01_Вводные'!$B$234="Да",'19_Расчет_аналитики'!BG3748*'01_Вводные'!$B$59,0)</f>
        <v/>
      </c>
      <c r="BH3759">
        <f>IF('01_Вводные'!$B$234="Да",'19_Расчет_аналитики'!BH3748*'01_Вводные'!$B$59,0)</f>
        <v/>
      </c>
      <c r="BI3759">
        <f>IF('01_Вводные'!$B$234="Да",'19_Расчет_аналитики'!BI3748*'01_Вводные'!$B$59,0)</f>
        <v/>
      </c>
    </row>
    <row r="3760">
      <c r="B3760">
        <f>IF('01_Вводные'!$B$234="Да",('19_Расчет_аналитики'!B3749+'19_Расчет_аналитики'!B3750)*'01_Вводные'!$B$60,0)</f>
        <v/>
      </c>
      <c r="C3760">
        <f>IF('01_Вводные'!$B$234="Да",('19_Расчет_аналитики'!C3749+'19_Расчет_аналитики'!C3750)*'01_Вводные'!$B$60,0)</f>
        <v/>
      </c>
      <c r="D3760">
        <f>IF('01_Вводные'!$B$234="Да",('19_Расчет_аналитики'!D3749+'19_Расчет_аналитики'!D3750)*'01_Вводные'!$B$60,0)</f>
        <v/>
      </c>
      <c r="E3760">
        <f>IF('01_Вводные'!$B$234="Да",('19_Расчет_аналитики'!E3749+'19_Расчет_аналитики'!E3750)*'01_Вводные'!$B$60,0)</f>
        <v/>
      </c>
      <c r="F3760">
        <f>IF('01_Вводные'!$B$234="Да",('19_Расчет_аналитики'!F3749+'19_Расчет_аналитики'!F3750)*'01_Вводные'!$B$60,0)</f>
        <v/>
      </c>
      <c r="G3760">
        <f>IF('01_Вводные'!$B$234="Да",('19_Расчет_аналитики'!G3749+'19_Расчет_аналитики'!G3750)*'01_Вводные'!$B$60,0)</f>
        <v/>
      </c>
      <c r="H3760">
        <f>IF('01_Вводные'!$B$234="Да",('19_Расчет_аналитики'!H3749+'19_Расчет_аналитики'!H3750)*'01_Вводные'!$B$60,0)</f>
        <v/>
      </c>
      <c r="I3760">
        <f>IF('01_Вводные'!$B$234="Да",('19_Расчет_аналитики'!I3749+'19_Расчет_аналитики'!I3750)*'01_Вводные'!$B$60,0)</f>
        <v/>
      </c>
      <c r="J3760">
        <f>IF('01_Вводные'!$B$234="Да",('19_Расчет_аналитики'!J3749+'19_Расчет_аналитики'!J3750)*'01_Вводные'!$B$60,0)</f>
        <v/>
      </c>
      <c r="K3760">
        <f>IF('01_Вводные'!$B$234="Да",('19_Расчет_аналитики'!K3749+'19_Расчет_аналитики'!K3750)*'01_Вводные'!$B$60,0)</f>
        <v/>
      </c>
      <c r="L3760">
        <f>IF('01_Вводные'!$B$234="Да",('19_Расчет_аналитики'!L3749+'19_Расчет_аналитики'!L3750)*'01_Вводные'!$B$60,0)</f>
        <v/>
      </c>
      <c r="M3760">
        <f>IF('01_Вводные'!$B$234="Да",('19_Расчет_аналитики'!M3749+'19_Расчет_аналитики'!M3750)*'01_Вводные'!$B$60,0)</f>
        <v/>
      </c>
      <c r="N3760">
        <f>IF('01_Вводные'!$B$234="Да",('19_Расчет_аналитики'!N3749+'19_Расчет_аналитики'!N3750)*'01_Вводные'!$B$60,0)</f>
        <v/>
      </c>
      <c r="O3760">
        <f>IF('01_Вводные'!$B$234="Да",('19_Расчет_аналитики'!O3749+'19_Расчет_аналитики'!O3750)*'01_Вводные'!$B$60,0)</f>
        <v/>
      </c>
      <c r="P3760">
        <f>IF('01_Вводные'!$B$234="Да",('19_Расчет_аналитики'!P3749+'19_Расчет_аналитики'!P3750)*'01_Вводные'!$B$60,0)</f>
        <v/>
      </c>
      <c r="Q3760">
        <f>IF('01_Вводные'!$B$234="Да",('19_Расчет_аналитики'!Q3749+'19_Расчет_аналитики'!Q3750)*'01_Вводные'!$B$60,0)</f>
        <v/>
      </c>
      <c r="R3760">
        <f>IF('01_Вводные'!$B$234="Да",('19_Расчет_аналитики'!R3749+'19_Расчет_аналитики'!R3750)*'01_Вводные'!$B$60,0)</f>
        <v/>
      </c>
      <c r="S3760">
        <f>IF('01_Вводные'!$B$234="Да",('19_Расчет_аналитики'!S3749+'19_Расчет_аналитики'!S3750)*'01_Вводные'!$B$60,0)</f>
        <v/>
      </c>
      <c r="T3760">
        <f>IF('01_Вводные'!$B$234="Да",('19_Расчет_аналитики'!T3749+'19_Расчет_аналитики'!T3750)*'01_Вводные'!$B$60,0)</f>
        <v/>
      </c>
      <c r="U3760">
        <f>IF('01_Вводные'!$B$234="Да",('19_Расчет_аналитики'!U3749+'19_Расчет_аналитики'!U3750)*'01_Вводные'!$B$60,0)</f>
        <v/>
      </c>
      <c r="V3760">
        <f>IF('01_Вводные'!$B$234="Да",('19_Расчет_аналитики'!V3749+'19_Расчет_аналитики'!V3750)*'01_Вводные'!$B$60,0)</f>
        <v/>
      </c>
      <c r="W3760">
        <f>IF('01_Вводные'!$B$234="Да",('19_Расчет_аналитики'!W3749+'19_Расчет_аналитики'!W3750)*'01_Вводные'!$B$60,0)</f>
        <v/>
      </c>
      <c r="X3760">
        <f>IF('01_Вводные'!$B$234="Да",('19_Расчет_аналитики'!X3749+'19_Расчет_аналитики'!X3750)*'01_Вводные'!$B$60,0)</f>
        <v/>
      </c>
      <c r="Y3760">
        <f>IF('01_Вводные'!$B$234="Да",('19_Расчет_аналитики'!Y3749+'19_Расчет_аналитики'!Y3750)*'01_Вводные'!$B$60,0)</f>
        <v/>
      </c>
      <c r="Z3760">
        <f>IF('01_Вводные'!$B$234="Да",('19_Расчет_аналитики'!Z3749+'19_Расчет_аналитики'!Z3750)*'01_Вводные'!$B$60,0)</f>
        <v/>
      </c>
      <c r="AA3760">
        <f>IF('01_Вводные'!$B$234="Да",('19_Расчет_аналитики'!AA3749+'19_Расчет_аналитики'!AA3750)*'01_Вводные'!$B$60,0)</f>
        <v/>
      </c>
      <c r="AB3760">
        <f>IF('01_Вводные'!$B$234="Да",('19_Расчет_аналитики'!AB3749+'19_Расчет_аналитики'!AB3750)*'01_Вводные'!$B$60,0)</f>
        <v/>
      </c>
      <c r="AC3760">
        <f>IF('01_Вводные'!$B$234="Да",('19_Расчет_аналитики'!AC3749+'19_Расчет_аналитики'!AC3750)*'01_Вводные'!$B$60,0)</f>
        <v/>
      </c>
      <c r="AD3760">
        <f>IF('01_Вводные'!$B$234="Да",('19_Расчет_аналитики'!AD3749+'19_Расчет_аналитики'!AD3750)*'01_Вводные'!$B$60,0)</f>
        <v/>
      </c>
      <c r="AE3760">
        <f>IF('01_Вводные'!$B$234="Да",('19_Расчет_аналитики'!AE3749+'19_Расчет_аналитики'!AE3750)*'01_Вводные'!$B$60,0)</f>
        <v/>
      </c>
      <c r="AF3760">
        <f>IF('01_Вводные'!$B$234="Да",('19_Расчет_аналитики'!AF3749+'19_Расчет_аналитики'!AF3750)*'01_Вводные'!$B$60,0)</f>
        <v/>
      </c>
      <c r="AG3760">
        <f>IF('01_Вводные'!$B$234="Да",('19_Расчет_аналитики'!AG3749+'19_Расчет_аналитики'!AG3750)*'01_Вводные'!$B$60,0)</f>
        <v/>
      </c>
      <c r="AH3760">
        <f>IF('01_Вводные'!$B$234="Да",('19_Расчет_аналитики'!AH3749+'19_Расчет_аналитики'!AH3750)*'01_Вводные'!$B$60,0)</f>
        <v/>
      </c>
      <c r="AI3760">
        <f>IF('01_Вводные'!$B$234="Да",('19_Расчет_аналитики'!AI3749+'19_Расчет_аналитики'!AI3750)*'01_Вводные'!$B$60,0)</f>
        <v/>
      </c>
      <c r="AJ3760">
        <f>IF('01_Вводные'!$B$234="Да",('19_Расчет_аналитики'!AJ3749+'19_Расчет_аналитики'!AJ3750)*'01_Вводные'!$B$60,0)</f>
        <v/>
      </c>
      <c r="AK3760">
        <f>IF('01_Вводные'!$B$234="Да",('19_Расчет_аналитики'!AK3749+'19_Расчет_аналитики'!AK3750)*'01_Вводные'!$B$60,0)</f>
        <v/>
      </c>
      <c r="AL3760">
        <f>IF('01_Вводные'!$B$234="Да",('19_Расчет_аналитики'!AL3749+'19_Расчет_аналитики'!AL3750)*'01_Вводные'!$B$60,0)</f>
        <v/>
      </c>
      <c r="AM3760">
        <f>IF('01_Вводные'!$B$234="Да",('19_Расчет_аналитики'!AM3749+'19_Расчет_аналитики'!AM3750)*'01_Вводные'!$B$60,0)</f>
        <v/>
      </c>
      <c r="AN3760">
        <f>IF('01_Вводные'!$B$234="Да",('19_Расчет_аналитики'!AN3749+'19_Расчет_аналитики'!AN3750)*'01_Вводные'!$B$60,0)</f>
        <v/>
      </c>
      <c r="AO3760">
        <f>IF('01_Вводные'!$B$234="Да",('19_Расчет_аналитики'!AO3749+'19_Расчет_аналитики'!AO3750)*'01_Вводные'!$B$60,0)</f>
        <v/>
      </c>
      <c r="AP3760">
        <f>IF('01_Вводные'!$B$234="Да",('19_Расчет_аналитики'!AP3749+'19_Расчет_аналитики'!AP3750)*'01_Вводные'!$B$60,0)</f>
        <v/>
      </c>
      <c r="AQ3760">
        <f>IF('01_Вводные'!$B$234="Да",('19_Расчет_аналитики'!AQ3749+'19_Расчет_аналитики'!AQ3750)*'01_Вводные'!$B$60,0)</f>
        <v/>
      </c>
      <c r="AR3760">
        <f>IF('01_Вводные'!$B$234="Да",('19_Расчет_аналитики'!AR3749+'19_Расчет_аналитики'!AR3750)*'01_Вводные'!$B$60,0)</f>
        <v/>
      </c>
      <c r="AS3760">
        <f>IF('01_Вводные'!$B$234="Да",('19_Расчет_аналитики'!AS3749+'19_Расчет_аналитики'!AS3750)*'01_Вводные'!$B$60,0)</f>
        <v/>
      </c>
      <c r="AT3760">
        <f>IF('01_Вводные'!$B$234="Да",('19_Расчет_аналитики'!AT3749+'19_Расчет_аналитики'!AT3750)*'01_Вводные'!$B$60,0)</f>
        <v/>
      </c>
      <c r="AU3760">
        <f>IF('01_Вводные'!$B$234="Да",('19_Расчет_аналитики'!AU3749+'19_Расчет_аналитики'!AU3750)*'01_Вводные'!$B$60,0)</f>
        <v/>
      </c>
      <c r="AV3760">
        <f>IF('01_Вводные'!$B$234="Да",('19_Расчет_аналитики'!AV3749+'19_Расчет_аналитики'!AV3750)*'01_Вводные'!$B$60,0)</f>
        <v/>
      </c>
      <c r="AW3760">
        <f>IF('01_Вводные'!$B$234="Да",('19_Расчет_аналитики'!AW3749+'19_Расчет_аналитики'!AW3750)*'01_Вводные'!$B$60,0)</f>
        <v/>
      </c>
      <c r="AX3760">
        <f>IF('01_Вводные'!$B$234="Да",('19_Расчет_аналитики'!AX3749+'19_Расчет_аналитики'!AX3750)*'01_Вводные'!$B$60,0)</f>
        <v/>
      </c>
      <c r="AY3760">
        <f>IF('01_Вводные'!$B$234="Да",('19_Расчет_аналитики'!AY3749+'19_Расчет_аналитики'!AY3750)*'01_Вводные'!$B$60,0)</f>
        <v/>
      </c>
      <c r="AZ3760">
        <f>IF('01_Вводные'!$B$234="Да",('19_Расчет_аналитики'!AZ3749+'19_Расчет_аналитики'!AZ3750)*'01_Вводные'!$B$60,0)</f>
        <v/>
      </c>
      <c r="BA3760">
        <f>IF('01_Вводные'!$B$234="Да",('19_Расчет_аналитики'!BA3749+'19_Расчет_аналитики'!BA3750)*'01_Вводные'!$B$60,0)</f>
        <v/>
      </c>
      <c r="BB3760">
        <f>IF('01_Вводные'!$B$234="Да",('19_Расчет_аналитики'!BB3749+'19_Расчет_аналитики'!BB3750)*'01_Вводные'!$B$60,0)</f>
        <v/>
      </c>
      <c r="BC3760">
        <f>IF('01_Вводные'!$B$234="Да",('19_Расчет_аналитики'!BC3749+'19_Расчет_аналитики'!BC3750)*'01_Вводные'!$B$60,0)</f>
        <v/>
      </c>
      <c r="BD3760">
        <f>IF('01_Вводные'!$B$234="Да",('19_Расчет_аналитики'!BD3749+'19_Расчет_аналитики'!BD3750)*'01_Вводные'!$B$60,0)</f>
        <v/>
      </c>
      <c r="BE3760">
        <f>IF('01_Вводные'!$B$234="Да",('19_Расчет_аналитики'!BE3749+'19_Расчет_аналитики'!BE3750)*'01_Вводные'!$B$60,0)</f>
        <v/>
      </c>
      <c r="BF3760">
        <f>IF('01_Вводные'!$B$234="Да",('19_Расчет_аналитики'!BF3749+'19_Расчет_аналитики'!BF3750)*'01_Вводные'!$B$60,0)</f>
        <v/>
      </c>
      <c r="BG3760">
        <f>IF('01_Вводные'!$B$234="Да",('19_Расчет_аналитики'!BG3749+'19_Расчет_аналитики'!BG3750)*'01_Вводные'!$B$60,0)</f>
        <v/>
      </c>
      <c r="BH3760">
        <f>IF('01_Вводные'!$B$234="Да",('19_Расчет_аналитики'!BH3749+'19_Расчет_аналитики'!BH3750)*'01_Вводные'!$B$60,0)</f>
        <v/>
      </c>
      <c r="BI3760">
        <f>IF('01_Вводные'!$B$234="Да",('19_Расчет_аналитики'!BI3749+'19_Расчет_аналитики'!BI3750)*'01_Вводные'!$B$60,0)</f>
        <v/>
      </c>
    </row>
    <row r="3761">
      <c r="B3761">
        <f>'02_Модель'!B31</f>
        <v/>
      </c>
      <c r="C3761">
        <f>'02_Модель'!C31</f>
        <v/>
      </c>
      <c r="D3761">
        <f>'02_Модель'!D31</f>
        <v/>
      </c>
      <c r="E3761">
        <f>'02_Модель'!E31</f>
        <v/>
      </c>
      <c r="F3761">
        <f>'02_Модель'!F31</f>
        <v/>
      </c>
      <c r="G3761">
        <f>'02_Модель'!G31</f>
        <v/>
      </c>
      <c r="H3761">
        <f>'02_Модель'!H31</f>
        <v/>
      </c>
      <c r="I3761">
        <f>'02_Модель'!I31</f>
        <v/>
      </c>
      <c r="J3761">
        <f>'02_Модель'!J31</f>
        <v/>
      </c>
      <c r="K3761">
        <f>'02_Модель'!K31</f>
        <v/>
      </c>
      <c r="L3761">
        <f>'02_Модель'!L31</f>
        <v/>
      </c>
      <c r="M3761">
        <f>'02_Модель'!M31</f>
        <v/>
      </c>
      <c r="N3761">
        <f>'02_Модель'!N31</f>
        <v/>
      </c>
      <c r="O3761">
        <f>'02_Модель'!O31</f>
        <v/>
      </c>
      <c r="P3761">
        <f>'02_Модель'!P31</f>
        <v/>
      </c>
      <c r="Q3761">
        <f>'02_Модель'!Q31</f>
        <v/>
      </c>
      <c r="R3761">
        <f>'02_Модель'!R31</f>
        <v/>
      </c>
      <c r="S3761">
        <f>'02_Модель'!S31</f>
        <v/>
      </c>
      <c r="T3761">
        <f>'02_Модель'!T31</f>
        <v/>
      </c>
      <c r="U3761">
        <f>'02_Модель'!U31</f>
        <v/>
      </c>
      <c r="V3761">
        <f>'02_Модель'!V31</f>
        <v/>
      </c>
      <c r="W3761">
        <f>'02_Модель'!W31</f>
        <v/>
      </c>
      <c r="X3761">
        <f>'02_Модель'!X31</f>
        <v/>
      </c>
      <c r="Y3761">
        <f>'02_Модель'!Y31</f>
        <v/>
      </c>
      <c r="Z3761">
        <f>'02_Модель'!Z31</f>
        <v/>
      </c>
      <c r="AA3761">
        <f>'02_Модель'!AA31</f>
        <v/>
      </c>
      <c r="AB3761">
        <f>'02_Модель'!AB31</f>
        <v/>
      </c>
      <c r="AC3761">
        <f>'02_Модель'!AC31</f>
        <v/>
      </c>
      <c r="AD3761">
        <f>'02_Модель'!AD31</f>
        <v/>
      </c>
      <c r="AE3761">
        <f>'02_Модель'!AE31</f>
        <v/>
      </c>
      <c r="AF3761">
        <f>'02_Модель'!AF31</f>
        <v/>
      </c>
      <c r="AG3761">
        <f>'02_Модель'!AG31</f>
        <v/>
      </c>
      <c r="AH3761">
        <f>'02_Модель'!AH31</f>
        <v/>
      </c>
      <c r="AI3761">
        <f>'02_Модель'!AI31</f>
        <v/>
      </c>
      <c r="AJ3761">
        <f>'02_Модель'!AJ31</f>
        <v/>
      </c>
      <c r="AK3761">
        <f>'02_Модель'!AK31</f>
        <v/>
      </c>
      <c r="AL3761">
        <f>'02_Модель'!AL31</f>
        <v/>
      </c>
      <c r="AM3761">
        <f>'02_Модель'!AM31</f>
        <v/>
      </c>
      <c r="AN3761">
        <f>'02_Модель'!AN31</f>
        <v/>
      </c>
      <c r="AO3761">
        <f>'02_Модель'!AO31</f>
        <v/>
      </c>
      <c r="AP3761">
        <f>'02_Модель'!AP31</f>
        <v/>
      </c>
      <c r="AQ3761">
        <f>'02_Модель'!AQ31</f>
        <v/>
      </c>
      <c r="AR3761">
        <f>'02_Модель'!AR31</f>
        <v/>
      </c>
      <c r="AS3761">
        <f>'02_Модель'!AS31</f>
        <v/>
      </c>
      <c r="AT3761">
        <f>'02_Модель'!AT31</f>
        <v/>
      </c>
      <c r="AU3761">
        <f>'02_Модель'!AU31</f>
        <v/>
      </c>
      <c r="AV3761">
        <f>'02_Модель'!AV31</f>
        <v/>
      </c>
      <c r="AW3761">
        <f>'02_Модель'!AW31</f>
        <v/>
      </c>
      <c r="AX3761">
        <f>'02_Модель'!AX31</f>
        <v/>
      </c>
      <c r="AY3761">
        <f>'02_Модель'!AY31</f>
        <v/>
      </c>
      <c r="AZ3761">
        <f>'02_Модель'!AZ31</f>
        <v/>
      </c>
      <c r="BA3761">
        <f>'02_Модель'!BA31</f>
        <v/>
      </c>
      <c r="BB3761">
        <f>'02_Модель'!BB31</f>
        <v/>
      </c>
      <c r="BC3761">
        <f>'02_Модель'!BC31</f>
        <v/>
      </c>
      <c r="BD3761">
        <f>'02_Модель'!BD31</f>
        <v/>
      </c>
      <c r="BE3761">
        <f>'02_Модель'!BE31</f>
        <v/>
      </c>
      <c r="BF3761">
        <f>'02_Модель'!BF31</f>
        <v/>
      </c>
      <c r="BG3761">
        <f>'02_Модель'!BG31</f>
        <v/>
      </c>
      <c r="BH3761">
        <f>'02_Модель'!BH31</f>
        <v/>
      </c>
      <c r="BI3761">
        <f>'02_Модель'!BI31</f>
        <v/>
      </c>
    </row>
    <row r="3762">
      <c r="B3762">
        <f>IF('01_Вводные'!$B$234="Да",SUM('19_Расчет_аналитики'!B3756:B3761),0)</f>
        <v/>
      </c>
      <c r="C3762">
        <f>IF('01_Вводные'!$B$234="Да",SUM('19_Расчет_аналитики'!C3756:C3761),0)</f>
        <v/>
      </c>
      <c r="D3762">
        <f>IF('01_Вводные'!$B$234="Да",SUM('19_Расчет_аналитики'!D3756:D3761),0)</f>
        <v/>
      </c>
      <c r="E3762">
        <f>IF('01_Вводные'!$B$234="Да",SUM('19_Расчет_аналитики'!E3756:E3761),0)</f>
        <v/>
      </c>
      <c r="F3762">
        <f>IF('01_Вводные'!$B$234="Да",SUM('19_Расчет_аналитики'!F3756:F3761),0)</f>
        <v/>
      </c>
      <c r="G3762">
        <f>IF('01_Вводные'!$B$234="Да",SUM('19_Расчет_аналитики'!G3756:G3761),0)</f>
        <v/>
      </c>
      <c r="H3762">
        <f>IF('01_Вводные'!$B$234="Да",SUM('19_Расчет_аналитики'!H3756:H3761),0)</f>
        <v/>
      </c>
      <c r="I3762">
        <f>IF('01_Вводные'!$B$234="Да",SUM('19_Расчет_аналитики'!I3756:I3761),0)</f>
        <v/>
      </c>
      <c r="J3762">
        <f>IF('01_Вводные'!$B$234="Да",SUM('19_Расчет_аналитики'!J3756:J3761),0)</f>
        <v/>
      </c>
      <c r="K3762">
        <f>IF('01_Вводные'!$B$234="Да",SUM('19_Расчет_аналитики'!K3756:K3761),0)</f>
        <v/>
      </c>
      <c r="L3762">
        <f>IF('01_Вводные'!$B$234="Да",SUM('19_Расчет_аналитики'!L3756:L3761),0)</f>
        <v/>
      </c>
      <c r="M3762">
        <f>IF('01_Вводные'!$B$234="Да",SUM('19_Расчет_аналитики'!M3756:M3761),0)</f>
        <v/>
      </c>
      <c r="N3762">
        <f>IF('01_Вводные'!$B$234="Да",SUM('19_Расчет_аналитики'!N3756:N3761),0)</f>
        <v/>
      </c>
      <c r="O3762">
        <f>IF('01_Вводные'!$B$234="Да",SUM('19_Расчет_аналитики'!O3756:O3761),0)</f>
        <v/>
      </c>
      <c r="P3762">
        <f>IF('01_Вводные'!$B$234="Да",SUM('19_Расчет_аналитики'!P3756:P3761),0)</f>
        <v/>
      </c>
      <c r="Q3762">
        <f>IF('01_Вводные'!$B$234="Да",SUM('19_Расчет_аналитики'!Q3756:Q3761),0)</f>
        <v/>
      </c>
      <c r="R3762">
        <f>IF('01_Вводные'!$B$234="Да",SUM('19_Расчет_аналитики'!R3756:R3761),0)</f>
        <v/>
      </c>
      <c r="S3762">
        <f>IF('01_Вводные'!$B$234="Да",SUM('19_Расчет_аналитики'!S3756:S3761),0)</f>
        <v/>
      </c>
      <c r="T3762">
        <f>IF('01_Вводные'!$B$234="Да",SUM('19_Расчет_аналитики'!T3756:T3761),0)</f>
        <v/>
      </c>
      <c r="U3762">
        <f>IF('01_Вводные'!$B$234="Да",SUM('19_Расчет_аналитики'!U3756:U3761),0)</f>
        <v/>
      </c>
      <c r="V3762">
        <f>IF('01_Вводные'!$B$234="Да",SUM('19_Расчет_аналитики'!V3756:V3761),0)</f>
        <v/>
      </c>
      <c r="W3762">
        <f>IF('01_Вводные'!$B$234="Да",SUM('19_Расчет_аналитики'!W3756:W3761),0)</f>
        <v/>
      </c>
      <c r="X3762">
        <f>IF('01_Вводные'!$B$234="Да",SUM('19_Расчет_аналитики'!X3756:X3761),0)</f>
        <v/>
      </c>
      <c r="Y3762">
        <f>IF('01_Вводные'!$B$234="Да",SUM('19_Расчет_аналитики'!Y3756:Y3761),0)</f>
        <v/>
      </c>
      <c r="Z3762">
        <f>IF('01_Вводные'!$B$234="Да",SUM('19_Расчет_аналитики'!Z3756:Z3761),0)</f>
        <v/>
      </c>
      <c r="AA3762">
        <f>IF('01_Вводные'!$B$234="Да",SUM('19_Расчет_аналитики'!AA3756:AA3761),0)</f>
        <v/>
      </c>
      <c r="AB3762">
        <f>IF('01_Вводные'!$B$234="Да",SUM('19_Расчет_аналитики'!AB3756:AB3761),0)</f>
        <v/>
      </c>
      <c r="AC3762">
        <f>IF('01_Вводные'!$B$234="Да",SUM('19_Расчет_аналитики'!AC3756:AC3761),0)</f>
        <v/>
      </c>
      <c r="AD3762">
        <f>IF('01_Вводные'!$B$234="Да",SUM('19_Расчет_аналитики'!AD3756:AD3761),0)</f>
        <v/>
      </c>
      <c r="AE3762">
        <f>IF('01_Вводные'!$B$234="Да",SUM('19_Расчет_аналитики'!AE3756:AE3761),0)</f>
        <v/>
      </c>
      <c r="AF3762">
        <f>IF('01_Вводные'!$B$234="Да",SUM('19_Расчет_аналитики'!AF3756:AF3761),0)</f>
        <v/>
      </c>
      <c r="AG3762">
        <f>IF('01_Вводные'!$B$234="Да",SUM('19_Расчет_аналитики'!AG3756:AG3761),0)</f>
        <v/>
      </c>
      <c r="AH3762">
        <f>IF('01_Вводные'!$B$234="Да",SUM('19_Расчет_аналитики'!AH3756:AH3761),0)</f>
        <v/>
      </c>
      <c r="AI3762">
        <f>IF('01_Вводные'!$B$234="Да",SUM('19_Расчет_аналитики'!AI3756:AI3761),0)</f>
        <v/>
      </c>
      <c r="AJ3762">
        <f>IF('01_Вводные'!$B$234="Да",SUM('19_Расчет_аналитики'!AJ3756:AJ3761),0)</f>
        <v/>
      </c>
      <c r="AK3762">
        <f>IF('01_Вводные'!$B$234="Да",SUM('19_Расчет_аналитики'!AK3756:AK3761),0)</f>
        <v/>
      </c>
      <c r="AL3762">
        <f>IF('01_Вводные'!$B$234="Да",SUM('19_Расчет_аналитики'!AL3756:AL3761),0)</f>
        <v/>
      </c>
      <c r="AM3762">
        <f>IF('01_Вводные'!$B$234="Да",SUM('19_Расчет_аналитики'!AM3756:AM3761),0)</f>
        <v/>
      </c>
      <c r="AN3762">
        <f>IF('01_Вводные'!$B$234="Да",SUM('19_Расчет_аналитики'!AN3756:AN3761),0)</f>
        <v/>
      </c>
      <c r="AO3762">
        <f>IF('01_Вводные'!$B$234="Да",SUM('19_Расчет_аналитики'!AO3756:AO3761),0)</f>
        <v/>
      </c>
      <c r="AP3762">
        <f>IF('01_Вводные'!$B$234="Да",SUM('19_Расчет_аналитики'!AP3756:AP3761),0)</f>
        <v/>
      </c>
      <c r="AQ3762">
        <f>IF('01_Вводные'!$B$234="Да",SUM('19_Расчет_аналитики'!AQ3756:AQ3761),0)</f>
        <v/>
      </c>
      <c r="AR3762">
        <f>IF('01_Вводные'!$B$234="Да",SUM('19_Расчет_аналитики'!AR3756:AR3761),0)</f>
        <v/>
      </c>
      <c r="AS3762">
        <f>IF('01_Вводные'!$B$234="Да",SUM('19_Расчет_аналитики'!AS3756:AS3761),0)</f>
        <v/>
      </c>
      <c r="AT3762">
        <f>IF('01_Вводные'!$B$234="Да",SUM('19_Расчет_аналитики'!AT3756:AT3761),0)</f>
        <v/>
      </c>
      <c r="AU3762">
        <f>IF('01_Вводные'!$B$234="Да",SUM('19_Расчет_аналитики'!AU3756:AU3761),0)</f>
        <v/>
      </c>
      <c r="AV3762">
        <f>IF('01_Вводные'!$B$234="Да",SUM('19_Расчет_аналитики'!AV3756:AV3761),0)</f>
        <v/>
      </c>
      <c r="AW3762">
        <f>IF('01_Вводные'!$B$234="Да",SUM('19_Расчет_аналитики'!AW3756:AW3761),0)</f>
        <v/>
      </c>
      <c r="AX3762">
        <f>IF('01_Вводные'!$B$234="Да",SUM('19_Расчет_аналитики'!AX3756:AX3761),0)</f>
        <v/>
      </c>
      <c r="AY3762">
        <f>IF('01_Вводные'!$B$234="Да",SUM('19_Расчет_аналитики'!AY3756:AY3761),0)</f>
        <v/>
      </c>
      <c r="AZ3762">
        <f>IF('01_Вводные'!$B$234="Да",SUM('19_Расчет_аналитики'!AZ3756:AZ3761),0)</f>
        <v/>
      </c>
      <c r="BA3762">
        <f>IF('01_Вводные'!$B$234="Да",SUM('19_Расчет_аналитики'!BA3756:BA3761),0)</f>
        <v/>
      </c>
      <c r="BB3762">
        <f>IF('01_Вводные'!$B$234="Да",SUM('19_Расчет_аналитики'!BB3756:BB3761),0)</f>
        <v/>
      </c>
      <c r="BC3762">
        <f>IF('01_Вводные'!$B$234="Да",SUM('19_Расчет_аналитики'!BC3756:BC3761),0)</f>
        <v/>
      </c>
      <c r="BD3762">
        <f>IF('01_Вводные'!$B$234="Да",SUM('19_Расчет_аналитики'!BD3756:BD3761),0)</f>
        <v/>
      </c>
      <c r="BE3762">
        <f>IF('01_Вводные'!$B$234="Да",SUM('19_Расчет_аналитики'!BE3756:BE3761),0)</f>
        <v/>
      </c>
      <c r="BF3762">
        <f>IF('01_Вводные'!$B$234="Да",SUM('19_Расчет_аналитики'!BF3756:BF3761),0)</f>
        <v/>
      </c>
      <c r="BG3762">
        <f>IF('01_Вводные'!$B$234="Да",SUM('19_Расчет_аналитики'!BG3756:BG3761),0)</f>
        <v/>
      </c>
      <c r="BH3762">
        <f>IF('01_Вводные'!$B$234="Да",SUM('19_Расчет_аналитики'!BH3756:BH3761),0)</f>
        <v/>
      </c>
      <c r="BI3762">
        <f>IF('01_Вводные'!$B$234="Да",SUM('19_Расчет_аналитики'!BI3756:BI3761),0)</f>
        <v/>
      </c>
    </row>
    <row r="3763">
      <c r="B3763">
        <f>IF('01_Вводные'!$B$234="Да",'19_Расчет_аналитики'!B3753-'19_Расчет_аналитики'!B3762,0)</f>
        <v/>
      </c>
      <c r="C3763">
        <f>IF('01_Вводные'!$B$234="Да",'19_Расчет_аналитики'!C3753-'19_Расчет_аналитики'!C3762,0)</f>
        <v/>
      </c>
      <c r="D3763">
        <f>IF('01_Вводные'!$B$234="Да",'19_Расчет_аналитики'!D3753-'19_Расчет_аналитики'!D3762,0)</f>
        <v/>
      </c>
      <c r="E3763">
        <f>IF('01_Вводные'!$B$234="Да",'19_Расчет_аналитики'!E3753-'19_Расчет_аналитики'!E3762,0)</f>
        <v/>
      </c>
      <c r="F3763">
        <f>IF('01_Вводные'!$B$234="Да",'19_Расчет_аналитики'!F3753-'19_Расчет_аналитики'!F3762,0)</f>
        <v/>
      </c>
      <c r="G3763">
        <f>IF('01_Вводные'!$B$234="Да",'19_Расчет_аналитики'!G3753-'19_Расчет_аналитики'!G3762,0)</f>
        <v/>
      </c>
      <c r="H3763">
        <f>IF('01_Вводные'!$B$234="Да",'19_Расчет_аналитики'!H3753-'19_Расчет_аналитики'!H3762,0)</f>
        <v/>
      </c>
      <c r="I3763">
        <f>IF('01_Вводные'!$B$234="Да",'19_Расчет_аналитики'!I3753-'19_Расчет_аналитики'!I3762,0)</f>
        <v/>
      </c>
      <c r="J3763">
        <f>IF('01_Вводные'!$B$234="Да",'19_Расчет_аналитики'!J3753-'19_Расчет_аналитики'!J3762,0)</f>
        <v/>
      </c>
      <c r="K3763">
        <f>IF('01_Вводные'!$B$234="Да",'19_Расчет_аналитики'!K3753-'19_Расчет_аналитики'!K3762,0)</f>
        <v/>
      </c>
      <c r="L3763">
        <f>IF('01_Вводные'!$B$234="Да",'19_Расчет_аналитики'!L3753-'19_Расчет_аналитики'!L3762,0)</f>
        <v/>
      </c>
      <c r="M3763">
        <f>IF('01_Вводные'!$B$234="Да",'19_Расчет_аналитики'!M3753-'19_Расчет_аналитики'!M3762,0)</f>
        <v/>
      </c>
      <c r="N3763">
        <f>IF('01_Вводные'!$B$234="Да",'19_Расчет_аналитики'!N3753-'19_Расчет_аналитики'!N3762,0)</f>
        <v/>
      </c>
      <c r="O3763">
        <f>IF('01_Вводные'!$B$234="Да",'19_Расчет_аналитики'!O3753-'19_Расчет_аналитики'!O3762,0)</f>
        <v/>
      </c>
      <c r="P3763">
        <f>IF('01_Вводные'!$B$234="Да",'19_Расчет_аналитики'!P3753-'19_Расчет_аналитики'!P3762,0)</f>
        <v/>
      </c>
      <c r="Q3763">
        <f>IF('01_Вводные'!$B$234="Да",'19_Расчет_аналитики'!Q3753-'19_Расчет_аналитики'!Q3762,0)</f>
        <v/>
      </c>
      <c r="R3763">
        <f>IF('01_Вводные'!$B$234="Да",'19_Расчет_аналитики'!R3753-'19_Расчет_аналитики'!R3762,0)</f>
        <v/>
      </c>
      <c r="S3763">
        <f>IF('01_Вводные'!$B$234="Да",'19_Расчет_аналитики'!S3753-'19_Расчет_аналитики'!S3762,0)</f>
        <v/>
      </c>
      <c r="T3763">
        <f>IF('01_Вводные'!$B$234="Да",'19_Расчет_аналитики'!T3753-'19_Расчет_аналитики'!T3762,0)</f>
        <v/>
      </c>
      <c r="U3763">
        <f>IF('01_Вводные'!$B$234="Да",'19_Расчет_аналитики'!U3753-'19_Расчет_аналитики'!U3762,0)</f>
        <v/>
      </c>
      <c r="V3763">
        <f>IF('01_Вводные'!$B$234="Да",'19_Расчет_аналитики'!V3753-'19_Расчет_аналитики'!V3762,0)</f>
        <v/>
      </c>
      <c r="W3763">
        <f>IF('01_Вводные'!$B$234="Да",'19_Расчет_аналитики'!W3753-'19_Расчет_аналитики'!W3762,0)</f>
        <v/>
      </c>
      <c r="X3763">
        <f>IF('01_Вводные'!$B$234="Да",'19_Расчет_аналитики'!X3753-'19_Расчет_аналитики'!X3762,0)</f>
        <v/>
      </c>
      <c r="Y3763">
        <f>IF('01_Вводные'!$B$234="Да",'19_Расчет_аналитики'!Y3753-'19_Расчет_аналитики'!Y3762,0)</f>
        <v/>
      </c>
      <c r="Z3763">
        <f>IF('01_Вводные'!$B$234="Да",'19_Расчет_аналитики'!Z3753-'19_Расчет_аналитики'!Z3762,0)</f>
        <v/>
      </c>
      <c r="AA3763">
        <f>IF('01_Вводные'!$B$234="Да",'19_Расчет_аналитики'!AA3753-'19_Расчет_аналитики'!AA3762,0)</f>
        <v/>
      </c>
      <c r="AB3763">
        <f>IF('01_Вводные'!$B$234="Да",'19_Расчет_аналитики'!AB3753-'19_Расчет_аналитики'!AB3762,0)</f>
        <v/>
      </c>
      <c r="AC3763">
        <f>IF('01_Вводные'!$B$234="Да",'19_Расчет_аналитики'!AC3753-'19_Расчет_аналитики'!AC3762,0)</f>
        <v/>
      </c>
      <c r="AD3763">
        <f>IF('01_Вводные'!$B$234="Да",'19_Расчет_аналитики'!AD3753-'19_Расчет_аналитики'!AD3762,0)</f>
        <v/>
      </c>
      <c r="AE3763">
        <f>IF('01_Вводные'!$B$234="Да",'19_Расчет_аналитики'!AE3753-'19_Расчет_аналитики'!AE3762,0)</f>
        <v/>
      </c>
      <c r="AF3763">
        <f>IF('01_Вводные'!$B$234="Да",'19_Расчет_аналитики'!AF3753-'19_Расчет_аналитики'!AF3762,0)</f>
        <v/>
      </c>
      <c r="AG3763">
        <f>IF('01_Вводные'!$B$234="Да",'19_Расчет_аналитики'!AG3753-'19_Расчет_аналитики'!AG3762,0)</f>
        <v/>
      </c>
      <c r="AH3763">
        <f>IF('01_Вводные'!$B$234="Да",'19_Расчет_аналитики'!AH3753-'19_Расчет_аналитики'!AH3762,0)</f>
        <v/>
      </c>
      <c r="AI3763">
        <f>IF('01_Вводные'!$B$234="Да",'19_Расчет_аналитики'!AI3753-'19_Расчет_аналитики'!AI3762,0)</f>
        <v/>
      </c>
      <c r="AJ3763">
        <f>IF('01_Вводные'!$B$234="Да",'19_Расчет_аналитики'!AJ3753-'19_Расчет_аналитики'!AJ3762,0)</f>
        <v/>
      </c>
      <c r="AK3763">
        <f>IF('01_Вводные'!$B$234="Да",'19_Расчет_аналитики'!AK3753-'19_Расчет_аналитики'!AK3762,0)</f>
        <v/>
      </c>
      <c r="AL3763">
        <f>IF('01_Вводные'!$B$234="Да",'19_Расчет_аналитики'!AL3753-'19_Расчет_аналитики'!AL3762,0)</f>
        <v/>
      </c>
      <c r="AM3763">
        <f>IF('01_Вводные'!$B$234="Да",'19_Расчет_аналитики'!AM3753-'19_Расчет_аналитики'!AM3762,0)</f>
        <v/>
      </c>
      <c r="AN3763">
        <f>IF('01_Вводные'!$B$234="Да",'19_Расчет_аналитики'!AN3753-'19_Расчет_аналитики'!AN3762,0)</f>
        <v/>
      </c>
      <c r="AO3763">
        <f>IF('01_Вводные'!$B$234="Да",'19_Расчет_аналитики'!AO3753-'19_Расчет_аналитики'!AO3762,0)</f>
        <v/>
      </c>
      <c r="AP3763">
        <f>IF('01_Вводные'!$B$234="Да",'19_Расчет_аналитики'!AP3753-'19_Расчет_аналитики'!AP3762,0)</f>
        <v/>
      </c>
      <c r="AQ3763">
        <f>IF('01_Вводные'!$B$234="Да",'19_Расчет_аналитики'!AQ3753-'19_Расчет_аналитики'!AQ3762,0)</f>
        <v/>
      </c>
      <c r="AR3763">
        <f>IF('01_Вводные'!$B$234="Да",'19_Расчет_аналитики'!AR3753-'19_Расчет_аналитики'!AR3762,0)</f>
        <v/>
      </c>
      <c r="AS3763">
        <f>IF('01_Вводные'!$B$234="Да",'19_Расчет_аналитики'!AS3753-'19_Расчет_аналитики'!AS3762,0)</f>
        <v/>
      </c>
      <c r="AT3763">
        <f>IF('01_Вводные'!$B$234="Да",'19_Расчет_аналитики'!AT3753-'19_Расчет_аналитики'!AT3762,0)</f>
        <v/>
      </c>
      <c r="AU3763">
        <f>IF('01_Вводные'!$B$234="Да",'19_Расчет_аналитики'!AU3753-'19_Расчет_аналитики'!AU3762,0)</f>
        <v/>
      </c>
      <c r="AV3763">
        <f>IF('01_Вводные'!$B$234="Да",'19_Расчет_аналитики'!AV3753-'19_Расчет_аналитики'!AV3762,0)</f>
        <v/>
      </c>
      <c r="AW3763">
        <f>IF('01_Вводные'!$B$234="Да",'19_Расчет_аналитики'!AW3753-'19_Расчет_аналитики'!AW3762,0)</f>
        <v/>
      </c>
      <c r="AX3763">
        <f>IF('01_Вводные'!$B$234="Да",'19_Расчет_аналитики'!AX3753-'19_Расчет_аналитики'!AX3762,0)</f>
        <v/>
      </c>
      <c r="AY3763">
        <f>IF('01_Вводные'!$B$234="Да",'19_Расчет_аналитики'!AY3753-'19_Расчет_аналитики'!AY3762,0)</f>
        <v/>
      </c>
      <c r="AZ3763">
        <f>IF('01_Вводные'!$B$234="Да",'19_Расчет_аналитики'!AZ3753-'19_Расчет_аналитики'!AZ3762,0)</f>
        <v/>
      </c>
      <c r="BA3763">
        <f>IF('01_Вводные'!$B$234="Да",'19_Расчет_аналитики'!BA3753-'19_Расчет_аналитики'!BA3762,0)</f>
        <v/>
      </c>
      <c r="BB3763">
        <f>IF('01_Вводные'!$B$234="Да",'19_Расчет_аналитики'!BB3753-'19_Расчет_аналитики'!BB3762,0)</f>
        <v/>
      </c>
      <c r="BC3763">
        <f>IF('01_Вводные'!$B$234="Да",'19_Расчет_аналитики'!BC3753-'19_Расчет_аналитики'!BC3762,0)</f>
        <v/>
      </c>
      <c r="BD3763">
        <f>IF('01_Вводные'!$B$234="Да",'19_Расчет_аналитики'!BD3753-'19_Расчет_аналитики'!BD3762,0)</f>
        <v/>
      </c>
      <c r="BE3763">
        <f>IF('01_Вводные'!$B$234="Да",'19_Расчет_аналитики'!BE3753-'19_Расчет_аналитики'!BE3762,0)</f>
        <v/>
      </c>
      <c r="BF3763">
        <f>IF('01_Вводные'!$B$234="Да",'19_Расчет_аналитики'!BF3753-'19_Расчет_аналитики'!BF3762,0)</f>
        <v/>
      </c>
      <c r="BG3763">
        <f>IF('01_Вводные'!$B$234="Да",'19_Расчет_аналитики'!BG3753-'19_Расчет_аналитики'!BG3762,0)</f>
        <v/>
      </c>
      <c r="BH3763">
        <f>IF('01_Вводные'!$B$234="Да",'19_Расчет_аналитики'!BH3753-'19_Расчет_аналитики'!BH3762,0)</f>
        <v/>
      </c>
      <c r="BI3763">
        <f>IF('01_Вводные'!$B$234="Да",'19_Расчет_аналитики'!BI3753-'19_Расчет_аналитики'!BI3762,0)</f>
        <v/>
      </c>
    </row>
    <row r="3764"/>
    <row r="3765"/>
    <row r="3766">
      <c r="B3766">
        <f>'02_Модель'!B36</f>
        <v/>
      </c>
      <c r="C3766">
        <f>IF('01_Вводные'!$B$234="Да",'19_Расчет_аналитики'!C3701,0)</f>
        <v/>
      </c>
      <c r="D3766">
        <f>IF('01_Вводные'!$B$234="Да",'19_Расчет_аналитики'!D3701,0)</f>
        <v/>
      </c>
      <c r="E3766">
        <f>IF('01_Вводные'!$B$234="Да",'19_Расчет_аналитики'!E3701,0)</f>
        <v/>
      </c>
      <c r="F3766">
        <f>IF('01_Вводные'!$B$234="Да",'19_Расчет_аналитики'!F3701,0)</f>
        <v/>
      </c>
      <c r="G3766">
        <f>IF('01_Вводные'!$B$234="Да",'19_Расчет_аналитики'!G3701,0)</f>
        <v/>
      </c>
      <c r="H3766">
        <f>IF('01_Вводные'!$B$234="Да",'19_Расчет_аналитики'!H3701,0)</f>
        <v/>
      </c>
      <c r="I3766">
        <f>IF('01_Вводные'!$B$234="Да",'19_Расчет_аналитики'!I3701,0)</f>
        <v/>
      </c>
      <c r="J3766">
        <f>IF('01_Вводные'!$B$234="Да",'19_Расчет_аналитики'!J3701,0)</f>
        <v/>
      </c>
      <c r="K3766">
        <f>IF('01_Вводные'!$B$234="Да",'19_Расчет_аналитики'!K3701,0)</f>
        <v/>
      </c>
      <c r="L3766">
        <f>IF('01_Вводные'!$B$234="Да",'19_Расчет_аналитики'!L3701,0)</f>
        <v/>
      </c>
      <c r="M3766">
        <f>IF('01_Вводные'!$B$234="Да",'19_Расчет_аналитики'!M3701,0)</f>
        <v/>
      </c>
      <c r="N3766">
        <f>IF('01_Вводные'!$B$234="Да",'19_Расчет_аналитики'!N3701,0)</f>
        <v/>
      </c>
      <c r="O3766">
        <f>IF('01_Вводные'!$B$234="Да",'19_Расчет_аналитики'!O3701,0)</f>
        <v/>
      </c>
      <c r="P3766">
        <f>IF('01_Вводные'!$B$234="Да",'19_Расчет_аналитики'!P3701,0)</f>
        <v/>
      </c>
      <c r="Q3766">
        <f>IF('01_Вводные'!$B$234="Да",'19_Расчет_аналитики'!Q3701,0)</f>
        <v/>
      </c>
      <c r="R3766">
        <f>IF('01_Вводные'!$B$234="Да",'19_Расчет_аналитики'!R3701,0)</f>
        <v/>
      </c>
      <c r="S3766">
        <f>IF('01_Вводные'!$B$234="Да",'19_Расчет_аналитики'!S3701,0)</f>
        <v/>
      </c>
      <c r="T3766">
        <f>IF('01_Вводные'!$B$234="Да",'19_Расчет_аналитики'!T3701,0)</f>
        <v/>
      </c>
      <c r="U3766">
        <f>IF('01_Вводные'!$B$234="Да",'19_Расчет_аналитики'!U3701,0)</f>
        <v/>
      </c>
      <c r="V3766">
        <f>IF('01_Вводные'!$B$234="Да",'19_Расчет_аналитики'!V3701,0)</f>
        <v/>
      </c>
      <c r="W3766">
        <f>IF('01_Вводные'!$B$234="Да",'19_Расчет_аналитики'!W3701,0)</f>
        <v/>
      </c>
      <c r="X3766">
        <f>IF('01_Вводные'!$B$234="Да",'19_Расчет_аналитики'!X3701,0)</f>
        <v/>
      </c>
      <c r="Y3766">
        <f>IF('01_Вводные'!$B$234="Да",'19_Расчет_аналитики'!Y3701,0)</f>
        <v/>
      </c>
      <c r="Z3766">
        <f>IF('01_Вводные'!$B$234="Да",'19_Расчет_аналитики'!Z3701,0)</f>
        <v/>
      </c>
      <c r="AA3766">
        <f>IF('01_Вводные'!$B$234="Да",'19_Расчет_аналитики'!AA3701,0)</f>
        <v/>
      </c>
      <c r="AB3766">
        <f>IF('01_Вводные'!$B$234="Да",'19_Расчет_аналитики'!AB3701,0)</f>
        <v/>
      </c>
      <c r="AC3766">
        <f>IF('01_Вводные'!$B$234="Да",'19_Расчет_аналитики'!AC3701,0)</f>
        <v/>
      </c>
      <c r="AD3766">
        <f>IF('01_Вводные'!$B$234="Да",'19_Расчет_аналитики'!AD3701,0)</f>
        <v/>
      </c>
      <c r="AE3766">
        <f>IF('01_Вводные'!$B$234="Да",'19_Расчет_аналитики'!AE3701,0)</f>
        <v/>
      </c>
      <c r="AF3766">
        <f>IF('01_Вводные'!$B$234="Да",'19_Расчет_аналитики'!AF3701,0)</f>
        <v/>
      </c>
      <c r="AG3766">
        <f>IF('01_Вводные'!$B$234="Да",'19_Расчет_аналитики'!AG3701,0)</f>
        <v/>
      </c>
      <c r="AH3766">
        <f>IF('01_Вводные'!$B$234="Да",'19_Расчет_аналитики'!AH3701,0)</f>
        <v/>
      </c>
      <c r="AI3766">
        <f>IF('01_Вводные'!$B$234="Да",'19_Расчет_аналитики'!AI3701,0)</f>
        <v/>
      </c>
      <c r="AJ3766">
        <f>IF('01_Вводные'!$B$234="Да",'19_Расчет_аналитики'!AJ3701,0)</f>
        <v/>
      </c>
      <c r="AK3766">
        <f>IF('01_Вводные'!$B$234="Да",'19_Расчет_аналитики'!AK3701,0)</f>
        <v/>
      </c>
      <c r="AL3766">
        <f>IF('01_Вводные'!$B$234="Да",'19_Расчет_аналитики'!AL3701,0)</f>
        <v/>
      </c>
      <c r="AM3766">
        <f>IF('01_Вводные'!$B$234="Да",'19_Расчет_аналитики'!AM3701,0)</f>
        <v/>
      </c>
      <c r="AN3766">
        <f>IF('01_Вводные'!$B$234="Да",'19_Расчет_аналитики'!AN3701,0)</f>
        <v/>
      </c>
      <c r="AO3766">
        <f>IF('01_Вводные'!$B$234="Да",'19_Расчет_аналитики'!AO3701,0)</f>
        <v/>
      </c>
      <c r="AP3766">
        <f>IF('01_Вводные'!$B$234="Да",'19_Расчет_аналитики'!AP3701,0)</f>
        <v/>
      </c>
      <c r="AQ3766">
        <f>IF('01_Вводные'!$B$234="Да",'19_Расчет_аналитики'!AQ3701,0)</f>
        <v/>
      </c>
      <c r="AR3766">
        <f>IF('01_Вводные'!$B$234="Да",'19_Расчет_аналитики'!AR3701,0)</f>
        <v/>
      </c>
      <c r="AS3766">
        <f>IF('01_Вводные'!$B$234="Да",'19_Расчет_аналитики'!AS3701,0)</f>
        <v/>
      </c>
      <c r="AT3766">
        <f>IF('01_Вводные'!$B$234="Да",'19_Расчет_аналитики'!AT3701,0)</f>
        <v/>
      </c>
      <c r="AU3766">
        <f>IF('01_Вводные'!$B$234="Да",'19_Расчет_аналитики'!AU3701,0)</f>
        <v/>
      </c>
      <c r="AV3766">
        <f>IF('01_Вводные'!$B$234="Да",'19_Расчет_аналитики'!AV3701,0)</f>
        <v/>
      </c>
      <c r="AW3766">
        <f>IF('01_Вводные'!$B$234="Да",'19_Расчет_аналитики'!AW3701,0)</f>
        <v/>
      </c>
      <c r="AX3766">
        <f>IF('01_Вводные'!$B$234="Да",'19_Расчет_аналитики'!AX3701,0)</f>
        <v/>
      </c>
      <c r="AY3766">
        <f>IF('01_Вводные'!$B$234="Да",'19_Расчет_аналитики'!AY3701,0)</f>
        <v/>
      </c>
      <c r="AZ3766">
        <f>IF('01_Вводные'!$B$234="Да",'19_Расчет_аналитики'!AZ3701,0)</f>
        <v/>
      </c>
      <c r="BA3766">
        <f>IF('01_Вводные'!$B$234="Да",'19_Расчет_аналитики'!BA3701,0)</f>
        <v/>
      </c>
      <c r="BB3766">
        <f>IF('01_Вводные'!$B$234="Да",'19_Расчет_аналитики'!BB3701,0)</f>
        <v/>
      </c>
      <c r="BC3766">
        <f>IF('01_Вводные'!$B$234="Да",'19_Расчет_аналитики'!BC3701,0)</f>
        <v/>
      </c>
      <c r="BD3766">
        <f>IF('01_Вводные'!$B$234="Да",'19_Расчет_аналитики'!BD3701,0)</f>
        <v/>
      </c>
      <c r="BE3766">
        <f>IF('01_Вводные'!$B$234="Да",'19_Расчет_аналитики'!BE3701,0)</f>
        <v/>
      </c>
      <c r="BF3766">
        <f>IF('01_Вводные'!$B$234="Да",'19_Расчет_аналитики'!BF3701,0)</f>
        <v/>
      </c>
      <c r="BG3766">
        <f>IF('01_Вводные'!$B$234="Да",'19_Расчет_аналитики'!BG3701,0)</f>
        <v/>
      </c>
      <c r="BH3766">
        <f>IF('01_Вводные'!$B$234="Да",'19_Расчет_аналитики'!BH3701,0)</f>
        <v/>
      </c>
      <c r="BI3766">
        <f>IF('01_Вводные'!$B$234="Да",'19_Расчет_аналитики'!BI3701,0)</f>
        <v/>
      </c>
    </row>
    <row r="3767">
      <c r="B3767">
        <f>IF('01_Вводные'!$B$234="Да",('01_Вводные'!$B$105+(MAX(0,'06_Сеть_и_дети'!B11-'01_Вводные'!$B$106)+'19_Расчет_аналитики'!B3435)*'01_Вводные'!$B$107)*'18_Календарь_тарифы'!B4,0)</f>
        <v/>
      </c>
      <c r="C3767">
        <f>IF('01_Вводные'!$B$234="Да",('01_Вводные'!$B$105+(MAX(0,'06_Сеть_и_дети'!C11-'01_Вводные'!$B$106)+'19_Расчет_аналитики'!C3435)*'01_Вводные'!$B$107)*'18_Календарь_тарифы'!C4,0)</f>
        <v/>
      </c>
      <c r="D3767">
        <f>IF('01_Вводные'!$B$234="Да",('01_Вводные'!$B$105+(MAX(0,'06_Сеть_и_дети'!D11-'01_Вводные'!$B$106)+'19_Расчет_аналитики'!D3435)*'01_Вводные'!$B$107)*'18_Календарь_тарифы'!D4,0)</f>
        <v/>
      </c>
      <c r="E3767">
        <f>IF('01_Вводные'!$B$234="Да",('01_Вводные'!$B$105+(MAX(0,'06_Сеть_и_дети'!E11-'01_Вводные'!$B$106)+'19_Расчет_аналитики'!E3435)*'01_Вводные'!$B$107)*'18_Календарь_тарифы'!E4,0)</f>
        <v/>
      </c>
      <c r="F3767">
        <f>IF('01_Вводные'!$B$234="Да",('01_Вводные'!$B$105+(MAX(0,'06_Сеть_и_дети'!F11-'01_Вводные'!$B$106)+'19_Расчет_аналитики'!F3435)*'01_Вводные'!$B$107)*'18_Календарь_тарифы'!F4,0)</f>
        <v/>
      </c>
      <c r="G3767">
        <f>IF('01_Вводные'!$B$234="Да",('01_Вводные'!$B$105+(MAX(0,'06_Сеть_и_дети'!G11-'01_Вводные'!$B$106)+'19_Расчет_аналитики'!G3435)*'01_Вводные'!$B$107)*'18_Календарь_тарифы'!G4,0)</f>
        <v/>
      </c>
      <c r="H3767">
        <f>IF('01_Вводные'!$B$234="Да",('01_Вводные'!$B$105+(MAX(0,'06_Сеть_и_дети'!H11-'01_Вводные'!$B$106)+'19_Расчет_аналитики'!H3435)*'01_Вводные'!$B$107)*'18_Календарь_тарифы'!H4,0)</f>
        <v/>
      </c>
      <c r="I3767">
        <f>IF('01_Вводные'!$B$234="Да",('01_Вводные'!$B$105+(MAX(0,'06_Сеть_и_дети'!I11-'01_Вводные'!$B$106)+'19_Расчет_аналитики'!I3435)*'01_Вводные'!$B$107)*'18_Календарь_тарифы'!I4,0)</f>
        <v/>
      </c>
      <c r="J3767">
        <f>IF('01_Вводные'!$B$234="Да",('01_Вводные'!$B$105+(MAX(0,'06_Сеть_и_дети'!J11-'01_Вводные'!$B$106)+'19_Расчет_аналитики'!J3435)*'01_Вводные'!$B$107)*'18_Календарь_тарифы'!J4,0)</f>
        <v/>
      </c>
      <c r="K3767">
        <f>IF('01_Вводные'!$B$234="Да",('01_Вводные'!$B$105+(MAX(0,'06_Сеть_и_дети'!K11-'01_Вводные'!$B$106)+'19_Расчет_аналитики'!K3435)*'01_Вводные'!$B$107)*'18_Календарь_тарифы'!K4,0)</f>
        <v/>
      </c>
      <c r="L3767">
        <f>IF('01_Вводные'!$B$234="Да",('01_Вводные'!$B$105+(MAX(0,'06_Сеть_и_дети'!L11-'01_Вводные'!$B$106)+'19_Расчет_аналитики'!L3435)*'01_Вводные'!$B$107)*'18_Календарь_тарифы'!L4,0)</f>
        <v/>
      </c>
      <c r="M3767">
        <f>IF('01_Вводные'!$B$234="Да",('01_Вводные'!$B$105+(MAX(0,'06_Сеть_и_дети'!M11-'01_Вводные'!$B$106)+'19_Расчет_аналитики'!M3435)*'01_Вводные'!$B$107)*'18_Календарь_тарифы'!M4,0)</f>
        <v/>
      </c>
      <c r="N3767">
        <f>IF('01_Вводные'!$B$234="Да",('01_Вводные'!$B$105+(MAX(0,'06_Сеть_и_дети'!N11-'01_Вводные'!$B$106)+'19_Расчет_аналитики'!N3435)*'01_Вводные'!$B$107)*'18_Календарь_тарифы'!N4,0)</f>
        <v/>
      </c>
      <c r="O3767">
        <f>IF('01_Вводные'!$B$234="Да",('01_Вводные'!$B$105+(MAX(0,'06_Сеть_и_дети'!O11-'01_Вводные'!$B$106)+'19_Расчет_аналитики'!O3435)*'01_Вводные'!$B$107)*'18_Календарь_тарифы'!O4,0)</f>
        <v/>
      </c>
      <c r="P3767">
        <f>IF('01_Вводные'!$B$234="Да",('01_Вводные'!$B$105+(MAX(0,'06_Сеть_и_дети'!P11-'01_Вводные'!$B$106)+'19_Расчет_аналитики'!P3435)*'01_Вводные'!$B$107)*'18_Календарь_тарифы'!P4,0)</f>
        <v/>
      </c>
      <c r="Q3767">
        <f>IF('01_Вводные'!$B$234="Да",('01_Вводные'!$B$105+(MAX(0,'06_Сеть_и_дети'!Q11-'01_Вводные'!$B$106)+'19_Расчет_аналитики'!Q3435)*'01_Вводные'!$B$107)*'18_Календарь_тарифы'!Q4,0)</f>
        <v/>
      </c>
      <c r="R3767">
        <f>IF('01_Вводные'!$B$234="Да",('01_Вводные'!$B$105+(MAX(0,'06_Сеть_и_дети'!R11-'01_Вводные'!$B$106)+'19_Расчет_аналитики'!R3435)*'01_Вводные'!$B$107)*'18_Календарь_тарифы'!R4,0)</f>
        <v/>
      </c>
      <c r="S3767">
        <f>IF('01_Вводные'!$B$234="Да",('01_Вводные'!$B$105+(MAX(0,'06_Сеть_и_дети'!S11-'01_Вводные'!$B$106)+'19_Расчет_аналитики'!S3435)*'01_Вводные'!$B$107)*'18_Календарь_тарифы'!S4,0)</f>
        <v/>
      </c>
      <c r="T3767">
        <f>IF('01_Вводные'!$B$234="Да",('01_Вводные'!$B$105+(MAX(0,'06_Сеть_и_дети'!T11-'01_Вводные'!$B$106)+'19_Расчет_аналитики'!T3435)*'01_Вводные'!$B$107)*'18_Календарь_тарифы'!T4,0)</f>
        <v/>
      </c>
      <c r="U3767">
        <f>IF('01_Вводные'!$B$234="Да",('01_Вводные'!$B$105+(MAX(0,'06_Сеть_и_дети'!U11-'01_Вводные'!$B$106)+'19_Расчет_аналитики'!U3435)*'01_Вводные'!$B$107)*'18_Календарь_тарифы'!U4,0)</f>
        <v/>
      </c>
      <c r="V3767">
        <f>IF('01_Вводные'!$B$234="Да",('01_Вводные'!$B$105+(MAX(0,'06_Сеть_и_дети'!V11-'01_Вводные'!$B$106)+'19_Расчет_аналитики'!V3435)*'01_Вводные'!$B$107)*'18_Календарь_тарифы'!V4,0)</f>
        <v/>
      </c>
      <c r="W3767">
        <f>IF('01_Вводные'!$B$234="Да",('01_Вводные'!$B$105+(MAX(0,'06_Сеть_и_дети'!W11-'01_Вводные'!$B$106)+'19_Расчет_аналитики'!W3435)*'01_Вводные'!$B$107)*'18_Календарь_тарифы'!W4,0)</f>
        <v/>
      </c>
      <c r="X3767">
        <f>IF('01_Вводные'!$B$234="Да",('01_Вводные'!$B$105+(MAX(0,'06_Сеть_и_дети'!X11-'01_Вводные'!$B$106)+'19_Расчет_аналитики'!X3435)*'01_Вводные'!$B$107)*'18_Календарь_тарифы'!X4,0)</f>
        <v/>
      </c>
      <c r="Y3767">
        <f>IF('01_Вводные'!$B$234="Да",('01_Вводные'!$B$105+(MAX(0,'06_Сеть_и_дети'!Y11-'01_Вводные'!$B$106)+'19_Расчет_аналитики'!Y3435)*'01_Вводные'!$B$107)*'18_Календарь_тарифы'!Y4,0)</f>
        <v/>
      </c>
      <c r="Z3767">
        <f>IF('01_Вводные'!$B$234="Да",('01_Вводные'!$B$105+(MAX(0,'06_Сеть_и_дети'!Z11-'01_Вводные'!$B$106)+'19_Расчет_аналитики'!Z3435)*'01_Вводные'!$B$107)*'18_Календарь_тарифы'!Z4,0)</f>
        <v/>
      </c>
      <c r="AA3767">
        <f>IF('01_Вводные'!$B$234="Да",('01_Вводные'!$B$105+(MAX(0,'06_Сеть_и_дети'!AA11-'01_Вводные'!$B$106)+'19_Расчет_аналитики'!AA3435)*'01_Вводные'!$B$107)*'18_Календарь_тарифы'!AA4,0)</f>
        <v/>
      </c>
      <c r="AB3767">
        <f>IF('01_Вводные'!$B$234="Да",('01_Вводные'!$B$105+(MAX(0,'06_Сеть_и_дети'!AB11-'01_Вводные'!$B$106)+'19_Расчет_аналитики'!AB3435)*'01_Вводные'!$B$107)*'18_Календарь_тарифы'!AB4,0)</f>
        <v/>
      </c>
      <c r="AC3767">
        <f>IF('01_Вводные'!$B$234="Да",('01_Вводные'!$B$105+(MAX(0,'06_Сеть_и_дети'!AC11-'01_Вводные'!$B$106)+'19_Расчет_аналитики'!AC3435)*'01_Вводные'!$B$107)*'18_Календарь_тарифы'!AC4,0)</f>
        <v/>
      </c>
      <c r="AD3767">
        <f>IF('01_Вводные'!$B$234="Да",('01_Вводные'!$B$105+(MAX(0,'06_Сеть_и_дети'!AD11-'01_Вводные'!$B$106)+'19_Расчет_аналитики'!AD3435)*'01_Вводные'!$B$107)*'18_Календарь_тарифы'!AD4,0)</f>
        <v/>
      </c>
      <c r="AE3767">
        <f>IF('01_Вводные'!$B$234="Да",('01_Вводные'!$B$105+(MAX(0,'06_Сеть_и_дети'!AE11-'01_Вводные'!$B$106)+'19_Расчет_аналитики'!AE3435)*'01_Вводные'!$B$107)*'18_Календарь_тарифы'!AE4,0)</f>
        <v/>
      </c>
      <c r="AF3767">
        <f>IF('01_Вводные'!$B$234="Да",('01_Вводные'!$B$105+(MAX(0,'06_Сеть_и_дети'!AF11-'01_Вводные'!$B$106)+'19_Расчет_аналитики'!AF3435)*'01_Вводные'!$B$107)*'18_Календарь_тарифы'!AF4,0)</f>
        <v/>
      </c>
      <c r="AG3767">
        <f>IF('01_Вводные'!$B$234="Да",('01_Вводные'!$B$105+(MAX(0,'06_Сеть_и_дети'!AG11-'01_Вводные'!$B$106)+'19_Расчет_аналитики'!AG3435)*'01_Вводные'!$B$107)*'18_Календарь_тарифы'!AG4,0)</f>
        <v/>
      </c>
      <c r="AH3767">
        <f>IF('01_Вводные'!$B$234="Да",('01_Вводные'!$B$105+(MAX(0,'06_Сеть_и_дети'!AH11-'01_Вводные'!$B$106)+'19_Расчет_аналитики'!AH3435)*'01_Вводные'!$B$107)*'18_Календарь_тарифы'!AH4,0)</f>
        <v/>
      </c>
      <c r="AI3767">
        <f>IF('01_Вводные'!$B$234="Да",('01_Вводные'!$B$105+(MAX(0,'06_Сеть_и_дети'!AI11-'01_Вводные'!$B$106)+'19_Расчет_аналитики'!AI3435)*'01_Вводные'!$B$107)*'18_Календарь_тарифы'!AI4,0)</f>
        <v/>
      </c>
      <c r="AJ3767">
        <f>IF('01_Вводные'!$B$234="Да",('01_Вводные'!$B$105+(MAX(0,'06_Сеть_и_дети'!AJ11-'01_Вводные'!$B$106)+'19_Расчет_аналитики'!AJ3435)*'01_Вводные'!$B$107)*'18_Календарь_тарифы'!AJ4,0)</f>
        <v/>
      </c>
      <c r="AK3767">
        <f>IF('01_Вводные'!$B$234="Да",('01_Вводные'!$B$105+(MAX(0,'06_Сеть_и_дети'!AK11-'01_Вводные'!$B$106)+'19_Расчет_аналитики'!AK3435)*'01_Вводные'!$B$107)*'18_Календарь_тарифы'!AK4,0)</f>
        <v/>
      </c>
      <c r="AL3767">
        <f>IF('01_Вводные'!$B$234="Да",('01_Вводные'!$B$105+(MAX(0,'06_Сеть_и_дети'!AL11-'01_Вводные'!$B$106)+'19_Расчет_аналитики'!AL3435)*'01_Вводные'!$B$107)*'18_Календарь_тарифы'!AL4,0)</f>
        <v/>
      </c>
      <c r="AM3767">
        <f>IF('01_Вводные'!$B$234="Да",('01_Вводные'!$B$105+(MAX(0,'06_Сеть_и_дети'!AM11-'01_Вводные'!$B$106)+'19_Расчет_аналитики'!AM3435)*'01_Вводные'!$B$107)*'18_Календарь_тарифы'!AM4,0)</f>
        <v/>
      </c>
      <c r="AN3767">
        <f>IF('01_Вводные'!$B$234="Да",('01_Вводные'!$B$105+(MAX(0,'06_Сеть_и_дети'!AN11-'01_Вводные'!$B$106)+'19_Расчет_аналитики'!AN3435)*'01_Вводные'!$B$107)*'18_Календарь_тарифы'!AN4,0)</f>
        <v/>
      </c>
      <c r="AO3767">
        <f>IF('01_Вводные'!$B$234="Да",('01_Вводные'!$B$105+(MAX(0,'06_Сеть_и_дети'!AO11-'01_Вводные'!$B$106)+'19_Расчет_аналитики'!AO3435)*'01_Вводные'!$B$107)*'18_Календарь_тарифы'!AO4,0)</f>
        <v/>
      </c>
      <c r="AP3767">
        <f>IF('01_Вводные'!$B$234="Да",('01_Вводные'!$B$105+(MAX(0,'06_Сеть_и_дети'!AP11-'01_Вводные'!$B$106)+'19_Расчет_аналитики'!AP3435)*'01_Вводные'!$B$107)*'18_Календарь_тарифы'!AP4,0)</f>
        <v/>
      </c>
      <c r="AQ3767">
        <f>IF('01_Вводные'!$B$234="Да",('01_Вводные'!$B$105+(MAX(0,'06_Сеть_и_дети'!AQ11-'01_Вводные'!$B$106)+'19_Расчет_аналитики'!AQ3435)*'01_Вводные'!$B$107)*'18_Календарь_тарифы'!AQ4,0)</f>
        <v/>
      </c>
      <c r="AR3767">
        <f>IF('01_Вводные'!$B$234="Да",('01_Вводные'!$B$105+(MAX(0,'06_Сеть_и_дети'!AR11-'01_Вводные'!$B$106)+'19_Расчет_аналитики'!AR3435)*'01_Вводные'!$B$107)*'18_Календарь_тарифы'!AR4,0)</f>
        <v/>
      </c>
      <c r="AS3767">
        <f>IF('01_Вводные'!$B$234="Да",('01_Вводные'!$B$105+(MAX(0,'06_Сеть_и_дети'!AS11-'01_Вводные'!$B$106)+'19_Расчет_аналитики'!AS3435)*'01_Вводные'!$B$107)*'18_Календарь_тарифы'!AS4,0)</f>
        <v/>
      </c>
      <c r="AT3767">
        <f>IF('01_Вводные'!$B$234="Да",('01_Вводные'!$B$105+(MAX(0,'06_Сеть_и_дети'!AT11-'01_Вводные'!$B$106)+'19_Расчет_аналитики'!AT3435)*'01_Вводные'!$B$107)*'18_Календарь_тарифы'!AT4,0)</f>
        <v/>
      </c>
      <c r="AU3767">
        <f>IF('01_Вводные'!$B$234="Да",('01_Вводные'!$B$105+(MAX(0,'06_Сеть_и_дети'!AU11-'01_Вводные'!$B$106)+'19_Расчет_аналитики'!AU3435)*'01_Вводные'!$B$107)*'18_Календарь_тарифы'!AU4,0)</f>
        <v/>
      </c>
      <c r="AV3767">
        <f>IF('01_Вводные'!$B$234="Да",('01_Вводные'!$B$105+(MAX(0,'06_Сеть_и_дети'!AV11-'01_Вводные'!$B$106)+'19_Расчет_аналитики'!AV3435)*'01_Вводные'!$B$107)*'18_Календарь_тарифы'!AV4,0)</f>
        <v/>
      </c>
      <c r="AW3767">
        <f>IF('01_Вводные'!$B$234="Да",('01_Вводные'!$B$105+(MAX(0,'06_Сеть_и_дети'!AW11-'01_Вводные'!$B$106)+'19_Расчет_аналитики'!AW3435)*'01_Вводные'!$B$107)*'18_Календарь_тарифы'!AW4,0)</f>
        <v/>
      </c>
      <c r="AX3767">
        <f>IF('01_Вводные'!$B$234="Да",('01_Вводные'!$B$105+(MAX(0,'06_Сеть_и_дети'!AX11-'01_Вводные'!$B$106)+'19_Расчет_аналитики'!AX3435)*'01_Вводные'!$B$107)*'18_Календарь_тарифы'!AX4,0)</f>
        <v/>
      </c>
      <c r="AY3767">
        <f>IF('01_Вводные'!$B$234="Да",('01_Вводные'!$B$105+(MAX(0,'06_Сеть_и_дети'!AY11-'01_Вводные'!$B$106)+'19_Расчет_аналитики'!AY3435)*'01_Вводные'!$B$107)*'18_Календарь_тарифы'!AY4,0)</f>
        <v/>
      </c>
      <c r="AZ3767">
        <f>IF('01_Вводные'!$B$234="Да",('01_Вводные'!$B$105+(MAX(0,'06_Сеть_и_дети'!AZ11-'01_Вводные'!$B$106)+'19_Расчет_аналитики'!AZ3435)*'01_Вводные'!$B$107)*'18_Календарь_тарифы'!AZ4,0)</f>
        <v/>
      </c>
      <c r="BA3767">
        <f>IF('01_Вводные'!$B$234="Да",('01_Вводные'!$B$105+(MAX(0,'06_Сеть_и_дети'!BA11-'01_Вводные'!$B$106)+'19_Расчет_аналитики'!BA3435)*'01_Вводные'!$B$107)*'18_Календарь_тарифы'!BA4,0)</f>
        <v/>
      </c>
      <c r="BB3767">
        <f>IF('01_Вводные'!$B$234="Да",('01_Вводные'!$B$105+(MAX(0,'06_Сеть_и_дети'!BB11-'01_Вводные'!$B$106)+'19_Расчет_аналитики'!BB3435)*'01_Вводные'!$B$107)*'18_Календарь_тарифы'!BB4,0)</f>
        <v/>
      </c>
      <c r="BC3767">
        <f>IF('01_Вводные'!$B$234="Да",('01_Вводные'!$B$105+(MAX(0,'06_Сеть_и_дети'!BC11-'01_Вводные'!$B$106)+'19_Расчет_аналитики'!BC3435)*'01_Вводные'!$B$107)*'18_Календарь_тарифы'!BC4,0)</f>
        <v/>
      </c>
      <c r="BD3767">
        <f>IF('01_Вводные'!$B$234="Да",('01_Вводные'!$B$105+(MAX(0,'06_Сеть_и_дети'!BD11-'01_Вводные'!$B$106)+'19_Расчет_аналитики'!BD3435)*'01_Вводные'!$B$107)*'18_Календарь_тарифы'!BD4,0)</f>
        <v/>
      </c>
      <c r="BE3767">
        <f>IF('01_Вводные'!$B$234="Да",('01_Вводные'!$B$105+(MAX(0,'06_Сеть_и_дети'!BE11-'01_Вводные'!$B$106)+'19_Расчет_аналитики'!BE3435)*'01_Вводные'!$B$107)*'18_Календарь_тарифы'!BE4,0)</f>
        <v/>
      </c>
      <c r="BF3767">
        <f>IF('01_Вводные'!$B$234="Да",('01_Вводные'!$B$105+(MAX(0,'06_Сеть_и_дети'!BF11-'01_Вводные'!$B$106)+'19_Расчет_аналитики'!BF3435)*'01_Вводные'!$B$107)*'18_Календарь_тарифы'!BF4,0)</f>
        <v/>
      </c>
      <c r="BG3767">
        <f>IF('01_Вводные'!$B$234="Да",('01_Вводные'!$B$105+(MAX(0,'06_Сеть_и_дети'!BG11-'01_Вводные'!$B$106)+'19_Расчет_аналитики'!BG3435)*'01_Вводные'!$B$107)*'18_Календарь_тарифы'!BG4,0)</f>
        <v/>
      </c>
      <c r="BH3767">
        <f>IF('01_Вводные'!$B$234="Да",('01_Вводные'!$B$105+(MAX(0,'06_Сеть_и_дети'!BH11-'01_Вводные'!$B$106)+'19_Расчет_аналитики'!BH3435)*'01_Вводные'!$B$107)*'18_Календарь_тарифы'!BH4,0)</f>
        <v/>
      </c>
      <c r="BI3767">
        <f>IF('01_Вводные'!$B$234="Да",('01_Вводные'!$B$105+(MAX(0,'06_Сеть_и_дети'!BI11-'01_Вводные'!$B$106)+'19_Расчет_аналитики'!BI3435)*'01_Вводные'!$B$107)*'18_Календарь_тарифы'!BI4,0)</f>
        <v/>
      </c>
    </row>
    <row r="3768">
      <c r="B3768">
        <f>'02_Модель'!B38</f>
        <v/>
      </c>
      <c r="C3768">
        <f>'02_Модель'!C38</f>
        <v/>
      </c>
      <c r="D3768">
        <f>'02_Модель'!D38</f>
        <v/>
      </c>
      <c r="E3768">
        <f>'02_Модель'!E38</f>
        <v/>
      </c>
      <c r="F3768">
        <f>'02_Модель'!F38</f>
        <v/>
      </c>
      <c r="G3768">
        <f>'02_Модель'!G38</f>
        <v/>
      </c>
      <c r="H3768">
        <f>'02_Модель'!H38</f>
        <v/>
      </c>
      <c r="I3768">
        <f>'02_Модель'!I38</f>
        <v/>
      </c>
      <c r="J3768">
        <f>'02_Модель'!J38</f>
        <v/>
      </c>
      <c r="K3768">
        <f>'02_Модель'!K38</f>
        <v/>
      </c>
      <c r="L3768">
        <f>'02_Модель'!L38</f>
        <v/>
      </c>
      <c r="M3768">
        <f>'02_Модель'!M38</f>
        <v/>
      </c>
      <c r="N3768">
        <f>'02_Модель'!N38</f>
        <v/>
      </c>
      <c r="O3768">
        <f>'02_Модель'!O38</f>
        <v/>
      </c>
      <c r="P3768">
        <f>'02_Модель'!P38</f>
        <v/>
      </c>
      <c r="Q3768">
        <f>'02_Модель'!Q38</f>
        <v/>
      </c>
      <c r="R3768">
        <f>'02_Модель'!R38</f>
        <v/>
      </c>
      <c r="S3768">
        <f>'02_Модель'!S38</f>
        <v/>
      </c>
      <c r="T3768">
        <f>'02_Модель'!T38</f>
        <v/>
      </c>
      <c r="U3768">
        <f>'02_Модель'!U38</f>
        <v/>
      </c>
      <c r="V3768">
        <f>'02_Модель'!V38</f>
        <v/>
      </c>
      <c r="W3768">
        <f>'02_Модель'!W38</f>
        <v/>
      </c>
      <c r="X3768">
        <f>'02_Модель'!X38</f>
        <v/>
      </c>
      <c r="Y3768">
        <f>'02_Модель'!Y38</f>
        <v/>
      </c>
      <c r="Z3768">
        <f>'02_Модель'!Z38</f>
        <v/>
      </c>
      <c r="AA3768">
        <f>'02_Модель'!AA38</f>
        <v/>
      </c>
      <c r="AB3768">
        <f>'02_Модель'!AB38</f>
        <v/>
      </c>
      <c r="AC3768">
        <f>'02_Модель'!AC38</f>
        <v/>
      </c>
      <c r="AD3768">
        <f>'02_Модель'!AD38</f>
        <v/>
      </c>
      <c r="AE3768">
        <f>'02_Модель'!AE38</f>
        <v/>
      </c>
      <c r="AF3768">
        <f>'02_Модель'!AF38</f>
        <v/>
      </c>
      <c r="AG3768">
        <f>'02_Модель'!AG38</f>
        <v/>
      </c>
      <c r="AH3768">
        <f>'02_Модель'!AH38</f>
        <v/>
      </c>
      <c r="AI3768">
        <f>'02_Модель'!AI38</f>
        <v/>
      </c>
      <c r="AJ3768">
        <f>'02_Модель'!AJ38</f>
        <v/>
      </c>
      <c r="AK3768">
        <f>'02_Модель'!AK38</f>
        <v/>
      </c>
      <c r="AL3768">
        <f>'02_Модель'!AL38</f>
        <v/>
      </c>
      <c r="AM3768">
        <f>'02_Модель'!AM38</f>
        <v/>
      </c>
      <c r="AN3768">
        <f>'02_Модель'!AN38</f>
        <v/>
      </c>
      <c r="AO3768">
        <f>'02_Модель'!AO38</f>
        <v/>
      </c>
      <c r="AP3768">
        <f>'02_Модель'!AP38</f>
        <v/>
      </c>
      <c r="AQ3768">
        <f>'02_Модель'!AQ38</f>
        <v/>
      </c>
      <c r="AR3768">
        <f>'02_Модель'!AR38</f>
        <v/>
      </c>
      <c r="AS3768">
        <f>'02_Модель'!AS38</f>
        <v/>
      </c>
      <c r="AT3768">
        <f>'02_Модель'!AT38</f>
        <v/>
      </c>
      <c r="AU3768">
        <f>'02_Модель'!AU38</f>
        <v/>
      </c>
      <c r="AV3768">
        <f>'02_Модель'!AV38</f>
        <v/>
      </c>
      <c r="AW3768">
        <f>'02_Модель'!AW38</f>
        <v/>
      </c>
      <c r="AX3768">
        <f>'02_Модель'!AX38</f>
        <v/>
      </c>
      <c r="AY3768">
        <f>'02_Модель'!AY38</f>
        <v/>
      </c>
      <c r="AZ3768">
        <f>'02_Модель'!AZ38</f>
        <v/>
      </c>
      <c r="BA3768">
        <f>'02_Модель'!BA38</f>
        <v/>
      </c>
      <c r="BB3768">
        <f>'02_Модель'!BB38</f>
        <v/>
      </c>
      <c r="BC3768">
        <f>'02_Модель'!BC38</f>
        <v/>
      </c>
      <c r="BD3768">
        <f>'02_Модель'!BD38</f>
        <v/>
      </c>
      <c r="BE3768">
        <f>'02_Модель'!BE38</f>
        <v/>
      </c>
      <c r="BF3768">
        <f>'02_Модель'!BF38</f>
        <v/>
      </c>
      <c r="BG3768">
        <f>'02_Модель'!BG38</f>
        <v/>
      </c>
      <c r="BH3768">
        <f>'02_Модель'!BH38</f>
        <v/>
      </c>
      <c r="BI3768">
        <f>'02_Модель'!BI38</f>
        <v/>
      </c>
    </row>
    <row r="3769">
      <c r="B3769">
        <f>'02_Модель'!B39</f>
        <v/>
      </c>
      <c r="C3769">
        <f>'02_Модель'!C39</f>
        <v/>
      </c>
      <c r="D3769">
        <f>'02_Модель'!D39</f>
        <v/>
      </c>
      <c r="E3769">
        <f>'02_Модель'!E39</f>
        <v/>
      </c>
      <c r="F3769">
        <f>'02_Модель'!F39</f>
        <v/>
      </c>
      <c r="G3769">
        <f>'02_Модель'!G39</f>
        <v/>
      </c>
      <c r="H3769">
        <f>'02_Модель'!H39</f>
        <v/>
      </c>
      <c r="I3769">
        <f>'02_Модель'!I39</f>
        <v/>
      </c>
      <c r="J3769">
        <f>'02_Модель'!J39</f>
        <v/>
      </c>
      <c r="K3769">
        <f>'02_Модель'!K39</f>
        <v/>
      </c>
      <c r="L3769">
        <f>'02_Модель'!L39</f>
        <v/>
      </c>
      <c r="M3769">
        <f>'02_Модель'!M39</f>
        <v/>
      </c>
      <c r="N3769">
        <f>'02_Модель'!N39</f>
        <v/>
      </c>
      <c r="O3769">
        <f>'02_Модель'!O39</f>
        <v/>
      </c>
      <c r="P3769">
        <f>'02_Модель'!P39</f>
        <v/>
      </c>
      <c r="Q3769">
        <f>'02_Модель'!Q39</f>
        <v/>
      </c>
      <c r="R3769">
        <f>'02_Модель'!R39</f>
        <v/>
      </c>
      <c r="S3769">
        <f>'02_Модель'!S39</f>
        <v/>
      </c>
      <c r="T3769">
        <f>'02_Модель'!T39</f>
        <v/>
      </c>
      <c r="U3769">
        <f>'02_Модель'!U39</f>
        <v/>
      </c>
      <c r="V3769">
        <f>'02_Модель'!V39</f>
        <v/>
      </c>
      <c r="W3769">
        <f>'02_Модель'!W39</f>
        <v/>
      </c>
      <c r="X3769">
        <f>'02_Модель'!X39</f>
        <v/>
      </c>
      <c r="Y3769">
        <f>'02_Модель'!Y39</f>
        <v/>
      </c>
      <c r="Z3769">
        <f>'02_Модель'!Z39</f>
        <v/>
      </c>
      <c r="AA3769">
        <f>'02_Модель'!AA39</f>
        <v/>
      </c>
      <c r="AB3769">
        <f>'02_Модель'!AB39</f>
        <v/>
      </c>
      <c r="AC3769">
        <f>'02_Модель'!AC39</f>
        <v/>
      </c>
      <c r="AD3769">
        <f>'02_Модель'!AD39</f>
        <v/>
      </c>
      <c r="AE3769">
        <f>'02_Модель'!AE39</f>
        <v/>
      </c>
      <c r="AF3769">
        <f>'02_Модель'!AF39</f>
        <v/>
      </c>
      <c r="AG3769">
        <f>'02_Модель'!AG39</f>
        <v/>
      </c>
      <c r="AH3769">
        <f>'02_Модель'!AH39</f>
        <v/>
      </c>
      <c r="AI3769">
        <f>'02_Модель'!AI39</f>
        <v/>
      </c>
      <c r="AJ3769">
        <f>'02_Модель'!AJ39</f>
        <v/>
      </c>
      <c r="AK3769">
        <f>'02_Модель'!AK39</f>
        <v/>
      </c>
      <c r="AL3769">
        <f>'02_Модель'!AL39</f>
        <v/>
      </c>
      <c r="AM3769">
        <f>'02_Модель'!AM39</f>
        <v/>
      </c>
      <c r="AN3769">
        <f>'02_Модель'!AN39</f>
        <v/>
      </c>
      <c r="AO3769">
        <f>'02_Модель'!AO39</f>
        <v/>
      </c>
      <c r="AP3769">
        <f>'02_Модель'!AP39</f>
        <v/>
      </c>
      <c r="AQ3769">
        <f>'02_Модель'!AQ39</f>
        <v/>
      </c>
      <c r="AR3769">
        <f>'02_Модель'!AR39</f>
        <v/>
      </c>
      <c r="AS3769">
        <f>'02_Модель'!AS39</f>
        <v/>
      </c>
      <c r="AT3769">
        <f>'02_Модель'!AT39</f>
        <v/>
      </c>
      <c r="AU3769">
        <f>'02_Модель'!AU39</f>
        <v/>
      </c>
      <c r="AV3769">
        <f>'02_Модель'!AV39</f>
        <v/>
      </c>
      <c r="AW3769">
        <f>'02_Модель'!AW39</f>
        <v/>
      </c>
      <c r="AX3769">
        <f>'02_Модель'!AX39</f>
        <v/>
      </c>
      <c r="AY3769">
        <f>'02_Модель'!AY39</f>
        <v/>
      </c>
      <c r="AZ3769">
        <f>'02_Модель'!AZ39</f>
        <v/>
      </c>
      <c r="BA3769">
        <f>'02_Модель'!BA39</f>
        <v/>
      </c>
      <c r="BB3769">
        <f>'02_Модель'!BB39</f>
        <v/>
      </c>
      <c r="BC3769">
        <f>'02_Модель'!BC39</f>
        <v/>
      </c>
      <c r="BD3769">
        <f>'02_Модель'!BD39</f>
        <v/>
      </c>
      <c r="BE3769">
        <f>'02_Модель'!BE39</f>
        <v/>
      </c>
      <c r="BF3769">
        <f>'02_Модель'!BF39</f>
        <v/>
      </c>
      <c r="BG3769">
        <f>'02_Модель'!BG39</f>
        <v/>
      </c>
      <c r="BH3769">
        <f>'02_Модель'!BH39</f>
        <v/>
      </c>
      <c r="BI3769">
        <f>'02_Модель'!BI39</f>
        <v/>
      </c>
    </row>
    <row r="3770">
      <c r="B3770">
        <f>'02_Модель'!B40</f>
        <v/>
      </c>
      <c r="C3770">
        <f>'02_Модель'!C40</f>
        <v/>
      </c>
      <c r="D3770">
        <f>'02_Модель'!D40</f>
        <v/>
      </c>
      <c r="E3770">
        <f>'02_Модель'!E40</f>
        <v/>
      </c>
      <c r="F3770">
        <f>'02_Модель'!F40</f>
        <v/>
      </c>
      <c r="G3770">
        <f>'02_Модель'!G40</f>
        <v/>
      </c>
      <c r="H3770">
        <f>'02_Модель'!H40</f>
        <v/>
      </c>
      <c r="I3770">
        <f>'02_Модель'!I40</f>
        <v/>
      </c>
      <c r="J3770">
        <f>'02_Модель'!J40</f>
        <v/>
      </c>
      <c r="K3770">
        <f>'02_Модель'!K40</f>
        <v/>
      </c>
      <c r="L3770">
        <f>'02_Модель'!L40</f>
        <v/>
      </c>
      <c r="M3770">
        <f>'02_Модель'!M40</f>
        <v/>
      </c>
      <c r="N3770">
        <f>'02_Модель'!N40</f>
        <v/>
      </c>
      <c r="O3770">
        <f>'02_Модель'!O40</f>
        <v/>
      </c>
      <c r="P3770">
        <f>'02_Модель'!P40</f>
        <v/>
      </c>
      <c r="Q3770">
        <f>'02_Модель'!Q40</f>
        <v/>
      </c>
      <c r="R3770">
        <f>'02_Модель'!R40</f>
        <v/>
      </c>
      <c r="S3770">
        <f>'02_Модель'!S40</f>
        <v/>
      </c>
      <c r="T3770">
        <f>'02_Модель'!T40</f>
        <v/>
      </c>
      <c r="U3770">
        <f>'02_Модель'!U40</f>
        <v/>
      </c>
      <c r="V3770">
        <f>'02_Модель'!V40</f>
        <v/>
      </c>
      <c r="W3770">
        <f>'02_Модель'!W40</f>
        <v/>
      </c>
      <c r="X3770">
        <f>'02_Модель'!X40</f>
        <v/>
      </c>
      <c r="Y3770">
        <f>'02_Модель'!Y40</f>
        <v/>
      </c>
      <c r="Z3770">
        <f>'02_Модель'!Z40</f>
        <v/>
      </c>
      <c r="AA3770">
        <f>'02_Модель'!AA40</f>
        <v/>
      </c>
      <c r="AB3770">
        <f>'02_Модель'!AB40</f>
        <v/>
      </c>
      <c r="AC3770">
        <f>'02_Модель'!AC40</f>
        <v/>
      </c>
      <c r="AD3770">
        <f>'02_Модель'!AD40</f>
        <v/>
      </c>
      <c r="AE3770">
        <f>'02_Модель'!AE40</f>
        <v/>
      </c>
      <c r="AF3770">
        <f>'02_Модель'!AF40</f>
        <v/>
      </c>
      <c r="AG3770">
        <f>'02_Модель'!AG40</f>
        <v/>
      </c>
      <c r="AH3770">
        <f>'02_Модель'!AH40</f>
        <v/>
      </c>
      <c r="AI3770">
        <f>'02_Модель'!AI40</f>
        <v/>
      </c>
      <c r="AJ3770">
        <f>'02_Модель'!AJ40</f>
        <v/>
      </c>
      <c r="AK3770">
        <f>'02_Модель'!AK40</f>
        <v/>
      </c>
      <c r="AL3770">
        <f>'02_Модель'!AL40</f>
        <v/>
      </c>
      <c r="AM3770">
        <f>'02_Модель'!AM40</f>
        <v/>
      </c>
      <c r="AN3770">
        <f>'02_Модель'!AN40</f>
        <v/>
      </c>
      <c r="AO3770">
        <f>'02_Модель'!AO40</f>
        <v/>
      </c>
      <c r="AP3770">
        <f>'02_Модель'!AP40</f>
        <v/>
      </c>
      <c r="AQ3770">
        <f>'02_Модель'!AQ40</f>
        <v/>
      </c>
      <c r="AR3770">
        <f>'02_Модель'!AR40</f>
        <v/>
      </c>
      <c r="AS3770">
        <f>'02_Модель'!AS40</f>
        <v/>
      </c>
      <c r="AT3770">
        <f>'02_Модель'!AT40</f>
        <v/>
      </c>
      <c r="AU3770">
        <f>'02_Модель'!AU40</f>
        <v/>
      </c>
      <c r="AV3770">
        <f>'02_Модель'!AV40</f>
        <v/>
      </c>
      <c r="AW3770">
        <f>'02_Модель'!AW40</f>
        <v/>
      </c>
      <c r="AX3770">
        <f>'02_Модель'!AX40</f>
        <v/>
      </c>
      <c r="AY3770">
        <f>'02_Модель'!AY40</f>
        <v/>
      </c>
      <c r="AZ3770">
        <f>'02_Модель'!AZ40</f>
        <v/>
      </c>
      <c r="BA3770">
        <f>'02_Модель'!BA40</f>
        <v/>
      </c>
      <c r="BB3770">
        <f>'02_Модель'!BB40</f>
        <v/>
      </c>
      <c r="BC3770">
        <f>'02_Модель'!BC40</f>
        <v/>
      </c>
      <c r="BD3770">
        <f>'02_Модель'!BD40</f>
        <v/>
      </c>
      <c r="BE3770">
        <f>'02_Модель'!BE40</f>
        <v/>
      </c>
      <c r="BF3770">
        <f>'02_Модель'!BF40</f>
        <v/>
      </c>
      <c r="BG3770">
        <f>'02_Модель'!BG40</f>
        <v/>
      </c>
      <c r="BH3770">
        <f>'02_Модель'!BH40</f>
        <v/>
      </c>
      <c r="BI3770">
        <f>'02_Модель'!BI40</f>
        <v/>
      </c>
    </row>
    <row r="3771">
      <c r="B3771">
        <f>'02_Модель'!B41</f>
        <v/>
      </c>
      <c r="C3771">
        <f>'02_Модель'!C41</f>
        <v/>
      </c>
      <c r="D3771">
        <f>'02_Модель'!D41</f>
        <v/>
      </c>
      <c r="E3771">
        <f>'02_Модель'!E41</f>
        <v/>
      </c>
      <c r="F3771">
        <f>'02_Модель'!F41</f>
        <v/>
      </c>
      <c r="G3771">
        <f>'02_Модель'!G41</f>
        <v/>
      </c>
      <c r="H3771">
        <f>'02_Модель'!H41</f>
        <v/>
      </c>
      <c r="I3771">
        <f>'02_Модель'!I41</f>
        <v/>
      </c>
      <c r="J3771">
        <f>'02_Модель'!J41</f>
        <v/>
      </c>
      <c r="K3771">
        <f>'02_Модель'!K41</f>
        <v/>
      </c>
      <c r="L3771">
        <f>'02_Модель'!L41</f>
        <v/>
      </c>
      <c r="M3771">
        <f>'02_Модель'!M41</f>
        <v/>
      </c>
      <c r="N3771">
        <f>'02_Модель'!N41</f>
        <v/>
      </c>
      <c r="O3771">
        <f>'02_Модель'!O41</f>
        <v/>
      </c>
      <c r="P3771">
        <f>'02_Модель'!P41</f>
        <v/>
      </c>
      <c r="Q3771">
        <f>'02_Модель'!Q41</f>
        <v/>
      </c>
      <c r="R3771">
        <f>'02_Модель'!R41</f>
        <v/>
      </c>
      <c r="S3771">
        <f>'02_Модель'!S41</f>
        <v/>
      </c>
      <c r="T3771">
        <f>'02_Модель'!T41</f>
        <v/>
      </c>
      <c r="U3771">
        <f>'02_Модель'!U41</f>
        <v/>
      </c>
      <c r="V3771">
        <f>'02_Модель'!V41</f>
        <v/>
      </c>
      <c r="W3771">
        <f>'02_Модель'!W41</f>
        <v/>
      </c>
      <c r="X3771">
        <f>'02_Модель'!X41</f>
        <v/>
      </c>
      <c r="Y3771">
        <f>'02_Модель'!Y41</f>
        <v/>
      </c>
      <c r="Z3771">
        <f>'02_Модель'!Z41</f>
        <v/>
      </c>
      <c r="AA3771">
        <f>'02_Модель'!AA41</f>
        <v/>
      </c>
      <c r="AB3771">
        <f>'02_Модель'!AB41</f>
        <v/>
      </c>
      <c r="AC3771">
        <f>'02_Модель'!AC41</f>
        <v/>
      </c>
      <c r="AD3771">
        <f>'02_Модель'!AD41</f>
        <v/>
      </c>
      <c r="AE3771">
        <f>'02_Модель'!AE41</f>
        <v/>
      </c>
      <c r="AF3771">
        <f>'02_Модель'!AF41</f>
        <v/>
      </c>
      <c r="AG3771">
        <f>'02_Модель'!AG41</f>
        <v/>
      </c>
      <c r="AH3771">
        <f>'02_Модель'!AH41</f>
        <v/>
      </c>
      <c r="AI3771">
        <f>'02_Модель'!AI41</f>
        <v/>
      </c>
      <c r="AJ3771">
        <f>'02_Модель'!AJ41</f>
        <v/>
      </c>
      <c r="AK3771">
        <f>'02_Модель'!AK41</f>
        <v/>
      </c>
      <c r="AL3771">
        <f>'02_Модель'!AL41</f>
        <v/>
      </c>
      <c r="AM3771">
        <f>'02_Модель'!AM41</f>
        <v/>
      </c>
      <c r="AN3771">
        <f>'02_Модель'!AN41</f>
        <v/>
      </c>
      <c r="AO3771">
        <f>'02_Модель'!AO41</f>
        <v/>
      </c>
      <c r="AP3771">
        <f>'02_Модель'!AP41</f>
        <v/>
      </c>
      <c r="AQ3771">
        <f>'02_Модель'!AQ41</f>
        <v/>
      </c>
      <c r="AR3771">
        <f>'02_Модель'!AR41</f>
        <v/>
      </c>
      <c r="AS3771">
        <f>'02_Модель'!AS41</f>
        <v/>
      </c>
      <c r="AT3771">
        <f>'02_Модель'!AT41</f>
        <v/>
      </c>
      <c r="AU3771">
        <f>'02_Модель'!AU41</f>
        <v/>
      </c>
      <c r="AV3771">
        <f>'02_Модель'!AV41</f>
        <v/>
      </c>
      <c r="AW3771">
        <f>'02_Модель'!AW41</f>
        <v/>
      </c>
      <c r="AX3771">
        <f>'02_Модель'!AX41</f>
        <v/>
      </c>
      <c r="AY3771">
        <f>'02_Модель'!AY41</f>
        <v/>
      </c>
      <c r="AZ3771">
        <f>'02_Модель'!AZ41</f>
        <v/>
      </c>
      <c r="BA3771">
        <f>'02_Модель'!BA41</f>
        <v/>
      </c>
      <c r="BB3771">
        <f>'02_Модель'!BB41</f>
        <v/>
      </c>
      <c r="BC3771">
        <f>'02_Модель'!BC41</f>
        <v/>
      </c>
      <c r="BD3771">
        <f>'02_Модель'!BD41</f>
        <v/>
      </c>
      <c r="BE3771">
        <f>'02_Модель'!BE41</f>
        <v/>
      </c>
      <c r="BF3771">
        <f>'02_Модель'!BF41</f>
        <v/>
      </c>
      <c r="BG3771">
        <f>'02_Модель'!BG41</f>
        <v/>
      </c>
      <c r="BH3771">
        <f>'02_Модель'!BH41</f>
        <v/>
      </c>
      <c r="BI3771">
        <f>'02_Модель'!BI41</f>
        <v/>
      </c>
    </row>
    <row r="3772">
      <c r="B3772">
        <f>IF('01_Вводные'!$B$234="Да",'19_Расчет_аналитики'!B3382,0)</f>
        <v/>
      </c>
      <c r="C3772">
        <f>IF('01_Вводные'!$B$234="Да",'19_Расчет_аналитики'!C3382,0)</f>
        <v/>
      </c>
      <c r="D3772">
        <f>IF('01_Вводные'!$B$234="Да",'19_Расчет_аналитики'!D3382,0)</f>
        <v/>
      </c>
      <c r="E3772">
        <f>IF('01_Вводные'!$B$234="Да",'19_Расчет_аналитики'!E3382,0)</f>
        <v/>
      </c>
      <c r="F3772">
        <f>IF('01_Вводные'!$B$234="Да",'19_Расчет_аналитики'!F3382,0)</f>
        <v/>
      </c>
      <c r="G3772">
        <f>IF('01_Вводные'!$B$234="Да",'19_Расчет_аналитики'!G3382,0)</f>
        <v/>
      </c>
      <c r="H3772">
        <f>IF('01_Вводные'!$B$234="Да",'19_Расчет_аналитики'!H3382,0)</f>
        <v/>
      </c>
      <c r="I3772">
        <f>IF('01_Вводные'!$B$234="Да",'19_Расчет_аналитики'!I3382,0)</f>
        <v/>
      </c>
      <c r="J3772">
        <f>IF('01_Вводные'!$B$234="Да",'19_Расчет_аналитики'!J3382,0)</f>
        <v/>
      </c>
      <c r="K3772">
        <f>IF('01_Вводные'!$B$234="Да",'19_Расчет_аналитики'!K3382,0)</f>
        <v/>
      </c>
      <c r="L3772">
        <f>IF('01_Вводные'!$B$234="Да",'19_Расчет_аналитики'!L3382,0)</f>
        <v/>
      </c>
      <c r="M3772">
        <f>IF('01_Вводные'!$B$234="Да",'19_Расчет_аналитики'!M3382,0)</f>
        <v/>
      </c>
      <c r="N3772">
        <f>IF('01_Вводные'!$B$234="Да",'19_Расчет_аналитики'!N3382,0)</f>
        <v/>
      </c>
      <c r="O3772">
        <f>IF('01_Вводные'!$B$234="Да",'19_Расчет_аналитики'!O3382,0)</f>
        <v/>
      </c>
      <c r="P3772">
        <f>IF('01_Вводные'!$B$234="Да",'19_Расчет_аналитики'!P3382,0)</f>
        <v/>
      </c>
      <c r="Q3772">
        <f>IF('01_Вводные'!$B$234="Да",'19_Расчет_аналитики'!Q3382,0)</f>
        <v/>
      </c>
      <c r="R3772">
        <f>IF('01_Вводные'!$B$234="Да",'19_Расчет_аналитики'!R3382,0)</f>
        <v/>
      </c>
      <c r="S3772">
        <f>IF('01_Вводные'!$B$234="Да",'19_Расчет_аналитики'!S3382,0)</f>
        <v/>
      </c>
      <c r="T3772">
        <f>IF('01_Вводные'!$B$234="Да",'19_Расчет_аналитики'!T3382,0)</f>
        <v/>
      </c>
      <c r="U3772">
        <f>IF('01_Вводные'!$B$234="Да",'19_Расчет_аналитики'!U3382,0)</f>
        <v/>
      </c>
      <c r="V3772">
        <f>IF('01_Вводные'!$B$234="Да",'19_Расчет_аналитики'!V3382,0)</f>
        <v/>
      </c>
      <c r="W3772">
        <f>IF('01_Вводные'!$B$234="Да",'19_Расчет_аналитики'!W3382,0)</f>
        <v/>
      </c>
      <c r="X3772">
        <f>IF('01_Вводные'!$B$234="Да",'19_Расчет_аналитики'!X3382,0)</f>
        <v/>
      </c>
      <c r="Y3772">
        <f>IF('01_Вводные'!$B$234="Да",'19_Расчет_аналитики'!Y3382,0)</f>
        <v/>
      </c>
      <c r="Z3772">
        <f>IF('01_Вводные'!$B$234="Да",'19_Расчет_аналитики'!Z3382,0)</f>
        <v/>
      </c>
      <c r="AA3772">
        <f>IF('01_Вводные'!$B$234="Да",'19_Расчет_аналитики'!AA3382,0)</f>
        <v/>
      </c>
      <c r="AB3772">
        <f>IF('01_Вводные'!$B$234="Да",'19_Расчет_аналитики'!AB3382,0)</f>
        <v/>
      </c>
      <c r="AC3772">
        <f>IF('01_Вводные'!$B$234="Да",'19_Расчет_аналитики'!AC3382,0)</f>
        <v/>
      </c>
      <c r="AD3772">
        <f>IF('01_Вводные'!$B$234="Да",'19_Расчет_аналитики'!AD3382,0)</f>
        <v/>
      </c>
      <c r="AE3772">
        <f>IF('01_Вводные'!$B$234="Да",'19_Расчет_аналитики'!AE3382,0)</f>
        <v/>
      </c>
      <c r="AF3772">
        <f>IF('01_Вводные'!$B$234="Да",'19_Расчет_аналитики'!AF3382,0)</f>
        <v/>
      </c>
      <c r="AG3772">
        <f>IF('01_Вводные'!$B$234="Да",'19_Расчет_аналитики'!AG3382,0)</f>
        <v/>
      </c>
      <c r="AH3772">
        <f>IF('01_Вводные'!$B$234="Да",'19_Расчет_аналитики'!AH3382,0)</f>
        <v/>
      </c>
      <c r="AI3772">
        <f>IF('01_Вводные'!$B$234="Да",'19_Расчет_аналитики'!AI3382,0)</f>
        <v/>
      </c>
      <c r="AJ3772">
        <f>IF('01_Вводные'!$B$234="Да",'19_Расчет_аналитики'!AJ3382,0)</f>
        <v/>
      </c>
      <c r="AK3772">
        <f>IF('01_Вводные'!$B$234="Да",'19_Расчет_аналитики'!AK3382,0)</f>
        <v/>
      </c>
      <c r="AL3772">
        <f>IF('01_Вводные'!$B$234="Да",'19_Расчет_аналитики'!AL3382,0)</f>
        <v/>
      </c>
      <c r="AM3772">
        <f>IF('01_Вводные'!$B$234="Да",'19_Расчет_аналитики'!AM3382,0)</f>
        <v/>
      </c>
      <c r="AN3772">
        <f>IF('01_Вводные'!$B$234="Да",'19_Расчет_аналитики'!AN3382,0)</f>
        <v/>
      </c>
      <c r="AO3772">
        <f>IF('01_Вводные'!$B$234="Да",'19_Расчет_аналитики'!AO3382,0)</f>
        <v/>
      </c>
      <c r="AP3772">
        <f>IF('01_Вводные'!$B$234="Да",'19_Расчет_аналитики'!AP3382,0)</f>
        <v/>
      </c>
      <c r="AQ3772">
        <f>IF('01_Вводные'!$B$234="Да",'19_Расчет_аналитики'!AQ3382,0)</f>
        <v/>
      </c>
      <c r="AR3772">
        <f>IF('01_Вводные'!$B$234="Да",'19_Расчет_аналитики'!AR3382,0)</f>
        <v/>
      </c>
      <c r="AS3772">
        <f>IF('01_Вводные'!$B$234="Да",'19_Расчет_аналитики'!AS3382,0)</f>
        <v/>
      </c>
      <c r="AT3772">
        <f>IF('01_Вводные'!$B$234="Да",'19_Расчет_аналитики'!AT3382,0)</f>
        <v/>
      </c>
      <c r="AU3772">
        <f>IF('01_Вводные'!$B$234="Да",'19_Расчет_аналитики'!AU3382,0)</f>
        <v/>
      </c>
      <c r="AV3772">
        <f>IF('01_Вводные'!$B$234="Да",'19_Расчет_аналитики'!AV3382,0)</f>
        <v/>
      </c>
      <c r="AW3772">
        <f>IF('01_Вводные'!$B$234="Да",'19_Расчет_аналитики'!AW3382,0)</f>
        <v/>
      </c>
      <c r="AX3772">
        <f>IF('01_Вводные'!$B$234="Да",'19_Расчет_аналитики'!AX3382,0)</f>
        <v/>
      </c>
      <c r="AY3772">
        <f>IF('01_Вводные'!$B$234="Да",'19_Расчет_аналитики'!AY3382,0)</f>
        <v/>
      </c>
      <c r="AZ3772">
        <f>IF('01_Вводные'!$B$234="Да",'19_Расчет_аналитики'!AZ3382,0)</f>
        <v/>
      </c>
      <c r="BA3772">
        <f>IF('01_Вводные'!$B$234="Да",'19_Расчет_аналитики'!BA3382,0)</f>
        <v/>
      </c>
      <c r="BB3772">
        <f>IF('01_Вводные'!$B$234="Да",'19_Расчет_аналитики'!BB3382,0)</f>
        <v/>
      </c>
      <c r="BC3772">
        <f>IF('01_Вводные'!$B$234="Да",'19_Расчет_аналитики'!BC3382,0)</f>
        <v/>
      </c>
      <c r="BD3772">
        <f>IF('01_Вводные'!$B$234="Да",'19_Расчет_аналитики'!BD3382,0)</f>
        <v/>
      </c>
      <c r="BE3772">
        <f>IF('01_Вводные'!$B$234="Да",'19_Расчет_аналитики'!BE3382,0)</f>
        <v/>
      </c>
      <c r="BF3772">
        <f>IF('01_Вводные'!$B$234="Да",'19_Расчет_аналитики'!BF3382,0)</f>
        <v/>
      </c>
      <c r="BG3772">
        <f>IF('01_Вводные'!$B$234="Да",'19_Расчет_аналитики'!BG3382,0)</f>
        <v/>
      </c>
      <c r="BH3772">
        <f>IF('01_Вводные'!$B$234="Да",'19_Расчет_аналитики'!BH3382,0)</f>
        <v/>
      </c>
      <c r="BI3772">
        <f>IF('01_Вводные'!$B$234="Да",'19_Расчет_аналитики'!BI3382,0)</f>
        <v/>
      </c>
    </row>
    <row r="3773">
      <c r="B3773">
        <f>IF('01_Вводные'!$B$234="Да",SUM('19_Расчет_аналитики'!B3766:B3772),0)</f>
        <v/>
      </c>
      <c r="C3773">
        <f>IF('01_Вводные'!$B$234="Да",SUM('19_Расчет_аналитики'!C3766:C3772),0)</f>
        <v/>
      </c>
      <c r="D3773">
        <f>IF('01_Вводные'!$B$234="Да",SUM('19_Расчет_аналитики'!D3766:D3772),0)</f>
        <v/>
      </c>
      <c r="E3773">
        <f>IF('01_Вводные'!$B$234="Да",SUM('19_Расчет_аналитики'!E3766:E3772),0)</f>
        <v/>
      </c>
      <c r="F3773">
        <f>IF('01_Вводные'!$B$234="Да",SUM('19_Расчет_аналитики'!F3766:F3772),0)</f>
        <v/>
      </c>
      <c r="G3773">
        <f>IF('01_Вводные'!$B$234="Да",SUM('19_Расчет_аналитики'!G3766:G3772),0)</f>
        <v/>
      </c>
      <c r="H3773">
        <f>IF('01_Вводные'!$B$234="Да",SUM('19_Расчет_аналитики'!H3766:H3772),0)</f>
        <v/>
      </c>
      <c r="I3773">
        <f>IF('01_Вводные'!$B$234="Да",SUM('19_Расчет_аналитики'!I3766:I3772),0)</f>
        <v/>
      </c>
      <c r="J3773">
        <f>IF('01_Вводные'!$B$234="Да",SUM('19_Расчет_аналитики'!J3766:J3772),0)</f>
        <v/>
      </c>
      <c r="K3773">
        <f>IF('01_Вводные'!$B$234="Да",SUM('19_Расчет_аналитики'!K3766:K3772),0)</f>
        <v/>
      </c>
      <c r="L3773">
        <f>IF('01_Вводные'!$B$234="Да",SUM('19_Расчет_аналитики'!L3766:L3772),0)</f>
        <v/>
      </c>
      <c r="M3773">
        <f>IF('01_Вводные'!$B$234="Да",SUM('19_Расчет_аналитики'!M3766:M3772),0)</f>
        <v/>
      </c>
      <c r="N3773">
        <f>IF('01_Вводные'!$B$234="Да",SUM('19_Расчет_аналитики'!N3766:N3772),0)</f>
        <v/>
      </c>
      <c r="O3773">
        <f>IF('01_Вводные'!$B$234="Да",SUM('19_Расчет_аналитики'!O3766:O3772),0)</f>
        <v/>
      </c>
      <c r="P3773">
        <f>IF('01_Вводные'!$B$234="Да",SUM('19_Расчет_аналитики'!P3766:P3772),0)</f>
        <v/>
      </c>
      <c r="Q3773">
        <f>IF('01_Вводные'!$B$234="Да",SUM('19_Расчет_аналитики'!Q3766:Q3772),0)</f>
        <v/>
      </c>
      <c r="R3773">
        <f>IF('01_Вводные'!$B$234="Да",SUM('19_Расчет_аналитики'!R3766:R3772),0)</f>
        <v/>
      </c>
      <c r="S3773">
        <f>IF('01_Вводные'!$B$234="Да",SUM('19_Расчет_аналитики'!S3766:S3772),0)</f>
        <v/>
      </c>
      <c r="T3773">
        <f>IF('01_Вводные'!$B$234="Да",SUM('19_Расчет_аналитики'!T3766:T3772),0)</f>
        <v/>
      </c>
      <c r="U3773">
        <f>IF('01_Вводные'!$B$234="Да",SUM('19_Расчет_аналитики'!U3766:U3772),0)</f>
        <v/>
      </c>
      <c r="V3773">
        <f>IF('01_Вводные'!$B$234="Да",SUM('19_Расчет_аналитики'!V3766:V3772),0)</f>
        <v/>
      </c>
      <c r="W3773">
        <f>IF('01_Вводные'!$B$234="Да",SUM('19_Расчет_аналитики'!W3766:W3772),0)</f>
        <v/>
      </c>
      <c r="X3773">
        <f>IF('01_Вводные'!$B$234="Да",SUM('19_Расчет_аналитики'!X3766:X3772),0)</f>
        <v/>
      </c>
      <c r="Y3773">
        <f>IF('01_Вводные'!$B$234="Да",SUM('19_Расчет_аналитики'!Y3766:Y3772),0)</f>
        <v/>
      </c>
      <c r="Z3773">
        <f>IF('01_Вводные'!$B$234="Да",SUM('19_Расчет_аналитики'!Z3766:Z3772),0)</f>
        <v/>
      </c>
      <c r="AA3773">
        <f>IF('01_Вводные'!$B$234="Да",SUM('19_Расчет_аналитики'!AA3766:AA3772),0)</f>
        <v/>
      </c>
      <c r="AB3773">
        <f>IF('01_Вводные'!$B$234="Да",SUM('19_Расчет_аналитики'!AB3766:AB3772),0)</f>
        <v/>
      </c>
      <c r="AC3773">
        <f>IF('01_Вводные'!$B$234="Да",SUM('19_Расчет_аналитики'!AC3766:AC3772),0)</f>
        <v/>
      </c>
      <c r="AD3773">
        <f>IF('01_Вводные'!$B$234="Да",SUM('19_Расчет_аналитики'!AD3766:AD3772),0)</f>
        <v/>
      </c>
      <c r="AE3773">
        <f>IF('01_Вводные'!$B$234="Да",SUM('19_Расчет_аналитики'!AE3766:AE3772),0)</f>
        <v/>
      </c>
      <c r="AF3773">
        <f>IF('01_Вводные'!$B$234="Да",SUM('19_Расчет_аналитики'!AF3766:AF3772),0)</f>
        <v/>
      </c>
      <c r="AG3773">
        <f>IF('01_Вводные'!$B$234="Да",SUM('19_Расчет_аналитики'!AG3766:AG3772),0)</f>
        <v/>
      </c>
      <c r="AH3773">
        <f>IF('01_Вводные'!$B$234="Да",SUM('19_Расчет_аналитики'!AH3766:AH3772),0)</f>
        <v/>
      </c>
      <c r="AI3773">
        <f>IF('01_Вводные'!$B$234="Да",SUM('19_Расчет_аналитики'!AI3766:AI3772),0)</f>
        <v/>
      </c>
      <c r="AJ3773">
        <f>IF('01_Вводные'!$B$234="Да",SUM('19_Расчет_аналитики'!AJ3766:AJ3772),0)</f>
        <v/>
      </c>
      <c r="AK3773">
        <f>IF('01_Вводные'!$B$234="Да",SUM('19_Расчет_аналитики'!AK3766:AK3772),0)</f>
        <v/>
      </c>
      <c r="AL3773">
        <f>IF('01_Вводные'!$B$234="Да",SUM('19_Расчет_аналитики'!AL3766:AL3772),0)</f>
        <v/>
      </c>
      <c r="AM3773">
        <f>IF('01_Вводные'!$B$234="Да",SUM('19_Расчет_аналитики'!AM3766:AM3772),0)</f>
        <v/>
      </c>
      <c r="AN3773">
        <f>IF('01_Вводные'!$B$234="Да",SUM('19_Расчет_аналитики'!AN3766:AN3772),0)</f>
        <v/>
      </c>
      <c r="AO3773">
        <f>IF('01_Вводные'!$B$234="Да",SUM('19_Расчет_аналитики'!AO3766:AO3772),0)</f>
        <v/>
      </c>
      <c r="AP3773">
        <f>IF('01_Вводные'!$B$234="Да",SUM('19_Расчет_аналитики'!AP3766:AP3772),0)</f>
        <v/>
      </c>
      <c r="AQ3773">
        <f>IF('01_Вводные'!$B$234="Да",SUM('19_Расчет_аналитики'!AQ3766:AQ3772),0)</f>
        <v/>
      </c>
      <c r="AR3773">
        <f>IF('01_Вводные'!$B$234="Да",SUM('19_Расчет_аналитики'!AR3766:AR3772),0)</f>
        <v/>
      </c>
      <c r="AS3773">
        <f>IF('01_Вводные'!$B$234="Да",SUM('19_Расчет_аналитики'!AS3766:AS3772),0)</f>
        <v/>
      </c>
      <c r="AT3773">
        <f>IF('01_Вводные'!$B$234="Да",SUM('19_Расчет_аналитики'!AT3766:AT3772),0)</f>
        <v/>
      </c>
      <c r="AU3773">
        <f>IF('01_Вводные'!$B$234="Да",SUM('19_Расчет_аналитики'!AU3766:AU3772),0)</f>
        <v/>
      </c>
      <c r="AV3773">
        <f>IF('01_Вводные'!$B$234="Да",SUM('19_Расчет_аналитики'!AV3766:AV3772),0)</f>
        <v/>
      </c>
      <c r="AW3773">
        <f>IF('01_Вводные'!$B$234="Да",SUM('19_Расчет_аналитики'!AW3766:AW3772),0)</f>
        <v/>
      </c>
      <c r="AX3773">
        <f>IF('01_Вводные'!$B$234="Да",SUM('19_Расчет_аналитики'!AX3766:AX3772),0)</f>
        <v/>
      </c>
      <c r="AY3773">
        <f>IF('01_Вводные'!$B$234="Да",SUM('19_Расчет_аналитики'!AY3766:AY3772),0)</f>
        <v/>
      </c>
      <c r="AZ3773">
        <f>IF('01_Вводные'!$B$234="Да",SUM('19_Расчет_аналитики'!AZ3766:AZ3772),0)</f>
        <v/>
      </c>
      <c r="BA3773">
        <f>IF('01_Вводные'!$B$234="Да",SUM('19_Расчет_аналитики'!BA3766:BA3772),0)</f>
        <v/>
      </c>
      <c r="BB3773">
        <f>IF('01_Вводные'!$B$234="Да",SUM('19_Расчет_аналитики'!BB3766:BB3772),0)</f>
        <v/>
      </c>
      <c r="BC3773">
        <f>IF('01_Вводные'!$B$234="Да",SUM('19_Расчет_аналитики'!BC3766:BC3772),0)</f>
        <v/>
      </c>
      <c r="BD3773">
        <f>IF('01_Вводные'!$B$234="Да",SUM('19_Расчет_аналитики'!BD3766:BD3772),0)</f>
        <v/>
      </c>
      <c r="BE3773">
        <f>IF('01_Вводные'!$B$234="Да",SUM('19_Расчет_аналитики'!BE3766:BE3772),0)</f>
        <v/>
      </c>
      <c r="BF3773">
        <f>IF('01_Вводные'!$B$234="Да",SUM('19_Расчет_аналитики'!BF3766:BF3772),0)</f>
        <v/>
      </c>
      <c r="BG3773">
        <f>IF('01_Вводные'!$B$234="Да",SUM('19_Расчет_аналитики'!BG3766:BG3772),0)</f>
        <v/>
      </c>
      <c r="BH3773">
        <f>IF('01_Вводные'!$B$234="Да",SUM('19_Расчет_аналитики'!BH3766:BH3772),0)</f>
        <v/>
      </c>
      <c r="BI3773">
        <f>IF('01_Вводные'!$B$234="Да",SUM('19_Расчет_аналитики'!BI3766:BI3772),0)</f>
        <v/>
      </c>
    </row>
    <row r="3774">
      <c r="B3774">
        <f>IF('01_Вводные'!$B$234="Да",'19_Расчет_аналитики'!B3763-'19_Расчет_аналитики'!B3773,0)</f>
        <v/>
      </c>
      <c r="C3774">
        <f>IF('01_Вводные'!$B$234="Да",'19_Расчет_аналитики'!C3763-'19_Расчет_аналитики'!C3773,0)</f>
        <v/>
      </c>
      <c r="D3774">
        <f>IF('01_Вводные'!$B$234="Да",'19_Расчет_аналитики'!D3763-'19_Расчет_аналитики'!D3773,0)</f>
        <v/>
      </c>
      <c r="E3774">
        <f>IF('01_Вводные'!$B$234="Да",'19_Расчет_аналитики'!E3763-'19_Расчет_аналитики'!E3773,0)</f>
        <v/>
      </c>
      <c r="F3774">
        <f>IF('01_Вводные'!$B$234="Да",'19_Расчет_аналитики'!F3763-'19_Расчет_аналитики'!F3773,0)</f>
        <v/>
      </c>
      <c r="G3774">
        <f>IF('01_Вводные'!$B$234="Да",'19_Расчет_аналитики'!G3763-'19_Расчет_аналитики'!G3773,0)</f>
        <v/>
      </c>
      <c r="H3774">
        <f>IF('01_Вводные'!$B$234="Да",'19_Расчет_аналитики'!H3763-'19_Расчет_аналитики'!H3773,0)</f>
        <v/>
      </c>
      <c r="I3774">
        <f>IF('01_Вводные'!$B$234="Да",'19_Расчет_аналитики'!I3763-'19_Расчет_аналитики'!I3773,0)</f>
        <v/>
      </c>
      <c r="J3774">
        <f>IF('01_Вводные'!$B$234="Да",'19_Расчет_аналитики'!J3763-'19_Расчет_аналитики'!J3773,0)</f>
        <v/>
      </c>
      <c r="K3774">
        <f>IF('01_Вводные'!$B$234="Да",'19_Расчет_аналитики'!K3763-'19_Расчет_аналитики'!K3773,0)</f>
        <v/>
      </c>
      <c r="L3774">
        <f>IF('01_Вводные'!$B$234="Да",'19_Расчет_аналитики'!L3763-'19_Расчет_аналитики'!L3773,0)</f>
        <v/>
      </c>
      <c r="M3774">
        <f>IF('01_Вводные'!$B$234="Да",'19_Расчет_аналитики'!M3763-'19_Расчет_аналитики'!M3773,0)</f>
        <v/>
      </c>
      <c r="N3774">
        <f>IF('01_Вводные'!$B$234="Да",'19_Расчет_аналитики'!N3763-'19_Расчет_аналитики'!N3773,0)</f>
        <v/>
      </c>
      <c r="O3774">
        <f>IF('01_Вводные'!$B$234="Да",'19_Расчет_аналитики'!O3763-'19_Расчет_аналитики'!O3773,0)</f>
        <v/>
      </c>
      <c r="P3774">
        <f>IF('01_Вводные'!$B$234="Да",'19_Расчет_аналитики'!P3763-'19_Расчет_аналитики'!P3773,0)</f>
        <v/>
      </c>
      <c r="Q3774">
        <f>IF('01_Вводные'!$B$234="Да",'19_Расчет_аналитики'!Q3763-'19_Расчет_аналитики'!Q3773,0)</f>
        <v/>
      </c>
      <c r="R3774">
        <f>IF('01_Вводные'!$B$234="Да",'19_Расчет_аналитики'!R3763-'19_Расчет_аналитики'!R3773,0)</f>
        <v/>
      </c>
      <c r="S3774">
        <f>IF('01_Вводные'!$B$234="Да",'19_Расчет_аналитики'!S3763-'19_Расчет_аналитики'!S3773,0)</f>
        <v/>
      </c>
      <c r="T3774">
        <f>IF('01_Вводные'!$B$234="Да",'19_Расчет_аналитики'!T3763-'19_Расчет_аналитики'!T3773,0)</f>
        <v/>
      </c>
      <c r="U3774">
        <f>IF('01_Вводные'!$B$234="Да",'19_Расчет_аналитики'!U3763-'19_Расчет_аналитики'!U3773,0)</f>
        <v/>
      </c>
      <c r="V3774">
        <f>IF('01_Вводные'!$B$234="Да",'19_Расчет_аналитики'!V3763-'19_Расчет_аналитики'!V3773,0)</f>
        <v/>
      </c>
      <c r="W3774">
        <f>IF('01_Вводные'!$B$234="Да",'19_Расчет_аналитики'!W3763-'19_Расчет_аналитики'!W3773,0)</f>
        <v/>
      </c>
      <c r="X3774">
        <f>IF('01_Вводные'!$B$234="Да",'19_Расчет_аналитики'!X3763-'19_Расчет_аналитики'!X3773,0)</f>
        <v/>
      </c>
      <c r="Y3774">
        <f>IF('01_Вводные'!$B$234="Да",'19_Расчет_аналитики'!Y3763-'19_Расчет_аналитики'!Y3773,0)</f>
        <v/>
      </c>
      <c r="Z3774">
        <f>IF('01_Вводные'!$B$234="Да",'19_Расчет_аналитики'!Z3763-'19_Расчет_аналитики'!Z3773,0)</f>
        <v/>
      </c>
      <c r="AA3774">
        <f>IF('01_Вводные'!$B$234="Да",'19_Расчет_аналитики'!AA3763-'19_Расчет_аналитики'!AA3773,0)</f>
        <v/>
      </c>
      <c r="AB3774">
        <f>IF('01_Вводные'!$B$234="Да",'19_Расчет_аналитики'!AB3763-'19_Расчет_аналитики'!AB3773,0)</f>
        <v/>
      </c>
      <c r="AC3774">
        <f>IF('01_Вводные'!$B$234="Да",'19_Расчет_аналитики'!AC3763-'19_Расчет_аналитики'!AC3773,0)</f>
        <v/>
      </c>
      <c r="AD3774">
        <f>IF('01_Вводные'!$B$234="Да",'19_Расчет_аналитики'!AD3763-'19_Расчет_аналитики'!AD3773,0)</f>
        <v/>
      </c>
      <c r="AE3774">
        <f>IF('01_Вводные'!$B$234="Да",'19_Расчет_аналитики'!AE3763-'19_Расчет_аналитики'!AE3773,0)</f>
        <v/>
      </c>
      <c r="AF3774">
        <f>IF('01_Вводные'!$B$234="Да",'19_Расчет_аналитики'!AF3763-'19_Расчет_аналитики'!AF3773,0)</f>
        <v/>
      </c>
      <c r="AG3774">
        <f>IF('01_Вводные'!$B$234="Да",'19_Расчет_аналитики'!AG3763-'19_Расчет_аналитики'!AG3773,0)</f>
        <v/>
      </c>
      <c r="AH3774">
        <f>IF('01_Вводные'!$B$234="Да",'19_Расчет_аналитики'!AH3763-'19_Расчет_аналитики'!AH3773,0)</f>
        <v/>
      </c>
      <c r="AI3774">
        <f>IF('01_Вводные'!$B$234="Да",'19_Расчет_аналитики'!AI3763-'19_Расчет_аналитики'!AI3773,0)</f>
        <v/>
      </c>
      <c r="AJ3774">
        <f>IF('01_Вводные'!$B$234="Да",'19_Расчет_аналитики'!AJ3763-'19_Расчет_аналитики'!AJ3773,0)</f>
        <v/>
      </c>
      <c r="AK3774">
        <f>IF('01_Вводные'!$B$234="Да",'19_Расчет_аналитики'!AK3763-'19_Расчет_аналитики'!AK3773,0)</f>
        <v/>
      </c>
      <c r="AL3774">
        <f>IF('01_Вводные'!$B$234="Да",'19_Расчет_аналитики'!AL3763-'19_Расчет_аналитики'!AL3773,0)</f>
        <v/>
      </c>
      <c r="AM3774">
        <f>IF('01_Вводные'!$B$234="Да",'19_Расчет_аналитики'!AM3763-'19_Расчет_аналитики'!AM3773,0)</f>
        <v/>
      </c>
      <c r="AN3774">
        <f>IF('01_Вводные'!$B$234="Да",'19_Расчет_аналитики'!AN3763-'19_Расчет_аналитики'!AN3773,0)</f>
        <v/>
      </c>
      <c r="AO3774">
        <f>IF('01_Вводные'!$B$234="Да",'19_Расчет_аналитики'!AO3763-'19_Расчет_аналитики'!AO3773,0)</f>
        <v/>
      </c>
      <c r="AP3774">
        <f>IF('01_Вводные'!$B$234="Да",'19_Расчет_аналитики'!AP3763-'19_Расчет_аналитики'!AP3773,0)</f>
        <v/>
      </c>
      <c r="AQ3774">
        <f>IF('01_Вводные'!$B$234="Да",'19_Расчет_аналитики'!AQ3763-'19_Расчет_аналитики'!AQ3773,0)</f>
        <v/>
      </c>
      <c r="AR3774">
        <f>IF('01_Вводные'!$B$234="Да",'19_Расчет_аналитики'!AR3763-'19_Расчет_аналитики'!AR3773,0)</f>
        <v/>
      </c>
      <c r="AS3774">
        <f>IF('01_Вводные'!$B$234="Да",'19_Расчет_аналитики'!AS3763-'19_Расчет_аналитики'!AS3773,0)</f>
        <v/>
      </c>
      <c r="AT3774">
        <f>IF('01_Вводные'!$B$234="Да",'19_Расчет_аналитики'!AT3763-'19_Расчет_аналитики'!AT3773,0)</f>
        <v/>
      </c>
      <c r="AU3774">
        <f>IF('01_Вводные'!$B$234="Да",'19_Расчет_аналитики'!AU3763-'19_Расчет_аналитики'!AU3773,0)</f>
        <v/>
      </c>
      <c r="AV3774">
        <f>IF('01_Вводные'!$B$234="Да",'19_Расчет_аналитики'!AV3763-'19_Расчет_аналитики'!AV3773,0)</f>
        <v/>
      </c>
      <c r="AW3774">
        <f>IF('01_Вводные'!$B$234="Да",'19_Расчет_аналитики'!AW3763-'19_Расчет_аналитики'!AW3773,0)</f>
        <v/>
      </c>
      <c r="AX3774">
        <f>IF('01_Вводные'!$B$234="Да",'19_Расчет_аналитики'!AX3763-'19_Расчет_аналитики'!AX3773,0)</f>
        <v/>
      </c>
      <c r="AY3774">
        <f>IF('01_Вводные'!$B$234="Да",'19_Расчет_аналитики'!AY3763-'19_Расчет_аналитики'!AY3773,0)</f>
        <v/>
      </c>
      <c r="AZ3774">
        <f>IF('01_Вводные'!$B$234="Да",'19_Расчет_аналитики'!AZ3763-'19_Расчет_аналитики'!AZ3773,0)</f>
        <v/>
      </c>
      <c r="BA3774">
        <f>IF('01_Вводные'!$B$234="Да",'19_Расчет_аналитики'!BA3763-'19_Расчет_аналитики'!BA3773,0)</f>
        <v/>
      </c>
      <c r="BB3774">
        <f>IF('01_Вводные'!$B$234="Да",'19_Расчет_аналитики'!BB3763-'19_Расчет_аналитики'!BB3773,0)</f>
        <v/>
      </c>
      <c r="BC3774">
        <f>IF('01_Вводные'!$B$234="Да",'19_Расчет_аналитики'!BC3763-'19_Расчет_аналитики'!BC3773,0)</f>
        <v/>
      </c>
      <c r="BD3774">
        <f>IF('01_Вводные'!$B$234="Да",'19_Расчет_аналитики'!BD3763-'19_Расчет_аналитики'!BD3773,0)</f>
        <v/>
      </c>
      <c r="BE3774">
        <f>IF('01_Вводные'!$B$234="Да",'19_Расчет_аналитики'!BE3763-'19_Расчет_аналитики'!BE3773,0)</f>
        <v/>
      </c>
      <c r="BF3774">
        <f>IF('01_Вводные'!$B$234="Да",'19_Расчет_аналитики'!BF3763-'19_Расчет_аналитики'!BF3773,0)</f>
        <v/>
      </c>
      <c r="BG3774">
        <f>IF('01_Вводные'!$B$234="Да",'19_Расчет_аналитики'!BG3763-'19_Расчет_аналитики'!BG3773,0)</f>
        <v/>
      </c>
      <c r="BH3774">
        <f>IF('01_Вводные'!$B$234="Да",'19_Расчет_аналитики'!BH3763-'19_Расчет_аналитики'!BH3773,0)</f>
        <v/>
      </c>
      <c r="BI3774">
        <f>IF('01_Вводные'!$B$234="Да",'19_Расчет_аналитики'!BI3763-'19_Расчет_аналитики'!BI3773,0)</f>
        <v/>
      </c>
    </row>
    <row r="3775">
      <c r="B3775">
        <f>IF('01_Вводные'!$B$234="Да",IF('19_Расчет_аналитики'!B3753=0,0,'19_Расчет_аналитики'!B3774/'19_Расчет_аналитики'!B3753),0)</f>
        <v/>
      </c>
      <c r="C3775">
        <f>IF('01_Вводные'!$B$234="Да",IF('19_Расчет_аналитики'!C3753=0,0,'19_Расчет_аналитики'!C3774/'19_Расчет_аналитики'!C3753),0)</f>
        <v/>
      </c>
      <c r="D3775">
        <f>IF('01_Вводные'!$B$234="Да",IF('19_Расчет_аналитики'!D3753=0,0,'19_Расчет_аналитики'!D3774/'19_Расчет_аналитики'!D3753),0)</f>
        <v/>
      </c>
      <c r="E3775">
        <f>IF('01_Вводные'!$B$234="Да",IF('19_Расчет_аналитики'!E3753=0,0,'19_Расчет_аналитики'!E3774/'19_Расчет_аналитики'!E3753),0)</f>
        <v/>
      </c>
      <c r="F3775">
        <f>IF('01_Вводные'!$B$234="Да",IF('19_Расчет_аналитики'!F3753=0,0,'19_Расчет_аналитики'!F3774/'19_Расчет_аналитики'!F3753),0)</f>
        <v/>
      </c>
      <c r="G3775">
        <f>IF('01_Вводные'!$B$234="Да",IF('19_Расчет_аналитики'!G3753=0,0,'19_Расчет_аналитики'!G3774/'19_Расчет_аналитики'!G3753),0)</f>
        <v/>
      </c>
      <c r="H3775">
        <f>IF('01_Вводные'!$B$234="Да",IF('19_Расчет_аналитики'!H3753=0,0,'19_Расчет_аналитики'!H3774/'19_Расчет_аналитики'!H3753),0)</f>
        <v/>
      </c>
      <c r="I3775">
        <f>IF('01_Вводные'!$B$234="Да",IF('19_Расчет_аналитики'!I3753=0,0,'19_Расчет_аналитики'!I3774/'19_Расчет_аналитики'!I3753),0)</f>
        <v/>
      </c>
      <c r="J3775">
        <f>IF('01_Вводные'!$B$234="Да",IF('19_Расчет_аналитики'!J3753=0,0,'19_Расчет_аналитики'!J3774/'19_Расчет_аналитики'!J3753),0)</f>
        <v/>
      </c>
      <c r="K3775">
        <f>IF('01_Вводные'!$B$234="Да",IF('19_Расчет_аналитики'!K3753=0,0,'19_Расчет_аналитики'!K3774/'19_Расчет_аналитики'!K3753),0)</f>
        <v/>
      </c>
      <c r="L3775">
        <f>IF('01_Вводные'!$B$234="Да",IF('19_Расчет_аналитики'!L3753=0,0,'19_Расчет_аналитики'!L3774/'19_Расчет_аналитики'!L3753),0)</f>
        <v/>
      </c>
      <c r="M3775">
        <f>IF('01_Вводные'!$B$234="Да",IF('19_Расчет_аналитики'!M3753=0,0,'19_Расчет_аналитики'!M3774/'19_Расчет_аналитики'!M3753),0)</f>
        <v/>
      </c>
      <c r="N3775">
        <f>IF('01_Вводные'!$B$234="Да",IF('19_Расчет_аналитики'!N3753=0,0,'19_Расчет_аналитики'!N3774/'19_Расчет_аналитики'!N3753),0)</f>
        <v/>
      </c>
      <c r="O3775">
        <f>IF('01_Вводные'!$B$234="Да",IF('19_Расчет_аналитики'!O3753=0,0,'19_Расчет_аналитики'!O3774/'19_Расчет_аналитики'!O3753),0)</f>
        <v/>
      </c>
      <c r="P3775">
        <f>IF('01_Вводные'!$B$234="Да",IF('19_Расчет_аналитики'!P3753=0,0,'19_Расчет_аналитики'!P3774/'19_Расчет_аналитики'!P3753),0)</f>
        <v/>
      </c>
      <c r="Q3775">
        <f>IF('01_Вводные'!$B$234="Да",IF('19_Расчет_аналитики'!Q3753=0,0,'19_Расчет_аналитики'!Q3774/'19_Расчет_аналитики'!Q3753),0)</f>
        <v/>
      </c>
      <c r="R3775">
        <f>IF('01_Вводные'!$B$234="Да",IF('19_Расчет_аналитики'!R3753=0,0,'19_Расчет_аналитики'!R3774/'19_Расчет_аналитики'!R3753),0)</f>
        <v/>
      </c>
      <c r="S3775">
        <f>IF('01_Вводные'!$B$234="Да",IF('19_Расчет_аналитики'!S3753=0,0,'19_Расчет_аналитики'!S3774/'19_Расчет_аналитики'!S3753),0)</f>
        <v/>
      </c>
      <c r="T3775">
        <f>IF('01_Вводные'!$B$234="Да",IF('19_Расчет_аналитики'!T3753=0,0,'19_Расчет_аналитики'!T3774/'19_Расчет_аналитики'!T3753),0)</f>
        <v/>
      </c>
      <c r="U3775">
        <f>IF('01_Вводные'!$B$234="Да",IF('19_Расчет_аналитики'!U3753=0,0,'19_Расчет_аналитики'!U3774/'19_Расчет_аналитики'!U3753),0)</f>
        <v/>
      </c>
      <c r="V3775">
        <f>IF('01_Вводные'!$B$234="Да",IF('19_Расчет_аналитики'!V3753=0,0,'19_Расчет_аналитики'!V3774/'19_Расчет_аналитики'!V3753),0)</f>
        <v/>
      </c>
      <c r="W3775">
        <f>IF('01_Вводные'!$B$234="Да",IF('19_Расчет_аналитики'!W3753=0,0,'19_Расчет_аналитики'!W3774/'19_Расчет_аналитики'!W3753),0)</f>
        <v/>
      </c>
      <c r="X3775">
        <f>IF('01_Вводные'!$B$234="Да",IF('19_Расчет_аналитики'!X3753=0,0,'19_Расчет_аналитики'!X3774/'19_Расчет_аналитики'!X3753),0)</f>
        <v/>
      </c>
      <c r="Y3775">
        <f>IF('01_Вводные'!$B$234="Да",IF('19_Расчет_аналитики'!Y3753=0,0,'19_Расчет_аналитики'!Y3774/'19_Расчет_аналитики'!Y3753),0)</f>
        <v/>
      </c>
      <c r="Z3775">
        <f>IF('01_Вводные'!$B$234="Да",IF('19_Расчет_аналитики'!Z3753=0,0,'19_Расчет_аналитики'!Z3774/'19_Расчет_аналитики'!Z3753),0)</f>
        <v/>
      </c>
      <c r="AA3775">
        <f>IF('01_Вводные'!$B$234="Да",IF('19_Расчет_аналитики'!AA3753=0,0,'19_Расчет_аналитики'!AA3774/'19_Расчет_аналитики'!AA3753),0)</f>
        <v/>
      </c>
      <c r="AB3775">
        <f>IF('01_Вводные'!$B$234="Да",IF('19_Расчет_аналитики'!AB3753=0,0,'19_Расчет_аналитики'!AB3774/'19_Расчет_аналитики'!AB3753),0)</f>
        <v/>
      </c>
      <c r="AC3775">
        <f>IF('01_Вводные'!$B$234="Да",IF('19_Расчет_аналитики'!AC3753=0,0,'19_Расчет_аналитики'!AC3774/'19_Расчет_аналитики'!AC3753),0)</f>
        <v/>
      </c>
      <c r="AD3775">
        <f>IF('01_Вводные'!$B$234="Да",IF('19_Расчет_аналитики'!AD3753=0,0,'19_Расчет_аналитики'!AD3774/'19_Расчет_аналитики'!AD3753),0)</f>
        <v/>
      </c>
      <c r="AE3775">
        <f>IF('01_Вводные'!$B$234="Да",IF('19_Расчет_аналитики'!AE3753=0,0,'19_Расчет_аналитики'!AE3774/'19_Расчет_аналитики'!AE3753),0)</f>
        <v/>
      </c>
      <c r="AF3775">
        <f>IF('01_Вводные'!$B$234="Да",IF('19_Расчет_аналитики'!AF3753=0,0,'19_Расчет_аналитики'!AF3774/'19_Расчет_аналитики'!AF3753),0)</f>
        <v/>
      </c>
      <c r="AG3775">
        <f>IF('01_Вводные'!$B$234="Да",IF('19_Расчет_аналитики'!AG3753=0,0,'19_Расчет_аналитики'!AG3774/'19_Расчет_аналитики'!AG3753),0)</f>
        <v/>
      </c>
      <c r="AH3775">
        <f>IF('01_Вводные'!$B$234="Да",IF('19_Расчет_аналитики'!AH3753=0,0,'19_Расчет_аналитики'!AH3774/'19_Расчет_аналитики'!AH3753),0)</f>
        <v/>
      </c>
      <c r="AI3775">
        <f>IF('01_Вводные'!$B$234="Да",IF('19_Расчет_аналитики'!AI3753=0,0,'19_Расчет_аналитики'!AI3774/'19_Расчет_аналитики'!AI3753),0)</f>
        <v/>
      </c>
      <c r="AJ3775">
        <f>IF('01_Вводные'!$B$234="Да",IF('19_Расчет_аналитики'!AJ3753=0,0,'19_Расчет_аналитики'!AJ3774/'19_Расчет_аналитики'!AJ3753),0)</f>
        <v/>
      </c>
      <c r="AK3775">
        <f>IF('01_Вводные'!$B$234="Да",IF('19_Расчет_аналитики'!AK3753=0,0,'19_Расчет_аналитики'!AK3774/'19_Расчет_аналитики'!AK3753),0)</f>
        <v/>
      </c>
      <c r="AL3775">
        <f>IF('01_Вводные'!$B$234="Да",IF('19_Расчет_аналитики'!AL3753=0,0,'19_Расчет_аналитики'!AL3774/'19_Расчет_аналитики'!AL3753),0)</f>
        <v/>
      </c>
      <c r="AM3775">
        <f>IF('01_Вводные'!$B$234="Да",IF('19_Расчет_аналитики'!AM3753=0,0,'19_Расчет_аналитики'!AM3774/'19_Расчет_аналитики'!AM3753),0)</f>
        <v/>
      </c>
      <c r="AN3775">
        <f>IF('01_Вводные'!$B$234="Да",IF('19_Расчет_аналитики'!AN3753=0,0,'19_Расчет_аналитики'!AN3774/'19_Расчет_аналитики'!AN3753),0)</f>
        <v/>
      </c>
      <c r="AO3775">
        <f>IF('01_Вводные'!$B$234="Да",IF('19_Расчет_аналитики'!AO3753=0,0,'19_Расчет_аналитики'!AO3774/'19_Расчет_аналитики'!AO3753),0)</f>
        <v/>
      </c>
      <c r="AP3775">
        <f>IF('01_Вводные'!$B$234="Да",IF('19_Расчет_аналитики'!AP3753=0,0,'19_Расчет_аналитики'!AP3774/'19_Расчет_аналитики'!AP3753),0)</f>
        <v/>
      </c>
      <c r="AQ3775">
        <f>IF('01_Вводные'!$B$234="Да",IF('19_Расчет_аналитики'!AQ3753=0,0,'19_Расчет_аналитики'!AQ3774/'19_Расчет_аналитики'!AQ3753),0)</f>
        <v/>
      </c>
      <c r="AR3775">
        <f>IF('01_Вводные'!$B$234="Да",IF('19_Расчет_аналитики'!AR3753=0,0,'19_Расчет_аналитики'!AR3774/'19_Расчет_аналитики'!AR3753),0)</f>
        <v/>
      </c>
      <c r="AS3775">
        <f>IF('01_Вводные'!$B$234="Да",IF('19_Расчет_аналитики'!AS3753=0,0,'19_Расчет_аналитики'!AS3774/'19_Расчет_аналитики'!AS3753),0)</f>
        <v/>
      </c>
      <c r="AT3775">
        <f>IF('01_Вводные'!$B$234="Да",IF('19_Расчет_аналитики'!AT3753=0,0,'19_Расчет_аналитики'!AT3774/'19_Расчет_аналитики'!AT3753),0)</f>
        <v/>
      </c>
      <c r="AU3775">
        <f>IF('01_Вводные'!$B$234="Да",IF('19_Расчет_аналитики'!AU3753=0,0,'19_Расчет_аналитики'!AU3774/'19_Расчет_аналитики'!AU3753),0)</f>
        <v/>
      </c>
      <c r="AV3775">
        <f>IF('01_Вводные'!$B$234="Да",IF('19_Расчет_аналитики'!AV3753=0,0,'19_Расчет_аналитики'!AV3774/'19_Расчет_аналитики'!AV3753),0)</f>
        <v/>
      </c>
      <c r="AW3775">
        <f>IF('01_Вводные'!$B$234="Да",IF('19_Расчет_аналитики'!AW3753=0,0,'19_Расчет_аналитики'!AW3774/'19_Расчет_аналитики'!AW3753),0)</f>
        <v/>
      </c>
      <c r="AX3775">
        <f>IF('01_Вводные'!$B$234="Да",IF('19_Расчет_аналитики'!AX3753=0,0,'19_Расчет_аналитики'!AX3774/'19_Расчет_аналитики'!AX3753),0)</f>
        <v/>
      </c>
      <c r="AY3775">
        <f>IF('01_Вводные'!$B$234="Да",IF('19_Расчет_аналитики'!AY3753=0,0,'19_Расчет_аналитики'!AY3774/'19_Расчет_аналитики'!AY3753),0)</f>
        <v/>
      </c>
      <c r="AZ3775">
        <f>IF('01_Вводные'!$B$234="Да",IF('19_Расчет_аналитики'!AZ3753=0,0,'19_Расчет_аналитики'!AZ3774/'19_Расчет_аналитики'!AZ3753),0)</f>
        <v/>
      </c>
      <c r="BA3775">
        <f>IF('01_Вводные'!$B$234="Да",IF('19_Расчет_аналитики'!BA3753=0,0,'19_Расчет_аналитики'!BA3774/'19_Расчет_аналитики'!BA3753),0)</f>
        <v/>
      </c>
      <c r="BB3775">
        <f>IF('01_Вводные'!$B$234="Да",IF('19_Расчет_аналитики'!BB3753=0,0,'19_Расчет_аналитики'!BB3774/'19_Расчет_аналитики'!BB3753),0)</f>
        <v/>
      </c>
      <c r="BC3775">
        <f>IF('01_Вводные'!$B$234="Да",IF('19_Расчет_аналитики'!BC3753=0,0,'19_Расчет_аналитики'!BC3774/'19_Расчет_аналитики'!BC3753),0)</f>
        <v/>
      </c>
      <c r="BD3775">
        <f>IF('01_Вводные'!$B$234="Да",IF('19_Расчет_аналитики'!BD3753=0,0,'19_Расчет_аналитики'!BD3774/'19_Расчет_аналитики'!BD3753),0)</f>
        <v/>
      </c>
      <c r="BE3775">
        <f>IF('01_Вводные'!$B$234="Да",IF('19_Расчет_аналитики'!BE3753=0,0,'19_Расчет_аналитики'!BE3774/'19_Расчет_аналитики'!BE3753),0)</f>
        <v/>
      </c>
      <c r="BF3775">
        <f>IF('01_Вводные'!$B$234="Да",IF('19_Расчет_аналитики'!BF3753=0,0,'19_Расчет_аналитики'!BF3774/'19_Расчет_аналитики'!BF3753),0)</f>
        <v/>
      </c>
      <c r="BG3775">
        <f>IF('01_Вводные'!$B$234="Да",IF('19_Расчет_аналитики'!BG3753=0,0,'19_Расчет_аналитики'!BG3774/'19_Расчет_аналитики'!BG3753),0)</f>
        <v/>
      </c>
      <c r="BH3775">
        <f>IF('01_Вводные'!$B$234="Да",IF('19_Расчет_аналитики'!BH3753=0,0,'19_Расчет_аналитики'!BH3774/'19_Расчет_аналитики'!BH3753),0)</f>
        <v/>
      </c>
      <c r="BI3775">
        <f>IF('01_Вводные'!$B$234="Да",IF('19_Расчет_аналитики'!BI3753=0,0,'19_Расчет_аналитики'!BI3774/'19_Расчет_аналитики'!BI3753),0)</f>
        <v/>
      </c>
    </row>
    <row r="3776">
      <c r="B3776">
        <f>IF('01_Вводные'!$B$234="Да",MAX('01_Вводные'!$B$157*'19_Расчет_аналитики'!B3753,'01_Вводные'!$B$156*MAX(0,'19_Расчет_аналитики'!B3774)),0)</f>
        <v/>
      </c>
      <c r="C3776">
        <f>IF('01_Вводные'!$B$234="Да",MAX('01_Вводные'!$B$157*'19_Расчет_аналитики'!C3753,'01_Вводные'!$B$156*MAX(0,'19_Расчет_аналитики'!C3774)),0)</f>
        <v/>
      </c>
      <c r="D3776">
        <f>IF('01_Вводные'!$B$234="Да",MAX('01_Вводные'!$B$157*'19_Расчет_аналитики'!D3753,'01_Вводные'!$B$156*MAX(0,'19_Расчет_аналитики'!D3774)),0)</f>
        <v/>
      </c>
      <c r="E3776">
        <f>IF('01_Вводные'!$B$234="Да",MAX('01_Вводные'!$B$157*'19_Расчет_аналитики'!E3753,'01_Вводные'!$B$156*MAX(0,'19_Расчет_аналитики'!E3774)),0)</f>
        <v/>
      </c>
      <c r="F3776">
        <f>IF('01_Вводные'!$B$234="Да",MAX('01_Вводные'!$B$157*'19_Расчет_аналитики'!F3753,'01_Вводные'!$B$156*MAX(0,'19_Расчет_аналитики'!F3774)),0)</f>
        <v/>
      </c>
      <c r="G3776">
        <f>IF('01_Вводные'!$B$234="Да",MAX('01_Вводные'!$B$157*'19_Расчет_аналитики'!G3753,'01_Вводные'!$B$156*MAX(0,'19_Расчет_аналитики'!G3774)),0)</f>
        <v/>
      </c>
      <c r="H3776">
        <f>IF('01_Вводные'!$B$234="Да",MAX('01_Вводные'!$B$157*'19_Расчет_аналитики'!H3753,'01_Вводные'!$B$156*MAX(0,'19_Расчет_аналитики'!H3774)),0)</f>
        <v/>
      </c>
      <c r="I3776">
        <f>IF('01_Вводные'!$B$234="Да",MAX('01_Вводные'!$B$157*'19_Расчет_аналитики'!I3753,'01_Вводные'!$B$156*MAX(0,'19_Расчет_аналитики'!I3774)),0)</f>
        <v/>
      </c>
      <c r="J3776">
        <f>IF('01_Вводные'!$B$234="Да",MAX('01_Вводные'!$B$157*'19_Расчет_аналитики'!J3753,'01_Вводные'!$B$156*MAX(0,'19_Расчет_аналитики'!J3774)),0)</f>
        <v/>
      </c>
      <c r="K3776">
        <f>IF('01_Вводные'!$B$234="Да",MAX('01_Вводные'!$B$157*'19_Расчет_аналитики'!K3753,'01_Вводные'!$B$156*MAX(0,'19_Расчет_аналитики'!K3774)),0)</f>
        <v/>
      </c>
      <c r="L3776">
        <f>IF('01_Вводные'!$B$234="Да",MAX('01_Вводные'!$B$157*'19_Расчет_аналитики'!L3753,'01_Вводные'!$B$156*MAX(0,'19_Расчет_аналитики'!L3774)),0)</f>
        <v/>
      </c>
      <c r="M3776">
        <f>IF('01_Вводные'!$B$234="Да",MAX('01_Вводные'!$B$157*'19_Расчет_аналитики'!M3753,'01_Вводные'!$B$156*MAX(0,'19_Расчет_аналитики'!M3774)),0)</f>
        <v/>
      </c>
      <c r="N3776">
        <f>IF('01_Вводные'!$B$234="Да",MAX('01_Вводные'!$B$157*'19_Расчет_аналитики'!N3753,'01_Вводные'!$B$156*MAX(0,'19_Расчет_аналитики'!N3774)),0)</f>
        <v/>
      </c>
      <c r="O3776">
        <f>IF('01_Вводные'!$B$234="Да",MAX('01_Вводные'!$B$157*'19_Расчет_аналитики'!O3753,'01_Вводные'!$B$156*MAX(0,'19_Расчет_аналитики'!O3774)),0)</f>
        <v/>
      </c>
      <c r="P3776">
        <f>IF('01_Вводные'!$B$234="Да",MAX('01_Вводные'!$B$157*'19_Расчет_аналитики'!P3753,'01_Вводные'!$B$156*MAX(0,'19_Расчет_аналитики'!P3774)),0)</f>
        <v/>
      </c>
      <c r="Q3776">
        <f>IF('01_Вводные'!$B$234="Да",MAX('01_Вводные'!$B$157*'19_Расчет_аналитики'!Q3753,'01_Вводные'!$B$156*MAX(0,'19_Расчет_аналитики'!Q3774)),0)</f>
        <v/>
      </c>
      <c r="R3776">
        <f>IF('01_Вводные'!$B$234="Да",MAX('01_Вводные'!$B$157*'19_Расчет_аналитики'!R3753,'01_Вводные'!$B$156*MAX(0,'19_Расчет_аналитики'!R3774)),0)</f>
        <v/>
      </c>
      <c r="S3776">
        <f>IF('01_Вводные'!$B$234="Да",MAX('01_Вводные'!$B$157*'19_Расчет_аналитики'!S3753,'01_Вводные'!$B$156*MAX(0,'19_Расчет_аналитики'!S3774)),0)</f>
        <v/>
      </c>
      <c r="T3776">
        <f>IF('01_Вводные'!$B$234="Да",MAX('01_Вводные'!$B$157*'19_Расчет_аналитики'!T3753,'01_Вводные'!$B$156*MAX(0,'19_Расчет_аналитики'!T3774)),0)</f>
        <v/>
      </c>
      <c r="U3776">
        <f>IF('01_Вводные'!$B$234="Да",MAX('01_Вводные'!$B$157*'19_Расчет_аналитики'!U3753,'01_Вводные'!$B$156*MAX(0,'19_Расчет_аналитики'!U3774)),0)</f>
        <v/>
      </c>
      <c r="V3776">
        <f>IF('01_Вводные'!$B$234="Да",MAX('01_Вводные'!$B$157*'19_Расчет_аналитики'!V3753,'01_Вводные'!$B$156*MAX(0,'19_Расчет_аналитики'!V3774)),0)</f>
        <v/>
      </c>
      <c r="W3776">
        <f>IF('01_Вводные'!$B$234="Да",MAX('01_Вводные'!$B$157*'19_Расчет_аналитики'!W3753,'01_Вводные'!$B$156*MAX(0,'19_Расчет_аналитики'!W3774)),0)</f>
        <v/>
      </c>
      <c r="X3776">
        <f>IF('01_Вводные'!$B$234="Да",MAX('01_Вводные'!$B$157*'19_Расчет_аналитики'!X3753,'01_Вводные'!$B$156*MAX(0,'19_Расчет_аналитики'!X3774)),0)</f>
        <v/>
      </c>
      <c r="Y3776">
        <f>IF('01_Вводные'!$B$234="Да",MAX('01_Вводные'!$B$157*'19_Расчет_аналитики'!Y3753,'01_Вводные'!$B$156*MAX(0,'19_Расчет_аналитики'!Y3774)),0)</f>
        <v/>
      </c>
      <c r="Z3776">
        <f>IF('01_Вводные'!$B$234="Да",MAX('01_Вводные'!$B$157*'19_Расчет_аналитики'!Z3753,'01_Вводные'!$B$156*MAX(0,'19_Расчет_аналитики'!Z3774)),0)</f>
        <v/>
      </c>
      <c r="AA3776">
        <f>IF('01_Вводные'!$B$234="Да",MAX('01_Вводные'!$B$157*'19_Расчет_аналитики'!AA3753,'01_Вводные'!$B$156*MAX(0,'19_Расчет_аналитики'!AA3774)),0)</f>
        <v/>
      </c>
      <c r="AB3776">
        <f>IF('01_Вводные'!$B$234="Да",MAX('01_Вводные'!$B$157*'19_Расчет_аналитики'!AB3753,'01_Вводные'!$B$156*MAX(0,'19_Расчет_аналитики'!AB3774)),0)</f>
        <v/>
      </c>
      <c r="AC3776">
        <f>IF('01_Вводные'!$B$234="Да",MAX('01_Вводные'!$B$157*'19_Расчет_аналитики'!AC3753,'01_Вводные'!$B$156*MAX(0,'19_Расчет_аналитики'!AC3774)),0)</f>
        <v/>
      </c>
      <c r="AD3776">
        <f>IF('01_Вводные'!$B$234="Да",MAX('01_Вводные'!$B$157*'19_Расчет_аналитики'!AD3753,'01_Вводные'!$B$156*MAX(0,'19_Расчет_аналитики'!AD3774)),0)</f>
        <v/>
      </c>
      <c r="AE3776">
        <f>IF('01_Вводные'!$B$234="Да",MAX('01_Вводные'!$B$157*'19_Расчет_аналитики'!AE3753,'01_Вводные'!$B$156*MAX(0,'19_Расчет_аналитики'!AE3774)),0)</f>
        <v/>
      </c>
      <c r="AF3776">
        <f>IF('01_Вводные'!$B$234="Да",MAX('01_Вводные'!$B$157*'19_Расчет_аналитики'!AF3753,'01_Вводные'!$B$156*MAX(0,'19_Расчет_аналитики'!AF3774)),0)</f>
        <v/>
      </c>
      <c r="AG3776">
        <f>IF('01_Вводные'!$B$234="Да",MAX('01_Вводные'!$B$157*'19_Расчет_аналитики'!AG3753,'01_Вводные'!$B$156*MAX(0,'19_Расчет_аналитики'!AG3774)),0)</f>
        <v/>
      </c>
      <c r="AH3776">
        <f>IF('01_Вводные'!$B$234="Да",MAX('01_Вводные'!$B$157*'19_Расчет_аналитики'!AH3753,'01_Вводные'!$B$156*MAX(0,'19_Расчет_аналитики'!AH3774)),0)</f>
        <v/>
      </c>
      <c r="AI3776">
        <f>IF('01_Вводные'!$B$234="Да",MAX('01_Вводные'!$B$157*'19_Расчет_аналитики'!AI3753,'01_Вводные'!$B$156*MAX(0,'19_Расчет_аналитики'!AI3774)),0)</f>
        <v/>
      </c>
      <c r="AJ3776">
        <f>IF('01_Вводные'!$B$234="Да",MAX('01_Вводные'!$B$157*'19_Расчет_аналитики'!AJ3753,'01_Вводные'!$B$156*MAX(0,'19_Расчет_аналитики'!AJ3774)),0)</f>
        <v/>
      </c>
      <c r="AK3776">
        <f>IF('01_Вводные'!$B$234="Да",MAX('01_Вводные'!$B$157*'19_Расчет_аналитики'!AK3753,'01_Вводные'!$B$156*MAX(0,'19_Расчет_аналитики'!AK3774)),0)</f>
        <v/>
      </c>
      <c r="AL3776">
        <f>IF('01_Вводные'!$B$234="Да",MAX('01_Вводные'!$B$157*'19_Расчет_аналитики'!AL3753,'01_Вводные'!$B$156*MAX(0,'19_Расчет_аналитики'!AL3774)),0)</f>
        <v/>
      </c>
      <c r="AM3776">
        <f>IF('01_Вводные'!$B$234="Да",MAX('01_Вводные'!$B$157*'19_Расчет_аналитики'!AM3753,'01_Вводные'!$B$156*MAX(0,'19_Расчет_аналитики'!AM3774)),0)</f>
        <v/>
      </c>
      <c r="AN3776">
        <f>IF('01_Вводные'!$B$234="Да",MAX('01_Вводные'!$B$157*'19_Расчет_аналитики'!AN3753,'01_Вводные'!$B$156*MAX(0,'19_Расчет_аналитики'!AN3774)),0)</f>
        <v/>
      </c>
      <c r="AO3776">
        <f>IF('01_Вводные'!$B$234="Да",MAX('01_Вводные'!$B$157*'19_Расчет_аналитики'!AO3753,'01_Вводные'!$B$156*MAX(0,'19_Расчет_аналитики'!AO3774)),0)</f>
        <v/>
      </c>
      <c r="AP3776">
        <f>IF('01_Вводные'!$B$234="Да",MAX('01_Вводные'!$B$157*'19_Расчет_аналитики'!AP3753,'01_Вводные'!$B$156*MAX(0,'19_Расчет_аналитики'!AP3774)),0)</f>
        <v/>
      </c>
      <c r="AQ3776">
        <f>IF('01_Вводные'!$B$234="Да",MAX('01_Вводные'!$B$157*'19_Расчет_аналитики'!AQ3753,'01_Вводные'!$B$156*MAX(0,'19_Расчет_аналитики'!AQ3774)),0)</f>
        <v/>
      </c>
      <c r="AR3776">
        <f>IF('01_Вводные'!$B$234="Да",MAX('01_Вводные'!$B$157*'19_Расчет_аналитики'!AR3753,'01_Вводные'!$B$156*MAX(0,'19_Расчет_аналитики'!AR3774)),0)</f>
        <v/>
      </c>
      <c r="AS3776">
        <f>IF('01_Вводные'!$B$234="Да",MAX('01_Вводные'!$B$157*'19_Расчет_аналитики'!AS3753,'01_Вводные'!$B$156*MAX(0,'19_Расчет_аналитики'!AS3774)),0)</f>
        <v/>
      </c>
      <c r="AT3776">
        <f>IF('01_Вводные'!$B$234="Да",MAX('01_Вводные'!$B$157*'19_Расчет_аналитики'!AT3753,'01_Вводные'!$B$156*MAX(0,'19_Расчет_аналитики'!AT3774)),0)</f>
        <v/>
      </c>
      <c r="AU3776">
        <f>IF('01_Вводные'!$B$234="Да",MAX('01_Вводные'!$B$157*'19_Расчет_аналитики'!AU3753,'01_Вводные'!$B$156*MAX(0,'19_Расчет_аналитики'!AU3774)),0)</f>
        <v/>
      </c>
      <c r="AV3776">
        <f>IF('01_Вводные'!$B$234="Да",MAX('01_Вводные'!$B$157*'19_Расчет_аналитики'!AV3753,'01_Вводные'!$B$156*MAX(0,'19_Расчет_аналитики'!AV3774)),0)</f>
        <v/>
      </c>
      <c r="AW3776">
        <f>IF('01_Вводные'!$B$234="Да",MAX('01_Вводные'!$B$157*'19_Расчет_аналитики'!AW3753,'01_Вводные'!$B$156*MAX(0,'19_Расчет_аналитики'!AW3774)),0)</f>
        <v/>
      </c>
      <c r="AX3776">
        <f>IF('01_Вводные'!$B$234="Да",MAX('01_Вводные'!$B$157*'19_Расчет_аналитики'!AX3753,'01_Вводные'!$B$156*MAX(0,'19_Расчет_аналитики'!AX3774)),0)</f>
        <v/>
      </c>
      <c r="AY3776">
        <f>IF('01_Вводные'!$B$234="Да",MAX('01_Вводные'!$B$157*'19_Расчет_аналитики'!AY3753,'01_Вводные'!$B$156*MAX(0,'19_Расчет_аналитики'!AY3774)),0)</f>
        <v/>
      </c>
      <c r="AZ3776">
        <f>IF('01_Вводные'!$B$234="Да",MAX('01_Вводные'!$B$157*'19_Расчет_аналитики'!AZ3753,'01_Вводные'!$B$156*MAX(0,'19_Расчет_аналитики'!AZ3774)),0)</f>
        <v/>
      </c>
      <c r="BA3776">
        <f>IF('01_Вводные'!$B$234="Да",MAX('01_Вводные'!$B$157*'19_Расчет_аналитики'!BA3753,'01_Вводные'!$B$156*MAX(0,'19_Расчет_аналитики'!BA3774)),0)</f>
        <v/>
      </c>
      <c r="BB3776">
        <f>IF('01_Вводные'!$B$234="Да",MAX('01_Вводные'!$B$157*'19_Расчет_аналитики'!BB3753,'01_Вводные'!$B$156*MAX(0,'19_Расчет_аналитики'!BB3774)),0)</f>
        <v/>
      </c>
      <c r="BC3776">
        <f>IF('01_Вводные'!$B$234="Да",MAX('01_Вводные'!$B$157*'19_Расчет_аналитики'!BC3753,'01_Вводные'!$B$156*MAX(0,'19_Расчет_аналитики'!BC3774)),0)</f>
        <v/>
      </c>
      <c r="BD3776">
        <f>IF('01_Вводные'!$B$234="Да",MAX('01_Вводные'!$B$157*'19_Расчет_аналитики'!BD3753,'01_Вводные'!$B$156*MAX(0,'19_Расчет_аналитики'!BD3774)),0)</f>
        <v/>
      </c>
      <c r="BE3776">
        <f>IF('01_Вводные'!$B$234="Да",MAX('01_Вводные'!$B$157*'19_Расчет_аналитики'!BE3753,'01_Вводные'!$B$156*MAX(0,'19_Расчет_аналитики'!BE3774)),0)</f>
        <v/>
      </c>
      <c r="BF3776">
        <f>IF('01_Вводные'!$B$234="Да",MAX('01_Вводные'!$B$157*'19_Расчет_аналитики'!BF3753,'01_Вводные'!$B$156*MAX(0,'19_Расчет_аналитики'!BF3774)),0)</f>
        <v/>
      </c>
      <c r="BG3776">
        <f>IF('01_Вводные'!$B$234="Да",MAX('01_Вводные'!$B$157*'19_Расчет_аналитики'!BG3753,'01_Вводные'!$B$156*MAX(0,'19_Расчет_аналитики'!BG3774)),0)</f>
        <v/>
      </c>
      <c r="BH3776">
        <f>IF('01_Вводные'!$B$234="Да",MAX('01_Вводные'!$B$157*'19_Расчет_аналитики'!BH3753,'01_Вводные'!$B$156*MAX(0,'19_Расчет_аналитики'!BH3774)),0)</f>
        <v/>
      </c>
      <c r="BI3776">
        <f>IF('01_Вводные'!$B$234="Да",MAX('01_Вводные'!$B$157*'19_Расчет_аналитики'!BI3753,'01_Вводные'!$B$156*MAX(0,'19_Расчет_аналитики'!BI3774)),0)</f>
        <v/>
      </c>
    </row>
    <row r="3777">
      <c r="B3777">
        <f>IF('01_Вводные'!$B$234="Да",'19_Расчет_аналитики'!B3774-'19_Расчет_аналитики'!B3776,0)</f>
        <v/>
      </c>
      <c r="C3777">
        <f>IF('01_Вводные'!$B$234="Да",'19_Расчет_аналитики'!C3774-'19_Расчет_аналитики'!C3776,0)</f>
        <v/>
      </c>
      <c r="D3777">
        <f>IF('01_Вводные'!$B$234="Да",'19_Расчет_аналитики'!D3774-'19_Расчет_аналитики'!D3776,0)</f>
        <v/>
      </c>
      <c r="E3777">
        <f>IF('01_Вводные'!$B$234="Да",'19_Расчет_аналитики'!E3774-'19_Расчет_аналитики'!E3776,0)</f>
        <v/>
      </c>
      <c r="F3777">
        <f>IF('01_Вводные'!$B$234="Да",'19_Расчет_аналитики'!F3774-'19_Расчет_аналитики'!F3776,0)</f>
        <v/>
      </c>
      <c r="G3777">
        <f>IF('01_Вводные'!$B$234="Да",'19_Расчет_аналитики'!G3774-'19_Расчет_аналитики'!G3776,0)</f>
        <v/>
      </c>
      <c r="H3777">
        <f>IF('01_Вводные'!$B$234="Да",'19_Расчет_аналитики'!H3774-'19_Расчет_аналитики'!H3776,0)</f>
        <v/>
      </c>
      <c r="I3777">
        <f>IF('01_Вводные'!$B$234="Да",'19_Расчет_аналитики'!I3774-'19_Расчет_аналитики'!I3776,0)</f>
        <v/>
      </c>
      <c r="J3777">
        <f>IF('01_Вводные'!$B$234="Да",'19_Расчет_аналитики'!J3774-'19_Расчет_аналитики'!J3776,0)</f>
        <v/>
      </c>
      <c r="K3777">
        <f>IF('01_Вводные'!$B$234="Да",'19_Расчет_аналитики'!K3774-'19_Расчет_аналитики'!K3776,0)</f>
        <v/>
      </c>
      <c r="L3777">
        <f>IF('01_Вводные'!$B$234="Да",'19_Расчет_аналитики'!L3774-'19_Расчет_аналитики'!L3776,0)</f>
        <v/>
      </c>
      <c r="M3777">
        <f>IF('01_Вводные'!$B$234="Да",'19_Расчет_аналитики'!M3774-'19_Расчет_аналитики'!M3776,0)</f>
        <v/>
      </c>
      <c r="N3777">
        <f>IF('01_Вводные'!$B$234="Да",'19_Расчет_аналитики'!N3774-'19_Расчет_аналитики'!N3776,0)</f>
        <v/>
      </c>
      <c r="O3777">
        <f>IF('01_Вводные'!$B$234="Да",'19_Расчет_аналитики'!O3774-'19_Расчет_аналитики'!O3776,0)</f>
        <v/>
      </c>
      <c r="P3777">
        <f>IF('01_Вводные'!$B$234="Да",'19_Расчет_аналитики'!P3774-'19_Расчет_аналитики'!P3776,0)</f>
        <v/>
      </c>
      <c r="Q3777">
        <f>IF('01_Вводные'!$B$234="Да",'19_Расчет_аналитики'!Q3774-'19_Расчет_аналитики'!Q3776,0)</f>
        <v/>
      </c>
      <c r="R3777">
        <f>IF('01_Вводные'!$B$234="Да",'19_Расчет_аналитики'!R3774-'19_Расчет_аналитики'!R3776,0)</f>
        <v/>
      </c>
      <c r="S3777">
        <f>IF('01_Вводные'!$B$234="Да",'19_Расчет_аналитики'!S3774-'19_Расчет_аналитики'!S3776,0)</f>
        <v/>
      </c>
      <c r="T3777">
        <f>IF('01_Вводные'!$B$234="Да",'19_Расчет_аналитики'!T3774-'19_Расчет_аналитики'!T3776,0)</f>
        <v/>
      </c>
      <c r="U3777">
        <f>IF('01_Вводные'!$B$234="Да",'19_Расчет_аналитики'!U3774-'19_Расчет_аналитики'!U3776,0)</f>
        <v/>
      </c>
      <c r="V3777">
        <f>IF('01_Вводные'!$B$234="Да",'19_Расчет_аналитики'!V3774-'19_Расчет_аналитики'!V3776,0)</f>
        <v/>
      </c>
      <c r="W3777">
        <f>IF('01_Вводные'!$B$234="Да",'19_Расчет_аналитики'!W3774-'19_Расчет_аналитики'!W3776,0)</f>
        <v/>
      </c>
      <c r="X3777">
        <f>IF('01_Вводные'!$B$234="Да",'19_Расчет_аналитики'!X3774-'19_Расчет_аналитики'!X3776,0)</f>
        <v/>
      </c>
      <c r="Y3777">
        <f>IF('01_Вводные'!$B$234="Да",'19_Расчет_аналитики'!Y3774-'19_Расчет_аналитики'!Y3776,0)</f>
        <v/>
      </c>
      <c r="Z3777">
        <f>IF('01_Вводные'!$B$234="Да",'19_Расчет_аналитики'!Z3774-'19_Расчет_аналитики'!Z3776,0)</f>
        <v/>
      </c>
      <c r="AA3777">
        <f>IF('01_Вводные'!$B$234="Да",'19_Расчет_аналитики'!AA3774-'19_Расчет_аналитики'!AA3776,0)</f>
        <v/>
      </c>
      <c r="AB3777">
        <f>IF('01_Вводные'!$B$234="Да",'19_Расчет_аналитики'!AB3774-'19_Расчет_аналитики'!AB3776,0)</f>
        <v/>
      </c>
      <c r="AC3777">
        <f>IF('01_Вводные'!$B$234="Да",'19_Расчет_аналитики'!AC3774-'19_Расчет_аналитики'!AC3776,0)</f>
        <v/>
      </c>
      <c r="AD3777">
        <f>IF('01_Вводные'!$B$234="Да",'19_Расчет_аналитики'!AD3774-'19_Расчет_аналитики'!AD3776,0)</f>
        <v/>
      </c>
      <c r="AE3777">
        <f>IF('01_Вводные'!$B$234="Да",'19_Расчет_аналитики'!AE3774-'19_Расчет_аналитики'!AE3776,0)</f>
        <v/>
      </c>
      <c r="AF3777">
        <f>IF('01_Вводные'!$B$234="Да",'19_Расчет_аналитики'!AF3774-'19_Расчет_аналитики'!AF3776,0)</f>
        <v/>
      </c>
      <c r="AG3777">
        <f>IF('01_Вводные'!$B$234="Да",'19_Расчет_аналитики'!AG3774-'19_Расчет_аналитики'!AG3776,0)</f>
        <v/>
      </c>
      <c r="AH3777">
        <f>IF('01_Вводные'!$B$234="Да",'19_Расчет_аналитики'!AH3774-'19_Расчет_аналитики'!AH3776,0)</f>
        <v/>
      </c>
      <c r="AI3777">
        <f>IF('01_Вводные'!$B$234="Да",'19_Расчет_аналитики'!AI3774-'19_Расчет_аналитики'!AI3776,0)</f>
        <v/>
      </c>
      <c r="AJ3777">
        <f>IF('01_Вводные'!$B$234="Да",'19_Расчет_аналитики'!AJ3774-'19_Расчет_аналитики'!AJ3776,0)</f>
        <v/>
      </c>
      <c r="AK3777">
        <f>IF('01_Вводные'!$B$234="Да",'19_Расчет_аналитики'!AK3774-'19_Расчет_аналитики'!AK3776,0)</f>
        <v/>
      </c>
      <c r="AL3777">
        <f>IF('01_Вводные'!$B$234="Да",'19_Расчет_аналитики'!AL3774-'19_Расчет_аналитики'!AL3776,0)</f>
        <v/>
      </c>
      <c r="AM3777">
        <f>IF('01_Вводные'!$B$234="Да",'19_Расчет_аналитики'!AM3774-'19_Расчет_аналитики'!AM3776,0)</f>
        <v/>
      </c>
      <c r="AN3777">
        <f>IF('01_Вводные'!$B$234="Да",'19_Расчет_аналитики'!AN3774-'19_Расчет_аналитики'!AN3776,0)</f>
        <v/>
      </c>
      <c r="AO3777">
        <f>IF('01_Вводные'!$B$234="Да",'19_Расчет_аналитики'!AO3774-'19_Расчет_аналитики'!AO3776,0)</f>
        <v/>
      </c>
      <c r="AP3777">
        <f>IF('01_Вводные'!$B$234="Да",'19_Расчет_аналитики'!AP3774-'19_Расчет_аналитики'!AP3776,0)</f>
        <v/>
      </c>
      <c r="AQ3777">
        <f>IF('01_Вводные'!$B$234="Да",'19_Расчет_аналитики'!AQ3774-'19_Расчет_аналитики'!AQ3776,0)</f>
        <v/>
      </c>
      <c r="AR3777">
        <f>IF('01_Вводные'!$B$234="Да",'19_Расчет_аналитики'!AR3774-'19_Расчет_аналитики'!AR3776,0)</f>
        <v/>
      </c>
      <c r="AS3777">
        <f>IF('01_Вводные'!$B$234="Да",'19_Расчет_аналитики'!AS3774-'19_Расчет_аналитики'!AS3776,0)</f>
        <v/>
      </c>
      <c r="AT3777">
        <f>IF('01_Вводные'!$B$234="Да",'19_Расчет_аналитики'!AT3774-'19_Расчет_аналитики'!AT3776,0)</f>
        <v/>
      </c>
      <c r="AU3777">
        <f>IF('01_Вводные'!$B$234="Да",'19_Расчет_аналитики'!AU3774-'19_Расчет_аналитики'!AU3776,0)</f>
        <v/>
      </c>
      <c r="AV3777">
        <f>IF('01_Вводные'!$B$234="Да",'19_Расчет_аналитики'!AV3774-'19_Расчет_аналитики'!AV3776,0)</f>
        <v/>
      </c>
      <c r="AW3777">
        <f>IF('01_Вводные'!$B$234="Да",'19_Расчет_аналитики'!AW3774-'19_Расчет_аналитики'!AW3776,0)</f>
        <v/>
      </c>
      <c r="AX3777">
        <f>IF('01_Вводные'!$B$234="Да",'19_Расчет_аналитики'!AX3774-'19_Расчет_аналитики'!AX3776,0)</f>
        <v/>
      </c>
      <c r="AY3777">
        <f>IF('01_Вводные'!$B$234="Да",'19_Расчет_аналитики'!AY3774-'19_Расчет_аналитики'!AY3776,0)</f>
        <v/>
      </c>
      <c r="AZ3777">
        <f>IF('01_Вводные'!$B$234="Да",'19_Расчет_аналитики'!AZ3774-'19_Расчет_аналитики'!AZ3776,0)</f>
        <v/>
      </c>
      <c r="BA3777">
        <f>IF('01_Вводные'!$B$234="Да",'19_Расчет_аналитики'!BA3774-'19_Расчет_аналитики'!BA3776,0)</f>
        <v/>
      </c>
      <c r="BB3777">
        <f>IF('01_Вводные'!$B$234="Да",'19_Расчет_аналитики'!BB3774-'19_Расчет_аналитики'!BB3776,0)</f>
        <v/>
      </c>
      <c r="BC3777">
        <f>IF('01_Вводные'!$B$234="Да",'19_Расчет_аналитики'!BC3774-'19_Расчет_аналитики'!BC3776,0)</f>
        <v/>
      </c>
      <c r="BD3777">
        <f>IF('01_Вводные'!$B$234="Да",'19_Расчет_аналитики'!BD3774-'19_Расчет_аналитики'!BD3776,0)</f>
        <v/>
      </c>
      <c r="BE3777">
        <f>IF('01_Вводные'!$B$234="Да",'19_Расчет_аналитики'!BE3774-'19_Расчет_аналитики'!BE3776,0)</f>
        <v/>
      </c>
      <c r="BF3777">
        <f>IF('01_Вводные'!$B$234="Да",'19_Расчет_аналитики'!BF3774-'19_Расчет_аналитики'!BF3776,0)</f>
        <v/>
      </c>
      <c r="BG3777">
        <f>IF('01_Вводные'!$B$234="Да",'19_Расчет_аналитики'!BG3774-'19_Расчет_аналитики'!BG3776,0)</f>
        <v/>
      </c>
      <c r="BH3777">
        <f>IF('01_Вводные'!$B$234="Да",'19_Расчет_аналитики'!BH3774-'19_Расчет_аналитики'!BH3776,0)</f>
        <v/>
      </c>
      <c r="BI3777">
        <f>IF('01_Вводные'!$B$234="Да",'19_Расчет_аналитики'!BI3774-'19_Расчет_аналитики'!BI3776,0)</f>
        <v/>
      </c>
    </row>
    <row r="3778"/>
    <row r="3779"/>
    <row r="3780"/>
    <row r="3781">
      <c r="C3781">
        <f>IF('01_Вводные'!$B$234="Да",'19_Расчет_аналитики'!B3802,0)</f>
        <v/>
      </c>
      <c r="D3781">
        <f>IF('01_Вводные'!$B$234="Да",'19_Расчет_аналитики'!C3802,0)</f>
        <v/>
      </c>
      <c r="E3781">
        <f>IF('01_Вводные'!$B$234="Да",'19_Расчет_аналитики'!D3802,0)</f>
        <v/>
      </c>
      <c r="F3781">
        <f>IF('01_Вводные'!$B$234="Да",'19_Расчет_аналитики'!E3802,0)</f>
        <v/>
      </c>
      <c r="G3781">
        <f>IF('01_Вводные'!$B$234="Да",'19_Расчет_аналитики'!F3802,0)</f>
        <v/>
      </c>
      <c r="H3781">
        <f>IF('01_Вводные'!$B$234="Да",'19_Расчет_аналитики'!G3802,0)</f>
        <v/>
      </c>
      <c r="I3781">
        <f>IF('01_Вводные'!$B$234="Да",'19_Расчет_аналитики'!H3802,0)</f>
        <v/>
      </c>
      <c r="J3781">
        <f>IF('01_Вводные'!$B$234="Да",'19_Расчет_аналитики'!I3802,0)</f>
        <v/>
      </c>
      <c r="K3781">
        <f>IF('01_Вводные'!$B$234="Да",'19_Расчет_аналитики'!J3802,0)</f>
        <v/>
      </c>
      <c r="L3781">
        <f>IF('01_Вводные'!$B$234="Да",'19_Расчет_аналитики'!K3802,0)</f>
        <v/>
      </c>
      <c r="M3781">
        <f>IF('01_Вводные'!$B$234="Да",'19_Расчет_аналитики'!L3802,0)</f>
        <v/>
      </c>
      <c r="N3781">
        <f>IF('01_Вводные'!$B$234="Да",'19_Расчет_аналитики'!M3802,0)</f>
        <v/>
      </c>
      <c r="O3781">
        <f>IF('01_Вводные'!$B$234="Да",'19_Расчет_аналитики'!N3802,0)</f>
        <v/>
      </c>
      <c r="P3781">
        <f>IF('01_Вводные'!$B$234="Да",'19_Расчет_аналитики'!O3802,0)</f>
        <v/>
      </c>
      <c r="Q3781">
        <f>IF('01_Вводные'!$B$234="Да",'19_Расчет_аналитики'!P3802,0)</f>
        <v/>
      </c>
      <c r="R3781">
        <f>IF('01_Вводные'!$B$234="Да",'19_Расчет_аналитики'!Q3802,0)</f>
        <v/>
      </c>
      <c r="S3781">
        <f>IF('01_Вводные'!$B$234="Да",'19_Расчет_аналитики'!R3802,0)</f>
        <v/>
      </c>
      <c r="T3781">
        <f>IF('01_Вводные'!$B$234="Да",'19_Расчет_аналитики'!S3802,0)</f>
        <v/>
      </c>
      <c r="U3781">
        <f>IF('01_Вводные'!$B$234="Да",'19_Расчет_аналитики'!T3802,0)</f>
        <v/>
      </c>
      <c r="V3781">
        <f>IF('01_Вводные'!$B$234="Да",'19_Расчет_аналитики'!U3802,0)</f>
        <v/>
      </c>
      <c r="W3781">
        <f>IF('01_Вводные'!$B$234="Да",'19_Расчет_аналитики'!V3802,0)</f>
        <v/>
      </c>
      <c r="X3781">
        <f>IF('01_Вводные'!$B$234="Да",'19_Расчет_аналитики'!W3802,0)</f>
        <v/>
      </c>
      <c r="Y3781">
        <f>IF('01_Вводные'!$B$234="Да",'19_Расчет_аналитики'!X3802,0)</f>
        <v/>
      </c>
      <c r="Z3781">
        <f>IF('01_Вводные'!$B$234="Да",'19_Расчет_аналитики'!Y3802,0)</f>
        <v/>
      </c>
      <c r="AA3781">
        <f>IF('01_Вводные'!$B$234="Да",'19_Расчет_аналитики'!Z3802,0)</f>
        <v/>
      </c>
      <c r="AB3781">
        <f>IF('01_Вводные'!$B$234="Да",'19_Расчет_аналитики'!AA3802,0)</f>
        <v/>
      </c>
      <c r="AC3781">
        <f>IF('01_Вводные'!$B$234="Да",'19_Расчет_аналитики'!AB3802,0)</f>
        <v/>
      </c>
      <c r="AD3781">
        <f>IF('01_Вводные'!$B$234="Да",'19_Расчет_аналитики'!AC3802,0)</f>
        <v/>
      </c>
      <c r="AE3781">
        <f>IF('01_Вводные'!$B$234="Да",'19_Расчет_аналитики'!AD3802,0)</f>
        <v/>
      </c>
      <c r="AF3781">
        <f>IF('01_Вводные'!$B$234="Да",'19_Расчет_аналитики'!AE3802,0)</f>
        <v/>
      </c>
      <c r="AG3781">
        <f>IF('01_Вводные'!$B$234="Да",'19_Расчет_аналитики'!AF3802,0)</f>
        <v/>
      </c>
      <c r="AH3781">
        <f>IF('01_Вводные'!$B$234="Да",'19_Расчет_аналитики'!AG3802,0)</f>
        <v/>
      </c>
      <c r="AI3781">
        <f>IF('01_Вводные'!$B$234="Да",'19_Расчет_аналитики'!AH3802,0)</f>
        <v/>
      </c>
      <c r="AJ3781">
        <f>IF('01_Вводные'!$B$234="Да",'19_Расчет_аналитики'!AI3802,0)</f>
        <v/>
      </c>
      <c r="AK3781">
        <f>IF('01_Вводные'!$B$234="Да",'19_Расчет_аналитики'!AJ3802,0)</f>
        <v/>
      </c>
      <c r="AL3781">
        <f>IF('01_Вводные'!$B$234="Да",'19_Расчет_аналитики'!AK3802,0)</f>
        <v/>
      </c>
      <c r="AM3781">
        <f>IF('01_Вводные'!$B$234="Да",'19_Расчет_аналитики'!AL3802,0)</f>
        <v/>
      </c>
      <c r="AN3781">
        <f>IF('01_Вводные'!$B$234="Да",'19_Расчет_аналитики'!AM3802,0)</f>
        <v/>
      </c>
      <c r="AO3781">
        <f>IF('01_Вводные'!$B$234="Да",'19_Расчет_аналитики'!AN3802,0)</f>
        <v/>
      </c>
      <c r="AP3781">
        <f>IF('01_Вводные'!$B$234="Да",'19_Расчет_аналитики'!AO3802,0)</f>
        <v/>
      </c>
      <c r="AQ3781">
        <f>IF('01_Вводные'!$B$234="Да",'19_Расчет_аналитики'!AP3802,0)</f>
        <v/>
      </c>
      <c r="AR3781">
        <f>IF('01_Вводные'!$B$234="Да",'19_Расчет_аналитики'!AQ3802,0)</f>
        <v/>
      </c>
      <c r="AS3781">
        <f>IF('01_Вводные'!$B$234="Да",'19_Расчет_аналитики'!AR3802,0)</f>
        <v/>
      </c>
      <c r="AT3781">
        <f>IF('01_Вводные'!$B$234="Да",'19_Расчет_аналитики'!AS3802,0)</f>
        <v/>
      </c>
      <c r="AU3781">
        <f>IF('01_Вводные'!$B$234="Да",'19_Расчет_аналитики'!AT3802,0)</f>
        <v/>
      </c>
      <c r="AV3781">
        <f>IF('01_Вводные'!$B$234="Да",'19_Расчет_аналитики'!AU3802,0)</f>
        <v/>
      </c>
      <c r="AW3781">
        <f>IF('01_Вводные'!$B$234="Да",'19_Расчет_аналитики'!AV3802,0)</f>
        <v/>
      </c>
      <c r="AX3781">
        <f>IF('01_Вводные'!$B$234="Да",'19_Расчет_аналитики'!AW3802,0)</f>
        <v/>
      </c>
      <c r="AY3781">
        <f>IF('01_Вводные'!$B$234="Да",'19_Расчет_аналитики'!AX3802,0)</f>
        <v/>
      </c>
      <c r="AZ3781">
        <f>IF('01_Вводные'!$B$234="Да",'19_Расчет_аналитики'!AY3802,0)</f>
        <v/>
      </c>
      <c r="BA3781">
        <f>IF('01_Вводные'!$B$234="Да",'19_Расчет_аналитики'!AZ3802,0)</f>
        <v/>
      </c>
      <c r="BB3781">
        <f>IF('01_Вводные'!$B$234="Да",'19_Расчет_аналитики'!BA3802,0)</f>
        <v/>
      </c>
      <c r="BC3781">
        <f>IF('01_Вводные'!$B$234="Да",'19_Расчет_аналитики'!BB3802,0)</f>
        <v/>
      </c>
      <c r="BD3781">
        <f>IF('01_Вводные'!$B$234="Да",'19_Расчет_аналитики'!BC3802,0)</f>
        <v/>
      </c>
      <c r="BE3781">
        <f>IF('01_Вводные'!$B$234="Да",'19_Расчет_аналитики'!BD3802,0)</f>
        <v/>
      </c>
      <c r="BF3781">
        <f>IF('01_Вводные'!$B$234="Да",'19_Расчет_аналитики'!BE3802,0)</f>
        <v/>
      </c>
      <c r="BG3781">
        <f>IF('01_Вводные'!$B$234="Да",'19_Расчет_аналитики'!BF3802,0)</f>
        <v/>
      </c>
      <c r="BH3781">
        <f>IF('01_Вводные'!$B$234="Да",'19_Расчет_аналитики'!BG3802,0)</f>
        <v/>
      </c>
      <c r="BI3781">
        <f>IF('01_Вводные'!$B$234="Да",'19_Расчет_аналитики'!BH3802,0)</f>
        <v/>
      </c>
    </row>
    <row r="3782">
      <c r="B3782">
        <f>'02_Модель'!B52</f>
        <v/>
      </c>
      <c r="C3782">
        <f>IF('01_Вводные'!$B$234="Да",'19_Расчет_аналитики'!C3384,0)</f>
        <v/>
      </c>
      <c r="D3782">
        <f>IF('01_Вводные'!$B$234="Да",'19_Расчет_аналитики'!D3384,0)</f>
        <v/>
      </c>
      <c r="E3782">
        <f>IF('01_Вводные'!$B$234="Да",'19_Расчет_аналитики'!E3384,0)</f>
        <v/>
      </c>
      <c r="F3782">
        <f>IF('01_Вводные'!$B$234="Да",'19_Расчет_аналитики'!F3384,0)</f>
        <v/>
      </c>
      <c r="G3782">
        <f>IF('01_Вводные'!$B$234="Да",'19_Расчет_аналитики'!G3384,0)</f>
        <v/>
      </c>
      <c r="H3782">
        <f>IF('01_Вводные'!$B$234="Да",'19_Расчет_аналитики'!H3384,0)</f>
        <v/>
      </c>
      <c r="I3782">
        <f>IF('01_Вводные'!$B$234="Да",'19_Расчет_аналитики'!I3384,0)</f>
        <v/>
      </c>
      <c r="J3782">
        <f>IF('01_Вводные'!$B$234="Да",'19_Расчет_аналитики'!J3384,0)</f>
        <v/>
      </c>
      <c r="K3782">
        <f>IF('01_Вводные'!$B$234="Да",'19_Расчет_аналитики'!K3384,0)</f>
        <v/>
      </c>
      <c r="L3782">
        <f>IF('01_Вводные'!$B$234="Да",'19_Расчет_аналитики'!L3384,0)</f>
        <v/>
      </c>
      <c r="M3782">
        <f>IF('01_Вводные'!$B$234="Да",'19_Расчет_аналитики'!M3384,0)</f>
        <v/>
      </c>
      <c r="N3782">
        <f>IF('01_Вводные'!$B$234="Да",'19_Расчет_аналитики'!N3384,0)</f>
        <v/>
      </c>
      <c r="O3782">
        <f>IF('01_Вводные'!$B$234="Да",'19_Расчет_аналитики'!O3384,0)</f>
        <v/>
      </c>
      <c r="P3782">
        <f>IF('01_Вводные'!$B$234="Да",'19_Расчет_аналитики'!P3384,0)</f>
        <v/>
      </c>
      <c r="Q3782">
        <f>IF('01_Вводные'!$B$234="Да",'19_Расчет_аналитики'!Q3384,0)</f>
        <v/>
      </c>
      <c r="R3782">
        <f>IF('01_Вводные'!$B$234="Да",'19_Расчет_аналитики'!R3384,0)</f>
        <v/>
      </c>
      <c r="S3782">
        <f>IF('01_Вводные'!$B$234="Да",'19_Расчет_аналитики'!S3384,0)</f>
        <v/>
      </c>
      <c r="T3782">
        <f>IF('01_Вводные'!$B$234="Да",'19_Расчет_аналитики'!T3384,0)</f>
        <v/>
      </c>
      <c r="U3782">
        <f>IF('01_Вводные'!$B$234="Да",'19_Расчет_аналитики'!U3384,0)</f>
        <v/>
      </c>
      <c r="V3782">
        <f>IF('01_Вводные'!$B$234="Да",'19_Расчет_аналитики'!V3384,0)</f>
        <v/>
      </c>
      <c r="W3782">
        <f>IF('01_Вводные'!$B$234="Да",'19_Расчет_аналитики'!W3384,0)</f>
        <v/>
      </c>
      <c r="X3782">
        <f>IF('01_Вводные'!$B$234="Да",'19_Расчет_аналитики'!X3384,0)</f>
        <v/>
      </c>
      <c r="Y3782">
        <f>IF('01_Вводные'!$B$234="Да",'19_Расчет_аналитики'!Y3384,0)</f>
        <v/>
      </c>
      <c r="Z3782">
        <f>IF('01_Вводные'!$B$234="Да",'19_Расчет_аналитики'!Z3384,0)</f>
        <v/>
      </c>
      <c r="AA3782">
        <f>IF('01_Вводные'!$B$234="Да",'19_Расчет_аналитики'!AA3384,0)</f>
        <v/>
      </c>
      <c r="AB3782">
        <f>IF('01_Вводные'!$B$234="Да",'19_Расчет_аналитики'!AB3384,0)</f>
        <v/>
      </c>
      <c r="AC3782">
        <f>IF('01_Вводные'!$B$234="Да",'19_Расчет_аналитики'!AC3384,0)</f>
        <v/>
      </c>
      <c r="AD3782">
        <f>IF('01_Вводные'!$B$234="Да",'19_Расчет_аналитики'!AD3384,0)</f>
        <v/>
      </c>
      <c r="AE3782">
        <f>IF('01_Вводные'!$B$234="Да",'19_Расчет_аналитики'!AE3384,0)</f>
        <v/>
      </c>
      <c r="AF3782">
        <f>IF('01_Вводные'!$B$234="Да",'19_Расчет_аналитики'!AF3384,0)</f>
        <v/>
      </c>
      <c r="AG3782">
        <f>IF('01_Вводные'!$B$234="Да",'19_Расчет_аналитики'!AG3384,0)</f>
        <v/>
      </c>
      <c r="AH3782">
        <f>IF('01_Вводные'!$B$234="Да",'19_Расчет_аналитики'!AH3384,0)</f>
        <v/>
      </c>
      <c r="AI3782">
        <f>IF('01_Вводные'!$B$234="Да",'19_Расчет_аналитики'!AI3384,0)</f>
        <v/>
      </c>
      <c r="AJ3782">
        <f>IF('01_Вводные'!$B$234="Да",'19_Расчет_аналитики'!AJ3384,0)</f>
        <v/>
      </c>
      <c r="AK3782">
        <f>IF('01_Вводные'!$B$234="Да",'19_Расчет_аналитики'!AK3384,0)</f>
        <v/>
      </c>
      <c r="AL3782">
        <f>IF('01_Вводные'!$B$234="Да",'19_Расчет_аналитики'!AL3384,0)</f>
        <v/>
      </c>
      <c r="AM3782">
        <f>IF('01_Вводные'!$B$234="Да",'19_Расчет_аналитики'!AM3384,0)</f>
        <v/>
      </c>
      <c r="AN3782">
        <f>IF('01_Вводные'!$B$234="Да",'19_Расчет_аналитики'!AN3384,0)</f>
        <v/>
      </c>
      <c r="AO3782">
        <f>IF('01_Вводные'!$B$234="Да",'19_Расчет_аналитики'!AO3384,0)</f>
        <v/>
      </c>
      <c r="AP3782">
        <f>IF('01_Вводные'!$B$234="Да",'19_Расчет_аналитики'!AP3384,0)</f>
        <v/>
      </c>
      <c r="AQ3782">
        <f>IF('01_Вводные'!$B$234="Да",'19_Расчет_аналитики'!AQ3384,0)</f>
        <v/>
      </c>
      <c r="AR3782">
        <f>IF('01_Вводные'!$B$234="Да",'19_Расчет_аналитики'!AR3384,0)</f>
        <v/>
      </c>
      <c r="AS3782">
        <f>IF('01_Вводные'!$B$234="Да",'19_Расчет_аналитики'!AS3384,0)</f>
        <v/>
      </c>
      <c r="AT3782">
        <f>IF('01_Вводные'!$B$234="Да",'19_Расчет_аналитики'!AT3384,0)</f>
        <v/>
      </c>
      <c r="AU3782">
        <f>IF('01_Вводные'!$B$234="Да",'19_Расчет_аналитики'!AU3384,0)</f>
        <v/>
      </c>
      <c r="AV3782">
        <f>IF('01_Вводные'!$B$234="Да",'19_Расчет_аналитики'!AV3384,0)</f>
        <v/>
      </c>
      <c r="AW3782">
        <f>IF('01_Вводные'!$B$234="Да",'19_Расчет_аналитики'!AW3384,0)</f>
        <v/>
      </c>
      <c r="AX3782">
        <f>IF('01_Вводные'!$B$234="Да",'19_Расчет_аналитики'!AX3384,0)</f>
        <v/>
      </c>
      <c r="AY3782">
        <f>IF('01_Вводные'!$B$234="Да",'19_Расчет_аналитики'!AY3384,0)</f>
        <v/>
      </c>
      <c r="AZ3782">
        <f>IF('01_Вводные'!$B$234="Да",'19_Расчет_аналитики'!AZ3384,0)</f>
        <v/>
      </c>
      <c r="BA3782">
        <f>IF('01_Вводные'!$B$234="Да",'19_Расчет_аналитики'!BA3384,0)</f>
        <v/>
      </c>
      <c r="BB3782">
        <f>IF('01_Вводные'!$B$234="Да",'19_Расчет_аналитики'!BB3384,0)</f>
        <v/>
      </c>
      <c r="BC3782">
        <f>IF('01_Вводные'!$B$234="Да",'19_Расчет_аналитики'!BC3384,0)</f>
        <v/>
      </c>
      <c r="BD3782">
        <f>IF('01_Вводные'!$B$234="Да",'19_Расчет_аналитики'!BD3384,0)</f>
        <v/>
      </c>
      <c r="BE3782">
        <f>IF('01_Вводные'!$B$234="Да",'19_Расчет_аналитики'!BE3384,0)</f>
        <v/>
      </c>
      <c r="BF3782">
        <f>IF('01_Вводные'!$B$234="Да",'19_Расчет_аналитики'!BF3384,0)</f>
        <v/>
      </c>
      <c r="BG3782">
        <f>IF('01_Вводные'!$B$234="Да",'19_Расчет_аналитики'!BG3384,0)</f>
        <v/>
      </c>
      <c r="BH3782">
        <f>IF('01_Вводные'!$B$234="Да",'19_Расчет_аналитики'!BH3384,0)</f>
        <v/>
      </c>
      <c r="BI3782">
        <f>IF('01_Вводные'!$B$234="Да",'19_Расчет_аналитики'!BI3384,0)</f>
        <v/>
      </c>
    </row>
    <row r="3783">
      <c r="B3783">
        <f>IF('01_Вводные'!$B$234="Да",'19_Расчет_аналитики'!$B$3068*('19_Расчет_аналитики'!B3749+'19_Расчет_аналитики'!B3750)*(1+'01_Вводные'!$B$58)+(1-'19_Расчет_аналитики'!$B$3068)*0,0)</f>
        <v/>
      </c>
      <c r="C3783">
        <f>IF('01_Вводные'!$B$234="Да",'19_Расчет_аналитики'!$B$3068*('19_Расчет_аналитики'!C3749+'19_Расчет_аналитики'!C3750)*(1+'01_Вводные'!$B$58)+(1-'19_Расчет_аналитики'!$B$3068)*('19_Расчет_аналитики'!B3749+'19_Расчет_аналитики'!B3750)*(1+'01_Вводные'!$B$58),0)</f>
        <v/>
      </c>
      <c r="D3783">
        <f>IF('01_Вводные'!$B$234="Да",'19_Расчет_аналитики'!$B$3068*('19_Расчет_аналитики'!D3749+'19_Расчет_аналитики'!D3750)*(1+'01_Вводные'!$B$58)+(1-'19_Расчет_аналитики'!$B$3068)*('19_Расчет_аналитики'!C3749+'19_Расчет_аналитики'!C3750)*(1+'01_Вводные'!$B$58),0)</f>
        <v/>
      </c>
      <c r="E3783">
        <f>IF('01_Вводные'!$B$234="Да",'19_Расчет_аналитики'!$B$3068*('19_Расчет_аналитики'!E3749+'19_Расчет_аналитики'!E3750)*(1+'01_Вводные'!$B$58)+(1-'19_Расчет_аналитики'!$B$3068)*('19_Расчет_аналитики'!D3749+'19_Расчет_аналитики'!D3750)*(1+'01_Вводные'!$B$58),0)</f>
        <v/>
      </c>
      <c r="F3783">
        <f>IF('01_Вводные'!$B$234="Да",'19_Расчет_аналитики'!$B$3068*('19_Расчет_аналитики'!F3749+'19_Расчет_аналитики'!F3750)*(1+'01_Вводные'!$B$58)+(1-'19_Расчет_аналитики'!$B$3068)*('19_Расчет_аналитики'!E3749+'19_Расчет_аналитики'!E3750)*(1+'01_Вводные'!$B$58),0)</f>
        <v/>
      </c>
      <c r="G3783">
        <f>IF('01_Вводные'!$B$234="Да",'19_Расчет_аналитики'!$B$3068*('19_Расчет_аналитики'!G3749+'19_Расчет_аналитики'!G3750)*(1+'01_Вводные'!$B$58)+(1-'19_Расчет_аналитики'!$B$3068)*('19_Расчет_аналитики'!F3749+'19_Расчет_аналитики'!F3750)*(1+'01_Вводные'!$B$58),0)</f>
        <v/>
      </c>
      <c r="H3783">
        <f>IF('01_Вводные'!$B$234="Да",'19_Расчет_аналитики'!$B$3068*('19_Расчет_аналитики'!H3749+'19_Расчет_аналитики'!H3750)*(1+'01_Вводные'!$B$58)+(1-'19_Расчет_аналитики'!$B$3068)*('19_Расчет_аналитики'!G3749+'19_Расчет_аналитики'!G3750)*(1+'01_Вводные'!$B$58),0)</f>
        <v/>
      </c>
      <c r="I3783">
        <f>IF('01_Вводные'!$B$234="Да",'19_Расчет_аналитики'!$B$3068*('19_Расчет_аналитики'!I3749+'19_Расчет_аналитики'!I3750)*(1+'01_Вводные'!$B$58)+(1-'19_Расчет_аналитики'!$B$3068)*('19_Расчет_аналитики'!H3749+'19_Расчет_аналитики'!H3750)*(1+'01_Вводные'!$B$58),0)</f>
        <v/>
      </c>
      <c r="J3783">
        <f>IF('01_Вводные'!$B$234="Да",'19_Расчет_аналитики'!$B$3068*('19_Расчет_аналитики'!J3749+'19_Расчет_аналитики'!J3750)*(1+'01_Вводные'!$B$58)+(1-'19_Расчет_аналитики'!$B$3068)*('19_Расчет_аналитики'!I3749+'19_Расчет_аналитики'!I3750)*(1+'01_Вводные'!$B$58),0)</f>
        <v/>
      </c>
      <c r="K3783">
        <f>IF('01_Вводные'!$B$234="Да",'19_Расчет_аналитики'!$B$3068*('19_Расчет_аналитики'!K3749+'19_Расчет_аналитики'!K3750)*(1+'01_Вводные'!$B$58)+(1-'19_Расчет_аналитики'!$B$3068)*('19_Расчет_аналитики'!J3749+'19_Расчет_аналитики'!J3750)*(1+'01_Вводные'!$B$58),0)</f>
        <v/>
      </c>
      <c r="L3783">
        <f>IF('01_Вводные'!$B$234="Да",'19_Расчет_аналитики'!$B$3068*('19_Расчет_аналитики'!L3749+'19_Расчет_аналитики'!L3750)*(1+'01_Вводные'!$B$58)+(1-'19_Расчет_аналитики'!$B$3068)*('19_Расчет_аналитики'!K3749+'19_Расчет_аналитики'!K3750)*(1+'01_Вводные'!$B$58),0)</f>
        <v/>
      </c>
      <c r="M3783">
        <f>IF('01_Вводные'!$B$234="Да",'19_Расчет_аналитики'!$B$3068*('19_Расчет_аналитики'!M3749+'19_Расчет_аналитики'!M3750)*(1+'01_Вводные'!$B$58)+(1-'19_Расчет_аналитики'!$B$3068)*('19_Расчет_аналитики'!L3749+'19_Расчет_аналитики'!L3750)*(1+'01_Вводные'!$B$58),0)</f>
        <v/>
      </c>
      <c r="N3783">
        <f>IF('01_Вводные'!$B$234="Да",'19_Расчет_аналитики'!$B$3068*('19_Расчет_аналитики'!N3749+'19_Расчет_аналитики'!N3750)*(1+'01_Вводные'!$B$58)+(1-'19_Расчет_аналитики'!$B$3068)*('19_Расчет_аналитики'!M3749+'19_Расчет_аналитики'!M3750)*(1+'01_Вводные'!$B$58),0)</f>
        <v/>
      </c>
      <c r="O3783">
        <f>IF('01_Вводные'!$B$234="Да",'19_Расчет_аналитики'!$B$3068*('19_Расчет_аналитики'!O3749+'19_Расчет_аналитики'!O3750)*(1+'01_Вводные'!$B$58)+(1-'19_Расчет_аналитики'!$B$3068)*('19_Расчет_аналитики'!N3749+'19_Расчет_аналитики'!N3750)*(1+'01_Вводные'!$B$58),0)</f>
        <v/>
      </c>
      <c r="P3783">
        <f>IF('01_Вводные'!$B$234="Да",'19_Расчет_аналитики'!$B$3068*('19_Расчет_аналитики'!P3749+'19_Расчет_аналитики'!P3750)*(1+'01_Вводные'!$B$58)+(1-'19_Расчет_аналитики'!$B$3068)*('19_Расчет_аналитики'!O3749+'19_Расчет_аналитики'!O3750)*(1+'01_Вводные'!$B$58),0)</f>
        <v/>
      </c>
      <c r="Q3783">
        <f>IF('01_Вводные'!$B$234="Да",'19_Расчет_аналитики'!$B$3068*('19_Расчет_аналитики'!Q3749+'19_Расчет_аналитики'!Q3750)*(1+'01_Вводные'!$B$58)+(1-'19_Расчет_аналитики'!$B$3068)*('19_Расчет_аналитики'!P3749+'19_Расчет_аналитики'!P3750)*(1+'01_Вводные'!$B$58),0)</f>
        <v/>
      </c>
      <c r="R3783">
        <f>IF('01_Вводные'!$B$234="Да",'19_Расчет_аналитики'!$B$3068*('19_Расчет_аналитики'!R3749+'19_Расчет_аналитики'!R3750)*(1+'01_Вводные'!$B$58)+(1-'19_Расчет_аналитики'!$B$3068)*('19_Расчет_аналитики'!Q3749+'19_Расчет_аналитики'!Q3750)*(1+'01_Вводные'!$B$58),0)</f>
        <v/>
      </c>
      <c r="S3783">
        <f>IF('01_Вводные'!$B$234="Да",'19_Расчет_аналитики'!$B$3068*('19_Расчет_аналитики'!S3749+'19_Расчет_аналитики'!S3750)*(1+'01_Вводные'!$B$58)+(1-'19_Расчет_аналитики'!$B$3068)*('19_Расчет_аналитики'!R3749+'19_Расчет_аналитики'!R3750)*(1+'01_Вводные'!$B$58),0)</f>
        <v/>
      </c>
      <c r="T3783">
        <f>IF('01_Вводные'!$B$234="Да",'19_Расчет_аналитики'!$B$3068*('19_Расчет_аналитики'!T3749+'19_Расчет_аналитики'!T3750)*(1+'01_Вводные'!$B$58)+(1-'19_Расчет_аналитики'!$B$3068)*('19_Расчет_аналитики'!S3749+'19_Расчет_аналитики'!S3750)*(1+'01_Вводные'!$B$58),0)</f>
        <v/>
      </c>
      <c r="U3783">
        <f>IF('01_Вводные'!$B$234="Да",'19_Расчет_аналитики'!$B$3068*('19_Расчет_аналитики'!U3749+'19_Расчет_аналитики'!U3750)*(1+'01_Вводные'!$B$58)+(1-'19_Расчет_аналитики'!$B$3068)*('19_Расчет_аналитики'!T3749+'19_Расчет_аналитики'!T3750)*(1+'01_Вводные'!$B$58),0)</f>
        <v/>
      </c>
      <c r="V3783">
        <f>IF('01_Вводные'!$B$234="Да",'19_Расчет_аналитики'!$B$3068*('19_Расчет_аналитики'!V3749+'19_Расчет_аналитики'!V3750)*(1+'01_Вводные'!$B$58)+(1-'19_Расчет_аналитики'!$B$3068)*('19_Расчет_аналитики'!U3749+'19_Расчет_аналитики'!U3750)*(1+'01_Вводные'!$B$58),0)</f>
        <v/>
      </c>
      <c r="W3783">
        <f>IF('01_Вводные'!$B$234="Да",'19_Расчет_аналитики'!$B$3068*('19_Расчет_аналитики'!W3749+'19_Расчет_аналитики'!W3750)*(1+'01_Вводные'!$B$58)+(1-'19_Расчет_аналитики'!$B$3068)*('19_Расчет_аналитики'!V3749+'19_Расчет_аналитики'!V3750)*(1+'01_Вводные'!$B$58),0)</f>
        <v/>
      </c>
      <c r="X3783">
        <f>IF('01_Вводные'!$B$234="Да",'19_Расчет_аналитики'!$B$3068*('19_Расчет_аналитики'!X3749+'19_Расчет_аналитики'!X3750)*(1+'01_Вводные'!$B$58)+(1-'19_Расчет_аналитики'!$B$3068)*('19_Расчет_аналитики'!W3749+'19_Расчет_аналитики'!W3750)*(1+'01_Вводные'!$B$58),0)</f>
        <v/>
      </c>
      <c r="Y3783">
        <f>IF('01_Вводные'!$B$234="Да",'19_Расчет_аналитики'!$B$3068*('19_Расчет_аналитики'!Y3749+'19_Расчет_аналитики'!Y3750)*(1+'01_Вводные'!$B$58)+(1-'19_Расчет_аналитики'!$B$3068)*('19_Расчет_аналитики'!X3749+'19_Расчет_аналитики'!X3750)*(1+'01_Вводные'!$B$58),0)</f>
        <v/>
      </c>
      <c r="Z3783">
        <f>IF('01_Вводные'!$B$234="Да",'19_Расчет_аналитики'!$B$3068*('19_Расчет_аналитики'!Z3749+'19_Расчет_аналитики'!Z3750)*(1+'01_Вводные'!$B$58)+(1-'19_Расчет_аналитики'!$B$3068)*('19_Расчет_аналитики'!Y3749+'19_Расчет_аналитики'!Y3750)*(1+'01_Вводные'!$B$58),0)</f>
        <v/>
      </c>
      <c r="AA3783">
        <f>IF('01_Вводные'!$B$234="Да",'19_Расчет_аналитики'!$B$3068*('19_Расчет_аналитики'!AA3749+'19_Расчет_аналитики'!AA3750)*(1+'01_Вводные'!$B$58)+(1-'19_Расчет_аналитики'!$B$3068)*('19_Расчет_аналитики'!Z3749+'19_Расчет_аналитики'!Z3750)*(1+'01_Вводные'!$B$58),0)</f>
        <v/>
      </c>
      <c r="AB3783">
        <f>IF('01_Вводные'!$B$234="Да",'19_Расчет_аналитики'!$B$3068*('19_Расчет_аналитики'!AB3749+'19_Расчет_аналитики'!AB3750)*(1+'01_Вводные'!$B$58)+(1-'19_Расчет_аналитики'!$B$3068)*('19_Расчет_аналитики'!AA3749+'19_Расчет_аналитики'!AA3750)*(1+'01_Вводные'!$B$58),0)</f>
        <v/>
      </c>
      <c r="AC3783">
        <f>IF('01_Вводные'!$B$234="Да",'19_Расчет_аналитики'!$B$3068*('19_Расчет_аналитики'!AC3749+'19_Расчет_аналитики'!AC3750)*(1+'01_Вводные'!$B$58)+(1-'19_Расчет_аналитики'!$B$3068)*('19_Расчет_аналитики'!AB3749+'19_Расчет_аналитики'!AB3750)*(1+'01_Вводные'!$B$58),0)</f>
        <v/>
      </c>
      <c r="AD3783">
        <f>IF('01_Вводные'!$B$234="Да",'19_Расчет_аналитики'!$B$3068*('19_Расчет_аналитики'!AD3749+'19_Расчет_аналитики'!AD3750)*(1+'01_Вводные'!$B$58)+(1-'19_Расчет_аналитики'!$B$3068)*('19_Расчет_аналитики'!AC3749+'19_Расчет_аналитики'!AC3750)*(1+'01_Вводные'!$B$58),0)</f>
        <v/>
      </c>
      <c r="AE3783">
        <f>IF('01_Вводные'!$B$234="Да",'19_Расчет_аналитики'!$B$3068*('19_Расчет_аналитики'!AE3749+'19_Расчет_аналитики'!AE3750)*(1+'01_Вводные'!$B$58)+(1-'19_Расчет_аналитики'!$B$3068)*('19_Расчет_аналитики'!AD3749+'19_Расчет_аналитики'!AD3750)*(1+'01_Вводные'!$B$58),0)</f>
        <v/>
      </c>
      <c r="AF3783">
        <f>IF('01_Вводные'!$B$234="Да",'19_Расчет_аналитики'!$B$3068*('19_Расчет_аналитики'!AF3749+'19_Расчет_аналитики'!AF3750)*(1+'01_Вводные'!$B$58)+(1-'19_Расчет_аналитики'!$B$3068)*('19_Расчет_аналитики'!AE3749+'19_Расчет_аналитики'!AE3750)*(1+'01_Вводные'!$B$58),0)</f>
        <v/>
      </c>
      <c r="AG3783">
        <f>IF('01_Вводные'!$B$234="Да",'19_Расчет_аналитики'!$B$3068*('19_Расчет_аналитики'!AG3749+'19_Расчет_аналитики'!AG3750)*(1+'01_Вводные'!$B$58)+(1-'19_Расчет_аналитики'!$B$3068)*('19_Расчет_аналитики'!AF3749+'19_Расчет_аналитики'!AF3750)*(1+'01_Вводные'!$B$58),0)</f>
        <v/>
      </c>
      <c r="AH3783">
        <f>IF('01_Вводные'!$B$234="Да",'19_Расчет_аналитики'!$B$3068*('19_Расчет_аналитики'!AH3749+'19_Расчет_аналитики'!AH3750)*(1+'01_Вводные'!$B$58)+(1-'19_Расчет_аналитики'!$B$3068)*('19_Расчет_аналитики'!AG3749+'19_Расчет_аналитики'!AG3750)*(1+'01_Вводные'!$B$58),0)</f>
        <v/>
      </c>
      <c r="AI3783">
        <f>IF('01_Вводные'!$B$234="Да",'19_Расчет_аналитики'!$B$3068*('19_Расчет_аналитики'!AI3749+'19_Расчет_аналитики'!AI3750)*(1+'01_Вводные'!$B$58)+(1-'19_Расчет_аналитики'!$B$3068)*('19_Расчет_аналитики'!AH3749+'19_Расчет_аналитики'!AH3750)*(1+'01_Вводные'!$B$58),0)</f>
        <v/>
      </c>
      <c r="AJ3783">
        <f>IF('01_Вводные'!$B$234="Да",'19_Расчет_аналитики'!$B$3068*('19_Расчет_аналитики'!AJ3749+'19_Расчет_аналитики'!AJ3750)*(1+'01_Вводные'!$B$58)+(1-'19_Расчет_аналитики'!$B$3068)*('19_Расчет_аналитики'!AI3749+'19_Расчет_аналитики'!AI3750)*(1+'01_Вводные'!$B$58),0)</f>
        <v/>
      </c>
      <c r="AK3783">
        <f>IF('01_Вводные'!$B$234="Да",'19_Расчет_аналитики'!$B$3068*('19_Расчет_аналитики'!AK3749+'19_Расчет_аналитики'!AK3750)*(1+'01_Вводные'!$B$58)+(1-'19_Расчет_аналитики'!$B$3068)*('19_Расчет_аналитики'!AJ3749+'19_Расчет_аналитики'!AJ3750)*(1+'01_Вводные'!$B$58),0)</f>
        <v/>
      </c>
      <c r="AL3783">
        <f>IF('01_Вводные'!$B$234="Да",'19_Расчет_аналитики'!$B$3068*('19_Расчет_аналитики'!AL3749+'19_Расчет_аналитики'!AL3750)*(1+'01_Вводные'!$B$58)+(1-'19_Расчет_аналитики'!$B$3068)*('19_Расчет_аналитики'!AK3749+'19_Расчет_аналитики'!AK3750)*(1+'01_Вводные'!$B$58),0)</f>
        <v/>
      </c>
      <c r="AM3783">
        <f>IF('01_Вводные'!$B$234="Да",'19_Расчет_аналитики'!$B$3068*('19_Расчет_аналитики'!AM3749+'19_Расчет_аналитики'!AM3750)*(1+'01_Вводные'!$B$58)+(1-'19_Расчет_аналитики'!$B$3068)*('19_Расчет_аналитики'!AL3749+'19_Расчет_аналитики'!AL3750)*(1+'01_Вводные'!$B$58),0)</f>
        <v/>
      </c>
      <c r="AN3783">
        <f>IF('01_Вводные'!$B$234="Да",'19_Расчет_аналитики'!$B$3068*('19_Расчет_аналитики'!AN3749+'19_Расчет_аналитики'!AN3750)*(1+'01_Вводные'!$B$58)+(1-'19_Расчет_аналитики'!$B$3068)*('19_Расчет_аналитики'!AM3749+'19_Расчет_аналитики'!AM3750)*(1+'01_Вводные'!$B$58),0)</f>
        <v/>
      </c>
      <c r="AO3783">
        <f>IF('01_Вводные'!$B$234="Да",'19_Расчет_аналитики'!$B$3068*('19_Расчет_аналитики'!AO3749+'19_Расчет_аналитики'!AO3750)*(1+'01_Вводные'!$B$58)+(1-'19_Расчет_аналитики'!$B$3068)*('19_Расчет_аналитики'!AN3749+'19_Расчет_аналитики'!AN3750)*(1+'01_Вводные'!$B$58),0)</f>
        <v/>
      </c>
      <c r="AP3783">
        <f>IF('01_Вводные'!$B$234="Да",'19_Расчет_аналитики'!$B$3068*('19_Расчет_аналитики'!AP3749+'19_Расчет_аналитики'!AP3750)*(1+'01_Вводные'!$B$58)+(1-'19_Расчет_аналитики'!$B$3068)*('19_Расчет_аналитики'!AO3749+'19_Расчет_аналитики'!AO3750)*(1+'01_Вводные'!$B$58),0)</f>
        <v/>
      </c>
      <c r="AQ3783">
        <f>IF('01_Вводные'!$B$234="Да",'19_Расчет_аналитики'!$B$3068*('19_Расчет_аналитики'!AQ3749+'19_Расчет_аналитики'!AQ3750)*(1+'01_Вводные'!$B$58)+(1-'19_Расчет_аналитики'!$B$3068)*('19_Расчет_аналитики'!AP3749+'19_Расчет_аналитики'!AP3750)*(1+'01_Вводные'!$B$58),0)</f>
        <v/>
      </c>
      <c r="AR3783">
        <f>IF('01_Вводные'!$B$234="Да",'19_Расчет_аналитики'!$B$3068*('19_Расчет_аналитики'!AR3749+'19_Расчет_аналитики'!AR3750)*(1+'01_Вводные'!$B$58)+(1-'19_Расчет_аналитики'!$B$3068)*('19_Расчет_аналитики'!AQ3749+'19_Расчет_аналитики'!AQ3750)*(1+'01_Вводные'!$B$58),0)</f>
        <v/>
      </c>
      <c r="AS3783">
        <f>IF('01_Вводные'!$B$234="Да",'19_Расчет_аналитики'!$B$3068*('19_Расчет_аналитики'!AS3749+'19_Расчет_аналитики'!AS3750)*(1+'01_Вводные'!$B$58)+(1-'19_Расчет_аналитики'!$B$3068)*('19_Расчет_аналитики'!AR3749+'19_Расчет_аналитики'!AR3750)*(1+'01_Вводные'!$B$58),0)</f>
        <v/>
      </c>
      <c r="AT3783">
        <f>IF('01_Вводные'!$B$234="Да",'19_Расчет_аналитики'!$B$3068*('19_Расчет_аналитики'!AT3749+'19_Расчет_аналитики'!AT3750)*(1+'01_Вводные'!$B$58)+(1-'19_Расчет_аналитики'!$B$3068)*('19_Расчет_аналитики'!AS3749+'19_Расчет_аналитики'!AS3750)*(1+'01_Вводные'!$B$58),0)</f>
        <v/>
      </c>
      <c r="AU3783">
        <f>IF('01_Вводные'!$B$234="Да",'19_Расчет_аналитики'!$B$3068*('19_Расчет_аналитики'!AU3749+'19_Расчет_аналитики'!AU3750)*(1+'01_Вводные'!$B$58)+(1-'19_Расчет_аналитики'!$B$3068)*('19_Расчет_аналитики'!AT3749+'19_Расчет_аналитики'!AT3750)*(1+'01_Вводные'!$B$58),0)</f>
        <v/>
      </c>
      <c r="AV3783">
        <f>IF('01_Вводные'!$B$234="Да",'19_Расчет_аналитики'!$B$3068*('19_Расчет_аналитики'!AV3749+'19_Расчет_аналитики'!AV3750)*(1+'01_Вводные'!$B$58)+(1-'19_Расчет_аналитики'!$B$3068)*('19_Расчет_аналитики'!AU3749+'19_Расчет_аналитики'!AU3750)*(1+'01_Вводные'!$B$58),0)</f>
        <v/>
      </c>
      <c r="AW3783">
        <f>IF('01_Вводные'!$B$234="Да",'19_Расчет_аналитики'!$B$3068*('19_Расчет_аналитики'!AW3749+'19_Расчет_аналитики'!AW3750)*(1+'01_Вводные'!$B$58)+(1-'19_Расчет_аналитики'!$B$3068)*('19_Расчет_аналитики'!AV3749+'19_Расчет_аналитики'!AV3750)*(1+'01_Вводные'!$B$58),0)</f>
        <v/>
      </c>
      <c r="AX3783">
        <f>IF('01_Вводные'!$B$234="Да",'19_Расчет_аналитики'!$B$3068*('19_Расчет_аналитики'!AX3749+'19_Расчет_аналитики'!AX3750)*(1+'01_Вводные'!$B$58)+(1-'19_Расчет_аналитики'!$B$3068)*('19_Расчет_аналитики'!AW3749+'19_Расчет_аналитики'!AW3750)*(1+'01_Вводные'!$B$58),0)</f>
        <v/>
      </c>
      <c r="AY3783">
        <f>IF('01_Вводные'!$B$234="Да",'19_Расчет_аналитики'!$B$3068*('19_Расчет_аналитики'!AY3749+'19_Расчет_аналитики'!AY3750)*(1+'01_Вводные'!$B$58)+(1-'19_Расчет_аналитики'!$B$3068)*('19_Расчет_аналитики'!AX3749+'19_Расчет_аналитики'!AX3750)*(1+'01_Вводные'!$B$58),0)</f>
        <v/>
      </c>
      <c r="AZ3783">
        <f>IF('01_Вводные'!$B$234="Да",'19_Расчет_аналитики'!$B$3068*('19_Расчет_аналитики'!AZ3749+'19_Расчет_аналитики'!AZ3750)*(1+'01_Вводные'!$B$58)+(1-'19_Расчет_аналитики'!$B$3068)*('19_Расчет_аналитики'!AY3749+'19_Расчет_аналитики'!AY3750)*(1+'01_Вводные'!$B$58),0)</f>
        <v/>
      </c>
      <c r="BA3783">
        <f>IF('01_Вводные'!$B$234="Да",'19_Расчет_аналитики'!$B$3068*('19_Расчет_аналитики'!BA3749+'19_Расчет_аналитики'!BA3750)*(1+'01_Вводные'!$B$58)+(1-'19_Расчет_аналитики'!$B$3068)*('19_Расчет_аналитики'!AZ3749+'19_Расчет_аналитики'!AZ3750)*(1+'01_Вводные'!$B$58),0)</f>
        <v/>
      </c>
      <c r="BB3783">
        <f>IF('01_Вводные'!$B$234="Да",'19_Расчет_аналитики'!$B$3068*('19_Расчет_аналитики'!BB3749+'19_Расчет_аналитики'!BB3750)*(1+'01_Вводные'!$B$58)+(1-'19_Расчет_аналитики'!$B$3068)*('19_Расчет_аналитики'!BA3749+'19_Расчет_аналитики'!BA3750)*(1+'01_Вводные'!$B$58),0)</f>
        <v/>
      </c>
      <c r="BC3783">
        <f>IF('01_Вводные'!$B$234="Да",'19_Расчет_аналитики'!$B$3068*('19_Расчет_аналитики'!BC3749+'19_Расчет_аналитики'!BC3750)*(1+'01_Вводные'!$B$58)+(1-'19_Расчет_аналитики'!$B$3068)*('19_Расчет_аналитики'!BB3749+'19_Расчет_аналитики'!BB3750)*(1+'01_Вводные'!$B$58),0)</f>
        <v/>
      </c>
      <c r="BD3783">
        <f>IF('01_Вводные'!$B$234="Да",'19_Расчет_аналитики'!$B$3068*('19_Расчет_аналитики'!BD3749+'19_Расчет_аналитики'!BD3750)*(1+'01_Вводные'!$B$58)+(1-'19_Расчет_аналитики'!$B$3068)*('19_Расчет_аналитики'!BC3749+'19_Расчет_аналитики'!BC3750)*(1+'01_Вводные'!$B$58),0)</f>
        <v/>
      </c>
      <c r="BE3783">
        <f>IF('01_Вводные'!$B$234="Да",'19_Расчет_аналитики'!$B$3068*('19_Расчет_аналитики'!BE3749+'19_Расчет_аналитики'!BE3750)*(1+'01_Вводные'!$B$58)+(1-'19_Расчет_аналитики'!$B$3068)*('19_Расчет_аналитики'!BD3749+'19_Расчет_аналитики'!BD3750)*(1+'01_Вводные'!$B$58),0)</f>
        <v/>
      </c>
      <c r="BF3783">
        <f>IF('01_Вводные'!$B$234="Да",'19_Расчет_аналитики'!$B$3068*('19_Расчет_аналитики'!BF3749+'19_Расчет_аналитики'!BF3750)*(1+'01_Вводные'!$B$58)+(1-'19_Расчет_аналитики'!$B$3068)*('19_Расчет_аналитики'!BE3749+'19_Расчет_аналитики'!BE3750)*(1+'01_Вводные'!$B$58),0)</f>
        <v/>
      </c>
      <c r="BG3783">
        <f>IF('01_Вводные'!$B$234="Да",'19_Расчет_аналитики'!$B$3068*('19_Расчет_аналитики'!BG3749+'19_Расчет_аналитики'!BG3750)*(1+'01_Вводные'!$B$58)+(1-'19_Расчет_аналитики'!$B$3068)*('19_Расчет_аналитики'!BF3749+'19_Расчет_аналитики'!BF3750)*(1+'01_Вводные'!$B$58),0)</f>
        <v/>
      </c>
      <c r="BH3783">
        <f>IF('01_Вводные'!$B$234="Да",'19_Расчет_аналитики'!$B$3068*('19_Расчет_аналитики'!BH3749+'19_Расчет_аналитики'!BH3750)*(1+'01_Вводные'!$B$58)+(1-'19_Расчет_аналитики'!$B$3068)*('19_Расчет_аналитики'!BG3749+'19_Расчет_аналитики'!BG3750)*(1+'01_Вводные'!$B$58),0)</f>
        <v/>
      </c>
      <c r="BI3783">
        <f>IF('01_Вводные'!$B$234="Да",'19_Расчет_аналитики'!$B$3068*('19_Расчет_аналитики'!BI3749+'19_Расчет_аналитики'!BI3750)*(1+'01_Вводные'!$B$58)+(1-'19_Расчет_аналитики'!$B$3068)*('19_Расчет_аналитики'!BH3749+'19_Расчет_аналитики'!BH3750)*(1+'01_Вводные'!$B$58),0)</f>
        <v/>
      </c>
    </row>
    <row r="3784">
      <c r="B3784">
        <f>IF('01_Вводные'!$B$234="Да",'19_Расчет_аналитики'!B3651,0)</f>
        <v/>
      </c>
      <c r="C3784">
        <f>IF('01_Вводные'!$B$234="Да",'19_Расчет_аналитики'!C3651,0)</f>
        <v/>
      </c>
      <c r="D3784">
        <f>IF('01_Вводные'!$B$234="Да",'19_Расчет_аналитики'!D3651,0)</f>
        <v/>
      </c>
      <c r="E3784">
        <f>IF('01_Вводные'!$B$234="Да",'19_Расчет_аналитики'!E3651,0)</f>
        <v/>
      </c>
      <c r="F3784">
        <f>IF('01_Вводные'!$B$234="Да",'19_Расчет_аналитики'!F3651,0)</f>
        <v/>
      </c>
      <c r="G3784">
        <f>IF('01_Вводные'!$B$234="Да",'19_Расчет_аналитики'!G3651,0)</f>
        <v/>
      </c>
      <c r="H3784">
        <f>IF('01_Вводные'!$B$234="Да",'19_Расчет_аналитики'!H3651,0)</f>
        <v/>
      </c>
      <c r="I3784">
        <f>IF('01_Вводные'!$B$234="Да",'19_Расчет_аналитики'!I3651,0)</f>
        <v/>
      </c>
      <c r="J3784">
        <f>IF('01_Вводные'!$B$234="Да",'19_Расчет_аналитики'!J3651,0)</f>
        <v/>
      </c>
      <c r="K3784">
        <f>IF('01_Вводные'!$B$234="Да",'19_Расчет_аналитики'!K3651,0)</f>
        <v/>
      </c>
      <c r="L3784">
        <f>IF('01_Вводные'!$B$234="Да",'19_Расчет_аналитики'!L3651,0)</f>
        <v/>
      </c>
      <c r="M3784">
        <f>IF('01_Вводные'!$B$234="Да",'19_Расчет_аналитики'!M3651,0)</f>
        <v/>
      </c>
      <c r="N3784">
        <f>IF('01_Вводные'!$B$234="Да",'19_Расчет_аналитики'!N3651,0)</f>
        <v/>
      </c>
      <c r="O3784">
        <f>IF('01_Вводные'!$B$234="Да",'19_Расчет_аналитики'!O3651,0)</f>
        <v/>
      </c>
      <c r="P3784">
        <f>IF('01_Вводные'!$B$234="Да",'19_Расчет_аналитики'!P3651,0)</f>
        <v/>
      </c>
      <c r="Q3784">
        <f>IF('01_Вводные'!$B$234="Да",'19_Расчет_аналитики'!Q3651,0)</f>
        <v/>
      </c>
      <c r="R3784">
        <f>IF('01_Вводные'!$B$234="Да",'19_Расчет_аналитики'!R3651,0)</f>
        <v/>
      </c>
      <c r="S3784">
        <f>IF('01_Вводные'!$B$234="Да",'19_Расчет_аналитики'!S3651,0)</f>
        <v/>
      </c>
      <c r="T3784">
        <f>IF('01_Вводные'!$B$234="Да",'19_Расчет_аналитики'!T3651,0)</f>
        <v/>
      </c>
      <c r="U3784">
        <f>IF('01_Вводные'!$B$234="Да",'19_Расчет_аналитики'!U3651,0)</f>
        <v/>
      </c>
      <c r="V3784">
        <f>IF('01_Вводные'!$B$234="Да",'19_Расчет_аналитики'!V3651,0)</f>
        <v/>
      </c>
      <c r="W3784">
        <f>IF('01_Вводные'!$B$234="Да",'19_Расчет_аналитики'!W3651,0)</f>
        <v/>
      </c>
      <c r="X3784">
        <f>IF('01_Вводные'!$B$234="Да",'19_Расчет_аналитики'!X3651,0)</f>
        <v/>
      </c>
      <c r="Y3784">
        <f>IF('01_Вводные'!$B$234="Да",'19_Расчет_аналитики'!Y3651,0)</f>
        <v/>
      </c>
      <c r="Z3784">
        <f>IF('01_Вводные'!$B$234="Да",'19_Расчет_аналитики'!Z3651,0)</f>
        <v/>
      </c>
      <c r="AA3784">
        <f>IF('01_Вводные'!$B$234="Да",'19_Расчет_аналитики'!AA3651,0)</f>
        <v/>
      </c>
      <c r="AB3784">
        <f>IF('01_Вводные'!$B$234="Да",'19_Расчет_аналитики'!AB3651,0)</f>
        <v/>
      </c>
      <c r="AC3784">
        <f>IF('01_Вводные'!$B$234="Да",'19_Расчет_аналитики'!AC3651,0)</f>
        <v/>
      </c>
      <c r="AD3784">
        <f>IF('01_Вводные'!$B$234="Да",'19_Расчет_аналитики'!AD3651,0)</f>
        <v/>
      </c>
      <c r="AE3784">
        <f>IF('01_Вводные'!$B$234="Да",'19_Расчет_аналитики'!AE3651,0)</f>
        <v/>
      </c>
      <c r="AF3784">
        <f>IF('01_Вводные'!$B$234="Да",'19_Расчет_аналитики'!AF3651,0)</f>
        <v/>
      </c>
      <c r="AG3784">
        <f>IF('01_Вводные'!$B$234="Да",'19_Расчет_аналитики'!AG3651,0)</f>
        <v/>
      </c>
      <c r="AH3784">
        <f>IF('01_Вводные'!$B$234="Да",'19_Расчет_аналитики'!AH3651,0)</f>
        <v/>
      </c>
      <c r="AI3784">
        <f>IF('01_Вводные'!$B$234="Да",'19_Расчет_аналитики'!AI3651,0)</f>
        <v/>
      </c>
      <c r="AJ3784">
        <f>IF('01_Вводные'!$B$234="Да",'19_Расчет_аналитики'!AJ3651,0)</f>
        <v/>
      </c>
      <c r="AK3784">
        <f>IF('01_Вводные'!$B$234="Да",'19_Расчет_аналитики'!AK3651,0)</f>
        <v/>
      </c>
      <c r="AL3784">
        <f>IF('01_Вводные'!$B$234="Да",'19_Расчет_аналитики'!AL3651,0)</f>
        <v/>
      </c>
      <c r="AM3784">
        <f>IF('01_Вводные'!$B$234="Да",'19_Расчет_аналитики'!AM3651,0)</f>
        <v/>
      </c>
      <c r="AN3784">
        <f>IF('01_Вводные'!$B$234="Да",'19_Расчет_аналитики'!AN3651,0)</f>
        <v/>
      </c>
      <c r="AO3784">
        <f>IF('01_Вводные'!$B$234="Да",'19_Расчет_аналитики'!AO3651,0)</f>
        <v/>
      </c>
      <c r="AP3784">
        <f>IF('01_Вводные'!$B$234="Да",'19_Расчет_аналитики'!AP3651,0)</f>
        <v/>
      </c>
      <c r="AQ3784">
        <f>IF('01_Вводные'!$B$234="Да",'19_Расчет_аналитики'!AQ3651,0)</f>
        <v/>
      </c>
      <c r="AR3784">
        <f>IF('01_Вводные'!$B$234="Да",'19_Расчет_аналитики'!AR3651,0)</f>
        <v/>
      </c>
      <c r="AS3784">
        <f>IF('01_Вводные'!$B$234="Да",'19_Расчет_аналитики'!AS3651,0)</f>
        <v/>
      </c>
      <c r="AT3784">
        <f>IF('01_Вводные'!$B$234="Да",'19_Расчет_аналитики'!AT3651,0)</f>
        <v/>
      </c>
      <c r="AU3784">
        <f>IF('01_Вводные'!$B$234="Да",'19_Расчет_аналитики'!AU3651,0)</f>
        <v/>
      </c>
      <c r="AV3784">
        <f>IF('01_Вводные'!$B$234="Да",'19_Расчет_аналитики'!AV3651,0)</f>
        <v/>
      </c>
      <c r="AW3784">
        <f>IF('01_Вводные'!$B$234="Да",'19_Расчет_аналитики'!AW3651,0)</f>
        <v/>
      </c>
      <c r="AX3784">
        <f>IF('01_Вводные'!$B$234="Да",'19_Расчет_аналитики'!AX3651,0)</f>
        <v/>
      </c>
      <c r="AY3784">
        <f>IF('01_Вводные'!$B$234="Да",'19_Расчет_аналитики'!AY3651,0)</f>
        <v/>
      </c>
      <c r="AZ3784">
        <f>IF('01_Вводные'!$B$234="Да",'19_Расчет_аналитики'!AZ3651,0)</f>
        <v/>
      </c>
      <c r="BA3784">
        <f>IF('01_Вводные'!$B$234="Да",'19_Расчет_аналитики'!BA3651,0)</f>
        <v/>
      </c>
      <c r="BB3784">
        <f>IF('01_Вводные'!$B$234="Да",'19_Расчет_аналитики'!BB3651,0)</f>
        <v/>
      </c>
      <c r="BC3784">
        <f>IF('01_Вводные'!$B$234="Да",'19_Расчет_аналитики'!BC3651,0)</f>
        <v/>
      </c>
      <c r="BD3784">
        <f>IF('01_Вводные'!$B$234="Да",'19_Расчет_аналитики'!BD3651,0)</f>
        <v/>
      </c>
      <c r="BE3784">
        <f>IF('01_Вводные'!$B$234="Да",'19_Расчет_аналитики'!BE3651,0)</f>
        <v/>
      </c>
      <c r="BF3784">
        <f>IF('01_Вводные'!$B$234="Да",'19_Расчет_аналитики'!BF3651,0)</f>
        <v/>
      </c>
      <c r="BG3784">
        <f>IF('01_Вводные'!$B$234="Да",'19_Расчет_аналитики'!BG3651,0)</f>
        <v/>
      </c>
      <c r="BH3784">
        <f>IF('01_Вводные'!$B$234="Да",'19_Расчет_аналитики'!BH3651,0)</f>
        <v/>
      </c>
      <c r="BI3784">
        <f>IF('01_Вводные'!$B$234="Да",'19_Расчет_аналитики'!BI3651,0)</f>
        <v/>
      </c>
    </row>
    <row r="3785">
      <c r="B3785">
        <f>'02_Модель'!B55</f>
        <v/>
      </c>
      <c r="C3785">
        <f>'02_Модель'!C55</f>
        <v/>
      </c>
      <c r="D3785">
        <f>'02_Модель'!D55</f>
        <v/>
      </c>
      <c r="E3785">
        <f>'02_Модель'!E55</f>
        <v/>
      </c>
      <c r="F3785">
        <f>'02_Модель'!F55</f>
        <v/>
      </c>
      <c r="G3785">
        <f>'02_Модель'!G55</f>
        <v/>
      </c>
      <c r="H3785">
        <f>'02_Модель'!H55</f>
        <v/>
      </c>
      <c r="I3785">
        <f>'02_Модель'!I55</f>
        <v/>
      </c>
      <c r="J3785">
        <f>'02_Модель'!J55</f>
        <v/>
      </c>
      <c r="K3785">
        <f>'02_Модель'!K55</f>
        <v/>
      </c>
      <c r="L3785">
        <f>'02_Модель'!L55</f>
        <v/>
      </c>
      <c r="M3785">
        <f>'02_Модель'!M55</f>
        <v/>
      </c>
      <c r="N3785">
        <f>'02_Модель'!N55</f>
        <v/>
      </c>
      <c r="O3785">
        <f>'02_Модель'!O55</f>
        <v/>
      </c>
      <c r="P3785">
        <f>'02_Модель'!P55</f>
        <v/>
      </c>
      <c r="Q3785">
        <f>'02_Модель'!Q55</f>
        <v/>
      </c>
      <c r="R3785">
        <f>'02_Модель'!R55</f>
        <v/>
      </c>
      <c r="S3785">
        <f>'02_Модель'!S55</f>
        <v/>
      </c>
      <c r="T3785">
        <f>'02_Модель'!T55</f>
        <v/>
      </c>
      <c r="U3785">
        <f>'02_Модель'!U55</f>
        <v/>
      </c>
      <c r="V3785">
        <f>'02_Модель'!V55</f>
        <v/>
      </c>
      <c r="W3785">
        <f>'02_Модель'!W55</f>
        <v/>
      </c>
      <c r="X3785">
        <f>'02_Модель'!X55</f>
        <v/>
      </c>
      <c r="Y3785">
        <f>'02_Модель'!Y55</f>
        <v/>
      </c>
      <c r="Z3785">
        <f>'02_Модель'!Z55</f>
        <v/>
      </c>
      <c r="AA3785">
        <f>'02_Модель'!AA55</f>
        <v/>
      </c>
      <c r="AB3785">
        <f>'02_Модель'!AB55</f>
        <v/>
      </c>
      <c r="AC3785">
        <f>'02_Модель'!AC55</f>
        <v/>
      </c>
      <c r="AD3785">
        <f>'02_Модель'!AD55</f>
        <v/>
      </c>
      <c r="AE3785">
        <f>'02_Модель'!AE55</f>
        <v/>
      </c>
      <c r="AF3785">
        <f>'02_Модель'!AF55</f>
        <v/>
      </c>
      <c r="AG3785">
        <f>'02_Модель'!AG55</f>
        <v/>
      </c>
      <c r="AH3785">
        <f>'02_Модель'!AH55</f>
        <v/>
      </c>
      <c r="AI3785">
        <f>'02_Модель'!AI55</f>
        <v/>
      </c>
      <c r="AJ3785">
        <f>'02_Модель'!AJ55</f>
        <v/>
      </c>
      <c r="AK3785">
        <f>'02_Модель'!AK55</f>
        <v/>
      </c>
      <c r="AL3785">
        <f>'02_Модель'!AL55</f>
        <v/>
      </c>
      <c r="AM3785">
        <f>'02_Модель'!AM55</f>
        <v/>
      </c>
      <c r="AN3785">
        <f>'02_Модель'!AN55</f>
        <v/>
      </c>
      <c r="AO3785">
        <f>'02_Модель'!AO55</f>
        <v/>
      </c>
      <c r="AP3785">
        <f>'02_Модель'!AP55</f>
        <v/>
      </c>
      <c r="AQ3785">
        <f>'02_Модель'!AQ55</f>
        <v/>
      </c>
      <c r="AR3785">
        <f>'02_Модель'!AR55</f>
        <v/>
      </c>
      <c r="AS3785">
        <f>'02_Модель'!AS55</f>
        <v/>
      </c>
      <c r="AT3785">
        <f>'02_Модель'!AT55</f>
        <v/>
      </c>
      <c r="AU3785">
        <f>'02_Модель'!AU55</f>
        <v/>
      </c>
      <c r="AV3785">
        <f>'02_Модель'!AV55</f>
        <v/>
      </c>
      <c r="AW3785">
        <f>'02_Модель'!AW55</f>
        <v/>
      </c>
      <c r="AX3785">
        <f>'02_Модель'!AX55</f>
        <v/>
      </c>
      <c r="AY3785">
        <f>'02_Модель'!AY55</f>
        <v/>
      </c>
      <c r="AZ3785">
        <f>'02_Модель'!AZ55</f>
        <v/>
      </c>
      <c r="BA3785">
        <f>'02_Модель'!BA55</f>
        <v/>
      </c>
      <c r="BB3785">
        <f>'02_Модель'!BB55</f>
        <v/>
      </c>
      <c r="BC3785">
        <f>'02_Модель'!BC55</f>
        <v/>
      </c>
      <c r="BD3785">
        <f>'02_Модель'!BD55</f>
        <v/>
      </c>
      <c r="BE3785">
        <f>'02_Модель'!BE55</f>
        <v/>
      </c>
      <c r="BF3785">
        <f>'02_Модель'!BF55</f>
        <v/>
      </c>
      <c r="BG3785">
        <f>'02_Модель'!BG55</f>
        <v/>
      </c>
      <c r="BH3785">
        <f>'02_Модель'!BH55</f>
        <v/>
      </c>
      <c r="BI3785">
        <f>'02_Модель'!BI55</f>
        <v/>
      </c>
    </row>
    <row r="3786">
      <c r="B3786">
        <f>IF('01_Вводные'!$B$234="Да",SUM('19_Расчет_аналитики'!B3782:B3785),0)</f>
        <v/>
      </c>
      <c r="C3786">
        <f>IF('01_Вводные'!$B$234="Да",SUM('19_Расчет_аналитики'!C3782:C3785),0)</f>
        <v/>
      </c>
      <c r="D3786">
        <f>IF('01_Вводные'!$B$234="Да",SUM('19_Расчет_аналитики'!D3782:D3785),0)</f>
        <v/>
      </c>
      <c r="E3786">
        <f>IF('01_Вводные'!$B$234="Да",SUM('19_Расчет_аналитики'!E3782:E3785),0)</f>
        <v/>
      </c>
      <c r="F3786">
        <f>IF('01_Вводные'!$B$234="Да",SUM('19_Расчет_аналитики'!F3782:F3785),0)</f>
        <v/>
      </c>
      <c r="G3786">
        <f>IF('01_Вводные'!$B$234="Да",SUM('19_Расчет_аналитики'!G3782:G3785),0)</f>
        <v/>
      </c>
      <c r="H3786">
        <f>IF('01_Вводные'!$B$234="Да",SUM('19_Расчет_аналитики'!H3782:H3785),0)</f>
        <v/>
      </c>
      <c r="I3786">
        <f>IF('01_Вводные'!$B$234="Да",SUM('19_Расчет_аналитики'!I3782:I3785),0)</f>
        <v/>
      </c>
      <c r="J3786">
        <f>IF('01_Вводные'!$B$234="Да",SUM('19_Расчет_аналитики'!J3782:J3785),0)</f>
        <v/>
      </c>
      <c r="K3786">
        <f>IF('01_Вводные'!$B$234="Да",SUM('19_Расчет_аналитики'!K3782:K3785),0)</f>
        <v/>
      </c>
      <c r="L3786">
        <f>IF('01_Вводные'!$B$234="Да",SUM('19_Расчет_аналитики'!L3782:L3785),0)</f>
        <v/>
      </c>
      <c r="M3786">
        <f>IF('01_Вводные'!$B$234="Да",SUM('19_Расчет_аналитики'!M3782:M3785),0)</f>
        <v/>
      </c>
      <c r="N3786">
        <f>IF('01_Вводные'!$B$234="Да",SUM('19_Расчет_аналитики'!N3782:N3785),0)</f>
        <v/>
      </c>
      <c r="O3786">
        <f>IF('01_Вводные'!$B$234="Да",SUM('19_Расчет_аналитики'!O3782:O3785),0)</f>
        <v/>
      </c>
      <c r="P3786">
        <f>IF('01_Вводные'!$B$234="Да",SUM('19_Расчет_аналитики'!P3782:P3785),0)</f>
        <v/>
      </c>
      <c r="Q3786">
        <f>IF('01_Вводные'!$B$234="Да",SUM('19_Расчет_аналитики'!Q3782:Q3785),0)</f>
        <v/>
      </c>
      <c r="R3786">
        <f>IF('01_Вводные'!$B$234="Да",SUM('19_Расчет_аналитики'!R3782:R3785),0)</f>
        <v/>
      </c>
      <c r="S3786">
        <f>IF('01_Вводные'!$B$234="Да",SUM('19_Расчет_аналитики'!S3782:S3785),0)</f>
        <v/>
      </c>
      <c r="T3786">
        <f>IF('01_Вводные'!$B$234="Да",SUM('19_Расчет_аналитики'!T3782:T3785),0)</f>
        <v/>
      </c>
      <c r="U3786">
        <f>IF('01_Вводные'!$B$234="Да",SUM('19_Расчет_аналитики'!U3782:U3785),0)</f>
        <v/>
      </c>
      <c r="V3786">
        <f>IF('01_Вводные'!$B$234="Да",SUM('19_Расчет_аналитики'!V3782:V3785),0)</f>
        <v/>
      </c>
      <c r="W3786">
        <f>IF('01_Вводные'!$B$234="Да",SUM('19_Расчет_аналитики'!W3782:W3785),0)</f>
        <v/>
      </c>
      <c r="X3786">
        <f>IF('01_Вводные'!$B$234="Да",SUM('19_Расчет_аналитики'!X3782:X3785),0)</f>
        <v/>
      </c>
      <c r="Y3786">
        <f>IF('01_Вводные'!$B$234="Да",SUM('19_Расчет_аналитики'!Y3782:Y3785),0)</f>
        <v/>
      </c>
      <c r="Z3786">
        <f>IF('01_Вводные'!$B$234="Да",SUM('19_Расчет_аналитики'!Z3782:Z3785),0)</f>
        <v/>
      </c>
      <c r="AA3786">
        <f>IF('01_Вводные'!$B$234="Да",SUM('19_Расчет_аналитики'!AA3782:AA3785),0)</f>
        <v/>
      </c>
      <c r="AB3786">
        <f>IF('01_Вводные'!$B$234="Да",SUM('19_Расчет_аналитики'!AB3782:AB3785),0)</f>
        <v/>
      </c>
      <c r="AC3786">
        <f>IF('01_Вводные'!$B$234="Да",SUM('19_Расчет_аналитики'!AC3782:AC3785),0)</f>
        <v/>
      </c>
      <c r="AD3786">
        <f>IF('01_Вводные'!$B$234="Да",SUM('19_Расчет_аналитики'!AD3782:AD3785),0)</f>
        <v/>
      </c>
      <c r="AE3786">
        <f>IF('01_Вводные'!$B$234="Да",SUM('19_Расчет_аналитики'!AE3782:AE3785),0)</f>
        <v/>
      </c>
      <c r="AF3786">
        <f>IF('01_Вводные'!$B$234="Да",SUM('19_Расчет_аналитики'!AF3782:AF3785),0)</f>
        <v/>
      </c>
      <c r="AG3786">
        <f>IF('01_Вводные'!$B$234="Да",SUM('19_Расчет_аналитики'!AG3782:AG3785),0)</f>
        <v/>
      </c>
      <c r="AH3786">
        <f>IF('01_Вводные'!$B$234="Да",SUM('19_Расчет_аналитики'!AH3782:AH3785),0)</f>
        <v/>
      </c>
      <c r="AI3786">
        <f>IF('01_Вводные'!$B$234="Да",SUM('19_Расчет_аналитики'!AI3782:AI3785),0)</f>
        <v/>
      </c>
      <c r="AJ3786">
        <f>IF('01_Вводные'!$B$234="Да",SUM('19_Расчет_аналитики'!AJ3782:AJ3785),0)</f>
        <v/>
      </c>
      <c r="AK3786">
        <f>IF('01_Вводные'!$B$234="Да",SUM('19_Расчет_аналитики'!AK3782:AK3785),0)</f>
        <v/>
      </c>
      <c r="AL3786">
        <f>IF('01_Вводные'!$B$234="Да",SUM('19_Расчет_аналитики'!AL3782:AL3785),0)</f>
        <v/>
      </c>
      <c r="AM3786">
        <f>IF('01_Вводные'!$B$234="Да",SUM('19_Расчет_аналитики'!AM3782:AM3785),0)</f>
        <v/>
      </c>
      <c r="AN3786">
        <f>IF('01_Вводные'!$B$234="Да",SUM('19_Расчет_аналитики'!AN3782:AN3785),0)</f>
        <v/>
      </c>
      <c r="AO3786">
        <f>IF('01_Вводные'!$B$234="Да",SUM('19_Расчет_аналитики'!AO3782:AO3785),0)</f>
        <v/>
      </c>
      <c r="AP3786">
        <f>IF('01_Вводные'!$B$234="Да",SUM('19_Расчет_аналитики'!AP3782:AP3785),0)</f>
        <v/>
      </c>
      <c r="AQ3786">
        <f>IF('01_Вводные'!$B$234="Да",SUM('19_Расчет_аналитики'!AQ3782:AQ3785),0)</f>
        <v/>
      </c>
      <c r="AR3786">
        <f>IF('01_Вводные'!$B$234="Да",SUM('19_Расчет_аналитики'!AR3782:AR3785),0)</f>
        <v/>
      </c>
      <c r="AS3786">
        <f>IF('01_Вводные'!$B$234="Да",SUM('19_Расчет_аналитики'!AS3782:AS3785),0)</f>
        <v/>
      </c>
      <c r="AT3786">
        <f>IF('01_Вводные'!$B$234="Да",SUM('19_Расчет_аналитики'!AT3782:AT3785),0)</f>
        <v/>
      </c>
      <c r="AU3786">
        <f>IF('01_Вводные'!$B$234="Да",SUM('19_Расчет_аналитики'!AU3782:AU3785),0)</f>
        <v/>
      </c>
      <c r="AV3786">
        <f>IF('01_Вводные'!$B$234="Да",SUM('19_Расчет_аналитики'!AV3782:AV3785),0)</f>
        <v/>
      </c>
      <c r="AW3786">
        <f>IF('01_Вводные'!$B$234="Да",SUM('19_Расчет_аналитики'!AW3782:AW3785),0)</f>
        <v/>
      </c>
      <c r="AX3786">
        <f>IF('01_Вводные'!$B$234="Да",SUM('19_Расчет_аналитики'!AX3782:AX3785),0)</f>
        <v/>
      </c>
      <c r="AY3786">
        <f>IF('01_Вводные'!$B$234="Да",SUM('19_Расчет_аналитики'!AY3782:AY3785),0)</f>
        <v/>
      </c>
      <c r="AZ3786">
        <f>IF('01_Вводные'!$B$234="Да",SUM('19_Расчет_аналитики'!AZ3782:AZ3785),0)</f>
        <v/>
      </c>
      <c r="BA3786">
        <f>IF('01_Вводные'!$B$234="Да",SUM('19_Расчет_аналитики'!BA3782:BA3785),0)</f>
        <v/>
      </c>
      <c r="BB3786">
        <f>IF('01_Вводные'!$B$234="Да",SUM('19_Расчет_аналитики'!BB3782:BB3785),0)</f>
        <v/>
      </c>
      <c r="BC3786">
        <f>IF('01_Вводные'!$B$234="Да",SUM('19_Расчет_аналитики'!BC3782:BC3785),0)</f>
        <v/>
      </c>
      <c r="BD3786">
        <f>IF('01_Вводные'!$B$234="Да",SUM('19_Расчет_аналитики'!BD3782:BD3785),0)</f>
        <v/>
      </c>
      <c r="BE3786">
        <f>IF('01_Вводные'!$B$234="Да",SUM('19_Расчет_аналитики'!BE3782:BE3785),0)</f>
        <v/>
      </c>
      <c r="BF3786">
        <f>IF('01_Вводные'!$B$234="Да",SUM('19_Расчет_аналитики'!BF3782:BF3785),0)</f>
        <v/>
      </c>
      <c r="BG3786">
        <f>IF('01_Вводные'!$B$234="Да",SUM('19_Расчет_аналитики'!BG3782:BG3785),0)</f>
        <v/>
      </c>
      <c r="BH3786">
        <f>IF('01_Вводные'!$B$234="Да",SUM('19_Расчет_аналитики'!BH3782:BH3785),0)</f>
        <v/>
      </c>
      <c r="BI3786">
        <f>IF('01_Вводные'!$B$234="Да",SUM('19_Расчет_аналитики'!BI3782:BI3785),0)</f>
        <v/>
      </c>
    </row>
    <row r="3787">
      <c r="B3787">
        <f>IF('01_Вводные'!$B$234="Да",'19_Расчет_аналитики'!B3829,0)</f>
        <v/>
      </c>
      <c r="C3787">
        <f>IF('01_Вводные'!$B$234="Да",'19_Расчет_аналитики'!C3829,0)</f>
        <v/>
      </c>
      <c r="D3787">
        <f>IF('01_Вводные'!$B$234="Да",'19_Расчет_аналитики'!D3829,0)</f>
        <v/>
      </c>
      <c r="E3787">
        <f>IF('01_Вводные'!$B$234="Да",'19_Расчет_аналитики'!E3829,0)</f>
        <v/>
      </c>
      <c r="F3787">
        <f>IF('01_Вводные'!$B$234="Да",'19_Расчет_аналитики'!F3829,0)</f>
        <v/>
      </c>
      <c r="G3787">
        <f>IF('01_Вводные'!$B$234="Да",'19_Расчет_аналитики'!G3829,0)</f>
        <v/>
      </c>
      <c r="H3787">
        <f>IF('01_Вводные'!$B$234="Да",'19_Расчет_аналитики'!H3829,0)</f>
        <v/>
      </c>
      <c r="I3787">
        <f>IF('01_Вводные'!$B$234="Да",'19_Расчет_аналитики'!I3829,0)</f>
        <v/>
      </c>
      <c r="J3787">
        <f>IF('01_Вводные'!$B$234="Да",'19_Расчет_аналитики'!J3829,0)</f>
        <v/>
      </c>
      <c r="K3787">
        <f>IF('01_Вводные'!$B$234="Да",'19_Расчет_аналитики'!K3829,0)</f>
        <v/>
      </c>
      <c r="L3787">
        <f>IF('01_Вводные'!$B$234="Да",'19_Расчет_аналитики'!L3829,0)</f>
        <v/>
      </c>
      <c r="M3787">
        <f>IF('01_Вводные'!$B$234="Да",'19_Расчет_аналитики'!M3829,0)</f>
        <v/>
      </c>
      <c r="N3787">
        <f>IF('01_Вводные'!$B$234="Да",'19_Расчет_аналитики'!N3829,0)</f>
        <v/>
      </c>
      <c r="O3787">
        <f>IF('01_Вводные'!$B$234="Да",'19_Расчет_аналитики'!O3829,0)</f>
        <v/>
      </c>
      <c r="P3787">
        <f>IF('01_Вводные'!$B$234="Да",'19_Расчет_аналитики'!P3829,0)</f>
        <v/>
      </c>
      <c r="Q3787">
        <f>IF('01_Вводные'!$B$234="Да",'19_Расчет_аналитики'!Q3829,0)</f>
        <v/>
      </c>
      <c r="R3787">
        <f>IF('01_Вводные'!$B$234="Да",'19_Расчет_аналитики'!R3829,0)</f>
        <v/>
      </c>
      <c r="S3787">
        <f>IF('01_Вводные'!$B$234="Да",'19_Расчет_аналитики'!S3829,0)</f>
        <v/>
      </c>
      <c r="T3787">
        <f>IF('01_Вводные'!$B$234="Да",'19_Расчет_аналитики'!T3829,0)</f>
        <v/>
      </c>
      <c r="U3787">
        <f>IF('01_Вводные'!$B$234="Да",'19_Расчет_аналитики'!U3829,0)</f>
        <v/>
      </c>
      <c r="V3787">
        <f>IF('01_Вводные'!$B$234="Да",'19_Расчет_аналитики'!V3829,0)</f>
        <v/>
      </c>
      <c r="W3787">
        <f>IF('01_Вводные'!$B$234="Да",'19_Расчет_аналитики'!W3829,0)</f>
        <v/>
      </c>
      <c r="X3787">
        <f>IF('01_Вводные'!$B$234="Да",'19_Расчет_аналитики'!X3829,0)</f>
        <v/>
      </c>
      <c r="Y3787">
        <f>IF('01_Вводные'!$B$234="Да",'19_Расчет_аналитики'!Y3829,0)</f>
        <v/>
      </c>
      <c r="Z3787">
        <f>IF('01_Вводные'!$B$234="Да",'19_Расчет_аналитики'!Z3829,0)</f>
        <v/>
      </c>
      <c r="AA3787">
        <f>IF('01_Вводные'!$B$234="Да",'19_Расчет_аналитики'!AA3829,0)</f>
        <v/>
      </c>
      <c r="AB3787">
        <f>IF('01_Вводные'!$B$234="Да",'19_Расчет_аналитики'!AB3829,0)</f>
        <v/>
      </c>
      <c r="AC3787">
        <f>IF('01_Вводные'!$B$234="Да",'19_Расчет_аналитики'!AC3829,0)</f>
        <v/>
      </c>
      <c r="AD3787">
        <f>IF('01_Вводные'!$B$234="Да",'19_Расчет_аналитики'!AD3829,0)</f>
        <v/>
      </c>
      <c r="AE3787">
        <f>IF('01_Вводные'!$B$234="Да",'19_Расчет_аналитики'!AE3829,0)</f>
        <v/>
      </c>
      <c r="AF3787">
        <f>IF('01_Вводные'!$B$234="Да",'19_Расчет_аналитики'!AF3829,0)</f>
        <v/>
      </c>
      <c r="AG3787">
        <f>IF('01_Вводные'!$B$234="Да",'19_Расчет_аналитики'!AG3829,0)</f>
        <v/>
      </c>
      <c r="AH3787">
        <f>IF('01_Вводные'!$B$234="Да",'19_Расчет_аналитики'!AH3829,0)</f>
        <v/>
      </c>
      <c r="AI3787">
        <f>IF('01_Вводные'!$B$234="Да",'19_Расчет_аналитики'!AI3829,0)</f>
        <v/>
      </c>
      <c r="AJ3787">
        <f>IF('01_Вводные'!$B$234="Да",'19_Расчет_аналитики'!AJ3829,0)</f>
        <v/>
      </c>
      <c r="AK3787">
        <f>IF('01_Вводные'!$B$234="Да",'19_Расчет_аналитики'!AK3829,0)</f>
        <v/>
      </c>
      <c r="AL3787">
        <f>IF('01_Вводные'!$B$234="Да",'19_Расчет_аналитики'!AL3829,0)</f>
        <v/>
      </c>
      <c r="AM3787">
        <f>IF('01_Вводные'!$B$234="Да",'19_Расчет_аналитики'!AM3829,0)</f>
        <v/>
      </c>
      <c r="AN3787">
        <f>IF('01_Вводные'!$B$234="Да",'19_Расчет_аналитики'!AN3829,0)</f>
        <v/>
      </c>
      <c r="AO3787">
        <f>IF('01_Вводные'!$B$234="Да",'19_Расчет_аналитики'!AO3829,0)</f>
        <v/>
      </c>
      <c r="AP3787">
        <f>IF('01_Вводные'!$B$234="Да",'19_Расчет_аналитики'!AP3829,0)</f>
        <v/>
      </c>
      <c r="AQ3787">
        <f>IF('01_Вводные'!$B$234="Да",'19_Расчет_аналитики'!AQ3829,0)</f>
        <v/>
      </c>
      <c r="AR3787">
        <f>IF('01_Вводные'!$B$234="Да",'19_Расчет_аналитики'!AR3829,0)</f>
        <v/>
      </c>
      <c r="AS3787">
        <f>IF('01_Вводные'!$B$234="Да",'19_Расчет_аналитики'!AS3829,0)</f>
        <v/>
      </c>
      <c r="AT3787">
        <f>IF('01_Вводные'!$B$234="Да",'19_Расчет_аналитики'!AT3829,0)</f>
        <v/>
      </c>
      <c r="AU3787">
        <f>IF('01_Вводные'!$B$234="Да",'19_Расчет_аналитики'!AU3829,0)</f>
        <v/>
      </c>
      <c r="AV3787">
        <f>IF('01_Вводные'!$B$234="Да",'19_Расчет_аналитики'!AV3829,0)</f>
        <v/>
      </c>
      <c r="AW3787">
        <f>IF('01_Вводные'!$B$234="Да",'19_Расчет_аналитики'!AW3829,0)</f>
        <v/>
      </c>
      <c r="AX3787">
        <f>IF('01_Вводные'!$B$234="Да",'19_Расчет_аналитики'!AX3829,0)</f>
        <v/>
      </c>
      <c r="AY3787">
        <f>IF('01_Вводные'!$B$234="Да",'19_Расчет_аналитики'!AY3829,0)</f>
        <v/>
      </c>
      <c r="AZ3787">
        <f>IF('01_Вводные'!$B$234="Да",'19_Расчет_аналитики'!AZ3829,0)</f>
        <v/>
      </c>
      <c r="BA3787">
        <f>IF('01_Вводные'!$B$234="Да",'19_Расчет_аналитики'!BA3829,0)</f>
        <v/>
      </c>
      <c r="BB3787">
        <f>IF('01_Вводные'!$B$234="Да",'19_Расчет_аналитики'!BB3829,0)</f>
        <v/>
      </c>
      <c r="BC3787">
        <f>IF('01_Вводные'!$B$234="Да",'19_Расчет_аналитики'!BC3829,0)</f>
        <v/>
      </c>
      <c r="BD3787">
        <f>IF('01_Вводные'!$B$234="Да",'19_Расчет_аналитики'!BD3829,0)</f>
        <v/>
      </c>
      <c r="BE3787">
        <f>IF('01_Вводные'!$B$234="Да",'19_Расчет_аналитики'!BE3829,0)</f>
        <v/>
      </c>
      <c r="BF3787">
        <f>IF('01_Вводные'!$B$234="Да",'19_Расчет_аналитики'!BF3829,0)</f>
        <v/>
      </c>
      <c r="BG3787">
        <f>IF('01_Вводные'!$B$234="Да",'19_Расчет_аналитики'!BG3829,0)</f>
        <v/>
      </c>
      <c r="BH3787">
        <f>IF('01_Вводные'!$B$234="Да",'19_Расчет_аналитики'!BH3829,0)</f>
        <v/>
      </c>
      <c r="BI3787">
        <f>IF('01_Вводные'!$B$234="Да",'19_Расчет_аналитики'!BI3829,0)</f>
        <v/>
      </c>
    </row>
    <row r="3788">
      <c r="B3788">
        <f>IF('01_Вводные'!$B$234="Да",'19_Расчет_аналитики'!B3757,0)</f>
        <v/>
      </c>
      <c r="C3788">
        <f>IF('01_Вводные'!$B$234="Да",'19_Расчет_аналитики'!C3757,0)</f>
        <v/>
      </c>
      <c r="D3788">
        <f>IF('01_Вводные'!$B$234="Да",'19_Расчет_аналитики'!D3757,0)</f>
        <v/>
      </c>
      <c r="E3788">
        <f>IF('01_Вводные'!$B$234="Да",'19_Расчет_аналитики'!E3757,0)</f>
        <v/>
      </c>
      <c r="F3788">
        <f>IF('01_Вводные'!$B$234="Да",'19_Расчет_аналитики'!F3757,0)</f>
        <v/>
      </c>
      <c r="G3788">
        <f>IF('01_Вводные'!$B$234="Да",'19_Расчет_аналитики'!G3757,0)</f>
        <v/>
      </c>
      <c r="H3788">
        <f>IF('01_Вводные'!$B$234="Да",'19_Расчет_аналитики'!H3757,0)</f>
        <v/>
      </c>
      <c r="I3788">
        <f>IF('01_Вводные'!$B$234="Да",'19_Расчет_аналитики'!I3757,0)</f>
        <v/>
      </c>
      <c r="J3788">
        <f>IF('01_Вводные'!$B$234="Да",'19_Расчет_аналитики'!J3757,0)</f>
        <v/>
      </c>
      <c r="K3788">
        <f>IF('01_Вводные'!$B$234="Да",'19_Расчет_аналитики'!K3757,0)</f>
        <v/>
      </c>
      <c r="L3788">
        <f>IF('01_Вводные'!$B$234="Да",'19_Расчет_аналитики'!L3757,0)</f>
        <v/>
      </c>
      <c r="M3788">
        <f>IF('01_Вводные'!$B$234="Да",'19_Расчет_аналитики'!M3757,0)</f>
        <v/>
      </c>
      <c r="N3788">
        <f>IF('01_Вводные'!$B$234="Да",'19_Расчет_аналитики'!N3757,0)</f>
        <v/>
      </c>
      <c r="O3788">
        <f>IF('01_Вводные'!$B$234="Да",'19_Расчет_аналитики'!O3757,0)</f>
        <v/>
      </c>
      <c r="P3788">
        <f>IF('01_Вводные'!$B$234="Да",'19_Расчет_аналитики'!P3757,0)</f>
        <v/>
      </c>
      <c r="Q3788">
        <f>IF('01_Вводные'!$B$234="Да",'19_Расчет_аналитики'!Q3757,0)</f>
        <v/>
      </c>
      <c r="R3788">
        <f>IF('01_Вводные'!$B$234="Да",'19_Расчет_аналитики'!R3757,0)</f>
        <v/>
      </c>
      <c r="S3788">
        <f>IF('01_Вводные'!$B$234="Да",'19_Расчет_аналитики'!S3757,0)</f>
        <v/>
      </c>
      <c r="T3788">
        <f>IF('01_Вводные'!$B$234="Да",'19_Расчет_аналитики'!T3757,0)</f>
        <v/>
      </c>
      <c r="U3788">
        <f>IF('01_Вводные'!$B$234="Да",'19_Расчет_аналитики'!U3757,0)</f>
        <v/>
      </c>
      <c r="V3788">
        <f>IF('01_Вводные'!$B$234="Да",'19_Расчет_аналитики'!V3757,0)</f>
        <v/>
      </c>
      <c r="W3788">
        <f>IF('01_Вводные'!$B$234="Да",'19_Расчет_аналитики'!W3757,0)</f>
        <v/>
      </c>
      <c r="X3788">
        <f>IF('01_Вводные'!$B$234="Да",'19_Расчет_аналитики'!X3757,0)</f>
        <v/>
      </c>
      <c r="Y3788">
        <f>IF('01_Вводные'!$B$234="Да",'19_Расчет_аналитики'!Y3757,0)</f>
        <v/>
      </c>
      <c r="Z3788">
        <f>IF('01_Вводные'!$B$234="Да",'19_Расчет_аналитики'!Z3757,0)</f>
        <v/>
      </c>
      <c r="AA3788">
        <f>IF('01_Вводные'!$B$234="Да",'19_Расчет_аналитики'!AA3757,0)</f>
        <v/>
      </c>
      <c r="AB3788">
        <f>IF('01_Вводные'!$B$234="Да",'19_Расчет_аналитики'!AB3757,0)</f>
        <v/>
      </c>
      <c r="AC3788">
        <f>IF('01_Вводные'!$B$234="Да",'19_Расчет_аналитики'!AC3757,0)</f>
        <v/>
      </c>
      <c r="AD3788">
        <f>IF('01_Вводные'!$B$234="Да",'19_Расчет_аналитики'!AD3757,0)</f>
        <v/>
      </c>
      <c r="AE3788">
        <f>IF('01_Вводные'!$B$234="Да",'19_Расчет_аналитики'!AE3757,0)</f>
        <v/>
      </c>
      <c r="AF3788">
        <f>IF('01_Вводные'!$B$234="Да",'19_Расчет_аналитики'!AF3757,0)</f>
        <v/>
      </c>
      <c r="AG3788">
        <f>IF('01_Вводные'!$B$234="Да",'19_Расчет_аналитики'!AG3757,0)</f>
        <v/>
      </c>
      <c r="AH3788">
        <f>IF('01_Вводные'!$B$234="Да",'19_Расчет_аналитики'!AH3757,0)</f>
        <v/>
      </c>
      <c r="AI3788">
        <f>IF('01_Вводные'!$B$234="Да",'19_Расчет_аналитики'!AI3757,0)</f>
        <v/>
      </c>
      <c r="AJ3788">
        <f>IF('01_Вводные'!$B$234="Да",'19_Расчет_аналитики'!AJ3757,0)</f>
        <v/>
      </c>
      <c r="AK3788">
        <f>IF('01_Вводные'!$B$234="Да",'19_Расчет_аналитики'!AK3757,0)</f>
        <v/>
      </c>
      <c r="AL3788">
        <f>IF('01_Вводные'!$B$234="Да",'19_Расчет_аналитики'!AL3757,0)</f>
        <v/>
      </c>
      <c r="AM3788">
        <f>IF('01_Вводные'!$B$234="Да",'19_Расчет_аналитики'!AM3757,0)</f>
        <v/>
      </c>
      <c r="AN3788">
        <f>IF('01_Вводные'!$B$234="Да",'19_Расчет_аналитики'!AN3757,0)</f>
        <v/>
      </c>
      <c r="AO3788">
        <f>IF('01_Вводные'!$B$234="Да",'19_Расчет_аналитики'!AO3757,0)</f>
        <v/>
      </c>
      <c r="AP3788">
        <f>IF('01_Вводные'!$B$234="Да",'19_Расчет_аналитики'!AP3757,0)</f>
        <v/>
      </c>
      <c r="AQ3788">
        <f>IF('01_Вводные'!$B$234="Да",'19_Расчет_аналитики'!AQ3757,0)</f>
        <v/>
      </c>
      <c r="AR3788">
        <f>IF('01_Вводные'!$B$234="Да",'19_Расчет_аналитики'!AR3757,0)</f>
        <v/>
      </c>
      <c r="AS3788">
        <f>IF('01_Вводные'!$B$234="Да",'19_Расчет_аналитики'!AS3757,0)</f>
        <v/>
      </c>
      <c r="AT3788">
        <f>IF('01_Вводные'!$B$234="Да",'19_Расчет_аналитики'!AT3757,0)</f>
        <v/>
      </c>
      <c r="AU3788">
        <f>IF('01_Вводные'!$B$234="Да",'19_Расчет_аналитики'!AU3757,0)</f>
        <v/>
      </c>
      <c r="AV3788">
        <f>IF('01_Вводные'!$B$234="Да",'19_Расчет_аналитики'!AV3757,0)</f>
        <v/>
      </c>
      <c r="AW3788">
        <f>IF('01_Вводные'!$B$234="Да",'19_Расчет_аналитики'!AW3757,0)</f>
        <v/>
      </c>
      <c r="AX3788">
        <f>IF('01_Вводные'!$B$234="Да",'19_Расчет_аналитики'!AX3757,0)</f>
        <v/>
      </c>
      <c r="AY3788">
        <f>IF('01_Вводные'!$B$234="Да",'19_Расчет_аналитики'!AY3757,0)</f>
        <v/>
      </c>
      <c r="AZ3788">
        <f>IF('01_Вводные'!$B$234="Да",'19_Расчет_аналитики'!AZ3757,0)</f>
        <v/>
      </c>
      <c r="BA3788">
        <f>IF('01_Вводные'!$B$234="Да",'19_Расчет_аналитики'!BA3757,0)</f>
        <v/>
      </c>
      <c r="BB3788">
        <f>IF('01_Вводные'!$B$234="Да",'19_Расчет_аналитики'!BB3757,0)</f>
        <v/>
      </c>
      <c r="BC3788">
        <f>IF('01_Вводные'!$B$234="Да",'19_Расчет_аналитики'!BC3757,0)</f>
        <v/>
      </c>
      <c r="BD3788">
        <f>IF('01_Вводные'!$B$234="Да",'19_Расчет_аналитики'!BD3757,0)</f>
        <v/>
      </c>
      <c r="BE3788">
        <f>IF('01_Вводные'!$B$234="Да",'19_Расчет_аналитики'!BE3757,0)</f>
        <v/>
      </c>
      <c r="BF3788">
        <f>IF('01_Вводные'!$B$234="Да",'19_Расчет_аналитики'!BF3757,0)</f>
        <v/>
      </c>
      <c r="BG3788">
        <f>IF('01_Вводные'!$B$234="Да",'19_Расчет_аналитики'!BG3757,0)</f>
        <v/>
      </c>
      <c r="BH3788">
        <f>IF('01_Вводные'!$B$234="Да",'19_Расчет_аналитики'!BH3757,0)</f>
        <v/>
      </c>
      <c r="BI3788">
        <f>IF('01_Вводные'!$B$234="Да",'19_Расчет_аналитики'!BI3757,0)</f>
        <v/>
      </c>
    </row>
    <row r="3789">
      <c r="B3789">
        <f>IF('01_Вводные'!$B$234="Да",'01_Вводные'!$B$21*('19_Расчет_аналитики'!B3767+'02_Модель'!B38+'02_Модель'!B39+'02_Модель'!B40+'02_Модель'!B41+'19_Расчет_аналитики'!B3772+'19_Расчет_аналитики'!B3662)+(1-'01_Вводные'!$B$21)*0,0)</f>
        <v/>
      </c>
      <c r="C3789">
        <f>IF('01_Вводные'!$B$234="Да",'01_Вводные'!$B$21*('19_Расчет_аналитики'!C3767+'02_Модель'!C38+'02_Модель'!C39+'02_Модель'!C40+'02_Модель'!C41+'19_Расчет_аналитики'!C3772+'19_Расчет_аналитики'!C3662)+(1-'01_Вводные'!$B$21)*('19_Расчет_аналитики'!B3767+'02_Модель'!B38+'02_Модель'!B39+'02_Модель'!B40+'02_Модель'!B41+'19_Расчет_аналитики'!B3772+'19_Расчет_аналитики'!B3662),0)</f>
        <v/>
      </c>
      <c r="D3789">
        <f>IF('01_Вводные'!$B$234="Да",'01_Вводные'!$B$21*('19_Расчет_аналитики'!D3767+'02_Модель'!D38+'02_Модель'!D39+'02_Модель'!D40+'02_Модель'!D41+'19_Расчет_аналитики'!D3772+'19_Расчет_аналитики'!D3662)+(1-'01_Вводные'!$B$21)*('19_Расчет_аналитики'!C3767+'02_Модель'!C38+'02_Модель'!C39+'02_Модель'!C40+'02_Модель'!C41+'19_Расчет_аналитики'!C3772+'19_Расчет_аналитики'!C3662),0)</f>
        <v/>
      </c>
      <c r="E3789">
        <f>IF('01_Вводные'!$B$234="Да",'01_Вводные'!$B$21*('19_Расчет_аналитики'!E3767+'02_Модель'!E38+'02_Модель'!E39+'02_Модель'!E40+'02_Модель'!E41+'19_Расчет_аналитики'!E3772+'19_Расчет_аналитики'!E3662)+(1-'01_Вводные'!$B$21)*('19_Расчет_аналитики'!D3767+'02_Модель'!D38+'02_Модель'!D39+'02_Модель'!D40+'02_Модель'!D41+'19_Расчет_аналитики'!D3772+'19_Расчет_аналитики'!D3662),0)</f>
        <v/>
      </c>
      <c r="F3789">
        <f>IF('01_Вводные'!$B$234="Да",'01_Вводные'!$B$21*('19_Расчет_аналитики'!F3767+'02_Модель'!F38+'02_Модель'!F39+'02_Модель'!F40+'02_Модель'!F41+'19_Расчет_аналитики'!F3772+'19_Расчет_аналитики'!F3662)+(1-'01_Вводные'!$B$21)*('19_Расчет_аналитики'!E3767+'02_Модель'!E38+'02_Модель'!E39+'02_Модель'!E40+'02_Модель'!E41+'19_Расчет_аналитики'!E3772+'19_Расчет_аналитики'!E3662),0)</f>
        <v/>
      </c>
      <c r="G3789">
        <f>IF('01_Вводные'!$B$234="Да",'01_Вводные'!$B$21*('19_Расчет_аналитики'!G3767+'02_Модель'!G38+'02_Модель'!G39+'02_Модель'!G40+'02_Модель'!G41+'19_Расчет_аналитики'!G3772+'19_Расчет_аналитики'!G3662)+(1-'01_Вводные'!$B$21)*('19_Расчет_аналитики'!F3767+'02_Модель'!F38+'02_Модель'!F39+'02_Модель'!F40+'02_Модель'!F41+'19_Расчет_аналитики'!F3772+'19_Расчет_аналитики'!F3662),0)</f>
        <v/>
      </c>
      <c r="H3789">
        <f>IF('01_Вводные'!$B$234="Да",'01_Вводные'!$B$21*('19_Расчет_аналитики'!H3767+'02_Модель'!H38+'02_Модель'!H39+'02_Модель'!H40+'02_Модель'!H41+'19_Расчет_аналитики'!H3772+'19_Расчет_аналитики'!H3662)+(1-'01_Вводные'!$B$21)*('19_Расчет_аналитики'!G3767+'02_Модель'!G38+'02_Модель'!G39+'02_Модель'!G40+'02_Модель'!G41+'19_Расчет_аналитики'!G3772+'19_Расчет_аналитики'!G3662),0)</f>
        <v/>
      </c>
      <c r="I3789">
        <f>IF('01_Вводные'!$B$234="Да",'01_Вводные'!$B$21*('19_Расчет_аналитики'!I3767+'02_Модель'!I38+'02_Модель'!I39+'02_Модель'!I40+'02_Модель'!I41+'19_Расчет_аналитики'!I3772+'19_Расчет_аналитики'!I3662)+(1-'01_Вводные'!$B$21)*('19_Расчет_аналитики'!H3767+'02_Модель'!H38+'02_Модель'!H39+'02_Модель'!H40+'02_Модель'!H41+'19_Расчет_аналитики'!H3772+'19_Расчет_аналитики'!H3662),0)</f>
        <v/>
      </c>
      <c r="J3789">
        <f>IF('01_Вводные'!$B$234="Да",'01_Вводные'!$B$21*('19_Расчет_аналитики'!J3767+'02_Модель'!J38+'02_Модель'!J39+'02_Модель'!J40+'02_Модель'!J41+'19_Расчет_аналитики'!J3772+'19_Расчет_аналитики'!J3662)+(1-'01_Вводные'!$B$21)*('19_Расчет_аналитики'!I3767+'02_Модель'!I38+'02_Модель'!I39+'02_Модель'!I40+'02_Модель'!I41+'19_Расчет_аналитики'!I3772+'19_Расчет_аналитики'!I3662),0)</f>
        <v/>
      </c>
      <c r="K3789">
        <f>IF('01_Вводные'!$B$234="Да",'01_Вводные'!$B$21*('19_Расчет_аналитики'!K3767+'02_Модель'!K38+'02_Модель'!K39+'02_Модель'!K40+'02_Модель'!K41+'19_Расчет_аналитики'!K3772+'19_Расчет_аналитики'!K3662)+(1-'01_Вводные'!$B$21)*('19_Расчет_аналитики'!J3767+'02_Модель'!J38+'02_Модель'!J39+'02_Модель'!J40+'02_Модель'!J41+'19_Расчет_аналитики'!J3772+'19_Расчет_аналитики'!J3662),0)</f>
        <v/>
      </c>
      <c r="L3789">
        <f>IF('01_Вводные'!$B$234="Да",'01_Вводные'!$B$21*('19_Расчет_аналитики'!L3767+'02_Модель'!L38+'02_Модель'!L39+'02_Модель'!L40+'02_Модель'!L41+'19_Расчет_аналитики'!L3772+'19_Расчет_аналитики'!L3662)+(1-'01_Вводные'!$B$21)*('19_Расчет_аналитики'!K3767+'02_Модель'!K38+'02_Модель'!K39+'02_Модель'!K40+'02_Модель'!K41+'19_Расчет_аналитики'!K3772+'19_Расчет_аналитики'!K3662),0)</f>
        <v/>
      </c>
      <c r="M3789">
        <f>IF('01_Вводные'!$B$234="Да",'01_Вводные'!$B$21*('19_Расчет_аналитики'!M3767+'02_Модель'!M38+'02_Модель'!M39+'02_Модель'!M40+'02_Модель'!M41+'19_Расчет_аналитики'!M3772+'19_Расчет_аналитики'!M3662)+(1-'01_Вводные'!$B$21)*('19_Расчет_аналитики'!L3767+'02_Модель'!L38+'02_Модель'!L39+'02_Модель'!L40+'02_Модель'!L41+'19_Расчет_аналитики'!L3772+'19_Расчет_аналитики'!L3662),0)</f>
        <v/>
      </c>
      <c r="N3789">
        <f>IF('01_Вводные'!$B$234="Да",'01_Вводные'!$B$21*('19_Расчет_аналитики'!N3767+'02_Модель'!N38+'02_Модель'!N39+'02_Модель'!N40+'02_Модель'!N41+'19_Расчет_аналитики'!N3772+'19_Расчет_аналитики'!N3662)+(1-'01_Вводные'!$B$21)*('19_Расчет_аналитики'!M3767+'02_Модель'!M38+'02_Модель'!M39+'02_Модель'!M40+'02_Модель'!M41+'19_Расчет_аналитики'!M3772+'19_Расчет_аналитики'!M3662),0)</f>
        <v/>
      </c>
      <c r="O3789">
        <f>IF('01_Вводные'!$B$234="Да",'01_Вводные'!$B$21*('19_Расчет_аналитики'!O3767+'02_Модель'!O38+'02_Модель'!O39+'02_Модель'!O40+'02_Модель'!O41+'19_Расчет_аналитики'!O3772+'19_Расчет_аналитики'!O3662)+(1-'01_Вводные'!$B$21)*('19_Расчет_аналитики'!N3767+'02_Модель'!N38+'02_Модель'!N39+'02_Модель'!N40+'02_Модель'!N41+'19_Расчет_аналитики'!N3772+'19_Расчет_аналитики'!N3662),0)</f>
        <v/>
      </c>
      <c r="P3789">
        <f>IF('01_Вводные'!$B$234="Да",'01_Вводные'!$B$21*('19_Расчет_аналитики'!P3767+'02_Модель'!P38+'02_Модель'!P39+'02_Модель'!P40+'02_Модель'!P41+'19_Расчет_аналитики'!P3772+'19_Расчет_аналитики'!P3662)+(1-'01_Вводные'!$B$21)*('19_Расчет_аналитики'!O3767+'02_Модель'!O38+'02_Модель'!O39+'02_Модель'!O40+'02_Модель'!O41+'19_Расчет_аналитики'!O3772+'19_Расчет_аналитики'!O3662),0)</f>
        <v/>
      </c>
      <c r="Q3789">
        <f>IF('01_Вводные'!$B$234="Да",'01_Вводные'!$B$21*('19_Расчет_аналитики'!Q3767+'02_Модель'!Q38+'02_Модель'!Q39+'02_Модель'!Q40+'02_Модель'!Q41+'19_Расчет_аналитики'!Q3772+'19_Расчет_аналитики'!Q3662)+(1-'01_Вводные'!$B$21)*('19_Расчет_аналитики'!P3767+'02_Модель'!P38+'02_Модель'!P39+'02_Модель'!P40+'02_Модель'!P41+'19_Расчет_аналитики'!P3772+'19_Расчет_аналитики'!P3662),0)</f>
        <v/>
      </c>
      <c r="R3789">
        <f>IF('01_Вводные'!$B$234="Да",'01_Вводные'!$B$21*('19_Расчет_аналитики'!R3767+'02_Модель'!R38+'02_Модель'!R39+'02_Модель'!R40+'02_Модель'!R41+'19_Расчет_аналитики'!R3772+'19_Расчет_аналитики'!R3662)+(1-'01_Вводные'!$B$21)*('19_Расчет_аналитики'!Q3767+'02_Модель'!Q38+'02_Модель'!Q39+'02_Модель'!Q40+'02_Модель'!Q41+'19_Расчет_аналитики'!Q3772+'19_Расчет_аналитики'!Q3662),0)</f>
        <v/>
      </c>
      <c r="S3789">
        <f>IF('01_Вводные'!$B$234="Да",'01_Вводные'!$B$21*('19_Расчет_аналитики'!S3767+'02_Модель'!S38+'02_Модель'!S39+'02_Модель'!S40+'02_Модель'!S41+'19_Расчет_аналитики'!S3772+'19_Расчет_аналитики'!S3662)+(1-'01_Вводные'!$B$21)*('19_Расчет_аналитики'!R3767+'02_Модель'!R38+'02_Модель'!R39+'02_Модель'!R40+'02_Модель'!R41+'19_Расчет_аналитики'!R3772+'19_Расчет_аналитики'!R3662),0)</f>
        <v/>
      </c>
      <c r="T3789">
        <f>IF('01_Вводные'!$B$234="Да",'01_Вводные'!$B$21*('19_Расчет_аналитики'!T3767+'02_Модель'!T38+'02_Модель'!T39+'02_Модель'!T40+'02_Модель'!T41+'19_Расчет_аналитики'!T3772+'19_Расчет_аналитики'!T3662)+(1-'01_Вводные'!$B$21)*('19_Расчет_аналитики'!S3767+'02_Модель'!S38+'02_Модель'!S39+'02_Модель'!S40+'02_Модель'!S41+'19_Расчет_аналитики'!S3772+'19_Расчет_аналитики'!S3662),0)</f>
        <v/>
      </c>
      <c r="U3789">
        <f>IF('01_Вводные'!$B$234="Да",'01_Вводные'!$B$21*('19_Расчет_аналитики'!U3767+'02_Модель'!U38+'02_Модель'!U39+'02_Модель'!U40+'02_Модель'!U41+'19_Расчет_аналитики'!U3772+'19_Расчет_аналитики'!U3662)+(1-'01_Вводные'!$B$21)*('19_Расчет_аналитики'!T3767+'02_Модель'!T38+'02_Модель'!T39+'02_Модель'!T40+'02_Модель'!T41+'19_Расчет_аналитики'!T3772+'19_Расчет_аналитики'!T3662),0)</f>
        <v/>
      </c>
      <c r="V3789">
        <f>IF('01_Вводные'!$B$234="Да",'01_Вводные'!$B$21*('19_Расчет_аналитики'!V3767+'02_Модель'!V38+'02_Модель'!V39+'02_Модель'!V40+'02_Модель'!V41+'19_Расчет_аналитики'!V3772+'19_Расчет_аналитики'!V3662)+(1-'01_Вводные'!$B$21)*('19_Расчет_аналитики'!U3767+'02_Модель'!U38+'02_Модель'!U39+'02_Модель'!U40+'02_Модель'!U41+'19_Расчет_аналитики'!U3772+'19_Расчет_аналитики'!U3662),0)</f>
        <v/>
      </c>
      <c r="W3789">
        <f>IF('01_Вводные'!$B$234="Да",'01_Вводные'!$B$21*('19_Расчет_аналитики'!W3767+'02_Модель'!W38+'02_Модель'!W39+'02_Модель'!W40+'02_Модель'!W41+'19_Расчет_аналитики'!W3772+'19_Расчет_аналитики'!W3662)+(1-'01_Вводные'!$B$21)*('19_Расчет_аналитики'!V3767+'02_Модель'!V38+'02_Модель'!V39+'02_Модель'!V40+'02_Модель'!V41+'19_Расчет_аналитики'!V3772+'19_Расчет_аналитики'!V3662),0)</f>
        <v/>
      </c>
      <c r="X3789">
        <f>IF('01_Вводные'!$B$234="Да",'01_Вводные'!$B$21*('19_Расчет_аналитики'!X3767+'02_Модель'!X38+'02_Модель'!X39+'02_Модель'!X40+'02_Модель'!X41+'19_Расчет_аналитики'!X3772+'19_Расчет_аналитики'!X3662)+(1-'01_Вводные'!$B$21)*('19_Расчет_аналитики'!W3767+'02_Модель'!W38+'02_Модель'!W39+'02_Модель'!W40+'02_Модель'!W41+'19_Расчет_аналитики'!W3772+'19_Расчет_аналитики'!W3662),0)</f>
        <v/>
      </c>
      <c r="Y3789">
        <f>IF('01_Вводные'!$B$234="Да",'01_Вводные'!$B$21*('19_Расчет_аналитики'!Y3767+'02_Модель'!Y38+'02_Модель'!Y39+'02_Модель'!Y40+'02_Модель'!Y41+'19_Расчет_аналитики'!Y3772+'19_Расчет_аналитики'!Y3662)+(1-'01_Вводные'!$B$21)*('19_Расчет_аналитики'!X3767+'02_Модель'!X38+'02_Модель'!X39+'02_Модель'!X40+'02_Модель'!X41+'19_Расчет_аналитики'!X3772+'19_Расчет_аналитики'!X3662),0)</f>
        <v/>
      </c>
      <c r="Z3789">
        <f>IF('01_Вводные'!$B$234="Да",'01_Вводные'!$B$21*('19_Расчет_аналитики'!Z3767+'02_Модель'!Z38+'02_Модель'!Z39+'02_Модель'!Z40+'02_Модель'!Z41+'19_Расчет_аналитики'!Z3772+'19_Расчет_аналитики'!Z3662)+(1-'01_Вводные'!$B$21)*('19_Расчет_аналитики'!Y3767+'02_Модель'!Y38+'02_Модель'!Y39+'02_Модель'!Y40+'02_Модель'!Y41+'19_Расчет_аналитики'!Y3772+'19_Расчет_аналитики'!Y3662),0)</f>
        <v/>
      </c>
      <c r="AA3789">
        <f>IF('01_Вводные'!$B$234="Да",'01_Вводные'!$B$21*('19_Расчет_аналитики'!AA3767+'02_Модель'!AA38+'02_Модель'!AA39+'02_Модель'!AA40+'02_Модель'!AA41+'19_Расчет_аналитики'!AA3772+'19_Расчет_аналитики'!AA3662)+(1-'01_Вводные'!$B$21)*('19_Расчет_аналитики'!Z3767+'02_Модель'!Z38+'02_Модель'!Z39+'02_Модель'!Z40+'02_Модель'!Z41+'19_Расчет_аналитики'!Z3772+'19_Расчет_аналитики'!Z3662),0)</f>
        <v/>
      </c>
      <c r="AB3789">
        <f>IF('01_Вводные'!$B$234="Да",'01_Вводные'!$B$21*('19_Расчет_аналитики'!AB3767+'02_Модель'!AB38+'02_Модель'!AB39+'02_Модель'!AB40+'02_Модель'!AB41+'19_Расчет_аналитики'!AB3772+'19_Расчет_аналитики'!AB3662)+(1-'01_Вводные'!$B$21)*('19_Расчет_аналитики'!AA3767+'02_Модель'!AA38+'02_Модель'!AA39+'02_Модель'!AA40+'02_Модель'!AA41+'19_Расчет_аналитики'!AA3772+'19_Расчет_аналитики'!AA3662),0)</f>
        <v/>
      </c>
      <c r="AC3789">
        <f>IF('01_Вводные'!$B$234="Да",'01_Вводные'!$B$21*('19_Расчет_аналитики'!AC3767+'02_Модель'!AC38+'02_Модель'!AC39+'02_Модель'!AC40+'02_Модель'!AC41+'19_Расчет_аналитики'!AC3772+'19_Расчет_аналитики'!AC3662)+(1-'01_Вводные'!$B$21)*('19_Расчет_аналитики'!AB3767+'02_Модель'!AB38+'02_Модель'!AB39+'02_Модель'!AB40+'02_Модель'!AB41+'19_Расчет_аналитики'!AB3772+'19_Расчет_аналитики'!AB3662),0)</f>
        <v/>
      </c>
      <c r="AD3789">
        <f>IF('01_Вводные'!$B$234="Да",'01_Вводные'!$B$21*('19_Расчет_аналитики'!AD3767+'02_Модель'!AD38+'02_Модель'!AD39+'02_Модель'!AD40+'02_Модель'!AD41+'19_Расчет_аналитики'!AD3772+'19_Расчет_аналитики'!AD3662)+(1-'01_Вводные'!$B$21)*('19_Расчет_аналитики'!AC3767+'02_Модель'!AC38+'02_Модель'!AC39+'02_Модель'!AC40+'02_Модель'!AC41+'19_Расчет_аналитики'!AC3772+'19_Расчет_аналитики'!AC3662),0)</f>
        <v/>
      </c>
      <c r="AE3789">
        <f>IF('01_Вводные'!$B$234="Да",'01_Вводные'!$B$21*('19_Расчет_аналитики'!AE3767+'02_Модель'!AE38+'02_Модель'!AE39+'02_Модель'!AE40+'02_Модель'!AE41+'19_Расчет_аналитики'!AE3772+'19_Расчет_аналитики'!AE3662)+(1-'01_Вводные'!$B$21)*('19_Расчет_аналитики'!AD3767+'02_Модель'!AD38+'02_Модель'!AD39+'02_Модель'!AD40+'02_Модель'!AD41+'19_Расчет_аналитики'!AD3772+'19_Расчет_аналитики'!AD3662),0)</f>
        <v/>
      </c>
      <c r="AF3789">
        <f>IF('01_Вводные'!$B$234="Да",'01_Вводные'!$B$21*('19_Расчет_аналитики'!AF3767+'02_Модель'!AF38+'02_Модель'!AF39+'02_Модель'!AF40+'02_Модель'!AF41+'19_Расчет_аналитики'!AF3772+'19_Расчет_аналитики'!AF3662)+(1-'01_Вводные'!$B$21)*('19_Расчет_аналитики'!AE3767+'02_Модель'!AE38+'02_Модель'!AE39+'02_Модель'!AE40+'02_Модель'!AE41+'19_Расчет_аналитики'!AE3772+'19_Расчет_аналитики'!AE3662),0)</f>
        <v/>
      </c>
      <c r="AG3789">
        <f>IF('01_Вводные'!$B$234="Да",'01_Вводные'!$B$21*('19_Расчет_аналитики'!AG3767+'02_Модель'!AG38+'02_Модель'!AG39+'02_Модель'!AG40+'02_Модель'!AG41+'19_Расчет_аналитики'!AG3772+'19_Расчет_аналитики'!AG3662)+(1-'01_Вводные'!$B$21)*('19_Расчет_аналитики'!AF3767+'02_Модель'!AF38+'02_Модель'!AF39+'02_Модель'!AF40+'02_Модель'!AF41+'19_Расчет_аналитики'!AF3772+'19_Расчет_аналитики'!AF3662),0)</f>
        <v/>
      </c>
      <c r="AH3789">
        <f>IF('01_Вводные'!$B$234="Да",'01_Вводные'!$B$21*('19_Расчет_аналитики'!AH3767+'02_Модель'!AH38+'02_Модель'!AH39+'02_Модель'!AH40+'02_Модель'!AH41+'19_Расчет_аналитики'!AH3772+'19_Расчет_аналитики'!AH3662)+(1-'01_Вводные'!$B$21)*('19_Расчет_аналитики'!AG3767+'02_Модель'!AG38+'02_Модель'!AG39+'02_Модель'!AG40+'02_Модель'!AG41+'19_Расчет_аналитики'!AG3772+'19_Расчет_аналитики'!AG3662),0)</f>
        <v/>
      </c>
      <c r="AI3789">
        <f>IF('01_Вводные'!$B$234="Да",'01_Вводные'!$B$21*('19_Расчет_аналитики'!AI3767+'02_Модель'!AI38+'02_Модель'!AI39+'02_Модель'!AI40+'02_Модель'!AI41+'19_Расчет_аналитики'!AI3772+'19_Расчет_аналитики'!AI3662)+(1-'01_Вводные'!$B$21)*('19_Расчет_аналитики'!AH3767+'02_Модель'!AH38+'02_Модель'!AH39+'02_Модель'!AH40+'02_Модель'!AH41+'19_Расчет_аналитики'!AH3772+'19_Расчет_аналитики'!AH3662),0)</f>
        <v/>
      </c>
      <c r="AJ3789">
        <f>IF('01_Вводные'!$B$234="Да",'01_Вводные'!$B$21*('19_Расчет_аналитики'!AJ3767+'02_Модель'!AJ38+'02_Модель'!AJ39+'02_Модель'!AJ40+'02_Модель'!AJ41+'19_Расчет_аналитики'!AJ3772+'19_Расчет_аналитики'!AJ3662)+(1-'01_Вводные'!$B$21)*('19_Расчет_аналитики'!AI3767+'02_Модель'!AI38+'02_Модель'!AI39+'02_Модель'!AI40+'02_Модель'!AI41+'19_Расчет_аналитики'!AI3772+'19_Расчет_аналитики'!AI3662),0)</f>
        <v/>
      </c>
      <c r="AK3789">
        <f>IF('01_Вводные'!$B$234="Да",'01_Вводные'!$B$21*('19_Расчет_аналитики'!AK3767+'02_Модель'!AK38+'02_Модель'!AK39+'02_Модель'!AK40+'02_Модель'!AK41+'19_Расчет_аналитики'!AK3772+'19_Расчет_аналитики'!AK3662)+(1-'01_Вводные'!$B$21)*('19_Расчет_аналитики'!AJ3767+'02_Модель'!AJ38+'02_Модель'!AJ39+'02_Модель'!AJ40+'02_Модель'!AJ41+'19_Расчет_аналитики'!AJ3772+'19_Расчет_аналитики'!AJ3662),0)</f>
        <v/>
      </c>
      <c r="AL3789">
        <f>IF('01_Вводные'!$B$234="Да",'01_Вводные'!$B$21*('19_Расчет_аналитики'!AL3767+'02_Модель'!AL38+'02_Модель'!AL39+'02_Модель'!AL40+'02_Модель'!AL41+'19_Расчет_аналитики'!AL3772+'19_Расчет_аналитики'!AL3662)+(1-'01_Вводные'!$B$21)*('19_Расчет_аналитики'!AK3767+'02_Модель'!AK38+'02_Модель'!AK39+'02_Модель'!AK40+'02_Модель'!AK41+'19_Расчет_аналитики'!AK3772+'19_Расчет_аналитики'!AK3662),0)</f>
        <v/>
      </c>
      <c r="AM3789">
        <f>IF('01_Вводные'!$B$234="Да",'01_Вводные'!$B$21*('19_Расчет_аналитики'!AM3767+'02_Модель'!AM38+'02_Модель'!AM39+'02_Модель'!AM40+'02_Модель'!AM41+'19_Расчет_аналитики'!AM3772+'19_Расчет_аналитики'!AM3662)+(1-'01_Вводные'!$B$21)*('19_Расчет_аналитики'!AL3767+'02_Модель'!AL38+'02_Модель'!AL39+'02_Модель'!AL40+'02_Модель'!AL41+'19_Расчет_аналитики'!AL3772+'19_Расчет_аналитики'!AL3662),0)</f>
        <v/>
      </c>
      <c r="AN3789">
        <f>IF('01_Вводные'!$B$234="Да",'01_Вводные'!$B$21*('19_Расчет_аналитики'!AN3767+'02_Модель'!AN38+'02_Модель'!AN39+'02_Модель'!AN40+'02_Модель'!AN41+'19_Расчет_аналитики'!AN3772+'19_Расчет_аналитики'!AN3662)+(1-'01_Вводные'!$B$21)*('19_Расчет_аналитики'!AM3767+'02_Модель'!AM38+'02_Модель'!AM39+'02_Модель'!AM40+'02_Модель'!AM41+'19_Расчет_аналитики'!AM3772+'19_Расчет_аналитики'!AM3662),0)</f>
        <v/>
      </c>
      <c r="AO3789">
        <f>IF('01_Вводные'!$B$234="Да",'01_Вводные'!$B$21*('19_Расчет_аналитики'!AO3767+'02_Модель'!AO38+'02_Модель'!AO39+'02_Модель'!AO40+'02_Модель'!AO41+'19_Расчет_аналитики'!AO3772+'19_Расчет_аналитики'!AO3662)+(1-'01_Вводные'!$B$21)*('19_Расчет_аналитики'!AN3767+'02_Модель'!AN38+'02_Модель'!AN39+'02_Модель'!AN40+'02_Модель'!AN41+'19_Расчет_аналитики'!AN3772+'19_Расчет_аналитики'!AN3662),0)</f>
        <v/>
      </c>
      <c r="AP3789">
        <f>IF('01_Вводные'!$B$234="Да",'01_Вводные'!$B$21*('19_Расчет_аналитики'!AP3767+'02_Модель'!AP38+'02_Модель'!AP39+'02_Модель'!AP40+'02_Модель'!AP41+'19_Расчет_аналитики'!AP3772+'19_Расчет_аналитики'!AP3662)+(1-'01_Вводные'!$B$21)*('19_Расчет_аналитики'!AO3767+'02_Модель'!AO38+'02_Модель'!AO39+'02_Модель'!AO40+'02_Модель'!AO41+'19_Расчет_аналитики'!AO3772+'19_Расчет_аналитики'!AO3662),0)</f>
        <v/>
      </c>
      <c r="AQ3789">
        <f>IF('01_Вводные'!$B$234="Да",'01_Вводные'!$B$21*('19_Расчет_аналитики'!AQ3767+'02_Модель'!AQ38+'02_Модель'!AQ39+'02_Модель'!AQ40+'02_Модель'!AQ41+'19_Расчет_аналитики'!AQ3772+'19_Расчет_аналитики'!AQ3662)+(1-'01_Вводные'!$B$21)*('19_Расчет_аналитики'!AP3767+'02_Модель'!AP38+'02_Модель'!AP39+'02_Модель'!AP40+'02_Модель'!AP41+'19_Расчет_аналитики'!AP3772+'19_Расчет_аналитики'!AP3662),0)</f>
        <v/>
      </c>
      <c r="AR3789">
        <f>IF('01_Вводные'!$B$234="Да",'01_Вводные'!$B$21*('19_Расчет_аналитики'!AR3767+'02_Модель'!AR38+'02_Модель'!AR39+'02_Модель'!AR40+'02_Модель'!AR41+'19_Расчет_аналитики'!AR3772+'19_Расчет_аналитики'!AR3662)+(1-'01_Вводные'!$B$21)*('19_Расчет_аналитики'!AQ3767+'02_Модель'!AQ38+'02_Модель'!AQ39+'02_Модель'!AQ40+'02_Модель'!AQ41+'19_Расчет_аналитики'!AQ3772+'19_Расчет_аналитики'!AQ3662),0)</f>
        <v/>
      </c>
      <c r="AS3789">
        <f>IF('01_Вводные'!$B$234="Да",'01_Вводные'!$B$21*('19_Расчет_аналитики'!AS3767+'02_Модель'!AS38+'02_Модель'!AS39+'02_Модель'!AS40+'02_Модель'!AS41+'19_Расчет_аналитики'!AS3772+'19_Расчет_аналитики'!AS3662)+(1-'01_Вводные'!$B$21)*('19_Расчет_аналитики'!AR3767+'02_Модель'!AR38+'02_Модель'!AR39+'02_Модель'!AR40+'02_Модель'!AR41+'19_Расчет_аналитики'!AR3772+'19_Расчет_аналитики'!AR3662),0)</f>
        <v/>
      </c>
      <c r="AT3789">
        <f>IF('01_Вводные'!$B$234="Да",'01_Вводные'!$B$21*('19_Расчет_аналитики'!AT3767+'02_Модель'!AT38+'02_Модель'!AT39+'02_Модель'!AT40+'02_Модель'!AT41+'19_Расчет_аналитики'!AT3772+'19_Расчет_аналитики'!AT3662)+(1-'01_Вводные'!$B$21)*('19_Расчет_аналитики'!AS3767+'02_Модель'!AS38+'02_Модель'!AS39+'02_Модель'!AS40+'02_Модель'!AS41+'19_Расчет_аналитики'!AS3772+'19_Расчет_аналитики'!AS3662),0)</f>
        <v/>
      </c>
      <c r="AU3789">
        <f>IF('01_Вводные'!$B$234="Да",'01_Вводные'!$B$21*('19_Расчет_аналитики'!AU3767+'02_Модель'!AU38+'02_Модель'!AU39+'02_Модель'!AU40+'02_Модель'!AU41+'19_Расчет_аналитики'!AU3772+'19_Расчет_аналитики'!AU3662)+(1-'01_Вводные'!$B$21)*('19_Расчет_аналитики'!AT3767+'02_Модель'!AT38+'02_Модель'!AT39+'02_Модель'!AT40+'02_Модель'!AT41+'19_Расчет_аналитики'!AT3772+'19_Расчет_аналитики'!AT3662),0)</f>
        <v/>
      </c>
      <c r="AV3789">
        <f>IF('01_Вводные'!$B$234="Да",'01_Вводные'!$B$21*('19_Расчет_аналитики'!AV3767+'02_Модель'!AV38+'02_Модель'!AV39+'02_Модель'!AV40+'02_Модель'!AV41+'19_Расчет_аналитики'!AV3772+'19_Расчет_аналитики'!AV3662)+(1-'01_Вводные'!$B$21)*('19_Расчет_аналитики'!AU3767+'02_Модель'!AU38+'02_Модель'!AU39+'02_Модель'!AU40+'02_Модель'!AU41+'19_Расчет_аналитики'!AU3772+'19_Расчет_аналитики'!AU3662),0)</f>
        <v/>
      </c>
      <c r="AW3789">
        <f>IF('01_Вводные'!$B$234="Да",'01_Вводные'!$B$21*('19_Расчет_аналитики'!AW3767+'02_Модель'!AW38+'02_Модель'!AW39+'02_Модель'!AW40+'02_Модель'!AW41+'19_Расчет_аналитики'!AW3772+'19_Расчет_аналитики'!AW3662)+(1-'01_Вводные'!$B$21)*('19_Расчет_аналитики'!AV3767+'02_Модель'!AV38+'02_Модель'!AV39+'02_Модель'!AV40+'02_Модель'!AV41+'19_Расчет_аналитики'!AV3772+'19_Расчет_аналитики'!AV3662),0)</f>
        <v/>
      </c>
      <c r="AX3789">
        <f>IF('01_Вводные'!$B$234="Да",'01_Вводные'!$B$21*('19_Расчет_аналитики'!AX3767+'02_Модель'!AX38+'02_Модель'!AX39+'02_Модель'!AX40+'02_Модель'!AX41+'19_Расчет_аналитики'!AX3772+'19_Расчет_аналитики'!AX3662)+(1-'01_Вводные'!$B$21)*('19_Расчет_аналитики'!AW3767+'02_Модель'!AW38+'02_Модель'!AW39+'02_Модель'!AW40+'02_Модель'!AW41+'19_Расчет_аналитики'!AW3772+'19_Расчет_аналитики'!AW3662),0)</f>
        <v/>
      </c>
      <c r="AY3789">
        <f>IF('01_Вводные'!$B$234="Да",'01_Вводные'!$B$21*('19_Расчет_аналитики'!AY3767+'02_Модель'!AY38+'02_Модель'!AY39+'02_Модель'!AY40+'02_Модель'!AY41+'19_Расчет_аналитики'!AY3772+'19_Расчет_аналитики'!AY3662)+(1-'01_Вводные'!$B$21)*('19_Расчет_аналитики'!AX3767+'02_Модель'!AX38+'02_Модель'!AX39+'02_Модель'!AX40+'02_Модель'!AX41+'19_Расчет_аналитики'!AX3772+'19_Расчет_аналитики'!AX3662),0)</f>
        <v/>
      </c>
      <c r="AZ3789">
        <f>IF('01_Вводные'!$B$234="Да",'01_Вводные'!$B$21*('19_Расчет_аналитики'!AZ3767+'02_Модель'!AZ38+'02_Модель'!AZ39+'02_Модель'!AZ40+'02_Модель'!AZ41+'19_Расчет_аналитики'!AZ3772+'19_Расчет_аналитики'!AZ3662)+(1-'01_Вводные'!$B$21)*('19_Расчет_аналитики'!AY3767+'02_Модель'!AY38+'02_Модель'!AY39+'02_Модель'!AY40+'02_Модель'!AY41+'19_Расчет_аналитики'!AY3772+'19_Расчет_аналитики'!AY3662),0)</f>
        <v/>
      </c>
      <c r="BA3789">
        <f>IF('01_Вводные'!$B$234="Да",'01_Вводные'!$B$21*('19_Расчет_аналитики'!BA3767+'02_Модель'!BA38+'02_Модель'!BA39+'02_Модель'!BA40+'02_Модель'!BA41+'19_Расчет_аналитики'!BA3772+'19_Расчет_аналитики'!BA3662)+(1-'01_Вводные'!$B$21)*('19_Расчет_аналитики'!AZ3767+'02_Модель'!AZ38+'02_Модель'!AZ39+'02_Модель'!AZ40+'02_Модель'!AZ41+'19_Расчет_аналитики'!AZ3772+'19_Расчет_аналитики'!AZ3662),0)</f>
        <v/>
      </c>
      <c r="BB3789">
        <f>IF('01_Вводные'!$B$234="Да",'01_Вводные'!$B$21*('19_Расчет_аналитики'!BB3767+'02_Модель'!BB38+'02_Модель'!BB39+'02_Модель'!BB40+'02_Модель'!BB41+'19_Расчет_аналитики'!BB3772+'19_Расчет_аналитики'!BB3662)+(1-'01_Вводные'!$B$21)*('19_Расчет_аналитики'!BA3767+'02_Модель'!BA38+'02_Модель'!BA39+'02_Модель'!BA40+'02_Модель'!BA41+'19_Расчет_аналитики'!BA3772+'19_Расчет_аналитики'!BA3662),0)</f>
        <v/>
      </c>
      <c r="BC3789">
        <f>IF('01_Вводные'!$B$234="Да",'01_Вводные'!$B$21*('19_Расчет_аналитики'!BC3767+'02_Модель'!BC38+'02_Модель'!BC39+'02_Модель'!BC40+'02_Модель'!BC41+'19_Расчет_аналитики'!BC3772+'19_Расчет_аналитики'!BC3662)+(1-'01_Вводные'!$B$21)*('19_Расчет_аналитики'!BB3767+'02_Модель'!BB38+'02_Модель'!BB39+'02_Модель'!BB40+'02_Модель'!BB41+'19_Расчет_аналитики'!BB3772+'19_Расчет_аналитики'!BB3662),0)</f>
        <v/>
      </c>
      <c r="BD3789">
        <f>IF('01_Вводные'!$B$234="Да",'01_Вводные'!$B$21*('19_Расчет_аналитики'!BD3767+'02_Модель'!BD38+'02_Модель'!BD39+'02_Модель'!BD40+'02_Модель'!BD41+'19_Расчет_аналитики'!BD3772+'19_Расчет_аналитики'!BD3662)+(1-'01_Вводные'!$B$21)*('19_Расчет_аналитики'!BC3767+'02_Модель'!BC38+'02_Модель'!BC39+'02_Модель'!BC40+'02_Модель'!BC41+'19_Расчет_аналитики'!BC3772+'19_Расчет_аналитики'!BC3662),0)</f>
        <v/>
      </c>
      <c r="BE3789">
        <f>IF('01_Вводные'!$B$234="Да",'01_Вводные'!$B$21*('19_Расчет_аналитики'!BE3767+'02_Модель'!BE38+'02_Модель'!BE39+'02_Модель'!BE40+'02_Модель'!BE41+'19_Расчет_аналитики'!BE3772+'19_Расчет_аналитики'!BE3662)+(1-'01_Вводные'!$B$21)*('19_Расчет_аналитики'!BD3767+'02_Модель'!BD38+'02_Модель'!BD39+'02_Модель'!BD40+'02_Модель'!BD41+'19_Расчет_аналитики'!BD3772+'19_Расчет_аналитики'!BD3662),0)</f>
        <v/>
      </c>
      <c r="BF3789">
        <f>IF('01_Вводные'!$B$234="Да",'01_Вводные'!$B$21*('19_Расчет_аналитики'!BF3767+'02_Модель'!BF38+'02_Модель'!BF39+'02_Модель'!BF40+'02_Модель'!BF41+'19_Расчет_аналитики'!BF3772+'19_Расчет_аналитики'!BF3662)+(1-'01_Вводные'!$B$21)*('19_Расчет_аналитики'!BE3767+'02_Модель'!BE38+'02_Модель'!BE39+'02_Модель'!BE40+'02_Модель'!BE41+'19_Расчет_аналитики'!BE3772+'19_Расчет_аналитики'!BE3662),0)</f>
        <v/>
      </c>
      <c r="BG3789">
        <f>IF('01_Вводные'!$B$234="Да",'01_Вводные'!$B$21*('19_Расчет_аналитики'!BG3767+'02_Модель'!BG38+'02_Модель'!BG39+'02_Модель'!BG40+'02_Модель'!BG41+'19_Расчет_аналитики'!BG3772+'19_Расчет_аналитики'!BG3662)+(1-'01_Вводные'!$B$21)*('19_Расчет_аналитики'!BF3767+'02_Модель'!BF38+'02_Модель'!BF39+'02_Модель'!BF40+'02_Модель'!BF41+'19_Расчет_аналитики'!BF3772+'19_Расчет_аналитики'!BF3662),0)</f>
        <v/>
      </c>
      <c r="BH3789">
        <f>IF('01_Вводные'!$B$234="Да",'01_Вводные'!$B$21*('19_Расчет_аналитики'!BH3767+'02_Модель'!BH38+'02_Модель'!BH39+'02_Модель'!BH40+'02_Модель'!BH41+'19_Расчет_аналитики'!BH3772+'19_Расчет_аналитики'!BH3662)+(1-'01_Вводные'!$B$21)*('19_Расчет_аналитики'!BG3767+'02_Модель'!BG38+'02_Модель'!BG39+'02_Модель'!BG40+'02_Модель'!BG41+'19_Расчет_аналитики'!BG3772+'19_Расчет_аналитики'!BG3662),0)</f>
        <v/>
      </c>
      <c r="BI3789">
        <f>IF('01_Вводные'!$B$234="Да",'01_Вводные'!$B$21*('19_Расчет_аналитики'!BI3767+'02_Модель'!BI38+'02_Модель'!BI39+'02_Модель'!BI40+'02_Модель'!BI41+'19_Расчет_аналитики'!BI3772+'19_Расчет_аналитики'!BI3662)+(1-'01_Вводные'!$B$21)*('19_Расчет_аналитики'!BH3767+'02_Модель'!BH38+'02_Модель'!BH39+'02_Модель'!BH40+'02_Модель'!BH41+'19_Расчет_аналитики'!BH3772+'19_Расчет_аналитики'!BH3662),0)</f>
        <v/>
      </c>
    </row>
    <row r="3790">
      <c r="B3790">
        <f>'02_Модель'!B60</f>
        <v/>
      </c>
      <c r="C3790">
        <f>IF('01_Вводные'!$B$234="Да",'19_Расчет_аналитики'!C3766,0)</f>
        <v/>
      </c>
      <c r="D3790">
        <f>IF('01_Вводные'!$B$234="Да",'19_Расчет_аналитики'!D3766,0)</f>
        <v/>
      </c>
      <c r="E3790">
        <f>IF('01_Вводные'!$B$234="Да",'19_Расчет_аналитики'!E3766,0)</f>
        <v/>
      </c>
      <c r="F3790">
        <f>IF('01_Вводные'!$B$234="Да",'19_Расчет_аналитики'!F3766,0)</f>
        <v/>
      </c>
      <c r="G3790">
        <f>IF('01_Вводные'!$B$234="Да",'19_Расчет_аналитики'!G3766,0)</f>
        <v/>
      </c>
      <c r="H3790">
        <f>IF('01_Вводные'!$B$234="Да",'19_Расчет_аналитики'!H3766,0)</f>
        <v/>
      </c>
      <c r="I3790">
        <f>IF('01_Вводные'!$B$234="Да",'19_Расчет_аналитики'!I3766,0)</f>
        <v/>
      </c>
      <c r="J3790">
        <f>IF('01_Вводные'!$B$234="Да",'19_Расчет_аналитики'!J3766,0)</f>
        <v/>
      </c>
      <c r="K3790">
        <f>IF('01_Вводные'!$B$234="Да",'19_Расчет_аналитики'!K3766,0)</f>
        <v/>
      </c>
      <c r="L3790">
        <f>IF('01_Вводные'!$B$234="Да",'19_Расчет_аналитики'!L3766,0)</f>
        <v/>
      </c>
      <c r="M3790">
        <f>IF('01_Вводные'!$B$234="Да",'19_Расчет_аналитики'!M3766,0)</f>
        <v/>
      </c>
      <c r="N3790">
        <f>IF('01_Вводные'!$B$234="Да",'19_Расчет_аналитики'!N3766,0)</f>
        <v/>
      </c>
      <c r="O3790">
        <f>IF('01_Вводные'!$B$234="Да",'19_Расчет_аналитики'!O3766,0)</f>
        <v/>
      </c>
      <c r="P3790">
        <f>IF('01_Вводные'!$B$234="Да",'19_Расчет_аналитики'!P3766,0)</f>
        <v/>
      </c>
      <c r="Q3790">
        <f>IF('01_Вводные'!$B$234="Да",'19_Расчет_аналитики'!Q3766,0)</f>
        <v/>
      </c>
      <c r="R3790">
        <f>IF('01_Вводные'!$B$234="Да",'19_Расчет_аналитики'!R3766,0)</f>
        <v/>
      </c>
      <c r="S3790">
        <f>IF('01_Вводные'!$B$234="Да",'19_Расчет_аналитики'!S3766,0)</f>
        <v/>
      </c>
      <c r="T3790">
        <f>IF('01_Вводные'!$B$234="Да",'19_Расчет_аналитики'!T3766,0)</f>
        <v/>
      </c>
      <c r="U3790">
        <f>IF('01_Вводные'!$B$234="Да",'19_Расчет_аналитики'!U3766,0)</f>
        <v/>
      </c>
      <c r="V3790">
        <f>IF('01_Вводные'!$B$234="Да",'19_Расчет_аналитики'!V3766,0)</f>
        <v/>
      </c>
      <c r="W3790">
        <f>IF('01_Вводные'!$B$234="Да",'19_Расчет_аналитики'!W3766,0)</f>
        <v/>
      </c>
      <c r="X3790">
        <f>IF('01_Вводные'!$B$234="Да",'19_Расчет_аналитики'!X3766,0)</f>
        <v/>
      </c>
      <c r="Y3790">
        <f>IF('01_Вводные'!$B$234="Да",'19_Расчет_аналитики'!Y3766,0)</f>
        <v/>
      </c>
      <c r="Z3790">
        <f>IF('01_Вводные'!$B$234="Да",'19_Расчет_аналитики'!Z3766,0)</f>
        <v/>
      </c>
      <c r="AA3790">
        <f>IF('01_Вводные'!$B$234="Да",'19_Расчет_аналитики'!AA3766,0)</f>
        <v/>
      </c>
      <c r="AB3790">
        <f>IF('01_Вводные'!$B$234="Да",'19_Расчет_аналитики'!AB3766,0)</f>
        <v/>
      </c>
      <c r="AC3790">
        <f>IF('01_Вводные'!$B$234="Да",'19_Расчет_аналитики'!AC3766,0)</f>
        <v/>
      </c>
      <c r="AD3790">
        <f>IF('01_Вводные'!$B$234="Да",'19_Расчет_аналитики'!AD3766,0)</f>
        <v/>
      </c>
      <c r="AE3790">
        <f>IF('01_Вводные'!$B$234="Да",'19_Расчет_аналитики'!AE3766,0)</f>
        <v/>
      </c>
      <c r="AF3790">
        <f>IF('01_Вводные'!$B$234="Да",'19_Расчет_аналитики'!AF3766,0)</f>
        <v/>
      </c>
      <c r="AG3790">
        <f>IF('01_Вводные'!$B$234="Да",'19_Расчет_аналитики'!AG3766,0)</f>
        <v/>
      </c>
      <c r="AH3790">
        <f>IF('01_Вводные'!$B$234="Да",'19_Расчет_аналитики'!AH3766,0)</f>
        <v/>
      </c>
      <c r="AI3790">
        <f>IF('01_Вводные'!$B$234="Да",'19_Расчет_аналитики'!AI3766,0)</f>
        <v/>
      </c>
      <c r="AJ3790">
        <f>IF('01_Вводные'!$B$234="Да",'19_Расчет_аналитики'!AJ3766,0)</f>
        <v/>
      </c>
      <c r="AK3790">
        <f>IF('01_Вводные'!$B$234="Да",'19_Расчет_аналитики'!AK3766,0)</f>
        <v/>
      </c>
      <c r="AL3790">
        <f>IF('01_Вводные'!$B$234="Да",'19_Расчет_аналитики'!AL3766,0)</f>
        <v/>
      </c>
      <c r="AM3790">
        <f>IF('01_Вводные'!$B$234="Да",'19_Расчет_аналитики'!AM3766,0)</f>
        <v/>
      </c>
      <c r="AN3790">
        <f>IF('01_Вводные'!$B$234="Да",'19_Расчет_аналитики'!AN3766,0)</f>
        <v/>
      </c>
      <c r="AO3790">
        <f>IF('01_Вводные'!$B$234="Да",'19_Расчет_аналитики'!AO3766,0)</f>
        <v/>
      </c>
      <c r="AP3790">
        <f>IF('01_Вводные'!$B$234="Да",'19_Расчет_аналитики'!AP3766,0)</f>
        <v/>
      </c>
      <c r="AQ3790">
        <f>IF('01_Вводные'!$B$234="Да",'19_Расчет_аналитики'!AQ3766,0)</f>
        <v/>
      </c>
      <c r="AR3790">
        <f>IF('01_Вводные'!$B$234="Да",'19_Расчет_аналитики'!AR3766,0)</f>
        <v/>
      </c>
      <c r="AS3790">
        <f>IF('01_Вводные'!$B$234="Да",'19_Расчет_аналитики'!AS3766,0)</f>
        <v/>
      </c>
      <c r="AT3790">
        <f>IF('01_Вводные'!$B$234="Да",'19_Расчет_аналитики'!AT3766,0)</f>
        <v/>
      </c>
      <c r="AU3790">
        <f>IF('01_Вводные'!$B$234="Да",'19_Расчет_аналитики'!AU3766,0)</f>
        <v/>
      </c>
      <c r="AV3790">
        <f>IF('01_Вводные'!$B$234="Да",'19_Расчет_аналитики'!AV3766,0)</f>
        <v/>
      </c>
      <c r="AW3790">
        <f>IF('01_Вводные'!$B$234="Да",'19_Расчет_аналитики'!AW3766,0)</f>
        <v/>
      </c>
      <c r="AX3790">
        <f>IF('01_Вводные'!$B$234="Да",'19_Расчет_аналитики'!AX3766,0)</f>
        <v/>
      </c>
      <c r="AY3790">
        <f>IF('01_Вводные'!$B$234="Да",'19_Расчет_аналитики'!AY3766,0)</f>
        <v/>
      </c>
      <c r="AZ3790">
        <f>IF('01_Вводные'!$B$234="Да",'19_Расчет_аналитики'!AZ3766,0)</f>
        <v/>
      </c>
      <c r="BA3790">
        <f>IF('01_Вводные'!$B$234="Да",'19_Расчет_аналитики'!BA3766,0)</f>
        <v/>
      </c>
      <c r="BB3790">
        <f>IF('01_Вводные'!$B$234="Да",'19_Расчет_аналитики'!BB3766,0)</f>
        <v/>
      </c>
      <c r="BC3790">
        <f>IF('01_Вводные'!$B$234="Да",'19_Расчет_аналитики'!BC3766,0)</f>
        <v/>
      </c>
      <c r="BD3790">
        <f>IF('01_Вводные'!$B$234="Да",'19_Расчет_аналитики'!BD3766,0)</f>
        <v/>
      </c>
      <c r="BE3790">
        <f>IF('01_Вводные'!$B$234="Да",'19_Расчет_аналитики'!BE3766,0)</f>
        <v/>
      </c>
      <c r="BF3790">
        <f>IF('01_Вводные'!$B$234="Да",'19_Расчет_аналитики'!BF3766,0)</f>
        <v/>
      </c>
      <c r="BG3790">
        <f>IF('01_Вводные'!$B$234="Да",'19_Расчет_аналитики'!BG3766,0)</f>
        <v/>
      </c>
      <c r="BH3790">
        <f>IF('01_Вводные'!$B$234="Да",'19_Расчет_аналитики'!BH3766,0)</f>
        <v/>
      </c>
      <c r="BI3790">
        <f>IF('01_Вводные'!$B$234="Да",'19_Расчет_аналитики'!BI3766,0)</f>
        <v/>
      </c>
    </row>
    <row r="3791">
      <c r="B3791">
        <f>IF('01_Вводные'!$B$234="Да",'02_Модель'!B29+('19_Расчет_аналитики'!B3783/(1+'01_Вводные'!$B$58))*'01_Вводные'!$B$60+'19_Расчет_аналитики'!B3758,0)</f>
        <v/>
      </c>
      <c r="C3791">
        <f>IF('01_Вводные'!$B$234="Да",'19_Расчет_аналитики'!C3759+('19_Расчет_аналитики'!C3783/(1+'01_Вводные'!$B$58))*'01_Вводные'!$B$60+'19_Расчет_аналитики'!C3758,0)</f>
        <v/>
      </c>
      <c r="D3791">
        <f>IF('01_Вводные'!$B$234="Да",'19_Расчет_аналитики'!D3759+('19_Расчет_аналитики'!D3783/(1+'01_Вводные'!$B$58))*'01_Вводные'!$B$60+'19_Расчет_аналитики'!D3758,0)</f>
        <v/>
      </c>
      <c r="E3791">
        <f>IF('01_Вводные'!$B$234="Да",'19_Расчет_аналитики'!E3759+('19_Расчет_аналитики'!E3783/(1+'01_Вводные'!$B$58))*'01_Вводные'!$B$60+'19_Расчет_аналитики'!E3758,0)</f>
        <v/>
      </c>
      <c r="F3791">
        <f>IF('01_Вводные'!$B$234="Да",'19_Расчет_аналитики'!F3759+('19_Расчет_аналитики'!F3783/(1+'01_Вводные'!$B$58))*'01_Вводные'!$B$60+'19_Расчет_аналитики'!F3758,0)</f>
        <v/>
      </c>
      <c r="G3791">
        <f>IF('01_Вводные'!$B$234="Да",'19_Расчет_аналитики'!G3759+('19_Расчет_аналитики'!G3783/(1+'01_Вводные'!$B$58))*'01_Вводные'!$B$60+'19_Расчет_аналитики'!G3758,0)</f>
        <v/>
      </c>
      <c r="H3791">
        <f>IF('01_Вводные'!$B$234="Да",'19_Расчет_аналитики'!H3759+('19_Расчет_аналитики'!H3783/(1+'01_Вводные'!$B$58))*'01_Вводные'!$B$60+'19_Расчет_аналитики'!H3758,0)</f>
        <v/>
      </c>
      <c r="I3791">
        <f>IF('01_Вводные'!$B$234="Да",'19_Расчет_аналитики'!I3759+('19_Расчет_аналитики'!I3783/(1+'01_Вводные'!$B$58))*'01_Вводные'!$B$60+'19_Расчет_аналитики'!I3758,0)</f>
        <v/>
      </c>
      <c r="J3791">
        <f>IF('01_Вводные'!$B$234="Да",'19_Расчет_аналитики'!J3759+('19_Расчет_аналитики'!J3783/(1+'01_Вводные'!$B$58))*'01_Вводные'!$B$60+'19_Расчет_аналитики'!J3758,0)</f>
        <v/>
      </c>
      <c r="K3791">
        <f>IF('01_Вводные'!$B$234="Да",'19_Расчет_аналитики'!K3759+('19_Расчет_аналитики'!K3783/(1+'01_Вводные'!$B$58))*'01_Вводные'!$B$60+'19_Расчет_аналитики'!K3758,0)</f>
        <v/>
      </c>
      <c r="L3791">
        <f>IF('01_Вводные'!$B$234="Да",'19_Расчет_аналитики'!L3759+('19_Расчет_аналитики'!L3783/(1+'01_Вводные'!$B$58))*'01_Вводные'!$B$60+'19_Расчет_аналитики'!L3758,0)</f>
        <v/>
      </c>
      <c r="M3791">
        <f>IF('01_Вводные'!$B$234="Да",'19_Расчет_аналитики'!M3759+('19_Расчет_аналитики'!M3783/(1+'01_Вводные'!$B$58))*'01_Вводные'!$B$60+'19_Расчет_аналитики'!M3758,0)</f>
        <v/>
      </c>
      <c r="N3791">
        <f>IF('01_Вводные'!$B$234="Да",'19_Расчет_аналитики'!N3759+('19_Расчет_аналитики'!N3783/(1+'01_Вводные'!$B$58))*'01_Вводные'!$B$60+'19_Расчет_аналитики'!N3758,0)</f>
        <v/>
      </c>
      <c r="O3791">
        <f>IF('01_Вводные'!$B$234="Да",'19_Расчет_аналитики'!O3759+('19_Расчет_аналитики'!O3783/(1+'01_Вводные'!$B$58))*'01_Вводные'!$B$60+'19_Расчет_аналитики'!O3758,0)</f>
        <v/>
      </c>
      <c r="P3791">
        <f>IF('01_Вводные'!$B$234="Да",'19_Расчет_аналитики'!P3759+('19_Расчет_аналитики'!P3783/(1+'01_Вводные'!$B$58))*'01_Вводные'!$B$60+'19_Расчет_аналитики'!P3758,0)</f>
        <v/>
      </c>
      <c r="Q3791">
        <f>IF('01_Вводные'!$B$234="Да",'19_Расчет_аналитики'!Q3759+('19_Расчет_аналитики'!Q3783/(1+'01_Вводные'!$B$58))*'01_Вводные'!$B$60+'19_Расчет_аналитики'!Q3758,0)</f>
        <v/>
      </c>
      <c r="R3791">
        <f>IF('01_Вводные'!$B$234="Да",'19_Расчет_аналитики'!R3759+('19_Расчет_аналитики'!R3783/(1+'01_Вводные'!$B$58))*'01_Вводные'!$B$60+'19_Расчет_аналитики'!R3758,0)</f>
        <v/>
      </c>
      <c r="S3791">
        <f>IF('01_Вводные'!$B$234="Да",'19_Расчет_аналитики'!S3759+('19_Расчет_аналитики'!S3783/(1+'01_Вводные'!$B$58))*'01_Вводные'!$B$60+'19_Расчет_аналитики'!S3758,0)</f>
        <v/>
      </c>
      <c r="T3791">
        <f>IF('01_Вводные'!$B$234="Да",'19_Расчет_аналитики'!T3759+('19_Расчет_аналитики'!T3783/(1+'01_Вводные'!$B$58))*'01_Вводные'!$B$60+'19_Расчет_аналитики'!T3758,0)</f>
        <v/>
      </c>
      <c r="U3791">
        <f>IF('01_Вводные'!$B$234="Да",'19_Расчет_аналитики'!U3759+('19_Расчет_аналитики'!U3783/(1+'01_Вводные'!$B$58))*'01_Вводные'!$B$60+'19_Расчет_аналитики'!U3758,0)</f>
        <v/>
      </c>
      <c r="V3791">
        <f>IF('01_Вводные'!$B$234="Да",'19_Расчет_аналитики'!V3759+('19_Расчет_аналитики'!V3783/(1+'01_Вводные'!$B$58))*'01_Вводные'!$B$60+'19_Расчет_аналитики'!V3758,0)</f>
        <v/>
      </c>
      <c r="W3791">
        <f>IF('01_Вводные'!$B$234="Да",'19_Расчет_аналитики'!W3759+('19_Расчет_аналитики'!W3783/(1+'01_Вводные'!$B$58))*'01_Вводные'!$B$60+'19_Расчет_аналитики'!W3758,0)</f>
        <v/>
      </c>
      <c r="X3791">
        <f>IF('01_Вводные'!$B$234="Да",'19_Расчет_аналитики'!X3759+('19_Расчет_аналитики'!X3783/(1+'01_Вводные'!$B$58))*'01_Вводные'!$B$60+'19_Расчет_аналитики'!X3758,0)</f>
        <v/>
      </c>
      <c r="Y3791">
        <f>IF('01_Вводные'!$B$234="Да",'19_Расчет_аналитики'!Y3759+('19_Расчет_аналитики'!Y3783/(1+'01_Вводные'!$B$58))*'01_Вводные'!$B$60+'19_Расчет_аналитики'!Y3758,0)</f>
        <v/>
      </c>
      <c r="Z3791">
        <f>IF('01_Вводные'!$B$234="Да",'19_Расчет_аналитики'!Z3759+('19_Расчет_аналитики'!Z3783/(1+'01_Вводные'!$B$58))*'01_Вводные'!$B$60+'19_Расчет_аналитики'!Z3758,0)</f>
        <v/>
      </c>
      <c r="AA3791">
        <f>IF('01_Вводные'!$B$234="Да",'19_Расчет_аналитики'!AA3759+('19_Расчет_аналитики'!AA3783/(1+'01_Вводные'!$B$58))*'01_Вводные'!$B$60+'19_Расчет_аналитики'!AA3758,0)</f>
        <v/>
      </c>
      <c r="AB3791">
        <f>IF('01_Вводные'!$B$234="Да",'19_Расчет_аналитики'!AB3759+('19_Расчет_аналитики'!AB3783/(1+'01_Вводные'!$B$58))*'01_Вводные'!$B$60+'19_Расчет_аналитики'!AB3758,0)</f>
        <v/>
      </c>
      <c r="AC3791">
        <f>IF('01_Вводные'!$B$234="Да",'19_Расчет_аналитики'!AC3759+('19_Расчет_аналитики'!AC3783/(1+'01_Вводные'!$B$58))*'01_Вводные'!$B$60+'19_Расчет_аналитики'!AC3758,0)</f>
        <v/>
      </c>
      <c r="AD3791">
        <f>IF('01_Вводные'!$B$234="Да",'19_Расчет_аналитики'!AD3759+('19_Расчет_аналитики'!AD3783/(1+'01_Вводные'!$B$58))*'01_Вводные'!$B$60+'19_Расчет_аналитики'!AD3758,0)</f>
        <v/>
      </c>
      <c r="AE3791">
        <f>IF('01_Вводные'!$B$234="Да",'19_Расчет_аналитики'!AE3759+('19_Расчет_аналитики'!AE3783/(1+'01_Вводные'!$B$58))*'01_Вводные'!$B$60+'19_Расчет_аналитики'!AE3758,0)</f>
        <v/>
      </c>
      <c r="AF3791">
        <f>IF('01_Вводные'!$B$234="Да",'19_Расчет_аналитики'!AF3759+('19_Расчет_аналитики'!AF3783/(1+'01_Вводные'!$B$58))*'01_Вводные'!$B$60+'19_Расчет_аналитики'!AF3758,0)</f>
        <v/>
      </c>
      <c r="AG3791">
        <f>IF('01_Вводные'!$B$234="Да",'19_Расчет_аналитики'!AG3759+('19_Расчет_аналитики'!AG3783/(1+'01_Вводные'!$B$58))*'01_Вводные'!$B$60+'19_Расчет_аналитики'!AG3758,0)</f>
        <v/>
      </c>
      <c r="AH3791">
        <f>IF('01_Вводные'!$B$234="Да",'19_Расчет_аналитики'!AH3759+('19_Расчет_аналитики'!AH3783/(1+'01_Вводные'!$B$58))*'01_Вводные'!$B$60+'19_Расчет_аналитики'!AH3758,0)</f>
        <v/>
      </c>
      <c r="AI3791">
        <f>IF('01_Вводные'!$B$234="Да",'19_Расчет_аналитики'!AI3759+('19_Расчет_аналитики'!AI3783/(1+'01_Вводные'!$B$58))*'01_Вводные'!$B$60+'19_Расчет_аналитики'!AI3758,0)</f>
        <v/>
      </c>
      <c r="AJ3791">
        <f>IF('01_Вводные'!$B$234="Да",'19_Расчет_аналитики'!AJ3759+('19_Расчет_аналитики'!AJ3783/(1+'01_Вводные'!$B$58))*'01_Вводные'!$B$60+'19_Расчет_аналитики'!AJ3758,0)</f>
        <v/>
      </c>
      <c r="AK3791">
        <f>IF('01_Вводные'!$B$234="Да",'19_Расчет_аналитики'!AK3759+('19_Расчет_аналитики'!AK3783/(1+'01_Вводные'!$B$58))*'01_Вводные'!$B$60+'19_Расчет_аналитики'!AK3758,0)</f>
        <v/>
      </c>
      <c r="AL3791">
        <f>IF('01_Вводные'!$B$234="Да",'19_Расчет_аналитики'!AL3759+('19_Расчет_аналитики'!AL3783/(1+'01_Вводные'!$B$58))*'01_Вводные'!$B$60+'19_Расчет_аналитики'!AL3758,0)</f>
        <v/>
      </c>
      <c r="AM3791">
        <f>IF('01_Вводные'!$B$234="Да",'19_Расчет_аналитики'!AM3759+('19_Расчет_аналитики'!AM3783/(1+'01_Вводные'!$B$58))*'01_Вводные'!$B$60+'19_Расчет_аналитики'!AM3758,0)</f>
        <v/>
      </c>
      <c r="AN3791">
        <f>IF('01_Вводные'!$B$234="Да",'19_Расчет_аналитики'!AN3759+('19_Расчет_аналитики'!AN3783/(1+'01_Вводные'!$B$58))*'01_Вводные'!$B$60+'19_Расчет_аналитики'!AN3758,0)</f>
        <v/>
      </c>
      <c r="AO3791">
        <f>IF('01_Вводные'!$B$234="Да",'19_Расчет_аналитики'!AO3759+('19_Расчет_аналитики'!AO3783/(1+'01_Вводные'!$B$58))*'01_Вводные'!$B$60+'19_Расчет_аналитики'!AO3758,0)</f>
        <v/>
      </c>
      <c r="AP3791">
        <f>IF('01_Вводные'!$B$234="Да",'19_Расчет_аналитики'!AP3759+('19_Расчет_аналитики'!AP3783/(1+'01_Вводные'!$B$58))*'01_Вводные'!$B$60+'19_Расчет_аналитики'!AP3758,0)</f>
        <v/>
      </c>
      <c r="AQ3791">
        <f>IF('01_Вводные'!$B$234="Да",'19_Расчет_аналитики'!AQ3759+('19_Расчет_аналитики'!AQ3783/(1+'01_Вводные'!$B$58))*'01_Вводные'!$B$60+'19_Расчет_аналитики'!AQ3758,0)</f>
        <v/>
      </c>
      <c r="AR3791">
        <f>IF('01_Вводные'!$B$234="Да",'19_Расчет_аналитики'!AR3759+('19_Расчет_аналитики'!AR3783/(1+'01_Вводные'!$B$58))*'01_Вводные'!$B$60+'19_Расчет_аналитики'!AR3758,0)</f>
        <v/>
      </c>
      <c r="AS3791">
        <f>IF('01_Вводные'!$B$234="Да",'19_Расчет_аналитики'!AS3759+('19_Расчет_аналитики'!AS3783/(1+'01_Вводные'!$B$58))*'01_Вводные'!$B$60+'19_Расчет_аналитики'!AS3758,0)</f>
        <v/>
      </c>
      <c r="AT3791">
        <f>IF('01_Вводные'!$B$234="Да",'19_Расчет_аналитики'!AT3759+('19_Расчет_аналитики'!AT3783/(1+'01_Вводные'!$B$58))*'01_Вводные'!$B$60+'19_Расчет_аналитики'!AT3758,0)</f>
        <v/>
      </c>
      <c r="AU3791">
        <f>IF('01_Вводные'!$B$234="Да",'19_Расчет_аналитики'!AU3759+('19_Расчет_аналитики'!AU3783/(1+'01_Вводные'!$B$58))*'01_Вводные'!$B$60+'19_Расчет_аналитики'!AU3758,0)</f>
        <v/>
      </c>
      <c r="AV3791">
        <f>IF('01_Вводные'!$B$234="Да",'19_Расчет_аналитики'!AV3759+('19_Расчет_аналитики'!AV3783/(1+'01_Вводные'!$B$58))*'01_Вводные'!$B$60+'19_Расчет_аналитики'!AV3758,0)</f>
        <v/>
      </c>
      <c r="AW3791">
        <f>IF('01_Вводные'!$B$234="Да",'19_Расчет_аналитики'!AW3759+('19_Расчет_аналитики'!AW3783/(1+'01_Вводные'!$B$58))*'01_Вводные'!$B$60+'19_Расчет_аналитики'!AW3758,0)</f>
        <v/>
      </c>
      <c r="AX3791">
        <f>IF('01_Вводные'!$B$234="Да",'19_Расчет_аналитики'!AX3759+('19_Расчет_аналитики'!AX3783/(1+'01_Вводные'!$B$58))*'01_Вводные'!$B$60+'19_Расчет_аналитики'!AX3758,0)</f>
        <v/>
      </c>
      <c r="AY3791">
        <f>IF('01_Вводные'!$B$234="Да",'19_Расчет_аналитики'!AY3759+('19_Расчет_аналитики'!AY3783/(1+'01_Вводные'!$B$58))*'01_Вводные'!$B$60+'19_Расчет_аналитики'!AY3758,0)</f>
        <v/>
      </c>
      <c r="AZ3791">
        <f>IF('01_Вводные'!$B$234="Да",'19_Расчет_аналитики'!AZ3759+('19_Расчет_аналитики'!AZ3783/(1+'01_Вводные'!$B$58))*'01_Вводные'!$B$60+'19_Расчет_аналитики'!AZ3758,0)</f>
        <v/>
      </c>
      <c r="BA3791">
        <f>IF('01_Вводные'!$B$234="Да",'19_Расчет_аналитики'!BA3759+('19_Расчет_аналитики'!BA3783/(1+'01_Вводные'!$B$58))*'01_Вводные'!$B$60+'19_Расчет_аналитики'!BA3758,0)</f>
        <v/>
      </c>
      <c r="BB3791">
        <f>IF('01_Вводные'!$B$234="Да",'19_Расчет_аналитики'!BB3759+('19_Расчет_аналитики'!BB3783/(1+'01_Вводные'!$B$58))*'01_Вводные'!$B$60+'19_Расчет_аналитики'!BB3758,0)</f>
        <v/>
      </c>
      <c r="BC3791">
        <f>IF('01_Вводные'!$B$234="Да",'19_Расчет_аналитики'!BC3759+('19_Расчет_аналитики'!BC3783/(1+'01_Вводные'!$B$58))*'01_Вводные'!$B$60+'19_Расчет_аналитики'!BC3758,0)</f>
        <v/>
      </c>
      <c r="BD3791">
        <f>IF('01_Вводные'!$B$234="Да",'19_Расчет_аналитики'!BD3759+('19_Расчет_аналитики'!BD3783/(1+'01_Вводные'!$B$58))*'01_Вводные'!$B$60+'19_Расчет_аналитики'!BD3758,0)</f>
        <v/>
      </c>
      <c r="BE3791">
        <f>IF('01_Вводные'!$B$234="Да",'19_Расчет_аналитики'!BE3759+('19_Расчет_аналитики'!BE3783/(1+'01_Вводные'!$B$58))*'01_Вводные'!$B$60+'19_Расчет_аналитики'!BE3758,0)</f>
        <v/>
      </c>
      <c r="BF3791">
        <f>IF('01_Вводные'!$B$234="Да",'19_Расчет_аналитики'!BF3759+('19_Расчет_аналитики'!BF3783/(1+'01_Вводные'!$B$58))*'01_Вводные'!$B$60+'19_Расчет_аналитики'!BF3758,0)</f>
        <v/>
      </c>
      <c r="BG3791">
        <f>IF('01_Вводные'!$B$234="Да",'19_Расчет_аналитики'!BG3759+('19_Расчет_аналитики'!BG3783/(1+'01_Вводные'!$B$58))*'01_Вводные'!$B$60+'19_Расчет_аналитики'!BG3758,0)</f>
        <v/>
      </c>
      <c r="BH3791">
        <f>IF('01_Вводные'!$B$234="Да",'19_Расчет_аналитики'!BH3759+('19_Расчет_аналитики'!BH3783/(1+'01_Вводные'!$B$58))*'01_Вводные'!$B$60+'19_Расчет_аналитики'!BH3758,0)</f>
        <v/>
      </c>
      <c r="BI3791">
        <f>IF('01_Вводные'!$B$234="Да",'19_Расчет_аналитики'!BI3759+('19_Расчет_аналитики'!BI3783/(1+'01_Вводные'!$B$58))*'01_Вводные'!$B$60+'19_Расчет_аналитики'!BI3758,0)</f>
        <v/>
      </c>
    </row>
    <row r="3792">
      <c r="B3792">
        <f>IF('01_Вводные'!$B$234="Да",('02_Модель'!B52+'19_Расчет_аналитики'!B3783+'19_Расчет_аналитики'!B3784)-('02_Модель'!B52+'19_Расчет_аналитики'!B3783+'19_Расчет_аналитики'!B3784)/(1+'01_Вводные'!$B$58),0)</f>
        <v/>
      </c>
      <c r="C3792">
        <f>IF('01_Вводные'!$B$234="Да",('19_Расчет_аналитики'!C3782+'19_Расчет_аналитики'!C3783+'19_Расчет_аналитики'!C3784)-('19_Расчет_аналитики'!C3782+'19_Расчет_аналитики'!C3783+'19_Расчет_аналитики'!C3784)/(1+'01_Вводные'!$B$58),0)</f>
        <v/>
      </c>
      <c r="D3792">
        <f>IF('01_Вводные'!$B$234="Да",('19_Расчет_аналитики'!D3782+'19_Расчет_аналитики'!D3783+'19_Расчет_аналитики'!D3784)-('19_Расчет_аналитики'!D3782+'19_Расчет_аналитики'!D3783+'19_Расчет_аналитики'!D3784)/(1+'01_Вводные'!$B$58),0)</f>
        <v/>
      </c>
      <c r="E3792">
        <f>IF('01_Вводные'!$B$234="Да",('19_Расчет_аналитики'!E3782+'19_Расчет_аналитики'!E3783+'19_Расчет_аналитики'!E3784)-('19_Расчет_аналитики'!E3782+'19_Расчет_аналитики'!E3783+'19_Расчет_аналитики'!E3784)/(1+'01_Вводные'!$B$58),0)</f>
        <v/>
      </c>
      <c r="F3792">
        <f>IF('01_Вводные'!$B$234="Да",('19_Расчет_аналитики'!F3782+'19_Расчет_аналитики'!F3783+'19_Расчет_аналитики'!F3784)-('19_Расчет_аналитики'!F3782+'19_Расчет_аналитики'!F3783+'19_Расчет_аналитики'!F3784)/(1+'01_Вводные'!$B$58),0)</f>
        <v/>
      </c>
      <c r="G3792">
        <f>IF('01_Вводные'!$B$234="Да",('19_Расчет_аналитики'!G3782+'19_Расчет_аналитики'!G3783+'19_Расчет_аналитики'!G3784)-('19_Расчет_аналитики'!G3782+'19_Расчет_аналитики'!G3783+'19_Расчет_аналитики'!G3784)/(1+'01_Вводные'!$B$58),0)</f>
        <v/>
      </c>
      <c r="H3792">
        <f>IF('01_Вводные'!$B$234="Да",('19_Расчет_аналитики'!H3782+'19_Расчет_аналитики'!H3783+'19_Расчет_аналитики'!H3784)-('19_Расчет_аналитики'!H3782+'19_Расчет_аналитики'!H3783+'19_Расчет_аналитики'!H3784)/(1+'01_Вводные'!$B$58),0)</f>
        <v/>
      </c>
      <c r="I3792">
        <f>IF('01_Вводные'!$B$234="Да",('19_Расчет_аналитики'!I3782+'19_Расчет_аналитики'!I3783+'19_Расчет_аналитики'!I3784)-('19_Расчет_аналитики'!I3782+'19_Расчет_аналитики'!I3783+'19_Расчет_аналитики'!I3784)/(1+'01_Вводные'!$B$58),0)</f>
        <v/>
      </c>
      <c r="J3792">
        <f>IF('01_Вводные'!$B$234="Да",('19_Расчет_аналитики'!J3782+'19_Расчет_аналитики'!J3783+'19_Расчет_аналитики'!J3784)-('19_Расчет_аналитики'!J3782+'19_Расчет_аналитики'!J3783+'19_Расчет_аналитики'!J3784)/(1+'01_Вводные'!$B$58),0)</f>
        <v/>
      </c>
      <c r="K3792">
        <f>IF('01_Вводные'!$B$234="Да",('19_Расчет_аналитики'!K3782+'19_Расчет_аналитики'!K3783+'19_Расчет_аналитики'!K3784)-('19_Расчет_аналитики'!K3782+'19_Расчет_аналитики'!K3783+'19_Расчет_аналитики'!K3784)/(1+'01_Вводные'!$B$58),0)</f>
        <v/>
      </c>
      <c r="L3792">
        <f>IF('01_Вводные'!$B$234="Да",('19_Расчет_аналитики'!L3782+'19_Расчет_аналитики'!L3783+'19_Расчет_аналитики'!L3784)-('19_Расчет_аналитики'!L3782+'19_Расчет_аналитики'!L3783+'19_Расчет_аналитики'!L3784)/(1+'01_Вводные'!$B$58),0)</f>
        <v/>
      </c>
      <c r="M3792">
        <f>IF('01_Вводные'!$B$234="Да",('19_Расчет_аналитики'!M3782+'19_Расчет_аналитики'!M3783+'19_Расчет_аналитики'!M3784)-('19_Расчет_аналитики'!M3782+'19_Расчет_аналитики'!M3783+'19_Расчет_аналитики'!M3784)/(1+'01_Вводные'!$B$58),0)</f>
        <v/>
      </c>
      <c r="N3792">
        <f>IF('01_Вводные'!$B$234="Да",('19_Расчет_аналитики'!N3782+'19_Расчет_аналитики'!N3783+'19_Расчет_аналитики'!N3784)-('19_Расчет_аналитики'!N3782+'19_Расчет_аналитики'!N3783+'19_Расчет_аналитики'!N3784)/(1+'01_Вводные'!$B$58),0)</f>
        <v/>
      </c>
      <c r="O3792">
        <f>IF('01_Вводные'!$B$234="Да",('19_Расчет_аналитики'!O3782+'19_Расчет_аналитики'!O3783+'19_Расчет_аналитики'!O3784)-('19_Расчет_аналитики'!O3782+'19_Расчет_аналитики'!O3783+'19_Расчет_аналитики'!O3784)/(1+'01_Вводные'!$B$58),0)</f>
        <v/>
      </c>
      <c r="P3792">
        <f>IF('01_Вводные'!$B$234="Да",('19_Расчет_аналитики'!P3782+'19_Расчет_аналитики'!P3783+'19_Расчет_аналитики'!P3784)-('19_Расчет_аналитики'!P3782+'19_Расчет_аналитики'!P3783+'19_Расчет_аналитики'!P3784)/(1+'01_Вводные'!$B$58),0)</f>
        <v/>
      </c>
      <c r="Q3792">
        <f>IF('01_Вводные'!$B$234="Да",('19_Расчет_аналитики'!Q3782+'19_Расчет_аналитики'!Q3783+'19_Расчет_аналитики'!Q3784)-('19_Расчет_аналитики'!Q3782+'19_Расчет_аналитики'!Q3783+'19_Расчет_аналитики'!Q3784)/(1+'01_Вводные'!$B$58),0)</f>
        <v/>
      </c>
      <c r="R3792">
        <f>IF('01_Вводные'!$B$234="Да",('19_Расчет_аналитики'!R3782+'19_Расчет_аналитики'!R3783+'19_Расчет_аналитики'!R3784)-('19_Расчет_аналитики'!R3782+'19_Расчет_аналитики'!R3783+'19_Расчет_аналитики'!R3784)/(1+'01_Вводные'!$B$58),0)</f>
        <v/>
      </c>
      <c r="S3792">
        <f>IF('01_Вводные'!$B$234="Да",('19_Расчет_аналитики'!S3782+'19_Расчет_аналитики'!S3783+'19_Расчет_аналитики'!S3784)-('19_Расчет_аналитики'!S3782+'19_Расчет_аналитики'!S3783+'19_Расчет_аналитики'!S3784)/(1+'01_Вводные'!$B$58),0)</f>
        <v/>
      </c>
      <c r="T3792">
        <f>IF('01_Вводные'!$B$234="Да",('19_Расчет_аналитики'!T3782+'19_Расчет_аналитики'!T3783+'19_Расчет_аналитики'!T3784)-('19_Расчет_аналитики'!T3782+'19_Расчет_аналитики'!T3783+'19_Расчет_аналитики'!T3784)/(1+'01_Вводные'!$B$58),0)</f>
        <v/>
      </c>
      <c r="U3792">
        <f>IF('01_Вводные'!$B$234="Да",('19_Расчет_аналитики'!U3782+'19_Расчет_аналитики'!U3783+'19_Расчет_аналитики'!U3784)-('19_Расчет_аналитики'!U3782+'19_Расчет_аналитики'!U3783+'19_Расчет_аналитики'!U3784)/(1+'01_Вводные'!$B$58),0)</f>
        <v/>
      </c>
      <c r="V3792">
        <f>IF('01_Вводные'!$B$234="Да",('19_Расчет_аналитики'!V3782+'19_Расчет_аналитики'!V3783+'19_Расчет_аналитики'!V3784)-('19_Расчет_аналитики'!V3782+'19_Расчет_аналитики'!V3783+'19_Расчет_аналитики'!V3784)/(1+'01_Вводные'!$B$58),0)</f>
        <v/>
      </c>
      <c r="W3792">
        <f>IF('01_Вводные'!$B$234="Да",('19_Расчет_аналитики'!W3782+'19_Расчет_аналитики'!W3783+'19_Расчет_аналитики'!W3784)-('19_Расчет_аналитики'!W3782+'19_Расчет_аналитики'!W3783+'19_Расчет_аналитики'!W3784)/(1+'01_Вводные'!$B$58),0)</f>
        <v/>
      </c>
      <c r="X3792">
        <f>IF('01_Вводные'!$B$234="Да",('19_Расчет_аналитики'!X3782+'19_Расчет_аналитики'!X3783+'19_Расчет_аналитики'!X3784)-('19_Расчет_аналитики'!X3782+'19_Расчет_аналитики'!X3783+'19_Расчет_аналитики'!X3784)/(1+'01_Вводные'!$B$58),0)</f>
        <v/>
      </c>
      <c r="Y3792">
        <f>IF('01_Вводные'!$B$234="Да",('19_Расчет_аналитики'!Y3782+'19_Расчет_аналитики'!Y3783+'19_Расчет_аналитики'!Y3784)-('19_Расчет_аналитики'!Y3782+'19_Расчет_аналитики'!Y3783+'19_Расчет_аналитики'!Y3784)/(1+'01_Вводные'!$B$58),0)</f>
        <v/>
      </c>
      <c r="Z3792">
        <f>IF('01_Вводные'!$B$234="Да",('19_Расчет_аналитики'!Z3782+'19_Расчет_аналитики'!Z3783+'19_Расчет_аналитики'!Z3784)-('19_Расчет_аналитики'!Z3782+'19_Расчет_аналитики'!Z3783+'19_Расчет_аналитики'!Z3784)/(1+'01_Вводные'!$B$58),0)</f>
        <v/>
      </c>
      <c r="AA3792">
        <f>IF('01_Вводные'!$B$234="Да",('19_Расчет_аналитики'!AA3782+'19_Расчет_аналитики'!AA3783+'19_Расчет_аналитики'!AA3784)-('19_Расчет_аналитики'!AA3782+'19_Расчет_аналитики'!AA3783+'19_Расчет_аналитики'!AA3784)/(1+'01_Вводные'!$B$58),0)</f>
        <v/>
      </c>
      <c r="AB3792">
        <f>IF('01_Вводные'!$B$234="Да",('19_Расчет_аналитики'!AB3782+'19_Расчет_аналитики'!AB3783+'19_Расчет_аналитики'!AB3784)-('19_Расчет_аналитики'!AB3782+'19_Расчет_аналитики'!AB3783+'19_Расчет_аналитики'!AB3784)/(1+'01_Вводные'!$B$58),0)</f>
        <v/>
      </c>
      <c r="AC3792">
        <f>IF('01_Вводные'!$B$234="Да",('19_Расчет_аналитики'!AC3782+'19_Расчет_аналитики'!AC3783+'19_Расчет_аналитики'!AC3784)-('19_Расчет_аналитики'!AC3782+'19_Расчет_аналитики'!AC3783+'19_Расчет_аналитики'!AC3784)/(1+'01_Вводные'!$B$58),0)</f>
        <v/>
      </c>
      <c r="AD3792">
        <f>IF('01_Вводные'!$B$234="Да",('19_Расчет_аналитики'!AD3782+'19_Расчет_аналитики'!AD3783+'19_Расчет_аналитики'!AD3784)-('19_Расчет_аналитики'!AD3782+'19_Расчет_аналитики'!AD3783+'19_Расчет_аналитики'!AD3784)/(1+'01_Вводные'!$B$58),0)</f>
        <v/>
      </c>
      <c r="AE3792">
        <f>IF('01_Вводные'!$B$234="Да",('19_Расчет_аналитики'!AE3782+'19_Расчет_аналитики'!AE3783+'19_Расчет_аналитики'!AE3784)-('19_Расчет_аналитики'!AE3782+'19_Расчет_аналитики'!AE3783+'19_Расчет_аналитики'!AE3784)/(1+'01_Вводные'!$B$58),0)</f>
        <v/>
      </c>
      <c r="AF3792">
        <f>IF('01_Вводные'!$B$234="Да",('19_Расчет_аналитики'!AF3782+'19_Расчет_аналитики'!AF3783+'19_Расчет_аналитики'!AF3784)-('19_Расчет_аналитики'!AF3782+'19_Расчет_аналитики'!AF3783+'19_Расчет_аналитики'!AF3784)/(1+'01_Вводные'!$B$58),0)</f>
        <v/>
      </c>
      <c r="AG3792">
        <f>IF('01_Вводные'!$B$234="Да",('19_Расчет_аналитики'!AG3782+'19_Расчет_аналитики'!AG3783+'19_Расчет_аналитики'!AG3784)-('19_Расчет_аналитики'!AG3782+'19_Расчет_аналитики'!AG3783+'19_Расчет_аналитики'!AG3784)/(1+'01_Вводные'!$B$58),0)</f>
        <v/>
      </c>
      <c r="AH3792">
        <f>IF('01_Вводные'!$B$234="Да",('19_Расчет_аналитики'!AH3782+'19_Расчет_аналитики'!AH3783+'19_Расчет_аналитики'!AH3784)-('19_Расчет_аналитики'!AH3782+'19_Расчет_аналитики'!AH3783+'19_Расчет_аналитики'!AH3784)/(1+'01_Вводные'!$B$58),0)</f>
        <v/>
      </c>
      <c r="AI3792">
        <f>IF('01_Вводные'!$B$234="Да",('19_Расчет_аналитики'!AI3782+'19_Расчет_аналитики'!AI3783+'19_Расчет_аналитики'!AI3784)-('19_Расчет_аналитики'!AI3782+'19_Расчет_аналитики'!AI3783+'19_Расчет_аналитики'!AI3784)/(1+'01_Вводные'!$B$58),0)</f>
        <v/>
      </c>
      <c r="AJ3792">
        <f>IF('01_Вводные'!$B$234="Да",('19_Расчет_аналитики'!AJ3782+'19_Расчет_аналитики'!AJ3783+'19_Расчет_аналитики'!AJ3784)-('19_Расчет_аналитики'!AJ3782+'19_Расчет_аналитики'!AJ3783+'19_Расчет_аналитики'!AJ3784)/(1+'01_Вводные'!$B$58),0)</f>
        <v/>
      </c>
      <c r="AK3792">
        <f>IF('01_Вводные'!$B$234="Да",('19_Расчет_аналитики'!AK3782+'19_Расчет_аналитики'!AK3783+'19_Расчет_аналитики'!AK3784)-('19_Расчет_аналитики'!AK3782+'19_Расчет_аналитики'!AK3783+'19_Расчет_аналитики'!AK3784)/(1+'01_Вводные'!$B$58),0)</f>
        <v/>
      </c>
      <c r="AL3792">
        <f>IF('01_Вводные'!$B$234="Да",('19_Расчет_аналитики'!AL3782+'19_Расчет_аналитики'!AL3783+'19_Расчет_аналитики'!AL3784)-('19_Расчет_аналитики'!AL3782+'19_Расчет_аналитики'!AL3783+'19_Расчет_аналитики'!AL3784)/(1+'01_Вводные'!$B$58),0)</f>
        <v/>
      </c>
      <c r="AM3792">
        <f>IF('01_Вводные'!$B$234="Да",('19_Расчет_аналитики'!AM3782+'19_Расчет_аналитики'!AM3783+'19_Расчет_аналитики'!AM3784)-('19_Расчет_аналитики'!AM3782+'19_Расчет_аналитики'!AM3783+'19_Расчет_аналитики'!AM3784)/(1+'01_Вводные'!$B$58),0)</f>
        <v/>
      </c>
      <c r="AN3792">
        <f>IF('01_Вводные'!$B$234="Да",('19_Расчет_аналитики'!AN3782+'19_Расчет_аналитики'!AN3783+'19_Расчет_аналитики'!AN3784)-('19_Расчет_аналитики'!AN3782+'19_Расчет_аналитики'!AN3783+'19_Расчет_аналитики'!AN3784)/(1+'01_Вводные'!$B$58),0)</f>
        <v/>
      </c>
      <c r="AO3792">
        <f>IF('01_Вводные'!$B$234="Да",('19_Расчет_аналитики'!AO3782+'19_Расчет_аналитики'!AO3783+'19_Расчет_аналитики'!AO3784)-('19_Расчет_аналитики'!AO3782+'19_Расчет_аналитики'!AO3783+'19_Расчет_аналитики'!AO3784)/(1+'01_Вводные'!$B$58),0)</f>
        <v/>
      </c>
      <c r="AP3792">
        <f>IF('01_Вводные'!$B$234="Да",('19_Расчет_аналитики'!AP3782+'19_Расчет_аналитики'!AP3783+'19_Расчет_аналитики'!AP3784)-('19_Расчет_аналитики'!AP3782+'19_Расчет_аналитики'!AP3783+'19_Расчет_аналитики'!AP3784)/(1+'01_Вводные'!$B$58),0)</f>
        <v/>
      </c>
      <c r="AQ3792">
        <f>IF('01_Вводные'!$B$234="Да",('19_Расчет_аналитики'!AQ3782+'19_Расчет_аналитики'!AQ3783+'19_Расчет_аналитики'!AQ3784)-('19_Расчет_аналитики'!AQ3782+'19_Расчет_аналитики'!AQ3783+'19_Расчет_аналитики'!AQ3784)/(1+'01_Вводные'!$B$58),0)</f>
        <v/>
      </c>
      <c r="AR3792">
        <f>IF('01_Вводные'!$B$234="Да",('19_Расчет_аналитики'!AR3782+'19_Расчет_аналитики'!AR3783+'19_Расчет_аналитики'!AR3784)-('19_Расчет_аналитики'!AR3782+'19_Расчет_аналитики'!AR3783+'19_Расчет_аналитики'!AR3784)/(1+'01_Вводные'!$B$58),0)</f>
        <v/>
      </c>
      <c r="AS3792">
        <f>IF('01_Вводные'!$B$234="Да",('19_Расчет_аналитики'!AS3782+'19_Расчет_аналитики'!AS3783+'19_Расчет_аналитики'!AS3784)-('19_Расчет_аналитики'!AS3782+'19_Расчет_аналитики'!AS3783+'19_Расчет_аналитики'!AS3784)/(1+'01_Вводные'!$B$58),0)</f>
        <v/>
      </c>
      <c r="AT3792">
        <f>IF('01_Вводные'!$B$234="Да",('19_Расчет_аналитики'!AT3782+'19_Расчет_аналитики'!AT3783+'19_Расчет_аналитики'!AT3784)-('19_Расчет_аналитики'!AT3782+'19_Расчет_аналитики'!AT3783+'19_Расчет_аналитики'!AT3784)/(1+'01_Вводные'!$B$58),0)</f>
        <v/>
      </c>
      <c r="AU3792">
        <f>IF('01_Вводные'!$B$234="Да",('19_Расчет_аналитики'!AU3782+'19_Расчет_аналитики'!AU3783+'19_Расчет_аналитики'!AU3784)-('19_Расчет_аналитики'!AU3782+'19_Расчет_аналитики'!AU3783+'19_Расчет_аналитики'!AU3784)/(1+'01_Вводные'!$B$58),0)</f>
        <v/>
      </c>
      <c r="AV3792">
        <f>IF('01_Вводные'!$B$234="Да",('19_Расчет_аналитики'!AV3782+'19_Расчет_аналитики'!AV3783+'19_Расчет_аналитики'!AV3784)-('19_Расчет_аналитики'!AV3782+'19_Расчет_аналитики'!AV3783+'19_Расчет_аналитики'!AV3784)/(1+'01_Вводные'!$B$58),0)</f>
        <v/>
      </c>
      <c r="AW3792">
        <f>IF('01_Вводные'!$B$234="Да",('19_Расчет_аналитики'!AW3782+'19_Расчет_аналитики'!AW3783+'19_Расчет_аналитики'!AW3784)-('19_Расчет_аналитики'!AW3782+'19_Расчет_аналитики'!AW3783+'19_Расчет_аналитики'!AW3784)/(1+'01_Вводные'!$B$58),0)</f>
        <v/>
      </c>
      <c r="AX3792">
        <f>IF('01_Вводные'!$B$234="Да",('19_Расчет_аналитики'!AX3782+'19_Расчет_аналитики'!AX3783+'19_Расчет_аналитики'!AX3784)-('19_Расчет_аналитики'!AX3782+'19_Расчет_аналитики'!AX3783+'19_Расчет_аналитики'!AX3784)/(1+'01_Вводные'!$B$58),0)</f>
        <v/>
      </c>
      <c r="AY3792">
        <f>IF('01_Вводные'!$B$234="Да",('19_Расчет_аналитики'!AY3782+'19_Расчет_аналитики'!AY3783+'19_Расчет_аналитики'!AY3784)-('19_Расчет_аналитики'!AY3782+'19_Расчет_аналитики'!AY3783+'19_Расчет_аналитики'!AY3784)/(1+'01_Вводные'!$B$58),0)</f>
        <v/>
      </c>
      <c r="AZ3792">
        <f>IF('01_Вводные'!$B$234="Да",('19_Расчет_аналитики'!AZ3782+'19_Расчет_аналитики'!AZ3783+'19_Расчет_аналитики'!AZ3784)-('19_Расчет_аналитики'!AZ3782+'19_Расчет_аналитики'!AZ3783+'19_Расчет_аналитики'!AZ3784)/(1+'01_Вводные'!$B$58),0)</f>
        <v/>
      </c>
      <c r="BA3792">
        <f>IF('01_Вводные'!$B$234="Да",('19_Расчет_аналитики'!BA3782+'19_Расчет_аналитики'!BA3783+'19_Расчет_аналитики'!BA3784)-('19_Расчет_аналитики'!BA3782+'19_Расчет_аналитики'!BA3783+'19_Расчет_аналитики'!BA3784)/(1+'01_Вводные'!$B$58),0)</f>
        <v/>
      </c>
      <c r="BB3792">
        <f>IF('01_Вводные'!$B$234="Да",('19_Расчет_аналитики'!BB3782+'19_Расчет_аналитики'!BB3783+'19_Расчет_аналитики'!BB3784)-('19_Расчет_аналитики'!BB3782+'19_Расчет_аналитики'!BB3783+'19_Расчет_аналитики'!BB3784)/(1+'01_Вводные'!$B$58),0)</f>
        <v/>
      </c>
      <c r="BC3792">
        <f>IF('01_Вводные'!$B$234="Да",('19_Расчет_аналитики'!BC3782+'19_Расчет_аналитики'!BC3783+'19_Расчет_аналитики'!BC3784)-('19_Расчет_аналитики'!BC3782+'19_Расчет_аналитики'!BC3783+'19_Расчет_аналитики'!BC3784)/(1+'01_Вводные'!$B$58),0)</f>
        <v/>
      </c>
      <c r="BD3792">
        <f>IF('01_Вводные'!$B$234="Да",('19_Расчет_аналитики'!BD3782+'19_Расчет_аналитики'!BD3783+'19_Расчет_аналитики'!BD3784)-('19_Расчет_аналитики'!BD3782+'19_Расчет_аналитики'!BD3783+'19_Расчет_аналитики'!BD3784)/(1+'01_Вводные'!$B$58),0)</f>
        <v/>
      </c>
      <c r="BE3792">
        <f>IF('01_Вводные'!$B$234="Да",('19_Расчет_аналитики'!BE3782+'19_Расчет_аналитики'!BE3783+'19_Расчет_аналитики'!BE3784)-('19_Расчет_аналитики'!BE3782+'19_Расчет_аналитики'!BE3783+'19_Расчет_аналитики'!BE3784)/(1+'01_Вводные'!$B$58),0)</f>
        <v/>
      </c>
      <c r="BF3792">
        <f>IF('01_Вводные'!$B$234="Да",('19_Расчет_аналитики'!BF3782+'19_Расчет_аналитики'!BF3783+'19_Расчет_аналитики'!BF3784)-('19_Расчет_аналитики'!BF3782+'19_Расчет_аналитики'!BF3783+'19_Расчет_аналитики'!BF3784)/(1+'01_Вводные'!$B$58),0)</f>
        <v/>
      </c>
      <c r="BG3792">
        <f>IF('01_Вводные'!$B$234="Да",('19_Расчет_аналитики'!BG3782+'19_Расчет_аналитики'!BG3783+'19_Расчет_аналитики'!BG3784)-('19_Расчет_аналитики'!BG3782+'19_Расчет_аналитики'!BG3783+'19_Расчет_аналитики'!BG3784)/(1+'01_Вводные'!$B$58),0)</f>
        <v/>
      </c>
      <c r="BH3792">
        <f>IF('01_Вводные'!$B$234="Да",('19_Расчет_аналитики'!BH3782+'19_Расчет_аналитики'!BH3783+'19_Расчет_аналитики'!BH3784)-('19_Расчет_аналитики'!BH3782+'19_Расчет_аналитики'!BH3783+'19_Расчет_аналитики'!BH3784)/(1+'01_Вводные'!$B$58),0)</f>
        <v/>
      </c>
      <c r="BI3792">
        <f>IF('01_Вводные'!$B$234="Да",('19_Расчет_аналитики'!BI3782+'19_Расчет_аналитики'!BI3783+'19_Расчет_аналитики'!BI3784)-('19_Расчет_аналитики'!BI3782+'19_Расчет_аналитики'!BI3783+'19_Расчет_аналитики'!BI3784)/(1+'01_Вводные'!$B$58),0)</f>
        <v/>
      </c>
    </row>
    <row r="3793">
      <c r="B3793">
        <f>'02_Модель'!B63</f>
        <v/>
      </c>
      <c r="C3793">
        <f>'02_Модель'!C63</f>
        <v/>
      </c>
      <c r="D3793">
        <f>'02_Модель'!D63</f>
        <v/>
      </c>
      <c r="E3793">
        <f>'02_Модель'!E63</f>
        <v/>
      </c>
      <c r="F3793">
        <f>'02_Модель'!F63</f>
        <v/>
      </c>
      <c r="G3793">
        <f>'02_Модель'!G63</f>
        <v/>
      </c>
      <c r="H3793">
        <f>'02_Модель'!H63</f>
        <v/>
      </c>
      <c r="I3793">
        <f>'02_Модель'!I63</f>
        <v/>
      </c>
      <c r="J3793">
        <f>'02_Модель'!J63</f>
        <v/>
      </c>
      <c r="K3793">
        <f>'02_Модель'!K63</f>
        <v/>
      </c>
      <c r="L3793">
        <f>'02_Модель'!L63</f>
        <v/>
      </c>
      <c r="M3793">
        <f>'02_Модель'!M63</f>
        <v/>
      </c>
      <c r="N3793">
        <f>'02_Модель'!N63</f>
        <v/>
      </c>
      <c r="O3793">
        <f>'02_Модель'!O63</f>
        <v/>
      </c>
      <c r="P3793">
        <f>'02_Модель'!P63</f>
        <v/>
      </c>
      <c r="Q3793">
        <f>'02_Модель'!Q63</f>
        <v/>
      </c>
      <c r="R3793">
        <f>'02_Модель'!R63</f>
        <v/>
      </c>
      <c r="S3793">
        <f>'02_Модель'!S63</f>
        <v/>
      </c>
      <c r="T3793">
        <f>'02_Модель'!T63</f>
        <v/>
      </c>
      <c r="U3793">
        <f>'02_Модель'!U63</f>
        <v/>
      </c>
      <c r="V3793">
        <f>'02_Модель'!V63</f>
        <v/>
      </c>
      <c r="W3793">
        <f>'02_Модель'!W63</f>
        <v/>
      </c>
      <c r="X3793">
        <f>'02_Модель'!X63</f>
        <v/>
      </c>
      <c r="Y3793">
        <f>'02_Модель'!Y63</f>
        <v/>
      </c>
      <c r="Z3793">
        <f>'02_Модель'!Z63</f>
        <v/>
      </c>
      <c r="AA3793">
        <f>'02_Модель'!AA63</f>
        <v/>
      </c>
      <c r="AB3793">
        <f>'02_Модель'!AB63</f>
        <v/>
      </c>
      <c r="AC3793">
        <f>'02_Модель'!AC63</f>
        <v/>
      </c>
      <c r="AD3793">
        <f>'02_Модель'!AD63</f>
        <v/>
      </c>
      <c r="AE3793">
        <f>'02_Модель'!AE63</f>
        <v/>
      </c>
      <c r="AF3793">
        <f>'02_Модель'!AF63</f>
        <v/>
      </c>
      <c r="AG3793">
        <f>'02_Модель'!AG63</f>
        <v/>
      </c>
      <c r="AH3793">
        <f>'02_Модель'!AH63</f>
        <v/>
      </c>
      <c r="AI3793">
        <f>'02_Модель'!AI63</f>
        <v/>
      </c>
      <c r="AJ3793">
        <f>'02_Модель'!AJ63</f>
        <v/>
      </c>
      <c r="AK3793">
        <f>'02_Модель'!AK63</f>
        <v/>
      </c>
      <c r="AL3793">
        <f>'02_Модель'!AL63</f>
        <v/>
      </c>
      <c r="AM3793">
        <f>'02_Модель'!AM63</f>
        <v/>
      </c>
      <c r="AN3793">
        <f>'02_Модель'!AN63</f>
        <v/>
      </c>
      <c r="AO3793">
        <f>'02_Модель'!AO63</f>
        <v/>
      </c>
      <c r="AP3793">
        <f>'02_Модель'!AP63</f>
        <v/>
      </c>
      <c r="AQ3793">
        <f>'02_Модель'!AQ63</f>
        <v/>
      </c>
      <c r="AR3793">
        <f>'02_Модель'!AR63</f>
        <v/>
      </c>
      <c r="AS3793">
        <f>'02_Модель'!AS63</f>
        <v/>
      </c>
      <c r="AT3793">
        <f>'02_Модель'!AT63</f>
        <v/>
      </c>
      <c r="AU3793">
        <f>'02_Модель'!AU63</f>
        <v/>
      </c>
      <c r="AV3793">
        <f>'02_Модель'!AV63</f>
        <v/>
      </c>
      <c r="AW3793">
        <f>'02_Модель'!AW63</f>
        <v/>
      </c>
      <c r="AX3793">
        <f>'02_Модель'!AX63</f>
        <v/>
      </c>
      <c r="AY3793">
        <f>'02_Модель'!AY63</f>
        <v/>
      </c>
      <c r="AZ3793">
        <f>'02_Модель'!AZ63</f>
        <v/>
      </c>
      <c r="BA3793">
        <f>'02_Модель'!BA63</f>
        <v/>
      </c>
      <c r="BB3793">
        <f>'02_Модель'!BB63</f>
        <v/>
      </c>
      <c r="BC3793">
        <f>'02_Модель'!BC63</f>
        <v/>
      </c>
      <c r="BD3793">
        <f>'02_Модель'!BD63</f>
        <v/>
      </c>
      <c r="BE3793">
        <f>'02_Модель'!BE63</f>
        <v/>
      </c>
      <c r="BF3793">
        <f>'02_Модель'!BF63</f>
        <v/>
      </c>
      <c r="BG3793">
        <f>'02_Модель'!BG63</f>
        <v/>
      </c>
      <c r="BH3793">
        <f>'02_Модель'!BH63</f>
        <v/>
      </c>
      <c r="BI3793">
        <f>'02_Модель'!BI63</f>
        <v/>
      </c>
    </row>
    <row r="3794">
      <c r="B3794">
        <f>IF('01_Вводные'!$B$234="Да",'19_Расчет_аналитики'!B3776,0)</f>
        <v/>
      </c>
      <c r="C3794">
        <f>IF('01_Вводные'!$B$234="Да",'19_Расчет_аналитики'!C3776,0)</f>
        <v/>
      </c>
      <c r="D3794">
        <f>IF('01_Вводные'!$B$234="Да",'19_Расчет_аналитики'!D3776,0)</f>
        <v/>
      </c>
      <c r="E3794">
        <f>IF('01_Вводные'!$B$234="Да",'19_Расчет_аналитики'!E3776,0)</f>
        <v/>
      </c>
      <c r="F3794">
        <f>IF('01_Вводные'!$B$234="Да",'19_Расчет_аналитики'!F3776,0)</f>
        <v/>
      </c>
      <c r="G3794">
        <f>IF('01_Вводные'!$B$234="Да",'19_Расчет_аналитики'!G3776,0)</f>
        <v/>
      </c>
      <c r="H3794">
        <f>IF('01_Вводные'!$B$234="Да",'19_Расчет_аналитики'!H3776,0)</f>
        <v/>
      </c>
      <c r="I3794">
        <f>IF('01_Вводные'!$B$234="Да",'19_Расчет_аналитики'!I3776,0)</f>
        <v/>
      </c>
      <c r="J3794">
        <f>IF('01_Вводные'!$B$234="Да",'19_Расчет_аналитики'!J3776,0)</f>
        <v/>
      </c>
      <c r="K3794">
        <f>IF('01_Вводные'!$B$234="Да",'19_Расчет_аналитики'!K3776,0)</f>
        <v/>
      </c>
      <c r="L3794">
        <f>IF('01_Вводные'!$B$234="Да",'19_Расчет_аналитики'!L3776,0)</f>
        <v/>
      </c>
      <c r="M3794">
        <f>IF('01_Вводные'!$B$234="Да",'19_Расчет_аналитики'!M3776,0)</f>
        <v/>
      </c>
      <c r="N3794">
        <f>IF('01_Вводные'!$B$234="Да",'19_Расчет_аналитики'!N3776,0)</f>
        <v/>
      </c>
      <c r="O3794">
        <f>IF('01_Вводные'!$B$234="Да",'19_Расчет_аналитики'!O3776,0)</f>
        <v/>
      </c>
      <c r="P3794">
        <f>IF('01_Вводные'!$B$234="Да",'19_Расчет_аналитики'!P3776,0)</f>
        <v/>
      </c>
      <c r="Q3794">
        <f>IF('01_Вводные'!$B$234="Да",'19_Расчет_аналитики'!Q3776,0)</f>
        <v/>
      </c>
      <c r="R3794">
        <f>IF('01_Вводные'!$B$234="Да",'19_Расчет_аналитики'!R3776,0)</f>
        <v/>
      </c>
      <c r="S3794">
        <f>IF('01_Вводные'!$B$234="Да",'19_Расчет_аналитики'!S3776,0)</f>
        <v/>
      </c>
      <c r="T3794">
        <f>IF('01_Вводные'!$B$234="Да",'19_Расчет_аналитики'!T3776,0)</f>
        <v/>
      </c>
      <c r="U3794">
        <f>IF('01_Вводные'!$B$234="Да",'19_Расчет_аналитики'!U3776,0)</f>
        <v/>
      </c>
      <c r="V3794">
        <f>IF('01_Вводные'!$B$234="Да",'19_Расчет_аналитики'!V3776,0)</f>
        <v/>
      </c>
      <c r="W3794">
        <f>IF('01_Вводные'!$B$234="Да",'19_Расчет_аналитики'!W3776,0)</f>
        <v/>
      </c>
      <c r="X3794">
        <f>IF('01_Вводные'!$B$234="Да",'19_Расчет_аналитики'!X3776,0)</f>
        <v/>
      </c>
      <c r="Y3794">
        <f>IF('01_Вводные'!$B$234="Да",'19_Расчет_аналитики'!Y3776,0)</f>
        <v/>
      </c>
      <c r="Z3794">
        <f>IF('01_Вводные'!$B$234="Да",'19_Расчет_аналитики'!Z3776,0)</f>
        <v/>
      </c>
      <c r="AA3794">
        <f>IF('01_Вводные'!$B$234="Да",'19_Расчет_аналитики'!AA3776,0)</f>
        <v/>
      </c>
      <c r="AB3794">
        <f>IF('01_Вводные'!$B$234="Да",'19_Расчет_аналитики'!AB3776,0)</f>
        <v/>
      </c>
      <c r="AC3794">
        <f>IF('01_Вводные'!$B$234="Да",'19_Расчет_аналитики'!AC3776,0)</f>
        <v/>
      </c>
      <c r="AD3794">
        <f>IF('01_Вводные'!$B$234="Да",'19_Расчет_аналитики'!AD3776,0)</f>
        <v/>
      </c>
      <c r="AE3794">
        <f>IF('01_Вводные'!$B$234="Да",'19_Расчет_аналитики'!AE3776,0)</f>
        <v/>
      </c>
      <c r="AF3794">
        <f>IF('01_Вводные'!$B$234="Да",'19_Расчет_аналитики'!AF3776,0)</f>
        <v/>
      </c>
      <c r="AG3794">
        <f>IF('01_Вводные'!$B$234="Да",'19_Расчет_аналитики'!AG3776,0)</f>
        <v/>
      </c>
      <c r="AH3794">
        <f>IF('01_Вводные'!$B$234="Да",'19_Расчет_аналитики'!AH3776,0)</f>
        <v/>
      </c>
      <c r="AI3794">
        <f>IF('01_Вводные'!$B$234="Да",'19_Расчет_аналитики'!AI3776,0)</f>
        <v/>
      </c>
      <c r="AJ3794">
        <f>IF('01_Вводные'!$B$234="Да",'19_Расчет_аналитики'!AJ3776,0)</f>
        <v/>
      </c>
      <c r="AK3794">
        <f>IF('01_Вводные'!$B$234="Да",'19_Расчет_аналитики'!AK3776,0)</f>
        <v/>
      </c>
      <c r="AL3794">
        <f>IF('01_Вводные'!$B$234="Да",'19_Расчет_аналитики'!AL3776,0)</f>
        <v/>
      </c>
      <c r="AM3794">
        <f>IF('01_Вводные'!$B$234="Да",'19_Расчет_аналитики'!AM3776,0)</f>
        <v/>
      </c>
      <c r="AN3794">
        <f>IF('01_Вводные'!$B$234="Да",'19_Расчет_аналитики'!AN3776,0)</f>
        <v/>
      </c>
      <c r="AO3794">
        <f>IF('01_Вводные'!$B$234="Да",'19_Расчет_аналитики'!AO3776,0)</f>
        <v/>
      </c>
      <c r="AP3794">
        <f>IF('01_Вводные'!$B$234="Да",'19_Расчет_аналитики'!AP3776,0)</f>
        <v/>
      </c>
      <c r="AQ3794">
        <f>IF('01_Вводные'!$B$234="Да",'19_Расчет_аналитики'!AQ3776,0)</f>
        <v/>
      </c>
      <c r="AR3794">
        <f>IF('01_Вводные'!$B$234="Да",'19_Расчет_аналитики'!AR3776,0)</f>
        <v/>
      </c>
      <c r="AS3794">
        <f>IF('01_Вводные'!$B$234="Да",'19_Расчет_аналитики'!AS3776,0)</f>
        <v/>
      </c>
      <c r="AT3794">
        <f>IF('01_Вводные'!$B$234="Да",'19_Расчет_аналитики'!AT3776,0)</f>
        <v/>
      </c>
      <c r="AU3794">
        <f>IF('01_Вводные'!$B$234="Да",'19_Расчет_аналитики'!AU3776,0)</f>
        <v/>
      </c>
      <c r="AV3794">
        <f>IF('01_Вводные'!$B$234="Да",'19_Расчет_аналитики'!AV3776,0)</f>
        <v/>
      </c>
      <c r="AW3794">
        <f>IF('01_Вводные'!$B$234="Да",'19_Расчет_аналитики'!AW3776,0)</f>
        <v/>
      </c>
      <c r="AX3794">
        <f>IF('01_Вводные'!$B$234="Да",'19_Расчет_аналитики'!AX3776,0)</f>
        <v/>
      </c>
      <c r="AY3794">
        <f>IF('01_Вводные'!$B$234="Да",'19_Расчет_аналитики'!AY3776,0)</f>
        <v/>
      </c>
      <c r="AZ3794">
        <f>IF('01_Вводные'!$B$234="Да",'19_Расчет_аналитики'!AZ3776,0)</f>
        <v/>
      </c>
      <c r="BA3794">
        <f>IF('01_Вводные'!$B$234="Да",'19_Расчет_аналитики'!BA3776,0)</f>
        <v/>
      </c>
      <c r="BB3794">
        <f>IF('01_Вводные'!$B$234="Да",'19_Расчет_аналитики'!BB3776,0)</f>
        <v/>
      </c>
      <c r="BC3794">
        <f>IF('01_Вводные'!$B$234="Да",'19_Расчет_аналитики'!BC3776,0)</f>
        <v/>
      </c>
      <c r="BD3794">
        <f>IF('01_Вводные'!$B$234="Да",'19_Расчет_аналитики'!BD3776,0)</f>
        <v/>
      </c>
      <c r="BE3794">
        <f>IF('01_Вводные'!$B$234="Да",'19_Расчет_аналитики'!BE3776,0)</f>
        <v/>
      </c>
      <c r="BF3794">
        <f>IF('01_Вводные'!$B$234="Да",'19_Расчет_аналитики'!BF3776,0)</f>
        <v/>
      </c>
      <c r="BG3794">
        <f>IF('01_Вводные'!$B$234="Да",'19_Расчет_аналитики'!BG3776,0)</f>
        <v/>
      </c>
      <c r="BH3794">
        <f>IF('01_Вводные'!$B$234="Да",'19_Расчет_аналитики'!BH3776,0)</f>
        <v/>
      </c>
      <c r="BI3794">
        <f>IF('01_Вводные'!$B$234="Да",'19_Расчет_аналитики'!BI3776,0)</f>
        <v/>
      </c>
    </row>
    <row r="3795">
      <c r="B3795">
        <f>IF('01_Вводные'!$B$234="Да",'19_Расчет_аналитики'!B3662,0)</f>
        <v/>
      </c>
      <c r="C3795">
        <f>IF('01_Вводные'!$B$234="Да",'19_Расчет_аналитики'!C3662,0)</f>
        <v/>
      </c>
      <c r="D3795">
        <f>IF('01_Вводные'!$B$234="Да",'19_Расчет_аналитики'!D3662,0)</f>
        <v/>
      </c>
      <c r="E3795">
        <f>IF('01_Вводные'!$B$234="Да",'19_Расчет_аналитики'!E3662,0)</f>
        <v/>
      </c>
      <c r="F3795">
        <f>IF('01_Вводные'!$B$234="Да",'19_Расчет_аналитики'!F3662,0)</f>
        <v/>
      </c>
      <c r="G3795">
        <f>IF('01_Вводные'!$B$234="Да",'19_Расчет_аналитики'!G3662,0)</f>
        <v/>
      </c>
      <c r="H3795">
        <f>IF('01_Вводные'!$B$234="Да",'19_Расчет_аналитики'!H3662,0)</f>
        <v/>
      </c>
      <c r="I3795">
        <f>IF('01_Вводные'!$B$234="Да",'19_Расчет_аналитики'!I3662,0)</f>
        <v/>
      </c>
      <c r="J3795">
        <f>IF('01_Вводные'!$B$234="Да",'19_Расчет_аналитики'!J3662,0)</f>
        <v/>
      </c>
      <c r="K3795">
        <f>IF('01_Вводные'!$B$234="Да",'19_Расчет_аналитики'!K3662,0)</f>
        <v/>
      </c>
      <c r="L3795">
        <f>IF('01_Вводные'!$B$234="Да",'19_Расчет_аналитики'!L3662,0)</f>
        <v/>
      </c>
      <c r="M3795">
        <f>IF('01_Вводные'!$B$234="Да",'19_Расчет_аналитики'!M3662,0)</f>
        <v/>
      </c>
      <c r="N3795">
        <f>IF('01_Вводные'!$B$234="Да",'19_Расчет_аналитики'!N3662,0)</f>
        <v/>
      </c>
      <c r="O3795">
        <f>IF('01_Вводные'!$B$234="Да",'19_Расчет_аналитики'!O3662,0)</f>
        <v/>
      </c>
      <c r="P3795">
        <f>IF('01_Вводные'!$B$234="Да",'19_Расчет_аналитики'!P3662,0)</f>
        <v/>
      </c>
      <c r="Q3795">
        <f>IF('01_Вводные'!$B$234="Да",'19_Расчет_аналитики'!Q3662,0)</f>
        <v/>
      </c>
      <c r="R3795">
        <f>IF('01_Вводные'!$B$234="Да",'19_Расчет_аналитики'!R3662,0)</f>
        <v/>
      </c>
      <c r="S3795">
        <f>IF('01_Вводные'!$B$234="Да",'19_Расчет_аналитики'!S3662,0)</f>
        <v/>
      </c>
      <c r="T3795">
        <f>IF('01_Вводные'!$B$234="Да",'19_Расчет_аналитики'!T3662,0)</f>
        <v/>
      </c>
      <c r="U3795">
        <f>IF('01_Вводные'!$B$234="Да",'19_Расчет_аналитики'!U3662,0)</f>
        <v/>
      </c>
      <c r="V3795">
        <f>IF('01_Вводные'!$B$234="Да",'19_Расчет_аналитики'!V3662,0)</f>
        <v/>
      </c>
      <c r="W3795">
        <f>IF('01_Вводные'!$B$234="Да",'19_Расчет_аналитики'!W3662,0)</f>
        <v/>
      </c>
      <c r="X3795">
        <f>IF('01_Вводные'!$B$234="Да",'19_Расчет_аналитики'!X3662,0)</f>
        <v/>
      </c>
      <c r="Y3795">
        <f>IF('01_Вводные'!$B$234="Да",'19_Расчет_аналитики'!Y3662,0)</f>
        <v/>
      </c>
      <c r="Z3795">
        <f>IF('01_Вводные'!$B$234="Да",'19_Расчет_аналитики'!Z3662,0)</f>
        <v/>
      </c>
      <c r="AA3795">
        <f>IF('01_Вводные'!$B$234="Да",'19_Расчет_аналитики'!AA3662,0)</f>
        <v/>
      </c>
      <c r="AB3795">
        <f>IF('01_Вводные'!$B$234="Да",'19_Расчет_аналитики'!AB3662,0)</f>
        <v/>
      </c>
      <c r="AC3795">
        <f>IF('01_Вводные'!$B$234="Да",'19_Расчет_аналитики'!AC3662,0)</f>
        <v/>
      </c>
      <c r="AD3795">
        <f>IF('01_Вводные'!$B$234="Да",'19_Расчет_аналитики'!AD3662,0)</f>
        <v/>
      </c>
      <c r="AE3795">
        <f>IF('01_Вводные'!$B$234="Да",'19_Расчет_аналитики'!AE3662,0)</f>
        <v/>
      </c>
      <c r="AF3795">
        <f>IF('01_Вводные'!$B$234="Да",'19_Расчет_аналитики'!AF3662,0)</f>
        <v/>
      </c>
      <c r="AG3795">
        <f>IF('01_Вводные'!$B$234="Да",'19_Расчет_аналитики'!AG3662,0)</f>
        <v/>
      </c>
      <c r="AH3795">
        <f>IF('01_Вводные'!$B$234="Да",'19_Расчет_аналитики'!AH3662,0)</f>
        <v/>
      </c>
      <c r="AI3795">
        <f>IF('01_Вводные'!$B$234="Да",'19_Расчет_аналитики'!AI3662,0)</f>
        <v/>
      </c>
      <c r="AJ3795">
        <f>IF('01_Вводные'!$B$234="Да",'19_Расчет_аналитики'!AJ3662,0)</f>
        <v/>
      </c>
      <c r="AK3795">
        <f>IF('01_Вводные'!$B$234="Да",'19_Расчет_аналитики'!AK3662,0)</f>
        <v/>
      </c>
      <c r="AL3795">
        <f>IF('01_Вводные'!$B$234="Да",'19_Расчет_аналитики'!AL3662,0)</f>
        <v/>
      </c>
      <c r="AM3795">
        <f>IF('01_Вводные'!$B$234="Да",'19_Расчет_аналитики'!AM3662,0)</f>
        <v/>
      </c>
      <c r="AN3795">
        <f>IF('01_Вводные'!$B$234="Да",'19_Расчет_аналитики'!AN3662,0)</f>
        <v/>
      </c>
      <c r="AO3795">
        <f>IF('01_Вводные'!$B$234="Да",'19_Расчет_аналитики'!AO3662,0)</f>
        <v/>
      </c>
      <c r="AP3795">
        <f>IF('01_Вводные'!$B$234="Да",'19_Расчет_аналитики'!AP3662,0)</f>
        <v/>
      </c>
      <c r="AQ3795">
        <f>IF('01_Вводные'!$B$234="Да",'19_Расчет_аналитики'!AQ3662,0)</f>
        <v/>
      </c>
      <c r="AR3795">
        <f>IF('01_Вводные'!$B$234="Да",'19_Расчет_аналитики'!AR3662,0)</f>
        <v/>
      </c>
      <c r="AS3795">
        <f>IF('01_Вводные'!$B$234="Да",'19_Расчет_аналитики'!AS3662,0)</f>
        <v/>
      </c>
      <c r="AT3795">
        <f>IF('01_Вводные'!$B$234="Да",'19_Расчет_аналитики'!AT3662,0)</f>
        <v/>
      </c>
      <c r="AU3795">
        <f>IF('01_Вводные'!$B$234="Да",'19_Расчет_аналитики'!AU3662,0)</f>
        <v/>
      </c>
      <c r="AV3795">
        <f>IF('01_Вводные'!$B$234="Да",'19_Расчет_аналитики'!AV3662,0)</f>
        <v/>
      </c>
      <c r="AW3795">
        <f>IF('01_Вводные'!$B$234="Да",'19_Расчет_аналитики'!AW3662,0)</f>
        <v/>
      </c>
      <c r="AX3795">
        <f>IF('01_Вводные'!$B$234="Да",'19_Расчет_аналитики'!AX3662,0)</f>
        <v/>
      </c>
      <c r="AY3795">
        <f>IF('01_Вводные'!$B$234="Да",'19_Расчет_аналитики'!AY3662,0)</f>
        <v/>
      </c>
      <c r="AZ3795">
        <f>IF('01_Вводные'!$B$234="Да",'19_Расчет_аналитики'!AZ3662,0)</f>
        <v/>
      </c>
      <c r="BA3795">
        <f>IF('01_Вводные'!$B$234="Да",'19_Расчет_аналитики'!BA3662,0)</f>
        <v/>
      </c>
      <c r="BB3795">
        <f>IF('01_Вводные'!$B$234="Да",'19_Расчет_аналитики'!BB3662,0)</f>
        <v/>
      </c>
      <c r="BC3795">
        <f>IF('01_Вводные'!$B$234="Да",'19_Расчет_аналитики'!BC3662,0)</f>
        <v/>
      </c>
      <c r="BD3795">
        <f>IF('01_Вводные'!$B$234="Да",'19_Расчет_аналитики'!BD3662,0)</f>
        <v/>
      </c>
      <c r="BE3795">
        <f>IF('01_Вводные'!$B$234="Да",'19_Расчет_аналитики'!BE3662,0)</f>
        <v/>
      </c>
      <c r="BF3795">
        <f>IF('01_Вводные'!$B$234="Да",'19_Расчет_аналитики'!BF3662,0)</f>
        <v/>
      </c>
      <c r="BG3795">
        <f>IF('01_Вводные'!$B$234="Да",'19_Расчет_аналитики'!BG3662,0)</f>
        <v/>
      </c>
      <c r="BH3795">
        <f>IF('01_Вводные'!$B$234="Да",'19_Расчет_аналитики'!BH3662,0)</f>
        <v/>
      </c>
      <c r="BI3795">
        <f>IF('01_Вводные'!$B$234="Да",'19_Расчет_аналитики'!BI3662,0)</f>
        <v/>
      </c>
    </row>
    <row r="3796"/>
    <row r="3797">
      <c r="B3797">
        <f>IF('01_Вводные'!$B$234="Да",SUM('19_Расчет_аналитики'!B3787:B3794)+'02_Модель'!B66,0)</f>
        <v/>
      </c>
      <c r="C3797">
        <f>IF('01_Вводные'!$B$234="Да",SUM('19_Расчет_аналитики'!C3787:C3794)+'02_Модель'!C66,0)</f>
        <v/>
      </c>
      <c r="D3797">
        <f>IF('01_Вводные'!$B$234="Да",SUM('19_Расчет_аналитики'!D3787:D3794)+'02_Модель'!D66,0)</f>
        <v/>
      </c>
      <c r="E3797">
        <f>IF('01_Вводные'!$B$234="Да",SUM('19_Расчет_аналитики'!E3787:E3794)+'02_Модель'!E66,0)</f>
        <v/>
      </c>
      <c r="F3797">
        <f>IF('01_Вводные'!$B$234="Да",SUM('19_Расчет_аналитики'!F3787:F3794)+'02_Модель'!F66,0)</f>
        <v/>
      </c>
      <c r="G3797">
        <f>IF('01_Вводные'!$B$234="Да",SUM('19_Расчет_аналитики'!G3787:G3794)+'02_Модель'!G66,0)</f>
        <v/>
      </c>
      <c r="H3797">
        <f>IF('01_Вводные'!$B$234="Да",SUM('19_Расчет_аналитики'!H3787:H3794)+'02_Модель'!H66,0)</f>
        <v/>
      </c>
      <c r="I3797">
        <f>IF('01_Вводные'!$B$234="Да",SUM('19_Расчет_аналитики'!I3787:I3794)+'02_Модель'!I66,0)</f>
        <v/>
      </c>
      <c r="J3797">
        <f>IF('01_Вводные'!$B$234="Да",SUM('19_Расчет_аналитики'!J3787:J3794)+'02_Модель'!J66,0)</f>
        <v/>
      </c>
      <c r="K3797">
        <f>IF('01_Вводные'!$B$234="Да",SUM('19_Расчет_аналитики'!K3787:K3794)+'02_Модель'!K66,0)</f>
        <v/>
      </c>
      <c r="L3797">
        <f>IF('01_Вводные'!$B$234="Да",SUM('19_Расчет_аналитики'!L3787:L3794)+'02_Модель'!L66,0)</f>
        <v/>
      </c>
      <c r="M3797">
        <f>IF('01_Вводные'!$B$234="Да",SUM('19_Расчет_аналитики'!M3787:M3794)+'02_Модель'!M66,0)</f>
        <v/>
      </c>
      <c r="N3797">
        <f>IF('01_Вводные'!$B$234="Да",SUM('19_Расчет_аналитики'!N3787:N3794)+'02_Модель'!N66,0)</f>
        <v/>
      </c>
      <c r="O3797">
        <f>IF('01_Вводные'!$B$234="Да",SUM('19_Расчет_аналитики'!O3787:O3794)+'02_Модель'!O66,0)</f>
        <v/>
      </c>
      <c r="P3797">
        <f>IF('01_Вводные'!$B$234="Да",SUM('19_Расчет_аналитики'!P3787:P3794)+'02_Модель'!P66,0)</f>
        <v/>
      </c>
      <c r="Q3797">
        <f>IF('01_Вводные'!$B$234="Да",SUM('19_Расчет_аналитики'!Q3787:Q3794)+'02_Модель'!Q66,0)</f>
        <v/>
      </c>
      <c r="R3797">
        <f>IF('01_Вводные'!$B$234="Да",SUM('19_Расчет_аналитики'!R3787:R3794)+'02_Модель'!R66,0)</f>
        <v/>
      </c>
      <c r="S3797">
        <f>IF('01_Вводные'!$B$234="Да",SUM('19_Расчет_аналитики'!S3787:S3794)+'02_Модель'!S66,0)</f>
        <v/>
      </c>
      <c r="T3797">
        <f>IF('01_Вводные'!$B$234="Да",SUM('19_Расчет_аналитики'!T3787:T3794)+'02_Модель'!T66,0)</f>
        <v/>
      </c>
      <c r="U3797">
        <f>IF('01_Вводные'!$B$234="Да",SUM('19_Расчет_аналитики'!U3787:U3794)+'02_Модель'!U66,0)</f>
        <v/>
      </c>
      <c r="V3797">
        <f>IF('01_Вводные'!$B$234="Да",SUM('19_Расчет_аналитики'!V3787:V3794)+'02_Модель'!V66,0)</f>
        <v/>
      </c>
      <c r="W3797">
        <f>IF('01_Вводные'!$B$234="Да",SUM('19_Расчет_аналитики'!W3787:W3794)+'02_Модель'!W66,0)</f>
        <v/>
      </c>
      <c r="X3797">
        <f>IF('01_Вводные'!$B$234="Да",SUM('19_Расчет_аналитики'!X3787:X3794)+'02_Модель'!X66,0)</f>
        <v/>
      </c>
      <c r="Y3797">
        <f>IF('01_Вводные'!$B$234="Да",SUM('19_Расчет_аналитики'!Y3787:Y3794)+'02_Модель'!Y66,0)</f>
        <v/>
      </c>
      <c r="Z3797">
        <f>IF('01_Вводные'!$B$234="Да",SUM('19_Расчет_аналитики'!Z3787:Z3794)+'02_Модель'!Z66,0)</f>
        <v/>
      </c>
      <c r="AA3797">
        <f>IF('01_Вводные'!$B$234="Да",SUM('19_Расчет_аналитики'!AA3787:AA3794)+'02_Модель'!AA66,0)</f>
        <v/>
      </c>
      <c r="AB3797">
        <f>IF('01_Вводные'!$B$234="Да",SUM('19_Расчет_аналитики'!AB3787:AB3794)+'02_Модель'!AB66,0)</f>
        <v/>
      </c>
      <c r="AC3797">
        <f>IF('01_Вводные'!$B$234="Да",SUM('19_Расчет_аналитики'!AC3787:AC3794)+'02_Модель'!AC66,0)</f>
        <v/>
      </c>
      <c r="AD3797">
        <f>IF('01_Вводные'!$B$234="Да",SUM('19_Расчет_аналитики'!AD3787:AD3794)+'02_Модель'!AD66,0)</f>
        <v/>
      </c>
      <c r="AE3797">
        <f>IF('01_Вводные'!$B$234="Да",SUM('19_Расчет_аналитики'!AE3787:AE3794)+'02_Модель'!AE66,0)</f>
        <v/>
      </c>
      <c r="AF3797">
        <f>IF('01_Вводные'!$B$234="Да",SUM('19_Расчет_аналитики'!AF3787:AF3794)+'02_Модель'!AF66,0)</f>
        <v/>
      </c>
      <c r="AG3797">
        <f>IF('01_Вводные'!$B$234="Да",SUM('19_Расчет_аналитики'!AG3787:AG3794)+'02_Модель'!AG66,0)</f>
        <v/>
      </c>
      <c r="AH3797">
        <f>IF('01_Вводные'!$B$234="Да",SUM('19_Расчет_аналитики'!AH3787:AH3794)+'02_Модель'!AH66,0)</f>
        <v/>
      </c>
      <c r="AI3797">
        <f>IF('01_Вводные'!$B$234="Да",SUM('19_Расчет_аналитики'!AI3787:AI3794)+'02_Модель'!AI66,0)</f>
        <v/>
      </c>
      <c r="AJ3797">
        <f>IF('01_Вводные'!$B$234="Да",SUM('19_Расчет_аналитики'!AJ3787:AJ3794)+'02_Модель'!AJ66,0)</f>
        <v/>
      </c>
      <c r="AK3797">
        <f>IF('01_Вводные'!$B$234="Да",SUM('19_Расчет_аналитики'!AK3787:AK3794)+'02_Модель'!AK66,0)</f>
        <v/>
      </c>
      <c r="AL3797">
        <f>IF('01_Вводные'!$B$234="Да",SUM('19_Расчет_аналитики'!AL3787:AL3794)+'02_Модель'!AL66,0)</f>
        <v/>
      </c>
      <c r="AM3797">
        <f>IF('01_Вводные'!$B$234="Да",SUM('19_Расчет_аналитики'!AM3787:AM3794)+'02_Модель'!AM66,0)</f>
        <v/>
      </c>
      <c r="AN3797">
        <f>IF('01_Вводные'!$B$234="Да",SUM('19_Расчет_аналитики'!AN3787:AN3794)+'02_Модель'!AN66,0)</f>
        <v/>
      </c>
      <c r="AO3797">
        <f>IF('01_Вводные'!$B$234="Да",SUM('19_Расчет_аналитики'!AO3787:AO3794)+'02_Модель'!AO66,0)</f>
        <v/>
      </c>
      <c r="AP3797">
        <f>IF('01_Вводные'!$B$234="Да",SUM('19_Расчет_аналитики'!AP3787:AP3794)+'02_Модель'!AP66,0)</f>
        <v/>
      </c>
      <c r="AQ3797">
        <f>IF('01_Вводные'!$B$234="Да",SUM('19_Расчет_аналитики'!AQ3787:AQ3794)+'02_Модель'!AQ66,0)</f>
        <v/>
      </c>
      <c r="AR3797">
        <f>IF('01_Вводные'!$B$234="Да",SUM('19_Расчет_аналитики'!AR3787:AR3794)+'02_Модель'!AR66,0)</f>
        <v/>
      </c>
      <c r="AS3797">
        <f>IF('01_Вводные'!$B$234="Да",SUM('19_Расчет_аналитики'!AS3787:AS3794)+'02_Модель'!AS66,0)</f>
        <v/>
      </c>
      <c r="AT3797">
        <f>IF('01_Вводные'!$B$234="Да",SUM('19_Расчет_аналитики'!AT3787:AT3794)+'02_Модель'!AT66,0)</f>
        <v/>
      </c>
      <c r="AU3797">
        <f>IF('01_Вводные'!$B$234="Да",SUM('19_Расчет_аналитики'!AU3787:AU3794)+'02_Модель'!AU66,0)</f>
        <v/>
      </c>
      <c r="AV3797">
        <f>IF('01_Вводные'!$B$234="Да",SUM('19_Расчет_аналитики'!AV3787:AV3794)+'02_Модель'!AV66,0)</f>
        <v/>
      </c>
      <c r="AW3797">
        <f>IF('01_Вводные'!$B$234="Да",SUM('19_Расчет_аналитики'!AW3787:AW3794)+'02_Модель'!AW66,0)</f>
        <v/>
      </c>
      <c r="AX3797">
        <f>IF('01_Вводные'!$B$234="Да",SUM('19_Расчет_аналитики'!AX3787:AX3794)+'02_Модель'!AX66,0)</f>
        <v/>
      </c>
      <c r="AY3797">
        <f>IF('01_Вводные'!$B$234="Да",SUM('19_Расчет_аналитики'!AY3787:AY3794)+'02_Модель'!AY66,0)</f>
        <v/>
      </c>
      <c r="AZ3797">
        <f>IF('01_Вводные'!$B$234="Да",SUM('19_Расчет_аналитики'!AZ3787:AZ3794)+'02_Модель'!AZ66,0)</f>
        <v/>
      </c>
      <c r="BA3797">
        <f>IF('01_Вводные'!$B$234="Да",SUM('19_Расчет_аналитики'!BA3787:BA3794)+'02_Модель'!BA66,0)</f>
        <v/>
      </c>
      <c r="BB3797">
        <f>IF('01_Вводные'!$B$234="Да",SUM('19_Расчет_аналитики'!BB3787:BB3794)+'02_Модель'!BB66,0)</f>
        <v/>
      </c>
      <c r="BC3797">
        <f>IF('01_Вводные'!$B$234="Да",SUM('19_Расчет_аналитики'!BC3787:BC3794)+'02_Модель'!BC66,0)</f>
        <v/>
      </c>
      <c r="BD3797">
        <f>IF('01_Вводные'!$B$234="Да",SUM('19_Расчет_аналитики'!BD3787:BD3794)+'02_Модель'!BD66,0)</f>
        <v/>
      </c>
      <c r="BE3797">
        <f>IF('01_Вводные'!$B$234="Да",SUM('19_Расчет_аналитики'!BE3787:BE3794)+'02_Модель'!BE66,0)</f>
        <v/>
      </c>
      <c r="BF3797">
        <f>IF('01_Вводные'!$B$234="Да",SUM('19_Расчет_аналитики'!BF3787:BF3794)+'02_Модель'!BF66,0)</f>
        <v/>
      </c>
      <c r="BG3797">
        <f>IF('01_Вводные'!$B$234="Да",SUM('19_Расчет_аналитики'!BG3787:BG3794)+'02_Модель'!BG66,0)</f>
        <v/>
      </c>
      <c r="BH3797">
        <f>IF('01_Вводные'!$B$234="Да",SUM('19_Расчет_аналитики'!BH3787:BH3794)+'02_Модель'!BH66,0)</f>
        <v/>
      </c>
      <c r="BI3797">
        <f>IF('01_Вводные'!$B$234="Да",SUM('19_Расчет_аналитики'!BI3787:BI3794)+'02_Модель'!BI66,0)</f>
        <v/>
      </c>
    </row>
    <row r="3798">
      <c r="B3798">
        <f>IF('01_Вводные'!$B$234="Да",'19_Расчет_аналитики'!B3786-'19_Расчет_аналитики'!B3797,0)</f>
        <v/>
      </c>
      <c r="C3798">
        <f>IF('01_Вводные'!$B$234="Да",'19_Расчет_аналитики'!C3786-'19_Расчет_аналитики'!C3797,0)</f>
        <v/>
      </c>
      <c r="D3798">
        <f>IF('01_Вводные'!$B$234="Да",'19_Расчет_аналитики'!D3786-'19_Расчет_аналитики'!D3797,0)</f>
        <v/>
      </c>
      <c r="E3798">
        <f>IF('01_Вводные'!$B$234="Да",'19_Расчет_аналитики'!E3786-'19_Расчет_аналитики'!E3797,0)</f>
        <v/>
      </c>
      <c r="F3798">
        <f>IF('01_Вводные'!$B$234="Да",'19_Расчет_аналитики'!F3786-'19_Расчет_аналитики'!F3797,0)</f>
        <v/>
      </c>
      <c r="G3798">
        <f>IF('01_Вводные'!$B$234="Да",'19_Расчет_аналитики'!G3786-'19_Расчет_аналитики'!G3797,0)</f>
        <v/>
      </c>
      <c r="H3798">
        <f>IF('01_Вводные'!$B$234="Да",'19_Расчет_аналитики'!H3786-'19_Расчет_аналитики'!H3797,0)</f>
        <v/>
      </c>
      <c r="I3798">
        <f>IF('01_Вводные'!$B$234="Да",'19_Расчет_аналитики'!I3786-'19_Расчет_аналитики'!I3797,0)</f>
        <v/>
      </c>
      <c r="J3798">
        <f>IF('01_Вводные'!$B$234="Да",'19_Расчет_аналитики'!J3786-'19_Расчет_аналитики'!J3797,0)</f>
        <v/>
      </c>
      <c r="K3798">
        <f>IF('01_Вводные'!$B$234="Да",'19_Расчет_аналитики'!K3786-'19_Расчет_аналитики'!K3797,0)</f>
        <v/>
      </c>
      <c r="L3798">
        <f>IF('01_Вводные'!$B$234="Да",'19_Расчет_аналитики'!L3786-'19_Расчет_аналитики'!L3797,0)</f>
        <v/>
      </c>
      <c r="M3798">
        <f>IF('01_Вводные'!$B$234="Да",'19_Расчет_аналитики'!M3786-'19_Расчет_аналитики'!M3797,0)</f>
        <v/>
      </c>
      <c r="N3798">
        <f>IF('01_Вводные'!$B$234="Да",'19_Расчет_аналитики'!N3786-'19_Расчет_аналитики'!N3797,0)</f>
        <v/>
      </c>
      <c r="O3798">
        <f>IF('01_Вводные'!$B$234="Да",'19_Расчет_аналитики'!O3786-'19_Расчет_аналитики'!O3797,0)</f>
        <v/>
      </c>
      <c r="P3798">
        <f>IF('01_Вводные'!$B$234="Да",'19_Расчет_аналитики'!P3786-'19_Расчет_аналитики'!P3797,0)</f>
        <v/>
      </c>
      <c r="Q3798">
        <f>IF('01_Вводные'!$B$234="Да",'19_Расчет_аналитики'!Q3786-'19_Расчет_аналитики'!Q3797,0)</f>
        <v/>
      </c>
      <c r="R3798">
        <f>IF('01_Вводные'!$B$234="Да",'19_Расчет_аналитики'!R3786-'19_Расчет_аналитики'!R3797,0)</f>
        <v/>
      </c>
      <c r="S3798">
        <f>IF('01_Вводные'!$B$234="Да",'19_Расчет_аналитики'!S3786-'19_Расчет_аналитики'!S3797,0)</f>
        <v/>
      </c>
      <c r="T3798">
        <f>IF('01_Вводные'!$B$234="Да",'19_Расчет_аналитики'!T3786-'19_Расчет_аналитики'!T3797,0)</f>
        <v/>
      </c>
      <c r="U3798">
        <f>IF('01_Вводные'!$B$234="Да",'19_Расчет_аналитики'!U3786-'19_Расчет_аналитики'!U3797,0)</f>
        <v/>
      </c>
      <c r="V3798">
        <f>IF('01_Вводные'!$B$234="Да",'19_Расчет_аналитики'!V3786-'19_Расчет_аналитики'!V3797,0)</f>
        <v/>
      </c>
      <c r="W3798">
        <f>IF('01_Вводные'!$B$234="Да",'19_Расчет_аналитики'!W3786-'19_Расчет_аналитики'!W3797,0)</f>
        <v/>
      </c>
      <c r="X3798">
        <f>IF('01_Вводные'!$B$234="Да",'19_Расчет_аналитики'!X3786-'19_Расчет_аналитики'!X3797,0)</f>
        <v/>
      </c>
      <c r="Y3798">
        <f>IF('01_Вводные'!$B$234="Да",'19_Расчет_аналитики'!Y3786-'19_Расчет_аналитики'!Y3797,0)</f>
        <v/>
      </c>
      <c r="Z3798">
        <f>IF('01_Вводные'!$B$234="Да",'19_Расчет_аналитики'!Z3786-'19_Расчет_аналитики'!Z3797,0)</f>
        <v/>
      </c>
      <c r="AA3798">
        <f>IF('01_Вводные'!$B$234="Да",'19_Расчет_аналитики'!AA3786-'19_Расчет_аналитики'!AA3797,0)</f>
        <v/>
      </c>
      <c r="AB3798">
        <f>IF('01_Вводные'!$B$234="Да",'19_Расчет_аналитики'!AB3786-'19_Расчет_аналитики'!AB3797,0)</f>
        <v/>
      </c>
      <c r="AC3798">
        <f>IF('01_Вводные'!$B$234="Да",'19_Расчет_аналитики'!AC3786-'19_Расчет_аналитики'!AC3797,0)</f>
        <v/>
      </c>
      <c r="AD3798">
        <f>IF('01_Вводные'!$B$234="Да",'19_Расчет_аналитики'!AD3786-'19_Расчет_аналитики'!AD3797,0)</f>
        <v/>
      </c>
      <c r="AE3798">
        <f>IF('01_Вводные'!$B$234="Да",'19_Расчет_аналитики'!AE3786-'19_Расчет_аналитики'!AE3797,0)</f>
        <v/>
      </c>
      <c r="AF3798">
        <f>IF('01_Вводные'!$B$234="Да",'19_Расчет_аналитики'!AF3786-'19_Расчет_аналитики'!AF3797,0)</f>
        <v/>
      </c>
      <c r="AG3798">
        <f>IF('01_Вводные'!$B$234="Да",'19_Расчет_аналитики'!AG3786-'19_Расчет_аналитики'!AG3797,0)</f>
        <v/>
      </c>
      <c r="AH3798">
        <f>IF('01_Вводные'!$B$234="Да",'19_Расчет_аналитики'!AH3786-'19_Расчет_аналитики'!AH3797,0)</f>
        <v/>
      </c>
      <c r="AI3798">
        <f>IF('01_Вводные'!$B$234="Да",'19_Расчет_аналитики'!AI3786-'19_Расчет_аналитики'!AI3797,0)</f>
        <v/>
      </c>
      <c r="AJ3798">
        <f>IF('01_Вводные'!$B$234="Да",'19_Расчет_аналитики'!AJ3786-'19_Расчет_аналитики'!AJ3797,0)</f>
        <v/>
      </c>
      <c r="AK3798">
        <f>IF('01_Вводные'!$B$234="Да",'19_Расчет_аналитики'!AK3786-'19_Расчет_аналитики'!AK3797,0)</f>
        <v/>
      </c>
      <c r="AL3798">
        <f>IF('01_Вводные'!$B$234="Да",'19_Расчет_аналитики'!AL3786-'19_Расчет_аналитики'!AL3797,0)</f>
        <v/>
      </c>
      <c r="AM3798">
        <f>IF('01_Вводные'!$B$234="Да",'19_Расчет_аналитики'!AM3786-'19_Расчет_аналитики'!AM3797,0)</f>
        <v/>
      </c>
      <c r="AN3798">
        <f>IF('01_Вводные'!$B$234="Да",'19_Расчет_аналитики'!AN3786-'19_Расчет_аналитики'!AN3797,0)</f>
        <v/>
      </c>
      <c r="AO3798">
        <f>IF('01_Вводные'!$B$234="Да",'19_Расчет_аналитики'!AO3786-'19_Расчет_аналитики'!AO3797,0)</f>
        <v/>
      </c>
      <c r="AP3798">
        <f>IF('01_Вводные'!$B$234="Да",'19_Расчет_аналитики'!AP3786-'19_Расчет_аналитики'!AP3797,0)</f>
        <v/>
      </c>
      <c r="AQ3798">
        <f>IF('01_Вводные'!$B$234="Да",'19_Расчет_аналитики'!AQ3786-'19_Расчет_аналитики'!AQ3797,0)</f>
        <v/>
      </c>
      <c r="AR3798">
        <f>IF('01_Вводные'!$B$234="Да",'19_Расчет_аналитики'!AR3786-'19_Расчет_аналитики'!AR3797,0)</f>
        <v/>
      </c>
      <c r="AS3798">
        <f>IF('01_Вводные'!$B$234="Да",'19_Расчет_аналитики'!AS3786-'19_Расчет_аналитики'!AS3797,0)</f>
        <v/>
      </c>
      <c r="AT3798">
        <f>IF('01_Вводные'!$B$234="Да",'19_Расчет_аналитики'!AT3786-'19_Расчет_аналитики'!AT3797,0)</f>
        <v/>
      </c>
      <c r="AU3798">
        <f>IF('01_Вводные'!$B$234="Да",'19_Расчет_аналитики'!AU3786-'19_Расчет_аналитики'!AU3797,0)</f>
        <v/>
      </c>
      <c r="AV3798">
        <f>IF('01_Вводные'!$B$234="Да",'19_Расчет_аналитики'!AV3786-'19_Расчет_аналитики'!AV3797,0)</f>
        <v/>
      </c>
      <c r="AW3798">
        <f>IF('01_Вводные'!$B$234="Да",'19_Расчет_аналитики'!AW3786-'19_Расчет_аналитики'!AW3797,0)</f>
        <v/>
      </c>
      <c r="AX3798">
        <f>IF('01_Вводные'!$B$234="Да",'19_Расчет_аналитики'!AX3786-'19_Расчет_аналитики'!AX3797,0)</f>
        <v/>
      </c>
      <c r="AY3798">
        <f>IF('01_Вводные'!$B$234="Да",'19_Расчет_аналитики'!AY3786-'19_Расчет_аналитики'!AY3797,0)</f>
        <v/>
      </c>
      <c r="AZ3798">
        <f>IF('01_Вводные'!$B$234="Да",'19_Расчет_аналитики'!AZ3786-'19_Расчет_аналитики'!AZ3797,0)</f>
        <v/>
      </c>
      <c r="BA3798">
        <f>IF('01_Вводные'!$B$234="Да",'19_Расчет_аналитики'!BA3786-'19_Расчет_аналитики'!BA3797,0)</f>
        <v/>
      </c>
      <c r="BB3798">
        <f>IF('01_Вводные'!$B$234="Да",'19_Расчет_аналитики'!BB3786-'19_Расчет_аналитики'!BB3797,0)</f>
        <v/>
      </c>
      <c r="BC3798">
        <f>IF('01_Вводные'!$B$234="Да",'19_Расчет_аналитики'!BC3786-'19_Расчет_аналитики'!BC3797,0)</f>
        <v/>
      </c>
      <c r="BD3798">
        <f>IF('01_Вводные'!$B$234="Да",'19_Расчет_аналитики'!BD3786-'19_Расчет_аналитики'!BD3797,0)</f>
        <v/>
      </c>
      <c r="BE3798">
        <f>IF('01_Вводные'!$B$234="Да",'19_Расчет_аналитики'!BE3786-'19_Расчет_аналитики'!BE3797,0)</f>
        <v/>
      </c>
      <c r="BF3798">
        <f>IF('01_Вводные'!$B$234="Да",'19_Расчет_аналитики'!BF3786-'19_Расчет_аналитики'!BF3797,0)</f>
        <v/>
      </c>
      <c r="BG3798">
        <f>IF('01_Вводные'!$B$234="Да",'19_Расчет_аналитики'!BG3786-'19_Расчет_аналитики'!BG3797,0)</f>
        <v/>
      </c>
      <c r="BH3798">
        <f>IF('01_Вводные'!$B$234="Да",'19_Расчет_аналитики'!BH3786-'19_Расчет_аналитики'!BH3797,0)</f>
        <v/>
      </c>
      <c r="BI3798">
        <f>IF('01_Вводные'!$B$234="Да",'19_Расчет_аналитики'!BI3786-'19_Расчет_аналитики'!BI3797,0)</f>
        <v/>
      </c>
    </row>
    <row r="3799">
      <c r="B3799">
        <f>IF('01_Вводные'!$B$234="Да",'02_Модель'!B51+'19_Расчет_аналитики'!B3798,0)</f>
        <v/>
      </c>
      <c r="C3799">
        <f>IF('01_Вводные'!$B$234="Да",'19_Расчет_аналитики'!C3781+'19_Расчет_аналитики'!C3798,0)</f>
        <v/>
      </c>
      <c r="D3799">
        <f>IF('01_Вводные'!$B$234="Да",'19_Расчет_аналитики'!D3781+'19_Расчет_аналитики'!D3798,0)</f>
        <v/>
      </c>
      <c r="E3799">
        <f>IF('01_Вводные'!$B$234="Да",'19_Расчет_аналитики'!E3781+'19_Расчет_аналитики'!E3798,0)</f>
        <v/>
      </c>
      <c r="F3799">
        <f>IF('01_Вводные'!$B$234="Да",'19_Расчет_аналитики'!F3781+'19_Расчет_аналитики'!F3798,0)</f>
        <v/>
      </c>
      <c r="G3799">
        <f>IF('01_Вводные'!$B$234="Да",'19_Расчет_аналитики'!G3781+'19_Расчет_аналитики'!G3798,0)</f>
        <v/>
      </c>
      <c r="H3799">
        <f>IF('01_Вводные'!$B$234="Да",'19_Расчет_аналитики'!H3781+'19_Расчет_аналитики'!H3798,0)</f>
        <v/>
      </c>
      <c r="I3799">
        <f>IF('01_Вводные'!$B$234="Да",'19_Расчет_аналитики'!I3781+'19_Расчет_аналитики'!I3798,0)</f>
        <v/>
      </c>
      <c r="J3799">
        <f>IF('01_Вводные'!$B$234="Да",'19_Расчет_аналитики'!J3781+'19_Расчет_аналитики'!J3798,0)</f>
        <v/>
      </c>
      <c r="K3799">
        <f>IF('01_Вводные'!$B$234="Да",'19_Расчет_аналитики'!K3781+'19_Расчет_аналитики'!K3798,0)</f>
        <v/>
      </c>
      <c r="L3799">
        <f>IF('01_Вводные'!$B$234="Да",'19_Расчет_аналитики'!L3781+'19_Расчет_аналитики'!L3798,0)</f>
        <v/>
      </c>
      <c r="M3799">
        <f>IF('01_Вводные'!$B$234="Да",'19_Расчет_аналитики'!M3781+'19_Расчет_аналитики'!M3798,0)</f>
        <v/>
      </c>
      <c r="N3799">
        <f>IF('01_Вводные'!$B$234="Да",'19_Расчет_аналитики'!N3781+'19_Расчет_аналитики'!N3798,0)</f>
        <v/>
      </c>
      <c r="O3799">
        <f>IF('01_Вводные'!$B$234="Да",'19_Расчет_аналитики'!O3781+'19_Расчет_аналитики'!O3798,0)</f>
        <v/>
      </c>
      <c r="P3799">
        <f>IF('01_Вводные'!$B$234="Да",'19_Расчет_аналитики'!P3781+'19_Расчет_аналитики'!P3798,0)</f>
        <v/>
      </c>
      <c r="Q3799">
        <f>IF('01_Вводные'!$B$234="Да",'19_Расчет_аналитики'!Q3781+'19_Расчет_аналитики'!Q3798,0)</f>
        <v/>
      </c>
      <c r="R3799">
        <f>IF('01_Вводные'!$B$234="Да",'19_Расчет_аналитики'!R3781+'19_Расчет_аналитики'!R3798,0)</f>
        <v/>
      </c>
      <c r="S3799">
        <f>IF('01_Вводные'!$B$234="Да",'19_Расчет_аналитики'!S3781+'19_Расчет_аналитики'!S3798,0)</f>
        <v/>
      </c>
      <c r="T3799">
        <f>IF('01_Вводные'!$B$234="Да",'19_Расчет_аналитики'!T3781+'19_Расчет_аналитики'!T3798,0)</f>
        <v/>
      </c>
      <c r="U3799">
        <f>IF('01_Вводные'!$B$234="Да",'19_Расчет_аналитики'!U3781+'19_Расчет_аналитики'!U3798,0)</f>
        <v/>
      </c>
      <c r="V3799">
        <f>IF('01_Вводные'!$B$234="Да",'19_Расчет_аналитики'!V3781+'19_Расчет_аналитики'!V3798,0)</f>
        <v/>
      </c>
      <c r="W3799">
        <f>IF('01_Вводные'!$B$234="Да",'19_Расчет_аналитики'!W3781+'19_Расчет_аналитики'!W3798,0)</f>
        <v/>
      </c>
      <c r="X3799">
        <f>IF('01_Вводные'!$B$234="Да",'19_Расчет_аналитики'!X3781+'19_Расчет_аналитики'!X3798,0)</f>
        <v/>
      </c>
      <c r="Y3799">
        <f>IF('01_Вводные'!$B$234="Да",'19_Расчет_аналитики'!Y3781+'19_Расчет_аналитики'!Y3798,0)</f>
        <v/>
      </c>
      <c r="Z3799">
        <f>IF('01_Вводные'!$B$234="Да",'19_Расчет_аналитики'!Z3781+'19_Расчет_аналитики'!Z3798,0)</f>
        <v/>
      </c>
      <c r="AA3799">
        <f>IF('01_Вводные'!$B$234="Да",'19_Расчет_аналитики'!AA3781+'19_Расчет_аналитики'!AA3798,0)</f>
        <v/>
      </c>
      <c r="AB3799">
        <f>IF('01_Вводные'!$B$234="Да",'19_Расчет_аналитики'!AB3781+'19_Расчет_аналитики'!AB3798,0)</f>
        <v/>
      </c>
      <c r="AC3799">
        <f>IF('01_Вводные'!$B$234="Да",'19_Расчет_аналитики'!AC3781+'19_Расчет_аналитики'!AC3798,0)</f>
        <v/>
      </c>
      <c r="AD3799">
        <f>IF('01_Вводные'!$B$234="Да",'19_Расчет_аналитики'!AD3781+'19_Расчет_аналитики'!AD3798,0)</f>
        <v/>
      </c>
      <c r="AE3799">
        <f>IF('01_Вводные'!$B$234="Да",'19_Расчет_аналитики'!AE3781+'19_Расчет_аналитики'!AE3798,0)</f>
        <v/>
      </c>
      <c r="AF3799">
        <f>IF('01_Вводные'!$B$234="Да",'19_Расчет_аналитики'!AF3781+'19_Расчет_аналитики'!AF3798,0)</f>
        <v/>
      </c>
      <c r="AG3799">
        <f>IF('01_Вводные'!$B$234="Да",'19_Расчет_аналитики'!AG3781+'19_Расчет_аналитики'!AG3798,0)</f>
        <v/>
      </c>
      <c r="AH3799">
        <f>IF('01_Вводные'!$B$234="Да",'19_Расчет_аналитики'!AH3781+'19_Расчет_аналитики'!AH3798,0)</f>
        <v/>
      </c>
      <c r="AI3799">
        <f>IF('01_Вводные'!$B$234="Да",'19_Расчет_аналитики'!AI3781+'19_Расчет_аналитики'!AI3798,0)</f>
        <v/>
      </c>
      <c r="AJ3799">
        <f>IF('01_Вводные'!$B$234="Да",'19_Расчет_аналитики'!AJ3781+'19_Расчет_аналитики'!AJ3798,0)</f>
        <v/>
      </c>
      <c r="AK3799">
        <f>IF('01_Вводные'!$B$234="Да",'19_Расчет_аналитики'!AK3781+'19_Расчет_аналитики'!AK3798,0)</f>
        <v/>
      </c>
      <c r="AL3799">
        <f>IF('01_Вводные'!$B$234="Да",'19_Расчет_аналитики'!AL3781+'19_Расчет_аналитики'!AL3798,0)</f>
        <v/>
      </c>
      <c r="AM3799">
        <f>IF('01_Вводные'!$B$234="Да",'19_Расчет_аналитики'!AM3781+'19_Расчет_аналитики'!AM3798,0)</f>
        <v/>
      </c>
      <c r="AN3799">
        <f>IF('01_Вводные'!$B$234="Да",'19_Расчет_аналитики'!AN3781+'19_Расчет_аналитики'!AN3798,0)</f>
        <v/>
      </c>
      <c r="AO3799">
        <f>IF('01_Вводные'!$B$234="Да",'19_Расчет_аналитики'!AO3781+'19_Расчет_аналитики'!AO3798,0)</f>
        <v/>
      </c>
      <c r="AP3799">
        <f>IF('01_Вводные'!$B$234="Да",'19_Расчет_аналитики'!AP3781+'19_Расчет_аналитики'!AP3798,0)</f>
        <v/>
      </c>
      <c r="AQ3799">
        <f>IF('01_Вводные'!$B$234="Да",'19_Расчет_аналитики'!AQ3781+'19_Расчет_аналитики'!AQ3798,0)</f>
        <v/>
      </c>
      <c r="AR3799">
        <f>IF('01_Вводные'!$B$234="Да",'19_Расчет_аналитики'!AR3781+'19_Расчет_аналитики'!AR3798,0)</f>
        <v/>
      </c>
      <c r="AS3799">
        <f>IF('01_Вводные'!$B$234="Да",'19_Расчет_аналитики'!AS3781+'19_Расчет_аналитики'!AS3798,0)</f>
        <v/>
      </c>
      <c r="AT3799">
        <f>IF('01_Вводные'!$B$234="Да",'19_Расчет_аналитики'!AT3781+'19_Расчет_аналитики'!AT3798,0)</f>
        <v/>
      </c>
      <c r="AU3799">
        <f>IF('01_Вводные'!$B$234="Да",'19_Расчет_аналитики'!AU3781+'19_Расчет_аналитики'!AU3798,0)</f>
        <v/>
      </c>
      <c r="AV3799">
        <f>IF('01_Вводные'!$B$234="Да",'19_Расчет_аналитики'!AV3781+'19_Расчет_аналитики'!AV3798,0)</f>
        <v/>
      </c>
      <c r="AW3799">
        <f>IF('01_Вводные'!$B$234="Да",'19_Расчет_аналитики'!AW3781+'19_Расчет_аналитики'!AW3798,0)</f>
        <v/>
      </c>
      <c r="AX3799">
        <f>IF('01_Вводные'!$B$234="Да",'19_Расчет_аналитики'!AX3781+'19_Расчет_аналитики'!AX3798,0)</f>
        <v/>
      </c>
      <c r="AY3799">
        <f>IF('01_Вводные'!$B$234="Да",'19_Расчет_аналитики'!AY3781+'19_Расчет_аналитики'!AY3798,0)</f>
        <v/>
      </c>
      <c r="AZ3799">
        <f>IF('01_Вводные'!$B$234="Да",'19_Расчет_аналитики'!AZ3781+'19_Расчет_аналитики'!AZ3798,0)</f>
        <v/>
      </c>
      <c r="BA3799">
        <f>IF('01_Вводные'!$B$234="Да",'19_Расчет_аналитики'!BA3781+'19_Расчет_аналитики'!BA3798,0)</f>
        <v/>
      </c>
      <c r="BB3799">
        <f>IF('01_Вводные'!$B$234="Да",'19_Расчет_аналитики'!BB3781+'19_Расчет_аналитики'!BB3798,0)</f>
        <v/>
      </c>
      <c r="BC3799">
        <f>IF('01_Вводные'!$B$234="Да",'19_Расчет_аналитики'!BC3781+'19_Расчет_аналитики'!BC3798,0)</f>
        <v/>
      </c>
      <c r="BD3799">
        <f>IF('01_Вводные'!$B$234="Да",'19_Расчет_аналитики'!BD3781+'19_Расчет_аналитики'!BD3798,0)</f>
        <v/>
      </c>
      <c r="BE3799">
        <f>IF('01_Вводные'!$B$234="Да",'19_Расчет_аналитики'!BE3781+'19_Расчет_аналитики'!BE3798,0)</f>
        <v/>
      </c>
      <c r="BF3799">
        <f>IF('01_Вводные'!$B$234="Да",'19_Расчет_аналитики'!BF3781+'19_Расчет_аналитики'!BF3798,0)</f>
        <v/>
      </c>
      <c r="BG3799">
        <f>IF('01_Вводные'!$B$234="Да",'19_Расчет_аналитики'!BG3781+'19_Расчет_аналитики'!BG3798,0)</f>
        <v/>
      </c>
      <c r="BH3799">
        <f>IF('01_Вводные'!$B$234="Да",'19_Расчет_аналитики'!BH3781+'19_Расчет_аналитики'!BH3798,0)</f>
        <v/>
      </c>
      <c r="BI3799">
        <f>IF('01_Вводные'!$B$234="Да",'19_Расчет_аналитики'!BI3781+'19_Расчет_аналитики'!BI3798,0)</f>
        <v/>
      </c>
    </row>
    <row r="3800">
      <c r="B3800">
        <f>IF('01_Вводные'!$B$234="Да",'19_Расчет_аналитики'!B3668,0)</f>
        <v/>
      </c>
      <c r="C3800">
        <f>IF('01_Вводные'!$B$234="Да",'19_Расчет_аналитики'!C3668,0)</f>
        <v/>
      </c>
      <c r="D3800">
        <f>IF('01_Вводные'!$B$234="Да",'19_Расчет_аналитики'!D3668,0)</f>
        <v/>
      </c>
      <c r="E3800">
        <f>IF('01_Вводные'!$B$234="Да",'19_Расчет_аналитики'!E3668,0)</f>
        <v/>
      </c>
      <c r="F3800">
        <f>IF('01_Вводные'!$B$234="Да",'19_Расчет_аналитики'!F3668,0)</f>
        <v/>
      </c>
      <c r="G3800">
        <f>IF('01_Вводные'!$B$234="Да",'19_Расчет_аналитики'!G3668,0)</f>
        <v/>
      </c>
      <c r="H3800">
        <f>IF('01_Вводные'!$B$234="Да",'19_Расчет_аналитики'!H3668,0)</f>
        <v/>
      </c>
      <c r="I3800">
        <f>IF('01_Вводные'!$B$234="Да",'19_Расчет_аналитики'!I3668,0)</f>
        <v/>
      </c>
      <c r="J3800">
        <f>IF('01_Вводные'!$B$234="Да",'19_Расчет_аналитики'!J3668,0)</f>
        <v/>
      </c>
      <c r="K3800">
        <f>IF('01_Вводные'!$B$234="Да",'19_Расчет_аналитики'!K3668,0)</f>
        <v/>
      </c>
      <c r="L3800">
        <f>IF('01_Вводные'!$B$234="Да",'19_Расчет_аналитики'!L3668,0)</f>
        <v/>
      </c>
      <c r="M3800">
        <f>IF('01_Вводные'!$B$234="Да",'19_Расчет_аналитики'!M3668,0)</f>
        <v/>
      </c>
      <c r="N3800">
        <f>IF('01_Вводные'!$B$234="Да",'19_Расчет_аналитики'!N3668,0)</f>
        <v/>
      </c>
      <c r="O3800">
        <f>IF('01_Вводные'!$B$234="Да",'19_Расчет_аналитики'!O3668,0)</f>
        <v/>
      </c>
      <c r="P3800">
        <f>IF('01_Вводные'!$B$234="Да",'19_Расчет_аналитики'!P3668,0)</f>
        <v/>
      </c>
      <c r="Q3800">
        <f>IF('01_Вводные'!$B$234="Да",'19_Расчет_аналитики'!Q3668,0)</f>
        <v/>
      </c>
      <c r="R3800">
        <f>IF('01_Вводные'!$B$234="Да",'19_Расчет_аналитики'!R3668,0)</f>
        <v/>
      </c>
      <c r="S3800">
        <f>IF('01_Вводные'!$B$234="Да",'19_Расчет_аналитики'!S3668,0)</f>
        <v/>
      </c>
      <c r="T3800">
        <f>IF('01_Вводные'!$B$234="Да",'19_Расчет_аналитики'!T3668,0)</f>
        <v/>
      </c>
      <c r="U3800">
        <f>IF('01_Вводные'!$B$234="Да",'19_Расчет_аналитики'!U3668,0)</f>
        <v/>
      </c>
      <c r="V3800">
        <f>IF('01_Вводные'!$B$234="Да",'19_Расчет_аналитики'!V3668,0)</f>
        <v/>
      </c>
      <c r="W3800">
        <f>IF('01_Вводные'!$B$234="Да",'19_Расчет_аналитики'!W3668,0)</f>
        <v/>
      </c>
      <c r="X3800">
        <f>IF('01_Вводные'!$B$234="Да",'19_Расчет_аналитики'!X3668,0)</f>
        <v/>
      </c>
      <c r="Y3800">
        <f>IF('01_Вводные'!$B$234="Да",'19_Расчет_аналитики'!Y3668,0)</f>
        <v/>
      </c>
      <c r="Z3800">
        <f>IF('01_Вводные'!$B$234="Да",'19_Расчет_аналитики'!Z3668,0)</f>
        <v/>
      </c>
      <c r="AA3800">
        <f>IF('01_Вводные'!$B$234="Да",'19_Расчет_аналитики'!AA3668,0)</f>
        <v/>
      </c>
      <c r="AB3800">
        <f>IF('01_Вводные'!$B$234="Да",'19_Расчет_аналитики'!AB3668,0)</f>
        <v/>
      </c>
      <c r="AC3800">
        <f>IF('01_Вводные'!$B$234="Да",'19_Расчет_аналитики'!AC3668,0)</f>
        <v/>
      </c>
      <c r="AD3800">
        <f>IF('01_Вводные'!$B$234="Да",'19_Расчет_аналитики'!AD3668,0)</f>
        <v/>
      </c>
      <c r="AE3800">
        <f>IF('01_Вводные'!$B$234="Да",'19_Расчет_аналитики'!AE3668,0)</f>
        <v/>
      </c>
      <c r="AF3800">
        <f>IF('01_Вводные'!$B$234="Да",'19_Расчет_аналитики'!AF3668,0)</f>
        <v/>
      </c>
      <c r="AG3800">
        <f>IF('01_Вводные'!$B$234="Да",'19_Расчет_аналитики'!AG3668,0)</f>
        <v/>
      </c>
      <c r="AH3800">
        <f>IF('01_Вводные'!$B$234="Да",'19_Расчет_аналитики'!AH3668,0)</f>
        <v/>
      </c>
      <c r="AI3800">
        <f>IF('01_Вводные'!$B$234="Да",'19_Расчет_аналитики'!AI3668,0)</f>
        <v/>
      </c>
      <c r="AJ3800">
        <f>IF('01_Вводные'!$B$234="Да",'19_Расчет_аналитики'!AJ3668,0)</f>
        <v/>
      </c>
      <c r="AK3800">
        <f>IF('01_Вводные'!$B$234="Да",'19_Расчет_аналитики'!AK3668,0)</f>
        <v/>
      </c>
      <c r="AL3800">
        <f>IF('01_Вводные'!$B$234="Да",'19_Расчет_аналитики'!AL3668,0)</f>
        <v/>
      </c>
      <c r="AM3800">
        <f>IF('01_Вводные'!$B$234="Да",'19_Расчет_аналитики'!AM3668,0)</f>
        <v/>
      </c>
      <c r="AN3800">
        <f>IF('01_Вводные'!$B$234="Да",'19_Расчет_аналитики'!AN3668,0)</f>
        <v/>
      </c>
      <c r="AO3800">
        <f>IF('01_Вводные'!$B$234="Да",'19_Расчет_аналитики'!AO3668,0)</f>
        <v/>
      </c>
      <c r="AP3800">
        <f>IF('01_Вводные'!$B$234="Да",'19_Расчет_аналитики'!AP3668,0)</f>
        <v/>
      </c>
      <c r="AQ3800">
        <f>IF('01_Вводные'!$B$234="Да",'19_Расчет_аналитики'!AQ3668,0)</f>
        <v/>
      </c>
      <c r="AR3800">
        <f>IF('01_Вводные'!$B$234="Да",'19_Расчет_аналитики'!AR3668,0)</f>
        <v/>
      </c>
      <c r="AS3800">
        <f>IF('01_Вводные'!$B$234="Да",'19_Расчет_аналитики'!AS3668,0)</f>
        <v/>
      </c>
      <c r="AT3800">
        <f>IF('01_Вводные'!$B$234="Да",'19_Расчет_аналитики'!AT3668,0)</f>
        <v/>
      </c>
      <c r="AU3800">
        <f>IF('01_Вводные'!$B$234="Да",'19_Расчет_аналитики'!AU3668,0)</f>
        <v/>
      </c>
      <c r="AV3800">
        <f>IF('01_Вводные'!$B$234="Да",'19_Расчет_аналитики'!AV3668,0)</f>
        <v/>
      </c>
      <c r="AW3800">
        <f>IF('01_Вводные'!$B$234="Да",'19_Расчет_аналитики'!AW3668,0)</f>
        <v/>
      </c>
      <c r="AX3800">
        <f>IF('01_Вводные'!$B$234="Да",'19_Расчет_аналитики'!AX3668,0)</f>
        <v/>
      </c>
      <c r="AY3800">
        <f>IF('01_Вводные'!$B$234="Да",'19_Расчет_аналитики'!AY3668,0)</f>
        <v/>
      </c>
      <c r="AZ3800">
        <f>IF('01_Вводные'!$B$234="Да",'19_Расчет_аналитики'!AZ3668,0)</f>
        <v/>
      </c>
      <c r="BA3800">
        <f>IF('01_Вводные'!$B$234="Да",'19_Расчет_аналитики'!BA3668,0)</f>
        <v/>
      </c>
      <c r="BB3800">
        <f>IF('01_Вводные'!$B$234="Да",'19_Расчет_аналитики'!BB3668,0)</f>
        <v/>
      </c>
      <c r="BC3800">
        <f>IF('01_Вводные'!$B$234="Да",'19_Расчет_аналитики'!BC3668,0)</f>
        <v/>
      </c>
      <c r="BD3800">
        <f>IF('01_Вводные'!$B$234="Да",'19_Расчет_аналитики'!BD3668,0)</f>
        <v/>
      </c>
      <c r="BE3800">
        <f>IF('01_Вводные'!$B$234="Да",'19_Расчет_аналитики'!BE3668,0)</f>
        <v/>
      </c>
      <c r="BF3800">
        <f>IF('01_Вводные'!$B$234="Да",'19_Расчет_аналитики'!BF3668,0)</f>
        <v/>
      </c>
      <c r="BG3800">
        <f>IF('01_Вводные'!$B$234="Да",'19_Расчет_аналитики'!BG3668,0)</f>
        <v/>
      </c>
      <c r="BH3800">
        <f>IF('01_Вводные'!$B$234="Да",'19_Расчет_аналитики'!BH3668,0)</f>
        <v/>
      </c>
      <c r="BI3800">
        <f>IF('01_Вводные'!$B$234="Да",'19_Расчет_аналитики'!BI3668,0)</f>
        <v/>
      </c>
    </row>
    <row r="3801">
      <c r="B3801">
        <f>IF('01_Вводные'!$B$234="Да",'19_Расчет_аналитики'!B3798-'19_Расчет_аналитики'!B3800,0)</f>
        <v/>
      </c>
      <c r="C3801">
        <f>IF('01_Вводные'!$B$234="Да",'19_Расчет_аналитики'!C3798-'19_Расчет_аналитики'!C3800,0)</f>
        <v/>
      </c>
      <c r="D3801">
        <f>IF('01_Вводные'!$B$234="Да",'19_Расчет_аналитики'!D3798-'19_Расчет_аналитики'!D3800,0)</f>
        <v/>
      </c>
      <c r="E3801">
        <f>IF('01_Вводные'!$B$234="Да",'19_Расчет_аналитики'!E3798-'19_Расчет_аналитики'!E3800,0)</f>
        <v/>
      </c>
      <c r="F3801">
        <f>IF('01_Вводные'!$B$234="Да",'19_Расчет_аналитики'!F3798-'19_Расчет_аналитики'!F3800,0)</f>
        <v/>
      </c>
      <c r="G3801">
        <f>IF('01_Вводные'!$B$234="Да",'19_Расчет_аналитики'!G3798-'19_Расчет_аналитики'!G3800,0)</f>
        <v/>
      </c>
      <c r="H3801">
        <f>IF('01_Вводные'!$B$234="Да",'19_Расчет_аналитики'!H3798-'19_Расчет_аналитики'!H3800,0)</f>
        <v/>
      </c>
      <c r="I3801">
        <f>IF('01_Вводные'!$B$234="Да",'19_Расчет_аналитики'!I3798-'19_Расчет_аналитики'!I3800,0)</f>
        <v/>
      </c>
      <c r="J3801">
        <f>IF('01_Вводные'!$B$234="Да",'19_Расчет_аналитики'!J3798-'19_Расчет_аналитики'!J3800,0)</f>
        <v/>
      </c>
      <c r="K3801">
        <f>IF('01_Вводные'!$B$234="Да",'19_Расчет_аналитики'!K3798-'19_Расчет_аналитики'!K3800,0)</f>
        <v/>
      </c>
      <c r="L3801">
        <f>IF('01_Вводные'!$B$234="Да",'19_Расчет_аналитики'!L3798-'19_Расчет_аналитики'!L3800,0)</f>
        <v/>
      </c>
      <c r="M3801">
        <f>IF('01_Вводные'!$B$234="Да",'19_Расчет_аналитики'!M3798-'19_Расчет_аналитики'!M3800,0)</f>
        <v/>
      </c>
      <c r="N3801">
        <f>IF('01_Вводные'!$B$234="Да",'19_Расчет_аналитики'!N3798-'19_Расчет_аналитики'!N3800,0)</f>
        <v/>
      </c>
      <c r="O3801">
        <f>IF('01_Вводные'!$B$234="Да",'19_Расчет_аналитики'!O3798-'19_Расчет_аналитики'!O3800,0)</f>
        <v/>
      </c>
      <c r="P3801">
        <f>IF('01_Вводные'!$B$234="Да",'19_Расчет_аналитики'!P3798-'19_Расчет_аналитики'!P3800,0)</f>
        <v/>
      </c>
      <c r="Q3801">
        <f>IF('01_Вводные'!$B$234="Да",'19_Расчет_аналитики'!Q3798-'19_Расчет_аналитики'!Q3800,0)</f>
        <v/>
      </c>
      <c r="R3801">
        <f>IF('01_Вводные'!$B$234="Да",'19_Расчет_аналитики'!R3798-'19_Расчет_аналитики'!R3800,0)</f>
        <v/>
      </c>
      <c r="S3801">
        <f>IF('01_Вводные'!$B$234="Да",'19_Расчет_аналитики'!S3798-'19_Расчет_аналитики'!S3800,0)</f>
        <v/>
      </c>
      <c r="T3801">
        <f>IF('01_Вводные'!$B$234="Да",'19_Расчет_аналитики'!T3798-'19_Расчет_аналитики'!T3800,0)</f>
        <v/>
      </c>
      <c r="U3801">
        <f>IF('01_Вводные'!$B$234="Да",'19_Расчет_аналитики'!U3798-'19_Расчет_аналитики'!U3800,0)</f>
        <v/>
      </c>
      <c r="V3801">
        <f>IF('01_Вводные'!$B$234="Да",'19_Расчет_аналитики'!V3798-'19_Расчет_аналитики'!V3800,0)</f>
        <v/>
      </c>
      <c r="W3801">
        <f>IF('01_Вводные'!$B$234="Да",'19_Расчет_аналитики'!W3798-'19_Расчет_аналитики'!W3800,0)</f>
        <v/>
      </c>
      <c r="X3801">
        <f>IF('01_Вводные'!$B$234="Да",'19_Расчет_аналитики'!X3798-'19_Расчет_аналитики'!X3800,0)</f>
        <v/>
      </c>
      <c r="Y3801">
        <f>IF('01_Вводные'!$B$234="Да",'19_Расчет_аналитики'!Y3798-'19_Расчет_аналитики'!Y3800,0)</f>
        <v/>
      </c>
      <c r="Z3801">
        <f>IF('01_Вводные'!$B$234="Да",'19_Расчет_аналитики'!Z3798-'19_Расчет_аналитики'!Z3800,0)</f>
        <v/>
      </c>
      <c r="AA3801">
        <f>IF('01_Вводные'!$B$234="Да",'19_Расчет_аналитики'!AA3798-'19_Расчет_аналитики'!AA3800,0)</f>
        <v/>
      </c>
      <c r="AB3801">
        <f>IF('01_Вводные'!$B$234="Да",'19_Расчет_аналитики'!AB3798-'19_Расчет_аналитики'!AB3800,0)</f>
        <v/>
      </c>
      <c r="AC3801">
        <f>IF('01_Вводные'!$B$234="Да",'19_Расчет_аналитики'!AC3798-'19_Расчет_аналитики'!AC3800,0)</f>
        <v/>
      </c>
      <c r="AD3801">
        <f>IF('01_Вводные'!$B$234="Да",'19_Расчет_аналитики'!AD3798-'19_Расчет_аналитики'!AD3800,0)</f>
        <v/>
      </c>
      <c r="AE3801">
        <f>IF('01_Вводные'!$B$234="Да",'19_Расчет_аналитики'!AE3798-'19_Расчет_аналитики'!AE3800,0)</f>
        <v/>
      </c>
      <c r="AF3801">
        <f>IF('01_Вводные'!$B$234="Да",'19_Расчет_аналитики'!AF3798-'19_Расчет_аналитики'!AF3800,0)</f>
        <v/>
      </c>
      <c r="AG3801">
        <f>IF('01_Вводные'!$B$234="Да",'19_Расчет_аналитики'!AG3798-'19_Расчет_аналитики'!AG3800,0)</f>
        <v/>
      </c>
      <c r="AH3801">
        <f>IF('01_Вводные'!$B$234="Да",'19_Расчет_аналитики'!AH3798-'19_Расчет_аналитики'!AH3800,0)</f>
        <v/>
      </c>
      <c r="AI3801">
        <f>IF('01_Вводные'!$B$234="Да",'19_Расчет_аналитики'!AI3798-'19_Расчет_аналитики'!AI3800,0)</f>
        <v/>
      </c>
      <c r="AJ3801">
        <f>IF('01_Вводные'!$B$234="Да",'19_Расчет_аналитики'!AJ3798-'19_Расчет_аналитики'!AJ3800,0)</f>
        <v/>
      </c>
      <c r="AK3801">
        <f>IF('01_Вводные'!$B$234="Да",'19_Расчет_аналитики'!AK3798-'19_Расчет_аналитики'!AK3800,0)</f>
        <v/>
      </c>
      <c r="AL3801">
        <f>IF('01_Вводные'!$B$234="Да",'19_Расчет_аналитики'!AL3798-'19_Расчет_аналитики'!AL3800,0)</f>
        <v/>
      </c>
      <c r="AM3801">
        <f>IF('01_Вводные'!$B$234="Да",'19_Расчет_аналитики'!AM3798-'19_Расчет_аналитики'!AM3800,0)</f>
        <v/>
      </c>
      <c r="AN3801">
        <f>IF('01_Вводные'!$B$234="Да",'19_Расчет_аналитики'!AN3798-'19_Расчет_аналитики'!AN3800,0)</f>
        <v/>
      </c>
      <c r="AO3801">
        <f>IF('01_Вводные'!$B$234="Да",'19_Расчет_аналитики'!AO3798-'19_Расчет_аналитики'!AO3800,0)</f>
        <v/>
      </c>
      <c r="AP3801">
        <f>IF('01_Вводные'!$B$234="Да",'19_Расчет_аналитики'!AP3798-'19_Расчет_аналитики'!AP3800,0)</f>
        <v/>
      </c>
      <c r="AQ3801">
        <f>IF('01_Вводные'!$B$234="Да",'19_Расчет_аналитики'!AQ3798-'19_Расчет_аналитики'!AQ3800,0)</f>
        <v/>
      </c>
      <c r="AR3801">
        <f>IF('01_Вводные'!$B$234="Да",'19_Расчет_аналитики'!AR3798-'19_Расчет_аналитики'!AR3800,0)</f>
        <v/>
      </c>
      <c r="AS3801">
        <f>IF('01_Вводные'!$B$234="Да",'19_Расчет_аналитики'!AS3798-'19_Расчет_аналитики'!AS3800,0)</f>
        <v/>
      </c>
      <c r="AT3801">
        <f>IF('01_Вводные'!$B$234="Да",'19_Расчет_аналитики'!AT3798-'19_Расчет_аналитики'!AT3800,0)</f>
        <v/>
      </c>
      <c r="AU3801">
        <f>IF('01_Вводные'!$B$234="Да",'19_Расчет_аналитики'!AU3798-'19_Расчет_аналитики'!AU3800,0)</f>
        <v/>
      </c>
      <c r="AV3801">
        <f>IF('01_Вводные'!$B$234="Да",'19_Расчет_аналитики'!AV3798-'19_Расчет_аналитики'!AV3800,0)</f>
        <v/>
      </c>
      <c r="AW3801">
        <f>IF('01_Вводные'!$B$234="Да",'19_Расчет_аналитики'!AW3798-'19_Расчет_аналитики'!AW3800,0)</f>
        <v/>
      </c>
      <c r="AX3801">
        <f>IF('01_Вводные'!$B$234="Да",'19_Расчет_аналитики'!AX3798-'19_Расчет_аналитики'!AX3800,0)</f>
        <v/>
      </c>
      <c r="AY3801">
        <f>IF('01_Вводные'!$B$234="Да",'19_Расчет_аналитики'!AY3798-'19_Расчет_аналитики'!AY3800,0)</f>
        <v/>
      </c>
      <c r="AZ3801">
        <f>IF('01_Вводные'!$B$234="Да",'19_Расчет_аналитики'!AZ3798-'19_Расчет_аналитики'!AZ3800,0)</f>
        <v/>
      </c>
      <c r="BA3801">
        <f>IF('01_Вводные'!$B$234="Да",'19_Расчет_аналитики'!BA3798-'19_Расчет_аналитики'!BA3800,0)</f>
        <v/>
      </c>
      <c r="BB3801">
        <f>IF('01_Вводные'!$B$234="Да",'19_Расчет_аналитики'!BB3798-'19_Расчет_аналитики'!BB3800,0)</f>
        <v/>
      </c>
      <c r="BC3801">
        <f>IF('01_Вводные'!$B$234="Да",'19_Расчет_аналитики'!BC3798-'19_Расчет_аналитики'!BC3800,0)</f>
        <v/>
      </c>
      <c r="BD3801">
        <f>IF('01_Вводные'!$B$234="Да",'19_Расчет_аналитики'!BD3798-'19_Расчет_аналитики'!BD3800,0)</f>
        <v/>
      </c>
      <c r="BE3801">
        <f>IF('01_Вводные'!$B$234="Да",'19_Расчет_аналитики'!BE3798-'19_Расчет_аналитики'!BE3800,0)</f>
        <v/>
      </c>
      <c r="BF3801">
        <f>IF('01_Вводные'!$B$234="Да",'19_Расчет_аналитики'!BF3798-'19_Расчет_аналитики'!BF3800,0)</f>
        <v/>
      </c>
      <c r="BG3801">
        <f>IF('01_Вводные'!$B$234="Да",'19_Расчет_аналитики'!BG3798-'19_Расчет_аналитики'!BG3800,0)</f>
        <v/>
      </c>
      <c r="BH3801">
        <f>IF('01_Вводные'!$B$234="Да",'19_Расчет_аналитики'!BH3798-'19_Расчет_аналитики'!BH3800,0)</f>
        <v/>
      </c>
      <c r="BI3801">
        <f>IF('01_Вводные'!$B$234="Да",'19_Расчет_аналитики'!BI3798-'19_Расчет_аналитики'!BI3800,0)</f>
        <v/>
      </c>
    </row>
    <row r="3802">
      <c r="B3802">
        <f>IF('01_Вводные'!$B$234="Да",'02_Модель'!B51+'19_Расчет_аналитики'!B3801,0)</f>
        <v/>
      </c>
      <c r="C3802">
        <f>IF('01_Вводные'!$B$234="Да",'19_Расчет_аналитики'!C3781+'19_Расчет_аналитики'!C3801,0)</f>
        <v/>
      </c>
      <c r="D3802">
        <f>IF('01_Вводные'!$B$234="Да",'19_Расчет_аналитики'!D3781+'19_Расчет_аналитики'!D3801,0)</f>
        <v/>
      </c>
      <c r="E3802">
        <f>IF('01_Вводные'!$B$234="Да",'19_Расчет_аналитики'!E3781+'19_Расчет_аналитики'!E3801,0)</f>
        <v/>
      </c>
      <c r="F3802">
        <f>IF('01_Вводные'!$B$234="Да",'19_Расчет_аналитики'!F3781+'19_Расчет_аналитики'!F3801,0)</f>
        <v/>
      </c>
      <c r="G3802">
        <f>IF('01_Вводные'!$B$234="Да",'19_Расчет_аналитики'!G3781+'19_Расчет_аналитики'!G3801,0)</f>
        <v/>
      </c>
      <c r="H3802">
        <f>IF('01_Вводные'!$B$234="Да",'19_Расчет_аналитики'!H3781+'19_Расчет_аналитики'!H3801,0)</f>
        <v/>
      </c>
      <c r="I3802">
        <f>IF('01_Вводные'!$B$234="Да",'19_Расчет_аналитики'!I3781+'19_Расчет_аналитики'!I3801,0)</f>
        <v/>
      </c>
      <c r="J3802">
        <f>IF('01_Вводные'!$B$234="Да",'19_Расчет_аналитики'!J3781+'19_Расчет_аналитики'!J3801,0)</f>
        <v/>
      </c>
      <c r="K3802">
        <f>IF('01_Вводные'!$B$234="Да",'19_Расчет_аналитики'!K3781+'19_Расчет_аналитики'!K3801,0)</f>
        <v/>
      </c>
      <c r="L3802">
        <f>IF('01_Вводные'!$B$234="Да",'19_Расчет_аналитики'!L3781+'19_Расчет_аналитики'!L3801,0)</f>
        <v/>
      </c>
      <c r="M3802">
        <f>IF('01_Вводные'!$B$234="Да",'19_Расчет_аналитики'!M3781+'19_Расчет_аналитики'!M3801,0)</f>
        <v/>
      </c>
      <c r="N3802">
        <f>IF('01_Вводные'!$B$234="Да",'19_Расчет_аналитики'!N3781+'19_Расчет_аналитики'!N3801,0)</f>
        <v/>
      </c>
      <c r="O3802">
        <f>IF('01_Вводные'!$B$234="Да",'19_Расчет_аналитики'!O3781+'19_Расчет_аналитики'!O3801,0)</f>
        <v/>
      </c>
      <c r="P3802">
        <f>IF('01_Вводные'!$B$234="Да",'19_Расчет_аналитики'!P3781+'19_Расчет_аналитики'!P3801,0)</f>
        <v/>
      </c>
      <c r="Q3802">
        <f>IF('01_Вводные'!$B$234="Да",'19_Расчет_аналитики'!Q3781+'19_Расчет_аналитики'!Q3801,0)</f>
        <v/>
      </c>
      <c r="R3802">
        <f>IF('01_Вводные'!$B$234="Да",'19_Расчет_аналитики'!R3781+'19_Расчет_аналитики'!R3801,0)</f>
        <v/>
      </c>
      <c r="S3802">
        <f>IF('01_Вводные'!$B$234="Да",'19_Расчет_аналитики'!S3781+'19_Расчет_аналитики'!S3801,0)</f>
        <v/>
      </c>
      <c r="T3802">
        <f>IF('01_Вводные'!$B$234="Да",'19_Расчет_аналитики'!T3781+'19_Расчет_аналитики'!T3801,0)</f>
        <v/>
      </c>
      <c r="U3802">
        <f>IF('01_Вводные'!$B$234="Да",'19_Расчет_аналитики'!U3781+'19_Расчет_аналитики'!U3801,0)</f>
        <v/>
      </c>
      <c r="V3802">
        <f>IF('01_Вводные'!$B$234="Да",'19_Расчет_аналитики'!V3781+'19_Расчет_аналитики'!V3801,0)</f>
        <v/>
      </c>
      <c r="W3802">
        <f>IF('01_Вводные'!$B$234="Да",'19_Расчет_аналитики'!W3781+'19_Расчет_аналитики'!W3801,0)</f>
        <v/>
      </c>
      <c r="X3802">
        <f>IF('01_Вводные'!$B$234="Да",'19_Расчет_аналитики'!X3781+'19_Расчет_аналитики'!X3801,0)</f>
        <v/>
      </c>
      <c r="Y3802">
        <f>IF('01_Вводные'!$B$234="Да",'19_Расчет_аналитики'!Y3781+'19_Расчет_аналитики'!Y3801,0)</f>
        <v/>
      </c>
      <c r="Z3802">
        <f>IF('01_Вводные'!$B$234="Да",'19_Расчет_аналитики'!Z3781+'19_Расчет_аналитики'!Z3801,0)</f>
        <v/>
      </c>
      <c r="AA3802">
        <f>IF('01_Вводные'!$B$234="Да",'19_Расчет_аналитики'!AA3781+'19_Расчет_аналитики'!AA3801,0)</f>
        <v/>
      </c>
      <c r="AB3802">
        <f>IF('01_Вводные'!$B$234="Да",'19_Расчет_аналитики'!AB3781+'19_Расчет_аналитики'!AB3801,0)</f>
        <v/>
      </c>
      <c r="AC3802">
        <f>IF('01_Вводные'!$B$234="Да",'19_Расчет_аналитики'!AC3781+'19_Расчет_аналитики'!AC3801,0)</f>
        <v/>
      </c>
      <c r="AD3802">
        <f>IF('01_Вводные'!$B$234="Да",'19_Расчет_аналитики'!AD3781+'19_Расчет_аналитики'!AD3801,0)</f>
        <v/>
      </c>
      <c r="AE3802">
        <f>IF('01_Вводные'!$B$234="Да",'19_Расчет_аналитики'!AE3781+'19_Расчет_аналитики'!AE3801,0)</f>
        <v/>
      </c>
      <c r="AF3802">
        <f>IF('01_Вводные'!$B$234="Да",'19_Расчет_аналитики'!AF3781+'19_Расчет_аналитики'!AF3801,0)</f>
        <v/>
      </c>
      <c r="AG3802">
        <f>IF('01_Вводные'!$B$234="Да",'19_Расчет_аналитики'!AG3781+'19_Расчет_аналитики'!AG3801,0)</f>
        <v/>
      </c>
      <c r="AH3802">
        <f>IF('01_Вводные'!$B$234="Да",'19_Расчет_аналитики'!AH3781+'19_Расчет_аналитики'!AH3801,0)</f>
        <v/>
      </c>
      <c r="AI3802">
        <f>IF('01_Вводные'!$B$234="Да",'19_Расчет_аналитики'!AI3781+'19_Расчет_аналитики'!AI3801,0)</f>
        <v/>
      </c>
      <c r="AJ3802">
        <f>IF('01_Вводные'!$B$234="Да",'19_Расчет_аналитики'!AJ3781+'19_Расчет_аналитики'!AJ3801,0)</f>
        <v/>
      </c>
      <c r="AK3802">
        <f>IF('01_Вводные'!$B$234="Да",'19_Расчет_аналитики'!AK3781+'19_Расчет_аналитики'!AK3801,0)</f>
        <v/>
      </c>
      <c r="AL3802">
        <f>IF('01_Вводные'!$B$234="Да",'19_Расчет_аналитики'!AL3781+'19_Расчет_аналитики'!AL3801,0)</f>
        <v/>
      </c>
      <c r="AM3802">
        <f>IF('01_Вводные'!$B$234="Да",'19_Расчет_аналитики'!AM3781+'19_Расчет_аналитики'!AM3801,0)</f>
        <v/>
      </c>
      <c r="AN3802">
        <f>IF('01_Вводные'!$B$234="Да",'19_Расчет_аналитики'!AN3781+'19_Расчет_аналитики'!AN3801,0)</f>
        <v/>
      </c>
      <c r="AO3802">
        <f>IF('01_Вводные'!$B$234="Да",'19_Расчет_аналитики'!AO3781+'19_Расчет_аналитики'!AO3801,0)</f>
        <v/>
      </c>
      <c r="AP3802">
        <f>IF('01_Вводные'!$B$234="Да",'19_Расчет_аналитики'!AP3781+'19_Расчет_аналитики'!AP3801,0)</f>
        <v/>
      </c>
      <c r="AQ3802">
        <f>IF('01_Вводные'!$B$234="Да",'19_Расчет_аналитики'!AQ3781+'19_Расчет_аналитики'!AQ3801,0)</f>
        <v/>
      </c>
      <c r="AR3802">
        <f>IF('01_Вводные'!$B$234="Да",'19_Расчет_аналитики'!AR3781+'19_Расчет_аналитики'!AR3801,0)</f>
        <v/>
      </c>
      <c r="AS3802">
        <f>IF('01_Вводные'!$B$234="Да",'19_Расчет_аналитики'!AS3781+'19_Расчет_аналитики'!AS3801,0)</f>
        <v/>
      </c>
      <c r="AT3802">
        <f>IF('01_Вводные'!$B$234="Да",'19_Расчет_аналитики'!AT3781+'19_Расчет_аналитики'!AT3801,0)</f>
        <v/>
      </c>
      <c r="AU3802">
        <f>IF('01_Вводные'!$B$234="Да",'19_Расчет_аналитики'!AU3781+'19_Расчет_аналитики'!AU3801,0)</f>
        <v/>
      </c>
      <c r="AV3802">
        <f>IF('01_Вводные'!$B$234="Да",'19_Расчет_аналитики'!AV3781+'19_Расчет_аналитики'!AV3801,0)</f>
        <v/>
      </c>
      <c r="AW3802">
        <f>IF('01_Вводные'!$B$234="Да",'19_Расчет_аналитики'!AW3781+'19_Расчет_аналитики'!AW3801,0)</f>
        <v/>
      </c>
      <c r="AX3802">
        <f>IF('01_Вводные'!$B$234="Да",'19_Расчет_аналитики'!AX3781+'19_Расчет_аналитики'!AX3801,0)</f>
        <v/>
      </c>
      <c r="AY3802">
        <f>IF('01_Вводные'!$B$234="Да",'19_Расчет_аналитики'!AY3781+'19_Расчет_аналитики'!AY3801,0)</f>
        <v/>
      </c>
      <c r="AZ3802">
        <f>IF('01_Вводные'!$B$234="Да",'19_Расчет_аналитики'!AZ3781+'19_Расчет_аналитики'!AZ3801,0)</f>
        <v/>
      </c>
      <c r="BA3802">
        <f>IF('01_Вводные'!$B$234="Да",'19_Расчет_аналитики'!BA3781+'19_Расчет_аналитики'!BA3801,0)</f>
        <v/>
      </c>
      <c r="BB3802">
        <f>IF('01_Вводные'!$B$234="Да",'19_Расчет_аналитики'!BB3781+'19_Расчет_аналитики'!BB3801,0)</f>
        <v/>
      </c>
      <c r="BC3802">
        <f>IF('01_Вводные'!$B$234="Да",'19_Расчет_аналитики'!BC3781+'19_Расчет_аналитики'!BC3801,0)</f>
        <v/>
      </c>
      <c r="BD3802">
        <f>IF('01_Вводные'!$B$234="Да",'19_Расчет_аналитики'!BD3781+'19_Расчет_аналитики'!BD3801,0)</f>
        <v/>
      </c>
      <c r="BE3802">
        <f>IF('01_Вводные'!$B$234="Да",'19_Расчет_аналитики'!BE3781+'19_Расчет_аналитики'!BE3801,0)</f>
        <v/>
      </c>
      <c r="BF3802">
        <f>IF('01_Вводные'!$B$234="Да",'19_Расчет_аналитики'!BF3781+'19_Расчет_аналитики'!BF3801,0)</f>
        <v/>
      </c>
      <c r="BG3802">
        <f>IF('01_Вводные'!$B$234="Да",'19_Расчет_аналитики'!BG3781+'19_Расчет_аналитики'!BG3801,0)</f>
        <v/>
      </c>
      <c r="BH3802">
        <f>IF('01_Вводные'!$B$234="Да",'19_Расчет_аналитики'!BH3781+'19_Расчет_аналитики'!BH3801,0)</f>
        <v/>
      </c>
      <c r="BI3802">
        <f>IF('01_Вводные'!$B$234="Да",'19_Расчет_аналитики'!BI3781+'19_Расчет_аналитики'!BI3801,0)</f>
        <v/>
      </c>
    </row>
    <row r="3803"/>
    <row r="3804"/>
    <row r="3805">
      <c r="B3805">
        <f>IF('01_Вводные'!$B$234="Да",'19_Расчет_аналитики'!B3669,0)</f>
        <v/>
      </c>
      <c r="C3805">
        <f>IF('01_Вводные'!$B$234="Да",'19_Расчет_аналитики'!C3669,0)</f>
        <v/>
      </c>
      <c r="D3805">
        <f>IF('01_Вводные'!$B$234="Да",'19_Расчет_аналитики'!D3669,0)</f>
        <v/>
      </c>
      <c r="E3805">
        <f>IF('01_Вводные'!$B$234="Да",'19_Расчет_аналитики'!E3669,0)</f>
        <v/>
      </c>
      <c r="F3805">
        <f>IF('01_Вводные'!$B$234="Да",'19_Расчет_аналитики'!F3669,0)</f>
        <v/>
      </c>
      <c r="G3805">
        <f>IF('01_Вводные'!$B$234="Да",'19_Расчет_аналитики'!G3669,0)</f>
        <v/>
      </c>
      <c r="H3805">
        <f>IF('01_Вводные'!$B$234="Да",'19_Расчет_аналитики'!H3669,0)</f>
        <v/>
      </c>
      <c r="I3805">
        <f>IF('01_Вводные'!$B$234="Да",'19_Расчет_аналитики'!I3669,0)</f>
        <v/>
      </c>
      <c r="J3805">
        <f>IF('01_Вводные'!$B$234="Да",'19_Расчет_аналитики'!J3669,0)</f>
        <v/>
      </c>
      <c r="K3805">
        <f>IF('01_Вводные'!$B$234="Да",'19_Расчет_аналитики'!K3669,0)</f>
        <v/>
      </c>
      <c r="L3805">
        <f>IF('01_Вводные'!$B$234="Да",'19_Расчет_аналитики'!L3669,0)</f>
        <v/>
      </c>
      <c r="M3805">
        <f>IF('01_Вводные'!$B$234="Да",'19_Расчет_аналитики'!M3669,0)</f>
        <v/>
      </c>
      <c r="N3805">
        <f>IF('01_Вводные'!$B$234="Да",'19_Расчет_аналитики'!N3669,0)</f>
        <v/>
      </c>
      <c r="O3805">
        <f>IF('01_Вводные'!$B$234="Да",'19_Расчет_аналитики'!O3669,0)</f>
        <v/>
      </c>
      <c r="P3805">
        <f>IF('01_Вводные'!$B$234="Да",'19_Расчет_аналитики'!P3669,0)</f>
        <v/>
      </c>
      <c r="Q3805">
        <f>IF('01_Вводные'!$B$234="Да",'19_Расчет_аналитики'!Q3669,0)</f>
        <v/>
      </c>
      <c r="R3805">
        <f>IF('01_Вводные'!$B$234="Да",'19_Расчет_аналитики'!R3669,0)</f>
        <v/>
      </c>
      <c r="S3805">
        <f>IF('01_Вводные'!$B$234="Да",'19_Расчет_аналитики'!S3669,0)</f>
        <v/>
      </c>
      <c r="T3805">
        <f>IF('01_Вводные'!$B$234="Да",'19_Расчет_аналитики'!T3669,0)</f>
        <v/>
      </c>
      <c r="U3805">
        <f>IF('01_Вводные'!$B$234="Да",'19_Расчет_аналитики'!U3669,0)</f>
        <v/>
      </c>
      <c r="V3805">
        <f>IF('01_Вводные'!$B$234="Да",'19_Расчет_аналитики'!V3669,0)</f>
        <v/>
      </c>
      <c r="W3805">
        <f>IF('01_Вводные'!$B$234="Да",'19_Расчет_аналитики'!W3669,0)</f>
        <v/>
      </c>
      <c r="X3805">
        <f>IF('01_Вводные'!$B$234="Да",'19_Расчет_аналитики'!X3669,0)</f>
        <v/>
      </c>
      <c r="Y3805">
        <f>IF('01_Вводные'!$B$234="Да",'19_Расчет_аналитики'!Y3669,0)</f>
        <v/>
      </c>
      <c r="Z3805">
        <f>IF('01_Вводные'!$B$234="Да",'19_Расчет_аналитики'!Z3669,0)</f>
        <v/>
      </c>
      <c r="AA3805">
        <f>IF('01_Вводные'!$B$234="Да",'19_Расчет_аналитики'!AA3669,0)</f>
        <v/>
      </c>
      <c r="AB3805">
        <f>IF('01_Вводные'!$B$234="Да",'19_Расчет_аналитики'!AB3669,0)</f>
        <v/>
      </c>
      <c r="AC3805">
        <f>IF('01_Вводные'!$B$234="Да",'19_Расчет_аналитики'!AC3669,0)</f>
        <v/>
      </c>
      <c r="AD3805">
        <f>IF('01_Вводные'!$B$234="Да",'19_Расчет_аналитики'!AD3669,0)</f>
        <v/>
      </c>
      <c r="AE3805">
        <f>IF('01_Вводные'!$B$234="Да",'19_Расчет_аналитики'!AE3669,0)</f>
        <v/>
      </c>
      <c r="AF3805">
        <f>IF('01_Вводные'!$B$234="Да",'19_Расчет_аналитики'!AF3669,0)</f>
        <v/>
      </c>
      <c r="AG3805">
        <f>IF('01_Вводные'!$B$234="Да",'19_Расчет_аналитики'!AG3669,0)</f>
        <v/>
      </c>
      <c r="AH3805">
        <f>IF('01_Вводные'!$B$234="Да",'19_Расчет_аналитики'!AH3669,0)</f>
        <v/>
      </c>
      <c r="AI3805">
        <f>IF('01_Вводные'!$B$234="Да",'19_Расчет_аналитики'!AI3669,0)</f>
        <v/>
      </c>
      <c r="AJ3805">
        <f>IF('01_Вводные'!$B$234="Да",'19_Расчет_аналитики'!AJ3669,0)</f>
        <v/>
      </c>
      <c r="AK3805">
        <f>IF('01_Вводные'!$B$234="Да",'19_Расчет_аналитики'!AK3669,0)</f>
        <v/>
      </c>
      <c r="AL3805">
        <f>IF('01_Вводные'!$B$234="Да",'19_Расчет_аналитики'!AL3669,0)</f>
        <v/>
      </c>
      <c r="AM3805">
        <f>IF('01_Вводные'!$B$234="Да",'19_Расчет_аналитики'!AM3669,0)</f>
        <v/>
      </c>
      <c r="AN3805">
        <f>IF('01_Вводные'!$B$234="Да",'19_Расчет_аналитики'!AN3669,0)</f>
        <v/>
      </c>
      <c r="AO3805">
        <f>IF('01_Вводные'!$B$234="Да",'19_Расчет_аналитики'!AO3669,0)</f>
        <v/>
      </c>
      <c r="AP3805">
        <f>IF('01_Вводные'!$B$234="Да",'19_Расчет_аналитики'!AP3669,0)</f>
        <v/>
      </c>
      <c r="AQ3805">
        <f>IF('01_Вводные'!$B$234="Да",'19_Расчет_аналитики'!AQ3669,0)</f>
        <v/>
      </c>
      <c r="AR3805">
        <f>IF('01_Вводные'!$B$234="Да",'19_Расчет_аналитики'!AR3669,0)</f>
        <v/>
      </c>
      <c r="AS3805">
        <f>IF('01_Вводные'!$B$234="Да",'19_Расчет_аналитики'!AS3669,0)</f>
        <v/>
      </c>
      <c r="AT3805">
        <f>IF('01_Вводные'!$B$234="Да",'19_Расчет_аналитики'!AT3669,0)</f>
        <v/>
      </c>
      <c r="AU3805">
        <f>IF('01_Вводные'!$B$234="Да",'19_Расчет_аналитики'!AU3669,0)</f>
        <v/>
      </c>
      <c r="AV3805">
        <f>IF('01_Вводные'!$B$234="Да",'19_Расчет_аналитики'!AV3669,0)</f>
        <v/>
      </c>
      <c r="AW3805">
        <f>IF('01_Вводные'!$B$234="Да",'19_Расчет_аналитики'!AW3669,0)</f>
        <v/>
      </c>
      <c r="AX3805">
        <f>IF('01_Вводные'!$B$234="Да",'19_Расчет_аналитики'!AX3669,0)</f>
        <v/>
      </c>
      <c r="AY3805">
        <f>IF('01_Вводные'!$B$234="Да",'19_Расчет_аналитики'!AY3669,0)</f>
        <v/>
      </c>
      <c r="AZ3805">
        <f>IF('01_Вводные'!$B$234="Да",'19_Расчет_аналитики'!AZ3669,0)</f>
        <v/>
      </c>
      <c r="BA3805">
        <f>IF('01_Вводные'!$B$234="Да",'19_Расчет_аналитики'!BA3669,0)</f>
        <v/>
      </c>
      <c r="BB3805">
        <f>IF('01_Вводные'!$B$234="Да",'19_Расчет_аналитики'!BB3669,0)</f>
        <v/>
      </c>
      <c r="BC3805">
        <f>IF('01_Вводные'!$B$234="Да",'19_Расчет_аналитики'!BC3669,0)</f>
        <v/>
      </c>
      <c r="BD3805">
        <f>IF('01_Вводные'!$B$234="Да",'19_Расчет_аналитики'!BD3669,0)</f>
        <v/>
      </c>
      <c r="BE3805">
        <f>IF('01_Вводные'!$B$234="Да",'19_Расчет_аналитики'!BE3669,0)</f>
        <v/>
      </c>
      <c r="BF3805">
        <f>IF('01_Вводные'!$B$234="Да",'19_Расчет_аналитики'!BF3669,0)</f>
        <v/>
      </c>
      <c r="BG3805">
        <f>IF('01_Вводные'!$B$234="Да",'19_Расчет_аналитики'!BG3669,0)</f>
        <v/>
      </c>
      <c r="BH3805">
        <f>IF('01_Вводные'!$B$234="Да",'19_Расчет_аналитики'!BH3669,0)</f>
        <v/>
      </c>
      <c r="BI3805">
        <f>IF('01_Вводные'!$B$234="Да",'19_Расчет_аналитики'!BI3669,0)</f>
        <v/>
      </c>
    </row>
    <row r="3806">
      <c r="B3806">
        <f>IF('01_Вводные'!$B$234="Да",'19_Расчет_аналитики'!B3663,0)</f>
        <v/>
      </c>
      <c r="C3806">
        <f>IF('01_Вводные'!$B$234="Да",'19_Расчет_аналитики'!C3663,0)</f>
        <v/>
      </c>
      <c r="D3806">
        <f>IF('01_Вводные'!$B$234="Да",'19_Расчет_аналитики'!D3663,0)</f>
        <v/>
      </c>
      <c r="E3806">
        <f>IF('01_Вводные'!$B$234="Да",'19_Расчет_аналитики'!E3663,0)</f>
        <v/>
      </c>
      <c r="F3806">
        <f>IF('01_Вводные'!$B$234="Да",'19_Расчет_аналитики'!F3663,0)</f>
        <v/>
      </c>
      <c r="G3806">
        <f>IF('01_Вводные'!$B$234="Да",'19_Расчет_аналитики'!G3663,0)</f>
        <v/>
      </c>
      <c r="H3806">
        <f>IF('01_Вводные'!$B$234="Да",'19_Расчет_аналитики'!H3663,0)</f>
        <v/>
      </c>
      <c r="I3806">
        <f>IF('01_Вводные'!$B$234="Да",'19_Расчет_аналитики'!I3663,0)</f>
        <v/>
      </c>
      <c r="J3806">
        <f>IF('01_Вводные'!$B$234="Да",'19_Расчет_аналитики'!J3663,0)</f>
        <v/>
      </c>
      <c r="K3806">
        <f>IF('01_Вводные'!$B$234="Да",'19_Расчет_аналитики'!K3663,0)</f>
        <v/>
      </c>
      <c r="L3806">
        <f>IF('01_Вводные'!$B$234="Да",'19_Расчет_аналитики'!L3663,0)</f>
        <v/>
      </c>
      <c r="M3806">
        <f>IF('01_Вводные'!$B$234="Да",'19_Расчет_аналитики'!M3663,0)</f>
        <v/>
      </c>
      <c r="N3806">
        <f>IF('01_Вводные'!$B$234="Да",'19_Расчет_аналитики'!N3663,0)</f>
        <v/>
      </c>
      <c r="O3806">
        <f>IF('01_Вводные'!$B$234="Да",'19_Расчет_аналитики'!O3663,0)</f>
        <v/>
      </c>
      <c r="P3806">
        <f>IF('01_Вводные'!$B$234="Да",'19_Расчет_аналитики'!P3663,0)</f>
        <v/>
      </c>
      <c r="Q3806">
        <f>IF('01_Вводные'!$B$234="Да",'19_Расчет_аналитики'!Q3663,0)</f>
        <v/>
      </c>
      <c r="R3806">
        <f>IF('01_Вводные'!$B$234="Да",'19_Расчет_аналитики'!R3663,0)</f>
        <v/>
      </c>
      <c r="S3806">
        <f>IF('01_Вводные'!$B$234="Да",'19_Расчет_аналитики'!S3663,0)</f>
        <v/>
      </c>
      <c r="T3806">
        <f>IF('01_Вводные'!$B$234="Да",'19_Расчет_аналитики'!T3663,0)</f>
        <v/>
      </c>
      <c r="U3806">
        <f>IF('01_Вводные'!$B$234="Да",'19_Расчет_аналитики'!U3663,0)</f>
        <v/>
      </c>
      <c r="V3806">
        <f>IF('01_Вводные'!$B$234="Да",'19_Расчет_аналитики'!V3663,0)</f>
        <v/>
      </c>
      <c r="W3806">
        <f>IF('01_Вводные'!$B$234="Да",'19_Расчет_аналитики'!W3663,0)</f>
        <v/>
      </c>
      <c r="X3806">
        <f>IF('01_Вводные'!$B$234="Да",'19_Расчет_аналитики'!X3663,0)</f>
        <v/>
      </c>
      <c r="Y3806">
        <f>IF('01_Вводные'!$B$234="Да",'19_Расчет_аналитики'!Y3663,0)</f>
        <v/>
      </c>
      <c r="Z3806">
        <f>IF('01_Вводные'!$B$234="Да",'19_Расчет_аналитики'!Z3663,0)</f>
        <v/>
      </c>
      <c r="AA3806">
        <f>IF('01_Вводные'!$B$234="Да",'19_Расчет_аналитики'!AA3663,0)</f>
        <v/>
      </c>
      <c r="AB3806">
        <f>IF('01_Вводные'!$B$234="Да",'19_Расчет_аналитики'!AB3663,0)</f>
        <v/>
      </c>
      <c r="AC3806">
        <f>IF('01_Вводные'!$B$234="Да",'19_Расчет_аналитики'!AC3663,0)</f>
        <v/>
      </c>
      <c r="AD3806">
        <f>IF('01_Вводные'!$B$234="Да",'19_Расчет_аналитики'!AD3663,0)</f>
        <v/>
      </c>
      <c r="AE3806">
        <f>IF('01_Вводные'!$B$234="Да",'19_Расчет_аналитики'!AE3663,0)</f>
        <v/>
      </c>
      <c r="AF3806">
        <f>IF('01_Вводные'!$B$234="Да",'19_Расчет_аналитики'!AF3663,0)</f>
        <v/>
      </c>
      <c r="AG3806">
        <f>IF('01_Вводные'!$B$234="Да",'19_Расчет_аналитики'!AG3663,0)</f>
        <v/>
      </c>
      <c r="AH3806">
        <f>IF('01_Вводные'!$B$234="Да",'19_Расчет_аналитики'!AH3663,0)</f>
        <v/>
      </c>
      <c r="AI3806">
        <f>IF('01_Вводные'!$B$234="Да",'19_Расчет_аналитики'!AI3663,0)</f>
        <v/>
      </c>
      <c r="AJ3806">
        <f>IF('01_Вводные'!$B$234="Да",'19_Расчет_аналитики'!AJ3663,0)</f>
        <v/>
      </c>
      <c r="AK3806">
        <f>IF('01_Вводные'!$B$234="Да",'19_Расчет_аналитики'!AK3663,0)</f>
        <v/>
      </c>
      <c r="AL3806">
        <f>IF('01_Вводные'!$B$234="Да",'19_Расчет_аналитики'!AL3663,0)</f>
        <v/>
      </c>
      <c r="AM3806">
        <f>IF('01_Вводные'!$B$234="Да",'19_Расчет_аналитики'!AM3663,0)</f>
        <v/>
      </c>
      <c r="AN3806">
        <f>IF('01_Вводные'!$B$234="Да",'19_Расчет_аналитики'!AN3663,0)</f>
        <v/>
      </c>
      <c r="AO3806">
        <f>IF('01_Вводные'!$B$234="Да",'19_Расчет_аналитики'!AO3663,0)</f>
        <v/>
      </c>
      <c r="AP3806">
        <f>IF('01_Вводные'!$B$234="Да",'19_Расчет_аналитики'!AP3663,0)</f>
        <v/>
      </c>
      <c r="AQ3806">
        <f>IF('01_Вводные'!$B$234="Да",'19_Расчет_аналитики'!AQ3663,0)</f>
        <v/>
      </c>
      <c r="AR3806">
        <f>IF('01_Вводные'!$B$234="Да",'19_Расчет_аналитики'!AR3663,0)</f>
        <v/>
      </c>
      <c r="AS3806">
        <f>IF('01_Вводные'!$B$234="Да",'19_Расчет_аналитики'!AS3663,0)</f>
        <v/>
      </c>
      <c r="AT3806">
        <f>IF('01_Вводные'!$B$234="Да",'19_Расчет_аналитики'!AT3663,0)</f>
        <v/>
      </c>
      <c r="AU3806">
        <f>IF('01_Вводные'!$B$234="Да",'19_Расчет_аналитики'!AU3663,0)</f>
        <v/>
      </c>
      <c r="AV3806">
        <f>IF('01_Вводные'!$B$234="Да",'19_Расчет_аналитики'!AV3663,0)</f>
        <v/>
      </c>
      <c r="AW3806">
        <f>IF('01_Вводные'!$B$234="Да",'19_Расчет_аналитики'!AW3663,0)</f>
        <v/>
      </c>
      <c r="AX3806">
        <f>IF('01_Вводные'!$B$234="Да",'19_Расчет_аналитики'!AX3663,0)</f>
        <v/>
      </c>
      <c r="AY3806">
        <f>IF('01_Вводные'!$B$234="Да",'19_Расчет_аналитики'!AY3663,0)</f>
        <v/>
      </c>
      <c r="AZ3806">
        <f>IF('01_Вводные'!$B$234="Да",'19_Расчет_аналитики'!AZ3663,0)</f>
        <v/>
      </c>
      <c r="BA3806">
        <f>IF('01_Вводные'!$B$234="Да",'19_Расчет_аналитики'!BA3663,0)</f>
        <v/>
      </c>
      <c r="BB3806">
        <f>IF('01_Вводные'!$B$234="Да",'19_Расчет_аналитики'!BB3663,0)</f>
        <v/>
      </c>
      <c r="BC3806">
        <f>IF('01_Вводные'!$B$234="Да",'19_Расчет_аналитики'!BC3663,0)</f>
        <v/>
      </c>
      <c r="BD3806">
        <f>IF('01_Вводные'!$B$234="Да",'19_Расчет_аналитики'!BD3663,0)</f>
        <v/>
      </c>
      <c r="BE3806">
        <f>IF('01_Вводные'!$B$234="Да",'19_Расчет_аналитики'!BE3663,0)</f>
        <v/>
      </c>
      <c r="BF3806">
        <f>IF('01_Вводные'!$B$234="Да",'19_Расчет_аналитики'!BF3663,0)</f>
        <v/>
      </c>
      <c r="BG3806">
        <f>IF('01_Вводные'!$B$234="Да",'19_Расчет_аналитики'!BG3663,0)</f>
        <v/>
      </c>
      <c r="BH3806">
        <f>IF('01_Вводные'!$B$234="Да",'19_Расчет_аналитики'!BH3663,0)</f>
        <v/>
      </c>
      <c r="BI3806">
        <f>IF('01_Вводные'!$B$234="Да",'19_Расчет_аналитики'!BI3663,0)</f>
        <v/>
      </c>
    </row>
    <row r="3807">
      <c r="B3807">
        <f>IF('01_Вводные'!$B$234="Да",'19_Расчет_аналитики'!B3661,0)</f>
        <v/>
      </c>
      <c r="C3807">
        <f>IF('01_Вводные'!$B$234="Да",'19_Расчет_аналитики'!C3661,0)</f>
        <v/>
      </c>
      <c r="D3807">
        <f>IF('01_Вводные'!$B$234="Да",'19_Расчет_аналитики'!D3661,0)</f>
        <v/>
      </c>
      <c r="E3807">
        <f>IF('01_Вводные'!$B$234="Да",'19_Расчет_аналитики'!E3661,0)</f>
        <v/>
      </c>
      <c r="F3807">
        <f>IF('01_Вводные'!$B$234="Да",'19_Расчет_аналитики'!F3661,0)</f>
        <v/>
      </c>
      <c r="G3807">
        <f>IF('01_Вводные'!$B$234="Да",'19_Расчет_аналитики'!G3661,0)</f>
        <v/>
      </c>
      <c r="H3807">
        <f>IF('01_Вводные'!$B$234="Да",'19_Расчет_аналитики'!H3661,0)</f>
        <v/>
      </c>
      <c r="I3807">
        <f>IF('01_Вводные'!$B$234="Да",'19_Расчет_аналитики'!I3661,0)</f>
        <v/>
      </c>
      <c r="J3807">
        <f>IF('01_Вводные'!$B$234="Да",'19_Расчет_аналитики'!J3661,0)</f>
        <v/>
      </c>
      <c r="K3807">
        <f>IF('01_Вводные'!$B$234="Да",'19_Расчет_аналитики'!K3661,0)</f>
        <v/>
      </c>
      <c r="L3807">
        <f>IF('01_Вводные'!$B$234="Да",'19_Расчет_аналитики'!L3661,0)</f>
        <v/>
      </c>
      <c r="M3807">
        <f>IF('01_Вводные'!$B$234="Да",'19_Расчет_аналитики'!M3661,0)</f>
        <v/>
      </c>
      <c r="N3807">
        <f>IF('01_Вводные'!$B$234="Да",'19_Расчет_аналитики'!N3661,0)</f>
        <v/>
      </c>
      <c r="O3807">
        <f>IF('01_Вводные'!$B$234="Да",'19_Расчет_аналитики'!O3661,0)</f>
        <v/>
      </c>
      <c r="P3807">
        <f>IF('01_Вводные'!$B$234="Да",'19_Расчет_аналитики'!P3661,0)</f>
        <v/>
      </c>
      <c r="Q3807">
        <f>IF('01_Вводные'!$B$234="Да",'19_Расчет_аналитики'!Q3661,0)</f>
        <v/>
      </c>
      <c r="R3807">
        <f>IF('01_Вводные'!$B$234="Да",'19_Расчет_аналитики'!R3661,0)</f>
        <v/>
      </c>
      <c r="S3807">
        <f>IF('01_Вводные'!$B$234="Да",'19_Расчет_аналитики'!S3661,0)</f>
        <v/>
      </c>
      <c r="T3807">
        <f>IF('01_Вводные'!$B$234="Да",'19_Расчет_аналитики'!T3661,0)</f>
        <v/>
      </c>
      <c r="U3807">
        <f>IF('01_Вводные'!$B$234="Да",'19_Расчет_аналитики'!U3661,0)</f>
        <v/>
      </c>
      <c r="V3807">
        <f>IF('01_Вводные'!$B$234="Да",'19_Расчет_аналитики'!V3661,0)</f>
        <v/>
      </c>
      <c r="W3807">
        <f>IF('01_Вводные'!$B$234="Да",'19_Расчет_аналитики'!W3661,0)</f>
        <v/>
      </c>
      <c r="X3807">
        <f>IF('01_Вводные'!$B$234="Да",'19_Расчет_аналитики'!X3661,0)</f>
        <v/>
      </c>
      <c r="Y3807">
        <f>IF('01_Вводные'!$B$234="Да",'19_Расчет_аналитики'!Y3661,0)</f>
        <v/>
      </c>
      <c r="Z3807">
        <f>IF('01_Вводные'!$B$234="Да",'19_Расчет_аналитики'!Z3661,0)</f>
        <v/>
      </c>
      <c r="AA3807">
        <f>IF('01_Вводные'!$B$234="Да",'19_Расчет_аналитики'!AA3661,0)</f>
        <v/>
      </c>
      <c r="AB3807">
        <f>IF('01_Вводные'!$B$234="Да",'19_Расчет_аналитики'!AB3661,0)</f>
        <v/>
      </c>
      <c r="AC3807">
        <f>IF('01_Вводные'!$B$234="Да",'19_Расчет_аналитики'!AC3661,0)</f>
        <v/>
      </c>
      <c r="AD3807">
        <f>IF('01_Вводные'!$B$234="Да",'19_Расчет_аналитики'!AD3661,0)</f>
        <v/>
      </c>
      <c r="AE3807">
        <f>IF('01_Вводные'!$B$234="Да",'19_Расчет_аналитики'!AE3661,0)</f>
        <v/>
      </c>
      <c r="AF3807">
        <f>IF('01_Вводные'!$B$234="Да",'19_Расчет_аналитики'!AF3661,0)</f>
        <v/>
      </c>
      <c r="AG3807">
        <f>IF('01_Вводные'!$B$234="Да",'19_Расчет_аналитики'!AG3661,0)</f>
        <v/>
      </c>
      <c r="AH3807">
        <f>IF('01_Вводные'!$B$234="Да",'19_Расчет_аналитики'!AH3661,0)</f>
        <v/>
      </c>
      <c r="AI3807">
        <f>IF('01_Вводные'!$B$234="Да",'19_Расчет_аналитики'!AI3661,0)</f>
        <v/>
      </c>
      <c r="AJ3807">
        <f>IF('01_Вводные'!$B$234="Да",'19_Расчет_аналитики'!AJ3661,0)</f>
        <v/>
      </c>
      <c r="AK3807">
        <f>IF('01_Вводные'!$B$234="Да",'19_Расчет_аналитики'!AK3661,0)</f>
        <v/>
      </c>
      <c r="AL3807">
        <f>IF('01_Вводные'!$B$234="Да",'19_Расчет_аналитики'!AL3661,0)</f>
        <v/>
      </c>
      <c r="AM3807">
        <f>IF('01_Вводные'!$B$234="Да",'19_Расчет_аналитики'!AM3661,0)</f>
        <v/>
      </c>
      <c r="AN3807">
        <f>IF('01_Вводные'!$B$234="Да",'19_Расчет_аналитики'!AN3661,0)</f>
        <v/>
      </c>
      <c r="AO3807">
        <f>IF('01_Вводные'!$B$234="Да",'19_Расчет_аналитики'!AO3661,0)</f>
        <v/>
      </c>
      <c r="AP3807">
        <f>IF('01_Вводные'!$B$234="Да",'19_Расчет_аналитики'!AP3661,0)</f>
        <v/>
      </c>
      <c r="AQ3807">
        <f>IF('01_Вводные'!$B$234="Да",'19_Расчет_аналитики'!AQ3661,0)</f>
        <v/>
      </c>
      <c r="AR3807">
        <f>IF('01_Вводные'!$B$234="Да",'19_Расчет_аналитики'!AR3661,0)</f>
        <v/>
      </c>
      <c r="AS3807">
        <f>IF('01_Вводные'!$B$234="Да",'19_Расчет_аналитики'!AS3661,0)</f>
        <v/>
      </c>
      <c r="AT3807">
        <f>IF('01_Вводные'!$B$234="Да",'19_Расчет_аналитики'!AT3661,0)</f>
        <v/>
      </c>
      <c r="AU3807">
        <f>IF('01_Вводные'!$B$234="Да",'19_Расчет_аналитики'!AU3661,0)</f>
        <v/>
      </c>
      <c r="AV3807">
        <f>IF('01_Вводные'!$B$234="Да",'19_Расчет_аналитики'!AV3661,0)</f>
        <v/>
      </c>
      <c r="AW3807">
        <f>IF('01_Вводные'!$B$234="Да",'19_Расчет_аналитики'!AW3661,0)</f>
        <v/>
      </c>
      <c r="AX3807">
        <f>IF('01_Вводные'!$B$234="Да",'19_Расчет_аналитики'!AX3661,0)</f>
        <v/>
      </c>
      <c r="AY3807">
        <f>IF('01_Вводные'!$B$234="Да",'19_Расчет_аналитики'!AY3661,0)</f>
        <v/>
      </c>
      <c r="AZ3807">
        <f>IF('01_Вводные'!$B$234="Да",'19_Расчет_аналитики'!AZ3661,0)</f>
        <v/>
      </c>
      <c r="BA3807">
        <f>IF('01_Вводные'!$B$234="Да",'19_Расчет_аналитики'!BA3661,0)</f>
        <v/>
      </c>
      <c r="BB3807">
        <f>IF('01_Вводные'!$B$234="Да",'19_Расчет_аналитики'!BB3661,0)</f>
        <v/>
      </c>
      <c r="BC3807">
        <f>IF('01_Вводные'!$B$234="Да",'19_Расчет_аналитики'!BC3661,0)</f>
        <v/>
      </c>
      <c r="BD3807">
        <f>IF('01_Вводные'!$B$234="Да",'19_Расчет_аналитики'!BD3661,0)</f>
        <v/>
      </c>
      <c r="BE3807">
        <f>IF('01_Вводные'!$B$234="Да",'19_Расчет_аналитики'!BE3661,0)</f>
        <v/>
      </c>
      <c r="BF3807">
        <f>IF('01_Вводные'!$B$234="Да",'19_Расчет_аналитики'!BF3661,0)</f>
        <v/>
      </c>
      <c r="BG3807">
        <f>IF('01_Вводные'!$B$234="Да",'19_Расчет_аналитики'!BG3661,0)</f>
        <v/>
      </c>
      <c r="BH3807">
        <f>IF('01_Вводные'!$B$234="Да",'19_Расчет_аналитики'!BH3661,0)</f>
        <v/>
      </c>
      <c r="BI3807">
        <f>IF('01_Вводные'!$B$234="Да",'19_Расчет_аналитики'!BI3661,0)</f>
        <v/>
      </c>
    </row>
    <row r="3808">
      <c r="B3808">
        <f>IF('01_Вводные'!$B$234="Да",'19_Расчет_аналитики'!B3664,0)</f>
        <v/>
      </c>
      <c r="C3808">
        <f>IF('01_Вводные'!$B$234="Да",'19_Расчет_аналитики'!C3664,0)</f>
        <v/>
      </c>
      <c r="D3808">
        <f>IF('01_Вводные'!$B$234="Да",'19_Расчет_аналитики'!D3664,0)</f>
        <v/>
      </c>
      <c r="E3808">
        <f>IF('01_Вводные'!$B$234="Да",'19_Расчет_аналитики'!E3664,0)</f>
        <v/>
      </c>
      <c r="F3808">
        <f>IF('01_Вводные'!$B$234="Да",'19_Расчет_аналитики'!F3664,0)</f>
        <v/>
      </c>
      <c r="G3808">
        <f>IF('01_Вводные'!$B$234="Да",'19_Расчет_аналитики'!G3664,0)</f>
        <v/>
      </c>
      <c r="H3808">
        <f>IF('01_Вводные'!$B$234="Да",'19_Расчет_аналитики'!H3664,0)</f>
        <v/>
      </c>
      <c r="I3808">
        <f>IF('01_Вводные'!$B$234="Да",'19_Расчет_аналитики'!I3664,0)</f>
        <v/>
      </c>
      <c r="J3808">
        <f>IF('01_Вводные'!$B$234="Да",'19_Расчет_аналитики'!J3664,0)</f>
        <v/>
      </c>
      <c r="K3808">
        <f>IF('01_Вводные'!$B$234="Да",'19_Расчет_аналитики'!K3664,0)</f>
        <v/>
      </c>
      <c r="L3808">
        <f>IF('01_Вводные'!$B$234="Да",'19_Расчет_аналитики'!L3664,0)</f>
        <v/>
      </c>
      <c r="M3808">
        <f>IF('01_Вводные'!$B$234="Да",'19_Расчет_аналитики'!M3664,0)</f>
        <v/>
      </c>
      <c r="N3808">
        <f>IF('01_Вводные'!$B$234="Да",'19_Расчет_аналитики'!N3664,0)</f>
        <v/>
      </c>
      <c r="O3808">
        <f>IF('01_Вводные'!$B$234="Да",'19_Расчет_аналитики'!O3664,0)</f>
        <v/>
      </c>
      <c r="P3808">
        <f>IF('01_Вводные'!$B$234="Да",'19_Расчет_аналитики'!P3664,0)</f>
        <v/>
      </c>
      <c r="Q3808">
        <f>IF('01_Вводные'!$B$234="Да",'19_Расчет_аналитики'!Q3664,0)</f>
        <v/>
      </c>
      <c r="R3808">
        <f>IF('01_Вводные'!$B$234="Да",'19_Расчет_аналитики'!R3664,0)</f>
        <v/>
      </c>
      <c r="S3808">
        <f>IF('01_Вводные'!$B$234="Да",'19_Расчет_аналитики'!S3664,0)</f>
        <v/>
      </c>
      <c r="T3808">
        <f>IF('01_Вводные'!$B$234="Да",'19_Расчет_аналитики'!T3664,0)</f>
        <v/>
      </c>
      <c r="U3808">
        <f>IF('01_Вводные'!$B$234="Да",'19_Расчет_аналитики'!U3664,0)</f>
        <v/>
      </c>
      <c r="V3808">
        <f>IF('01_Вводные'!$B$234="Да",'19_Расчет_аналитики'!V3664,0)</f>
        <v/>
      </c>
      <c r="W3808">
        <f>IF('01_Вводные'!$B$234="Да",'19_Расчет_аналитики'!W3664,0)</f>
        <v/>
      </c>
      <c r="X3808">
        <f>IF('01_Вводные'!$B$234="Да",'19_Расчет_аналитики'!X3664,0)</f>
        <v/>
      </c>
      <c r="Y3808">
        <f>IF('01_Вводные'!$B$234="Да",'19_Расчет_аналитики'!Y3664,0)</f>
        <v/>
      </c>
      <c r="Z3808">
        <f>IF('01_Вводные'!$B$234="Да",'19_Расчет_аналитики'!Z3664,0)</f>
        <v/>
      </c>
      <c r="AA3808">
        <f>IF('01_Вводные'!$B$234="Да",'19_Расчет_аналитики'!AA3664,0)</f>
        <v/>
      </c>
      <c r="AB3808">
        <f>IF('01_Вводные'!$B$234="Да",'19_Расчет_аналитики'!AB3664,0)</f>
        <v/>
      </c>
      <c r="AC3808">
        <f>IF('01_Вводные'!$B$234="Да",'19_Расчет_аналитики'!AC3664,0)</f>
        <v/>
      </c>
      <c r="AD3808">
        <f>IF('01_Вводные'!$B$234="Да",'19_Расчет_аналитики'!AD3664,0)</f>
        <v/>
      </c>
      <c r="AE3808">
        <f>IF('01_Вводные'!$B$234="Да",'19_Расчет_аналитики'!AE3664,0)</f>
        <v/>
      </c>
      <c r="AF3808">
        <f>IF('01_Вводные'!$B$234="Да",'19_Расчет_аналитики'!AF3664,0)</f>
        <v/>
      </c>
      <c r="AG3808">
        <f>IF('01_Вводные'!$B$234="Да",'19_Расчет_аналитики'!AG3664,0)</f>
        <v/>
      </c>
      <c r="AH3808">
        <f>IF('01_Вводные'!$B$234="Да",'19_Расчет_аналитики'!AH3664,0)</f>
        <v/>
      </c>
      <c r="AI3808">
        <f>IF('01_Вводные'!$B$234="Да",'19_Расчет_аналитики'!AI3664,0)</f>
        <v/>
      </c>
      <c r="AJ3808">
        <f>IF('01_Вводные'!$B$234="Да",'19_Расчет_аналитики'!AJ3664,0)</f>
        <v/>
      </c>
      <c r="AK3808">
        <f>IF('01_Вводные'!$B$234="Да",'19_Расчет_аналитики'!AK3664,0)</f>
        <v/>
      </c>
      <c r="AL3808">
        <f>IF('01_Вводные'!$B$234="Да",'19_Расчет_аналитики'!AL3664,0)</f>
        <v/>
      </c>
      <c r="AM3808">
        <f>IF('01_Вводные'!$B$234="Да",'19_Расчет_аналитики'!AM3664,0)</f>
        <v/>
      </c>
      <c r="AN3808">
        <f>IF('01_Вводные'!$B$234="Да",'19_Расчет_аналитики'!AN3664,0)</f>
        <v/>
      </c>
      <c r="AO3808">
        <f>IF('01_Вводные'!$B$234="Да",'19_Расчет_аналитики'!AO3664,0)</f>
        <v/>
      </c>
      <c r="AP3808">
        <f>IF('01_Вводные'!$B$234="Да",'19_Расчет_аналитики'!AP3664,0)</f>
        <v/>
      </c>
      <c r="AQ3808">
        <f>IF('01_Вводные'!$B$234="Да",'19_Расчет_аналитики'!AQ3664,0)</f>
        <v/>
      </c>
      <c r="AR3808">
        <f>IF('01_Вводные'!$B$234="Да",'19_Расчет_аналитики'!AR3664,0)</f>
        <v/>
      </c>
      <c r="AS3808">
        <f>IF('01_Вводные'!$B$234="Да",'19_Расчет_аналитики'!AS3664,0)</f>
        <v/>
      </c>
      <c r="AT3808">
        <f>IF('01_Вводные'!$B$234="Да",'19_Расчет_аналитики'!AT3664,0)</f>
        <v/>
      </c>
      <c r="AU3808">
        <f>IF('01_Вводные'!$B$234="Да",'19_Расчет_аналитики'!AU3664,0)</f>
        <v/>
      </c>
      <c r="AV3808">
        <f>IF('01_Вводные'!$B$234="Да",'19_Расчет_аналитики'!AV3664,0)</f>
        <v/>
      </c>
      <c r="AW3808">
        <f>IF('01_Вводные'!$B$234="Да",'19_Расчет_аналитики'!AW3664,0)</f>
        <v/>
      </c>
      <c r="AX3808">
        <f>IF('01_Вводные'!$B$234="Да",'19_Расчет_аналитики'!AX3664,0)</f>
        <v/>
      </c>
      <c r="AY3808">
        <f>IF('01_Вводные'!$B$234="Да",'19_Расчет_аналитики'!AY3664,0)</f>
        <v/>
      </c>
      <c r="AZ3808">
        <f>IF('01_Вводные'!$B$234="Да",'19_Расчет_аналитики'!AZ3664,0)</f>
        <v/>
      </c>
      <c r="BA3808">
        <f>IF('01_Вводные'!$B$234="Да",'19_Расчет_аналитики'!BA3664,0)</f>
        <v/>
      </c>
      <c r="BB3808">
        <f>IF('01_Вводные'!$B$234="Да",'19_Расчет_аналитики'!BB3664,0)</f>
        <v/>
      </c>
      <c r="BC3808">
        <f>IF('01_Вводные'!$B$234="Да",'19_Расчет_аналитики'!BC3664,0)</f>
        <v/>
      </c>
      <c r="BD3808">
        <f>IF('01_Вводные'!$B$234="Да",'19_Расчет_аналитики'!BD3664,0)</f>
        <v/>
      </c>
      <c r="BE3808">
        <f>IF('01_Вводные'!$B$234="Да",'19_Расчет_аналитики'!BE3664,0)</f>
        <v/>
      </c>
      <c r="BF3808">
        <f>IF('01_Вводные'!$B$234="Да",'19_Расчет_аналитики'!BF3664,0)</f>
        <v/>
      </c>
      <c r="BG3808">
        <f>IF('01_Вводные'!$B$234="Да",'19_Расчет_аналитики'!BG3664,0)</f>
        <v/>
      </c>
      <c r="BH3808">
        <f>IF('01_Вводные'!$B$234="Да",'19_Расчет_аналитики'!BH3664,0)</f>
        <v/>
      </c>
      <c r="BI3808">
        <f>IF('01_Вводные'!$B$234="Да",'19_Расчет_аналитики'!BI3664,0)</f>
        <v/>
      </c>
    </row>
    <row r="3809"/>
    <row r="3810">
      <c r="B3810">
        <f>IF('01_Вводные'!$B$234="Да",0+'19_Расчет_аналитики'!B3749+'19_Расчет_аналитики'!B3750-'19_Расчет_аналитики'!B3783/(1+'01_Вводные'!$B$58),0)</f>
        <v/>
      </c>
      <c r="C3810">
        <f>IF('01_Вводные'!$B$234="Да",'19_Расчет_аналитики'!B3810+'19_Расчет_аналитики'!C3749+'19_Расчет_аналитики'!C3750-'19_Расчет_аналитики'!C3783/(1+'01_Вводные'!$B$58),0)</f>
        <v/>
      </c>
      <c r="D3810">
        <f>IF('01_Вводные'!$B$234="Да",'19_Расчет_аналитики'!C3810+'19_Расчет_аналитики'!D3749+'19_Расчет_аналитики'!D3750-'19_Расчет_аналитики'!D3783/(1+'01_Вводные'!$B$58),0)</f>
        <v/>
      </c>
      <c r="E3810">
        <f>IF('01_Вводные'!$B$234="Да",'19_Расчет_аналитики'!D3810+'19_Расчет_аналитики'!E3749+'19_Расчет_аналитики'!E3750-'19_Расчет_аналитики'!E3783/(1+'01_Вводные'!$B$58),0)</f>
        <v/>
      </c>
      <c r="F3810">
        <f>IF('01_Вводные'!$B$234="Да",'19_Расчет_аналитики'!E3810+'19_Расчет_аналитики'!F3749+'19_Расчет_аналитики'!F3750-'19_Расчет_аналитики'!F3783/(1+'01_Вводные'!$B$58),0)</f>
        <v/>
      </c>
      <c r="G3810">
        <f>IF('01_Вводные'!$B$234="Да",'19_Расчет_аналитики'!F3810+'19_Расчет_аналитики'!G3749+'19_Расчет_аналитики'!G3750-'19_Расчет_аналитики'!G3783/(1+'01_Вводные'!$B$58),0)</f>
        <v/>
      </c>
      <c r="H3810">
        <f>IF('01_Вводные'!$B$234="Да",'19_Расчет_аналитики'!G3810+'19_Расчет_аналитики'!H3749+'19_Расчет_аналитики'!H3750-'19_Расчет_аналитики'!H3783/(1+'01_Вводные'!$B$58),0)</f>
        <v/>
      </c>
      <c r="I3810">
        <f>IF('01_Вводные'!$B$234="Да",'19_Расчет_аналитики'!H3810+'19_Расчет_аналитики'!I3749+'19_Расчет_аналитики'!I3750-'19_Расчет_аналитики'!I3783/(1+'01_Вводные'!$B$58),0)</f>
        <v/>
      </c>
      <c r="J3810">
        <f>IF('01_Вводные'!$B$234="Да",'19_Расчет_аналитики'!I3810+'19_Расчет_аналитики'!J3749+'19_Расчет_аналитики'!J3750-'19_Расчет_аналитики'!J3783/(1+'01_Вводные'!$B$58),0)</f>
        <v/>
      </c>
      <c r="K3810">
        <f>IF('01_Вводные'!$B$234="Да",'19_Расчет_аналитики'!J3810+'19_Расчет_аналитики'!K3749+'19_Расчет_аналитики'!K3750-'19_Расчет_аналитики'!K3783/(1+'01_Вводные'!$B$58),0)</f>
        <v/>
      </c>
      <c r="L3810">
        <f>IF('01_Вводные'!$B$234="Да",'19_Расчет_аналитики'!K3810+'19_Расчет_аналитики'!L3749+'19_Расчет_аналитики'!L3750-'19_Расчет_аналитики'!L3783/(1+'01_Вводные'!$B$58),0)</f>
        <v/>
      </c>
      <c r="M3810">
        <f>IF('01_Вводные'!$B$234="Да",'19_Расчет_аналитики'!L3810+'19_Расчет_аналитики'!M3749+'19_Расчет_аналитики'!M3750-'19_Расчет_аналитики'!M3783/(1+'01_Вводные'!$B$58),0)</f>
        <v/>
      </c>
      <c r="N3810">
        <f>IF('01_Вводные'!$B$234="Да",'19_Расчет_аналитики'!M3810+'19_Расчет_аналитики'!N3749+'19_Расчет_аналитики'!N3750-'19_Расчет_аналитики'!N3783/(1+'01_Вводные'!$B$58),0)</f>
        <v/>
      </c>
      <c r="O3810">
        <f>IF('01_Вводные'!$B$234="Да",'19_Расчет_аналитики'!N3810+'19_Расчет_аналитики'!O3749+'19_Расчет_аналитики'!O3750-'19_Расчет_аналитики'!O3783/(1+'01_Вводные'!$B$58),0)</f>
        <v/>
      </c>
      <c r="P3810">
        <f>IF('01_Вводные'!$B$234="Да",'19_Расчет_аналитики'!O3810+'19_Расчет_аналитики'!P3749+'19_Расчет_аналитики'!P3750-'19_Расчет_аналитики'!P3783/(1+'01_Вводные'!$B$58),0)</f>
        <v/>
      </c>
      <c r="Q3810">
        <f>IF('01_Вводные'!$B$234="Да",'19_Расчет_аналитики'!P3810+'19_Расчет_аналитики'!Q3749+'19_Расчет_аналитики'!Q3750-'19_Расчет_аналитики'!Q3783/(1+'01_Вводные'!$B$58),0)</f>
        <v/>
      </c>
      <c r="R3810">
        <f>IF('01_Вводные'!$B$234="Да",'19_Расчет_аналитики'!Q3810+'19_Расчет_аналитики'!R3749+'19_Расчет_аналитики'!R3750-'19_Расчет_аналитики'!R3783/(1+'01_Вводные'!$B$58),0)</f>
        <v/>
      </c>
      <c r="S3810">
        <f>IF('01_Вводные'!$B$234="Да",'19_Расчет_аналитики'!R3810+'19_Расчет_аналитики'!S3749+'19_Расчет_аналитики'!S3750-'19_Расчет_аналитики'!S3783/(1+'01_Вводные'!$B$58),0)</f>
        <v/>
      </c>
      <c r="T3810">
        <f>IF('01_Вводные'!$B$234="Да",'19_Расчет_аналитики'!S3810+'19_Расчет_аналитики'!T3749+'19_Расчет_аналитики'!T3750-'19_Расчет_аналитики'!T3783/(1+'01_Вводные'!$B$58),0)</f>
        <v/>
      </c>
      <c r="U3810">
        <f>IF('01_Вводные'!$B$234="Да",'19_Расчет_аналитики'!T3810+'19_Расчет_аналитики'!U3749+'19_Расчет_аналитики'!U3750-'19_Расчет_аналитики'!U3783/(1+'01_Вводные'!$B$58),0)</f>
        <v/>
      </c>
      <c r="V3810">
        <f>IF('01_Вводные'!$B$234="Да",'19_Расчет_аналитики'!U3810+'19_Расчет_аналитики'!V3749+'19_Расчет_аналитики'!V3750-'19_Расчет_аналитики'!V3783/(1+'01_Вводные'!$B$58),0)</f>
        <v/>
      </c>
      <c r="W3810">
        <f>IF('01_Вводные'!$B$234="Да",'19_Расчет_аналитики'!V3810+'19_Расчет_аналитики'!W3749+'19_Расчет_аналитики'!W3750-'19_Расчет_аналитики'!W3783/(1+'01_Вводные'!$B$58),0)</f>
        <v/>
      </c>
      <c r="X3810">
        <f>IF('01_Вводные'!$B$234="Да",'19_Расчет_аналитики'!W3810+'19_Расчет_аналитики'!X3749+'19_Расчет_аналитики'!X3750-'19_Расчет_аналитики'!X3783/(1+'01_Вводные'!$B$58),0)</f>
        <v/>
      </c>
      <c r="Y3810">
        <f>IF('01_Вводные'!$B$234="Да",'19_Расчет_аналитики'!X3810+'19_Расчет_аналитики'!Y3749+'19_Расчет_аналитики'!Y3750-'19_Расчет_аналитики'!Y3783/(1+'01_Вводные'!$B$58),0)</f>
        <v/>
      </c>
      <c r="Z3810">
        <f>IF('01_Вводные'!$B$234="Да",'19_Расчет_аналитики'!Y3810+'19_Расчет_аналитики'!Z3749+'19_Расчет_аналитики'!Z3750-'19_Расчет_аналитики'!Z3783/(1+'01_Вводные'!$B$58),0)</f>
        <v/>
      </c>
      <c r="AA3810">
        <f>IF('01_Вводные'!$B$234="Да",'19_Расчет_аналитики'!Z3810+'19_Расчет_аналитики'!AA3749+'19_Расчет_аналитики'!AA3750-'19_Расчет_аналитики'!AA3783/(1+'01_Вводные'!$B$58),0)</f>
        <v/>
      </c>
      <c r="AB3810">
        <f>IF('01_Вводные'!$B$234="Да",'19_Расчет_аналитики'!AA3810+'19_Расчет_аналитики'!AB3749+'19_Расчет_аналитики'!AB3750-'19_Расчет_аналитики'!AB3783/(1+'01_Вводные'!$B$58),0)</f>
        <v/>
      </c>
      <c r="AC3810">
        <f>IF('01_Вводные'!$B$234="Да",'19_Расчет_аналитики'!AB3810+'19_Расчет_аналитики'!AC3749+'19_Расчет_аналитики'!AC3750-'19_Расчет_аналитики'!AC3783/(1+'01_Вводные'!$B$58),0)</f>
        <v/>
      </c>
      <c r="AD3810">
        <f>IF('01_Вводные'!$B$234="Да",'19_Расчет_аналитики'!AC3810+'19_Расчет_аналитики'!AD3749+'19_Расчет_аналитики'!AD3750-'19_Расчет_аналитики'!AD3783/(1+'01_Вводные'!$B$58),0)</f>
        <v/>
      </c>
      <c r="AE3810">
        <f>IF('01_Вводные'!$B$234="Да",'19_Расчет_аналитики'!AD3810+'19_Расчет_аналитики'!AE3749+'19_Расчет_аналитики'!AE3750-'19_Расчет_аналитики'!AE3783/(1+'01_Вводные'!$B$58),0)</f>
        <v/>
      </c>
      <c r="AF3810">
        <f>IF('01_Вводные'!$B$234="Да",'19_Расчет_аналитики'!AE3810+'19_Расчет_аналитики'!AF3749+'19_Расчет_аналитики'!AF3750-'19_Расчет_аналитики'!AF3783/(1+'01_Вводные'!$B$58),0)</f>
        <v/>
      </c>
      <c r="AG3810">
        <f>IF('01_Вводные'!$B$234="Да",'19_Расчет_аналитики'!AF3810+'19_Расчет_аналитики'!AG3749+'19_Расчет_аналитики'!AG3750-'19_Расчет_аналитики'!AG3783/(1+'01_Вводные'!$B$58),0)</f>
        <v/>
      </c>
      <c r="AH3810">
        <f>IF('01_Вводные'!$B$234="Да",'19_Расчет_аналитики'!AG3810+'19_Расчет_аналитики'!AH3749+'19_Расчет_аналитики'!AH3750-'19_Расчет_аналитики'!AH3783/(1+'01_Вводные'!$B$58),0)</f>
        <v/>
      </c>
      <c r="AI3810">
        <f>IF('01_Вводные'!$B$234="Да",'19_Расчет_аналитики'!AH3810+'19_Расчет_аналитики'!AI3749+'19_Расчет_аналитики'!AI3750-'19_Расчет_аналитики'!AI3783/(1+'01_Вводные'!$B$58),0)</f>
        <v/>
      </c>
      <c r="AJ3810">
        <f>IF('01_Вводные'!$B$234="Да",'19_Расчет_аналитики'!AI3810+'19_Расчет_аналитики'!AJ3749+'19_Расчет_аналитики'!AJ3750-'19_Расчет_аналитики'!AJ3783/(1+'01_Вводные'!$B$58),0)</f>
        <v/>
      </c>
      <c r="AK3810">
        <f>IF('01_Вводные'!$B$234="Да",'19_Расчет_аналитики'!AJ3810+'19_Расчет_аналитики'!AK3749+'19_Расчет_аналитики'!AK3750-'19_Расчет_аналитики'!AK3783/(1+'01_Вводные'!$B$58),0)</f>
        <v/>
      </c>
      <c r="AL3810">
        <f>IF('01_Вводные'!$B$234="Да",'19_Расчет_аналитики'!AK3810+'19_Расчет_аналитики'!AL3749+'19_Расчет_аналитики'!AL3750-'19_Расчет_аналитики'!AL3783/(1+'01_Вводные'!$B$58),0)</f>
        <v/>
      </c>
      <c r="AM3810">
        <f>IF('01_Вводные'!$B$234="Да",'19_Расчет_аналитики'!AL3810+'19_Расчет_аналитики'!AM3749+'19_Расчет_аналитики'!AM3750-'19_Расчет_аналитики'!AM3783/(1+'01_Вводные'!$B$58),0)</f>
        <v/>
      </c>
      <c r="AN3810">
        <f>IF('01_Вводные'!$B$234="Да",'19_Расчет_аналитики'!AM3810+'19_Расчет_аналитики'!AN3749+'19_Расчет_аналитики'!AN3750-'19_Расчет_аналитики'!AN3783/(1+'01_Вводные'!$B$58),0)</f>
        <v/>
      </c>
      <c r="AO3810">
        <f>IF('01_Вводные'!$B$234="Да",'19_Расчет_аналитики'!AN3810+'19_Расчет_аналитики'!AO3749+'19_Расчет_аналитики'!AO3750-'19_Расчет_аналитики'!AO3783/(1+'01_Вводные'!$B$58),0)</f>
        <v/>
      </c>
      <c r="AP3810">
        <f>IF('01_Вводные'!$B$234="Да",'19_Расчет_аналитики'!AO3810+'19_Расчет_аналитики'!AP3749+'19_Расчет_аналитики'!AP3750-'19_Расчет_аналитики'!AP3783/(1+'01_Вводные'!$B$58),0)</f>
        <v/>
      </c>
      <c r="AQ3810">
        <f>IF('01_Вводные'!$B$234="Да",'19_Расчет_аналитики'!AP3810+'19_Расчет_аналитики'!AQ3749+'19_Расчет_аналитики'!AQ3750-'19_Расчет_аналитики'!AQ3783/(1+'01_Вводные'!$B$58),0)</f>
        <v/>
      </c>
      <c r="AR3810">
        <f>IF('01_Вводные'!$B$234="Да",'19_Расчет_аналитики'!AQ3810+'19_Расчет_аналитики'!AR3749+'19_Расчет_аналитики'!AR3750-'19_Расчет_аналитики'!AR3783/(1+'01_Вводные'!$B$58),0)</f>
        <v/>
      </c>
      <c r="AS3810">
        <f>IF('01_Вводные'!$B$234="Да",'19_Расчет_аналитики'!AR3810+'19_Расчет_аналитики'!AS3749+'19_Расчет_аналитики'!AS3750-'19_Расчет_аналитики'!AS3783/(1+'01_Вводные'!$B$58),0)</f>
        <v/>
      </c>
      <c r="AT3810">
        <f>IF('01_Вводные'!$B$234="Да",'19_Расчет_аналитики'!AS3810+'19_Расчет_аналитики'!AT3749+'19_Расчет_аналитики'!AT3750-'19_Расчет_аналитики'!AT3783/(1+'01_Вводные'!$B$58),0)</f>
        <v/>
      </c>
      <c r="AU3810">
        <f>IF('01_Вводные'!$B$234="Да",'19_Расчет_аналитики'!AT3810+'19_Расчет_аналитики'!AU3749+'19_Расчет_аналитики'!AU3750-'19_Расчет_аналитики'!AU3783/(1+'01_Вводные'!$B$58),0)</f>
        <v/>
      </c>
      <c r="AV3810">
        <f>IF('01_Вводные'!$B$234="Да",'19_Расчет_аналитики'!AU3810+'19_Расчет_аналитики'!AV3749+'19_Расчет_аналитики'!AV3750-'19_Расчет_аналитики'!AV3783/(1+'01_Вводные'!$B$58),0)</f>
        <v/>
      </c>
      <c r="AW3810">
        <f>IF('01_Вводные'!$B$234="Да",'19_Расчет_аналитики'!AV3810+'19_Расчет_аналитики'!AW3749+'19_Расчет_аналитики'!AW3750-'19_Расчет_аналитики'!AW3783/(1+'01_Вводные'!$B$58),0)</f>
        <v/>
      </c>
      <c r="AX3810">
        <f>IF('01_Вводные'!$B$234="Да",'19_Расчет_аналитики'!AW3810+'19_Расчет_аналитики'!AX3749+'19_Расчет_аналитики'!AX3750-'19_Расчет_аналитики'!AX3783/(1+'01_Вводные'!$B$58),0)</f>
        <v/>
      </c>
      <c r="AY3810">
        <f>IF('01_Вводные'!$B$234="Да",'19_Расчет_аналитики'!AX3810+'19_Расчет_аналитики'!AY3749+'19_Расчет_аналитики'!AY3750-'19_Расчет_аналитики'!AY3783/(1+'01_Вводные'!$B$58),0)</f>
        <v/>
      </c>
      <c r="AZ3810">
        <f>IF('01_Вводные'!$B$234="Да",'19_Расчет_аналитики'!AY3810+'19_Расчет_аналитики'!AZ3749+'19_Расчет_аналитики'!AZ3750-'19_Расчет_аналитики'!AZ3783/(1+'01_Вводные'!$B$58),0)</f>
        <v/>
      </c>
      <c r="BA3810">
        <f>IF('01_Вводные'!$B$234="Да",'19_Расчет_аналитики'!AZ3810+'19_Расчет_аналитики'!BA3749+'19_Расчет_аналитики'!BA3750-'19_Расчет_аналитики'!BA3783/(1+'01_Вводные'!$B$58),0)</f>
        <v/>
      </c>
      <c r="BB3810">
        <f>IF('01_Вводные'!$B$234="Да",'19_Расчет_аналитики'!BA3810+'19_Расчет_аналитики'!BB3749+'19_Расчет_аналитики'!BB3750-'19_Расчет_аналитики'!BB3783/(1+'01_Вводные'!$B$58),0)</f>
        <v/>
      </c>
      <c r="BC3810">
        <f>IF('01_Вводные'!$B$234="Да",'19_Расчет_аналитики'!BB3810+'19_Расчет_аналитики'!BC3749+'19_Расчет_аналитики'!BC3750-'19_Расчет_аналитики'!BC3783/(1+'01_Вводные'!$B$58),0)</f>
        <v/>
      </c>
      <c r="BD3810">
        <f>IF('01_Вводные'!$B$234="Да",'19_Расчет_аналитики'!BC3810+'19_Расчет_аналитики'!BD3749+'19_Расчет_аналитики'!BD3750-'19_Расчет_аналитики'!BD3783/(1+'01_Вводные'!$B$58),0)</f>
        <v/>
      </c>
      <c r="BE3810">
        <f>IF('01_Вводные'!$B$234="Да",'19_Расчет_аналитики'!BD3810+'19_Расчет_аналитики'!BE3749+'19_Расчет_аналитики'!BE3750-'19_Расчет_аналитики'!BE3783/(1+'01_Вводные'!$B$58),0)</f>
        <v/>
      </c>
      <c r="BF3810">
        <f>IF('01_Вводные'!$B$234="Да",'19_Расчет_аналитики'!BE3810+'19_Расчет_аналитики'!BF3749+'19_Расчет_аналитики'!BF3750-'19_Расчет_аналитики'!BF3783/(1+'01_Вводные'!$B$58),0)</f>
        <v/>
      </c>
      <c r="BG3810">
        <f>IF('01_Вводные'!$B$234="Да",'19_Расчет_аналитики'!BF3810+'19_Расчет_аналитики'!BG3749+'19_Расчет_аналитики'!BG3750-'19_Расчет_аналитики'!BG3783/(1+'01_Вводные'!$B$58),0)</f>
        <v/>
      </c>
      <c r="BH3810">
        <f>IF('01_Вводные'!$B$234="Да",'19_Расчет_аналитики'!BG3810+'19_Расчет_аналитики'!BH3749+'19_Расчет_аналитики'!BH3750-'19_Расчет_аналитики'!BH3783/(1+'01_Вводные'!$B$58),0)</f>
        <v/>
      </c>
      <c r="BI3810">
        <f>IF('01_Вводные'!$B$234="Да",'19_Расчет_аналитики'!BH3810+'19_Расчет_аналитики'!BI3749+'19_Расчет_аналитики'!BI3750-'19_Расчет_аналитики'!BI3783/(1+'01_Вводные'!$B$58),0)</f>
        <v/>
      </c>
    </row>
    <row r="3811">
      <c r="B3811">
        <f>IF('01_Вводные'!$B$234="Да",0+SUM('19_Расчет_аналитики'!B3767:B3772)+'19_Расчет_аналитики'!B3662-'19_Расчет_аналитики'!B3789,0)</f>
        <v/>
      </c>
      <c r="C3811">
        <f>IF('01_Вводные'!$B$234="Да",'19_Расчет_аналитики'!B3811+SUM('19_Расчет_аналитики'!C3767:C3772)+'19_Расчет_аналитики'!C3662-'19_Расчет_аналитики'!C3789,0)</f>
        <v/>
      </c>
      <c r="D3811">
        <f>IF('01_Вводные'!$B$234="Да",'19_Расчет_аналитики'!C3811+SUM('19_Расчет_аналитики'!D3767:D3772)+'19_Расчет_аналитики'!D3662-'19_Расчет_аналитики'!D3789,0)</f>
        <v/>
      </c>
      <c r="E3811">
        <f>IF('01_Вводные'!$B$234="Да",'19_Расчет_аналитики'!D3811+SUM('19_Расчет_аналитики'!E3767:E3772)+'19_Расчет_аналитики'!E3662-'19_Расчет_аналитики'!E3789,0)</f>
        <v/>
      </c>
      <c r="F3811">
        <f>IF('01_Вводные'!$B$234="Да",'19_Расчет_аналитики'!E3811+SUM('19_Расчет_аналитики'!F3767:F3772)+'19_Расчет_аналитики'!F3662-'19_Расчет_аналитики'!F3789,0)</f>
        <v/>
      </c>
      <c r="G3811">
        <f>IF('01_Вводные'!$B$234="Да",'19_Расчет_аналитики'!F3811+SUM('19_Расчет_аналитики'!G3767:G3772)+'19_Расчет_аналитики'!G3662-'19_Расчет_аналитики'!G3789,0)</f>
        <v/>
      </c>
      <c r="H3811">
        <f>IF('01_Вводные'!$B$234="Да",'19_Расчет_аналитики'!G3811+SUM('19_Расчет_аналитики'!H3767:H3772)+'19_Расчет_аналитики'!H3662-'19_Расчет_аналитики'!H3789,0)</f>
        <v/>
      </c>
      <c r="I3811">
        <f>IF('01_Вводные'!$B$234="Да",'19_Расчет_аналитики'!H3811+SUM('19_Расчет_аналитики'!I3767:I3772)+'19_Расчет_аналитики'!I3662-'19_Расчет_аналитики'!I3789,0)</f>
        <v/>
      </c>
      <c r="J3811">
        <f>IF('01_Вводные'!$B$234="Да",'19_Расчет_аналитики'!I3811+SUM('19_Расчет_аналитики'!J3767:J3772)+'19_Расчет_аналитики'!J3662-'19_Расчет_аналитики'!J3789,0)</f>
        <v/>
      </c>
      <c r="K3811">
        <f>IF('01_Вводные'!$B$234="Да",'19_Расчет_аналитики'!J3811+SUM('19_Расчет_аналитики'!K3767:K3772)+'19_Расчет_аналитики'!K3662-'19_Расчет_аналитики'!K3789,0)</f>
        <v/>
      </c>
      <c r="L3811">
        <f>IF('01_Вводные'!$B$234="Да",'19_Расчет_аналитики'!K3811+SUM('19_Расчет_аналитики'!L3767:L3772)+'19_Расчет_аналитики'!L3662-'19_Расчет_аналитики'!L3789,0)</f>
        <v/>
      </c>
      <c r="M3811">
        <f>IF('01_Вводные'!$B$234="Да",'19_Расчет_аналитики'!L3811+SUM('19_Расчет_аналитики'!M3767:M3772)+'19_Расчет_аналитики'!M3662-'19_Расчет_аналитики'!M3789,0)</f>
        <v/>
      </c>
      <c r="N3811">
        <f>IF('01_Вводные'!$B$234="Да",'19_Расчет_аналитики'!M3811+SUM('19_Расчет_аналитики'!N3767:N3772)+'19_Расчет_аналитики'!N3662-'19_Расчет_аналитики'!N3789,0)</f>
        <v/>
      </c>
      <c r="O3811">
        <f>IF('01_Вводные'!$B$234="Да",'19_Расчет_аналитики'!N3811+SUM('19_Расчет_аналитики'!O3767:O3772)+'19_Расчет_аналитики'!O3662-'19_Расчет_аналитики'!O3789,0)</f>
        <v/>
      </c>
      <c r="P3811">
        <f>IF('01_Вводные'!$B$234="Да",'19_Расчет_аналитики'!O3811+SUM('19_Расчет_аналитики'!P3767:P3772)+'19_Расчет_аналитики'!P3662-'19_Расчет_аналитики'!P3789,0)</f>
        <v/>
      </c>
      <c r="Q3811">
        <f>IF('01_Вводные'!$B$234="Да",'19_Расчет_аналитики'!P3811+SUM('19_Расчет_аналитики'!Q3767:Q3772)+'19_Расчет_аналитики'!Q3662-'19_Расчет_аналитики'!Q3789,0)</f>
        <v/>
      </c>
      <c r="R3811">
        <f>IF('01_Вводные'!$B$234="Да",'19_Расчет_аналитики'!Q3811+SUM('19_Расчет_аналитики'!R3767:R3772)+'19_Расчет_аналитики'!R3662-'19_Расчет_аналитики'!R3789,0)</f>
        <v/>
      </c>
      <c r="S3811">
        <f>IF('01_Вводные'!$B$234="Да",'19_Расчет_аналитики'!R3811+SUM('19_Расчет_аналитики'!S3767:S3772)+'19_Расчет_аналитики'!S3662-'19_Расчет_аналитики'!S3789,0)</f>
        <v/>
      </c>
      <c r="T3811">
        <f>IF('01_Вводные'!$B$234="Да",'19_Расчет_аналитики'!S3811+SUM('19_Расчет_аналитики'!T3767:T3772)+'19_Расчет_аналитики'!T3662-'19_Расчет_аналитики'!T3789,0)</f>
        <v/>
      </c>
      <c r="U3811">
        <f>IF('01_Вводные'!$B$234="Да",'19_Расчет_аналитики'!T3811+SUM('19_Расчет_аналитики'!U3767:U3772)+'19_Расчет_аналитики'!U3662-'19_Расчет_аналитики'!U3789,0)</f>
        <v/>
      </c>
      <c r="V3811">
        <f>IF('01_Вводные'!$B$234="Да",'19_Расчет_аналитики'!U3811+SUM('19_Расчет_аналитики'!V3767:V3772)+'19_Расчет_аналитики'!V3662-'19_Расчет_аналитики'!V3789,0)</f>
        <v/>
      </c>
      <c r="W3811">
        <f>IF('01_Вводные'!$B$234="Да",'19_Расчет_аналитики'!V3811+SUM('19_Расчет_аналитики'!W3767:W3772)+'19_Расчет_аналитики'!W3662-'19_Расчет_аналитики'!W3789,0)</f>
        <v/>
      </c>
      <c r="X3811">
        <f>IF('01_Вводные'!$B$234="Да",'19_Расчет_аналитики'!W3811+SUM('19_Расчет_аналитики'!X3767:X3772)+'19_Расчет_аналитики'!X3662-'19_Расчет_аналитики'!X3789,0)</f>
        <v/>
      </c>
      <c r="Y3811">
        <f>IF('01_Вводные'!$B$234="Да",'19_Расчет_аналитики'!X3811+SUM('19_Расчет_аналитики'!Y3767:Y3772)+'19_Расчет_аналитики'!Y3662-'19_Расчет_аналитики'!Y3789,0)</f>
        <v/>
      </c>
      <c r="Z3811">
        <f>IF('01_Вводные'!$B$234="Да",'19_Расчет_аналитики'!Y3811+SUM('19_Расчет_аналитики'!Z3767:Z3772)+'19_Расчет_аналитики'!Z3662-'19_Расчет_аналитики'!Z3789,0)</f>
        <v/>
      </c>
      <c r="AA3811">
        <f>IF('01_Вводные'!$B$234="Да",'19_Расчет_аналитики'!Z3811+SUM('19_Расчет_аналитики'!AA3767:AA3772)+'19_Расчет_аналитики'!AA3662-'19_Расчет_аналитики'!AA3789,0)</f>
        <v/>
      </c>
      <c r="AB3811">
        <f>IF('01_Вводные'!$B$234="Да",'19_Расчет_аналитики'!AA3811+SUM('19_Расчет_аналитики'!AB3767:AB3772)+'19_Расчет_аналитики'!AB3662-'19_Расчет_аналитики'!AB3789,0)</f>
        <v/>
      </c>
      <c r="AC3811">
        <f>IF('01_Вводные'!$B$234="Да",'19_Расчет_аналитики'!AB3811+SUM('19_Расчет_аналитики'!AC3767:AC3772)+'19_Расчет_аналитики'!AC3662-'19_Расчет_аналитики'!AC3789,0)</f>
        <v/>
      </c>
      <c r="AD3811">
        <f>IF('01_Вводные'!$B$234="Да",'19_Расчет_аналитики'!AC3811+SUM('19_Расчет_аналитики'!AD3767:AD3772)+'19_Расчет_аналитики'!AD3662-'19_Расчет_аналитики'!AD3789,0)</f>
        <v/>
      </c>
      <c r="AE3811">
        <f>IF('01_Вводные'!$B$234="Да",'19_Расчет_аналитики'!AD3811+SUM('19_Расчет_аналитики'!AE3767:AE3772)+'19_Расчет_аналитики'!AE3662-'19_Расчет_аналитики'!AE3789,0)</f>
        <v/>
      </c>
      <c r="AF3811">
        <f>IF('01_Вводные'!$B$234="Да",'19_Расчет_аналитики'!AE3811+SUM('19_Расчет_аналитики'!AF3767:AF3772)+'19_Расчет_аналитики'!AF3662-'19_Расчет_аналитики'!AF3789,0)</f>
        <v/>
      </c>
      <c r="AG3811">
        <f>IF('01_Вводные'!$B$234="Да",'19_Расчет_аналитики'!AF3811+SUM('19_Расчет_аналитики'!AG3767:AG3772)+'19_Расчет_аналитики'!AG3662-'19_Расчет_аналитики'!AG3789,0)</f>
        <v/>
      </c>
      <c r="AH3811">
        <f>IF('01_Вводные'!$B$234="Да",'19_Расчет_аналитики'!AG3811+SUM('19_Расчет_аналитики'!AH3767:AH3772)+'19_Расчет_аналитики'!AH3662-'19_Расчет_аналитики'!AH3789,0)</f>
        <v/>
      </c>
      <c r="AI3811">
        <f>IF('01_Вводные'!$B$234="Да",'19_Расчет_аналитики'!AH3811+SUM('19_Расчет_аналитики'!AI3767:AI3772)+'19_Расчет_аналитики'!AI3662-'19_Расчет_аналитики'!AI3789,0)</f>
        <v/>
      </c>
      <c r="AJ3811">
        <f>IF('01_Вводные'!$B$234="Да",'19_Расчет_аналитики'!AI3811+SUM('19_Расчет_аналитики'!AJ3767:AJ3772)+'19_Расчет_аналитики'!AJ3662-'19_Расчет_аналитики'!AJ3789,0)</f>
        <v/>
      </c>
      <c r="AK3811">
        <f>IF('01_Вводные'!$B$234="Да",'19_Расчет_аналитики'!AJ3811+SUM('19_Расчет_аналитики'!AK3767:AK3772)+'19_Расчет_аналитики'!AK3662-'19_Расчет_аналитики'!AK3789,0)</f>
        <v/>
      </c>
      <c r="AL3811">
        <f>IF('01_Вводные'!$B$234="Да",'19_Расчет_аналитики'!AK3811+SUM('19_Расчет_аналитики'!AL3767:AL3772)+'19_Расчет_аналитики'!AL3662-'19_Расчет_аналитики'!AL3789,0)</f>
        <v/>
      </c>
      <c r="AM3811">
        <f>IF('01_Вводные'!$B$234="Да",'19_Расчет_аналитики'!AL3811+SUM('19_Расчет_аналитики'!AM3767:AM3772)+'19_Расчет_аналитики'!AM3662-'19_Расчет_аналитики'!AM3789,0)</f>
        <v/>
      </c>
      <c r="AN3811">
        <f>IF('01_Вводные'!$B$234="Да",'19_Расчет_аналитики'!AM3811+SUM('19_Расчет_аналитики'!AN3767:AN3772)+'19_Расчет_аналитики'!AN3662-'19_Расчет_аналитики'!AN3789,0)</f>
        <v/>
      </c>
      <c r="AO3811">
        <f>IF('01_Вводные'!$B$234="Да",'19_Расчет_аналитики'!AN3811+SUM('19_Расчет_аналитики'!AO3767:AO3772)+'19_Расчет_аналитики'!AO3662-'19_Расчет_аналитики'!AO3789,0)</f>
        <v/>
      </c>
      <c r="AP3811">
        <f>IF('01_Вводные'!$B$234="Да",'19_Расчет_аналитики'!AO3811+SUM('19_Расчет_аналитики'!AP3767:AP3772)+'19_Расчет_аналитики'!AP3662-'19_Расчет_аналитики'!AP3789,0)</f>
        <v/>
      </c>
      <c r="AQ3811">
        <f>IF('01_Вводные'!$B$234="Да",'19_Расчет_аналитики'!AP3811+SUM('19_Расчет_аналитики'!AQ3767:AQ3772)+'19_Расчет_аналитики'!AQ3662-'19_Расчет_аналитики'!AQ3789,0)</f>
        <v/>
      </c>
      <c r="AR3811">
        <f>IF('01_Вводные'!$B$234="Да",'19_Расчет_аналитики'!AQ3811+SUM('19_Расчет_аналитики'!AR3767:AR3772)+'19_Расчет_аналитики'!AR3662-'19_Расчет_аналитики'!AR3789,0)</f>
        <v/>
      </c>
      <c r="AS3811">
        <f>IF('01_Вводные'!$B$234="Да",'19_Расчет_аналитики'!AR3811+SUM('19_Расчет_аналитики'!AS3767:AS3772)+'19_Расчет_аналитики'!AS3662-'19_Расчет_аналитики'!AS3789,0)</f>
        <v/>
      </c>
      <c r="AT3811">
        <f>IF('01_Вводные'!$B$234="Да",'19_Расчет_аналитики'!AS3811+SUM('19_Расчет_аналитики'!AT3767:AT3772)+'19_Расчет_аналитики'!AT3662-'19_Расчет_аналитики'!AT3789,0)</f>
        <v/>
      </c>
      <c r="AU3811">
        <f>IF('01_Вводные'!$B$234="Да",'19_Расчет_аналитики'!AT3811+SUM('19_Расчет_аналитики'!AU3767:AU3772)+'19_Расчет_аналитики'!AU3662-'19_Расчет_аналитики'!AU3789,0)</f>
        <v/>
      </c>
      <c r="AV3811">
        <f>IF('01_Вводные'!$B$234="Да",'19_Расчет_аналитики'!AU3811+SUM('19_Расчет_аналитики'!AV3767:AV3772)+'19_Расчет_аналитики'!AV3662-'19_Расчет_аналитики'!AV3789,0)</f>
        <v/>
      </c>
      <c r="AW3811">
        <f>IF('01_Вводные'!$B$234="Да",'19_Расчет_аналитики'!AV3811+SUM('19_Расчет_аналитики'!AW3767:AW3772)+'19_Расчет_аналитики'!AW3662-'19_Расчет_аналитики'!AW3789,0)</f>
        <v/>
      </c>
      <c r="AX3811">
        <f>IF('01_Вводные'!$B$234="Да",'19_Расчет_аналитики'!AW3811+SUM('19_Расчет_аналитики'!AX3767:AX3772)+'19_Расчет_аналитики'!AX3662-'19_Расчет_аналитики'!AX3789,0)</f>
        <v/>
      </c>
      <c r="AY3811">
        <f>IF('01_Вводные'!$B$234="Да",'19_Расчет_аналитики'!AX3811+SUM('19_Расчет_аналитики'!AY3767:AY3772)+'19_Расчет_аналитики'!AY3662-'19_Расчет_аналитики'!AY3789,0)</f>
        <v/>
      </c>
      <c r="AZ3811">
        <f>IF('01_Вводные'!$B$234="Да",'19_Расчет_аналитики'!AY3811+SUM('19_Расчет_аналитики'!AZ3767:AZ3772)+'19_Расчет_аналитики'!AZ3662-'19_Расчет_аналитики'!AZ3789,0)</f>
        <v/>
      </c>
      <c r="BA3811">
        <f>IF('01_Вводные'!$B$234="Да",'19_Расчет_аналитики'!AZ3811+SUM('19_Расчет_аналитики'!BA3767:BA3772)+'19_Расчет_аналитики'!BA3662-'19_Расчет_аналитики'!BA3789,0)</f>
        <v/>
      </c>
      <c r="BB3811">
        <f>IF('01_Вводные'!$B$234="Да",'19_Расчет_аналитики'!BA3811+SUM('19_Расчет_аналитики'!BB3767:BB3772)+'19_Расчет_аналитики'!BB3662-'19_Расчет_аналитики'!BB3789,0)</f>
        <v/>
      </c>
      <c r="BC3811">
        <f>IF('01_Вводные'!$B$234="Да",'19_Расчет_аналитики'!BB3811+SUM('19_Расчет_аналитики'!BC3767:BC3772)+'19_Расчет_аналитики'!BC3662-'19_Расчет_аналитики'!BC3789,0)</f>
        <v/>
      </c>
      <c r="BD3811">
        <f>IF('01_Вводные'!$B$234="Да",'19_Расчет_аналитики'!BC3811+SUM('19_Расчет_аналитики'!BD3767:BD3772)+'19_Расчет_аналитики'!BD3662-'19_Расчет_аналитики'!BD3789,0)</f>
        <v/>
      </c>
      <c r="BE3811">
        <f>IF('01_Вводные'!$B$234="Да",'19_Расчет_аналитики'!BD3811+SUM('19_Расчет_аналитики'!BE3767:BE3772)+'19_Расчет_аналитики'!BE3662-'19_Расчет_аналитики'!BE3789,0)</f>
        <v/>
      </c>
      <c r="BF3811">
        <f>IF('01_Вводные'!$B$234="Да",'19_Расчет_аналитики'!BE3811+SUM('19_Расчет_аналитики'!BF3767:BF3772)+'19_Расчет_аналитики'!BF3662-'19_Расчет_аналитики'!BF3789,0)</f>
        <v/>
      </c>
      <c r="BG3811">
        <f>IF('01_Вводные'!$B$234="Да",'19_Расчет_аналитики'!BF3811+SUM('19_Расчет_аналитики'!BG3767:BG3772)+'19_Расчет_аналитики'!BG3662-'19_Расчет_аналитики'!BG3789,0)</f>
        <v/>
      </c>
      <c r="BH3811">
        <f>IF('01_Вводные'!$B$234="Да",'19_Расчет_аналитики'!BG3811+SUM('19_Расчет_аналитики'!BH3767:BH3772)+'19_Расчет_аналитики'!BH3662-'19_Расчет_аналитики'!BH3789,0)</f>
        <v/>
      </c>
      <c r="BI3811">
        <f>IF('01_Вводные'!$B$234="Да",'19_Расчет_аналитики'!BH3811+SUM('19_Расчет_аналитики'!BI3767:BI3772)+'19_Расчет_аналитики'!BI3662-'19_Расчет_аналитики'!BI3789,0)</f>
        <v/>
      </c>
    </row>
    <row r="3812"/>
    <row r="3813"/>
    <row r="3814">
      <c r="B3814">
        <f>IF('01_Вводные'!$B$234="Да",'19_Расчет_аналитики'!B3663-'07_Мерч'!B22,0)</f>
        <v/>
      </c>
      <c r="C3814">
        <f>IF('01_Вводные'!$B$234="Да",'19_Расчет_аналитики'!C3663-'19_Расчет_аналитики'!C3659,0)</f>
        <v/>
      </c>
      <c r="D3814">
        <f>IF('01_Вводные'!$B$234="Да",'19_Расчет_аналитики'!D3663-'19_Расчет_аналитики'!D3659,0)</f>
        <v/>
      </c>
      <c r="E3814">
        <f>IF('01_Вводные'!$B$234="Да",'19_Расчет_аналитики'!E3663-'19_Расчет_аналитики'!E3659,0)</f>
        <v/>
      </c>
      <c r="F3814">
        <f>IF('01_Вводные'!$B$234="Да",'19_Расчет_аналитики'!F3663-'19_Расчет_аналитики'!F3659,0)</f>
        <v/>
      </c>
      <c r="G3814">
        <f>IF('01_Вводные'!$B$234="Да",'19_Расчет_аналитики'!G3663-'19_Расчет_аналитики'!G3659,0)</f>
        <v/>
      </c>
      <c r="H3814">
        <f>IF('01_Вводные'!$B$234="Да",'19_Расчет_аналитики'!H3663-'19_Расчет_аналитики'!H3659,0)</f>
        <v/>
      </c>
      <c r="I3814">
        <f>IF('01_Вводные'!$B$234="Да",'19_Расчет_аналитики'!I3663-'19_Расчет_аналитики'!I3659,0)</f>
        <v/>
      </c>
      <c r="J3814">
        <f>IF('01_Вводные'!$B$234="Да",'19_Расчет_аналитики'!J3663-'19_Расчет_аналитики'!J3659,0)</f>
        <v/>
      </c>
      <c r="K3814">
        <f>IF('01_Вводные'!$B$234="Да",'19_Расчет_аналитики'!K3663-'19_Расчет_аналитики'!K3659,0)</f>
        <v/>
      </c>
      <c r="L3814">
        <f>IF('01_Вводные'!$B$234="Да",'19_Расчет_аналитики'!L3663-'19_Расчет_аналитики'!L3659,0)</f>
        <v/>
      </c>
      <c r="M3814">
        <f>IF('01_Вводные'!$B$234="Да",'19_Расчет_аналитики'!M3663-'19_Расчет_аналитики'!M3659,0)</f>
        <v/>
      </c>
      <c r="N3814">
        <f>IF('01_Вводные'!$B$234="Да",'19_Расчет_аналитики'!N3663-'19_Расчет_аналитики'!N3659,0)</f>
        <v/>
      </c>
      <c r="O3814">
        <f>IF('01_Вводные'!$B$234="Да",'19_Расчет_аналитики'!O3663-'19_Расчет_аналитики'!O3659,0)</f>
        <v/>
      </c>
      <c r="P3814">
        <f>IF('01_Вводные'!$B$234="Да",'19_Расчет_аналитики'!P3663-'19_Расчет_аналитики'!P3659,0)</f>
        <v/>
      </c>
      <c r="Q3814">
        <f>IF('01_Вводные'!$B$234="Да",'19_Расчет_аналитики'!Q3663-'19_Расчет_аналитики'!Q3659,0)</f>
        <v/>
      </c>
      <c r="R3814">
        <f>IF('01_Вводные'!$B$234="Да",'19_Расчет_аналитики'!R3663-'19_Расчет_аналитики'!R3659,0)</f>
        <v/>
      </c>
      <c r="S3814">
        <f>IF('01_Вводные'!$B$234="Да",'19_Расчет_аналитики'!S3663-'19_Расчет_аналитики'!S3659,0)</f>
        <v/>
      </c>
      <c r="T3814">
        <f>IF('01_Вводные'!$B$234="Да",'19_Расчет_аналитики'!T3663-'19_Расчет_аналитики'!T3659,0)</f>
        <v/>
      </c>
      <c r="U3814">
        <f>IF('01_Вводные'!$B$234="Да",'19_Расчет_аналитики'!U3663-'19_Расчет_аналитики'!U3659,0)</f>
        <v/>
      </c>
      <c r="V3814">
        <f>IF('01_Вводные'!$B$234="Да",'19_Расчет_аналитики'!V3663-'19_Расчет_аналитики'!V3659,0)</f>
        <v/>
      </c>
      <c r="W3814">
        <f>IF('01_Вводные'!$B$234="Да",'19_Расчет_аналитики'!W3663-'19_Расчет_аналитики'!W3659,0)</f>
        <v/>
      </c>
      <c r="X3814">
        <f>IF('01_Вводные'!$B$234="Да",'19_Расчет_аналитики'!X3663-'19_Расчет_аналитики'!X3659,0)</f>
        <v/>
      </c>
      <c r="Y3814">
        <f>IF('01_Вводные'!$B$234="Да",'19_Расчет_аналитики'!Y3663-'19_Расчет_аналитики'!Y3659,0)</f>
        <v/>
      </c>
      <c r="Z3814">
        <f>IF('01_Вводные'!$B$234="Да",'19_Расчет_аналитики'!Z3663-'19_Расчет_аналитики'!Z3659,0)</f>
        <v/>
      </c>
      <c r="AA3814">
        <f>IF('01_Вводные'!$B$234="Да",'19_Расчет_аналитики'!AA3663-'19_Расчет_аналитики'!AA3659,0)</f>
        <v/>
      </c>
      <c r="AB3814">
        <f>IF('01_Вводные'!$B$234="Да",'19_Расчет_аналитики'!AB3663-'19_Расчет_аналитики'!AB3659,0)</f>
        <v/>
      </c>
      <c r="AC3814">
        <f>IF('01_Вводные'!$B$234="Да",'19_Расчет_аналитики'!AC3663-'19_Расчет_аналитики'!AC3659,0)</f>
        <v/>
      </c>
      <c r="AD3814">
        <f>IF('01_Вводные'!$B$234="Да",'19_Расчет_аналитики'!AD3663-'19_Расчет_аналитики'!AD3659,0)</f>
        <v/>
      </c>
      <c r="AE3814">
        <f>IF('01_Вводные'!$B$234="Да",'19_Расчет_аналитики'!AE3663-'19_Расчет_аналитики'!AE3659,0)</f>
        <v/>
      </c>
      <c r="AF3814">
        <f>IF('01_Вводные'!$B$234="Да",'19_Расчет_аналитики'!AF3663-'19_Расчет_аналитики'!AF3659,0)</f>
        <v/>
      </c>
      <c r="AG3814">
        <f>IF('01_Вводные'!$B$234="Да",'19_Расчет_аналитики'!AG3663-'19_Расчет_аналитики'!AG3659,0)</f>
        <v/>
      </c>
      <c r="AH3814">
        <f>IF('01_Вводные'!$B$234="Да",'19_Расчет_аналитики'!AH3663-'19_Расчет_аналитики'!AH3659,0)</f>
        <v/>
      </c>
      <c r="AI3814">
        <f>IF('01_Вводные'!$B$234="Да",'19_Расчет_аналитики'!AI3663-'19_Расчет_аналитики'!AI3659,0)</f>
        <v/>
      </c>
      <c r="AJ3814">
        <f>IF('01_Вводные'!$B$234="Да",'19_Расчет_аналитики'!AJ3663-'19_Расчет_аналитики'!AJ3659,0)</f>
        <v/>
      </c>
      <c r="AK3814">
        <f>IF('01_Вводные'!$B$234="Да",'19_Расчет_аналитики'!AK3663-'19_Расчет_аналитики'!AK3659,0)</f>
        <v/>
      </c>
      <c r="AL3814">
        <f>IF('01_Вводные'!$B$234="Да",'19_Расчет_аналитики'!AL3663-'19_Расчет_аналитики'!AL3659,0)</f>
        <v/>
      </c>
      <c r="AM3814">
        <f>IF('01_Вводные'!$B$234="Да",'19_Расчет_аналитики'!AM3663-'19_Расчет_аналитики'!AM3659,0)</f>
        <v/>
      </c>
      <c r="AN3814">
        <f>IF('01_Вводные'!$B$234="Да",'19_Расчет_аналитики'!AN3663-'19_Расчет_аналитики'!AN3659,0)</f>
        <v/>
      </c>
      <c r="AO3814">
        <f>IF('01_Вводные'!$B$234="Да",'19_Расчет_аналитики'!AO3663-'19_Расчет_аналитики'!AO3659,0)</f>
        <v/>
      </c>
      <c r="AP3814">
        <f>IF('01_Вводные'!$B$234="Да",'19_Расчет_аналитики'!AP3663-'19_Расчет_аналитики'!AP3659,0)</f>
        <v/>
      </c>
      <c r="AQ3814">
        <f>IF('01_Вводные'!$B$234="Да",'19_Расчет_аналитики'!AQ3663-'19_Расчет_аналитики'!AQ3659,0)</f>
        <v/>
      </c>
      <c r="AR3814">
        <f>IF('01_Вводные'!$B$234="Да",'19_Расчет_аналитики'!AR3663-'19_Расчет_аналитики'!AR3659,0)</f>
        <v/>
      </c>
      <c r="AS3814">
        <f>IF('01_Вводные'!$B$234="Да",'19_Расчет_аналитики'!AS3663-'19_Расчет_аналитики'!AS3659,0)</f>
        <v/>
      </c>
      <c r="AT3814">
        <f>IF('01_Вводные'!$B$234="Да",'19_Расчет_аналитики'!AT3663-'19_Расчет_аналитики'!AT3659,0)</f>
        <v/>
      </c>
      <c r="AU3814">
        <f>IF('01_Вводные'!$B$234="Да",'19_Расчет_аналитики'!AU3663-'19_Расчет_аналитики'!AU3659,0)</f>
        <v/>
      </c>
      <c r="AV3814">
        <f>IF('01_Вводные'!$B$234="Да",'19_Расчет_аналитики'!AV3663-'19_Расчет_аналитики'!AV3659,0)</f>
        <v/>
      </c>
      <c r="AW3814">
        <f>IF('01_Вводные'!$B$234="Да",'19_Расчет_аналитики'!AW3663-'19_Расчет_аналитики'!AW3659,0)</f>
        <v/>
      </c>
      <c r="AX3814">
        <f>IF('01_Вводные'!$B$234="Да",'19_Расчет_аналитики'!AX3663-'19_Расчет_аналитики'!AX3659,0)</f>
        <v/>
      </c>
      <c r="AY3814">
        <f>IF('01_Вводные'!$B$234="Да",'19_Расчет_аналитики'!AY3663-'19_Расчет_аналитики'!AY3659,0)</f>
        <v/>
      </c>
      <c r="AZ3814">
        <f>IF('01_Вводные'!$B$234="Да",'19_Расчет_аналитики'!AZ3663-'19_Расчет_аналитики'!AZ3659,0)</f>
        <v/>
      </c>
      <c r="BA3814">
        <f>IF('01_Вводные'!$B$234="Да",'19_Расчет_аналитики'!BA3663-'19_Расчет_аналитики'!BA3659,0)</f>
        <v/>
      </c>
      <c r="BB3814">
        <f>IF('01_Вводные'!$B$234="Да",'19_Расчет_аналитики'!BB3663-'19_Расчет_аналитики'!BB3659,0)</f>
        <v/>
      </c>
      <c r="BC3814">
        <f>IF('01_Вводные'!$B$234="Да",'19_Расчет_аналитики'!BC3663-'19_Расчет_аналитики'!BC3659,0)</f>
        <v/>
      </c>
      <c r="BD3814">
        <f>IF('01_Вводные'!$B$234="Да",'19_Расчет_аналитики'!BD3663-'19_Расчет_аналитики'!BD3659,0)</f>
        <v/>
      </c>
      <c r="BE3814">
        <f>IF('01_Вводные'!$B$234="Да",'19_Расчет_аналитики'!BE3663-'19_Расчет_аналитики'!BE3659,0)</f>
        <v/>
      </c>
      <c r="BF3814">
        <f>IF('01_Вводные'!$B$234="Да",'19_Расчет_аналитики'!BF3663-'19_Расчет_аналитики'!BF3659,0)</f>
        <v/>
      </c>
      <c r="BG3814">
        <f>IF('01_Вводные'!$B$234="Да",'19_Расчет_аналитики'!BG3663-'19_Расчет_аналитики'!BG3659,0)</f>
        <v/>
      </c>
      <c r="BH3814">
        <f>IF('01_Вводные'!$B$234="Да",'19_Расчет_аналитики'!BH3663-'19_Расчет_аналитики'!BH3659,0)</f>
        <v/>
      </c>
      <c r="BI3814">
        <f>IF('01_Вводные'!$B$234="Да",'19_Расчет_аналитики'!BI3663-'19_Расчет_аналитики'!BI3659,0)</f>
        <v/>
      </c>
    </row>
    <row r="3815">
      <c r="B3815">
        <f>IF('01_Вводные'!$B$234="Да",'19_Расчет_аналитики'!B3774-'19_Расчет_аналитики'!B3776-('19_Расчет_аналитики'!B3810-0)+('19_Расчет_аналитики'!B3811-0)+('02_Модель'!B82-0)-('02_Модель'!B83-0)-'19_Расчет_аналитики'!B3814-'19_Расчет_аналитики'!B3800+('19_Расчет_аналитики'!B3818-0)-'19_Расчет_аналитики'!B3787,0)</f>
        <v/>
      </c>
      <c r="C3815">
        <f>IF('01_Вводные'!$B$234="Да",'19_Расчет_аналитики'!C3774-'19_Расчет_аналитики'!C3776-('19_Расчет_аналитики'!C3810-'19_Расчет_аналитики'!B3810)+('19_Расчет_аналитики'!C3811-'19_Расчет_аналитики'!B3811)+('02_Модель'!C82-'02_Модель'!B82)-('02_Модель'!C83-'02_Модель'!B83)-'19_Расчет_аналитики'!C3814-'19_Расчет_аналитики'!C3800+('19_Расчет_аналитики'!C3818-'19_Расчет_аналитики'!B3818)-'19_Расчет_аналитики'!C3787,0)</f>
        <v/>
      </c>
      <c r="D3815">
        <f>IF('01_Вводные'!$B$234="Да",'19_Расчет_аналитики'!D3774-'19_Расчет_аналитики'!D3776-('19_Расчет_аналитики'!D3810-'19_Расчет_аналитики'!C3810)+('19_Расчет_аналитики'!D3811-'19_Расчет_аналитики'!C3811)+('02_Модель'!D82-'02_Модель'!C82)-('02_Модель'!D83-'02_Модель'!C83)-'19_Расчет_аналитики'!D3814-'19_Расчет_аналитики'!D3800+('19_Расчет_аналитики'!D3818-'19_Расчет_аналитики'!C3818)-'19_Расчет_аналитики'!D3787,0)</f>
        <v/>
      </c>
      <c r="E3815">
        <f>IF('01_Вводные'!$B$234="Да",'19_Расчет_аналитики'!E3774-'19_Расчет_аналитики'!E3776-('19_Расчет_аналитики'!E3810-'19_Расчет_аналитики'!D3810)+('19_Расчет_аналитики'!E3811-'19_Расчет_аналитики'!D3811)+('02_Модель'!E82-'02_Модель'!D82)-('02_Модель'!E83-'02_Модель'!D83)-'19_Расчет_аналитики'!E3814-'19_Расчет_аналитики'!E3800+('19_Расчет_аналитики'!E3818-'19_Расчет_аналитики'!D3818)-'19_Расчет_аналитики'!E3787,0)</f>
        <v/>
      </c>
      <c r="F3815">
        <f>IF('01_Вводные'!$B$234="Да",'19_Расчет_аналитики'!F3774-'19_Расчет_аналитики'!F3776-('19_Расчет_аналитики'!F3810-'19_Расчет_аналитики'!E3810)+('19_Расчет_аналитики'!F3811-'19_Расчет_аналитики'!E3811)+('02_Модель'!F82-'02_Модель'!E82)-('02_Модель'!F83-'02_Модель'!E83)-'19_Расчет_аналитики'!F3814-'19_Расчет_аналитики'!F3800+('19_Расчет_аналитики'!F3818-'19_Расчет_аналитики'!E3818)-'19_Расчет_аналитики'!F3787,0)</f>
        <v/>
      </c>
      <c r="G3815">
        <f>IF('01_Вводные'!$B$234="Да",'19_Расчет_аналитики'!G3774-'19_Расчет_аналитики'!G3776-('19_Расчет_аналитики'!G3810-'19_Расчет_аналитики'!F3810)+('19_Расчет_аналитики'!G3811-'19_Расчет_аналитики'!F3811)+('02_Модель'!G82-'02_Модель'!F82)-('02_Модель'!G83-'02_Модель'!F83)-'19_Расчет_аналитики'!G3814-'19_Расчет_аналитики'!G3800+('19_Расчет_аналитики'!G3818-'19_Расчет_аналитики'!F3818)-'19_Расчет_аналитики'!G3787,0)</f>
        <v/>
      </c>
      <c r="H3815">
        <f>IF('01_Вводные'!$B$234="Да",'19_Расчет_аналитики'!H3774-'19_Расчет_аналитики'!H3776-('19_Расчет_аналитики'!H3810-'19_Расчет_аналитики'!G3810)+('19_Расчет_аналитики'!H3811-'19_Расчет_аналитики'!G3811)+('02_Модель'!H82-'02_Модель'!G82)-('02_Модель'!H83-'02_Модель'!G83)-'19_Расчет_аналитики'!H3814-'19_Расчет_аналитики'!H3800+('19_Расчет_аналитики'!H3818-'19_Расчет_аналитики'!G3818)-'19_Расчет_аналитики'!H3787,0)</f>
        <v/>
      </c>
      <c r="I3815">
        <f>IF('01_Вводные'!$B$234="Да",'19_Расчет_аналитики'!I3774-'19_Расчет_аналитики'!I3776-('19_Расчет_аналитики'!I3810-'19_Расчет_аналитики'!H3810)+('19_Расчет_аналитики'!I3811-'19_Расчет_аналитики'!H3811)+('02_Модель'!I82-'02_Модель'!H82)-('02_Модель'!I83-'02_Модель'!H83)-'19_Расчет_аналитики'!I3814-'19_Расчет_аналитики'!I3800+('19_Расчет_аналитики'!I3818-'19_Расчет_аналитики'!H3818)-'19_Расчет_аналитики'!I3787,0)</f>
        <v/>
      </c>
      <c r="J3815">
        <f>IF('01_Вводные'!$B$234="Да",'19_Расчет_аналитики'!J3774-'19_Расчет_аналитики'!J3776-('19_Расчет_аналитики'!J3810-'19_Расчет_аналитики'!I3810)+('19_Расчет_аналитики'!J3811-'19_Расчет_аналитики'!I3811)+('02_Модель'!J82-'02_Модель'!I82)-('02_Модель'!J83-'02_Модель'!I83)-'19_Расчет_аналитики'!J3814-'19_Расчет_аналитики'!J3800+('19_Расчет_аналитики'!J3818-'19_Расчет_аналитики'!I3818)-'19_Расчет_аналитики'!J3787,0)</f>
        <v/>
      </c>
      <c r="K3815">
        <f>IF('01_Вводные'!$B$234="Да",'19_Расчет_аналитики'!K3774-'19_Расчет_аналитики'!K3776-('19_Расчет_аналитики'!K3810-'19_Расчет_аналитики'!J3810)+('19_Расчет_аналитики'!K3811-'19_Расчет_аналитики'!J3811)+('02_Модель'!K82-'02_Модель'!J82)-('02_Модель'!K83-'02_Модель'!J83)-'19_Расчет_аналитики'!K3814-'19_Расчет_аналитики'!K3800+('19_Расчет_аналитики'!K3818-'19_Расчет_аналитики'!J3818)-'19_Расчет_аналитики'!K3787,0)</f>
        <v/>
      </c>
      <c r="L3815">
        <f>IF('01_Вводные'!$B$234="Да",'19_Расчет_аналитики'!L3774-'19_Расчет_аналитики'!L3776-('19_Расчет_аналитики'!L3810-'19_Расчет_аналитики'!K3810)+('19_Расчет_аналитики'!L3811-'19_Расчет_аналитики'!K3811)+('02_Модель'!L82-'02_Модель'!K82)-('02_Модель'!L83-'02_Модель'!K83)-'19_Расчет_аналитики'!L3814-'19_Расчет_аналитики'!L3800+('19_Расчет_аналитики'!L3818-'19_Расчет_аналитики'!K3818)-'19_Расчет_аналитики'!L3787,0)</f>
        <v/>
      </c>
      <c r="M3815">
        <f>IF('01_Вводные'!$B$234="Да",'19_Расчет_аналитики'!M3774-'19_Расчет_аналитики'!M3776-('19_Расчет_аналитики'!M3810-'19_Расчет_аналитики'!L3810)+('19_Расчет_аналитики'!M3811-'19_Расчет_аналитики'!L3811)+('02_Модель'!M82-'02_Модель'!L82)-('02_Модель'!M83-'02_Модель'!L83)-'19_Расчет_аналитики'!M3814-'19_Расчет_аналитики'!M3800+('19_Расчет_аналитики'!M3818-'19_Расчет_аналитики'!L3818)-'19_Расчет_аналитики'!M3787,0)</f>
        <v/>
      </c>
      <c r="N3815">
        <f>IF('01_Вводные'!$B$234="Да",'19_Расчет_аналитики'!N3774-'19_Расчет_аналитики'!N3776-('19_Расчет_аналитики'!N3810-'19_Расчет_аналитики'!M3810)+('19_Расчет_аналитики'!N3811-'19_Расчет_аналитики'!M3811)+('02_Модель'!N82-'02_Модель'!M82)-('02_Модель'!N83-'02_Модель'!M83)-'19_Расчет_аналитики'!N3814-'19_Расчет_аналитики'!N3800+('19_Расчет_аналитики'!N3818-'19_Расчет_аналитики'!M3818)-'19_Расчет_аналитики'!N3787,0)</f>
        <v/>
      </c>
      <c r="O3815">
        <f>IF('01_Вводные'!$B$234="Да",'19_Расчет_аналитики'!O3774-'19_Расчет_аналитики'!O3776-('19_Расчет_аналитики'!O3810-'19_Расчет_аналитики'!N3810)+('19_Расчет_аналитики'!O3811-'19_Расчет_аналитики'!N3811)+('02_Модель'!O82-'02_Модель'!N82)-('02_Модель'!O83-'02_Модель'!N83)-'19_Расчет_аналитики'!O3814-'19_Расчет_аналитики'!O3800+('19_Расчет_аналитики'!O3818-'19_Расчет_аналитики'!N3818)-'19_Расчет_аналитики'!O3787,0)</f>
        <v/>
      </c>
      <c r="P3815">
        <f>IF('01_Вводные'!$B$234="Да",'19_Расчет_аналитики'!P3774-'19_Расчет_аналитики'!P3776-('19_Расчет_аналитики'!P3810-'19_Расчет_аналитики'!O3810)+('19_Расчет_аналитики'!P3811-'19_Расчет_аналитики'!O3811)+('02_Модель'!P82-'02_Модель'!O82)-('02_Модель'!P83-'02_Модель'!O83)-'19_Расчет_аналитики'!P3814-'19_Расчет_аналитики'!P3800+('19_Расчет_аналитики'!P3818-'19_Расчет_аналитики'!O3818)-'19_Расчет_аналитики'!P3787,0)</f>
        <v/>
      </c>
      <c r="Q3815">
        <f>IF('01_Вводные'!$B$234="Да",'19_Расчет_аналитики'!Q3774-'19_Расчет_аналитики'!Q3776-('19_Расчет_аналитики'!Q3810-'19_Расчет_аналитики'!P3810)+('19_Расчет_аналитики'!Q3811-'19_Расчет_аналитики'!P3811)+('02_Модель'!Q82-'02_Модель'!P82)-('02_Модель'!Q83-'02_Модель'!P83)-'19_Расчет_аналитики'!Q3814-'19_Расчет_аналитики'!Q3800+('19_Расчет_аналитики'!Q3818-'19_Расчет_аналитики'!P3818)-'19_Расчет_аналитики'!Q3787,0)</f>
        <v/>
      </c>
      <c r="R3815">
        <f>IF('01_Вводные'!$B$234="Да",'19_Расчет_аналитики'!R3774-'19_Расчет_аналитики'!R3776-('19_Расчет_аналитики'!R3810-'19_Расчет_аналитики'!Q3810)+('19_Расчет_аналитики'!R3811-'19_Расчет_аналитики'!Q3811)+('02_Модель'!R82-'02_Модель'!Q82)-('02_Модель'!R83-'02_Модель'!Q83)-'19_Расчет_аналитики'!R3814-'19_Расчет_аналитики'!R3800+('19_Расчет_аналитики'!R3818-'19_Расчет_аналитики'!Q3818)-'19_Расчет_аналитики'!R3787,0)</f>
        <v/>
      </c>
      <c r="S3815">
        <f>IF('01_Вводные'!$B$234="Да",'19_Расчет_аналитики'!S3774-'19_Расчет_аналитики'!S3776-('19_Расчет_аналитики'!S3810-'19_Расчет_аналитики'!R3810)+('19_Расчет_аналитики'!S3811-'19_Расчет_аналитики'!R3811)+('02_Модель'!S82-'02_Модель'!R82)-('02_Модель'!S83-'02_Модель'!R83)-'19_Расчет_аналитики'!S3814-'19_Расчет_аналитики'!S3800+('19_Расчет_аналитики'!S3818-'19_Расчет_аналитики'!R3818)-'19_Расчет_аналитики'!S3787,0)</f>
        <v/>
      </c>
      <c r="T3815">
        <f>IF('01_Вводные'!$B$234="Да",'19_Расчет_аналитики'!T3774-'19_Расчет_аналитики'!T3776-('19_Расчет_аналитики'!T3810-'19_Расчет_аналитики'!S3810)+('19_Расчет_аналитики'!T3811-'19_Расчет_аналитики'!S3811)+('02_Модель'!T82-'02_Модель'!S82)-('02_Модель'!T83-'02_Модель'!S83)-'19_Расчет_аналитики'!T3814-'19_Расчет_аналитики'!T3800+('19_Расчет_аналитики'!T3818-'19_Расчет_аналитики'!S3818)-'19_Расчет_аналитики'!T3787,0)</f>
        <v/>
      </c>
      <c r="U3815">
        <f>IF('01_Вводные'!$B$234="Да",'19_Расчет_аналитики'!U3774-'19_Расчет_аналитики'!U3776-('19_Расчет_аналитики'!U3810-'19_Расчет_аналитики'!T3810)+('19_Расчет_аналитики'!U3811-'19_Расчет_аналитики'!T3811)+('02_Модель'!U82-'02_Модель'!T82)-('02_Модель'!U83-'02_Модель'!T83)-'19_Расчет_аналитики'!U3814-'19_Расчет_аналитики'!U3800+('19_Расчет_аналитики'!U3818-'19_Расчет_аналитики'!T3818)-'19_Расчет_аналитики'!U3787,0)</f>
        <v/>
      </c>
      <c r="V3815">
        <f>IF('01_Вводные'!$B$234="Да",'19_Расчет_аналитики'!V3774-'19_Расчет_аналитики'!V3776-('19_Расчет_аналитики'!V3810-'19_Расчет_аналитики'!U3810)+('19_Расчет_аналитики'!V3811-'19_Расчет_аналитики'!U3811)+('02_Модель'!V82-'02_Модель'!U82)-('02_Модель'!V83-'02_Модель'!U83)-'19_Расчет_аналитики'!V3814-'19_Расчет_аналитики'!V3800+('19_Расчет_аналитики'!V3818-'19_Расчет_аналитики'!U3818)-'19_Расчет_аналитики'!V3787,0)</f>
        <v/>
      </c>
      <c r="W3815">
        <f>IF('01_Вводные'!$B$234="Да",'19_Расчет_аналитики'!W3774-'19_Расчет_аналитики'!W3776-('19_Расчет_аналитики'!W3810-'19_Расчет_аналитики'!V3810)+('19_Расчет_аналитики'!W3811-'19_Расчет_аналитики'!V3811)+('02_Модель'!W82-'02_Модель'!V82)-('02_Модель'!W83-'02_Модель'!V83)-'19_Расчет_аналитики'!W3814-'19_Расчет_аналитики'!W3800+('19_Расчет_аналитики'!W3818-'19_Расчет_аналитики'!V3818)-'19_Расчет_аналитики'!W3787,0)</f>
        <v/>
      </c>
      <c r="X3815">
        <f>IF('01_Вводные'!$B$234="Да",'19_Расчет_аналитики'!X3774-'19_Расчет_аналитики'!X3776-('19_Расчет_аналитики'!X3810-'19_Расчет_аналитики'!W3810)+('19_Расчет_аналитики'!X3811-'19_Расчет_аналитики'!W3811)+('02_Модель'!X82-'02_Модель'!W82)-('02_Модель'!X83-'02_Модель'!W83)-'19_Расчет_аналитики'!X3814-'19_Расчет_аналитики'!X3800+('19_Расчет_аналитики'!X3818-'19_Расчет_аналитики'!W3818)-'19_Расчет_аналитики'!X3787,0)</f>
        <v/>
      </c>
      <c r="Y3815">
        <f>IF('01_Вводные'!$B$234="Да",'19_Расчет_аналитики'!Y3774-'19_Расчет_аналитики'!Y3776-('19_Расчет_аналитики'!Y3810-'19_Расчет_аналитики'!X3810)+('19_Расчет_аналитики'!Y3811-'19_Расчет_аналитики'!X3811)+('02_Модель'!Y82-'02_Модель'!X82)-('02_Модель'!Y83-'02_Модель'!X83)-'19_Расчет_аналитики'!Y3814-'19_Расчет_аналитики'!Y3800+('19_Расчет_аналитики'!Y3818-'19_Расчет_аналитики'!X3818)-'19_Расчет_аналитики'!Y3787,0)</f>
        <v/>
      </c>
      <c r="Z3815">
        <f>IF('01_Вводные'!$B$234="Да",'19_Расчет_аналитики'!Z3774-'19_Расчет_аналитики'!Z3776-('19_Расчет_аналитики'!Z3810-'19_Расчет_аналитики'!Y3810)+('19_Расчет_аналитики'!Z3811-'19_Расчет_аналитики'!Y3811)+('02_Модель'!Z82-'02_Модель'!Y82)-('02_Модель'!Z83-'02_Модель'!Y83)-'19_Расчет_аналитики'!Z3814-'19_Расчет_аналитики'!Z3800+('19_Расчет_аналитики'!Z3818-'19_Расчет_аналитики'!Y3818)-'19_Расчет_аналитики'!Z3787,0)</f>
        <v/>
      </c>
      <c r="AA3815">
        <f>IF('01_Вводные'!$B$234="Да",'19_Расчет_аналитики'!AA3774-'19_Расчет_аналитики'!AA3776-('19_Расчет_аналитики'!AA3810-'19_Расчет_аналитики'!Z3810)+('19_Расчет_аналитики'!AA3811-'19_Расчет_аналитики'!Z3811)+('02_Модель'!AA82-'02_Модель'!Z82)-('02_Модель'!AA83-'02_Модель'!Z83)-'19_Расчет_аналитики'!AA3814-'19_Расчет_аналитики'!AA3800+('19_Расчет_аналитики'!AA3818-'19_Расчет_аналитики'!Z3818)-'19_Расчет_аналитики'!AA3787,0)</f>
        <v/>
      </c>
      <c r="AB3815">
        <f>IF('01_Вводные'!$B$234="Да",'19_Расчет_аналитики'!AB3774-'19_Расчет_аналитики'!AB3776-('19_Расчет_аналитики'!AB3810-'19_Расчет_аналитики'!AA3810)+('19_Расчет_аналитики'!AB3811-'19_Расчет_аналитики'!AA3811)+('02_Модель'!AB82-'02_Модель'!AA82)-('02_Модель'!AB83-'02_Модель'!AA83)-'19_Расчет_аналитики'!AB3814-'19_Расчет_аналитики'!AB3800+('19_Расчет_аналитики'!AB3818-'19_Расчет_аналитики'!AA3818)-'19_Расчет_аналитики'!AB3787,0)</f>
        <v/>
      </c>
      <c r="AC3815">
        <f>IF('01_Вводные'!$B$234="Да",'19_Расчет_аналитики'!AC3774-'19_Расчет_аналитики'!AC3776-('19_Расчет_аналитики'!AC3810-'19_Расчет_аналитики'!AB3810)+('19_Расчет_аналитики'!AC3811-'19_Расчет_аналитики'!AB3811)+('02_Модель'!AC82-'02_Модель'!AB82)-('02_Модель'!AC83-'02_Модель'!AB83)-'19_Расчет_аналитики'!AC3814-'19_Расчет_аналитики'!AC3800+('19_Расчет_аналитики'!AC3818-'19_Расчет_аналитики'!AB3818)-'19_Расчет_аналитики'!AC3787,0)</f>
        <v/>
      </c>
      <c r="AD3815">
        <f>IF('01_Вводные'!$B$234="Да",'19_Расчет_аналитики'!AD3774-'19_Расчет_аналитики'!AD3776-('19_Расчет_аналитики'!AD3810-'19_Расчет_аналитики'!AC3810)+('19_Расчет_аналитики'!AD3811-'19_Расчет_аналитики'!AC3811)+('02_Модель'!AD82-'02_Модель'!AC82)-('02_Модель'!AD83-'02_Модель'!AC83)-'19_Расчет_аналитики'!AD3814-'19_Расчет_аналитики'!AD3800+('19_Расчет_аналитики'!AD3818-'19_Расчет_аналитики'!AC3818)-'19_Расчет_аналитики'!AD3787,0)</f>
        <v/>
      </c>
      <c r="AE3815">
        <f>IF('01_Вводные'!$B$234="Да",'19_Расчет_аналитики'!AE3774-'19_Расчет_аналитики'!AE3776-('19_Расчет_аналитики'!AE3810-'19_Расчет_аналитики'!AD3810)+('19_Расчет_аналитики'!AE3811-'19_Расчет_аналитики'!AD3811)+('02_Модель'!AE82-'02_Модель'!AD82)-('02_Модель'!AE83-'02_Модель'!AD83)-'19_Расчет_аналитики'!AE3814-'19_Расчет_аналитики'!AE3800+('19_Расчет_аналитики'!AE3818-'19_Расчет_аналитики'!AD3818)-'19_Расчет_аналитики'!AE3787,0)</f>
        <v/>
      </c>
      <c r="AF3815">
        <f>IF('01_Вводные'!$B$234="Да",'19_Расчет_аналитики'!AF3774-'19_Расчет_аналитики'!AF3776-('19_Расчет_аналитики'!AF3810-'19_Расчет_аналитики'!AE3810)+('19_Расчет_аналитики'!AF3811-'19_Расчет_аналитики'!AE3811)+('02_Модель'!AF82-'02_Модель'!AE82)-('02_Модель'!AF83-'02_Модель'!AE83)-'19_Расчет_аналитики'!AF3814-'19_Расчет_аналитики'!AF3800+('19_Расчет_аналитики'!AF3818-'19_Расчет_аналитики'!AE3818)-'19_Расчет_аналитики'!AF3787,0)</f>
        <v/>
      </c>
      <c r="AG3815">
        <f>IF('01_Вводные'!$B$234="Да",'19_Расчет_аналитики'!AG3774-'19_Расчет_аналитики'!AG3776-('19_Расчет_аналитики'!AG3810-'19_Расчет_аналитики'!AF3810)+('19_Расчет_аналитики'!AG3811-'19_Расчет_аналитики'!AF3811)+('02_Модель'!AG82-'02_Модель'!AF82)-('02_Модель'!AG83-'02_Модель'!AF83)-'19_Расчет_аналитики'!AG3814-'19_Расчет_аналитики'!AG3800+('19_Расчет_аналитики'!AG3818-'19_Расчет_аналитики'!AF3818)-'19_Расчет_аналитики'!AG3787,0)</f>
        <v/>
      </c>
      <c r="AH3815">
        <f>IF('01_Вводные'!$B$234="Да",'19_Расчет_аналитики'!AH3774-'19_Расчет_аналитики'!AH3776-('19_Расчет_аналитики'!AH3810-'19_Расчет_аналитики'!AG3810)+('19_Расчет_аналитики'!AH3811-'19_Расчет_аналитики'!AG3811)+('02_Модель'!AH82-'02_Модель'!AG82)-('02_Модель'!AH83-'02_Модель'!AG83)-'19_Расчет_аналитики'!AH3814-'19_Расчет_аналитики'!AH3800+('19_Расчет_аналитики'!AH3818-'19_Расчет_аналитики'!AG3818)-'19_Расчет_аналитики'!AH3787,0)</f>
        <v/>
      </c>
      <c r="AI3815">
        <f>IF('01_Вводные'!$B$234="Да",'19_Расчет_аналитики'!AI3774-'19_Расчет_аналитики'!AI3776-('19_Расчет_аналитики'!AI3810-'19_Расчет_аналитики'!AH3810)+('19_Расчет_аналитики'!AI3811-'19_Расчет_аналитики'!AH3811)+('02_Модель'!AI82-'02_Модель'!AH82)-('02_Модель'!AI83-'02_Модель'!AH83)-'19_Расчет_аналитики'!AI3814-'19_Расчет_аналитики'!AI3800+('19_Расчет_аналитики'!AI3818-'19_Расчет_аналитики'!AH3818)-'19_Расчет_аналитики'!AI3787,0)</f>
        <v/>
      </c>
      <c r="AJ3815">
        <f>IF('01_Вводные'!$B$234="Да",'19_Расчет_аналитики'!AJ3774-'19_Расчет_аналитики'!AJ3776-('19_Расчет_аналитики'!AJ3810-'19_Расчет_аналитики'!AI3810)+('19_Расчет_аналитики'!AJ3811-'19_Расчет_аналитики'!AI3811)+('02_Модель'!AJ82-'02_Модель'!AI82)-('02_Модель'!AJ83-'02_Модель'!AI83)-'19_Расчет_аналитики'!AJ3814-'19_Расчет_аналитики'!AJ3800+('19_Расчет_аналитики'!AJ3818-'19_Расчет_аналитики'!AI3818)-'19_Расчет_аналитики'!AJ3787,0)</f>
        <v/>
      </c>
      <c r="AK3815">
        <f>IF('01_Вводные'!$B$234="Да",'19_Расчет_аналитики'!AK3774-'19_Расчет_аналитики'!AK3776-('19_Расчет_аналитики'!AK3810-'19_Расчет_аналитики'!AJ3810)+('19_Расчет_аналитики'!AK3811-'19_Расчет_аналитики'!AJ3811)+('02_Модель'!AK82-'02_Модель'!AJ82)-('02_Модель'!AK83-'02_Модель'!AJ83)-'19_Расчет_аналитики'!AK3814-'19_Расчет_аналитики'!AK3800+('19_Расчет_аналитики'!AK3818-'19_Расчет_аналитики'!AJ3818)-'19_Расчет_аналитики'!AK3787,0)</f>
        <v/>
      </c>
      <c r="AL3815">
        <f>IF('01_Вводные'!$B$234="Да",'19_Расчет_аналитики'!AL3774-'19_Расчет_аналитики'!AL3776-('19_Расчет_аналитики'!AL3810-'19_Расчет_аналитики'!AK3810)+('19_Расчет_аналитики'!AL3811-'19_Расчет_аналитики'!AK3811)+('02_Модель'!AL82-'02_Модель'!AK82)-('02_Модель'!AL83-'02_Модель'!AK83)-'19_Расчет_аналитики'!AL3814-'19_Расчет_аналитики'!AL3800+('19_Расчет_аналитики'!AL3818-'19_Расчет_аналитики'!AK3818)-'19_Расчет_аналитики'!AL3787,0)</f>
        <v/>
      </c>
      <c r="AM3815">
        <f>IF('01_Вводные'!$B$234="Да",'19_Расчет_аналитики'!AM3774-'19_Расчет_аналитики'!AM3776-('19_Расчет_аналитики'!AM3810-'19_Расчет_аналитики'!AL3810)+('19_Расчет_аналитики'!AM3811-'19_Расчет_аналитики'!AL3811)+('02_Модель'!AM82-'02_Модель'!AL82)-('02_Модель'!AM83-'02_Модель'!AL83)-'19_Расчет_аналитики'!AM3814-'19_Расчет_аналитики'!AM3800+('19_Расчет_аналитики'!AM3818-'19_Расчет_аналитики'!AL3818)-'19_Расчет_аналитики'!AM3787,0)</f>
        <v/>
      </c>
      <c r="AN3815">
        <f>IF('01_Вводные'!$B$234="Да",'19_Расчет_аналитики'!AN3774-'19_Расчет_аналитики'!AN3776-('19_Расчет_аналитики'!AN3810-'19_Расчет_аналитики'!AM3810)+('19_Расчет_аналитики'!AN3811-'19_Расчет_аналитики'!AM3811)+('02_Модель'!AN82-'02_Модель'!AM82)-('02_Модель'!AN83-'02_Модель'!AM83)-'19_Расчет_аналитики'!AN3814-'19_Расчет_аналитики'!AN3800+('19_Расчет_аналитики'!AN3818-'19_Расчет_аналитики'!AM3818)-'19_Расчет_аналитики'!AN3787,0)</f>
        <v/>
      </c>
      <c r="AO3815">
        <f>IF('01_Вводные'!$B$234="Да",'19_Расчет_аналитики'!AO3774-'19_Расчет_аналитики'!AO3776-('19_Расчет_аналитики'!AO3810-'19_Расчет_аналитики'!AN3810)+('19_Расчет_аналитики'!AO3811-'19_Расчет_аналитики'!AN3811)+('02_Модель'!AO82-'02_Модель'!AN82)-('02_Модель'!AO83-'02_Модель'!AN83)-'19_Расчет_аналитики'!AO3814-'19_Расчет_аналитики'!AO3800+('19_Расчет_аналитики'!AO3818-'19_Расчет_аналитики'!AN3818)-'19_Расчет_аналитики'!AO3787,0)</f>
        <v/>
      </c>
      <c r="AP3815">
        <f>IF('01_Вводные'!$B$234="Да",'19_Расчет_аналитики'!AP3774-'19_Расчет_аналитики'!AP3776-('19_Расчет_аналитики'!AP3810-'19_Расчет_аналитики'!AO3810)+('19_Расчет_аналитики'!AP3811-'19_Расчет_аналитики'!AO3811)+('02_Модель'!AP82-'02_Модель'!AO82)-('02_Модель'!AP83-'02_Модель'!AO83)-'19_Расчет_аналитики'!AP3814-'19_Расчет_аналитики'!AP3800+('19_Расчет_аналитики'!AP3818-'19_Расчет_аналитики'!AO3818)-'19_Расчет_аналитики'!AP3787,0)</f>
        <v/>
      </c>
      <c r="AQ3815">
        <f>IF('01_Вводные'!$B$234="Да",'19_Расчет_аналитики'!AQ3774-'19_Расчет_аналитики'!AQ3776-('19_Расчет_аналитики'!AQ3810-'19_Расчет_аналитики'!AP3810)+('19_Расчет_аналитики'!AQ3811-'19_Расчет_аналитики'!AP3811)+('02_Модель'!AQ82-'02_Модель'!AP82)-('02_Модель'!AQ83-'02_Модель'!AP83)-'19_Расчет_аналитики'!AQ3814-'19_Расчет_аналитики'!AQ3800+('19_Расчет_аналитики'!AQ3818-'19_Расчет_аналитики'!AP3818)-'19_Расчет_аналитики'!AQ3787,0)</f>
        <v/>
      </c>
      <c r="AR3815">
        <f>IF('01_Вводные'!$B$234="Да",'19_Расчет_аналитики'!AR3774-'19_Расчет_аналитики'!AR3776-('19_Расчет_аналитики'!AR3810-'19_Расчет_аналитики'!AQ3810)+('19_Расчет_аналитики'!AR3811-'19_Расчет_аналитики'!AQ3811)+('02_Модель'!AR82-'02_Модель'!AQ82)-('02_Модель'!AR83-'02_Модель'!AQ83)-'19_Расчет_аналитики'!AR3814-'19_Расчет_аналитики'!AR3800+('19_Расчет_аналитики'!AR3818-'19_Расчет_аналитики'!AQ3818)-'19_Расчет_аналитики'!AR3787,0)</f>
        <v/>
      </c>
      <c r="AS3815">
        <f>IF('01_Вводные'!$B$234="Да",'19_Расчет_аналитики'!AS3774-'19_Расчет_аналитики'!AS3776-('19_Расчет_аналитики'!AS3810-'19_Расчет_аналитики'!AR3810)+('19_Расчет_аналитики'!AS3811-'19_Расчет_аналитики'!AR3811)+('02_Модель'!AS82-'02_Модель'!AR82)-('02_Модель'!AS83-'02_Модель'!AR83)-'19_Расчет_аналитики'!AS3814-'19_Расчет_аналитики'!AS3800+('19_Расчет_аналитики'!AS3818-'19_Расчет_аналитики'!AR3818)-'19_Расчет_аналитики'!AS3787,0)</f>
        <v/>
      </c>
      <c r="AT3815">
        <f>IF('01_Вводные'!$B$234="Да",'19_Расчет_аналитики'!AT3774-'19_Расчет_аналитики'!AT3776-('19_Расчет_аналитики'!AT3810-'19_Расчет_аналитики'!AS3810)+('19_Расчет_аналитики'!AT3811-'19_Расчет_аналитики'!AS3811)+('02_Модель'!AT82-'02_Модель'!AS82)-('02_Модель'!AT83-'02_Модель'!AS83)-'19_Расчет_аналитики'!AT3814-'19_Расчет_аналитики'!AT3800+('19_Расчет_аналитики'!AT3818-'19_Расчет_аналитики'!AS3818)-'19_Расчет_аналитики'!AT3787,0)</f>
        <v/>
      </c>
      <c r="AU3815">
        <f>IF('01_Вводные'!$B$234="Да",'19_Расчет_аналитики'!AU3774-'19_Расчет_аналитики'!AU3776-('19_Расчет_аналитики'!AU3810-'19_Расчет_аналитики'!AT3810)+('19_Расчет_аналитики'!AU3811-'19_Расчет_аналитики'!AT3811)+('02_Модель'!AU82-'02_Модель'!AT82)-('02_Модель'!AU83-'02_Модель'!AT83)-'19_Расчет_аналитики'!AU3814-'19_Расчет_аналитики'!AU3800+('19_Расчет_аналитики'!AU3818-'19_Расчет_аналитики'!AT3818)-'19_Расчет_аналитики'!AU3787,0)</f>
        <v/>
      </c>
      <c r="AV3815">
        <f>IF('01_Вводные'!$B$234="Да",'19_Расчет_аналитики'!AV3774-'19_Расчет_аналитики'!AV3776-('19_Расчет_аналитики'!AV3810-'19_Расчет_аналитики'!AU3810)+('19_Расчет_аналитики'!AV3811-'19_Расчет_аналитики'!AU3811)+('02_Модель'!AV82-'02_Модель'!AU82)-('02_Модель'!AV83-'02_Модель'!AU83)-'19_Расчет_аналитики'!AV3814-'19_Расчет_аналитики'!AV3800+('19_Расчет_аналитики'!AV3818-'19_Расчет_аналитики'!AU3818)-'19_Расчет_аналитики'!AV3787,0)</f>
        <v/>
      </c>
      <c r="AW3815">
        <f>IF('01_Вводные'!$B$234="Да",'19_Расчет_аналитики'!AW3774-'19_Расчет_аналитики'!AW3776-('19_Расчет_аналитики'!AW3810-'19_Расчет_аналитики'!AV3810)+('19_Расчет_аналитики'!AW3811-'19_Расчет_аналитики'!AV3811)+('02_Модель'!AW82-'02_Модель'!AV82)-('02_Модель'!AW83-'02_Модель'!AV83)-'19_Расчет_аналитики'!AW3814-'19_Расчет_аналитики'!AW3800+('19_Расчет_аналитики'!AW3818-'19_Расчет_аналитики'!AV3818)-'19_Расчет_аналитики'!AW3787,0)</f>
        <v/>
      </c>
      <c r="AX3815">
        <f>IF('01_Вводные'!$B$234="Да",'19_Расчет_аналитики'!AX3774-'19_Расчет_аналитики'!AX3776-('19_Расчет_аналитики'!AX3810-'19_Расчет_аналитики'!AW3810)+('19_Расчет_аналитики'!AX3811-'19_Расчет_аналитики'!AW3811)+('02_Модель'!AX82-'02_Модель'!AW82)-('02_Модель'!AX83-'02_Модель'!AW83)-'19_Расчет_аналитики'!AX3814-'19_Расчет_аналитики'!AX3800+('19_Расчет_аналитики'!AX3818-'19_Расчет_аналитики'!AW3818)-'19_Расчет_аналитики'!AX3787,0)</f>
        <v/>
      </c>
      <c r="AY3815">
        <f>IF('01_Вводные'!$B$234="Да",'19_Расчет_аналитики'!AY3774-'19_Расчет_аналитики'!AY3776-('19_Расчет_аналитики'!AY3810-'19_Расчет_аналитики'!AX3810)+('19_Расчет_аналитики'!AY3811-'19_Расчет_аналитики'!AX3811)+('02_Модель'!AY82-'02_Модель'!AX82)-('02_Модель'!AY83-'02_Модель'!AX83)-'19_Расчет_аналитики'!AY3814-'19_Расчет_аналитики'!AY3800+('19_Расчет_аналитики'!AY3818-'19_Расчет_аналитики'!AX3818)-'19_Расчет_аналитики'!AY3787,0)</f>
        <v/>
      </c>
      <c r="AZ3815">
        <f>IF('01_Вводные'!$B$234="Да",'19_Расчет_аналитики'!AZ3774-'19_Расчет_аналитики'!AZ3776-('19_Расчет_аналитики'!AZ3810-'19_Расчет_аналитики'!AY3810)+('19_Расчет_аналитики'!AZ3811-'19_Расчет_аналитики'!AY3811)+('02_Модель'!AZ82-'02_Модель'!AY82)-('02_Модель'!AZ83-'02_Модель'!AY83)-'19_Расчет_аналитики'!AZ3814-'19_Расчет_аналитики'!AZ3800+('19_Расчет_аналитики'!AZ3818-'19_Расчет_аналитики'!AY3818)-'19_Расчет_аналитики'!AZ3787,0)</f>
        <v/>
      </c>
      <c r="BA3815">
        <f>IF('01_Вводные'!$B$234="Да",'19_Расчет_аналитики'!BA3774-'19_Расчет_аналитики'!BA3776-('19_Расчет_аналитики'!BA3810-'19_Расчет_аналитики'!AZ3810)+('19_Расчет_аналитики'!BA3811-'19_Расчет_аналитики'!AZ3811)+('02_Модель'!BA82-'02_Модель'!AZ82)-('02_Модель'!BA83-'02_Модель'!AZ83)-'19_Расчет_аналитики'!BA3814-'19_Расчет_аналитики'!BA3800+('19_Расчет_аналитики'!BA3818-'19_Расчет_аналитики'!AZ3818)-'19_Расчет_аналитики'!BA3787,0)</f>
        <v/>
      </c>
      <c r="BB3815">
        <f>IF('01_Вводные'!$B$234="Да",'19_Расчет_аналитики'!BB3774-'19_Расчет_аналитики'!BB3776-('19_Расчет_аналитики'!BB3810-'19_Расчет_аналитики'!BA3810)+('19_Расчет_аналитики'!BB3811-'19_Расчет_аналитики'!BA3811)+('02_Модель'!BB82-'02_Модель'!BA82)-('02_Модель'!BB83-'02_Модель'!BA83)-'19_Расчет_аналитики'!BB3814-'19_Расчет_аналитики'!BB3800+('19_Расчет_аналитики'!BB3818-'19_Расчет_аналитики'!BA3818)-'19_Расчет_аналитики'!BB3787,0)</f>
        <v/>
      </c>
      <c r="BC3815">
        <f>IF('01_Вводные'!$B$234="Да",'19_Расчет_аналитики'!BC3774-'19_Расчет_аналитики'!BC3776-('19_Расчет_аналитики'!BC3810-'19_Расчет_аналитики'!BB3810)+('19_Расчет_аналитики'!BC3811-'19_Расчет_аналитики'!BB3811)+('02_Модель'!BC82-'02_Модель'!BB82)-('02_Модель'!BC83-'02_Модель'!BB83)-'19_Расчет_аналитики'!BC3814-'19_Расчет_аналитики'!BC3800+('19_Расчет_аналитики'!BC3818-'19_Расчет_аналитики'!BB3818)-'19_Расчет_аналитики'!BC3787,0)</f>
        <v/>
      </c>
      <c r="BD3815">
        <f>IF('01_Вводные'!$B$234="Да",'19_Расчет_аналитики'!BD3774-'19_Расчет_аналитики'!BD3776-('19_Расчет_аналитики'!BD3810-'19_Расчет_аналитики'!BC3810)+('19_Расчет_аналитики'!BD3811-'19_Расчет_аналитики'!BC3811)+('02_Модель'!BD82-'02_Модель'!BC82)-('02_Модель'!BD83-'02_Модель'!BC83)-'19_Расчет_аналитики'!BD3814-'19_Расчет_аналитики'!BD3800+('19_Расчет_аналитики'!BD3818-'19_Расчет_аналитики'!BC3818)-'19_Расчет_аналитики'!BD3787,0)</f>
        <v/>
      </c>
      <c r="BE3815">
        <f>IF('01_Вводные'!$B$234="Да",'19_Расчет_аналитики'!BE3774-'19_Расчет_аналитики'!BE3776-('19_Расчет_аналитики'!BE3810-'19_Расчет_аналитики'!BD3810)+('19_Расчет_аналитики'!BE3811-'19_Расчет_аналитики'!BD3811)+('02_Модель'!BE82-'02_Модель'!BD82)-('02_Модель'!BE83-'02_Модель'!BD83)-'19_Расчет_аналитики'!BE3814-'19_Расчет_аналитики'!BE3800+('19_Расчет_аналитики'!BE3818-'19_Расчет_аналитики'!BD3818)-'19_Расчет_аналитики'!BE3787,0)</f>
        <v/>
      </c>
      <c r="BF3815">
        <f>IF('01_Вводные'!$B$234="Да",'19_Расчет_аналитики'!BF3774-'19_Расчет_аналитики'!BF3776-('19_Расчет_аналитики'!BF3810-'19_Расчет_аналитики'!BE3810)+('19_Расчет_аналитики'!BF3811-'19_Расчет_аналитики'!BE3811)+('02_Модель'!BF82-'02_Модель'!BE82)-('02_Модель'!BF83-'02_Модель'!BE83)-'19_Расчет_аналитики'!BF3814-'19_Расчет_аналитики'!BF3800+('19_Расчет_аналитики'!BF3818-'19_Расчет_аналитики'!BE3818)-'19_Расчет_аналитики'!BF3787,0)</f>
        <v/>
      </c>
      <c r="BG3815">
        <f>IF('01_Вводные'!$B$234="Да",'19_Расчет_аналитики'!BG3774-'19_Расчет_аналитики'!BG3776-('19_Расчет_аналитики'!BG3810-'19_Расчет_аналитики'!BF3810)+('19_Расчет_аналитики'!BG3811-'19_Расчет_аналитики'!BF3811)+('02_Модель'!BG82-'02_Модель'!BF82)-('02_Модель'!BG83-'02_Модель'!BF83)-'19_Расчет_аналитики'!BG3814-'19_Расчет_аналитики'!BG3800+('19_Расчет_аналитики'!BG3818-'19_Расчет_аналитики'!BF3818)-'19_Расчет_аналитики'!BG3787,0)</f>
        <v/>
      </c>
      <c r="BH3815">
        <f>IF('01_Вводные'!$B$234="Да",'19_Расчет_аналитики'!BH3774-'19_Расчет_аналитики'!BH3776-('19_Расчет_аналитики'!BH3810-'19_Расчет_аналитики'!BG3810)+('19_Расчет_аналитики'!BH3811-'19_Расчет_аналитики'!BG3811)+('02_Модель'!BH82-'02_Модель'!BG82)-('02_Модель'!BH83-'02_Модель'!BG83)-'19_Расчет_аналитики'!BH3814-'19_Расчет_аналитики'!BH3800+('19_Расчет_аналитики'!BH3818-'19_Расчет_аналитики'!BG3818)-'19_Расчет_аналитики'!BH3787,0)</f>
        <v/>
      </c>
      <c r="BI3815">
        <f>IF('01_Вводные'!$B$234="Да",'19_Расчет_аналитики'!BI3774-'19_Расчет_аналитики'!BI3776-('19_Расчет_аналитики'!BI3810-'19_Расчет_аналитики'!BH3810)+('19_Расчет_аналитики'!BI3811-'19_Расчет_аналитики'!BH3811)+('02_Модель'!BI82-'02_Модель'!BH82)-('02_Модель'!BI83-'02_Модель'!BH83)-'19_Расчет_аналитики'!BI3814-'19_Расчет_аналитики'!BI3800+('19_Расчет_аналитики'!BI3818-'19_Расчет_аналитики'!BH3818)-'19_Расчет_аналитики'!BI3787,0)</f>
        <v/>
      </c>
    </row>
    <row r="3816">
      <c r="B3816">
        <f>IF('01_Вводные'!$B$234="Да",'19_Расчет_аналитики'!B3815-'19_Расчет_аналитики'!B3801,0)</f>
        <v/>
      </c>
      <c r="C3816">
        <f>IF('01_Вводные'!$B$234="Да",'19_Расчет_аналитики'!C3815-'19_Расчет_аналитики'!C3801,0)</f>
        <v/>
      </c>
      <c r="D3816">
        <f>IF('01_Вводные'!$B$234="Да",'19_Расчет_аналитики'!D3815-'19_Расчет_аналитики'!D3801,0)</f>
        <v/>
      </c>
      <c r="E3816">
        <f>IF('01_Вводные'!$B$234="Да",'19_Расчет_аналитики'!E3815-'19_Расчет_аналитики'!E3801,0)</f>
        <v/>
      </c>
      <c r="F3816">
        <f>IF('01_Вводные'!$B$234="Да",'19_Расчет_аналитики'!F3815-'19_Расчет_аналитики'!F3801,0)</f>
        <v/>
      </c>
      <c r="G3816">
        <f>IF('01_Вводные'!$B$234="Да",'19_Расчет_аналитики'!G3815-'19_Расчет_аналитики'!G3801,0)</f>
        <v/>
      </c>
      <c r="H3816">
        <f>IF('01_Вводные'!$B$234="Да",'19_Расчет_аналитики'!H3815-'19_Расчет_аналитики'!H3801,0)</f>
        <v/>
      </c>
      <c r="I3816">
        <f>IF('01_Вводные'!$B$234="Да",'19_Расчет_аналитики'!I3815-'19_Расчет_аналитики'!I3801,0)</f>
        <v/>
      </c>
      <c r="J3816">
        <f>IF('01_Вводные'!$B$234="Да",'19_Расчет_аналитики'!J3815-'19_Расчет_аналитики'!J3801,0)</f>
        <v/>
      </c>
      <c r="K3816">
        <f>IF('01_Вводные'!$B$234="Да",'19_Расчет_аналитики'!K3815-'19_Расчет_аналитики'!K3801,0)</f>
        <v/>
      </c>
      <c r="L3816">
        <f>IF('01_Вводные'!$B$234="Да",'19_Расчет_аналитики'!L3815-'19_Расчет_аналитики'!L3801,0)</f>
        <v/>
      </c>
      <c r="M3816">
        <f>IF('01_Вводные'!$B$234="Да",'19_Расчет_аналитики'!M3815-'19_Расчет_аналитики'!M3801,0)</f>
        <v/>
      </c>
      <c r="N3816">
        <f>IF('01_Вводные'!$B$234="Да",'19_Расчет_аналитики'!N3815-'19_Расчет_аналитики'!N3801,0)</f>
        <v/>
      </c>
      <c r="O3816">
        <f>IF('01_Вводные'!$B$234="Да",'19_Расчет_аналитики'!O3815-'19_Расчет_аналитики'!O3801,0)</f>
        <v/>
      </c>
      <c r="P3816">
        <f>IF('01_Вводные'!$B$234="Да",'19_Расчет_аналитики'!P3815-'19_Расчет_аналитики'!P3801,0)</f>
        <v/>
      </c>
      <c r="Q3816">
        <f>IF('01_Вводные'!$B$234="Да",'19_Расчет_аналитики'!Q3815-'19_Расчет_аналитики'!Q3801,0)</f>
        <v/>
      </c>
      <c r="R3816">
        <f>IF('01_Вводные'!$B$234="Да",'19_Расчет_аналитики'!R3815-'19_Расчет_аналитики'!R3801,0)</f>
        <v/>
      </c>
      <c r="S3816">
        <f>IF('01_Вводные'!$B$234="Да",'19_Расчет_аналитики'!S3815-'19_Расчет_аналитики'!S3801,0)</f>
        <v/>
      </c>
      <c r="T3816">
        <f>IF('01_Вводные'!$B$234="Да",'19_Расчет_аналитики'!T3815-'19_Расчет_аналитики'!T3801,0)</f>
        <v/>
      </c>
      <c r="U3816">
        <f>IF('01_Вводные'!$B$234="Да",'19_Расчет_аналитики'!U3815-'19_Расчет_аналитики'!U3801,0)</f>
        <v/>
      </c>
      <c r="V3816">
        <f>IF('01_Вводные'!$B$234="Да",'19_Расчет_аналитики'!V3815-'19_Расчет_аналитики'!V3801,0)</f>
        <v/>
      </c>
      <c r="W3816">
        <f>IF('01_Вводные'!$B$234="Да",'19_Расчет_аналитики'!W3815-'19_Расчет_аналитики'!W3801,0)</f>
        <v/>
      </c>
      <c r="X3816">
        <f>IF('01_Вводные'!$B$234="Да",'19_Расчет_аналитики'!X3815-'19_Расчет_аналитики'!X3801,0)</f>
        <v/>
      </c>
      <c r="Y3816">
        <f>IF('01_Вводные'!$B$234="Да",'19_Расчет_аналитики'!Y3815-'19_Расчет_аналитики'!Y3801,0)</f>
        <v/>
      </c>
      <c r="Z3816">
        <f>IF('01_Вводные'!$B$234="Да",'19_Расчет_аналитики'!Z3815-'19_Расчет_аналитики'!Z3801,0)</f>
        <v/>
      </c>
      <c r="AA3816">
        <f>IF('01_Вводные'!$B$234="Да",'19_Расчет_аналитики'!AA3815-'19_Расчет_аналитики'!AA3801,0)</f>
        <v/>
      </c>
      <c r="AB3816">
        <f>IF('01_Вводные'!$B$234="Да",'19_Расчет_аналитики'!AB3815-'19_Расчет_аналитики'!AB3801,0)</f>
        <v/>
      </c>
      <c r="AC3816">
        <f>IF('01_Вводные'!$B$234="Да",'19_Расчет_аналитики'!AC3815-'19_Расчет_аналитики'!AC3801,0)</f>
        <v/>
      </c>
      <c r="AD3816">
        <f>IF('01_Вводные'!$B$234="Да",'19_Расчет_аналитики'!AD3815-'19_Расчет_аналитики'!AD3801,0)</f>
        <v/>
      </c>
      <c r="AE3816">
        <f>IF('01_Вводные'!$B$234="Да",'19_Расчет_аналитики'!AE3815-'19_Расчет_аналитики'!AE3801,0)</f>
        <v/>
      </c>
      <c r="AF3816">
        <f>IF('01_Вводные'!$B$234="Да",'19_Расчет_аналитики'!AF3815-'19_Расчет_аналитики'!AF3801,0)</f>
        <v/>
      </c>
      <c r="AG3816">
        <f>IF('01_Вводные'!$B$234="Да",'19_Расчет_аналитики'!AG3815-'19_Расчет_аналитики'!AG3801,0)</f>
        <v/>
      </c>
      <c r="AH3816">
        <f>IF('01_Вводные'!$B$234="Да",'19_Расчет_аналитики'!AH3815-'19_Расчет_аналитики'!AH3801,0)</f>
        <v/>
      </c>
      <c r="AI3816">
        <f>IF('01_Вводные'!$B$234="Да",'19_Расчет_аналитики'!AI3815-'19_Расчет_аналитики'!AI3801,0)</f>
        <v/>
      </c>
      <c r="AJ3816">
        <f>IF('01_Вводные'!$B$234="Да",'19_Расчет_аналитики'!AJ3815-'19_Расчет_аналитики'!AJ3801,0)</f>
        <v/>
      </c>
      <c r="AK3816">
        <f>IF('01_Вводные'!$B$234="Да",'19_Расчет_аналитики'!AK3815-'19_Расчет_аналитики'!AK3801,0)</f>
        <v/>
      </c>
      <c r="AL3816">
        <f>IF('01_Вводные'!$B$234="Да",'19_Расчет_аналитики'!AL3815-'19_Расчет_аналитики'!AL3801,0)</f>
        <v/>
      </c>
      <c r="AM3816">
        <f>IF('01_Вводные'!$B$234="Да",'19_Расчет_аналитики'!AM3815-'19_Расчет_аналитики'!AM3801,0)</f>
        <v/>
      </c>
      <c r="AN3816">
        <f>IF('01_Вводные'!$B$234="Да",'19_Расчет_аналитики'!AN3815-'19_Расчет_аналитики'!AN3801,0)</f>
        <v/>
      </c>
      <c r="AO3816">
        <f>IF('01_Вводные'!$B$234="Да",'19_Расчет_аналитики'!AO3815-'19_Расчет_аналитики'!AO3801,0)</f>
        <v/>
      </c>
      <c r="AP3816">
        <f>IF('01_Вводные'!$B$234="Да",'19_Расчет_аналитики'!AP3815-'19_Расчет_аналитики'!AP3801,0)</f>
        <v/>
      </c>
      <c r="AQ3816">
        <f>IF('01_Вводные'!$B$234="Да",'19_Расчет_аналитики'!AQ3815-'19_Расчет_аналитики'!AQ3801,0)</f>
        <v/>
      </c>
      <c r="AR3816">
        <f>IF('01_Вводные'!$B$234="Да",'19_Расчет_аналитики'!AR3815-'19_Расчет_аналитики'!AR3801,0)</f>
        <v/>
      </c>
      <c r="AS3816">
        <f>IF('01_Вводные'!$B$234="Да",'19_Расчет_аналитики'!AS3815-'19_Расчет_аналитики'!AS3801,0)</f>
        <v/>
      </c>
      <c r="AT3816">
        <f>IF('01_Вводные'!$B$234="Да",'19_Расчет_аналитики'!AT3815-'19_Расчет_аналитики'!AT3801,0)</f>
        <v/>
      </c>
      <c r="AU3816">
        <f>IF('01_Вводные'!$B$234="Да",'19_Расчет_аналитики'!AU3815-'19_Расчет_аналитики'!AU3801,0)</f>
        <v/>
      </c>
      <c r="AV3816">
        <f>IF('01_Вводные'!$B$234="Да",'19_Расчет_аналитики'!AV3815-'19_Расчет_аналитики'!AV3801,0)</f>
        <v/>
      </c>
      <c r="AW3816">
        <f>IF('01_Вводные'!$B$234="Да",'19_Расчет_аналитики'!AW3815-'19_Расчет_аналитики'!AW3801,0)</f>
        <v/>
      </c>
      <c r="AX3816">
        <f>IF('01_Вводные'!$B$234="Да",'19_Расчет_аналитики'!AX3815-'19_Расчет_аналитики'!AX3801,0)</f>
        <v/>
      </c>
      <c r="AY3816">
        <f>IF('01_Вводные'!$B$234="Да",'19_Расчет_аналитики'!AY3815-'19_Расчет_аналитики'!AY3801,0)</f>
        <v/>
      </c>
      <c r="AZ3816">
        <f>IF('01_Вводные'!$B$234="Да",'19_Расчет_аналитики'!AZ3815-'19_Расчет_аналитики'!AZ3801,0)</f>
        <v/>
      </c>
      <c r="BA3816">
        <f>IF('01_Вводные'!$B$234="Да",'19_Расчет_аналитики'!BA3815-'19_Расчет_аналитики'!BA3801,0)</f>
        <v/>
      </c>
      <c r="BB3816">
        <f>IF('01_Вводные'!$B$234="Да",'19_Расчет_аналитики'!BB3815-'19_Расчет_аналитики'!BB3801,0)</f>
        <v/>
      </c>
      <c r="BC3816">
        <f>IF('01_Вводные'!$B$234="Да",'19_Расчет_аналитики'!BC3815-'19_Расчет_аналитики'!BC3801,0)</f>
        <v/>
      </c>
      <c r="BD3816">
        <f>IF('01_Вводные'!$B$234="Да",'19_Расчет_аналитики'!BD3815-'19_Расчет_аналитики'!BD3801,0)</f>
        <v/>
      </c>
      <c r="BE3816">
        <f>IF('01_Вводные'!$B$234="Да",'19_Расчет_аналитики'!BE3815-'19_Расчет_аналитики'!BE3801,0)</f>
        <v/>
      </c>
      <c r="BF3816">
        <f>IF('01_Вводные'!$B$234="Да",'19_Расчет_аналитики'!BF3815-'19_Расчет_аналитики'!BF3801,0)</f>
        <v/>
      </c>
      <c r="BG3816">
        <f>IF('01_Вводные'!$B$234="Да",'19_Расчет_аналитики'!BG3815-'19_Расчет_аналитики'!BG3801,0)</f>
        <v/>
      </c>
      <c r="BH3816">
        <f>IF('01_Вводные'!$B$234="Да",'19_Расчет_аналитики'!BH3815-'19_Расчет_аналитики'!BH3801,0)</f>
        <v/>
      </c>
      <c r="BI3816">
        <f>IF('01_Вводные'!$B$234="Да",'19_Расчет_аналитики'!BI3815-'19_Расчет_аналитики'!BI3801,0)</f>
        <v/>
      </c>
    </row>
    <row r="3817">
      <c r="B3817">
        <f>IF('01_Вводные'!$B$234="Да",'07_Мерч'!B22+'19_Расчет_аналитики'!B3662-'19_Расчет_аналитики'!B3660-'19_Расчет_аналитики'!B3663,0)</f>
        <v/>
      </c>
      <c r="C3817">
        <f>IF('01_Вводные'!$B$234="Да",'19_Расчет_аналитики'!C3659+'19_Расчет_аналитики'!C3662-'19_Расчет_аналитики'!C3660-'19_Расчет_аналитики'!C3663,0)</f>
        <v/>
      </c>
      <c r="D3817">
        <f>IF('01_Вводные'!$B$234="Да",'19_Расчет_аналитики'!D3659+'19_Расчет_аналитики'!D3662-'19_Расчет_аналитики'!D3660-'19_Расчет_аналитики'!D3663,0)</f>
        <v/>
      </c>
      <c r="E3817">
        <f>IF('01_Вводные'!$B$234="Да",'19_Расчет_аналитики'!E3659+'19_Расчет_аналитики'!E3662-'19_Расчет_аналитики'!E3660-'19_Расчет_аналитики'!E3663,0)</f>
        <v/>
      </c>
      <c r="F3817">
        <f>IF('01_Вводные'!$B$234="Да",'19_Расчет_аналитики'!F3659+'19_Расчет_аналитики'!F3662-'19_Расчет_аналитики'!F3660-'19_Расчет_аналитики'!F3663,0)</f>
        <v/>
      </c>
      <c r="G3817">
        <f>IF('01_Вводные'!$B$234="Да",'19_Расчет_аналитики'!G3659+'19_Расчет_аналитики'!G3662-'19_Расчет_аналитики'!G3660-'19_Расчет_аналитики'!G3663,0)</f>
        <v/>
      </c>
      <c r="H3817">
        <f>IF('01_Вводные'!$B$234="Да",'19_Расчет_аналитики'!H3659+'19_Расчет_аналитики'!H3662-'19_Расчет_аналитики'!H3660-'19_Расчет_аналитики'!H3663,0)</f>
        <v/>
      </c>
      <c r="I3817">
        <f>IF('01_Вводные'!$B$234="Да",'19_Расчет_аналитики'!I3659+'19_Расчет_аналитики'!I3662-'19_Расчет_аналитики'!I3660-'19_Расчет_аналитики'!I3663,0)</f>
        <v/>
      </c>
      <c r="J3817">
        <f>IF('01_Вводные'!$B$234="Да",'19_Расчет_аналитики'!J3659+'19_Расчет_аналитики'!J3662-'19_Расчет_аналитики'!J3660-'19_Расчет_аналитики'!J3663,0)</f>
        <v/>
      </c>
      <c r="K3817">
        <f>IF('01_Вводные'!$B$234="Да",'19_Расчет_аналитики'!K3659+'19_Расчет_аналитики'!K3662-'19_Расчет_аналитики'!K3660-'19_Расчет_аналитики'!K3663,0)</f>
        <v/>
      </c>
      <c r="L3817">
        <f>IF('01_Вводные'!$B$234="Да",'19_Расчет_аналитики'!L3659+'19_Расчет_аналитики'!L3662-'19_Расчет_аналитики'!L3660-'19_Расчет_аналитики'!L3663,0)</f>
        <v/>
      </c>
      <c r="M3817">
        <f>IF('01_Вводные'!$B$234="Да",'19_Расчет_аналитики'!M3659+'19_Расчет_аналитики'!M3662-'19_Расчет_аналитики'!M3660-'19_Расчет_аналитики'!M3663,0)</f>
        <v/>
      </c>
      <c r="N3817">
        <f>IF('01_Вводные'!$B$234="Да",'19_Расчет_аналитики'!N3659+'19_Расчет_аналитики'!N3662-'19_Расчет_аналитики'!N3660-'19_Расчет_аналитики'!N3663,0)</f>
        <v/>
      </c>
      <c r="O3817">
        <f>IF('01_Вводные'!$B$234="Да",'19_Расчет_аналитики'!O3659+'19_Расчет_аналитики'!O3662-'19_Расчет_аналитики'!O3660-'19_Расчет_аналитики'!O3663,0)</f>
        <v/>
      </c>
      <c r="P3817">
        <f>IF('01_Вводные'!$B$234="Да",'19_Расчет_аналитики'!P3659+'19_Расчет_аналитики'!P3662-'19_Расчет_аналитики'!P3660-'19_Расчет_аналитики'!P3663,0)</f>
        <v/>
      </c>
      <c r="Q3817">
        <f>IF('01_Вводные'!$B$234="Да",'19_Расчет_аналитики'!Q3659+'19_Расчет_аналитики'!Q3662-'19_Расчет_аналитики'!Q3660-'19_Расчет_аналитики'!Q3663,0)</f>
        <v/>
      </c>
      <c r="R3817">
        <f>IF('01_Вводные'!$B$234="Да",'19_Расчет_аналитики'!R3659+'19_Расчет_аналитики'!R3662-'19_Расчет_аналитики'!R3660-'19_Расчет_аналитики'!R3663,0)</f>
        <v/>
      </c>
      <c r="S3817">
        <f>IF('01_Вводные'!$B$234="Да",'19_Расчет_аналитики'!S3659+'19_Расчет_аналитики'!S3662-'19_Расчет_аналитики'!S3660-'19_Расчет_аналитики'!S3663,0)</f>
        <v/>
      </c>
      <c r="T3817">
        <f>IF('01_Вводные'!$B$234="Да",'19_Расчет_аналитики'!T3659+'19_Расчет_аналитики'!T3662-'19_Расчет_аналитики'!T3660-'19_Расчет_аналитики'!T3663,0)</f>
        <v/>
      </c>
      <c r="U3817">
        <f>IF('01_Вводные'!$B$234="Да",'19_Расчет_аналитики'!U3659+'19_Расчет_аналитики'!U3662-'19_Расчет_аналитики'!U3660-'19_Расчет_аналитики'!U3663,0)</f>
        <v/>
      </c>
      <c r="V3817">
        <f>IF('01_Вводные'!$B$234="Да",'19_Расчет_аналитики'!V3659+'19_Расчет_аналитики'!V3662-'19_Расчет_аналитики'!V3660-'19_Расчет_аналитики'!V3663,0)</f>
        <v/>
      </c>
      <c r="W3817">
        <f>IF('01_Вводные'!$B$234="Да",'19_Расчет_аналитики'!W3659+'19_Расчет_аналитики'!W3662-'19_Расчет_аналитики'!W3660-'19_Расчет_аналитики'!W3663,0)</f>
        <v/>
      </c>
      <c r="X3817">
        <f>IF('01_Вводные'!$B$234="Да",'19_Расчет_аналитики'!X3659+'19_Расчет_аналитики'!X3662-'19_Расчет_аналитики'!X3660-'19_Расчет_аналитики'!X3663,0)</f>
        <v/>
      </c>
      <c r="Y3817">
        <f>IF('01_Вводные'!$B$234="Да",'19_Расчет_аналитики'!Y3659+'19_Расчет_аналитики'!Y3662-'19_Расчет_аналитики'!Y3660-'19_Расчет_аналитики'!Y3663,0)</f>
        <v/>
      </c>
      <c r="Z3817">
        <f>IF('01_Вводные'!$B$234="Да",'19_Расчет_аналитики'!Z3659+'19_Расчет_аналитики'!Z3662-'19_Расчет_аналитики'!Z3660-'19_Расчет_аналитики'!Z3663,0)</f>
        <v/>
      </c>
      <c r="AA3817">
        <f>IF('01_Вводные'!$B$234="Да",'19_Расчет_аналитики'!AA3659+'19_Расчет_аналитики'!AA3662-'19_Расчет_аналитики'!AA3660-'19_Расчет_аналитики'!AA3663,0)</f>
        <v/>
      </c>
      <c r="AB3817">
        <f>IF('01_Вводные'!$B$234="Да",'19_Расчет_аналитики'!AB3659+'19_Расчет_аналитики'!AB3662-'19_Расчет_аналитики'!AB3660-'19_Расчет_аналитики'!AB3663,0)</f>
        <v/>
      </c>
      <c r="AC3817">
        <f>IF('01_Вводные'!$B$234="Да",'19_Расчет_аналитики'!AC3659+'19_Расчет_аналитики'!AC3662-'19_Расчет_аналитики'!AC3660-'19_Расчет_аналитики'!AC3663,0)</f>
        <v/>
      </c>
      <c r="AD3817">
        <f>IF('01_Вводные'!$B$234="Да",'19_Расчет_аналитики'!AD3659+'19_Расчет_аналитики'!AD3662-'19_Расчет_аналитики'!AD3660-'19_Расчет_аналитики'!AD3663,0)</f>
        <v/>
      </c>
      <c r="AE3817">
        <f>IF('01_Вводные'!$B$234="Да",'19_Расчет_аналитики'!AE3659+'19_Расчет_аналитики'!AE3662-'19_Расчет_аналитики'!AE3660-'19_Расчет_аналитики'!AE3663,0)</f>
        <v/>
      </c>
      <c r="AF3817">
        <f>IF('01_Вводные'!$B$234="Да",'19_Расчет_аналитики'!AF3659+'19_Расчет_аналитики'!AF3662-'19_Расчет_аналитики'!AF3660-'19_Расчет_аналитики'!AF3663,0)</f>
        <v/>
      </c>
      <c r="AG3817">
        <f>IF('01_Вводные'!$B$234="Да",'19_Расчет_аналитики'!AG3659+'19_Расчет_аналитики'!AG3662-'19_Расчет_аналитики'!AG3660-'19_Расчет_аналитики'!AG3663,0)</f>
        <v/>
      </c>
      <c r="AH3817">
        <f>IF('01_Вводные'!$B$234="Да",'19_Расчет_аналитики'!AH3659+'19_Расчет_аналитики'!AH3662-'19_Расчет_аналитики'!AH3660-'19_Расчет_аналитики'!AH3663,0)</f>
        <v/>
      </c>
      <c r="AI3817">
        <f>IF('01_Вводные'!$B$234="Да",'19_Расчет_аналитики'!AI3659+'19_Расчет_аналитики'!AI3662-'19_Расчет_аналитики'!AI3660-'19_Расчет_аналитики'!AI3663,0)</f>
        <v/>
      </c>
      <c r="AJ3817">
        <f>IF('01_Вводные'!$B$234="Да",'19_Расчет_аналитики'!AJ3659+'19_Расчет_аналитики'!AJ3662-'19_Расчет_аналитики'!AJ3660-'19_Расчет_аналитики'!AJ3663,0)</f>
        <v/>
      </c>
      <c r="AK3817">
        <f>IF('01_Вводные'!$B$234="Да",'19_Расчет_аналитики'!AK3659+'19_Расчет_аналитики'!AK3662-'19_Расчет_аналитики'!AK3660-'19_Расчет_аналитики'!AK3663,0)</f>
        <v/>
      </c>
      <c r="AL3817">
        <f>IF('01_Вводные'!$B$234="Да",'19_Расчет_аналитики'!AL3659+'19_Расчет_аналитики'!AL3662-'19_Расчет_аналитики'!AL3660-'19_Расчет_аналитики'!AL3663,0)</f>
        <v/>
      </c>
      <c r="AM3817">
        <f>IF('01_Вводные'!$B$234="Да",'19_Расчет_аналитики'!AM3659+'19_Расчет_аналитики'!AM3662-'19_Расчет_аналитики'!AM3660-'19_Расчет_аналитики'!AM3663,0)</f>
        <v/>
      </c>
      <c r="AN3817">
        <f>IF('01_Вводные'!$B$234="Да",'19_Расчет_аналитики'!AN3659+'19_Расчет_аналитики'!AN3662-'19_Расчет_аналитики'!AN3660-'19_Расчет_аналитики'!AN3663,0)</f>
        <v/>
      </c>
      <c r="AO3817">
        <f>IF('01_Вводные'!$B$234="Да",'19_Расчет_аналитики'!AO3659+'19_Расчет_аналитики'!AO3662-'19_Расчет_аналитики'!AO3660-'19_Расчет_аналитики'!AO3663,0)</f>
        <v/>
      </c>
      <c r="AP3817">
        <f>IF('01_Вводные'!$B$234="Да",'19_Расчет_аналитики'!AP3659+'19_Расчет_аналитики'!AP3662-'19_Расчет_аналитики'!AP3660-'19_Расчет_аналитики'!AP3663,0)</f>
        <v/>
      </c>
      <c r="AQ3817">
        <f>IF('01_Вводные'!$B$234="Да",'19_Расчет_аналитики'!AQ3659+'19_Расчет_аналитики'!AQ3662-'19_Расчет_аналитики'!AQ3660-'19_Расчет_аналитики'!AQ3663,0)</f>
        <v/>
      </c>
      <c r="AR3817">
        <f>IF('01_Вводные'!$B$234="Да",'19_Расчет_аналитики'!AR3659+'19_Расчет_аналитики'!AR3662-'19_Расчет_аналитики'!AR3660-'19_Расчет_аналитики'!AR3663,0)</f>
        <v/>
      </c>
      <c r="AS3817">
        <f>IF('01_Вводные'!$B$234="Да",'19_Расчет_аналитики'!AS3659+'19_Расчет_аналитики'!AS3662-'19_Расчет_аналитики'!AS3660-'19_Расчет_аналитики'!AS3663,0)</f>
        <v/>
      </c>
      <c r="AT3817">
        <f>IF('01_Вводные'!$B$234="Да",'19_Расчет_аналитики'!AT3659+'19_Расчет_аналитики'!AT3662-'19_Расчет_аналитики'!AT3660-'19_Расчет_аналитики'!AT3663,0)</f>
        <v/>
      </c>
      <c r="AU3817">
        <f>IF('01_Вводные'!$B$234="Да",'19_Расчет_аналитики'!AU3659+'19_Расчет_аналитики'!AU3662-'19_Расчет_аналитики'!AU3660-'19_Расчет_аналитики'!AU3663,0)</f>
        <v/>
      </c>
      <c r="AV3817">
        <f>IF('01_Вводные'!$B$234="Да",'19_Расчет_аналитики'!AV3659+'19_Расчет_аналитики'!AV3662-'19_Расчет_аналитики'!AV3660-'19_Расчет_аналитики'!AV3663,0)</f>
        <v/>
      </c>
      <c r="AW3817">
        <f>IF('01_Вводные'!$B$234="Да",'19_Расчет_аналитики'!AW3659+'19_Расчет_аналитики'!AW3662-'19_Расчет_аналитики'!AW3660-'19_Расчет_аналитики'!AW3663,0)</f>
        <v/>
      </c>
      <c r="AX3817">
        <f>IF('01_Вводные'!$B$234="Да",'19_Расчет_аналитики'!AX3659+'19_Расчет_аналитики'!AX3662-'19_Расчет_аналитики'!AX3660-'19_Расчет_аналитики'!AX3663,0)</f>
        <v/>
      </c>
      <c r="AY3817">
        <f>IF('01_Вводные'!$B$234="Да",'19_Расчет_аналитики'!AY3659+'19_Расчет_аналитики'!AY3662-'19_Расчет_аналитики'!AY3660-'19_Расчет_аналитики'!AY3663,0)</f>
        <v/>
      </c>
      <c r="AZ3817">
        <f>IF('01_Вводные'!$B$234="Да",'19_Расчет_аналитики'!AZ3659+'19_Расчет_аналитики'!AZ3662-'19_Расчет_аналитики'!AZ3660-'19_Расчет_аналитики'!AZ3663,0)</f>
        <v/>
      </c>
      <c r="BA3817">
        <f>IF('01_Вводные'!$B$234="Да",'19_Расчет_аналитики'!BA3659+'19_Расчет_аналитики'!BA3662-'19_Расчет_аналитики'!BA3660-'19_Расчет_аналитики'!BA3663,0)</f>
        <v/>
      </c>
      <c r="BB3817">
        <f>IF('01_Вводные'!$B$234="Да",'19_Расчет_аналитики'!BB3659+'19_Расчет_аналитики'!BB3662-'19_Расчет_аналитики'!BB3660-'19_Расчет_аналитики'!BB3663,0)</f>
        <v/>
      </c>
      <c r="BC3817">
        <f>IF('01_Вводные'!$B$234="Да",'19_Расчет_аналитики'!BC3659+'19_Расчет_аналитики'!BC3662-'19_Расчет_аналитики'!BC3660-'19_Расчет_аналитики'!BC3663,0)</f>
        <v/>
      </c>
      <c r="BD3817">
        <f>IF('01_Вводные'!$B$234="Да",'19_Расчет_аналитики'!BD3659+'19_Расчет_аналитики'!BD3662-'19_Расчет_аналитики'!BD3660-'19_Расчет_аналитики'!BD3663,0)</f>
        <v/>
      </c>
      <c r="BE3817">
        <f>IF('01_Вводные'!$B$234="Да",'19_Расчет_аналитики'!BE3659+'19_Расчет_аналитики'!BE3662-'19_Расчет_аналитики'!BE3660-'19_Расчет_аналитики'!BE3663,0)</f>
        <v/>
      </c>
      <c r="BF3817">
        <f>IF('01_Вводные'!$B$234="Да",'19_Расчет_аналитики'!BF3659+'19_Расчет_аналитики'!BF3662-'19_Расчет_аналитики'!BF3660-'19_Расчет_аналитики'!BF3663,0)</f>
        <v/>
      </c>
      <c r="BG3817">
        <f>IF('01_Вводные'!$B$234="Да",'19_Расчет_аналитики'!BG3659+'19_Расчет_аналитики'!BG3662-'19_Расчет_аналитики'!BG3660-'19_Расчет_аналитики'!BG3663,0)</f>
        <v/>
      </c>
      <c r="BH3817">
        <f>IF('01_Вводные'!$B$234="Да",'19_Расчет_аналитики'!BH3659+'19_Расчет_аналитики'!BH3662-'19_Расчет_аналитики'!BH3660-'19_Расчет_аналитики'!BH3663,0)</f>
        <v/>
      </c>
      <c r="BI3817">
        <f>IF('01_Вводные'!$B$234="Да",'19_Расчет_аналитики'!BI3659+'19_Расчет_аналитики'!BI3662-'19_Расчет_аналитики'!BI3660-'19_Расчет_аналитики'!BI3663,0)</f>
        <v/>
      </c>
    </row>
    <row r="3818">
      <c r="B3818">
        <f>IF('01_Вводные'!$B$234="Да",0+SUM('19_Расчет_аналитики'!B3758:B3760)-'19_Расчет_аналитики'!B3791,0)</f>
        <v/>
      </c>
      <c r="C3818">
        <f>IF('01_Вводные'!$B$234="Да",'19_Расчет_аналитики'!B3818+SUM('19_Расчет_аналитики'!C3758:C3760)-'19_Расчет_аналитики'!C3791,0)</f>
        <v/>
      </c>
      <c r="D3818">
        <f>IF('01_Вводные'!$B$234="Да",'19_Расчет_аналитики'!C3818+SUM('19_Расчет_аналитики'!D3758:D3760)-'19_Расчет_аналитики'!D3791,0)</f>
        <v/>
      </c>
      <c r="E3818">
        <f>IF('01_Вводные'!$B$234="Да",'19_Расчет_аналитики'!D3818+SUM('19_Расчет_аналитики'!E3758:E3760)-'19_Расчет_аналитики'!E3791,0)</f>
        <v/>
      </c>
      <c r="F3818">
        <f>IF('01_Вводные'!$B$234="Да",'19_Расчет_аналитики'!E3818+SUM('19_Расчет_аналитики'!F3758:F3760)-'19_Расчет_аналитики'!F3791,0)</f>
        <v/>
      </c>
      <c r="G3818">
        <f>IF('01_Вводные'!$B$234="Да",'19_Расчет_аналитики'!F3818+SUM('19_Расчет_аналитики'!G3758:G3760)-'19_Расчет_аналитики'!G3791,0)</f>
        <v/>
      </c>
      <c r="H3818">
        <f>IF('01_Вводные'!$B$234="Да",'19_Расчет_аналитики'!G3818+SUM('19_Расчет_аналитики'!H3758:H3760)-'19_Расчет_аналитики'!H3791,0)</f>
        <v/>
      </c>
      <c r="I3818">
        <f>IF('01_Вводные'!$B$234="Да",'19_Расчет_аналитики'!H3818+SUM('19_Расчет_аналитики'!I3758:I3760)-'19_Расчет_аналитики'!I3791,0)</f>
        <v/>
      </c>
      <c r="J3818">
        <f>IF('01_Вводные'!$B$234="Да",'19_Расчет_аналитики'!I3818+SUM('19_Расчет_аналитики'!J3758:J3760)-'19_Расчет_аналитики'!J3791,0)</f>
        <v/>
      </c>
      <c r="K3818">
        <f>IF('01_Вводные'!$B$234="Да",'19_Расчет_аналитики'!J3818+SUM('19_Расчет_аналитики'!K3758:K3760)-'19_Расчет_аналитики'!K3791,0)</f>
        <v/>
      </c>
      <c r="L3818">
        <f>IF('01_Вводные'!$B$234="Да",'19_Расчет_аналитики'!K3818+SUM('19_Расчет_аналитики'!L3758:L3760)-'19_Расчет_аналитики'!L3791,0)</f>
        <v/>
      </c>
      <c r="M3818">
        <f>IF('01_Вводные'!$B$234="Да",'19_Расчет_аналитики'!L3818+SUM('19_Расчет_аналитики'!M3758:M3760)-'19_Расчет_аналитики'!M3791,0)</f>
        <v/>
      </c>
      <c r="N3818">
        <f>IF('01_Вводные'!$B$234="Да",'19_Расчет_аналитики'!M3818+SUM('19_Расчет_аналитики'!N3758:N3760)-'19_Расчет_аналитики'!N3791,0)</f>
        <v/>
      </c>
      <c r="O3818">
        <f>IF('01_Вводные'!$B$234="Да",'19_Расчет_аналитики'!N3818+SUM('19_Расчет_аналитики'!O3758:O3760)-'19_Расчет_аналитики'!O3791,0)</f>
        <v/>
      </c>
      <c r="P3818">
        <f>IF('01_Вводные'!$B$234="Да",'19_Расчет_аналитики'!O3818+SUM('19_Расчет_аналитики'!P3758:P3760)-'19_Расчет_аналитики'!P3791,0)</f>
        <v/>
      </c>
      <c r="Q3818">
        <f>IF('01_Вводные'!$B$234="Да",'19_Расчет_аналитики'!P3818+SUM('19_Расчет_аналитики'!Q3758:Q3760)-'19_Расчет_аналитики'!Q3791,0)</f>
        <v/>
      </c>
      <c r="R3818">
        <f>IF('01_Вводные'!$B$234="Да",'19_Расчет_аналитики'!Q3818+SUM('19_Расчет_аналитики'!R3758:R3760)-'19_Расчет_аналитики'!R3791,0)</f>
        <v/>
      </c>
      <c r="S3818">
        <f>IF('01_Вводные'!$B$234="Да",'19_Расчет_аналитики'!R3818+SUM('19_Расчет_аналитики'!S3758:S3760)-'19_Расчет_аналитики'!S3791,0)</f>
        <v/>
      </c>
      <c r="T3818">
        <f>IF('01_Вводные'!$B$234="Да",'19_Расчет_аналитики'!S3818+SUM('19_Расчет_аналитики'!T3758:T3760)-'19_Расчет_аналитики'!T3791,0)</f>
        <v/>
      </c>
      <c r="U3818">
        <f>IF('01_Вводные'!$B$234="Да",'19_Расчет_аналитики'!T3818+SUM('19_Расчет_аналитики'!U3758:U3760)-'19_Расчет_аналитики'!U3791,0)</f>
        <v/>
      </c>
      <c r="V3818">
        <f>IF('01_Вводные'!$B$234="Да",'19_Расчет_аналитики'!U3818+SUM('19_Расчет_аналитики'!V3758:V3760)-'19_Расчет_аналитики'!V3791,0)</f>
        <v/>
      </c>
      <c r="W3818">
        <f>IF('01_Вводные'!$B$234="Да",'19_Расчет_аналитики'!V3818+SUM('19_Расчет_аналитики'!W3758:W3760)-'19_Расчет_аналитики'!W3791,0)</f>
        <v/>
      </c>
      <c r="X3818">
        <f>IF('01_Вводные'!$B$234="Да",'19_Расчет_аналитики'!W3818+SUM('19_Расчет_аналитики'!X3758:X3760)-'19_Расчет_аналитики'!X3791,0)</f>
        <v/>
      </c>
      <c r="Y3818">
        <f>IF('01_Вводные'!$B$234="Да",'19_Расчет_аналитики'!X3818+SUM('19_Расчет_аналитики'!Y3758:Y3760)-'19_Расчет_аналитики'!Y3791,0)</f>
        <v/>
      </c>
      <c r="Z3818">
        <f>IF('01_Вводные'!$B$234="Да",'19_Расчет_аналитики'!Y3818+SUM('19_Расчет_аналитики'!Z3758:Z3760)-'19_Расчет_аналитики'!Z3791,0)</f>
        <v/>
      </c>
      <c r="AA3818">
        <f>IF('01_Вводные'!$B$234="Да",'19_Расчет_аналитики'!Z3818+SUM('19_Расчет_аналитики'!AA3758:AA3760)-'19_Расчет_аналитики'!AA3791,0)</f>
        <v/>
      </c>
      <c r="AB3818">
        <f>IF('01_Вводные'!$B$234="Да",'19_Расчет_аналитики'!AA3818+SUM('19_Расчет_аналитики'!AB3758:AB3760)-'19_Расчет_аналитики'!AB3791,0)</f>
        <v/>
      </c>
      <c r="AC3818">
        <f>IF('01_Вводные'!$B$234="Да",'19_Расчет_аналитики'!AB3818+SUM('19_Расчет_аналитики'!AC3758:AC3760)-'19_Расчет_аналитики'!AC3791,0)</f>
        <v/>
      </c>
      <c r="AD3818">
        <f>IF('01_Вводные'!$B$234="Да",'19_Расчет_аналитики'!AC3818+SUM('19_Расчет_аналитики'!AD3758:AD3760)-'19_Расчет_аналитики'!AD3791,0)</f>
        <v/>
      </c>
      <c r="AE3818">
        <f>IF('01_Вводные'!$B$234="Да",'19_Расчет_аналитики'!AD3818+SUM('19_Расчет_аналитики'!AE3758:AE3760)-'19_Расчет_аналитики'!AE3791,0)</f>
        <v/>
      </c>
      <c r="AF3818">
        <f>IF('01_Вводные'!$B$234="Да",'19_Расчет_аналитики'!AE3818+SUM('19_Расчет_аналитики'!AF3758:AF3760)-'19_Расчет_аналитики'!AF3791,0)</f>
        <v/>
      </c>
      <c r="AG3818">
        <f>IF('01_Вводные'!$B$234="Да",'19_Расчет_аналитики'!AF3818+SUM('19_Расчет_аналитики'!AG3758:AG3760)-'19_Расчет_аналитики'!AG3791,0)</f>
        <v/>
      </c>
      <c r="AH3818">
        <f>IF('01_Вводные'!$B$234="Да",'19_Расчет_аналитики'!AG3818+SUM('19_Расчет_аналитики'!AH3758:AH3760)-'19_Расчет_аналитики'!AH3791,0)</f>
        <v/>
      </c>
      <c r="AI3818">
        <f>IF('01_Вводные'!$B$234="Да",'19_Расчет_аналитики'!AH3818+SUM('19_Расчет_аналитики'!AI3758:AI3760)-'19_Расчет_аналитики'!AI3791,0)</f>
        <v/>
      </c>
      <c r="AJ3818">
        <f>IF('01_Вводные'!$B$234="Да",'19_Расчет_аналитики'!AI3818+SUM('19_Расчет_аналитики'!AJ3758:AJ3760)-'19_Расчет_аналитики'!AJ3791,0)</f>
        <v/>
      </c>
      <c r="AK3818">
        <f>IF('01_Вводные'!$B$234="Да",'19_Расчет_аналитики'!AJ3818+SUM('19_Расчет_аналитики'!AK3758:AK3760)-'19_Расчет_аналитики'!AK3791,0)</f>
        <v/>
      </c>
      <c r="AL3818">
        <f>IF('01_Вводные'!$B$234="Да",'19_Расчет_аналитики'!AK3818+SUM('19_Расчет_аналитики'!AL3758:AL3760)-'19_Расчет_аналитики'!AL3791,0)</f>
        <v/>
      </c>
      <c r="AM3818">
        <f>IF('01_Вводные'!$B$234="Да",'19_Расчет_аналитики'!AL3818+SUM('19_Расчет_аналитики'!AM3758:AM3760)-'19_Расчет_аналитики'!AM3791,0)</f>
        <v/>
      </c>
      <c r="AN3818">
        <f>IF('01_Вводные'!$B$234="Да",'19_Расчет_аналитики'!AM3818+SUM('19_Расчет_аналитики'!AN3758:AN3760)-'19_Расчет_аналитики'!AN3791,0)</f>
        <v/>
      </c>
      <c r="AO3818">
        <f>IF('01_Вводные'!$B$234="Да",'19_Расчет_аналитики'!AN3818+SUM('19_Расчет_аналитики'!AO3758:AO3760)-'19_Расчет_аналитики'!AO3791,0)</f>
        <v/>
      </c>
      <c r="AP3818">
        <f>IF('01_Вводные'!$B$234="Да",'19_Расчет_аналитики'!AO3818+SUM('19_Расчет_аналитики'!AP3758:AP3760)-'19_Расчет_аналитики'!AP3791,0)</f>
        <v/>
      </c>
      <c r="AQ3818">
        <f>IF('01_Вводные'!$B$234="Да",'19_Расчет_аналитики'!AP3818+SUM('19_Расчет_аналитики'!AQ3758:AQ3760)-'19_Расчет_аналитики'!AQ3791,0)</f>
        <v/>
      </c>
      <c r="AR3818">
        <f>IF('01_Вводные'!$B$234="Да",'19_Расчет_аналитики'!AQ3818+SUM('19_Расчет_аналитики'!AR3758:AR3760)-'19_Расчет_аналитики'!AR3791,0)</f>
        <v/>
      </c>
      <c r="AS3818">
        <f>IF('01_Вводные'!$B$234="Да",'19_Расчет_аналитики'!AR3818+SUM('19_Расчет_аналитики'!AS3758:AS3760)-'19_Расчет_аналитики'!AS3791,0)</f>
        <v/>
      </c>
      <c r="AT3818">
        <f>IF('01_Вводные'!$B$234="Да",'19_Расчет_аналитики'!AS3818+SUM('19_Расчет_аналитики'!AT3758:AT3760)-'19_Расчет_аналитики'!AT3791,0)</f>
        <v/>
      </c>
      <c r="AU3818">
        <f>IF('01_Вводные'!$B$234="Да",'19_Расчет_аналитики'!AT3818+SUM('19_Расчет_аналитики'!AU3758:AU3760)-'19_Расчет_аналитики'!AU3791,0)</f>
        <v/>
      </c>
      <c r="AV3818">
        <f>IF('01_Вводные'!$B$234="Да",'19_Расчет_аналитики'!AU3818+SUM('19_Расчет_аналитики'!AV3758:AV3760)-'19_Расчет_аналитики'!AV3791,0)</f>
        <v/>
      </c>
      <c r="AW3818">
        <f>IF('01_Вводные'!$B$234="Да",'19_Расчет_аналитики'!AV3818+SUM('19_Расчет_аналитики'!AW3758:AW3760)-'19_Расчет_аналитики'!AW3791,0)</f>
        <v/>
      </c>
      <c r="AX3818">
        <f>IF('01_Вводные'!$B$234="Да",'19_Расчет_аналитики'!AW3818+SUM('19_Расчет_аналитики'!AX3758:AX3760)-'19_Расчет_аналитики'!AX3791,0)</f>
        <v/>
      </c>
      <c r="AY3818">
        <f>IF('01_Вводные'!$B$234="Да",'19_Расчет_аналитики'!AX3818+SUM('19_Расчет_аналитики'!AY3758:AY3760)-'19_Расчет_аналитики'!AY3791,0)</f>
        <v/>
      </c>
      <c r="AZ3818">
        <f>IF('01_Вводные'!$B$234="Да",'19_Расчет_аналитики'!AY3818+SUM('19_Расчет_аналитики'!AZ3758:AZ3760)-'19_Расчет_аналитики'!AZ3791,0)</f>
        <v/>
      </c>
      <c r="BA3818">
        <f>IF('01_Вводные'!$B$234="Да",'19_Расчет_аналитики'!AZ3818+SUM('19_Расчет_аналитики'!BA3758:BA3760)-'19_Расчет_аналитики'!BA3791,0)</f>
        <v/>
      </c>
      <c r="BB3818">
        <f>IF('01_Вводные'!$B$234="Да",'19_Расчет_аналитики'!BA3818+SUM('19_Расчет_аналитики'!BB3758:BB3760)-'19_Расчет_аналитики'!BB3791,0)</f>
        <v/>
      </c>
      <c r="BC3818">
        <f>IF('01_Вводные'!$B$234="Да",'19_Расчет_аналитики'!BB3818+SUM('19_Расчет_аналитики'!BC3758:BC3760)-'19_Расчет_аналитики'!BC3791,0)</f>
        <v/>
      </c>
      <c r="BD3818">
        <f>IF('01_Вводные'!$B$234="Да",'19_Расчет_аналитики'!BC3818+SUM('19_Расчет_аналитики'!BD3758:BD3760)-'19_Расчет_аналитики'!BD3791,0)</f>
        <v/>
      </c>
      <c r="BE3818">
        <f>IF('01_Вводные'!$B$234="Да",'19_Расчет_аналитики'!BD3818+SUM('19_Расчет_аналитики'!BE3758:BE3760)-'19_Расчет_аналитики'!BE3791,0)</f>
        <v/>
      </c>
      <c r="BF3818">
        <f>IF('01_Вводные'!$B$234="Да",'19_Расчет_аналитики'!BE3818+SUM('19_Расчет_аналитики'!BF3758:BF3760)-'19_Расчет_аналитики'!BF3791,0)</f>
        <v/>
      </c>
      <c r="BG3818">
        <f>IF('01_Вводные'!$B$234="Да",'19_Расчет_аналитики'!BF3818+SUM('19_Расчет_аналитики'!BG3758:BG3760)-'19_Расчет_аналитики'!BG3791,0)</f>
        <v/>
      </c>
      <c r="BH3818">
        <f>IF('01_Вводные'!$B$234="Да",'19_Расчет_аналитики'!BG3818+SUM('19_Расчет_аналитики'!BH3758:BH3760)-'19_Расчет_аналитики'!BH3791,0)</f>
        <v/>
      </c>
      <c r="BI3818">
        <f>IF('01_Вводные'!$B$234="Да",'19_Расчет_аналитики'!BH3818+SUM('19_Расчет_аналитики'!BI3758:BI3760)-'19_Расчет_аналитики'!BI3791,0)</f>
        <v/>
      </c>
    </row>
    <row r="3819"/>
    <row r="3820"/>
    <row r="3821"/>
    <row r="3822"/>
    <row r="3823">
      <c r="B3823">
        <f>IF('01_Вводные'!$B$234="Да",MAX(0,'19_Расчет_аналитики'!B3799-'01_Вводные'!$B$237),0)</f>
        <v/>
      </c>
      <c r="C3823">
        <f>IF('01_Вводные'!$B$234="Да",MAX(0,'19_Расчет_аналитики'!C3799-'01_Вводные'!$B$237),0)</f>
        <v/>
      </c>
      <c r="D3823">
        <f>IF('01_Вводные'!$B$234="Да",MAX(0,'19_Расчет_аналитики'!D3799-'01_Вводные'!$B$237),0)</f>
        <v/>
      </c>
      <c r="E3823">
        <f>IF('01_Вводные'!$B$234="Да",MAX(0,'19_Расчет_аналитики'!E3799-'01_Вводные'!$B$237),0)</f>
        <v/>
      </c>
      <c r="F3823">
        <f>IF('01_Вводные'!$B$234="Да",MAX(0,'19_Расчет_аналитики'!F3799-'01_Вводные'!$B$237),0)</f>
        <v/>
      </c>
      <c r="G3823">
        <f>IF('01_Вводные'!$B$234="Да",MAX(0,'19_Расчет_аналитики'!G3799-'01_Вводные'!$B$237),0)</f>
        <v/>
      </c>
      <c r="H3823">
        <f>IF('01_Вводные'!$B$234="Да",MAX(0,'19_Расчет_аналитики'!H3799-'01_Вводные'!$B$237),0)</f>
        <v/>
      </c>
      <c r="I3823">
        <f>IF('01_Вводные'!$B$234="Да",MAX(0,'19_Расчет_аналитики'!I3799-'01_Вводные'!$B$237),0)</f>
        <v/>
      </c>
      <c r="J3823">
        <f>IF('01_Вводные'!$B$234="Да",MAX(0,'19_Расчет_аналитики'!J3799-'01_Вводные'!$B$237),0)</f>
        <v/>
      </c>
      <c r="K3823">
        <f>IF('01_Вводные'!$B$234="Да",MAX(0,'19_Расчет_аналитики'!K3799-'01_Вводные'!$B$237),0)</f>
        <v/>
      </c>
      <c r="L3823">
        <f>IF('01_Вводные'!$B$234="Да",MAX(0,'19_Расчет_аналитики'!L3799-'01_Вводные'!$B$237),0)</f>
        <v/>
      </c>
      <c r="M3823">
        <f>IF('01_Вводные'!$B$234="Да",MAX(0,'19_Расчет_аналитики'!M3799-'01_Вводные'!$B$237),0)</f>
        <v/>
      </c>
      <c r="N3823">
        <f>IF('01_Вводные'!$B$234="Да",MAX(0,'19_Расчет_аналитики'!N3799-'01_Вводные'!$B$237),0)</f>
        <v/>
      </c>
      <c r="O3823">
        <f>IF('01_Вводные'!$B$234="Да",MAX(0,'19_Расчет_аналитики'!O3799-'01_Вводные'!$B$237),0)</f>
        <v/>
      </c>
      <c r="P3823">
        <f>IF('01_Вводные'!$B$234="Да",MAX(0,'19_Расчет_аналитики'!P3799-'01_Вводные'!$B$237),0)</f>
        <v/>
      </c>
      <c r="Q3823">
        <f>IF('01_Вводные'!$B$234="Да",MAX(0,'19_Расчет_аналитики'!Q3799-'01_Вводные'!$B$237),0)</f>
        <v/>
      </c>
      <c r="R3823">
        <f>IF('01_Вводные'!$B$234="Да",MAX(0,'19_Расчет_аналитики'!R3799-'01_Вводные'!$B$237),0)</f>
        <v/>
      </c>
      <c r="S3823">
        <f>IF('01_Вводные'!$B$234="Да",MAX(0,'19_Расчет_аналитики'!S3799-'01_Вводные'!$B$237),0)</f>
        <v/>
      </c>
      <c r="T3823">
        <f>IF('01_Вводные'!$B$234="Да",MAX(0,'19_Расчет_аналитики'!T3799-'01_Вводные'!$B$237),0)</f>
        <v/>
      </c>
      <c r="U3823">
        <f>IF('01_Вводные'!$B$234="Да",MAX(0,'19_Расчет_аналитики'!U3799-'01_Вводные'!$B$237),0)</f>
        <v/>
      </c>
      <c r="V3823">
        <f>IF('01_Вводные'!$B$234="Да",MAX(0,'19_Расчет_аналитики'!V3799-'01_Вводные'!$B$237),0)</f>
        <v/>
      </c>
      <c r="W3823">
        <f>IF('01_Вводные'!$B$234="Да",MAX(0,'19_Расчет_аналитики'!W3799-'01_Вводные'!$B$237),0)</f>
        <v/>
      </c>
      <c r="X3823">
        <f>IF('01_Вводные'!$B$234="Да",MAX(0,'19_Расчет_аналитики'!X3799-'01_Вводные'!$B$237),0)</f>
        <v/>
      </c>
      <c r="Y3823">
        <f>IF('01_Вводные'!$B$234="Да",MAX(0,'19_Расчет_аналитики'!Y3799-'01_Вводные'!$B$237),0)</f>
        <v/>
      </c>
      <c r="Z3823">
        <f>IF('01_Вводные'!$B$234="Да",MAX(0,'19_Расчет_аналитики'!Z3799-'01_Вводные'!$B$237),0)</f>
        <v/>
      </c>
      <c r="AA3823">
        <f>IF('01_Вводные'!$B$234="Да",MAX(0,'19_Расчет_аналитики'!AA3799-'01_Вводные'!$B$237),0)</f>
        <v/>
      </c>
      <c r="AB3823">
        <f>IF('01_Вводные'!$B$234="Да",MAX(0,'19_Расчет_аналитики'!AB3799-'01_Вводные'!$B$237),0)</f>
        <v/>
      </c>
      <c r="AC3823">
        <f>IF('01_Вводные'!$B$234="Да",MAX(0,'19_Расчет_аналитики'!AC3799-'01_Вводные'!$B$237),0)</f>
        <v/>
      </c>
      <c r="AD3823">
        <f>IF('01_Вводные'!$B$234="Да",MAX(0,'19_Расчет_аналитики'!AD3799-'01_Вводные'!$B$237),0)</f>
        <v/>
      </c>
      <c r="AE3823">
        <f>IF('01_Вводные'!$B$234="Да",MAX(0,'19_Расчет_аналитики'!AE3799-'01_Вводные'!$B$237),0)</f>
        <v/>
      </c>
      <c r="AF3823">
        <f>IF('01_Вводные'!$B$234="Да",MAX(0,'19_Расчет_аналитики'!AF3799-'01_Вводные'!$B$237),0)</f>
        <v/>
      </c>
      <c r="AG3823">
        <f>IF('01_Вводные'!$B$234="Да",MAX(0,'19_Расчет_аналитики'!AG3799-'01_Вводные'!$B$237),0)</f>
        <v/>
      </c>
      <c r="AH3823">
        <f>IF('01_Вводные'!$B$234="Да",MAX(0,'19_Расчет_аналитики'!AH3799-'01_Вводные'!$B$237),0)</f>
        <v/>
      </c>
      <c r="AI3823">
        <f>IF('01_Вводные'!$B$234="Да",MAX(0,'19_Расчет_аналитики'!AI3799-'01_Вводные'!$B$237),0)</f>
        <v/>
      </c>
      <c r="AJ3823">
        <f>IF('01_Вводные'!$B$234="Да",MAX(0,'19_Расчет_аналитики'!AJ3799-'01_Вводные'!$B$237),0)</f>
        <v/>
      </c>
      <c r="AK3823">
        <f>IF('01_Вводные'!$B$234="Да",MAX(0,'19_Расчет_аналитики'!AK3799-'01_Вводные'!$B$237),0)</f>
        <v/>
      </c>
      <c r="AL3823">
        <f>IF('01_Вводные'!$B$234="Да",MAX(0,'19_Расчет_аналитики'!AL3799-'01_Вводные'!$B$237),0)</f>
        <v/>
      </c>
      <c r="AM3823">
        <f>IF('01_Вводные'!$B$234="Да",MAX(0,'19_Расчет_аналитики'!AM3799-'01_Вводные'!$B$237),0)</f>
        <v/>
      </c>
      <c r="AN3823">
        <f>IF('01_Вводные'!$B$234="Да",MAX(0,'19_Расчет_аналитики'!AN3799-'01_Вводные'!$B$237),0)</f>
        <v/>
      </c>
      <c r="AO3823">
        <f>IF('01_Вводные'!$B$234="Да",MAX(0,'19_Расчет_аналитики'!AO3799-'01_Вводные'!$B$237),0)</f>
        <v/>
      </c>
      <c r="AP3823">
        <f>IF('01_Вводные'!$B$234="Да",MAX(0,'19_Расчет_аналитики'!AP3799-'01_Вводные'!$B$237),0)</f>
        <v/>
      </c>
      <c r="AQ3823">
        <f>IF('01_Вводные'!$B$234="Да",MAX(0,'19_Расчет_аналитики'!AQ3799-'01_Вводные'!$B$237),0)</f>
        <v/>
      </c>
      <c r="AR3823">
        <f>IF('01_Вводные'!$B$234="Да",MAX(0,'19_Расчет_аналитики'!AR3799-'01_Вводные'!$B$237),0)</f>
        <v/>
      </c>
      <c r="AS3823">
        <f>IF('01_Вводные'!$B$234="Да",MAX(0,'19_Расчет_аналитики'!AS3799-'01_Вводные'!$B$237),0)</f>
        <v/>
      </c>
      <c r="AT3823">
        <f>IF('01_Вводные'!$B$234="Да",MAX(0,'19_Расчет_аналитики'!AT3799-'01_Вводные'!$B$237),0)</f>
        <v/>
      </c>
      <c r="AU3823">
        <f>IF('01_Вводные'!$B$234="Да",MAX(0,'19_Расчет_аналитики'!AU3799-'01_Вводные'!$B$237),0)</f>
        <v/>
      </c>
      <c r="AV3823">
        <f>IF('01_Вводные'!$B$234="Да",MAX(0,'19_Расчет_аналитики'!AV3799-'01_Вводные'!$B$237),0)</f>
        <v/>
      </c>
      <c r="AW3823">
        <f>IF('01_Вводные'!$B$234="Да",MAX(0,'19_Расчет_аналитики'!AW3799-'01_Вводные'!$B$237),0)</f>
        <v/>
      </c>
      <c r="AX3823">
        <f>IF('01_Вводные'!$B$234="Да",MAX(0,'19_Расчет_аналитики'!AX3799-'01_Вводные'!$B$237),0)</f>
        <v/>
      </c>
      <c r="AY3823">
        <f>IF('01_Вводные'!$B$234="Да",MAX(0,'19_Расчет_аналитики'!AY3799-'01_Вводные'!$B$237),0)</f>
        <v/>
      </c>
      <c r="AZ3823">
        <f>IF('01_Вводные'!$B$234="Да",MAX(0,'19_Расчет_аналитики'!AZ3799-'01_Вводные'!$B$237),0)</f>
        <v/>
      </c>
      <c r="BA3823">
        <f>IF('01_Вводные'!$B$234="Да",MAX(0,'19_Расчет_аналитики'!BA3799-'01_Вводные'!$B$237),0)</f>
        <v/>
      </c>
      <c r="BB3823">
        <f>IF('01_Вводные'!$B$234="Да",MAX(0,'19_Расчет_аналитики'!BB3799-'01_Вводные'!$B$237),0)</f>
        <v/>
      </c>
      <c r="BC3823">
        <f>IF('01_Вводные'!$B$234="Да",MAX(0,'19_Расчет_аналитики'!BC3799-'01_Вводные'!$B$237),0)</f>
        <v/>
      </c>
      <c r="BD3823">
        <f>IF('01_Вводные'!$B$234="Да",MAX(0,'19_Расчет_аналитики'!BD3799-'01_Вводные'!$B$237),0)</f>
        <v/>
      </c>
      <c r="BE3823">
        <f>IF('01_Вводные'!$B$234="Да",MAX(0,'19_Расчет_аналитики'!BE3799-'01_Вводные'!$B$237),0)</f>
        <v/>
      </c>
      <c r="BF3823">
        <f>IF('01_Вводные'!$B$234="Да",MAX(0,'19_Расчет_аналитики'!BF3799-'01_Вводные'!$B$237),0)</f>
        <v/>
      </c>
      <c r="BG3823">
        <f>IF('01_Вводные'!$B$234="Да",MAX(0,'19_Расчет_аналитики'!BG3799-'01_Вводные'!$B$237),0)</f>
        <v/>
      </c>
      <c r="BH3823">
        <f>IF('01_Вводные'!$B$234="Да",MAX(0,'19_Расчет_аналитики'!BH3799-'01_Вводные'!$B$237),0)</f>
        <v/>
      </c>
      <c r="BI3823">
        <f>IF('01_Вводные'!$B$234="Да",MAX(0,'19_Расчет_аналитики'!BI3799-'01_Вводные'!$B$237),0)</f>
        <v/>
      </c>
    </row>
    <row r="3824"/>
    <row r="3825"/>
    <row r="3826">
      <c r="B3826">
        <f>IF('01_Вводные'!$B$234="Да",IF('01_Вводные'!$B$288="С НДС",SUM('19_Расчет_аналитики'!B3748:B3751)*(1+'01_Вводные'!$B$58)+'09_Лагеря'!B10,'19_Расчет_аналитики'!B3753),0)</f>
        <v/>
      </c>
      <c r="C3826">
        <f>IF('01_Вводные'!$B$234="Да",IF('01_Вводные'!$B$288="С НДС",SUM('19_Расчет_аналитики'!C3748:C3751)*(1+'01_Вводные'!$B$58)+'09_Лагеря'!C10,'19_Расчет_аналитики'!C3753),0)</f>
        <v/>
      </c>
      <c r="D3826">
        <f>IF('01_Вводные'!$B$234="Да",IF('01_Вводные'!$B$288="С НДС",SUM('19_Расчет_аналитики'!D3748:D3751)*(1+'01_Вводные'!$B$58)+'09_Лагеря'!D10,'19_Расчет_аналитики'!D3753),0)</f>
        <v/>
      </c>
      <c r="E3826">
        <f>IF('01_Вводные'!$B$234="Да",IF('01_Вводные'!$B$288="С НДС",SUM('19_Расчет_аналитики'!E3748:E3751)*(1+'01_Вводные'!$B$58)+'09_Лагеря'!E10,'19_Расчет_аналитики'!E3753),0)</f>
        <v/>
      </c>
      <c r="F3826">
        <f>IF('01_Вводные'!$B$234="Да",IF('01_Вводные'!$B$288="С НДС",SUM('19_Расчет_аналитики'!F3748:F3751)*(1+'01_Вводные'!$B$58)+'09_Лагеря'!F10,'19_Расчет_аналитики'!F3753),0)</f>
        <v/>
      </c>
      <c r="G3826">
        <f>IF('01_Вводные'!$B$234="Да",IF('01_Вводные'!$B$288="С НДС",SUM('19_Расчет_аналитики'!G3748:G3751)*(1+'01_Вводные'!$B$58)+'09_Лагеря'!G10,'19_Расчет_аналитики'!G3753),0)</f>
        <v/>
      </c>
      <c r="H3826">
        <f>IF('01_Вводные'!$B$234="Да",IF('01_Вводные'!$B$288="С НДС",SUM('19_Расчет_аналитики'!H3748:H3751)*(1+'01_Вводные'!$B$58)+'09_Лагеря'!H10,'19_Расчет_аналитики'!H3753),0)</f>
        <v/>
      </c>
      <c r="I3826">
        <f>IF('01_Вводные'!$B$234="Да",IF('01_Вводные'!$B$288="С НДС",SUM('19_Расчет_аналитики'!I3748:I3751)*(1+'01_Вводные'!$B$58)+'09_Лагеря'!I10,'19_Расчет_аналитики'!I3753),0)</f>
        <v/>
      </c>
      <c r="J3826">
        <f>IF('01_Вводные'!$B$234="Да",IF('01_Вводные'!$B$288="С НДС",SUM('19_Расчет_аналитики'!J3748:J3751)*(1+'01_Вводные'!$B$58)+'09_Лагеря'!J10,'19_Расчет_аналитики'!J3753),0)</f>
        <v/>
      </c>
      <c r="K3826">
        <f>IF('01_Вводные'!$B$234="Да",IF('01_Вводные'!$B$288="С НДС",SUM('19_Расчет_аналитики'!K3748:K3751)*(1+'01_Вводные'!$B$58)+'09_Лагеря'!K10,'19_Расчет_аналитики'!K3753),0)</f>
        <v/>
      </c>
      <c r="L3826">
        <f>IF('01_Вводные'!$B$234="Да",IF('01_Вводные'!$B$288="С НДС",SUM('19_Расчет_аналитики'!L3748:L3751)*(1+'01_Вводные'!$B$58)+'09_Лагеря'!L10,'19_Расчет_аналитики'!L3753),0)</f>
        <v/>
      </c>
      <c r="M3826">
        <f>IF('01_Вводные'!$B$234="Да",IF('01_Вводные'!$B$288="С НДС",SUM('19_Расчет_аналитики'!M3748:M3751)*(1+'01_Вводные'!$B$58)+'09_Лагеря'!M10,'19_Расчет_аналитики'!M3753),0)</f>
        <v/>
      </c>
      <c r="N3826">
        <f>IF('01_Вводные'!$B$234="Да",IF('01_Вводные'!$B$288="С НДС",SUM('19_Расчет_аналитики'!N3748:N3751)*(1+'01_Вводные'!$B$58)+'09_Лагеря'!N10,'19_Расчет_аналитики'!N3753),0)</f>
        <v/>
      </c>
      <c r="O3826">
        <f>IF('01_Вводные'!$B$234="Да",IF('01_Вводные'!$B$288="С НДС",SUM('19_Расчет_аналитики'!O3748:O3751)*(1+'01_Вводные'!$B$58)+'09_Лагеря'!O10,'19_Расчет_аналитики'!O3753),0)</f>
        <v/>
      </c>
      <c r="P3826">
        <f>IF('01_Вводные'!$B$234="Да",IF('01_Вводные'!$B$288="С НДС",SUM('19_Расчет_аналитики'!P3748:P3751)*(1+'01_Вводные'!$B$58)+'09_Лагеря'!P10,'19_Расчет_аналитики'!P3753),0)</f>
        <v/>
      </c>
      <c r="Q3826">
        <f>IF('01_Вводные'!$B$234="Да",IF('01_Вводные'!$B$288="С НДС",SUM('19_Расчет_аналитики'!Q3748:Q3751)*(1+'01_Вводные'!$B$58)+'09_Лагеря'!Q10,'19_Расчет_аналитики'!Q3753),0)</f>
        <v/>
      </c>
      <c r="R3826">
        <f>IF('01_Вводные'!$B$234="Да",IF('01_Вводные'!$B$288="С НДС",SUM('19_Расчет_аналитики'!R3748:R3751)*(1+'01_Вводные'!$B$58)+'09_Лагеря'!R10,'19_Расчет_аналитики'!R3753),0)</f>
        <v/>
      </c>
      <c r="S3826">
        <f>IF('01_Вводные'!$B$234="Да",IF('01_Вводные'!$B$288="С НДС",SUM('19_Расчет_аналитики'!S3748:S3751)*(1+'01_Вводные'!$B$58)+'09_Лагеря'!S10,'19_Расчет_аналитики'!S3753),0)</f>
        <v/>
      </c>
      <c r="T3826">
        <f>IF('01_Вводные'!$B$234="Да",IF('01_Вводные'!$B$288="С НДС",SUM('19_Расчет_аналитики'!T3748:T3751)*(1+'01_Вводные'!$B$58)+'09_Лагеря'!T10,'19_Расчет_аналитики'!T3753),0)</f>
        <v/>
      </c>
      <c r="U3826">
        <f>IF('01_Вводные'!$B$234="Да",IF('01_Вводные'!$B$288="С НДС",SUM('19_Расчет_аналитики'!U3748:U3751)*(1+'01_Вводные'!$B$58)+'09_Лагеря'!U10,'19_Расчет_аналитики'!U3753),0)</f>
        <v/>
      </c>
      <c r="V3826">
        <f>IF('01_Вводные'!$B$234="Да",IF('01_Вводные'!$B$288="С НДС",SUM('19_Расчет_аналитики'!V3748:V3751)*(1+'01_Вводные'!$B$58)+'09_Лагеря'!V10,'19_Расчет_аналитики'!V3753),0)</f>
        <v/>
      </c>
      <c r="W3826">
        <f>IF('01_Вводные'!$B$234="Да",IF('01_Вводные'!$B$288="С НДС",SUM('19_Расчет_аналитики'!W3748:W3751)*(1+'01_Вводные'!$B$58)+'09_Лагеря'!W10,'19_Расчет_аналитики'!W3753),0)</f>
        <v/>
      </c>
      <c r="X3826">
        <f>IF('01_Вводные'!$B$234="Да",IF('01_Вводные'!$B$288="С НДС",SUM('19_Расчет_аналитики'!X3748:X3751)*(1+'01_Вводные'!$B$58)+'09_Лагеря'!X10,'19_Расчет_аналитики'!X3753),0)</f>
        <v/>
      </c>
      <c r="Y3826">
        <f>IF('01_Вводные'!$B$234="Да",IF('01_Вводные'!$B$288="С НДС",SUM('19_Расчет_аналитики'!Y3748:Y3751)*(1+'01_Вводные'!$B$58)+'09_Лагеря'!Y10,'19_Расчет_аналитики'!Y3753),0)</f>
        <v/>
      </c>
      <c r="Z3826">
        <f>IF('01_Вводные'!$B$234="Да",IF('01_Вводные'!$B$288="С НДС",SUM('19_Расчет_аналитики'!Z3748:Z3751)*(1+'01_Вводные'!$B$58)+'09_Лагеря'!Z10,'19_Расчет_аналитики'!Z3753),0)</f>
        <v/>
      </c>
      <c r="AA3826">
        <f>IF('01_Вводные'!$B$234="Да",IF('01_Вводные'!$B$288="С НДС",SUM('19_Расчет_аналитики'!AA3748:AA3751)*(1+'01_Вводные'!$B$58)+'09_Лагеря'!AA10,'19_Расчет_аналитики'!AA3753),0)</f>
        <v/>
      </c>
      <c r="AB3826">
        <f>IF('01_Вводные'!$B$234="Да",IF('01_Вводные'!$B$288="С НДС",SUM('19_Расчет_аналитики'!AB3748:AB3751)*(1+'01_Вводные'!$B$58)+'09_Лагеря'!AB10,'19_Расчет_аналитики'!AB3753),0)</f>
        <v/>
      </c>
      <c r="AC3826">
        <f>IF('01_Вводные'!$B$234="Да",IF('01_Вводные'!$B$288="С НДС",SUM('19_Расчет_аналитики'!AC3748:AC3751)*(1+'01_Вводные'!$B$58)+'09_Лагеря'!AC10,'19_Расчет_аналитики'!AC3753),0)</f>
        <v/>
      </c>
      <c r="AD3826">
        <f>IF('01_Вводные'!$B$234="Да",IF('01_Вводные'!$B$288="С НДС",SUM('19_Расчет_аналитики'!AD3748:AD3751)*(1+'01_Вводные'!$B$58)+'09_Лагеря'!AD10,'19_Расчет_аналитики'!AD3753),0)</f>
        <v/>
      </c>
      <c r="AE3826">
        <f>IF('01_Вводные'!$B$234="Да",IF('01_Вводные'!$B$288="С НДС",SUM('19_Расчет_аналитики'!AE3748:AE3751)*(1+'01_Вводные'!$B$58)+'09_Лагеря'!AE10,'19_Расчет_аналитики'!AE3753),0)</f>
        <v/>
      </c>
      <c r="AF3826">
        <f>IF('01_Вводные'!$B$234="Да",IF('01_Вводные'!$B$288="С НДС",SUM('19_Расчет_аналитики'!AF3748:AF3751)*(1+'01_Вводные'!$B$58)+'09_Лагеря'!AF10,'19_Расчет_аналитики'!AF3753),0)</f>
        <v/>
      </c>
      <c r="AG3826">
        <f>IF('01_Вводные'!$B$234="Да",IF('01_Вводные'!$B$288="С НДС",SUM('19_Расчет_аналитики'!AG3748:AG3751)*(1+'01_Вводные'!$B$58)+'09_Лагеря'!AG10,'19_Расчет_аналитики'!AG3753),0)</f>
        <v/>
      </c>
      <c r="AH3826">
        <f>IF('01_Вводные'!$B$234="Да",IF('01_Вводные'!$B$288="С НДС",SUM('19_Расчет_аналитики'!AH3748:AH3751)*(1+'01_Вводные'!$B$58)+'09_Лагеря'!AH10,'19_Расчет_аналитики'!AH3753),0)</f>
        <v/>
      </c>
      <c r="AI3826">
        <f>IF('01_Вводные'!$B$234="Да",IF('01_Вводные'!$B$288="С НДС",SUM('19_Расчет_аналитики'!AI3748:AI3751)*(1+'01_Вводные'!$B$58)+'09_Лагеря'!AI10,'19_Расчет_аналитики'!AI3753),0)</f>
        <v/>
      </c>
      <c r="AJ3826">
        <f>IF('01_Вводные'!$B$234="Да",IF('01_Вводные'!$B$288="С НДС",SUM('19_Расчет_аналитики'!AJ3748:AJ3751)*(1+'01_Вводные'!$B$58)+'09_Лагеря'!AJ10,'19_Расчет_аналитики'!AJ3753),0)</f>
        <v/>
      </c>
      <c r="AK3826">
        <f>IF('01_Вводные'!$B$234="Да",IF('01_Вводные'!$B$288="С НДС",SUM('19_Расчет_аналитики'!AK3748:AK3751)*(1+'01_Вводные'!$B$58)+'09_Лагеря'!AK10,'19_Расчет_аналитики'!AK3753),0)</f>
        <v/>
      </c>
      <c r="AL3826">
        <f>IF('01_Вводные'!$B$234="Да",IF('01_Вводные'!$B$288="С НДС",SUM('19_Расчет_аналитики'!AL3748:AL3751)*(1+'01_Вводные'!$B$58)+'09_Лагеря'!AL10,'19_Расчет_аналитики'!AL3753),0)</f>
        <v/>
      </c>
      <c r="AM3826">
        <f>IF('01_Вводные'!$B$234="Да",IF('01_Вводные'!$B$288="С НДС",SUM('19_Расчет_аналитики'!AM3748:AM3751)*(1+'01_Вводные'!$B$58)+'09_Лагеря'!AM10,'19_Расчет_аналитики'!AM3753),0)</f>
        <v/>
      </c>
      <c r="AN3826">
        <f>IF('01_Вводные'!$B$234="Да",IF('01_Вводные'!$B$288="С НДС",SUM('19_Расчет_аналитики'!AN3748:AN3751)*(1+'01_Вводные'!$B$58)+'09_Лагеря'!AN10,'19_Расчет_аналитики'!AN3753),0)</f>
        <v/>
      </c>
      <c r="AO3826">
        <f>IF('01_Вводные'!$B$234="Да",IF('01_Вводные'!$B$288="С НДС",SUM('19_Расчет_аналитики'!AO3748:AO3751)*(1+'01_Вводные'!$B$58)+'09_Лагеря'!AO10,'19_Расчет_аналитики'!AO3753),0)</f>
        <v/>
      </c>
      <c r="AP3826">
        <f>IF('01_Вводные'!$B$234="Да",IF('01_Вводные'!$B$288="С НДС",SUM('19_Расчет_аналитики'!AP3748:AP3751)*(1+'01_Вводные'!$B$58)+'09_Лагеря'!AP10,'19_Расчет_аналитики'!AP3753),0)</f>
        <v/>
      </c>
      <c r="AQ3826">
        <f>IF('01_Вводные'!$B$234="Да",IF('01_Вводные'!$B$288="С НДС",SUM('19_Расчет_аналитики'!AQ3748:AQ3751)*(1+'01_Вводные'!$B$58)+'09_Лагеря'!AQ10,'19_Расчет_аналитики'!AQ3753),0)</f>
        <v/>
      </c>
      <c r="AR3826">
        <f>IF('01_Вводные'!$B$234="Да",IF('01_Вводные'!$B$288="С НДС",SUM('19_Расчет_аналитики'!AR3748:AR3751)*(1+'01_Вводные'!$B$58)+'09_Лагеря'!AR10,'19_Расчет_аналитики'!AR3753),0)</f>
        <v/>
      </c>
      <c r="AS3826">
        <f>IF('01_Вводные'!$B$234="Да",IF('01_Вводные'!$B$288="С НДС",SUM('19_Расчет_аналитики'!AS3748:AS3751)*(1+'01_Вводные'!$B$58)+'09_Лагеря'!AS10,'19_Расчет_аналитики'!AS3753),0)</f>
        <v/>
      </c>
      <c r="AT3826">
        <f>IF('01_Вводные'!$B$234="Да",IF('01_Вводные'!$B$288="С НДС",SUM('19_Расчет_аналитики'!AT3748:AT3751)*(1+'01_Вводные'!$B$58)+'09_Лагеря'!AT10,'19_Расчет_аналитики'!AT3753),0)</f>
        <v/>
      </c>
      <c r="AU3826">
        <f>IF('01_Вводные'!$B$234="Да",IF('01_Вводные'!$B$288="С НДС",SUM('19_Расчет_аналитики'!AU3748:AU3751)*(1+'01_Вводные'!$B$58)+'09_Лагеря'!AU10,'19_Расчет_аналитики'!AU3753),0)</f>
        <v/>
      </c>
      <c r="AV3826">
        <f>IF('01_Вводные'!$B$234="Да",IF('01_Вводные'!$B$288="С НДС",SUM('19_Расчет_аналитики'!AV3748:AV3751)*(1+'01_Вводные'!$B$58)+'09_Лагеря'!AV10,'19_Расчет_аналитики'!AV3753),0)</f>
        <v/>
      </c>
      <c r="AW3826">
        <f>IF('01_Вводные'!$B$234="Да",IF('01_Вводные'!$B$288="С НДС",SUM('19_Расчет_аналитики'!AW3748:AW3751)*(1+'01_Вводные'!$B$58)+'09_Лагеря'!AW10,'19_Расчет_аналитики'!AW3753),0)</f>
        <v/>
      </c>
      <c r="AX3826">
        <f>IF('01_Вводные'!$B$234="Да",IF('01_Вводные'!$B$288="С НДС",SUM('19_Расчет_аналитики'!AX3748:AX3751)*(1+'01_Вводные'!$B$58)+'09_Лагеря'!AX10,'19_Расчет_аналитики'!AX3753),0)</f>
        <v/>
      </c>
      <c r="AY3826">
        <f>IF('01_Вводные'!$B$234="Да",IF('01_Вводные'!$B$288="С НДС",SUM('19_Расчет_аналитики'!AY3748:AY3751)*(1+'01_Вводные'!$B$58)+'09_Лагеря'!AY10,'19_Расчет_аналитики'!AY3753),0)</f>
        <v/>
      </c>
      <c r="AZ3826">
        <f>IF('01_Вводные'!$B$234="Да",IF('01_Вводные'!$B$288="С НДС",SUM('19_Расчет_аналитики'!AZ3748:AZ3751)*(1+'01_Вводные'!$B$58)+'09_Лагеря'!AZ10,'19_Расчет_аналитики'!AZ3753),0)</f>
        <v/>
      </c>
      <c r="BA3826">
        <f>IF('01_Вводные'!$B$234="Да",IF('01_Вводные'!$B$288="С НДС",SUM('19_Расчет_аналитики'!BA3748:BA3751)*(1+'01_Вводные'!$B$58)+'09_Лагеря'!BA10,'19_Расчет_аналитики'!BA3753),0)</f>
        <v/>
      </c>
      <c r="BB3826">
        <f>IF('01_Вводные'!$B$234="Да",IF('01_Вводные'!$B$288="С НДС",SUM('19_Расчет_аналитики'!BB3748:BB3751)*(1+'01_Вводные'!$B$58)+'09_Лагеря'!BB10,'19_Расчет_аналитики'!BB3753),0)</f>
        <v/>
      </c>
      <c r="BC3826">
        <f>IF('01_Вводные'!$B$234="Да",IF('01_Вводные'!$B$288="С НДС",SUM('19_Расчет_аналитики'!BC3748:BC3751)*(1+'01_Вводные'!$B$58)+'09_Лагеря'!BC10,'19_Расчет_аналитики'!BC3753),0)</f>
        <v/>
      </c>
      <c r="BD3826">
        <f>IF('01_Вводные'!$B$234="Да",IF('01_Вводные'!$B$288="С НДС",SUM('19_Расчет_аналитики'!BD3748:BD3751)*(1+'01_Вводные'!$B$58)+'09_Лагеря'!BD10,'19_Расчет_аналитики'!BD3753),0)</f>
        <v/>
      </c>
      <c r="BE3826">
        <f>IF('01_Вводные'!$B$234="Да",IF('01_Вводные'!$B$288="С НДС",SUM('19_Расчет_аналитики'!BE3748:BE3751)*(1+'01_Вводные'!$B$58)+'09_Лагеря'!BE10,'19_Расчет_аналитики'!BE3753),0)</f>
        <v/>
      </c>
      <c r="BF3826">
        <f>IF('01_Вводные'!$B$234="Да",IF('01_Вводные'!$B$288="С НДС",SUM('19_Расчет_аналитики'!BF3748:BF3751)*(1+'01_Вводные'!$B$58)+'09_Лагеря'!BF10,'19_Расчет_аналитики'!BF3753),0)</f>
        <v/>
      </c>
      <c r="BG3826">
        <f>IF('01_Вводные'!$B$234="Да",IF('01_Вводные'!$B$288="С НДС",SUM('19_Расчет_аналитики'!BG3748:BG3751)*(1+'01_Вводные'!$B$58)+'09_Лагеря'!BG10,'19_Расчет_аналитики'!BG3753),0)</f>
        <v/>
      </c>
      <c r="BH3826">
        <f>IF('01_Вводные'!$B$234="Да",IF('01_Вводные'!$B$288="С НДС",SUM('19_Расчет_аналитики'!BH3748:BH3751)*(1+'01_Вводные'!$B$58)+'09_Лагеря'!BH10,'19_Расчет_аналитики'!BH3753),0)</f>
        <v/>
      </c>
      <c r="BI3826">
        <f>IF('01_Вводные'!$B$234="Да",IF('01_Вводные'!$B$288="С НДС",SUM('19_Расчет_аналитики'!BI3748:BI3751)*(1+'01_Вводные'!$B$58)+'09_Лагеря'!BI10,'19_Расчет_аналитики'!BI3753),0)</f>
        <v/>
      </c>
    </row>
    <row r="3827">
      <c r="B3827">
        <f>IF('01_Вводные'!$B$234="Да",IF('01_Вводные'!$B$290="Да",'19_Расчет_аналитики'!B3826*'01_Вводные'!$B$286,0),0)</f>
        <v/>
      </c>
      <c r="C3827">
        <f>IF('01_Вводные'!$B$234="Да",IF('01_Вводные'!$B$290="Да",'19_Расчет_аналитики'!C3826*'01_Вводные'!$B$286,0),0)</f>
        <v/>
      </c>
      <c r="D3827">
        <f>IF('01_Вводные'!$B$234="Да",IF('01_Вводные'!$B$290="Да",'19_Расчет_аналитики'!D3826*'01_Вводные'!$B$286,0),0)</f>
        <v/>
      </c>
      <c r="E3827">
        <f>IF('01_Вводные'!$B$234="Да",IF('01_Вводные'!$B$290="Да",'19_Расчет_аналитики'!E3826*'01_Вводные'!$B$286,0),0)</f>
        <v/>
      </c>
      <c r="F3827">
        <f>IF('01_Вводные'!$B$234="Да",IF('01_Вводные'!$B$290="Да",'19_Расчет_аналитики'!F3826*'01_Вводные'!$B$286,0),0)</f>
        <v/>
      </c>
      <c r="G3827">
        <f>IF('01_Вводные'!$B$234="Да",IF('01_Вводные'!$B$290="Да",'19_Расчет_аналитики'!G3826*'01_Вводные'!$B$286,0),0)</f>
        <v/>
      </c>
      <c r="H3827">
        <f>IF('01_Вводные'!$B$234="Да",IF('01_Вводные'!$B$290="Да",'19_Расчет_аналитики'!H3826*'01_Вводные'!$B$286,0),0)</f>
        <v/>
      </c>
      <c r="I3827">
        <f>IF('01_Вводные'!$B$234="Да",IF('01_Вводные'!$B$290="Да",'19_Расчет_аналитики'!I3826*'01_Вводные'!$B$286,0),0)</f>
        <v/>
      </c>
      <c r="J3827">
        <f>IF('01_Вводные'!$B$234="Да",IF('01_Вводные'!$B$290="Да",'19_Расчет_аналитики'!J3826*'01_Вводные'!$B$286,0),0)</f>
        <v/>
      </c>
      <c r="K3827">
        <f>IF('01_Вводные'!$B$234="Да",IF('01_Вводные'!$B$290="Да",'19_Расчет_аналитики'!K3826*'01_Вводные'!$B$286,0),0)</f>
        <v/>
      </c>
      <c r="L3827">
        <f>IF('01_Вводные'!$B$234="Да",IF('01_Вводные'!$B$290="Да",'19_Расчет_аналитики'!L3826*'01_Вводные'!$B$286,0),0)</f>
        <v/>
      </c>
      <c r="M3827">
        <f>IF('01_Вводные'!$B$234="Да",IF('01_Вводные'!$B$290="Да",'19_Расчет_аналитики'!M3826*'01_Вводные'!$B$286,0),0)</f>
        <v/>
      </c>
      <c r="N3827">
        <f>IF('01_Вводные'!$B$234="Да",IF('01_Вводные'!$B$290="Да",'19_Расчет_аналитики'!N3826*'01_Вводные'!$B$286,0),0)</f>
        <v/>
      </c>
      <c r="O3827">
        <f>IF('01_Вводные'!$B$234="Да",IF('01_Вводные'!$B$290="Да",'19_Расчет_аналитики'!O3826*'01_Вводные'!$B$286,0),0)</f>
        <v/>
      </c>
      <c r="P3827">
        <f>IF('01_Вводные'!$B$234="Да",IF('01_Вводные'!$B$290="Да",'19_Расчет_аналитики'!P3826*'01_Вводные'!$B$286,0),0)</f>
        <v/>
      </c>
      <c r="Q3827">
        <f>IF('01_Вводные'!$B$234="Да",IF('01_Вводные'!$B$290="Да",'19_Расчет_аналитики'!Q3826*'01_Вводные'!$B$286,0),0)</f>
        <v/>
      </c>
      <c r="R3827">
        <f>IF('01_Вводные'!$B$234="Да",IF('01_Вводные'!$B$290="Да",'19_Расчет_аналитики'!R3826*'01_Вводные'!$B$286,0),0)</f>
        <v/>
      </c>
      <c r="S3827">
        <f>IF('01_Вводные'!$B$234="Да",IF('01_Вводные'!$B$290="Да",'19_Расчет_аналитики'!S3826*'01_Вводные'!$B$286,0),0)</f>
        <v/>
      </c>
      <c r="T3827">
        <f>IF('01_Вводные'!$B$234="Да",IF('01_Вводные'!$B$290="Да",'19_Расчет_аналитики'!T3826*'01_Вводные'!$B$286,0),0)</f>
        <v/>
      </c>
      <c r="U3827">
        <f>IF('01_Вводные'!$B$234="Да",IF('01_Вводные'!$B$290="Да",'19_Расчет_аналитики'!U3826*'01_Вводные'!$B$286,0),0)</f>
        <v/>
      </c>
      <c r="V3827">
        <f>IF('01_Вводные'!$B$234="Да",IF('01_Вводные'!$B$290="Да",'19_Расчет_аналитики'!V3826*'01_Вводные'!$B$286,0),0)</f>
        <v/>
      </c>
      <c r="W3827">
        <f>IF('01_Вводные'!$B$234="Да",IF('01_Вводные'!$B$290="Да",'19_Расчет_аналитики'!W3826*'01_Вводные'!$B$286,0),0)</f>
        <v/>
      </c>
      <c r="X3827">
        <f>IF('01_Вводные'!$B$234="Да",IF('01_Вводные'!$B$290="Да",'19_Расчет_аналитики'!X3826*'01_Вводные'!$B$286,0),0)</f>
        <v/>
      </c>
      <c r="Y3827">
        <f>IF('01_Вводные'!$B$234="Да",IF('01_Вводные'!$B$290="Да",'19_Расчет_аналитики'!Y3826*'01_Вводные'!$B$286,0),0)</f>
        <v/>
      </c>
      <c r="Z3827">
        <f>IF('01_Вводные'!$B$234="Да",IF('01_Вводные'!$B$290="Да",'19_Расчет_аналитики'!Z3826*'01_Вводные'!$B$286,0),0)</f>
        <v/>
      </c>
      <c r="AA3827">
        <f>IF('01_Вводные'!$B$234="Да",IF('01_Вводные'!$B$290="Да",'19_Расчет_аналитики'!AA3826*'01_Вводные'!$B$286,0),0)</f>
        <v/>
      </c>
      <c r="AB3827">
        <f>IF('01_Вводные'!$B$234="Да",IF('01_Вводные'!$B$290="Да",'19_Расчет_аналитики'!AB3826*'01_Вводные'!$B$286,0),0)</f>
        <v/>
      </c>
      <c r="AC3827">
        <f>IF('01_Вводные'!$B$234="Да",IF('01_Вводные'!$B$290="Да",'19_Расчет_аналитики'!AC3826*'01_Вводные'!$B$286,0),0)</f>
        <v/>
      </c>
      <c r="AD3827">
        <f>IF('01_Вводные'!$B$234="Да",IF('01_Вводные'!$B$290="Да",'19_Расчет_аналитики'!AD3826*'01_Вводные'!$B$286,0),0)</f>
        <v/>
      </c>
      <c r="AE3827">
        <f>IF('01_Вводные'!$B$234="Да",IF('01_Вводные'!$B$290="Да",'19_Расчет_аналитики'!AE3826*'01_Вводные'!$B$286,0),0)</f>
        <v/>
      </c>
      <c r="AF3827">
        <f>IF('01_Вводные'!$B$234="Да",IF('01_Вводные'!$B$290="Да",'19_Расчет_аналитики'!AF3826*'01_Вводные'!$B$286,0),0)</f>
        <v/>
      </c>
      <c r="AG3827">
        <f>IF('01_Вводные'!$B$234="Да",IF('01_Вводные'!$B$290="Да",'19_Расчет_аналитики'!AG3826*'01_Вводные'!$B$286,0),0)</f>
        <v/>
      </c>
      <c r="AH3827">
        <f>IF('01_Вводные'!$B$234="Да",IF('01_Вводные'!$B$290="Да",'19_Расчет_аналитики'!AH3826*'01_Вводные'!$B$286,0),0)</f>
        <v/>
      </c>
      <c r="AI3827">
        <f>IF('01_Вводные'!$B$234="Да",IF('01_Вводные'!$B$290="Да",'19_Расчет_аналитики'!AI3826*'01_Вводные'!$B$286,0),0)</f>
        <v/>
      </c>
      <c r="AJ3827">
        <f>IF('01_Вводные'!$B$234="Да",IF('01_Вводные'!$B$290="Да",'19_Расчет_аналитики'!AJ3826*'01_Вводные'!$B$286,0),0)</f>
        <v/>
      </c>
      <c r="AK3827">
        <f>IF('01_Вводные'!$B$234="Да",IF('01_Вводные'!$B$290="Да",'19_Расчет_аналитики'!AK3826*'01_Вводные'!$B$286,0),0)</f>
        <v/>
      </c>
      <c r="AL3827">
        <f>IF('01_Вводные'!$B$234="Да",IF('01_Вводные'!$B$290="Да",'19_Расчет_аналитики'!AL3826*'01_Вводные'!$B$286,0),0)</f>
        <v/>
      </c>
      <c r="AM3827">
        <f>IF('01_Вводные'!$B$234="Да",IF('01_Вводные'!$B$290="Да",'19_Расчет_аналитики'!AM3826*'01_Вводные'!$B$286,0),0)</f>
        <v/>
      </c>
      <c r="AN3827">
        <f>IF('01_Вводные'!$B$234="Да",IF('01_Вводные'!$B$290="Да",'19_Расчет_аналитики'!AN3826*'01_Вводные'!$B$286,0),0)</f>
        <v/>
      </c>
      <c r="AO3827">
        <f>IF('01_Вводные'!$B$234="Да",IF('01_Вводные'!$B$290="Да",'19_Расчет_аналитики'!AO3826*'01_Вводные'!$B$286,0),0)</f>
        <v/>
      </c>
      <c r="AP3827">
        <f>IF('01_Вводные'!$B$234="Да",IF('01_Вводные'!$B$290="Да",'19_Расчет_аналитики'!AP3826*'01_Вводные'!$B$286,0),0)</f>
        <v/>
      </c>
      <c r="AQ3827">
        <f>IF('01_Вводные'!$B$234="Да",IF('01_Вводные'!$B$290="Да",'19_Расчет_аналитики'!AQ3826*'01_Вводные'!$B$286,0),0)</f>
        <v/>
      </c>
      <c r="AR3827">
        <f>IF('01_Вводные'!$B$234="Да",IF('01_Вводные'!$B$290="Да",'19_Расчет_аналитики'!AR3826*'01_Вводные'!$B$286,0),0)</f>
        <v/>
      </c>
      <c r="AS3827">
        <f>IF('01_Вводные'!$B$234="Да",IF('01_Вводные'!$B$290="Да",'19_Расчет_аналитики'!AS3826*'01_Вводные'!$B$286,0),0)</f>
        <v/>
      </c>
      <c r="AT3827">
        <f>IF('01_Вводные'!$B$234="Да",IF('01_Вводные'!$B$290="Да",'19_Расчет_аналитики'!AT3826*'01_Вводные'!$B$286,0),0)</f>
        <v/>
      </c>
      <c r="AU3827">
        <f>IF('01_Вводные'!$B$234="Да",IF('01_Вводные'!$B$290="Да",'19_Расчет_аналитики'!AU3826*'01_Вводные'!$B$286,0),0)</f>
        <v/>
      </c>
      <c r="AV3827">
        <f>IF('01_Вводные'!$B$234="Да",IF('01_Вводные'!$B$290="Да",'19_Расчет_аналитики'!AV3826*'01_Вводные'!$B$286,0),0)</f>
        <v/>
      </c>
      <c r="AW3827">
        <f>IF('01_Вводные'!$B$234="Да",IF('01_Вводные'!$B$290="Да",'19_Расчет_аналитики'!AW3826*'01_Вводные'!$B$286,0),0)</f>
        <v/>
      </c>
      <c r="AX3827">
        <f>IF('01_Вводные'!$B$234="Да",IF('01_Вводные'!$B$290="Да",'19_Расчет_аналитики'!AX3826*'01_Вводные'!$B$286,0),0)</f>
        <v/>
      </c>
      <c r="AY3827">
        <f>IF('01_Вводные'!$B$234="Да",IF('01_Вводные'!$B$290="Да",'19_Расчет_аналитики'!AY3826*'01_Вводные'!$B$286,0),0)</f>
        <v/>
      </c>
      <c r="AZ3827">
        <f>IF('01_Вводные'!$B$234="Да",IF('01_Вводные'!$B$290="Да",'19_Расчет_аналитики'!AZ3826*'01_Вводные'!$B$286,0),0)</f>
        <v/>
      </c>
      <c r="BA3827">
        <f>IF('01_Вводные'!$B$234="Да",IF('01_Вводные'!$B$290="Да",'19_Расчет_аналитики'!BA3826*'01_Вводные'!$B$286,0),0)</f>
        <v/>
      </c>
      <c r="BB3827">
        <f>IF('01_Вводные'!$B$234="Да",IF('01_Вводные'!$B$290="Да",'19_Расчет_аналитики'!BB3826*'01_Вводные'!$B$286,0),0)</f>
        <v/>
      </c>
      <c r="BC3827">
        <f>IF('01_Вводные'!$B$234="Да",IF('01_Вводные'!$B$290="Да",'19_Расчет_аналитики'!BC3826*'01_Вводные'!$B$286,0),0)</f>
        <v/>
      </c>
      <c r="BD3827">
        <f>IF('01_Вводные'!$B$234="Да",IF('01_Вводные'!$B$290="Да",'19_Расчет_аналитики'!BD3826*'01_Вводные'!$B$286,0),0)</f>
        <v/>
      </c>
      <c r="BE3827">
        <f>IF('01_Вводные'!$B$234="Да",IF('01_Вводные'!$B$290="Да",'19_Расчет_аналитики'!BE3826*'01_Вводные'!$B$286,0),0)</f>
        <v/>
      </c>
      <c r="BF3827">
        <f>IF('01_Вводные'!$B$234="Да",IF('01_Вводные'!$B$290="Да",'19_Расчет_аналитики'!BF3826*'01_Вводные'!$B$286,0),0)</f>
        <v/>
      </c>
      <c r="BG3827">
        <f>IF('01_Вводные'!$B$234="Да",IF('01_Вводные'!$B$290="Да",'19_Расчет_аналитики'!BG3826*'01_Вводные'!$B$286,0),0)</f>
        <v/>
      </c>
      <c r="BH3827">
        <f>IF('01_Вводные'!$B$234="Да",IF('01_Вводные'!$B$290="Да",'19_Расчет_аналитики'!BH3826*'01_Вводные'!$B$286,0),0)</f>
        <v/>
      </c>
      <c r="BI3827">
        <f>IF('01_Вводные'!$B$234="Да",IF('01_Вводные'!$B$290="Да",'19_Расчет_аналитики'!BI3826*'01_Вводные'!$B$286,0),0)</f>
        <v/>
      </c>
    </row>
    <row r="3828">
      <c r="B3828">
        <f>'02_Модель'!B98</f>
        <v/>
      </c>
      <c r="C3828">
        <f>'02_Модель'!C98</f>
        <v/>
      </c>
      <c r="D3828">
        <f>'02_Модель'!D98</f>
        <v/>
      </c>
      <c r="E3828">
        <f>'02_Модель'!E98</f>
        <v/>
      </c>
      <c r="F3828">
        <f>'02_Модель'!F98</f>
        <v/>
      </c>
      <c r="G3828">
        <f>'02_Модель'!G98</f>
        <v/>
      </c>
      <c r="H3828">
        <f>'02_Модель'!H98</f>
        <v/>
      </c>
      <c r="I3828">
        <f>'02_Модель'!I98</f>
        <v/>
      </c>
      <c r="J3828">
        <f>'02_Модель'!J98</f>
        <v/>
      </c>
      <c r="K3828">
        <f>'02_Модель'!K98</f>
        <v/>
      </c>
      <c r="L3828">
        <f>'02_Модель'!L98</f>
        <v/>
      </c>
      <c r="M3828">
        <f>'02_Модель'!M98</f>
        <v/>
      </c>
      <c r="N3828">
        <f>'02_Модель'!N98</f>
        <v/>
      </c>
      <c r="O3828">
        <f>'02_Модель'!O98</f>
        <v/>
      </c>
      <c r="P3828">
        <f>'02_Модель'!P98</f>
        <v/>
      </c>
      <c r="Q3828">
        <f>'02_Модель'!Q98</f>
        <v/>
      </c>
      <c r="R3828">
        <f>'02_Модель'!R98</f>
        <v/>
      </c>
      <c r="S3828">
        <f>'02_Модель'!S98</f>
        <v/>
      </c>
      <c r="T3828">
        <f>'02_Модель'!T98</f>
        <v/>
      </c>
      <c r="U3828">
        <f>'02_Модель'!U98</f>
        <v/>
      </c>
      <c r="V3828">
        <f>'02_Модель'!V98</f>
        <v/>
      </c>
      <c r="W3828">
        <f>'02_Модель'!W98</f>
        <v/>
      </c>
      <c r="X3828">
        <f>'02_Модель'!X98</f>
        <v/>
      </c>
      <c r="Y3828">
        <f>'02_Модель'!Y98</f>
        <v/>
      </c>
      <c r="Z3828">
        <f>'02_Модель'!Z98</f>
        <v/>
      </c>
      <c r="AA3828">
        <f>'02_Модель'!AA98</f>
        <v/>
      </c>
      <c r="AB3828">
        <f>'02_Модель'!AB98</f>
        <v/>
      </c>
      <c r="AC3828">
        <f>'02_Модель'!AC98</f>
        <v/>
      </c>
      <c r="AD3828">
        <f>'02_Модель'!AD98</f>
        <v/>
      </c>
      <c r="AE3828">
        <f>'02_Модель'!AE98</f>
        <v/>
      </c>
      <c r="AF3828">
        <f>'02_Модель'!AF98</f>
        <v/>
      </c>
      <c r="AG3828">
        <f>'02_Модель'!AG98</f>
        <v/>
      </c>
      <c r="AH3828">
        <f>'02_Модель'!AH98</f>
        <v/>
      </c>
      <c r="AI3828">
        <f>'02_Модель'!AI98</f>
        <v/>
      </c>
      <c r="AJ3828">
        <f>'02_Модель'!AJ98</f>
        <v/>
      </c>
      <c r="AK3828">
        <f>'02_Модель'!AK98</f>
        <v/>
      </c>
      <c r="AL3828">
        <f>'02_Модель'!AL98</f>
        <v/>
      </c>
      <c r="AM3828">
        <f>'02_Модель'!AM98</f>
        <v/>
      </c>
      <c r="AN3828">
        <f>'02_Модель'!AN98</f>
        <v/>
      </c>
      <c r="AO3828">
        <f>'02_Модель'!AO98</f>
        <v/>
      </c>
      <c r="AP3828">
        <f>'02_Модель'!AP98</f>
        <v/>
      </c>
      <c r="AQ3828">
        <f>'02_Модель'!AQ98</f>
        <v/>
      </c>
      <c r="AR3828">
        <f>'02_Модель'!AR98</f>
        <v/>
      </c>
      <c r="AS3828">
        <f>'02_Модель'!AS98</f>
        <v/>
      </c>
      <c r="AT3828">
        <f>'02_Модель'!AT98</f>
        <v/>
      </c>
      <c r="AU3828">
        <f>'02_Модель'!AU98</f>
        <v/>
      </c>
      <c r="AV3828">
        <f>'02_Модель'!AV98</f>
        <v/>
      </c>
      <c r="AW3828">
        <f>'02_Модель'!AW98</f>
        <v/>
      </c>
      <c r="AX3828">
        <f>'02_Модель'!AX98</f>
        <v/>
      </c>
      <c r="AY3828">
        <f>'02_Модель'!AY98</f>
        <v/>
      </c>
      <c r="AZ3828">
        <f>'02_Модель'!AZ98</f>
        <v/>
      </c>
      <c r="BA3828">
        <f>'02_Модель'!BA98</f>
        <v/>
      </c>
      <c r="BB3828">
        <f>'02_Модель'!BB98</f>
        <v/>
      </c>
      <c r="BC3828">
        <f>'02_Модель'!BC98</f>
        <v/>
      </c>
      <c r="BD3828">
        <f>'02_Модель'!BD98</f>
        <v/>
      </c>
      <c r="BE3828">
        <f>'02_Модель'!BE98</f>
        <v/>
      </c>
      <c r="BF3828">
        <f>'02_Модель'!BF98</f>
        <v/>
      </c>
      <c r="BG3828">
        <f>'02_Модель'!BG98</f>
        <v/>
      </c>
      <c r="BH3828">
        <f>'02_Модель'!BH98</f>
        <v/>
      </c>
      <c r="BI3828">
        <f>'02_Модель'!BI98</f>
        <v/>
      </c>
    </row>
    <row r="3829">
      <c r="B3829">
        <f>IF('01_Вводные'!$B$234="Да",SUM('19_Расчет_аналитики'!B3827:B3828),0)</f>
        <v/>
      </c>
      <c r="C3829">
        <f>IF('01_Вводные'!$B$234="Да",SUM('19_Расчет_аналитики'!C3827:C3828),0)</f>
        <v/>
      </c>
      <c r="D3829">
        <f>IF('01_Вводные'!$B$234="Да",SUM('19_Расчет_аналитики'!D3827:D3828),0)</f>
        <v/>
      </c>
      <c r="E3829">
        <f>IF('01_Вводные'!$B$234="Да",SUM('19_Расчет_аналитики'!E3827:E3828),0)</f>
        <v/>
      </c>
      <c r="F3829">
        <f>IF('01_Вводные'!$B$234="Да",SUM('19_Расчет_аналитики'!F3827:F3828),0)</f>
        <v/>
      </c>
      <c r="G3829">
        <f>IF('01_Вводные'!$B$234="Да",SUM('19_Расчет_аналитики'!G3827:G3828),0)</f>
        <v/>
      </c>
      <c r="H3829">
        <f>IF('01_Вводные'!$B$234="Да",SUM('19_Расчет_аналитики'!H3827:H3828),0)</f>
        <v/>
      </c>
      <c r="I3829">
        <f>IF('01_Вводные'!$B$234="Да",SUM('19_Расчет_аналитики'!I3827:I3828),0)</f>
        <v/>
      </c>
      <c r="J3829">
        <f>IF('01_Вводные'!$B$234="Да",SUM('19_Расчет_аналитики'!J3827:J3828),0)</f>
        <v/>
      </c>
      <c r="K3829">
        <f>IF('01_Вводные'!$B$234="Да",SUM('19_Расчет_аналитики'!K3827:K3828),0)</f>
        <v/>
      </c>
      <c r="L3829">
        <f>IF('01_Вводные'!$B$234="Да",SUM('19_Расчет_аналитики'!L3827:L3828),0)</f>
        <v/>
      </c>
      <c r="M3829">
        <f>IF('01_Вводные'!$B$234="Да",SUM('19_Расчет_аналитики'!M3827:M3828),0)</f>
        <v/>
      </c>
      <c r="N3829">
        <f>IF('01_Вводные'!$B$234="Да",SUM('19_Расчет_аналитики'!N3827:N3828),0)</f>
        <v/>
      </c>
      <c r="O3829">
        <f>IF('01_Вводные'!$B$234="Да",SUM('19_Расчет_аналитики'!O3827:O3828),0)</f>
        <v/>
      </c>
      <c r="P3829">
        <f>IF('01_Вводные'!$B$234="Да",SUM('19_Расчет_аналитики'!P3827:P3828),0)</f>
        <v/>
      </c>
      <c r="Q3829">
        <f>IF('01_Вводные'!$B$234="Да",SUM('19_Расчет_аналитики'!Q3827:Q3828),0)</f>
        <v/>
      </c>
      <c r="R3829">
        <f>IF('01_Вводные'!$B$234="Да",SUM('19_Расчет_аналитики'!R3827:R3828),0)</f>
        <v/>
      </c>
      <c r="S3829">
        <f>IF('01_Вводные'!$B$234="Да",SUM('19_Расчет_аналитики'!S3827:S3828),0)</f>
        <v/>
      </c>
      <c r="T3829">
        <f>IF('01_Вводные'!$B$234="Да",SUM('19_Расчет_аналитики'!T3827:T3828),0)</f>
        <v/>
      </c>
      <c r="U3829">
        <f>IF('01_Вводные'!$B$234="Да",SUM('19_Расчет_аналитики'!U3827:U3828),0)</f>
        <v/>
      </c>
      <c r="V3829">
        <f>IF('01_Вводные'!$B$234="Да",SUM('19_Расчет_аналитики'!V3827:V3828),0)</f>
        <v/>
      </c>
      <c r="W3829">
        <f>IF('01_Вводные'!$B$234="Да",SUM('19_Расчет_аналитики'!W3827:W3828),0)</f>
        <v/>
      </c>
      <c r="X3829">
        <f>IF('01_Вводные'!$B$234="Да",SUM('19_Расчет_аналитики'!X3827:X3828),0)</f>
        <v/>
      </c>
      <c r="Y3829">
        <f>IF('01_Вводные'!$B$234="Да",SUM('19_Расчет_аналитики'!Y3827:Y3828),0)</f>
        <v/>
      </c>
      <c r="Z3829">
        <f>IF('01_Вводные'!$B$234="Да",SUM('19_Расчет_аналитики'!Z3827:Z3828),0)</f>
        <v/>
      </c>
      <c r="AA3829">
        <f>IF('01_Вводные'!$B$234="Да",SUM('19_Расчет_аналитики'!AA3827:AA3828),0)</f>
        <v/>
      </c>
      <c r="AB3829">
        <f>IF('01_Вводные'!$B$234="Да",SUM('19_Расчет_аналитики'!AB3827:AB3828),0)</f>
        <v/>
      </c>
      <c r="AC3829">
        <f>IF('01_Вводные'!$B$234="Да",SUM('19_Расчет_аналитики'!AC3827:AC3828),0)</f>
        <v/>
      </c>
      <c r="AD3829">
        <f>IF('01_Вводные'!$B$234="Да",SUM('19_Расчет_аналитики'!AD3827:AD3828),0)</f>
        <v/>
      </c>
      <c r="AE3829">
        <f>IF('01_Вводные'!$B$234="Да",SUM('19_Расчет_аналитики'!AE3827:AE3828),0)</f>
        <v/>
      </c>
      <c r="AF3829">
        <f>IF('01_Вводные'!$B$234="Да",SUM('19_Расчет_аналитики'!AF3827:AF3828),0)</f>
        <v/>
      </c>
      <c r="AG3829">
        <f>IF('01_Вводные'!$B$234="Да",SUM('19_Расчет_аналитики'!AG3827:AG3828),0)</f>
        <v/>
      </c>
      <c r="AH3829">
        <f>IF('01_Вводные'!$B$234="Да",SUM('19_Расчет_аналитики'!AH3827:AH3828),0)</f>
        <v/>
      </c>
      <c r="AI3829">
        <f>IF('01_Вводные'!$B$234="Да",SUM('19_Расчет_аналитики'!AI3827:AI3828),0)</f>
        <v/>
      </c>
      <c r="AJ3829">
        <f>IF('01_Вводные'!$B$234="Да",SUM('19_Расчет_аналитики'!AJ3827:AJ3828),0)</f>
        <v/>
      </c>
      <c r="AK3829">
        <f>IF('01_Вводные'!$B$234="Да",SUM('19_Расчет_аналитики'!AK3827:AK3828),0)</f>
        <v/>
      </c>
      <c r="AL3829">
        <f>IF('01_Вводные'!$B$234="Да",SUM('19_Расчет_аналитики'!AL3827:AL3828),0)</f>
        <v/>
      </c>
      <c r="AM3829">
        <f>IF('01_Вводные'!$B$234="Да",SUM('19_Расчет_аналитики'!AM3827:AM3828),0)</f>
        <v/>
      </c>
      <c r="AN3829">
        <f>IF('01_Вводные'!$B$234="Да",SUM('19_Расчет_аналитики'!AN3827:AN3828),0)</f>
        <v/>
      </c>
      <c r="AO3829">
        <f>IF('01_Вводные'!$B$234="Да",SUM('19_Расчет_аналитики'!AO3827:AO3828),0)</f>
        <v/>
      </c>
      <c r="AP3829">
        <f>IF('01_Вводные'!$B$234="Да",SUM('19_Расчет_аналитики'!AP3827:AP3828),0)</f>
        <v/>
      </c>
      <c r="AQ3829">
        <f>IF('01_Вводные'!$B$234="Да",SUM('19_Расчет_аналитики'!AQ3827:AQ3828),0)</f>
        <v/>
      </c>
      <c r="AR3829">
        <f>IF('01_Вводные'!$B$234="Да",SUM('19_Расчет_аналитики'!AR3827:AR3828),0)</f>
        <v/>
      </c>
      <c r="AS3829">
        <f>IF('01_Вводные'!$B$234="Да",SUM('19_Расчет_аналитики'!AS3827:AS3828),0)</f>
        <v/>
      </c>
      <c r="AT3829">
        <f>IF('01_Вводные'!$B$234="Да",SUM('19_Расчет_аналитики'!AT3827:AT3828),0)</f>
        <v/>
      </c>
      <c r="AU3829">
        <f>IF('01_Вводные'!$B$234="Да",SUM('19_Расчет_аналитики'!AU3827:AU3828),0)</f>
        <v/>
      </c>
      <c r="AV3829">
        <f>IF('01_Вводные'!$B$234="Да",SUM('19_Расчет_аналитики'!AV3827:AV3828),0)</f>
        <v/>
      </c>
      <c r="AW3829">
        <f>IF('01_Вводные'!$B$234="Да",SUM('19_Расчет_аналитики'!AW3827:AW3828),0)</f>
        <v/>
      </c>
      <c r="AX3829">
        <f>IF('01_Вводные'!$B$234="Да",SUM('19_Расчет_аналитики'!AX3827:AX3828),0)</f>
        <v/>
      </c>
      <c r="AY3829">
        <f>IF('01_Вводные'!$B$234="Да",SUM('19_Расчет_аналитики'!AY3827:AY3828),0)</f>
        <v/>
      </c>
      <c r="AZ3829">
        <f>IF('01_Вводные'!$B$234="Да",SUM('19_Расчет_аналитики'!AZ3827:AZ3828),0)</f>
        <v/>
      </c>
      <c r="BA3829">
        <f>IF('01_Вводные'!$B$234="Да",SUM('19_Расчет_аналитики'!BA3827:BA3828),0)</f>
        <v/>
      </c>
      <c r="BB3829">
        <f>IF('01_Вводные'!$B$234="Да",SUM('19_Расчет_аналитики'!BB3827:BB3828),0)</f>
        <v/>
      </c>
      <c r="BC3829">
        <f>IF('01_Вводные'!$B$234="Да",SUM('19_Расчет_аналитики'!BC3827:BC3828),0)</f>
        <v/>
      </c>
      <c r="BD3829">
        <f>IF('01_Вводные'!$B$234="Да",SUM('19_Расчет_аналитики'!BD3827:BD3828),0)</f>
        <v/>
      </c>
      <c r="BE3829">
        <f>IF('01_Вводные'!$B$234="Да",SUM('19_Расчет_аналитики'!BE3827:BE3828),0)</f>
        <v/>
      </c>
      <c r="BF3829">
        <f>IF('01_Вводные'!$B$234="Да",SUM('19_Расчет_аналитики'!BF3827:BF3828),0)</f>
        <v/>
      </c>
      <c r="BG3829">
        <f>IF('01_Вводные'!$B$234="Да",SUM('19_Расчет_аналитики'!BG3827:BG3828),0)</f>
        <v/>
      </c>
      <c r="BH3829">
        <f>IF('01_Вводные'!$B$234="Да",SUM('19_Расчет_аналитики'!BH3827:BH3828),0)</f>
        <v/>
      </c>
      <c r="BI3829">
        <f>IF('01_Вводные'!$B$234="Да",SUM('19_Расчет_аналитики'!BI3827:BI3828),0)</f>
        <v/>
      </c>
    </row>
    <row r="3830">
      <c r="B3830">
        <f>IF('01_Вводные'!$B$234="Да",SUM('19_Расчет_аналитики'!$B3829:B3829),0)</f>
        <v/>
      </c>
      <c r="C3830">
        <f>IF('01_Вводные'!$B$234="Да",SUM('19_Расчет_аналитики'!$B3829:C3829),0)</f>
        <v/>
      </c>
      <c r="D3830">
        <f>IF('01_Вводные'!$B$234="Да",SUM('19_Расчет_аналитики'!$B3829:D3829),0)</f>
        <v/>
      </c>
      <c r="E3830">
        <f>IF('01_Вводные'!$B$234="Да",SUM('19_Расчет_аналитики'!$B3829:E3829),0)</f>
        <v/>
      </c>
      <c r="F3830">
        <f>IF('01_Вводные'!$B$234="Да",SUM('19_Расчет_аналитики'!$B3829:F3829),0)</f>
        <v/>
      </c>
      <c r="G3830">
        <f>IF('01_Вводные'!$B$234="Да",SUM('19_Расчет_аналитики'!$B3829:G3829),0)</f>
        <v/>
      </c>
      <c r="H3830">
        <f>IF('01_Вводные'!$B$234="Да",SUM('19_Расчет_аналитики'!$B3829:H3829),0)</f>
        <v/>
      </c>
      <c r="I3830">
        <f>IF('01_Вводные'!$B$234="Да",SUM('19_Расчет_аналитики'!$B3829:I3829),0)</f>
        <v/>
      </c>
      <c r="J3830">
        <f>IF('01_Вводные'!$B$234="Да",SUM('19_Расчет_аналитики'!$B3829:J3829),0)</f>
        <v/>
      </c>
      <c r="K3830">
        <f>IF('01_Вводные'!$B$234="Да",SUM('19_Расчет_аналитики'!$B3829:K3829),0)</f>
        <v/>
      </c>
      <c r="L3830">
        <f>IF('01_Вводные'!$B$234="Да",SUM('19_Расчет_аналитики'!$B3829:L3829),0)</f>
        <v/>
      </c>
      <c r="M3830">
        <f>IF('01_Вводные'!$B$234="Да",SUM('19_Расчет_аналитики'!$B3829:M3829),0)</f>
        <v/>
      </c>
      <c r="N3830">
        <f>IF('01_Вводные'!$B$234="Да",SUM('19_Расчет_аналитики'!$B3829:N3829),0)</f>
        <v/>
      </c>
      <c r="O3830">
        <f>IF('01_Вводные'!$B$234="Да",SUM('19_Расчет_аналитики'!$B3829:O3829),0)</f>
        <v/>
      </c>
      <c r="P3830">
        <f>IF('01_Вводные'!$B$234="Да",SUM('19_Расчет_аналитики'!$B3829:P3829),0)</f>
        <v/>
      </c>
      <c r="Q3830">
        <f>IF('01_Вводные'!$B$234="Да",SUM('19_Расчет_аналитики'!$B3829:Q3829),0)</f>
        <v/>
      </c>
      <c r="R3830">
        <f>IF('01_Вводные'!$B$234="Да",SUM('19_Расчет_аналитики'!$B3829:R3829),0)</f>
        <v/>
      </c>
      <c r="S3830">
        <f>IF('01_Вводные'!$B$234="Да",SUM('19_Расчет_аналитики'!$B3829:S3829),0)</f>
        <v/>
      </c>
      <c r="T3830">
        <f>IF('01_Вводные'!$B$234="Да",SUM('19_Расчет_аналитики'!$B3829:T3829),0)</f>
        <v/>
      </c>
      <c r="U3830">
        <f>IF('01_Вводные'!$B$234="Да",SUM('19_Расчет_аналитики'!$B3829:U3829),0)</f>
        <v/>
      </c>
      <c r="V3830">
        <f>IF('01_Вводные'!$B$234="Да",SUM('19_Расчет_аналитики'!$B3829:V3829),0)</f>
        <v/>
      </c>
      <c r="W3830">
        <f>IF('01_Вводные'!$B$234="Да",SUM('19_Расчет_аналитики'!$B3829:W3829),0)</f>
        <v/>
      </c>
      <c r="X3830">
        <f>IF('01_Вводные'!$B$234="Да",SUM('19_Расчет_аналитики'!$B3829:X3829),0)</f>
        <v/>
      </c>
      <c r="Y3830">
        <f>IF('01_Вводные'!$B$234="Да",SUM('19_Расчет_аналитики'!$B3829:Y3829),0)</f>
        <v/>
      </c>
      <c r="Z3830">
        <f>IF('01_Вводные'!$B$234="Да",SUM('19_Расчет_аналитики'!$B3829:Z3829),0)</f>
        <v/>
      </c>
      <c r="AA3830">
        <f>IF('01_Вводные'!$B$234="Да",SUM('19_Расчет_аналитики'!$B3829:AA3829),0)</f>
        <v/>
      </c>
      <c r="AB3830">
        <f>IF('01_Вводные'!$B$234="Да",SUM('19_Расчет_аналитики'!$B3829:AB3829),0)</f>
        <v/>
      </c>
      <c r="AC3830">
        <f>IF('01_Вводные'!$B$234="Да",SUM('19_Расчет_аналитики'!$B3829:AC3829),0)</f>
        <v/>
      </c>
      <c r="AD3830">
        <f>IF('01_Вводные'!$B$234="Да",SUM('19_Расчет_аналитики'!$B3829:AD3829),0)</f>
        <v/>
      </c>
      <c r="AE3830">
        <f>IF('01_Вводные'!$B$234="Да",SUM('19_Расчет_аналитики'!$B3829:AE3829),0)</f>
        <v/>
      </c>
      <c r="AF3830">
        <f>IF('01_Вводные'!$B$234="Да",SUM('19_Расчет_аналитики'!$B3829:AF3829),0)</f>
        <v/>
      </c>
      <c r="AG3830">
        <f>IF('01_Вводные'!$B$234="Да",SUM('19_Расчет_аналитики'!$B3829:AG3829),0)</f>
        <v/>
      </c>
      <c r="AH3830">
        <f>IF('01_Вводные'!$B$234="Да",SUM('19_Расчет_аналитики'!$B3829:AH3829),0)</f>
        <v/>
      </c>
      <c r="AI3830">
        <f>IF('01_Вводные'!$B$234="Да",SUM('19_Расчет_аналитики'!$B3829:AI3829),0)</f>
        <v/>
      </c>
      <c r="AJ3830">
        <f>IF('01_Вводные'!$B$234="Да",SUM('19_Расчет_аналитики'!$B3829:AJ3829),0)</f>
        <v/>
      </c>
      <c r="AK3830">
        <f>IF('01_Вводные'!$B$234="Да",SUM('19_Расчет_аналитики'!$B3829:AK3829),0)</f>
        <v/>
      </c>
      <c r="AL3830">
        <f>IF('01_Вводные'!$B$234="Да",SUM('19_Расчет_аналитики'!$B3829:AL3829),0)</f>
        <v/>
      </c>
      <c r="AM3830">
        <f>IF('01_Вводные'!$B$234="Да",SUM('19_Расчет_аналитики'!$B3829:AM3829),0)</f>
        <v/>
      </c>
      <c r="AN3830">
        <f>IF('01_Вводные'!$B$234="Да",SUM('19_Расчет_аналитики'!$B3829:AN3829),0)</f>
        <v/>
      </c>
      <c r="AO3830">
        <f>IF('01_Вводные'!$B$234="Да",SUM('19_Расчет_аналитики'!$B3829:AO3829),0)</f>
        <v/>
      </c>
      <c r="AP3830">
        <f>IF('01_Вводные'!$B$234="Да",SUM('19_Расчет_аналитики'!$B3829:AP3829),0)</f>
        <v/>
      </c>
      <c r="AQ3830">
        <f>IF('01_Вводные'!$B$234="Да",SUM('19_Расчет_аналитики'!$B3829:AQ3829),0)</f>
        <v/>
      </c>
      <c r="AR3830">
        <f>IF('01_Вводные'!$B$234="Да",SUM('19_Расчет_аналитики'!$B3829:AR3829),0)</f>
        <v/>
      </c>
      <c r="AS3830">
        <f>IF('01_Вводные'!$B$234="Да",SUM('19_Расчет_аналитики'!$B3829:AS3829),0)</f>
        <v/>
      </c>
      <c r="AT3830">
        <f>IF('01_Вводные'!$B$234="Да",SUM('19_Расчет_аналитики'!$B3829:AT3829),0)</f>
        <v/>
      </c>
      <c r="AU3830">
        <f>IF('01_Вводные'!$B$234="Да",SUM('19_Расчет_аналитики'!$B3829:AU3829),0)</f>
        <v/>
      </c>
      <c r="AV3830">
        <f>IF('01_Вводные'!$B$234="Да",SUM('19_Расчет_аналитики'!$B3829:AV3829),0)</f>
        <v/>
      </c>
      <c r="AW3830">
        <f>IF('01_Вводные'!$B$234="Да",SUM('19_Расчет_аналитики'!$B3829:AW3829),0)</f>
        <v/>
      </c>
      <c r="AX3830">
        <f>IF('01_Вводные'!$B$234="Да",SUM('19_Расчет_аналитики'!$B3829:AX3829),0)</f>
        <v/>
      </c>
      <c r="AY3830">
        <f>IF('01_Вводные'!$B$234="Да",SUM('19_Расчет_аналитики'!$B3829:AY3829),0)</f>
        <v/>
      </c>
      <c r="AZ3830">
        <f>IF('01_Вводные'!$B$234="Да",SUM('19_Расчет_аналитики'!$B3829:AZ3829),0)</f>
        <v/>
      </c>
      <c r="BA3830">
        <f>IF('01_Вводные'!$B$234="Да",SUM('19_Расчет_аналитики'!$B3829:BA3829),0)</f>
        <v/>
      </c>
      <c r="BB3830">
        <f>IF('01_Вводные'!$B$234="Да",SUM('19_Расчет_аналитики'!$B3829:BB3829),0)</f>
        <v/>
      </c>
      <c r="BC3830">
        <f>IF('01_Вводные'!$B$234="Да",SUM('19_Расчет_аналитики'!$B3829:BC3829),0)</f>
        <v/>
      </c>
      <c r="BD3830">
        <f>IF('01_Вводные'!$B$234="Да",SUM('19_Расчет_аналитики'!$B3829:BD3829),0)</f>
        <v/>
      </c>
      <c r="BE3830">
        <f>IF('01_Вводные'!$B$234="Да",SUM('19_Расчет_аналитики'!$B3829:BE3829),0)</f>
        <v/>
      </c>
      <c r="BF3830">
        <f>IF('01_Вводные'!$B$234="Да",SUM('19_Расчет_аналитики'!$B3829:BF3829),0)</f>
        <v/>
      </c>
      <c r="BG3830">
        <f>IF('01_Вводные'!$B$234="Да",SUM('19_Расчет_аналитики'!$B3829:BG3829),0)</f>
        <v/>
      </c>
      <c r="BH3830">
        <f>IF('01_Вводные'!$B$234="Да",SUM('19_Расчет_аналитики'!$B3829:BH3829),0)</f>
        <v/>
      </c>
      <c r="BI3830">
        <f>IF('01_Вводные'!$B$234="Да",SUM('19_Расчет_аналитики'!$B3829:BI3829),0)</f>
        <v/>
      </c>
    </row>
    <row r="3831"/>
    <row r="3832"/>
    <row r="3833"/>
    <row r="3834"/>
    <row r="3835"/>
    <row r="3836"/>
    <row r="3837"/>
    <row r="3838"/>
    <row r="3839"/>
    <row r="3840"/>
    <row r="3841">
      <c r="B3841">
        <f>IF('01_Вводные'!$B$234="Да",INDEX('19_Расчет_аналитики'!$C$3111:$C$3115,MIN(5,INT(0/12)+1),1)*'18_Календарь_тарифы'!B4,0)</f>
        <v/>
      </c>
      <c r="C3841">
        <f>IF('01_Вводные'!$B$234="Да",INDEX('19_Расчет_аналитики'!$C$3111:$C$3115,MIN(5,INT(1/12)+1),1)*'18_Календарь_тарифы'!C4,0)</f>
        <v/>
      </c>
      <c r="D3841">
        <f>IF('01_Вводные'!$B$234="Да",INDEX('19_Расчет_аналитики'!$C$3111:$C$3115,MIN(5,INT(2/12)+1),1)*'18_Календарь_тарифы'!D4,0)</f>
        <v/>
      </c>
      <c r="E3841">
        <f>IF('01_Вводные'!$B$234="Да",INDEX('19_Расчет_аналитики'!$C$3111:$C$3115,MIN(5,INT(3/12)+1),1)*'18_Календарь_тарифы'!E4,0)</f>
        <v/>
      </c>
      <c r="F3841">
        <f>IF('01_Вводные'!$B$234="Да",INDEX('19_Расчет_аналитики'!$C$3111:$C$3115,MIN(5,INT(4/12)+1),1)*'18_Календарь_тарифы'!F4,0)</f>
        <v/>
      </c>
      <c r="G3841">
        <f>IF('01_Вводные'!$B$234="Да",INDEX('19_Расчет_аналитики'!$C$3111:$C$3115,MIN(5,INT(5/12)+1),1)*'18_Календарь_тарифы'!G4,0)</f>
        <v/>
      </c>
      <c r="H3841">
        <f>IF('01_Вводные'!$B$234="Да",INDEX('19_Расчет_аналитики'!$C$3111:$C$3115,MIN(5,INT(6/12)+1),1)*'18_Календарь_тарифы'!H4,0)</f>
        <v/>
      </c>
      <c r="I3841">
        <f>IF('01_Вводные'!$B$234="Да",INDEX('19_Расчет_аналитики'!$C$3111:$C$3115,MIN(5,INT(7/12)+1),1)*'18_Календарь_тарифы'!I4,0)</f>
        <v/>
      </c>
      <c r="J3841">
        <f>IF('01_Вводные'!$B$234="Да",INDEX('19_Расчет_аналитики'!$C$3111:$C$3115,MIN(5,INT(8/12)+1),1)*'18_Календарь_тарифы'!J4,0)</f>
        <v/>
      </c>
      <c r="K3841">
        <f>IF('01_Вводные'!$B$234="Да",INDEX('19_Расчет_аналитики'!$C$3111:$C$3115,MIN(5,INT(9/12)+1),1)*'18_Календарь_тарифы'!K4,0)</f>
        <v/>
      </c>
      <c r="L3841">
        <f>IF('01_Вводные'!$B$234="Да",INDEX('19_Расчет_аналитики'!$C$3111:$C$3115,MIN(5,INT(10/12)+1),1)*'18_Календарь_тарифы'!L4,0)</f>
        <v/>
      </c>
      <c r="M3841">
        <f>IF('01_Вводные'!$B$234="Да",INDEX('19_Расчет_аналитики'!$C$3111:$C$3115,MIN(5,INT(11/12)+1),1)*'18_Календарь_тарифы'!M4,0)</f>
        <v/>
      </c>
      <c r="N3841">
        <f>IF('01_Вводные'!$B$234="Да",INDEX('19_Расчет_аналитики'!$C$3111:$C$3115,MIN(5,INT(12/12)+1),1)*'18_Календарь_тарифы'!N4,0)</f>
        <v/>
      </c>
      <c r="O3841">
        <f>IF('01_Вводные'!$B$234="Да",INDEX('19_Расчет_аналитики'!$C$3111:$C$3115,MIN(5,INT(13/12)+1),1)*'18_Календарь_тарифы'!O4,0)</f>
        <v/>
      </c>
      <c r="P3841">
        <f>IF('01_Вводные'!$B$234="Да",INDEX('19_Расчет_аналитики'!$C$3111:$C$3115,MIN(5,INT(14/12)+1),1)*'18_Календарь_тарифы'!P4,0)</f>
        <v/>
      </c>
      <c r="Q3841">
        <f>IF('01_Вводные'!$B$234="Да",INDEX('19_Расчет_аналитики'!$C$3111:$C$3115,MIN(5,INT(15/12)+1),1)*'18_Календарь_тарифы'!Q4,0)</f>
        <v/>
      </c>
      <c r="R3841">
        <f>IF('01_Вводные'!$B$234="Да",INDEX('19_Расчет_аналитики'!$C$3111:$C$3115,MIN(5,INT(16/12)+1),1)*'18_Календарь_тарифы'!R4,0)</f>
        <v/>
      </c>
      <c r="S3841">
        <f>IF('01_Вводные'!$B$234="Да",INDEX('19_Расчет_аналитики'!$C$3111:$C$3115,MIN(5,INT(17/12)+1),1)*'18_Календарь_тарифы'!S4,0)</f>
        <v/>
      </c>
      <c r="T3841">
        <f>IF('01_Вводные'!$B$234="Да",INDEX('19_Расчет_аналитики'!$C$3111:$C$3115,MIN(5,INT(18/12)+1),1)*'18_Календарь_тарифы'!T4,0)</f>
        <v/>
      </c>
      <c r="U3841">
        <f>IF('01_Вводные'!$B$234="Да",INDEX('19_Расчет_аналитики'!$C$3111:$C$3115,MIN(5,INT(19/12)+1),1)*'18_Календарь_тарифы'!U4,0)</f>
        <v/>
      </c>
      <c r="V3841">
        <f>IF('01_Вводные'!$B$234="Да",INDEX('19_Расчет_аналитики'!$C$3111:$C$3115,MIN(5,INT(20/12)+1),1)*'18_Календарь_тарифы'!V4,0)</f>
        <v/>
      </c>
      <c r="W3841">
        <f>IF('01_Вводные'!$B$234="Да",INDEX('19_Расчет_аналитики'!$C$3111:$C$3115,MIN(5,INT(21/12)+1),1)*'18_Календарь_тарифы'!W4,0)</f>
        <v/>
      </c>
      <c r="X3841">
        <f>IF('01_Вводные'!$B$234="Да",INDEX('19_Расчет_аналитики'!$C$3111:$C$3115,MIN(5,INT(22/12)+1),1)*'18_Календарь_тарифы'!X4,0)</f>
        <v/>
      </c>
      <c r="Y3841">
        <f>IF('01_Вводные'!$B$234="Да",INDEX('19_Расчет_аналитики'!$C$3111:$C$3115,MIN(5,INT(23/12)+1),1)*'18_Календарь_тарифы'!Y4,0)</f>
        <v/>
      </c>
      <c r="Z3841">
        <f>IF('01_Вводные'!$B$234="Да",INDEX('19_Расчет_аналитики'!$C$3111:$C$3115,MIN(5,INT(24/12)+1),1)*'18_Календарь_тарифы'!Z4,0)</f>
        <v/>
      </c>
      <c r="AA3841">
        <f>IF('01_Вводные'!$B$234="Да",INDEX('19_Расчет_аналитики'!$C$3111:$C$3115,MIN(5,INT(25/12)+1),1)*'18_Календарь_тарифы'!AA4,0)</f>
        <v/>
      </c>
      <c r="AB3841">
        <f>IF('01_Вводные'!$B$234="Да",INDEX('19_Расчет_аналитики'!$C$3111:$C$3115,MIN(5,INT(26/12)+1),1)*'18_Календарь_тарифы'!AB4,0)</f>
        <v/>
      </c>
      <c r="AC3841">
        <f>IF('01_Вводные'!$B$234="Да",INDEX('19_Расчет_аналитики'!$C$3111:$C$3115,MIN(5,INT(27/12)+1),1)*'18_Календарь_тарифы'!AC4,0)</f>
        <v/>
      </c>
      <c r="AD3841">
        <f>IF('01_Вводные'!$B$234="Да",INDEX('19_Расчет_аналитики'!$C$3111:$C$3115,MIN(5,INT(28/12)+1),1)*'18_Календарь_тарифы'!AD4,0)</f>
        <v/>
      </c>
      <c r="AE3841">
        <f>IF('01_Вводные'!$B$234="Да",INDEX('19_Расчет_аналитики'!$C$3111:$C$3115,MIN(5,INT(29/12)+1),1)*'18_Календарь_тарифы'!AE4,0)</f>
        <v/>
      </c>
      <c r="AF3841">
        <f>IF('01_Вводные'!$B$234="Да",INDEX('19_Расчет_аналитики'!$C$3111:$C$3115,MIN(5,INT(30/12)+1),1)*'18_Календарь_тарифы'!AF4,0)</f>
        <v/>
      </c>
      <c r="AG3841">
        <f>IF('01_Вводные'!$B$234="Да",INDEX('19_Расчет_аналитики'!$C$3111:$C$3115,MIN(5,INT(31/12)+1),1)*'18_Календарь_тарифы'!AG4,0)</f>
        <v/>
      </c>
      <c r="AH3841">
        <f>IF('01_Вводные'!$B$234="Да",INDEX('19_Расчет_аналитики'!$C$3111:$C$3115,MIN(5,INT(32/12)+1),1)*'18_Календарь_тарифы'!AH4,0)</f>
        <v/>
      </c>
      <c r="AI3841">
        <f>IF('01_Вводные'!$B$234="Да",INDEX('19_Расчет_аналитики'!$C$3111:$C$3115,MIN(5,INT(33/12)+1),1)*'18_Календарь_тарифы'!AI4,0)</f>
        <v/>
      </c>
      <c r="AJ3841">
        <f>IF('01_Вводные'!$B$234="Да",INDEX('19_Расчет_аналитики'!$C$3111:$C$3115,MIN(5,INT(34/12)+1),1)*'18_Календарь_тарифы'!AJ4,0)</f>
        <v/>
      </c>
      <c r="AK3841">
        <f>IF('01_Вводные'!$B$234="Да",INDEX('19_Расчет_аналитики'!$C$3111:$C$3115,MIN(5,INT(35/12)+1),1)*'18_Календарь_тарифы'!AK4,0)</f>
        <v/>
      </c>
      <c r="AL3841">
        <f>IF('01_Вводные'!$B$234="Да",INDEX('19_Расчет_аналитики'!$C$3111:$C$3115,MIN(5,INT(36/12)+1),1)*'18_Календарь_тарифы'!AL4,0)</f>
        <v/>
      </c>
      <c r="AM3841">
        <f>IF('01_Вводные'!$B$234="Да",INDEX('19_Расчет_аналитики'!$C$3111:$C$3115,MIN(5,INT(37/12)+1),1)*'18_Календарь_тарифы'!AM4,0)</f>
        <v/>
      </c>
      <c r="AN3841">
        <f>IF('01_Вводные'!$B$234="Да",INDEX('19_Расчет_аналитики'!$C$3111:$C$3115,MIN(5,INT(38/12)+1),1)*'18_Календарь_тарифы'!AN4,0)</f>
        <v/>
      </c>
      <c r="AO3841">
        <f>IF('01_Вводные'!$B$234="Да",INDEX('19_Расчет_аналитики'!$C$3111:$C$3115,MIN(5,INT(39/12)+1),1)*'18_Календарь_тарифы'!AO4,0)</f>
        <v/>
      </c>
      <c r="AP3841">
        <f>IF('01_Вводные'!$B$234="Да",INDEX('19_Расчет_аналитики'!$C$3111:$C$3115,MIN(5,INT(40/12)+1),1)*'18_Календарь_тарифы'!AP4,0)</f>
        <v/>
      </c>
      <c r="AQ3841">
        <f>IF('01_Вводные'!$B$234="Да",INDEX('19_Расчет_аналитики'!$C$3111:$C$3115,MIN(5,INT(41/12)+1),1)*'18_Календарь_тарифы'!AQ4,0)</f>
        <v/>
      </c>
      <c r="AR3841">
        <f>IF('01_Вводные'!$B$234="Да",INDEX('19_Расчет_аналитики'!$C$3111:$C$3115,MIN(5,INT(42/12)+1),1)*'18_Календарь_тарифы'!AR4,0)</f>
        <v/>
      </c>
      <c r="AS3841">
        <f>IF('01_Вводные'!$B$234="Да",INDEX('19_Расчет_аналитики'!$C$3111:$C$3115,MIN(5,INT(43/12)+1),1)*'18_Календарь_тарифы'!AS4,0)</f>
        <v/>
      </c>
      <c r="AT3841">
        <f>IF('01_Вводные'!$B$234="Да",INDEX('19_Расчет_аналитики'!$C$3111:$C$3115,MIN(5,INT(44/12)+1),1)*'18_Календарь_тарифы'!AT4,0)</f>
        <v/>
      </c>
      <c r="AU3841">
        <f>IF('01_Вводные'!$B$234="Да",INDEX('19_Расчет_аналитики'!$C$3111:$C$3115,MIN(5,INT(45/12)+1),1)*'18_Календарь_тарифы'!AU4,0)</f>
        <v/>
      </c>
      <c r="AV3841">
        <f>IF('01_Вводные'!$B$234="Да",INDEX('19_Расчет_аналитики'!$C$3111:$C$3115,MIN(5,INT(46/12)+1),1)*'18_Календарь_тарифы'!AV4,0)</f>
        <v/>
      </c>
      <c r="AW3841">
        <f>IF('01_Вводные'!$B$234="Да",INDEX('19_Расчет_аналитики'!$C$3111:$C$3115,MIN(5,INT(47/12)+1),1)*'18_Календарь_тарифы'!AW4,0)</f>
        <v/>
      </c>
      <c r="AX3841">
        <f>IF('01_Вводные'!$B$234="Да",INDEX('19_Расчет_аналитики'!$C$3111:$C$3115,MIN(5,INT(48/12)+1),1)*'18_Календарь_тарифы'!AX4,0)</f>
        <v/>
      </c>
      <c r="AY3841">
        <f>IF('01_Вводные'!$B$234="Да",INDEX('19_Расчет_аналитики'!$C$3111:$C$3115,MIN(5,INT(49/12)+1),1)*'18_Календарь_тарифы'!AY4,0)</f>
        <v/>
      </c>
      <c r="AZ3841">
        <f>IF('01_Вводные'!$B$234="Да",INDEX('19_Расчет_аналитики'!$C$3111:$C$3115,MIN(5,INT(50/12)+1),1)*'18_Календарь_тарифы'!AZ4,0)</f>
        <v/>
      </c>
      <c r="BA3841">
        <f>IF('01_Вводные'!$B$234="Да",INDEX('19_Расчет_аналитики'!$C$3111:$C$3115,MIN(5,INT(51/12)+1),1)*'18_Календарь_тарифы'!BA4,0)</f>
        <v/>
      </c>
      <c r="BB3841">
        <f>IF('01_Вводные'!$B$234="Да",INDEX('19_Расчет_аналитики'!$C$3111:$C$3115,MIN(5,INT(52/12)+1),1)*'18_Календарь_тарифы'!BB4,0)</f>
        <v/>
      </c>
      <c r="BC3841">
        <f>IF('01_Вводные'!$B$234="Да",INDEX('19_Расчет_аналитики'!$C$3111:$C$3115,MIN(5,INT(53/12)+1),1)*'18_Календарь_тарифы'!BC4,0)</f>
        <v/>
      </c>
      <c r="BD3841">
        <f>IF('01_Вводные'!$B$234="Да",INDEX('19_Расчет_аналитики'!$C$3111:$C$3115,MIN(5,INT(54/12)+1),1)*'18_Календарь_тарифы'!BD4,0)</f>
        <v/>
      </c>
      <c r="BE3841">
        <f>IF('01_Вводные'!$B$234="Да",INDEX('19_Расчет_аналитики'!$C$3111:$C$3115,MIN(5,INT(55/12)+1),1)*'18_Календарь_тарифы'!BE4,0)</f>
        <v/>
      </c>
      <c r="BF3841">
        <f>IF('01_Вводные'!$B$234="Да",INDEX('19_Расчет_аналитики'!$C$3111:$C$3115,MIN(5,INT(56/12)+1),1)*'18_Календарь_тарифы'!BF4,0)</f>
        <v/>
      </c>
      <c r="BG3841">
        <f>IF('01_Вводные'!$B$234="Да",INDEX('19_Расчет_аналитики'!$C$3111:$C$3115,MIN(5,INT(57/12)+1),1)*'18_Календарь_тарифы'!BG4,0)</f>
        <v/>
      </c>
      <c r="BH3841">
        <f>IF('01_Вводные'!$B$234="Да",INDEX('19_Расчет_аналитики'!$C$3111:$C$3115,MIN(5,INT(58/12)+1),1)*'18_Календарь_тарифы'!BH4,0)</f>
        <v/>
      </c>
      <c r="BI3841">
        <f>IF('01_Вводные'!$B$234="Да",INDEX('19_Расчет_аналитики'!$C$3111:$C$3115,MIN(5,INT(59/12)+1),1)*'18_Календарь_тарифы'!BI4,0)</f>
        <v/>
      </c>
      <c r="BJ3841">
        <f>IF('01_Вводные'!$B$234="Да",INDEX('19_Расчет_аналитики'!$C$3111:$C$3115,MIN(5,INT(60/12)+1),1)*'18_Календарь_тарифы'!BJ4,0)</f>
        <v/>
      </c>
      <c r="BK3841">
        <f>IF('01_Вводные'!$B$234="Да",INDEX('19_Расчет_аналитики'!$C$3111:$C$3115,MIN(5,INT(61/12)+1),1)*'18_Календарь_тарифы'!BK4,0)</f>
        <v/>
      </c>
      <c r="BL3841">
        <f>IF('01_Вводные'!$B$234="Да",INDEX('19_Расчет_аналитики'!$C$3111:$C$3115,MIN(5,INT(62/12)+1),1)*'18_Календарь_тарифы'!BL4,0)</f>
        <v/>
      </c>
      <c r="BM3841">
        <f>IF('01_Вводные'!$B$234="Да",INDEX('19_Расчет_аналитики'!$C$3111:$C$3115,MIN(5,INT(63/12)+1),1)*'18_Календарь_тарифы'!BM4,0)</f>
        <v/>
      </c>
      <c r="BN3841">
        <f>IF('01_Вводные'!$B$234="Да",INDEX('19_Расчет_аналитики'!$C$3111:$C$3115,MIN(5,INT(64/12)+1),1)*'18_Календарь_тарифы'!BN4,0)</f>
        <v/>
      </c>
      <c r="BO3841">
        <f>IF('01_Вводные'!$B$234="Да",INDEX('19_Расчет_аналитики'!$C$3111:$C$3115,MIN(5,INT(65/12)+1),1)*'18_Календарь_тарифы'!BO4,0)</f>
        <v/>
      </c>
    </row>
    <row r="3842">
      <c r="B3842">
        <f>IF('01_Вводные'!$B$234="Да",'19_Расчет_аналитики'!$B$3099*'18_Календарь_тарифы'!B4,0)</f>
        <v/>
      </c>
      <c r="C3842">
        <f>IF('01_Вводные'!$B$234="Да",'19_Расчет_аналитики'!$B$3099*'18_Календарь_тарифы'!C4,0)</f>
        <v/>
      </c>
      <c r="D3842">
        <f>IF('01_Вводные'!$B$234="Да",'19_Расчет_аналитики'!$B$3099*'18_Календарь_тарифы'!D4,0)</f>
        <v/>
      </c>
      <c r="E3842">
        <f>IF('01_Вводные'!$B$234="Да",'19_Расчет_аналитики'!$B$3099*'18_Календарь_тарифы'!E4,0)</f>
        <v/>
      </c>
      <c r="F3842">
        <f>IF('01_Вводные'!$B$234="Да",'19_Расчет_аналитики'!$B$3099*'18_Календарь_тарифы'!F4,0)</f>
        <v/>
      </c>
      <c r="G3842">
        <f>IF('01_Вводные'!$B$234="Да",'19_Расчет_аналитики'!$B$3099*'18_Календарь_тарифы'!G4,0)</f>
        <v/>
      </c>
      <c r="H3842">
        <f>IF('01_Вводные'!$B$234="Да",'19_Расчет_аналитики'!$B$3099*'18_Календарь_тарифы'!H4,0)</f>
        <v/>
      </c>
      <c r="I3842">
        <f>IF('01_Вводные'!$B$234="Да",'19_Расчет_аналитики'!$B$3099*'18_Календарь_тарифы'!I4,0)</f>
        <v/>
      </c>
      <c r="J3842">
        <f>IF('01_Вводные'!$B$234="Да",'19_Расчет_аналитики'!$B$3099*'18_Календарь_тарифы'!J4,0)</f>
        <v/>
      </c>
      <c r="K3842">
        <f>IF('01_Вводные'!$B$234="Да",'19_Расчет_аналитики'!$B$3099*'18_Календарь_тарифы'!K4,0)</f>
        <v/>
      </c>
      <c r="L3842">
        <f>IF('01_Вводные'!$B$234="Да",'19_Расчет_аналитики'!$B$3099*'18_Календарь_тарифы'!L4,0)</f>
        <v/>
      </c>
      <c r="M3842">
        <f>IF('01_Вводные'!$B$234="Да",'19_Расчет_аналитики'!$B$3099*'18_Календарь_тарифы'!M4,0)</f>
        <v/>
      </c>
      <c r="N3842">
        <f>IF('01_Вводные'!$B$234="Да",'19_Расчет_аналитики'!$B$3099*'18_Календарь_тарифы'!N4,0)</f>
        <v/>
      </c>
      <c r="O3842">
        <f>IF('01_Вводные'!$B$234="Да",'19_Расчет_аналитики'!$B$3099*'18_Календарь_тарифы'!O4,0)</f>
        <v/>
      </c>
      <c r="P3842">
        <f>IF('01_Вводные'!$B$234="Да",'19_Расчет_аналитики'!$B$3099*'18_Календарь_тарифы'!P4,0)</f>
        <v/>
      </c>
      <c r="Q3842">
        <f>IF('01_Вводные'!$B$234="Да",'19_Расчет_аналитики'!$B$3099*'18_Календарь_тарифы'!Q4,0)</f>
        <v/>
      </c>
      <c r="R3842">
        <f>IF('01_Вводные'!$B$234="Да",'19_Расчет_аналитики'!$B$3099*'18_Календарь_тарифы'!R4,0)</f>
        <v/>
      </c>
      <c r="S3842">
        <f>IF('01_Вводные'!$B$234="Да",'19_Расчет_аналитики'!$B$3099*'18_Календарь_тарифы'!S4,0)</f>
        <v/>
      </c>
      <c r="T3842">
        <f>IF('01_Вводные'!$B$234="Да",'19_Расчет_аналитики'!$B$3099*'18_Календарь_тарифы'!T4,0)</f>
        <v/>
      </c>
      <c r="U3842">
        <f>IF('01_Вводные'!$B$234="Да",'19_Расчет_аналитики'!$B$3099*'18_Календарь_тарифы'!U4,0)</f>
        <v/>
      </c>
      <c r="V3842">
        <f>IF('01_Вводные'!$B$234="Да",'19_Расчет_аналитики'!$B$3099*'18_Календарь_тарифы'!V4,0)</f>
        <v/>
      </c>
      <c r="W3842">
        <f>IF('01_Вводные'!$B$234="Да",'19_Расчет_аналитики'!$B$3099*'18_Календарь_тарифы'!W4,0)</f>
        <v/>
      </c>
      <c r="X3842">
        <f>IF('01_Вводные'!$B$234="Да",'19_Расчет_аналитики'!$B$3099*'18_Календарь_тарифы'!X4,0)</f>
        <v/>
      </c>
      <c r="Y3842">
        <f>IF('01_Вводные'!$B$234="Да",'19_Расчет_аналитики'!$B$3099*'18_Календарь_тарифы'!Y4,0)</f>
        <v/>
      </c>
      <c r="Z3842">
        <f>IF('01_Вводные'!$B$234="Да",'19_Расчет_аналитики'!$B$3099*'18_Календарь_тарифы'!Z4,0)</f>
        <v/>
      </c>
      <c r="AA3842">
        <f>IF('01_Вводные'!$B$234="Да",'19_Расчет_аналитики'!$B$3099*'18_Календарь_тарифы'!AA4,0)</f>
        <v/>
      </c>
      <c r="AB3842">
        <f>IF('01_Вводные'!$B$234="Да",'19_Расчет_аналитики'!$B$3099*'18_Календарь_тарифы'!AB4,0)</f>
        <v/>
      </c>
      <c r="AC3842">
        <f>IF('01_Вводные'!$B$234="Да",'19_Расчет_аналитики'!$B$3099*'18_Календарь_тарифы'!AC4,0)</f>
        <v/>
      </c>
      <c r="AD3842">
        <f>IF('01_Вводные'!$B$234="Да",'19_Расчет_аналитики'!$B$3099*'18_Календарь_тарифы'!AD4,0)</f>
        <v/>
      </c>
      <c r="AE3842">
        <f>IF('01_Вводные'!$B$234="Да",'19_Расчет_аналитики'!$B$3099*'18_Календарь_тарифы'!AE4,0)</f>
        <v/>
      </c>
      <c r="AF3842">
        <f>IF('01_Вводные'!$B$234="Да",'19_Расчет_аналитики'!$B$3099*'18_Календарь_тарифы'!AF4,0)</f>
        <v/>
      </c>
      <c r="AG3842">
        <f>IF('01_Вводные'!$B$234="Да",'19_Расчет_аналитики'!$B$3099*'18_Календарь_тарифы'!AG4,0)</f>
        <v/>
      </c>
      <c r="AH3842">
        <f>IF('01_Вводные'!$B$234="Да",'19_Расчет_аналитики'!$B$3099*'18_Календарь_тарифы'!AH4,0)</f>
        <v/>
      </c>
      <c r="AI3842">
        <f>IF('01_Вводные'!$B$234="Да",'19_Расчет_аналитики'!$B$3099*'18_Календарь_тарифы'!AI4,0)</f>
        <v/>
      </c>
      <c r="AJ3842">
        <f>IF('01_Вводные'!$B$234="Да",'19_Расчет_аналитики'!$B$3099*'18_Календарь_тарифы'!AJ4,0)</f>
        <v/>
      </c>
      <c r="AK3842">
        <f>IF('01_Вводные'!$B$234="Да",'19_Расчет_аналитики'!$B$3099*'18_Календарь_тарифы'!AK4,0)</f>
        <v/>
      </c>
      <c r="AL3842">
        <f>IF('01_Вводные'!$B$234="Да",'19_Расчет_аналитики'!$B$3099*'18_Календарь_тарифы'!AL4,0)</f>
        <v/>
      </c>
      <c r="AM3842">
        <f>IF('01_Вводные'!$B$234="Да",'19_Расчет_аналитики'!$B$3099*'18_Календарь_тарифы'!AM4,0)</f>
        <v/>
      </c>
      <c r="AN3842">
        <f>IF('01_Вводные'!$B$234="Да",'19_Расчет_аналитики'!$B$3099*'18_Календарь_тарифы'!AN4,0)</f>
        <v/>
      </c>
      <c r="AO3842">
        <f>IF('01_Вводные'!$B$234="Да",'19_Расчет_аналитики'!$B$3099*'18_Календарь_тарифы'!AO4,0)</f>
        <v/>
      </c>
      <c r="AP3842">
        <f>IF('01_Вводные'!$B$234="Да",'19_Расчет_аналитики'!$B$3099*'18_Календарь_тарифы'!AP4,0)</f>
        <v/>
      </c>
      <c r="AQ3842">
        <f>IF('01_Вводные'!$B$234="Да",'19_Расчет_аналитики'!$B$3099*'18_Календарь_тарифы'!AQ4,0)</f>
        <v/>
      </c>
      <c r="AR3842">
        <f>IF('01_Вводные'!$B$234="Да",'19_Расчет_аналитики'!$B$3099*'18_Календарь_тарифы'!AR4,0)</f>
        <v/>
      </c>
      <c r="AS3842">
        <f>IF('01_Вводные'!$B$234="Да",'19_Расчет_аналитики'!$B$3099*'18_Календарь_тарифы'!AS4,0)</f>
        <v/>
      </c>
      <c r="AT3842">
        <f>IF('01_Вводные'!$B$234="Да",'19_Расчет_аналитики'!$B$3099*'18_Календарь_тарифы'!AT4,0)</f>
        <v/>
      </c>
      <c r="AU3842">
        <f>IF('01_Вводные'!$B$234="Да",'19_Расчет_аналитики'!$B$3099*'18_Календарь_тарифы'!AU4,0)</f>
        <v/>
      </c>
      <c r="AV3842">
        <f>IF('01_Вводные'!$B$234="Да",'19_Расчет_аналитики'!$B$3099*'18_Календарь_тарифы'!AV4,0)</f>
        <v/>
      </c>
      <c r="AW3842">
        <f>IF('01_Вводные'!$B$234="Да",'19_Расчет_аналитики'!$B$3099*'18_Календарь_тарифы'!AW4,0)</f>
        <v/>
      </c>
      <c r="AX3842">
        <f>IF('01_Вводные'!$B$234="Да",'19_Расчет_аналитики'!$B$3099*'18_Календарь_тарифы'!AX4,0)</f>
        <v/>
      </c>
      <c r="AY3842">
        <f>IF('01_Вводные'!$B$234="Да",'19_Расчет_аналитики'!$B$3099*'18_Календарь_тарифы'!AY4,0)</f>
        <v/>
      </c>
      <c r="AZ3842">
        <f>IF('01_Вводные'!$B$234="Да",'19_Расчет_аналитики'!$B$3099*'18_Календарь_тарифы'!AZ4,0)</f>
        <v/>
      </c>
      <c r="BA3842">
        <f>IF('01_Вводные'!$B$234="Да",'19_Расчет_аналитики'!$B$3099*'18_Календарь_тарифы'!BA4,0)</f>
        <v/>
      </c>
      <c r="BB3842">
        <f>IF('01_Вводные'!$B$234="Да",'19_Расчет_аналитики'!$B$3099*'18_Календарь_тарифы'!BB4,0)</f>
        <v/>
      </c>
      <c r="BC3842">
        <f>IF('01_Вводные'!$B$234="Да",'19_Расчет_аналитики'!$B$3099*'18_Календарь_тарифы'!BC4,0)</f>
        <v/>
      </c>
      <c r="BD3842">
        <f>IF('01_Вводные'!$B$234="Да",'19_Расчет_аналитики'!$B$3099*'18_Календарь_тарифы'!BD4,0)</f>
        <v/>
      </c>
      <c r="BE3842">
        <f>IF('01_Вводные'!$B$234="Да",'19_Расчет_аналитики'!$B$3099*'18_Календарь_тарифы'!BE4,0)</f>
        <v/>
      </c>
      <c r="BF3842">
        <f>IF('01_Вводные'!$B$234="Да",'19_Расчет_аналитики'!$B$3099*'18_Календарь_тарифы'!BF4,0)</f>
        <v/>
      </c>
      <c r="BG3842">
        <f>IF('01_Вводные'!$B$234="Да",'19_Расчет_аналитики'!$B$3099*'18_Календарь_тарифы'!BG4,0)</f>
        <v/>
      </c>
      <c r="BH3842">
        <f>IF('01_Вводные'!$B$234="Да",'19_Расчет_аналитики'!$B$3099*'18_Календарь_тарифы'!BH4,0)</f>
        <v/>
      </c>
      <c r="BI3842">
        <f>IF('01_Вводные'!$B$234="Да",'19_Расчет_аналитики'!$B$3099*'18_Календарь_тарифы'!BI4,0)</f>
        <v/>
      </c>
      <c r="BJ3842">
        <f>IF('01_Вводные'!$B$234="Да",'19_Расчет_аналитики'!$B$3099*'18_Календарь_тарифы'!BJ4,0)</f>
        <v/>
      </c>
      <c r="BK3842">
        <f>IF('01_Вводные'!$B$234="Да",'19_Расчет_аналитики'!$B$3099*'18_Календарь_тарифы'!BK4,0)</f>
        <v/>
      </c>
      <c r="BL3842">
        <f>IF('01_Вводные'!$B$234="Да",'19_Расчет_аналитики'!$B$3099*'18_Календарь_тарифы'!BL4,0)</f>
        <v/>
      </c>
      <c r="BM3842">
        <f>IF('01_Вводные'!$B$234="Да",'19_Расчет_аналитики'!$B$3099*'18_Календарь_тарифы'!BM4,0)</f>
        <v/>
      </c>
      <c r="BN3842">
        <f>IF('01_Вводные'!$B$234="Да",'19_Расчет_аналитики'!$B$3099*'18_Календарь_тарифы'!BN4,0)</f>
        <v/>
      </c>
      <c r="BO3842">
        <f>IF('01_Вводные'!$B$234="Да",'19_Расчет_аналитики'!$B$3099*'18_Календарь_тарифы'!BO4,0)</f>
        <v/>
      </c>
    </row>
    <row r="3843"/>
    <row r="3844"/>
    <row r="3845">
      <c r="B3845">
        <f>IF('01_Вводные'!$B$234="Да",'19_Расчет_аналитики'!$B$3074*'18_Календарь_тарифы'!B4,0)</f>
        <v/>
      </c>
      <c r="C3845">
        <f>IF('01_Вводные'!$B$234="Да",'19_Расчет_аналитики'!$B$3074*'18_Календарь_тарифы'!C4,0)</f>
        <v/>
      </c>
      <c r="D3845">
        <f>IF('01_Вводные'!$B$234="Да",'19_Расчет_аналитики'!$B$3074*'18_Календарь_тарифы'!D4,0)</f>
        <v/>
      </c>
      <c r="E3845">
        <f>IF('01_Вводные'!$B$234="Да",'19_Расчет_аналитики'!$B$3074*'18_Календарь_тарифы'!E4,0)</f>
        <v/>
      </c>
      <c r="F3845">
        <f>IF('01_Вводные'!$B$234="Да",'19_Расчет_аналитики'!$B$3074*'18_Календарь_тарифы'!F4,0)</f>
        <v/>
      </c>
      <c r="G3845">
        <f>IF('01_Вводные'!$B$234="Да",'19_Расчет_аналитики'!$B$3074*'18_Календарь_тарифы'!G4,0)</f>
        <v/>
      </c>
      <c r="H3845">
        <f>IF('01_Вводные'!$B$234="Да",'19_Расчет_аналитики'!$B$3074*'18_Календарь_тарифы'!H4,0)</f>
        <v/>
      </c>
      <c r="I3845">
        <f>IF('01_Вводные'!$B$234="Да",'19_Расчет_аналитики'!$B$3074*'18_Календарь_тарифы'!I4,0)</f>
        <v/>
      </c>
      <c r="J3845">
        <f>IF('01_Вводные'!$B$234="Да",'19_Расчет_аналитики'!$B$3074*'18_Календарь_тарифы'!J4,0)</f>
        <v/>
      </c>
      <c r="K3845">
        <f>IF('01_Вводные'!$B$234="Да",'19_Расчет_аналитики'!$B$3074*'18_Календарь_тарифы'!K4,0)</f>
        <v/>
      </c>
      <c r="L3845">
        <f>IF('01_Вводные'!$B$234="Да",'19_Расчет_аналитики'!$B$3074*'18_Календарь_тарифы'!L4,0)</f>
        <v/>
      </c>
      <c r="M3845">
        <f>IF('01_Вводные'!$B$234="Да",'19_Расчет_аналитики'!$B$3074*'18_Календарь_тарифы'!M4,0)</f>
        <v/>
      </c>
      <c r="N3845">
        <f>IF('01_Вводные'!$B$234="Да",'19_Расчет_аналитики'!$B$3074*'18_Календарь_тарифы'!N4,0)</f>
        <v/>
      </c>
      <c r="O3845">
        <f>IF('01_Вводные'!$B$234="Да",'19_Расчет_аналитики'!$B$3074*'18_Календарь_тарифы'!O4,0)</f>
        <v/>
      </c>
      <c r="P3845">
        <f>IF('01_Вводные'!$B$234="Да",'19_Расчет_аналитики'!$B$3074*'18_Календарь_тарифы'!P4,0)</f>
        <v/>
      </c>
      <c r="Q3845">
        <f>IF('01_Вводные'!$B$234="Да",'19_Расчет_аналитики'!$B$3074*'18_Календарь_тарифы'!Q4,0)</f>
        <v/>
      </c>
      <c r="R3845">
        <f>IF('01_Вводные'!$B$234="Да",'19_Расчет_аналитики'!$B$3074*'18_Календарь_тарифы'!R4,0)</f>
        <v/>
      </c>
      <c r="S3845">
        <f>IF('01_Вводные'!$B$234="Да",'19_Расчет_аналитики'!$B$3074*'18_Календарь_тарифы'!S4,0)</f>
        <v/>
      </c>
      <c r="T3845">
        <f>IF('01_Вводные'!$B$234="Да",'19_Расчет_аналитики'!$B$3074*'18_Календарь_тарифы'!T4,0)</f>
        <v/>
      </c>
      <c r="U3845">
        <f>IF('01_Вводные'!$B$234="Да",'19_Расчет_аналитики'!$B$3074*'18_Календарь_тарифы'!U4,0)</f>
        <v/>
      </c>
      <c r="V3845">
        <f>IF('01_Вводные'!$B$234="Да",'19_Расчет_аналитики'!$B$3074*'18_Календарь_тарифы'!V4,0)</f>
        <v/>
      </c>
      <c r="W3845">
        <f>IF('01_Вводные'!$B$234="Да",'19_Расчет_аналитики'!$B$3074*'18_Календарь_тарифы'!W4,0)</f>
        <v/>
      </c>
      <c r="X3845">
        <f>IF('01_Вводные'!$B$234="Да",'19_Расчет_аналитики'!$B$3074*'18_Календарь_тарифы'!X4,0)</f>
        <v/>
      </c>
      <c r="Y3845">
        <f>IF('01_Вводные'!$B$234="Да",'19_Расчет_аналитики'!$B$3074*'18_Календарь_тарифы'!Y4,0)</f>
        <v/>
      </c>
      <c r="Z3845">
        <f>IF('01_Вводные'!$B$234="Да",'19_Расчет_аналитики'!$B$3074*'18_Календарь_тарифы'!Z4,0)</f>
        <v/>
      </c>
      <c r="AA3845">
        <f>IF('01_Вводные'!$B$234="Да",'19_Расчет_аналитики'!$B$3074*'18_Календарь_тарифы'!AA4,0)</f>
        <v/>
      </c>
      <c r="AB3845">
        <f>IF('01_Вводные'!$B$234="Да",'19_Расчет_аналитики'!$B$3074*'18_Календарь_тарифы'!AB4,0)</f>
        <v/>
      </c>
      <c r="AC3845">
        <f>IF('01_Вводные'!$B$234="Да",'19_Расчет_аналитики'!$B$3074*'18_Календарь_тарифы'!AC4,0)</f>
        <v/>
      </c>
      <c r="AD3845">
        <f>IF('01_Вводные'!$B$234="Да",'19_Расчет_аналитики'!$B$3074*'18_Календарь_тарифы'!AD4,0)</f>
        <v/>
      </c>
      <c r="AE3845">
        <f>IF('01_Вводные'!$B$234="Да",'19_Расчет_аналитики'!$B$3074*'18_Календарь_тарифы'!AE4,0)</f>
        <v/>
      </c>
      <c r="AF3845">
        <f>IF('01_Вводные'!$B$234="Да",'19_Расчет_аналитики'!$B$3074*'18_Календарь_тарифы'!AF4,0)</f>
        <v/>
      </c>
      <c r="AG3845">
        <f>IF('01_Вводные'!$B$234="Да",'19_Расчет_аналитики'!$B$3074*'18_Календарь_тарифы'!AG4,0)</f>
        <v/>
      </c>
      <c r="AH3845">
        <f>IF('01_Вводные'!$B$234="Да",'19_Расчет_аналитики'!$B$3074*'18_Календарь_тарифы'!AH4,0)</f>
        <v/>
      </c>
      <c r="AI3845">
        <f>IF('01_Вводные'!$B$234="Да",'19_Расчет_аналитики'!$B$3074*'18_Календарь_тарифы'!AI4,0)</f>
        <v/>
      </c>
      <c r="AJ3845">
        <f>IF('01_Вводные'!$B$234="Да",'19_Расчет_аналитики'!$B$3074*'18_Календарь_тарифы'!AJ4,0)</f>
        <v/>
      </c>
      <c r="AK3845">
        <f>IF('01_Вводные'!$B$234="Да",'19_Расчет_аналитики'!$B$3074*'18_Календарь_тарифы'!AK4,0)</f>
        <v/>
      </c>
      <c r="AL3845">
        <f>IF('01_Вводные'!$B$234="Да",'19_Расчет_аналитики'!$B$3074*'18_Календарь_тарифы'!AL4,0)</f>
        <v/>
      </c>
      <c r="AM3845">
        <f>IF('01_Вводные'!$B$234="Да",'19_Расчет_аналитики'!$B$3074*'18_Календарь_тарифы'!AM4,0)</f>
        <v/>
      </c>
      <c r="AN3845">
        <f>IF('01_Вводные'!$B$234="Да",'19_Расчет_аналитики'!$B$3074*'18_Календарь_тарифы'!AN4,0)</f>
        <v/>
      </c>
      <c r="AO3845">
        <f>IF('01_Вводные'!$B$234="Да",'19_Расчет_аналитики'!$B$3074*'18_Календарь_тарифы'!AO4,0)</f>
        <v/>
      </c>
      <c r="AP3845">
        <f>IF('01_Вводные'!$B$234="Да",'19_Расчет_аналитики'!$B$3074*'18_Календарь_тарифы'!AP4,0)</f>
        <v/>
      </c>
      <c r="AQ3845">
        <f>IF('01_Вводные'!$B$234="Да",'19_Расчет_аналитики'!$B$3074*'18_Календарь_тарифы'!AQ4,0)</f>
        <v/>
      </c>
      <c r="AR3845">
        <f>IF('01_Вводные'!$B$234="Да",'19_Расчет_аналитики'!$B$3074*'18_Календарь_тарифы'!AR4,0)</f>
        <v/>
      </c>
      <c r="AS3845">
        <f>IF('01_Вводные'!$B$234="Да",'19_Расчет_аналитики'!$B$3074*'18_Календарь_тарифы'!AS4,0)</f>
        <v/>
      </c>
      <c r="AT3845">
        <f>IF('01_Вводные'!$B$234="Да",'19_Расчет_аналитики'!$B$3074*'18_Календарь_тарифы'!AT4,0)</f>
        <v/>
      </c>
      <c r="AU3845">
        <f>IF('01_Вводные'!$B$234="Да",'19_Расчет_аналитики'!$B$3074*'18_Календарь_тарифы'!AU4,0)</f>
        <v/>
      </c>
      <c r="AV3845">
        <f>IF('01_Вводные'!$B$234="Да",'19_Расчет_аналитики'!$B$3074*'18_Календарь_тарифы'!AV4,0)</f>
        <v/>
      </c>
      <c r="AW3845">
        <f>IF('01_Вводные'!$B$234="Да",'19_Расчет_аналитики'!$B$3074*'18_Календарь_тарифы'!AW4,0)</f>
        <v/>
      </c>
      <c r="AX3845">
        <f>IF('01_Вводные'!$B$234="Да",'19_Расчет_аналитики'!$B$3074*'18_Календарь_тарифы'!AX4,0)</f>
        <v/>
      </c>
      <c r="AY3845">
        <f>IF('01_Вводные'!$B$234="Да",'19_Расчет_аналитики'!$B$3074*'18_Календарь_тарифы'!AY4,0)</f>
        <v/>
      </c>
      <c r="AZ3845">
        <f>IF('01_Вводные'!$B$234="Да",'19_Расчет_аналитики'!$B$3074*'18_Календарь_тарифы'!AZ4,0)</f>
        <v/>
      </c>
      <c r="BA3845">
        <f>IF('01_Вводные'!$B$234="Да",'19_Расчет_аналитики'!$B$3074*'18_Календарь_тарифы'!BA4,0)</f>
        <v/>
      </c>
      <c r="BB3845">
        <f>IF('01_Вводные'!$B$234="Да",'19_Расчет_аналитики'!$B$3074*'18_Календарь_тарифы'!BB4,0)</f>
        <v/>
      </c>
      <c r="BC3845">
        <f>IF('01_Вводные'!$B$234="Да",'19_Расчет_аналитики'!$B$3074*'18_Календарь_тарифы'!BC4,0)</f>
        <v/>
      </c>
      <c r="BD3845">
        <f>IF('01_Вводные'!$B$234="Да",'19_Расчет_аналитики'!$B$3074*'18_Календарь_тарифы'!BD4,0)</f>
        <v/>
      </c>
      <c r="BE3845">
        <f>IF('01_Вводные'!$B$234="Да",'19_Расчет_аналитики'!$B$3074*'18_Календарь_тарифы'!BE4,0)</f>
        <v/>
      </c>
      <c r="BF3845">
        <f>IF('01_Вводные'!$B$234="Да",'19_Расчет_аналитики'!$B$3074*'18_Календарь_тарифы'!BF4,0)</f>
        <v/>
      </c>
      <c r="BG3845">
        <f>IF('01_Вводные'!$B$234="Да",'19_Расчет_аналитики'!$B$3074*'18_Календарь_тарифы'!BG4,0)</f>
        <v/>
      </c>
      <c r="BH3845">
        <f>IF('01_Вводные'!$B$234="Да",'19_Расчет_аналитики'!$B$3074*'18_Календарь_тарифы'!BH4,0)</f>
        <v/>
      </c>
      <c r="BI3845">
        <f>IF('01_Вводные'!$B$234="Да",'19_Расчет_аналитики'!$B$3074*'18_Календарь_тарифы'!BI4,0)</f>
        <v/>
      </c>
      <c r="BJ3845">
        <f>IF('01_Вводные'!$B$234="Да",'19_Расчет_аналитики'!$B$3074*'18_Календарь_тарифы'!BJ4,0)</f>
        <v/>
      </c>
      <c r="BK3845">
        <f>IF('01_Вводные'!$B$234="Да",'19_Расчет_аналитики'!$B$3074*'18_Календарь_тарифы'!BK4,0)</f>
        <v/>
      </c>
      <c r="BL3845">
        <f>IF('01_Вводные'!$B$234="Да",'19_Расчет_аналитики'!$B$3074*'18_Календарь_тарифы'!BL4,0)</f>
        <v/>
      </c>
      <c r="BM3845">
        <f>IF('01_Вводные'!$B$234="Да",'19_Расчет_аналитики'!$B$3074*'18_Календарь_тарифы'!BM4,0)</f>
        <v/>
      </c>
      <c r="BN3845">
        <f>IF('01_Вводные'!$B$234="Да",'19_Расчет_аналитики'!$B$3074*'18_Календарь_тарифы'!BN4,0)</f>
        <v/>
      </c>
      <c r="BO3845">
        <f>IF('01_Вводные'!$B$234="Да",'19_Расчет_аналитики'!$B$3074*'18_Календарь_тарифы'!BO4,0)</f>
        <v/>
      </c>
    </row>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c r="A4051" t="inlineStr">
        <is>
          <t>Sensitivity plus</t>
        </is>
      </c>
    </row>
    <row r="4052"/>
    <row r="4053">
      <c r="B4053">
        <f>IF('01_Вводные'!$B$257=1,1+'01_Вводные'!$B$258,1)</f>
        <v/>
      </c>
      <c r="C4053">
        <f>IF('01_Вводные'!$B$257=2,1+'01_Вводные'!$B$258,1)</f>
        <v/>
      </c>
      <c r="D4053">
        <f>IF('01_Вводные'!$B$257=3,1+'01_Вводные'!$B$258,1)</f>
        <v/>
      </c>
      <c r="E4053">
        <f>IF('01_Вводные'!$B$257=4,1+'01_Вводные'!$B$258,1)</f>
        <v/>
      </c>
      <c r="F4053">
        <f>IF('01_Вводные'!$B$257=5,1+'01_Вводные'!$B$258,1)</f>
        <v/>
      </c>
      <c r="G4053">
        <f>IF('01_Вводные'!$B$257=6,1+'01_Вводные'!$B$258,1)</f>
        <v/>
      </c>
    </row>
    <row r="4054"/>
    <row r="4055"/>
    <row r="4056"/>
    <row r="4057"/>
    <row r="4058"/>
    <row r="4059"/>
    <row r="4060"/>
    <row r="4061"/>
    <row r="4062"/>
    <row r="4063"/>
    <row r="4064"/>
    <row r="4065"/>
    <row r="4066"/>
    <row r="4067"/>
    <row r="4068"/>
    <row r="4069"/>
    <row r="4070"/>
    <row r="4071"/>
    <row r="4072"/>
    <row r="4073"/>
    <row r="4074"/>
    <row r="4075"/>
    <row r="4076"/>
    <row r="4077"/>
    <row r="4078">
      <c r="B4078">
        <f>'01_Вводные'!$B$225*'19_Расчет_аналитики'!$F$4263</f>
        <v/>
      </c>
    </row>
    <row r="4079"/>
    <row r="4080">
      <c r="B4080">
        <f>MAX(0,MIN(1,(30-'19_Расчет_аналитики'!B4078)/30))</f>
        <v/>
      </c>
    </row>
    <row r="4081"/>
    <row r="4082"/>
    <row r="4083"/>
    <row r="4084"/>
    <row r="4085"/>
    <row r="4086">
      <c r="B4086">
        <f>'01_Вводные'!$B$224*'19_Расчет_аналитики'!$F$4262</f>
        <v/>
      </c>
    </row>
    <row r="4087"/>
    <row r="4088"/>
    <row r="4089"/>
    <row r="4090"/>
    <row r="4091"/>
    <row r="4092"/>
    <row r="4093"/>
    <row r="4094"/>
    <row r="4095"/>
    <row r="4096">
      <c r="B4096">
        <f>'01_Вводные'!$B$210*'19_Расчет_аналитики'!$F$4258</f>
        <v/>
      </c>
    </row>
    <row r="4097">
      <c r="B4097">
        <f>'01_Вводные'!$B$211*'19_Расчет_аналитики'!$F$4258</f>
        <v/>
      </c>
    </row>
    <row r="4098">
      <c r="B4098">
        <f>'01_Вводные'!$B$212*'19_Расчет_аналитики'!$F$4258</f>
        <v/>
      </c>
    </row>
    <row r="4099">
      <c r="B4099">
        <f>'01_Вводные'!$B$213*'19_Расчет_аналитики'!$F$4258</f>
        <v/>
      </c>
    </row>
    <row r="4100">
      <c r="B4100">
        <f>'01_Вводные'!$B$214*'19_Расчет_аналитики'!$F$4258</f>
        <v/>
      </c>
    </row>
    <row r="4101"/>
    <row r="4102"/>
    <row r="4103"/>
    <row r="4104"/>
    <row r="4105"/>
    <row r="4106">
      <c r="B4106">
        <f>'01_Вводные'!$B$215*'19_Расчет_аналитики'!$F$4259</f>
        <v/>
      </c>
    </row>
    <row r="4107">
      <c r="B4107">
        <f>'01_Вводные'!$B$216*'19_Расчет_аналитики'!$F$4259</f>
        <v/>
      </c>
    </row>
    <row r="4108"/>
    <row r="4109"/>
    <row r="4110"/>
    <row r="4111">
      <c r="B4111">
        <f>'01_Вводные'!$B$217*'19_Расчет_аналитики'!$F$4260</f>
        <v/>
      </c>
    </row>
    <row r="4112"/>
    <row r="4113"/>
    <row r="4114"/>
    <row r="4115"/>
    <row r="4116"/>
    <row r="4117"/>
    <row r="4118"/>
    <row r="4119"/>
    <row r="4120"/>
    <row r="4121"/>
    <row r="4122"/>
    <row r="4123">
      <c r="C4123">
        <f>'01_Вводные'!$B$218*'19_Расчет_аналитики'!$F$4260</f>
        <v/>
      </c>
    </row>
    <row r="4124">
      <c r="C4124">
        <f>'01_Вводные'!$B$219*'19_Расчет_аналитики'!$F$4260</f>
        <v/>
      </c>
    </row>
    <row r="4125">
      <c r="C4125">
        <f>'01_Вводные'!$B$220*'19_Расчет_аналитики'!$F$4260</f>
        <v/>
      </c>
    </row>
    <row r="4126">
      <c r="C4126">
        <f>'01_Вводные'!$B$221*'19_Расчет_аналитики'!$F$4260</f>
        <v/>
      </c>
    </row>
    <row r="4127">
      <c r="C4127">
        <f>'01_Вводные'!$B$222*'19_Расчет_аналитики'!$F$4260</f>
        <v/>
      </c>
    </row>
    <row r="4128"/>
    <row r="4129"/>
    <row r="4130"/>
    <row r="4131"/>
    <row r="4132"/>
    <row r="4133"/>
    <row r="4134">
      <c r="B4134">
        <f>'01_Вводные'!$B$223*'19_Расчет_аналитики'!$F$4261</f>
        <v/>
      </c>
    </row>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c r="F4258">
        <f>'19_Расчет_аналитики'!$B$4053</f>
        <v/>
      </c>
    </row>
    <row r="4259">
      <c r="F4259">
        <f>'19_Расчет_аналитики'!$C$4053</f>
        <v/>
      </c>
    </row>
    <row r="4260">
      <c r="F4260">
        <f>'19_Расчет_аналитики'!$D$4053</f>
        <v/>
      </c>
    </row>
    <row r="4261">
      <c r="F4261">
        <f>'19_Расчет_аналитики'!$E$4053</f>
        <v/>
      </c>
    </row>
    <row r="4262">
      <c r="F4262">
        <f>'19_Расчет_аналитики'!$F$4053</f>
        <v/>
      </c>
    </row>
    <row r="4263">
      <c r="F4263">
        <f>'19_Расчет_аналитики'!$G$4053</f>
        <v/>
      </c>
    </row>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c r="B4376">
        <f>IF('01_Вводные'!$B$234="Да",'19_Расчет_аналитики'!B4096,0)</f>
        <v/>
      </c>
      <c r="D4376">
        <f>IF('01_Вводные'!$B$234="Да",SUM('19_Расчет_аналитики'!B4386:M4386),0)</f>
        <v/>
      </c>
      <c r="E4376">
        <f>IF('01_Вводные'!$B$234="Да",ROUND('19_Расчет_аналитики'!D4376-'19_Расчет_аналитики'!B4376,8),0)</f>
        <v/>
      </c>
    </row>
    <row r="4377">
      <c r="B4377">
        <f>IF('01_Вводные'!$B$234="Да",'19_Расчет_аналитики'!B4097,0)</f>
        <v/>
      </c>
      <c r="D4377">
        <f>IF('01_Вводные'!$B$234="Да",SUM('19_Расчет_аналитики'!N4386:Y4386),0)</f>
        <v/>
      </c>
      <c r="E4377">
        <f>IF('01_Вводные'!$B$234="Да",ROUND('19_Расчет_аналитики'!D4377-'19_Расчет_аналитики'!B4377,8),0)</f>
        <v/>
      </c>
    </row>
    <row r="4378">
      <c r="B4378">
        <f>IF('01_Вводные'!$B$234="Да",'19_Расчет_аналитики'!B4098,0)</f>
        <v/>
      </c>
      <c r="D4378">
        <f>IF('01_Вводные'!$B$234="Да",SUM('19_Расчет_аналитики'!Z4386:AK4386),0)</f>
        <v/>
      </c>
      <c r="E4378">
        <f>IF('01_Вводные'!$B$234="Да",ROUND('19_Расчет_аналитики'!D4378-'19_Расчет_аналитики'!B4378,8),0)</f>
        <v/>
      </c>
    </row>
    <row r="4379">
      <c r="B4379">
        <f>IF('01_Вводные'!$B$234="Да",'19_Расчет_аналитики'!B4099,0)</f>
        <v/>
      </c>
      <c r="D4379">
        <f>IF('01_Вводные'!$B$234="Да",SUM('19_Расчет_аналитики'!AL4386:AW4386),0)</f>
        <v/>
      </c>
      <c r="E4379">
        <f>IF('01_Вводные'!$B$234="Да",ROUND('19_Расчет_аналитики'!D4379-'19_Расчет_аналитики'!B4379,8),0)</f>
        <v/>
      </c>
    </row>
    <row r="4380">
      <c r="B4380">
        <f>IF('01_Вводные'!$B$234="Да",'19_Расчет_аналитики'!B4100,0)</f>
        <v/>
      </c>
      <c r="D4380">
        <f>IF('01_Вводные'!$B$234="Да",SUM('19_Расчет_аналитики'!AX4386:BI4386),0)</f>
        <v/>
      </c>
      <c r="E4380">
        <f>IF('01_Вводные'!$B$234="Да",ROUND('19_Расчет_аналитики'!D4380-'19_Расчет_аналитики'!B4380,8),0)</f>
        <v/>
      </c>
    </row>
    <row r="4381"/>
    <row r="4382"/>
    <row r="4383"/>
    <row r="4384"/>
    <row r="4385"/>
    <row r="4386">
      <c r="B4386">
        <f>0</f>
        <v/>
      </c>
      <c r="C4386">
        <f>IF('01_Вводные'!$B$234="Да",'19_Расчет_аналитики'!$B$4096*INDEX('01_Вводные'!$C$36:$N$36,1,MOD(MONTH('06_Сеть_и_дети'!C$3)-9,12)+1)/(SUM('01_Вводные'!$C$36:$N$36)-INDEX('01_Вводные'!$C$36:$N$36,1,MOD(MONTH('01_Вводные'!$B$7)-9,12)+1)),0)</f>
        <v/>
      </c>
      <c r="D4386">
        <f>IF('01_Вводные'!$B$234="Да",'19_Расчет_аналитики'!$B$4096*INDEX('01_Вводные'!$C$36:$N$36,1,MOD(MONTH('06_Сеть_и_дети'!D$3)-9,12)+1)/(SUM('01_Вводные'!$C$36:$N$36)-INDEX('01_Вводные'!$C$36:$N$36,1,MOD(MONTH('01_Вводные'!$B$7)-9,12)+1)),0)</f>
        <v/>
      </c>
      <c r="E4386">
        <f>IF('01_Вводные'!$B$234="Да",'19_Расчет_аналитики'!$B$4096*INDEX('01_Вводные'!$C$36:$N$36,1,MOD(MONTH('06_Сеть_и_дети'!E$3)-9,12)+1)/(SUM('01_Вводные'!$C$36:$N$36)-INDEX('01_Вводные'!$C$36:$N$36,1,MOD(MONTH('01_Вводные'!$B$7)-9,12)+1)),0)</f>
        <v/>
      </c>
      <c r="F4386">
        <f>IF('01_Вводные'!$B$234="Да",'19_Расчет_аналитики'!$B$4096*INDEX('01_Вводные'!$C$36:$N$36,1,MOD(MONTH('06_Сеть_и_дети'!F$3)-9,12)+1)/(SUM('01_Вводные'!$C$36:$N$36)-INDEX('01_Вводные'!$C$36:$N$36,1,MOD(MONTH('01_Вводные'!$B$7)-9,12)+1)),0)</f>
        <v/>
      </c>
      <c r="G4386">
        <f>IF('01_Вводные'!$B$234="Да",'19_Расчет_аналитики'!$B$4096*INDEX('01_Вводные'!$C$36:$N$36,1,MOD(MONTH('06_Сеть_и_дети'!G$3)-9,12)+1)/(SUM('01_Вводные'!$C$36:$N$36)-INDEX('01_Вводные'!$C$36:$N$36,1,MOD(MONTH('01_Вводные'!$B$7)-9,12)+1)),0)</f>
        <v/>
      </c>
      <c r="H4386">
        <f>IF('01_Вводные'!$B$234="Да",'19_Расчет_аналитики'!$B$4096*INDEX('01_Вводные'!$C$36:$N$36,1,MOD(MONTH('06_Сеть_и_дети'!H$3)-9,12)+1)/(SUM('01_Вводные'!$C$36:$N$36)-INDEX('01_Вводные'!$C$36:$N$36,1,MOD(MONTH('01_Вводные'!$B$7)-9,12)+1)),0)</f>
        <v/>
      </c>
      <c r="I4386">
        <f>IF('01_Вводные'!$B$234="Да",'19_Расчет_аналитики'!$B$4096*INDEX('01_Вводные'!$C$36:$N$36,1,MOD(MONTH('06_Сеть_и_дети'!I$3)-9,12)+1)/(SUM('01_Вводные'!$C$36:$N$36)-INDEX('01_Вводные'!$C$36:$N$36,1,MOD(MONTH('01_Вводные'!$B$7)-9,12)+1)),0)</f>
        <v/>
      </c>
      <c r="J4386">
        <f>IF('01_Вводные'!$B$234="Да",'19_Расчет_аналитики'!$B$4096*INDEX('01_Вводные'!$C$36:$N$36,1,MOD(MONTH('06_Сеть_и_дети'!J$3)-9,12)+1)/(SUM('01_Вводные'!$C$36:$N$36)-INDEX('01_Вводные'!$C$36:$N$36,1,MOD(MONTH('01_Вводные'!$B$7)-9,12)+1)),0)</f>
        <v/>
      </c>
      <c r="K4386">
        <f>IF('01_Вводные'!$B$234="Да",'19_Расчет_аналитики'!$B$4096*INDEX('01_Вводные'!$C$36:$N$36,1,MOD(MONTH('06_Сеть_и_дети'!K$3)-9,12)+1)/(SUM('01_Вводные'!$C$36:$N$36)-INDEX('01_Вводные'!$C$36:$N$36,1,MOD(MONTH('01_Вводные'!$B$7)-9,12)+1)),0)</f>
        <v/>
      </c>
      <c r="L4386">
        <f>IF('01_Вводные'!$B$234="Да",'19_Расчет_аналитики'!$B$4096*INDEX('01_Вводные'!$C$36:$N$36,1,MOD(MONTH('06_Сеть_и_дети'!L$3)-9,12)+1)/(SUM('01_Вводные'!$C$36:$N$36)-INDEX('01_Вводные'!$C$36:$N$36,1,MOD(MONTH('01_Вводные'!$B$7)-9,12)+1)),0)</f>
        <v/>
      </c>
      <c r="M4386">
        <f>IF('01_Вводные'!$B$234="Да",'19_Расчет_аналитики'!$B$4096*INDEX('01_Вводные'!$C$36:$N$36,1,MOD(MONTH('06_Сеть_и_дети'!M$3)-9,12)+1)/(SUM('01_Вводные'!$C$36:$N$36)-INDEX('01_Вводные'!$C$36:$N$36,1,MOD(MONTH('01_Вводные'!$B$7)-9,12)+1)),0)</f>
        <v/>
      </c>
      <c r="N4386">
        <f>IF('01_Вводные'!$B$234="Да",'19_Расчет_аналитики'!$B$4097*INDEX('01_Вводные'!$C$37:$N$37,1,MOD(MONTH('06_Сеть_и_дети'!N$3)-9,12)+1)/SUM('01_Вводные'!$C$37:$N$37),0)</f>
        <v/>
      </c>
      <c r="O4386">
        <f>IF('01_Вводные'!$B$234="Да",'19_Расчет_аналитики'!$B$4097*INDEX('01_Вводные'!$C$37:$N$37,1,MOD(MONTH('06_Сеть_и_дети'!O$3)-9,12)+1)/SUM('01_Вводные'!$C$37:$N$37),0)</f>
        <v/>
      </c>
      <c r="P4386">
        <f>IF('01_Вводные'!$B$234="Да",'19_Расчет_аналитики'!$B$4097*INDEX('01_Вводные'!$C$37:$N$37,1,MOD(MONTH('06_Сеть_и_дети'!P$3)-9,12)+1)/SUM('01_Вводные'!$C$37:$N$37),0)</f>
        <v/>
      </c>
      <c r="Q4386">
        <f>IF('01_Вводные'!$B$234="Да",'19_Расчет_аналитики'!$B$4097*INDEX('01_Вводные'!$C$37:$N$37,1,MOD(MONTH('06_Сеть_и_дети'!Q$3)-9,12)+1)/SUM('01_Вводные'!$C$37:$N$37),0)</f>
        <v/>
      </c>
      <c r="R4386">
        <f>IF('01_Вводные'!$B$234="Да",'19_Расчет_аналитики'!$B$4097*INDEX('01_Вводные'!$C$37:$N$37,1,MOD(MONTH('06_Сеть_и_дети'!R$3)-9,12)+1)/SUM('01_Вводные'!$C$37:$N$37),0)</f>
        <v/>
      </c>
      <c r="S4386">
        <f>IF('01_Вводные'!$B$234="Да",'19_Расчет_аналитики'!$B$4097*INDEX('01_Вводные'!$C$37:$N$37,1,MOD(MONTH('06_Сеть_и_дети'!S$3)-9,12)+1)/SUM('01_Вводные'!$C$37:$N$37),0)</f>
        <v/>
      </c>
      <c r="T4386">
        <f>IF('01_Вводные'!$B$234="Да",'19_Расчет_аналитики'!$B$4097*INDEX('01_Вводные'!$C$37:$N$37,1,MOD(MONTH('06_Сеть_и_дети'!T$3)-9,12)+1)/SUM('01_Вводные'!$C$37:$N$37),0)</f>
        <v/>
      </c>
      <c r="U4386">
        <f>IF('01_Вводные'!$B$234="Да",'19_Расчет_аналитики'!$B$4097*INDEX('01_Вводные'!$C$37:$N$37,1,MOD(MONTH('06_Сеть_и_дети'!U$3)-9,12)+1)/SUM('01_Вводные'!$C$37:$N$37),0)</f>
        <v/>
      </c>
      <c r="V4386">
        <f>IF('01_Вводные'!$B$234="Да",'19_Расчет_аналитики'!$B$4097*INDEX('01_Вводные'!$C$37:$N$37,1,MOD(MONTH('06_Сеть_и_дети'!V$3)-9,12)+1)/SUM('01_Вводные'!$C$37:$N$37),0)</f>
        <v/>
      </c>
      <c r="W4386">
        <f>IF('01_Вводные'!$B$234="Да",'19_Расчет_аналитики'!$B$4097*INDEX('01_Вводные'!$C$37:$N$37,1,MOD(MONTH('06_Сеть_и_дети'!W$3)-9,12)+1)/SUM('01_Вводные'!$C$37:$N$37),0)</f>
        <v/>
      </c>
      <c r="X4386">
        <f>IF('01_Вводные'!$B$234="Да",'19_Расчет_аналитики'!$B$4097*INDEX('01_Вводные'!$C$37:$N$37,1,MOD(MONTH('06_Сеть_и_дети'!X$3)-9,12)+1)/SUM('01_Вводные'!$C$37:$N$37),0)</f>
        <v/>
      </c>
      <c r="Y4386">
        <f>IF('01_Вводные'!$B$234="Да",'19_Расчет_аналитики'!$B$4097*INDEX('01_Вводные'!$C$37:$N$37,1,MOD(MONTH('06_Сеть_и_дети'!Y$3)-9,12)+1)/SUM('01_Вводные'!$C$37:$N$37),0)</f>
        <v/>
      </c>
      <c r="Z4386">
        <f>IF('01_Вводные'!$B$234="Да",'19_Расчет_аналитики'!$B$4098*INDEX('01_Вводные'!$C$38:$N$38,1,MOD(MONTH('06_Сеть_и_дети'!Z$3)-9,12)+1)/SUM('01_Вводные'!$C$38:$N$38),0)</f>
        <v/>
      </c>
      <c r="AA4386">
        <f>IF('01_Вводные'!$B$234="Да",'19_Расчет_аналитики'!$B$4098*INDEX('01_Вводные'!$C$38:$N$38,1,MOD(MONTH('06_Сеть_и_дети'!AA$3)-9,12)+1)/SUM('01_Вводные'!$C$38:$N$38),0)</f>
        <v/>
      </c>
      <c r="AB4386">
        <f>IF('01_Вводные'!$B$234="Да",'19_Расчет_аналитики'!$B$4098*INDEX('01_Вводные'!$C$38:$N$38,1,MOD(MONTH('06_Сеть_и_дети'!AB$3)-9,12)+1)/SUM('01_Вводные'!$C$38:$N$38),0)</f>
        <v/>
      </c>
      <c r="AC4386">
        <f>IF('01_Вводные'!$B$234="Да",'19_Расчет_аналитики'!$B$4098*INDEX('01_Вводные'!$C$38:$N$38,1,MOD(MONTH('06_Сеть_и_дети'!AC$3)-9,12)+1)/SUM('01_Вводные'!$C$38:$N$38),0)</f>
        <v/>
      </c>
      <c r="AD4386">
        <f>IF('01_Вводные'!$B$234="Да",'19_Расчет_аналитики'!$B$4098*INDEX('01_Вводные'!$C$38:$N$38,1,MOD(MONTH('06_Сеть_и_дети'!AD$3)-9,12)+1)/SUM('01_Вводные'!$C$38:$N$38),0)</f>
        <v/>
      </c>
      <c r="AE4386">
        <f>IF('01_Вводные'!$B$234="Да",'19_Расчет_аналитики'!$B$4098*INDEX('01_Вводные'!$C$38:$N$38,1,MOD(MONTH('06_Сеть_и_дети'!AE$3)-9,12)+1)/SUM('01_Вводные'!$C$38:$N$38),0)</f>
        <v/>
      </c>
      <c r="AF4386">
        <f>IF('01_Вводные'!$B$234="Да",'19_Расчет_аналитики'!$B$4098*INDEX('01_Вводные'!$C$38:$N$38,1,MOD(MONTH('06_Сеть_и_дети'!AF$3)-9,12)+1)/SUM('01_Вводные'!$C$38:$N$38),0)</f>
        <v/>
      </c>
      <c r="AG4386">
        <f>IF('01_Вводные'!$B$234="Да",'19_Расчет_аналитики'!$B$4098*INDEX('01_Вводные'!$C$38:$N$38,1,MOD(MONTH('06_Сеть_и_дети'!AG$3)-9,12)+1)/SUM('01_Вводные'!$C$38:$N$38),0)</f>
        <v/>
      </c>
      <c r="AH4386">
        <f>IF('01_Вводные'!$B$234="Да",'19_Расчет_аналитики'!$B$4098*INDEX('01_Вводные'!$C$38:$N$38,1,MOD(MONTH('06_Сеть_и_дети'!AH$3)-9,12)+1)/SUM('01_Вводные'!$C$38:$N$38),0)</f>
        <v/>
      </c>
      <c r="AI4386">
        <f>IF('01_Вводные'!$B$234="Да",'19_Расчет_аналитики'!$B$4098*INDEX('01_Вводные'!$C$38:$N$38,1,MOD(MONTH('06_Сеть_и_дети'!AI$3)-9,12)+1)/SUM('01_Вводные'!$C$38:$N$38),0)</f>
        <v/>
      </c>
      <c r="AJ4386">
        <f>IF('01_Вводные'!$B$234="Да",'19_Расчет_аналитики'!$B$4098*INDEX('01_Вводные'!$C$38:$N$38,1,MOD(MONTH('06_Сеть_и_дети'!AJ$3)-9,12)+1)/SUM('01_Вводные'!$C$38:$N$38),0)</f>
        <v/>
      </c>
      <c r="AK4386">
        <f>IF('01_Вводные'!$B$234="Да",'19_Расчет_аналитики'!$B$4098*INDEX('01_Вводные'!$C$38:$N$38,1,MOD(MONTH('06_Сеть_и_дети'!AK$3)-9,12)+1)/SUM('01_Вводные'!$C$38:$N$38),0)</f>
        <v/>
      </c>
      <c r="AL4386">
        <f>IF('01_Вводные'!$B$234="Да",'19_Расчет_аналитики'!$B$4099*INDEX('01_Вводные'!$C$39:$N$39,1,MOD(MONTH('06_Сеть_и_дети'!AL$3)-9,12)+1)/SUM('01_Вводные'!$C$39:$N$39),0)</f>
        <v/>
      </c>
      <c r="AM4386">
        <f>IF('01_Вводные'!$B$234="Да",'19_Расчет_аналитики'!$B$4099*INDEX('01_Вводные'!$C$39:$N$39,1,MOD(MONTH('06_Сеть_и_дети'!AM$3)-9,12)+1)/SUM('01_Вводные'!$C$39:$N$39),0)</f>
        <v/>
      </c>
      <c r="AN4386">
        <f>IF('01_Вводные'!$B$234="Да",'19_Расчет_аналитики'!$B$4099*INDEX('01_Вводные'!$C$39:$N$39,1,MOD(MONTH('06_Сеть_и_дети'!AN$3)-9,12)+1)/SUM('01_Вводные'!$C$39:$N$39),0)</f>
        <v/>
      </c>
      <c r="AO4386">
        <f>IF('01_Вводные'!$B$234="Да",'19_Расчет_аналитики'!$B$4099*INDEX('01_Вводные'!$C$39:$N$39,1,MOD(MONTH('06_Сеть_и_дети'!AO$3)-9,12)+1)/SUM('01_Вводные'!$C$39:$N$39),0)</f>
        <v/>
      </c>
      <c r="AP4386">
        <f>IF('01_Вводные'!$B$234="Да",'19_Расчет_аналитики'!$B$4099*INDEX('01_Вводные'!$C$39:$N$39,1,MOD(MONTH('06_Сеть_и_дети'!AP$3)-9,12)+1)/SUM('01_Вводные'!$C$39:$N$39),0)</f>
        <v/>
      </c>
      <c r="AQ4386">
        <f>IF('01_Вводные'!$B$234="Да",'19_Расчет_аналитики'!$B$4099*INDEX('01_Вводные'!$C$39:$N$39,1,MOD(MONTH('06_Сеть_и_дети'!AQ$3)-9,12)+1)/SUM('01_Вводные'!$C$39:$N$39),0)</f>
        <v/>
      </c>
      <c r="AR4386">
        <f>IF('01_Вводные'!$B$234="Да",'19_Расчет_аналитики'!$B$4099*INDEX('01_Вводные'!$C$39:$N$39,1,MOD(MONTH('06_Сеть_и_дети'!AR$3)-9,12)+1)/SUM('01_Вводные'!$C$39:$N$39),0)</f>
        <v/>
      </c>
      <c r="AS4386">
        <f>IF('01_Вводные'!$B$234="Да",'19_Расчет_аналитики'!$B$4099*INDEX('01_Вводные'!$C$39:$N$39,1,MOD(MONTH('06_Сеть_и_дети'!AS$3)-9,12)+1)/SUM('01_Вводные'!$C$39:$N$39),0)</f>
        <v/>
      </c>
      <c r="AT4386">
        <f>IF('01_Вводные'!$B$234="Да",'19_Расчет_аналитики'!$B$4099*INDEX('01_Вводные'!$C$39:$N$39,1,MOD(MONTH('06_Сеть_и_дети'!AT$3)-9,12)+1)/SUM('01_Вводные'!$C$39:$N$39),0)</f>
        <v/>
      </c>
      <c r="AU4386">
        <f>IF('01_Вводные'!$B$234="Да",'19_Расчет_аналитики'!$B$4099*INDEX('01_Вводные'!$C$39:$N$39,1,MOD(MONTH('06_Сеть_и_дети'!AU$3)-9,12)+1)/SUM('01_Вводные'!$C$39:$N$39),0)</f>
        <v/>
      </c>
      <c r="AV4386">
        <f>IF('01_Вводные'!$B$234="Да",'19_Расчет_аналитики'!$B$4099*INDEX('01_Вводные'!$C$39:$N$39,1,MOD(MONTH('06_Сеть_и_дети'!AV$3)-9,12)+1)/SUM('01_Вводные'!$C$39:$N$39),0)</f>
        <v/>
      </c>
      <c r="AW4386">
        <f>IF('01_Вводные'!$B$234="Да",'19_Расчет_аналитики'!$B$4099*INDEX('01_Вводные'!$C$39:$N$39,1,MOD(MONTH('06_Сеть_и_дети'!AW$3)-9,12)+1)/SUM('01_Вводные'!$C$39:$N$39),0)</f>
        <v/>
      </c>
      <c r="AX4386">
        <f>IF('01_Вводные'!$B$234="Да",'19_Расчет_аналитики'!$B$4100*INDEX('01_Вводные'!$C$40:$N$40,1,MOD(MONTH('06_Сеть_и_дети'!AX$3)-9,12)+1)/SUM('01_Вводные'!$C$40:$N$40),0)</f>
        <v/>
      </c>
      <c r="AY4386">
        <f>IF('01_Вводные'!$B$234="Да",'19_Расчет_аналитики'!$B$4100*INDEX('01_Вводные'!$C$40:$N$40,1,MOD(MONTH('06_Сеть_и_дети'!AY$3)-9,12)+1)/SUM('01_Вводные'!$C$40:$N$40),0)</f>
        <v/>
      </c>
      <c r="AZ4386">
        <f>IF('01_Вводные'!$B$234="Да",'19_Расчет_аналитики'!$B$4100*INDEX('01_Вводные'!$C$40:$N$40,1,MOD(MONTH('06_Сеть_и_дети'!AZ$3)-9,12)+1)/SUM('01_Вводные'!$C$40:$N$40),0)</f>
        <v/>
      </c>
      <c r="BA4386">
        <f>IF('01_Вводные'!$B$234="Да",'19_Расчет_аналитики'!$B$4100*INDEX('01_Вводные'!$C$40:$N$40,1,MOD(MONTH('06_Сеть_и_дети'!BA$3)-9,12)+1)/SUM('01_Вводные'!$C$40:$N$40),0)</f>
        <v/>
      </c>
      <c r="BB4386">
        <f>IF('01_Вводные'!$B$234="Да",'19_Расчет_аналитики'!$B$4100*INDEX('01_Вводные'!$C$40:$N$40,1,MOD(MONTH('06_Сеть_и_дети'!BB$3)-9,12)+1)/SUM('01_Вводные'!$C$40:$N$40),0)</f>
        <v/>
      </c>
      <c r="BC4386">
        <f>IF('01_Вводные'!$B$234="Да",'19_Расчет_аналитики'!$B$4100*INDEX('01_Вводные'!$C$40:$N$40,1,MOD(MONTH('06_Сеть_и_дети'!BC$3)-9,12)+1)/SUM('01_Вводные'!$C$40:$N$40),0)</f>
        <v/>
      </c>
      <c r="BD4386">
        <f>IF('01_Вводные'!$B$234="Да",'19_Расчет_аналитики'!$B$4100*INDEX('01_Вводные'!$C$40:$N$40,1,MOD(MONTH('06_Сеть_и_дети'!BD$3)-9,12)+1)/SUM('01_Вводные'!$C$40:$N$40),0)</f>
        <v/>
      </c>
      <c r="BE4386">
        <f>IF('01_Вводные'!$B$234="Да",'19_Расчет_аналитики'!$B$4100*INDEX('01_Вводные'!$C$40:$N$40,1,MOD(MONTH('06_Сеть_и_дети'!BE$3)-9,12)+1)/SUM('01_Вводные'!$C$40:$N$40),0)</f>
        <v/>
      </c>
      <c r="BF4386">
        <f>IF('01_Вводные'!$B$234="Да",'19_Расчет_аналитики'!$B$4100*INDEX('01_Вводные'!$C$40:$N$40,1,MOD(MONTH('06_Сеть_и_дети'!BF$3)-9,12)+1)/SUM('01_Вводные'!$C$40:$N$40),0)</f>
        <v/>
      </c>
      <c r="BG4386">
        <f>IF('01_Вводные'!$B$234="Да",'19_Расчет_аналитики'!$B$4100*INDEX('01_Вводные'!$C$40:$N$40,1,MOD(MONTH('06_Сеть_и_дети'!BG$3)-9,12)+1)/SUM('01_Вводные'!$C$40:$N$40),0)</f>
        <v/>
      </c>
      <c r="BH4386">
        <f>IF('01_Вводные'!$B$234="Да",'19_Расчет_аналитики'!$B$4100*INDEX('01_Вводные'!$C$40:$N$40,1,MOD(MONTH('06_Сеть_и_дети'!BH$3)-9,12)+1)/SUM('01_Вводные'!$C$40:$N$40),0)</f>
        <v/>
      </c>
      <c r="BI4386">
        <f>IF('01_Вводные'!$B$234="Да",'19_Расчет_аналитики'!$B$4100*INDEX('01_Вводные'!$C$40:$N$40,1,MOD(MONTH('06_Сеть_и_дети'!BI$3)-9,12)+1)/SUM('01_Вводные'!$C$40:$N$40),0)</f>
        <v/>
      </c>
    </row>
    <row r="4387">
      <c r="A4387" t="inlineStr">
        <is>
          <t>Минимальный запас для возврата займа</t>
        </is>
      </c>
      <c r="B4387">
        <f>SUM(IF('01_Вводные'!$B$310&gt;=1,'19_Расчет_аналитики'!C4665,0),IF('01_Вводные'!$B$310&gt;=2,'19_Расчет_аналитики'!D4665,0),IF('01_Вводные'!$B$310&gt;=3,'19_Расчет_аналитики'!E4665,0),IF('01_Вводные'!$B$310&gt;=4,'19_Расчет_аналитики'!F4665,0),IF('01_Вводные'!$B$310&gt;=5,'19_Расчет_аналитики'!G4665,0),IF('01_Вводные'!$B$310&gt;=6,'19_Расчет_аналитики'!H4665,0))</f>
        <v/>
      </c>
      <c r="C4387">
        <f>SUM(IF('01_Вводные'!$B$310&gt;=1,'19_Расчет_аналитики'!D4665,0),IF('01_Вводные'!$B$310&gt;=2,'19_Расчет_аналитики'!E4665,0),IF('01_Вводные'!$B$310&gt;=3,'19_Расчет_аналитики'!F4665,0),IF('01_Вводные'!$B$310&gt;=4,'19_Расчет_аналитики'!G4665,0),IF('01_Вводные'!$B$310&gt;=5,'19_Расчет_аналитики'!H4665,0),IF('01_Вводные'!$B$310&gt;=6,'19_Расчет_аналитики'!I4665,0))</f>
        <v/>
      </c>
      <c r="D4387">
        <f>SUM(IF('01_Вводные'!$B$310&gt;=1,'19_Расчет_аналитики'!E4665,0),IF('01_Вводные'!$B$310&gt;=2,'19_Расчет_аналитики'!F4665,0),IF('01_Вводные'!$B$310&gt;=3,'19_Расчет_аналитики'!G4665,0),IF('01_Вводные'!$B$310&gt;=4,'19_Расчет_аналитики'!H4665,0),IF('01_Вводные'!$B$310&gt;=5,'19_Расчет_аналитики'!I4665,0),IF('01_Вводные'!$B$310&gt;=6,'19_Расчет_аналитики'!J4665,0))</f>
        <v/>
      </c>
      <c r="E4387">
        <f>SUM(IF('01_Вводные'!$B$310&gt;=1,'19_Расчет_аналитики'!F4665,0),IF('01_Вводные'!$B$310&gt;=2,'19_Расчет_аналитики'!G4665,0),IF('01_Вводные'!$B$310&gt;=3,'19_Расчет_аналитики'!H4665,0),IF('01_Вводные'!$B$310&gt;=4,'19_Расчет_аналитики'!I4665,0),IF('01_Вводные'!$B$310&gt;=5,'19_Расчет_аналитики'!J4665,0),IF('01_Вводные'!$B$310&gt;=6,'19_Расчет_аналитики'!K4665,0))</f>
        <v/>
      </c>
      <c r="F4387">
        <f>SUM(IF('01_Вводные'!$B$310&gt;=1,'19_Расчет_аналитики'!G4665,0),IF('01_Вводные'!$B$310&gt;=2,'19_Расчет_аналитики'!H4665,0),IF('01_Вводные'!$B$310&gt;=3,'19_Расчет_аналитики'!I4665,0),IF('01_Вводные'!$B$310&gt;=4,'19_Расчет_аналитики'!J4665,0),IF('01_Вводные'!$B$310&gt;=5,'19_Расчет_аналитики'!K4665,0),IF('01_Вводные'!$B$310&gt;=6,'19_Расчет_аналитики'!L4665,0))</f>
        <v/>
      </c>
      <c r="G4387">
        <f>SUM(IF('01_Вводные'!$B$310&gt;=1,'19_Расчет_аналитики'!H4665,0),IF('01_Вводные'!$B$310&gt;=2,'19_Расчет_аналитики'!I4665,0),IF('01_Вводные'!$B$310&gt;=3,'19_Расчет_аналитики'!J4665,0),IF('01_Вводные'!$B$310&gt;=4,'19_Расчет_аналитики'!K4665,0),IF('01_Вводные'!$B$310&gt;=5,'19_Расчет_аналитики'!L4665,0),IF('01_Вводные'!$B$310&gt;=6,'19_Расчет_аналитики'!M4665,0))</f>
        <v/>
      </c>
      <c r="H4387">
        <f>SUM(IF('01_Вводные'!$B$310&gt;=1,'19_Расчет_аналитики'!I4665,0),IF('01_Вводные'!$B$310&gt;=2,'19_Расчет_аналитики'!J4665,0),IF('01_Вводные'!$B$310&gt;=3,'19_Расчет_аналитики'!K4665,0),IF('01_Вводные'!$B$310&gt;=4,'19_Расчет_аналитики'!L4665,0),IF('01_Вводные'!$B$310&gt;=5,'19_Расчет_аналитики'!M4665,0),IF('01_Вводные'!$B$310&gt;=6,'19_Расчет_аналитики'!N4665,0))</f>
        <v/>
      </c>
      <c r="I4387">
        <f>SUM(IF('01_Вводные'!$B$310&gt;=1,'19_Расчет_аналитики'!J4665,0),IF('01_Вводные'!$B$310&gt;=2,'19_Расчет_аналитики'!K4665,0),IF('01_Вводные'!$B$310&gt;=3,'19_Расчет_аналитики'!L4665,0),IF('01_Вводные'!$B$310&gt;=4,'19_Расчет_аналитики'!M4665,0),IF('01_Вводные'!$B$310&gt;=5,'19_Расчет_аналитики'!N4665,0),IF('01_Вводные'!$B$310&gt;=6,'19_Расчет_аналитики'!O4665,0))</f>
        <v/>
      </c>
      <c r="J4387">
        <f>SUM(IF('01_Вводные'!$B$310&gt;=1,'19_Расчет_аналитики'!K4665,0),IF('01_Вводные'!$B$310&gt;=2,'19_Расчет_аналитики'!L4665,0),IF('01_Вводные'!$B$310&gt;=3,'19_Расчет_аналитики'!M4665,0),IF('01_Вводные'!$B$310&gt;=4,'19_Расчет_аналитики'!N4665,0),IF('01_Вводные'!$B$310&gt;=5,'19_Расчет_аналитики'!O4665,0),IF('01_Вводные'!$B$310&gt;=6,'19_Расчет_аналитики'!P4665,0))</f>
        <v/>
      </c>
      <c r="K4387">
        <f>SUM(IF('01_Вводные'!$B$310&gt;=1,'19_Расчет_аналитики'!L4665,0),IF('01_Вводные'!$B$310&gt;=2,'19_Расчет_аналитики'!M4665,0),IF('01_Вводные'!$B$310&gt;=3,'19_Расчет_аналитики'!N4665,0),IF('01_Вводные'!$B$310&gt;=4,'19_Расчет_аналитики'!O4665,0),IF('01_Вводные'!$B$310&gt;=5,'19_Расчет_аналитики'!P4665,0),IF('01_Вводные'!$B$310&gt;=6,'19_Расчет_аналитики'!Q4665,0))</f>
        <v/>
      </c>
      <c r="L4387">
        <f>SUM(IF('01_Вводные'!$B$310&gt;=1,'19_Расчет_аналитики'!M4665,0),IF('01_Вводные'!$B$310&gt;=2,'19_Расчет_аналитики'!N4665,0),IF('01_Вводные'!$B$310&gt;=3,'19_Расчет_аналитики'!O4665,0),IF('01_Вводные'!$B$310&gt;=4,'19_Расчет_аналитики'!P4665,0),IF('01_Вводные'!$B$310&gt;=5,'19_Расчет_аналитики'!Q4665,0),IF('01_Вводные'!$B$310&gt;=6,'19_Расчет_аналитики'!R4665,0))</f>
        <v/>
      </c>
      <c r="M4387">
        <f>SUM(IF('01_Вводные'!$B$310&gt;=1,'19_Расчет_аналитики'!N4665,0),IF('01_Вводные'!$B$310&gt;=2,'19_Расчет_аналитики'!O4665,0),IF('01_Вводные'!$B$310&gt;=3,'19_Расчет_аналитики'!P4665,0),IF('01_Вводные'!$B$310&gt;=4,'19_Расчет_аналитики'!Q4665,0),IF('01_Вводные'!$B$310&gt;=5,'19_Расчет_аналитики'!R4665,0),IF('01_Вводные'!$B$310&gt;=6,'19_Расчет_аналитики'!S4665,0))</f>
        <v/>
      </c>
      <c r="N4387">
        <f>SUM(IF('01_Вводные'!$B$310&gt;=1,'19_Расчет_аналитики'!O4665,0),IF('01_Вводные'!$B$310&gt;=2,'19_Расчет_аналитики'!P4665,0),IF('01_Вводные'!$B$310&gt;=3,'19_Расчет_аналитики'!Q4665,0),IF('01_Вводные'!$B$310&gt;=4,'19_Расчет_аналитики'!R4665,0),IF('01_Вводные'!$B$310&gt;=5,'19_Расчет_аналитики'!S4665,0),IF('01_Вводные'!$B$310&gt;=6,'19_Расчет_аналитики'!T4665,0))</f>
        <v/>
      </c>
      <c r="O4387">
        <f>SUM(IF('01_Вводные'!$B$310&gt;=1,'19_Расчет_аналитики'!P4665,0),IF('01_Вводные'!$B$310&gt;=2,'19_Расчет_аналитики'!Q4665,0),IF('01_Вводные'!$B$310&gt;=3,'19_Расчет_аналитики'!R4665,0),IF('01_Вводные'!$B$310&gt;=4,'19_Расчет_аналитики'!S4665,0),IF('01_Вводные'!$B$310&gt;=5,'19_Расчет_аналитики'!T4665,0),IF('01_Вводные'!$B$310&gt;=6,'19_Расчет_аналитики'!U4665,0))</f>
        <v/>
      </c>
      <c r="P4387">
        <f>SUM(IF('01_Вводные'!$B$310&gt;=1,'19_Расчет_аналитики'!Q4665,0),IF('01_Вводные'!$B$310&gt;=2,'19_Расчет_аналитики'!R4665,0),IF('01_Вводные'!$B$310&gt;=3,'19_Расчет_аналитики'!S4665,0),IF('01_Вводные'!$B$310&gt;=4,'19_Расчет_аналитики'!T4665,0),IF('01_Вводные'!$B$310&gt;=5,'19_Расчет_аналитики'!U4665,0),IF('01_Вводные'!$B$310&gt;=6,'19_Расчет_аналитики'!V4665,0))</f>
        <v/>
      </c>
      <c r="Q4387">
        <f>SUM(IF('01_Вводные'!$B$310&gt;=1,'19_Расчет_аналитики'!R4665,0),IF('01_Вводные'!$B$310&gt;=2,'19_Расчет_аналитики'!S4665,0),IF('01_Вводные'!$B$310&gt;=3,'19_Расчет_аналитики'!T4665,0),IF('01_Вводные'!$B$310&gt;=4,'19_Расчет_аналитики'!U4665,0),IF('01_Вводные'!$B$310&gt;=5,'19_Расчет_аналитики'!V4665,0),IF('01_Вводные'!$B$310&gt;=6,'19_Расчет_аналитики'!W4665,0))</f>
        <v/>
      </c>
      <c r="R4387">
        <f>SUM(IF('01_Вводные'!$B$310&gt;=1,'19_Расчет_аналитики'!S4665,0),IF('01_Вводные'!$B$310&gt;=2,'19_Расчет_аналитики'!T4665,0),IF('01_Вводные'!$B$310&gt;=3,'19_Расчет_аналитики'!U4665,0),IF('01_Вводные'!$B$310&gt;=4,'19_Расчет_аналитики'!V4665,0),IF('01_Вводные'!$B$310&gt;=5,'19_Расчет_аналитики'!W4665,0),IF('01_Вводные'!$B$310&gt;=6,'19_Расчет_аналитики'!X4665,0))</f>
        <v/>
      </c>
      <c r="S4387">
        <f>SUM(IF('01_Вводные'!$B$310&gt;=1,'19_Расчет_аналитики'!T4665,0),IF('01_Вводные'!$B$310&gt;=2,'19_Расчет_аналитики'!U4665,0),IF('01_Вводные'!$B$310&gt;=3,'19_Расчет_аналитики'!V4665,0),IF('01_Вводные'!$B$310&gt;=4,'19_Расчет_аналитики'!W4665,0),IF('01_Вводные'!$B$310&gt;=5,'19_Расчет_аналитики'!X4665,0),IF('01_Вводные'!$B$310&gt;=6,'19_Расчет_аналитики'!Y4665,0))</f>
        <v/>
      </c>
      <c r="T4387">
        <f>SUM(IF('01_Вводные'!$B$310&gt;=1,'19_Расчет_аналитики'!U4665,0),IF('01_Вводные'!$B$310&gt;=2,'19_Расчет_аналитики'!V4665,0),IF('01_Вводные'!$B$310&gt;=3,'19_Расчет_аналитики'!W4665,0),IF('01_Вводные'!$B$310&gt;=4,'19_Расчет_аналитики'!X4665,0),IF('01_Вводные'!$B$310&gt;=5,'19_Расчет_аналитики'!Y4665,0),IF('01_Вводные'!$B$310&gt;=6,'19_Расчет_аналитики'!Z4665,0))</f>
        <v/>
      </c>
      <c r="U4387">
        <f>SUM(IF('01_Вводные'!$B$310&gt;=1,'19_Расчет_аналитики'!V4665,0),IF('01_Вводные'!$B$310&gt;=2,'19_Расчет_аналитики'!W4665,0),IF('01_Вводные'!$B$310&gt;=3,'19_Расчет_аналитики'!X4665,0),IF('01_Вводные'!$B$310&gt;=4,'19_Расчет_аналитики'!Y4665,0),IF('01_Вводные'!$B$310&gt;=5,'19_Расчет_аналитики'!Z4665,0),IF('01_Вводные'!$B$310&gt;=6,'19_Расчет_аналитики'!AA4665,0))</f>
        <v/>
      </c>
      <c r="V4387">
        <f>SUM(IF('01_Вводные'!$B$310&gt;=1,'19_Расчет_аналитики'!W4665,0),IF('01_Вводные'!$B$310&gt;=2,'19_Расчет_аналитики'!X4665,0),IF('01_Вводные'!$B$310&gt;=3,'19_Расчет_аналитики'!Y4665,0),IF('01_Вводные'!$B$310&gt;=4,'19_Расчет_аналитики'!Z4665,0),IF('01_Вводные'!$B$310&gt;=5,'19_Расчет_аналитики'!AA4665,0),IF('01_Вводные'!$B$310&gt;=6,'19_Расчет_аналитики'!AB4665,0))</f>
        <v/>
      </c>
      <c r="W4387">
        <f>SUM(IF('01_Вводные'!$B$310&gt;=1,'19_Расчет_аналитики'!X4665,0),IF('01_Вводные'!$B$310&gt;=2,'19_Расчет_аналитики'!Y4665,0),IF('01_Вводные'!$B$310&gt;=3,'19_Расчет_аналитики'!Z4665,0),IF('01_Вводные'!$B$310&gt;=4,'19_Расчет_аналитики'!AA4665,0),IF('01_Вводные'!$B$310&gt;=5,'19_Расчет_аналитики'!AB4665,0),IF('01_Вводные'!$B$310&gt;=6,'19_Расчет_аналитики'!AC4665,0))</f>
        <v/>
      </c>
      <c r="X4387">
        <f>SUM(IF('01_Вводные'!$B$310&gt;=1,'19_Расчет_аналитики'!Y4665,0),IF('01_Вводные'!$B$310&gt;=2,'19_Расчет_аналитики'!Z4665,0),IF('01_Вводные'!$B$310&gt;=3,'19_Расчет_аналитики'!AA4665,0),IF('01_Вводные'!$B$310&gt;=4,'19_Расчет_аналитики'!AB4665,0),IF('01_Вводные'!$B$310&gt;=5,'19_Расчет_аналитики'!AC4665,0),IF('01_Вводные'!$B$310&gt;=6,'19_Расчет_аналитики'!AD4665,0))</f>
        <v/>
      </c>
      <c r="Y4387">
        <f>SUM(IF('01_Вводные'!$B$310&gt;=1,'19_Расчет_аналитики'!Z4665,0),IF('01_Вводные'!$B$310&gt;=2,'19_Расчет_аналитики'!AA4665,0),IF('01_Вводные'!$B$310&gt;=3,'19_Расчет_аналитики'!AB4665,0),IF('01_Вводные'!$B$310&gt;=4,'19_Расчет_аналитики'!AC4665,0),IF('01_Вводные'!$B$310&gt;=5,'19_Расчет_аналитики'!AD4665,0),IF('01_Вводные'!$B$310&gt;=6,'19_Расчет_аналитики'!AE4665,0))</f>
        <v/>
      </c>
      <c r="Z4387">
        <f>SUM(IF('01_Вводные'!$B$310&gt;=1,'19_Расчет_аналитики'!AA4665,0),IF('01_Вводные'!$B$310&gt;=2,'19_Расчет_аналитики'!AB4665,0),IF('01_Вводные'!$B$310&gt;=3,'19_Расчет_аналитики'!AC4665,0),IF('01_Вводные'!$B$310&gt;=4,'19_Расчет_аналитики'!AD4665,0),IF('01_Вводные'!$B$310&gt;=5,'19_Расчет_аналитики'!AE4665,0),IF('01_Вводные'!$B$310&gt;=6,'19_Расчет_аналитики'!AF4665,0))</f>
        <v/>
      </c>
      <c r="AA4387">
        <f>SUM(IF('01_Вводные'!$B$310&gt;=1,'19_Расчет_аналитики'!AB4665,0),IF('01_Вводные'!$B$310&gt;=2,'19_Расчет_аналитики'!AC4665,0),IF('01_Вводные'!$B$310&gt;=3,'19_Расчет_аналитики'!AD4665,0),IF('01_Вводные'!$B$310&gt;=4,'19_Расчет_аналитики'!AE4665,0),IF('01_Вводные'!$B$310&gt;=5,'19_Расчет_аналитики'!AF4665,0),IF('01_Вводные'!$B$310&gt;=6,'19_Расчет_аналитики'!AG4665,0))</f>
        <v/>
      </c>
      <c r="AB4387">
        <f>SUM(IF('01_Вводные'!$B$310&gt;=1,'19_Расчет_аналитики'!AC4665,0),IF('01_Вводные'!$B$310&gt;=2,'19_Расчет_аналитики'!AD4665,0),IF('01_Вводные'!$B$310&gt;=3,'19_Расчет_аналитики'!AE4665,0),IF('01_Вводные'!$B$310&gt;=4,'19_Расчет_аналитики'!AF4665,0),IF('01_Вводные'!$B$310&gt;=5,'19_Расчет_аналитики'!AG4665,0),IF('01_Вводные'!$B$310&gt;=6,'19_Расчет_аналитики'!AH4665,0))</f>
        <v/>
      </c>
      <c r="AC4387">
        <f>SUM(IF('01_Вводные'!$B$310&gt;=1,'19_Расчет_аналитики'!AD4665,0),IF('01_Вводные'!$B$310&gt;=2,'19_Расчет_аналитики'!AE4665,0),IF('01_Вводные'!$B$310&gt;=3,'19_Расчет_аналитики'!AF4665,0),IF('01_Вводные'!$B$310&gt;=4,'19_Расчет_аналитики'!AG4665,0),IF('01_Вводные'!$B$310&gt;=5,'19_Расчет_аналитики'!AH4665,0),IF('01_Вводные'!$B$310&gt;=6,'19_Расчет_аналитики'!AI4665,0))</f>
        <v/>
      </c>
      <c r="AD4387">
        <f>SUM(IF('01_Вводные'!$B$310&gt;=1,'19_Расчет_аналитики'!AE4665,0),IF('01_Вводные'!$B$310&gt;=2,'19_Расчет_аналитики'!AF4665,0),IF('01_Вводные'!$B$310&gt;=3,'19_Расчет_аналитики'!AG4665,0),IF('01_Вводные'!$B$310&gt;=4,'19_Расчет_аналитики'!AH4665,0),IF('01_Вводные'!$B$310&gt;=5,'19_Расчет_аналитики'!AI4665,0),IF('01_Вводные'!$B$310&gt;=6,'19_Расчет_аналитики'!AJ4665,0))</f>
        <v/>
      </c>
      <c r="AE4387">
        <f>SUM(IF('01_Вводные'!$B$310&gt;=1,'19_Расчет_аналитики'!AF4665,0),IF('01_Вводные'!$B$310&gt;=2,'19_Расчет_аналитики'!AG4665,0),IF('01_Вводные'!$B$310&gt;=3,'19_Расчет_аналитики'!AH4665,0),IF('01_Вводные'!$B$310&gt;=4,'19_Расчет_аналитики'!AI4665,0),IF('01_Вводные'!$B$310&gt;=5,'19_Расчет_аналитики'!AJ4665,0),IF('01_Вводные'!$B$310&gt;=6,'19_Расчет_аналитики'!AK4665,0))</f>
        <v/>
      </c>
      <c r="AF4387">
        <f>SUM(IF('01_Вводные'!$B$310&gt;=1,'19_Расчет_аналитики'!AG4665,0),IF('01_Вводные'!$B$310&gt;=2,'19_Расчет_аналитики'!AH4665,0),IF('01_Вводные'!$B$310&gt;=3,'19_Расчет_аналитики'!AI4665,0),IF('01_Вводные'!$B$310&gt;=4,'19_Расчет_аналитики'!AJ4665,0),IF('01_Вводные'!$B$310&gt;=5,'19_Расчет_аналитики'!AK4665,0),IF('01_Вводные'!$B$310&gt;=6,'19_Расчет_аналитики'!AL4665,0))</f>
        <v/>
      </c>
      <c r="AG4387">
        <f>SUM(IF('01_Вводные'!$B$310&gt;=1,'19_Расчет_аналитики'!AH4665,0),IF('01_Вводные'!$B$310&gt;=2,'19_Расчет_аналитики'!AI4665,0),IF('01_Вводные'!$B$310&gt;=3,'19_Расчет_аналитики'!AJ4665,0),IF('01_Вводные'!$B$310&gt;=4,'19_Расчет_аналитики'!AK4665,0),IF('01_Вводные'!$B$310&gt;=5,'19_Расчет_аналитики'!AL4665,0),IF('01_Вводные'!$B$310&gt;=6,'19_Расчет_аналитики'!AM4665,0))</f>
        <v/>
      </c>
      <c r="AH4387">
        <f>SUM(IF('01_Вводные'!$B$310&gt;=1,'19_Расчет_аналитики'!AI4665,0),IF('01_Вводные'!$B$310&gt;=2,'19_Расчет_аналитики'!AJ4665,0),IF('01_Вводные'!$B$310&gt;=3,'19_Расчет_аналитики'!AK4665,0),IF('01_Вводные'!$B$310&gt;=4,'19_Расчет_аналитики'!AL4665,0),IF('01_Вводные'!$B$310&gt;=5,'19_Расчет_аналитики'!AM4665,0),IF('01_Вводные'!$B$310&gt;=6,'19_Расчет_аналитики'!AN4665,0))</f>
        <v/>
      </c>
      <c r="AI4387">
        <f>SUM(IF('01_Вводные'!$B$310&gt;=1,'19_Расчет_аналитики'!AJ4665,0),IF('01_Вводные'!$B$310&gt;=2,'19_Расчет_аналитики'!AK4665,0),IF('01_Вводные'!$B$310&gt;=3,'19_Расчет_аналитики'!AL4665,0),IF('01_Вводные'!$B$310&gt;=4,'19_Расчет_аналитики'!AM4665,0),IF('01_Вводные'!$B$310&gt;=5,'19_Расчет_аналитики'!AN4665,0),IF('01_Вводные'!$B$310&gt;=6,'19_Расчет_аналитики'!AO4665,0))</f>
        <v/>
      </c>
      <c r="AJ4387">
        <f>SUM(IF('01_Вводные'!$B$310&gt;=1,'19_Расчет_аналитики'!AK4665,0),IF('01_Вводные'!$B$310&gt;=2,'19_Расчет_аналитики'!AL4665,0),IF('01_Вводные'!$B$310&gt;=3,'19_Расчет_аналитики'!AM4665,0),IF('01_Вводные'!$B$310&gt;=4,'19_Расчет_аналитики'!AN4665,0),IF('01_Вводные'!$B$310&gt;=5,'19_Расчет_аналитики'!AO4665,0),IF('01_Вводные'!$B$310&gt;=6,'19_Расчет_аналитики'!AP4665,0))</f>
        <v/>
      </c>
      <c r="AK4387">
        <f>SUM(IF('01_Вводные'!$B$310&gt;=1,'19_Расчет_аналитики'!AL4665,0),IF('01_Вводные'!$B$310&gt;=2,'19_Расчет_аналитики'!AM4665,0),IF('01_Вводные'!$B$310&gt;=3,'19_Расчет_аналитики'!AN4665,0),IF('01_Вводные'!$B$310&gt;=4,'19_Расчет_аналитики'!AO4665,0),IF('01_Вводные'!$B$310&gt;=5,'19_Расчет_аналитики'!AP4665,0),IF('01_Вводные'!$B$310&gt;=6,'19_Расчет_аналитики'!AQ4665,0))</f>
        <v/>
      </c>
      <c r="AL4387">
        <f>SUM(IF('01_Вводные'!$B$310&gt;=1,'19_Расчет_аналитики'!AM4665,0),IF('01_Вводные'!$B$310&gt;=2,'19_Расчет_аналитики'!AN4665,0),IF('01_Вводные'!$B$310&gt;=3,'19_Расчет_аналитики'!AO4665,0),IF('01_Вводные'!$B$310&gt;=4,'19_Расчет_аналитики'!AP4665,0),IF('01_Вводные'!$B$310&gt;=5,'19_Расчет_аналитики'!AQ4665,0),IF('01_Вводные'!$B$310&gt;=6,'19_Расчет_аналитики'!AR4665,0))</f>
        <v/>
      </c>
      <c r="AM4387">
        <f>SUM(IF('01_Вводные'!$B$310&gt;=1,'19_Расчет_аналитики'!AN4665,0),IF('01_Вводные'!$B$310&gt;=2,'19_Расчет_аналитики'!AO4665,0),IF('01_Вводные'!$B$310&gt;=3,'19_Расчет_аналитики'!AP4665,0),IF('01_Вводные'!$B$310&gt;=4,'19_Расчет_аналитики'!AQ4665,0),IF('01_Вводные'!$B$310&gt;=5,'19_Расчет_аналитики'!AR4665,0),IF('01_Вводные'!$B$310&gt;=6,'19_Расчет_аналитики'!AS4665,0))</f>
        <v/>
      </c>
      <c r="AN4387">
        <f>SUM(IF('01_Вводные'!$B$310&gt;=1,'19_Расчет_аналитики'!AO4665,0),IF('01_Вводные'!$B$310&gt;=2,'19_Расчет_аналитики'!AP4665,0),IF('01_Вводные'!$B$310&gt;=3,'19_Расчет_аналитики'!AQ4665,0),IF('01_Вводные'!$B$310&gt;=4,'19_Расчет_аналитики'!AR4665,0),IF('01_Вводные'!$B$310&gt;=5,'19_Расчет_аналитики'!AS4665,0),IF('01_Вводные'!$B$310&gt;=6,'19_Расчет_аналитики'!AT4665,0))</f>
        <v/>
      </c>
      <c r="AO4387">
        <f>SUM(IF('01_Вводные'!$B$310&gt;=1,'19_Расчет_аналитики'!AP4665,0),IF('01_Вводные'!$B$310&gt;=2,'19_Расчет_аналитики'!AQ4665,0),IF('01_Вводные'!$B$310&gt;=3,'19_Расчет_аналитики'!AR4665,0),IF('01_Вводные'!$B$310&gt;=4,'19_Расчет_аналитики'!AS4665,0),IF('01_Вводные'!$B$310&gt;=5,'19_Расчет_аналитики'!AT4665,0),IF('01_Вводные'!$B$310&gt;=6,'19_Расчет_аналитики'!AU4665,0))</f>
        <v/>
      </c>
      <c r="AP4387">
        <f>SUM(IF('01_Вводные'!$B$310&gt;=1,'19_Расчет_аналитики'!AQ4665,0),IF('01_Вводные'!$B$310&gt;=2,'19_Расчет_аналитики'!AR4665,0),IF('01_Вводные'!$B$310&gt;=3,'19_Расчет_аналитики'!AS4665,0),IF('01_Вводные'!$B$310&gt;=4,'19_Расчет_аналитики'!AT4665,0),IF('01_Вводные'!$B$310&gt;=5,'19_Расчет_аналитики'!AU4665,0),IF('01_Вводные'!$B$310&gt;=6,'19_Расчет_аналитики'!AV4665,0))</f>
        <v/>
      </c>
      <c r="AQ4387">
        <f>SUM(IF('01_Вводные'!$B$310&gt;=1,'19_Расчет_аналитики'!AR4665,0),IF('01_Вводные'!$B$310&gt;=2,'19_Расчет_аналитики'!AS4665,0),IF('01_Вводные'!$B$310&gt;=3,'19_Расчет_аналитики'!AT4665,0),IF('01_Вводные'!$B$310&gt;=4,'19_Расчет_аналитики'!AU4665,0),IF('01_Вводные'!$B$310&gt;=5,'19_Расчет_аналитики'!AV4665,0),IF('01_Вводные'!$B$310&gt;=6,'19_Расчет_аналитики'!AW4665,0))</f>
        <v/>
      </c>
      <c r="AR4387">
        <f>SUM(IF('01_Вводные'!$B$310&gt;=1,'19_Расчет_аналитики'!AS4665,0),IF('01_Вводные'!$B$310&gt;=2,'19_Расчет_аналитики'!AT4665,0),IF('01_Вводные'!$B$310&gt;=3,'19_Расчет_аналитики'!AU4665,0),IF('01_Вводные'!$B$310&gt;=4,'19_Расчет_аналитики'!AV4665,0),IF('01_Вводные'!$B$310&gt;=5,'19_Расчет_аналитики'!AW4665,0),IF('01_Вводные'!$B$310&gt;=6,'19_Расчет_аналитики'!AX4665,0))</f>
        <v/>
      </c>
      <c r="AS4387">
        <f>SUM(IF('01_Вводные'!$B$310&gt;=1,'19_Расчет_аналитики'!AT4665,0),IF('01_Вводные'!$B$310&gt;=2,'19_Расчет_аналитики'!AU4665,0),IF('01_Вводные'!$B$310&gt;=3,'19_Расчет_аналитики'!AV4665,0),IF('01_Вводные'!$B$310&gt;=4,'19_Расчет_аналитики'!AW4665,0),IF('01_Вводные'!$B$310&gt;=5,'19_Расчет_аналитики'!AX4665,0),IF('01_Вводные'!$B$310&gt;=6,'19_Расчет_аналитики'!AY4665,0))</f>
        <v/>
      </c>
      <c r="AT4387">
        <f>SUM(IF('01_Вводные'!$B$310&gt;=1,'19_Расчет_аналитики'!AU4665,0),IF('01_Вводные'!$B$310&gt;=2,'19_Расчет_аналитики'!AV4665,0),IF('01_Вводные'!$B$310&gt;=3,'19_Расчет_аналитики'!AW4665,0),IF('01_Вводные'!$B$310&gt;=4,'19_Расчет_аналитики'!AX4665,0),IF('01_Вводные'!$B$310&gt;=5,'19_Расчет_аналитики'!AY4665,0),IF('01_Вводные'!$B$310&gt;=6,'19_Расчет_аналитики'!AZ4665,0))</f>
        <v/>
      </c>
      <c r="AU4387">
        <f>SUM(IF('01_Вводные'!$B$310&gt;=1,'19_Расчет_аналитики'!AV4665,0),IF('01_Вводные'!$B$310&gt;=2,'19_Расчет_аналитики'!AW4665,0),IF('01_Вводные'!$B$310&gt;=3,'19_Расчет_аналитики'!AX4665,0),IF('01_Вводные'!$B$310&gt;=4,'19_Расчет_аналитики'!AY4665,0),IF('01_Вводные'!$B$310&gt;=5,'19_Расчет_аналитики'!AZ4665,0),IF('01_Вводные'!$B$310&gt;=6,'19_Расчет_аналитики'!BA4665,0))</f>
        <v/>
      </c>
      <c r="AV4387">
        <f>SUM(IF('01_Вводные'!$B$310&gt;=1,'19_Расчет_аналитики'!AW4665,0),IF('01_Вводные'!$B$310&gt;=2,'19_Расчет_аналитики'!AX4665,0),IF('01_Вводные'!$B$310&gt;=3,'19_Расчет_аналитики'!AY4665,0),IF('01_Вводные'!$B$310&gt;=4,'19_Расчет_аналитики'!AZ4665,0),IF('01_Вводные'!$B$310&gt;=5,'19_Расчет_аналитики'!BA4665,0),IF('01_Вводные'!$B$310&gt;=6,'19_Расчет_аналитики'!BB4665,0))</f>
        <v/>
      </c>
      <c r="AW4387">
        <f>SUM(IF('01_Вводные'!$B$310&gt;=1,'19_Расчет_аналитики'!AX4665,0),IF('01_Вводные'!$B$310&gt;=2,'19_Расчет_аналитики'!AY4665,0),IF('01_Вводные'!$B$310&gt;=3,'19_Расчет_аналитики'!AZ4665,0),IF('01_Вводные'!$B$310&gt;=4,'19_Расчет_аналитики'!BA4665,0),IF('01_Вводные'!$B$310&gt;=5,'19_Расчет_аналитики'!BB4665,0),IF('01_Вводные'!$B$310&gt;=6,'19_Расчет_аналитики'!BC4665,0))</f>
        <v/>
      </c>
      <c r="AX4387">
        <f>SUM(IF('01_Вводные'!$B$310&gt;=1,'19_Расчет_аналитики'!AY4665,0),IF('01_Вводные'!$B$310&gt;=2,'19_Расчет_аналитики'!AZ4665,0),IF('01_Вводные'!$B$310&gt;=3,'19_Расчет_аналитики'!BA4665,0),IF('01_Вводные'!$B$310&gt;=4,'19_Расчет_аналитики'!BB4665,0),IF('01_Вводные'!$B$310&gt;=5,'19_Расчет_аналитики'!BC4665,0),IF('01_Вводные'!$B$310&gt;=6,'19_Расчет_аналитики'!BD4665,0))</f>
        <v/>
      </c>
      <c r="AY4387">
        <f>SUM(IF('01_Вводные'!$B$310&gt;=1,'19_Расчет_аналитики'!AZ4665,0),IF('01_Вводные'!$B$310&gt;=2,'19_Расчет_аналитики'!BA4665,0),IF('01_Вводные'!$B$310&gt;=3,'19_Расчет_аналитики'!BB4665,0),IF('01_Вводные'!$B$310&gt;=4,'19_Расчет_аналитики'!BC4665,0),IF('01_Вводные'!$B$310&gt;=5,'19_Расчет_аналитики'!BD4665,0),IF('01_Вводные'!$B$310&gt;=6,'19_Расчет_аналитики'!BE4665,0))</f>
        <v/>
      </c>
      <c r="AZ4387">
        <f>SUM(IF('01_Вводные'!$B$310&gt;=1,'19_Расчет_аналитики'!BA4665,0),IF('01_Вводные'!$B$310&gt;=2,'19_Расчет_аналитики'!BB4665,0),IF('01_Вводные'!$B$310&gt;=3,'19_Расчет_аналитики'!BC4665,0),IF('01_Вводные'!$B$310&gt;=4,'19_Расчет_аналитики'!BD4665,0),IF('01_Вводные'!$B$310&gt;=5,'19_Расчет_аналитики'!BE4665,0),IF('01_Вводные'!$B$310&gt;=6,'19_Расчет_аналитики'!BF4665,0))</f>
        <v/>
      </c>
      <c r="BA4387">
        <f>SUM(IF('01_Вводные'!$B$310&gt;=1,'19_Расчет_аналитики'!BB4665,0),IF('01_Вводные'!$B$310&gt;=2,'19_Расчет_аналитики'!BC4665,0),IF('01_Вводные'!$B$310&gt;=3,'19_Расчет_аналитики'!BD4665,0),IF('01_Вводные'!$B$310&gt;=4,'19_Расчет_аналитики'!BE4665,0),IF('01_Вводные'!$B$310&gt;=5,'19_Расчет_аналитики'!BF4665,0),IF('01_Вводные'!$B$310&gt;=6,'19_Расчет_аналитики'!BG4665,0))</f>
        <v/>
      </c>
      <c r="BB4387">
        <f>SUM(IF('01_Вводные'!$B$310&gt;=1,'19_Расчет_аналитики'!BC4665,0),IF('01_Вводные'!$B$310&gt;=2,'19_Расчет_аналитики'!BD4665,0),IF('01_Вводные'!$B$310&gt;=3,'19_Расчет_аналитики'!BE4665,0),IF('01_Вводные'!$B$310&gt;=4,'19_Расчет_аналитики'!BF4665,0),IF('01_Вводные'!$B$310&gt;=5,'19_Расчет_аналитики'!BG4665,0),IF('01_Вводные'!$B$310&gt;=6,'19_Расчет_аналитики'!BH4665,0))</f>
        <v/>
      </c>
      <c r="BC4387">
        <f>SUM(IF('01_Вводные'!$B$310&gt;=1,'19_Расчет_аналитики'!BD4665,0),IF('01_Вводные'!$B$310&gt;=2,'19_Расчет_аналитики'!BE4665,0),IF('01_Вводные'!$B$310&gt;=3,'19_Расчет_аналитики'!BF4665,0),IF('01_Вводные'!$B$310&gt;=4,'19_Расчет_аналитики'!BG4665,0),IF('01_Вводные'!$B$310&gt;=5,'19_Расчет_аналитики'!BH4665,0),IF('01_Вводные'!$B$310&gt;=6,'19_Расчет_аналитики'!BI4665,0))</f>
        <v/>
      </c>
      <c r="BD4387">
        <f>SUM(IF('01_Вводные'!$B$310&gt;=1,'19_Расчет_аналитики'!BE4665,0),IF('01_Вводные'!$B$310&gt;=2,'19_Расчет_аналитики'!BF4665,0),IF('01_Вводные'!$B$310&gt;=3,'19_Расчет_аналитики'!BG4665,0),IF('01_Вводные'!$B$310&gt;=4,'19_Расчет_аналитики'!BH4665,0),IF('01_Вводные'!$B$310&gt;=5,'19_Расчет_аналитики'!BI4665,0),IF('01_Вводные'!$B$310&gt;=6,'19_Расчет_аналитики'!BJ4665,0))</f>
        <v/>
      </c>
      <c r="BE4387">
        <f>SUM(IF('01_Вводные'!$B$310&gt;=1,'19_Расчет_аналитики'!BF4665,0),IF('01_Вводные'!$B$310&gt;=2,'19_Расчет_аналитики'!BG4665,0),IF('01_Вводные'!$B$310&gt;=3,'19_Расчет_аналитики'!BH4665,0),IF('01_Вводные'!$B$310&gt;=4,'19_Расчет_аналитики'!BI4665,0),IF('01_Вводные'!$B$310&gt;=5,'19_Расчет_аналитики'!BJ4665,0),IF('01_Вводные'!$B$310&gt;=6,'19_Расчет_аналитики'!BK4665,0))</f>
        <v/>
      </c>
      <c r="BF4387">
        <f>SUM(IF('01_Вводные'!$B$310&gt;=1,'19_Расчет_аналитики'!BG4665,0),IF('01_Вводные'!$B$310&gt;=2,'19_Расчет_аналитики'!BH4665,0),IF('01_Вводные'!$B$310&gt;=3,'19_Расчет_аналитики'!BI4665,0),IF('01_Вводные'!$B$310&gt;=4,'19_Расчет_аналитики'!BJ4665,0),IF('01_Вводные'!$B$310&gt;=5,'19_Расчет_аналитики'!BK4665,0),IF('01_Вводные'!$B$310&gt;=6,'19_Расчет_аналитики'!BL4665,0))</f>
        <v/>
      </c>
      <c r="BG4387">
        <f>SUM(IF('01_Вводные'!$B$310&gt;=1,'19_Расчет_аналитики'!BH4665,0),IF('01_Вводные'!$B$310&gt;=2,'19_Расчет_аналитики'!BI4665,0),IF('01_Вводные'!$B$310&gt;=3,'19_Расчет_аналитики'!BJ4665,0),IF('01_Вводные'!$B$310&gt;=4,'19_Расчет_аналитики'!BK4665,0),IF('01_Вводные'!$B$310&gt;=5,'19_Расчет_аналитики'!BL4665,0),IF('01_Вводные'!$B$310&gt;=6,'19_Расчет_аналитики'!BM4665,0))</f>
        <v/>
      </c>
      <c r="BH4387">
        <f>SUM(IF('01_Вводные'!$B$310&gt;=1,'19_Расчет_аналитики'!BI4665,0),IF('01_Вводные'!$B$310&gt;=2,'19_Расчет_аналитики'!BJ4665,0),IF('01_Вводные'!$B$310&gt;=3,'19_Расчет_аналитики'!BK4665,0),IF('01_Вводные'!$B$310&gt;=4,'19_Расчет_аналитики'!BL4665,0),IF('01_Вводные'!$B$310&gt;=5,'19_Расчет_аналитики'!BM4665,0),IF('01_Вводные'!$B$310&gt;=6,'19_Расчет_аналитики'!BN4665,0))</f>
        <v/>
      </c>
      <c r="BI4387">
        <f>SUM(IF('01_Вводные'!$B$310&gt;=1,'19_Расчет_аналитики'!BJ4665,0),IF('01_Вводные'!$B$310&gt;=2,'19_Расчет_аналитики'!BK4665,0),IF('01_Вводные'!$B$310&gt;=3,'19_Расчет_аналитики'!BL4665,0),IF('01_Вводные'!$B$310&gt;=4,'19_Расчет_аналитики'!BM4665,0),IF('01_Вводные'!$B$310&gt;=5,'19_Расчет_аналитики'!BN4665,0),IF('01_Вводные'!$B$310&gt;=6,'19_Расчет_аналитики'!BO4665,0))</f>
        <v/>
      </c>
      <c r="BJ4387">
        <f>SUM(IF('01_Вводные'!$B$310&gt;=1,'19_Расчет_аналитики'!BK4665,0),IF('01_Вводные'!$B$310&gt;=2,'19_Расчет_аналитики'!BL4665,0),IF('01_Вводные'!$B$310&gt;=3,'19_Расчет_аналитики'!BM4665,0),IF('01_Вводные'!$B$310&gt;=4,'19_Расчет_аналитики'!BN4665,0),IF('01_Вводные'!$B$310&gt;=5,'19_Расчет_аналитики'!BO4665,0),IF('01_Вводные'!$B$310&gt;=6,'19_Расчет_аналитики'!BP4665,0))</f>
        <v/>
      </c>
      <c r="BK4387">
        <f>SUM(IF('01_Вводные'!$B$310&gt;=1,'19_Расчет_аналитики'!BL4665,0),IF('01_Вводные'!$B$310&gt;=2,'19_Расчет_аналитики'!BM4665,0),IF('01_Вводные'!$B$310&gt;=3,'19_Расчет_аналитики'!BN4665,0),IF('01_Вводные'!$B$310&gt;=4,'19_Расчет_аналитики'!BO4665,0),IF('01_Вводные'!$B$310&gt;=5,'19_Расчет_аналитики'!BP4665,0),IF('01_Вводные'!$B$310&gt;=6,'19_Расчет_аналитики'!BQ4665,0))</f>
        <v/>
      </c>
      <c r="BL4387">
        <f>SUM(IF('01_Вводные'!$B$310&gt;=1,'19_Расчет_аналитики'!BM4665,0),IF('01_Вводные'!$B$310&gt;=2,'19_Расчет_аналитики'!BN4665,0),IF('01_Вводные'!$B$310&gt;=3,'19_Расчет_аналитики'!BO4665,0),IF('01_Вводные'!$B$310&gt;=4,'19_Расчет_аналитики'!BP4665,0),IF('01_Вводные'!$B$310&gt;=5,'19_Расчет_аналитики'!BQ4665,0),IF('01_Вводные'!$B$310&gt;=6,'19_Расчет_аналитики'!BR4665,0))</f>
        <v/>
      </c>
      <c r="BM4387">
        <f>SUM(IF('01_Вводные'!$B$310&gt;=1,'19_Расчет_аналитики'!BN4665,0),IF('01_Вводные'!$B$310&gt;=2,'19_Расчет_аналитики'!BO4665,0),IF('01_Вводные'!$B$310&gt;=3,'19_Расчет_аналитики'!BP4665,0),IF('01_Вводные'!$B$310&gt;=4,'19_Расчет_аналитики'!BQ4665,0),IF('01_Вводные'!$B$310&gt;=5,'19_Расчет_аналитики'!BR4665,0),IF('01_Вводные'!$B$310&gt;=6,'19_Расчет_аналитики'!BS4665,0))</f>
        <v/>
      </c>
      <c r="BN4387">
        <f>SUM(IF('01_Вводные'!$B$310&gt;=1,'19_Расчет_аналитики'!BO4665,0),IF('01_Вводные'!$B$310&gt;=2,'19_Расчет_аналитики'!BP4665,0),IF('01_Вводные'!$B$310&gt;=3,'19_Расчет_аналитики'!BQ4665,0),IF('01_Вводные'!$B$310&gt;=4,'19_Расчет_аналитики'!BR4665,0),IF('01_Вводные'!$B$310&gt;=5,'19_Расчет_аналитики'!BS4665,0),IF('01_Вводные'!$B$310&gt;=6,'19_Расчет_аналитики'!BT4665,0))</f>
        <v/>
      </c>
      <c r="BO4387">
        <f>SUM(IF('01_Вводные'!$B$310&gt;=1,'19_Расчет_аналитики'!BP4665,0),IF('01_Вводные'!$B$310&gt;=2,'19_Расчет_аналитики'!BQ4665,0),IF('01_Вводные'!$B$310&gt;=3,'19_Расчет_аналитики'!BR4665,0),IF('01_Вводные'!$B$310&gt;=4,'19_Расчет_аналитики'!BS4665,0),IF('01_Вводные'!$B$310&gt;=5,'19_Расчет_аналитики'!BT4665,0),IF('01_Вводные'!$B$310&gt;=6,'19_Расчет_аналитики'!BU4665,0))</f>
        <v/>
      </c>
    </row>
    <row r="4388">
      <c r="C4388">
        <f>IF('01_Вводные'!$B$234="Да",IF('01_Вводные'!$B$25&gt;0,ROUNDUP(ROUND('19_Расчет_аналитики'!C4386/'01_Вводные'!$B$25,10),0),0),0)</f>
        <v/>
      </c>
      <c r="D4388">
        <f>IF('01_Вводные'!$B$234="Да",IF('01_Вводные'!$B$25&gt;0,ROUNDUP(ROUND('19_Расчет_аналитики'!D4386/'01_Вводные'!$B$25,10),0),0),0)</f>
        <v/>
      </c>
      <c r="E4388">
        <f>IF('01_Вводные'!$B$234="Да",IF('01_Вводные'!$B$25&gt;0,ROUNDUP(ROUND('19_Расчет_аналитики'!E4386/'01_Вводные'!$B$25,10),0),0),0)</f>
        <v/>
      </c>
      <c r="F4388">
        <f>IF('01_Вводные'!$B$234="Да",IF('01_Вводные'!$B$25&gt;0,ROUNDUP(ROUND('19_Расчет_аналитики'!F4386/'01_Вводные'!$B$25,10),0),0),0)</f>
        <v/>
      </c>
      <c r="G4388">
        <f>IF('01_Вводные'!$B$234="Да",IF('01_Вводные'!$B$25&gt;0,ROUNDUP(ROUND('19_Расчет_аналитики'!G4386/'01_Вводные'!$B$25,10),0),0),0)</f>
        <v/>
      </c>
      <c r="H4388">
        <f>IF('01_Вводные'!$B$234="Да",IF('01_Вводные'!$B$25&gt;0,ROUNDUP(ROUND('19_Расчет_аналитики'!H4386/'01_Вводные'!$B$25,10),0),0),0)</f>
        <v/>
      </c>
      <c r="I4388">
        <f>IF('01_Вводные'!$B$234="Да",IF('01_Вводные'!$B$25&gt;0,ROUNDUP(ROUND('19_Расчет_аналитики'!I4386/'01_Вводные'!$B$25,10),0),0),0)</f>
        <v/>
      </c>
      <c r="J4388">
        <f>IF('01_Вводные'!$B$234="Да",IF('01_Вводные'!$B$25&gt;0,ROUNDUP(ROUND('19_Расчет_аналитики'!J4386/'01_Вводные'!$B$25,10),0),0),0)</f>
        <v/>
      </c>
      <c r="K4388">
        <f>IF('01_Вводные'!$B$234="Да",IF('01_Вводные'!$B$25&gt;0,ROUNDUP(ROUND('19_Расчет_аналитики'!K4386/'01_Вводные'!$B$25,10),0),0),0)</f>
        <v/>
      </c>
      <c r="L4388">
        <f>IF('01_Вводные'!$B$234="Да",IF('01_Вводные'!$B$25&gt;0,ROUNDUP(ROUND('19_Расчет_аналитики'!L4386/'01_Вводные'!$B$25,10),0),0),0)</f>
        <v/>
      </c>
      <c r="M4388">
        <f>IF('01_Вводные'!$B$234="Да",IF('01_Вводные'!$B$25&gt;0,ROUNDUP(ROUND('19_Расчет_аналитики'!M4386/'01_Вводные'!$B$25,10),0),0),0)</f>
        <v/>
      </c>
      <c r="N4388">
        <f>IF('01_Вводные'!$B$234="Да",IF('01_Вводные'!$B$25&gt;0,ROUNDUP(ROUND('19_Расчет_аналитики'!N4386/'01_Вводные'!$B$25,10),0),0),0)</f>
        <v/>
      </c>
      <c r="O4388">
        <f>IF('01_Вводные'!$B$234="Да",IF('01_Вводные'!$B$25&gt;0,ROUNDUP(ROUND('19_Расчет_аналитики'!O4386/'01_Вводные'!$B$25,10),0),0),0)</f>
        <v/>
      </c>
      <c r="P4388">
        <f>IF('01_Вводные'!$B$234="Да",IF('01_Вводные'!$B$25&gt;0,ROUNDUP(ROUND('19_Расчет_аналитики'!P4386/'01_Вводные'!$B$25,10),0),0),0)</f>
        <v/>
      </c>
      <c r="Q4388">
        <f>IF('01_Вводные'!$B$234="Да",IF('01_Вводные'!$B$25&gt;0,ROUNDUP(ROUND('19_Расчет_аналитики'!Q4386/'01_Вводные'!$B$25,10),0),0),0)</f>
        <v/>
      </c>
      <c r="R4388">
        <f>IF('01_Вводные'!$B$234="Да",IF('01_Вводные'!$B$25&gt;0,ROUNDUP(ROUND('19_Расчет_аналитики'!R4386/'01_Вводные'!$B$25,10),0),0),0)</f>
        <v/>
      </c>
      <c r="S4388">
        <f>IF('01_Вводные'!$B$234="Да",IF('01_Вводные'!$B$25&gt;0,ROUNDUP(ROUND('19_Расчет_аналитики'!S4386/'01_Вводные'!$B$25,10),0),0),0)</f>
        <v/>
      </c>
      <c r="T4388">
        <f>IF('01_Вводные'!$B$234="Да",IF('01_Вводные'!$B$25&gt;0,ROUNDUP(ROUND('19_Расчет_аналитики'!T4386/'01_Вводные'!$B$25,10),0),0),0)</f>
        <v/>
      </c>
      <c r="U4388">
        <f>IF('01_Вводные'!$B$234="Да",IF('01_Вводные'!$B$25&gt;0,ROUNDUP(ROUND('19_Расчет_аналитики'!U4386/'01_Вводные'!$B$25,10),0),0),0)</f>
        <v/>
      </c>
      <c r="V4388">
        <f>IF('01_Вводные'!$B$234="Да",IF('01_Вводные'!$B$25&gt;0,ROUNDUP(ROUND('19_Расчет_аналитики'!V4386/'01_Вводные'!$B$25,10),0),0),0)</f>
        <v/>
      </c>
      <c r="W4388">
        <f>IF('01_Вводные'!$B$234="Да",IF('01_Вводные'!$B$25&gt;0,ROUNDUP(ROUND('19_Расчет_аналитики'!W4386/'01_Вводные'!$B$25,10),0),0),0)</f>
        <v/>
      </c>
      <c r="X4388">
        <f>IF('01_Вводные'!$B$234="Да",IF('01_Вводные'!$B$25&gt;0,ROUNDUP(ROUND('19_Расчет_аналитики'!X4386/'01_Вводные'!$B$25,10),0),0),0)</f>
        <v/>
      </c>
      <c r="Y4388">
        <f>IF('01_Вводные'!$B$234="Да",IF('01_Вводные'!$B$25&gt;0,ROUNDUP(ROUND('19_Расчет_аналитики'!Y4386/'01_Вводные'!$B$25,10),0),0),0)</f>
        <v/>
      </c>
      <c r="Z4388">
        <f>IF('01_Вводные'!$B$234="Да",IF('01_Вводные'!$B$25&gt;0,ROUNDUP(ROUND('19_Расчет_аналитики'!Z4386/'01_Вводные'!$B$25,10),0),0),0)</f>
        <v/>
      </c>
      <c r="AA4388">
        <f>IF('01_Вводные'!$B$234="Да",IF('01_Вводные'!$B$25&gt;0,ROUNDUP(ROUND('19_Расчет_аналитики'!AA4386/'01_Вводные'!$B$25,10),0),0),0)</f>
        <v/>
      </c>
      <c r="AB4388">
        <f>IF('01_Вводные'!$B$234="Да",IF('01_Вводные'!$B$25&gt;0,ROUNDUP(ROUND('19_Расчет_аналитики'!AB4386/'01_Вводные'!$B$25,10),0),0),0)</f>
        <v/>
      </c>
      <c r="AC4388">
        <f>IF('01_Вводные'!$B$234="Да",IF('01_Вводные'!$B$25&gt;0,ROUNDUP(ROUND('19_Расчет_аналитики'!AC4386/'01_Вводные'!$B$25,10),0),0),0)</f>
        <v/>
      </c>
      <c r="AD4388">
        <f>IF('01_Вводные'!$B$234="Да",IF('01_Вводные'!$B$25&gt;0,ROUNDUP(ROUND('19_Расчет_аналитики'!AD4386/'01_Вводные'!$B$25,10),0),0),0)</f>
        <v/>
      </c>
      <c r="AE4388">
        <f>IF('01_Вводные'!$B$234="Да",IF('01_Вводные'!$B$25&gt;0,ROUNDUP(ROUND('19_Расчет_аналитики'!AE4386/'01_Вводные'!$B$25,10),0),0),0)</f>
        <v/>
      </c>
      <c r="AF4388">
        <f>IF('01_Вводные'!$B$234="Да",IF('01_Вводные'!$B$25&gt;0,ROUNDUP(ROUND('19_Расчет_аналитики'!AF4386/'01_Вводные'!$B$25,10),0),0),0)</f>
        <v/>
      </c>
      <c r="AG4388">
        <f>IF('01_Вводные'!$B$234="Да",IF('01_Вводные'!$B$25&gt;0,ROUNDUP(ROUND('19_Расчет_аналитики'!AG4386/'01_Вводные'!$B$25,10),0),0),0)</f>
        <v/>
      </c>
      <c r="AH4388">
        <f>IF('01_Вводные'!$B$234="Да",IF('01_Вводные'!$B$25&gt;0,ROUNDUP(ROUND('19_Расчет_аналитики'!AH4386/'01_Вводные'!$B$25,10),0),0),0)</f>
        <v/>
      </c>
      <c r="AI4388">
        <f>IF('01_Вводные'!$B$234="Да",IF('01_Вводные'!$B$25&gt;0,ROUNDUP(ROUND('19_Расчет_аналитики'!AI4386/'01_Вводные'!$B$25,10),0),0),0)</f>
        <v/>
      </c>
      <c r="AJ4388">
        <f>IF('01_Вводные'!$B$234="Да",IF('01_Вводные'!$B$25&gt;0,ROUNDUP(ROUND('19_Расчет_аналитики'!AJ4386/'01_Вводные'!$B$25,10),0),0),0)</f>
        <v/>
      </c>
      <c r="AK4388">
        <f>IF('01_Вводные'!$B$234="Да",IF('01_Вводные'!$B$25&gt;0,ROUNDUP(ROUND('19_Расчет_аналитики'!AK4386/'01_Вводные'!$B$25,10),0),0),0)</f>
        <v/>
      </c>
      <c r="AL4388">
        <f>IF('01_Вводные'!$B$234="Да",IF('01_Вводные'!$B$25&gt;0,ROUNDUP(ROUND('19_Расчет_аналитики'!AL4386/'01_Вводные'!$B$25,10),0),0),0)</f>
        <v/>
      </c>
      <c r="AM4388">
        <f>IF('01_Вводные'!$B$234="Да",IF('01_Вводные'!$B$25&gt;0,ROUNDUP(ROUND('19_Расчет_аналитики'!AM4386/'01_Вводные'!$B$25,10),0),0),0)</f>
        <v/>
      </c>
      <c r="AN4388">
        <f>IF('01_Вводные'!$B$234="Да",IF('01_Вводные'!$B$25&gt;0,ROUNDUP(ROUND('19_Расчет_аналитики'!AN4386/'01_Вводные'!$B$25,10),0),0),0)</f>
        <v/>
      </c>
      <c r="AO4388">
        <f>IF('01_Вводные'!$B$234="Да",IF('01_Вводные'!$B$25&gt;0,ROUNDUP(ROUND('19_Расчет_аналитики'!AO4386/'01_Вводные'!$B$25,10),0),0),0)</f>
        <v/>
      </c>
      <c r="AP4388">
        <f>IF('01_Вводные'!$B$234="Да",IF('01_Вводные'!$B$25&gt;0,ROUNDUP(ROUND('19_Расчет_аналитики'!AP4386/'01_Вводные'!$B$25,10),0),0),0)</f>
        <v/>
      </c>
      <c r="AQ4388">
        <f>IF('01_Вводные'!$B$234="Да",IF('01_Вводные'!$B$25&gt;0,ROUNDUP(ROUND('19_Расчет_аналитики'!AQ4386/'01_Вводные'!$B$25,10),0),0),0)</f>
        <v/>
      </c>
      <c r="AR4388">
        <f>IF('01_Вводные'!$B$234="Да",IF('01_Вводные'!$B$25&gt;0,ROUNDUP(ROUND('19_Расчет_аналитики'!AR4386/'01_Вводные'!$B$25,10),0),0),0)</f>
        <v/>
      </c>
      <c r="AS4388">
        <f>IF('01_Вводные'!$B$234="Да",IF('01_Вводные'!$B$25&gt;0,ROUNDUP(ROUND('19_Расчет_аналитики'!AS4386/'01_Вводные'!$B$25,10),0),0),0)</f>
        <v/>
      </c>
      <c r="AT4388">
        <f>IF('01_Вводные'!$B$234="Да",IF('01_Вводные'!$B$25&gt;0,ROUNDUP(ROUND('19_Расчет_аналитики'!AT4386/'01_Вводные'!$B$25,10),0),0),0)</f>
        <v/>
      </c>
      <c r="AU4388">
        <f>IF('01_Вводные'!$B$234="Да",IF('01_Вводные'!$B$25&gt;0,ROUNDUP(ROUND('19_Расчет_аналитики'!AU4386/'01_Вводные'!$B$25,10),0),0),0)</f>
        <v/>
      </c>
      <c r="AV4388">
        <f>IF('01_Вводные'!$B$234="Да",IF('01_Вводные'!$B$25&gt;0,ROUNDUP(ROUND('19_Расчет_аналитики'!AV4386/'01_Вводные'!$B$25,10),0),0),0)</f>
        <v/>
      </c>
      <c r="AW4388">
        <f>IF('01_Вводные'!$B$234="Да",IF('01_Вводные'!$B$25&gt;0,ROUNDUP(ROUND('19_Расчет_аналитики'!AW4386/'01_Вводные'!$B$25,10),0),0),0)</f>
        <v/>
      </c>
      <c r="AX4388">
        <f>IF('01_Вводные'!$B$234="Да",IF('01_Вводные'!$B$25&gt;0,ROUNDUP(ROUND('19_Расчет_аналитики'!AX4386/'01_Вводные'!$B$25,10),0),0),0)</f>
        <v/>
      </c>
      <c r="AY4388">
        <f>IF('01_Вводные'!$B$234="Да",IF('01_Вводные'!$B$25&gt;0,ROUNDUP(ROUND('19_Расчет_аналитики'!AY4386/'01_Вводные'!$B$25,10),0),0),0)</f>
        <v/>
      </c>
      <c r="AZ4388">
        <f>IF('01_Вводные'!$B$234="Да",IF('01_Вводные'!$B$25&gt;0,ROUNDUP(ROUND('19_Расчет_аналитики'!AZ4386/'01_Вводные'!$B$25,10),0),0),0)</f>
        <v/>
      </c>
      <c r="BA4388">
        <f>IF('01_Вводные'!$B$234="Да",IF('01_Вводные'!$B$25&gt;0,ROUNDUP(ROUND('19_Расчет_аналитики'!BA4386/'01_Вводные'!$B$25,10),0),0),0)</f>
        <v/>
      </c>
      <c r="BB4388">
        <f>IF('01_Вводные'!$B$234="Да",IF('01_Вводные'!$B$25&gt;0,ROUNDUP(ROUND('19_Расчет_аналитики'!BB4386/'01_Вводные'!$B$25,10),0),0),0)</f>
        <v/>
      </c>
      <c r="BC4388">
        <f>IF('01_Вводные'!$B$234="Да",IF('01_Вводные'!$B$25&gt;0,ROUNDUP(ROUND('19_Расчет_аналитики'!BC4386/'01_Вводные'!$B$25,10),0),0),0)</f>
        <v/>
      </c>
      <c r="BD4388">
        <f>IF('01_Вводные'!$B$234="Да",IF('01_Вводные'!$B$25&gt;0,ROUNDUP(ROUND('19_Расчет_аналитики'!BD4386/'01_Вводные'!$B$25,10),0),0),0)</f>
        <v/>
      </c>
      <c r="BE4388">
        <f>IF('01_Вводные'!$B$234="Да",IF('01_Вводные'!$B$25&gt;0,ROUNDUP(ROUND('19_Расчет_аналитики'!BE4386/'01_Вводные'!$B$25,10),0),0),0)</f>
        <v/>
      </c>
      <c r="BF4388">
        <f>IF('01_Вводные'!$B$234="Да",IF('01_Вводные'!$B$25&gt;0,ROUNDUP(ROUND('19_Расчет_аналитики'!BF4386/'01_Вводные'!$B$25,10),0),0),0)</f>
        <v/>
      </c>
      <c r="BG4388">
        <f>IF('01_Вводные'!$B$234="Да",IF('01_Вводные'!$B$25&gt;0,ROUNDUP(ROUND('19_Расчет_аналитики'!BG4386/'01_Вводные'!$B$25,10),0),0),0)</f>
        <v/>
      </c>
      <c r="BH4388">
        <f>IF('01_Вводные'!$B$234="Да",IF('01_Вводные'!$B$25&gt;0,ROUNDUP(ROUND('19_Расчет_аналитики'!BH4386/'01_Вводные'!$B$25,10),0),0),0)</f>
        <v/>
      </c>
      <c r="BI4388">
        <f>IF('01_Вводные'!$B$234="Да",IF('01_Вводные'!$B$25&gt;0,ROUNDUP(ROUND('19_Расчет_аналитики'!BI4386/'01_Вводные'!$B$25,10),0),0),0)</f>
        <v/>
      </c>
    </row>
    <row r="4389">
      <c r="B4389">
        <f>IF('01_Вводные'!$B$234="Да",IF(1&lt;='01_Вводные'!$B$15,0,INDEX('19_Расчет_аналитики'!$B$4386:$BI$4386,1,1-'01_Вводные'!$B$15))*'01_Вводные'!$B$298,0)</f>
        <v/>
      </c>
      <c r="C4389">
        <f>IF('01_Вводные'!$B$234="Да",IF(2&lt;='01_Вводные'!$B$15,0,INDEX('19_Расчет_аналитики'!$B$4386:$BI$4386,1,2-'01_Вводные'!$B$15))*'01_Вводные'!$B$298,0)</f>
        <v/>
      </c>
      <c r="D4389">
        <f>IF('01_Вводные'!$B$234="Да",IF(3&lt;='01_Вводные'!$B$15,0,INDEX('19_Расчет_аналитики'!$B$4386:$BI$4386,1,3-'01_Вводные'!$B$15))*'01_Вводные'!$B$298,0)</f>
        <v/>
      </c>
      <c r="E4389">
        <f>IF('01_Вводные'!$B$234="Да",IF(4&lt;='01_Вводные'!$B$15,0,INDEX('19_Расчет_аналитики'!$B$4386:$BI$4386,1,4-'01_Вводные'!$B$15))*'01_Вводные'!$B$298,0)</f>
        <v/>
      </c>
      <c r="F4389">
        <f>IF('01_Вводные'!$B$234="Да",IF(5&lt;='01_Вводные'!$B$15,0,INDEX('19_Расчет_аналитики'!$B$4386:$BI$4386,1,5-'01_Вводные'!$B$15))*'01_Вводные'!$B$298,0)</f>
        <v/>
      </c>
      <c r="G4389">
        <f>IF('01_Вводные'!$B$234="Да",IF(6&lt;='01_Вводные'!$B$15,0,INDEX('19_Расчет_аналитики'!$B$4386:$BI$4386,1,6-'01_Вводные'!$B$15))*'01_Вводные'!$B$298,0)</f>
        <v/>
      </c>
      <c r="H4389">
        <f>IF('01_Вводные'!$B$234="Да",IF(7&lt;='01_Вводные'!$B$15,0,INDEX('19_Расчет_аналитики'!$B$4386:$BI$4386,1,7-'01_Вводные'!$B$15))*'01_Вводные'!$B$298,0)</f>
        <v/>
      </c>
      <c r="I4389">
        <f>IF('01_Вводные'!$B$234="Да",IF(8&lt;='01_Вводные'!$B$15,0,INDEX('19_Расчет_аналитики'!$B$4386:$BI$4386,1,8-'01_Вводные'!$B$15))*'01_Вводные'!$B$298,0)</f>
        <v/>
      </c>
      <c r="J4389">
        <f>IF('01_Вводные'!$B$234="Да",IF(9&lt;='01_Вводные'!$B$15,0,INDEX('19_Расчет_аналитики'!$B$4386:$BI$4386,1,9-'01_Вводные'!$B$15))*'01_Вводные'!$B$298,0)</f>
        <v/>
      </c>
      <c r="K4389">
        <f>IF('01_Вводные'!$B$234="Да",IF(10&lt;='01_Вводные'!$B$15,0,INDEX('19_Расчет_аналитики'!$B$4386:$BI$4386,1,10-'01_Вводные'!$B$15))*'01_Вводные'!$B$298,0)</f>
        <v/>
      </c>
      <c r="L4389">
        <f>IF('01_Вводные'!$B$234="Да",IF(11&lt;='01_Вводные'!$B$15,0,INDEX('19_Расчет_аналитики'!$B$4386:$BI$4386,1,11-'01_Вводные'!$B$15))*'01_Вводные'!$B$298,0)</f>
        <v/>
      </c>
      <c r="M4389">
        <f>IF('01_Вводные'!$B$234="Да",IF(12&lt;='01_Вводные'!$B$15,0,INDEX('19_Расчет_аналитики'!$B$4386:$BI$4386,1,12-'01_Вводные'!$B$15))*'01_Вводные'!$B$298,0)</f>
        <v/>
      </c>
      <c r="N4389">
        <f>IF('01_Вводные'!$B$234="Да",IF(13&lt;='01_Вводные'!$B$15,0,INDEX('19_Расчет_аналитики'!$B$4386:$BI$4386,1,13-'01_Вводные'!$B$15))*'01_Вводные'!$B$298,0)</f>
        <v/>
      </c>
      <c r="O4389">
        <f>IF('01_Вводные'!$B$234="Да",IF(14&lt;='01_Вводные'!$B$15,0,INDEX('19_Расчет_аналитики'!$B$4386:$BI$4386,1,14-'01_Вводные'!$B$15))*'01_Вводные'!$B$298,0)</f>
        <v/>
      </c>
      <c r="P4389">
        <f>IF('01_Вводные'!$B$234="Да",IF(15&lt;='01_Вводные'!$B$15,0,INDEX('19_Расчет_аналитики'!$B$4386:$BI$4386,1,15-'01_Вводные'!$B$15))*'01_Вводные'!$B$298,0)</f>
        <v/>
      </c>
      <c r="Q4389">
        <f>IF('01_Вводные'!$B$234="Да",IF(16&lt;='01_Вводные'!$B$15,0,INDEX('19_Расчет_аналитики'!$B$4386:$BI$4386,1,16-'01_Вводные'!$B$15))*'01_Вводные'!$B$298,0)</f>
        <v/>
      </c>
      <c r="R4389">
        <f>IF('01_Вводные'!$B$234="Да",IF(17&lt;='01_Вводные'!$B$15,0,INDEX('19_Расчет_аналитики'!$B$4386:$BI$4386,1,17-'01_Вводные'!$B$15))*'01_Вводные'!$B$298,0)</f>
        <v/>
      </c>
      <c r="S4389">
        <f>IF('01_Вводные'!$B$234="Да",IF(18&lt;='01_Вводные'!$B$15,0,INDEX('19_Расчет_аналитики'!$B$4386:$BI$4386,1,18-'01_Вводные'!$B$15))*'01_Вводные'!$B$298,0)</f>
        <v/>
      </c>
      <c r="T4389">
        <f>IF('01_Вводные'!$B$234="Да",IF(19&lt;='01_Вводные'!$B$15,0,INDEX('19_Расчет_аналитики'!$B$4386:$BI$4386,1,19-'01_Вводные'!$B$15))*'01_Вводные'!$B$298,0)</f>
        <v/>
      </c>
      <c r="U4389">
        <f>IF('01_Вводные'!$B$234="Да",IF(20&lt;='01_Вводные'!$B$15,0,INDEX('19_Расчет_аналитики'!$B$4386:$BI$4386,1,20-'01_Вводные'!$B$15))*'01_Вводные'!$B$298,0)</f>
        <v/>
      </c>
      <c r="V4389">
        <f>IF('01_Вводные'!$B$234="Да",IF(21&lt;='01_Вводные'!$B$15,0,INDEX('19_Расчет_аналитики'!$B$4386:$BI$4386,1,21-'01_Вводные'!$B$15))*'01_Вводные'!$B$298,0)</f>
        <v/>
      </c>
      <c r="W4389">
        <f>IF('01_Вводные'!$B$234="Да",IF(22&lt;='01_Вводные'!$B$15,0,INDEX('19_Расчет_аналитики'!$B$4386:$BI$4386,1,22-'01_Вводные'!$B$15))*'01_Вводные'!$B$298,0)</f>
        <v/>
      </c>
      <c r="X4389">
        <f>IF('01_Вводные'!$B$234="Да",IF(23&lt;='01_Вводные'!$B$15,0,INDEX('19_Расчет_аналитики'!$B$4386:$BI$4386,1,23-'01_Вводные'!$B$15))*'01_Вводные'!$B$298,0)</f>
        <v/>
      </c>
      <c r="Y4389">
        <f>IF('01_Вводные'!$B$234="Да",IF(24&lt;='01_Вводные'!$B$15,0,INDEX('19_Расчет_аналитики'!$B$4386:$BI$4386,1,24-'01_Вводные'!$B$15))*'01_Вводные'!$B$298,0)</f>
        <v/>
      </c>
      <c r="Z4389">
        <f>IF('01_Вводные'!$B$234="Да",IF(25&lt;='01_Вводные'!$B$15,0,INDEX('19_Расчет_аналитики'!$B$4386:$BI$4386,1,25-'01_Вводные'!$B$15))*'01_Вводные'!$B$298,0)</f>
        <v/>
      </c>
      <c r="AA4389">
        <f>IF('01_Вводные'!$B$234="Да",IF(26&lt;='01_Вводные'!$B$15,0,INDEX('19_Расчет_аналитики'!$B$4386:$BI$4386,1,26-'01_Вводные'!$B$15))*'01_Вводные'!$B$298,0)</f>
        <v/>
      </c>
      <c r="AB4389">
        <f>IF('01_Вводные'!$B$234="Да",IF(27&lt;='01_Вводные'!$B$15,0,INDEX('19_Расчет_аналитики'!$B$4386:$BI$4386,1,27-'01_Вводные'!$B$15))*'01_Вводные'!$B$298,0)</f>
        <v/>
      </c>
      <c r="AC4389">
        <f>IF('01_Вводные'!$B$234="Да",IF(28&lt;='01_Вводные'!$B$15,0,INDEX('19_Расчет_аналитики'!$B$4386:$BI$4386,1,28-'01_Вводные'!$B$15))*'01_Вводные'!$B$298,0)</f>
        <v/>
      </c>
      <c r="AD4389">
        <f>IF('01_Вводные'!$B$234="Да",IF(29&lt;='01_Вводные'!$B$15,0,INDEX('19_Расчет_аналитики'!$B$4386:$BI$4386,1,29-'01_Вводные'!$B$15))*'01_Вводные'!$B$298,0)</f>
        <v/>
      </c>
      <c r="AE4389">
        <f>IF('01_Вводные'!$B$234="Да",IF(30&lt;='01_Вводные'!$B$15,0,INDEX('19_Расчет_аналитики'!$B$4386:$BI$4386,1,30-'01_Вводные'!$B$15))*'01_Вводные'!$B$298,0)</f>
        <v/>
      </c>
      <c r="AF4389">
        <f>IF('01_Вводные'!$B$234="Да",IF(31&lt;='01_Вводные'!$B$15,0,INDEX('19_Расчет_аналитики'!$B$4386:$BI$4386,1,31-'01_Вводные'!$B$15))*'01_Вводные'!$B$298,0)</f>
        <v/>
      </c>
      <c r="AG4389">
        <f>IF('01_Вводные'!$B$234="Да",IF(32&lt;='01_Вводные'!$B$15,0,INDEX('19_Расчет_аналитики'!$B$4386:$BI$4386,1,32-'01_Вводные'!$B$15))*'01_Вводные'!$B$298,0)</f>
        <v/>
      </c>
      <c r="AH4389">
        <f>IF('01_Вводные'!$B$234="Да",IF(33&lt;='01_Вводные'!$B$15,0,INDEX('19_Расчет_аналитики'!$B$4386:$BI$4386,1,33-'01_Вводные'!$B$15))*'01_Вводные'!$B$298,0)</f>
        <v/>
      </c>
      <c r="AI4389">
        <f>IF('01_Вводные'!$B$234="Да",IF(34&lt;='01_Вводные'!$B$15,0,INDEX('19_Расчет_аналитики'!$B$4386:$BI$4386,1,34-'01_Вводные'!$B$15))*'01_Вводные'!$B$298,0)</f>
        <v/>
      </c>
      <c r="AJ4389">
        <f>IF('01_Вводные'!$B$234="Да",IF(35&lt;='01_Вводные'!$B$15,0,INDEX('19_Расчет_аналитики'!$B$4386:$BI$4386,1,35-'01_Вводные'!$B$15))*'01_Вводные'!$B$298,0)</f>
        <v/>
      </c>
      <c r="AK4389">
        <f>IF('01_Вводные'!$B$234="Да",IF(36&lt;='01_Вводные'!$B$15,0,INDEX('19_Расчет_аналитики'!$B$4386:$BI$4386,1,36-'01_Вводные'!$B$15))*'01_Вводные'!$B$298,0)</f>
        <v/>
      </c>
      <c r="AL4389">
        <f>IF('01_Вводные'!$B$234="Да",IF(37&lt;='01_Вводные'!$B$15,0,INDEX('19_Расчет_аналитики'!$B$4386:$BI$4386,1,37-'01_Вводные'!$B$15))*'01_Вводные'!$B$298,0)</f>
        <v/>
      </c>
      <c r="AM4389">
        <f>IF('01_Вводные'!$B$234="Да",IF(38&lt;='01_Вводные'!$B$15,0,INDEX('19_Расчет_аналитики'!$B$4386:$BI$4386,1,38-'01_Вводные'!$B$15))*'01_Вводные'!$B$298,0)</f>
        <v/>
      </c>
      <c r="AN4389">
        <f>IF('01_Вводные'!$B$234="Да",IF(39&lt;='01_Вводные'!$B$15,0,INDEX('19_Расчет_аналитики'!$B$4386:$BI$4386,1,39-'01_Вводные'!$B$15))*'01_Вводные'!$B$298,0)</f>
        <v/>
      </c>
      <c r="AO4389">
        <f>IF('01_Вводные'!$B$234="Да",IF(40&lt;='01_Вводные'!$B$15,0,INDEX('19_Расчет_аналитики'!$B$4386:$BI$4386,1,40-'01_Вводные'!$B$15))*'01_Вводные'!$B$298,0)</f>
        <v/>
      </c>
      <c r="AP4389">
        <f>IF('01_Вводные'!$B$234="Да",IF(41&lt;='01_Вводные'!$B$15,0,INDEX('19_Расчет_аналитики'!$B$4386:$BI$4386,1,41-'01_Вводные'!$B$15))*'01_Вводные'!$B$298,0)</f>
        <v/>
      </c>
      <c r="AQ4389">
        <f>IF('01_Вводные'!$B$234="Да",IF(42&lt;='01_Вводные'!$B$15,0,INDEX('19_Расчет_аналитики'!$B$4386:$BI$4386,1,42-'01_Вводные'!$B$15))*'01_Вводные'!$B$298,0)</f>
        <v/>
      </c>
      <c r="AR4389">
        <f>IF('01_Вводные'!$B$234="Да",IF(43&lt;='01_Вводные'!$B$15,0,INDEX('19_Расчет_аналитики'!$B$4386:$BI$4386,1,43-'01_Вводные'!$B$15))*'01_Вводные'!$B$298,0)</f>
        <v/>
      </c>
      <c r="AS4389">
        <f>IF('01_Вводные'!$B$234="Да",IF(44&lt;='01_Вводные'!$B$15,0,INDEX('19_Расчет_аналитики'!$B$4386:$BI$4386,1,44-'01_Вводные'!$B$15))*'01_Вводные'!$B$298,0)</f>
        <v/>
      </c>
      <c r="AT4389">
        <f>IF('01_Вводные'!$B$234="Да",IF(45&lt;='01_Вводные'!$B$15,0,INDEX('19_Расчет_аналитики'!$B$4386:$BI$4386,1,45-'01_Вводные'!$B$15))*'01_Вводные'!$B$298,0)</f>
        <v/>
      </c>
      <c r="AU4389">
        <f>IF('01_Вводные'!$B$234="Да",IF(46&lt;='01_Вводные'!$B$15,0,INDEX('19_Расчет_аналитики'!$B$4386:$BI$4386,1,46-'01_Вводные'!$B$15))*'01_Вводные'!$B$298,0)</f>
        <v/>
      </c>
      <c r="AV4389">
        <f>IF('01_Вводные'!$B$234="Да",IF(47&lt;='01_Вводные'!$B$15,0,INDEX('19_Расчет_аналитики'!$B$4386:$BI$4386,1,47-'01_Вводные'!$B$15))*'01_Вводные'!$B$298,0)</f>
        <v/>
      </c>
      <c r="AW4389">
        <f>IF('01_Вводные'!$B$234="Да",IF(48&lt;='01_Вводные'!$B$15,0,INDEX('19_Расчет_аналитики'!$B$4386:$BI$4386,1,48-'01_Вводные'!$B$15))*'01_Вводные'!$B$298,0)</f>
        <v/>
      </c>
      <c r="AX4389">
        <f>IF('01_Вводные'!$B$234="Да",IF(49&lt;='01_Вводные'!$B$15,0,INDEX('19_Расчет_аналитики'!$B$4386:$BI$4386,1,49-'01_Вводные'!$B$15))*'01_Вводные'!$B$298,0)</f>
        <v/>
      </c>
      <c r="AY4389">
        <f>IF('01_Вводные'!$B$234="Да",IF(50&lt;='01_Вводные'!$B$15,0,INDEX('19_Расчет_аналитики'!$B$4386:$BI$4386,1,50-'01_Вводные'!$B$15))*'01_Вводные'!$B$298,0)</f>
        <v/>
      </c>
      <c r="AZ4389">
        <f>IF('01_Вводные'!$B$234="Да",IF(51&lt;='01_Вводные'!$B$15,0,INDEX('19_Расчет_аналитики'!$B$4386:$BI$4386,1,51-'01_Вводные'!$B$15))*'01_Вводные'!$B$298,0)</f>
        <v/>
      </c>
      <c r="BA4389">
        <f>IF('01_Вводные'!$B$234="Да",IF(52&lt;='01_Вводные'!$B$15,0,INDEX('19_Расчет_аналитики'!$B$4386:$BI$4386,1,52-'01_Вводные'!$B$15))*'01_Вводные'!$B$298,0)</f>
        <v/>
      </c>
      <c r="BB4389">
        <f>IF('01_Вводные'!$B$234="Да",IF(53&lt;='01_Вводные'!$B$15,0,INDEX('19_Расчет_аналитики'!$B$4386:$BI$4386,1,53-'01_Вводные'!$B$15))*'01_Вводные'!$B$298,0)</f>
        <v/>
      </c>
      <c r="BC4389">
        <f>IF('01_Вводные'!$B$234="Да",IF(54&lt;='01_Вводные'!$B$15,0,INDEX('19_Расчет_аналитики'!$B$4386:$BI$4386,1,54-'01_Вводные'!$B$15))*'01_Вводные'!$B$298,0)</f>
        <v/>
      </c>
      <c r="BD4389">
        <f>IF('01_Вводные'!$B$234="Да",IF(55&lt;='01_Вводные'!$B$15,0,INDEX('19_Расчет_аналитики'!$B$4386:$BI$4386,1,55-'01_Вводные'!$B$15))*'01_Вводные'!$B$298,0)</f>
        <v/>
      </c>
      <c r="BE4389">
        <f>IF('01_Вводные'!$B$234="Да",IF(56&lt;='01_Вводные'!$B$15,0,INDEX('19_Расчет_аналитики'!$B$4386:$BI$4386,1,56-'01_Вводные'!$B$15))*'01_Вводные'!$B$298,0)</f>
        <v/>
      </c>
      <c r="BF4389">
        <f>IF('01_Вводные'!$B$234="Да",IF(57&lt;='01_Вводные'!$B$15,0,INDEX('19_Расчет_аналитики'!$B$4386:$BI$4386,1,57-'01_Вводные'!$B$15))*'01_Вводные'!$B$298,0)</f>
        <v/>
      </c>
      <c r="BG4389">
        <f>IF('01_Вводные'!$B$234="Да",IF(58&lt;='01_Вводные'!$B$15,0,INDEX('19_Расчет_аналитики'!$B$4386:$BI$4386,1,58-'01_Вводные'!$B$15))*'01_Вводные'!$B$298,0)</f>
        <v/>
      </c>
      <c r="BH4389">
        <f>IF('01_Вводные'!$B$234="Да",IF(59&lt;='01_Вводные'!$B$15,0,INDEX('19_Расчет_аналитики'!$B$4386:$BI$4386,1,59-'01_Вводные'!$B$15))*'01_Вводные'!$B$298,0)</f>
        <v/>
      </c>
      <c r="BI4389">
        <f>IF('01_Вводные'!$B$234="Да",IF(60&lt;='01_Вводные'!$B$15,0,INDEX('19_Расчет_аналитики'!$B$4386:$BI$4386,1,60-'01_Вводные'!$B$15))*'01_Вводные'!$B$298,0)</f>
        <v/>
      </c>
    </row>
    <row r="4390"/>
    <row r="4391"/>
    <row r="4392">
      <c r="B4392">
        <f>IF('01_Вводные'!$B$234="Да",SUMIF('04_Продажи'!$B$28:$BI$28,'04_Продажи'!B$11,'19_Расчет_аналитики'!$B$4386:$BI$4386)*'19_Расчет_аналитики'!B4857,0)</f>
        <v/>
      </c>
      <c r="C4392">
        <f>IF('01_Вводные'!$B$234="Да",SUMIF('04_Продажи'!$B$28:$BI$28,'04_Продажи'!C$11,'19_Расчет_аналитики'!$B$4386:$BI$4386)*'19_Расчет_аналитики'!C4857,0)</f>
        <v/>
      </c>
      <c r="D4392">
        <f>IF('01_Вводные'!$B$234="Да",SUMIF('04_Продажи'!$B$28:$BI$28,'04_Продажи'!D$11,'19_Расчет_аналитики'!$B$4386:$BI$4386)*'19_Расчет_аналитики'!D4857,0)</f>
        <v/>
      </c>
      <c r="E4392">
        <f>IF('01_Вводные'!$B$234="Да",SUMIF('04_Продажи'!$B$28:$BI$28,'04_Продажи'!E$11,'19_Расчет_аналитики'!$B$4386:$BI$4386)*'19_Расчет_аналитики'!E4857,0)</f>
        <v/>
      </c>
      <c r="F4392">
        <f>IF('01_Вводные'!$B$234="Да",SUMIF('04_Продажи'!$B$28:$BI$28,'04_Продажи'!F$11,'19_Расчет_аналитики'!$B$4386:$BI$4386)*'19_Расчет_аналитики'!F4857,0)</f>
        <v/>
      </c>
      <c r="G4392">
        <f>IF('01_Вводные'!$B$234="Да",SUMIF('04_Продажи'!$B$28:$BI$28,'04_Продажи'!G$11,'19_Расчет_аналитики'!$B$4386:$BI$4386)*'19_Расчет_аналитики'!G4857,0)</f>
        <v/>
      </c>
      <c r="H4392">
        <f>IF('01_Вводные'!$B$234="Да",SUMIF('04_Продажи'!$B$28:$BI$28,'04_Продажи'!H$11,'19_Расчет_аналитики'!$B$4386:$BI$4386)*'19_Расчет_аналитики'!H4857,0)</f>
        <v/>
      </c>
      <c r="I4392">
        <f>IF('01_Вводные'!$B$234="Да",SUMIF('04_Продажи'!$B$28:$BI$28,'04_Продажи'!I$11,'19_Расчет_аналитики'!$B$4386:$BI$4386)*'19_Расчет_аналитики'!I4857,0)</f>
        <v/>
      </c>
      <c r="J4392">
        <f>IF('01_Вводные'!$B$234="Да",SUMIF('04_Продажи'!$B$28:$BI$28,'04_Продажи'!J$11,'19_Расчет_аналитики'!$B$4386:$BI$4386)*'19_Расчет_аналитики'!J4857,0)</f>
        <v/>
      </c>
      <c r="K4392">
        <f>IF('01_Вводные'!$B$234="Да",SUMIF('04_Продажи'!$B$28:$BI$28,'04_Продажи'!K$11,'19_Расчет_аналитики'!$B$4386:$BI$4386)*'19_Расчет_аналитики'!K4857,0)</f>
        <v/>
      </c>
      <c r="L4392">
        <f>IF('01_Вводные'!$B$234="Да",SUMIF('04_Продажи'!$B$28:$BI$28,'04_Продажи'!L$11,'19_Расчет_аналитики'!$B$4386:$BI$4386)*'19_Расчет_аналитики'!L4857,0)</f>
        <v/>
      </c>
      <c r="M4392">
        <f>IF('01_Вводные'!$B$234="Да",SUMIF('04_Продажи'!$B$28:$BI$28,'04_Продажи'!M$11,'19_Расчет_аналитики'!$B$4386:$BI$4386)*'19_Расчет_аналитики'!M4857,0)</f>
        <v/>
      </c>
      <c r="N4392">
        <f>IF('01_Вводные'!$B$234="Да",SUMIF('04_Продажи'!$B$28:$BI$28,'04_Продажи'!N$11,'19_Расчет_аналитики'!$B$4386:$BI$4386)*'19_Расчет_аналитики'!N4857,0)</f>
        <v/>
      </c>
      <c r="O4392">
        <f>IF('01_Вводные'!$B$234="Да",SUMIF('04_Продажи'!$B$28:$BI$28,'04_Продажи'!O$11,'19_Расчет_аналитики'!$B$4386:$BI$4386)*'19_Расчет_аналитики'!O4857,0)</f>
        <v/>
      </c>
      <c r="P4392">
        <f>IF('01_Вводные'!$B$234="Да",SUMIF('04_Продажи'!$B$28:$BI$28,'04_Продажи'!P$11,'19_Расчет_аналитики'!$B$4386:$BI$4386)*'19_Расчет_аналитики'!P4857,0)</f>
        <v/>
      </c>
      <c r="Q4392">
        <f>IF('01_Вводные'!$B$234="Да",SUMIF('04_Продажи'!$B$28:$BI$28,'04_Продажи'!Q$11,'19_Расчет_аналитики'!$B$4386:$BI$4386)*'19_Расчет_аналитики'!Q4857,0)</f>
        <v/>
      </c>
      <c r="R4392">
        <f>IF('01_Вводные'!$B$234="Да",SUMIF('04_Продажи'!$B$28:$BI$28,'04_Продажи'!R$11,'19_Расчет_аналитики'!$B$4386:$BI$4386)*'19_Расчет_аналитики'!R4857,0)</f>
        <v/>
      </c>
      <c r="S4392">
        <f>IF('01_Вводные'!$B$234="Да",SUMIF('04_Продажи'!$B$28:$BI$28,'04_Продажи'!S$11,'19_Расчет_аналитики'!$B$4386:$BI$4386)*'19_Расчет_аналитики'!S4857,0)</f>
        <v/>
      </c>
      <c r="T4392">
        <f>IF('01_Вводные'!$B$234="Да",SUMIF('04_Продажи'!$B$28:$BI$28,'04_Продажи'!T$11,'19_Расчет_аналитики'!$B$4386:$BI$4386)*'19_Расчет_аналитики'!T4857,0)</f>
        <v/>
      </c>
      <c r="U4392">
        <f>IF('01_Вводные'!$B$234="Да",SUMIF('04_Продажи'!$B$28:$BI$28,'04_Продажи'!U$11,'19_Расчет_аналитики'!$B$4386:$BI$4386)*'19_Расчет_аналитики'!U4857,0)</f>
        <v/>
      </c>
      <c r="V4392">
        <f>IF('01_Вводные'!$B$234="Да",SUMIF('04_Продажи'!$B$28:$BI$28,'04_Продажи'!V$11,'19_Расчет_аналитики'!$B$4386:$BI$4386)*'19_Расчет_аналитики'!V4857,0)</f>
        <v/>
      </c>
      <c r="W4392">
        <f>IF('01_Вводные'!$B$234="Да",SUMIF('04_Продажи'!$B$28:$BI$28,'04_Продажи'!W$11,'19_Расчет_аналитики'!$B$4386:$BI$4386)*'19_Расчет_аналитики'!W4857,0)</f>
        <v/>
      </c>
      <c r="X4392">
        <f>IF('01_Вводные'!$B$234="Да",SUMIF('04_Продажи'!$B$28:$BI$28,'04_Продажи'!X$11,'19_Расчет_аналитики'!$B$4386:$BI$4386)*'19_Расчет_аналитики'!X4857,0)</f>
        <v/>
      </c>
      <c r="Y4392">
        <f>IF('01_Вводные'!$B$234="Да",SUMIF('04_Продажи'!$B$28:$BI$28,'04_Продажи'!Y$11,'19_Расчет_аналитики'!$B$4386:$BI$4386)*'19_Расчет_аналитики'!Y4857,0)</f>
        <v/>
      </c>
      <c r="Z4392">
        <f>IF('01_Вводные'!$B$234="Да",SUMIF('04_Продажи'!$B$28:$BI$28,'04_Продажи'!Z$11,'19_Расчет_аналитики'!$B$4386:$BI$4386)*'19_Расчет_аналитики'!Z4857,0)</f>
        <v/>
      </c>
      <c r="AA4392">
        <f>IF('01_Вводные'!$B$234="Да",SUMIF('04_Продажи'!$B$28:$BI$28,'04_Продажи'!AA$11,'19_Расчет_аналитики'!$B$4386:$BI$4386)*'19_Расчет_аналитики'!AA4857,0)</f>
        <v/>
      </c>
      <c r="AB4392">
        <f>IF('01_Вводные'!$B$234="Да",SUMIF('04_Продажи'!$B$28:$BI$28,'04_Продажи'!AB$11,'19_Расчет_аналитики'!$B$4386:$BI$4386)*'19_Расчет_аналитики'!AB4857,0)</f>
        <v/>
      </c>
      <c r="AC4392">
        <f>IF('01_Вводные'!$B$234="Да",SUMIF('04_Продажи'!$B$28:$BI$28,'04_Продажи'!AC$11,'19_Расчет_аналитики'!$B$4386:$BI$4386)*'19_Расчет_аналитики'!AC4857,0)</f>
        <v/>
      </c>
      <c r="AD4392">
        <f>IF('01_Вводные'!$B$234="Да",SUMIF('04_Продажи'!$B$28:$BI$28,'04_Продажи'!AD$11,'19_Расчет_аналитики'!$B$4386:$BI$4386)*'19_Расчет_аналитики'!AD4857,0)</f>
        <v/>
      </c>
      <c r="AE4392">
        <f>IF('01_Вводные'!$B$234="Да",SUMIF('04_Продажи'!$B$28:$BI$28,'04_Продажи'!AE$11,'19_Расчет_аналитики'!$B$4386:$BI$4386)*'19_Расчет_аналитики'!AE4857,0)</f>
        <v/>
      </c>
      <c r="AF4392">
        <f>IF('01_Вводные'!$B$234="Да",SUMIF('04_Продажи'!$B$28:$BI$28,'04_Продажи'!AF$11,'19_Расчет_аналитики'!$B$4386:$BI$4386)*'19_Расчет_аналитики'!AF4857,0)</f>
        <v/>
      </c>
      <c r="AG4392">
        <f>IF('01_Вводные'!$B$234="Да",SUMIF('04_Продажи'!$B$28:$BI$28,'04_Продажи'!AG$11,'19_Расчет_аналитики'!$B$4386:$BI$4386)*'19_Расчет_аналитики'!AG4857,0)</f>
        <v/>
      </c>
      <c r="AH4392">
        <f>IF('01_Вводные'!$B$234="Да",SUMIF('04_Продажи'!$B$28:$BI$28,'04_Продажи'!AH$11,'19_Расчет_аналитики'!$B$4386:$BI$4386)*'19_Расчет_аналитики'!AH4857,0)</f>
        <v/>
      </c>
      <c r="AI4392">
        <f>IF('01_Вводные'!$B$234="Да",SUMIF('04_Продажи'!$B$28:$BI$28,'04_Продажи'!AI$11,'19_Расчет_аналитики'!$B$4386:$BI$4386)*'19_Расчет_аналитики'!AI4857,0)</f>
        <v/>
      </c>
      <c r="AJ4392">
        <f>IF('01_Вводные'!$B$234="Да",SUMIF('04_Продажи'!$B$28:$BI$28,'04_Продажи'!AJ$11,'19_Расчет_аналитики'!$B$4386:$BI$4386)*'19_Расчет_аналитики'!AJ4857,0)</f>
        <v/>
      </c>
      <c r="AK4392">
        <f>IF('01_Вводные'!$B$234="Да",SUMIF('04_Продажи'!$B$28:$BI$28,'04_Продажи'!AK$11,'19_Расчет_аналитики'!$B$4386:$BI$4386)*'19_Расчет_аналитики'!AK4857,0)</f>
        <v/>
      </c>
      <c r="AL4392">
        <f>IF('01_Вводные'!$B$234="Да",SUMIF('04_Продажи'!$B$28:$BI$28,'04_Продажи'!AL$11,'19_Расчет_аналитики'!$B$4386:$BI$4386)*'19_Расчет_аналитики'!AL4857,0)</f>
        <v/>
      </c>
      <c r="AM4392">
        <f>IF('01_Вводные'!$B$234="Да",SUMIF('04_Продажи'!$B$28:$BI$28,'04_Продажи'!AM$11,'19_Расчет_аналитики'!$B$4386:$BI$4386)*'19_Расчет_аналитики'!AM4857,0)</f>
        <v/>
      </c>
      <c r="AN4392">
        <f>IF('01_Вводные'!$B$234="Да",SUMIF('04_Продажи'!$B$28:$BI$28,'04_Продажи'!AN$11,'19_Расчет_аналитики'!$B$4386:$BI$4386)*'19_Расчет_аналитики'!AN4857,0)</f>
        <v/>
      </c>
      <c r="AO4392">
        <f>IF('01_Вводные'!$B$234="Да",SUMIF('04_Продажи'!$B$28:$BI$28,'04_Продажи'!AO$11,'19_Расчет_аналитики'!$B$4386:$BI$4386)*'19_Расчет_аналитики'!AO4857,0)</f>
        <v/>
      </c>
      <c r="AP4392">
        <f>IF('01_Вводные'!$B$234="Да",SUMIF('04_Продажи'!$B$28:$BI$28,'04_Продажи'!AP$11,'19_Расчет_аналитики'!$B$4386:$BI$4386)*'19_Расчет_аналитики'!AP4857,0)</f>
        <v/>
      </c>
      <c r="AQ4392">
        <f>IF('01_Вводные'!$B$234="Да",SUMIF('04_Продажи'!$B$28:$BI$28,'04_Продажи'!AQ$11,'19_Расчет_аналитики'!$B$4386:$BI$4386)*'19_Расчет_аналитики'!AQ4857,0)</f>
        <v/>
      </c>
      <c r="AR4392">
        <f>IF('01_Вводные'!$B$234="Да",SUMIF('04_Продажи'!$B$28:$BI$28,'04_Продажи'!AR$11,'19_Расчет_аналитики'!$B$4386:$BI$4386)*'19_Расчет_аналитики'!AR4857,0)</f>
        <v/>
      </c>
      <c r="AS4392">
        <f>IF('01_Вводные'!$B$234="Да",SUMIF('04_Продажи'!$B$28:$BI$28,'04_Продажи'!AS$11,'19_Расчет_аналитики'!$B$4386:$BI$4386)*'19_Расчет_аналитики'!AS4857,0)</f>
        <v/>
      </c>
      <c r="AT4392">
        <f>IF('01_Вводные'!$B$234="Да",SUMIF('04_Продажи'!$B$28:$BI$28,'04_Продажи'!AT$11,'19_Расчет_аналитики'!$B$4386:$BI$4386)*'19_Расчет_аналитики'!AT4857,0)</f>
        <v/>
      </c>
      <c r="AU4392">
        <f>IF('01_Вводные'!$B$234="Да",SUMIF('04_Продажи'!$B$28:$BI$28,'04_Продажи'!AU$11,'19_Расчет_аналитики'!$B$4386:$BI$4386)*'19_Расчет_аналитики'!AU4857,0)</f>
        <v/>
      </c>
      <c r="AV4392">
        <f>IF('01_Вводные'!$B$234="Да",SUMIF('04_Продажи'!$B$28:$BI$28,'04_Продажи'!AV$11,'19_Расчет_аналитики'!$B$4386:$BI$4386)*'19_Расчет_аналитики'!AV4857,0)</f>
        <v/>
      </c>
      <c r="AW4392">
        <f>IF('01_Вводные'!$B$234="Да",SUMIF('04_Продажи'!$B$28:$BI$28,'04_Продажи'!AW$11,'19_Расчет_аналитики'!$B$4386:$BI$4386)*'19_Расчет_аналитики'!AW4857,0)</f>
        <v/>
      </c>
      <c r="AX4392">
        <f>IF('01_Вводные'!$B$234="Да",SUMIF('04_Продажи'!$B$28:$BI$28,'04_Продажи'!AX$11,'19_Расчет_аналитики'!$B$4386:$BI$4386)*'19_Расчет_аналитики'!AX4857,0)</f>
        <v/>
      </c>
      <c r="AY4392">
        <f>IF('01_Вводные'!$B$234="Да",SUMIF('04_Продажи'!$B$28:$BI$28,'04_Продажи'!AY$11,'19_Расчет_аналитики'!$B$4386:$BI$4386)*'19_Расчет_аналитики'!AY4857,0)</f>
        <v/>
      </c>
      <c r="AZ4392">
        <f>IF('01_Вводные'!$B$234="Да",SUMIF('04_Продажи'!$B$28:$BI$28,'04_Продажи'!AZ$11,'19_Расчет_аналитики'!$B$4386:$BI$4386)*'19_Расчет_аналитики'!AZ4857,0)</f>
        <v/>
      </c>
      <c r="BA4392">
        <f>IF('01_Вводные'!$B$234="Да",SUMIF('04_Продажи'!$B$28:$BI$28,'04_Продажи'!BA$11,'19_Расчет_аналитики'!$B$4386:$BI$4386)*'19_Расчет_аналитики'!BA4857,0)</f>
        <v/>
      </c>
      <c r="BB4392">
        <f>IF('01_Вводные'!$B$234="Да",SUMIF('04_Продажи'!$B$28:$BI$28,'04_Продажи'!BB$11,'19_Расчет_аналитики'!$B$4386:$BI$4386)*'19_Расчет_аналитики'!BB4857,0)</f>
        <v/>
      </c>
      <c r="BC4392">
        <f>IF('01_Вводные'!$B$234="Да",SUMIF('04_Продажи'!$B$28:$BI$28,'04_Продажи'!BC$11,'19_Расчет_аналитики'!$B$4386:$BI$4386)*'19_Расчет_аналитики'!BC4857,0)</f>
        <v/>
      </c>
      <c r="BD4392">
        <f>IF('01_Вводные'!$B$234="Да",SUMIF('04_Продажи'!$B$28:$BI$28,'04_Продажи'!BD$11,'19_Расчет_аналитики'!$B$4386:$BI$4386)*'19_Расчет_аналитики'!BD4857,0)</f>
        <v/>
      </c>
      <c r="BE4392">
        <f>IF('01_Вводные'!$B$234="Да",SUMIF('04_Продажи'!$B$28:$BI$28,'04_Продажи'!BE$11,'19_Расчет_аналитики'!$B$4386:$BI$4386)*'19_Расчет_аналитики'!BE4857,0)</f>
        <v/>
      </c>
      <c r="BF4392">
        <f>IF('01_Вводные'!$B$234="Да",SUMIF('04_Продажи'!$B$28:$BI$28,'04_Продажи'!BF$11,'19_Расчет_аналитики'!$B$4386:$BI$4386)*'19_Расчет_аналитики'!BF4857,0)</f>
        <v/>
      </c>
      <c r="BG4392">
        <f>IF('01_Вводные'!$B$234="Да",SUMIF('04_Продажи'!$B$28:$BI$28,'04_Продажи'!BG$11,'19_Расчет_аналитики'!$B$4386:$BI$4386)*'19_Расчет_аналитики'!BG4857,0)</f>
        <v/>
      </c>
      <c r="BH4392">
        <f>IF('01_Вводные'!$B$234="Да",SUMIF('04_Продажи'!$B$28:$BI$28,'04_Продажи'!BH$11,'19_Расчет_аналитики'!$B$4386:$BI$4386)*'19_Расчет_аналитики'!BH4857,0)</f>
        <v/>
      </c>
      <c r="BI4392">
        <f>IF('01_Вводные'!$B$234="Да",SUMIF('04_Продажи'!$B$28:$BI$28,'04_Продажи'!BI$11,'19_Расчет_аналитики'!$B$4386:$BI$4386)*'19_Расчет_аналитики'!BI4857,0)</f>
        <v/>
      </c>
    </row>
    <row r="4393"/>
    <row r="4394">
      <c r="B4394">
        <f>IF('01_Вводные'!$B$234="Да",'19_Расчет_аналитики'!B4392+'04_Продажи'!B22,0)</f>
        <v/>
      </c>
      <c r="C4394">
        <f>IF('01_Вводные'!$B$234="Да",'19_Расчет_аналитики'!C4392+'04_Продажи'!C22,0)</f>
        <v/>
      </c>
      <c r="D4394">
        <f>IF('01_Вводные'!$B$234="Да",'19_Расчет_аналитики'!D4392+'04_Продажи'!D22,0)</f>
        <v/>
      </c>
      <c r="E4394">
        <f>IF('01_Вводные'!$B$234="Да",'19_Расчет_аналитики'!E4392+'04_Продажи'!E22,0)</f>
        <v/>
      </c>
      <c r="F4394">
        <f>IF('01_Вводные'!$B$234="Да",'19_Расчет_аналитики'!F4392+'04_Продажи'!F22,0)</f>
        <v/>
      </c>
      <c r="G4394">
        <f>IF('01_Вводные'!$B$234="Да",'19_Расчет_аналитики'!G4392+'04_Продажи'!G22,0)</f>
        <v/>
      </c>
      <c r="H4394">
        <f>IF('01_Вводные'!$B$234="Да",'19_Расчет_аналитики'!H4392+'04_Продажи'!H22,0)</f>
        <v/>
      </c>
      <c r="I4394">
        <f>IF('01_Вводные'!$B$234="Да",'19_Расчет_аналитики'!I4392+'04_Продажи'!I22,0)</f>
        <v/>
      </c>
      <c r="J4394">
        <f>IF('01_Вводные'!$B$234="Да",'19_Расчет_аналитики'!J4392+'04_Продажи'!J22,0)</f>
        <v/>
      </c>
      <c r="K4394">
        <f>IF('01_Вводные'!$B$234="Да",'19_Расчет_аналитики'!K4392+'04_Продажи'!K22,0)</f>
        <v/>
      </c>
      <c r="L4394">
        <f>IF('01_Вводные'!$B$234="Да",'19_Расчет_аналитики'!L4392+'04_Продажи'!L22,0)</f>
        <v/>
      </c>
      <c r="M4394">
        <f>IF('01_Вводные'!$B$234="Да",'19_Расчет_аналитики'!M4392+'04_Продажи'!M22,0)</f>
        <v/>
      </c>
      <c r="N4394">
        <f>IF('01_Вводные'!$B$234="Да",'19_Расчет_аналитики'!N4392+'04_Продажи'!N22,0)</f>
        <v/>
      </c>
      <c r="O4394">
        <f>IF('01_Вводные'!$B$234="Да",'19_Расчет_аналитики'!O4392+'04_Продажи'!O22,0)</f>
        <v/>
      </c>
      <c r="P4394">
        <f>IF('01_Вводные'!$B$234="Да",'19_Расчет_аналитики'!P4392+'04_Продажи'!P22,0)</f>
        <v/>
      </c>
      <c r="Q4394">
        <f>IF('01_Вводные'!$B$234="Да",'19_Расчет_аналитики'!Q4392+'04_Продажи'!Q22,0)</f>
        <v/>
      </c>
      <c r="R4394">
        <f>IF('01_Вводные'!$B$234="Да",'19_Расчет_аналитики'!R4392+'04_Продажи'!R22,0)</f>
        <v/>
      </c>
      <c r="S4394">
        <f>IF('01_Вводные'!$B$234="Да",'19_Расчет_аналитики'!S4392+'04_Продажи'!S22,0)</f>
        <v/>
      </c>
      <c r="T4394">
        <f>IF('01_Вводные'!$B$234="Да",'19_Расчет_аналитики'!T4392+'04_Продажи'!T22,0)</f>
        <v/>
      </c>
      <c r="U4394">
        <f>IF('01_Вводные'!$B$234="Да",'19_Расчет_аналитики'!U4392+'04_Продажи'!U22,0)</f>
        <v/>
      </c>
      <c r="V4394">
        <f>IF('01_Вводные'!$B$234="Да",'19_Расчет_аналитики'!V4392+'04_Продажи'!V22,0)</f>
        <v/>
      </c>
      <c r="W4394">
        <f>IF('01_Вводные'!$B$234="Да",'19_Расчет_аналитики'!W4392+'04_Продажи'!W22,0)</f>
        <v/>
      </c>
      <c r="X4394">
        <f>IF('01_Вводные'!$B$234="Да",'19_Расчет_аналитики'!X4392+'04_Продажи'!X22,0)</f>
        <v/>
      </c>
      <c r="Y4394">
        <f>IF('01_Вводные'!$B$234="Да",'19_Расчет_аналитики'!Y4392+'04_Продажи'!Y22,0)</f>
        <v/>
      </c>
      <c r="Z4394">
        <f>IF('01_Вводные'!$B$234="Да",'19_Расчет_аналитики'!Z4392+'04_Продажи'!Z22,0)</f>
        <v/>
      </c>
      <c r="AA4394">
        <f>IF('01_Вводные'!$B$234="Да",'19_Расчет_аналитики'!AA4392+'04_Продажи'!AA22,0)</f>
        <v/>
      </c>
      <c r="AB4394">
        <f>IF('01_Вводные'!$B$234="Да",'19_Расчет_аналитики'!AB4392+'04_Продажи'!AB22,0)</f>
        <v/>
      </c>
      <c r="AC4394">
        <f>IF('01_Вводные'!$B$234="Да",'19_Расчет_аналитики'!AC4392+'04_Продажи'!AC22,0)</f>
        <v/>
      </c>
      <c r="AD4394">
        <f>IF('01_Вводные'!$B$234="Да",'19_Расчет_аналитики'!AD4392+'04_Продажи'!AD22,0)</f>
        <v/>
      </c>
      <c r="AE4394">
        <f>IF('01_Вводные'!$B$234="Да",'19_Расчет_аналитики'!AE4392+'04_Продажи'!AE22,0)</f>
        <v/>
      </c>
      <c r="AF4394">
        <f>IF('01_Вводные'!$B$234="Да",'19_Расчет_аналитики'!AF4392+'04_Продажи'!AF22,0)</f>
        <v/>
      </c>
      <c r="AG4394">
        <f>IF('01_Вводные'!$B$234="Да",'19_Расчет_аналитики'!AG4392+'04_Продажи'!AG22,0)</f>
        <v/>
      </c>
      <c r="AH4394">
        <f>IF('01_Вводные'!$B$234="Да",'19_Расчет_аналитики'!AH4392+'04_Продажи'!AH22,0)</f>
        <v/>
      </c>
      <c r="AI4394">
        <f>IF('01_Вводные'!$B$234="Да",'19_Расчет_аналитики'!AI4392+'04_Продажи'!AI22,0)</f>
        <v/>
      </c>
      <c r="AJ4394">
        <f>IF('01_Вводные'!$B$234="Да",'19_Расчет_аналитики'!AJ4392+'04_Продажи'!AJ22,0)</f>
        <v/>
      </c>
      <c r="AK4394">
        <f>IF('01_Вводные'!$B$234="Да",'19_Расчет_аналитики'!AK4392+'04_Продажи'!AK22,0)</f>
        <v/>
      </c>
      <c r="AL4394">
        <f>IF('01_Вводные'!$B$234="Да",'19_Расчет_аналитики'!AL4392+'04_Продажи'!AL22,0)</f>
        <v/>
      </c>
      <c r="AM4394">
        <f>IF('01_Вводные'!$B$234="Да",'19_Расчет_аналитики'!AM4392+'04_Продажи'!AM22,0)</f>
        <v/>
      </c>
      <c r="AN4394">
        <f>IF('01_Вводные'!$B$234="Да",'19_Расчет_аналитики'!AN4392+'04_Продажи'!AN22,0)</f>
        <v/>
      </c>
      <c r="AO4394">
        <f>IF('01_Вводные'!$B$234="Да",'19_Расчет_аналитики'!AO4392+'04_Продажи'!AO22,0)</f>
        <v/>
      </c>
      <c r="AP4394">
        <f>IF('01_Вводные'!$B$234="Да",'19_Расчет_аналитики'!AP4392+'04_Продажи'!AP22,0)</f>
        <v/>
      </c>
      <c r="AQ4394">
        <f>IF('01_Вводные'!$B$234="Да",'19_Расчет_аналитики'!AQ4392+'04_Продажи'!AQ22,0)</f>
        <v/>
      </c>
      <c r="AR4394">
        <f>IF('01_Вводные'!$B$234="Да",'19_Расчет_аналитики'!AR4392+'04_Продажи'!AR22,0)</f>
        <v/>
      </c>
      <c r="AS4394">
        <f>IF('01_Вводные'!$B$234="Да",'19_Расчет_аналитики'!AS4392+'04_Продажи'!AS22,0)</f>
        <v/>
      </c>
      <c r="AT4394">
        <f>IF('01_Вводные'!$B$234="Да",'19_Расчет_аналитики'!AT4392+'04_Продажи'!AT22,0)</f>
        <v/>
      </c>
      <c r="AU4394">
        <f>IF('01_Вводные'!$B$234="Да",'19_Расчет_аналитики'!AU4392+'04_Продажи'!AU22,0)</f>
        <v/>
      </c>
      <c r="AV4394">
        <f>IF('01_Вводные'!$B$234="Да",'19_Расчет_аналитики'!AV4392+'04_Продажи'!AV22,0)</f>
        <v/>
      </c>
      <c r="AW4394">
        <f>IF('01_Вводные'!$B$234="Да",'19_Расчет_аналитики'!AW4392+'04_Продажи'!AW22,0)</f>
        <v/>
      </c>
      <c r="AX4394">
        <f>IF('01_Вводные'!$B$234="Да",'19_Расчет_аналитики'!AX4392+'04_Продажи'!AX22,0)</f>
        <v/>
      </c>
      <c r="AY4394">
        <f>IF('01_Вводные'!$B$234="Да",'19_Расчет_аналитики'!AY4392+'04_Продажи'!AY22,0)</f>
        <v/>
      </c>
      <c r="AZ4394">
        <f>IF('01_Вводные'!$B$234="Да",'19_Расчет_аналитики'!AZ4392+'04_Продажи'!AZ22,0)</f>
        <v/>
      </c>
      <c r="BA4394">
        <f>IF('01_Вводные'!$B$234="Да",'19_Расчет_аналитики'!BA4392+'04_Продажи'!BA22,0)</f>
        <v/>
      </c>
      <c r="BB4394">
        <f>IF('01_Вводные'!$B$234="Да",'19_Расчет_аналитики'!BB4392+'04_Продажи'!BB22,0)</f>
        <v/>
      </c>
      <c r="BC4394">
        <f>IF('01_Вводные'!$B$234="Да",'19_Расчет_аналитики'!BC4392+'04_Продажи'!BC22,0)</f>
        <v/>
      </c>
      <c r="BD4394">
        <f>IF('01_Вводные'!$B$234="Да",'19_Расчет_аналитики'!BD4392+'04_Продажи'!BD22,0)</f>
        <v/>
      </c>
      <c r="BE4394">
        <f>IF('01_Вводные'!$B$234="Да",'19_Расчет_аналитики'!BE4392+'04_Продажи'!BE22,0)</f>
        <v/>
      </c>
      <c r="BF4394">
        <f>IF('01_Вводные'!$B$234="Да",'19_Расчет_аналитики'!BF4392+'04_Продажи'!BF22,0)</f>
        <v/>
      </c>
      <c r="BG4394">
        <f>IF('01_Вводные'!$B$234="Да",'19_Расчет_аналитики'!BG4392+'04_Продажи'!BG22,0)</f>
        <v/>
      </c>
      <c r="BH4394">
        <f>IF('01_Вводные'!$B$234="Да",'19_Расчет_аналитики'!BH4392+'04_Продажи'!BH22,0)</f>
        <v/>
      </c>
      <c r="BI4394">
        <f>IF('01_Вводные'!$B$234="Да",'19_Расчет_аналитики'!BI4392+'04_Продажи'!BI22,0)</f>
        <v/>
      </c>
    </row>
    <row r="4395"/>
    <row r="4396">
      <c r="C4396">
        <f>IF('01_Вводные'!$B$234="Да",'19_Расчет_аналитики'!C4386*'18_Календарь_тарифы'!C6,0)</f>
        <v/>
      </c>
      <c r="D4396">
        <f>IF('01_Вводные'!$B$234="Да",'19_Расчет_аналитики'!D4386*'18_Календарь_тарифы'!D6,0)</f>
        <v/>
      </c>
      <c r="E4396">
        <f>IF('01_Вводные'!$B$234="Да",'19_Расчет_аналитики'!E4386*'18_Календарь_тарифы'!E6,0)</f>
        <v/>
      </c>
      <c r="F4396">
        <f>IF('01_Вводные'!$B$234="Да",'19_Расчет_аналитики'!F4386*'18_Календарь_тарифы'!F6,0)</f>
        <v/>
      </c>
      <c r="G4396">
        <f>IF('01_Вводные'!$B$234="Да",'19_Расчет_аналитики'!G4386*'18_Календарь_тарифы'!G6,0)</f>
        <v/>
      </c>
      <c r="H4396">
        <f>IF('01_Вводные'!$B$234="Да",'19_Расчет_аналитики'!H4386*'18_Календарь_тарифы'!H6,0)</f>
        <v/>
      </c>
      <c r="I4396">
        <f>IF('01_Вводные'!$B$234="Да",'19_Расчет_аналитики'!I4386*'18_Календарь_тарифы'!I6,0)</f>
        <v/>
      </c>
      <c r="J4396">
        <f>IF('01_Вводные'!$B$234="Да",'19_Расчет_аналитики'!J4386*'18_Календарь_тарифы'!J6,0)</f>
        <v/>
      </c>
      <c r="K4396">
        <f>IF('01_Вводные'!$B$234="Да",'19_Расчет_аналитики'!K4386*'18_Календарь_тарифы'!K6,0)</f>
        <v/>
      </c>
      <c r="L4396">
        <f>IF('01_Вводные'!$B$234="Да",'19_Расчет_аналитики'!L4386*'18_Календарь_тарифы'!L6,0)</f>
        <v/>
      </c>
      <c r="M4396">
        <f>IF('01_Вводные'!$B$234="Да",'19_Расчет_аналитики'!M4386*'18_Календарь_тарифы'!M6,0)</f>
        <v/>
      </c>
      <c r="N4396">
        <f>IF('01_Вводные'!$B$234="Да",'19_Расчет_аналитики'!N4386*'18_Календарь_тарифы'!N6,0)</f>
        <v/>
      </c>
      <c r="O4396">
        <f>IF('01_Вводные'!$B$234="Да",'19_Расчет_аналитики'!O4386*'18_Календарь_тарифы'!O6,0)</f>
        <v/>
      </c>
      <c r="P4396">
        <f>IF('01_Вводные'!$B$234="Да",'19_Расчет_аналитики'!P4386*'18_Календарь_тарифы'!P6,0)</f>
        <v/>
      </c>
      <c r="Q4396">
        <f>IF('01_Вводные'!$B$234="Да",'19_Расчет_аналитики'!Q4386*'18_Календарь_тарифы'!Q6,0)</f>
        <v/>
      </c>
      <c r="R4396">
        <f>IF('01_Вводные'!$B$234="Да",'19_Расчет_аналитики'!R4386*'18_Календарь_тарифы'!R6,0)</f>
        <v/>
      </c>
      <c r="S4396">
        <f>IF('01_Вводные'!$B$234="Да",'19_Расчет_аналитики'!S4386*'18_Календарь_тарифы'!S6,0)</f>
        <v/>
      </c>
      <c r="T4396">
        <f>IF('01_Вводные'!$B$234="Да",'19_Расчет_аналитики'!T4386*'18_Календарь_тарифы'!T6,0)</f>
        <v/>
      </c>
      <c r="U4396">
        <f>IF('01_Вводные'!$B$234="Да",'19_Расчет_аналитики'!U4386*'18_Календарь_тарифы'!U6,0)</f>
        <v/>
      </c>
      <c r="V4396">
        <f>IF('01_Вводные'!$B$234="Да",'19_Расчет_аналитики'!V4386*'18_Календарь_тарифы'!V6,0)</f>
        <v/>
      </c>
      <c r="W4396">
        <f>IF('01_Вводные'!$B$234="Да",'19_Расчет_аналитики'!W4386*'18_Календарь_тарифы'!W6,0)</f>
        <v/>
      </c>
      <c r="X4396">
        <f>IF('01_Вводные'!$B$234="Да",'19_Расчет_аналитики'!X4386*'18_Календарь_тарифы'!X6,0)</f>
        <v/>
      </c>
      <c r="Y4396">
        <f>IF('01_Вводные'!$B$234="Да",'19_Расчет_аналитики'!Y4386*'18_Календарь_тарифы'!Y6,0)</f>
        <v/>
      </c>
      <c r="Z4396">
        <f>IF('01_Вводные'!$B$234="Да",'19_Расчет_аналитики'!Z4386*'18_Календарь_тарифы'!Z6,0)</f>
        <v/>
      </c>
      <c r="AA4396">
        <f>IF('01_Вводные'!$B$234="Да",'19_Расчет_аналитики'!AA4386*'18_Календарь_тарифы'!AA6,0)</f>
        <v/>
      </c>
      <c r="AB4396">
        <f>IF('01_Вводные'!$B$234="Да",'19_Расчет_аналитики'!AB4386*'18_Календарь_тарифы'!AB6,0)</f>
        <v/>
      </c>
      <c r="AC4396">
        <f>IF('01_Вводные'!$B$234="Да",'19_Расчет_аналитики'!AC4386*'18_Календарь_тарифы'!AC6,0)</f>
        <v/>
      </c>
      <c r="AD4396">
        <f>IF('01_Вводные'!$B$234="Да",'19_Расчет_аналитики'!AD4386*'18_Календарь_тарифы'!AD6,0)</f>
        <v/>
      </c>
      <c r="AE4396">
        <f>IF('01_Вводные'!$B$234="Да",'19_Расчет_аналитики'!AE4386*'18_Календарь_тарифы'!AE6,0)</f>
        <v/>
      </c>
      <c r="AF4396">
        <f>IF('01_Вводные'!$B$234="Да",'19_Расчет_аналитики'!AF4386*'18_Календарь_тарифы'!AF6,0)</f>
        <v/>
      </c>
      <c r="AG4396">
        <f>IF('01_Вводные'!$B$234="Да",'19_Расчет_аналитики'!AG4386*'18_Календарь_тарифы'!AG6,0)</f>
        <v/>
      </c>
      <c r="AH4396">
        <f>IF('01_Вводные'!$B$234="Да",'19_Расчет_аналитики'!AH4386*'18_Календарь_тарифы'!AH6,0)</f>
        <v/>
      </c>
      <c r="AI4396">
        <f>IF('01_Вводные'!$B$234="Да",'19_Расчет_аналитики'!AI4386*'18_Календарь_тарифы'!AI6,0)</f>
        <v/>
      </c>
      <c r="AJ4396">
        <f>IF('01_Вводные'!$B$234="Да",'19_Расчет_аналитики'!AJ4386*'18_Календарь_тарифы'!AJ6,0)</f>
        <v/>
      </c>
      <c r="AK4396">
        <f>IF('01_Вводные'!$B$234="Да",'19_Расчет_аналитики'!AK4386*'18_Календарь_тарифы'!AK6,0)</f>
        <v/>
      </c>
      <c r="AL4396">
        <f>IF('01_Вводные'!$B$234="Да",'19_Расчет_аналитики'!AL4386*'18_Календарь_тарифы'!AL6,0)</f>
        <v/>
      </c>
      <c r="AM4396">
        <f>IF('01_Вводные'!$B$234="Да",'19_Расчет_аналитики'!AM4386*'18_Календарь_тарифы'!AM6,0)</f>
        <v/>
      </c>
      <c r="AN4396">
        <f>IF('01_Вводные'!$B$234="Да",'19_Расчет_аналитики'!AN4386*'18_Календарь_тарифы'!AN6,0)</f>
        <v/>
      </c>
      <c r="AO4396">
        <f>IF('01_Вводные'!$B$234="Да",'19_Расчет_аналитики'!AO4386*'18_Календарь_тарифы'!AO6,0)</f>
        <v/>
      </c>
      <c r="AP4396">
        <f>IF('01_Вводные'!$B$234="Да",'19_Расчет_аналитики'!AP4386*'18_Календарь_тарифы'!AP6,0)</f>
        <v/>
      </c>
      <c r="AQ4396">
        <f>IF('01_Вводные'!$B$234="Да",'19_Расчет_аналитики'!AQ4386*'18_Календарь_тарифы'!AQ6,0)</f>
        <v/>
      </c>
      <c r="AR4396">
        <f>IF('01_Вводные'!$B$234="Да",'19_Расчет_аналитики'!AR4386*'18_Календарь_тарифы'!AR6,0)</f>
        <v/>
      </c>
      <c r="AS4396">
        <f>IF('01_Вводные'!$B$234="Да",'19_Расчет_аналитики'!AS4386*'18_Календарь_тарифы'!AS6,0)</f>
        <v/>
      </c>
      <c r="AT4396">
        <f>IF('01_Вводные'!$B$234="Да",'19_Расчет_аналитики'!AT4386*'18_Календарь_тарифы'!AT6,0)</f>
        <v/>
      </c>
      <c r="AU4396">
        <f>IF('01_Вводные'!$B$234="Да",'19_Расчет_аналитики'!AU4386*'18_Календарь_тарифы'!AU6,0)</f>
        <v/>
      </c>
      <c r="AV4396">
        <f>IF('01_Вводные'!$B$234="Да",'19_Расчет_аналитики'!AV4386*'18_Календарь_тарифы'!AV6,0)</f>
        <v/>
      </c>
      <c r="AW4396">
        <f>IF('01_Вводные'!$B$234="Да",'19_Расчет_аналитики'!AW4386*'18_Календарь_тарифы'!AW6,0)</f>
        <v/>
      </c>
      <c r="AX4396">
        <f>IF('01_Вводные'!$B$234="Да",'19_Расчет_аналитики'!AX4386*'18_Календарь_тарифы'!AX6,0)</f>
        <v/>
      </c>
      <c r="AY4396">
        <f>IF('01_Вводные'!$B$234="Да",'19_Расчет_аналитики'!AY4386*'18_Календарь_тарифы'!AY6,0)</f>
        <v/>
      </c>
      <c r="AZ4396">
        <f>IF('01_Вводные'!$B$234="Да",'19_Расчет_аналитики'!AZ4386*'18_Календарь_тарифы'!AZ6,0)</f>
        <v/>
      </c>
      <c r="BA4396">
        <f>IF('01_Вводные'!$B$234="Да",'19_Расчет_аналитики'!BA4386*'18_Календарь_тарифы'!BA6,0)</f>
        <v/>
      </c>
      <c r="BB4396">
        <f>IF('01_Вводные'!$B$234="Да",'19_Расчет_аналитики'!BB4386*'18_Календарь_тарифы'!BB6,0)</f>
        <v/>
      </c>
      <c r="BC4396">
        <f>IF('01_Вводные'!$B$234="Да",'19_Расчет_аналитики'!BC4386*'18_Календарь_тарифы'!BC6,0)</f>
        <v/>
      </c>
      <c r="BD4396">
        <f>IF('01_Вводные'!$B$234="Да",'19_Расчет_аналитики'!BD4386*'18_Календарь_тарифы'!BD6,0)</f>
        <v/>
      </c>
      <c r="BE4396">
        <f>IF('01_Вводные'!$B$234="Да",'19_Расчет_аналитики'!BE4386*'18_Календарь_тарифы'!BE6,0)</f>
        <v/>
      </c>
      <c r="BF4396">
        <f>IF('01_Вводные'!$B$234="Да",'19_Расчет_аналитики'!BF4386*'18_Календарь_тарифы'!BF6,0)</f>
        <v/>
      </c>
      <c r="BG4396">
        <f>IF('01_Вводные'!$B$234="Да",'19_Расчет_аналитики'!BG4386*'18_Календарь_тарифы'!BG6,0)</f>
        <v/>
      </c>
      <c r="BH4396">
        <f>IF('01_Вводные'!$B$234="Да",'19_Расчет_аналитики'!BH4386*'18_Календарь_тарифы'!BH6,0)</f>
        <v/>
      </c>
      <c r="BI4396">
        <f>IF('01_Вводные'!$B$234="Да",'19_Расчет_аналитики'!BI4386*'18_Календарь_тарифы'!BI6,0)</f>
        <v/>
      </c>
    </row>
    <row r="4397">
      <c r="C4397">
        <f>IF('01_Вводные'!$B$234="Да",'19_Расчет_аналитики'!C4396/(1+'01_Вводные'!$B$58),0)</f>
        <v/>
      </c>
      <c r="D4397">
        <f>IF('01_Вводные'!$B$234="Да",'19_Расчет_аналитики'!D4396/(1+'01_Вводные'!$B$58),0)</f>
        <v/>
      </c>
      <c r="E4397">
        <f>IF('01_Вводные'!$B$234="Да",'19_Расчет_аналитики'!E4396/(1+'01_Вводные'!$B$58),0)</f>
        <v/>
      </c>
      <c r="F4397">
        <f>IF('01_Вводные'!$B$234="Да",'19_Расчет_аналитики'!F4396/(1+'01_Вводные'!$B$58),0)</f>
        <v/>
      </c>
      <c r="G4397">
        <f>IF('01_Вводные'!$B$234="Да",'19_Расчет_аналитики'!G4396/(1+'01_Вводные'!$B$58),0)</f>
        <v/>
      </c>
      <c r="H4397">
        <f>IF('01_Вводные'!$B$234="Да",'19_Расчет_аналитики'!H4396/(1+'01_Вводные'!$B$58),0)</f>
        <v/>
      </c>
      <c r="I4397">
        <f>IF('01_Вводные'!$B$234="Да",'19_Расчет_аналитики'!I4396/(1+'01_Вводные'!$B$58),0)</f>
        <v/>
      </c>
      <c r="J4397">
        <f>IF('01_Вводные'!$B$234="Да",'19_Расчет_аналитики'!J4396/(1+'01_Вводные'!$B$58),0)</f>
        <v/>
      </c>
      <c r="K4397">
        <f>IF('01_Вводные'!$B$234="Да",'19_Расчет_аналитики'!K4396/(1+'01_Вводные'!$B$58),0)</f>
        <v/>
      </c>
      <c r="L4397">
        <f>IF('01_Вводные'!$B$234="Да",'19_Расчет_аналитики'!L4396/(1+'01_Вводные'!$B$58),0)</f>
        <v/>
      </c>
      <c r="M4397">
        <f>IF('01_Вводные'!$B$234="Да",'19_Расчет_аналитики'!M4396/(1+'01_Вводные'!$B$58),0)</f>
        <v/>
      </c>
      <c r="N4397">
        <f>IF('01_Вводные'!$B$234="Да",'19_Расчет_аналитики'!N4396/(1+'01_Вводные'!$B$58),0)</f>
        <v/>
      </c>
      <c r="O4397">
        <f>IF('01_Вводные'!$B$234="Да",'19_Расчет_аналитики'!O4396/(1+'01_Вводные'!$B$58),0)</f>
        <v/>
      </c>
      <c r="P4397">
        <f>IF('01_Вводные'!$B$234="Да",'19_Расчет_аналитики'!P4396/(1+'01_Вводные'!$B$58),0)</f>
        <v/>
      </c>
      <c r="Q4397">
        <f>IF('01_Вводные'!$B$234="Да",'19_Расчет_аналитики'!Q4396/(1+'01_Вводные'!$B$58),0)</f>
        <v/>
      </c>
      <c r="R4397">
        <f>IF('01_Вводные'!$B$234="Да",'19_Расчет_аналитики'!R4396/(1+'01_Вводные'!$B$58),0)</f>
        <v/>
      </c>
      <c r="S4397">
        <f>IF('01_Вводные'!$B$234="Да",'19_Расчет_аналитики'!S4396/(1+'01_Вводные'!$B$58),0)</f>
        <v/>
      </c>
      <c r="T4397">
        <f>IF('01_Вводные'!$B$234="Да",'19_Расчет_аналитики'!T4396/(1+'01_Вводные'!$B$58),0)</f>
        <v/>
      </c>
      <c r="U4397">
        <f>IF('01_Вводные'!$B$234="Да",'19_Расчет_аналитики'!U4396/(1+'01_Вводные'!$B$58),0)</f>
        <v/>
      </c>
      <c r="V4397">
        <f>IF('01_Вводные'!$B$234="Да",'19_Расчет_аналитики'!V4396/(1+'01_Вводные'!$B$58),0)</f>
        <v/>
      </c>
      <c r="W4397">
        <f>IF('01_Вводные'!$B$234="Да",'19_Расчет_аналитики'!W4396/(1+'01_Вводные'!$B$58),0)</f>
        <v/>
      </c>
      <c r="X4397">
        <f>IF('01_Вводные'!$B$234="Да",'19_Расчет_аналитики'!X4396/(1+'01_Вводные'!$B$58),0)</f>
        <v/>
      </c>
      <c r="Y4397">
        <f>IF('01_Вводные'!$B$234="Да",'19_Расчет_аналитики'!Y4396/(1+'01_Вводные'!$B$58),0)</f>
        <v/>
      </c>
      <c r="Z4397">
        <f>IF('01_Вводные'!$B$234="Да",'19_Расчет_аналитики'!Z4396/(1+'01_Вводные'!$B$58),0)</f>
        <v/>
      </c>
      <c r="AA4397">
        <f>IF('01_Вводные'!$B$234="Да",'19_Расчет_аналитики'!AA4396/(1+'01_Вводные'!$B$58),0)</f>
        <v/>
      </c>
      <c r="AB4397">
        <f>IF('01_Вводные'!$B$234="Да",'19_Расчет_аналитики'!AB4396/(1+'01_Вводные'!$B$58),0)</f>
        <v/>
      </c>
      <c r="AC4397">
        <f>IF('01_Вводные'!$B$234="Да",'19_Расчет_аналитики'!AC4396/(1+'01_Вводные'!$B$58),0)</f>
        <v/>
      </c>
      <c r="AD4397">
        <f>IF('01_Вводные'!$B$234="Да",'19_Расчет_аналитики'!AD4396/(1+'01_Вводные'!$B$58),0)</f>
        <v/>
      </c>
      <c r="AE4397">
        <f>IF('01_Вводные'!$B$234="Да",'19_Расчет_аналитики'!AE4396/(1+'01_Вводные'!$B$58),0)</f>
        <v/>
      </c>
      <c r="AF4397">
        <f>IF('01_Вводные'!$B$234="Да",'19_Расчет_аналитики'!AF4396/(1+'01_Вводные'!$B$58),0)</f>
        <v/>
      </c>
      <c r="AG4397">
        <f>IF('01_Вводные'!$B$234="Да",'19_Расчет_аналитики'!AG4396/(1+'01_Вводные'!$B$58),0)</f>
        <v/>
      </c>
      <c r="AH4397">
        <f>IF('01_Вводные'!$B$234="Да",'19_Расчет_аналитики'!AH4396/(1+'01_Вводные'!$B$58),0)</f>
        <v/>
      </c>
      <c r="AI4397">
        <f>IF('01_Вводные'!$B$234="Да",'19_Расчет_аналитики'!AI4396/(1+'01_Вводные'!$B$58),0)</f>
        <v/>
      </c>
      <c r="AJ4397">
        <f>IF('01_Вводные'!$B$234="Да",'19_Расчет_аналитики'!AJ4396/(1+'01_Вводные'!$B$58),0)</f>
        <v/>
      </c>
      <c r="AK4397">
        <f>IF('01_Вводные'!$B$234="Да",'19_Расчет_аналитики'!AK4396/(1+'01_Вводные'!$B$58),0)</f>
        <v/>
      </c>
      <c r="AL4397">
        <f>IF('01_Вводные'!$B$234="Да",'19_Расчет_аналитики'!AL4396/(1+'01_Вводные'!$B$58),0)</f>
        <v/>
      </c>
      <c r="AM4397">
        <f>IF('01_Вводные'!$B$234="Да",'19_Расчет_аналитики'!AM4396/(1+'01_Вводные'!$B$58),0)</f>
        <v/>
      </c>
      <c r="AN4397">
        <f>IF('01_Вводные'!$B$234="Да",'19_Расчет_аналитики'!AN4396/(1+'01_Вводные'!$B$58),0)</f>
        <v/>
      </c>
      <c r="AO4397">
        <f>IF('01_Вводные'!$B$234="Да",'19_Расчет_аналитики'!AO4396/(1+'01_Вводные'!$B$58),0)</f>
        <v/>
      </c>
      <c r="AP4397">
        <f>IF('01_Вводные'!$B$234="Да",'19_Расчет_аналитики'!AP4396/(1+'01_Вводные'!$B$58),0)</f>
        <v/>
      </c>
      <c r="AQ4397">
        <f>IF('01_Вводные'!$B$234="Да",'19_Расчет_аналитики'!AQ4396/(1+'01_Вводные'!$B$58),0)</f>
        <v/>
      </c>
      <c r="AR4397">
        <f>IF('01_Вводные'!$B$234="Да",'19_Расчет_аналитики'!AR4396/(1+'01_Вводные'!$B$58),0)</f>
        <v/>
      </c>
      <c r="AS4397">
        <f>IF('01_Вводные'!$B$234="Да",'19_Расчет_аналитики'!AS4396/(1+'01_Вводные'!$B$58),0)</f>
        <v/>
      </c>
      <c r="AT4397">
        <f>IF('01_Вводные'!$B$234="Да",'19_Расчет_аналитики'!AT4396/(1+'01_Вводные'!$B$58),0)</f>
        <v/>
      </c>
      <c r="AU4397">
        <f>IF('01_Вводные'!$B$234="Да",'19_Расчет_аналитики'!AU4396/(1+'01_Вводные'!$B$58),0)</f>
        <v/>
      </c>
      <c r="AV4397">
        <f>IF('01_Вводные'!$B$234="Да",'19_Расчет_аналитики'!AV4396/(1+'01_Вводные'!$B$58),0)</f>
        <v/>
      </c>
      <c r="AW4397">
        <f>IF('01_Вводные'!$B$234="Да",'19_Расчет_аналитики'!AW4396/(1+'01_Вводные'!$B$58),0)</f>
        <v/>
      </c>
      <c r="AX4397">
        <f>IF('01_Вводные'!$B$234="Да",'19_Расчет_аналитики'!AX4396/(1+'01_Вводные'!$B$58),0)</f>
        <v/>
      </c>
      <c r="AY4397">
        <f>IF('01_Вводные'!$B$234="Да",'19_Расчет_аналитики'!AY4396/(1+'01_Вводные'!$B$58),0)</f>
        <v/>
      </c>
      <c r="AZ4397">
        <f>IF('01_Вводные'!$B$234="Да",'19_Расчет_аналитики'!AZ4396/(1+'01_Вводные'!$B$58),0)</f>
        <v/>
      </c>
      <c r="BA4397">
        <f>IF('01_Вводные'!$B$234="Да",'19_Расчет_аналитики'!BA4396/(1+'01_Вводные'!$B$58),0)</f>
        <v/>
      </c>
      <c r="BB4397">
        <f>IF('01_Вводные'!$B$234="Да",'19_Расчет_аналитики'!BB4396/(1+'01_Вводные'!$B$58),0)</f>
        <v/>
      </c>
      <c r="BC4397">
        <f>IF('01_Вводные'!$B$234="Да",'19_Расчет_аналитики'!BC4396/(1+'01_Вводные'!$B$58),0)</f>
        <v/>
      </c>
      <c r="BD4397">
        <f>IF('01_Вводные'!$B$234="Да",'19_Расчет_аналитики'!BD4396/(1+'01_Вводные'!$B$58),0)</f>
        <v/>
      </c>
      <c r="BE4397">
        <f>IF('01_Вводные'!$B$234="Да",'19_Расчет_аналитики'!BE4396/(1+'01_Вводные'!$B$58),0)</f>
        <v/>
      </c>
      <c r="BF4397">
        <f>IF('01_Вводные'!$B$234="Да",'19_Расчет_аналитики'!BF4396/(1+'01_Вводные'!$B$58),0)</f>
        <v/>
      </c>
      <c r="BG4397">
        <f>IF('01_Вводные'!$B$234="Да",'19_Расчет_аналитики'!BG4396/(1+'01_Вводные'!$B$58),0)</f>
        <v/>
      </c>
      <c r="BH4397">
        <f>IF('01_Вводные'!$B$234="Да",'19_Расчет_аналитики'!BH4396/(1+'01_Вводные'!$B$58),0)</f>
        <v/>
      </c>
      <c r="BI4397">
        <f>IF('01_Вводные'!$B$234="Да",'19_Расчет_аналитики'!BI4396/(1+'01_Вводные'!$B$58),0)</f>
        <v/>
      </c>
    </row>
    <row r="4398"/>
    <row r="4399"/>
    <row r="4400"/>
    <row r="4401"/>
    <row r="4402"/>
    <row r="4403"/>
    <row r="4404"/>
    <row r="4405"/>
    <row r="4406"/>
    <row r="4407"/>
    <row r="4408"/>
    <row r="4409"/>
    <row r="4410">
      <c r="C4410">
        <f>IF('01_Вводные'!$B$234="Да",'19_Расчет_аналитики'!C4386,0)</f>
        <v/>
      </c>
      <c r="D4410">
        <f>IF('01_Вводные'!$B$234="Да",'19_Расчет_аналитики'!D4386,0)</f>
        <v/>
      </c>
      <c r="E4410">
        <f>IF('01_Вводные'!$B$234="Да",'19_Расчет_аналитики'!E4386,0)</f>
        <v/>
      </c>
      <c r="F4410">
        <f>IF('01_Вводные'!$B$234="Да",'19_Расчет_аналитики'!F4386,0)</f>
        <v/>
      </c>
      <c r="G4410">
        <f>IF('01_Вводные'!$B$234="Да",'19_Расчет_аналитики'!G4386,0)</f>
        <v/>
      </c>
      <c r="H4410">
        <f>IF('01_Вводные'!$B$234="Да",'19_Расчет_аналитики'!H4386,0)</f>
        <v/>
      </c>
      <c r="I4410">
        <f>IF('01_Вводные'!$B$234="Да",'19_Расчет_аналитики'!I4386,0)</f>
        <v/>
      </c>
      <c r="J4410">
        <f>IF('01_Вводные'!$B$234="Да",'19_Расчет_аналитики'!J4386,0)</f>
        <v/>
      </c>
      <c r="K4410">
        <f>IF('01_Вводные'!$B$234="Да",'19_Расчет_аналитики'!K4386,0)</f>
        <v/>
      </c>
      <c r="L4410">
        <f>IF('01_Вводные'!$B$234="Да",'19_Расчет_аналитики'!L4386,0)</f>
        <v/>
      </c>
      <c r="M4410">
        <f>IF('01_Вводные'!$B$234="Да",'19_Расчет_аналитики'!M4386,0)</f>
        <v/>
      </c>
      <c r="N4410">
        <f>IF('01_Вводные'!$B$234="Да",'19_Расчет_аналитики'!N4386,0)</f>
        <v/>
      </c>
      <c r="O4410">
        <f>IF('01_Вводные'!$B$234="Да",'19_Расчет_аналитики'!O4386,0)</f>
        <v/>
      </c>
      <c r="P4410">
        <f>IF('01_Вводные'!$B$234="Да",'19_Расчет_аналитики'!P4386,0)</f>
        <v/>
      </c>
      <c r="Q4410">
        <f>IF('01_Вводные'!$B$234="Да",'19_Расчет_аналитики'!Q4386,0)</f>
        <v/>
      </c>
      <c r="R4410">
        <f>IF('01_Вводные'!$B$234="Да",'19_Расчет_аналитики'!R4386,0)</f>
        <v/>
      </c>
      <c r="S4410">
        <f>IF('01_Вводные'!$B$234="Да",'19_Расчет_аналитики'!S4386,0)</f>
        <v/>
      </c>
      <c r="T4410">
        <f>IF('01_Вводные'!$B$234="Да",'19_Расчет_аналитики'!T4386,0)</f>
        <v/>
      </c>
      <c r="U4410">
        <f>IF('01_Вводные'!$B$234="Да",'19_Расчет_аналитики'!U4386,0)</f>
        <v/>
      </c>
      <c r="V4410">
        <f>IF('01_Вводные'!$B$234="Да",'19_Расчет_аналитики'!V4386,0)</f>
        <v/>
      </c>
      <c r="W4410">
        <f>IF('01_Вводные'!$B$234="Да",'19_Расчет_аналитики'!W4386,0)</f>
        <v/>
      </c>
      <c r="X4410">
        <f>IF('01_Вводные'!$B$234="Да",'19_Расчет_аналитики'!X4386,0)</f>
        <v/>
      </c>
      <c r="Y4410">
        <f>IF('01_Вводные'!$B$234="Да",'19_Расчет_аналитики'!Y4386,0)</f>
        <v/>
      </c>
      <c r="Z4410">
        <f>IF('01_Вводные'!$B$234="Да",'19_Расчет_аналитики'!Z4386,0)</f>
        <v/>
      </c>
      <c r="AA4410">
        <f>IF('01_Вводные'!$B$234="Да",'19_Расчет_аналитики'!AA4386,0)</f>
        <v/>
      </c>
      <c r="AB4410">
        <f>IF('01_Вводные'!$B$234="Да",'19_Расчет_аналитики'!AB4386,0)</f>
        <v/>
      </c>
      <c r="AC4410">
        <f>IF('01_Вводные'!$B$234="Да",'19_Расчет_аналитики'!AC4386,0)</f>
        <v/>
      </c>
      <c r="AD4410">
        <f>IF('01_Вводные'!$B$234="Да",'19_Расчет_аналитики'!AD4386,0)</f>
        <v/>
      </c>
      <c r="AE4410">
        <f>IF('01_Вводные'!$B$234="Да",'19_Расчет_аналитики'!AE4386,0)</f>
        <v/>
      </c>
      <c r="AF4410">
        <f>IF('01_Вводные'!$B$234="Да",'19_Расчет_аналитики'!AF4386,0)</f>
        <v/>
      </c>
      <c r="AG4410">
        <f>IF('01_Вводные'!$B$234="Да",'19_Расчет_аналитики'!AG4386,0)</f>
        <v/>
      </c>
      <c r="AH4410">
        <f>IF('01_Вводные'!$B$234="Да",'19_Расчет_аналитики'!AH4386,0)</f>
        <v/>
      </c>
      <c r="AI4410">
        <f>IF('01_Вводные'!$B$234="Да",'19_Расчет_аналитики'!AI4386,0)</f>
        <v/>
      </c>
      <c r="AJ4410">
        <f>IF('01_Вводные'!$B$234="Да",'19_Расчет_аналитики'!AJ4386,0)</f>
        <v/>
      </c>
      <c r="AK4410">
        <f>IF('01_Вводные'!$B$234="Да",'19_Расчет_аналитики'!AK4386,0)</f>
        <v/>
      </c>
      <c r="AL4410">
        <f>IF('01_Вводные'!$B$234="Да",'19_Расчет_аналитики'!AL4386,0)</f>
        <v/>
      </c>
      <c r="AM4410">
        <f>IF('01_Вводные'!$B$234="Да",'19_Расчет_аналитики'!AM4386,0)</f>
        <v/>
      </c>
      <c r="AN4410">
        <f>IF('01_Вводные'!$B$234="Да",'19_Расчет_аналитики'!AN4386,0)</f>
        <v/>
      </c>
      <c r="AO4410">
        <f>IF('01_Вводные'!$B$234="Да",'19_Расчет_аналитики'!AO4386,0)</f>
        <v/>
      </c>
      <c r="AP4410">
        <f>IF('01_Вводные'!$B$234="Да",'19_Расчет_аналитики'!AP4386,0)</f>
        <v/>
      </c>
      <c r="AQ4410">
        <f>IF('01_Вводные'!$B$234="Да",'19_Расчет_аналитики'!AQ4386,0)</f>
        <v/>
      </c>
      <c r="AR4410">
        <f>IF('01_Вводные'!$B$234="Да",'19_Расчет_аналитики'!AR4386,0)</f>
        <v/>
      </c>
      <c r="AS4410">
        <f>IF('01_Вводные'!$B$234="Да",'19_Расчет_аналитики'!AS4386,0)</f>
        <v/>
      </c>
      <c r="AT4410">
        <f>IF('01_Вводные'!$B$234="Да",'19_Расчет_аналитики'!AT4386,0)</f>
        <v/>
      </c>
      <c r="AU4410">
        <f>IF('01_Вводные'!$B$234="Да",'19_Расчет_аналитики'!AU4386,0)</f>
        <v/>
      </c>
      <c r="AV4410">
        <f>IF('01_Вводные'!$B$234="Да",'19_Расчет_аналитики'!AV4386,0)</f>
        <v/>
      </c>
      <c r="AW4410">
        <f>IF('01_Вводные'!$B$234="Да",'19_Расчет_аналитики'!AW4386,0)</f>
        <v/>
      </c>
      <c r="AX4410">
        <f>IF('01_Вводные'!$B$234="Да",'19_Расчет_аналитики'!AX4386,0)</f>
        <v/>
      </c>
      <c r="AY4410">
        <f>IF('01_Вводные'!$B$234="Да",'19_Расчет_аналитики'!AY4386,0)</f>
        <v/>
      </c>
      <c r="AZ4410">
        <f>IF('01_Вводные'!$B$234="Да",'19_Расчет_аналитики'!AZ4386,0)</f>
        <v/>
      </c>
      <c r="BA4410">
        <f>IF('01_Вводные'!$B$234="Да",'19_Расчет_аналитики'!BA4386,0)</f>
        <v/>
      </c>
      <c r="BB4410">
        <f>IF('01_Вводные'!$B$234="Да",'19_Расчет_аналитики'!BB4386,0)</f>
        <v/>
      </c>
      <c r="BC4410">
        <f>IF('01_Вводные'!$B$234="Да",'19_Расчет_аналитики'!BC4386,0)</f>
        <v/>
      </c>
      <c r="BD4410">
        <f>IF('01_Вводные'!$B$234="Да",'19_Расчет_аналитики'!BD4386,0)</f>
        <v/>
      </c>
      <c r="BE4410">
        <f>IF('01_Вводные'!$B$234="Да",'19_Расчет_аналитики'!BE4386,0)</f>
        <v/>
      </c>
      <c r="BF4410">
        <f>IF('01_Вводные'!$B$234="Да",'19_Расчет_аналитики'!BF4386,0)</f>
        <v/>
      </c>
      <c r="BG4410">
        <f>IF('01_Вводные'!$B$234="Да",'19_Расчет_аналитики'!BG4386,0)</f>
        <v/>
      </c>
      <c r="BH4410">
        <f>IF('01_Вводные'!$B$234="Да",'19_Расчет_аналитики'!BH4386,0)</f>
        <v/>
      </c>
      <c r="BI4410">
        <f>IF('01_Вводные'!$B$234="Да",'19_Расчет_аналитики'!BI4386,0)</f>
        <v/>
      </c>
    </row>
    <row r="4411">
      <c r="B4411">
        <f>IF(OR(1&lt;='01_Вводные'!$B$15,1-'01_Вводные'!$B$15&gt;60),0,INDEX('19_Расчет_аналитики'!$B$4386:$BI$4386,1,1-'01_Вводные'!$B$15))*'01_Вводные'!$B$298*MIN(1,'01_Вводные'!$B$22)+IF(OR(1&lt;=('01_Вводные'!$B$15+'01_Вводные'!$B$311),1-('01_Вводные'!$B$15+'01_Вводные'!$B$311)&gt;60),0,INDEX('19_Расчет_аналитики'!$B$4386:$BI$4386,1,1-('01_Вводные'!$B$15+'01_Вводные'!$B$311)))*'01_Вводные'!$B$298*MAX(0,'01_Вводные'!$B$22-1)</f>
        <v/>
      </c>
      <c r="C4411">
        <f>IF(OR(2&lt;='01_Вводные'!$B$15,2-'01_Вводные'!$B$15&gt;60),0,INDEX('19_Расчет_аналитики'!$B$4386:$BI$4386,1,2-'01_Вводные'!$B$15))*'01_Вводные'!$B$298*MIN(1,'01_Вводные'!$B$22)+IF(OR(2&lt;=('01_Вводные'!$B$15+'01_Вводные'!$B$311),2-('01_Вводные'!$B$15+'01_Вводные'!$B$311)&gt;60),0,INDEX('19_Расчет_аналитики'!$B$4386:$BI$4386,1,2-('01_Вводные'!$B$15+'01_Вводные'!$B$311)))*'01_Вводные'!$B$298*MAX(0,'01_Вводные'!$B$22-1)</f>
        <v/>
      </c>
      <c r="D4411">
        <f>IF(OR(3&lt;='01_Вводные'!$B$15,3-'01_Вводные'!$B$15&gt;60),0,INDEX('19_Расчет_аналитики'!$B$4386:$BI$4386,1,3-'01_Вводные'!$B$15))*'01_Вводные'!$B$298*MIN(1,'01_Вводные'!$B$22)+IF(OR(3&lt;=('01_Вводные'!$B$15+'01_Вводные'!$B$311),3-('01_Вводные'!$B$15+'01_Вводные'!$B$311)&gt;60),0,INDEX('19_Расчет_аналитики'!$B$4386:$BI$4386,1,3-('01_Вводные'!$B$15+'01_Вводные'!$B$311)))*'01_Вводные'!$B$298*MAX(0,'01_Вводные'!$B$22-1)</f>
        <v/>
      </c>
      <c r="E4411">
        <f>IF(OR(4&lt;='01_Вводные'!$B$15,4-'01_Вводные'!$B$15&gt;60),0,INDEX('19_Расчет_аналитики'!$B$4386:$BI$4386,1,4-'01_Вводные'!$B$15))*'01_Вводные'!$B$298*MIN(1,'01_Вводные'!$B$22)+IF(OR(4&lt;=('01_Вводные'!$B$15+'01_Вводные'!$B$311),4-('01_Вводные'!$B$15+'01_Вводные'!$B$311)&gt;60),0,INDEX('19_Расчет_аналитики'!$B$4386:$BI$4386,1,4-('01_Вводные'!$B$15+'01_Вводные'!$B$311)))*'01_Вводные'!$B$298*MAX(0,'01_Вводные'!$B$22-1)</f>
        <v/>
      </c>
      <c r="F4411">
        <f>IF(OR(5&lt;='01_Вводные'!$B$15,5-'01_Вводные'!$B$15&gt;60),0,INDEX('19_Расчет_аналитики'!$B$4386:$BI$4386,1,5-'01_Вводные'!$B$15))*'01_Вводные'!$B$298*MIN(1,'01_Вводные'!$B$22)+IF(OR(5&lt;=('01_Вводные'!$B$15+'01_Вводные'!$B$311),5-('01_Вводные'!$B$15+'01_Вводные'!$B$311)&gt;60),0,INDEX('19_Расчет_аналитики'!$B$4386:$BI$4386,1,5-('01_Вводные'!$B$15+'01_Вводные'!$B$311)))*'01_Вводные'!$B$298*MAX(0,'01_Вводные'!$B$22-1)</f>
        <v/>
      </c>
      <c r="G4411">
        <f>IF(OR(6&lt;='01_Вводные'!$B$15,6-'01_Вводные'!$B$15&gt;60),0,INDEX('19_Расчет_аналитики'!$B$4386:$BI$4386,1,6-'01_Вводные'!$B$15))*'01_Вводные'!$B$298*MIN(1,'01_Вводные'!$B$22)+IF(OR(6&lt;=('01_Вводные'!$B$15+'01_Вводные'!$B$311),6-('01_Вводные'!$B$15+'01_Вводные'!$B$311)&gt;60),0,INDEX('19_Расчет_аналитики'!$B$4386:$BI$4386,1,6-('01_Вводные'!$B$15+'01_Вводные'!$B$311)))*'01_Вводные'!$B$298*MAX(0,'01_Вводные'!$B$22-1)</f>
        <v/>
      </c>
      <c r="H4411">
        <f>IF(OR(7&lt;='01_Вводные'!$B$15,7-'01_Вводные'!$B$15&gt;60),0,INDEX('19_Расчет_аналитики'!$B$4386:$BI$4386,1,7-'01_Вводные'!$B$15))*'01_Вводные'!$B$298*MIN(1,'01_Вводные'!$B$22)+IF(OR(7&lt;=('01_Вводные'!$B$15+'01_Вводные'!$B$311),7-('01_Вводные'!$B$15+'01_Вводные'!$B$311)&gt;60),0,INDEX('19_Расчет_аналитики'!$B$4386:$BI$4386,1,7-('01_Вводные'!$B$15+'01_Вводные'!$B$311)))*'01_Вводные'!$B$298*MAX(0,'01_Вводные'!$B$22-1)</f>
        <v/>
      </c>
      <c r="I4411">
        <f>IF(OR(8&lt;='01_Вводные'!$B$15,8-'01_Вводные'!$B$15&gt;60),0,INDEX('19_Расчет_аналитики'!$B$4386:$BI$4386,1,8-'01_Вводные'!$B$15))*'01_Вводные'!$B$298*MIN(1,'01_Вводные'!$B$22)+IF(OR(8&lt;=('01_Вводные'!$B$15+'01_Вводные'!$B$311),8-('01_Вводные'!$B$15+'01_Вводные'!$B$311)&gt;60),0,INDEX('19_Расчет_аналитики'!$B$4386:$BI$4386,1,8-('01_Вводные'!$B$15+'01_Вводные'!$B$311)))*'01_Вводные'!$B$298*MAX(0,'01_Вводные'!$B$22-1)</f>
        <v/>
      </c>
      <c r="J4411">
        <f>IF(OR(9&lt;='01_Вводные'!$B$15,9-'01_Вводные'!$B$15&gt;60),0,INDEX('19_Расчет_аналитики'!$B$4386:$BI$4386,1,9-'01_Вводные'!$B$15))*'01_Вводные'!$B$298*MIN(1,'01_Вводные'!$B$22)+IF(OR(9&lt;=('01_Вводные'!$B$15+'01_Вводные'!$B$311),9-('01_Вводные'!$B$15+'01_Вводные'!$B$311)&gt;60),0,INDEX('19_Расчет_аналитики'!$B$4386:$BI$4386,1,9-('01_Вводные'!$B$15+'01_Вводные'!$B$311)))*'01_Вводные'!$B$298*MAX(0,'01_Вводные'!$B$22-1)</f>
        <v/>
      </c>
      <c r="K4411">
        <f>IF(OR(10&lt;='01_Вводные'!$B$15,10-'01_Вводные'!$B$15&gt;60),0,INDEX('19_Расчет_аналитики'!$B$4386:$BI$4386,1,10-'01_Вводные'!$B$15))*'01_Вводные'!$B$298*MIN(1,'01_Вводные'!$B$22)+IF(OR(10&lt;=('01_Вводные'!$B$15+'01_Вводные'!$B$311),10-('01_Вводные'!$B$15+'01_Вводные'!$B$311)&gt;60),0,INDEX('19_Расчет_аналитики'!$B$4386:$BI$4386,1,10-('01_Вводные'!$B$15+'01_Вводные'!$B$311)))*'01_Вводные'!$B$298*MAX(0,'01_Вводные'!$B$22-1)</f>
        <v/>
      </c>
      <c r="L4411">
        <f>IF(OR(11&lt;='01_Вводные'!$B$15,11-'01_Вводные'!$B$15&gt;60),0,INDEX('19_Расчет_аналитики'!$B$4386:$BI$4386,1,11-'01_Вводные'!$B$15))*'01_Вводные'!$B$298*MIN(1,'01_Вводные'!$B$22)+IF(OR(11&lt;=('01_Вводные'!$B$15+'01_Вводные'!$B$311),11-('01_Вводные'!$B$15+'01_Вводные'!$B$311)&gt;60),0,INDEX('19_Расчет_аналитики'!$B$4386:$BI$4386,1,11-('01_Вводные'!$B$15+'01_Вводные'!$B$311)))*'01_Вводные'!$B$298*MAX(0,'01_Вводные'!$B$22-1)</f>
        <v/>
      </c>
      <c r="M4411">
        <f>IF(OR(12&lt;='01_Вводные'!$B$15,12-'01_Вводные'!$B$15&gt;60),0,INDEX('19_Расчет_аналитики'!$B$4386:$BI$4386,1,12-'01_Вводные'!$B$15))*'01_Вводные'!$B$298*MIN(1,'01_Вводные'!$B$22)+IF(OR(12&lt;=('01_Вводные'!$B$15+'01_Вводные'!$B$311),12-('01_Вводные'!$B$15+'01_Вводные'!$B$311)&gt;60),0,INDEX('19_Расчет_аналитики'!$B$4386:$BI$4386,1,12-('01_Вводные'!$B$15+'01_Вводные'!$B$311)))*'01_Вводные'!$B$298*MAX(0,'01_Вводные'!$B$22-1)</f>
        <v/>
      </c>
      <c r="N4411">
        <f>IF(OR(13&lt;='01_Вводные'!$B$15,13-'01_Вводные'!$B$15&gt;60),0,INDEX('19_Расчет_аналитики'!$B$4386:$BI$4386,1,13-'01_Вводные'!$B$15))*'01_Вводные'!$B$298*MIN(1,'01_Вводные'!$B$22)+IF(OR(13&lt;=('01_Вводные'!$B$15+'01_Вводные'!$B$311),13-('01_Вводные'!$B$15+'01_Вводные'!$B$311)&gt;60),0,INDEX('19_Расчет_аналитики'!$B$4386:$BI$4386,1,13-('01_Вводные'!$B$15+'01_Вводные'!$B$311)))*'01_Вводные'!$B$298*MAX(0,'01_Вводные'!$B$22-1)</f>
        <v/>
      </c>
      <c r="O4411">
        <f>IF(OR(14&lt;='01_Вводные'!$B$15,14-'01_Вводные'!$B$15&gt;60),0,INDEX('19_Расчет_аналитики'!$B$4386:$BI$4386,1,14-'01_Вводные'!$B$15))*'01_Вводные'!$B$298*MIN(1,'01_Вводные'!$B$22)+IF(OR(14&lt;=('01_Вводные'!$B$15+'01_Вводные'!$B$311),14-('01_Вводные'!$B$15+'01_Вводные'!$B$311)&gt;60),0,INDEX('19_Расчет_аналитики'!$B$4386:$BI$4386,1,14-('01_Вводные'!$B$15+'01_Вводные'!$B$311)))*'01_Вводные'!$B$298*MAX(0,'01_Вводные'!$B$22-1)</f>
        <v/>
      </c>
      <c r="P4411">
        <f>IF(OR(15&lt;='01_Вводные'!$B$15,15-'01_Вводные'!$B$15&gt;60),0,INDEX('19_Расчет_аналитики'!$B$4386:$BI$4386,1,15-'01_Вводные'!$B$15))*'01_Вводные'!$B$298*MIN(1,'01_Вводные'!$B$22)+IF(OR(15&lt;=('01_Вводные'!$B$15+'01_Вводные'!$B$311),15-('01_Вводные'!$B$15+'01_Вводные'!$B$311)&gt;60),0,INDEX('19_Расчет_аналитики'!$B$4386:$BI$4386,1,15-('01_Вводные'!$B$15+'01_Вводные'!$B$311)))*'01_Вводные'!$B$298*MAX(0,'01_Вводные'!$B$22-1)</f>
        <v/>
      </c>
      <c r="Q4411">
        <f>IF(OR(16&lt;='01_Вводные'!$B$15,16-'01_Вводные'!$B$15&gt;60),0,INDEX('19_Расчет_аналитики'!$B$4386:$BI$4386,1,16-'01_Вводные'!$B$15))*'01_Вводные'!$B$298*MIN(1,'01_Вводные'!$B$22)+IF(OR(16&lt;=('01_Вводные'!$B$15+'01_Вводные'!$B$311),16-('01_Вводные'!$B$15+'01_Вводные'!$B$311)&gt;60),0,INDEX('19_Расчет_аналитики'!$B$4386:$BI$4386,1,16-('01_Вводные'!$B$15+'01_Вводные'!$B$311)))*'01_Вводные'!$B$298*MAX(0,'01_Вводные'!$B$22-1)</f>
        <v/>
      </c>
      <c r="R4411">
        <f>IF(OR(17&lt;='01_Вводные'!$B$15,17-'01_Вводные'!$B$15&gt;60),0,INDEX('19_Расчет_аналитики'!$B$4386:$BI$4386,1,17-'01_Вводные'!$B$15))*'01_Вводные'!$B$298*MIN(1,'01_Вводные'!$B$22)+IF(OR(17&lt;=('01_Вводные'!$B$15+'01_Вводные'!$B$311),17-('01_Вводные'!$B$15+'01_Вводные'!$B$311)&gt;60),0,INDEX('19_Расчет_аналитики'!$B$4386:$BI$4386,1,17-('01_Вводные'!$B$15+'01_Вводные'!$B$311)))*'01_Вводные'!$B$298*MAX(0,'01_Вводные'!$B$22-1)</f>
        <v/>
      </c>
      <c r="S4411">
        <f>IF(OR(18&lt;='01_Вводные'!$B$15,18-'01_Вводные'!$B$15&gt;60),0,INDEX('19_Расчет_аналитики'!$B$4386:$BI$4386,1,18-'01_Вводные'!$B$15))*'01_Вводные'!$B$298*MIN(1,'01_Вводные'!$B$22)+IF(OR(18&lt;=('01_Вводные'!$B$15+'01_Вводные'!$B$311),18-('01_Вводные'!$B$15+'01_Вводные'!$B$311)&gt;60),0,INDEX('19_Расчет_аналитики'!$B$4386:$BI$4386,1,18-('01_Вводные'!$B$15+'01_Вводные'!$B$311)))*'01_Вводные'!$B$298*MAX(0,'01_Вводные'!$B$22-1)</f>
        <v/>
      </c>
      <c r="T4411">
        <f>IF(OR(19&lt;='01_Вводные'!$B$15,19-'01_Вводные'!$B$15&gt;60),0,INDEX('19_Расчет_аналитики'!$B$4386:$BI$4386,1,19-'01_Вводные'!$B$15))*'01_Вводные'!$B$298*MIN(1,'01_Вводные'!$B$22)+IF(OR(19&lt;=('01_Вводные'!$B$15+'01_Вводные'!$B$311),19-('01_Вводные'!$B$15+'01_Вводные'!$B$311)&gt;60),0,INDEX('19_Расчет_аналитики'!$B$4386:$BI$4386,1,19-('01_Вводные'!$B$15+'01_Вводные'!$B$311)))*'01_Вводные'!$B$298*MAX(0,'01_Вводные'!$B$22-1)</f>
        <v/>
      </c>
      <c r="U4411">
        <f>IF(OR(20&lt;='01_Вводные'!$B$15,20-'01_Вводные'!$B$15&gt;60),0,INDEX('19_Расчет_аналитики'!$B$4386:$BI$4386,1,20-'01_Вводные'!$B$15))*'01_Вводные'!$B$298*MIN(1,'01_Вводные'!$B$22)+IF(OR(20&lt;=('01_Вводные'!$B$15+'01_Вводные'!$B$311),20-('01_Вводные'!$B$15+'01_Вводные'!$B$311)&gt;60),0,INDEX('19_Расчет_аналитики'!$B$4386:$BI$4386,1,20-('01_Вводные'!$B$15+'01_Вводные'!$B$311)))*'01_Вводные'!$B$298*MAX(0,'01_Вводные'!$B$22-1)</f>
        <v/>
      </c>
      <c r="V4411">
        <f>IF(OR(21&lt;='01_Вводные'!$B$15,21-'01_Вводные'!$B$15&gt;60),0,INDEX('19_Расчет_аналитики'!$B$4386:$BI$4386,1,21-'01_Вводные'!$B$15))*'01_Вводные'!$B$298*MIN(1,'01_Вводные'!$B$22)+IF(OR(21&lt;=('01_Вводные'!$B$15+'01_Вводные'!$B$311),21-('01_Вводные'!$B$15+'01_Вводные'!$B$311)&gt;60),0,INDEX('19_Расчет_аналитики'!$B$4386:$BI$4386,1,21-('01_Вводные'!$B$15+'01_Вводные'!$B$311)))*'01_Вводные'!$B$298*MAX(0,'01_Вводные'!$B$22-1)</f>
        <v/>
      </c>
      <c r="W4411">
        <f>IF(OR(22&lt;='01_Вводные'!$B$15,22-'01_Вводные'!$B$15&gt;60),0,INDEX('19_Расчет_аналитики'!$B$4386:$BI$4386,1,22-'01_Вводные'!$B$15))*'01_Вводные'!$B$298*MIN(1,'01_Вводные'!$B$22)+IF(OR(22&lt;=('01_Вводные'!$B$15+'01_Вводные'!$B$311),22-('01_Вводные'!$B$15+'01_Вводные'!$B$311)&gt;60),0,INDEX('19_Расчет_аналитики'!$B$4386:$BI$4386,1,22-('01_Вводные'!$B$15+'01_Вводные'!$B$311)))*'01_Вводные'!$B$298*MAX(0,'01_Вводные'!$B$22-1)</f>
        <v/>
      </c>
      <c r="X4411">
        <f>IF(OR(23&lt;='01_Вводные'!$B$15,23-'01_Вводные'!$B$15&gt;60),0,INDEX('19_Расчет_аналитики'!$B$4386:$BI$4386,1,23-'01_Вводные'!$B$15))*'01_Вводные'!$B$298*MIN(1,'01_Вводные'!$B$22)+IF(OR(23&lt;=('01_Вводные'!$B$15+'01_Вводные'!$B$311),23-('01_Вводные'!$B$15+'01_Вводные'!$B$311)&gt;60),0,INDEX('19_Расчет_аналитики'!$B$4386:$BI$4386,1,23-('01_Вводные'!$B$15+'01_Вводные'!$B$311)))*'01_Вводные'!$B$298*MAX(0,'01_Вводные'!$B$22-1)</f>
        <v/>
      </c>
      <c r="Y4411">
        <f>IF(OR(24&lt;='01_Вводные'!$B$15,24-'01_Вводные'!$B$15&gt;60),0,INDEX('19_Расчет_аналитики'!$B$4386:$BI$4386,1,24-'01_Вводные'!$B$15))*'01_Вводные'!$B$298*MIN(1,'01_Вводные'!$B$22)+IF(OR(24&lt;=('01_Вводные'!$B$15+'01_Вводные'!$B$311),24-('01_Вводные'!$B$15+'01_Вводные'!$B$311)&gt;60),0,INDEX('19_Расчет_аналитики'!$B$4386:$BI$4386,1,24-('01_Вводные'!$B$15+'01_Вводные'!$B$311)))*'01_Вводные'!$B$298*MAX(0,'01_Вводные'!$B$22-1)</f>
        <v/>
      </c>
      <c r="Z4411">
        <f>IF(OR(25&lt;='01_Вводные'!$B$15,25-'01_Вводные'!$B$15&gt;60),0,INDEX('19_Расчет_аналитики'!$B$4386:$BI$4386,1,25-'01_Вводные'!$B$15))*'01_Вводные'!$B$298*MIN(1,'01_Вводные'!$B$22)+IF(OR(25&lt;=('01_Вводные'!$B$15+'01_Вводные'!$B$311),25-('01_Вводные'!$B$15+'01_Вводные'!$B$311)&gt;60),0,INDEX('19_Расчет_аналитики'!$B$4386:$BI$4386,1,25-('01_Вводные'!$B$15+'01_Вводные'!$B$311)))*'01_Вводные'!$B$298*MAX(0,'01_Вводные'!$B$22-1)</f>
        <v/>
      </c>
      <c r="AA4411">
        <f>IF(OR(26&lt;='01_Вводные'!$B$15,26-'01_Вводные'!$B$15&gt;60),0,INDEX('19_Расчет_аналитики'!$B$4386:$BI$4386,1,26-'01_Вводные'!$B$15))*'01_Вводные'!$B$298*MIN(1,'01_Вводные'!$B$22)+IF(OR(26&lt;=('01_Вводные'!$B$15+'01_Вводные'!$B$311),26-('01_Вводные'!$B$15+'01_Вводные'!$B$311)&gt;60),0,INDEX('19_Расчет_аналитики'!$B$4386:$BI$4386,1,26-('01_Вводные'!$B$15+'01_Вводные'!$B$311)))*'01_Вводные'!$B$298*MAX(0,'01_Вводные'!$B$22-1)</f>
        <v/>
      </c>
      <c r="AB4411">
        <f>IF(OR(27&lt;='01_Вводные'!$B$15,27-'01_Вводные'!$B$15&gt;60),0,INDEX('19_Расчет_аналитики'!$B$4386:$BI$4386,1,27-'01_Вводные'!$B$15))*'01_Вводные'!$B$298*MIN(1,'01_Вводные'!$B$22)+IF(OR(27&lt;=('01_Вводные'!$B$15+'01_Вводные'!$B$311),27-('01_Вводные'!$B$15+'01_Вводные'!$B$311)&gt;60),0,INDEX('19_Расчет_аналитики'!$B$4386:$BI$4386,1,27-('01_Вводные'!$B$15+'01_Вводные'!$B$311)))*'01_Вводные'!$B$298*MAX(0,'01_Вводные'!$B$22-1)</f>
        <v/>
      </c>
      <c r="AC4411">
        <f>IF(OR(28&lt;='01_Вводные'!$B$15,28-'01_Вводные'!$B$15&gt;60),0,INDEX('19_Расчет_аналитики'!$B$4386:$BI$4386,1,28-'01_Вводные'!$B$15))*'01_Вводные'!$B$298*MIN(1,'01_Вводные'!$B$22)+IF(OR(28&lt;=('01_Вводные'!$B$15+'01_Вводные'!$B$311),28-('01_Вводные'!$B$15+'01_Вводные'!$B$311)&gt;60),0,INDEX('19_Расчет_аналитики'!$B$4386:$BI$4386,1,28-('01_Вводные'!$B$15+'01_Вводные'!$B$311)))*'01_Вводные'!$B$298*MAX(0,'01_Вводные'!$B$22-1)</f>
        <v/>
      </c>
      <c r="AD4411">
        <f>IF(OR(29&lt;='01_Вводные'!$B$15,29-'01_Вводные'!$B$15&gt;60),0,INDEX('19_Расчет_аналитики'!$B$4386:$BI$4386,1,29-'01_Вводные'!$B$15))*'01_Вводные'!$B$298*MIN(1,'01_Вводные'!$B$22)+IF(OR(29&lt;=('01_Вводные'!$B$15+'01_Вводные'!$B$311),29-('01_Вводные'!$B$15+'01_Вводные'!$B$311)&gt;60),0,INDEX('19_Расчет_аналитики'!$B$4386:$BI$4386,1,29-('01_Вводные'!$B$15+'01_Вводные'!$B$311)))*'01_Вводные'!$B$298*MAX(0,'01_Вводные'!$B$22-1)</f>
        <v/>
      </c>
      <c r="AE4411">
        <f>IF(OR(30&lt;='01_Вводные'!$B$15,30-'01_Вводные'!$B$15&gt;60),0,INDEX('19_Расчет_аналитики'!$B$4386:$BI$4386,1,30-'01_Вводные'!$B$15))*'01_Вводные'!$B$298*MIN(1,'01_Вводные'!$B$22)+IF(OR(30&lt;=('01_Вводные'!$B$15+'01_Вводные'!$B$311),30-('01_Вводные'!$B$15+'01_Вводные'!$B$311)&gt;60),0,INDEX('19_Расчет_аналитики'!$B$4386:$BI$4386,1,30-('01_Вводные'!$B$15+'01_Вводные'!$B$311)))*'01_Вводные'!$B$298*MAX(0,'01_Вводные'!$B$22-1)</f>
        <v/>
      </c>
      <c r="AF4411">
        <f>IF(OR(31&lt;='01_Вводные'!$B$15,31-'01_Вводные'!$B$15&gt;60),0,INDEX('19_Расчет_аналитики'!$B$4386:$BI$4386,1,31-'01_Вводные'!$B$15))*'01_Вводные'!$B$298*MIN(1,'01_Вводные'!$B$22)+IF(OR(31&lt;=('01_Вводные'!$B$15+'01_Вводные'!$B$311),31-('01_Вводные'!$B$15+'01_Вводные'!$B$311)&gt;60),0,INDEX('19_Расчет_аналитики'!$B$4386:$BI$4386,1,31-('01_Вводные'!$B$15+'01_Вводные'!$B$311)))*'01_Вводные'!$B$298*MAX(0,'01_Вводные'!$B$22-1)</f>
        <v/>
      </c>
      <c r="AG4411">
        <f>IF(OR(32&lt;='01_Вводные'!$B$15,32-'01_Вводные'!$B$15&gt;60),0,INDEX('19_Расчет_аналитики'!$B$4386:$BI$4386,1,32-'01_Вводные'!$B$15))*'01_Вводные'!$B$298*MIN(1,'01_Вводные'!$B$22)+IF(OR(32&lt;=('01_Вводные'!$B$15+'01_Вводные'!$B$311),32-('01_Вводные'!$B$15+'01_Вводные'!$B$311)&gt;60),0,INDEX('19_Расчет_аналитики'!$B$4386:$BI$4386,1,32-('01_Вводные'!$B$15+'01_Вводные'!$B$311)))*'01_Вводные'!$B$298*MAX(0,'01_Вводные'!$B$22-1)</f>
        <v/>
      </c>
      <c r="AH4411">
        <f>IF(OR(33&lt;='01_Вводные'!$B$15,33-'01_Вводные'!$B$15&gt;60),0,INDEX('19_Расчет_аналитики'!$B$4386:$BI$4386,1,33-'01_Вводные'!$B$15))*'01_Вводные'!$B$298*MIN(1,'01_Вводные'!$B$22)+IF(OR(33&lt;=('01_Вводные'!$B$15+'01_Вводные'!$B$311),33-('01_Вводные'!$B$15+'01_Вводные'!$B$311)&gt;60),0,INDEX('19_Расчет_аналитики'!$B$4386:$BI$4386,1,33-('01_Вводные'!$B$15+'01_Вводные'!$B$311)))*'01_Вводные'!$B$298*MAX(0,'01_Вводные'!$B$22-1)</f>
        <v/>
      </c>
      <c r="AI4411">
        <f>IF(OR(34&lt;='01_Вводные'!$B$15,34-'01_Вводные'!$B$15&gt;60),0,INDEX('19_Расчет_аналитики'!$B$4386:$BI$4386,1,34-'01_Вводные'!$B$15))*'01_Вводные'!$B$298*MIN(1,'01_Вводные'!$B$22)+IF(OR(34&lt;=('01_Вводные'!$B$15+'01_Вводные'!$B$311),34-('01_Вводные'!$B$15+'01_Вводные'!$B$311)&gt;60),0,INDEX('19_Расчет_аналитики'!$B$4386:$BI$4386,1,34-('01_Вводные'!$B$15+'01_Вводные'!$B$311)))*'01_Вводные'!$B$298*MAX(0,'01_Вводные'!$B$22-1)</f>
        <v/>
      </c>
      <c r="AJ4411">
        <f>IF(OR(35&lt;='01_Вводные'!$B$15,35-'01_Вводные'!$B$15&gt;60),0,INDEX('19_Расчет_аналитики'!$B$4386:$BI$4386,1,35-'01_Вводные'!$B$15))*'01_Вводные'!$B$298*MIN(1,'01_Вводные'!$B$22)+IF(OR(35&lt;=('01_Вводные'!$B$15+'01_Вводные'!$B$311),35-('01_Вводные'!$B$15+'01_Вводные'!$B$311)&gt;60),0,INDEX('19_Расчет_аналитики'!$B$4386:$BI$4386,1,35-('01_Вводные'!$B$15+'01_Вводные'!$B$311)))*'01_Вводные'!$B$298*MAX(0,'01_Вводные'!$B$22-1)</f>
        <v/>
      </c>
      <c r="AK4411">
        <f>IF(OR(36&lt;='01_Вводные'!$B$15,36-'01_Вводные'!$B$15&gt;60),0,INDEX('19_Расчет_аналитики'!$B$4386:$BI$4386,1,36-'01_Вводные'!$B$15))*'01_Вводные'!$B$298*MIN(1,'01_Вводные'!$B$22)+IF(OR(36&lt;=('01_Вводные'!$B$15+'01_Вводные'!$B$311),36-('01_Вводные'!$B$15+'01_Вводные'!$B$311)&gt;60),0,INDEX('19_Расчет_аналитики'!$B$4386:$BI$4386,1,36-('01_Вводные'!$B$15+'01_Вводные'!$B$311)))*'01_Вводные'!$B$298*MAX(0,'01_Вводные'!$B$22-1)</f>
        <v/>
      </c>
      <c r="AL4411">
        <f>IF(OR(37&lt;='01_Вводные'!$B$15,37-'01_Вводные'!$B$15&gt;60),0,INDEX('19_Расчет_аналитики'!$B$4386:$BI$4386,1,37-'01_Вводные'!$B$15))*'01_Вводные'!$B$298*MIN(1,'01_Вводные'!$B$22)+IF(OR(37&lt;=('01_Вводные'!$B$15+'01_Вводные'!$B$311),37-('01_Вводные'!$B$15+'01_Вводные'!$B$311)&gt;60),0,INDEX('19_Расчет_аналитики'!$B$4386:$BI$4386,1,37-('01_Вводные'!$B$15+'01_Вводные'!$B$311)))*'01_Вводные'!$B$298*MAX(0,'01_Вводные'!$B$22-1)</f>
        <v/>
      </c>
      <c r="AM4411">
        <f>IF(OR(38&lt;='01_Вводные'!$B$15,38-'01_Вводные'!$B$15&gt;60),0,INDEX('19_Расчет_аналитики'!$B$4386:$BI$4386,1,38-'01_Вводные'!$B$15))*'01_Вводные'!$B$298*MIN(1,'01_Вводные'!$B$22)+IF(OR(38&lt;=('01_Вводные'!$B$15+'01_Вводные'!$B$311),38-('01_Вводные'!$B$15+'01_Вводные'!$B$311)&gt;60),0,INDEX('19_Расчет_аналитики'!$B$4386:$BI$4386,1,38-('01_Вводные'!$B$15+'01_Вводные'!$B$311)))*'01_Вводные'!$B$298*MAX(0,'01_Вводные'!$B$22-1)</f>
        <v/>
      </c>
      <c r="AN4411">
        <f>IF(OR(39&lt;='01_Вводные'!$B$15,39-'01_Вводные'!$B$15&gt;60),0,INDEX('19_Расчет_аналитики'!$B$4386:$BI$4386,1,39-'01_Вводные'!$B$15))*'01_Вводные'!$B$298*MIN(1,'01_Вводные'!$B$22)+IF(OR(39&lt;=('01_Вводные'!$B$15+'01_Вводные'!$B$311),39-('01_Вводные'!$B$15+'01_Вводные'!$B$311)&gt;60),0,INDEX('19_Расчет_аналитики'!$B$4386:$BI$4386,1,39-('01_Вводные'!$B$15+'01_Вводные'!$B$311)))*'01_Вводные'!$B$298*MAX(0,'01_Вводные'!$B$22-1)</f>
        <v/>
      </c>
      <c r="AO4411">
        <f>IF(OR(40&lt;='01_Вводные'!$B$15,40-'01_Вводные'!$B$15&gt;60),0,INDEX('19_Расчет_аналитики'!$B$4386:$BI$4386,1,40-'01_Вводные'!$B$15))*'01_Вводные'!$B$298*MIN(1,'01_Вводные'!$B$22)+IF(OR(40&lt;=('01_Вводные'!$B$15+'01_Вводные'!$B$311),40-('01_Вводные'!$B$15+'01_Вводные'!$B$311)&gt;60),0,INDEX('19_Расчет_аналитики'!$B$4386:$BI$4386,1,40-('01_Вводные'!$B$15+'01_Вводные'!$B$311)))*'01_Вводные'!$B$298*MAX(0,'01_Вводные'!$B$22-1)</f>
        <v/>
      </c>
      <c r="AP4411">
        <f>IF(OR(41&lt;='01_Вводные'!$B$15,41-'01_Вводные'!$B$15&gt;60),0,INDEX('19_Расчет_аналитики'!$B$4386:$BI$4386,1,41-'01_Вводные'!$B$15))*'01_Вводные'!$B$298*MIN(1,'01_Вводные'!$B$22)+IF(OR(41&lt;=('01_Вводные'!$B$15+'01_Вводные'!$B$311),41-('01_Вводные'!$B$15+'01_Вводные'!$B$311)&gt;60),0,INDEX('19_Расчет_аналитики'!$B$4386:$BI$4386,1,41-('01_Вводные'!$B$15+'01_Вводные'!$B$311)))*'01_Вводные'!$B$298*MAX(0,'01_Вводные'!$B$22-1)</f>
        <v/>
      </c>
      <c r="AQ4411">
        <f>IF(OR(42&lt;='01_Вводные'!$B$15,42-'01_Вводные'!$B$15&gt;60),0,INDEX('19_Расчет_аналитики'!$B$4386:$BI$4386,1,42-'01_Вводные'!$B$15))*'01_Вводные'!$B$298*MIN(1,'01_Вводные'!$B$22)+IF(OR(42&lt;=('01_Вводные'!$B$15+'01_Вводные'!$B$311),42-('01_Вводные'!$B$15+'01_Вводные'!$B$311)&gt;60),0,INDEX('19_Расчет_аналитики'!$B$4386:$BI$4386,1,42-('01_Вводные'!$B$15+'01_Вводные'!$B$311)))*'01_Вводные'!$B$298*MAX(0,'01_Вводные'!$B$22-1)</f>
        <v/>
      </c>
      <c r="AR4411">
        <f>IF(OR(43&lt;='01_Вводные'!$B$15,43-'01_Вводные'!$B$15&gt;60),0,INDEX('19_Расчет_аналитики'!$B$4386:$BI$4386,1,43-'01_Вводные'!$B$15))*'01_Вводные'!$B$298*MIN(1,'01_Вводные'!$B$22)+IF(OR(43&lt;=('01_Вводные'!$B$15+'01_Вводные'!$B$311),43-('01_Вводные'!$B$15+'01_Вводные'!$B$311)&gt;60),0,INDEX('19_Расчет_аналитики'!$B$4386:$BI$4386,1,43-('01_Вводные'!$B$15+'01_Вводные'!$B$311)))*'01_Вводные'!$B$298*MAX(0,'01_Вводные'!$B$22-1)</f>
        <v/>
      </c>
      <c r="AS4411">
        <f>IF(OR(44&lt;='01_Вводные'!$B$15,44-'01_Вводные'!$B$15&gt;60),0,INDEX('19_Расчет_аналитики'!$B$4386:$BI$4386,1,44-'01_Вводные'!$B$15))*'01_Вводные'!$B$298*MIN(1,'01_Вводные'!$B$22)+IF(OR(44&lt;=('01_Вводные'!$B$15+'01_Вводные'!$B$311),44-('01_Вводные'!$B$15+'01_Вводные'!$B$311)&gt;60),0,INDEX('19_Расчет_аналитики'!$B$4386:$BI$4386,1,44-('01_Вводные'!$B$15+'01_Вводные'!$B$311)))*'01_Вводные'!$B$298*MAX(0,'01_Вводные'!$B$22-1)</f>
        <v/>
      </c>
      <c r="AT4411">
        <f>IF(OR(45&lt;='01_Вводные'!$B$15,45-'01_Вводные'!$B$15&gt;60),0,INDEX('19_Расчет_аналитики'!$B$4386:$BI$4386,1,45-'01_Вводные'!$B$15))*'01_Вводные'!$B$298*MIN(1,'01_Вводные'!$B$22)+IF(OR(45&lt;=('01_Вводные'!$B$15+'01_Вводные'!$B$311),45-('01_Вводные'!$B$15+'01_Вводные'!$B$311)&gt;60),0,INDEX('19_Расчет_аналитики'!$B$4386:$BI$4386,1,45-('01_Вводные'!$B$15+'01_Вводные'!$B$311)))*'01_Вводные'!$B$298*MAX(0,'01_Вводные'!$B$22-1)</f>
        <v/>
      </c>
      <c r="AU4411">
        <f>IF(OR(46&lt;='01_Вводные'!$B$15,46-'01_Вводные'!$B$15&gt;60),0,INDEX('19_Расчет_аналитики'!$B$4386:$BI$4386,1,46-'01_Вводные'!$B$15))*'01_Вводные'!$B$298*MIN(1,'01_Вводные'!$B$22)+IF(OR(46&lt;=('01_Вводные'!$B$15+'01_Вводные'!$B$311),46-('01_Вводные'!$B$15+'01_Вводные'!$B$311)&gt;60),0,INDEX('19_Расчет_аналитики'!$B$4386:$BI$4386,1,46-('01_Вводные'!$B$15+'01_Вводные'!$B$311)))*'01_Вводные'!$B$298*MAX(0,'01_Вводные'!$B$22-1)</f>
        <v/>
      </c>
      <c r="AV4411">
        <f>IF(OR(47&lt;='01_Вводные'!$B$15,47-'01_Вводные'!$B$15&gt;60),0,INDEX('19_Расчет_аналитики'!$B$4386:$BI$4386,1,47-'01_Вводные'!$B$15))*'01_Вводные'!$B$298*MIN(1,'01_Вводные'!$B$22)+IF(OR(47&lt;=('01_Вводные'!$B$15+'01_Вводные'!$B$311),47-('01_Вводные'!$B$15+'01_Вводные'!$B$311)&gt;60),0,INDEX('19_Расчет_аналитики'!$B$4386:$BI$4386,1,47-('01_Вводные'!$B$15+'01_Вводные'!$B$311)))*'01_Вводные'!$B$298*MAX(0,'01_Вводные'!$B$22-1)</f>
        <v/>
      </c>
      <c r="AW4411">
        <f>IF(OR(48&lt;='01_Вводные'!$B$15,48-'01_Вводные'!$B$15&gt;60),0,INDEX('19_Расчет_аналитики'!$B$4386:$BI$4386,1,48-'01_Вводные'!$B$15))*'01_Вводные'!$B$298*MIN(1,'01_Вводные'!$B$22)+IF(OR(48&lt;=('01_Вводные'!$B$15+'01_Вводные'!$B$311),48-('01_Вводные'!$B$15+'01_Вводные'!$B$311)&gt;60),0,INDEX('19_Расчет_аналитики'!$B$4386:$BI$4386,1,48-('01_Вводные'!$B$15+'01_Вводные'!$B$311)))*'01_Вводные'!$B$298*MAX(0,'01_Вводные'!$B$22-1)</f>
        <v/>
      </c>
      <c r="AX4411">
        <f>IF(OR(49&lt;='01_Вводные'!$B$15,49-'01_Вводные'!$B$15&gt;60),0,INDEX('19_Расчет_аналитики'!$B$4386:$BI$4386,1,49-'01_Вводные'!$B$15))*'01_Вводные'!$B$298*MIN(1,'01_Вводные'!$B$22)+IF(OR(49&lt;=('01_Вводные'!$B$15+'01_Вводные'!$B$311),49-('01_Вводные'!$B$15+'01_Вводные'!$B$311)&gt;60),0,INDEX('19_Расчет_аналитики'!$B$4386:$BI$4386,1,49-('01_Вводные'!$B$15+'01_Вводные'!$B$311)))*'01_Вводные'!$B$298*MAX(0,'01_Вводные'!$B$22-1)</f>
        <v/>
      </c>
      <c r="AY4411">
        <f>IF(OR(50&lt;='01_Вводные'!$B$15,50-'01_Вводные'!$B$15&gt;60),0,INDEX('19_Расчет_аналитики'!$B$4386:$BI$4386,1,50-'01_Вводные'!$B$15))*'01_Вводные'!$B$298*MIN(1,'01_Вводные'!$B$22)+IF(OR(50&lt;=('01_Вводные'!$B$15+'01_Вводные'!$B$311),50-('01_Вводные'!$B$15+'01_Вводные'!$B$311)&gt;60),0,INDEX('19_Расчет_аналитики'!$B$4386:$BI$4386,1,50-('01_Вводные'!$B$15+'01_Вводные'!$B$311)))*'01_Вводные'!$B$298*MAX(0,'01_Вводные'!$B$22-1)</f>
        <v/>
      </c>
      <c r="AZ4411">
        <f>IF(OR(51&lt;='01_Вводные'!$B$15,51-'01_Вводные'!$B$15&gt;60),0,INDEX('19_Расчет_аналитики'!$B$4386:$BI$4386,1,51-'01_Вводные'!$B$15))*'01_Вводные'!$B$298*MIN(1,'01_Вводные'!$B$22)+IF(OR(51&lt;=('01_Вводные'!$B$15+'01_Вводные'!$B$311),51-('01_Вводные'!$B$15+'01_Вводные'!$B$311)&gt;60),0,INDEX('19_Расчет_аналитики'!$B$4386:$BI$4386,1,51-('01_Вводные'!$B$15+'01_Вводные'!$B$311)))*'01_Вводные'!$B$298*MAX(0,'01_Вводные'!$B$22-1)</f>
        <v/>
      </c>
      <c r="BA4411">
        <f>IF(OR(52&lt;='01_Вводные'!$B$15,52-'01_Вводные'!$B$15&gt;60),0,INDEX('19_Расчет_аналитики'!$B$4386:$BI$4386,1,52-'01_Вводные'!$B$15))*'01_Вводные'!$B$298*MIN(1,'01_Вводные'!$B$22)+IF(OR(52&lt;=('01_Вводные'!$B$15+'01_Вводные'!$B$311),52-('01_Вводные'!$B$15+'01_Вводные'!$B$311)&gt;60),0,INDEX('19_Расчет_аналитики'!$B$4386:$BI$4386,1,52-('01_Вводные'!$B$15+'01_Вводные'!$B$311)))*'01_Вводные'!$B$298*MAX(0,'01_Вводные'!$B$22-1)</f>
        <v/>
      </c>
      <c r="BB4411">
        <f>IF(OR(53&lt;='01_Вводные'!$B$15,53-'01_Вводные'!$B$15&gt;60),0,INDEX('19_Расчет_аналитики'!$B$4386:$BI$4386,1,53-'01_Вводные'!$B$15))*'01_Вводные'!$B$298*MIN(1,'01_Вводные'!$B$22)+IF(OR(53&lt;=('01_Вводные'!$B$15+'01_Вводные'!$B$311),53-('01_Вводные'!$B$15+'01_Вводные'!$B$311)&gt;60),0,INDEX('19_Расчет_аналитики'!$B$4386:$BI$4386,1,53-('01_Вводные'!$B$15+'01_Вводные'!$B$311)))*'01_Вводные'!$B$298*MAX(0,'01_Вводные'!$B$22-1)</f>
        <v/>
      </c>
      <c r="BC4411">
        <f>IF(OR(54&lt;='01_Вводные'!$B$15,54-'01_Вводные'!$B$15&gt;60),0,INDEX('19_Расчет_аналитики'!$B$4386:$BI$4386,1,54-'01_Вводные'!$B$15))*'01_Вводные'!$B$298*MIN(1,'01_Вводные'!$B$22)+IF(OR(54&lt;=('01_Вводные'!$B$15+'01_Вводные'!$B$311),54-('01_Вводные'!$B$15+'01_Вводные'!$B$311)&gt;60),0,INDEX('19_Расчет_аналитики'!$B$4386:$BI$4386,1,54-('01_Вводные'!$B$15+'01_Вводные'!$B$311)))*'01_Вводные'!$B$298*MAX(0,'01_Вводные'!$B$22-1)</f>
        <v/>
      </c>
      <c r="BD4411">
        <f>IF(OR(55&lt;='01_Вводные'!$B$15,55-'01_Вводные'!$B$15&gt;60),0,INDEX('19_Расчет_аналитики'!$B$4386:$BI$4386,1,55-'01_Вводные'!$B$15))*'01_Вводные'!$B$298*MIN(1,'01_Вводные'!$B$22)+IF(OR(55&lt;=('01_Вводные'!$B$15+'01_Вводные'!$B$311),55-('01_Вводные'!$B$15+'01_Вводные'!$B$311)&gt;60),0,INDEX('19_Расчет_аналитики'!$B$4386:$BI$4386,1,55-('01_Вводные'!$B$15+'01_Вводные'!$B$311)))*'01_Вводные'!$B$298*MAX(0,'01_Вводные'!$B$22-1)</f>
        <v/>
      </c>
      <c r="BE4411">
        <f>IF(OR(56&lt;='01_Вводные'!$B$15,56-'01_Вводные'!$B$15&gt;60),0,INDEX('19_Расчет_аналитики'!$B$4386:$BI$4386,1,56-'01_Вводные'!$B$15))*'01_Вводные'!$B$298*MIN(1,'01_Вводные'!$B$22)+IF(OR(56&lt;=('01_Вводные'!$B$15+'01_Вводные'!$B$311),56-('01_Вводные'!$B$15+'01_Вводные'!$B$311)&gt;60),0,INDEX('19_Расчет_аналитики'!$B$4386:$BI$4386,1,56-('01_Вводные'!$B$15+'01_Вводные'!$B$311)))*'01_Вводные'!$B$298*MAX(0,'01_Вводные'!$B$22-1)</f>
        <v/>
      </c>
      <c r="BF4411">
        <f>IF(OR(57&lt;='01_Вводные'!$B$15,57-'01_Вводные'!$B$15&gt;60),0,INDEX('19_Расчет_аналитики'!$B$4386:$BI$4386,1,57-'01_Вводные'!$B$15))*'01_Вводные'!$B$298*MIN(1,'01_Вводные'!$B$22)+IF(OR(57&lt;=('01_Вводные'!$B$15+'01_Вводные'!$B$311),57-('01_Вводные'!$B$15+'01_Вводные'!$B$311)&gt;60),0,INDEX('19_Расчет_аналитики'!$B$4386:$BI$4386,1,57-('01_Вводные'!$B$15+'01_Вводные'!$B$311)))*'01_Вводные'!$B$298*MAX(0,'01_Вводные'!$B$22-1)</f>
        <v/>
      </c>
      <c r="BG4411">
        <f>IF(OR(58&lt;='01_Вводные'!$B$15,58-'01_Вводные'!$B$15&gt;60),0,INDEX('19_Расчет_аналитики'!$B$4386:$BI$4386,1,58-'01_Вводные'!$B$15))*'01_Вводные'!$B$298*MIN(1,'01_Вводные'!$B$22)+IF(OR(58&lt;=('01_Вводные'!$B$15+'01_Вводные'!$B$311),58-('01_Вводные'!$B$15+'01_Вводные'!$B$311)&gt;60),0,INDEX('19_Расчет_аналитики'!$B$4386:$BI$4386,1,58-('01_Вводные'!$B$15+'01_Вводные'!$B$311)))*'01_Вводные'!$B$298*MAX(0,'01_Вводные'!$B$22-1)</f>
        <v/>
      </c>
      <c r="BH4411">
        <f>IF(OR(59&lt;='01_Вводные'!$B$15,59-'01_Вводные'!$B$15&gt;60),0,INDEX('19_Расчет_аналитики'!$B$4386:$BI$4386,1,59-'01_Вводные'!$B$15))*'01_Вводные'!$B$298*MIN(1,'01_Вводные'!$B$22)+IF(OR(59&lt;=('01_Вводные'!$B$15+'01_Вводные'!$B$311),59-('01_Вводные'!$B$15+'01_Вводные'!$B$311)&gt;60),0,INDEX('19_Расчет_аналитики'!$B$4386:$BI$4386,1,59-('01_Вводные'!$B$15+'01_Вводные'!$B$311)))*'01_Вводные'!$B$298*MAX(0,'01_Вводные'!$B$22-1)</f>
        <v/>
      </c>
      <c r="BI4411">
        <f>IF(OR(60&lt;='01_Вводные'!$B$15,60-'01_Вводные'!$B$15&gt;60),0,INDEX('19_Расчет_аналитики'!$B$4386:$BI$4386,1,60-'01_Вводные'!$B$15))*'01_Вводные'!$B$298*MIN(1,'01_Вводные'!$B$22)+IF(OR(60&lt;=('01_Вводные'!$B$15+'01_Вводные'!$B$311),60-('01_Вводные'!$B$15+'01_Вводные'!$B$311)&gt;60),0,INDEX('19_Расчет_аналитики'!$B$4386:$BI$4386,1,60-('01_Вводные'!$B$15+'01_Вводные'!$B$311)))*'01_Вводные'!$B$298*MAX(0,'01_Вводные'!$B$22-1)</f>
        <v/>
      </c>
      <c r="BJ4411">
        <f>IF(OR(61&lt;='01_Вводные'!$B$15,61-'01_Вводные'!$B$15&gt;60),0,INDEX('19_Расчет_аналитики'!$B$4386:$BI$4386,1,61-'01_Вводные'!$B$15))*'01_Вводные'!$B$298*MIN(1,'01_Вводные'!$B$22)+IF(OR(61&lt;=('01_Вводные'!$B$15+'01_Вводные'!$B$311),61-('01_Вводные'!$B$15+'01_Вводные'!$B$311)&gt;60),0,INDEX('19_Расчет_аналитики'!$B$4386:$BI$4386,1,61-('01_Вводные'!$B$15+'01_Вводные'!$B$311)))*'01_Вводные'!$B$298*MAX(0,'01_Вводные'!$B$22-1)</f>
        <v/>
      </c>
      <c r="BK4411">
        <f>IF(OR(62&lt;='01_Вводные'!$B$15,62-'01_Вводные'!$B$15&gt;60),0,INDEX('19_Расчет_аналитики'!$B$4386:$BI$4386,1,62-'01_Вводные'!$B$15))*'01_Вводные'!$B$298*MIN(1,'01_Вводные'!$B$22)+IF(OR(62&lt;=('01_Вводные'!$B$15+'01_Вводные'!$B$311),62-('01_Вводные'!$B$15+'01_Вводные'!$B$311)&gt;60),0,INDEX('19_Расчет_аналитики'!$B$4386:$BI$4386,1,62-('01_Вводные'!$B$15+'01_Вводные'!$B$311)))*'01_Вводные'!$B$298*MAX(0,'01_Вводные'!$B$22-1)</f>
        <v/>
      </c>
      <c r="BL4411">
        <f>IF(OR(63&lt;='01_Вводные'!$B$15,63-'01_Вводные'!$B$15&gt;60),0,INDEX('19_Расчет_аналитики'!$B$4386:$BI$4386,1,63-'01_Вводные'!$B$15))*'01_Вводные'!$B$298*MIN(1,'01_Вводные'!$B$22)+IF(OR(63&lt;=('01_Вводные'!$B$15+'01_Вводные'!$B$311),63-('01_Вводные'!$B$15+'01_Вводные'!$B$311)&gt;60),0,INDEX('19_Расчет_аналитики'!$B$4386:$BI$4386,1,63-('01_Вводные'!$B$15+'01_Вводные'!$B$311)))*'01_Вводные'!$B$298*MAX(0,'01_Вводные'!$B$22-1)</f>
        <v/>
      </c>
      <c r="BM4411">
        <f>IF(OR(64&lt;='01_Вводные'!$B$15,64-'01_Вводные'!$B$15&gt;60),0,INDEX('19_Расчет_аналитики'!$B$4386:$BI$4386,1,64-'01_Вводные'!$B$15))*'01_Вводные'!$B$298*MIN(1,'01_Вводные'!$B$22)+IF(OR(64&lt;=('01_Вводные'!$B$15+'01_Вводные'!$B$311),64-('01_Вводные'!$B$15+'01_Вводные'!$B$311)&gt;60),0,INDEX('19_Расчет_аналитики'!$B$4386:$BI$4386,1,64-('01_Вводные'!$B$15+'01_Вводные'!$B$311)))*'01_Вводные'!$B$298*MAX(0,'01_Вводные'!$B$22-1)</f>
        <v/>
      </c>
      <c r="BN4411">
        <f>IF(OR(65&lt;='01_Вводные'!$B$15,65-'01_Вводные'!$B$15&gt;60),0,INDEX('19_Расчет_аналитики'!$B$4386:$BI$4386,1,65-'01_Вводные'!$B$15))*'01_Вводные'!$B$298*MIN(1,'01_Вводные'!$B$22)+IF(OR(65&lt;=('01_Вводные'!$B$15+'01_Вводные'!$B$311),65-('01_Вводные'!$B$15+'01_Вводные'!$B$311)&gt;60),0,INDEX('19_Расчет_аналитики'!$B$4386:$BI$4386,1,65-('01_Вводные'!$B$15+'01_Вводные'!$B$311)))*'01_Вводные'!$B$298*MAX(0,'01_Вводные'!$B$22-1)</f>
        <v/>
      </c>
      <c r="BO4411">
        <f>IF(OR(66&lt;='01_Вводные'!$B$15,66-'01_Вводные'!$B$15&gt;60),0,INDEX('19_Расчет_аналитики'!$B$4386:$BI$4386,1,66-'01_Вводные'!$B$15))*'01_Вводные'!$B$298*MIN(1,'01_Вводные'!$B$22)+IF(OR(66&lt;=('01_Вводные'!$B$15+'01_Вводные'!$B$311),66-('01_Вводные'!$B$15+'01_Вводные'!$B$311)&gt;60),0,INDEX('19_Расчет_аналитики'!$B$4386:$BI$4386,1,66-('01_Вводные'!$B$15+'01_Вводные'!$B$311)))*'01_Вводные'!$B$298*MAX(0,'01_Вводные'!$B$22-1)</f>
        <v/>
      </c>
    </row>
    <row r="4412">
      <c r="C4412">
        <f>IF('01_Вводные'!$B$234="Да",'19_Расчет_аналитики'!C4410*'01_Вводные'!$B$16,0)</f>
        <v/>
      </c>
      <c r="D4412">
        <f>IF('01_Вводные'!$B$234="Да",'19_Расчет_аналитики'!D4410*'01_Вводные'!$B$16,0)</f>
        <v/>
      </c>
      <c r="E4412">
        <f>IF('01_Вводные'!$B$234="Да",'19_Расчет_аналитики'!E4410*'01_Вводные'!$B$16,0)</f>
        <v/>
      </c>
      <c r="F4412">
        <f>IF('01_Вводные'!$B$234="Да",'19_Расчет_аналитики'!F4410*'01_Вводные'!$B$16,0)</f>
        <v/>
      </c>
      <c r="G4412">
        <f>IF('01_Вводные'!$B$234="Да",'19_Расчет_аналитики'!G4410*'01_Вводные'!$B$16,0)</f>
        <v/>
      </c>
      <c r="H4412">
        <f>IF('01_Вводные'!$B$234="Да",'19_Расчет_аналитики'!H4410*'01_Вводные'!$B$16,0)</f>
        <v/>
      </c>
      <c r="I4412">
        <f>IF('01_Вводные'!$B$234="Да",'19_Расчет_аналитики'!I4410*'01_Вводные'!$B$16,0)</f>
        <v/>
      </c>
      <c r="J4412">
        <f>IF('01_Вводные'!$B$234="Да",'19_Расчет_аналитики'!J4410*'01_Вводные'!$B$16,0)</f>
        <v/>
      </c>
      <c r="K4412">
        <f>IF('01_Вводные'!$B$234="Да",'19_Расчет_аналитики'!K4410*'01_Вводные'!$B$16,0)</f>
        <v/>
      </c>
      <c r="L4412">
        <f>IF('01_Вводные'!$B$234="Да",'19_Расчет_аналитики'!L4410*'01_Вводные'!$B$16,0)</f>
        <v/>
      </c>
      <c r="M4412">
        <f>IF('01_Вводные'!$B$234="Да",'19_Расчет_аналитики'!M4410*'01_Вводные'!$B$16,0)</f>
        <v/>
      </c>
      <c r="N4412">
        <f>IF('01_Вводные'!$B$234="Да",'19_Расчет_аналитики'!N4410*'01_Вводные'!$B$16,0)</f>
        <v/>
      </c>
      <c r="O4412">
        <f>IF('01_Вводные'!$B$234="Да",'19_Расчет_аналитики'!O4410*'01_Вводные'!$B$16,0)</f>
        <v/>
      </c>
      <c r="P4412">
        <f>IF('01_Вводные'!$B$234="Да",'19_Расчет_аналитики'!P4410*'01_Вводные'!$B$16,0)</f>
        <v/>
      </c>
      <c r="Q4412">
        <f>IF('01_Вводные'!$B$234="Да",'19_Расчет_аналитики'!Q4410*'01_Вводные'!$B$16,0)</f>
        <v/>
      </c>
      <c r="R4412">
        <f>IF('01_Вводные'!$B$234="Да",'19_Расчет_аналитики'!R4410*'01_Вводные'!$B$16,0)</f>
        <v/>
      </c>
      <c r="S4412">
        <f>IF('01_Вводные'!$B$234="Да",'19_Расчет_аналитики'!S4410*'01_Вводные'!$B$16,0)</f>
        <v/>
      </c>
      <c r="T4412">
        <f>IF('01_Вводные'!$B$234="Да",'19_Расчет_аналитики'!T4410*'01_Вводные'!$B$16,0)</f>
        <v/>
      </c>
      <c r="U4412">
        <f>IF('01_Вводные'!$B$234="Да",'19_Расчет_аналитики'!U4410*'01_Вводные'!$B$16,0)</f>
        <v/>
      </c>
      <c r="V4412">
        <f>IF('01_Вводные'!$B$234="Да",'19_Расчет_аналитики'!V4410*'01_Вводные'!$B$16,0)</f>
        <v/>
      </c>
      <c r="W4412">
        <f>IF('01_Вводные'!$B$234="Да",'19_Расчет_аналитики'!W4410*'01_Вводные'!$B$16,0)</f>
        <v/>
      </c>
      <c r="X4412">
        <f>IF('01_Вводные'!$B$234="Да",'19_Расчет_аналитики'!X4410*'01_Вводные'!$B$16,0)</f>
        <v/>
      </c>
      <c r="Y4412">
        <f>IF('01_Вводные'!$B$234="Да",'19_Расчет_аналитики'!Y4410*'01_Вводные'!$B$16,0)</f>
        <v/>
      </c>
      <c r="Z4412">
        <f>IF('01_Вводные'!$B$234="Да",'19_Расчет_аналитики'!Z4410*'01_Вводные'!$B$16,0)</f>
        <v/>
      </c>
      <c r="AA4412">
        <f>IF('01_Вводные'!$B$234="Да",'19_Расчет_аналитики'!AA4410*'01_Вводные'!$B$16,0)</f>
        <v/>
      </c>
      <c r="AB4412">
        <f>IF('01_Вводные'!$B$234="Да",'19_Расчет_аналитики'!AB4410*'01_Вводные'!$B$16,0)</f>
        <v/>
      </c>
      <c r="AC4412">
        <f>IF('01_Вводные'!$B$234="Да",'19_Расчет_аналитики'!AC4410*'01_Вводные'!$B$16,0)</f>
        <v/>
      </c>
      <c r="AD4412">
        <f>IF('01_Вводные'!$B$234="Да",'19_Расчет_аналитики'!AD4410*'01_Вводные'!$B$16,0)</f>
        <v/>
      </c>
      <c r="AE4412">
        <f>IF('01_Вводные'!$B$234="Да",'19_Расчет_аналитики'!AE4410*'01_Вводные'!$B$16,0)</f>
        <v/>
      </c>
      <c r="AF4412">
        <f>IF('01_Вводные'!$B$234="Да",'19_Расчет_аналитики'!AF4410*'01_Вводные'!$B$16,0)</f>
        <v/>
      </c>
      <c r="AG4412">
        <f>IF('01_Вводные'!$B$234="Да",'19_Расчет_аналитики'!AG4410*'01_Вводные'!$B$16,0)</f>
        <v/>
      </c>
      <c r="AH4412">
        <f>IF('01_Вводные'!$B$234="Да",'19_Расчет_аналитики'!AH4410*'01_Вводные'!$B$16,0)</f>
        <v/>
      </c>
      <c r="AI4412">
        <f>IF('01_Вводные'!$B$234="Да",'19_Расчет_аналитики'!AI4410*'01_Вводные'!$B$16,0)</f>
        <v/>
      </c>
      <c r="AJ4412">
        <f>IF('01_Вводные'!$B$234="Да",'19_Расчет_аналитики'!AJ4410*'01_Вводные'!$B$16,0)</f>
        <v/>
      </c>
      <c r="AK4412">
        <f>IF('01_Вводные'!$B$234="Да",'19_Расчет_аналитики'!AK4410*'01_Вводные'!$B$16,0)</f>
        <v/>
      </c>
      <c r="AL4412">
        <f>IF('01_Вводные'!$B$234="Да",'19_Расчет_аналитики'!AL4410*'01_Вводные'!$B$16,0)</f>
        <v/>
      </c>
      <c r="AM4412">
        <f>IF('01_Вводные'!$B$234="Да",'19_Расчет_аналитики'!AM4410*'01_Вводные'!$B$16,0)</f>
        <v/>
      </c>
      <c r="AN4412">
        <f>IF('01_Вводные'!$B$234="Да",'19_Расчет_аналитики'!AN4410*'01_Вводные'!$B$16,0)</f>
        <v/>
      </c>
      <c r="AO4412">
        <f>IF('01_Вводные'!$B$234="Да",'19_Расчет_аналитики'!AO4410*'01_Вводные'!$B$16,0)</f>
        <v/>
      </c>
      <c r="AP4412">
        <f>IF('01_Вводные'!$B$234="Да",'19_Расчет_аналитики'!AP4410*'01_Вводные'!$B$16,0)</f>
        <v/>
      </c>
      <c r="AQ4412">
        <f>IF('01_Вводные'!$B$234="Да",'19_Расчет_аналитики'!AQ4410*'01_Вводные'!$B$16,0)</f>
        <v/>
      </c>
      <c r="AR4412">
        <f>IF('01_Вводные'!$B$234="Да",'19_Расчет_аналитики'!AR4410*'01_Вводные'!$B$16,0)</f>
        <v/>
      </c>
      <c r="AS4412">
        <f>IF('01_Вводные'!$B$234="Да",'19_Расчет_аналитики'!AS4410*'01_Вводные'!$B$16,0)</f>
        <v/>
      </c>
      <c r="AT4412">
        <f>IF('01_Вводные'!$B$234="Да",'19_Расчет_аналитики'!AT4410*'01_Вводные'!$B$16,0)</f>
        <v/>
      </c>
      <c r="AU4412">
        <f>IF('01_Вводные'!$B$234="Да",'19_Расчет_аналитики'!AU4410*'01_Вводные'!$B$16,0)</f>
        <v/>
      </c>
      <c r="AV4412">
        <f>IF('01_Вводные'!$B$234="Да",'19_Расчет_аналитики'!AV4410*'01_Вводные'!$B$16,0)</f>
        <v/>
      </c>
      <c r="AW4412">
        <f>IF('01_Вводные'!$B$234="Да",'19_Расчет_аналитики'!AW4410*'01_Вводные'!$B$16,0)</f>
        <v/>
      </c>
      <c r="AX4412">
        <f>IF('01_Вводные'!$B$234="Да",'19_Расчет_аналитики'!AX4410*'01_Вводные'!$B$16,0)</f>
        <v/>
      </c>
      <c r="AY4412">
        <f>IF('01_Вводные'!$B$234="Да",'19_Расчет_аналитики'!AY4410*'01_Вводные'!$B$16,0)</f>
        <v/>
      </c>
      <c r="AZ4412">
        <f>IF('01_Вводные'!$B$234="Да",'19_Расчет_аналитики'!AZ4410*'01_Вводные'!$B$16,0)</f>
        <v/>
      </c>
      <c r="BA4412">
        <f>IF('01_Вводные'!$B$234="Да",'19_Расчет_аналитики'!BA4410*'01_Вводные'!$B$16,0)</f>
        <v/>
      </c>
      <c r="BB4412">
        <f>IF('01_Вводные'!$B$234="Да",'19_Расчет_аналитики'!BB4410*'01_Вводные'!$B$16,0)</f>
        <v/>
      </c>
      <c r="BC4412">
        <f>IF('01_Вводные'!$B$234="Да",'19_Расчет_аналитики'!BC4410*'01_Вводные'!$B$16,0)</f>
        <v/>
      </c>
      <c r="BD4412">
        <f>IF('01_Вводные'!$B$234="Да",'19_Расчет_аналитики'!BD4410*'01_Вводные'!$B$16,0)</f>
        <v/>
      </c>
      <c r="BE4412">
        <f>IF('01_Вводные'!$B$234="Да",'19_Расчет_аналитики'!BE4410*'01_Вводные'!$B$16,0)</f>
        <v/>
      </c>
      <c r="BF4412">
        <f>IF('01_Вводные'!$B$234="Да",'19_Расчет_аналитики'!BF4410*'01_Вводные'!$B$16,0)</f>
        <v/>
      </c>
      <c r="BG4412">
        <f>IF('01_Вводные'!$B$234="Да",'19_Расчет_аналитики'!BG4410*'01_Вводные'!$B$16,0)</f>
        <v/>
      </c>
      <c r="BH4412">
        <f>IF('01_Вводные'!$B$234="Да",'19_Расчет_аналитики'!BH4410*'01_Вводные'!$B$16,0)</f>
        <v/>
      </c>
      <c r="BI4412">
        <f>IF('01_Вводные'!$B$234="Да",'19_Расчет_аналитики'!BI4410*'01_Вводные'!$B$16,0)</f>
        <v/>
      </c>
    </row>
    <row r="4413">
      <c r="C4413">
        <f>IF('01_Вводные'!$B$234="Да",'06_Сеть_и_дети'!B10*'01_Вводные'!$B$14+'19_Расчет_аналитики'!C4412,0)</f>
        <v/>
      </c>
      <c r="D4413">
        <f>IF('01_Вводные'!$B$234="Да",'19_Расчет_аналитики'!C4413*'01_Вводные'!$B$14+'19_Расчет_аналитики'!D4412,0)</f>
        <v/>
      </c>
      <c r="E4413">
        <f>IF('01_Вводные'!$B$234="Да",'19_Расчет_аналитики'!D4413*'01_Вводные'!$B$14+'19_Расчет_аналитики'!E4412,0)</f>
        <v/>
      </c>
      <c r="F4413">
        <f>IF('01_Вводные'!$B$234="Да",'19_Расчет_аналитики'!E4413*'01_Вводные'!$B$14+'19_Расчет_аналитики'!F4412,0)</f>
        <v/>
      </c>
      <c r="G4413">
        <f>IF('01_Вводные'!$B$234="Да",'19_Расчет_аналитики'!F4413*'01_Вводные'!$B$14+'19_Расчет_аналитики'!G4412,0)</f>
        <v/>
      </c>
      <c r="H4413">
        <f>IF('01_Вводные'!$B$234="Да",'19_Расчет_аналитики'!G4413*'01_Вводные'!$B$14+'19_Расчет_аналитики'!H4412,0)</f>
        <v/>
      </c>
      <c r="I4413">
        <f>IF('01_Вводные'!$B$234="Да",'19_Расчет_аналитики'!H4413*'01_Вводные'!$B$14+'19_Расчет_аналитики'!I4412,0)</f>
        <v/>
      </c>
      <c r="J4413">
        <f>IF('01_Вводные'!$B$234="Да",'19_Расчет_аналитики'!I4413*'01_Вводные'!$B$14+'19_Расчет_аналитики'!J4412,0)</f>
        <v/>
      </c>
      <c r="K4413">
        <f>IF('01_Вводные'!$B$234="Да",'19_Расчет_аналитики'!J4413*'01_Вводные'!$B$14+'19_Расчет_аналитики'!K4412,0)</f>
        <v/>
      </c>
      <c r="L4413">
        <f>IF('01_Вводные'!$B$234="Да",'19_Расчет_аналитики'!K4413*'01_Вводные'!$B$14+'19_Расчет_аналитики'!L4412,0)</f>
        <v/>
      </c>
      <c r="M4413">
        <f>IF('01_Вводные'!$B$234="Да",'19_Расчет_аналитики'!L4413*'01_Вводные'!$B$14+'19_Расчет_аналитики'!M4412,0)</f>
        <v/>
      </c>
      <c r="N4413">
        <f>IF('01_Вводные'!$B$234="Да",'19_Расчет_аналитики'!M4413*'01_Вводные'!$B$14+'19_Расчет_аналитики'!N4412,0)</f>
        <v/>
      </c>
      <c r="O4413">
        <f>IF('01_Вводные'!$B$234="Да",'19_Расчет_аналитики'!N4413*'01_Вводные'!$B$14+'19_Расчет_аналитики'!O4412,0)</f>
        <v/>
      </c>
      <c r="P4413">
        <f>IF('01_Вводные'!$B$234="Да",'19_Расчет_аналитики'!O4413*'01_Вводные'!$B$14+'19_Расчет_аналитики'!P4412,0)</f>
        <v/>
      </c>
      <c r="Q4413">
        <f>IF('01_Вводные'!$B$234="Да",'19_Расчет_аналитики'!P4413*'01_Вводные'!$B$14+'19_Расчет_аналитики'!Q4412,0)</f>
        <v/>
      </c>
      <c r="R4413">
        <f>IF('01_Вводные'!$B$234="Да",'19_Расчет_аналитики'!Q4413*'01_Вводные'!$B$14+'19_Расчет_аналитики'!R4412,0)</f>
        <v/>
      </c>
      <c r="S4413">
        <f>IF('01_Вводные'!$B$234="Да",'19_Расчет_аналитики'!R4413*'01_Вводные'!$B$14+'19_Расчет_аналитики'!S4412,0)</f>
        <v/>
      </c>
      <c r="T4413">
        <f>IF('01_Вводные'!$B$234="Да",'19_Расчет_аналитики'!S4413*'01_Вводные'!$B$14+'19_Расчет_аналитики'!T4412,0)</f>
        <v/>
      </c>
      <c r="U4413">
        <f>IF('01_Вводные'!$B$234="Да",'19_Расчет_аналитики'!T4413*'01_Вводные'!$B$14+'19_Расчет_аналитики'!U4412,0)</f>
        <v/>
      </c>
      <c r="V4413">
        <f>IF('01_Вводные'!$B$234="Да",'19_Расчет_аналитики'!U4413*'01_Вводные'!$B$14+'19_Расчет_аналитики'!V4412,0)</f>
        <v/>
      </c>
      <c r="W4413">
        <f>IF('01_Вводные'!$B$234="Да",'19_Расчет_аналитики'!V4413*'01_Вводные'!$B$14+'19_Расчет_аналитики'!W4412,0)</f>
        <v/>
      </c>
      <c r="X4413">
        <f>IF('01_Вводные'!$B$234="Да",'19_Расчет_аналитики'!W4413*'01_Вводные'!$B$14+'19_Расчет_аналитики'!X4412,0)</f>
        <v/>
      </c>
      <c r="Y4413">
        <f>IF('01_Вводные'!$B$234="Да",'19_Расчет_аналитики'!X4413*'01_Вводные'!$B$14+'19_Расчет_аналитики'!Y4412,0)</f>
        <v/>
      </c>
      <c r="Z4413">
        <f>IF('01_Вводные'!$B$234="Да",'19_Расчет_аналитики'!Y4413*'01_Вводные'!$B$14+'19_Расчет_аналитики'!Z4412,0)</f>
        <v/>
      </c>
      <c r="AA4413">
        <f>IF('01_Вводные'!$B$234="Да",'19_Расчет_аналитики'!Z4413*'01_Вводные'!$B$14+'19_Расчет_аналитики'!AA4412,0)</f>
        <v/>
      </c>
      <c r="AB4413">
        <f>IF('01_Вводные'!$B$234="Да",'19_Расчет_аналитики'!AA4413*'01_Вводные'!$B$14+'19_Расчет_аналитики'!AB4412,0)</f>
        <v/>
      </c>
      <c r="AC4413">
        <f>IF('01_Вводные'!$B$234="Да",'19_Расчет_аналитики'!AB4413*'01_Вводные'!$B$14+'19_Расчет_аналитики'!AC4412,0)</f>
        <v/>
      </c>
      <c r="AD4413">
        <f>IF('01_Вводные'!$B$234="Да",'19_Расчет_аналитики'!AC4413*'01_Вводные'!$B$14+'19_Расчет_аналитики'!AD4412,0)</f>
        <v/>
      </c>
      <c r="AE4413">
        <f>IF('01_Вводные'!$B$234="Да",'19_Расчет_аналитики'!AD4413*'01_Вводные'!$B$14+'19_Расчет_аналитики'!AE4412,0)</f>
        <v/>
      </c>
      <c r="AF4413">
        <f>IF('01_Вводные'!$B$234="Да",'19_Расчет_аналитики'!AE4413*'01_Вводные'!$B$14+'19_Расчет_аналитики'!AF4412,0)</f>
        <v/>
      </c>
      <c r="AG4413">
        <f>IF('01_Вводные'!$B$234="Да",'19_Расчет_аналитики'!AF4413*'01_Вводные'!$B$14+'19_Расчет_аналитики'!AG4412,0)</f>
        <v/>
      </c>
      <c r="AH4413">
        <f>IF('01_Вводные'!$B$234="Да",'19_Расчет_аналитики'!AG4413*'01_Вводные'!$B$14+'19_Расчет_аналитики'!AH4412,0)</f>
        <v/>
      </c>
      <c r="AI4413">
        <f>IF('01_Вводные'!$B$234="Да",'19_Расчет_аналитики'!AH4413*'01_Вводные'!$B$14+'19_Расчет_аналитики'!AI4412,0)</f>
        <v/>
      </c>
      <c r="AJ4413">
        <f>IF('01_Вводные'!$B$234="Да",'19_Расчет_аналитики'!AI4413*'01_Вводные'!$B$14+'19_Расчет_аналитики'!AJ4412,0)</f>
        <v/>
      </c>
      <c r="AK4413">
        <f>IF('01_Вводные'!$B$234="Да",'19_Расчет_аналитики'!AJ4413*'01_Вводные'!$B$14+'19_Расчет_аналитики'!AK4412,0)</f>
        <v/>
      </c>
      <c r="AL4413">
        <f>IF('01_Вводные'!$B$234="Да",'19_Расчет_аналитики'!AK4413*'01_Вводные'!$B$14+'19_Расчет_аналитики'!AL4412,0)</f>
        <v/>
      </c>
      <c r="AM4413">
        <f>IF('01_Вводные'!$B$234="Да",'19_Расчет_аналитики'!AL4413*'01_Вводные'!$B$14+'19_Расчет_аналитики'!AM4412,0)</f>
        <v/>
      </c>
      <c r="AN4413">
        <f>IF('01_Вводные'!$B$234="Да",'19_Расчет_аналитики'!AM4413*'01_Вводные'!$B$14+'19_Расчет_аналитики'!AN4412,0)</f>
        <v/>
      </c>
      <c r="AO4413">
        <f>IF('01_Вводные'!$B$234="Да",'19_Расчет_аналитики'!AN4413*'01_Вводные'!$B$14+'19_Расчет_аналитики'!AO4412,0)</f>
        <v/>
      </c>
      <c r="AP4413">
        <f>IF('01_Вводные'!$B$234="Да",'19_Расчет_аналитики'!AO4413*'01_Вводные'!$B$14+'19_Расчет_аналитики'!AP4412,0)</f>
        <v/>
      </c>
      <c r="AQ4413">
        <f>IF('01_Вводные'!$B$234="Да",'19_Расчет_аналитики'!AP4413*'01_Вводные'!$B$14+'19_Расчет_аналитики'!AQ4412,0)</f>
        <v/>
      </c>
      <c r="AR4413">
        <f>IF('01_Вводные'!$B$234="Да",'19_Расчет_аналитики'!AQ4413*'01_Вводные'!$B$14+'19_Расчет_аналитики'!AR4412,0)</f>
        <v/>
      </c>
      <c r="AS4413">
        <f>IF('01_Вводные'!$B$234="Да",'19_Расчет_аналитики'!AR4413*'01_Вводные'!$B$14+'19_Расчет_аналитики'!AS4412,0)</f>
        <v/>
      </c>
      <c r="AT4413">
        <f>IF('01_Вводные'!$B$234="Да",'19_Расчет_аналитики'!AS4413*'01_Вводные'!$B$14+'19_Расчет_аналитики'!AT4412,0)</f>
        <v/>
      </c>
      <c r="AU4413">
        <f>IF('01_Вводные'!$B$234="Да",'19_Расчет_аналитики'!AT4413*'01_Вводные'!$B$14+'19_Расчет_аналитики'!AU4412,0)</f>
        <v/>
      </c>
      <c r="AV4413">
        <f>IF('01_Вводные'!$B$234="Да",'19_Расчет_аналитики'!AU4413*'01_Вводные'!$B$14+'19_Расчет_аналитики'!AV4412,0)</f>
        <v/>
      </c>
      <c r="AW4413">
        <f>IF('01_Вводные'!$B$234="Да",'19_Расчет_аналитики'!AV4413*'01_Вводные'!$B$14+'19_Расчет_аналитики'!AW4412,0)</f>
        <v/>
      </c>
      <c r="AX4413">
        <f>IF('01_Вводные'!$B$234="Да",'19_Расчет_аналитики'!AW4413*'01_Вводные'!$B$14+'19_Расчет_аналитики'!AX4412,0)</f>
        <v/>
      </c>
      <c r="AY4413">
        <f>IF('01_Вводные'!$B$234="Да",'19_Расчет_аналитики'!AX4413*'01_Вводные'!$B$14+'19_Расчет_аналитики'!AY4412,0)</f>
        <v/>
      </c>
      <c r="AZ4413">
        <f>IF('01_Вводные'!$B$234="Да",'19_Расчет_аналитики'!AY4413*'01_Вводные'!$B$14+'19_Расчет_аналитики'!AZ4412,0)</f>
        <v/>
      </c>
      <c r="BA4413">
        <f>IF('01_Вводные'!$B$234="Да",'19_Расчет_аналитики'!AZ4413*'01_Вводные'!$B$14+'19_Расчет_аналитики'!BA4412,0)</f>
        <v/>
      </c>
      <c r="BB4413">
        <f>IF('01_Вводные'!$B$234="Да",'19_Расчет_аналитики'!BA4413*'01_Вводные'!$B$14+'19_Расчет_аналитики'!BB4412,0)</f>
        <v/>
      </c>
      <c r="BC4413">
        <f>IF('01_Вводные'!$B$234="Да",'19_Расчет_аналитики'!BB4413*'01_Вводные'!$B$14+'19_Расчет_аналитики'!BC4412,0)</f>
        <v/>
      </c>
      <c r="BD4413">
        <f>IF('01_Вводные'!$B$234="Да",'19_Расчет_аналитики'!BC4413*'01_Вводные'!$B$14+'19_Расчет_аналитики'!BD4412,0)</f>
        <v/>
      </c>
      <c r="BE4413">
        <f>IF('01_Вводные'!$B$234="Да",'19_Расчет_аналитики'!BD4413*'01_Вводные'!$B$14+'19_Расчет_аналитики'!BE4412,0)</f>
        <v/>
      </c>
      <c r="BF4413">
        <f>IF('01_Вводные'!$B$234="Да",'19_Расчет_аналитики'!BE4413*'01_Вводные'!$B$14+'19_Расчет_аналитики'!BF4412,0)</f>
        <v/>
      </c>
      <c r="BG4413">
        <f>IF('01_Вводные'!$B$234="Да",'19_Расчет_аналитики'!BF4413*'01_Вводные'!$B$14+'19_Расчет_аналитики'!BG4412,0)</f>
        <v/>
      </c>
      <c r="BH4413">
        <f>IF('01_Вводные'!$B$234="Да",'19_Расчет_аналитики'!BG4413*'01_Вводные'!$B$14+'19_Расчет_аналитики'!BH4412,0)</f>
        <v/>
      </c>
      <c r="BI4413">
        <f>IF('01_Вводные'!$B$234="Да",'19_Расчет_аналитики'!BH4413*'01_Вводные'!$B$14+'19_Расчет_аналитики'!BI4412,0)</f>
        <v/>
      </c>
      <c r="BJ4413">
        <f>IF('01_Вводные'!$B$234="Да",'19_Расчет_аналитики'!BI4413*'01_Вводные'!$B$14+'06_Сеть_и_дети'!BJ9,0)</f>
        <v/>
      </c>
      <c r="BK4413">
        <f>IF('01_Вводные'!$B$234="Да",'19_Расчет_аналитики'!BJ4413*'01_Вводные'!$B$14+'06_Сеть_и_дети'!BK9,0)</f>
        <v/>
      </c>
      <c r="BL4413">
        <f>IF('01_Вводные'!$B$234="Да",'19_Расчет_аналитики'!BK4413*'01_Вводные'!$B$14+'06_Сеть_и_дети'!BL9,0)</f>
        <v/>
      </c>
      <c r="BM4413">
        <f>IF('01_Вводные'!$B$234="Да",'19_Расчет_аналитики'!BL4413*'01_Вводные'!$B$14+'06_Сеть_и_дети'!BM9,0)</f>
        <v/>
      </c>
      <c r="BN4413">
        <f>IF('01_Вводные'!$B$234="Да",'19_Расчет_аналитики'!BM4413*'01_Вводные'!$B$14+'06_Сеть_и_дети'!BN9,0)</f>
        <v/>
      </c>
      <c r="BO4413">
        <f>IF('01_Вводные'!$B$234="Да",'19_Расчет_аналитики'!BN4413*'01_Вводные'!$B$14+'06_Сеть_и_дети'!BO9,0)</f>
        <v/>
      </c>
    </row>
    <row r="4414"/>
    <row r="4415"/>
    <row r="4416">
      <c r="B4416">
        <f>IF('01_Вводные'!$B$234="Да",SUM('19_Расчет_аналитики'!B4456:B4467),0)</f>
        <v/>
      </c>
      <c r="C4416">
        <f>IF('01_Вводные'!$B$234="Да",SUM('19_Расчет_аналитики'!C4456:C4467),0)</f>
        <v/>
      </c>
      <c r="D4416">
        <f>IF('01_Вводные'!$B$234="Да",SUM('19_Расчет_аналитики'!D4456:D4467),0)</f>
        <v/>
      </c>
      <c r="E4416">
        <f>IF('01_Вводные'!$B$234="Да",SUM('19_Расчет_аналитики'!E4456:E4467),0)</f>
        <v/>
      </c>
      <c r="F4416">
        <f>IF('01_Вводные'!$B$234="Да",SUM('19_Расчет_аналитики'!F4456:F4467),0)</f>
        <v/>
      </c>
      <c r="G4416">
        <f>IF('01_Вводные'!$B$234="Да",SUM('19_Расчет_аналитики'!G4456:G4467),0)</f>
        <v/>
      </c>
      <c r="H4416">
        <f>IF('01_Вводные'!$B$234="Да",SUM('19_Расчет_аналитики'!H4456:H4467),0)</f>
        <v/>
      </c>
      <c r="I4416">
        <f>IF('01_Вводные'!$B$234="Да",SUM('19_Расчет_аналитики'!I4456:I4467),0)</f>
        <v/>
      </c>
      <c r="J4416">
        <f>IF('01_Вводные'!$B$234="Да",SUM('19_Расчет_аналитики'!J4456:J4467),0)</f>
        <v/>
      </c>
      <c r="K4416">
        <f>IF('01_Вводные'!$B$234="Да",SUM('19_Расчет_аналитики'!K4456:K4467),0)</f>
        <v/>
      </c>
      <c r="L4416">
        <f>IF('01_Вводные'!$B$234="Да",SUM('19_Расчет_аналитики'!L4456:L4467),0)</f>
        <v/>
      </c>
      <c r="M4416">
        <f>IF('01_Вводные'!$B$234="Да",SUM('19_Расчет_аналитики'!M4456:M4467),0)</f>
        <v/>
      </c>
      <c r="N4416">
        <f>IF('01_Вводные'!$B$234="Да",SUM('19_Расчет_аналитики'!N4456:N4467),0)</f>
        <v/>
      </c>
      <c r="O4416">
        <f>IF('01_Вводные'!$B$234="Да",SUM('19_Расчет_аналитики'!O4456:O4467),0)</f>
        <v/>
      </c>
      <c r="P4416">
        <f>IF('01_Вводные'!$B$234="Да",SUM('19_Расчет_аналитики'!P4456:P4467),0)</f>
        <v/>
      </c>
      <c r="Q4416">
        <f>IF('01_Вводные'!$B$234="Да",SUM('19_Расчет_аналитики'!Q4456:Q4467),0)</f>
        <v/>
      </c>
      <c r="R4416">
        <f>IF('01_Вводные'!$B$234="Да",SUM('19_Расчет_аналитики'!R4456:R4467),0)</f>
        <v/>
      </c>
      <c r="S4416">
        <f>IF('01_Вводные'!$B$234="Да",SUM('19_Расчет_аналитики'!S4456:S4467),0)</f>
        <v/>
      </c>
      <c r="T4416">
        <f>IF('01_Вводные'!$B$234="Да",SUM('19_Расчет_аналитики'!T4456:T4467),0)</f>
        <v/>
      </c>
      <c r="U4416">
        <f>IF('01_Вводные'!$B$234="Да",SUM('19_Расчет_аналитики'!U4456:U4467),0)</f>
        <v/>
      </c>
      <c r="V4416">
        <f>IF('01_Вводные'!$B$234="Да",SUM('19_Расчет_аналитики'!V4456:V4467),0)</f>
        <v/>
      </c>
      <c r="W4416">
        <f>IF('01_Вводные'!$B$234="Да",SUM('19_Расчет_аналитики'!W4456:W4467),0)</f>
        <v/>
      </c>
      <c r="X4416">
        <f>IF('01_Вводные'!$B$234="Да",SUM('19_Расчет_аналитики'!X4456:X4467),0)</f>
        <v/>
      </c>
      <c r="Y4416">
        <f>IF('01_Вводные'!$B$234="Да",SUM('19_Расчет_аналитики'!Y4456:Y4467),0)</f>
        <v/>
      </c>
      <c r="Z4416">
        <f>IF('01_Вводные'!$B$234="Да",SUM('19_Расчет_аналитики'!Z4456:Z4467),0)</f>
        <v/>
      </c>
      <c r="AA4416">
        <f>IF('01_Вводные'!$B$234="Да",SUM('19_Расчет_аналитики'!AA4456:AA4467),0)</f>
        <v/>
      </c>
      <c r="AB4416">
        <f>IF('01_Вводные'!$B$234="Да",SUM('19_Расчет_аналитики'!AB4456:AB4467),0)</f>
        <v/>
      </c>
      <c r="AC4416">
        <f>IF('01_Вводные'!$B$234="Да",SUM('19_Расчет_аналитики'!AC4456:AC4467),0)</f>
        <v/>
      </c>
      <c r="AD4416">
        <f>IF('01_Вводные'!$B$234="Да",SUM('19_Расчет_аналитики'!AD4456:AD4467),0)</f>
        <v/>
      </c>
      <c r="AE4416">
        <f>IF('01_Вводные'!$B$234="Да",SUM('19_Расчет_аналитики'!AE4456:AE4467),0)</f>
        <v/>
      </c>
      <c r="AF4416">
        <f>IF('01_Вводные'!$B$234="Да",SUM('19_Расчет_аналитики'!AF4456:AF4467),0)</f>
        <v/>
      </c>
      <c r="AG4416">
        <f>IF('01_Вводные'!$B$234="Да",SUM('19_Расчет_аналитики'!AG4456:AG4467),0)</f>
        <v/>
      </c>
      <c r="AH4416">
        <f>IF('01_Вводные'!$B$234="Да",SUM('19_Расчет_аналитики'!AH4456:AH4467),0)</f>
        <v/>
      </c>
      <c r="AI4416">
        <f>IF('01_Вводные'!$B$234="Да",SUM('19_Расчет_аналитики'!AI4456:AI4467),0)</f>
        <v/>
      </c>
      <c r="AJ4416">
        <f>IF('01_Вводные'!$B$234="Да",SUM('19_Расчет_аналитики'!AJ4456:AJ4467),0)</f>
        <v/>
      </c>
      <c r="AK4416">
        <f>IF('01_Вводные'!$B$234="Да",SUM('19_Расчет_аналитики'!AK4456:AK4467),0)</f>
        <v/>
      </c>
      <c r="AL4416">
        <f>IF('01_Вводные'!$B$234="Да",SUM('19_Расчет_аналитики'!AL4456:AL4467),0)</f>
        <v/>
      </c>
      <c r="AM4416">
        <f>IF('01_Вводные'!$B$234="Да",SUM('19_Расчет_аналитики'!AM4456:AM4467),0)</f>
        <v/>
      </c>
      <c r="AN4416">
        <f>IF('01_Вводные'!$B$234="Да",SUM('19_Расчет_аналитики'!AN4456:AN4467),0)</f>
        <v/>
      </c>
      <c r="AO4416">
        <f>IF('01_Вводные'!$B$234="Да",SUM('19_Расчет_аналитики'!AO4456:AO4467),0)</f>
        <v/>
      </c>
      <c r="AP4416">
        <f>IF('01_Вводные'!$B$234="Да",SUM('19_Расчет_аналитики'!AP4456:AP4467),0)</f>
        <v/>
      </c>
      <c r="AQ4416">
        <f>IF('01_Вводные'!$B$234="Да",SUM('19_Расчет_аналитики'!AQ4456:AQ4467),0)</f>
        <v/>
      </c>
      <c r="AR4416">
        <f>IF('01_Вводные'!$B$234="Да",SUM('19_Расчет_аналитики'!AR4456:AR4467),0)</f>
        <v/>
      </c>
      <c r="AS4416">
        <f>IF('01_Вводные'!$B$234="Да",SUM('19_Расчет_аналитики'!AS4456:AS4467),0)</f>
        <v/>
      </c>
      <c r="AT4416">
        <f>IF('01_Вводные'!$B$234="Да",SUM('19_Расчет_аналитики'!AT4456:AT4467),0)</f>
        <v/>
      </c>
      <c r="AU4416">
        <f>IF('01_Вводные'!$B$234="Да",SUM('19_Расчет_аналитики'!AU4456:AU4467),0)</f>
        <v/>
      </c>
      <c r="AV4416">
        <f>IF('01_Вводные'!$B$234="Да",SUM('19_Расчет_аналитики'!AV4456:AV4467),0)</f>
        <v/>
      </c>
      <c r="AW4416">
        <f>IF('01_Вводные'!$B$234="Да",SUM('19_Расчет_аналитики'!AW4456:AW4467),0)</f>
        <v/>
      </c>
      <c r="AX4416">
        <f>IF('01_Вводные'!$B$234="Да",SUM('19_Расчет_аналитики'!AX4456:AX4467),0)</f>
        <v/>
      </c>
      <c r="AY4416">
        <f>IF('01_Вводные'!$B$234="Да",SUM('19_Расчет_аналитики'!AY4456:AY4467),0)</f>
        <v/>
      </c>
      <c r="AZ4416">
        <f>IF('01_Вводные'!$B$234="Да",SUM('19_Расчет_аналитики'!AZ4456:AZ4467),0)</f>
        <v/>
      </c>
      <c r="BA4416">
        <f>IF('01_Вводные'!$B$234="Да",SUM('19_Расчет_аналитики'!BA4456:BA4467),0)</f>
        <v/>
      </c>
      <c r="BB4416">
        <f>IF('01_Вводные'!$B$234="Да",SUM('19_Расчет_аналитики'!BB4456:BB4467),0)</f>
        <v/>
      </c>
      <c r="BC4416">
        <f>IF('01_Вводные'!$B$234="Да",SUM('19_Расчет_аналитики'!BC4456:BC4467),0)</f>
        <v/>
      </c>
      <c r="BD4416">
        <f>IF('01_Вводные'!$B$234="Да",SUM('19_Расчет_аналитики'!BD4456:BD4467),0)</f>
        <v/>
      </c>
      <c r="BE4416">
        <f>IF('01_Вводные'!$B$234="Да",SUM('19_Расчет_аналитики'!BE4456:BE4467),0)</f>
        <v/>
      </c>
      <c r="BF4416">
        <f>IF('01_Вводные'!$B$234="Да",SUM('19_Расчет_аналитики'!BF4456:BF4467),0)</f>
        <v/>
      </c>
      <c r="BG4416">
        <f>IF('01_Вводные'!$B$234="Да",SUM('19_Расчет_аналитики'!BG4456:BG4467),0)</f>
        <v/>
      </c>
      <c r="BH4416">
        <f>IF('01_Вводные'!$B$234="Да",SUM('19_Расчет_аналитики'!BH4456:BH4467),0)</f>
        <v/>
      </c>
      <c r="BI4416">
        <f>IF('01_Вводные'!$B$234="Да",SUM('19_Расчет_аналитики'!BI4456:BI4467),0)</f>
        <v/>
      </c>
      <c r="BJ4416">
        <f>IF('01_Вводные'!$B$234="Да",SUM('19_Расчет_аналитики'!BJ4456:BJ4467),0)</f>
        <v/>
      </c>
      <c r="BK4416">
        <f>IF('01_Вводные'!$B$234="Да",SUM('19_Расчет_аналитики'!BK4456:BK4467),0)</f>
        <v/>
      </c>
      <c r="BL4416">
        <f>IF('01_Вводные'!$B$234="Да",SUM('19_Расчет_аналитики'!BL4456:BL4467),0)</f>
        <v/>
      </c>
      <c r="BM4416">
        <f>IF('01_Вводные'!$B$234="Да",SUM('19_Расчет_аналитики'!BM4456:BM4467),0)</f>
        <v/>
      </c>
      <c r="BN4416">
        <f>IF('01_Вводные'!$B$234="Да",SUM('19_Расчет_аналитики'!BN4456:BN4467),0)</f>
        <v/>
      </c>
      <c r="BO4416">
        <f>IF('01_Вводные'!$B$234="Да",SUM('19_Расчет_аналитики'!BO4456:BO4467),0)</f>
        <v/>
      </c>
    </row>
    <row r="4417">
      <c r="B4417">
        <f>'06_Сеть_и_дети'!B14</f>
        <v/>
      </c>
      <c r="C4417">
        <f>'06_Сеть_и_дети'!C14</f>
        <v/>
      </c>
      <c r="D4417">
        <f>'06_Сеть_и_дети'!D14</f>
        <v/>
      </c>
      <c r="E4417">
        <f>'06_Сеть_и_дети'!E14</f>
        <v/>
      </c>
      <c r="F4417">
        <f>'06_Сеть_и_дети'!F14</f>
        <v/>
      </c>
      <c r="G4417">
        <f>'06_Сеть_и_дети'!G14</f>
        <v/>
      </c>
      <c r="H4417">
        <f>'06_Сеть_и_дети'!H14</f>
        <v/>
      </c>
      <c r="I4417">
        <f>'06_Сеть_и_дети'!I14</f>
        <v/>
      </c>
      <c r="J4417">
        <f>'06_Сеть_и_дети'!J14</f>
        <v/>
      </c>
      <c r="K4417">
        <f>'06_Сеть_и_дети'!K14</f>
        <v/>
      </c>
      <c r="L4417">
        <f>'06_Сеть_и_дети'!L14</f>
        <v/>
      </c>
      <c r="M4417">
        <f>'06_Сеть_и_дети'!M14</f>
        <v/>
      </c>
      <c r="N4417">
        <f>IF('01_Вводные'!$B$234="Да",SUM('19_Расчет_аналитики'!N4468:N4479),0)</f>
        <v/>
      </c>
      <c r="O4417">
        <f>IF('01_Вводные'!$B$234="Да",SUM('19_Расчет_аналитики'!O4468:O4479),0)</f>
        <v/>
      </c>
      <c r="P4417">
        <f>IF('01_Вводные'!$B$234="Да",SUM('19_Расчет_аналитики'!P4468:P4479),0)</f>
        <v/>
      </c>
      <c r="Q4417">
        <f>IF('01_Вводные'!$B$234="Да",SUM('19_Расчет_аналитики'!Q4468:Q4479),0)</f>
        <v/>
      </c>
      <c r="R4417">
        <f>IF('01_Вводные'!$B$234="Да",SUM('19_Расчет_аналитики'!R4468:R4479),0)</f>
        <v/>
      </c>
      <c r="S4417">
        <f>IF('01_Вводные'!$B$234="Да",SUM('19_Расчет_аналитики'!S4468:S4479),0)</f>
        <v/>
      </c>
      <c r="T4417">
        <f>IF('01_Вводные'!$B$234="Да",SUM('19_Расчет_аналитики'!T4468:T4479),0)</f>
        <v/>
      </c>
      <c r="U4417">
        <f>IF('01_Вводные'!$B$234="Да",SUM('19_Расчет_аналитики'!U4468:U4479),0)</f>
        <v/>
      </c>
      <c r="V4417">
        <f>IF('01_Вводные'!$B$234="Да",SUM('19_Расчет_аналитики'!V4468:V4479),0)</f>
        <v/>
      </c>
      <c r="W4417">
        <f>IF('01_Вводные'!$B$234="Да",SUM('19_Расчет_аналитики'!W4468:W4479),0)</f>
        <v/>
      </c>
      <c r="X4417">
        <f>IF('01_Вводные'!$B$234="Да",SUM('19_Расчет_аналитики'!X4468:X4479),0)</f>
        <v/>
      </c>
      <c r="Y4417">
        <f>IF('01_Вводные'!$B$234="Да",SUM('19_Расчет_аналитики'!Y4468:Y4479),0)</f>
        <v/>
      </c>
      <c r="Z4417">
        <f>IF('01_Вводные'!$B$234="Да",SUM('19_Расчет_аналитики'!Z4468:Z4479),0)</f>
        <v/>
      </c>
      <c r="AA4417">
        <f>IF('01_Вводные'!$B$234="Да",SUM('19_Расчет_аналитики'!AA4468:AA4479),0)</f>
        <v/>
      </c>
      <c r="AB4417">
        <f>IF('01_Вводные'!$B$234="Да",SUM('19_Расчет_аналитики'!AB4468:AB4479),0)</f>
        <v/>
      </c>
      <c r="AC4417">
        <f>IF('01_Вводные'!$B$234="Да",SUM('19_Расчет_аналитики'!AC4468:AC4479),0)</f>
        <v/>
      </c>
      <c r="AD4417">
        <f>IF('01_Вводные'!$B$234="Да",SUM('19_Расчет_аналитики'!AD4468:AD4479),0)</f>
        <v/>
      </c>
      <c r="AE4417">
        <f>IF('01_Вводные'!$B$234="Да",SUM('19_Расчет_аналитики'!AE4468:AE4479),0)</f>
        <v/>
      </c>
      <c r="AF4417">
        <f>IF('01_Вводные'!$B$234="Да",SUM('19_Расчет_аналитики'!AF4468:AF4479),0)</f>
        <v/>
      </c>
      <c r="AG4417">
        <f>IF('01_Вводные'!$B$234="Да",SUM('19_Расчет_аналитики'!AG4468:AG4479),0)</f>
        <v/>
      </c>
      <c r="AH4417">
        <f>IF('01_Вводные'!$B$234="Да",SUM('19_Расчет_аналитики'!AH4468:AH4479),0)</f>
        <v/>
      </c>
      <c r="AI4417">
        <f>IF('01_Вводные'!$B$234="Да",SUM('19_Расчет_аналитики'!AI4468:AI4479),0)</f>
        <v/>
      </c>
      <c r="AJ4417">
        <f>IF('01_Вводные'!$B$234="Да",SUM('19_Расчет_аналитики'!AJ4468:AJ4479),0)</f>
        <v/>
      </c>
      <c r="AK4417">
        <f>IF('01_Вводные'!$B$234="Да",SUM('19_Расчет_аналитики'!AK4468:AK4479),0)</f>
        <v/>
      </c>
      <c r="AL4417">
        <f>IF('01_Вводные'!$B$234="Да",SUM('19_Расчет_аналитики'!AL4468:AL4479),0)</f>
        <v/>
      </c>
      <c r="AM4417">
        <f>IF('01_Вводные'!$B$234="Да",SUM('19_Расчет_аналитики'!AM4468:AM4479),0)</f>
        <v/>
      </c>
      <c r="AN4417">
        <f>IF('01_Вводные'!$B$234="Да",SUM('19_Расчет_аналитики'!AN4468:AN4479),0)</f>
        <v/>
      </c>
      <c r="AO4417">
        <f>IF('01_Вводные'!$B$234="Да",SUM('19_Расчет_аналитики'!AO4468:AO4479),0)</f>
        <v/>
      </c>
      <c r="AP4417">
        <f>IF('01_Вводные'!$B$234="Да",SUM('19_Расчет_аналитики'!AP4468:AP4479),0)</f>
        <v/>
      </c>
      <c r="AQ4417">
        <f>IF('01_Вводные'!$B$234="Да",SUM('19_Расчет_аналитики'!AQ4468:AQ4479),0)</f>
        <v/>
      </c>
      <c r="AR4417">
        <f>IF('01_Вводные'!$B$234="Да",SUM('19_Расчет_аналитики'!AR4468:AR4479),0)</f>
        <v/>
      </c>
      <c r="AS4417">
        <f>IF('01_Вводные'!$B$234="Да",SUM('19_Расчет_аналитики'!AS4468:AS4479),0)</f>
        <v/>
      </c>
      <c r="AT4417">
        <f>IF('01_Вводные'!$B$234="Да",SUM('19_Расчет_аналитики'!AT4468:AT4479),0)</f>
        <v/>
      </c>
      <c r="AU4417">
        <f>IF('01_Вводные'!$B$234="Да",SUM('19_Расчет_аналитики'!AU4468:AU4479),0)</f>
        <v/>
      </c>
      <c r="AV4417">
        <f>IF('01_Вводные'!$B$234="Да",SUM('19_Расчет_аналитики'!AV4468:AV4479),0)</f>
        <v/>
      </c>
      <c r="AW4417">
        <f>IF('01_Вводные'!$B$234="Да",SUM('19_Расчет_аналитики'!AW4468:AW4479),0)</f>
        <v/>
      </c>
      <c r="AX4417">
        <f>IF('01_Вводные'!$B$234="Да",SUM('19_Расчет_аналитики'!AX4468:AX4479),0)</f>
        <v/>
      </c>
      <c r="AY4417">
        <f>IF('01_Вводные'!$B$234="Да",SUM('19_Расчет_аналитики'!AY4468:AY4479),0)</f>
        <v/>
      </c>
      <c r="AZ4417">
        <f>IF('01_Вводные'!$B$234="Да",SUM('19_Расчет_аналитики'!AZ4468:AZ4479),0)</f>
        <v/>
      </c>
      <c r="BA4417">
        <f>IF('01_Вводные'!$B$234="Да",SUM('19_Расчет_аналитики'!BA4468:BA4479),0)</f>
        <v/>
      </c>
      <c r="BB4417">
        <f>IF('01_Вводные'!$B$234="Да",SUM('19_Расчет_аналитики'!BB4468:BB4479),0)</f>
        <v/>
      </c>
      <c r="BC4417">
        <f>IF('01_Вводные'!$B$234="Да",SUM('19_Расчет_аналитики'!BC4468:BC4479),0)</f>
        <v/>
      </c>
      <c r="BD4417">
        <f>IF('01_Вводные'!$B$234="Да",SUM('19_Расчет_аналитики'!BD4468:BD4479),0)</f>
        <v/>
      </c>
      <c r="BE4417">
        <f>IF('01_Вводные'!$B$234="Да",SUM('19_Расчет_аналитики'!BE4468:BE4479),0)</f>
        <v/>
      </c>
      <c r="BF4417">
        <f>IF('01_Вводные'!$B$234="Да",SUM('19_Расчет_аналитики'!BF4468:BF4479),0)</f>
        <v/>
      </c>
      <c r="BG4417">
        <f>IF('01_Вводные'!$B$234="Да",SUM('19_Расчет_аналитики'!BG4468:BG4479),0)</f>
        <v/>
      </c>
      <c r="BH4417">
        <f>IF('01_Вводные'!$B$234="Да",SUM('19_Расчет_аналитики'!BH4468:BH4479),0)</f>
        <v/>
      </c>
      <c r="BI4417">
        <f>IF('01_Вводные'!$B$234="Да",SUM('19_Расчет_аналитики'!BI4468:BI4479),0)</f>
        <v/>
      </c>
      <c r="BJ4417">
        <f>IF('01_Вводные'!$B$234="Да",SUM('19_Расчет_аналитики'!BJ4468:BJ4479),0)</f>
        <v/>
      </c>
      <c r="BK4417">
        <f>IF('01_Вводные'!$B$234="Да",SUM('19_Расчет_аналитики'!BK4468:BK4479),0)</f>
        <v/>
      </c>
      <c r="BL4417">
        <f>IF('01_Вводные'!$B$234="Да",SUM('19_Расчет_аналитики'!BL4468:BL4479),0)</f>
        <v/>
      </c>
      <c r="BM4417">
        <f>IF('01_Вводные'!$B$234="Да",SUM('19_Расчет_аналитики'!BM4468:BM4479),0)</f>
        <v/>
      </c>
      <c r="BN4417">
        <f>IF('01_Вводные'!$B$234="Да",SUM('19_Расчет_аналитики'!BN4468:BN4479),0)</f>
        <v/>
      </c>
      <c r="BO4417">
        <f>IF('01_Вводные'!$B$234="Да",SUM('19_Расчет_аналитики'!BO4468:BO4479),0)</f>
        <v/>
      </c>
    </row>
    <row r="4418">
      <c r="B4418">
        <f>'06_Сеть_и_дети'!B15</f>
        <v/>
      </c>
      <c r="C4418">
        <f>'06_Сеть_и_дети'!C15</f>
        <v/>
      </c>
      <c r="D4418">
        <f>'06_Сеть_и_дети'!D15</f>
        <v/>
      </c>
      <c r="E4418">
        <f>'06_Сеть_и_дети'!E15</f>
        <v/>
      </c>
      <c r="F4418">
        <f>'06_Сеть_и_дети'!F15</f>
        <v/>
      </c>
      <c r="G4418">
        <f>'06_Сеть_и_дети'!G15</f>
        <v/>
      </c>
      <c r="H4418">
        <f>'06_Сеть_и_дети'!H15</f>
        <v/>
      </c>
      <c r="I4418">
        <f>'06_Сеть_и_дети'!I15</f>
        <v/>
      </c>
      <c r="J4418">
        <f>'06_Сеть_и_дети'!J15</f>
        <v/>
      </c>
      <c r="K4418">
        <f>'06_Сеть_и_дети'!K15</f>
        <v/>
      </c>
      <c r="L4418">
        <f>'06_Сеть_и_дети'!L15</f>
        <v/>
      </c>
      <c r="M4418">
        <f>'06_Сеть_и_дети'!M15</f>
        <v/>
      </c>
      <c r="N4418">
        <f>'06_Сеть_и_дети'!N15</f>
        <v/>
      </c>
      <c r="O4418">
        <f>'06_Сеть_и_дети'!O15</f>
        <v/>
      </c>
      <c r="P4418">
        <f>'06_Сеть_и_дети'!P15</f>
        <v/>
      </c>
      <c r="Q4418">
        <f>'06_Сеть_и_дети'!Q15</f>
        <v/>
      </c>
      <c r="R4418">
        <f>'06_Сеть_и_дети'!R15</f>
        <v/>
      </c>
      <c r="S4418">
        <f>'06_Сеть_и_дети'!S15</f>
        <v/>
      </c>
      <c r="T4418">
        <f>'06_Сеть_и_дети'!T15</f>
        <v/>
      </c>
      <c r="U4418">
        <f>'06_Сеть_и_дети'!U15</f>
        <v/>
      </c>
      <c r="V4418">
        <f>'06_Сеть_и_дети'!V15</f>
        <v/>
      </c>
      <c r="W4418">
        <f>'06_Сеть_и_дети'!W15</f>
        <v/>
      </c>
      <c r="X4418">
        <f>'06_Сеть_и_дети'!X15</f>
        <v/>
      </c>
      <c r="Y4418">
        <f>'06_Сеть_и_дети'!Y15</f>
        <v/>
      </c>
      <c r="Z4418">
        <f>IF('01_Вводные'!$B$234="Да",'19_Расчет_аналитики'!Z4480,0)</f>
        <v/>
      </c>
      <c r="AA4418">
        <f>IF('01_Вводные'!$B$234="Да",'19_Расчет_аналитики'!AA4480,0)</f>
        <v/>
      </c>
      <c r="AB4418">
        <f>IF('01_Вводные'!$B$234="Да",'19_Расчет_аналитики'!AB4480,0)</f>
        <v/>
      </c>
      <c r="AC4418">
        <f>IF('01_Вводные'!$B$234="Да",'19_Расчет_аналитики'!AC4480,0)</f>
        <v/>
      </c>
      <c r="AD4418">
        <f>IF('01_Вводные'!$B$234="Да",'19_Расчет_аналитики'!AD4480,0)</f>
        <v/>
      </c>
      <c r="AE4418">
        <f>IF('01_Вводные'!$B$234="Да",'19_Расчет_аналитики'!AE4480,0)</f>
        <v/>
      </c>
      <c r="AF4418">
        <f>IF('01_Вводные'!$B$234="Да",'19_Расчет_аналитики'!AF4480,0)</f>
        <v/>
      </c>
      <c r="AG4418">
        <f>IF('01_Вводные'!$B$234="Да",'19_Расчет_аналитики'!AG4480,0)</f>
        <v/>
      </c>
      <c r="AH4418">
        <f>IF('01_Вводные'!$B$234="Да",'19_Расчет_аналитики'!AH4480,0)</f>
        <v/>
      </c>
      <c r="AI4418">
        <f>IF('01_Вводные'!$B$234="Да",'19_Расчет_аналитики'!AI4480,0)</f>
        <v/>
      </c>
      <c r="AJ4418">
        <f>IF('01_Вводные'!$B$234="Да",'19_Расчет_аналитики'!AJ4480,0)</f>
        <v/>
      </c>
      <c r="AK4418">
        <f>IF('01_Вводные'!$B$234="Да",'19_Расчет_аналитики'!AK4480,0)</f>
        <v/>
      </c>
      <c r="AL4418">
        <f>IF('01_Вводные'!$B$234="Да",'19_Расчет_аналитики'!AL4480,0)</f>
        <v/>
      </c>
      <c r="AM4418">
        <f>IF('01_Вводные'!$B$234="Да",'19_Расчет_аналитики'!AM4480,0)</f>
        <v/>
      </c>
      <c r="AN4418">
        <f>IF('01_Вводные'!$B$234="Да",'19_Расчет_аналитики'!AN4480,0)</f>
        <v/>
      </c>
      <c r="AO4418">
        <f>IF('01_Вводные'!$B$234="Да",'19_Расчет_аналитики'!AO4480,0)</f>
        <v/>
      </c>
      <c r="AP4418">
        <f>IF('01_Вводные'!$B$234="Да",'19_Расчет_аналитики'!AP4480,0)</f>
        <v/>
      </c>
      <c r="AQ4418">
        <f>IF('01_Вводные'!$B$234="Да",'19_Расчет_аналитики'!AQ4480,0)</f>
        <v/>
      </c>
      <c r="AR4418">
        <f>IF('01_Вводные'!$B$234="Да",'19_Расчет_аналитики'!AR4480,0)</f>
        <v/>
      </c>
      <c r="AS4418">
        <f>IF('01_Вводные'!$B$234="Да",'19_Расчет_аналитики'!AS4480,0)</f>
        <v/>
      </c>
      <c r="AT4418">
        <f>IF('01_Вводные'!$B$234="Да",'19_Расчет_аналитики'!AT4480,0)</f>
        <v/>
      </c>
      <c r="AU4418">
        <f>IF('01_Вводные'!$B$234="Да",'19_Расчет_аналитики'!AU4480,0)</f>
        <v/>
      </c>
      <c r="AV4418">
        <f>IF('01_Вводные'!$B$234="Да",'19_Расчет_аналитики'!AV4480,0)</f>
        <v/>
      </c>
      <c r="AW4418">
        <f>IF('01_Вводные'!$B$234="Да",'19_Расчет_аналитики'!AW4480,0)</f>
        <v/>
      </c>
      <c r="AX4418">
        <f>IF('01_Вводные'!$B$234="Да",'19_Расчет_аналитики'!AX4480,0)</f>
        <v/>
      </c>
      <c r="AY4418">
        <f>IF('01_Вводные'!$B$234="Да",'19_Расчет_аналитики'!AY4480,0)</f>
        <v/>
      </c>
      <c r="AZ4418">
        <f>IF('01_Вводные'!$B$234="Да",'19_Расчет_аналитики'!AZ4480,0)</f>
        <v/>
      </c>
      <c r="BA4418">
        <f>IF('01_Вводные'!$B$234="Да",'19_Расчет_аналитики'!BA4480,0)</f>
        <v/>
      </c>
      <c r="BB4418">
        <f>IF('01_Вводные'!$B$234="Да",'19_Расчет_аналитики'!BB4480,0)</f>
        <v/>
      </c>
      <c r="BC4418">
        <f>IF('01_Вводные'!$B$234="Да",'19_Расчет_аналитики'!BC4480,0)</f>
        <v/>
      </c>
      <c r="BD4418">
        <f>IF('01_Вводные'!$B$234="Да",'19_Расчет_аналитики'!BD4480,0)</f>
        <v/>
      </c>
      <c r="BE4418">
        <f>IF('01_Вводные'!$B$234="Да",'19_Расчет_аналитики'!BE4480,0)</f>
        <v/>
      </c>
      <c r="BF4418">
        <f>IF('01_Вводные'!$B$234="Да",'19_Расчет_аналитики'!BF4480,0)</f>
        <v/>
      </c>
      <c r="BG4418">
        <f>IF('01_Вводные'!$B$234="Да",'19_Расчет_аналитики'!BG4480,0)</f>
        <v/>
      </c>
      <c r="BH4418">
        <f>IF('01_Вводные'!$B$234="Да",'19_Расчет_аналитики'!BH4480,0)</f>
        <v/>
      </c>
      <c r="BI4418">
        <f>IF('01_Вводные'!$B$234="Да",'19_Расчет_аналитики'!BI4480,0)</f>
        <v/>
      </c>
      <c r="BJ4418">
        <f>IF('01_Вводные'!$B$234="Да",'19_Расчет_аналитики'!BJ4480,0)</f>
        <v/>
      </c>
      <c r="BK4418">
        <f>IF('01_Вводные'!$B$234="Да",'19_Расчет_аналитики'!BK4480,0)</f>
        <v/>
      </c>
      <c r="BL4418">
        <f>IF('01_Вводные'!$B$234="Да",'19_Расчет_аналитики'!BL4480,0)</f>
        <v/>
      </c>
      <c r="BM4418">
        <f>IF('01_Вводные'!$B$234="Да",'19_Расчет_аналитики'!BM4480,0)</f>
        <v/>
      </c>
      <c r="BN4418">
        <f>IF('01_Вводные'!$B$234="Да",'19_Расчет_аналитики'!BN4480,0)</f>
        <v/>
      </c>
      <c r="BO4418">
        <f>IF('01_Вводные'!$B$234="Да",'19_Расчет_аналитики'!BO4480,0)</f>
        <v/>
      </c>
    </row>
    <row r="4419">
      <c r="B4419">
        <f>IF('01_Вводные'!$B$234="Да",SUM('19_Расчет_аналитики'!B4416:B4418),0)</f>
        <v/>
      </c>
      <c r="C4419">
        <f>IF('01_Вводные'!$B$234="Да",SUM('19_Расчет_аналитики'!C4416:C4418),0)</f>
        <v/>
      </c>
      <c r="D4419">
        <f>IF('01_Вводные'!$B$234="Да",SUM('19_Расчет_аналитики'!D4416:D4418),0)</f>
        <v/>
      </c>
      <c r="E4419">
        <f>IF('01_Вводные'!$B$234="Да",SUM('19_Расчет_аналитики'!E4416:E4418),0)</f>
        <v/>
      </c>
      <c r="F4419">
        <f>IF('01_Вводные'!$B$234="Да",SUM('19_Расчет_аналитики'!F4416:F4418),0)</f>
        <v/>
      </c>
      <c r="G4419">
        <f>IF('01_Вводные'!$B$234="Да",SUM('19_Расчет_аналитики'!G4416:G4418),0)</f>
        <v/>
      </c>
      <c r="H4419">
        <f>IF('01_Вводные'!$B$234="Да",SUM('19_Расчет_аналитики'!H4416:H4418),0)</f>
        <v/>
      </c>
      <c r="I4419">
        <f>IF('01_Вводные'!$B$234="Да",SUM('19_Расчет_аналитики'!I4416:I4418),0)</f>
        <v/>
      </c>
      <c r="J4419">
        <f>IF('01_Вводные'!$B$234="Да",SUM('19_Расчет_аналитики'!J4416:J4418),0)</f>
        <v/>
      </c>
      <c r="K4419">
        <f>IF('01_Вводные'!$B$234="Да",SUM('19_Расчет_аналитики'!K4416:K4418),0)</f>
        <v/>
      </c>
      <c r="L4419">
        <f>IF('01_Вводные'!$B$234="Да",SUM('19_Расчет_аналитики'!L4416:L4418),0)</f>
        <v/>
      </c>
      <c r="M4419">
        <f>IF('01_Вводные'!$B$234="Да",SUM('19_Расчет_аналитики'!M4416:M4418),0)</f>
        <v/>
      </c>
      <c r="N4419">
        <f>IF('01_Вводные'!$B$234="Да",SUM('19_Расчет_аналитики'!N4416:N4418),0)</f>
        <v/>
      </c>
      <c r="O4419">
        <f>IF('01_Вводные'!$B$234="Да",SUM('19_Расчет_аналитики'!O4416:O4418),0)</f>
        <v/>
      </c>
      <c r="P4419">
        <f>IF('01_Вводные'!$B$234="Да",SUM('19_Расчет_аналитики'!P4416:P4418),0)</f>
        <v/>
      </c>
      <c r="Q4419">
        <f>IF('01_Вводные'!$B$234="Да",SUM('19_Расчет_аналитики'!Q4416:Q4418),0)</f>
        <v/>
      </c>
      <c r="R4419">
        <f>IF('01_Вводные'!$B$234="Да",SUM('19_Расчет_аналитики'!R4416:R4418),0)</f>
        <v/>
      </c>
      <c r="S4419">
        <f>IF('01_Вводные'!$B$234="Да",SUM('19_Расчет_аналитики'!S4416:S4418),0)</f>
        <v/>
      </c>
      <c r="T4419">
        <f>IF('01_Вводные'!$B$234="Да",SUM('19_Расчет_аналитики'!T4416:T4418),0)</f>
        <v/>
      </c>
      <c r="U4419">
        <f>IF('01_Вводные'!$B$234="Да",SUM('19_Расчет_аналитики'!U4416:U4418),0)</f>
        <v/>
      </c>
      <c r="V4419">
        <f>IF('01_Вводные'!$B$234="Да",SUM('19_Расчет_аналитики'!V4416:V4418),0)</f>
        <v/>
      </c>
      <c r="W4419">
        <f>IF('01_Вводные'!$B$234="Да",SUM('19_Расчет_аналитики'!W4416:W4418),0)</f>
        <v/>
      </c>
      <c r="X4419">
        <f>IF('01_Вводные'!$B$234="Да",SUM('19_Расчет_аналитики'!X4416:X4418),0)</f>
        <v/>
      </c>
      <c r="Y4419">
        <f>IF('01_Вводные'!$B$234="Да",SUM('19_Расчет_аналитики'!Y4416:Y4418),0)</f>
        <v/>
      </c>
      <c r="Z4419">
        <f>IF('01_Вводные'!$B$234="Да",SUM('19_Расчет_аналитики'!Z4416:Z4418),0)</f>
        <v/>
      </c>
      <c r="AA4419">
        <f>IF('01_Вводные'!$B$234="Да",SUM('19_Расчет_аналитики'!AA4416:AA4418),0)</f>
        <v/>
      </c>
      <c r="AB4419">
        <f>IF('01_Вводные'!$B$234="Да",SUM('19_Расчет_аналитики'!AB4416:AB4418),0)</f>
        <v/>
      </c>
      <c r="AC4419">
        <f>IF('01_Вводные'!$B$234="Да",SUM('19_Расчет_аналитики'!AC4416:AC4418),0)</f>
        <v/>
      </c>
      <c r="AD4419">
        <f>IF('01_Вводные'!$B$234="Да",SUM('19_Расчет_аналитики'!AD4416:AD4418),0)</f>
        <v/>
      </c>
      <c r="AE4419">
        <f>IF('01_Вводные'!$B$234="Да",SUM('19_Расчет_аналитики'!AE4416:AE4418),0)</f>
        <v/>
      </c>
      <c r="AF4419">
        <f>IF('01_Вводные'!$B$234="Да",SUM('19_Расчет_аналитики'!AF4416:AF4418),0)</f>
        <v/>
      </c>
      <c r="AG4419">
        <f>IF('01_Вводные'!$B$234="Да",SUM('19_Расчет_аналитики'!AG4416:AG4418),0)</f>
        <v/>
      </c>
      <c r="AH4419">
        <f>IF('01_Вводные'!$B$234="Да",SUM('19_Расчет_аналитики'!AH4416:AH4418),0)</f>
        <v/>
      </c>
      <c r="AI4419">
        <f>IF('01_Вводные'!$B$234="Да",SUM('19_Расчет_аналитики'!AI4416:AI4418),0)</f>
        <v/>
      </c>
      <c r="AJ4419">
        <f>IF('01_Вводные'!$B$234="Да",SUM('19_Расчет_аналитики'!AJ4416:AJ4418),0)</f>
        <v/>
      </c>
      <c r="AK4419">
        <f>IF('01_Вводные'!$B$234="Да",SUM('19_Расчет_аналитики'!AK4416:AK4418),0)</f>
        <v/>
      </c>
      <c r="AL4419">
        <f>IF('01_Вводные'!$B$234="Да",SUM('19_Расчет_аналитики'!AL4416:AL4418),0)</f>
        <v/>
      </c>
      <c r="AM4419">
        <f>IF('01_Вводные'!$B$234="Да",SUM('19_Расчет_аналитики'!AM4416:AM4418),0)</f>
        <v/>
      </c>
      <c r="AN4419">
        <f>IF('01_Вводные'!$B$234="Да",SUM('19_Расчет_аналитики'!AN4416:AN4418),0)</f>
        <v/>
      </c>
      <c r="AO4419">
        <f>IF('01_Вводные'!$B$234="Да",SUM('19_Расчет_аналитики'!AO4416:AO4418),0)</f>
        <v/>
      </c>
      <c r="AP4419">
        <f>IF('01_Вводные'!$B$234="Да",SUM('19_Расчет_аналитики'!AP4416:AP4418),0)</f>
        <v/>
      </c>
      <c r="AQ4419">
        <f>IF('01_Вводные'!$B$234="Да",SUM('19_Расчет_аналитики'!AQ4416:AQ4418),0)</f>
        <v/>
      </c>
      <c r="AR4419">
        <f>IF('01_Вводные'!$B$234="Да",SUM('19_Расчет_аналитики'!AR4416:AR4418),0)</f>
        <v/>
      </c>
      <c r="AS4419">
        <f>IF('01_Вводные'!$B$234="Да",SUM('19_Расчет_аналитики'!AS4416:AS4418),0)</f>
        <v/>
      </c>
      <c r="AT4419">
        <f>IF('01_Вводные'!$B$234="Да",SUM('19_Расчет_аналитики'!AT4416:AT4418),0)</f>
        <v/>
      </c>
      <c r="AU4419">
        <f>IF('01_Вводные'!$B$234="Да",SUM('19_Расчет_аналитики'!AU4416:AU4418),0)</f>
        <v/>
      </c>
      <c r="AV4419">
        <f>IF('01_Вводные'!$B$234="Да",SUM('19_Расчет_аналитики'!AV4416:AV4418),0)</f>
        <v/>
      </c>
      <c r="AW4419">
        <f>IF('01_Вводные'!$B$234="Да",SUM('19_Расчет_аналитики'!AW4416:AW4418),0)</f>
        <v/>
      </c>
      <c r="AX4419">
        <f>IF('01_Вводные'!$B$234="Да",SUM('19_Расчет_аналитики'!AX4416:AX4418),0)</f>
        <v/>
      </c>
      <c r="AY4419">
        <f>IF('01_Вводные'!$B$234="Да",SUM('19_Расчет_аналитики'!AY4416:AY4418),0)</f>
        <v/>
      </c>
      <c r="AZ4419">
        <f>IF('01_Вводные'!$B$234="Да",SUM('19_Расчет_аналитики'!AZ4416:AZ4418),0)</f>
        <v/>
      </c>
      <c r="BA4419">
        <f>IF('01_Вводные'!$B$234="Да",SUM('19_Расчет_аналитики'!BA4416:BA4418),0)</f>
        <v/>
      </c>
      <c r="BB4419">
        <f>IF('01_Вводные'!$B$234="Да",SUM('19_Расчет_аналитики'!BB4416:BB4418),0)</f>
        <v/>
      </c>
      <c r="BC4419">
        <f>IF('01_Вводные'!$B$234="Да",SUM('19_Расчет_аналитики'!BC4416:BC4418),0)</f>
        <v/>
      </c>
      <c r="BD4419">
        <f>IF('01_Вводные'!$B$234="Да",SUM('19_Расчет_аналитики'!BD4416:BD4418),0)</f>
        <v/>
      </c>
      <c r="BE4419">
        <f>IF('01_Вводные'!$B$234="Да",SUM('19_Расчет_аналитики'!BE4416:BE4418),0)</f>
        <v/>
      </c>
      <c r="BF4419">
        <f>IF('01_Вводные'!$B$234="Да",SUM('19_Расчет_аналитики'!BF4416:BF4418),0)</f>
        <v/>
      </c>
      <c r="BG4419">
        <f>IF('01_Вводные'!$B$234="Да",SUM('19_Расчет_аналитики'!BG4416:BG4418),0)</f>
        <v/>
      </c>
      <c r="BH4419">
        <f>IF('01_Вводные'!$B$234="Да",SUM('19_Расчет_аналитики'!BH4416:BH4418),0)</f>
        <v/>
      </c>
      <c r="BI4419">
        <f>IF('01_Вводные'!$B$234="Да",SUM('19_Расчет_аналитики'!BI4416:BI4418),0)</f>
        <v/>
      </c>
      <c r="BJ4419">
        <f>IF('01_Вводные'!$B$234="Да",SUM('19_Расчет_аналитики'!BJ4416:BJ4418),0)</f>
        <v/>
      </c>
      <c r="BK4419">
        <f>IF('01_Вводные'!$B$234="Да",SUM('19_Расчет_аналитики'!BK4416:BK4418),0)</f>
        <v/>
      </c>
      <c r="BL4419">
        <f>IF('01_Вводные'!$B$234="Да",SUM('19_Расчет_аналитики'!BL4416:BL4418),0)</f>
        <v/>
      </c>
      <c r="BM4419">
        <f>IF('01_Вводные'!$B$234="Да",SUM('19_Расчет_аналитики'!BM4416:BM4418),0)</f>
        <v/>
      </c>
      <c r="BN4419">
        <f>IF('01_Вводные'!$B$234="Да",SUM('19_Расчет_аналитики'!BN4416:BN4418),0)</f>
        <v/>
      </c>
      <c r="BO4419">
        <f>IF('01_Вводные'!$B$234="Да",SUM('19_Расчет_аналитики'!BO4416:BO4418),0)</f>
        <v/>
      </c>
    </row>
    <row r="4420">
      <c r="B4420">
        <f>IF('01_Вводные'!$B$234="Да",'06_Сеть_и_дети'!B11+'19_Расчет_аналитики'!B4419,0)</f>
        <v/>
      </c>
      <c r="C4420">
        <f>IF('01_Вводные'!$B$234="Да",'06_Сеть_и_дети'!C11+'19_Расчет_аналитики'!C4419,0)</f>
        <v/>
      </c>
      <c r="D4420">
        <f>IF('01_Вводные'!$B$234="Да",'06_Сеть_и_дети'!D11+'19_Расчет_аналитики'!D4419,0)</f>
        <v/>
      </c>
      <c r="E4420">
        <f>IF('01_Вводные'!$B$234="Да",'06_Сеть_и_дети'!E11+'19_Расчет_аналитики'!E4419,0)</f>
        <v/>
      </c>
      <c r="F4420">
        <f>IF('01_Вводные'!$B$234="Да",'06_Сеть_и_дети'!F11+'19_Расчет_аналитики'!F4419,0)</f>
        <v/>
      </c>
      <c r="G4420">
        <f>IF('01_Вводные'!$B$234="Да",'06_Сеть_и_дети'!G11+'19_Расчет_аналитики'!G4419,0)</f>
        <v/>
      </c>
      <c r="H4420">
        <f>IF('01_Вводные'!$B$234="Да",'06_Сеть_и_дети'!H11+'19_Расчет_аналитики'!H4419,0)</f>
        <v/>
      </c>
      <c r="I4420">
        <f>IF('01_Вводные'!$B$234="Да",'06_Сеть_и_дети'!I11+'19_Расчет_аналитики'!I4419,0)</f>
        <v/>
      </c>
      <c r="J4420">
        <f>IF('01_Вводные'!$B$234="Да",'06_Сеть_и_дети'!J11+'19_Расчет_аналитики'!J4419,0)</f>
        <v/>
      </c>
      <c r="K4420">
        <f>IF('01_Вводные'!$B$234="Да",'06_Сеть_и_дети'!K11+'19_Расчет_аналитики'!K4419,0)</f>
        <v/>
      </c>
      <c r="L4420">
        <f>IF('01_Вводные'!$B$234="Да",'06_Сеть_и_дети'!L11+'19_Расчет_аналитики'!L4419,0)</f>
        <v/>
      </c>
      <c r="M4420">
        <f>IF('01_Вводные'!$B$234="Да",'06_Сеть_и_дети'!M11+'19_Расчет_аналитики'!M4419,0)</f>
        <v/>
      </c>
      <c r="N4420">
        <f>IF('01_Вводные'!$B$234="Да",'06_Сеть_и_дети'!N11+'19_Расчет_аналитики'!N4419,0)</f>
        <v/>
      </c>
      <c r="O4420">
        <f>IF('01_Вводные'!$B$234="Да",'06_Сеть_и_дети'!O11+'19_Расчет_аналитики'!O4419,0)</f>
        <v/>
      </c>
      <c r="P4420">
        <f>IF('01_Вводные'!$B$234="Да",'06_Сеть_и_дети'!P11+'19_Расчет_аналитики'!P4419,0)</f>
        <v/>
      </c>
      <c r="Q4420">
        <f>IF('01_Вводные'!$B$234="Да",'06_Сеть_и_дети'!Q11+'19_Расчет_аналитики'!Q4419,0)</f>
        <v/>
      </c>
      <c r="R4420">
        <f>IF('01_Вводные'!$B$234="Да",'06_Сеть_и_дети'!R11+'19_Расчет_аналитики'!R4419,0)</f>
        <v/>
      </c>
      <c r="S4420">
        <f>IF('01_Вводные'!$B$234="Да",'06_Сеть_и_дети'!S11+'19_Расчет_аналитики'!S4419,0)</f>
        <v/>
      </c>
      <c r="T4420">
        <f>IF('01_Вводные'!$B$234="Да",'06_Сеть_и_дети'!T11+'19_Расчет_аналитики'!T4419,0)</f>
        <v/>
      </c>
      <c r="U4420">
        <f>IF('01_Вводные'!$B$234="Да",'06_Сеть_и_дети'!U11+'19_Расчет_аналитики'!U4419,0)</f>
        <v/>
      </c>
      <c r="V4420">
        <f>IF('01_Вводные'!$B$234="Да",'06_Сеть_и_дети'!V11+'19_Расчет_аналитики'!V4419,0)</f>
        <v/>
      </c>
      <c r="W4420">
        <f>IF('01_Вводные'!$B$234="Да",'06_Сеть_и_дети'!W11+'19_Расчет_аналитики'!W4419,0)</f>
        <v/>
      </c>
      <c r="X4420">
        <f>IF('01_Вводные'!$B$234="Да",'06_Сеть_и_дети'!X11+'19_Расчет_аналитики'!X4419,0)</f>
        <v/>
      </c>
      <c r="Y4420">
        <f>IF('01_Вводные'!$B$234="Да",'06_Сеть_и_дети'!Y11+'19_Расчет_аналитики'!Y4419,0)</f>
        <v/>
      </c>
      <c r="Z4420">
        <f>IF('01_Вводные'!$B$234="Да",'06_Сеть_и_дети'!Z11+'19_Расчет_аналитики'!Z4419,0)</f>
        <v/>
      </c>
      <c r="AA4420">
        <f>IF('01_Вводные'!$B$234="Да",'06_Сеть_и_дети'!AA11+'19_Расчет_аналитики'!AA4419,0)</f>
        <v/>
      </c>
      <c r="AB4420">
        <f>IF('01_Вводные'!$B$234="Да",'06_Сеть_и_дети'!AB11+'19_Расчет_аналитики'!AB4419,0)</f>
        <v/>
      </c>
      <c r="AC4420">
        <f>IF('01_Вводные'!$B$234="Да",'06_Сеть_и_дети'!AC11+'19_Расчет_аналитики'!AC4419,0)</f>
        <v/>
      </c>
      <c r="AD4420">
        <f>IF('01_Вводные'!$B$234="Да",'06_Сеть_и_дети'!AD11+'19_Расчет_аналитики'!AD4419,0)</f>
        <v/>
      </c>
      <c r="AE4420">
        <f>IF('01_Вводные'!$B$234="Да",'06_Сеть_и_дети'!AE11+'19_Расчет_аналитики'!AE4419,0)</f>
        <v/>
      </c>
      <c r="AF4420">
        <f>IF('01_Вводные'!$B$234="Да",'06_Сеть_и_дети'!AF11+'19_Расчет_аналитики'!AF4419,0)</f>
        <v/>
      </c>
      <c r="AG4420">
        <f>IF('01_Вводные'!$B$234="Да",'06_Сеть_и_дети'!AG11+'19_Расчет_аналитики'!AG4419,0)</f>
        <v/>
      </c>
      <c r="AH4420">
        <f>IF('01_Вводные'!$B$234="Да",'06_Сеть_и_дети'!AH11+'19_Расчет_аналитики'!AH4419,0)</f>
        <v/>
      </c>
      <c r="AI4420">
        <f>IF('01_Вводные'!$B$234="Да",'06_Сеть_и_дети'!AI11+'19_Расчет_аналитики'!AI4419,0)</f>
        <v/>
      </c>
      <c r="AJ4420">
        <f>IF('01_Вводные'!$B$234="Да",'06_Сеть_и_дети'!AJ11+'19_Расчет_аналитики'!AJ4419,0)</f>
        <v/>
      </c>
      <c r="AK4420">
        <f>IF('01_Вводные'!$B$234="Да",'06_Сеть_и_дети'!AK11+'19_Расчет_аналитики'!AK4419,0)</f>
        <v/>
      </c>
      <c r="AL4420">
        <f>IF('01_Вводные'!$B$234="Да",'06_Сеть_и_дети'!AL11+'19_Расчет_аналитики'!AL4419,0)</f>
        <v/>
      </c>
      <c r="AM4420">
        <f>IF('01_Вводные'!$B$234="Да",'06_Сеть_и_дети'!AM11+'19_Расчет_аналитики'!AM4419,0)</f>
        <v/>
      </c>
      <c r="AN4420">
        <f>IF('01_Вводные'!$B$234="Да",'06_Сеть_и_дети'!AN11+'19_Расчет_аналитики'!AN4419,0)</f>
        <v/>
      </c>
      <c r="AO4420">
        <f>IF('01_Вводные'!$B$234="Да",'06_Сеть_и_дети'!AO11+'19_Расчет_аналитики'!AO4419,0)</f>
        <v/>
      </c>
      <c r="AP4420">
        <f>IF('01_Вводные'!$B$234="Да",'06_Сеть_и_дети'!AP11+'19_Расчет_аналитики'!AP4419,0)</f>
        <v/>
      </c>
      <c r="AQ4420">
        <f>IF('01_Вводные'!$B$234="Да",'06_Сеть_и_дети'!AQ11+'19_Расчет_аналитики'!AQ4419,0)</f>
        <v/>
      </c>
      <c r="AR4420">
        <f>IF('01_Вводные'!$B$234="Да",'06_Сеть_и_дети'!AR11+'19_Расчет_аналитики'!AR4419,0)</f>
        <v/>
      </c>
      <c r="AS4420">
        <f>IF('01_Вводные'!$B$234="Да",'06_Сеть_и_дети'!AS11+'19_Расчет_аналитики'!AS4419,0)</f>
        <v/>
      </c>
      <c r="AT4420">
        <f>IF('01_Вводные'!$B$234="Да",'06_Сеть_и_дети'!AT11+'19_Расчет_аналитики'!AT4419,0)</f>
        <v/>
      </c>
      <c r="AU4420">
        <f>IF('01_Вводные'!$B$234="Да",'06_Сеть_и_дети'!AU11+'19_Расчет_аналитики'!AU4419,0)</f>
        <v/>
      </c>
      <c r="AV4420">
        <f>IF('01_Вводные'!$B$234="Да",'06_Сеть_и_дети'!AV11+'19_Расчет_аналитики'!AV4419,0)</f>
        <v/>
      </c>
      <c r="AW4420">
        <f>IF('01_Вводные'!$B$234="Да",'06_Сеть_и_дети'!AW11+'19_Расчет_аналитики'!AW4419,0)</f>
        <v/>
      </c>
      <c r="AX4420">
        <f>IF('01_Вводные'!$B$234="Да",'06_Сеть_и_дети'!AX11+'19_Расчет_аналитики'!AX4419,0)</f>
        <v/>
      </c>
      <c r="AY4420">
        <f>IF('01_Вводные'!$B$234="Да",'06_Сеть_и_дети'!AY11+'19_Расчет_аналитики'!AY4419,0)</f>
        <v/>
      </c>
      <c r="AZ4420">
        <f>IF('01_Вводные'!$B$234="Да",'06_Сеть_и_дети'!AZ11+'19_Расчет_аналитики'!AZ4419,0)</f>
        <v/>
      </c>
      <c r="BA4420">
        <f>IF('01_Вводные'!$B$234="Да",'06_Сеть_и_дети'!BA11+'19_Расчет_аналитики'!BA4419,0)</f>
        <v/>
      </c>
      <c r="BB4420">
        <f>IF('01_Вводные'!$B$234="Да",'06_Сеть_и_дети'!BB11+'19_Расчет_аналитики'!BB4419,0)</f>
        <v/>
      </c>
      <c r="BC4420">
        <f>IF('01_Вводные'!$B$234="Да",'06_Сеть_и_дети'!BC11+'19_Расчет_аналитики'!BC4419,0)</f>
        <v/>
      </c>
      <c r="BD4420">
        <f>IF('01_Вводные'!$B$234="Да",'06_Сеть_и_дети'!BD11+'19_Расчет_аналитики'!BD4419,0)</f>
        <v/>
      </c>
      <c r="BE4420">
        <f>IF('01_Вводные'!$B$234="Да",'06_Сеть_и_дети'!BE11+'19_Расчет_аналитики'!BE4419,0)</f>
        <v/>
      </c>
      <c r="BF4420">
        <f>IF('01_Вводные'!$B$234="Да",'06_Сеть_и_дети'!BF11+'19_Расчет_аналитики'!BF4419,0)</f>
        <v/>
      </c>
      <c r="BG4420">
        <f>IF('01_Вводные'!$B$234="Да",'06_Сеть_и_дети'!BG11+'19_Расчет_аналитики'!BG4419,0)</f>
        <v/>
      </c>
      <c r="BH4420">
        <f>IF('01_Вводные'!$B$234="Да",'06_Сеть_и_дети'!BH11+'19_Расчет_аналитики'!BH4419,0)</f>
        <v/>
      </c>
      <c r="BI4420">
        <f>IF('01_Вводные'!$B$234="Да",'06_Сеть_и_дети'!BI11+'19_Расчет_аналитики'!BI4419,0)</f>
        <v/>
      </c>
      <c r="BJ4420">
        <f>IF('01_Вводные'!$B$234="Да",'06_Сеть_и_дети'!BJ11+'19_Расчет_аналитики'!BJ4419,0)</f>
        <v/>
      </c>
      <c r="BK4420">
        <f>IF('01_Вводные'!$B$234="Да",'06_Сеть_и_дети'!BK11+'19_Расчет_аналитики'!BK4419,0)</f>
        <v/>
      </c>
      <c r="BL4420">
        <f>IF('01_Вводные'!$B$234="Да",'06_Сеть_и_дети'!BL11+'19_Расчет_аналитики'!BL4419,0)</f>
        <v/>
      </c>
      <c r="BM4420">
        <f>IF('01_Вводные'!$B$234="Да",'06_Сеть_и_дети'!BM11+'19_Расчет_аналитики'!BM4419,0)</f>
        <v/>
      </c>
      <c r="BN4420">
        <f>IF('01_Вводные'!$B$234="Да",'06_Сеть_и_дети'!BN11+'19_Расчет_аналитики'!BN4419,0)</f>
        <v/>
      </c>
      <c r="BO4420">
        <f>IF('01_Вводные'!$B$234="Да",'06_Сеть_и_дети'!BO11+'19_Расчет_аналитики'!BO4419,0)</f>
        <v/>
      </c>
    </row>
    <row r="4421"/>
    <row r="4422"/>
    <row r="4423"/>
    <row r="4424">
      <c r="B4424">
        <f>IF('01_Вводные'!$B$234="Да",SUMPRODUCT('19_Расчет_аналитики'!B4456:B4467,CapacityYear1)*'19_Расчет_аналитики'!$F$4259*'06_Сеть_и_дети'!B5,0)</f>
        <v/>
      </c>
      <c r="C4424">
        <f>IF('01_Вводные'!$B$234="Да",SUMPRODUCT('19_Расчет_аналитики'!C4456:C4467,CapacityYear1)*'19_Расчет_аналитики'!$F$4259*'06_Сеть_и_дети'!C5,0)</f>
        <v/>
      </c>
      <c r="D4424">
        <f>IF('01_Вводные'!$B$234="Да",SUMPRODUCT('19_Расчет_аналитики'!D4456:D4467,CapacityYear1)*'19_Расчет_аналитики'!$F$4259*'06_Сеть_и_дети'!D5,0)</f>
        <v/>
      </c>
      <c r="E4424">
        <f>IF('01_Вводные'!$B$234="Да",SUMPRODUCT('19_Расчет_аналитики'!E4456:E4467,CapacityYear1)*'19_Расчет_аналитики'!$F$4259*'06_Сеть_и_дети'!E5,0)</f>
        <v/>
      </c>
      <c r="F4424">
        <f>IF('01_Вводные'!$B$234="Да",SUMPRODUCT('19_Расчет_аналитики'!F4456:F4467,CapacityYear1)*'19_Расчет_аналитики'!$F$4259*'06_Сеть_и_дети'!F5,0)</f>
        <v/>
      </c>
      <c r="G4424">
        <f>IF('01_Вводные'!$B$234="Да",SUMPRODUCT('19_Расчет_аналитики'!G4456:G4467,CapacityYear1)*'19_Расчет_аналитики'!$F$4259*'06_Сеть_и_дети'!G5,0)</f>
        <v/>
      </c>
      <c r="H4424">
        <f>IF('01_Вводные'!$B$234="Да",SUMPRODUCT('19_Расчет_аналитики'!H4456:H4467,CapacityYear1)*'19_Расчет_аналитики'!$F$4259*'06_Сеть_и_дети'!H5,0)</f>
        <v/>
      </c>
      <c r="I4424">
        <f>IF('01_Вводные'!$B$234="Да",SUMPRODUCT('19_Расчет_аналитики'!I4456:I4467,CapacityYear1)*'19_Расчет_аналитики'!$F$4259*'06_Сеть_и_дети'!I5,0)</f>
        <v/>
      </c>
      <c r="J4424">
        <f>IF('01_Вводные'!$B$234="Да",SUMPRODUCT('19_Расчет_аналитики'!J4456:J4467,CapacityYear1)*'19_Расчет_аналитики'!$F$4259*'06_Сеть_и_дети'!J5,0)</f>
        <v/>
      </c>
      <c r="K4424">
        <f>IF('01_Вводные'!$B$234="Да",SUMPRODUCT('19_Расчет_аналитики'!K4456:K4467,CapacityYear1)*'19_Расчет_аналитики'!$F$4259*'06_Сеть_и_дети'!K5,0)</f>
        <v/>
      </c>
      <c r="L4424">
        <f>IF('01_Вводные'!$B$234="Да",SUMPRODUCT('19_Расчет_аналитики'!L4456:L4467,CapacityYear1)*'19_Расчет_аналитики'!$F$4259*'06_Сеть_и_дети'!L5,0)</f>
        <v/>
      </c>
      <c r="M4424">
        <f>IF('01_Вводные'!$B$234="Да",SUMPRODUCT('19_Расчет_аналитики'!M4456:M4467,CapacityYear1)*'19_Расчет_аналитики'!$F$4259*'06_Сеть_и_дети'!M5,0)</f>
        <v/>
      </c>
      <c r="N4424">
        <f>IF('01_Вводные'!$B$234="Да",SUMPRODUCT('19_Расчет_аналитики'!N4456:N4467,CapacityYear1)*'19_Расчет_аналитики'!$F$4259*'06_Сеть_и_дети'!N5,0)</f>
        <v/>
      </c>
      <c r="O4424">
        <f>IF('01_Вводные'!$B$234="Да",SUMPRODUCT('19_Расчет_аналитики'!O4456:O4467,CapacityYear1)*'19_Расчет_аналитики'!$F$4259*'06_Сеть_и_дети'!O5,0)</f>
        <v/>
      </c>
      <c r="P4424">
        <f>IF('01_Вводные'!$B$234="Да",SUMPRODUCT('19_Расчет_аналитики'!P4456:P4467,CapacityYear1)*'19_Расчет_аналитики'!$F$4259*'06_Сеть_и_дети'!P5,0)</f>
        <v/>
      </c>
      <c r="Q4424">
        <f>IF('01_Вводные'!$B$234="Да",SUMPRODUCT('19_Расчет_аналитики'!Q4456:Q4467,CapacityYear1)*'19_Расчет_аналитики'!$F$4259*'06_Сеть_и_дети'!Q5,0)</f>
        <v/>
      </c>
      <c r="R4424">
        <f>IF('01_Вводные'!$B$234="Да",SUMPRODUCT('19_Расчет_аналитики'!R4456:R4467,CapacityYear1)*'19_Расчет_аналитики'!$F$4259*'06_Сеть_и_дети'!R5,0)</f>
        <v/>
      </c>
      <c r="S4424">
        <f>IF('01_Вводные'!$B$234="Да",SUMPRODUCT('19_Расчет_аналитики'!S4456:S4467,CapacityYear1)*'19_Расчет_аналитики'!$F$4259*'06_Сеть_и_дети'!S5,0)</f>
        <v/>
      </c>
      <c r="T4424">
        <f>IF('01_Вводные'!$B$234="Да",SUMPRODUCT('19_Расчет_аналитики'!T4456:T4467,CapacityYear1)*'19_Расчет_аналитики'!$F$4259*'06_Сеть_и_дети'!T5,0)</f>
        <v/>
      </c>
      <c r="U4424">
        <f>IF('01_Вводные'!$B$234="Да",SUMPRODUCT('19_Расчет_аналитики'!U4456:U4467,CapacityYear1)*'19_Расчет_аналитики'!$F$4259*'06_Сеть_и_дети'!U5,0)</f>
        <v/>
      </c>
      <c r="V4424">
        <f>IF('01_Вводные'!$B$234="Да",SUMPRODUCT('19_Расчет_аналитики'!V4456:V4467,CapacityYear1)*'19_Расчет_аналитики'!$F$4259*'06_Сеть_и_дети'!V5,0)</f>
        <v/>
      </c>
      <c r="W4424">
        <f>IF('01_Вводные'!$B$234="Да",SUMPRODUCT('19_Расчет_аналитики'!W4456:W4467,CapacityYear1)*'19_Расчет_аналитики'!$F$4259*'06_Сеть_и_дети'!W5,0)</f>
        <v/>
      </c>
      <c r="X4424">
        <f>IF('01_Вводные'!$B$234="Да",SUMPRODUCT('19_Расчет_аналитики'!X4456:X4467,CapacityYear1)*'19_Расчет_аналитики'!$F$4259*'06_Сеть_и_дети'!X5,0)</f>
        <v/>
      </c>
      <c r="Y4424">
        <f>IF('01_Вводные'!$B$234="Да",SUMPRODUCT('19_Расчет_аналитики'!Y4456:Y4467,CapacityYear1)*'19_Расчет_аналитики'!$F$4259*'06_Сеть_и_дети'!Y5,0)</f>
        <v/>
      </c>
      <c r="Z4424">
        <f>IF('01_Вводные'!$B$234="Да",SUMPRODUCT('19_Расчет_аналитики'!Z4456:Z4467,CapacityYear1)*'19_Расчет_аналитики'!$F$4259*'06_Сеть_и_дети'!Z5,0)</f>
        <v/>
      </c>
      <c r="AA4424">
        <f>IF('01_Вводные'!$B$234="Да",SUMPRODUCT('19_Расчет_аналитики'!AA4456:AA4467,CapacityYear1)*'19_Расчет_аналитики'!$F$4259*'06_Сеть_и_дети'!AA5,0)</f>
        <v/>
      </c>
      <c r="AB4424">
        <f>IF('01_Вводные'!$B$234="Да",SUMPRODUCT('19_Расчет_аналитики'!AB4456:AB4467,CapacityYear1)*'19_Расчет_аналитики'!$F$4259*'06_Сеть_и_дети'!AB5,0)</f>
        <v/>
      </c>
      <c r="AC4424">
        <f>IF('01_Вводные'!$B$234="Да",SUMPRODUCT('19_Расчет_аналитики'!AC4456:AC4467,CapacityYear1)*'19_Расчет_аналитики'!$F$4259*'06_Сеть_и_дети'!AC5,0)</f>
        <v/>
      </c>
      <c r="AD4424">
        <f>IF('01_Вводные'!$B$234="Да",SUMPRODUCT('19_Расчет_аналитики'!AD4456:AD4467,CapacityYear1)*'19_Расчет_аналитики'!$F$4259*'06_Сеть_и_дети'!AD5,0)</f>
        <v/>
      </c>
      <c r="AE4424">
        <f>IF('01_Вводные'!$B$234="Да",SUMPRODUCT('19_Расчет_аналитики'!AE4456:AE4467,CapacityYear1)*'19_Расчет_аналитики'!$F$4259*'06_Сеть_и_дети'!AE5,0)</f>
        <v/>
      </c>
      <c r="AF4424">
        <f>IF('01_Вводные'!$B$234="Да",SUMPRODUCT('19_Расчет_аналитики'!AF4456:AF4467,CapacityYear1)*'19_Расчет_аналитики'!$F$4259*'06_Сеть_и_дети'!AF5,0)</f>
        <v/>
      </c>
      <c r="AG4424">
        <f>IF('01_Вводные'!$B$234="Да",SUMPRODUCT('19_Расчет_аналитики'!AG4456:AG4467,CapacityYear1)*'19_Расчет_аналитики'!$F$4259*'06_Сеть_и_дети'!AG5,0)</f>
        <v/>
      </c>
      <c r="AH4424">
        <f>IF('01_Вводные'!$B$234="Да",SUMPRODUCT('19_Расчет_аналитики'!AH4456:AH4467,CapacityYear1)*'19_Расчет_аналитики'!$F$4259*'06_Сеть_и_дети'!AH5,0)</f>
        <v/>
      </c>
      <c r="AI4424">
        <f>IF('01_Вводные'!$B$234="Да",SUMPRODUCT('19_Расчет_аналитики'!AI4456:AI4467,CapacityYear1)*'19_Расчет_аналитики'!$F$4259*'06_Сеть_и_дети'!AI5,0)</f>
        <v/>
      </c>
      <c r="AJ4424">
        <f>IF('01_Вводные'!$B$234="Да",SUMPRODUCT('19_Расчет_аналитики'!AJ4456:AJ4467,CapacityYear1)*'19_Расчет_аналитики'!$F$4259*'06_Сеть_и_дети'!AJ5,0)</f>
        <v/>
      </c>
      <c r="AK4424">
        <f>IF('01_Вводные'!$B$234="Да",SUMPRODUCT('19_Расчет_аналитики'!AK4456:AK4467,CapacityYear1)*'19_Расчет_аналитики'!$F$4259*'06_Сеть_и_дети'!AK5,0)</f>
        <v/>
      </c>
      <c r="AL4424">
        <f>IF('01_Вводные'!$B$234="Да",SUMPRODUCT('19_Расчет_аналитики'!AL4456:AL4467,CapacityYear1)*'19_Расчет_аналитики'!$F$4259*'06_Сеть_и_дети'!AL5,0)</f>
        <v/>
      </c>
      <c r="AM4424">
        <f>IF('01_Вводные'!$B$234="Да",SUMPRODUCT('19_Расчет_аналитики'!AM4456:AM4467,CapacityYear1)*'19_Расчет_аналитики'!$F$4259*'06_Сеть_и_дети'!AM5,0)</f>
        <v/>
      </c>
      <c r="AN4424">
        <f>IF('01_Вводные'!$B$234="Да",SUMPRODUCT('19_Расчет_аналитики'!AN4456:AN4467,CapacityYear1)*'19_Расчет_аналитики'!$F$4259*'06_Сеть_и_дети'!AN5,0)</f>
        <v/>
      </c>
      <c r="AO4424">
        <f>IF('01_Вводные'!$B$234="Да",SUMPRODUCT('19_Расчет_аналитики'!AO4456:AO4467,CapacityYear1)*'19_Расчет_аналитики'!$F$4259*'06_Сеть_и_дети'!AO5,0)</f>
        <v/>
      </c>
      <c r="AP4424">
        <f>IF('01_Вводные'!$B$234="Да",SUMPRODUCT('19_Расчет_аналитики'!AP4456:AP4467,CapacityYear1)*'19_Расчет_аналитики'!$F$4259*'06_Сеть_и_дети'!AP5,0)</f>
        <v/>
      </c>
      <c r="AQ4424">
        <f>IF('01_Вводные'!$B$234="Да",SUMPRODUCT('19_Расчет_аналитики'!AQ4456:AQ4467,CapacityYear1)*'19_Расчет_аналитики'!$F$4259*'06_Сеть_и_дети'!AQ5,0)</f>
        <v/>
      </c>
      <c r="AR4424">
        <f>IF('01_Вводные'!$B$234="Да",SUMPRODUCT('19_Расчет_аналитики'!AR4456:AR4467,CapacityYear1)*'19_Расчет_аналитики'!$F$4259*'06_Сеть_и_дети'!AR5,0)</f>
        <v/>
      </c>
      <c r="AS4424">
        <f>IF('01_Вводные'!$B$234="Да",SUMPRODUCT('19_Расчет_аналитики'!AS4456:AS4467,CapacityYear1)*'19_Расчет_аналитики'!$F$4259*'06_Сеть_и_дети'!AS5,0)</f>
        <v/>
      </c>
      <c r="AT4424">
        <f>IF('01_Вводные'!$B$234="Да",SUMPRODUCT('19_Расчет_аналитики'!AT4456:AT4467,CapacityYear1)*'19_Расчет_аналитики'!$F$4259*'06_Сеть_и_дети'!AT5,0)</f>
        <v/>
      </c>
      <c r="AU4424">
        <f>IF('01_Вводные'!$B$234="Да",SUMPRODUCT('19_Расчет_аналитики'!AU4456:AU4467,CapacityYear1)*'19_Расчет_аналитики'!$F$4259*'06_Сеть_и_дети'!AU5,0)</f>
        <v/>
      </c>
      <c r="AV4424">
        <f>IF('01_Вводные'!$B$234="Да",SUMPRODUCT('19_Расчет_аналитики'!AV4456:AV4467,CapacityYear1)*'19_Расчет_аналитики'!$F$4259*'06_Сеть_и_дети'!AV5,0)</f>
        <v/>
      </c>
      <c r="AW4424">
        <f>IF('01_Вводные'!$B$234="Да",SUMPRODUCT('19_Расчет_аналитики'!AW4456:AW4467,CapacityYear1)*'19_Расчет_аналитики'!$F$4259*'06_Сеть_и_дети'!AW5,0)</f>
        <v/>
      </c>
      <c r="AX4424">
        <f>IF('01_Вводные'!$B$234="Да",SUMPRODUCT('19_Расчет_аналитики'!AX4456:AX4467,CapacityYear1)*'19_Расчет_аналитики'!$F$4259*'06_Сеть_и_дети'!AX5,0)</f>
        <v/>
      </c>
      <c r="AY4424">
        <f>IF('01_Вводные'!$B$234="Да",SUMPRODUCT('19_Расчет_аналитики'!AY4456:AY4467,CapacityYear1)*'19_Расчет_аналитики'!$F$4259*'06_Сеть_и_дети'!AY5,0)</f>
        <v/>
      </c>
      <c r="AZ4424">
        <f>IF('01_Вводные'!$B$234="Да",SUMPRODUCT('19_Расчет_аналитики'!AZ4456:AZ4467,CapacityYear1)*'19_Расчет_аналитики'!$F$4259*'06_Сеть_и_дети'!AZ5,0)</f>
        <v/>
      </c>
      <c r="BA4424">
        <f>IF('01_Вводные'!$B$234="Да",SUMPRODUCT('19_Расчет_аналитики'!BA4456:BA4467,CapacityYear1)*'19_Расчет_аналитики'!$F$4259*'06_Сеть_и_дети'!BA5,0)</f>
        <v/>
      </c>
      <c r="BB4424">
        <f>IF('01_Вводные'!$B$234="Да",SUMPRODUCT('19_Расчет_аналитики'!BB4456:BB4467,CapacityYear1)*'19_Расчет_аналитики'!$F$4259*'06_Сеть_и_дети'!BB5,0)</f>
        <v/>
      </c>
      <c r="BC4424">
        <f>IF('01_Вводные'!$B$234="Да",SUMPRODUCT('19_Расчет_аналитики'!BC4456:BC4467,CapacityYear1)*'19_Расчет_аналитики'!$F$4259*'06_Сеть_и_дети'!BC5,0)</f>
        <v/>
      </c>
      <c r="BD4424">
        <f>IF('01_Вводные'!$B$234="Да",SUMPRODUCT('19_Расчет_аналитики'!BD4456:BD4467,CapacityYear1)*'19_Расчет_аналитики'!$F$4259*'06_Сеть_и_дети'!BD5,0)</f>
        <v/>
      </c>
      <c r="BE4424">
        <f>IF('01_Вводные'!$B$234="Да",SUMPRODUCT('19_Расчет_аналитики'!BE4456:BE4467,CapacityYear1)*'19_Расчет_аналитики'!$F$4259*'06_Сеть_и_дети'!BE5,0)</f>
        <v/>
      </c>
      <c r="BF4424">
        <f>IF('01_Вводные'!$B$234="Да",SUMPRODUCT('19_Расчет_аналитики'!BF4456:BF4467,CapacityYear1)*'19_Расчет_аналитики'!$F$4259*'06_Сеть_и_дети'!BF5,0)</f>
        <v/>
      </c>
      <c r="BG4424">
        <f>IF('01_Вводные'!$B$234="Да",SUMPRODUCT('19_Расчет_аналитики'!BG4456:BG4467,CapacityYear1)*'19_Расчет_аналитики'!$F$4259*'06_Сеть_и_дети'!BG5,0)</f>
        <v/>
      </c>
      <c r="BH4424">
        <f>IF('01_Вводные'!$B$234="Да",SUMPRODUCT('19_Расчет_аналитики'!BH4456:BH4467,CapacityYear1)*'19_Расчет_аналитики'!$F$4259*'06_Сеть_и_дети'!BH5,0)</f>
        <v/>
      </c>
      <c r="BI4424">
        <f>IF('01_Вводные'!$B$234="Да",SUMPRODUCT('19_Расчет_аналитики'!BI4456:BI4467,CapacityYear1)*'19_Расчет_аналитики'!$F$4259*'06_Сеть_и_дети'!BI5,0)</f>
        <v/>
      </c>
      <c r="BJ4424">
        <f>IF('01_Вводные'!$B$234="Да",SUMPRODUCT('19_Расчет_аналитики'!BJ4456:BJ4467,CapacityYear1)*'19_Расчет_аналитики'!$F$4259*'06_Сеть_и_дети'!BJ5,0)</f>
        <v/>
      </c>
      <c r="BK4424">
        <f>IF('01_Вводные'!$B$234="Да",SUMPRODUCT('19_Расчет_аналитики'!BK4456:BK4467,CapacityYear1)*'19_Расчет_аналитики'!$F$4259*'06_Сеть_и_дети'!BK5,0)</f>
        <v/>
      </c>
      <c r="BL4424">
        <f>IF('01_Вводные'!$B$234="Да",SUMPRODUCT('19_Расчет_аналитики'!BL4456:BL4467,CapacityYear1)*'19_Расчет_аналитики'!$F$4259*'06_Сеть_и_дети'!BL5,0)</f>
        <v/>
      </c>
      <c r="BM4424">
        <f>IF('01_Вводные'!$B$234="Да",SUMPRODUCT('19_Расчет_аналитики'!BM4456:BM4467,CapacityYear1)*'19_Расчет_аналитики'!$F$4259*'06_Сеть_и_дети'!BM5,0)</f>
        <v/>
      </c>
      <c r="BN4424">
        <f>IF('01_Вводные'!$B$234="Да",SUMPRODUCT('19_Расчет_аналитики'!BN4456:BN4467,CapacityYear1)*'19_Расчет_аналитики'!$F$4259*'06_Сеть_и_дети'!BN5,0)</f>
        <v/>
      </c>
      <c r="BO4424">
        <f>IF('01_Вводные'!$B$234="Да",SUMPRODUCT('19_Расчет_аналитики'!BO4456:BO4467,CapacityYear1)*'19_Расчет_аналитики'!$F$4259*'06_Сеть_и_дети'!BO5,0)</f>
        <v/>
      </c>
    </row>
    <row r="4425">
      <c r="B4425">
        <f>IF('01_Вводные'!$B$234="Да",SUMPRODUCT('06_Сеть_и_дети'!B65:B76,CapacityYear2)*'19_Расчет_аналитики'!$F$4259*'06_Сеть_и_дети'!B5,0)</f>
        <v/>
      </c>
      <c r="C4425">
        <f>IF('01_Вводные'!$B$234="Да",SUMPRODUCT('06_Сеть_и_дети'!C65:C76,CapacityYear2)*'19_Расчет_аналитики'!$F$4259*'06_Сеть_и_дети'!C5,0)</f>
        <v/>
      </c>
      <c r="D4425">
        <f>IF('01_Вводные'!$B$234="Да",SUMPRODUCT('06_Сеть_и_дети'!D65:D76,CapacityYear2)*'19_Расчет_аналитики'!$F$4259*'06_Сеть_и_дети'!D5,0)</f>
        <v/>
      </c>
      <c r="E4425">
        <f>IF('01_Вводные'!$B$234="Да",SUMPRODUCT('06_Сеть_и_дети'!E65:E76,CapacityYear2)*'19_Расчет_аналитики'!$F$4259*'06_Сеть_и_дети'!E5,0)</f>
        <v/>
      </c>
      <c r="F4425">
        <f>IF('01_Вводные'!$B$234="Да",SUMPRODUCT('06_Сеть_и_дети'!F65:F76,CapacityYear2)*'19_Расчет_аналитики'!$F$4259*'06_Сеть_и_дети'!F5,0)</f>
        <v/>
      </c>
      <c r="G4425">
        <f>IF('01_Вводные'!$B$234="Да",SUMPRODUCT('06_Сеть_и_дети'!G65:G76,CapacityYear2)*'19_Расчет_аналитики'!$F$4259*'06_Сеть_и_дети'!G5,0)</f>
        <v/>
      </c>
      <c r="H4425">
        <f>IF('01_Вводные'!$B$234="Да",SUMPRODUCT('06_Сеть_и_дети'!H65:H76,CapacityYear2)*'19_Расчет_аналитики'!$F$4259*'06_Сеть_и_дети'!H5,0)</f>
        <v/>
      </c>
      <c r="I4425">
        <f>IF('01_Вводные'!$B$234="Да",SUMPRODUCT('06_Сеть_и_дети'!I65:I76,CapacityYear2)*'19_Расчет_аналитики'!$F$4259*'06_Сеть_и_дети'!I5,0)</f>
        <v/>
      </c>
      <c r="J4425">
        <f>IF('01_Вводные'!$B$234="Да",SUMPRODUCT('06_Сеть_и_дети'!J65:J76,CapacityYear2)*'19_Расчет_аналитики'!$F$4259*'06_Сеть_и_дети'!J5,0)</f>
        <v/>
      </c>
      <c r="K4425">
        <f>IF('01_Вводные'!$B$234="Да",SUMPRODUCT('06_Сеть_и_дети'!K65:K76,CapacityYear2)*'19_Расчет_аналитики'!$F$4259*'06_Сеть_и_дети'!K5,0)</f>
        <v/>
      </c>
      <c r="L4425">
        <f>IF('01_Вводные'!$B$234="Да",SUMPRODUCT('06_Сеть_и_дети'!L65:L76,CapacityYear2)*'19_Расчет_аналитики'!$F$4259*'06_Сеть_и_дети'!L5,0)</f>
        <v/>
      </c>
      <c r="M4425">
        <f>IF('01_Вводные'!$B$234="Да",SUMPRODUCT('06_Сеть_и_дети'!M65:M76,CapacityYear2)*'19_Расчет_аналитики'!$F$4259*'06_Сеть_и_дети'!M5,0)</f>
        <v/>
      </c>
      <c r="N4425">
        <f>IF('01_Вводные'!$B$234="Да",SUMPRODUCT('19_Расчет_аналитики'!N4468:N4479,CapacityYear2)*'19_Расчет_аналитики'!$F$4259*'06_Сеть_и_дети'!N5,0)</f>
        <v/>
      </c>
      <c r="O4425">
        <f>IF('01_Вводные'!$B$234="Да",SUMPRODUCT('19_Расчет_аналитики'!O4468:O4479,CapacityYear2)*'19_Расчет_аналитики'!$F$4259*'06_Сеть_и_дети'!O5,0)</f>
        <v/>
      </c>
      <c r="P4425">
        <f>IF('01_Вводные'!$B$234="Да",SUMPRODUCT('19_Расчет_аналитики'!P4468:P4479,CapacityYear2)*'19_Расчет_аналитики'!$F$4259*'06_Сеть_и_дети'!P5,0)</f>
        <v/>
      </c>
      <c r="Q4425">
        <f>IF('01_Вводные'!$B$234="Да",SUMPRODUCT('19_Расчет_аналитики'!Q4468:Q4479,CapacityYear2)*'19_Расчет_аналитики'!$F$4259*'06_Сеть_и_дети'!Q5,0)</f>
        <v/>
      </c>
      <c r="R4425">
        <f>IF('01_Вводные'!$B$234="Да",SUMPRODUCT('19_Расчет_аналитики'!R4468:R4479,CapacityYear2)*'19_Расчет_аналитики'!$F$4259*'06_Сеть_и_дети'!R5,0)</f>
        <v/>
      </c>
      <c r="S4425">
        <f>IF('01_Вводные'!$B$234="Да",SUMPRODUCT('19_Расчет_аналитики'!S4468:S4479,CapacityYear2)*'19_Расчет_аналитики'!$F$4259*'06_Сеть_и_дети'!S5,0)</f>
        <v/>
      </c>
      <c r="T4425">
        <f>IF('01_Вводные'!$B$234="Да",SUMPRODUCT('19_Расчет_аналитики'!T4468:T4479,CapacityYear2)*'19_Расчет_аналитики'!$F$4259*'06_Сеть_и_дети'!T5,0)</f>
        <v/>
      </c>
      <c r="U4425">
        <f>IF('01_Вводные'!$B$234="Да",SUMPRODUCT('19_Расчет_аналитики'!U4468:U4479,CapacityYear2)*'19_Расчет_аналитики'!$F$4259*'06_Сеть_и_дети'!U5,0)</f>
        <v/>
      </c>
      <c r="V4425">
        <f>IF('01_Вводные'!$B$234="Да",SUMPRODUCT('19_Расчет_аналитики'!V4468:V4479,CapacityYear2)*'19_Расчет_аналитики'!$F$4259*'06_Сеть_и_дети'!V5,0)</f>
        <v/>
      </c>
      <c r="W4425">
        <f>IF('01_Вводные'!$B$234="Да",SUMPRODUCT('19_Расчет_аналитики'!W4468:W4479,CapacityYear2)*'19_Расчет_аналитики'!$F$4259*'06_Сеть_и_дети'!W5,0)</f>
        <v/>
      </c>
      <c r="X4425">
        <f>IF('01_Вводные'!$B$234="Да",SUMPRODUCT('19_Расчет_аналитики'!X4468:X4479,CapacityYear2)*'19_Расчет_аналитики'!$F$4259*'06_Сеть_и_дети'!X5,0)</f>
        <v/>
      </c>
      <c r="Y4425">
        <f>IF('01_Вводные'!$B$234="Да",SUMPRODUCT('19_Расчет_аналитики'!Y4468:Y4479,CapacityYear2)*'19_Расчет_аналитики'!$F$4259*'06_Сеть_и_дети'!Y5,0)</f>
        <v/>
      </c>
      <c r="Z4425">
        <f>IF('01_Вводные'!$B$234="Да",SUMPRODUCT('19_Расчет_аналитики'!Z4468:Z4479,CapacityYear2)*'19_Расчет_аналитики'!$F$4259*'06_Сеть_и_дети'!Z5,0)</f>
        <v/>
      </c>
      <c r="AA4425">
        <f>IF('01_Вводные'!$B$234="Да",SUMPRODUCT('19_Расчет_аналитики'!AA4468:AA4479,CapacityYear2)*'19_Расчет_аналитики'!$F$4259*'06_Сеть_и_дети'!AA5,0)</f>
        <v/>
      </c>
      <c r="AB4425">
        <f>IF('01_Вводные'!$B$234="Да",SUMPRODUCT('19_Расчет_аналитики'!AB4468:AB4479,CapacityYear2)*'19_Расчет_аналитики'!$F$4259*'06_Сеть_и_дети'!AB5,0)</f>
        <v/>
      </c>
      <c r="AC4425">
        <f>IF('01_Вводные'!$B$234="Да",SUMPRODUCT('19_Расчет_аналитики'!AC4468:AC4479,CapacityYear2)*'19_Расчет_аналитики'!$F$4259*'06_Сеть_и_дети'!AC5,0)</f>
        <v/>
      </c>
      <c r="AD4425">
        <f>IF('01_Вводные'!$B$234="Да",SUMPRODUCT('19_Расчет_аналитики'!AD4468:AD4479,CapacityYear2)*'19_Расчет_аналитики'!$F$4259*'06_Сеть_и_дети'!AD5,0)</f>
        <v/>
      </c>
      <c r="AE4425">
        <f>IF('01_Вводные'!$B$234="Да",SUMPRODUCT('19_Расчет_аналитики'!AE4468:AE4479,CapacityYear2)*'19_Расчет_аналитики'!$F$4259*'06_Сеть_и_дети'!AE5,0)</f>
        <v/>
      </c>
      <c r="AF4425">
        <f>IF('01_Вводные'!$B$234="Да",SUMPRODUCT('19_Расчет_аналитики'!AF4468:AF4479,CapacityYear2)*'19_Расчет_аналитики'!$F$4259*'06_Сеть_и_дети'!AF5,0)</f>
        <v/>
      </c>
      <c r="AG4425">
        <f>IF('01_Вводные'!$B$234="Да",SUMPRODUCT('19_Расчет_аналитики'!AG4468:AG4479,CapacityYear2)*'19_Расчет_аналитики'!$F$4259*'06_Сеть_и_дети'!AG5,0)</f>
        <v/>
      </c>
      <c r="AH4425">
        <f>IF('01_Вводные'!$B$234="Да",SUMPRODUCT('19_Расчет_аналитики'!AH4468:AH4479,CapacityYear2)*'19_Расчет_аналитики'!$F$4259*'06_Сеть_и_дети'!AH5,0)</f>
        <v/>
      </c>
      <c r="AI4425">
        <f>IF('01_Вводные'!$B$234="Да",SUMPRODUCT('19_Расчет_аналитики'!AI4468:AI4479,CapacityYear2)*'19_Расчет_аналитики'!$F$4259*'06_Сеть_и_дети'!AI5,0)</f>
        <v/>
      </c>
      <c r="AJ4425">
        <f>IF('01_Вводные'!$B$234="Да",SUMPRODUCT('19_Расчет_аналитики'!AJ4468:AJ4479,CapacityYear2)*'19_Расчет_аналитики'!$F$4259*'06_Сеть_и_дети'!AJ5,0)</f>
        <v/>
      </c>
      <c r="AK4425">
        <f>IF('01_Вводные'!$B$234="Да",SUMPRODUCT('19_Расчет_аналитики'!AK4468:AK4479,CapacityYear2)*'19_Расчет_аналитики'!$F$4259*'06_Сеть_и_дети'!AK5,0)</f>
        <v/>
      </c>
      <c r="AL4425">
        <f>IF('01_Вводные'!$B$234="Да",SUMPRODUCT('19_Расчет_аналитики'!AL4468:AL4479,CapacityYear2)*'19_Расчет_аналитики'!$F$4259*'06_Сеть_и_дети'!AL5,0)</f>
        <v/>
      </c>
      <c r="AM4425">
        <f>IF('01_Вводные'!$B$234="Да",SUMPRODUCT('19_Расчет_аналитики'!AM4468:AM4479,CapacityYear2)*'19_Расчет_аналитики'!$F$4259*'06_Сеть_и_дети'!AM5,0)</f>
        <v/>
      </c>
      <c r="AN4425">
        <f>IF('01_Вводные'!$B$234="Да",SUMPRODUCT('19_Расчет_аналитики'!AN4468:AN4479,CapacityYear2)*'19_Расчет_аналитики'!$F$4259*'06_Сеть_и_дети'!AN5,0)</f>
        <v/>
      </c>
      <c r="AO4425">
        <f>IF('01_Вводные'!$B$234="Да",SUMPRODUCT('19_Расчет_аналитики'!AO4468:AO4479,CapacityYear2)*'19_Расчет_аналитики'!$F$4259*'06_Сеть_и_дети'!AO5,0)</f>
        <v/>
      </c>
      <c r="AP4425">
        <f>IF('01_Вводные'!$B$234="Да",SUMPRODUCT('19_Расчет_аналитики'!AP4468:AP4479,CapacityYear2)*'19_Расчет_аналитики'!$F$4259*'06_Сеть_и_дети'!AP5,0)</f>
        <v/>
      </c>
      <c r="AQ4425">
        <f>IF('01_Вводные'!$B$234="Да",SUMPRODUCT('19_Расчет_аналитики'!AQ4468:AQ4479,CapacityYear2)*'19_Расчет_аналитики'!$F$4259*'06_Сеть_и_дети'!AQ5,0)</f>
        <v/>
      </c>
      <c r="AR4425">
        <f>IF('01_Вводные'!$B$234="Да",SUMPRODUCT('19_Расчет_аналитики'!AR4468:AR4479,CapacityYear2)*'19_Расчет_аналитики'!$F$4259*'06_Сеть_и_дети'!AR5,0)</f>
        <v/>
      </c>
      <c r="AS4425">
        <f>IF('01_Вводные'!$B$234="Да",SUMPRODUCT('19_Расчет_аналитики'!AS4468:AS4479,CapacityYear2)*'19_Расчет_аналитики'!$F$4259*'06_Сеть_и_дети'!AS5,0)</f>
        <v/>
      </c>
      <c r="AT4425">
        <f>IF('01_Вводные'!$B$234="Да",SUMPRODUCT('19_Расчет_аналитики'!AT4468:AT4479,CapacityYear2)*'19_Расчет_аналитики'!$F$4259*'06_Сеть_и_дети'!AT5,0)</f>
        <v/>
      </c>
      <c r="AU4425">
        <f>IF('01_Вводные'!$B$234="Да",SUMPRODUCT('19_Расчет_аналитики'!AU4468:AU4479,CapacityYear2)*'19_Расчет_аналитики'!$F$4259*'06_Сеть_и_дети'!AU5,0)</f>
        <v/>
      </c>
      <c r="AV4425">
        <f>IF('01_Вводные'!$B$234="Да",SUMPRODUCT('19_Расчет_аналитики'!AV4468:AV4479,CapacityYear2)*'19_Расчет_аналитики'!$F$4259*'06_Сеть_и_дети'!AV5,0)</f>
        <v/>
      </c>
      <c r="AW4425">
        <f>IF('01_Вводные'!$B$234="Да",SUMPRODUCT('19_Расчет_аналитики'!AW4468:AW4479,CapacityYear2)*'19_Расчет_аналитики'!$F$4259*'06_Сеть_и_дети'!AW5,0)</f>
        <v/>
      </c>
      <c r="AX4425">
        <f>IF('01_Вводные'!$B$234="Да",SUMPRODUCT('19_Расчет_аналитики'!AX4468:AX4479,CapacityYear2)*'19_Расчет_аналитики'!$F$4259*'06_Сеть_и_дети'!AX5,0)</f>
        <v/>
      </c>
      <c r="AY4425">
        <f>IF('01_Вводные'!$B$234="Да",SUMPRODUCT('19_Расчет_аналитики'!AY4468:AY4479,CapacityYear2)*'19_Расчет_аналитики'!$F$4259*'06_Сеть_и_дети'!AY5,0)</f>
        <v/>
      </c>
      <c r="AZ4425">
        <f>IF('01_Вводные'!$B$234="Да",SUMPRODUCT('19_Расчет_аналитики'!AZ4468:AZ4479,CapacityYear2)*'19_Расчет_аналитики'!$F$4259*'06_Сеть_и_дети'!AZ5,0)</f>
        <v/>
      </c>
      <c r="BA4425">
        <f>IF('01_Вводные'!$B$234="Да",SUMPRODUCT('19_Расчет_аналитики'!BA4468:BA4479,CapacityYear2)*'19_Расчет_аналитики'!$F$4259*'06_Сеть_и_дети'!BA5,0)</f>
        <v/>
      </c>
      <c r="BB4425">
        <f>IF('01_Вводные'!$B$234="Да",SUMPRODUCT('19_Расчет_аналитики'!BB4468:BB4479,CapacityYear2)*'19_Расчет_аналитики'!$F$4259*'06_Сеть_и_дети'!BB5,0)</f>
        <v/>
      </c>
      <c r="BC4425">
        <f>IF('01_Вводные'!$B$234="Да",SUMPRODUCT('19_Расчет_аналитики'!BC4468:BC4479,CapacityYear2)*'19_Расчет_аналитики'!$F$4259*'06_Сеть_и_дети'!BC5,0)</f>
        <v/>
      </c>
      <c r="BD4425">
        <f>IF('01_Вводные'!$B$234="Да",SUMPRODUCT('19_Расчет_аналитики'!BD4468:BD4479,CapacityYear2)*'19_Расчет_аналитики'!$F$4259*'06_Сеть_и_дети'!BD5,0)</f>
        <v/>
      </c>
      <c r="BE4425">
        <f>IF('01_Вводные'!$B$234="Да",SUMPRODUCT('19_Расчет_аналитики'!BE4468:BE4479,CapacityYear2)*'19_Расчет_аналитики'!$F$4259*'06_Сеть_и_дети'!BE5,0)</f>
        <v/>
      </c>
      <c r="BF4425">
        <f>IF('01_Вводные'!$B$234="Да",SUMPRODUCT('19_Расчет_аналитики'!BF4468:BF4479,CapacityYear2)*'19_Расчет_аналитики'!$F$4259*'06_Сеть_и_дети'!BF5,0)</f>
        <v/>
      </c>
      <c r="BG4425">
        <f>IF('01_Вводные'!$B$234="Да",SUMPRODUCT('19_Расчет_аналитики'!BG4468:BG4479,CapacityYear2)*'19_Расчет_аналитики'!$F$4259*'06_Сеть_и_дети'!BG5,0)</f>
        <v/>
      </c>
      <c r="BH4425">
        <f>IF('01_Вводные'!$B$234="Да",SUMPRODUCT('19_Расчет_аналитики'!BH4468:BH4479,CapacityYear2)*'19_Расчет_аналитики'!$F$4259*'06_Сеть_и_дети'!BH5,0)</f>
        <v/>
      </c>
      <c r="BI4425">
        <f>IF('01_Вводные'!$B$234="Да",SUMPRODUCT('19_Расчет_аналитики'!BI4468:BI4479,CapacityYear2)*'19_Расчет_аналитики'!$F$4259*'06_Сеть_и_дети'!BI5,0)</f>
        <v/>
      </c>
      <c r="BJ4425">
        <f>IF('01_Вводные'!$B$234="Да",SUMPRODUCT('19_Расчет_аналитики'!BJ4468:BJ4479,CapacityYear2)*'19_Расчет_аналитики'!$F$4259*'06_Сеть_и_дети'!BJ5,0)</f>
        <v/>
      </c>
      <c r="BK4425">
        <f>IF('01_Вводные'!$B$234="Да",SUMPRODUCT('19_Расчет_аналитики'!BK4468:BK4479,CapacityYear2)*'19_Расчет_аналитики'!$F$4259*'06_Сеть_и_дети'!BK5,0)</f>
        <v/>
      </c>
      <c r="BL4425">
        <f>IF('01_Вводные'!$B$234="Да",SUMPRODUCT('19_Расчет_аналитики'!BL4468:BL4479,CapacityYear2)*'19_Расчет_аналитики'!$F$4259*'06_Сеть_и_дети'!BL5,0)</f>
        <v/>
      </c>
      <c r="BM4425">
        <f>IF('01_Вводные'!$B$234="Да",SUMPRODUCT('19_Расчет_аналитики'!BM4468:BM4479,CapacityYear2)*'19_Расчет_аналитики'!$F$4259*'06_Сеть_и_дети'!BM5,0)</f>
        <v/>
      </c>
      <c r="BN4425">
        <f>IF('01_Вводные'!$B$234="Да",SUMPRODUCT('19_Расчет_аналитики'!BN4468:BN4479,CapacityYear2)*'19_Расчет_аналитики'!$F$4259*'06_Сеть_и_дети'!BN5,0)</f>
        <v/>
      </c>
      <c r="BO4425">
        <f>IF('01_Вводные'!$B$234="Да",SUMPRODUCT('19_Расчет_аналитики'!BO4468:BO4479,CapacityYear2)*'19_Расчет_аналитики'!$F$4259*'06_Сеть_и_дети'!BO5,0)</f>
        <v/>
      </c>
    </row>
    <row r="4426">
      <c r="B4426">
        <f>IF('01_Вводные'!$B$234="Да",'06_Сеть_и_дети'!B77*CapacityAge25*'19_Расчет_аналитики'!$F$4259*'06_Сеть_и_дети'!B5,0)</f>
        <v/>
      </c>
      <c r="C4426">
        <f>IF('01_Вводные'!$B$234="Да",'06_Сеть_и_дети'!C77*CapacityAge25*'19_Расчет_аналитики'!$F$4259*'06_Сеть_и_дети'!C5,0)</f>
        <v/>
      </c>
      <c r="D4426">
        <f>IF('01_Вводные'!$B$234="Да",'06_Сеть_и_дети'!D77*CapacityAge25*'19_Расчет_аналитики'!$F$4259*'06_Сеть_и_дети'!D5,0)</f>
        <v/>
      </c>
      <c r="E4426">
        <f>IF('01_Вводные'!$B$234="Да",'06_Сеть_и_дети'!E77*CapacityAge25*'19_Расчет_аналитики'!$F$4259*'06_Сеть_и_дети'!E5,0)</f>
        <v/>
      </c>
      <c r="F4426">
        <f>IF('01_Вводные'!$B$234="Да",'06_Сеть_и_дети'!F77*CapacityAge25*'19_Расчет_аналитики'!$F$4259*'06_Сеть_и_дети'!F5,0)</f>
        <v/>
      </c>
      <c r="G4426">
        <f>IF('01_Вводные'!$B$234="Да",'06_Сеть_и_дети'!G77*CapacityAge25*'19_Расчет_аналитики'!$F$4259*'06_Сеть_и_дети'!G5,0)</f>
        <v/>
      </c>
      <c r="H4426">
        <f>IF('01_Вводные'!$B$234="Да",'06_Сеть_и_дети'!H77*CapacityAge25*'19_Расчет_аналитики'!$F$4259*'06_Сеть_и_дети'!H5,0)</f>
        <v/>
      </c>
      <c r="I4426">
        <f>IF('01_Вводные'!$B$234="Да",'06_Сеть_и_дети'!I77*CapacityAge25*'19_Расчет_аналитики'!$F$4259*'06_Сеть_и_дети'!I5,0)</f>
        <v/>
      </c>
      <c r="J4426">
        <f>IF('01_Вводные'!$B$234="Да",'06_Сеть_и_дети'!J77*CapacityAge25*'19_Расчет_аналитики'!$F$4259*'06_Сеть_и_дети'!J5,0)</f>
        <v/>
      </c>
      <c r="K4426">
        <f>IF('01_Вводные'!$B$234="Да",'06_Сеть_и_дети'!K77*CapacityAge25*'19_Расчет_аналитики'!$F$4259*'06_Сеть_и_дети'!K5,0)</f>
        <v/>
      </c>
      <c r="L4426">
        <f>IF('01_Вводные'!$B$234="Да",'06_Сеть_и_дети'!L77*CapacityAge25*'19_Расчет_аналитики'!$F$4259*'06_Сеть_и_дети'!L5,0)</f>
        <v/>
      </c>
      <c r="M4426">
        <f>IF('01_Вводные'!$B$234="Да",'06_Сеть_и_дети'!M77*CapacityAge25*'19_Расчет_аналитики'!$F$4259*'06_Сеть_и_дети'!M5,0)</f>
        <v/>
      </c>
      <c r="N4426">
        <f>IF('01_Вводные'!$B$234="Да",'06_Сеть_и_дети'!N77*CapacityAge25*'19_Расчет_аналитики'!$F$4259*'06_Сеть_и_дети'!N5,0)</f>
        <v/>
      </c>
      <c r="O4426">
        <f>IF('01_Вводные'!$B$234="Да",'06_Сеть_и_дети'!O77*CapacityAge25*'19_Расчет_аналитики'!$F$4259*'06_Сеть_и_дети'!O5,0)</f>
        <v/>
      </c>
      <c r="P4426">
        <f>IF('01_Вводные'!$B$234="Да",'06_Сеть_и_дети'!P77*CapacityAge25*'19_Расчет_аналитики'!$F$4259*'06_Сеть_и_дети'!P5,0)</f>
        <v/>
      </c>
      <c r="Q4426">
        <f>IF('01_Вводные'!$B$234="Да",'06_Сеть_и_дети'!Q77*CapacityAge25*'19_Расчет_аналитики'!$F$4259*'06_Сеть_и_дети'!Q5,0)</f>
        <v/>
      </c>
      <c r="R4426">
        <f>IF('01_Вводные'!$B$234="Да",'06_Сеть_и_дети'!R77*CapacityAge25*'19_Расчет_аналитики'!$F$4259*'06_Сеть_и_дети'!R5,0)</f>
        <v/>
      </c>
      <c r="S4426">
        <f>IF('01_Вводные'!$B$234="Да",'06_Сеть_и_дети'!S77*CapacityAge25*'19_Расчет_аналитики'!$F$4259*'06_Сеть_и_дети'!S5,0)</f>
        <v/>
      </c>
      <c r="T4426">
        <f>IF('01_Вводные'!$B$234="Да",'06_Сеть_и_дети'!T77*CapacityAge25*'19_Расчет_аналитики'!$F$4259*'06_Сеть_и_дети'!T5,0)</f>
        <v/>
      </c>
      <c r="U4426">
        <f>IF('01_Вводные'!$B$234="Да",'06_Сеть_и_дети'!U77*CapacityAge25*'19_Расчет_аналитики'!$F$4259*'06_Сеть_и_дети'!U5,0)</f>
        <v/>
      </c>
      <c r="V4426">
        <f>IF('01_Вводные'!$B$234="Да",'06_Сеть_и_дети'!V77*CapacityAge25*'19_Расчет_аналитики'!$F$4259*'06_Сеть_и_дети'!V5,0)</f>
        <v/>
      </c>
      <c r="W4426">
        <f>IF('01_Вводные'!$B$234="Да",'06_Сеть_и_дети'!W77*CapacityAge25*'19_Расчет_аналитики'!$F$4259*'06_Сеть_и_дети'!W5,0)</f>
        <v/>
      </c>
      <c r="X4426">
        <f>IF('01_Вводные'!$B$234="Да",'06_Сеть_и_дети'!X77*CapacityAge25*'19_Расчет_аналитики'!$F$4259*'06_Сеть_и_дети'!X5,0)</f>
        <v/>
      </c>
      <c r="Y4426">
        <f>IF('01_Вводные'!$B$234="Да",'06_Сеть_и_дети'!Y77*CapacityAge25*'19_Расчет_аналитики'!$F$4259*'06_Сеть_и_дети'!Y5,0)</f>
        <v/>
      </c>
      <c r="Z4426">
        <f>IF('01_Вводные'!$B$234="Да",'19_Расчет_аналитики'!Z4480*CapacityAge25*'19_Расчет_аналитики'!$F$4259*'06_Сеть_и_дети'!Z5,0)</f>
        <v/>
      </c>
      <c r="AA4426">
        <f>IF('01_Вводные'!$B$234="Да",'19_Расчет_аналитики'!AA4480*CapacityAge25*'19_Расчет_аналитики'!$F$4259*'06_Сеть_и_дети'!AA5,0)</f>
        <v/>
      </c>
      <c r="AB4426">
        <f>IF('01_Вводные'!$B$234="Да",'19_Расчет_аналитики'!AB4480*CapacityAge25*'19_Расчет_аналитики'!$F$4259*'06_Сеть_и_дети'!AB5,0)</f>
        <v/>
      </c>
      <c r="AC4426">
        <f>IF('01_Вводные'!$B$234="Да",'19_Расчет_аналитики'!AC4480*CapacityAge25*'19_Расчет_аналитики'!$F$4259*'06_Сеть_и_дети'!AC5,0)</f>
        <v/>
      </c>
      <c r="AD4426">
        <f>IF('01_Вводные'!$B$234="Да",'19_Расчет_аналитики'!AD4480*CapacityAge25*'19_Расчет_аналитики'!$F$4259*'06_Сеть_и_дети'!AD5,0)</f>
        <v/>
      </c>
      <c r="AE4426">
        <f>IF('01_Вводные'!$B$234="Да",'19_Расчет_аналитики'!AE4480*CapacityAge25*'19_Расчет_аналитики'!$F$4259*'06_Сеть_и_дети'!AE5,0)</f>
        <v/>
      </c>
      <c r="AF4426">
        <f>IF('01_Вводные'!$B$234="Да",'19_Расчет_аналитики'!AF4480*CapacityAge25*'19_Расчет_аналитики'!$F$4259*'06_Сеть_и_дети'!AF5,0)</f>
        <v/>
      </c>
      <c r="AG4426">
        <f>IF('01_Вводные'!$B$234="Да",'19_Расчет_аналитики'!AG4480*CapacityAge25*'19_Расчет_аналитики'!$F$4259*'06_Сеть_и_дети'!AG5,0)</f>
        <v/>
      </c>
      <c r="AH4426">
        <f>IF('01_Вводные'!$B$234="Да",'19_Расчет_аналитики'!AH4480*CapacityAge25*'19_Расчет_аналитики'!$F$4259*'06_Сеть_и_дети'!AH5,0)</f>
        <v/>
      </c>
      <c r="AI4426">
        <f>IF('01_Вводные'!$B$234="Да",'19_Расчет_аналитики'!AI4480*CapacityAge25*'19_Расчет_аналитики'!$F$4259*'06_Сеть_и_дети'!AI5,0)</f>
        <v/>
      </c>
      <c r="AJ4426">
        <f>IF('01_Вводные'!$B$234="Да",'19_Расчет_аналитики'!AJ4480*CapacityAge25*'19_Расчет_аналитики'!$F$4259*'06_Сеть_и_дети'!AJ5,0)</f>
        <v/>
      </c>
      <c r="AK4426">
        <f>IF('01_Вводные'!$B$234="Да",'19_Расчет_аналитики'!AK4480*CapacityAge25*'19_Расчет_аналитики'!$F$4259*'06_Сеть_и_дети'!AK5,0)</f>
        <v/>
      </c>
      <c r="AL4426">
        <f>IF('01_Вводные'!$B$234="Да",'19_Расчет_аналитики'!AL4480*CapacityAge25*'19_Расчет_аналитики'!$F$4259*'06_Сеть_и_дети'!AL5,0)</f>
        <v/>
      </c>
      <c r="AM4426">
        <f>IF('01_Вводные'!$B$234="Да",'19_Расчет_аналитики'!AM4480*CapacityAge25*'19_Расчет_аналитики'!$F$4259*'06_Сеть_и_дети'!AM5,0)</f>
        <v/>
      </c>
      <c r="AN4426">
        <f>IF('01_Вводные'!$B$234="Да",'19_Расчет_аналитики'!AN4480*CapacityAge25*'19_Расчет_аналитики'!$F$4259*'06_Сеть_и_дети'!AN5,0)</f>
        <v/>
      </c>
      <c r="AO4426">
        <f>IF('01_Вводные'!$B$234="Да",'19_Расчет_аналитики'!AO4480*CapacityAge25*'19_Расчет_аналитики'!$F$4259*'06_Сеть_и_дети'!AO5,0)</f>
        <v/>
      </c>
      <c r="AP4426">
        <f>IF('01_Вводные'!$B$234="Да",'19_Расчет_аналитики'!AP4480*CapacityAge25*'19_Расчет_аналитики'!$F$4259*'06_Сеть_и_дети'!AP5,0)</f>
        <v/>
      </c>
      <c r="AQ4426">
        <f>IF('01_Вводные'!$B$234="Да",'19_Расчет_аналитики'!AQ4480*CapacityAge25*'19_Расчет_аналитики'!$F$4259*'06_Сеть_и_дети'!AQ5,0)</f>
        <v/>
      </c>
      <c r="AR4426">
        <f>IF('01_Вводные'!$B$234="Да",'19_Расчет_аналитики'!AR4480*CapacityAge25*'19_Расчет_аналитики'!$F$4259*'06_Сеть_и_дети'!AR5,0)</f>
        <v/>
      </c>
      <c r="AS4426">
        <f>IF('01_Вводные'!$B$234="Да",'19_Расчет_аналитики'!AS4480*CapacityAge25*'19_Расчет_аналитики'!$F$4259*'06_Сеть_и_дети'!AS5,0)</f>
        <v/>
      </c>
      <c r="AT4426">
        <f>IF('01_Вводные'!$B$234="Да",'19_Расчет_аналитики'!AT4480*CapacityAge25*'19_Расчет_аналитики'!$F$4259*'06_Сеть_и_дети'!AT5,0)</f>
        <v/>
      </c>
      <c r="AU4426">
        <f>IF('01_Вводные'!$B$234="Да",'19_Расчет_аналитики'!AU4480*CapacityAge25*'19_Расчет_аналитики'!$F$4259*'06_Сеть_и_дети'!AU5,0)</f>
        <v/>
      </c>
      <c r="AV4426">
        <f>IF('01_Вводные'!$B$234="Да",'19_Расчет_аналитики'!AV4480*CapacityAge25*'19_Расчет_аналитики'!$F$4259*'06_Сеть_и_дети'!AV5,0)</f>
        <v/>
      </c>
      <c r="AW4426">
        <f>IF('01_Вводные'!$B$234="Да",'19_Расчет_аналитики'!AW4480*CapacityAge25*'19_Расчет_аналитики'!$F$4259*'06_Сеть_и_дети'!AW5,0)</f>
        <v/>
      </c>
      <c r="AX4426">
        <f>IF('01_Вводные'!$B$234="Да",'19_Расчет_аналитики'!AX4480*CapacityAge25*'19_Расчет_аналитики'!$F$4259*'06_Сеть_и_дети'!AX5,0)</f>
        <v/>
      </c>
      <c r="AY4426">
        <f>IF('01_Вводные'!$B$234="Да",'19_Расчет_аналитики'!AY4480*CapacityAge25*'19_Расчет_аналитики'!$F$4259*'06_Сеть_и_дети'!AY5,0)</f>
        <v/>
      </c>
      <c r="AZ4426">
        <f>IF('01_Вводные'!$B$234="Да",'19_Расчет_аналитики'!AZ4480*CapacityAge25*'19_Расчет_аналитики'!$F$4259*'06_Сеть_и_дети'!AZ5,0)</f>
        <v/>
      </c>
      <c r="BA4426">
        <f>IF('01_Вводные'!$B$234="Да",'19_Расчет_аналитики'!BA4480*CapacityAge25*'19_Расчет_аналитики'!$F$4259*'06_Сеть_и_дети'!BA5,0)</f>
        <v/>
      </c>
      <c r="BB4426">
        <f>IF('01_Вводные'!$B$234="Да",'19_Расчет_аналитики'!BB4480*CapacityAge25*'19_Расчет_аналитики'!$F$4259*'06_Сеть_и_дети'!BB5,0)</f>
        <v/>
      </c>
      <c r="BC4426">
        <f>IF('01_Вводные'!$B$234="Да",'19_Расчет_аналитики'!BC4480*CapacityAge25*'19_Расчет_аналитики'!$F$4259*'06_Сеть_и_дети'!BC5,0)</f>
        <v/>
      </c>
      <c r="BD4426">
        <f>IF('01_Вводные'!$B$234="Да",'19_Расчет_аналитики'!BD4480*CapacityAge25*'19_Расчет_аналитики'!$F$4259*'06_Сеть_и_дети'!BD5,0)</f>
        <v/>
      </c>
      <c r="BE4426">
        <f>IF('01_Вводные'!$B$234="Да",'19_Расчет_аналитики'!BE4480*CapacityAge25*'19_Расчет_аналитики'!$F$4259*'06_Сеть_и_дети'!BE5,0)</f>
        <v/>
      </c>
      <c r="BF4426">
        <f>IF('01_Вводные'!$B$234="Да",'19_Расчет_аналитики'!BF4480*CapacityAge25*'19_Расчет_аналитики'!$F$4259*'06_Сеть_и_дети'!BF5,0)</f>
        <v/>
      </c>
      <c r="BG4426">
        <f>IF('01_Вводные'!$B$234="Да",'19_Расчет_аналитики'!BG4480*CapacityAge25*'19_Расчет_аналитики'!$F$4259*'06_Сеть_и_дети'!BG5,0)</f>
        <v/>
      </c>
      <c r="BH4426">
        <f>IF('01_Вводные'!$B$234="Да",'19_Расчет_аналитики'!BH4480*CapacityAge25*'19_Расчет_аналитики'!$F$4259*'06_Сеть_и_дети'!BH5,0)</f>
        <v/>
      </c>
      <c r="BI4426">
        <f>IF('01_Вводные'!$B$234="Да",'19_Расчет_аналитики'!BI4480*CapacityAge25*'19_Расчет_аналитики'!$F$4259*'06_Сеть_и_дети'!BI5,0)</f>
        <v/>
      </c>
      <c r="BJ4426">
        <f>IF('01_Вводные'!$B$234="Да",'19_Расчет_аналитики'!BJ4480*CapacityAge25*'19_Расчет_аналитики'!$F$4259*'06_Сеть_и_дети'!BJ5,0)</f>
        <v/>
      </c>
      <c r="BK4426">
        <f>IF('01_Вводные'!$B$234="Да",'19_Расчет_аналитики'!BK4480*CapacityAge25*'19_Расчет_аналитики'!$F$4259*'06_Сеть_и_дети'!BK5,0)</f>
        <v/>
      </c>
      <c r="BL4426">
        <f>IF('01_Вводные'!$B$234="Да",'19_Расчет_аналитики'!BL4480*CapacityAge25*'19_Расчет_аналитики'!$F$4259*'06_Сеть_и_дети'!BL5,0)</f>
        <v/>
      </c>
      <c r="BM4426">
        <f>IF('01_Вводные'!$B$234="Да",'19_Расчет_аналитики'!BM4480*CapacityAge25*'19_Расчет_аналитики'!$F$4259*'06_Сеть_и_дети'!BM5,0)</f>
        <v/>
      </c>
      <c r="BN4426">
        <f>IF('01_Вводные'!$B$234="Да",'19_Расчет_аналитики'!BN4480*CapacityAge25*'19_Расчет_аналитики'!$F$4259*'06_Сеть_и_дети'!BN5,0)</f>
        <v/>
      </c>
      <c r="BO4426">
        <f>IF('01_Вводные'!$B$234="Да",'19_Расчет_аналитики'!BO4480*CapacityAge25*'19_Расчет_аналитики'!$F$4259*'06_Сеть_и_дети'!BO5,0)</f>
        <v/>
      </c>
    </row>
    <row r="4427">
      <c r="B4427">
        <f>IF('01_Вводные'!$B$234="Да",SUM('19_Расчет_аналитики'!B4424:B4426),0)</f>
        <v/>
      </c>
      <c r="C4427">
        <f>IF('01_Вводные'!$B$234="Да",SUM('19_Расчет_аналитики'!C4424:C4426),0)</f>
        <v/>
      </c>
      <c r="D4427">
        <f>IF('01_Вводные'!$B$234="Да",SUM('19_Расчет_аналитики'!D4424:D4426),0)</f>
        <v/>
      </c>
      <c r="E4427">
        <f>IF('01_Вводные'!$B$234="Да",SUM('19_Расчет_аналитики'!E4424:E4426),0)</f>
        <v/>
      </c>
      <c r="F4427">
        <f>IF('01_Вводные'!$B$234="Да",SUM('19_Расчет_аналитики'!F4424:F4426),0)</f>
        <v/>
      </c>
      <c r="G4427">
        <f>IF('01_Вводные'!$B$234="Да",SUM('19_Расчет_аналитики'!G4424:G4426),0)</f>
        <v/>
      </c>
      <c r="H4427">
        <f>IF('01_Вводные'!$B$234="Да",SUM('19_Расчет_аналитики'!H4424:H4426),0)</f>
        <v/>
      </c>
      <c r="I4427">
        <f>IF('01_Вводные'!$B$234="Да",SUM('19_Расчет_аналитики'!I4424:I4426),0)</f>
        <v/>
      </c>
      <c r="J4427">
        <f>IF('01_Вводные'!$B$234="Да",SUM('19_Расчет_аналитики'!J4424:J4426),0)</f>
        <v/>
      </c>
      <c r="K4427">
        <f>IF('01_Вводные'!$B$234="Да",SUM('19_Расчет_аналитики'!K4424:K4426),0)</f>
        <v/>
      </c>
      <c r="L4427">
        <f>IF('01_Вводные'!$B$234="Да",SUM('19_Расчет_аналитики'!L4424:L4426),0)</f>
        <v/>
      </c>
      <c r="M4427">
        <f>IF('01_Вводные'!$B$234="Да",SUM('19_Расчет_аналитики'!M4424:M4426),0)</f>
        <v/>
      </c>
      <c r="N4427">
        <f>IF('01_Вводные'!$B$234="Да",SUM('19_Расчет_аналитики'!N4424:N4426),0)</f>
        <v/>
      </c>
      <c r="O4427">
        <f>IF('01_Вводные'!$B$234="Да",SUM('19_Расчет_аналитики'!O4424:O4426),0)</f>
        <v/>
      </c>
      <c r="P4427">
        <f>IF('01_Вводные'!$B$234="Да",SUM('19_Расчет_аналитики'!P4424:P4426),0)</f>
        <v/>
      </c>
      <c r="Q4427">
        <f>IF('01_Вводные'!$B$234="Да",SUM('19_Расчет_аналитики'!Q4424:Q4426),0)</f>
        <v/>
      </c>
      <c r="R4427">
        <f>IF('01_Вводные'!$B$234="Да",SUM('19_Расчет_аналитики'!R4424:R4426),0)</f>
        <v/>
      </c>
      <c r="S4427">
        <f>IF('01_Вводные'!$B$234="Да",SUM('19_Расчет_аналитики'!S4424:S4426),0)</f>
        <v/>
      </c>
      <c r="T4427">
        <f>IF('01_Вводные'!$B$234="Да",SUM('19_Расчет_аналитики'!T4424:T4426),0)</f>
        <v/>
      </c>
      <c r="U4427">
        <f>IF('01_Вводные'!$B$234="Да",SUM('19_Расчет_аналитики'!U4424:U4426),0)</f>
        <v/>
      </c>
      <c r="V4427">
        <f>IF('01_Вводные'!$B$234="Да",SUM('19_Расчет_аналитики'!V4424:V4426),0)</f>
        <v/>
      </c>
      <c r="W4427">
        <f>IF('01_Вводные'!$B$234="Да",SUM('19_Расчет_аналитики'!W4424:W4426),0)</f>
        <v/>
      </c>
      <c r="X4427">
        <f>IF('01_Вводные'!$B$234="Да",SUM('19_Расчет_аналитики'!X4424:X4426),0)</f>
        <v/>
      </c>
      <c r="Y4427">
        <f>IF('01_Вводные'!$B$234="Да",SUM('19_Расчет_аналитики'!Y4424:Y4426),0)</f>
        <v/>
      </c>
      <c r="Z4427">
        <f>IF('01_Вводные'!$B$234="Да",SUM('19_Расчет_аналитики'!Z4424:Z4426),0)</f>
        <v/>
      </c>
      <c r="AA4427">
        <f>IF('01_Вводные'!$B$234="Да",SUM('19_Расчет_аналитики'!AA4424:AA4426),0)</f>
        <v/>
      </c>
      <c r="AB4427">
        <f>IF('01_Вводные'!$B$234="Да",SUM('19_Расчет_аналитики'!AB4424:AB4426),0)</f>
        <v/>
      </c>
      <c r="AC4427">
        <f>IF('01_Вводные'!$B$234="Да",SUM('19_Расчет_аналитики'!AC4424:AC4426),0)</f>
        <v/>
      </c>
      <c r="AD4427">
        <f>IF('01_Вводные'!$B$234="Да",SUM('19_Расчет_аналитики'!AD4424:AD4426),0)</f>
        <v/>
      </c>
      <c r="AE4427">
        <f>IF('01_Вводные'!$B$234="Да",SUM('19_Расчет_аналитики'!AE4424:AE4426),0)</f>
        <v/>
      </c>
      <c r="AF4427">
        <f>IF('01_Вводные'!$B$234="Да",SUM('19_Расчет_аналитики'!AF4424:AF4426),0)</f>
        <v/>
      </c>
      <c r="AG4427">
        <f>IF('01_Вводные'!$B$234="Да",SUM('19_Расчет_аналитики'!AG4424:AG4426),0)</f>
        <v/>
      </c>
      <c r="AH4427">
        <f>IF('01_Вводные'!$B$234="Да",SUM('19_Расчет_аналитики'!AH4424:AH4426),0)</f>
        <v/>
      </c>
      <c r="AI4427">
        <f>IF('01_Вводные'!$B$234="Да",SUM('19_Расчет_аналитики'!AI4424:AI4426),0)</f>
        <v/>
      </c>
      <c r="AJ4427">
        <f>IF('01_Вводные'!$B$234="Да",SUM('19_Расчет_аналитики'!AJ4424:AJ4426),0)</f>
        <v/>
      </c>
      <c r="AK4427">
        <f>IF('01_Вводные'!$B$234="Да",SUM('19_Расчет_аналитики'!AK4424:AK4426),0)</f>
        <v/>
      </c>
      <c r="AL4427">
        <f>IF('01_Вводные'!$B$234="Да",SUM('19_Расчет_аналитики'!AL4424:AL4426),0)</f>
        <v/>
      </c>
      <c r="AM4427">
        <f>IF('01_Вводные'!$B$234="Да",SUM('19_Расчет_аналитики'!AM4424:AM4426),0)</f>
        <v/>
      </c>
      <c r="AN4427">
        <f>IF('01_Вводные'!$B$234="Да",SUM('19_Расчет_аналитики'!AN4424:AN4426),0)</f>
        <v/>
      </c>
      <c r="AO4427">
        <f>IF('01_Вводные'!$B$234="Да",SUM('19_Расчет_аналитики'!AO4424:AO4426),0)</f>
        <v/>
      </c>
      <c r="AP4427">
        <f>IF('01_Вводные'!$B$234="Да",SUM('19_Расчет_аналитики'!AP4424:AP4426),0)</f>
        <v/>
      </c>
      <c r="AQ4427">
        <f>IF('01_Вводные'!$B$234="Да",SUM('19_Расчет_аналитики'!AQ4424:AQ4426),0)</f>
        <v/>
      </c>
      <c r="AR4427">
        <f>IF('01_Вводные'!$B$234="Да",SUM('19_Расчет_аналитики'!AR4424:AR4426),0)</f>
        <v/>
      </c>
      <c r="AS4427">
        <f>IF('01_Вводные'!$B$234="Да",SUM('19_Расчет_аналитики'!AS4424:AS4426),0)</f>
        <v/>
      </c>
      <c r="AT4427">
        <f>IF('01_Вводные'!$B$234="Да",SUM('19_Расчет_аналитики'!AT4424:AT4426),0)</f>
        <v/>
      </c>
      <c r="AU4427">
        <f>IF('01_Вводные'!$B$234="Да",SUM('19_Расчет_аналитики'!AU4424:AU4426),0)</f>
        <v/>
      </c>
      <c r="AV4427">
        <f>IF('01_Вводные'!$B$234="Да",SUM('19_Расчет_аналитики'!AV4424:AV4426),0)</f>
        <v/>
      </c>
      <c r="AW4427">
        <f>IF('01_Вводные'!$B$234="Да",SUM('19_Расчет_аналитики'!AW4424:AW4426),0)</f>
        <v/>
      </c>
      <c r="AX4427">
        <f>IF('01_Вводные'!$B$234="Да",SUM('19_Расчет_аналитики'!AX4424:AX4426),0)</f>
        <v/>
      </c>
      <c r="AY4427">
        <f>IF('01_Вводные'!$B$234="Да",SUM('19_Расчет_аналитики'!AY4424:AY4426),0)</f>
        <v/>
      </c>
      <c r="AZ4427">
        <f>IF('01_Вводные'!$B$234="Да",SUM('19_Расчет_аналитики'!AZ4424:AZ4426),0)</f>
        <v/>
      </c>
      <c r="BA4427">
        <f>IF('01_Вводные'!$B$234="Да",SUM('19_Расчет_аналитики'!BA4424:BA4426),0)</f>
        <v/>
      </c>
      <c r="BB4427">
        <f>IF('01_Вводные'!$B$234="Да",SUM('19_Расчет_аналитики'!BB4424:BB4426),0)</f>
        <v/>
      </c>
      <c r="BC4427">
        <f>IF('01_Вводные'!$B$234="Да",SUM('19_Расчет_аналитики'!BC4424:BC4426),0)</f>
        <v/>
      </c>
      <c r="BD4427">
        <f>IF('01_Вводные'!$B$234="Да",SUM('19_Расчет_аналитики'!BD4424:BD4426),0)</f>
        <v/>
      </c>
      <c r="BE4427">
        <f>IF('01_Вводные'!$B$234="Да",SUM('19_Расчет_аналитики'!BE4424:BE4426),0)</f>
        <v/>
      </c>
      <c r="BF4427">
        <f>IF('01_Вводные'!$B$234="Да",SUM('19_Расчет_аналитики'!BF4424:BF4426),0)</f>
        <v/>
      </c>
      <c r="BG4427">
        <f>IF('01_Вводные'!$B$234="Да",SUM('19_Расчет_аналитики'!BG4424:BG4426),0)</f>
        <v/>
      </c>
      <c r="BH4427">
        <f>IF('01_Вводные'!$B$234="Да",SUM('19_Расчет_аналитики'!BH4424:BH4426),0)</f>
        <v/>
      </c>
      <c r="BI4427">
        <f>IF('01_Вводные'!$B$234="Да",SUM('19_Расчет_аналитики'!BI4424:BI4426),0)</f>
        <v/>
      </c>
      <c r="BJ4427">
        <f>IF('01_Вводные'!$B$234="Да",SUM('19_Расчет_аналитики'!BJ4424:BJ4426),0)</f>
        <v/>
      </c>
      <c r="BK4427">
        <f>IF('01_Вводные'!$B$234="Да",SUM('19_Расчет_аналитики'!BK4424:BK4426),0)</f>
        <v/>
      </c>
      <c r="BL4427">
        <f>IF('01_Вводные'!$B$234="Да",SUM('19_Расчет_аналитики'!BL4424:BL4426),0)</f>
        <v/>
      </c>
      <c r="BM4427">
        <f>IF('01_Вводные'!$B$234="Да",SUM('19_Расчет_аналитики'!BM4424:BM4426),0)</f>
        <v/>
      </c>
      <c r="BN4427">
        <f>IF('01_Вводные'!$B$234="Да",SUM('19_Расчет_аналитики'!BN4424:BN4426),0)</f>
        <v/>
      </c>
      <c r="BO4427">
        <f>IF('01_Вводные'!$B$234="Да",SUM('19_Расчет_аналитики'!BO4424:BO4426),0)</f>
        <v/>
      </c>
    </row>
    <row r="4428">
      <c r="B4428">
        <f>IF('01_Вводные'!$B$234="Да",'06_Сеть_и_дети'!B20+'19_Расчет_аналитики'!B4427,0)</f>
        <v/>
      </c>
      <c r="C4428">
        <f>IF('01_Вводные'!$B$234="Да",'06_Сеть_и_дети'!C20+'19_Расчет_аналитики'!C4427,0)</f>
        <v/>
      </c>
      <c r="D4428">
        <f>IF('01_Вводные'!$B$234="Да",'06_Сеть_и_дети'!D20+'19_Расчет_аналитики'!D4427,0)</f>
        <v/>
      </c>
      <c r="E4428">
        <f>IF('01_Вводные'!$B$234="Да",'06_Сеть_и_дети'!E20+'19_Расчет_аналитики'!E4427,0)</f>
        <v/>
      </c>
      <c r="F4428">
        <f>IF('01_Вводные'!$B$234="Да",'06_Сеть_и_дети'!F20+'19_Расчет_аналитики'!F4427,0)</f>
        <v/>
      </c>
      <c r="G4428">
        <f>IF('01_Вводные'!$B$234="Да",'06_Сеть_и_дети'!G20+'19_Расчет_аналитики'!G4427,0)</f>
        <v/>
      </c>
      <c r="H4428">
        <f>IF('01_Вводные'!$B$234="Да",'06_Сеть_и_дети'!H20+'19_Расчет_аналитики'!H4427,0)</f>
        <v/>
      </c>
      <c r="I4428">
        <f>IF('01_Вводные'!$B$234="Да",'06_Сеть_и_дети'!I20+'19_Расчет_аналитики'!I4427,0)</f>
        <v/>
      </c>
      <c r="J4428">
        <f>IF('01_Вводные'!$B$234="Да",'06_Сеть_и_дети'!J20+'19_Расчет_аналитики'!J4427,0)</f>
        <v/>
      </c>
      <c r="K4428">
        <f>IF('01_Вводные'!$B$234="Да",'06_Сеть_и_дети'!K20+'19_Расчет_аналитики'!K4427,0)</f>
        <v/>
      </c>
      <c r="L4428">
        <f>IF('01_Вводные'!$B$234="Да",'06_Сеть_и_дети'!L20+'19_Расчет_аналитики'!L4427,0)</f>
        <v/>
      </c>
      <c r="M4428">
        <f>IF('01_Вводные'!$B$234="Да",'06_Сеть_и_дети'!M20+'19_Расчет_аналитики'!M4427,0)</f>
        <v/>
      </c>
      <c r="N4428">
        <f>IF('01_Вводные'!$B$234="Да",'06_Сеть_и_дети'!N20+'19_Расчет_аналитики'!N4427,0)</f>
        <v/>
      </c>
      <c r="O4428">
        <f>IF('01_Вводные'!$B$234="Да",'06_Сеть_и_дети'!O20+'19_Расчет_аналитики'!O4427,0)</f>
        <v/>
      </c>
      <c r="P4428">
        <f>IF('01_Вводные'!$B$234="Да",'06_Сеть_и_дети'!P20+'19_Расчет_аналитики'!P4427,0)</f>
        <v/>
      </c>
      <c r="Q4428">
        <f>IF('01_Вводные'!$B$234="Да",'06_Сеть_и_дети'!Q20+'19_Расчет_аналитики'!Q4427,0)</f>
        <v/>
      </c>
      <c r="R4428">
        <f>IF('01_Вводные'!$B$234="Да",'06_Сеть_и_дети'!R20+'19_Расчет_аналитики'!R4427,0)</f>
        <v/>
      </c>
      <c r="S4428">
        <f>IF('01_Вводные'!$B$234="Да",'06_Сеть_и_дети'!S20+'19_Расчет_аналитики'!S4427,0)</f>
        <v/>
      </c>
      <c r="T4428">
        <f>IF('01_Вводные'!$B$234="Да",'06_Сеть_и_дети'!T20+'19_Расчет_аналитики'!T4427,0)</f>
        <v/>
      </c>
      <c r="U4428">
        <f>IF('01_Вводные'!$B$234="Да",'06_Сеть_и_дети'!U20+'19_Расчет_аналитики'!U4427,0)</f>
        <v/>
      </c>
      <c r="V4428">
        <f>IF('01_Вводные'!$B$234="Да",'06_Сеть_и_дети'!V20+'19_Расчет_аналитики'!V4427,0)</f>
        <v/>
      </c>
      <c r="W4428">
        <f>IF('01_Вводные'!$B$234="Да",'06_Сеть_и_дети'!W20+'19_Расчет_аналитики'!W4427,0)</f>
        <v/>
      </c>
      <c r="X4428">
        <f>IF('01_Вводные'!$B$234="Да",'06_Сеть_и_дети'!X20+'19_Расчет_аналитики'!X4427,0)</f>
        <v/>
      </c>
      <c r="Y4428">
        <f>IF('01_Вводные'!$B$234="Да",'06_Сеть_и_дети'!Y20+'19_Расчет_аналитики'!Y4427,0)</f>
        <v/>
      </c>
      <c r="Z4428">
        <f>IF('01_Вводные'!$B$234="Да",'06_Сеть_и_дети'!Z20+'19_Расчет_аналитики'!Z4427,0)</f>
        <v/>
      </c>
      <c r="AA4428">
        <f>IF('01_Вводные'!$B$234="Да",'06_Сеть_и_дети'!AA20+'19_Расчет_аналитики'!AA4427,0)</f>
        <v/>
      </c>
      <c r="AB4428">
        <f>IF('01_Вводные'!$B$234="Да",'06_Сеть_и_дети'!AB20+'19_Расчет_аналитики'!AB4427,0)</f>
        <v/>
      </c>
      <c r="AC4428">
        <f>IF('01_Вводные'!$B$234="Да",'06_Сеть_и_дети'!AC20+'19_Расчет_аналитики'!AC4427,0)</f>
        <v/>
      </c>
      <c r="AD4428">
        <f>IF('01_Вводные'!$B$234="Да",'06_Сеть_и_дети'!AD20+'19_Расчет_аналитики'!AD4427,0)</f>
        <v/>
      </c>
      <c r="AE4428">
        <f>IF('01_Вводные'!$B$234="Да",'06_Сеть_и_дети'!AE20+'19_Расчет_аналитики'!AE4427,0)</f>
        <v/>
      </c>
      <c r="AF4428">
        <f>IF('01_Вводные'!$B$234="Да",'06_Сеть_и_дети'!AF20+'19_Расчет_аналитики'!AF4427,0)</f>
        <v/>
      </c>
      <c r="AG4428">
        <f>IF('01_Вводные'!$B$234="Да",'06_Сеть_и_дети'!AG20+'19_Расчет_аналитики'!AG4427,0)</f>
        <v/>
      </c>
      <c r="AH4428">
        <f>IF('01_Вводные'!$B$234="Да",'06_Сеть_и_дети'!AH20+'19_Расчет_аналитики'!AH4427,0)</f>
        <v/>
      </c>
      <c r="AI4428">
        <f>IF('01_Вводные'!$B$234="Да",'06_Сеть_и_дети'!AI20+'19_Расчет_аналитики'!AI4427,0)</f>
        <v/>
      </c>
      <c r="AJ4428">
        <f>IF('01_Вводные'!$B$234="Да",'06_Сеть_и_дети'!AJ20+'19_Расчет_аналитики'!AJ4427,0)</f>
        <v/>
      </c>
      <c r="AK4428">
        <f>IF('01_Вводные'!$B$234="Да",'06_Сеть_и_дети'!AK20+'19_Расчет_аналитики'!AK4427,0)</f>
        <v/>
      </c>
      <c r="AL4428">
        <f>IF('01_Вводные'!$B$234="Да",'06_Сеть_и_дети'!AL20+'19_Расчет_аналитики'!AL4427,0)</f>
        <v/>
      </c>
      <c r="AM4428">
        <f>IF('01_Вводные'!$B$234="Да",'06_Сеть_и_дети'!AM20+'19_Расчет_аналитики'!AM4427,0)</f>
        <v/>
      </c>
      <c r="AN4428">
        <f>IF('01_Вводные'!$B$234="Да",'06_Сеть_и_дети'!AN20+'19_Расчет_аналитики'!AN4427,0)</f>
        <v/>
      </c>
      <c r="AO4428">
        <f>IF('01_Вводные'!$B$234="Да",'06_Сеть_и_дети'!AO20+'19_Расчет_аналитики'!AO4427,0)</f>
        <v/>
      </c>
      <c r="AP4428">
        <f>IF('01_Вводные'!$B$234="Да",'06_Сеть_и_дети'!AP20+'19_Расчет_аналитики'!AP4427,0)</f>
        <v/>
      </c>
      <c r="AQ4428">
        <f>IF('01_Вводные'!$B$234="Да",'06_Сеть_и_дети'!AQ20+'19_Расчет_аналитики'!AQ4427,0)</f>
        <v/>
      </c>
      <c r="AR4428">
        <f>IF('01_Вводные'!$B$234="Да",'06_Сеть_и_дети'!AR20+'19_Расчет_аналитики'!AR4427,0)</f>
        <v/>
      </c>
      <c r="AS4428">
        <f>IF('01_Вводные'!$B$234="Да",'06_Сеть_и_дети'!AS20+'19_Расчет_аналитики'!AS4427,0)</f>
        <v/>
      </c>
      <c r="AT4428">
        <f>IF('01_Вводные'!$B$234="Да",'06_Сеть_и_дети'!AT20+'19_Расчет_аналитики'!AT4427,0)</f>
        <v/>
      </c>
      <c r="AU4428">
        <f>IF('01_Вводные'!$B$234="Да",'06_Сеть_и_дети'!AU20+'19_Расчет_аналитики'!AU4427,0)</f>
        <v/>
      </c>
      <c r="AV4428">
        <f>IF('01_Вводные'!$B$234="Да",'06_Сеть_и_дети'!AV20+'19_Расчет_аналитики'!AV4427,0)</f>
        <v/>
      </c>
      <c r="AW4428">
        <f>IF('01_Вводные'!$B$234="Да",'06_Сеть_и_дети'!AW20+'19_Расчет_аналитики'!AW4427,0)</f>
        <v/>
      </c>
      <c r="AX4428">
        <f>IF('01_Вводные'!$B$234="Да",'06_Сеть_и_дети'!AX20+'19_Расчет_аналитики'!AX4427,0)</f>
        <v/>
      </c>
      <c r="AY4428">
        <f>IF('01_Вводные'!$B$234="Да",'06_Сеть_и_дети'!AY20+'19_Расчет_аналитики'!AY4427,0)</f>
        <v/>
      </c>
      <c r="AZ4428">
        <f>IF('01_Вводные'!$B$234="Да",'06_Сеть_и_дети'!AZ20+'19_Расчет_аналитики'!AZ4427,0)</f>
        <v/>
      </c>
      <c r="BA4428">
        <f>IF('01_Вводные'!$B$234="Да",'06_Сеть_и_дети'!BA20+'19_Расчет_аналитики'!BA4427,0)</f>
        <v/>
      </c>
      <c r="BB4428">
        <f>IF('01_Вводные'!$B$234="Да",'06_Сеть_и_дети'!BB20+'19_Расчет_аналитики'!BB4427,0)</f>
        <v/>
      </c>
      <c r="BC4428">
        <f>IF('01_Вводные'!$B$234="Да",'06_Сеть_и_дети'!BC20+'19_Расчет_аналитики'!BC4427,0)</f>
        <v/>
      </c>
      <c r="BD4428">
        <f>IF('01_Вводные'!$B$234="Да",'06_Сеть_и_дети'!BD20+'19_Расчет_аналитики'!BD4427,0)</f>
        <v/>
      </c>
      <c r="BE4428">
        <f>IF('01_Вводные'!$B$234="Да",'06_Сеть_и_дети'!BE20+'19_Расчет_аналитики'!BE4427,0)</f>
        <v/>
      </c>
      <c r="BF4428">
        <f>IF('01_Вводные'!$B$234="Да",'06_Сеть_и_дети'!BF20+'19_Расчет_аналитики'!BF4427,0)</f>
        <v/>
      </c>
      <c r="BG4428">
        <f>IF('01_Вводные'!$B$234="Да",'06_Сеть_и_дети'!BG20+'19_Расчет_аналитики'!BG4427,0)</f>
        <v/>
      </c>
      <c r="BH4428">
        <f>IF('01_Вводные'!$B$234="Да",'06_Сеть_и_дети'!BH20+'19_Расчет_аналитики'!BH4427,0)</f>
        <v/>
      </c>
      <c r="BI4428">
        <f>IF('01_Вводные'!$B$234="Да",'06_Сеть_и_дети'!BI20+'19_Расчет_аналитики'!BI4427,0)</f>
        <v/>
      </c>
      <c r="BJ4428">
        <f>IF('01_Вводные'!$B$234="Да",'06_Сеть_и_дети'!BJ20+'19_Расчет_аналитики'!BJ4427,0)</f>
        <v/>
      </c>
      <c r="BK4428">
        <f>IF('01_Вводные'!$B$234="Да",'06_Сеть_и_дети'!BK20+'19_Расчет_аналитики'!BK4427,0)</f>
        <v/>
      </c>
      <c r="BL4428">
        <f>IF('01_Вводные'!$B$234="Да",'06_Сеть_и_дети'!BL20+'19_Расчет_аналитики'!BL4427,0)</f>
        <v/>
      </c>
      <c r="BM4428">
        <f>IF('01_Вводные'!$B$234="Да",'06_Сеть_и_дети'!BM20+'19_Расчет_аналитики'!BM4427,0)</f>
        <v/>
      </c>
      <c r="BN4428">
        <f>IF('01_Вводные'!$B$234="Да",'06_Сеть_и_дети'!BN20+'19_Расчет_аналитики'!BN4427,0)</f>
        <v/>
      </c>
      <c r="BO4428">
        <f>IF('01_Вводные'!$B$234="Да",'06_Сеть_и_дети'!BO20+'19_Расчет_аналитики'!BO4427,0)</f>
        <v/>
      </c>
    </row>
    <row r="4429"/>
    <row r="4430"/>
    <row r="4431">
      <c r="B4431">
        <f>IF('01_Вводные'!$B$234="Да",SUMPRODUCT(('01_Вводные'!$D$314:$D$318*'01_Вводные'!$B$314:$B$318*IF('01_Вводные'!$B$9=0,0,'06_Сеть_и_дети'!B11/'01_Вводные'!$B$9)+'06_Сеть_и_дети'!B20*'19_Расчет_аналитики'!B4854*'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4854*'01_Вводные'!$C$314:$C$318*('01_Вводные'!$E$314:$E$318*('06_Сеть_и_дети'!B$3&lt;'01_Вводные'!$B$245)+'01_Вводные'!$B$57*('06_Сеть_и_дети'!B$3&gt;='01_Вводные'!$B$245))))/2),0)</f>
        <v/>
      </c>
      <c r="C4431">
        <f>IF('01_Вводные'!$B$234="Да",SUMPRODUCT(('01_Вводные'!$D$314:$D$318*'01_Вводные'!$B$314:$B$318*IF('01_Вводные'!$B$9=0,0,'06_Сеть_и_дети'!C11/'01_Вводные'!$B$9)+'06_Сеть_и_дети'!C20*'19_Расчет_аналитики'!C4854*'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4854*'01_Вводные'!$C$314:$C$318*('01_Вводные'!$E$314:$E$318*('06_Сеть_и_дети'!C$3&lt;'01_Вводные'!$B$245)+'01_Вводные'!$B$57*('06_Сеть_и_дети'!C$3&gt;='01_Вводные'!$B$245))))/2),0)</f>
        <v/>
      </c>
      <c r="D4431">
        <f>IF('01_Вводные'!$B$234="Да",SUMPRODUCT(('01_Вводные'!$D$314:$D$318*'01_Вводные'!$B$314:$B$318*IF('01_Вводные'!$B$9=0,0,'06_Сеть_и_дети'!D11/'01_Вводные'!$B$9)+'06_Сеть_и_дети'!D20*'19_Расчет_аналитики'!D4854*'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4854*'01_Вводные'!$C$314:$C$318*('01_Вводные'!$E$314:$E$318*('06_Сеть_и_дети'!D$3&lt;'01_Вводные'!$B$245)+'01_Вводные'!$B$57*('06_Сеть_и_дети'!D$3&gt;='01_Вводные'!$B$245))))/2),0)</f>
        <v/>
      </c>
      <c r="E4431">
        <f>IF('01_Вводные'!$B$234="Да",SUMPRODUCT(('01_Вводные'!$D$314:$D$318*'01_Вводные'!$B$314:$B$318*IF('01_Вводные'!$B$9=0,0,'06_Сеть_и_дети'!E11/'01_Вводные'!$B$9)+'06_Сеть_и_дети'!E20*'19_Расчет_аналитики'!E4854*'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4854*'01_Вводные'!$C$314:$C$318*('01_Вводные'!$E$314:$E$318*('06_Сеть_и_дети'!E$3&lt;'01_Вводные'!$B$245)+'01_Вводные'!$B$57*('06_Сеть_и_дети'!E$3&gt;='01_Вводные'!$B$245))))/2),0)</f>
        <v/>
      </c>
      <c r="F4431">
        <f>IF('01_Вводные'!$B$234="Да",SUMPRODUCT(('01_Вводные'!$D$314:$D$318*'01_Вводные'!$B$314:$B$318*IF('01_Вводные'!$B$9=0,0,'06_Сеть_и_дети'!F11/'01_Вводные'!$B$9)+'06_Сеть_и_дети'!F20*'19_Расчет_аналитики'!F4854*'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4854*'01_Вводные'!$C$314:$C$318*('01_Вводные'!$E$314:$E$318*('06_Сеть_и_дети'!F$3&lt;'01_Вводные'!$B$245)+'01_Вводные'!$B$57*('06_Сеть_и_дети'!F$3&gt;='01_Вводные'!$B$245))))/2),0)</f>
        <v/>
      </c>
      <c r="G4431">
        <f>IF('01_Вводные'!$B$234="Да",SUMPRODUCT(('01_Вводные'!$D$314:$D$318*'01_Вводные'!$B$314:$B$318*IF('01_Вводные'!$B$9=0,0,'06_Сеть_и_дети'!G11/'01_Вводные'!$B$9)+'06_Сеть_и_дети'!G20*'19_Расчет_аналитики'!G4854*'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4854*'01_Вводные'!$C$314:$C$318*('01_Вводные'!$E$314:$E$318*('06_Сеть_и_дети'!G$3&lt;'01_Вводные'!$B$245)+'01_Вводные'!$B$57*('06_Сеть_и_дети'!G$3&gt;='01_Вводные'!$B$245))))/2),0)</f>
        <v/>
      </c>
      <c r="H4431">
        <f>IF('01_Вводные'!$B$234="Да",SUMPRODUCT(('01_Вводные'!$D$314:$D$318*'01_Вводные'!$B$314:$B$318*IF('01_Вводные'!$B$9=0,0,'06_Сеть_и_дети'!H11/'01_Вводные'!$B$9)+'06_Сеть_и_дети'!H20*'19_Расчет_аналитики'!H4854*'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4854*'01_Вводные'!$C$314:$C$318*('01_Вводные'!$E$314:$E$318*('06_Сеть_и_дети'!H$3&lt;'01_Вводные'!$B$245)+'01_Вводные'!$B$57*('06_Сеть_и_дети'!H$3&gt;='01_Вводные'!$B$245))))/2),0)</f>
        <v/>
      </c>
      <c r="I4431">
        <f>IF('01_Вводные'!$B$234="Да",SUMPRODUCT(('01_Вводные'!$D$314:$D$318*'01_Вводные'!$B$314:$B$318*IF('01_Вводные'!$B$9=0,0,'06_Сеть_и_дети'!I11/'01_Вводные'!$B$9)+'06_Сеть_и_дети'!I20*'19_Расчет_аналитики'!I4854*'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4854*'01_Вводные'!$C$314:$C$318*('01_Вводные'!$E$314:$E$318*('06_Сеть_и_дети'!I$3&lt;'01_Вводные'!$B$245)+'01_Вводные'!$B$57*('06_Сеть_и_дети'!I$3&gt;='01_Вводные'!$B$245))))/2),0)</f>
        <v/>
      </c>
      <c r="J4431">
        <f>IF('01_Вводные'!$B$234="Да",SUMPRODUCT(('01_Вводные'!$D$314:$D$318*'01_Вводные'!$B$314:$B$318*IF('01_Вводные'!$B$9=0,0,'06_Сеть_и_дети'!J11/'01_Вводные'!$B$9)+'06_Сеть_и_дети'!J20*'19_Расчет_аналитики'!J4854*'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4854*'01_Вводные'!$C$314:$C$318*('01_Вводные'!$E$314:$E$318*('06_Сеть_и_дети'!J$3&lt;'01_Вводные'!$B$245)+'01_Вводные'!$B$57*('06_Сеть_и_дети'!J$3&gt;='01_Вводные'!$B$245))))/2),0)</f>
        <v/>
      </c>
      <c r="K4431">
        <f>IF('01_Вводные'!$B$234="Да",SUMPRODUCT(('01_Вводные'!$D$314:$D$318*'01_Вводные'!$B$314:$B$318*IF('01_Вводные'!$B$9=0,0,'06_Сеть_и_дети'!K11/'01_Вводные'!$B$9)+'06_Сеть_и_дети'!K20*'19_Расчет_аналитики'!K4854*'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4854*'01_Вводные'!$C$314:$C$318*('01_Вводные'!$E$314:$E$318*('06_Сеть_и_дети'!K$3&lt;'01_Вводные'!$B$245)+'01_Вводные'!$B$57*('06_Сеть_и_дети'!K$3&gt;='01_Вводные'!$B$245))))/2),0)</f>
        <v/>
      </c>
      <c r="L4431">
        <f>IF('01_Вводные'!$B$234="Да",SUMPRODUCT(('01_Вводные'!$D$314:$D$318*'01_Вводные'!$B$314:$B$318*IF('01_Вводные'!$B$9=0,0,'06_Сеть_и_дети'!L11/'01_Вводные'!$B$9)+'06_Сеть_и_дети'!L20*'19_Расчет_аналитики'!L4854*'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4854*'01_Вводные'!$C$314:$C$318*('01_Вводные'!$E$314:$E$318*('06_Сеть_и_дети'!L$3&lt;'01_Вводные'!$B$245)+'01_Вводные'!$B$57*('06_Сеть_и_дети'!L$3&gt;='01_Вводные'!$B$245))))/2),0)</f>
        <v/>
      </c>
      <c r="M4431">
        <f>IF('01_Вводные'!$B$234="Да",SUMPRODUCT(('01_Вводные'!$D$314:$D$318*'01_Вводные'!$B$314:$B$318*IF('01_Вводные'!$B$9=0,0,'06_Сеть_и_дети'!M11/'01_Вводные'!$B$9)+'06_Сеть_и_дети'!M20*'19_Расчет_аналитики'!M4854*'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4854*'01_Вводные'!$C$314:$C$318*('01_Вводные'!$E$314:$E$318*('06_Сеть_и_дети'!M$3&lt;'01_Вводные'!$B$245)+'01_Вводные'!$B$57*('06_Сеть_и_дети'!M$3&gt;='01_Вводные'!$B$245))))/2),0)</f>
        <v/>
      </c>
      <c r="N4431">
        <f>IF('01_Вводные'!$B$234="Да",SUMPRODUCT(('01_Вводные'!$D$314:$D$318*'01_Вводные'!$B$314:$B$318*IF('01_Вводные'!$B$9=0,0,'06_Сеть_и_дети'!N11/'01_Вводные'!$B$9)+'06_Сеть_и_дети'!N20*'19_Расчет_аналитики'!N4854*'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4854*'01_Вводные'!$C$314:$C$318*('01_Вводные'!$E$314:$E$318*('06_Сеть_и_дети'!N$3&lt;'01_Вводные'!$B$245)+'01_Вводные'!$B$57*('06_Сеть_и_дети'!N$3&gt;='01_Вводные'!$B$245))))/2),0)</f>
        <v/>
      </c>
      <c r="O4431">
        <f>IF('01_Вводные'!$B$234="Да",SUMPRODUCT(('01_Вводные'!$D$314:$D$318*'01_Вводные'!$B$314:$B$318*IF('01_Вводные'!$B$9=0,0,'06_Сеть_и_дети'!O11/'01_Вводные'!$B$9)+'06_Сеть_и_дети'!O20*'19_Расчет_аналитики'!O4854*'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4854*'01_Вводные'!$C$314:$C$318*('01_Вводные'!$E$314:$E$318*('06_Сеть_и_дети'!O$3&lt;'01_Вводные'!$B$245)+'01_Вводные'!$B$57*('06_Сеть_и_дети'!O$3&gt;='01_Вводные'!$B$245))))/2),0)</f>
        <v/>
      </c>
      <c r="P4431">
        <f>IF('01_Вводные'!$B$234="Да",SUMPRODUCT(('01_Вводные'!$D$314:$D$318*'01_Вводные'!$B$314:$B$318*IF('01_Вводные'!$B$9=0,0,'06_Сеть_и_дети'!P11/'01_Вводные'!$B$9)+'06_Сеть_и_дети'!P20*'19_Расчет_аналитики'!P4854*'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4854*'01_Вводные'!$C$314:$C$318*('01_Вводные'!$E$314:$E$318*('06_Сеть_и_дети'!P$3&lt;'01_Вводные'!$B$245)+'01_Вводные'!$B$57*('06_Сеть_и_дети'!P$3&gt;='01_Вводные'!$B$245))))/2),0)</f>
        <v/>
      </c>
      <c r="Q4431">
        <f>IF('01_Вводные'!$B$234="Да",SUMPRODUCT(('01_Вводные'!$D$314:$D$318*'01_Вводные'!$B$314:$B$318*IF('01_Вводные'!$B$9=0,0,'06_Сеть_и_дети'!Q11/'01_Вводные'!$B$9)+'06_Сеть_и_дети'!Q20*'19_Расчет_аналитики'!Q4854*'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4854*'01_Вводные'!$C$314:$C$318*('01_Вводные'!$E$314:$E$318*('06_Сеть_и_дети'!Q$3&lt;'01_Вводные'!$B$245)+'01_Вводные'!$B$57*('06_Сеть_и_дети'!Q$3&gt;='01_Вводные'!$B$245))))/2),0)</f>
        <v/>
      </c>
      <c r="R4431">
        <f>IF('01_Вводные'!$B$234="Да",SUMPRODUCT(('01_Вводные'!$D$314:$D$318*'01_Вводные'!$B$314:$B$318*IF('01_Вводные'!$B$9=0,0,'06_Сеть_и_дети'!R11/'01_Вводные'!$B$9)+'06_Сеть_и_дети'!R20*'19_Расчет_аналитики'!R4854*'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4854*'01_Вводные'!$C$314:$C$318*('01_Вводные'!$E$314:$E$318*('06_Сеть_и_дети'!R$3&lt;'01_Вводные'!$B$245)+'01_Вводные'!$B$57*('06_Сеть_и_дети'!R$3&gt;='01_Вводные'!$B$245))))/2),0)</f>
        <v/>
      </c>
      <c r="S4431">
        <f>IF('01_Вводные'!$B$234="Да",SUMPRODUCT(('01_Вводные'!$D$314:$D$318*'01_Вводные'!$B$314:$B$318*IF('01_Вводные'!$B$9=0,0,'06_Сеть_и_дети'!S11/'01_Вводные'!$B$9)+'06_Сеть_и_дети'!S20*'19_Расчет_аналитики'!S4854*'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4854*'01_Вводные'!$C$314:$C$318*('01_Вводные'!$E$314:$E$318*('06_Сеть_и_дети'!S$3&lt;'01_Вводные'!$B$245)+'01_Вводные'!$B$57*('06_Сеть_и_дети'!S$3&gt;='01_Вводные'!$B$245))))/2),0)</f>
        <v/>
      </c>
      <c r="T4431">
        <f>IF('01_Вводные'!$B$234="Да",SUMPRODUCT(('01_Вводные'!$D$314:$D$318*'01_Вводные'!$B$314:$B$318*IF('01_Вводные'!$B$9=0,0,'06_Сеть_и_дети'!T11/'01_Вводные'!$B$9)+'06_Сеть_и_дети'!T20*'19_Расчет_аналитики'!T4854*'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4854*'01_Вводные'!$C$314:$C$318*('01_Вводные'!$E$314:$E$318*('06_Сеть_и_дети'!T$3&lt;'01_Вводные'!$B$245)+'01_Вводные'!$B$57*('06_Сеть_и_дети'!T$3&gt;='01_Вводные'!$B$245))))/2),0)</f>
        <v/>
      </c>
      <c r="U4431">
        <f>IF('01_Вводные'!$B$234="Да",SUMPRODUCT(('01_Вводные'!$D$314:$D$318*'01_Вводные'!$B$314:$B$318*IF('01_Вводные'!$B$9=0,0,'06_Сеть_и_дети'!U11/'01_Вводные'!$B$9)+'06_Сеть_и_дети'!U20*'19_Расчет_аналитики'!U4854*'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4854*'01_Вводные'!$C$314:$C$318*('01_Вводные'!$E$314:$E$318*('06_Сеть_и_дети'!U$3&lt;'01_Вводные'!$B$245)+'01_Вводные'!$B$57*('06_Сеть_и_дети'!U$3&gt;='01_Вводные'!$B$245))))/2),0)</f>
        <v/>
      </c>
      <c r="V4431">
        <f>IF('01_Вводные'!$B$234="Да",SUMPRODUCT(('01_Вводные'!$D$314:$D$318*'01_Вводные'!$B$314:$B$318*IF('01_Вводные'!$B$9=0,0,'06_Сеть_и_дети'!V11/'01_Вводные'!$B$9)+'06_Сеть_и_дети'!V20*'19_Расчет_аналитики'!V4854*'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4854*'01_Вводные'!$C$314:$C$318*('01_Вводные'!$E$314:$E$318*('06_Сеть_и_дети'!V$3&lt;'01_Вводные'!$B$245)+'01_Вводные'!$B$57*('06_Сеть_и_дети'!V$3&gt;='01_Вводные'!$B$245))))/2),0)</f>
        <v/>
      </c>
      <c r="W4431">
        <f>IF('01_Вводные'!$B$234="Да",SUMPRODUCT(('01_Вводные'!$D$314:$D$318*'01_Вводные'!$B$314:$B$318*IF('01_Вводные'!$B$9=0,0,'06_Сеть_и_дети'!W11/'01_Вводные'!$B$9)+'06_Сеть_и_дети'!W20*'19_Расчет_аналитики'!W4854*'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4854*'01_Вводные'!$C$314:$C$318*('01_Вводные'!$E$314:$E$318*('06_Сеть_и_дети'!W$3&lt;'01_Вводные'!$B$245)+'01_Вводные'!$B$57*('06_Сеть_и_дети'!W$3&gt;='01_Вводные'!$B$245))))/2),0)</f>
        <v/>
      </c>
      <c r="X4431">
        <f>IF('01_Вводные'!$B$234="Да",SUMPRODUCT(('01_Вводные'!$D$314:$D$318*'01_Вводные'!$B$314:$B$318*IF('01_Вводные'!$B$9=0,0,'06_Сеть_и_дети'!X11/'01_Вводные'!$B$9)+'06_Сеть_и_дети'!X20*'19_Расчет_аналитики'!X4854*'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4854*'01_Вводные'!$C$314:$C$318*('01_Вводные'!$E$314:$E$318*('06_Сеть_и_дети'!X$3&lt;'01_Вводные'!$B$245)+'01_Вводные'!$B$57*('06_Сеть_и_дети'!X$3&gt;='01_Вводные'!$B$245))))/2),0)</f>
        <v/>
      </c>
      <c r="Y4431">
        <f>IF('01_Вводные'!$B$234="Да",SUMPRODUCT(('01_Вводные'!$D$314:$D$318*'01_Вводные'!$B$314:$B$318*IF('01_Вводные'!$B$9=0,0,'06_Сеть_и_дети'!Y11/'01_Вводные'!$B$9)+'06_Сеть_и_дети'!Y20*'19_Расчет_аналитики'!Y4854*'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4854*'01_Вводные'!$C$314:$C$318*('01_Вводные'!$E$314:$E$318*('06_Сеть_и_дети'!Y$3&lt;'01_Вводные'!$B$245)+'01_Вводные'!$B$57*('06_Сеть_и_дети'!Y$3&gt;='01_Вводные'!$B$245))))/2),0)</f>
        <v/>
      </c>
      <c r="Z4431">
        <f>IF('01_Вводные'!$B$234="Да",SUMPRODUCT(('01_Вводные'!$D$314:$D$318*'01_Вводные'!$B$314:$B$318*IF('01_Вводные'!$B$9=0,0,'06_Сеть_и_дети'!Z11/'01_Вводные'!$B$9)+'06_Сеть_и_дети'!Z20*'19_Расчет_аналитики'!Z4854*'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4854*'01_Вводные'!$C$314:$C$318*('01_Вводные'!$E$314:$E$318*('06_Сеть_и_дети'!Z$3&lt;'01_Вводные'!$B$245)+'01_Вводные'!$B$57*('06_Сеть_и_дети'!Z$3&gt;='01_Вводные'!$B$245))))/2),0)</f>
        <v/>
      </c>
      <c r="AA4431">
        <f>IF('01_Вводные'!$B$234="Да",SUMPRODUCT(('01_Вводные'!$D$314:$D$318*'01_Вводные'!$B$314:$B$318*IF('01_Вводные'!$B$9=0,0,'06_Сеть_и_дети'!AA11/'01_Вводные'!$B$9)+'06_Сеть_и_дети'!AA20*'19_Расчет_аналитики'!AA4854*'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4854*'01_Вводные'!$C$314:$C$318*('01_Вводные'!$E$314:$E$318*('06_Сеть_и_дети'!AA$3&lt;'01_Вводные'!$B$245)+'01_Вводные'!$B$57*('06_Сеть_и_дети'!AA$3&gt;='01_Вводные'!$B$245))))/2),0)</f>
        <v/>
      </c>
      <c r="AB4431">
        <f>IF('01_Вводные'!$B$234="Да",SUMPRODUCT(('01_Вводные'!$D$314:$D$318*'01_Вводные'!$B$314:$B$318*IF('01_Вводные'!$B$9=0,0,'06_Сеть_и_дети'!AB11/'01_Вводные'!$B$9)+'06_Сеть_и_дети'!AB20*'19_Расчет_аналитики'!AB4854*'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4854*'01_Вводные'!$C$314:$C$318*('01_Вводные'!$E$314:$E$318*('06_Сеть_и_дети'!AB$3&lt;'01_Вводные'!$B$245)+'01_Вводные'!$B$57*('06_Сеть_и_дети'!AB$3&gt;='01_Вводные'!$B$245))))/2),0)</f>
        <v/>
      </c>
      <c r="AC4431">
        <f>IF('01_Вводные'!$B$234="Да",SUMPRODUCT(('01_Вводные'!$D$314:$D$318*'01_Вводные'!$B$314:$B$318*IF('01_Вводные'!$B$9=0,0,'06_Сеть_и_дети'!AC11/'01_Вводные'!$B$9)+'06_Сеть_и_дети'!AC20*'19_Расчет_аналитики'!AC4854*'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4854*'01_Вводные'!$C$314:$C$318*('01_Вводные'!$E$314:$E$318*('06_Сеть_и_дети'!AC$3&lt;'01_Вводные'!$B$245)+'01_Вводные'!$B$57*('06_Сеть_и_дети'!AC$3&gt;='01_Вводные'!$B$245))))/2),0)</f>
        <v/>
      </c>
      <c r="AD4431">
        <f>IF('01_Вводные'!$B$234="Да",SUMPRODUCT(('01_Вводные'!$D$314:$D$318*'01_Вводные'!$B$314:$B$318*IF('01_Вводные'!$B$9=0,0,'06_Сеть_и_дети'!AD11/'01_Вводные'!$B$9)+'06_Сеть_и_дети'!AD20*'19_Расчет_аналитики'!AD4854*'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4854*'01_Вводные'!$C$314:$C$318*('01_Вводные'!$E$314:$E$318*('06_Сеть_и_дети'!AD$3&lt;'01_Вводные'!$B$245)+'01_Вводные'!$B$57*('06_Сеть_и_дети'!AD$3&gt;='01_Вводные'!$B$245))))/2),0)</f>
        <v/>
      </c>
      <c r="AE4431">
        <f>IF('01_Вводные'!$B$234="Да",SUMPRODUCT(('01_Вводные'!$D$314:$D$318*'01_Вводные'!$B$314:$B$318*IF('01_Вводные'!$B$9=0,0,'06_Сеть_и_дети'!AE11/'01_Вводные'!$B$9)+'06_Сеть_и_дети'!AE20*'19_Расчет_аналитики'!AE4854*'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4854*'01_Вводные'!$C$314:$C$318*('01_Вводные'!$E$314:$E$318*('06_Сеть_и_дети'!AE$3&lt;'01_Вводные'!$B$245)+'01_Вводные'!$B$57*('06_Сеть_и_дети'!AE$3&gt;='01_Вводные'!$B$245))))/2),0)</f>
        <v/>
      </c>
      <c r="AF4431">
        <f>IF('01_Вводные'!$B$234="Да",SUMPRODUCT(('01_Вводные'!$D$314:$D$318*'01_Вводные'!$B$314:$B$318*IF('01_Вводные'!$B$9=0,0,'06_Сеть_и_дети'!AF11/'01_Вводные'!$B$9)+'06_Сеть_и_дети'!AF20*'19_Расчет_аналитики'!AF4854*'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4854*'01_Вводные'!$C$314:$C$318*('01_Вводные'!$E$314:$E$318*('06_Сеть_и_дети'!AF$3&lt;'01_Вводные'!$B$245)+'01_Вводные'!$B$57*('06_Сеть_и_дети'!AF$3&gt;='01_Вводные'!$B$245))))/2),0)</f>
        <v/>
      </c>
      <c r="AG4431">
        <f>IF('01_Вводные'!$B$234="Да",SUMPRODUCT(('01_Вводные'!$D$314:$D$318*'01_Вводные'!$B$314:$B$318*IF('01_Вводные'!$B$9=0,0,'06_Сеть_и_дети'!AG11/'01_Вводные'!$B$9)+'06_Сеть_и_дети'!AG20*'19_Расчет_аналитики'!AG4854*'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4854*'01_Вводные'!$C$314:$C$318*('01_Вводные'!$E$314:$E$318*('06_Сеть_и_дети'!AG$3&lt;'01_Вводные'!$B$245)+'01_Вводные'!$B$57*('06_Сеть_и_дети'!AG$3&gt;='01_Вводные'!$B$245))))/2),0)</f>
        <v/>
      </c>
      <c r="AH4431">
        <f>IF('01_Вводные'!$B$234="Да",SUMPRODUCT(('01_Вводные'!$D$314:$D$318*'01_Вводные'!$B$314:$B$318*IF('01_Вводные'!$B$9=0,0,'06_Сеть_и_дети'!AH11/'01_Вводные'!$B$9)+'06_Сеть_и_дети'!AH20*'19_Расчет_аналитики'!AH4854*'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4854*'01_Вводные'!$C$314:$C$318*('01_Вводные'!$E$314:$E$318*('06_Сеть_и_дети'!AH$3&lt;'01_Вводные'!$B$245)+'01_Вводные'!$B$57*('06_Сеть_и_дети'!AH$3&gt;='01_Вводные'!$B$245))))/2),0)</f>
        <v/>
      </c>
      <c r="AI4431">
        <f>IF('01_Вводные'!$B$234="Да",SUMPRODUCT(('01_Вводные'!$D$314:$D$318*'01_Вводные'!$B$314:$B$318*IF('01_Вводные'!$B$9=0,0,'06_Сеть_и_дети'!AI11/'01_Вводные'!$B$9)+'06_Сеть_и_дети'!AI20*'19_Расчет_аналитики'!AI4854*'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4854*'01_Вводные'!$C$314:$C$318*('01_Вводные'!$E$314:$E$318*('06_Сеть_и_дети'!AI$3&lt;'01_Вводные'!$B$245)+'01_Вводные'!$B$57*('06_Сеть_и_дети'!AI$3&gt;='01_Вводные'!$B$245))))/2),0)</f>
        <v/>
      </c>
      <c r="AJ4431">
        <f>IF('01_Вводные'!$B$234="Да",SUMPRODUCT(('01_Вводные'!$D$314:$D$318*'01_Вводные'!$B$314:$B$318*IF('01_Вводные'!$B$9=0,0,'06_Сеть_и_дети'!AJ11/'01_Вводные'!$B$9)+'06_Сеть_и_дети'!AJ20*'19_Расчет_аналитики'!AJ4854*'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4854*'01_Вводные'!$C$314:$C$318*('01_Вводные'!$E$314:$E$318*('06_Сеть_и_дети'!AJ$3&lt;'01_Вводные'!$B$245)+'01_Вводные'!$B$57*('06_Сеть_и_дети'!AJ$3&gt;='01_Вводные'!$B$245))))/2),0)</f>
        <v/>
      </c>
      <c r="AK4431">
        <f>IF('01_Вводные'!$B$234="Да",SUMPRODUCT(('01_Вводные'!$D$314:$D$318*'01_Вводные'!$B$314:$B$318*IF('01_Вводные'!$B$9=0,0,'06_Сеть_и_дети'!AK11/'01_Вводные'!$B$9)+'06_Сеть_и_дети'!AK20*'19_Расчет_аналитики'!AK4854*'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4854*'01_Вводные'!$C$314:$C$318*('01_Вводные'!$E$314:$E$318*('06_Сеть_и_дети'!AK$3&lt;'01_Вводные'!$B$245)+'01_Вводные'!$B$57*('06_Сеть_и_дети'!AK$3&gt;='01_Вводные'!$B$245))))/2),0)</f>
        <v/>
      </c>
      <c r="AL4431">
        <f>IF('01_Вводные'!$B$234="Да",SUMPRODUCT(('01_Вводные'!$D$314:$D$318*'01_Вводные'!$B$314:$B$318*IF('01_Вводные'!$B$9=0,0,'06_Сеть_и_дети'!AL11/'01_Вводные'!$B$9)+'06_Сеть_и_дети'!AL20*'19_Расчет_аналитики'!AL4854*'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4854*'01_Вводные'!$C$314:$C$318*('01_Вводные'!$E$314:$E$318*('06_Сеть_и_дети'!AL$3&lt;'01_Вводные'!$B$245)+'01_Вводные'!$B$57*('06_Сеть_и_дети'!AL$3&gt;='01_Вводные'!$B$245))))/2),0)</f>
        <v/>
      </c>
      <c r="AM4431">
        <f>IF('01_Вводные'!$B$234="Да",SUMPRODUCT(('01_Вводные'!$D$314:$D$318*'01_Вводные'!$B$314:$B$318*IF('01_Вводные'!$B$9=0,0,'06_Сеть_и_дети'!AM11/'01_Вводные'!$B$9)+'06_Сеть_и_дети'!AM20*'19_Расчет_аналитики'!AM4854*'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4854*'01_Вводные'!$C$314:$C$318*('01_Вводные'!$E$314:$E$318*('06_Сеть_и_дети'!AM$3&lt;'01_Вводные'!$B$245)+'01_Вводные'!$B$57*('06_Сеть_и_дети'!AM$3&gt;='01_Вводные'!$B$245))))/2),0)</f>
        <v/>
      </c>
      <c r="AN4431">
        <f>IF('01_Вводные'!$B$234="Да",SUMPRODUCT(('01_Вводные'!$D$314:$D$318*'01_Вводные'!$B$314:$B$318*IF('01_Вводные'!$B$9=0,0,'06_Сеть_и_дети'!AN11/'01_Вводные'!$B$9)+'06_Сеть_и_дети'!AN20*'19_Расчет_аналитики'!AN4854*'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4854*'01_Вводные'!$C$314:$C$318*('01_Вводные'!$E$314:$E$318*('06_Сеть_и_дети'!AN$3&lt;'01_Вводные'!$B$245)+'01_Вводные'!$B$57*('06_Сеть_и_дети'!AN$3&gt;='01_Вводные'!$B$245))))/2),0)</f>
        <v/>
      </c>
      <c r="AO4431">
        <f>IF('01_Вводные'!$B$234="Да",SUMPRODUCT(('01_Вводные'!$D$314:$D$318*'01_Вводные'!$B$314:$B$318*IF('01_Вводные'!$B$9=0,0,'06_Сеть_и_дети'!AO11/'01_Вводные'!$B$9)+'06_Сеть_и_дети'!AO20*'19_Расчет_аналитики'!AO4854*'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4854*'01_Вводные'!$C$314:$C$318*('01_Вводные'!$E$314:$E$318*('06_Сеть_и_дети'!AO$3&lt;'01_Вводные'!$B$245)+'01_Вводные'!$B$57*('06_Сеть_и_дети'!AO$3&gt;='01_Вводные'!$B$245))))/2),0)</f>
        <v/>
      </c>
      <c r="AP4431">
        <f>IF('01_Вводные'!$B$234="Да",SUMPRODUCT(('01_Вводные'!$D$314:$D$318*'01_Вводные'!$B$314:$B$318*IF('01_Вводные'!$B$9=0,0,'06_Сеть_и_дети'!AP11/'01_Вводные'!$B$9)+'06_Сеть_и_дети'!AP20*'19_Расчет_аналитики'!AP4854*'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4854*'01_Вводные'!$C$314:$C$318*('01_Вводные'!$E$314:$E$318*('06_Сеть_и_дети'!AP$3&lt;'01_Вводные'!$B$245)+'01_Вводные'!$B$57*('06_Сеть_и_дети'!AP$3&gt;='01_Вводные'!$B$245))))/2),0)</f>
        <v/>
      </c>
      <c r="AQ4431">
        <f>IF('01_Вводные'!$B$234="Да",SUMPRODUCT(('01_Вводные'!$D$314:$D$318*'01_Вводные'!$B$314:$B$318*IF('01_Вводные'!$B$9=0,0,'06_Сеть_и_дети'!AQ11/'01_Вводные'!$B$9)+'06_Сеть_и_дети'!AQ20*'19_Расчет_аналитики'!AQ4854*'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4854*'01_Вводные'!$C$314:$C$318*('01_Вводные'!$E$314:$E$318*('06_Сеть_и_дети'!AQ$3&lt;'01_Вводные'!$B$245)+'01_Вводные'!$B$57*('06_Сеть_и_дети'!AQ$3&gt;='01_Вводные'!$B$245))))/2),0)</f>
        <v/>
      </c>
      <c r="AR4431">
        <f>IF('01_Вводные'!$B$234="Да",SUMPRODUCT(('01_Вводные'!$D$314:$D$318*'01_Вводные'!$B$314:$B$318*IF('01_Вводные'!$B$9=0,0,'06_Сеть_и_дети'!AR11/'01_Вводные'!$B$9)+'06_Сеть_и_дети'!AR20*'19_Расчет_аналитики'!AR4854*'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4854*'01_Вводные'!$C$314:$C$318*('01_Вводные'!$E$314:$E$318*('06_Сеть_и_дети'!AR$3&lt;'01_Вводные'!$B$245)+'01_Вводные'!$B$57*('06_Сеть_и_дети'!AR$3&gt;='01_Вводные'!$B$245))))/2),0)</f>
        <v/>
      </c>
      <c r="AS4431">
        <f>IF('01_Вводные'!$B$234="Да",SUMPRODUCT(('01_Вводные'!$D$314:$D$318*'01_Вводные'!$B$314:$B$318*IF('01_Вводные'!$B$9=0,0,'06_Сеть_и_дети'!AS11/'01_Вводные'!$B$9)+'06_Сеть_и_дети'!AS20*'19_Расчет_аналитики'!AS4854*'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4854*'01_Вводные'!$C$314:$C$318*('01_Вводные'!$E$314:$E$318*('06_Сеть_и_дети'!AS$3&lt;'01_Вводные'!$B$245)+'01_Вводные'!$B$57*('06_Сеть_и_дети'!AS$3&gt;='01_Вводные'!$B$245))))/2),0)</f>
        <v/>
      </c>
      <c r="AT4431">
        <f>IF('01_Вводные'!$B$234="Да",SUMPRODUCT(('01_Вводные'!$D$314:$D$318*'01_Вводные'!$B$314:$B$318*IF('01_Вводные'!$B$9=0,0,'06_Сеть_и_дети'!AT11/'01_Вводные'!$B$9)+'06_Сеть_и_дети'!AT20*'19_Расчет_аналитики'!AT4854*'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4854*'01_Вводные'!$C$314:$C$318*('01_Вводные'!$E$314:$E$318*('06_Сеть_и_дети'!AT$3&lt;'01_Вводные'!$B$245)+'01_Вводные'!$B$57*('06_Сеть_и_дети'!AT$3&gt;='01_Вводные'!$B$245))))/2),0)</f>
        <v/>
      </c>
      <c r="AU4431">
        <f>IF('01_Вводные'!$B$234="Да",SUMPRODUCT(('01_Вводные'!$D$314:$D$318*'01_Вводные'!$B$314:$B$318*IF('01_Вводные'!$B$9=0,0,'06_Сеть_и_дети'!AU11/'01_Вводные'!$B$9)+'06_Сеть_и_дети'!AU20*'19_Расчет_аналитики'!AU4854*'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4854*'01_Вводные'!$C$314:$C$318*('01_Вводные'!$E$314:$E$318*('06_Сеть_и_дети'!AU$3&lt;'01_Вводные'!$B$245)+'01_Вводные'!$B$57*('06_Сеть_и_дети'!AU$3&gt;='01_Вводные'!$B$245))))/2),0)</f>
        <v/>
      </c>
      <c r="AV4431">
        <f>IF('01_Вводные'!$B$234="Да",SUMPRODUCT(('01_Вводные'!$D$314:$D$318*'01_Вводные'!$B$314:$B$318*IF('01_Вводные'!$B$9=0,0,'06_Сеть_и_дети'!AV11/'01_Вводные'!$B$9)+'06_Сеть_и_дети'!AV20*'19_Расчет_аналитики'!AV4854*'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4854*'01_Вводные'!$C$314:$C$318*('01_Вводные'!$E$314:$E$318*('06_Сеть_и_дети'!AV$3&lt;'01_Вводные'!$B$245)+'01_Вводные'!$B$57*('06_Сеть_и_дети'!AV$3&gt;='01_Вводные'!$B$245))))/2),0)</f>
        <v/>
      </c>
      <c r="AW4431">
        <f>IF('01_Вводные'!$B$234="Да",SUMPRODUCT(('01_Вводные'!$D$314:$D$318*'01_Вводные'!$B$314:$B$318*IF('01_Вводные'!$B$9=0,0,'06_Сеть_и_дети'!AW11/'01_Вводные'!$B$9)+'06_Сеть_и_дети'!AW20*'19_Расчет_аналитики'!AW4854*'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4854*'01_Вводные'!$C$314:$C$318*('01_Вводные'!$E$314:$E$318*('06_Сеть_и_дети'!AW$3&lt;'01_Вводные'!$B$245)+'01_Вводные'!$B$57*('06_Сеть_и_дети'!AW$3&gt;='01_Вводные'!$B$245))))/2),0)</f>
        <v/>
      </c>
      <c r="AX4431">
        <f>IF('01_Вводные'!$B$234="Да",SUMPRODUCT(('01_Вводные'!$D$314:$D$318*'01_Вводные'!$B$314:$B$318*IF('01_Вводные'!$B$9=0,0,'06_Сеть_и_дети'!AX11/'01_Вводные'!$B$9)+'06_Сеть_и_дети'!AX20*'19_Расчет_аналитики'!AX4854*'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4854*'01_Вводные'!$C$314:$C$318*('01_Вводные'!$E$314:$E$318*('06_Сеть_и_дети'!AX$3&lt;'01_Вводные'!$B$245)+'01_Вводные'!$B$57*('06_Сеть_и_дети'!AX$3&gt;='01_Вводные'!$B$245))))/2),0)</f>
        <v/>
      </c>
      <c r="AY4431">
        <f>IF('01_Вводные'!$B$234="Да",SUMPRODUCT(('01_Вводные'!$D$314:$D$318*'01_Вводные'!$B$314:$B$318*IF('01_Вводные'!$B$9=0,0,'06_Сеть_и_дети'!AY11/'01_Вводные'!$B$9)+'06_Сеть_и_дети'!AY20*'19_Расчет_аналитики'!AY4854*'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4854*'01_Вводные'!$C$314:$C$318*('01_Вводные'!$E$314:$E$318*('06_Сеть_и_дети'!AY$3&lt;'01_Вводные'!$B$245)+'01_Вводные'!$B$57*('06_Сеть_и_дети'!AY$3&gt;='01_Вводные'!$B$245))))/2),0)</f>
        <v/>
      </c>
      <c r="AZ4431">
        <f>IF('01_Вводные'!$B$234="Да",SUMPRODUCT(('01_Вводные'!$D$314:$D$318*'01_Вводные'!$B$314:$B$318*IF('01_Вводные'!$B$9=0,0,'06_Сеть_и_дети'!AZ11/'01_Вводные'!$B$9)+'06_Сеть_и_дети'!AZ20*'19_Расчет_аналитики'!AZ4854*'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4854*'01_Вводные'!$C$314:$C$318*('01_Вводные'!$E$314:$E$318*('06_Сеть_и_дети'!AZ$3&lt;'01_Вводные'!$B$245)+'01_Вводные'!$B$57*('06_Сеть_и_дети'!AZ$3&gt;='01_Вводные'!$B$245))))/2),0)</f>
        <v/>
      </c>
      <c r="BA4431">
        <f>IF('01_Вводные'!$B$234="Да",SUMPRODUCT(('01_Вводные'!$D$314:$D$318*'01_Вводные'!$B$314:$B$318*IF('01_Вводные'!$B$9=0,0,'06_Сеть_и_дети'!BA11/'01_Вводные'!$B$9)+'06_Сеть_и_дети'!BA20*'19_Расчет_аналитики'!BA4854*'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4854*'01_Вводные'!$C$314:$C$318*('01_Вводные'!$E$314:$E$318*('06_Сеть_и_дети'!BA$3&lt;'01_Вводные'!$B$245)+'01_Вводные'!$B$57*('06_Сеть_и_дети'!BA$3&gt;='01_Вводные'!$B$245))))/2),0)</f>
        <v/>
      </c>
      <c r="BB4431">
        <f>IF('01_Вводные'!$B$234="Да",SUMPRODUCT(('01_Вводные'!$D$314:$D$318*'01_Вводные'!$B$314:$B$318*IF('01_Вводные'!$B$9=0,0,'06_Сеть_и_дети'!BB11/'01_Вводные'!$B$9)+'06_Сеть_и_дети'!BB20*'19_Расчет_аналитики'!BB4854*'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4854*'01_Вводные'!$C$314:$C$318*('01_Вводные'!$E$314:$E$318*('06_Сеть_и_дети'!BB$3&lt;'01_Вводные'!$B$245)+'01_Вводные'!$B$57*('06_Сеть_и_дети'!BB$3&gt;='01_Вводные'!$B$245))))/2),0)</f>
        <v/>
      </c>
      <c r="BC4431">
        <f>IF('01_Вводные'!$B$234="Да",SUMPRODUCT(('01_Вводные'!$D$314:$D$318*'01_Вводные'!$B$314:$B$318*IF('01_Вводные'!$B$9=0,0,'06_Сеть_и_дети'!BC11/'01_Вводные'!$B$9)+'06_Сеть_и_дети'!BC20*'19_Расчет_аналитики'!BC4854*'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4854*'01_Вводные'!$C$314:$C$318*('01_Вводные'!$E$314:$E$318*('06_Сеть_и_дети'!BC$3&lt;'01_Вводные'!$B$245)+'01_Вводные'!$B$57*('06_Сеть_и_дети'!BC$3&gt;='01_Вводные'!$B$245))))/2),0)</f>
        <v/>
      </c>
      <c r="BD4431">
        <f>IF('01_Вводные'!$B$234="Да",SUMPRODUCT(('01_Вводные'!$D$314:$D$318*'01_Вводные'!$B$314:$B$318*IF('01_Вводные'!$B$9=0,0,'06_Сеть_и_дети'!BD11/'01_Вводные'!$B$9)+'06_Сеть_и_дети'!BD20*'19_Расчет_аналитики'!BD4854*'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4854*'01_Вводные'!$C$314:$C$318*('01_Вводные'!$E$314:$E$318*('06_Сеть_и_дети'!BD$3&lt;'01_Вводные'!$B$245)+'01_Вводные'!$B$57*('06_Сеть_и_дети'!BD$3&gt;='01_Вводные'!$B$245))))/2),0)</f>
        <v/>
      </c>
      <c r="BE4431">
        <f>IF('01_Вводные'!$B$234="Да",SUMPRODUCT(('01_Вводные'!$D$314:$D$318*'01_Вводные'!$B$314:$B$318*IF('01_Вводные'!$B$9=0,0,'06_Сеть_и_дети'!BE11/'01_Вводные'!$B$9)+'06_Сеть_и_дети'!BE20*'19_Расчет_аналитики'!BE4854*'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4854*'01_Вводные'!$C$314:$C$318*('01_Вводные'!$E$314:$E$318*('06_Сеть_и_дети'!BE$3&lt;'01_Вводные'!$B$245)+'01_Вводные'!$B$57*('06_Сеть_и_дети'!BE$3&gt;='01_Вводные'!$B$245))))/2),0)</f>
        <v/>
      </c>
      <c r="BF4431">
        <f>IF('01_Вводные'!$B$234="Да",SUMPRODUCT(('01_Вводные'!$D$314:$D$318*'01_Вводные'!$B$314:$B$318*IF('01_Вводные'!$B$9=0,0,'06_Сеть_и_дети'!BF11/'01_Вводные'!$B$9)+'06_Сеть_и_дети'!BF20*'19_Расчет_аналитики'!BF4854*'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4854*'01_Вводные'!$C$314:$C$318*('01_Вводные'!$E$314:$E$318*('06_Сеть_и_дети'!BF$3&lt;'01_Вводные'!$B$245)+'01_Вводные'!$B$57*('06_Сеть_и_дети'!BF$3&gt;='01_Вводные'!$B$245))))/2),0)</f>
        <v/>
      </c>
      <c r="BG4431">
        <f>IF('01_Вводные'!$B$234="Да",SUMPRODUCT(('01_Вводные'!$D$314:$D$318*'01_Вводные'!$B$314:$B$318*IF('01_Вводные'!$B$9=0,0,'06_Сеть_и_дети'!BG11/'01_Вводные'!$B$9)+'06_Сеть_и_дети'!BG20*'19_Расчет_аналитики'!BG4854*'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4854*'01_Вводные'!$C$314:$C$318*('01_Вводные'!$E$314:$E$318*('06_Сеть_и_дети'!BG$3&lt;'01_Вводные'!$B$245)+'01_Вводные'!$B$57*('06_Сеть_и_дети'!BG$3&gt;='01_Вводные'!$B$245))))/2),0)</f>
        <v/>
      </c>
      <c r="BH4431">
        <f>IF('01_Вводные'!$B$234="Да",SUMPRODUCT(('01_Вводные'!$D$314:$D$318*'01_Вводные'!$B$314:$B$318*IF('01_Вводные'!$B$9=0,0,'06_Сеть_и_дети'!BH11/'01_Вводные'!$B$9)+'06_Сеть_и_дети'!BH20*'19_Расчет_аналитики'!BH4854*'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4854*'01_Вводные'!$C$314:$C$318*('01_Вводные'!$E$314:$E$318*('06_Сеть_и_дети'!BH$3&lt;'01_Вводные'!$B$245)+'01_Вводные'!$B$57*('06_Сеть_и_дети'!BH$3&gt;='01_Вводные'!$B$245))))/2),0)</f>
        <v/>
      </c>
      <c r="BI4431">
        <f>IF('01_Вводные'!$B$234="Да",SUMPRODUCT(('01_Вводные'!$D$314:$D$318*'01_Вводные'!$B$314:$B$318*IF('01_Вводные'!$B$9=0,0,'06_Сеть_и_дети'!BI11/'01_Вводные'!$B$9)+'06_Сеть_и_дети'!BI20*'19_Расчет_аналитики'!BI4854*'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4854*'01_Вводные'!$C$314:$C$318*('01_Вводные'!$E$314:$E$318*('06_Сеть_и_дети'!BI$3&lt;'01_Вводные'!$B$245)+'01_Вводные'!$B$57*('06_Сеть_и_дети'!BI$3&gt;='01_Вводные'!$B$245))))/2),0)</f>
        <v/>
      </c>
      <c r="BJ4431">
        <f>IF('01_Вводные'!$B$234="Да",SUMPRODUCT(('01_Вводные'!$D$314:$D$318*'01_Вводные'!$B$314:$B$318*IF('01_Вводные'!$B$9=0,0,'06_Сеть_и_дети'!BJ11/'01_Вводные'!$B$9)+'06_Сеть_и_дети'!BJ20*'19_Расчет_аналитики'!BJ4854*'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4854*'01_Вводные'!$C$314:$C$318*('01_Вводные'!$E$314:$E$318*('06_Сеть_и_дети'!BJ$3&lt;'01_Вводные'!$B$245)+'01_Вводные'!$B$57*('06_Сеть_и_дети'!BJ$3&gt;='01_Вводные'!$B$245))))/2),0)</f>
        <v/>
      </c>
      <c r="BK4431">
        <f>IF('01_Вводные'!$B$234="Да",SUMPRODUCT(('01_Вводные'!$D$314:$D$318*'01_Вводные'!$B$314:$B$318*IF('01_Вводные'!$B$9=0,0,'06_Сеть_и_дети'!BK11/'01_Вводные'!$B$9)+'06_Сеть_и_дети'!BK20*'19_Расчет_аналитики'!BK4854*'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4854*'01_Вводные'!$C$314:$C$318*('01_Вводные'!$E$314:$E$318*('06_Сеть_и_дети'!BK$3&lt;'01_Вводные'!$B$245)+'01_Вводные'!$B$57*('06_Сеть_и_дети'!BK$3&gt;='01_Вводные'!$B$245))))/2),0)</f>
        <v/>
      </c>
      <c r="BL4431">
        <f>IF('01_Вводные'!$B$234="Да",SUMPRODUCT(('01_Вводные'!$D$314:$D$318*'01_Вводные'!$B$314:$B$318*IF('01_Вводные'!$B$9=0,0,'06_Сеть_и_дети'!BL11/'01_Вводные'!$B$9)+'06_Сеть_и_дети'!BL20*'19_Расчет_аналитики'!BL4854*'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4854*'01_Вводные'!$C$314:$C$318*('01_Вводные'!$E$314:$E$318*('06_Сеть_и_дети'!BL$3&lt;'01_Вводные'!$B$245)+'01_Вводные'!$B$57*('06_Сеть_и_дети'!BL$3&gt;='01_Вводные'!$B$245))))/2),0)</f>
        <v/>
      </c>
      <c r="BM4431">
        <f>IF('01_Вводные'!$B$234="Да",SUMPRODUCT(('01_Вводные'!$D$314:$D$318*'01_Вводные'!$B$314:$B$318*IF('01_Вводные'!$B$9=0,0,'06_Сеть_и_дети'!BM11/'01_Вводные'!$B$9)+'06_Сеть_и_дети'!BM20*'19_Расчет_аналитики'!BM4854*'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4854*'01_Вводные'!$C$314:$C$318*('01_Вводные'!$E$314:$E$318*('06_Сеть_и_дети'!BM$3&lt;'01_Вводные'!$B$245)+'01_Вводные'!$B$57*('06_Сеть_и_дети'!BM$3&gt;='01_Вводные'!$B$245))))/2),0)</f>
        <v/>
      </c>
      <c r="BN4431">
        <f>IF('01_Вводные'!$B$234="Да",SUMPRODUCT(('01_Вводные'!$D$314:$D$318*'01_Вводные'!$B$314:$B$318*IF('01_Вводные'!$B$9=0,0,'06_Сеть_и_дети'!BN11/'01_Вводные'!$B$9)+'06_Сеть_и_дети'!BN20*'19_Расчет_аналитики'!BN4854*'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4854*'01_Вводные'!$C$314:$C$318*('01_Вводные'!$E$314:$E$318*('06_Сеть_и_дети'!BN$3&lt;'01_Вводные'!$B$245)+'01_Вводные'!$B$57*('06_Сеть_и_дети'!BN$3&gt;='01_Вводные'!$B$245))))/2),0)</f>
        <v/>
      </c>
      <c r="BO4431">
        <f>IF('01_Вводные'!$B$234="Да",SUMPRODUCT(('01_Вводные'!$D$314:$D$318*'01_Вводные'!$B$314:$B$318*IF('01_Вводные'!$B$9=0,0,'06_Сеть_и_дети'!BO11/'01_Вводные'!$B$9)+'06_Сеть_и_дети'!BO20*'19_Расчет_аналитики'!BO4854*'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4854*'01_Вводные'!$C$314:$C$318*('01_Вводные'!$E$314:$E$318*('06_Сеть_и_дети'!BO$3&lt;'01_Вводные'!$B$245)+'01_Вводные'!$B$57*('06_Сеть_и_дети'!BO$3&gt;='01_Вводные'!$B$245))))/2),0)</f>
        <v/>
      </c>
    </row>
    <row r="4432">
      <c r="B4432">
        <f>IF('01_Вводные'!$B$234="Да",SUM('19_Расчет_аналитики'!B4512:B4536,'19_Расчет_аналитики'!B4540:B4564),0)</f>
        <v/>
      </c>
      <c r="C4432">
        <f>IF('01_Вводные'!$B$234="Да",SUM('19_Расчет_аналитики'!C4512:C4536,'19_Расчет_аналитики'!C4540:C4564),0)</f>
        <v/>
      </c>
      <c r="D4432">
        <f>IF('01_Вводные'!$B$234="Да",SUM('19_Расчет_аналитики'!D4512:D4536,'19_Расчет_аналитики'!D4540:D4564),0)</f>
        <v/>
      </c>
      <c r="E4432">
        <f>IF('01_Вводные'!$B$234="Да",SUM('19_Расчет_аналитики'!E4512:E4536,'19_Расчет_аналитики'!E4540:E4564),0)</f>
        <v/>
      </c>
      <c r="F4432">
        <f>IF('01_Вводные'!$B$234="Да",SUM('19_Расчет_аналитики'!F4512:F4536,'19_Расчет_аналитики'!F4540:F4564),0)</f>
        <v/>
      </c>
      <c r="G4432">
        <f>IF('01_Вводные'!$B$234="Да",SUM('19_Расчет_аналитики'!G4512:G4536,'19_Расчет_аналитики'!G4540:G4564),0)</f>
        <v/>
      </c>
      <c r="H4432">
        <f>IF('01_Вводные'!$B$234="Да",SUM('19_Расчет_аналитики'!H4512:H4536,'19_Расчет_аналитики'!H4540:H4564),0)</f>
        <v/>
      </c>
      <c r="I4432">
        <f>IF('01_Вводные'!$B$234="Да",SUM('19_Расчет_аналитики'!I4512:I4536,'19_Расчет_аналитики'!I4540:I4564),0)</f>
        <v/>
      </c>
      <c r="J4432">
        <f>IF('01_Вводные'!$B$234="Да",SUM('19_Расчет_аналитики'!J4512:J4536,'19_Расчет_аналитики'!J4540:J4564),0)</f>
        <v/>
      </c>
      <c r="K4432">
        <f>IF('01_Вводные'!$B$234="Да",SUM('19_Расчет_аналитики'!K4512:K4536,'19_Расчет_аналитики'!K4540:K4564),0)</f>
        <v/>
      </c>
      <c r="L4432">
        <f>IF('01_Вводные'!$B$234="Да",SUM('19_Расчет_аналитики'!L4512:L4536,'19_Расчет_аналитики'!L4540:L4564),0)</f>
        <v/>
      </c>
      <c r="M4432">
        <f>IF('01_Вводные'!$B$234="Да",SUM('19_Расчет_аналитики'!M4512:M4536,'19_Расчет_аналитики'!M4540:M4564),0)</f>
        <v/>
      </c>
      <c r="N4432">
        <f>IF('01_Вводные'!$B$234="Да",SUM('19_Расчет_аналитики'!N4512:N4536,'19_Расчет_аналитики'!N4540:N4564),0)</f>
        <v/>
      </c>
      <c r="O4432">
        <f>IF('01_Вводные'!$B$234="Да",SUM('19_Расчет_аналитики'!O4512:O4536,'19_Расчет_аналитики'!O4540:O4564),0)</f>
        <v/>
      </c>
      <c r="P4432">
        <f>IF('01_Вводные'!$B$234="Да",SUM('19_Расчет_аналитики'!P4512:P4536,'19_Расчет_аналитики'!P4540:P4564),0)</f>
        <v/>
      </c>
      <c r="Q4432">
        <f>IF('01_Вводные'!$B$234="Да",SUM('19_Расчет_аналитики'!Q4512:Q4536,'19_Расчет_аналитики'!Q4540:Q4564),0)</f>
        <v/>
      </c>
      <c r="R4432">
        <f>IF('01_Вводные'!$B$234="Да",SUM('19_Расчет_аналитики'!R4512:R4536,'19_Расчет_аналитики'!R4540:R4564),0)</f>
        <v/>
      </c>
      <c r="S4432">
        <f>IF('01_Вводные'!$B$234="Да",SUM('19_Расчет_аналитики'!S4512:S4536,'19_Расчет_аналитики'!S4540:S4564),0)</f>
        <v/>
      </c>
      <c r="T4432">
        <f>IF('01_Вводные'!$B$234="Да",SUM('19_Расчет_аналитики'!T4512:T4536,'19_Расчет_аналитики'!T4540:T4564),0)</f>
        <v/>
      </c>
      <c r="U4432">
        <f>IF('01_Вводные'!$B$234="Да",SUM('19_Расчет_аналитики'!U4512:U4536,'19_Расчет_аналитики'!U4540:U4564),0)</f>
        <v/>
      </c>
      <c r="V4432">
        <f>IF('01_Вводные'!$B$234="Да",SUM('19_Расчет_аналитики'!V4512:V4536,'19_Расчет_аналитики'!V4540:V4564),0)</f>
        <v/>
      </c>
      <c r="W4432">
        <f>IF('01_Вводные'!$B$234="Да",SUM('19_Расчет_аналитики'!W4512:W4536,'19_Расчет_аналитики'!W4540:W4564),0)</f>
        <v/>
      </c>
      <c r="X4432">
        <f>IF('01_Вводные'!$B$234="Да",SUM('19_Расчет_аналитики'!X4512:X4536,'19_Расчет_аналитики'!X4540:X4564),0)</f>
        <v/>
      </c>
      <c r="Y4432">
        <f>IF('01_Вводные'!$B$234="Да",SUM('19_Расчет_аналитики'!Y4512:Y4536,'19_Расчет_аналитики'!Y4540:Y4564),0)</f>
        <v/>
      </c>
      <c r="Z4432">
        <f>IF('01_Вводные'!$B$234="Да",SUM('19_Расчет_аналитики'!Z4512:Z4536,'19_Расчет_аналитики'!Z4540:Z4564),0)</f>
        <v/>
      </c>
      <c r="AA4432">
        <f>IF('01_Вводные'!$B$234="Да",SUM('19_Расчет_аналитики'!AA4512:AA4536,'19_Расчет_аналитики'!AA4540:AA4564),0)</f>
        <v/>
      </c>
      <c r="AB4432">
        <f>IF('01_Вводные'!$B$234="Да",SUM('19_Расчет_аналитики'!AB4512:AB4536,'19_Расчет_аналитики'!AB4540:AB4564),0)</f>
        <v/>
      </c>
      <c r="AC4432">
        <f>IF('01_Вводные'!$B$234="Да",SUM('19_Расчет_аналитики'!AC4512:AC4536,'19_Расчет_аналитики'!AC4540:AC4564),0)</f>
        <v/>
      </c>
      <c r="AD4432">
        <f>IF('01_Вводные'!$B$234="Да",SUM('19_Расчет_аналитики'!AD4512:AD4536,'19_Расчет_аналитики'!AD4540:AD4564),0)</f>
        <v/>
      </c>
      <c r="AE4432">
        <f>IF('01_Вводные'!$B$234="Да",SUM('19_Расчет_аналитики'!AE4512:AE4536,'19_Расчет_аналитики'!AE4540:AE4564),0)</f>
        <v/>
      </c>
      <c r="AF4432">
        <f>IF('01_Вводные'!$B$234="Да",SUM('19_Расчет_аналитики'!AF4512:AF4536,'19_Расчет_аналитики'!AF4540:AF4564),0)</f>
        <v/>
      </c>
      <c r="AG4432">
        <f>IF('01_Вводные'!$B$234="Да",SUM('19_Расчет_аналитики'!AG4512:AG4536,'19_Расчет_аналитики'!AG4540:AG4564),0)</f>
        <v/>
      </c>
      <c r="AH4432">
        <f>IF('01_Вводные'!$B$234="Да",SUM('19_Расчет_аналитики'!AH4512:AH4536,'19_Расчет_аналитики'!AH4540:AH4564),0)</f>
        <v/>
      </c>
      <c r="AI4432">
        <f>IF('01_Вводные'!$B$234="Да",SUM('19_Расчет_аналитики'!AI4512:AI4536,'19_Расчет_аналитики'!AI4540:AI4564),0)</f>
        <v/>
      </c>
      <c r="AJ4432">
        <f>IF('01_Вводные'!$B$234="Да",SUM('19_Расчет_аналитики'!AJ4512:AJ4536,'19_Расчет_аналитики'!AJ4540:AJ4564),0)</f>
        <v/>
      </c>
      <c r="AK4432">
        <f>IF('01_Вводные'!$B$234="Да",SUM('19_Расчет_аналитики'!AK4512:AK4536,'19_Расчет_аналитики'!AK4540:AK4564),0)</f>
        <v/>
      </c>
      <c r="AL4432">
        <f>IF('01_Вводные'!$B$234="Да",SUM('19_Расчет_аналитики'!AL4512:AL4536,'19_Расчет_аналитики'!AL4540:AL4564),0)</f>
        <v/>
      </c>
      <c r="AM4432">
        <f>IF('01_Вводные'!$B$234="Да",SUM('19_Расчет_аналитики'!AM4512:AM4536,'19_Расчет_аналитики'!AM4540:AM4564),0)</f>
        <v/>
      </c>
      <c r="AN4432">
        <f>IF('01_Вводные'!$B$234="Да",SUM('19_Расчет_аналитики'!AN4512:AN4536,'19_Расчет_аналитики'!AN4540:AN4564),0)</f>
        <v/>
      </c>
      <c r="AO4432">
        <f>IF('01_Вводные'!$B$234="Да",SUM('19_Расчет_аналитики'!AO4512:AO4536,'19_Расчет_аналитики'!AO4540:AO4564),0)</f>
        <v/>
      </c>
      <c r="AP4432">
        <f>IF('01_Вводные'!$B$234="Да",SUM('19_Расчет_аналитики'!AP4512:AP4536,'19_Расчет_аналитики'!AP4540:AP4564),0)</f>
        <v/>
      </c>
      <c r="AQ4432">
        <f>IF('01_Вводные'!$B$234="Да",SUM('19_Расчет_аналитики'!AQ4512:AQ4536,'19_Расчет_аналитики'!AQ4540:AQ4564),0)</f>
        <v/>
      </c>
      <c r="AR4432">
        <f>IF('01_Вводные'!$B$234="Да",SUM('19_Расчет_аналитики'!AR4512:AR4536,'19_Расчет_аналитики'!AR4540:AR4564),0)</f>
        <v/>
      </c>
      <c r="AS4432">
        <f>IF('01_Вводные'!$B$234="Да",SUM('19_Расчет_аналитики'!AS4512:AS4536,'19_Расчет_аналитики'!AS4540:AS4564),0)</f>
        <v/>
      </c>
      <c r="AT4432">
        <f>IF('01_Вводные'!$B$234="Да",SUM('19_Расчет_аналитики'!AT4512:AT4536,'19_Расчет_аналитики'!AT4540:AT4564),0)</f>
        <v/>
      </c>
      <c r="AU4432">
        <f>IF('01_Вводные'!$B$234="Да",SUM('19_Расчет_аналитики'!AU4512:AU4536,'19_Расчет_аналитики'!AU4540:AU4564),0)</f>
        <v/>
      </c>
      <c r="AV4432">
        <f>IF('01_Вводные'!$B$234="Да",SUM('19_Расчет_аналитики'!AV4512:AV4536,'19_Расчет_аналитики'!AV4540:AV4564),0)</f>
        <v/>
      </c>
      <c r="AW4432">
        <f>IF('01_Вводные'!$B$234="Да",SUM('19_Расчет_аналитики'!AW4512:AW4536,'19_Расчет_аналитики'!AW4540:AW4564),0)</f>
        <v/>
      </c>
      <c r="AX4432">
        <f>IF('01_Вводные'!$B$234="Да",SUM('19_Расчет_аналитики'!AX4512:AX4536,'19_Расчет_аналитики'!AX4540:AX4564),0)</f>
        <v/>
      </c>
      <c r="AY4432">
        <f>IF('01_Вводные'!$B$234="Да",SUM('19_Расчет_аналитики'!AY4512:AY4536,'19_Расчет_аналитики'!AY4540:AY4564),0)</f>
        <v/>
      </c>
      <c r="AZ4432">
        <f>IF('01_Вводные'!$B$234="Да",SUM('19_Расчет_аналитики'!AZ4512:AZ4536,'19_Расчет_аналитики'!AZ4540:AZ4564),0)</f>
        <v/>
      </c>
      <c r="BA4432">
        <f>IF('01_Вводные'!$B$234="Да",SUM('19_Расчет_аналитики'!BA4512:BA4536,'19_Расчет_аналитики'!BA4540:BA4564),0)</f>
        <v/>
      </c>
      <c r="BB4432">
        <f>IF('01_Вводные'!$B$234="Да",SUM('19_Расчет_аналитики'!BB4512:BB4536,'19_Расчет_аналитики'!BB4540:BB4564),0)</f>
        <v/>
      </c>
      <c r="BC4432">
        <f>IF('01_Вводные'!$B$234="Да",SUM('19_Расчет_аналитики'!BC4512:BC4536,'19_Расчет_аналитики'!BC4540:BC4564),0)</f>
        <v/>
      </c>
      <c r="BD4432">
        <f>IF('01_Вводные'!$B$234="Да",SUM('19_Расчет_аналитики'!BD4512:BD4536,'19_Расчет_аналитики'!BD4540:BD4564),0)</f>
        <v/>
      </c>
      <c r="BE4432">
        <f>IF('01_Вводные'!$B$234="Да",SUM('19_Расчет_аналитики'!BE4512:BE4536,'19_Расчет_аналитики'!BE4540:BE4564),0)</f>
        <v/>
      </c>
      <c r="BF4432">
        <f>IF('01_Вводные'!$B$234="Да",SUM('19_Расчет_аналитики'!BF4512:BF4536,'19_Расчет_аналитики'!BF4540:BF4564),0)</f>
        <v/>
      </c>
      <c r="BG4432">
        <f>IF('01_Вводные'!$B$234="Да",SUM('19_Расчет_аналитики'!BG4512:BG4536,'19_Расчет_аналитики'!BG4540:BG4564),0)</f>
        <v/>
      </c>
      <c r="BH4432">
        <f>IF('01_Вводные'!$B$234="Да",SUM('19_Расчет_аналитики'!BH4512:BH4536,'19_Расчет_аналитики'!BH4540:BH4564),0)</f>
        <v/>
      </c>
      <c r="BI4432">
        <f>IF('01_Вводные'!$B$234="Да",SUM('19_Расчет_аналитики'!BI4512:BI4536,'19_Расчет_аналитики'!BI4540:BI4564),0)</f>
        <v/>
      </c>
      <c r="BJ4432">
        <f>IF('01_Вводные'!$B$234="Да",SUM('19_Расчет_аналитики'!BJ4512:BJ4536,'19_Расчет_аналитики'!BJ4540:BJ4564),0)</f>
        <v/>
      </c>
      <c r="BK4432">
        <f>IF('01_Вводные'!$B$234="Да",SUM('19_Расчет_аналитики'!BK4512:BK4536,'19_Расчет_аналитики'!BK4540:BK4564),0)</f>
        <v/>
      </c>
      <c r="BL4432">
        <f>IF('01_Вводные'!$B$234="Да",SUM('19_Расчет_аналитики'!BL4512:BL4536,'19_Расчет_аналитики'!BL4540:BL4564),0)</f>
        <v/>
      </c>
      <c r="BM4432">
        <f>IF('01_Вводные'!$B$234="Да",SUM('19_Расчет_аналитики'!BM4512:BM4536,'19_Расчет_аналитики'!BM4540:BM4564),0)</f>
        <v/>
      </c>
      <c r="BN4432">
        <f>IF('01_Вводные'!$B$234="Да",SUM('19_Расчет_аналитики'!BN4512:BN4536,'19_Расчет_аналитики'!BN4540:BN4564),0)</f>
        <v/>
      </c>
      <c r="BO4432">
        <f>IF('01_Вводные'!$B$234="Да",SUM('19_Расчет_аналитики'!BO4512:BO4536,'19_Расчет_аналитики'!BO4540:BO4564),0)</f>
        <v/>
      </c>
    </row>
    <row r="4433">
      <c r="B4433">
        <f>IF('01_Вводные'!$B$234="Да",'19_Расчет_аналитики'!B4431+'19_Расчет_аналитики'!B4432,0)</f>
        <v/>
      </c>
      <c r="C4433">
        <f>IF('01_Вводные'!$B$234="Да",'19_Расчет_аналитики'!C4431+'19_Расчет_аналитики'!C4432,0)</f>
        <v/>
      </c>
      <c r="D4433">
        <f>IF('01_Вводные'!$B$234="Да",'19_Расчет_аналитики'!D4431+'19_Расчет_аналитики'!D4432,0)</f>
        <v/>
      </c>
      <c r="E4433">
        <f>IF('01_Вводные'!$B$234="Да",'19_Расчет_аналитики'!E4431+'19_Расчет_аналитики'!E4432,0)</f>
        <v/>
      </c>
      <c r="F4433">
        <f>IF('01_Вводные'!$B$234="Да",'19_Расчет_аналитики'!F4431+'19_Расчет_аналитики'!F4432,0)</f>
        <v/>
      </c>
      <c r="G4433">
        <f>IF('01_Вводные'!$B$234="Да",'19_Расчет_аналитики'!G4431+'19_Расчет_аналитики'!G4432,0)</f>
        <v/>
      </c>
      <c r="H4433">
        <f>IF('01_Вводные'!$B$234="Да",'19_Расчет_аналитики'!H4431+'19_Расчет_аналитики'!H4432,0)</f>
        <v/>
      </c>
      <c r="I4433">
        <f>IF('01_Вводные'!$B$234="Да",'19_Расчет_аналитики'!I4431+'19_Расчет_аналитики'!I4432,0)</f>
        <v/>
      </c>
      <c r="J4433">
        <f>IF('01_Вводные'!$B$234="Да",'19_Расчет_аналитики'!J4431+'19_Расчет_аналитики'!J4432,0)</f>
        <v/>
      </c>
      <c r="K4433">
        <f>IF('01_Вводные'!$B$234="Да",'19_Расчет_аналитики'!K4431+'19_Расчет_аналитики'!K4432,0)</f>
        <v/>
      </c>
      <c r="L4433">
        <f>IF('01_Вводные'!$B$234="Да",'19_Расчет_аналитики'!L4431+'19_Расчет_аналитики'!L4432,0)</f>
        <v/>
      </c>
      <c r="M4433">
        <f>IF('01_Вводные'!$B$234="Да",'19_Расчет_аналитики'!M4431+'19_Расчет_аналитики'!M4432,0)</f>
        <v/>
      </c>
      <c r="N4433">
        <f>IF('01_Вводные'!$B$234="Да",'19_Расчет_аналитики'!N4431+'19_Расчет_аналитики'!N4432,0)</f>
        <v/>
      </c>
      <c r="O4433">
        <f>IF('01_Вводные'!$B$234="Да",'19_Расчет_аналитики'!O4431+'19_Расчет_аналитики'!O4432,0)</f>
        <v/>
      </c>
      <c r="P4433">
        <f>IF('01_Вводные'!$B$234="Да",'19_Расчет_аналитики'!P4431+'19_Расчет_аналитики'!P4432,0)</f>
        <v/>
      </c>
      <c r="Q4433">
        <f>IF('01_Вводные'!$B$234="Да",'19_Расчет_аналитики'!Q4431+'19_Расчет_аналитики'!Q4432,0)</f>
        <v/>
      </c>
      <c r="R4433">
        <f>IF('01_Вводные'!$B$234="Да",'19_Расчет_аналитики'!R4431+'19_Расчет_аналитики'!R4432,0)</f>
        <v/>
      </c>
      <c r="S4433">
        <f>IF('01_Вводные'!$B$234="Да",'19_Расчет_аналитики'!S4431+'19_Расчет_аналитики'!S4432,0)</f>
        <v/>
      </c>
      <c r="T4433">
        <f>IF('01_Вводные'!$B$234="Да",'19_Расчет_аналитики'!T4431+'19_Расчет_аналитики'!T4432,0)</f>
        <v/>
      </c>
      <c r="U4433">
        <f>IF('01_Вводные'!$B$234="Да",'19_Расчет_аналитики'!U4431+'19_Расчет_аналитики'!U4432,0)</f>
        <v/>
      </c>
      <c r="V4433">
        <f>IF('01_Вводные'!$B$234="Да",'19_Расчет_аналитики'!V4431+'19_Расчет_аналитики'!V4432,0)</f>
        <v/>
      </c>
      <c r="W4433">
        <f>IF('01_Вводные'!$B$234="Да",'19_Расчет_аналитики'!W4431+'19_Расчет_аналитики'!W4432,0)</f>
        <v/>
      </c>
      <c r="X4433">
        <f>IF('01_Вводные'!$B$234="Да",'19_Расчет_аналитики'!X4431+'19_Расчет_аналитики'!X4432,0)</f>
        <v/>
      </c>
      <c r="Y4433">
        <f>IF('01_Вводные'!$B$234="Да",'19_Расчет_аналитики'!Y4431+'19_Расчет_аналитики'!Y4432,0)</f>
        <v/>
      </c>
      <c r="Z4433">
        <f>IF('01_Вводные'!$B$234="Да",'19_Расчет_аналитики'!Z4431+'19_Расчет_аналитики'!Z4432,0)</f>
        <v/>
      </c>
      <c r="AA4433">
        <f>IF('01_Вводные'!$B$234="Да",'19_Расчет_аналитики'!AA4431+'19_Расчет_аналитики'!AA4432,0)</f>
        <v/>
      </c>
      <c r="AB4433">
        <f>IF('01_Вводные'!$B$234="Да",'19_Расчет_аналитики'!AB4431+'19_Расчет_аналитики'!AB4432,0)</f>
        <v/>
      </c>
      <c r="AC4433">
        <f>IF('01_Вводные'!$B$234="Да",'19_Расчет_аналитики'!AC4431+'19_Расчет_аналитики'!AC4432,0)</f>
        <v/>
      </c>
      <c r="AD4433">
        <f>IF('01_Вводные'!$B$234="Да",'19_Расчет_аналитики'!AD4431+'19_Расчет_аналитики'!AD4432,0)</f>
        <v/>
      </c>
      <c r="AE4433">
        <f>IF('01_Вводные'!$B$234="Да",'19_Расчет_аналитики'!AE4431+'19_Расчет_аналитики'!AE4432,0)</f>
        <v/>
      </c>
      <c r="AF4433">
        <f>IF('01_Вводные'!$B$234="Да",'19_Расчет_аналитики'!AF4431+'19_Расчет_аналитики'!AF4432,0)</f>
        <v/>
      </c>
      <c r="AG4433">
        <f>IF('01_Вводные'!$B$234="Да",'19_Расчет_аналитики'!AG4431+'19_Расчет_аналитики'!AG4432,0)</f>
        <v/>
      </c>
      <c r="AH4433">
        <f>IF('01_Вводные'!$B$234="Да",'19_Расчет_аналитики'!AH4431+'19_Расчет_аналитики'!AH4432,0)</f>
        <v/>
      </c>
      <c r="AI4433">
        <f>IF('01_Вводные'!$B$234="Да",'19_Расчет_аналитики'!AI4431+'19_Расчет_аналитики'!AI4432,0)</f>
        <v/>
      </c>
      <c r="AJ4433">
        <f>IF('01_Вводные'!$B$234="Да",'19_Расчет_аналитики'!AJ4431+'19_Расчет_аналитики'!AJ4432,0)</f>
        <v/>
      </c>
      <c r="AK4433">
        <f>IF('01_Вводные'!$B$234="Да",'19_Расчет_аналитики'!AK4431+'19_Расчет_аналитики'!AK4432,0)</f>
        <v/>
      </c>
      <c r="AL4433">
        <f>IF('01_Вводные'!$B$234="Да",'19_Расчет_аналитики'!AL4431+'19_Расчет_аналитики'!AL4432,0)</f>
        <v/>
      </c>
      <c r="AM4433">
        <f>IF('01_Вводные'!$B$234="Да",'19_Расчет_аналитики'!AM4431+'19_Расчет_аналитики'!AM4432,0)</f>
        <v/>
      </c>
      <c r="AN4433">
        <f>IF('01_Вводные'!$B$234="Да",'19_Расчет_аналитики'!AN4431+'19_Расчет_аналитики'!AN4432,0)</f>
        <v/>
      </c>
      <c r="AO4433">
        <f>IF('01_Вводные'!$B$234="Да",'19_Расчет_аналитики'!AO4431+'19_Расчет_аналитики'!AO4432,0)</f>
        <v/>
      </c>
      <c r="AP4433">
        <f>IF('01_Вводные'!$B$234="Да",'19_Расчет_аналитики'!AP4431+'19_Расчет_аналитики'!AP4432,0)</f>
        <v/>
      </c>
      <c r="AQ4433">
        <f>IF('01_Вводные'!$B$234="Да",'19_Расчет_аналитики'!AQ4431+'19_Расчет_аналитики'!AQ4432,0)</f>
        <v/>
      </c>
      <c r="AR4433">
        <f>IF('01_Вводные'!$B$234="Да",'19_Расчет_аналитики'!AR4431+'19_Расчет_аналитики'!AR4432,0)</f>
        <v/>
      </c>
      <c r="AS4433">
        <f>IF('01_Вводные'!$B$234="Да",'19_Расчет_аналитики'!AS4431+'19_Расчет_аналитики'!AS4432,0)</f>
        <v/>
      </c>
      <c r="AT4433">
        <f>IF('01_Вводные'!$B$234="Да",'19_Расчет_аналитики'!AT4431+'19_Расчет_аналитики'!AT4432,0)</f>
        <v/>
      </c>
      <c r="AU4433">
        <f>IF('01_Вводные'!$B$234="Да",'19_Расчет_аналитики'!AU4431+'19_Расчет_аналитики'!AU4432,0)</f>
        <v/>
      </c>
      <c r="AV4433">
        <f>IF('01_Вводные'!$B$234="Да",'19_Расчет_аналитики'!AV4431+'19_Расчет_аналитики'!AV4432,0)</f>
        <v/>
      </c>
      <c r="AW4433">
        <f>IF('01_Вводные'!$B$234="Да",'19_Расчет_аналитики'!AW4431+'19_Расчет_аналитики'!AW4432,0)</f>
        <v/>
      </c>
      <c r="AX4433">
        <f>IF('01_Вводные'!$B$234="Да",'19_Расчет_аналитики'!AX4431+'19_Расчет_аналитики'!AX4432,0)</f>
        <v/>
      </c>
      <c r="AY4433">
        <f>IF('01_Вводные'!$B$234="Да",'19_Расчет_аналитики'!AY4431+'19_Расчет_аналитики'!AY4432,0)</f>
        <v/>
      </c>
      <c r="AZ4433">
        <f>IF('01_Вводные'!$B$234="Да",'19_Расчет_аналитики'!AZ4431+'19_Расчет_аналитики'!AZ4432,0)</f>
        <v/>
      </c>
      <c r="BA4433">
        <f>IF('01_Вводные'!$B$234="Да",'19_Расчет_аналитики'!BA4431+'19_Расчет_аналитики'!BA4432,0)</f>
        <v/>
      </c>
      <c r="BB4433">
        <f>IF('01_Вводные'!$B$234="Да",'19_Расчет_аналитики'!BB4431+'19_Расчет_аналитики'!BB4432,0)</f>
        <v/>
      </c>
      <c r="BC4433">
        <f>IF('01_Вводные'!$B$234="Да",'19_Расчет_аналитики'!BC4431+'19_Расчет_аналитики'!BC4432,0)</f>
        <v/>
      </c>
      <c r="BD4433">
        <f>IF('01_Вводные'!$B$234="Да",'19_Расчет_аналитики'!BD4431+'19_Расчет_аналитики'!BD4432,0)</f>
        <v/>
      </c>
      <c r="BE4433">
        <f>IF('01_Вводные'!$B$234="Да",'19_Расчет_аналитики'!BE4431+'19_Расчет_аналитики'!BE4432,0)</f>
        <v/>
      </c>
      <c r="BF4433">
        <f>IF('01_Вводные'!$B$234="Да",'19_Расчет_аналитики'!BF4431+'19_Расчет_аналитики'!BF4432,0)</f>
        <v/>
      </c>
      <c r="BG4433">
        <f>IF('01_Вводные'!$B$234="Да",'19_Расчет_аналитики'!BG4431+'19_Расчет_аналитики'!BG4432,0)</f>
        <v/>
      </c>
      <c r="BH4433">
        <f>IF('01_Вводные'!$B$234="Да",'19_Расчет_аналитики'!BH4431+'19_Расчет_аналитики'!BH4432,0)</f>
        <v/>
      </c>
      <c r="BI4433">
        <f>IF('01_Вводные'!$B$234="Да",'19_Расчет_аналитики'!BI4431+'19_Расчет_аналитики'!BI4432,0)</f>
        <v/>
      </c>
      <c r="BJ4433">
        <f>IF('01_Вводные'!$B$234="Да",'19_Расчет_аналитики'!BJ4431+'19_Расчет_аналитики'!BJ4432,0)</f>
        <v/>
      </c>
      <c r="BK4433">
        <f>IF('01_Вводные'!$B$234="Да",'19_Расчет_аналитики'!BK4431+'19_Расчет_аналитики'!BK4432,0)</f>
        <v/>
      </c>
      <c r="BL4433">
        <f>IF('01_Вводные'!$B$234="Да",'19_Расчет_аналитики'!BL4431+'19_Расчет_аналитики'!BL4432,0)</f>
        <v/>
      </c>
      <c r="BM4433">
        <f>IF('01_Вводные'!$B$234="Да",'19_Расчет_аналитики'!BM4431+'19_Расчет_аналитики'!BM4432,0)</f>
        <v/>
      </c>
      <c r="BN4433">
        <f>IF('01_Вводные'!$B$234="Да",'19_Расчет_аналитики'!BN4431+'19_Расчет_аналитики'!BN4432,0)</f>
        <v/>
      </c>
      <c r="BO4433">
        <f>IF('01_Вводные'!$B$234="Да",'19_Расчет_аналитики'!BO4431+'19_Расчет_аналитики'!BO4432,0)</f>
        <v/>
      </c>
    </row>
    <row r="4434"/>
    <row r="4435"/>
    <row r="4436">
      <c r="B4436">
        <f>IF('01_Вводные'!$B$234="Да",IF(OR(1&lt;='01_Вводные'!$B$15,1-'01_Вводные'!$B$15&gt;60),0,IF(INDEX('04_Продажи'!$B$11:$BI$11,1,1-'01_Вводные'!$B$15)&lt;='01_Вводные'!$B$244,'19_Расчет_аналитики'!B4411,0)),0)</f>
        <v/>
      </c>
      <c r="C4436">
        <f>IF('01_Вводные'!$B$234="Да",IF(OR(2&lt;='01_Вводные'!$B$15,2-'01_Вводные'!$B$15&gt;60),0,IF(INDEX('04_Продажи'!$B$11:$BI$11,1,2-'01_Вводные'!$B$15)&lt;='01_Вводные'!$B$244,'19_Расчет_аналитики'!C4411,0)),0)</f>
        <v/>
      </c>
      <c r="D4436">
        <f>IF('01_Вводные'!$B$234="Да",IF(OR(3&lt;='01_Вводные'!$B$15,3-'01_Вводные'!$B$15&gt;60),0,IF(INDEX('04_Продажи'!$B$11:$BI$11,1,3-'01_Вводные'!$B$15)&lt;='01_Вводные'!$B$244,'19_Расчет_аналитики'!D4411,0)),0)</f>
        <v/>
      </c>
      <c r="E4436">
        <f>IF('01_Вводные'!$B$234="Да",IF(OR(4&lt;='01_Вводные'!$B$15,4-'01_Вводные'!$B$15&gt;60),0,IF(INDEX('04_Продажи'!$B$11:$BI$11,1,4-'01_Вводные'!$B$15)&lt;='01_Вводные'!$B$244,'19_Расчет_аналитики'!E4411,0)),0)</f>
        <v/>
      </c>
      <c r="F4436">
        <f>IF('01_Вводные'!$B$234="Да",IF(OR(5&lt;='01_Вводные'!$B$15,5-'01_Вводные'!$B$15&gt;60),0,IF(INDEX('04_Продажи'!$B$11:$BI$11,1,5-'01_Вводные'!$B$15)&lt;='01_Вводные'!$B$244,'19_Расчет_аналитики'!F4411,0)),0)</f>
        <v/>
      </c>
      <c r="G4436">
        <f>IF('01_Вводные'!$B$234="Да",IF(OR(6&lt;='01_Вводные'!$B$15,6-'01_Вводные'!$B$15&gt;60),0,IF(INDEX('04_Продажи'!$B$11:$BI$11,1,6-'01_Вводные'!$B$15)&lt;='01_Вводные'!$B$244,'19_Расчет_аналитики'!G4411,0)),0)</f>
        <v/>
      </c>
      <c r="H4436">
        <f>IF('01_Вводные'!$B$234="Да",IF(OR(7&lt;='01_Вводные'!$B$15,7-'01_Вводные'!$B$15&gt;60),0,IF(INDEX('04_Продажи'!$B$11:$BI$11,1,7-'01_Вводные'!$B$15)&lt;='01_Вводные'!$B$244,'19_Расчет_аналитики'!H4411,0)),0)</f>
        <v/>
      </c>
      <c r="I4436">
        <f>IF('01_Вводные'!$B$234="Да",IF(OR(8&lt;='01_Вводные'!$B$15,8-'01_Вводные'!$B$15&gt;60),0,IF(INDEX('04_Продажи'!$B$11:$BI$11,1,8-'01_Вводные'!$B$15)&lt;='01_Вводные'!$B$244,'19_Расчет_аналитики'!I4411,0)),0)</f>
        <v/>
      </c>
      <c r="J4436">
        <f>IF('01_Вводные'!$B$234="Да",IF(OR(9&lt;='01_Вводные'!$B$15,9-'01_Вводные'!$B$15&gt;60),0,IF(INDEX('04_Продажи'!$B$11:$BI$11,1,9-'01_Вводные'!$B$15)&lt;='01_Вводные'!$B$244,'19_Расчет_аналитики'!J4411,0)),0)</f>
        <v/>
      </c>
      <c r="K4436">
        <f>IF('01_Вводные'!$B$234="Да",IF(OR(10&lt;='01_Вводные'!$B$15,10-'01_Вводные'!$B$15&gt;60),0,IF(INDEX('04_Продажи'!$B$11:$BI$11,1,10-'01_Вводные'!$B$15)&lt;='01_Вводные'!$B$244,'19_Расчет_аналитики'!K4411,0)),0)</f>
        <v/>
      </c>
      <c r="L4436">
        <f>IF('01_Вводные'!$B$234="Да",IF(OR(11&lt;='01_Вводные'!$B$15,11-'01_Вводные'!$B$15&gt;60),0,IF(INDEX('04_Продажи'!$B$11:$BI$11,1,11-'01_Вводные'!$B$15)&lt;='01_Вводные'!$B$244,'19_Расчет_аналитики'!L4411,0)),0)</f>
        <v/>
      </c>
      <c r="M4436">
        <f>IF('01_Вводные'!$B$234="Да",IF(OR(12&lt;='01_Вводные'!$B$15,12-'01_Вводные'!$B$15&gt;60),0,IF(INDEX('04_Продажи'!$B$11:$BI$11,1,12-'01_Вводные'!$B$15)&lt;='01_Вводные'!$B$244,'19_Расчет_аналитики'!M4411,0)),0)</f>
        <v/>
      </c>
      <c r="N4436">
        <f>IF('01_Вводные'!$B$234="Да",IF(OR(13&lt;='01_Вводные'!$B$15,13-'01_Вводные'!$B$15&gt;60),0,IF(INDEX('04_Продажи'!$B$11:$BI$11,1,13-'01_Вводные'!$B$15)&lt;='01_Вводные'!$B$244,'19_Расчет_аналитики'!N4411,0)),0)</f>
        <v/>
      </c>
      <c r="O4436">
        <f>IF('01_Вводные'!$B$234="Да",IF(OR(14&lt;='01_Вводные'!$B$15,14-'01_Вводные'!$B$15&gt;60),0,IF(INDEX('04_Продажи'!$B$11:$BI$11,1,14-'01_Вводные'!$B$15)&lt;='01_Вводные'!$B$244,'19_Расчет_аналитики'!O4411,0)),0)</f>
        <v/>
      </c>
      <c r="P4436">
        <f>IF('01_Вводные'!$B$234="Да",IF(OR(15&lt;='01_Вводные'!$B$15,15-'01_Вводные'!$B$15&gt;60),0,IF(INDEX('04_Продажи'!$B$11:$BI$11,1,15-'01_Вводные'!$B$15)&lt;='01_Вводные'!$B$244,'19_Расчет_аналитики'!P4411,0)),0)</f>
        <v/>
      </c>
      <c r="Q4436">
        <f>IF('01_Вводные'!$B$234="Да",IF(OR(16&lt;='01_Вводные'!$B$15,16-'01_Вводные'!$B$15&gt;60),0,IF(INDEX('04_Продажи'!$B$11:$BI$11,1,16-'01_Вводные'!$B$15)&lt;='01_Вводные'!$B$244,'19_Расчет_аналитики'!Q4411,0)),0)</f>
        <v/>
      </c>
      <c r="R4436">
        <f>IF('01_Вводные'!$B$234="Да",IF(OR(17&lt;='01_Вводные'!$B$15,17-'01_Вводные'!$B$15&gt;60),0,IF(INDEX('04_Продажи'!$B$11:$BI$11,1,17-'01_Вводные'!$B$15)&lt;='01_Вводные'!$B$244,'19_Расчет_аналитики'!R4411,0)),0)</f>
        <v/>
      </c>
      <c r="S4436">
        <f>IF('01_Вводные'!$B$234="Да",IF(OR(18&lt;='01_Вводные'!$B$15,18-'01_Вводные'!$B$15&gt;60),0,IF(INDEX('04_Продажи'!$B$11:$BI$11,1,18-'01_Вводные'!$B$15)&lt;='01_Вводные'!$B$244,'19_Расчет_аналитики'!S4411,0)),0)</f>
        <v/>
      </c>
      <c r="T4436">
        <f>IF('01_Вводные'!$B$234="Да",IF(OR(19&lt;='01_Вводные'!$B$15,19-'01_Вводные'!$B$15&gt;60),0,IF(INDEX('04_Продажи'!$B$11:$BI$11,1,19-'01_Вводные'!$B$15)&lt;='01_Вводные'!$B$244,'19_Расчет_аналитики'!T4411,0)),0)</f>
        <v/>
      </c>
      <c r="U4436">
        <f>IF('01_Вводные'!$B$234="Да",IF(OR(20&lt;='01_Вводные'!$B$15,20-'01_Вводные'!$B$15&gt;60),0,IF(INDEX('04_Продажи'!$B$11:$BI$11,1,20-'01_Вводные'!$B$15)&lt;='01_Вводные'!$B$244,'19_Расчет_аналитики'!U4411,0)),0)</f>
        <v/>
      </c>
      <c r="V4436">
        <f>IF('01_Вводные'!$B$234="Да",IF(OR(21&lt;='01_Вводные'!$B$15,21-'01_Вводные'!$B$15&gt;60),0,IF(INDEX('04_Продажи'!$B$11:$BI$11,1,21-'01_Вводные'!$B$15)&lt;='01_Вводные'!$B$244,'19_Расчет_аналитики'!V4411,0)),0)</f>
        <v/>
      </c>
      <c r="W4436">
        <f>IF('01_Вводные'!$B$234="Да",IF(OR(22&lt;='01_Вводные'!$B$15,22-'01_Вводные'!$B$15&gt;60),0,IF(INDEX('04_Продажи'!$B$11:$BI$11,1,22-'01_Вводные'!$B$15)&lt;='01_Вводные'!$B$244,'19_Расчет_аналитики'!W4411,0)),0)</f>
        <v/>
      </c>
      <c r="X4436">
        <f>IF('01_Вводные'!$B$234="Да",IF(OR(23&lt;='01_Вводные'!$B$15,23-'01_Вводные'!$B$15&gt;60),0,IF(INDEX('04_Продажи'!$B$11:$BI$11,1,23-'01_Вводные'!$B$15)&lt;='01_Вводные'!$B$244,'19_Расчет_аналитики'!X4411,0)),0)</f>
        <v/>
      </c>
      <c r="Y4436">
        <f>IF('01_Вводные'!$B$234="Да",IF(OR(24&lt;='01_Вводные'!$B$15,24-'01_Вводные'!$B$15&gt;60),0,IF(INDEX('04_Продажи'!$B$11:$BI$11,1,24-'01_Вводные'!$B$15)&lt;='01_Вводные'!$B$244,'19_Расчет_аналитики'!Y4411,0)),0)</f>
        <v/>
      </c>
      <c r="Z4436">
        <f>IF('01_Вводные'!$B$234="Да",IF(OR(25&lt;='01_Вводные'!$B$15,25-'01_Вводные'!$B$15&gt;60),0,IF(INDEX('04_Продажи'!$B$11:$BI$11,1,25-'01_Вводные'!$B$15)&lt;='01_Вводные'!$B$244,'19_Расчет_аналитики'!Z4411,0)),0)</f>
        <v/>
      </c>
      <c r="AA4436">
        <f>IF('01_Вводные'!$B$234="Да",IF(OR(26&lt;='01_Вводные'!$B$15,26-'01_Вводные'!$B$15&gt;60),0,IF(INDEX('04_Продажи'!$B$11:$BI$11,1,26-'01_Вводные'!$B$15)&lt;='01_Вводные'!$B$244,'19_Расчет_аналитики'!AA4411,0)),0)</f>
        <v/>
      </c>
      <c r="AB4436">
        <f>IF('01_Вводные'!$B$234="Да",IF(OR(27&lt;='01_Вводные'!$B$15,27-'01_Вводные'!$B$15&gt;60),0,IF(INDEX('04_Продажи'!$B$11:$BI$11,1,27-'01_Вводные'!$B$15)&lt;='01_Вводные'!$B$244,'19_Расчет_аналитики'!AB4411,0)),0)</f>
        <v/>
      </c>
      <c r="AC4436">
        <f>IF('01_Вводные'!$B$234="Да",IF(OR(28&lt;='01_Вводные'!$B$15,28-'01_Вводные'!$B$15&gt;60),0,IF(INDEX('04_Продажи'!$B$11:$BI$11,1,28-'01_Вводные'!$B$15)&lt;='01_Вводные'!$B$244,'19_Расчет_аналитики'!AC4411,0)),0)</f>
        <v/>
      </c>
      <c r="AD4436">
        <f>IF('01_Вводные'!$B$234="Да",IF(OR(29&lt;='01_Вводные'!$B$15,29-'01_Вводные'!$B$15&gt;60),0,IF(INDEX('04_Продажи'!$B$11:$BI$11,1,29-'01_Вводные'!$B$15)&lt;='01_Вводные'!$B$244,'19_Расчет_аналитики'!AD4411,0)),0)</f>
        <v/>
      </c>
      <c r="AE4436">
        <f>IF('01_Вводные'!$B$234="Да",IF(OR(30&lt;='01_Вводные'!$B$15,30-'01_Вводные'!$B$15&gt;60),0,IF(INDEX('04_Продажи'!$B$11:$BI$11,1,30-'01_Вводные'!$B$15)&lt;='01_Вводные'!$B$244,'19_Расчет_аналитики'!AE4411,0)),0)</f>
        <v/>
      </c>
      <c r="AF4436">
        <f>IF('01_Вводные'!$B$234="Да",IF(OR(31&lt;='01_Вводные'!$B$15,31-'01_Вводные'!$B$15&gt;60),0,IF(INDEX('04_Продажи'!$B$11:$BI$11,1,31-'01_Вводные'!$B$15)&lt;='01_Вводные'!$B$244,'19_Расчет_аналитики'!AF4411,0)),0)</f>
        <v/>
      </c>
      <c r="AG4436">
        <f>IF('01_Вводные'!$B$234="Да",IF(OR(32&lt;='01_Вводные'!$B$15,32-'01_Вводные'!$B$15&gt;60),0,IF(INDEX('04_Продажи'!$B$11:$BI$11,1,32-'01_Вводные'!$B$15)&lt;='01_Вводные'!$B$244,'19_Расчет_аналитики'!AG4411,0)),0)</f>
        <v/>
      </c>
      <c r="AH4436">
        <f>IF('01_Вводные'!$B$234="Да",IF(OR(33&lt;='01_Вводные'!$B$15,33-'01_Вводные'!$B$15&gt;60),0,IF(INDEX('04_Продажи'!$B$11:$BI$11,1,33-'01_Вводные'!$B$15)&lt;='01_Вводные'!$B$244,'19_Расчет_аналитики'!AH4411,0)),0)</f>
        <v/>
      </c>
      <c r="AI4436">
        <f>IF('01_Вводные'!$B$234="Да",IF(OR(34&lt;='01_Вводные'!$B$15,34-'01_Вводные'!$B$15&gt;60),0,IF(INDEX('04_Продажи'!$B$11:$BI$11,1,34-'01_Вводные'!$B$15)&lt;='01_Вводные'!$B$244,'19_Расчет_аналитики'!AI4411,0)),0)</f>
        <v/>
      </c>
      <c r="AJ4436">
        <f>IF('01_Вводные'!$B$234="Да",IF(OR(35&lt;='01_Вводные'!$B$15,35-'01_Вводные'!$B$15&gt;60),0,IF(INDEX('04_Продажи'!$B$11:$BI$11,1,35-'01_Вводные'!$B$15)&lt;='01_Вводные'!$B$244,'19_Расчет_аналитики'!AJ4411,0)),0)</f>
        <v/>
      </c>
      <c r="AK4436">
        <f>IF('01_Вводные'!$B$234="Да",IF(OR(36&lt;='01_Вводные'!$B$15,36-'01_Вводные'!$B$15&gt;60),0,IF(INDEX('04_Продажи'!$B$11:$BI$11,1,36-'01_Вводные'!$B$15)&lt;='01_Вводные'!$B$244,'19_Расчет_аналитики'!AK4411,0)),0)</f>
        <v/>
      </c>
      <c r="AL4436">
        <f>IF('01_Вводные'!$B$234="Да",IF(OR(37&lt;='01_Вводные'!$B$15,37-'01_Вводные'!$B$15&gt;60),0,IF(INDEX('04_Продажи'!$B$11:$BI$11,1,37-'01_Вводные'!$B$15)&lt;='01_Вводные'!$B$244,'19_Расчет_аналитики'!AL4411,0)),0)</f>
        <v/>
      </c>
      <c r="AM4436">
        <f>IF('01_Вводные'!$B$234="Да",IF(OR(38&lt;='01_Вводные'!$B$15,38-'01_Вводные'!$B$15&gt;60),0,IF(INDEX('04_Продажи'!$B$11:$BI$11,1,38-'01_Вводные'!$B$15)&lt;='01_Вводные'!$B$244,'19_Расчет_аналитики'!AM4411,0)),0)</f>
        <v/>
      </c>
      <c r="AN4436">
        <f>IF('01_Вводные'!$B$234="Да",IF(OR(39&lt;='01_Вводные'!$B$15,39-'01_Вводные'!$B$15&gt;60),0,IF(INDEX('04_Продажи'!$B$11:$BI$11,1,39-'01_Вводные'!$B$15)&lt;='01_Вводные'!$B$244,'19_Расчет_аналитики'!AN4411,0)),0)</f>
        <v/>
      </c>
      <c r="AO4436">
        <f>IF('01_Вводные'!$B$234="Да",IF(OR(40&lt;='01_Вводные'!$B$15,40-'01_Вводные'!$B$15&gt;60),0,IF(INDEX('04_Продажи'!$B$11:$BI$11,1,40-'01_Вводные'!$B$15)&lt;='01_Вводные'!$B$244,'19_Расчет_аналитики'!AO4411,0)),0)</f>
        <v/>
      </c>
      <c r="AP4436">
        <f>IF('01_Вводные'!$B$234="Да",IF(OR(41&lt;='01_Вводные'!$B$15,41-'01_Вводные'!$B$15&gt;60),0,IF(INDEX('04_Продажи'!$B$11:$BI$11,1,41-'01_Вводные'!$B$15)&lt;='01_Вводные'!$B$244,'19_Расчет_аналитики'!AP4411,0)),0)</f>
        <v/>
      </c>
      <c r="AQ4436">
        <f>IF('01_Вводные'!$B$234="Да",IF(OR(42&lt;='01_Вводные'!$B$15,42-'01_Вводные'!$B$15&gt;60),0,IF(INDEX('04_Продажи'!$B$11:$BI$11,1,42-'01_Вводные'!$B$15)&lt;='01_Вводные'!$B$244,'19_Расчет_аналитики'!AQ4411,0)),0)</f>
        <v/>
      </c>
      <c r="AR4436">
        <f>IF('01_Вводные'!$B$234="Да",IF(OR(43&lt;='01_Вводные'!$B$15,43-'01_Вводные'!$B$15&gt;60),0,IF(INDEX('04_Продажи'!$B$11:$BI$11,1,43-'01_Вводные'!$B$15)&lt;='01_Вводные'!$B$244,'19_Расчет_аналитики'!AR4411,0)),0)</f>
        <v/>
      </c>
      <c r="AS4436">
        <f>IF('01_Вводные'!$B$234="Да",IF(OR(44&lt;='01_Вводные'!$B$15,44-'01_Вводные'!$B$15&gt;60),0,IF(INDEX('04_Продажи'!$B$11:$BI$11,1,44-'01_Вводные'!$B$15)&lt;='01_Вводные'!$B$244,'19_Расчет_аналитики'!AS4411,0)),0)</f>
        <v/>
      </c>
      <c r="AT4436">
        <f>IF('01_Вводные'!$B$234="Да",IF(OR(45&lt;='01_Вводные'!$B$15,45-'01_Вводные'!$B$15&gt;60),0,IF(INDEX('04_Продажи'!$B$11:$BI$11,1,45-'01_Вводные'!$B$15)&lt;='01_Вводные'!$B$244,'19_Расчет_аналитики'!AT4411,0)),0)</f>
        <v/>
      </c>
      <c r="AU4436">
        <f>IF('01_Вводные'!$B$234="Да",IF(OR(46&lt;='01_Вводные'!$B$15,46-'01_Вводные'!$B$15&gt;60),0,IF(INDEX('04_Продажи'!$B$11:$BI$11,1,46-'01_Вводные'!$B$15)&lt;='01_Вводные'!$B$244,'19_Расчет_аналитики'!AU4411,0)),0)</f>
        <v/>
      </c>
      <c r="AV4436">
        <f>IF('01_Вводные'!$B$234="Да",IF(OR(47&lt;='01_Вводные'!$B$15,47-'01_Вводные'!$B$15&gt;60),0,IF(INDEX('04_Продажи'!$B$11:$BI$11,1,47-'01_Вводные'!$B$15)&lt;='01_Вводные'!$B$244,'19_Расчет_аналитики'!AV4411,0)),0)</f>
        <v/>
      </c>
      <c r="AW4436">
        <f>IF('01_Вводные'!$B$234="Да",IF(OR(48&lt;='01_Вводные'!$B$15,48-'01_Вводные'!$B$15&gt;60),0,IF(INDEX('04_Продажи'!$B$11:$BI$11,1,48-'01_Вводные'!$B$15)&lt;='01_Вводные'!$B$244,'19_Расчет_аналитики'!AW4411,0)),0)</f>
        <v/>
      </c>
      <c r="AX4436">
        <f>IF('01_Вводные'!$B$234="Да",IF(OR(49&lt;='01_Вводные'!$B$15,49-'01_Вводные'!$B$15&gt;60),0,IF(INDEX('04_Продажи'!$B$11:$BI$11,1,49-'01_Вводные'!$B$15)&lt;='01_Вводные'!$B$244,'19_Расчет_аналитики'!AX4411,0)),0)</f>
        <v/>
      </c>
      <c r="AY4436">
        <f>IF('01_Вводные'!$B$234="Да",IF(OR(50&lt;='01_Вводные'!$B$15,50-'01_Вводные'!$B$15&gt;60),0,IF(INDEX('04_Продажи'!$B$11:$BI$11,1,50-'01_Вводные'!$B$15)&lt;='01_Вводные'!$B$244,'19_Расчет_аналитики'!AY4411,0)),0)</f>
        <v/>
      </c>
      <c r="AZ4436">
        <f>IF('01_Вводные'!$B$234="Да",IF(OR(51&lt;='01_Вводные'!$B$15,51-'01_Вводные'!$B$15&gt;60),0,IF(INDEX('04_Продажи'!$B$11:$BI$11,1,51-'01_Вводные'!$B$15)&lt;='01_Вводные'!$B$244,'19_Расчет_аналитики'!AZ4411,0)),0)</f>
        <v/>
      </c>
      <c r="BA4436">
        <f>IF('01_Вводные'!$B$234="Да",IF(OR(52&lt;='01_Вводные'!$B$15,52-'01_Вводные'!$B$15&gt;60),0,IF(INDEX('04_Продажи'!$B$11:$BI$11,1,52-'01_Вводные'!$B$15)&lt;='01_Вводные'!$B$244,'19_Расчет_аналитики'!BA4411,0)),0)</f>
        <v/>
      </c>
      <c r="BB4436">
        <f>IF('01_Вводные'!$B$234="Да",IF(OR(53&lt;='01_Вводные'!$B$15,53-'01_Вводные'!$B$15&gt;60),0,IF(INDEX('04_Продажи'!$B$11:$BI$11,1,53-'01_Вводные'!$B$15)&lt;='01_Вводные'!$B$244,'19_Расчет_аналитики'!BB4411,0)),0)</f>
        <v/>
      </c>
      <c r="BC4436">
        <f>IF('01_Вводные'!$B$234="Да",IF(OR(54&lt;='01_Вводные'!$B$15,54-'01_Вводные'!$B$15&gt;60),0,IF(INDEX('04_Продажи'!$B$11:$BI$11,1,54-'01_Вводные'!$B$15)&lt;='01_Вводные'!$B$244,'19_Расчет_аналитики'!BC4411,0)),0)</f>
        <v/>
      </c>
      <c r="BD4436">
        <f>IF('01_Вводные'!$B$234="Да",IF(OR(55&lt;='01_Вводные'!$B$15,55-'01_Вводные'!$B$15&gt;60),0,IF(INDEX('04_Продажи'!$B$11:$BI$11,1,55-'01_Вводные'!$B$15)&lt;='01_Вводные'!$B$244,'19_Расчет_аналитики'!BD4411,0)),0)</f>
        <v/>
      </c>
      <c r="BE4436">
        <f>IF('01_Вводные'!$B$234="Да",IF(OR(56&lt;='01_Вводные'!$B$15,56-'01_Вводные'!$B$15&gt;60),0,IF(INDEX('04_Продажи'!$B$11:$BI$11,1,56-'01_Вводные'!$B$15)&lt;='01_Вводные'!$B$244,'19_Расчет_аналитики'!BE4411,0)),0)</f>
        <v/>
      </c>
      <c r="BF4436">
        <f>IF('01_Вводные'!$B$234="Да",IF(OR(57&lt;='01_Вводные'!$B$15,57-'01_Вводные'!$B$15&gt;60),0,IF(INDEX('04_Продажи'!$B$11:$BI$11,1,57-'01_Вводные'!$B$15)&lt;='01_Вводные'!$B$244,'19_Расчет_аналитики'!BF4411,0)),0)</f>
        <v/>
      </c>
      <c r="BG4436">
        <f>IF('01_Вводные'!$B$234="Да",IF(OR(58&lt;='01_Вводные'!$B$15,58-'01_Вводные'!$B$15&gt;60),0,IF(INDEX('04_Продажи'!$B$11:$BI$11,1,58-'01_Вводные'!$B$15)&lt;='01_Вводные'!$B$244,'19_Расчет_аналитики'!BG4411,0)),0)</f>
        <v/>
      </c>
      <c r="BH4436">
        <f>IF('01_Вводные'!$B$234="Да",IF(OR(59&lt;='01_Вводные'!$B$15,59-'01_Вводные'!$B$15&gt;60),0,IF(INDEX('04_Продажи'!$B$11:$BI$11,1,59-'01_Вводные'!$B$15)&lt;='01_Вводные'!$B$244,'19_Расчет_аналитики'!BH4411,0)),0)</f>
        <v/>
      </c>
      <c r="BI4436">
        <f>IF('01_Вводные'!$B$234="Да",IF(OR(60&lt;='01_Вводные'!$B$15,60-'01_Вводные'!$B$15&gt;60),0,IF(INDEX('04_Продажи'!$B$11:$BI$11,1,60-'01_Вводные'!$B$15)&lt;='01_Вводные'!$B$244,'19_Расчет_аналитики'!BI4411,0)),0)</f>
        <v/>
      </c>
      <c r="BJ4436">
        <f>IF('01_Вводные'!$B$234="Да",IF(OR(61&lt;='01_Вводные'!$B$15,61-'01_Вводные'!$B$15&gt;60),0,IF(INDEX('04_Продажи'!$B$11:$BI$11,1,61-'01_Вводные'!$B$15)&lt;='01_Вводные'!$B$244,'19_Расчет_аналитики'!BJ4411,0)),0)</f>
        <v/>
      </c>
      <c r="BK4436">
        <f>IF('01_Вводные'!$B$234="Да",IF(OR(62&lt;='01_Вводные'!$B$15,62-'01_Вводные'!$B$15&gt;60),0,IF(INDEX('04_Продажи'!$B$11:$BI$11,1,62-'01_Вводные'!$B$15)&lt;='01_Вводные'!$B$244,'19_Расчет_аналитики'!BK4411,0)),0)</f>
        <v/>
      </c>
      <c r="BL4436">
        <f>IF('01_Вводные'!$B$234="Да",IF(OR(63&lt;='01_Вводные'!$B$15,63-'01_Вводные'!$B$15&gt;60),0,IF(INDEX('04_Продажи'!$B$11:$BI$11,1,63-'01_Вводные'!$B$15)&lt;='01_Вводные'!$B$244,'19_Расчет_аналитики'!BL4411,0)),0)</f>
        <v/>
      </c>
      <c r="BM4436">
        <f>IF('01_Вводные'!$B$234="Да",IF(OR(64&lt;='01_Вводные'!$B$15,64-'01_Вводные'!$B$15&gt;60),0,IF(INDEX('04_Продажи'!$B$11:$BI$11,1,64-'01_Вводные'!$B$15)&lt;='01_Вводные'!$B$244,'19_Расчет_аналитики'!BM4411,0)),0)</f>
        <v/>
      </c>
      <c r="BN4436">
        <f>IF('01_Вводные'!$B$234="Да",IF(OR(65&lt;='01_Вводные'!$B$15,65-'01_Вводные'!$B$15&gt;60),0,IF(INDEX('04_Продажи'!$B$11:$BI$11,1,65-'01_Вводные'!$B$15)&lt;='01_Вводные'!$B$244,'19_Расчет_аналитики'!BN4411,0)),0)</f>
        <v/>
      </c>
      <c r="BO4436">
        <f>IF('01_Вводные'!$B$234="Да",IF(OR(66&lt;='01_Вводные'!$B$15,66-'01_Вводные'!$B$15&gt;60),0,IF(INDEX('04_Продажи'!$B$11:$BI$11,1,66-'01_Вводные'!$B$15)&lt;='01_Вводные'!$B$244,'19_Расчет_аналитики'!BO4411,0)),0)</f>
        <v/>
      </c>
    </row>
    <row r="4437">
      <c r="B4437">
        <f>IF('01_Вводные'!$B$234="Да",SUM('19_Расчет_аналитики'!B4484:B4495),0)</f>
        <v/>
      </c>
      <c r="C4437">
        <f>IF('01_Вводные'!$B$234="Да",SUM('19_Расчет_аналитики'!C4484:C4495),0)</f>
        <v/>
      </c>
      <c r="D4437">
        <f>IF('01_Вводные'!$B$234="Да",SUM('19_Расчет_аналитики'!D4484:D4495),0)</f>
        <v/>
      </c>
      <c r="E4437">
        <f>IF('01_Вводные'!$B$234="Да",SUM('19_Расчет_аналитики'!E4484:E4495),0)</f>
        <v/>
      </c>
      <c r="F4437">
        <f>IF('01_Вводные'!$B$234="Да",SUM('19_Расчет_аналитики'!F4484:F4495),0)</f>
        <v/>
      </c>
      <c r="G4437">
        <f>IF('01_Вводные'!$B$234="Да",SUM('19_Расчет_аналитики'!G4484:G4495),0)</f>
        <v/>
      </c>
      <c r="H4437">
        <f>IF('01_Вводные'!$B$234="Да",SUM('19_Расчет_аналитики'!H4484:H4495),0)</f>
        <v/>
      </c>
      <c r="I4437">
        <f>IF('01_Вводные'!$B$234="Да",SUM('19_Расчет_аналитики'!I4484:I4495),0)</f>
        <v/>
      </c>
      <c r="J4437">
        <f>IF('01_Вводные'!$B$234="Да",SUM('19_Расчет_аналитики'!J4484:J4495),0)</f>
        <v/>
      </c>
      <c r="K4437">
        <f>IF('01_Вводные'!$B$234="Да",SUM('19_Расчет_аналитики'!K4484:K4495),0)</f>
        <v/>
      </c>
      <c r="L4437">
        <f>IF('01_Вводные'!$B$234="Да",SUM('19_Расчет_аналитики'!L4484:L4495),0)</f>
        <v/>
      </c>
      <c r="M4437">
        <f>IF('01_Вводные'!$B$234="Да",SUM('19_Расчет_аналитики'!M4484:M4495),0)</f>
        <v/>
      </c>
      <c r="N4437">
        <f>IF('01_Вводные'!$B$234="Да",SUM('19_Расчет_аналитики'!N4484:N4495),0)</f>
        <v/>
      </c>
      <c r="O4437">
        <f>IF('01_Вводные'!$B$234="Да",SUM('19_Расчет_аналитики'!O4484:O4495),0)</f>
        <v/>
      </c>
      <c r="P4437">
        <f>IF('01_Вводные'!$B$234="Да",SUM('19_Расчет_аналитики'!P4484:P4495),0)</f>
        <v/>
      </c>
      <c r="Q4437">
        <f>IF('01_Вводные'!$B$234="Да",SUM('19_Расчет_аналитики'!Q4484:Q4495),0)</f>
        <v/>
      </c>
      <c r="R4437">
        <f>IF('01_Вводные'!$B$234="Да",SUM('19_Расчет_аналитики'!R4484:R4495),0)</f>
        <v/>
      </c>
      <c r="S4437">
        <f>IF('01_Вводные'!$B$234="Да",SUM('19_Расчет_аналитики'!S4484:S4495),0)</f>
        <v/>
      </c>
      <c r="T4437">
        <f>IF('01_Вводные'!$B$234="Да",SUM('19_Расчет_аналитики'!T4484:T4495),0)</f>
        <v/>
      </c>
      <c r="U4437">
        <f>IF('01_Вводные'!$B$234="Да",SUM('19_Расчет_аналитики'!U4484:U4495),0)</f>
        <v/>
      </c>
      <c r="V4437">
        <f>IF('01_Вводные'!$B$234="Да",SUM('19_Расчет_аналитики'!V4484:V4495),0)</f>
        <v/>
      </c>
      <c r="W4437">
        <f>IF('01_Вводные'!$B$234="Да",SUM('19_Расчет_аналитики'!W4484:W4495),0)</f>
        <v/>
      </c>
      <c r="X4437">
        <f>IF('01_Вводные'!$B$234="Да",SUM('19_Расчет_аналитики'!X4484:X4495),0)</f>
        <v/>
      </c>
      <c r="Y4437">
        <f>IF('01_Вводные'!$B$234="Да",SUM('19_Расчет_аналитики'!Y4484:Y4495),0)</f>
        <v/>
      </c>
      <c r="Z4437">
        <f>IF('01_Вводные'!$B$234="Да",SUM('19_Расчет_аналитики'!Z4484:Z4495),0)</f>
        <v/>
      </c>
      <c r="AA4437">
        <f>IF('01_Вводные'!$B$234="Да",SUM('19_Расчет_аналитики'!AA4484:AA4495),0)</f>
        <v/>
      </c>
      <c r="AB4437">
        <f>IF('01_Вводные'!$B$234="Да",SUM('19_Расчет_аналитики'!AB4484:AB4495),0)</f>
        <v/>
      </c>
      <c r="AC4437">
        <f>IF('01_Вводные'!$B$234="Да",SUM('19_Расчет_аналитики'!AC4484:AC4495),0)</f>
        <v/>
      </c>
      <c r="AD4437">
        <f>IF('01_Вводные'!$B$234="Да",SUM('19_Расчет_аналитики'!AD4484:AD4495),0)</f>
        <v/>
      </c>
      <c r="AE4437">
        <f>IF('01_Вводные'!$B$234="Да",SUM('19_Расчет_аналитики'!AE4484:AE4495),0)</f>
        <v/>
      </c>
      <c r="AF4437">
        <f>IF('01_Вводные'!$B$234="Да",SUM('19_Расчет_аналитики'!AF4484:AF4495),0)</f>
        <v/>
      </c>
      <c r="AG4437">
        <f>IF('01_Вводные'!$B$234="Да",SUM('19_Расчет_аналитики'!AG4484:AG4495),0)</f>
        <v/>
      </c>
      <c r="AH4437">
        <f>IF('01_Вводные'!$B$234="Да",SUM('19_Расчет_аналитики'!AH4484:AH4495),0)</f>
        <v/>
      </c>
      <c r="AI4437">
        <f>IF('01_Вводные'!$B$234="Да",SUM('19_Расчет_аналитики'!AI4484:AI4495),0)</f>
        <v/>
      </c>
      <c r="AJ4437">
        <f>IF('01_Вводные'!$B$234="Да",SUM('19_Расчет_аналитики'!AJ4484:AJ4495),0)</f>
        <v/>
      </c>
      <c r="AK4437">
        <f>IF('01_Вводные'!$B$234="Да",SUM('19_Расчет_аналитики'!AK4484:AK4495),0)</f>
        <v/>
      </c>
      <c r="AL4437">
        <f>IF('01_Вводные'!$B$234="Да",SUM('19_Расчет_аналитики'!AL4484:AL4495),0)</f>
        <v/>
      </c>
      <c r="AM4437">
        <f>IF('01_Вводные'!$B$234="Да",SUM('19_Расчет_аналитики'!AM4484:AM4495),0)</f>
        <v/>
      </c>
      <c r="AN4437">
        <f>IF('01_Вводные'!$B$234="Да",SUM('19_Расчет_аналитики'!AN4484:AN4495),0)</f>
        <v/>
      </c>
      <c r="AO4437">
        <f>IF('01_Вводные'!$B$234="Да",SUM('19_Расчет_аналитики'!AO4484:AO4495),0)</f>
        <v/>
      </c>
      <c r="AP4437">
        <f>IF('01_Вводные'!$B$234="Да",SUM('19_Расчет_аналитики'!AP4484:AP4495),0)</f>
        <v/>
      </c>
      <c r="AQ4437">
        <f>IF('01_Вводные'!$B$234="Да",SUM('19_Расчет_аналитики'!AQ4484:AQ4495),0)</f>
        <v/>
      </c>
      <c r="AR4437">
        <f>IF('01_Вводные'!$B$234="Да",SUM('19_Расчет_аналитики'!AR4484:AR4495),0)</f>
        <v/>
      </c>
      <c r="AS4437">
        <f>IF('01_Вводные'!$B$234="Да",SUM('19_Расчет_аналитики'!AS4484:AS4495),0)</f>
        <v/>
      </c>
      <c r="AT4437">
        <f>IF('01_Вводные'!$B$234="Да",SUM('19_Расчет_аналитики'!AT4484:AT4495),0)</f>
        <v/>
      </c>
      <c r="AU4437">
        <f>IF('01_Вводные'!$B$234="Да",SUM('19_Расчет_аналитики'!AU4484:AU4495),0)</f>
        <v/>
      </c>
      <c r="AV4437">
        <f>IF('01_Вводные'!$B$234="Да",SUM('19_Расчет_аналитики'!AV4484:AV4495),0)</f>
        <v/>
      </c>
      <c r="AW4437">
        <f>IF('01_Вводные'!$B$234="Да",SUM('19_Расчет_аналитики'!AW4484:AW4495),0)</f>
        <v/>
      </c>
      <c r="AX4437">
        <f>IF('01_Вводные'!$B$234="Да",SUM('19_Расчет_аналитики'!AX4484:AX4495),0)</f>
        <v/>
      </c>
      <c r="AY4437">
        <f>IF('01_Вводные'!$B$234="Да",SUM('19_Расчет_аналитики'!AY4484:AY4495),0)</f>
        <v/>
      </c>
      <c r="AZ4437">
        <f>IF('01_Вводные'!$B$234="Да",SUM('19_Расчет_аналитики'!AZ4484:AZ4495),0)</f>
        <v/>
      </c>
      <c r="BA4437">
        <f>IF('01_Вводные'!$B$234="Да",SUM('19_Расчет_аналитики'!BA4484:BA4495),0)</f>
        <v/>
      </c>
      <c r="BB4437">
        <f>IF('01_Вводные'!$B$234="Да",SUM('19_Расчет_аналитики'!BB4484:BB4495),0)</f>
        <v/>
      </c>
      <c r="BC4437">
        <f>IF('01_Вводные'!$B$234="Да",SUM('19_Расчет_аналитики'!BC4484:BC4495),0)</f>
        <v/>
      </c>
      <c r="BD4437">
        <f>IF('01_Вводные'!$B$234="Да",SUM('19_Расчет_аналитики'!BD4484:BD4495),0)</f>
        <v/>
      </c>
      <c r="BE4437">
        <f>IF('01_Вводные'!$B$234="Да",SUM('19_Расчет_аналитики'!BE4484:BE4495),0)</f>
        <v/>
      </c>
      <c r="BF4437">
        <f>IF('01_Вводные'!$B$234="Да",SUM('19_Расчет_аналитики'!BF4484:BF4495),0)</f>
        <v/>
      </c>
      <c r="BG4437">
        <f>IF('01_Вводные'!$B$234="Да",SUM('19_Расчет_аналитики'!BG4484:BG4495),0)</f>
        <v/>
      </c>
      <c r="BH4437">
        <f>IF('01_Вводные'!$B$234="Да",SUM('19_Расчет_аналитики'!BH4484:BH4495),0)</f>
        <v/>
      </c>
      <c r="BI4437">
        <f>IF('01_Вводные'!$B$234="Да",SUM('19_Расчет_аналитики'!BI4484:BI4495),0)</f>
        <v/>
      </c>
      <c r="BJ4437">
        <f>IF('01_Вводные'!$B$234="Да",SUM('19_Расчет_аналитики'!BJ4484:BJ4495),0)</f>
        <v/>
      </c>
      <c r="BK4437">
        <f>IF('01_Вводные'!$B$234="Да",SUM('19_Расчет_аналитики'!BK4484:BK4495),0)</f>
        <v/>
      </c>
      <c r="BL4437">
        <f>IF('01_Вводные'!$B$234="Да",SUM('19_Расчет_аналитики'!BL4484:BL4495),0)</f>
        <v/>
      </c>
      <c r="BM4437">
        <f>IF('01_Вводные'!$B$234="Да",SUM('19_Расчет_аналитики'!BM4484:BM4495),0)</f>
        <v/>
      </c>
      <c r="BN4437">
        <f>IF('01_Вводные'!$B$234="Да",SUM('19_Расчет_аналитики'!BN4484:BN4495),0)</f>
        <v/>
      </c>
      <c r="BO4437">
        <f>IF('01_Вводные'!$B$234="Да",SUM('19_Расчет_аналитики'!BO4484:BO4495),0)</f>
        <v/>
      </c>
    </row>
    <row r="4438"/>
    <row r="4439">
      <c r="B4439">
        <f>IF('01_Вводные'!$B$234="Да",MAX(0,'19_Расчет_аналитики'!B4416-'19_Расчет_аналитики'!B4437),0)</f>
        <v/>
      </c>
      <c r="C4439">
        <f>IF('01_Вводные'!$B$234="Да",MAX(0,'19_Расчет_аналитики'!C4416-'19_Расчет_аналитики'!C4437),0)</f>
        <v/>
      </c>
      <c r="D4439">
        <f>IF('01_Вводные'!$B$234="Да",MAX(0,'19_Расчет_аналитики'!D4416-'19_Расчет_аналитики'!D4437),0)</f>
        <v/>
      </c>
      <c r="E4439">
        <f>IF('01_Вводные'!$B$234="Да",MAX(0,'19_Расчет_аналитики'!E4416-'19_Расчет_аналитики'!E4437),0)</f>
        <v/>
      </c>
      <c r="F4439">
        <f>IF('01_Вводные'!$B$234="Да",MAX(0,'19_Расчет_аналитики'!F4416-'19_Расчет_аналитики'!F4437),0)</f>
        <v/>
      </c>
      <c r="G4439">
        <f>IF('01_Вводные'!$B$234="Да",MAX(0,'19_Расчет_аналитики'!G4416-'19_Расчет_аналитики'!G4437),0)</f>
        <v/>
      </c>
      <c r="H4439">
        <f>IF('01_Вводные'!$B$234="Да",MAX(0,'19_Расчет_аналитики'!H4416-'19_Расчет_аналитики'!H4437),0)</f>
        <v/>
      </c>
      <c r="I4439">
        <f>IF('01_Вводные'!$B$234="Да",MAX(0,'19_Расчет_аналитики'!I4416-'19_Расчет_аналитики'!I4437),0)</f>
        <v/>
      </c>
      <c r="J4439">
        <f>IF('01_Вводные'!$B$234="Да",MAX(0,'19_Расчет_аналитики'!J4416-'19_Расчет_аналитики'!J4437),0)</f>
        <v/>
      </c>
      <c r="K4439">
        <f>IF('01_Вводные'!$B$234="Да",MAX(0,'19_Расчет_аналитики'!K4416-'19_Расчет_аналитики'!K4437),0)</f>
        <v/>
      </c>
      <c r="L4439">
        <f>IF('01_Вводные'!$B$234="Да",MAX(0,'19_Расчет_аналитики'!L4416-'19_Расчет_аналитики'!L4437),0)</f>
        <v/>
      </c>
      <c r="M4439">
        <f>IF('01_Вводные'!$B$234="Да",MAX(0,'19_Расчет_аналитики'!M4416-'19_Расчет_аналитики'!M4437),0)</f>
        <v/>
      </c>
      <c r="N4439">
        <f>IF('01_Вводные'!$B$234="Да",MAX(0,'19_Расчет_аналитики'!N4416-'19_Расчет_аналитики'!N4437),0)</f>
        <v/>
      </c>
      <c r="O4439">
        <f>IF('01_Вводные'!$B$234="Да",MAX(0,'19_Расчет_аналитики'!O4416-'19_Расчет_аналитики'!O4437),0)</f>
        <v/>
      </c>
      <c r="P4439">
        <f>IF('01_Вводные'!$B$234="Да",MAX(0,'19_Расчет_аналитики'!P4416-'19_Расчет_аналитики'!P4437),0)</f>
        <v/>
      </c>
      <c r="Q4439">
        <f>IF('01_Вводные'!$B$234="Да",MAX(0,'19_Расчет_аналитики'!Q4416-'19_Расчет_аналитики'!Q4437),0)</f>
        <v/>
      </c>
      <c r="R4439">
        <f>IF('01_Вводные'!$B$234="Да",MAX(0,'19_Расчет_аналитики'!R4416-'19_Расчет_аналитики'!R4437),0)</f>
        <v/>
      </c>
      <c r="S4439">
        <f>IF('01_Вводные'!$B$234="Да",MAX(0,'19_Расчет_аналитики'!S4416-'19_Расчет_аналитики'!S4437),0)</f>
        <v/>
      </c>
      <c r="T4439">
        <f>IF('01_Вводные'!$B$234="Да",MAX(0,'19_Расчет_аналитики'!T4416-'19_Расчет_аналитики'!T4437),0)</f>
        <v/>
      </c>
      <c r="U4439">
        <f>IF('01_Вводные'!$B$234="Да",MAX(0,'19_Расчет_аналитики'!U4416-'19_Расчет_аналитики'!U4437),0)</f>
        <v/>
      </c>
      <c r="V4439">
        <f>IF('01_Вводные'!$B$234="Да",MAX(0,'19_Расчет_аналитики'!V4416-'19_Расчет_аналитики'!V4437),0)</f>
        <v/>
      </c>
      <c r="W4439">
        <f>IF('01_Вводные'!$B$234="Да",MAX(0,'19_Расчет_аналитики'!W4416-'19_Расчет_аналитики'!W4437),0)</f>
        <v/>
      </c>
      <c r="X4439">
        <f>IF('01_Вводные'!$B$234="Да",MAX(0,'19_Расчет_аналитики'!X4416-'19_Расчет_аналитики'!X4437),0)</f>
        <v/>
      </c>
      <c r="Y4439">
        <f>IF('01_Вводные'!$B$234="Да",MAX(0,'19_Расчет_аналитики'!Y4416-'19_Расчет_аналитики'!Y4437),0)</f>
        <v/>
      </c>
      <c r="Z4439">
        <f>IF('01_Вводные'!$B$234="Да",MAX(0,'19_Расчет_аналитики'!Z4416-'19_Расчет_аналитики'!Z4437),0)</f>
        <v/>
      </c>
      <c r="AA4439">
        <f>IF('01_Вводные'!$B$234="Да",MAX(0,'19_Расчет_аналитики'!AA4416-'19_Расчет_аналитики'!AA4437),0)</f>
        <v/>
      </c>
      <c r="AB4439">
        <f>IF('01_Вводные'!$B$234="Да",MAX(0,'19_Расчет_аналитики'!AB4416-'19_Расчет_аналитики'!AB4437),0)</f>
        <v/>
      </c>
      <c r="AC4439">
        <f>IF('01_Вводные'!$B$234="Да",MAX(0,'19_Расчет_аналитики'!AC4416-'19_Расчет_аналитики'!AC4437),0)</f>
        <v/>
      </c>
      <c r="AD4439">
        <f>IF('01_Вводные'!$B$234="Да",MAX(0,'19_Расчет_аналитики'!AD4416-'19_Расчет_аналитики'!AD4437),0)</f>
        <v/>
      </c>
      <c r="AE4439">
        <f>IF('01_Вводные'!$B$234="Да",MAX(0,'19_Расчет_аналитики'!AE4416-'19_Расчет_аналитики'!AE4437),0)</f>
        <v/>
      </c>
      <c r="AF4439">
        <f>IF('01_Вводные'!$B$234="Да",MAX(0,'19_Расчет_аналитики'!AF4416-'19_Расчет_аналитики'!AF4437),0)</f>
        <v/>
      </c>
      <c r="AG4439">
        <f>IF('01_Вводные'!$B$234="Да",MAX(0,'19_Расчет_аналитики'!AG4416-'19_Расчет_аналитики'!AG4437),0)</f>
        <v/>
      </c>
      <c r="AH4439">
        <f>IF('01_Вводные'!$B$234="Да",MAX(0,'19_Расчет_аналитики'!AH4416-'19_Расчет_аналитики'!AH4437),0)</f>
        <v/>
      </c>
      <c r="AI4439">
        <f>IF('01_Вводные'!$B$234="Да",MAX(0,'19_Расчет_аналитики'!AI4416-'19_Расчет_аналитики'!AI4437),0)</f>
        <v/>
      </c>
      <c r="AJ4439">
        <f>IF('01_Вводные'!$B$234="Да",MAX(0,'19_Расчет_аналитики'!AJ4416-'19_Расчет_аналитики'!AJ4437),0)</f>
        <v/>
      </c>
      <c r="AK4439">
        <f>IF('01_Вводные'!$B$234="Да",MAX(0,'19_Расчет_аналитики'!AK4416-'19_Расчет_аналитики'!AK4437),0)</f>
        <v/>
      </c>
      <c r="AL4439">
        <f>IF('01_Вводные'!$B$234="Да",MAX(0,'19_Расчет_аналитики'!AL4416-'19_Расчет_аналитики'!AL4437),0)</f>
        <v/>
      </c>
      <c r="AM4439">
        <f>IF('01_Вводные'!$B$234="Да",MAX(0,'19_Расчет_аналитики'!AM4416-'19_Расчет_аналитики'!AM4437),0)</f>
        <v/>
      </c>
      <c r="AN4439">
        <f>IF('01_Вводные'!$B$234="Да",MAX(0,'19_Расчет_аналитики'!AN4416-'19_Расчет_аналитики'!AN4437),0)</f>
        <v/>
      </c>
      <c r="AO4439">
        <f>IF('01_Вводные'!$B$234="Да",MAX(0,'19_Расчет_аналитики'!AO4416-'19_Расчет_аналитики'!AO4437),0)</f>
        <v/>
      </c>
      <c r="AP4439">
        <f>IF('01_Вводные'!$B$234="Да",MAX(0,'19_Расчет_аналитики'!AP4416-'19_Расчет_аналитики'!AP4437),0)</f>
        <v/>
      </c>
      <c r="AQ4439">
        <f>IF('01_Вводные'!$B$234="Да",MAX(0,'19_Расчет_аналитики'!AQ4416-'19_Расчет_аналитики'!AQ4437),0)</f>
        <v/>
      </c>
      <c r="AR4439">
        <f>IF('01_Вводные'!$B$234="Да",MAX(0,'19_Расчет_аналитики'!AR4416-'19_Расчет_аналитики'!AR4437),0)</f>
        <v/>
      </c>
      <c r="AS4439">
        <f>IF('01_Вводные'!$B$234="Да",MAX(0,'19_Расчет_аналитики'!AS4416-'19_Расчет_аналитики'!AS4437),0)</f>
        <v/>
      </c>
      <c r="AT4439">
        <f>IF('01_Вводные'!$B$234="Да",MAX(0,'19_Расчет_аналитики'!AT4416-'19_Расчет_аналитики'!AT4437),0)</f>
        <v/>
      </c>
      <c r="AU4439">
        <f>IF('01_Вводные'!$B$234="Да",MAX(0,'19_Расчет_аналитики'!AU4416-'19_Расчет_аналитики'!AU4437),0)</f>
        <v/>
      </c>
      <c r="AV4439">
        <f>IF('01_Вводные'!$B$234="Да",MAX(0,'19_Расчет_аналитики'!AV4416-'19_Расчет_аналитики'!AV4437),0)</f>
        <v/>
      </c>
      <c r="AW4439">
        <f>IF('01_Вводные'!$B$234="Да",MAX(0,'19_Расчет_аналитики'!AW4416-'19_Расчет_аналитики'!AW4437),0)</f>
        <v/>
      </c>
      <c r="AX4439">
        <f>IF('01_Вводные'!$B$234="Да",MAX(0,'19_Расчет_аналитики'!AX4416-'19_Расчет_аналитики'!AX4437),0)</f>
        <v/>
      </c>
      <c r="AY4439">
        <f>IF('01_Вводные'!$B$234="Да",MAX(0,'19_Расчет_аналитики'!AY4416-'19_Расчет_аналитики'!AY4437),0)</f>
        <v/>
      </c>
      <c r="AZ4439">
        <f>IF('01_Вводные'!$B$234="Да",MAX(0,'19_Расчет_аналитики'!AZ4416-'19_Расчет_аналитики'!AZ4437),0)</f>
        <v/>
      </c>
      <c r="BA4439">
        <f>IF('01_Вводные'!$B$234="Да",MAX(0,'19_Расчет_аналитики'!BA4416-'19_Расчет_аналитики'!BA4437),0)</f>
        <v/>
      </c>
      <c r="BB4439">
        <f>IF('01_Вводные'!$B$234="Да",MAX(0,'19_Расчет_аналитики'!BB4416-'19_Расчет_аналитики'!BB4437),0)</f>
        <v/>
      </c>
      <c r="BC4439">
        <f>IF('01_Вводные'!$B$234="Да",MAX(0,'19_Расчет_аналитики'!BC4416-'19_Расчет_аналитики'!BC4437),0)</f>
        <v/>
      </c>
      <c r="BD4439">
        <f>IF('01_Вводные'!$B$234="Да",MAX(0,'19_Расчет_аналитики'!BD4416-'19_Расчет_аналитики'!BD4437),0)</f>
        <v/>
      </c>
      <c r="BE4439">
        <f>IF('01_Вводные'!$B$234="Да",MAX(0,'19_Расчет_аналитики'!BE4416-'19_Расчет_аналитики'!BE4437),0)</f>
        <v/>
      </c>
      <c r="BF4439">
        <f>IF('01_Вводные'!$B$234="Да",MAX(0,'19_Расчет_аналитики'!BF4416-'19_Расчет_аналитики'!BF4437),0)</f>
        <v/>
      </c>
      <c r="BG4439">
        <f>IF('01_Вводные'!$B$234="Да",MAX(0,'19_Расчет_аналитики'!BG4416-'19_Расчет_аналитики'!BG4437),0)</f>
        <v/>
      </c>
      <c r="BH4439">
        <f>IF('01_Вводные'!$B$234="Да",MAX(0,'19_Расчет_аналитики'!BH4416-'19_Расчет_аналитики'!BH4437),0)</f>
        <v/>
      </c>
      <c r="BI4439">
        <f>IF('01_Вводные'!$B$234="Да",MAX(0,'19_Расчет_аналитики'!BI4416-'19_Расчет_аналитики'!BI4437),0)</f>
        <v/>
      </c>
      <c r="BJ4439">
        <f>IF('01_Вводные'!$B$234="Да",MAX(0,'19_Расчет_аналитики'!BJ4416-'19_Расчет_аналитики'!BJ4437),0)</f>
        <v/>
      </c>
      <c r="BK4439">
        <f>IF('01_Вводные'!$B$234="Да",MAX(0,'19_Расчет_аналитики'!BK4416-'19_Расчет_аналитики'!BK4437),0)</f>
        <v/>
      </c>
      <c r="BL4439">
        <f>IF('01_Вводные'!$B$234="Да",MAX(0,'19_Расчет_аналитики'!BL4416-'19_Расчет_аналитики'!BL4437),0)</f>
        <v/>
      </c>
      <c r="BM4439">
        <f>IF('01_Вводные'!$B$234="Да",MAX(0,'19_Расчет_аналитики'!BM4416-'19_Расчет_аналитики'!BM4437),0)</f>
        <v/>
      </c>
      <c r="BN4439">
        <f>IF('01_Вводные'!$B$234="Да",MAX(0,'19_Расчет_аналитики'!BN4416-'19_Расчет_аналитики'!BN4437),0)</f>
        <v/>
      </c>
      <c r="BO4439">
        <f>IF('01_Вводные'!$B$234="Да",MAX(0,'19_Расчет_аналитики'!BO4416-'19_Расчет_аналитики'!BO4437),0)</f>
        <v/>
      </c>
    </row>
    <row r="4440"/>
    <row r="4441"/>
    <row r="4442"/>
    <row r="4443"/>
    <row r="4444"/>
    <row r="4445"/>
    <row r="4446">
      <c r="B4446">
        <f>IF('01_Вводные'!$B$234="Да",IF(1&lt;='01_Вводные'!$B$235,0,INDEX('19_Расчет_аналитики'!$B$4411:$BO$4411,1,1-'01_Вводные'!$B$235)*'01_Вводные'!$B$14^'01_Вводные'!$B$235),0)</f>
        <v/>
      </c>
      <c r="C4446">
        <f>IF('01_Вводные'!$B$234="Да",IF(2&lt;='01_Вводные'!$B$235,0,INDEX('19_Расчет_аналитики'!$B$4411:$BO$4411,1,2-'01_Вводные'!$B$235)*'01_Вводные'!$B$14^'01_Вводные'!$B$235),0)</f>
        <v/>
      </c>
      <c r="D4446">
        <f>IF('01_Вводные'!$B$234="Да",IF(3&lt;='01_Вводные'!$B$235,0,INDEX('19_Расчет_аналитики'!$B$4411:$BO$4411,1,3-'01_Вводные'!$B$235)*'01_Вводные'!$B$14^'01_Вводные'!$B$235),0)</f>
        <v/>
      </c>
      <c r="E4446">
        <f>IF('01_Вводные'!$B$234="Да",IF(4&lt;='01_Вводные'!$B$235,0,INDEX('19_Расчет_аналитики'!$B$4411:$BO$4411,1,4-'01_Вводные'!$B$235)*'01_Вводные'!$B$14^'01_Вводные'!$B$235),0)</f>
        <v/>
      </c>
      <c r="F4446">
        <f>IF('01_Вводные'!$B$234="Да",IF(5&lt;='01_Вводные'!$B$235,0,INDEX('19_Расчет_аналитики'!$B$4411:$BO$4411,1,5-'01_Вводные'!$B$235)*'01_Вводные'!$B$14^'01_Вводные'!$B$235),0)</f>
        <v/>
      </c>
      <c r="G4446">
        <f>IF('01_Вводные'!$B$234="Да",IF(6&lt;='01_Вводные'!$B$235,0,INDEX('19_Расчет_аналитики'!$B$4411:$BO$4411,1,6-'01_Вводные'!$B$235)*'01_Вводные'!$B$14^'01_Вводные'!$B$235),0)</f>
        <v/>
      </c>
      <c r="H4446">
        <f>IF('01_Вводные'!$B$234="Да",IF(7&lt;='01_Вводные'!$B$235,0,INDEX('19_Расчет_аналитики'!$B$4411:$BO$4411,1,7-'01_Вводные'!$B$235)*'01_Вводные'!$B$14^'01_Вводные'!$B$235),0)</f>
        <v/>
      </c>
      <c r="I4446">
        <f>IF('01_Вводные'!$B$234="Да",IF(8&lt;='01_Вводные'!$B$235,0,INDEX('19_Расчет_аналитики'!$B$4411:$BO$4411,1,8-'01_Вводные'!$B$235)*'01_Вводные'!$B$14^'01_Вводные'!$B$235),0)</f>
        <v/>
      </c>
      <c r="J4446">
        <f>IF('01_Вводные'!$B$234="Да",IF(9&lt;='01_Вводные'!$B$235,0,INDEX('19_Расчет_аналитики'!$B$4411:$BO$4411,1,9-'01_Вводные'!$B$235)*'01_Вводные'!$B$14^'01_Вводные'!$B$235),0)</f>
        <v/>
      </c>
      <c r="K4446">
        <f>IF('01_Вводные'!$B$234="Да",IF(10&lt;='01_Вводные'!$B$235,0,INDEX('19_Расчет_аналитики'!$B$4411:$BO$4411,1,10-'01_Вводные'!$B$235)*'01_Вводные'!$B$14^'01_Вводные'!$B$235),0)</f>
        <v/>
      </c>
      <c r="L4446">
        <f>IF('01_Вводные'!$B$234="Да",IF(11&lt;='01_Вводные'!$B$235,0,INDEX('19_Расчет_аналитики'!$B$4411:$BO$4411,1,11-'01_Вводные'!$B$235)*'01_Вводные'!$B$14^'01_Вводные'!$B$235),0)</f>
        <v/>
      </c>
      <c r="M4446">
        <f>IF('01_Вводные'!$B$234="Да",IF(12&lt;='01_Вводные'!$B$235,0,INDEX('19_Расчет_аналитики'!$B$4411:$BO$4411,1,12-'01_Вводные'!$B$235)*'01_Вводные'!$B$14^'01_Вводные'!$B$235),0)</f>
        <v/>
      </c>
      <c r="N4446">
        <f>IF('01_Вводные'!$B$234="Да",IF(13&lt;='01_Вводные'!$B$235,0,INDEX('19_Расчет_аналитики'!$B$4411:$BO$4411,1,13-'01_Вводные'!$B$235)*'01_Вводные'!$B$14^'01_Вводные'!$B$235),0)</f>
        <v/>
      </c>
      <c r="O4446">
        <f>IF('01_Вводные'!$B$234="Да",IF(14&lt;='01_Вводные'!$B$235,0,INDEX('19_Расчет_аналитики'!$B$4411:$BO$4411,1,14-'01_Вводные'!$B$235)*'01_Вводные'!$B$14^'01_Вводные'!$B$235),0)</f>
        <v/>
      </c>
      <c r="P4446">
        <f>IF('01_Вводные'!$B$234="Да",IF(15&lt;='01_Вводные'!$B$235,0,INDEX('19_Расчет_аналитики'!$B$4411:$BO$4411,1,15-'01_Вводные'!$B$235)*'01_Вводные'!$B$14^'01_Вводные'!$B$235),0)</f>
        <v/>
      </c>
      <c r="Q4446">
        <f>IF('01_Вводные'!$B$234="Да",IF(16&lt;='01_Вводные'!$B$235,0,INDEX('19_Расчет_аналитики'!$B$4411:$BO$4411,1,16-'01_Вводные'!$B$235)*'01_Вводные'!$B$14^'01_Вводные'!$B$235),0)</f>
        <v/>
      </c>
      <c r="R4446">
        <f>IF('01_Вводные'!$B$234="Да",IF(17&lt;='01_Вводные'!$B$235,0,INDEX('19_Расчет_аналитики'!$B$4411:$BO$4411,1,17-'01_Вводные'!$B$235)*'01_Вводные'!$B$14^'01_Вводные'!$B$235),0)</f>
        <v/>
      </c>
      <c r="S4446">
        <f>IF('01_Вводные'!$B$234="Да",IF(18&lt;='01_Вводные'!$B$235,0,INDEX('19_Расчет_аналитики'!$B$4411:$BO$4411,1,18-'01_Вводные'!$B$235)*'01_Вводные'!$B$14^'01_Вводные'!$B$235),0)</f>
        <v/>
      </c>
      <c r="T4446">
        <f>IF('01_Вводные'!$B$234="Да",IF(19&lt;='01_Вводные'!$B$235,0,INDEX('19_Расчет_аналитики'!$B$4411:$BO$4411,1,19-'01_Вводные'!$B$235)*'01_Вводные'!$B$14^'01_Вводные'!$B$235),0)</f>
        <v/>
      </c>
      <c r="U4446">
        <f>IF('01_Вводные'!$B$234="Да",IF(20&lt;='01_Вводные'!$B$235,0,INDEX('19_Расчет_аналитики'!$B$4411:$BO$4411,1,20-'01_Вводные'!$B$235)*'01_Вводные'!$B$14^'01_Вводные'!$B$235),0)</f>
        <v/>
      </c>
      <c r="V4446">
        <f>IF('01_Вводные'!$B$234="Да",IF(21&lt;='01_Вводные'!$B$235,0,INDEX('19_Расчет_аналитики'!$B$4411:$BO$4411,1,21-'01_Вводные'!$B$235)*'01_Вводные'!$B$14^'01_Вводные'!$B$235),0)</f>
        <v/>
      </c>
      <c r="W4446">
        <f>IF('01_Вводные'!$B$234="Да",IF(22&lt;='01_Вводные'!$B$235,0,INDEX('19_Расчет_аналитики'!$B$4411:$BO$4411,1,22-'01_Вводные'!$B$235)*'01_Вводные'!$B$14^'01_Вводные'!$B$235),0)</f>
        <v/>
      </c>
      <c r="X4446">
        <f>IF('01_Вводные'!$B$234="Да",IF(23&lt;='01_Вводные'!$B$235,0,INDEX('19_Расчет_аналитики'!$B$4411:$BO$4411,1,23-'01_Вводные'!$B$235)*'01_Вводные'!$B$14^'01_Вводные'!$B$235),0)</f>
        <v/>
      </c>
      <c r="Y4446">
        <f>IF('01_Вводные'!$B$234="Да",IF(24&lt;='01_Вводные'!$B$235,0,INDEX('19_Расчет_аналитики'!$B$4411:$BO$4411,1,24-'01_Вводные'!$B$235)*'01_Вводные'!$B$14^'01_Вводные'!$B$235),0)</f>
        <v/>
      </c>
      <c r="Z4446">
        <f>IF('01_Вводные'!$B$234="Да",IF(25&lt;='01_Вводные'!$B$235,0,INDEX('19_Расчет_аналитики'!$B$4411:$BO$4411,1,25-'01_Вводные'!$B$235)*'01_Вводные'!$B$14^'01_Вводные'!$B$235),0)</f>
        <v/>
      </c>
      <c r="AA4446">
        <f>IF('01_Вводные'!$B$234="Да",IF(26&lt;='01_Вводные'!$B$235,0,INDEX('19_Расчет_аналитики'!$B$4411:$BO$4411,1,26-'01_Вводные'!$B$235)*'01_Вводные'!$B$14^'01_Вводные'!$B$235),0)</f>
        <v/>
      </c>
      <c r="AB4446">
        <f>IF('01_Вводные'!$B$234="Да",IF(27&lt;='01_Вводные'!$B$235,0,INDEX('19_Расчет_аналитики'!$B$4411:$BO$4411,1,27-'01_Вводные'!$B$235)*'01_Вводные'!$B$14^'01_Вводные'!$B$235),0)</f>
        <v/>
      </c>
      <c r="AC4446">
        <f>IF('01_Вводные'!$B$234="Да",IF(28&lt;='01_Вводные'!$B$235,0,INDEX('19_Расчет_аналитики'!$B$4411:$BO$4411,1,28-'01_Вводные'!$B$235)*'01_Вводные'!$B$14^'01_Вводные'!$B$235),0)</f>
        <v/>
      </c>
      <c r="AD4446">
        <f>IF('01_Вводные'!$B$234="Да",IF(29&lt;='01_Вводные'!$B$235,0,INDEX('19_Расчет_аналитики'!$B$4411:$BO$4411,1,29-'01_Вводные'!$B$235)*'01_Вводные'!$B$14^'01_Вводные'!$B$235),0)</f>
        <v/>
      </c>
      <c r="AE4446">
        <f>IF('01_Вводные'!$B$234="Да",IF(30&lt;='01_Вводные'!$B$235,0,INDEX('19_Расчет_аналитики'!$B$4411:$BO$4411,1,30-'01_Вводные'!$B$235)*'01_Вводные'!$B$14^'01_Вводные'!$B$235),0)</f>
        <v/>
      </c>
      <c r="AF4446">
        <f>IF('01_Вводные'!$B$234="Да",IF(31&lt;='01_Вводные'!$B$235,0,INDEX('19_Расчет_аналитики'!$B$4411:$BO$4411,1,31-'01_Вводные'!$B$235)*'01_Вводные'!$B$14^'01_Вводные'!$B$235),0)</f>
        <v/>
      </c>
      <c r="AG4446">
        <f>IF('01_Вводные'!$B$234="Да",IF(32&lt;='01_Вводные'!$B$235,0,INDEX('19_Расчет_аналитики'!$B$4411:$BO$4411,1,32-'01_Вводные'!$B$235)*'01_Вводные'!$B$14^'01_Вводные'!$B$235),0)</f>
        <v/>
      </c>
      <c r="AH4446">
        <f>IF('01_Вводные'!$B$234="Да",IF(33&lt;='01_Вводные'!$B$235,0,INDEX('19_Расчет_аналитики'!$B$4411:$BO$4411,1,33-'01_Вводные'!$B$235)*'01_Вводные'!$B$14^'01_Вводные'!$B$235),0)</f>
        <v/>
      </c>
      <c r="AI4446">
        <f>IF('01_Вводные'!$B$234="Да",IF(34&lt;='01_Вводные'!$B$235,0,INDEX('19_Расчет_аналитики'!$B$4411:$BO$4411,1,34-'01_Вводные'!$B$235)*'01_Вводные'!$B$14^'01_Вводные'!$B$235),0)</f>
        <v/>
      </c>
      <c r="AJ4446">
        <f>IF('01_Вводные'!$B$234="Да",IF(35&lt;='01_Вводные'!$B$235,0,INDEX('19_Расчет_аналитики'!$B$4411:$BO$4411,1,35-'01_Вводные'!$B$235)*'01_Вводные'!$B$14^'01_Вводные'!$B$235),0)</f>
        <v/>
      </c>
      <c r="AK4446">
        <f>IF('01_Вводные'!$B$234="Да",IF(36&lt;='01_Вводные'!$B$235,0,INDEX('19_Расчет_аналитики'!$B$4411:$BO$4411,1,36-'01_Вводные'!$B$235)*'01_Вводные'!$B$14^'01_Вводные'!$B$235),0)</f>
        <v/>
      </c>
      <c r="AL4446">
        <f>IF('01_Вводные'!$B$234="Да",IF(37&lt;='01_Вводные'!$B$235,0,INDEX('19_Расчет_аналитики'!$B$4411:$BO$4411,1,37-'01_Вводные'!$B$235)*'01_Вводные'!$B$14^'01_Вводные'!$B$235),0)</f>
        <v/>
      </c>
      <c r="AM4446">
        <f>IF('01_Вводные'!$B$234="Да",IF(38&lt;='01_Вводные'!$B$235,0,INDEX('19_Расчет_аналитики'!$B$4411:$BO$4411,1,38-'01_Вводные'!$B$235)*'01_Вводные'!$B$14^'01_Вводные'!$B$235),0)</f>
        <v/>
      </c>
      <c r="AN4446">
        <f>IF('01_Вводные'!$B$234="Да",IF(39&lt;='01_Вводные'!$B$235,0,INDEX('19_Расчет_аналитики'!$B$4411:$BO$4411,1,39-'01_Вводные'!$B$235)*'01_Вводные'!$B$14^'01_Вводные'!$B$235),0)</f>
        <v/>
      </c>
      <c r="AO4446">
        <f>IF('01_Вводные'!$B$234="Да",IF(40&lt;='01_Вводные'!$B$235,0,INDEX('19_Расчет_аналитики'!$B$4411:$BO$4411,1,40-'01_Вводные'!$B$235)*'01_Вводные'!$B$14^'01_Вводные'!$B$235),0)</f>
        <v/>
      </c>
      <c r="AP4446">
        <f>IF('01_Вводные'!$B$234="Да",IF(41&lt;='01_Вводные'!$B$235,0,INDEX('19_Расчет_аналитики'!$B$4411:$BO$4411,1,41-'01_Вводные'!$B$235)*'01_Вводные'!$B$14^'01_Вводные'!$B$235),0)</f>
        <v/>
      </c>
      <c r="AQ4446">
        <f>IF('01_Вводные'!$B$234="Да",IF(42&lt;='01_Вводные'!$B$235,0,INDEX('19_Расчет_аналитики'!$B$4411:$BO$4411,1,42-'01_Вводные'!$B$235)*'01_Вводные'!$B$14^'01_Вводные'!$B$235),0)</f>
        <v/>
      </c>
      <c r="AR4446">
        <f>IF('01_Вводные'!$B$234="Да",IF(43&lt;='01_Вводные'!$B$235,0,INDEX('19_Расчет_аналитики'!$B$4411:$BO$4411,1,43-'01_Вводные'!$B$235)*'01_Вводные'!$B$14^'01_Вводные'!$B$235),0)</f>
        <v/>
      </c>
      <c r="AS4446">
        <f>IF('01_Вводные'!$B$234="Да",IF(44&lt;='01_Вводные'!$B$235,0,INDEX('19_Расчет_аналитики'!$B$4411:$BO$4411,1,44-'01_Вводные'!$B$235)*'01_Вводные'!$B$14^'01_Вводные'!$B$235),0)</f>
        <v/>
      </c>
      <c r="AT4446">
        <f>IF('01_Вводные'!$B$234="Да",IF(45&lt;='01_Вводные'!$B$235,0,INDEX('19_Расчет_аналитики'!$B$4411:$BO$4411,1,45-'01_Вводные'!$B$235)*'01_Вводные'!$B$14^'01_Вводные'!$B$235),0)</f>
        <v/>
      </c>
      <c r="AU4446">
        <f>IF('01_Вводные'!$B$234="Да",IF(46&lt;='01_Вводные'!$B$235,0,INDEX('19_Расчет_аналитики'!$B$4411:$BO$4411,1,46-'01_Вводные'!$B$235)*'01_Вводные'!$B$14^'01_Вводные'!$B$235),0)</f>
        <v/>
      </c>
      <c r="AV4446">
        <f>IF('01_Вводные'!$B$234="Да",IF(47&lt;='01_Вводные'!$B$235,0,INDEX('19_Расчет_аналитики'!$B$4411:$BO$4411,1,47-'01_Вводные'!$B$235)*'01_Вводные'!$B$14^'01_Вводные'!$B$235),0)</f>
        <v/>
      </c>
      <c r="AW4446">
        <f>IF('01_Вводные'!$B$234="Да",IF(48&lt;='01_Вводные'!$B$235,0,INDEX('19_Расчет_аналитики'!$B$4411:$BO$4411,1,48-'01_Вводные'!$B$235)*'01_Вводные'!$B$14^'01_Вводные'!$B$235),0)</f>
        <v/>
      </c>
      <c r="AX4446">
        <f>IF('01_Вводные'!$B$234="Да",IF(49&lt;='01_Вводные'!$B$235,0,INDEX('19_Расчет_аналитики'!$B$4411:$BO$4411,1,49-'01_Вводные'!$B$235)*'01_Вводные'!$B$14^'01_Вводные'!$B$235),0)</f>
        <v/>
      </c>
      <c r="AY4446">
        <f>IF('01_Вводные'!$B$234="Да",IF(50&lt;='01_Вводные'!$B$235,0,INDEX('19_Расчет_аналитики'!$B$4411:$BO$4411,1,50-'01_Вводные'!$B$235)*'01_Вводные'!$B$14^'01_Вводные'!$B$235),0)</f>
        <v/>
      </c>
      <c r="AZ4446">
        <f>IF('01_Вводные'!$B$234="Да",IF(51&lt;='01_Вводные'!$B$235,0,INDEX('19_Расчет_аналитики'!$B$4411:$BO$4411,1,51-'01_Вводные'!$B$235)*'01_Вводные'!$B$14^'01_Вводные'!$B$235),0)</f>
        <v/>
      </c>
      <c r="BA4446">
        <f>IF('01_Вводные'!$B$234="Да",IF(52&lt;='01_Вводные'!$B$235,0,INDEX('19_Расчет_аналитики'!$B$4411:$BO$4411,1,52-'01_Вводные'!$B$235)*'01_Вводные'!$B$14^'01_Вводные'!$B$235),0)</f>
        <v/>
      </c>
      <c r="BB4446">
        <f>IF('01_Вводные'!$B$234="Да",IF(53&lt;='01_Вводные'!$B$235,0,INDEX('19_Расчет_аналитики'!$B$4411:$BO$4411,1,53-'01_Вводные'!$B$235)*'01_Вводные'!$B$14^'01_Вводные'!$B$235),0)</f>
        <v/>
      </c>
      <c r="BC4446">
        <f>IF('01_Вводные'!$B$234="Да",IF(54&lt;='01_Вводные'!$B$235,0,INDEX('19_Расчет_аналитики'!$B$4411:$BO$4411,1,54-'01_Вводные'!$B$235)*'01_Вводные'!$B$14^'01_Вводные'!$B$235),0)</f>
        <v/>
      </c>
      <c r="BD4446">
        <f>IF('01_Вводные'!$B$234="Да",IF(55&lt;='01_Вводные'!$B$235,0,INDEX('19_Расчет_аналитики'!$B$4411:$BO$4411,1,55-'01_Вводные'!$B$235)*'01_Вводные'!$B$14^'01_Вводные'!$B$235),0)</f>
        <v/>
      </c>
      <c r="BE4446">
        <f>IF('01_Вводные'!$B$234="Да",IF(56&lt;='01_Вводные'!$B$235,0,INDEX('19_Расчет_аналитики'!$B$4411:$BO$4411,1,56-'01_Вводные'!$B$235)*'01_Вводные'!$B$14^'01_Вводные'!$B$235),0)</f>
        <v/>
      </c>
      <c r="BF4446">
        <f>IF('01_Вводные'!$B$234="Да",IF(57&lt;='01_Вводные'!$B$235,0,INDEX('19_Расчет_аналитики'!$B$4411:$BO$4411,1,57-'01_Вводные'!$B$235)*'01_Вводные'!$B$14^'01_Вводные'!$B$235),0)</f>
        <v/>
      </c>
      <c r="BG4446">
        <f>IF('01_Вводные'!$B$234="Да",IF(58&lt;='01_Вводные'!$B$235,0,INDEX('19_Расчет_аналитики'!$B$4411:$BO$4411,1,58-'01_Вводные'!$B$235)*'01_Вводные'!$B$14^'01_Вводные'!$B$235),0)</f>
        <v/>
      </c>
      <c r="BH4446">
        <f>IF('01_Вводные'!$B$234="Да",IF(59&lt;='01_Вводные'!$B$235,0,INDEX('19_Расчет_аналитики'!$B$4411:$BO$4411,1,59-'01_Вводные'!$B$235)*'01_Вводные'!$B$14^'01_Вводные'!$B$235),0)</f>
        <v/>
      </c>
      <c r="BI4446">
        <f>IF('01_Вводные'!$B$234="Да",IF(60&lt;='01_Вводные'!$B$235,0,INDEX('19_Расчет_аналитики'!$B$4411:$BO$4411,1,60-'01_Вводные'!$B$235)*'01_Вводные'!$B$14^'01_Вводные'!$B$235),0)</f>
        <v/>
      </c>
      <c r="BJ4446">
        <f>IF('01_Вводные'!$B$234="Да",IF(61&lt;='01_Вводные'!$B$235,0,INDEX('19_Расчет_аналитики'!$B$4411:$BO$4411,1,61-'01_Вводные'!$B$235)*'01_Вводные'!$B$14^'01_Вводные'!$B$235),0)</f>
        <v/>
      </c>
      <c r="BK4446">
        <f>IF('01_Вводные'!$B$234="Да",IF(62&lt;='01_Вводные'!$B$235,0,INDEX('19_Расчет_аналитики'!$B$4411:$BO$4411,1,62-'01_Вводные'!$B$235)*'01_Вводные'!$B$14^'01_Вводные'!$B$235),0)</f>
        <v/>
      </c>
      <c r="BL4446">
        <f>IF('01_Вводные'!$B$234="Да",IF(63&lt;='01_Вводные'!$B$235,0,INDEX('19_Расчет_аналитики'!$B$4411:$BO$4411,1,63-'01_Вводные'!$B$235)*'01_Вводные'!$B$14^'01_Вводные'!$B$235),0)</f>
        <v/>
      </c>
      <c r="BM4446">
        <f>IF('01_Вводные'!$B$234="Да",IF(64&lt;='01_Вводные'!$B$235,0,INDEX('19_Расчет_аналитики'!$B$4411:$BO$4411,1,64-'01_Вводные'!$B$235)*'01_Вводные'!$B$14^'01_Вводные'!$B$235),0)</f>
        <v/>
      </c>
      <c r="BN4446">
        <f>IF('01_Вводные'!$B$234="Да",IF(65&lt;='01_Вводные'!$B$235,0,INDEX('19_Расчет_аналитики'!$B$4411:$BO$4411,1,65-'01_Вводные'!$B$235)*'01_Вводные'!$B$14^'01_Вводные'!$B$235),0)</f>
        <v/>
      </c>
      <c r="BO4446">
        <f>IF('01_Вводные'!$B$234="Да",IF(66&lt;='01_Вводные'!$B$235,0,INDEX('19_Расчет_аналитики'!$B$4411:$BO$4411,1,66-'01_Вводные'!$B$235)*'01_Вводные'!$B$14^'01_Вводные'!$B$235),0)</f>
        <v/>
      </c>
    </row>
    <row r="4447">
      <c r="B4447">
        <f>IF('01_Вводные'!$B$234="Да",'19_Расчет_аналитики'!B4446,0)</f>
        <v/>
      </c>
      <c r="C4447">
        <f>IF('01_Вводные'!$B$234="Да",'19_Расчет_аналитики'!B4447*'01_Вводные'!$B$14+'19_Расчет_аналитики'!C4446,0)</f>
        <v/>
      </c>
      <c r="D4447">
        <f>IF('01_Вводные'!$B$234="Да",'19_Расчет_аналитики'!C4447*'01_Вводные'!$B$14+'19_Расчет_аналитики'!D4446,0)</f>
        <v/>
      </c>
      <c r="E4447">
        <f>IF('01_Вводные'!$B$234="Да",'19_Расчет_аналитики'!D4447*'01_Вводные'!$B$14+'19_Расчет_аналитики'!E4446,0)</f>
        <v/>
      </c>
      <c r="F4447">
        <f>IF('01_Вводные'!$B$234="Да",'19_Расчет_аналитики'!E4447*'01_Вводные'!$B$14+'19_Расчет_аналитики'!F4446,0)</f>
        <v/>
      </c>
      <c r="G4447">
        <f>IF('01_Вводные'!$B$234="Да",'19_Расчет_аналитики'!F4447*'01_Вводные'!$B$14+'19_Расчет_аналитики'!G4446,0)</f>
        <v/>
      </c>
      <c r="H4447">
        <f>IF('01_Вводные'!$B$234="Да",'19_Расчет_аналитики'!G4447*'01_Вводные'!$B$14+'19_Расчет_аналитики'!H4446,0)</f>
        <v/>
      </c>
      <c r="I4447">
        <f>IF('01_Вводные'!$B$234="Да",'19_Расчет_аналитики'!H4447*'01_Вводные'!$B$14+'19_Расчет_аналитики'!I4446,0)</f>
        <v/>
      </c>
      <c r="J4447">
        <f>IF('01_Вводные'!$B$234="Да",'19_Расчет_аналитики'!I4447*'01_Вводные'!$B$14+'19_Расчет_аналитики'!J4446,0)</f>
        <v/>
      </c>
      <c r="K4447">
        <f>IF('01_Вводные'!$B$234="Да",'19_Расчет_аналитики'!J4447*'01_Вводные'!$B$14+'19_Расчет_аналитики'!K4446,0)</f>
        <v/>
      </c>
      <c r="L4447">
        <f>IF('01_Вводные'!$B$234="Да",'19_Расчет_аналитики'!K4447*'01_Вводные'!$B$14+'19_Расчет_аналитики'!L4446,0)</f>
        <v/>
      </c>
      <c r="M4447">
        <f>IF('01_Вводные'!$B$234="Да",'19_Расчет_аналитики'!L4447*'01_Вводные'!$B$14+'19_Расчет_аналитики'!M4446,0)</f>
        <v/>
      </c>
      <c r="N4447">
        <f>IF('01_Вводные'!$B$234="Да",'19_Расчет_аналитики'!M4447*'01_Вводные'!$B$14+'19_Расчет_аналитики'!N4446,0)</f>
        <v/>
      </c>
      <c r="O4447">
        <f>IF('01_Вводные'!$B$234="Да",'19_Расчет_аналитики'!N4447*'01_Вводные'!$B$14+'19_Расчет_аналитики'!O4446,0)</f>
        <v/>
      </c>
      <c r="P4447">
        <f>IF('01_Вводные'!$B$234="Да",'19_Расчет_аналитики'!O4447*'01_Вводные'!$B$14+'19_Расчет_аналитики'!P4446,0)</f>
        <v/>
      </c>
      <c r="Q4447">
        <f>IF('01_Вводные'!$B$234="Да",'19_Расчет_аналитики'!P4447*'01_Вводные'!$B$14+'19_Расчет_аналитики'!Q4446,0)</f>
        <v/>
      </c>
      <c r="R4447">
        <f>IF('01_Вводные'!$B$234="Да",'19_Расчет_аналитики'!Q4447*'01_Вводные'!$B$14+'19_Расчет_аналитики'!R4446,0)</f>
        <v/>
      </c>
      <c r="S4447">
        <f>IF('01_Вводные'!$B$234="Да",'19_Расчет_аналитики'!R4447*'01_Вводные'!$B$14+'19_Расчет_аналитики'!S4446,0)</f>
        <v/>
      </c>
      <c r="T4447">
        <f>IF('01_Вводные'!$B$234="Да",'19_Расчет_аналитики'!S4447*'01_Вводные'!$B$14+'19_Расчет_аналитики'!T4446,0)</f>
        <v/>
      </c>
      <c r="U4447">
        <f>IF('01_Вводные'!$B$234="Да",'19_Расчет_аналитики'!T4447*'01_Вводные'!$B$14+'19_Расчет_аналитики'!U4446,0)</f>
        <v/>
      </c>
      <c r="V4447">
        <f>IF('01_Вводные'!$B$234="Да",'19_Расчет_аналитики'!U4447*'01_Вводные'!$B$14+'19_Расчет_аналитики'!V4446,0)</f>
        <v/>
      </c>
      <c r="W4447">
        <f>IF('01_Вводные'!$B$234="Да",'19_Расчет_аналитики'!V4447*'01_Вводные'!$B$14+'19_Расчет_аналитики'!W4446,0)</f>
        <v/>
      </c>
      <c r="X4447">
        <f>IF('01_Вводные'!$B$234="Да",'19_Расчет_аналитики'!W4447*'01_Вводные'!$B$14+'19_Расчет_аналитики'!X4446,0)</f>
        <v/>
      </c>
      <c r="Y4447">
        <f>IF('01_Вводные'!$B$234="Да",'19_Расчет_аналитики'!X4447*'01_Вводные'!$B$14+'19_Расчет_аналитики'!Y4446,0)</f>
        <v/>
      </c>
      <c r="Z4447">
        <f>IF('01_Вводные'!$B$234="Да",'19_Расчет_аналитики'!Y4447*'01_Вводные'!$B$14+'19_Расчет_аналитики'!Z4446,0)</f>
        <v/>
      </c>
      <c r="AA4447">
        <f>IF('01_Вводные'!$B$234="Да",'19_Расчет_аналитики'!Z4447*'01_Вводные'!$B$14+'19_Расчет_аналитики'!AA4446,0)</f>
        <v/>
      </c>
      <c r="AB4447">
        <f>IF('01_Вводные'!$B$234="Да",'19_Расчет_аналитики'!AA4447*'01_Вводные'!$B$14+'19_Расчет_аналитики'!AB4446,0)</f>
        <v/>
      </c>
      <c r="AC4447">
        <f>IF('01_Вводные'!$B$234="Да",'19_Расчет_аналитики'!AB4447*'01_Вводные'!$B$14+'19_Расчет_аналитики'!AC4446,0)</f>
        <v/>
      </c>
      <c r="AD4447">
        <f>IF('01_Вводные'!$B$234="Да",'19_Расчет_аналитики'!AC4447*'01_Вводные'!$B$14+'19_Расчет_аналитики'!AD4446,0)</f>
        <v/>
      </c>
      <c r="AE4447">
        <f>IF('01_Вводные'!$B$234="Да",'19_Расчет_аналитики'!AD4447*'01_Вводные'!$B$14+'19_Расчет_аналитики'!AE4446,0)</f>
        <v/>
      </c>
      <c r="AF4447">
        <f>IF('01_Вводные'!$B$234="Да",'19_Расчет_аналитики'!AE4447*'01_Вводные'!$B$14+'19_Расчет_аналитики'!AF4446,0)</f>
        <v/>
      </c>
      <c r="AG4447">
        <f>IF('01_Вводные'!$B$234="Да",'19_Расчет_аналитики'!AF4447*'01_Вводные'!$B$14+'19_Расчет_аналитики'!AG4446,0)</f>
        <v/>
      </c>
      <c r="AH4447">
        <f>IF('01_Вводные'!$B$234="Да",'19_Расчет_аналитики'!AG4447*'01_Вводные'!$B$14+'19_Расчет_аналитики'!AH4446,0)</f>
        <v/>
      </c>
      <c r="AI4447">
        <f>IF('01_Вводные'!$B$234="Да",'19_Расчет_аналитики'!AH4447*'01_Вводные'!$B$14+'19_Расчет_аналитики'!AI4446,0)</f>
        <v/>
      </c>
      <c r="AJ4447">
        <f>IF('01_Вводные'!$B$234="Да",'19_Расчет_аналитики'!AI4447*'01_Вводные'!$B$14+'19_Расчет_аналитики'!AJ4446,0)</f>
        <v/>
      </c>
      <c r="AK4447">
        <f>IF('01_Вводные'!$B$234="Да",'19_Расчет_аналитики'!AJ4447*'01_Вводные'!$B$14+'19_Расчет_аналитики'!AK4446,0)</f>
        <v/>
      </c>
      <c r="AL4447">
        <f>IF('01_Вводные'!$B$234="Да",'19_Расчет_аналитики'!AK4447*'01_Вводные'!$B$14+'19_Расчет_аналитики'!AL4446,0)</f>
        <v/>
      </c>
      <c r="AM4447">
        <f>IF('01_Вводные'!$B$234="Да",'19_Расчет_аналитики'!AL4447*'01_Вводные'!$B$14+'19_Расчет_аналитики'!AM4446,0)</f>
        <v/>
      </c>
      <c r="AN4447">
        <f>IF('01_Вводные'!$B$234="Да",'19_Расчет_аналитики'!AM4447*'01_Вводные'!$B$14+'19_Расчет_аналитики'!AN4446,0)</f>
        <v/>
      </c>
      <c r="AO4447">
        <f>IF('01_Вводные'!$B$234="Да",'19_Расчет_аналитики'!AN4447*'01_Вводные'!$B$14+'19_Расчет_аналитики'!AO4446,0)</f>
        <v/>
      </c>
      <c r="AP4447">
        <f>IF('01_Вводные'!$B$234="Да",'19_Расчет_аналитики'!AO4447*'01_Вводные'!$B$14+'19_Расчет_аналитики'!AP4446,0)</f>
        <v/>
      </c>
      <c r="AQ4447">
        <f>IF('01_Вводные'!$B$234="Да",'19_Расчет_аналитики'!AP4447*'01_Вводные'!$B$14+'19_Расчет_аналитики'!AQ4446,0)</f>
        <v/>
      </c>
      <c r="AR4447">
        <f>IF('01_Вводные'!$B$234="Да",'19_Расчет_аналитики'!AQ4447*'01_Вводные'!$B$14+'19_Расчет_аналитики'!AR4446,0)</f>
        <v/>
      </c>
      <c r="AS4447">
        <f>IF('01_Вводные'!$B$234="Да",'19_Расчет_аналитики'!AR4447*'01_Вводные'!$B$14+'19_Расчет_аналитики'!AS4446,0)</f>
        <v/>
      </c>
      <c r="AT4447">
        <f>IF('01_Вводные'!$B$234="Да",'19_Расчет_аналитики'!AS4447*'01_Вводные'!$B$14+'19_Расчет_аналитики'!AT4446,0)</f>
        <v/>
      </c>
      <c r="AU4447">
        <f>IF('01_Вводные'!$B$234="Да",'19_Расчет_аналитики'!AT4447*'01_Вводные'!$B$14+'19_Расчет_аналитики'!AU4446,0)</f>
        <v/>
      </c>
      <c r="AV4447">
        <f>IF('01_Вводные'!$B$234="Да",'19_Расчет_аналитики'!AU4447*'01_Вводные'!$B$14+'19_Расчет_аналитики'!AV4446,0)</f>
        <v/>
      </c>
      <c r="AW4447">
        <f>IF('01_Вводные'!$B$234="Да",'19_Расчет_аналитики'!AV4447*'01_Вводные'!$B$14+'19_Расчет_аналитики'!AW4446,0)</f>
        <v/>
      </c>
      <c r="AX4447">
        <f>IF('01_Вводные'!$B$234="Да",'19_Расчет_аналитики'!AW4447*'01_Вводные'!$B$14+'19_Расчет_аналитики'!AX4446,0)</f>
        <v/>
      </c>
      <c r="AY4447">
        <f>IF('01_Вводные'!$B$234="Да",'19_Расчет_аналитики'!AX4447*'01_Вводные'!$B$14+'19_Расчет_аналитики'!AY4446,0)</f>
        <v/>
      </c>
      <c r="AZ4447">
        <f>IF('01_Вводные'!$B$234="Да",'19_Расчет_аналитики'!AY4447*'01_Вводные'!$B$14+'19_Расчет_аналитики'!AZ4446,0)</f>
        <v/>
      </c>
      <c r="BA4447">
        <f>IF('01_Вводные'!$B$234="Да",'19_Расчет_аналитики'!AZ4447*'01_Вводные'!$B$14+'19_Расчет_аналитики'!BA4446,0)</f>
        <v/>
      </c>
      <c r="BB4447">
        <f>IF('01_Вводные'!$B$234="Да",'19_Расчет_аналитики'!BA4447*'01_Вводные'!$B$14+'19_Расчет_аналитики'!BB4446,0)</f>
        <v/>
      </c>
      <c r="BC4447">
        <f>IF('01_Вводные'!$B$234="Да",'19_Расчет_аналитики'!BB4447*'01_Вводные'!$B$14+'19_Расчет_аналитики'!BC4446,0)</f>
        <v/>
      </c>
      <c r="BD4447">
        <f>IF('01_Вводные'!$B$234="Да",'19_Расчет_аналитики'!BC4447*'01_Вводные'!$B$14+'19_Расчет_аналитики'!BD4446,0)</f>
        <v/>
      </c>
      <c r="BE4447">
        <f>IF('01_Вводные'!$B$234="Да",'19_Расчет_аналитики'!BD4447*'01_Вводные'!$B$14+'19_Расчет_аналитики'!BE4446,0)</f>
        <v/>
      </c>
      <c r="BF4447">
        <f>IF('01_Вводные'!$B$234="Да",'19_Расчет_аналитики'!BE4447*'01_Вводные'!$B$14+'19_Расчет_аналитики'!BF4446,0)</f>
        <v/>
      </c>
      <c r="BG4447">
        <f>IF('01_Вводные'!$B$234="Да",'19_Расчет_аналитики'!BF4447*'01_Вводные'!$B$14+'19_Расчет_аналитики'!BG4446,0)</f>
        <v/>
      </c>
      <c r="BH4447">
        <f>IF('01_Вводные'!$B$234="Да",'19_Расчет_аналитики'!BG4447*'01_Вводные'!$B$14+'19_Расчет_аналитики'!BH4446,0)</f>
        <v/>
      </c>
      <c r="BI4447">
        <f>IF('01_Вводные'!$B$234="Да",'19_Расчет_аналитики'!BH4447*'01_Вводные'!$B$14+'19_Расчет_аналитики'!BI4446,0)</f>
        <v/>
      </c>
      <c r="BJ4447">
        <f>IF('01_Вводные'!$B$234="Да",'19_Расчет_аналитики'!BI4447*'01_Вводные'!$B$14+'19_Расчет_аналитики'!BJ4446,0)</f>
        <v/>
      </c>
      <c r="BK4447">
        <f>IF('01_Вводные'!$B$234="Да",'19_Расчет_аналитики'!BJ4447*'01_Вводные'!$B$14+'19_Расчет_аналитики'!BK4446,0)</f>
        <v/>
      </c>
      <c r="BL4447">
        <f>IF('01_Вводные'!$B$234="Да",'19_Расчет_аналитики'!BK4447*'01_Вводные'!$B$14+'19_Расчет_аналитики'!BL4446,0)</f>
        <v/>
      </c>
      <c r="BM4447">
        <f>IF('01_Вводные'!$B$234="Да",'19_Расчет_аналитики'!BL4447*'01_Вводные'!$B$14+'19_Расчет_аналитики'!BM4446,0)</f>
        <v/>
      </c>
      <c r="BN4447">
        <f>IF('01_Вводные'!$B$234="Да",'19_Расчет_аналитики'!BM4447*'01_Вводные'!$B$14+'19_Расчет_аналитики'!BN4446,0)</f>
        <v/>
      </c>
      <c r="BO4447">
        <f>IF('01_Вводные'!$B$234="Да",'19_Расчет_аналитики'!BN4447*'01_Вводные'!$B$14+'19_Расчет_аналитики'!BO4446,0)</f>
        <v/>
      </c>
    </row>
    <row r="4448"/>
    <row r="4449"/>
    <row r="4450"/>
    <row r="4451"/>
    <row r="4452"/>
    <row r="4453"/>
    <row r="4454"/>
    <row r="4455"/>
    <row r="4456">
      <c r="B4456">
        <f>IF('01_Вводные'!$B$234="Да",'19_Расчет_аналитики'!B4411,0)</f>
        <v/>
      </c>
      <c r="C4456">
        <f>IF('01_Вводные'!$B$234="Да",'19_Расчет_аналитики'!C4411,0)</f>
        <v/>
      </c>
      <c r="D4456">
        <f>IF('01_Вводные'!$B$234="Да",'19_Расчет_аналитики'!D4411,0)</f>
        <v/>
      </c>
      <c r="E4456">
        <f>IF('01_Вводные'!$B$234="Да",'19_Расчет_аналитики'!E4411,0)</f>
        <v/>
      </c>
      <c r="F4456">
        <f>IF('01_Вводные'!$B$234="Да",'19_Расчет_аналитики'!F4411,0)</f>
        <v/>
      </c>
      <c r="G4456">
        <f>IF('01_Вводные'!$B$234="Да",'19_Расчет_аналитики'!G4411,0)</f>
        <v/>
      </c>
      <c r="H4456">
        <f>IF('01_Вводные'!$B$234="Да",'19_Расчет_аналитики'!H4411,0)</f>
        <v/>
      </c>
      <c r="I4456">
        <f>IF('01_Вводные'!$B$234="Да",'19_Расчет_аналитики'!I4411,0)</f>
        <v/>
      </c>
      <c r="J4456">
        <f>IF('01_Вводные'!$B$234="Да",'19_Расчет_аналитики'!J4411,0)</f>
        <v/>
      </c>
      <c r="K4456">
        <f>IF('01_Вводные'!$B$234="Да",'19_Расчет_аналитики'!K4411,0)</f>
        <v/>
      </c>
      <c r="L4456">
        <f>IF('01_Вводные'!$B$234="Да",'19_Расчет_аналитики'!L4411,0)</f>
        <v/>
      </c>
      <c r="M4456">
        <f>IF('01_Вводные'!$B$234="Да",'19_Расчет_аналитики'!M4411,0)</f>
        <v/>
      </c>
      <c r="N4456">
        <f>IF('01_Вводные'!$B$234="Да",'19_Расчет_аналитики'!N4411,0)</f>
        <v/>
      </c>
      <c r="O4456">
        <f>IF('01_Вводные'!$B$234="Да",'19_Расчет_аналитики'!O4411,0)</f>
        <v/>
      </c>
      <c r="P4456">
        <f>IF('01_Вводные'!$B$234="Да",'19_Расчет_аналитики'!P4411,0)</f>
        <v/>
      </c>
      <c r="Q4456">
        <f>IF('01_Вводные'!$B$234="Да",'19_Расчет_аналитики'!Q4411,0)</f>
        <v/>
      </c>
      <c r="R4456">
        <f>IF('01_Вводные'!$B$234="Да",'19_Расчет_аналитики'!R4411,0)</f>
        <v/>
      </c>
      <c r="S4456">
        <f>IF('01_Вводные'!$B$234="Да",'19_Расчет_аналитики'!S4411,0)</f>
        <v/>
      </c>
      <c r="T4456">
        <f>IF('01_Вводные'!$B$234="Да",'19_Расчет_аналитики'!T4411,0)</f>
        <v/>
      </c>
      <c r="U4456">
        <f>IF('01_Вводные'!$B$234="Да",'19_Расчет_аналитики'!U4411,0)</f>
        <v/>
      </c>
      <c r="V4456">
        <f>IF('01_Вводные'!$B$234="Да",'19_Расчет_аналитики'!V4411,0)</f>
        <v/>
      </c>
      <c r="W4456">
        <f>IF('01_Вводные'!$B$234="Да",'19_Расчет_аналитики'!W4411,0)</f>
        <v/>
      </c>
      <c r="X4456">
        <f>IF('01_Вводные'!$B$234="Да",'19_Расчет_аналитики'!X4411,0)</f>
        <v/>
      </c>
      <c r="Y4456">
        <f>IF('01_Вводные'!$B$234="Да",'19_Расчет_аналитики'!Y4411,0)</f>
        <v/>
      </c>
      <c r="Z4456">
        <f>IF('01_Вводные'!$B$234="Да",'19_Расчет_аналитики'!Z4411,0)</f>
        <v/>
      </c>
      <c r="AA4456">
        <f>IF('01_Вводные'!$B$234="Да",'19_Расчет_аналитики'!AA4411,0)</f>
        <v/>
      </c>
      <c r="AB4456">
        <f>IF('01_Вводные'!$B$234="Да",'19_Расчет_аналитики'!AB4411,0)</f>
        <v/>
      </c>
      <c r="AC4456">
        <f>IF('01_Вводные'!$B$234="Да",'19_Расчет_аналитики'!AC4411,0)</f>
        <v/>
      </c>
      <c r="AD4456">
        <f>IF('01_Вводные'!$B$234="Да",'19_Расчет_аналитики'!AD4411,0)</f>
        <v/>
      </c>
      <c r="AE4456">
        <f>IF('01_Вводные'!$B$234="Да",'19_Расчет_аналитики'!AE4411,0)</f>
        <v/>
      </c>
      <c r="AF4456">
        <f>IF('01_Вводные'!$B$234="Да",'19_Расчет_аналитики'!AF4411,0)</f>
        <v/>
      </c>
      <c r="AG4456">
        <f>IF('01_Вводные'!$B$234="Да",'19_Расчет_аналитики'!AG4411,0)</f>
        <v/>
      </c>
      <c r="AH4456">
        <f>IF('01_Вводные'!$B$234="Да",'19_Расчет_аналитики'!AH4411,0)</f>
        <v/>
      </c>
      <c r="AI4456">
        <f>IF('01_Вводные'!$B$234="Да",'19_Расчет_аналитики'!AI4411,0)</f>
        <v/>
      </c>
      <c r="AJ4456">
        <f>IF('01_Вводные'!$B$234="Да",'19_Расчет_аналитики'!AJ4411,0)</f>
        <v/>
      </c>
      <c r="AK4456">
        <f>IF('01_Вводные'!$B$234="Да",'19_Расчет_аналитики'!AK4411,0)</f>
        <v/>
      </c>
      <c r="AL4456">
        <f>IF('01_Вводные'!$B$234="Да",'19_Расчет_аналитики'!AL4411,0)</f>
        <v/>
      </c>
      <c r="AM4456">
        <f>IF('01_Вводные'!$B$234="Да",'19_Расчет_аналитики'!AM4411,0)</f>
        <v/>
      </c>
      <c r="AN4456">
        <f>IF('01_Вводные'!$B$234="Да",'19_Расчет_аналитики'!AN4411,0)</f>
        <v/>
      </c>
      <c r="AO4456">
        <f>IF('01_Вводные'!$B$234="Да",'19_Расчет_аналитики'!AO4411,0)</f>
        <v/>
      </c>
      <c r="AP4456">
        <f>IF('01_Вводные'!$B$234="Да",'19_Расчет_аналитики'!AP4411,0)</f>
        <v/>
      </c>
      <c r="AQ4456">
        <f>IF('01_Вводные'!$B$234="Да",'19_Расчет_аналитики'!AQ4411,0)</f>
        <v/>
      </c>
      <c r="AR4456">
        <f>IF('01_Вводные'!$B$234="Да",'19_Расчет_аналитики'!AR4411,0)</f>
        <v/>
      </c>
      <c r="AS4456">
        <f>IF('01_Вводные'!$B$234="Да",'19_Расчет_аналитики'!AS4411,0)</f>
        <v/>
      </c>
      <c r="AT4456">
        <f>IF('01_Вводные'!$B$234="Да",'19_Расчет_аналитики'!AT4411,0)</f>
        <v/>
      </c>
      <c r="AU4456">
        <f>IF('01_Вводные'!$B$234="Да",'19_Расчет_аналитики'!AU4411,0)</f>
        <v/>
      </c>
      <c r="AV4456">
        <f>IF('01_Вводные'!$B$234="Да",'19_Расчет_аналитики'!AV4411,0)</f>
        <v/>
      </c>
      <c r="AW4456">
        <f>IF('01_Вводные'!$B$234="Да",'19_Расчет_аналитики'!AW4411,0)</f>
        <v/>
      </c>
      <c r="AX4456">
        <f>IF('01_Вводные'!$B$234="Да",'19_Расчет_аналитики'!AX4411,0)</f>
        <v/>
      </c>
      <c r="AY4456">
        <f>IF('01_Вводные'!$B$234="Да",'19_Расчет_аналитики'!AY4411,0)</f>
        <v/>
      </c>
      <c r="AZ4456">
        <f>IF('01_Вводные'!$B$234="Да",'19_Расчет_аналитики'!AZ4411,0)</f>
        <v/>
      </c>
      <c r="BA4456">
        <f>IF('01_Вводные'!$B$234="Да",'19_Расчет_аналитики'!BA4411,0)</f>
        <v/>
      </c>
      <c r="BB4456">
        <f>IF('01_Вводные'!$B$234="Да",'19_Расчет_аналитики'!BB4411,0)</f>
        <v/>
      </c>
      <c r="BC4456">
        <f>IF('01_Вводные'!$B$234="Да",'19_Расчет_аналитики'!BC4411,0)</f>
        <v/>
      </c>
      <c r="BD4456">
        <f>IF('01_Вводные'!$B$234="Да",'19_Расчет_аналитики'!BD4411,0)</f>
        <v/>
      </c>
      <c r="BE4456">
        <f>IF('01_Вводные'!$B$234="Да",'19_Расчет_аналитики'!BE4411,0)</f>
        <v/>
      </c>
      <c r="BF4456">
        <f>IF('01_Вводные'!$B$234="Да",'19_Расчет_аналитики'!BF4411,0)</f>
        <v/>
      </c>
      <c r="BG4456">
        <f>IF('01_Вводные'!$B$234="Да",'19_Расчет_аналитики'!BG4411,0)</f>
        <v/>
      </c>
      <c r="BH4456">
        <f>IF('01_Вводные'!$B$234="Да",'19_Расчет_аналитики'!BH4411,0)</f>
        <v/>
      </c>
      <c r="BI4456">
        <f>IF('01_Вводные'!$B$234="Да",'19_Расчет_аналитики'!BI4411,0)</f>
        <v/>
      </c>
      <c r="BJ4456">
        <f>IF('01_Вводные'!$B$234="Да",'19_Расчет_аналитики'!BJ4411,0)</f>
        <v/>
      </c>
      <c r="BK4456">
        <f>IF('01_Вводные'!$B$234="Да",'19_Расчет_аналитики'!BK4411,0)</f>
        <v/>
      </c>
      <c r="BL4456">
        <f>IF('01_Вводные'!$B$234="Да",'19_Расчет_аналитики'!BL4411,0)</f>
        <v/>
      </c>
      <c r="BM4456">
        <f>IF('01_Вводные'!$B$234="Да",'19_Расчет_аналитики'!BM4411,0)</f>
        <v/>
      </c>
      <c r="BN4456">
        <f>IF('01_Вводные'!$B$234="Да",'19_Расчет_аналитики'!BN4411,0)</f>
        <v/>
      </c>
      <c r="BO4456">
        <f>IF('01_Вводные'!$B$234="Да",'19_Расчет_аналитики'!BO4411,0)</f>
        <v/>
      </c>
    </row>
    <row r="4457">
      <c r="B4457">
        <f>'06_Сеть_и_дети'!B54</f>
        <v/>
      </c>
      <c r="C4457">
        <f>IF('01_Вводные'!$B$234="Да",'19_Расчет_аналитики'!B4456*'01_Вводные'!$B$14,0)</f>
        <v/>
      </c>
      <c r="D4457">
        <f>IF('01_Вводные'!$B$234="Да",'19_Расчет_аналитики'!C4456*'01_Вводные'!$B$14,0)</f>
        <v/>
      </c>
      <c r="E4457">
        <f>IF('01_Вводные'!$B$234="Да",'19_Расчет_аналитики'!D4456*'01_Вводные'!$B$14,0)</f>
        <v/>
      </c>
      <c r="F4457">
        <f>IF('01_Вводные'!$B$234="Да",'19_Расчет_аналитики'!E4456*'01_Вводные'!$B$14,0)</f>
        <v/>
      </c>
      <c r="G4457">
        <f>IF('01_Вводные'!$B$234="Да",'19_Расчет_аналитики'!F4456*'01_Вводные'!$B$14,0)</f>
        <v/>
      </c>
      <c r="H4457">
        <f>IF('01_Вводные'!$B$234="Да",'19_Расчет_аналитики'!G4456*'01_Вводные'!$B$14,0)</f>
        <v/>
      </c>
      <c r="I4457">
        <f>IF('01_Вводные'!$B$234="Да",'19_Расчет_аналитики'!H4456*'01_Вводные'!$B$14,0)</f>
        <v/>
      </c>
      <c r="J4457">
        <f>IF('01_Вводные'!$B$234="Да",'19_Расчет_аналитики'!I4456*'01_Вводные'!$B$14,0)</f>
        <v/>
      </c>
      <c r="K4457">
        <f>IF('01_Вводные'!$B$234="Да",'19_Расчет_аналитики'!J4456*'01_Вводные'!$B$14,0)</f>
        <v/>
      </c>
      <c r="L4457">
        <f>IF('01_Вводные'!$B$234="Да",'19_Расчет_аналитики'!K4456*'01_Вводные'!$B$14,0)</f>
        <v/>
      </c>
      <c r="M4457">
        <f>IF('01_Вводные'!$B$234="Да",'19_Расчет_аналитики'!L4456*'01_Вводные'!$B$14,0)</f>
        <v/>
      </c>
      <c r="N4457">
        <f>IF('01_Вводные'!$B$234="Да",'19_Расчет_аналитики'!M4456*'01_Вводные'!$B$14,0)</f>
        <v/>
      </c>
      <c r="O4457">
        <f>IF('01_Вводные'!$B$234="Да",'19_Расчет_аналитики'!N4456*'01_Вводные'!$B$14,0)</f>
        <v/>
      </c>
      <c r="P4457">
        <f>IF('01_Вводные'!$B$234="Да",'19_Расчет_аналитики'!O4456*'01_Вводные'!$B$14,0)</f>
        <v/>
      </c>
      <c r="Q4457">
        <f>IF('01_Вводные'!$B$234="Да",'19_Расчет_аналитики'!P4456*'01_Вводные'!$B$14,0)</f>
        <v/>
      </c>
      <c r="R4457">
        <f>IF('01_Вводные'!$B$234="Да",'19_Расчет_аналитики'!Q4456*'01_Вводные'!$B$14,0)</f>
        <v/>
      </c>
      <c r="S4457">
        <f>IF('01_Вводные'!$B$234="Да",'19_Расчет_аналитики'!R4456*'01_Вводные'!$B$14,0)</f>
        <v/>
      </c>
      <c r="T4457">
        <f>IF('01_Вводные'!$B$234="Да",'19_Расчет_аналитики'!S4456*'01_Вводные'!$B$14,0)</f>
        <v/>
      </c>
      <c r="U4457">
        <f>IF('01_Вводные'!$B$234="Да",'19_Расчет_аналитики'!T4456*'01_Вводные'!$B$14,0)</f>
        <v/>
      </c>
      <c r="V4457">
        <f>IF('01_Вводные'!$B$234="Да",'19_Расчет_аналитики'!U4456*'01_Вводные'!$B$14,0)</f>
        <v/>
      </c>
      <c r="W4457">
        <f>IF('01_Вводные'!$B$234="Да",'19_Расчет_аналитики'!V4456*'01_Вводные'!$B$14,0)</f>
        <v/>
      </c>
      <c r="X4457">
        <f>IF('01_Вводные'!$B$234="Да",'19_Расчет_аналитики'!W4456*'01_Вводные'!$B$14,0)</f>
        <v/>
      </c>
      <c r="Y4457">
        <f>IF('01_Вводные'!$B$234="Да",'19_Расчет_аналитики'!X4456*'01_Вводные'!$B$14,0)</f>
        <v/>
      </c>
      <c r="Z4457">
        <f>IF('01_Вводные'!$B$234="Да",'19_Расчет_аналитики'!Y4456*'01_Вводные'!$B$14,0)</f>
        <v/>
      </c>
      <c r="AA4457">
        <f>IF('01_Вводные'!$B$234="Да",'19_Расчет_аналитики'!Z4456*'01_Вводные'!$B$14,0)</f>
        <v/>
      </c>
      <c r="AB4457">
        <f>IF('01_Вводные'!$B$234="Да",'19_Расчет_аналитики'!AA4456*'01_Вводные'!$B$14,0)</f>
        <v/>
      </c>
      <c r="AC4457">
        <f>IF('01_Вводные'!$B$234="Да",'19_Расчет_аналитики'!AB4456*'01_Вводные'!$B$14,0)</f>
        <v/>
      </c>
      <c r="AD4457">
        <f>IF('01_Вводные'!$B$234="Да",'19_Расчет_аналитики'!AC4456*'01_Вводные'!$B$14,0)</f>
        <v/>
      </c>
      <c r="AE4457">
        <f>IF('01_Вводные'!$B$234="Да",'19_Расчет_аналитики'!AD4456*'01_Вводные'!$B$14,0)</f>
        <v/>
      </c>
      <c r="AF4457">
        <f>IF('01_Вводные'!$B$234="Да",'19_Расчет_аналитики'!AE4456*'01_Вводные'!$B$14,0)</f>
        <v/>
      </c>
      <c r="AG4457">
        <f>IF('01_Вводные'!$B$234="Да",'19_Расчет_аналитики'!AF4456*'01_Вводные'!$B$14,0)</f>
        <v/>
      </c>
      <c r="AH4457">
        <f>IF('01_Вводные'!$B$234="Да",'19_Расчет_аналитики'!AG4456*'01_Вводные'!$B$14,0)</f>
        <v/>
      </c>
      <c r="AI4457">
        <f>IF('01_Вводные'!$B$234="Да",'19_Расчет_аналитики'!AH4456*'01_Вводные'!$B$14,0)</f>
        <v/>
      </c>
      <c r="AJ4457">
        <f>IF('01_Вводные'!$B$234="Да",'19_Расчет_аналитики'!AI4456*'01_Вводные'!$B$14,0)</f>
        <v/>
      </c>
      <c r="AK4457">
        <f>IF('01_Вводные'!$B$234="Да",'19_Расчет_аналитики'!AJ4456*'01_Вводные'!$B$14,0)</f>
        <v/>
      </c>
      <c r="AL4457">
        <f>IF('01_Вводные'!$B$234="Да",'19_Расчет_аналитики'!AK4456*'01_Вводные'!$B$14,0)</f>
        <v/>
      </c>
      <c r="AM4457">
        <f>IF('01_Вводные'!$B$234="Да",'19_Расчет_аналитики'!AL4456*'01_Вводные'!$B$14,0)</f>
        <v/>
      </c>
      <c r="AN4457">
        <f>IF('01_Вводные'!$B$234="Да",'19_Расчет_аналитики'!AM4456*'01_Вводные'!$B$14,0)</f>
        <v/>
      </c>
      <c r="AO4457">
        <f>IF('01_Вводные'!$B$234="Да",'19_Расчет_аналитики'!AN4456*'01_Вводные'!$B$14,0)</f>
        <v/>
      </c>
      <c r="AP4457">
        <f>IF('01_Вводные'!$B$234="Да",'19_Расчет_аналитики'!AO4456*'01_Вводные'!$B$14,0)</f>
        <v/>
      </c>
      <c r="AQ4457">
        <f>IF('01_Вводные'!$B$234="Да",'19_Расчет_аналитики'!AP4456*'01_Вводные'!$B$14,0)</f>
        <v/>
      </c>
      <c r="AR4457">
        <f>IF('01_Вводные'!$B$234="Да",'19_Расчет_аналитики'!AQ4456*'01_Вводные'!$B$14,0)</f>
        <v/>
      </c>
      <c r="AS4457">
        <f>IF('01_Вводные'!$B$234="Да",'19_Расчет_аналитики'!AR4456*'01_Вводные'!$B$14,0)</f>
        <v/>
      </c>
      <c r="AT4457">
        <f>IF('01_Вводные'!$B$234="Да",'19_Расчет_аналитики'!AS4456*'01_Вводные'!$B$14,0)</f>
        <v/>
      </c>
      <c r="AU4457">
        <f>IF('01_Вводные'!$B$234="Да",'19_Расчет_аналитики'!AT4456*'01_Вводные'!$B$14,0)</f>
        <v/>
      </c>
      <c r="AV4457">
        <f>IF('01_Вводные'!$B$234="Да",'19_Расчет_аналитики'!AU4456*'01_Вводные'!$B$14,0)</f>
        <v/>
      </c>
      <c r="AW4457">
        <f>IF('01_Вводные'!$B$234="Да",'19_Расчет_аналитики'!AV4456*'01_Вводные'!$B$14,0)</f>
        <v/>
      </c>
      <c r="AX4457">
        <f>IF('01_Вводные'!$B$234="Да",'19_Расчет_аналитики'!AW4456*'01_Вводные'!$B$14,0)</f>
        <v/>
      </c>
      <c r="AY4457">
        <f>IF('01_Вводные'!$B$234="Да",'19_Расчет_аналитики'!AX4456*'01_Вводные'!$B$14,0)</f>
        <v/>
      </c>
      <c r="AZ4457">
        <f>IF('01_Вводные'!$B$234="Да",'19_Расчет_аналитики'!AY4456*'01_Вводные'!$B$14,0)</f>
        <v/>
      </c>
      <c r="BA4457">
        <f>IF('01_Вводные'!$B$234="Да",'19_Расчет_аналитики'!AZ4456*'01_Вводные'!$B$14,0)</f>
        <v/>
      </c>
      <c r="BB4457">
        <f>IF('01_Вводные'!$B$234="Да",'19_Расчет_аналитики'!BA4456*'01_Вводные'!$B$14,0)</f>
        <v/>
      </c>
      <c r="BC4457">
        <f>IF('01_Вводные'!$B$234="Да",'19_Расчет_аналитики'!BB4456*'01_Вводные'!$B$14,0)</f>
        <v/>
      </c>
      <c r="BD4457">
        <f>IF('01_Вводные'!$B$234="Да",'19_Расчет_аналитики'!BC4456*'01_Вводные'!$B$14,0)</f>
        <v/>
      </c>
      <c r="BE4457">
        <f>IF('01_Вводные'!$B$234="Да",'19_Расчет_аналитики'!BD4456*'01_Вводные'!$B$14,0)</f>
        <v/>
      </c>
      <c r="BF4457">
        <f>IF('01_Вводные'!$B$234="Да",'19_Расчет_аналитики'!BE4456*'01_Вводные'!$B$14,0)</f>
        <v/>
      </c>
      <c r="BG4457">
        <f>IF('01_Вводные'!$B$234="Да",'19_Расчет_аналитики'!BF4456*'01_Вводные'!$B$14,0)</f>
        <v/>
      </c>
      <c r="BH4457">
        <f>IF('01_Вводные'!$B$234="Да",'19_Расчет_аналитики'!BG4456*'01_Вводные'!$B$14,0)</f>
        <v/>
      </c>
      <c r="BI4457">
        <f>IF('01_Вводные'!$B$234="Да",'19_Расчет_аналитики'!BH4456*'01_Вводные'!$B$14,0)</f>
        <v/>
      </c>
      <c r="BJ4457">
        <f>IF('01_Вводные'!$B$234="Да",'19_Расчет_аналитики'!BI4456*'01_Вводные'!$B$14,0)</f>
        <v/>
      </c>
      <c r="BK4457">
        <f>IF('01_Вводные'!$B$234="Да",'19_Расчет_аналитики'!BJ4456*'01_Вводные'!$B$14,0)</f>
        <v/>
      </c>
      <c r="BL4457">
        <f>IF('01_Вводные'!$B$234="Да",'19_Расчет_аналитики'!BK4456*'01_Вводные'!$B$14,0)</f>
        <v/>
      </c>
      <c r="BM4457">
        <f>IF('01_Вводные'!$B$234="Да",'19_Расчет_аналитики'!BL4456*'01_Вводные'!$B$14,0)</f>
        <v/>
      </c>
      <c r="BN4457">
        <f>IF('01_Вводные'!$B$234="Да",'19_Расчет_аналитики'!BM4456*'01_Вводные'!$B$14,0)</f>
        <v/>
      </c>
      <c r="BO4457">
        <f>IF('01_Вводные'!$B$234="Да",'19_Расчет_аналитики'!BN4456*'01_Вводные'!$B$14,0)</f>
        <v/>
      </c>
    </row>
    <row r="4458">
      <c r="B4458">
        <f>'06_Сеть_и_дети'!B55</f>
        <v/>
      </c>
      <c r="C4458">
        <f>'06_Сеть_и_дети'!C55</f>
        <v/>
      </c>
      <c r="D4458">
        <f>IF('01_Вводные'!$B$234="Да",'19_Расчет_аналитики'!C4457*'01_Вводные'!$B$14,0)</f>
        <v/>
      </c>
      <c r="E4458">
        <f>IF('01_Вводные'!$B$234="Да",'19_Расчет_аналитики'!D4457*'01_Вводные'!$B$14,0)</f>
        <v/>
      </c>
      <c r="F4458">
        <f>IF('01_Вводные'!$B$234="Да",'19_Расчет_аналитики'!E4457*'01_Вводные'!$B$14,0)</f>
        <v/>
      </c>
      <c r="G4458">
        <f>IF('01_Вводные'!$B$234="Да",'19_Расчет_аналитики'!F4457*'01_Вводные'!$B$14,0)</f>
        <v/>
      </c>
      <c r="H4458">
        <f>IF('01_Вводные'!$B$234="Да",'19_Расчет_аналитики'!G4457*'01_Вводные'!$B$14,0)</f>
        <v/>
      </c>
      <c r="I4458">
        <f>IF('01_Вводные'!$B$234="Да",'19_Расчет_аналитики'!H4457*'01_Вводные'!$B$14,0)</f>
        <v/>
      </c>
      <c r="J4458">
        <f>IF('01_Вводные'!$B$234="Да",'19_Расчет_аналитики'!I4457*'01_Вводные'!$B$14,0)</f>
        <v/>
      </c>
      <c r="K4458">
        <f>IF('01_Вводные'!$B$234="Да",'19_Расчет_аналитики'!J4457*'01_Вводные'!$B$14,0)</f>
        <v/>
      </c>
      <c r="L4458">
        <f>IF('01_Вводные'!$B$234="Да",'19_Расчет_аналитики'!K4457*'01_Вводные'!$B$14,0)</f>
        <v/>
      </c>
      <c r="M4458">
        <f>IF('01_Вводные'!$B$234="Да",'19_Расчет_аналитики'!L4457*'01_Вводные'!$B$14,0)</f>
        <v/>
      </c>
      <c r="N4458">
        <f>IF('01_Вводные'!$B$234="Да",'19_Расчет_аналитики'!M4457*'01_Вводные'!$B$14,0)</f>
        <v/>
      </c>
      <c r="O4458">
        <f>IF('01_Вводные'!$B$234="Да",'19_Расчет_аналитики'!N4457*'01_Вводные'!$B$14,0)</f>
        <v/>
      </c>
      <c r="P4458">
        <f>IF('01_Вводные'!$B$234="Да",'19_Расчет_аналитики'!O4457*'01_Вводные'!$B$14,0)</f>
        <v/>
      </c>
      <c r="Q4458">
        <f>IF('01_Вводные'!$B$234="Да",'19_Расчет_аналитики'!P4457*'01_Вводные'!$B$14,0)</f>
        <v/>
      </c>
      <c r="R4458">
        <f>IF('01_Вводные'!$B$234="Да",'19_Расчет_аналитики'!Q4457*'01_Вводные'!$B$14,0)</f>
        <v/>
      </c>
      <c r="S4458">
        <f>IF('01_Вводные'!$B$234="Да",'19_Расчет_аналитики'!R4457*'01_Вводные'!$B$14,0)</f>
        <v/>
      </c>
      <c r="T4458">
        <f>IF('01_Вводные'!$B$234="Да",'19_Расчет_аналитики'!S4457*'01_Вводные'!$B$14,0)</f>
        <v/>
      </c>
      <c r="U4458">
        <f>IF('01_Вводные'!$B$234="Да",'19_Расчет_аналитики'!T4457*'01_Вводные'!$B$14,0)</f>
        <v/>
      </c>
      <c r="V4458">
        <f>IF('01_Вводные'!$B$234="Да",'19_Расчет_аналитики'!U4457*'01_Вводные'!$B$14,0)</f>
        <v/>
      </c>
      <c r="W4458">
        <f>IF('01_Вводные'!$B$234="Да",'19_Расчет_аналитики'!V4457*'01_Вводные'!$B$14,0)</f>
        <v/>
      </c>
      <c r="X4458">
        <f>IF('01_Вводные'!$B$234="Да",'19_Расчет_аналитики'!W4457*'01_Вводные'!$B$14,0)</f>
        <v/>
      </c>
      <c r="Y4458">
        <f>IF('01_Вводные'!$B$234="Да",'19_Расчет_аналитики'!X4457*'01_Вводные'!$B$14,0)</f>
        <v/>
      </c>
      <c r="Z4458">
        <f>IF('01_Вводные'!$B$234="Да",'19_Расчет_аналитики'!Y4457*'01_Вводные'!$B$14,0)</f>
        <v/>
      </c>
      <c r="AA4458">
        <f>IF('01_Вводные'!$B$234="Да",'19_Расчет_аналитики'!Z4457*'01_Вводные'!$B$14,0)</f>
        <v/>
      </c>
      <c r="AB4458">
        <f>IF('01_Вводные'!$B$234="Да",'19_Расчет_аналитики'!AA4457*'01_Вводные'!$B$14,0)</f>
        <v/>
      </c>
      <c r="AC4458">
        <f>IF('01_Вводные'!$B$234="Да",'19_Расчет_аналитики'!AB4457*'01_Вводные'!$B$14,0)</f>
        <v/>
      </c>
      <c r="AD4458">
        <f>IF('01_Вводные'!$B$234="Да",'19_Расчет_аналитики'!AC4457*'01_Вводные'!$B$14,0)</f>
        <v/>
      </c>
      <c r="AE4458">
        <f>IF('01_Вводные'!$B$234="Да",'19_Расчет_аналитики'!AD4457*'01_Вводные'!$B$14,0)</f>
        <v/>
      </c>
      <c r="AF4458">
        <f>IF('01_Вводные'!$B$234="Да",'19_Расчет_аналитики'!AE4457*'01_Вводные'!$B$14,0)</f>
        <v/>
      </c>
      <c r="AG4458">
        <f>IF('01_Вводные'!$B$234="Да",'19_Расчет_аналитики'!AF4457*'01_Вводные'!$B$14,0)</f>
        <v/>
      </c>
      <c r="AH4458">
        <f>IF('01_Вводные'!$B$234="Да",'19_Расчет_аналитики'!AG4457*'01_Вводные'!$B$14,0)</f>
        <v/>
      </c>
      <c r="AI4458">
        <f>IF('01_Вводные'!$B$234="Да",'19_Расчет_аналитики'!AH4457*'01_Вводные'!$B$14,0)</f>
        <v/>
      </c>
      <c r="AJ4458">
        <f>IF('01_Вводные'!$B$234="Да",'19_Расчет_аналитики'!AI4457*'01_Вводные'!$B$14,0)</f>
        <v/>
      </c>
      <c r="AK4458">
        <f>IF('01_Вводные'!$B$234="Да",'19_Расчет_аналитики'!AJ4457*'01_Вводные'!$B$14,0)</f>
        <v/>
      </c>
      <c r="AL4458">
        <f>IF('01_Вводные'!$B$234="Да",'19_Расчет_аналитики'!AK4457*'01_Вводные'!$B$14,0)</f>
        <v/>
      </c>
      <c r="AM4458">
        <f>IF('01_Вводные'!$B$234="Да",'19_Расчет_аналитики'!AL4457*'01_Вводные'!$B$14,0)</f>
        <v/>
      </c>
      <c r="AN4458">
        <f>IF('01_Вводные'!$B$234="Да",'19_Расчет_аналитики'!AM4457*'01_Вводные'!$B$14,0)</f>
        <v/>
      </c>
      <c r="AO4458">
        <f>IF('01_Вводные'!$B$234="Да",'19_Расчет_аналитики'!AN4457*'01_Вводные'!$B$14,0)</f>
        <v/>
      </c>
      <c r="AP4458">
        <f>IF('01_Вводные'!$B$234="Да",'19_Расчет_аналитики'!AO4457*'01_Вводные'!$B$14,0)</f>
        <v/>
      </c>
      <c r="AQ4458">
        <f>IF('01_Вводные'!$B$234="Да",'19_Расчет_аналитики'!AP4457*'01_Вводные'!$B$14,0)</f>
        <v/>
      </c>
      <c r="AR4458">
        <f>IF('01_Вводные'!$B$234="Да",'19_Расчет_аналитики'!AQ4457*'01_Вводные'!$B$14,0)</f>
        <v/>
      </c>
      <c r="AS4458">
        <f>IF('01_Вводные'!$B$234="Да",'19_Расчет_аналитики'!AR4457*'01_Вводные'!$B$14,0)</f>
        <v/>
      </c>
      <c r="AT4458">
        <f>IF('01_Вводные'!$B$234="Да",'19_Расчет_аналитики'!AS4457*'01_Вводные'!$B$14,0)</f>
        <v/>
      </c>
      <c r="AU4458">
        <f>IF('01_Вводные'!$B$234="Да",'19_Расчет_аналитики'!AT4457*'01_Вводные'!$B$14,0)</f>
        <v/>
      </c>
      <c r="AV4458">
        <f>IF('01_Вводные'!$B$234="Да",'19_Расчет_аналитики'!AU4457*'01_Вводные'!$B$14,0)</f>
        <v/>
      </c>
      <c r="AW4458">
        <f>IF('01_Вводные'!$B$234="Да",'19_Расчет_аналитики'!AV4457*'01_Вводные'!$B$14,0)</f>
        <v/>
      </c>
      <c r="AX4458">
        <f>IF('01_Вводные'!$B$234="Да",'19_Расчет_аналитики'!AW4457*'01_Вводные'!$B$14,0)</f>
        <v/>
      </c>
      <c r="AY4458">
        <f>IF('01_Вводные'!$B$234="Да",'19_Расчет_аналитики'!AX4457*'01_Вводные'!$B$14,0)</f>
        <v/>
      </c>
      <c r="AZ4458">
        <f>IF('01_Вводные'!$B$234="Да",'19_Расчет_аналитики'!AY4457*'01_Вводные'!$B$14,0)</f>
        <v/>
      </c>
      <c r="BA4458">
        <f>IF('01_Вводные'!$B$234="Да",'19_Расчет_аналитики'!AZ4457*'01_Вводные'!$B$14,0)</f>
        <v/>
      </c>
      <c r="BB4458">
        <f>IF('01_Вводные'!$B$234="Да",'19_Расчет_аналитики'!BA4457*'01_Вводные'!$B$14,0)</f>
        <v/>
      </c>
      <c r="BC4458">
        <f>IF('01_Вводные'!$B$234="Да",'19_Расчет_аналитики'!BB4457*'01_Вводные'!$B$14,0)</f>
        <v/>
      </c>
      <c r="BD4458">
        <f>IF('01_Вводные'!$B$234="Да",'19_Расчет_аналитики'!BC4457*'01_Вводные'!$B$14,0)</f>
        <v/>
      </c>
      <c r="BE4458">
        <f>IF('01_Вводные'!$B$234="Да",'19_Расчет_аналитики'!BD4457*'01_Вводные'!$B$14,0)</f>
        <v/>
      </c>
      <c r="BF4458">
        <f>IF('01_Вводные'!$B$234="Да",'19_Расчет_аналитики'!BE4457*'01_Вводные'!$B$14,0)</f>
        <v/>
      </c>
      <c r="BG4458">
        <f>IF('01_Вводные'!$B$234="Да",'19_Расчет_аналитики'!BF4457*'01_Вводные'!$B$14,0)</f>
        <v/>
      </c>
      <c r="BH4458">
        <f>IF('01_Вводные'!$B$234="Да",'19_Расчет_аналитики'!BG4457*'01_Вводные'!$B$14,0)</f>
        <v/>
      </c>
      <c r="BI4458">
        <f>IF('01_Вводные'!$B$234="Да",'19_Расчет_аналитики'!BH4457*'01_Вводные'!$B$14,0)</f>
        <v/>
      </c>
      <c r="BJ4458">
        <f>IF('01_Вводные'!$B$234="Да",'19_Расчет_аналитики'!BI4457*'01_Вводные'!$B$14,0)</f>
        <v/>
      </c>
      <c r="BK4458">
        <f>IF('01_Вводные'!$B$234="Да",'19_Расчет_аналитики'!BJ4457*'01_Вводные'!$B$14,0)</f>
        <v/>
      </c>
      <c r="BL4458">
        <f>IF('01_Вводные'!$B$234="Да",'19_Расчет_аналитики'!BK4457*'01_Вводные'!$B$14,0)</f>
        <v/>
      </c>
      <c r="BM4458">
        <f>IF('01_Вводные'!$B$234="Да",'19_Расчет_аналитики'!BL4457*'01_Вводные'!$B$14,0)</f>
        <v/>
      </c>
      <c r="BN4458">
        <f>IF('01_Вводные'!$B$234="Да",'19_Расчет_аналитики'!BM4457*'01_Вводные'!$B$14,0)</f>
        <v/>
      </c>
      <c r="BO4458">
        <f>IF('01_Вводные'!$B$234="Да",'19_Расчет_аналитики'!BN4457*'01_Вводные'!$B$14,0)</f>
        <v/>
      </c>
    </row>
    <row r="4459">
      <c r="B4459">
        <f>'06_Сеть_и_дети'!B56</f>
        <v/>
      </c>
      <c r="C4459">
        <f>'06_Сеть_и_дети'!C56</f>
        <v/>
      </c>
      <c r="D4459">
        <f>'06_Сеть_и_дети'!D56</f>
        <v/>
      </c>
      <c r="E4459">
        <f>IF('01_Вводные'!$B$234="Да",'19_Расчет_аналитики'!D4458*'01_Вводные'!$B$14,0)</f>
        <v/>
      </c>
      <c r="F4459">
        <f>IF('01_Вводные'!$B$234="Да",'19_Расчет_аналитики'!E4458*'01_Вводные'!$B$14,0)</f>
        <v/>
      </c>
      <c r="G4459">
        <f>IF('01_Вводные'!$B$234="Да",'19_Расчет_аналитики'!F4458*'01_Вводные'!$B$14,0)</f>
        <v/>
      </c>
      <c r="H4459">
        <f>IF('01_Вводные'!$B$234="Да",'19_Расчет_аналитики'!G4458*'01_Вводные'!$B$14,0)</f>
        <v/>
      </c>
      <c r="I4459">
        <f>IF('01_Вводные'!$B$234="Да",'19_Расчет_аналитики'!H4458*'01_Вводные'!$B$14,0)</f>
        <v/>
      </c>
      <c r="J4459">
        <f>IF('01_Вводные'!$B$234="Да",'19_Расчет_аналитики'!I4458*'01_Вводные'!$B$14,0)</f>
        <v/>
      </c>
      <c r="K4459">
        <f>IF('01_Вводные'!$B$234="Да",'19_Расчет_аналитики'!J4458*'01_Вводные'!$B$14,0)</f>
        <v/>
      </c>
      <c r="L4459">
        <f>IF('01_Вводные'!$B$234="Да",'19_Расчет_аналитики'!K4458*'01_Вводные'!$B$14,0)</f>
        <v/>
      </c>
      <c r="M4459">
        <f>IF('01_Вводные'!$B$234="Да",'19_Расчет_аналитики'!L4458*'01_Вводные'!$B$14,0)</f>
        <v/>
      </c>
      <c r="N4459">
        <f>IF('01_Вводные'!$B$234="Да",'19_Расчет_аналитики'!M4458*'01_Вводные'!$B$14,0)</f>
        <v/>
      </c>
      <c r="O4459">
        <f>IF('01_Вводные'!$B$234="Да",'19_Расчет_аналитики'!N4458*'01_Вводные'!$B$14,0)</f>
        <v/>
      </c>
      <c r="P4459">
        <f>IF('01_Вводные'!$B$234="Да",'19_Расчет_аналитики'!O4458*'01_Вводные'!$B$14,0)</f>
        <v/>
      </c>
      <c r="Q4459">
        <f>IF('01_Вводные'!$B$234="Да",'19_Расчет_аналитики'!P4458*'01_Вводные'!$B$14,0)</f>
        <v/>
      </c>
      <c r="R4459">
        <f>IF('01_Вводные'!$B$234="Да",'19_Расчет_аналитики'!Q4458*'01_Вводные'!$B$14,0)</f>
        <v/>
      </c>
      <c r="S4459">
        <f>IF('01_Вводные'!$B$234="Да",'19_Расчет_аналитики'!R4458*'01_Вводные'!$B$14,0)</f>
        <v/>
      </c>
      <c r="T4459">
        <f>IF('01_Вводные'!$B$234="Да",'19_Расчет_аналитики'!S4458*'01_Вводные'!$B$14,0)</f>
        <v/>
      </c>
      <c r="U4459">
        <f>IF('01_Вводные'!$B$234="Да",'19_Расчет_аналитики'!T4458*'01_Вводные'!$B$14,0)</f>
        <v/>
      </c>
      <c r="V4459">
        <f>IF('01_Вводные'!$B$234="Да",'19_Расчет_аналитики'!U4458*'01_Вводные'!$B$14,0)</f>
        <v/>
      </c>
      <c r="W4459">
        <f>IF('01_Вводные'!$B$234="Да",'19_Расчет_аналитики'!V4458*'01_Вводные'!$B$14,0)</f>
        <v/>
      </c>
      <c r="X4459">
        <f>IF('01_Вводные'!$B$234="Да",'19_Расчет_аналитики'!W4458*'01_Вводные'!$B$14,0)</f>
        <v/>
      </c>
      <c r="Y4459">
        <f>IF('01_Вводные'!$B$234="Да",'19_Расчет_аналитики'!X4458*'01_Вводные'!$B$14,0)</f>
        <v/>
      </c>
      <c r="Z4459">
        <f>IF('01_Вводные'!$B$234="Да",'19_Расчет_аналитики'!Y4458*'01_Вводные'!$B$14,0)</f>
        <v/>
      </c>
      <c r="AA4459">
        <f>IF('01_Вводные'!$B$234="Да",'19_Расчет_аналитики'!Z4458*'01_Вводные'!$B$14,0)</f>
        <v/>
      </c>
      <c r="AB4459">
        <f>IF('01_Вводные'!$B$234="Да",'19_Расчет_аналитики'!AA4458*'01_Вводные'!$B$14,0)</f>
        <v/>
      </c>
      <c r="AC4459">
        <f>IF('01_Вводные'!$B$234="Да",'19_Расчет_аналитики'!AB4458*'01_Вводные'!$B$14,0)</f>
        <v/>
      </c>
      <c r="AD4459">
        <f>IF('01_Вводные'!$B$234="Да",'19_Расчет_аналитики'!AC4458*'01_Вводные'!$B$14,0)</f>
        <v/>
      </c>
      <c r="AE4459">
        <f>IF('01_Вводные'!$B$234="Да",'19_Расчет_аналитики'!AD4458*'01_Вводные'!$B$14,0)</f>
        <v/>
      </c>
      <c r="AF4459">
        <f>IF('01_Вводные'!$B$234="Да",'19_Расчет_аналитики'!AE4458*'01_Вводные'!$B$14,0)</f>
        <v/>
      </c>
      <c r="AG4459">
        <f>IF('01_Вводные'!$B$234="Да",'19_Расчет_аналитики'!AF4458*'01_Вводные'!$B$14,0)</f>
        <v/>
      </c>
      <c r="AH4459">
        <f>IF('01_Вводные'!$B$234="Да",'19_Расчет_аналитики'!AG4458*'01_Вводные'!$B$14,0)</f>
        <v/>
      </c>
      <c r="AI4459">
        <f>IF('01_Вводные'!$B$234="Да",'19_Расчет_аналитики'!AH4458*'01_Вводные'!$B$14,0)</f>
        <v/>
      </c>
      <c r="AJ4459">
        <f>IF('01_Вводные'!$B$234="Да",'19_Расчет_аналитики'!AI4458*'01_Вводные'!$B$14,0)</f>
        <v/>
      </c>
      <c r="AK4459">
        <f>IF('01_Вводные'!$B$234="Да",'19_Расчет_аналитики'!AJ4458*'01_Вводные'!$B$14,0)</f>
        <v/>
      </c>
      <c r="AL4459">
        <f>IF('01_Вводные'!$B$234="Да",'19_Расчет_аналитики'!AK4458*'01_Вводные'!$B$14,0)</f>
        <v/>
      </c>
      <c r="AM4459">
        <f>IF('01_Вводные'!$B$234="Да",'19_Расчет_аналитики'!AL4458*'01_Вводные'!$B$14,0)</f>
        <v/>
      </c>
      <c r="AN4459">
        <f>IF('01_Вводные'!$B$234="Да",'19_Расчет_аналитики'!AM4458*'01_Вводные'!$B$14,0)</f>
        <v/>
      </c>
      <c r="AO4459">
        <f>IF('01_Вводные'!$B$234="Да",'19_Расчет_аналитики'!AN4458*'01_Вводные'!$B$14,0)</f>
        <v/>
      </c>
      <c r="AP4459">
        <f>IF('01_Вводные'!$B$234="Да",'19_Расчет_аналитики'!AO4458*'01_Вводные'!$B$14,0)</f>
        <v/>
      </c>
      <c r="AQ4459">
        <f>IF('01_Вводные'!$B$234="Да",'19_Расчет_аналитики'!AP4458*'01_Вводные'!$B$14,0)</f>
        <v/>
      </c>
      <c r="AR4459">
        <f>IF('01_Вводные'!$B$234="Да",'19_Расчет_аналитики'!AQ4458*'01_Вводные'!$B$14,0)</f>
        <v/>
      </c>
      <c r="AS4459">
        <f>IF('01_Вводные'!$B$234="Да",'19_Расчет_аналитики'!AR4458*'01_Вводные'!$B$14,0)</f>
        <v/>
      </c>
      <c r="AT4459">
        <f>IF('01_Вводные'!$B$234="Да",'19_Расчет_аналитики'!AS4458*'01_Вводные'!$B$14,0)</f>
        <v/>
      </c>
      <c r="AU4459">
        <f>IF('01_Вводные'!$B$234="Да",'19_Расчет_аналитики'!AT4458*'01_Вводные'!$B$14,0)</f>
        <v/>
      </c>
      <c r="AV4459">
        <f>IF('01_Вводные'!$B$234="Да",'19_Расчет_аналитики'!AU4458*'01_Вводные'!$B$14,0)</f>
        <v/>
      </c>
      <c r="AW4459">
        <f>IF('01_Вводные'!$B$234="Да",'19_Расчет_аналитики'!AV4458*'01_Вводные'!$B$14,0)</f>
        <v/>
      </c>
      <c r="AX4459">
        <f>IF('01_Вводные'!$B$234="Да",'19_Расчет_аналитики'!AW4458*'01_Вводные'!$B$14,0)</f>
        <v/>
      </c>
      <c r="AY4459">
        <f>IF('01_Вводные'!$B$234="Да",'19_Расчет_аналитики'!AX4458*'01_Вводные'!$B$14,0)</f>
        <v/>
      </c>
      <c r="AZ4459">
        <f>IF('01_Вводные'!$B$234="Да",'19_Расчет_аналитики'!AY4458*'01_Вводные'!$B$14,0)</f>
        <v/>
      </c>
      <c r="BA4459">
        <f>IF('01_Вводные'!$B$234="Да",'19_Расчет_аналитики'!AZ4458*'01_Вводные'!$B$14,0)</f>
        <v/>
      </c>
      <c r="BB4459">
        <f>IF('01_Вводные'!$B$234="Да",'19_Расчет_аналитики'!BA4458*'01_Вводные'!$B$14,0)</f>
        <v/>
      </c>
      <c r="BC4459">
        <f>IF('01_Вводные'!$B$234="Да",'19_Расчет_аналитики'!BB4458*'01_Вводные'!$B$14,0)</f>
        <v/>
      </c>
      <c r="BD4459">
        <f>IF('01_Вводные'!$B$234="Да",'19_Расчет_аналитики'!BC4458*'01_Вводные'!$B$14,0)</f>
        <v/>
      </c>
      <c r="BE4459">
        <f>IF('01_Вводные'!$B$234="Да",'19_Расчет_аналитики'!BD4458*'01_Вводные'!$B$14,0)</f>
        <v/>
      </c>
      <c r="BF4459">
        <f>IF('01_Вводные'!$B$234="Да",'19_Расчет_аналитики'!BE4458*'01_Вводные'!$B$14,0)</f>
        <v/>
      </c>
      <c r="BG4459">
        <f>IF('01_Вводные'!$B$234="Да",'19_Расчет_аналитики'!BF4458*'01_Вводные'!$B$14,0)</f>
        <v/>
      </c>
      <c r="BH4459">
        <f>IF('01_Вводные'!$B$234="Да",'19_Расчет_аналитики'!BG4458*'01_Вводные'!$B$14,0)</f>
        <v/>
      </c>
      <c r="BI4459">
        <f>IF('01_Вводные'!$B$234="Да",'19_Расчет_аналитики'!BH4458*'01_Вводные'!$B$14,0)</f>
        <v/>
      </c>
      <c r="BJ4459">
        <f>IF('01_Вводные'!$B$234="Да",'19_Расчет_аналитики'!BI4458*'01_Вводные'!$B$14,0)</f>
        <v/>
      </c>
      <c r="BK4459">
        <f>IF('01_Вводные'!$B$234="Да",'19_Расчет_аналитики'!BJ4458*'01_Вводные'!$B$14,0)</f>
        <v/>
      </c>
      <c r="BL4459">
        <f>IF('01_Вводные'!$B$234="Да",'19_Расчет_аналитики'!BK4458*'01_Вводные'!$B$14,0)</f>
        <v/>
      </c>
      <c r="BM4459">
        <f>IF('01_Вводные'!$B$234="Да",'19_Расчет_аналитики'!BL4458*'01_Вводные'!$B$14,0)</f>
        <v/>
      </c>
      <c r="BN4459">
        <f>IF('01_Вводные'!$B$234="Да",'19_Расчет_аналитики'!BM4458*'01_Вводные'!$B$14,0)</f>
        <v/>
      </c>
      <c r="BO4459">
        <f>IF('01_Вводные'!$B$234="Да",'19_Расчет_аналитики'!BN4458*'01_Вводные'!$B$14,0)</f>
        <v/>
      </c>
    </row>
    <row r="4460">
      <c r="B4460">
        <f>'06_Сеть_и_дети'!B57</f>
        <v/>
      </c>
      <c r="C4460">
        <f>'06_Сеть_и_дети'!C57</f>
        <v/>
      </c>
      <c r="D4460">
        <f>'06_Сеть_и_дети'!D57</f>
        <v/>
      </c>
      <c r="E4460">
        <f>'06_Сеть_и_дети'!E57</f>
        <v/>
      </c>
      <c r="F4460">
        <f>IF('01_Вводные'!$B$234="Да",'19_Расчет_аналитики'!E4459*'01_Вводные'!$B$14,0)</f>
        <v/>
      </c>
      <c r="G4460">
        <f>IF('01_Вводные'!$B$234="Да",'19_Расчет_аналитики'!F4459*'01_Вводные'!$B$14,0)</f>
        <v/>
      </c>
      <c r="H4460">
        <f>IF('01_Вводные'!$B$234="Да",'19_Расчет_аналитики'!G4459*'01_Вводные'!$B$14,0)</f>
        <v/>
      </c>
      <c r="I4460">
        <f>IF('01_Вводные'!$B$234="Да",'19_Расчет_аналитики'!H4459*'01_Вводные'!$B$14,0)</f>
        <v/>
      </c>
      <c r="J4460">
        <f>IF('01_Вводные'!$B$234="Да",'19_Расчет_аналитики'!I4459*'01_Вводные'!$B$14,0)</f>
        <v/>
      </c>
      <c r="K4460">
        <f>IF('01_Вводные'!$B$234="Да",'19_Расчет_аналитики'!J4459*'01_Вводные'!$B$14,0)</f>
        <v/>
      </c>
      <c r="L4460">
        <f>IF('01_Вводные'!$B$234="Да",'19_Расчет_аналитики'!K4459*'01_Вводные'!$B$14,0)</f>
        <v/>
      </c>
      <c r="M4460">
        <f>IF('01_Вводные'!$B$234="Да",'19_Расчет_аналитики'!L4459*'01_Вводные'!$B$14,0)</f>
        <v/>
      </c>
      <c r="N4460">
        <f>IF('01_Вводные'!$B$234="Да",'19_Расчет_аналитики'!M4459*'01_Вводные'!$B$14,0)</f>
        <v/>
      </c>
      <c r="O4460">
        <f>IF('01_Вводные'!$B$234="Да",'19_Расчет_аналитики'!N4459*'01_Вводные'!$B$14,0)</f>
        <v/>
      </c>
      <c r="P4460">
        <f>IF('01_Вводные'!$B$234="Да",'19_Расчет_аналитики'!O4459*'01_Вводные'!$B$14,0)</f>
        <v/>
      </c>
      <c r="Q4460">
        <f>IF('01_Вводные'!$B$234="Да",'19_Расчет_аналитики'!P4459*'01_Вводные'!$B$14,0)</f>
        <v/>
      </c>
      <c r="R4460">
        <f>IF('01_Вводные'!$B$234="Да",'19_Расчет_аналитики'!Q4459*'01_Вводные'!$B$14,0)</f>
        <v/>
      </c>
      <c r="S4460">
        <f>IF('01_Вводные'!$B$234="Да",'19_Расчет_аналитики'!R4459*'01_Вводные'!$B$14,0)</f>
        <v/>
      </c>
      <c r="T4460">
        <f>IF('01_Вводные'!$B$234="Да",'19_Расчет_аналитики'!S4459*'01_Вводные'!$B$14,0)</f>
        <v/>
      </c>
      <c r="U4460">
        <f>IF('01_Вводные'!$B$234="Да",'19_Расчет_аналитики'!T4459*'01_Вводные'!$B$14,0)</f>
        <v/>
      </c>
      <c r="V4460">
        <f>IF('01_Вводные'!$B$234="Да",'19_Расчет_аналитики'!U4459*'01_Вводные'!$B$14,0)</f>
        <v/>
      </c>
      <c r="W4460">
        <f>IF('01_Вводные'!$B$234="Да",'19_Расчет_аналитики'!V4459*'01_Вводные'!$B$14,0)</f>
        <v/>
      </c>
      <c r="X4460">
        <f>IF('01_Вводные'!$B$234="Да",'19_Расчет_аналитики'!W4459*'01_Вводные'!$B$14,0)</f>
        <v/>
      </c>
      <c r="Y4460">
        <f>IF('01_Вводные'!$B$234="Да",'19_Расчет_аналитики'!X4459*'01_Вводные'!$B$14,0)</f>
        <v/>
      </c>
      <c r="Z4460">
        <f>IF('01_Вводные'!$B$234="Да",'19_Расчет_аналитики'!Y4459*'01_Вводные'!$B$14,0)</f>
        <v/>
      </c>
      <c r="AA4460">
        <f>IF('01_Вводные'!$B$234="Да",'19_Расчет_аналитики'!Z4459*'01_Вводные'!$B$14,0)</f>
        <v/>
      </c>
      <c r="AB4460">
        <f>IF('01_Вводные'!$B$234="Да",'19_Расчет_аналитики'!AA4459*'01_Вводные'!$B$14,0)</f>
        <v/>
      </c>
      <c r="AC4460">
        <f>IF('01_Вводные'!$B$234="Да",'19_Расчет_аналитики'!AB4459*'01_Вводные'!$B$14,0)</f>
        <v/>
      </c>
      <c r="AD4460">
        <f>IF('01_Вводные'!$B$234="Да",'19_Расчет_аналитики'!AC4459*'01_Вводные'!$B$14,0)</f>
        <v/>
      </c>
      <c r="AE4460">
        <f>IF('01_Вводные'!$B$234="Да",'19_Расчет_аналитики'!AD4459*'01_Вводные'!$B$14,0)</f>
        <v/>
      </c>
      <c r="AF4460">
        <f>IF('01_Вводные'!$B$234="Да",'19_Расчет_аналитики'!AE4459*'01_Вводные'!$B$14,0)</f>
        <v/>
      </c>
      <c r="AG4460">
        <f>IF('01_Вводные'!$B$234="Да",'19_Расчет_аналитики'!AF4459*'01_Вводные'!$B$14,0)</f>
        <v/>
      </c>
      <c r="AH4460">
        <f>IF('01_Вводные'!$B$234="Да",'19_Расчет_аналитики'!AG4459*'01_Вводные'!$B$14,0)</f>
        <v/>
      </c>
      <c r="AI4460">
        <f>IF('01_Вводные'!$B$234="Да",'19_Расчет_аналитики'!AH4459*'01_Вводные'!$B$14,0)</f>
        <v/>
      </c>
      <c r="AJ4460">
        <f>IF('01_Вводные'!$B$234="Да",'19_Расчет_аналитики'!AI4459*'01_Вводные'!$B$14,0)</f>
        <v/>
      </c>
      <c r="AK4460">
        <f>IF('01_Вводные'!$B$234="Да",'19_Расчет_аналитики'!AJ4459*'01_Вводные'!$B$14,0)</f>
        <v/>
      </c>
      <c r="AL4460">
        <f>IF('01_Вводные'!$B$234="Да",'19_Расчет_аналитики'!AK4459*'01_Вводные'!$B$14,0)</f>
        <v/>
      </c>
      <c r="AM4460">
        <f>IF('01_Вводные'!$B$234="Да",'19_Расчет_аналитики'!AL4459*'01_Вводные'!$B$14,0)</f>
        <v/>
      </c>
      <c r="AN4460">
        <f>IF('01_Вводные'!$B$234="Да",'19_Расчет_аналитики'!AM4459*'01_Вводные'!$B$14,0)</f>
        <v/>
      </c>
      <c r="AO4460">
        <f>IF('01_Вводные'!$B$234="Да",'19_Расчет_аналитики'!AN4459*'01_Вводные'!$B$14,0)</f>
        <v/>
      </c>
      <c r="AP4460">
        <f>IF('01_Вводные'!$B$234="Да",'19_Расчет_аналитики'!AO4459*'01_Вводные'!$B$14,0)</f>
        <v/>
      </c>
      <c r="AQ4460">
        <f>IF('01_Вводные'!$B$234="Да",'19_Расчет_аналитики'!AP4459*'01_Вводные'!$B$14,0)</f>
        <v/>
      </c>
      <c r="AR4460">
        <f>IF('01_Вводные'!$B$234="Да",'19_Расчет_аналитики'!AQ4459*'01_Вводные'!$B$14,0)</f>
        <v/>
      </c>
      <c r="AS4460">
        <f>IF('01_Вводные'!$B$234="Да",'19_Расчет_аналитики'!AR4459*'01_Вводные'!$B$14,0)</f>
        <v/>
      </c>
      <c r="AT4460">
        <f>IF('01_Вводные'!$B$234="Да",'19_Расчет_аналитики'!AS4459*'01_Вводные'!$B$14,0)</f>
        <v/>
      </c>
      <c r="AU4460">
        <f>IF('01_Вводные'!$B$234="Да",'19_Расчет_аналитики'!AT4459*'01_Вводные'!$B$14,0)</f>
        <v/>
      </c>
      <c r="AV4460">
        <f>IF('01_Вводные'!$B$234="Да",'19_Расчет_аналитики'!AU4459*'01_Вводные'!$B$14,0)</f>
        <v/>
      </c>
      <c r="AW4460">
        <f>IF('01_Вводные'!$B$234="Да",'19_Расчет_аналитики'!AV4459*'01_Вводные'!$B$14,0)</f>
        <v/>
      </c>
      <c r="AX4460">
        <f>IF('01_Вводные'!$B$234="Да",'19_Расчет_аналитики'!AW4459*'01_Вводные'!$B$14,0)</f>
        <v/>
      </c>
      <c r="AY4460">
        <f>IF('01_Вводные'!$B$234="Да",'19_Расчет_аналитики'!AX4459*'01_Вводные'!$B$14,0)</f>
        <v/>
      </c>
      <c r="AZ4460">
        <f>IF('01_Вводные'!$B$234="Да",'19_Расчет_аналитики'!AY4459*'01_Вводные'!$B$14,0)</f>
        <v/>
      </c>
      <c r="BA4460">
        <f>IF('01_Вводные'!$B$234="Да",'19_Расчет_аналитики'!AZ4459*'01_Вводные'!$B$14,0)</f>
        <v/>
      </c>
      <c r="BB4460">
        <f>IF('01_Вводные'!$B$234="Да",'19_Расчет_аналитики'!BA4459*'01_Вводные'!$B$14,0)</f>
        <v/>
      </c>
      <c r="BC4460">
        <f>IF('01_Вводные'!$B$234="Да",'19_Расчет_аналитики'!BB4459*'01_Вводные'!$B$14,0)</f>
        <v/>
      </c>
      <c r="BD4460">
        <f>IF('01_Вводные'!$B$234="Да",'19_Расчет_аналитики'!BC4459*'01_Вводные'!$B$14,0)</f>
        <v/>
      </c>
      <c r="BE4460">
        <f>IF('01_Вводные'!$B$234="Да",'19_Расчет_аналитики'!BD4459*'01_Вводные'!$B$14,0)</f>
        <v/>
      </c>
      <c r="BF4460">
        <f>IF('01_Вводные'!$B$234="Да",'19_Расчет_аналитики'!BE4459*'01_Вводные'!$B$14,0)</f>
        <v/>
      </c>
      <c r="BG4460">
        <f>IF('01_Вводные'!$B$234="Да",'19_Расчет_аналитики'!BF4459*'01_Вводные'!$B$14,0)</f>
        <v/>
      </c>
      <c r="BH4460">
        <f>IF('01_Вводные'!$B$234="Да",'19_Расчет_аналитики'!BG4459*'01_Вводные'!$B$14,0)</f>
        <v/>
      </c>
      <c r="BI4460">
        <f>IF('01_Вводные'!$B$234="Да",'19_Расчет_аналитики'!BH4459*'01_Вводные'!$B$14,0)</f>
        <v/>
      </c>
      <c r="BJ4460">
        <f>IF('01_Вводные'!$B$234="Да",'19_Расчет_аналитики'!BI4459*'01_Вводные'!$B$14,0)</f>
        <v/>
      </c>
      <c r="BK4460">
        <f>IF('01_Вводные'!$B$234="Да",'19_Расчет_аналитики'!BJ4459*'01_Вводные'!$B$14,0)</f>
        <v/>
      </c>
      <c r="BL4460">
        <f>IF('01_Вводные'!$B$234="Да",'19_Расчет_аналитики'!BK4459*'01_Вводные'!$B$14,0)</f>
        <v/>
      </c>
      <c r="BM4460">
        <f>IF('01_Вводные'!$B$234="Да",'19_Расчет_аналитики'!BL4459*'01_Вводные'!$B$14,0)</f>
        <v/>
      </c>
      <c r="BN4460">
        <f>IF('01_Вводные'!$B$234="Да",'19_Расчет_аналитики'!BM4459*'01_Вводные'!$B$14,0)</f>
        <v/>
      </c>
      <c r="BO4460">
        <f>IF('01_Вводные'!$B$234="Да",'19_Расчет_аналитики'!BN4459*'01_Вводные'!$B$14,0)</f>
        <v/>
      </c>
    </row>
    <row r="4461">
      <c r="B4461">
        <f>'06_Сеть_и_дети'!B58</f>
        <v/>
      </c>
      <c r="C4461">
        <f>'06_Сеть_и_дети'!C58</f>
        <v/>
      </c>
      <c r="D4461">
        <f>'06_Сеть_и_дети'!D58</f>
        <v/>
      </c>
      <c r="E4461">
        <f>'06_Сеть_и_дети'!E58</f>
        <v/>
      </c>
      <c r="F4461">
        <f>'06_Сеть_и_дети'!F58</f>
        <v/>
      </c>
      <c r="G4461">
        <f>IF('01_Вводные'!$B$234="Да",'19_Расчет_аналитики'!F4460*'01_Вводные'!$B$14,0)</f>
        <v/>
      </c>
      <c r="H4461">
        <f>IF('01_Вводные'!$B$234="Да",'19_Расчет_аналитики'!G4460*'01_Вводные'!$B$14,0)</f>
        <v/>
      </c>
      <c r="I4461">
        <f>IF('01_Вводные'!$B$234="Да",'19_Расчет_аналитики'!H4460*'01_Вводные'!$B$14,0)</f>
        <v/>
      </c>
      <c r="J4461">
        <f>IF('01_Вводные'!$B$234="Да",'19_Расчет_аналитики'!I4460*'01_Вводные'!$B$14,0)</f>
        <v/>
      </c>
      <c r="K4461">
        <f>IF('01_Вводные'!$B$234="Да",'19_Расчет_аналитики'!J4460*'01_Вводные'!$B$14,0)</f>
        <v/>
      </c>
      <c r="L4461">
        <f>IF('01_Вводные'!$B$234="Да",'19_Расчет_аналитики'!K4460*'01_Вводные'!$B$14,0)</f>
        <v/>
      </c>
      <c r="M4461">
        <f>IF('01_Вводные'!$B$234="Да",'19_Расчет_аналитики'!L4460*'01_Вводные'!$B$14,0)</f>
        <v/>
      </c>
      <c r="N4461">
        <f>IF('01_Вводные'!$B$234="Да",'19_Расчет_аналитики'!M4460*'01_Вводные'!$B$14,0)</f>
        <v/>
      </c>
      <c r="O4461">
        <f>IF('01_Вводные'!$B$234="Да",'19_Расчет_аналитики'!N4460*'01_Вводные'!$B$14,0)</f>
        <v/>
      </c>
      <c r="P4461">
        <f>IF('01_Вводные'!$B$234="Да",'19_Расчет_аналитики'!O4460*'01_Вводные'!$B$14,0)</f>
        <v/>
      </c>
      <c r="Q4461">
        <f>IF('01_Вводные'!$B$234="Да",'19_Расчет_аналитики'!P4460*'01_Вводные'!$B$14,0)</f>
        <v/>
      </c>
      <c r="R4461">
        <f>IF('01_Вводные'!$B$234="Да",'19_Расчет_аналитики'!Q4460*'01_Вводные'!$B$14,0)</f>
        <v/>
      </c>
      <c r="S4461">
        <f>IF('01_Вводные'!$B$234="Да",'19_Расчет_аналитики'!R4460*'01_Вводные'!$B$14,0)</f>
        <v/>
      </c>
      <c r="T4461">
        <f>IF('01_Вводные'!$B$234="Да",'19_Расчет_аналитики'!S4460*'01_Вводные'!$B$14,0)</f>
        <v/>
      </c>
      <c r="U4461">
        <f>IF('01_Вводные'!$B$234="Да",'19_Расчет_аналитики'!T4460*'01_Вводные'!$B$14,0)</f>
        <v/>
      </c>
      <c r="V4461">
        <f>IF('01_Вводные'!$B$234="Да",'19_Расчет_аналитики'!U4460*'01_Вводные'!$B$14,0)</f>
        <v/>
      </c>
      <c r="W4461">
        <f>IF('01_Вводные'!$B$234="Да",'19_Расчет_аналитики'!V4460*'01_Вводные'!$B$14,0)</f>
        <v/>
      </c>
      <c r="X4461">
        <f>IF('01_Вводные'!$B$234="Да",'19_Расчет_аналитики'!W4460*'01_Вводные'!$B$14,0)</f>
        <v/>
      </c>
      <c r="Y4461">
        <f>IF('01_Вводные'!$B$234="Да",'19_Расчет_аналитики'!X4460*'01_Вводные'!$B$14,0)</f>
        <v/>
      </c>
      <c r="Z4461">
        <f>IF('01_Вводные'!$B$234="Да",'19_Расчет_аналитики'!Y4460*'01_Вводные'!$B$14,0)</f>
        <v/>
      </c>
      <c r="AA4461">
        <f>IF('01_Вводные'!$B$234="Да",'19_Расчет_аналитики'!Z4460*'01_Вводные'!$B$14,0)</f>
        <v/>
      </c>
      <c r="AB4461">
        <f>IF('01_Вводные'!$B$234="Да",'19_Расчет_аналитики'!AA4460*'01_Вводные'!$B$14,0)</f>
        <v/>
      </c>
      <c r="AC4461">
        <f>IF('01_Вводные'!$B$234="Да",'19_Расчет_аналитики'!AB4460*'01_Вводные'!$B$14,0)</f>
        <v/>
      </c>
      <c r="AD4461">
        <f>IF('01_Вводные'!$B$234="Да",'19_Расчет_аналитики'!AC4460*'01_Вводные'!$B$14,0)</f>
        <v/>
      </c>
      <c r="AE4461">
        <f>IF('01_Вводные'!$B$234="Да",'19_Расчет_аналитики'!AD4460*'01_Вводные'!$B$14,0)</f>
        <v/>
      </c>
      <c r="AF4461">
        <f>IF('01_Вводные'!$B$234="Да",'19_Расчет_аналитики'!AE4460*'01_Вводные'!$B$14,0)</f>
        <v/>
      </c>
      <c r="AG4461">
        <f>IF('01_Вводные'!$B$234="Да",'19_Расчет_аналитики'!AF4460*'01_Вводные'!$B$14,0)</f>
        <v/>
      </c>
      <c r="AH4461">
        <f>IF('01_Вводные'!$B$234="Да",'19_Расчет_аналитики'!AG4460*'01_Вводные'!$B$14,0)</f>
        <v/>
      </c>
      <c r="AI4461">
        <f>IF('01_Вводные'!$B$234="Да",'19_Расчет_аналитики'!AH4460*'01_Вводные'!$B$14,0)</f>
        <v/>
      </c>
      <c r="AJ4461">
        <f>IF('01_Вводные'!$B$234="Да",'19_Расчет_аналитики'!AI4460*'01_Вводные'!$B$14,0)</f>
        <v/>
      </c>
      <c r="AK4461">
        <f>IF('01_Вводные'!$B$234="Да",'19_Расчет_аналитики'!AJ4460*'01_Вводные'!$B$14,0)</f>
        <v/>
      </c>
      <c r="AL4461">
        <f>IF('01_Вводные'!$B$234="Да",'19_Расчет_аналитики'!AK4460*'01_Вводные'!$B$14,0)</f>
        <v/>
      </c>
      <c r="AM4461">
        <f>IF('01_Вводные'!$B$234="Да",'19_Расчет_аналитики'!AL4460*'01_Вводные'!$B$14,0)</f>
        <v/>
      </c>
      <c r="AN4461">
        <f>IF('01_Вводные'!$B$234="Да",'19_Расчет_аналитики'!AM4460*'01_Вводные'!$B$14,0)</f>
        <v/>
      </c>
      <c r="AO4461">
        <f>IF('01_Вводные'!$B$234="Да",'19_Расчет_аналитики'!AN4460*'01_Вводные'!$B$14,0)</f>
        <v/>
      </c>
      <c r="AP4461">
        <f>IF('01_Вводные'!$B$234="Да",'19_Расчет_аналитики'!AO4460*'01_Вводные'!$B$14,0)</f>
        <v/>
      </c>
      <c r="AQ4461">
        <f>IF('01_Вводные'!$B$234="Да",'19_Расчет_аналитики'!AP4460*'01_Вводные'!$B$14,0)</f>
        <v/>
      </c>
      <c r="AR4461">
        <f>IF('01_Вводные'!$B$234="Да",'19_Расчет_аналитики'!AQ4460*'01_Вводные'!$B$14,0)</f>
        <v/>
      </c>
      <c r="AS4461">
        <f>IF('01_Вводные'!$B$234="Да",'19_Расчет_аналитики'!AR4460*'01_Вводные'!$B$14,0)</f>
        <v/>
      </c>
      <c r="AT4461">
        <f>IF('01_Вводные'!$B$234="Да",'19_Расчет_аналитики'!AS4460*'01_Вводные'!$B$14,0)</f>
        <v/>
      </c>
      <c r="AU4461">
        <f>IF('01_Вводные'!$B$234="Да",'19_Расчет_аналитики'!AT4460*'01_Вводные'!$B$14,0)</f>
        <v/>
      </c>
      <c r="AV4461">
        <f>IF('01_Вводные'!$B$234="Да",'19_Расчет_аналитики'!AU4460*'01_Вводные'!$B$14,0)</f>
        <v/>
      </c>
      <c r="AW4461">
        <f>IF('01_Вводные'!$B$234="Да",'19_Расчет_аналитики'!AV4460*'01_Вводные'!$B$14,0)</f>
        <v/>
      </c>
      <c r="AX4461">
        <f>IF('01_Вводные'!$B$234="Да",'19_Расчет_аналитики'!AW4460*'01_Вводные'!$B$14,0)</f>
        <v/>
      </c>
      <c r="AY4461">
        <f>IF('01_Вводные'!$B$234="Да",'19_Расчет_аналитики'!AX4460*'01_Вводные'!$B$14,0)</f>
        <v/>
      </c>
      <c r="AZ4461">
        <f>IF('01_Вводные'!$B$234="Да",'19_Расчет_аналитики'!AY4460*'01_Вводные'!$B$14,0)</f>
        <v/>
      </c>
      <c r="BA4461">
        <f>IF('01_Вводные'!$B$234="Да",'19_Расчет_аналитики'!AZ4460*'01_Вводные'!$B$14,0)</f>
        <v/>
      </c>
      <c r="BB4461">
        <f>IF('01_Вводные'!$B$234="Да",'19_Расчет_аналитики'!BA4460*'01_Вводные'!$B$14,0)</f>
        <v/>
      </c>
      <c r="BC4461">
        <f>IF('01_Вводные'!$B$234="Да",'19_Расчет_аналитики'!BB4460*'01_Вводные'!$B$14,0)</f>
        <v/>
      </c>
      <c r="BD4461">
        <f>IF('01_Вводные'!$B$234="Да",'19_Расчет_аналитики'!BC4460*'01_Вводные'!$B$14,0)</f>
        <v/>
      </c>
      <c r="BE4461">
        <f>IF('01_Вводные'!$B$234="Да",'19_Расчет_аналитики'!BD4460*'01_Вводные'!$B$14,0)</f>
        <v/>
      </c>
      <c r="BF4461">
        <f>IF('01_Вводные'!$B$234="Да",'19_Расчет_аналитики'!BE4460*'01_Вводные'!$B$14,0)</f>
        <v/>
      </c>
      <c r="BG4461">
        <f>IF('01_Вводные'!$B$234="Да",'19_Расчет_аналитики'!BF4460*'01_Вводные'!$B$14,0)</f>
        <v/>
      </c>
      <c r="BH4461">
        <f>IF('01_Вводные'!$B$234="Да",'19_Расчет_аналитики'!BG4460*'01_Вводные'!$B$14,0)</f>
        <v/>
      </c>
      <c r="BI4461">
        <f>IF('01_Вводные'!$B$234="Да",'19_Расчет_аналитики'!BH4460*'01_Вводные'!$B$14,0)</f>
        <v/>
      </c>
      <c r="BJ4461">
        <f>IF('01_Вводные'!$B$234="Да",'19_Расчет_аналитики'!BI4460*'01_Вводные'!$B$14,0)</f>
        <v/>
      </c>
      <c r="BK4461">
        <f>IF('01_Вводные'!$B$234="Да",'19_Расчет_аналитики'!BJ4460*'01_Вводные'!$B$14,0)</f>
        <v/>
      </c>
      <c r="BL4461">
        <f>IF('01_Вводные'!$B$234="Да",'19_Расчет_аналитики'!BK4460*'01_Вводные'!$B$14,0)</f>
        <v/>
      </c>
      <c r="BM4461">
        <f>IF('01_Вводные'!$B$234="Да",'19_Расчет_аналитики'!BL4460*'01_Вводные'!$B$14,0)</f>
        <v/>
      </c>
      <c r="BN4461">
        <f>IF('01_Вводные'!$B$234="Да",'19_Расчет_аналитики'!BM4460*'01_Вводные'!$B$14,0)</f>
        <v/>
      </c>
      <c r="BO4461">
        <f>IF('01_Вводные'!$B$234="Да",'19_Расчет_аналитики'!BN4460*'01_Вводные'!$B$14,0)</f>
        <v/>
      </c>
    </row>
    <row r="4462">
      <c r="B4462">
        <f>'06_Сеть_и_дети'!B59</f>
        <v/>
      </c>
      <c r="C4462">
        <f>'06_Сеть_и_дети'!C59</f>
        <v/>
      </c>
      <c r="D4462">
        <f>'06_Сеть_и_дети'!D59</f>
        <v/>
      </c>
      <c r="E4462">
        <f>'06_Сеть_и_дети'!E59</f>
        <v/>
      </c>
      <c r="F4462">
        <f>'06_Сеть_и_дети'!F59</f>
        <v/>
      </c>
      <c r="G4462">
        <f>'06_Сеть_и_дети'!G59</f>
        <v/>
      </c>
      <c r="H4462">
        <f>IF('01_Вводные'!$B$234="Да",'19_Расчет_аналитики'!G4461*'01_Вводные'!$B$14,0)</f>
        <v/>
      </c>
      <c r="I4462">
        <f>IF('01_Вводные'!$B$234="Да",'19_Расчет_аналитики'!H4461*'01_Вводные'!$B$14,0)</f>
        <v/>
      </c>
      <c r="J4462">
        <f>IF('01_Вводные'!$B$234="Да",'19_Расчет_аналитики'!I4461*'01_Вводные'!$B$14,0)</f>
        <v/>
      </c>
      <c r="K4462">
        <f>IF('01_Вводные'!$B$234="Да",'19_Расчет_аналитики'!J4461*'01_Вводные'!$B$14,0)</f>
        <v/>
      </c>
      <c r="L4462">
        <f>IF('01_Вводные'!$B$234="Да",'19_Расчет_аналитики'!K4461*'01_Вводные'!$B$14,0)</f>
        <v/>
      </c>
      <c r="M4462">
        <f>IF('01_Вводные'!$B$234="Да",'19_Расчет_аналитики'!L4461*'01_Вводные'!$B$14,0)</f>
        <v/>
      </c>
      <c r="N4462">
        <f>IF('01_Вводные'!$B$234="Да",'19_Расчет_аналитики'!M4461*'01_Вводные'!$B$14,0)</f>
        <v/>
      </c>
      <c r="O4462">
        <f>IF('01_Вводные'!$B$234="Да",'19_Расчет_аналитики'!N4461*'01_Вводные'!$B$14,0)</f>
        <v/>
      </c>
      <c r="P4462">
        <f>IF('01_Вводные'!$B$234="Да",'19_Расчет_аналитики'!O4461*'01_Вводные'!$B$14,0)</f>
        <v/>
      </c>
      <c r="Q4462">
        <f>IF('01_Вводные'!$B$234="Да",'19_Расчет_аналитики'!P4461*'01_Вводные'!$B$14,0)</f>
        <v/>
      </c>
      <c r="R4462">
        <f>IF('01_Вводные'!$B$234="Да",'19_Расчет_аналитики'!Q4461*'01_Вводные'!$B$14,0)</f>
        <v/>
      </c>
      <c r="S4462">
        <f>IF('01_Вводные'!$B$234="Да",'19_Расчет_аналитики'!R4461*'01_Вводные'!$B$14,0)</f>
        <v/>
      </c>
      <c r="T4462">
        <f>IF('01_Вводные'!$B$234="Да",'19_Расчет_аналитики'!S4461*'01_Вводные'!$B$14,0)</f>
        <v/>
      </c>
      <c r="U4462">
        <f>IF('01_Вводные'!$B$234="Да",'19_Расчет_аналитики'!T4461*'01_Вводные'!$B$14,0)</f>
        <v/>
      </c>
      <c r="V4462">
        <f>IF('01_Вводные'!$B$234="Да",'19_Расчет_аналитики'!U4461*'01_Вводные'!$B$14,0)</f>
        <v/>
      </c>
      <c r="W4462">
        <f>IF('01_Вводные'!$B$234="Да",'19_Расчет_аналитики'!V4461*'01_Вводные'!$B$14,0)</f>
        <v/>
      </c>
      <c r="X4462">
        <f>IF('01_Вводные'!$B$234="Да",'19_Расчет_аналитики'!W4461*'01_Вводные'!$B$14,0)</f>
        <v/>
      </c>
      <c r="Y4462">
        <f>IF('01_Вводные'!$B$234="Да",'19_Расчет_аналитики'!X4461*'01_Вводные'!$B$14,0)</f>
        <v/>
      </c>
      <c r="Z4462">
        <f>IF('01_Вводные'!$B$234="Да",'19_Расчет_аналитики'!Y4461*'01_Вводные'!$B$14,0)</f>
        <v/>
      </c>
      <c r="AA4462">
        <f>IF('01_Вводные'!$B$234="Да",'19_Расчет_аналитики'!Z4461*'01_Вводные'!$B$14,0)</f>
        <v/>
      </c>
      <c r="AB4462">
        <f>IF('01_Вводные'!$B$234="Да",'19_Расчет_аналитики'!AA4461*'01_Вводные'!$B$14,0)</f>
        <v/>
      </c>
      <c r="AC4462">
        <f>IF('01_Вводные'!$B$234="Да",'19_Расчет_аналитики'!AB4461*'01_Вводные'!$B$14,0)</f>
        <v/>
      </c>
      <c r="AD4462">
        <f>IF('01_Вводные'!$B$234="Да",'19_Расчет_аналитики'!AC4461*'01_Вводные'!$B$14,0)</f>
        <v/>
      </c>
      <c r="AE4462">
        <f>IF('01_Вводные'!$B$234="Да",'19_Расчет_аналитики'!AD4461*'01_Вводные'!$B$14,0)</f>
        <v/>
      </c>
      <c r="AF4462">
        <f>IF('01_Вводные'!$B$234="Да",'19_Расчет_аналитики'!AE4461*'01_Вводные'!$B$14,0)</f>
        <v/>
      </c>
      <c r="AG4462">
        <f>IF('01_Вводные'!$B$234="Да",'19_Расчет_аналитики'!AF4461*'01_Вводные'!$B$14,0)</f>
        <v/>
      </c>
      <c r="AH4462">
        <f>IF('01_Вводные'!$B$234="Да",'19_Расчет_аналитики'!AG4461*'01_Вводные'!$B$14,0)</f>
        <v/>
      </c>
      <c r="AI4462">
        <f>IF('01_Вводные'!$B$234="Да",'19_Расчет_аналитики'!AH4461*'01_Вводные'!$B$14,0)</f>
        <v/>
      </c>
      <c r="AJ4462">
        <f>IF('01_Вводные'!$B$234="Да",'19_Расчет_аналитики'!AI4461*'01_Вводные'!$B$14,0)</f>
        <v/>
      </c>
      <c r="AK4462">
        <f>IF('01_Вводные'!$B$234="Да",'19_Расчет_аналитики'!AJ4461*'01_Вводные'!$B$14,0)</f>
        <v/>
      </c>
      <c r="AL4462">
        <f>IF('01_Вводные'!$B$234="Да",'19_Расчет_аналитики'!AK4461*'01_Вводные'!$B$14,0)</f>
        <v/>
      </c>
      <c r="AM4462">
        <f>IF('01_Вводные'!$B$234="Да",'19_Расчет_аналитики'!AL4461*'01_Вводные'!$B$14,0)</f>
        <v/>
      </c>
      <c r="AN4462">
        <f>IF('01_Вводные'!$B$234="Да",'19_Расчет_аналитики'!AM4461*'01_Вводные'!$B$14,0)</f>
        <v/>
      </c>
      <c r="AO4462">
        <f>IF('01_Вводные'!$B$234="Да",'19_Расчет_аналитики'!AN4461*'01_Вводные'!$B$14,0)</f>
        <v/>
      </c>
      <c r="AP4462">
        <f>IF('01_Вводные'!$B$234="Да",'19_Расчет_аналитики'!AO4461*'01_Вводные'!$B$14,0)</f>
        <v/>
      </c>
      <c r="AQ4462">
        <f>IF('01_Вводные'!$B$234="Да",'19_Расчет_аналитики'!AP4461*'01_Вводные'!$B$14,0)</f>
        <v/>
      </c>
      <c r="AR4462">
        <f>IF('01_Вводные'!$B$234="Да",'19_Расчет_аналитики'!AQ4461*'01_Вводные'!$B$14,0)</f>
        <v/>
      </c>
      <c r="AS4462">
        <f>IF('01_Вводные'!$B$234="Да",'19_Расчет_аналитики'!AR4461*'01_Вводные'!$B$14,0)</f>
        <v/>
      </c>
      <c r="AT4462">
        <f>IF('01_Вводные'!$B$234="Да",'19_Расчет_аналитики'!AS4461*'01_Вводные'!$B$14,0)</f>
        <v/>
      </c>
      <c r="AU4462">
        <f>IF('01_Вводные'!$B$234="Да",'19_Расчет_аналитики'!AT4461*'01_Вводные'!$B$14,0)</f>
        <v/>
      </c>
      <c r="AV4462">
        <f>IF('01_Вводные'!$B$234="Да",'19_Расчет_аналитики'!AU4461*'01_Вводные'!$B$14,0)</f>
        <v/>
      </c>
      <c r="AW4462">
        <f>IF('01_Вводные'!$B$234="Да",'19_Расчет_аналитики'!AV4461*'01_Вводные'!$B$14,0)</f>
        <v/>
      </c>
      <c r="AX4462">
        <f>IF('01_Вводные'!$B$234="Да",'19_Расчет_аналитики'!AW4461*'01_Вводные'!$B$14,0)</f>
        <v/>
      </c>
      <c r="AY4462">
        <f>IF('01_Вводные'!$B$234="Да",'19_Расчет_аналитики'!AX4461*'01_Вводные'!$B$14,0)</f>
        <v/>
      </c>
      <c r="AZ4462">
        <f>IF('01_Вводные'!$B$234="Да",'19_Расчет_аналитики'!AY4461*'01_Вводные'!$B$14,0)</f>
        <v/>
      </c>
      <c r="BA4462">
        <f>IF('01_Вводные'!$B$234="Да",'19_Расчет_аналитики'!AZ4461*'01_Вводные'!$B$14,0)</f>
        <v/>
      </c>
      <c r="BB4462">
        <f>IF('01_Вводные'!$B$234="Да",'19_Расчет_аналитики'!BA4461*'01_Вводные'!$B$14,0)</f>
        <v/>
      </c>
      <c r="BC4462">
        <f>IF('01_Вводные'!$B$234="Да",'19_Расчет_аналитики'!BB4461*'01_Вводные'!$B$14,0)</f>
        <v/>
      </c>
      <c r="BD4462">
        <f>IF('01_Вводные'!$B$234="Да",'19_Расчет_аналитики'!BC4461*'01_Вводные'!$B$14,0)</f>
        <v/>
      </c>
      <c r="BE4462">
        <f>IF('01_Вводные'!$B$234="Да",'19_Расчет_аналитики'!BD4461*'01_Вводные'!$B$14,0)</f>
        <v/>
      </c>
      <c r="BF4462">
        <f>IF('01_Вводные'!$B$234="Да",'19_Расчет_аналитики'!BE4461*'01_Вводные'!$B$14,0)</f>
        <v/>
      </c>
      <c r="BG4462">
        <f>IF('01_Вводные'!$B$234="Да",'19_Расчет_аналитики'!BF4461*'01_Вводные'!$B$14,0)</f>
        <v/>
      </c>
      <c r="BH4462">
        <f>IF('01_Вводные'!$B$234="Да",'19_Расчет_аналитики'!BG4461*'01_Вводные'!$B$14,0)</f>
        <v/>
      </c>
      <c r="BI4462">
        <f>IF('01_Вводные'!$B$234="Да",'19_Расчет_аналитики'!BH4461*'01_Вводные'!$B$14,0)</f>
        <v/>
      </c>
      <c r="BJ4462">
        <f>IF('01_Вводные'!$B$234="Да",'19_Расчет_аналитики'!BI4461*'01_Вводные'!$B$14,0)</f>
        <v/>
      </c>
      <c r="BK4462">
        <f>IF('01_Вводные'!$B$234="Да",'19_Расчет_аналитики'!BJ4461*'01_Вводные'!$B$14,0)</f>
        <v/>
      </c>
      <c r="BL4462">
        <f>IF('01_Вводные'!$B$234="Да",'19_Расчет_аналитики'!BK4461*'01_Вводные'!$B$14,0)</f>
        <v/>
      </c>
      <c r="BM4462">
        <f>IF('01_Вводные'!$B$234="Да",'19_Расчет_аналитики'!BL4461*'01_Вводные'!$B$14,0)</f>
        <v/>
      </c>
      <c r="BN4462">
        <f>IF('01_Вводные'!$B$234="Да",'19_Расчет_аналитики'!BM4461*'01_Вводные'!$B$14,0)</f>
        <v/>
      </c>
      <c r="BO4462">
        <f>IF('01_Вводные'!$B$234="Да",'19_Расчет_аналитики'!BN4461*'01_Вводные'!$B$14,0)</f>
        <v/>
      </c>
    </row>
    <row r="4463">
      <c r="B4463">
        <f>'06_Сеть_и_дети'!B60</f>
        <v/>
      </c>
      <c r="C4463">
        <f>'06_Сеть_и_дети'!C60</f>
        <v/>
      </c>
      <c r="D4463">
        <f>'06_Сеть_и_дети'!D60</f>
        <v/>
      </c>
      <c r="E4463">
        <f>'06_Сеть_и_дети'!E60</f>
        <v/>
      </c>
      <c r="F4463">
        <f>'06_Сеть_и_дети'!F60</f>
        <v/>
      </c>
      <c r="G4463">
        <f>'06_Сеть_и_дети'!G60</f>
        <v/>
      </c>
      <c r="H4463">
        <f>'06_Сеть_и_дети'!H60</f>
        <v/>
      </c>
      <c r="I4463">
        <f>IF('01_Вводные'!$B$234="Да",'19_Расчет_аналитики'!H4462*'01_Вводные'!$B$14,0)</f>
        <v/>
      </c>
      <c r="J4463">
        <f>IF('01_Вводные'!$B$234="Да",'19_Расчет_аналитики'!I4462*'01_Вводные'!$B$14,0)</f>
        <v/>
      </c>
      <c r="K4463">
        <f>IF('01_Вводные'!$B$234="Да",'19_Расчет_аналитики'!J4462*'01_Вводные'!$B$14,0)</f>
        <v/>
      </c>
      <c r="L4463">
        <f>IF('01_Вводные'!$B$234="Да",'19_Расчет_аналитики'!K4462*'01_Вводные'!$B$14,0)</f>
        <v/>
      </c>
      <c r="M4463">
        <f>IF('01_Вводные'!$B$234="Да",'19_Расчет_аналитики'!L4462*'01_Вводные'!$B$14,0)</f>
        <v/>
      </c>
      <c r="N4463">
        <f>IF('01_Вводные'!$B$234="Да",'19_Расчет_аналитики'!M4462*'01_Вводные'!$B$14,0)</f>
        <v/>
      </c>
      <c r="O4463">
        <f>IF('01_Вводные'!$B$234="Да",'19_Расчет_аналитики'!N4462*'01_Вводные'!$B$14,0)</f>
        <v/>
      </c>
      <c r="P4463">
        <f>IF('01_Вводные'!$B$234="Да",'19_Расчет_аналитики'!O4462*'01_Вводные'!$B$14,0)</f>
        <v/>
      </c>
      <c r="Q4463">
        <f>IF('01_Вводные'!$B$234="Да",'19_Расчет_аналитики'!P4462*'01_Вводные'!$B$14,0)</f>
        <v/>
      </c>
      <c r="R4463">
        <f>IF('01_Вводные'!$B$234="Да",'19_Расчет_аналитики'!Q4462*'01_Вводные'!$B$14,0)</f>
        <v/>
      </c>
      <c r="S4463">
        <f>IF('01_Вводные'!$B$234="Да",'19_Расчет_аналитики'!R4462*'01_Вводные'!$B$14,0)</f>
        <v/>
      </c>
      <c r="T4463">
        <f>IF('01_Вводные'!$B$234="Да",'19_Расчет_аналитики'!S4462*'01_Вводные'!$B$14,0)</f>
        <v/>
      </c>
      <c r="U4463">
        <f>IF('01_Вводные'!$B$234="Да",'19_Расчет_аналитики'!T4462*'01_Вводные'!$B$14,0)</f>
        <v/>
      </c>
      <c r="V4463">
        <f>IF('01_Вводные'!$B$234="Да",'19_Расчет_аналитики'!U4462*'01_Вводные'!$B$14,0)</f>
        <v/>
      </c>
      <c r="W4463">
        <f>IF('01_Вводные'!$B$234="Да",'19_Расчет_аналитики'!V4462*'01_Вводные'!$B$14,0)</f>
        <v/>
      </c>
      <c r="X4463">
        <f>IF('01_Вводные'!$B$234="Да",'19_Расчет_аналитики'!W4462*'01_Вводные'!$B$14,0)</f>
        <v/>
      </c>
      <c r="Y4463">
        <f>IF('01_Вводные'!$B$234="Да",'19_Расчет_аналитики'!X4462*'01_Вводные'!$B$14,0)</f>
        <v/>
      </c>
      <c r="Z4463">
        <f>IF('01_Вводные'!$B$234="Да",'19_Расчет_аналитики'!Y4462*'01_Вводные'!$B$14,0)</f>
        <v/>
      </c>
      <c r="AA4463">
        <f>IF('01_Вводные'!$B$234="Да",'19_Расчет_аналитики'!Z4462*'01_Вводные'!$B$14,0)</f>
        <v/>
      </c>
      <c r="AB4463">
        <f>IF('01_Вводные'!$B$234="Да",'19_Расчет_аналитики'!AA4462*'01_Вводные'!$B$14,0)</f>
        <v/>
      </c>
      <c r="AC4463">
        <f>IF('01_Вводные'!$B$234="Да",'19_Расчет_аналитики'!AB4462*'01_Вводные'!$B$14,0)</f>
        <v/>
      </c>
      <c r="AD4463">
        <f>IF('01_Вводные'!$B$234="Да",'19_Расчет_аналитики'!AC4462*'01_Вводные'!$B$14,0)</f>
        <v/>
      </c>
      <c r="AE4463">
        <f>IF('01_Вводные'!$B$234="Да",'19_Расчет_аналитики'!AD4462*'01_Вводные'!$B$14,0)</f>
        <v/>
      </c>
      <c r="AF4463">
        <f>IF('01_Вводные'!$B$234="Да",'19_Расчет_аналитики'!AE4462*'01_Вводные'!$B$14,0)</f>
        <v/>
      </c>
      <c r="AG4463">
        <f>IF('01_Вводные'!$B$234="Да",'19_Расчет_аналитики'!AF4462*'01_Вводные'!$B$14,0)</f>
        <v/>
      </c>
      <c r="AH4463">
        <f>IF('01_Вводные'!$B$234="Да",'19_Расчет_аналитики'!AG4462*'01_Вводные'!$B$14,0)</f>
        <v/>
      </c>
      <c r="AI4463">
        <f>IF('01_Вводные'!$B$234="Да",'19_Расчет_аналитики'!AH4462*'01_Вводные'!$B$14,0)</f>
        <v/>
      </c>
      <c r="AJ4463">
        <f>IF('01_Вводные'!$B$234="Да",'19_Расчет_аналитики'!AI4462*'01_Вводные'!$B$14,0)</f>
        <v/>
      </c>
      <c r="AK4463">
        <f>IF('01_Вводные'!$B$234="Да",'19_Расчет_аналитики'!AJ4462*'01_Вводные'!$B$14,0)</f>
        <v/>
      </c>
      <c r="AL4463">
        <f>IF('01_Вводные'!$B$234="Да",'19_Расчет_аналитики'!AK4462*'01_Вводные'!$B$14,0)</f>
        <v/>
      </c>
      <c r="AM4463">
        <f>IF('01_Вводные'!$B$234="Да",'19_Расчет_аналитики'!AL4462*'01_Вводные'!$B$14,0)</f>
        <v/>
      </c>
      <c r="AN4463">
        <f>IF('01_Вводные'!$B$234="Да",'19_Расчет_аналитики'!AM4462*'01_Вводные'!$B$14,0)</f>
        <v/>
      </c>
      <c r="AO4463">
        <f>IF('01_Вводные'!$B$234="Да",'19_Расчет_аналитики'!AN4462*'01_Вводные'!$B$14,0)</f>
        <v/>
      </c>
      <c r="AP4463">
        <f>IF('01_Вводные'!$B$234="Да",'19_Расчет_аналитики'!AO4462*'01_Вводные'!$B$14,0)</f>
        <v/>
      </c>
      <c r="AQ4463">
        <f>IF('01_Вводные'!$B$234="Да",'19_Расчет_аналитики'!AP4462*'01_Вводные'!$B$14,0)</f>
        <v/>
      </c>
      <c r="AR4463">
        <f>IF('01_Вводные'!$B$234="Да",'19_Расчет_аналитики'!AQ4462*'01_Вводные'!$B$14,0)</f>
        <v/>
      </c>
      <c r="AS4463">
        <f>IF('01_Вводные'!$B$234="Да",'19_Расчет_аналитики'!AR4462*'01_Вводные'!$B$14,0)</f>
        <v/>
      </c>
      <c r="AT4463">
        <f>IF('01_Вводные'!$B$234="Да",'19_Расчет_аналитики'!AS4462*'01_Вводные'!$B$14,0)</f>
        <v/>
      </c>
      <c r="AU4463">
        <f>IF('01_Вводные'!$B$234="Да",'19_Расчет_аналитики'!AT4462*'01_Вводные'!$B$14,0)</f>
        <v/>
      </c>
      <c r="AV4463">
        <f>IF('01_Вводные'!$B$234="Да",'19_Расчет_аналитики'!AU4462*'01_Вводные'!$B$14,0)</f>
        <v/>
      </c>
      <c r="AW4463">
        <f>IF('01_Вводные'!$B$234="Да",'19_Расчет_аналитики'!AV4462*'01_Вводные'!$B$14,0)</f>
        <v/>
      </c>
      <c r="AX4463">
        <f>IF('01_Вводные'!$B$234="Да",'19_Расчет_аналитики'!AW4462*'01_Вводные'!$B$14,0)</f>
        <v/>
      </c>
      <c r="AY4463">
        <f>IF('01_Вводные'!$B$234="Да",'19_Расчет_аналитики'!AX4462*'01_Вводные'!$B$14,0)</f>
        <v/>
      </c>
      <c r="AZ4463">
        <f>IF('01_Вводные'!$B$234="Да",'19_Расчет_аналитики'!AY4462*'01_Вводные'!$B$14,0)</f>
        <v/>
      </c>
      <c r="BA4463">
        <f>IF('01_Вводные'!$B$234="Да",'19_Расчет_аналитики'!AZ4462*'01_Вводные'!$B$14,0)</f>
        <v/>
      </c>
      <c r="BB4463">
        <f>IF('01_Вводные'!$B$234="Да",'19_Расчет_аналитики'!BA4462*'01_Вводные'!$B$14,0)</f>
        <v/>
      </c>
      <c r="BC4463">
        <f>IF('01_Вводные'!$B$234="Да",'19_Расчет_аналитики'!BB4462*'01_Вводные'!$B$14,0)</f>
        <v/>
      </c>
      <c r="BD4463">
        <f>IF('01_Вводные'!$B$234="Да",'19_Расчет_аналитики'!BC4462*'01_Вводные'!$B$14,0)</f>
        <v/>
      </c>
      <c r="BE4463">
        <f>IF('01_Вводные'!$B$234="Да",'19_Расчет_аналитики'!BD4462*'01_Вводные'!$B$14,0)</f>
        <v/>
      </c>
      <c r="BF4463">
        <f>IF('01_Вводные'!$B$234="Да",'19_Расчет_аналитики'!BE4462*'01_Вводные'!$B$14,0)</f>
        <v/>
      </c>
      <c r="BG4463">
        <f>IF('01_Вводные'!$B$234="Да",'19_Расчет_аналитики'!BF4462*'01_Вводные'!$B$14,0)</f>
        <v/>
      </c>
      <c r="BH4463">
        <f>IF('01_Вводные'!$B$234="Да",'19_Расчет_аналитики'!BG4462*'01_Вводные'!$B$14,0)</f>
        <v/>
      </c>
      <c r="BI4463">
        <f>IF('01_Вводные'!$B$234="Да",'19_Расчет_аналитики'!BH4462*'01_Вводные'!$B$14,0)</f>
        <v/>
      </c>
      <c r="BJ4463">
        <f>IF('01_Вводные'!$B$234="Да",'19_Расчет_аналитики'!BI4462*'01_Вводные'!$B$14,0)</f>
        <v/>
      </c>
      <c r="BK4463">
        <f>IF('01_Вводные'!$B$234="Да",'19_Расчет_аналитики'!BJ4462*'01_Вводные'!$B$14,0)</f>
        <v/>
      </c>
      <c r="BL4463">
        <f>IF('01_Вводные'!$B$234="Да",'19_Расчет_аналитики'!BK4462*'01_Вводные'!$B$14,0)</f>
        <v/>
      </c>
      <c r="BM4463">
        <f>IF('01_Вводные'!$B$234="Да",'19_Расчет_аналитики'!BL4462*'01_Вводные'!$B$14,0)</f>
        <v/>
      </c>
      <c r="BN4463">
        <f>IF('01_Вводные'!$B$234="Да",'19_Расчет_аналитики'!BM4462*'01_Вводные'!$B$14,0)</f>
        <v/>
      </c>
      <c r="BO4463">
        <f>IF('01_Вводные'!$B$234="Да",'19_Расчет_аналитики'!BN4462*'01_Вводные'!$B$14,0)</f>
        <v/>
      </c>
    </row>
    <row r="4464">
      <c r="B4464">
        <f>'06_Сеть_и_дети'!B61</f>
        <v/>
      </c>
      <c r="C4464">
        <f>'06_Сеть_и_дети'!C61</f>
        <v/>
      </c>
      <c r="D4464">
        <f>'06_Сеть_и_дети'!D61</f>
        <v/>
      </c>
      <c r="E4464">
        <f>'06_Сеть_и_дети'!E61</f>
        <v/>
      </c>
      <c r="F4464">
        <f>'06_Сеть_и_дети'!F61</f>
        <v/>
      </c>
      <c r="G4464">
        <f>'06_Сеть_и_дети'!G61</f>
        <v/>
      </c>
      <c r="H4464">
        <f>'06_Сеть_и_дети'!H61</f>
        <v/>
      </c>
      <c r="I4464">
        <f>'06_Сеть_и_дети'!I61</f>
        <v/>
      </c>
      <c r="J4464">
        <f>IF('01_Вводные'!$B$234="Да",'19_Расчет_аналитики'!I4463*'01_Вводные'!$B$14,0)</f>
        <v/>
      </c>
      <c r="K4464">
        <f>IF('01_Вводные'!$B$234="Да",'19_Расчет_аналитики'!J4463*'01_Вводные'!$B$14,0)</f>
        <v/>
      </c>
      <c r="L4464">
        <f>IF('01_Вводные'!$B$234="Да",'19_Расчет_аналитики'!K4463*'01_Вводные'!$B$14,0)</f>
        <v/>
      </c>
      <c r="M4464">
        <f>IF('01_Вводные'!$B$234="Да",'19_Расчет_аналитики'!L4463*'01_Вводные'!$B$14,0)</f>
        <v/>
      </c>
      <c r="N4464">
        <f>IF('01_Вводные'!$B$234="Да",'19_Расчет_аналитики'!M4463*'01_Вводные'!$B$14,0)</f>
        <v/>
      </c>
      <c r="O4464">
        <f>IF('01_Вводные'!$B$234="Да",'19_Расчет_аналитики'!N4463*'01_Вводные'!$B$14,0)</f>
        <v/>
      </c>
      <c r="P4464">
        <f>IF('01_Вводные'!$B$234="Да",'19_Расчет_аналитики'!O4463*'01_Вводные'!$B$14,0)</f>
        <v/>
      </c>
      <c r="Q4464">
        <f>IF('01_Вводные'!$B$234="Да",'19_Расчет_аналитики'!P4463*'01_Вводные'!$B$14,0)</f>
        <v/>
      </c>
      <c r="R4464">
        <f>IF('01_Вводные'!$B$234="Да",'19_Расчет_аналитики'!Q4463*'01_Вводные'!$B$14,0)</f>
        <v/>
      </c>
      <c r="S4464">
        <f>IF('01_Вводные'!$B$234="Да",'19_Расчет_аналитики'!R4463*'01_Вводные'!$B$14,0)</f>
        <v/>
      </c>
      <c r="T4464">
        <f>IF('01_Вводные'!$B$234="Да",'19_Расчет_аналитики'!S4463*'01_Вводные'!$B$14,0)</f>
        <v/>
      </c>
      <c r="U4464">
        <f>IF('01_Вводные'!$B$234="Да",'19_Расчет_аналитики'!T4463*'01_Вводные'!$B$14,0)</f>
        <v/>
      </c>
      <c r="V4464">
        <f>IF('01_Вводные'!$B$234="Да",'19_Расчет_аналитики'!U4463*'01_Вводные'!$B$14,0)</f>
        <v/>
      </c>
      <c r="W4464">
        <f>IF('01_Вводные'!$B$234="Да",'19_Расчет_аналитики'!V4463*'01_Вводные'!$B$14,0)</f>
        <v/>
      </c>
      <c r="X4464">
        <f>IF('01_Вводные'!$B$234="Да",'19_Расчет_аналитики'!W4463*'01_Вводные'!$B$14,0)</f>
        <v/>
      </c>
      <c r="Y4464">
        <f>IF('01_Вводные'!$B$234="Да",'19_Расчет_аналитики'!X4463*'01_Вводные'!$B$14,0)</f>
        <v/>
      </c>
      <c r="Z4464">
        <f>IF('01_Вводные'!$B$234="Да",'19_Расчет_аналитики'!Y4463*'01_Вводные'!$B$14,0)</f>
        <v/>
      </c>
      <c r="AA4464">
        <f>IF('01_Вводные'!$B$234="Да",'19_Расчет_аналитики'!Z4463*'01_Вводные'!$B$14,0)</f>
        <v/>
      </c>
      <c r="AB4464">
        <f>IF('01_Вводные'!$B$234="Да",'19_Расчет_аналитики'!AA4463*'01_Вводные'!$B$14,0)</f>
        <v/>
      </c>
      <c r="AC4464">
        <f>IF('01_Вводные'!$B$234="Да",'19_Расчет_аналитики'!AB4463*'01_Вводные'!$B$14,0)</f>
        <v/>
      </c>
      <c r="AD4464">
        <f>IF('01_Вводные'!$B$234="Да",'19_Расчет_аналитики'!AC4463*'01_Вводные'!$B$14,0)</f>
        <v/>
      </c>
      <c r="AE4464">
        <f>IF('01_Вводные'!$B$234="Да",'19_Расчет_аналитики'!AD4463*'01_Вводные'!$B$14,0)</f>
        <v/>
      </c>
      <c r="AF4464">
        <f>IF('01_Вводные'!$B$234="Да",'19_Расчет_аналитики'!AE4463*'01_Вводные'!$B$14,0)</f>
        <v/>
      </c>
      <c r="AG4464">
        <f>IF('01_Вводные'!$B$234="Да",'19_Расчет_аналитики'!AF4463*'01_Вводные'!$B$14,0)</f>
        <v/>
      </c>
      <c r="AH4464">
        <f>IF('01_Вводные'!$B$234="Да",'19_Расчет_аналитики'!AG4463*'01_Вводные'!$B$14,0)</f>
        <v/>
      </c>
      <c r="AI4464">
        <f>IF('01_Вводные'!$B$234="Да",'19_Расчет_аналитики'!AH4463*'01_Вводные'!$B$14,0)</f>
        <v/>
      </c>
      <c r="AJ4464">
        <f>IF('01_Вводные'!$B$234="Да",'19_Расчет_аналитики'!AI4463*'01_Вводные'!$B$14,0)</f>
        <v/>
      </c>
      <c r="AK4464">
        <f>IF('01_Вводные'!$B$234="Да",'19_Расчет_аналитики'!AJ4463*'01_Вводные'!$B$14,0)</f>
        <v/>
      </c>
      <c r="AL4464">
        <f>IF('01_Вводные'!$B$234="Да",'19_Расчет_аналитики'!AK4463*'01_Вводные'!$B$14,0)</f>
        <v/>
      </c>
      <c r="AM4464">
        <f>IF('01_Вводные'!$B$234="Да",'19_Расчет_аналитики'!AL4463*'01_Вводные'!$B$14,0)</f>
        <v/>
      </c>
      <c r="AN4464">
        <f>IF('01_Вводные'!$B$234="Да",'19_Расчет_аналитики'!AM4463*'01_Вводные'!$B$14,0)</f>
        <v/>
      </c>
      <c r="AO4464">
        <f>IF('01_Вводные'!$B$234="Да",'19_Расчет_аналитики'!AN4463*'01_Вводные'!$B$14,0)</f>
        <v/>
      </c>
      <c r="AP4464">
        <f>IF('01_Вводные'!$B$234="Да",'19_Расчет_аналитики'!AO4463*'01_Вводные'!$B$14,0)</f>
        <v/>
      </c>
      <c r="AQ4464">
        <f>IF('01_Вводные'!$B$234="Да",'19_Расчет_аналитики'!AP4463*'01_Вводные'!$B$14,0)</f>
        <v/>
      </c>
      <c r="AR4464">
        <f>IF('01_Вводные'!$B$234="Да",'19_Расчет_аналитики'!AQ4463*'01_Вводные'!$B$14,0)</f>
        <v/>
      </c>
      <c r="AS4464">
        <f>IF('01_Вводные'!$B$234="Да",'19_Расчет_аналитики'!AR4463*'01_Вводные'!$B$14,0)</f>
        <v/>
      </c>
      <c r="AT4464">
        <f>IF('01_Вводные'!$B$234="Да",'19_Расчет_аналитики'!AS4463*'01_Вводные'!$B$14,0)</f>
        <v/>
      </c>
      <c r="AU4464">
        <f>IF('01_Вводные'!$B$234="Да",'19_Расчет_аналитики'!AT4463*'01_Вводные'!$B$14,0)</f>
        <v/>
      </c>
      <c r="AV4464">
        <f>IF('01_Вводные'!$B$234="Да",'19_Расчет_аналитики'!AU4463*'01_Вводные'!$B$14,0)</f>
        <v/>
      </c>
      <c r="AW4464">
        <f>IF('01_Вводные'!$B$234="Да",'19_Расчет_аналитики'!AV4463*'01_Вводные'!$B$14,0)</f>
        <v/>
      </c>
      <c r="AX4464">
        <f>IF('01_Вводные'!$B$234="Да",'19_Расчет_аналитики'!AW4463*'01_Вводные'!$B$14,0)</f>
        <v/>
      </c>
      <c r="AY4464">
        <f>IF('01_Вводные'!$B$234="Да",'19_Расчет_аналитики'!AX4463*'01_Вводные'!$B$14,0)</f>
        <v/>
      </c>
      <c r="AZ4464">
        <f>IF('01_Вводные'!$B$234="Да",'19_Расчет_аналитики'!AY4463*'01_Вводные'!$B$14,0)</f>
        <v/>
      </c>
      <c r="BA4464">
        <f>IF('01_Вводные'!$B$234="Да",'19_Расчет_аналитики'!AZ4463*'01_Вводные'!$B$14,0)</f>
        <v/>
      </c>
      <c r="BB4464">
        <f>IF('01_Вводные'!$B$234="Да",'19_Расчет_аналитики'!BA4463*'01_Вводные'!$B$14,0)</f>
        <v/>
      </c>
      <c r="BC4464">
        <f>IF('01_Вводные'!$B$234="Да",'19_Расчет_аналитики'!BB4463*'01_Вводные'!$B$14,0)</f>
        <v/>
      </c>
      <c r="BD4464">
        <f>IF('01_Вводные'!$B$234="Да",'19_Расчет_аналитики'!BC4463*'01_Вводные'!$B$14,0)</f>
        <v/>
      </c>
      <c r="BE4464">
        <f>IF('01_Вводные'!$B$234="Да",'19_Расчет_аналитики'!BD4463*'01_Вводные'!$B$14,0)</f>
        <v/>
      </c>
      <c r="BF4464">
        <f>IF('01_Вводные'!$B$234="Да",'19_Расчет_аналитики'!BE4463*'01_Вводные'!$B$14,0)</f>
        <v/>
      </c>
      <c r="BG4464">
        <f>IF('01_Вводные'!$B$234="Да",'19_Расчет_аналитики'!BF4463*'01_Вводные'!$B$14,0)</f>
        <v/>
      </c>
      <c r="BH4464">
        <f>IF('01_Вводные'!$B$234="Да",'19_Расчет_аналитики'!BG4463*'01_Вводные'!$B$14,0)</f>
        <v/>
      </c>
      <c r="BI4464">
        <f>IF('01_Вводные'!$B$234="Да",'19_Расчет_аналитики'!BH4463*'01_Вводные'!$B$14,0)</f>
        <v/>
      </c>
      <c r="BJ4464">
        <f>IF('01_Вводные'!$B$234="Да",'19_Расчет_аналитики'!BI4463*'01_Вводные'!$B$14,0)</f>
        <v/>
      </c>
      <c r="BK4464">
        <f>IF('01_Вводные'!$B$234="Да",'19_Расчет_аналитики'!BJ4463*'01_Вводные'!$B$14,0)</f>
        <v/>
      </c>
      <c r="BL4464">
        <f>IF('01_Вводные'!$B$234="Да",'19_Расчет_аналитики'!BK4463*'01_Вводные'!$B$14,0)</f>
        <v/>
      </c>
      <c r="BM4464">
        <f>IF('01_Вводные'!$B$234="Да",'19_Расчет_аналитики'!BL4463*'01_Вводные'!$B$14,0)</f>
        <v/>
      </c>
      <c r="BN4464">
        <f>IF('01_Вводные'!$B$234="Да",'19_Расчет_аналитики'!BM4463*'01_Вводные'!$B$14,0)</f>
        <v/>
      </c>
      <c r="BO4464">
        <f>IF('01_Вводные'!$B$234="Да",'19_Расчет_аналитики'!BN4463*'01_Вводные'!$B$14,0)</f>
        <v/>
      </c>
    </row>
    <row r="4465">
      <c r="B4465">
        <f>'06_Сеть_и_дети'!B62</f>
        <v/>
      </c>
      <c r="C4465">
        <f>'06_Сеть_и_дети'!C62</f>
        <v/>
      </c>
      <c r="D4465">
        <f>'06_Сеть_и_дети'!D62</f>
        <v/>
      </c>
      <c r="E4465">
        <f>'06_Сеть_и_дети'!E62</f>
        <v/>
      </c>
      <c r="F4465">
        <f>'06_Сеть_и_дети'!F62</f>
        <v/>
      </c>
      <c r="G4465">
        <f>'06_Сеть_и_дети'!G62</f>
        <v/>
      </c>
      <c r="H4465">
        <f>'06_Сеть_и_дети'!H62</f>
        <v/>
      </c>
      <c r="I4465">
        <f>'06_Сеть_и_дети'!I62</f>
        <v/>
      </c>
      <c r="J4465">
        <f>'06_Сеть_и_дети'!J62</f>
        <v/>
      </c>
      <c r="K4465">
        <f>IF('01_Вводные'!$B$234="Да",'19_Расчет_аналитики'!J4464*'01_Вводные'!$B$14,0)</f>
        <v/>
      </c>
      <c r="L4465">
        <f>IF('01_Вводные'!$B$234="Да",'19_Расчет_аналитики'!K4464*'01_Вводные'!$B$14,0)</f>
        <v/>
      </c>
      <c r="M4465">
        <f>IF('01_Вводные'!$B$234="Да",'19_Расчет_аналитики'!L4464*'01_Вводные'!$B$14,0)</f>
        <v/>
      </c>
      <c r="N4465">
        <f>IF('01_Вводные'!$B$234="Да",'19_Расчет_аналитики'!M4464*'01_Вводные'!$B$14,0)</f>
        <v/>
      </c>
      <c r="O4465">
        <f>IF('01_Вводные'!$B$234="Да",'19_Расчет_аналитики'!N4464*'01_Вводные'!$B$14,0)</f>
        <v/>
      </c>
      <c r="P4465">
        <f>IF('01_Вводные'!$B$234="Да",'19_Расчет_аналитики'!O4464*'01_Вводные'!$B$14,0)</f>
        <v/>
      </c>
      <c r="Q4465">
        <f>IF('01_Вводные'!$B$234="Да",'19_Расчет_аналитики'!P4464*'01_Вводные'!$B$14,0)</f>
        <v/>
      </c>
      <c r="R4465">
        <f>IF('01_Вводные'!$B$234="Да",'19_Расчет_аналитики'!Q4464*'01_Вводные'!$B$14,0)</f>
        <v/>
      </c>
      <c r="S4465">
        <f>IF('01_Вводные'!$B$234="Да",'19_Расчет_аналитики'!R4464*'01_Вводные'!$B$14,0)</f>
        <v/>
      </c>
      <c r="T4465">
        <f>IF('01_Вводные'!$B$234="Да",'19_Расчет_аналитики'!S4464*'01_Вводные'!$B$14,0)</f>
        <v/>
      </c>
      <c r="U4465">
        <f>IF('01_Вводные'!$B$234="Да",'19_Расчет_аналитики'!T4464*'01_Вводные'!$B$14,0)</f>
        <v/>
      </c>
      <c r="V4465">
        <f>IF('01_Вводные'!$B$234="Да",'19_Расчет_аналитики'!U4464*'01_Вводные'!$B$14,0)</f>
        <v/>
      </c>
      <c r="W4465">
        <f>IF('01_Вводные'!$B$234="Да",'19_Расчет_аналитики'!V4464*'01_Вводные'!$B$14,0)</f>
        <v/>
      </c>
      <c r="X4465">
        <f>IF('01_Вводные'!$B$234="Да",'19_Расчет_аналитики'!W4464*'01_Вводные'!$B$14,0)</f>
        <v/>
      </c>
      <c r="Y4465">
        <f>IF('01_Вводные'!$B$234="Да",'19_Расчет_аналитики'!X4464*'01_Вводные'!$B$14,0)</f>
        <v/>
      </c>
      <c r="Z4465">
        <f>IF('01_Вводные'!$B$234="Да",'19_Расчет_аналитики'!Y4464*'01_Вводные'!$B$14,0)</f>
        <v/>
      </c>
      <c r="AA4465">
        <f>IF('01_Вводные'!$B$234="Да",'19_Расчет_аналитики'!Z4464*'01_Вводные'!$B$14,0)</f>
        <v/>
      </c>
      <c r="AB4465">
        <f>IF('01_Вводные'!$B$234="Да",'19_Расчет_аналитики'!AA4464*'01_Вводные'!$B$14,0)</f>
        <v/>
      </c>
      <c r="AC4465">
        <f>IF('01_Вводные'!$B$234="Да",'19_Расчет_аналитики'!AB4464*'01_Вводные'!$B$14,0)</f>
        <v/>
      </c>
      <c r="AD4465">
        <f>IF('01_Вводные'!$B$234="Да",'19_Расчет_аналитики'!AC4464*'01_Вводные'!$B$14,0)</f>
        <v/>
      </c>
      <c r="AE4465">
        <f>IF('01_Вводные'!$B$234="Да",'19_Расчет_аналитики'!AD4464*'01_Вводные'!$B$14,0)</f>
        <v/>
      </c>
      <c r="AF4465">
        <f>IF('01_Вводные'!$B$234="Да",'19_Расчет_аналитики'!AE4464*'01_Вводные'!$B$14,0)</f>
        <v/>
      </c>
      <c r="AG4465">
        <f>IF('01_Вводные'!$B$234="Да",'19_Расчет_аналитики'!AF4464*'01_Вводные'!$B$14,0)</f>
        <v/>
      </c>
      <c r="AH4465">
        <f>IF('01_Вводные'!$B$234="Да",'19_Расчет_аналитики'!AG4464*'01_Вводные'!$B$14,0)</f>
        <v/>
      </c>
      <c r="AI4465">
        <f>IF('01_Вводные'!$B$234="Да",'19_Расчет_аналитики'!AH4464*'01_Вводные'!$B$14,0)</f>
        <v/>
      </c>
      <c r="AJ4465">
        <f>IF('01_Вводные'!$B$234="Да",'19_Расчет_аналитики'!AI4464*'01_Вводные'!$B$14,0)</f>
        <v/>
      </c>
      <c r="AK4465">
        <f>IF('01_Вводные'!$B$234="Да",'19_Расчет_аналитики'!AJ4464*'01_Вводные'!$B$14,0)</f>
        <v/>
      </c>
      <c r="AL4465">
        <f>IF('01_Вводные'!$B$234="Да",'19_Расчет_аналитики'!AK4464*'01_Вводные'!$B$14,0)</f>
        <v/>
      </c>
      <c r="AM4465">
        <f>IF('01_Вводные'!$B$234="Да",'19_Расчет_аналитики'!AL4464*'01_Вводные'!$B$14,0)</f>
        <v/>
      </c>
      <c r="AN4465">
        <f>IF('01_Вводные'!$B$234="Да",'19_Расчет_аналитики'!AM4464*'01_Вводные'!$B$14,0)</f>
        <v/>
      </c>
      <c r="AO4465">
        <f>IF('01_Вводные'!$B$234="Да",'19_Расчет_аналитики'!AN4464*'01_Вводные'!$B$14,0)</f>
        <v/>
      </c>
      <c r="AP4465">
        <f>IF('01_Вводные'!$B$234="Да",'19_Расчет_аналитики'!AO4464*'01_Вводные'!$B$14,0)</f>
        <v/>
      </c>
      <c r="AQ4465">
        <f>IF('01_Вводные'!$B$234="Да",'19_Расчет_аналитики'!AP4464*'01_Вводные'!$B$14,0)</f>
        <v/>
      </c>
      <c r="AR4465">
        <f>IF('01_Вводные'!$B$234="Да",'19_Расчет_аналитики'!AQ4464*'01_Вводные'!$B$14,0)</f>
        <v/>
      </c>
      <c r="AS4465">
        <f>IF('01_Вводные'!$B$234="Да",'19_Расчет_аналитики'!AR4464*'01_Вводные'!$B$14,0)</f>
        <v/>
      </c>
      <c r="AT4465">
        <f>IF('01_Вводные'!$B$234="Да",'19_Расчет_аналитики'!AS4464*'01_Вводные'!$B$14,0)</f>
        <v/>
      </c>
      <c r="AU4465">
        <f>IF('01_Вводные'!$B$234="Да",'19_Расчет_аналитики'!AT4464*'01_Вводные'!$B$14,0)</f>
        <v/>
      </c>
      <c r="AV4465">
        <f>IF('01_Вводные'!$B$234="Да",'19_Расчет_аналитики'!AU4464*'01_Вводные'!$B$14,0)</f>
        <v/>
      </c>
      <c r="AW4465">
        <f>IF('01_Вводные'!$B$234="Да",'19_Расчет_аналитики'!AV4464*'01_Вводные'!$B$14,0)</f>
        <v/>
      </c>
      <c r="AX4465">
        <f>IF('01_Вводные'!$B$234="Да",'19_Расчет_аналитики'!AW4464*'01_Вводные'!$B$14,0)</f>
        <v/>
      </c>
      <c r="AY4465">
        <f>IF('01_Вводные'!$B$234="Да",'19_Расчет_аналитики'!AX4464*'01_Вводные'!$B$14,0)</f>
        <v/>
      </c>
      <c r="AZ4465">
        <f>IF('01_Вводные'!$B$234="Да",'19_Расчет_аналитики'!AY4464*'01_Вводные'!$B$14,0)</f>
        <v/>
      </c>
      <c r="BA4465">
        <f>IF('01_Вводные'!$B$234="Да",'19_Расчет_аналитики'!AZ4464*'01_Вводные'!$B$14,0)</f>
        <v/>
      </c>
      <c r="BB4465">
        <f>IF('01_Вводные'!$B$234="Да",'19_Расчет_аналитики'!BA4464*'01_Вводные'!$B$14,0)</f>
        <v/>
      </c>
      <c r="BC4465">
        <f>IF('01_Вводные'!$B$234="Да",'19_Расчет_аналитики'!BB4464*'01_Вводные'!$B$14,0)</f>
        <v/>
      </c>
      <c r="BD4465">
        <f>IF('01_Вводные'!$B$234="Да",'19_Расчет_аналитики'!BC4464*'01_Вводные'!$B$14,0)</f>
        <v/>
      </c>
      <c r="BE4465">
        <f>IF('01_Вводные'!$B$234="Да",'19_Расчет_аналитики'!BD4464*'01_Вводные'!$B$14,0)</f>
        <v/>
      </c>
      <c r="BF4465">
        <f>IF('01_Вводные'!$B$234="Да",'19_Расчет_аналитики'!BE4464*'01_Вводные'!$B$14,0)</f>
        <v/>
      </c>
      <c r="BG4465">
        <f>IF('01_Вводные'!$B$234="Да",'19_Расчет_аналитики'!BF4464*'01_Вводные'!$B$14,0)</f>
        <v/>
      </c>
      <c r="BH4465">
        <f>IF('01_Вводные'!$B$234="Да",'19_Расчет_аналитики'!BG4464*'01_Вводные'!$B$14,0)</f>
        <v/>
      </c>
      <c r="BI4465">
        <f>IF('01_Вводные'!$B$234="Да",'19_Расчет_аналитики'!BH4464*'01_Вводные'!$B$14,0)</f>
        <v/>
      </c>
      <c r="BJ4465">
        <f>IF('01_Вводные'!$B$234="Да",'19_Расчет_аналитики'!BI4464*'01_Вводные'!$B$14,0)</f>
        <v/>
      </c>
      <c r="BK4465">
        <f>IF('01_Вводные'!$B$234="Да",'19_Расчет_аналитики'!BJ4464*'01_Вводные'!$B$14,0)</f>
        <v/>
      </c>
      <c r="BL4465">
        <f>IF('01_Вводные'!$B$234="Да",'19_Расчет_аналитики'!BK4464*'01_Вводные'!$B$14,0)</f>
        <v/>
      </c>
      <c r="BM4465">
        <f>IF('01_Вводные'!$B$234="Да",'19_Расчет_аналитики'!BL4464*'01_Вводные'!$B$14,0)</f>
        <v/>
      </c>
      <c r="BN4465">
        <f>IF('01_Вводные'!$B$234="Да",'19_Расчет_аналитики'!BM4464*'01_Вводные'!$B$14,0)</f>
        <v/>
      </c>
      <c r="BO4465">
        <f>IF('01_Вводные'!$B$234="Да",'19_Расчет_аналитики'!BN4464*'01_Вводные'!$B$14,0)</f>
        <v/>
      </c>
    </row>
    <row r="4466">
      <c r="B4466">
        <f>'06_Сеть_и_дети'!B63</f>
        <v/>
      </c>
      <c r="C4466">
        <f>'06_Сеть_и_дети'!C63</f>
        <v/>
      </c>
      <c r="D4466">
        <f>'06_Сеть_и_дети'!D63</f>
        <v/>
      </c>
      <c r="E4466">
        <f>'06_Сеть_и_дети'!E63</f>
        <v/>
      </c>
      <c r="F4466">
        <f>'06_Сеть_и_дети'!F63</f>
        <v/>
      </c>
      <c r="G4466">
        <f>'06_Сеть_и_дети'!G63</f>
        <v/>
      </c>
      <c r="H4466">
        <f>'06_Сеть_и_дети'!H63</f>
        <v/>
      </c>
      <c r="I4466">
        <f>'06_Сеть_и_дети'!I63</f>
        <v/>
      </c>
      <c r="J4466">
        <f>'06_Сеть_и_дети'!J63</f>
        <v/>
      </c>
      <c r="K4466">
        <f>'06_Сеть_и_дети'!K63</f>
        <v/>
      </c>
      <c r="L4466">
        <f>IF('01_Вводные'!$B$234="Да",'19_Расчет_аналитики'!K4465*'01_Вводные'!$B$14,0)</f>
        <v/>
      </c>
      <c r="M4466">
        <f>IF('01_Вводные'!$B$234="Да",'19_Расчет_аналитики'!L4465*'01_Вводные'!$B$14,0)</f>
        <v/>
      </c>
      <c r="N4466">
        <f>IF('01_Вводные'!$B$234="Да",'19_Расчет_аналитики'!M4465*'01_Вводные'!$B$14,0)</f>
        <v/>
      </c>
      <c r="O4466">
        <f>IF('01_Вводные'!$B$234="Да",'19_Расчет_аналитики'!N4465*'01_Вводные'!$B$14,0)</f>
        <v/>
      </c>
      <c r="P4466">
        <f>IF('01_Вводные'!$B$234="Да",'19_Расчет_аналитики'!O4465*'01_Вводные'!$B$14,0)</f>
        <v/>
      </c>
      <c r="Q4466">
        <f>IF('01_Вводные'!$B$234="Да",'19_Расчет_аналитики'!P4465*'01_Вводные'!$B$14,0)</f>
        <v/>
      </c>
      <c r="R4466">
        <f>IF('01_Вводные'!$B$234="Да",'19_Расчет_аналитики'!Q4465*'01_Вводные'!$B$14,0)</f>
        <v/>
      </c>
      <c r="S4466">
        <f>IF('01_Вводные'!$B$234="Да",'19_Расчет_аналитики'!R4465*'01_Вводные'!$B$14,0)</f>
        <v/>
      </c>
      <c r="T4466">
        <f>IF('01_Вводные'!$B$234="Да",'19_Расчет_аналитики'!S4465*'01_Вводные'!$B$14,0)</f>
        <v/>
      </c>
      <c r="U4466">
        <f>IF('01_Вводные'!$B$234="Да",'19_Расчет_аналитики'!T4465*'01_Вводные'!$B$14,0)</f>
        <v/>
      </c>
      <c r="V4466">
        <f>IF('01_Вводные'!$B$234="Да",'19_Расчет_аналитики'!U4465*'01_Вводные'!$B$14,0)</f>
        <v/>
      </c>
      <c r="W4466">
        <f>IF('01_Вводные'!$B$234="Да",'19_Расчет_аналитики'!V4465*'01_Вводные'!$B$14,0)</f>
        <v/>
      </c>
      <c r="X4466">
        <f>IF('01_Вводные'!$B$234="Да",'19_Расчет_аналитики'!W4465*'01_Вводные'!$B$14,0)</f>
        <v/>
      </c>
      <c r="Y4466">
        <f>IF('01_Вводные'!$B$234="Да",'19_Расчет_аналитики'!X4465*'01_Вводные'!$B$14,0)</f>
        <v/>
      </c>
      <c r="Z4466">
        <f>IF('01_Вводные'!$B$234="Да",'19_Расчет_аналитики'!Y4465*'01_Вводные'!$B$14,0)</f>
        <v/>
      </c>
      <c r="AA4466">
        <f>IF('01_Вводные'!$B$234="Да",'19_Расчет_аналитики'!Z4465*'01_Вводные'!$B$14,0)</f>
        <v/>
      </c>
      <c r="AB4466">
        <f>IF('01_Вводные'!$B$234="Да",'19_Расчет_аналитики'!AA4465*'01_Вводные'!$B$14,0)</f>
        <v/>
      </c>
      <c r="AC4466">
        <f>IF('01_Вводные'!$B$234="Да",'19_Расчет_аналитики'!AB4465*'01_Вводные'!$B$14,0)</f>
        <v/>
      </c>
      <c r="AD4466">
        <f>IF('01_Вводные'!$B$234="Да",'19_Расчет_аналитики'!AC4465*'01_Вводные'!$B$14,0)</f>
        <v/>
      </c>
      <c r="AE4466">
        <f>IF('01_Вводные'!$B$234="Да",'19_Расчет_аналитики'!AD4465*'01_Вводные'!$B$14,0)</f>
        <v/>
      </c>
      <c r="AF4466">
        <f>IF('01_Вводные'!$B$234="Да",'19_Расчет_аналитики'!AE4465*'01_Вводные'!$B$14,0)</f>
        <v/>
      </c>
      <c r="AG4466">
        <f>IF('01_Вводные'!$B$234="Да",'19_Расчет_аналитики'!AF4465*'01_Вводные'!$B$14,0)</f>
        <v/>
      </c>
      <c r="AH4466">
        <f>IF('01_Вводные'!$B$234="Да",'19_Расчет_аналитики'!AG4465*'01_Вводные'!$B$14,0)</f>
        <v/>
      </c>
      <c r="AI4466">
        <f>IF('01_Вводные'!$B$234="Да",'19_Расчет_аналитики'!AH4465*'01_Вводные'!$B$14,0)</f>
        <v/>
      </c>
      <c r="AJ4466">
        <f>IF('01_Вводные'!$B$234="Да",'19_Расчет_аналитики'!AI4465*'01_Вводные'!$B$14,0)</f>
        <v/>
      </c>
      <c r="AK4466">
        <f>IF('01_Вводные'!$B$234="Да",'19_Расчет_аналитики'!AJ4465*'01_Вводные'!$B$14,0)</f>
        <v/>
      </c>
      <c r="AL4466">
        <f>IF('01_Вводные'!$B$234="Да",'19_Расчет_аналитики'!AK4465*'01_Вводные'!$B$14,0)</f>
        <v/>
      </c>
      <c r="AM4466">
        <f>IF('01_Вводные'!$B$234="Да",'19_Расчет_аналитики'!AL4465*'01_Вводные'!$B$14,0)</f>
        <v/>
      </c>
      <c r="AN4466">
        <f>IF('01_Вводные'!$B$234="Да",'19_Расчет_аналитики'!AM4465*'01_Вводные'!$B$14,0)</f>
        <v/>
      </c>
      <c r="AO4466">
        <f>IF('01_Вводные'!$B$234="Да",'19_Расчет_аналитики'!AN4465*'01_Вводные'!$B$14,0)</f>
        <v/>
      </c>
      <c r="AP4466">
        <f>IF('01_Вводные'!$B$234="Да",'19_Расчет_аналитики'!AO4465*'01_Вводные'!$B$14,0)</f>
        <v/>
      </c>
      <c r="AQ4466">
        <f>IF('01_Вводные'!$B$234="Да",'19_Расчет_аналитики'!AP4465*'01_Вводные'!$B$14,0)</f>
        <v/>
      </c>
      <c r="AR4466">
        <f>IF('01_Вводные'!$B$234="Да",'19_Расчет_аналитики'!AQ4465*'01_Вводные'!$B$14,0)</f>
        <v/>
      </c>
      <c r="AS4466">
        <f>IF('01_Вводные'!$B$234="Да",'19_Расчет_аналитики'!AR4465*'01_Вводные'!$B$14,0)</f>
        <v/>
      </c>
      <c r="AT4466">
        <f>IF('01_Вводные'!$B$234="Да",'19_Расчет_аналитики'!AS4465*'01_Вводные'!$B$14,0)</f>
        <v/>
      </c>
      <c r="AU4466">
        <f>IF('01_Вводные'!$B$234="Да",'19_Расчет_аналитики'!AT4465*'01_Вводные'!$B$14,0)</f>
        <v/>
      </c>
      <c r="AV4466">
        <f>IF('01_Вводные'!$B$234="Да",'19_Расчет_аналитики'!AU4465*'01_Вводные'!$B$14,0)</f>
        <v/>
      </c>
      <c r="AW4466">
        <f>IF('01_Вводные'!$B$234="Да",'19_Расчет_аналитики'!AV4465*'01_Вводные'!$B$14,0)</f>
        <v/>
      </c>
      <c r="AX4466">
        <f>IF('01_Вводные'!$B$234="Да",'19_Расчет_аналитики'!AW4465*'01_Вводные'!$B$14,0)</f>
        <v/>
      </c>
      <c r="AY4466">
        <f>IF('01_Вводные'!$B$234="Да",'19_Расчет_аналитики'!AX4465*'01_Вводные'!$B$14,0)</f>
        <v/>
      </c>
      <c r="AZ4466">
        <f>IF('01_Вводные'!$B$234="Да",'19_Расчет_аналитики'!AY4465*'01_Вводные'!$B$14,0)</f>
        <v/>
      </c>
      <c r="BA4466">
        <f>IF('01_Вводные'!$B$234="Да",'19_Расчет_аналитики'!AZ4465*'01_Вводные'!$B$14,0)</f>
        <v/>
      </c>
      <c r="BB4466">
        <f>IF('01_Вводные'!$B$234="Да",'19_Расчет_аналитики'!BA4465*'01_Вводные'!$B$14,0)</f>
        <v/>
      </c>
      <c r="BC4466">
        <f>IF('01_Вводные'!$B$234="Да",'19_Расчет_аналитики'!BB4465*'01_Вводные'!$B$14,0)</f>
        <v/>
      </c>
      <c r="BD4466">
        <f>IF('01_Вводные'!$B$234="Да",'19_Расчет_аналитики'!BC4465*'01_Вводные'!$B$14,0)</f>
        <v/>
      </c>
      <c r="BE4466">
        <f>IF('01_Вводные'!$B$234="Да",'19_Расчет_аналитики'!BD4465*'01_Вводные'!$B$14,0)</f>
        <v/>
      </c>
      <c r="BF4466">
        <f>IF('01_Вводные'!$B$234="Да",'19_Расчет_аналитики'!BE4465*'01_Вводные'!$B$14,0)</f>
        <v/>
      </c>
      <c r="BG4466">
        <f>IF('01_Вводные'!$B$234="Да",'19_Расчет_аналитики'!BF4465*'01_Вводные'!$B$14,0)</f>
        <v/>
      </c>
      <c r="BH4466">
        <f>IF('01_Вводные'!$B$234="Да",'19_Расчет_аналитики'!BG4465*'01_Вводные'!$B$14,0)</f>
        <v/>
      </c>
      <c r="BI4466">
        <f>IF('01_Вводные'!$B$234="Да",'19_Расчет_аналитики'!BH4465*'01_Вводные'!$B$14,0)</f>
        <v/>
      </c>
      <c r="BJ4466">
        <f>IF('01_Вводные'!$B$234="Да",'19_Расчет_аналитики'!BI4465*'01_Вводные'!$B$14,0)</f>
        <v/>
      </c>
      <c r="BK4466">
        <f>IF('01_Вводные'!$B$234="Да",'19_Расчет_аналитики'!BJ4465*'01_Вводные'!$B$14,0)</f>
        <v/>
      </c>
      <c r="BL4466">
        <f>IF('01_Вводные'!$B$234="Да",'19_Расчет_аналитики'!BK4465*'01_Вводные'!$B$14,0)</f>
        <v/>
      </c>
      <c r="BM4466">
        <f>IF('01_Вводные'!$B$234="Да",'19_Расчет_аналитики'!BL4465*'01_Вводные'!$B$14,0)</f>
        <v/>
      </c>
      <c r="BN4466">
        <f>IF('01_Вводные'!$B$234="Да",'19_Расчет_аналитики'!BM4465*'01_Вводные'!$B$14,0)</f>
        <v/>
      </c>
      <c r="BO4466">
        <f>IF('01_Вводные'!$B$234="Да",'19_Расчет_аналитики'!BN4465*'01_Вводные'!$B$14,0)</f>
        <v/>
      </c>
    </row>
    <row r="4467">
      <c r="B4467">
        <f>'06_Сеть_и_дети'!B64</f>
        <v/>
      </c>
      <c r="C4467">
        <f>'06_Сеть_и_дети'!C64</f>
        <v/>
      </c>
      <c r="D4467">
        <f>'06_Сеть_и_дети'!D64</f>
        <v/>
      </c>
      <c r="E4467">
        <f>'06_Сеть_и_дети'!E64</f>
        <v/>
      </c>
      <c r="F4467">
        <f>'06_Сеть_и_дети'!F64</f>
        <v/>
      </c>
      <c r="G4467">
        <f>'06_Сеть_и_дети'!G64</f>
        <v/>
      </c>
      <c r="H4467">
        <f>'06_Сеть_и_дети'!H64</f>
        <v/>
      </c>
      <c r="I4467">
        <f>'06_Сеть_и_дети'!I64</f>
        <v/>
      </c>
      <c r="J4467">
        <f>'06_Сеть_и_дети'!J64</f>
        <v/>
      </c>
      <c r="K4467">
        <f>'06_Сеть_и_дети'!K64</f>
        <v/>
      </c>
      <c r="L4467">
        <f>'06_Сеть_и_дети'!L64</f>
        <v/>
      </c>
      <c r="M4467">
        <f>IF('01_Вводные'!$B$234="Да",'19_Расчет_аналитики'!L4466*'01_Вводные'!$B$14,0)</f>
        <v/>
      </c>
      <c r="N4467">
        <f>IF('01_Вводные'!$B$234="Да",'19_Расчет_аналитики'!M4466*'01_Вводные'!$B$14,0)</f>
        <v/>
      </c>
      <c r="O4467">
        <f>IF('01_Вводные'!$B$234="Да",'19_Расчет_аналитики'!N4466*'01_Вводные'!$B$14,0)</f>
        <v/>
      </c>
      <c r="P4467">
        <f>IF('01_Вводные'!$B$234="Да",'19_Расчет_аналитики'!O4466*'01_Вводные'!$B$14,0)</f>
        <v/>
      </c>
      <c r="Q4467">
        <f>IF('01_Вводные'!$B$234="Да",'19_Расчет_аналитики'!P4466*'01_Вводные'!$B$14,0)</f>
        <v/>
      </c>
      <c r="R4467">
        <f>IF('01_Вводные'!$B$234="Да",'19_Расчет_аналитики'!Q4466*'01_Вводные'!$B$14,0)</f>
        <v/>
      </c>
      <c r="S4467">
        <f>IF('01_Вводные'!$B$234="Да",'19_Расчет_аналитики'!R4466*'01_Вводные'!$B$14,0)</f>
        <v/>
      </c>
      <c r="T4467">
        <f>IF('01_Вводные'!$B$234="Да",'19_Расчет_аналитики'!S4466*'01_Вводные'!$B$14,0)</f>
        <v/>
      </c>
      <c r="U4467">
        <f>IF('01_Вводные'!$B$234="Да",'19_Расчет_аналитики'!T4466*'01_Вводные'!$B$14,0)</f>
        <v/>
      </c>
      <c r="V4467">
        <f>IF('01_Вводные'!$B$234="Да",'19_Расчет_аналитики'!U4466*'01_Вводные'!$B$14,0)</f>
        <v/>
      </c>
      <c r="W4467">
        <f>IF('01_Вводные'!$B$234="Да",'19_Расчет_аналитики'!V4466*'01_Вводные'!$B$14,0)</f>
        <v/>
      </c>
      <c r="X4467">
        <f>IF('01_Вводные'!$B$234="Да",'19_Расчет_аналитики'!W4466*'01_Вводные'!$B$14,0)</f>
        <v/>
      </c>
      <c r="Y4467">
        <f>IF('01_Вводные'!$B$234="Да",'19_Расчет_аналитики'!X4466*'01_Вводные'!$B$14,0)</f>
        <v/>
      </c>
      <c r="Z4467">
        <f>IF('01_Вводные'!$B$234="Да",'19_Расчет_аналитики'!Y4466*'01_Вводные'!$B$14,0)</f>
        <v/>
      </c>
      <c r="AA4467">
        <f>IF('01_Вводные'!$B$234="Да",'19_Расчет_аналитики'!Z4466*'01_Вводные'!$B$14,0)</f>
        <v/>
      </c>
      <c r="AB4467">
        <f>IF('01_Вводные'!$B$234="Да",'19_Расчет_аналитики'!AA4466*'01_Вводные'!$B$14,0)</f>
        <v/>
      </c>
      <c r="AC4467">
        <f>IF('01_Вводные'!$B$234="Да",'19_Расчет_аналитики'!AB4466*'01_Вводные'!$B$14,0)</f>
        <v/>
      </c>
      <c r="AD4467">
        <f>IF('01_Вводные'!$B$234="Да",'19_Расчет_аналитики'!AC4466*'01_Вводные'!$B$14,0)</f>
        <v/>
      </c>
      <c r="AE4467">
        <f>IF('01_Вводные'!$B$234="Да",'19_Расчет_аналитики'!AD4466*'01_Вводные'!$B$14,0)</f>
        <v/>
      </c>
      <c r="AF4467">
        <f>IF('01_Вводные'!$B$234="Да",'19_Расчет_аналитики'!AE4466*'01_Вводные'!$B$14,0)</f>
        <v/>
      </c>
      <c r="AG4467">
        <f>IF('01_Вводные'!$B$234="Да",'19_Расчет_аналитики'!AF4466*'01_Вводные'!$B$14,0)</f>
        <v/>
      </c>
      <c r="AH4467">
        <f>IF('01_Вводные'!$B$234="Да",'19_Расчет_аналитики'!AG4466*'01_Вводные'!$B$14,0)</f>
        <v/>
      </c>
      <c r="AI4467">
        <f>IF('01_Вводные'!$B$234="Да",'19_Расчет_аналитики'!AH4466*'01_Вводные'!$B$14,0)</f>
        <v/>
      </c>
      <c r="AJ4467">
        <f>IF('01_Вводные'!$B$234="Да",'19_Расчет_аналитики'!AI4466*'01_Вводные'!$B$14,0)</f>
        <v/>
      </c>
      <c r="AK4467">
        <f>IF('01_Вводные'!$B$234="Да",'19_Расчет_аналитики'!AJ4466*'01_Вводные'!$B$14,0)</f>
        <v/>
      </c>
      <c r="AL4467">
        <f>IF('01_Вводные'!$B$234="Да",'19_Расчет_аналитики'!AK4466*'01_Вводные'!$B$14,0)</f>
        <v/>
      </c>
      <c r="AM4467">
        <f>IF('01_Вводные'!$B$234="Да",'19_Расчет_аналитики'!AL4466*'01_Вводные'!$B$14,0)</f>
        <v/>
      </c>
      <c r="AN4467">
        <f>IF('01_Вводные'!$B$234="Да",'19_Расчет_аналитики'!AM4466*'01_Вводные'!$B$14,0)</f>
        <v/>
      </c>
      <c r="AO4467">
        <f>IF('01_Вводные'!$B$234="Да",'19_Расчет_аналитики'!AN4466*'01_Вводные'!$B$14,0)</f>
        <v/>
      </c>
      <c r="AP4467">
        <f>IF('01_Вводные'!$B$234="Да",'19_Расчет_аналитики'!AO4466*'01_Вводные'!$B$14,0)</f>
        <v/>
      </c>
      <c r="AQ4467">
        <f>IF('01_Вводные'!$B$234="Да",'19_Расчет_аналитики'!AP4466*'01_Вводные'!$B$14,0)</f>
        <v/>
      </c>
      <c r="AR4467">
        <f>IF('01_Вводные'!$B$234="Да",'19_Расчет_аналитики'!AQ4466*'01_Вводные'!$B$14,0)</f>
        <v/>
      </c>
      <c r="AS4467">
        <f>IF('01_Вводные'!$B$234="Да",'19_Расчет_аналитики'!AR4466*'01_Вводные'!$B$14,0)</f>
        <v/>
      </c>
      <c r="AT4467">
        <f>IF('01_Вводные'!$B$234="Да",'19_Расчет_аналитики'!AS4466*'01_Вводные'!$B$14,0)</f>
        <v/>
      </c>
      <c r="AU4467">
        <f>IF('01_Вводные'!$B$234="Да",'19_Расчет_аналитики'!AT4466*'01_Вводные'!$B$14,0)</f>
        <v/>
      </c>
      <c r="AV4467">
        <f>IF('01_Вводные'!$B$234="Да",'19_Расчет_аналитики'!AU4466*'01_Вводные'!$B$14,0)</f>
        <v/>
      </c>
      <c r="AW4467">
        <f>IF('01_Вводные'!$B$234="Да",'19_Расчет_аналитики'!AV4466*'01_Вводные'!$B$14,0)</f>
        <v/>
      </c>
      <c r="AX4467">
        <f>IF('01_Вводные'!$B$234="Да",'19_Расчет_аналитики'!AW4466*'01_Вводные'!$B$14,0)</f>
        <v/>
      </c>
      <c r="AY4467">
        <f>IF('01_Вводные'!$B$234="Да",'19_Расчет_аналитики'!AX4466*'01_Вводные'!$B$14,0)</f>
        <v/>
      </c>
      <c r="AZ4467">
        <f>IF('01_Вводные'!$B$234="Да",'19_Расчет_аналитики'!AY4466*'01_Вводные'!$B$14,0)</f>
        <v/>
      </c>
      <c r="BA4467">
        <f>IF('01_Вводные'!$B$234="Да",'19_Расчет_аналитики'!AZ4466*'01_Вводные'!$B$14,0)</f>
        <v/>
      </c>
      <c r="BB4467">
        <f>IF('01_Вводные'!$B$234="Да",'19_Расчет_аналитики'!BA4466*'01_Вводные'!$B$14,0)</f>
        <v/>
      </c>
      <c r="BC4467">
        <f>IF('01_Вводные'!$B$234="Да",'19_Расчет_аналитики'!BB4466*'01_Вводные'!$B$14,0)</f>
        <v/>
      </c>
      <c r="BD4467">
        <f>IF('01_Вводные'!$B$234="Да",'19_Расчет_аналитики'!BC4466*'01_Вводные'!$B$14,0)</f>
        <v/>
      </c>
      <c r="BE4467">
        <f>IF('01_Вводные'!$B$234="Да",'19_Расчет_аналитики'!BD4466*'01_Вводные'!$B$14,0)</f>
        <v/>
      </c>
      <c r="BF4467">
        <f>IF('01_Вводные'!$B$234="Да",'19_Расчет_аналитики'!BE4466*'01_Вводные'!$B$14,0)</f>
        <v/>
      </c>
      <c r="BG4467">
        <f>IF('01_Вводные'!$B$234="Да",'19_Расчет_аналитики'!BF4466*'01_Вводные'!$B$14,0)</f>
        <v/>
      </c>
      <c r="BH4467">
        <f>IF('01_Вводные'!$B$234="Да",'19_Расчет_аналитики'!BG4466*'01_Вводные'!$B$14,0)</f>
        <v/>
      </c>
      <c r="BI4467">
        <f>IF('01_Вводные'!$B$234="Да",'19_Расчет_аналитики'!BH4466*'01_Вводные'!$B$14,0)</f>
        <v/>
      </c>
      <c r="BJ4467">
        <f>IF('01_Вводные'!$B$234="Да",'19_Расчет_аналитики'!BI4466*'01_Вводные'!$B$14,0)</f>
        <v/>
      </c>
      <c r="BK4467">
        <f>IF('01_Вводные'!$B$234="Да",'19_Расчет_аналитики'!BJ4466*'01_Вводные'!$B$14,0)</f>
        <v/>
      </c>
      <c r="BL4467">
        <f>IF('01_Вводные'!$B$234="Да",'19_Расчет_аналитики'!BK4466*'01_Вводные'!$B$14,0)</f>
        <v/>
      </c>
      <c r="BM4467">
        <f>IF('01_Вводные'!$B$234="Да",'19_Расчет_аналитики'!BL4466*'01_Вводные'!$B$14,0)</f>
        <v/>
      </c>
      <c r="BN4467">
        <f>IF('01_Вводные'!$B$234="Да",'19_Расчет_аналитики'!BM4466*'01_Вводные'!$B$14,0)</f>
        <v/>
      </c>
      <c r="BO4467">
        <f>IF('01_Вводные'!$B$234="Да",'19_Расчет_аналитики'!BN4466*'01_Вводные'!$B$14,0)</f>
        <v/>
      </c>
    </row>
    <row r="4468">
      <c r="B4468">
        <f>'06_Сеть_и_дети'!B65</f>
        <v/>
      </c>
      <c r="C4468">
        <f>'06_Сеть_и_дети'!C65</f>
        <v/>
      </c>
      <c r="D4468">
        <f>'06_Сеть_и_дети'!D65</f>
        <v/>
      </c>
      <c r="E4468">
        <f>'06_Сеть_и_дети'!E65</f>
        <v/>
      </c>
      <c r="F4468">
        <f>'06_Сеть_и_дети'!F65</f>
        <v/>
      </c>
      <c r="G4468">
        <f>'06_Сеть_и_дети'!G65</f>
        <v/>
      </c>
      <c r="H4468">
        <f>'06_Сеть_и_дети'!H65</f>
        <v/>
      </c>
      <c r="I4468">
        <f>'06_Сеть_и_дети'!I65</f>
        <v/>
      </c>
      <c r="J4468">
        <f>'06_Сеть_и_дети'!J65</f>
        <v/>
      </c>
      <c r="K4468">
        <f>'06_Сеть_и_дети'!K65</f>
        <v/>
      </c>
      <c r="L4468">
        <f>'06_Сеть_и_дети'!L65</f>
        <v/>
      </c>
      <c r="M4468">
        <f>'06_Сеть_и_дети'!M65</f>
        <v/>
      </c>
      <c r="N4468">
        <f>IF('01_Вводные'!$B$234="Да",'19_Расчет_аналитики'!M4467*'01_Вводные'!$B$14,0)</f>
        <v/>
      </c>
      <c r="O4468">
        <f>IF('01_Вводные'!$B$234="Да",'19_Расчет_аналитики'!N4467*'01_Вводные'!$B$14,0)</f>
        <v/>
      </c>
      <c r="P4468">
        <f>IF('01_Вводные'!$B$234="Да",'19_Расчет_аналитики'!O4467*'01_Вводные'!$B$14,0)</f>
        <v/>
      </c>
      <c r="Q4468">
        <f>IF('01_Вводные'!$B$234="Да",'19_Расчет_аналитики'!P4467*'01_Вводные'!$B$14,0)</f>
        <v/>
      </c>
      <c r="R4468">
        <f>IF('01_Вводные'!$B$234="Да",'19_Расчет_аналитики'!Q4467*'01_Вводные'!$B$14,0)</f>
        <v/>
      </c>
      <c r="S4468">
        <f>IF('01_Вводные'!$B$234="Да",'19_Расчет_аналитики'!R4467*'01_Вводные'!$B$14,0)</f>
        <v/>
      </c>
      <c r="T4468">
        <f>IF('01_Вводные'!$B$234="Да",'19_Расчет_аналитики'!S4467*'01_Вводные'!$B$14,0)</f>
        <v/>
      </c>
      <c r="U4468">
        <f>IF('01_Вводные'!$B$234="Да",'19_Расчет_аналитики'!T4467*'01_Вводные'!$B$14,0)</f>
        <v/>
      </c>
      <c r="V4468">
        <f>IF('01_Вводные'!$B$234="Да",'19_Расчет_аналитики'!U4467*'01_Вводные'!$B$14,0)</f>
        <v/>
      </c>
      <c r="W4468">
        <f>IF('01_Вводные'!$B$234="Да",'19_Расчет_аналитики'!V4467*'01_Вводные'!$B$14,0)</f>
        <v/>
      </c>
      <c r="X4468">
        <f>IF('01_Вводные'!$B$234="Да",'19_Расчет_аналитики'!W4467*'01_Вводные'!$B$14,0)</f>
        <v/>
      </c>
      <c r="Y4468">
        <f>IF('01_Вводные'!$B$234="Да",'19_Расчет_аналитики'!X4467*'01_Вводные'!$B$14,0)</f>
        <v/>
      </c>
      <c r="Z4468">
        <f>IF('01_Вводные'!$B$234="Да",'19_Расчет_аналитики'!Y4467*'01_Вводные'!$B$14,0)</f>
        <v/>
      </c>
      <c r="AA4468">
        <f>IF('01_Вводные'!$B$234="Да",'19_Расчет_аналитики'!Z4467*'01_Вводные'!$B$14,0)</f>
        <v/>
      </c>
      <c r="AB4468">
        <f>IF('01_Вводные'!$B$234="Да",'19_Расчет_аналитики'!AA4467*'01_Вводные'!$B$14,0)</f>
        <v/>
      </c>
      <c r="AC4468">
        <f>IF('01_Вводные'!$B$234="Да",'19_Расчет_аналитики'!AB4467*'01_Вводные'!$B$14,0)</f>
        <v/>
      </c>
      <c r="AD4468">
        <f>IF('01_Вводные'!$B$234="Да",'19_Расчет_аналитики'!AC4467*'01_Вводные'!$B$14,0)</f>
        <v/>
      </c>
      <c r="AE4468">
        <f>IF('01_Вводные'!$B$234="Да",'19_Расчет_аналитики'!AD4467*'01_Вводные'!$B$14,0)</f>
        <v/>
      </c>
      <c r="AF4468">
        <f>IF('01_Вводные'!$B$234="Да",'19_Расчет_аналитики'!AE4467*'01_Вводные'!$B$14,0)</f>
        <v/>
      </c>
      <c r="AG4468">
        <f>IF('01_Вводные'!$B$234="Да",'19_Расчет_аналитики'!AF4467*'01_Вводные'!$B$14,0)</f>
        <v/>
      </c>
      <c r="AH4468">
        <f>IF('01_Вводные'!$B$234="Да",'19_Расчет_аналитики'!AG4467*'01_Вводные'!$B$14,0)</f>
        <v/>
      </c>
      <c r="AI4468">
        <f>IF('01_Вводные'!$B$234="Да",'19_Расчет_аналитики'!AH4467*'01_Вводные'!$B$14,0)</f>
        <v/>
      </c>
      <c r="AJ4468">
        <f>IF('01_Вводные'!$B$234="Да",'19_Расчет_аналитики'!AI4467*'01_Вводные'!$B$14,0)</f>
        <v/>
      </c>
      <c r="AK4468">
        <f>IF('01_Вводные'!$B$234="Да",'19_Расчет_аналитики'!AJ4467*'01_Вводные'!$B$14,0)</f>
        <v/>
      </c>
      <c r="AL4468">
        <f>IF('01_Вводные'!$B$234="Да",'19_Расчет_аналитики'!AK4467*'01_Вводные'!$B$14,0)</f>
        <v/>
      </c>
      <c r="AM4468">
        <f>IF('01_Вводные'!$B$234="Да",'19_Расчет_аналитики'!AL4467*'01_Вводные'!$B$14,0)</f>
        <v/>
      </c>
      <c r="AN4468">
        <f>IF('01_Вводные'!$B$234="Да",'19_Расчет_аналитики'!AM4467*'01_Вводные'!$B$14,0)</f>
        <v/>
      </c>
      <c r="AO4468">
        <f>IF('01_Вводные'!$B$234="Да",'19_Расчет_аналитики'!AN4467*'01_Вводные'!$B$14,0)</f>
        <v/>
      </c>
      <c r="AP4468">
        <f>IF('01_Вводные'!$B$234="Да",'19_Расчет_аналитики'!AO4467*'01_Вводные'!$B$14,0)</f>
        <v/>
      </c>
      <c r="AQ4468">
        <f>IF('01_Вводные'!$B$234="Да",'19_Расчет_аналитики'!AP4467*'01_Вводные'!$B$14,0)</f>
        <v/>
      </c>
      <c r="AR4468">
        <f>IF('01_Вводные'!$B$234="Да",'19_Расчет_аналитики'!AQ4467*'01_Вводные'!$B$14,0)</f>
        <v/>
      </c>
      <c r="AS4468">
        <f>IF('01_Вводные'!$B$234="Да",'19_Расчет_аналитики'!AR4467*'01_Вводные'!$B$14,0)</f>
        <v/>
      </c>
      <c r="AT4468">
        <f>IF('01_Вводные'!$B$234="Да",'19_Расчет_аналитики'!AS4467*'01_Вводные'!$B$14,0)</f>
        <v/>
      </c>
      <c r="AU4468">
        <f>IF('01_Вводные'!$B$234="Да",'19_Расчет_аналитики'!AT4467*'01_Вводные'!$B$14,0)</f>
        <v/>
      </c>
      <c r="AV4468">
        <f>IF('01_Вводные'!$B$234="Да",'19_Расчет_аналитики'!AU4467*'01_Вводные'!$B$14,0)</f>
        <v/>
      </c>
      <c r="AW4468">
        <f>IF('01_Вводные'!$B$234="Да",'19_Расчет_аналитики'!AV4467*'01_Вводные'!$B$14,0)</f>
        <v/>
      </c>
      <c r="AX4468">
        <f>IF('01_Вводные'!$B$234="Да",'19_Расчет_аналитики'!AW4467*'01_Вводные'!$B$14,0)</f>
        <v/>
      </c>
      <c r="AY4468">
        <f>IF('01_Вводные'!$B$234="Да",'19_Расчет_аналитики'!AX4467*'01_Вводные'!$B$14,0)</f>
        <v/>
      </c>
      <c r="AZ4468">
        <f>IF('01_Вводные'!$B$234="Да",'19_Расчет_аналитики'!AY4467*'01_Вводные'!$B$14,0)</f>
        <v/>
      </c>
      <c r="BA4468">
        <f>IF('01_Вводные'!$B$234="Да",'19_Расчет_аналитики'!AZ4467*'01_Вводные'!$B$14,0)</f>
        <v/>
      </c>
      <c r="BB4468">
        <f>IF('01_Вводные'!$B$234="Да",'19_Расчет_аналитики'!BA4467*'01_Вводные'!$B$14,0)</f>
        <v/>
      </c>
      <c r="BC4468">
        <f>IF('01_Вводные'!$B$234="Да",'19_Расчет_аналитики'!BB4467*'01_Вводные'!$B$14,0)</f>
        <v/>
      </c>
      <c r="BD4468">
        <f>IF('01_Вводные'!$B$234="Да",'19_Расчет_аналитики'!BC4467*'01_Вводные'!$B$14,0)</f>
        <v/>
      </c>
      <c r="BE4468">
        <f>IF('01_Вводные'!$B$234="Да",'19_Расчет_аналитики'!BD4467*'01_Вводные'!$B$14,0)</f>
        <v/>
      </c>
      <c r="BF4468">
        <f>IF('01_Вводные'!$B$234="Да",'19_Расчет_аналитики'!BE4467*'01_Вводные'!$B$14,0)</f>
        <v/>
      </c>
      <c r="BG4468">
        <f>IF('01_Вводные'!$B$234="Да",'19_Расчет_аналитики'!BF4467*'01_Вводные'!$B$14,0)</f>
        <v/>
      </c>
      <c r="BH4468">
        <f>IF('01_Вводные'!$B$234="Да",'19_Расчет_аналитики'!BG4467*'01_Вводные'!$B$14,0)</f>
        <v/>
      </c>
      <c r="BI4468">
        <f>IF('01_Вводные'!$B$234="Да",'19_Расчет_аналитики'!BH4467*'01_Вводные'!$B$14,0)</f>
        <v/>
      </c>
      <c r="BJ4468">
        <f>IF('01_Вводные'!$B$234="Да",'19_Расчет_аналитики'!BI4467*'01_Вводные'!$B$14,0)</f>
        <v/>
      </c>
      <c r="BK4468">
        <f>IF('01_Вводные'!$B$234="Да",'19_Расчет_аналитики'!BJ4467*'01_Вводные'!$B$14,0)</f>
        <v/>
      </c>
      <c r="BL4468">
        <f>IF('01_Вводные'!$B$234="Да",'19_Расчет_аналитики'!BK4467*'01_Вводные'!$B$14,0)</f>
        <v/>
      </c>
      <c r="BM4468">
        <f>IF('01_Вводные'!$B$234="Да",'19_Расчет_аналитики'!BL4467*'01_Вводные'!$B$14,0)</f>
        <v/>
      </c>
      <c r="BN4468">
        <f>IF('01_Вводные'!$B$234="Да",'19_Расчет_аналитики'!BM4467*'01_Вводные'!$B$14,0)</f>
        <v/>
      </c>
      <c r="BO4468">
        <f>IF('01_Вводные'!$B$234="Да",'19_Расчет_аналитики'!BN4467*'01_Вводные'!$B$14,0)</f>
        <v/>
      </c>
    </row>
    <row r="4469">
      <c r="B4469">
        <f>'06_Сеть_и_дети'!B66</f>
        <v/>
      </c>
      <c r="C4469">
        <f>'06_Сеть_и_дети'!C66</f>
        <v/>
      </c>
      <c r="D4469">
        <f>'06_Сеть_и_дети'!D66</f>
        <v/>
      </c>
      <c r="E4469">
        <f>'06_Сеть_и_дети'!E66</f>
        <v/>
      </c>
      <c r="F4469">
        <f>'06_Сеть_и_дети'!F66</f>
        <v/>
      </c>
      <c r="G4469">
        <f>'06_Сеть_и_дети'!G66</f>
        <v/>
      </c>
      <c r="H4469">
        <f>'06_Сеть_и_дети'!H66</f>
        <v/>
      </c>
      <c r="I4469">
        <f>'06_Сеть_и_дети'!I66</f>
        <v/>
      </c>
      <c r="J4469">
        <f>'06_Сеть_и_дети'!J66</f>
        <v/>
      </c>
      <c r="K4469">
        <f>'06_Сеть_и_дети'!K66</f>
        <v/>
      </c>
      <c r="L4469">
        <f>'06_Сеть_и_дети'!L66</f>
        <v/>
      </c>
      <c r="M4469">
        <f>'06_Сеть_и_дети'!M66</f>
        <v/>
      </c>
      <c r="N4469">
        <f>'06_Сеть_и_дети'!N66</f>
        <v/>
      </c>
      <c r="O4469">
        <f>IF('01_Вводные'!$B$234="Да",'19_Расчет_аналитики'!N4468*'01_Вводные'!$B$14,0)</f>
        <v/>
      </c>
      <c r="P4469">
        <f>IF('01_Вводные'!$B$234="Да",'19_Расчет_аналитики'!O4468*'01_Вводные'!$B$14,0)</f>
        <v/>
      </c>
      <c r="Q4469">
        <f>IF('01_Вводные'!$B$234="Да",'19_Расчет_аналитики'!P4468*'01_Вводные'!$B$14,0)</f>
        <v/>
      </c>
      <c r="R4469">
        <f>IF('01_Вводные'!$B$234="Да",'19_Расчет_аналитики'!Q4468*'01_Вводные'!$B$14,0)</f>
        <v/>
      </c>
      <c r="S4469">
        <f>IF('01_Вводные'!$B$234="Да",'19_Расчет_аналитики'!R4468*'01_Вводные'!$B$14,0)</f>
        <v/>
      </c>
      <c r="T4469">
        <f>IF('01_Вводные'!$B$234="Да",'19_Расчет_аналитики'!S4468*'01_Вводные'!$B$14,0)</f>
        <v/>
      </c>
      <c r="U4469">
        <f>IF('01_Вводные'!$B$234="Да",'19_Расчет_аналитики'!T4468*'01_Вводные'!$B$14,0)</f>
        <v/>
      </c>
      <c r="V4469">
        <f>IF('01_Вводные'!$B$234="Да",'19_Расчет_аналитики'!U4468*'01_Вводные'!$B$14,0)</f>
        <v/>
      </c>
      <c r="W4469">
        <f>IF('01_Вводные'!$B$234="Да",'19_Расчет_аналитики'!V4468*'01_Вводные'!$B$14,0)</f>
        <v/>
      </c>
      <c r="X4469">
        <f>IF('01_Вводные'!$B$234="Да",'19_Расчет_аналитики'!W4468*'01_Вводные'!$B$14,0)</f>
        <v/>
      </c>
      <c r="Y4469">
        <f>IF('01_Вводные'!$B$234="Да",'19_Расчет_аналитики'!X4468*'01_Вводные'!$B$14,0)</f>
        <v/>
      </c>
      <c r="Z4469">
        <f>IF('01_Вводные'!$B$234="Да",'19_Расчет_аналитики'!Y4468*'01_Вводные'!$B$14,0)</f>
        <v/>
      </c>
      <c r="AA4469">
        <f>IF('01_Вводные'!$B$234="Да",'19_Расчет_аналитики'!Z4468*'01_Вводные'!$B$14,0)</f>
        <v/>
      </c>
      <c r="AB4469">
        <f>IF('01_Вводные'!$B$234="Да",'19_Расчет_аналитики'!AA4468*'01_Вводные'!$B$14,0)</f>
        <v/>
      </c>
      <c r="AC4469">
        <f>IF('01_Вводные'!$B$234="Да",'19_Расчет_аналитики'!AB4468*'01_Вводные'!$B$14,0)</f>
        <v/>
      </c>
      <c r="AD4469">
        <f>IF('01_Вводные'!$B$234="Да",'19_Расчет_аналитики'!AC4468*'01_Вводные'!$B$14,0)</f>
        <v/>
      </c>
      <c r="AE4469">
        <f>IF('01_Вводные'!$B$234="Да",'19_Расчет_аналитики'!AD4468*'01_Вводные'!$B$14,0)</f>
        <v/>
      </c>
      <c r="AF4469">
        <f>IF('01_Вводные'!$B$234="Да",'19_Расчет_аналитики'!AE4468*'01_Вводные'!$B$14,0)</f>
        <v/>
      </c>
      <c r="AG4469">
        <f>IF('01_Вводные'!$B$234="Да",'19_Расчет_аналитики'!AF4468*'01_Вводные'!$B$14,0)</f>
        <v/>
      </c>
      <c r="AH4469">
        <f>IF('01_Вводные'!$B$234="Да",'19_Расчет_аналитики'!AG4468*'01_Вводные'!$B$14,0)</f>
        <v/>
      </c>
      <c r="AI4469">
        <f>IF('01_Вводные'!$B$234="Да",'19_Расчет_аналитики'!AH4468*'01_Вводные'!$B$14,0)</f>
        <v/>
      </c>
      <c r="AJ4469">
        <f>IF('01_Вводные'!$B$234="Да",'19_Расчет_аналитики'!AI4468*'01_Вводные'!$B$14,0)</f>
        <v/>
      </c>
      <c r="AK4469">
        <f>IF('01_Вводные'!$B$234="Да",'19_Расчет_аналитики'!AJ4468*'01_Вводные'!$B$14,0)</f>
        <v/>
      </c>
      <c r="AL4469">
        <f>IF('01_Вводные'!$B$234="Да",'19_Расчет_аналитики'!AK4468*'01_Вводные'!$B$14,0)</f>
        <v/>
      </c>
      <c r="AM4469">
        <f>IF('01_Вводные'!$B$234="Да",'19_Расчет_аналитики'!AL4468*'01_Вводные'!$B$14,0)</f>
        <v/>
      </c>
      <c r="AN4469">
        <f>IF('01_Вводные'!$B$234="Да",'19_Расчет_аналитики'!AM4468*'01_Вводные'!$B$14,0)</f>
        <v/>
      </c>
      <c r="AO4469">
        <f>IF('01_Вводные'!$B$234="Да",'19_Расчет_аналитики'!AN4468*'01_Вводные'!$B$14,0)</f>
        <v/>
      </c>
      <c r="AP4469">
        <f>IF('01_Вводные'!$B$234="Да",'19_Расчет_аналитики'!AO4468*'01_Вводные'!$B$14,0)</f>
        <v/>
      </c>
      <c r="AQ4469">
        <f>IF('01_Вводные'!$B$234="Да",'19_Расчет_аналитики'!AP4468*'01_Вводные'!$B$14,0)</f>
        <v/>
      </c>
      <c r="AR4469">
        <f>IF('01_Вводные'!$B$234="Да",'19_Расчет_аналитики'!AQ4468*'01_Вводные'!$B$14,0)</f>
        <v/>
      </c>
      <c r="AS4469">
        <f>IF('01_Вводные'!$B$234="Да",'19_Расчет_аналитики'!AR4468*'01_Вводные'!$B$14,0)</f>
        <v/>
      </c>
      <c r="AT4469">
        <f>IF('01_Вводные'!$B$234="Да",'19_Расчет_аналитики'!AS4468*'01_Вводные'!$B$14,0)</f>
        <v/>
      </c>
      <c r="AU4469">
        <f>IF('01_Вводные'!$B$234="Да",'19_Расчет_аналитики'!AT4468*'01_Вводные'!$B$14,0)</f>
        <v/>
      </c>
      <c r="AV4469">
        <f>IF('01_Вводные'!$B$234="Да",'19_Расчет_аналитики'!AU4468*'01_Вводные'!$B$14,0)</f>
        <v/>
      </c>
      <c r="AW4469">
        <f>IF('01_Вводные'!$B$234="Да",'19_Расчет_аналитики'!AV4468*'01_Вводные'!$B$14,0)</f>
        <v/>
      </c>
      <c r="AX4469">
        <f>IF('01_Вводные'!$B$234="Да",'19_Расчет_аналитики'!AW4468*'01_Вводные'!$B$14,0)</f>
        <v/>
      </c>
      <c r="AY4469">
        <f>IF('01_Вводные'!$B$234="Да",'19_Расчет_аналитики'!AX4468*'01_Вводные'!$B$14,0)</f>
        <v/>
      </c>
      <c r="AZ4469">
        <f>IF('01_Вводные'!$B$234="Да",'19_Расчет_аналитики'!AY4468*'01_Вводные'!$B$14,0)</f>
        <v/>
      </c>
      <c r="BA4469">
        <f>IF('01_Вводные'!$B$234="Да",'19_Расчет_аналитики'!AZ4468*'01_Вводные'!$B$14,0)</f>
        <v/>
      </c>
      <c r="BB4469">
        <f>IF('01_Вводные'!$B$234="Да",'19_Расчет_аналитики'!BA4468*'01_Вводные'!$B$14,0)</f>
        <v/>
      </c>
      <c r="BC4469">
        <f>IF('01_Вводные'!$B$234="Да",'19_Расчет_аналитики'!BB4468*'01_Вводные'!$B$14,0)</f>
        <v/>
      </c>
      <c r="BD4469">
        <f>IF('01_Вводные'!$B$234="Да",'19_Расчет_аналитики'!BC4468*'01_Вводные'!$B$14,0)</f>
        <v/>
      </c>
      <c r="BE4469">
        <f>IF('01_Вводные'!$B$234="Да",'19_Расчет_аналитики'!BD4468*'01_Вводные'!$B$14,0)</f>
        <v/>
      </c>
      <c r="BF4469">
        <f>IF('01_Вводные'!$B$234="Да",'19_Расчет_аналитики'!BE4468*'01_Вводные'!$B$14,0)</f>
        <v/>
      </c>
      <c r="BG4469">
        <f>IF('01_Вводные'!$B$234="Да",'19_Расчет_аналитики'!BF4468*'01_Вводные'!$B$14,0)</f>
        <v/>
      </c>
      <c r="BH4469">
        <f>IF('01_Вводные'!$B$234="Да",'19_Расчет_аналитики'!BG4468*'01_Вводные'!$B$14,0)</f>
        <v/>
      </c>
      <c r="BI4469">
        <f>IF('01_Вводные'!$B$234="Да",'19_Расчет_аналитики'!BH4468*'01_Вводные'!$B$14,0)</f>
        <v/>
      </c>
      <c r="BJ4469">
        <f>IF('01_Вводные'!$B$234="Да",'19_Расчет_аналитики'!BI4468*'01_Вводные'!$B$14,0)</f>
        <v/>
      </c>
      <c r="BK4469">
        <f>IF('01_Вводные'!$B$234="Да",'19_Расчет_аналитики'!BJ4468*'01_Вводные'!$B$14,0)</f>
        <v/>
      </c>
      <c r="BL4469">
        <f>IF('01_Вводные'!$B$234="Да",'19_Расчет_аналитики'!BK4468*'01_Вводные'!$B$14,0)</f>
        <v/>
      </c>
      <c r="BM4469">
        <f>IF('01_Вводные'!$B$234="Да",'19_Расчет_аналитики'!BL4468*'01_Вводные'!$B$14,0)</f>
        <v/>
      </c>
      <c r="BN4469">
        <f>IF('01_Вводные'!$B$234="Да",'19_Расчет_аналитики'!BM4468*'01_Вводные'!$B$14,0)</f>
        <v/>
      </c>
      <c r="BO4469">
        <f>IF('01_Вводные'!$B$234="Да",'19_Расчет_аналитики'!BN4468*'01_Вводные'!$B$14,0)</f>
        <v/>
      </c>
    </row>
    <row r="4470">
      <c r="B4470">
        <f>'06_Сеть_и_дети'!B67</f>
        <v/>
      </c>
      <c r="C4470">
        <f>'06_Сеть_и_дети'!C67</f>
        <v/>
      </c>
      <c r="D4470">
        <f>'06_Сеть_и_дети'!D67</f>
        <v/>
      </c>
      <c r="E4470">
        <f>'06_Сеть_и_дети'!E67</f>
        <v/>
      </c>
      <c r="F4470">
        <f>'06_Сеть_и_дети'!F67</f>
        <v/>
      </c>
      <c r="G4470">
        <f>'06_Сеть_и_дети'!G67</f>
        <v/>
      </c>
      <c r="H4470">
        <f>'06_Сеть_и_дети'!H67</f>
        <v/>
      </c>
      <c r="I4470">
        <f>'06_Сеть_и_дети'!I67</f>
        <v/>
      </c>
      <c r="J4470">
        <f>'06_Сеть_и_дети'!J67</f>
        <v/>
      </c>
      <c r="K4470">
        <f>'06_Сеть_и_дети'!K67</f>
        <v/>
      </c>
      <c r="L4470">
        <f>'06_Сеть_и_дети'!L67</f>
        <v/>
      </c>
      <c r="M4470">
        <f>'06_Сеть_и_дети'!M67</f>
        <v/>
      </c>
      <c r="N4470">
        <f>'06_Сеть_и_дети'!N67</f>
        <v/>
      </c>
      <c r="O4470">
        <f>'06_Сеть_и_дети'!O67</f>
        <v/>
      </c>
      <c r="P4470">
        <f>IF('01_Вводные'!$B$234="Да",'19_Расчет_аналитики'!O4469*'01_Вводные'!$B$14,0)</f>
        <v/>
      </c>
      <c r="Q4470">
        <f>IF('01_Вводные'!$B$234="Да",'19_Расчет_аналитики'!P4469*'01_Вводные'!$B$14,0)</f>
        <v/>
      </c>
      <c r="R4470">
        <f>IF('01_Вводные'!$B$234="Да",'19_Расчет_аналитики'!Q4469*'01_Вводные'!$B$14,0)</f>
        <v/>
      </c>
      <c r="S4470">
        <f>IF('01_Вводные'!$B$234="Да",'19_Расчет_аналитики'!R4469*'01_Вводные'!$B$14,0)</f>
        <v/>
      </c>
      <c r="T4470">
        <f>IF('01_Вводные'!$B$234="Да",'19_Расчет_аналитики'!S4469*'01_Вводные'!$B$14,0)</f>
        <v/>
      </c>
      <c r="U4470">
        <f>IF('01_Вводные'!$B$234="Да",'19_Расчет_аналитики'!T4469*'01_Вводные'!$B$14,0)</f>
        <v/>
      </c>
      <c r="V4470">
        <f>IF('01_Вводные'!$B$234="Да",'19_Расчет_аналитики'!U4469*'01_Вводные'!$B$14,0)</f>
        <v/>
      </c>
      <c r="W4470">
        <f>IF('01_Вводные'!$B$234="Да",'19_Расчет_аналитики'!V4469*'01_Вводные'!$B$14,0)</f>
        <v/>
      </c>
      <c r="X4470">
        <f>IF('01_Вводные'!$B$234="Да",'19_Расчет_аналитики'!W4469*'01_Вводные'!$B$14,0)</f>
        <v/>
      </c>
      <c r="Y4470">
        <f>IF('01_Вводные'!$B$234="Да",'19_Расчет_аналитики'!X4469*'01_Вводные'!$B$14,0)</f>
        <v/>
      </c>
      <c r="Z4470">
        <f>IF('01_Вводные'!$B$234="Да",'19_Расчет_аналитики'!Y4469*'01_Вводные'!$B$14,0)</f>
        <v/>
      </c>
      <c r="AA4470">
        <f>IF('01_Вводные'!$B$234="Да",'19_Расчет_аналитики'!Z4469*'01_Вводные'!$B$14,0)</f>
        <v/>
      </c>
      <c r="AB4470">
        <f>IF('01_Вводные'!$B$234="Да",'19_Расчет_аналитики'!AA4469*'01_Вводные'!$B$14,0)</f>
        <v/>
      </c>
      <c r="AC4470">
        <f>IF('01_Вводные'!$B$234="Да",'19_Расчет_аналитики'!AB4469*'01_Вводные'!$B$14,0)</f>
        <v/>
      </c>
      <c r="AD4470">
        <f>IF('01_Вводные'!$B$234="Да",'19_Расчет_аналитики'!AC4469*'01_Вводные'!$B$14,0)</f>
        <v/>
      </c>
      <c r="AE4470">
        <f>IF('01_Вводные'!$B$234="Да",'19_Расчет_аналитики'!AD4469*'01_Вводные'!$B$14,0)</f>
        <v/>
      </c>
      <c r="AF4470">
        <f>IF('01_Вводные'!$B$234="Да",'19_Расчет_аналитики'!AE4469*'01_Вводные'!$B$14,0)</f>
        <v/>
      </c>
      <c r="AG4470">
        <f>IF('01_Вводные'!$B$234="Да",'19_Расчет_аналитики'!AF4469*'01_Вводные'!$B$14,0)</f>
        <v/>
      </c>
      <c r="AH4470">
        <f>IF('01_Вводные'!$B$234="Да",'19_Расчет_аналитики'!AG4469*'01_Вводные'!$B$14,0)</f>
        <v/>
      </c>
      <c r="AI4470">
        <f>IF('01_Вводные'!$B$234="Да",'19_Расчет_аналитики'!AH4469*'01_Вводные'!$B$14,0)</f>
        <v/>
      </c>
      <c r="AJ4470">
        <f>IF('01_Вводные'!$B$234="Да",'19_Расчет_аналитики'!AI4469*'01_Вводные'!$B$14,0)</f>
        <v/>
      </c>
      <c r="AK4470">
        <f>IF('01_Вводные'!$B$234="Да",'19_Расчет_аналитики'!AJ4469*'01_Вводные'!$B$14,0)</f>
        <v/>
      </c>
      <c r="AL4470">
        <f>IF('01_Вводные'!$B$234="Да",'19_Расчет_аналитики'!AK4469*'01_Вводные'!$B$14,0)</f>
        <v/>
      </c>
      <c r="AM4470">
        <f>IF('01_Вводные'!$B$234="Да",'19_Расчет_аналитики'!AL4469*'01_Вводные'!$B$14,0)</f>
        <v/>
      </c>
      <c r="AN4470">
        <f>IF('01_Вводные'!$B$234="Да",'19_Расчет_аналитики'!AM4469*'01_Вводные'!$B$14,0)</f>
        <v/>
      </c>
      <c r="AO4470">
        <f>IF('01_Вводные'!$B$234="Да",'19_Расчет_аналитики'!AN4469*'01_Вводные'!$B$14,0)</f>
        <v/>
      </c>
      <c r="AP4470">
        <f>IF('01_Вводные'!$B$234="Да",'19_Расчет_аналитики'!AO4469*'01_Вводные'!$B$14,0)</f>
        <v/>
      </c>
      <c r="AQ4470">
        <f>IF('01_Вводные'!$B$234="Да",'19_Расчет_аналитики'!AP4469*'01_Вводные'!$B$14,0)</f>
        <v/>
      </c>
      <c r="AR4470">
        <f>IF('01_Вводные'!$B$234="Да",'19_Расчет_аналитики'!AQ4469*'01_Вводные'!$B$14,0)</f>
        <v/>
      </c>
      <c r="AS4470">
        <f>IF('01_Вводные'!$B$234="Да",'19_Расчет_аналитики'!AR4469*'01_Вводные'!$B$14,0)</f>
        <v/>
      </c>
      <c r="AT4470">
        <f>IF('01_Вводные'!$B$234="Да",'19_Расчет_аналитики'!AS4469*'01_Вводные'!$B$14,0)</f>
        <v/>
      </c>
      <c r="AU4470">
        <f>IF('01_Вводные'!$B$234="Да",'19_Расчет_аналитики'!AT4469*'01_Вводные'!$B$14,0)</f>
        <v/>
      </c>
      <c r="AV4470">
        <f>IF('01_Вводные'!$B$234="Да",'19_Расчет_аналитики'!AU4469*'01_Вводные'!$B$14,0)</f>
        <v/>
      </c>
      <c r="AW4470">
        <f>IF('01_Вводные'!$B$234="Да",'19_Расчет_аналитики'!AV4469*'01_Вводные'!$B$14,0)</f>
        <v/>
      </c>
      <c r="AX4470">
        <f>IF('01_Вводные'!$B$234="Да",'19_Расчет_аналитики'!AW4469*'01_Вводные'!$B$14,0)</f>
        <v/>
      </c>
      <c r="AY4470">
        <f>IF('01_Вводные'!$B$234="Да",'19_Расчет_аналитики'!AX4469*'01_Вводные'!$B$14,0)</f>
        <v/>
      </c>
      <c r="AZ4470">
        <f>IF('01_Вводные'!$B$234="Да",'19_Расчет_аналитики'!AY4469*'01_Вводные'!$B$14,0)</f>
        <v/>
      </c>
      <c r="BA4470">
        <f>IF('01_Вводные'!$B$234="Да",'19_Расчет_аналитики'!AZ4469*'01_Вводные'!$B$14,0)</f>
        <v/>
      </c>
      <c r="BB4470">
        <f>IF('01_Вводные'!$B$234="Да",'19_Расчет_аналитики'!BA4469*'01_Вводные'!$B$14,0)</f>
        <v/>
      </c>
      <c r="BC4470">
        <f>IF('01_Вводные'!$B$234="Да",'19_Расчет_аналитики'!BB4469*'01_Вводные'!$B$14,0)</f>
        <v/>
      </c>
      <c r="BD4470">
        <f>IF('01_Вводные'!$B$234="Да",'19_Расчет_аналитики'!BC4469*'01_Вводные'!$B$14,0)</f>
        <v/>
      </c>
      <c r="BE4470">
        <f>IF('01_Вводные'!$B$234="Да",'19_Расчет_аналитики'!BD4469*'01_Вводные'!$B$14,0)</f>
        <v/>
      </c>
      <c r="BF4470">
        <f>IF('01_Вводные'!$B$234="Да",'19_Расчет_аналитики'!BE4469*'01_Вводные'!$B$14,0)</f>
        <v/>
      </c>
      <c r="BG4470">
        <f>IF('01_Вводные'!$B$234="Да",'19_Расчет_аналитики'!BF4469*'01_Вводные'!$B$14,0)</f>
        <v/>
      </c>
      <c r="BH4470">
        <f>IF('01_Вводные'!$B$234="Да",'19_Расчет_аналитики'!BG4469*'01_Вводные'!$B$14,0)</f>
        <v/>
      </c>
      <c r="BI4470">
        <f>IF('01_Вводные'!$B$234="Да",'19_Расчет_аналитики'!BH4469*'01_Вводные'!$B$14,0)</f>
        <v/>
      </c>
      <c r="BJ4470">
        <f>IF('01_Вводные'!$B$234="Да",'19_Расчет_аналитики'!BI4469*'01_Вводные'!$B$14,0)</f>
        <v/>
      </c>
      <c r="BK4470">
        <f>IF('01_Вводные'!$B$234="Да",'19_Расчет_аналитики'!BJ4469*'01_Вводные'!$B$14,0)</f>
        <v/>
      </c>
      <c r="BL4470">
        <f>IF('01_Вводные'!$B$234="Да",'19_Расчет_аналитики'!BK4469*'01_Вводные'!$B$14,0)</f>
        <v/>
      </c>
      <c r="BM4470">
        <f>IF('01_Вводные'!$B$234="Да",'19_Расчет_аналитики'!BL4469*'01_Вводные'!$B$14,0)</f>
        <v/>
      </c>
      <c r="BN4470">
        <f>IF('01_Вводные'!$B$234="Да",'19_Расчет_аналитики'!BM4469*'01_Вводные'!$B$14,0)</f>
        <v/>
      </c>
      <c r="BO4470">
        <f>IF('01_Вводные'!$B$234="Да",'19_Расчет_аналитики'!BN4469*'01_Вводные'!$B$14,0)</f>
        <v/>
      </c>
    </row>
    <row r="4471">
      <c r="B4471">
        <f>'06_Сеть_и_дети'!B68</f>
        <v/>
      </c>
      <c r="C4471">
        <f>'06_Сеть_и_дети'!C68</f>
        <v/>
      </c>
      <c r="D4471">
        <f>'06_Сеть_и_дети'!D68</f>
        <v/>
      </c>
      <c r="E4471">
        <f>'06_Сеть_и_дети'!E68</f>
        <v/>
      </c>
      <c r="F4471">
        <f>'06_Сеть_и_дети'!F68</f>
        <v/>
      </c>
      <c r="G4471">
        <f>'06_Сеть_и_дети'!G68</f>
        <v/>
      </c>
      <c r="H4471">
        <f>'06_Сеть_и_дети'!H68</f>
        <v/>
      </c>
      <c r="I4471">
        <f>'06_Сеть_и_дети'!I68</f>
        <v/>
      </c>
      <c r="J4471">
        <f>'06_Сеть_и_дети'!J68</f>
        <v/>
      </c>
      <c r="K4471">
        <f>'06_Сеть_и_дети'!K68</f>
        <v/>
      </c>
      <c r="L4471">
        <f>'06_Сеть_и_дети'!L68</f>
        <v/>
      </c>
      <c r="M4471">
        <f>'06_Сеть_и_дети'!M68</f>
        <v/>
      </c>
      <c r="N4471">
        <f>'06_Сеть_и_дети'!N68</f>
        <v/>
      </c>
      <c r="O4471">
        <f>'06_Сеть_и_дети'!O68</f>
        <v/>
      </c>
      <c r="P4471">
        <f>'06_Сеть_и_дети'!P68</f>
        <v/>
      </c>
      <c r="Q4471">
        <f>IF('01_Вводные'!$B$234="Да",'19_Расчет_аналитики'!P4470*'01_Вводные'!$B$14,0)</f>
        <v/>
      </c>
      <c r="R4471">
        <f>IF('01_Вводные'!$B$234="Да",'19_Расчет_аналитики'!Q4470*'01_Вводные'!$B$14,0)</f>
        <v/>
      </c>
      <c r="S4471">
        <f>IF('01_Вводные'!$B$234="Да",'19_Расчет_аналитики'!R4470*'01_Вводные'!$B$14,0)</f>
        <v/>
      </c>
      <c r="T4471">
        <f>IF('01_Вводные'!$B$234="Да",'19_Расчет_аналитики'!S4470*'01_Вводные'!$B$14,0)</f>
        <v/>
      </c>
      <c r="U4471">
        <f>IF('01_Вводные'!$B$234="Да",'19_Расчет_аналитики'!T4470*'01_Вводные'!$B$14,0)</f>
        <v/>
      </c>
      <c r="V4471">
        <f>IF('01_Вводные'!$B$234="Да",'19_Расчет_аналитики'!U4470*'01_Вводные'!$B$14,0)</f>
        <v/>
      </c>
      <c r="W4471">
        <f>IF('01_Вводные'!$B$234="Да",'19_Расчет_аналитики'!V4470*'01_Вводные'!$B$14,0)</f>
        <v/>
      </c>
      <c r="X4471">
        <f>IF('01_Вводные'!$B$234="Да",'19_Расчет_аналитики'!W4470*'01_Вводные'!$B$14,0)</f>
        <v/>
      </c>
      <c r="Y4471">
        <f>IF('01_Вводные'!$B$234="Да",'19_Расчет_аналитики'!X4470*'01_Вводные'!$B$14,0)</f>
        <v/>
      </c>
      <c r="Z4471">
        <f>IF('01_Вводные'!$B$234="Да",'19_Расчет_аналитики'!Y4470*'01_Вводные'!$B$14,0)</f>
        <v/>
      </c>
      <c r="AA4471">
        <f>IF('01_Вводные'!$B$234="Да",'19_Расчет_аналитики'!Z4470*'01_Вводные'!$B$14,0)</f>
        <v/>
      </c>
      <c r="AB4471">
        <f>IF('01_Вводные'!$B$234="Да",'19_Расчет_аналитики'!AA4470*'01_Вводные'!$B$14,0)</f>
        <v/>
      </c>
      <c r="AC4471">
        <f>IF('01_Вводные'!$B$234="Да",'19_Расчет_аналитики'!AB4470*'01_Вводные'!$B$14,0)</f>
        <v/>
      </c>
      <c r="AD4471">
        <f>IF('01_Вводные'!$B$234="Да",'19_Расчет_аналитики'!AC4470*'01_Вводные'!$B$14,0)</f>
        <v/>
      </c>
      <c r="AE4471">
        <f>IF('01_Вводные'!$B$234="Да",'19_Расчет_аналитики'!AD4470*'01_Вводные'!$B$14,0)</f>
        <v/>
      </c>
      <c r="AF4471">
        <f>IF('01_Вводные'!$B$234="Да",'19_Расчет_аналитики'!AE4470*'01_Вводные'!$B$14,0)</f>
        <v/>
      </c>
      <c r="AG4471">
        <f>IF('01_Вводные'!$B$234="Да",'19_Расчет_аналитики'!AF4470*'01_Вводные'!$B$14,0)</f>
        <v/>
      </c>
      <c r="AH4471">
        <f>IF('01_Вводные'!$B$234="Да",'19_Расчет_аналитики'!AG4470*'01_Вводные'!$B$14,0)</f>
        <v/>
      </c>
      <c r="AI4471">
        <f>IF('01_Вводные'!$B$234="Да",'19_Расчет_аналитики'!AH4470*'01_Вводные'!$B$14,0)</f>
        <v/>
      </c>
      <c r="AJ4471">
        <f>IF('01_Вводные'!$B$234="Да",'19_Расчет_аналитики'!AI4470*'01_Вводные'!$B$14,0)</f>
        <v/>
      </c>
      <c r="AK4471">
        <f>IF('01_Вводные'!$B$234="Да",'19_Расчет_аналитики'!AJ4470*'01_Вводные'!$B$14,0)</f>
        <v/>
      </c>
      <c r="AL4471">
        <f>IF('01_Вводные'!$B$234="Да",'19_Расчет_аналитики'!AK4470*'01_Вводные'!$B$14,0)</f>
        <v/>
      </c>
      <c r="AM4471">
        <f>IF('01_Вводные'!$B$234="Да",'19_Расчет_аналитики'!AL4470*'01_Вводные'!$B$14,0)</f>
        <v/>
      </c>
      <c r="AN4471">
        <f>IF('01_Вводные'!$B$234="Да",'19_Расчет_аналитики'!AM4470*'01_Вводные'!$B$14,0)</f>
        <v/>
      </c>
      <c r="AO4471">
        <f>IF('01_Вводные'!$B$234="Да",'19_Расчет_аналитики'!AN4470*'01_Вводные'!$B$14,0)</f>
        <v/>
      </c>
      <c r="AP4471">
        <f>IF('01_Вводные'!$B$234="Да",'19_Расчет_аналитики'!AO4470*'01_Вводные'!$B$14,0)</f>
        <v/>
      </c>
      <c r="AQ4471">
        <f>IF('01_Вводные'!$B$234="Да",'19_Расчет_аналитики'!AP4470*'01_Вводные'!$B$14,0)</f>
        <v/>
      </c>
      <c r="AR4471">
        <f>IF('01_Вводные'!$B$234="Да",'19_Расчет_аналитики'!AQ4470*'01_Вводные'!$B$14,0)</f>
        <v/>
      </c>
      <c r="AS4471">
        <f>IF('01_Вводные'!$B$234="Да",'19_Расчет_аналитики'!AR4470*'01_Вводные'!$B$14,0)</f>
        <v/>
      </c>
      <c r="AT4471">
        <f>IF('01_Вводные'!$B$234="Да",'19_Расчет_аналитики'!AS4470*'01_Вводные'!$B$14,0)</f>
        <v/>
      </c>
      <c r="AU4471">
        <f>IF('01_Вводные'!$B$234="Да",'19_Расчет_аналитики'!AT4470*'01_Вводные'!$B$14,0)</f>
        <v/>
      </c>
      <c r="AV4471">
        <f>IF('01_Вводные'!$B$234="Да",'19_Расчет_аналитики'!AU4470*'01_Вводные'!$B$14,0)</f>
        <v/>
      </c>
      <c r="AW4471">
        <f>IF('01_Вводные'!$B$234="Да",'19_Расчет_аналитики'!AV4470*'01_Вводные'!$B$14,0)</f>
        <v/>
      </c>
      <c r="AX4471">
        <f>IF('01_Вводные'!$B$234="Да",'19_Расчет_аналитики'!AW4470*'01_Вводные'!$B$14,0)</f>
        <v/>
      </c>
      <c r="AY4471">
        <f>IF('01_Вводные'!$B$234="Да",'19_Расчет_аналитики'!AX4470*'01_Вводные'!$B$14,0)</f>
        <v/>
      </c>
      <c r="AZ4471">
        <f>IF('01_Вводные'!$B$234="Да",'19_Расчет_аналитики'!AY4470*'01_Вводные'!$B$14,0)</f>
        <v/>
      </c>
      <c r="BA4471">
        <f>IF('01_Вводные'!$B$234="Да",'19_Расчет_аналитики'!AZ4470*'01_Вводные'!$B$14,0)</f>
        <v/>
      </c>
      <c r="BB4471">
        <f>IF('01_Вводные'!$B$234="Да",'19_Расчет_аналитики'!BA4470*'01_Вводные'!$B$14,0)</f>
        <v/>
      </c>
      <c r="BC4471">
        <f>IF('01_Вводные'!$B$234="Да",'19_Расчет_аналитики'!BB4470*'01_Вводные'!$B$14,0)</f>
        <v/>
      </c>
      <c r="BD4471">
        <f>IF('01_Вводные'!$B$234="Да",'19_Расчет_аналитики'!BC4470*'01_Вводные'!$B$14,0)</f>
        <v/>
      </c>
      <c r="BE4471">
        <f>IF('01_Вводные'!$B$234="Да",'19_Расчет_аналитики'!BD4470*'01_Вводные'!$B$14,0)</f>
        <v/>
      </c>
      <c r="BF4471">
        <f>IF('01_Вводные'!$B$234="Да",'19_Расчет_аналитики'!BE4470*'01_Вводные'!$B$14,0)</f>
        <v/>
      </c>
      <c r="BG4471">
        <f>IF('01_Вводные'!$B$234="Да",'19_Расчет_аналитики'!BF4470*'01_Вводные'!$B$14,0)</f>
        <v/>
      </c>
      <c r="BH4471">
        <f>IF('01_Вводные'!$B$234="Да",'19_Расчет_аналитики'!BG4470*'01_Вводные'!$B$14,0)</f>
        <v/>
      </c>
      <c r="BI4471">
        <f>IF('01_Вводные'!$B$234="Да",'19_Расчет_аналитики'!BH4470*'01_Вводные'!$B$14,0)</f>
        <v/>
      </c>
      <c r="BJ4471">
        <f>IF('01_Вводные'!$B$234="Да",'19_Расчет_аналитики'!BI4470*'01_Вводные'!$B$14,0)</f>
        <v/>
      </c>
      <c r="BK4471">
        <f>IF('01_Вводные'!$B$234="Да",'19_Расчет_аналитики'!BJ4470*'01_Вводные'!$B$14,0)</f>
        <v/>
      </c>
      <c r="BL4471">
        <f>IF('01_Вводные'!$B$234="Да",'19_Расчет_аналитики'!BK4470*'01_Вводные'!$B$14,0)</f>
        <v/>
      </c>
      <c r="BM4471">
        <f>IF('01_Вводные'!$B$234="Да",'19_Расчет_аналитики'!BL4470*'01_Вводные'!$B$14,0)</f>
        <v/>
      </c>
      <c r="BN4471">
        <f>IF('01_Вводные'!$B$234="Да",'19_Расчет_аналитики'!BM4470*'01_Вводные'!$B$14,0)</f>
        <v/>
      </c>
      <c r="BO4471">
        <f>IF('01_Вводные'!$B$234="Да",'19_Расчет_аналитики'!BN4470*'01_Вводные'!$B$14,0)</f>
        <v/>
      </c>
    </row>
    <row r="4472">
      <c r="B4472">
        <f>'06_Сеть_и_дети'!B69</f>
        <v/>
      </c>
      <c r="C4472">
        <f>'06_Сеть_и_дети'!C69</f>
        <v/>
      </c>
      <c r="D4472">
        <f>'06_Сеть_и_дети'!D69</f>
        <v/>
      </c>
      <c r="E4472">
        <f>'06_Сеть_и_дети'!E69</f>
        <v/>
      </c>
      <c r="F4472">
        <f>'06_Сеть_и_дети'!F69</f>
        <v/>
      </c>
      <c r="G4472">
        <f>'06_Сеть_и_дети'!G69</f>
        <v/>
      </c>
      <c r="H4472">
        <f>'06_Сеть_и_дети'!H69</f>
        <v/>
      </c>
      <c r="I4472">
        <f>'06_Сеть_и_дети'!I69</f>
        <v/>
      </c>
      <c r="J4472">
        <f>'06_Сеть_и_дети'!J69</f>
        <v/>
      </c>
      <c r="K4472">
        <f>'06_Сеть_и_дети'!K69</f>
        <v/>
      </c>
      <c r="L4472">
        <f>'06_Сеть_и_дети'!L69</f>
        <v/>
      </c>
      <c r="M4472">
        <f>'06_Сеть_и_дети'!M69</f>
        <v/>
      </c>
      <c r="N4472">
        <f>'06_Сеть_и_дети'!N69</f>
        <v/>
      </c>
      <c r="O4472">
        <f>'06_Сеть_и_дети'!O69</f>
        <v/>
      </c>
      <c r="P4472">
        <f>'06_Сеть_и_дети'!P69</f>
        <v/>
      </c>
      <c r="Q4472">
        <f>'06_Сеть_и_дети'!Q69</f>
        <v/>
      </c>
      <c r="R4472">
        <f>IF('01_Вводные'!$B$234="Да",'19_Расчет_аналитики'!Q4471*'01_Вводные'!$B$14,0)</f>
        <v/>
      </c>
      <c r="S4472">
        <f>IF('01_Вводные'!$B$234="Да",'19_Расчет_аналитики'!R4471*'01_Вводные'!$B$14,0)</f>
        <v/>
      </c>
      <c r="T4472">
        <f>IF('01_Вводные'!$B$234="Да",'19_Расчет_аналитики'!S4471*'01_Вводные'!$B$14,0)</f>
        <v/>
      </c>
      <c r="U4472">
        <f>IF('01_Вводные'!$B$234="Да",'19_Расчет_аналитики'!T4471*'01_Вводные'!$B$14,0)</f>
        <v/>
      </c>
      <c r="V4472">
        <f>IF('01_Вводные'!$B$234="Да",'19_Расчет_аналитики'!U4471*'01_Вводные'!$B$14,0)</f>
        <v/>
      </c>
      <c r="W4472">
        <f>IF('01_Вводные'!$B$234="Да",'19_Расчет_аналитики'!V4471*'01_Вводные'!$B$14,0)</f>
        <v/>
      </c>
      <c r="X4472">
        <f>IF('01_Вводные'!$B$234="Да",'19_Расчет_аналитики'!W4471*'01_Вводные'!$B$14,0)</f>
        <v/>
      </c>
      <c r="Y4472">
        <f>IF('01_Вводные'!$B$234="Да",'19_Расчет_аналитики'!X4471*'01_Вводные'!$B$14,0)</f>
        <v/>
      </c>
      <c r="Z4472">
        <f>IF('01_Вводные'!$B$234="Да",'19_Расчет_аналитики'!Y4471*'01_Вводные'!$B$14,0)</f>
        <v/>
      </c>
      <c r="AA4472">
        <f>IF('01_Вводные'!$B$234="Да",'19_Расчет_аналитики'!Z4471*'01_Вводные'!$B$14,0)</f>
        <v/>
      </c>
      <c r="AB4472">
        <f>IF('01_Вводные'!$B$234="Да",'19_Расчет_аналитики'!AA4471*'01_Вводные'!$B$14,0)</f>
        <v/>
      </c>
      <c r="AC4472">
        <f>IF('01_Вводные'!$B$234="Да",'19_Расчет_аналитики'!AB4471*'01_Вводные'!$B$14,0)</f>
        <v/>
      </c>
      <c r="AD4472">
        <f>IF('01_Вводные'!$B$234="Да",'19_Расчет_аналитики'!AC4471*'01_Вводные'!$B$14,0)</f>
        <v/>
      </c>
      <c r="AE4472">
        <f>IF('01_Вводные'!$B$234="Да",'19_Расчет_аналитики'!AD4471*'01_Вводные'!$B$14,0)</f>
        <v/>
      </c>
      <c r="AF4472">
        <f>IF('01_Вводные'!$B$234="Да",'19_Расчет_аналитики'!AE4471*'01_Вводные'!$B$14,0)</f>
        <v/>
      </c>
      <c r="AG4472">
        <f>IF('01_Вводные'!$B$234="Да",'19_Расчет_аналитики'!AF4471*'01_Вводные'!$B$14,0)</f>
        <v/>
      </c>
      <c r="AH4472">
        <f>IF('01_Вводные'!$B$234="Да",'19_Расчет_аналитики'!AG4471*'01_Вводные'!$B$14,0)</f>
        <v/>
      </c>
      <c r="AI4472">
        <f>IF('01_Вводные'!$B$234="Да",'19_Расчет_аналитики'!AH4471*'01_Вводные'!$B$14,0)</f>
        <v/>
      </c>
      <c r="AJ4472">
        <f>IF('01_Вводные'!$B$234="Да",'19_Расчет_аналитики'!AI4471*'01_Вводные'!$B$14,0)</f>
        <v/>
      </c>
      <c r="AK4472">
        <f>IF('01_Вводные'!$B$234="Да",'19_Расчет_аналитики'!AJ4471*'01_Вводные'!$B$14,0)</f>
        <v/>
      </c>
      <c r="AL4472">
        <f>IF('01_Вводные'!$B$234="Да",'19_Расчет_аналитики'!AK4471*'01_Вводные'!$B$14,0)</f>
        <v/>
      </c>
      <c r="AM4472">
        <f>IF('01_Вводные'!$B$234="Да",'19_Расчет_аналитики'!AL4471*'01_Вводные'!$B$14,0)</f>
        <v/>
      </c>
      <c r="AN4472">
        <f>IF('01_Вводные'!$B$234="Да",'19_Расчет_аналитики'!AM4471*'01_Вводные'!$B$14,0)</f>
        <v/>
      </c>
      <c r="AO4472">
        <f>IF('01_Вводные'!$B$234="Да",'19_Расчет_аналитики'!AN4471*'01_Вводные'!$B$14,0)</f>
        <v/>
      </c>
      <c r="AP4472">
        <f>IF('01_Вводные'!$B$234="Да",'19_Расчет_аналитики'!AO4471*'01_Вводные'!$B$14,0)</f>
        <v/>
      </c>
      <c r="AQ4472">
        <f>IF('01_Вводные'!$B$234="Да",'19_Расчет_аналитики'!AP4471*'01_Вводные'!$B$14,0)</f>
        <v/>
      </c>
      <c r="AR4472">
        <f>IF('01_Вводные'!$B$234="Да",'19_Расчет_аналитики'!AQ4471*'01_Вводные'!$B$14,0)</f>
        <v/>
      </c>
      <c r="AS4472">
        <f>IF('01_Вводные'!$B$234="Да",'19_Расчет_аналитики'!AR4471*'01_Вводные'!$B$14,0)</f>
        <v/>
      </c>
      <c r="AT4472">
        <f>IF('01_Вводные'!$B$234="Да",'19_Расчет_аналитики'!AS4471*'01_Вводные'!$B$14,0)</f>
        <v/>
      </c>
      <c r="AU4472">
        <f>IF('01_Вводные'!$B$234="Да",'19_Расчет_аналитики'!AT4471*'01_Вводные'!$B$14,0)</f>
        <v/>
      </c>
      <c r="AV4472">
        <f>IF('01_Вводные'!$B$234="Да",'19_Расчет_аналитики'!AU4471*'01_Вводные'!$B$14,0)</f>
        <v/>
      </c>
      <c r="AW4472">
        <f>IF('01_Вводные'!$B$234="Да",'19_Расчет_аналитики'!AV4471*'01_Вводные'!$B$14,0)</f>
        <v/>
      </c>
      <c r="AX4472">
        <f>IF('01_Вводные'!$B$234="Да",'19_Расчет_аналитики'!AW4471*'01_Вводные'!$B$14,0)</f>
        <v/>
      </c>
      <c r="AY4472">
        <f>IF('01_Вводные'!$B$234="Да",'19_Расчет_аналитики'!AX4471*'01_Вводные'!$B$14,0)</f>
        <v/>
      </c>
      <c r="AZ4472">
        <f>IF('01_Вводные'!$B$234="Да",'19_Расчет_аналитики'!AY4471*'01_Вводные'!$B$14,0)</f>
        <v/>
      </c>
      <c r="BA4472">
        <f>IF('01_Вводные'!$B$234="Да",'19_Расчет_аналитики'!AZ4471*'01_Вводные'!$B$14,0)</f>
        <v/>
      </c>
      <c r="BB4472">
        <f>IF('01_Вводные'!$B$234="Да",'19_Расчет_аналитики'!BA4471*'01_Вводные'!$B$14,0)</f>
        <v/>
      </c>
      <c r="BC4472">
        <f>IF('01_Вводные'!$B$234="Да",'19_Расчет_аналитики'!BB4471*'01_Вводные'!$B$14,0)</f>
        <v/>
      </c>
      <c r="BD4472">
        <f>IF('01_Вводные'!$B$234="Да",'19_Расчет_аналитики'!BC4471*'01_Вводные'!$B$14,0)</f>
        <v/>
      </c>
      <c r="BE4472">
        <f>IF('01_Вводные'!$B$234="Да",'19_Расчет_аналитики'!BD4471*'01_Вводные'!$B$14,0)</f>
        <v/>
      </c>
      <c r="BF4472">
        <f>IF('01_Вводные'!$B$234="Да",'19_Расчет_аналитики'!BE4471*'01_Вводные'!$B$14,0)</f>
        <v/>
      </c>
      <c r="BG4472">
        <f>IF('01_Вводные'!$B$234="Да",'19_Расчет_аналитики'!BF4471*'01_Вводные'!$B$14,0)</f>
        <v/>
      </c>
      <c r="BH4472">
        <f>IF('01_Вводные'!$B$234="Да",'19_Расчет_аналитики'!BG4471*'01_Вводные'!$B$14,0)</f>
        <v/>
      </c>
      <c r="BI4472">
        <f>IF('01_Вводные'!$B$234="Да",'19_Расчет_аналитики'!BH4471*'01_Вводные'!$B$14,0)</f>
        <v/>
      </c>
      <c r="BJ4472">
        <f>IF('01_Вводные'!$B$234="Да",'19_Расчет_аналитики'!BI4471*'01_Вводные'!$B$14,0)</f>
        <v/>
      </c>
      <c r="BK4472">
        <f>IF('01_Вводные'!$B$234="Да",'19_Расчет_аналитики'!BJ4471*'01_Вводные'!$B$14,0)</f>
        <v/>
      </c>
      <c r="BL4472">
        <f>IF('01_Вводные'!$B$234="Да",'19_Расчет_аналитики'!BK4471*'01_Вводные'!$B$14,0)</f>
        <v/>
      </c>
      <c r="BM4472">
        <f>IF('01_Вводные'!$B$234="Да",'19_Расчет_аналитики'!BL4471*'01_Вводные'!$B$14,0)</f>
        <v/>
      </c>
      <c r="BN4472">
        <f>IF('01_Вводные'!$B$234="Да",'19_Расчет_аналитики'!BM4471*'01_Вводные'!$B$14,0)</f>
        <v/>
      </c>
      <c r="BO4472">
        <f>IF('01_Вводные'!$B$234="Да",'19_Расчет_аналитики'!BN4471*'01_Вводные'!$B$14,0)</f>
        <v/>
      </c>
    </row>
    <row r="4473">
      <c r="B4473">
        <f>'06_Сеть_и_дети'!B70</f>
        <v/>
      </c>
      <c r="C4473">
        <f>'06_Сеть_и_дети'!C70</f>
        <v/>
      </c>
      <c r="D4473">
        <f>'06_Сеть_и_дети'!D70</f>
        <v/>
      </c>
      <c r="E4473">
        <f>'06_Сеть_и_дети'!E70</f>
        <v/>
      </c>
      <c r="F4473">
        <f>'06_Сеть_и_дети'!F70</f>
        <v/>
      </c>
      <c r="G4473">
        <f>'06_Сеть_и_дети'!G70</f>
        <v/>
      </c>
      <c r="H4473">
        <f>'06_Сеть_и_дети'!H70</f>
        <v/>
      </c>
      <c r="I4473">
        <f>'06_Сеть_и_дети'!I70</f>
        <v/>
      </c>
      <c r="J4473">
        <f>'06_Сеть_и_дети'!J70</f>
        <v/>
      </c>
      <c r="K4473">
        <f>'06_Сеть_и_дети'!K70</f>
        <v/>
      </c>
      <c r="L4473">
        <f>'06_Сеть_и_дети'!L70</f>
        <v/>
      </c>
      <c r="M4473">
        <f>'06_Сеть_и_дети'!M70</f>
        <v/>
      </c>
      <c r="N4473">
        <f>'06_Сеть_и_дети'!N70</f>
        <v/>
      </c>
      <c r="O4473">
        <f>'06_Сеть_и_дети'!O70</f>
        <v/>
      </c>
      <c r="P4473">
        <f>'06_Сеть_и_дети'!P70</f>
        <v/>
      </c>
      <c r="Q4473">
        <f>'06_Сеть_и_дети'!Q70</f>
        <v/>
      </c>
      <c r="R4473">
        <f>'06_Сеть_и_дети'!R70</f>
        <v/>
      </c>
      <c r="S4473">
        <f>IF('01_Вводные'!$B$234="Да",'19_Расчет_аналитики'!R4472*'01_Вводные'!$B$14,0)</f>
        <v/>
      </c>
      <c r="T4473">
        <f>IF('01_Вводные'!$B$234="Да",'19_Расчет_аналитики'!S4472*'01_Вводные'!$B$14,0)</f>
        <v/>
      </c>
      <c r="U4473">
        <f>IF('01_Вводные'!$B$234="Да",'19_Расчет_аналитики'!T4472*'01_Вводные'!$B$14,0)</f>
        <v/>
      </c>
      <c r="V4473">
        <f>IF('01_Вводные'!$B$234="Да",'19_Расчет_аналитики'!U4472*'01_Вводные'!$B$14,0)</f>
        <v/>
      </c>
      <c r="W4473">
        <f>IF('01_Вводные'!$B$234="Да",'19_Расчет_аналитики'!V4472*'01_Вводные'!$B$14,0)</f>
        <v/>
      </c>
      <c r="X4473">
        <f>IF('01_Вводные'!$B$234="Да",'19_Расчет_аналитики'!W4472*'01_Вводные'!$B$14,0)</f>
        <v/>
      </c>
      <c r="Y4473">
        <f>IF('01_Вводные'!$B$234="Да",'19_Расчет_аналитики'!X4472*'01_Вводные'!$B$14,0)</f>
        <v/>
      </c>
      <c r="Z4473">
        <f>IF('01_Вводные'!$B$234="Да",'19_Расчет_аналитики'!Y4472*'01_Вводные'!$B$14,0)</f>
        <v/>
      </c>
      <c r="AA4473">
        <f>IF('01_Вводные'!$B$234="Да",'19_Расчет_аналитики'!Z4472*'01_Вводные'!$B$14,0)</f>
        <v/>
      </c>
      <c r="AB4473">
        <f>IF('01_Вводные'!$B$234="Да",'19_Расчет_аналитики'!AA4472*'01_Вводные'!$B$14,0)</f>
        <v/>
      </c>
      <c r="AC4473">
        <f>IF('01_Вводные'!$B$234="Да",'19_Расчет_аналитики'!AB4472*'01_Вводные'!$B$14,0)</f>
        <v/>
      </c>
      <c r="AD4473">
        <f>IF('01_Вводные'!$B$234="Да",'19_Расчет_аналитики'!AC4472*'01_Вводные'!$B$14,0)</f>
        <v/>
      </c>
      <c r="AE4473">
        <f>IF('01_Вводные'!$B$234="Да",'19_Расчет_аналитики'!AD4472*'01_Вводные'!$B$14,0)</f>
        <v/>
      </c>
      <c r="AF4473">
        <f>IF('01_Вводные'!$B$234="Да",'19_Расчет_аналитики'!AE4472*'01_Вводные'!$B$14,0)</f>
        <v/>
      </c>
      <c r="AG4473">
        <f>IF('01_Вводные'!$B$234="Да",'19_Расчет_аналитики'!AF4472*'01_Вводные'!$B$14,0)</f>
        <v/>
      </c>
      <c r="AH4473">
        <f>IF('01_Вводные'!$B$234="Да",'19_Расчет_аналитики'!AG4472*'01_Вводные'!$B$14,0)</f>
        <v/>
      </c>
      <c r="AI4473">
        <f>IF('01_Вводные'!$B$234="Да",'19_Расчет_аналитики'!AH4472*'01_Вводные'!$B$14,0)</f>
        <v/>
      </c>
      <c r="AJ4473">
        <f>IF('01_Вводные'!$B$234="Да",'19_Расчет_аналитики'!AI4472*'01_Вводные'!$B$14,0)</f>
        <v/>
      </c>
      <c r="AK4473">
        <f>IF('01_Вводные'!$B$234="Да",'19_Расчет_аналитики'!AJ4472*'01_Вводные'!$B$14,0)</f>
        <v/>
      </c>
      <c r="AL4473">
        <f>IF('01_Вводные'!$B$234="Да",'19_Расчет_аналитики'!AK4472*'01_Вводные'!$B$14,0)</f>
        <v/>
      </c>
      <c r="AM4473">
        <f>IF('01_Вводные'!$B$234="Да",'19_Расчет_аналитики'!AL4472*'01_Вводные'!$B$14,0)</f>
        <v/>
      </c>
      <c r="AN4473">
        <f>IF('01_Вводные'!$B$234="Да",'19_Расчет_аналитики'!AM4472*'01_Вводные'!$B$14,0)</f>
        <v/>
      </c>
      <c r="AO4473">
        <f>IF('01_Вводные'!$B$234="Да",'19_Расчет_аналитики'!AN4472*'01_Вводные'!$B$14,0)</f>
        <v/>
      </c>
      <c r="AP4473">
        <f>IF('01_Вводные'!$B$234="Да",'19_Расчет_аналитики'!AO4472*'01_Вводные'!$B$14,0)</f>
        <v/>
      </c>
      <c r="AQ4473">
        <f>IF('01_Вводные'!$B$234="Да",'19_Расчет_аналитики'!AP4472*'01_Вводные'!$B$14,0)</f>
        <v/>
      </c>
      <c r="AR4473">
        <f>IF('01_Вводные'!$B$234="Да",'19_Расчет_аналитики'!AQ4472*'01_Вводные'!$B$14,0)</f>
        <v/>
      </c>
      <c r="AS4473">
        <f>IF('01_Вводные'!$B$234="Да",'19_Расчет_аналитики'!AR4472*'01_Вводные'!$B$14,0)</f>
        <v/>
      </c>
      <c r="AT4473">
        <f>IF('01_Вводные'!$B$234="Да",'19_Расчет_аналитики'!AS4472*'01_Вводные'!$B$14,0)</f>
        <v/>
      </c>
      <c r="AU4473">
        <f>IF('01_Вводные'!$B$234="Да",'19_Расчет_аналитики'!AT4472*'01_Вводные'!$B$14,0)</f>
        <v/>
      </c>
      <c r="AV4473">
        <f>IF('01_Вводные'!$B$234="Да",'19_Расчет_аналитики'!AU4472*'01_Вводные'!$B$14,0)</f>
        <v/>
      </c>
      <c r="AW4473">
        <f>IF('01_Вводные'!$B$234="Да",'19_Расчет_аналитики'!AV4472*'01_Вводные'!$B$14,0)</f>
        <v/>
      </c>
      <c r="AX4473">
        <f>IF('01_Вводные'!$B$234="Да",'19_Расчет_аналитики'!AW4472*'01_Вводные'!$B$14,0)</f>
        <v/>
      </c>
      <c r="AY4473">
        <f>IF('01_Вводные'!$B$234="Да",'19_Расчет_аналитики'!AX4472*'01_Вводные'!$B$14,0)</f>
        <v/>
      </c>
      <c r="AZ4473">
        <f>IF('01_Вводные'!$B$234="Да",'19_Расчет_аналитики'!AY4472*'01_Вводные'!$B$14,0)</f>
        <v/>
      </c>
      <c r="BA4473">
        <f>IF('01_Вводные'!$B$234="Да",'19_Расчет_аналитики'!AZ4472*'01_Вводные'!$B$14,0)</f>
        <v/>
      </c>
      <c r="BB4473">
        <f>IF('01_Вводные'!$B$234="Да",'19_Расчет_аналитики'!BA4472*'01_Вводные'!$B$14,0)</f>
        <v/>
      </c>
      <c r="BC4473">
        <f>IF('01_Вводные'!$B$234="Да",'19_Расчет_аналитики'!BB4472*'01_Вводные'!$B$14,0)</f>
        <v/>
      </c>
      <c r="BD4473">
        <f>IF('01_Вводные'!$B$234="Да",'19_Расчет_аналитики'!BC4472*'01_Вводные'!$B$14,0)</f>
        <v/>
      </c>
      <c r="BE4473">
        <f>IF('01_Вводные'!$B$234="Да",'19_Расчет_аналитики'!BD4472*'01_Вводные'!$B$14,0)</f>
        <v/>
      </c>
      <c r="BF4473">
        <f>IF('01_Вводные'!$B$234="Да",'19_Расчет_аналитики'!BE4472*'01_Вводные'!$B$14,0)</f>
        <v/>
      </c>
      <c r="BG4473">
        <f>IF('01_Вводные'!$B$234="Да",'19_Расчет_аналитики'!BF4472*'01_Вводные'!$B$14,0)</f>
        <v/>
      </c>
      <c r="BH4473">
        <f>IF('01_Вводные'!$B$234="Да",'19_Расчет_аналитики'!BG4472*'01_Вводные'!$B$14,0)</f>
        <v/>
      </c>
      <c r="BI4473">
        <f>IF('01_Вводные'!$B$234="Да",'19_Расчет_аналитики'!BH4472*'01_Вводные'!$B$14,0)</f>
        <v/>
      </c>
      <c r="BJ4473">
        <f>IF('01_Вводные'!$B$234="Да",'19_Расчет_аналитики'!BI4472*'01_Вводные'!$B$14,0)</f>
        <v/>
      </c>
      <c r="BK4473">
        <f>IF('01_Вводные'!$B$234="Да",'19_Расчет_аналитики'!BJ4472*'01_Вводные'!$B$14,0)</f>
        <v/>
      </c>
      <c r="BL4473">
        <f>IF('01_Вводные'!$B$234="Да",'19_Расчет_аналитики'!BK4472*'01_Вводные'!$B$14,0)</f>
        <v/>
      </c>
      <c r="BM4473">
        <f>IF('01_Вводные'!$B$234="Да",'19_Расчет_аналитики'!BL4472*'01_Вводные'!$B$14,0)</f>
        <v/>
      </c>
      <c r="BN4473">
        <f>IF('01_Вводные'!$B$234="Да",'19_Расчет_аналитики'!BM4472*'01_Вводные'!$B$14,0)</f>
        <v/>
      </c>
      <c r="BO4473">
        <f>IF('01_Вводные'!$B$234="Да",'19_Расчет_аналитики'!BN4472*'01_Вводные'!$B$14,0)</f>
        <v/>
      </c>
    </row>
    <row r="4474">
      <c r="B4474">
        <f>'06_Сеть_и_дети'!B71</f>
        <v/>
      </c>
      <c r="C4474">
        <f>'06_Сеть_и_дети'!C71</f>
        <v/>
      </c>
      <c r="D4474">
        <f>'06_Сеть_и_дети'!D71</f>
        <v/>
      </c>
      <c r="E4474">
        <f>'06_Сеть_и_дети'!E71</f>
        <v/>
      </c>
      <c r="F4474">
        <f>'06_Сеть_и_дети'!F71</f>
        <v/>
      </c>
      <c r="G4474">
        <f>'06_Сеть_и_дети'!G71</f>
        <v/>
      </c>
      <c r="H4474">
        <f>'06_Сеть_и_дети'!H71</f>
        <v/>
      </c>
      <c r="I4474">
        <f>'06_Сеть_и_дети'!I71</f>
        <v/>
      </c>
      <c r="J4474">
        <f>'06_Сеть_и_дети'!J71</f>
        <v/>
      </c>
      <c r="K4474">
        <f>'06_Сеть_и_дети'!K71</f>
        <v/>
      </c>
      <c r="L4474">
        <f>'06_Сеть_и_дети'!L71</f>
        <v/>
      </c>
      <c r="M4474">
        <f>'06_Сеть_и_дети'!M71</f>
        <v/>
      </c>
      <c r="N4474">
        <f>'06_Сеть_и_дети'!N71</f>
        <v/>
      </c>
      <c r="O4474">
        <f>'06_Сеть_и_дети'!O71</f>
        <v/>
      </c>
      <c r="P4474">
        <f>'06_Сеть_и_дети'!P71</f>
        <v/>
      </c>
      <c r="Q4474">
        <f>'06_Сеть_и_дети'!Q71</f>
        <v/>
      </c>
      <c r="R4474">
        <f>'06_Сеть_и_дети'!R71</f>
        <v/>
      </c>
      <c r="S4474">
        <f>'06_Сеть_и_дети'!S71</f>
        <v/>
      </c>
      <c r="T4474">
        <f>IF('01_Вводные'!$B$234="Да",'19_Расчет_аналитики'!S4473*'01_Вводные'!$B$14,0)</f>
        <v/>
      </c>
      <c r="U4474">
        <f>IF('01_Вводные'!$B$234="Да",'19_Расчет_аналитики'!T4473*'01_Вводные'!$B$14,0)</f>
        <v/>
      </c>
      <c r="V4474">
        <f>IF('01_Вводные'!$B$234="Да",'19_Расчет_аналитики'!U4473*'01_Вводные'!$B$14,0)</f>
        <v/>
      </c>
      <c r="W4474">
        <f>IF('01_Вводные'!$B$234="Да",'19_Расчет_аналитики'!V4473*'01_Вводные'!$B$14,0)</f>
        <v/>
      </c>
      <c r="X4474">
        <f>IF('01_Вводные'!$B$234="Да",'19_Расчет_аналитики'!W4473*'01_Вводные'!$B$14,0)</f>
        <v/>
      </c>
      <c r="Y4474">
        <f>IF('01_Вводные'!$B$234="Да",'19_Расчет_аналитики'!X4473*'01_Вводные'!$B$14,0)</f>
        <v/>
      </c>
      <c r="Z4474">
        <f>IF('01_Вводные'!$B$234="Да",'19_Расчет_аналитики'!Y4473*'01_Вводные'!$B$14,0)</f>
        <v/>
      </c>
      <c r="AA4474">
        <f>IF('01_Вводные'!$B$234="Да",'19_Расчет_аналитики'!Z4473*'01_Вводные'!$B$14,0)</f>
        <v/>
      </c>
      <c r="AB4474">
        <f>IF('01_Вводные'!$B$234="Да",'19_Расчет_аналитики'!AA4473*'01_Вводные'!$B$14,0)</f>
        <v/>
      </c>
      <c r="AC4474">
        <f>IF('01_Вводные'!$B$234="Да",'19_Расчет_аналитики'!AB4473*'01_Вводные'!$B$14,0)</f>
        <v/>
      </c>
      <c r="AD4474">
        <f>IF('01_Вводные'!$B$234="Да",'19_Расчет_аналитики'!AC4473*'01_Вводные'!$B$14,0)</f>
        <v/>
      </c>
      <c r="AE4474">
        <f>IF('01_Вводные'!$B$234="Да",'19_Расчет_аналитики'!AD4473*'01_Вводные'!$B$14,0)</f>
        <v/>
      </c>
      <c r="AF4474">
        <f>IF('01_Вводные'!$B$234="Да",'19_Расчет_аналитики'!AE4473*'01_Вводные'!$B$14,0)</f>
        <v/>
      </c>
      <c r="AG4474">
        <f>IF('01_Вводные'!$B$234="Да",'19_Расчет_аналитики'!AF4473*'01_Вводные'!$B$14,0)</f>
        <v/>
      </c>
      <c r="AH4474">
        <f>IF('01_Вводные'!$B$234="Да",'19_Расчет_аналитики'!AG4473*'01_Вводные'!$B$14,0)</f>
        <v/>
      </c>
      <c r="AI4474">
        <f>IF('01_Вводные'!$B$234="Да",'19_Расчет_аналитики'!AH4473*'01_Вводные'!$B$14,0)</f>
        <v/>
      </c>
      <c r="AJ4474">
        <f>IF('01_Вводные'!$B$234="Да",'19_Расчет_аналитики'!AI4473*'01_Вводные'!$B$14,0)</f>
        <v/>
      </c>
      <c r="AK4474">
        <f>IF('01_Вводные'!$B$234="Да",'19_Расчет_аналитики'!AJ4473*'01_Вводные'!$B$14,0)</f>
        <v/>
      </c>
      <c r="AL4474">
        <f>IF('01_Вводные'!$B$234="Да",'19_Расчет_аналитики'!AK4473*'01_Вводные'!$B$14,0)</f>
        <v/>
      </c>
      <c r="AM4474">
        <f>IF('01_Вводные'!$B$234="Да",'19_Расчет_аналитики'!AL4473*'01_Вводные'!$B$14,0)</f>
        <v/>
      </c>
      <c r="AN4474">
        <f>IF('01_Вводные'!$B$234="Да",'19_Расчет_аналитики'!AM4473*'01_Вводные'!$B$14,0)</f>
        <v/>
      </c>
      <c r="AO4474">
        <f>IF('01_Вводные'!$B$234="Да",'19_Расчет_аналитики'!AN4473*'01_Вводные'!$B$14,0)</f>
        <v/>
      </c>
      <c r="AP4474">
        <f>IF('01_Вводные'!$B$234="Да",'19_Расчет_аналитики'!AO4473*'01_Вводные'!$B$14,0)</f>
        <v/>
      </c>
      <c r="AQ4474">
        <f>IF('01_Вводные'!$B$234="Да",'19_Расчет_аналитики'!AP4473*'01_Вводные'!$B$14,0)</f>
        <v/>
      </c>
      <c r="AR4474">
        <f>IF('01_Вводные'!$B$234="Да",'19_Расчет_аналитики'!AQ4473*'01_Вводные'!$B$14,0)</f>
        <v/>
      </c>
      <c r="AS4474">
        <f>IF('01_Вводные'!$B$234="Да",'19_Расчет_аналитики'!AR4473*'01_Вводные'!$B$14,0)</f>
        <v/>
      </c>
      <c r="AT4474">
        <f>IF('01_Вводные'!$B$234="Да",'19_Расчет_аналитики'!AS4473*'01_Вводные'!$B$14,0)</f>
        <v/>
      </c>
      <c r="AU4474">
        <f>IF('01_Вводные'!$B$234="Да",'19_Расчет_аналитики'!AT4473*'01_Вводные'!$B$14,0)</f>
        <v/>
      </c>
      <c r="AV4474">
        <f>IF('01_Вводные'!$B$234="Да",'19_Расчет_аналитики'!AU4473*'01_Вводные'!$B$14,0)</f>
        <v/>
      </c>
      <c r="AW4474">
        <f>IF('01_Вводные'!$B$234="Да",'19_Расчет_аналитики'!AV4473*'01_Вводные'!$B$14,0)</f>
        <v/>
      </c>
      <c r="AX4474">
        <f>IF('01_Вводные'!$B$234="Да",'19_Расчет_аналитики'!AW4473*'01_Вводные'!$B$14,0)</f>
        <v/>
      </c>
      <c r="AY4474">
        <f>IF('01_Вводные'!$B$234="Да",'19_Расчет_аналитики'!AX4473*'01_Вводные'!$B$14,0)</f>
        <v/>
      </c>
      <c r="AZ4474">
        <f>IF('01_Вводные'!$B$234="Да",'19_Расчет_аналитики'!AY4473*'01_Вводные'!$B$14,0)</f>
        <v/>
      </c>
      <c r="BA4474">
        <f>IF('01_Вводные'!$B$234="Да",'19_Расчет_аналитики'!AZ4473*'01_Вводные'!$B$14,0)</f>
        <v/>
      </c>
      <c r="BB4474">
        <f>IF('01_Вводные'!$B$234="Да",'19_Расчет_аналитики'!BA4473*'01_Вводные'!$B$14,0)</f>
        <v/>
      </c>
      <c r="BC4474">
        <f>IF('01_Вводные'!$B$234="Да",'19_Расчет_аналитики'!BB4473*'01_Вводные'!$B$14,0)</f>
        <v/>
      </c>
      <c r="BD4474">
        <f>IF('01_Вводные'!$B$234="Да",'19_Расчет_аналитики'!BC4473*'01_Вводные'!$B$14,0)</f>
        <v/>
      </c>
      <c r="BE4474">
        <f>IF('01_Вводные'!$B$234="Да",'19_Расчет_аналитики'!BD4473*'01_Вводные'!$B$14,0)</f>
        <v/>
      </c>
      <c r="BF4474">
        <f>IF('01_Вводные'!$B$234="Да",'19_Расчет_аналитики'!BE4473*'01_Вводные'!$B$14,0)</f>
        <v/>
      </c>
      <c r="BG4474">
        <f>IF('01_Вводные'!$B$234="Да",'19_Расчет_аналитики'!BF4473*'01_Вводные'!$B$14,0)</f>
        <v/>
      </c>
      <c r="BH4474">
        <f>IF('01_Вводные'!$B$234="Да",'19_Расчет_аналитики'!BG4473*'01_Вводные'!$B$14,0)</f>
        <v/>
      </c>
      <c r="BI4474">
        <f>IF('01_Вводные'!$B$234="Да",'19_Расчет_аналитики'!BH4473*'01_Вводные'!$B$14,0)</f>
        <v/>
      </c>
      <c r="BJ4474">
        <f>IF('01_Вводные'!$B$234="Да",'19_Расчет_аналитики'!BI4473*'01_Вводные'!$B$14,0)</f>
        <v/>
      </c>
      <c r="BK4474">
        <f>IF('01_Вводные'!$B$234="Да",'19_Расчет_аналитики'!BJ4473*'01_Вводные'!$B$14,0)</f>
        <v/>
      </c>
      <c r="BL4474">
        <f>IF('01_Вводные'!$B$234="Да",'19_Расчет_аналитики'!BK4473*'01_Вводные'!$B$14,0)</f>
        <v/>
      </c>
      <c r="BM4474">
        <f>IF('01_Вводные'!$B$234="Да",'19_Расчет_аналитики'!BL4473*'01_Вводные'!$B$14,0)</f>
        <v/>
      </c>
      <c r="BN4474">
        <f>IF('01_Вводные'!$B$234="Да",'19_Расчет_аналитики'!BM4473*'01_Вводные'!$B$14,0)</f>
        <v/>
      </c>
      <c r="BO4474">
        <f>IF('01_Вводные'!$B$234="Да",'19_Расчет_аналитики'!BN4473*'01_Вводные'!$B$14,0)</f>
        <v/>
      </c>
    </row>
    <row r="4475">
      <c r="B4475">
        <f>'06_Сеть_и_дети'!B72</f>
        <v/>
      </c>
      <c r="C4475">
        <f>'06_Сеть_и_дети'!C72</f>
        <v/>
      </c>
      <c r="D4475">
        <f>'06_Сеть_и_дети'!D72</f>
        <v/>
      </c>
      <c r="E4475">
        <f>'06_Сеть_и_дети'!E72</f>
        <v/>
      </c>
      <c r="F4475">
        <f>'06_Сеть_и_дети'!F72</f>
        <v/>
      </c>
      <c r="G4475">
        <f>'06_Сеть_и_дети'!G72</f>
        <v/>
      </c>
      <c r="H4475">
        <f>'06_Сеть_и_дети'!H72</f>
        <v/>
      </c>
      <c r="I4475">
        <f>'06_Сеть_и_дети'!I72</f>
        <v/>
      </c>
      <c r="J4475">
        <f>'06_Сеть_и_дети'!J72</f>
        <v/>
      </c>
      <c r="K4475">
        <f>'06_Сеть_и_дети'!K72</f>
        <v/>
      </c>
      <c r="L4475">
        <f>'06_Сеть_и_дети'!L72</f>
        <v/>
      </c>
      <c r="M4475">
        <f>'06_Сеть_и_дети'!M72</f>
        <v/>
      </c>
      <c r="N4475">
        <f>'06_Сеть_и_дети'!N72</f>
        <v/>
      </c>
      <c r="O4475">
        <f>'06_Сеть_и_дети'!O72</f>
        <v/>
      </c>
      <c r="P4475">
        <f>'06_Сеть_и_дети'!P72</f>
        <v/>
      </c>
      <c r="Q4475">
        <f>'06_Сеть_и_дети'!Q72</f>
        <v/>
      </c>
      <c r="R4475">
        <f>'06_Сеть_и_дети'!R72</f>
        <v/>
      </c>
      <c r="S4475">
        <f>'06_Сеть_и_дети'!S72</f>
        <v/>
      </c>
      <c r="T4475">
        <f>'06_Сеть_и_дети'!T72</f>
        <v/>
      </c>
      <c r="U4475">
        <f>IF('01_Вводные'!$B$234="Да",'19_Расчет_аналитики'!T4474*'01_Вводные'!$B$14,0)</f>
        <v/>
      </c>
      <c r="V4475">
        <f>IF('01_Вводные'!$B$234="Да",'19_Расчет_аналитики'!U4474*'01_Вводные'!$B$14,0)</f>
        <v/>
      </c>
      <c r="W4475">
        <f>IF('01_Вводные'!$B$234="Да",'19_Расчет_аналитики'!V4474*'01_Вводные'!$B$14,0)</f>
        <v/>
      </c>
      <c r="X4475">
        <f>IF('01_Вводные'!$B$234="Да",'19_Расчет_аналитики'!W4474*'01_Вводные'!$B$14,0)</f>
        <v/>
      </c>
      <c r="Y4475">
        <f>IF('01_Вводные'!$B$234="Да",'19_Расчет_аналитики'!X4474*'01_Вводные'!$B$14,0)</f>
        <v/>
      </c>
      <c r="Z4475">
        <f>IF('01_Вводные'!$B$234="Да",'19_Расчет_аналитики'!Y4474*'01_Вводные'!$B$14,0)</f>
        <v/>
      </c>
      <c r="AA4475">
        <f>IF('01_Вводные'!$B$234="Да",'19_Расчет_аналитики'!Z4474*'01_Вводные'!$B$14,0)</f>
        <v/>
      </c>
      <c r="AB4475">
        <f>IF('01_Вводные'!$B$234="Да",'19_Расчет_аналитики'!AA4474*'01_Вводные'!$B$14,0)</f>
        <v/>
      </c>
      <c r="AC4475">
        <f>IF('01_Вводные'!$B$234="Да",'19_Расчет_аналитики'!AB4474*'01_Вводные'!$B$14,0)</f>
        <v/>
      </c>
      <c r="AD4475">
        <f>IF('01_Вводные'!$B$234="Да",'19_Расчет_аналитики'!AC4474*'01_Вводные'!$B$14,0)</f>
        <v/>
      </c>
      <c r="AE4475">
        <f>IF('01_Вводные'!$B$234="Да",'19_Расчет_аналитики'!AD4474*'01_Вводные'!$B$14,0)</f>
        <v/>
      </c>
      <c r="AF4475">
        <f>IF('01_Вводные'!$B$234="Да",'19_Расчет_аналитики'!AE4474*'01_Вводные'!$B$14,0)</f>
        <v/>
      </c>
      <c r="AG4475">
        <f>IF('01_Вводные'!$B$234="Да",'19_Расчет_аналитики'!AF4474*'01_Вводные'!$B$14,0)</f>
        <v/>
      </c>
      <c r="AH4475">
        <f>IF('01_Вводные'!$B$234="Да",'19_Расчет_аналитики'!AG4474*'01_Вводные'!$B$14,0)</f>
        <v/>
      </c>
      <c r="AI4475">
        <f>IF('01_Вводные'!$B$234="Да",'19_Расчет_аналитики'!AH4474*'01_Вводные'!$B$14,0)</f>
        <v/>
      </c>
      <c r="AJ4475">
        <f>IF('01_Вводные'!$B$234="Да",'19_Расчет_аналитики'!AI4474*'01_Вводные'!$B$14,0)</f>
        <v/>
      </c>
      <c r="AK4475">
        <f>IF('01_Вводные'!$B$234="Да",'19_Расчет_аналитики'!AJ4474*'01_Вводные'!$B$14,0)</f>
        <v/>
      </c>
      <c r="AL4475">
        <f>IF('01_Вводные'!$B$234="Да",'19_Расчет_аналитики'!AK4474*'01_Вводные'!$B$14,0)</f>
        <v/>
      </c>
      <c r="AM4475">
        <f>IF('01_Вводные'!$B$234="Да",'19_Расчет_аналитики'!AL4474*'01_Вводные'!$B$14,0)</f>
        <v/>
      </c>
      <c r="AN4475">
        <f>IF('01_Вводные'!$B$234="Да",'19_Расчет_аналитики'!AM4474*'01_Вводные'!$B$14,0)</f>
        <v/>
      </c>
      <c r="AO4475">
        <f>IF('01_Вводные'!$B$234="Да",'19_Расчет_аналитики'!AN4474*'01_Вводные'!$B$14,0)</f>
        <v/>
      </c>
      <c r="AP4475">
        <f>IF('01_Вводные'!$B$234="Да",'19_Расчет_аналитики'!AO4474*'01_Вводные'!$B$14,0)</f>
        <v/>
      </c>
      <c r="AQ4475">
        <f>IF('01_Вводные'!$B$234="Да",'19_Расчет_аналитики'!AP4474*'01_Вводные'!$B$14,0)</f>
        <v/>
      </c>
      <c r="AR4475">
        <f>IF('01_Вводные'!$B$234="Да",'19_Расчет_аналитики'!AQ4474*'01_Вводные'!$B$14,0)</f>
        <v/>
      </c>
      <c r="AS4475">
        <f>IF('01_Вводные'!$B$234="Да",'19_Расчет_аналитики'!AR4474*'01_Вводные'!$B$14,0)</f>
        <v/>
      </c>
      <c r="AT4475">
        <f>IF('01_Вводные'!$B$234="Да",'19_Расчет_аналитики'!AS4474*'01_Вводные'!$B$14,0)</f>
        <v/>
      </c>
      <c r="AU4475">
        <f>IF('01_Вводные'!$B$234="Да",'19_Расчет_аналитики'!AT4474*'01_Вводные'!$B$14,0)</f>
        <v/>
      </c>
      <c r="AV4475">
        <f>IF('01_Вводные'!$B$234="Да",'19_Расчет_аналитики'!AU4474*'01_Вводные'!$B$14,0)</f>
        <v/>
      </c>
      <c r="AW4475">
        <f>IF('01_Вводные'!$B$234="Да",'19_Расчет_аналитики'!AV4474*'01_Вводные'!$B$14,0)</f>
        <v/>
      </c>
      <c r="AX4475">
        <f>IF('01_Вводные'!$B$234="Да",'19_Расчет_аналитики'!AW4474*'01_Вводные'!$B$14,0)</f>
        <v/>
      </c>
      <c r="AY4475">
        <f>IF('01_Вводные'!$B$234="Да",'19_Расчет_аналитики'!AX4474*'01_Вводные'!$B$14,0)</f>
        <v/>
      </c>
      <c r="AZ4475">
        <f>IF('01_Вводные'!$B$234="Да",'19_Расчет_аналитики'!AY4474*'01_Вводные'!$B$14,0)</f>
        <v/>
      </c>
      <c r="BA4475">
        <f>IF('01_Вводные'!$B$234="Да",'19_Расчет_аналитики'!AZ4474*'01_Вводные'!$B$14,0)</f>
        <v/>
      </c>
      <c r="BB4475">
        <f>IF('01_Вводные'!$B$234="Да",'19_Расчет_аналитики'!BA4474*'01_Вводные'!$B$14,0)</f>
        <v/>
      </c>
      <c r="BC4475">
        <f>IF('01_Вводные'!$B$234="Да",'19_Расчет_аналитики'!BB4474*'01_Вводные'!$B$14,0)</f>
        <v/>
      </c>
      <c r="BD4475">
        <f>IF('01_Вводные'!$B$234="Да",'19_Расчет_аналитики'!BC4474*'01_Вводные'!$B$14,0)</f>
        <v/>
      </c>
      <c r="BE4475">
        <f>IF('01_Вводные'!$B$234="Да",'19_Расчет_аналитики'!BD4474*'01_Вводные'!$B$14,0)</f>
        <v/>
      </c>
      <c r="BF4475">
        <f>IF('01_Вводные'!$B$234="Да",'19_Расчет_аналитики'!BE4474*'01_Вводные'!$B$14,0)</f>
        <v/>
      </c>
      <c r="BG4475">
        <f>IF('01_Вводные'!$B$234="Да",'19_Расчет_аналитики'!BF4474*'01_Вводные'!$B$14,0)</f>
        <v/>
      </c>
      <c r="BH4475">
        <f>IF('01_Вводные'!$B$234="Да",'19_Расчет_аналитики'!BG4474*'01_Вводные'!$B$14,0)</f>
        <v/>
      </c>
      <c r="BI4475">
        <f>IF('01_Вводные'!$B$234="Да",'19_Расчет_аналитики'!BH4474*'01_Вводные'!$B$14,0)</f>
        <v/>
      </c>
      <c r="BJ4475">
        <f>IF('01_Вводные'!$B$234="Да",'19_Расчет_аналитики'!BI4474*'01_Вводные'!$B$14,0)</f>
        <v/>
      </c>
      <c r="BK4475">
        <f>IF('01_Вводные'!$B$234="Да",'19_Расчет_аналитики'!BJ4474*'01_Вводные'!$B$14,0)</f>
        <v/>
      </c>
      <c r="BL4475">
        <f>IF('01_Вводные'!$B$234="Да",'19_Расчет_аналитики'!BK4474*'01_Вводные'!$B$14,0)</f>
        <v/>
      </c>
      <c r="BM4475">
        <f>IF('01_Вводные'!$B$234="Да",'19_Расчет_аналитики'!BL4474*'01_Вводные'!$B$14,0)</f>
        <v/>
      </c>
      <c r="BN4475">
        <f>IF('01_Вводные'!$B$234="Да",'19_Расчет_аналитики'!BM4474*'01_Вводные'!$B$14,0)</f>
        <v/>
      </c>
      <c r="BO4475">
        <f>IF('01_Вводные'!$B$234="Да",'19_Расчет_аналитики'!BN4474*'01_Вводные'!$B$14,0)</f>
        <v/>
      </c>
    </row>
    <row r="4476">
      <c r="B4476">
        <f>'06_Сеть_и_дети'!B73</f>
        <v/>
      </c>
      <c r="C4476">
        <f>'06_Сеть_и_дети'!C73</f>
        <v/>
      </c>
      <c r="D4476">
        <f>'06_Сеть_и_дети'!D73</f>
        <v/>
      </c>
      <c r="E4476">
        <f>'06_Сеть_и_дети'!E73</f>
        <v/>
      </c>
      <c r="F4476">
        <f>'06_Сеть_и_дети'!F73</f>
        <v/>
      </c>
      <c r="G4476">
        <f>'06_Сеть_и_дети'!G73</f>
        <v/>
      </c>
      <c r="H4476">
        <f>'06_Сеть_и_дети'!H73</f>
        <v/>
      </c>
      <c r="I4476">
        <f>'06_Сеть_и_дети'!I73</f>
        <v/>
      </c>
      <c r="J4476">
        <f>'06_Сеть_и_дети'!J73</f>
        <v/>
      </c>
      <c r="K4476">
        <f>'06_Сеть_и_дети'!K73</f>
        <v/>
      </c>
      <c r="L4476">
        <f>'06_Сеть_и_дети'!L73</f>
        <v/>
      </c>
      <c r="M4476">
        <f>'06_Сеть_и_дети'!M73</f>
        <v/>
      </c>
      <c r="N4476">
        <f>'06_Сеть_и_дети'!N73</f>
        <v/>
      </c>
      <c r="O4476">
        <f>'06_Сеть_и_дети'!O73</f>
        <v/>
      </c>
      <c r="P4476">
        <f>'06_Сеть_и_дети'!P73</f>
        <v/>
      </c>
      <c r="Q4476">
        <f>'06_Сеть_и_дети'!Q73</f>
        <v/>
      </c>
      <c r="R4476">
        <f>'06_Сеть_и_дети'!R73</f>
        <v/>
      </c>
      <c r="S4476">
        <f>'06_Сеть_и_дети'!S73</f>
        <v/>
      </c>
      <c r="T4476">
        <f>'06_Сеть_и_дети'!T73</f>
        <v/>
      </c>
      <c r="U4476">
        <f>'06_Сеть_и_дети'!U73</f>
        <v/>
      </c>
      <c r="V4476">
        <f>IF('01_Вводные'!$B$234="Да",'19_Расчет_аналитики'!U4475*'01_Вводные'!$B$14,0)</f>
        <v/>
      </c>
      <c r="W4476">
        <f>IF('01_Вводные'!$B$234="Да",'19_Расчет_аналитики'!V4475*'01_Вводные'!$B$14,0)</f>
        <v/>
      </c>
      <c r="X4476">
        <f>IF('01_Вводные'!$B$234="Да",'19_Расчет_аналитики'!W4475*'01_Вводные'!$B$14,0)</f>
        <v/>
      </c>
      <c r="Y4476">
        <f>IF('01_Вводные'!$B$234="Да",'19_Расчет_аналитики'!X4475*'01_Вводные'!$B$14,0)</f>
        <v/>
      </c>
      <c r="Z4476">
        <f>IF('01_Вводные'!$B$234="Да",'19_Расчет_аналитики'!Y4475*'01_Вводные'!$B$14,0)</f>
        <v/>
      </c>
      <c r="AA4476">
        <f>IF('01_Вводные'!$B$234="Да",'19_Расчет_аналитики'!Z4475*'01_Вводные'!$B$14,0)</f>
        <v/>
      </c>
      <c r="AB4476">
        <f>IF('01_Вводные'!$B$234="Да",'19_Расчет_аналитики'!AA4475*'01_Вводные'!$B$14,0)</f>
        <v/>
      </c>
      <c r="AC4476">
        <f>IF('01_Вводные'!$B$234="Да",'19_Расчет_аналитики'!AB4475*'01_Вводные'!$B$14,0)</f>
        <v/>
      </c>
      <c r="AD4476">
        <f>IF('01_Вводные'!$B$234="Да",'19_Расчет_аналитики'!AC4475*'01_Вводные'!$B$14,0)</f>
        <v/>
      </c>
      <c r="AE4476">
        <f>IF('01_Вводные'!$B$234="Да",'19_Расчет_аналитики'!AD4475*'01_Вводные'!$B$14,0)</f>
        <v/>
      </c>
      <c r="AF4476">
        <f>IF('01_Вводные'!$B$234="Да",'19_Расчет_аналитики'!AE4475*'01_Вводные'!$B$14,0)</f>
        <v/>
      </c>
      <c r="AG4476">
        <f>IF('01_Вводные'!$B$234="Да",'19_Расчет_аналитики'!AF4475*'01_Вводные'!$B$14,0)</f>
        <v/>
      </c>
      <c r="AH4476">
        <f>IF('01_Вводные'!$B$234="Да",'19_Расчет_аналитики'!AG4475*'01_Вводные'!$B$14,0)</f>
        <v/>
      </c>
      <c r="AI4476">
        <f>IF('01_Вводные'!$B$234="Да",'19_Расчет_аналитики'!AH4475*'01_Вводные'!$B$14,0)</f>
        <v/>
      </c>
      <c r="AJ4476">
        <f>IF('01_Вводные'!$B$234="Да",'19_Расчет_аналитики'!AI4475*'01_Вводные'!$B$14,0)</f>
        <v/>
      </c>
      <c r="AK4476">
        <f>IF('01_Вводные'!$B$234="Да",'19_Расчет_аналитики'!AJ4475*'01_Вводные'!$B$14,0)</f>
        <v/>
      </c>
      <c r="AL4476">
        <f>IF('01_Вводные'!$B$234="Да",'19_Расчет_аналитики'!AK4475*'01_Вводные'!$B$14,0)</f>
        <v/>
      </c>
      <c r="AM4476">
        <f>IF('01_Вводные'!$B$234="Да",'19_Расчет_аналитики'!AL4475*'01_Вводные'!$B$14,0)</f>
        <v/>
      </c>
      <c r="AN4476">
        <f>IF('01_Вводные'!$B$234="Да",'19_Расчет_аналитики'!AM4475*'01_Вводные'!$B$14,0)</f>
        <v/>
      </c>
      <c r="AO4476">
        <f>IF('01_Вводные'!$B$234="Да",'19_Расчет_аналитики'!AN4475*'01_Вводные'!$B$14,0)</f>
        <v/>
      </c>
      <c r="AP4476">
        <f>IF('01_Вводные'!$B$234="Да",'19_Расчет_аналитики'!AO4475*'01_Вводные'!$B$14,0)</f>
        <v/>
      </c>
      <c r="AQ4476">
        <f>IF('01_Вводные'!$B$234="Да",'19_Расчет_аналитики'!AP4475*'01_Вводные'!$B$14,0)</f>
        <v/>
      </c>
      <c r="AR4476">
        <f>IF('01_Вводные'!$B$234="Да",'19_Расчет_аналитики'!AQ4475*'01_Вводные'!$B$14,0)</f>
        <v/>
      </c>
      <c r="AS4476">
        <f>IF('01_Вводные'!$B$234="Да",'19_Расчет_аналитики'!AR4475*'01_Вводные'!$B$14,0)</f>
        <v/>
      </c>
      <c r="AT4476">
        <f>IF('01_Вводные'!$B$234="Да",'19_Расчет_аналитики'!AS4475*'01_Вводные'!$B$14,0)</f>
        <v/>
      </c>
      <c r="AU4476">
        <f>IF('01_Вводные'!$B$234="Да",'19_Расчет_аналитики'!AT4475*'01_Вводные'!$B$14,0)</f>
        <v/>
      </c>
      <c r="AV4476">
        <f>IF('01_Вводные'!$B$234="Да",'19_Расчет_аналитики'!AU4475*'01_Вводные'!$B$14,0)</f>
        <v/>
      </c>
      <c r="AW4476">
        <f>IF('01_Вводные'!$B$234="Да",'19_Расчет_аналитики'!AV4475*'01_Вводные'!$B$14,0)</f>
        <v/>
      </c>
      <c r="AX4476">
        <f>IF('01_Вводные'!$B$234="Да",'19_Расчет_аналитики'!AW4475*'01_Вводные'!$B$14,0)</f>
        <v/>
      </c>
      <c r="AY4476">
        <f>IF('01_Вводные'!$B$234="Да",'19_Расчет_аналитики'!AX4475*'01_Вводные'!$B$14,0)</f>
        <v/>
      </c>
      <c r="AZ4476">
        <f>IF('01_Вводные'!$B$234="Да",'19_Расчет_аналитики'!AY4475*'01_Вводные'!$B$14,0)</f>
        <v/>
      </c>
      <c r="BA4476">
        <f>IF('01_Вводные'!$B$234="Да",'19_Расчет_аналитики'!AZ4475*'01_Вводные'!$B$14,0)</f>
        <v/>
      </c>
      <c r="BB4476">
        <f>IF('01_Вводные'!$B$234="Да",'19_Расчет_аналитики'!BA4475*'01_Вводные'!$B$14,0)</f>
        <v/>
      </c>
      <c r="BC4476">
        <f>IF('01_Вводные'!$B$234="Да",'19_Расчет_аналитики'!BB4475*'01_Вводные'!$B$14,0)</f>
        <v/>
      </c>
      <c r="BD4476">
        <f>IF('01_Вводные'!$B$234="Да",'19_Расчет_аналитики'!BC4475*'01_Вводные'!$B$14,0)</f>
        <v/>
      </c>
      <c r="BE4476">
        <f>IF('01_Вводные'!$B$234="Да",'19_Расчет_аналитики'!BD4475*'01_Вводные'!$B$14,0)</f>
        <v/>
      </c>
      <c r="BF4476">
        <f>IF('01_Вводные'!$B$234="Да",'19_Расчет_аналитики'!BE4475*'01_Вводные'!$B$14,0)</f>
        <v/>
      </c>
      <c r="BG4476">
        <f>IF('01_Вводные'!$B$234="Да",'19_Расчет_аналитики'!BF4475*'01_Вводные'!$B$14,0)</f>
        <v/>
      </c>
      <c r="BH4476">
        <f>IF('01_Вводные'!$B$234="Да",'19_Расчет_аналитики'!BG4475*'01_Вводные'!$B$14,0)</f>
        <v/>
      </c>
      <c r="BI4476">
        <f>IF('01_Вводные'!$B$234="Да",'19_Расчет_аналитики'!BH4475*'01_Вводные'!$B$14,0)</f>
        <v/>
      </c>
      <c r="BJ4476">
        <f>IF('01_Вводные'!$B$234="Да",'19_Расчет_аналитики'!BI4475*'01_Вводные'!$B$14,0)</f>
        <v/>
      </c>
      <c r="BK4476">
        <f>IF('01_Вводные'!$B$234="Да",'19_Расчет_аналитики'!BJ4475*'01_Вводные'!$B$14,0)</f>
        <v/>
      </c>
      <c r="BL4476">
        <f>IF('01_Вводные'!$B$234="Да",'19_Расчет_аналитики'!BK4475*'01_Вводные'!$B$14,0)</f>
        <v/>
      </c>
      <c r="BM4476">
        <f>IF('01_Вводные'!$B$234="Да",'19_Расчет_аналитики'!BL4475*'01_Вводные'!$B$14,0)</f>
        <v/>
      </c>
      <c r="BN4476">
        <f>IF('01_Вводные'!$B$234="Да",'19_Расчет_аналитики'!BM4475*'01_Вводные'!$B$14,0)</f>
        <v/>
      </c>
      <c r="BO4476">
        <f>IF('01_Вводные'!$B$234="Да",'19_Расчет_аналитики'!BN4475*'01_Вводные'!$B$14,0)</f>
        <v/>
      </c>
    </row>
    <row r="4477">
      <c r="B4477">
        <f>'06_Сеть_и_дети'!B74</f>
        <v/>
      </c>
      <c r="C4477">
        <f>'06_Сеть_и_дети'!C74</f>
        <v/>
      </c>
      <c r="D4477">
        <f>'06_Сеть_и_дети'!D74</f>
        <v/>
      </c>
      <c r="E4477">
        <f>'06_Сеть_и_дети'!E74</f>
        <v/>
      </c>
      <c r="F4477">
        <f>'06_Сеть_и_дети'!F74</f>
        <v/>
      </c>
      <c r="G4477">
        <f>'06_Сеть_и_дети'!G74</f>
        <v/>
      </c>
      <c r="H4477">
        <f>'06_Сеть_и_дети'!H74</f>
        <v/>
      </c>
      <c r="I4477">
        <f>'06_Сеть_и_дети'!I74</f>
        <v/>
      </c>
      <c r="J4477">
        <f>'06_Сеть_и_дети'!J74</f>
        <v/>
      </c>
      <c r="K4477">
        <f>'06_Сеть_и_дети'!K74</f>
        <v/>
      </c>
      <c r="L4477">
        <f>'06_Сеть_и_дети'!L74</f>
        <v/>
      </c>
      <c r="M4477">
        <f>'06_Сеть_и_дети'!M74</f>
        <v/>
      </c>
      <c r="N4477">
        <f>'06_Сеть_и_дети'!N74</f>
        <v/>
      </c>
      <c r="O4477">
        <f>'06_Сеть_и_дети'!O74</f>
        <v/>
      </c>
      <c r="P4477">
        <f>'06_Сеть_и_дети'!P74</f>
        <v/>
      </c>
      <c r="Q4477">
        <f>'06_Сеть_и_дети'!Q74</f>
        <v/>
      </c>
      <c r="R4477">
        <f>'06_Сеть_и_дети'!R74</f>
        <v/>
      </c>
      <c r="S4477">
        <f>'06_Сеть_и_дети'!S74</f>
        <v/>
      </c>
      <c r="T4477">
        <f>'06_Сеть_и_дети'!T74</f>
        <v/>
      </c>
      <c r="U4477">
        <f>'06_Сеть_и_дети'!U74</f>
        <v/>
      </c>
      <c r="V4477">
        <f>'06_Сеть_и_дети'!V74</f>
        <v/>
      </c>
      <c r="W4477">
        <f>IF('01_Вводные'!$B$234="Да",'19_Расчет_аналитики'!V4476*'01_Вводные'!$B$14,0)</f>
        <v/>
      </c>
      <c r="X4477">
        <f>IF('01_Вводные'!$B$234="Да",'19_Расчет_аналитики'!W4476*'01_Вводные'!$B$14,0)</f>
        <v/>
      </c>
      <c r="Y4477">
        <f>IF('01_Вводные'!$B$234="Да",'19_Расчет_аналитики'!X4476*'01_Вводные'!$B$14,0)</f>
        <v/>
      </c>
      <c r="Z4477">
        <f>IF('01_Вводные'!$B$234="Да",'19_Расчет_аналитики'!Y4476*'01_Вводные'!$B$14,0)</f>
        <v/>
      </c>
      <c r="AA4477">
        <f>IF('01_Вводные'!$B$234="Да",'19_Расчет_аналитики'!Z4476*'01_Вводные'!$B$14,0)</f>
        <v/>
      </c>
      <c r="AB4477">
        <f>IF('01_Вводные'!$B$234="Да",'19_Расчет_аналитики'!AA4476*'01_Вводные'!$B$14,0)</f>
        <v/>
      </c>
      <c r="AC4477">
        <f>IF('01_Вводные'!$B$234="Да",'19_Расчет_аналитики'!AB4476*'01_Вводные'!$B$14,0)</f>
        <v/>
      </c>
      <c r="AD4477">
        <f>IF('01_Вводные'!$B$234="Да",'19_Расчет_аналитики'!AC4476*'01_Вводные'!$B$14,0)</f>
        <v/>
      </c>
      <c r="AE4477">
        <f>IF('01_Вводные'!$B$234="Да",'19_Расчет_аналитики'!AD4476*'01_Вводные'!$B$14,0)</f>
        <v/>
      </c>
      <c r="AF4477">
        <f>IF('01_Вводные'!$B$234="Да",'19_Расчет_аналитики'!AE4476*'01_Вводные'!$B$14,0)</f>
        <v/>
      </c>
      <c r="AG4477">
        <f>IF('01_Вводные'!$B$234="Да",'19_Расчет_аналитики'!AF4476*'01_Вводные'!$B$14,0)</f>
        <v/>
      </c>
      <c r="AH4477">
        <f>IF('01_Вводные'!$B$234="Да",'19_Расчет_аналитики'!AG4476*'01_Вводные'!$B$14,0)</f>
        <v/>
      </c>
      <c r="AI4477">
        <f>IF('01_Вводные'!$B$234="Да",'19_Расчет_аналитики'!AH4476*'01_Вводные'!$B$14,0)</f>
        <v/>
      </c>
      <c r="AJ4477">
        <f>IF('01_Вводные'!$B$234="Да",'19_Расчет_аналитики'!AI4476*'01_Вводные'!$B$14,0)</f>
        <v/>
      </c>
      <c r="AK4477">
        <f>IF('01_Вводные'!$B$234="Да",'19_Расчет_аналитики'!AJ4476*'01_Вводные'!$B$14,0)</f>
        <v/>
      </c>
      <c r="AL4477">
        <f>IF('01_Вводные'!$B$234="Да",'19_Расчет_аналитики'!AK4476*'01_Вводные'!$B$14,0)</f>
        <v/>
      </c>
      <c r="AM4477">
        <f>IF('01_Вводные'!$B$234="Да",'19_Расчет_аналитики'!AL4476*'01_Вводные'!$B$14,0)</f>
        <v/>
      </c>
      <c r="AN4477">
        <f>IF('01_Вводные'!$B$234="Да",'19_Расчет_аналитики'!AM4476*'01_Вводные'!$B$14,0)</f>
        <v/>
      </c>
      <c r="AO4477">
        <f>IF('01_Вводные'!$B$234="Да",'19_Расчет_аналитики'!AN4476*'01_Вводные'!$B$14,0)</f>
        <v/>
      </c>
      <c r="AP4477">
        <f>IF('01_Вводные'!$B$234="Да",'19_Расчет_аналитики'!AO4476*'01_Вводные'!$B$14,0)</f>
        <v/>
      </c>
      <c r="AQ4477">
        <f>IF('01_Вводные'!$B$234="Да",'19_Расчет_аналитики'!AP4476*'01_Вводные'!$B$14,0)</f>
        <v/>
      </c>
      <c r="AR4477">
        <f>IF('01_Вводные'!$B$234="Да",'19_Расчет_аналитики'!AQ4476*'01_Вводные'!$B$14,0)</f>
        <v/>
      </c>
      <c r="AS4477">
        <f>IF('01_Вводные'!$B$234="Да",'19_Расчет_аналитики'!AR4476*'01_Вводные'!$B$14,0)</f>
        <v/>
      </c>
      <c r="AT4477">
        <f>IF('01_Вводные'!$B$234="Да",'19_Расчет_аналитики'!AS4476*'01_Вводные'!$B$14,0)</f>
        <v/>
      </c>
      <c r="AU4477">
        <f>IF('01_Вводные'!$B$234="Да",'19_Расчет_аналитики'!AT4476*'01_Вводные'!$B$14,0)</f>
        <v/>
      </c>
      <c r="AV4477">
        <f>IF('01_Вводные'!$B$234="Да",'19_Расчет_аналитики'!AU4476*'01_Вводные'!$B$14,0)</f>
        <v/>
      </c>
      <c r="AW4477">
        <f>IF('01_Вводные'!$B$234="Да",'19_Расчет_аналитики'!AV4476*'01_Вводные'!$B$14,0)</f>
        <v/>
      </c>
      <c r="AX4477">
        <f>IF('01_Вводные'!$B$234="Да",'19_Расчет_аналитики'!AW4476*'01_Вводные'!$B$14,0)</f>
        <v/>
      </c>
      <c r="AY4477">
        <f>IF('01_Вводные'!$B$234="Да",'19_Расчет_аналитики'!AX4476*'01_Вводные'!$B$14,0)</f>
        <v/>
      </c>
      <c r="AZ4477">
        <f>IF('01_Вводные'!$B$234="Да",'19_Расчет_аналитики'!AY4476*'01_Вводные'!$B$14,0)</f>
        <v/>
      </c>
      <c r="BA4477">
        <f>IF('01_Вводные'!$B$234="Да",'19_Расчет_аналитики'!AZ4476*'01_Вводные'!$B$14,0)</f>
        <v/>
      </c>
      <c r="BB4477">
        <f>IF('01_Вводные'!$B$234="Да",'19_Расчет_аналитики'!BA4476*'01_Вводные'!$B$14,0)</f>
        <v/>
      </c>
      <c r="BC4477">
        <f>IF('01_Вводные'!$B$234="Да",'19_Расчет_аналитики'!BB4476*'01_Вводные'!$B$14,0)</f>
        <v/>
      </c>
      <c r="BD4477">
        <f>IF('01_Вводные'!$B$234="Да",'19_Расчет_аналитики'!BC4476*'01_Вводные'!$B$14,0)</f>
        <v/>
      </c>
      <c r="BE4477">
        <f>IF('01_Вводные'!$B$234="Да",'19_Расчет_аналитики'!BD4476*'01_Вводные'!$B$14,0)</f>
        <v/>
      </c>
      <c r="BF4477">
        <f>IF('01_Вводные'!$B$234="Да",'19_Расчет_аналитики'!BE4476*'01_Вводные'!$B$14,0)</f>
        <v/>
      </c>
      <c r="BG4477">
        <f>IF('01_Вводные'!$B$234="Да",'19_Расчет_аналитики'!BF4476*'01_Вводные'!$B$14,0)</f>
        <v/>
      </c>
      <c r="BH4477">
        <f>IF('01_Вводные'!$B$234="Да",'19_Расчет_аналитики'!BG4476*'01_Вводные'!$B$14,0)</f>
        <v/>
      </c>
      <c r="BI4477">
        <f>IF('01_Вводные'!$B$234="Да",'19_Расчет_аналитики'!BH4476*'01_Вводные'!$B$14,0)</f>
        <v/>
      </c>
      <c r="BJ4477">
        <f>IF('01_Вводные'!$B$234="Да",'19_Расчет_аналитики'!BI4476*'01_Вводные'!$B$14,0)</f>
        <v/>
      </c>
      <c r="BK4477">
        <f>IF('01_Вводные'!$B$234="Да",'19_Расчет_аналитики'!BJ4476*'01_Вводные'!$B$14,0)</f>
        <v/>
      </c>
      <c r="BL4477">
        <f>IF('01_Вводные'!$B$234="Да",'19_Расчет_аналитики'!BK4476*'01_Вводные'!$B$14,0)</f>
        <v/>
      </c>
      <c r="BM4477">
        <f>IF('01_Вводные'!$B$234="Да",'19_Расчет_аналитики'!BL4476*'01_Вводные'!$B$14,0)</f>
        <v/>
      </c>
      <c r="BN4477">
        <f>IF('01_Вводные'!$B$234="Да",'19_Расчет_аналитики'!BM4476*'01_Вводные'!$B$14,0)</f>
        <v/>
      </c>
      <c r="BO4477">
        <f>IF('01_Вводные'!$B$234="Да",'19_Расчет_аналитики'!BN4476*'01_Вводные'!$B$14,0)</f>
        <v/>
      </c>
    </row>
    <row r="4478">
      <c r="B4478">
        <f>'06_Сеть_и_дети'!B75</f>
        <v/>
      </c>
      <c r="C4478">
        <f>'06_Сеть_и_дети'!C75</f>
        <v/>
      </c>
      <c r="D4478">
        <f>'06_Сеть_и_дети'!D75</f>
        <v/>
      </c>
      <c r="E4478">
        <f>'06_Сеть_и_дети'!E75</f>
        <v/>
      </c>
      <c r="F4478">
        <f>'06_Сеть_и_дети'!F75</f>
        <v/>
      </c>
      <c r="G4478">
        <f>'06_Сеть_и_дети'!G75</f>
        <v/>
      </c>
      <c r="H4478">
        <f>'06_Сеть_и_дети'!H75</f>
        <v/>
      </c>
      <c r="I4478">
        <f>'06_Сеть_и_дети'!I75</f>
        <v/>
      </c>
      <c r="J4478">
        <f>'06_Сеть_и_дети'!J75</f>
        <v/>
      </c>
      <c r="K4478">
        <f>'06_Сеть_и_дети'!K75</f>
        <v/>
      </c>
      <c r="L4478">
        <f>'06_Сеть_и_дети'!L75</f>
        <v/>
      </c>
      <c r="M4478">
        <f>'06_Сеть_и_дети'!M75</f>
        <v/>
      </c>
      <c r="N4478">
        <f>'06_Сеть_и_дети'!N75</f>
        <v/>
      </c>
      <c r="O4478">
        <f>'06_Сеть_и_дети'!O75</f>
        <v/>
      </c>
      <c r="P4478">
        <f>'06_Сеть_и_дети'!P75</f>
        <v/>
      </c>
      <c r="Q4478">
        <f>'06_Сеть_и_дети'!Q75</f>
        <v/>
      </c>
      <c r="R4478">
        <f>'06_Сеть_и_дети'!R75</f>
        <v/>
      </c>
      <c r="S4478">
        <f>'06_Сеть_и_дети'!S75</f>
        <v/>
      </c>
      <c r="T4478">
        <f>'06_Сеть_и_дети'!T75</f>
        <v/>
      </c>
      <c r="U4478">
        <f>'06_Сеть_и_дети'!U75</f>
        <v/>
      </c>
      <c r="V4478">
        <f>'06_Сеть_и_дети'!V75</f>
        <v/>
      </c>
      <c r="W4478">
        <f>'06_Сеть_и_дети'!W75</f>
        <v/>
      </c>
      <c r="X4478">
        <f>IF('01_Вводные'!$B$234="Да",'19_Расчет_аналитики'!W4477*'01_Вводные'!$B$14,0)</f>
        <v/>
      </c>
      <c r="Y4478">
        <f>IF('01_Вводные'!$B$234="Да",'19_Расчет_аналитики'!X4477*'01_Вводные'!$B$14,0)</f>
        <v/>
      </c>
      <c r="Z4478">
        <f>IF('01_Вводные'!$B$234="Да",'19_Расчет_аналитики'!Y4477*'01_Вводные'!$B$14,0)</f>
        <v/>
      </c>
      <c r="AA4478">
        <f>IF('01_Вводные'!$B$234="Да",'19_Расчет_аналитики'!Z4477*'01_Вводные'!$B$14,0)</f>
        <v/>
      </c>
      <c r="AB4478">
        <f>IF('01_Вводные'!$B$234="Да",'19_Расчет_аналитики'!AA4477*'01_Вводные'!$B$14,0)</f>
        <v/>
      </c>
      <c r="AC4478">
        <f>IF('01_Вводные'!$B$234="Да",'19_Расчет_аналитики'!AB4477*'01_Вводные'!$B$14,0)</f>
        <v/>
      </c>
      <c r="AD4478">
        <f>IF('01_Вводные'!$B$234="Да",'19_Расчет_аналитики'!AC4477*'01_Вводные'!$B$14,0)</f>
        <v/>
      </c>
      <c r="AE4478">
        <f>IF('01_Вводные'!$B$234="Да",'19_Расчет_аналитики'!AD4477*'01_Вводные'!$B$14,0)</f>
        <v/>
      </c>
      <c r="AF4478">
        <f>IF('01_Вводные'!$B$234="Да",'19_Расчет_аналитики'!AE4477*'01_Вводные'!$B$14,0)</f>
        <v/>
      </c>
      <c r="AG4478">
        <f>IF('01_Вводные'!$B$234="Да",'19_Расчет_аналитики'!AF4477*'01_Вводные'!$B$14,0)</f>
        <v/>
      </c>
      <c r="AH4478">
        <f>IF('01_Вводные'!$B$234="Да",'19_Расчет_аналитики'!AG4477*'01_Вводные'!$B$14,0)</f>
        <v/>
      </c>
      <c r="AI4478">
        <f>IF('01_Вводные'!$B$234="Да",'19_Расчет_аналитики'!AH4477*'01_Вводные'!$B$14,0)</f>
        <v/>
      </c>
      <c r="AJ4478">
        <f>IF('01_Вводные'!$B$234="Да",'19_Расчет_аналитики'!AI4477*'01_Вводные'!$B$14,0)</f>
        <v/>
      </c>
      <c r="AK4478">
        <f>IF('01_Вводные'!$B$234="Да",'19_Расчет_аналитики'!AJ4477*'01_Вводные'!$B$14,0)</f>
        <v/>
      </c>
      <c r="AL4478">
        <f>IF('01_Вводные'!$B$234="Да",'19_Расчет_аналитики'!AK4477*'01_Вводные'!$B$14,0)</f>
        <v/>
      </c>
      <c r="AM4478">
        <f>IF('01_Вводные'!$B$234="Да",'19_Расчет_аналитики'!AL4477*'01_Вводные'!$B$14,0)</f>
        <v/>
      </c>
      <c r="AN4478">
        <f>IF('01_Вводные'!$B$234="Да",'19_Расчет_аналитики'!AM4477*'01_Вводные'!$B$14,0)</f>
        <v/>
      </c>
      <c r="AO4478">
        <f>IF('01_Вводные'!$B$234="Да",'19_Расчет_аналитики'!AN4477*'01_Вводные'!$B$14,0)</f>
        <v/>
      </c>
      <c r="AP4478">
        <f>IF('01_Вводные'!$B$234="Да",'19_Расчет_аналитики'!AO4477*'01_Вводные'!$B$14,0)</f>
        <v/>
      </c>
      <c r="AQ4478">
        <f>IF('01_Вводные'!$B$234="Да",'19_Расчет_аналитики'!AP4477*'01_Вводные'!$B$14,0)</f>
        <v/>
      </c>
      <c r="AR4478">
        <f>IF('01_Вводные'!$B$234="Да",'19_Расчет_аналитики'!AQ4477*'01_Вводные'!$B$14,0)</f>
        <v/>
      </c>
      <c r="AS4478">
        <f>IF('01_Вводные'!$B$234="Да",'19_Расчет_аналитики'!AR4477*'01_Вводные'!$B$14,0)</f>
        <v/>
      </c>
      <c r="AT4478">
        <f>IF('01_Вводные'!$B$234="Да",'19_Расчет_аналитики'!AS4477*'01_Вводные'!$B$14,0)</f>
        <v/>
      </c>
      <c r="AU4478">
        <f>IF('01_Вводные'!$B$234="Да",'19_Расчет_аналитики'!AT4477*'01_Вводные'!$B$14,0)</f>
        <v/>
      </c>
      <c r="AV4478">
        <f>IF('01_Вводные'!$B$234="Да",'19_Расчет_аналитики'!AU4477*'01_Вводные'!$B$14,0)</f>
        <v/>
      </c>
      <c r="AW4478">
        <f>IF('01_Вводные'!$B$234="Да",'19_Расчет_аналитики'!AV4477*'01_Вводные'!$B$14,0)</f>
        <v/>
      </c>
      <c r="AX4478">
        <f>IF('01_Вводные'!$B$234="Да",'19_Расчет_аналитики'!AW4477*'01_Вводные'!$B$14,0)</f>
        <v/>
      </c>
      <c r="AY4478">
        <f>IF('01_Вводные'!$B$234="Да",'19_Расчет_аналитики'!AX4477*'01_Вводные'!$B$14,0)</f>
        <v/>
      </c>
      <c r="AZ4478">
        <f>IF('01_Вводные'!$B$234="Да",'19_Расчет_аналитики'!AY4477*'01_Вводные'!$B$14,0)</f>
        <v/>
      </c>
      <c r="BA4478">
        <f>IF('01_Вводные'!$B$234="Да",'19_Расчет_аналитики'!AZ4477*'01_Вводные'!$B$14,0)</f>
        <v/>
      </c>
      <c r="BB4478">
        <f>IF('01_Вводные'!$B$234="Да",'19_Расчет_аналитики'!BA4477*'01_Вводные'!$B$14,0)</f>
        <v/>
      </c>
      <c r="BC4478">
        <f>IF('01_Вводные'!$B$234="Да",'19_Расчет_аналитики'!BB4477*'01_Вводные'!$B$14,0)</f>
        <v/>
      </c>
      <c r="BD4478">
        <f>IF('01_Вводные'!$B$234="Да",'19_Расчет_аналитики'!BC4477*'01_Вводные'!$B$14,0)</f>
        <v/>
      </c>
      <c r="BE4478">
        <f>IF('01_Вводные'!$B$234="Да",'19_Расчет_аналитики'!BD4477*'01_Вводные'!$B$14,0)</f>
        <v/>
      </c>
      <c r="BF4478">
        <f>IF('01_Вводные'!$B$234="Да",'19_Расчет_аналитики'!BE4477*'01_Вводные'!$B$14,0)</f>
        <v/>
      </c>
      <c r="BG4478">
        <f>IF('01_Вводные'!$B$234="Да",'19_Расчет_аналитики'!BF4477*'01_Вводные'!$B$14,0)</f>
        <v/>
      </c>
      <c r="BH4478">
        <f>IF('01_Вводные'!$B$234="Да",'19_Расчет_аналитики'!BG4477*'01_Вводные'!$B$14,0)</f>
        <v/>
      </c>
      <c r="BI4478">
        <f>IF('01_Вводные'!$B$234="Да",'19_Расчет_аналитики'!BH4477*'01_Вводные'!$B$14,0)</f>
        <v/>
      </c>
      <c r="BJ4478">
        <f>IF('01_Вводные'!$B$234="Да",'19_Расчет_аналитики'!BI4477*'01_Вводные'!$B$14,0)</f>
        <v/>
      </c>
      <c r="BK4478">
        <f>IF('01_Вводные'!$B$234="Да",'19_Расчет_аналитики'!BJ4477*'01_Вводные'!$B$14,0)</f>
        <v/>
      </c>
      <c r="BL4478">
        <f>IF('01_Вводные'!$B$234="Да",'19_Расчет_аналитики'!BK4477*'01_Вводные'!$B$14,0)</f>
        <v/>
      </c>
      <c r="BM4478">
        <f>IF('01_Вводные'!$B$234="Да",'19_Расчет_аналитики'!BL4477*'01_Вводные'!$B$14,0)</f>
        <v/>
      </c>
      <c r="BN4478">
        <f>IF('01_Вводные'!$B$234="Да",'19_Расчет_аналитики'!BM4477*'01_Вводные'!$B$14,0)</f>
        <v/>
      </c>
      <c r="BO4478">
        <f>IF('01_Вводные'!$B$234="Да",'19_Расчет_аналитики'!BN4477*'01_Вводные'!$B$14,0)</f>
        <v/>
      </c>
    </row>
    <row r="4479">
      <c r="B4479">
        <f>'06_Сеть_и_дети'!B76</f>
        <v/>
      </c>
      <c r="C4479">
        <f>'06_Сеть_и_дети'!C76</f>
        <v/>
      </c>
      <c r="D4479">
        <f>'06_Сеть_и_дети'!D76</f>
        <v/>
      </c>
      <c r="E4479">
        <f>'06_Сеть_и_дети'!E76</f>
        <v/>
      </c>
      <c r="F4479">
        <f>'06_Сеть_и_дети'!F76</f>
        <v/>
      </c>
      <c r="G4479">
        <f>'06_Сеть_и_дети'!G76</f>
        <v/>
      </c>
      <c r="H4479">
        <f>'06_Сеть_и_дети'!H76</f>
        <v/>
      </c>
      <c r="I4479">
        <f>'06_Сеть_и_дети'!I76</f>
        <v/>
      </c>
      <c r="J4479">
        <f>'06_Сеть_и_дети'!J76</f>
        <v/>
      </c>
      <c r="K4479">
        <f>'06_Сеть_и_дети'!K76</f>
        <v/>
      </c>
      <c r="L4479">
        <f>'06_Сеть_и_дети'!L76</f>
        <v/>
      </c>
      <c r="M4479">
        <f>'06_Сеть_и_дети'!M76</f>
        <v/>
      </c>
      <c r="N4479">
        <f>'06_Сеть_и_дети'!N76</f>
        <v/>
      </c>
      <c r="O4479">
        <f>'06_Сеть_и_дети'!O76</f>
        <v/>
      </c>
      <c r="P4479">
        <f>'06_Сеть_и_дети'!P76</f>
        <v/>
      </c>
      <c r="Q4479">
        <f>'06_Сеть_и_дети'!Q76</f>
        <v/>
      </c>
      <c r="R4479">
        <f>'06_Сеть_и_дети'!R76</f>
        <v/>
      </c>
      <c r="S4479">
        <f>'06_Сеть_и_дети'!S76</f>
        <v/>
      </c>
      <c r="T4479">
        <f>'06_Сеть_и_дети'!T76</f>
        <v/>
      </c>
      <c r="U4479">
        <f>'06_Сеть_и_дети'!U76</f>
        <v/>
      </c>
      <c r="V4479">
        <f>'06_Сеть_и_дети'!V76</f>
        <v/>
      </c>
      <c r="W4479">
        <f>'06_Сеть_и_дети'!W76</f>
        <v/>
      </c>
      <c r="X4479">
        <f>'06_Сеть_и_дети'!X76</f>
        <v/>
      </c>
      <c r="Y4479">
        <f>IF('01_Вводные'!$B$234="Да",'19_Расчет_аналитики'!X4478*'01_Вводные'!$B$14,0)</f>
        <v/>
      </c>
      <c r="Z4479">
        <f>IF('01_Вводные'!$B$234="Да",'19_Расчет_аналитики'!Y4478*'01_Вводные'!$B$14,0)</f>
        <v/>
      </c>
      <c r="AA4479">
        <f>IF('01_Вводные'!$B$234="Да",'19_Расчет_аналитики'!Z4478*'01_Вводные'!$B$14,0)</f>
        <v/>
      </c>
      <c r="AB4479">
        <f>IF('01_Вводные'!$B$234="Да",'19_Расчет_аналитики'!AA4478*'01_Вводные'!$B$14,0)</f>
        <v/>
      </c>
      <c r="AC4479">
        <f>IF('01_Вводные'!$B$234="Да",'19_Расчет_аналитики'!AB4478*'01_Вводные'!$B$14,0)</f>
        <v/>
      </c>
      <c r="AD4479">
        <f>IF('01_Вводные'!$B$234="Да",'19_Расчет_аналитики'!AC4478*'01_Вводные'!$B$14,0)</f>
        <v/>
      </c>
      <c r="AE4479">
        <f>IF('01_Вводные'!$B$234="Да",'19_Расчет_аналитики'!AD4478*'01_Вводные'!$B$14,0)</f>
        <v/>
      </c>
      <c r="AF4479">
        <f>IF('01_Вводные'!$B$234="Да",'19_Расчет_аналитики'!AE4478*'01_Вводные'!$B$14,0)</f>
        <v/>
      </c>
      <c r="AG4479">
        <f>IF('01_Вводные'!$B$234="Да",'19_Расчет_аналитики'!AF4478*'01_Вводные'!$B$14,0)</f>
        <v/>
      </c>
      <c r="AH4479">
        <f>IF('01_Вводные'!$B$234="Да",'19_Расчет_аналитики'!AG4478*'01_Вводные'!$B$14,0)</f>
        <v/>
      </c>
      <c r="AI4479">
        <f>IF('01_Вводные'!$B$234="Да",'19_Расчет_аналитики'!AH4478*'01_Вводные'!$B$14,0)</f>
        <v/>
      </c>
      <c r="AJ4479">
        <f>IF('01_Вводные'!$B$234="Да",'19_Расчет_аналитики'!AI4478*'01_Вводные'!$B$14,0)</f>
        <v/>
      </c>
      <c r="AK4479">
        <f>IF('01_Вводные'!$B$234="Да",'19_Расчет_аналитики'!AJ4478*'01_Вводные'!$B$14,0)</f>
        <v/>
      </c>
      <c r="AL4479">
        <f>IF('01_Вводные'!$B$234="Да",'19_Расчет_аналитики'!AK4478*'01_Вводные'!$B$14,0)</f>
        <v/>
      </c>
      <c r="AM4479">
        <f>IF('01_Вводные'!$B$234="Да",'19_Расчет_аналитики'!AL4478*'01_Вводные'!$B$14,0)</f>
        <v/>
      </c>
      <c r="AN4479">
        <f>IF('01_Вводные'!$B$234="Да",'19_Расчет_аналитики'!AM4478*'01_Вводные'!$B$14,0)</f>
        <v/>
      </c>
      <c r="AO4479">
        <f>IF('01_Вводные'!$B$234="Да",'19_Расчет_аналитики'!AN4478*'01_Вводные'!$B$14,0)</f>
        <v/>
      </c>
      <c r="AP4479">
        <f>IF('01_Вводные'!$B$234="Да",'19_Расчет_аналитики'!AO4478*'01_Вводные'!$B$14,0)</f>
        <v/>
      </c>
      <c r="AQ4479">
        <f>IF('01_Вводные'!$B$234="Да",'19_Расчет_аналитики'!AP4478*'01_Вводные'!$B$14,0)</f>
        <v/>
      </c>
      <c r="AR4479">
        <f>IF('01_Вводные'!$B$234="Да",'19_Расчет_аналитики'!AQ4478*'01_Вводные'!$B$14,0)</f>
        <v/>
      </c>
      <c r="AS4479">
        <f>IF('01_Вводные'!$B$234="Да",'19_Расчет_аналитики'!AR4478*'01_Вводные'!$B$14,0)</f>
        <v/>
      </c>
      <c r="AT4479">
        <f>IF('01_Вводные'!$B$234="Да",'19_Расчет_аналитики'!AS4478*'01_Вводные'!$B$14,0)</f>
        <v/>
      </c>
      <c r="AU4479">
        <f>IF('01_Вводные'!$B$234="Да",'19_Расчет_аналитики'!AT4478*'01_Вводные'!$B$14,0)</f>
        <v/>
      </c>
      <c r="AV4479">
        <f>IF('01_Вводные'!$B$234="Да",'19_Расчет_аналитики'!AU4478*'01_Вводные'!$B$14,0)</f>
        <v/>
      </c>
      <c r="AW4479">
        <f>IF('01_Вводные'!$B$234="Да",'19_Расчет_аналитики'!AV4478*'01_Вводные'!$B$14,0)</f>
        <v/>
      </c>
      <c r="AX4479">
        <f>IF('01_Вводные'!$B$234="Да",'19_Расчет_аналитики'!AW4478*'01_Вводные'!$B$14,0)</f>
        <v/>
      </c>
      <c r="AY4479">
        <f>IF('01_Вводные'!$B$234="Да",'19_Расчет_аналитики'!AX4478*'01_Вводные'!$B$14,0)</f>
        <v/>
      </c>
      <c r="AZ4479">
        <f>IF('01_Вводные'!$B$234="Да",'19_Расчет_аналитики'!AY4478*'01_Вводные'!$B$14,0)</f>
        <v/>
      </c>
      <c r="BA4479">
        <f>IF('01_Вводные'!$B$234="Да",'19_Расчет_аналитики'!AZ4478*'01_Вводные'!$B$14,0)</f>
        <v/>
      </c>
      <c r="BB4479">
        <f>IF('01_Вводные'!$B$234="Да",'19_Расчет_аналитики'!BA4478*'01_Вводные'!$B$14,0)</f>
        <v/>
      </c>
      <c r="BC4479">
        <f>IF('01_Вводные'!$B$234="Да",'19_Расчет_аналитики'!BB4478*'01_Вводные'!$B$14,0)</f>
        <v/>
      </c>
      <c r="BD4479">
        <f>IF('01_Вводные'!$B$234="Да",'19_Расчет_аналитики'!BC4478*'01_Вводные'!$B$14,0)</f>
        <v/>
      </c>
      <c r="BE4479">
        <f>IF('01_Вводные'!$B$234="Да",'19_Расчет_аналитики'!BD4478*'01_Вводные'!$B$14,0)</f>
        <v/>
      </c>
      <c r="BF4479">
        <f>IF('01_Вводные'!$B$234="Да",'19_Расчет_аналитики'!BE4478*'01_Вводные'!$B$14,0)</f>
        <v/>
      </c>
      <c r="BG4479">
        <f>IF('01_Вводные'!$B$234="Да",'19_Расчет_аналитики'!BF4478*'01_Вводные'!$B$14,0)</f>
        <v/>
      </c>
      <c r="BH4479">
        <f>IF('01_Вводные'!$B$234="Да",'19_Расчет_аналитики'!BG4478*'01_Вводные'!$B$14,0)</f>
        <v/>
      </c>
      <c r="BI4479">
        <f>IF('01_Вводные'!$B$234="Да",'19_Расчет_аналитики'!BH4478*'01_Вводные'!$B$14,0)</f>
        <v/>
      </c>
      <c r="BJ4479">
        <f>IF('01_Вводные'!$B$234="Да",'19_Расчет_аналитики'!BI4478*'01_Вводные'!$B$14,0)</f>
        <v/>
      </c>
      <c r="BK4479">
        <f>IF('01_Вводные'!$B$234="Да",'19_Расчет_аналитики'!BJ4478*'01_Вводные'!$B$14,0)</f>
        <v/>
      </c>
      <c r="BL4479">
        <f>IF('01_Вводные'!$B$234="Да",'19_Расчет_аналитики'!BK4478*'01_Вводные'!$B$14,0)</f>
        <v/>
      </c>
      <c r="BM4479">
        <f>IF('01_Вводные'!$B$234="Да",'19_Расчет_аналитики'!BL4478*'01_Вводные'!$B$14,0)</f>
        <v/>
      </c>
      <c r="BN4479">
        <f>IF('01_Вводные'!$B$234="Да",'19_Расчет_аналитики'!BM4478*'01_Вводные'!$B$14,0)</f>
        <v/>
      </c>
      <c r="BO4479">
        <f>IF('01_Вводные'!$B$234="Да",'19_Расчет_аналитики'!BN4478*'01_Вводные'!$B$14,0)</f>
        <v/>
      </c>
    </row>
    <row r="4480">
      <c r="B4480">
        <f>'06_Сеть_и_дети'!B77</f>
        <v/>
      </c>
      <c r="C4480">
        <f>'06_Сеть_и_дети'!C77</f>
        <v/>
      </c>
      <c r="D4480">
        <f>'06_Сеть_и_дети'!D77</f>
        <v/>
      </c>
      <c r="E4480">
        <f>'06_Сеть_и_дети'!E77</f>
        <v/>
      </c>
      <c r="F4480">
        <f>'06_Сеть_и_дети'!F77</f>
        <v/>
      </c>
      <c r="G4480">
        <f>'06_Сеть_и_дети'!G77</f>
        <v/>
      </c>
      <c r="H4480">
        <f>'06_Сеть_и_дети'!H77</f>
        <v/>
      </c>
      <c r="I4480">
        <f>'06_Сеть_и_дети'!I77</f>
        <v/>
      </c>
      <c r="J4480">
        <f>'06_Сеть_и_дети'!J77</f>
        <v/>
      </c>
      <c r="K4480">
        <f>'06_Сеть_и_дети'!K77</f>
        <v/>
      </c>
      <c r="L4480">
        <f>'06_Сеть_и_дети'!L77</f>
        <v/>
      </c>
      <c r="M4480">
        <f>'06_Сеть_и_дети'!M77</f>
        <v/>
      </c>
      <c r="N4480">
        <f>'06_Сеть_и_дети'!N77</f>
        <v/>
      </c>
      <c r="O4480">
        <f>'06_Сеть_и_дети'!O77</f>
        <v/>
      </c>
      <c r="P4480">
        <f>'06_Сеть_и_дети'!P77</f>
        <v/>
      </c>
      <c r="Q4480">
        <f>'06_Сеть_и_дети'!Q77</f>
        <v/>
      </c>
      <c r="R4480">
        <f>'06_Сеть_и_дети'!R77</f>
        <v/>
      </c>
      <c r="S4480">
        <f>'06_Сеть_и_дети'!S77</f>
        <v/>
      </c>
      <c r="T4480">
        <f>'06_Сеть_и_дети'!T77</f>
        <v/>
      </c>
      <c r="U4480">
        <f>'06_Сеть_и_дети'!U77</f>
        <v/>
      </c>
      <c r="V4480">
        <f>'06_Сеть_и_дети'!V77</f>
        <v/>
      </c>
      <c r="W4480">
        <f>'06_Сеть_и_дети'!W77</f>
        <v/>
      </c>
      <c r="X4480">
        <f>'06_Сеть_и_дети'!X77</f>
        <v/>
      </c>
      <c r="Y4480">
        <f>'06_Сеть_и_дети'!Y77</f>
        <v/>
      </c>
      <c r="Z4480">
        <f>IF('01_Вводные'!$B$234="Да",SUM('19_Расчет_аналитики'!Y4479:Y4480)*'01_Вводные'!$B$14,0)</f>
        <v/>
      </c>
      <c r="AA4480">
        <f>IF('01_Вводные'!$B$234="Да",SUM('19_Расчет_аналитики'!Z4479:Z4480)*'01_Вводные'!$B$14,0)</f>
        <v/>
      </c>
      <c r="AB4480">
        <f>IF('01_Вводные'!$B$234="Да",SUM('19_Расчет_аналитики'!AA4479:AA4480)*'01_Вводные'!$B$14,0)</f>
        <v/>
      </c>
      <c r="AC4480">
        <f>IF('01_Вводные'!$B$234="Да",SUM('19_Расчет_аналитики'!AB4479:AB4480)*'01_Вводные'!$B$14,0)</f>
        <v/>
      </c>
      <c r="AD4480">
        <f>IF('01_Вводные'!$B$234="Да",SUM('19_Расчет_аналитики'!AC4479:AC4480)*'01_Вводные'!$B$14,0)</f>
        <v/>
      </c>
      <c r="AE4480">
        <f>IF('01_Вводные'!$B$234="Да",SUM('19_Расчет_аналитики'!AD4479:AD4480)*'01_Вводные'!$B$14,0)</f>
        <v/>
      </c>
      <c r="AF4480">
        <f>IF('01_Вводные'!$B$234="Да",SUM('19_Расчет_аналитики'!AE4479:AE4480)*'01_Вводные'!$B$14,0)</f>
        <v/>
      </c>
      <c r="AG4480">
        <f>IF('01_Вводные'!$B$234="Да",SUM('19_Расчет_аналитики'!AF4479:AF4480)*'01_Вводные'!$B$14,0)</f>
        <v/>
      </c>
      <c r="AH4480">
        <f>IF('01_Вводные'!$B$234="Да",SUM('19_Расчет_аналитики'!AG4479:AG4480)*'01_Вводные'!$B$14,0)</f>
        <v/>
      </c>
      <c r="AI4480">
        <f>IF('01_Вводные'!$B$234="Да",SUM('19_Расчет_аналитики'!AH4479:AH4480)*'01_Вводные'!$B$14,0)</f>
        <v/>
      </c>
      <c r="AJ4480">
        <f>IF('01_Вводные'!$B$234="Да",SUM('19_Расчет_аналитики'!AI4479:AI4480)*'01_Вводные'!$B$14,0)</f>
        <v/>
      </c>
      <c r="AK4480">
        <f>IF('01_Вводные'!$B$234="Да",SUM('19_Расчет_аналитики'!AJ4479:AJ4480)*'01_Вводные'!$B$14,0)</f>
        <v/>
      </c>
      <c r="AL4480">
        <f>IF('01_Вводные'!$B$234="Да",SUM('19_Расчет_аналитики'!AK4479:AK4480)*'01_Вводные'!$B$14,0)</f>
        <v/>
      </c>
      <c r="AM4480">
        <f>IF('01_Вводные'!$B$234="Да",SUM('19_Расчет_аналитики'!AL4479:AL4480)*'01_Вводные'!$B$14,0)</f>
        <v/>
      </c>
      <c r="AN4480">
        <f>IF('01_Вводные'!$B$234="Да",SUM('19_Расчет_аналитики'!AM4479:AM4480)*'01_Вводные'!$B$14,0)</f>
        <v/>
      </c>
      <c r="AO4480">
        <f>IF('01_Вводные'!$B$234="Да",SUM('19_Расчет_аналитики'!AN4479:AN4480)*'01_Вводные'!$B$14,0)</f>
        <v/>
      </c>
      <c r="AP4480">
        <f>IF('01_Вводные'!$B$234="Да",SUM('19_Расчет_аналитики'!AO4479:AO4480)*'01_Вводные'!$B$14,0)</f>
        <v/>
      </c>
      <c r="AQ4480">
        <f>IF('01_Вводные'!$B$234="Да",SUM('19_Расчет_аналитики'!AP4479:AP4480)*'01_Вводные'!$B$14,0)</f>
        <v/>
      </c>
      <c r="AR4480">
        <f>IF('01_Вводные'!$B$234="Да",SUM('19_Расчет_аналитики'!AQ4479:AQ4480)*'01_Вводные'!$B$14,0)</f>
        <v/>
      </c>
      <c r="AS4480">
        <f>IF('01_Вводные'!$B$234="Да",SUM('19_Расчет_аналитики'!AR4479:AR4480)*'01_Вводные'!$B$14,0)</f>
        <v/>
      </c>
      <c r="AT4480">
        <f>IF('01_Вводные'!$B$234="Да",SUM('19_Расчет_аналитики'!AS4479:AS4480)*'01_Вводные'!$B$14,0)</f>
        <v/>
      </c>
      <c r="AU4480">
        <f>IF('01_Вводные'!$B$234="Да",SUM('19_Расчет_аналитики'!AT4479:AT4480)*'01_Вводные'!$B$14,0)</f>
        <v/>
      </c>
      <c r="AV4480">
        <f>IF('01_Вводные'!$B$234="Да",SUM('19_Расчет_аналитики'!AU4479:AU4480)*'01_Вводные'!$B$14,0)</f>
        <v/>
      </c>
      <c r="AW4480">
        <f>IF('01_Вводные'!$B$234="Да",SUM('19_Расчет_аналитики'!AV4479:AV4480)*'01_Вводные'!$B$14,0)</f>
        <v/>
      </c>
      <c r="AX4480">
        <f>IF('01_Вводные'!$B$234="Да",SUM('19_Расчет_аналитики'!AW4479:AW4480)*'01_Вводные'!$B$14,0)</f>
        <v/>
      </c>
      <c r="AY4480">
        <f>IF('01_Вводные'!$B$234="Да",SUM('19_Расчет_аналитики'!AX4479:AX4480)*'01_Вводные'!$B$14,0)</f>
        <v/>
      </c>
      <c r="AZ4480">
        <f>IF('01_Вводные'!$B$234="Да",SUM('19_Расчет_аналитики'!AY4479:AY4480)*'01_Вводные'!$B$14,0)</f>
        <v/>
      </c>
      <c r="BA4480">
        <f>IF('01_Вводные'!$B$234="Да",SUM('19_Расчет_аналитики'!AZ4479:AZ4480)*'01_Вводные'!$B$14,0)</f>
        <v/>
      </c>
      <c r="BB4480">
        <f>IF('01_Вводные'!$B$234="Да",SUM('19_Расчет_аналитики'!BA4479:BA4480)*'01_Вводные'!$B$14,0)</f>
        <v/>
      </c>
      <c r="BC4480">
        <f>IF('01_Вводные'!$B$234="Да",SUM('19_Расчет_аналитики'!BB4479:BB4480)*'01_Вводные'!$B$14,0)</f>
        <v/>
      </c>
      <c r="BD4480">
        <f>IF('01_Вводные'!$B$234="Да",SUM('19_Расчет_аналитики'!BC4479:BC4480)*'01_Вводные'!$B$14,0)</f>
        <v/>
      </c>
      <c r="BE4480">
        <f>IF('01_Вводные'!$B$234="Да",SUM('19_Расчет_аналитики'!BD4479:BD4480)*'01_Вводные'!$B$14,0)</f>
        <v/>
      </c>
      <c r="BF4480">
        <f>IF('01_Вводные'!$B$234="Да",SUM('19_Расчет_аналитики'!BE4479:BE4480)*'01_Вводные'!$B$14,0)</f>
        <v/>
      </c>
      <c r="BG4480">
        <f>IF('01_Вводные'!$B$234="Да",SUM('19_Расчет_аналитики'!BF4479:BF4480)*'01_Вводные'!$B$14,0)</f>
        <v/>
      </c>
      <c r="BH4480">
        <f>IF('01_Вводные'!$B$234="Да",SUM('19_Расчет_аналитики'!BG4479:BG4480)*'01_Вводные'!$B$14,0)</f>
        <v/>
      </c>
      <c r="BI4480">
        <f>IF('01_Вводные'!$B$234="Да",SUM('19_Расчет_аналитики'!BH4479:BH4480)*'01_Вводные'!$B$14,0)</f>
        <v/>
      </c>
      <c r="BJ4480">
        <f>IF('01_Вводные'!$B$234="Да",SUM('19_Расчет_аналитики'!BI4479:BI4480)*'01_Вводные'!$B$14,0)</f>
        <v/>
      </c>
      <c r="BK4480">
        <f>IF('01_Вводные'!$B$234="Да",SUM('19_Расчет_аналитики'!BJ4479:BJ4480)*'01_Вводные'!$B$14,0)</f>
        <v/>
      </c>
      <c r="BL4480">
        <f>IF('01_Вводные'!$B$234="Да",SUM('19_Расчет_аналитики'!BK4479:BK4480)*'01_Вводные'!$B$14,0)</f>
        <v/>
      </c>
      <c r="BM4480">
        <f>IF('01_Вводные'!$B$234="Да",SUM('19_Расчет_аналитики'!BL4479:BL4480)*'01_Вводные'!$B$14,0)</f>
        <v/>
      </c>
      <c r="BN4480">
        <f>IF('01_Вводные'!$B$234="Да",SUM('19_Расчет_аналитики'!BM4479:BM4480)*'01_Вводные'!$B$14,0)</f>
        <v/>
      </c>
      <c r="BO4480">
        <f>IF('01_Вводные'!$B$234="Да",SUM('19_Расчет_аналитики'!BN4479:BN4480)*'01_Вводные'!$B$14,0)</f>
        <v/>
      </c>
    </row>
    <row r="4481"/>
    <row r="4482"/>
    <row r="4483"/>
    <row r="4484">
      <c r="B4484">
        <f>IF('01_Вводные'!$B$234="Да",'19_Расчет_аналитики'!B4436,0)</f>
        <v/>
      </c>
      <c r="C4484">
        <f>IF('01_Вводные'!$B$234="Да",'19_Расчет_аналитики'!C4436,0)</f>
        <v/>
      </c>
      <c r="D4484">
        <f>IF('01_Вводные'!$B$234="Да",'19_Расчет_аналитики'!D4436,0)</f>
        <v/>
      </c>
      <c r="E4484">
        <f>IF('01_Вводные'!$B$234="Да",'19_Расчет_аналитики'!E4436,0)</f>
        <v/>
      </c>
      <c r="F4484">
        <f>IF('01_Вводные'!$B$234="Да",'19_Расчет_аналитики'!F4436,0)</f>
        <v/>
      </c>
      <c r="G4484">
        <f>IF('01_Вводные'!$B$234="Да",'19_Расчет_аналитики'!G4436,0)</f>
        <v/>
      </c>
      <c r="H4484">
        <f>IF('01_Вводные'!$B$234="Да",'19_Расчет_аналитики'!H4436,0)</f>
        <v/>
      </c>
      <c r="I4484">
        <f>IF('01_Вводные'!$B$234="Да",'19_Расчет_аналитики'!I4436,0)</f>
        <v/>
      </c>
      <c r="J4484">
        <f>IF('01_Вводные'!$B$234="Да",'19_Расчет_аналитики'!J4436,0)</f>
        <v/>
      </c>
      <c r="K4484">
        <f>IF('01_Вводные'!$B$234="Да",'19_Расчет_аналитики'!K4436,0)</f>
        <v/>
      </c>
      <c r="L4484">
        <f>IF('01_Вводные'!$B$234="Да",'19_Расчет_аналитики'!L4436,0)</f>
        <v/>
      </c>
      <c r="M4484">
        <f>IF('01_Вводные'!$B$234="Да",'19_Расчет_аналитики'!M4436,0)</f>
        <v/>
      </c>
      <c r="N4484">
        <f>IF('01_Вводные'!$B$234="Да",'19_Расчет_аналитики'!N4436,0)</f>
        <v/>
      </c>
      <c r="O4484">
        <f>IF('01_Вводные'!$B$234="Да",'19_Расчет_аналитики'!O4436,0)</f>
        <v/>
      </c>
      <c r="P4484">
        <f>IF('01_Вводные'!$B$234="Да",'19_Расчет_аналитики'!P4436,0)</f>
        <v/>
      </c>
      <c r="Q4484">
        <f>IF('01_Вводные'!$B$234="Да",'19_Расчет_аналитики'!Q4436,0)</f>
        <v/>
      </c>
      <c r="R4484">
        <f>IF('01_Вводные'!$B$234="Да",'19_Расчет_аналитики'!R4436,0)</f>
        <v/>
      </c>
      <c r="S4484">
        <f>IF('01_Вводные'!$B$234="Да",'19_Расчет_аналитики'!S4436,0)</f>
        <v/>
      </c>
      <c r="T4484">
        <f>IF('01_Вводные'!$B$234="Да",'19_Расчет_аналитики'!T4436,0)</f>
        <v/>
      </c>
      <c r="U4484">
        <f>IF('01_Вводные'!$B$234="Да",'19_Расчет_аналитики'!U4436,0)</f>
        <v/>
      </c>
      <c r="V4484">
        <f>IF('01_Вводные'!$B$234="Да",'19_Расчет_аналитики'!V4436,0)</f>
        <v/>
      </c>
      <c r="W4484">
        <f>IF('01_Вводные'!$B$234="Да",'19_Расчет_аналитики'!W4436,0)</f>
        <v/>
      </c>
      <c r="X4484">
        <f>IF('01_Вводные'!$B$234="Да",'19_Расчет_аналитики'!X4436,0)</f>
        <v/>
      </c>
      <c r="Y4484">
        <f>IF('01_Вводные'!$B$234="Да",'19_Расчет_аналитики'!Y4436,0)</f>
        <v/>
      </c>
      <c r="Z4484">
        <f>IF('01_Вводные'!$B$234="Да",'19_Расчет_аналитики'!Z4436,0)</f>
        <v/>
      </c>
      <c r="AA4484">
        <f>IF('01_Вводные'!$B$234="Да",'19_Расчет_аналитики'!AA4436,0)</f>
        <v/>
      </c>
      <c r="AB4484">
        <f>IF('01_Вводные'!$B$234="Да",'19_Расчет_аналитики'!AB4436,0)</f>
        <v/>
      </c>
      <c r="AC4484">
        <f>IF('01_Вводные'!$B$234="Да",'19_Расчет_аналитики'!AC4436,0)</f>
        <v/>
      </c>
      <c r="AD4484">
        <f>IF('01_Вводные'!$B$234="Да",'19_Расчет_аналитики'!AD4436,0)</f>
        <v/>
      </c>
      <c r="AE4484">
        <f>IF('01_Вводные'!$B$234="Да",'19_Расчет_аналитики'!AE4436,0)</f>
        <v/>
      </c>
      <c r="AF4484">
        <f>IF('01_Вводные'!$B$234="Да",'19_Расчет_аналитики'!AF4436,0)</f>
        <v/>
      </c>
      <c r="AG4484">
        <f>IF('01_Вводные'!$B$234="Да",'19_Расчет_аналитики'!AG4436,0)</f>
        <v/>
      </c>
      <c r="AH4484">
        <f>IF('01_Вводные'!$B$234="Да",'19_Расчет_аналитики'!AH4436,0)</f>
        <v/>
      </c>
      <c r="AI4484">
        <f>IF('01_Вводные'!$B$234="Да",'19_Расчет_аналитики'!AI4436,0)</f>
        <v/>
      </c>
      <c r="AJ4484">
        <f>IF('01_Вводные'!$B$234="Да",'19_Расчет_аналитики'!AJ4436,0)</f>
        <v/>
      </c>
      <c r="AK4484">
        <f>IF('01_Вводные'!$B$234="Да",'19_Расчет_аналитики'!AK4436,0)</f>
        <v/>
      </c>
      <c r="AL4484">
        <f>IF('01_Вводные'!$B$234="Да",'19_Расчет_аналитики'!AL4436,0)</f>
        <v/>
      </c>
      <c r="AM4484">
        <f>IF('01_Вводные'!$B$234="Да",'19_Расчет_аналитики'!AM4436,0)</f>
        <v/>
      </c>
      <c r="AN4484">
        <f>IF('01_Вводные'!$B$234="Да",'19_Расчет_аналитики'!AN4436,0)</f>
        <v/>
      </c>
      <c r="AO4484">
        <f>IF('01_Вводные'!$B$234="Да",'19_Расчет_аналитики'!AO4436,0)</f>
        <v/>
      </c>
      <c r="AP4484">
        <f>IF('01_Вводные'!$B$234="Да",'19_Расчет_аналитики'!AP4436,0)</f>
        <v/>
      </c>
      <c r="AQ4484">
        <f>IF('01_Вводные'!$B$234="Да",'19_Расчет_аналитики'!AQ4436,0)</f>
        <v/>
      </c>
      <c r="AR4484">
        <f>IF('01_Вводные'!$B$234="Да",'19_Расчет_аналитики'!AR4436,0)</f>
        <v/>
      </c>
      <c r="AS4484">
        <f>IF('01_Вводные'!$B$234="Да",'19_Расчет_аналитики'!AS4436,0)</f>
        <v/>
      </c>
      <c r="AT4484">
        <f>IF('01_Вводные'!$B$234="Да",'19_Расчет_аналитики'!AT4436,0)</f>
        <v/>
      </c>
      <c r="AU4484">
        <f>IF('01_Вводные'!$B$234="Да",'19_Расчет_аналитики'!AU4436,0)</f>
        <v/>
      </c>
      <c r="AV4484">
        <f>IF('01_Вводные'!$B$234="Да",'19_Расчет_аналитики'!AV4436,0)</f>
        <v/>
      </c>
      <c r="AW4484">
        <f>IF('01_Вводные'!$B$234="Да",'19_Расчет_аналитики'!AW4436,0)</f>
        <v/>
      </c>
      <c r="AX4484">
        <f>IF('01_Вводные'!$B$234="Да",'19_Расчет_аналитики'!AX4436,0)</f>
        <v/>
      </c>
      <c r="AY4484">
        <f>IF('01_Вводные'!$B$234="Да",'19_Расчет_аналитики'!AY4436,0)</f>
        <v/>
      </c>
      <c r="AZ4484">
        <f>IF('01_Вводные'!$B$234="Да",'19_Расчет_аналитики'!AZ4436,0)</f>
        <v/>
      </c>
      <c r="BA4484">
        <f>IF('01_Вводные'!$B$234="Да",'19_Расчет_аналитики'!BA4436,0)</f>
        <v/>
      </c>
      <c r="BB4484">
        <f>IF('01_Вводные'!$B$234="Да",'19_Расчет_аналитики'!BB4436,0)</f>
        <v/>
      </c>
      <c r="BC4484">
        <f>IF('01_Вводные'!$B$234="Да",'19_Расчет_аналитики'!BC4436,0)</f>
        <v/>
      </c>
      <c r="BD4484">
        <f>IF('01_Вводные'!$B$234="Да",'19_Расчет_аналитики'!BD4436,0)</f>
        <v/>
      </c>
      <c r="BE4484">
        <f>IF('01_Вводные'!$B$234="Да",'19_Расчет_аналитики'!BE4436,0)</f>
        <v/>
      </c>
      <c r="BF4484">
        <f>IF('01_Вводные'!$B$234="Да",'19_Расчет_аналитики'!BF4436,0)</f>
        <v/>
      </c>
      <c r="BG4484">
        <f>IF('01_Вводные'!$B$234="Да",'19_Расчет_аналитики'!BG4436,0)</f>
        <v/>
      </c>
      <c r="BH4484">
        <f>IF('01_Вводные'!$B$234="Да",'19_Расчет_аналитики'!BH4436,0)</f>
        <v/>
      </c>
      <c r="BI4484">
        <f>IF('01_Вводные'!$B$234="Да",'19_Расчет_аналитики'!BI4436,0)</f>
        <v/>
      </c>
      <c r="BJ4484">
        <f>IF('01_Вводные'!$B$234="Да",'19_Расчет_аналитики'!BJ4436,0)</f>
        <v/>
      </c>
      <c r="BK4484">
        <f>IF('01_Вводные'!$B$234="Да",'19_Расчет_аналитики'!BK4436,0)</f>
        <v/>
      </c>
      <c r="BL4484">
        <f>IF('01_Вводные'!$B$234="Да",'19_Расчет_аналитики'!BL4436,0)</f>
        <v/>
      </c>
      <c r="BM4484">
        <f>IF('01_Вводные'!$B$234="Да",'19_Расчет_аналитики'!BM4436,0)</f>
        <v/>
      </c>
      <c r="BN4484">
        <f>IF('01_Вводные'!$B$234="Да",'19_Расчет_аналитики'!BN4436,0)</f>
        <v/>
      </c>
      <c r="BO4484">
        <f>IF('01_Вводные'!$B$234="Да",'19_Расчет_аналитики'!BO4436,0)</f>
        <v/>
      </c>
    </row>
    <row r="4485">
      <c r="B4485">
        <f>'06_Сеть_и_дети'!B82</f>
        <v/>
      </c>
      <c r="C4485">
        <f>IF('01_Вводные'!$B$234="Да",'19_Расчет_аналитики'!B4484*'01_Вводные'!$B$14,0)</f>
        <v/>
      </c>
      <c r="D4485">
        <f>IF('01_Вводные'!$B$234="Да",'19_Расчет_аналитики'!C4484*'01_Вводные'!$B$14,0)</f>
        <v/>
      </c>
      <c r="E4485">
        <f>IF('01_Вводные'!$B$234="Да",'19_Расчет_аналитики'!D4484*'01_Вводные'!$B$14,0)</f>
        <v/>
      </c>
      <c r="F4485">
        <f>IF('01_Вводные'!$B$234="Да",'19_Расчет_аналитики'!E4484*'01_Вводные'!$B$14,0)</f>
        <v/>
      </c>
      <c r="G4485">
        <f>IF('01_Вводные'!$B$234="Да",'19_Расчет_аналитики'!F4484*'01_Вводные'!$B$14,0)</f>
        <v/>
      </c>
      <c r="H4485">
        <f>IF('01_Вводные'!$B$234="Да",'19_Расчет_аналитики'!G4484*'01_Вводные'!$B$14,0)</f>
        <v/>
      </c>
      <c r="I4485">
        <f>IF('01_Вводные'!$B$234="Да",'19_Расчет_аналитики'!H4484*'01_Вводные'!$B$14,0)</f>
        <v/>
      </c>
      <c r="J4485">
        <f>IF('01_Вводные'!$B$234="Да",'19_Расчет_аналитики'!I4484*'01_Вводные'!$B$14,0)</f>
        <v/>
      </c>
      <c r="K4485">
        <f>IF('01_Вводные'!$B$234="Да",'19_Расчет_аналитики'!J4484*'01_Вводные'!$B$14,0)</f>
        <v/>
      </c>
      <c r="L4485">
        <f>IF('01_Вводные'!$B$234="Да",'19_Расчет_аналитики'!K4484*'01_Вводные'!$B$14,0)</f>
        <v/>
      </c>
      <c r="M4485">
        <f>IF('01_Вводные'!$B$234="Да",'19_Расчет_аналитики'!L4484*'01_Вводные'!$B$14,0)</f>
        <v/>
      </c>
      <c r="N4485">
        <f>IF('01_Вводные'!$B$234="Да",'19_Расчет_аналитики'!M4484*'01_Вводные'!$B$14,0)</f>
        <v/>
      </c>
      <c r="O4485">
        <f>IF('01_Вводные'!$B$234="Да",'19_Расчет_аналитики'!N4484*'01_Вводные'!$B$14,0)</f>
        <v/>
      </c>
      <c r="P4485">
        <f>IF('01_Вводные'!$B$234="Да",'19_Расчет_аналитики'!O4484*'01_Вводные'!$B$14,0)</f>
        <v/>
      </c>
      <c r="Q4485">
        <f>IF('01_Вводные'!$B$234="Да",'19_Расчет_аналитики'!P4484*'01_Вводные'!$B$14,0)</f>
        <v/>
      </c>
      <c r="R4485">
        <f>IF('01_Вводные'!$B$234="Да",'19_Расчет_аналитики'!Q4484*'01_Вводные'!$B$14,0)</f>
        <v/>
      </c>
      <c r="S4485">
        <f>IF('01_Вводные'!$B$234="Да",'19_Расчет_аналитики'!R4484*'01_Вводные'!$B$14,0)</f>
        <v/>
      </c>
      <c r="T4485">
        <f>IF('01_Вводные'!$B$234="Да",'19_Расчет_аналитики'!S4484*'01_Вводные'!$B$14,0)</f>
        <v/>
      </c>
      <c r="U4485">
        <f>IF('01_Вводные'!$B$234="Да",'19_Расчет_аналитики'!T4484*'01_Вводные'!$B$14,0)</f>
        <v/>
      </c>
      <c r="V4485">
        <f>IF('01_Вводные'!$B$234="Да",'19_Расчет_аналитики'!U4484*'01_Вводные'!$B$14,0)</f>
        <v/>
      </c>
      <c r="W4485">
        <f>IF('01_Вводные'!$B$234="Да",'19_Расчет_аналитики'!V4484*'01_Вводные'!$B$14,0)</f>
        <v/>
      </c>
      <c r="X4485">
        <f>IF('01_Вводные'!$B$234="Да",'19_Расчет_аналитики'!W4484*'01_Вводные'!$B$14,0)</f>
        <v/>
      </c>
      <c r="Y4485">
        <f>IF('01_Вводные'!$B$234="Да",'19_Расчет_аналитики'!X4484*'01_Вводные'!$B$14,0)</f>
        <v/>
      </c>
      <c r="Z4485">
        <f>IF('01_Вводные'!$B$234="Да",'19_Расчет_аналитики'!Y4484*'01_Вводные'!$B$14,0)</f>
        <v/>
      </c>
      <c r="AA4485">
        <f>IF('01_Вводные'!$B$234="Да",'19_Расчет_аналитики'!Z4484*'01_Вводные'!$B$14,0)</f>
        <v/>
      </c>
      <c r="AB4485">
        <f>IF('01_Вводные'!$B$234="Да",'19_Расчет_аналитики'!AA4484*'01_Вводные'!$B$14,0)</f>
        <v/>
      </c>
      <c r="AC4485">
        <f>IF('01_Вводные'!$B$234="Да",'19_Расчет_аналитики'!AB4484*'01_Вводные'!$B$14,0)</f>
        <v/>
      </c>
      <c r="AD4485">
        <f>IF('01_Вводные'!$B$234="Да",'19_Расчет_аналитики'!AC4484*'01_Вводные'!$B$14,0)</f>
        <v/>
      </c>
      <c r="AE4485">
        <f>IF('01_Вводные'!$B$234="Да",'19_Расчет_аналитики'!AD4484*'01_Вводные'!$B$14,0)</f>
        <v/>
      </c>
      <c r="AF4485">
        <f>IF('01_Вводные'!$B$234="Да",'19_Расчет_аналитики'!AE4484*'01_Вводные'!$B$14,0)</f>
        <v/>
      </c>
      <c r="AG4485">
        <f>IF('01_Вводные'!$B$234="Да",'19_Расчет_аналитики'!AF4484*'01_Вводные'!$B$14,0)</f>
        <v/>
      </c>
      <c r="AH4485">
        <f>IF('01_Вводные'!$B$234="Да",'19_Расчет_аналитики'!AG4484*'01_Вводные'!$B$14,0)</f>
        <v/>
      </c>
      <c r="AI4485">
        <f>IF('01_Вводные'!$B$234="Да",'19_Расчет_аналитики'!AH4484*'01_Вводные'!$B$14,0)</f>
        <v/>
      </c>
      <c r="AJ4485">
        <f>IF('01_Вводные'!$B$234="Да",'19_Расчет_аналитики'!AI4484*'01_Вводные'!$B$14,0)</f>
        <v/>
      </c>
      <c r="AK4485">
        <f>IF('01_Вводные'!$B$234="Да",'19_Расчет_аналитики'!AJ4484*'01_Вводные'!$B$14,0)</f>
        <v/>
      </c>
      <c r="AL4485">
        <f>IF('01_Вводные'!$B$234="Да",'19_Расчет_аналитики'!AK4484*'01_Вводные'!$B$14,0)</f>
        <v/>
      </c>
      <c r="AM4485">
        <f>IF('01_Вводные'!$B$234="Да",'19_Расчет_аналитики'!AL4484*'01_Вводные'!$B$14,0)</f>
        <v/>
      </c>
      <c r="AN4485">
        <f>IF('01_Вводные'!$B$234="Да",'19_Расчет_аналитики'!AM4484*'01_Вводные'!$B$14,0)</f>
        <v/>
      </c>
      <c r="AO4485">
        <f>IF('01_Вводные'!$B$234="Да",'19_Расчет_аналитики'!AN4484*'01_Вводные'!$B$14,0)</f>
        <v/>
      </c>
      <c r="AP4485">
        <f>IF('01_Вводные'!$B$234="Да",'19_Расчет_аналитики'!AO4484*'01_Вводные'!$B$14,0)</f>
        <v/>
      </c>
      <c r="AQ4485">
        <f>IF('01_Вводные'!$B$234="Да",'19_Расчет_аналитики'!AP4484*'01_Вводные'!$B$14,0)</f>
        <v/>
      </c>
      <c r="AR4485">
        <f>IF('01_Вводные'!$B$234="Да",'19_Расчет_аналитики'!AQ4484*'01_Вводные'!$B$14,0)</f>
        <v/>
      </c>
      <c r="AS4485">
        <f>IF('01_Вводные'!$B$234="Да",'19_Расчет_аналитики'!AR4484*'01_Вводные'!$B$14,0)</f>
        <v/>
      </c>
      <c r="AT4485">
        <f>IF('01_Вводные'!$B$234="Да",'19_Расчет_аналитики'!AS4484*'01_Вводные'!$B$14,0)</f>
        <v/>
      </c>
      <c r="AU4485">
        <f>IF('01_Вводные'!$B$234="Да",'19_Расчет_аналитики'!AT4484*'01_Вводные'!$B$14,0)</f>
        <v/>
      </c>
      <c r="AV4485">
        <f>IF('01_Вводные'!$B$234="Да",'19_Расчет_аналитики'!AU4484*'01_Вводные'!$B$14,0)</f>
        <v/>
      </c>
      <c r="AW4485">
        <f>IF('01_Вводные'!$B$234="Да",'19_Расчет_аналитики'!AV4484*'01_Вводные'!$B$14,0)</f>
        <v/>
      </c>
      <c r="AX4485">
        <f>IF('01_Вводные'!$B$234="Да",'19_Расчет_аналитики'!AW4484*'01_Вводные'!$B$14,0)</f>
        <v/>
      </c>
      <c r="AY4485">
        <f>IF('01_Вводные'!$B$234="Да",'19_Расчет_аналитики'!AX4484*'01_Вводные'!$B$14,0)</f>
        <v/>
      </c>
      <c r="AZ4485">
        <f>IF('01_Вводные'!$B$234="Да",'19_Расчет_аналитики'!AY4484*'01_Вводные'!$B$14,0)</f>
        <v/>
      </c>
      <c r="BA4485">
        <f>IF('01_Вводные'!$B$234="Да",'19_Расчет_аналитики'!AZ4484*'01_Вводные'!$B$14,0)</f>
        <v/>
      </c>
      <c r="BB4485">
        <f>IF('01_Вводные'!$B$234="Да",'19_Расчет_аналитики'!BA4484*'01_Вводные'!$B$14,0)</f>
        <v/>
      </c>
      <c r="BC4485">
        <f>IF('01_Вводные'!$B$234="Да",'19_Расчет_аналитики'!BB4484*'01_Вводные'!$B$14,0)</f>
        <v/>
      </c>
      <c r="BD4485">
        <f>IF('01_Вводные'!$B$234="Да",'19_Расчет_аналитики'!BC4484*'01_Вводные'!$B$14,0)</f>
        <v/>
      </c>
      <c r="BE4485">
        <f>IF('01_Вводные'!$B$234="Да",'19_Расчет_аналитики'!BD4484*'01_Вводные'!$B$14,0)</f>
        <v/>
      </c>
      <c r="BF4485">
        <f>IF('01_Вводные'!$B$234="Да",'19_Расчет_аналитики'!BE4484*'01_Вводные'!$B$14,0)</f>
        <v/>
      </c>
      <c r="BG4485">
        <f>IF('01_Вводные'!$B$234="Да",'19_Расчет_аналитики'!BF4484*'01_Вводные'!$B$14,0)</f>
        <v/>
      </c>
      <c r="BH4485">
        <f>IF('01_Вводные'!$B$234="Да",'19_Расчет_аналитики'!BG4484*'01_Вводные'!$B$14,0)</f>
        <v/>
      </c>
      <c r="BI4485">
        <f>IF('01_Вводные'!$B$234="Да",'19_Расчет_аналитики'!BH4484*'01_Вводные'!$B$14,0)</f>
        <v/>
      </c>
      <c r="BJ4485">
        <f>IF('01_Вводные'!$B$234="Да",'19_Расчет_аналитики'!BI4484*'01_Вводные'!$B$14,0)</f>
        <v/>
      </c>
      <c r="BK4485">
        <f>IF('01_Вводные'!$B$234="Да",'19_Расчет_аналитики'!BJ4484*'01_Вводные'!$B$14,0)</f>
        <v/>
      </c>
      <c r="BL4485">
        <f>IF('01_Вводные'!$B$234="Да",'19_Расчет_аналитики'!BK4484*'01_Вводные'!$B$14,0)</f>
        <v/>
      </c>
      <c r="BM4485">
        <f>IF('01_Вводные'!$B$234="Да",'19_Расчет_аналитики'!BL4484*'01_Вводные'!$B$14,0)</f>
        <v/>
      </c>
      <c r="BN4485">
        <f>IF('01_Вводные'!$B$234="Да",'19_Расчет_аналитики'!BM4484*'01_Вводные'!$B$14,0)</f>
        <v/>
      </c>
      <c r="BO4485">
        <f>IF('01_Вводные'!$B$234="Да",'19_Расчет_аналитики'!BN4484*'01_Вводные'!$B$14,0)</f>
        <v/>
      </c>
    </row>
    <row r="4486">
      <c r="B4486">
        <f>'06_Сеть_и_дети'!B83</f>
        <v/>
      </c>
      <c r="C4486">
        <f>'06_Сеть_и_дети'!C83</f>
        <v/>
      </c>
      <c r="D4486">
        <f>IF('01_Вводные'!$B$234="Да",'19_Расчет_аналитики'!C4485*'01_Вводные'!$B$14,0)</f>
        <v/>
      </c>
      <c r="E4486">
        <f>IF('01_Вводные'!$B$234="Да",'19_Расчет_аналитики'!D4485*'01_Вводные'!$B$14,0)</f>
        <v/>
      </c>
      <c r="F4486">
        <f>IF('01_Вводные'!$B$234="Да",'19_Расчет_аналитики'!E4485*'01_Вводные'!$B$14,0)</f>
        <v/>
      </c>
      <c r="G4486">
        <f>IF('01_Вводные'!$B$234="Да",'19_Расчет_аналитики'!F4485*'01_Вводные'!$B$14,0)</f>
        <v/>
      </c>
      <c r="H4486">
        <f>IF('01_Вводные'!$B$234="Да",'19_Расчет_аналитики'!G4485*'01_Вводные'!$B$14,0)</f>
        <v/>
      </c>
      <c r="I4486">
        <f>IF('01_Вводные'!$B$234="Да",'19_Расчет_аналитики'!H4485*'01_Вводные'!$B$14,0)</f>
        <v/>
      </c>
      <c r="J4486">
        <f>IF('01_Вводные'!$B$234="Да",'19_Расчет_аналитики'!I4485*'01_Вводные'!$B$14,0)</f>
        <v/>
      </c>
      <c r="K4486">
        <f>IF('01_Вводные'!$B$234="Да",'19_Расчет_аналитики'!J4485*'01_Вводные'!$B$14,0)</f>
        <v/>
      </c>
      <c r="L4486">
        <f>IF('01_Вводные'!$B$234="Да",'19_Расчет_аналитики'!K4485*'01_Вводные'!$B$14,0)</f>
        <v/>
      </c>
      <c r="M4486">
        <f>IF('01_Вводные'!$B$234="Да",'19_Расчет_аналитики'!L4485*'01_Вводные'!$B$14,0)</f>
        <v/>
      </c>
      <c r="N4486">
        <f>IF('01_Вводные'!$B$234="Да",'19_Расчет_аналитики'!M4485*'01_Вводные'!$B$14,0)</f>
        <v/>
      </c>
      <c r="O4486">
        <f>IF('01_Вводные'!$B$234="Да",'19_Расчет_аналитики'!N4485*'01_Вводные'!$B$14,0)</f>
        <v/>
      </c>
      <c r="P4486">
        <f>IF('01_Вводные'!$B$234="Да",'19_Расчет_аналитики'!O4485*'01_Вводные'!$B$14,0)</f>
        <v/>
      </c>
      <c r="Q4486">
        <f>IF('01_Вводные'!$B$234="Да",'19_Расчет_аналитики'!P4485*'01_Вводные'!$B$14,0)</f>
        <v/>
      </c>
      <c r="R4486">
        <f>IF('01_Вводные'!$B$234="Да",'19_Расчет_аналитики'!Q4485*'01_Вводные'!$B$14,0)</f>
        <v/>
      </c>
      <c r="S4486">
        <f>IF('01_Вводные'!$B$234="Да",'19_Расчет_аналитики'!R4485*'01_Вводные'!$B$14,0)</f>
        <v/>
      </c>
      <c r="T4486">
        <f>IF('01_Вводные'!$B$234="Да",'19_Расчет_аналитики'!S4485*'01_Вводные'!$B$14,0)</f>
        <v/>
      </c>
      <c r="U4486">
        <f>IF('01_Вводные'!$B$234="Да",'19_Расчет_аналитики'!T4485*'01_Вводные'!$B$14,0)</f>
        <v/>
      </c>
      <c r="V4486">
        <f>IF('01_Вводные'!$B$234="Да",'19_Расчет_аналитики'!U4485*'01_Вводные'!$B$14,0)</f>
        <v/>
      </c>
      <c r="W4486">
        <f>IF('01_Вводные'!$B$234="Да",'19_Расчет_аналитики'!V4485*'01_Вводные'!$B$14,0)</f>
        <v/>
      </c>
      <c r="X4486">
        <f>IF('01_Вводные'!$B$234="Да",'19_Расчет_аналитики'!W4485*'01_Вводные'!$B$14,0)</f>
        <v/>
      </c>
      <c r="Y4486">
        <f>IF('01_Вводные'!$B$234="Да",'19_Расчет_аналитики'!X4485*'01_Вводные'!$B$14,0)</f>
        <v/>
      </c>
      <c r="Z4486">
        <f>IF('01_Вводные'!$B$234="Да",'19_Расчет_аналитики'!Y4485*'01_Вводные'!$B$14,0)</f>
        <v/>
      </c>
      <c r="AA4486">
        <f>IF('01_Вводные'!$B$234="Да",'19_Расчет_аналитики'!Z4485*'01_Вводные'!$B$14,0)</f>
        <v/>
      </c>
      <c r="AB4486">
        <f>IF('01_Вводные'!$B$234="Да",'19_Расчет_аналитики'!AA4485*'01_Вводные'!$B$14,0)</f>
        <v/>
      </c>
      <c r="AC4486">
        <f>IF('01_Вводные'!$B$234="Да",'19_Расчет_аналитики'!AB4485*'01_Вводные'!$B$14,0)</f>
        <v/>
      </c>
      <c r="AD4486">
        <f>IF('01_Вводные'!$B$234="Да",'19_Расчет_аналитики'!AC4485*'01_Вводные'!$B$14,0)</f>
        <v/>
      </c>
      <c r="AE4486">
        <f>IF('01_Вводные'!$B$234="Да",'19_Расчет_аналитики'!AD4485*'01_Вводные'!$B$14,0)</f>
        <v/>
      </c>
      <c r="AF4486">
        <f>IF('01_Вводные'!$B$234="Да",'19_Расчет_аналитики'!AE4485*'01_Вводные'!$B$14,0)</f>
        <v/>
      </c>
      <c r="AG4486">
        <f>IF('01_Вводные'!$B$234="Да",'19_Расчет_аналитики'!AF4485*'01_Вводные'!$B$14,0)</f>
        <v/>
      </c>
      <c r="AH4486">
        <f>IF('01_Вводные'!$B$234="Да",'19_Расчет_аналитики'!AG4485*'01_Вводные'!$B$14,0)</f>
        <v/>
      </c>
      <c r="AI4486">
        <f>IF('01_Вводные'!$B$234="Да",'19_Расчет_аналитики'!AH4485*'01_Вводные'!$B$14,0)</f>
        <v/>
      </c>
      <c r="AJ4486">
        <f>IF('01_Вводные'!$B$234="Да",'19_Расчет_аналитики'!AI4485*'01_Вводные'!$B$14,0)</f>
        <v/>
      </c>
      <c r="AK4486">
        <f>IF('01_Вводные'!$B$234="Да",'19_Расчет_аналитики'!AJ4485*'01_Вводные'!$B$14,0)</f>
        <v/>
      </c>
      <c r="AL4486">
        <f>IF('01_Вводные'!$B$234="Да",'19_Расчет_аналитики'!AK4485*'01_Вводные'!$B$14,0)</f>
        <v/>
      </c>
      <c r="AM4486">
        <f>IF('01_Вводные'!$B$234="Да",'19_Расчет_аналитики'!AL4485*'01_Вводные'!$B$14,0)</f>
        <v/>
      </c>
      <c r="AN4486">
        <f>IF('01_Вводные'!$B$234="Да",'19_Расчет_аналитики'!AM4485*'01_Вводные'!$B$14,0)</f>
        <v/>
      </c>
      <c r="AO4486">
        <f>IF('01_Вводные'!$B$234="Да",'19_Расчет_аналитики'!AN4485*'01_Вводные'!$B$14,0)</f>
        <v/>
      </c>
      <c r="AP4486">
        <f>IF('01_Вводные'!$B$234="Да",'19_Расчет_аналитики'!AO4485*'01_Вводные'!$B$14,0)</f>
        <v/>
      </c>
      <c r="AQ4486">
        <f>IF('01_Вводные'!$B$234="Да",'19_Расчет_аналитики'!AP4485*'01_Вводные'!$B$14,0)</f>
        <v/>
      </c>
      <c r="AR4486">
        <f>IF('01_Вводные'!$B$234="Да",'19_Расчет_аналитики'!AQ4485*'01_Вводные'!$B$14,0)</f>
        <v/>
      </c>
      <c r="AS4486">
        <f>IF('01_Вводные'!$B$234="Да",'19_Расчет_аналитики'!AR4485*'01_Вводные'!$B$14,0)</f>
        <v/>
      </c>
      <c r="AT4486">
        <f>IF('01_Вводные'!$B$234="Да",'19_Расчет_аналитики'!AS4485*'01_Вводные'!$B$14,0)</f>
        <v/>
      </c>
      <c r="AU4486">
        <f>IF('01_Вводные'!$B$234="Да",'19_Расчет_аналитики'!AT4485*'01_Вводные'!$B$14,0)</f>
        <v/>
      </c>
      <c r="AV4486">
        <f>IF('01_Вводные'!$B$234="Да",'19_Расчет_аналитики'!AU4485*'01_Вводные'!$B$14,0)</f>
        <v/>
      </c>
      <c r="AW4486">
        <f>IF('01_Вводные'!$B$234="Да",'19_Расчет_аналитики'!AV4485*'01_Вводные'!$B$14,0)</f>
        <v/>
      </c>
      <c r="AX4486">
        <f>IF('01_Вводные'!$B$234="Да",'19_Расчет_аналитики'!AW4485*'01_Вводные'!$B$14,0)</f>
        <v/>
      </c>
      <c r="AY4486">
        <f>IF('01_Вводные'!$B$234="Да",'19_Расчет_аналитики'!AX4485*'01_Вводные'!$B$14,0)</f>
        <v/>
      </c>
      <c r="AZ4486">
        <f>IF('01_Вводные'!$B$234="Да",'19_Расчет_аналитики'!AY4485*'01_Вводные'!$B$14,0)</f>
        <v/>
      </c>
      <c r="BA4486">
        <f>IF('01_Вводные'!$B$234="Да",'19_Расчет_аналитики'!AZ4485*'01_Вводные'!$B$14,0)</f>
        <v/>
      </c>
      <c r="BB4486">
        <f>IF('01_Вводные'!$B$234="Да",'19_Расчет_аналитики'!BA4485*'01_Вводные'!$B$14,0)</f>
        <v/>
      </c>
      <c r="BC4486">
        <f>IF('01_Вводные'!$B$234="Да",'19_Расчет_аналитики'!BB4485*'01_Вводные'!$B$14,0)</f>
        <v/>
      </c>
      <c r="BD4486">
        <f>IF('01_Вводные'!$B$234="Да",'19_Расчет_аналитики'!BC4485*'01_Вводные'!$B$14,0)</f>
        <v/>
      </c>
      <c r="BE4486">
        <f>IF('01_Вводные'!$B$234="Да",'19_Расчет_аналитики'!BD4485*'01_Вводные'!$B$14,0)</f>
        <v/>
      </c>
      <c r="BF4486">
        <f>IF('01_Вводные'!$B$234="Да",'19_Расчет_аналитики'!BE4485*'01_Вводные'!$B$14,0)</f>
        <v/>
      </c>
      <c r="BG4486">
        <f>IF('01_Вводные'!$B$234="Да",'19_Расчет_аналитики'!BF4485*'01_Вводные'!$B$14,0)</f>
        <v/>
      </c>
      <c r="BH4486">
        <f>IF('01_Вводные'!$B$234="Да",'19_Расчет_аналитики'!BG4485*'01_Вводные'!$B$14,0)</f>
        <v/>
      </c>
      <c r="BI4486">
        <f>IF('01_Вводные'!$B$234="Да",'19_Расчет_аналитики'!BH4485*'01_Вводные'!$B$14,0)</f>
        <v/>
      </c>
      <c r="BJ4486">
        <f>IF('01_Вводные'!$B$234="Да",'19_Расчет_аналитики'!BI4485*'01_Вводные'!$B$14,0)</f>
        <v/>
      </c>
      <c r="BK4486">
        <f>IF('01_Вводные'!$B$234="Да",'19_Расчет_аналитики'!BJ4485*'01_Вводные'!$B$14,0)</f>
        <v/>
      </c>
      <c r="BL4486">
        <f>IF('01_Вводные'!$B$234="Да",'19_Расчет_аналитики'!BK4485*'01_Вводные'!$B$14,0)</f>
        <v/>
      </c>
      <c r="BM4486">
        <f>IF('01_Вводные'!$B$234="Да",'19_Расчет_аналитики'!BL4485*'01_Вводные'!$B$14,0)</f>
        <v/>
      </c>
      <c r="BN4486">
        <f>IF('01_Вводные'!$B$234="Да",'19_Расчет_аналитики'!BM4485*'01_Вводные'!$B$14,0)</f>
        <v/>
      </c>
      <c r="BO4486">
        <f>IF('01_Вводные'!$B$234="Да",'19_Расчет_аналитики'!BN4485*'01_Вводные'!$B$14,0)</f>
        <v/>
      </c>
    </row>
    <row r="4487">
      <c r="B4487">
        <f>'06_Сеть_и_дети'!B84</f>
        <v/>
      </c>
      <c r="C4487">
        <f>'06_Сеть_и_дети'!C84</f>
        <v/>
      </c>
      <c r="D4487">
        <f>'06_Сеть_и_дети'!D84</f>
        <v/>
      </c>
      <c r="E4487">
        <f>IF('01_Вводные'!$B$234="Да",'19_Расчет_аналитики'!D4486*'01_Вводные'!$B$14,0)</f>
        <v/>
      </c>
      <c r="F4487">
        <f>IF('01_Вводные'!$B$234="Да",'19_Расчет_аналитики'!E4486*'01_Вводные'!$B$14,0)</f>
        <v/>
      </c>
      <c r="G4487">
        <f>IF('01_Вводные'!$B$234="Да",'19_Расчет_аналитики'!F4486*'01_Вводные'!$B$14,0)</f>
        <v/>
      </c>
      <c r="H4487">
        <f>IF('01_Вводные'!$B$234="Да",'19_Расчет_аналитики'!G4486*'01_Вводные'!$B$14,0)</f>
        <v/>
      </c>
      <c r="I4487">
        <f>IF('01_Вводные'!$B$234="Да",'19_Расчет_аналитики'!H4486*'01_Вводные'!$B$14,0)</f>
        <v/>
      </c>
      <c r="J4487">
        <f>IF('01_Вводные'!$B$234="Да",'19_Расчет_аналитики'!I4486*'01_Вводные'!$B$14,0)</f>
        <v/>
      </c>
      <c r="K4487">
        <f>IF('01_Вводные'!$B$234="Да",'19_Расчет_аналитики'!J4486*'01_Вводные'!$B$14,0)</f>
        <v/>
      </c>
      <c r="L4487">
        <f>IF('01_Вводные'!$B$234="Да",'19_Расчет_аналитики'!K4486*'01_Вводные'!$B$14,0)</f>
        <v/>
      </c>
      <c r="M4487">
        <f>IF('01_Вводные'!$B$234="Да",'19_Расчет_аналитики'!L4486*'01_Вводные'!$B$14,0)</f>
        <v/>
      </c>
      <c r="N4487">
        <f>IF('01_Вводные'!$B$234="Да",'19_Расчет_аналитики'!M4486*'01_Вводные'!$B$14,0)</f>
        <v/>
      </c>
      <c r="O4487">
        <f>IF('01_Вводные'!$B$234="Да",'19_Расчет_аналитики'!N4486*'01_Вводные'!$B$14,0)</f>
        <v/>
      </c>
      <c r="P4487">
        <f>IF('01_Вводные'!$B$234="Да",'19_Расчет_аналитики'!O4486*'01_Вводные'!$B$14,0)</f>
        <v/>
      </c>
      <c r="Q4487">
        <f>IF('01_Вводные'!$B$234="Да",'19_Расчет_аналитики'!P4486*'01_Вводные'!$B$14,0)</f>
        <v/>
      </c>
      <c r="R4487">
        <f>IF('01_Вводные'!$B$234="Да",'19_Расчет_аналитики'!Q4486*'01_Вводные'!$B$14,0)</f>
        <v/>
      </c>
      <c r="S4487">
        <f>IF('01_Вводные'!$B$234="Да",'19_Расчет_аналитики'!R4486*'01_Вводные'!$B$14,0)</f>
        <v/>
      </c>
      <c r="T4487">
        <f>IF('01_Вводные'!$B$234="Да",'19_Расчет_аналитики'!S4486*'01_Вводные'!$B$14,0)</f>
        <v/>
      </c>
      <c r="U4487">
        <f>IF('01_Вводные'!$B$234="Да",'19_Расчет_аналитики'!T4486*'01_Вводные'!$B$14,0)</f>
        <v/>
      </c>
      <c r="V4487">
        <f>IF('01_Вводные'!$B$234="Да",'19_Расчет_аналитики'!U4486*'01_Вводные'!$B$14,0)</f>
        <v/>
      </c>
      <c r="W4487">
        <f>IF('01_Вводные'!$B$234="Да",'19_Расчет_аналитики'!V4486*'01_Вводные'!$B$14,0)</f>
        <v/>
      </c>
      <c r="X4487">
        <f>IF('01_Вводные'!$B$234="Да",'19_Расчет_аналитики'!W4486*'01_Вводные'!$B$14,0)</f>
        <v/>
      </c>
      <c r="Y4487">
        <f>IF('01_Вводные'!$B$234="Да",'19_Расчет_аналитики'!X4486*'01_Вводные'!$B$14,0)</f>
        <v/>
      </c>
      <c r="Z4487">
        <f>IF('01_Вводные'!$B$234="Да",'19_Расчет_аналитики'!Y4486*'01_Вводные'!$B$14,0)</f>
        <v/>
      </c>
      <c r="AA4487">
        <f>IF('01_Вводные'!$B$234="Да",'19_Расчет_аналитики'!Z4486*'01_Вводные'!$B$14,0)</f>
        <v/>
      </c>
      <c r="AB4487">
        <f>IF('01_Вводные'!$B$234="Да",'19_Расчет_аналитики'!AA4486*'01_Вводные'!$B$14,0)</f>
        <v/>
      </c>
      <c r="AC4487">
        <f>IF('01_Вводные'!$B$234="Да",'19_Расчет_аналитики'!AB4486*'01_Вводные'!$B$14,0)</f>
        <v/>
      </c>
      <c r="AD4487">
        <f>IF('01_Вводные'!$B$234="Да",'19_Расчет_аналитики'!AC4486*'01_Вводные'!$B$14,0)</f>
        <v/>
      </c>
      <c r="AE4487">
        <f>IF('01_Вводные'!$B$234="Да",'19_Расчет_аналитики'!AD4486*'01_Вводные'!$B$14,0)</f>
        <v/>
      </c>
      <c r="AF4487">
        <f>IF('01_Вводные'!$B$234="Да",'19_Расчет_аналитики'!AE4486*'01_Вводные'!$B$14,0)</f>
        <v/>
      </c>
      <c r="AG4487">
        <f>IF('01_Вводные'!$B$234="Да",'19_Расчет_аналитики'!AF4486*'01_Вводные'!$B$14,0)</f>
        <v/>
      </c>
      <c r="AH4487">
        <f>IF('01_Вводные'!$B$234="Да",'19_Расчет_аналитики'!AG4486*'01_Вводные'!$B$14,0)</f>
        <v/>
      </c>
      <c r="AI4487">
        <f>IF('01_Вводные'!$B$234="Да",'19_Расчет_аналитики'!AH4486*'01_Вводные'!$B$14,0)</f>
        <v/>
      </c>
      <c r="AJ4487">
        <f>IF('01_Вводные'!$B$234="Да",'19_Расчет_аналитики'!AI4486*'01_Вводные'!$B$14,0)</f>
        <v/>
      </c>
      <c r="AK4487">
        <f>IF('01_Вводные'!$B$234="Да",'19_Расчет_аналитики'!AJ4486*'01_Вводные'!$B$14,0)</f>
        <v/>
      </c>
      <c r="AL4487">
        <f>IF('01_Вводные'!$B$234="Да",'19_Расчет_аналитики'!AK4486*'01_Вводные'!$B$14,0)</f>
        <v/>
      </c>
      <c r="AM4487">
        <f>IF('01_Вводные'!$B$234="Да",'19_Расчет_аналитики'!AL4486*'01_Вводные'!$B$14,0)</f>
        <v/>
      </c>
      <c r="AN4487">
        <f>IF('01_Вводные'!$B$234="Да",'19_Расчет_аналитики'!AM4486*'01_Вводные'!$B$14,0)</f>
        <v/>
      </c>
      <c r="AO4487">
        <f>IF('01_Вводные'!$B$234="Да",'19_Расчет_аналитики'!AN4486*'01_Вводные'!$B$14,0)</f>
        <v/>
      </c>
      <c r="AP4487">
        <f>IF('01_Вводные'!$B$234="Да",'19_Расчет_аналитики'!AO4486*'01_Вводные'!$B$14,0)</f>
        <v/>
      </c>
      <c r="AQ4487">
        <f>IF('01_Вводные'!$B$234="Да",'19_Расчет_аналитики'!AP4486*'01_Вводные'!$B$14,0)</f>
        <v/>
      </c>
      <c r="AR4487">
        <f>IF('01_Вводные'!$B$234="Да",'19_Расчет_аналитики'!AQ4486*'01_Вводные'!$B$14,0)</f>
        <v/>
      </c>
      <c r="AS4487">
        <f>IF('01_Вводные'!$B$234="Да",'19_Расчет_аналитики'!AR4486*'01_Вводные'!$B$14,0)</f>
        <v/>
      </c>
      <c r="AT4487">
        <f>IF('01_Вводные'!$B$234="Да",'19_Расчет_аналитики'!AS4486*'01_Вводные'!$B$14,0)</f>
        <v/>
      </c>
      <c r="AU4487">
        <f>IF('01_Вводные'!$B$234="Да",'19_Расчет_аналитики'!AT4486*'01_Вводные'!$B$14,0)</f>
        <v/>
      </c>
      <c r="AV4487">
        <f>IF('01_Вводные'!$B$234="Да",'19_Расчет_аналитики'!AU4486*'01_Вводные'!$B$14,0)</f>
        <v/>
      </c>
      <c r="AW4487">
        <f>IF('01_Вводные'!$B$234="Да",'19_Расчет_аналитики'!AV4486*'01_Вводные'!$B$14,0)</f>
        <v/>
      </c>
      <c r="AX4487">
        <f>IF('01_Вводные'!$B$234="Да",'19_Расчет_аналитики'!AW4486*'01_Вводные'!$B$14,0)</f>
        <v/>
      </c>
      <c r="AY4487">
        <f>IF('01_Вводные'!$B$234="Да",'19_Расчет_аналитики'!AX4486*'01_Вводные'!$B$14,0)</f>
        <v/>
      </c>
      <c r="AZ4487">
        <f>IF('01_Вводные'!$B$234="Да",'19_Расчет_аналитики'!AY4486*'01_Вводные'!$B$14,0)</f>
        <v/>
      </c>
      <c r="BA4487">
        <f>IF('01_Вводные'!$B$234="Да",'19_Расчет_аналитики'!AZ4486*'01_Вводные'!$B$14,0)</f>
        <v/>
      </c>
      <c r="BB4487">
        <f>IF('01_Вводные'!$B$234="Да",'19_Расчет_аналитики'!BA4486*'01_Вводные'!$B$14,0)</f>
        <v/>
      </c>
      <c r="BC4487">
        <f>IF('01_Вводные'!$B$234="Да",'19_Расчет_аналитики'!BB4486*'01_Вводные'!$B$14,0)</f>
        <v/>
      </c>
      <c r="BD4487">
        <f>IF('01_Вводные'!$B$234="Да",'19_Расчет_аналитики'!BC4486*'01_Вводные'!$B$14,0)</f>
        <v/>
      </c>
      <c r="BE4487">
        <f>IF('01_Вводные'!$B$234="Да",'19_Расчет_аналитики'!BD4486*'01_Вводные'!$B$14,0)</f>
        <v/>
      </c>
      <c r="BF4487">
        <f>IF('01_Вводные'!$B$234="Да",'19_Расчет_аналитики'!BE4486*'01_Вводные'!$B$14,0)</f>
        <v/>
      </c>
      <c r="BG4487">
        <f>IF('01_Вводные'!$B$234="Да",'19_Расчет_аналитики'!BF4486*'01_Вводные'!$B$14,0)</f>
        <v/>
      </c>
      <c r="BH4487">
        <f>IF('01_Вводные'!$B$234="Да",'19_Расчет_аналитики'!BG4486*'01_Вводные'!$B$14,0)</f>
        <v/>
      </c>
      <c r="BI4487">
        <f>IF('01_Вводные'!$B$234="Да",'19_Расчет_аналитики'!BH4486*'01_Вводные'!$B$14,0)</f>
        <v/>
      </c>
      <c r="BJ4487">
        <f>IF('01_Вводные'!$B$234="Да",'19_Расчет_аналитики'!BI4486*'01_Вводные'!$B$14,0)</f>
        <v/>
      </c>
      <c r="BK4487">
        <f>IF('01_Вводные'!$B$234="Да",'19_Расчет_аналитики'!BJ4486*'01_Вводные'!$B$14,0)</f>
        <v/>
      </c>
      <c r="BL4487">
        <f>IF('01_Вводные'!$B$234="Да",'19_Расчет_аналитики'!BK4486*'01_Вводные'!$B$14,0)</f>
        <v/>
      </c>
      <c r="BM4487">
        <f>IF('01_Вводные'!$B$234="Да",'19_Расчет_аналитики'!BL4486*'01_Вводные'!$B$14,0)</f>
        <v/>
      </c>
      <c r="BN4487">
        <f>IF('01_Вводные'!$B$234="Да",'19_Расчет_аналитики'!BM4486*'01_Вводные'!$B$14,0)</f>
        <v/>
      </c>
      <c r="BO4487">
        <f>IF('01_Вводные'!$B$234="Да",'19_Расчет_аналитики'!BN4486*'01_Вводные'!$B$14,0)</f>
        <v/>
      </c>
    </row>
    <row r="4488">
      <c r="B4488">
        <f>'06_Сеть_и_дети'!B85</f>
        <v/>
      </c>
      <c r="C4488">
        <f>'06_Сеть_и_дети'!C85</f>
        <v/>
      </c>
      <c r="D4488">
        <f>'06_Сеть_и_дети'!D85</f>
        <v/>
      </c>
      <c r="E4488">
        <f>'06_Сеть_и_дети'!E85</f>
        <v/>
      </c>
      <c r="F4488">
        <f>IF('01_Вводные'!$B$234="Да",'19_Расчет_аналитики'!E4487*'01_Вводные'!$B$14,0)</f>
        <v/>
      </c>
      <c r="G4488">
        <f>IF('01_Вводные'!$B$234="Да",'19_Расчет_аналитики'!F4487*'01_Вводные'!$B$14,0)</f>
        <v/>
      </c>
      <c r="H4488">
        <f>IF('01_Вводные'!$B$234="Да",'19_Расчет_аналитики'!G4487*'01_Вводные'!$B$14,0)</f>
        <v/>
      </c>
      <c r="I4488">
        <f>IF('01_Вводные'!$B$234="Да",'19_Расчет_аналитики'!H4487*'01_Вводные'!$B$14,0)</f>
        <v/>
      </c>
      <c r="J4488">
        <f>IF('01_Вводные'!$B$234="Да",'19_Расчет_аналитики'!I4487*'01_Вводные'!$B$14,0)</f>
        <v/>
      </c>
      <c r="K4488">
        <f>IF('01_Вводные'!$B$234="Да",'19_Расчет_аналитики'!J4487*'01_Вводные'!$B$14,0)</f>
        <v/>
      </c>
      <c r="L4488">
        <f>IF('01_Вводные'!$B$234="Да",'19_Расчет_аналитики'!K4487*'01_Вводные'!$B$14,0)</f>
        <v/>
      </c>
      <c r="M4488">
        <f>IF('01_Вводные'!$B$234="Да",'19_Расчет_аналитики'!L4487*'01_Вводные'!$B$14,0)</f>
        <v/>
      </c>
      <c r="N4488">
        <f>IF('01_Вводные'!$B$234="Да",'19_Расчет_аналитики'!M4487*'01_Вводные'!$B$14,0)</f>
        <v/>
      </c>
      <c r="O4488">
        <f>IF('01_Вводные'!$B$234="Да",'19_Расчет_аналитики'!N4487*'01_Вводные'!$B$14,0)</f>
        <v/>
      </c>
      <c r="P4488">
        <f>IF('01_Вводные'!$B$234="Да",'19_Расчет_аналитики'!O4487*'01_Вводные'!$B$14,0)</f>
        <v/>
      </c>
      <c r="Q4488">
        <f>IF('01_Вводные'!$B$234="Да",'19_Расчет_аналитики'!P4487*'01_Вводные'!$B$14,0)</f>
        <v/>
      </c>
      <c r="R4488">
        <f>IF('01_Вводные'!$B$234="Да",'19_Расчет_аналитики'!Q4487*'01_Вводные'!$B$14,0)</f>
        <v/>
      </c>
      <c r="S4488">
        <f>IF('01_Вводные'!$B$234="Да",'19_Расчет_аналитики'!R4487*'01_Вводные'!$B$14,0)</f>
        <v/>
      </c>
      <c r="T4488">
        <f>IF('01_Вводные'!$B$234="Да",'19_Расчет_аналитики'!S4487*'01_Вводные'!$B$14,0)</f>
        <v/>
      </c>
      <c r="U4488">
        <f>IF('01_Вводные'!$B$234="Да",'19_Расчет_аналитики'!T4487*'01_Вводные'!$B$14,0)</f>
        <v/>
      </c>
      <c r="V4488">
        <f>IF('01_Вводные'!$B$234="Да",'19_Расчет_аналитики'!U4487*'01_Вводные'!$B$14,0)</f>
        <v/>
      </c>
      <c r="W4488">
        <f>IF('01_Вводные'!$B$234="Да",'19_Расчет_аналитики'!V4487*'01_Вводные'!$B$14,0)</f>
        <v/>
      </c>
      <c r="X4488">
        <f>IF('01_Вводные'!$B$234="Да",'19_Расчет_аналитики'!W4487*'01_Вводные'!$B$14,0)</f>
        <v/>
      </c>
      <c r="Y4488">
        <f>IF('01_Вводные'!$B$234="Да",'19_Расчет_аналитики'!X4487*'01_Вводные'!$B$14,0)</f>
        <v/>
      </c>
      <c r="Z4488">
        <f>IF('01_Вводные'!$B$234="Да",'19_Расчет_аналитики'!Y4487*'01_Вводные'!$B$14,0)</f>
        <v/>
      </c>
      <c r="AA4488">
        <f>IF('01_Вводные'!$B$234="Да",'19_Расчет_аналитики'!Z4487*'01_Вводные'!$B$14,0)</f>
        <v/>
      </c>
      <c r="AB4488">
        <f>IF('01_Вводные'!$B$234="Да",'19_Расчет_аналитики'!AA4487*'01_Вводные'!$B$14,0)</f>
        <v/>
      </c>
      <c r="AC4488">
        <f>IF('01_Вводные'!$B$234="Да",'19_Расчет_аналитики'!AB4487*'01_Вводные'!$B$14,0)</f>
        <v/>
      </c>
      <c r="AD4488">
        <f>IF('01_Вводные'!$B$234="Да",'19_Расчет_аналитики'!AC4487*'01_Вводные'!$B$14,0)</f>
        <v/>
      </c>
      <c r="AE4488">
        <f>IF('01_Вводные'!$B$234="Да",'19_Расчет_аналитики'!AD4487*'01_Вводные'!$B$14,0)</f>
        <v/>
      </c>
      <c r="AF4488">
        <f>IF('01_Вводные'!$B$234="Да",'19_Расчет_аналитики'!AE4487*'01_Вводные'!$B$14,0)</f>
        <v/>
      </c>
      <c r="AG4488">
        <f>IF('01_Вводные'!$B$234="Да",'19_Расчет_аналитики'!AF4487*'01_Вводные'!$B$14,0)</f>
        <v/>
      </c>
      <c r="AH4488">
        <f>IF('01_Вводные'!$B$234="Да",'19_Расчет_аналитики'!AG4487*'01_Вводные'!$B$14,0)</f>
        <v/>
      </c>
      <c r="AI4488">
        <f>IF('01_Вводные'!$B$234="Да",'19_Расчет_аналитики'!AH4487*'01_Вводные'!$B$14,0)</f>
        <v/>
      </c>
      <c r="AJ4488">
        <f>IF('01_Вводные'!$B$234="Да",'19_Расчет_аналитики'!AI4487*'01_Вводные'!$B$14,0)</f>
        <v/>
      </c>
      <c r="AK4488">
        <f>IF('01_Вводные'!$B$234="Да",'19_Расчет_аналитики'!AJ4487*'01_Вводные'!$B$14,0)</f>
        <v/>
      </c>
      <c r="AL4488">
        <f>IF('01_Вводные'!$B$234="Да",'19_Расчет_аналитики'!AK4487*'01_Вводные'!$B$14,0)</f>
        <v/>
      </c>
      <c r="AM4488">
        <f>IF('01_Вводные'!$B$234="Да",'19_Расчет_аналитики'!AL4487*'01_Вводные'!$B$14,0)</f>
        <v/>
      </c>
      <c r="AN4488">
        <f>IF('01_Вводные'!$B$234="Да",'19_Расчет_аналитики'!AM4487*'01_Вводные'!$B$14,0)</f>
        <v/>
      </c>
      <c r="AO4488">
        <f>IF('01_Вводные'!$B$234="Да",'19_Расчет_аналитики'!AN4487*'01_Вводные'!$B$14,0)</f>
        <v/>
      </c>
      <c r="AP4488">
        <f>IF('01_Вводные'!$B$234="Да",'19_Расчет_аналитики'!AO4487*'01_Вводные'!$B$14,0)</f>
        <v/>
      </c>
      <c r="AQ4488">
        <f>IF('01_Вводные'!$B$234="Да",'19_Расчет_аналитики'!AP4487*'01_Вводные'!$B$14,0)</f>
        <v/>
      </c>
      <c r="AR4488">
        <f>IF('01_Вводные'!$B$234="Да",'19_Расчет_аналитики'!AQ4487*'01_Вводные'!$B$14,0)</f>
        <v/>
      </c>
      <c r="AS4488">
        <f>IF('01_Вводные'!$B$234="Да",'19_Расчет_аналитики'!AR4487*'01_Вводные'!$B$14,0)</f>
        <v/>
      </c>
      <c r="AT4488">
        <f>IF('01_Вводные'!$B$234="Да",'19_Расчет_аналитики'!AS4487*'01_Вводные'!$B$14,0)</f>
        <v/>
      </c>
      <c r="AU4488">
        <f>IF('01_Вводные'!$B$234="Да",'19_Расчет_аналитики'!AT4487*'01_Вводные'!$B$14,0)</f>
        <v/>
      </c>
      <c r="AV4488">
        <f>IF('01_Вводные'!$B$234="Да",'19_Расчет_аналитики'!AU4487*'01_Вводные'!$B$14,0)</f>
        <v/>
      </c>
      <c r="AW4488">
        <f>IF('01_Вводные'!$B$234="Да",'19_Расчет_аналитики'!AV4487*'01_Вводные'!$B$14,0)</f>
        <v/>
      </c>
      <c r="AX4488">
        <f>IF('01_Вводные'!$B$234="Да",'19_Расчет_аналитики'!AW4487*'01_Вводные'!$B$14,0)</f>
        <v/>
      </c>
      <c r="AY4488">
        <f>IF('01_Вводные'!$B$234="Да",'19_Расчет_аналитики'!AX4487*'01_Вводные'!$B$14,0)</f>
        <v/>
      </c>
      <c r="AZ4488">
        <f>IF('01_Вводные'!$B$234="Да",'19_Расчет_аналитики'!AY4487*'01_Вводные'!$B$14,0)</f>
        <v/>
      </c>
      <c r="BA4488">
        <f>IF('01_Вводные'!$B$234="Да",'19_Расчет_аналитики'!AZ4487*'01_Вводные'!$B$14,0)</f>
        <v/>
      </c>
      <c r="BB4488">
        <f>IF('01_Вводные'!$B$234="Да",'19_Расчет_аналитики'!BA4487*'01_Вводные'!$B$14,0)</f>
        <v/>
      </c>
      <c r="BC4488">
        <f>IF('01_Вводные'!$B$234="Да",'19_Расчет_аналитики'!BB4487*'01_Вводные'!$B$14,0)</f>
        <v/>
      </c>
      <c r="BD4488">
        <f>IF('01_Вводные'!$B$234="Да",'19_Расчет_аналитики'!BC4487*'01_Вводные'!$B$14,0)</f>
        <v/>
      </c>
      <c r="BE4488">
        <f>IF('01_Вводные'!$B$234="Да",'19_Расчет_аналитики'!BD4487*'01_Вводные'!$B$14,0)</f>
        <v/>
      </c>
      <c r="BF4488">
        <f>IF('01_Вводные'!$B$234="Да",'19_Расчет_аналитики'!BE4487*'01_Вводные'!$B$14,0)</f>
        <v/>
      </c>
      <c r="BG4488">
        <f>IF('01_Вводные'!$B$234="Да",'19_Расчет_аналитики'!BF4487*'01_Вводные'!$B$14,0)</f>
        <v/>
      </c>
      <c r="BH4488">
        <f>IF('01_Вводные'!$B$234="Да",'19_Расчет_аналитики'!BG4487*'01_Вводные'!$B$14,0)</f>
        <v/>
      </c>
      <c r="BI4488">
        <f>IF('01_Вводные'!$B$234="Да",'19_Расчет_аналитики'!BH4487*'01_Вводные'!$B$14,0)</f>
        <v/>
      </c>
      <c r="BJ4488">
        <f>IF('01_Вводные'!$B$234="Да",'19_Расчет_аналитики'!BI4487*'01_Вводные'!$B$14,0)</f>
        <v/>
      </c>
      <c r="BK4488">
        <f>IF('01_Вводные'!$B$234="Да",'19_Расчет_аналитики'!BJ4487*'01_Вводные'!$B$14,0)</f>
        <v/>
      </c>
      <c r="BL4488">
        <f>IF('01_Вводные'!$B$234="Да",'19_Расчет_аналитики'!BK4487*'01_Вводные'!$B$14,0)</f>
        <v/>
      </c>
      <c r="BM4488">
        <f>IF('01_Вводные'!$B$234="Да",'19_Расчет_аналитики'!BL4487*'01_Вводные'!$B$14,0)</f>
        <v/>
      </c>
      <c r="BN4488">
        <f>IF('01_Вводные'!$B$234="Да",'19_Расчет_аналитики'!BM4487*'01_Вводные'!$B$14,0)</f>
        <v/>
      </c>
      <c r="BO4488">
        <f>IF('01_Вводные'!$B$234="Да",'19_Расчет_аналитики'!BN4487*'01_Вводные'!$B$14,0)</f>
        <v/>
      </c>
    </row>
    <row r="4489">
      <c r="B4489">
        <f>'06_Сеть_и_дети'!B86</f>
        <v/>
      </c>
      <c r="C4489">
        <f>'06_Сеть_и_дети'!C86</f>
        <v/>
      </c>
      <c r="D4489">
        <f>'06_Сеть_и_дети'!D86</f>
        <v/>
      </c>
      <c r="E4489">
        <f>'06_Сеть_и_дети'!E86</f>
        <v/>
      </c>
      <c r="F4489">
        <f>'06_Сеть_и_дети'!F86</f>
        <v/>
      </c>
      <c r="G4489">
        <f>IF('01_Вводные'!$B$234="Да",'19_Расчет_аналитики'!F4488*'01_Вводные'!$B$14,0)</f>
        <v/>
      </c>
      <c r="H4489">
        <f>IF('01_Вводные'!$B$234="Да",'19_Расчет_аналитики'!G4488*'01_Вводные'!$B$14,0)</f>
        <v/>
      </c>
      <c r="I4489">
        <f>IF('01_Вводные'!$B$234="Да",'19_Расчет_аналитики'!H4488*'01_Вводные'!$B$14,0)</f>
        <v/>
      </c>
      <c r="J4489">
        <f>IF('01_Вводные'!$B$234="Да",'19_Расчет_аналитики'!I4488*'01_Вводные'!$B$14,0)</f>
        <v/>
      </c>
      <c r="K4489">
        <f>IF('01_Вводные'!$B$234="Да",'19_Расчет_аналитики'!J4488*'01_Вводные'!$B$14,0)</f>
        <v/>
      </c>
      <c r="L4489">
        <f>IF('01_Вводные'!$B$234="Да",'19_Расчет_аналитики'!K4488*'01_Вводные'!$B$14,0)</f>
        <v/>
      </c>
      <c r="M4489">
        <f>IF('01_Вводные'!$B$234="Да",'19_Расчет_аналитики'!L4488*'01_Вводные'!$B$14,0)</f>
        <v/>
      </c>
      <c r="N4489">
        <f>IF('01_Вводные'!$B$234="Да",'19_Расчет_аналитики'!M4488*'01_Вводные'!$B$14,0)</f>
        <v/>
      </c>
      <c r="O4489">
        <f>IF('01_Вводные'!$B$234="Да",'19_Расчет_аналитики'!N4488*'01_Вводные'!$B$14,0)</f>
        <v/>
      </c>
      <c r="P4489">
        <f>IF('01_Вводные'!$B$234="Да",'19_Расчет_аналитики'!O4488*'01_Вводные'!$B$14,0)</f>
        <v/>
      </c>
      <c r="Q4489">
        <f>IF('01_Вводные'!$B$234="Да",'19_Расчет_аналитики'!P4488*'01_Вводные'!$B$14,0)</f>
        <v/>
      </c>
      <c r="R4489">
        <f>IF('01_Вводные'!$B$234="Да",'19_Расчет_аналитики'!Q4488*'01_Вводные'!$B$14,0)</f>
        <v/>
      </c>
      <c r="S4489">
        <f>IF('01_Вводные'!$B$234="Да",'19_Расчет_аналитики'!R4488*'01_Вводные'!$B$14,0)</f>
        <v/>
      </c>
      <c r="T4489">
        <f>IF('01_Вводные'!$B$234="Да",'19_Расчет_аналитики'!S4488*'01_Вводные'!$B$14,0)</f>
        <v/>
      </c>
      <c r="U4489">
        <f>IF('01_Вводные'!$B$234="Да",'19_Расчет_аналитики'!T4488*'01_Вводные'!$B$14,0)</f>
        <v/>
      </c>
      <c r="V4489">
        <f>IF('01_Вводные'!$B$234="Да",'19_Расчет_аналитики'!U4488*'01_Вводные'!$B$14,0)</f>
        <v/>
      </c>
      <c r="W4489">
        <f>IF('01_Вводные'!$B$234="Да",'19_Расчет_аналитики'!V4488*'01_Вводные'!$B$14,0)</f>
        <v/>
      </c>
      <c r="X4489">
        <f>IF('01_Вводные'!$B$234="Да",'19_Расчет_аналитики'!W4488*'01_Вводные'!$B$14,0)</f>
        <v/>
      </c>
      <c r="Y4489">
        <f>IF('01_Вводные'!$B$234="Да",'19_Расчет_аналитики'!X4488*'01_Вводные'!$B$14,0)</f>
        <v/>
      </c>
      <c r="Z4489">
        <f>IF('01_Вводные'!$B$234="Да",'19_Расчет_аналитики'!Y4488*'01_Вводные'!$B$14,0)</f>
        <v/>
      </c>
      <c r="AA4489">
        <f>IF('01_Вводные'!$B$234="Да",'19_Расчет_аналитики'!Z4488*'01_Вводные'!$B$14,0)</f>
        <v/>
      </c>
      <c r="AB4489">
        <f>IF('01_Вводные'!$B$234="Да",'19_Расчет_аналитики'!AA4488*'01_Вводные'!$B$14,0)</f>
        <v/>
      </c>
      <c r="AC4489">
        <f>IF('01_Вводные'!$B$234="Да",'19_Расчет_аналитики'!AB4488*'01_Вводные'!$B$14,0)</f>
        <v/>
      </c>
      <c r="AD4489">
        <f>IF('01_Вводные'!$B$234="Да",'19_Расчет_аналитики'!AC4488*'01_Вводные'!$B$14,0)</f>
        <v/>
      </c>
      <c r="AE4489">
        <f>IF('01_Вводные'!$B$234="Да",'19_Расчет_аналитики'!AD4488*'01_Вводные'!$B$14,0)</f>
        <v/>
      </c>
      <c r="AF4489">
        <f>IF('01_Вводные'!$B$234="Да",'19_Расчет_аналитики'!AE4488*'01_Вводные'!$B$14,0)</f>
        <v/>
      </c>
      <c r="AG4489">
        <f>IF('01_Вводные'!$B$234="Да",'19_Расчет_аналитики'!AF4488*'01_Вводные'!$B$14,0)</f>
        <v/>
      </c>
      <c r="AH4489">
        <f>IF('01_Вводные'!$B$234="Да",'19_Расчет_аналитики'!AG4488*'01_Вводные'!$B$14,0)</f>
        <v/>
      </c>
      <c r="AI4489">
        <f>IF('01_Вводные'!$B$234="Да",'19_Расчет_аналитики'!AH4488*'01_Вводные'!$B$14,0)</f>
        <v/>
      </c>
      <c r="AJ4489">
        <f>IF('01_Вводные'!$B$234="Да",'19_Расчет_аналитики'!AI4488*'01_Вводные'!$B$14,0)</f>
        <v/>
      </c>
      <c r="AK4489">
        <f>IF('01_Вводные'!$B$234="Да",'19_Расчет_аналитики'!AJ4488*'01_Вводные'!$B$14,0)</f>
        <v/>
      </c>
      <c r="AL4489">
        <f>IF('01_Вводные'!$B$234="Да",'19_Расчет_аналитики'!AK4488*'01_Вводные'!$B$14,0)</f>
        <v/>
      </c>
      <c r="AM4489">
        <f>IF('01_Вводные'!$B$234="Да",'19_Расчет_аналитики'!AL4488*'01_Вводные'!$B$14,0)</f>
        <v/>
      </c>
      <c r="AN4489">
        <f>IF('01_Вводные'!$B$234="Да",'19_Расчет_аналитики'!AM4488*'01_Вводные'!$B$14,0)</f>
        <v/>
      </c>
      <c r="AO4489">
        <f>IF('01_Вводные'!$B$234="Да",'19_Расчет_аналитики'!AN4488*'01_Вводные'!$B$14,0)</f>
        <v/>
      </c>
      <c r="AP4489">
        <f>IF('01_Вводные'!$B$234="Да",'19_Расчет_аналитики'!AO4488*'01_Вводные'!$B$14,0)</f>
        <v/>
      </c>
      <c r="AQ4489">
        <f>IF('01_Вводные'!$B$234="Да",'19_Расчет_аналитики'!AP4488*'01_Вводные'!$B$14,0)</f>
        <v/>
      </c>
      <c r="AR4489">
        <f>IF('01_Вводные'!$B$234="Да",'19_Расчет_аналитики'!AQ4488*'01_Вводные'!$B$14,0)</f>
        <v/>
      </c>
      <c r="AS4489">
        <f>IF('01_Вводные'!$B$234="Да",'19_Расчет_аналитики'!AR4488*'01_Вводные'!$B$14,0)</f>
        <v/>
      </c>
      <c r="AT4489">
        <f>IF('01_Вводные'!$B$234="Да",'19_Расчет_аналитики'!AS4488*'01_Вводные'!$B$14,0)</f>
        <v/>
      </c>
      <c r="AU4489">
        <f>IF('01_Вводные'!$B$234="Да",'19_Расчет_аналитики'!AT4488*'01_Вводные'!$B$14,0)</f>
        <v/>
      </c>
      <c r="AV4489">
        <f>IF('01_Вводные'!$B$234="Да",'19_Расчет_аналитики'!AU4488*'01_Вводные'!$B$14,0)</f>
        <v/>
      </c>
      <c r="AW4489">
        <f>IF('01_Вводные'!$B$234="Да",'19_Расчет_аналитики'!AV4488*'01_Вводные'!$B$14,0)</f>
        <v/>
      </c>
      <c r="AX4489">
        <f>IF('01_Вводные'!$B$234="Да",'19_Расчет_аналитики'!AW4488*'01_Вводные'!$B$14,0)</f>
        <v/>
      </c>
      <c r="AY4489">
        <f>IF('01_Вводные'!$B$234="Да",'19_Расчет_аналитики'!AX4488*'01_Вводные'!$B$14,0)</f>
        <v/>
      </c>
      <c r="AZ4489">
        <f>IF('01_Вводные'!$B$234="Да",'19_Расчет_аналитики'!AY4488*'01_Вводные'!$B$14,0)</f>
        <v/>
      </c>
      <c r="BA4489">
        <f>IF('01_Вводные'!$B$234="Да",'19_Расчет_аналитики'!AZ4488*'01_Вводные'!$B$14,0)</f>
        <v/>
      </c>
      <c r="BB4489">
        <f>IF('01_Вводные'!$B$234="Да",'19_Расчет_аналитики'!BA4488*'01_Вводные'!$B$14,0)</f>
        <v/>
      </c>
      <c r="BC4489">
        <f>IF('01_Вводные'!$B$234="Да",'19_Расчет_аналитики'!BB4488*'01_Вводные'!$B$14,0)</f>
        <v/>
      </c>
      <c r="BD4489">
        <f>IF('01_Вводные'!$B$234="Да",'19_Расчет_аналитики'!BC4488*'01_Вводные'!$B$14,0)</f>
        <v/>
      </c>
      <c r="BE4489">
        <f>IF('01_Вводные'!$B$234="Да",'19_Расчет_аналитики'!BD4488*'01_Вводные'!$B$14,0)</f>
        <v/>
      </c>
      <c r="BF4489">
        <f>IF('01_Вводные'!$B$234="Да",'19_Расчет_аналитики'!BE4488*'01_Вводные'!$B$14,0)</f>
        <v/>
      </c>
      <c r="BG4489">
        <f>IF('01_Вводные'!$B$234="Да",'19_Расчет_аналитики'!BF4488*'01_Вводные'!$B$14,0)</f>
        <v/>
      </c>
      <c r="BH4489">
        <f>IF('01_Вводные'!$B$234="Да",'19_Расчет_аналитики'!BG4488*'01_Вводные'!$B$14,0)</f>
        <v/>
      </c>
      <c r="BI4489">
        <f>IF('01_Вводные'!$B$234="Да",'19_Расчет_аналитики'!BH4488*'01_Вводные'!$B$14,0)</f>
        <v/>
      </c>
      <c r="BJ4489">
        <f>IF('01_Вводные'!$B$234="Да",'19_Расчет_аналитики'!BI4488*'01_Вводные'!$B$14,0)</f>
        <v/>
      </c>
      <c r="BK4489">
        <f>IF('01_Вводные'!$B$234="Да",'19_Расчет_аналитики'!BJ4488*'01_Вводные'!$B$14,0)</f>
        <v/>
      </c>
      <c r="BL4489">
        <f>IF('01_Вводные'!$B$234="Да",'19_Расчет_аналитики'!BK4488*'01_Вводные'!$B$14,0)</f>
        <v/>
      </c>
      <c r="BM4489">
        <f>IF('01_Вводные'!$B$234="Да",'19_Расчет_аналитики'!BL4488*'01_Вводные'!$B$14,0)</f>
        <v/>
      </c>
      <c r="BN4489">
        <f>IF('01_Вводные'!$B$234="Да",'19_Расчет_аналитики'!BM4488*'01_Вводные'!$B$14,0)</f>
        <v/>
      </c>
      <c r="BO4489">
        <f>IF('01_Вводные'!$B$234="Да",'19_Расчет_аналитики'!BN4488*'01_Вводные'!$B$14,0)</f>
        <v/>
      </c>
    </row>
    <row r="4490">
      <c r="B4490">
        <f>'06_Сеть_и_дети'!B87</f>
        <v/>
      </c>
      <c r="C4490">
        <f>'06_Сеть_и_дети'!C87</f>
        <v/>
      </c>
      <c r="D4490">
        <f>'06_Сеть_и_дети'!D87</f>
        <v/>
      </c>
      <c r="E4490">
        <f>'06_Сеть_и_дети'!E87</f>
        <v/>
      </c>
      <c r="F4490">
        <f>'06_Сеть_и_дети'!F87</f>
        <v/>
      </c>
      <c r="G4490">
        <f>'06_Сеть_и_дети'!G87</f>
        <v/>
      </c>
      <c r="H4490">
        <f>IF('01_Вводные'!$B$234="Да",'19_Расчет_аналитики'!G4489*'01_Вводные'!$B$14,0)</f>
        <v/>
      </c>
      <c r="I4490">
        <f>IF('01_Вводные'!$B$234="Да",'19_Расчет_аналитики'!H4489*'01_Вводные'!$B$14,0)</f>
        <v/>
      </c>
      <c r="J4490">
        <f>IF('01_Вводные'!$B$234="Да",'19_Расчет_аналитики'!I4489*'01_Вводные'!$B$14,0)</f>
        <v/>
      </c>
      <c r="K4490">
        <f>IF('01_Вводные'!$B$234="Да",'19_Расчет_аналитики'!J4489*'01_Вводные'!$B$14,0)</f>
        <v/>
      </c>
      <c r="L4490">
        <f>IF('01_Вводные'!$B$234="Да",'19_Расчет_аналитики'!K4489*'01_Вводные'!$B$14,0)</f>
        <v/>
      </c>
      <c r="M4490">
        <f>IF('01_Вводные'!$B$234="Да",'19_Расчет_аналитики'!L4489*'01_Вводные'!$B$14,0)</f>
        <v/>
      </c>
      <c r="N4490">
        <f>IF('01_Вводные'!$B$234="Да",'19_Расчет_аналитики'!M4489*'01_Вводные'!$B$14,0)</f>
        <v/>
      </c>
      <c r="O4490">
        <f>IF('01_Вводные'!$B$234="Да",'19_Расчет_аналитики'!N4489*'01_Вводные'!$B$14,0)</f>
        <v/>
      </c>
      <c r="P4490">
        <f>IF('01_Вводные'!$B$234="Да",'19_Расчет_аналитики'!O4489*'01_Вводные'!$B$14,0)</f>
        <v/>
      </c>
      <c r="Q4490">
        <f>IF('01_Вводные'!$B$234="Да",'19_Расчет_аналитики'!P4489*'01_Вводные'!$B$14,0)</f>
        <v/>
      </c>
      <c r="R4490">
        <f>IF('01_Вводные'!$B$234="Да",'19_Расчет_аналитики'!Q4489*'01_Вводные'!$B$14,0)</f>
        <v/>
      </c>
      <c r="S4490">
        <f>IF('01_Вводные'!$B$234="Да",'19_Расчет_аналитики'!R4489*'01_Вводные'!$B$14,0)</f>
        <v/>
      </c>
      <c r="T4490">
        <f>IF('01_Вводные'!$B$234="Да",'19_Расчет_аналитики'!S4489*'01_Вводные'!$B$14,0)</f>
        <v/>
      </c>
      <c r="U4490">
        <f>IF('01_Вводные'!$B$234="Да",'19_Расчет_аналитики'!T4489*'01_Вводные'!$B$14,0)</f>
        <v/>
      </c>
      <c r="V4490">
        <f>IF('01_Вводные'!$B$234="Да",'19_Расчет_аналитики'!U4489*'01_Вводные'!$B$14,0)</f>
        <v/>
      </c>
      <c r="W4490">
        <f>IF('01_Вводные'!$B$234="Да",'19_Расчет_аналитики'!V4489*'01_Вводные'!$B$14,0)</f>
        <v/>
      </c>
      <c r="X4490">
        <f>IF('01_Вводные'!$B$234="Да",'19_Расчет_аналитики'!W4489*'01_Вводные'!$B$14,0)</f>
        <v/>
      </c>
      <c r="Y4490">
        <f>IF('01_Вводные'!$B$234="Да",'19_Расчет_аналитики'!X4489*'01_Вводные'!$B$14,0)</f>
        <v/>
      </c>
      <c r="Z4490">
        <f>IF('01_Вводные'!$B$234="Да",'19_Расчет_аналитики'!Y4489*'01_Вводные'!$B$14,0)</f>
        <v/>
      </c>
      <c r="AA4490">
        <f>IF('01_Вводные'!$B$234="Да",'19_Расчет_аналитики'!Z4489*'01_Вводные'!$B$14,0)</f>
        <v/>
      </c>
      <c r="AB4490">
        <f>IF('01_Вводные'!$B$234="Да",'19_Расчет_аналитики'!AA4489*'01_Вводные'!$B$14,0)</f>
        <v/>
      </c>
      <c r="AC4490">
        <f>IF('01_Вводные'!$B$234="Да",'19_Расчет_аналитики'!AB4489*'01_Вводные'!$B$14,0)</f>
        <v/>
      </c>
      <c r="AD4490">
        <f>IF('01_Вводные'!$B$234="Да",'19_Расчет_аналитики'!AC4489*'01_Вводные'!$B$14,0)</f>
        <v/>
      </c>
      <c r="AE4490">
        <f>IF('01_Вводные'!$B$234="Да",'19_Расчет_аналитики'!AD4489*'01_Вводные'!$B$14,0)</f>
        <v/>
      </c>
      <c r="AF4490">
        <f>IF('01_Вводные'!$B$234="Да",'19_Расчет_аналитики'!AE4489*'01_Вводные'!$B$14,0)</f>
        <v/>
      </c>
      <c r="AG4490">
        <f>IF('01_Вводные'!$B$234="Да",'19_Расчет_аналитики'!AF4489*'01_Вводные'!$B$14,0)</f>
        <v/>
      </c>
      <c r="AH4490">
        <f>IF('01_Вводные'!$B$234="Да",'19_Расчет_аналитики'!AG4489*'01_Вводные'!$B$14,0)</f>
        <v/>
      </c>
      <c r="AI4490">
        <f>IF('01_Вводные'!$B$234="Да",'19_Расчет_аналитики'!AH4489*'01_Вводные'!$B$14,0)</f>
        <v/>
      </c>
      <c r="AJ4490">
        <f>IF('01_Вводные'!$B$234="Да",'19_Расчет_аналитики'!AI4489*'01_Вводные'!$B$14,0)</f>
        <v/>
      </c>
      <c r="AK4490">
        <f>IF('01_Вводные'!$B$234="Да",'19_Расчет_аналитики'!AJ4489*'01_Вводные'!$B$14,0)</f>
        <v/>
      </c>
      <c r="AL4490">
        <f>IF('01_Вводные'!$B$234="Да",'19_Расчет_аналитики'!AK4489*'01_Вводные'!$B$14,0)</f>
        <v/>
      </c>
      <c r="AM4490">
        <f>IF('01_Вводные'!$B$234="Да",'19_Расчет_аналитики'!AL4489*'01_Вводные'!$B$14,0)</f>
        <v/>
      </c>
      <c r="AN4490">
        <f>IF('01_Вводные'!$B$234="Да",'19_Расчет_аналитики'!AM4489*'01_Вводные'!$B$14,0)</f>
        <v/>
      </c>
      <c r="AO4490">
        <f>IF('01_Вводные'!$B$234="Да",'19_Расчет_аналитики'!AN4489*'01_Вводные'!$B$14,0)</f>
        <v/>
      </c>
      <c r="AP4490">
        <f>IF('01_Вводные'!$B$234="Да",'19_Расчет_аналитики'!AO4489*'01_Вводные'!$B$14,0)</f>
        <v/>
      </c>
      <c r="AQ4490">
        <f>IF('01_Вводные'!$B$234="Да",'19_Расчет_аналитики'!AP4489*'01_Вводные'!$B$14,0)</f>
        <v/>
      </c>
      <c r="AR4490">
        <f>IF('01_Вводные'!$B$234="Да",'19_Расчет_аналитики'!AQ4489*'01_Вводные'!$B$14,0)</f>
        <v/>
      </c>
      <c r="AS4490">
        <f>IF('01_Вводные'!$B$234="Да",'19_Расчет_аналитики'!AR4489*'01_Вводные'!$B$14,0)</f>
        <v/>
      </c>
      <c r="AT4490">
        <f>IF('01_Вводные'!$B$234="Да",'19_Расчет_аналитики'!AS4489*'01_Вводные'!$B$14,0)</f>
        <v/>
      </c>
      <c r="AU4490">
        <f>IF('01_Вводные'!$B$234="Да",'19_Расчет_аналитики'!AT4489*'01_Вводные'!$B$14,0)</f>
        <v/>
      </c>
      <c r="AV4490">
        <f>IF('01_Вводные'!$B$234="Да",'19_Расчет_аналитики'!AU4489*'01_Вводные'!$B$14,0)</f>
        <v/>
      </c>
      <c r="AW4490">
        <f>IF('01_Вводные'!$B$234="Да",'19_Расчет_аналитики'!AV4489*'01_Вводные'!$B$14,0)</f>
        <v/>
      </c>
      <c r="AX4490">
        <f>IF('01_Вводные'!$B$234="Да",'19_Расчет_аналитики'!AW4489*'01_Вводные'!$B$14,0)</f>
        <v/>
      </c>
      <c r="AY4490">
        <f>IF('01_Вводные'!$B$234="Да",'19_Расчет_аналитики'!AX4489*'01_Вводные'!$B$14,0)</f>
        <v/>
      </c>
      <c r="AZ4490">
        <f>IF('01_Вводные'!$B$234="Да",'19_Расчет_аналитики'!AY4489*'01_Вводные'!$B$14,0)</f>
        <v/>
      </c>
      <c r="BA4490">
        <f>IF('01_Вводные'!$B$234="Да",'19_Расчет_аналитики'!AZ4489*'01_Вводные'!$B$14,0)</f>
        <v/>
      </c>
      <c r="BB4490">
        <f>IF('01_Вводные'!$B$234="Да",'19_Расчет_аналитики'!BA4489*'01_Вводные'!$B$14,0)</f>
        <v/>
      </c>
      <c r="BC4490">
        <f>IF('01_Вводные'!$B$234="Да",'19_Расчет_аналитики'!BB4489*'01_Вводные'!$B$14,0)</f>
        <v/>
      </c>
      <c r="BD4490">
        <f>IF('01_Вводные'!$B$234="Да",'19_Расчет_аналитики'!BC4489*'01_Вводные'!$B$14,0)</f>
        <v/>
      </c>
      <c r="BE4490">
        <f>IF('01_Вводные'!$B$234="Да",'19_Расчет_аналитики'!BD4489*'01_Вводные'!$B$14,0)</f>
        <v/>
      </c>
      <c r="BF4490">
        <f>IF('01_Вводные'!$B$234="Да",'19_Расчет_аналитики'!BE4489*'01_Вводные'!$B$14,0)</f>
        <v/>
      </c>
      <c r="BG4490">
        <f>IF('01_Вводные'!$B$234="Да",'19_Расчет_аналитики'!BF4489*'01_Вводные'!$B$14,0)</f>
        <v/>
      </c>
      <c r="BH4490">
        <f>IF('01_Вводные'!$B$234="Да",'19_Расчет_аналитики'!BG4489*'01_Вводные'!$B$14,0)</f>
        <v/>
      </c>
      <c r="BI4490">
        <f>IF('01_Вводные'!$B$234="Да",'19_Расчет_аналитики'!BH4489*'01_Вводные'!$B$14,0)</f>
        <v/>
      </c>
      <c r="BJ4490">
        <f>IF('01_Вводные'!$B$234="Да",'19_Расчет_аналитики'!BI4489*'01_Вводные'!$B$14,0)</f>
        <v/>
      </c>
      <c r="BK4490">
        <f>IF('01_Вводные'!$B$234="Да",'19_Расчет_аналитики'!BJ4489*'01_Вводные'!$B$14,0)</f>
        <v/>
      </c>
      <c r="BL4490">
        <f>IF('01_Вводные'!$B$234="Да",'19_Расчет_аналитики'!BK4489*'01_Вводные'!$B$14,0)</f>
        <v/>
      </c>
      <c r="BM4490">
        <f>IF('01_Вводные'!$B$234="Да",'19_Расчет_аналитики'!BL4489*'01_Вводные'!$B$14,0)</f>
        <v/>
      </c>
      <c r="BN4490">
        <f>IF('01_Вводные'!$B$234="Да",'19_Расчет_аналитики'!BM4489*'01_Вводные'!$B$14,0)</f>
        <v/>
      </c>
      <c r="BO4490">
        <f>IF('01_Вводные'!$B$234="Да",'19_Расчет_аналитики'!BN4489*'01_Вводные'!$B$14,0)</f>
        <v/>
      </c>
    </row>
    <row r="4491">
      <c r="B4491">
        <f>'06_Сеть_и_дети'!B88</f>
        <v/>
      </c>
      <c r="C4491">
        <f>'06_Сеть_и_дети'!C88</f>
        <v/>
      </c>
      <c r="D4491">
        <f>'06_Сеть_и_дети'!D88</f>
        <v/>
      </c>
      <c r="E4491">
        <f>'06_Сеть_и_дети'!E88</f>
        <v/>
      </c>
      <c r="F4491">
        <f>'06_Сеть_и_дети'!F88</f>
        <v/>
      </c>
      <c r="G4491">
        <f>'06_Сеть_и_дети'!G88</f>
        <v/>
      </c>
      <c r="H4491">
        <f>'06_Сеть_и_дети'!H88</f>
        <v/>
      </c>
      <c r="I4491">
        <f>IF('01_Вводные'!$B$234="Да",'19_Расчет_аналитики'!H4490*'01_Вводные'!$B$14,0)</f>
        <v/>
      </c>
      <c r="J4491">
        <f>IF('01_Вводные'!$B$234="Да",'19_Расчет_аналитики'!I4490*'01_Вводные'!$B$14,0)</f>
        <v/>
      </c>
      <c r="K4491">
        <f>IF('01_Вводные'!$B$234="Да",'19_Расчет_аналитики'!J4490*'01_Вводные'!$B$14,0)</f>
        <v/>
      </c>
      <c r="L4491">
        <f>IF('01_Вводные'!$B$234="Да",'19_Расчет_аналитики'!K4490*'01_Вводные'!$B$14,0)</f>
        <v/>
      </c>
      <c r="M4491">
        <f>IF('01_Вводные'!$B$234="Да",'19_Расчет_аналитики'!L4490*'01_Вводные'!$B$14,0)</f>
        <v/>
      </c>
      <c r="N4491">
        <f>IF('01_Вводные'!$B$234="Да",'19_Расчет_аналитики'!M4490*'01_Вводные'!$B$14,0)</f>
        <v/>
      </c>
      <c r="O4491">
        <f>IF('01_Вводные'!$B$234="Да",'19_Расчет_аналитики'!N4490*'01_Вводные'!$B$14,0)</f>
        <v/>
      </c>
      <c r="P4491">
        <f>IF('01_Вводные'!$B$234="Да",'19_Расчет_аналитики'!O4490*'01_Вводные'!$B$14,0)</f>
        <v/>
      </c>
      <c r="Q4491">
        <f>IF('01_Вводные'!$B$234="Да",'19_Расчет_аналитики'!P4490*'01_Вводные'!$B$14,0)</f>
        <v/>
      </c>
      <c r="R4491">
        <f>IF('01_Вводные'!$B$234="Да",'19_Расчет_аналитики'!Q4490*'01_Вводные'!$B$14,0)</f>
        <v/>
      </c>
      <c r="S4491">
        <f>IF('01_Вводные'!$B$234="Да",'19_Расчет_аналитики'!R4490*'01_Вводные'!$B$14,0)</f>
        <v/>
      </c>
      <c r="T4491">
        <f>IF('01_Вводные'!$B$234="Да",'19_Расчет_аналитики'!S4490*'01_Вводные'!$B$14,0)</f>
        <v/>
      </c>
      <c r="U4491">
        <f>IF('01_Вводные'!$B$234="Да",'19_Расчет_аналитики'!T4490*'01_Вводные'!$B$14,0)</f>
        <v/>
      </c>
      <c r="V4491">
        <f>IF('01_Вводные'!$B$234="Да",'19_Расчет_аналитики'!U4490*'01_Вводные'!$B$14,0)</f>
        <v/>
      </c>
      <c r="W4491">
        <f>IF('01_Вводные'!$B$234="Да",'19_Расчет_аналитики'!V4490*'01_Вводные'!$B$14,0)</f>
        <v/>
      </c>
      <c r="X4491">
        <f>IF('01_Вводные'!$B$234="Да",'19_Расчет_аналитики'!W4490*'01_Вводные'!$B$14,0)</f>
        <v/>
      </c>
      <c r="Y4491">
        <f>IF('01_Вводные'!$B$234="Да",'19_Расчет_аналитики'!X4490*'01_Вводные'!$B$14,0)</f>
        <v/>
      </c>
      <c r="Z4491">
        <f>IF('01_Вводные'!$B$234="Да",'19_Расчет_аналитики'!Y4490*'01_Вводные'!$B$14,0)</f>
        <v/>
      </c>
      <c r="AA4491">
        <f>IF('01_Вводные'!$B$234="Да",'19_Расчет_аналитики'!Z4490*'01_Вводные'!$B$14,0)</f>
        <v/>
      </c>
      <c r="AB4491">
        <f>IF('01_Вводные'!$B$234="Да",'19_Расчет_аналитики'!AA4490*'01_Вводные'!$B$14,0)</f>
        <v/>
      </c>
      <c r="AC4491">
        <f>IF('01_Вводные'!$B$234="Да",'19_Расчет_аналитики'!AB4490*'01_Вводные'!$B$14,0)</f>
        <v/>
      </c>
      <c r="AD4491">
        <f>IF('01_Вводные'!$B$234="Да",'19_Расчет_аналитики'!AC4490*'01_Вводные'!$B$14,0)</f>
        <v/>
      </c>
      <c r="AE4491">
        <f>IF('01_Вводные'!$B$234="Да",'19_Расчет_аналитики'!AD4490*'01_Вводные'!$B$14,0)</f>
        <v/>
      </c>
      <c r="AF4491">
        <f>IF('01_Вводные'!$B$234="Да",'19_Расчет_аналитики'!AE4490*'01_Вводные'!$B$14,0)</f>
        <v/>
      </c>
      <c r="AG4491">
        <f>IF('01_Вводные'!$B$234="Да",'19_Расчет_аналитики'!AF4490*'01_Вводные'!$B$14,0)</f>
        <v/>
      </c>
      <c r="AH4491">
        <f>IF('01_Вводные'!$B$234="Да",'19_Расчет_аналитики'!AG4490*'01_Вводные'!$B$14,0)</f>
        <v/>
      </c>
      <c r="AI4491">
        <f>IF('01_Вводные'!$B$234="Да",'19_Расчет_аналитики'!AH4490*'01_Вводные'!$B$14,0)</f>
        <v/>
      </c>
      <c r="AJ4491">
        <f>IF('01_Вводные'!$B$234="Да",'19_Расчет_аналитики'!AI4490*'01_Вводные'!$B$14,0)</f>
        <v/>
      </c>
      <c r="AK4491">
        <f>IF('01_Вводные'!$B$234="Да",'19_Расчет_аналитики'!AJ4490*'01_Вводные'!$B$14,0)</f>
        <v/>
      </c>
      <c r="AL4491">
        <f>IF('01_Вводные'!$B$234="Да",'19_Расчет_аналитики'!AK4490*'01_Вводные'!$B$14,0)</f>
        <v/>
      </c>
      <c r="AM4491">
        <f>IF('01_Вводные'!$B$234="Да",'19_Расчет_аналитики'!AL4490*'01_Вводные'!$B$14,0)</f>
        <v/>
      </c>
      <c r="AN4491">
        <f>IF('01_Вводные'!$B$234="Да",'19_Расчет_аналитики'!AM4490*'01_Вводные'!$B$14,0)</f>
        <v/>
      </c>
      <c r="AO4491">
        <f>IF('01_Вводные'!$B$234="Да",'19_Расчет_аналитики'!AN4490*'01_Вводные'!$B$14,0)</f>
        <v/>
      </c>
      <c r="AP4491">
        <f>IF('01_Вводные'!$B$234="Да",'19_Расчет_аналитики'!AO4490*'01_Вводные'!$B$14,0)</f>
        <v/>
      </c>
      <c r="AQ4491">
        <f>IF('01_Вводные'!$B$234="Да",'19_Расчет_аналитики'!AP4490*'01_Вводные'!$B$14,0)</f>
        <v/>
      </c>
      <c r="AR4491">
        <f>IF('01_Вводные'!$B$234="Да",'19_Расчет_аналитики'!AQ4490*'01_Вводные'!$B$14,0)</f>
        <v/>
      </c>
      <c r="AS4491">
        <f>IF('01_Вводные'!$B$234="Да",'19_Расчет_аналитики'!AR4490*'01_Вводные'!$B$14,0)</f>
        <v/>
      </c>
      <c r="AT4491">
        <f>IF('01_Вводные'!$B$234="Да",'19_Расчет_аналитики'!AS4490*'01_Вводные'!$B$14,0)</f>
        <v/>
      </c>
      <c r="AU4491">
        <f>IF('01_Вводные'!$B$234="Да",'19_Расчет_аналитики'!AT4490*'01_Вводные'!$B$14,0)</f>
        <v/>
      </c>
      <c r="AV4491">
        <f>IF('01_Вводные'!$B$234="Да",'19_Расчет_аналитики'!AU4490*'01_Вводные'!$B$14,0)</f>
        <v/>
      </c>
      <c r="AW4491">
        <f>IF('01_Вводные'!$B$234="Да",'19_Расчет_аналитики'!AV4490*'01_Вводные'!$B$14,0)</f>
        <v/>
      </c>
      <c r="AX4491">
        <f>IF('01_Вводные'!$B$234="Да",'19_Расчет_аналитики'!AW4490*'01_Вводные'!$B$14,0)</f>
        <v/>
      </c>
      <c r="AY4491">
        <f>IF('01_Вводные'!$B$234="Да",'19_Расчет_аналитики'!AX4490*'01_Вводные'!$B$14,0)</f>
        <v/>
      </c>
      <c r="AZ4491">
        <f>IF('01_Вводные'!$B$234="Да",'19_Расчет_аналитики'!AY4490*'01_Вводные'!$B$14,0)</f>
        <v/>
      </c>
      <c r="BA4491">
        <f>IF('01_Вводные'!$B$234="Да",'19_Расчет_аналитики'!AZ4490*'01_Вводные'!$B$14,0)</f>
        <v/>
      </c>
      <c r="BB4491">
        <f>IF('01_Вводные'!$B$234="Да",'19_Расчет_аналитики'!BA4490*'01_Вводные'!$B$14,0)</f>
        <v/>
      </c>
      <c r="BC4491">
        <f>IF('01_Вводные'!$B$234="Да",'19_Расчет_аналитики'!BB4490*'01_Вводные'!$B$14,0)</f>
        <v/>
      </c>
      <c r="BD4491">
        <f>IF('01_Вводные'!$B$234="Да",'19_Расчет_аналитики'!BC4490*'01_Вводные'!$B$14,0)</f>
        <v/>
      </c>
      <c r="BE4491">
        <f>IF('01_Вводные'!$B$234="Да",'19_Расчет_аналитики'!BD4490*'01_Вводные'!$B$14,0)</f>
        <v/>
      </c>
      <c r="BF4491">
        <f>IF('01_Вводные'!$B$234="Да",'19_Расчет_аналитики'!BE4490*'01_Вводные'!$B$14,0)</f>
        <v/>
      </c>
      <c r="BG4491">
        <f>IF('01_Вводные'!$B$234="Да",'19_Расчет_аналитики'!BF4490*'01_Вводные'!$B$14,0)</f>
        <v/>
      </c>
      <c r="BH4491">
        <f>IF('01_Вводные'!$B$234="Да",'19_Расчет_аналитики'!BG4490*'01_Вводные'!$B$14,0)</f>
        <v/>
      </c>
      <c r="BI4491">
        <f>IF('01_Вводные'!$B$234="Да",'19_Расчет_аналитики'!BH4490*'01_Вводные'!$B$14,0)</f>
        <v/>
      </c>
      <c r="BJ4491">
        <f>IF('01_Вводные'!$B$234="Да",'19_Расчет_аналитики'!BI4490*'01_Вводные'!$B$14,0)</f>
        <v/>
      </c>
      <c r="BK4491">
        <f>IF('01_Вводные'!$B$234="Да",'19_Расчет_аналитики'!BJ4490*'01_Вводные'!$B$14,0)</f>
        <v/>
      </c>
      <c r="BL4491">
        <f>IF('01_Вводные'!$B$234="Да",'19_Расчет_аналитики'!BK4490*'01_Вводные'!$B$14,0)</f>
        <v/>
      </c>
      <c r="BM4491">
        <f>IF('01_Вводные'!$B$234="Да",'19_Расчет_аналитики'!BL4490*'01_Вводные'!$B$14,0)</f>
        <v/>
      </c>
      <c r="BN4491">
        <f>IF('01_Вводные'!$B$234="Да",'19_Расчет_аналитики'!BM4490*'01_Вводные'!$B$14,0)</f>
        <v/>
      </c>
      <c r="BO4491">
        <f>IF('01_Вводные'!$B$234="Да",'19_Расчет_аналитики'!BN4490*'01_Вводные'!$B$14,0)</f>
        <v/>
      </c>
    </row>
    <row r="4492">
      <c r="B4492">
        <f>'06_Сеть_и_дети'!B89</f>
        <v/>
      </c>
      <c r="C4492">
        <f>'06_Сеть_и_дети'!C89</f>
        <v/>
      </c>
      <c r="D4492">
        <f>'06_Сеть_и_дети'!D89</f>
        <v/>
      </c>
      <c r="E4492">
        <f>'06_Сеть_и_дети'!E89</f>
        <v/>
      </c>
      <c r="F4492">
        <f>'06_Сеть_и_дети'!F89</f>
        <v/>
      </c>
      <c r="G4492">
        <f>'06_Сеть_и_дети'!G89</f>
        <v/>
      </c>
      <c r="H4492">
        <f>'06_Сеть_и_дети'!H89</f>
        <v/>
      </c>
      <c r="I4492">
        <f>'06_Сеть_и_дети'!I89</f>
        <v/>
      </c>
      <c r="J4492">
        <f>IF('01_Вводные'!$B$234="Да",'19_Расчет_аналитики'!I4491*'01_Вводные'!$B$14,0)</f>
        <v/>
      </c>
      <c r="K4492">
        <f>IF('01_Вводные'!$B$234="Да",'19_Расчет_аналитики'!J4491*'01_Вводные'!$B$14,0)</f>
        <v/>
      </c>
      <c r="L4492">
        <f>IF('01_Вводные'!$B$234="Да",'19_Расчет_аналитики'!K4491*'01_Вводные'!$B$14,0)</f>
        <v/>
      </c>
      <c r="M4492">
        <f>IF('01_Вводные'!$B$234="Да",'19_Расчет_аналитики'!L4491*'01_Вводные'!$B$14,0)</f>
        <v/>
      </c>
      <c r="N4492">
        <f>IF('01_Вводные'!$B$234="Да",'19_Расчет_аналитики'!M4491*'01_Вводные'!$B$14,0)</f>
        <v/>
      </c>
      <c r="O4492">
        <f>IF('01_Вводные'!$B$234="Да",'19_Расчет_аналитики'!N4491*'01_Вводные'!$B$14,0)</f>
        <v/>
      </c>
      <c r="P4492">
        <f>IF('01_Вводные'!$B$234="Да",'19_Расчет_аналитики'!O4491*'01_Вводные'!$B$14,0)</f>
        <v/>
      </c>
      <c r="Q4492">
        <f>IF('01_Вводные'!$B$234="Да",'19_Расчет_аналитики'!P4491*'01_Вводные'!$B$14,0)</f>
        <v/>
      </c>
      <c r="R4492">
        <f>IF('01_Вводные'!$B$234="Да",'19_Расчет_аналитики'!Q4491*'01_Вводные'!$B$14,0)</f>
        <v/>
      </c>
      <c r="S4492">
        <f>IF('01_Вводные'!$B$234="Да",'19_Расчет_аналитики'!R4491*'01_Вводные'!$B$14,0)</f>
        <v/>
      </c>
      <c r="T4492">
        <f>IF('01_Вводные'!$B$234="Да",'19_Расчет_аналитики'!S4491*'01_Вводные'!$B$14,0)</f>
        <v/>
      </c>
      <c r="U4492">
        <f>IF('01_Вводные'!$B$234="Да",'19_Расчет_аналитики'!T4491*'01_Вводные'!$B$14,0)</f>
        <v/>
      </c>
      <c r="V4492">
        <f>IF('01_Вводные'!$B$234="Да",'19_Расчет_аналитики'!U4491*'01_Вводные'!$B$14,0)</f>
        <v/>
      </c>
      <c r="W4492">
        <f>IF('01_Вводные'!$B$234="Да",'19_Расчет_аналитики'!V4491*'01_Вводные'!$B$14,0)</f>
        <v/>
      </c>
      <c r="X4492">
        <f>IF('01_Вводные'!$B$234="Да",'19_Расчет_аналитики'!W4491*'01_Вводные'!$B$14,0)</f>
        <v/>
      </c>
      <c r="Y4492">
        <f>IF('01_Вводные'!$B$234="Да",'19_Расчет_аналитики'!X4491*'01_Вводные'!$B$14,0)</f>
        <v/>
      </c>
      <c r="Z4492">
        <f>IF('01_Вводные'!$B$234="Да",'19_Расчет_аналитики'!Y4491*'01_Вводные'!$B$14,0)</f>
        <v/>
      </c>
      <c r="AA4492">
        <f>IF('01_Вводные'!$B$234="Да",'19_Расчет_аналитики'!Z4491*'01_Вводные'!$B$14,0)</f>
        <v/>
      </c>
      <c r="AB4492">
        <f>IF('01_Вводные'!$B$234="Да",'19_Расчет_аналитики'!AA4491*'01_Вводные'!$B$14,0)</f>
        <v/>
      </c>
      <c r="AC4492">
        <f>IF('01_Вводные'!$B$234="Да",'19_Расчет_аналитики'!AB4491*'01_Вводные'!$B$14,0)</f>
        <v/>
      </c>
      <c r="AD4492">
        <f>IF('01_Вводные'!$B$234="Да",'19_Расчет_аналитики'!AC4491*'01_Вводные'!$B$14,0)</f>
        <v/>
      </c>
      <c r="AE4492">
        <f>IF('01_Вводные'!$B$234="Да",'19_Расчет_аналитики'!AD4491*'01_Вводные'!$B$14,0)</f>
        <v/>
      </c>
      <c r="AF4492">
        <f>IF('01_Вводные'!$B$234="Да",'19_Расчет_аналитики'!AE4491*'01_Вводные'!$B$14,0)</f>
        <v/>
      </c>
      <c r="AG4492">
        <f>IF('01_Вводные'!$B$234="Да",'19_Расчет_аналитики'!AF4491*'01_Вводные'!$B$14,0)</f>
        <v/>
      </c>
      <c r="AH4492">
        <f>IF('01_Вводные'!$B$234="Да",'19_Расчет_аналитики'!AG4491*'01_Вводные'!$B$14,0)</f>
        <v/>
      </c>
      <c r="AI4492">
        <f>IF('01_Вводные'!$B$234="Да",'19_Расчет_аналитики'!AH4491*'01_Вводные'!$B$14,0)</f>
        <v/>
      </c>
      <c r="AJ4492">
        <f>IF('01_Вводные'!$B$234="Да",'19_Расчет_аналитики'!AI4491*'01_Вводные'!$B$14,0)</f>
        <v/>
      </c>
      <c r="AK4492">
        <f>IF('01_Вводные'!$B$234="Да",'19_Расчет_аналитики'!AJ4491*'01_Вводные'!$B$14,0)</f>
        <v/>
      </c>
      <c r="AL4492">
        <f>IF('01_Вводные'!$B$234="Да",'19_Расчет_аналитики'!AK4491*'01_Вводные'!$B$14,0)</f>
        <v/>
      </c>
      <c r="AM4492">
        <f>IF('01_Вводные'!$B$234="Да",'19_Расчет_аналитики'!AL4491*'01_Вводные'!$B$14,0)</f>
        <v/>
      </c>
      <c r="AN4492">
        <f>IF('01_Вводные'!$B$234="Да",'19_Расчет_аналитики'!AM4491*'01_Вводные'!$B$14,0)</f>
        <v/>
      </c>
      <c r="AO4492">
        <f>IF('01_Вводные'!$B$234="Да",'19_Расчет_аналитики'!AN4491*'01_Вводные'!$B$14,0)</f>
        <v/>
      </c>
      <c r="AP4492">
        <f>IF('01_Вводные'!$B$234="Да",'19_Расчет_аналитики'!AO4491*'01_Вводные'!$B$14,0)</f>
        <v/>
      </c>
      <c r="AQ4492">
        <f>IF('01_Вводные'!$B$234="Да",'19_Расчет_аналитики'!AP4491*'01_Вводные'!$B$14,0)</f>
        <v/>
      </c>
      <c r="AR4492">
        <f>IF('01_Вводные'!$B$234="Да",'19_Расчет_аналитики'!AQ4491*'01_Вводные'!$B$14,0)</f>
        <v/>
      </c>
      <c r="AS4492">
        <f>IF('01_Вводные'!$B$234="Да",'19_Расчет_аналитики'!AR4491*'01_Вводные'!$B$14,0)</f>
        <v/>
      </c>
      <c r="AT4492">
        <f>IF('01_Вводные'!$B$234="Да",'19_Расчет_аналитики'!AS4491*'01_Вводные'!$B$14,0)</f>
        <v/>
      </c>
      <c r="AU4492">
        <f>IF('01_Вводные'!$B$234="Да",'19_Расчет_аналитики'!AT4491*'01_Вводные'!$B$14,0)</f>
        <v/>
      </c>
      <c r="AV4492">
        <f>IF('01_Вводные'!$B$234="Да",'19_Расчет_аналитики'!AU4491*'01_Вводные'!$B$14,0)</f>
        <v/>
      </c>
      <c r="AW4492">
        <f>IF('01_Вводные'!$B$234="Да",'19_Расчет_аналитики'!AV4491*'01_Вводные'!$B$14,0)</f>
        <v/>
      </c>
      <c r="AX4492">
        <f>IF('01_Вводные'!$B$234="Да",'19_Расчет_аналитики'!AW4491*'01_Вводные'!$B$14,0)</f>
        <v/>
      </c>
      <c r="AY4492">
        <f>IF('01_Вводные'!$B$234="Да",'19_Расчет_аналитики'!AX4491*'01_Вводные'!$B$14,0)</f>
        <v/>
      </c>
      <c r="AZ4492">
        <f>IF('01_Вводные'!$B$234="Да",'19_Расчет_аналитики'!AY4491*'01_Вводные'!$B$14,0)</f>
        <v/>
      </c>
      <c r="BA4492">
        <f>IF('01_Вводные'!$B$234="Да",'19_Расчет_аналитики'!AZ4491*'01_Вводные'!$B$14,0)</f>
        <v/>
      </c>
      <c r="BB4492">
        <f>IF('01_Вводные'!$B$234="Да",'19_Расчет_аналитики'!BA4491*'01_Вводные'!$B$14,0)</f>
        <v/>
      </c>
      <c r="BC4492">
        <f>IF('01_Вводные'!$B$234="Да",'19_Расчет_аналитики'!BB4491*'01_Вводные'!$B$14,0)</f>
        <v/>
      </c>
      <c r="BD4492">
        <f>IF('01_Вводные'!$B$234="Да",'19_Расчет_аналитики'!BC4491*'01_Вводные'!$B$14,0)</f>
        <v/>
      </c>
      <c r="BE4492">
        <f>IF('01_Вводные'!$B$234="Да",'19_Расчет_аналитики'!BD4491*'01_Вводные'!$B$14,0)</f>
        <v/>
      </c>
      <c r="BF4492">
        <f>IF('01_Вводные'!$B$234="Да",'19_Расчет_аналитики'!BE4491*'01_Вводные'!$B$14,0)</f>
        <v/>
      </c>
      <c r="BG4492">
        <f>IF('01_Вводные'!$B$234="Да",'19_Расчет_аналитики'!BF4491*'01_Вводные'!$B$14,0)</f>
        <v/>
      </c>
      <c r="BH4492">
        <f>IF('01_Вводные'!$B$234="Да",'19_Расчет_аналитики'!BG4491*'01_Вводные'!$B$14,0)</f>
        <v/>
      </c>
      <c r="BI4492">
        <f>IF('01_Вводные'!$B$234="Да",'19_Расчет_аналитики'!BH4491*'01_Вводные'!$B$14,0)</f>
        <v/>
      </c>
      <c r="BJ4492">
        <f>IF('01_Вводные'!$B$234="Да",'19_Расчет_аналитики'!BI4491*'01_Вводные'!$B$14,0)</f>
        <v/>
      </c>
      <c r="BK4492">
        <f>IF('01_Вводные'!$B$234="Да",'19_Расчет_аналитики'!BJ4491*'01_Вводные'!$B$14,0)</f>
        <v/>
      </c>
      <c r="BL4492">
        <f>IF('01_Вводные'!$B$234="Да",'19_Расчет_аналитики'!BK4491*'01_Вводные'!$B$14,0)</f>
        <v/>
      </c>
      <c r="BM4492">
        <f>IF('01_Вводные'!$B$234="Да",'19_Расчет_аналитики'!BL4491*'01_Вводные'!$B$14,0)</f>
        <v/>
      </c>
      <c r="BN4492">
        <f>IF('01_Вводные'!$B$234="Да",'19_Расчет_аналитики'!BM4491*'01_Вводные'!$B$14,0)</f>
        <v/>
      </c>
      <c r="BO4492">
        <f>IF('01_Вводные'!$B$234="Да",'19_Расчет_аналитики'!BN4491*'01_Вводные'!$B$14,0)</f>
        <v/>
      </c>
    </row>
    <row r="4493">
      <c r="B4493">
        <f>'06_Сеть_и_дети'!B90</f>
        <v/>
      </c>
      <c r="C4493">
        <f>'06_Сеть_и_дети'!C90</f>
        <v/>
      </c>
      <c r="D4493">
        <f>'06_Сеть_и_дети'!D90</f>
        <v/>
      </c>
      <c r="E4493">
        <f>'06_Сеть_и_дети'!E90</f>
        <v/>
      </c>
      <c r="F4493">
        <f>'06_Сеть_и_дети'!F90</f>
        <v/>
      </c>
      <c r="G4493">
        <f>'06_Сеть_и_дети'!G90</f>
        <v/>
      </c>
      <c r="H4493">
        <f>'06_Сеть_и_дети'!H90</f>
        <v/>
      </c>
      <c r="I4493">
        <f>'06_Сеть_и_дети'!I90</f>
        <v/>
      </c>
      <c r="J4493">
        <f>'06_Сеть_и_дети'!J90</f>
        <v/>
      </c>
      <c r="K4493">
        <f>IF('01_Вводные'!$B$234="Да",'19_Расчет_аналитики'!J4492*'01_Вводные'!$B$14,0)</f>
        <v/>
      </c>
      <c r="L4493">
        <f>IF('01_Вводные'!$B$234="Да",'19_Расчет_аналитики'!K4492*'01_Вводные'!$B$14,0)</f>
        <v/>
      </c>
      <c r="M4493">
        <f>IF('01_Вводные'!$B$234="Да",'19_Расчет_аналитики'!L4492*'01_Вводные'!$B$14,0)</f>
        <v/>
      </c>
      <c r="N4493">
        <f>IF('01_Вводные'!$B$234="Да",'19_Расчет_аналитики'!M4492*'01_Вводные'!$B$14,0)</f>
        <v/>
      </c>
      <c r="O4493">
        <f>IF('01_Вводные'!$B$234="Да",'19_Расчет_аналитики'!N4492*'01_Вводные'!$B$14,0)</f>
        <v/>
      </c>
      <c r="P4493">
        <f>IF('01_Вводные'!$B$234="Да",'19_Расчет_аналитики'!O4492*'01_Вводные'!$B$14,0)</f>
        <v/>
      </c>
      <c r="Q4493">
        <f>IF('01_Вводные'!$B$234="Да",'19_Расчет_аналитики'!P4492*'01_Вводные'!$B$14,0)</f>
        <v/>
      </c>
      <c r="R4493">
        <f>IF('01_Вводные'!$B$234="Да",'19_Расчет_аналитики'!Q4492*'01_Вводные'!$B$14,0)</f>
        <v/>
      </c>
      <c r="S4493">
        <f>IF('01_Вводные'!$B$234="Да",'19_Расчет_аналитики'!R4492*'01_Вводные'!$B$14,0)</f>
        <v/>
      </c>
      <c r="T4493">
        <f>IF('01_Вводные'!$B$234="Да",'19_Расчет_аналитики'!S4492*'01_Вводные'!$B$14,0)</f>
        <v/>
      </c>
      <c r="U4493">
        <f>IF('01_Вводные'!$B$234="Да",'19_Расчет_аналитики'!T4492*'01_Вводные'!$B$14,0)</f>
        <v/>
      </c>
      <c r="V4493">
        <f>IF('01_Вводные'!$B$234="Да",'19_Расчет_аналитики'!U4492*'01_Вводные'!$B$14,0)</f>
        <v/>
      </c>
      <c r="W4493">
        <f>IF('01_Вводные'!$B$234="Да",'19_Расчет_аналитики'!V4492*'01_Вводные'!$B$14,0)</f>
        <v/>
      </c>
      <c r="X4493">
        <f>IF('01_Вводные'!$B$234="Да",'19_Расчет_аналитики'!W4492*'01_Вводные'!$B$14,0)</f>
        <v/>
      </c>
      <c r="Y4493">
        <f>IF('01_Вводные'!$B$234="Да",'19_Расчет_аналитики'!X4492*'01_Вводные'!$B$14,0)</f>
        <v/>
      </c>
      <c r="Z4493">
        <f>IF('01_Вводные'!$B$234="Да",'19_Расчет_аналитики'!Y4492*'01_Вводные'!$B$14,0)</f>
        <v/>
      </c>
      <c r="AA4493">
        <f>IF('01_Вводные'!$B$234="Да",'19_Расчет_аналитики'!Z4492*'01_Вводные'!$B$14,0)</f>
        <v/>
      </c>
      <c r="AB4493">
        <f>IF('01_Вводные'!$B$234="Да",'19_Расчет_аналитики'!AA4492*'01_Вводные'!$B$14,0)</f>
        <v/>
      </c>
      <c r="AC4493">
        <f>IF('01_Вводные'!$B$234="Да",'19_Расчет_аналитики'!AB4492*'01_Вводные'!$B$14,0)</f>
        <v/>
      </c>
      <c r="AD4493">
        <f>IF('01_Вводные'!$B$234="Да",'19_Расчет_аналитики'!AC4492*'01_Вводные'!$B$14,0)</f>
        <v/>
      </c>
      <c r="AE4493">
        <f>IF('01_Вводные'!$B$234="Да",'19_Расчет_аналитики'!AD4492*'01_Вводные'!$B$14,0)</f>
        <v/>
      </c>
      <c r="AF4493">
        <f>IF('01_Вводные'!$B$234="Да",'19_Расчет_аналитики'!AE4492*'01_Вводные'!$B$14,0)</f>
        <v/>
      </c>
      <c r="AG4493">
        <f>IF('01_Вводные'!$B$234="Да",'19_Расчет_аналитики'!AF4492*'01_Вводные'!$B$14,0)</f>
        <v/>
      </c>
      <c r="AH4493">
        <f>IF('01_Вводные'!$B$234="Да",'19_Расчет_аналитики'!AG4492*'01_Вводные'!$B$14,0)</f>
        <v/>
      </c>
      <c r="AI4493">
        <f>IF('01_Вводные'!$B$234="Да",'19_Расчет_аналитики'!AH4492*'01_Вводные'!$B$14,0)</f>
        <v/>
      </c>
      <c r="AJ4493">
        <f>IF('01_Вводные'!$B$234="Да",'19_Расчет_аналитики'!AI4492*'01_Вводные'!$B$14,0)</f>
        <v/>
      </c>
      <c r="AK4493">
        <f>IF('01_Вводные'!$B$234="Да",'19_Расчет_аналитики'!AJ4492*'01_Вводные'!$B$14,0)</f>
        <v/>
      </c>
      <c r="AL4493">
        <f>IF('01_Вводные'!$B$234="Да",'19_Расчет_аналитики'!AK4492*'01_Вводные'!$B$14,0)</f>
        <v/>
      </c>
      <c r="AM4493">
        <f>IF('01_Вводные'!$B$234="Да",'19_Расчет_аналитики'!AL4492*'01_Вводные'!$B$14,0)</f>
        <v/>
      </c>
      <c r="AN4493">
        <f>IF('01_Вводные'!$B$234="Да",'19_Расчет_аналитики'!AM4492*'01_Вводные'!$B$14,0)</f>
        <v/>
      </c>
      <c r="AO4493">
        <f>IF('01_Вводные'!$B$234="Да",'19_Расчет_аналитики'!AN4492*'01_Вводные'!$B$14,0)</f>
        <v/>
      </c>
      <c r="AP4493">
        <f>IF('01_Вводные'!$B$234="Да",'19_Расчет_аналитики'!AO4492*'01_Вводные'!$B$14,0)</f>
        <v/>
      </c>
      <c r="AQ4493">
        <f>IF('01_Вводные'!$B$234="Да",'19_Расчет_аналитики'!AP4492*'01_Вводные'!$B$14,0)</f>
        <v/>
      </c>
      <c r="AR4493">
        <f>IF('01_Вводные'!$B$234="Да",'19_Расчет_аналитики'!AQ4492*'01_Вводные'!$B$14,0)</f>
        <v/>
      </c>
      <c r="AS4493">
        <f>IF('01_Вводные'!$B$234="Да",'19_Расчет_аналитики'!AR4492*'01_Вводные'!$B$14,0)</f>
        <v/>
      </c>
      <c r="AT4493">
        <f>IF('01_Вводные'!$B$234="Да",'19_Расчет_аналитики'!AS4492*'01_Вводные'!$B$14,0)</f>
        <v/>
      </c>
      <c r="AU4493">
        <f>IF('01_Вводные'!$B$234="Да",'19_Расчет_аналитики'!AT4492*'01_Вводные'!$B$14,0)</f>
        <v/>
      </c>
      <c r="AV4493">
        <f>IF('01_Вводные'!$B$234="Да",'19_Расчет_аналитики'!AU4492*'01_Вводные'!$B$14,0)</f>
        <v/>
      </c>
      <c r="AW4493">
        <f>IF('01_Вводные'!$B$234="Да",'19_Расчет_аналитики'!AV4492*'01_Вводные'!$B$14,0)</f>
        <v/>
      </c>
      <c r="AX4493">
        <f>IF('01_Вводные'!$B$234="Да",'19_Расчет_аналитики'!AW4492*'01_Вводные'!$B$14,0)</f>
        <v/>
      </c>
      <c r="AY4493">
        <f>IF('01_Вводные'!$B$234="Да",'19_Расчет_аналитики'!AX4492*'01_Вводные'!$B$14,0)</f>
        <v/>
      </c>
      <c r="AZ4493">
        <f>IF('01_Вводные'!$B$234="Да",'19_Расчет_аналитики'!AY4492*'01_Вводные'!$B$14,0)</f>
        <v/>
      </c>
      <c r="BA4493">
        <f>IF('01_Вводные'!$B$234="Да",'19_Расчет_аналитики'!AZ4492*'01_Вводные'!$B$14,0)</f>
        <v/>
      </c>
      <c r="BB4493">
        <f>IF('01_Вводные'!$B$234="Да",'19_Расчет_аналитики'!BA4492*'01_Вводные'!$B$14,0)</f>
        <v/>
      </c>
      <c r="BC4493">
        <f>IF('01_Вводные'!$B$234="Да",'19_Расчет_аналитики'!BB4492*'01_Вводные'!$B$14,0)</f>
        <v/>
      </c>
      <c r="BD4493">
        <f>IF('01_Вводные'!$B$234="Да",'19_Расчет_аналитики'!BC4492*'01_Вводные'!$B$14,0)</f>
        <v/>
      </c>
      <c r="BE4493">
        <f>IF('01_Вводные'!$B$234="Да",'19_Расчет_аналитики'!BD4492*'01_Вводные'!$B$14,0)</f>
        <v/>
      </c>
      <c r="BF4493">
        <f>IF('01_Вводные'!$B$234="Да",'19_Расчет_аналитики'!BE4492*'01_Вводные'!$B$14,0)</f>
        <v/>
      </c>
      <c r="BG4493">
        <f>IF('01_Вводные'!$B$234="Да",'19_Расчет_аналитики'!BF4492*'01_Вводные'!$B$14,0)</f>
        <v/>
      </c>
      <c r="BH4493">
        <f>IF('01_Вводные'!$B$234="Да",'19_Расчет_аналитики'!BG4492*'01_Вводные'!$B$14,0)</f>
        <v/>
      </c>
      <c r="BI4493">
        <f>IF('01_Вводные'!$B$234="Да",'19_Расчет_аналитики'!BH4492*'01_Вводные'!$B$14,0)</f>
        <v/>
      </c>
      <c r="BJ4493">
        <f>IF('01_Вводные'!$B$234="Да",'19_Расчет_аналитики'!BI4492*'01_Вводные'!$B$14,0)</f>
        <v/>
      </c>
      <c r="BK4493">
        <f>IF('01_Вводные'!$B$234="Да",'19_Расчет_аналитики'!BJ4492*'01_Вводные'!$B$14,0)</f>
        <v/>
      </c>
      <c r="BL4493">
        <f>IF('01_Вводные'!$B$234="Да",'19_Расчет_аналитики'!BK4492*'01_Вводные'!$B$14,0)</f>
        <v/>
      </c>
      <c r="BM4493">
        <f>IF('01_Вводные'!$B$234="Да",'19_Расчет_аналитики'!BL4492*'01_Вводные'!$B$14,0)</f>
        <v/>
      </c>
      <c r="BN4493">
        <f>IF('01_Вводные'!$B$234="Да",'19_Расчет_аналитики'!BM4492*'01_Вводные'!$B$14,0)</f>
        <v/>
      </c>
      <c r="BO4493">
        <f>IF('01_Вводные'!$B$234="Да",'19_Расчет_аналитики'!BN4492*'01_Вводные'!$B$14,0)</f>
        <v/>
      </c>
    </row>
    <row r="4494">
      <c r="B4494">
        <f>'06_Сеть_и_дети'!B91</f>
        <v/>
      </c>
      <c r="C4494">
        <f>'06_Сеть_и_дети'!C91</f>
        <v/>
      </c>
      <c r="D4494">
        <f>'06_Сеть_и_дети'!D91</f>
        <v/>
      </c>
      <c r="E4494">
        <f>'06_Сеть_и_дети'!E91</f>
        <v/>
      </c>
      <c r="F4494">
        <f>'06_Сеть_и_дети'!F91</f>
        <v/>
      </c>
      <c r="G4494">
        <f>'06_Сеть_и_дети'!G91</f>
        <v/>
      </c>
      <c r="H4494">
        <f>'06_Сеть_и_дети'!H91</f>
        <v/>
      </c>
      <c r="I4494">
        <f>'06_Сеть_и_дети'!I91</f>
        <v/>
      </c>
      <c r="J4494">
        <f>'06_Сеть_и_дети'!J91</f>
        <v/>
      </c>
      <c r="K4494">
        <f>'06_Сеть_и_дети'!K91</f>
        <v/>
      </c>
      <c r="L4494">
        <f>IF('01_Вводные'!$B$234="Да",'19_Расчет_аналитики'!K4493*'01_Вводные'!$B$14,0)</f>
        <v/>
      </c>
      <c r="M4494">
        <f>IF('01_Вводные'!$B$234="Да",'19_Расчет_аналитики'!L4493*'01_Вводные'!$B$14,0)</f>
        <v/>
      </c>
      <c r="N4494">
        <f>IF('01_Вводные'!$B$234="Да",'19_Расчет_аналитики'!M4493*'01_Вводные'!$B$14,0)</f>
        <v/>
      </c>
      <c r="O4494">
        <f>IF('01_Вводные'!$B$234="Да",'19_Расчет_аналитики'!N4493*'01_Вводные'!$B$14,0)</f>
        <v/>
      </c>
      <c r="P4494">
        <f>IF('01_Вводные'!$B$234="Да",'19_Расчет_аналитики'!O4493*'01_Вводные'!$B$14,0)</f>
        <v/>
      </c>
      <c r="Q4494">
        <f>IF('01_Вводные'!$B$234="Да",'19_Расчет_аналитики'!P4493*'01_Вводные'!$B$14,0)</f>
        <v/>
      </c>
      <c r="R4494">
        <f>IF('01_Вводные'!$B$234="Да",'19_Расчет_аналитики'!Q4493*'01_Вводные'!$B$14,0)</f>
        <v/>
      </c>
      <c r="S4494">
        <f>IF('01_Вводные'!$B$234="Да",'19_Расчет_аналитики'!R4493*'01_Вводные'!$B$14,0)</f>
        <v/>
      </c>
      <c r="T4494">
        <f>IF('01_Вводные'!$B$234="Да",'19_Расчет_аналитики'!S4493*'01_Вводные'!$B$14,0)</f>
        <v/>
      </c>
      <c r="U4494">
        <f>IF('01_Вводные'!$B$234="Да",'19_Расчет_аналитики'!T4493*'01_Вводные'!$B$14,0)</f>
        <v/>
      </c>
      <c r="V4494">
        <f>IF('01_Вводные'!$B$234="Да",'19_Расчет_аналитики'!U4493*'01_Вводные'!$B$14,0)</f>
        <v/>
      </c>
      <c r="W4494">
        <f>IF('01_Вводные'!$B$234="Да",'19_Расчет_аналитики'!V4493*'01_Вводные'!$B$14,0)</f>
        <v/>
      </c>
      <c r="X4494">
        <f>IF('01_Вводные'!$B$234="Да",'19_Расчет_аналитики'!W4493*'01_Вводные'!$B$14,0)</f>
        <v/>
      </c>
      <c r="Y4494">
        <f>IF('01_Вводные'!$B$234="Да",'19_Расчет_аналитики'!X4493*'01_Вводные'!$B$14,0)</f>
        <v/>
      </c>
      <c r="Z4494">
        <f>IF('01_Вводные'!$B$234="Да",'19_Расчет_аналитики'!Y4493*'01_Вводные'!$B$14,0)</f>
        <v/>
      </c>
      <c r="AA4494">
        <f>IF('01_Вводные'!$B$234="Да",'19_Расчет_аналитики'!Z4493*'01_Вводные'!$B$14,0)</f>
        <v/>
      </c>
      <c r="AB4494">
        <f>IF('01_Вводные'!$B$234="Да",'19_Расчет_аналитики'!AA4493*'01_Вводные'!$B$14,0)</f>
        <v/>
      </c>
      <c r="AC4494">
        <f>IF('01_Вводные'!$B$234="Да",'19_Расчет_аналитики'!AB4493*'01_Вводные'!$B$14,0)</f>
        <v/>
      </c>
      <c r="AD4494">
        <f>IF('01_Вводные'!$B$234="Да",'19_Расчет_аналитики'!AC4493*'01_Вводные'!$B$14,0)</f>
        <v/>
      </c>
      <c r="AE4494">
        <f>IF('01_Вводные'!$B$234="Да",'19_Расчет_аналитики'!AD4493*'01_Вводные'!$B$14,0)</f>
        <v/>
      </c>
      <c r="AF4494">
        <f>IF('01_Вводные'!$B$234="Да",'19_Расчет_аналитики'!AE4493*'01_Вводные'!$B$14,0)</f>
        <v/>
      </c>
      <c r="AG4494">
        <f>IF('01_Вводные'!$B$234="Да",'19_Расчет_аналитики'!AF4493*'01_Вводные'!$B$14,0)</f>
        <v/>
      </c>
      <c r="AH4494">
        <f>IF('01_Вводные'!$B$234="Да",'19_Расчет_аналитики'!AG4493*'01_Вводные'!$B$14,0)</f>
        <v/>
      </c>
      <c r="AI4494">
        <f>IF('01_Вводные'!$B$234="Да",'19_Расчет_аналитики'!AH4493*'01_Вводные'!$B$14,0)</f>
        <v/>
      </c>
      <c r="AJ4494">
        <f>IF('01_Вводные'!$B$234="Да",'19_Расчет_аналитики'!AI4493*'01_Вводные'!$B$14,0)</f>
        <v/>
      </c>
      <c r="AK4494">
        <f>IF('01_Вводные'!$B$234="Да",'19_Расчет_аналитики'!AJ4493*'01_Вводные'!$B$14,0)</f>
        <v/>
      </c>
      <c r="AL4494">
        <f>IF('01_Вводные'!$B$234="Да",'19_Расчет_аналитики'!AK4493*'01_Вводные'!$B$14,0)</f>
        <v/>
      </c>
      <c r="AM4494">
        <f>IF('01_Вводные'!$B$234="Да",'19_Расчет_аналитики'!AL4493*'01_Вводные'!$B$14,0)</f>
        <v/>
      </c>
      <c r="AN4494">
        <f>IF('01_Вводные'!$B$234="Да",'19_Расчет_аналитики'!AM4493*'01_Вводные'!$B$14,0)</f>
        <v/>
      </c>
      <c r="AO4494">
        <f>IF('01_Вводные'!$B$234="Да",'19_Расчет_аналитики'!AN4493*'01_Вводные'!$B$14,0)</f>
        <v/>
      </c>
      <c r="AP4494">
        <f>IF('01_Вводные'!$B$234="Да",'19_Расчет_аналитики'!AO4493*'01_Вводные'!$B$14,0)</f>
        <v/>
      </c>
      <c r="AQ4494">
        <f>IF('01_Вводные'!$B$234="Да",'19_Расчет_аналитики'!AP4493*'01_Вводные'!$B$14,0)</f>
        <v/>
      </c>
      <c r="AR4494">
        <f>IF('01_Вводные'!$B$234="Да",'19_Расчет_аналитики'!AQ4493*'01_Вводные'!$B$14,0)</f>
        <v/>
      </c>
      <c r="AS4494">
        <f>IF('01_Вводные'!$B$234="Да",'19_Расчет_аналитики'!AR4493*'01_Вводные'!$B$14,0)</f>
        <v/>
      </c>
      <c r="AT4494">
        <f>IF('01_Вводные'!$B$234="Да",'19_Расчет_аналитики'!AS4493*'01_Вводные'!$B$14,0)</f>
        <v/>
      </c>
      <c r="AU4494">
        <f>IF('01_Вводные'!$B$234="Да",'19_Расчет_аналитики'!AT4493*'01_Вводные'!$B$14,0)</f>
        <v/>
      </c>
      <c r="AV4494">
        <f>IF('01_Вводные'!$B$234="Да",'19_Расчет_аналитики'!AU4493*'01_Вводные'!$B$14,0)</f>
        <v/>
      </c>
      <c r="AW4494">
        <f>IF('01_Вводные'!$B$234="Да",'19_Расчет_аналитики'!AV4493*'01_Вводные'!$B$14,0)</f>
        <v/>
      </c>
      <c r="AX4494">
        <f>IF('01_Вводные'!$B$234="Да",'19_Расчет_аналитики'!AW4493*'01_Вводные'!$B$14,0)</f>
        <v/>
      </c>
      <c r="AY4494">
        <f>IF('01_Вводные'!$B$234="Да",'19_Расчет_аналитики'!AX4493*'01_Вводные'!$B$14,0)</f>
        <v/>
      </c>
      <c r="AZ4494">
        <f>IF('01_Вводные'!$B$234="Да",'19_Расчет_аналитики'!AY4493*'01_Вводные'!$B$14,0)</f>
        <v/>
      </c>
      <c r="BA4494">
        <f>IF('01_Вводные'!$B$234="Да",'19_Расчет_аналитики'!AZ4493*'01_Вводные'!$B$14,0)</f>
        <v/>
      </c>
      <c r="BB4494">
        <f>IF('01_Вводные'!$B$234="Да",'19_Расчет_аналитики'!BA4493*'01_Вводные'!$B$14,0)</f>
        <v/>
      </c>
      <c r="BC4494">
        <f>IF('01_Вводные'!$B$234="Да",'19_Расчет_аналитики'!BB4493*'01_Вводные'!$B$14,0)</f>
        <v/>
      </c>
      <c r="BD4494">
        <f>IF('01_Вводные'!$B$234="Да",'19_Расчет_аналитики'!BC4493*'01_Вводные'!$B$14,0)</f>
        <v/>
      </c>
      <c r="BE4494">
        <f>IF('01_Вводные'!$B$234="Да",'19_Расчет_аналитики'!BD4493*'01_Вводные'!$B$14,0)</f>
        <v/>
      </c>
      <c r="BF4494">
        <f>IF('01_Вводные'!$B$234="Да",'19_Расчет_аналитики'!BE4493*'01_Вводные'!$B$14,0)</f>
        <v/>
      </c>
      <c r="BG4494">
        <f>IF('01_Вводные'!$B$234="Да",'19_Расчет_аналитики'!BF4493*'01_Вводные'!$B$14,0)</f>
        <v/>
      </c>
      <c r="BH4494">
        <f>IF('01_Вводные'!$B$234="Да",'19_Расчет_аналитики'!BG4493*'01_Вводные'!$B$14,0)</f>
        <v/>
      </c>
      <c r="BI4494">
        <f>IF('01_Вводные'!$B$234="Да",'19_Расчет_аналитики'!BH4493*'01_Вводные'!$B$14,0)</f>
        <v/>
      </c>
      <c r="BJ4494">
        <f>IF('01_Вводные'!$B$234="Да",'19_Расчет_аналитики'!BI4493*'01_Вводные'!$B$14,0)</f>
        <v/>
      </c>
      <c r="BK4494">
        <f>IF('01_Вводные'!$B$234="Да",'19_Расчет_аналитики'!BJ4493*'01_Вводные'!$B$14,0)</f>
        <v/>
      </c>
      <c r="BL4494">
        <f>IF('01_Вводные'!$B$234="Да",'19_Расчет_аналитики'!BK4493*'01_Вводные'!$B$14,0)</f>
        <v/>
      </c>
      <c r="BM4494">
        <f>IF('01_Вводные'!$B$234="Да",'19_Расчет_аналитики'!BL4493*'01_Вводные'!$B$14,0)</f>
        <v/>
      </c>
      <c r="BN4494">
        <f>IF('01_Вводные'!$B$234="Да",'19_Расчет_аналитики'!BM4493*'01_Вводные'!$B$14,0)</f>
        <v/>
      </c>
      <c r="BO4494">
        <f>IF('01_Вводные'!$B$234="Да",'19_Расчет_аналитики'!BN4493*'01_Вводные'!$B$14,0)</f>
        <v/>
      </c>
    </row>
    <row r="4495">
      <c r="B4495">
        <f>'06_Сеть_и_дети'!B92</f>
        <v/>
      </c>
      <c r="C4495">
        <f>'06_Сеть_и_дети'!C92</f>
        <v/>
      </c>
      <c r="D4495">
        <f>'06_Сеть_и_дети'!D92</f>
        <v/>
      </c>
      <c r="E4495">
        <f>'06_Сеть_и_дети'!E92</f>
        <v/>
      </c>
      <c r="F4495">
        <f>'06_Сеть_и_дети'!F92</f>
        <v/>
      </c>
      <c r="G4495">
        <f>'06_Сеть_и_дети'!G92</f>
        <v/>
      </c>
      <c r="H4495">
        <f>'06_Сеть_и_дети'!H92</f>
        <v/>
      </c>
      <c r="I4495">
        <f>'06_Сеть_и_дети'!I92</f>
        <v/>
      </c>
      <c r="J4495">
        <f>'06_Сеть_и_дети'!J92</f>
        <v/>
      </c>
      <c r="K4495">
        <f>'06_Сеть_и_дети'!K92</f>
        <v/>
      </c>
      <c r="L4495">
        <f>'06_Сеть_и_дети'!L92</f>
        <v/>
      </c>
      <c r="M4495">
        <f>IF('01_Вводные'!$B$234="Да",'19_Расчет_аналитики'!L4494*'01_Вводные'!$B$14,0)</f>
        <v/>
      </c>
      <c r="N4495">
        <f>IF('01_Вводные'!$B$234="Да",'19_Расчет_аналитики'!M4494*'01_Вводные'!$B$14,0)</f>
        <v/>
      </c>
      <c r="O4495">
        <f>IF('01_Вводные'!$B$234="Да",'19_Расчет_аналитики'!N4494*'01_Вводные'!$B$14,0)</f>
        <v/>
      </c>
      <c r="P4495">
        <f>IF('01_Вводные'!$B$234="Да",'19_Расчет_аналитики'!O4494*'01_Вводные'!$B$14,0)</f>
        <v/>
      </c>
      <c r="Q4495">
        <f>IF('01_Вводные'!$B$234="Да",'19_Расчет_аналитики'!P4494*'01_Вводные'!$B$14,0)</f>
        <v/>
      </c>
      <c r="R4495">
        <f>IF('01_Вводные'!$B$234="Да",'19_Расчет_аналитики'!Q4494*'01_Вводные'!$B$14,0)</f>
        <v/>
      </c>
      <c r="S4495">
        <f>IF('01_Вводные'!$B$234="Да",'19_Расчет_аналитики'!R4494*'01_Вводные'!$B$14,0)</f>
        <v/>
      </c>
      <c r="T4495">
        <f>IF('01_Вводные'!$B$234="Да",'19_Расчет_аналитики'!S4494*'01_Вводные'!$B$14,0)</f>
        <v/>
      </c>
      <c r="U4495">
        <f>IF('01_Вводные'!$B$234="Да",'19_Расчет_аналитики'!T4494*'01_Вводные'!$B$14,0)</f>
        <v/>
      </c>
      <c r="V4495">
        <f>IF('01_Вводные'!$B$234="Да",'19_Расчет_аналитики'!U4494*'01_Вводные'!$B$14,0)</f>
        <v/>
      </c>
      <c r="W4495">
        <f>IF('01_Вводные'!$B$234="Да",'19_Расчет_аналитики'!V4494*'01_Вводные'!$B$14,0)</f>
        <v/>
      </c>
      <c r="X4495">
        <f>IF('01_Вводные'!$B$234="Да",'19_Расчет_аналитики'!W4494*'01_Вводные'!$B$14,0)</f>
        <v/>
      </c>
      <c r="Y4495">
        <f>IF('01_Вводные'!$B$234="Да",'19_Расчет_аналитики'!X4494*'01_Вводные'!$B$14,0)</f>
        <v/>
      </c>
      <c r="Z4495">
        <f>IF('01_Вводные'!$B$234="Да",'19_Расчет_аналитики'!Y4494*'01_Вводные'!$B$14,0)</f>
        <v/>
      </c>
      <c r="AA4495">
        <f>IF('01_Вводные'!$B$234="Да",'19_Расчет_аналитики'!Z4494*'01_Вводные'!$B$14,0)</f>
        <v/>
      </c>
      <c r="AB4495">
        <f>IF('01_Вводные'!$B$234="Да",'19_Расчет_аналитики'!AA4494*'01_Вводные'!$B$14,0)</f>
        <v/>
      </c>
      <c r="AC4495">
        <f>IF('01_Вводные'!$B$234="Да",'19_Расчет_аналитики'!AB4494*'01_Вводные'!$B$14,0)</f>
        <v/>
      </c>
      <c r="AD4495">
        <f>IF('01_Вводные'!$B$234="Да",'19_Расчет_аналитики'!AC4494*'01_Вводные'!$B$14,0)</f>
        <v/>
      </c>
      <c r="AE4495">
        <f>IF('01_Вводные'!$B$234="Да",'19_Расчет_аналитики'!AD4494*'01_Вводные'!$B$14,0)</f>
        <v/>
      </c>
      <c r="AF4495">
        <f>IF('01_Вводные'!$B$234="Да",'19_Расчет_аналитики'!AE4494*'01_Вводные'!$B$14,0)</f>
        <v/>
      </c>
      <c r="AG4495">
        <f>IF('01_Вводные'!$B$234="Да",'19_Расчет_аналитики'!AF4494*'01_Вводные'!$B$14,0)</f>
        <v/>
      </c>
      <c r="AH4495">
        <f>IF('01_Вводные'!$B$234="Да",'19_Расчет_аналитики'!AG4494*'01_Вводные'!$B$14,0)</f>
        <v/>
      </c>
      <c r="AI4495">
        <f>IF('01_Вводные'!$B$234="Да",'19_Расчет_аналитики'!AH4494*'01_Вводные'!$B$14,0)</f>
        <v/>
      </c>
      <c r="AJ4495">
        <f>IF('01_Вводные'!$B$234="Да",'19_Расчет_аналитики'!AI4494*'01_Вводные'!$B$14,0)</f>
        <v/>
      </c>
      <c r="AK4495">
        <f>IF('01_Вводные'!$B$234="Да",'19_Расчет_аналитики'!AJ4494*'01_Вводные'!$B$14,0)</f>
        <v/>
      </c>
      <c r="AL4495">
        <f>IF('01_Вводные'!$B$234="Да",'19_Расчет_аналитики'!AK4494*'01_Вводные'!$B$14,0)</f>
        <v/>
      </c>
      <c r="AM4495">
        <f>IF('01_Вводные'!$B$234="Да",'19_Расчет_аналитики'!AL4494*'01_Вводные'!$B$14,0)</f>
        <v/>
      </c>
      <c r="AN4495">
        <f>IF('01_Вводные'!$B$234="Да",'19_Расчет_аналитики'!AM4494*'01_Вводные'!$B$14,0)</f>
        <v/>
      </c>
      <c r="AO4495">
        <f>IF('01_Вводные'!$B$234="Да",'19_Расчет_аналитики'!AN4494*'01_Вводные'!$B$14,0)</f>
        <v/>
      </c>
      <c r="AP4495">
        <f>IF('01_Вводные'!$B$234="Да",'19_Расчет_аналитики'!AO4494*'01_Вводные'!$B$14,0)</f>
        <v/>
      </c>
      <c r="AQ4495">
        <f>IF('01_Вводные'!$B$234="Да",'19_Расчет_аналитики'!AP4494*'01_Вводные'!$B$14,0)</f>
        <v/>
      </c>
      <c r="AR4495">
        <f>IF('01_Вводные'!$B$234="Да",'19_Расчет_аналитики'!AQ4494*'01_Вводные'!$B$14,0)</f>
        <v/>
      </c>
      <c r="AS4495">
        <f>IF('01_Вводные'!$B$234="Да",'19_Расчет_аналитики'!AR4494*'01_Вводные'!$B$14,0)</f>
        <v/>
      </c>
      <c r="AT4495">
        <f>IF('01_Вводные'!$B$234="Да",'19_Расчет_аналитики'!AS4494*'01_Вводные'!$B$14,0)</f>
        <v/>
      </c>
      <c r="AU4495">
        <f>IF('01_Вводные'!$B$234="Да",'19_Расчет_аналитики'!AT4494*'01_Вводные'!$B$14,0)</f>
        <v/>
      </c>
      <c r="AV4495">
        <f>IF('01_Вводные'!$B$234="Да",'19_Расчет_аналитики'!AU4494*'01_Вводные'!$B$14,0)</f>
        <v/>
      </c>
      <c r="AW4495">
        <f>IF('01_Вводные'!$B$234="Да",'19_Расчет_аналитики'!AV4494*'01_Вводные'!$B$14,0)</f>
        <v/>
      </c>
      <c r="AX4495">
        <f>IF('01_Вводные'!$B$234="Да",'19_Расчет_аналитики'!AW4494*'01_Вводные'!$B$14,0)</f>
        <v/>
      </c>
      <c r="AY4495">
        <f>IF('01_Вводные'!$B$234="Да",'19_Расчет_аналитики'!AX4494*'01_Вводные'!$B$14,0)</f>
        <v/>
      </c>
      <c r="AZ4495">
        <f>IF('01_Вводные'!$B$234="Да",'19_Расчет_аналитики'!AY4494*'01_Вводные'!$B$14,0)</f>
        <v/>
      </c>
      <c r="BA4495">
        <f>IF('01_Вводные'!$B$234="Да",'19_Расчет_аналитики'!AZ4494*'01_Вводные'!$B$14,0)</f>
        <v/>
      </c>
      <c r="BB4495">
        <f>IF('01_Вводные'!$B$234="Да",'19_Расчет_аналитики'!BA4494*'01_Вводные'!$B$14,0)</f>
        <v/>
      </c>
      <c r="BC4495">
        <f>IF('01_Вводные'!$B$234="Да",'19_Расчет_аналитики'!BB4494*'01_Вводные'!$B$14,0)</f>
        <v/>
      </c>
      <c r="BD4495">
        <f>IF('01_Вводные'!$B$234="Да",'19_Расчет_аналитики'!BC4494*'01_Вводные'!$B$14,0)</f>
        <v/>
      </c>
      <c r="BE4495">
        <f>IF('01_Вводные'!$B$234="Да",'19_Расчет_аналитики'!BD4494*'01_Вводные'!$B$14,0)</f>
        <v/>
      </c>
      <c r="BF4495">
        <f>IF('01_Вводные'!$B$234="Да",'19_Расчет_аналитики'!BE4494*'01_Вводные'!$B$14,0)</f>
        <v/>
      </c>
      <c r="BG4495">
        <f>IF('01_Вводные'!$B$234="Да",'19_Расчет_аналитики'!BF4494*'01_Вводные'!$B$14,0)</f>
        <v/>
      </c>
      <c r="BH4495">
        <f>IF('01_Вводные'!$B$234="Да",'19_Расчет_аналитики'!BG4494*'01_Вводные'!$B$14,0)</f>
        <v/>
      </c>
      <c r="BI4495">
        <f>IF('01_Вводные'!$B$234="Да",'19_Расчет_аналитики'!BH4494*'01_Вводные'!$B$14,0)</f>
        <v/>
      </c>
      <c r="BJ4495">
        <f>IF('01_Вводные'!$B$234="Да",'19_Расчет_аналитики'!BI4494*'01_Вводные'!$B$14,0)</f>
        <v/>
      </c>
      <c r="BK4495">
        <f>IF('01_Вводные'!$B$234="Да",'19_Расчет_аналитики'!BJ4494*'01_Вводные'!$B$14,0)</f>
        <v/>
      </c>
      <c r="BL4495">
        <f>IF('01_Вводные'!$B$234="Да",'19_Расчет_аналитики'!BK4494*'01_Вводные'!$B$14,0)</f>
        <v/>
      </c>
      <c r="BM4495">
        <f>IF('01_Вводные'!$B$234="Да",'19_Расчет_аналитики'!BL4494*'01_Вводные'!$B$14,0)</f>
        <v/>
      </c>
      <c r="BN4495">
        <f>IF('01_Вводные'!$B$234="Да",'19_Расчет_аналитики'!BM4494*'01_Вводные'!$B$14,0)</f>
        <v/>
      </c>
      <c r="BO4495">
        <f>IF('01_Вводные'!$B$234="Да",'19_Расчет_аналитики'!BN4494*'01_Вводные'!$B$14,0)</f>
        <v/>
      </c>
    </row>
    <row r="4496">
      <c r="N4496">
        <f>IF('01_Вводные'!$B$234="Да",'19_Расчет_аналитики'!M4495*'01_Вводные'!$B$14,0)</f>
        <v/>
      </c>
      <c r="O4496">
        <f>IF('01_Вводные'!$B$234="Да",'19_Расчет_аналитики'!N4495*'01_Вводные'!$B$14,0)</f>
        <v/>
      </c>
      <c r="P4496">
        <f>IF('01_Вводные'!$B$234="Да",'19_Расчет_аналитики'!O4495*'01_Вводные'!$B$14,0)</f>
        <v/>
      </c>
      <c r="Q4496">
        <f>IF('01_Вводные'!$B$234="Да",'19_Расчет_аналитики'!P4495*'01_Вводные'!$B$14,0)</f>
        <v/>
      </c>
      <c r="R4496">
        <f>IF('01_Вводные'!$B$234="Да",'19_Расчет_аналитики'!Q4495*'01_Вводные'!$B$14,0)</f>
        <v/>
      </c>
      <c r="S4496">
        <f>IF('01_Вводные'!$B$234="Да",'19_Расчет_аналитики'!R4495*'01_Вводные'!$B$14,0)</f>
        <v/>
      </c>
      <c r="T4496">
        <f>IF('01_Вводные'!$B$234="Да",'19_Расчет_аналитики'!S4495*'01_Вводные'!$B$14,0)</f>
        <v/>
      </c>
      <c r="U4496">
        <f>IF('01_Вводные'!$B$234="Да",'19_Расчет_аналитики'!T4495*'01_Вводные'!$B$14,0)</f>
        <v/>
      </c>
      <c r="V4496">
        <f>IF('01_Вводные'!$B$234="Да",'19_Расчет_аналитики'!U4495*'01_Вводные'!$B$14,0)</f>
        <v/>
      </c>
      <c r="W4496">
        <f>IF('01_Вводные'!$B$234="Да",'19_Расчет_аналитики'!V4495*'01_Вводные'!$B$14,0)</f>
        <v/>
      </c>
      <c r="X4496">
        <f>IF('01_Вводные'!$B$234="Да",'19_Расчет_аналитики'!W4495*'01_Вводные'!$B$14,0)</f>
        <v/>
      </c>
      <c r="Y4496">
        <f>IF('01_Вводные'!$B$234="Да",'19_Расчет_аналитики'!X4495*'01_Вводные'!$B$14,0)</f>
        <v/>
      </c>
      <c r="Z4496">
        <f>IF('01_Вводные'!$B$234="Да",'19_Расчет_аналитики'!Y4495*'01_Вводные'!$B$14,0)</f>
        <v/>
      </c>
      <c r="AA4496">
        <f>IF('01_Вводные'!$B$234="Да",'19_Расчет_аналитики'!Z4495*'01_Вводные'!$B$14,0)</f>
        <v/>
      </c>
      <c r="AB4496">
        <f>IF('01_Вводные'!$B$234="Да",'19_Расчет_аналитики'!AA4495*'01_Вводные'!$B$14,0)</f>
        <v/>
      </c>
      <c r="AC4496">
        <f>IF('01_Вводные'!$B$234="Да",'19_Расчет_аналитики'!AB4495*'01_Вводные'!$B$14,0)</f>
        <v/>
      </c>
      <c r="AD4496">
        <f>IF('01_Вводные'!$B$234="Да",'19_Расчет_аналитики'!AC4495*'01_Вводные'!$B$14,0)</f>
        <v/>
      </c>
      <c r="AE4496">
        <f>IF('01_Вводные'!$B$234="Да",'19_Расчет_аналитики'!AD4495*'01_Вводные'!$B$14,0)</f>
        <v/>
      </c>
      <c r="AF4496">
        <f>IF('01_Вводные'!$B$234="Да",'19_Расчет_аналитики'!AE4495*'01_Вводные'!$B$14,0)</f>
        <v/>
      </c>
      <c r="AG4496">
        <f>IF('01_Вводные'!$B$234="Да",'19_Расчет_аналитики'!AF4495*'01_Вводные'!$B$14,0)</f>
        <v/>
      </c>
      <c r="AH4496">
        <f>IF('01_Вводные'!$B$234="Да",'19_Расчет_аналитики'!AG4495*'01_Вводные'!$B$14,0)</f>
        <v/>
      </c>
      <c r="AI4496">
        <f>IF('01_Вводные'!$B$234="Да",'19_Расчет_аналитики'!AH4495*'01_Вводные'!$B$14,0)</f>
        <v/>
      </c>
      <c r="AJ4496">
        <f>IF('01_Вводные'!$B$234="Да",'19_Расчет_аналитики'!AI4495*'01_Вводные'!$B$14,0)</f>
        <v/>
      </c>
      <c r="AK4496">
        <f>IF('01_Вводные'!$B$234="Да",'19_Расчет_аналитики'!AJ4495*'01_Вводные'!$B$14,0)</f>
        <v/>
      </c>
      <c r="AL4496">
        <f>IF('01_Вводные'!$B$234="Да",'19_Расчет_аналитики'!AK4495*'01_Вводные'!$B$14,0)</f>
        <v/>
      </c>
      <c r="AM4496">
        <f>IF('01_Вводные'!$B$234="Да",'19_Расчет_аналитики'!AL4495*'01_Вводные'!$B$14,0)</f>
        <v/>
      </c>
      <c r="AN4496">
        <f>IF('01_Вводные'!$B$234="Да",'19_Расчет_аналитики'!AM4495*'01_Вводные'!$B$14,0)</f>
        <v/>
      </c>
      <c r="AO4496">
        <f>IF('01_Вводные'!$B$234="Да",'19_Расчет_аналитики'!AN4495*'01_Вводные'!$B$14,0)</f>
        <v/>
      </c>
      <c r="AP4496">
        <f>IF('01_Вводные'!$B$234="Да",'19_Расчет_аналитики'!AO4495*'01_Вводные'!$B$14,0)</f>
        <v/>
      </c>
      <c r="AQ4496">
        <f>IF('01_Вводные'!$B$234="Да",'19_Расчет_аналитики'!AP4495*'01_Вводные'!$B$14,0)</f>
        <v/>
      </c>
      <c r="AR4496">
        <f>IF('01_Вводные'!$B$234="Да",'19_Расчет_аналитики'!AQ4495*'01_Вводные'!$B$14,0)</f>
        <v/>
      </c>
      <c r="AS4496">
        <f>IF('01_Вводные'!$B$234="Да",'19_Расчет_аналитики'!AR4495*'01_Вводные'!$B$14,0)</f>
        <v/>
      </c>
      <c r="AT4496">
        <f>IF('01_Вводные'!$B$234="Да",'19_Расчет_аналитики'!AS4495*'01_Вводные'!$B$14,0)</f>
        <v/>
      </c>
      <c r="AU4496">
        <f>IF('01_Вводные'!$B$234="Да",'19_Расчет_аналитики'!AT4495*'01_Вводные'!$B$14,0)</f>
        <v/>
      </c>
      <c r="AV4496">
        <f>IF('01_Вводные'!$B$234="Да",'19_Расчет_аналитики'!AU4495*'01_Вводные'!$B$14,0)</f>
        <v/>
      </c>
      <c r="AW4496">
        <f>IF('01_Вводные'!$B$234="Да",'19_Расчет_аналитики'!AV4495*'01_Вводные'!$B$14,0)</f>
        <v/>
      </c>
      <c r="AX4496">
        <f>IF('01_Вводные'!$B$234="Да",'19_Расчет_аналитики'!AW4495*'01_Вводные'!$B$14,0)</f>
        <v/>
      </c>
      <c r="AY4496">
        <f>IF('01_Вводные'!$B$234="Да",'19_Расчет_аналитики'!AX4495*'01_Вводные'!$B$14,0)</f>
        <v/>
      </c>
      <c r="AZ4496">
        <f>IF('01_Вводные'!$B$234="Да",'19_Расчет_аналитики'!AY4495*'01_Вводные'!$B$14,0)</f>
        <v/>
      </c>
      <c r="BA4496">
        <f>IF('01_Вводные'!$B$234="Да",'19_Расчет_аналитики'!AZ4495*'01_Вводные'!$B$14,0)</f>
        <v/>
      </c>
      <c r="BB4496">
        <f>IF('01_Вводные'!$B$234="Да",'19_Расчет_аналитики'!BA4495*'01_Вводные'!$B$14,0)</f>
        <v/>
      </c>
      <c r="BC4496">
        <f>IF('01_Вводные'!$B$234="Да",'19_Расчет_аналитики'!BB4495*'01_Вводные'!$B$14,0)</f>
        <v/>
      </c>
      <c r="BD4496">
        <f>IF('01_Вводные'!$B$234="Да",'19_Расчет_аналитики'!BC4495*'01_Вводные'!$B$14,0)</f>
        <v/>
      </c>
      <c r="BE4496">
        <f>IF('01_Вводные'!$B$234="Да",'19_Расчет_аналитики'!BD4495*'01_Вводные'!$B$14,0)</f>
        <v/>
      </c>
      <c r="BF4496">
        <f>IF('01_Вводные'!$B$234="Да",'19_Расчет_аналитики'!BE4495*'01_Вводные'!$B$14,0)</f>
        <v/>
      </c>
      <c r="BG4496">
        <f>IF('01_Вводные'!$B$234="Да",'19_Расчет_аналитики'!BF4495*'01_Вводные'!$B$14,0)</f>
        <v/>
      </c>
      <c r="BH4496">
        <f>IF('01_Вводные'!$B$234="Да",'19_Расчет_аналитики'!BG4495*'01_Вводные'!$B$14,0)</f>
        <v/>
      </c>
      <c r="BI4496">
        <f>IF('01_Вводные'!$B$234="Да",'19_Расчет_аналитики'!BH4495*'01_Вводные'!$B$14,0)</f>
        <v/>
      </c>
      <c r="BJ4496">
        <f>IF('01_Вводные'!$B$234="Да",'19_Расчет_аналитики'!BI4495*'01_Вводные'!$B$14,0)</f>
        <v/>
      </c>
      <c r="BK4496">
        <f>IF('01_Вводные'!$B$234="Да",'19_Расчет_аналитики'!BJ4495*'01_Вводные'!$B$14,0)</f>
        <v/>
      </c>
      <c r="BL4496">
        <f>IF('01_Вводные'!$B$234="Да",'19_Расчет_аналитики'!BK4495*'01_Вводные'!$B$14,0)</f>
        <v/>
      </c>
      <c r="BM4496">
        <f>IF('01_Вводные'!$B$234="Да",'19_Расчет_аналитики'!BL4495*'01_Вводные'!$B$14,0)</f>
        <v/>
      </c>
      <c r="BN4496">
        <f>IF('01_Вводные'!$B$234="Да",'19_Расчет_аналитики'!BM4495*'01_Вводные'!$B$14,0)</f>
        <v/>
      </c>
      <c r="BO4496">
        <f>IF('01_Вводные'!$B$234="Да",'19_Расчет_аналитики'!BN4495*'01_Вводные'!$B$14,0)</f>
        <v/>
      </c>
    </row>
    <row r="4497">
      <c r="N4497">
        <f>'06_Сеть_и_дети'!N94</f>
        <v/>
      </c>
      <c r="O4497">
        <f>IF('01_Вводные'!$B$234="Да",'19_Расчет_аналитики'!N4496*'01_Вводные'!$B$14,0)</f>
        <v/>
      </c>
      <c r="P4497">
        <f>IF('01_Вводные'!$B$234="Да",'19_Расчет_аналитики'!O4496*'01_Вводные'!$B$14,0)</f>
        <v/>
      </c>
      <c r="Q4497">
        <f>IF('01_Вводные'!$B$234="Да",'19_Расчет_аналитики'!P4496*'01_Вводные'!$B$14,0)</f>
        <v/>
      </c>
      <c r="R4497">
        <f>IF('01_Вводные'!$B$234="Да",'19_Расчет_аналитики'!Q4496*'01_Вводные'!$B$14,0)</f>
        <v/>
      </c>
      <c r="S4497">
        <f>IF('01_Вводные'!$B$234="Да",'19_Расчет_аналитики'!R4496*'01_Вводные'!$B$14,0)</f>
        <v/>
      </c>
      <c r="T4497">
        <f>IF('01_Вводные'!$B$234="Да",'19_Расчет_аналитики'!S4496*'01_Вводные'!$B$14,0)</f>
        <v/>
      </c>
      <c r="U4497">
        <f>IF('01_Вводные'!$B$234="Да",'19_Расчет_аналитики'!T4496*'01_Вводные'!$B$14,0)</f>
        <v/>
      </c>
      <c r="V4497">
        <f>IF('01_Вводные'!$B$234="Да",'19_Расчет_аналитики'!U4496*'01_Вводные'!$B$14,0)</f>
        <v/>
      </c>
      <c r="W4497">
        <f>IF('01_Вводные'!$B$234="Да",'19_Расчет_аналитики'!V4496*'01_Вводные'!$B$14,0)</f>
        <v/>
      </c>
      <c r="X4497">
        <f>IF('01_Вводные'!$B$234="Да",'19_Расчет_аналитики'!W4496*'01_Вводные'!$B$14,0)</f>
        <v/>
      </c>
      <c r="Y4497">
        <f>IF('01_Вводные'!$B$234="Да",'19_Расчет_аналитики'!X4496*'01_Вводные'!$B$14,0)</f>
        <v/>
      </c>
      <c r="Z4497">
        <f>IF('01_Вводные'!$B$234="Да",'19_Расчет_аналитики'!Y4496*'01_Вводные'!$B$14,0)</f>
        <v/>
      </c>
      <c r="AA4497">
        <f>IF('01_Вводные'!$B$234="Да",'19_Расчет_аналитики'!Z4496*'01_Вводные'!$B$14,0)</f>
        <v/>
      </c>
      <c r="AB4497">
        <f>IF('01_Вводные'!$B$234="Да",'19_Расчет_аналитики'!AA4496*'01_Вводные'!$B$14,0)</f>
        <v/>
      </c>
      <c r="AC4497">
        <f>IF('01_Вводные'!$B$234="Да",'19_Расчет_аналитики'!AB4496*'01_Вводные'!$B$14,0)</f>
        <v/>
      </c>
      <c r="AD4497">
        <f>IF('01_Вводные'!$B$234="Да",'19_Расчет_аналитики'!AC4496*'01_Вводные'!$B$14,0)</f>
        <v/>
      </c>
      <c r="AE4497">
        <f>IF('01_Вводные'!$B$234="Да",'19_Расчет_аналитики'!AD4496*'01_Вводные'!$B$14,0)</f>
        <v/>
      </c>
      <c r="AF4497">
        <f>IF('01_Вводные'!$B$234="Да",'19_Расчет_аналитики'!AE4496*'01_Вводные'!$B$14,0)</f>
        <v/>
      </c>
      <c r="AG4497">
        <f>IF('01_Вводные'!$B$234="Да",'19_Расчет_аналитики'!AF4496*'01_Вводные'!$B$14,0)</f>
        <v/>
      </c>
      <c r="AH4497">
        <f>IF('01_Вводные'!$B$234="Да",'19_Расчет_аналитики'!AG4496*'01_Вводные'!$B$14,0)</f>
        <v/>
      </c>
      <c r="AI4497">
        <f>IF('01_Вводные'!$B$234="Да",'19_Расчет_аналитики'!AH4496*'01_Вводные'!$B$14,0)</f>
        <v/>
      </c>
      <c r="AJ4497">
        <f>IF('01_Вводные'!$B$234="Да",'19_Расчет_аналитики'!AI4496*'01_Вводные'!$B$14,0)</f>
        <v/>
      </c>
      <c r="AK4497">
        <f>IF('01_Вводные'!$B$234="Да",'19_Расчет_аналитики'!AJ4496*'01_Вводные'!$B$14,0)</f>
        <v/>
      </c>
      <c r="AL4497">
        <f>IF('01_Вводные'!$B$234="Да",'19_Расчет_аналитики'!AK4496*'01_Вводные'!$B$14,0)</f>
        <v/>
      </c>
      <c r="AM4497">
        <f>IF('01_Вводные'!$B$234="Да",'19_Расчет_аналитики'!AL4496*'01_Вводные'!$B$14,0)</f>
        <v/>
      </c>
      <c r="AN4497">
        <f>IF('01_Вводные'!$B$234="Да",'19_Расчет_аналитики'!AM4496*'01_Вводные'!$B$14,0)</f>
        <v/>
      </c>
      <c r="AO4497">
        <f>IF('01_Вводные'!$B$234="Да",'19_Расчет_аналитики'!AN4496*'01_Вводные'!$B$14,0)</f>
        <v/>
      </c>
      <c r="AP4497">
        <f>IF('01_Вводные'!$B$234="Да",'19_Расчет_аналитики'!AO4496*'01_Вводные'!$B$14,0)</f>
        <v/>
      </c>
      <c r="AQ4497">
        <f>IF('01_Вводные'!$B$234="Да",'19_Расчет_аналитики'!AP4496*'01_Вводные'!$B$14,0)</f>
        <v/>
      </c>
      <c r="AR4497">
        <f>IF('01_Вводные'!$B$234="Да",'19_Расчет_аналитики'!AQ4496*'01_Вводные'!$B$14,0)</f>
        <v/>
      </c>
      <c r="AS4497">
        <f>IF('01_Вводные'!$B$234="Да",'19_Расчет_аналитики'!AR4496*'01_Вводные'!$B$14,0)</f>
        <v/>
      </c>
      <c r="AT4497">
        <f>IF('01_Вводные'!$B$234="Да",'19_Расчет_аналитики'!AS4496*'01_Вводные'!$B$14,0)</f>
        <v/>
      </c>
      <c r="AU4497">
        <f>IF('01_Вводные'!$B$234="Да",'19_Расчет_аналитики'!AT4496*'01_Вводные'!$B$14,0)</f>
        <v/>
      </c>
      <c r="AV4497">
        <f>IF('01_Вводные'!$B$234="Да",'19_Расчет_аналитики'!AU4496*'01_Вводные'!$B$14,0)</f>
        <v/>
      </c>
      <c r="AW4497">
        <f>IF('01_Вводные'!$B$234="Да",'19_Расчет_аналитики'!AV4496*'01_Вводные'!$B$14,0)</f>
        <v/>
      </c>
      <c r="AX4497">
        <f>IF('01_Вводные'!$B$234="Да",'19_Расчет_аналитики'!AW4496*'01_Вводные'!$B$14,0)</f>
        <v/>
      </c>
      <c r="AY4497">
        <f>IF('01_Вводные'!$B$234="Да",'19_Расчет_аналитики'!AX4496*'01_Вводные'!$B$14,0)</f>
        <v/>
      </c>
      <c r="AZ4497">
        <f>IF('01_Вводные'!$B$234="Да",'19_Расчет_аналитики'!AY4496*'01_Вводные'!$B$14,0)</f>
        <v/>
      </c>
      <c r="BA4497">
        <f>IF('01_Вводные'!$B$234="Да",'19_Расчет_аналитики'!AZ4496*'01_Вводные'!$B$14,0)</f>
        <v/>
      </c>
      <c r="BB4497">
        <f>IF('01_Вводные'!$B$234="Да",'19_Расчет_аналитики'!BA4496*'01_Вводные'!$B$14,0)</f>
        <v/>
      </c>
      <c r="BC4497">
        <f>IF('01_Вводные'!$B$234="Да",'19_Расчет_аналитики'!BB4496*'01_Вводные'!$B$14,0)</f>
        <v/>
      </c>
      <c r="BD4497">
        <f>IF('01_Вводные'!$B$234="Да",'19_Расчет_аналитики'!BC4496*'01_Вводные'!$B$14,0)</f>
        <v/>
      </c>
      <c r="BE4497">
        <f>IF('01_Вводные'!$B$234="Да",'19_Расчет_аналитики'!BD4496*'01_Вводные'!$B$14,0)</f>
        <v/>
      </c>
      <c r="BF4497">
        <f>IF('01_Вводные'!$B$234="Да",'19_Расчет_аналитики'!BE4496*'01_Вводные'!$B$14,0)</f>
        <v/>
      </c>
      <c r="BG4497">
        <f>IF('01_Вводные'!$B$234="Да",'19_Расчет_аналитики'!BF4496*'01_Вводные'!$B$14,0)</f>
        <v/>
      </c>
      <c r="BH4497">
        <f>IF('01_Вводные'!$B$234="Да",'19_Расчет_аналитики'!BG4496*'01_Вводные'!$B$14,0)</f>
        <v/>
      </c>
      <c r="BI4497">
        <f>IF('01_Вводные'!$B$234="Да",'19_Расчет_аналитики'!BH4496*'01_Вводные'!$B$14,0)</f>
        <v/>
      </c>
      <c r="BJ4497">
        <f>IF('01_Вводные'!$B$234="Да",'19_Расчет_аналитики'!BI4496*'01_Вводные'!$B$14,0)</f>
        <v/>
      </c>
      <c r="BK4497">
        <f>IF('01_Вводные'!$B$234="Да",'19_Расчет_аналитики'!BJ4496*'01_Вводные'!$B$14,0)</f>
        <v/>
      </c>
      <c r="BL4497">
        <f>IF('01_Вводные'!$B$234="Да",'19_Расчет_аналитики'!BK4496*'01_Вводные'!$B$14,0)</f>
        <v/>
      </c>
      <c r="BM4497">
        <f>IF('01_Вводные'!$B$234="Да",'19_Расчет_аналитики'!BL4496*'01_Вводные'!$B$14,0)</f>
        <v/>
      </c>
      <c r="BN4497">
        <f>IF('01_Вводные'!$B$234="Да",'19_Расчет_аналитики'!BM4496*'01_Вводные'!$B$14,0)</f>
        <v/>
      </c>
      <c r="BO4497">
        <f>IF('01_Вводные'!$B$234="Да",'19_Расчет_аналитики'!BN4496*'01_Вводные'!$B$14,0)</f>
        <v/>
      </c>
    </row>
    <row r="4498">
      <c r="N4498">
        <f>'06_Сеть_и_дети'!N95</f>
        <v/>
      </c>
      <c r="O4498">
        <f>'06_Сеть_и_дети'!O95</f>
        <v/>
      </c>
      <c r="P4498">
        <f>IF('01_Вводные'!$B$234="Да",'19_Расчет_аналитики'!O4497*'01_Вводные'!$B$14,0)</f>
        <v/>
      </c>
      <c r="Q4498">
        <f>IF('01_Вводные'!$B$234="Да",'19_Расчет_аналитики'!P4497*'01_Вводные'!$B$14,0)</f>
        <v/>
      </c>
      <c r="R4498">
        <f>IF('01_Вводные'!$B$234="Да",'19_Расчет_аналитики'!Q4497*'01_Вводные'!$B$14,0)</f>
        <v/>
      </c>
      <c r="S4498">
        <f>IF('01_Вводные'!$B$234="Да",'19_Расчет_аналитики'!R4497*'01_Вводные'!$B$14,0)</f>
        <v/>
      </c>
      <c r="T4498">
        <f>IF('01_Вводные'!$B$234="Да",'19_Расчет_аналитики'!S4497*'01_Вводные'!$B$14,0)</f>
        <v/>
      </c>
      <c r="U4498">
        <f>IF('01_Вводные'!$B$234="Да",'19_Расчет_аналитики'!T4497*'01_Вводные'!$B$14,0)</f>
        <v/>
      </c>
      <c r="V4498">
        <f>IF('01_Вводные'!$B$234="Да",'19_Расчет_аналитики'!U4497*'01_Вводные'!$B$14,0)</f>
        <v/>
      </c>
      <c r="W4498">
        <f>IF('01_Вводные'!$B$234="Да",'19_Расчет_аналитики'!V4497*'01_Вводные'!$B$14,0)</f>
        <v/>
      </c>
      <c r="X4498">
        <f>IF('01_Вводные'!$B$234="Да",'19_Расчет_аналитики'!W4497*'01_Вводные'!$B$14,0)</f>
        <v/>
      </c>
      <c r="Y4498">
        <f>IF('01_Вводные'!$B$234="Да",'19_Расчет_аналитики'!X4497*'01_Вводные'!$B$14,0)</f>
        <v/>
      </c>
      <c r="Z4498">
        <f>IF('01_Вводные'!$B$234="Да",'19_Расчет_аналитики'!Y4497*'01_Вводные'!$B$14,0)</f>
        <v/>
      </c>
      <c r="AA4498">
        <f>IF('01_Вводные'!$B$234="Да",'19_Расчет_аналитики'!Z4497*'01_Вводные'!$B$14,0)</f>
        <v/>
      </c>
      <c r="AB4498">
        <f>IF('01_Вводные'!$B$234="Да",'19_Расчет_аналитики'!AA4497*'01_Вводные'!$B$14,0)</f>
        <v/>
      </c>
      <c r="AC4498">
        <f>IF('01_Вводные'!$B$234="Да",'19_Расчет_аналитики'!AB4497*'01_Вводные'!$B$14,0)</f>
        <v/>
      </c>
      <c r="AD4498">
        <f>IF('01_Вводные'!$B$234="Да",'19_Расчет_аналитики'!AC4497*'01_Вводные'!$B$14,0)</f>
        <v/>
      </c>
      <c r="AE4498">
        <f>IF('01_Вводные'!$B$234="Да",'19_Расчет_аналитики'!AD4497*'01_Вводные'!$B$14,0)</f>
        <v/>
      </c>
      <c r="AF4498">
        <f>IF('01_Вводные'!$B$234="Да",'19_Расчет_аналитики'!AE4497*'01_Вводные'!$B$14,0)</f>
        <v/>
      </c>
      <c r="AG4498">
        <f>IF('01_Вводные'!$B$234="Да",'19_Расчет_аналитики'!AF4497*'01_Вводные'!$B$14,0)</f>
        <v/>
      </c>
      <c r="AH4498">
        <f>IF('01_Вводные'!$B$234="Да",'19_Расчет_аналитики'!AG4497*'01_Вводные'!$B$14,0)</f>
        <v/>
      </c>
      <c r="AI4498">
        <f>IF('01_Вводные'!$B$234="Да",'19_Расчет_аналитики'!AH4497*'01_Вводные'!$B$14,0)</f>
        <v/>
      </c>
      <c r="AJ4498">
        <f>IF('01_Вводные'!$B$234="Да",'19_Расчет_аналитики'!AI4497*'01_Вводные'!$B$14,0)</f>
        <v/>
      </c>
      <c r="AK4498">
        <f>IF('01_Вводные'!$B$234="Да",'19_Расчет_аналитики'!AJ4497*'01_Вводные'!$B$14,0)</f>
        <v/>
      </c>
      <c r="AL4498">
        <f>IF('01_Вводные'!$B$234="Да",'19_Расчет_аналитики'!AK4497*'01_Вводные'!$B$14,0)</f>
        <v/>
      </c>
      <c r="AM4498">
        <f>IF('01_Вводные'!$B$234="Да",'19_Расчет_аналитики'!AL4497*'01_Вводные'!$B$14,0)</f>
        <v/>
      </c>
      <c r="AN4498">
        <f>IF('01_Вводные'!$B$234="Да",'19_Расчет_аналитики'!AM4497*'01_Вводные'!$B$14,0)</f>
        <v/>
      </c>
      <c r="AO4498">
        <f>IF('01_Вводные'!$B$234="Да",'19_Расчет_аналитики'!AN4497*'01_Вводные'!$B$14,0)</f>
        <v/>
      </c>
      <c r="AP4498">
        <f>IF('01_Вводные'!$B$234="Да",'19_Расчет_аналитики'!AO4497*'01_Вводные'!$B$14,0)</f>
        <v/>
      </c>
      <c r="AQ4498">
        <f>IF('01_Вводные'!$B$234="Да",'19_Расчет_аналитики'!AP4497*'01_Вводные'!$B$14,0)</f>
        <v/>
      </c>
      <c r="AR4498">
        <f>IF('01_Вводные'!$B$234="Да",'19_Расчет_аналитики'!AQ4497*'01_Вводные'!$B$14,0)</f>
        <v/>
      </c>
      <c r="AS4498">
        <f>IF('01_Вводные'!$B$234="Да",'19_Расчет_аналитики'!AR4497*'01_Вводные'!$B$14,0)</f>
        <v/>
      </c>
      <c r="AT4498">
        <f>IF('01_Вводные'!$B$234="Да",'19_Расчет_аналитики'!AS4497*'01_Вводные'!$B$14,0)</f>
        <v/>
      </c>
      <c r="AU4498">
        <f>IF('01_Вводные'!$B$234="Да",'19_Расчет_аналитики'!AT4497*'01_Вводные'!$B$14,0)</f>
        <v/>
      </c>
      <c r="AV4498">
        <f>IF('01_Вводные'!$B$234="Да",'19_Расчет_аналитики'!AU4497*'01_Вводные'!$B$14,0)</f>
        <v/>
      </c>
      <c r="AW4498">
        <f>IF('01_Вводные'!$B$234="Да",'19_Расчет_аналитики'!AV4497*'01_Вводные'!$B$14,0)</f>
        <v/>
      </c>
      <c r="AX4498">
        <f>IF('01_Вводные'!$B$234="Да",'19_Расчет_аналитики'!AW4497*'01_Вводные'!$B$14,0)</f>
        <v/>
      </c>
      <c r="AY4498">
        <f>IF('01_Вводные'!$B$234="Да",'19_Расчет_аналитики'!AX4497*'01_Вводные'!$B$14,0)</f>
        <v/>
      </c>
      <c r="AZ4498">
        <f>IF('01_Вводные'!$B$234="Да",'19_Расчет_аналитики'!AY4497*'01_Вводные'!$B$14,0)</f>
        <v/>
      </c>
      <c r="BA4498">
        <f>IF('01_Вводные'!$B$234="Да",'19_Расчет_аналитики'!AZ4497*'01_Вводные'!$B$14,0)</f>
        <v/>
      </c>
      <c r="BB4498">
        <f>IF('01_Вводные'!$B$234="Да",'19_Расчет_аналитики'!BA4497*'01_Вводные'!$B$14,0)</f>
        <v/>
      </c>
      <c r="BC4498">
        <f>IF('01_Вводные'!$B$234="Да",'19_Расчет_аналитики'!BB4497*'01_Вводные'!$B$14,0)</f>
        <v/>
      </c>
      <c r="BD4498">
        <f>IF('01_Вводные'!$B$234="Да",'19_Расчет_аналитики'!BC4497*'01_Вводные'!$B$14,0)</f>
        <v/>
      </c>
      <c r="BE4498">
        <f>IF('01_Вводные'!$B$234="Да",'19_Расчет_аналитики'!BD4497*'01_Вводные'!$B$14,0)</f>
        <v/>
      </c>
      <c r="BF4498">
        <f>IF('01_Вводные'!$B$234="Да",'19_Расчет_аналитики'!BE4497*'01_Вводные'!$B$14,0)</f>
        <v/>
      </c>
      <c r="BG4498">
        <f>IF('01_Вводные'!$B$234="Да",'19_Расчет_аналитики'!BF4497*'01_Вводные'!$B$14,0)</f>
        <v/>
      </c>
      <c r="BH4498">
        <f>IF('01_Вводные'!$B$234="Да",'19_Расчет_аналитики'!BG4497*'01_Вводные'!$B$14,0)</f>
        <v/>
      </c>
      <c r="BI4498">
        <f>IF('01_Вводные'!$B$234="Да",'19_Расчет_аналитики'!BH4497*'01_Вводные'!$B$14,0)</f>
        <v/>
      </c>
      <c r="BJ4498">
        <f>IF('01_Вводные'!$B$234="Да",'19_Расчет_аналитики'!BI4497*'01_Вводные'!$B$14,0)</f>
        <v/>
      </c>
      <c r="BK4498">
        <f>IF('01_Вводные'!$B$234="Да",'19_Расчет_аналитики'!BJ4497*'01_Вводные'!$B$14,0)</f>
        <v/>
      </c>
      <c r="BL4498">
        <f>IF('01_Вводные'!$B$234="Да",'19_Расчет_аналитики'!BK4497*'01_Вводные'!$B$14,0)</f>
        <v/>
      </c>
      <c r="BM4498">
        <f>IF('01_Вводные'!$B$234="Да",'19_Расчет_аналитики'!BL4497*'01_Вводные'!$B$14,0)</f>
        <v/>
      </c>
      <c r="BN4498">
        <f>IF('01_Вводные'!$B$234="Да",'19_Расчет_аналитики'!BM4497*'01_Вводные'!$B$14,0)</f>
        <v/>
      </c>
      <c r="BO4498">
        <f>IF('01_Вводные'!$B$234="Да",'19_Расчет_аналитики'!BN4497*'01_Вводные'!$B$14,0)</f>
        <v/>
      </c>
    </row>
    <row r="4499">
      <c r="N4499">
        <f>'06_Сеть_и_дети'!N96</f>
        <v/>
      </c>
      <c r="O4499">
        <f>'06_Сеть_и_дети'!O96</f>
        <v/>
      </c>
      <c r="P4499">
        <f>'06_Сеть_и_дети'!P96</f>
        <v/>
      </c>
      <c r="Q4499">
        <f>IF('01_Вводные'!$B$234="Да",'19_Расчет_аналитики'!P4498*'01_Вводные'!$B$14,0)</f>
        <v/>
      </c>
      <c r="R4499">
        <f>IF('01_Вводные'!$B$234="Да",'19_Расчет_аналитики'!Q4498*'01_Вводные'!$B$14,0)</f>
        <v/>
      </c>
      <c r="S4499">
        <f>IF('01_Вводные'!$B$234="Да",'19_Расчет_аналитики'!R4498*'01_Вводные'!$B$14,0)</f>
        <v/>
      </c>
      <c r="T4499">
        <f>IF('01_Вводные'!$B$234="Да",'19_Расчет_аналитики'!S4498*'01_Вводные'!$B$14,0)</f>
        <v/>
      </c>
      <c r="U4499">
        <f>IF('01_Вводные'!$B$234="Да",'19_Расчет_аналитики'!T4498*'01_Вводные'!$B$14,0)</f>
        <v/>
      </c>
      <c r="V4499">
        <f>IF('01_Вводные'!$B$234="Да",'19_Расчет_аналитики'!U4498*'01_Вводные'!$B$14,0)</f>
        <v/>
      </c>
      <c r="W4499">
        <f>IF('01_Вводные'!$B$234="Да",'19_Расчет_аналитики'!V4498*'01_Вводные'!$B$14,0)</f>
        <v/>
      </c>
      <c r="X4499">
        <f>IF('01_Вводные'!$B$234="Да",'19_Расчет_аналитики'!W4498*'01_Вводные'!$B$14,0)</f>
        <v/>
      </c>
      <c r="Y4499">
        <f>IF('01_Вводные'!$B$234="Да",'19_Расчет_аналитики'!X4498*'01_Вводные'!$B$14,0)</f>
        <v/>
      </c>
      <c r="Z4499">
        <f>IF('01_Вводные'!$B$234="Да",'19_Расчет_аналитики'!Y4498*'01_Вводные'!$B$14,0)</f>
        <v/>
      </c>
      <c r="AA4499">
        <f>IF('01_Вводные'!$B$234="Да",'19_Расчет_аналитики'!Z4498*'01_Вводные'!$B$14,0)</f>
        <v/>
      </c>
      <c r="AB4499">
        <f>IF('01_Вводные'!$B$234="Да",'19_Расчет_аналитики'!AA4498*'01_Вводные'!$B$14,0)</f>
        <v/>
      </c>
      <c r="AC4499">
        <f>IF('01_Вводные'!$B$234="Да",'19_Расчет_аналитики'!AB4498*'01_Вводные'!$B$14,0)</f>
        <v/>
      </c>
      <c r="AD4499">
        <f>IF('01_Вводные'!$B$234="Да",'19_Расчет_аналитики'!AC4498*'01_Вводные'!$B$14,0)</f>
        <v/>
      </c>
      <c r="AE4499">
        <f>IF('01_Вводные'!$B$234="Да",'19_Расчет_аналитики'!AD4498*'01_Вводные'!$B$14,0)</f>
        <v/>
      </c>
      <c r="AF4499">
        <f>IF('01_Вводные'!$B$234="Да",'19_Расчет_аналитики'!AE4498*'01_Вводные'!$B$14,0)</f>
        <v/>
      </c>
      <c r="AG4499">
        <f>IF('01_Вводные'!$B$234="Да",'19_Расчет_аналитики'!AF4498*'01_Вводные'!$B$14,0)</f>
        <v/>
      </c>
      <c r="AH4499">
        <f>IF('01_Вводные'!$B$234="Да",'19_Расчет_аналитики'!AG4498*'01_Вводные'!$B$14,0)</f>
        <v/>
      </c>
      <c r="AI4499">
        <f>IF('01_Вводные'!$B$234="Да",'19_Расчет_аналитики'!AH4498*'01_Вводные'!$B$14,0)</f>
        <v/>
      </c>
      <c r="AJ4499">
        <f>IF('01_Вводные'!$B$234="Да",'19_Расчет_аналитики'!AI4498*'01_Вводные'!$B$14,0)</f>
        <v/>
      </c>
      <c r="AK4499">
        <f>IF('01_Вводные'!$B$234="Да",'19_Расчет_аналитики'!AJ4498*'01_Вводные'!$B$14,0)</f>
        <v/>
      </c>
      <c r="AL4499">
        <f>IF('01_Вводные'!$B$234="Да",'19_Расчет_аналитики'!AK4498*'01_Вводные'!$B$14,0)</f>
        <v/>
      </c>
      <c r="AM4499">
        <f>IF('01_Вводные'!$B$234="Да",'19_Расчет_аналитики'!AL4498*'01_Вводные'!$B$14,0)</f>
        <v/>
      </c>
      <c r="AN4499">
        <f>IF('01_Вводные'!$B$234="Да",'19_Расчет_аналитики'!AM4498*'01_Вводные'!$B$14,0)</f>
        <v/>
      </c>
      <c r="AO4499">
        <f>IF('01_Вводные'!$B$234="Да",'19_Расчет_аналитики'!AN4498*'01_Вводные'!$B$14,0)</f>
        <v/>
      </c>
      <c r="AP4499">
        <f>IF('01_Вводные'!$B$234="Да",'19_Расчет_аналитики'!AO4498*'01_Вводные'!$B$14,0)</f>
        <v/>
      </c>
      <c r="AQ4499">
        <f>IF('01_Вводные'!$B$234="Да",'19_Расчет_аналитики'!AP4498*'01_Вводные'!$B$14,0)</f>
        <v/>
      </c>
      <c r="AR4499">
        <f>IF('01_Вводные'!$B$234="Да",'19_Расчет_аналитики'!AQ4498*'01_Вводные'!$B$14,0)</f>
        <v/>
      </c>
      <c r="AS4499">
        <f>IF('01_Вводные'!$B$234="Да",'19_Расчет_аналитики'!AR4498*'01_Вводные'!$B$14,0)</f>
        <v/>
      </c>
      <c r="AT4499">
        <f>IF('01_Вводные'!$B$234="Да",'19_Расчет_аналитики'!AS4498*'01_Вводные'!$B$14,0)</f>
        <v/>
      </c>
      <c r="AU4499">
        <f>IF('01_Вводные'!$B$234="Да",'19_Расчет_аналитики'!AT4498*'01_Вводные'!$B$14,0)</f>
        <v/>
      </c>
      <c r="AV4499">
        <f>IF('01_Вводные'!$B$234="Да",'19_Расчет_аналитики'!AU4498*'01_Вводные'!$B$14,0)</f>
        <v/>
      </c>
      <c r="AW4499">
        <f>IF('01_Вводные'!$B$234="Да",'19_Расчет_аналитики'!AV4498*'01_Вводные'!$B$14,0)</f>
        <v/>
      </c>
      <c r="AX4499">
        <f>IF('01_Вводные'!$B$234="Да",'19_Расчет_аналитики'!AW4498*'01_Вводные'!$B$14,0)</f>
        <v/>
      </c>
      <c r="AY4499">
        <f>IF('01_Вводные'!$B$234="Да",'19_Расчет_аналитики'!AX4498*'01_Вводные'!$B$14,0)</f>
        <v/>
      </c>
      <c r="AZ4499">
        <f>IF('01_Вводные'!$B$234="Да",'19_Расчет_аналитики'!AY4498*'01_Вводные'!$B$14,0)</f>
        <v/>
      </c>
      <c r="BA4499">
        <f>IF('01_Вводные'!$B$234="Да",'19_Расчет_аналитики'!AZ4498*'01_Вводные'!$B$14,0)</f>
        <v/>
      </c>
      <c r="BB4499">
        <f>IF('01_Вводные'!$B$234="Да",'19_Расчет_аналитики'!BA4498*'01_Вводные'!$B$14,0)</f>
        <v/>
      </c>
      <c r="BC4499">
        <f>IF('01_Вводные'!$B$234="Да",'19_Расчет_аналитики'!BB4498*'01_Вводные'!$B$14,0)</f>
        <v/>
      </c>
      <c r="BD4499">
        <f>IF('01_Вводные'!$B$234="Да",'19_Расчет_аналитики'!BC4498*'01_Вводные'!$B$14,0)</f>
        <v/>
      </c>
      <c r="BE4499">
        <f>IF('01_Вводные'!$B$234="Да",'19_Расчет_аналитики'!BD4498*'01_Вводные'!$B$14,0)</f>
        <v/>
      </c>
      <c r="BF4499">
        <f>IF('01_Вводные'!$B$234="Да",'19_Расчет_аналитики'!BE4498*'01_Вводные'!$B$14,0)</f>
        <v/>
      </c>
      <c r="BG4499">
        <f>IF('01_Вводные'!$B$234="Да",'19_Расчет_аналитики'!BF4498*'01_Вводные'!$B$14,0)</f>
        <v/>
      </c>
      <c r="BH4499">
        <f>IF('01_Вводные'!$B$234="Да",'19_Расчет_аналитики'!BG4498*'01_Вводные'!$B$14,0)</f>
        <v/>
      </c>
      <c r="BI4499">
        <f>IF('01_Вводные'!$B$234="Да",'19_Расчет_аналитики'!BH4498*'01_Вводные'!$B$14,0)</f>
        <v/>
      </c>
      <c r="BJ4499">
        <f>IF('01_Вводные'!$B$234="Да",'19_Расчет_аналитики'!BI4498*'01_Вводные'!$B$14,0)</f>
        <v/>
      </c>
      <c r="BK4499">
        <f>IF('01_Вводные'!$B$234="Да",'19_Расчет_аналитики'!BJ4498*'01_Вводные'!$B$14,0)</f>
        <v/>
      </c>
      <c r="BL4499">
        <f>IF('01_Вводные'!$B$234="Да",'19_Расчет_аналитики'!BK4498*'01_Вводные'!$B$14,0)</f>
        <v/>
      </c>
      <c r="BM4499">
        <f>IF('01_Вводные'!$B$234="Да",'19_Расчет_аналитики'!BL4498*'01_Вводные'!$B$14,0)</f>
        <v/>
      </c>
      <c r="BN4499">
        <f>IF('01_Вводные'!$B$234="Да",'19_Расчет_аналитики'!BM4498*'01_Вводные'!$B$14,0)</f>
        <v/>
      </c>
      <c r="BO4499">
        <f>IF('01_Вводные'!$B$234="Да",'19_Расчет_аналитики'!BN4498*'01_Вводные'!$B$14,0)</f>
        <v/>
      </c>
    </row>
    <row r="4500">
      <c r="N4500">
        <f>'06_Сеть_и_дети'!N97</f>
        <v/>
      </c>
      <c r="O4500">
        <f>'06_Сеть_и_дети'!O97</f>
        <v/>
      </c>
      <c r="P4500">
        <f>'06_Сеть_и_дети'!P97</f>
        <v/>
      </c>
      <c r="Q4500">
        <f>'06_Сеть_и_дети'!Q97</f>
        <v/>
      </c>
      <c r="R4500">
        <f>IF('01_Вводные'!$B$234="Да",'19_Расчет_аналитики'!Q4499*'01_Вводные'!$B$14,0)</f>
        <v/>
      </c>
      <c r="S4500">
        <f>IF('01_Вводные'!$B$234="Да",'19_Расчет_аналитики'!R4499*'01_Вводные'!$B$14,0)</f>
        <v/>
      </c>
      <c r="T4500">
        <f>IF('01_Вводные'!$B$234="Да",'19_Расчет_аналитики'!S4499*'01_Вводные'!$B$14,0)</f>
        <v/>
      </c>
      <c r="U4500">
        <f>IF('01_Вводные'!$B$234="Да",'19_Расчет_аналитики'!T4499*'01_Вводные'!$B$14,0)</f>
        <v/>
      </c>
      <c r="V4500">
        <f>IF('01_Вводные'!$B$234="Да",'19_Расчет_аналитики'!U4499*'01_Вводные'!$B$14,0)</f>
        <v/>
      </c>
      <c r="W4500">
        <f>IF('01_Вводные'!$B$234="Да",'19_Расчет_аналитики'!V4499*'01_Вводные'!$B$14,0)</f>
        <v/>
      </c>
      <c r="X4500">
        <f>IF('01_Вводные'!$B$234="Да",'19_Расчет_аналитики'!W4499*'01_Вводные'!$B$14,0)</f>
        <v/>
      </c>
      <c r="Y4500">
        <f>IF('01_Вводные'!$B$234="Да",'19_Расчет_аналитики'!X4499*'01_Вводные'!$B$14,0)</f>
        <v/>
      </c>
      <c r="Z4500">
        <f>IF('01_Вводные'!$B$234="Да",'19_Расчет_аналитики'!Y4499*'01_Вводные'!$B$14,0)</f>
        <v/>
      </c>
      <c r="AA4500">
        <f>IF('01_Вводные'!$B$234="Да",'19_Расчет_аналитики'!Z4499*'01_Вводные'!$B$14,0)</f>
        <v/>
      </c>
      <c r="AB4500">
        <f>IF('01_Вводные'!$B$234="Да",'19_Расчет_аналитики'!AA4499*'01_Вводные'!$B$14,0)</f>
        <v/>
      </c>
      <c r="AC4500">
        <f>IF('01_Вводные'!$B$234="Да",'19_Расчет_аналитики'!AB4499*'01_Вводные'!$B$14,0)</f>
        <v/>
      </c>
      <c r="AD4500">
        <f>IF('01_Вводные'!$B$234="Да",'19_Расчет_аналитики'!AC4499*'01_Вводные'!$B$14,0)</f>
        <v/>
      </c>
      <c r="AE4500">
        <f>IF('01_Вводные'!$B$234="Да",'19_Расчет_аналитики'!AD4499*'01_Вводные'!$B$14,0)</f>
        <v/>
      </c>
      <c r="AF4500">
        <f>IF('01_Вводные'!$B$234="Да",'19_Расчет_аналитики'!AE4499*'01_Вводные'!$B$14,0)</f>
        <v/>
      </c>
      <c r="AG4500">
        <f>IF('01_Вводные'!$B$234="Да",'19_Расчет_аналитики'!AF4499*'01_Вводные'!$B$14,0)</f>
        <v/>
      </c>
      <c r="AH4500">
        <f>IF('01_Вводные'!$B$234="Да",'19_Расчет_аналитики'!AG4499*'01_Вводные'!$B$14,0)</f>
        <v/>
      </c>
      <c r="AI4500">
        <f>IF('01_Вводные'!$B$234="Да",'19_Расчет_аналитики'!AH4499*'01_Вводные'!$B$14,0)</f>
        <v/>
      </c>
      <c r="AJ4500">
        <f>IF('01_Вводные'!$B$234="Да",'19_Расчет_аналитики'!AI4499*'01_Вводные'!$B$14,0)</f>
        <v/>
      </c>
      <c r="AK4500">
        <f>IF('01_Вводные'!$B$234="Да",'19_Расчет_аналитики'!AJ4499*'01_Вводные'!$B$14,0)</f>
        <v/>
      </c>
      <c r="AL4500">
        <f>IF('01_Вводные'!$B$234="Да",'19_Расчет_аналитики'!AK4499*'01_Вводные'!$B$14,0)</f>
        <v/>
      </c>
      <c r="AM4500">
        <f>IF('01_Вводные'!$B$234="Да",'19_Расчет_аналитики'!AL4499*'01_Вводные'!$B$14,0)</f>
        <v/>
      </c>
      <c r="AN4500">
        <f>IF('01_Вводные'!$B$234="Да",'19_Расчет_аналитики'!AM4499*'01_Вводные'!$B$14,0)</f>
        <v/>
      </c>
      <c r="AO4500">
        <f>IF('01_Вводные'!$B$234="Да",'19_Расчет_аналитики'!AN4499*'01_Вводные'!$B$14,0)</f>
        <v/>
      </c>
      <c r="AP4500">
        <f>IF('01_Вводные'!$B$234="Да",'19_Расчет_аналитики'!AO4499*'01_Вводные'!$B$14,0)</f>
        <v/>
      </c>
      <c r="AQ4500">
        <f>IF('01_Вводные'!$B$234="Да",'19_Расчет_аналитики'!AP4499*'01_Вводные'!$B$14,0)</f>
        <v/>
      </c>
      <c r="AR4500">
        <f>IF('01_Вводные'!$B$234="Да",'19_Расчет_аналитики'!AQ4499*'01_Вводные'!$B$14,0)</f>
        <v/>
      </c>
      <c r="AS4500">
        <f>IF('01_Вводные'!$B$234="Да",'19_Расчет_аналитики'!AR4499*'01_Вводные'!$B$14,0)</f>
        <v/>
      </c>
      <c r="AT4500">
        <f>IF('01_Вводные'!$B$234="Да",'19_Расчет_аналитики'!AS4499*'01_Вводные'!$B$14,0)</f>
        <v/>
      </c>
      <c r="AU4500">
        <f>IF('01_Вводные'!$B$234="Да",'19_Расчет_аналитики'!AT4499*'01_Вводные'!$B$14,0)</f>
        <v/>
      </c>
      <c r="AV4500">
        <f>IF('01_Вводные'!$B$234="Да",'19_Расчет_аналитики'!AU4499*'01_Вводные'!$B$14,0)</f>
        <v/>
      </c>
      <c r="AW4500">
        <f>IF('01_Вводные'!$B$234="Да",'19_Расчет_аналитики'!AV4499*'01_Вводные'!$B$14,0)</f>
        <v/>
      </c>
      <c r="AX4500">
        <f>IF('01_Вводные'!$B$234="Да",'19_Расчет_аналитики'!AW4499*'01_Вводные'!$B$14,0)</f>
        <v/>
      </c>
      <c r="AY4500">
        <f>IF('01_Вводные'!$B$234="Да",'19_Расчет_аналитики'!AX4499*'01_Вводные'!$B$14,0)</f>
        <v/>
      </c>
      <c r="AZ4500">
        <f>IF('01_Вводные'!$B$234="Да",'19_Расчет_аналитики'!AY4499*'01_Вводные'!$B$14,0)</f>
        <v/>
      </c>
      <c r="BA4500">
        <f>IF('01_Вводные'!$B$234="Да",'19_Расчет_аналитики'!AZ4499*'01_Вводные'!$B$14,0)</f>
        <v/>
      </c>
      <c r="BB4500">
        <f>IF('01_Вводные'!$B$234="Да",'19_Расчет_аналитики'!BA4499*'01_Вводные'!$B$14,0)</f>
        <v/>
      </c>
      <c r="BC4500">
        <f>IF('01_Вводные'!$B$234="Да",'19_Расчет_аналитики'!BB4499*'01_Вводные'!$B$14,0)</f>
        <v/>
      </c>
      <c r="BD4500">
        <f>IF('01_Вводные'!$B$234="Да",'19_Расчет_аналитики'!BC4499*'01_Вводные'!$B$14,0)</f>
        <v/>
      </c>
      <c r="BE4500">
        <f>IF('01_Вводные'!$B$234="Да",'19_Расчет_аналитики'!BD4499*'01_Вводные'!$B$14,0)</f>
        <v/>
      </c>
      <c r="BF4500">
        <f>IF('01_Вводные'!$B$234="Да",'19_Расчет_аналитики'!BE4499*'01_Вводные'!$B$14,0)</f>
        <v/>
      </c>
      <c r="BG4500">
        <f>IF('01_Вводные'!$B$234="Да",'19_Расчет_аналитики'!BF4499*'01_Вводные'!$B$14,0)</f>
        <v/>
      </c>
      <c r="BH4500">
        <f>IF('01_Вводные'!$B$234="Да",'19_Расчет_аналитики'!BG4499*'01_Вводные'!$B$14,0)</f>
        <v/>
      </c>
      <c r="BI4500">
        <f>IF('01_Вводные'!$B$234="Да",'19_Расчет_аналитики'!BH4499*'01_Вводные'!$B$14,0)</f>
        <v/>
      </c>
      <c r="BJ4500">
        <f>IF('01_Вводные'!$B$234="Да",'19_Расчет_аналитики'!BI4499*'01_Вводные'!$B$14,0)</f>
        <v/>
      </c>
      <c r="BK4500">
        <f>IF('01_Вводные'!$B$234="Да",'19_Расчет_аналитики'!BJ4499*'01_Вводные'!$B$14,0)</f>
        <v/>
      </c>
      <c r="BL4500">
        <f>IF('01_Вводные'!$B$234="Да",'19_Расчет_аналитики'!BK4499*'01_Вводные'!$B$14,0)</f>
        <v/>
      </c>
      <c r="BM4500">
        <f>IF('01_Вводные'!$B$234="Да",'19_Расчет_аналитики'!BL4499*'01_Вводные'!$B$14,0)</f>
        <v/>
      </c>
      <c r="BN4500">
        <f>IF('01_Вводные'!$B$234="Да",'19_Расчет_аналитики'!BM4499*'01_Вводные'!$B$14,0)</f>
        <v/>
      </c>
      <c r="BO4500">
        <f>IF('01_Вводные'!$B$234="Да",'19_Расчет_аналитики'!BN4499*'01_Вводные'!$B$14,0)</f>
        <v/>
      </c>
    </row>
    <row r="4501">
      <c r="N4501">
        <f>'06_Сеть_и_дети'!N98</f>
        <v/>
      </c>
      <c r="O4501">
        <f>'06_Сеть_и_дети'!O98</f>
        <v/>
      </c>
      <c r="P4501">
        <f>'06_Сеть_и_дети'!P98</f>
        <v/>
      </c>
      <c r="Q4501">
        <f>'06_Сеть_и_дети'!Q98</f>
        <v/>
      </c>
      <c r="R4501">
        <f>'06_Сеть_и_дети'!R98</f>
        <v/>
      </c>
      <c r="S4501">
        <f>IF('01_Вводные'!$B$234="Да",'19_Расчет_аналитики'!R4500*'01_Вводные'!$B$14,0)</f>
        <v/>
      </c>
      <c r="T4501">
        <f>IF('01_Вводные'!$B$234="Да",'19_Расчет_аналитики'!S4500*'01_Вводные'!$B$14,0)</f>
        <v/>
      </c>
      <c r="U4501">
        <f>IF('01_Вводные'!$B$234="Да",'19_Расчет_аналитики'!T4500*'01_Вводные'!$B$14,0)</f>
        <v/>
      </c>
      <c r="V4501">
        <f>IF('01_Вводные'!$B$234="Да",'19_Расчет_аналитики'!U4500*'01_Вводные'!$B$14,0)</f>
        <v/>
      </c>
      <c r="W4501">
        <f>IF('01_Вводные'!$B$234="Да",'19_Расчет_аналитики'!V4500*'01_Вводные'!$B$14,0)</f>
        <v/>
      </c>
      <c r="X4501">
        <f>IF('01_Вводные'!$B$234="Да",'19_Расчет_аналитики'!W4500*'01_Вводные'!$B$14,0)</f>
        <v/>
      </c>
      <c r="Y4501">
        <f>IF('01_Вводные'!$B$234="Да",'19_Расчет_аналитики'!X4500*'01_Вводные'!$B$14,0)</f>
        <v/>
      </c>
      <c r="Z4501">
        <f>IF('01_Вводные'!$B$234="Да",'19_Расчет_аналитики'!Y4500*'01_Вводные'!$B$14,0)</f>
        <v/>
      </c>
      <c r="AA4501">
        <f>IF('01_Вводные'!$B$234="Да",'19_Расчет_аналитики'!Z4500*'01_Вводные'!$B$14,0)</f>
        <v/>
      </c>
      <c r="AB4501">
        <f>IF('01_Вводные'!$B$234="Да",'19_Расчет_аналитики'!AA4500*'01_Вводные'!$B$14,0)</f>
        <v/>
      </c>
      <c r="AC4501">
        <f>IF('01_Вводные'!$B$234="Да",'19_Расчет_аналитики'!AB4500*'01_Вводные'!$B$14,0)</f>
        <v/>
      </c>
      <c r="AD4501">
        <f>IF('01_Вводные'!$B$234="Да",'19_Расчет_аналитики'!AC4500*'01_Вводные'!$B$14,0)</f>
        <v/>
      </c>
      <c r="AE4501">
        <f>IF('01_Вводные'!$B$234="Да",'19_Расчет_аналитики'!AD4500*'01_Вводные'!$B$14,0)</f>
        <v/>
      </c>
      <c r="AF4501">
        <f>IF('01_Вводные'!$B$234="Да",'19_Расчет_аналитики'!AE4500*'01_Вводные'!$B$14,0)</f>
        <v/>
      </c>
      <c r="AG4501">
        <f>IF('01_Вводные'!$B$234="Да",'19_Расчет_аналитики'!AF4500*'01_Вводные'!$B$14,0)</f>
        <v/>
      </c>
      <c r="AH4501">
        <f>IF('01_Вводные'!$B$234="Да",'19_Расчет_аналитики'!AG4500*'01_Вводные'!$B$14,0)</f>
        <v/>
      </c>
      <c r="AI4501">
        <f>IF('01_Вводные'!$B$234="Да",'19_Расчет_аналитики'!AH4500*'01_Вводные'!$B$14,0)</f>
        <v/>
      </c>
      <c r="AJ4501">
        <f>IF('01_Вводные'!$B$234="Да",'19_Расчет_аналитики'!AI4500*'01_Вводные'!$B$14,0)</f>
        <v/>
      </c>
      <c r="AK4501">
        <f>IF('01_Вводные'!$B$234="Да",'19_Расчет_аналитики'!AJ4500*'01_Вводные'!$B$14,0)</f>
        <v/>
      </c>
      <c r="AL4501">
        <f>IF('01_Вводные'!$B$234="Да",'19_Расчет_аналитики'!AK4500*'01_Вводные'!$B$14,0)</f>
        <v/>
      </c>
      <c r="AM4501">
        <f>IF('01_Вводные'!$B$234="Да",'19_Расчет_аналитики'!AL4500*'01_Вводные'!$B$14,0)</f>
        <v/>
      </c>
      <c r="AN4501">
        <f>IF('01_Вводные'!$B$234="Да",'19_Расчет_аналитики'!AM4500*'01_Вводные'!$B$14,0)</f>
        <v/>
      </c>
      <c r="AO4501">
        <f>IF('01_Вводные'!$B$234="Да",'19_Расчет_аналитики'!AN4500*'01_Вводные'!$B$14,0)</f>
        <v/>
      </c>
      <c r="AP4501">
        <f>IF('01_Вводные'!$B$234="Да",'19_Расчет_аналитики'!AO4500*'01_Вводные'!$B$14,0)</f>
        <v/>
      </c>
      <c r="AQ4501">
        <f>IF('01_Вводные'!$B$234="Да",'19_Расчет_аналитики'!AP4500*'01_Вводные'!$B$14,0)</f>
        <v/>
      </c>
      <c r="AR4501">
        <f>IF('01_Вводные'!$B$234="Да",'19_Расчет_аналитики'!AQ4500*'01_Вводные'!$B$14,0)</f>
        <v/>
      </c>
      <c r="AS4501">
        <f>IF('01_Вводные'!$B$234="Да",'19_Расчет_аналитики'!AR4500*'01_Вводные'!$B$14,0)</f>
        <v/>
      </c>
      <c r="AT4501">
        <f>IF('01_Вводные'!$B$234="Да",'19_Расчет_аналитики'!AS4500*'01_Вводные'!$B$14,0)</f>
        <v/>
      </c>
      <c r="AU4501">
        <f>IF('01_Вводные'!$B$234="Да",'19_Расчет_аналитики'!AT4500*'01_Вводные'!$B$14,0)</f>
        <v/>
      </c>
      <c r="AV4501">
        <f>IF('01_Вводные'!$B$234="Да",'19_Расчет_аналитики'!AU4500*'01_Вводные'!$B$14,0)</f>
        <v/>
      </c>
      <c r="AW4501">
        <f>IF('01_Вводные'!$B$234="Да",'19_Расчет_аналитики'!AV4500*'01_Вводные'!$B$14,0)</f>
        <v/>
      </c>
      <c r="AX4501">
        <f>IF('01_Вводные'!$B$234="Да",'19_Расчет_аналитики'!AW4500*'01_Вводные'!$B$14,0)</f>
        <v/>
      </c>
      <c r="AY4501">
        <f>IF('01_Вводные'!$B$234="Да",'19_Расчет_аналитики'!AX4500*'01_Вводные'!$B$14,0)</f>
        <v/>
      </c>
      <c r="AZ4501">
        <f>IF('01_Вводные'!$B$234="Да",'19_Расчет_аналитики'!AY4500*'01_Вводные'!$B$14,0)</f>
        <v/>
      </c>
      <c r="BA4501">
        <f>IF('01_Вводные'!$B$234="Да",'19_Расчет_аналитики'!AZ4500*'01_Вводные'!$B$14,0)</f>
        <v/>
      </c>
      <c r="BB4501">
        <f>IF('01_Вводные'!$B$234="Да",'19_Расчет_аналитики'!BA4500*'01_Вводные'!$B$14,0)</f>
        <v/>
      </c>
      <c r="BC4501">
        <f>IF('01_Вводные'!$B$234="Да",'19_Расчет_аналитики'!BB4500*'01_Вводные'!$B$14,0)</f>
        <v/>
      </c>
      <c r="BD4501">
        <f>IF('01_Вводные'!$B$234="Да",'19_Расчет_аналитики'!BC4500*'01_Вводные'!$B$14,0)</f>
        <v/>
      </c>
      <c r="BE4501">
        <f>IF('01_Вводные'!$B$234="Да",'19_Расчет_аналитики'!BD4500*'01_Вводные'!$B$14,0)</f>
        <v/>
      </c>
      <c r="BF4501">
        <f>IF('01_Вводные'!$B$234="Да",'19_Расчет_аналитики'!BE4500*'01_Вводные'!$B$14,0)</f>
        <v/>
      </c>
      <c r="BG4501">
        <f>IF('01_Вводные'!$B$234="Да",'19_Расчет_аналитики'!BF4500*'01_Вводные'!$B$14,0)</f>
        <v/>
      </c>
      <c r="BH4501">
        <f>IF('01_Вводные'!$B$234="Да",'19_Расчет_аналитики'!BG4500*'01_Вводные'!$B$14,0)</f>
        <v/>
      </c>
      <c r="BI4501">
        <f>IF('01_Вводные'!$B$234="Да",'19_Расчет_аналитики'!BH4500*'01_Вводные'!$B$14,0)</f>
        <v/>
      </c>
      <c r="BJ4501">
        <f>IF('01_Вводные'!$B$234="Да",'19_Расчет_аналитики'!BI4500*'01_Вводные'!$B$14,0)</f>
        <v/>
      </c>
      <c r="BK4501">
        <f>IF('01_Вводные'!$B$234="Да",'19_Расчет_аналитики'!BJ4500*'01_Вводные'!$B$14,0)</f>
        <v/>
      </c>
      <c r="BL4501">
        <f>IF('01_Вводные'!$B$234="Да",'19_Расчет_аналитики'!BK4500*'01_Вводные'!$B$14,0)</f>
        <v/>
      </c>
      <c r="BM4501">
        <f>IF('01_Вводные'!$B$234="Да",'19_Расчет_аналитики'!BL4500*'01_Вводные'!$B$14,0)</f>
        <v/>
      </c>
      <c r="BN4501">
        <f>IF('01_Вводные'!$B$234="Да",'19_Расчет_аналитики'!BM4500*'01_Вводные'!$B$14,0)</f>
        <v/>
      </c>
      <c r="BO4501">
        <f>IF('01_Вводные'!$B$234="Да",'19_Расчет_аналитики'!BN4500*'01_Вводные'!$B$14,0)</f>
        <v/>
      </c>
    </row>
    <row r="4502">
      <c r="N4502">
        <f>'06_Сеть_и_дети'!N99</f>
        <v/>
      </c>
      <c r="O4502">
        <f>'06_Сеть_и_дети'!O99</f>
        <v/>
      </c>
      <c r="P4502">
        <f>'06_Сеть_и_дети'!P99</f>
        <v/>
      </c>
      <c r="Q4502">
        <f>'06_Сеть_и_дети'!Q99</f>
        <v/>
      </c>
      <c r="R4502">
        <f>'06_Сеть_и_дети'!R99</f>
        <v/>
      </c>
      <c r="S4502">
        <f>'06_Сеть_и_дети'!S99</f>
        <v/>
      </c>
      <c r="T4502">
        <f>IF('01_Вводные'!$B$234="Да",'19_Расчет_аналитики'!S4501*'01_Вводные'!$B$14,0)</f>
        <v/>
      </c>
      <c r="U4502">
        <f>IF('01_Вводные'!$B$234="Да",'19_Расчет_аналитики'!T4501*'01_Вводные'!$B$14,0)</f>
        <v/>
      </c>
      <c r="V4502">
        <f>IF('01_Вводные'!$B$234="Да",'19_Расчет_аналитики'!U4501*'01_Вводные'!$B$14,0)</f>
        <v/>
      </c>
      <c r="W4502">
        <f>IF('01_Вводные'!$B$234="Да",'19_Расчет_аналитики'!V4501*'01_Вводные'!$B$14,0)</f>
        <v/>
      </c>
      <c r="X4502">
        <f>IF('01_Вводные'!$B$234="Да",'19_Расчет_аналитики'!W4501*'01_Вводные'!$B$14,0)</f>
        <v/>
      </c>
      <c r="Y4502">
        <f>IF('01_Вводные'!$B$234="Да",'19_Расчет_аналитики'!X4501*'01_Вводные'!$B$14,0)</f>
        <v/>
      </c>
      <c r="Z4502">
        <f>IF('01_Вводные'!$B$234="Да",'19_Расчет_аналитики'!Y4501*'01_Вводные'!$B$14,0)</f>
        <v/>
      </c>
      <c r="AA4502">
        <f>IF('01_Вводные'!$B$234="Да",'19_Расчет_аналитики'!Z4501*'01_Вводные'!$B$14,0)</f>
        <v/>
      </c>
      <c r="AB4502">
        <f>IF('01_Вводные'!$B$234="Да",'19_Расчет_аналитики'!AA4501*'01_Вводные'!$B$14,0)</f>
        <v/>
      </c>
      <c r="AC4502">
        <f>IF('01_Вводные'!$B$234="Да",'19_Расчет_аналитики'!AB4501*'01_Вводные'!$B$14,0)</f>
        <v/>
      </c>
      <c r="AD4502">
        <f>IF('01_Вводные'!$B$234="Да",'19_Расчет_аналитики'!AC4501*'01_Вводные'!$B$14,0)</f>
        <v/>
      </c>
      <c r="AE4502">
        <f>IF('01_Вводные'!$B$234="Да",'19_Расчет_аналитики'!AD4501*'01_Вводные'!$B$14,0)</f>
        <v/>
      </c>
      <c r="AF4502">
        <f>IF('01_Вводные'!$B$234="Да",'19_Расчет_аналитики'!AE4501*'01_Вводные'!$B$14,0)</f>
        <v/>
      </c>
      <c r="AG4502">
        <f>IF('01_Вводные'!$B$234="Да",'19_Расчет_аналитики'!AF4501*'01_Вводные'!$B$14,0)</f>
        <v/>
      </c>
      <c r="AH4502">
        <f>IF('01_Вводные'!$B$234="Да",'19_Расчет_аналитики'!AG4501*'01_Вводные'!$B$14,0)</f>
        <v/>
      </c>
      <c r="AI4502">
        <f>IF('01_Вводные'!$B$234="Да",'19_Расчет_аналитики'!AH4501*'01_Вводные'!$B$14,0)</f>
        <v/>
      </c>
      <c r="AJ4502">
        <f>IF('01_Вводные'!$B$234="Да",'19_Расчет_аналитики'!AI4501*'01_Вводные'!$B$14,0)</f>
        <v/>
      </c>
      <c r="AK4502">
        <f>IF('01_Вводные'!$B$234="Да",'19_Расчет_аналитики'!AJ4501*'01_Вводные'!$B$14,0)</f>
        <v/>
      </c>
      <c r="AL4502">
        <f>IF('01_Вводные'!$B$234="Да",'19_Расчет_аналитики'!AK4501*'01_Вводные'!$B$14,0)</f>
        <v/>
      </c>
      <c r="AM4502">
        <f>IF('01_Вводные'!$B$234="Да",'19_Расчет_аналитики'!AL4501*'01_Вводные'!$B$14,0)</f>
        <v/>
      </c>
      <c r="AN4502">
        <f>IF('01_Вводные'!$B$234="Да",'19_Расчет_аналитики'!AM4501*'01_Вводные'!$B$14,0)</f>
        <v/>
      </c>
      <c r="AO4502">
        <f>IF('01_Вводные'!$B$234="Да",'19_Расчет_аналитики'!AN4501*'01_Вводные'!$B$14,0)</f>
        <v/>
      </c>
      <c r="AP4502">
        <f>IF('01_Вводные'!$B$234="Да",'19_Расчет_аналитики'!AO4501*'01_Вводные'!$B$14,0)</f>
        <v/>
      </c>
      <c r="AQ4502">
        <f>IF('01_Вводные'!$B$234="Да",'19_Расчет_аналитики'!AP4501*'01_Вводные'!$B$14,0)</f>
        <v/>
      </c>
      <c r="AR4502">
        <f>IF('01_Вводные'!$B$234="Да",'19_Расчет_аналитики'!AQ4501*'01_Вводные'!$B$14,0)</f>
        <v/>
      </c>
      <c r="AS4502">
        <f>IF('01_Вводные'!$B$234="Да",'19_Расчет_аналитики'!AR4501*'01_Вводные'!$B$14,0)</f>
        <v/>
      </c>
      <c r="AT4502">
        <f>IF('01_Вводные'!$B$234="Да",'19_Расчет_аналитики'!AS4501*'01_Вводные'!$B$14,0)</f>
        <v/>
      </c>
      <c r="AU4502">
        <f>IF('01_Вводные'!$B$234="Да",'19_Расчет_аналитики'!AT4501*'01_Вводные'!$B$14,0)</f>
        <v/>
      </c>
      <c r="AV4502">
        <f>IF('01_Вводные'!$B$234="Да",'19_Расчет_аналитики'!AU4501*'01_Вводные'!$B$14,0)</f>
        <v/>
      </c>
      <c r="AW4502">
        <f>IF('01_Вводные'!$B$234="Да",'19_Расчет_аналитики'!AV4501*'01_Вводные'!$B$14,0)</f>
        <v/>
      </c>
      <c r="AX4502">
        <f>IF('01_Вводные'!$B$234="Да",'19_Расчет_аналитики'!AW4501*'01_Вводные'!$B$14,0)</f>
        <v/>
      </c>
      <c r="AY4502">
        <f>IF('01_Вводные'!$B$234="Да",'19_Расчет_аналитики'!AX4501*'01_Вводные'!$B$14,0)</f>
        <v/>
      </c>
      <c r="AZ4502">
        <f>IF('01_Вводные'!$B$234="Да",'19_Расчет_аналитики'!AY4501*'01_Вводные'!$B$14,0)</f>
        <v/>
      </c>
      <c r="BA4502">
        <f>IF('01_Вводные'!$B$234="Да",'19_Расчет_аналитики'!AZ4501*'01_Вводные'!$B$14,0)</f>
        <v/>
      </c>
      <c r="BB4502">
        <f>IF('01_Вводные'!$B$234="Да",'19_Расчет_аналитики'!BA4501*'01_Вводные'!$B$14,0)</f>
        <v/>
      </c>
      <c r="BC4502">
        <f>IF('01_Вводные'!$B$234="Да",'19_Расчет_аналитики'!BB4501*'01_Вводные'!$B$14,0)</f>
        <v/>
      </c>
      <c r="BD4502">
        <f>IF('01_Вводные'!$B$234="Да",'19_Расчет_аналитики'!BC4501*'01_Вводные'!$B$14,0)</f>
        <v/>
      </c>
      <c r="BE4502">
        <f>IF('01_Вводные'!$B$234="Да",'19_Расчет_аналитики'!BD4501*'01_Вводные'!$B$14,0)</f>
        <v/>
      </c>
      <c r="BF4502">
        <f>IF('01_Вводные'!$B$234="Да",'19_Расчет_аналитики'!BE4501*'01_Вводные'!$B$14,0)</f>
        <v/>
      </c>
      <c r="BG4502">
        <f>IF('01_Вводные'!$B$234="Да",'19_Расчет_аналитики'!BF4501*'01_Вводные'!$B$14,0)</f>
        <v/>
      </c>
      <c r="BH4502">
        <f>IF('01_Вводные'!$B$234="Да",'19_Расчет_аналитики'!BG4501*'01_Вводные'!$B$14,0)</f>
        <v/>
      </c>
      <c r="BI4502">
        <f>IF('01_Вводные'!$B$234="Да",'19_Расчет_аналитики'!BH4501*'01_Вводные'!$B$14,0)</f>
        <v/>
      </c>
      <c r="BJ4502">
        <f>IF('01_Вводные'!$B$234="Да",'19_Расчет_аналитики'!BI4501*'01_Вводные'!$B$14,0)</f>
        <v/>
      </c>
      <c r="BK4502">
        <f>IF('01_Вводные'!$B$234="Да",'19_Расчет_аналитики'!BJ4501*'01_Вводные'!$B$14,0)</f>
        <v/>
      </c>
      <c r="BL4502">
        <f>IF('01_Вводные'!$B$234="Да",'19_Расчет_аналитики'!BK4501*'01_Вводные'!$B$14,0)</f>
        <v/>
      </c>
      <c r="BM4502">
        <f>IF('01_Вводные'!$B$234="Да",'19_Расчет_аналитики'!BL4501*'01_Вводные'!$B$14,0)</f>
        <v/>
      </c>
      <c r="BN4502">
        <f>IF('01_Вводные'!$B$234="Да",'19_Расчет_аналитики'!BM4501*'01_Вводные'!$B$14,0)</f>
        <v/>
      </c>
      <c r="BO4502">
        <f>IF('01_Вводные'!$B$234="Да",'19_Расчет_аналитики'!BN4501*'01_Вводные'!$B$14,0)</f>
        <v/>
      </c>
    </row>
    <row r="4503">
      <c r="N4503">
        <f>'06_Сеть_и_дети'!N100</f>
        <v/>
      </c>
      <c r="O4503">
        <f>'06_Сеть_и_дети'!O100</f>
        <v/>
      </c>
      <c r="P4503">
        <f>'06_Сеть_и_дети'!P100</f>
        <v/>
      </c>
      <c r="Q4503">
        <f>'06_Сеть_и_дети'!Q100</f>
        <v/>
      </c>
      <c r="R4503">
        <f>'06_Сеть_и_дети'!R100</f>
        <v/>
      </c>
      <c r="S4503">
        <f>'06_Сеть_и_дети'!S100</f>
        <v/>
      </c>
      <c r="T4503">
        <f>'06_Сеть_и_дети'!T100</f>
        <v/>
      </c>
      <c r="U4503">
        <f>IF('01_Вводные'!$B$234="Да",'19_Расчет_аналитики'!T4502*'01_Вводные'!$B$14,0)</f>
        <v/>
      </c>
      <c r="V4503">
        <f>IF('01_Вводные'!$B$234="Да",'19_Расчет_аналитики'!U4502*'01_Вводные'!$B$14,0)</f>
        <v/>
      </c>
      <c r="W4503">
        <f>IF('01_Вводные'!$B$234="Да",'19_Расчет_аналитики'!V4502*'01_Вводные'!$B$14,0)</f>
        <v/>
      </c>
      <c r="X4503">
        <f>IF('01_Вводные'!$B$234="Да",'19_Расчет_аналитики'!W4502*'01_Вводные'!$B$14,0)</f>
        <v/>
      </c>
      <c r="Y4503">
        <f>IF('01_Вводные'!$B$234="Да",'19_Расчет_аналитики'!X4502*'01_Вводные'!$B$14,0)</f>
        <v/>
      </c>
      <c r="Z4503">
        <f>IF('01_Вводные'!$B$234="Да",'19_Расчет_аналитики'!Y4502*'01_Вводные'!$B$14,0)</f>
        <v/>
      </c>
      <c r="AA4503">
        <f>IF('01_Вводные'!$B$234="Да",'19_Расчет_аналитики'!Z4502*'01_Вводные'!$B$14,0)</f>
        <v/>
      </c>
      <c r="AB4503">
        <f>IF('01_Вводные'!$B$234="Да",'19_Расчет_аналитики'!AA4502*'01_Вводные'!$B$14,0)</f>
        <v/>
      </c>
      <c r="AC4503">
        <f>IF('01_Вводные'!$B$234="Да",'19_Расчет_аналитики'!AB4502*'01_Вводные'!$B$14,0)</f>
        <v/>
      </c>
      <c r="AD4503">
        <f>IF('01_Вводные'!$B$234="Да",'19_Расчет_аналитики'!AC4502*'01_Вводные'!$B$14,0)</f>
        <v/>
      </c>
      <c r="AE4503">
        <f>IF('01_Вводные'!$B$234="Да",'19_Расчет_аналитики'!AD4502*'01_Вводные'!$B$14,0)</f>
        <v/>
      </c>
      <c r="AF4503">
        <f>IF('01_Вводные'!$B$234="Да",'19_Расчет_аналитики'!AE4502*'01_Вводные'!$B$14,0)</f>
        <v/>
      </c>
      <c r="AG4503">
        <f>IF('01_Вводные'!$B$234="Да",'19_Расчет_аналитики'!AF4502*'01_Вводные'!$B$14,0)</f>
        <v/>
      </c>
      <c r="AH4503">
        <f>IF('01_Вводные'!$B$234="Да",'19_Расчет_аналитики'!AG4502*'01_Вводные'!$B$14,0)</f>
        <v/>
      </c>
      <c r="AI4503">
        <f>IF('01_Вводные'!$B$234="Да",'19_Расчет_аналитики'!AH4502*'01_Вводные'!$B$14,0)</f>
        <v/>
      </c>
      <c r="AJ4503">
        <f>IF('01_Вводные'!$B$234="Да",'19_Расчет_аналитики'!AI4502*'01_Вводные'!$B$14,0)</f>
        <v/>
      </c>
      <c r="AK4503">
        <f>IF('01_Вводные'!$B$234="Да",'19_Расчет_аналитики'!AJ4502*'01_Вводные'!$B$14,0)</f>
        <v/>
      </c>
      <c r="AL4503">
        <f>IF('01_Вводные'!$B$234="Да",'19_Расчет_аналитики'!AK4502*'01_Вводные'!$B$14,0)</f>
        <v/>
      </c>
      <c r="AM4503">
        <f>IF('01_Вводные'!$B$234="Да",'19_Расчет_аналитики'!AL4502*'01_Вводные'!$B$14,0)</f>
        <v/>
      </c>
      <c r="AN4503">
        <f>IF('01_Вводные'!$B$234="Да",'19_Расчет_аналитики'!AM4502*'01_Вводные'!$B$14,0)</f>
        <v/>
      </c>
      <c r="AO4503">
        <f>IF('01_Вводные'!$B$234="Да",'19_Расчет_аналитики'!AN4502*'01_Вводные'!$B$14,0)</f>
        <v/>
      </c>
      <c r="AP4503">
        <f>IF('01_Вводные'!$B$234="Да",'19_Расчет_аналитики'!AO4502*'01_Вводные'!$B$14,0)</f>
        <v/>
      </c>
      <c r="AQ4503">
        <f>IF('01_Вводные'!$B$234="Да",'19_Расчет_аналитики'!AP4502*'01_Вводные'!$B$14,0)</f>
        <v/>
      </c>
      <c r="AR4503">
        <f>IF('01_Вводные'!$B$234="Да",'19_Расчет_аналитики'!AQ4502*'01_Вводные'!$B$14,0)</f>
        <v/>
      </c>
      <c r="AS4503">
        <f>IF('01_Вводные'!$B$234="Да",'19_Расчет_аналитики'!AR4502*'01_Вводные'!$B$14,0)</f>
        <v/>
      </c>
      <c r="AT4503">
        <f>IF('01_Вводные'!$B$234="Да",'19_Расчет_аналитики'!AS4502*'01_Вводные'!$B$14,0)</f>
        <v/>
      </c>
      <c r="AU4503">
        <f>IF('01_Вводные'!$B$234="Да",'19_Расчет_аналитики'!AT4502*'01_Вводные'!$B$14,0)</f>
        <v/>
      </c>
      <c r="AV4503">
        <f>IF('01_Вводные'!$B$234="Да",'19_Расчет_аналитики'!AU4502*'01_Вводные'!$B$14,0)</f>
        <v/>
      </c>
      <c r="AW4503">
        <f>IF('01_Вводные'!$B$234="Да",'19_Расчет_аналитики'!AV4502*'01_Вводные'!$B$14,0)</f>
        <v/>
      </c>
      <c r="AX4503">
        <f>IF('01_Вводные'!$B$234="Да",'19_Расчет_аналитики'!AW4502*'01_Вводные'!$B$14,0)</f>
        <v/>
      </c>
      <c r="AY4503">
        <f>IF('01_Вводные'!$B$234="Да",'19_Расчет_аналитики'!AX4502*'01_Вводные'!$B$14,0)</f>
        <v/>
      </c>
      <c r="AZ4503">
        <f>IF('01_Вводные'!$B$234="Да",'19_Расчет_аналитики'!AY4502*'01_Вводные'!$B$14,0)</f>
        <v/>
      </c>
      <c r="BA4503">
        <f>IF('01_Вводные'!$B$234="Да",'19_Расчет_аналитики'!AZ4502*'01_Вводные'!$B$14,0)</f>
        <v/>
      </c>
      <c r="BB4503">
        <f>IF('01_Вводные'!$B$234="Да",'19_Расчет_аналитики'!BA4502*'01_Вводные'!$B$14,0)</f>
        <v/>
      </c>
      <c r="BC4503">
        <f>IF('01_Вводные'!$B$234="Да",'19_Расчет_аналитики'!BB4502*'01_Вводные'!$B$14,0)</f>
        <v/>
      </c>
      <c r="BD4503">
        <f>IF('01_Вводные'!$B$234="Да",'19_Расчет_аналитики'!BC4502*'01_Вводные'!$B$14,0)</f>
        <v/>
      </c>
      <c r="BE4503">
        <f>IF('01_Вводные'!$B$234="Да",'19_Расчет_аналитики'!BD4502*'01_Вводные'!$B$14,0)</f>
        <v/>
      </c>
      <c r="BF4503">
        <f>IF('01_Вводные'!$B$234="Да",'19_Расчет_аналитики'!BE4502*'01_Вводные'!$B$14,0)</f>
        <v/>
      </c>
      <c r="BG4503">
        <f>IF('01_Вводные'!$B$234="Да",'19_Расчет_аналитики'!BF4502*'01_Вводные'!$B$14,0)</f>
        <v/>
      </c>
      <c r="BH4503">
        <f>IF('01_Вводные'!$B$234="Да",'19_Расчет_аналитики'!BG4502*'01_Вводные'!$B$14,0)</f>
        <v/>
      </c>
      <c r="BI4503">
        <f>IF('01_Вводные'!$B$234="Да",'19_Расчет_аналитики'!BH4502*'01_Вводные'!$B$14,0)</f>
        <v/>
      </c>
      <c r="BJ4503">
        <f>IF('01_Вводные'!$B$234="Да",'19_Расчет_аналитики'!BI4502*'01_Вводные'!$B$14,0)</f>
        <v/>
      </c>
      <c r="BK4503">
        <f>IF('01_Вводные'!$B$234="Да",'19_Расчет_аналитики'!BJ4502*'01_Вводные'!$B$14,0)</f>
        <v/>
      </c>
      <c r="BL4503">
        <f>IF('01_Вводные'!$B$234="Да",'19_Расчет_аналитики'!BK4502*'01_Вводные'!$B$14,0)</f>
        <v/>
      </c>
      <c r="BM4503">
        <f>IF('01_Вводные'!$B$234="Да",'19_Расчет_аналитики'!BL4502*'01_Вводные'!$B$14,0)</f>
        <v/>
      </c>
      <c r="BN4503">
        <f>IF('01_Вводные'!$B$234="Да",'19_Расчет_аналитики'!BM4502*'01_Вводные'!$B$14,0)</f>
        <v/>
      </c>
      <c r="BO4503">
        <f>IF('01_Вводные'!$B$234="Да",'19_Расчет_аналитики'!BN4502*'01_Вводные'!$B$14,0)</f>
        <v/>
      </c>
    </row>
    <row r="4504">
      <c r="N4504">
        <f>'06_Сеть_и_дети'!N101</f>
        <v/>
      </c>
      <c r="O4504">
        <f>'06_Сеть_и_дети'!O101</f>
        <v/>
      </c>
      <c r="P4504">
        <f>'06_Сеть_и_дети'!P101</f>
        <v/>
      </c>
      <c r="Q4504">
        <f>'06_Сеть_и_дети'!Q101</f>
        <v/>
      </c>
      <c r="R4504">
        <f>'06_Сеть_и_дети'!R101</f>
        <v/>
      </c>
      <c r="S4504">
        <f>'06_Сеть_и_дети'!S101</f>
        <v/>
      </c>
      <c r="T4504">
        <f>'06_Сеть_и_дети'!T101</f>
        <v/>
      </c>
      <c r="U4504">
        <f>'06_Сеть_и_дети'!U101</f>
        <v/>
      </c>
      <c r="V4504">
        <f>IF('01_Вводные'!$B$234="Да",'19_Расчет_аналитики'!U4503*'01_Вводные'!$B$14,0)</f>
        <v/>
      </c>
      <c r="W4504">
        <f>IF('01_Вводные'!$B$234="Да",'19_Расчет_аналитики'!V4503*'01_Вводные'!$B$14,0)</f>
        <v/>
      </c>
      <c r="X4504">
        <f>IF('01_Вводные'!$B$234="Да",'19_Расчет_аналитики'!W4503*'01_Вводные'!$B$14,0)</f>
        <v/>
      </c>
      <c r="Y4504">
        <f>IF('01_Вводные'!$B$234="Да",'19_Расчет_аналитики'!X4503*'01_Вводные'!$B$14,0)</f>
        <v/>
      </c>
      <c r="Z4504">
        <f>IF('01_Вводные'!$B$234="Да",'19_Расчет_аналитики'!Y4503*'01_Вводные'!$B$14,0)</f>
        <v/>
      </c>
      <c r="AA4504">
        <f>IF('01_Вводные'!$B$234="Да",'19_Расчет_аналитики'!Z4503*'01_Вводные'!$B$14,0)</f>
        <v/>
      </c>
      <c r="AB4504">
        <f>IF('01_Вводные'!$B$234="Да",'19_Расчет_аналитики'!AA4503*'01_Вводные'!$B$14,0)</f>
        <v/>
      </c>
      <c r="AC4504">
        <f>IF('01_Вводные'!$B$234="Да",'19_Расчет_аналитики'!AB4503*'01_Вводные'!$B$14,0)</f>
        <v/>
      </c>
      <c r="AD4504">
        <f>IF('01_Вводные'!$B$234="Да",'19_Расчет_аналитики'!AC4503*'01_Вводные'!$B$14,0)</f>
        <v/>
      </c>
      <c r="AE4504">
        <f>IF('01_Вводные'!$B$234="Да",'19_Расчет_аналитики'!AD4503*'01_Вводные'!$B$14,0)</f>
        <v/>
      </c>
      <c r="AF4504">
        <f>IF('01_Вводные'!$B$234="Да",'19_Расчет_аналитики'!AE4503*'01_Вводные'!$B$14,0)</f>
        <v/>
      </c>
      <c r="AG4504">
        <f>IF('01_Вводные'!$B$234="Да",'19_Расчет_аналитики'!AF4503*'01_Вводные'!$B$14,0)</f>
        <v/>
      </c>
      <c r="AH4504">
        <f>IF('01_Вводные'!$B$234="Да",'19_Расчет_аналитики'!AG4503*'01_Вводные'!$B$14,0)</f>
        <v/>
      </c>
      <c r="AI4504">
        <f>IF('01_Вводные'!$B$234="Да",'19_Расчет_аналитики'!AH4503*'01_Вводные'!$B$14,0)</f>
        <v/>
      </c>
      <c r="AJ4504">
        <f>IF('01_Вводные'!$B$234="Да",'19_Расчет_аналитики'!AI4503*'01_Вводные'!$B$14,0)</f>
        <v/>
      </c>
      <c r="AK4504">
        <f>IF('01_Вводные'!$B$234="Да",'19_Расчет_аналитики'!AJ4503*'01_Вводные'!$B$14,0)</f>
        <v/>
      </c>
      <c r="AL4504">
        <f>IF('01_Вводные'!$B$234="Да",'19_Расчет_аналитики'!AK4503*'01_Вводные'!$B$14,0)</f>
        <v/>
      </c>
      <c r="AM4504">
        <f>IF('01_Вводные'!$B$234="Да",'19_Расчет_аналитики'!AL4503*'01_Вводные'!$B$14,0)</f>
        <v/>
      </c>
      <c r="AN4504">
        <f>IF('01_Вводные'!$B$234="Да",'19_Расчет_аналитики'!AM4503*'01_Вводные'!$B$14,0)</f>
        <v/>
      </c>
      <c r="AO4504">
        <f>IF('01_Вводные'!$B$234="Да",'19_Расчет_аналитики'!AN4503*'01_Вводные'!$B$14,0)</f>
        <v/>
      </c>
      <c r="AP4504">
        <f>IF('01_Вводные'!$B$234="Да",'19_Расчет_аналитики'!AO4503*'01_Вводные'!$B$14,0)</f>
        <v/>
      </c>
      <c r="AQ4504">
        <f>IF('01_Вводные'!$B$234="Да",'19_Расчет_аналитики'!AP4503*'01_Вводные'!$B$14,0)</f>
        <v/>
      </c>
      <c r="AR4504">
        <f>IF('01_Вводные'!$B$234="Да",'19_Расчет_аналитики'!AQ4503*'01_Вводные'!$B$14,0)</f>
        <v/>
      </c>
      <c r="AS4504">
        <f>IF('01_Вводные'!$B$234="Да",'19_Расчет_аналитики'!AR4503*'01_Вводные'!$B$14,0)</f>
        <v/>
      </c>
      <c r="AT4504">
        <f>IF('01_Вводные'!$B$234="Да",'19_Расчет_аналитики'!AS4503*'01_Вводные'!$B$14,0)</f>
        <v/>
      </c>
      <c r="AU4504">
        <f>IF('01_Вводные'!$B$234="Да",'19_Расчет_аналитики'!AT4503*'01_Вводные'!$B$14,0)</f>
        <v/>
      </c>
      <c r="AV4504">
        <f>IF('01_Вводные'!$B$234="Да",'19_Расчет_аналитики'!AU4503*'01_Вводные'!$B$14,0)</f>
        <v/>
      </c>
      <c r="AW4504">
        <f>IF('01_Вводные'!$B$234="Да",'19_Расчет_аналитики'!AV4503*'01_Вводные'!$B$14,0)</f>
        <v/>
      </c>
      <c r="AX4504">
        <f>IF('01_Вводные'!$B$234="Да",'19_Расчет_аналитики'!AW4503*'01_Вводные'!$B$14,0)</f>
        <v/>
      </c>
      <c r="AY4504">
        <f>IF('01_Вводные'!$B$234="Да",'19_Расчет_аналитики'!AX4503*'01_Вводные'!$B$14,0)</f>
        <v/>
      </c>
      <c r="AZ4504">
        <f>IF('01_Вводные'!$B$234="Да",'19_Расчет_аналитики'!AY4503*'01_Вводные'!$B$14,0)</f>
        <v/>
      </c>
      <c r="BA4504">
        <f>IF('01_Вводные'!$B$234="Да",'19_Расчет_аналитики'!AZ4503*'01_Вводные'!$B$14,0)</f>
        <v/>
      </c>
      <c r="BB4504">
        <f>IF('01_Вводные'!$B$234="Да",'19_Расчет_аналитики'!BA4503*'01_Вводные'!$B$14,0)</f>
        <v/>
      </c>
      <c r="BC4504">
        <f>IF('01_Вводные'!$B$234="Да",'19_Расчет_аналитики'!BB4503*'01_Вводные'!$B$14,0)</f>
        <v/>
      </c>
      <c r="BD4504">
        <f>IF('01_Вводные'!$B$234="Да",'19_Расчет_аналитики'!BC4503*'01_Вводные'!$B$14,0)</f>
        <v/>
      </c>
      <c r="BE4504">
        <f>IF('01_Вводные'!$B$234="Да",'19_Расчет_аналитики'!BD4503*'01_Вводные'!$B$14,0)</f>
        <v/>
      </c>
      <c r="BF4504">
        <f>IF('01_Вводные'!$B$234="Да",'19_Расчет_аналитики'!BE4503*'01_Вводные'!$B$14,0)</f>
        <v/>
      </c>
      <c r="BG4504">
        <f>IF('01_Вводные'!$B$234="Да",'19_Расчет_аналитики'!BF4503*'01_Вводные'!$B$14,0)</f>
        <v/>
      </c>
      <c r="BH4504">
        <f>IF('01_Вводные'!$B$234="Да",'19_Расчет_аналитики'!BG4503*'01_Вводные'!$B$14,0)</f>
        <v/>
      </c>
      <c r="BI4504">
        <f>IF('01_Вводные'!$B$234="Да",'19_Расчет_аналитики'!BH4503*'01_Вводные'!$B$14,0)</f>
        <v/>
      </c>
      <c r="BJ4504">
        <f>IF('01_Вводные'!$B$234="Да",'19_Расчет_аналитики'!BI4503*'01_Вводные'!$B$14,0)</f>
        <v/>
      </c>
      <c r="BK4504">
        <f>IF('01_Вводные'!$B$234="Да",'19_Расчет_аналитики'!BJ4503*'01_Вводные'!$B$14,0)</f>
        <v/>
      </c>
      <c r="BL4504">
        <f>IF('01_Вводные'!$B$234="Да",'19_Расчет_аналитики'!BK4503*'01_Вводные'!$B$14,0)</f>
        <v/>
      </c>
      <c r="BM4504">
        <f>IF('01_Вводные'!$B$234="Да",'19_Расчет_аналитики'!BL4503*'01_Вводные'!$B$14,0)</f>
        <v/>
      </c>
      <c r="BN4504">
        <f>IF('01_Вводные'!$B$234="Да",'19_Расчет_аналитики'!BM4503*'01_Вводные'!$B$14,0)</f>
        <v/>
      </c>
      <c r="BO4504">
        <f>IF('01_Вводные'!$B$234="Да",'19_Расчет_аналитики'!BN4503*'01_Вводные'!$B$14,0)</f>
        <v/>
      </c>
    </row>
    <row r="4505">
      <c r="N4505">
        <f>'06_Сеть_и_дети'!N102</f>
        <v/>
      </c>
      <c r="O4505">
        <f>'06_Сеть_и_дети'!O102</f>
        <v/>
      </c>
      <c r="P4505">
        <f>'06_Сеть_и_дети'!P102</f>
        <v/>
      </c>
      <c r="Q4505">
        <f>'06_Сеть_и_дети'!Q102</f>
        <v/>
      </c>
      <c r="R4505">
        <f>'06_Сеть_и_дети'!R102</f>
        <v/>
      </c>
      <c r="S4505">
        <f>'06_Сеть_и_дети'!S102</f>
        <v/>
      </c>
      <c r="T4505">
        <f>'06_Сеть_и_дети'!T102</f>
        <v/>
      </c>
      <c r="U4505">
        <f>'06_Сеть_и_дети'!U102</f>
        <v/>
      </c>
      <c r="V4505">
        <f>'06_Сеть_и_дети'!V102</f>
        <v/>
      </c>
      <c r="W4505">
        <f>IF('01_Вводные'!$B$234="Да",'19_Расчет_аналитики'!V4504*'01_Вводные'!$B$14,0)</f>
        <v/>
      </c>
      <c r="X4505">
        <f>IF('01_Вводные'!$B$234="Да",'19_Расчет_аналитики'!W4504*'01_Вводные'!$B$14,0)</f>
        <v/>
      </c>
      <c r="Y4505">
        <f>IF('01_Вводные'!$B$234="Да",'19_Расчет_аналитики'!X4504*'01_Вводные'!$B$14,0)</f>
        <v/>
      </c>
      <c r="Z4505">
        <f>IF('01_Вводные'!$B$234="Да",'19_Расчет_аналитики'!Y4504*'01_Вводные'!$B$14,0)</f>
        <v/>
      </c>
      <c r="AA4505">
        <f>IF('01_Вводные'!$B$234="Да",'19_Расчет_аналитики'!Z4504*'01_Вводные'!$B$14,0)</f>
        <v/>
      </c>
      <c r="AB4505">
        <f>IF('01_Вводные'!$B$234="Да",'19_Расчет_аналитики'!AA4504*'01_Вводные'!$B$14,0)</f>
        <v/>
      </c>
      <c r="AC4505">
        <f>IF('01_Вводные'!$B$234="Да",'19_Расчет_аналитики'!AB4504*'01_Вводные'!$B$14,0)</f>
        <v/>
      </c>
      <c r="AD4505">
        <f>IF('01_Вводные'!$B$234="Да",'19_Расчет_аналитики'!AC4504*'01_Вводные'!$B$14,0)</f>
        <v/>
      </c>
      <c r="AE4505">
        <f>IF('01_Вводные'!$B$234="Да",'19_Расчет_аналитики'!AD4504*'01_Вводные'!$B$14,0)</f>
        <v/>
      </c>
      <c r="AF4505">
        <f>IF('01_Вводные'!$B$234="Да",'19_Расчет_аналитики'!AE4504*'01_Вводные'!$B$14,0)</f>
        <v/>
      </c>
      <c r="AG4505">
        <f>IF('01_Вводные'!$B$234="Да",'19_Расчет_аналитики'!AF4504*'01_Вводные'!$B$14,0)</f>
        <v/>
      </c>
      <c r="AH4505">
        <f>IF('01_Вводные'!$B$234="Да",'19_Расчет_аналитики'!AG4504*'01_Вводные'!$B$14,0)</f>
        <v/>
      </c>
      <c r="AI4505">
        <f>IF('01_Вводные'!$B$234="Да",'19_Расчет_аналитики'!AH4504*'01_Вводные'!$B$14,0)</f>
        <v/>
      </c>
      <c r="AJ4505">
        <f>IF('01_Вводные'!$B$234="Да",'19_Расчет_аналитики'!AI4504*'01_Вводные'!$B$14,0)</f>
        <v/>
      </c>
      <c r="AK4505">
        <f>IF('01_Вводные'!$B$234="Да",'19_Расчет_аналитики'!AJ4504*'01_Вводные'!$B$14,0)</f>
        <v/>
      </c>
      <c r="AL4505">
        <f>IF('01_Вводные'!$B$234="Да",'19_Расчет_аналитики'!AK4504*'01_Вводные'!$B$14,0)</f>
        <v/>
      </c>
      <c r="AM4505">
        <f>IF('01_Вводные'!$B$234="Да",'19_Расчет_аналитики'!AL4504*'01_Вводные'!$B$14,0)</f>
        <v/>
      </c>
      <c r="AN4505">
        <f>IF('01_Вводные'!$B$234="Да",'19_Расчет_аналитики'!AM4504*'01_Вводные'!$B$14,0)</f>
        <v/>
      </c>
      <c r="AO4505">
        <f>IF('01_Вводные'!$B$234="Да",'19_Расчет_аналитики'!AN4504*'01_Вводные'!$B$14,0)</f>
        <v/>
      </c>
      <c r="AP4505">
        <f>IF('01_Вводные'!$B$234="Да",'19_Расчет_аналитики'!AO4504*'01_Вводные'!$B$14,0)</f>
        <v/>
      </c>
      <c r="AQ4505">
        <f>IF('01_Вводные'!$B$234="Да",'19_Расчет_аналитики'!AP4504*'01_Вводные'!$B$14,0)</f>
        <v/>
      </c>
      <c r="AR4505">
        <f>IF('01_Вводные'!$B$234="Да",'19_Расчет_аналитики'!AQ4504*'01_Вводные'!$B$14,0)</f>
        <v/>
      </c>
      <c r="AS4505">
        <f>IF('01_Вводные'!$B$234="Да",'19_Расчет_аналитики'!AR4504*'01_Вводные'!$B$14,0)</f>
        <v/>
      </c>
      <c r="AT4505">
        <f>IF('01_Вводные'!$B$234="Да",'19_Расчет_аналитики'!AS4504*'01_Вводные'!$B$14,0)</f>
        <v/>
      </c>
      <c r="AU4505">
        <f>IF('01_Вводные'!$B$234="Да",'19_Расчет_аналитики'!AT4504*'01_Вводные'!$B$14,0)</f>
        <v/>
      </c>
      <c r="AV4505">
        <f>IF('01_Вводные'!$B$234="Да",'19_Расчет_аналитики'!AU4504*'01_Вводные'!$B$14,0)</f>
        <v/>
      </c>
      <c r="AW4505">
        <f>IF('01_Вводные'!$B$234="Да",'19_Расчет_аналитики'!AV4504*'01_Вводные'!$B$14,0)</f>
        <v/>
      </c>
      <c r="AX4505">
        <f>IF('01_Вводные'!$B$234="Да",'19_Расчет_аналитики'!AW4504*'01_Вводные'!$B$14,0)</f>
        <v/>
      </c>
      <c r="AY4505">
        <f>IF('01_Вводные'!$B$234="Да",'19_Расчет_аналитики'!AX4504*'01_Вводные'!$B$14,0)</f>
        <v/>
      </c>
      <c r="AZ4505">
        <f>IF('01_Вводные'!$B$234="Да",'19_Расчет_аналитики'!AY4504*'01_Вводные'!$B$14,0)</f>
        <v/>
      </c>
      <c r="BA4505">
        <f>IF('01_Вводные'!$B$234="Да",'19_Расчет_аналитики'!AZ4504*'01_Вводные'!$B$14,0)</f>
        <v/>
      </c>
      <c r="BB4505">
        <f>IF('01_Вводные'!$B$234="Да",'19_Расчет_аналитики'!BA4504*'01_Вводные'!$B$14,0)</f>
        <v/>
      </c>
      <c r="BC4505">
        <f>IF('01_Вводные'!$B$234="Да",'19_Расчет_аналитики'!BB4504*'01_Вводные'!$B$14,0)</f>
        <v/>
      </c>
      <c r="BD4505">
        <f>IF('01_Вводные'!$B$234="Да",'19_Расчет_аналитики'!BC4504*'01_Вводные'!$B$14,0)</f>
        <v/>
      </c>
      <c r="BE4505">
        <f>IF('01_Вводные'!$B$234="Да",'19_Расчет_аналитики'!BD4504*'01_Вводные'!$B$14,0)</f>
        <v/>
      </c>
      <c r="BF4505">
        <f>IF('01_Вводные'!$B$234="Да",'19_Расчет_аналитики'!BE4504*'01_Вводные'!$B$14,0)</f>
        <v/>
      </c>
      <c r="BG4505">
        <f>IF('01_Вводные'!$B$234="Да",'19_Расчет_аналитики'!BF4504*'01_Вводные'!$B$14,0)</f>
        <v/>
      </c>
      <c r="BH4505">
        <f>IF('01_Вводные'!$B$234="Да",'19_Расчет_аналитики'!BG4504*'01_Вводные'!$B$14,0)</f>
        <v/>
      </c>
      <c r="BI4505">
        <f>IF('01_Вводные'!$B$234="Да",'19_Расчет_аналитики'!BH4504*'01_Вводные'!$B$14,0)</f>
        <v/>
      </c>
      <c r="BJ4505">
        <f>IF('01_Вводные'!$B$234="Да",'19_Расчет_аналитики'!BI4504*'01_Вводные'!$B$14,0)</f>
        <v/>
      </c>
      <c r="BK4505">
        <f>IF('01_Вводные'!$B$234="Да",'19_Расчет_аналитики'!BJ4504*'01_Вводные'!$B$14,0)</f>
        <v/>
      </c>
      <c r="BL4505">
        <f>IF('01_Вводные'!$B$234="Да",'19_Расчет_аналитики'!BK4504*'01_Вводные'!$B$14,0)</f>
        <v/>
      </c>
      <c r="BM4505">
        <f>IF('01_Вводные'!$B$234="Да",'19_Расчет_аналитики'!BL4504*'01_Вводные'!$B$14,0)</f>
        <v/>
      </c>
      <c r="BN4505">
        <f>IF('01_Вводные'!$B$234="Да",'19_Расчет_аналитики'!BM4504*'01_Вводные'!$B$14,0)</f>
        <v/>
      </c>
      <c r="BO4505">
        <f>IF('01_Вводные'!$B$234="Да",'19_Расчет_аналитики'!BN4504*'01_Вводные'!$B$14,0)</f>
        <v/>
      </c>
    </row>
    <row r="4506">
      <c r="N4506">
        <f>'06_Сеть_и_дети'!N103</f>
        <v/>
      </c>
      <c r="O4506">
        <f>'06_Сеть_и_дети'!O103</f>
        <v/>
      </c>
      <c r="P4506">
        <f>'06_Сеть_и_дети'!P103</f>
        <v/>
      </c>
      <c r="Q4506">
        <f>'06_Сеть_и_дети'!Q103</f>
        <v/>
      </c>
      <c r="R4506">
        <f>'06_Сеть_и_дети'!R103</f>
        <v/>
      </c>
      <c r="S4506">
        <f>'06_Сеть_и_дети'!S103</f>
        <v/>
      </c>
      <c r="T4506">
        <f>'06_Сеть_и_дети'!T103</f>
        <v/>
      </c>
      <c r="U4506">
        <f>'06_Сеть_и_дети'!U103</f>
        <v/>
      </c>
      <c r="V4506">
        <f>'06_Сеть_и_дети'!V103</f>
        <v/>
      </c>
      <c r="W4506">
        <f>'06_Сеть_и_дети'!W103</f>
        <v/>
      </c>
      <c r="X4506">
        <f>IF('01_Вводные'!$B$234="Да",'19_Расчет_аналитики'!W4505*'01_Вводные'!$B$14,0)</f>
        <v/>
      </c>
      <c r="Y4506">
        <f>IF('01_Вводные'!$B$234="Да",'19_Расчет_аналитики'!X4505*'01_Вводные'!$B$14,0)</f>
        <v/>
      </c>
      <c r="Z4506">
        <f>IF('01_Вводные'!$B$234="Да",'19_Расчет_аналитики'!Y4505*'01_Вводные'!$B$14,0)</f>
        <v/>
      </c>
      <c r="AA4506">
        <f>IF('01_Вводные'!$B$234="Да",'19_Расчет_аналитики'!Z4505*'01_Вводные'!$B$14,0)</f>
        <v/>
      </c>
      <c r="AB4506">
        <f>IF('01_Вводные'!$B$234="Да",'19_Расчет_аналитики'!AA4505*'01_Вводные'!$B$14,0)</f>
        <v/>
      </c>
      <c r="AC4506">
        <f>IF('01_Вводные'!$B$234="Да",'19_Расчет_аналитики'!AB4505*'01_Вводные'!$B$14,0)</f>
        <v/>
      </c>
      <c r="AD4506">
        <f>IF('01_Вводные'!$B$234="Да",'19_Расчет_аналитики'!AC4505*'01_Вводные'!$B$14,0)</f>
        <v/>
      </c>
      <c r="AE4506">
        <f>IF('01_Вводные'!$B$234="Да",'19_Расчет_аналитики'!AD4505*'01_Вводные'!$B$14,0)</f>
        <v/>
      </c>
      <c r="AF4506">
        <f>IF('01_Вводные'!$B$234="Да",'19_Расчет_аналитики'!AE4505*'01_Вводные'!$B$14,0)</f>
        <v/>
      </c>
      <c r="AG4506">
        <f>IF('01_Вводные'!$B$234="Да",'19_Расчет_аналитики'!AF4505*'01_Вводные'!$B$14,0)</f>
        <v/>
      </c>
      <c r="AH4506">
        <f>IF('01_Вводные'!$B$234="Да",'19_Расчет_аналитики'!AG4505*'01_Вводные'!$B$14,0)</f>
        <v/>
      </c>
      <c r="AI4506">
        <f>IF('01_Вводные'!$B$234="Да",'19_Расчет_аналитики'!AH4505*'01_Вводные'!$B$14,0)</f>
        <v/>
      </c>
      <c r="AJ4506">
        <f>IF('01_Вводные'!$B$234="Да",'19_Расчет_аналитики'!AI4505*'01_Вводные'!$B$14,0)</f>
        <v/>
      </c>
      <c r="AK4506">
        <f>IF('01_Вводные'!$B$234="Да",'19_Расчет_аналитики'!AJ4505*'01_Вводные'!$B$14,0)</f>
        <v/>
      </c>
      <c r="AL4506">
        <f>IF('01_Вводные'!$B$234="Да",'19_Расчет_аналитики'!AK4505*'01_Вводные'!$B$14,0)</f>
        <v/>
      </c>
      <c r="AM4506">
        <f>IF('01_Вводные'!$B$234="Да",'19_Расчет_аналитики'!AL4505*'01_Вводные'!$B$14,0)</f>
        <v/>
      </c>
      <c r="AN4506">
        <f>IF('01_Вводные'!$B$234="Да",'19_Расчет_аналитики'!AM4505*'01_Вводные'!$B$14,0)</f>
        <v/>
      </c>
      <c r="AO4506">
        <f>IF('01_Вводные'!$B$234="Да",'19_Расчет_аналитики'!AN4505*'01_Вводные'!$B$14,0)</f>
        <v/>
      </c>
      <c r="AP4506">
        <f>IF('01_Вводные'!$B$234="Да",'19_Расчет_аналитики'!AO4505*'01_Вводные'!$B$14,0)</f>
        <v/>
      </c>
      <c r="AQ4506">
        <f>IF('01_Вводные'!$B$234="Да",'19_Расчет_аналитики'!AP4505*'01_Вводные'!$B$14,0)</f>
        <v/>
      </c>
      <c r="AR4506">
        <f>IF('01_Вводные'!$B$234="Да",'19_Расчет_аналитики'!AQ4505*'01_Вводные'!$B$14,0)</f>
        <v/>
      </c>
      <c r="AS4506">
        <f>IF('01_Вводные'!$B$234="Да",'19_Расчет_аналитики'!AR4505*'01_Вводные'!$B$14,0)</f>
        <v/>
      </c>
      <c r="AT4506">
        <f>IF('01_Вводные'!$B$234="Да",'19_Расчет_аналитики'!AS4505*'01_Вводные'!$B$14,0)</f>
        <v/>
      </c>
      <c r="AU4506">
        <f>IF('01_Вводные'!$B$234="Да",'19_Расчет_аналитики'!AT4505*'01_Вводные'!$B$14,0)</f>
        <v/>
      </c>
      <c r="AV4506">
        <f>IF('01_Вводные'!$B$234="Да",'19_Расчет_аналитики'!AU4505*'01_Вводные'!$B$14,0)</f>
        <v/>
      </c>
      <c r="AW4506">
        <f>IF('01_Вводные'!$B$234="Да",'19_Расчет_аналитики'!AV4505*'01_Вводные'!$B$14,0)</f>
        <v/>
      </c>
      <c r="AX4506">
        <f>IF('01_Вводные'!$B$234="Да",'19_Расчет_аналитики'!AW4505*'01_Вводные'!$B$14,0)</f>
        <v/>
      </c>
      <c r="AY4506">
        <f>IF('01_Вводные'!$B$234="Да",'19_Расчет_аналитики'!AX4505*'01_Вводные'!$B$14,0)</f>
        <v/>
      </c>
      <c r="AZ4506">
        <f>IF('01_Вводные'!$B$234="Да",'19_Расчет_аналитики'!AY4505*'01_Вводные'!$B$14,0)</f>
        <v/>
      </c>
      <c r="BA4506">
        <f>IF('01_Вводные'!$B$234="Да",'19_Расчет_аналитики'!AZ4505*'01_Вводные'!$B$14,0)</f>
        <v/>
      </c>
      <c r="BB4506">
        <f>IF('01_Вводные'!$B$234="Да",'19_Расчет_аналитики'!BA4505*'01_Вводные'!$B$14,0)</f>
        <v/>
      </c>
      <c r="BC4506">
        <f>IF('01_Вводные'!$B$234="Да",'19_Расчет_аналитики'!BB4505*'01_Вводные'!$B$14,0)</f>
        <v/>
      </c>
      <c r="BD4506">
        <f>IF('01_Вводные'!$B$234="Да",'19_Расчет_аналитики'!BC4505*'01_Вводные'!$B$14,0)</f>
        <v/>
      </c>
      <c r="BE4506">
        <f>IF('01_Вводные'!$B$234="Да",'19_Расчет_аналитики'!BD4505*'01_Вводные'!$B$14,0)</f>
        <v/>
      </c>
      <c r="BF4506">
        <f>IF('01_Вводные'!$B$234="Да",'19_Расчет_аналитики'!BE4505*'01_Вводные'!$B$14,0)</f>
        <v/>
      </c>
      <c r="BG4506">
        <f>IF('01_Вводные'!$B$234="Да",'19_Расчет_аналитики'!BF4505*'01_Вводные'!$B$14,0)</f>
        <v/>
      </c>
      <c r="BH4506">
        <f>IF('01_Вводные'!$B$234="Да",'19_Расчет_аналитики'!BG4505*'01_Вводные'!$B$14,0)</f>
        <v/>
      </c>
      <c r="BI4506">
        <f>IF('01_Вводные'!$B$234="Да",'19_Расчет_аналитики'!BH4505*'01_Вводные'!$B$14,0)</f>
        <v/>
      </c>
      <c r="BJ4506">
        <f>IF('01_Вводные'!$B$234="Да",'19_Расчет_аналитики'!BI4505*'01_Вводные'!$B$14,0)</f>
        <v/>
      </c>
      <c r="BK4506">
        <f>IF('01_Вводные'!$B$234="Да",'19_Расчет_аналитики'!BJ4505*'01_Вводные'!$B$14,0)</f>
        <v/>
      </c>
      <c r="BL4506">
        <f>IF('01_Вводные'!$B$234="Да",'19_Расчет_аналитики'!BK4505*'01_Вводные'!$B$14,0)</f>
        <v/>
      </c>
      <c r="BM4506">
        <f>IF('01_Вводные'!$B$234="Да",'19_Расчет_аналитики'!BL4505*'01_Вводные'!$B$14,0)</f>
        <v/>
      </c>
      <c r="BN4506">
        <f>IF('01_Вводные'!$B$234="Да",'19_Расчет_аналитики'!BM4505*'01_Вводные'!$B$14,0)</f>
        <v/>
      </c>
      <c r="BO4506">
        <f>IF('01_Вводные'!$B$234="Да",'19_Расчет_аналитики'!BN4505*'01_Вводные'!$B$14,0)</f>
        <v/>
      </c>
    </row>
    <row r="4507">
      <c r="N4507">
        <f>'06_Сеть_и_дети'!N104</f>
        <v/>
      </c>
      <c r="O4507">
        <f>'06_Сеть_и_дети'!O104</f>
        <v/>
      </c>
      <c r="P4507">
        <f>'06_Сеть_и_дети'!P104</f>
        <v/>
      </c>
      <c r="Q4507">
        <f>'06_Сеть_и_дети'!Q104</f>
        <v/>
      </c>
      <c r="R4507">
        <f>'06_Сеть_и_дети'!R104</f>
        <v/>
      </c>
      <c r="S4507">
        <f>'06_Сеть_и_дети'!S104</f>
        <v/>
      </c>
      <c r="T4507">
        <f>'06_Сеть_и_дети'!T104</f>
        <v/>
      </c>
      <c r="U4507">
        <f>'06_Сеть_и_дети'!U104</f>
        <v/>
      </c>
      <c r="V4507">
        <f>'06_Сеть_и_дети'!V104</f>
        <v/>
      </c>
      <c r="W4507">
        <f>'06_Сеть_и_дети'!W104</f>
        <v/>
      </c>
      <c r="X4507">
        <f>'06_Сеть_и_дети'!X104</f>
        <v/>
      </c>
      <c r="Y4507">
        <f>IF('01_Вводные'!$B$234="Да",'19_Расчет_аналитики'!X4506*'01_Вводные'!$B$14,0)</f>
        <v/>
      </c>
      <c r="Z4507">
        <f>IF('01_Вводные'!$B$234="Да",'19_Расчет_аналитики'!Y4506*'01_Вводные'!$B$14,0)</f>
        <v/>
      </c>
      <c r="AA4507">
        <f>IF('01_Вводные'!$B$234="Да",'19_Расчет_аналитики'!Z4506*'01_Вводные'!$B$14,0)</f>
        <v/>
      </c>
      <c r="AB4507">
        <f>IF('01_Вводные'!$B$234="Да",'19_Расчет_аналитики'!AA4506*'01_Вводные'!$B$14,0)</f>
        <v/>
      </c>
      <c r="AC4507">
        <f>IF('01_Вводные'!$B$234="Да",'19_Расчет_аналитики'!AB4506*'01_Вводные'!$B$14,0)</f>
        <v/>
      </c>
      <c r="AD4507">
        <f>IF('01_Вводные'!$B$234="Да",'19_Расчет_аналитики'!AC4506*'01_Вводные'!$B$14,0)</f>
        <v/>
      </c>
      <c r="AE4507">
        <f>IF('01_Вводные'!$B$234="Да",'19_Расчет_аналитики'!AD4506*'01_Вводные'!$B$14,0)</f>
        <v/>
      </c>
      <c r="AF4507">
        <f>IF('01_Вводные'!$B$234="Да",'19_Расчет_аналитики'!AE4506*'01_Вводные'!$B$14,0)</f>
        <v/>
      </c>
      <c r="AG4507">
        <f>IF('01_Вводные'!$B$234="Да",'19_Расчет_аналитики'!AF4506*'01_Вводные'!$B$14,0)</f>
        <v/>
      </c>
      <c r="AH4507">
        <f>IF('01_Вводные'!$B$234="Да",'19_Расчет_аналитики'!AG4506*'01_Вводные'!$B$14,0)</f>
        <v/>
      </c>
      <c r="AI4507">
        <f>IF('01_Вводные'!$B$234="Да",'19_Расчет_аналитики'!AH4506*'01_Вводные'!$B$14,0)</f>
        <v/>
      </c>
      <c r="AJ4507">
        <f>IF('01_Вводные'!$B$234="Да",'19_Расчет_аналитики'!AI4506*'01_Вводные'!$B$14,0)</f>
        <v/>
      </c>
      <c r="AK4507">
        <f>IF('01_Вводные'!$B$234="Да",'19_Расчет_аналитики'!AJ4506*'01_Вводные'!$B$14,0)</f>
        <v/>
      </c>
      <c r="AL4507">
        <f>IF('01_Вводные'!$B$234="Да",'19_Расчет_аналитики'!AK4506*'01_Вводные'!$B$14,0)</f>
        <v/>
      </c>
      <c r="AM4507">
        <f>IF('01_Вводные'!$B$234="Да",'19_Расчет_аналитики'!AL4506*'01_Вводные'!$B$14,0)</f>
        <v/>
      </c>
      <c r="AN4507">
        <f>IF('01_Вводные'!$B$234="Да",'19_Расчет_аналитики'!AM4506*'01_Вводные'!$B$14,0)</f>
        <v/>
      </c>
      <c r="AO4507">
        <f>IF('01_Вводные'!$B$234="Да",'19_Расчет_аналитики'!AN4506*'01_Вводные'!$B$14,0)</f>
        <v/>
      </c>
      <c r="AP4507">
        <f>IF('01_Вводные'!$B$234="Да",'19_Расчет_аналитики'!AO4506*'01_Вводные'!$B$14,0)</f>
        <v/>
      </c>
      <c r="AQ4507">
        <f>IF('01_Вводные'!$B$234="Да",'19_Расчет_аналитики'!AP4506*'01_Вводные'!$B$14,0)</f>
        <v/>
      </c>
      <c r="AR4507">
        <f>IF('01_Вводные'!$B$234="Да",'19_Расчет_аналитики'!AQ4506*'01_Вводные'!$B$14,0)</f>
        <v/>
      </c>
      <c r="AS4507">
        <f>IF('01_Вводные'!$B$234="Да",'19_Расчет_аналитики'!AR4506*'01_Вводные'!$B$14,0)</f>
        <v/>
      </c>
      <c r="AT4507">
        <f>IF('01_Вводные'!$B$234="Да",'19_Расчет_аналитики'!AS4506*'01_Вводные'!$B$14,0)</f>
        <v/>
      </c>
      <c r="AU4507">
        <f>IF('01_Вводные'!$B$234="Да",'19_Расчет_аналитики'!AT4506*'01_Вводные'!$B$14,0)</f>
        <v/>
      </c>
      <c r="AV4507">
        <f>IF('01_Вводные'!$B$234="Да",'19_Расчет_аналитики'!AU4506*'01_Вводные'!$B$14,0)</f>
        <v/>
      </c>
      <c r="AW4507">
        <f>IF('01_Вводные'!$B$234="Да",'19_Расчет_аналитики'!AV4506*'01_Вводные'!$B$14,0)</f>
        <v/>
      </c>
      <c r="AX4507">
        <f>IF('01_Вводные'!$B$234="Да",'19_Расчет_аналитики'!AW4506*'01_Вводные'!$B$14,0)</f>
        <v/>
      </c>
      <c r="AY4507">
        <f>IF('01_Вводные'!$B$234="Да",'19_Расчет_аналитики'!AX4506*'01_Вводные'!$B$14,0)</f>
        <v/>
      </c>
      <c r="AZ4507">
        <f>IF('01_Вводные'!$B$234="Да",'19_Расчет_аналитики'!AY4506*'01_Вводные'!$B$14,0)</f>
        <v/>
      </c>
      <c r="BA4507">
        <f>IF('01_Вводные'!$B$234="Да",'19_Расчет_аналитики'!AZ4506*'01_Вводные'!$B$14,0)</f>
        <v/>
      </c>
      <c r="BB4507">
        <f>IF('01_Вводные'!$B$234="Да",'19_Расчет_аналитики'!BA4506*'01_Вводные'!$B$14,0)</f>
        <v/>
      </c>
      <c r="BC4507">
        <f>IF('01_Вводные'!$B$234="Да",'19_Расчет_аналитики'!BB4506*'01_Вводные'!$B$14,0)</f>
        <v/>
      </c>
      <c r="BD4507">
        <f>IF('01_Вводные'!$B$234="Да",'19_Расчет_аналитики'!BC4506*'01_Вводные'!$B$14,0)</f>
        <v/>
      </c>
      <c r="BE4507">
        <f>IF('01_Вводные'!$B$234="Да",'19_Расчет_аналитики'!BD4506*'01_Вводные'!$B$14,0)</f>
        <v/>
      </c>
      <c r="BF4507">
        <f>IF('01_Вводные'!$B$234="Да",'19_Расчет_аналитики'!BE4506*'01_Вводные'!$B$14,0)</f>
        <v/>
      </c>
      <c r="BG4507">
        <f>IF('01_Вводные'!$B$234="Да",'19_Расчет_аналитики'!BF4506*'01_Вводные'!$B$14,0)</f>
        <v/>
      </c>
      <c r="BH4507">
        <f>IF('01_Вводные'!$B$234="Да",'19_Расчет_аналитики'!BG4506*'01_Вводные'!$B$14,0)</f>
        <v/>
      </c>
      <c r="BI4507">
        <f>IF('01_Вводные'!$B$234="Да",'19_Расчет_аналитики'!BH4506*'01_Вводные'!$B$14,0)</f>
        <v/>
      </c>
      <c r="BJ4507">
        <f>IF('01_Вводные'!$B$234="Да",'19_Расчет_аналитики'!BI4506*'01_Вводные'!$B$14,0)</f>
        <v/>
      </c>
      <c r="BK4507">
        <f>IF('01_Вводные'!$B$234="Да",'19_Расчет_аналитики'!BJ4506*'01_Вводные'!$B$14,0)</f>
        <v/>
      </c>
      <c r="BL4507">
        <f>IF('01_Вводные'!$B$234="Да",'19_Расчет_аналитики'!BK4506*'01_Вводные'!$B$14,0)</f>
        <v/>
      </c>
      <c r="BM4507">
        <f>IF('01_Вводные'!$B$234="Да",'19_Расчет_аналитики'!BL4506*'01_Вводные'!$B$14,0)</f>
        <v/>
      </c>
      <c r="BN4507">
        <f>IF('01_Вводные'!$B$234="Да",'19_Расчет_аналитики'!BM4506*'01_Вводные'!$B$14,0)</f>
        <v/>
      </c>
      <c r="BO4507">
        <f>IF('01_Вводные'!$B$234="Да",'19_Расчет_аналитики'!BN4506*'01_Вводные'!$B$14,0)</f>
        <v/>
      </c>
    </row>
    <row r="4508">
      <c r="N4508">
        <f>'06_Сеть_и_дети'!N105</f>
        <v/>
      </c>
      <c r="O4508">
        <f>'06_Сеть_и_дети'!O105</f>
        <v/>
      </c>
      <c r="P4508">
        <f>'06_Сеть_и_дети'!P105</f>
        <v/>
      </c>
      <c r="Q4508">
        <f>'06_Сеть_и_дети'!Q105</f>
        <v/>
      </c>
      <c r="R4508">
        <f>'06_Сеть_и_дети'!R105</f>
        <v/>
      </c>
      <c r="S4508">
        <f>'06_Сеть_и_дети'!S105</f>
        <v/>
      </c>
      <c r="T4508">
        <f>'06_Сеть_и_дети'!T105</f>
        <v/>
      </c>
      <c r="U4508">
        <f>'06_Сеть_и_дети'!U105</f>
        <v/>
      </c>
      <c r="V4508">
        <f>'06_Сеть_и_дети'!V105</f>
        <v/>
      </c>
      <c r="W4508">
        <f>'06_Сеть_и_дети'!W105</f>
        <v/>
      </c>
      <c r="X4508">
        <f>'06_Сеть_и_дети'!X105</f>
        <v/>
      </c>
      <c r="Y4508">
        <f>'06_Сеть_и_дети'!Y105</f>
        <v/>
      </c>
      <c r="Z4508">
        <f>IF('01_Вводные'!$B$234="Да",SUM('19_Расчет_аналитики'!Y4507:Y4508)*'01_Вводные'!$B$14,0)</f>
        <v/>
      </c>
      <c r="AA4508">
        <f>IF('01_Вводные'!$B$234="Да",SUM('19_Расчет_аналитики'!Z4507:Z4508)*'01_Вводные'!$B$14,0)</f>
        <v/>
      </c>
      <c r="AB4508">
        <f>IF('01_Вводные'!$B$234="Да",SUM('19_Расчет_аналитики'!AA4507:AA4508)*'01_Вводные'!$B$14,0)</f>
        <v/>
      </c>
      <c r="AC4508">
        <f>IF('01_Вводные'!$B$234="Да",SUM('19_Расчет_аналитики'!AB4507:AB4508)*'01_Вводные'!$B$14,0)</f>
        <v/>
      </c>
      <c r="AD4508">
        <f>IF('01_Вводные'!$B$234="Да",SUM('19_Расчет_аналитики'!AC4507:AC4508)*'01_Вводные'!$B$14,0)</f>
        <v/>
      </c>
      <c r="AE4508">
        <f>IF('01_Вводные'!$B$234="Да",SUM('19_Расчет_аналитики'!AD4507:AD4508)*'01_Вводные'!$B$14,0)</f>
        <v/>
      </c>
      <c r="AF4508">
        <f>IF('01_Вводные'!$B$234="Да",SUM('19_Расчет_аналитики'!AE4507:AE4508)*'01_Вводные'!$B$14,0)</f>
        <v/>
      </c>
      <c r="AG4508">
        <f>IF('01_Вводные'!$B$234="Да",SUM('19_Расчет_аналитики'!AF4507:AF4508)*'01_Вводные'!$B$14,0)</f>
        <v/>
      </c>
      <c r="AH4508">
        <f>IF('01_Вводные'!$B$234="Да",SUM('19_Расчет_аналитики'!AG4507:AG4508)*'01_Вводные'!$B$14,0)</f>
        <v/>
      </c>
      <c r="AI4508">
        <f>IF('01_Вводные'!$B$234="Да",SUM('19_Расчет_аналитики'!AH4507:AH4508)*'01_Вводные'!$B$14,0)</f>
        <v/>
      </c>
      <c r="AJ4508">
        <f>IF('01_Вводные'!$B$234="Да",SUM('19_Расчет_аналитики'!AI4507:AI4508)*'01_Вводные'!$B$14,0)</f>
        <v/>
      </c>
      <c r="AK4508">
        <f>IF('01_Вводные'!$B$234="Да",SUM('19_Расчет_аналитики'!AJ4507:AJ4508)*'01_Вводные'!$B$14,0)</f>
        <v/>
      </c>
      <c r="AL4508">
        <f>IF('01_Вводные'!$B$234="Да",SUM('19_Расчет_аналитики'!AK4507:AK4508)*'01_Вводные'!$B$14,0)</f>
        <v/>
      </c>
      <c r="AM4508">
        <f>IF('01_Вводные'!$B$234="Да",SUM('19_Расчет_аналитики'!AL4507:AL4508)*'01_Вводные'!$B$14,0)</f>
        <v/>
      </c>
      <c r="AN4508">
        <f>IF('01_Вводные'!$B$234="Да",SUM('19_Расчет_аналитики'!AM4507:AM4508)*'01_Вводные'!$B$14,0)</f>
        <v/>
      </c>
      <c r="AO4508">
        <f>IF('01_Вводные'!$B$234="Да",SUM('19_Расчет_аналитики'!AN4507:AN4508)*'01_Вводные'!$B$14,0)</f>
        <v/>
      </c>
      <c r="AP4508">
        <f>IF('01_Вводные'!$B$234="Да",SUM('19_Расчет_аналитики'!AO4507:AO4508)*'01_Вводные'!$B$14,0)</f>
        <v/>
      </c>
      <c r="AQ4508">
        <f>IF('01_Вводные'!$B$234="Да",SUM('19_Расчет_аналитики'!AP4507:AP4508)*'01_Вводные'!$B$14,0)</f>
        <v/>
      </c>
      <c r="AR4508">
        <f>IF('01_Вводные'!$B$234="Да",SUM('19_Расчет_аналитики'!AQ4507:AQ4508)*'01_Вводные'!$B$14,0)</f>
        <v/>
      </c>
      <c r="AS4508">
        <f>IF('01_Вводные'!$B$234="Да",SUM('19_Расчет_аналитики'!AR4507:AR4508)*'01_Вводные'!$B$14,0)</f>
        <v/>
      </c>
      <c r="AT4508">
        <f>IF('01_Вводные'!$B$234="Да",SUM('19_Расчет_аналитики'!AS4507:AS4508)*'01_Вводные'!$B$14,0)</f>
        <v/>
      </c>
      <c r="AU4508">
        <f>IF('01_Вводные'!$B$234="Да",SUM('19_Расчет_аналитики'!AT4507:AT4508)*'01_Вводные'!$B$14,0)</f>
        <v/>
      </c>
      <c r="AV4508">
        <f>IF('01_Вводные'!$B$234="Да",SUM('19_Расчет_аналитики'!AU4507:AU4508)*'01_Вводные'!$B$14,0)</f>
        <v/>
      </c>
      <c r="AW4508">
        <f>IF('01_Вводные'!$B$234="Да",SUM('19_Расчет_аналитики'!AV4507:AV4508)*'01_Вводные'!$B$14,0)</f>
        <v/>
      </c>
      <c r="AX4508">
        <f>IF('01_Вводные'!$B$234="Да",SUM('19_Расчет_аналитики'!AW4507:AW4508)*'01_Вводные'!$B$14,0)</f>
        <v/>
      </c>
      <c r="AY4508">
        <f>IF('01_Вводные'!$B$234="Да",SUM('19_Расчет_аналитики'!AX4507:AX4508)*'01_Вводные'!$B$14,0)</f>
        <v/>
      </c>
      <c r="AZ4508">
        <f>IF('01_Вводные'!$B$234="Да",SUM('19_Расчет_аналитики'!AY4507:AY4508)*'01_Вводные'!$B$14,0)</f>
        <v/>
      </c>
      <c r="BA4508">
        <f>IF('01_Вводные'!$B$234="Да",SUM('19_Расчет_аналитики'!AZ4507:AZ4508)*'01_Вводные'!$B$14,0)</f>
        <v/>
      </c>
      <c r="BB4508">
        <f>IF('01_Вводные'!$B$234="Да",SUM('19_Расчет_аналитики'!BA4507:BA4508)*'01_Вводные'!$B$14,0)</f>
        <v/>
      </c>
      <c r="BC4508">
        <f>IF('01_Вводные'!$B$234="Да",SUM('19_Расчет_аналитики'!BB4507:BB4508)*'01_Вводные'!$B$14,0)</f>
        <v/>
      </c>
      <c r="BD4508">
        <f>IF('01_Вводные'!$B$234="Да",SUM('19_Расчет_аналитики'!BC4507:BC4508)*'01_Вводные'!$B$14,0)</f>
        <v/>
      </c>
      <c r="BE4508">
        <f>IF('01_Вводные'!$B$234="Да",SUM('19_Расчет_аналитики'!BD4507:BD4508)*'01_Вводные'!$B$14,0)</f>
        <v/>
      </c>
      <c r="BF4508">
        <f>IF('01_Вводные'!$B$234="Да",SUM('19_Расчет_аналитики'!BE4507:BE4508)*'01_Вводные'!$B$14,0)</f>
        <v/>
      </c>
      <c r="BG4508">
        <f>IF('01_Вводные'!$B$234="Да",SUM('19_Расчет_аналитики'!BF4507:BF4508)*'01_Вводные'!$B$14,0)</f>
        <v/>
      </c>
      <c r="BH4508">
        <f>IF('01_Вводные'!$B$234="Да",SUM('19_Расчет_аналитики'!BG4507:BG4508)*'01_Вводные'!$B$14,0)</f>
        <v/>
      </c>
      <c r="BI4508">
        <f>IF('01_Вводные'!$B$234="Да",SUM('19_Расчет_аналитики'!BH4507:BH4508)*'01_Вводные'!$B$14,0)</f>
        <v/>
      </c>
      <c r="BJ4508">
        <f>IF('01_Вводные'!$B$234="Да",SUM('19_Расчет_аналитики'!BI4507:BI4508)*'01_Вводные'!$B$14,0)</f>
        <v/>
      </c>
      <c r="BK4508">
        <f>IF('01_Вводные'!$B$234="Да",SUM('19_Расчет_аналитики'!BJ4507:BJ4508)*'01_Вводные'!$B$14,0)</f>
        <v/>
      </c>
      <c r="BL4508">
        <f>IF('01_Вводные'!$B$234="Да",SUM('19_Расчет_аналитики'!BK4507:BK4508)*'01_Вводные'!$B$14,0)</f>
        <v/>
      </c>
      <c r="BM4508">
        <f>IF('01_Вводные'!$B$234="Да",SUM('19_Расчет_аналитики'!BL4507:BL4508)*'01_Вводные'!$B$14,0)</f>
        <v/>
      </c>
      <c r="BN4508">
        <f>IF('01_Вводные'!$B$234="Да",SUM('19_Расчет_аналитики'!BM4507:BM4508)*'01_Вводные'!$B$14,0)</f>
        <v/>
      </c>
      <c r="BO4508">
        <f>IF('01_Вводные'!$B$234="Да",SUM('19_Расчет_аналитики'!BN4507:BN4508)*'01_Вводные'!$B$14,0)</f>
        <v/>
      </c>
    </row>
    <row r="4509"/>
    <row r="4510"/>
    <row r="4511"/>
    <row r="4512">
      <c r="B4512">
        <f>IF('01_Вводные'!$B$234="Да",IF(OR('19_Расчет_аналитики'!B4484=0,1&lt;='01_Вводные'!$B$297),0,'19_Расчет_аналитики'!B4484*IF('01_Вводные'!$B$239="Да",MeanMinAge01+'19_Расчет_аналитики'!B4607*SUMIF(ThresholdAge01,"&lt;"&amp;'19_Расчет_аналитики'!B4607,WeightedRevAge01)-SUMIF(ThresholdAge01,"&lt;"&amp;'19_Расчет_аналитики'!B4607,WeightedMinAge01),MAX(CapacityAge01*'01_Вводные'!$B$218*'19_Расчет_аналитики'!B4607,MeanMinAge01))),0)</f>
        <v/>
      </c>
      <c r="C4512">
        <f>IF('01_Вводные'!$B$234="Да",IF(OR('19_Расчет_аналитики'!C4484=0,1&lt;='01_Вводные'!$B$297),0,'19_Расчет_аналитики'!C4484*IF('01_Вводные'!$B$239="Да",MeanMinAge01+'19_Расчет_аналитики'!C4607*SUMIF(ThresholdAge01,"&lt;"&amp;'19_Расчет_аналитики'!C4607,WeightedRevAge01)-SUMIF(ThresholdAge01,"&lt;"&amp;'19_Расчет_аналитики'!C4607,WeightedMinAge01),MAX(CapacityAge01*'01_Вводные'!$B$218*'19_Расчет_аналитики'!C4607,MeanMinAge01))),0)</f>
        <v/>
      </c>
      <c r="D4512">
        <f>IF('01_Вводные'!$B$234="Да",IF(OR('19_Расчет_аналитики'!D4484=0,1&lt;='01_Вводные'!$B$297),0,'19_Расчет_аналитики'!D4484*IF('01_Вводные'!$B$239="Да",MeanMinAge01+'19_Расчет_аналитики'!D4607*SUMIF(ThresholdAge01,"&lt;"&amp;'19_Расчет_аналитики'!D4607,WeightedRevAge01)-SUMIF(ThresholdAge01,"&lt;"&amp;'19_Расчет_аналитики'!D4607,WeightedMinAge01),MAX(CapacityAge01*'01_Вводные'!$B$218*'19_Расчет_аналитики'!D4607,MeanMinAge01))),0)</f>
        <v/>
      </c>
      <c r="E4512">
        <f>IF('01_Вводные'!$B$234="Да",IF(OR('19_Расчет_аналитики'!E4484=0,1&lt;='01_Вводные'!$B$297),0,'19_Расчет_аналитики'!E4484*IF('01_Вводные'!$B$239="Да",MeanMinAge01+'19_Расчет_аналитики'!E4607*SUMIF(ThresholdAge01,"&lt;"&amp;'19_Расчет_аналитики'!E4607,WeightedRevAge01)-SUMIF(ThresholdAge01,"&lt;"&amp;'19_Расчет_аналитики'!E4607,WeightedMinAge01),MAX(CapacityAge01*'01_Вводные'!$B$218*'19_Расчет_аналитики'!E4607,MeanMinAge01))),0)</f>
        <v/>
      </c>
      <c r="F4512">
        <f>IF('01_Вводные'!$B$234="Да",IF(OR('19_Расчет_аналитики'!F4484=0,1&lt;='01_Вводные'!$B$297),0,'19_Расчет_аналитики'!F4484*IF('01_Вводные'!$B$239="Да",MeanMinAge01+'19_Расчет_аналитики'!F4607*SUMIF(ThresholdAge01,"&lt;"&amp;'19_Расчет_аналитики'!F4607,WeightedRevAge01)-SUMIF(ThresholdAge01,"&lt;"&amp;'19_Расчет_аналитики'!F4607,WeightedMinAge01),MAX(CapacityAge01*'01_Вводные'!$B$218*'19_Расчет_аналитики'!F4607,MeanMinAge01))),0)</f>
        <v/>
      </c>
      <c r="G4512">
        <f>IF('01_Вводные'!$B$234="Да",IF(OR('19_Расчет_аналитики'!G4484=0,1&lt;='01_Вводные'!$B$297),0,'19_Расчет_аналитики'!G4484*IF('01_Вводные'!$B$239="Да",MeanMinAge01+'19_Расчет_аналитики'!G4607*SUMIF(ThresholdAge01,"&lt;"&amp;'19_Расчет_аналитики'!G4607,WeightedRevAge01)-SUMIF(ThresholdAge01,"&lt;"&amp;'19_Расчет_аналитики'!G4607,WeightedMinAge01),MAX(CapacityAge01*'01_Вводные'!$B$218*'19_Расчет_аналитики'!G4607,MeanMinAge01))),0)</f>
        <v/>
      </c>
      <c r="H4512">
        <f>IF('01_Вводные'!$B$234="Да",IF(OR('19_Расчет_аналитики'!H4484=0,1&lt;='01_Вводные'!$B$297),0,'19_Расчет_аналитики'!H4484*IF('01_Вводные'!$B$239="Да",MeanMinAge01+'19_Расчет_аналитики'!H4607*SUMIF(ThresholdAge01,"&lt;"&amp;'19_Расчет_аналитики'!H4607,WeightedRevAge01)-SUMIF(ThresholdAge01,"&lt;"&amp;'19_Расчет_аналитики'!H4607,WeightedMinAge01),MAX(CapacityAge01*'01_Вводные'!$B$218*'19_Расчет_аналитики'!H4607,MeanMinAge01))),0)</f>
        <v/>
      </c>
      <c r="I4512">
        <f>IF('01_Вводные'!$B$234="Да",IF(OR('19_Расчет_аналитики'!I4484=0,1&lt;='01_Вводные'!$B$297),0,'19_Расчет_аналитики'!I4484*IF('01_Вводные'!$B$239="Да",MeanMinAge01+'19_Расчет_аналитики'!I4607*SUMIF(ThresholdAge01,"&lt;"&amp;'19_Расчет_аналитики'!I4607,WeightedRevAge01)-SUMIF(ThresholdAge01,"&lt;"&amp;'19_Расчет_аналитики'!I4607,WeightedMinAge01),MAX(CapacityAge01*'01_Вводные'!$B$218*'19_Расчет_аналитики'!I4607,MeanMinAge01))),0)</f>
        <v/>
      </c>
      <c r="J4512">
        <f>IF('01_Вводные'!$B$234="Да",IF(OR('19_Расчет_аналитики'!J4484=0,1&lt;='01_Вводные'!$B$297),0,'19_Расчет_аналитики'!J4484*IF('01_Вводные'!$B$239="Да",MeanMinAge01+'19_Расчет_аналитики'!J4607*SUMIF(ThresholdAge01,"&lt;"&amp;'19_Расчет_аналитики'!J4607,WeightedRevAge01)-SUMIF(ThresholdAge01,"&lt;"&amp;'19_Расчет_аналитики'!J4607,WeightedMinAge01),MAX(CapacityAge01*'01_Вводные'!$B$218*'19_Расчет_аналитики'!J4607,MeanMinAge01))),0)</f>
        <v/>
      </c>
      <c r="K4512">
        <f>IF('01_Вводные'!$B$234="Да",IF(OR('19_Расчет_аналитики'!K4484=0,1&lt;='01_Вводные'!$B$297),0,'19_Расчет_аналитики'!K4484*IF('01_Вводные'!$B$239="Да",MeanMinAge01+'19_Расчет_аналитики'!K4607*SUMIF(ThresholdAge01,"&lt;"&amp;'19_Расчет_аналитики'!K4607,WeightedRevAge01)-SUMIF(ThresholdAge01,"&lt;"&amp;'19_Расчет_аналитики'!K4607,WeightedMinAge01),MAX(CapacityAge01*'01_Вводные'!$B$218*'19_Расчет_аналитики'!K4607,MeanMinAge01))),0)</f>
        <v/>
      </c>
      <c r="L4512">
        <f>IF('01_Вводные'!$B$234="Да",IF(OR('19_Расчет_аналитики'!L4484=0,1&lt;='01_Вводные'!$B$297),0,'19_Расчет_аналитики'!L4484*IF('01_Вводные'!$B$239="Да",MeanMinAge01+'19_Расчет_аналитики'!L4607*SUMIF(ThresholdAge01,"&lt;"&amp;'19_Расчет_аналитики'!L4607,WeightedRevAge01)-SUMIF(ThresholdAge01,"&lt;"&amp;'19_Расчет_аналитики'!L4607,WeightedMinAge01),MAX(CapacityAge01*'01_Вводные'!$B$218*'19_Расчет_аналитики'!L4607,MeanMinAge01))),0)</f>
        <v/>
      </c>
      <c r="M4512">
        <f>IF('01_Вводные'!$B$234="Да",IF(OR('19_Расчет_аналитики'!M4484=0,1&lt;='01_Вводные'!$B$297),0,'19_Расчет_аналитики'!M4484*IF('01_Вводные'!$B$239="Да",MeanMinAge01+'19_Расчет_аналитики'!M4607*SUMIF(ThresholdAge01,"&lt;"&amp;'19_Расчет_аналитики'!M4607,WeightedRevAge01)-SUMIF(ThresholdAge01,"&lt;"&amp;'19_Расчет_аналитики'!M4607,WeightedMinAge01),MAX(CapacityAge01*'01_Вводные'!$B$218*'19_Расчет_аналитики'!M4607,MeanMinAge01))),0)</f>
        <v/>
      </c>
      <c r="N4512">
        <f>IF('01_Вводные'!$B$234="Да",IF(OR('19_Расчет_аналитики'!N4484=0,1&lt;='01_Вводные'!$B$297),0,'19_Расчет_аналитики'!N4484*IF('01_Вводные'!$B$239="Да",MeanMinAge01+'19_Расчет_аналитики'!N4607*SUMIF(ThresholdAge01,"&lt;"&amp;'19_Расчет_аналитики'!N4607,WeightedRevAge01)-SUMIF(ThresholdAge01,"&lt;"&amp;'19_Расчет_аналитики'!N4607,WeightedMinAge01),MAX(CapacityAge01*'01_Вводные'!$B$218*'19_Расчет_аналитики'!N4607,MeanMinAge01))),0)</f>
        <v/>
      </c>
      <c r="O4512">
        <f>IF('01_Вводные'!$B$234="Да",IF(OR('19_Расчет_аналитики'!O4484=0,1&lt;='01_Вводные'!$B$297),0,'19_Расчет_аналитики'!O4484*IF('01_Вводные'!$B$239="Да",MeanMinAge01+'19_Расчет_аналитики'!O4607*SUMIF(ThresholdAge01,"&lt;"&amp;'19_Расчет_аналитики'!O4607,WeightedRevAge01)-SUMIF(ThresholdAge01,"&lt;"&amp;'19_Расчет_аналитики'!O4607,WeightedMinAge01),MAX(CapacityAge01*'01_Вводные'!$B$218*'19_Расчет_аналитики'!O4607,MeanMinAge01))),0)</f>
        <v/>
      </c>
      <c r="P4512">
        <f>IF('01_Вводные'!$B$234="Да",IF(OR('19_Расчет_аналитики'!P4484=0,1&lt;='01_Вводные'!$B$297),0,'19_Расчет_аналитики'!P4484*IF('01_Вводные'!$B$239="Да",MeanMinAge01+'19_Расчет_аналитики'!P4607*SUMIF(ThresholdAge01,"&lt;"&amp;'19_Расчет_аналитики'!P4607,WeightedRevAge01)-SUMIF(ThresholdAge01,"&lt;"&amp;'19_Расчет_аналитики'!P4607,WeightedMinAge01),MAX(CapacityAge01*'01_Вводные'!$B$218*'19_Расчет_аналитики'!P4607,MeanMinAge01))),0)</f>
        <v/>
      </c>
      <c r="Q4512">
        <f>IF('01_Вводные'!$B$234="Да",IF(OR('19_Расчет_аналитики'!Q4484=0,1&lt;='01_Вводные'!$B$297),0,'19_Расчет_аналитики'!Q4484*IF('01_Вводные'!$B$239="Да",MeanMinAge01+'19_Расчет_аналитики'!Q4607*SUMIF(ThresholdAge01,"&lt;"&amp;'19_Расчет_аналитики'!Q4607,WeightedRevAge01)-SUMIF(ThresholdAge01,"&lt;"&amp;'19_Расчет_аналитики'!Q4607,WeightedMinAge01),MAX(CapacityAge01*'01_Вводные'!$B$218*'19_Расчет_аналитики'!Q4607,MeanMinAge01))),0)</f>
        <v/>
      </c>
      <c r="R4512">
        <f>IF('01_Вводные'!$B$234="Да",IF(OR('19_Расчет_аналитики'!R4484=0,1&lt;='01_Вводные'!$B$297),0,'19_Расчет_аналитики'!R4484*IF('01_Вводные'!$B$239="Да",MeanMinAge01+'19_Расчет_аналитики'!R4607*SUMIF(ThresholdAge01,"&lt;"&amp;'19_Расчет_аналитики'!R4607,WeightedRevAge01)-SUMIF(ThresholdAge01,"&lt;"&amp;'19_Расчет_аналитики'!R4607,WeightedMinAge01),MAX(CapacityAge01*'01_Вводные'!$B$218*'19_Расчет_аналитики'!R4607,MeanMinAge01))),0)</f>
        <v/>
      </c>
      <c r="S4512">
        <f>IF('01_Вводные'!$B$234="Да",IF(OR('19_Расчет_аналитики'!S4484=0,1&lt;='01_Вводные'!$B$297),0,'19_Расчет_аналитики'!S4484*IF('01_Вводные'!$B$239="Да",MeanMinAge01+'19_Расчет_аналитики'!S4607*SUMIF(ThresholdAge01,"&lt;"&amp;'19_Расчет_аналитики'!S4607,WeightedRevAge01)-SUMIF(ThresholdAge01,"&lt;"&amp;'19_Расчет_аналитики'!S4607,WeightedMinAge01),MAX(CapacityAge01*'01_Вводные'!$B$218*'19_Расчет_аналитики'!S4607,MeanMinAge01))),0)</f>
        <v/>
      </c>
      <c r="T4512">
        <f>IF('01_Вводные'!$B$234="Да",IF(OR('19_Расчет_аналитики'!T4484=0,1&lt;='01_Вводные'!$B$297),0,'19_Расчет_аналитики'!T4484*IF('01_Вводные'!$B$239="Да",MeanMinAge01+'19_Расчет_аналитики'!T4607*SUMIF(ThresholdAge01,"&lt;"&amp;'19_Расчет_аналитики'!T4607,WeightedRevAge01)-SUMIF(ThresholdAge01,"&lt;"&amp;'19_Расчет_аналитики'!T4607,WeightedMinAge01),MAX(CapacityAge01*'01_Вводные'!$B$218*'19_Расчет_аналитики'!T4607,MeanMinAge01))),0)</f>
        <v/>
      </c>
      <c r="U4512">
        <f>IF('01_Вводные'!$B$234="Да",IF(OR('19_Расчет_аналитики'!U4484=0,1&lt;='01_Вводные'!$B$297),0,'19_Расчет_аналитики'!U4484*IF('01_Вводные'!$B$239="Да",MeanMinAge01+'19_Расчет_аналитики'!U4607*SUMIF(ThresholdAge01,"&lt;"&amp;'19_Расчет_аналитики'!U4607,WeightedRevAge01)-SUMIF(ThresholdAge01,"&lt;"&amp;'19_Расчет_аналитики'!U4607,WeightedMinAge01),MAX(CapacityAge01*'01_Вводные'!$B$218*'19_Расчет_аналитики'!U4607,MeanMinAge01))),0)</f>
        <v/>
      </c>
      <c r="V4512">
        <f>IF('01_Вводные'!$B$234="Да",IF(OR('19_Расчет_аналитики'!V4484=0,1&lt;='01_Вводные'!$B$297),0,'19_Расчет_аналитики'!V4484*IF('01_Вводные'!$B$239="Да",MeanMinAge01+'19_Расчет_аналитики'!V4607*SUMIF(ThresholdAge01,"&lt;"&amp;'19_Расчет_аналитики'!V4607,WeightedRevAge01)-SUMIF(ThresholdAge01,"&lt;"&amp;'19_Расчет_аналитики'!V4607,WeightedMinAge01),MAX(CapacityAge01*'01_Вводные'!$B$218*'19_Расчет_аналитики'!V4607,MeanMinAge01))),0)</f>
        <v/>
      </c>
      <c r="W4512">
        <f>IF('01_Вводные'!$B$234="Да",IF(OR('19_Расчет_аналитики'!W4484=0,1&lt;='01_Вводные'!$B$297),0,'19_Расчет_аналитики'!W4484*IF('01_Вводные'!$B$239="Да",MeanMinAge01+'19_Расчет_аналитики'!W4607*SUMIF(ThresholdAge01,"&lt;"&amp;'19_Расчет_аналитики'!W4607,WeightedRevAge01)-SUMIF(ThresholdAge01,"&lt;"&amp;'19_Расчет_аналитики'!W4607,WeightedMinAge01),MAX(CapacityAge01*'01_Вводные'!$B$218*'19_Расчет_аналитики'!W4607,MeanMinAge01))),0)</f>
        <v/>
      </c>
      <c r="X4512">
        <f>IF('01_Вводные'!$B$234="Да",IF(OR('19_Расчет_аналитики'!X4484=0,1&lt;='01_Вводные'!$B$297),0,'19_Расчет_аналитики'!X4484*IF('01_Вводные'!$B$239="Да",MeanMinAge01+'19_Расчет_аналитики'!X4607*SUMIF(ThresholdAge01,"&lt;"&amp;'19_Расчет_аналитики'!X4607,WeightedRevAge01)-SUMIF(ThresholdAge01,"&lt;"&amp;'19_Расчет_аналитики'!X4607,WeightedMinAge01),MAX(CapacityAge01*'01_Вводные'!$B$218*'19_Расчет_аналитики'!X4607,MeanMinAge01))),0)</f>
        <v/>
      </c>
      <c r="Y4512">
        <f>IF('01_Вводные'!$B$234="Да",IF(OR('19_Расчет_аналитики'!Y4484=0,1&lt;='01_Вводные'!$B$297),0,'19_Расчет_аналитики'!Y4484*IF('01_Вводные'!$B$239="Да",MeanMinAge01+'19_Расчет_аналитики'!Y4607*SUMIF(ThresholdAge01,"&lt;"&amp;'19_Расчет_аналитики'!Y4607,WeightedRevAge01)-SUMIF(ThresholdAge01,"&lt;"&amp;'19_Расчет_аналитики'!Y4607,WeightedMinAge01),MAX(CapacityAge01*'01_Вводные'!$B$218*'19_Расчет_аналитики'!Y4607,MeanMinAge01))),0)</f>
        <v/>
      </c>
      <c r="Z4512">
        <f>IF('01_Вводные'!$B$234="Да",IF(OR('19_Расчет_аналитики'!Z4484=0,1&lt;='01_Вводные'!$B$297),0,'19_Расчет_аналитики'!Z4484*IF('01_Вводные'!$B$239="Да",MeanMinAge01+'19_Расчет_аналитики'!Z4607*SUMIF(ThresholdAge01,"&lt;"&amp;'19_Расчет_аналитики'!Z4607,WeightedRevAge01)-SUMIF(ThresholdAge01,"&lt;"&amp;'19_Расчет_аналитики'!Z4607,WeightedMinAge01),MAX(CapacityAge01*'01_Вводные'!$B$218*'19_Расчет_аналитики'!Z4607,MeanMinAge01))),0)</f>
        <v/>
      </c>
      <c r="AA4512">
        <f>IF('01_Вводные'!$B$234="Да",IF(OR('19_Расчет_аналитики'!AA4484=0,1&lt;='01_Вводные'!$B$297),0,'19_Расчет_аналитики'!AA4484*IF('01_Вводные'!$B$239="Да",MeanMinAge01+'19_Расчет_аналитики'!AA4607*SUMIF(ThresholdAge01,"&lt;"&amp;'19_Расчет_аналитики'!AA4607,WeightedRevAge01)-SUMIF(ThresholdAge01,"&lt;"&amp;'19_Расчет_аналитики'!AA4607,WeightedMinAge01),MAX(CapacityAge01*'01_Вводные'!$B$218*'19_Расчет_аналитики'!AA4607,MeanMinAge01))),0)</f>
        <v/>
      </c>
      <c r="AB4512">
        <f>IF('01_Вводные'!$B$234="Да",IF(OR('19_Расчет_аналитики'!AB4484=0,1&lt;='01_Вводные'!$B$297),0,'19_Расчет_аналитики'!AB4484*IF('01_Вводные'!$B$239="Да",MeanMinAge01+'19_Расчет_аналитики'!AB4607*SUMIF(ThresholdAge01,"&lt;"&amp;'19_Расчет_аналитики'!AB4607,WeightedRevAge01)-SUMIF(ThresholdAge01,"&lt;"&amp;'19_Расчет_аналитики'!AB4607,WeightedMinAge01),MAX(CapacityAge01*'01_Вводные'!$B$218*'19_Расчет_аналитики'!AB4607,MeanMinAge01))),0)</f>
        <v/>
      </c>
      <c r="AC4512">
        <f>IF('01_Вводные'!$B$234="Да",IF(OR('19_Расчет_аналитики'!AC4484=0,1&lt;='01_Вводные'!$B$297),0,'19_Расчет_аналитики'!AC4484*IF('01_Вводные'!$B$239="Да",MeanMinAge01+'19_Расчет_аналитики'!AC4607*SUMIF(ThresholdAge01,"&lt;"&amp;'19_Расчет_аналитики'!AC4607,WeightedRevAge01)-SUMIF(ThresholdAge01,"&lt;"&amp;'19_Расчет_аналитики'!AC4607,WeightedMinAge01),MAX(CapacityAge01*'01_Вводные'!$B$218*'19_Расчет_аналитики'!AC4607,MeanMinAge01))),0)</f>
        <v/>
      </c>
      <c r="AD4512">
        <f>IF('01_Вводные'!$B$234="Да",IF(OR('19_Расчет_аналитики'!AD4484=0,1&lt;='01_Вводные'!$B$297),0,'19_Расчет_аналитики'!AD4484*IF('01_Вводные'!$B$239="Да",MeanMinAge01+'19_Расчет_аналитики'!AD4607*SUMIF(ThresholdAge01,"&lt;"&amp;'19_Расчет_аналитики'!AD4607,WeightedRevAge01)-SUMIF(ThresholdAge01,"&lt;"&amp;'19_Расчет_аналитики'!AD4607,WeightedMinAge01),MAX(CapacityAge01*'01_Вводные'!$B$218*'19_Расчет_аналитики'!AD4607,MeanMinAge01))),0)</f>
        <v/>
      </c>
      <c r="AE4512">
        <f>IF('01_Вводные'!$B$234="Да",IF(OR('19_Расчет_аналитики'!AE4484=0,1&lt;='01_Вводные'!$B$297),0,'19_Расчет_аналитики'!AE4484*IF('01_Вводные'!$B$239="Да",MeanMinAge01+'19_Расчет_аналитики'!AE4607*SUMIF(ThresholdAge01,"&lt;"&amp;'19_Расчет_аналитики'!AE4607,WeightedRevAge01)-SUMIF(ThresholdAge01,"&lt;"&amp;'19_Расчет_аналитики'!AE4607,WeightedMinAge01),MAX(CapacityAge01*'01_Вводные'!$B$218*'19_Расчет_аналитики'!AE4607,MeanMinAge01))),0)</f>
        <v/>
      </c>
      <c r="AF4512">
        <f>IF('01_Вводные'!$B$234="Да",IF(OR('19_Расчет_аналитики'!AF4484=0,1&lt;='01_Вводные'!$B$297),0,'19_Расчет_аналитики'!AF4484*IF('01_Вводные'!$B$239="Да",MeanMinAge01+'19_Расчет_аналитики'!AF4607*SUMIF(ThresholdAge01,"&lt;"&amp;'19_Расчет_аналитики'!AF4607,WeightedRevAge01)-SUMIF(ThresholdAge01,"&lt;"&amp;'19_Расчет_аналитики'!AF4607,WeightedMinAge01),MAX(CapacityAge01*'01_Вводные'!$B$218*'19_Расчет_аналитики'!AF4607,MeanMinAge01))),0)</f>
        <v/>
      </c>
      <c r="AG4512">
        <f>IF('01_Вводные'!$B$234="Да",IF(OR('19_Расчет_аналитики'!AG4484=0,1&lt;='01_Вводные'!$B$297),0,'19_Расчет_аналитики'!AG4484*IF('01_Вводные'!$B$239="Да",MeanMinAge01+'19_Расчет_аналитики'!AG4607*SUMIF(ThresholdAge01,"&lt;"&amp;'19_Расчет_аналитики'!AG4607,WeightedRevAge01)-SUMIF(ThresholdAge01,"&lt;"&amp;'19_Расчет_аналитики'!AG4607,WeightedMinAge01),MAX(CapacityAge01*'01_Вводные'!$B$218*'19_Расчет_аналитики'!AG4607,MeanMinAge01))),0)</f>
        <v/>
      </c>
      <c r="AH4512">
        <f>IF('01_Вводные'!$B$234="Да",IF(OR('19_Расчет_аналитики'!AH4484=0,1&lt;='01_Вводные'!$B$297),0,'19_Расчет_аналитики'!AH4484*IF('01_Вводные'!$B$239="Да",MeanMinAge01+'19_Расчет_аналитики'!AH4607*SUMIF(ThresholdAge01,"&lt;"&amp;'19_Расчет_аналитики'!AH4607,WeightedRevAge01)-SUMIF(ThresholdAge01,"&lt;"&amp;'19_Расчет_аналитики'!AH4607,WeightedMinAge01),MAX(CapacityAge01*'01_Вводные'!$B$218*'19_Расчет_аналитики'!AH4607,MeanMinAge01))),0)</f>
        <v/>
      </c>
      <c r="AI4512">
        <f>IF('01_Вводные'!$B$234="Да",IF(OR('19_Расчет_аналитики'!AI4484=0,1&lt;='01_Вводные'!$B$297),0,'19_Расчет_аналитики'!AI4484*IF('01_Вводные'!$B$239="Да",MeanMinAge01+'19_Расчет_аналитики'!AI4607*SUMIF(ThresholdAge01,"&lt;"&amp;'19_Расчет_аналитики'!AI4607,WeightedRevAge01)-SUMIF(ThresholdAge01,"&lt;"&amp;'19_Расчет_аналитики'!AI4607,WeightedMinAge01),MAX(CapacityAge01*'01_Вводные'!$B$218*'19_Расчет_аналитики'!AI4607,MeanMinAge01))),0)</f>
        <v/>
      </c>
      <c r="AJ4512">
        <f>IF('01_Вводные'!$B$234="Да",IF(OR('19_Расчет_аналитики'!AJ4484=0,1&lt;='01_Вводные'!$B$297),0,'19_Расчет_аналитики'!AJ4484*IF('01_Вводные'!$B$239="Да",MeanMinAge01+'19_Расчет_аналитики'!AJ4607*SUMIF(ThresholdAge01,"&lt;"&amp;'19_Расчет_аналитики'!AJ4607,WeightedRevAge01)-SUMIF(ThresholdAge01,"&lt;"&amp;'19_Расчет_аналитики'!AJ4607,WeightedMinAge01),MAX(CapacityAge01*'01_Вводные'!$B$218*'19_Расчет_аналитики'!AJ4607,MeanMinAge01))),0)</f>
        <v/>
      </c>
      <c r="AK4512">
        <f>IF('01_Вводные'!$B$234="Да",IF(OR('19_Расчет_аналитики'!AK4484=0,1&lt;='01_Вводные'!$B$297),0,'19_Расчет_аналитики'!AK4484*IF('01_Вводные'!$B$239="Да",MeanMinAge01+'19_Расчет_аналитики'!AK4607*SUMIF(ThresholdAge01,"&lt;"&amp;'19_Расчет_аналитики'!AK4607,WeightedRevAge01)-SUMIF(ThresholdAge01,"&lt;"&amp;'19_Расчет_аналитики'!AK4607,WeightedMinAge01),MAX(CapacityAge01*'01_Вводные'!$B$218*'19_Расчет_аналитики'!AK4607,MeanMinAge01))),0)</f>
        <v/>
      </c>
      <c r="AL4512">
        <f>IF('01_Вводные'!$B$234="Да",IF(OR('19_Расчет_аналитики'!AL4484=0,1&lt;='01_Вводные'!$B$297),0,'19_Расчет_аналитики'!AL4484*IF('01_Вводные'!$B$239="Да",MeanMinAge01+'19_Расчет_аналитики'!AL4607*SUMIF(ThresholdAge01,"&lt;"&amp;'19_Расчет_аналитики'!AL4607,WeightedRevAge01)-SUMIF(ThresholdAge01,"&lt;"&amp;'19_Расчет_аналитики'!AL4607,WeightedMinAge01),MAX(CapacityAge01*'01_Вводные'!$B$218*'19_Расчет_аналитики'!AL4607,MeanMinAge01))),0)</f>
        <v/>
      </c>
      <c r="AM4512">
        <f>IF('01_Вводные'!$B$234="Да",IF(OR('19_Расчет_аналитики'!AM4484=0,1&lt;='01_Вводные'!$B$297),0,'19_Расчет_аналитики'!AM4484*IF('01_Вводные'!$B$239="Да",MeanMinAge01+'19_Расчет_аналитики'!AM4607*SUMIF(ThresholdAge01,"&lt;"&amp;'19_Расчет_аналитики'!AM4607,WeightedRevAge01)-SUMIF(ThresholdAge01,"&lt;"&amp;'19_Расчет_аналитики'!AM4607,WeightedMinAge01),MAX(CapacityAge01*'01_Вводные'!$B$218*'19_Расчет_аналитики'!AM4607,MeanMinAge01))),0)</f>
        <v/>
      </c>
      <c r="AN4512">
        <f>IF('01_Вводные'!$B$234="Да",IF(OR('19_Расчет_аналитики'!AN4484=0,1&lt;='01_Вводные'!$B$297),0,'19_Расчет_аналитики'!AN4484*IF('01_Вводные'!$B$239="Да",MeanMinAge01+'19_Расчет_аналитики'!AN4607*SUMIF(ThresholdAge01,"&lt;"&amp;'19_Расчет_аналитики'!AN4607,WeightedRevAge01)-SUMIF(ThresholdAge01,"&lt;"&amp;'19_Расчет_аналитики'!AN4607,WeightedMinAge01),MAX(CapacityAge01*'01_Вводные'!$B$218*'19_Расчет_аналитики'!AN4607,MeanMinAge01))),0)</f>
        <v/>
      </c>
      <c r="AO4512">
        <f>IF('01_Вводные'!$B$234="Да",IF(OR('19_Расчет_аналитики'!AO4484=0,1&lt;='01_Вводные'!$B$297),0,'19_Расчет_аналитики'!AO4484*IF('01_Вводные'!$B$239="Да",MeanMinAge01+'19_Расчет_аналитики'!AO4607*SUMIF(ThresholdAge01,"&lt;"&amp;'19_Расчет_аналитики'!AO4607,WeightedRevAge01)-SUMIF(ThresholdAge01,"&lt;"&amp;'19_Расчет_аналитики'!AO4607,WeightedMinAge01),MAX(CapacityAge01*'01_Вводные'!$B$218*'19_Расчет_аналитики'!AO4607,MeanMinAge01))),0)</f>
        <v/>
      </c>
      <c r="AP4512">
        <f>IF('01_Вводные'!$B$234="Да",IF(OR('19_Расчет_аналитики'!AP4484=0,1&lt;='01_Вводные'!$B$297),0,'19_Расчет_аналитики'!AP4484*IF('01_Вводные'!$B$239="Да",MeanMinAge01+'19_Расчет_аналитики'!AP4607*SUMIF(ThresholdAge01,"&lt;"&amp;'19_Расчет_аналитики'!AP4607,WeightedRevAge01)-SUMIF(ThresholdAge01,"&lt;"&amp;'19_Расчет_аналитики'!AP4607,WeightedMinAge01),MAX(CapacityAge01*'01_Вводные'!$B$218*'19_Расчет_аналитики'!AP4607,MeanMinAge01))),0)</f>
        <v/>
      </c>
      <c r="AQ4512">
        <f>IF('01_Вводные'!$B$234="Да",IF(OR('19_Расчет_аналитики'!AQ4484=0,1&lt;='01_Вводные'!$B$297),0,'19_Расчет_аналитики'!AQ4484*IF('01_Вводные'!$B$239="Да",MeanMinAge01+'19_Расчет_аналитики'!AQ4607*SUMIF(ThresholdAge01,"&lt;"&amp;'19_Расчет_аналитики'!AQ4607,WeightedRevAge01)-SUMIF(ThresholdAge01,"&lt;"&amp;'19_Расчет_аналитики'!AQ4607,WeightedMinAge01),MAX(CapacityAge01*'01_Вводные'!$B$218*'19_Расчет_аналитики'!AQ4607,MeanMinAge01))),0)</f>
        <v/>
      </c>
      <c r="AR4512">
        <f>IF('01_Вводные'!$B$234="Да",IF(OR('19_Расчет_аналитики'!AR4484=0,1&lt;='01_Вводные'!$B$297),0,'19_Расчет_аналитики'!AR4484*IF('01_Вводные'!$B$239="Да",MeanMinAge01+'19_Расчет_аналитики'!AR4607*SUMIF(ThresholdAge01,"&lt;"&amp;'19_Расчет_аналитики'!AR4607,WeightedRevAge01)-SUMIF(ThresholdAge01,"&lt;"&amp;'19_Расчет_аналитики'!AR4607,WeightedMinAge01),MAX(CapacityAge01*'01_Вводные'!$B$218*'19_Расчет_аналитики'!AR4607,MeanMinAge01))),0)</f>
        <v/>
      </c>
      <c r="AS4512">
        <f>IF('01_Вводные'!$B$234="Да",IF(OR('19_Расчет_аналитики'!AS4484=0,1&lt;='01_Вводные'!$B$297),0,'19_Расчет_аналитики'!AS4484*IF('01_Вводные'!$B$239="Да",MeanMinAge01+'19_Расчет_аналитики'!AS4607*SUMIF(ThresholdAge01,"&lt;"&amp;'19_Расчет_аналитики'!AS4607,WeightedRevAge01)-SUMIF(ThresholdAge01,"&lt;"&amp;'19_Расчет_аналитики'!AS4607,WeightedMinAge01),MAX(CapacityAge01*'01_Вводные'!$B$218*'19_Расчет_аналитики'!AS4607,MeanMinAge01))),0)</f>
        <v/>
      </c>
      <c r="AT4512">
        <f>IF('01_Вводные'!$B$234="Да",IF(OR('19_Расчет_аналитики'!AT4484=0,1&lt;='01_Вводные'!$B$297),0,'19_Расчет_аналитики'!AT4484*IF('01_Вводные'!$B$239="Да",MeanMinAge01+'19_Расчет_аналитики'!AT4607*SUMIF(ThresholdAge01,"&lt;"&amp;'19_Расчет_аналитики'!AT4607,WeightedRevAge01)-SUMIF(ThresholdAge01,"&lt;"&amp;'19_Расчет_аналитики'!AT4607,WeightedMinAge01),MAX(CapacityAge01*'01_Вводные'!$B$218*'19_Расчет_аналитики'!AT4607,MeanMinAge01))),0)</f>
        <v/>
      </c>
      <c r="AU4512">
        <f>IF('01_Вводные'!$B$234="Да",IF(OR('19_Расчет_аналитики'!AU4484=0,1&lt;='01_Вводные'!$B$297),0,'19_Расчет_аналитики'!AU4484*IF('01_Вводные'!$B$239="Да",MeanMinAge01+'19_Расчет_аналитики'!AU4607*SUMIF(ThresholdAge01,"&lt;"&amp;'19_Расчет_аналитики'!AU4607,WeightedRevAge01)-SUMIF(ThresholdAge01,"&lt;"&amp;'19_Расчет_аналитики'!AU4607,WeightedMinAge01),MAX(CapacityAge01*'01_Вводные'!$B$218*'19_Расчет_аналитики'!AU4607,MeanMinAge01))),0)</f>
        <v/>
      </c>
      <c r="AV4512">
        <f>IF('01_Вводные'!$B$234="Да",IF(OR('19_Расчет_аналитики'!AV4484=0,1&lt;='01_Вводные'!$B$297),0,'19_Расчет_аналитики'!AV4484*IF('01_Вводные'!$B$239="Да",MeanMinAge01+'19_Расчет_аналитики'!AV4607*SUMIF(ThresholdAge01,"&lt;"&amp;'19_Расчет_аналитики'!AV4607,WeightedRevAge01)-SUMIF(ThresholdAge01,"&lt;"&amp;'19_Расчет_аналитики'!AV4607,WeightedMinAge01),MAX(CapacityAge01*'01_Вводные'!$B$218*'19_Расчет_аналитики'!AV4607,MeanMinAge01))),0)</f>
        <v/>
      </c>
      <c r="AW4512">
        <f>IF('01_Вводные'!$B$234="Да",IF(OR('19_Расчет_аналитики'!AW4484=0,1&lt;='01_Вводные'!$B$297),0,'19_Расчет_аналитики'!AW4484*IF('01_Вводные'!$B$239="Да",MeanMinAge01+'19_Расчет_аналитики'!AW4607*SUMIF(ThresholdAge01,"&lt;"&amp;'19_Расчет_аналитики'!AW4607,WeightedRevAge01)-SUMIF(ThresholdAge01,"&lt;"&amp;'19_Расчет_аналитики'!AW4607,WeightedMinAge01),MAX(CapacityAge01*'01_Вводные'!$B$218*'19_Расчет_аналитики'!AW4607,MeanMinAge01))),0)</f>
        <v/>
      </c>
      <c r="AX4512">
        <f>IF('01_Вводные'!$B$234="Да",IF(OR('19_Расчет_аналитики'!AX4484=0,1&lt;='01_Вводные'!$B$297),0,'19_Расчет_аналитики'!AX4484*IF('01_Вводные'!$B$239="Да",MeanMinAge01+'19_Расчет_аналитики'!AX4607*SUMIF(ThresholdAge01,"&lt;"&amp;'19_Расчет_аналитики'!AX4607,WeightedRevAge01)-SUMIF(ThresholdAge01,"&lt;"&amp;'19_Расчет_аналитики'!AX4607,WeightedMinAge01),MAX(CapacityAge01*'01_Вводные'!$B$218*'19_Расчет_аналитики'!AX4607,MeanMinAge01))),0)</f>
        <v/>
      </c>
      <c r="AY4512">
        <f>IF('01_Вводные'!$B$234="Да",IF(OR('19_Расчет_аналитики'!AY4484=0,1&lt;='01_Вводные'!$B$297),0,'19_Расчет_аналитики'!AY4484*IF('01_Вводные'!$B$239="Да",MeanMinAge01+'19_Расчет_аналитики'!AY4607*SUMIF(ThresholdAge01,"&lt;"&amp;'19_Расчет_аналитики'!AY4607,WeightedRevAge01)-SUMIF(ThresholdAge01,"&lt;"&amp;'19_Расчет_аналитики'!AY4607,WeightedMinAge01),MAX(CapacityAge01*'01_Вводные'!$B$218*'19_Расчет_аналитики'!AY4607,MeanMinAge01))),0)</f>
        <v/>
      </c>
      <c r="AZ4512">
        <f>IF('01_Вводные'!$B$234="Да",IF(OR('19_Расчет_аналитики'!AZ4484=0,1&lt;='01_Вводные'!$B$297),0,'19_Расчет_аналитики'!AZ4484*IF('01_Вводные'!$B$239="Да",MeanMinAge01+'19_Расчет_аналитики'!AZ4607*SUMIF(ThresholdAge01,"&lt;"&amp;'19_Расчет_аналитики'!AZ4607,WeightedRevAge01)-SUMIF(ThresholdAge01,"&lt;"&amp;'19_Расчет_аналитики'!AZ4607,WeightedMinAge01),MAX(CapacityAge01*'01_Вводные'!$B$218*'19_Расчет_аналитики'!AZ4607,MeanMinAge01))),0)</f>
        <v/>
      </c>
      <c r="BA4512">
        <f>IF('01_Вводные'!$B$234="Да",IF(OR('19_Расчет_аналитики'!BA4484=0,1&lt;='01_Вводные'!$B$297),0,'19_Расчет_аналитики'!BA4484*IF('01_Вводные'!$B$239="Да",MeanMinAge01+'19_Расчет_аналитики'!BA4607*SUMIF(ThresholdAge01,"&lt;"&amp;'19_Расчет_аналитики'!BA4607,WeightedRevAge01)-SUMIF(ThresholdAge01,"&lt;"&amp;'19_Расчет_аналитики'!BA4607,WeightedMinAge01),MAX(CapacityAge01*'01_Вводные'!$B$218*'19_Расчет_аналитики'!BA4607,MeanMinAge01))),0)</f>
        <v/>
      </c>
      <c r="BB4512">
        <f>IF('01_Вводные'!$B$234="Да",IF(OR('19_Расчет_аналитики'!BB4484=0,1&lt;='01_Вводные'!$B$297),0,'19_Расчет_аналитики'!BB4484*IF('01_Вводные'!$B$239="Да",MeanMinAge01+'19_Расчет_аналитики'!BB4607*SUMIF(ThresholdAge01,"&lt;"&amp;'19_Расчет_аналитики'!BB4607,WeightedRevAge01)-SUMIF(ThresholdAge01,"&lt;"&amp;'19_Расчет_аналитики'!BB4607,WeightedMinAge01),MAX(CapacityAge01*'01_Вводные'!$B$218*'19_Расчет_аналитики'!BB4607,MeanMinAge01))),0)</f>
        <v/>
      </c>
      <c r="BC4512">
        <f>IF('01_Вводные'!$B$234="Да",IF(OR('19_Расчет_аналитики'!BC4484=0,1&lt;='01_Вводные'!$B$297),0,'19_Расчет_аналитики'!BC4484*IF('01_Вводные'!$B$239="Да",MeanMinAge01+'19_Расчет_аналитики'!BC4607*SUMIF(ThresholdAge01,"&lt;"&amp;'19_Расчет_аналитики'!BC4607,WeightedRevAge01)-SUMIF(ThresholdAge01,"&lt;"&amp;'19_Расчет_аналитики'!BC4607,WeightedMinAge01),MAX(CapacityAge01*'01_Вводные'!$B$218*'19_Расчет_аналитики'!BC4607,MeanMinAge01))),0)</f>
        <v/>
      </c>
      <c r="BD4512">
        <f>IF('01_Вводные'!$B$234="Да",IF(OR('19_Расчет_аналитики'!BD4484=0,1&lt;='01_Вводные'!$B$297),0,'19_Расчет_аналитики'!BD4484*IF('01_Вводные'!$B$239="Да",MeanMinAge01+'19_Расчет_аналитики'!BD4607*SUMIF(ThresholdAge01,"&lt;"&amp;'19_Расчет_аналитики'!BD4607,WeightedRevAge01)-SUMIF(ThresholdAge01,"&lt;"&amp;'19_Расчет_аналитики'!BD4607,WeightedMinAge01),MAX(CapacityAge01*'01_Вводные'!$B$218*'19_Расчет_аналитики'!BD4607,MeanMinAge01))),0)</f>
        <v/>
      </c>
      <c r="BE4512">
        <f>IF('01_Вводные'!$B$234="Да",IF(OR('19_Расчет_аналитики'!BE4484=0,1&lt;='01_Вводные'!$B$297),0,'19_Расчет_аналитики'!BE4484*IF('01_Вводные'!$B$239="Да",MeanMinAge01+'19_Расчет_аналитики'!BE4607*SUMIF(ThresholdAge01,"&lt;"&amp;'19_Расчет_аналитики'!BE4607,WeightedRevAge01)-SUMIF(ThresholdAge01,"&lt;"&amp;'19_Расчет_аналитики'!BE4607,WeightedMinAge01),MAX(CapacityAge01*'01_Вводные'!$B$218*'19_Расчет_аналитики'!BE4607,MeanMinAge01))),0)</f>
        <v/>
      </c>
      <c r="BF4512">
        <f>IF('01_Вводные'!$B$234="Да",IF(OR('19_Расчет_аналитики'!BF4484=0,1&lt;='01_Вводные'!$B$297),0,'19_Расчет_аналитики'!BF4484*IF('01_Вводные'!$B$239="Да",MeanMinAge01+'19_Расчет_аналитики'!BF4607*SUMIF(ThresholdAge01,"&lt;"&amp;'19_Расчет_аналитики'!BF4607,WeightedRevAge01)-SUMIF(ThresholdAge01,"&lt;"&amp;'19_Расчет_аналитики'!BF4607,WeightedMinAge01),MAX(CapacityAge01*'01_Вводные'!$B$218*'19_Расчет_аналитики'!BF4607,MeanMinAge01))),0)</f>
        <v/>
      </c>
      <c r="BG4512">
        <f>IF('01_Вводные'!$B$234="Да",IF(OR('19_Расчет_аналитики'!BG4484=0,1&lt;='01_Вводные'!$B$297),0,'19_Расчет_аналитики'!BG4484*IF('01_Вводные'!$B$239="Да",MeanMinAge01+'19_Расчет_аналитики'!BG4607*SUMIF(ThresholdAge01,"&lt;"&amp;'19_Расчет_аналитики'!BG4607,WeightedRevAge01)-SUMIF(ThresholdAge01,"&lt;"&amp;'19_Расчет_аналитики'!BG4607,WeightedMinAge01),MAX(CapacityAge01*'01_Вводные'!$B$218*'19_Расчет_аналитики'!BG4607,MeanMinAge01))),0)</f>
        <v/>
      </c>
      <c r="BH4512">
        <f>IF('01_Вводные'!$B$234="Да",IF(OR('19_Расчет_аналитики'!BH4484=0,1&lt;='01_Вводные'!$B$297),0,'19_Расчет_аналитики'!BH4484*IF('01_Вводные'!$B$239="Да",MeanMinAge01+'19_Расчет_аналитики'!BH4607*SUMIF(ThresholdAge01,"&lt;"&amp;'19_Расчет_аналитики'!BH4607,WeightedRevAge01)-SUMIF(ThresholdAge01,"&lt;"&amp;'19_Расчет_аналитики'!BH4607,WeightedMinAge01),MAX(CapacityAge01*'01_Вводные'!$B$218*'19_Расчет_аналитики'!BH4607,MeanMinAge01))),0)</f>
        <v/>
      </c>
      <c r="BI4512">
        <f>IF('01_Вводные'!$B$234="Да",IF(OR('19_Расчет_аналитики'!BI4484=0,1&lt;='01_Вводные'!$B$297),0,'19_Расчет_аналитики'!BI4484*IF('01_Вводные'!$B$239="Да",MeanMinAge01+'19_Расчет_аналитики'!BI4607*SUMIF(ThresholdAge01,"&lt;"&amp;'19_Расчет_аналитики'!BI4607,WeightedRevAge01)-SUMIF(ThresholdAge01,"&lt;"&amp;'19_Расчет_аналитики'!BI4607,WeightedMinAge01),MAX(CapacityAge01*'01_Вводные'!$B$218*'19_Расчет_аналитики'!BI4607,MeanMinAge01))),0)</f>
        <v/>
      </c>
      <c r="BJ4512">
        <f>IF('01_Вводные'!$B$234="Да",IF(OR('19_Расчет_аналитики'!BJ4484=0,1&lt;='01_Вводные'!$B$297),0,'19_Расчет_аналитики'!BJ4484*IF('01_Вводные'!$B$239="Да",MeanMinAge01+'19_Расчет_аналитики'!BJ4607*SUMIF(ThresholdAge01,"&lt;"&amp;'19_Расчет_аналитики'!BJ4607,WeightedRevAge01)-SUMIF(ThresholdAge01,"&lt;"&amp;'19_Расчет_аналитики'!BJ4607,WeightedMinAge01),MAX(CapacityAge01*'01_Вводные'!$B$218*'19_Расчет_аналитики'!BJ4607,MeanMinAge01))),0)</f>
        <v/>
      </c>
      <c r="BK4512">
        <f>IF('01_Вводные'!$B$234="Да",IF(OR('19_Расчет_аналитики'!BK4484=0,1&lt;='01_Вводные'!$B$297),0,'19_Расчет_аналитики'!BK4484*IF('01_Вводные'!$B$239="Да",MeanMinAge01+'19_Расчет_аналитики'!BK4607*SUMIF(ThresholdAge01,"&lt;"&amp;'19_Расчет_аналитики'!BK4607,WeightedRevAge01)-SUMIF(ThresholdAge01,"&lt;"&amp;'19_Расчет_аналитики'!BK4607,WeightedMinAge01),MAX(CapacityAge01*'01_Вводные'!$B$218*'19_Расчет_аналитики'!BK4607,MeanMinAge01))),0)</f>
        <v/>
      </c>
      <c r="BL4512">
        <f>IF('01_Вводные'!$B$234="Да",IF(OR('19_Расчет_аналитики'!BL4484=0,1&lt;='01_Вводные'!$B$297),0,'19_Расчет_аналитики'!BL4484*IF('01_Вводные'!$B$239="Да",MeanMinAge01+'19_Расчет_аналитики'!BL4607*SUMIF(ThresholdAge01,"&lt;"&amp;'19_Расчет_аналитики'!BL4607,WeightedRevAge01)-SUMIF(ThresholdAge01,"&lt;"&amp;'19_Расчет_аналитики'!BL4607,WeightedMinAge01),MAX(CapacityAge01*'01_Вводные'!$B$218*'19_Расчет_аналитики'!BL4607,MeanMinAge01))),0)</f>
        <v/>
      </c>
      <c r="BM4512">
        <f>IF('01_Вводные'!$B$234="Да",IF(OR('19_Расчет_аналитики'!BM4484=0,1&lt;='01_Вводные'!$B$297),0,'19_Расчет_аналитики'!BM4484*IF('01_Вводные'!$B$239="Да",MeanMinAge01+'19_Расчет_аналитики'!BM4607*SUMIF(ThresholdAge01,"&lt;"&amp;'19_Расчет_аналитики'!BM4607,WeightedRevAge01)-SUMIF(ThresholdAge01,"&lt;"&amp;'19_Расчет_аналитики'!BM4607,WeightedMinAge01),MAX(CapacityAge01*'01_Вводные'!$B$218*'19_Расчет_аналитики'!BM4607,MeanMinAge01))),0)</f>
        <v/>
      </c>
      <c r="BN4512">
        <f>IF('01_Вводные'!$B$234="Да",IF(OR('19_Расчет_аналитики'!BN4484=0,1&lt;='01_Вводные'!$B$297),0,'19_Расчет_аналитики'!BN4484*IF('01_Вводные'!$B$239="Да",MeanMinAge01+'19_Расчет_аналитики'!BN4607*SUMIF(ThresholdAge01,"&lt;"&amp;'19_Расчет_аналитики'!BN4607,WeightedRevAge01)-SUMIF(ThresholdAge01,"&lt;"&amp;'19_Расчет_аналитики'!BN4607,WeightedMinAge01),MAX(CapacityAge01*'01_Вводные'!$B$218*'19_Расчет_аналитики'!BN4607,MeanMinAge01))),0)</f>
        <v/>
      </c>
      <c r="BO4512">
        <f>IF('01_Вводные'!$B$234="Да",IF(OR('19_Расчет_аналитики'!BO4484=0,1&lt;='01_Вводные'!$B$297),0,'19_Расчет_аналитики'!BO4484*IF('01_Вводные'!$B$239="Да",MeanMinAge01+'19_Расчет_аналитики'!BO4607*SUMIF(ThresholdAge01,"&lt;"&amp;'19_Расчет_аналитики'!BO4607,WeightedRevAge01)-SUMIF(ThresholdAge01,"&lt;"&amp;'19_Расчет_аналитики'!BO4607,WeightedMinAge01),MAX(CapacityAge01*'01_Вводные'!$B$218*'19_Расчет_аналитики'!BO4607,MeanMinAge01))),0)</f>
        <v/>
      </c>
    </row>
    <row r="4513">
      <c r="B4513">
        <f>IF('01_Вводные'!$B$234="Да",IF(OR('06_Сеть_и_дети'!B82=0,2&lt;='01_Вводные'!$B$297),0,'06_Сеть_и_дети'!B82*IF('01_Вводные'!$B$239="Да",MeanMinAge02+'19_Расчет_аналитики'!B4607*SUMIF(ThresholdAge02,"&lt;"&amp;'19_Расчет_аналитики'!B4607,WeightedRevAge02)-SUMIF(ThresholdAge02,"&lt;"&amp;'19_Расчет_аналитики'!B4607,WeightedMinAge02),MAX(CapacityAge02*'01_Вводные'!$B$218*'19_Расчет_аналитики'!B4607,MeanMinAge02))),0)</f>
        <v/>
      </c>
      <c r="C4513">
        <f>IF('01_Вводные'!$B$234="Да",IF(OR('19_Расчет_аналитики'!C4485=0,2&lt;='01_Вводные'!$B$297),0,'19_Расчет_аналитики'!C4485*IF('01_Вводные'!$B$239="Да",MeanMinAge02+'19_Расчет_аналитики'!C4607*SUMIF(ThresholdAge02,"&lt;"&amp;'19_Расчет_аналитики'!C4607,WeightedRevAge02)-SUMIF(ThresholdAge02,"&lt;"&amp;'19_Расчет_аналитики'!C4607,WeightedMinAge02),MAX(CapacityAge02*'01_Вводные'!$B$218*'19_Расчет_аналитики'!C4607,MeanMinAge02))),0)</f>
        <v/>
      </c>
      <c r="D4513">
        <f>IF('01_Вводные'!$B$234="Да",IF(OR('19_Расчет_аналитики'!D4485=0,2&lt;='01_Вводные'!$B$297),0,'19_Расчет_аналитики'!D4485*IF('01_Вводные'!$B$239="Да",MeanMinAge02+'19_Расчет_аналитики'!D4607*SUMIF(ThresholdAge02,"&lt;"&amp;'19_Расчет_аналитики'!D4607,WeightedRevAge02)-SUMIF(ThresholdAge02,"&lt;"&amp;'19_Расчет_аналитики'!D4607,WeightedMinAge02),MAX(CapacityAge02*'01_Вводные'!$B$218*'19_Расчет_аналитики'!D4607,MeanMinAge02))),0)</f>
        <v/>
      </c>
      <c r="E4513">
        <f>IF('01_Вводные'!$B$234="Да",IF(OR('19_Расчет_аналитики'!E4485=0,2&lt;='01_Вводные'!$B$297),0,'19_Расчет_аналитики'!E4485*IF('01_Вводные'!$B$239="Да",MeanMinAge02+'19_Расчет_аналитики'!E4607*SUMIF(ThresholdAge02,"&lt;"&amp;'19_Расчет_аналитики'!E4607,WeightedRevAge02)-SUMIF(ThresholdAge02,"&lt;"&amp;'19_Расчет_аналитики'!E4607,WeightedMinAge02),MAX(CapacityAge02*'01_Вводные'!$B$218*'19_Расчет_аналитики'!E4607,MeanMinAge02))),0)</f>
        <v/>
      </c>
      <c r="F4513">
        <f>IF('01_Вводные'!$B$234="Да",IF(OR('19_Расчет_аналитики'!F4485=0,2&lt;='01_Вводные'!$B$297),0,'19_Расчет_аналитики'!F4485*IF('01_Вводные'!$B$239="Да",MeanMinAge02+'19_Расчет_аналитики'!F4607*SUMIF(ThresholdAge02,"&lt;"&amp;'19_Расчет_аналитики'!F4607,WeightedRevAge02)-SUMIF(ThresholdAge02,"&lt;"&amp;'19_Расчет_аналитики'!F4607,WeightedMinAge02),MAX(CapacityAge02*'01_Вводные'!$B$218*'19_Расчет_аналитики'!F4607,MeanMinAge02))),0)</f>
        <v/>
      </c>
      <c r="G4513">
        <f>IF('01_Вводные'!$B$234="Да",IF(OR('19_Расчет_аналитики'!G4485=0,2&lt;='01_Вводные'!$B$297),0,'19_Расчет_аналитики'!G4485*IF('01_Вводные'!$B$239="Да",MeanMinAge02+'19_Расчет_аналитики'!G4607*SUMIF(ThresholdAge02,"&lt;"&amp;'19_Расчет_аналитики'!G4607,WeightedRevAge02)-SUMIF(ThresholdAge02,"&lt;"&amp;'19_Расчет_аналитики'!G4607,WeightedMinAge02),MAX(CapacityAge02*'01_Вводные'!$B$218*'19_Расчет_аналитики'!G4607,MeanMinAge02))),0)</f>
        <v/>
      </c>
      <c r="H4513">
        <f>IF('01_Вводные'!$B$234="Да",IF(OR('19_Расчет_аналитики'!H4485=0,2&lt;='01_Вводные'!$B$297),0,'19_Расчет_аналитики'!H4485*IF('01_Вводные'!$B$239="Да",MeanMinAge02+'19_Расчет_аналитики'!H4607*SUMIF(ThresholdAge02,"&lt;"&amp;'19_Расчет_аналитики'!H4607,WeightedRevAge02)-SUMIF(ThresholdAge02,"&lt;"&amp;'19_Расчет_аналитики'!H4607,WeightedMinAge02),MAX(CapacityAge02*'01_Вводные'!$B$218*'19_Расчет_аналитики'!H4607,MeanMinAge02))),0)</f>
        <v/>
      </c>
      <c r="I4513">
        <f>IF('01_Вводные'!$B$234="Да",IF(OR('19_Расчет_аналитики'!I4485=0,2&lt;='01_Вводные'!$B$297),0,'19_Расчет_аналитики'!I4485*IF('01_Вводные'!$B$239="Да",MeanMinAge02+'19_Расчет_аналитики'!I4607*SUMIF(ThresholdAge02,"&lt;"&amp;'19_Расчет_аналитики'!I4607,WeightedRevAge02)-SUMIF(ThresholdAge02,"&lt;"&amp;'19_Расчет_аналитики'!I4607,WeightedMinAge02),MAX(CapacityAge02*'01_Вводные'!$B$218*'19_Расчет_аналитики'!I4607,MeanMinAge02))),0)</f>
        <v/>
      </c>
      <c r="J4513">
        <f>IF('01_Вводные'!$B$234="Да",IF(OR('19_Расчет_аналитики'!J4485=0,2&lt;='01_Вводные'!$B$297),0,'19_Расчет_аналитики'!J4485*IF('01_Вводные'!$B$239="Да",MeanMinAge02+'19_Расчет_аналитики'!J4607*SUMIF(ThresholdAge02,"&lt;"&amp;'19_Расчет_аналитики'!J4607,WeightedRevAge02)-SUMIF(ThresholdAge02,"&lt;"&amp;'19_Расчет_аналитики'!J4607,WeightedMinAge02),MAX(CapacityAge02*'01_Вводные'!$B$218*'19_Расчет_аналитики'!J4607,MeanMinAge02))),0)</f>
        <v/>
      </c>
      <c r="K4513">
        <f>IF('01_Вводные'!$B$234="Да",IF(OR('19_Расчет_аналитики'!K4485=0,2&lt;='01_Вводные'!$B$297),0,'19_Расчет_аналитики'!K4485*IF('01_Вводные'!$B$239="Да",MeanMinAge02+'19_Расчет_аналитики'!K4607*SUMIF(ThresholdAge02,"&lt;"&amp;'19_Расчет_аналитики'!K4607,WeightedRevAge02)-SUMIF(ThresholdAge02,"&lt;"&amp;'19_Расчет_аналитики'!K4607,WeightedMinAge02),MAX(CapacityAge02*'01_Вводные'!$B$218*'19_Расчет_аналитики'!K4607,MeanMinAge02))),0)</f>
        <v/>
      </c>
      <c r="L4513">
        <f>IF('01_Вводные'!$B$234="Да",IF(OR('19_Расчет_аналитики'!L4485=0,2&lt;='01_Вводные'!$B$297),0,'19_Расчет_аналитики'!L4485*IF('01_Вводные'!$B$239="Да",MeanMinAge02+'19_Расчет_аналитики'!L4607*SUMIF(ThresholdAge02,"&lt;"&amp;'19_Расчет_аналитики'!L4607,WeightedRevAge02)-SUMIF(ThresholdAge02,"&lt;"&amp;'19_Расчет_аналитики'!L4607,WeightedMinAge02),MAX(CapacityAge02*'01_Вводные'!$B$218*'19_Расчет_аналитики'!L4607,MeanMinAge02))),0)</f>
        <v/>
      </c>
      <c r="M4513">
        <f>IF('01_Вводные'!$B$234="Да",IF(OR('19_Расчет_аналитики'!M4485=0,2&lt;='01_Вводные'!$B$297),0,'19_Расчет_аналитики'!M4485*IF('01_Вводные'!$B$239="Да",MeanMinAge02+'19_Расчет_аналитики'!M4607*SUMIF(ThresholdAge02,"&lt;"&amp;'19_Расчет_аналитики'!M4607,WeightedRevAge02)-SUMIF(ThresholdAge02,"&lt;"&amp;'19_Расчет_аналитики'!M4607,WeightedMinAge02),MAX(CapacityAge02*'01_Вводные'!$B$218*'19_Расчет_аналитики'!M4607,MeanMinAge02))),0)</f>
        <v/>
      </c>
      <c r="N4513">
        <f>IF('01_Вводные'!$B$234="Да",IF(OR('19_Расчет_аналитики'!N4485=0,2&lt;='01_Вводные'!$B$297),0,'19_Расчет_аналитики'!N4485*IF('01_Вводные'!$B$239="Да",MeanMinAge02+'19_Расчет_аналитики'!N4607*SUMIF(ThresholdAge02,"&lt;"&amp;'19_Расчет_аналитики'!N4607,WeightedRevAge02)-SUMIF(ThresholdAge02,"&lt;"&amp;'19_Расчет_аналитики'!N4607,WeightedMinAge02),MAX(CapacityAge02*'01_Вводные'!$B$218*'19_Расчет_аналитики'!N4607,MeanMinAge02))),0)</f>
        <v/>
      </c>
      <c r="O4513">
        <f>IF('01_Вводные'!$B$234="Да",IF(OR('19_Расчет_аналитики'!O4485=0,2&lt;='01_Вводные'!$B$297),0,'19_Расчет_аналитики'!O4485*IF('01_Вводные'!$B$239="Да",MeanMinAge02+'19_Расчет_аналитики'!O4607*SUMIF(ThresholdAge02,"&lt;"&amp;'19_Расчет_аналитики'!O4607,WeightedRevAge02)-SUMIF(ThresholdAge02,"&lt;"&amp;'19_Расчет_аналитики'!O4607,WeightedMinAge02),MAX(CapacityAge02*'01_Вводные'!$B$218*'19_Расчет_аналитики'!O4607,MeanMinAge02))),0)</f>
        <v/>
      </c>
      <c r="P4513">
        <f>IF('01_Вводные'!$B$234="Да",IF(OR('19_Расчет_аналитики'!P4485=0,2&lt;='01_Вводные'!$B$297),0,'19_Расчет_аналитики'!P4485*IF('01_Вводные'!$B$239="Да",MeanMinAge02+'19_Расчет_аналитики'!P4607*SUMIF(ThresholdAge02,"&lt;"&amp;'19_Расчет_аналитики'!P4607,WeightedRevAge02)-SUMIF(ThresholdAge02,"&lt;"&amp;'19_Расчет_аналитики'!P4607,WeightedMinAge02),MAX(CapacityAge02*'01_Вводные'!$B$218*'19_Расчет_аналитики'!P4607,MeanMinAge02))),0)</f>
        <v/>
      </c>
      <c r="Q4513">
        <f>IF('01_Вводные'!$B$234="Да",IF(OR('19_Расчет_аналитики'!Q4485=0,2&lt;='01_Вводные'!$B$297),0,'19_Расчет_аналитики'!Q4485*IF('01_Вводные'!$B$239="Да",MeanMinAge02+'19_Расчет_аналитики'!Q4607*SUMIF(ThresholdAge02,"&lt;"&amp;'19_Расчет_аналитики'!Q4607,WeightedRevAge02)-SUMIF(ThresholdAge02,"&lt;"&amp;'19_Расчет_аналитики'!Q4607,WeightedMinAge02),MAX(CapacityAge02*'01_Вводные'!$B$218*'19_Расчет_аналитики'!Q4607,MeanMinAge02))),0)</f>
        <v/>
      </c>
      <c r="R4513">
        <f>IF('01_Вводные'!$B$234="Да",IF(OR('19_Расчет_аналитики'!R4485=0,2&lt;='01_Вводные'!$B$297),0,'19_Расчет_аналитики'!R4485*IF('01_Вводные'!$B$239="Да",MeanMinAge02+'19_Расчет_аналитики'!R4607*SUMIF(ThresholdAge02,"&lt;"&amp;'19_Расчет_аналитики'!R4607,WeightedRevAge02)-SUMIF(ThresholdAge02,"&lt;"&amp;'19_Расчет_аналитики'!R4607,WeightedMinAge02),MAX(CapacityAge02*'01_Вводные'!$B$218*'19_Расчет_аналитики'!R4607,MeanMinAge02))),0)</f>
        <v/>
      </c>
      <c r="S4513">
        <f>IF('01_Вводные'!$B$234="Да",IF(OR('19_Расчет_аналитики'!S4485=0,2&lt;='01_Вводные'!$B$297),0,'19_Расчет_аналитики'!S4485*IF('01_Вводные'!$B$239="Да",MeanMinAge02+'19_Расчет_аналитики'!S4607*SUMIF(ThresholdAge02,"&lt;"&amp;'19_Расчет_аналитики'!S4607,WeightedRevAge02)-SUMIF(ThresholdAge02,"&lt;"&amp;'19_Расчет_аналитики'!S4607,WeightedMinAge02),MAX(CapacityAge02*'01_Вводные'!$B$218*'19_Расчет_аналитики'!S4607,MeanMinAge02))),0)</f>
        <v/>
      </c>
      <c r="T4513">
        <f>IF('01_Вводные'!$B$234="Да",IF(OR('19_Расчет_аналитики'!T4485=0,2&lt;='01_Вводные'!$B$297),0,'19_Расчет_аналитики'!T4485*IF('01_Вводные'!$B$239="Да",MeanMinAge02+'19_Расчет_аналитики'!T4607*SUMIF(ThresholdAge02,"&lt;"&amp;'19_Расчет_аналитики'!T4607,WeightedRevAge02)-SUMIF(ThresholdAge02,"&lt;"&amp;'19_Расчет_аналитики'!T4607,WeightedMinAge02),MAX(CapacityAge02*'01_Вводные'!$B$218*'19_Расчет_аналитики'!T4607,MeanMinAge02))),0)</f>
        <v/>
      </c>
      <c r="U4513">
        <f>IF('01_Вводные'!$B$234="Да",IF(OR('19_Расчет_аналитики'!U4485=0,2&lt;='01_Вводные'!$B$297),0,'19_Расчет_аналитики'!U4485*IF('01_Вводные'!$B$239="Да",MeanMinAge02+'19_Расчет_аналитики'!U4607*SUMIF(ThresholdAge02,"&lt;"&amp;'19_Расчет_аналитики'!U4607,WeightedRevAge02)-SUMIF(ThresholdAge02,"&lt;"&amp;'19_Расчет_аналитики'!U4607,WeightedMinAge02),MAX(CapacityAge02*'01_Вводные'!$B$218*'19_Расчет_аналитики'!U4607,MeanMinAge02))),0)</f>
        <v/>
      </c>
      <c r="V4513">
        <f>IF('01_Вводные'!$B$234="Да",IF(OR('19_Расчет_аналитики'!V4485=0,2&lt;='01_Вводные'!$B$297),0,'19_Расчет_аналитики'!V4485*IF('01_Вводные'!$B$239="Да",MeanMinAge02+'19_Расчет_аналитики'!V4607*SUMIF(ThresholdAge02,"&lt;"&amp;'19_Расчет_аналитики'!V4607,WeightedRevAge02)-SUMIF(ThresholdAge02,"&lt;"&amp;'19_Расчет_аналитики'!V4607,WeightedMinAge02),MAX(CapacityAge02*'01_Вводные'!$B$218*'19_Расчет_аналитики'!V4607,MeanMinAge02))),0)</f>
        <v/>
      </c>
      <c r="W4513">
        <f>IF('01_Вводные'!$B$234="Да",IF(OR('19_Расчет_аналитики'!W4485=0,2&lt;='01_Вводные'!$B$297),0,'19_Расчет_аналитики'!W4485*IF('01_Вводные'!$B$239="Да",MeanMinAge02+'19_Расчет_аналитики'!W4607*SUMIF(ThresholdAge02,"&lt;"&amp;'19_Расчет_аналитики'!W4607,WeightedRevAge02)-SUMIF(ThresholdAge02,"&lt;"&amp;'19_Расчет_аналитики'!W4607,WeightedMinAge02),MAX(CapacityAge02*'01_Вводные'!$B$218*'19_Расчет_аналитики'!W4607,MeanMinAge02))),0)</f>
        <v/>
      </c>
      <c r="X4513">
        <f>IF('01_Вводные'!$B$234="Да",IF(OR('19_Расчет_аналитики'!X4485=0,2&lt;='01_Вводные'!$B$297),0,'19_Расчет_аналитики'!X4485*IF('01_Вводные'!$B$239="Да",MeanMinAge02+'19_Расчет_аналитики'!X4607*SUMIF(ThresholdAge02,"&lt;"&amp;'19_Расчет_аналитики'!X4607,WeightedRevAge02)-SUMIF(ThresholdAge02,"&lt;"&amp;'19_Расчет_аналитики'!X4607,WeightedMinAge02),MAX(CapacityAge02*'01_Вводные'!$B$218*'19_Расчет_аналитики'!X4607,MeanMinAge02))),0)</f>
        <v/>
      </c>
      <c r="Y4513">
        <f>IF('01_Вводные'!$B$234="Да",IF(OR('19_Расчет_аналитики'!Y4485=0,2&lt;='01_Вводные'!$B$297),0,'19_Расчет_аналитики'!Y4485*IF('01_Вводные'!$B$239="Да",MeanMinAge02+'19_Расчет_аналитики'!Y4607*SUMIF(ThresholdAge02,"&lt;"&amp;'19_Расчет_аналитики'!Y4607,WeightedRevAge02)-SUMIF(ThresholdAge02,"&lt;"&amp;'19_Расчет_аналитики'!Y4607,WeightedMinAge02),MAX(CapacityAge02*'01_Вводные'!$B$218*'19_Расчет_аналитики'!Y4607,MeanMinAge02))),0)</f>
        <v/>
      </c>
      <c r="Z4513">
        <f>IF('01_Вводные'!$B$234="Да",IF(OR('19_Расчет_аналитики'!Z4485=0,2&lt;='01_Вводные'!$B$297),0,'19_Расчет_аналитики'!Z4485*IF('01_Вводные'!$B$239="Да",MeanMinAge02+'19_Расчет_аналитики'!Z4607*SUMIF(ThresholdAge02,"&lt;"&amp;'19_Расчет_аналитики'!Z4607,WeightedRevAge02)-SUMIF(ThresholdAge02,"&lt;"&amp;'19_Расчет_аналитики'!Z4607,WeightedMinAge02),MAX(CapacityAge02*'01_Вводные'!$B$218*'19_Расчет_аналитики'!Z4607,MeanMinAge02))),0)</f>
        <v/>
      </c>
      <c r="AA4513">
        <f>IF('01_Вводные'!$B$234="Да",IF(OR('19_Расчет_аналитики'!AA4485=0,2&lt;='01_Вводные'!$B$297),0,'19_Расчет_аналитики'!AA4485*IF('01_Вводные'!$B$239="Да",MeanMinAge02+'19_Расчет_аналитики'!AA4607*SUMIF(ThresholdAge02,"&lt;"&amp;'19_Расчет_аналитики'!AA4607,WeightedRevAge02)-SUMIF(ThresholdAge02,"&lt;"&amp;'19_Расчет_аналитики'!AA4607,WeightedMinAge02),MAX(CapacityAge02*'01_Вводные'!$B$218*'19_Расчет_аналитики'!AA4607,MeanMinAge02))),0)</f>
        <v/>
      </c>
      <c r="AB4513">
        <f>IF('01_Вводные'!$B$234="Да",IF(OR('19_Расчет_аналитики'!AB4485=0,2&lt;='01_Вводные'!$B$297),0,'19_Расчет_аналитики'!AB4485*IF('01_Вводные'!$B$239="Да",MeanMinAge02+'19_Расчет_аналитики'!AB4607*SUMIF(ThresholdAge02,"&lt;"&amp;'19_Расчет_аналитики'!AB4607,WeightedRevAge02)-SUMIF(ThresholdAge02,"&lt;"&amp;'19_Расчет_аналитики'!AB4607,WeightedMinAge02),MAX(CapacityAge02*'01_Вводные'!$B$218*'19_Расчет_аналитики'!AB4607,MeanMinAge02))),0)</f>
        <v/>
      </c>
      <c r="AC4513">
        <f>IF('01_Вводные'!$B$234="Да",IF(OR('19_Расчет_аналитики'!AC4485=0,2&lt;='01_Вводные'!$B$297),0,'19_Расчет_аналитики'!AC4485*IF('01_Вводные'!$B$239="Да",MeanMinAge02+'19_Расчет_аналитики'!AC4607*SUMIF(ThresholdAge02,"&lt;"&amp;'19_Расчет_аналитики'!AC4607,WeightedRevAge02)-SUMIF(ThresholdAge02,"&lt;"&amp;'19_Расчет_аналитики'!AC4607,WeightedMinAge02),MAX(CapacityAge02*'01_Вводные'!$B$218*'19_Расчет_аналитики'!AC4607,MeanMinAge02))),0)</f>
        <v/>
      </c>
      <c r="AD4513">
        <f>IF('01_Вводные'!$B$234="Да",IF(OR('19_Расчет_аналитики'!AD4485=0,2&lt;='01_Вводные'!$B$297),0,'19_Расчет_аналитики'!AD4485*IF('01_Вводные'!$B$239="Да",MeanMinAge02+'19_Расчет_аналитики'!AD4607*SUMIF(ThresholdAge02,"&lt;"&amp;'19_Расчет_аналитики'!AD4607,WeightedRevAge02)-SUMIF(ThresholdAge02,"&lt;"&amp;'19_Расчет_аналитики'!AD4607,WeightedMinAge02),MAX(CapacityAge02*'01_Вводные'!$B$218*'19_Расчет_аналитики'!AD4607,MeanMinAge02))),0)</f>
        <v/>
      </c>
      <c r="AE4513">
        <f>IF('01_Вводные'!$B$234="Да",IF(OR('19_Расчет_аналитики'!AE4485=0,2&lt;='01_Вводные'!$B$297),0,'19_Расчет_аналитики'!AE4485*IF('01_Вводные'!$B$239="Да",MeanMinAge02+'19_Расчет_аналитики'!AE4607*SUMIF(ThresholdAge02,"&lt;"&amp;'19_Расчет_аналитики'!AE4607,WeightedRevAge02)-SUMIF(ThresholdAge02,"&lt;"&amp;'19_Расчет_аналитики'!AE4607,WeightedMinAge02),MAX(CapacityAge02*'01_Вводные'!$B$218*'19_Расчет_аналитики'!AE4607,MeanMinAge02))),0)</f>
        <v/>
      </c>
      <c r="AF4513">
        <f>IF('01_Вводные'!$B$234="Да",IF(OR('19_Расчет_аналитики'!AF4485=0,2&lt;='01_Вводные'!$B$297),0,'19_Расчет_аналитики'!AF4485*IF('01_Вводные'!$B$239="Да",MeanMinAge02+'19_Расчет_аналитики'!AF4607*SUMIF(ThresholdAge02,"&lt;"&amp;'19_Расчет_аналитики'!AF4607,WeightedRevAge02)-SUMIF(ThresholdAge02,"&lt;"&amp;'19_Расчет_аналитики'!AF4607,WeightedMinAge02),MAX(CapacityAge02*'01_Вводные'!$B$218*'19_Расчет_аналитики'!AF4607,MeanMinAge02))),0)</f>
        <v/>
      </c>
      <c r="AG4513">
        <f>IF('01_Вводные'!$B$234="Да",IF(OR('19_Расчет_аналитики'!AG4485=0,2&lt;='01_Вводные'!$B$297),0,'19_Расчет_аналитики'!AG4485*IF('01_Вводные'!$B$239="Да",MeanMinAge02+'19_Расчет_аналитики'!AG4607*SUMIF(ThresholdAge02,"&lt;"&amp;'19_Расчет_аналитики'!AG4607,WeightedRevAge02)-SUMIF(ThresholdAge02,"&lt;"&amp;'19_Расчет_аналитики'!AG4607,WeightedMinAge02),MAX(CapacityAge02*'01_Вводные'!$B$218*'19_Расчет_аналитики'!AG4607,MeanMinAge02))),0)</f>
        <v/>
      </c>
      <c r="AH4513">
        <f>IF('01_Вводные'!$B$234="Да",IF(OR('19_Расчет_аналитики'!AH4485=0,2&lt;='01_Вводные'!$B$297),0,'19_Расчет_аналитики'!AH4485*IF('01_Вводные'!$B$239="Да",MeanMinAge02+'19_Расчет_аналитики'!AH4607*SUMIF(ThresholdAge02,"&lt;"&amp;'19_Расчет_аналитики'!AH4607,WeightedRevAge02)-SUMIF(ThresholdAge02,"&lt;"&amp;'19_Расчет_аналитики'!AH4607,WeightedMinAge02),MAX(CapacityAge02*'01_Вводные'!$B$218*'19_Расчет_аналитики'!AH4607,MeanMinAge02))),0)</f>
        <v/>
      </c>
      <c r="AI4513">
        <f>IF('01_Вводные'!$B$234="Да",IF(OR('19_Расчет_аналитики'!AI4485=0,2&lt;='01_Вводные'!$B$297),0,'19_Расчет_аналитики'!AI4485*IF('01_Вводные'!$B$239="Да",MeanMinAge02+'19_Расчет_аналитики'!AI4607*SUMIF(ThresholdAge02,"&lt;"&amp;'19_Расчет_аналитики'!AI4607,WeightedRevAge02)-SUMIF(ThresholdAge02,"&lt;"&amp;'19_Расчет_аналитики'!AI4607,WeightedMinAge02),MAX(CapacityAge02*'01_Вводные'!$B$218*'19_Расчет_аналитики'!AI4607,MeanMinAge02))),0)</f>
        <v/>
      </c>
      <c r="AJ4513">
        <f>IF('01_Вводные'!$B$234="Да",IF(OR('19_Расчет_аналитики'!AJ4485=0,2&lt;='01_Вводные'!$B$297),0,'19_Расчет_аналитики'!AJ4485*IF('01_Вводные'!$B$239="Да",MeanMinAge02+'19_Расчет_аналитики'!AJ4607*SUMIF(ThresholdAge02,"&lt;"&amp;'19_Расчет_аналитики'!AJ4607,WeightedRevAge02)-SUMIF(ThresholdAge02,"&lt;"&amp;'19_Расчет_аналитики'!AJ4607,WeightedMinAge02),MAX(CapacityAge02*'01_Вводные'!$B$218*'19_Расчет_аналитики'!AJ4607,MeanMinAge02))),0)</f>
        <v/>
      </c>
      <c r="AK4513">
        <f>IF('01_Вводные'!$B$234="Да",IF(OR('19_Расчет_аналитики'!AK4485=0,2&lt;='01_Вводные'!$B$297),0,'19_Расчет_аналитики'!AK4485*IF('01_Вводные'!$B$239="Да",MeanMinAge02+'19_Расчет_аналитики'!AK4607*SUMIF(ThresholdAge02,"&lt;"&amp;'19_Расчет_аналитики'!AK4607,WeightedRevAge02)-SUMIF(ThresholdAge02,"&lt;"&amp;'19_Расчет_аналитики'!AK4607,WeightedMinAge02),MAX(CapacityAge02*'01_Вводные'!$B$218*'19_Расчет_аналитики'!AK4607,MeanMinAge02))),0)</f>
        <v/>
      </c>
      <c r="AL4513">
        <f>IF('01_Вводные'!$B$234="Да",IF(OR('19_Расчет_аналитики'!AL4485=0,2&lt;='01_Вводные'!$B$297),0,'19_Расчет_аналитики'!AL4485*IF('01_Вводные'!$B$239="Да",MeanMinAge02+'19_Расчет_аналитики'!AL4607*SUMIF(ThresholdAge02,"&lt;"&amp;'19_Расчет_аналитики'!AL4607,WeightedRevAge02)-SUMIF(ThresholdAge02,"&lt;"&amp;'19_Расчет_аналитики'!AL4607,WeightedMinAge02),MAX(CapacityAge02*'01_Вводные'!$B$218*'19_Расчет_аналитики'!AL4607,MeanMinAge02))),0)</f>
        <v/>
      </c>
      <c r="AM4513">
        <f>IF('01_Вводные'!$B$234="Да",IF(OR('19_Расчет_аналитики'!AM4485=0,2&lt;='01_Вводные'!$B$297),0,'19_Расчет_аналитики'!AM4485*IF('01_Вводные'!$B$239="Да",MeanMinAge02+'19_Расчет_аналитики'!AM4607*SUMIF(ThresholdAge02,"&lt;"&amp;'19_Расчет_аналитики'!AM4607,WeightedRevAge02)-SUMIF(ThresholdAge02,"&lt;"&amp;'19_Расчет_аналитики'!AM4607,WeightedMinAge02),MAX(CapacityAge02*'01_Вводные'!$B$218*'19_Расчет_аналитики'!AM4607,MeanMinAge02))),0)</f>
        <v/>
      </c>
      <c r="AN4513">
        <f>IF('01_Вводные'!$B$234="Да",IF(OR('19_Расчет_аналитики'!AN4485=0,2&lt;='01_Вводные'!$B$297),0,'19_Расчет_аналитики'!AN4485*IF('01_Вводные'!$B$239="Да",MeanMinAge02+'19_Расчет_аналитики'!AN4607*SUMIF(ThresholdAge02,"&lt;"&amp;'19_Расчет_аналитики'!AN4607,WeightedRevAge02)-SUMIF(ThresholdAge02,"&lt;"&amp;'19_Расчет_аналитики'!AN4607,WeightedMinAge02),MAX(CapacityAge02*'01_Вводные'!$B$218*'19_Расчет_аналитики'!AN4607,MeanMinAge02))),0)</f>
        <v/>
      </c>
      <c r="AO4513">
        <f>IF('01_Вводные'!$B$234="Да",IF(OR('19_Расчет_аналитики'!AO4485=0,2&lt;='01_Вводные'!$B$297),0,'19_Расчет_аналитики'!AO4485*IF('01_Вводные'!$B$239="Да",MeanMinAge02+'19_Расчет_аналитики'!AO4607*SUMIF(ThresholdAge02,"&lt;"&amp;'19_Расчет_аналитики'!AO4607,WeightedRevAge02)-SUMIF(ThresholdAge02,"&lt;"&amp;'19_Расчет_аналитики'!AO4607,WeightedMinAge02),MAX(CapacityAge02*'01_Вводные'!$B$218*'19_Расчет_аналитики'!AO4607,MeanMinAge02))),0)</f>
        <v/>
      </c>
      <c r="AP4513">
        <f>IF('01_Вводные'!$B$234="Да",IF(OR('19_Расчет_аналитики'!AP4485=0,2&lt;='01_Вводные'!$B$297),0,'19_Расчет_аналитики'!AP4485*IF('01_Вводные'!$B$239="Да",MeanMinAge02+'19_Расчет_аналитики'!AP4607*SUMIF(ThresholdAge02,"&lt;"&amp;'19_Расчет_аналитики'!AP4607,WeightedRevAge02)-SUMIF(ThresholdAge02,"&lt;"&amp;'19_Расчет_аналитики'!AP4607,WeightedMinAge02),MAX(CapacityAge02*'01_Вводные'!$B$218*'19_Расчет_аналитики'!AP4607,MeanMinAge02))),0)</f>
        <v/>
      </c>
      <c r="AQ4513">
        <f>IF('01_Вводные'!$B$234="Да",IF(OR('19_Расчет_аналитики'!AQ4485=0,2&lt;='01_Вводные'!$B$297),0,'19_Расчет_аналитики'!AQ4485*IF('01_Вводные'!$B$239="Да",MeanMinAge02+'19_Расчет_аналитики'!AQ4607*SUMIF(ThresholdAge02,"&lt;"&amp;'19_Расчет_аналитики'!AQ4607,WeightedRevAge02)-SUMIF(ThresholdAge02,"&lt;"&amp;'19_Расчет_аналитики'!AQ4607,WeightedMinAge02),MAX(CapacityAge02*'01_Вводные'!$B$218*'19_Расчет_аналитики'!AQ4607,MeanMinAge02))),0)</f>
        <v/>
      </c>
      <c r="AR4513">
        <f>IF('01_Вводные'!$B$234="Да",IF(OR('19_Расчет_аналитики'!AR4485=0,2&lt;='01_Вводные'!$B$297),0,'19_Расчет_аналитики'!AR4485*IF('01_Вводные'!$B$239="Да",MeanMinAge02+'19_Расчет_аналитики'!AR4607*SUMIF(ThresholdAge02,"&lt;"&amp;'19_Расчет_аналитики'!AR4607,WeightedRevAge02)-SUMIF(ThresholdAge02,"&lt;"&amp;'19_Расчет_аналитики'!AR4607,WeightedMinAge02),MAX(CapacityAge02*'01_Вводные'!$B$218*'19_Расчет_аналитики'!AR4607,MeanMinAge02))),0)</f>
        <v/>
      </c>
      <c r="AS4513">
        <f>IF('01_Вводные'!$B$234="Да",IF(OR('19_Расчет_аналитики'!AS4485=0,2&lt;='01_Вводные'!$B$297),0,'19_Расчет_аналитики'!AS4485*IF('01_Вводные'!$B$239="Да",MeanMinAge02+'19_Расчет_аналитики'!AS4607*SUMIF(ThresholdAge02,"&lt;"&amp;'19_Расчет_аналитики'!AS4607,WeightedRevAge02)-SUMIF(ThresholdAge02,"&lt;"&amp;'19_Расчет_аналитики'!AS4607,WeightedMinAge02),MAX(CapacityAge02*'01_Вводные'!$B$218*'19_Расчет_аналитики'!AS4607,MeanMinAge02))),0)</f>
        <v/>
      </c>
      <c r="AT4513">
        <f>IF('01_Вводные'!$B$234="Да",IF(OR('19_Расчет_аналитики'!AT4485=0,2&lt;='01_Вводные'!$B$297),0,'19_Расчет_аналитики'!AT4485*IF('01_Вводные'!$B$239="Да",MeanMinAge02+'19_Расчет_аналитики'!AT4607*SUMIF(ThresholdAge02,"&lt;"&amp;'19_Расчет_аналитики'!AT4607,WeightedRevAge02)-SUMIF(ThresholdAge02,"&lt;"&amp;'19_Расчет_аналитики'!AT4607,WeightedMinAge02),MAX(CapacityAge02*'01_Вводные'!$B$218*'19_Расчет_аналитики'!AT4607,MeanMinAge02))),0)</f>
        <v/>
      </c>
      <c r="AU4513">
        <f>IF('01_Вводные'!$B$234="Да",IF(OR('19_Расчет_аналитики'!AU4485=0,2&lt;='01_Вводные'!$B$297),0,'19_Расчет_аналитики'!AU4485*IF('01_Вводные'!$B$239="Да",MeanMinAge02+'19_Расчет_аналитики'!AU4607*SUMIF(ThresholdAge02,"&lt;"&amp;'19_Расчет_аналитики'!AU4607,WeightedRevAge02)-SUMIF(ThresholdAge02,"&lt;"&amp;'19_Расчет_аналитики'!AU4607,WeightedMinAge02),MAX(CapacityAge02*'01_Вводные'!$B$218*'19_Расчет_аналитики'!AU4607,MeanMinAge02))),0)</f>
        <v/>
      </c>
      <c r="AV4513">
        <f>IF('01_Вводные'!$B$234="Да",IF(OR('19_Расчет_аналитики'!AV4485=0,2&lt;='01_Вводные'!$B$297),0,'19_Расчет_аналитики'!AV4485*IF('01_Вводные'!$B$239="Да",MeanMinAge02+'19_Расчет_аналитики'!AV4607*SUMIF(ThresholdAge02,"&lt;"&amp;'19_Расчет_аналитики'!AV4607,WeightedRevAge02)-SUMIF(ThresholdAge02,"&lt;"&amp;'19_Расчет_аналитики'!AV4607,WeightedMinAge02),MAX(CapacityAge02*'01_Вводные'!$B$218*'19_Расчет_аналитики'!AV4607,MeanMinAge02))),0)</f>
        <v/>
      </c>
      <c r="AW4513">
        <f>IF('01_Вводные'!$B$234="Да",IF(OR('19_Расчет_аналитики'!AW4485=0,2&lt;='01_Вводные'!$B$297),0,'19_Расчет_аналитики'!AW4485*IF('01_Вводные'!$B$239="Да",MeanMinAge02+'19_Расчет_аналитики'!AW4607*SUMIF(ThresholdAge02,"&lt;"&amp;'19_Расчет_аналитики'!AW4607,WeightedRevAge02)-SUMIF(ThresholdAge02,"&lt;"&amp;'19_Расчет_аналитики'!AW4607,WeightedMinAge02),MAX(CapacityAge02*'01_Вводные'!$B$218*'19_Расчет_аналитики'!AW4607,MeanMinAge02))),0)</f>
        <v/>
      </c>
      <c r="AX4513">
        <f>IF('01_Вводные'!$B$234="Да",IF(OR('19_Расчет_аналитики'!AX4485=0,2&lt;='01_Вводные'!$B$297),0,'19_Расчет_аналитики'!AX4485*IF('01_Вводные'!$B$239="Да",MeanMinAge02+'19_Расчет_аналитики'!AX4607*SUMIF(ThresholdAge02,"&lt;"&amp;'19_Расчет_аналитики'!AX4607,WeightedRevAge02)-SUMIF(ThresholdAge02,"&lt;"&amp;'19_Расчет_аналитики'!AX4607,WeightedMinAge02),MAX(CapacityAge02*'01_Вводные'!$B$218*'19_Расчет_аналитики'!AX4607,MeanMinAge02))),0)</f>
        <v/>
      </c>
      <c r="AY4513">
        <f>IF('01_Вводные'!$B$234="Да",IF(OR('19_Расчет_аналитики'!AY4485=0,2&lt;='01_Вводные'!$B$297),0,'19_Расчет_аналитики'!AY4485*IF('01_Вводные'!$B$239="Да",MeanMinAge02+'19_Расчет_аналитики'!AY4607*SUMIF(ThresholdAge02,"&lt;"&amp;'19_Расчет_аналитики'!AY4607,WeightedRevAge02)-SUMIF(ThresholdAge02,"&lt;"&amp;'19_Расчет_аналитики'!AY4607,WeightedMinAge02),MAX(CapacityAge02*'01_Вводные'!$B$218*'19_Расчет_аналитики'!AY4607,MeanMinAge02))),0)</f>
        <v/>
      </c>
      <c r="AZ4513">
        <f>IF('01_Вводные'!$B$234="Да",IF(OR('19_Расчет_аналитики'!AZ4485=0,2&lt;='01_Вводные'!$B$297),0,'19_Расчет_аналитики'!AZ4485*IF('01_Вводные'!$B$239="Да",MeanMinAge02+'19_Расчет_аналитики'!AZ4607*SUMIF(ThresholdAge02,"&lt;"&amp;'19_Расчет_аналитики'!AZ4607,WeightedRevAge02)-SUMIF(ThresholdAge02,"&lt;"&amp;'19_Расчет_аналитики'!AZ4607,WeightedMinAge02),MAX(CapacityAge02*'01_Вводные'!$B$218*'19_Расчет_аналитики'!AZ4607,MeanMinAge02))),0)</f>
        <v/>
      </c>
      <c r="BA4513">
        <f>IF('01_Вводные'!$B$234="Да",IF(OR('19_Расчет_аналитики'!BA4485=0,2&lt;='01_Вводные'!$B$297),0,'19_Расчет_аналитики'!BA4485*IF('01_Вводные'!$B$239="Да",MeanMinAge02+'19_Расчет_аналитики'!BA4607*SUMIF(ThresholdAge02,"&lt;"&amp;'19_Расчет_аналитики'!BA4607,WeightedRevAge02)-SUMIF(ThresholdAge02,"&lt;"&amp;'19_Расчет_аналитики'!BA4607,WeightedMinAge02),MAX(CapacityAge02*'01_Вводные'!$B$218*'19_Расчет_аналитики'!BA4607,MeanMinAge02))),0)</f>
        <v/>
      </c>
      <c r="BB4513">
        <f>IF('01_Вводные'!$B$234="Да",IF(OR('19_Расчет_аналитики'!BB4485=0,2&lt;='01_Вводные'!$B$297),0,'19_Расчет_аналитики'!BB4485*IF('01_Вводные'!$B$239="Да",MeanMinAge02+'19_Расчет_аналитики'!BB4607*SUMIF(ThresholdAge02,"&lt;"&amp;'19_Расчет_аналитики'!BB4607,WeightedRevAge02)-SUMIF(ThresholdAge02,"&lt;"&amp;'19_Расчет_аналитики'!BB4607,WeightedMinAge02),MAX(CapacityAge02*'01_Вводные'!$B$218*'19_Расчет_аналитики'!BB4607,MeanMinAge02))),0)</f>
        <v/>
      </c>
      <c r="BC4513">
        <f>IF('01_Вводные'!$B$234="Да",IF(OR('19_Расчет_аналитики'!BC4485=0,2&lt;='01_Вводные'!$B$297),0,'19_Расчет_аналитики'!BC4485*IF('01_Вводные'!$B$239="Да",MeanMinAge02+'19_Расчет_аналитики'!BC4607*SUMIF(ThresholdAge02,"&lt;"&amp;'19_Расчет_аналитики'!BC4607,WeightedRevAge02)-SUMIF(ThresholdAge02,"&lt;"&amp;'19_Расчет_аналитики'!BC4607,WeightedMinAge02),MAX(CapacityAge02*'01_Вводные'!$B$218*'19_Расчет_аналитики'!BC4607,MeanMinAge02))),0)</f>
        <v/>
      </c>
      <c r="BD4513">
        <f>IF('01_Вводные'!$B$234="Да",IF(OR('19_Расчет_аналитики'!BD4485=0,2&lt;='01_Вводные'!$B$297),0,'19_Расчет_аналитики'!BD4485*IF('01_Вводные'!$B$239="Да",MeanMinAge02+'19_Расчет_аналитики'!BD4607*SUMIF(ThresholdAge02,"&lt;"&amp;'19_Расчет_аналитики'!BD4607,WeightedRevAge02)-SUMIF(ThresholdAge02,"&lt;"&amp;'19_Расчет_аналитики'!BD4607,WeightedMinAge02),MAX(CapacityAge02*'01_Вводные'!$B$218*'19_Расчет_аналитики'!BD4607,MeanMinAge02))),0)</f>
        <v/>
      </c>
      <c r="BE4513">
        <f>IF('01_Вводные'!$B$234="Да",IF(OR('19_Расчет_аналитики'!BE4485=0,2&lt;='01_Вводные'!$B$297),0,'19_Расчет_аналитики'!BE4485*IF('01_Вводные'!$B$239="Да",MeanMinAge02+'19_Расчет_аналитики'!BE4607*SUMIF(ThresholdAge02,"&lt;"&amp;'19_Расчет_аналитики'!BE4607,WeightedRevAge02)-SUMIF(ThresholdAge02,"&lt;"&amp;'19_Расчет_аналитики'!BE4607,WeightedMinAge02),MAX(CapacityAge02*'01_Вводные'!$B$218*'19_Расчет_аналитики'!BE4607,MeanMinAge02))),0)</f>
        <v/>
      </c>
      <c r="BF4513">
        <f>IF('01_Вводные'!$B$234="Да",IF(OR('19_Расчет_аналитики'!BF4485=0,2&lt;='01_Вводные'!$B$297),0,'19_Расчет_аналитики'!BF4485*IF('01_Вводные'!$B$239="Да",MeanMinAge02+'19_Расчет_аналитики'!BF4607*SUMIF(ThresholdAge02,"&lt;"&amp;'19_Расчет_аналитики'!BF4607,WeightedRevAge02)-SUMIF(ThresholdAge02,"&lt;"&amp;'19_Расчет_аналитики'!BF4607,WeightedMinAge02),MAX(CapacityAge02*'01_Вводные'!$B$218*'19_Расчет_аналитики'!BF4607,MeanMinAge02))),0)</f>
        <v/>
      </c>
      <c r="BG4513">
        <f>IF('01_Вводные'!$B$234="Да",IF(OR('19_Расчет_аналитики'!BG4485=0,2&lt;='01_Вводные'!$B$297),0,'19_Расчет_аналитики'!BG4485*IF('01_Вводные'!$B$239="Да",MeanMinAge02+'19_Расчет_аналитики'!BG4607*SUMIF(ThresholdAge02,"&lt;"&amp;'19_Расчет_аналитики'!BG4607,WeightedRevAge02)-SUMIF(ThresholdAge02,"&lt;"&amp;'19_Расчет_аналитики'!BG4607,WeightedMinAge02),MAX(CapacityAge02*'01_Вводные'!$B$218*'19_Расчет_аналитики'!BG4607,MeanMinAge02))),0)</f>
        <v/>
      </c>
      <c r="BH4513">
        <f>IF('01_Вводные'!$B$234="Да",IF(OR('19_Расчет_аналитики'!BH4485=0,2&lt;='01_Вводные'!$B$297),0,'19_Расчет_аналитики'!BH4485*IF('01_Вводные'!$B$239="Да",MeanMinAge02+'19_Расчет_аналитики'!BH4607*SUMIF(ThresholdAge02,"&lt;"&amp;'19_Расчет_аналитики'!BH4607,WeightedRevAge02)-SUMIF(ThresholdAge02,"&lt;"&amp;'19_Расчет_аналитики'!BH4607,WeightedMinAge02),MAX(CapacityAge02*'01_Вводные'!$B$218*'19_Расчет_аналитики'!BH4607,MeanMinAge02))),0)</f>
        <v/>
      </c>
      <c r="BI4513">
        <f>IF('01_Вводные'!$B$234="Да",IF(OR('19_Расчет_аналитики'!BI4485=0,2&lt;='01_Вводные'!$B$297),0,'19_Расчет_аналитики'!BI4485*IF('01_Вводные'!$B$239="Да",MeanMinAge02+'19_Расчет_аналитики'!BI4607*SUMIF(ThresholdAge02,"&lt;"&amp;'19_Расчет_аналитики'!BI4607,WeightedRevAge02)-SUMIF(ThresholdAge02,"&lt;"&amp;'19_Расчет_аналитики'!BI4607,WeightedMinAge02),MAX(CapacityAge02*'01_Вводные'!$B$218*'19_Расчет_аналитики'!BI4607,MeanMinAge02))),0)</f>
        <v/>
      </c>
      <c r="BJ4513">
        <f>IF('01_Вводные'!$B$234="Да",IF(OR('19_Расчет_аналитики'!BJ4485=0,2&lt;='01_Вводные'!$B$297),0,'19_Расчет_аналитики'!BJ4485*IF('01_Вводные'!$B$239="Да",MeanMinAge02+'19_Расчет_аналитики'!BJ4607*SUMIF(ThresholdAge02,"&lt;"&amp;'19_Расчет_аналитики'!BJ4607,WeightedRevAge02)-SUMIF(ThresholdAge02,"&lt;"&amp;'19_Расчет_аналитики'!BJ4607,WeightedMinAge02),MAX(CapacityAge02*'01_Вводные'!$B$218*'19_Расчет_аналитики'!BJ4607,MeanMinAge02))),0)</f>
        <v/>
      </c>
      <c r="BK4513">
        <f>IF('01_Вводные'!$B$234="Да",IF(OR('19_Расчет_аналитики'!BK4485=0,2&lt;='01_Вводные'!$B$297),0,'19_Расчет_аналитики'!BK4485*IF('01_Вводные'!$B$239="Да",MeanMinAge02+'19_Расчет_аналитики'!BK4607*SUMIF(ThresholdAge02,"&lt;"&amp;'19_Расчет_аналитики'!BK4607,WeightedRevAge02)-SUMIF(ThresholdAge02,"&lt;"&amp;'19_Расчет_аналитики'!BK4607,WeightedMinAge02),MAX(CapacityAge02*'01_Вводные'!$B$218*'19_Расчет_аналитики'!BK4607,MeanMinAge02))),0)</f>
        <v/>
      </c>
      <c r="BL4513">
        <f>IF('01_Вводные'!$B$234="Да",IF(OR('19_Расчет_аналитики'!BL4485=0,2&lt;='01_Вводные'!$B$297),0,'19_Расчет_аналитики'!BL4485*IF('01_Вводные'!$B$239="Да",MeanMinAge02+'19_Расчет_аналитики'!BL4607*SUMIF(ThresholdAge02,"&lt;"&amp;'19_Расчет_аналитики'!BL4607,WeightedRevAge02)-SUMIF(ThresholdAge02,"&lt;"&amp;'19_Расчет_аналитики'!BL4607,WeightedMinAge02),MAX(CapacityAge02*'01_Вводные'!$B$218*'19_Расчет_аналитики'!BL4607,MeanMinAge02))),0)</f>
        <v/>
      </c>
      <c r="BM4513">
        <f>IF('01_Вводные'!$B$234="Да",IF(OR('19_Расчет_аналитики'!BM4485=0,2&lt;='01_Вводные'!$B$297),0,'19_Расчет_аналитики'!BM4485*IF('01_Вводные'!$B$239="Да",MeanMinAge02+'19_Расчет_аналитики'!BM4607*SUMIF(ThresholdAge02,"&lt;"&amp;'19_Расчет_аналитики'!BM4607,WeightedRevAge02)-SUMIF(ThresholdAge02,"&lt;"&amp;'19_Расчет_аналитики'!BM4607,WeightedMinAge02),MAX(CapacityAge02*'01_Вводные'!$B$218*'19_Расчет_аналитики'!BM4607,MeanMinAge02))),0)</f>
        <v/>
      </c>
      <c r="BN4513">
        <f>IF('01_Вводные'!$B$234="Да",IF(OR('19_Расчет_аналитики'!BN4485=0,2&lt;='01_Вводные'!$B$297),0,'19_Расчет_аналитики'!BN4485*IF('01_Вводные'!$B$239="Да",MeanMinAge02+'19_Расчет_аналитики'!BN4607*SUMIF(ThresholdAge02,"&lt;"&amp;'19_Расчет_аналитики'!BN4607,WeightedRevAge02)-SUMIF(ThresholdAge02,"&lt;"&amp;'19_Расчет_аналитики'!BN4607,WeightedMinAge02),MAX(CapacityAge02*'01_Вводные'!$B$218*'19_Расчет_аналитики'!BN4607,MeanMinAge02))),0)</f>
        <v/>
      </c>
      <c r="BO4513">
        <f>IF('01_Вводные'!$B$234="Да",IF(OR('19_Расчет_аналитики'!BO4485=0,2&lt;='01_Вводные'!$B$297),0,'19_Расчет_аналитики'!BO4485*IF('01_Вводные'!$B$239="Да",MeanMinAge02+'19_Расчет_аналитики'!BO4607*SUMIF(ThresholdAge02,"&lt;"&amp;'19_Расчет_аналитики'!BO4607,WeightedRevAge02)-SUMIF(ThresholdAge02,"&lt;"&amp;'19_Расчет_аналитики'!BO4607,WeightedMinAge02),MAX(CapacityAge02*'01_Вводные'!$B$218*'19_Расчет_аналитики'!BO4607,MeanMinAge02))),0)</f>
        <v/>
      </c>
    </row>
    <row r="4514">
      <c r="B4514">
        <f>IF('01_Вводные'!$B$234="Да",IF(OR('06_Сеть_и_дети'!B83=0,3&lt;='01_Вводные'!$B$297),0,'06_Сеть_и_дети'!B83*IF('01_Вводные'!$B$239="Да",MeanMinAge03+'19_Расчет_аналитики'!B4607*SUMIF(ThresholdAge03,"&lt;"&amp;'19_Расчет_аналитики'!B4607,WeightedRevAge03)-SUMIF(ThresholdAge03,"&lt;"&amp;'19_Расчет_аналитики'!B4607,WeightedMinAge03),MAX(CapacityAge03*'01_Вводные'!$B$218*'19_Расчет_аналитики'!B4607,MeanMinAge03))),0)</f>
        <v/>
      </c>
      <c r="C4514">
        <f>IF('01_Вводные'!$B$234="Да",IF(OR('06_Сеть_и_дети'!C83=0,3&lt;='01_Вводные'!$B$297),0,'06_Сеть_и_дети'!C83*IF('01_Вводные'!$B$239="Да",MeanMinAge03+'19_Расчет_аналитики'!C4607*SUMIF(ThresholdAge03,"&lt;"&amp;'19_Расчет_аналитики'!C4607,WeightedRevAge03)-SUMIF(ThresholdAge03,"&lt;"&amp;'19_Расчет_аналитики'!C4607,WeightedMinAge03),MAX(CapacityAge03*'01_Вводные'!$B$218*'19_Расчет_аналитики'!C4607,MeanMinAge03))),0)</f>
        <v/>
      </c>
      <c r="D4514">
        <f>IF('01_Вводные'!$B$234="Да",IF(OR('19_Расчет_аналитики'!D4486=0,3&lt;='01_Вводные'!$B$297),0,'19_Расчет_аналитики'!D4486*IF('01_Вводные'!$B$239="Да",MeanMinAge03+'19_Расчет_аналитики'!D4607*SUMIF(ThresholdAge03,"&lt;"&amp;'19_Расчет_аналитики'!D4607,WeightedRevAge03)-SUMIF(ThresholdAge03,"&lt;"&amp;'19_Расчет_аналитики'!D4607,WeightedMinAge03),MAX(CapacityAge03*'01_Вводные'!$B$218*'19_Расчет_аналитики'!D4607,MeanMinAge03))),0)</f>
        <v/>
      </c>
      <c r="E4514">
        <f>IF('01_Вводные'!$B$234="Да",IF(OR('19_Расчет_аналитики'!E4486=0,3&lt;='01_Вводные'!$B$297),0,'19_Расчет_аналитики'!E4486*IF('01_Вводные'!$B$239="Да",MeanMinAge03+'19_Расчет_аналитики'!E4607*SUMIF(ThresholdAge03,"&lt;"&amp;'19_Расчет_аналитики'!E4607,WeightedRevAge03)-SUMIF(ThresholdAge03,"&lt;"&amp;'19_Расчет_аналитики'!E4607,WeightedMinAge03),MAX(CapacityAge03*'01_Вводные'!$B$218*'19_Расчет_аналитики'!E4607,MeanMinAge03))),0)</f>
        <v/>
      </c>
      <c r="F4514">
        <f>IF('01_Вводные'!$B$234="Да",IF(OR('19_Расчет_аналитики'!F4486=0,3&lt;='01_Вводные'!$B$297),0,'19_Расчет_аналитики'!F4486*IF('01_Вводные'!$B$239="Да",MeanMinAge03+'19_Расчет_аналитики'!F4607*SUMIF(ThresholdAge03,"&lt;"&amp;'19_Расчет_аналитики'!F4607,WeightedRevAge03)-SUMIF(ThresholdAge03,"&lt;"&amp;'19_Расчет_аналитики'!F4607,WeightedMinAge03),MAX(CapacityAge03*'01_Вводные'!$B$218*'19_Расчет_аналитики'!F4607,MeanMinAge03))),0)</f>
        <v/>
      </c>
      <c r="G4514">
        <f>IF('01_Вводные'!$B$234="Да",IF(OR('19_Расчет_аналитики'!G4486=0,3&lt;='01_Вводные'!$B$297),0,'19_Расчет_аналитики'!G4486*IF('01_Вводные'!$B$239="Да",MeanMinAge03+'19_Расчет_аналитики'!G4607*SUMIF(ThresholdAge03,"&lt;"&amp;'19_Расчет_аналитики'!G4607,WeightedRevAge03)-SUMIF(ThresholdAge03,"&lt;"&amp;'19_Расчет_аналитики'!G4607,WeightedMinAge03),MAX(CapacityAge03*'01_Вводные'!$B$218*'19_Расчет_аналитики'!G4607,MeanMinAge03))),0)</f>
        <v/>
      </c>
      <c r="H4514">
        <f>IF('01_Вводные'!$B$234="Да",IF(OR('19_Расчет_аналитики'!H4486=0,3&lt;='01_Вводные'!$B$297),0,'19_Расчет_аналитики'!H4486*IF('01_Вводные'!$B$239="Да",MeanMinAge03+'19_Расчет_аналитики'!H4607*SUMIF(ThresholdAge03,"&lt;"&amp;'19_Расчет_аналитики'!H4607,WeightedRevAge03)-SUMIF(ThresholdAge03,"&lt;"&amp;'19_Расчет_аналитики'!H4607,WeightedMinAge03),MAX(CapacityAge03*'01_Вводные'!$B$218*'19_Расчет_аналитики'!H4607,MeanMinAge03))),0)</f>
        <v/>
      </c>
      <c r="I4514">
        <f>IF('01_Вводные'!$B$234="Да",IF(OR('19_Расчет_аналитики'!I4486=0,3&lt;='01_Вводные'!$B$297),0,'19_Расчет_аналитики'!I4486*IF('01_Вводные'!$B$239="Да",MeanMinAge03+'19_Расчет_аналитики'!I4607*SUMIF(ThresholdAge03,"&lt;"&amp;'19_Расчет_аналитики'!I4607,WeightedRevAge03)-SUMIF(ThresholdAge03,"&lt;"&amp;'19_Расчет_аналитики'!I4607,WeightedMinAge03),MAX(CapacityAge03*'01_Вводные'!$B$218*'19_Расчет_аналитики'!I4607,MeanMinAge03))),0)</f>
        <v/>
      </c>
      <c r="J4514">
        <f>IF('01_Вводные'!$B$234="Да",IF(OR('19_Расчет_аналитики'!J4486=0,3&lt;='01_Вводные'!$B$297),0,'19_Расчет_аналитики'!J4486*IF('01_Вводные'!$B$239="Да",MeanMinAge03+'19_Расчет_аналитики'!J4607*SUMIF(ThresholdAge03,"&lt;"&amp;'19_Расчет_аналитики'!J4607,WeightedRevAge03)-SUMIF(ThresholdAge03,"&lt;"&amp;'19_Расчет_аналитики'!J4607,WeightedMinAge03),MAX(CapacityAge03*'01_Вводные'!$B$218*'19_Расчет_аналитики'!J4607,MeanMinAge03))),0)</f>
        <v/>
      </c>
      <c r="K4514">
        <f>IF('01_Вводные'!$B$234="Да",IF(OR('19_Расчет_аналитики'!K4486=0,3&lt;='01_Вводные'!$B$297),0,'19_Расчет_аналитики'!K4486*IF('01_Вводные'!$B$239="Да",MeanMinAge03+'19_Расчет_аналитики'!K4607*SUMIF(ThresholdAge03,"&lt;"&amp;'19_Расчет_аналитики'!K4607,WeightedRevAge03)-SUMIF(ThresholdAge03,"&lt;"&amp;'19_Расчет_аналитики'!K4607,WeightedMinAge03),MAX(CapacityAge03*'01_Вводные'!$B$218*'19_Расчет_аналитики'!K4607,MeanMinAge03))),0)</f>
        <v/>
      </c>
      <c r="L4514">
        <f>IF('01_Вводные'!$B$234="Да",IF(OR('19_Расчет_аналитики'!L4486=0,3&lt;='01_Вводные'!$B$297),0,'19_Расчет_аналитики'!L4486*IF('01_Вводные'!$B$239="Да",MeanMinAge03+'19_Расчет_аналитики'!L4607*SUMIF(ThresholdAge03,"&lt;"&amp;'19_Расчет_аналитики'!L4607,WeightedRevAge03)-SUMIF(ThresholdAge03,"&lt;"&amp;'19_Расчет_аналитики'!L4607,WeightedMinAge03),MAX(CapacityAge03*'01_Вводные'!$B$218*'19_Расчет_аналитики'!L4607,MeanMinAge03))),0)</f>
        <v/>
      </c>
      <c r="M4514">
        <f>IF('01_Вводные'!$B$234="Да",IF(OR('19_Расчет_аналитики'!M4486=0,3&lt;='01_Вводные'!$B$297),0,'19_Расчет_аналитики'!M4486*IF('01_Вводные'!$B$239="Да",MeanMinAge03+'19_Расчет_аналитики'!M4607*SUMIF(ThresholdAge03,"&lt;"&amp;'19_Расчет_аналитики'!M4607,WeightedRevAge03)-SUMIF(ThresholdAge03,"&lt;"&amp;'19_Расчет_аналитики'!M4607,WeightedMinAge03),MAX(CapacityAge03*'01_Вводные'!$B$218*'19_Расчет_аналитики'!M4607,MeanMinAge03))),0)</f>
        <v/>
      </c>
      <c r="N4514">
        <f>IF('01_Вводные'!$B$234="Да",IF(OR('19_Расчет_аналитики'!N4486=0,3&lt;='01_Вводные'!$B$297),0,'19_Расчет_аналитики'!N4486*IF('01_Вводные'!$B$239="Да",MeanMinAge03+'19_Расчет_аналитики'!N4607*SUMIF(ThresholdAge03,"&lt;"&amp;'19_Расчет_аналитики'!N4607,WeightedRevAge03)-SUMIF(ThresholdAge03,"&lt;"&amp;'19_Расчет_аналитики'!N4607,WeightedMinAge03),MAX(CapacityAge03*'01_Вводные'!$B$218*'19_Расчет_аналитики'!N4607,MeanMinAge03))),0)</f>
        <v/>
      </c>
      <c r="O4514">
        <f>IF('01_Вводные'!$B$234="Да",IF(OR('19_Расчет_аналитики'!O4486=0,3&lt;='01_Вводные'!$B$297),0,'19_Расчет_аналитики'!O4486*IF('01_Вводные'!$B$239="Да",MeanMinAge03+'19_Расчет_аналитики'!O4607*SUMIF(ThresholdAge03,"&lt;"&amp;'19_Расчет_аналитики'!O4607,WeightedRevAge03)-SUMIF(ThresholdAge03,"&lt;"&amp;'19_Расчет_аналитики'!O4607,WeightedMinAge03),MAX(CapacityAge03*'01_Вводные'!$B$218*'19_Расчет_аналитики'!O4607,MeanMinAge03))),0)</f>
        <v/>
      </c>
      <c r="P4514">
        <f>IF('01_Вводные'!$B$234="Да",IF(OR('19_Расчет_аналитики'!P4486=0,3&lt;='01_Вводные'!$B$297),0,'19_Расчет_аналитики'!P4486*IF('01_Вводные'!$B$239="Да",MeanMinAge03+'19_Расчет_аналитики'!P4607*SUMIF(ThresholdAge03,"&lt;"&amp;'19_Расчет_аналитики'!P4607,WeightedRevAge03)-SUMIF(ThresholdAge03,"&lt;"&amp;'19_Расчет_аналитики'!P4607,WeightedMinAge03),MAX(CapacityAge03*'01_Вводные'!$B$218*'19_Расчет_аналитики'!P4607,MeanMinAge03))),0)</f>
        <v/>
      </c>
      <c r="Q4514">
        <f>IF('01_Вводные'!$B$234="Да",IF(OR('19_Расчет_аналитики'!Q4486=0,3&lt;='01_Вводные'!$B$297),0,'19_Расчет_аналитики'!Q4486*IF('01_Вводные'!$B$239="Да",MeanMinAge03+'19_Расчет_аналитики'!Q4607*SUMIF(ThresholdAge03,"&lt;"&amp;'19_Расчет_аналитики'!Q4607,WeightedRevAge03)-SUMIF(ThresholdAge03,"&lt;"&amp;'19_Расчет_аналитики'!Q4607,WeightedMinAge03),MAX(CapacityAge03*'01_Вводные'!$B$218*'19_Расчет_аналитики'!Q4607,MeanMinAge03))),0)</f>
        <v/>
      </c>
      <c r="R4514">
        <f>IF('01_Вводные'!$B$234="Да",IF(OR('19_Расчет_аналитики'!R4486=0,3&lt;='01_Вводные'!$B$297),0,'19_Расчет_аналитики'!R4486*IF('01_Вводные'!$B$239="Да",MeanMinAge03+'19_Расчет_аналитики'!R4607*SUMIF(ThresholdAge03,"&lt;"&amp;'19_Расчет_аналитики'!R4607,WeightedRevAge03)-SUMIF(ThresholdAge03,"&lt;"&amp;'19_Расчет_аналитики'!R4607,WeightedMinAge03),MAX(CapacityAge03*'01_Вводные'!$B$218*'19_Расчет_аналитики'!R4607,MeanMinAge03))),0)</f>
        <v/>
      </c>
      <c r="S4514">
        <f>IF('01_Вводные'!$B$234="Да",IF(OR('19_Расчет_аналитики'!S4486=0,3&lt;='01_Вводные'!$B$297),0,'19_Расчет_аналитики'!S4486*IF('01_Вводные'!$B$239="Да",MeanMinAge03+'19_Расчет_аналитики'!S4607*SUMIF(ThresholdAge03,"&lt;"&amp;'19_Расчет_аналитики'!S4607,WeightedRevAge03)-SUMIF(ThresholdAge03,"&lt;"&amp;'19_Расчет_аналитики'!S4607,WeightedMinAge03),MAX(CapacityAge03*'01_Вводные'!$B$218*'19_Расчет_аналитики'!S4607,MeanMinAge03))),0)</f>
        <v/>
      </c>
      <c r="T4514">
        <f>IF('01_Вводные'!$B$234="Да",IF(OR('19_Расчет_аналитики'!T4486=0,3&lt;='01_Вводные'!$B$297),0,'19_Расчет_аналитики'!T4486*IF('01_Вводные'!$B$239="Да",MeanMinAge03+'19_Расчет_аналитики'!T4607*SUMIF(ThresholdAge03,"&lt;"&amp;'19_Расчет_аналитики'!T4607,WeightedRevAge03)-SUMIF(ThresholdAge03,"&lt;"&amp;'19_Расчет_аналитики'!T4607,WeightedMinAge03),MAX(CapacityAge03*'01_Вводные'!$B$218*'19_Расчет_аналитики'!T4607,MeanMinAge03))),0)</f>
        <v/>
      </c>
      <c r="U4514">
        <f>IF('01_Вводные'!$B$234="Да",IF(OR('19_Расчет_аналитики'!U4486=0,3&lt;='01_Вводные'!$B$297),0,'19_Расчет_аналитики'!U4486*IF('01_Вводные'!$B$239="Да",MeanMinAge03+'19_Расчет_аналитики'!U4607*SUMIF(ThresholdAge03,"&lt;"&amp;'19_Расчет_аналитики'!U4607,WeightedRevAge03)-SUMIF(ThresholdAge03,"&lt;"&amp;'19_Расчет_аналитики'!U4607,WeightedMinAge03),MAX(CapacityAge03*'01_Вводные'!$B$218*'19_Расчет_аналитики'!U4607,MeanMinAge03))),0)</f>
        <v/>
      </c>
      <c r="V4514">
        <f>IF('01_Вводные'!$B$234="Да",IF(OR('19_Расчет_аналитики'!V4486=0,3&lt;='01_Вводные'!$B$297),0,'19_Расчет_аналитики'!V4486*IF('01_Вводные'!$B$239="Да",MeanMinAge03+'19_Расчет_аналитики'!V4607*SUMIF(ThresholdAge03,"&lt;"&amp;'19_Расчет_аналитики'!V4607,WeightedRevAge03)-SUMIF(ThresholdAge03,"&lt;"&amp;'19_Расчет_аналитики'!V4607,WeightedMinAge03),MAX(CapacityAge03*'01_Вводные'!$B$218*'19_Расчет_аналитики'!V4607,MeanMinAge03))),0)</f>
        <v/>
      </c>
      <c r="W4514">
        <f>IF('01_Вводные'!$B$234="Да",IF(OR('19_Расчет_аналитики'!W4486=0,3&lt;='01_Вводные'!$B$297),0,'19_Расчет_аналитики'!W4486*IF('01_Вводные'!$B$239="Да",MeanMinAge03+'19_Расчет_аналитики'!W4607*SUMIF(ThresholdAge03,"&lt;"&amp;'19_Расчет_аналитики'!W4607,WeightedRevAge03)-SUMIF(ThresholdAge03,"&lt;"&amp;'19_Расчет_аналитики'!W4607,WeightedMinAge03),MAX(CapacityAge03*'01_Вводные'!$B$218*'19_Расчет_аналитики'!W4607,MeanMinAge03))),0)</f>
        <v/>
      </c>
      <c r="X4514">
        <f>IF('01_Вводные'!$B$234="Да",IF(OR('19_Расчет_аналитики'!X4486=0,3&lt;='01_Вводные'!$B$297),0,'19_Расчет_аналитики'!X4486*IF('01_Вводные'!$B$239="Да",MeanMinAge03+'19_Расчет_аналитики'!X4607*SUMIF(ThresholdAge03,"&lt;"&amp;'19_Расчет_аналитики'!X4607,WeightedRevAge03)-SUMIF(ThresholdAge03,"&lt;"&amp;'19_Расчет_аналитики'!X4607,WeightedMinAge03),MAX(CapacityAge03*'01_Вводные'!$B$218*'19_Расчет_аналитики'!X4607,MeanMinAge03))),0)</f>
        <v/>
      </c>
      <c r="Y4514">
        <f>IF('01_Вводные'!$B$234="Да",IF(OR('19_Расчет_аналитики'!Y4486=0,3&lt;='01_Вводные'!$B$297),0,'19_Расчет_аналитики'!Y4486*IF('01_Вводные'!$B$239="Да",MeanMinAge03+'19_Расчет_аналитики'!Y4607*SUMIF(ThresholdAge03,"&lt;"&amp;'19_Расчет_аналитики'!Y4607,WeightedRevAge03)-SUMIF(ThresholdAge03,"&lt;"&amp;'19_Расчет_аналитики'!Y4607,WeightedMinAge03),MAX(CapacityAge03*'01_Вводные'!$B$218*'19_Расчет_аналитики'!Y4607,MeanMinAge03))),0)</f>
        <v/>
      </c>
      <c r="Z4514">
        <f>IF('01_Вводные'!$B$234="Да",IF(OR('19_Расчет_аналитики'!Z4486=0,3&lt;='01_Вводные'!$B$297),0,'19_Расчет_аналитики'!Z4486*IF('01_Вводные'!$B$239="Да",MeanMinAge03+'19_Расчет_аналитики'!Z4607*SUMIF(ThresholdAge03,"&lt;"&amp;'19_Расчет_аналитики'!Z4607,WeightedRevAge03)-SUMIF(ThresholdAge03,"&lt;"&amp;'19_Расчет_аналитики'!Z4607,WeightedMinAge03),MAX(CapacityAge03*'01_Вводные'!$B$218*'19_Расчет_аналитики'!Z4607,MeanMinAge03))),0)</f>
        <v/>
      </c>
      <c r="AA4514">
        <f>IF('01_Вводные'!$B$234="Да",IF(OR('19_Расчет_аналитики'!AA4486=0,3&lt;='01_Вводные'!$B$297),0,'19_Расчет_аналитики'!AA4486*IF('01_Вводные'!$B$239="Да",MeanMinAge03+'19_Расчет_аналитики'!AA4607*SUMIF(ThresholdAge03,"&lt;"&amp;'19_Расчет_аналитики'!AA4607,WeightedRevAge03)-SUMIF(ThresholdAge03,"&lt;"&amp;'19_Расчет_аналитики'!AA4607,WeightedMinAge03),MAX(CapacityAge03*'01_Вводные'!$B$218*'19_Расчет_аналитики'!AA4607,MeanMinAge03))),0)</f>
        <v/>
      </c>
      <c r="AB4514">
        <f>IF('01_Вводные'!$B$234="Да",IF(OR('19_Расчет_аналитики'!AB4486=0,3&lt;='01_Вводные'!$B$297),0,'19_Расчет_аналитики'!AB4486*IF('01_Вводные'!$B$239="Да",MeanMinAge03+'19_Расчет_аналитики'!AB4607*SUMIF(ThresholdAge03,"&lt;"&amp;'19_Расчет_аналитики'!AB4607,WeightedRevAge03)-SUMIF(ThresholdAge03,"&lt;"&amp;'19_Расчет_аналитики'!AB4607,WeightedMinAge03),MAX(CapacityAge03*'01_Вводные'!$B$218*'19_Расчет_аналитики'!AB4607,MeanMinAge03))),0)</f>
        <v/>
      </c>
      <c r="AC4514">
        <f>IF('01_Вводные'!$B$234="Да",IF(OR('19_Расчет_аналитики'!AC4486=0,3&lt;='01_Вводные'!$B$297),0,'19_Расчет_аналитики'!AC4486*IF('01_Вводные'!$B$239="Да",MeanMinAge03+'19_Расчет_аналитики'!AC4607*SUMIF(ThresholdAge03,"&lt;"&amp;'19_Расчет_аналитики'!AC4607,WeightedRevAge03)-SUMIF(ThresholdAge03,"&lt;"&amp;'19_Расчет_аналитики'!AC4607,WeightedMinAge03),MAX(CapacityAge03*'01_Вводные'!$B$218*'19_Расчет_аналитики'!AC4607,MeanMinAge03))),0)</f>
        <v/>
      </c>
      <c r="AD4514">
        <f>IF('01_Вводные'!$B$234="Да",IF(OR('19_Расчет_аналитики'!AD4486=0,3&lt;='01_Вводные'!$B$297),0,'19_Расчет_аналитики'!AD4486*IF('01_Вводные'!$B$239="Да",MeanMinAge03+'19_Расчет_аналитики'!AD4607*SUMIF(ThresholdAge03,"&lt;"&amp;'19_Расчет_аналитики'!AD4607,WeightedRevAge03)-SUMIF(ThresholdAge03,"&lt;"&amp;'19_Расчет_аналитики'!AD4607,WeightedMinAge03),MAX(CapacityAge03*'01_Вводные'!$B$218*'19_Расчет_аналитики'!AD4607,MeanMinAge03))),0)</f>
        <v/>
      </c>
      <c r="AE4514">
        <f>IF('01_Вводные'!$B$234="Да",IF(OR('19_Расчет_аналитики'!AE4486=0,3&lt;='01_Вводные'!$B$297),0,'19_Расчет_аналитики'!AE4486*IF('01_Вводные'!$B$239="Да",MeanMinAge03+'19_Расчет_аналитики'!AE4607*SUMIF(ThresholdAge03,"&lt;"&amp;'19_Расчет_аналитики'!AE4607,WeightedRevAge03)-SUMIF(ThresholdAge03,"&lt;"&amp;'19_Расчет_аналитики'!AE4607,WeightedMinAge03),MAX(CapacityAge03*'01_Вводные'!$B$218*'19_Расчет_аналитики'!AE4607,MeanMinAge03))),0)</f>
        <v/>
      </c>
      <c r="AF4514">
        <f>IF('01_Вводные'!$B$234="Да",IF(OR('19_Расчет_аналитики'!AF4486=0,3&lt;='01_Вводные'!$B$297),0,'19_Расчет_аналитики'!AF4486*IF('01_Вводные'!$B$239="Да",MeanMinAge03+'19_Расчет_аналитики'!AF4607*SUMIF(ThresholdAge03,"&lt;"&amp;'19_Расчет_аналитики'!AF4607,WeightedRevAge03)-SUMIF(ThresholdAge03,"&lt;"&amp;'19_Расчет_аналитики'!AF4607,WeightedMinAge03),MAX(CapacityAge03*'01_Вводные'!$B$218*'19_Расчет_аналитики'!AF4607,MeanMinAge03))),0)</f>
        <v/>
      </c>
      <c r="AG4514">
        <f>IF('01_Вводные'!$B$234="Да",IF(OR('19_Расчет_аналитики'!AG4486=0,3&lt;='01_Вводные'!$B$297),0,'19_Расчет_аналитики'!AG4486*IF('01_Вводные'!$B$239="Да",MeanMinAge03+'19_Расчет_аналитики'!AG4607*SUMIF(ThresholdAge03,"&lt;"&amp;'19_Расчет_аналитики'!AG4607,WeightedRevAge03)-SUMIF(ThresholdAge03,"&lt;"&amp;'19_Расчет_аналитики'!AG4607,WeightedMinAge03),MAX(CapacityAge03*'01_Вводные'!$B$218*'19_Расчет_аналитики'!AG4607,MeanMinAge03))),0)</f>
        <v/>
      </c>
      <c r="AH4514">
        <f>IF('01_Вводные'!$B$234="Да",IF(OR('19_Расчет_аналитики'!AH4486=0,3&lt;='01_Вводные'!$B$297),0,'19_Расчет_аналитики'!AH4486*IF('01_Вводные'!$B$239="Да",MeanMinAge03+'19_Расчет_аналитики'!AH4607*SUMIF(ThresholdAge03,"&lt;"&amp;'19_Расчет_аналитики'!AH4607,WeightedRevAge03)-SUMIF(ThresholdAge03,"&lt;"&amp;'19_Расчет_аналитики'!AH4607,WeightedMinAge03),MAX(CapacityAge03*'01_Вводные'!$B$218*'19_Расчет_аналитики'!AH4607,MeanMinAge03))),0)</f>
        <v/>
      </c>
      <c r="AI4514">
        <f>IF('01_Вводные'!$B$234="Да",IF(OR('19_Расчет_аналитики'!AI4486=0,3&lt;='01_Вводные'!$B$297),0,'19_Расчет_аналитики'!AI4486*IF('01_Вводные'!$B$239="Да",MeanMinAge03+'19_Расчет_аналитики'!AI4607*SUMIF(ThresholdAge03,"&lt;"&amp;'19_Расчет_аналитики'!AI4607,WeightedRevAge03)-SUMIF(ThresholdAge03,"&lt;"&amp;'19_Расчет_аналитики'!AI4607,WeightedMinAge03),MAX(CapacityAge03*'01_Вводные'!$B$218*'19_Расчет_аналитики'!AI4607,MeanMinAge03))),0)</f>
        <v/>
      </c>
      <c r="AJ4514">
        <f>IF('01_Вводные'!$B$234="Да",IF(OR('19_Расчет_аналитики'!AJ4486=0,3&lt;='01_Вводные'!$B$297),0,'19_Расчет_аналитики'!AJ4486*IF('01_Вводные'!$B$239="Да",MeanMinAge03+'19_Расчет_аналитики'!AJ4607*SUMIF(ThresholdAge03,"&lt;"&amp;'19_Расчет_аналитики'!AJ4607,WeightedRevAge03)-SUMIF(ThresholdAge03,"&lt;"&amp;'19_Расчет_аналитики'!AJ4607,WeightedMinAge03),MAX(CapacityAge03*'01_Вводные'!$B$218*'19_Расчет_аналитики'!AJ4607,MeanMinAge03))),0)</f>
        <v/>
      </c>
      <c r="AK4514">
        <f>IF('01_Вводные'!$B$234="Да",IF(OR('19_Расчет_аналитики'!AK4486=0,3&lt;='01_Вводные'!$B$297),0,'19_Расчет_аналитики'!AK4486*IF('01_Вводные'!$B$239="Да",MeanMinAge03+'19_Расчет_аналитики'!AK4607*SUMIF(ThresholdAge03,"&lt;"&amp;'19_Расчет_аналитики'!AK4607,WeightedRevAge03)-SUMIF(ThresholdAge03,"&lt;"&amp;'19_Расчет_аналитики'!AK4607,WeightedMinAge03),MAX(CapacityAge03*'01_Вводные'!$B$218*'19_Расчет_аналитики'!AK4607,MeanMinAge03))),0)</f>
        <v/>
      </c>
      <c r="AL4514">
        <f>IF('01_Вводные'!$B$234="Да",IF(OR('19_Расчет_аналитики'!AL4486=0,3&lt;='01_Вводные'!$B$297),0,'19_Расчет_аналитики'!AL4486*IF('01_Вводные'!$B$239="Да",MeanMinAge03+'19_Расчет_аналитики'!AL4607*SUMIF(ThresholdAge03,"&lt;"&amp;'19_Расчет_аналитики'!AL4607,WeightedRevAge03)-SUMIF(ThresholdAge03,"&lt;"&amp;'19_Расчет_аналитики'!AL4607,WeightedMinAge03),MAX(CapacityAge03*'01_Вводные'!$B$218*'19_Расчет_аналитики'!AL4607,MeanMinAge03))),0)</f>
        <v/>
      </c>
      <c r="AM4514">
        <f>IF('01_Вводные'!$B$234="Да",IF(OR('19_Расчет_аналитики'!AM4486=0,3&lt;='01_Вводные'!$B$297),0,'19_Расчет_аналитики'!AM4486*IF('01_Вводные'!$B$239="Да",MeanMinAge03+'19_Расчет_аналитики'!AM4607*SUMIF(ThresholdAge03,"&lt;"&amp;'19_Расчет_аналитики'!AM4607,WeightedRevAge03)-SUMIF(ThresholdAge03,"&lt;"&amp;'19_Расчет_аналитики'!AM4607,WeightedMinAge03),MAX(CapacityAge03*'01_Вводные'!$B$218*'19_Расчет_аналитики'!AM4607,MeanMinAge03))),0)</f>
        <v/>
      </c>
      <c r="AN4514">
        <f>IF('01_Вводные'!$B$234="Да",IF(OR('19_Расчет_аналитики'!AN4486=0,3&lt;='01_Вводные'!$B$297),0,'19_Расчет_аналитики'!AN4486*IF('01_Вводные'!$B$239="Да",MeanMinAge03+'19_Расчет_аналитики'!AN4607*SUMIF(ThresholdAge03,"&lt;"&amp;'19_Расчет_аналитики'!AN4607,WeightedRevAge03)-SUMIF(ThresholdAge03,"&lt;"&amp;'19_Расчет_аналитики'!AN4607,WeightedMinAge03),MAX(CapacityAge03*'01_Вводные'!$B$218*'19_Расчет_аналитики'!AN4607,MeanMinAge03))),0)</f>
        <v/>
      </c>
      <c r="AO4514">
        <f>IF('01_Вводные'!$B$234="Да",IF(OR('19_Расчет_аналитики'!AO4486=0,3&lt;='01_Вводные'!$B$297),0,'19_Расчет_аналитики'!AO4486*IF('01_Вводные'!$B$239="Да",MeanMinAge03+'19_Расчет_аналитики'!AO4607*SUMIF(ThresholdAge03,"&lt;"&amp;'19_Расчет_аналитики'!AO4607,WeightedRevAge03)-SUMIF(ThresholdAge03,"&lt;"&amp;'19_Расчет_аналитики'!AO4607,WeightedMinAge03),MAX(CapacityAge03*'01_Вводные'!$B$218*'19_Расчет_аналитики'!AO4607,MeanMinAge03))),0)</f>
        <v/>
      </c>
      <c r="AP4514">
        <f>IF('01_Вводные'!$B$234="Да",IF(OR('19_Расчет_аналитики'!AP4486=0,3&lt;='01_Вводные'!$B$297),0,'19_Расчет_аналитики'!AP4486*IF('01_Вводные'!$B$239="Да",MeanMinAge03+'19_Расчет_аналитики'!AP4607*SUMIF(ThresholdAge03,"&lt;"&amp;'19_Расчет_аналитики'!AP4607,WeightedRevAge03)-SUMIF(ThresholdAge03,"&lt;"&amp;'19_Расчет_аналитики'!AP4607,WeightedMinAge03),MAX(CapacityAge03*'01_Вводные'!$B$218*'19_Расчет_аналитики'!AP4607,MeanMinAge03))),0)</f>
        <v/>
      </c>
      <c r="AQ4514">
        <f>IF('01_Вводные'!$B$234="Да",IF(OR('19_Расчет_аналитики'!AQ4486=0,3&lt;='01_Вводные'!$B$297),0,'19_Расчет_аналитики'!AQ4486*IF('01_Вводные'!$B$239="Да",MeanMinAge03+'19_Расчет_аналитики'!AQ4607*SUMIF(ThresholdAge03,"&lt;"&amp;'19_Расчет_аналитики'!AQ4607,WeightedRevAge03)-SUMIF(ThresholdAge03,"&lt;"&amp;'19_Расчет_аналитики'!AQ4607,WeightedMinAge03),MAX(CapacityAge03*'01_Вводные'!$B$218*'19_Расчет_аналитики'!AQ4607,MeanMinAge03))),0)</f>
        <v/>
      </c>
      <c r="AR4514">
        <f>IF('01_Вводные'!$B$234="Да",IF(OR('19_Расчет_аналитики'!AR4486=0,3&lt;='01_Вводные'!$B$297),0,'19_Расчет_аналитики'!AR4486*IF('01_Вводные'!$B$239="Да",MeanMinAge03+'19_Расчет_аналитики'!AR4607*SUMIF(ThresholdAge03,"&lt;"&amp;'19_Расчет_аналитики'!AR4607,WeightedRevAge03)-SUMIF(ThresholdAge03,"&lt;"&amp;'19_Расчет_аналитики'!AR4607,WeightedMinAge03),MAX(CapacityAge03*'01_Вводные'!$B$218*'19_Расчет_аналитики'!AR4607,MeanMinAge03))),0)</f>
        <v/>
      </c>
      <c r="AS4514">
        <f>IF('01_Вводные'!$B$234="Да",IF(OR('19_Расчет_аналитики'!AS4486=0,3&lt;='01_Вводные'!$B$297),0,'19_Расчет_аналитики'!AS4486*IF('01_Вводные'!$B$239="Да",MeanMinAge03+'19_Расчет_аналитики'!AS4607*SUMIF(ThresholdAge03,"&lt;"&amp;'19_Расчет_аналитики'!AS4607,WeightedRevAge03)-SUMIF(ThresholdAge03,"&lt;"&amp;'19_Расчет_аналитики'!AS4607,WeightedMinAge03),MAX(CapacityAge03*'01_Вводные'!$B$218*'19_Расчет_аналитики'!AS4607,MeanMinAge03))),0)</f>
        <v/>
      </c>
      <c r="AT4514">
        <f>IF('01_Вводные'!$B$234="Да",IF(OR('19_Расчет_аналитики'!AT4486=0,3&lt;='01_Вводные'!$B$297),0,'19_Расчет_аналитики'!AT4486*IF('01_Вводные'!$B$239="Да",MeanMinAge03+'19_Расчет_аналитики'!AT4607*SUMIF(ThresholdAge03,"&lt;"&amp;'19_Расчет_аналитики'!AT4607,WeightedRevAge03)-SUMIF(ThresholdAge03,"&lt;"&amp;'19_Расчет_аналитики'!AT4607,WeightedMinAge03),MAX(CapacityAge03*'01_Вводные'!$B$218*'19_Расчет_аналитики'!AT4607,MeanMinAge03))),0)</f>
        <v/>
      </c>
      <c r="AU4514">
        <f>IF('01_Вводные'!$B$234="Да",IF(OR('19_Расчет_аналитики'!AU4486=0,3&lt;='01_Вводные'!$B$297),0,'19_Расчет_аналитики'!AU4486*IF('01_Вводные'!$B$239="Да",MeanMinAge03+'19_Расчет_аналитики'!AU4607*SUMIF(ThresholdAge03,"&lt;"&amp;'19_Расчет_аналитики'!AU4607,WeightedRevAge03)-SUMIF(ThresholdAge03,"&lt;"&amp;'19_Расчет_аналитики'!AU4607,WeightedMinAge03),MAX(CapacityAge03*'01_Вводные'!$B$218*'19_Расчет_аналитики'!AU4607,MeanMinAge03))),0)</f>
        <v/>
      </c>
      <c r="AV4514">
        <f>IF('01_Вводные'!$B$234="Да",IF(OR('19_Расчет_аналитики'!AV4486=0,3&lt;='01_Вводные'!$B$297),0,'19_Расчет_аналитики'!AV4486*IF('01_Вводные'!$B$239="Да",MeanMinAge03+'19_Расчет_аналитики'!AV4607*SUMIF(ThresholdAge03,"&lt;"&amp;'19_Расчет_аналитики'!AV4607,WeightedRevAge03)-SUMIF(ThresholdAge03,"&lt;"&amp;'19_Расчет_аналитики'!AV4607,WeightedMinAge03),MAX(CapacityAge03*'01_Вводные'!$B$218*'19_Расчет_аналитики'!AV4607,MeanMinAge03))),0)</f>
        <v/>
      </c>
      <c r="AW4514">
        <f>IF('01_Вводные'!$B$234="Да",IF(OR('19_Расчет_аналитики'!AW4486=0,3&lt;='01_Вводные'!$B$297),0,'19_Расчет_аналитики'!AW4486*IF('01_Вводные'!$B$239="Да",MeanMinAge03+'19_Расчет_аналитики'!AW4607*SUMIF(ThresholdAge03,"&lt;"&amp;'19_Расчет_аналитики'!AW4607,WeightedRevAge03)-SUMIF(ThresholdAge03,"&lt;"&amp;'19_Расчет_аналитики'!AW4607,WeightedMinAge03),MAX(CapacityAge03*'01_Вводные'!$B$218*'19_Расчет_аналитики'!AW4607,MeanMinAge03))),0)</f>
        <v/>
      </c>
      <c r="AX4514">
        <f>IF('01_Вводные'!$B$234="Да",IF(OR('19_Расчет_аналитики'!AX4486=0,3&lt;='01_Вводные'!$B$297),0,'19_Расчет_аналитики'!AX4486*IF('01_Вводные'!$B$239="Да",MeanMinAge03+'19_Расчет_аналитики'!AX4607*SUMIF(ThresholdAge03,"&lt;"&amp;'19_Расчет_аналитики'!AX4607,WeightedRevAge03)-SUMIF(ThresholdAge03,"&lt;"&amp;'19_Расчет_аналитики'!AX4607,WeightedMinAge03),MAX(CapacityAge03*'01_Вводные'!$B$218*'19_Расчет_аналитики'!AX4607,MeanMinAge03))),0)</f>
        <v/>
      </c>
      <c r="AY4514">
        <f>IF('01_Вводные'!$B$234="Да",IF(OR('19_Расчет_аналитики'!AY4486=0,3&lt;='01_Вводные'!$B$297),0,'19_Расчет_аналитики'!AY4486*IF('01_Вводные'!$B$239="Да",MeanMinAge03+'19_Расчет_аналитики'!AY4607*SUMIF(ThresholdAge03,"&lt;"&amp;'19_Расчет_аналитики'!AY4607,WeightedRevAge03)-SUMIF(ThresholdAge03,"&lt;"&amp;'19_Расчет_аналитики'!AY4607,WeightedMinAge03),MAX(CapacityAge03*'01_Вводные'!$B$218*'19_Расчет_аналитики'!AY4607,MeanMinAge03))),0)</f>
        <v/>
      </c>
      <c r="AZ4514">
        <f>IF('01_Вводные'!$B$234="Да",IF(OR('19_Расчет_аналитики'!AZ4486=0,3&lt;='01_Вводные'!$B$297),0,'19_Расчет_аналитики'!AZ4486*IF('01_Вводные'!$B$239="Да",MeanMinAge03+'19_Расчет_аналитики'!AZ4607*SUMIF(ThresholdAge03,"&lt;"&amp;'19_Расчет_аналитики'!AZ4607,WeightedRevAge03)-SUMIF(ThresholdAge03,"&lt;"&amp;'19_Расчет_аналитики'!AZ4607,WeightedMinAge03),MAX(CapacityAge03*'01_Вводные'!$B$218*'19_Расчет_аналитики'!AZ4607,MeanMinAge03))),0)</f>
        <v/>
      </c>
      <c r="BA4514">
        <f>IF('01_Вводные'!$B$234="Да",IF(OR('19_Расчет_аналитики'!BA4486=0,3&lt;='01_Вводные'!$B$297),0,'19_Расчет_аналитики'!BA4486*IF('01_Вводные'!$B$239="Да",MeanMinAge03+'19_Расчет_аналитики'!BA4607*SUMIF(ThresholdAge03,"&lt;"&amp;'19_Расчет_аналитики'!BA4607,WeightedRevAge03)-SUMIF(ThresholdAge03,"&lt;"&amp;'19_Расчет_аналитики'!BA4607,WeightedMinAge03),MAX(CapacityAge03*'01_Вводные'!$B$218*'19_Расчет_аналитики'!BA4607,MeanMinAge03))),0)</f>
        <v/>
      </c>
      <c r="BB4514">
        <f>IF('01_Вводные'!$B$234="Да",IF(OR('19_Расчет_аналитики'!BB4486=0,3&lt;='01_Вводные'!$B$297),0,'19_Расчет_аналитики'!BB4486*IF('01_Вводные'!$B$239="Да",MeanMinAge03+'19_Расчет_аналитики'!BB4607*SUMIF(ThresholdAge03,"&lt;"&amp;'19_Расчет_аналитики'!BB4607,WeightedRevAge03)-SUMIF(ThresholdAge03,"&lt;"&amp;'19_Расчет_аналитики'!BB4607,WeightedMinAge03),MAX(CapacityAge03*'01_Вводные'!$B$218*'19_Расчет_аналитики'!BB4607,MeanMinAge03))),0)</f>
        <v/>
      </c>
      <c r="BC4514">
        <f>IF('01_Вводные'!$B$234="Да",IF(OR('19_Расчет_аналитики'!BC4486=0,3&lt;='01_Вводные'!$B$297),0,'19_Расчет_аналитики'!BC4486*IF('01_Вводные'!$B$239="Да",MeanMinAge03+'19_Расчет_аналитики'!BC4607*SUMIF(ThresholdAge03,"&lt;"&amp;'19_Расчет_аналитики'!BC4607,WeightedRevAge03)-SUMIF(ThresholdAge03,"&lt;"&amp;'19_Расчет_аналитики'!BC4607,WeightedMinAge03),MAX(CapacityAge03*'01_Вводные'!$B$218*'19_Расчет_аналитики'!BC4607,MeanMinAge03))),0)</f>
        <v/>
      </c>
      <c r="BD4514">
        <f>IF('01_Вводные'!$B$234="Да",IF(OR('19_Расчет_аналитики'!BD4486=0,3&lt;='01_Вводные'!$B$297),0,'19_Расчет_аналитики'!BD4486*IF('01_Вводные'!$B$239="Да",MeanMinAge03+'19_Расчет_аналитики'!BD4607*SUMIF(ThresholdAge03,"&lt;"&amp;'19_Расчет_аналитики'!BD4607,WeightedRevAge03)-SUMIF(ThresholdAge03,"&lt;"&amp;'19_Расчет_аналитики'!BD4607,WeightedMinAge03),MAX(CapacityAge03*'01_Вводные'!$B$218*'19_Расчет_аналитики'!BD4607,MeanMinAge03))),0)</f>
        <v/>
      </c>
      <c r="BE4514">
        <f>IF('01_Вводные'!$B$234="Да",IF(OR('19_Расчет_аналитики'!BE4486=0,3&lt;='01_Вводные'!$B$297),0,'19_Расчет_аналитики'!BE4486*IF('01_Вводные'!$B$239="Да",MeanMinAge03+'19_Расчет_аналитики'!BE4607*SUMIF(ThresholdAge03,"&lt;"&amp;'19_Расчет_аналитики'!BE4607,WeightedRevAge03)-SUMIF(ThresholdAge03,"&lt;"&amp;'19_Расчет_аналитики'!BE4607,WeightedMinAge03),MAX(CapacityAge03*'01_Вводные'!$B$218*'19_Расчет_аналитики'!BE4607,MeanMinAge03))),0)</f>
        <v/>
      </c>
      <c r="BF4514">
        <f>IF('01_Вводные'!$B$234="Да",IF(OR('19_Расчет_аналитики'!BF4486=0,3&lt;='01_Вводные'!$B$297),0,'19_Расчет_аналитики'!BF4486*IF('01_Вводные'!$B$239="Да",MeanMinAge03+'19_Расчет_аналитики'!BF4607*SUMIF(ThresholdAge03,"&lt;"&amp;'19_Расчет_аналитики'!BF4607,WeightedRevAge03)-SUMIF(ThresholdAge03,"&lt;"&amp;'19_Расчет_аналитики'!BF4607,WeightedMinAge03),MAX(CapacityAge03*'01_Вводные'!$B$218*'19_Расчет_аналитики'!BF4607,MeanMinAge03))),0)</f>
        <v/>
      </c>
      <c r="BG4514">
        <f>IF('01_Вводные'!$B$234="Да",IF(OR('19_Расчет_аналитики'!BG4486=0,3&lt;='01_Вводные'!$B$297),0,'19_Расчет_аналитики'!BG4486*IF('01_Вводные'!$B$239="Да",MeanMinAge03+'19_Расчет_аналитики'!BG4607*SUMIF(ThresholdAge03,"&lt;"&amp;'19_Расчет_аналитики'!BG4607,WeightedRevAge03)-SUMIF(ThresholdAge03,"&lt;"&amp;'19_Расчет_аналитики'!BG4607,WeightedMinAge03),MAX(CapacityAge03*'01_Вводные'!$B$218*'19_Расчет_аналитики'!BG4607,MeanMinAge03))),0)</f>
        <v/>
      </c>
      <c r="BH4514">
        <f>IF('01_Вводные'!$B$234="Да",IF(OR('19_Расчет_аналитики'!BH4486=0,3&lt;='01_Вводные'!$B$297),0,'19_Расчет_аналитики'!BH4486*IF('01_Вводные'!$B$239="Да",MeanMinAge03+'19_Расчет_аналитики'!BH4607*SUMIF(ThresholdAge03,"&lt;"&amp;'19_Расчет_аналитики'!BH4607,WeightedRevAge03)-SUMIF(ThresholdAge03,"&lt;"&amp;'19_Расчет_аналитики'!BH4607,WeightedMinAge03),MAX(CapacityAge03*'01_Вводные'!$B$218*'19_Расчет_аналитики'!BH4607,MeanMinAge03))),0)</f>
        <v/>
      </c>
      <c r="BI4514">
        <f>IF('01_Вводные'!$B$234="Да",IF(OR('19_Расчет_аналитики'!BI4486=0,3&lt;='01_Вводные'!$B$297),0,'19_Расчет_аналитики'!BI4486*IF('01_Вводные'!$B$239="Да",MeanMinAge03+'19_Расчет_аналитики'!BI4607*SUMIF(ThresholdAge03,"&lt;"&amp;'19_Расчет_аналитики'!BI4607,WeightedRevAge03)-SUMIF(ThresholdAge03,"&lt;"&amp;'19_Расчет_аналитики'!BI4607,WeightedMinAge03),MAX(CapacityAge03*'01_Вводные'!$B$218*'19_Расчет_аналитики'!BI4607,MeanMinAge03))),0)</f>
        <v/>
      </c>
      <c r="BJ4514">
        <f>IF('01_Вводные'!$B$234="Да",IF(OR('19_Расчет_аналитики'!BJ4486=0,3&lt;='01_Вводные'!$B$297),0,'19_Расчет_аналитики'!BJ4486*IF('01_Вводные'!$B$239="Да",MeanMinAge03+'19_Расчет_аналитики'!BJ4607*SUMIF(ThresholdAge03,"&lt;"&amp;'19_Расчет_аналитики'!BJ4607,WeightedRevAge03)-SUMIF(ThresholdAge03,"&lt;"&amp;'19_Расчет_аналитики'!BJ4607,WeightedMinAge03),MAX(CapacityAge03*'01_Вводные'!$B$218*'19_Расчет_аналитики'!BJ4607,MeanMinAge03))),0)</f>
        <v/>
      </c>
      <c r="BK4514">
        <f>IF('01_Вводные'!$B$234="Да",IF(OR('19_Расчет_аналитики'!BK4486=0,3&lt;='01_Вводные'!$B$297),0,'19_Расчет_аналитики'!BK4486*IF('01_Вводные'!$B$239="Да",MeanMinAge03+'19_Расчет_аналитики'!BK4607*SUMIF(ThresholdAge03,"&lt;"&amp;'19_Расчет_аналитики'!BK4607,WeightedRevAge03)-SUMIF(ThresholdAge03,"&lt;"&amp;'19_Расчет_аналитики'!BK4607,WeightedMinAge03),MAX(CapacityAge03*'01_Вводные'!$B$218*'19_Расчет_аналитики'!BK4607,MeanMinAge03))),0)</f>
        <v/>
      </c>
      <c r="BL4514">
        <f>IF('01_Вводные'!$B$234="Да",IF(OR('19_Расчет_аналитики'!BL4486=0,3&lt;='01_Вводные'!$B$297),0,'19_Расчет_аналитики'!BL4486*IF('01_Вводные'!$B$239="Да",MeanMinAge03+'19_Расчет_аналитики'!BL4607*SUMIF(ThresholdAge03,"&lt;"&amp;'19_Расчет_аналитики'!BL4607,WeightedRevAge03)-SUMIF(ThresholdAge03,"&lt;"&amp;'19_Расчет_аналитики'!BL4607,WeightedMinAge03),MAX(CapacityAge03*'01_Вводные'!$B$218*'19_Расчет_аналитики'!BL4607,MeanMinAge03))),0)</f>
        <v/>
      </c>
      <c r="BM4514">
        <f>IF('01_Вводные'!$B$234="Да",IF(OR('19_Расчет_аналитики'!BM4486=0,3&lt;='01_Вводные'!$B$297),0,'19_Расчет_аналитики'!BM4486*IF('01_Вводные'!$B$239="Да",MeanMinAge03+'19_Расчет_аналитики'!BM4607*SUMIF(ThresholdAge03,"&lt;"&amp;'19_Расчет_аналитики'!BM4607,WeightedRevAge03)-SUMIF(ThresholdAge03,"&lt;"&amp;'19_Расчет_аналитики'!BM4607,WeightedMinAge03),MAX(CapacityAge03*'01_Вводные'!$B$218*'19_Расчет_аналитики'!BM4607,MeanMinAge03))),0)</f>
        <v/>
      </c>
      <c r="BN4514">
        <f>IF('01_Вводные'!$B$234="Да",IF(OR('19_Расчет_аналитики'!BN4486=0,3&lt;='01_Вводные'!$B$297),0,'19_Расчет_аналитики'!BN4486*IF('01_Вводные'!$B$239="Да",MeanMinAge03+'19_Расчет_аналитики'!BN4607*SUMIF(ThresholdAge03,"&lt;"&amp;'19_Расчет_аналитики'!BN4607,WeightedRevAge03)-SUMIF(ThresholdAge03,"&lt;"&amp;'19_Расчет_аналитики'!BN4607,WeightedMinAge03),MAX(CapacityAge03*'01_Вводные'!$B$218*'19_Расчет_аналитики'!BN4607,MeanMinAge03))),0)</f>
        <v/>
      </c>
      <c r="BO4514">
        <f>IF('01_Вводные'!$B$234="Да",IF(OR('19_Расчет_аналитики'!BO4486=0,3&lt;='01_Вводные'!$B$297),0,'19_Расчет_аналитики'!BO4486*IF('01_Вводные'!$B$239="Да",MeanMinAge03+'19_Расчет_аналитики'!BO4607*SUMIF(ThresholdAge03,"&lt;"&amp;'19_Расчет_аналитики'!BO4607,WeightedRevAge03)-SUMIF(ThresholdAge03,"&lt;"&amp;'19_Расчет_аналитики'!BO4607,WeightedMinAge03),MAX(CapacityAge03*'01_Вводные'!$B$218*'19_Расчет_аналитики'!BO4607,MeanMinAge03))),0)</f>
        <v/>
      </c>
    </row>
    <row r="4515">
      <c r="B4515">
        <f>IF('01_Вводные'!$B$234="Да",IF(OR('06_Сеть_и_дети'!B84=0,4&lt;='01_Вводные'!$B$297),0,'06_Сеть_и_дети'!B84*IF('01_Вводные'!$B$239="Да",MeanMinAge04+'19_Расчет_аналитики'!B4607*SUMIF(ThresholdAge04,"&lt;"&amp;'19_Расчет_аналитики'!B4607,WeightedRevAge04)-SUMIF(ThresholdAge04,"&lt;"&amp;'19_Расчет_аналитики'!B4607,WeightedMinAge04),MAX(CapacityAge04*'01_Вводные'!$B$218*'19_Расчет_аналитики'!B4607,MeanMinAge04))),0)</f>
        <v/>
      </c>
      <c r="C4515">
        <f>IF('01_Вводные'!$B$234="Да",IF(OR('06_Сеть_и_дети'!C84=0,4&lt;='01_Вводные'!$B$297),0,'06_Сеть_и_дети'!C84*IF('01_Вводные'!$B$239="Да",MeanMinAge04+'19_Расчет_аналитики'!C4607*SUMIF(ThresholdAge04,"&lt;"&amp;'19_Расчет_аналитики'!C4607,WeightedRevAge04)-SUMIF(ThresholdAge04,"&lt;"&amp;'19_Расчет_аналитики'!C4607,WeightedMinAge04),MAX(CapacityAge04*'01_Вводные'!$B$218*'19_Расчет_аналитики'!C4607,MeanMinAge04))),0)</f>
        <v/>
      </c>
      <c r="D4515">
        <f>IF('01_Вводные'!$B$234="Да",IF(OR('06_Сеть_и_дети'!D84=0,4&lt;='01_Вводные'!$B$297),0,'06_Сеть_и_дети'!D84*IF('01_Вводные'!$B$239="Да",MeanMinAge04+'19_Расчет_аналитики'!D4607*SUMIF(ThresholdAge04,"&lt;"&amp;'19_Расчет_аналитики'!D4607,WeightedRevAge04)-SUMIF(ThresholdAge04,"&lt;"&amp;'19_Расчет_аналитики'!D4607,WeightedMinAge04),MAX(CapacityAge04*'01_Вводные'!$B$218*'19_Расчет_аналитики'!D4607,MeanMinAge04))),0)</f>
        <v/>
      </c>
      <c r="E4515">
        <f>IF('01_Вводные'!$B$234="Да",IF(OR('19_Расчет_аналитики'!E4487=0,4&lt;='01_Вводные'!$B$297),0,'19_Расчет_аналитики'!E4487*IF('01_Вводные'!$B$239="Да",MeanMinAge04+'19_Расчет_аналитики'!E4607*SUMIF(ThresholdAge04,"&lt;"&amp;'19_Расчет_аналитики'!E4607,WeightedRevAge04)-SUMIF(ThresholdAge04,"&lt;"&amp;'19_Расчет_аналитики'!E4607,WeightedMinAge04),MAX(CapacityAge04*'01_Вводные'!$B$218*'19_Расчет_аналитики'!E4607,MeanMinAge04))),0)</f>
        <v/>
      </c>
      <c r="F4515">
        <f>IF('01_Вводные'!$B$234="Да",IF(OR('19_Расчет_аналитики'!F4487=0,4&lt;='01_Вводные'!$B$297),0,'19_Расчет_аналитики'!F4487*IF('01_Вводные'!$B$239="Да",MeanMinAge04+'19_Расчет_аналитики'!F4607*SUMIF(ThresholdAge04,"&lt;"&amp;'19_Расчет_аналитики'!F4607,WeightedRevAge04)-SUMIF(ThresholdAge04,"&lt;"&amp;'19_Расчет_аналитики'!F4607,WeightedMinAge04),MAX(CapacityAge04*'01_Вводные'!$B$218*'19_Расчет_аналитики'!F4607,MeanMinAge04))),0)</f>
        <v/>
      </c>
      <c r="G4515">
        <f>IF('01_Вводные'!$B$234="Да",IF(OR('19_Расчет_аналитики'!G4487=0,4&lt;='01_Вводные'!$B$297),0,'19_Расчет_аналитики'!G4487*IF('01_Вводные'!$B$239="Да",MeanMinAge04+'19_Расчет_аналитики'!G4607*SUMIF(ThresholdAge04,"&lt;"&amp;'19_Расчет_аналитики'!G4607,WeightedRevAge04)-SUMIF(ThresholdAge04,"&lt;"&amp;'19_Расчет_аналитики'!G4607,WeightedMinAge04),MAX(CapacityAge04*'01_Вводные'!$B$218*'19_Расчет_аналитики'!G4607,MeanMinAge04))),0)</f>
        <v/>
      </c>
      <c r="H4515">
        <f>IF('01_Вводные'!$B$234="Да",IF(OR('19_Расчет_аналитики'!H4487=0,4&lt;='01_Вводные'!$B$297),0,'19_Расчет_аналитики'!H4487*IF('01_Вводные'!$B$239="Да",MeanMinAge04+'19_Расчет_аналитики'!H4607*SUMIF(ThresholdAge04,"&lt;"&amp;'19_Расчет_аналитики'!H4607,WeightedRevAge04)-SUMIF(ThresholdAge04,"&lt;"&amp;'19_Расчет_аналитики'!H4607,WeightedMinAge04),MAX(CapacityAge04*'01_Вводные'!$B$218*'19_Расчет_аналитики'!H4607,MeanMinAge04))),0)</f>
        <v/>
      </c>
      <c r="I4515">
        <f>IF('01_Вводные'!$B$234="Да",IF(OR('19_Расчет_аналитики'!I4487=0,4&lt;='01_Вводные'!$B$297),0,'19_Расчет_аналитики'!I4487*IF('01_Вводные'!$B$239="Да",MeanMinAge04+'19_Расчет_аналитики'!I4607*SUMIF(ThresholdAge04,"&lt;"&amp;'19_Расчет_аналитики'!I4607,WeightedRevAge04)-SUMIF(ThresholdAge04,"&lt;"&amp;'19_Расчет_аналитики'!I4607,WeightedMinAge04),MAX(CapacityAge04*'01_Вводные'!$B$218*'19_Расчет_аналитики'!I4607,MeanMinAge04))),0)</f>
        <v/>
      </c>
      <c r="J4515">
        <f>IF('01_Вводные'!$B$234="Да",IF(OR('19_Расчет_аналитики'!J4487=0,4&lt;='01_Вводные'!$B$297),0,'19_Расчет_аналитики'!J4487*IF('01_Вводные'!$B$239="Да",MeanMinAge04+'19_Расчет_аналитики'!J4607*SUMIF(ThresholdAge04,"&lt;"&amp;'19_Расчет_аналитики'!J4607,WeightedRevAge04)-SUMIF(ThresholdAge04,"&lt;"&amp;'19_Расчет_аналитики'!J4607,WeightedMinAge04),MAX(CapacityAge04*'01_Вводные'!$B$218*'19_Расчет_аналитики'!J4607,MeanMinAge04))),0)</f>
        <v/>
      </c>
      <c r="K4515">
        <f>IF('01_Вводные'!$B$234="Да",IF(OR('19_Расчет_аналитики'!K4487=0,4&lt;='01_Вводные'!$B$297),0,'19_Расчет_аналитики'!K4487*IF('01_Вводные'!$B$239="Да",MeanMinAge04+'19_Расчет_аналитики'!K4607*SUMIF(ThresholdAge04,"&lt;"&amp;'19_Расчет_аналитики'!K4607,WeightedRevAge04)-SUMIF(ThresholdAge04,"&lt;"&amp;'19_Расчет_аналитики'!K4607,WeightedMinAge04),MAX(CapacityAge04*'01_Вводные'!$B$218*'19_Расчет_аналитики'!K4607,MeanMinAge04))),0)</f>
        <v/>
      </c>
      <c r="L4515">
        <f>IF('01_Вводные'!$B$234="Да",IF(OR('19_Расчет_аналитики'!L4487=0,4&lt;='01_Вводные'!$B$297),0,'19_Расчет_аналитики'!L4487*IF('01_Вводные'!$B$239="Да",MeanMinAge04+'19_Расчет_аналитики'!L4607*SUMIF(ThresholdAge04,"&lt;"&amp;'19_Расчет_аналитики'!L4607,WeightedRevAge04)-SUMIF(ThresholdAge04,"&lt;"&amp;'19_Расчет_аналитики'!L4607,WeightedMinAge04),MAX(CapacityAge04*'01_Вводные'!$B$218*'19_Расчет_аналитики'!L4607,MeanMinAge04))),0)</f>
        <v/>
      </c>
      <c r="M4515">
        <f>IF('01_Вводные'!$B$234="Да",IF(OR('19_Расчет_аналитики'!M4487=0,4&lt;='01_Вводные'!$B$297),0,'19_Расчет_аналитики'!M4487*IF('01_Вводные'!$B$239="Да",MeanMinAge04+'19_Расчет_аналитики'!M4607*SUMIF(ThresholdAge04,"&lt;"&amp;'19_Расчет_аналитики'!M4607,WeightedRevAge04)-SUMIF(ThresholdAge04,"&lt;"&amp;'19_Расчет_аналитики'!M4607,WeightedMinAge04),MAX(CapacityAge04*'01_Вводные'!$B$218*'19_Расчет_аналитики'!M4607,MeanMinAge04))),0)</f>
        <v/>
      </c>
      <c r="N4515">
        <f>IF('01_Вводные'!$B$234="Да",IF(OR('19_Расчет_аналитики'!N4487=0,4&lt;='01_Вводные'!$B$297),0,'19_Расчет_аналитики'!N4487*IF('01_Вводные'!$B$239="Да",MeanMinAge04+'19_Расчет_аналитики'!N4607*SUMIF(ThresholdAge04,"&lt;"&amp;'19_Расчет_аналитики'!N4607,WeightedRevAge04)-SUMIF(ThresholdAge04,"&lt;"&amp;'19_Расчет_аналитики'!N4607,WeightedMinAge04),MAX(CapacityAge04*'01_Вводные'!$B$218*'19_Расчет_аналитики'!N4607,MeanMinAge04))),0)</f>
        <v/>
      </c>
      <c r="O4515">
        <f>IF('01_Вводные'!$B$234="Да",IF(OR('19_Расчет_аналитики'!O4487=0,4&lt;='01_Вводные'!$B$297),0,'19_Расчет_аналитики'!O4487*IF('01_Вводные'!$B$239="Да",MeanMinAge04+'19_Расчет_аналитики'!O4607*SUMIF(ThresholdAge04,"&lt;"&amp;'19_Расчет_аналитики'!O4607,WeightedRevAge04)-SUMIF(ThresholdAge04,"&lt;"&amp;'19_Расчет_аналитики'!O4607,WeightedMinAge04),MAX(CapacityAge04*'01_Вводные'!$B$218*'19_Расчет_аналитики'!O4607,MeanMinAge04))),0)</f>
        <v/>
      </c>
      <c r="P4515">
        <f>IF('01_Вводные'!$B$234="Да",IF(OR('19_Расчет_аналитики'!P4487=0,4&lt;='01_Вводные'!$B$297),0,'19_Расчет_аналитики'!P4487*IF('01_Вводные'!$B$239="Да",MeanMinAge04+'19_Расчет_аналитики'!P4607*SUMIF(ThresholdAge04,"&lt;"&amp;'19_Расчет_аналитики'!P4607,WeightedRevAge04)-SUMIF(ThresholdAge04,"&lt;"&amp;'19_Расчет_аналитики'!P4607,WeightedMinAge04),MAX(CapacityAge04*'01_Вводные'!$B$218*'19_Расчет_аналитики'!P4607,MeanMinAge04))),0)</f>
        <v/>
      </c>
      <c r="Q4515">
        <f>IF('01_Вводные'!$B$234="Да",IF(OR('19_Расчет_аналитики'!Q4487=0,4&lt;='01_Вводные'!$B$297),0,'19_Расчет_аналитики'!Q4487*IF('01_Вводные'!$B$239="Да",MeanMinAge04+'19_Расчет_аналитики'!Q4607*SUMIF(ThresholdAge04,"&lt;"&amp;'19_Расчет_аналитики'!Q4607,WeightedRevAge04)-SUMIF(ThresholdAge04,"&lt;"&amp;'19_Расчет_аналитики'!Q4607,WeightedMinAge04),MAX(CapacityAge04*'01_Вводные'!$B$218*'19_Расчет_аналитики'!Q4607,MeanMinAge04))),0)</f>
        <v/>
      </c>
      <c r="R4515">
        <f>IF('01_Вводные'!$B$234="Да",IF(OR('19_Расчет_аналитики'!R4487=0,4&lt;='01_Вводные'!$B$297),0,'19_Расчет_аналитики'!R4487*IF('01_Вводные'!$B$239="Да",MeanMinAge04+'19_Расчет_аналитики'!R4607*SUMIF(ThresholdAge04,"&lt;"&amp;'19_Расчет_аналитики'!R4607,WeightedRevAge04)-SUMIF(ThresholdAge04,"&lt;"&amp;'19_Расчет_аналитики'!R4607,WeightedMinAge04),MAX(CapacityAge04*'01_Вводные'!$B$218*'19_Расчет_аналитики'!R4607,MeanMinAge04))),0)</f>
        <v/>
      </c>
      <c r="S4515">
        <f>IF('01_Вводные'!$B$234="Да",IF(OR('19_Расчет_аналитики'!S4487=0,4&lt;='01_Вводные'!$B$297),0,'19_Расчет_аналитики'!S4487*IF('01_Вводные'!$B$239="Да",MeanMinAge04+'19_Расчет_аналитики'!S4607*SUMIF(ThresholdAge04,"&lt;"&amp;'19_Расчет_аналитики'!S4607,WeightedRevAge04)-SUMIF(ThresholdAge04,"&lt;"&amp;'19_Расчет_аналитики'!S4607,WeightedMinAge04),MAX(CapacityAge04*'01_Вводные'!$B$218*'19_Расчет_аналитики'!S4607,MeanMinAge04))),0)</f>
        <v/>
      </c>
      <c r="T4515">
        <f>IF('01_Вводные'!$B$234="Да",IF(OR('19_Расчет_аналитики'!T4487=0,4&lt;='01_Вводные'!$B$297),0,'19_Расчет_аналитики'!T4487*IF('01_Вводные'!$B$239="Да",MeanMinAge04+'19_Расчет_аналитики'!T4607*SUMIF(ThresholdAge04,"&lt;"&amp;'19_Расчет_аналитики'!T4607,WeightedRevAge04)-SUMIF(ThresholdAge04,"&lt;"&amp;'19_Расчет_аналитики'!T4607,WeightedMinAge04),MAX(CapacityAge04*'01_Вводные'!$B$218*'19_Расчет_аналитики'!T4607,MeanMinAge04))),0)</f>
        <v/>
      </c>
      <c r="U4515">
        <f>IF('01_Вводные'!$B$234="Да",IF(OR('19_Расчет_аналитики'!U4487=0,4&lt;='01_Вводные'!$B$297),0,'19_Расчет_аналитики'!U4487*IF('01_Вводные'!$B$239="Да",MeanMinAge04+'19_Расчет_аналитики'!U4607*SUMIF(ThresholdAge04,"&lt;"&amp;'19_Расчет_аналитики'!U4607,WeightedRevAge04)-SUMIF(ThresholdAge04,"&lt;"&amp;'19_Расчет_аналитики'!U4607,WeightedMinAge04),MAX(CapacityAge04*'01_Вводные'!$B$218*'19_Расчет_аналитики'!U4607,MeanMinAge04))),0)</f>
        <v/>
      </c>
      <c r="V4515">
        <f>IF('01_Вводные'!$B$234="Да",IF(OR('19_Расчет_аналитики'!V4487=0,4&lt;='01_Вводные'!$B$297),0,'19_Расчет_аналитики'!V4487*IF('01_Вводные'!$B$239="Да",MeanMinAge04+'19_Расчет_аналитики'!V4607*SUMIF(ThresholdAge04,"&lt;"&amp;'19_Расчет_аналитики'!V4607,WeightedRevAge04)-SUMIF(ThresholdAge04,"&lt;"&amp;'19_Расчет_аналитики'!V4607,WeightedMinAge04),MAX(CapacityAge04*'01_Вводные'!$B$218*'19_Расчет_аналитики'!V4607,MeanMinAge04))),0)</f>
        <v/>
      </c>
      <c r="W4515">
        <f>IF('01_Вводные'!$B$234="Да",IF(OR('19_Расчет_аналитики'!W4487=0,4&lt;='01_Вводные'!$B$297),0,'19_Расчет_аналитики'!W4487*IF('01_Вводные'!$B$239="Да",MeanMinAge04+'19_Расчет_аналитики'!W4607*SUMIF(ThresholdAge04,"&lt;"&amp;'19_Расчет_аналитики'!W4607,WeightedRevAge04)-SUMIF(ThresholdAge04,"&lt;"&amp;'19_Расчет_аналитики'!W4607,WeightedMinAge04),MAX(CapacityAge04*'01_Вводные'!$B$218*'19_Расчет_аналитики'!W4607,MeanMinAge04))),0)</f>
        <v/>
      </c>
      <c r="X4515">
        <f>IF('01_Вводные'!$B$234="Да",IF(OR('19_Расчет_аналитики'!X4487=0,4&lt;='01_Вводные'!$B$297),0,'19_Расчет_аналитики'!X4487*IF('01_Вводные'!$B$239="Да",MeanMinAge04+'19_Расчет_аналитики'!X4607*SUMIF(ThresholdAge04,"&lt;"&amp;'19_Расчет_аналитики'!X4607,WeightedRevAge04)-SUMIF(ThresholdAge04,"&lt;"&amp;'19_Расчет_аналитики'!X4607,WeightedMinAge04),MAX(CapacityAge04*'01_Вводные'!$B$218*'19_Расчет_аналитики'!X4607,MeanMinAge04))),0)</f>
        <v/>
      </c>
      <c r="Y4515">
        <f>IF('01_Вводные'!$B$234="Да",IF(OR('19_Расчет_аналитики'!Y4487=0,4&lt;='01_Вводные'!$B$297),0,'19_Расчет_аналитики'!Y4487*IF('01_Вводные'!$B$239="Да",MeanMinAge04+'19_Расчет_аналитики'!Y4607*SUMIF(ThresholdAge04,"&lt;"&amp;'19_Расчет_аналитики'!Y4607,WeightedRevAge04)-SUMIF(ThresholdAge04,"&lt;"&amp;'19_Расчет_аналитики'!Y4607,WeightedMinAge04),MAX(CapacityAge04*'01_Вводные'!$B$218*'19_Расчет_аналитики'!Y4607,MeanMinAge04))),0)</f>
        <v/>
      </c>
      <c r="Z4515">
        <f>IF('01_Вводные'!$B$234="Да",IF(OR('19_Расчет_аналитики'!Z4487=0,4&lt;='01_Вводные'!$B$297),0,'19_Расчет_аналитики'!Z4487*IF('01_Вводные'!$B$239="Да",MeanMinAge04+'19_Расчет_аналитики'!Z4607*SUMIF(ThresholdAge04,"&lt;"&amp;'19_Расчет_аналитики'!Z4607,WeightedRevAge04)-SUMIF(ThresholdAge04,"&lt;"&amp;'19_Расчет_аналитики'!Z4607,WeightedMinAge04),MAX(CapacityAge04*'01_Вводные'!$B$218*'19_Расчет_аналитики'!Z4607,MeanMinAge04))),0)</f>
        <v/>
      </c>
      <c r="AA4515">
        <f>IF('01_Вводные'!$B$234="Да",IF(OR('19_Расчет_аналитики'!AA4487=0,4&lt;='01_Вводные'!$B$297),0,'19_Расчет_аналитики'!AA4487*IF('01_Вводные'!$B$239="Да",MeanMinAge04+'19_Расчет_аналитики'!AA4607*SUMIF(ThresholdAge04,"&lt;"&amp;'19_Расчет_аналитики'!AA4607,WeightedRevAge04)-SUMIF(ThresholdAge04,"&lt;"&amp;'19_Расчет_аналитики'!AA4607,WeightedMinAge04),MAX(CapacityAge04*'01_Вводные'!$B$218*'19_Расчет_аналитики'!AA4607,MeanMinAge04))),0)</f>
        <v/>
      </c>
      <c r="AB4515">
        <f>IF('01_Вводные'!$B$234="Да",IF(OR('19_Расчет_аналитики'!AB4487=0,4&lt;='01_Вводные'!$B$297),0,'19_Расчет_аналитики'!AB4487*IF('01_Вводные'!$B$239="Да",MeanMinAge04+'19_Расчет_аналитики'!AB4607*SUMIF(ThresholdAge04,"&lt;"&amp;'19_Расчет_аналитики'!AB4607,WeightedRevAge04)-SUMIF(ThresholdAge04,"&lt;"&amp;'19_Расчет_аналитики'!AB4607,WeightedMinAge04),MAX(CapacityAge04*'01_Вводные'!$B$218*'19_Расчет_аналитики'!AB4607,MeanMinAge04))),0)</f>
        <v/>
      </c>
      <c r="AC4515">
        <f>IF('01_Вводные'!$B$234="Да",IF(OR('19_Расчет_аналитики'!AC4487=0,4&lt;='01_Вводные'!$B$297),0,'19_Расчет_аналитики'!AC4487*IF('01_Вводные'!$B$239="Да",MeanMinAge04+'19_Расчет_аналитики'!AC4607*SUMIF(ThresholdAge04,"&lt;"&amp;'19_Расчет_аналитики'!AC4607,WeightedRevAge04)-SUMIF(ThresholdAge04,"&lt;"&amp;'19_Расчет_аналитики'!AC4607,WeightedMinAge04),MAX(CapacityAge04*'01_Вводные'!$B$218*'19_Расчет_аналитики'!AC4607,MeanMinAge04))),0)</f>
        <v/>
      </c>
      <c r="AD4515">
        <f>IF('01_Вводные'!$B$234="Да",IF(OR('19_Расчет_аналитики'!AD4487=0,4&lt;='01_Вводные'!$B$297),0,'19_Расчет_аналитики'!AD4487*IF('01_Вводные'!$B$239="Да",MeanMinAge04+'19_Расчет_аналитики'!AD4607*SUMIF(ThresholdAge04,"&lt;"&amp;'19_Расчет_аналитики'!AD4607,WeightedRevAge04)-SUMIF(ThresholdAge04,"&lt;"&amp;'19_Расчет_аналитики'!AD4607,WeightedMinAge04),MAX(CapacityAge04*'01_Вводные'!$B$218*'19_Расчет_аналитики'!AD4607,MeanMinAge04))),0)</f>
        <v/>
      </c>
      <c r="AE4515">
        <f>IF('01_Вводные'!$B$234="Да",IF(OR('19_Расчет_аналитики'!AE4487=0,4&lt;='01_Вводные'!$B$297),0,'19_Расчет_аналитики'!AE4487*IF('01_Вводные'!$B$239="Да",MeanMinAge04+'19_Расчет_аналитики'!AE4607*SUMIF(ThresholdAge04,"&lt;"&amp;'19_Расчет_аналитики'!AE4607,WeightedRevAge04)-SUMIF(ThresholdAge04,"&lt;"&amp;'19_Расчет_аналитики'!AE4607,WeightedMinAge04),MAX(CapacityAge04*'01_Вводные'!$B$218*'19_Расчет_аналитики'!AE4607,MeanMinAge04))),0)</f>
        <v/>
      </c>
      <c r="AF4515">
        <f>IF('01_Вводные'!$B$234="Да",IF(OR('19_Расчет_аналитики'!AF4487=0,4&lt;='01_Вводные'!$B$297),0,'19_Расчет_аналитики'!AF4487*IF('01_Вводные'!$B$239="Да",MeanMinAge04+'19_Расчет_аналитики'!AF4607*SUMIF(ThresholdAge04,"&lt;"&amp;'19_Расчет_аналитики'!AF4607,WeightedRevAge04)-SUMIF(ThresholdAge04,"&lt;"&amp;'19_Расчет_аналитики'!AF4607,WeightedMinAge04),MAX(CapacityAge04*'01_Вводные'!$B$218*'19_Расчет_аналитики'!AF4607,MeanMinAge04))),0)</f>
        <v/>
      </c>
      <c r="AG4515">
        <f>IF('01_Вводные'!$B$234="Да",IF(OR('19_Расчет_аналитики'!AG4487=0,4&lt;='01_Вводные'!$B$297),0,'19_Расчет_аналитики'!AG4487*IF('01_Вводные'!$B$239="Да",MeanMinAge04+'19_Расчет_аналитики'!AG4607*SUMIF(ThresholdAge04,"&lt;"&amp;'19_Расчет_аналитики'!AG4607,WeightedRevAge04)-SUMIF(ThresholdAge04,"&lt;"&amp;'19_Расчет_аналитики'!AG4607,WeightedMinAge04),MAX(CapacityAge04*'01_Вводные'!$B$218*'19_Расчет_аналитики'!AG4607,MeanMinAge04))),0)</f>
        <v/>
      </c>
      <c r="AH4515">
        <f>IF('01_Вводные'!$B$234="Да",IF(OR('19_Расчет_аналитики'!AH4487=0,4&lt;='01_Вводные'!$B$297),0,'19_Расчет_аналитики'!AH4487*IF('01_Вводные'!$B$239="Да",MeanMinAge04+'19_Расчет_аналитики'!AH4607*SUMIF(ThresholdAge04,"&lt;"&amp;'19_Расчет_аналитики'!AH4607,WeightedRevAge04)-SUMIF(ThresholdAge04,"&lt;"&amp;'19_Расчет_аналитики'!AH4607,WeightedMinAge04),MAX(CapacityAge04*'01_Вводные'!$B$218*'19_Расчет_аналитики'!AH4607,MeanMinAge04))),0)</f>
        <v/>
      </c>
      <c r="AI4515">
        <f>IF('01_Вводные'!$B$234="Да",IF(OR('19_Расчет_аналитики'!AI4487=0,4&lt;='01_Вводные'!$B$297),0,'19_Расчет_аналитики'!AI4487*IF('01_Вводные'!$B$239="Да",MeanMinAge04+'19_Расчет_аналитики'!AI4607*SUMIF(ThresholdAge04,"&lt;"&amp;'19_Расчет_аналитики'!AI4607,WeightedRevAge04)-SUMIF(ThresholdAge04,"&lt;"&amp;'19_Расчет_аналитики'!AI4607,WeightedMinAge04),MAX(CapacityAge04*'01_Вводные'!$B$218*'19_Расчет_аналитики'!AI4607,MeanMinAge04))),0)</f>
        <v/>
      </c>
      <c r="AJ4515">
        <f>IF('01_Вводные'!$B$234="Да",IF(OR('19_Расчет_аналитики'!AJ4487=0,4&lt;='01_Вводные'!$B$297),0,'19_Расчет_аналитики'!AJ4487*IF('01_Вводные'!$B$239="Да",MeanMinAge04+'19_Расчет_аналитики'!AJ4607*SUMIF(ThresholdAge04,"&lt;"&amp;'19_Расчет_аналитики'!AJ4607,WeightedRevAge04)-SUMIF(ThresholdAge04,"&lt;"&amp;'19_Расчет_аналитики'!AJ4607,WeightedMinAge04),MAX(CapacityAge04*'01_Вводные'!$B$218*'19_Расчет_аналитики'!AJ4607,MeanMinAge04))),0)</f>
        <v/>
      </c>
      <c r="AK4515">
        <f>IF('01_Вводные'!$B$234="Да",IF(OR('19_Расчет_аналитики'!AK4487=0,4&lt;='01_Вводные'!$B$297),0,'19_Расчет_аналитики'!AK4487*IF('01_Вводные'!$B$239="Да",MeanMinAge04+'19_Расчет_аналитики'!AK4607*SUMIF(ThresholdAge04,"&lt;"&amp;'19_Расчет_аналитики'!AK4607,WeightedRevAge04)-SUMIF(ThresholdAge04,"&lt;"&amp;'19_Расчет_аналитики'!AK4607,WeightedMinAge04),MAX(CapacityAge04*'01_Вводные'!$B$218*'19_Расчет_аналитики'!AK4607,MeanMinAge04))),0)</f>
        <v/>
      </c>
      <c r="AL4515">
        <f>IF('01_Вводные'!$B$234="Да",IF(OR('19_Расчет_аналитики'!AL4487=0,4&lt;='01_Вводные'!$B$297),0,'19_Расчет_аналитики'!AL4487*IF('01_Вводные'!$B$239="Да",MeanMinAge04+'19_Расчет_аналитики'!AL4607*SUMIF(ThresholdAge04,"&lt;"&amp;'19_Расчет_аналитики'!AL4607,WeightedRevAge04)-SUMIF(ThresholdAge04,"&lt;"&amp;'19_Расчет_аналитики'!AL4607,WeightedMinAge04),MAX(CapacityAge04*'01_Вводные'!$B$218*'19_Расчет_аналитики'!AL4607,MeanMinAge04))),0)</f>
        <v/>
      </c>
      <c r="AM4515">
        <f>IF('01_Вводные'!$B$234="Да",IF(OR('19_Расчет_аналитики'!AM4487=0,4&lt;='01_Вводные'!$B$297),0,'19_Расчет_аналитики'!AM4487*IF('01_Вводные'!$B$239="Да",MeanMinAge04+'19_Расчет_аналитики'!AM4607*SUMIF(ThresholdAge04,"&lt;"&amp;'19_Расчет_аналитики'!AM4607,WeightedRevAge04)-SUMIF(ThresholdAge04,"&lt;"&amp;'19_Расчет_аналитики'!AM4607,WeightedMinAge04),MAX(CapacityAge04*'01_Вводные'!$B$218*'19_Расчет_аналитики'!AM4607,MeanMinAge04))),0)</f>
        <v/>
      </c>
      <c r="AN4515">
        <f>IF('01_Вводные'!$B$234="Да",IF(OR('19_Расчет_аналитики'!AN4487=0,4&lt;='01_Вводные'!$B$297),0,'19_Расчет_аналитики'!AN4487*IF('01_Вводные'!$B$239="Да",MeanMinAge04+'19_Расчет_аналитики'!AN4607*SUMIF(ThresholdAge04,"&lt;"&amp;'19_Расчет_аналитики'!AN4607,WeightedRevAge04)-SUMIF(ThresholdAge04,"&lt;"&amp;'19_Расчет_аналитики'!AN4607,WeightedMinAge04),MAX(CapacityAge04*'01_Вводные'!$B$218*'19_Расчет_аналитики'!AN4607,MeanMinAge04))),0)</f>
        <v/>
      </c>
      <c r="AO4515">
        <f>IF('01_Вводные'!$B$234="Да",IF(OR('19_Расчет_аналитики'!AO4487=0,4&lt;='01_Вводные'!$B$297),0,'19_Расчет_аналитики'!AO4487*IF('01_Вводные'!$B$239="Да",MeanMinAge04+'19_Расчет_аналитики'!AO4607*SUMIF(ThresholdAge04,"&lt;"&amp;'19_Расчет_аналитики'!AO4607,WeightedRevAge04)-SUMIF(ThresholdAge04,"&lt;"&amp;'19_Расчет_аналитики'!AO4607,WeightedMinAge04),MAX(CapacityAge04*'01_Вводные'!$B$218*'19_Расчет_аналитики'!AO4607,MeanMinAge04))),0)</f>
        <v/>
      </c>
      <c r="AP4515">
        <f>IF('01_Вводные'!$B$234="Да",IF(OR('19_Расчет_аналитики'!AP4487=0,4&lt;='01_Вводные'!$B$297),0,'19_Расчет_аналитики'!AP4487*IF('01_Вводные'!$B$239="Да",MeanMinAge04+'19_Расчет_аналитики'!AP4607*SUMIF(ThresholdAge04,"&lt;"&amp;'19_Расчет_аналитики'!AP4607,WeightedRevAge04)-SUMIF(ThresholdAge04,"&lt;"&amp;'19_Расчет_аналитики'!AP4607,WeightedMinAge04),MAX(CapacityAge04*'01_Вводные'!$B$218*'19_Расчет_аналитики'!AP4607,MeanMinAge04))),0)</f>
        <v/>
      </c>
      <c r="AQ4515">
        <f>IF('01_Вводные'!$B$234="Да",IF(OR('19_Расчет_аналитики'!AQ4487=0,4&lt;='01_Вводные'!$B$297),0,'19_Расчет_аналитики'!AQ4487*IF('01_Вводные'!$B$239="Да",MeanMinAge04+'19_Расчет_аналитики'!AQ4607*SUMIF(ThresholdAge04,"&lt;"&amp;'19_Расчет_аналитики'!AQ4607,WeightedRevAge04)-SUMIF(ThresholdAge04,"&lt;"&amp;'19_Расчет_аналитики'!AQ4607,WeightedMinAge04),MAX(CapacityAge04*'01_Вводные'!$B$218*'19_Расчет_аналитики'!AQ4607,MeanMinAge04))),0)</f>
        <v/>
      </c>
      <c r="AR4515">
        <f>IF('01_Вводные'!$B$234="Да",IF(OR('19_Расчет_аналитики'!AR4487=0,4&lt;='01_Вводные'!$B$297),0,'19_Расчет_аналитики'!AR4487*IF('01_Вводные'!$B$239="Да",MeanMinAge04+'19_Расчет_аналитики'!AR4607*SUMIF(ThresholdAge04,"&lt;"&amp;'19_Расчет_аналитики'!AR4607,WeightedRevAge04)-SUMIF(ThresholdAge04,"&lt;"&amp;'19_Расчет_аналитики'!AR4607,WeightedMinAge04),MAX(CapacityAge04*'01_Вводные'!$B$218*'19_Расчет_аналитики'!AR4607,MeanMinAge04))),0)</f>
        <v/>
      </c>
      <c r="AS4515">
        <f>IF('01_Вводные'!$B$234="Да",IF(OR('19_Расчет_аналитики'!AS4487=0,4&lt;='01_Вводные'!$B$297),0,'19_Расчет_аналитики'!AS4487*IF('01_Вводные'!$B$239="Да",MeanMinAge04+'19_Расчет_аналитики'!AS4607*SUMIF(ThresholdAge04,"&lt;"&amp;'19_Расчет_аналитики'!AS4607,WeightedRevAge04)-SUMIF(ThresholdAge04,"&lt;"&amp;'19_Расчет_аналитики'!AS4607,WeightedMinAge04),MAX(CapacityAge04*'01_Вводные'!$B$218*'19_Расчет_аналитики'!AS4607,MeanMinAge04))),0)</f>
        <v/>
      </c>
      <c r="AT4515">
        <f>IF('01_Вводные'!$B$234="Да",IF(OR('19_Расчет_аналитики'!AT4487=0,4&lt;='01_Вводные'!$B$297),0,'19_Расчет_аналитики'!AT4487*IF('01_Вводные'!$B$239="Да",MeanMinAge04+'19_Расчет_аналитики'!AT4607*SUMIF(ThresholdAge04,"&lt;"&amp;'19_Расчет_аналитики'!AT4607,WeightedRevAge04)-SUMIF(ThresholdAge04,"&lt;"&amp;'19_Расчет_аналитики'!AT4607,WeightedMinAge04),MAX(CapacityAge04*'01_Вводные'!$B$218*'19_Расчет_аналитики'!AT4607,MeanMinAge04))),0)</f>
        <v/>
      </c>
      <c r="AU4515">
        <f>IF('01_Вводные'!$B$234="Да",IF(OR('19_Расчет_аналитики'!AU4487=0,4&lt;='01_Вводные'!$B$297),0,'19_Расчет_аналитики'!AU4487*IF('01_Вводные'!$B$239="Да",MeanMinAge04+'19_Расчет_аналитики'!AU4607*SUMIF(ThresholdAge04,"&lt;"&amp;'19_Расчет_аналитики'!AU4607,WeightedRevAge04)-SUMIF(ThresholdAge04,"&lt;"&amp;'19_Расчет_аналитики'!AU4607,WeightedMinAge04),MAX(CapacityAge04*'01_Вводные'!$B$218*'19_Расчет_аналитики'!AU4607,MeanMinAge04))),0)</f>
        <v/>
      </c>
      <c r="AV4515">
        <f>IF('01_Вводные'!$B$234="Да",IF(OR('19_Расчет_аналитики'!AV4487=0,4&lt;='01_Вводные'!$B$297),0,'19_Расчет_аналитики'!AV4487*IF('01_Вводные'!$B$239="Да",MeanMinAge04+'19_Расчет_аналитики'!AV4607*SUMIF(ThresholdAge04,"&lt;"&amp;'19_Расчет_аналитики'!AV4607,WeightedRevAge04)-SUMIF(ThresholdAge04,"&lt;"&amp;'19_Расчет_аналитики'!AV4607,WeightedMinAge04),MAX(CapacityAge04*'01_Вводные'!$B$218*'19_Расчет_аналитики'!AV4607,MeanMinAge04))),0)</f>
        <v/>
      </c>
      <c r="AW4515">
        <f>IF('01_Вводные'!$B$234="Да",IF(OR('19_Расчет_аналитики'!AW4487=0,4&lt;='01_Вводные'!$B$297),0,'19_Расчет_аналитики'!AW4487*IF('01_Вводные'!$B$239="Да",MeanMinAge04+'19_Расчет_аналитики'!AW4607*SUMIF(ThresholdAge04,"&lt;"&amp;'19_Расчет_аналитики'!AW4607,WeightedRevAge04)-SUMIF(ThresholdAge04,"&lt;"&amp;'19_Расчет_аналитики'!AW4607,WeightedMinAge04),MAX(CapacityAge04*'01_Вводные'!$B$218*'19_Расчет_аналитики'!AW4607,MeanMinAge04))),0)</f>
        <v/>
      </c>
      <c r="AX4515">
        <f>IF('01_Вводные'!$B$234="Да",IF(OR('19_Расчет_аналитики'!AX4487=0,4&lt;='01_Вводные'!$B$297),0,'19_Расчет_аналитики'!AX4487*IF('01_Вводные'!$B$239="Да",MeanMinAge04+'19_Расчет_аналитики'!AX4607*SUMIF(ThresholdAge04,"&lt;"&amp;'19_Расчет_аналитики'!AX4607,WeightedRevAge04)-SUMIF(ThresholdAge04,"&lt;"&amp;'19_Расчет_аналитики'!AX4607,WeightedMinAge04),MAX(CapacityAge04*'01_Вводные'!$B$218*'19_Расчет_аналитики'!AX4607,MeanMinAge04))),0)</f>
        <v/>
      </c>
      <c r="AY4515">
        <f>IF('01_Вводные'!$B$234="Да",IF(OR('19_Расчет_аналитики'!AY4487=0,4&lt;='01_Вводные'!$B$297),0,'19_Расчет_аналитики'!AY4487*IF('01_Вводные'!$B$239="Да",MeanMinAge04+'19_Расчет_аналитики'!AY4607*SUMIF(ThresholdAge04,"&lt;"&amp;'19_Расчет_аналитики'!AY4607,WeightedRevAge04)-SUMIF(ThresholdAge04,"&lt;"&amp;'19_Расчет_аналитики'!AY4607,WeightedMinAge04),MAX(CapacityAge04*'01_Вводные'!$B$218*'19_Расчет_аналитики'!AY4607,MeanMinAge04))),0)</f>
        <v/>
      </c>
      <c r="AZ4515">
        <f>IF('01_Вводные'!$B$234="Да",IF(OR('19_Расчет_аналитики'!AZ4487=0,4&lt;='01_Вводные'!$B$297),0,'19_Расчет_аналитики'!AZ4487*IF('01_Вводные'!$B$239="Да",MeanMinAge04+'19_Расчет_аналитики'!AZ4607*SUMIF(ThresholdAge04,"&lt;"&amp;'19_Расчет_аналитики'!AZ4607,WeightedRevAge04)-SUMIF(ThresholdAge04,"&lt;"&amp;'19_Расчет_аналитики'!AZ4607,WeightedMinAge04),MAX(CapacityAge04*'01_Вводные'!$B$218*'19_Расчет_аналитики'!AZ4607,MeanMinAge04))),0)</f>
        <v/>
      </c>
      <c r="BA4515">
        <f>IF('01_Вводные'!$B$234="Да",IF(OR('19_Расчет_аналитики'!BA4487=0,4&lt;='01_Вводные'!$B$297),0,'19_Расчет_аналитики'!BA4487*IF('01_Вводные'!$B$239="Да",MeanMinAge04+'19_Расчет_аналитики'!BA4607*SUMIF(ThresholdAge04,"&lt;"&amp;'19_Расчет_аналитики'!BA4607,WeightedRevAge04)-SUMIF(ThresholdAge04,"&lt;"&amp;'19_Расчет_аналитики'!BA4607,WeightedMinAge04),MAX(CapacityAge04*'01_Вводные'!$B$218*'19_Расчет_аналитики'!BA4607,MeanMinAge04))),0)</f>
        <v/>
      </c>
      <c r="BB4515">
        <f>IF('01_Вводные'!$B$234="Да",IF(OR('19_Расчет_аналитики'!BB4487=0,4&lt;='01_Вводные'!$B$297),0,'19_Расчет_аналитики'!BB4487*IF('01_Вводные'!$B$239="Да",MeanMinAge04+'19_Расчет_аналитики'!BB4607*SUMIF(ThresholdAge04,"&lt;"&amp;'19_Расчет_аналитики'!BB4607,WeightedRevAge04)-SUMIF(ThresholdAge04,"&lt;"&amp;'19_Расчет_аналитики'!BB4607,WeightedMinAge04),MAX(CapacityAge04*'01_Вводные'!$B$218*'19_Расчет_аналитики'!BB4607,MeanMinAge04))),0)</f>
        <v/>
      </c>
      <c r="BC4515">
        <f>IF('01_Вводные'!$B$234="Да",IF(OR('19_Расчет_аналитики'!BC4487=0,4&lt;='01_Вводные'!$B$297),0,'19_Расчет_аналитики'!BC4487*IF('01_Вводные'!$B$239="Да",MeanMinAge04+'19_Расчет_аналитики'!BC4607*SUMIF(ThresholdAge04,"&lt;"&amp;'19_Расчет_аналитики'!BC4607,WeightedRevAge04)-SUMIF(ThresholdAge04,"&lt;"&amp;'19_Расчет_аналитики'!BC4607,WeightedMinAge04),MAX(CapacityAge04*'01_Вводные'!$B$218*'19_Расчет_аналитики'!BC4607,MeanMinAge04))),0)</f>
        <v/>
      </c>
      <c r="BD4515">
        <f>IF('01_Вводные'!$B$234="Да",IF(OR('19_Расчет_аналитики'!BD4487=0,4&lt;='01_Вводные'!$B$297),0,'19_Расчет_аналитики'!BD4487*IF('01_Вводные'!$B$239="Да",MeanMinAge04+'19_Расчет_аналитики'!BD4607*SUMIF(ThresholdAge04,"&lt;"&amp;'19_Расчет_аналитики'!BD4607,WeightedRevAge04)-SUMIF(ThresholdAge04,"&lt;"&amp;'19_Расчет_аналитики'!BD4607,WeightedMinAge04),MAX(CapacityAge04*'01_Вводные'!$B$218*'19_Расчет_аналитики'!BD4607,MeanMinAge04))),0)</f>
        <v/>
      </c>
      <c r="BE4515">
        <f>IF('01_Вводные'!$B$234="Да",IF(OR('19_Расчет_аналитики'!BE4487=0,4&lt;='01_Вводные'!$B$297),0,'19_Расчет_аналитики'!BE4487*IF('01_Вводные'!$B$239="Да",MeanMinAge04+'19_Расчет_аналитики'!BE4607*SUMIF(ThresholdAge04,"&lt;"&amp;'19_Расчет_аналитики'!BE4607,WeightedRevAge04)-SUMIF(ThresholdAge04,"&lt;"&amp;'19_Расчет_аналитики'!BE4607,WeightedMinAge04),MAX(CapacityAge04*'01_Вводные'!$B$218*'19_Расчет_аналитики'!BE4607,MeanMinAge04))),0)</f>
        <v/>
      </c>
      <c r="BF4515">
        <f>IF('01_Вводные'!$B$234="Да",IF(OR('19_Расчет_аналитики'!BF4487=0,4&lt;='01_Вводные'!$B$297),0,'19_Расчет_аналитики'!BF4487*IF('01_Вводные'!$B$239="Да",MeanMinAge04+'19_Расчет_аналитики'!BF4607*SUMIF(ThresholdAge04,"&lt;"&amp;'19_Расчет_аналитики'!BF4607,WeightedRevAge04)-SUMIF(ThresholdAge04,"&lt;"&amp;'19_Расчет_аналитики'!BF4607,WeightedMinAge04),MAX(CapacityAge04*'01_Вводные'!$B$218*'19_Расчет_аналитики'!BF4607,MeanMinAge04))),0)</f>
        <v/>
      </c>
      <c r="BG4515">
        <f>IF('01_Вводные'!$B$234="Да",IF(OR('19_Расчет_аналитики'!BG4487=0,4&lt;='01_Вводные'!$B$297),0,'19_Расчет_аналитики'!BG4487*IF('01_Вводные'!$B$239="Да",MeanMinAge04+'19_Расчет_аналитики'!BG4607*SUMIF(ThresholdAge04,"&lt;"&amp;'19_Расчет_аналитики'!BG4607,WeightedRevAge04)-SUMIF(ThresholdAge04,"&lt;"&amp;'19_Расчет_аналитики'!BG4607,WeightedMinAge04),MAX(CapacityAge04*'01_Вводные'!$B$218*'19_Расчет_аналитики'!BG4607,MeanMinAge04))),0)</f>
        <v/>
      </c>
      <c r="BH4515">
        <f>IF('01_Вводные'!$B$234="Да",IF(OR('19_Расчет_аналитики'!BH4487=0,4&lt;='01_Вводные'!$B$297),0,'19_Расчет_аналитики'!BH4487*IF('01_Вводные'!$B$239="Да",MeanMinAge04+'19_Расчет_аналитики'!BH4607*SUMIF(ThresholdAge04,"&lt;"&amp;'19_Расчет_аналитики'!BH4607,WeightedRevAge04)-SUMIF(ThresholdAge04,"&lt;"&amp;'19_Расчет_аналитики'!BH4607,WeightedMinAge04),MAX(CapacityAge04*'01_Вводные'!$B$218*'19_Расчет_аналитики'!BH4607,MeanMinAge04))),0)</f>
        <v/>
      </c>
      <c r="BI4515">
        <f>IF('01_Вводные'!$B$234="Да",IF(OR('19_Расчет_аналитики'!BI4487=0,4&lt;='01_Вводные'!$B$297),0,'19_Расчет_аналитики'!BI4487*IF('01_Вводные'!$B$239="Да",MeanMinAge04+'19_Расчет_аналитики'!BI4607*SUMIF(ThresholdAge04,"&lt;"&amp;'19_Расчет_аналитики'!BI4607,WeightedRevAge04)-SUMIF(ThresholdAge04,"&lt;"&amp;'19_Расчет_аналитики'!BI4607,WeightedMinAge04),MAX(CapacityAge04*'01_Вводные'!$B$218*'19_Расчет_аналитики'!BI4607,MeanMinAge04))),0)</f>
        <v/>
      </c>
      <c r="BJ4515">
        <f>IF('01_Вводные'!$B$234="Да",IF(OR('19_Расчет_аналитики'!BJ4487=0,4&lt;='01_Вводные'!$B$297),0,'19_Расчет_аналитики'!BJ4487*IF('01_Вводные'!$B$239="Да",MeanMinAge04+'19_Расчет_аналитики'!BJ4607*SUMIF(ThresholdAge04,"&lt;"&amp;'19_Расчет_аналитики'!BJ4607,WeightedRevAge04)-SUMIF(ThresholdAge04,"&lt;"&amp;'19_Расчет_аналитики'!BJ4607,WeightedMinAge04),MAX(CapacityAge04*'01_Вводные'!$B$218*'19_Расчет_аналитики'!BJ4607,MeanMinAge04))),0)</f>
        <v/>
      </c>
      <c r="BK4515">
        <f>IF('01_Вводные'!$B$234="Да",IF(OR('19_Расчет_аналитики'!BK4487=0,4&lt;='01_Вводные'!$B$297),0,'19_Расчет_аналитики'!BK4487*IF('01_Вводные'!$B$239="Да",MeanMinAge04+'19_Расчет_аналитики'!BK4607*SUMIF(ThresholdAge04,"&lt;"&amp;'19_Расчет_аналитики'!BK4607,WeightedRevAge04)-SUMIF(ThresholdAge04,"&lt;"&amp;'19_Расчет_аналитики'!BK4607,WeightedMinAge04),MAX(CapacityAge04*'01_Вводные'!$B$218*'19_Расчет_аналитики'!BK4607,MeanMinAge04))),0)</f>
        <v/>
      </c>
      <c r="BL4515">
        <f>IF('01_Вводные'!$B$234="Да",IF(OR('19_Расчет_аналитики'!BL4487=0,4&lt;='01_Вводные'!$B$297),0,'19_Расчет_аналитики'!BL4487*IF('01_Вводные'!$B$239="Да",MeanMinAge04+'19_Расчет_аналитики'!BL4607*SUMIF(ThresholdAge04,"&lt;"&amp;'19_Расчет_аналитики'!BL4607,WeightedRevAge04)-SUMIF(ThresholdAge04,"&lt;"&amp;'19_Расчет_аналитики'!BL4607,WeightedMinAge04),MAX(CapacityAge04*'01_Вводные'!$B$218*'19_Расчет_аналитики'!BL4607,MeanMinAge04))),0)</f>
        <v/>
      </c>
      <c r="BM4515">
        <f>IF('01_Вводные'!$B$234="Да",IF(OR('19_Расчет_аналитики'!BM4487=0,4&lt;='01_Вводные'!$B$297),0,'19_Расчет_аналитики'!BM4487*IF('01_Вводные'!$B$239="Да",MeanMinAge04+'19_Расчет_аналитики'!BM4607*SUMIF(ThresholdAge04,"&lt;"&amp;'19_Расчет_аналитики'!BM4607,WeightedRevAge04)-SUMIF(ThresholdAge04,"&lt;"&amp;'19_Расчет_аналитики'!BM4607,WeightedMinAge04),MAX(CapacityAge04*'01_Вводные'!$B$218*'19_Расчет_аналитики'!BM4607,MeanMinAge04))),0)</f>
        <v/>
      </c>
      <c r="BN4515">
        <f>IF('01_Вводные'!$B$234="Да",IF(OR('19_Расчет_аналитики'!BN4487=0,4&lt;='01_Вводные'!$B$297),0,'19_Расчет_аналитики'!BN4487*IF('01_Вводные'!$B$239="Да",MeanMinAge04+'19_Расчет_аналитики'!BN4607*SUMIF(ThresholdAge04,"&lt;"&amp;'19_Расчет_аналитики'!BN4607,WeightedRevAge04)-SUMIF(ThresholdAge04,"&lt;"&amp;'19_Расчет_аналитики'!BN4607,WeightedMinAge04),MAX(CapacityAge04*'01_Вводные'!$B$218*'19_Расчет_аналитики'!BN4607,MeanMinAge04))),0)</f>
        <v/>
      </c>
      <c r="BO4515">
        <f>IF('01_Вводные'!$B$234="Да",IF(OR('19_Расчет_аналитики'!BO4487=0,4&lt;='01_Вводные'!$B$297),0,'19_Расчет_аналитики'!BO4487*IF('01_Вводные'!$B$239="Да",MeanMinAge04+'19_Расчет_аналитики'!BO4607*SUMIF(ThresholdAge04,"&lt;"&amp;'19_Расчет_аналитики'!BO4607,WeightedRevAge04)-SUMIF(ThresholdAge04,"&lt;"&amp;'19_Расчет_аналитики'!BO4607,WeightedMinAge04),MAX(CapacityAge04*'01_Вводные'!$B$218*'19_Расчет_аналитики'!BO4607,MeanMinAge04))),0)</f>
        <v/>
      </c>
    </row>
    <row r="4516">
      <c r="B4516">
        <f>IF('01_Вводные'!$B$234="Да",IF(OR('06_Сеть_и_дети'!B85=0,5&lt;='01_Вводные'!$B$297),0,'06_Сеть_и_дети'!B85*IF('01_Вводные'!$B$239="Да",MeanMinAge05+'19_Расчет_аналитики'!B4607*SUMIF(ThresholdAge05,"&lt;"&amp;'19_Расчет_аналитики'!B4607,WeightedRevAge05)-SUMIF(ThresholdAge05,"&lt;"&amp;'19_Расчет_аналитики'!B4607,WeightedMinAge05),MAX(CapacityAge05*'01_Вводные'!$B$218*'19_Расчет_аналитики'!B4607,MeanMinAge05))),0)</f>
        <v/>
      </c>
      <c r="C4516">
        <f>IF('01_Вводные'!$B$234="Да",IF(OR('06_Сеть_и_дети'!C85=0,5&lt;='01_Вводные'!$B$297),0,'06_Сеть_и_дети'!C85*IF('01_Вводные'!$B$239="Да",MeanMinAge05+'19_Расчет_аналитики'!C4607*SUMIF(ThresholdAge05,"&lt;"&amp;'19_Расчет_аналитики'!C4607,WeightedRevAge05)-SUMIF(ThresholdAge05,"&lt;"&amp;'19_Расчет_аналитики'!C4607,WeightedMinAge05),MAX(CapacityAge05*'01_Вводные'!$B$218*'19_Расчет_аналитики'!C4607,MeanMinAge05))),0)</f>
        <v/>
      </c>
      <c r="D4516">
        <f>IF('01_Вводные'!$B$234="Да",IF(OR('06_Сеть_и_дети'!D85=0,5&lt;='01_Вводные'!$B$297),0,'06_Сеть_и_дети'!D85*IF('01_Вводные'!$B$239="Да",MeanMinAge05+'19_Расчет_аналитики'!D4607*SUMIF(ThresholdAge05,"&lt;"&amp;'19_Расчет_аналитики'!D4607,WeightedRevAge05)-SUMIF(ThresholdAge05,"&lt;"&amp;'19_Расчет_аналитики'!D4607,WeightedMinAge05),MAX(CapacityAge05*'01_Вводные'!$B$218*'19_Расчет_аналитики'!D4607,MeanMinAge05))),0)</f>
        <v/>
      </c>
      <c r="E4516">
        <f>IF('01_Вводные'!$B$234="Да",IF(OR('06_Сеть_и_дети'!E85=0,5&lt;='01_Вводные'!$B$297),0,'06_Сеть_и_дети'!E85*IF('01_Вводные'!$B$239="Да",MeanMinAge05+'19_Расчет_аналитики'!E4607*SUMIF(ThresholdAge05,"&lt;"&amp;'19_Расчет_аналитики'!E4607,WeightedRevAge05)-SUMIF(ThresholdAge05,"&lt;"&amp;'19_Расчет_аналитики'!E4607,WeightedMinAge05),MAX(CapacityAge05*'01_Вводные'!$B$218*'19_Расчет_аналитики'!E4607,MeanMinAge05))),0)</f>
        <v/>
      </c>
      <c r="F4516">
        <f>IF('01_Вводные'!$B$234="Да",IF(OR('19_Расчет_аналитики'!F4488=0,5&lt;='01_Вводные'!$B$297),0,'19_Расчет_аналитики'!F4488*IF('01_Вводные'!$B$239="Да",MeanMinAge05+'19_Расчет_аналитики'!F4607*SUMIF(ThresholdAge05,"&lt;"&amp;'19_Расчет_аналитики'!F4607,WeightedRevAge05)-SUMIF(ThresholdAge05,"&lt;"&amp;'19_Расчет_аналитики'!F4607,WeightedMinAge05),MAX(CapacityAge05*'01_Вводные'!$B$218*'19_Расчет_аналитики'!F4607,MeanMinAge05))),0)</f>
        <v/>
      </c>
      <c r="G4516">
        <f>IF('01_Вводные'!$B$234="Да",IF(OR('19_Расчет_аналитики'!G4488=0,5&lt;='01_Вводные'!$B$297),0,'19_Расчет_аналитики'!G4488*IF('01_Вводные'!$B$239="Да",MeanMinAge05+'19_Расчет_аналитики'!G4607*SUMIF(ThresholdAge05,"&lt;"&amp;'19_Расчет_аналитики'!G4607,WeightedRevAge05)-SUMIF(ThresholdAge05,"&lt;"&amp;'19_Расчет_аналитики'!G4607,WeightedMinAge05),MAX(CapacityAge05*'01_Вводные'!$B$218*'19_Расчет_аналитики'!G4607,MeanMinAge05))),0)</f>
        <v/>
      </c>
      <c r="H4516">
        <f>IF('01_Вводные'!$B$234="Да",IF(OR('19_Расчет_аналитики'!H4488=0,5&lt;='01_Вводные'!$B$297),0,'19_Расчет_аналитики'!H4488*IF('01_Вводные'!$B$239="Да",MeanMinAge05+'19_Расчет_аналитики'!H4607*SUMIF(ThresholdAge05,"&lt;"&amp;'19_Расчет_аналитики'!H4607,WeightedRevAge05)-SUMIF(ThresholdAge05,"&lt;"&amp;'19_Расчет_аналитики'!H4607,WeightedMinAge05),MAX(CapacityAge05*'01_Вводные'!$B$218*'19_Расчет_аналитики'!H4607,MeanMinAge05))),0)</f>
        <v/>
      </c>
      <c r="I4516">
        <f>IF('01_Вводные'!$B$234="Да",IF(OR('19_Расчет_аналитики'!I4488=0,5&lt;='01_Вводные'!$B$297),0,'19_Расчет_аналитики'!I4488*IF('01_Вводные'!$B$239="Да",MeanMinAge05+'19_Расчет_аналитики'!I4607*SUMIF(ThresholdAge05,"&lt;"&amp;'19_Расчет_аналитики'!I4607,WeightedRevAge05)-SUMIF(ThresholdAge05,"&lt;"&amp;'19_Расчет_аналитики'!I4607,WeightedMinAge05),MAX(CapacityAge05*'01_Вводные'!$B$218*'19_Расчет_аналитики'!I4607,MeanMinAge05))),0)</f>
        <v/>
      </c>
      <c r="J4516">
        <f>IF('01_Вводные'!$B$234="Да",IF(OR('19_Расчет_аналитики'!J4488=0,5&lt;='01_Вводные'!$B$297),0,'19_Расчет_аналитики'!J4488*IF('01_Вводные'!$B$239="Да",MeanMinAge05+'19_Расчет_аналитики'!J4607*SUMIF(ThresholdAge05,"&lt;"&amp;'19_Расчет_аналитики'!J4607,WeightedRevAge05)-SUMIF(ThresholdAge05,"&lt;"&amp;'19_Расчет_аналитики'!J4607,WeightedMinAge05),MAX(CapacityAge05*'01_Вводные'!$B$218*'19_Расчет_аналитики'!J4607,MeanMinAge05))),0)</f>
        <v/>
      </c>
      <c r="K4516">
        <f>IF('01_Вводные'!$B$234="Да",IF(OR('19_Расчет_аналитики'!K4488=0,5&lt;='01_Вводные'!$B$297),0,'19_Расчет_аналитики'!K4488*IF('01_Вводные'!$B$239="Да",MeanMinAge05+'19_Расчет_аналитики'!K4607*SUMIF(ThresholdAge05,"&lt;"&amp;'19_Расчет_аналитики'!K4607,WeightedRevAge05)-SUMIF(ThresholdAge05,"&lt;"&amp;'19_Расчет_аналитики'!K4607,WeightedMinAge05),MAX(CapacityAge05*'01_Вводные'!$B$218*'19_Расчет_аналитики'!K4607,MeanMinAge05))),0)</f>
        <v/>
      </c>
      <c r="L4516">
        <f>IF('01_Вводные'!$B$234="Да",IF(OR('19_Расчет_аналитики'!L4488=0,5&lt;='01_Вводные'!$B$297),0,'19_Расчет_аналитики'!L4488*IF('01_Вводные'!$B$239="Да",MeanMinAge05+'19_Расчет_аналитики'!L4607*SUMIF(ThresholdAge05,"&lt;"&amp;'19_Расчет_аналитики'!L4607,WeightedRevAge05)-SUMIF(ThresholdAge05,"&lt;"&amp;'19_Расчет_аналитики'!L4607,WeightedMinAge05),MAX(CapacityAge05*'01_Вводные'!$B$218*'19_Расчет_аналитики'!L4607,MeanMinAge05))),0)</f>
        <v/>
      </c>
      <c r="M4516">
        <f>IF('01_Вводные'!$B$234="Да",IF(OR('19_Расчет_аналитики'!M4488=0,5&lt;='01_Вводные'!$B$297),0,'19_Расчет_аналитики'!M4488*IF('01_Вводные'!$B$239="Да",MeanMinAge05+'19_Расчет_аналитики'!M4607*SUMIF(ThresholdAge05,"&lt;"&amp;'19_Расчет_аналитики'!M4607,WeightedRevAge05)-SUMIF(ThresholdAge05,"&lt;"&amp;'19_Расчет_аналитики'!M4607,WeightedMinAge05),MAX(CapacityAge05*'01_Вводные'!$B$218*'19_Расчет_аналитики'!M4607,MeanMinAge05))),0)</f>
        <v/>
      </c>
      <c r="N4516">
        <f>IF('01_Вводные'!$B$234="Да",IF(OR('19_Расчет_аналитики'!N4488=0,5&lt;='01_Вводные'!$B$297),0,'19_Расчет_аналитики'!N4488*IF('01_Вводные'!$B$239="Да",MeanMinAge05+'19_Расчет_аналитики'!N4607*SUMIF(ThresholdAge05,"&lt;"&amp;'19_Расчет_аналитики'!N4607,WeightedRevAge05)-SUMIF(ThresholdAge05,"&lt;"&amp;'19_Расчет_аналитики'!N4607,WeightedMinAge05),MAX(CapacityAge05*'01_Вводные'!$B$218*'19_Расчет_аналитики'!N4607,MeanMinAge05))),0)</f>
        <v/>
      </c>
      <c r="O4516">
        <f>IF('01_Вводные'!$B$234="Да",IF(OR('19_Расчет_аналитики'!O4488=0,5&lt;='01_Вводные'!$B$297),0,'19_Расчет_аналитики'!O4488*IF('01_Вводные'!$B$239="Да",MeanMinAge05+'19_Расчет_аналитики'!O4607*SUMIF(ThresholdAge05,"&lt;"&amp;'19_Расчет_аналитики'!O4607,WeightedRevAge05)-SUMIF(ThresholdAge05,"&lt;"&amp;'19_Расчет_аналитики'!O4607,WeightedMinAge05),MAX(CapacityAge05*'01_Вводные'!$B$218*'19_Расчет_аналитики'!O4607,MeanMinAge05))),0)</f>
        <v/>
      </c>
      <c r="P4516">
        <f>IF('01_Вводные'!$B$234="Да",IF(OR('19_Расчет_аналитики'!P4488=0,5&lt;='01_Вводные'!$B$297),0,'19_Расчет_аналитики'!P4488*IF('01_Вводные'!$B$239="Да",MeanMinAge05+'19_Расчет_аналитики'!P4607*SUMIF(ThresholdAge05,"&lt;"&amp;'19_Расчет_аналитики'!P4607,WeightedRevAge05)-SUMIF(ThresholdAge05,"&lt;"&amp;'19_Расчет_аналитики'!P4607,WeightedMinAge05),MAX(CapacityAge05*'01_Вводные'!$B$218*'19_Расчет_аналитики'!P4607,MeanMinAge05))),0)</f>
        <v/>
      </c>
      <c r="Q4516">
        <f>IF('01_Вводные'!$B$234="Да",IF(OR('19_Расчет_аналитики'!Q4488=0,5&lt;='01_Вводные'!$B$297),0,'19_Расчет_аналитики'!Q4488*IF('01_Вводные'!$B$239="Да",MeanMinAge05+'19_Расчет_аналитики'!Q4607*SUMIF(ThresholdAge05,"&lt;"&amp;'19_Расчет_аналитики'!Q4607,WeightedRevAge05)-SUMIF(ThresholdAge05,"&lt;"&amp;'19_Расчет_аналитики'!Q4607,WeightedMinAge05),MAX(CapacityAge05*'01_Вводные'!$B$218*'19_Расчет_аналитики'!Q4607,MeanMinAge05))),0)</f>
        <v/>
      </c>
      <c r="R4516">
        <f>IF('01_Вводные'!$B$234="Да",IF(OR('19_Расчет_аналитики'!R4488=0,5&lt;='01_Вводные'!$B$297),0,'19_Расчет_аналитики'!R4488*IF('01_Вводные'!$B$239="Да",MeanMinAge05+'19_Расчет_аналитики'!R4607*SUMIF(ThresholdAge05,"&lt;"&amp;'19_Расчет_аналитики'!R4607,WeightedRevAge05)-SUMIF(ThresholdAge05,"&lt;"&amp;'19_Расчет_аналитики'!R4607,WeightedMinAge05),MAX(CapacityAge05*'01_Вводные'!$B$218*'19_Расчет_аналитики'!R4607,MeanMinAge05))),0)</f>
        <v/>
      </c>
      <c r="S4516">
        <f>IF('01_Вводные'!$B$234="Да",IF(OR('19_Расчет_аналитики'!S4488=0,5&lt;='01_Вводные'!$B$297),0,'19_Расчет_аналитики'!S4488*IF('01_Вводные'!$B$239="Да",MeanMinAge05+'19_Расчет_аналитики'!S4607*SUMIF(ThresholdAge05,"&lt;"&amp;'19_Расчет_аналитики'!S4607,WeightedRevAge05)-SUMIF(ThresholdAge05,"&lt;"&amp;'19_Расчет_аналитики'!S4607,WeightedMinAge05),MAX(CapacityAge05*'01_Вводные'!$B$218*'19_Расчет_аналитики'!S4607,MeanMinAge05))),0)</f>
        <v/>
      </c>
      <c r="T4516">
        <f>IF('01_Вводные'!$B$234="Да",IF(OR('19_Расчет_аналитики'!T4488=0,5&lt;='01_Вводные'!$B$297),0,'19_Расчет_аналитики'!T4488*IF('01_Вводные'!$B$239="Да",MeanMinAge05+'19_Расчет_аналитики'!T4607*SUMIF(ThresholdAge05,"&lt;"&amp;'19_Расчет_аналитики'!T4607,WeightedRevAge05)-SUMIF(ThresholdAge05,"&lt;"&amp;'19_Расчет_аналитики'!T4607,WeightedMinAge05),MAX(CapacityAge05*'01_Вводные'!$B$218*'19_Расчет_аналитики'!T4607,MeanMinAge05))),0)</f>
        <v/>
      </c>
      <c r="U4516">
        <f>IF('01_Вводные'!$B$234="Да",IF(OR('19_Расчет_аналитики'!U4488=0,5&lt;='01_Вводные'!$B$297),0,'19_Расчет_аналитики'!U4488*IF('01_Вводные'!$B$239="Да",MeanMinAge05+'19_Расчет_аналитики'!U4607*SUMIF(ThresholdAge05,"&lt;"&amp;'19_Расчет_аналитики'!U4607,WeightedRevAge05)-SUMIF(ThresholdAge05,"&lt;"&amp;'19_Расчет_аналитики'!U4607,WeightedMinAge05),MAX(CapacityAge05*'01_Вводные'!$B$218*'19_Расчет_аналитики'!U4607,MeanMinAge05))),0)</f>
        <v/>
      </c>
      <c r="V4516">
        <f>IF('01_Вводные'!$B$234="Да",IF(OR('19_Расчет_аналитики'!V4488=0,5&lt;='01_Вводные'!$B$297),0,'19_Расчет_аналитики'!V4488*IF('01_Вводные'!$B$239="Да",MeanMinAge05+'19_Расчет_аналитики'!V4607*SUMIF(ThresholdAge05,"&lt;"&amp;'19_Расчет_аналитики'!V4607,WeightedRevAge05)-SUMIF(ThresholdAge05,"&lt;"&amp;'19_Расчет_аналитики'!V4607,WeightedMinAge05),MAX(CapacityAge05*'01_Вводные'!$B$218*'19_Расчет_аналитики'!V4607,MeanMinAge05))),0)</f>
        <v/>
      </c>
      <c r="W4516">
        <f>IF('01_Вводные'!$B$234="Да",IF(OR('19_Расчет_аналитики'!W4488=0,5&lt;='01_Вводные'!$B$297),0,'19_Расчет_аналитики'!W4488*IF('01_Вводные'!$B$239="Да",MeanMinAge05+'19_Расчет_аналитики'!W4607*SUMIF(ThresholdAge05,"&lt;"&amp;'19_Расчет_аналитики'!W4607,WeightedRevAge05)-SUMIF(ThresholdAge05,"&lt;"&amp;'19_Расчет_аналитики'!W4607,WeightedMinAge05),MAX(CapacityAge05*'01_Вводные'!$B$218*'19_Расчет_аналитики'!W4607,MeanMinAge05))),0)</f>
        <v/>
      </c>
      <c r="X4516">
        <f>IF('01_Вводные'!$B$234="Да",IF(OR('19_Расчет_аналитики'!X4488=0,5&lt;='01_Вводные'!$B$297),0,'19_Расчет_аналитики'!X4488*IF('01_Вводные'!$B$239="Да",MeanMinAge05+'19_Расчет_аналитики'!X4607*SUMIF(ThresholdAge05,"&lt;"&amp;'19_Расчет_аналитики'!X4607,WeightedRevAge05)-SUMIF(ThresholdAge05,"&lt;"&amp;'19_Расчет_аналитики'!X4607,WeightedMinAge05),MAX(CapacityAge05*'01_Вводные'!$B$218*'19_Расчет_аналитики'!X4607,MeanMinAge05))),0)</f>
        <v/>
      </c>
      <c r="Y4516">
        <f>IF('01_Вводные'!$B$234="Да",IF(OR('19_Расчет_аналитики'!Y4488=0,5&lt;='01_Вводные'!$B$297),0,'19_Расчет_аналитики'!Y4488*IF('01_Вводные'!$B$239="Да",MeanMinAge05+'19_Расчет_аналитики'!Y4607*SUMIF(ThresholdAge05,"&lt;"&amp;'19_Расчет_аналитики'!Y4607,WeightedRevAge05)-SUMIF(ThresholdAge05,"&lt;"&amp;'19_Расчет_аналитики'!Y4607,WeightedMinAge05),MAX(CapacityAge05*'01_Вводные'!$B$218*'19_Расчет_аналитики'!Y4607,MeanMinAge05))),0)</f>
        <v/>
      </c>
      <c r="Z4516">
        <f>IF('01_Вводные'!$B$234="Да",IF(OR('19_Расчет_аналитики'!Z4488=0,5&lt;='01_Вводные'!$B$297),0,'19_Расчет_аналитики'!Z4488*IF('01_Вводные'!$B$239="Да",MeanMinAge05+'19_Расчет_аналитики'!Z4607*SUMIF(ThresholdAge05,"&lt;"&amp;'19_Расчет_аналитики'!Z4607,WeightedRevAge05)-SUMIF(ThresholdAge05,"&lt;"&amp;'19_Расчет_аналитики'!Z4607,WeightedMinAge05),MAX(CapacityAge05*'01_Вводные'!$B$218*'19_Расчет_аналитики'!Z4607,MeanMinAge05))),0)</f>
        <v/>
      </c>
      <c r="AA4516">
        <f>IF('01_Вводные'!$B$234="Да",IF(OR('19_Расчет_аналитики'!AA4488=0,5&lt;='01_Вводные'!$B$297),0,'19_Расчет_аналитики'!AA4488*IF('01_Вводные'!$B$239="Да",MeanMinAge05+'19_Расчет_аналитики'!AA4607*SUMIF(ThresholdAge05,"&lt;"&amp;'19_Расчет_аналитики'!AA4607,WeightedRevAge05)-SUMIF(ThresholdAge05,"&lt;"&amp;'19_Расчет_аналитики'!AA4607,WeightedMinAge05),MAX(CapacityAge05*'01_Вводные'!$B$218*'19_Расчет_аналитики'!AA4607,MeanMinAge05))),0)</f>
        <v/>
      </c>
      <c r="AB4516">
        <f>IF('01_Вводные'!$B$234="Да",IF(OR('19_Расчет_аналитики'!AB4488=0,5&lt;='01_Вводные'!$B$297),0,'19_Расчет_аналитики'!AB4488*IF('01_Вводные'!$B$239="Да",MeanMinAge05+'19_Расчет_аналитики'!AB4607*SUMIF(ThresholdAge05,"&lt;"&amp;'19_Расчет_аналитики'!AB4607,WeightedRevAge05)-SUMIF(ThresholdAge05,"&lt;"&amp;'19_Расчет_аналитики'!AB4607,WeightedMinAge05),MAX(CapacityAge05*'01_Вводные'!$B$218*'19_Расчет_аналитики'!AB4607,MeanMinAge05))),0)</f>
        <v/>
      </c>
      <c r="AC4516">
        <f>IF('01_Вводные'!$B$234="Да",IF(OR('19_Расчет_аналитики'!AC4488=0,5&lt;='01_Вводные'!$B$297),0,'19_Расчет_аналитики'!AC4488*IF('01_Вводные'!$B$239="Да",MeanMinAge05+'19_Расчет_аналитики'!AC4607*SUMIF(ThresholdAge05,"&lt;"&amp;'19_Расчет_аналитики'!AC4607,WeightedRevAge05)-SUMIF(ThresholdAge05,"&lt;"&amp;'19_Расчет_аналитики'!AC4607,WeightedMinAge05),MAX(CapacityAge05*'01_Вводные'!$B$218*'19_Расчет_аналитики'!AC4607,MeanMinAge05))),0)</f>
        <v/>
      </c>
      <c r="AD4516">
        <f>IF('01_Вводные'!$B$234="Да",IF(OR('19_Расчет_аналитики'!AD4488=0,5&lt;='01_Вводные'!$B$297),0,'19_Расчет_аналитики'!AD4488*IF('01_Вводные'!$B$239="Да",MeanMinAge05+'19_Расчет_аналитики'!AD4607*SUMIF(ThresholdAge05,"&lt;"&amp;'19_Расчет_аналитики'!AD4607,WeightedRevAge05)-SUMIF(ThresholdAge05,"&lt;"&amp;'19_Расчет_аналитики'!AD4607,WeightedMinAge05),MAX(CapacityAge05*'01_Вводные'!$B$218*'19_Расчет_аналитики'!AD4607,MeanMinAge05))),0)</f>
        <v/>
      </c>
      <c r="AE4516">
        <f>IF('01_Вводные'!$B$234="Да",IF(OR('19_Расчет_аналитики'!AE4488=0,5&lt;='01_Вводные'!$B$297),0,'19_Расчет_аналитики'!AE4488*IF('01_Вводные'!$B$239="Да",MeanMinAge05+'19_Расчет_аналитики'!AE4607*SUMIF(ThresholdAge05,"&lt;"&amp;'19_Расчет_аналитики'!AE4607,WeightedRevAge05)-SUMIF(ThresholdAge05,"&lt;"&amp;'19_Расчет_аналитики'!AE4607,WeightedMinAge05),MAX(CapacityAge05*'01_Вводные'!$B$218*'19_Расчет_аналитики'!AE4607,MeanMinAge05))),0)</f>
        <v/>
      </c>
      <c r="AF4516">
        <f>IF('01_Вводные'!$B$234="Да",IF(OR('19_Расчет_аналитики'!AF4488=0,5&lt;='01_Вводные'!$B$297),0,'19_Расчет_аналитики'!AF4488*IF('01_Вводные'!$B$239="Да",MeanMinAge05+'19_Расчет_аналитики'!AF4607*SUMIF(ThresholdAge05,"&lt;"&amp;'19_Расчет_аналитики'!AF4607,WeightedRevAge05)-SUMIF(ThresholdAge05,"&lt;"&amp;'19_Расчет_аналитики'!AF4607,WeightedMinAge05),MAX(CapacityAge05*'01_Вводные'!$B$218*'19_Расчет_аналитики'!AF4607,MeanMinAge05))),0)</f>
        <v/>
      </c>
      <c r="AG4516">
        <f>IF('01_Вводные'!$B$234="Да",IF(OR('19_Расчет_аналитики'!AG4488=0,5&lt;='01_Вводные'!$B$297),0,'19_Расчет_аналитики'!AG4488*IF('01_Вводные'!$B$239="Да",MeanMinAge05+'19_Расчет_аналитики'!AG4607*SUMIF(ThresholdAge05,"&lt;"&amp;'19_Расчет_аналитики'!AG4607,WeightedRevAge05)-SUMIF(ThresholdAge05,"&lt;"&amp;'19_Расчет_аналитики'!AG4607,WeightedMinAge05),MAX(CapacityAge05*'01_Вводные'!$B$218*'19_Расчет_аналитики'!AG4607,MeanMinAge05))),0)</f>
        <v/>
      </c>
      <c r="AH4516">
        <f>IF('01_Вводные'!$B$234="Да",IF(OR('19_Расчет_аналитики'!AH4488=0,5&lt;='01_Вводные'!$B$297),0,'19_Расчет_аналитики'!AH4488*IF('01_Вводные'!$B$239="Да",MeanMinAge05+'19_Расчет_аналитики'!AH4607*SUMIF(ThresholdAge05,"&lt;"&amp;'19_Расчет_аналитики'!AH4607,WeightedRevAge05)-SUMIF(ThresholdAge05,"&lt;"&amp;'19_Расчет_аналитики'!AH4607,WeightedMinAge05),MAX(CapacityAge05*'01_Вводные'!$B$218*'19_Расчет_аналитики'!AH4607,MeanMinAge05))),0)</f>
        <v/>
      </c>
      <c r="AI4516">
        <f>IF('01_Вводные'!$B$234="Да",IF(OR('19_Расчет_аналитики'!AI4488=0,5&lt;='01_Вводные'!$B$297),0,'19_Расчет_аналитики'!AI4488*IF('01_Вводные'!$B$239="Да",MeanMinAge05+'19_Расчет_аналитики'!AI4607*SUMIF(ThresholdAge05,"&lt;"&amp;'19_Расчет_аналитики'!AI4607,WeightedRevAge05)-SUMIF(ThresholdAge05,"&lt;"&amp;'19_Расчет_аналитики'!AI4607,WeightedMinAge05),MAX(CapacityAge05*'01_Вводные'!$B$218*'19_Расчет_аналитики'!AI4607,MeanMinAge05))),0)</f>
        <v/>
      </c>
      <c r="AJ4516">
        <f>IF('01_Вводные'!$B$234="Да",IF(OR('19_Расчет_аналитики'!AJ4488=0,5&lt;='01_Вводные'!$B$297),0,'19_Расчет_аналитики'!AJ4488*IF('01_Вводные'!$B$239="Да",MeanMinAge05+'19_Расчет_аналитики'!AJ4607*SUMIF(ThresholdAge05,"&lt;"&amp;'19_Расчет_аналитики'!AJ4607,WeightedRevAge05)-SUMIF(ThresholdAge05,"&lt;"&amp;'19_Расчет_аналитики'!AJ4607,WeightedMinAge05),MAX(CapacityAge05*'01_Вводные'!$B$218*'19_Расчет_аналитики'!AJ4607,MeanMinAge05))),0)</f>
        <v/>
      </c>
      <c r="AK4516">
        <f>IF('01_Вводные'!$B$234="Да",IF(OR('19_Расчет_аналитики'!AK4488=0,5&lt;='01_Вводные'!$B$297),0,'19_Расчет_аналитики'!AK4488*IF('01_Вводные'!$B$239="Да",MeanMinAge05+'19_Расчет_аналитики'!AK4607*SUMIF(ThresholdAge05,"&lt;"&amp;'19_Расчет_аналитики'!AK4607,WeightedRevAge05)-SUMIF(ThresholdAge05,"&lt;"&amp;'19_Расчет_аналитики'!AK4607,WeightedMinAge05),MAX(CapacityAge05*'01_Вводные'!$B$218*'19_Расчет_аналитики'!AK4607,MeanMinAge05))),0)</f>
        <v/>
      </c>
      <c r="AL4516">
        <f>IF('01_Вводные'!$B$234="Да",IF(OR('19_Расчет_аналитики'!AL4488=0,5&lt;='01_Вводные'!$B$297),0,'19_Расчет_аналитики'!AL4488*IF('01_Вводные'!$B$239="Да",MeanMinAge05+'19_Расчет_аналитики'!AL4607*SUMIF(ThresholdAge05,"&lt;"&amp;'19_Расчет_аналитики'!AL4607,WeightedRevAge05)-SUMIF(ThresholdAge05,"&lt;"&amp;'19_Расчет_аналитики'!AL4607,WeightedMinAge05),MAX(CapacityAge05*'01_Вводные'!$B$218*'19_Расчет_аналитики'!AL4607,MeanMinAge05))),0)</f>
        <v/>
      </c>
      <c r="AM4516">
        <f>IF('01_Вводные'!$B$234="Да",IF(OR('19_Расчет_аналитики'!AM4488=0,5&lt;='01_Вводные'!$B$297),0,'19_Расчет_аналитики'!AM4488*IF('01_Вводные'!$B$239="Да",MeanMinAge05+'19_Расчет_аналитики'!AM4607*SUMIF(ThresholdAge05,"&lt;"&amp;'19_Расчет_аналитики'!AM4607,WeightedRevAge05)-SUMIF(ThresholdAge05,"&lt;"&amp;'19_Расчет_аналитики'!AM4607,WeightedMinAge05),MAX(CapacityAge05*'01_Вводные'!$B$218*'19_Расчет_аналитики'!AM4607,MeanMinAge05))),0)</f>
        <v/>
      </c>
      <c r="AN4516">
        <f>IF('01_Вводные'!$B$234="Да",IF(OR('19_Расчет_аналитики'!AN4488=0,5&lt;='01_Вводные'!$B$297),0,'19_Расчет_аналитики'!AN4488*IF('01_Вводные'!$B$239="Да",MeanMinAge05+'19_Расчет_аналитики'!AN4607*SUMIF(ThresholdAge05,"&lt;"&amp;'19_Расчет_аналитики'!AN4607,WeightedRevAge05)-SUMIF(ThresholdAge05,"&lt;"&amp;'19_Расчет_аналитики'!AN4607,WeightedMinAge05),MAX(CapacityAge05*'01_Вводные'!$B$218*'19_Расчет_аналитики'!AN4607,MeanMinAge05))),0)</f>
        <v/>
      </c>
      <c r="AO4516">
        <f>IF('01_Вводные'!$B$234="Да",IF(OR('19_Расчет_аналитики'!AO4488=0,5&lt;='01_Вводные'!$B$297),0,'19_Расчет_аналитики'!AO4488*IF('01_Вводные'!$B$239="Да",MeanMinAge05+'19_Расчет_аналитики'!AO4607*SUMIF(ThresholdAge05,"&lt;"&amp;'19_Расчет_аналитики'!AO4607,WeightedRevAge05)-SUMIF(ThresholdAge05,"&lt;"&amp;'19_Расчет_аналитики'!AO4607,WeightedMinAge05),MAX(CapacityAge05*'01_Вводные'!$B$218*'19_Расчет_аналитики'!AO4607,MeanMinAge05))),0)</f>
        <v/>
      </c>
      <c r="AP4516">
        <f>IF('01_Вводные'!$B$234="Да",IF(OR('19_Расчет_аналитики'!AP4488=0,5&lt;='01_Вводные'!$B$297),0,'19_Расчет_аналитики'!AP4488*IF('01_Вводные'!$B$239="Да",MeanMinAge05+'19_Расчет_аналитики'!AP4607*SUMIF(ThresholdAge05,"&lt;"&amp;'19_Расчет_аналитики'!AP4607,WeightedRevAge05)-SUMIF(ThresholdAge05,"&lt;"&amp;'19_Расчет_аналитики'!AP4607,WeightedMinAge05),MAX(CapacityAge05*'01_Вводные'!$B$218*'19_Расчет_аналитики'!AP4607,MeanMinAge05))),0)</f>
        <v/>
      </c>
      <c r="AQ4516">
        <f>IF('01_Вводные'!$B$234="Да",IF(OR('19_Расчет_аналитики'!AQ4488=0,5&lt;='01_Вводные'!$B$297),0,'19_Расчет_аналитики'!AQ4488*IF('01_Вводные'!$B$239="Да",MeanMinAge05+'19_Расчет_аналитики'!AQ4607*SUMIF(ThresholdAge05,"&lt;"&amp;'19_Расчет_аналитики'!AQ4607,WeightedRevAge05)-SUMIF(ThresholdAge05,"&lt;"&amp;'19_Расчет_аналитики'!AQ4607,WeightedMinAge05),MAX(CapacityAge05*'01_Вводные'!$B$218*'19_Расчет_аналитики'!AQ4607,MeanMinAge05))),0)</f>
        <v/>
      </c>
      <c r="AR4516">
        <f>IF('01_Вводные'!$B$234="Да",IF(OR('19_Расчет_аналитики'!AR4488=0,5&lt;='01_Вводные'!$B$297),0,'19_Расчет_аналитики'!AR4488*IF('01_Вводные'!$B$239="Да",MeanMinAge05+'19_Расчет_аналитики'!AR4607*SUMIF(ThresholdAge05,"&lt;"&amp;'19_Расчет_аналитики'!AR4607,WeightedRevAge05)-SUMIF(ThresholdAge05,"&lt;"&amp;'19_Расчет_аналитики'!AR4607,WeightedMinAge05),MAX(CapacityAge05*'01_Вводные'!$B$218*'19_Расчет_аналитики'!AR4607,MeanMinAge05))),0)</f>
        <v/>
      </c>
      <c r="AS4516">
        <f>IF('01_Вводные'!$B$234="Да",IF(OR('19_Расчет_аналитики'!AS4488=0,5&lt;='01_Вводные'!$B$297),0,'19_Расчет_аналитики'!AS4488*IF('01_Вводные'!$B$239="Да",MeanMinAge05+'19_Расчет_аналитики'!AS4607*SUMIF(ThresholdAge05,"&lt;"&amp;'19_Расчет_аналитики'!AS4607,WeightedRevAge05)-SUMIF(ThresholdAge05,"&lt;"&amp;'19_Расчет_аналитики'!AS4607,WeightedMinAge05),MAX(CapacityAge05*'01_Вводные'!$B$218*'19_Расчет_аналитики'!AS4607,MeanMinAge05))),0)</f>
        <v/>
      </c>
      <c r="AT4516">
        <f>IF('01_Вводные'!$B$234="Да",IF(OR('19_Расчет_аналитики'!AT4488=0,5&lt;='01_Вводные'!$B$297),0,'19_Расчет_аналитики'!AT4488*IF('01_Вводные'!$B$239="Да",MeanMinAge05+'19_Расчет_аналитики'!AT4607*SUMIF(ThresholdAge05,"&lt;"&amp;'19_Расчет_аналитики'!AT4607,WeightedRevAge05)-SUMIF(ThresholdAge05,"&lt;"&amp;'19_Расчет_аналитики'!AT4607,WeightedMinAge05),MAX(CapacityAge05*'01_Вводные'!$B$218*'19_Расчет_аналитики'!AT4607,MeanMinAge05))),0)</f>
        <v/>
      </c>
      <c r="AU4516">
        <f>IF('01_Вводные'!$B$234="Да",IF(OR('19_Расчет_аналитики'!AU4488=0,5&lt;='01_Вводные'!$B$297),0,'19_Расчет_аналитики'!AU4488*IF('01_Вводные'!$B$239="Да",MeanMinAge05+'19_Расчет_аналитики'!AU4607*SUMIF(ThresholdAge05,"&lt;"&amp;'19_Расчет_аналитики'!AU4607,WeightedRevAge05)-SUMIF(ThresholdAge05,"&lt;"&amp;'19_Расчет_аналитики'!AU4607,WeightedMinAge05),MAX(CapacityAge05*'01_Вводные'!$B$218*'19_Расчет_аналитики'!AU4607,MeanMinAge05))),0)</f>
        <v/>
      </c>
      <c r="AV4516">
        <f>IF('01_Вводные'!$B$234="Да",IF(OR('19_Расчет_аналитики'!AV4488=0,5&lt;='01_Вводные'!$B$297),0,'19_Расчет_аналитики'!AV4488*IF('01_Вводные'!$B$239="Да",MeanMinAge05+'19_Расчет_аналитики'!AV4607*SUMIF(ThresholdAge05,"&lt;"&amp;'19_Расчет_аналитики'!AV4607,WeightedRevAge05)-SUMIF(ThresholdAge05,"&lt;"&amp;'19_Расчет_аналитики'!AV4607,WeightedMinAge05),MAX(CapacityAge05*'01_Вводные'!$B$218*'19_Расчет_аналитики'!AV4607,MeanMinAge05))),0)</f>
        <v/>
      </c>
      <c r="AW4516">
        <f>IF('01_Вводные'!$B$234="Да",IF(OR('19_Расчет_аналитики'!AW4488=0,5&lt;='01_Вводные'!$B$297),0,'19_Расчет_аналитики'!AW4488*IF('01_Вводные'!$B$239="Да",MeanMinAge05+'19_Расчет_аналитики'!AW4607*SUMIF(ThresholdAge05,"&lt;"&amp;'19_Расчет_аналитики'!AW4607,WeightedRevAge05)-SUMIF(ThresholdAge05,"&lt;"&amp;'19_Расчет_аналитики'!AW4607,WeightedMinAge05),MAX(CapacityAge05*'01_Вводные'!$B$218*'19_Расчет_аналитики'!AW4607,MeanMinAge05))),0)</f>
        <v/>
      </c>
      <c r="AX4516">
        <f>IF('01_Вводные'!$B$234="Да",IF(OR('19_Расчет_аналитики'!AX4488=0,5&lt;='01_Вводные'!$B$297),0,'19_Расчет_аналитики'!AX4488*IF('01_Вводные'!$B$239="Да",MeanMinAge05+'19_Расчет_аналитики'!AX4607*SUMIF(ThresholdAge05,"&lt;"&amp;'19_Расчет_аналитики'!AX4607,WeightedRevAge05)-SUMIF(ThresholdAge05,"&lt;"&amp;'19_Расчет_аналитики'!AX4607,WeightedMinAge05),MAX(CapacityAge05*'01_Вводные'!$B$218*'19_Расчет_аналитики'!AX4607,MeanMinAge05))),0)</f>
        <v/>
      </c>
      <c r="AY4516">
        <f>IF('01_Вводные'!$B$234="Да",IF(OR('19_Расчет_аналитики'!AY4488=0,5&lt;='01_Вводные'!$B$297),0,'19_Расчет_аналитики'!AY4488*IF('01_Вводные'!$B$239="Да",MeanMinAge05+'19_Расчет_аналитики'!AY4607*SUMIF(ThresholdAge05,"&lt;"&amp;'19_Расчет_аналитики'!AY4607,WeightedRevAge05)-SUMIF(ThresholdAge05,"&lt;"&amp;'19_Расчет_аналитики'!AY4607,WeightedMinAge05),MAX(CapacityAge05*'01_Вводные'!$B$218*'19_Расчет_аналитики'!AY4607,MeanMinAge05))),0)</f>
        <v/>
      </c>
      <c r="AZ4516">
        <f>IF('01_Вводные'!$B$234="Да",IF(OR('19_Расчет_аналитики'!AZ4488=0,5&lt;='01_Вводные'!$B$297),0,'19_Расчет_аналитики'!AZ4488*IF('01_Вводные'!$B$239="Да",MeanMinAge05+'19_Расчет_аналитики'!AZ4607*SUMIF(ThresholdAge05,"&lt;"&amp;'19_Расчет_аналитики'!AZ4607,WeightedRevAge05)-SUMIF(ThresholdAge05,"&lt;"&amp;'19_Расчет_аналитики'!AZ4607,WeightedMinAge05),MAX(CapacityAge05*'01_Вводные'!$B$218*'19_Расчет_аналитики'!AZ4607,MeanMinAge05))),0)</f>
        <v/>
      </c>
      <c r="BA4516">
        <f>IF('01_Вводные'!$B$234="Да",IF(OR('19_Расчет_аналитики'!BA4488=0,5&lt;='01_Вводные'!$B$297),0,'19_Расчет_аналитики'!BA4488*IF('01_Вводные'!$B$239="Да",MeanMinAge05+'19_Расчет_аналитики'!BA4607*SUMIF(ThresholdAge05,"&lt;"&amp;'19_Расчет_аналитики'!BA4607,WeightedRevAge05)-SUMIF(ThresholdAge05,"&lt;"&amp;'19_Расчет_аналитики'!BA4607,WeightedMinAge05),MAX(CapacityAge05*'01_Вводные'!$B$218*'19_Расчет_аналитики'!BA4607,MeanMinAge05))),0)</f>
        <v/>
      </c>
      <c r="BB4516">
        <f>IF('01_Вводные'!$B$234="Да",IF(OR('19_Расчет_аналитики'!BB4488=0,5&lt;='01_Вводные'!$B$297),0,'19_Расчет_аналитики'!BB4488*IF('01_Вводные'!$B$239="Да",MeanMinAge05+'19_Расчет_аналитики'!BB4607*SUMIF(ThresholdAge05,"&lt;"&amp;'19_Расчет_аналитики'!BB4607,WeightedRevAge05)-SUMIF(ThresholdAge05,"&lt;"&amp;'19_Расчет_аналитики'!BB4607,WeightedMinAge05),MAX(CapacityAge05*'01_Вводные'!$B$218*'19_Расчет_аналитики'!BB4607,MeanMinAge05))),0)</f>
        <v/>
      </c>
      <c r="BC4516">
        <f>IF('01_Вводные'!$B$234="Да",IF(OR('19_Расчет_аналитики'!BC4488=0,5&lt;='01_Вводные'!$B$297),0,'19_Расчет_аналитики'!BC4488*IF('01_Вводные'!$B$239="Да",MeanMinAge05+'19_Расчет_аналитики'!BC4607*SUMIF(ThresholdAge05,"&lt;"&amp;'19_Расчет_аналитики'!BC4607,WeightedRevAge05)-SUMIF(ThresholdAge05,"&lt;"&amp;'19_Расчет_аналитики'!BC4607,WeightedMinAge05),MAX(CapacityAge05*'01_Вводные'!$B$218*'19_Расчет_аналитики'!BC4607,MeanMinAge05))),0)</f>
        <v/>
      </c>
      <c r="BD4516">
        <f>IF('01_Вводные'!$B$234="Да",IF(OR('19_Расчет_аналитики'!BD4488=0,5&lt;='01_Вводные'!$B$297),0,'19_Расчет_аналитики'!BD4488*IF('01_Вводные'!$B$239="Да",MeanMinAge05+'19_Расчет_аналитики'!BD4607*SUMIF(ThresholdAge05,"&lt;"&amp;'19_Расчет_аналитики'!BD4607,WeightedRevAge05)-SUMIF(ThresholdAge05,"&lt;"&amp;'19_Расчет_аналитики'!BD4607,WeightedMinAge05),MAX(CapacityAge05*'01_Вводные'!$B$218*'19_Расчет_аналитики'!BD4607,MeanMinAge05))),0)</f>
        <v/>
      </c>
      <c r="BE4516">
        <f>IF('01_Вводные'!$B$234="Да",IF(OR('19_Расчет_аналитики'!BE4488=0,5&lt;='01_Вводные'!$B$297),0,'19_Расчет_аналитики'!BE4488*IF('01_Вводные'!$B$239="Да",MeanMinAge05+'19_Расчет_аналитики'!BE4607*SUMIF(ThresholdAge05,"&lt;"&amp;'19_Расчет_аналитики'!BE4607,WeightedRevAge05)-SUMIF(ThresholdAge05,"&lt;"&amp;'19_Расчет_аналитики'!BE4607,WeightedMinAge05),MAX(CapacityAge05*'01_Вводные'!$B$218*'19_Расчет_аналитики'!BE4607,MeanMinAge05))),0)</f>
        <v/>
      </c>
      <c r="BF4516">
        <f>IF('01_Вводные'!$B$234="Да",IF(OR('19_Расчет_аналитики'!BF4488=0,5&lt;='01_Вводные'!$B$297),0,'19_Расчет_аналитики'!BF4488*IF('01_Вводные'!$B$239="Да",MeanMinAge05+'19_Расчет_аналитики'!BF4607*SUMIF(ThresholdAge05,"&lt;"&amp;'19_Расчет_аналитики'!BF4607,WeightedRevAge05)-SUMIF(ThresholdAge05,"&lt;"&amp;'19_Расчет_аналитики'!BF4607,WeightedMinAge05),MAX(CapacityAge05*'01_Вводные'!$B$218*'19_Расчет_аналитики'!BF4607,MeanMinAge05))),0)</f>
        <v/>
      </c>
      <c r="BG4516">
        <f>IF('01_Вводные'!$B$234="Да",IF(OR('19_Расчет_аналитики'!BG4488=0,5&lt;='01_Вводные'!$B$297),0,'19_Расчет_аналитики'!BG4488*IF('01_Вводные'!$B$239="Да",MeanMinAge05+'19_Расчет_аналитики'!BG4607*SUMIF(ThresholdAge05,"&lt;"&amp;'19_Расчет_аналитики'!BG4607,WeightedRevAge05)-SUMIF(ThresholdAge05,"&lt;"&amp;'19_Расчет_аналитики'!BG4607,WeightedMinAge05),MAX(CapacityAge05*'01_Вводные'!$B$218*'19_Расчет_аналитики'!BG4607,MeanMinAge05))),0)</f>
        <v/>
      </c>
      <c r="BH4516">
        <f>IF('01_Вводные'!$B$234="Да",IF(OR('19_Расчет_аналитики'!BH4488=0,5&lt;='01_Вводные'!$B$297),0,'19_Расчет_аналитики'!BH4488*IF('01_Вводные'!$B$239="Да",MeanMinAge05+'19_Расчет_аналитики'!BH4607*SUMIF(ThresholdAge05,"&lt;"&amp;'19_Расчет_аналитики'!BH4607,WeightedRevAge05)-SUMIF(ThresholdAge05,"&lt;"&amp;'19_Расчет_аналитики'!BH4607,WeightedMinAge05),MAX(CapacityAge05*'01_Вводные'!$B$218*'19_Расчет_аналитики'!BH4607,MeanMinAge05))),0)</f>
        <v/>
      </c>
      <c r="BI4516">
        <f>IF('01_Вводные'!$B$234="Да",IF(OR('19_Расчет_аналитики'!BI4488=0,5&lt;='01_Вводные'!$B$297),0,'19_Расчет_аналитики'!BI4488*IF('01_Вводные'!$B$239="Да",MeanMinAge05+'19_Расчет_аналитики'!BI4607*SUMIF(ThresholdAge05,"&lt;"&amp;'19_Расчет_аналитики'!BI4607,WeightedRevAge05)-SUMIF(ThresholdAge05,"&lt;"&amp;'19_Расчет_аналитики'!BI4607,WeightedMinAge05),MAX(CapacityAge05*'01_Вводные'!$B$218*'19_Расчет_аналитики'!BI4607,MeanMinAge05))),0)</f>
        <v/>
      </c>
      <c r="BJ4516">
        <f>IF('01_Вводные'!$B$234="Да",IF(OR('19_Расчет_аналитики'!BJ4488=0,5&lt;='01_Вводные'!$B$297),0,'19_Расчет_аналитики'!BJ4488*IF('01_Вводные'!$B$239="Да",MeanMinAge05+'19_Расчет_аналитики'!BJ4607*SUMIF(ThresholdAge05,"&lt;"&amp;'19_Расчет_аналитики'!BJ4607,WeightedRevAge05)-SUMIF(ThresholdAge05,"&lt;"&amp;'19_Расчет_аналитики'!BJ4607,WeightedMinAge05),MAX(CapacityAge05*'01_Вводные'!$B$218*'19_Расчет_аналитики'!BJ4607,MeanMinAge05))),0)</f>
        <v/>
      </c>
      <c r="BK4516">
        <f>IF('01_Вводные'!$B$234="Да",IF(OR('19_Расчет_аналитики'!BK4488=0,5&lt;='01_Вводные'!$B$297),0,'19_Расчет_аналитики'!BK4488*IF('01_Вводные'!$B$239="Да",MeanMinAge05+'19_Расчет_аналитики'!BK4607*SUMIF(ThresholdAge05,"&lt;"&amp;'19_Расчет_аналитики'!BK4607,WeightedRevAge05)-SUMIF(ThresholdAge05,"&lt;"&amp;'19_Расчет_аналитики'!BK4607,WeightedMinAge05),MAX(CapacityAge05*'01_Вводные'!$B$218*'19_Расчет_аналитики'!BK4607,MeanMinAge05))),0)</f>
        <v/>
      </c>
      <c r="BL4516">
        <f>IF('01_Вводные'!$B$234="Да",IF(OR('19_Расчет_аналитики'!BL4488=0,5&lt;='01_Вводные'!$B$297),0,'19_Расчет_аналитики'!BL4488*IF('01_Вводные'!$B$239="Да",MeanMinAge05+'19_Расчет_аналитики'!BL4607*SUMIF(ThresholdAge05,"&lt;"&amp;'19_Расчет_аналитики'!BL4607,WeightedRevAge05)-SUMIF(ThresholdAge05,"&lt;"&amp;'19_Расчет_аналитики'!BL4607,WeightedMinAge05),MAX(CapacityAge05*'01_Вводные'!$B$218*'19_Расчет_аналитики'!BL4607,MeanMinAge05))),0)</f>
        <v/>
      </c>
      <c r="BM4516">
        <f>IF('01_Вводные'!$B$234="Да",IF(OR('19_Расчет_аналитики'!BM4488=0,5&lt;='01_Вводные'!$B$297),0,'19_Расчет_аналитики'!BM4488*IF('01_Вводные'!$B$239="Да",MeanMinAge05+'19_Расчет_аналитики'!BM4607*SUMIF(ThresholdAge05,"&lt;"&amp;'19_Расчет_аналитики'!BM4607,WeightedRevAge05)-SUMIF(ThresholdAge05,"&lt;"&amp;'19_Расчет_аналитики'!BM4607,WeightedMinAge05),MAX(CapacityAge05*'01_Вводные'!$B$218*'19_Расчет_аналитики'!BM4607,MeanMinAge05))),0)</f>
        <v/>
      </c>
      <c r="BN4516">
        <f>IF('01_Вводные'!$B$234="Да",IF(OR('19_Расчет_аналитики'!BN4488=0,5&lt;='01_Вводные'!$B$297),0,'19_Расчет_аналитики'!BN4488*IF('01_Вводные'!$B$239="Да",MeanMinAge05+'19_Расчет_аналитики'!BN4607*SUMIF(ThresholdAge05,"&lt;"&amp;'19_Расчет_аналитики'!BN4607,WeightedRevAge05)-SUMIF(ThresholdAge05,"&lt;"&amp;'19_Расчет_аналитики'!BN4607,WeightedMinAge05),MAX(CapacityAge05*'01_Вводные'!$B$218*'19_Расчет_аналитики'!BN4607,MeanMinAge05))),0)</f>
        <v/>
      </c>
      <c r="BO4516">
        <f>IF('01_Вводные'!$B$234="Да",IF(OR('19_Расчет_аналитики'!BO4488=0,5&lt;='01_Вводные'!$B$297),0,'19_Расчет_аналитики'!BO4488*IF('01_Вводные'!$B$239="Да",MeanMinAge05+'19_Расчет_аналитики'!BO4607*SUMIF(ThresholdAge05,"&lt;"&amp;'19_Расчет_аналитики'!BO4607,WeightedRevAge05)-SUMIF(ThresholdAge05,"&lt;"&amp;'19_Расчет_аналитики'!BO4607,WeightedMinAge05),MAX(CapacityAge05*'01_Вводные'!$B$218*'19_Расчет_аналитики'!BO4607,MeanMinAge05))),0)</f>
        <v/>
      </c>
    </row>
    <row r="4517">
      <c r="B4517">
        <f>IF('01_Вводные'!$B$234="Да",IF(OR('06_Сеть_и_дети'!B86=0,6&lt;='01_Вводные'!$B$297),0,'06_Сеть_и_дети'!B86*IF('01_Вводные'!$B$239="Да",MeanMinAge06+'19_Расчет_аналитики'!B4607*SUMIF(ThresholdAge06,"&lt;"&amp;'19_Расчет_аналитики'!B4607,WeightedRevAge06)-SUMIF(ThresholdAge06,"&lt;"&amp;'19_Расчет_аналитики'!B4607,WeightedMinAge06),MAX(CapacityAge06*'01_Вводные'!$B$218*'19_Расчет_аналитики'!B4607,MeanMinAge06))),0)</f>
        <v/>
      </c>
      <c r="C4517">
        <f>IF('01_Вводные'!$B$234="Да",IF(OR('06_Сеть_и_дети'!C86=0,6&lt;='01_Вводные'!$B$297),0,'06_Сеть_и_дети'!C86*IF('01_Вводные'!$B$239="Да",MeanMinAge06+'19_Расчет_аналитики'!C4607*SUMIF(ThresholdAge06,"&lt;"&amp;'19_Расчет_аналитики'!C4607,WeightedRevAge06)-SUMIF(ThresholdAge06,"&lt;"&amp;'19_Расчет_аналитики'!C4607,WeightedMinAge06),MAX(CapacityAge06*'01_Вводные'!$B$218*'19_Расчет_аналитики'!C4607,MeanMinAge06))),0)</f>
        <v/>
      </c>
      <c r="D4517">
        <f>IF('01_Вводные'!$B$234="Да",IF(OR('06_Сеть_и_дети'!D86=0,6&lt;='01_Вводные'!$B$297),0,'06_Сеть_и_дети'!D86*IF('01_Вводные'!$B$239="Да",MeanMinAge06+'19_Расчет_аналитики'!D4607*SUMIF(ThresholdAge06,"&lt;"&amp;'19_Расчет_аналитики'!D4607,WeightedRevAge06)-SUMIF(ThresholdAge06,"&lt;"&amp;'19_Расчет_аналитики'!D4607,WeightedMinAge06),MAX(CapacityAge06*'01_Вводные'!$B$218*'19_Расчет_аналитики'!D4607,MeanMinAge06))),0)</f>
        <v/>
      </c>
      <c r="E4517">
        <f>IF('01_Вводные'!$B$234="Да",IF(OR('06_Сеть_и_дети'!E86=0,6&lt;='01_Вводные'!$B$297),0,'06_Сеть_и_дети'!E86*IF('01_Вводные'!$B$239="Да",MeanMinAge06+'19_Расчет_аналитики'!E4607*SUMIF(ThresholdAge06,"&lt;"&amp;'19_Расчет_аналитики'!E4607,WeightedRevAge06)-SUMIF(ThresholdAge06,"&lt;"&amp;'19_Расчет_аналитики'!E4607,WeightedMinAge06),MAX(CapacityAge06*'01_Вводные'!$B$218*'19_Расчет_аналитики'!E4607,MeanMinAge06))),0)</f>
        <v/>
      </c>
      <c r="F4517">
        <f>IF('01_Вводные'!$B$234="Да",IF(OR('06_Сеть_и_дети'!F86=0,6&lt;='01_Вводные'!$B$297),0,'06_Сеть_и_дети'!F86*IF('01_Вводные'!$B$239="Да",MeanMinAge06+'19_Расчет_аналитики'!F4607*SUMIF(ThresholdAge06,"&lt;"&amp;'19_Расчет_аналитики'!F4607,WeightedRevAge06)-SUMIF(ThresholdAge06,"&lt;"&amp;'19_Расчет_аналитики'!F4607,WeightedMinAge06),MAX(CapacityAge06*'01_Вводные'!$B$218*'19_Расчет_аналитики'!F4607,MeanMinAge06))),0)</f>
        <v/>
      </c>
      <c r="G4517">
        <f>IF('01_Вводные'!$B$234="Да",IF(OR('19_Расчет_аналитики'!G4489=0,6&lt;='01_Вводные'!$B$297),0,'19_Расчет_аналитики'!G4489*IF('01_Вводные'!$B$239="Да",MeanMinAge06+'19_Расчет_аналитики'!G4607*SUMIF(ThresholdAge06,"&lt;"&amp;'19_Расчет_аналитики'!G4607,WeightedRevAge06)-SUMIF(ThresholdAge06,"&lt;"&amp;'19_Расчет_аналитики'!G4607,WeightedMinAge06),MAX(CapacityAge06*'01_Вводные'!$B$218*'19_Расчет_аналитики'!G4607,MeanMinAge06))),0)</f>
        <v/>
      </c>
      <c r="H4517">
        <f>IF('01_Вводные'!$B$234="Да",IF(OR('19_Расчет_аналитики'!H4489=0,6&lt;='01_Вводные'!$B$297),0,'19_Расчет_аналитики'!H4489*IF('01_Вводные'!$B$239="Да",MeanMinAge06+'19_Расчет_аналитики'!H4607*SUMIF(ThresholdAge06,"&lt;"&amp;'19_Расчет_аналитики'!H4607,WeightedRevAge06)-SUMIF(ThresholdAge06,"&lt;"&amp;'19_Расчет_аналитики'!H4607,WeightedMinAge06),MAX(CapacityAge06*'01_Вводные'!$B$218*'19_Расчет_аналитики'!H4607,MeanMinAge06))),0)</f>
        <v/>
      </c>
      <c r="I4517">
        <f>IF('01_Вводные'!$B$234="Да",IF(OR('19_Расчет_аналитики'!I4489=0,6&lt;='01_Вводные'!$B$297),0,'19_Расчет_аналитики'!I4489*IF('01_Вводные'!$B$239="Да",MeanMinAge06+'19_Расчет_аналитики'!I4607*SUMIF(ThresholdAge06,"&lt;"&amp;'19_Расчет_аналитики'!I4607,WeightedRevAge06)-SUMIF(ThresholdAge06,"&lt;"&amp;'19_Расчет_аналитики'!I4607,WeightedMinAge06),MAX(CapacityAge06*'01_Вводные'!$B$218*'19_Расчет_аналитики'!I4607,MeanMinAge06))),0)</f>
        <v/>
      </c>
      <c r="J4517">
        <f>IF('01_Вводные'!$B$234="Да",IF(OR('19_Расчет_аналитики'!J4489=0,6&lt;='01_Вводные'!$B$297),0,'19_Расчет_аналитики'!J4489*IF('01_Вводные'!$B$239="Да",MeanMinAge06+'19_Расчет_аналитики'!J4607*SUMIF(ThresholdAge06,"&lt;"&amp;'19_Расчет_аналитики'!J4607,WeightedRevAge06)-SUMIF(ThresholdAge06,"&lt;"&amp;'19_Расчет_аналитики'!J4607,WeightedMinAge06),MAX(CapacityAge06*'01_Вводные'!$B$218*'19_Расчет_аналитики'!J4607,MeanMinAge06))),0)</f>
        <v/>
      </c>
      <c r="K4517">
        <f>IF('01_Вводные'!$B$234="Да",IF(OR('19_Расчет_аналитики'!K4489=0,6&lt;='01_Вводные'!$B$297),0,'19_Расчет_аналитики'!K4489*IF('01_Вводные'!$B$239="Да",MeanMinAge06+'19_Расчет_аналитики'!K4607*SUMIF(ThresholdAge06,"&lt;"&amp;'19_Расчет_аналитики'!K4607,WeightedRevAge06)-SUMIF(ThresholdAge06,"&lt;"&amp;'19_Расчет_аналитики'!K4607,WeightedMinAge06),MAX(CapacityAge06*'01_Вводные'!$B$218*'19_Расчет_аналитики'!K4607,MeanMinAge06))),0)</f>
        <v/>
      </c>
      <c r="L4517">
        <f>IF('01_Вводные'!$B$234="Да",IF(OR('19_Расчет_аналитики'!L4489=0,6&lt;='01_Вводные'!$B$297),0,'19_Расчет_аналитики'!L4489*IF('01_Вводные'!$B$239="Да",MeanMinAge06+'19_Расчет_аналитики'!L4607*SUMIF(ThresholdAge06,"&lt;"&amp;'19_Расчет_аналитики'!L4607,WeightedRevAge06)-SUMIF(ThresholdAge06,"&lt;"&amp;'19_Расчет_аналитики'!L4607,WeightedMinAge06),MAX(CapacityAge06*'01_Вводные'!$B$218*'19_Расчет_аналитики'!L4607,MeanMinAge06))),0)</f>
        <v/>
      </c>
      <c r="M4517">
        <f>IF('01_Вводные'!$B$234="Да",IF(OR('19_Расчет_аналитики'!M4489=0,6&lt;='01_Вводные'!$B$297),0,'19_Расчет_аналитики'!M4489*IF('01_Вводные'!$B$239="Да",MeanMinAge06+'19_Расчет_аналитики'!M4607*SUMIF(ThresholdAge06,"&lt;"&amp;'19_Расчет_аналитики'!M4607,WeightedRevAge06)-SUMIF(ThresholdAge06,"&lt;"&amp;'19_Расчет_аналитики'!M4607,WeightedMinAge06),MAX(CapacityAge06*'01_Вводные'!$B$218*'19_Расчет_аналитики'!M4607,MeanMinAge06))),0)</f>
        <v/>
      </c>
      <c r="N4517">
        <f>IF('01_Вводные'!$B$234="Да",IF(OR('19_Расчет_аналитики'!N4489=0,6&lt;='01_Вводные'!$B$297),0,'19_Расчет_аналитики'!N4489*IF('01_Вводные'!$B$239="Да",MeanMinAge06+'19_Расчет_аналитики'!N4607*SUMIF(ThresholdAge06,"&lt;"&amp;'19_Расчет_аналитики'!N4607,WeightedRevAge06)-SUMIF(ThresholdAge06,"&lt;"&amp;'19_Расчет_аналитики'!N4607,WeightedMinAge06),MAX(CapacityAge06*'01_Вводные'!$B$218*'19_Расчет_аналитики'!N4607,MeanMinAge06))),0)</f>
        <v/>
      </c>
      <c r="O4517">
        <f>IF('01_Вводные'!$B$234="Да",IF(OR('19_Расчет_аналитики'!O4489=0,6&lt;='01_Вводные'!$B$297),0,'19_Расчет_аналитики'!O4489*IF('01_Вводные'!$B$239="Да",MeanMinAge06+'19_Расчет_аналитики'!O4607*SUMIF(ThresholdAge06,"&lt;"&amp;'19_Расчет_аналитики'!O4607,WeightedRevAge06)-SUMIF(ThresholdAge06,"&lt;"&amp;'19_Расчет_аналитики'!O4607,WeightedMinAge06),MAX(CapacityAge06*'01_Вводные'!$B$218*'19_Расчет_аналитики'!O4607,MeanMinAge06))),0)</f>
        <v/>
      </c>
      <c r="P4517">
        <f>IF('01_Вводные'!$B$234="Да",IF(OR('19_Расчет_аналитики'!P4489=0,6&lt;='01_Вводные'!$B$297),0,'19_Расчет_аналитики'!P4489*IF('01_Вводные'!$B$239="Да",MeanMinAge06+'19_Расчет_аналитики'!P4607*SUMIF(ThresholdAge06,"&lt;"&amp;'19_Расчет_аналитики'!P4607,WeightedRevAge06)-SUMIF(ThresholdAge06,"&lt;"&amp;'19_Расчет_аналитики'!P4607,WeightedMinAge06),MAX(CapacityAge06*'01_Вводные'!$B$218*'19_Расчет_аналитики'!P4607,MeanMinAge06))),0)</f>
        <v/>
      </c>
      <c r="Q4517">
        <f>IF('01_Вводные'!$B$234="Да",IF(OR('19_Расчет_аналитики'!Q4489=0,6&lt;='01_Вводные'!$B$297),0,'19_Расчет_аналитики'!Q4489*IF('01_Вводные'!$B$239="Да",MeanMinAge06+'19_Расчет_аналитики'!Q4607*SUMIF(ThresholdAge06,"&lt;"&amp;'19_Расчет_аналитики'!Q4607,WeightedRevAge06)-SUMIF(ThresholdAge06,"&lt;"&amp;'19_Расчет_аналитики'!Q4607,WeightedMinAge06),MAX(CapacityAge06*'01_Вводные'!$B$218*'19_Расчет_аналитики'!Q4607,MeanMinAge06))),0)</f>
        <v/>
      </c>
      <c r="R4517">
        <f>IF('01_Вводные'!$B$234="Да",IF(OR('19_Расчет_аналитики'!R4489=0,6&lt;='01_Вводные'!$B$297),0,'19_Расчет_аналитики'!R4489*IF('01_Вводные'!$B$239="Да",MeanMinAge06+'19_Расчет_аналитики'!R4607*SUMIF(ThresholdAge06,"&lt;"&amp;'19_Расчет_аналитики'!R4607,WeightedRevAge06)-SUMIF(ThresholdAge06,"&lt;"&amp;'19_Расчет_аналитики'!R4607,WeightedMinAge06),MAX(CapacityAge06*'01_Вводные'!$B$218*'19_Расчет_аналитики'!R4607,MeanMinAge06))),0)</f>
        <v/>
      </c>
      <c r="S4517">
        <f>IF('01_Вводные'!$B$234="Да",IF(OR('19_Расчет_аналитики'!S4489=0,6&lt;='01_Вводные'!$B$297),0,'19_Расчет_аналитики'!S4489*IF('01_Вводные'!$B$239="Да",MeanMinAge06+'19_Расчет_аналитики'!S4607*SUMIF(ThresholdAge06,"&lt;"&amp;'19_Расчет_аналитики'!S4607,WeightedRevAge06)-SUMIF(ThresholdAge06,"&lt;"&amp;'19_Расчет_аналитики'!S4607,WeightedMinAge06),MAX(CapacityAge06*'01_Вводные'!$B$218*'19_Расчет_аналитики'!S4607,MeanMinAge06))),0)</f>
        <v/>
      </c>
      <c r="T4517">
        <f>IF('01_Вводные'!$B$234="Да",IF(OR('19_Расчет_аналитики'!T4489=0,6&lt;='01_Вводные'!$B$297),0,'19_Расчет_аналитики'!T4489*IF('01_Вводные'!$B$239="Да",MeanMinAge06+'19_Расчет_аналитики'!T4607*SUMIF(ThresholdAge06,"&lt;"&amp;'19_Расчет_аналитики'!T4607,WeightedRevAge06)-SUMIF(ThresholdAge06,"&lt;"&amp;'19_Расчет_аналитики'!T4607,WeightedMinAge06),MAX(CapacityAge06*'01_Вводные'!$B$218*'19_Расчет_аналитики'!T4607,MeanMinAge06))),0)</f>
        <v/>
      </c>
      <c r="U4517">
        <f>IF('01_Вводные'!$B$234="Да",IF(OR('19_Расчет_аналитики'!U4489=0,6&lt;='01_Вводные'!$B$297),0,'19_Расчет_аналитики'!U4489*IF('01_Вводные'!$B$239="Да",MeanMinAge06+'19_Расчет_аналитики'!U4607*SUMIF(ThresholdAge06,"&lt;"&amp;'19_Расчет_аналитики'!U4607,WeightedRevAge06)-SUMIF(ThresholdAge06,"&lt;"&amp;'19_Расчет_аналитики'!U4607,WeightedMinAge06),MAX(CapacityAge06*'01_Вводные'!$B$218*'19_Расчет_аналитики'!U4607,MeanMinAge06))),0)</f>
        <v/>
      </c>
      <c r="V4517">
        <f>IF('01_Вводные'!$B$234="Да",IF(OR('19_Расчет_аналитики'!V4489=0,6&lt;='01_Вводные'!$B$297),0,'19_Расчет_аналитики'!V4489*IF('01_Вводные'!$B$239="Да",MeanMinAge06+'19_Расчет_аналитики'!V4607*SUMIF(ThresholdAge06,"&lt;"&amp;'19_Расчет_аналитики'!V4607,WeightedRevAge06)-SUMIF(ThresholdAge06,"&lt;"&amp;'19_Расчет_аналитики'!V4607,WeightedMinAge06),MAX(CapacityAge06*'01_Вводные'!$B$218*'19_Расчет_аналитики'!V4607,MeanMinAge06))),0)</f>
        <v/>
      </c>
      <c r="W4517">
        <f>IF('01_Вводные'!$B$234="Да",IF(OR('19_Расчет_аналитики'!W4489=0,6&lt;='01_Вводные'!$B$297),0,'19_Расчет_аналитики'!W4489*IF('01_Вводные'!$B$239="Да",MeanMinAge06+'19_Расчет_аналитики'!W4607*SUMIF(ThresholdAge06,"&lt;"&amp;'19_Расчет_аналитики'!W4607,WeightedRevAge06)-SUMIF(ThresholdAge06,"&lt;"&amp;'19_Расчет_аналитики'!W4607,WeightedMinAge06),MAX(CapacityAge06*'01_Вводные'!$B$218*'19_Расчет_аналитики'!W4607,MeanMinAge06))),0)</f>
        <v/>
      </c>
      <c r="X4517">
        <f>IF('01_Вводные'!$B$234="Да",IF(OR('19_Расчет_аналитики'!X4489=0,6&lt;='01_Вводные'!$B$297),0,'19_Расчет_аналитики'!X4489*IF('01_Вводные'!$B$239="Да",MeanMinAge06+'19_Расчет_аналитики'!X4607*SUMIF(ThresholdAge06,"&lt;"&amp;'19_Расчет_аналитики'!X4607,WeightedRevAge06)-SUMIF(ThresholdAge06,"&lt;"&amp;'19_Расчет_аналитики'!X4607,WeightedMinAge06),MAX(CapacityAge06*'01_Вводные'!$B$218*'19_Расчет_аналитики'!X4607,MeanMinAge06))),0)</f>
        <v/>
      </c>
      <c r="Y4517">
        <f>IF('01_Вводные'!$B$234="Да",IF(OR('19_Расчет_аналитики'!Y4489=0,6&lt;='01_Вводные'!$B$297),0,'19_Расчет_аналитики'!Y4489*IF('01_Вводные'!$B$239="Да",MeanMinAge06+'19_Расчет_аналитики'!Y4607*SUMIF(ThresholdAge06,"&lt;"&amp;'19_Расчет_аналитики'!Y4607,WeightedRevAge06)-SUMIF(ThresholdAge06,"&lt;"&amp;'19_Расчет_аналитики'!Y4607,WeightedMinAge06),MAX(CapacityAge06*'01_Вводные'!$B$218*'19_Расчет_аналитики'!Y4607,MeanMinAge06))),0)</f>
        <v/>
      </c>
      <c r="Z4517">
        <f>IF('01_Вводные'!$B$234="Да",IF(OR('19_Расчет_аналитики'!Z4489=0,6&lt;='01_Вводные'!$B$297),0,'19_Расчет_аналитики'!Z4489*IF('01_Вводные'!$B$239="Да",MeanMinAge06+'19_Расчет_аналитики'!Z4607*SUMIF(ThresholdAge06,"&lt;"&amp;'19_Расчет_аналитики'!Z4607,WeightedRevAge06)-SUMIF(ThresholdAge06,"&lt;"&amp;'19_Расчет_аналитики'!Z4607,WeightedMinAge06),MAX(CapacityAge06*'01_Вводные'!$B$218*'19_Расчет_аналитики'!Z4607,MeanMinAge06))),0)</f>
        <v/>
      </c>
      <c r="AA4517">
        <f>IF('01_Вводные'!$B$234="Да",IF(OR('19_Расчет_аналитики'!AA4489=0,6&lt;='01_Вводные'!$B$297),0,'19_Расчет_аналитики'!AA4489*IF('01_Вводные'!$B$239="Да",MeanMinAge06+'19_Расчет_аналитики'!AA4607*SUMIF(ThresholdAge06,"&lt;"&amp;'19_Расчет_аналитики'!AA4607,WeightedRevAge06)-SUMIF(ThresholdAge06,"&lt;"&amp;'19_Расчет_аналитики'!AA4607,WeightedMinAge06),MAX(CapacityAge06*'01_Вводные'!$B$218*'19_Расчет_аналитики'!AA4607,MeanMinAge06))),0)</f>
        <v/>
      </c>
      <c r="AB4517">
        <f>IF('01_Вводные'!$B$234="Да",IF(OR('19_Расчет_аналитики'!AB4489=0,6&lt;='01_Вводные'!$B$297),0,'19_Расчет_аналитики'!AB4489*IF('01_Вводные'!$B$239="Да",MeanMinAge06+'19_Расчет_аналитики'!AB4607*SUMIF(ThresholdAge06,"&lt;"&amp;'19_Расчет_аналитики'!AB4607,WeightedRevAge06)-SUMIF(ThresholdAge06,"&lt;"&amp;'19_Расчет_аналитики'!AB4607,WeightedMinAge06),MAX(CapacityAge06*'01_Вводные'!$B$218*'19_Расчет_аналитики'!AB4607,MeanMinAge06))),0)</f>
        <v/>
      </c>
      <c r="AC4517">
        <f>IF('01_Вводные'!$B$234="Да",IF(OR('19_Расчет_аналитики'!AC4489=0,6&lt;='01_Вводные'!$B$297),0,'19_Расчет_аналитики'!AC4489*IF('01_Вводные'!$B$239="Да",MeanMinAge06+'19_Расчет_аналитики'!AC4607*SUMIF(ThresholdAge06,"&lt;"&amp;'19_Расчет_аналитики'!AC4607,WeightedRevAge06)-SUMIF(ThresholdAge06,"&lt;"&amp;'19_Расчет_аналитики'!AC4607,WeightedMinAge06),MAX(CapacityAge06*'01_Вводные'!$B$218*'19_Расчет_аналитики'!AC4607,MeanMinAge06))),0)</f>
        <v/>
      </c>
      <c r="AD4517">
        <f>IF('01_Вводные'!$B$234="Да",IF(OR('19_Расчет_аналитики'!AD4489=0,6&lt;='01_Вводные'!$B$297),0,'19_Расчет_аналитики'!AD4489*IF('01_Вводные'!$B$239="Да",MeanMinAge06+'19_Расчет_аналитики'!AD4607*SUMIF(ThresholdAge06,"&lt;"&amp;'19_Расчет_аналитики'!AD4607,WeightedRevAge06)-SUMIF(ThresholdAge06,"&lt;"&amp;'19_Расчет_аналитики'!AD4607,WeightedMinAge06),MAX(CapacityAge06*'01_Вводные'!$B$218*'19_Расчет_аналитики'!AD4607,MeanMinAge06))),0)</f>
        <v/>
      </c>
      <c r="AE4517">
        <f>IF('01_Вводные'!$B$234="Да",IF(OR('19_Расчет_аналитики'!AE4489=0,6&lt;='01_Вводные'!$B$297),0,'19_Расчет_аналитики'!AE4489*IF('01_Вводные'!$B$239="Да",MeanMinAge06+'19_Расчет_аналитики'!AE4607*SUMIF(ThresholdAge06,"&lt;"&amp;'19_Расчет_аналитики'!AE4607,WeightedRevAge06)-SUMIF(ThresholdAge06,"&lt;"&amp;'19_Расчет_аналитики'!AE4607,WeightedMinAge06),MAX(CapacityAge06*'01_Вводные'!$B$218*'19_Расчет_аналитики'!AE4607,MeanMinAge06))),0)</f>
        <v/>
      </c>
      <c r="AF4517">
        <f>IF('01_Вводные'!$B$234="Да",IF(OR('19_Расчет_аналитики'!AF4489=0,6&lt;='01_Вводные'!$B$297),0,'19_Расчет_аналитики'!AF4489*IF('01_Вводные'!$B$239="Да",MeanMinAge06+'19_Расчет_аналитики'!AF4607*SUMIF(ThresholdAge06,"&lt;"&amp;'19_Расчет_аналитики'!AF4607,WeightedRevAge06)-SUMIF(ThresholdAge06,"&lt;"&amp;'19_Расчет_аналитики'!AF4607,WeightedMinAge06),MAX(CapacityAge06*'01_Вводные'!$B$218*'19_Расчет_аналитики'!AF4607,MeanMinAge06))),0)</f>
        <v/>
      </c>
      <c r="AG4517">
        <f>IF('01_Вводные'!$B$234="Да",IF(OR('19_Расчет_аналитики'!AG4489=0,6&lt;='01_Вводные'!$B$297),0,'19_Расчет_аналитики'!AG4489*IF('01_Вводные'!$B$239="Да",MeanMinAge06+'19_Расчет_аналитики'!AG4607*SUMIF(ThresholdAge06,"&lt;"&amp;'19_Расчет_аналитики'!AG4607,WeightedRevAge06)-SUMIF(ThresholdAge06,"&lt;"&amp;'19_Расчет_аналитики'!AG4607,WeightedMinAge06),MAX(CapacityAge06*'01_Вводные'!$B$218*'19_Расчет_аналитики'!AG4607,MeanMinAge06))),0)</f>
        <v/>
      </c>
      <c r="AH4517">
        <f>IF('01_Вводные'!$B$234="Да",IF(OR('19_Расчет_аналитики'!AH4489=0,6&lt;='01_Вводные'!$B$297),0,'19_Расчет_аналитики'!AH4489*IF('01_Вводные'!$B$239="Да",MeanMinAge06+'19_Расчет_аналитики'!AH4607*SUMIF(ThresholdAge06,"&lt;"&amp;'19_Расчет_аналитики'!AH4607,WeightedRevAge06)-SUMIF(ThresholdAge06,"&lt;"&amp;'19_Расчет_аналитики'!AH4607,WeightedMinAge06),MAX(CapacityAge06*'01_Вводные'!$B$218*'19_Расчет_аналитики'!AH4607,MeanMinAge06))),0)</f>
        <v/>
      </c>
      <c r="AI4517">
        <f>IF('01_Вводные'!$B$234="Да",IF(OR('19_Расчет_аналитики'!AI4489=0,6&lt;='01_Вводные'!$B$297),0,'19_Расчет_аналитики'!AI4489*IF('01_Вводные'!$B$239="Да",MeanMinAge06+'19_Расчет_аналитики'!AI4607*SUMIF(ThresholdAge06,"&lt;"&amp;'19_Расчет_аналитики'!AI4607,WeightedRevAge06)-SUMIF(ThresholdAge06,"&lt;"&amp;'19_Расчет_аналитики'!AI4607,WeightedMinAge06),MAX(CapacityAge06*'01_Вводные'!$B$218*'19_Расчет_аналитики'!AI4607,MeanMinAge06))),0)</f>
        <v/>
      </c>
      <c r="AJ4517">
        <f>IF('01_Вводные'!$B$234="Да",IF(OR('19_Расчет_аналитики'!AJ4489=0,6&lt;='01_Вводные'!$B$297),0,'19_Расчет_аналитики'!AJ4489*IF('01_Вводные'!$B$239="Да",MeanMinAge06+'19_Расчет_аналитики'!AJ4607*SUMIF(ThresholdAge06,"&lt;"&amp;'19_Расчет_аналитики'!AJ4607,WeightedRevAge06)-SUMIF(ThresholdAge06,"&lt;"&amp;'19_Расчет_аналитики'!AJ4607,WeightedMinAge06),MAX(CapacityAge06*'01_Вводные'!$B$218*'19_Расчет_аналитики'!AJ4607,MeanMinAge06))),0)</f>
        <v/>
      </c>
      <c r="AK4517">
        <f>IF('01_Вводные'!$B$234="Да",IF(OR('19_Расчет_аналитики'!AK4489=0,6&lt;='01_Вводные'!$B$297),0,'19_Расчет_аналитики'!AK4489*IF('01_Вводные'!$B$239="Да",MeanMinAge06+'19_Расчет_аналитики'!AK4607*SUMIF(ThresholdAge06,"&lt;"&amp;'19_Расчет_аналитики'!AK4607,WeightedRevAge06)-SUMIF(ThresholdAge06,"&lt;"&amp;'19_Расчет_аналитики'!AK4607,WeightedMinAge06),MAX(CapacityAge06*'01_Вводные'!$B$218*'19_Расчет_аналитики'!AK4607,MeanMinAge06))),0)</f>
        <v/>
      </c>
      <c r="AL4517">
        <f>IF('01_Вводные'!$B$234="Да",IF(OR('19_Расчет_аналитики'!AL4489=0,6&lt;='01_Вводные'!$B$297),0,'19_Расчет_аналитики'!AL4489*IF('01_Вводные'!$B$239="Да",MeanMinAge06+'19_Расчет_аналитики'!AL4607*SUMIF(ThresholdAge06,"&lt;"&amp;'19_Расчет_аналитики'!AL4607,WeightedRevAge06)-SUMIF(ThresholdAge06,"&lt;"&amp;'19_Расчет_аналитики'!AL4607,WeightedMinAge06),MAX(CapacityAge06*'01_Вводные'!$B$218*'19_Расчет_аналитики'!AL4607,MeanMinAge06))),0)</f>
        <v/>
      </c>
      <c r="AM4517">
        <f>IF('01_Вводные'!$B$234="Да",IF(OR('19_Расчет_аналитики'!AM4489=0,6&lt;='01_Вводные'!$B$297),0,'19_Расчет_аналитики'!AM4489*IF('01_Вводные'!$B$239="Да",MeanMinAge06+'19_Расчет_аналитики'!AM4607*SUMIF(ThresholdAge06,"&lt;"&amp;'19_Расчет_аналитики'!AM4607,WeightedRevAge06)-SUMIF(ThresholdAge06,"&lt;"&amp;'19_Расчет_аналитики'!AM4607,WeightedMinAge06),MAX(CapacityAge06*'01_Вводные'!$B$218*'19_Расчет_аналитики'!AM4607,MeanMinAge06))),0)</f>
        <v/>
      </c>
      <c r="AN4517">
        <f>IF('01_Вводные'!$B$234="Да",IF(OR('19_Расчет_аналитики'!AN4489=0,6&lt;='01_Вводные'!$B$297),0,'19_Расчет_аналитики'!AN4489*IF('01_Вводные'!$B$239="Да",MeanMinAge06+'19_Расчет_аналитики'!AN4607*SUMIF(ThresholdAge06,"&lt;"&amp;'19_Расчет_аналитики'!AN4607,WeightedRevAge06)-SUMIF(ThresholdAge06,"&lt;"&amp;'19_Расчет_аналитики'!AN4607,WeightedMinAge06),MAX(CapacityAge06*'01_Вводные'!$B$218*'19_Расчет_аналитики'!AN4607,MeanMinAge06))),0)</f>
        <v/>
      </c>
      <c r="AO4517">
        <f>IF('01_Вводные'!$B$234="Да",IF(OR('19_Расчет_аналитики'!AO4489=0,6&lt;='01_Вводные'!$B$297),0,'19_Расчет_аналитики'!AO4489*IF('01_Вводные'!$B$239="Да",MeanMinAge06+'19_Расчет_аналитики'!AO4607*SUMIF(ThresholdAge06,"&lt;"&amp;'19_Расчет_аналитики'!AO4607,WeightedRevAge06)-SUMIF(ThresholdAge06,"&lt;"&amp;'19_Расчет_аналитики'!AO4607,WeightedMinAge06),MAX(CapacityAge06*'01_Вводные'!$B$218*'19_Расчет_аналитики'!AO4607,MeanMinAge06))),0)</f>
        <v/>
      </c>
      <c r="AP4517">
        <f>IF('01_Вводные'!$B$234="Да",IF(OR('19_Расчет_аналитики'!AP4489=0,6&lt;='01_Вводные'!$B$297),0,'19_Расчет_аналитики'!AP4489*IF('01_Вводные'!$B$239="Да",MeanMinAge06+'19_Расчет_аналитики'!AP4607*SUMIF(ThresholdAge06,"&lt;"&amp;'19_Расчет_аналитики'!AP4607,WeightedRevAge06)-SUMIF(ThresholdAge06,"&lt;"&amp;'19_Расчет_аналитики'!AP4607,WeightedMinAge06),MAX(CapacityAge06*'01_Вводные'!$B$218*'19_Расчет_аналитики'!AP4607,MeanMinAge06))),0)</f>
        <v/>
      </c>
      <c r="AQ4517">
        <f>IF('01_Вводные'!$B$234="Да",IF(OR('19_Расчет_аналитики'!AQ4489=0,6&lt;='01_Вводные'!$B$297),0,'19_Расчет_аналитики'!AQ4489*IF('01_Вводные'!$B$239="Да",MeanMinAge06+'19_Расчет_аналитики'!AQ4607*SUMIF(ThresholdAge06,"&lt;"&amp;'19_Расчет_аналитики'!AQ4607,WeightedRevAge06)-SUMIF(ThresholdAge06,"&lt;"&amp;'19_Расчет_аналитики'!AQ4607,WeightedMinAge06),MAX(CapacityAge06*'01_Вводные'!$B$218*'19_Расчет_аналитики'!AQ4607,MeanMinAge06))),0)</f>
        <v/>
      </c>
      <c r="AR4517">
        <f>IF('01_Вводные'!$B$234="Да",IF(OR('19_Расчет_аналитики'!AR4489=0,6&lt;='01_Вводные'!$B$297),0,'19_Расчет_аналитики'!AR4489*IF('01_Вводные'!$B$239="Да",MeanMinAge06+'19_Расчет_аналитики'!AR4607*SUMIF(ThresholdAge06,"&lt;"&amp;'19_Расчет_аналитики'!AR4607,WeightedRevAge06)-SUMIF(ThresholdAge06,"&lt;"&amp;'19_Расчет_аналитики'!AR4607,WeightedMinAge06),MAX(CapacityAge06*'01_Вводные'!$B$218*'19_Расчет_аналитики'!AR4607,MeanMinAge06))),0)</f>
        <v/>
      </c>
      <c r="AS4517">
        <f>IF('01_Вводные'!$B$234="Да",IF(OR('19_Расчет_аналитики'!AS4489=0,6&lt;='01_Вводные'!$B$297),0,'19_Расчет_аналитики'!AS4489*IF('01_Вводные'!$B$239="Да",MeanMinAge06+'19_Расчет_аналитики'!AS4607*SUMIF(ThresholdAge06,"&lt;"&amp;'19_Расчет_аналитики'!AS4607,WeightedRevAge06)-SUMIF(ThresholdAge06,"&lt;"&amp;'19_Расчет_аналитики'!AS4607,WeightedMinAge06),MAX(CapacityAge06*'01_Вводные'!$B$218*'19_Расчет_аналитики'!AS4607,MeanMinAge06))),0)</f>
        <v/>
      </c>
      <c r="AT4517">
        <f>IF('01_Вводные'!$B$234="Да",IF(OR('19_Расчет_аналитики'!AT4489=0,6&lt;='01_Вводные'!$B$297),0,'19_Расчет_аналитики'!AT4489*IF('01_Вводные'!$B$239="Да",MeanMinAge06+'19_Расчет_аналитики'!AT4607*SUMIF(ThresholdAge06,"&lt;"&amp;'19_Расчет_аналитики'!AT4607,WeightedRevAge06)-SUMIF(ThresholdAge06,"&lt;"&amp;'19_Расчет_аналитики'!AT4607,WeightedMinAge06),MAX(CapacityAge06*'01_Вводные'!$B$218*'19_Расчет_аналитики'!AT4607,MeanMinAge06))),0)</f>
        <v/>
      </c>
      <c r="AU4517">
        <f>IF('01_Вводные'!$B$234="Да",IF(OR('19_Расчет_аналитики'!AU4489=0,6&lt;='01_Вводные'!$B$297),0,'19_Расчет_аналитики'!AU4489*IF('01_Вводные'!$B$239="Да",MeanMinAge06+'19_Расчет_аналитики'!AU4607*SUMIF(ThresholdAge06,"&lt;"&amp;'19_Расчет_аналитики'!AU4607,WeightedRevAge06)-SUMIF(ThresholdAge06,"&lt;"&amp;'19_Расчет_аналитики'!AU4607,WeightedMinAge06),MAX(CapacityAge06*'01_Вводные'!$B$218*'19_Расчет_аналитики'!AU4607,MeanMinAge06))),0)</f>
        <v/>
      </c>
      <c r="AV4517">
        <f>IF('01_Вводные'!$B$234="Да",IF(OR('19_Расчет_аналитики'!AV4489=0,6&lt;='01_Вводные'!$B$297),0,'19_Расчет_аналитики'!AV4489*IF('01_Вводные'!$B$239="Да",MeanMinAge06+'19_Расчет_аналитики'!AV4607*SUMIF(ThresholdAge06,"&lt;"&amp;'19_Расчет_аналитики'!AV4607,WeightedRevAge06)-SUMIF(ThresholdAge06,"&lt;"&amp;'19_Расчет_аналитики'!AV4607,WeightedMinAge06),MAX(CapacityAge06*'01_Вводные'!$B$218*'19_Расчет_аналитики'!AV4607,MeanMinAge06))),0)</f>
        <v/>
      </c>
      <c r="AW4517">
        <f>IF('01_Вводные'!$B$234="Да",IF(OR('19_Расчет_аналитики'!AW4489=0,6&lt;='01_Вводные'!$B$297),0,'19_Расчет_аналитики'!AW4489*IF('01_Вводные'!$B$239="Да",MeanMinAge06+'19_Расчет_аналитики'!AW4607*SUMIF(ThresholdAge06,"&lt;"&amp;'19_Расчет_аналитики'!AW4607,WeightedRevAge06)-SUMIF(ThresholdAge06,"&lt;"&amp;'19_Расчет_аналитики'!AW4607,WeightedMinAge06),MAX(CapacityAge06*'01_Вводные'!$B$218*'19_Расчет_аналитики'!AW4607,MeanMinAge06))),0)</f>
        <v/>
      </c>
      <c r="AX4517">
        <f>IF('01_Вводные'!$B$234="Да",IF(OR('19_Расчет_аналитики'!AX4489=0,6&lt;='01_Вводные'!$B$297),0,'19_Расчет_аналитики'!AX4489*IF('01_Вводные'!$B$239="Да",MeanMinAge06+'19_Расчет_аналитики'!AX4607*SUMIF(ThresholdAge06,"&lt;"&amp;'19_Расчет_аналитики'!AX4607,WeightedRevAge06)-SUMIF(ThresholdAge06,"&lt;"&amp;'19_Расчет_аналитики'!AX4607,WeightedMinAge06),MAX(CapacityAge06*'01_Вводные'!$B$218*'19_Расчет_аналитики'!AX4607,MeanMinAge06))),0)</f>
        <v/>
      </c>
      <c r="AY4517">
        <f>IF('01_Вводные'!$B$234="Да",IF(OR('19_Расчет_аналитики'!AY4489=0,6&lt;='01_Вводные'!$B$297),0,'19_Расчет_аналитики'!AY4489*IF('01_Вводные'!$B$239="Да",MeanMinAge06+'19_Расчет_аналитики'!AY4607*SUMIF(ThresholdAge06,"&lt;"&amp;'19_Расчет_аналитики'!AY4607,WeightedRevAge06)-SUMIF(ThresholdAge06,"&lt;"&amp;'19_Расчет_аналитики'!AY4607,WeightedMinAge06),MAX(CapacityAge06*'01_Вводные'!$B$218*'19_Расчет_аналитики'!AY4607,MeanMinAge06))),0)</f>
        <v/>
      </c>
      <c r="AZ4517">
        <f>IF('01_Вводные'!$B$234="Да",IF(OR('19_Расчет_аналитики'!AZ4489=0,6&lt;='01_Вводные'!$B$297),0,'19_Расчет_аналитики'!AZ4489*IF('01_Вводные'!$B$239="Да",MeanMinAge06+'19_Расчет_аналитики'!AZ4607*SUMIF(ThresholdAge06,"&lt;"&amp;'19_Расчет_аналитики'!AZ4607,WeightedRevAge06)-SUMIF(ThresholdAge06,"&lt;"&amp;'19_Расчет_аналитики'!AZ4607,WeightedMinAge06),MAX(CapacityAge06*'01_Вводные'!$B$218*'19_Расчет_аналитики'!AZ4607,MeanMinAge06))),0)</f>
        <v/>
      </c>
      <c r="BA4517">
        <f>IF('01_Вводные'!$B$234="Да",IF(OR('19_Расчет_аналитики'!BA4489=0,6&lt;='01_Вводные'!$B$297),0,'19_Расчет_аналитики'!BA4489*IF('01_Вводные'!$B$239="Да",MeanMinAge06+'19_Расчет_аналитики'!BA4607*SUMIF(ThresholdAge06,"&lt;"&amp;'19_Расчет_аналитики'!BA4607,WeightedRevAge06)-SUMIF(ThresholdAge06,"&lt;"&amp;'19_Расчет_аналитики'!BA4607,WeightedMinAge06),MAX(CapacityAge06*'01_Вводные'!$B$218*'19_Расчет_аналитики'!BA4607,MeanMinAge06))),0)</f>
        <v/>
      </c>
      <c r="BB4517">
        <f>IF('01_Вводные'!$B$234="Да",IF(OR('19_Расчет_аналитики'!BB4489=0,6&lt;='01_Вводные'!$B$297),0,'19_Расчет_аналитики'!BB4489*IF('01_Вводные'!$B$239="Да",MeanMinAge06+'19_Расчет_аналитики'!BB4607*SUMIF(ThresholdAge06,"&lt;"&amp;'19_Расчет_аналитики'!BB4607,WeightedRevAge06)-SUMIF(ThresholdAge06,"&lt;"&amp;'19_Расчет_аналитики'!BB4607,WeightedMinAge06),MAX(CapacityAge06*'01_Вводные'!$B$218*'19_Расчет_аналитики'!BB4607,MeanMinAge06))),0)</f>
        <v/>
      </c>
      <c r="BC4517">
        <f>IF('01_Вводные'!$B$234="Да",IF(OR('19_Расчет_аналитики'!BC4489=0,6&lt;='01_Вводные'!$B$297),0,'19_Расчет_аналитики'!BC4489*IF('01_Вводные'!$B$239="Да",MeanMinAge06+'19_Расчет_аналитики'!BC4607*SUMIF(ThresholdAge06,"&lt;"&amp;'19_Расчет_аналитики'!BC4607,WeightedRevAge06)-SUMIF(ThresholdAge06,"&lt;"&amp;'19_Расчет_аналитики'!BC4607,WeightedMinAge06),MAX(CapacityAge06*'01_Вводные'!$B$218*'19_Расчет_аналитики'!BC4607,MeanMinAge06))),0)</f>
        <v/>
      </c>
      <c r="BD4517">
        <f>IF('01_Вводные'!$B$234="Да",IF(OR('19_Расчет_аналитики'!BD4489=0,6&lt;='01_Вводные'!$B$297),0,'19_Расчет_аналитики'!BD4489*IF('01_Вводные'!$B$239="Да",MeanMinAge06+'19_Расчет_аналитики'!BD4607*SUMIF(ThresholdAge06,"&lt;"&amp;'19_Расчет_аналитики'!BD4607,WeightedRevAge06)-SUMIF(ThresholdAge06,"&lt;"&amp;'19_Расчет_аналитики'!BD4607,WeightedMinAge06),MAX(CapacityAge06*'01_Вводные'!$B$218*'19_Расчет_аналитики'!BD4607,MeanMinAge06))),0)</f>
        <v/>
      </c>
      <c r="BE4517">
        <f>IF('01_Вводные'!$B$234="Да",IF(OR('19_Расчет_аналитики'!BE4489=0,6&lt;='01_Вводные'!$B$297),0,'19_Расчет_аналитики'!BE4489*IF('01_Вводные'!$B$239="Да",MeanMinAge06+'19_Расчет_аналитики'!BE4607*SUMIF(ThresholdAge06,"&lt;"&amp;'19_Расчет_аналитики'!BE4607,WeightedRevAge06)-SUMIF(ThresholdAge06,"&lt;"&amp;'19_Расчет_аналитики'!BE4607,WeightedMinAge06),MAX(CapacityAge06*'01_Вводные'!$B$218*'19_Расчет_аналитики'!BE4607,MeanMinAge06))),0)</f>
        <v/>
      </c>
      <c r="BF4517">
        <f>IF('01_Вводные'!$B$234="Да",IF(OR('19_Расчет_аналитики'!BF4489=0,6&lt;='01_Вводные'!$B$297),0,'19_Расчет_аналитики'!BF4489*IF('01_Вводные'!$B$239="Да",MeanMinAge06+'19_Расчет_аналитики'!BF4607*SUMIF(ThresholdAge06,"&lt;"&amp;'19_Расчет_аналитики'!BF4607,WeightedRevAge06)-SUMIF(ThresholdAge06,"&lt;"&amp;'19_Расчет_аналитики'!BF4607,WeightedMinAge06),MAX(CapacityAge06*'01_Вводные'!$B$218*'19_Расчет_аналитики'!BF4607,MeanMinAge06))),0)</f>
        <v/>
      </c>
      <c r="BG4517">
        <f>IF('01_Вводные'!$B$234="Да",IF(OR('19_Расчет_аналитики'!BG4489=0,6&lt;='01_Вводные'!$B$297),0,'19_Расчет_аналитики'!BG4489*IF('01_Вводные'!$B$239="Да",MeanMinAge06+'19_Расчет_аналитики'!BG4607*SUMIF(ThresholdAge06,"&lt;"&amp;'19_Расчет_аналитики'!BG4607,WeightedRevAge06)-SUMIF(ThresholdAge06,"&lt;"&amp;'19_Расчет_аналитики'!BG4607,WeightedMinAge06),MAX(CapacityAge06*'01_Вводные'!$B$218*'19_Расчет_аналитики'!BG4607,MeanMinAge06))),0)</f>
        <v/>
      </c>
      <c r="BH4517">
        <f>IF('01_Вводные'!$B$234="Да",IF(OR('19_Расчет_аналитики'!BH4489=0,6&lt;='01_Вводные'!$B$297),0,'19_Расчет_аналитики'!BH4489*IF('01_Вводные'!$B$239="Да",MeanMinAge06+'19_Расчет_аналитики'!BH4607*SUMIF(ThresholdAge06,"&lt;"&amp;'19_Расчет_аналитики'!BH4607,WeightedRevAge06)-SUMIF(ThresholdAge06,"&lt;"&amp;'19_Расчет_аналитики'!BH4607,WeightedMinAge06),MAX(CapacityAge06*'01_Вводные'!$B$218*'19_Расчет_аналитики'!BH4607,MeanMinAge06))),0)</f>
        <v/>
      </c>
      <c r="BI4517">
        <f>IF('01_Вводные'!$B$234="Да",IF(OR('19_Расчет_аналитики'!BI4489=0,6&lt;='01_Вводные'!$B$297),0,'19_Расчет_аналитики'!BI4489*IF('01_Вводные'!$B$239="Да",MeanMinAge06+'19_Расчет_аналитики'!BI4607*SUMIF(ThresholdAge06,"&lt;"&amp;'19_Расчет_аналитики'!BI4607,WeightedRevAge06)-SUMIF(ThresholdAge06,"&lt;"&amp;'19_Расчет_аналитики'!BI4607,WeightedMinAge06),MAX(CapacityAge06*'01_Вводные'!$B$218*'19_Расчет_аналитики'!BI4607,MeanMinAge06))),0)</f>
        <v/>
      </c>
      <c r="BJ4517">
        <f>IF('01_Вводные'!$B$234="Да",IF(OR('19_Расчет_аналитики'!BJ4489=0,6&lt;='01_Вводные'!$B$297),0,'19_Расчет_аналитики'!BJ4489*IF('01_Вводные'!$B$239="Да",MeanMinAge06+'19_Расчет_аналитики'!BJ4607*SUMIF(ThresholdAge06,"&lt;"&amp;'19_Расчет_аналитики'!BJ4607,WeightedRevAge06)-SUMIF(ThresholdAge06,"&lt;"&amp;'19_Расчет_аналитики'!BJ4607,WeightedMinAge06),MAX(CapacityAge06*'01_Вводные'!$B$218*'19_Расчет_аналитики'!BJ4607,MeanMinAge06))),0)</f>
        <v/>
      </c>
      <c r="BK4517">
        <f>IF('01_Вводные'!$B$234="Да",IF(OR('19_Расчет_аналитики'!BK4489=0,6&lt;='01_Вводные'!$B$297),0,'19_Расчет_аналитики'!BK4489*IF('01_Вводные'!$B$239="Да",MeanMinAge06+'19_Расчет_аналитики'!BK4607*SUMIF(ThresholdAge06,"&lt;"&amp;'19_Расчет_аналитики'!BK4607,WeightedRevAge06)-SUMIF(ThresholdAge06,"&lt;"&amp;'19_Расчет_аналитики'!BK4607,WeightedMinAge06),MAX(CapacityAge06*'01_Вводные'!$B$218*'19_Расчет_аналитики'!BK4607,MeanMinAge06))),0)</f>
        <v/>
      </c>
      <c r="BL4517">
        <f>IF('01_Вводные'!$B$234="Да",IF(OR('19_Расчет_аналитики'!BL4489=0,6&lt;='01_Вводные'!$B$297),0,'19_Расчет_аналитики'!BL4489*IF('01_Вводные'!$B$239="Да",MeanMinAge06+'19_Расчет_аналитики'!BL4607*SUMIF(ThresholdAge06,"&lt;"&amp;'19_Расчет_аналитики'!BL4607,WeightedRevAge06)-SUMIF(ThresholdAge06,"&lt;"&amp;'19_Расчет_аналитики'!BL4607,WeightedMinAge06),MAX(CapacityAge06*'01_Вводные'!$B$218*'19_Расчет_аналитики'!BL4607,MeanMinAge06))),0)</f>
        <v/>
      </c>
      <c r="BM4517">
        <f>IF('01_Вводные'!$B$234="Да",IF(OR('19_Расчет_аналитики'!BM4489=0,6&lt;='01_Вводные'!$B$297),0,'19_Расчет_аналитики'!BM4489*IF('01_Вводные'!$B$239="Да",MeanMinAge06+'19_Расчет_аналитики'!BM4607*SUMIF(ThresholdAge06,"&lt;"&amp;'19_Расчет_аналитики'!BM4607,WeightedRevAge06)-SUMIF(ThresholdAge06,"&lt;"&amp;'19_Расчет_аналитики'!BM4607,WeightedMinAge06),MAX(CapacityAge06*'01_Вводные'!$B$218*'19_Расчет_аналитики'!BM4607,MeanMinAge06))),0)</f>
        <v/>
      </c>
      <c r="BN4517">
        <f>IF('01_Вводные'!$B$234="Да",IF(OR('19_Расчет_аналитики'!BN4489=0,6&lt;='01_Вводные'!$B$297),0,'19_Расчет_аналитики'!BN4489*IF('01_Вводные'!$B$239="Да",MeanMinAge06+'19_Расчет_аналитики'!BN4607*SUMIF(ThresholdAge06,"&lt;"&amp;'19_Расчет_аналитики'!BN4607,WeightedRevAge06)-SUMIF(ThresholdAge06,"&lt;"&amp;'19_Расчет_аналитики'!BN4607,WeightedMinAge06),MAX(CapacityAge06*'01_Вводные'!$B$218*'19_Расчет_аналитики'!BN4607,MeanMinAge06))),0)</f>
        <v/>
      </c>
      <c r="BO4517">
        <f>IF('01_Вводные'!$B$234="Да",IF(OR('19_Расчет_аналитики'!BO4489=0,6&lt;='01_Вводные'!$B$297),0,'19_Расчет_аналитики'!BO4489*IF('01_Вводные'!$B$239="Да",MeanMinAge06+'19_Расчет_аналитики'!BO4607*SUMIF(ThresholdAge06,"&lt;"&amp;'19_Расчет_аналитики'!BO4607,WeightedRevAge06)-SUMIF(ThresholdAge06,"&lt;"&amp;'19_Расчет_аналитики'!BO4607,WeightedMinAge06),MAX(CapacityAge06*'01_Вводные'!$B$218*'19_Расчет_аналитики'!BO4607,MeanMinAge06))),0)</f>
        <v/>
      </c>
    </row>
    <row r="4518">
      <c r="B4518">
        <f>IF('01_Вводные'!$B$234="Да",IF(OR('06_Сеть_и_дети'!B87=0,7&lt;='01_Вводные'!$B$297),0,'06_Сеть_и_дети'!B87*IF('01_Вводные'!$B$239="Да",MeanMinAge07+'19_Расчет_аналитики'!B4607*SUMIF(ThresholdAge07,"&lt;"&amp;'19_Расчет_аналитики'!B4607,WeightedRevAge07)-SUMIF(ThresholdAge07,"&lt;"&amp;'19_Расчет_аналитики'!B4607,WeightedMinAge07),MAX(CapacityAge07*'01_Вводные'!$B$218*'19_Расчет_аналитики'!B4607,MeanMinAge07))),0)</f>
        <v/>
      </c>
      <c r="C4518">
        <f>IF('01_Вводные'!$B$234="Да",IF(OR('06_Сеть_и_дети'!C87=0,7&lt;='01_Вводные'!$B$297),0,'06_Сеть_и_дети'!C87*IF('01_Вводные'!$B$239="Да",MeanMinAge07+'19_Расчет_аналитики'!C4607*SUMIF(ThresholdAge07,"&lt;"&amp;'19_Расчет_аналитики'!C4607,WeightedRevAge07)-SUMIF(ThresholdAge07,"&lt;"&amp;'19_Расчет_аналитики'!C4607,WeightedMinAge07),MAX(CapacityAge07*'01_Вводные'!$B$218*'19_Расчет_аналитики'!C4607,MeanMinAge07))),0)</f>
        <v/>
      </c>
      <c r="D4518">
        <f>IF('01_Вводные'!$B$234="Да",IF(OR('06_Сеть_и_дети'!D87=0,7&lt;='01_Вводные'!$B$297),0,'06_Сеть_и_дети'!D87*IF('01_Вводные'!$B$239="Да",MeanMinAge07+'19_Расчет_аналитики'!D4607*SUMIF(ThresholdAge07,"&lt;"&amp;'19_Расчет_аналитики'!D4607,WeightedRevAge07)-SUMIF(ThresholdAge07,"&lt;"&amp;'19_Расчет_аналитики'!D4607,WeightedMinAge07),MAX(CapacityAge07*'01_Вводные'!$B$218*'19_Расчет_аналитики'!D4607,MeanMinAge07))),0)</f>
        <v/>
      </c>
      <c r="E4518">
        <f>IF('01_Вводные'!$B$234="Да",IF(OR('06_Сеть_и_дети'!E87=0,7&lt;='01_Вводные'!$B$297),0,'06_Сеть_и_дети'!E87*IF('01_Вводные'!$B$239="Да",MeanMinAge07+'19_Расчет_аналитики'!E4607*SUMIF(ThresholdAge07,"&lt;"&amp;'19_Расчет_аналитики'!E4607,WeightedRevAge07)-SUMIF(ThresholdAge07,"&lt;"&amp;'19_Расчет_аналитики'!E4607,WeightedMinAge07),MAX(CapacityAge07*'01_Вводные'!$B$218*'19_Расчет_аналитики'!E4607,MeanMinAge07))),0)</f>
        <v/>
      </c>
      <c r="F4518">
        <f>IF('01_Вводные'!$B$234="Да",IF(OR('06_Сеть_и_дети'!F87=0,7&lt;='01_Вводные'!$B$297),0,'06_Сеть_и_дети'!F87*IF('01_Вводные'!$B$239="Да",MeanMinAge07+'19_Расчет_аналитики'!F4607*SUMIF(ThresholdAge07,"&lt;"&amp;'19_Расчет_аналитики'!F4607,WeightedRevAge07)-SUMIF(ThresholdAge07,"&lt;"&amp;'19_Расчет_аналитики'!F4607,WeightedMinAge07),MAX(CapacityAge07*'01_Вводные'!$B$218*'19_Расчет_аналитики'!F4607,MeanMinAge07))),0)</f>
        <v/>
      </c>
      <c r="G4518">
        <f>IF('01_Вводные'!$B$234="Да",IF(OR('06_Сеть_и_дети'!G87=0,7&lt;='01_Вводные'!$B$297),0,'06_Сеть_и_дети'!G87*IF('01_Вводные'!$B$239="Да",MeanMinAge07+'19_Расчет_аналитики'!G4607*SUMIF(ThresholdAge07,"&lt;"&amp;'19_Расчет_аналитики'!G4607,WeightedRevAge07)-SUMIF(ThresholdAge07,"&lt;"&amp;'19_Расчет_аналитики'!G4607,WeightedMinAge07),MAX(CapacityAge07*'01_Вводные'!$B$218*'19_Расчет_аналитики'!G4607,MeanMinAge07))),0)</f>
        <v/>
      </c>
      <c r="H4518">
        <f>IF('01_Вводные'!$B$234="Да",IF(OR('19_Расчет_аналитики'!H4490=0,7&lt;='01_Вводные'!$B$297),0,'19_Расчет_аналитики'!H4490*IF('01_Вводные'!$B$239="Да",MeanMinAge07+'19_Расчет_аналитики'!H4607*SUMIF(ThresholdAge07,"&lt;"&amp;'19_Расчет_аналитики'!H4607,WeightedRevAge07)-SUMIF(ThresholdAge07,"&lt;"&amp;'19_Расчет_аналитики'!H4607,WeightedMinAge07),MAX(CapacityAge07*'01_Вводные'!$B$218*'19_Расчет_аналитики'!H4607,MeanMinAge07))),0)</f>
        <v/>
      </c>
      <c r="I4518">
        <f>IF('01_Вводные'!$B$234="Да",IF(OR('19_Расчет_аналитики'!I4490=0,7&lt;='01_Вводные'!$B$297),0,'19_Расчет_аналитики'!I4490*IF('01_Вводные'!$B$239="Да",MeanMinAge07+'19_Расчет_аналитики'!I4607*SUMIF(ThresholdAge07,"&lt;"&amp;'19_Расчет_аналитики'!I4607,WeightedRevAge07)-SUMIF(ThresholdAge07,"&lt;"&amp;'19_Расчет_аналитики'!I4607,WeightedMinAge07),MAX(CapacityAge07*'01_Вводные'!$B$218*'19_Расчет_аналитики'!I4607,MeanMinAge07))),0)</f>
        <v/>
      </c>
      <c r="J4518">
        <f>IF('01_Вводные'!$B$234="Да",IF(OR('19_Расчет_аналитики'!J4490=0,7&lt;='01_Вводные'!$B$297),0,'19_Расчет_аналитики'!J4490*IF('01_Вводные'!$B$239="Да",MeanMinAge07+'19_Расчет_аналитики'!J4607*SUMIF(ThresholdAge07,"&lt;"&amp;'19_Расчет_аналитики'!J4607,WeightedRevAge07)-SUMIF(ThresholdAge07,"&lt;"&amp;'19_Расчет_аналитики'!J4607,WeightedMinAge07),MAX(CapacityAge07*'01_Вводные'!$B$218*'19_Расчет_аналитики'!J4607,MeanMinAge07))),0)</f>
        <v/>
      </c>
      <c r="K4518">
        <f>IF('01_Вводные'!$B$234="Да",IF(OR('19_Расчет_аналитики'!K4490=0,7&lt;='01_Вводные'!$B$297),0,'19_Расчет_аналитики'!K4490*IF('01_Вводные'!$B$239="Да",MeanMinAge07+'19_Расчет_аналитики'!K4607*SUMIF(ThresholdAge07,"&lt;"&amp;'19_Расчет_аналитики'!K4607,WeightedRevAge07)-SUMIF(ThresholdAge07,"&lt;"&amp;'19_Расчет_аналитики'!K4607,WeightedMinAge07),MAX(CapacityAge07*'01_Вводные'!$B$218*'19_Расчет_аналитики'!K4607,MeanMinAge07))),0)</f>
        <v/>
      </c>
      <c r="L4518">
        <f>IF('01_Вводные'!$B$234="Да",IF(OR('19_Расчет_аналитики'!L4490=0,7&lt;='01_Вводные'!$B$297),0,'19_Расчет_аналитики'!L4490*IF('01_Вводные'!$B$239="Да",MeanMinAge07+'19_Расчет_аналитики'!L4607*SUMIF(ThresholdAge07,"&lt;"&amp;'19_Расчет_аналитики'!L4607,WeightedRevAge07)-SUMIF(ThresholdAge07,"&lt;"&amp;'19_Расчет_аналитики'!L4607,WeightedMinAge07),MAX(CapacityAge07*'01_Вводные'!$B$218*'19_Расчет_аналитики'!L4607,MeanMinAge07))),0)</f>
        <v/>
      </c>
      <c r="M4518">
        <f>IF('01_Вводные'!$B$234="Да",IF(OR('19_Расчет_аналитики'!M4490=0,7&lt;='01_Вводные'!$B$297),0,'19_Расчет_аналитики'!M4490*IF('01_Вводные'!$B$239="Да",MeanMinAge07+'19_Расчет_аналитики'!M4607*SUMIF(ThresholdAge07,"&lt;"&amp;'19_Расчет_аналитики'!M4607,WeightedRevAge07)-SUMIF(ThresholdAge07,"&lt;"&amp;'19_Расчет_аналитики'!M4607,WeightedMinAge07),MAX(CapacityAge07*'01_Вводные'!$B$218*'19_Расчет_аналитики'!M4607,MeanMinAge07))),0)</f>
        <v/>
      </c>
      <c r="N4518">
        <f>IF('01_Вводные'!$B$234="Да",IF(OR('19_Расчет_аналитики'!N4490=0,7&lt;='01_Вводные'!$B$297),0,'19_Расчет_аналитики'!N4490*IF('01_Вводные'!$B$239="Да",MeanMinAge07+'19_Расчет_аналитики'!N4607*SUMIF(ThresholdAge07,"&lt;"&amp;'19_Расчет_аналитики'!N4607,WeightedRevAge07)-SUMIF(ThresholdAge07,"&lt;"&amp;'19_Расчет_аналитики'!N4607,WeightedMinAge07),MAX(CapacityAge07*'01_Вводные'!$B$218*'19_Расчет_аналитики'!N4607,MeanMinAge07))),0)</f>
        <v/>
      </c>
      <c r="O4518">
        <f>IF('01_Вводные'!$B$234="Да",IF(OR('19_Расчет_аналитики'!O4490=0,7&lt;='01_Вводные'!$B$297),0,'19_Расчет_аналитики'!O4490*IF('01_Вводные'!$B$239="Да",MeanMinAge07+'19_Расчет_аналитики'!O4607*SUMIF(ThresholdAge07,"&lt;"&amp;'19_Расчет_аналитики'!O4607,WeightedRevAge07)-SUMIF(ThresholdAge07,"&lt;"&amp;'19_Расчет_аналитики'!O4607,WeightedMinAge07),MAX(CapacityAge07*'01_Вводные'!$B$218*'19_Расчет_аналитики'!O4607,MeanMinAge07))),0)</f>
        <v/>
      </c>
      <c r="P4518">
        <f>IF('01_Вводные'!$B$234="Да",IF(OR('19_Расчет_аналитики'!P4490=0,7&lt;='01_Вводные'!$B$297),0,'19_Расчет_аналитики'!P4490*IF('01_Вводные'!$B$239="Да",MeanMinAge07+'19_Расчет_аналитики'!P4607*SUMIF(ThresholdAge07,"&lt;"&amp;'19_Расчет_аналитики'!P4607,WeightedRevAge07)-SUMIF(ThresholdAge07,"&lt;"&amp;'19_Расчет_аналитики'!P4607,WeightedMinAge07),MAX(CapacityAge07*'01_Вводные'!$B$218*'19_Расчет_аналитики'!P4607,MeanMinAge07))),0)</f>
        <v/>
      </c>
      <c r="Q4518">
        <f>IF('01_Вводные'!$B$234="Да",IF(OR('19_Расчет_аналитики'!Q4490=0,7&lt;='01_Вводные'!$B$297),0,'19_Расчет_аналитики'!Q4490*IF('01_Вводные'!$B$239="Да",MeanMinAge07+'19_Расчет_аналитики'!Q4607*SUMIF(ThresholdAge07,"&lt;"&amp;'19_Расчет_аналитики'!Q4607,WeightedRevAge07)-SUMIF(ThresholdAge07,"&lt;"&amp;'19_Расчет_аналитики'!Q4607,WeightedMinAge07),MAX(CapacityAge07*'01_Вводные'!$B$218*'19_Расчет_аналитики'!Q4607,MeanMinAge07))),0)</f>
        <v/>
      </c>
      <c r="R4518">
        <f>IF('01_Вводные'!$B$234="Да",IF(OR('19_Расчет_аналитики'!R4490=0,7&lt;='01_Вводные'!$B$297),0,'19_Расчет_аналитики'!R4490*IF('01_Вводные'!$B$239="Да",MeanMinAge07+'19_Расчет_аналитики'!R4607*SUMIF(ThresholdAge07,"&lt;"&amp;'19_Расчет_аналитики'!R4607,WeightedRevAge07)-SUMIF(ThresholdAge07,"&lt;"&amp;'19_Расчет_аналитики'!R4607,WeightedMinAge07),MAX(CapacityAge07*'01_Вводные'!$B$218*'19_Расчет_аналитики'!R4607,MeanMinAge07))),0)</f>
        <v/>
      </c>
      <c r="S4518">
        <f>IF('01_Вводные'!$B$234="Да",IF(OR('19_Расчет_аналитики'!S4490=0,7&lt;='01_Вводные'!$B$297),0,'19_Расчет_аналитики'!S4490*IF('01_Вводные'!$B$239="Да",MeanMinAge07+'19_Расчет_аналитики'!S4607*SUMIF(ThresholdAge07,"&lt;"&amp;'19_Расчет_аналитики'!S4607,WeightedRevAge07)-SUMIF(ThresholdAge07,"&lt;"&amp;'19_Расчет_аналитики'!S4607,WeightedMinAge07),MAX(CapacityAge07*'01_Вводные'!$B$218*'19_Расчет_аналитики'!S4607,MeanMinAge07))),0)</f>
        <v/>
      </c>
      <c r="T4518">
        <f>IF('01_Вводные'!$B$234="Да",IF(OR('19_Расчет_аналитики'!T4490=0,7&lt;='01_Вводные'!$B$297),0,'19_Расчет_аналитики'!T4490*IF('01_Вводные'!$B$239="Да",MeanMinAge07+'19_Расчет_аналитики'!T4607*SUMIF(ThresholdAge07,"&lt;"&amp;'19_Расчет_аналитики'!T4607,WeightedRevAge07)-SUMIF(ThresholdAge07,"&lt;"&amp;'19_Расчет_аналитики'!T4607,WeightedMinAge07),MAX(CapacityAge07*'01_Вводные'!$B$218*'19_Расчет_аналитики'!T4607,MeanMinAge07))),0)</f>
        <v/>
      </c>
      <c r="U4518">
        <f>IF('01_Вводные'!$B$234="Да",IF(OR('19_Расчет_аналитики'!U4490=0,7&lt;='01_Вводные'!$B$297),0,'19_Расчет_аналитики'!U4490*IF('01_Вводные'!$B$239="Да",MeanMinAge07+'19_Расчет_аналитики'!U4607*SUMIF(ThresholdAge07,"&lt;"&amp;'19_Расчет_аналитики'!U4607,WeightedRevAge07)-SUMIF(ThresholdAge07,"&lt;"&amp;'19_Расчет_аналитики'!U4607,WeightedMinAge07),MAX(CapacityAge07*'01_Вводные'!$B$218*'19_Расчет_аналитики'!U4607,MeanMinAge07))),0)</f>
        <v/>
      </c>
      <c r="V4518">
        <f>IF('01_Вводные'!$B$234="Да",IF(OR('19_Расчет_аналитики'!V4490=0,7&lt;='01_Вводные'!$B$297),0,'19_Расчет_аналитики'!V4490*IF('01_Вводные'!$B$239="Да",MeanMinAge07+'19_Расчет_аналитики'!V4607*SUMIF(ThresholdAge07,"&lt;"&amp;'19_Расчет_аналитики'!V4607,WeightedRevAge07)-SUMIF(ThresholdAge07,"&lt;"&amp;'19_Расчет_аналитики'!V4607,WeightedMinAge07),MAX(CapacityAge07*'01_Вводные'!$B$218*'19_Расчет_аналитики'!V4607,MeanMinAge07))),0)</f>
        <v/>
      </c>
      <c r="W4518">
        <f>IF('01_Вводные'!$B$234="Да",IF(OR('19_Расчет_аналитики'!W4490=0,7&lt;='01_Вводные'!$B$297),0,'19_Расчет_аналитики'!W4490*IF('01_Вводные'!$B$239="Да",MeanMinAge07+'19_Расчет_аналитики'!W4607*SUMIF(ThresholdAge07,"&lt;"&amp;'19_Расчет_аналитики'!W4607,WeightedRevAge07)-SUMIF(ThresholdAge07,"&lt;"&amp;'19_Расчет_аналитики'!W4607,WeightedMinAge07),MAX(CapacityAge07*'01_Вводные'!$B$218*'19_Расчет_аналитики'!W4607,MeanMinAge07))),0)</f>
        <v/>
      </c>
      <c r="X4518">
        <f>IF('01_Вводные'!$B$234="Да",IF(OR('19_Расчет_аналитики'!X4490=0,7&lt;='01_Вводные'!$B$297),0,'19_Расчет_аналитики'!X4490*IF('01_Вводные'!$B$239="Да",MeanMinAge07+'19_Расчет_аналитики'!X4607*SUMIF(ThresholdAge07,"&lt;"&amp;'19_Расчет_аналитики'!X4607,WeightedRevAge07)-SUMIF(ThresholdAge07,"&lt;"&amp;'19_Расчет_аналитики'!X4607,WeightedMinAge07),MAX(CapacityAge07*'01_Вводные'!$B$218*'19_Расчет_аналитики'!X4607,MeanMinAge07))),0)</f>
        <v/>
      </c>
      <c r="Y4518">
        <f>IF('01_Вводные'!$B$234="Да",IF(OR('19_Расчет_аналитики'!Y4490=0,7&lt;='01_Вводные'!$B$297),0,'19_Расчет_аналитики'!Y4490*IF('01_Вводные'!$B$239="Да",MeanMinAge07+'19_Расчет_аналитики'!Y4607*SUMIF(ThresholdAge07,"&lt;"&amp;'19_Расчет_аналитики'!Y4607,WeightedRevAge07)-SUMIF(ThresholdAge07,"&lt;"&amp;'19_Расчет_аналитики'!Y4607,WeightedMinAge07),MAX(CapacityAge07*'01_Вводные'!$B$218*'19_Расчет_аналитики'!Y4607,MeanMinAge07))),0)</f>
        <v/>
      </c>
      <c r="Z4518">
        <f>IF('01_Вводные'!$B$234="Да",IF(OR('19_Расчет_аналитики'!Z4490=0,7&lt;='01_Вводные'!$B$297),0,'19_Расчет_аналитики'!Z4490*IF('01_Вводные'!$B$239="Да",MeanMinAge07+'19_Расчет_аналитики'!Z4607*SUMIF(ThresholdAge07,"&lt;"&amp;'19_Расчет_аналитики'!Z4607,WeightedRevAge07)-SUMIF(ThresholdAge07,"&lt;"&amp;'19_Расчет_аналитики'!Z4607,WeightedMinAge07),MAX(CapacityAge07*'01_Вводные'!$B$218*'19_Расчет_аналитики'!Z4607,MeanMinAge07))),0)</f>
        <v/>
      </c>
      <c r="AA4518">
        <f>IF('01_Вводные'!$B$234="Да",IF(OR('19_Расчет_аналитики'!AA4490=0,7&lt;='01_Вводные'!$B$297),0,'19_Расчет_аналитики'!AA4490*IF('01_Вводные'!$B$239="Да",MeanMinAge07+'19_Расчет_аналитики'!AA4607*SUMIF(ThresholdAge07,"&lt;"&amp;'19_Расчет_аналитики'!AA4607,WeightedRevAge07)-SUMIF(ThresholdAge07,"&lt;"&amp;'19_Расчет_аналитики'!AA4607,WeightedMinAge07),MAX(CapacityAge07*'01_Вводные'!$B$218*'19_Расчет_аналитики'!AA4607,MeanMinAge07))),0)</f>
        <v/>
      </c>
      <c r="AB4518">
        <f>IF('01_Вводные'!$B$234="Да",IF(OR('19_Расчет_аналитики'!AB4490=0,7&lt;='01_Вводные'!$B$297),0,'19_Расчет_аналитики'!AB4490*IF('01_Вводные'!$B$239="Да",MeanMinAge07+'19_Расчет_аналитики'!AB4607*SUMIF(ThresholdAge07,"&lt;"&amp;'19_Расчет_аналитики'!AB4607,WeightedRevAge07)-SUMIF(ThresholdAge07,"&lt;"&amp;'19_Расчет_аналитики'!AB4607,WeightedMinAge07),MAX(CapacityAge07*'01_Вводные'!$B$218*'19_Расчет_аналитики'!AB4607,MeanMinAge07))),0)</f>
        <v/>
      </c>
      <c r="AC4518">
        <f>IF('01_Вводные'!$B$234="Да",IF(OR('19_Расчет_аналитики'!AC4490=0,7&lt;='01_Вводные'!$B$297),0,'19_Расчет_аналитики'!AC4490*IF('01_Вводные'!$B$239="Да",MeanMinAge07+'19_Расчет_аналитики'!AC4607*SUMIF(ThresholdAge07,"&lt;"&amp;'19_Расчет_аналитики'!AC4607,WeightedRevAge07)-SUMIF(ThresholdAge07,"&lt;"&amp;'19_Расчет_аналитики'!AC4607,WeightedMinAge07),MAX(CapacityAge07*'01_Вводные'!$B$218*'19_Расчет_аналитики'!AC4607,MeanMinAge07))),0)</f>
        <v/>
      </c>
      <c r="AD4518">
        <f>IF('01_Вводные'!$B$234="Да",IF(OR('19_Расчет_аналитики'!AD4490=0,7&lt;='01_Вводные'!$B$297),0,'19_Расчет_аналитики'!AD4490*IF('01_Вводные'!$B$239="Да",MeanMinAge07+'19_Расчет_аналитики'!AD4607*SUMIF(ThresholdAge07,"&lt;"&amp;'19_Расчет_аналитики'!AD4607,WeightedRevAge07)-SUMIF(ThresholdAge07,"&lt;"&amp;'19_Расчет_аналитики'!AD4607,WeightedMinAge07),MAX(CapacityAge07*'01_Вводные'!$B$218*'19_Расчет_аналитики'!AD4607,MeanMinAge07))),0)</f>
        <v/>
      </c>
      <c r="AE4518">
        <f>IF('01_Вводные'!$B$234="Да",IF(OR('19_Расчет_аналитики'!AE4490=0,7&lt;='01_Вводные'!$B$297),0,'19_Расчет_аналитики'!AE4490*IF('01_Вводные'!$B$239="Да",MeanMinAge07+'19_Расчет_аналитики'!AE4607*SUMIF(ThresholdAge07,"&lt;"&amp;'19_Расчет_аналитики'!AE4607,WeightedRevAge07)-SUMIF(ThresholdAge07,"&lt;"&amp;'19_Расчет_аналитики'!AE4607,WeightedMinAge07),MAX(CapacityAge07*'01_Вводные'!$B$218*'19_Расчет_аналитики'!AE4607,MeanMinAge07))),0)</f>
        <v/>
      </c>
      <c r="AF4518">
        <f>IF('01_Вводные'!$B$234="Да",IF(OR('19_Расчет_аналитики'!AF4490=0,7&lt;='01_Вводные'!$B$297),0,'19_Расчет_аналитики'!AF4490*IF('01_Вводные'!$B$239="Да",MeanMinAge07+'19_Расчет_аналитики'!AF4607*SUMIF(ThresholdAge07,"&lt;"&amp;'19_Расчет_аналитики'!AF4607,WeightedRevAge07)-SUMIF(ThresholdAge07,"&lt;"&amp;'19_Расчет_аналитики'!AF4607,WeightedMinAge07),MAX(CapacityAge07*'01_Вводные'!$B$218*'19_Расчет_аналитики'!AF4607,MeanMinAge07))),0)</f>
        <v/>
      </c>
      <c r="AG4518">
        <f>IF('01_Вводные'!$B$234="Да",IF(OR('19_Расчет_аналитики'!AG4490=0,7&lt;='01_Вводные'!$B$297),0,'19_Расчет_аналитики'!AG4490*IF('01_Вводные'!$B$239="Да",MeanMinAge07+'19_Расчет_аналитики'!AG4607*SUMIF(ThresholdAge07,"&lt;"&amp;'19_Расчет_аналитики'!AG4607,WeightedRevAge07)-SUMIF(ThresholdAge07,"&lt;"&amp;'19_Расчет_аналитики'!AG4607,WeightedMinAge07),MAX(CapacityAge07*'01_Вводные'!$B$218*'19_Расчет_аналитики'!AG4607,MeanMinAge07))),0)</f>
        <v/>
      </c>
      <c r="AH4518">
        <f>IF('01_Вводные'!$B$234="Да",IF(OR('19_Расчет_аналитики'!AH4490=0,7&lt;='01_Вводные'!$B$297),0,'19_Расчет_аналитики'!AH4490*IF('01_Вводные'!$B$239="Да",MeanMinAge07+'19_Расчет_аналитики'!AH4607*SUMIF(ThresholdAge07,"&lt;"&amp;'19_Расчет_аналитики'!AH4607,WeightedRevAge07)-SUMIF(ThresholdAge07,"&lt;"&amp;'19_Расчет_аналитики'!AH4607,WeightedMinAge07),MAX(CapacityAge07*'01_Вводные'!$B$218*'19_Расчет_аналитики'!AH4607,MeanMinAge07))),0)</f>
        <v/>
      </c>
      <c r="AI4518">
        <f>IF('01_Вводные'!$B$234="Да",IF(OR('19_Расчет_аналитики'!AI4490=0,7&lt;='01_Вводные'!$B$297),0,'19_Расчет_аналитики'!AI4490*IF('01_Вводные'!$B$239="Да",MeanMinAge07+'19_Расчет_аналитики'!AI4607*SUMIF(ThresholdAge07,"&lt;"&amp;'19_Расчет_аналитики'!AI4607,WeightedRevAge07)-SUMIF(ThresholdAge07,"&lt;"&amp;'19_Расчет_аналитики'!AI4607,WeightedMinAge07),MAX(CapacityAge07*'01_Вводные'!$B$218*'19_Расчет_аналитики'!AI4607,MeanMinAge07))),0)</f>
        <v/>
      </c>
      <c r="AJ4518">
        <f>IF('01_Вводные'!$B$234="Да",IF(OR('19_Расчет_аналитики'!AJ4490=0,7&lt;='01_Вводные'!$B$297),0,'19_Расчет_аналитики'!AJ4490*IF('01_Вводные'!$B$239="Да",MeanMinAge07+'19_Расчет_аналитики'!AJ4607*SUMIF(ThresholdAge07,"&lt;"&amp;'19_Расчет_аналитики'!AJ4607,WeightedRevAge07)-SUMIF(ThresholdAge07,"&lt;"&amp;'19_Расчет_аналитики'!AJ4607,WeightedMinAge07),MAX(CapacityAge07*'01_Вводные'!$B$218*'19_Расчет_аналитики'!AJ4607,MeanMinAge07))),0)</f>
        <v/>
      </c>
      <c r="AK4518">
        <f>IF('01_Вводные'!$B$234="Да",IF(OR('19_Расчет_аналитики'!AK4490=0,7&lt;='01_Вводные'!$B$297),0,'19_Расчет_аналитики'!AK4490*IF('01_Вводные'!$B$239="Да",MeanMinAge07+'19_Расчет_аналитики'!AK4607*SUMIF(ThresholdAge07,"&lt;"&amp;'19_Расчет_аналитики'!AK4607,WeightedRevAge07)-SUMIF(ThresholdAge07,"&lt;"&amp;'19_Расчет_аналитики'!AK4607,WeightedMinAge07),MAX(CapacityAge07*'01_Вводные'!$B$218*'19_Расчет_аналитики'!AK4607,MeanMinAge07))),0)</f>
        <v/>
      </c>
      <c r="AL4518">
        <f>IF('01_Вводные'!$B$234="Да",IF(OR('19_Расчет_аналитики'!AL4490=0,7&lt;='01_Вводные'!$B$297),0,'19_Расчет_аналитики'!AL4490*IF('01_Вводные'!$B$239="Да",MeanMinAge07+'19_Расчет_аналитики'!AL4607*SUMIF(ThresholdAge07,"&lt;"&amp;'19_Расчет_аналитики'!AL4607,WeightedRevAge07)-SUMIF(ThresholdAge07,"&lt;"&amp;'19_Расчет_аналитики'!AL4607,WeightedMinAge07),MAX(CapacityAge07*'01_Вводные'!$B$218*'19_Расчет_аналитики'!AL4607,MeanMinAge07))),0)</f>
        <v/>
      </c>
      <c r="AM4518">
        <f>IF('01_Вводные'!$B$234="Да",IF(OR('19_Расчет_аналитики'!AM4490=0,7&lt;='01_Вводные'!$B$297),0,'19_Расчет_аналитики'!AM4490*IF('01_Вводные'!$B$239="Да",MeanMinAge07+'19_Расчет_аналитики'!AM4607*SUMIF(ThresholdAge07,"&lt;"&amp;'19_Расчет_аналитики'!AM4607,WeightedRevAge07)-SUMIF(ThresholdAge07,"&lt;"&amp;'19_Расчет_аналитики'!AM4607,WeightedMinAge07),MAX(CapacityAge07*'01_Вводные'!$B$218*'19_Расчет_аналитики'!AM4607,MeanMinAge07))),0)</f>
        <v/>
      </c>
      <c r="AN4518">
        <f>IF('01_Вводные'!$B$234="Да",IF(OR('19_Расчет_аналитики'!AN4490=0,7&lt;='01_Вводные'!$B$297),0,'19_Расчет_аналитики'!AN4490*IF('01_Вводные'!$B$239="Да",MeanMinAge07+'19_Расчет_аналитики'!AN4607*SUMIF(ThresholdAge07,"&lt;"&amp;'19_Расчет_аналитики'!AN4607,WeightedRevAge07)-SUMIF(ThresholdAge07,"&lt;"&amp;'19_Расчет_аналитики'!AN4607,WeightedMinAge07),MAX(CapacityAge07*'01_Вводные'!$B$218*'19_Расчет_аналитики'!AN4607,MeanMinAge07))),0)</f>
        <v/>
      </c>
      <c r="AO4518">
        <f>IF('01_Вводные'!$B$234="Да",IF(OR('19_Расчет_аналитики'!AO4490=0,7&lt;='01_Вводные'!$B$297),0,'19_Расчет_аналитики'!AO4490*IF('01_Вводные'!$B$239="Да",MeanMinAge07+'19_Расчет_аналитики'!AO4607*SUMIF(ThresholdAge07,"&lt;"&amp;'19_Расчет_аналитики'!AO4607,WeightedRevAge07)-SUMIF(ThresholdAge07,"&lt;"&amp;'19_Расчет_аналитики'!AO4607,WeightedMinAge07),MAX(CapacityAge07*'01_Вводные'!$B$218*'19_Расчет_аналитики'!AO4607,MeanMinAge07))),0)</f>
        <v/>
      </c>
      <c r="AP4518">
        <f>IF('01_Вводные'!$B$234="Да",IF(OR('19_Расчет_аналитики'!AP4490=0,7&lt;='01_Вводные'!$B$297),0,'19_Расчет_аналитики'!AP4490*IF('01_Вводные'!$B$239="Да",MeanMinAge07+'19_Расчет_аналитики'!AP4607*SUMIF(ThresholdAge07,"&lt;"&amp;'19_Расчет_аналитики'!AP4607,WeightedRevAge07)-SUMIF(ThresholdAge07,"&lt;"&amp;'19_Расчет_аналитики'!AP4607,WeightedMinAge07),MAX(CapacityAge07*'01_Вводные'!$B$218*'19_Расчет_аналитики'!AP4607,MeanMinAge07))),0)</f>
        <v/>
      </c>
      <c r="AQ4518">
        <f>IF('01_Вводные'!$B$234="Да",IF(OR('19_Расчет_аналитики'!AQ4490=0,7&lt;='01_Вводные'!$B$297),0,'19_Расчет_аналитики'!AQ4490*IF('01_Вводные'!$B$239="Да",MeanMinAge07+'19_Расчет_аналитики'!AQ4607*SUMIF(ThresholdAge07,"&lt;"&amp;'19_Расчет_аналитики'!AQ4607,WeightedRevAge07)-SUMIF(ThresholdAge07,"&lt;"&amp;'19_Расчет_аналитики'!AQ4607,WeightedMinAge07),MAX(CapacityAge07*'01_Вводные'!$B$218*'19_Расчет_аналитики'!AQ4607,MeanMinAge07))),0)</f>
        <v/>
      </c>
      <c r="AR4518">
        <f>IF('01_Вводные'!$B$234="Да",IF(OR('19_Расчет_аналитики'!AR4490=0,7&lt;='01_Вводные'!$B$297),0,'19_Расчет_аналитики'!AR4490*IF('01_Вводные'!$B$239="Да",MeanMinAge07+'19_Расчет_аналитики'!AR4607*SUMIF(ThresholdAge07,"&lt;"&amp;'19_Расчет_аналитики'!AR4607,WeightedRevAge07)-SUMIF(ThresholdAge07,"&lt;"&amp;'19_Расчет_аналитики'!AR4607,WeightedMinAge07),MAX(CapacityAge07*'01_Вводные'!$B$218*'19_Расчет_аналитики'!AR4607,MeanMinAge07))),0)</f>
        <v/>
      </c>
      <c r="AS4518">
        <f>IF('01_Вводные'!$B$234="Да",IF(OR('19_Расчет_аналитики'!AS4490=0,7&lt;='01_Вводные'!$B$297),0,'19_Расчет_аналитики'!AS4490*IF('01_Вводные'!$B$239="Да",MeanMinAge07+'19_Расчет_аналитики'!AS4607*SUMIF(ThresholdAge07,"&lt;"&amp;'19_Расчет_аналитики'!AS4607,WeightedRevAge07)-SUMIF(ThresholdAge07,"&lt;"&amp;'19_Расчет_аналитики'!AS4607,WeightedMinAge07),MAX(CapacityAge07*'01_Вводные'!$B$218*'19_Расчет_аналитики'!AS4607,MeanMinAge07))),0)</f>
        <v/>
      </c>
      <c r="AT4518">
        <f>IF('01_Вводные'!$B$234="Да",IF(OR('19_Расчет_аналитики'!AT4490=0,7&lt;='01_Вводные'!$B$297),0,'19_Расчет_аналитики'!AT4490*IF('01_Вводные'!$B$239="Да",MeanMinAge07+'19_Расчет_аналитики'!AT4607*SUMIF(ThresholdAge07,"&lt;"&amp;'19_Расчет_аналитики'!AT4607,WeightedRevAge07)-SUMIF(ThresholdAge07,"&lt;"&amp;'19_Расчет_аналитики'!AT4607,WeightedMinAge07),MAX(CapacityAge07*'01_Вводные'!$B$218*'19_Расчет_аналитики'!AT4607,MeanMinAge07))),0)</f>
        <v/>
      </c>
      <c r="AU4518">
        <f>IF('01_Вводные'!$B$234="Да",IF(OR('19_Расчет_аналитики'!AU4490=0,7&lt;='01_Вводные'!$B$297),0,'19_Расчет_аналитики'!AU4490*IF('01_Вводные'!$B$239="Да",MeanMinAge07+'19_Расчет_аналитики'!AU4607*SUMIF(ThresholdAge07,"&lt;"&amp;'19_Расчет_аналитики'!AU4607,WeightedRevAge07)-SUMIF(ThresholdAge07,"&lt;"&amp;'19_Расчет_аналитики'!AU4607,WeightedMinAge07),MAX(CapacityAge07*'01_Вводные'!$B$218*'19_Расчет_аналитики'!AU4607,MeanMinAge07))),0)</f>
        <v/>
      </c>
      <c r="AV4518">
        <f>IF('01_Вводные'!$B$234="Да",IF(OR('19_Расчет_аналитики'!AV4490=0,7&lt;='01_Вводные'!$B$297),0,'19_Расчет_аналитики'!AV4490*IF('01_Вводные'!$B$239="Да",MeanMinAge07+'19_Расчет_аналитики'!AV4607*SUMIF(ThresholdAge07,"&lt;"&amp;'19_Расчет_аналитики'!AV4607,WeightedRevAge07)-SUMIF(ThresholdAge07,"&lt;"&amp;'19_Расчет_аналитики'!AV4607,WeightedMinAge07),MAX(CapacityAge07*'01_Вводные'!$B$218*'19_Расчет_аналитики'!AV4607,MeanMinAge07))),0)</f>
        <v/>
      </c>
      <c r="AW4518">
        <f>IF('01_Вводные'!$B$234="Да",IF(OR('19_Расчет_аналитики'!AW4490=0,7&lt;='01_Вводные'!$B$297),0,'19_Расчет_аналитики'!AW4490*IF('01_Вводные'!$B$239="Да",MeanMinAge07+'19_Расчет_аналитики'!AW4607*SUMIF(ThresholdAge07,"&lt;"&amp;'19_Расчет_аналитики'!AW4607,WeightedRevAge07)-SUMIF(ThresholdAge07,"&lt;"&amp;'19_Расчет_аналитики'!AW4607,WeightedMinAge07),MAX(CapacityAge07*'01_Вводные'!$B$218*'19_Расчет_аналитики'!AW4607,MeanMinAge07))),0)</f>
        <v/>
      </c>
      <c r="AX4518">
        <f>IF('01_Вводные'!$B$234="Да",IF(OR('19_Расчет_аналитики'!AX4490=0,7&lt;='01_Вводные'!$B$297),0,'19_Расчет_аналитики'!AX4490*IF('01_Вводные'!$B$239="Да",MeanMinAge07+'19_Расчет_аналитики'!AX4607*SUMIF(ThresholdAge07,"&lt;"&amp;'19_Расчет_аналитики'!AX4607,WeightedRevAge07)-SUMIF(ThresholdAge07,"&lt;"&amp;'19_Расчет_аналитики'!AX4607,WeightedMinAge07),MAX(CapacityAge07*'01_Вводные'!$B$218*'19_Расчет_аналитики'!AX4607,MeanMinAge07))),0)</f>
        <v/>
      </c>
      <c r="AY4518">
        <f>IF('01_Вводные'!$B$234="Да",IF(OR('19_Расчет_аналитики'!AY4490=0,7&lt;='01_Вводные'!$B$297),0,'19_Расчет_аналитики'!AY4490*IF('01_Вводные'!$B$239="Да",MeanMinAge07+'19_Расчет_аналитики'!AY4607*SUMIF(ThresholdAge07,"&lt;"&amp;'19_Расчет_аналитики'!AY4607,WeightedRevAge07)-SUMIF(ThresholdAge07,"&lt;"&amp;'19_Расчет_аналитики'!AY4607,WeightedMinAge07),MAX(CapacityAge07*'01_Вводные'!$B$218*'19_Расчет_аналитики'!AY4607,MeanMinAge07))),0)</f>
        <v/>
      </c>
      <c r="AZ4518">
        <f>IF('01_Вводные'!$B$234="Да",IF(OR('19_Расчет_аналитики'!AZ4490=0,7&lt;='01_Вводные'!$B$297),0,'19_Расчет_аналитики'!AZ4490*IF('01_Вводные'!$B$239="Да",MeanMinAge07+'19_Расчет_аналитики'!AZ4607*SUMIF(ThresholdAge07,"&lt;"&amp;'19_Расчет_аналитики'!AZ4607,WeightedRevAge07)-SUMIF(ThresholdAge07,"&lt;"&amp;'19_Расчет_аналитики'!AZ4607,WeightedMinAge07),MAX(CapacityAge07*'01_Вводные'!$B$218*'19_Расчет_аналитики'!AZ4607,MeanMinAge07))),0)</f>
        <v/>
      </c>
      <c r="BA4518">
        <f>IF('01_Вводные'!$B$234="Да",IF(OR('19_Расчет_аналитики'!BA4490=0,7&lt;='01_Вводные'!$B$297),0,'19_Расчет_аналитики'!BA4490*IF('01_Вводные'!$B$239="Да",MeanMinAge07+'19_Расчет_аналитики'!BA4607*SUMIF(ThresholdAge07,"&lt;"&amp;'19_Расчет_аналитики'!BA4607,WeightedRevAge07)-SUMIF(ThresholdAge07,"&lt;"&amp;'19_Расчет_аналитики'!BA4607,WeightedMinAge07),MAX(CapacityAge07*'01_Вводные'!$B$218*'19_Расчет_аналитики'!BA4607,MeanMinAge07))),0)</f>
        <v/>
      </c>
      <c r="BB4518">
        <f>IF('01_Вводные'!$B$234="Да",IF(OR('19_Расчет_аналитики'!BB4490=0,7&lt;='01_Вводные'!$B$297),0,'19_Расчет_аналитики'!BB4490*IF('01_Вводные'!$B$239="Да",MeanMinAge07+'19_Расчет_аналитики'!BB4607*SUMIF(ThresholdAge07,"&lt;"&amp;'19_Расчет_аналитики'!BB4607,WeightedRevAge07)-SUMIF(ThresholdAge07,"&lt;"&amp;'19_Расчет_аналитики'!BB4607,WeightedMinAge07),MAX(CapacityAge07*'01_Вводные'!$B$218*'19_Расчет_аналитики'!BB4607,MeanMinAge07))),0)</f>
        <v/>
      </c>
      <c r="BC4518">
        <f>IF('01_Вводные'!$B$234="Да",IF(OR('19_Расчет_аналитики'!BC4490=0,7&lt;='01_Вводные'!$B$297),0,'19_Расчет_аналитики'!BC4490*IF('01_Вводные'!$B$239="Да",MeanMinAge07+'19_Расчет_аналитики'!BC4607*SUMIF(ThresholdAge07,"&lt;"&amp;'19_Расчет_аналитики'!BC4607,WeightedRevAge07)-SUMIF(ThresholdAge07,"&lt;"&amp;'19_Расчет_аналитики'!BC4607,WeightedMinAge07),MAX(CapacityAge07*'01_Вводные'!$B$218*'19_Расчет_аналитики'!BC4607,MeanMinAge07))),0)</f>
        <v/>
      </c>
      <c r="BD4518">
        <f>IF('01_Вводные'!$B$234="Да",IF(OR('19_Расчет_аналитики'!BD4490=0,7&lt;='01_Вводные'!$B$297),0,'19_Расчет_аналитики'!BD4490*IF('01_Вводные'!$B$239="Да",MeanMinAge07+'19_Расчет_аналитики'!BD4607*SUMIF(ThresholdAge07,"&lt;"&amp;'19_Расчет_аналитики'!BD4607,WeightedRevAge07)-SUMIF(ThresholdAge07,"&lt;"&amp;'19_Расчет_аналитики'!BD4607,WeightedMinAge07),MAX(CapacityAge07*'01_Вводные'!$B$218*'19_Расчет_аналитики'!BD4607,MeanMinAge07))),0)</f>
        <v/>
      </c>
      <c r="BE4518">
        <f>IF('01_Вводные'!$B$234="Да",IF(OR('19_Расчет_аналитики'!BE4490=0,7&lt;='01_Вводные'!$B$297),0,'19_Расчет_аналитики'!BE4490*IF('01_Вводные'!$B$239="Да",MeanMinAge07+'19_Расчет_аналитики'!BE4607*SUMIF(ThresholdAge07,"&lt;"&amp;'19_Расчет_аналитики'!BE4607,WeightedRevAge07)-SUMIF(ThresholdAge07,"&lt;"&amp;'19_Расчет_аналитики'!BE4607,WeightedMinAge07),MAX(CapacityAge07*'01_Вводные'!$B$218*'19_Расчет_аналитики'!BE4607,MeanMinAge07))),0)</f>
        <v/>
      </c>
      <c r="BF4518">
        <f>IF('01_Вводные'!$B$234="Да",IF(OR('19_Расчет_аналитики'!BF4490=0,7&lt;='01_Вводные'!$B$297),0,'19_Расчет_аналитики'!BF4490*IF('01_Вводные'!$B$239="Да",MeanMinAge07+'19_Расчет_аналитики'!BF4607*SUMIF(ThresholdAge07,"&lt;"&amp;'19_Расчет_аналитики'!BF4607,WeightedRevAge07)-SUMIF(ThresholdAge07,"&lt;"&amp;'19_Расчет_аналитики'!BF4607,WeightedMinAge07),MAX(CapacityAge07*'01_Вводные'!$B$218*'19_Расчет_аналитики'!BF4607,MeanMinAge07))),0)</f>
        <v/>
      </c>
      <c r="BG4518">
        <f>IF('01_Вводные'!$B$234="Да",IF(OR('19_Расчет_аналитики'!BG4490=0,7&lt;='01_Вводные'!$B$297),0,'19_Расчет_аналитики'!BG4490*IF('01_Вводные'!$B$239="Да",MeanMinAge07+'19_Расчет_аналитики'!BG4607*SUMIF(ThresholdAge07,"&lt;"&amp;'19_Расчет_аналитики'!BG4607,WeightedRevAge07)-SUMIF(ThresholdAge07,"&lt;"&amp;'19_Расчет_аналитики'!BG4607,WeightedMinAge07),MAX(CapacityAge07*'01_Вводные'!$B$218*'19_Расчет_аналитики'!BG4607,MeanMinAge07))),0)</f>
        <v/>
      </c>
      <c r="BH4518">
        <f>IF('01_Вводные'!$B$234="Да",IF(OR('19_Расчет_аналитики'!BH4490=0,7&lt;='01_Вводные'!$B$297),0,'19_Расчет_аналитики'!BH4490*IF('01_Вводные'!$B$239="Да",MeanMinAge07+'19_Расчет_аналитики'!BH4607*SUMIF(ThresholdAge07,"&lt;"&amp;'19_Расчет_аналитики'!BH4607,WeightedRevAge07)-SUMIF(ThresholdAge07,"&lt;"&amp;'19_Расчет_аналитики'!BH4607,WeightedMinAge07),MAX(CapacityAge07*'01_Вводные'!$B$218*'19_Расчет_аналитики'!BH4607,MeanMinAge07))),0)</f>
        <v/>
      </c>
      <c r="BI4518">
        <f>IF('01_Вводные'!$B$234="Да",IF(OR('19_Расчет_аналитики'!BI4490=0,7&lt;='01_Вводные'!$B$297),0,'19_Расчет_аналитики'!BI4490*IF('01_Вводные'!$B$239="Да",MeanMinAge07+'19_Расчет_аналитики'!BI4607*SUMIF(ThresholdAge07,"&lt;"&amp;'19_Расчет_аналитики'!BI4607,WeightedRevAge07)-SUMIF(ThresholdAge07,"&lt;"&amp;'19_Расчет_аналитики'!BI4607,WeightedMinAge07),MAX(CapacityAge07*'01_Вводные'!$B$218*'19_Расчет_аналитики'!BI4607,MeanMinAge07))),0)</f>
        <v/>
      </c>
      <c r="BJ4518">
        <f>IF('01_Вводные'!$B$234="Да",IF(OR('19_Расчет_аналитики'!BJ4490=0,7&lt;='01_Вводные'!$B$297),0,'19_Расчет_аналитики'!BJ4490*IF('01_Вводные'!$B$239="Да",MeanMinAge07+'19_Расчет_аналитики'!BJ4607*SUMIF(ThresholdAge07,"&lt;"&amp;'19_Расчет_аналитики'!BJ4607,WeightedRevAge07)-SUMIF(ThresholdAge07,"&lt;"&amp;'19_Расчет_аналитики'!BJ4607,WeightedMinAge07),MAX(CapacityAge07*'01_Вводные'!$B$218*'19_Расчет_аналитики'!BJ4607,MeanMinAge07))),0)</f>
        <v/>
      </c>
      <c r="BK4518">
        <f>IF('01_Вводные'!$B$234="Да",IF(OR('19_Расчет_аналитики'!BK4490=0,7&lt;='01_Вводные'!$B$297),0,'19_Расчет_аналитики'!BK4490*IF('01_Вводные'!$B$239="Да",MeanMinAge07+'19_Расчет_аналитики'!BK4607*SUMIF(ThresholdAge07,"&lt;"&amp;'19_Расчет_аналитики'!BK4607,WeightedRevAge07)-SUMIF(ThresholdAge07,"&lt;"&amp;'19_Расчет_аналитики'!BK4607,WeightedMinAge07),MAX(CapacityAge07*'01_Вводные'!$B$218*'19_Расчет_аналитики'!BK4607,MeanMinAge07))),0)</f>
        <v/>
      </c>
      <c r="BL4518">
        <f>IF('01_Вводные'!$B$234="Да",IF(OR('19_Расчет_аналитики'!BL4490=0,7&lt;='01_Вводные'!$B$297),0,'19_Расчет_аналитики'!BL4490*IF('01_Вводные'!$B$239="Да",MeanMinAge07+'19_Расчет_аналитики'!BL4607*SUMIF(ThresholdAge07,"&lt;"&amp;'19_Расчет_аналитики'!BL4607,WeightedRevAge07)-SUMIF(ThresholdAge07,"&lt;"&amp;'19_Расчет_аналитики'!BL4607,WeightedMinAge07),MAX(CapacityAge07*'01_Вводные'!$B$218*'19_Расчет_аналитики'!BL4607,MeanMinAge07))),0)</f>
        <v/>
      </c>
      <c r="BM4518">
        <f>IF('01_Вводные'!$B$234="Да",IF(OR('19_Расчет_аналитики'!BM4490=0,7&lt;='01_Вводные'!$B$297),0,'19_Расчет_аналитики'!BM4490*IF('01_Вводные'!$B$239="Да",MeanMinAge07+'19_Расчет_аналитики'!BM4607*SUMIF(ThresholdAge07,"&lt;"&amp;'19_Расчет_аналитики'!BM4607,WeightedRevAge07)-SUMIF(ThresholdAge07,"&lt;"&amp;'19_Расчет_аналитики'!BM4607,WeightedMinAge07),MAX(CapacityAge07*'01_Вводные'!$B$218*'19_Расчет_аналитики'!BM4607,MeanMinAge07))),0)</f>
        <v/>
      </c>
      <c r="BN4518">
        <f>IF('01_Вводные'!$B$234="Да",IF(OR('19_Расчет_аналитики'!BN4490=0,7&lt;='01_Вводные'!$B$297),0,'19_Расчет_аналитики'!BN4490*IF('01_Вводные'!$B$239="Да",MeanMinAge07+'19_Расчет_аналитики'!BN4607*SUMIF(ThresholdAge07,"&lt;"&amp;'19_Расчет_аналитики'!BN4607,WeightedRevAge07)-SUMIF(ThresholdAge07,"&lt;"&amp;'19_Расчет_аналитики'!BN4607,WeightedMinAge07),MAX(CapacityAge07*'01_Вводные'!$B$218*'19_Расчет_аналитики'!BN4607,MeanMinAge07))),0)</f>
        <v/>
      </c>
      <c r="BO4518">
        <f>IF('01_Вводные'!$B$234="Да",IF(OR('19_Расчет_аналитики'!BO4490=0,7&lt;='01_Вводные'!$B$297),0,'19_Расчет_аналитики'!BO4490*IF('01_Вводные'!$B$239="Да",MeanMinAge07+'19_Расчет_аналитики'!BO4607*SUMIF(ThresholdAge07,"&lt;"&amp;'19_Расчет_аналитики'!BO4607,WeightedRevAge07)-SUMIF(ThresholdAge07,"&lt;"&amp;'19_Расчет_аналитики'!BO4607,WeightedMinAge07),MAX(CapacityAge07*'01_Вводные'!$B$218*'19_Расчет_аналитики'!BO4607,MeanMinAge07))),0)</f>
        <v/>
      </c>
    </row>
    <row r="4519">
      <c r="B4519">
        <f>IF('01_Вводные'!$B$234="Да",IF(OR('06_Сеть_и_дети'!B88=0,8&lt;='01_Вводные'!$B$297),0,'06_Сеть_и_дети'!B88*IF('01_Вводные'!$B$239="Да",MeanMinAge08+'19_Расчет_аналитики'!B4607*SUMIF(ThresholdAge08,"&lt;"&amp;'19_Расчет_аналитики'!B4607,WeightedRevAge08)-SUMIF(ThresholdAge08,"&lt;"&amp;'19_Расчет_аналитики'!B4607,WeightedMinAge08),MAX(CapacityAge08*'01_Вводные'!$B$218*'19_Расчет_аналитики'!B4607,MeanMinAge08))),0)</f>
        <v/>
      </c>
      <c r="C4519">
        <f>IF('01_Вводные'!$B$234="Да",IF(OR('06_Сеть_и_дети'!C88=0,8&lt;='01_Вводные'!$B$297),0,'06_Сеть_и_дети'!C88*IF('01_Вводные'!$B$239="Да",MeanMinAge08+'19_Расчет_аналитики'!C4607*SUMIF(ThresholdAge08,"&lt;"&amp;'19_Расчет_аналитики'!C4607,WeightedRevAge08)-SUMIF(ThresholdAge08,"&lt;"&amp;'19_Расчет_аналитики'!C4607,WeightedMinAge08),MAX(CapacityAge08*'01_Вводные'!$B$218*'19_Расчет_аналитики'!C4607,MeanMinAge08))),0)</f>
        <v/>
      </c>
      <c r="D4519">
        <f>IF('01_Вводные'!$B$234="Да",IF(OR('06_Сеть_и_дети'!D88=0,8&lt;='01_Вводные'!$B$297),0,'06_Сеть_и_дети'!D88*IF('01_Вводные'!$B$239="Да",MeanMinAge08+'19_Расчет_аналитики'!D4607*SUMIF(ThresholdAge08,"&lt;"&amp;'19_Расчет_аналитики'!D4607,WeightedRevAge08)-SUMIF(ThresholdAge08,"&lt;"&amp;'19_Расчет_аналитики'!D4607,WeightedMinAge08),MAX(CapacityAge08*'01_Вводные'!$B$218*'19_Расчет_аналитики'!D4607,MeanMinAge08))),0)</f>
        <v/>
      </c>
      <c r="E4519">
        <f>IF('01_Вводные'!$B$234="Да",IF(OR('06_Сеть_и_дети'!E88=0,8&lt;='01_Вводные'!$B$297),0,'06_Сеть_и_дети'!E88*IF('01_Вводные'!$B$239="Да",MeanMinAge08+'19_Расчет_аналитики'!E4607*SUMIF(ThresholdAge08,"&lt;"&amp;'19_Расчет_аналитики'!E4607,WeightedRevAge08)-SUMIF(ThresholdAge08,"&lt;"&amp;'19_Расчет_аналитики'!E4607,WeightedMinAge08),MAX(CapacityAge08*'01_Вводные'!$B$218*'19_Расчет_аналитики'!E4607,MeanMinAge08))),0)</f>
        <v/>
      </c>
      <c r="F4519">
        <f>IF('01_Вводные'!$B$234="Да",IF(OR('06_Сеть_и_дети'!F88=0,8&lt;='01_Вводные'!$B$297),0,'06_Сеть_и_дети'!F88*IF('01_Вводные'!$B$239="Да",MeanMinAge08+'19_Расчет_аналитики'!F4607*SUMIF(ThresholdAge08,"&lt;"&amp;'19_Расчет_аналитики'!F4607,WeightedRevAge08)-SUMIF(ThresholdAge08,"&lt;"&amp;'19_Расчет_аналитики'!F4607,WeightedMinAge08),MAX(CapacityAge08*'01_Вводные'!$B$218*'19_Расчет_аналитики'!F4607,MeanMinAge08))),0)</f>
        <v/>
      </c>
      <c r="G4519">
        <f>IF('01_Вводные'!$B$234="Да",IF(OR('06_Сеть_и_дети'!G88=0,8&lt;='01_Вводные'!$B$297),0,'06_Сеть_и_дети'!G88*IF('01_Вводные'!$B$239="Да",MeanMinAge08+'19_Расчет_аналитики'!G4607*SUMIF(ThresholdAge08,"&lt;"&amp;'19_Расчет_аналитики'!G4607,WeightedRevAge08)-SUMIF(ThresholdAge08,"&lt;"&amp;'19_Расчет_аналитики'!G4607,WeightedMinAge08),MAX(CapacityAge08*'01_Вводные'!$B$218*'19_Расчет_аналитики'!G4607,MeanMinAge08))),0)</f>
        <v/>
      </c>
      <c r="H4519">
        <f>IF('01_Вводные'!$B$234="Да",IF(OR('06_Сеть_и_дети'!H88=0,8&lt;='01_Вводные'!$B$297),0,'06_Сеть_и_дети'!H88*IF('01_Вводные'!$B$239="Да",MeanMinAge08+'19_Расчет_аналитики'!H4607*SUMIF(ThresholdAge08,"&lt;"&amp;'19_Расчет_аналитики'!H4607,WeightedRevAge08)-SUMIF(ThresholdAge08,"&lt;"&amp;'19_Расчет_аналитики'!H4607,WeightedMinAge08),MAX(CapacityAge08*'01_Вводные'!$B$218*'19_Расчет_аналитики'!H4607,MeanMinAge08))),0)</f>
        <v/>
      </c>
      <c r="I4519">
        <f>IF('01_Вводные'!$B$234="Да",IF(OR('19_Расчет_аналитики'!I4491=0,8&lt;='01_Вводные'!$B$297),0,'19_Расчет_аналитики'!I4491*IF('01_Вводные'!$B$239="Да",MeanMinAge08+'19_Расчет_аналитики'!I4607*SUMIF(ThresholdAge08,"&lt;"&amp;'19_Расчет_аналитики'!I4607,WeightedRevAge08)-SUMIF(ThresholdAge08,"&lt;"&amp;'19_Расчет_аналитики'!I4607,WeightedMinAge08),MAX(CapacityAge08*'01_Вводные'!$B$218*'19_Расчет_аналитики'!I4607,MeanMinAge08))),0)</f>
        <v/>
      </c>
      <c r="J4519">
        <f>IF('01_Вводные'!$B$234="Да",IF(OR('19_Расчет_аналитики'!J4491=0,8&lt;='01_Вводные'!$B$297),0,'19_Расчет_аналитики'!J4491*IF('01_Вводные'!$B$239="Да",MeanMinAge08+'19_Расчет_аналитики'!J4607*SUMIF(ThresholdAge08,"&lt;"&amp;'19_Расчет_аналитики'!J4607,WeightedRevAge08)-SUMIF(ThresholdAge08,"&lt;"&amp;'19_Расчет_аналитики'!J4607,WeightedMinAge08),MAX(CapacityAge08*'01_Вводные'!$B$218*'19_Расчет_аналитики'!J4607,MeanMinAge08))),0)</f>
        <v/>
      </c>
      <c r="K4519">
        <f>IF('01_Вводные'!$B$234="Да",IF(OR('19_Расчет_аналитики'!K4491=0,8&lt;='01_Вводные'!$B$297),0,'19_Расчет_аналитики'!K4491*IF('01_Вводные'!$B$239="Да",MeanMinAge08+'19_Расчет_аналитики'!K4607*SUMIF(ThresholdAge08,"&lt;"&amp;'19_Расчет_аналитики'!K4607,WeightedRevAge08)-SUMIF(ThresholdAge08,"&lt;"&amp;'19_Расчет_аналитики'!K4607,WeightedMinAge08),MAX(CapacityAge08*'01_Вводные'!$B$218*'19_Расчет_аналитики'!K4607,MeanMinAge08))),0)</f>
        <v/>
      </c>
      <c r="L4519">
        <f>IF('01_Вводные'!$B$234="Да",IF(OR('19_Расчет_аналитики'!L4491=0,8&lt;='01_Вводные'!$B$297),0,'19_Расчет_аналитики'!L4491*IF('01_Вводные'!$B$239="Да",MeanMinAge08+'19_Расчет_аналитики'!L4607*SUMIF(ThresholdAge08,"&lt;"&amp;'19_Расчет_аналитики'!L4607,WeightedRevAge08)-SUMIF(ThresholdAge08,"&lt;"&amp;'19_Расчет_аналитики'!L4607,WeightedMinAge08),MAX(CapacityAge08*'01_Вводные'!$B$218*'19_Расчет_аналитики'!L4607,MeanMinAge08))),0)</f>
        <v/>
      </c>
      <c r="M4519">
        <f>IF('01_Вводные'!$B$234="Да",IF(OR('19_Расчет_аналитики'!M4491=0,8&lt;='01_Вводные'!$B$297),0,'19_Расчет_аналитики'!M4491*IF('01_Вводные'!$B$239="Да",MeanMinAge08+'19_Расчет_аналитики'!M4607*SUMIF(ThresholdAge08,"&lt;"&amp;'19_Расчет_аналитики'!M4607,WeightedRevAge08)-SUMIF(ThresholdAge08,"&lt;"&amp;'19_Расчет_аналитики'!M4607,WeightedMinAge08),MAX(CapacityAge08*'01_Вводные'!$B$218*'19_Расчет_аналитики'!M4607,MeanMinAge08))),0)</f>
        <v/>
      </c>
      <c r="N4519">
        <f>IF('01_Вводные'!$B$234="Да",IF(OR('19_Расчет_аналитики'!N4491=0,8&lt;='01_Вводные'!$B$297),0,'19_Расчет_аналитики'!N4491*IF('01_Вводные'!$B$239="Да",MeanMinAge08+'19_Расчет_аналитики'!N4607*SUMIF(ThresholdAge08,"&lt;"&amp;'19_Расчет_аналитики'!N4607,WeightedRevAge08)-SUMIF(ThresholdAge08,"&lt;"&amp;'19_Расчет_аналитики'!N4607,WeightedMinAge08),MAX(CapacityAge08*'01_Вводные'!$B$218*'19_Расчет_аналитики'!N4607,MeanMinAge08))),0)</f>
        <v/>
      </c>
      <c r="O4519">
        <f>IF('01_Вводные'!$B$234="Да",IF(OR('19_Расчет_аналитики'!O4491=0,8&lt;='01_Вводные'!$B$297),0,'19_Расчет_аналитики'!O4491*IF('01_Вводные'!$B$239="Да",MeanMinAge08+'19_Расчет_аналитики'!O4607*SUMIF(ThresholdAge08,"&lt;"&amp;'19_Расчет_аналитики'!O4607,WeightedRevAge08)-SUMIF(ThresholdAge08,"&lt;"&amp;'19_Расчет_аналитики'!O4607,WeightedMinAge08),MAX(CapacityAge08*'01_Вводные'!$B$218*'19_Расчет_аналитики'!O4607,MeanMinAge08))),0)</f>
        <v/>
      </c>
      <c r="P4519">
        <f>IF('01_Вводные'!$B$234="Да",IF(OR('19_Расчет_аналитики'!P4491=0,8&lt;='01_Вводные'!$B$297),0,'19_Расчет_аналитики'!P4491*IF('01_Вводные'!$B$239="Да",MeanMinAge08+'19_Расчет_аналитики'!P4607*SUMIF(ThresholdAge08,"&lt;"&amp;'19_Расчет_аналитики'!P4607,WeightedRevAge08)-SUMIF(ThresholdAge08,"&lt;"&amp;'19_Расчет_аналитики'!P4607,WeightedMinAge08),MAX(CapacityAge08*'01_Вводные'!$B$218*'19_Расчет_аналитики'!P4607,MeanMinAge08))),0)</f>
        <v/>
      </c>
      <c r="Q4519">
        <f>IF('01_Вводные'!$B$234="Да",IF(OR('19_Расчет_аналитики'!Q4491=0,8&lt;='01_Вводные'!$B$297),0,'19_Расчет_аналитики'!Q4491*IF('01_Вводные'!$B$239="Да",MeanMinAge08+'19_Расчет_аналитики'!Q4607*SUMIF(ThresholdAge08,"&lt;"&amp;'19_Расчет_аналитики'!Q4607,WeightedRevAge08)-SUMIF(ThresholdAge08,"&lt;"&amp;'19_Расчет_аналитики'!Q4607,WeightedMinAge08),MAX(CapacityAge08*'01_Вводные'!$B$218*'19_Расчет_аналитики'!Q4607,MeanMinAge08))),0)</f>
        <v/>
      </c>
      <c r="R4519">
        <f>IF('01_Вводные'!$B$234="Да",IF(OR('19_Расчет_аналитики'!R4491=0,8&lt;='01_Вводные'!$B$297),0,'19_Расчет_аналитики'!R4491*IF('01_Вводные'!$B$239="Да",MeanMinAge08+'19_Расчет_аналитики'!R4607*SUMIF(ThresholdAge08,"&lt;"&amp;'19_Расчет_аналитики'!R4607,WeightedRevAge08)-SUMIF(ThresholdAge08,"&lt;"&amp;'19_Расчет_аналитики'!R4607,WeightedMinAge08),MAX(CapacityAge08*'01_Вводные'!$B$218*'19_Расчет_аналитики'!R4607,MeanMinAge08))),0)</f>
        <v/>
      </c>
      <c r="S4519">
        <f>IF('01_Вводные'!$B$234="Да",IF(OR('19_Расчет_аналитики'!S4491=0,8&lt;='01_Вводные'!$B$297),0,'19_Расчет_аналитики'!S4491*IF('01_Вводные'!$B$239="Да",MeanMinAge08+'19_Расчет_аналитики'!S4607*SUMIF(ThresholdAge08,"&lt;"&amp;'19_Расчет_аналитики'!S4607,WeightedRevAge08)-SUMIF(ThresholdAge08,"&lt;"&amp;'19_Расчет_аналитики'!S4607,WeightedMinAge08),MAX(CapacityAge08*'01_Вводные'!$B$218*'19_Расчет_аналитики'!S4607,MeanMinAge08))),0)</f>
        <v/>
      </c>
      <c r="T4519">
        <f>IF('01_Вводные'!$B$234="Да",IF(OR('19_Расчет_аналитики'!T4491=0,8&lt;='01_Вводные'!$B$297),0,'19_Расчет_аналитики'!T4491*IF('01_Вводные'!$B$239="Да",MeanMinAge08+'19_Расчет_аналитики'!T4607*SUMIF(ThresholdAge08,"&lt;"&amp;'19_Расчет_аналитики'!T4607,WeightedRevAge08)-SUMIF(ThresholdAge08,"&lt;"&amp;'19_Расчет_аналитики'!T4607,WeightedMinAge08),MAX(CapacityAge08*'01_Вводные'!$B$218*'19_Расчет_аналитики'!T4607,MeanMinAge08))),0)</f>
        <v/>
      </c>
      <c r="U4519">
        <f>IF('01_Вводные'!$B$234="Да",IF(OR('19_Расчет_аналитики'!U4491=0,8&lt;='01_Вводные'!$B$297),0,'19_Расчет_аналитики'!U4491*IF('01_Вводные'!$B$239="Да",MeanMinAge08+'19_Расчет_аналитики'!U4607*SUMIF(ThresholdAge08,"&lt;"&amp;'19_Расчет_аналитики'!U4607,WeightedRevAge08)-SUMIF(ThresholdAge08,"&lt;"&amp;'19_Расчет_аналитики'!U4607,WeightedMinAge08),MAX(CapacityAge08*'01_Вводные'!$B$218*'19_Расчет_аналитики'!U4607,MeanMinAge08))),0)</f>
        <v/>
      </c>
      <c r="V4519">
        <f>IF('01_Вводные'!$B$234="Да",IF(OR('19_Расчет_аналитики'!V4491=0,8&lt;='01_Вводные'!$B$297),0,'19_Расчет_аналитики'!V4491*IF('01_Вводные'!$B$239="Да",MeanMinAge08+'19_Расчет_аналитики'!V4607*SUMIF(ThresholdAge08,"&lt;"&amp;'19_Расчет_аналитики'!V4607,WeightedRevAge08)-SUMIF(ThresholdAge08,"&lt;"&amp;'19_Расчет_аналитики'!V4607,WeightedMinAge08),MAX(CapacityAge08*'01_Вводные'!$B$218*'19_Расчет_аналитики'!V4607,MeanMinAge08))),0)</f>
        <v/>
      </c>
      <c r="W4519">
        <f>IF('01_Вводные'!$B$234="Да",IF(OR('19_Расчет_аналитики'!W4491=0,8&lt;='01_Вводные'!$B$297),0,'19_Расчет_аналитики'!W4491*IF('01_Вводные'!$B$239="Да",MeanMinAge08+'19_Расчет_аналитики'!W4607*SUMIF(ThresholdAge08,"&lt;"&amp;'19_Расчет_аналитики'!W4607,WeightedRevAge08)-SUMIF(ThresholdAge08,"&lt;"&amp;'19_Расчет_аналитики'!W4607,WeightedMinAge08),MAX(CapacityAge08*'01_Вводные'!$B$218*'19_Расчет_аналитики'!W4607,MeanMinAge08))),0)</f>
        <v/>
      </c>
      <c r="X4519">
        <f>IF('01_Вводные'!$B$234="Да",IF(OR('19_Расчет_аналитики'!X4491=0,8&lt;='01_Вводные'!$B$297),0,'19_Расчет_аналитики'!X4491*IF('01_Вводные'!$B$239="Да",MeanMinAge08+'19_Расчет_аналитики'!X4607*SUMIF(ThresholdAge08,"&lt;"&amp;'19_Расчет_аналитики'!X4607,WeightedRevAge08)-SUMIF(ThresholdAge08,"&lt;"&amp;'19_Расчет_аналитики'!X4607,WeightedMinAge08),MAX(CapacityAge08*'01_Вводные'!$B$218*'19_Расчет_аналитики'!X4607,MeanMinAge08))),0)</f>
        <v/>
      </c>
      <c r="Y4519">
        <f>IF('01_Вводные'!$B$234="Да",IF(OR('19_Расчет_аналитики'!Y4491=0,8&lt;='01_Вводные'!$B$297),0,'19_Расчет_аналитики'!Y4491*IF('01_Вводные'!$B$239="Да",MeanMinAge08+'19_Расчет_аналитики'!Y4607*SUMIF(ThresholdAge08,"&lt;"&amp;'19_Расчет_аналитики'!Y4607,WeightedRevAge08)-SUMIF(ThresholdAge08,"&lt;"&amp;'19_Расчет_аналитики'!Y4607,WeightedMinAge08),MAX(CapacityAge08*'01_Вводные'!$B$218*'19_Расчет_аналитики'!Y4607,MeanMinAge08))),0)</f>
        <v/>
      </c>
      <c r="Z4519">
        <f>IF('01_Вводные'!$B$234="Да",IF(OR('19_Расчет_аналитики'!Z4491=0,8&lt;='01_Вводные'!$B$297),0,'19_Расчет_аналитики'!Z4491*IF('01_Вводные'!$B$239="Да",MeanMinAge08+'19_Расчет_аналитики'!Z4607*SUMIF(ThresholdAge08,"&lt;"&amp;'19_Расчет_аналитики'!Z4607,WeightedRevAge08)-SUMIF(ThresholdAge08,"&lt;"&amp;'19_Расчет_аналитики'!Z4607,WeightedMinAge08),MAX(CapacityAge08*'01_Вводные'!$B$218*'19_Расчет_аналитики'!Z4607,MeanMinAge08))),0)</f>
        <v/>
      </c>
      <c r="AA4519">
        <f>IF('01_Вводные'!$B$234="Да",IF(OR('19_Расчет_аналитики'!AA4491=0,8&lt;='01_Вводные'!$B$297),0,'19_Расчет_аналитики'!AA4491*IF('01_Вводные'!$B$239="Да",MeanMinAge08+'19_Расчет_аналитики'!AA4607*SUMIF(ThresholdAge08,"&lt;"&amp;'19_Расчет_аналитики'!AA4607,WeightedRevAge08)-SUMIF(ThresholdAge08,"&lt;"&amp;'19_Расчет_аналитики'!AA4607,WeightedMinAge08),MAX(CapacityAge08*'01_Вводные'!$B$218*'19_Расчет_аналитики'!AA4607,MeanMinAge08))),0)</f>
        <v/>
      </c>
      <c r="AB4519">
        <f>IF('01_Вводные'!$B$234="Да",IF(OR('19_Расчет_аналитики'!AB4491=0,8&lt;='01_Вводные'!$B$297),0,'19_Расчет_аналитики'!AB4491*IF('01_Вводные'!$B$239="Да",MeanMinAge08+'19_Расчет_аналитики'!AB4607*SUMIF(ThresholdAge08,"&lt;"&amp;'19_Расчет_аналитики'!AB4607,WeightedRevAge08)-SUMIF(ThresholdAge08,"&lt;"&amp;'19_Расчет_аналитики'!AB4607,WeightedMinAge08),MAX(CapacityAge08*'01_Вводные'!$B$218*'19_Расчет_аналитики'!AB4607,MeanMinAge08))),0)</f>
        <v/>
      </c>
      <c r="AC4519">
        <f>IF('01_Вводные'!$B$234="Да",IF(OR('19_Расчет_аналитики'!AC4491=0,8&lt;='01_Вводные'!$B$297),0,'19_Расчет_аналитики'!AC4491*IF('01_Вводные'!$B$239="Да",MeanMinAge08+'19_Расчет_аналитики'!AC4607*SUMIF(ThresholdAge08,"&lt;"&amp;'19_Расчет_аналитики'!AC4607,WeightedRevAge08)-SUMIF(ThresholdAge08,"&lt;"&amp;'19_Расчет_аналитики'!AC4607,WeightedMinAge08),MAX(CapacityAge08*'01_Вводные'!$B$218*'19_Расчет_аналитики'!AC4607,MeanMinAge08))),0)</f>
        <v/>
      </c>
      <c r="AD4519">
        <f>IF('01_Вводные'!$B$234="Да",IF(OR('19_Расчет_аналитики'!AD4491=0,8&lt;='01_Вводные'!$B$297),0,'19_Расчет_аналитики'!AD4491*IF('01_Вводные'!$B$239="Да",MeanMinAge08+'19_Расчет_аналитики'!AD4607*SUMIF(ThresholdAge08,"&lt;"&amp;'19_Расчет_аналитики'!AD4607,WeightedRevAge08)-SUMIF(ThresholdAge08,"&lt;"&amp;'19_Расчет_аналитики'!AD4607,WeightedMinAge08),MAX(CapacityAge08*'01_Вводные'!$B$218*'19_Расчет_аналитики'!AD4607,MeanMinAge08))),0)</f>
        <v/>
      </c>
      <c r="AE4519">
        <f>IF('01_Вводные'!$B$234="Да",IF(OR('19_Расчет_аналитики'!AE4491=0,8&lt;='01_Вводные'!$B$297),0,'19_Расчет_аналитики'!AE4491*IF('01_Вводные'!$B$239="Да",MeanMinAge08+'19_Расчет_аналитики'!AE4607*SUMIF(ThresholdAge08,"&lt;"&amp;'19_Расчет_аналитики'!AE4607,WeightedRevAge08)-SUMIF(ThresholdAge08,"&lt;"&amp;'19_Расчет_аналитики'!AE4607,WeightedMinAge08),MAX(CapacityAge08*'01_Вводные'!$B$218*'19_Расчет_аналитики'!AE4607,MeanMinAge08))),0)</f>
        <v/>
      </c>
      <c r="AF4519">
        <f>IF('01_Вводные'!$B$234="Да",IF(OR('19_Расчет_аналитики'!AF4491=0,8&lt;='01_Вводные'!$B$297),0,'19_Расчет_аналитики'!AF4491*IF('01_Вводные'!$B$239="Да",MeanMinAge08+'19_Расчет_аналитики'!AF4607*SUMIF(ThresholdAge08,"&lt;"&amp;'19_Расчет_аналитики'!AF4607,WeightedRevAge08)-SUMIF(ThresholdAge08,"&lt;"&amp;'19_Расчет_аналитики'!AF4607,WeightedMinAge08),MAX(CapacityAge08*'01_Вводные'!$B$218*'19_Расчет_аналитики'!AF4607,MeanMinAge08))),0)</f>
        <v/>
      </c>
      <c r="AG4519">
        <f>IF('01_Вводные'!$B$234="Да",IF(OR('19_Расчет_аналитики'!AG4491=0,8&lt;='01_Вводные'!$B$297),0,'19_Расчет_аналитики'!AG4491*IF('01_Вводные'!$B$239="Да",MeanMinAge08+'19_Расчет_аналитики'!AG4607*SUMIF(ThresholdAge08,"&lt;"&amp;'19_Расчет_аналитики'!AG4607,WeightedRevAge08)-SUMIF(ThresholdAge08,"&lt;"&amp;'19_Расчет_аналитики'!AG4607,WeightedMinAge08),MAX(CapacityAge08*'01_Вводные'!$B$218*'19_Расчет_аналитики'!AG4607,MeanMinAge08))),0)</f>
        <v/>
      </c>
      <c r="AH4519">
        <f>IF('01_Вводные'!$B$234="Да",IF(OR('19_Расчет_аналитики'!AH4491=0,8&lt;='01_Вводные'!$B$297),0,'19_Расчет_аналитики'!AH4491*IF('01_Вводные'!$B$239="Да",MeanMinAge08+'19_Расчет_аналитики'!AH4607*SUMIF(ThresholdAge08,"&lt;"&amp;'19_Расчет_аналитики'!AH4607,WeightedRevAge08)-SUMIF(ThresholdAge08,"&lt;"&amp;'19_Расчет_аналитики'!AH4607,WeightedMinAge08),MAX(CapacityAge08*'01_Вводные'!$B$218*'19_Расчет_аналитики'!AH4607,MeanMinAge08))),0)</f>
        <v/>
      </c>
      <c r="AI4519">
        <f>IF('01_Вводные'!$B$234="Да",IF(OR('19_Расчет_аналитики'!AI4491=0,8&lt;='01_Вводные'!$B$297),0,'19_Расчет_аналитики'!AI4491*IF('01_Вводные'!$B$239="Да",MeanMinAge08+'19_Расчет_аналитики'!AI4607*SUMIF(ThresholdAge08,"&lt;"&amp;'19_Расчет_аналитики'!AI4607,WeightedRevAge08)-SUMIF(ThresholdAge08,"&lt;"&amp;'19_Расчет_аналитики'!AI4607,WeightedMinAge08),MAX(CapacityAge08*'01_Вводные'!$B$218*'19_Расчет_аналитики'!AI4607,MeanMinAge08))),0)</f>
        <v/>
      </c>
      <c r="AJ4519">
        <f>IF('01_Вводные'!$B$234="Да",IF(OR('19_Расчет_аналитики'!AJ4491=0,8&lt;='01_Вводные'!$B$297),0,'19_Расчет_аналитики'!AJ4491*IF('01_Вводные'!$B$239="Да",MeanMinAge08+'19_Расчет_аналитики'!AJ4607*SUMIF(ThresholdAge08,"&lt;"&amp;'19_Расчет_аналитики'!AJ4607,WeightedRevAge08)-SUMIF(ThresholdAge08,"&lt;"&amp;'19_Расчет_аналитики'!AJ4607,WeightedMinAge08),MAX(CapacityAge08*'01_Вводные'!$B$218*'19_Расчет_аналитики'!AJ4607,MeanMinAge08))),0)</f>
        <v/>
      </c>
      <c r="AK4519">
        <f>IF('01_Вводные'!$B$234="Да",IF(OR('19_Расчет_аналитики'!AK4491=0,8&lt;='01_Вводные'!$B$297),0,'19_Расчет_аналитики'!AK4491*IF('01_Вводные'!$B$239="Да",MeanMinAge08+'19_Расчет_аналитики'!AK4607*SUMIF(ThresholdAge08,"&lt;"&amp;'19_Расчет_аналитики'!AK4607,WeightedRevAge08)-SUMIF(ThresholdAge08,"&lt;"&amp;'19_Расчет_аналитики'!AK4607,WeightedMinAge08),MAX(CapacityAge08*'01_Вводные'!$B$218*'19_Расчет_аналитики'!AK4607,MeanMinAge08))),0)</f>
        <v/>
      </c>
      <c r="AL4519">
        <f>IF('01_Вводные'!$B$234="Да",IF(OR('19_Расчет_аналитики'!AL4491=0,8&lt;='01_Вводные'!$B$297),0,'19_Расчет_аналитики'!AL4491*IF('01_Вводные'!$B$239="Да",MeanMinAge08+'19_Расчет_аналитики'!AL4607*SUMIF(ThresholdAge08,"&lt;"&amp;'19_Расчет_аналитики'!AL4607,WeightedRevAge08)-SUMIF(ThresholdAge08,"&lt;"&amp;'19_Расчет_аналитики'!AL4607,WeightedMinAge08),MAX(CapacityAge08*'01_Вводные'!$B$218*'19_Расчет_аналитики'!AL4607,MeanMinAge08))),0)</f>
        <v/>
      </c>
      <c r="AM4519">
        <f>IF('01_Вводные'!$B$234="Да",IF(OR('19_Расчет_аналитики'!AM4491=0,8&lt;='01_Вводные'!$B$297),0,'19_Расчет_аналитики'!AM4491*IF('01_Вводные'!$B$239="Да",MeanMinAge08+'19_Расчет_аналитики'!AM4607*SUMIF(ThresholdAge08,"&lt;"&amp;'19_Расчет_аналитики'!AM4607,WeightedRevAge08)-SUMIF(ThresholdAge08,"&lt;"&amp;'19_Расчет_аналитики'!AM4607,WeightedMinAge08),MAX(CapacityAge08*'01_Вводные'!$B$218*'19_Расчет_аналитики'!AM4607,MeanMinAge08))),0)</f>
        <v/>
      </c>
      <c r="AN4519">
        <f>IF('01_Вводные'!$B$234="Да",IF(OR('19_Расчет_аналитики'!AN4491=0,8&lt;='01_Вводные'!$B$297),0,'19_Расчет_аналитики'!AN4491*IF('01_Вводные'!$B$239="Да",MeanMinAge08+'19_Расчет_аналитики'!AN4607*SUMIF(ThresholdAge08,"&lt;"&amp;'19_Расчет_аналитики'!AN4607,WeightedRevAge08)-SUMIF(ThresholdAge08,"&lt;"&amp;'19_Расчет_аналитики'!AN4607,WeightedMinAge08),MAX(CapacityAge08*'01_Вводные'!$B$218*'19_Расчет_аналитики'!AN4607,MeanMinAge08))),0)</f>
        <v/>
      </c>
      <c r="AO4519">
        <f>IF('01_Вводные'!$B$234="Да",IF(OR('19_Расчет_аналитики'!AO4491=0,8&lt;='01_Вводные'!$B$297),0,'19_Расчет_аналитики'!AO4491*IF('01_Вводные'!$B$239="Да",MeanMinAge08+'19_Расчет_аналитики'!AO4607*SUMIF(ThresholdAge08,"&lt;"&amp;'19_Расчет_аналитики'!AO4607,WeightedRevAge08)-SUMIF(ThresholdAge08,"&lt;"&amp;'19_Расчет_аналитики'!AO4607,WeightedMinAge08),MAX(CapacityAge08*'01_Вводные'!$B$218*'19_Расчет_аналитики'!AO4607,MeanMinAge08))),0)</f>
        <v/>
      </c>
      <c r="AP4519">
        <f>IF('01_Вводные'!$B$234="Да",IF(OR('19_Расчет_аналитики'!AP4491=0,8&lt;='01_Вводные'!$B$297),0,'19_Расчет_аналитики'!AP4491*IF('01_Вводные'!$B$239="Да",MeanMinAge08+'19_Расчет_аналитики'!AP4607*SUMIF(ThresholdAge08,"&lt;"&amp;'19_Расчет_аналитики'!AP4607,WeightedRevAge08)-SUMIF(ThresholdAge08,"&lt;"&amp;'19_Расчет_аналитики'!AP4607,WeightedMinAge08),MAX(CapacityAge08*'01_Вводные'!$B$218*'19_Расчет_аналитики'!AP4607,MeanMinAge08))),0)</f>
        <v/>
      </c>
      <c r="AQ4519">
        <f>IF('01_Вводные'!$B$234="Да",IF(OR('19_Расчет_аналитики'!AQ4491=0,8&lt;='01_Вводные'!$B$297),0,'19_Расчет_аналитики'!AQ4491*IF('01_Вводные'!$B$239="Да",MeanMinAge08+'19_Расчет_аналитики'!AQ4607*SUMIF(ThresholdAge08,"&lt;"&amp;'19_Расчет_аналитики'!AQ4607,WeightedRevAge08)-SUMIF(ThresholdAge08,"&lt;"&amp;'19_Расчет_аналитики'!AQ4607,WeightedMinAge08),MAX(CapacityAge08*'01_Вводные'!$B$218*'19_Расчет_аналитики'!AQ4607,MeanMinAge08))),0)</f>
        <v/>
      </c>
      <c r="AR4519">
        <f>IF('01_Вводные'!$B$234="Да",IF(OR('19_Расчет_аналитики'!AR4491=0,8&lt;='01_Вводные'!$B$297),0,'19_Расчет_аналитики'!AR4491*IF('01_Вводные'!$B$239="Да",MeanMinAge08+'19_Расчет_аналитики'!AR4607*SUMIF(ThresholdAge08,"&lt;"&amp;'19_Расчет_аналитики'!AR4607,WeightedRevAge08)-SUMIF(ThresholdAge08,"&lt;"&amp;'19_Расчет_аналитики'!AR4607,WeightedMinAge08),MAX(CapacityAge08*'01_Вводные'!$B$218*'19_Расчет_аналитики'!AR4607,MeanMinAge08))),0)</f>
        <v/>
      </c>
      <c r="AS4519">
        <f>IF('01_Вводные'!$B$234="Да",IF(OR('19_Расчет_аналитики'!AS4491=0,8&lt;='01_Вводные'!$B$297),0,'19_Расчет_аналитики'!AS4491*IF('01_Вводные'!$B$239="Да",MeanMinAge08+'19_Расчет_аналитики'!AS4607*SUMIF(ThresholdAge08,"&lt;"&amp;'19_Расчет_аналитики'!AS4607,WeightedRevAge08)-SUMIF(ThresholdAge08,"&lt;"&amp;'19_Расчет_аналитики'!AS4607,WeightedMinAge08),MAX(CapacityAge08*'01_Вводные'!$B$218*'19_Расчет_аналитики'!AS4607,MeanMinAge08))),0)</f>
        <v/>
      </c>
      <c r="AT4519">
        <f>IF('01_Вводные'!$B$234="Да",IF(OR('19_Расчет_аналитики'!AT4491=0,8&lt;='01_Вводные'!$B$297),0,'19_Расчет_аналитики'!AT4491*IF('01_Вводные'!$B$239="Да",MeanMinAge08+'19_Расчет_аналитики'!AT4607*SUMIF(ThresholdAge08,"&lt;"&amp;'19_Расчет_аналитики'!AT4607,WeightedRevAge08)-SUMIF(ThresholdAge08,"&lt;"&amp;'19_Расчет_аналитики'!AT4607,WeightedMinAge08),MAX(CapacityAge08*'01_Вводные'!$B$218*'19_Расчет_аналитики'!AT4607,MeanMinAge08))),0)</f>
        <v/>
      </c>
      <c r="AU4519">
        <f>IF('01_Вводные'!$B$234="Да",IF(OR('19_Расчет_аналитики'!AU4491=0,8&lt;='01_Вводные'!$B$297),0,'19_Расчет_аналитики'!AU4491*IF('01_Вводные'!$B$239="Да",MeanMinAge08+'19_Расчет_аналитики'!AU4607*SUMIF(ThresholdAge08,"&lt;"&amp;'19_Расчет_аналитики'!AU4607,WeightedRevAge08)-SUMIF(ThresholdAge08,"&lt;"&amp;'19_Расчет_аналитики'!AU4607,WeightedMinAge08),MAX(CapacityAge08*'01_Вводные'!$B$218*'19_Расчет_аналитики'!AU4607,MeanMinAge08))),0)</f>
        <v/>
      </c>
      <c r="AV4519">
        <f>IF('01_Вводные'!$B$234="Да",IF(OR('19_Расчет_аналитики'!AV4491=0,8&lt;='01_Вводные'!$B$297),0,'19_Расчет_аналитики'!AV4491*IF('01_Вводные'!$B$239="Да",MeanMinAge08+'19_Расчет_аналитики'!AV4607*SUMIF(ThresholdAge08,"&lt;"&amp;'19_Расчет_аналитики'!AV4607,WeightedRevAge08)-SUMIF(ThresholdAge08,"&lt;"&amp;'19_Расчет_аналитики'!AV4607,WeightedMinAge08),MAX(CapacityAge08*'01_Вводные'!$B$218*'19_Расчет_аналитики'!AV4607,MeanMinAge08))),0)</f>
        <v/>
      </c>
      <c r="AW4519">
        <f>IF('01_Вводные'!$B$234="Да",IF(OR('19_Расчет_аналитики'!AW4491=0,8&lt;='01_Вводные'!$B$297),0,'19_Расчет_аналитики'!AW4491*IF('01_Вводные'!$B$239="Да",MeanMinAge08+'19_Расчет_аналитики'!AW4607*SUMIF(ThresholdAge08,"&lt;"&amp;'19_Расчет_аналитики'!AW4607,WeightedRevAge08)-SUMIF(ThresholdAge08,"&lt;"&amp;'19_Расчет_аналитики'!AW4607,WeightedMinAge08),MAX(CapacityAge08*'01_Вводные'!$B$218*'19_Расчет_аналитики'!AW4607,MeanMinAge08))),0)</f>
        <v/>
      </c>
      <c r="AX4519">
        <f>IF('01_Вводные'!$B$234="Да",IF(OR('19_Расчет_аналитики'!AX4491=0,8&lt;='01_Вводные'!$B$297),0,'19_Расчет_аналитики'!AX4491*IF('01_Вводные'!$B$239="Да",MeanMinAge08+'19_Расчет_аналитики'!AX4607*SUMIF(ThresholdAge08,"&lt;"&amp;'19_Расчет_аналитики'!AX4607,WeightedRevAge08)-SUMIF(ThresholdAge08,"&lt;"&amp;'19_Расчет_аналитики'!AX4607,WeightedMinAge08),MAX(CapacityAge08*'01_Вводные'!$B$218*'19_Расчет_аналитики'!AX4607,MeanMinAge08))),0)</f>
        <v/>
      </c>
      <c r="AY4519">
        <f>IF('01_Вводные'!$B$234="Да",IF(OR('19_Расчет_аналитики'!AY4491=0,8&lt;='01_Вводные'!$B$297),0,'19_Расчет_аналитики'!AY4491*IF('01_Вводные'!$B$239="Да",MeanMinAge08+'19_Расчет_аналитики'!AY4607*SUMIF(ThresholdAge08,"&lt;"&amp;'19_Расчет_аналитики'!AY4607,WeightedRevAge08)-SUMIF(ThresholdAge08,"&lt;"&amp;'19_Расчет_аналитики'!AY4607,WeightedMinAge08),MAX(CapacityAge08*'01_Вводные'!$B$218*'19_Расчет_аналитики'!AY4607,MeanMinAge08))),0)</f>
        <v/>
      </c>
      <c r="AZ4519">
        <f>IF('01_Вводные'!$B$234="Да",IF(OR('19_Расчет_аналитики'!AZ4491=0,8&lt;='01_Вводные'!$B$297),0,'19_Расчет_аналитики'!AZ4491*IF('01_Вводные'!$B$239="Да",MeanMinAge08+'19_Расчет_аналитики'!AZ4607*SUMIF(ThresholdAge08,"&lt;"&amp;'19_Расчет_аналитики'!AZ4607,WeightedRevAge08)-SUMIF(ThresholdAge08,"&lt;"&amp;'19_Расчет_аналитики'!AZ4607,WeightedMinAge08),MAX(CapacityAge08*'01_Вводные'!$B$218*'19_Расчет_аналитики'!AZ4607,MeanMinAge08))),0)</f>
        <v/>
      </c>
      <c r="BA4519">
        <f>IF('01_Вводные'!$B$234="Да",IF(OR('19_Расчет_аналитики'!BA4491=0,8&lt;='01_Вводные'!$B$297),0,'19_Расчет_аналитики'!BA4491*IF('01_Вводные'!$B$239="Да",MeanMinAge08+'19_Расчет_аналитики'!BA4607*SUMIF(ThresholdAge08,"&lt;"&amp;'19_Расчет_аналитики'!BA4607,WeightedRevAge08)-SUMIF(ThresholdAge08,"&lt;"&amp;'19_Расчет_аналитики'!BA4607,WeightedMinAge08),MAX(CapacityAge08*'01_Вводные'!$B$218*'19_Расчет_аналитики'!BA4607,MeanMinAge08))),0)</f>
        <v/>
      </c>
      <c r="BB4519">
        <f>IF('01_Вводные'!$B$234="Да",IF(OR('19_Расчет_аналитики'!BB4491=0,8&lt;='01_Вводные'!$B$297),0,'19_Расчет_аналитики'!BB4491*IF('01_Вводные'!$B$239="Да",MeanMinAge08+'19_Расчет_аналитики'!BB4607*SUMIF(ThresholdAge08,"&lt;"&amp;'19_Расчет_аналитики'!BB4607,WeightedRevAge08)-SUMIF(ThresholdAge08,"&lt;"&amp;'19_Расчет_аналитики'!BB4607,WeightedMinAge08),MAX(CapacityAge08*'01_Вводные'!$B$218*'19_Расчет_аналитики'!BB4607,MeanMinAge08))),0)</f>
        <v/>
      </c>
      <c r="BC4519">
        <f>IF('01_Вводные'!$B$234="Да",IF(OR('19_Расчет_аналитики'!BC4491=0,8&lt;='01_Вводные'!$B$297),0,'19_Расчет_аналитики'!BC4491*IF('01_Вводные'!$B$239="Да",MeanMinAge08+'19_Расчет_аналитики'!BC4607*SUMIF(ThresholdAge08,"&lt;"&amp;'19_Расчет_аналитики'!BC4607,WeightedRevAge08)-SUMIF(ThresholdAge08,"&lt;"&amp;'19_Расчет_аналитики'!BC4607,WeightedMinAge08),MAX(CapacityAge08*'01_Вводные'!$B$218*'19_Расчет_аналитики'!BC4607,MeanMinAge08))),0)</f>
        <v/>
      </c>
      <c r="BD4519">
        <f>IF('01_Вводные'!$B$234="Да",IF(OR('19_Расчет_аналитики'!BD4491=0,8&lt;='01_Вводные'!$B$297),0,'19_Расчет_аналитики'!BD4491*IF('01_Вводные'!$B$239="Да",MeanMinAge08+'19_Расчет_аналитики'!BD4607*SUMIF(ThresholdAge08,"&lt;"&amp;'19_Расчет_аналитики'!BD4607,WeightedRevAge08)-SUMIF(ThresholdAge08,"&lt;"&amp;'19_Расчет_аналитики'!BD4607,WeightedMinAge08),MAX(CapacityAge08*'01_Вводные'!$B$218*'19_Расчет_аналитики'!BD4607,MeanMinAge08))),0)</f>
        <v/>
      </c>
      <c r="BE4519">
        <f>IF('01_Вводные'!$B$234="Да",IF(OR('19_Расчет_аналитики'!BE4491=0,8&lt;='01_Вводные'!$B$297),0,'19_Расчет_аналитики'!BE4491*IF('01_Вводные'!$B$239="Да",MeanMinAge08+'19_Расчет_аналитики'!BE4607*SUMIF(ThresholdAge08,"&lt;"&amp;'19_Расчет_аналитики'!BE4607,WeightedRevAge08)-SUMIF(ThresholdAge08,"&lt;"&amp;'19_Расчет_аналитики'!BE4607,WeightedMinAge08),MAX(CapacityAge08*'01_Вводные'!$B$218*'19_Расчет_аналитики'!BE4607,MeanMinAge08))),0)</f>
        <v/>
      </c>
      <c r="BF4519">
        <f>IF('01_Вводные'!$B$234="Да",IF(OR('19_Расчет_аналитики'!BF4491=0,8&lt;='01_Вводные'!$B$297),0,'19_Расчет_аналитики'!BF4491*IF('01_Вводные'!$B$239="Да",MeanMinAge08+'19_Расчет_аналитики'!BF4607*SUMIF(ThresholdAge08,"&lt;"&amp;'19_Расчет_аналитики'!BF4607,WeightedRevAge08)-SUMIF(ThresholdAge08,"&lt;"&amp;'19_Расчет_аналитики'!BF4607,WeightedMinAge08),MAX(CapacityAge08*'01_Вводные'!$B$218*'19_Расчет_аналитики'!BF4607,MeanMinAge08))),0)</f>
        <v/>
      </c>
      <c r="BG4519">
        <f>IF('01_Вводные'!$B$234="Да",IF(OR('19_Расчет_аналитики'!BG4491=0,8&lt;='01_Вводные'!$B$297),0,'19_Расчет_аналитики'!BG4491*IF('01_Вводные'!$B$239="Да",MeanMinAge08+'19_Расчет_аналитики'!BG4607*SUMIF(ThresholdAge08,"&lt;"&amp;'19_Расчет_аналитики'!BG4607,WeightedRevAge08)-SUMIF(ThresholdAge08,"&lt;"&amp;'19_Расчет_аналитики'!BG4607,WeightedMinAge08),MAX(CapacityAge08*'01_Вводные'!$B$218*'19_Расчет_аналитики'!BG4607,MeanMinAge08))),0)</f>
        <v/>
      </c>
      <c r="BH4519">
        <f>IF('01_Вводные'!$B$234="Да",IF(OR('19_Расчет_аналитики'!BH4491=0,8&lt;='01_Вводные'!$B$297),0,'19_Расчет_аналитики'!BH4491*IF('01_Вводные'!$B$239="Да",MeanMinAge08+'19_Расчет_аналитики'!BH4607*SUMIF(ThresholdAge08,"&lt;"&amp;'19_Расчет_аналитики'!BH4607,WeightedRevAge08)-SUMIF(ThresholdAge08,"&lt;"&amp;'19_Расчет_аналитики'!BH4607,WeightedMinAge08),MAX(CapacityAge08*'01_Вводные'!$B$218*'19_Расчет_аналитики'!BH4607,MeanMinAge08))),0)</f>
        <v/>
      </c>
      <c r="BI4519">
        <f>IF('01_Вводные'!$B$234="Да",IF(OR('19_Расчет_аналитики'!BI4491=0,8&lt;='01_Вводные'!$B$297),0,'19_Расчет_аналитики'!BI4491*IF('01_Вводные'!$B$239="Да",MeanMinAge08+'19_Расчет_аналитики'!BI4607*SUMIF(ThresholdAge08,"&lt;"&amp;'19_Расчет_аналитики'!BI4607,WeightedRevAge08)-SUMIF(ThresholdAge08,"&lt;"&amp;'19_Расчет_аналитики'!BI4607,WeightedMinAge08),MAX(CapacityAge08*'01_Вводные'!$B$218*'19_Расчет_аналитики'!BI4607,MeanMinAge08))),0)</f>
        <v/>
      </c>
      <c r="BJ4519">
        <f>IF('01_Вводные'!$B$234="Да",IF(OR('19_Расчет_аналитики'!BJ4491=0,8&lt;='01_Вводные'!$B$297),0,'19_Расчет_аналитики'!BJ4491*IF('01_Вводные'!$B$239="Да",MeanMinAge08+'19_Расчет_аналитики'!BJ4607*SUMIF(ThresholdAge08,"&lt;"&amp;'19_Расчет_аналитики'!BJ4607,WeightedRevAge08)-SUMIF(ThresholdAge08,"&lt;"&amp;'19_Расчет_аналитики'!BJ4607,WeightedMinAge08),MAX(CapacityAge08*'01_Вводные'!$B$218*'19_Расчет_аналитики'!BJ4607,MeanMinAge08))),0)</f>
        <v/>
      </c>
      <c r="BK4519">
        <f>IF('01_Вводные'!$B$234="Да",IF(OR('19_Расчет_аналитики'!BK4491=0,8&lt;='01_Вводные'!$B$297),0,'19_Расчет_аналитики'!BK4491*IF('01_Вводные'!$B$239="Да",MeanMinAge08+'19_Расчет_аналитики'!BK4607*SUMIF(ThresholdAge08,"&lt;"&amp;'19_Расчет_аналитики'!BK4607,WeightedRevAge08)-SUMIF(ThresholdAge08,"&lt;"&amp;'19_Расчет_аналитики'!BK4607,WeightedMinAge08),MAX(CapacityAge08*'01_Вводные'!$B$218*'19_Расчет_аналитики'!BK4607,MeanMinAge08))),0)</f>
        <v/>
      </c>
      <c r="BL4519">
        <f>IF('01_Вводные'!$B$234="Да",IF(OR('19_Расчет_аналитики'!BL4491=0,8&lt;='01_Вводные'!$B$297),0,'19_Расчет_аналитики'!BL4491*IF('01_Вводные'!$B$239="Да",MeanMinAge08+'19_Расчет_аналитики'!BL4607*SUMIF(ThresholdAge08,"&lt;"&amp;'19_Расчет_аналитики'!BL4607,WeightedRevAge08)-SUMIF(ThresholdAge08,"&lt;"&amp;'19_Расчет_аналитики'!BL4607,WeightedMinAge08),MAX(CapacityAge08*'01_Вводные'!$B$218*'19_Расчет_аналитики'!BL4607,MeanMinAge08))),0)</f>
        <v/>
      </c>
      <c r="BM4519">
        <f>IF('01_Вводные'!$B$234="Да",IF(OR('19_Расчет_аналитики'!BM4491=0,8&lt;='01_Вводные'!$B$297),0,'19_Расчет_аналитики'!BM4491*IF('01_Вводные'!$B$239="Да",MeanMinAge08+'19_Расчет_аналитики'!BM4607*SUMIF(ThresholdAge08,"&lt;"&amp;'19_Расчет_аналитики'!BM4607,WeightedRevAge08)-SUMIF(ThresholdAge08,"&lt;"&amp;'19_Расчет_аналитики'!BM4607,WeightedMinAge08),MAX(CapacityAge08*'01_Вводные'!$B$218*'19_Расчет_аналитики'!BM4607,MeanMinAge08))),0)</f>
        <v/>
      </c>
      <c r="BN4519">
        <f>IF('01_Вводные'!$B$234="Да",IF(OR('19_Расчет_аналитики'!BN4491=0,8&lt;='01_Вводные'!$B$297),0,'19_Расчет_аналитики'!BN4491*IF('01_Вводные'!$B$239="Да",MeanMinAge08+'19_Расчет_аналитики'!BN4607*SUMIF(ThresholdAge08,"&lt;"&amp;'19_Расчет_аналитики'!BN4607,WeightedRevAge08)-SUMIF(ThresholdAge08,"&lt;"&amp;'19_Расчет_аналитики'!BN4607,WeightedMinAge08),MAX(CapacityAge08*'01_Вводные'!$B$218*'19_Расчет_аналитики'!BN4607,MeanMinAge08))),0)</f>
        <v/>
      </c>
      <c r="BO4519">
        <f>IF('01_Вводные'!$B$234="Да",IF(OR('19_Расчет_аналитики'!BO4491=0,8&lt;='01_Вводные'!$B$297),0,'19_Расчет_аналитики'!BO4491*IF('01_Вводные'!$B$239="Да",MeanMinAge08+'19_Расчет_аналитики'!BO4607*SUMIF(ThresholdAge08,"&lt;"&amp;'19_Расчет_аналитики'!BO4607,WeightedRevAge08)-SUMIF(ThresholdAge08,"&lt;"&amp;'19_Расчет_аналитики'!BO4607,WeightedMinAge08),MAX(CapacityAge08*'01_Вводные'!$B$218*'19_Расчет_аналитики'!BO4607,MeanMinAge08))),0)</f>
        <v/>
      </c>
    </row>
    <row r="4520">
      <c r="B4520">
        <f>IF('01_Вводные'!$B$234="Да",IF(OR('06_Сеть_и_дети'!B89=0,9&lt;='01_Вводные'!$B$297),0,'06_Сеть_и_дети'!B89*IF('01_Вводные'!$B$239="Да",MeanMinAge09+'19_Расчет_аналитики'!B4607*SUMIF(ThresholdAge09,"&lt;"&amp;'19_Расчет_аналитики'!B4607,WeightedRevAge09)-SUMIF(ThresholdAge09,"&lt;"&amp;'19_Расчет_аналитики'!B4607,WeightedMinAge09),MAX(CapacityAge09*'01_Вводные'!$B$218*'19_Расчет_аналитики'!B4607,MeanMinAge09))),0)</f>
        <v/>
      </c>
      <c r="C4520">
        <f>IF('01_Вводные'!$B$234="Да",IF(OR('06_Сеть_и_дети'!C89=0,9&lt;='01_Вводные'!$B$297),0,'06_Сеть_и_дети'!C89*IF('01_Вводные'!$B$239="Да",MeanMinAge09+'19_Расчет_аналитики'!C4607*SUMIF(ThresholdAge09,"&lt;"&amp;'19_Расчет_аналитики'!C4607,WeightedRevAge09)-SUMIF(ThresholdAge09,"&lt;"&amp;'19_Расчет_аналитики'!C4607,WeightedMinAge09),MAX(CapacityAge09*'01_Вводные'!$B$218*'19_Расчет_аналитики'!C4607,MeanMinAge09))),0)</f>
        <v/>
      </c>
      <c r="D4520">
        <f>IF('01_Вводные'!$B$234="Да",IF(OR('06_Сеть_и_дети'!D89=0,9&lt;='01_Вводные'!$B$297),0,'06_Сеть_и_дети'!D89*IF('01_Вводные'!$B$239="Да",MeanMinAge09+'19_Расчет_аналитики'!D4607*SUMIF(ThresholdAge09,"&lt;"&amp;'19_Расчет_аналитики'!D4607,WeightedRevAge09)-SUMIF(ThresholdAge09,"&lt;"&amp;'19_Расчет_аналитики'!D4607,WeightedMinAge09),MAX(CapacityAge09*'01_Вводные'!$B$218*'19_Расчет_аналитики'!D4607,MeanMinAge09))),0)</f>
        <v/>
      </c>
      <c r="E4520">
        <f>IF('01_Вводные'!$B$234="Да",IF(OR('06_Сеть_и_дети'!E89=0,9&lt;='01_Вводные'!$B$297),0,'06_Сеть_и_дети'!E89*IF('01_Вводные'!$B$239="Да",MeanMinAge09+'19_Расчет_аналитики'!E4607*SUMIF(ThresholdAge09,"&lt;"&amp;'19_Расчет_аналитики'!E4607,WeightedRevAge09)-SUMIF(ThresholdAge09,"&lt;"&amp;'19_Расчет_аналитики'!E4607,WeightedMinAge09),MAX(CapacityAge09*'01_Вводные'!$B$218*'19_Расчет_аналитики'!E4607,MeanMinAge09))),0)</f>
        <v/>
      </c>
      <c r="F4520">
        <f>IF('01_Вводные'!$B$234="Да",IF(OR('06_Сеть_и_дети'!F89=0,9&lt;='01_Вводные'!$B$297),0,'06_Сеть_и_дети'!F89*IF('01_Вводные'!$B$239="Да",MeanMinAge09+'19_Расчет_аналитики'!F4607*SUMIF(ThresholdAge09,"&lt;"&amp;'19_Расчет_аналитики'!F4607,WeightedRevAge09)-SUMIF(ThresholdAge09,"&lt;"&amp;'19_Расчет_аналитики'!F4607,WeightedMinAge09),MAX(CapacityAge09*'01_Вводные'!$B$218*'19_Расчет_аналитики'!F4607,MeanMinAge09))),0)</f>
        <v/>
      </c>
      <c r="G4520">
        <f>IF('01_Вводные'!$B$234="Да",IF(OR('06_Сеть_и_дети'!G89=0,9&lt;='01_Вводные'!$B$297),0,'06_Сеть_и_дети'!G89*IF('01_Вводные'!$B$239="Да",MeanMinAge09+'19_Расчет_аналитики'!G4607*SUMIF(ThresholdAge09,"&lt;"&amp;'19_Расчет_аналитики'!G4607,WeightedRevAge09)-SUMIF(ThresholdAge09,"&lt;"&amp;'19_Расчет_аналитики'!G4607,WeightedMinAge09),MAX(CapacityAge09*'01_Вводные'!$B$218*'19_Расчет_аналитики'!G4607,MeanMinAge09))),0)</f>
        <v/>
      </c>
      <c r="H4520">
        <f>IF('01_Вводные'!$B$234="Да",IF(OR('06_Сеть_и_дети'!H89=0,9&lt;='01_Вводные'!$B$297),0,'06_Сеть_и_дети'!H89*IF('01_Вводные'!$B$239="Да",MeanMinAge09+'19_Расчет_аналитики'!H4607*SUMIF(ThresholdAge09,"&lt;"&amp;'19_Расчет_аналитики'!H4607,WeightedRevAge09)-SUMIF(ThresholdAge09,"&lt;"&amp;'19_Расчет_аналитики'!H4607,WeightedMinAge09),MAX(CapacityAge09*'01_Вводные'!$B$218*'19_Расчет_аналитики'!H4607,MeanMinAge09))),0)</f>
        <v/>
      </c>
      <c r="I4520">
        <f>IF('01_Вводные'!$B$234="Да",IF(OR('06_Сеть_и_дети'!I89=0,9&lt;='01_Вводные'!$B$297),0,'06_Сеть_и_дети'!I89*IF('01_Вводные'!$B$239="Да",MeanMinAge09+'19_Расчет_аналитики'!I4607*SUMIF(ThresholdAge09,"&lt;"&amp;'19_Расчет_аналитики'!I4607,WeightedRevAge09)-SUMIF(ThresholdAge09,"&lt;"&amp;'19_Расчет_аналитики'!I4607,WeightedMinAge09),MAX(CapacityAge09*'01_Вводные'!$B$218*'19_Расчет_аналитики'!I4607,MeanMinAge09))),0)</f>
        <v/>
      </c>
      <c r="J4520">
        <f>IF('01_Вводные'!$B$234="Да",IF(OR('19_Расчет_аналитики'!J4492=0,9&lt;='01_Вводные'!$B$297),0,'19_Расчет_аналитики'!J4492*IF('01_Вводные'!$B$239="Да",MeanMinAge09+'19_Расчет_аналитики'!J4607*SUMIF(ThresholdAge09,"&lt;"&amp;'19_Расчет_аналитики'!J4607,WeightedRevAge09)-SUMIF(ThresholdAge09,"&lt;"&amp;'19_Расчет_аналитики'!J4607,WeightedMinAge09),MAX(CapacityAge09*'01_Вводные'!$B$218*'19_Расчет_аналитики'!J4607,MeanMinAge09))),0)</f>
        <v/>
      </c>
      <c r="K4520">
        <f>IF('01_Вводные'!$B$234="Да",IF(OR('19_Расчет_аналитики'!K4492=0,9&lt;='01_Вводные'!$B$297),0,'19_Расчет_аналитики'!K4492*IF('01_Вводные'!$B$239="Да",MeanMinAge09+'19_Расчет_аналитики'!K4607*SUMIF(ThresholdAge09,"&lt;"&amp;'19_Расчет_аналитики'!K4607,WeightedRevAge09)-SUMIF(ThresholdAge09,"&lt;"&amp;'19_Расчет_аналитики'!K4607,WeightedMinAge09),MAX(CapacityAge09*'01_Вводные'!$B$218*'19_Расчет_аналитики'!K4607,MeanMinAge09))),0)</f>
        <v/>
      </c>
      <c r="L4520">
        <f>IF('01_Вводные'!$B$234="Да",IF(OR('19_Расчет_аналитики'!L4492=0,9&lt;='01_Вводные'!$B$297),0,'19_Расчет_аналитики'!L4492*IF('01_Вводные'!$B$239="Да",MeanMinAge09+'19_Расчет_аналитики'!L4607*SUMIF(ThresholdAge09,"&lt;"&amp;'19_Расчет_аналитики'!L4607,WeightedRevAge09)-SUMIF(ThresholdAge09,"&lt;"&amp;'19_Расчет_аналитики'!L4607,WeightedMinAge09),MAX(CapacityAge09*'01_Вводные'!$B$218*'19_Расчет_аналитики'!L4607,MeanMinAge09))),0)</f>
        <v/>
      </c>
      <c r="M4520">
        <f>IF('01_Вводные'!$B$234="Да",IF(OR('19_Расчет_аналитики'!M4492=0,9&lt;='01_Вводные'!$B$297),0,'19_Расчет_аналитики'!M4492*IF('01_Вводные'!$B$239="Да",MeanMinAge09+'19_Расчет_аналитики'!M4607*SUMIF(ThresholdAge09,"&lt;"&amp;'19_Расчет_аналитики'!M4607,WeightedRevAge09)-SUMIF(ThresholdAge09,"&lt;"&amp;'19_Расчет_аналитики'!M4607,WeightedMinAge09),MAX(CapacityAge09*'01_Вводные'!$B$218*'19_Расчет_аналитики'!M4607,MeanMinAge09))),0)</f>
        <v/>
      </c>
      <c r="N4520">
        <f>IF('01_Вводные'!$B$234="Да",IF(OR('19_Расчет_аналитики'!N4492=0,9&lt;='01_Вводные'!$B$297),0,'19_Расчет_аналитики'!N4492*IF('01_Вводные'!$B$239="Да",MeanMinAge09+'19_Расчет_аналитики'!N4607*SUMIF(ThresholdAge09,"&lt;"&amp;'19_Расчет_аналитики'!N4607,WeightedRevAge09)-SUMIF(ThresholdAge09,"&lt;"&amp;'19_Расчет_аналитики'!N4607,WeightedMinAge09),MAX(CapacityAge09*'01_Вводные'!$B$218*'19_Расчет_аналитики'!N4607,MeanMinAge09))),0)</f>
        <v/>
      </c>
      <c r="O4520">
        <f>IF('01_Вводные'!$B$234="Да",IF(OR('19_Расчет_аналитики'!O4492=0,9&lt;='01_Вводные'!$B$297),0,'19_Расчет_аналитики'!O4492*IF('01_Вводные'!$B$239="Да",MeanMinAge09+'19_Расчет_аналитики'!O4607*SUMIF(ThresholdAge09,"&lt;"&amp;'19_Расчет_аналитики'!O4607,WeightedRevAge09)-SUMIF(ThresholdAge09,"&lt;"&amp;'19_Расчет_аналитики'!O4607,WeightedMinAge09),MAX(CapacityAge09*'01_Вводные'!$B$218*'19_Расчет_аналитики'!O4607,MeanMinAge09))),0)</f>
        <v/>
      </c>
      <c r="P4520">
        <f>IF('01_Вводные'!$B$234="Да",IF(OR('19_Расчет_аналитики'!P4492=0,9&lt;='01_Вводные'!$B$297),0,'19_Расчет_аналитики'!P4492*IF('01_Вводные'!$B$239="Да",MeanMinAge09+'19_Расчет_аналитики'!P4607*SUMIF(ThresholdAge09,"&lt;"&amp;'19_Расчет_аналитики'!P4607,WeightedRevAge09)-SUMIF(ThresholdAge09,"&lt;"&amp;'19_Расчет_аналитики'!P4607,WeightedMinAge09),MAX(CapacityAge09*'01_Вводные'!$B$218*'19_Расчет_аналитики'!P4607,MeanMinAge09))),0)</f>
        <v/>
      </c>
      <c r="Q4520">
        <f>IF('01_Вводные'!$B$234="Да",IF(OR('19_Расчет_аналитики'!Q4492=0,9&lt;='01_Вводные'!$B$297),0,'19_Расчет_аналитики'!Q4492*IF('01_Вводные'!$B$239="Да",MeanMinAge09+'19_Расчет_аналитики'!Q4607*SUMIF(ThresholdAge09,"&lt;"&amp;'19_Расчет_аналитики'!Q4607,WeightedRevAge09)-SUMIF(ThresholdAge09,"&lt;"&amp;'19_Расчет_аналитики'!Q4607,WeightedMinAge09),MAX(CapacityAge09*'01_Вводные'!$B$218*'19_Расчет_аналитики'!Q4607,MeanMinAge09))),0)</f>
        <v/>
      </c>
      <c r="R4520">
        <f>IF('01_Вводные'!$B$234="Да",IF(OR('19_Расчет_аналитики'!R4492=0,9&lt;='01_Вводные'!$B$297),0,'19_Расчет_аналитики'!R4492*IF('01_Вводные'!$B$239="Да",MeanMinAge09+'19_Расчет_аналитики'!R4607*SUMIF(ThresholdAge09,"&lt;"&amp;'19_Расчет_аналитики'!R4607,WeightedRevAge09)-SUMIF(ThresholdAge09,"&lt;"&amp;'19_Расчет_аналитики'!R4607,WeightedMinAge09),MAX(CapacityAge09*'01_Вводные'!$B$218*'19_Расчет_аналитики'!R4607,MeanMinAge09))),0)</f>
        <v/>
      </c>
      <c r="S4520">
        <f>IF('01_Вводные'!$B$234="Да",IF(OR('19_Расчет_аналитики'!S4492=0,9&lt;='01_Вводные'!$B$297),0,'19_Расчет_аналитики'!S4492*IF('01_Вводные'!$B$239="Да",MeanMinAge09+'19_Расчет_аналитики'!S4607*SUMIF(ThresholdAge09,"&lt;"&amp;'19_Расчет_аналитики'!S4607,WeightedRevAge09)-SUMIF(ThresholdAge09,"&lt;"&amp;'19_Расчет_аналитики'!S4607,WeightedMinAge09),MAX(CapacityAge09*'01_Вводные'!$B$218*'19_Расчет_аналитики'!S4607,MeanMinAge09))),0)</f>
        <v/>
      </c>
      <c r="T4520">
        <f>IF('01_Вводные'!$B$234="Да",IF(OR('19_Расчет_аналитики'!T4492=0,9&lt;='01_Вводные'!$B$297),0,'19_Расчет_аналитики'!T4492*IF('01_Вводные'!$B$239="Да",MeanMinAge09+'19_Расчет_аналитики'!T4607*SUMIF(ThresholdAge09,"&lt;"&amp;'19_Расчет_аналитики'!T4607,WeightedRevAge09)-SUMIF(ThresholdAge09,"&lt;"&amp;'19_Расчет_аналитики'!T4607,WeightedMinAge09),MAX(CapacityAge09*'01_Вводные'!$B$218*'19_Расчет_аналитики'!T4607,MeanMinAge09))),0)</f>
        <v/>
      </c>
      <c r="U4520">
        <f>IF('01_Вводные'!$B$234="Да",IF(OR('19_Расчет_аналитики'!U4492=0,9&lt;='01_Вводные'!$B$297),0,'19_Расчет_аналитики'!U4492*IF('01_Вводные'!$B$239="Да",MeanMinAge09+'19_Расчет_аналитики'!U4607*SUMIF(ThresholdAge09,"&lt;"&amp;'19_Расчет_аналитики'!U4607,WeightedRevAge09)-SUMIF(ThresholdAge09,"&lt;"&amp;'19_Расчет_аналитики'!U4607,WeightedMinAge09),MAX(CapacityAge09*'01_Вводные'!$B$218*'19_Расчет_аналитики'!U4607,MeanMinAge09))),0)</f>
        <v/>
      </c>
      <c r="V4520">
        <f>IF('01_Вводные'!$B$234="Да",IF(OR('19_Расчет_аналитики'!V4492=0,9&lt;='01_Вводные'!$B$297),0,'19_Расчет_аналитики'!V4492*IF('01_Вводные'!$B$239="Да",MeanMinAge09+'19_Расчет_аналитики'!V4607*SUMIF(ThresholdAge09,"&lt;"&amp;'19_Расчет_аналитики'!V4607,WeightedRevAge09)-SUMIF(ThresholdAge09,"&lt;"&amp;'19_Расчет_аналитики'!V4607,WeightedMinAge09),MAX(CapacityAge09*'01_Вводные'!$B$218*'19_Расчет_аналитики'!V4607,MeanMinAge09))),0)</f>
        <v/>
      </c>
      <c r="W4520">
        <f>IF('01_Вводные'!$B$234="Да",IF(OR('19_Расчет_аналитики'!W4492=0,9&lt;='01_Вводные'!$B$297),0,'19_Расчет_аналитики'!W4492*IF('01_Вводные'!$B$239="Да",MeanMinAge09+'19_Расчет_аналитики'!W4607*SUMIF(ThresholdAge09,"&lt;"&amp;'19_Расчет_аналитики'!W4607,WeightedRevAge09)-SUMIF(ThresholdAge09,"&lt;"&amp;'19_Расчет_аналитики'!W4607,WeightedMinAge09),MAX(CapacityAge09*'01_Вводные'!$B$218*'19_Расчет_аналитики'!W4607,MeanMinAge09))),0)</f>
        <v/>
      </c>
      <c r="X4520">
        <f>IF('01_Вводные'!$B$234="Да",IF(OR('19_Расчет_аналитики'!X4492=0,9&lt;='01_Вводные'!$B$297),0,'19_Расчет_аналитики'!X4492*IF('01_Вводные'!$B$239="Да",MeanMinAge09+'19_Расчет_аналитики'!X4607*SUMIF(ThresholdAge09,"&lt;"&amp;'19_Расчет_аналитики'!X4607,WeightedRevAge09)-SUMIF(ThresholdAge09,"&lt;"&amp;'19_Расчет_аналитики'!X4607,WeightedMinAge09),MAX(CapacityAge09*'01_Вводные'!$B$218*'19_Расчет_аналитики'!X4607,MeanMinAge09))),0)</f>
        <v/>
      </c>
      <c r="Y4520">
        <f>IF('01_Вводные'!$B$234="Да",IF(OR('19_Расчет_аналитики'!Y4492=0,9&lt;='01_Вводные'!$B$297),0,'19_Расчет_аналитики'!Y4492*IF('01_Вводные'!$B$239="Да",MeanMinAge09+'19_Расчет_аналитики'!Y4607*SUMIF(ThresholdAge09,"&lt;"&amp;'19_Расчет_аналитики'!Y4607,WeightedRevAge09)-SUMIF(ThresholdAge09,"&lt;"&amp;'19_Расчет_аналитики'!Y4607,WeightedMinAge09),MAX(CapacityAge09*'01_Вводные'!$B$218*'19_Расчет_аналитики'!Y4607,MeanMinAge09))),0)</f>
        <v/>
      </c>
      <c r="Z4520">
        <f>IF('01_Вводные'!$B$234="Да",IF(OR('19_Расчет_аналитики'!Z4492=0,9&lt;='01_Вводные'!$B$297),0,'19_Расчет_аналитики'!Z4492*IF('01_Вводные'!$B$239="Да",MeanMinAge09+'19_Расчет_аналитики'!Z4607*SUMIF(ThresholdAge09,"&lt;"&amp;'19_Расчет_аналитики'!Z4607,WeightedRevAge09)-SUMIF(ThresholdAge09,"&lt;"&amp;'19_Расчет_аналитики'!Z4607,WeightedMinAge09),MAX(CapacityAge09*'01_Вводные'!$B$218*'19_Расчет_аналитики'!Z4607,MeanMinAge09))),0)</f>
        <v/>
      </c>
      <c r="AA4520">
        <f>IF('01_Вводные'!$B$234="Да",IF(OR('19_Расчет_аналитики'!AA4492=0,9&lt;='01_Вводные'!$B$297),0,'19_Расчет_аналитики'!AA4492*IF('01_Вводные'!$B$239="Да",MeanMinAge09+'19_Расчет_аналитики'!AA4607*SUMIF(ThresholdAge09,"&lt;"&amp;'19_Расчет_аналитики'!AA4607,WeightedRevAge09)-SUMIF(ThresholdAge09,"&lt;"&amp;'19_Расчет_аналитики'!AA4607,WeightedMinAge09),MAX(CapacityAge09*'01_Вводные'!$B$218*'19_Расчет_аналитики'!AA4607,MeanMinAge09))),0)</f>
        <v/>
      </c>
      <c r="AB4520">
        <f>IF('01_Вводные'!$B$234="Да",IF(OR('19_Расчет_аналитики'!AB4492=0,9&lt;='01_Вводные'!$B$297),0,'19_Расчет_аналитики'!AB4492*IF('01_Вводные'!$B$239="Да",MeanMinAge09+'19_Расчет_аналитики'!AB4607*SUMIF(ThresholdAge09,"&lt;"&amp;'19_Расчет_аналитики'!AB4607,WeightedRevAge09)-SUMIF(ThresholdAge09,"&lt;"&amp;'19_Расчет_аналитики'!AB4607,WeightedMinAge09),MAX(CapacityAge09*'01_Вводные'!$B$218*'19_Расчет_аналитики'!AB4607,MeanMinAge09))),0)</f>
        <v/>
      </c>
      <c r="AC4520">
        <f>IF('01_Вводные'!$B$234="Да",IF(OR('19_Расчет_аналитики'!AC4492=0,9&lt;='01_Вводные'!$B$297),0,'19_Расчет_аналитики'!AC4492*IF('01_Вводные'!$B$239="Да",MeanMinAge09+'19_Расчет_аналитики'!AC4607*SUMIF(ThresholdAge09,"&lt;"&amp;'19_Расчет_аналитики'!AC4607,WeightedRevAge09)-SUMIF(ThresholdAge09,"&lt;"&amp;'19_Расчет_аналитики'!AC4607,WeightedMinAge09),MAX(CapacityAge09*'01_Вводные'!$B$218*'19_Расчет_аналитики'!AC4607,MeanMinAge09))),0)</f>
        <v/>
      </c>
      <c r="AD4520">
        <f>IF('01_Вводные'!$B$234="Да",IF(OR('19_Расчет_аналитики'!AD4492=0,9&lt;='01_Вводные'!$B$297),0,'19_Расчет_аналитики'!AD4492*IF('01_Вводные'!$B$239="Да",MeanMinAge09+'19_Расчет_аналитики'!AD4607*SUMIF(ThresholdAge09,"&lt;"&amp;'19_Расчет_аналитики'!AD4607,WeightedRevAge09)-SUMIF(ThresholdAge09,"&lt;"&amp;'19_Расчет_аналитики'!AD4607,WeightedMinAge09),MAX(CapacityAge09*'01_Вводные'!$B$218*'19_Расчет_аналитики'!AD4607,MeanMinAge09))),0)</f>
        <v/>
      </c>
      <c r="AE4520">
        <f>IF('01_Вводные'!$B$234="Да",IF(OR('19_Расчет_аналитики'!AE4492=0,9&lt;='01_Вводные'!$B$297),0,'19_Расчет_аналитики'!AE4492*IF('01_Вводные'!$B$239="Да",MeanMinAge09+'19_Расчет_аналитики'!AE4607*SUMIF(ThresholdAge09,"&lt;"&amp;'19_Расчет_аналитики'!AE4607,WeightedRevAge09)-SUMIF(ThresholdAge09,"&lt;"&amp;'19_Расчет_аналитики'!AE4607,WeightedMinAge09),MAX(CapacityAge09*'01_Вводные'!$B$218*'19_Расчет_аналитики'!AE4607,MeanMinAge09))),0)</f>
        <v/>
      </c>
      <c r="AF4520">
        <f>IF('01_Вводные'!$B$234="Да",IF(OR('19_Расчет_аналитики'!AF4492=0,9&lt;='01_Вводные'!$B$297),0,'19_Расчет_аналитики'!AF4492*IF('01_Вводные'!$B$239="Да",MeanMinAge09+'19_Расчет_аналитики'!AF4607*SUMIF(ThresholdAge09,"&lt;"&amp;'19_Расчет_аналитики'!AF4607,WeightedRevAge09)-SUMIF(ThresholdAge09,"&lt;"&amp;'19_Расчет_аналитики'!AF4607,WeightedMinAge09),MAX(CapacityAge09*'01_Вводные'!$B$218*'19_Расчет_аналитики'!AF4607,MeanMinAge09))),0)</f>
        <v/>
      </c>
      <c r="AG4520">
        <f>IF('01_Вводные'!$B$234="Да",IF(OR('19_Расчет_аналитики'!AG4492=0,9&lt;='01_Вводные'!$B$297),0,'19_Расчет_аналитики'!AG4492*IF('01_Вводные'!$B$239="Да",MeanMinAge09+'19_Расчет_аналитики'!AG4607*SUMIF(ThresholdAge09,"&lt;"&amp;'19_Расчет_аналитики'!AG4607,WeightedRevAge09)-SUMIF(ThresholdAge09,"&lt;"&amp;'19_Расчет_аналитики'!AG4607,WeightedMinAge09),MAX(CapacityAge09*'01_Вводные'!$B$218*'19_Расчет_аналитики'!AG4607,MeanMinAge09))),0)</f>
        <v/>
      </c>
      <c r="AH4520">
        <f>IF('01_Вводные'!$B$234="Да",IF(OR('19_Расчет_аналитики'!AH4492=0,9&lt;='01_Вводные'!$B$297),0,'19_Расчет_аналитики'!AH4492*IF('01_Вводные'!$B$239="Да",MeanMinAge09+'19_Расчет_аналитики'!AH4607*SUMIF(ThresholdAge09,"&lt;"&amp;'19_Расчет_аналитики'!AH4607,WeightedRevAge09)-SUMIF(ThresholdAge09,"&lt;"&amp;'19_Расчет_аналитики'!AH4607,WeightedMinAge09),MAX(CapacityAge09*'01_Вводные'!$B$218*'19_Расчет_аналитики'!AH4607,MeanMinAge09))),0)</f>
        <v/>
      </c>
      <c r="AI4520">
        <f>IF('01_Вводные'!$B$234="Да",IF(OR('19_Расчет_аналитики'!AI4492=0,9&lt;='01_Вводные'!$B$297),0,'19_Расчет_аналитики'!AI4492*IF('01_Вводные'!$B$239="Да",MeanMinAge09+'19_Расчет_аналитики'!AI4607*SUMIF(ThresholdAge09,"&lt;"&amp;'19_Расчет_аналитики'!AI4607,WeightedRevAge09)-SUMIF(ThresholdAge09,"&lt;"&amp;'19_Расчет_аналитики'!AI4607,WeightedMinAge09),MAX(CapacityAge09*'01_Вводные'!$B$218*'19_Расчет_аналитики'!AI4607,MeanMinAge09))),0)</f>
        <v/>
      </c>
      <c r="AJ4520">
        <f>IF('01_Вводные'!$B$234="Да",IF(OR('19_Расчет_аналитики'!AJ4492=0,9&lt;='01_Вводные'!$B$297),0,'19_Расчет_аналитики'!AJ4492*IF('01_Вводные'!$B$239="Да",MeanMinAge09+'19_Расчет_аналитики'!AJ4607*SUMIF(ThresholdAge09,"&lt;"&amp;'19_Расчет_аналитики'!AJ4607,WeightedRevAge09)-SUMIF(ThresholdAge09,"&lt;"&amp;'19_Расчет_аналитики'!AJ4607,WeightedMinAge09),MAX(CapacityAge09*'01_Вводные'!$B$218*'19_Расчет_аналитики'!AJ4607,MeanMinAge09))),0)</f>
        <v/>
      </c>
      <c r="AK4520">
        <f>IF('01_Вводные'!$B$234="Да",IF(OR('19_Расчет_аналитики'!AK4492=0,9&lt;='01_Вводные'!$B$297),0,'19_Расчет_аналитики'!AK4492*IF('01_Вводные'!$B$239="Да",MeanMinAge09+'19_Расчет_аналитики'!AK4607*SUMIF(ThresholdAge09,"&lt;"&amp;'19_Расчет_аналитики'!AK4607,WeightedRevAge09)-SUMIF(ThresholdAge09,"&lt;"&amp;'19_Расчет_аналитики'!AK4607,WeightedMinAge09),MAX(CapacityAge09*'01_Вводные'!$B$218*'19_Расчет_аналитики'!AK4607,MeanMinAge09))),0)</f>
        <v/>
      </c>
      <c r="AL4520">
        <f>IF('01_Вводные'!$B$234="Да",IF(OR('19_Расчет_аналитики'!AL4492=0,9&lt;='01_Вводные'!$B$297),0,'19_Расчет_аналитики'!AL4492*IF('01_Вводные'!$B$239="Да",MeanMinAge09+'19_Расчет_аналитики'!AL4607*SUMIF(ThresholdAge09,"&lt;"&amp;'19_Расчет_аналитики'!AL4607,WeightedRevAge09)-SUMIF(ThresholdAge09,"&lt;"&amp;'19_Расчет_аналитики'!AL4607,WeightedMinAge09),MAX(CapacityAge09*'01_Вводные'!$B$218*'19_Расчет_аналитики'!AL4607,MeanMinAge09))),0)</f>
        <v/>
      </c>
      <c r="AM4520">
        <f>IF('01_Вводные'!$B$234="Да",IF(OR('19_Расчет_аналитики'!AM4492=0,9&lt;='01_Вводные'!$B$297),0,'19_Расчет_аналитики'!AM4492*IF('01_Вводные'!$B$239="Да",MeanMinAge09+'19_Расчет_аналитики'!AM4607*SUMIF(ThresholdAge09,"&lt;"&amp;'19_Расчет_аналитики'!AM4607,WeightedRevAge09)-SUMIF(ThresholdAge09,"&lt;"&amp;'19_Расчет_аналитики'!AM4607,WeightedMinAge09),MAX(CapacityAge09*'01_Вводные'!$B$218*'19_Расчет_аналитики'!AM4607,MeanMinAge09))),0)</f>
        <v/>
      </c>
      <c r="AN4520">
        <f>IF('01_Вводные'!$B$234="Да",IF(OR('19_Расчет_аналитики'!AN4492=0,9&lt;='01_Вводные'!$B$297),0,'19_Расчет_аналитики'!AN4492*IF('01_Вводные'!$B$239="Да",MeanMinAge09+'19_Расчет_аналитики'!AN4607*SUMIF(ThresholdAge09,"&lt;"&amp;'19_Расчет_аналитики'!AN4607,WeightedRevAge09)-SUMIF(ThresholdAge09,"&lt;"&amp;'19_Расчет_аналитики'!AN4607,WeightedMinAge09),MAX(CapacityAge09*'01_Вводные'!$B$218*'19_Расчет_аналитики'!AN4607,MeanMinAge09))),0)</f>
        <v/>
      </c>
      <c r="AO4520">
        <f>IF('01_Вводные'!$B$234="Да",IF(OR('19_Расчет_аналитики'!AO4492=0,9&lt;='01_Вводные'!$B$297),0,'19_Расчет_аналитики'!AO4492*IF('01_Вводные'!$B$239="Да",MeanMinAge09+'19_Расчет_аналитики'!AO4607*SUMIF(ThresholdAge09,"&lt;"&amp;'19_Расчет_аналитики'!AO4607,WeightedRevAge09)-SUMIF(ThresholdAge09,"&lt;"&amp;'19_Расчет_аналитики'!AO4607,WeightedMinAge09),MAX(CapacityAge09*'01_Вводные'!$B$218*'19_Расчет_аналитики'!AO4607,MeanMinAge09))),0)</f>
        <v/>
      </c>
      <c r="AP4520">
        <f>IF('01_Вводные'!$B$234="Да",IF(OR('19_Расчет_аналитики'!AP4492=0,9&lt;='01_Вводные'!$B$297),0,'19_Расчет_аналитики'!AP4492*IF('01_Вводные'!$B$239="Да",MeanMinAge09+'19_Расчет_аналитики'!AP4607*SUMIF(ThresholdAge09,"&lt;"&amp;'19_Расчет_аналитики'!AP4607,WeightedRevAge09)-SUMIF(ThresholdAge09,"&lt;"&amp;'19_Расчет_аналитики'!AP4607,WeightedMinAge09),MAX(CapacityAge09*'01_Вводные'!$B$218*'19_Расчет_аналитики'!AP4607,MeanMinAge09))),0)</f>
        <v/>
      </c>
      <c r="AQ4520">
        <f>IF('01_Вводные'!$B$234="Да",IF(OR('19_Расчет_аналитики'!AQ4492=0,9&lt;='01_Вводные'!$B$297),0,'19_Расчет_аналитики'!AQ4492*IF('01_Вводные'!$B$239="Да",MeanMinAge09+'19_Расчет_аналитики'!AQ4607*SUMIF(ThresholdAge09,"&lt;"&amp;'19_Расчет_аналитики'!AQ4607,WeightedRevAge09)-SUMIF(ThresholdAge09,"&lt;"&amp;'19_Расчет_аналитики'!AQ4607,WeightedMinAge09),MAX(CapacityAge09*'01_Вводные'!$B$218*'19_Расчет_аналитики'!AQ4607,MeanMinAge09))),0)</f>
        <v/>
      </c>
      <c r="AR4520">
        <f>IF('01_Вводные'!$B$234="Да",IF(OR('19_Расчет_аналитики'!AR4492=0,9&lt;='01_Вводные'!$B$297),0,'19_Расчет_аналитики'!AR4492*IF('01_Вводные'!$B$239="Да",MeanMinAge09+'19_Расчет_аналитики'!AR4607*SUMIF(ThresholdAge09,"&lt;"&amp;'19_Расчет_аналитики'!AR4607,WeightedRevAge09)-SUMIF(ThresholdAge09,"&lt;"&amp;'19_Расчет_аналитики'!AR4607,WeightedMinAge09),MAX(CapacityAge09*'01_Вводные'!$B$218*'19_Расчет_аналитики'!AR4607,MeanMinAge09))),0)</f>
        <v/>
      </c>
      <c r="AS4520">
        <f>IF('01_Вводные'!$B$234="Да",IF(OR('19_Расчет_аналитики'!AS4492=0,9&lt;='01_Вводные'!$B$297),0,'19_Расчет_аналитики'!AS4492*IF('01_Вводные'!$B$239="Да",MeanMinAge09+'19_Расчет_аналитики'!AS4607*SUMIF(ThresholdAge09,"&lt;"&amp;'19_Расчет_аналитики'!AS4607,WeightedRevAge09)-SUMIF(ThresholdAge09,"&lt;"&amp;'19_Расчет_аналитики'!AS4607,WeightedMinAge09),MAX(CapacityAge09*'01_Вводные'!$B$218*'19_Расчет_аналитики'!AS4607,MeanMinAge09))),0)</f>
        <v/>
      </c>
      <c r="AT4520">
        <f>IF('01_Вводные'!$B$234="Да",IF(OR('19_Расчет_аналитики'!AT4492=0,9&lt;='01_Вводные'!$B$297),0,'19_Расчет_аналитики'!AT4492*IF('01_Вводные'!$B$239="Да",MeanMinAge09+'19_Расчет_аналитики'!AT4607*SUMIF(ThresholdAge09,"&lt;"&amp;'19_Расчет_аналитики'!AT4607,WeightedRevAge09)-SUMIF(ThresholdAge09,"&lt;"&amp;'19_Расчет_аналитики'!AT4607,WeightedMinAge09),MAX(CapacityAge09*'01_Вводные'!$B$218*'19_Расчет_аналитики'!AT4607,MeanMinAge09))),0)</f>
        <v/>
      </c>
      <c r="AU4520">
        <f>IF('01_Вводные'!$B$234="Да",IF(OR('19_Расчет_аналитики'!AU4492=0,9&lt;='01_Вводные'!$B$297),0,'19_Расчет_аналитики'!AU4492*IF('01_Вводные'!$B$239="Да",MeanMinAge09+'19_Расчет_аналитики'!AU4607*SUMIF(ThresholdAge09,"&lt;"&amp;'19_Расчет_аналитики'!AU4607,WeightedRevAge09)-SUMIF(ThresholdAge09,"&lt;"&amp;'19_Расчет_аналитики'!AU4607,WeightedMinAge09),MAX(CapacityAge09*'01_Вводные'!$B$218*'19_Расчет_аналитики'!AU4607,MeanMinAge09))),0)</f>
        <v/>
      </c>
      <c r="AV4520">
        <f>IF('01_Вводные'!$B$234="Да",IF(OR('19_Расчет_аналитики'!AV4492=0,9&lt;='01_Вводные'!$B$297),0,'19_Расчет_аналитики'!AV4492*IF('01_Вводные'!$B$239="Да",MeanMinAge09+'19_Расчет_аналитики'!AV4607*SUMIF(ThresholdAge09,"&lt;"&amp;'19_Расчет_аналитики'!AV4607,WeightedRevAge09)-SUMIF(ThresholdAge09,"&lt;"&amp;'19_Расчет_аналитики'!AV4607,WeightedMinAge09),MAX(CapacityAge09*'01_Вводные'!$B$218*'19_Расчет_аналитики'!AV4607,MeanMinAge09))),0)</f>
        <v/>
      </c>
      <c r="AW4520">
        <f>IF('01_Вводные'!$B$234="Да",IF(OR('19_Расчет_аналитики'!AW4492=0,9&lt;='01_Вводные'!$B$297),0,'19_Расчет_аналитики'!AW4492*IF('01_Вводные'!$B$239="Да",MeanMinAge09+'19_Расчет_аналитики'!AW4607*SUMIF(ThresholdAge09,"&lt;"&amp;'19_Расчет_аналитики'!AW4607,WeightedRevAge09)-SUMIF(ThresholdAge09,"&lt;"&amp;'19_Расчет_аналитики'!AW4607,WeightedMinAge09),MAX(CapacityAge09*'01_Вводные'!$B$218*'19_Расчет_аналитики'!AW4607,MeanMinAge09))),0)</f>
        <v/>
      </c>
      <c r="AX4520">
        <f>IF('01_Вводные'!$B$234="Да",IF(OR('19_Расчет_аналитики'!AX4492=0,9&lt;='01_Вводные'!$B$297),0,'19_Расчет_аналитики'!AX4492*IF('01_Вводные'!$B$239="Да",MeanMinAge09+'19_Расчет_аналитики'!AX4607*SUMIF(ThresholdAge09,"&lt;"&amp;'19_Расчет_аналитики'!AX4607,WeightedRevAge09)-SUMIF(ThresholdAge09,"&lt;"&amp;'19_Расчет_аналитики'!AX4607,WeightedMinAge09),MAX(CapacityAge09*'01_Вводные'!$B$218*'19_Расчет_аналитики'!AX4607,MeanMinAge09))),0)</f>
        <v/>
      </c>
      <c r="AY4520">
        <f>IF('01_Вводные'!$B$234="Да",IF(OR('19_Расчет_аналитики'!AY4492=0,9&lt;='01_Вводные'!$B$297),0,'19_Расчет_аналитики'!AY4492*IF('01_Вводные'!$B$239="Да",MeanMinAge09+'19_Расчет_аналитики'!AY4607*SUMIF(ThresholdAge09,"&lt;"&amp;'19_Расчет_аналитики'!AY4607,WeightedRevAge09)-SUMIF(ThresholdAge09,"&lt;"&amp;'19_Расчет_аналитики'!AY4607,WeightedMinAge09),MAX(CapacityAge09*'01_Вводные'!$B$218*'19_Расчет_аналитики'!AY4607,MeanMinAge09))),0)</f>
        <v/>
      </c>
      <c r="AZ4520">
        <f>IF('01_Вводные'!$B$234="Да",IF(OR('19_Расчет_аналитики'!AZ4492=0,9&lt;='01_Вводные'!$B$297),0,'19_Расчет_аналитики'!AZ4492*IF('01_Вводные'!$B$239="Да",MeanMinAge09+'19_Расчет_аналитики'!AZ4607*SUMIF(ThresholdAge09,"&lt;"&amp;'19_Расчет_аналитики'!AZ4607,WeightedRevAge09)-SUMIF(ThresholdAge09,"&lt;"&amp;'19_Расчет_аналитики'!AZ4607,WeightedMinAge09),MAX(CapacityAge09*'01_Вводные'!$B$218*'19_Расчет_аналитики'!AZ4607,MeanMinAge09))),0)</f>
        <v/>
      </c>
      <c r="BA4520">
        <f>IF('01_Вводные'!$B$234="Да",IF(OR('19_Расчет_аналитики'!BA4492=0,9&lt;='01_Вводные'!$B$297),0,'19_Расчет_аналитики'!BA4492*IF('01_Вводные'!$B$239="Да",MeanMinAge09+'19_Расчет_аналитики'!BA4607*SUMIF(ThresholdAge09,"&lt;"&amp;'19_Расчет_аналитики'!BA4607,WeightedRevAge09)-SUMIF(ThresholdAge09,"&lt;"&amp;'19_Расчет_аналитики'!BA4607,WeightedMinAge09),MAX(CapacityAge09*'01_Вводные'!$B$218*'19_Расчет_аналитики'!BA4607,MeanMinAge09))),0)</f>
        <v/>
      </c>
      <c r="BB4520">
        <f>IF('01_Вводные'!$B$234="Да",IF(OR('19_Расчет_аналитики'!BB4492=0,9&lt;='01_Вводные'!$B$297),0,'19_Расчет_аналитики'!BB4492*IF('01_Вводные'!$B$239="Да",MeanMinAge09+'19_Расчет_аналитики'!BB4607*SUMIF(ThresholdAge09,"&lt;"&amp;'19_Расчет_аналитики'!BB4607,WeightedRevAge09)-SUMIF(ThresholdAge09,"&lt;"&amp;'19_Расчет_аналитики'!BB4607,WeightedMinAge09),MAX(CapacityAge09*'01_Вводные'!$B$218*'19_Расчет_аналитики'!BB4607,MeanMinAge09))),0)</f>
        <v/>
      </c>
      <c r="BC4520">
        <f>IF('01_Вводные'!$B$234="Да",IF(OR('19_Расчет_аналитики'!BC4492=0,9&lt;='01_Вводные'!$B$297),0,'19_Расчет_аналитики'!BC4492*IF('01_Вводные'!$B$239="Да",MeanMinAge09+'19_Расчет_аналитики'!BC4607*SUMIF(ThresholdAge09,"&lt;"&amp;'19_Расчет_аналитики'!BC4607,WeightedRevAge09)-SUMIF(ThresholdAge09,"&lt;"&amp;'19_Расчет_аналитики'!BC4607,WeightedMinAge09),MAX(CapacityAge09*'01_Вводные'!$B$218*'19_Расчет_аналитики'!BC4607,MeanMinAge09))),0)</f>
        <v/>
      </c>
      <c r="BD4520">
        <f>IF('01_Вводные'!$B$234="Да",IF(OR('19_Расчет_аналитики'!BD4492=0,9&lt;='01_Вводные'!$B$297),0,'19_Расчет_аналитики'!BD4492*IF('01_Вводные'!$B$239="Да",MeanMinAge09+'19_Расчет_аналитики'!BD4607*SUMIF(ThresholdAge09,"&lt;"&amp;'19_Расчет_аналитики'!BD4607,WeightedRevAge09)-SUMIF(ThresholdAge09,"&lt;"&amp;'19_Расчет_аналитики'!BD4607,WeightedMinAge09),MAX(CapacityAge09*'01_Вводные'!$B$218*'19_Расчет_аналитики'!BD4607,MeanMinAge09))),0)</f>
        <v/>
      </c>
      <c r="BE4520">
        <f>IF('01_Вводные'!$B$234="Да",IF(OR('19_Расчет_аналитики'!BE4492=0,9&lt;='01_Вводные'!$B$297),0,'19_Расчет_аналитики'!BE4492*IF('01_Вводные'!$B$239="Да",MeanMinAge09+'19_Расчет_аналитики'!BE4607*SUMIF(ThresholdAge09,"&lt;"&amp;'19_Расчет_аналитики'!BE4607,WeightedRevAge09)-SUMIF(ThresholdAge09,"&lt;"&amp;'19_Расчет_аналитики'!BE4607,WeightedMinAge09),MAX(CapacityAge09*'01_Вводные'!$B$218*'19_Расчет_аналитики'!BE4607,MeanMinAge09))),0)</f>
        <v/>
      </c>
      <c r="BF4520">
        <f>IF('01_Вводные'!$B$234="Да",IF(OR('19_Расчет_аналитики'!BF4492=0,9&lt;='01_Вводные'!$B$297),0,'19_Расчет_аналитики'!BF4492*IF('01_Вводные'!$B$239="Да",MeanMinAge09+'19_Расчет_аналитики'!BF4607*SUMIF(ThresholdAge09,"&lt;"&amp;'19_Расчет_аналитики'!BF4607,WeightedRevAge09)-SUMIF(ThresholdAge09,"&lt;"&amp;'19_Расчет_аналитики'!BF4607,WeightedMinAge09),MAX(CapacityAge09*'01_Вводные'!$B$218*'19_Расчет_аналитики'!BF4607,MeanMinAge09))),0)</f>
        <v/>
      </c>
      <c r="BG4520">
        <f>IF('01_Вводные'!$B$234="Да",IF(OR('19_Расчет_аналитики'!BG4492=0,9&lt;='01_Вводные'!$B$297),0,'19_Расчет_аналитики'!BG4492*IF('01_Вводные'!$B$239="Да",MeanMinAge09+'19_Расчет_аналитики'!BG4607*SUMIF(ThresholdAge09,"&lt;"&amp;'19_Расчет_аналитики'!BG4607,WeightedRevAge09)-SUMIF(ThresholdAge09,"&lt;"&amp;'19_Расчет_аналитики'!BG4607,WeightedMinAge09),MAX(CapacityAge09*'01_Вводные'!$B$218*'19_Расчет_аналитики'!BG4607,MeanMinAge09))),0)</f>
        <v/>
      </c>
      <c r="BH4520">
        <f>IF('01_Вводные'!$B$234="Да",IF(OR('19_Расчет_аналитики'!BH4492=0,9&lt;='01_Вводные'!$B$297),0,'19_Расчет_аналитики'!BH4492*IF('01_Вводные'!$B$239="Да",MeanMinAge09+'19_Расчет_аналитики'!BH4607*SUMIF(ThresholdAge09,"&lt;"&amp;'19_Расчет_аналитики'!BH4607,WeightedRevAge09)-SUMIF(ThresholdAge09,"&lt;"&amp;'19_Расчет_аналитики'!BH4607,WeightedMinAge09),MAX(CapacityAge09*'01_Вводные'!$B$218*'19_Расчет_аналитики'!BH4607,MeanMinAge09))),0)</f>
        <v/>
      </c>
      <c r="BI4520">
        <f>IF('01_Вводные'!$B$234="Да",IF(OR('19_Расчет_аналитики'!BI4492=0,9&lt;='01_Вводные'!$B$297),0,'19_Расчет_аналитики'!BI4492*IF('01_Вводные'!$B$239="Да",MeanMinAge09+'19_Расчет_аналитики'!BI4607*SUMIF(ThresholdAge09,"&lt;"&amp;'19_Расчет_аналитики'!BI4607,WeightedRevAge09)-SUMIF(ThresholdAge09,"&lt;"&amp;'19_Расчет_аналитики'!BI4607,WeightedMinAge09),MAX(CapacityAge09*'01_Вводные'!$B$218*'19_Расчет_аналитики'!BI4607,MeanMinAge09))),0)</f>
        <v/>
      </c>
      <c r="BJ4520">
        <f>IF('01_Вводные'!$B$234="Да",IF(OR('19_Расчет_аналитики'!BJ4492=0,9&lt;='01_Вводные'!$B$297),0,'19_Расчет_аналитики'!BJ4492*IF('01_Вводные'!$B$239="Да",MeanMinAge09+'19_Расчет_аналитики'!BJ4607*SUMIF(ThresholdAge09,"&lt;"&amp;'19_Расчет_аналитики'!BJ4607,WeightedRevAge09)-SUMIF(ThresholdAge09,"&lt;"&amp;'19_Расчет_аналитики'!BJ4607,WeightedMinAge09),MAX(CapacityAge09*'01_Вводные'!$B$218*'19_Расчет_аналитики'!BJ4607,MeanMinAge09))),0)</f>
        <v/>
      </c>
      <c r="BK4520">
        <f>IF('01_Вводные'!$B$234="Да",IF(OR('19_Расчет_аналитики'!BK4492=0,9&lt;='01_Вводные'!$B$297),0,'19_Расчет_аналитики'!BK4492*IF('01_Вводные'!$B$239="Да",MeanMinAge09+'19_Расчет_аналитики'!BK4607*SUMIF(ThresholdAge09,"&lt;"&amp;'19_Расчет_аналитики'!BK4607,WeightedRevAge09)-SUMIF(ThresholdAge09,"&lt;"&amp;'19_Расчет_аналитики'!BK4607,WeightedMinAge09),MAX(CapacityAge09*'01_Вводные'!$B$218*'19_Расчет_аналитики'!BK4607,MeanMinAge09))),0)</f>
        <v/>
      </c>
      <c r="BL4520">
        <f>IF('01_Вводные'!$B$234="Да",IF(OR('19_Расчет_аналитики'!BL4492=0,9&lt;='01_Вводные'!$B$297),0,'19_Расчет_аналитики'!BL4492*IF('01_Вводные'!$B$239="Да",MeanMinAge09+'19_Расчет_аналитики'!BL4607*SUMIF(ThresholdAge09,"&lt;"&amp;'19_Расчет_аналитики'!BL4607,WeightedRevAge09)-SUMIF(ThresholdAge09,"&lt;"&amp;'19_Расчет_аналитики'!BL4607,WeightedMinAge09),MAX(CapacityAge09*'01_Вводные'!$B$218*'19_Расчет_аналитики'!BL4607,MeanMinAge09))),0)</f>
        <v/>
      </c>
      <c r="BM4520">
        <f>IF('01_Вводные'!$B$234="Да",IF(OR('19_Расчет_аналитики'!BM4492=0,9&lt;='01_Вводные'!$B$297),0,'19_Расчет_аналитики'!BM4492*IF('01_Вводные'!$B$239="Да",MeanMinAge09+'19_Расчет_аналитики'!BM4607*SUMIF(ThresholdAge09,"&lt;"&amp;'19_Расчет_аналитики'!BM4607,WeightedRevAge09)-SUMIF(ThresholdAge09,"&lt;"&amp;'19_Расчет_аналитики'!BM4607,WeightedMinAge09),MAX(CapacityAge09*'01_Вводные'!$B$218*'19_Расчет_аналитики'!BM4607,MeanMinAge09))),0)</f>
        <v/>
      </c>
      <c r="BN4520">
        <f>IF('01_Вводные'!$B$234="Да",IF(OR('19_Расчет_аналитики'!BN4492=0,9&lt;='01_Вводные'!$B$297),0,'19_Расчет_аналитики'!BN4492*IF('01_Вводные'!$B$239="Да",MeanMinAge09+'19_Расчет_аналитики'!BN4607*SUMIF(ThresholdAge09,"&lt;"&amp;'19_Расчет_аналитики'!BN4607,WeightedRevAge09)-SUMIF(ThresholdAge09,"&lt;"&amp;'19_Расчет_аналитики'!BN4607,WeightedMinAge09),MAX(CapacityAge09*'01_Вводные'!$B$218*'19_Расчет_аналитики'!BN4607,MeanMinAge09))),0)</f>
        <v/>
      </c>
      <c r="BO4520">
        <f>IF('01_Вводные'!$B$234="Да",IF(OR('19_Расчет_аналитики'!BO4492=0,9&lt;='01_Вводные'!$B$297),0,'19_Расчет_аналитики'!BO4492*IF('01_Вводные'!$B$239="Да",MeanMinAge09+'19_Расчет_аналитики'!BO4607*SUMIF(ThresholdAge09,"&lt;"&amp;'19_Расчет_аналитики'!BO4607,WeightedRevAge09)-SUMIF(ThresholdAge09,"&lt;"&amp;'19_Расчет_аналитики'!BO4607,WeightedMinAge09),MAX(CapacityAge09*'01_Вводные'!$B$218*'19_Расчет_аналитики'!BO4607,MeanMinAge09))),0)</f>
        <v/>
      </c>
    </row>
    <row r="4521">
      <c r="B4521">
        <f>IF('01_Вводные'!$B$234="Да",IF(OR('06_Сеть_и_дети'!B90=0,10&lt;='01_Вводные'!$B$297),0,'06_Сеть_и_дети'!B90*IF('01_Вводные'!$B$239="Да",MeanMinAge10+'19_Расчет_аналитики'!B4607*SUMIF(ThresholdAge10,"&lt;"&amp;'19_Расчет_аналитики'!B4607,WeightedRevAge10)-SUMIF(ThresholdAge10,"&lt;"&amp;'19_Расчет_аналитики'!B4607,WeightedMinAge10),MAX(CapacityAge10*'01_Вводные'!$B$218*'19_Расчет_аналитики'!B4607,MeanMinAge10))),0)</f>
        <v/>
      </c>
      <c r="C4521">
        <f>IF('01_Вводные'!$B$234="Да",IF(OR('06_Сеть_и_дети'!C90=0,10&lt;='01_Вводные'!$B$297),0,'06_Сеть_и_дети'!C90*IF('01_Вводные'!$B$239="Да",MeanMinAge10+'19_Расчет_аналитики'!C4607*SUMIF(ThresholdAge10,"&lt;"&amp;'19_Расчет_аналитики'!C4607,WeightedRevAge10)-SUMIF(ThresholdAge10,"&lt;"&amp;'19_Расчет_аналитики'!C4607,WeightedMinAge10),MAX(CapacityAge10*'01_Вводные'!$B$218*'19_Расчет_аналитики'!C4607,MeanMinAge10))),0)</f>
        <v/>
      </c>
      <c r="D4521">
        <f>IF('01_Вводные'!$B$234="Да",IF(OR('06_Сеть_и_дети'!D90=0,10&lt;='01_Вводные'!$B$297),0,'06_Сеть_и_дети'!D90*IF('01_Вводные'!$B$239="Да",MeanMinAge10+'19_Расчет_аналитики'!D4607*SUMIF(ThresholdAge10,"&lt;"&amp;'19_Расчет_аналитики'!D4607,WeightedRevAge10)-SUMIF(ThresholdAge10,"&lt;"&amp;'19_Расчет_аналитики'!D4607,WeightedMinAge10),MAX(CapacityAge10*'01_Вводные'!$B$218*'19_Расчет_аналитики'!D4607,MeanMinAge10))),0)</f>
        <v/>
      </c>
      <c r="E4521">
        <f>IF('01_Вводные'!$B$234="Да",IF(OR('06_Сеть_и_дети'!E90=0,10&lt;='01_Вводные'!$B$297),0,'06_Сеть_и_дети'!E90*IF('01_Вводные'!$B$239="Да",MeanMinAge10+'19_Расчет_аналитики'!E4607*SUMIF(ThresholdAge10,"&lt;"&amp;'19_Расчет_аналитики'!E4607,WeightedRevAge10)-SUMIF(ThresholdAge10,"&lt;"&amp;'19_Расчет_аналитики'!E4607,WeightedMinAge10),MAX(CapacityAge10*'01_Вводные'!$B$218*'19_Расчет_аналитики'!E4607,MeanMinAge10))),0)</f>
        <v/>
      </c>
      <c r="F4521">
        <f>IF('01_Вводные'!$B$234="Да",IF(OR('06_Сеть_и_дети'!F90=0,10&lt;='01_Вводные'!$B$297),0,'06_Сеть_и_дети'!F90*IF('01_Вводные'!$B$239="Да",MeanMinAge10+'19_Расчет_аналитики'!F4607*SUMIF(ThresholdAge10,"&lt;"&amp;'19_Расчет_аналитики'!F4607,WeightedRevAge10)-SUMIF(ThresholdAge10,"&lt;"&amp;'19_Расчет_аналитики'!F4607,WeightedMinAge10),MAX(CapacityAge10*'01_Вводные'!$B$218*'19_Расчет_аналитики'!F4607,MeanMinAge10))),0)</f>
        <v/>
      </c>
      <c r="G4521">
        <f>IF('01_Вводные'!$B$234="Да",IF(OR('06_Сеть_и_дети'!G90=0,10&lt;='01_Вводные'!$B$297),0,'06_Сеть_и_дети'!G90*IF('01_Вводные'!$B$239="Да",MeanMinAge10+'19_Расчет_аналитики'!G4607*SUMIF(ThresholdAge10,"&lt;"&amp;'19_Расчет_аналитики'!G4607,WeightedRevAge10)-SUMIF(ThresholdAge10,"&lt;"&amp;'19_Расчет_аналитики'!G4607,WeightedMinAge10),MAX(CapacityAge10*'01_Вводные'!$B$218*'19_Расчет_аналитики'!G4607,MeanMinAge10))),0)</f>
        <v/>
      </c>
      <c r="H4521">
        <f>IF('01_Вводные'!$B$234="Да",IF(OR('06_Сеть_и_дети'!H90=0,10&lt;='01_Вводные'!$B$297),0,'06_Сеть_и_дети'!H90*IF('01_Вводные'!$B$239="Да",MeanMinAge10+'19_Расчет_аналитики'!H4607*SUMIF(ThresholdAge10,"&lt;"&amp;'19_Расчет_аналитики'!H4607,WeightedRevAge10)-SUMIF(ThresholdAge10,"&lt;"&amp;'19_Расчет_аналитики'!H4607,WeightedMinAge10),MAX(CapacityAge10*'01_Вводные'!$B$218*'19_Расчет_аналитики'!H4607,MeanMinAge10))),0)</f>
        <v/>
      </c>
      <c r="I4521">
        <f>IF('01_Вводные'!$B$234="Да",IF(OR('06_Сеть_и_дети'!I90=0,10&lt;='01_Вводные'!$B$297),0,'06_Сеть_и_дети'!I90*IF('01_Вводные'!$B$239="Да",MeanMinAge10+'19_Расчет_аналитики'!I4607*SUMIF(ThresholdAge10,"&lt;"&amp;'19_Расчет_аналитики'!I4607,WeightedRevAge10)-SUMIF(ThresholdAge10,"&lt;"&amp;'19_Расчет_аналитики'!I4607,WeightedMinAge10),MAX(CapacityAge10*'01_Вводные'!$B$218*'19_Расчет_аналитики'!I4607,MeanMinAge10))),0)</f>
        <v/>
      </c>
      <c r="J4521">
        <f>IF('01_Вводные'!$B$234="Да",IF(OR('06_Сеть_и_дети'!J90=0,10&lt;='01_Вводные'!$B$297),0,'06_Сеть_и_дети'!J90*IF('01_Вводные'!$B$239="Да",MeanMinAge10+'19_Расчет_аналитики'!J4607*SUMIF(ThresholdAge10,"&lt;"&amp;'19_Расчет_аналитики'!J4607,WeightedRevAge10)-SUMIF(ThresholdAge10,"&lt;"&amp;'19_Расчет_аналитики'!J4607,WeightedMinAge10),MAX(CapacityAge10*'01_Вводные'!$B$218*'19_Расчет_аналитики'!J4607,MeanMinAge10))),0)</f>
        <v/>
      </c>
      <c r="K4521">
        <f>IF('01_Вводные'!$B$234="Да",IF(OR('19_Расчет_аналитики'!K4493=0,10&lt;='01_Вводные'!$B$297),0,'19_Расчет_аналитики'!K4493*IF('01_Вводные'!$B$239="Да",MeanMinAge10+'19_Расчет_аналитики'!K4607*SUMIF(ThresholdAge10,"&lt;"&amp;'19_Расчет_аналитики'!K4607,WeightedRevAge10)-SUMIF(ThresholdAge10,"&lt;"&amp;'19_Расчет_аналитики'!K4607,WeightedMinAge10),MAX(CapacityAge10*'01_Вводные'!$B$218*'19_Расчет_аналитики'!K4607,MeanMinAge10))),0)</f>
        <v/>
      </c>
      <c r="L4521">
        <f>IF('01_Вводные'!$B$234="Да",IF(OR('19_Расчет_аналитики'!L4493=0,10&lt;='01_Вводные'!$B$297),0,'19_Расчет_аналитики'!L4493*IF('01_Вводные'!$B$239="Да",MeanMinAge10+'19_Расчет_аналитики'!L4607*SUMIF(ThresholdAge10,"&lt;"&amp;'19_Расчет_аналитики'!L4607,WeightedRevAge10)-SUMIF(ThresholdAge10,"&lt;"&amp;'19_Расчет_аналитики'!L4607,WeightedMinAge10),MAX(CapacityAge10*'01_Вводные'!$B$218*'19_Расчет_аналитики'!L4607,MeanMinAge10))),0)</f>
        <v/>
      </c>
      <c r="M4521">
        <f>IF('01_Вводные'!$B$234="Да",IF(OR('19_Расчет_аналитики'!M4493=0,10&lt;='01_Вводные'!$B$297),0,'19_Расчет_аналитики'!M4493*IF('01_Вводные'!$B$239="Да",MeanMinAge10+'19_Расчет_аналитики'!M4607*SUMIF(ThresholdAge10,"&lt;"&amp;'19_Расчет_аналитики'!M4607,WeightedRevAge10)-SUMIF(ThresholdAge10,"&lt;"&amp;'19_Расчет_аналитики'!M4607,WeightedMinAge10),MAX(CapacityAge10*'01_Вводные'!$B$218*'19_Расчет_аналитики'!M4607,MeanMinAge10))),0)</f>
        <v/>
      </c>
      <c r="N4521">
        <f>IF('01_Вводные'!$B$234="Да",IF(OR('19_Расчет_аналитики'!N4493=0,10&lt;='01_Вводные'!$B$297),0,'19_Расчет_аналитики'!N4493*IF('01_Вводные'!$B$239="Да",MeanMinAge10+'19_Расчет_аналитики'!N4607*SUMIF(ThresholdAge10,"&lt;"&amp;'19_Расчет_аналитики'!N4607,WeightedRevAge10)-SUMIF(ThresholdAge10,"&lt;"&amp;'19_Расчет_аналитики'!N4607,WeightedMinAge10),MAX(CapacityAge10*'01_Вводные'!$B$218*'19_Расчет_аналитики'!N4607,MeanMinAge10))),0)</f>
        <v/>
      </c>
      <c r="O4521">
        <f>IF('01_Вводные'!$B$234="Да",IF(OR('19_Расчет_аналитики'!O4493=0,10&lt;='01_Вводные'!$B$297),0,'19_Расчет_аналитики'!O4493*IF('01_Вводные'!$B$239="Да",MeanMinAge10+'19_Расчет_аналитики'!O4607*SUMIF(ThresholdAge10,"&lt;"&amp;'19_Расчет_аналитики'!O4607,WeightedRevAge10)-SUMIF(ThresholdAge10,"&lt;"&amp;'19_Расчет_аналитики'!O4607,WeightedMinAge10),MAX(CapacityAge10*'01_Вводные'!$B$218*'19_Расчет_аналитики'!O4607,MeanMinAge10))),0)</f>
        <v/>
      </c>
      <c r="P4521">
        <f>IF('01_Вводные'!$B$234="Да",IF(OR('19_Расчет_аналитики'!P4493=0,10&lt;='01_Вводные'!$B$297),0,'19_Расчет_аналитики'!P4493*IF('01_Вводные'!$B$239="Да",MeanMinAge10+'19_Расчет_аналитики'!P4607*SUMIF(ThresholdAge10,"&lt;"&amp;'19_Расчет_аналитики'!P4607,WeightedRevAge10)-SUMIF(ThresholdAge10,"&lt;"&amp;'19_Расчет_аналитики'!P4607,WeightedMinAge10),MAX(CapacityAge10*'01_Вводные'!$B$218*'19_Расчет_аналитики'!P4607,MeanMinAge10))),0)</f>
        <v/>
      </c>
      <c r="Q4521">
        <f>IF('01_Вводные'!$B$234="Да",IF(OR('19_Расчет_аналитики'!Q4493=0,10&lt;='01_Вводные'!$B$297),0,'19_Расчет_аналитики'!Q4493*IF('01_Вводные'!$B$239="Да",MeanMinAge10+'19_Расчет_аналитики'!Q4607*SUMIF(ThresholdAge10,"&lt;"&amp;'19_Расчет_аналитики'!Q4607,WeightedRevAge10)-SUMIF(ThresholdAge10,"&lt;"&amp;'19_Расчет_аналитики'!Q4607,WeightedMinAge10),MAX(CapacityAge10*'01_Вводные'!$B$218*'19_Расчет_аналитики'!Q4607,MeanMinAge10))),0)</f>
        <v/>
      </c>
      <c r="R4521">
        <f>IF('01_Вводные'!$B$234="Да",IF(OR('19_Расчет_аналитики'!R4493=0,10&lt;='01_Вводные'!$B$297),0,'19_Расчет_аналитики'!R4493*IF('01_Вводные'!$B$239="Да",MeanMinAge10+'19_Расчет_аналитики'!R4607*SUMIF(ThresholdAge10,"&lt;"&amp;'19_Расчет_аналитики'!R4607,WeightedRevAge10)-SUMIF(ThresholdAge10,"&lt;"&amp;'19_Расчет_аналитики'!R4607,WeightedMinAge10),MAX(CapacityAge10*'01_Вводные'!$B$218*'19_Расчет_аналитики'!R4607,MeanMinAge10))),0)</f>
        <v/>
      </c>
      <c r="S4521">
        <f>IF('01_Вводные'!$B$234="Да",IF(OR('19_Расчет_аналитики'!S4493=0,10&lt;='01_Вводные'!$B$297),0,'19_Расчет_аналитики'!S4493*IF('01_Вводные'!$B$239="Да",MeanMinAge10+'19_Расчет_аналитики'!S4607*SUMIF(ThresholdAge10,"&lt;"&amp;'19_Расчет_аналитики'!S4607,WeightedRevAge10)-SUMIF(ThresholdAge10,"&lt;"&amp;'19_Расчет_аналитики'!S4607,WeightedMinAge10),MAX(CapacityAge10*'01_Вводные'!$B$218*'19_Расчет_аналитики'!S4607,MeanMinAge10))),0)</f>
        <v/>
      </c>
      <c r="T4521">
        <f>IF('01_Вводные'!$B$234="Да",IF(OR('19_Расчет_аналитики'!T4493=0,10&lt;='01_Вводные'!$B$297),0,'19_Расчет_аналитики'!T4493*IF('01_Вводные'!$B$239="Да",MeanMinAge10+'19_Расчет_аналитики'!T4607*SUMIF(ThresholdAge10,"&lt;"&amp;'19_Расчет_аналитики'!T4607,WeightedRevAge10)-SUMIF(ThresholdAge10,"&lt;"&amp;'19_Расчет_аналитики'!T4607,WeightedMinAge10),MAX(CapacityAge10*'01_Вводные'!$B$218*'19_Расчет_аналитики'!T4607,MeanMinAge10))),0)</f>
        <v/>
      </c>
      <c r="U4521">
        <f>IF('01_Вводные'!$B$234="Да",IF(OR('19_Расчет_аналитики'!U4493=0,10&lt;='01_Вводные'!$B$297),0,'19_Расчет_аналитики'!U4493*IF('01_Вводные'!$B$239="Да",MeanMinAge10+'19_Расчет_аналитики'!U4607*SUMIF(ThresholdAge10,"&lt;"&amp;'19_Расчет_аналитики'!U4607,WeightedRevAge10)-SUMIF(ThresholdAge10,"&lt;"&amp;'19_Расчет_аналитики'!U4607,WeightedMinAge10),MAX(CapacityAge10*'01_Вводные'!$B$218*'19_Расчет_аналитики'!U4607,MeanMinAge10))),0)</f>
        <v/>
      </c>
      <c r="V4521">
        <f>IF('01_Вводные'!$B$234="Да",IF(OR('19_Расчет_аналитики'!V4493=0,10&lt;='01_Вводные'!$B$297),0,'19_Расчет_аналитики'!V4493*IF('01_Вводные'!$B$239="Да",MeanMinAge10+'19_Расчет_аналитики'!V4607*SUMIF(ThresholdAge10,"&lt;"&amp;'19_Расчет_аналитики'!V4607,WeightedRevAge10)-SUMIF(ThresholdAge10,"&lt;"&amp;'19_Расчет_аналитики'!V4607,WeightedMinAge10),MAX(CapacityAge10*'01_Вводные'!$B$218*'19_Расчет_аналитики'!V4607,MeanMinAge10))),0)</f>
        <v/>
      </c>
      <c r="W4521">
        <f>IF('01_Вводные'!$B$234="Да",IF(OR('19_Расчет_аналитики'!W4493=0,10&lt;='01_Вводные'!$B$297),0,'19_Расчет_аналитики'!W4493*IF('01_Вводные'!$B$239="Да",MeanMinAge10+'19_Расчет_аналитики'!W4607*SUMIF(ThresholdAge10,"&lt;"&amp;'19_Расчет_аналитики'!W4607,WeightedRevAge10)-SUMIF(ThresholdAge10,"&lt;"&amp;'19_Расчет_аналитики'!W4607,WeightedMinAge10),MAX(CapacityAge10*'01_Вводные'!$B$218*'19_Расчет_аналитики'!W4607,MeanMinAge10))),0)</f>
        <v/>
      </c>
      <c r="X4521">
        <f>IF('01_Вводные'!$B$234="Да",IF(OR('19_Расчет_аналитики'!X4493=0,10&lt;='01_Вводные'!$B$297),0,'19_Расчет_аналитики'!X4493*IF('01_Вводные'!$B$239="Да",MeanMinAge10+'19_Расчет_аналитики'!X4607*SUMIF(ThresholdAge10,"&lt;"&amp;'19_Расчет_аналитики'!X4607,WeightedRevAge10)-SUMIF(ThresholdAge10,"&lt;"&amp;'19_Расчет_аналитики'!X4607,WeightedMinAge10),MAX(CapacityAge10*'01_Вводные'!$B$218*'19_Расчет_аналитики'!X4607,MeanMinAge10))),0)</f>
        <v/>
      </c>
      <c r="Y4521">
        <f>IF('01_Вводные'!$B$234="Да",IF(OR('19_Расчет_аналитики'!Y4493=0,10&lt;='01_Вводные'!$B$297),0,'19_Расчет_аналитики'!Y4493*IF('01_Вводные'!$B$239="Да",MeanMinAge10+'19_Расчет_аналитики'!Y4607*SUMIF(ThresholdAge10,"&lt;"&amp;'19_Расчет_аналитики'!Y4607,WeightedRevAge10)-SUMIF(ThresholdAge10,"&lt;"&amp;'19_Расчет_аналитики'!Y4607,WeightedMinAge10),MAX(CapacityAge10*'01_Вводные'!$B$218*'19_Расчет_аналитики'!Y4607,MeanMinAge10))),0)</f>
        <v/>
      </c>
      <c r="Z4521">
        <f>IF('01_Вводные'!$B$234="Да",IF(OR('19_Расчет_аналитики'!Z4493=0,10&lt;='01_Вводные'!$B$297),0,'19_Расчет_аналитики'!Z4493*IF('01_Вводные'!$B$239="Да",MeanMinAge10+'19_Расчет_аналитики'!Z4607*SUMIF(ThresholdAge10,"&lt;"&amp;'19_Расчет_аналитики'!Z4607,WeightedRevAge10)-SUMIF(ThresholdAge10,"&lt;"&amp;'19_Расчет_аналитики'!Z4607,WeightedMinAge10),MAX(CapacityAge10*'01_Вводные'!$B$218*'19_Расчет_аналитики'!Z4607,MeanMinAge10))),0)</f>
        <v/>
      </c>
      <c r="AA4521">
        <f>IF('01_Вводные'!$B$234="Да",IF(OR('19_Расчет_аналитики'!AA4493=0,10&lt;='01_Вводные'!$B$297),0,'19_Расчет_аналитики'!AA4493*IF('01_Вводные'!$B$239="Да",MeanMinAge10+'19_Расчет_аналитики'!AA4607*SUMIF(ThresholdAge10,"&lt;"&amp;'19_Расчет_аналитики'!AA4607,WeightedRevAge10)-SUMIF(ThresholdAge10,"&lt;"&amp;'19_Расчет_аналитики'!AA4607,WeightedMinAge10),MAX(CapacityAge10*'01_Вводные'!$B$218*'19_Расчет_аналитики'!AA4607,MeanMinAge10))),0)</f>
        <v/>
      </c>
      <c r="AB4521">
        <f>IF('01_Вводные'!$B$234="Да",IF(OR('19_Расчет_аналитики'!AB4493=0,10&lt;='01_Вводные'!$B$297),0,'19_Расчет_аналитики'!AB4493*IF('01_Вводные'!$B$239="Да",MeanMinAge10+'19_Расчет_аналитики'!AB4607*SUMIF(ThresholdAge10,"&lt;"&amp;'19_Расчет_аналитики'!AB4607,WeightedRevAge10)-SUMIF(ThresholdAge10,"&lt;"&amp;'19_Расчет_аналитики'!AB4607,WeightedMinAge10),MAX(CapacityAge10*'01_Вводные'!$B$218*'19_Расчет_аналитики'!AB4607,MeanMinAge10))),0)</f>
        <v/>
      </c>
      <c r="AC4521">
        <f>IF('01_Вводные'!$B$234="Да",IF(OR('19_Расчет_аналитики'!AC4493=0,10&lt;='01_Вводные'!$B$297),0,'19_Расчет_аналитики'!AC4493*IF('01_Вводные'!$B$239="Да",MeanMinAge10+'19_Расчет_аналитики'!AC4607*SUMIF(ThresholdAge10,"&lt;"&amp;'19_Расчет_аналитики'!AC4607,WeightedRevAge10)-SUMIF(ThresholdAge10,"&lt;"&amp;'19_Расчет_аналитики'!AC4607,WeightedMinAge10),MAX(CapacityAge10*'01_Вводные'!$B$218*'19_Расчет_аналитики'!AC4607,MeanMinAge10))),0)</f>
        <v/>
      </c>
      <c r="AD4521">
        <f>IF('01_Вводные'!$B$234="Да",IF(OR('19_Расчет_аналитики'!AD4493=0,10&lt;='01_Вводные'!$B$297),0,'19_Расчет_аналитики'!AD4493*IF('01_Вводные'!$B$239="Да",MeanMinAge10+'19_Расчет_аналитики'!AD4607*SUMIF(ThresholdAge10,"&lt;"&amp;'19_Расчет_аналитики'!AD4607,WeightedRevAge10)-SUMIF(ThresholdAge10,"&lt;"&amp;'19_Расчет_аналитики'!AD4607,WeightedMinAge10),MAX(CapacityAge10*'01_Вводные'!$B$218*'19_Расчет_аналитики'!AD4607,MeanMinAge10))),0)</f>
        <v/>
      </c>
      <c r="AE4521">
        <f>IF('01_Вводные'!$B$234="Да",IF(OR('19_Расчет_аналитики'!AE4493=0,10&lt;='01_Вводные'!$B$297),0,'19_Расчет_аналитики'!AE4493*IF('01_Вводные'!$B$239="Да",MeanMinAge10+'19_Расчет_аналитики'!AE4607*SUMIF(ThresholdAge10,"&lt;"&amp;'19_Расчет_аналитики'!AE4607,WeightedRevAge10)-SUMIF(ThresholdAge10,"&lt;"&amp;'19_Расчет_аналитики'!AE4607,WeightedMinAge10),MAX(CapacityAge10*'01_Вводные'!$B$218*'19_Расчет_аналитики'!AE4607,MeanMinAge10))),0)</f>
        <v/>
      </c>
      <c r="AF4521">
        <f>IF('01_Вводные'!$B$234="Да",IF(OR('19_Расчет_аналитики'!AF4493=0,10&lt;='01_Вводные'!$B$297),0,'19_Расчет_аналитики'!AF4493*IF('01_Вводные'!$B$239="Да",MeanMinAge10+'19_Расчет_аналитики'!AF4607*SUMIF(ThresholdAge10,"&lt;"&amp;'19_Расчет_аналитики'!AF4607,WeightedRevAge10)-SUMIF(ThresholdAge10,"&lt;"&amp;'19_Расчет_аналитики'!AF4607,WeightedMinAge10),MAX(CapacityAge10*'01_Вводные'!$B$218*'19_Расчет_аналитики'!AF4607,MeanMinAge10))),0)</f>
        <v/>
      </c>
      <c r="AG4521">
        <f>IF('01_Вводные'!$B$234="Да",IF(OR('19_Расчет_аналитики'!AG4493=0,10&lt;='01_Вводные'!$B$297),0,'19_Расчет_аналитики'!AG4493*IF('01_Вводные'!$B$239="Да",MeanMinAge10+'19_Расчет_аналитики'!AG4607*SUMIF(ThresholdAge10,"&lt;"&amp;'19_Расчет_аналитики'!AG4607,WeightedRevAge10)-SUMIF(ThresholdAge10,"&lt;"&amp;'19_Расчет_аналитики'!AG4607,WeightedMinAge10),MAX(CapacityAge10*'01_Вводные'!$B$218*'19_Расчет_аналитики'!AG4607,MeanMinAge10))),0)</f>
        <v/>
      </c>
      <c r="AH4521">
        <f>IF('01_Вводные'!$B$234="Да",IF(OR('19_Расчет_аналитики'!AH4493=0,10&lt;='01_Вводные'!$B$297),0,'19_Расчет_аналитики'!AH4493*IF('01_Вводные'!$B$239="Да",MeanMinAge10+'19_Расчет_аналитики'!AH4607*SUMIF(ThresholdAge10,"&lt;"&amp;'19_Расчет_аналитики'!AH4607,WeightedRevAge10)-SUMIF(ThresholdAge10,"&lt;"&amp;'19_Расчет_аналитики'!AH4607,WeightedMinAge10),MAX(CapacityAge10*'01_Вводные'!$B$218*'19_Расчет_аналитики'!AH4607,MeanMinAge10))),0)</f>
        <v/>
      </c>
      <c r="AI4521">
        <f>IF('01_Вводные'!$B$234="Да",IF(OR('19_Расчет_аналитики'!AI4493=0,10&lt;='01_Вводные'!$B$297),0,'19_Расчет_аналитики'!AI4493*IF('01_Вводные'!$B$239="Да",MeanMinAge10+'19_Расчет_аналитики'!AI4607*SUMIF(ThresholdAge10,"&lt;"&amp;'19_Расчет_аналитики'!AI4607,WeightedRevAge10)-SUMIF(ThresholdAge10,"&lt;"&amp;'19_Расчет_аналитики'!AI4607,WeightedMinAge10),MAX(CapacityAge10*'01_Вводные'!$B$218*'19_Расчет_аналитики'!AI4607,MeanMinAge10))),0)</f>
        <v/>
      </c>
      <c r="AJ4521">
        <f>IF('01_Вводные'!$B$234="Да",IF(OR('19_Расчет_аналитики'!AJ4493=0,10&lt;='01_Вводные'!$B$297),0,'19_Расчет_аналитики'!AJ4493*IF('01_Вводные'!$B$239="Да",MeanMinAge10+'19_Расчет_аналитики'!AJ4607*SUMIF(ThresholdAge10,"&lt;"&amp;'19_Расчет_аналитики'!AJ4607,WeightedRevAge10)-SUMIF(ThresholdAge10,"&lt;"&amp;'19_Расчет_аналитики'!AJ4607,WeightedMinAge10),MAX(CapacityAge10*'01_Вводные'!$B$218*'19_Расчет_аналитики'!AJ4607,MeanMinAge10))),0)</f>
        <v/>
      </c>
      <c r="AK4521">
        <f>IF('01_Вводные'!$B$234="Да",IF(OR('19_Расчет_аналитики'!AK4493=0,10&lt;='01_Вводные'!$B$297),0,'19_Расчет_аналитики'!AK4493*IF('01_Вводные'!$B$239="Да",MeanMinAge10+'19_Расчет_аналитики'!AK4607*SUMIF(ThresholdAge10,"&lt;"&amp;'19_Расчет_аналитики'!AK4607,WeightedRevAge10)-SUMIF(ThresholdAge10,"&lt;"&amp;'19_Расчет_аналитики'!AK4607,WeightedMinAge10),MAX(CapacityAge10*'01_Вводные'!$B$218*'19_Расчет_аналитики'!AK4607,MeanMinAge10))),0)</f>
        <v/>
      </c>
      <c r="AL4521">
        <f>IF('01_Вводные'!$B$234="Да",IF(OR('19_Расчет_аналитики'!AL4493=0,10&lt;='01_Вводные'!$B$297),0,'19_Расчет_аналитики'!AL4493*IF('01_Вводные'!$B$239="Да",MeanMinAge10+'19_Расчет_аналитики'!AL4607*SUMIF(ThresholdAge10,"&lt;"&amp;'19_Расчет_аналитики'!AL4607,WeightedRevAge10)-SUMIF(ThresholdAge10,"&lt;"&amp;'19_Расчет_аналитики'!AL4607,WeightedMinAge10),MAX(CapacityAge10*'01_Вводные'!$B$218*'19_Расчет_аналитики'!AL4607,MeanMinAge10))),0)</f>
        <v/>
      </c>
      <c r="AM4521">
        <f>IF('01_Вводные'!$B$234="Да",IF(OR('19_Расчет_аналитики'!AM4493=0,10&lt;='01_Вводные'!$B$297),0,'19_Расчет_аналитики'!AM4493*IF('01_Вводные'!$B$239="Да",MeanMinAge10+'19_Расчет_аналитики'!AM4607*SUMIF(ThresholdAge10,"&lt;"&amp;'19_Расчет_аналитики'!AM4607,WeightedRevAge10)-SUMIF(ThresholdAge10,"&lt;"&amp;'19_Расчет_аналитики'!AM4607,WeightedMinAge10),MAX(CapacityAge10*'01_Вводные'!$B$218*'19_Расчет_аналитики'!AM4607,MeanMinAge10))),0)</f>
        <v/>
      </c>
      <c r="AN4521">
        <f>IF('01_Вводные'!$B$234="Да",IF(OR('19_Расчет_аналитики'!AN4493=0,10&lt;='01_Вводные'!$B$297),0,'19_Расчет_аналитики'!AN4493*IF('01_Вводные'!$B$239="Да",MeanMinAge10+'19_Расчет_аналитики'!AN4607*SUMIF(ThresholdAge10,"&lt;"&amp;'19_Расчет_аналитики'!AN4607,WeightedRevAge10)-SUMIF(ThresholdAge10,"&lt;"&amp;'19_Расчет_аналитики'!AN4607,WeightedMinAge10),MAX(CapacityAge10*'01_Вводные'!$B$218*'19_Расчет_аналитики'!AN4607,MeanMinAge10))),0)</f>
        <v/>
      </c>
      <c r="AO4521">
        <f>IF('01_Вводные'!$B$234="Да",IF(OR('19_Расчет_аналитики'!AO4493=0,10&lt;='01_Вводные'!$B$297),0,'19_Расчет_аналитики'!AO4493*IF('01_Вводные'!$B$239="Да",MeanMinAge10+'19_Расчет_аналитики'!AO4607*SUMIF(ThresholdAge10,"&lt;"&amp;'19_Расчет_аналитики'!AO4607,WeightedRevAge10)-SUMIF(ThresholdAge10,"&lt;"&amp;'19_Расчет_аналитики'!AO4607,WeightedMinAge10),MAX(CapacityAge10*'01_Вводные'!$B$218*'19_Расчет_аналитики'!AO4607,MeanMinAge10))),0)</f>
        <v/>
      </c>
      <c r="AP4521">
        <f>IF('01_Вводные'!$B$234="Да",IF(OR('19_Расчет_аналитики'!AP4493=0,10&lt;='01_Вводные'!$B$297),0,'19_Расчет_аналитики'!AP4493*IF('01_Вводные'!$B$239="Да",MeanMinAge10+'19_Расчет_аналитики'!AP4607*SUMIF(ThresholdAge10,"&lt;"&amp;'19_Расчет_аналитики'!AP4607,WeightedRevAge10)-SUMIF(ThresholdAge10,"&lt;"&amp;'19_Расчет_аналитики'!AP4607,WeightedMinAge10),MAX(CapacityAge10*'01_Вводные'!$B$218*'19_Расчет_аналитики'!AP4607,MeanMinAge10))),0)</f>
        <v/>
      </c>
      <c r="AQ4521">
        <f>IF('01_Вводные'!$B$234="Да",IF(OR('19_Расчет_аналитики'!AQ4493=0,10&lt;='01_Вводные'!$B$297),0,'19_Расчет_аналитики'!AQ4493*IF('01_Вводные'!$B$239="Да",MeanMinAge10+'19_Расчет_аналитики'!AQ4607*SUMIF(ThresholdAge10,"&lt;"&amp;'19_Расчет_аналитики'!AQ4607,WeightedRevAge10)-SUMIF(ThresholdAge10,"&lt;"&amp;'19_Расчет_аналитики'!AQ4607,WeightedMinAge10),MAX(CapacityAge10*'01_Вводные'!$B$218*'19_Расчет_аналитики'!AQ4607,MeanMinAge10))),0)</f>
        <v/>
      </c>
      <c r="AR4521">
        <f>IF('01_Вводные'!$B$234="Да",IF(OR('19_Расчет_аналитики'!AR4493=0,10&lt;='01_Вводные'!$B$297),0,'19_Расчет_аналитики'!AR4493*IF('01_Вводные'!$B$239="Да",MeanMinAge10+'19_Расчет_аналитики'!AR4607*SUMIF(ThresholdAge10,"&lt;"&amp;'19_Расчет_аналитики'!AR4607,WeightedRevAge10)-SUMIF(ThresholdAge10,"&lt;"&amp;'19_Расчет_аналитики'!AR4607,WeightedMinAge10),MAX(CapacityAge10*'01_Вводные'!$B$218*'19_Расчет_аналитики'!AR4607,MeanMinAge10))),0)</f>
        <v/>
      </c>
      <c r="AS4521">
        <f>IF('01_Вводные'!$B$234="Да",IF(OR('19_Расчет_аналитики'!AS4493=0,10&lt;='01_Вводные'!$B$297),0,'19_Расчет_аналитики'!AS4493*IF('01_Вводные'!$B$239="Да",MeanMinAge10+'19_Расчет_аналитики'!AS4607*SUMIF(ThresholdAge10,"&lt;"&amp;'19_Расчет_аналитики'!AS4607,WeightedRevAge10)-SUMIF(ThresholdAge10,"&lt;"&amp;'19_Расчет_аналитики'!AS4607,WeightedMinAge10),MAX(CapacityAge10*'01_Вводные'!$B$218*'19_Расчет_аналитики'!AS4607,MeanMinAge10))),0)</f>
        <v/>
      </c>
      <c r="AT4521">
        <f>IF('01_Вводные'!$B$234="Да",IF(OR('19_Расчет_аналитики'!AT4493=0,10&lt;='01_Вводные'!$B$297),0,'19_Расчет_аналитики'!AT4493*IF('01_Вводные'!$B$239="Да",MeanMinAge10+'19_Расчет_аналитики'!AT4607*SUMIF(ThresholdAge10,"&lt;"&amp;'19_Расчет_аналитики'!AT4607,WeightedRevAge10)-SUMIF(ThresholdAge10,"&lt;"&amp;'19_Расчет_аналитики'!AT4607,WeightedMinAge10),MAX(CapacityAge10*'01_Вводные'!$B$218*'19_Расчет_аналитики'!AT4607,MeanMinAge10))),0)</f>
        <v/>
      </c>
      <c r="AU4521">
        <f>IF('01_Вводные'!$B$234="Да",IF(OR('19_Расчет_аналитики'!AU4493=0,10&lt;='01_Вводные'!$B$297),0,'19_Расчет_аналитики'!AU4493*IF('01_Вводные'!$B$239="Да",MeanMinAge10+'19_Расчет_аналитики'!AU4607*SUMIF(ThresholdAge10,"&lt;"&amp;'19_Расчет_аналитики'!AU4607,WeightedRevAge10)-SUMIF(ThresholdAge10,"&lt;"&amp;'19_Расчет_аналитики'!AU4607,WeightedMinAge10),MAX(CapacityAge10*'01_Вводные'!$B$218*'19_Расчет_аналитики'!AU4607,MeanMinAge10))),0)</f>
        <v/>
      </c>
      <c r="AV4521">
        <f>IF('01_Вводные'!$B$234="Да",IF(OR('19_Расчет_аналитики'!AV4493=0,10&lt;='01_Вводные'!$B$297),0,'19_Расчет_аналитики'!AV4493*IF('01_Вводные'!$B$239="Да",MeanMinAge10+'19_Расчет_аналитики'!AV4607*SUMIF(ThresholdAge10,"&lt;"&amp;'19_Расчет_аналитики'!AV4607,WeightedRevAge10)-SUMIF(ThresholdAge10,"&lt;"&amp;'19_Расчет_аналитики'!AV4607,WeightedMinAge10),MAX(CapacityAge10*'01_Вводные'!$B$218*'19_Расчет_аналитики'!AV4607,MeanMinAge10))),0)</f>
        <v/>
      </c>
      <c r="AW4521">
        <f>IF('01_Вводные'!$B$234="Да",IF(OR('19_Расчет_аналитики'!AW4493=0,10&lt;='01_Вводные'!$B$297),0,'19_Расчет_аналитики'!AW4493*IF('01_Вводные'!$B$239="Да",MeanMinAge10+'19_Расчет_аналитики'!AW4607*SUMIF(ThresholdAge10,"&lt;"&amp;'19_Расчет_аналитики'!AW4607,WeightedRevAge10)-SUMIF(ThresholdAge10,"&lt;"&amp;'19_Расчет_аналитики'!AW4607,WeightedMinAge10),MAX(CapacityAge10*'01_Вводные'!$B$218*'19_Расчет_аналитики'!AW4607,MeanMinAge10))),0)</f>
        <v/>
      </c>
      <c r="AX4521">
        <f>IF('01_Вводные'!$B$234="Да",IF(OR('19_Расчет_аналитики'!AX4493=0,10&lt;='01_Вводные'!$B$297),0,'19_Расчет_аналитики'!AX4493*IF('01_Вводные'!$B$239="Да",MeanMinAge10+'19_Расчет_аналитики'!AX4607*SUMIF(ThresholdAge10,"&lt;"&amp;'19_Расчет_аналитики'!AX4607,WeightedRevAge10)-SUMIF(ThresholdAge10,"&lt;"&amp;'19_Расчет_аналитики'!AX4607,WeightedMinAge10),MAX(CapacityAge10*'01_Вводные'!$B$218*'19_Расчет_аналитики'!AX4607,MeanMinAge10))),0)</f>
        <v/>
      </c>
      <c r="AY4521">
        <f>IF('01_Вводные'!$B$234="Да",IF(OR('19_Расчет_аналитики'!AY4493=0,10&lt;='01_Вводные'!$B$297),0,'19_Расчет_аналитики'!AY4493*IF('01_Вводные'!$B$239="Да",MeanMinAge10+'19_Расчет_аналитики'!AY4607*SUMIF(ThresholdAge10,"&lt;"&amp;'19_Расчет_аналитики'!AY4607,WeightedRevAge10)-SUMIF(ThresholdAge10,"&lt;"&amp;'19_Расчет_аналитики'!AY4607,WeightedMinAge10),MAX(CapacityAge10*'01_Вводные'!$B$218*'19_Расчет_аналитики'!AY4607,MeanMinAge10))),0)</f>
        <v/>
      </c>
      <c r="AZ4521">
        <f>IF('01_Вводные'!$B$234="Да",IF(OR('19_Расчет_аналитики'!AZ4493=0,10&lt;='01_Вводные'!$B$297),0,'19_Расчет_аналитики'!AZ4493*IF('01_Вводные'!$B$239="Да",MeanMinAge10+'19_Расчет_аналитики'!AZ4607*SUMIF(ThresholdAge10,"&lt;"&amp;'19_Расчет_аналитики'!AZ4607,WeightedRevAge10)-SUMIF(ThresholdAge10,"&lt;"&amp;'19_Расчет_аналитики'!AZ4607,WeightedMinAge10),MAX(CapacityAge10*'01_Вводные'!$B$218*'19_Расчет_аналитики'!AZ4607,MeanMinAge10))),0)</f>
        <v/>
      </c>
      <c r="BA4521">
        <f>IF('01_Вводные'!$B$234="Да",IF(OR('19_Расчет_аналитики'!BA4493=0,10&lt;='01_Вводные'!$B$297),0,'19_Расчет_аналитики'!BA4493*IF('01_Вводные'!$B$239="Да",MeanMinAge10+'19_Расчет_аналитики'!BA4607*SUMIF(ThresholdAge10,"&lt;"&amp;'19_Расчет_аналитики'!BA4607,WeightedRevAge10)-SUMIF(ThresholdAge10,"&lt;"&amp;'19_Расчет_аналитики'!BA4607,WeightedMinAge10),MAX(CapacityAge10*'01_Вводные'!$B$218*'19_Расчет_аналитики'!BA4607,MeanMinAge10))),0)</f>
        <v/>
      </c>
      <c r="BB4521">
        <f>IF('01_Вводные'!$B$234="Да",IF(OR('19_Расчет_аналитики'!BB4493=0,10&lt;='01_Вводные'!$B$297),0,'19_Расчет_аналитики'!BB4493*IF('01_Вводные'!$B$239="Да",MeanMinAge10+'19_Расчет_аналитики'!BB4607*SUMIF(ThresholdAge10,"&lt;"&amp;'19_Расчет_аналитики'!BB4607,WeightedRevAge10)-SUMIF(ThresholdAge10,"&lt;"&amp;'19_Расчет_аналитики'!BB4607,WeightedMinAge10),MAX(CapacityAge10*'01_Вводные'!$B$218*'19_Расчет_аналитики'!BB4607,MeanMinAge10))),0)</f>
        <v/>
      </c>
      <c r="BC4521">
        <f>IF('01_Вводные'!$B$234="Да",IF(OR('19_Расчет_аналитики'!BC4493=0,10&lt;='01_Вводные'!$B$297),0,'19_Расчет_аналитики'!BC4493*IF('01_Вводные'!$B$239="Да",MeanMinAge10+'19_Расчет_аналитики'!BC4607*SUMIF(ThresholdAge10,"&lt;"&amp;'19_Расчет_аналитики'!BC4607,WeightedRevAge10)-SUMIF(ThresholdAge10,"&lt;"&amp;'19_Расчет_аналитики'!BC4607,WeightedMinAge10),MAX(CapacityAge10*'01_Вводные'!$B$218*'19_Расчет_аналитики'!BC4607,MeanMinAge10))),0)</f>
        <v/>
      </c>
      <c r="BD4521">
        <f>IF('01_Вводные'!$B$234="Да",IF(OR('19_Расчет_аналитики'!BD4493=0,10&lt;='01_Вводные'!$B$297),0,'19_Расчет_аналитики'!BD4493*IF('01_Вводные'!$B$239="Да",MeanMinAge10+'19_Расчет_аналитики'!BD4607*SUMIF(ThresholdAge10,"&lt;"&amp;'19_Расчет_аналитики'!BD4607,WeightedRevAge10)-SUMIF(ThresholdAge10,"&lt;"&amp;'19_Расчет_аналитики'!BD4607,WeightedMinAge10),MAX(CapacityAge10*'01_Вводные'!$B$218*'19_Расчет_аналитики'!BD4607,MeanMinAge10))),0)</f>
        <v/>
      </c>
      <c r="BE4521">
        <f>IF('01_Вводные'!$B$234="Да",IF(OR('19_Расчет_аналитики'!BE4493=0,10&lt;='01_Вводные'!$B$297),0,'19_Расчет_аналитики'!BE4493*IF('01_Вводные'!$B$239="Да",MeanMinAge10+'19_Расчет_аналитики'!BE4607*SUMIF(ThresholdAge10,"&lt;"&amp;'19_Расчет_аналитики'!BE4607,WeightedRevAge10)-SUMIF(ThresholdAge10,"&lt;"&amp;'19_Расчет_аналитики'!BE4607,WeightedMinAge10),MAX(CapacityAge10*'01_Вводные'!$B$218*'19_Расчет_аналитики'!BE4607,MeanMinAge10))),0)</f>
        <v/>
      </c>
      <c r="BF4521">
        <f>IF('01_Вводные'!$B$234="Да",IF(OR('19_Расчет_аналитики'!BF4493=0,10&lt;='01_Вводные'!$B$297),0,'19_Расчет_аналитики'!BF4493*IF('01_Вводные'!$B$239="Да",MeanMinAge10+'19_Расчет_аналитики'!BF4607*SUMIF(ThresholdAge10,"&lt;"&amp;'19_Расчет_аналитики'!BF4607,WeightedRevAge10)-SUMIF(ThresholdAge10,"&lt;"&amp;'19_Расчет_аналитики'!BF4607,WeightedMinAge10),MAX(CapacityAge10*'01_Вводные'!$B$218*'19_Расчет_аналитики'!BF4607,MeanMinAge10))),0)</f>
        <v/>
      </c>
      <c r="BG4521">
        <f>IF('01_Вводные'!$B$234="Да",IF(OR('19_Расчет_аналитики'!BG4493=0,10&lt;='01_Вводные'!$B$297),0,'19_Расчет_аналитики'!BG4493*IF('01_Вводные'!$B$239="Да",MeanMinAge10+'19_Расчет_аналитики'!BG4607*SUMIF(ThresholdAge10,"&lt;"&amp;'19_Расчет_аналитики'!BG4607,WeightedRevAge10)-SUMIF(ThresholdAge10,"&lt;"&amp;'19_Расчет_аналитики'!BG4607,WeightedMinAge10),MAX(CapacityAge10*'01_Вводные'!$B$218*'19_Расчет_аналитики'!BG4607,MeanMinAge10))),0)</f>
        <v/>
      </c>
      <c r="BH4521">
        <f>IF('01_Вводные'!$B$234="Да",IF(OR('19_Расчет_аналитики'!BH4493=0,10&lt;='01_Вводные'!$B$297),0,'19_Расчет_аналитики'!BH4493*IF('01_Вводные'!$B$239="Да",MeanMinAge10+'19_Расчет_аналитики'!BH4607*SUMIF(ThresholdAge10,"&lt;"&amp;'19_Расчет_аналитики'!BH4607,WeightedRevAge10)-SUMIF(ThresholdAge10,"&lt;"&amp;'19_Расчет_аналитики'!BH4607,WeightedMinAge10),MAX(CapacityAge10*'01_Вводные'!$B$218*'19_Расчет_аналитики'!BH4607,MeanMinAge10))),0)</f>
        <v/>
      </c>
      <c r="BI4521">
        <f>IF('01_Вводные'!$B$234="Да",IF(OR('19_Расчет_аналитики'!BI4493=0,10&lt;='01_Вводные'!$B$297),0,'19_Расчет_аналитики'!BI4493*IF('01_Вводные'!$B$239="Да",MeanMinAge10+'19_Расчет_аналитики'!BI4607*SUMIF(ThresholdAge10,"&lt;"&amp;'19_Расчет_аналитики'!BI4607,WeightedRevAge10)-SUMIF(ThresholdAge10,"&lt;"&amp;'19_Расчет_аналитики'!BI4607,WeightedMinAge10),MAX(CapacityAge10*'01_Вводные'!$B$218*'19_Расчет_аналитики'!BI4607,MeanMinAge10))),0)</f>
        <v/>
      </c>
      <c r="BJ4521">
        <f>IF('01_Вводные'!$B$234="Да",IF(OR('19_Расчет_аналитики'!BJ4493=0,10&lt;='01_Вводные'!$B$297),0,'19_Расчет_аналитики'!BJ4493*IF('01_Вводные'!$B$239="Да",MeanMinAge10+'19_Расчет_аналитики'!BJ4607*SUMIF(ThresholdAge10,"&lt;"&amp;'19_Расчет_аналитики'!BJ4607,WeightedRevAge10)-SUMIF(ThresholdAge10,"&lt;"&amp;'19_Расчет_аналитики'!BJ4607,WeightedMinAge10),MAX(CapacityAge10*'01_Вводные'!$B$218*'19_Расчет_аналитики'!BJ4607,MeanMinAge10))),0)</f>
        <v/>
      </c>
      <c r="BK4521">
        <f>IF('01_Вводные'!$B$234="Да",IF(OR('19_Расчет_аналитики'!BK4493=0,10&lt;='01_Вводные'!$B$297),0,'19_Расчет_аналитики'!BK4493*IF('01_Вводные'!$B$239="Да",MeanMinAge10+'19_Расчет_аналитики'!BK4607*SUMIF(ThresholdAge10,"&lt;"&amp;'19_Расчет_аналитики'!BK4607,WeightedRevAge10)-SUMIF(ThresholdAge10,"&lt;"&amp;'19_Расчет_аналитики'!BK4607,WeightedMinAge10),MAX(CapacityAge10*'01_Вводные'!$B$218*'19_Расчет_аналитики'!BK4607,MeanMinAge10))),0)</f>
        <v/>
      </c>
      <c r="BL4521">
        <f>IF('01_Вводные'!$B$234="Да",IF(OR('19_Расчет_аналитики'!BL4493=0,10&lt;='01_Вводные'!$B$297),0,'19_Расчет_аналитики'!BL4493*IF('01_Вводные'!$B$239="Да",MeanMinAge10+'19_Расчет_аналитики'!BL4607*SUMIF(ThresholdAge10,"&lt;"&amp;'19_Расчет_аналитики'!BL4607,WeightedRevAge10)-SUMIF(ThresholdAge10,"&lt;"&amp;'19_Расчет_аналитики'!BL4607,WeightedMinAge10),MAX(CapacityAge10*'01_Вводные'!$B$218*'19_Расчет_аналитики'!BL4607,MeanMinAge10))),0)</f>
        <v/>
      </c>
      <c r="BM4521">
        <f>IF('01_Вводные'!$B$234="Да",IF(OR('19_Расчет_аналитики'!BM4493=0,10&lt;='01_Вводные'!$B$297),0,'19_Расчет_аналитики'!BM4493*IF('01_Вводные'!$B$239="Да",MeanMinAge10+'19_Расчет_аналитики'!BM4607*SUMIF(ThresholdAge10,"&lt;"&amp;'19_Расчет_аналитики'!BM4607,WeightedRevAge10)-SUMIF(ThresholdAge10,"&lt;"&amp;'19_Расчет_аналитики'!BM4607,WeightedMinAge10),MAX(CapacityAge10*'01_Вводные'!$B$218*'19_Расчет_аналитики'!BM4607,MeanMinAge10))),0)</f>
        <v/>
      </c>
      <c r="BN4521">
        <f>IF('01_Вводные'!$B$234="Да",IF(OR('19_Расчет_аналитики'!BN4493=0,10&lt;='01_Вводные'!$B$297),0,'19_Расчет_аналитики'!BN4493*IF('01_Вводные'!$B$239="Да",MeanMinAge10+'19_Расчет_аналитики'!BN4607*SUMIF(ThresholdAge10,"&lt;"&amp;'19_Расчет_аналитики'!BN4607,WeightedRevAge10)-SUMIF(ThresholdAge10,"&lt;"&amp;'19_Расчет_аналитики'!BN4607,WeightedMinAge10),MAX(CapacityAge10*'01_Вводные'!$B$218*'19_Расчет_аналитики'!BN4607,MeanMinAge10))),0)</f>
        <v/>
      </c>
      <c r="BO4521">
        <f>IF('01_Вводные'!$B$234="Да",IF(OR('19_Расчет_аналитики'!BO4493=0,10&lt;='01_Вводные'!$B$297),0,'19_Расчет_аналитики'!BO4493*IF('01_Вводные'!$B$239="Да",MeanMinAge10+'19_Расчет_аналитики'!BO4607*SUMIF(ThresholdAge10,"&lt;"&amp;'19_Расчет_аналитики'!BO4607,WeightedRevAge10)-SUMIF(ThresholdAge10,"&lt;"&amp;'19_Расчет_аналитики'!BO4607,WeightedMinAge10),MAX(CapacityAge10*'01_Вводные'!$B$218*'19_Расчет_аналитики'!BO4607,MeanMinAge10))),0)</f>
        <v/>
      </c>
    </row>
    <row r="4522">
      <c r="B4522">
        <f>IF('01_Вводные'!$B$234="Да",IF(OR('06_Сеть_и_дети'!B91=0,11&lt;='01_Вводные'!$B$297),0,'06_Сеть_и_дети'!B91*IF('01_Вводные'!$B$239="Да",MeanMinAge11+'19_Расчет_аналитики'!B4607*SUMIF(ThresholdAge11,"&lt;"&amp;'19_Расчет_аналитики'!B4607,WeightedRevAge11)-SUMIF(ThresholdAge11,"&lt;"&amp;'19_Расчет_аналитики'!B4607,WeightedMinAge11),MAX(CapacityAge11*'01_Вводные'!$B$218*'19_Расчет_аналитики'!B4607,MeanMinAge11))),0)</f>
        <v/>
      </c>
      <c r="C4522">
        <f>IF('01_Вводные'!$B$234="Да",IF(OR('06_Сеть_и_дети'!C91=0,11&lt;='01_Вводные'!$B$297),0,'06_Сеть_и_дети'!C91*IF('01_Вводные'!$B$239="Да",MeanMinAge11+'19_Расчет_аналитики'!C4607*SUMIF(ThresholdAge11,"&lt;"&amp;'19_Расчет_аналитики'!C4607,WeightedRevAge11)-SUMIF(ThresholdAge11,"&lt;"&amp;'19_Расчет_аналитики'!C4607,WeightedMinAge11),MAX(CapacityAge11*'01_Вводные'!$B$218*'19_Расчет_аналитики'!C4607,MeanMinAge11))),0)</f>
        <v/>
      </c>
      <c r="D4522">
        <f>IF('01_Вводные'!$B$234="Да",IF(OR('06_Сеть_и_дети'!D91=0,11&lt;='01_Вводные'!$B$297),0,'06_Сеть_и_дети'!D91*IF('01_Вводные'!$B$239="Да",MeanMinAge11+'19_Расчет_аналитики'!D4607*SUMIF(ThresholdAge11,"&lt;"&amp;'19_Расчет_аналитики'!D4607,WeightedRevAge11)-SUMIF(ThresholdAge11,"&lt;"&amp;'19_Расчет_аналитики'!D4607,WeightedMinAge11),MAX(CapacityAge11*'01_Вводные'!$B$218*'19_Расчет_аналитики'!D4607,MeanMinAge11))),0)</f>
        <v/>
      </c>
      <c r="E4522">
        <f>IF('01_Вводные'!$B$234="Да",IF(OR('06_Сеть_и_дети'!E91=0,11&lt;='01_Вводные'!$B$297),0,'06_Сеть_и_дети'!E91*IF('01_Вводные'!$B$239="Да",MeanMinAge11+'19_Расчет_аналитики'!E4607*SUMIF(ThresholdAge11,"&lt;"&amp;'19_Расчет_аналитики'!E4607,WeightedRevAge11)-SUMIF(ThresholdAge11,"&lt;"&amp;'19_Расчет_аналитики'!E4607,WeightedMinAge11),MAX(CapacityAge11*'01_Вводные'!$B$218*'19_Расчет_аналитики'!E4607,MeanMinAge11))),0)</f>
        <v/>
      </c>
      <c r="F4522">
        <f>IF('01_Вводные'!$B$234="Да",IF(OR('06_Сеть_и_дети'!F91=0,11&lt;='01_Вводные'!$B$297),0,'06_Сеть_и_дети'!F91*IF('01_Вводные'!$B$239="Да",MeanMinAge11+'19_Расчет_аналитики'!F4607*SUMIF(ThresholdAge11,"&lt;"&amp;'19_Расчет_аналитики'!F4607,WeightedRevAge11)-SUMIF(ThresholdAge11,"&lt;"&amp;'19_Расчет_аналитики'!F4607,WeightedMinAge11),MAX(CapacityAge11*'01_Вводные'!$B$218*'19_Расчет_аналитики'!F4607,MeanMinAge11))),0)</f>
        <v/>
      </c>
      <c r="G4522">
        <f>IF('01_Вводные'!$B$234="Да",IF(OR('06_Сеть_и_дети'!G91=0,11&lt;='01_Вводные'!$B$297),0,'06_Сеть_и_дети'!G91*IF('01_Вводные'!$B$239="Да",MeanMinAge11+'19_Расчет_аналитики'!G4607*SUMIF(ThresholdAge11,"&lt;"&amp;'19_Расчет_аналитики'!G4607,WeightedRevAge11)-SUMIF(ThresholdAge11,"&lt;"&amp;'19_Расчет_аналитики'!G4607,WeightedMinAge11),MAX(CapacityAge11*'01_Вводные'!$B$218*'19_Расчет_аналитики'!G4607,MeanMinAge11))),0)</f>
        <v/>
      </c>
      <c r="H4522">
        <f>IF('01_Вводные'!$B$234="Да",IF(OR('06_Сеть_и_дети'!H91=0,11&lt;='01_Вводные'!$B$297),0,'06_Сеть_и_дети'!H91*IF('01_Вводные'!$B$239="Да",MeanMinAge11+'19_Расчет_аналитики'!H4607*SUMIF(ThresholdAge11,"&lt;"&amp;'19_Расчет_аналитики'!H4607,WeightedRevAge11)-SUMIF(ThresholdAge11,"&lt;"&amp;'19_Расчет_аналитики'!H4607,WeightedMinAge11),MAX(CapacityAge11*'01_Вводные'!$B$218*'19_Расчет_аналитики'!H4607,MeanMinAge11))),0)</f>
        <v/>
      </c>
      <c r="I4522">
        <f>IF('01_Вводные'!$B$234="Да",IF(OR('06_Сеть_и_дети'!I91=0,11&lt;='01_Вводные'!$B$297),0,'06_Сеть_и_дети'!I91*IF('01_Вводные'!$B$239="Да",MeanMinAge11+'19_Расчет_аналитики'!I4607*SUMIF(ThresholdAge11,"&lt;"&amp;'19_Расчет_аналитики'!I4607,WeightedRevAge11)-SUMIF(ThresholdAge11,"&lt;"&amp;'19_Расчет_аналитики'!I4607,WeightedMinAge11),MAX(CapacityAge11*'01_Вводные'!$B$218*'19_Расчет_аналитики'!I4607,MeanMinAge11))),0)</f>
        <v/>
      </c>
      <c r="J4522">
        <f>IF('01_Вводные'!$B$234="Да",IF(OR('06_Сеть_и_дети'!J91=0,11&lt;='01_Вводные'!$B$297),0,'06_Сеть_и_дети'!J91*IF('01_Вводные'!$B$239="Да",MeanMinAge11+'19_Расчет_аналитики'!J4607*SUMIF(ThresholdAge11,"&lt;"&amp;'19_Расчет_аналитики'!J4607,WeightedRevAge11)-SUMIF(ThresholdAge11,"&lt;"&amp;'19_Расчет_аналитики'!J4607,WeightedMinAge11),MAX(CapacityAge11*'01_Вводные'!$B$218*'19_Расчет_аналитики'!J4607,MeanMinAge11))),0)</f>
        <v/>
      </c>
      <c r="K4522">
        <f>IF('01_Вводные'!$B$234="Да",IF(OR('06_Сеть_и_дети'!K91=0,11&lt;='01_Вводные'!$B$297),0,'06_Сеть_и_дети'!K91*IF('01_Вводные'!$B$239="Да",MeanMinAge11+'19_Расчет_аналитики'!K4607*SUMIF(ThresholdAge11,"&lt;"&amp;'19_Расчет_аналитики'!K4607,WeightedRevAge11)-SUMIF(ThresholdAge11,"&lt;"&amp;'19_Расчет_аналитики'!K4607,WeightedMinAge11),MAX(CapacityAge11*'01_Вводные'!$B$218*'19_Расчет_аналитики'!K4607,MeanMinAge11))),0)</f>
        <v/>
      </c>
      <c r="L4522">
        <f>IF('01_Вводные'!$B$234="Да",IF(OR('19_Расчет_аналитики'!L4494=0,11&lt;='01_Вводные'!$B$297),0,'19_Расчет_аналитики'!L4494*IF('01_Вводные'!$B$239="Да",MeanMinAge11+'19_Расчет_аналитики'!L4607*SUMIF(ThresholdAge11,"&lt;"&amp;'19_Расчет_аналитики'!L4607,WeightedRevAge11)-SUMIF(ThresholdAge11,"&lt;"&amp;'19_Расчет_аналитики'!L4607,WeightedMinAge11),MAX(CapacityAge11*'01_Вводные'!$B$218*'19_Расчет_аналитики'!L4607,MeanMinAge11))),0)</f>
        <v/>
      </c>
      <c r="M4522">
        <f>IF('01_Вводные'!$B$234="Да",IF(OR('19_Расчет_аналитики'!M4494=0,11&lt;='01_Вводные'!$B$297),0,'19_Расчет_аналитики'!M4494*IF('01_Вводные'!$B$239="Да",MeanMinAge11+'19_Расчет_аналитики'!M4607*SUMIF(ThresholdAge11,"&lt;"&amp;'19_Расчет_аналитики'!M4607,WeightedRevAge11)-SUMIF(ThresholdAge11,"&lt;"&amp;'19_Расчет_аналитики'!M4607,WeightedMinAge11),MAX(CapacityAge11*'01_Вводные'!$B$218*'19_Расчет_аналитики'!M4607,MeanMinAge11))),0)</f>
        <v/>
      </c>
      <c r="N4522">
        <f>IF('01_Вводные'!$B$234="Да",IF(OR('19_Расчет_аналитики'!N4494=0,11&lt;='01_Вводные'!$B$297),0,'19_Расчет_аналитики'!N4494*IF('01_Вводные'!$B$239="Да",MeanMinAge11+'19_Расчет_аналитики'!N4607*SUMIF(ThresholdAge11,"&lt;"&amp;'19_Расчет_аналитики'!N4607,WeightedRevAge11)-SUMIF(ThresholdAge11,"&lt;"&amp;'19_Расчет_аналитики'!N4607,WeightedMinAge11),MAX(CapacityAge11*'01_Вводные'!$B$218*'19_Расчет_аналитики'!N4607,MeanMinAge11))),0)</f>
        <v/>
      </c>
      <c r="O4522">
        <f>IF('01_Вводные'!$B$234="Да",IF(OR('19_Расчет_аналитики'!O4494=0,11&lt;='01_Вводные'!$B$297),0,'19_Расчет_аналитики'!O4494*IF('01_Вводные'!$B$239="Да",MeanMinAge11+'19_Расчет_аналитики'!O4607*SUMIF(ThresholdAge11,"&lt;"&amp;'19_Расчет_аналитики'!O4607,WeightedRevAge11)-SUMIF(ThresholdAge11,"&lt;"&amp;'19_Расчет_аналитики'!O4607,WeightedMinAge11),MAX(CapacityAge11*'01_Вводные'!$B$218*'19_Расчет_аналитики'!O4607,MeanMinAge11))),0)</f>
        <v/>
      </c>
      <c r="P4522">
        <f>IF('01_Вводные'!$B$234="Да",IF(OR('19_Расчет_аналитики'!P4494=0,11&lt;='01_Вводные'!$B$297),0,'19_Расчет_аналитики'!P4494*IF('01_Вводные'!$B$239="Да",MeanMinAge11+'19_Расчет_аналитики'!P4607*SUMIF(ThresholdAge11,"&lt;"&amp;'19_Расчет_аналитики'!P4607,WeightedRevAge11)-SUMIF(ThresholdAge11,"&lt;"&amp;'19_Расчет_аналитики'!P4607,WeightedMinAge11),MAX(CapacityAge11*'01_Вводные'!$B$218*'19_Расчет_аналитики'!P4607,MeanMinAge11))),0)</f>
        <v/>
      </c>
      <c r="Q4522">
        <f>IF('01_Вводные'!$B$234="Да",IF(OR('19_Расчет_аналитики'!Q4494=0,11&lt;='01_Вводные'!$B$297),0,'19_Расчет_аналитики'!Q4494*IF('01_Вводные'!$B$239="Да",MeanMinAge11+'19_Расчет_аналитики'!Q4607*SUMIF(ThresholdAge11,"&lt;"&amp;'19_Расчет_аналитики'!Q4607,WeightedRevAge11)-SUMIF(ThresholdAge11,"&lt;"&amp;'19_Расчет_аналитики'!Q4607,WeightedMinAge11),MAX(CapacityAge11*'01_Вводные'!$B$218*'19_Расчет_аналитики'!Q4607,MeanMinAge11))),0)</f>
        <v/>
      </c>
      <c r="R4522">
        <f>IF('01_Вводные'!$B$234="Да",IF(OR('19_Расчет_аналитики'!R4494=0,11&lt;='01_Вводные'!$B$297),0,'19_Расчет_аналитики'!R4494*IF('01_Вводные'!$B$239="Да",MeanMinAge11+'19_Расчет_аналитики'!R4607*SUMIF(ThresholdAge11,"&lt;"&amp;'19_Расчет_аналитики'!R4607,WeightedRevAge11)-SUMIF(ThresholdAge11,"&lt;"&amp;'19_Расчет_аналитики'!R4607,WeightedMinAge11),MAX(CapacityAge11*'01_Вводные'!$B$218*'19_Расчет_аналитики'!R4607,MeanMinAge11))),0)</f>
        <v/>
      </c>
      <c r="S4522">
        <f>IF('01_Вводные'!$B$234="Да",IF(OR('19_Расчет_аналитики'!S4494=0,11&lt;='01_Вводные'!$B$297),0,'19_Расчет_аналитики'!S4494*IF('01_Вводные'!$B$239="Да",MeanMinAge11+'19_Расчет_аналитики'!S4607*SUMIF(ThresholdAge11,"&lt;"&amp;'19_Расчет_аналитики'!S4607,WeightedRevAge11)-SUMIF(ThresholdAge11,"&lt;"&amp;'19_Расчет_аналитики'!S4607,WeightedMinAge11),MAX(CapacityAge11*'01_Вводные'!$B$218*'19_Расчет_аналитики'!S4607,MeanMinAge11))),0)</f>
        <v/>
      </c>
      <c r="T4522">
        <f>IF('01_Вводные'!$B$234="Да",IF(OR('19_Расчет_аналитики'!T4494=0,11&lt;='01_Вводные'!$B$297),0,'19_Расчет_аналитики'!T4494*IF('01_Вводные'!$B$239="Да",MeanMinAge11+'19_Расчет_аналитики'!T4607*SUMIF(ThresholdAge11,"&lt;"&amp;'19_Расчет_аналитики'!T4607,WeightedRevAge11)-SUMIF(ThresholdAge11,"&lt;"&amp;'19_Расчет_аналитики'!T4607,WeightedMinAge11),MAX(CapacityAge11*'01_Вводные'!$B$218*'19_Расчет_аналитики'!T4607,MeanMinAge11))),0)</f>
        <v/>
      </c>
      <c r="U4522">
        <f>IF('01_Вводные'!$B$234="Да",IF(OR('19_Расчет_аналитики'!U4494=0,11&lt;='01_Вводные'!$B$297),0,'19_Расчет_аналитики'!U4494*IF('01_Вводные'!$B$239="Да",MeanMinAge11+'19_Расчет_аналитики'!U4607*SUMIF(ThresholdAge11,"&lt;"&amp;'19_Расчет_аналитики'!U4607,WeightedRevAge11)-SUMIF(ThresholdAge11,"&lt;"&amp;'19_Расчет_аналитики'!U4607,WeightedMinAge11),MAX(CapacityAge11*'01_Вводные'!$B$218*'19_Расчет_аналитики'!U4607,MeanMinAge11))),0)</f>
        <v/>
      </c>
      <c r="V4522">
        <f>IF('01_Вводные'!$B$234="Да",IF(OR('19_Расчет_аналитики'!V4494=0,11&lt;='01_Вводные'!$B$297),0,'19_Расчет_аналитики'!V4494*IF('01_Вводные'!$B$239="Да",MeanMinAge11+'19_Расчет_аналитики'!V4607*SUMIF(ThresholdAge11,"&lt;"&amp;'19_Расчет_аналитики'!V4607,WeightedRevAge11)-SUMIF(ThresholdAge11,"&lt;"&amp;'19_Расчет_аналитики'!V4607,WeightedMinAge11),MAX(CapacityAge11*'01_Вводные'!$B$218*'19_Расчет_аналитики'!V4607,MeanMinAge11))),0)</f>
        <v/>
      </c>
      <c r="W4522">
        <f>IF('01_Вводные'!$B$234="Да",IF(OR('19_Расчет_аналитики'!W4494=0,11&lt;='01_Вводные'!$B$297),0,'19_Расчет_аналитики'!W4494*IF('01_Вводные'!$B$239="Да",MeanMinAge11+'19_Расчет_аналитики'!W4607*SUMIF(ThresholdAge11,"&lt;"&amp;'19_Расчет_аналитики'!W4607,WeightedRevAge11)-SUMIF(ThresholdAge11,"&lt;"&amp;'19_Расчет_аналитики'!W4607,WeightedMinAge11),MAX(CapacityAge11*'01_Вводные'!$B$218*'19_Расчет_аналитики'!W4607,MeanMinAge11))),0)</f>
        <v/>
      </c>
      <c r="X4522">
        <f>IF('01_Вводные'!$B$234="Да",IF(OR('19_Расчет_аналитики'!X4494=0,11&lt;='01_Вводные'!$B$297),0,'19_Расчет_аналитики'!X4494*IF('01_Вводные'!$B$239="Да",MeanMinAge11+'19_Расчет_аналитики'!X4607*SUMIF(ThresholdAge11,"&lt;"&amp;'19_Расчет_аналитики'!X4607,WeightedRevAge11)-SUMIF(ThresholdAge11,"&lt;"&amp;'19_Расчет_аналитики'!X4607,WeightedMinAge11),MAX(CapacityAge11*'01_Вводные'!$B$218*'19_Расчет_аналитики'!X4607,MeanMinAge11))),0)</f>
        <v/>
      </c>
      <c r="Y4522">
        <f>IF('01_Вводные'!$B$234="Да",IF(OR('19_Расчет_аналитики'!Y4494=0,11&lt;='01_Вводные'!$B$297),0,'19_Расчет_аналитики'!Y4494*IF('01_Вводные'!$B$239="Да",MeanMinAge11+'19_Расчет_аналитики'!Y4607*SUMIF(ThresholdAge11,"&lt;"&amp;'19_Расчет_аналитики'!Y4607,WeightedRevAge11)-SUMIF(ThresholdAge11,"&lt;"&amp;'19_Расчет_аналитики'!Y4607,WeightedMinAge11),MAX(CapacityAge11*'01_Вводные'!$B$218*'19_Расчет_аналитики'!Y4607,MeanMinAge11))),0)</f>
        <v/>
      </c>
      <c r="Z4522">
        <f>IF('01_Вводные'!$B$234="Да",IF(OR('19_Расчет_аналитики'!Z4494=0,11&lt;='01_Вводные'!$B$297),0,'19_Расчет_аналитики'!Z4494*IF('01_Вводные'!$B$239="Да",MeanMinAge11+'19_Расчет_аналитики'!Z4607*SUMIF(ThresholdAge11,"&lt;"&amp;'19_Расчет_аналитики'!Z4607,WeightedRevAge11)-SUMIF(ThresholdAge11,"&lt;"&amp;'19_Расчет_аналитики'!Z4607,WeightedMinAge11),MAX(CapacityAge11*'01_Вводные'!$B$218*'19_Расчет_аналитики'!Z4607,MeanMinAge11))),0)</f>
        <v/>
      </c>
      <c r="AA4522">
        <f>IF('01_Вводные'!$B$234="Да",IF(OR('19_Расчет_аналитики'!AA4494=0,11&lt;='01_Вводные'!$B$297),0,'19_Расчет_аналитики'!AA4494*IF('01_Вводные'!$B$239="Да",MeanMinAge11+'19_Расчет_аналитики'!AA4607*SUMIF(ThresholdAge11,"&lt;"&amp;'19_Расчет_аналитики'!AA4607,WeightedRevAge11)-SUMIF(ThresholdAge11,"&lt;"&amp;'19_Расчет_аналитики'!AA4607,WeightedMinAge11),MAX(CapacityAge11*'01_Вводные'!$B$218*'19_Расчет_аналитики'!AA4607,MeanMinAge11))),0)</f>
        <v/>
      </c>
      <c r="AB4522">
        <f>IF('01_Вводные'!$B$234="Да",IF(OR('19_Расчет_аналитики'!AB4494=0,11&lt;='01_Вводные'!$B$297),0,'19_Расчет_аналитики'!AB4494*IF('01_Вводные'!$B$239="Да",MeanMinAge11+'19_Расчет_аналитики'!AB4607*SUMIF(ThresholdAge11,"&lt;"&amp;'19_Расчет_аналитики'!AB4607,WeightedRevAge11)-SUMIF(ThresholdAge11,"&lt;"&amp;'19_Расчет_аналитики'!AB4607,WeightedMinAge11),MAX(CapacityAge11*'01_Вводные'!$B$218*'19_Расчет_аналитики'!AB4607,MeanMinAge11))),0)</f>
        <v/>
      </c>
      <c r="AC4522">
        <f>IF('01_Вводные'!$B$234="Да",IF(OR('19_Расчет_аналитики'!AC4494=0,11&lt;='01_Вводные'!$B$297),0,'19_Расчет_аналитики'!AC4494*IF('01_Вводные'!$B$239="Да",MeanMinAge11+'19_Расчет_аналитики'!AC4607*SUMIF(ThresholdAge11,"&lt;"&amp;'19_Расчет_аналитики'!AC4607,WeightedRevAge11)-SUMIF(ThresholdAge11,"&lt;"&amp;'19_Расчет_аналитики'!AC4607,WeightedMinAge11),MAX(CapacityAge11*'01_Вводные'!$B$218*'19_Расчет_аналитики'!AC4607,MeanMinAge11))),0)</f>
        <v/>
      </c>
      <c r="AD4522">
        <f>IF('01_Вводные'!$B$234="Да",IF(OR('19_Расчет_аналитики'!AD4494=0,11&lt;='01_Вводные'!$B$297),0,'19_Расчет_аналитики'!AD4494*IF('01_Вводные'!$B$239="Да",MeanMinAge11+'19_Расчет_аналитики'!AD4607*SUMIF(ThresholdAge11,"&lt;"&amp;'19_Расчет_аналитики'!AD4607,WeightedRevAge11)-SUMIF(ThresholdAge11,"&lt;"&amp;'19_Расчет_аналитики'!AD4607,WeightedMinAge11),MAX(CapacityAge11*'01_Вводные'!$B$218*'19_Расчет_аналитики'!AD4607,MeanMinAge11))),0)</f>
        <v/>
      </c>
      <c r="AE4522">
        <f>IF('01_Вводные'!$B$234="Да",IF(OR('19_Расчет_аналитики'!AE4494=0,11&lt;='01_Вводные'!$B$297),0,'19_Расчет_аналитики'!AE4494*IF('01_Вводные'!$B$239="Да",MeanMinAge11+'19_Расчет_аналитики'!AE4607*SUMIF(ThresholdAge11,"&lt;"&amp;'19_Расчет_аналитики'!AE4607,WeightedRevAge11)-SUMIF(ThresholdAge11,"&lt;"&amp;'19_Расчет_аналитики'!AE4607,WeightedMinAge11),MAX(CapacityAge11*'01_Вводные'!$B$218*'19_Расчет_аналитики'!AE4607,MeanMinAge11))),0)</f>
        <v/>
      </c>
      <c r="AF4522">
        <f>IF('01_Вводные'!$B$234="Да",IF(OR('19_Расчет_аналитики'!AF4494=0,11&lt;='01_Вводные'!$B$297),0,'19_Расчет_аналитики'!AF4494*IF('01_Вводные'!$B$239="Да",MeanMinAge11+'19_Расчет_аналитики'!AF4607*SUMIF(ThresholdAge11,"&lt;"&amp;'19_Расчет_аналитики'!AF4607,WeightedRevAge11)-SUMIF(ThresholdAge11,"&lt;"&amp;'19_Расчет_аналитики'!AF4607,WeightedMinAge11),MAX(CapacityAge11*'01_Вводные'!$B$218*'19_Расчет_аналитики'!AF4607,MeanMinAge11))),0)</f>
        <v/>
      </c>
      <c r="AG4522">
        <f>IF('01_Вводные'!$B$234="Да",IF(OR('19_Расчет_аналитики'!AG4494=0,11&lt;='01_Вводные'!$B$297),0,'19_Расчет_аналитики'!AG4494*IF('01_Вводные'!$B$239="Да",MeanMinAge11+'19_Расчет_аналитики'!AG4607*SUMIF(ThresholdAge11,"&lt;"&amp;'19_Расчет_аналитики'!AG4607,WeightedRevAge11)-SUMIF(ThresholdAge11,"&lt;"&amp;'19_Расчет_аналитики'!AG4607,WeightedMinAge11),MAX(CapacityAge11*'01_Вводные'!$B$218*'19_Расчет_аналитики'!AG4607,MeanMinAge11))),0)</f>
        <v/>
      </c>
      <c r="AH4522">
        <f>IF('01_Вводные'!$B$234="Да",IF(OR('19_Расчет_аналитики'!AH4494=0,11&lt;='01_Вводные'!$B$297),0,'19_Расчет_аналитики'!AH4494*IF('01_Вводные'!$B$239="Да",MeanMinAge11+'19_Расчет_аналитики'!AH4607*SUMIF(ThresholdAge11,"&lt;"&amp;'19_Расчет_аналитики'!AH4607,WeightedRevAge11)-SUMIF(ThresholdAge11,"&lt;"&amp;'19_Расчет_аналитики'!AH4607,WeightedMinAge11),MAX(CapacityAge11*'01_Вводные'!$B$218*'19_Расчет_аналитики'!AH4607,MeanMinAge11))),0)</f>
        <v/>
      </c>
      <c r="AI4522">
        <f>IF('01_Вводные'!$B$234="Да",IF(OR('19_Расчет_аналитики'!AI4494=0,11&lt;='01_Вводные'!$B$297),0,'19_Расчет_аналитики'!AI4494*IF('01_Вводные'!$B$239="Да",MeanMinAge11+'19_Расчет_аналитики'!AI4607*SUMIF(ThresholdAge11,"&lt;"&amp;'19_Расчет_аналитики'!AI4607,WeightedRevAge11)-SUMIF(ThresholdAge11,"&lt;"&amp;'19_Расчет_аналитики'!AI4607,WeightedMinAge11),MAX(CapacityAge11*'01_Вводные'!$B$218*'19_Расчет_аналитики'!AI4607,MeanMinAge11))),0)</f>
        <v/>
      </c>
      <c r="AJ4522">
        <f>IF('01_Вводные'!$B$234="Да",IF(OR('19_Расчет_аналитики'!AJ4494=0,11&lt;='01_Вводные'!$B$297),0,'19_Расчет_аналитики'!AJ4494*IF('01_Вводные'!$B$239="Да",MeanMinAge11+'19_Расчет_аналитики'!AJ4607*SUMIF(ThresholdAge11,"&lt;"&amp;'19_Расчет_аналитики'!AJ4607,WeightedRevAge11)-SUMIF(ThresholdAge11,"&lt;"&amp;'19_Расчет_аналитики'!AJ4607,WeightedMinAge11),MAX(CapacityAge11*'01_Вводные'!$B$218*'19_Расчет_аналитики'!AJ4607,MeanMinAge11))),0)</f>
        <v/>
      </c>
      <c r="AK4522">
        <f>IF('01_Вводные'!$B$234="Да",IF(OR('19_Расчет_аналитики'!AK4494=0,11&lt;='01_Вводные'!$B$297),0,'19_Расчет_аналитики'!AK4494*IF('01_Вводные'!$B$239="Да",MeanMinAge11+'19_Расчет_аналитики'!AK4607*SUMIF(ThresholdAge11,"&lt;"&amp;'19_Расчет_аналитики'!AK4607,WeightedRevAge11)-SUMIF(ThresholdAge11,"&lt;"&amp;'19_Расчет_аналитики'!AK4607,WeightedMinAge11),MAX(CapacityAge11*'01_Вводные'!$B$218*'19_Расчет_аналитики'!AK4607,MeanMinAge11))),0)</f>
        <v/>
      </c>
      <c r="AL4522">
        <f>IF('01_Вводные'!$B$234="Да",IF(OR('19_Расчет_аналитики'!AL4494=0,11&lt;='01_Вводные'!$B$297),0,'19_Расчет_аналитики'!AL4494*IF('01_Вводные'!$B$239="Да",MeanMinAge11+'19_Расчет_аналитики'!AL4607*SUMIF(ThresholdAge11,"&lt;"&amp;'19_Расчет_аналитики'!AL4607,WeightedRevAge11)-SUMIF(ThresholdAge11,"&lt;"&amp;'19_Расчет_аналитики'!AL4607,WeightedMinAge11),MAX(CapacityAge11*'01_Вводные'!$B$218*'19_Расчет_аналитики'!AL4607,MeanMinAge11))),0)</f>
        <v/>
      </c>
      <c r="AM4522">
        <f>IF('01_Вводные'!$B$234="Да",IF(OR('19_Расчет_аналитики'!AM4494=0,11&lt;='01_Вводные'!$B$297),0,'19_Расчет_аналитики'!AM4494*IF('01_Вводные'!$B$239="Да",MeanMinAge11+'19_Расчет_аналитики'!AM4607*SUMIF(ThresholdAge11,"&lt;"&amp;'19_Расчет_аналитики'!AM4607,WeightedRevAge11)-SUMIF(ThresholdAge11,"&lt;"&amp;'19_Расчет_аналитики'!AM4607,WeightedMinAge11),MAX(CapacityAge11*'01_Вводные'!$B$218*'19_Расчет_аналитики'!AM4607,MeanMinAge11))),0)</f>
        <v/>
      </c>
      <c r="AN4522">
        <f>IF('01_Вводные'!$B$234="Да",IF(OR('19_Расчет_аналитики'!AN4494=0,11&lt;='01_Вводные'!$B$297),0,'19_Расчет_аналитики'!AN4494*IF('01_Вводные'!$B$239="Да",MeanMinAge11+'19_Расчет_аналитики'!AN4607*SUMIF(ThresholdAge11,"&lt;"&amp;'19_Расчет_аналитики'!AN4607,WeightedRevAge11)-SUMIF(ThresholdAge11,"&lt;"&amp;'19_Расчет_аналитики'!AN4607,WeightedMinAge11),MAX(CapacityAge11*'01_Вводные'!$B$218*'19_Расчет_аналитики'!AN4607,MeanMinAge11))),0)</f>
        <v/>
      </c>
      <c r="AO4522">
        <f>IF('01_Вводные'!$B$234="Да",IF(OR('19_Расчет_аналитики'!AO4494=0,11&lt;='01_Вводные'!$B$297),0,'19_Расчет_аналитики'!AO4494*IF('01_Вводные'!$B$239="Да",MeanMinAge11+'19_Расчет_аналитики'!AO4607*SUMIF(ThresholdAge11,"&lt;"&amp;'19_Расчет_аналитики'!AO4607,WeightedRevAge11)-SUMIF(ThresholdAge11,"&lt;"&amp;'19_Расчет_аналитики'!AO4607,WeightedMinAge11),MAX(CapacityAge11*'01_Вводные'!$B$218*'19_Расчет_аналитики'!AO4607,MeanMinAge11))),0)</f>
        <v/>
      </c>
      <c r="AP4522">
        <f>IF('01_Вводные'!$B$234="Да",IF(OR('19_Расчет_аналитики'!AP4494=0,11&lt;='01_Вводные'!$B$297),0,'19_Расчет_аналитики'!AP4494*IF('01_Вводные'!$B$239="Да",MeanMinAge11+'19_Расчет_аналитики'!AP4607*SUMIF(ThresholdAge11,"&lt;"&amp;'19_Расчет_аналитики'!AP4607,WeightedRevAge11)-SUMIF(ThresholdAge11,"&lt;"&amp;'19_Расчет_аналитики'!AP4607,WeightedMinAge11),MAX(CapacityAge11*'01_Вводные'!$B$218*'19_Расчет_аналитики'!AP4607,MeanMinAge11))),0)</f>
        <v/>
      </c>
      <c r="AQ4522">
        <f>IF('01_Вводные'!$B$234="Да",IF(OR('19_Расчет_аналитики'!AQ4494=0,11&lt;='01_Вводные'!$B$297),0,'19_Расчет_аналитики'!AQ4494*IF('01_Вводные'!$B$239="Да",MeanMinAge11+'19_Расчет_аналитики'!AQ4607*SUMIF(ThresholdAge11,"&lt;"&amp;'19_Расчет_аналитики'!AQ4607,WeightedRevAge11)-SUMIF(ThresholdAge11,"&lt;"&amp;'19_Расчет_аналитики'!AQ4607,WeightedMinAge11),MAX(CapacityAge11*'01_Вводные'!$B$218*'19_Расчет_аналитики'!AQ4607,MeanMinAge11))),0)</f>
        <v/>
      </c>
      <c r="AR4522">
        <f>IF('01_Вводные'!$B$234="Да",IF(OR('19_Расчет_аналитики'!AR4494=0,11&lt;='01_Вводные'!$B$297),0,'19_Расчет_аналитики'!AR4494*IF('01_Вводные'!$B$239="Да",MeanMinAge11+'19_Расчет_аналитики'!AR4607*SUMIF(ThresholdAge11,"&lt;"&amp;'19_Расчет_аналитики'!AR4607,WeightedRevAge11)-SUMIF(ThresholdAge11,"&lt;"&amp;'19_Расчет_аналитики'!AR4607,WeightedMinAge11),MAX(CapacityAge11*'01_Вводные'!$B$218*'19_Расчет_аналитики'!AR4607,MeanMinAge11))),0)</f>
        <v/>
      </c>
      <c r="AS4522">
        <f>IF('01_Вводные'!$B$234="Да",IF(OR('19_Расчет_аналитики'!AS4494=0,11&lt;='01_Вводные'!$B$297),0,'19_Расчет_аналитики'!AS4494*IF('01_Вводные'!$B$239="Да",MeanMinAge11+'19_Расчет_аналитики'!AS4607*SUMIF(ThresholdAge11,"&lt;"&amp;'19_Расчет_аналитики'!AS4607,WeightedRevAge11)-SUMIF(ThresholdAge11,"&lt;"&amp;'19_Расчет_аналитики'!AS4607,WeightedMinAge11),MAX(CapacityAge11*'01_Вводные'!$B$218*'19_Расчет_аналитики'!AS4607,MeanMinAge11))),0)</f>
        <v/>
      </c>
      <c r="AT4522">
        <f>IF('01_Вводные'!$B$234="Да",IF(OR('19_Расчет_аналитики'!AT4494=0,11&lt;='01_Вводные'!$B$297),0,'19_Расчет_аналитики'!AT4494*IF('01_Вводные'!$B$239="Да",MeanMinAge11+'19_Расчет_аналитики'!AT4607*SUMIF(ThresholdAge11,"&lt;"&amp;'19_Расчет_аналитики'!AT4607,WeightedRevAge11)-SUMIF(ThresholdAge11,"&lt;"&amp;'19_Расчет_аналитики'!AT4607,WeightedMinAge11),MAX(CapacityAge11*'01_Вводные'!$B$218*'19_Расчет_аналитики'!AT4607,MeanMinAge11))),0)</f>
        <v/>
      </c>
      <c r="AU4522">
        <f>IF('01_Вводные'!$B$234="Да",IF(OR('19_Расчет_аналитики'!AU4494=0,11&lt;='01_Вводные'!$B$297),0,'19_Расчет_аналитики'!AU4494*IF('01_Вводные'!$B$239="Да",MeanMinAge11+'19_Расчет_аналитики'!AU4607*SUMIF(ThresholdAge11,"&lt;"&amp;'19_Расчет_аналитики'!AU4607,WeightedRevAge11)-SUMIF(ThresholdAge11,"&lt;"&amp;'19_Расчет_аналитики'!AU4607,WeightedMinAge11),MAX(CapacityAge11*'01_Вводные'!$B$218*'19_Расчет_аналитики'!AU4607,MeanMinAge11))),0)</f>
        <v/>
      </c>
      <c r="AV4522">
        <f>IF('01_Вводные'!$B$234="Да",IF(OR('19_Расчет_аналитики'!AV4494=0,11&lt;='01_Вводные'!$B$297),0,'19_Расчет_аналитики'!AV4494*IF('01_Вводные'!$B$239="Да",MeanMinAge11+'19_Расчет_аналитики'!AV4607*SUMIF(ThresholdAge11,"&lt;"&amp;'19_Расчет_аналитики'!AV4607,WeightedRevAge11)-SUMIF(ThresholdAge11,"&lt;"&amp;'19_Расчет_аналитики'!AV4607,WeightedMinAge11),MAX(CapacityAge11*'01_Вводные'!$B$218*'19_Расчет_аналитики'!AV4607,MeanMinAge11))),0)</f>
        <v/>
      </c>
      <c r="AW4522">
        <f>IF('01_Вводные'!$B$234="Да",IF(OR('19_Расчет_аналитики'!AW4494=0,11&lt;='01_Вводные'!$B$297),0,'19_Расчет_аналитики'!AW4494*IF('01_Вводные'!$B$239="Да",MeanMinAge11+'19_Расчет_аналитики'!AW4607*SUMIF(ThresholdAge11,"&lt;"&amp;'19_Расчет_аналитики'!AW4607,WeightedRevAge11)-SUMIF(ThresholdAge11,"&lt;"&amp;'19_Расчет_аналитики'!AW4607,WeightedMinAge11),MAX(CapacityAge11*'01_Вводные'!$B$218*'19_Расчет_аналитики'!AW4607,MeanMinAge11))),0)</f>
        <v/>
      </c>
      <c r="AX4522">
        <f>IF('01_Вводные'!$B$234="Да",IF(OR('19_Расчет_аналитики'!AX4494=0,11&lt;='01_Вводные'!$B$297),0,'19_Расчет_аналитики'!AX4494*IF('01_Вводные'!$B$239="Да",MeanMinAge11+'19_Расчет_аналитики'!AX4607*SUMIF(ThresholdAge11,"&lt;"&amp;'19_Расчет_аналитики'!AX4607,WeightedRevAge11)-SUMIF(ThresholdAge11,"&lt;"&amp;'19_Расчет_аналитики'!AX4607,WeightedMinAge11),MAX(CapacityAge11*'01_Вводные'!$B$218*'19_Расчет_аналитики'!AX4607,MeanMinAge11))),0)</f>
        <v/>
      </c>
      <c r="AY4522">
        <f>IF('01_Вводные'!$B$234="Да",IF(OR('19_Расчет_аналитики'!AY4494=0,11&lt;='01_Вводные'!$B$297),0,'19_Расчет_аналитики'!AY4494*IF('01_Вводные'!$B$239="Да",MeanMinAge11+'19_Расчет_аналитики'!AY4607*SUMIF(ThresholdAge11,"&lt;"&amp;'19_Расчет_аналитики'!AY4607,WeightedRevAge11)-SUMIF(ThresholdAge11,"&lt;"&amp;'19_Расчет_аналитики'!AY4607,WeightedMinAge11),MAX(CapacityAge11*'01_Вводные'!$B$218*'19_Расчет_аналитики'!AY4607,MeanMinAge11))),0)</f>
        <v/>
      </c>
      <c r="AZ4522">
        <f>IF('01_Вводные'!$B$234="Да",IF(OR('19_Расчет_аналитики'!AZ4494=0,11&lt;='01_Вводные'!$B$297),0,'19_Расчет_аналитики'!AZ4494*IF('01_Вводные'!$B$239="Да",MeanMinAge11+'19_Расчет_аналитики'!AZ4607*SUMIF(ThresholdAge11,"&lt;"&amp;'19_Расчет_аналитики'!AZ4607,WeightedRevAge11)-SUMIF(ThresholdAge11,"&lt;"&amp;'19_Расчет_аналитики'!AZ4607,WeightedMinAge11),MAX(CapacityAge11*'01_Вводные'!$B$218*'19_Расчет_аналитики'!AZ4607,MeanMinAge11))),0)</f>
        <v/>
      </c>
      <c r="BA4522">
        <f>IF('01_Вводные'!$B$234="Да",IF(OR('19_Расчет_аналитики'!BA4494=0,11&lt;='01_Вводные'!$B$297),0,'19_Расчет_аналитики'!BA4494*IF('01_Вводные'!$B$239="Да",MeanMinAge11+'19_Расчет_аналитики'!BA4607*SUMIF(ThresholdAge11,"&lt;"&amp;'19_Расчет_аналитики'!BA4607,WeightedRevAge11)-SUMIF(ThresholdAge11,"&lt;"&amp;'19_Расчет_аналитики'!BA4607,WeightedMinAge11),MAX(CapacityAge11*'01_Вводные'!$B$218*'19_Расчет_аналитики'!BA4607,MeanMinAge11))),0)</f>
        <v/>
      </c>
      <c r="BB4522">
        <f>IF('01_Вводные'!$B$234="Да",IF(OR('19_Расчет_аналитики'!BB4494=0,11&lt;='01_Вводные'!$B$297),0,'19_Расчет_аналитики'!BB4494*IF('01_Вводные'!$B$239="Да",MeanMinAge11+'19_Расчет_аналитики'!BB4607*SUMIF(ThresholdAge11,"&lt;"&amp;'19_Расчет_аналитики'!BB4607,WeightedRevAge11)-SUMIF(ThresholdAge11,"&lt;"&amp;'19_Расчет_аналитики'!BB4607,WeightedMinAge11),MAX(CapacityAge11*'01_Вводные'!$B$218*'19_Расчет_аналитики'!BB4607,MeanMinAge11))),0)</f>
        <v/>
      </c>
      <c r="BC4522">
        <f>IF('01_Вводные'!$B$234="Да",IF(OR('19_Расчет_аналитики'!BC4494=0,11&lt;='01_Вводные'!$B$297),0,'19_Расчет_аналитики'!BC4494*IF('01_Вводные'!$B$239="Да",MeanMinAge11+'19_Расчет_аналитики'!BC4607*SUMIF(ThresholdAge11,"&lt;"&amp;'19_Расчет_аналитики'!BC4607,WeightedRevAge11)-SUMIF(ThresholdAge11,"&lt;"&amp;'19_Расчет_аналитики'!BC4607,WeightedMinAge11),MAX(CapacityAge11*'01_Вводные'!$B$218*'19_Расчет_аналитики'!BC4607,MeanMinAge11))),0)</f>
        <v/>
      </c>
      <c r="BD4522">
        <f>IF('01_Вводные'!$B$234="Да",IF(OR('19_Расчет_аналитики'!BD4494=0,11&lt;='01_Вводные'!$B$297),0,'19_Расчет_аналитики'!BD4494*IF('01_Вводные'!$B$239="Да",MeanMinAge11+'19_Расчет_аналитики'!BD4607*SUMIF(ThresholdAge11,"&lt;"&amp;'19_Расчет_аналитики'!BD4607,WeightedRevAge11)-SUMIF(ThresholdAge11,"&lt;"&amp;'19_Расчет_аналитики'!BD4607,WeightedMinAge11),MAX(CapacityAge11*'01_Вводные'!$B$218*'19_Расчет_аналитики'!BD4607,MeanMinAge11))),0)</f>
        <v/>
      </c>
      <c r="BE4522">
        <f>IF('01_Вводные'!$B$234="Да",IF(OR('19_Расчет_аналитики'!BE4494=0,11&lt;='01_Вводные'!$B$297),0,'19_Расчет_аналитики'!BE4494*IF('01_Вводные'!$B$239="Да",MeanMinAge11+'19_Расчет_аналитики'!BE4607*SUMIF(ThresholdAge11,"&lt;"&amp;'19_Расчет_аналитики'!BE4607,WeightedRevAge11)-SUMIF(ThresholdAge11,"&lt;"&amp;'19_Расчет_аналитики'!BE4607,WeightedMinAge11),MAX(CapacityAge11*'01_Вводные'!$B$218*'19_Расчет_аналитики'!BE4607,MeanMinAge11))),0)</f>
        <v/>
      </c>
      <c r="BF4522">
        <f>IF('01_Вводные'!$B$234="Да",IF(OR('19_Расчет_аналитики'!BF4494=0,11&lt;='01_Вводные'!$B$297),0,'19_Расчет_аналитики'!BF4494*IF('01_Вводные'!$B$239="Да",MeanMinAge11+'19_Расчет_аналитики'!BF4607*SUMIF(ThresholdAge11,"&lt;"&amp;'19_Расчет_аналитики'!BF4607,WeightedRevAge11)-SUMIF(ThresholdAge11,"&lt;"&amp;'19_Расчет_аналитики'!BF4607,WeightedMinAge11),MAX(CapacityAge11*'01_Вводные'!$B$218*'19_Расчет_аналитики'!BF4607,MeanMinAge11))),0)</f>
        <v/>
      </c>
      <c r="BG4522">
        <f>IF('01_Вводные'!$B$234="Да",IF(OR('19_Расчет_аналитики'!BG4494=0,11&lt;='01_Вводные'!$B$297),0,'19_Расчет_аналитики'!BG4494*IF('01_Вводные'!$B$239="Да",MeanMinAge11+'19_Расчет_аналитики'!BG4607*SUMIF(ThresholdAge11,"&lt;"&amp;'19_Расчет_аналитики'!BG4607,WeightedRevAge11)-SUMIF(ThresholdAge11,"&lt;"&amp;'19_Расчет_аналитики'!BG4607,WeightedMinAge11),MAX(CapacityAge11*'01_Вводные'!$B$218*'19_Расчет_аналитики'!BG4607,MeanMinAge11))),0)</f>
        <v/>
      </c>
      <c r="BH4522">
        <f>IF('01_Вводные'!$B$234="Да",IF(OR('19_Расчет_аналитики'!BH4494=0,11&lt;='01_Вводные'!$B$297),0,'19_Расчет_аналитики'!BH4494*IF('01_Вводные'!$B$239="Да",MeanMinAge11+'19_Расчет_аналитики'!BH4607*SUMIF(ThresholdAge11,"&lt;"&amp;'19_Расчет_аналитики'!BH4607,WeightedRevAge11)-SUMIF(ThresholdAge11,"&lt;"&amp;'19_Расчет_аналитики'!BH4607,WeightedMinAge11),MAX(CapacityAge11*'01_Вводные'!$B$218*'19_Расчет_аналитики'!BH4607,MeanMinAge11))),0)</f>
        <v/>
      </c>
      <c r="BI4522">
        <f>IF('01_Вводные'!$B$234="Да",IF(OR('19_Расчет_аналитики'!BI4494=0,11&lt;='01_Вводные'!$B$297),0,'19_Расчет_аналитики'!BI4494*IF('01_Вводные'!$B$239="Да",MeanMinAge11+'19_Расчет_аналитики'!BI4607*SUMIF(ThresholdAge11,"&lt;"&amp;'19_Расчет_аналитики'!BI4607,WeightedRevAge11)-SUMIF(ThresholdAge11,"&lt;"&amp;'19_Расчет_аналитики'!BI4607,WeightedMinAge11),MAX(CapacityAge11*'01_Вводные'!$B$218*'19_Расчет_аналитики'!BI4607,MeanMinAge11))),0)</f>
        <v/>
      </c>
      <c r="BJ4522">
        <f>IF('01_Вводные'!$B$234="Да",IF(OR('19_Расчет_аналитики'!BJ4494=0,11&lt;='01_Вводные'!$B$297),0,'19_Расчет_аналитики'!BJ4494*IF('01_Вводные'!$B$239="Да",MeanMinAge11+'19_Расчет_аналитики'!BJ4607*SUMIF(ThresholdAge11,"&lt;"&amp;'19_Расчет_аналитики'!BJ4607,WeightedRevAge11)-SUMIF(ThresholdAge11,"&lt;"&amp;'19_Расчет_аналитики'!BJ4607,WeightedMinAge11),MAX(CapacityAge11*'01_Вводные'!$B$218*'19_Расчет_аналитики'!BJ4607,MeanMinAge11))),0)</f>
        <v/>
      </c>
      <c r="BK4522">
        <f>IF('01_Вводные'!$B$234="Да",IF(OR('19_Расчет_аналитики'!BK4494=0,11&lt;='01_Вводные'!$B$297),0,'19_Расчет_аналитики'!BK4494*IF('01_Вводные'!$B$239="Да",MeanMinAge11+'19_Расчет_аналитики'!BK4607*SUMIF(ThresholdAge11,"&lt;"&amp;'19_Расчет_аналитики'!BK4607,WeightedRevAge11)-SUMIF(ThresholdAge11,"&lt;"&amp;'19_Расчет_аналитики'!BK4607,WeightedMinAge11),MAX(CapacityAge11*'01_Вводные'!$B$218*'19_Расчет_аналитики'!BK4607,MeanMinAge11))),0)</f>
        <v/>
      </c>
      <c r="BL4522">
        <f>IF('01_Вводные'!$B$234="Да",IF(OR('19_Расчет_аналитики'!BL4494=0,11&lt;='01_Вводные'!$B$297),0,'19_Расчет_аналитики'!BL4494*IF('01_Вводные'!$B$239="Да",MeanMinAge11+'19_Расчет_аналитики'!BL4607*SUMIF(ThresholdAge11,"&lt;"&amp;'19_Расчет_аналитики'!BL4607,WeightedRevAge11)-SUMIF(ThresholdAge11,"&lt;"&amp;'19_Расчет_аналитики'!BL4607,WeightedMinAge11),MAX(CapacityAge11*'01_Вводные'!$B$218*'19_Расчет_аналитики'!BL4607,MeanMinAge11))),0)</f>
        <v/>
      </c>
      <c r="BM4522">
        <f>IF('01_Вводные'!$B$234="Да",IF(OR('19_Расчет_аналитики'!BM4494=0,11&lt;='01_Вводные'!$B$297),0,'19_Расчет_аналитики'!BM4494*IF('01_Вводные'!$B$239="Да",MeanMinAge11+'19_Расчет_аналитики'!BM4607*SUMIF(ThresholdAge11,"&lt;"&amp;'19_Расчет_аналитики'!BM4607,WeightedRevAge11)-SUMIF(ThresholdAge11,"&lt;"&amp;'19_Расчет_аналитики'!BM4607,WeightedMinAge11),MAX(CapacityAge11*'01_Вводные'!$B$218*'19_Расчет_аналитики'!BM4607,MeanMinAge11))),0)</f>
        <v/>
      </c>
      <c r="BN4522">
        <f>IF('01_Вводные'!$B$234="Да",IF(OR('19_Расчет_аналитики'!BN4494=0,11&lt;='01_Вводные'!$B$297),0,'19_Расчет_аналитики'!BN4494*IF('01_Вводные'!$B$239="Да",MeanMinAge11+'19_Расчет_аналитики'!BN4607*SUMIF(ThresholdAge11,"&lt;"&amp;'19_Расчет_аналитики'!BN4607,WeightedRevAge11)-SUMIF(ThresholdAge11,"&lt;"&amp;'19_Расчет_аналитики'!BN4607,WeightedMinAge11),MAX(CapacityAge11*'01_Вводные'!$B$218*'19_Расчет_аналитики'!BN4607,MeanMinAge11))),0)</f>
        <v/>
      </c>
      <c r="BO4522">
        <f>IF('01_Вводные'!$B$234="Да",IF(OR('19_Расчет_аналитики'!BO4494=0,11&lt;='01_Вводные'!$B$297),0,'19_Расчет_аналитики'!BO4494*IF('01_Вводные'!$B$239="Да",MeanMinAge11+'19_Расчет_аналитики'!BO4607*SUMIF(ThresholdAge11,"&lt;"&amp;'19_Расчет_аналитики'!BO4607,WeightedRevAge11)-SUMIF(ThresholdAge11,"&lt;"&amp;'19_Расчет_аналитики'!BO4607,WeightedMinAge11),MAX(CapacityAge11*'01_Вводные'!$B$218*'19_Расчет_аналитики'!BO4607,MeanMinAge11))),0)</f>
        <v/>
      </c>
    </row>
    <row r="4523">
      <c r="B4523">
        <f>IF('01_Вводные'!$B$234="Да",IF(OR('06_Сеть_и_дети'!B92=0,12&lt;='01_Вводные'!$B$297),0,'06_Сеть_и_дети'!B92*IF('01_Вводные'!$B$239="Да",MeanMinAge12+'19_Расчет_аналитики'!B4607*SUMIF(ThresholdAge12,"&lt;"&amp;'19_Расчет_аналитики'!B4607,WeightedRevAge12)-SUMIF(ThresholdAge12,"&lt;"&amp;'19_Расчет_аналитики'!B4607,WeightedMinAge12),MAX(CapacityAge12*'01_Вводные'!$B$218*'19_Расчет_аналитики'!B4607,MeanMinAge12))),0)</f>
        <v/>
      </c>
      <c r="C4523">
        <f>IF('01_Вводные'!$B$234="Да",IF(OR('06_Сеть_и_дети'!C92=0,12&lt;='01_Вводные'!$B$297),0,'06_Сеть_и_дети'!C92*IF('01_Вводные'!$B$239="Да",MeanMinAge12+'19_Расчет_аналитики'!C4607*SUMIF(ThresholdAge12,"&lt;"&amp;'19_Расчет_аналитики'!C4607,WeightedRevAge12)-SUMIF(ThresholdAge12,"&lt;"&amp;'19_Расчет_аналитики'!C4607,WeightedMinAge12),MAX(CapacityAge12*'01_Вводные'!$B$218*'19_Расчет_аналитики'!C4607,MeanMinAge12))),0)</f>
        <v/>
      </c>
      <c r="D4523">
        <f>IF('01_Вводные'!$B$234="Да",IF(OR('06_Сеть_и_дети'!D92=0,12&lt;='01_Вводные'!$B$297),0,'06_Сеть_и_дети'!D92*IF('01_Вводные'!$B$239="Да",MeanMinAge12+'19_Расчет_аналитики'!D4607*SUMIF(ThresholdAge12,"&lt;"&amp;'19_Расчет_аналитики'!D4607,WeightedRevAge12)-SUMIF(ThresholdAge12,"&lt;"&amp;'19_Расчет_аналитики'!D4607,WeightedMinAge12),MAX(CapacityAge12*'01_Вводные'!$B$218*'19_Расчет_аналитики'!D4607,MeanMinAge12))),0)</f>
        <v/>
      </c>
      <c r="E4523">
        <f>IF('01_Вводные'!$B$234="Да",IF(OR('06_Сеть_и_дети'!E92=0,12&lt;='01_Вводные'!$B$297),0,'06_Сеть_и_дети'!E92*IF('01_Вводные'!$B$239="Да",MeanMinAge12+'19_Расчет_аналитики'!E4607*SUMIF(ThresholdAge12,"&lt;"&amp;'19_Расчет_аналитики'!E4607,WeightedRevAge12)-SUMIF(ThresholdAge12,"&lt;"&amp;'19_Расчет_аналитики'!E4607,WeightedMinAge12),MAX(CapacityAge12*'01_Вводные'!$B$218*'19_Расчет_аналитики'!E4607,MeanMinAge12))),0)</f>
        <v/>
      </c>
      <c r="F4523">
        <f>IF('01_Вводные'!$B$234="Да",IF(OR('06_Сеть_и_дети'!F92=0,12&lt;='01_Вводные'!$B$297),0,'06_Сеть_и_дети'!F92*IF('01_Вводные'!$B$239="Да",MeanMinAge12+'19_Расчет_аналитики'!F4607*SUMIF(ThresholdAge12,"&lt;"&amp;'19_Расчет_аналитики'!F4607,WeightedRevAge12)-SUMIF(ThresholdAge12,"&lt;"&amp;'19_Расчет_аналитики'!F4607,WeightedMinAge12),MAX(CapacityAge12*'01_Вводные'!$B$218*'19_Расчет_аналитики'!F4607,MeanMinAge12))),0)</f>
        <v/>
      </c>
      <c r="G4523">
        <f>IF('01_Вводные'!$B$234="Да",IF(OR('06_Сеть_и_дети'!G92=0,12&lt;='01_Вводные'!$B$297),0,'06_Сеть_и_дети'!G92*IF('01_Вводные'!$B$239="Да",MeanMinAge12+'19_Расчет_аналитики'!G4607*SUMIF(ThresholdAge12,"&lt;"&amp;'19_Расчет_аналитики'!G4607,WeightedRevAge12)-SUMIF(ThresholdAge12,"&lt;"&amp;'19_Расчет_аналитики'!G4607,WeightedMinAge12),MAX(CapacityAge12*'01_Вводные'!$B$218*'19_Расчет_аналитики'!G4607,MeanMinAge12))),0)</f>
        <v/>
      </c>
      <c r="H4523">
        <f>IF('01_Вводные'!$B$234="Да",IF(OR('06_Сеть_и_дети'!H92=0,12&lt;='01_Вводные'!$B$297),0,'06_Сеть_и_дети'!H92*IF('01_Вводные'!$B$239="Да",MeanMinAge12+'19_Расчет_аналитики'!H4607*SUMIF(ThresholdAge12,"&lt;"&amp;'19_Расчет_аналитики'!H4607,WeightedRevAge12)-SUMIF(ThresholdAge12,"&lt;"&amp;'19_Расчет_аналитики'!H4607,WeightedMinAge12),MAX(CapacityAge12*'01_Вводные'!$B$218*'19_Расчет_аналитики'!H4607,MeanMinAge12))),0)</f>
        <v/>
      </c>
      <c r="I4523">
        <f>IF('01_Вводные'!$B$234="Да",IF(OR('06_Сеть_и_дети'!I92=0,12&lt;='01_Вводные'!$B$297),0,'06_Сеть_и_дети'!I92*IF('01_Вводные'!$B$239="Да",MeanMinAge12+'19_Расчет_аналитики'!I4607*SUMIF(ThresholdAge12,"&lt;"&amp;'19_Расчет_аналитики'!I4607,WeightedRevAge12)-SUMIF(ThresholdAge12,"&lt;"&amp;'19_Расчет_аналитики'!I4607,WeightedMinAge12),MAX(CapacityAge12*'01_Вводные'!$B$218*'19_Расчет_аналитики'!I4607,MeanMinAge12))),0)</f>
        <v/>
      </c>
      <c r="J4523">
        <f>IF('01_Вводные'!$B$234="Да",IF(OR('06_Сеть_и_дети'!J92=0,12&lt;='01_Вводные'!$B$297),0,'06_Сеть_и_дети'!J92*IF('01_Вводные'!$B$239="Да",MeanMinAge12+'19_Расчет_аналитики'!J4607*SUMIF(ThresholdAge12,"&lt;"&amp;'19_Расчет_аналитики'!J4607,WeightedRevAge12)-SUMIF(ThresholdAge12,"&lt;"&amp;'19_Расчет_аналитики'!J4607,WeightedMinAge12),MAX(CapacityAge12*'01_Вводные'!$B$218*'19_Расчет_аналитики'!J4607,MeanMinAge12))),0)</f>
        <v/>
      </c>
      <c r="K4523">
        <f>IF('01_Вводные'!$B$234="Да",IF(OR('06_Сеть_и_дети'!K92=0,12&lt;='01_Вводные'!$B$297),0,'06_Сеть_и_дети'!K92*IF('01_Вводные'!$B$239="Да",MeanMinAge12+'19_Расчет_аналитики'!K4607*SUMIF(ThresholdAge12,"&lt;"&amp;'19_Расчет_аналитики'!K4607,WeightedRevAge12)-SUMIF(ThresholdAge12,"&lt;"&amp;'19_Расчет_аналитики'!K4607,WeightedMinAge12),MAX(CapacityAge12*'01_Вводные'!$B$218*'19_Расчет_аналитики'!K4607,MeanMinAge12))),0)</f>
        <v/>
      </c>
      <c r="L4523">
        <f>IF('01_Вводные'!$B$234="Да",IF(OR('06_Сеть_и_дети'!L92=0,12&lt;='01_Вводные'!$B$297),0,'06_Сеть_и_дети'!L92*IF('01_Вводные'!$B$239="Да",MeanMinAge12+'19_Расчет_аналитики'!L4607*SUMIF(ThresholdAge12,"&lt;"&amp;'19_Расчет_аналитики'!L4607,WeightedRevAge12)-SUMIF(ThresholdAge12,"&lt;"&amp;'19_Расчет_аналитики'!L4607,WeightedMinAge12),MAX(CapacityAge12*'01_Вводные'!$B$218*'19_Расчет_аналитики'!L4607,MeanMinAge12))),0)</f>
        <v/>
      </c>
      <c r="M4523">
        <f>IF('01_Вводные'!$B$234="Да",IF(OR('19_Расчет_аналитики'!M4495=0,12&lt;='01_Вводные'!$B$297),0,'19_Расчет_аналитики'!M4495*IF('01_Вводные'!$B$239="Да",MeanMinAge12+'19_Расчет_аналитики'!M4607*SUMIF(ThresholdAge12,"&lt;"&amp;'19_Расчет_аналитики'!M4607,WeightedRevAge12)-SUMIF(ThresholdAge12,"&lt;"&amp;'19_Расчет_аналитики'!M4607,WeightedMinAge12),MAX(CapacityAge12*'01_Вводные'!$B$218*'19_Расчет_аналитики'!M4607,MeanMinAge12))),0)</f>
        <v/>
      </c>
      <c r="N4523">
        <f>IF('01_Вводные'!$B$234="Да",IF(OR('19_Расчет_аналитики'!N4495=0,12&lt;='01_Вводные'!$B$297),0,'19_Расчет_аналитики'!N4495*IF('01_Вводные'!$B$239="Да",MeanMinAge12+'19_Расчет_аналитики'!N4607*SUMIF(ThresholdAge12,"&lt;"&amp;'19_Расчет_аналитики'!N4607,WeightedRevAge12)-SUMIF(ThresholdAge12,"&lt;"&amp;'19_Расчет_аналитики'!N4607,WeightedMinAge12),MAX(CapacityAge12*'01_Вводные'!$B$218*'19_Расчет_аналитики'!N4607,MeanMinAge12))),0)</f>
        <v/>
      </c>
      <c r="O4523">
        <f>IF('01_Вводные'!$B$234="Да",IF(OR('19_Расчет_аналитики'!O4495=0,12&lt;='01_Вводные'!$B$297),0,'19_Расчет_аналитики'!O4495*IF('01_Вводные'!$B$239="Да",MeanMinAge12+'19_Расчет_аналитики'!O4607*SUMIF(ThresholdAge12,"&lt;"&amp;'19_Расчет_аналитики'!O4607,WeightedRevAge12)-SUMIF(ThresholdAge12,"&lt;"&amp;'19_Расчет_аналитики'!O4607,WeightedMinAge12),MAX(CapacityAge12*'01_Вводные'!$B$218*'19_Расчет_аналитики'!O4607,MeanMinAge12))),0)</f>
        <v/>
      </c>
      <c r="P4523">
        <f>IF('01_Вводные'!$B$234="Да",IF(OR('19_Расчет_аналитики'!P4495=0,12&lt;='01_Вводные'!$B$297),0,'19_Расчет_аналитики'!P4495*IF('01_Вводные'!$B$239="Да",MeanMinAge12+'19_Расчет_аналитики'!P4607*SUMIF(ThresholdAge12,"&lt;"&amp;'19_Расчет_аналитики'!P4607,WeightedRevAge12)-SUMIF(ThresholdAge12,"&lt;"&amp;'19_Расчет_аналитики'!P4607,WeightedMinAge12),MAX(CapacityAge12*'01_Вводные'!$B$218*'19_Расчет_аналитики'!P4607,MeanMinAge12))),0)</f>
        <v/>
      </c>
      <c r="Q4523">
        <f>IF('01_Вводные'!$B$234="Да",IF(OR('19_Расчет_аналитики'!Q4495=0,12&lt;='01_Вводные'!$B$297),0,'19_Расчет_аналитики'!Q4495*IF('01_Вводные'!$B$239="Да",MeanMinAge12+'19_Расчет_аналитики'!Q4607*SUMIF(ThresholdAge12,"&lt;"&amp;'19_Расчет_аналитики'!Q4607,WeightedRevAge12)-SUMIF(ThresholdAge12,"&lt;"&amp;'19_Расчет_аналитики'!Q4607,WeightedMinAge12),MAX(CapacityAge12*'01_Вводные'!$B$218*'19_Расчет_аналитики'!Q4607,MeanMinAge12))),0)</f>
        <v/>
      </c>
      <c r="R4523">
        <f>IF('01_Вводные'!$B$234="Да",IF(OR('19_Расчет_аналитики'!R4495=0,12&lt;='01_Вводные'!$B$297),0,'19_Расчет_аналитики'!R4495*IF('01_Вводные'!$B$239="Да",MeanMinAge12+'19_Расчет_аналитики'!R4607*SUMIF(ThresholdAge12,"&lt;"&amp;'19_Расчет_аналитики'!R4607,WeightedRevAge12)-SUMIF(ThresholdAge12,"&lt;"&amp;'19_Расчет_аналитики'!R4607,WeightedMinAge12),MAX(CapacityAge12*'01_Вводные'!$B$218*'19_Расчет_аналитики'!R4607,MeanMinAge12))),0)</f>
        <v/>
      </c>
      <c r="S4523">
        <f>IF('01_Вводные'!$B$234="Да",IF(OR('19_Расчет_аналитики'!S4495=0,12&lt;='01_Вводные'!$B$297),0,'19_Расчет_аналитики'!S4495*IF('01_Вводные'!$B$239="Да",MeanMinAge12+'19_Расчет_аналитики'!S4607*SUMIF(ThresholdAge12,"&lt;"&amp;'19_Расчет_аналитики'!S4607,WeightedRevAge12)-SUMIF(ThresholdAge12,"&lt;"&amp;'19_Расчет_аналитики'!S4607,WeightedMinAge12),MAX(CapacityAge12*'01_Вводные'!$B$218*'19_Расчет_аналитики'!S4607,MeanMinAge12))),0)</f>
        <v/>
      </c>
      <c r="T4523">
        <f>IF('01_Вводные'!$B$234="Да",IF(OR('19_Расчет_аналитики'!T4495=0,12&lt;='01_Вводные'!$B$297),0,'19_Расчет_аналитики'!T4495*IF('01_Вводные'!$B$239="Да",MeanMinAge12+'19_Расчет_аналитики'!T4607*SUMIF(ThresholdAge12,"&lt;"&amp;'19_Расчет_аналитики'!T4607,WeightedRevAge12)-SUMIF(ThresholdAge12,"&lt;"&amp;'19_Расчет_аналитики'!T4607,WeightedMinAge12),MAX(CapacityAge12*'01_Вводные'!$B$218*'19_Расчет_аналитики'!T4607,MeanMinAge12))),0)</f>
        <v/>
      </c>
      <c r="U4523">
        <f>IF('01_Вводные'!$B$234="Да",IF(OR('19_Расчет_аналитики'!U4495=0,12&lt;='01_Вводные'!$B$297),0,'19_Расчет_аналитики'!U4495*IF('01_Вводные'!$B$239="Да",MeanMinAge12+'19_Расчет_аналитики'!U4607*SUMIF(ThresholdAge12,"&lt;"&amp;'19_Расчет_аналитики'!U4607,WeightedRevAge12)-SUMIF(ThresholdAge12,"&lt;"&amp;'19_Расчет_аналитики'!U4607,WeightedMinAge12),MAX(CapacityAge12*'01_Вводные'!$B$218*'19_Расчет_аналитики'!U4607,MeanMinAge12))),0)</f>
        <v/>
      </c>
      <c r="V4523">
        <f>IF('01_Вводные'!$B$234="Да",IF(OR('19_Расчет_аналитики'!V4495=0,12&lt;='01_Вводные'!$B$297),0,'19_Расчет_аналитики'!V4495*IF('01_Вводные'!$B$239="Да",MeanMinAge12+'19_Расчет_аналитики'!V4607*SUMIF(ThresholdAge12,"&lt;"&amp;'19_Расчет_аналитики'!V4607,WeightedRevAge12)-SUMIF(ThresholdAge12,"&lt;"&amp;'19_Расчет_аналитики'!V4607,WeightedMinAge12),MAX(CapacityAge12*'01_Вводные'!$B$218*'19_Расчет_аналитики'!V4607,MeanMinAge12))),0)</f>
        <v/>
      </c>
      <c r="W4523">
        <f>IF('01_Вводные'!$B$234="Да",IF(OR('19_Расчет_аналитики'!W4495=0,12&lt;='01_Вводные'!$B$297),0,'19_Расчет_аналитики'!W4495*IF('01_Вводные'!$B$239="Да",MeanMinAge12+'19_Расчет_аналитики'!W4607*SUMIF(ThresholdAge12,"&lt;"&amp;'19_Расчет_аналитики'!W4607,WeightedRevAge12)-SUMIF(ThresholdAge12,"&lt;"&amp;'19_Расчет_аналитики'!W4607,WeightedMinAge12),MAX(CapacityAge12*'01_Вводные'!$B$218*'19_Расчет_аналитики'!W4607,MeanMinAge12))),0)</f>
        <v/>
      </c>
      <c r="X4523">
        <f>IF('01_Вводные'!$B$234="Да",IF(OR('19_Расчет_аналитики'!X4495=0,12&lt;='01_Вводные'!$B$297),0,'19_Расчет_аналитики'!X4495*IF('01_Вводные'!$B$239="Да",MeanMinAge12+'19_Расчет_аналитики'!X4607*SUMIF(ThresholdAge12,"&lt;"&amp;'19_Расчет_аналитики'!X4607,WeightedRevAge12)-SUMIF(ThresholdAge12,"&lt;"&amp;'19_Расчет_аналитики'!X4607,WeightedMinAge12),MAX(CapacityAge12*'01_Вводные'!$B$218*'19_Расчет_аналитики'!X4607,MeanMinAge12))),0)</f>
        <v/>
      </c>
      <c r="Y4523">
        <f>IF('01_Вводные'!$B$234="Да",IF(OR('19_Расчет_аналитики'!Y4495=0,12&lt;='01_Вводные'!$B$297),0,'19_Расчет_аналитики'!Y4495*IF('01_Вводные'!$B$239="Да",MeanMinAge12+'19_Расчет_аналитики'!Y4607*SUMIF(ThresholdAge12,"&lt;"&amp;'19_Расчет_аналитики'!Y4607,WeightedRevAge12)-SUMIF(ThresholdAge12,"&lt;"&amp;'19_Расчет_аналитики'!Y4607,WeightedMinAge12),MAX(CapacityAge12*'01_Вводные'!$B$218*'19_Расчет_аналитики'!Y4607,MeanMinAge12))),0)</f>
        <v/>
      </c>
      <c r="Z4523">
        <f>IF('01_Вводные'!$B$234="Да",IF(OR('19_Расчет_аналитики'!Z4495=0,12&lt;='01_Вводные'!$B$297),0,'19_Расчет_аналитики'!Z4495*IF('01_Вводные'!$B$239="Да",MeanMinAge12+'19_Расчет_аналитики'!Z4607*SUMIF(ThresholdAge12,"&lt;"&amp;'19_Расчет_аналитики'!Z4607,WeightedRevAge12)-SUMIF(ThresholdAge12,"&lt;"&amp;'19_Расчет_аналитики'!Z4607,WeightedMinAge12),MAX(CapacityAge12*'01_Вводные'!$B$218*'19_Расчет_аналитики'!Z4607,MeanMinAge12))),0)</f>
        <v/>
      </c>
      <c r="AA4523">
        <f>IF('01_Вводные'!$B$234="Да",IF(OR('19_Расчет_аналитики'!AA4495=0,12&lt;='01_Вводные'!$B$297),0,'19_Расчет_аналитики'!AA4495*IF('01_Вводные'!$B$239="Да",MeanMinAge12+'19_Расчет_аналитики'!AA4607*SUMIF(ThresholdAge12,"&lt;"&amp;'19_Расчет_аналитики'!AA4607,WeightedRevAge12)-SUMIF(ThresholdAge12,"&lt;"&amp;'19_Расчет_аналитики'!AA4607,WeightedMinAge12),MAX(CapacityAge12*'01_Вводные'!$B$218*'19_Расчет_аналитики'!AA4607,MeanMinAge12))),0)</f>
        <v/>
      </c>
      <c r="AB4523">
        <f>IF('01_Вводные'!$B$234="Да",IF(OR('19_Расчет_аналитики'!AB4495=0,12&lt;='01_Вводные'!$B$297),0,'19_Расчет_аналитики'!AB4495*IF('01_Вводные'!$B$239="Да",MeanMinAge12+'19_Расчет_аналитики'!AB4607*SUMIF(ThresholdAge12,"&lt;"&amp;'19_Расчет_аналитики'!AB4607,WeightedRevAge12)-SUMIF(ThresholdAge12,"&lt;"&amp;'19_Расчет_аналитики'!AB4607,WeightedMinAge12),MAX(CapacityAge12*'01_Вводные'!$B$218*'19_Расчет_аналитики'!AB4607,MeanMinAge12))),0)</f>
        <v/>
      </c>
      <c r="AC4523">
        <f>IF('01_Вводные'!$B$234="Да",IF(OR('19_Расчет_аналитики'!AC4495=0,12&lt;='01_Вводные'!$B$297),0,'19_Расчет_аналитики'!AC4495*IF('01_Вводные'!$B$239="Да",MeanMinAge12+'19_Расчет_аналитики'!AC4607*SUMIF(ThresholdAge12,"&lt;"&amp;'19_Расчет_аналитики'!AC4607,WeightedRevAge12)-SUMIF(ThresholdAge12,"&lt;"&amp;'19_Расчет_аналитики'!AC4607,WeightedMinAge12),MAX(CapacityAge12*'01_Вводные'!$B$218*'19_Расчет_аналитики'!AC4607,MeanMinAge12))),0)</f>
        <v/>
      </c>
      <c r="AD4523">
        <f>IF('01_Вводные'!$B$234="Да",IF(OR('19_Расчет_аналитики'!AD4495=0,12&lt;='01_Вводные'!$B$297),0,'19_Расчет_аналитики'!AD4495*IF('01_Вводные'!$B$239="Да",MeanMinAge12+'19_Расчет_аналитики'!AD4607*SUMIF(ThresholdAge12,"&lt;"&amp;'19_Расчет_аналитики'!AD4607,WeightedRevAge12)-SUMIF(ThresholdAge12,"&lt;"&amp;'19_Расчет_аналитики'!AD4607,WeightedMinAge12),MAX(CapacityAge12*'01_Вводные'!$B$218*'19_Расчет_аналитики'!AD4607,MeanMinAge12))),0)</f>
        <v/>
      </c>
      <c r="AE4523">
        <f>IF('01_Вводные'!$B$234="Да",IF(OR('19_Расчет_аналитики'!AE4495=0,12&lt;='01_Вводные'!$B$297),0,'19_Расчет_аналитики'!AE4495*IF('01_Вводные'!$B$239="Да",MeanMinAge12+'19_Расчет_аналитики'!AE4607*SUMIF(ThresholdAge12,"&lt;"&amp;'19_Расчет_аналитики'!AE4607,WeightedRevAge12)-SUMIF(ThresholdAge12,"&lt;"&amp;'19_Расчет_аналитики'!AE4607,WeightedMinAge12),MAX(CapacityAge12*'01_Вводные'!$B$218*'19_Расчет_аналитики'!AE4607,MeanMinAge12))),0)</f>
        <v/>
      </c>
      <c r="AF4523">
        <f>IF('01_Вводные'!$B$234="Да",IF(OR('19_Расчет_аналитики'!AF4495=0,12&lt;='01_Вводные'!$B$297),0,'19_Расчет_аналитики'!AF4495*IF('01_Вводные'!$B$239="Да",MeanMinAge12+'19_Расчет_аналитики'!AF4607*SUMIF(ThresholdAge12,"&lt;"&amp;'19_Расчет_аналитики'!AF4607,WeightedRevAge12)-SUMIF(ThresholdAge12,"&lt;"&amp;'19_Расчет_аналитики'!AF4607,WeightedMinAge12),MAX(CapacityAge12*'01_Вводные'!$B$218*'19_Расчет_аналитики'!AF4607,MeanMinAge12))),0)</f>
        <v/>
      </c>
      <c r="AG4523">
        <f>IF('01_Вводные'!$B$234="Да",IF(OR('19_Расчет_аналитики'!AG4495=0,12&lt;='01_Вводные'!$B$297),0,'19_Расчет_аналитики'!AG4495*IF('01_Вводные'!$B$239="Да",MeanMinAge12+'19_Расчет_аналитики'!AG4607*SUMIF(ThresholdAge12,"&lt;"&amp;'19_Расчет_аналитики'!AG4607,WeightedRevAge12)-SUMIF(ThresholdAge12,"&lt;"&amp;'19_Расчет_аналитики'!AG4607,WeightedMinAge12),MAX(CapacityAge12*'01_Вводные'!$B$218*'19_Расчет_аналитики'!AG4607,MeanMinAge12))),0)</f>
        <v/>
      </c>
      <c r="AH4523">
        <f>IF('01_Вводные'!$B$234="Да",IF(OR('19_Расчет_аналитики'!AH4495=0,12&lt;='01_Вводные'!$B$297),0,'19_Расчет_аналитики'!AH4495*IF('01_Вводные'!$B$239="Да",MeanMinAge12+'19_Расчет_аналитики'!AH4607*SUMIF(ThresholdAge12,"&lt;"&amp;'19_Расчет_аналитики'!AH4607,WeightedRevAge12)-SUMIF(ThresholdAge12,"&lt;"&amp;'19_Расчет_аналитики'!AH4607,WeightedMinAge12),MAX(CapacityAge12*'01_Вводные'!$B$218*'19_Расчет_аналитики'!AH4607,MeanMinAge12))),0)</f>
        <v/>
      </c>
      <c r="AI4523">
        <f>IF('01_Вводные'!$B$234="Да",IF(OR('19_Расчет_аналитики'!AI4495=0,12&lt;='01_Вводные'!$B$297),0,'19_Расчет_аналитики'!AI4495*IF('01_Вводные'!$B$239="Да",MeanMinAge12+'19_Расчет_аналитики'!AI4607*SUMIF(ThresholdAge12,"&lt;"&amp;'19_Расчет_аналитики'!AI4607,WeightedRevAge12)-SUMIF(ThresholdAge12,"&lt;"&amp;'19_Расчет_аналитики'!AI4607,WeightedMinAge12),MAX(CapacityAge12*'01_Вводные'!$B$218*'19_Расчет_аналитики'!AI4607,MeanMinAge12))),0)</f>
        <v/>
      </c>
      <c r="AJ4523">
        <f>IF('01_Вводные'!$B$234="Да",IF(OR('19_Расчет_аналитики'!AJ4495=0,12&lt;='01_Вводные'!$B$297),0,'19_Расчет_аналитики'!AJ4495*IF('01_Вводные'!$B$239="Да",MeanMinAge12+'19_Расчет_аналитики'!AJ4607*SUMIF(ThresholdAge12,"&lt;"&amp;'19_Расчет_аналитики'!AJ4607,WeightedRevAge12)-SUMIF(ThresholdAge12,"&lt;"&amp;'19_Расчет_аналитики'!AJ4607,WeightedMinAge12),MAX(CapacityAge12*'01_Вводные'!$B$218*'19_Расчет_аналитики'!AJ4607,MeanMinAge12))),0)</f>
        <v/>
      </c>
      <c r="AK4523">
        <f>IF('01_Вводные'!$B$234="Да",IF(OR('19_Расчет_аналитики'!AK4495=0,12&lt;='01_Вводные'!$B$297),0,'19_Расчет_аналитики'!AK4495*IF('01_Вводные'!$B$239="Да",MeanMinAge12+'19_Расчет_аналитики'!AK4607*SUMIF(ThresholdAge12,"&lt;"&amp;'19_Расчет_аналитики'!AK4607,WeightedRevAge12)-SUMIF(ThresholdAge12,"&lt;"&amp;'19_Расчет_аналитики'!AK4607,WeightedMinAge12),MAX(CapacityAge12*'01_Вводные'!$B$218*'19_Расчет_аналитики'!AK4607,MeanMinAge12))),0)</f>
        <v/>
      </c>
      <c r="AL4523">
        <f>IF('01_Вводные'!$B$234="Да",IF(OR('19_Расчет_аналитики'!AL4495=0,12&lt;='01_Вводные'!$B$297),0,'19_Расчет_аналитики'!AL4495*IF('01_Вводные'!$B$239="Да",MeanMinAge12+'19_Расчет_аналитики'!AL4607*SUMIF(ThresholdAge12,"&lt;"&amp;'19_Расчет_аналитики'!AL4607,WeightedRevAge12)-SUMIF(ThresholdAge12,"&lt;"&amp;'19_Расчет_аналитики'!AL4607,WeightedMinAge12),MAX(CapacityAge12*'01_Вводные'!$B$218*'19_Расчет_аналитики'!AL4607,MeanMinAge12))),0)</f>
        <v/>
      </c>
      <c r="AM4523">
        <f>IF('01_Вводные'!$B$234="Да",IF(OR('19_Расчет_аналитики'!AM4495=0,12&lt;='01_Вводные'!$B$297),0,'19_Расчет_аналитики'!AM4495*IF('01_Вводные'!$B$239="Да",MeanMinAge12+'19_Расчет_аналитики'!AM4607*SUMIF(ThresholdAge12,"&lt;"&amp;'19_Расчет_аналитики'!AM4607,WeightedRevAge12)-SUMIF(ThresholdAge12,"&lt;"&amp;'19_Расчет_аналитики'!AM4607,WeightedMinAge12),MAX(CapacityAge12*'01_Вводные'!$B$218*'19_Расчет_аналитики'!AM4607,MeanMinAge12))),0)</f>
        <v/>
      </c>
      <c r="AN4523">
        <f>IF('01_Вводные'!$B$234="Да",IF(OR('19_Расчет_аналитики'!AN4495=0,12&lt;='01_Вводные'!$B$297),0,'19_Расчет_аналитики'!AN4495*IF('01_Вводные'!$B$239="Да",MeanMinAge12+'19_Расчет_аналитики'!AN4607*SUMIF(ThresholdAge12,"&lt;"&amp;'19_Расчет_аналитики'!AN4607,WeightedRevAge12)-SUMIF(ThresholdAge12,"&lt;"&amp;'19_Расчет_аналитики'!AN4607,WeightedMinAge12),MAX(CapacityAge12*'01_Вводные'!$B$218*'19_Расчет_аналитики'!AN4607,MeanMinAge12))),0)</f>
        <v/>
      </c>
      <c r="AO4523">
        <f>IF('01_Вводные'!$B$234="Да",IF(OR('19_Расчет_аналитики'!AO4495=0,12&lt;='01_Вводные'!$B$297),0,'19_Расчет_аналитики'!AO4495*IF('01_Вводные'!$B$239="Да",MeanMinAge12+'19_Расчет_аналитики'!AO4607*SUMIF(ThresholdAge12,"&lt;"&amp;'19_Расчет_аналитики'!AO4607,WeightedRevAge12)-SUMIF(ThresholdAge12,"&lt;"&amp;'19_Расчет_аналитики'!AO4607,WeightedMinAge12),MAX(CapacityAge12*'01_Вводные'!$B$218*'19_Расчет_аналитики'!AO4607,MeanMinAge12))),0)</f>
        <v/>
      </c>
      <c r="AP4523">
        <f>IF('01_Вводные'!$B$234="Да",IF(OR('19_Расчет_аналитики'!AP4495=0,12&lt;='01_Вводные'!$B$297),0,'19_Расчет_аналитики'!AP4495*IF('01_Вводные'!$B$239="Да",MeanMinAge12+'19_Расчет_аналитики'!AP4607*SUMIF(ThresholdAge12,"&lt;"&amp;'19_Расчет_аналитики'!AP4607,WeightedRevAge12)-SUMIF(ThresholdAge12,"&lt;"&amp;'19_Расчет_аналитики'!AP4607,WeightedMinAge12),MAX(CapacityAge12*'01_Вводные'!$B$218*'19_Расчет_аналитики'!AP4607,MeanMinAge12))),0)</f>
        <v/>
      </c>
      <c r="AQ4523">
        <f>IF('01_Вводные'!$B$234="Да",IF(OR('19_Расчет_аналитики'!AQ4495=0,12&lt;='01_Вводные'!$B$297),0,'19_Расчет_аналитики'!AQ4495*IF('01_Вводные'!$B$239="Да",MeanMinAge12+'19_Расчет_аналитики'!AQ4607*SUMIF(ThresholdAge12,"&lt;"&amp;'19_Расчет_аналитики'!AQ4607,WeightedRevAge12)-SUMIF(ThresholdAge12,"&lt;"&amp;'19_Расчет_аналитики'!AQ4607,WeightedMinAge12),MAX(CapacityAge12*'01_Вводные'!$B$218*'19_Расчет_аналитики'!AQ4607,MeanMinAge12))),0)</f>
        <v/>
      </c>
      <c r="AR4523">
        <f>IF('01_Вводные'!$B$234="Да",IF(OR('19_Расчет_аналитики'!AR4495=0,12&lt;='01_Вводные'!$B$297),0,'19_Расчет_аналитики'!AR4495*IF('01_Вводные'!$B$239="Да",MeanMinAge12+'19_Расчет_аналитики'!AR4607*SUMIF(ThresholdAge12,"&lt;"&amp;'19_Расчет_аналитики'!AR4607,WeightedRevAge12)-SUMIF(ThresholdAge12,"&lt;"&amp;'19_Расчет_аналитики'!AR4607,WeightedMinAge12),MAX(CapacityAge12*'01_Вводные'!$B$218*'19_Расчет_аналитики'!AR4607,MeanMinAge12))),0)</f>
        <v/>
      </c>
      <c r="AS4523">
        <f>IF('01_Вводные'!$B$234="Да",IF(OR('19_Расчет_аналитики'!AS4495=0,12&lt;='01_Вводные'!$B$297),0,'19_Расчет_аналитики'!AS4495*IF('01_Вводные'!$B$239="Да",MeanMinAge12+'19_Расчет_аналитики'!AS4607*SUMIF(ThresholdAge12,"&lt;"&amp;'19_Расчет_аналитики'!AS4607,WeightedRevAge12)-SUMIF(ThresholdAge12,"&lt;"&amp;'19_Расчет_аналитики'!AS4607,WeightedMinAge12),MAX(CapacityAge12*'01_Вводные'!$B$218*'19_Расчет_аналитики'!AS4607,MeanMinAge12))),0)</f>
        <v/>
      </c>
      <c r="AT4523">
        <f>IF('01_Вводные'!$B$234="Да",IF(OR('19_Расчет_аналитики'!AT4495=0,12&lt;='01_Вводные'!$B$297),0,'19_Расчет_аналитики'!AT4495*IF('01_Вводные'!$B$239="Да",MeanMinAge12+'19_Расчет_аналитики'!AT4607*SUMIF(ThresholdAge12,"&lt;"&amp;'19_Расчет_аналитики'!AT4607,WeightedRevAge12)-SUMIF(ThresholdAge12,"&lt;"&amp;'19_Расчет_аналитики'!AT4607,WeightedMinAge12),MAX(CapacityAge12*'01_Вводные'!$B$218*'19_Расчет_аналитики'!AT4607,MeanMinAge12))),0)</f>
        <v/>
      </c>
      <c r="AU4523">
        <f>IF('01_Вводные'!$B$234="Да",IF(OR('19_Расчет_аналитики'!AU4495=0,12&lt;='01_Вводные'!$B$297),0,'19_Расчет_аналитики'!AU4495*IF('01_Вводные'!$B$239="Да",MeanMinAge12+'19_Расчет_аналитики'!AU4607*SUMIF(ThresholdAge12,"&lt;"&amp;'19_Расчет_аналитики'!AU4607,WeightedRevAge12)-SUMIF(ThresholdAge12,"&lt;"&amp;'19_Расчет_аналитики'!AU4607,WeightedMinAge12),MAX(CapacityAge12*'01_Вводные'!$B$218*'19_Расчет_аналитики'!AU4607,MeanMinAge12))),0)</f>
        <v/>
      </c>
      <c r="AV4523">
        <f>IF('01_Вводные'!$B$234="Да",IF(OR('19_Расчет_аналитики'!AV4495=0,12&lt;='01_Вводные'!$B$297),0,'19_Расчет_аналитики'!AV4495*IF('01_Вводные'!$B$239="Да",MeanMinAge12+'19_Расчет_аналитики'!AV4607*SUMIF(ThresholdAge12,"&lt;"&amp;'19_Расчет_аналитики'!AV4607,WeightedRevAge12)-SUMIF(ThresholdAge12,"&lt;"&amp;'19_Расчет_аналитики'!AV4607,WeightedMinAge12),MAX(CapacityAge12*'01_Вводные'!$B$218*'19_Расчет_аналитики'!AV4607,MeanMinAge12))),0)</f>
        <v/>
      </c>
      <c r="AW4523">
        <f>IF('01_Вводные'!$B$234="Да",IF(OR('19_Расчет_аналитики'!AW4495=0,12&lt;='01_Вводные'!$B$297),0,'19_Расчет_аналитики'!AW4495*IF('01_Вводные'!$B$239="Да",MeanMinAge12+'19_Расчет_аналитики'!AW4607*SUMIF(ThresholdAge12,"&lt;"&amp;'19_Расчет_аналитики'!AW4607,WeightedRevAge12)-SUMIF(ThresholdAge12,"&lt;"&amp;'19_Расчет_аналитики'!AW4607,WeightedMinAge12),MAX(CapacityAge12*'01_Вводные'!$B$218*'19_Расчет_аналитики'!AW4607,MeanMinAge12))),0)</f>
        <v/>
      </c>
      <c r="AX4523">
        <f>IF('01_Вводные'!$B$234="Да",IF(OR('19_Расчет_аналитики'!AX4495=0,12&lt;='01_Вводные'!$B$297),0,'19_Расчет_аналитики'!AX4495*IF('01_Вводные'!$B$239="Да",MeanMinAge12+'19_Расчет_аналитики'!AX4607*SUMIF(ThresholdAge12,"&lt;"&amp;'19_Расчет_аналитики'!AX4607,WeightedRevAge12)-SUMIF(ThresholdAge12,"&lt;"&amp;'19_Расчет_аналитики'!AX4607,WeightedMinAge12),MAX(CapacityAge12*'01_Вводные'!$B$218*'19_Расчет_аналитики'!AX4607,MeanMinAge12))),0)</f>
        <v/>
      </c>
      <c r="AY4523">
        <f>IF('01_Вводные'!$B$234="Да",IF(OR('19_Расчет_аналитики'!AY4495=0,12&lt;='01_Вводные'!$B$297),0,'19_Расчет_аналитики'!AY4495*IF('01_Вводные'!$B$239="Да",MeanMinAge12+'19_Расчет_аналитики'!AY4607*SUMIF(ThresholdAge12,"&lt;"&amp;'19_Расчет_аналитики'!AY4607,WeightedRevAge12)-SUMIF(ThresholdAge12,"&lt;"&amp;'19_Расчет_аналитики'!AY4607,WeightedMinAge12),MAX(CapacityAge12*'01_Вводные'!$B$218*'19_Расчет_аналитики'!AY4607,MeanMinAge12))),0)</f>
        <v/>
      </c>
      <c r="AZ4523">
        <f>IF('01_Вводные'!$B$234="Да",IF(OR('19_Расчет_аналитики'!AZ4495=0,12&lt;='01_Вводные'!$B$297),0,'19_Расчет_аналитики'!AZ4495*IF('01_Вводные'!$B$239="Да",MeanMinAge12+'19_Расчет_аналитики'!AZ4607*SUMIF(ThresholdAge12,"&lt;"&amp;'19_Расчет_аналитики'!AZ4607,WeightedRevAge12)-SUMIF(ThresholdAge12,"&lt;"&amp;'19_Расчет_аналитики'!AZ4607,WeightedMinAge12),MAX(CapacityAge12*'01_Вводные'!$B$218*'19_Расчет_аналитики'!AZ4607,MeanMinAge12))),0)</f>
        <v/>
      </c>
      <c r="BA4523">
        <f>IF('01_Вводные'!$B$234="Да",IF(OR('19_Расчет_аналитики'!BA4495=0,12&lt;='01_Вводные'!$B$297),0,'19_Расчет_аналитики'!BA4495*IF('01_Вводные'!$B$239="Да",MeanMinAge12+'19_Расчет_аналитики'!BA4607*SUMIF(ThresholdAge12,"&lt;"&amp;'19_Расчет_аналитики'!BA4607,WeightedRevAge12)-SUMIF(ThresholdAge12,"&lt;"&amp;'19_Расчет_аналитики'!BA4607,WeightedMinAge12),MAX(CapacityAge12*'01_Вводные'!$B$218*'19_Расчет_аналитики'!BA4607,MeanMinAge12))),0)</f>
        <v/>
      </c>
      <c r="BB4523">
        <f>IF('01_Вводные'!$B$234="Да",IF(OR('19_Расчет_аналитики'!BB4495=0,12&lt;='01_Вводные'!$B$297),0,'19_Расчет_аналитики'!BB4495*IF('01_Вводные'!$B$239="Да",MeanMinAge12+'19_Расчет_аналитики'!BB4607*SUMIF(ThresholdAge12,"&lt;"&amp;'19_Расчет_аналитики'!BB4607,WeightedRevAge12)-SUMIF(ThresholdAge12,"&lt;"&amp;'19_Расчет_аналитики'!BB4607,WeightedMinAge12),MAX(CapacityAge12*'01_Вводные'!$B$218*'19_Расчет_аналитики'!BB4607,MeanMinAge12))),0)</f>
        <v/>
      </c>
      <c r="BC4523">
        <f>IF('01_Вводные'!$B$234="Да",IF(OR('19_Расчет_аналитики'!BC4495=0,12&lt;='01_Вводные'!$B$297),0,'19_Расчет_аналитики'!BC4495*IF('01_Вводные'!$B$239="Да",MeanMinAge12+'19_Расчет_аналитики'!BC4607*SUMIF(ThresholdAge12,"&lt;"&amp;'19_Расчет_аналитики'!BC4607,WeightedRevAge12)-SUMIF(ThresholdAge12,"&lt;"&amp;'19_Расчет_аналитики'!BC4607,WeightedMinAge12),MAX(CapacityAge12*'01_Вводные'!$B$218*'19_Расчет_аналитики'!BC4607,MeanMinAge12))),0)</f>
        <v/>
      </c>
      <c r="BD4523">
        <f>IF('01_Вводные'!$B$234="Да",IF(OR('19_Расчет_аналитики'!BD4495=0,12&lt;='01_Вводные'!$B$297),0,'19_Расчет_аналитики'!BD4495*IF('01_Вводные'!$B$239="Да",MeanMinAge12+'19_Расчет_аналитики'!BD4607*SUMIF(ThresholdAge12,"&lt;"&amp;'19_Расчет_аналитики'!BD4607,WeightedRevAge12)-SUMIF(ThresholdAge12,"&lt;"&amp;'19_Расчет_аналитики'!BD4607,WeightedMinAge12),MAX(CapacityAge12*'01_Вводные'!$B$218*'19_Расчет_аналитики'!BD4607,MeanMinAge12))),0)</f>
        <v/>
      </c>
      <c r="BE4523">
        <f>IF('01_Вводные'!$B$234="Да",IF(OR('19_Расчет_аналитики'!BE4495=0,12&lt;='01_Вводные'!$B$297),0,'19_Расчет_аналитики'!BE4495*IF('01_Вводные'!$B$239="Да",MeanMinAge12+'19_Расчет_аналитики'!BE4607*SUMIF(ThresholdAge12,"&lt;"&amp;'19_Расчет_аналитики'!BE4607,WeightedRevAge12)-SUMIF(ThresholdAge12,"&lt;"&amp;'19_Расчет_аналитики'!BE4607,WeightedMinAge12),MAX(CapacityAge12*'01_Вводные'!$B$218*'19_Расчет_аналитики'!BE4607,MeanMinAge12))),0)</f>
        <v/>
      </c>
      <c r="BF4523">
        <f>IF('01_Вводные'!$B$234="Да",IF(OR('19_Расчет_аналитики'!BF4495=0,12&lt;='01_Вводные'!$B$297),0,'19_Расчет_аналитики'!BF4495*IF('01_Вводные'!$B$239="Да",MeanMinAge12+'19_Расчет_аналитики'!BF4607*SUMIF(ThresholdAge12,"&lt;"&amp;'19_Расчет_аналитики'!BF4607,WeightedRevAge12)-SUMIF(ThresholdAge12,"&lt;"&amp;'19_Расчет_аналитики'!BF4607,WeightedMinAge12),MAX(CapacityAge12*'01_Вводные'!$B$218*'19_Расчет_аналитики'!BF4607,MeanMinAge12))),0)</f>
        <v/>
      </c>
      <c r="BG4523">
        <f>IF('01_Вводные'!$B$234="Да",IF(OR('19_Расчет_аналитики'!BG4495=0,12&lt;='01_Вводные'!$B$297),0,'19_Расчет_аналитики'!BG4495*IF('01_Вводные'!$B$239="Да",MeanMinAge12+'19_Расчет_аналитики'!BG4607*SUMIF(ThresholdAge12,"&lt;"&amp;'19_Расчет_аналитики'!BG4607,WeightedRevAge12)-SUMIF(ThresholdAge12,"&lt;"&amp;'19_Расчет_аналитики'!BG4607,WeightedMinAge12),MAX(CapacityAge12*'01_Вводные'!$B$218*'19_Расчет_аналитики'!BG4607,MeanMinAge12))),0)</f>
        <v/>
      </c>
      <c r="BH4523">
        <f>IF('01_Вводные'!$B$234="Да",IF(OR('19_Расчет_аналитики'!BH4495=0,12&lt;='01_Вводные'!$B$297),0,'19_Расчет_аналитики'!BH4495*IF('01_Вводные'!$B$239="Да",MeanMinAge12+'19_Расчет_аналитики'!BH4607*SUMIF(ThresholdAge12,"&lt;"&amp;'19_Расчет_аналитики'!BH4607,WeightedRevAge12)-SUMIF(ThresholdAge12,"&lt;"&amp;'19_Расчет_аналитики'!BH4607,WeightedMinAge12),MAX(CapacityAge12*'01_Вводные'!$B$218*'19_Расчет_аналитики'!BH4607,MeanMinAge12))),0)</f>
        <v/>
      </c>
      <c r="BI4523">
        <f>IF('01_Вводные'!$B$234="Да",IF(OR('19_Расчет_аналитики'!BI4495=0,12&lt;='01_Вводные'!$B$297),0,'19_Расчет_аналитики'!BI4495*IF('01_Вводные'!$B$239="Да",MeanMinAge12+'19_Расчет_аналитики'!BI4607*SUMIF(ThresholdAge12,"&lt;"&amp;'19_Расчет_аналитики'!BI4607,WeightedRevAge12)-SUMIF(ThresholdAge12,"&lt;"&amp;'19_Расчет_аналитики'!BI4607,WeightedMinAge12),MAX(CapacityAge12*'01_Вводные'!$B$218*'19_Расчет_аналитики'!BI4607,MeanMinAge12))),0)</f>
        <v/>
      </c>
      <c r="BJ4523">
        <f>IF('01_Вводные'!$B$234="Да",IF(OR('19_Расчет_аналитики'!BJ4495=0,12&lt;='01_Вводные'!$B$297),0,'19_Расчет_аналитики'!BJ4495*IF('01_Вводные'!$B$239="Да",MeanMinAge12+'19_Расчет_аналитики'!BJ4607*SUMIF(ThresholdAge12,"&lt;"&amp;'19_Расчет_аналитики'!BJ4607,WeightedRevAge12)-SUMIF(ThresholdAge12,"&lt;"&amp;'19_Расчет_аналитики'!BJ4607,WeightedMinAge12),MAX(CapacityAge12*'01_Вводные'!$B$218*'19_Расчет_аналитики'!BJ4607,MeanMinAge12))),0)</f>
        <v/>
      </c>
      <c r="BK4523">
        <f>IF('01_Вводные'!$B$234="Да",IF(OR('19_Расчет_аналитики'!BK4495=0,12&lt;='01_Вводные'!$B$297),0,'19_Расчет_аналитики'!BK4495*IF('01_Вводные'!$B$239="Да",MeanMinAge12+'19_Расчет_аналитики'!BK4607*SUMIF(ThresholdAge12,"&lt;"&amp;'19_Расчет_аналитики'!BK4607,WeightedRevAge12)-SUMIF(ThresholdAge12,"&lt;"&amp;'19_Расчет_аналитики'!BK4607,WeightedMinAge12),MAX(CapacityAge12*'01_Вводные'!$B$218*'19_Расчет_аналитики'!BK4607,MeanMinAge12))),0)</f>
        <v/>
      </c>
      <c r="BL4523">
        <f>IF('01_Вводные'!$B$234="Да",IF(OR('19_Расчет_аналитики'!BL4495=0,12&lt;='01_Вводные'!$B$297),0,'19_Расчет_аналитики'!BL4495*IF('01_Вводные'!$B$239="Да",MeanMinAge12+'19_Расчет_аналитики'!BL4607*SUMIF(ThresholdAge12,"&lt;"&amp;'19_Расчет_аналитики'!BL4607,WeightedRevAge12)-SUMIF(ThresholdAge12,"&lt;"&amp;'19_Расчет_аналитики'!BL4607,WeightedMinAge12),MAX(CapacityAge12*'01_Вводные'!$B$218*'19_Расчет_аналитики'!BL4607,MeanMinAge12))),0)</f>
        <v/>
      </c>
      <c r="BM4523">
        <f>IF('01_Вводные'!$B$234="Да",IF(OR('19_Расчет_аналитики'!BM4495=0,12&lt;='01_Вводные'!$B$297),0,'19_Расчет_аналитики'!BM4495*IF('01_Вводные'!$B$239="Да",MeanMinAge12+'19_Расчет_аналитики'!BM4607*SUMIF(ThresholdAge12,"&lt;"&amp;'19_Расчет_аналитики'!BM4607,WeightedRevAge12)-SUMIF(ThresholdAge12,"&lt;"&amp;'19_Расчет_аналитики'!BM4607,WeightedMinAge12),MAX(CapacityAge12*'01_Вводные'!$B$218*'19_Расчет_аналитики'!BM4607,MeanMinAge12))),0)</f>
        <v/>
      </c>
      <c r="BN4523">
        <f>IF('01_Вводные'!$B$234="Да",IF(OR('19_Расчет_аналитики'!BN4495=0,12&lt;='01_Вводные'!$B$297),0,'19_Расчет_аналитики'!BN4495*IF('01_Вводные'!$B$239="Да",MeanMinAge12+'19_Расчет_аналитики'!BN4607*SUMIF(ThresholdAge12,"&lt;"&amp;'19_Расчет_аналитики'!BN4607,WeightedRevAge12)-SUMIF(ThresholdAge12,"&lt;"&amp;'19_Расчет_аналитики'!BN4607,WeightedMinAge12),MAX(CapacityAge12*'01_Вводные'!$B$218*'19_Расчет_аналитики'!BN4607,MeanMinAge12))),0)</f>
        <v/>
      </c>
      <c r="BO4523">
        <f>IF('01_Вводные'!$B$234="Да",IF(OR('19_Расчет_аналитики'!BO4495=0,12&lt;='01_Вводные'!$B$297),0,'19_Расчет_аналитики'!BO4495*IF('01_Вводные'!$B$239="Да",MeanMinAge12+'19_Расчет_аналитики'!BO4607*SUMIF(ThresholdAge12,"&lt;"&amp;'19_Расчет_аналитики'!BO4607,WeightedRevAge12)-SUMIF(ThresholdAge12,"&lt;"&amp;'19_Расчет_аналитики'!BO4607,WeightedMinAge12),MAX(CapacityAge12*'01_Вводные'!$B$218*'19_Расчет_аналитики'!BO4607,MeanMinAge12))),0)</f>
        <v/>
      </c>
    </row>
    <row r="4524">
      <c r="B4524">
        <f>IF('01_Вводные'!$B$234="Да",IF(OR('06_Сеть_и_дети'!B93=0,13&lt;='01_Вводные'!$B$297),0,'06_Сеть_и_дети'!B93*IF('01_Вводные'!$B$239="Да",MeanMinAge13+'19_Расчет_аналитики'!B4607*SUMIF(ThresholdAge13,"&lt;"&amp;'19_Расчет_аналитики'!B4607,WeightedRevAge13)-SUMIF(ThresholdAge13,"&lt;"&amp;'19_Расчет_аналитики'!B4607,WeightedMinAge13),MAX(CapacityAge13*'01_Вводные'!$B$218*'19_Расчет_аналитики'!B4607,MeanMinAge13))),0)</f>
        <v/>
      </c>
      <c r="C4524">
        <f>IF('01_Вводные'!$B$234="Да",IF(OR('06_Сеть_и_дети'!C93=0,13&lt;='01_Вводные'!$B$297),0,'06_Сеть_и_дети'!C93*IF('01_Вводные'!$B$239="Да",MeanMinAge13+'19_Расчет_аналитики'!C4607*SUMIF(ThresholdAge13,"&lt;"&amp;'19_Расчет_аналитики'!C4607,WeightedRevAge13)-SUMIF(ThresholdAge13,"&lt;"&amp;'19_Расчет_аналитики'!C4607,WeightedMinAge13),MAX(CapacityAge13*'01_Вводные'!$B$218*'19_Расчет_аналитики'!C4607,MeanMinAge13))),0)</f>
        <v/>
      </c>
      <c r="D4524">
        <f>IF('01_Вводные'!$B$234="Да",IF(OR('06_Сеть_и_дети'!D93=0,13&lt;='01_Вводные'!$B$297),0,'06_Сеть_и_дети'!D93*IF('01_Вводные'!$B$239="Да",MeanMinAge13+'19_Расчет_аналитики'!D4607*SUMIF(ThresholdAge13,"&lt;"&amp;'19_Расчет_аналитики'!D4607,WeightedRevAge13)-SUMIF(ThresholdAge13,"&lt;"&amp;'19_Расчет_аналитики'!D4607,WeightedMinAge13),MAX(CapacityAge13*'01_Вводные'!$B$218*'19_Расчет_аналитики'!D4607,MeanMinAge13))),0)</f>
        <v/>
      </c>
      <c r="E4524">
        <f>IF('01_Вводные'!$B$234="Да",IF(OR('06_Сеть_и_дети'!E93=0,13&lt;='01_Вводные'!$B$297),0,'06_Сеть_и_дети'!E93*IF('01_Вводные'!$B$239="Да",MeanMinAge13+'19_Расчет_аналитики'!E4607*SUMIF(ThresholdAge13,"&lt;"&amp;'19_Расчет_аналитики'!E4607,WeightedRevAge13)-SUMIF(ThresholdAge13,"&lt;"&amp;'19_Расчет_аналитики'!E4607,WeightedMinAge13),MAX(CapacityAge13*'01_Вводные'!$B$218*'19_Расчет_аналитики'!E4607,MeanMinAge13))),0)</f>
        <v/>
      </c>
      <c r="F4524">
        <f>IF('01_Вводные'!$B$234="Да",IF(OR('06_Сеть_и_дети'!F93=0,13&lt;='01_Вводные'!$B$297),0,'06_Сеть_и_дети'!F93*IF('01_Вводные'!$B$239="Да",MeanMinAge13+'19_Расчет_аналитики'!F4607*SUMIF(ThresholdAge13,"&lt;"&amp;'19_Расчет_аналитики'!F4607,WeightedRevAge13)-SUMIF(ThresholdAge13,"&lt;"&amp;'19_Расчет_аналитики'!F4607,WeightedMinAge13),MAX(CapacityAge13*'01_Вводные'!$B$218*'19_Расчет_аналитики'!F4607,MeanMinAge13))),0)</f>
        <v/>
      </c>
      <c r="G4524">
        <f>IF('01_Вводные'!$B$234="Да",IF(OR('06_Сеть_и_дети'!G93=0,13&lt;='01_Вводные'!$B$297),0,'06_Сеть_и_дети'!G93*IF('01_Вводные'!$B$239="Да",MeanMinAge13+'19_Расчет_аналитики'!G4607*SUMIF(ThresholdAge13,"&lt;"&amp;'19_Расчет_аналитики'!G4607,WeightedRevAge13)-SUMIF(ThresholdAge13,"&lt;"&amp;'19_Расчет_аналитики'!G4607,WeightedMinAge13),MAX(CapacityAge13*'01_Вводные'!$B$218*'19_Расчет_аналитики'!G4607,MeanMinAge13))),0)</f>
        <v/>
      </c>
      <c r="H4524">
        <f>IF('01_Вводные'!$B$234="Да",IF(OR('06_Сеть_и_дети'!H93=0,13&lt;='01_Вводные'!$B$297),0,'06_Сеть_и_дети'!H93*IF('01_Вводные'!$B$239="Да",MeanMinAge13+'19_Расчет_аналитики'!H4607*SUMIF(ThresholdAge13,"&lt;"&amp;'19_Расчет_аналитики'!H4607,WeightedRevAge13)-SUMIF(ThresholdAge13,"&lt;"&amp;'19_Расчет_аналитики'!H4607,WeightedMinAge13),MAX(CapacityAge13*'01_Вводные'!$B$218*'19_Расчет_аналитики'!H4607,MeanMinAge13))),0)</f>
        <v/>
      </c>
      <c r="I4524">
        <f>IF('01_Вводные'!$B$234="Да",IF(OR('06_Сеть_и_дети'!I93=0,13&lt;='01_Вводные'!$B$297),0,'06_Сеть_и_дети'!I93*IF('01_Вводные'!$B$239="Да",MeanMinAge13+'19_Расчет_аналитики'!I4607*SUMIF(ThresholdAge13,"&lt;"&amp;'19_Расчет_аналитики'!I4607,WeightedRevAge13)-SUMIF(ThresholdAge13,"&lt;"&amp;'19_Расчет_аналитики'!I4607,WeightedMinAge13),MAX(CapacityAge13*'01_Вводные'!$B$218*'19_Расчет_аналитики'!I4607,MeanMinAge13))),0)</f>
        <v/>
      </c>
      <c r="J4524">
        <f>IF('01_Вводные'!$B$234="Да",IF(OR('06_Сеть_и_дети'!J93=0,13&lt;='01_Вводные'!$B$297),0,'06_Сеть_и_дети'!J93*IF('01_Вводные'!$B$239="Да",MeanMinAge13+'19_Расчет_аналитики'!J4607*SUMIF(ThresholdAge13,"&lt;"&amp;'19_Расчет_аналитики'!J4607,WeightedRevAge13)-SUMIF(ThresholdAge13,"&lt;"&amp;'19_Расчет_аналитики'!J4607,WeightedMinAge13),MAX(CapacityAge13*'01_Вводные'!$B$218*'19_Расчет_аналитики'!J4607,MeanMinAge13))),0)</f>
        <v/>
      </c>
      <c r="K4524">
        <f>IF('01_Вводные'!$B$234="Да",IF(OR('06_Сеть_и_дети'!K93=0,13&lt;='01_Вводные'!$B$297),0,'06_Сеть_и_дети'!K93*IF('01_Вводные'!$B$239="Да",MeanMinAge13+'19_Расчет_аналитики'!K4607*SUMIF(ThresholdAge13,"&lt;"&amp;'19_Расчет_аналитики'!K4607,WeightedRevAge13)-SUMIF(ThresholdAge13,"&lt;"&amp;'19_Расчет_аналитики'!K4607,WeightedMinAge13),MAX(CapacityAge13*'01_Вводные'!$B$218*'19_Расчет_аналитики'!K4607,MeanMinAge13))),0)</f>
        <v/>
      </c>
      <c r="L4524">
        <f>IF('01_Вводные'!$B$234="Да",IF(OR('06_Сеть_и_дети'!L93=0,13&lt;='01_Вводные'!$B$297),0,'06_Сеть_и_дети'!L93*IF('01_Вводные'!$B$239="Да",MeanMinAge13+'19_Расчет_аналитики'!L4607*SUMIF(ThresholdAge13,"&lt;"&amp;'19_Расчет_аналитики'!L4607,WeightedRevAge13)-SUMIF(ThresholdAge13,"&lt;"&amp;'19_Расчет_аналитики'!L4607,WeightedMinAge13),MAX(CapacityAge13*'01_Вводные'!$B$218*'19_Расчет_аналитики'!L4607,MeanMinAge13))),0)</f>
        <v/>
      </c>
      <c r="M4524">
        <f>IF('01_Вводные'!$B$234="Да",IF(OR('06_Сеть_и_дети'!M93=0,13&lt;='01_Вводные'!$B$297),0,'06_Сеть_и_дети'!M93*IF('01_Вводные'!$B$239="Да",MeanMinAge13+'19_Расчет_аналитики'!M4607*SUMIF(ThresholdAge13,"&lt;"&amp;'19_Расчет_аналитики'!M4607,WeightedRevAge13)-SUMIF(ThresholdAge13,"&lt;"&amp;'19_Расчет_аналитики'!M4607,WeightedMinAge13),MAX(CapacityAge13*'01_Вводные'!$B$218*'19_Расчет_аналитики'!M4607,MeanMinAge13))),0)</f>
        <v/>
      </c>
      <c r="N4524">
        <f>IF('01_Вводные'!$B$234="Да",IF(OR('19_Расчет_аналитики'!N4496=0,13&lt;='01_Вводные'!$B$297),0,'19_Расчет_аналитики'!N4496*IF('01_Вводные'!$B$239="Да",MeanMinAge13+'19_Расчет_аналитики'!N4607*SUMIF(ThresholdAge13,"&lt;"&amp;'19_Расчет_аналитики'!N4607,WeightedRevAge13)-SUMIF(ThresholdAge13,"&lt;"&amp;'19_Расчет_аналитики'!N4607,WeightedMinAge13),MAX(CapacityAge13*'01_Вводные'!$B$218*'19_Расчет_аналитики'!N4607,MeanMinAge13))),0)</f>
        <v/>
      </c>
      <c r="O4524">
        <f>IF('01_Вводные'!$B$234="Да",IF(OR('19_Расчет_аналитики'!O4496=0,13&lt;='01_Вводные'!$B$297),0,'19_Расчет_аналитики'!O4496*IF('01_Вводные'!$B$239="Да",MeanMinAge13+'19_Расчет_аналитики'!O4607*SUMIF(ThresholdAge13,"&lt;"&amp;'19_Расчет_аналитики'!O4607,WeightedRevAge13)-SUMIF(ThresholdAge13,"&lt;"&amp;'19_Расчет_аналитики'!O4607,WeightedMinAge13),MAX(CapacityAge13*'01_Вводные'!$B$218*'19_Расчет_аналитики'!O4607,MeanMinAge13))),0)</f>
        <v/>
      </c>
      <c r="P4524">
        <f>IF('01_Вводные'!$B$234="Да",IF(OR('19_Расчет_аналитики'!P4496=0,13&lt;='01_Вводные'!$B$297),0,'19_Расчет_аналитики'!P4496*IF('01_Вводные'!$B$239="Да",MeanMinAge13+'19_Расчет_аналитики'!P4607*SUMIF(ThresholdAge13,"&lt;"&amp;'19_Расчет_аналитики'!P4607,WeightedRevAge13)-SUMIF(ThresholdAge13,"&lt;"&amp;'19_Расчет_аналитики'!P4607,WeightedMinAge13),MAX(CapacityAge13*'01_Вводные'!$B$218*'19_Расчет_аналитики'!P4607,MeanMinAge13))),0)</f>
        <v/>
      </c>
      <c r="Q4524">
        <f>IF('01_Вводные'!$B$234="Да",IF(OR('19_Расчет_аналитики'!Q4496=0,13&lt;='01_Вводные'!$B$297),0,'19_Расчет_аналитики'!Q4496*IF('01_Вводные'!$B$239="Да",MeanMinAge13+'19_Расчет_аналитики'!Q4607*SUMIF(ThresholdAge13,"&lt;"&amp;'19_Расчет_аналитики'!Q4607,WeightedRevAge13)-SUMIF(ThresholdAge13,"&lt;"&amp;'19_Расчет_аналитики'!Q4607,WeightedMinAge13),MAX(CapacityAge13*'01_Вводные'!$B$218*'19_Расчет_аналитики'!Q4607,MeanMinAge13))),0)</f>
        <v/>
      </c>
      <c r="R4524">
        <f>IF('01_Вводные'!$B$234="Да",IF(OR('19_Расчет_аналитики'!R4496=0,13&lt;='01_Вводные'!$B$297),0,'19_Расчет_аналитики'!R4496*IF('01_Вводные'!$B$239="Да",MeanMinAge13+'19_Расчет_аналитики'!R4607*SUMIF(ThresholdAge13,"&lt;"&amp;'19_Расчет_аналитики'!R4607,WeightedRevAge13)-SUMIF(ThresholdAge13,"&lt;"&amp;'19_Расчет_аналитики'!R4607,WeightedMinAge13),MAX(CapacityAge13*'01_Вводные'!$B$218*'19_Расчет_аналитики'!R4607,MeanMinAge13))),0)</f>
        <v/>
      </c>
      <c r="S4524">
        <f>IF('01_Вводные'!$B$234="Да",IF(OR('19_Расчет_аналитики'!S4496=0,13&lt;='01_Вводные'!$B$297),0,'19_Расчет_аналитики'!S4496*IF('01_Вводные'!$B$239="Да",MeanMinAge13+'19_Расчет_аналитики'!S4607*SUMIF(ThresholdAge13,"&lt;"&amp;'19_Расчет_аналитики'!S4607,WeightedRevAge13)-SUMIF(ThresholdAge13,"&lt;"&amp;'19_Расчет_аналитики'!S4607,WeightedMinAge13),MAX(CapacityAge13*'01_Вводные'!$B$218*'19_Расчет_аналитики'!S4607,MeanMinAge13))),0)</f>
        <v/>
      </c>
      <c r="T4524">
        <f>IF('01_Вводные'!$B$234="Да",IF(OR('19_Расчет_аналитики'!T4496=0,13&lt;='01_Вводные'!$B$297),0,'19_Расчет_аналитики'!T4496*IF('01_Вводные'!$B$239="Да",MeanMinAge13+'19_Расчет_аналитики'!T4607*SUMIF(ThresholdAge13,"&lt;"&amp;'19_Расчет_аналитики'!T4607,WeightedRevAge13)-SUMIF(ThresholdAge13,"&lt;"&amp;'19_Расчет_аналитики'!T4607,WeightedMinAge13),MAX(CapacityAge13*'01_Вводные'!$B$218*'19_Расчет_аналитики'!T4607,MeanMinAge13))),0)</f>
        <v/>
      </c>
      <c r="U4524">
        <f>IF('01_Вводные'!$B$234="Да",IF(OR('19_Расчет_аналитики'!U4496=0,13&lt;='01_Вводные'!$B$297),0,'19_Расчет_аналитики'!U4496*IF('01_Вводные'!$B$239="Да",MeanMinAge13+'19_Расчет_аналитики'!U4607*SUMIF(ThresholdAge13,"&lt;"&amp;'19_Расчет_аналитики'!U4607,WeightedRevAge13)-SUMIF(ThresholdAge13,"&lt;"&amp;'19_Расчет_аналитики'!U4607,WeightedMinAge13),MAX(CapacityAge13*'01_Вводные'!$B$218*'19_Расчет_аналитики'!U4607,MeanMinAge13))),0)</f>
        <v/>
      </c>
      <c r="V4524">
        <f>IF('01_Вводные'!$B$234="Да",IF(OR('19_Расчет_аналитики'!V4496=0,13&lt;='01_Вводные'!$B$297),0,'19_Расчет_аналитики'!V4496*IF('01_Вводные'!$B$239="Да",MeanMinAge13+'19_Расчет_аналитики'!V4607*SUMIF(ThresholdAge13,"&lt;"&amp;'19_Расчет_аналитики'!V4607,WeightedRevAge13)-SUMIF(ThresholdAge13,"&lt;"&amp;'19_Расчет_аналитики'!V4607,WeightedMinAge13),MAX(CapacityAge13*'01_Вводные'!$B$218*'19_Расчет_аналитики'!V4607,MeanMinAge13))),0)</f>
        <v/>
      </c>
      <c r="W4524">
        <f>IF('01_Вводные'!$B$234="Да",IF(OR('19_Расчет_аналитики'!W4496=0,13&lt;='01_Вводные'!$B$297),0,'19_Расчет_аналитики'!W4496*IF('01_Вводные'!$B$239="Да",MeanMinAge13+'19_Расчет_аналитики'!W4607*SUMIF(ThresholdAge13,"&lt;"&amp;'19_Расчет_аналитики'!W4607,WeightedRevAge13)-SUMIF(ThresholdAge13,"&lt;"&amp;'19_Расчет_аналитики'!W4607,WeightedMinAge13),MAX(CapacityAge13*'01_Вводные'!$B$218*'19_Расчет_аналитики'!W4607,MeanMinAge13))),0)</f>
        <v/>
      </c>
      <c r="X4524">
        <f>IF('01_Вводные'!$B$234="Да",IF(OR('19_Расчет_аналитики'!X4496=0,13&lt;='01_Вводные'!$B$297),0,'19_Расчет_аналитики'!X4496*IF('01_Вводные'!$B$239="Да",MeanMinAge13+'19_Расчет_аналитики'!X4607*SUMIF(ThresholdAge13,"&lt;"&amp;'19_Расчет_аналитики'!X4607,WeightedRevAge13)-SUMIF(ThresholdAge13,"&lt;"&amp;'19_Расчет_аналитики'!X4607,WeightedMinAge13),MAX(CapacityAge13*'01_Вводные'!$B$218*'19_Расчет_аналитики'!X4607,MeanMinAge13))),0)</f>
        <v/>
      </c>
      <c r="Y4524">
        <f>IF('01_Вводные'!$B$234="Да",IF(OR('19_Расчет_аналитики'!Y4496=0,13&lt;='01_Вводные'!$B$297),0,'19_Расчет_аналитики'!Y4496*IF('01_Вводные'!$B$239="Да",MeanMinAge13+'19_Расчет_аналитики'!Y4607*SUMIF(ThresholdAge13,"&lt;"&amp;'19_Расчет_аналитики'!Y4607,WeightedRevAge13)-SUMIF(ThresholdAge13,"&lt;"&amp;'19_Расчет_аналитики'!Y4607,WeightedMinAge13),MAX(CapacityAge13*'01_Вводные'!$B$218*'19_Расчет_аналитики'!Y4607,MeanMinAge13))),0)</f>
        <v/>
      </c>
      <c r="Z4524">
        <f>IF('01_Вводные'!$B$234="Да",IF(OR('19_Расчет_аналитики'!Z4496=0,13&lt;='01_Вводные'!$B$297),0,'19_Расчет_аналитики'!Z4496*IF('01_Вводные'!$B$239="Да",MeanMinAge13+'19_Расчет_аналитики'!Z4607*SUMIF(ThresholdAge13,"&lt;"&amp;'19_Расчет_аналитики'!Z4607,WeightedRevAge13)-SUMIF(ThresholdAge13,"&lt;"&amp;'19_Расчет_аналитики'!Z4607,WeightedMinAge13),MAX(CapacityAge13*'01_Вводные'!$B$218*'19_Расчет_аналитики'!Z4607,MeanMinAge13))),0)</f>
        <v/>
      </c>
      <c r="AA4524">
        <f>IF('01_Вводные'!$B$234="Да",IF(OR('19_Расчет_аналитики'!AA4496=0,13&lt;='01_Вводные'!$B$297),0,'19_Расчет_аналитики'!AA4496*IF('01_Вводные'!$B$239="Да",MeanMinAge13+'19_Расчет_аналитики'!AA4607*SUMIF(ThresholdAge13,"&lt;"&amp;'19_Расчет_аналитики'!AA4607,WeightedRevAge13)-SUMIF(ThresholdAge13,"&lt;"&amp;'19_Расчет_аналитики'!AA4607,WeightedMinAge13),MAX(CapacityAge13*'01_Вводные'!$B$218*'19_Расчет_аналитики'!AA4607,MeanMinAge13))),0)</f>
        <v/>
      </c>
      <c r="AB4524">
        <f>IF('01_Вводные'!$B$234="Да",IF(OR('19_Расчет_аналитики'!AB4496=0,13&lt;='01_Вводные'!$B$297),0,'19_Расчет_аналитики'!AB4496*IF('01_Вводные'!$B$239="Да",MeanMinAge13+'19_Расчет_аналитики'!AB4607*SUMIF(ThresholdAge13,"&lt;"&amp;'19_Расчет_аналитики'!AB4607,WeightedRevAge13)-SUMIF(ThresholdAge13,"&lt;"&amp;'19_Расчет_аналитики'!AB4607,WeightedMinAge13),MAX(CapacityAge13*'01_Вводные'!$B$218*'19_Расчет_аналитики'!AB4607,MeanMinAge13))),0)</f>
        <v/>
      </c>
      <c r="AC4524">
        <f>IF('01_Вводные'!$B$234="Да",IF(OR('19_Расчет_аналитики'!AC4496=0,13&lt;='01_Вводные'!$B$297),0,'19_Расчет_аналитики'!AC4496*IF('01_Вводные'!$B$239="Да",MeanMinAge13+'19_Расчет_аналитики'!AC4607*SUMIF(ThresholdAge13,"&lt;"&amp;'19_Расчет_аналитики'!AC4607,WeightedRevAge13)-SUMIF(ThresholdAge13,"&lt;"&amp;'19_Расчет_аналитики'!AC4607,WeightedMinAge13),MAX(CapacityAge13*'01_Вводные'!$B$218*'19_Расчет_аналитики'!AC4607,MeanMinAge13))),0)</f>
        <v/>
      </c>
      <c r="AD4524">
        <f>IF('01_Вводные'!$B$234="Да",IF(OR('19_Расчет_аналитики'!AD4496=0,13&lt;='01_Вводные'!$B$297),0,'19_Расчет_аналитики'!AD4496*IF('01_Вводные'!$B$239="Да",MeanMinAge13+'19_Расчет_аналитики'!AD4607*SUMIF(ThresholdAge13,"&lt;"&amp;'19_Расчет_аналитики'!AD4607,WeightedRevAge13)-SUMIF(ThresholdAge13,"&lt;"&amp;'19_Расчет_аналитики'!AD4607,WeightedMinAge13),MAX(CapacityAge13*'01_Вводные'!$B$218*'19_Расчет_аналитики'!AD4607,MeanMinAge13))),0)</f>
        <v/>
      </c>
      <c r="AE4524">
        <f>IF('01_Вводные'!$B$234="Да",IF(OR('19_Расчет_аналитики'!AE4496=0,13&lt;='01_Вводные'!$B$297),0,'19_Расчет_аналитики'!AE4496*IF('01_Вводные'!$B$239="Да",MeanMinAge13+'19_Расчет_аналитики'!AE4607*SUMIF(ThresholdAge13,"&lt;"&amp;'19_Расчет_аналитики'!AE4607,WeightedRevAge13)-SUMIF(ThresholdAge13,"&lt;"&amp;'19_Расчет_аналитики'!AE4607,WeightedMinAge13),MAX(CapacityAge13*'01_Вводные'!$B$218*'19_Расчет_аналитики'!AE4607,MeanMinAge13))),0)</f>
        <v/>
      </c>
      <c r="AF4524">
        <f>IF('01_Вводные'!$B$234="Да",IF(OR('19_Расчет_аналитики'!AF4496=0,13&lt;='01_Вводные'!$B$297),0,'19_Расчет_аналитики'!AF4496*IF('01_Вводные'!$B$239="Да",MeanMinAge13+'19_Расчет_аналитики'!AF4607*SUMIF(ThresholdAge13,"&lt;"&amp;'19_Расчет_аналитики'!AF4607,WeightedRevAge13)-SUMIF(ThresholdAge13,"&lt;"&amp;'19_Расчет_аналитики'!AF4607,WeightedMinAge13),MAX(CapacityAge13*'01_Вводные'!$B$218*'19_Расчет_аналитики'!AF4607,MeanMinAge13))),0)</f>
        <v/>
      </c>
      <c r="AG4524">
        <f>IF('01_Вводные'!$B$234="Да",IF(OR('19_Расчет_аналитики'!AG4496=0,13&lt;='01_Вводные'!$B$297),0,'19_Расчет_аналитики'!AG4496*IF('01_Вводные'!$B$239="Да",MeanMinAge13+'19_Расчет_аналитики'!AG4607*SUMIF(ThresholdAge13,"&lt;"&amp;'19_Расчет_аналитики'!AG4607,WeightedRevAge13)-SUMIF(ThresholdAge13,"&lt;"&amp;'19_Расчет_аналитики'!AG4607,WeightedMinAge13),MAX(CapacityAge13*'01_Вводные'!$B$218*'19_Расчет_аналитики'!AG4607,MeanMinAge13))),0)</f>
        <v/>
      </c>
      <c r="AH4524">
        <f>IF('01_Вводные'!$B$234="Да",IF(OR('19_Расчет_аналитики'!AH4496=0,13&lt;='01_Вводные'!$B$297),0,'19_Расчет_аналитики'!AH4496*IF('01_Вводные'!$B$239="Да",MeanMinAge13+'19_Расчет_аналитики'!AH4607*SUMIF(ThresholdAge13,"&lt;"&amp;'19_Расчет_аналитики'!AH4607,WeightedRevAge13)-SUMIF(ThresholdAge13,"&lt;"&amp;'19_Расчет_аналитики'!AH4607,WeightedMinAge13),MAX(CapacityAge13*'01_Вводные'!$B$218*'19_Расчет_аналитики'!AH4607,MeanMinAge13))),0)</f>
        <v/>
      </c>
      <c r="AI4524">
        <f>IF('01_Вводные'!$B$234="Да",IF(OR('19_Расчет_аналитики'!AI4496=0,13&lt;='01_Вводные'!$B$297),0,'19_Расчет_аналитики'!AI4496*IF('01_Вводные'!$B$239="Да",MeanMinAge13+'19_Расчет_аналитики'!AI4607*SUMIF(ThresholdAge13,"&lt;"&amp;'19_Расчет_аналитики'!AI4607,WeightedRevAge13)-SUMIF(ThresholdAge13,"&lt;"&amp;'19_Расчет_аналитики'!AI4607,WeightedMinAge13),MAX(CapacityAge13*'01_Вводные'!$B$218*'19_Расчет_аналитики'!AI4607,MeanMinAge13))),0)</f>
        <v/>
      </c>
      <c r="AJ4524">
        <f>IF('01_Вводные'!$B$234="Да",IF(OR('19_Расчет_аналитики'!AJ4496=0,13&lt;='01_Вводные'!$B$297),0,'19_Расчет_аналитики'!AJ4496*IF('01_Вводные'!$B$239="Да",MeanMinAge13+'19_Расчет_аналитики'!AJ4607*SUMIF(ThresholdAge13,"&lt;"&amp;'19_Расчет_аналитики'!AJ4607,WeightedRevAge13)-SUMIF(ThresholdAge13,"&lt;"&amp;'19_Расчет_аналитики'!AJ4607,WeightedMinAge13),MAX(CapacityAge13*'01_Вводные'!$B$218*'19_Расчет_аналитики'!AJ4607,MeanMinAge13))),0)</f>
        <v/>
      </c>
      <c r="AK4524">
        <f>IF('01_Вводные'!$B$234="Да",IF(OR('19_Расчет_аналитики'!AK4496=0,13&lt;='01_Вводные'!$B$297),0,'19_Расчет_аналитики'!AK4496*IF('01_Вводные'!$B$239="Да",MeanMinAge13+'19_Расчет_аналитики'!AK4607*SUMIF(ThresholdAge13,"&lt;"&amp;'19_Расчет_аналитики'!AK4607,WeightedRevAge13)-SUMIF(ThresholdAge13,"&lt;"&amp;'19_Расчет_аналитики'!AK4607,WeightedMinAge13),MAX(CapacityAge13*'01_Вводные'!$B$218*'19_Расчет_аналитики'!AK4607,MeanMinAge13))),0)</f>
        <v/>
      </c>
      <c r="AL4524">
        <f>IF('01_Вводные'!$B$234="Да",IF(OR('19_Расчет_аналитики'!AL4496=0,13&lt;='01_Вводные'!$B$297),0,'19_Расчет_аналитики'!AL4496*IF('01_Вводные'!$B$239="Да",MeanMinAge13+'19_Расчет_аналитики'!AL4607*SUMIF(ThresholdAge13,"&lt;"&amp;'19_Расчет_аналитики'!AL4607,WeightedRevAge13)-SUMIF(ThresholdAge13,"&lt;"&amp;'19_Расчет_аналитики'!AL4607,WeightedMinAge13),MAX(CapacityAge13*'01_Вводные'!$B$218*'19_Расчет_аналитики'!AL4607,MeanMinAge13))),0)</f>
        <v/>
      </c>
      <c r="AM4524">
        <f>IF('01_Вводные'!$B$234="Да",IF(OR('19_Расчет_аналитики'!AM4496=0,13&lt;='01_Вводные'!$B$297),0,'19_Расчет_аналитики'!AM4496*IF('01_Вводные'!$B$239="Да",MeanMinAge13+'19_Расчет_аналитики'!AM4607*SUMIF(ThresholdAge13,"&lt;"&amp;'19_Расчет_аналитики'!AM4607,WeightedRevAge13)-SUMIF(ThresholdAge13,"&lt;"&amp;'19_Расчет_аналитики'!AM4607,WeightedMinAge13),MAX(CapacityAge13*'01_Вводные'!$B$218*'19_Расчет_аналитики'!AM4607,MeanMinAge13))),0)</f>
        <v/>
      </c>
      <c r="AN4524">
        <f>IF('01_Вводные'!$B$234="Да",IF(OR('19_Расчет_аналитики'!AN4496=0,13&lt;='01_Вводные'!$B$297),0,'19_Расчет_аналитики'!AN4496*IF('01_Вводные'!$B$239="Да",MeanMinAge13+'19_Расчет_аналитики'!AN4607*SUMIF(ThresholdAge13,"&lt;"&amp;'19_Расчет_аналитики'!AN4607,WeightedRevAge13)-SUMIF(ThresholdAge13,"&lt;"&amp;'19_Расчет_аналитики'!AN4607,WeightedMinAge13),MAX(CapacityAge13*'01_Вводные'!$B$218*'19_Расчет_аналитики'!AN4607,MeanMinAge13))),0)</f>
        <v/>
      </c>
      <c r="AO4524">
        <f>IF('01_Вводные'!$B$234="Да",IF(OR('19_Расчет_аналитики'!AO4496=0,13&lt;='01_Вводные'!$B$297),0,'19_Расчет_аналитики'!AO4496*IF('01_Вводные'!$B$239="Да",MeanMinAge13+'19_Расчет_аналитики'!AO4607*SUMIF(ThresholdAge13,"&lt;"&amp;'19_Расчет_аналитики'!AO4607,WeightedRevAge13)-SUMIF(ThresholdAge13,"&lt;"&amp;'19_Расчет_аналитики'!AO4607,WeightedMinAge13),MAX(CapacityAge13*'01_Вводные'!$B$218*'19_Расчет_аналитики'!AO4607,MeanMinAge13))),0)</f>
        <v/>
      </c>
      <c r="AP4524">
        <f>IF('01_Вводные'!$B$234="Да",IF(OR('19_Расчет_аналитики'!AP4496=0,13&lt;='01_Вводные'!$B$297),0,'19_Расчет_аналитики'!AP4496*IF('01_Вводные'!$B$239="Да",MeanMinAge13+'19_Расчет_аналитики'!AP4607*SUMIF(ThresholdAge13,"&lt;"&amp;'19_Расчет_аналитики'!AP4607,WeightedRevAge13)-SUMIF(ThresholdAge13,"&lt;"&amp;'19_Расчет_аналитики'!AP4607,WeightedMinAge13),MAX(CapacityAge13*'01_Вводные'!$B$218*'19_Расчет_аналитики'!AP4607,MeanMinAge13))),0)</f>
        <v/>
      </c>
      <c r="AQ4524">
        <f>IF('01_Вводные'!$B$234="Да",IF(OR('19_Расчет_аналитики'!AQ4496=0,13&lt;='01_Вводные'!$B$297),0,'19_Расчет_аналитики'!AQ4496*IF('01_Вводные'!$B$239="Да",MeanMinAge13+'19_Расчет_аналитики'!AQ4607*SUMIF(ThresholdAge13,"&lt;"&amp;'19_Расчет_аналитики'!AQ4607,WeightedRevAge13)-SUMIF(ThresholdAge13,"&lt;"&amp;'19_Расчет_аналитики'!AQ4607,WeightedMinAge13),MAX(CapacityAge13*'01_Вводные'!$B$218*'19_Расчет_аналитики'!AQ4607,MeanMinAge13))),0)</f>
        <v/>
      </c>
      <c r="AR4524">
        <f>IF('01_Вводные'!$B$234="Да",IF(OR('19_Расчет_аналитики'!AR4496=0,13&lt;='01_Вводные'!$B$297),0,'19_Расчет_аналитики'!AR4496*IF('01_Вводные'!$B$239="Да",MeanMinAge13+'19_Расчет_аналитики'!AR4607*SUMIF(ThresholdAge13,"&lt;"&amp;'19_Расчет_аналитики'!AR4607,WeightedRevAge13)-SUMIF(ThresholdAge13,"&lt;"&amp;'19_Расчет_аналитики'!AR4607,WeightedMinAge13),MAX(CapacityAge13*'01_Вводные'!$B$218*'19_Расчет_аналитики'!AR4607,MeanMinAge13))),0)</f>
        <v/>
      </c>
      <c r="AS4524">
        <f>IF('01_Вводные'!$B$234="Да",IF(OR('19_Расчет_аналитики'!AS4496=0,13&lt;='01_Вводные'!$B$297),0,'19_Расчет_аналитики'!AS4496*IF('01_Вводные'!$B$239="Да",MeanMinAge13+'19_Расчет_аналитики'!AS4607*SUMIF(ThresholdAge13,"&lt;"&amp;'19_Расчет_аналитики'!AS4607,WeightedRevAge13)-SUMIF(ThresholdAge13,"&lt;"&amp;'19_Расчет_аналитики'!AS4607,WeightedMinAge13),MAX(CapacityAge13*'01_Вводные'!$B$218*'19_Расчет_аналитики'!AS4607,MeanMinAge13))),0)</f>
        <v/>
      </c>
      <c r="AT4524">
        <f>IF('01_Вводные'!$B$234="Да",IF(OR('19_Расчет_аналитики'!AT4496=0,13&lt;='01_Вводные'!$B$297),0,'19_Расчет_аналитики'!AT4496*IF('01_Вводные'!$B$239="Да",MeanMinAge13+'19_Расчет_аналитики'!AT4607*SUMIF(ThresholdAge13,"&lt;"&amp;'19_Расчет_аналитики'!AT4607,WeightedRevAge13)-SUMIF(ThresholdAge13,"&lt;"&amp;'19_Расчет_аналитики'!AT4607,WeightedMinAge13),MAX(CapacityAge13*'01_Вводные'!$B$218*'19_Расчет_аналитики'!AT4607,MeanMinAge13))),0)</f>
        <v/>
      </c>
      <c r="AU4524">
        <f>IF('01_Вводные'!$B$234="Да",IF(OR('19_Расчет_аналитики'!AU4496=0,13&lt;='01_Вводные'!$B$297),0,'19_Расчет_аналитики'!AU4496*IF('01_Вводные'!$B$239="Да",MeanMinAge13+'19_Расчет_аналитики'!AU4607*SUMIF(ThresholdAge13,"&lt;"&amp;'19_Расчет_аналитики'!AU4607,WeightedRevAge13)-SUMIF(ThresholdAge13,"&lt;"&amp;'19_Расчет_аналитики'!AU4607,WeightedMinAge13),MAX(CapacityAge13*'01_Вводные'!$B$218*'19_Расчет_аналитики'!AU4607,MeanMinAge13))),0)</f>
        <v/>
      </c>
      <c r="AV4524">
        <f>IF('01_Вводные'!$B$234="Да",IF(OR('19_Расчет_аналитики'!AV4496=0,13&lt;='01_Вводные'!$B$297),0,'19_Расчет_аналитики'!AV4496*IF('01_Вводные'!$B$239="Да",MeanMinAge13+'19_Расчет_аналитики'!AV4607*SUMIF(ThresholdAge13,"&lt;"&amp;'19_Расчет_аналитики'!AV4607,WeightedRevAge13)-SUMIF(ThresholdAge13,"&lt;"&amp;'19_Расчет_аналитики'!AV4607,WeightedMinAge13),MAX(CapacityAge13*'01_Вводные'!$B$218*'19_Расчет_аналитики'!AV4607,MeanMinAge13))),0)</f>
        <v/>
      </c>
      <c r="AW4524">
        <f>IF('01_Вводные'!$B$234="Да",IF(OR('19_Расчет_аналитики'!AW4496=0,13&lt;='01_Вводные'!$B$297),0,'19_Расчет_аналитики'!AW4496*IF('01_Вводные'!$B$239="Да",MeanMinAge13+'19_Расчет_аналитики'!AW4607*SUMIF(ThresholdAge13,"&lt;"&amp;'19_Расчет_аналитики'!AW4607,WeightedRevAge13)-SUMIF(ThresholdAge13,"&lt;"&amp;'19_Расчет_аналитики'!AW4607,WeightedMinAge13),MAX(CapacityAge13*'01_Вводные'!$B$218*'19_Расчет_аналитики'!AW4607,MeanMinAge13))),0)</f>
        <v/>
      </c>
      <c r="AX4524">
        <f>IF('01_Вводные'!$B$234="Да",IF(OR('19_Расчет_аналитики'!AX4496=0,13&lt;='01_Вводные'!$B$297),0,'19_Расчет_аналитики'!AX4496*IF('01_Вводные'!$B$239="Да",MeanMinAge13+'19_Расчет_аналитики'!AX4607*SUMIF(ThresholdAge13,"&lt;"&amp;'19_Расчет_аналитики'!AX4607,WeightedRevAge13)-SUMIF(ThresholdAge13,"&lt;"&amp;'19_Расчет_аналитики'!AX4607,WeightedMinAge13),MAX(CapacityAge13*'01_Вводные'!$B$218*'19_Расчет_аналитики'!AX4607,MeanMinAge13))),0)</f>
        <v/>
      </c>
      <c r="AY4524">
        <f>IF('01_Вводные'!$B$234="Да",IF(OR('19_Расчет_аналитики'!AY4496=0,13&lt;='01_Вводные'!$B$297),0,'19_Расчет_аналитики'!AY4496*IF('01_Вводные'!$B$239="Да",MeanMinAge13+'19_Расчет_аналитики'!AY4607*SUMIF(ThresholdAge13,"&lt;"&amp;'19_Расчет_аналитики'!AY4607,WeightedRevAge13)-SUMIF(ThresholdAge13,"&lt;"&amp;'19_Расчет_аналитики'!AY4607,WeightedMinAge13),MAX(CapacityAge13*'01_Вводные'!$B$218*'19_Расчет_аналитики'!AY4607,MeanMinAge13))),0)</f>
        <v/>
      </c>
      <c r="AZ4524">
        <f>IF('01_Вводные'!$B$234="Да",IF(OR('19_Расчет_аналитики'!AZ4496=0,13&lt;='01_Вводные'!$B$297),0,'19_Расчет_аналитики'!AZ4496*IF('01_Вводные'!$B$239="Да",MeanMinAge13+'19_Расчет_аналитики'!AZ4607*SUMIF(ThresholdAge13,"&lt;"&amp;'19_Расчет_аналитики'!AZ4607,WeightedRevAge13)-SUMIF(ThresholdAge13,"&lt;"&amp;'19_Расчет_аналитики'!AZ4607,WeightedMinAge13),MAX(CapacityAge13*'01_Вводные'!$B$218*'19_Расчет_аналитики'!AZ4607,MeanMinAge13))),0)</f>
        <v/>
      </c>
      <c r="BA4524">
        <f>IF('01_Вводные'!$B$234="Да",IF(OR('19_Расчет_аналитики'!BA4496=0,13&lt;='01_Вводные'!$B$297),0,'19_Расчет_аналитики'!BA4496*IF('01_Вводные'!$B$239="Да",MeanMinAge13+'19_Расчет_аналитики'!BA4607*SUMIF(ThresholdAge13,"&lt;"&amp;'19_Расчет_аналитики'!BA4607,WeightedRevAge13)-SUMIF(ThresholdAge13,"&lt;"&amp;'19_Расчет_аналитики'!BA4607,WeightedMinAge13),MAX(CapacityAge13*'01_Вводные'!$B$218*'19_Расчет_аналитики'!BA4607,MeanMinAge13))),0)</f>
        <v/>
      </c>
      <c r="BB4524">
        <f>IF('01_Вводные'!$B$234="Да",IF(OR('19_Расчет_аналитики'!BB4496=0,13&lt;='01_Вводные'!$B$297),0,'19_Расчет_аналитики'!BB4496*IF('01_Вводные'!$B$239="Да",MeanMinAge13+'19_Расчет_аналитики'!BB4607*SUMIF(ThresholdAge13,"&lt;"&amp;'19_Расчет_аналитики'!BB4607,WeightedRevAge13)-SUMIF(ThresholdAge13,"&lt;"&amp;'19_Расчет_аналитики'!BB4607,WeightedMinAge13),MAX(CapacityAge13*'01_Вводные'!$B$218*'19_Расчет_аналитики'!BB4607,MeanMinAge13))),0)</f>
        <v/>
      </c>
      <c r="BC4524">
        <f>IF('01_Вводные'!$B$234="Да",IF(OR('19_Расчет_аналитики'!BC4496=0,13&lt;='01_Вводные'!$B$297),0,'19_Расчет_аналитики'!BC4496*IF('01_Вводные'!$B$239="Да",MeanMinAge13+'19_Расчет_аналитики'!BC4607*SUMIF(ThresholdAge13,"&lt;"&amp;'19_Расчет_аналитики'!BC4607,WeightedRevAge13)-SUMIF(ThresholdAge13,"&lt;"&amp;'19_Расчет_аналитики'!BC4607,WeightedMinAge13),MAX(CapacityAge13*'01_Вводные'!$B$218*'19_Расчет_аналитики'!BC4607,MeanMinAge13))),0)</f>
        <v/>
      </c>
      <c r="BD4524">
        <f>IF('01_Вводные'!$B$234="Да",IF(OR('19_Расчет_аналитики'!BD4496=0,13&lt;='01_Вводные'!$B$297),0,'19_Расчет_аналитики'!BD4496*IF('01_Вводные'!$B$239="Да",MeanMinAge13+'19_Расчет_аналитики'!BD4607*SUMIF(ThresholdAge13,"&lt;"&amp;'19_Расчет_аналитики'!BD4607,WeightedRevAge13)-SUMIF(ThresholdAge13,"&lt;"&amp;'19_Расчет_аналитики'!BD4607,WeightedMinAge13),MAX(CapacityAge13*'01_Вводные'!$B$218*'19_Расчет_аналитики'!BD4607,MeanMinAge13))),0)</f>
        <v/>
      </c>
      <c r="BE4524">
        <f>IF('01_Вводные'!$B$234="Да",IF(OR('19_Расчет_аналитики'!BE4496=0,13&lt;='01_Вводные'!$B$297),0,'19_Расчет_аналитики'!BE4496*IF('01_Вводные'!$B$239="Да",MeanMinAge13+'19_Расчет_аналитики'!BE4607*SUMIF(ThresholdAge13,"&lt;"&amp;'19_Расчет_аналитики'!BE4607,WeightedRevAge13)-SUMIF(ThresholdAge13,"&lt;"&amp;'19_Расчет_аналитики'!BE4607,WeightedMinAge13),MAX(CapacityAge13*'01_Вводные'!$B$218*'19_Расчет_аналитики'!BE4607,MeanMinAge13))),0)</f>
        <v/>
      </c>
      <c r="BF4524">
        <f>IF('01_Вводные'!$B$234="Да",IF(OR('19_Расчет_аналитики'!BF4496=0,13&lt;='01_Вводные'!$B$297),0,'19_Расчет_аналитики'!BF4496*IF('01_Вводные'!$B$239="Да",MeanMinAge13+'19_Расчет_аналитики'!BF4607*SUMIF(ThresholdAge13,"&lt;"&amp;'19_Расчет_аналитики'!BF4607,WeightedRevAge13)-SUMIF(ThresholdAge13,"&lt;"&amp;'19_Расчет_аналитики'!BF4607,WeightedMinAge13),MAX(CapacityAge13*'01_Вводные'!$B$218*'19_Расчет_аналитики'!BF4607,MeanMinAge13))),0)</f>
        <v/>
      </c>
      <c r="BG4524">
        <f>IF('01_Вводные'!$B$234="Да",IF(OR('19_Расчет_аналитики'!BG4496=0,13&lt;='01_Вводные'!$B$297),0,'19_Расчет_аналитики'!BG4496*IF('01_Вводные'!$B$239="Да",MeanMinAge13+'19_Расчет_аналитики'!BG4607*SUMIF(ThresholdAge13,"&lt;"&amp;'19_Расчет_аналитики'!BG4607,WeightedRevAge13)-SUMIF(ThresholdAge13,"&lt;"&amp;'19_Расчет_аналитики'!BG4607,WeightedMinAge13),MAX(CapacityAge13*'01_Вводные'!$B$218*'19_Расчет_аналитики'!BG4607,MeanMinAge13))),0)</f>
        <v/>
      </c>
      <c r="BH4524">
        <f>IF('01_Вводные'!$B$234="Да",IF(OR('19_Расчет_аналитики'!BH4496=0,13&lt;='01_Вводные'!$B$297),0,'19_Расчет_аналитики'!BH4496*IF('01_Вводные'!$B$239="Да",MeanMinAge13+'19_Расчет_аналитики'!BH4607*SUMIF(ThresholdAge13,"&lt;"&amp;'19_Расчет_аналитики'!BH4607,WeightedRevAge13)-SUMIF(ThresholdAge13,"&lt;"&amp;'19_Расчет_аналитики'!BH4607,WeightedMinAge13),MAX(CapacityAge13*'01_Вводные'!$B$218*'19_Расчет_аналитики'!BH4607,MeanMinAge13))),0)</f>
        <v/>
      </c>
      <c r="BI4524">
        <f>IF('01_Вводные'!$B$234="Да",IF(OR('19_Расчет_аналитики'!BI4496=0,13&lt;='01_Вводные'!$B$297),0,'19_Расчет_аналитики'!BI4496*IF('01_Вводные'!$B$239="Да",MeanMinAge13+'19_Расчет_аналитики'!BI4607*SUMIF(ThresholdAge13,"&lt;"&amp;'19_Расчет_аналитики'!BI4607,WeightedRevAge13)-SUMIF(ThresholdAge13,"&lt;"&amp;'19_Расчет_аналитики'!BI4607,WeightedMinAge13),MAX(CapacityAge13*'01_Вводные'!$B$218*'19_Расчет_аналитики'!BI4607,MeanMinAge13))),0)</f>
        <v/>
      </c>
      <c r="BJ4524">
        <f>IF('01_Вводные'!$B$234="Да",IF(OR('19_Расчет_аналитики'!BJ4496=0,13&lt;='01_Вводные'!$B$297),0,'19_Расчет_аналитики'!BJ4496*IF('01_Вводные'!$B$239="Да",MeanMinAge13+'19_Расчет_аналитики'!BJ4607*SUMIF(ThresholdAge13,"&lt;"&amp;'19_Расчет_аналитики'!BJ4607,WeightedRevAge13)-SUMIF(ThresholdAge13,"&lt;"&amp;'19_Расчет_аналитики'!BJ4607,WeightedMinAge13),MAX(CapacityAge13*'01_Вводные'!$B$218*'19_Расчет_аналитики'!BJ4607,MeanMinAge13))),0)</f>
        <v/>
      </c>
      <c r="BK4524">
        <f>IF('01_Вводные'!$B$234="Да",IF(OR('19_Расчет_аналитики'!BK4496=0,13&lt;='01_Вводные'!$B$297),0,'19_Расчет_аналитики'!BK4496*IF('01_Вводные'!$B$239="Да",MeanMinAge13+'19_Расчет_аналитики'!BK4607*SUMIF(ThresholdAge13,"&lt;"&amp;'19_Расчет_аналитики'!BK4607,WeightedRevAge13)-SUMIF(ThresholdAge13,"&lt;"&amp;'19_Расчет_аналитики'!BK4607,WeightedMinAge13),MAX(CapacityAge13*'01_Вводные'!$B$218*'19_Расчет_аналитики'!BK4607,MeanMinAge13))),0)</f>
        <v/>
      </c>
      <c r="BL4524">
        <f>IF('01_Вводные'!$B$234="Да",IF(OR('19_Расчет_аналитики'!BL4496=0,13&lt;='01_Вводные'!$B$297),0,'19_Расчет_аналитики'!BL4496*IF('01_Вводные'!$B$239="Да",MeanMinAge13+'19_Расчет_аналитики'!BL4607*SUMIF(ThresholdAge13,"&lt;"&amp;'19_Расчет_аналитики'!BL4607,WeightedRevAge13)-SUMIF(ThresholdAge13,"&lt;"&amp;'19_Расчет_аналитики'!BL4607,WeightedMinAge13),MAX(CapacityAge13*'01_Вводные'!$B$218*'19_Расчет_аналитики'!BL4607,MeanMinAge13))),0)</f>
        <v/>
      </c>
      <c r="BM4524">
        <f>IF('01_Вводные'!$B$234="Да",IF(OR('19_Расчет_аналитики'!BM4496=0,13&lt;='01_Вводные'!$B$297),0,'19_Расчет_аналитики'!BM4496*IF('01_Вводные'!$B$239="Да",MeanMinAge13+'19_Расчет_аналитики'!BM4607*SUMIF(ThresholdAge13,"&lt;"&amp;'19_Расчет_аналитики'!BM4607,WeightedRevAge13)-SUMIF(ThresholdAge13,"&lt;"&amp;'19_Расчет_аналитики'!BM4607,WeightedMinAge13),MAX(CapacityAge13*'01_Вводные'!$B$218*'19_Расчет_аналитики'!BM4607,MeanMinAge13))),0)</f>
        <v/>
      </c>
      <c r="BN4524">
        <f>IF('01_Вводные'!$B$234="Да",IF(OR('19_Расчет_аналитики'!BN4496=0,13&lt;='01_Вводные'!$B$297),0,'19_Расчет_аналитики'!BN4496*IF('01_Вводные'!$B$239="Да",MeanMinAge13+'19_Расчет_аналитики'!BN4607*SUMIF(ThresholdAge13,"&lt;"&amp;'19_Расчет_аналитики'!BN4607,WeightedRevAge13)-SUMIF(ThresholdAge13,"&lt;"&amp;'19_Расчет_аналитики'!BN4607,WeightedMinAge13),MAX(CapacityAge13*'01_Вводные'!$B$218*'19_Расчет_аналитики'!BN4607,MeanMinAge13))),0)</f>
        <v/>
      </c>
      <c r="BO4524">
        <f>IF('01_Вводные'!$B$234="Да",IF(OR('19_Расчет_аналитики'!BO4496=0,13&lt;='01_Вводные'!$B$297),0,'19_Расчет_аналитики'!BO4496*IF('01_Вводные'!$B$239="Да",MeanMinAge13+'19_Расчет_аналитики'!BO4607*SUMIF(ThresholdAge13,"&lt;"&amp;'19_Расчет_аналитики'!BO4607,WeightedRevAge13)-SUMIF(ThresholdAge13,"&lt;"&amp;'19_Расчет_аналитики'!BO4607,WeightedMinAge13),MAX(CapacityAge13*'01_Вводные'!$B$218*'19_Расчет_аналитики'!BO4607,MeanMinAge13))),0)</f>
        <v/>
      </c>
    </row>
    <row r="4525">
      <c r="B4525">
        <f>IF('01_Вводные'!$B$234="Да",IF(OR('06_Сеть_и_дети'!B94=0,14&lt;='01_Вводные'!$B$297),0,'06_Сеть_и_дети'!B94*IF('01_Вводные'!$B$239="Да",MeanMinAge14+'19_Расчет_аналитики'!B4607*SUMIF(ThresholdAge14,"&lt;"&amp;'19_Расчет_аналитики'!B4607,WeightedRevAge14)-SUMIF(ThresholdAge14,"&lt;"&amp;'19_Расчет_аналитики'!B4607,WeightedMinAge14),MAX(CapacityAge14*'01_Вводные'!$B$218*'19_Расчет_аналитики'!B4607,MeanMinAge14))),0)</f>
        <v/>
      </c>
      <c r="C4525">
        <f>IF('01_Вводные'!$B$234="Да",IF(OR('06_Сеть_и_дети'!C94=0,14&lt;='01_Вводные'!$B$297),0,'06_Сеть_и_дети'!C94*IF('01_Вводные'!$B$239="Да",MeanMinAge14+'19_Расчет_аналитики'!C4607*SUMIF(ThresholdAge14,"&lt;"&amp;'19_Расчет_аналитики'!C4607,WeightedRevAge14)-SUMIF(ThresholdAge14,"&lt;"&amp;'19_Расчет_аналитики'!C4607,WeightedMinAge14),MAX(CapacityAge14*'01_Вводные'!$B$218*'19_Расчет_аналитики'!C4607,MeanMinAge14))),0)</f>
        <v/>
      </c>
      <c r="D4525">
        <f>IF('01_Вводные'!$B$234="Да",IF(OR('06_Сеть_и_дети'!D94=0,14&lt;='01_Вводные'!$B$297),0,'06_Сеть_и_дети'!D94*IF('01_Вводные'!$B$239="Да",MeanMinAge14+'19_Расчет_аналитики'!D4607*SUMIF(ThresholdAge14,"&lt;"&amp;'19_Расчет_аналитики'!D4607,WeightedRevAge14)-SUMIF(ThresholdAge14,"&lt;"&amp;'19_Расчет_аналитики'!D4607,WeightedMinAge14),MAX(CapacityAge14*'01_Вводные'!$B$218*'19_Расчет_аналитики'!D4607,MeanMinAge14))),0)</f>
        <v/>
      </c>
      <c r="E4525">
        <f>IF('01_Вводные'!$B$234="Да",IF(OR('06_Сеть_и_дети'!E94=0,14&lt;='01_Вводные'!$B$297),0,'06_Сеть_и_дети'!E94*IF('01_Вводные'!$B$239="Да",MeanMinAge14+'19_Расчет_аналитики'!E4607*SUMIF(ThresholdAge14,"&lt;"&amp;'19_Расчет_аналитики'!E4607,WeightedRevAge14)-SUMIF(ThresholdAge14,"&lt;"&amp;'19_Расчет_аналитики'!E4607,WeightedMinAge14),MAX(CapacityAge14*'01_Вводные'!$B$218*'19_Расчет_аналитики'!E4607,MeanMinAge14))),0)</f>
        <v/>
      </c>
      <c r="F4525">
        <f>IF('01_Вводные'!$B$234="Да",IF(OR('06_Сеть_и_дети'!F94=0,14&lt;='01_Вводные'!$B$297),0,'06_Сеть_и_дети'!F94*IF('01_Вводные'!$B$239="Да",MeanMinAge14+'19_Расчет_аналитики'!F4607*SUMIF(ThresholdAge14,"&lt;"&amp;'19_Расчет_аналитики'!F4607,WeightedRevAge14)-SUMIF(ThresholdAge14,"&lt;"&amp;'19_Расчет_аналитики'!F4607,WeightedMinAge14),MAX(CapacityAge14*'01_Вводные'!$B$218*'19_Расчет_аналитики'!F4607,MeanMinAge14))),0)</f>
        <v/>
      </c>
      <c r="G4525">
        <f>IF('01_Вводные'!$B$234="Да",IF(OR('06_Сеть_и_дети'!G94=0,14&lt;='01_Вводные'!$B$297),0,'06_Сеть_и_дети'!G94*IF('01_Вводные'!$B$239="Да",MeanMinAge14+'19_Расчет_аналитики'!G4607*SUMIF(ThresholdAge14,"&lt;"&amp;'19_Расчет_аналитики'!G4607,WeightedRevAge14)-SUMIF(ThresholdAge14,"&lt;"&amp;'19_Расчет_аналитики'!G4607,WeightedMinAge14),MAX(CapacityAge14*'01_Вводные'!$B$218*'19_Расчет_аналитики'!G4607,MeanMinAge14))),0)</f>
        <v/>
      </c>
      <c r="H4525">
        <f>IF('01_Вводные'!$B$234="Да",IF(OR('06_Сеть_и_дети'!H94=0,14&lt;='01_Вводные'!$B$297),0,'06_Сеть_и_дети'!H94*IF('01_Вводные'!$B$239="Да",MeanMinAge14+'19_Расчет_аналитики'!H4607*SUMIF(ThresholdAge14,"&lt;"&amp;'19_Расчет_аналитики'!H4607,WeightedRevAge14)-SUMIF(ThresholdAge14,"&lt;"&amp;'19_Расчет_аналитики'!H4607,WeightedMinAge14),MAX(CapacityAge14*'01_Вводные'!$B$218*'19_Расчет_аналитики'!H4607,MeanMinAge14))),0)</f>
        <v/>
      </c>
      <c r="I4525">
        <f>IF('01_Вводные'!$B$234="Да",IF(OR('06_Сеть_и_дети'!I94=0,14&lt;='01_Вводные'!$B$297),0,'06_Сеть_и_дети'!I94*IF('01_Вводные'!$B$239="Да",MeanMinAge14+'19_Расчет_аналитики'!I4607*SUMIF(ThresholdAge14,"&lt;"&amp;'19_Расчет_аналитики'!I4607,WeightedRevAge14)-SUMIF(ThresholdAge14,"&lt;"&amp;'19_Расчет_аналитики'!I4607,WeightedMinAge14),MAX(CapacityAge14*'01_Вводные'!$B$218*'19_Расчет_аналитики'!I4607,MeanMinAge14))),0)</f>
        <v/>
      </c>
      <c r="J4525">
        <f>IF('01_Вводные'!$B$234="Да",IF(OR('06_Сеть_и_дети'!J94=0,14&lt;='01_Вводные'!$B$297),0,'06_Сеть_и_дети'!J94*IF('01_Вводные'!$B$239="Да",MeanMinAge14+'19_Расчет_аналитики'!J4607*SUMIF(ThresholdAge14,"&lt;"&amp;'19_Расчет_аналитики'!J4607,WeightedRevAge14)-SUMIF(ThresholdAge14,"&lt;"&amp;'19_Расчет_аналитики'!J4607,WeightedMinAge14),MAX(CapacityAge14*'01_Вводные'!$B$218*'19_Расчет_аналитики'!J4607,MeanMinAge14))),0)</f>
        <v/>
      </c>
      <c r="K4525">
        <f>IF('01_Вводные'!$B$234="Да",IF(OR('06_Сеть_и_дети'!K94=0,14&lt;='01_Вводные'!$B$297),0,'06_Сеть_и_дети'!K94*IF('01_Вводные'!$B$239="Да",MeanMinAge14+'19_Расчет_аналитики'!K4607*SUMIF(ThresholdAge14,"&lt;"&amp;'19_Расчет_аналитики'!K4607,WeightedRevAge14)-SUMIF(ThresholdAge14,"&lt;"&amp;'19_Расчет_аналитики'!K4607,WeightedMinAge14),MAX(CapacityAge14*'01_Вводные'!$B$218*'19_Расчет_аналитики'!K4607,MeanMinAge14))),0)</f>
        <v/>
      </c>
      <c r="L4525">
        <f>IF('01_Вводные'!$B$234="Да",IF(OR('06_Сеть_и_дети'!L94=0,14&lt;='01_Вводные'!$B$297),0,'06_Сеть_и_дети'!L94*IF('01_Вводные'!$B$239="Да",MeanMinAge14+'19_Расчет_аналитики'!L4607*SUMIF(ThresholdAge14,"&lt;"&amp;'19_Расчет_аналитики'!L4607,WeightedRevAge14)-SUMIF(ThresholdAge14,"&lt;"&amp;'19_Расчет_аналитики'!L4607,WeightedMinAge14),MAX(CapacityAge14*'01_Вводные'!$B$218*'19_Расчет_аналитики'!L4607,MeanMinAge14))),0)</f>
        <v/>
      </c>
      <c r="M4525">
        <f>IF('01_Вводные'!$B$234="Да",IF(OR('06_Сеть_и_дети'!M94=0,14&lt;='01_Вводные'!$B$297),0,'06_Сеть_и_дети'!M94*IF('01_Вводные'!$B$239="Да",MeanMinAge14+'19_Расчет_аналитики'!M4607*SUMIF(ThresholdAge14,"&lt;"&amp;'19_Расчет_аналитики'!M4607,WeightedRevAge14)-SUMIF(ThresholdAge14,"&lt;"&amp;'19_Расчет_аналитики'!M4607,WeightedMinAge14),MAX(CapacityAge14*'01_Вводные'!$B$218*'19_Расчет_аналитики'!M4607,MeanMinAge14))),0)</f>
        <v/>
      </c>
      <c r="N4525">
        <f>IF('01_Вводные'!$B$234="Да",IF(OR('06_Сеть_и_дети'!N94=0,14&lt;='01_Вводные'!$B$297),0,'06_Сеть_и_дети'!N94*IF('01_Вводные'!$B$239="Да",MeanMinAge14+'19_Расчет_аналитики'!N4607*SUMIF(ThresholdAge14,"&lt;"&amp;'19_Расчет_аналитики'!N4607,WeightedRevAge14)-SUMIF(ThresholdAge14,"&lt;"&amp;'19_Расчет_аналитики'!N4607,WeightedMinAge14),MAX(CapacityAge14*'01_Вводные'!$B$218*'19_Расчет_аналитики'!N4607,MeanMinAge14))),0)</f>
        <v/>
      </c>
      <c r="O4525">
        <f>IF('01_Вводные'!$B$234="Да",IF(OR('19_Расчет_аналитики'!O4497=0,14&lt;='01_Вводные'!$B$297),0,'19_Расчет_аналитики'!O4497*IF('01_Вводные'!$B$239="Да",MeanMinAge14+'19_Расчет_аналитики'!O4607*SUMIF(ThresholdAge14,"&lt;"&amp;'19_Расчет_аналитики'!O4607,WeightedRevAge14)-SUMIF(ThresholdAge14,"&lt;"&amp;'19_Расчет_аналитики'!O4607,WeightedMinAge14),MAX(CapacityAge14*'01_Вводные'!$B$218*'19_Расчет_аналитики'!O4607,MeanMinAge14))),0)</f>
        <v/>
      </c>
      <c r="P4525">
        <f>IF('01_Вводные'!$B$234="Да",IF(OR('19_Расчет_аналитики'!P4497=0,14&lt;='01_Вводные'!$B$297),0,'19_Расчет_аналитики'!P4497*IF('01_Вводные'!$B$239="Да",MeanMinAge14+'19_Расчет_аналитики'!P4607*SUMIF(ThresholdAge14,"&lt;"&amp;'19_Расчет_аналитики'!P4607,WeightedRevAge14)-SUMIF(ThresholdAge14,"&lt;"&amp;'19_Расчет_аналитики'!P4607,WeightedMinAge14),MAX(CapacityAge14*'01_Вводные'!$B$218*'19_Расчет_аналитики'!P4607,MeanMinAge14))),0)</f>
        <v/>
      </c>
      <c r="Q4525">
        <f>IF('01_Вводные'!$B$234="Да",IF(OR('19_Расчет_аналитики'!Q4497=0,14&lt;='01_Вводные'!$B$297),0,'19_Расчет_аналитики'!Q4497*IF('01_Вводные'!$B$239="Да",MeanMinAge14+'19_Расчет_аналитики'!Q4607*SUMIF(ThresholdAge14,"&lt;"&amp;'19_Расчет_аналитики'!Q4607,WeightedRevAge14)-SUMIF(ThresholdAge14,"&lt;"&amp;'19_Расчет_аналитики'!Q4607,WeightedMinAge14),MAX(CapacityAge14*'01_Вводные'!$B$218*'19_Расчет_аналитики'!Q4607,MeanMinAge14))),0)</f>
        <v/>
      </c>
      <c r="R4525">
        <f>IF('01_Вводные'!$B$234="Да",IF(OR('19_Расчет_аналитики'!R4497=0,14&lt;='01_Вводные'!$B$297),0,'19_Расчет_аналитики'!R4497*IF('01_Вводные'!$B$239="Да",MeanMinAge14+'19_Расчет_аналитики'!R4607*SUMIF(ThresholdAge14,"&lt;"&amp;'19_Расчет_аналитики'!R4607,WeightedRevAge14)-SUMIF(ThresholdAge14,"&lt;"&amp;'19_Расчет_аналитики'!R4607,WeightedMinAge14),MAX(CapacityAge14*'01_Вводные'!$B$218*'19_Расчет_аналитики'!R4607,MeanMinAge14))),0)</f>
        <v/>
      </c>
      <c r="S4525">
        <f>IF('01_Вводные'!$B$234="Да",IF(OR('19_Расчет_аналитики'!S4497=0,14&lt;='01_Вводные'!$B$297),0,'19_Расчет_аналитики'!S4497*IF('01_Вводные'!$B$239="Да",MeanMinAge14+'19_Расчет_аналитики'!S4607*SUMIF(ThresholdAge14,"&lt;"&amp;'19_Расчет_аналитики'!S4607,WeightedRevAge14)-SUMIF(ThresholdAge14,"&lt;"&amp;'19_Расчет_аналитики'!S4607,WeightedMinAge14),MAX(CapacityAge14*'01_Вводные'!$B$218*'19_Расчет_аналитики'!S4607,MeanMinAge14))),0)</f>
        <v/>
      </c>
      <c r="T4525">
        <f>IF('01_Вводные'!$B$234="Да",IF(OR('19_Расчет_аналитики'!T4497=0,14&lt;='01_Вводные'!$B$297),0,'19_Расчет_аналитики'!T4497*IF('01_Вводные'!$B$239="Да",MeanMinAge14+'19_Расчет_аналитики'!T4607*SUMIF(ThresholdAge14,"&lt;"&amp;'19_Расчет_аналитики'!T4607,WeightedRevAge14)-SUMIF(ThresholdAge14,"&lt;"&amp;'19_Расчет_аналитики'!T4607,WeightedMinAge14),MAX(CapacityAge14*'01_Вводные'!$B$218*'19_Расчет_аналитики'!T4607,MeanMinAge14))),0)</f>
        <v/>
      </c>
      <c r="U4525">
        <f>IF('01_Вводные'!$B$234="Да",IF(OR('19_Расчет_аналитики'!U4497=0,14&lt;='01_Вводные'!$B$297),0,'19_Расчет_аналитики'!U4497*IF('01_Вводные'!$B$239="Да",MeanMinAge14+'19_Расчет_аналитики'!U4607*SUMIF(ThresholdAge14,"&lt;"&amp;'19_Расчет_аналитики'!U4607,WeightedRevAge14)-SUMIF(ThresholdAge14,"&lt;"&amp;'19_Расчет_аналитики'!U4607,WeightedMinAge14),MAX(CapacityAge14*'01_Вводные'!$B$218*'19_Расчет_аналитики'!U4607,MeanMinAge14))),0)</f>
        <v/>
      </c>
      <c r="V4525">
        <f>IF('01_Вводные'!$B$234="Да",IF(OR('19_Расчет_аналитики'!V4497=0,14&lt;='01_Вводные'!$B$297),0,'19_Расчет_аналитики'!V4497*IF('01_Вводные'!$B$239="Да",MeanMinAge14+'19_Расчет_аналитики'!V4607*SUMIF(ThresholdAge14,"&lt;"&amp;'19_Расчет_аналитики'!V4607,WeightedRevAge14)-SUMIF(ThresholdAge14,"&lt;"&amp;'19_Расчет_аналитики'!V4607,WeightedMinAge14),MAX(CapacityAge14*'01_Вводные'!$B$218*'19_Расчет_аналитики'!V4607,MeanMinAge14))),0)</f>
        <v/>
      </c>
      <c r="W4525">
        <f>IF('01_Вводные'!$B$234="Да",IF(OR('19_Расчет_аналитики'!W4497=0,14&lt;='01_Вводные'!$B$297),0,'19_Расчет_аналитики'!W4497*IF('01_Вводные'!$B$239="Да",MeanMinAge14+'19_Расчет_аналитики'!W4607*SUMIF(ThresholdAge14,"&lt;"&amp;'19_Расчет_аналитики'!W4607,WeightedRevAge14)-SUMIF(ThresholdAge14,"&lt;"&amp;'19_Расчет_аналитики'!W4607,WeightedMinAge14),MAX(CapacityAge14*'01_Вводные'!$B$218*'19_Расчет_аналитики'!W4607,MeanMinAge14))),0)</f>
        <v/>
      </c>
      <c r="X4525">
        <f>IF('01_Вводные'!$B$234="Да",IF(OR('19_Расчет_аналитики'!X4497=0,14&lt;='01_Вводные'!$B$297),0,'19_Расчет_аналитики'!X4497*IF('01_Вводные'!$B$239="Да",MeanMinAge14+'19_Расчет_аналитики'!X4607*SUMIF(ThresholdAge14,"&lt;"&amp;'19_Расчет_аналитики'!X4607,WeightedRevAge14)-SUMIF(ThresholdAge14,"&lt;"&amp;'19_Расчет_аналитики'!X4607,WeightedMinAge14),MAX(CapacityAge14*'01_Вводные'!$B$218*'19_Расчет_аналитики'!X4607,MeanMinAge14))),0)</f>
        <v/>
      </c>
      <c r="Y4525">
        <f>IF('01_Вводные'!$B$234="Да",IF(OR('19_Расчет_аналитики'!Y4497=0,14&lt;='01_Вводные'!$B$297),0,'19_Расчет_аналитики'!Y4497*IF('01_Вводные'!$B$239="Да",MeanMinAge14+'19_Расчет_аналитики'!Y4607*SUMIF(ThresholdAge14,"&lt;"&amp;'19_Расчет_аналитики'!Y4607,WeightedRevAge14)-SUMIF(ThresholdAge14,"&lt;"&amp;'19_Расчет_аналитики'!Y4607,WeightedMinAge14),MAX(CapacityAge14*'01_Вводные'!$B$218*'19_Расчет_аналитики'!Y4607,MeanMinAge14))),0)</f>
        <v/>
      </c>
      <c r="Z4525">
        <f>IF('01_Вводные'!$B$234="Да",IF(OR('19_Расчет_аналитики'!Z4497=0,14&lt;='01_Вводные'!$B$297),0,'19_Расчет_аналитики'!Z4497*IF('01_Вводные'!$B$239="Да",MeanMinAge14+'19_Расчет_аналитики'!Z4607*SUMIF(ThresholdAge14,"&lt;"&amp;'19_Расчет_аналитики'!Z4607,WeightedRevAge14)-SUMIF(ThresholdAge14,"&lt;"&amp;'19_Расчет_аналитики'!Z4607,WeightedMinAge14),MAX(CapacityAge14*'01_Вводные'!$B$218*'19_Расчет_аналитики'!Z4607,MeanMinAge14))),0)</f>
        <v/>
      </c>
      <c r="AA4525">
        <f>IF('01_Вводные'!$B$234="Да",IF(OR('19_Расчет_аналитики'!AA4497=0,14&lt;='01_Вводные'!$B$297),0,'19_Расчет_аналитики'!AA4497*IF('01_Вводные'!$B$239="Да",MeanMinAge14+'19_Расчет_аналитики'!AA4607*SUMIF(ThresholdAge14,"&lt;"&amp;'19_Расчет_аналитики'!AA4607,WeightedRevAge14)-SUMIF(ThresholdAge14,"&lt;"&amp;'19_Расчет_аналитики'!AA4607,WeightedMinAge14),MAX(CapacityAge14*'01_Вводные'!$B$218*'19_Расчет_аналитики'!AA4607,MeanMinAge14))),0)</f>
        <v/>
      </c>
      <c r="AB4525">
        <f>IF('01_Вводные'!$B$234="Да",IF(OR('19_Расчет_аналитики'!AB4497=0,14&lt;='01_Вводные'!$B$297),0,'19_Расчет_аналитики'!AB4497*IF('01_Вводные'!$B$239="Да",MeanMinAge14+'19_Расчет_аналитики'!AB4607*SUMIF(ThresholdAge14,"&lt;"&amp;'19_Расчет_аналитики'!AB4607,WeightedRevAge14)-SUMIF(ThresholdAge14,"&lt;"&amp;'19_Расчет_аналитики'!AB4607,WeightedMinAge14),MAX(CapacityAge14*'01_Вводные'!$B$218*'19_Расчет_аналитики'!AB4607,MeanMinAge14))),0)</f>
        <v/>
      </c>
      <c r="AC4525">
        <f>IF('01_Вводные'!$B$234="Да",IF(OR('19_Расчет_аналитики'!AC4497=0,14&lt;='01_Вводные'!$B$297),0,'19_Расчет_аналитики'!AC4497*IF('01_Вводные'!$B$239="Да",MeanMinAge14+'19_Расчет_аналитики'!AC4607*SUMIF(ThresholdAge14,"&lt;"&amp;'19_Расчет_аналитики'!AC4607,WeightedRevAge14)-SUMIF(ThresholdAge14,"&lt;"&amp;'19_Расчет_аналитики'!AC4607,WeightedMinAge14),MAX(CapacityAge14*'01_Вводные'!$B$218*'19_Расчет_аналитики'!AC4607,MeanMinAge14))),0)</f>
        <v/>
      </c>
      <c r="AD4525">
        <f>IF('01_Вводные'!$B$234="Да",IF(OR('19_Расчет_аналитики'!AD4497=0,14&lt;='01_Вводные'!$B$297),0,'19_Расчет_аналитики'!AD4497*IF('01_Вводные'!$B$239="Да",MeanMinAge14+'19_Расчет_аналитики'!AD4607*SUMIF(ThresholdAge14,"&lt;"&amp;'19_Расчет_аналитики'!AD4607,WeightedRevAge14)-SUMIF(ThresholdAge14,"&lt;"&amp;'19_Расчет_аналитики'!AD4607,WeightedMinAge14),MAX(CapacityAge14*'01_Вводные'!$B$218*'19_Расчет_аналитики'!AD4607,MeanMinAge14))),0)</f>
        <v/>
      </c>
      <c r="AE4525">
        <f>IF('01_Вводные'!$B$234="Да",IF(OR('19_Расчет_аналитики'!AE4497=0,14&lt;='01_Вводные'!$B$297),0,'19_Расчет_аналитики'!AE4497*IF('01_Вводные'!$B$239="Да",MeanMinAge14+'19_Расчет_аналитики'!AE4607*SUMIF(ThresholdAge14,"&lt;"&amp;'19_Расчет_аналитики'!AE4607,WeightedRevAge14)-SUMIF(ThresholdAge14,"&lt;"&amp;'19_Расчет_аналитики'!AE4607,WeightedMinAge14),MAX(CapacityAge14*'01_Вводные'!$B$218*'19_Расчет_аналитики'!AE4607,MeanMinAge14))),0)</f>
        <v/>
      </c>
      <c r="AF4525">
        <f>IF('01_Вводные'!$B$234="Да",IF(OR('19_Расчет_аналитики'!AF4497=0,14&lt;='01_Вводные'!$B$297),0,'19_Расчет_аналитики'!AF4497*IF('01_Вводные'!$B$239="Да",MeanMinAge14+'19_Расчет_аналитики'!AF4607*SUMIF(ThresholdAge14,"&lt;"&amp;'19_Расчет_аналитики'!AF4607,WeightedRevAge14)-SUMIF(ThresholdAge14,"&lt;"&amp;'19_Расчет_аналитики'!AF4607,WeightedMinAge14),MAX(CapacityAge14*'01_Вводные'!$B$218*'19_Расчет_аналитики'!AF4607,MeanMinAge14))),0)</f>
        <v/>
      </c>
      <c r="AG4525">
        <f>IF('01_Вводные'!$B$234="Да",IF(OR('19_Расчет_аналитики'!AG4497=0,14&lt;='01_Вводные'!$B$297),0,'19_Расчет_аналитики'!AG4497*IF('01_Вводные'!$B$239="Да",MeanMinAge14+'19_Расчет_аналитики'!AG4607*SUMIF(ThresholdAge14,"&lt;"&amp;'19_Расчет_аналитики'!AG4607,WeightedRevAge14)-SUMIF(ThresholdAge14,"&lt;"&amp;'19_Расчет_аналитики'!AG4607,WeightedMinAge14),MAX(CapacityAge14*'01_Вводные'!$B$218*'19_Расчет_аналитики'!AG4607,MeanMinAge14))),0)</f>
        <v/>
      </c>
      <c r="AH4525">
        <f>IF('01_Вводные'!$B$234="Да",IF(OR('19_Расчет_аналитики'!AH4497=0,14&lt;='01_Вводные'!$B$297),0,'19_Расчет_аналитики'!AH4497*IF('01_Вводные'!$B$239="Да",MeanMinAge14+'19_Расчет_аналитики'!AH4607*SUMIF(ThresholdAge14,"&lt;"&amp;'19_Расчет_аналитики'!AH4607,WeightedRevAge14)-SUMIF(ThresholdAge14,"&lt;"&amp;'19_Расчет_аналитики'!AH4607,WeightedMinAge14),MAX(CapacityAge14*'01_Вводные'!$B$218*'19_Расчет_аналитики'!AH4607,MeanMinAge14))),0)</f>
        <v/>
      </c>
      <c r="AI4525">
        <f>IF('01_Вводные'!$B$234="Да",IF(OR('19_Расчет_аналитики'!AI4497=0,14&lt;='01_Вводные'!$B$297),0,'19_Расчет_аналитики'!AI4497*IF('01_Вводные'!$B$239="Да",MeanMinAge14+'19_Расчет_аналитики'!AI4607*SUMIF(ThresholdAge14,"&lt;"&amp;'19_Расчет_аналитики'!AI4607,WeightedRevAge14)-SUMIF(ThresholdAge14,"&lt;"&amp;'19_Расчет_аналитики'!AI4607,WeightedMinAge14),MAX(CapacityAge14*'01_Вводные'!$B$218*'19_Расчет_аналитики'!AI4607,MeanMinAge14))),0)</f>
        <v/>
      </c>
      <c r="AJ4525">
        <f>IF('01_Вводные'!$B$234="Да",IF(OR('19_Расчет_аналитики'!AJ4497=0,14&lt;='01_Вводные'!$B$297),0,'19_Расчет_аналитики'!AJ4497*IF('01_Вводные'!$B$239="Да",MeanMinAge14+'19_Расчет_аналитики'!AJ4607*SUMIF(ThresholdAge14,"&lt;"&amp;'19_Расчет_аналитики'!AJ4607,WeightedRevAge14)-SUMIF(ThresholdAge14,"&lt;"&amp;'19_Расчет_аналитики'!AJ4607,WeightedMinAge14),MAX(CapacityAge14*'01_Вводные'!$B$218*'19_Расчет_аналитики'!AJ4607,MeanMinAge14))),0)</f>
        <v/>
      </c>
      <c r="AK4525">
        <f>IF('01_Вводные'!$B$234="Да",IF(OR('19_Расчет_аналитики'!AK4497=0,14&lt;='01_Вводные'!$B$297),0,'19_Расчет_аналитики'!AK4497*IF('01_Вводные'!$B$239="Да",MeanMinAge14+'19_Расчет_аналитики'!AK4607*SUMIF(ThresholdAge14,"&lt;"&amp;'19_Расчет_аналитики'!AK4607,WeightedRevAge14)-SUMIF(ThresholdAge14,"&lt;"&amp;'19_Расчет_аналитики'!AK4607,WeightedMinAge14),MAX(CapacityAge14*'01_Вводные'!$B$218*'19_Расчет_аналитики'!AK4607,MeanMinAge14))),0)</f>
        <v/>
      </c>
      <c r="AL4525">
        <f>IF('01_Вводные'!$B$234="Да",IF(OR('19_Расчет_аналитики'!AL4497=0,14&lt;='01_Вводные'!$B$297),0,'19_Расчет_аналитики'!AL4497*IF('01_Вводные'!$B$239="Да",MeanMinAge14+'19_Расчет_аналитики'!AL4607*SUMIF(ThresholdAge14,"&lt;"&amp;'19_Расчет_аналитики'!AL4607,WeightedRevAge14)-SUMIF(ThresholdAge14,"&lt;"&amp;'19_Расчет_аналитики'!AL4607,WeightedMinAge14),MAX(CapacityAge14*'01_Вводные'!$B$218*'19_Расчет_аналитики'!AL4607,MeanMinAge14))),0)</f>
        <v/>
      </c>
      <c r="AM4525">
        <f>IF('01_Вводные'!$B$234="Да",IF(OR('19_Расчет_аналитики'!AM4497=0,14&lt;='01_Вводные'!$B$297),0,'19_Расчет_аналитики'!AM4497*IF('01_Вводные'!$B$239="Да",MeanMinAge14+'19_Расчет_аналитики'!AM4607*SUMIF(ThresholdAge14,"&lt;"&amp;'19_Расчет_аналитики'!AM4607,WeightedRevAge14)-SUMIF(ThresholdAge14,"&lt;"&amp;'19_Расчет_аналитики'!AM4607,WeightedMinAge14),MAX(CapacityAge14*'01_Вводные'!$B$218*'19_Расчет_аналитики'!AM4607,MeanMinAge14))),0)</f>
        <v/>
      </c>
      <c r="AN4525">
        <f>IF('01_Вводные'!$B$234="Да",IF(OR('19_Расчет_аналитики'!AN4497=0,14&lt;='01_Вводные'!$B$297),0,'19_Расчет_аналитики'!AN4497*IF('01_Вводные'!$B$239="Да",MeanMinAge14+'19_Расчет_аналитики'!AN4607*SUMIF(ThresholdAge14,"&lt;"&amp;'19_Расчет_аналитики'!AN4607,WeightedRevAge14)-SUMIF(ThresholdAge14,"&lt;"&amp;'19_Расчет_аналитики'!AN4607,WeightedMinAge14),MAX(CapacityAge14*'01_Вводные'!$B$218*'19_Расчет_аналитики'!AN4607,MeanMinAge14))),0)</f>
        <v/>
      </c>
      <c r="AO4525">
        <f>IF('01_Вводные'!$B$234="Да",IF(OR('19_Расчет_аналитики'!AO4497=0,14&lt;='01_Вводные'!$B$297),0,'19_Расчет_аналитики'!AO4497*IF('01_Вводные'!$B$239="Да",MeanMinAge14+'19_Расчет_аналитики'!AO4607*SUMIF(ThresholdAge14,"&lt;"&amp;'19_Расчет_аналитики'!AO4607,WeightedRevAge14)-SUMIF(ThresholdAge14,"&lt;"&amp;'19_Расчет_аналитики'!AO4607,WeightedMinAge14),MAX(CapacityAge14*'01_Вводные'!$B$218*'19_Расчет_аналитики'!AO4607,MeanMinAge14))),0)</f>
        <v/>
      </c>
      <c r="AP4525">
        <f>IF('01_Вводные'!$B$234="Да",IF(OR('19_Расчет_аналитики'!AP4497=0,14&lt;='01_Вводные'!$B$297),0,'19_Расчет_аналитики'!AP4497*IF('01_Вводные'!$B$239="Да",MeanMinAge14+'19_Расчет_аналитики'!AP4607*SUMIF(ThresholdAge14,"&lt;"&amp;'19_Расчет_аналитики'!AP4607,WeightedRevAge14)-SUMIF(ThresholdAge14,"&lt;"&amp;'19_Расчет_аналитики'!AP4607,WeightedMinAge14),MAX(CapacityAge14*'01_Вводные'!$B$218*'19_Расчет_аналитики'!AP4607,MeanMinAge14))),0)</f>
        <v/>
      </c>
      <c r="AQ4525">
        <f>IF('01_Вводные'!$B$234="Да",IF(OR('19_Расчет_аналитики'!AQ4497=0,14&lt;='01_Вводные'!$B$297),0,'19_Расчет_аналитики'!AQ4497*IF('01_Вводные'!$B$239="Да",MeanMinAge14+'19_Расчет_аналитики'!AQ4607*SUMIF(ThresholdAge14,"&lt;"&amp;'19_Расчет_аналитики'!AQ4607,WeightedRevAge14)-SUMIF(ThresholdAge14,"&lt;"&amp;'19_Расчет_аналитики'!AQ4607,WeightedMinAge14),MAX(CapacityAge14*'01_Вводные'!$B$218*'19_Расчет_аналитики'!AQ4607,MeanMinAge14))),0)</f>
        <v/>
      </c>
      <c r="AR4525">
        <f>IF('01_Вводные'!$B$234="Да",IF(OR('19_Расчет_аналитики'!AR4497=0,14&lt;='01_Вводные'!$B$297),0,'19_Расчет_аналитики'!AR4497*IF('01_Вводные'!$B$239="Да",MeanMinAge14+'19_Расчет_аналитики'!AR4607*SUMIF(ThresholdAge14,"&lt;"&amp;'19_Расчет_аналитики'!AR4607,WeightedRevAge14)-SUMIF(ThresholdAge14,"&lt;"&amp;'19_Расчет_аналитики'!AR4607,WeightedMinAge14),MAX(CapacityAge14*'01_Вводные'!$B$218*'19_Расчет_аналитики'!AR4607,MeanMinAge14))),0)</f>
        <v/>
      </c>
      <c r="AS4525">
        <f>IF('01_Вводные'!$B$234="Да",IF(OR('19_Расчет_аналитики'!AS4497=0,14&lt;='01_Вводные'!$B$297),0,'19_Расчет_аналитики'!AS4497*IF('01_Вводные'!$B$239="Да",MeanMinAge14+'19_Расчет_аналитики'!AS4607*SUMIF(ThresholdAge14,"&lt;"&amp;'19_Расчет_аналитики'!AS4607,WeightedRevAge14)-SUMIF(ThresholdAge14,"&lt;"&amp;'19_Расчет_аналитики'!AS4607,WeightedMinAge14),MAX(CapacityAge14*'01_Вводные'!$B$218*'19_Расчет_аналитики'!AS4607,MeanMinAge14))),0)</f>
        <v/>
      </c>
      <c r="AT4525">
        <f>IF('01_Вводные'!$B$234="Да",IF(OR('19_Расчет_аналитики'!AT4497=0,14&lt;='01_Вводные'!$B$297),0,'19_Расчет_аналитики'!AT4497*IF('01_Вводные'!$B$239="Да",MeanMinAge14+'19_Расчет_аналитики'!AT4607*SUMIF(ThresholdAge14,"&lt;"&amp;'19_Расчет_аналитики'!AT4607,WeightedRevAge14)-SUMIF(ThresholdAge14,"&lt;"&amp;'19_Расчет_аналитики'!AT4607,WeightedMinAge14),MAX(CapacityAge14*'01_Вводные'!$B$218*'19_Расчет_аналитики'!AT4607,MeanMinAge14))),0)</f>
        <v/>
      </c>
      <c r="AU4525">
        <f>IF('01_Вводные'!$B$234="Да",IF(OR('19_Расчет_аналитики'!AU4497=0,14&lt;='01_Вводные'!$B$297),0,'19_Расчет_аналитики'!AU4497*IF('01_Вводные'!$B$239="Да",MeanMinAge14+'19_Расчет_аналитики'!AU4607*SUMIF(ThresholdAge14,"&lt;"&amp;'19_Расчет_аналитики'!AU4607,WeightedRevAge14)-SUMIF(ThresholdAge14,"&lt;"&amp;'19_Расчет_аналитики'!AU4607,WeightedMinAge14),MAX(CapacityAge14*'01_Вводные'!$B$218*'19_Расчет_аналитики'!AU4607,MeanMinAge14))),0)</f>
        <v/>
      </c>
      <c r="AV4525">
        <f>IF('01_Вводные'!$B$234="Да",IF(OR('19_Расчет_аналитики'!AV4497=0,14&lt;='01_Вводные'!$B$297),0,'19_Расчет_аналитики'!AV4497*IF('01_Вводные'!$B$239="Да",MeanMinAge14+'19_Расчет_аналитики'!AV4607*SUMIF(ThresholdAge14,"&lt;"&amp;'19_Расчет_аналитики'!AV4607,WeightedRevAge14)-SUMIF(ThresholdAge14,"&lt;"&amp;'19_Расчет_аналитики'!AV4607,WeightedMinAge14),MAX(CapacityAge14*'01_Вводные'!$B$218*'19_Расчет_аналитики'!AV4607,MeanMinAge14))),0)</f>
        <v/>
      </c>
      <c r="AW4525">
        <f>IF('01_Вводные'!$B$234="Да",IF(OR('19_Расчет_аналитики'!AW4497=0,14&lt;='01_Вводные'!$B$297),0,'19_Расчет_аналитики'!AW4497*IF('01_Вводные'!$B$239="Да",MeanMinAge14+'19_Расчет_аналитики'!AW4607*SUMIF(ThresholdAge14,"&lt;"&amp;'19_Расчет_аналитики'!AW4607,WeightedRevAge14)-SUMIF(ThresholdAge14,"&lt;"&amp;'19_Расчет_аналитики'!AW4607,WeightedMinAge14),MAX(CapacityAge14*'01_Вводные'!$B$218*'19_Расчет_аналитики'!AW4607,MeanMinAge14))),0)</f>
        <v/>
      </c>
      <c r="AX4525">
        <f>IF('01_Вводные'!$B$234="Да",IF(OR('19_Расчет_аналитики'!AX4497=0,14&lt;='01_Вводные'!$B$297),0,'19_Расчет_аналитики'!AX4497*IF('01_Вводные'!$B$239="Да",MeanMinAge14+'19_Расчет_аналитики'!AX4607*SUMIF(ThresholdAge14,"&lt;"&amp;'19_Расчет_аналитики'!AX4607,WeightedRevAge14)-SUMIF(ThresholdAge14,"&lt;"&amp;'19_Расчет_аналитики'!AX4607,WeightedMinAge14),MAX(CapacityAge14*'01_Вводные'!$B$218*'19_Расчет_аналитики'!AX4607,MeanMinAge14))),0)</f>
        <v/>
      </c>
      <c r="AY4525">
        <f>IF('01_Вводные'!$B$234="Да",IF(OR('19_Расчет_аналитики'!AY4497=0,14&lt;='01_Вводные'!$B$297),0,'19_Расчет_аналитики'!AY4497*IF('01_Вводные'!$B$239="Да",MeanMinAge14+'19_Расчет_аналитики'!AY4607*SUMIF(ThresholdAge14,"&lt;"&amp;'19_Расчет_аналитики'!AY4607,WeightedRevAge14)-SUMIF(ThresholdAge14,"&lt;"&amp;'19_Расчет_аналитики'!AY4607,WeightedMinAge14),MAX(CapacityAge14*'01_Вводные'!$B$218*'19_Расчет_аналитики'!AY4607,MeanMinAge14))),0)</f>
        <v/>
      </c>
      <c r="AZ4525">
        <f>IF('01_Вводные'!$B$234="Да",IF(OR('19_Расчет_аналитики'!AZ4497=0,14&lt;='01_Вводные'!$B$297),0,'19_Расчет_аналитики'!AZ4497*IF('01_Вводные'!$B$239="Да",MeanMinAge14+'19_Расчет_аналитики'!AZ4607*SUMIF(ThresholdAge14,"&lt;"&amp;'19_Расчет_аналитики'!AZ4607,WeightedRevAge14)-SUMIF(ThresholdAge14,"&lt;"&amp;'19_Расчет_аналитики'!AZ4607,WeightedMinAge14),MAX(CapacityAge14*'01_Вводные'!$B$218*'19_Расчет_аналитики'!AZ4607,MeanMinAge14))),0)</f>
        <v/>
      </c>
      <c r="BA4525">
        <f>IF('01_Вводные'!$B$234="Да",IF(OR('19_Расчет_аналитики'!BA4497=0,14&lt;='01_Вводные'!$B$297),0,'19_Расчет_аналитики'!BA4497*IF('01_Вводные'!$B$239="Да",MeanMinAge14+'19_Расчет_аналитики'!BA4607*SUMIF(ThresholdAge14,"&lt;"&amp;'19_Расчет_аналитики'!BA4607,WeightedRevAge14)-SUMIF(ThresholdAge14,"&lt;"&amp;'19_Расчет_аналитики'!BA4607,WeightedMinAge14),MAX(CapacityAge14*'01_Вводные'!$B$218*'19_Расчет_аналитики'!BA4607,MeanMinAge14))),0)</f>
        <v/>
      </c>
      <c r="BB4525">
        <f>IF('01_Вводные'!$B$234="Да",IF(OR('19_Расчет_аналитики'!BB4497=0,14&lt;='01_Вводные'!$B$297),0,'19_Расчет_аналитики'!BB4497*IF('01_Вводные'!$B$239="Да",MeanMinAge14+'19_Расчет_аналитики'!BB4607*SUMIF(ThresholdAge14,"&lt;"&amp;'19_Расчет_аналитики'!BB4607,WeightedRevAge14)-SUMIF(ThresholdAge14,"&lt;"&amp;'19_Расчет_аналитики'!BB4607,WeightedMinAge14),MAX(CapacityAge14*'01_Вводные'!$B$218*'19_Расчет_аналитики'!BB4607,MeanMinAge14))),0)</f>
        <v/>
      </c>
      <c r="BC4525">
        <f>IF('01_Вводные'!$B$234="Да",IF(OR('19_Расчет_аналитики'!BC4497=0,14&lt;='01_Вводные'!$B$297),0,'19_Расчет_аналитики'!BC4497*IF('01_Вводные'!$B$239="Да",MeanMinAge14+'19_Расчет_аналитики'!BC4607*SUMIF(ThresholdAge14,"&lt;"&amp;'19_Расчет_аналитики'!BC4607,WeightedRevAge14)-SUMIF(ThresholdAge14,"&lt;"&amp;'19_Расчет_аналитики'!BC4607,WeightedMinAge14),MAX(CapacityAge14*'01_Вводные'!$B$218*'19_Расчет_аналитики'!BC4607,MeanMinAge14))),0)</f>
        <v/>
      </c>
      <c r="BD4525">
        <f>IF('01_Вводные'!$B$234="Да",IF(OR('19_Расчет_аналитики'!BD4497=0,14&lt;='01_Вводные'!$B$297),0,'19_Расчет_аналитики'!BD4497*IF('01_Вводные'!$B$239="Да",MeanMinAge14+'19_Расчет_аналитики'!BD4607*SUMIF(ThresholdAge14,"&lt;"&amp;'19_Расчет_аналитики'!BD4607,WeightedRevAge14)-SUMIF(ThresholdAge14,"&lt;"&amp;'19_Расчет_аналитики'!BD4607,WeightedMinAge14),MAX(CapacityAge14*'01_Вводные'!$B$218*'19_Расчет_аналитики'!BD4607,MeanMinAge14))),0)</f>
        <v/>
      </c>
      <c r="BE4525">
        <f>IF('01_Вводные'!$B$234="Да",IF(OR('19_Расчет_аналитики'!BE4497=0,14&lt;='01_Вводные'!$B$297),0,'19_Расчет_аналитики'!BE4497*IF('01_Вводные'!$B$239="Да",MeanMinAge14+'19_Расчет_аналитики'!BE4607*SUMIF(ThresholdAge14,"&lt;"&amp;'19_Расчет_аналитики'!BE4607,WeightedRevAge14)-SUMIF(ThresholdAge14,"&lt;"&amp;'19_Расчет_аналитики'!BE4607,WeightedMinAge14),MAX(CapacityAge14*'01_Вводные'!$B$218*'19_Расчет_аналитики'!BE4607,MeanMinAge14))),0)</f>
        <v/>
      </c>
      <c r="BF4525">
        <f>IF('01_Вводные'!$B$234="Да",IF(OR('19_Расчет_аналитики'!BF4497=0,14&lt;='01_Вводные'!$B$297),0,'19_Расчет_аналитики'!BF4497*IF('01_Вводные'!$B$239="Да",MeanMinAge14+'19_Расчет_аналитики'!BF4607*SUMIF(ThresholdAge14,"&lt;"&amp;'19_Расчет_аналитики'!BF4607,WeightedRevAge14)-SUMIF(ThresholdAge14,"&lt;"&amp;'19_Расчет_аналитики'!BF4607,WeightedMinAge14),MAX(CapacityAge14*'01_Вводные'!$B$218*'19_Расчет_аналитики'!BF4607,MeanMinAge14))),0)</f>
        <v/>
      </c>
      <c r="BG4525">
        <f>IF('01_Вводные'!$B$234="Да",IF(OR('19_Расчет_аналитики'!BG4497=0,14&lt;='01_Вводные'!$B$297),0,'19_Расчет_аналитики'!BG4497*IF('01_Вводные'!$B$239="Да",MeanMinAge14+'19_Расчет_аналитики'!BG4607*SUMIF(ThresholdAge14,"&lt;"&amp;'19_Расчет_аналитики'!BG4607,WeightedRevAge14)-SUMIF(ThresholdAge14,"&lt;"&amp;'19_Расчет_аналитики'!BG4607,WeightedMinAge14),MAX(CapacityAge14*'01_Вводные'!$B$218*'19_Расчет_аналитики'!BG4607,MeanMinAge14))),0)</f>
        <v/>
      </c>
      <c r="BH4525">
        <f>IF('01_Вводные'!$B$234="Да",IF(OR('19_Расчет_аналитики'!BH4497=0,14&lt;='01_Вводные'!$B$297),0,'19_Расчет_аналитики'!BH4497*IF('01_Вводные'!$B$239="Да",MeanMinAge14+'19_Расчет_аналитики'!BH4607*SUMIF(ThresholdAge14,"&lt;"&amp;'19_Расчет_аналитики'!BH4607,WeightedRevAge14)-SUMIF(ThresholdAge14,"&lt;"&amp;'19_Расчет_аналитики'!BH4607,WeightedMinAge14),MAX(CapacityAge14*'01_Вводные'!$B$218*'19_Расчет_аналитики'!BH4607,MeanMinAge14))),0)</f>
        <v/>
      </c>
      <c r="BI4525">
        <f>IF('01_Вводные'!$B$234="Да",IF(OR('19_Расчет_аналитики'!BI4497=0,14&lt;='01_Вводные'!$B$297),0,'19_Расчет_аналитики'!BI4497*IF('01_Вводные'!$B$239="Да",MeanMinAge14+'19_Расчет_аналитики'!BI4607*SUMIF(ThresholdAge14,"&lt;"&amp;'19_Расчет_аналитики'!BI4607,WeightedRevAge14)-SUMIF(ThresholdAge14,"&lt;"&amp;'19_Расчет_аналитики'!BI4607,WeightedMinAge14),MAX(CapacityAge14*'01_Вводные'!$B$218*'19_Расчет_аналитики'!BI4607,MeanMinAge14))),0)</f>
        <v/>
      </c>
      <c r="BJ4525">
        <f>IF('01_Вводные'!$B$234="Да",IF(OR('19_Расчет_аналитики'!BJ4497=0,14&lt;='01_Вводные'!$B$297),0,'19_Расчет_аналитики'!BJ4497*IF('01_Вводные'!$B$239="Да",MeanMinAge14+'19_Расчет_аналитики'!BJ4607*SUMIF(ThresholdAge14,"&lt;"&amp;'19_Расчет_аналитики'!BJ4607,WeightedRevAge14)-SUMIF(ThresholdAge14,"&lt;"&amp;'19_Расчет_аналитики'!BJ4607,WeightedMinAge14),MAX(CapacityAge14*'01_Вводные'!$B$218*'19_Расчет_аналитики'!BJ4607,MeanMinAge14))),0)</f>
        <v/>
      </c>
      <c r="BK4525">
        <f>IF('01_Вводные'!$B$234="Да",IF(OR('19_Расчет_аналитики'!BK4497=0,14&lt;='01_Вводные'!$B$297),0,'19_Расчет_аналитики'!BK4497*IF('01_Вводные'!$B$239="Да",MeanMinAge14+'19_Расчет_аналитики'!BK4607*SUMIF(ThresholdAge14,"&lt;"&amp;'19_Расчет_аналитики'!BK4607,WeightedRevAge14)-SUMIF(ThresholdAge14,"&lt;"&amp;'19_Расчет_аналитики'!BK4607,WeightedMinAge14),MAX(CapacityAge14*'01_Вводные'!$B$218*'19_Расчет_аналитики'!BK4607,MeanMinAge14))),0)</f>
        <v/>
      </c>
      <c r="BL4525">
        <f>IF('01_Вводные'!$B$234="Да",IF(OR('19_Расчет_аналитики'!BL4497=0,14&lt;='01_Вводные'!$B$297),0,'19_Расчет_аналитики'!BL4497*IF('01_Вводные'!$B$239="Да",MeanMinAge14+'19_Расчет_аналитики'!BL4607*SUMIF(ThresholdAge14,"&lt;"&amp;'19_Расчет_аналитики'!BL4607,WeightedRevAge14)-SUMIF(ThresholdAge14,"&lt;"&amp;'19_Расчет_аналитики'!BL4607,WeightedMinAge14),MAX(CapacityAge14*'01_Вводные'!$B$218*'19_Расчет_аналитики'!BL4607,MeanMinAge14))),0)</f>
        <v/>
      </c>
      <c r="BM4525">
        <f>IF('01_Вводные'!$B$234="Да",IF(OR('19_Расчет_аналитики'!BM4497=0,14&lt;='01_Вводные'!$B$297),0,'19_Расчет_аналитики'!BM4497*IF('01_Вводные'!$B$239="Да",MeanMinAge14+'19_Расчет_аналитики'!BM4607*SUMIF(ThresholdAge14,"&lt;"&amp;'19_Расчет_аналитики'!BM4607,WeightedRevAge14)-SUMIF(ThresholdAge14,"&lt;"&amp;'19_Расчет_аналитики'!BM4607,WeightedMinAge14),MAX(CapacityAge14*'01_Вводные'!$B$218*'19_Расчет_аналитики'!BM4607,MeanMinAge14))),0)</f>
        <v/>
      </c>
      <c r="BN4525">
        <f>IF('01_Вводные'!$B$234="Да",IF(OR('19_Расчет_аналитики'!BN4497=0,14&lt;='01_Вводные'!$B$297),0,'19_Расчет_аналитики'!BN4497*IF('01_Вводные'!$B$239="Да",MeanMinAge14+'19_Расчет_аналитики'!BN4607*SUMIF(ThresholdAge14,"&lt;"&amp;'19_Расчет_аналитики'!BN4607,WeightedRevAge14)-SUMIF(ThresholdAge14,"&lt;"&amp;'19_Расчет_аналитики'!BN4607,WeightedMinAge14),MAX(CapacityAge14*'01_Вводные'!$B$218*'19_Расчет_аналитики'!BN4607,MeanMinAge14))),0)</f>
        <v/>
      </c>
      <c r="BO4525">
        <f>IF('01_Вводные'!$B$234="Да",IF(OR('19_Расчет_аналитики'!BO4497=0,14&lt;='01_Вводные'!$B$297),0,'19_Расчет_аналитики'!BO4497*IF('01_Вводные'!$B$239="Да",MeanMinAge14+'19_Расчет_аналитики'!BO4607*SUMIF(ThresholdAge14,"&lt;"&amp;'19_Расчет_аналитики'!BO4607,WeightedRevAge14)-SUMIF(ThresholdAge14,"&lt;"&amp;'19_Расчет_аналитики'!BO4607,WeightedMinAge14),MAX(CapacityAge14*'01_Вводные'!$B$218*'19_Расчет_аналитики'!BO4607,MeanMinAge14))),0)</f>
        <v/>
      </c>
    </row>
    <row r="4526">
      <c r="B4526">
        <f>IF('01_Вводные'!$B$234="Да",IF(OR('06_Сеть_и_дети'!B95=0,15&lt;='01_Вводные'!$B$297),0,'06_Сеть_и_дети'!B95*IF('01_Вводные'!$B$239="Да",MeanMinAge15+'19_Расчет_аналитики'!B4607*SUMIF(ThresholdAge15,"&lt;"&amp;'19_Расчет_аналитики'!B4607,WeightedRevAge15)-SUMIF(ThresholdAge15,"&lt;"&amp;'19_Расчет_аналитики'!B4607,WeightedMinAge15),MAX(CapacityAge15*'01_Вводные'!$B$218*'19_Расчет_аналитики'!B4607,MeanMinAge15))),0)</f>
        <v/>
      </c>
      <c r="C4526">
        <f>IF('01_Вводные'!$B$234="Да",IF(OR('06_Сеть_и_дети'!C95=0,15&lt;='01_Вводные'!$B$297),0,'06_Сеть_и_дети'!C95*IF('01_Вводные'!$B$239="Да",MeanMinAge15+'19_Расчет_аналитики'!C4607*SUMIF(ThresholdAge15,"&lt;"&amp;'19_Расчет_аналитики'!C4607,WeightedRevAge15)-SUMIF(ThresholdAge15,"&lt;"&amp;'19_Расчет_аналитики'!C4607,WeightedMinAge15),MAX(CapacityAge15*'01_Вводные'!$B$218*'19_Расчет_аналитики'!C4607,MeanMinAge15))),0)</f>
        <v/>
      </c>
      <c r="D4526">
        <f>IF('01_Вводные'!$B$234="Да",IF(OR('06_Сеть_и_дети'!D95=0,15&lt;='01_Вводные'!$B$297),0,'06_Сеть_и_дети'!D95*IF('01_Вводные'!$B$239="Да",MeanMinAge15+'19_Расчет_аналитики'!D4607*SUMIF(ThresholdAge15,"&lt;"&amp;'19_Расчет_аналитики'!D4607,WeightedRevAge15)-SUMIF(ThresholdAge15,"&lt;"&amp;'19_Расчет_аналитики'!D4607,WeightedMinAge15),MAX(CapacityAge15*'01_Вводные'!$B$218*'19_Расчет_аналитики'!D4607,MeanMinAge15))),0)</f>
        <v/>
      </c>
      <c r="E4526">
        <f>IF('01_Вводные'!$B$234="Да",IF(OR('06_Сеть_и_дети'!E95=0,15&lt;='01_Вводные'!$B$297),0,'06_Сеть_и_дети'!E95*IF('01_Вводные'!$B$239="Да",MeanMinAge15+'19_Расчет_аналитики'!E4607*SUMIF(ThresholdAge15,"&lt;"&amp;'19_Расчет_аналитики'!E4607,WeightedRevAge15)-SUMIF(ThresholdAge15,"&lt;"&amp;'19_Расчет_аналитики'!E4607,WeightedMinAge15),MAX(CapacityAge15*'01_Вводные'!$B$218*'19_Расчет_аналитики'!E4607,MeanMinAge15))),0)</f>
        <v/>
      </c>
      <c r="F4526">
        <f>IF('01_Вводные'!$B$234="Да",IF(OR('06_Сеть_и_дети'!F95=0,15&lt;='01_Вводные'!$B$297),0,'06_Сеть_и_дети'!F95*IF('01_Вводные'!$B$239="Да",MeanMinAge15+'19_Расчет_аналитики'!F4607*SUMIF(ThresholdAge15,"&lt;"&amp;'19_Расчет_аналитики'!F4607,WeightedRevAge15)-SUMIF(ThresholdAge15,"&lt;"&amp;'19_Расчет_аналитики'!F4607,WeightedMinAge15),MAX(CapacityAge15*'01_Вводные'!$B$218*'19_Расчет_аналитики'!F4607,MeanMinAge15))),0)</f>
        <v/>
      </c>
      <c r="G4526">
        <f>IF('01_Вводные'!$B$234="Да",IF(OR('06_Сеть_и_дети'!G95=0,15&lt;='01_Вводные'!$B$297),0,'06_Сеть_и_дети'!G95*IF('01_Вводные'!$B$239="Да",MeanMinAge15+'19_Расчет_аналитики'!G4607*SUMIF(ThresholdAge15,"&lt;"&amp;'19_Расчет_аналитики'!G4607,WeightedRevAge15)-SUMIF(ThresholdAge15,"&lt;"&amp;'19_Расчет_аналитики'!G4607,WeightedMinAge15),MAX(CapacityAge15*'01_Вводные'!$B$218*'19_Расчет_аналитики'!G4607,MeanMinAge15))),0)</f>
        <v/>
      </c>
      <c r="H4526">
        <f>IF('01_Вводные'!$B$234="Да",IF(OR('06_Сеть_и_дети'!H95=0,15&lt;='01_Вводные'!$B$297),0,'06_Сеть_и_дети'!H95*IF('01_Вводные'!$B$239="Да",MeanMinAge15+'19_Расчет_аналитики'!H4607*SUMIF(ThresholdAge15,"&lt;"&amp;'19_Расчет_аналитики'!H4607,WeightedRevAge15)-SUMIF(ThresholdAge15,"&lt;"&amp;'19_Расчет_аналитики'!H4607,WeightedMinAge15),MAX(CapacityAge15*'01_Вводные'!$B$218*'19_Расчет_аналитики'!H4607,MeanMinAge15))),0)</f>
        <v/>
      </c>
      <c r="I4526">
        <f>IF('01_Вводные'!$B$234="Да",IF(OR('06_Сеть_и_дети'!I95=0,15&lt;='01_Вводные'!$B$297),0,'06_Сеть_и_дети'!I95*IF('01_Вводные'!$B$239="Да",MeanMinAge15+'19_Расчет_аналитики'!I4607*SUMIF(ThresholdAge15,"&lt;"&amp;'19_Расчет_аналитики'!I4607,WeightedRevAge15)-SUMIF(ThresholdAge15,"&lt;"&amp;'19_Расчет_аналитики'!I4607,WeightedMinAge15),MAX(CapacityAge15*'01_Вводные'!$B$218*'19_Расчет_аналитики'!I4607,MeanMinAge15))),0)</f>
        <v/>
      </c>
      <c r="J4526">
        <f>IF('01_Вводные'!$B$234="Да",IF(OR('06_Сеть_и_дети'!J95=0,15&lt;='01_Вводные'!$B$297),0,'06_Сеть_и_дети'!J95*IF('01_Вводные'!$B$239="Да",MeanMinAge15+'19_Расчет_аналитики'!J4607*SUMIF(ThresholdAge15,"&lt;"&amp;'19_Расчет_аналитики'!J4607,WeightedRevAge15)-SUMIF(ThresholdAge15,"&lt;"&amp;'19_Расчет_аналитики'!J4607,WeightedMinAge15),MAX(CapacityAge15*'01_Вводные'!$B$218*'19_Расчет_аналитики'!J4607,MeanMinAge15))),0)</f>
        <v/>
      </c>
      <c r="K4526">
        <f>IF('01_Вводные'!$B$234="Да",IF(OR('06_Сеть_и_дети'!K95=0,15&lt;='01_Вводные'!$B$297),0,'06_Сеть_и_дети'!K95*IF('01_Вводные'!$B$239="Да",MeanMinAge15+'19_Расчет_аналитики'!K4607*SUMIF(ThresholdAge15,"&lt;"&amp;'19_Расчет_аналитики'!K4607,WeightedRevAge15)-SUMIF(ThresholdAge15,"&lt;"&amp;'19_Расчет_аналитики'!K4607,WeightedMinAge15),MAX(CapacityAge15*'01_Вводные'!$B$218*'19_Расчет_аналитики'!K4607,MeanMinAge15))),0)</f>
        <v/>
      </c>
      <c r="L4526">
        <f>IF('01_Вводные'!$B$234="Да",IF(OR('06_Сеть_и_дети'!L95=0,15&lt;='01_Вводные'!$B$297),0,'06_Сеть_и_дети'!L95*IF('01_Вводные'!$B$239="Да",MeanMinAge15+'19_Расчет_аналитики'!L4607*SUMIF(ThresholdAge15,"&lt;"&amp;'19_Расчет_аналитики'!L4607,WeightedRevAge15)-SUMIF(ThresholdAge15,"&lt;"&amp;'19_Расчет_аналитики'!L4607,WeightedMinAge15),MAX(CapacityAge15*'01_Вводные'!$B$218*'19_Расчет_аналитики'!L4607,MeanMinAge15))),0)</f>
        <v/>
      </c>
      <c r="M4526">
        <f>IF('01_Вводные'!$B$234="Да",IF(OR('06_Сеть_и_дети'!M95=0,15&lt;='01_Вводные'!$B$297),0,'06_Сеть_и_дети'!M95*IF('01_Вводные'!$B$239="Да",MeanMinAge15+'19_Расчет_аналитики'!M4607*SUMIF(ThresholdAge15,"&lt;"&amp;'19_Расчет_аналитики'!M4607,WeightedRevAge15)-SUMIF(ThresholdAge15,"&lt;"&amp;'19_Расчет_аналитики'!M4607,WeightedMinAge15),MAX(CapacityAge15*'01_Вводные'!$B$218*'19_Расчет_аналитики'!M4607,MeanMinAge15))),0)</f>
        <v/>
      </c>
      <c r="N4526">
        <f>IF('01_Вводные'!$B$234="Да",IF(OR('06_Сеть_и_дети'!N95=0,15&lt;='01_Вводные'!$B$297),0,'06_Сеть_и_дети'!N95*IF('01_Вводные'!$B$239="Да",MeanMinAge15+'19_Расчет_аналитики'!N4607*SUMIF(ThresholdAge15,"&lt;"&amp;'19_Расчет_аналитики'!N4607,WeightedRevAge15)-SUMIF(ThresholdAge15,"&lt;"&amp;'19_Расчет_аналитики'!N4607,WeightedMinAge15),MAX(CapacityAge15*'01_Вводные'!$B$218*'19_Расчет_аналитики'!N4607,MeanMinAge15))),0)</f>
        <v/>
      </c>
      <c r="O4526">
        <f>IF('01_Вводные'!$B$234="Да",IF(OR('06_Сеть_и_дети'!O95=0,15&lt;='01_Вводные'!$B$297),0,'06_Сеть_и_дети'!O95*IF('01_Вводные'!$B$239="Да",MeanMinAge15+'19_Расчет_аналитики'!O4607*SUMIF(ThresholdAge15,"&lt;"&amp;'19_Расчет_аналитики'!O4607,WeightedRevAge15)-SUMIF(ThresholdAge15,"&lt;"&amp;'19_Расчет_аналитики'!O4607,WeightedMinAge15),MAX(CapacityAge15*'01_Вводные'!$B$218*'19_Расчет_аналитики'!O4607,MeanMinAge15))),0)</f>
        <v/>
      </c>
      <c r="P4526">
        <f>IF('01_Вводные'!$B$234="Да",IF(OR('19_Расчет_аналитики'!P4498=0,15&lt;='01_Вводные'!$B$297),0,'19_Расчет_аналитики'!P4498*IF('01_Вводные'!$B$239="Да",MeanMinAge15+'19_Расчет_аналитики'!P4607*SUMIF(ThresholdAge15,"&lt;"&amp;'19_Расчет_аналитики'!P4607,WeightedRevAge15)-SUMIF(ThresholdAge15,"&lt;"&amp;'19_Расчет_аналитики'!P4607,WeightedMinAge15),MAX(CapacityAge15*'01_Вводные'!$B$218*'19_Расчет_аналитики'!P4607,MeanMinAge15))),0)</f>
        <v/>
      </c>
      <c r="Q4526">
        <f>IF('01_Вводные'!$B$234="Да",IF(OR('19_Расчет_аналитики'!Q4498=0,15&lt;='01_Вводные'!$B$297),0,'19_Расчет_аналитики'!Q4498*IF('01_Вводные'!$B$239="Да",MeanMinAge15+'19_Расчет_аналитики'!Q4607*SUMIF(ThresholdAge15,"&lt;"&amp;'19_Расчет_аналитики'!Q4607,WeightedRevAge15)-SUMIF(ThresholdAge15,"&lt;"&amp;'19_Расчет_аналитики'!Q4607,WeightedMinAge15),MAX(CapacityAge15*'01_Вводные'!$B$218*'19_Расчет_аналитики'!Q4607,MeanMinAge15))),0)</f>
        <v/>
      </c>
      <c r="R4526">
        <f>IF('01_Вводные'!$B$234="Да",IF(OR('19_Расчет_аналитики'!R4498=0,15&lt;='01_Вводные'!$B$297),0,'19_Расчет_аналитики'!R4498*IF('01_Вводные'!$B$239="Да",MeanMinAge15+'19_Расчет_аналитики'!R4607*SUMIF(ThresholdAge15,"&lt;"&amp;'19_Расчет_аналитики'!R4607,WeightedRevAge15)-SUMIF(ThresholdAge15,"&lt;"&amp;'19_Расчет_аналитики'!R4607,WeightedMinAge15),MAX(CapacityAge15*'01_Вводные'!$B$218*'19_Расчет_аналитики'!R4607,MeanMinAge15))),0)</f>
        <v/>
      </c>
      <c r="S4526">
        <f>IF('01_Вводные'!$B$234="Да",IF(OR('19_Расчет_аналитики'!S4498=0,15&lt;='01_Вводные'!$B$297),0,'19_Расчет_аналитики'!S4498*IF('01_Вводные'!$B$239="Да",MeanMinAge15+'19_Расчет_аналитики'!S4607*SUMIF(ThresholdAge15,"&lt;"&amp;'19_Расчет_аналитики'!S4607,WeightedRevAge15)-SUMIF(ThresholdAge15,"&lt;"&amp;'19_Расчет_аналитики'!S4607,WeightedMinAge15),MAX(CapacityAge15*'01_Вводные'!$B$218*'19_Расчет_аналитики'!S4607,MeanMinAge15))),0)</f>
        <v/>
      </c>
      <c r="T4526">
        <f>IF('01_Вводные'!$B$234="Да",IF(OR('19_Расчет_аналитики'!T4498=0,15&lt;='01_Вводные'!$B$297),0,'19_Расчет_аналитики'!T4498*IF('01_Вводные'!$B$239="Да",MeanMinAge15+'19_Расчет_аналитики'!T4607*SUMIF(ThresholdAge15,"&lt;"&amp;'19_Расчет_аналитики'!T4607,WeightedRevAge15)-SUMIF(ThresholdAge15,"&lt;"&amp;'19_Расчет_аналитики'!T4607,WeightedMinAge15),MAX(CapacityAge15*'01_Вводные'!$B$218*'19_Расчет_аналитики'!T4607,MeanMinAge15))),0)</f>
        <v/>
      </c>
      <c r="U4526">
        <f>IF('01_Вводные'!$B$234="Да",IF(OR('19_Расчет_аналитики'!U4498=0,15&lt;='01_Вводные'!$B$297),0,'19_Расчет_аналитики'!U4498*IF('01_Вводные'!$B$239="Да",MeanMinAge15+'19_Расчет_аналитики'!U4607*SUMIF(ThresholdAge15,"&lt;"&amp;'19_Расчет_аналитики'!U4607,WeightedRevAge15)-SUMIF(ThresholdAge15,"&lt;"&amp;'19_Расчет_аналитики'!U4607,WeightedMinAge15),MAX(CapacityAge15*'01_Вводные'!$B$218*'19_Расчет_аналитики'!U4607,MeanMinAge15))),0)</f>
        <v/>
      </c>
      <c r="V4526">
        <f>IF('01_Вводные'!$B$234="Да",IF(OR('19_Расчет_аналитики'!V4498=0,15&lt;='01_Вводные'!$B$297),0,'19_Расчет_аналитики'!V4498*IF('01_Вводные'!$B$239="Да",MeanMinAge15+'19_Расчет_аналитики'!V4607*SUMIF(ThresholdAge15,"&lt;"&amp;'19_Расчет_аналитики'!V4607,WeightedRevAge15)-SUMIF(ThresholdAge15,"&lt;"&amp;'19_Расчет_аналитики'!V4607,WeightedMinAge15),MAX(CapacityAge15*'01_Вводные'!$B$218*'19_Расчет_аналитики'!V4607,MeanMinAge15))),0)</f>
        <v/>
      </c>
      <c r="W4526">
        <f>IF('01_Вводные'!$B$234="Да",IF(OR('19_Расчет_аналитики'!W4498=0,15&lt;='01_Вводные'!$B$297),0,'19_Расчет_аналитики'!W4498*IF('01_Вводные'!$B$239="Да",MeanMinAge15+'19_Расчет_аналитики'!W4607*SUMIF(ThresholdAge15,"&lt;"&amp;'19_Расчет_аналитики'!W4607,WeightedRevAge15)-SUMIF(ThresholdAge15,"&lt;"&amp;'19_Расчет_аналитики'!W4607,WeightedMinAge15),MAX(CapacityAge15*'01_Вводные'!$B$218*'19_Расчет_аналитики'!W4607,MeanMinAge15))),0)</f>
        <v/>
      </c>
      <c r="X4526">
        <f>IF('01_Вводные'!$B$234="Да",IF(OR('19_Расчет_аналитики'!X4498=0,15&lt;='01_Вводные'!$B$297),0,'19_Расчет_аналитики'!X4498*IF('01_Вводные'!$B$239="Да",MeanMinAge15+'19_Расчет_аналитики'!X4607*SUMIF(ThresholdAge15,"&lt;"&amp;'19_Расчет_аналитики'!X4607,WeightedRevAge15)-SUMIF(ThresholdAge15,"&lt;"&amp;'19_Расчет_аналитики'!X4607,WeightedMinAge15),MAX(CapacityAge15*'01_Вводные'!$B$218*'19_Расчет_аналитики'!X4607,MeanMinAge15))),0)</f>
        <v/>
      </c>
      <c r="Y4526">
        <f>IF('01_Вводные'!$B$234="Да",IF(OR('19_Расчет_аналитики'!Y4498=0,15&lt;='01_Вводные'!$B$297),0,'19_Расчет_аналитики'!Y4498*IF('01_Вводные'!$B$239="Да",MeanMinAge15+'19_Расчет_аналитики'!Y4607*SUMIF(ThresholdAge15,"&lt;"&amp;'19_Расчет_аналитики'!Y4607,WeightedRevAge15)-SUMIF(ThresholdAge15,"&lt;"&amp;'19_Расчет_аналитики'!Y4607,WeightedMinAge15),MAX(CapacityAge15*'01_Вводные'!$B$218*'19_Расчет_аналитики'!Y4607,MeanMinAge15))),0)</f>
        <v/>
      </c>
      <c r="Z4526">
        <f>IF('01_Вводные'!$B$234="Да",IF(OR('19_Расчет_аналитики'!Z4498=0,15&lt;='01_Вводные'!$B$297),0,'19_Расчет_аналитики'!Z4498*IF('01_Вводные'!$B$239="Да",MeanMinAge15+'19_Расчет_аналитики'!Z4607*SUMIF(ThresholdAge15,"&lt;"&amp;'19_Расчет_аналитики'!Z4607,WeightedRevAge15)-SUMIF(ThresholdAge15,"&lt;"&amp;'19_Расчет_аналитики'!Z4607,WeightedMinAge15),MAX(CapacityAge15*'01_Вводные'!$B$218*'19_Расчет_аналитики'!Z4607,MeanMinAge15))),0)</f>
        <v/>
      </c>
      <c r="AA4526">
        <f>IF('01_Вводные'!$B$234="Да",IF(OR('19_Расчет_аналитики'!AA4498=0,15&lt;='01_Вводные'!$B$297),0,'19_Расчет_аналитики'!AA4498*IF('01_Вводные'!$B$239="Да",MeanMinAge15+'19_Расчет_аналитики'!AA4607*SUMIF(ThresholdAge15,"&lt;"&amp;'19_Расчет_аналитики'!AA4607,WeightedRevAge15)-SUMIF(ThresholdAge15,"&lt;"&amp;'19_Расчет_аналитики'!AA4607,WeightedMinAge15),MAX(CapacityAge15*'01_Вводные'!$B$218*'19_Расчет_аналитики'!AA4607,MeanMinAge15))),0)</f>
        <v/>
      </c>
      <c r="AB4526">
        <f>IF('01_Вводные'!$B$234="Да",IF(OR('19_Расчет_аналитики'!AB4498=0,15&lt;='01_Вводные'!$B$297),0,'19_Расчет_аналитики'!AB4498*IF('01_Вводные'!$B$239="Да",MeanMinAge15+'19_Расчет_аналитики'!AB4607*SUMIF(ThresholdAge15,"&lt;"&amp;'19_Расчет_аналитики'!AB4607,WeightedRevAge15)-SUMIF(ThresholdAge15,"&lt;"&amp;'19_Расчет_аналитики'!AB4607,WeightedMinAge15),MAX(CapacityAge15*'01_Вводные'!$B$218*'19_Расчет_аналитики'!AB4607,MeanMinAge15))),0)</f>
        <v/>
      </c>
      <c r="AC4526">
        <f>IF('01_Вводные'!$B$234="Да",IF(OR('19_Расчет_аналитики'!AC4498=0,15&lt;='01_Вводные'!$B$297),0,'19_Расчет_аналитики'!AC4498*IF('01_Вводные'!$B$239="Да",MeanMinAge15+'19_Расчет_аналитики'!AC4607*SUMIF(ThresholdAge15,"&lt;"&amp;'19_Расчет_аналитики'!AC4607,WeightedRevAge15)-SUMIF(ThresholdAge15,"&lt;"&amp;'19_Расчет_аналитики'!AC4607,WeightedMinAge15),MAX(CapacityAge15*'01_Вводные'!$B$218*'19_Расчет_аналитики'!AC4607,MeanMinAge15))),0)</f>
        <v/>
      </c>
      <c r="AD4526">
        <f>IF('01_Вводные'!$B$234="Да",IF(OR('19_Расчет_аналитики'!AD4498=0,15&lt;='01_Вводные'!$B$297),0,'19_Расчет_аналитики'!AD4498*IF('01_Вводные'!$B$239="Да",MeanMinAge15+'19_Расчет_аналитики'!AD4607*SUMIF(ThresholdAge15,"&lt;"&amp;'19_Расчет_аналитики'!AD4607,WeightedRevAge15)-SUMIF(ThresholdAge15,"&lt;"&amp;'19_Расчет_аналитики'!AD4607,WeightedMinAge15),MAX(CapacityAge15*'01_Вводные'!$B$218*'19_Расчет_аналитики'!AD4607,MeanMinAge15))),0)</f>
        <v/>
      </c>
      <c r="AE4526">
        <f>IF('01_Вводные'!$B$234="Да",IF(OR('19_Расчет_аналитики'!AE4498=0,15&lt;='01_Вводные'!$B$297),0,'19_Расчет_аналитики'!AE4498*IF('01_Вводные'!$B$239="Да",MeanMinAge15+'19_Расчет_аналитики'!AE4607*SUMIF(ThresholdAge15,"&lt;"&amp;'19_Расчет_аналитики'!AE4607,WeightedRevAge15)-SUMIF(ThresholdAge15,"&lt;"&amp;'19_Расчет_аналитики'!AE4607,WeightedMinAge15),MAX(CapacityAge15*'01_Вводные'!$B$218*'19_Расчет_аналитики'!AE4607,MeanMinAge15))),0)</f>
        <v/>
      </c>
      <c r="AF4526">
        <f>IF('01_Вводные'!$B$234="Да",IF(OR('19_Расчет_аналитики'!AF4498=0,15&lt;='01_Вводные'!$B$297),0,'19_Расчет_аналитики'!AF4498*IF('01_Вводные'!$B$239="Да",MeanMinAge15+'19_Расчет_аналитики'!AF4607*SUMIF(ThresholdAge15,"&lt;"&amp;'19_Расчет_аналитики'!AF4607,WeightedRevAge15)-SUMIF(ThresholdAge15,"&lt;"&amp;'19_Расчет_аналитики'!AF4607,WeightedMinAge15),MAX(CapacityAge15*'01_Вводные'!$B$218*'19_Расчет_аналитики'!AF4607,MeanMinAge15))),0)</f>
        <v/>
      </c>
      <c r="AG4526">
        <f>IF('01_Вводные'!$B$234="Да",IF(OR('19_Расчет_аналитики'!AG4498=0,15&lt;='01_Вводные'!$B$297),0,'19_Расчет_аналитики'!AG4498*IF('01_Вводные'!$B$239="Да",MeanMinAge15+'19_Расчет_аналитики'!AG4607*SUMIF(ThresholdAge15,"&lt;"&amp;'19_Расчет_аналитики'!AG4607,WeightedRevAge15)-SUMIF(ThresholdAge15,"&lt;"&amp;'19_Расчет_аналитики'!AG4607,WeightedMinAge15),MAX(CapacityAge15*'01_Вводные'!$B$218*'19_Расчет_аналитики'!AG4607,MeanMinAge15))),0)</f>
        <v/>
      </c>
      <c r="AH4526">
        <f>IF('01_Вводные'!$B$234="Да",IF(OR('19_Расчет_аналитики'!AH4498=0,15&lt;='01_Вводные'!$B$297),0,'19_Расчет_аналитики'!AH4498*IF('01_Вводные'!$B$239="Да",MeanMinAge15+'19_Расчет_аналитики'!AH4607*SUMIF(ThresholdAge15,"&lt;"&amp;'19_Расчет_аналитики'!AH4607,WeightedRevAge15)-SUMIF(ThresholdAge15,"&lt;"&amp;'19_Расчет_аналитики'!AH4607,WeightedMinAge15),MAX(CapacityAge15*'01_Вводные'!$B$218*'19_Расчет_аналитики'!AH4607,MeanMinAge15))),0)</f>
        <v/>
      </c>
      <c r="AI4526">
        <f>IF('01_Вводные'!$B$234="Да",IF(OR('19_Расчет_аналитики'!AI4498=0,15&lt;='01_Вводные'!$B$297),0,'19_Расчет_аналитики'!AI4498*IF('01_Вводные'!$B$239="Да",MeanMinAge15+'19_Расчет_аналитики'!AI4607*SUMIF(ThresholdAge15,"&lt;"&amp;'19_Расчет_аналитики'!AI4607,WeightedRevAge15)-SUMIF(ThresholdAge15,"&lt;"&amp;'19_Расчет_аналитики'!AI4607,WeightedMinAge15),MAX(CapacityAge15*'01_Вводные'!$B$218*'19_Расчет_аналитики'!AI4607,MeanMinAge15))),0)</f>
        <v/>
      </c>
      <c r="AJ4526">
        <f>IF('01_Вводные'!$B$234="Да",IF(OR('19_Расчет_аналитики'!AJ4498=0,15&lt;='01_Вводные'!$B$297),0,'19_Расчет_аналитики'!AJ4498*IF('01_Вводные'!$B$239="Да",MeanMinAge15+'19_Расчет_аналитики'!AJ4607*SUMIF(ThresholdAge15,"&lt;"&amp;'19_Расчет_аналитики'!AJ4607,WeightedRevAge15)-SUMIF(ThresholdAge15,"&lt;"&amp;'19_Расчет_аналитики'!AJ4607,WeightedMinAge15),MAX(CapacityAge15*'01_Вводные'!$B$218*'19_Расчет_аналитики'!AJ4607,MeanMinAge15))),0)</f>
        <v/>
      </c>
      <c r="AK4526">
        <f>IF('01_Вводные'!$B$234="Да",IF(OR('19_Расчет_аналитики'!AK4498=0,15&lt;='01_Вводные'!$B$297),0,'19_Расчет_аналитики'!AK4498*IF('01_Вводные'!$B$239="Да",MeanMinAge15+'19_Расчет_аналитики'!AK4607*SUMIF(ThresholdAge15,"&lt;"&amp;'19_Расчет_аналитики'!AK4607,WeightedRevAge15)-SUMIF(ThresholdAge15,"&lt;"&amp;'19_Расчет_аналитики'!AK4607,WeightedMinAge15),MAX(CapacityAge15*'01_Вводные'!$B$218*'19_Расчет_аналитики'!AK4607,MeanMinAge15))),0)</f>
        <v/>
      </c>
      <c r="AL4526">
        <f>IF('01_Вводные'!$B$234="Да",IF(OR('19_Расчет_аналитики'!AL4498=0,15&lt;='01_Вводные'!$B$297),0,'19_Расчет_аналитики'!AL4498*IF('01_Вводные'!$B$239="Да",MeanMinAge15+'19_Расчет_аналитики'!AL4607*SUMIF(ThresholdAge15,"&lt;"&amp;'19_Расчет_аналитики'!AL4607,WeightedRevAge15)-SUMIF(ThresholdAge15,"&lt;"&amp;'19_Расчет_аналитики'!AL4607,WeightedMinAge15),MAX(CapacityAge15*'01_Вводные'!$B$218*'19_Расчет_аналитики'!AL4607,MeanMinAge15))),0)</f>
        <v/>
      </c>
      <c r="AM4526">
        <f>IF('01_Вводные'!$B$234="Да",IF(OR('19_Расчет_аналитики'!AM4498=0,15&lt;='01_Вводные'!$B$297),0,'19_Расчет_аналитики'!AM4498*IF('01_Вводные'!$B$239="Да",MeanMinAge15+'19_Расчет_аналитики'!AM4607*SUMIF(ThresholdAge15,"&lt;"&amp;'19_Расчет_аналитики'!AM4607,WeightedRevAge15)-SUMIF(ThresholdAge15,"&lt;"&amp;'19_Расчет_аналитики'!AM4607,WeightedMinAge15),MAX(CapacityAge15*'01_Вводные'!$B$218*'19_Расчет_аналитики'!AM4607,MeanMinAge15))),0)</f>
        <v/>
      </c>
      <c r="AN4526">
        <f>IF('01_Вводные'!$B$234="Да",IF(OR('19_Расчет_аналитики'!AN4498=0,15&lt;='01_Вводные'!$B$297),0,'19_Расчет_аналитики'!AN4498*IF('01_Вводные'!$B$239="Да",MeanMinAge15+'19_Расчет_аналитики'!AN4607*SUMIF(ThresholdAge15,"&lt;"&amp;'19_Расчет_аналитики'!AN4607,WeightedRevAge15)-SUMIF(ThresholdAge15,"&lt;"&amp;'19_Расчет_аналитики'!AN4607,WeightedMinAge15),MAX(CapacityAge15*'01_Вводные'!$B$218*'19_Расчет_аналитики'!AN4607,MeanMinAge15))),0)</f>
        <v/>
      </c>
      <c r="AO4526">
        <f>IF('01_Вводные'!$B$234="Да",IF(OR('19_Расчет_аналитики'!AO4498=0,15&lt;='01_Вводные'!$B$297),0,'19_Расчет_аналитики'!AO4498*IF('01_Вводные'!$B$239="Да",MeanMinAge15+'19_Расчет_аналитики'!AO4607*SUMIF(ThresholdAge15,"&lt;"&amp;'19_Расчет_аналитики'!AO4607,WeightedRevAge15)-SUMIF(ThresholdAge15,"&lt;"&amp;'19_Расчет_аналитики'!AO4607,WeightedMinAge15),MAX(CapacityAge15*'01_Вводные'!$B$218*'19_Расчет_аналитики'!AO4607,MeanMinAge15))),0)</f>
        <v/>
      </c>
      <c r="AP4526">
        <f>IF('01_Вводные'!$B$234="Да",IF(OR('19_Расчет_аналитики'!AP4498=0,15&lt;='01_Вводные'!$B$297),0,'19_Расчет_аналитики'!AP4498*IF('01_Вводные'!$B$239="Да",MeanMinAge15+'19_Расчет_аналитики'!AP4607*SUMIF(ThresholdAge15,"&lt;"&amp;'19_Расчет_аналитики'!AP4607,WeightedRevAge15)-SUMIF(ThresholdAge15,"&lt;"&amp;'19_Расчет_аналитики'!AP4607,WeightedMinAge15),MAX(CapacityAge15*'01_Вводные'!$B$218*'19_Расчет_аналитики'!AP4607,MeanMinAge15))),0)</f>
        <v/>
      </c>
      <c r="AQ4526">
        <f>IF('01_Вводные'!$B$234="Да",IF(OR('19_Расчет_аналитики'!AQ4498=0,15&lt;='01_Вводные'!$B$297),0,'19_Расчет_аналитики'!AQ4498*IF('01_Вводные'!$B$239="Да",MeanMinAge15+'19_Расчет_аналитики'!AQ4607*SUMIF(ThresholdAge15,"&lt;"&amp;'19_Расчет_аналитики'!AQ4607,WeightedRevAge15)-SUMIF(ThresholdAge15,"&lt;"&amp;'19_Расчет_аналитики'!AQ4607,WeightedMinAge15),MAX(CapacityAge15*'01_Вводные'!$B$218*'19_Расчет_аналитики'!AQ4607,MeanMinAge15))),0)</f>
        <v/>
      </c>
      <c r="AR4526">
        <f>IF('01_Вводные'!$B$234="Да",IF(OR('19_Расчет_аналитики'!AR4498=0,15&lt;='01_Вводные'!$B$297),0,'19_Расчет_аналитики'!AR4498*IF('01_Вводные'!$B$239="Да",MeanMinAge15+'19_Расчет_аналитики'!AR4607*SUMIF(ThresholdAge15,"&lt;"&amp;'19_Расчет_аналитики'!AR4607,WeightedRevAge15)-SUMIF(ThresholdAge15,"&lt;"&amp;'19_Расчет_аналитики'!AR4607,WeightedMinAge15),MAX(CapacityAge15*'01_Вводные'!$B$218*'19_Расчет_аналитики'!AR4607,MeanMinAge15))),0)</f>
        <v/>
      </c>
      <c r="AS4526">
        <f>IF('01_Вводные'!$B$234="Да",IF(OR('19_Расчет_аналитики'!AS4498=0,15&lt;='01_Вводные'!$B$297),0,'19_Расчет_аналитики'!AS4498*IF('01_Вводные'!$B$239="Да",MeanMinAge15+'19_Расчет_аналитики'!AS4607*SUMIF(ThresholdAge15,"&lt;"&amp;'19_Расчет_аналитики'!AS4607,WeightedRevAge15)-SUMIF(ThresholdAge15,"&lt;"&amp;'19_Расчет_аналитики'!AS4607,WeightedMinAge15),MAX(CapacityAge15*'01_Вводные'!$B$218*'19_Расчет_аналитики'!AS4607,MeanMinAge15))),0)</f>
        <v/>
      </c>
      <c r="AT4526">
        <f>IF('01_Вводные'!$B$234="Да",IF(OR('19_Расчет_аналитики'!AT4498=0,15&lt;='01_Вводные'!$B$297),0,'19_Расчет_аналитики'!AT4498*IF('01_Вводные'!$B$239="Да",MeanMinAge15+'19_Расчет_аналитики'!AT4607*SUMIF(ThresholdAge15,"&lt;"&amp;'19_Расчет_аналитики'!AT4607,WeightedRevAge15)-SUMIF(ThresholdAge15,"&lt;"&amp;'19_Расчет_аналитики'!AT4607,WeightedMinAge15),MAX(CapacityAge15*'01_Вводные'!$B$218*'19_Расчет_аналитики'!AT4607,MeanMinAge15))),0)</f>
        <v/>
      </c>
      <c r="AU4526">
        <f>IF('01_Вводные'!$B$234="Да",IF(OR('19_Расчет_аналитики'!AU4498=0,15&lt;='01_Вводные'!$B$297),0,'19_Расчет_аналитики'!AU4498*IF('01_Вводные'!$B$239="Да",MeanMinAge15+'19_Расчет_аналитики'!AU4607*SUMIF(ThresholdAge15,"&lt;"&amp;'19_Расчет_аналитики'!AU4607,WeightedRevAge15)-SUMIF(ThresholdAge15,"&lt;"&amp;'19_Расчет_аналитики'!AU4607,WeightedMinAge15),MAX(CapacityAge15*'01_Вводные'!$B$218*'19_Расчет_аналитики'!AU4607,MeanMinAge15))),0)</f>
        <v/>
      </c>
      <c r="AV4526">
        <f>IF('01_Вводные'!$B$234="Да",IF(OR('19_Расчет_аналитики'!AV4498=0,15&lt;='01_Вводные'!$B$297),0,'19_Расчет_аналитики'!AV4498*IF('01_Вводные'!$B$239="Да",MeanMinAge15+'19_Расчет_аналитики'!AV4607*SUMIF(ThresholdAge15,"&lt;"&amp;'19_Расчет_аналитики'!AV4607,WeightedRevAge15)-SUMIF(ThresholdAge15,"&lt;"&amp;'19_Расчет_аналитики'!AV4607,WeightedMinAge15),MAX(CapacityAge15*'01_Вводные'!$B$218*'19_Расчет_аналитики'!AV4607,MeanMinAge15))),0)</f>
        <v/>
      </c>
      <c r="AW4526">
        <f>IF('01_Вводные'!$B$234="Да",IF(OR('19_Расчет_аналитики'!AW4498=0,15&lt;='01_Вводные'!$B$297),0,'19_Расчет_аналитики'!AW4498*IF('01_Вводные'!$B$239="Да",MeanMinAge15+'19_Расчет_аналитики'!AW4607*SUMIF(ThresholdAge15,"&lt;"&amp;'19_Расчет_аналитики'!AW4607,WeightedRevAge15)-SUMIF(ThresholdAge15,"&lt;"&amp;'19_Расчет_аналитики'!AW4607,WeightedMinAge15),MAX(CapacityAge15*'01_Вводные'!$B$218*'19_Расчет_аналитики'!AW4607,MeanMinAge15))),0)</f>
        <v/>
      </c>
      <c r="AX4526">
        <f>IF('01_Вводные'!$B$234="Да",IF(OR('19_Расчет_аналитики'!AX4498=0,15&lt;='01_Вводные'!$B$297),0,'19_Расчет_аналитики'!AX4498*IF('01_Вводные'!$B$239="Да",MeanMinAge15+'19_Расчет_аналитики'!AX4607*SUMIF(ThresholdAge15,"&lt;"&amp;'19_Расчет_аналитики'!AX4607,WeightedRevAge15)-SUMIF(ThresholdAge15,"&lt;"&amp;'19_Расчет_аналитики'!AX4607,WeightedMinAge15),MAX(CapacityAge15*'01_Вводные'!$B$218*'19_Расчет_аналитики'!AX4607,MeanMinAge15))),0)</f>
        <v/>
      </c>
      <c r="AY4526">
        <f>IF('01_Вводные'!$B$234="Да",IF(OR('19_Расчет_аналитики'!AY4498=0,15&lt;='01_Вводные'!$B$297),0,'19_Расчет_аналитики'!AY4498*IF('01_Вводные'!$B$239="Да",MeanMinAge15+'19_Расчет_аналитики'!AY4607*SUMIF(ThresholdAge15,"&lt;"&amp;'19_Расчет_аналитики'!AY4607,WeightedRevAge15)-SUMIF(ThresholdAge15,"&lt;"&amp;'19_Расчет_аналитики'!AY4607,WeightedMinAge15),MAX(CapacityAge15*'01_Вводные'!$B$218*'19_Расчет_аналитики'!AY4607,MeanMinAge15))),0)</f>
        <v/>
      </c>
      <c r="AZ4526">
        <f>IF('01_Вводные'!$B$234="Да",IF(OR('19_Расчет_аналитики'!AZ4498=0,15&lt;='01_Вводные'!$B$297),0,'19_Расчет_аналитики'!AZ4498*IF('01_Вводные'!$B$239="Да",MeanMinAge15+'19_Расчет_аналитики'!AZ4607*SUMIF(ThresholdAge15,"&lt;"&amp;'19_Расчет_аналитики'!AZ4607,WeightedRevAge15)-SUMIF(ThresholdAge15,"&lt;"&amp;'19_Расчет_аналитики'!AZ4607,WeightedMinAge15),MAX(CapacityAge15*'01_Вводные'!$B$218*'19_Расчет_аналитики'!AZ4607,MeanMinAge15))),0)</f>
        <v/>
      </c>
      <c r="BA4526">
        <f>IF('01_Вводные'!$B$234="Да",IF(OR('19_Расчет_аналитики'!BA4498=0,15&lt;='01_Вводные'!$B$297),0,'19_Расчет_аналитики'!BA4498*IF('01_Вводные'!$B$239="Да",MeanMinAge15+'19_Расчет_аналитики'!BA4607*SUMIF(ThresholdAge15,"&lt;"&amp;'19_Расчет_аналитики'!BA4607,WeightedRevAge15)-SUMIF(ThresholdAge15,"&lt;"&amp;'19_Расчет_аналитики'!BA4607,WeightedMinAge15),MAX(CapacityAge15*'01_Вводные'!$B$218*'19_Расчет_аналитики'!BA4607,MeanMinAge15))),0)</f>
        <v/>
      </c>
      <c r="BB4526">
        <f>IF('01_Вводные'!$B$234="Да",IF(OR('19_Расчет_аналитики'!BB4498=0,15&lt;='01_Вводные'!$B$297),0,'19_Расчет_аналитики'!BB4498*IF('01_Вводные'!$B$239="Да",MeanMinAge15+'19_Расчет_аналитики'!BB4607*SUMIF(ThresholdAge15,"&lt;"&amp;'19_Расчет_аналитики'!BB4607,WeightedRevAge15)-SUMIF(ThresholdAge15,"&lt;"&amp;'19_Расчет_аналитики'!BB4607,WeightedMinAge15),MAX(CapacityAge15*'01_Вводные'!$B$218*'19_Расчет_аналитики'!BB4607,MeanMinAge15))),0)</f>
        <v/>
      </c>
      <c r="BC4526">
        <f>IF('01_Вводные'!$B$234="Да",IF(OR('19_Расчет_аналитики'!BC4498=0,15&lt;='01_Вводные'!$B$297),0,'19_Расчет_аналитики'!BC4498*IF('01_Вводные'!$B$239="Да",MeanMinAge15+'19_Расчет_аналитики'!BC4607*SUMIF(ThresholdAge15,"&lt;"&amp;'19_Расчет_аналитики'!BC4607,WeightedRevAge15)-SUMIF(ThresholdAge15,"&lt;"&amp;'19_Расчет_аналитики'!BC4607,WeightedMinAge15),MAX(CapacityAge15*'01_Вводные'!$B$218*'19_Расчет_аналитики'!BC4607,MeanMinAge15))),0)</f>
        <v/>
      </c>
      <c r="BD4526">
        <f>IF('01_Вводные'!$B$234="Да",IF(OR('19_Расчет_аналитики'!BD4498=0,15&lt;='01_Вводные'!$B$297),0,'19_Расчет_аналитики'!BD4498*IF('01_Вводные'!$B$239="Да",MeanMinAge15+'19_Расчет_аналитики'!BD4607*SUMIF(ThresholdAge15,"&lt;"&amp;'19_Расчет_аналитики'!BD4607,WeightedRevAge15)-SUMIF(ThresholdAge15,"&lt;"&amp;'19_Расчет_аналитики'!BD4607,WeightedMinAge15),MAX(CapacityAge15*'01_Вводные'!$B$218*'19_Расчет_аналитики'!BD4607,MeanMinAge15))),0)</f>
        <v/>
      </c>
      <c r="BE4526">
        <f>IF('01_Вводные'!$B$234="Да",IF(OR('19_Расчет_аналитики'!BE4498=0,15&lt;='01_Вводные'!$B$297),0,'19_Расчет_аналитики'!BE4498*IF('01_Вводные'!$B$239="Да",MeanMinAge15+'19_Расчет_аналитики'!BE4607*SUMIF(ThresholdAge15,"&lt;"&amp;'19_Расчет_аналитики'!BE4607,WeightedRevAge15)-SUMIF(ThresholdAge15,"&lt;"&amp;'19_Расчет_аналитики'!BE4607,WeightedMinAge15),MAX(CapacityAge15*'01_Вводные'!$B$218*'19_Расчет_аналитики'!BE4607,MeanMinAge15))),0)</f>
        <v/>
      </c>
      <c r="BF4526">
        <f>IF('01_Вводные'!$B$234="Да",IF(OR('19_Расчет_аналитики'!BF4498=0,15&lt;='01_Вводные'!$B$297),0,'19_Расчет_аналитики'!BF4498*IF('01_Вводные'!$B$239="Да",MeanMinAge15+'19_Расчет_аналитики'!BF4607*SUMIF(ThresholdAge15,"&lt;"&amp;'19_Расчет_аналитики'!BF4607,WeightedRevAge15)-SUMIF(ThresholdAge15,"&lt;"&amp;'19_Расчет_аналитики'!BF4607,WeightedMinAge15),MAX(CapacityAge15*'01_Вводные'!$B$218*'19_Расчет_аналитики'!BF4607,MeanMinAge15))),0)</f>
        <v/>
      </c>
      <c r="BG4526">
        <f>IF('01_Вводные'!$B$234="Да",IF(OR('19_Расчет_аналитики'!BG4498=0,15&lt;='01_Вводные'!$B$297),0,'19_Расчет_аналитики'!BG4498*IF('01_Вводные'!$B$239="Да",MeanMinAge15+'19_Расчет_аналитики'!BG4607*SUMIF(ThresholdAge15,"&lt;"&amp;'19_Расчет_аналитики'!BG4607,WeightedRevAge15)-SUMIF(ThresholdAge15,"&lt;"&amp;'19_Расчет_аналитики'!BG4607,WeightedMinAge15),MAX(CapacityAge15*'01_Вводные'!$B$218*'19_Расчет_аналитики'!BG4607,MeanMinAge15))),0)</f>
        <v/>
      </c>
      <c r="BH4526">
        <f>IF('01_Вводные'!$B$234="Да",IF(OR('19_Расчет_аналитики'!BH4498=0,15&lt;='01_Вводные'!$B$297),0,'19_Расчет_аналитики'!BH4498*IF('01_Вводные'!$B$239="Да",MeanMinAge15+'19_Расчет_аналитики'!BH4607*SUMIF(ThresholdAge15,"&lt;"&amp;'19_Расчет_аналитики'!BH4607,WeightedRevAge15)-SUMIF(ThresholdAge15,"&lt;"&amp;'19_Расчет_аналитики'!BH4607,WeightedMinAge15),MAX(CapacityAge15*'01_Вводные'!$B$218*'19_Расчет_аналитики'!BH4607,MeanMinAge15))),0)</f>
        <v/>
      </c>
      <c r="BI4526">
        <f>IF('01_Вводные'!$B$234="Да",IF(OR('19_Расчет_аналитики'!BI4498=0,15&lt;='01_Вводные'!$B$297),0,'19_Расчет_аналитики'!BI4498*IF('01_Вводные'!$B$239="Да",MeanMinAge15+'19_Расчет_аналитики'!BI4607*SUMIF(ThresholdAge15,"&lt;"&amp;'19_Расчет_аналитики'!BI4607,WeightedRevAge15)-SUMIF(ThresholdAge15,"&lt;"&amp;'19_Расчет_аналитики'!BI4607,WeightedMinAge15),MAX(CapacityAge15*'01_Вводные'!$B$218*'19_Расчет_аналитики'!BI4607,MeanMinAge15))),0)</f>
        <v/>
      </c>
      <c r="BJ4526">
        <f>IF('01_Вводные'!$B$234="Да",IF(OR('19_Расчет_аналитики'!BJ4498=0,15&lt;='01_Вводные'!$B$297),0,'19_Расчет_аналитики'!BJ4498*IF('01_Вводные'!$B$239="Да",MeanMinAge15+'19_Расчет_аналитики'!BJ4607*SUMIF(ThresholdAge15,"&lt;"&amp;'19_Расчет_аналитики'!BJ4607,WeightedRevAge15)-SUMIF(ThresholdAge15,"&lt;"&amp;'19_Расчет_аналитики'!BJ4607,WeightedMinAge15),MAX(CapacityAge15*'01_Вводные'!$B$218*'19_Расчет_аналитики'!BJ4607,MeanMinAge15))),0)</f>
        <v/>
      </c>
      <c r="BK4526">
        <f>IF('01_Вводные'!$B$234="Да",IF(OR('19_Расчет_аналитики'!BK4498=0,15&lt;='01_Вводные'!$B$297),0,'19_Расчет_аналитики'!BK4498*IF('01_Вводные'!$B$239="Да",MeanMinAge15+'19_Расчет_аналитики'!BK4607*SUMIF(ThresholdAge15,"&lt;"&amp;'19_Расчет_аналитики'!BK4607,WeightedRevAge15)-SUMIF(ThresholdAge15,"&lt;"&amp;'19_Расчет_аналитики'!BK4607,WeightedMinAge15),MAX(CapacityAge15*'01_Вводные'!$B$218*'19_Расчет_аналитики'!BK4607,MeanMinAge15))),0)</f>
        <v/>
      </c>
      <c r="BL4526">
        <f>IF('01_Вводные'!$B$234="Да",IF(OR('19_Расчет_аналитики'!BL4498=0,15&lt;='01_Вводные'!$B$297),0,'19_Расчет_аналитики'!BL4498*IF('01_Вводные'!$B$239="Да",MeanMinAge15+'19_Расчет_аналитики'!BL4607*SUMIF(ThresholdAge15,"&lt;"&amp;'19_Расчет_аналитики'!BL4607,WeightedRevAge15)-SUMIF(ThresholdAge15,"&lt;"&amp;'19_Расчет_аналитики'!BL4607,WeightedMinAge15),MAX(CapacityAge15*'01_Вводные'!$B$218*'19_Расчет_аналитики'!BL4607,MeanMinAge15))),0)</f>
        <v/>
      </c>
      <c r="BM4526">
        <f>IF('01_Вводные'!$B$234="Да",IF(OR('19_Расчет_аналитики'!BM4498=0,15&lt;='01_Вводные'!$B$297),0,'19_Расчет_аналитики'!BM4498*IF('01_Вводные'!$B$239="Да",MeanMinAge15+'19_Расчет_аналитики'!BM4607*SUMIF(ThresholdAge15,"&lt;"&amp;'19_Расчет_аналитики'!BM4607,WeightedRevAge15)-SUMIF(ThresholdAge15,"&lt;"&amp;'19_Расчет_аналитики'!BM4607,WeightedMinAge15),MAX(CapacityAge15*'01_Вводные'!$B$218*'19_Расчет_аналитики'!BM4607,MeanMinAge15))),0)</f>
        <v/>
      </c>
      <c r="BN4526">
        <f>IF('01_Вводные'!$B$234="Да",IF(OR('19_Расчет_аналитики'!BN4498=0,15&lt;='01_Вводные'!$B$297),0,'19_Расчет_аналитики'!BN4498*IF('01_Вводные'!$B$239="Да",MeanMinAge15+'19_Расчет_аналитики'!BN4607*SUMIF(ThresholdAge15,"&lt;"&amp;'19_Расчет_аналитики'!BN4607,WeightedRevAge15)-SUMIF(ThresholdAge15,"&lt;"&amp;'19_Расчет_аналитики'!BN4607,WeightedMinAge15),MAX(CapacityAge15*'01_Вводные'!$B$218*'19_Расчет_аналитики'!BN4607,MeanMinAge15))),0)</f>
        <v/>
      </c>
      <c r="BO4526">
        <f>IF('01_Вводные'!$B$234="Да",IF(OR('19_Расчет_аналитики'!BO4498=0,15&lt;='01_Вводные'!$B$297),0,'19_Расчет_аналитики'!BO4498*IF('01_Вводные'!$B$239="Да",MeanMinAge15+'19_Расчет_аналитики'!BO4607*SUMIF(ThresholdAge15,"&lt;"&amp;'19_Расчет_аналитики'!BO4607,WeightedRevAge15)-SUMIF(ThresholdAge15,"&lt;"&amp;'19_Расчет_аналитики'!BO4607,WeightedMinAge15),MAX(CapacityAge15*'01_Вводные'!$B$218*'19_Расчет_аналитики'!BO4607,MeanMinAge15))),0)</f>
        <v/>
      </c>
    </row>
    <row r="4527">
      <c r="B4527">
        <f>IF('01_Вводные'!$B$234="Да",IF(OR('06_Сеть_и_дети'!B96=0,16&lt;='01_Вводные'!$B$297),0,'06_Сеть_и_дети'!B96*IF('01_Вводные'!$B$239="Да",MeanMinAge16+'19_Расчет_аналитики'!B4607*SUMIF(ThresholdAge16,"&lt;"&amp;'19_Расчет_аналитики'!B4607,WeightedRevAge16)-SUMIF(ThresholdAge16,"&lt;"&amp;'19_Расчет_аналитики'!B4607,WeightedMinAge16),MAX(CapacityAge16*'01_Вводные'!$B$218*'19_Расчет_аналитики'!B4607,MeanMinAge16))),0)</f>
        <v/>
      </c>
      <c r="C4527">
        <f>IF('01_Вводные'!$B$234="Да",IF(OR('06_Сеть_и_дети'!C96=0,16&lt;='01_Вводные'!$B$297),0,'06_Сеть_и_дети'!C96*IF('01_Вводные'!$B$239="Да",MeanMinAge16+'19_Расчет_аналитики'!C4607*SUMIF(ThresholdAge16,"&lt;"&amp;'19_Расчет_аналитики'!C4607,WeightedRevAge16)-SUMIF(ThresholdAge16,"&lt;"&amp;'19_Расчет_аналитики'!C4607,WeightedMinAge16),MAX(CapacityAge16*'01_Вводные'!$B$218*'19_Расчет_аналитики'!C4607,MeanMinAge16))),0)</f>
        <v/>
      </c>
      <c r="D4527">
        <f>IF('01_Вводные'!$B$234="Да",IF(OR('06_Сеть_и_дети'!D96=0,16&lt;='01_Вводные'!$B$297),0,'06_Сеть_и_дети'!D96*IF('01_Вводные'!$B$239="Да",MeanMinAge16+'19_Расчет_аналитики'!D4607*SUMIF(ThresholdAge16,"&lt;"&amp;'19_Расчет_аналитики'!D4607,WeightedRevAge16)-SUMIF(ThresholdAge16,"&lt;"&amp;'19_Расчет_аналитики'!D4607,WeightedMinAge16),MAX(CapacityAge16*'01_Вводные'!$B$218*'19_Расчет_аналитики'!D4607,MeanMinAge16))),0)</f>
        <v/>
      </c>
      <c r="E4527">
        <f>IF('01_Вводные'!$B$234="Да",IF(OR('06_Сеть_и_дети'!E96=0,16&lt;='01_Вводные'!$B$297),0,'06_Сеть_и_дети'!E96*IF('01_Вводные'!$B$239="Да",MeanMinAge16+'19_Расчет_аналитики'!E4607*SUMIF(ThresholdAge16,"&lt;"&amp;'19_Расчет_аналитики'!E4607,WeightedRevAge16)-SUMIF(ThresholdAge16,"&lt;"&amp;'19_Расчет_аналитики'!E4607,WeightedMinAge16),MAX(CapacityAge16*'01_Вводные'!$B$218*'19_Расчет_аналитики'!E4607,MeanMinAge16))),0)</f>
        <v/>
      </c>
      <c r="F4527">
        <f>IF('01_Вводные'!$B$234="Да",IF(OR('06_Сеть_и_дети'!F96=0,16&lt;='01_Вводные'!$B$297),0,'06_Сеть_и_дети'!F96*IF('01_Вводные'!$B$239="Да",MeanMinAge16+'19_Расчет_аналитики'!F4607*SUMIF(ThresholdAge16,"&lt;"&amp;'19_Расчет_аналитики'!F4607,WeightedRevAge16)-SUMIF(ThresholdAge16,"&lt;"&amp;'19_Расчет_аналитики'!F4607,WeightedMinAge16),MAX(CapacityAge16*'01_Вводные'!$B$218*'19_Расчет_аналитики'!F4607,MeanMinAge16))),0)</f>
        <v/>
      </c>
      <c r="G4527">
        <f>IF('01_Вводные'!$B$234="Да",IF(OR('06_Сеть_и_дети'!G96=0,16&lt;='01_Вводные'!$B$297),0,'06_Сеть_и_дети'!G96*IF('01_Вводные'!$B$239="Да",MeanMinAge16+'19_Расчет_аналитики'!G4607*SUMIF(ThresholdAge16,"&lt;"&amp;'19_Расчет_аналитики'!G4607,WeightedRevAge16)-SUMIF(ThresholdAge16,"&lt;"&amp;'19_Расчет_аналитики'!G4607,WeightedMinAge16),MAX(CapacityAge16*'01_Вводные'!$B$218*'19_Расчет_аналитики'!G4607,MeanMinAge16))),0)</f>
        <v/>
      </c>
      <c r="H4527">
        <f>IF('01_Вводные'!$B$234="Да",IF(OR('06_Сеть_и_дети'!H96=0,16&lt;='01_Вводные'!$B$297),0,'06_Сеть_и_дети'!H96*IF('01_Вводные'!$B$239="Да",MeanMinAge16+'19_Расчет_аналитики'!H4607*SUMIF(ThresholdAge16,"&lt;"&amp;'19_Расчет_аналитики'!H4607,WeightedRevAge16)-SUMIF(ThresholdAge16,"&lt;"&amp;'19_Расчет_аналитики'!H4607,WeightedMinAge16),MAX(CapacityAge16*'01_Вводные'!$B$218*'19_Расчет_аналитики'!H4607,MeanMinAge16))),0)</f>
        <v/>
      </c>
      <c r="I4527">
        <f>IF('01_Вводные'!$B$234="Да",IF(OR('06_Сеть_и_дети'!I96=0,16&lt;='01_Вводные'!$B$297),0,'06_Сеть_и_дети'!I96*IF('01_Вводные'!$B$239="Да",MeanMinAge16+'19_Расчет_аналитики'!I4607*SUMIF(ThresholdAge16,"&lt;"&amp;'19_Расчет_аналитики'!I4607,WeightedRevAge16)-SUMIF(ThresholdAge16,"&lt;"&amp;'19_Расчет_аналитики'!I4607,WeightedMinAge16),MAX(CapacityAge16*'01_Вводные'!$B$218*'19_Расчет_аналитики'!I4607,MeanMinAge16))),0)</f>
        <v/>
      </c>
      <c r="J4527">
        <f>IF('01_Вводные'!$B$234="Да",IF(OR('06_Сеть_и_дети'!J96=0,16&lt;='01_Вводные'!$B$297),0,'06_Сеть_и_дети'!J96*IF('01_Вводные'!$B$239="Да",MeanMinAge16+'19_Расчет_аналитики'!J4607*SUMIF(ThresholdAge16,"&lt;"&amp;'19_Расчет_аналитики'!J4607,WeightedRevAge16)-SUMIF(ThresholdAge16,"&lt;"&amp;'19_Расчет_аналитики'!J4607,WeightedMinAge16),MAX(CapacityAge16*'01_Вводные'!$B$218*'19_Расчет_аналитики'!J4607,MeanMinAge16))),0)</f>
        <v/>
      </c>
      <c r="K4527">
        <f>IF('01_Вводные'!$B$234="Да",IF(OR('06_Сеть_и_дети'!K96=0,16&lt;='01_Вводные'!$B$297),0,'06_Сеть_и_дети'!K96*IF('01_Вводные'!$B$239="Да",MeanMinAge16+'19_Расчет_аналитики'!K4607*SUMIF(ThresholdAge16,"&lt;"&amp;'19_Расчет_аналитики'!K4607,WeightedRevAge16)-SUMIF(ThresholdAge16,"&lt;"&amp;'19_Расчет_аналитики'!K4607,WeightedMinAge16),MAX(CapacityAge16*'01_Вводные'!$B$218*'19_Расчет_аналитики'!K4607,MeanMinAge16))),0)</f>
        <v/>
      </c>
      <c r="L4527">
        <f>IF('01_Вводные'!$B$234="Да",IF(OR('06_Сеть_и_дети'!L96=0,16&lt;='01_Вводные'!$B$297),0,'06_Сеть_и_дети'!L96*IF('01_Вводные'!$B$239="Да",MeanMinAge16+'19_Расчет_аналитики'!L4607*SUMIF(ThresholdAge16,"&lt;"&amp;'19_Расчет_аналитики'!L4607,WeightedRevAge16)-SUMIF(ThresholdAge16,"&lt;"&amp;'19_Расчет_аналитики'!L4607,WeightedMinAge16),MAX(CapacityAge16*'01_Вводные'!$B$218*'19_Расчет_аналитики'!L4607,MeanMinAge16))),0)</f>
        <v/>
      </c>
      <c r="M4527">
        <f>IF('01_Вводные'!$B$234="Да",IF(OR('06_Сеть_и_дети'!M96=0,16&lt;='01_Вводные'!$B$297),0,'06_Сеть_и_дети'!M96*IF('01_Вводные'!$B$239="Да",MeanMinAge16+'19_Расчет_аналитики'!M4607*SUMIF(ThresholdAge16,"&lt;"&amp;'19_Расчет_аналитики'!M4607,WeightedRevAge16)-SUMIF(ThresholdAge16,"&lt;"&amp;'19_Расчет_аналитики'!M4607,WeightedMinAge16),MAX(CapacityAge16*'01_Вводные'!$B$218*'19_Расчет_аналитики'!M4607,MeanMinAge16))),0)</f>
        <v/>
      </c>
      <c r="N4527">
        <f>IF('01_Вводные'!$B$234="Да",IF(OR('06_Сеть_и_дети'!N96=0,16&lt;='01_Вводные'!$B$297),0,'06_Сеть_и_дети'!N96*IF('01_Вводные'!$B$239="Да",MeanMinAge16+'19_Расчет_аналитики'!N4607*SUMIF(ThresholdAge16,"&lt;"&amp;'19_Расчет_аналитики'!N4607,WeightedRevAge16)-SUMIF(ThresholdAge16,"&lt;"&amp;'19_Расчет_аналитики'!N4607,WeightedMinAge16),MAX(CapacityAge16*'01_Вводные'!$B$218*'19_Расчет_аналитики'!N4607,MeanMinAge16))),0)</f>
        <v/>
      </c>
      <c r="O4527">
        <f>IF('01_Вводные'!$B$234="Да",IF(OR('06_Сеть_и_дети'!O96=0,16&lt;='01_Вводные'!$B$297),0,'06_Сеть_и_дети'!O96*IF('01_Вводные'!$B$239="Да",MeanMinAge16+'19_Расчет_аналитики'!O4607*SUMIF(ThresholdAge16,"&lt;"&amp;'19_Расчет_аналитики'!O4607,WeightedRevAge16)-SUMIF(ThresholdAge16,"&lt;"&amp;'19_Расчет_аналитики'!O4607,WeightedMinAge16),MAX(CapacityAge16*'01_Вводные'!$B$218*'19_Расчет_аналитики'!O4607,MeanMinAge16))),0)</f>
        <v/>
      </c>
      <c r="P4527">
        <f>IF('01_Вводные'!$B$234="Да",IF(OR('06_Сеть_и_дети'!P96=0,16&lt;='01_Вводные'!$B$297),0,'06_Сеть_и_дети'!P96*IF('01_Вводные'!$B$239="Да",MeanMinAge16+'19_Расчет_аналитики'!P4607*SUMIF(ThresholdAge16,"&lt;"&amp;'19_Расчет_аналитики'!P4607,WeightedRevAge16)-SUMIF(ThresholdAge16,"&lt;"&amp;'19_Расчет_аналитики'!P4607,WeightedMinAge16),MAX(CapacityAge16*'01_Вводные'!$B$218*'19_Расчет_аналитики'!P4607,MeanMinAge16))),0)</f>
        <v/>
      </c>
      <c r="Q4527">
        <f>IF('01_Вводные'!$B$234="Да",IF(OR('19_Расчет_аналитики'!Q4499=0,16&lt;='01_Вводные'!$B$297),0,'19_Расчет_аналитики'!Q4499*IF('01_Вводные'!$B$239="Да",MeanMinAge16+'19_Расчет_аналитики'!Q4607*SUMIF(ThresholdAge16,"&lt;"&amp;'19_Расчет_аналитики'!Q4607,WeightedRevAge16)-SUMIF(ThresholdAge16,"&lt;"&amp;'19_Расчет_аналитики'!Q4607,WeightedMinAge16),MAX(CapacityAge16*'01_Вводные'!$B$218*'19_Расчет_аналитики'!Q4607,MeanMinAge16))),0)</f>
        <v/>
      </c>
      <c r="R4527">
        <f>IF('01_Вводные'!$B$234="Да",IF(OR('19_Расчет_аналитики'!R4499=0,16&lt;='01_Вводные'!$B$297),0,'19_Расчет_аналитики'!R4499*IF('01_Вводные'!$B$239="Да",MeanMinAge16+'19_Расчет_аналитики'!R4607*SUMIF(ThresholdAge16,"&lt;"&amp;'19_Расчет_аналитики'!R4607,WeightedRevAge16)-SUMIF(ThresholdAge16,"&lt;"&amp;'19_Расчет_аналитики'!R4607,WeightedMinAge16),MAX(CapacityAge16*'01_Вводные'!$B$218*'19_Расчет_аналитики'!R4607,MeanMinAge16))),0)</f>
        <v/>
      </c>
      <c r="S4527">
        <f>IF('01_Вводные'!$B$234="Да",IF(OR('19_Расчет_аналитики'!S4499=0,16&lt;='01_Вводные'!$B$297),0,'19_Расчет_аналитики'!S4499*IF('01_Вводные'!$B$239="Да",MeanMinAge16+'19_Расчет_аналитики'!S4607*SUMIF(ThresholdAge16,"&lt;"&amp;'19_Расчет_аналитики'!S4607,WeightedRevAge16)-SUMIF(ThresholdAge16,"&lt;"&amp;'19_Расчет_аналитики'!S4607,WeightedMinAge16),MAX(CapacityAge16*'01_Вводные'!$B$218*'19_Расчет_аналитики'!S4607,MeanMinAge16))),0)</f>
        <v/>
      </c>
      <c r="T4527">
        <f>IF('01_Вводные'!$B$234="Да",IF(OR('19_Расчет_аналитики'!T4499=0,16&lt;='01_Вводные'!$B$297),0,'19_Расчет_аналитики'!T4499*IF('01_Вводные'!$B$239="Да",MeanMinAge16+'19_Расчет_аналитики'!T4607*SUMIF(ThresholdAge16,"&lt;"&amp;'19_Расчет_аналитики'!T4607,WeightedRevAge16)-SUMIF(ThresholdAge16,"&lt;"&amp;'19_Расчет_аналитики'!T4607,WeightedMinAge16),MAX(CapacityAge16*'01_Вводные'!$B$218*'19_Расчет_аналитики'!T4607,MeanMinAge16))),0)</f>
        <v/>
      </c>
      <c r="U4527">
        <f>IF('01_Вводные'!$B$234="Да",IF(OR('19_Расчет_аналитики'!U4499=0,16&lt;='01_Вводные'!$B$297),0,'19_Расчет_аналитики'!U4499*IF('01_Вводные'!$B$239="Да",MeanMinAge16+'19_Расчет_аналитики'!U4607*SUMIF(ThresholdAge16,"&lt;"&amp;'19_Расчет_аналитики'!U4607,WeightedRevAge16)-SUMIF(ThresholdAge16,"&lt;"&amp;'19_Расчет_аналитики'!U4607,WeightedMinAge16),MAX(CapacityAge16*'01_Вводные'!$B$218*'19_Расчет_аналитики'!U4607,MeanMinAge16))),0)</f>
        <v/>
      </c>
      <c r="V4527">
        <f>IF('01_Вводные'!$B$234="Да",IF(OR('19_Расчет_аналитики'!V4499=0,16&lt;='01_Вводные'!$B$297),0,'19_Расчет_аналитики'!V4499*IF('01_Вводные'!$B$239="Да",MeanMinAge16+'19_Расчет_аналитики'!V4607*SUMIF(ThresholdAge16,"&lt;"&amp;'19_Расчет_аналитики'!V4607,WeightedRevAge16)-SUMIF(ThresholdAge16,"&lt;"&amp;'19_Расчет_аналитики'!V4607,WeightedMinAge16),MAX(CapacityAge16*'01_Вводные'!$B$218*'19_Расчет_аналитики'!V4607,MeanMinAge16))),0)</f>
        <v/>
      </c>
      <c r="W4527">
        <f>IF('01_Вводные'!$B$234="Да",IF(OR('19_Расчет_аналитики'!W4499=0,16&lt;='01_Вводные'!$B$297),0,'19_Расчет_аналитики'!W4499*IF('01_Вводные'!$B$239="Да",MeanMinAge16+'19_Расчет_аналитики'!W4607*SUMIF(ThresholdAge16,"&lt;"&amp;'19_Расчет_аналитики'!W4607,WeightedRevAge16)-SUMIF(ThresholdAge16,"&lt;"&amp;'19_Расчет_аналитики'!W4607,WeightedMinAge16),MAX(CapacityAge16*'01_Вводные'!$B$218*'19_Расчет_аналитики'!W4607,MeanMinAge16))),0)</f>
        <v/>
      </c>
      <c r="X4527">
        <f>IF('01_Вводные'!$B$234="Да",IF(OR('19_Расчет_аналитики'!X4499=0,16&lt;='01_Вводные'!$B$297),0,'19_Расчет_аналитики'!X4499*IF('01_Вводные'!$B$239="Да",MeanMinAge16+'19_Расчет_аналитики'!X4607*SUMIF(ThresholdAge16,"&lt;"&amp;'19_Расчет_аналитики'!X4607,WeightedRevAge16)-SUMIF(ThresholdAge16,"&lt;"&amp;'19_Расчет_аналитики'!X4607,WeightedMinAge16),MAX(CapacityAge16*'01_Вводные'!$B$218*'19_Расчет_аналитики'!X4607,MeanMinAge16))),0)</f>
        <v/>
      </c>
      <c r="Y4527">
        <f>IF('01_Вводные'!$B$234="Да",IF(OR('19_Расчет_аналитики'!Y4499=0,16&lt;='01_Вводные'!$B$297),0,'19_Расчет_аналитики'!Y4499*IF('01_Вводные'!$B$239="Да",MeanMinAge16+'19_Расчет_аналитики'!Y4607*SUMIF(ThresholdAge16,"&lt;"&amp;'19_Расчет_аналитики'!Y4607,WeightedRevAge16)-SUMIF(ThresholdAge16,"&lt;"&amp;'19_Расчет_аналитики'!Y4607,WeightedMinAge16),MAX(CapacityAge16*'01_Вводные'!$B$218*'19_Расчет_аналитики'!Y4607,MeanMinAge16))),0)</f>
        <v/>
      </c>
      <c r="Z4527">
        <f>IF('01_Вводные'!$B$234="Да",IF(OR('19_Расчет_аналитики'!Z4499=0,16&lt;='01_Вводные'!$B$297),0,'19_Расчет_аналитики'!Z4499*IF('01_Вводные'!$B$239="Да",MeanMinAge16+'19_Расчет_аналитики'!Z4607*SUMIF(ThresholdAge16,"&lt;"&amp;'19_Расчет_аналитики'!Z4607,WeightedRevAge16)-SUMIF(ThresholdAge16,"&lt;"&amp;'19_Расчет_аналитики'!Z4607,WeightedMinAge16),MAX(CapacityAge16*'01_Вводные'!$B$218*'19_Расчет_аналитики'!Z4607,MeanMinAge16))),0)</f>
        <v/>
      </c>
      <c r="AA4527">
        <f>IF('01_Вводные'!$B$234="Да",IF(OR('19_Расчет_аналитики'!AA4499=0,16&lt;='01_Вводные'!$B$297),0,'19_Расчет_аналитики'!AA4499*IF('01_Вводные'!$B$239="Да",MeanMinAge16+'19_Расчет_аналитики'!AA4607*SUMIF(ThresholdAge16,"&lt;"&amp;'19_Расчет_аналитики'!AA4607,WeightedRevAge16)-SUMIF(ThresholdAge16,"&lt;"&amp;'19_Расчет_аналитики'!AA4607,WeightedMinAge16),MAX(CapacityAge16*'01_Вводные'!$B$218*'19_Расчет_аналитики'!AA4607,MeanMinAge16))),0)</f>
        <v/>
      </c>
      <c r="AB4527">
        <f>IF('01_Вводные'!$B$234="Да",IF(OR('19_Расчет_аналитики'!AB4499=0,16&lt;='01_Вводные'!$B$297),0,'19_Расчет_аналитики'!AB4499*IF('01_Вводные'!$B$239="Да",MeanMinAge16+'19_Расчет_аналитики'!AB4607*SUMIF(ThresholdAge16,"&lt;"&amp;'19_Расчет_аналитики'!AB4607,WeightedRevAge16)-SUMIF(ThresholdAge16,"&lt;"&amp;'19_Расчет_аналитики'!AB4607,WeightedMinAge16),MAX(CapacityAge16*'01_Вводные'!$B$218*'19_Расчет_аналитики'!AB4607,MeanMinAge16))),0)</f>
        <v/>
      </c>
      <c r="AC4527">
        <f>IF('01_Вводные'!$B$234="Да",IF(OR('19_Расчет_аналитики'!AC4499=0,16&lt;='01_Вводные'!$B$297),0,'19_Расчет_аналитики'!AC4499*IF('01_Вводные'!$B$239="Да",MeanMinAge16+'19_Расчет_аналитики'!AC4607*SUMIF(ThresholdAge16,"&lt;"&amp;'19_Расчет_аналитики'!AC4607,WeightedRevAge16)-SUMIF(ThresholdAge16,"&lt;"&amp;'19_Расчет_аналитики'!AC4607,WeightedMinAge16),MAX(CapacityAge16*'01_Вводные'!$B$218*'19_Расчет_аналитики'!AC4607,MeanMinAge16))),0)</f>
        <v/>
      </c>
      <c r="AD4527">
        <f>IF('01_Вводные'!$B$234="Да",IF(OR('19_Расчет_аналитики'!AD4499=0,16&lt;='01_Вводные'!$B$297),0,'19_Расчет_аналитики'!AD4499*IF('01_Вводные'!$B$239="Да",MeanMinAge16+'19_Расчет_аналитики'!AD4607*SUMIF(ThresholdAge16,"&lt;"&amp;'19_Расчет_аналитики'!AD4607,WeightedRevAge16)-SUMIF(ThresholdAge16,"&lt;"&amp;'19_Расчет_аналитики'!AD4607,WeightedMinAge16),MAX(CapacityAge16*'01_Вводные'!$B$218*'19_Расчет_аналитики'!AD4607,MeanMinAge16))),0)</f>
        <v/>
      </c>
      <c r="AE4527">
        <f>IF('01_Вводные'!$B$234="Да",IF(OR('19_Расчет_аналитики'!AE4499=0,16&lt;='01_Вводные'!$B$297),0,'19_Расчет_аналитики'!AE4499*IF('01_Вводные'!$B$239="Да",MeanMinAge16+'19_Расчет_аналитики'!AE4607*SUMIF(ThresholdAge16,"&lt;"&amp;'19_Расчет_аналитики'!AE4607,WeightedRevAge16)-SUMIF(ThresholdAge16,"&lt;"&amp;'19_Расчет_аналитики'!AE4607,WeightedMinAge16),MAX(CapacityAge16*'01_Вводные'!$B$218*'19_Расчет_аналитики'!AE4607,MeanMinAge16))),0)</f>
        <v/>
      </c>
      <c r="AF4527">
        <f>IF('01_Вводные'!$B$234="Да",IF(OR('19_Расчет_аналитики'!AF4499=0,16&lt;='01_Вводные'!$B$297),0,'19_Расчет_аналитики'!AF4499*IF('01_Вводные'!$B$239="Да",MeanMinAge16+'19_Расчет_аналитики'!AF4607*SUMIF(ThresholdAge16,"&lt;"&amp;'19_Расчет_аналитики'!AF4607,WeightedRevAge16)-SUMIF(ThresholdAge16,"&lt;"&amp;'19_Расчет_аналитики'!AF4607,WeightedMinAge16),MAX(CapacityAge16*'01_Вводные'!$B$218*'19_Расчет_аналитики'!AF4607,MeanMinAge16))),0)</f>
        <v/>
      </c>
      <c r="AG4527">
        <f>IF('01_Вводные'!$B$234="Да",IF(OR('19_Расчет_аналитики'!AG4499=0,16&lt;='01_Вводные'!$B$297),0,'19_Расчет_аналитики'!AG4499*IF('01_Вводные'!$B$239="Да",MeanMinAge16+'19_Расчет_аналитики'!AG4607*SUMIF(ThresholdAge16,"&lt;"&amp;'19_Расчет_аналитики'!AG4607,WeightedRevAge16)-SUMIF(ThresholdAge16,"&lt;"&amp;'19_Расчет_аналитики'!AG4607,WeightedMinAge16),MAX(CapacityAge16*'01_Вводные'!$B$218*'19_Расчет_аналитики'!AG4607,MeanMinAge16))),0)</f>
        <v/>
      </c>
      <c r="AH4527">
        <f>IF('01_Вводные'!$B$234="Да",IF(OR('19_Расчет_аналитики'!AH4499=0,16&lt;='01_Вводные'!$B$297),0,'19_Расчет_аналитики'!AH4499*IF('01_Вводные'!$B$239="Да",MeanMinAge16+'19_Расчет_аналитики'!AH4607*SUMIF(ThresholdAge16,"&lt;"&amp;'19_Расчет_аналитики'!AH4607,WeightedRevAge16)-SUMIF(ThresholdAge16,"&lt;"&amp;'19_Расчет_аналитики'!AH4607,WeightedMinAge16),MAX(CapacityAge16*'01_Вводные'!$B$218*'19_Расчет_аналитики'!AH4607,MeanMinAge16))),0)</f>
        <v/>
      </c>
      <c r="AI4527">
        <f>IF('01_Вводные'!$B$234="Да",IF(OR('19_Расчет_аналитики'!AI4499=0,16&lt;='01_Вводные'!$B$297),0,'19_Расчет_аналитики'!AI4499*IF('01_Вводные'!$B$239="Да",MeanMinAge16+'19_Расчет_аналитики'!AI4607*SUMIF(ThresholdAge16,"&lt;"&amp;'19_Расчет_аналитики'!AI4607,WeightedRevAge16)-SUMIF(ThresholdAge16,"&lt;"&amp;'19_Расчет_аналитики'!AI4607,WeightedMinAge16),MAX(CapacityAge16*'01_Вводные'!$B$218*'19_Расчет_аналитики'!AI4607,MeanMinAge16))),0)</f>
        <v/>
      </c>
      <c r="AJ4527">
        <f>IF('01_Вводные'!$B$234="Да",IF(OR('19_Расчет_аналитики'!AJ4499=0,16&lt;='01_Вводные'!$B$297),0,'19_Расчет_аналитики'!AJ4499*IF('01_Вводные'!$B$239="Да",MeanMinAge16+'19_Расчет_аналитики'!AJ4607*SUMIF(ThresholdAge16,"&lt;"&amp;'19_Расчет_аналитики'!AJ4607,WeightedRevAge16)-SUMIF(ThresholdAge16,"&lt;"&amp;'19_Расчет_аналитики'!AJ4607,WeightedMinAge16),MAX(CapacityAge16*'01_Вводные'!$B$218*'19_Расчет_аналитики'!AJ4607,MeanMinAge16))),0)</f>
        <v/>
      </c>
      <c r="AK4527">
        <f>IF('01_Вводные'!$B$234="Да",IF(OR('19_Расчет_аналитики'!AK4499=0,16&lt;='01_Вводные'!$B$297),0,'19_Расчет_аналитики'!AK4499*IF('01_Вводные'!$B$239="Да",MeanMinAge16+'19_Расчет_аналитики'!AK4607*SUMIF(ThresholdAge16,"&lt;"&amp;'19_Расчет_аналитики'!AK4607,WeightedRevAge16)-SUMIF(ThresholdAge16,"&lt;"&amp;'19_Расчет_аналитики'!AK4607,WeightedMinAge16),MAX(CapacityAge16*'01_Вводные'!$B$218*'19_Расчет_аналитики'!AK4607,MeanMinAge16))),0)</f>
        <v/>
      </c>
      <c r="AL4527">
        <f>IF('01_Вводные'!$B$234="Да",IF(OR('19_Расчет_аналитики'!AL4499=0,16&lt;='01_Вводные'!$B$297),0,'19_Расчет_аналитики'!AL4499*IF('01_Вводные'!$B$239="Да",MeanMinAge16+'19_Расчет_аналитики'!AL4607*SUMIF(ThresholdAge16,"&lt;"&amp;'19_Расчет_аналитики'!AL4607,WeightedRevAge16)-SUMIF(ThresholdAge16,"&lt;"&amp;'19_Расчет_аналитики'!AL4607,WeightedMinAge16),MAX(CapacityAge16*'01_Вводные'!$B$218*'19_Расчет_аналитики'!AL4607,MeanMinAge16))),0)</f>
        <v/>
      </c>
      <c r="AM4527">
        <f>IF('01_Вводные'!$B$234="Да",IF(OR('19_Расчет_аналитики'!AM4499=0,16&lt;='01_Вводные'!$B$297),0,'19_Расчет_аналитики'!AM4499*IF('01_Вводные'!$B$239="Да",MeanMinAge16+'19_Расчет_аналитики'!AM4607*SUMIF(ThresholdAge16,"&lt;"&amp;'19_Расчет_аналитики'!AM4607,WeightedRevAge16)-SUMIF(ThresholdAge16,"&lt;"&amp;'19_Расчет_аналитики'!AM4607,WeightedMinAge16),MAX(CapacityAge16*'01_Вводные'!$B$218*'19_Расчет_аналитики'!AM4607,MeanMinAge16))),0)</f>
        <v/>
      </c>
      <c r="AN4527">
        <f>IF('01_Вводные'!$B$234="Да",IF(OR('19_Расчет_аналитики'!AN4499=0,16&lt;='01_Вводные'!$B$297),0,'19_Расчет_аналитики'!AN4499*IF('01_Вводные'!$B$239="Да",MeanMinAge16+'19_Расчет_аналитики'!AN4607*SUMIF(ThresholdAge16,"&lt;"&amp;'19_Расчет_аналитики'!AN4607,WeightedRevAge16)-SUMIF(ThresholdAge16,"&lt;"&amp;'19_Расчет_аналитики'!AN4607,WeightedMinAge16),MAX(CapacityAge16*'01_Вводные'!$B$218*'19_Расчет_аналитики'!AN4607,MeanMinAge16))),0)</f>
        <v/>
      </c>
      <c r="AO4527">
        <f>IF('01_Вводные'!$B$234="Да",IF(OR('19_Расчет_аналитики'!AO4499=0,16&lt;='01_Вводные'!$B$297),0,'19_Расчет_аналитики'!AO4499*IF('01_Вводные'!$B$239="Да",MeanMinAge16+'19_Расчет_аналитики'!AO4607*SUMIF(ThresholdAge16,"&lt;"&amp;'19_Расчет_аналитики'!AO4607,WeightedRevAge16)-SUMIF(ThresholdAge16,"&lt;"&amp;'19_Расчет_аналитики'!AO4607,WeightedMinAge16),MAX(CapacityAge16*'01_Вводные'!$B$218*'19_Расчет_аналитики'!AO4607,MeanMinAge16))),0)</f>
        <v/>
      </c>
      <c r="AP4527">
        <f>IF('01_Вводные'!$B$234="Да",IF(OR('19_Расчет_аналитики'!AP4499=0,16&lt;='01_Вводные'!$B$297),0,'19_Расчет_аналитики'!AP4499*IF('01_Вводные'!$B$239="Да",MeanMinAge16+'19_Расчет_аналитики'!AP4607*SUMIF(ThresholdAge16,"&lt;"&amp;'19_Расчет_аналитики'!AP4607,WeightedRevAge16)-SUMIF(ThresholdAge16,"&lt;"&amp;'19_Расчет_аналитики'!AP4607,WeightedMinAge16),MAX(CapacityAge16*'01_Вводные'!$B$218*'19_Расчет_аналитики'!AP4607,MeanMinAge16))),0)</f>
        <v/>
      </c>
      <c r="AQ4527">
        <f>IF('01_Вводные'!$B$234="Да",IF(OR('19_Расчет_аналитики'!AQ4499=0,16&lt;='01_Вводные'!$B$297),0,'19_Расчет_аналитики'!AQ4499*IF('01_Вводные'!$B$239="Да",MeanMinAge16+'19_Расчет_аналитики'!AQ4607*SUMIF(ThresholdAge16,"&lt;"&amp;'19_Расчет_аналитики'!AQ4607,WeightedRevAge16)-SUMIF(ThresholdAge16,"&lt;"&amp;'19_Расчет_аналитики'!AQ4607,WeightedMinAge16),MAX(CapacityAge16*'01_Вводные'!$B$218*'19_Расчет_аналитики'!AQ4607,MeanMinAge16))),0)</f>
        <v/>
      </c>
      <c r="AR4527">
        <f>IF('01_Вводные'!$B$234="Да",IF(OR('19_Расчет_аналитики'!AR4499=0,16&lt;='01_Вводные'!$B$297),0,'19_Расчет_аналитики'!AR4499*IF('01_Вводные'!$B$239="Да",MeanMinAge16+'19_Расчет_аналитики'!AR4607*SUMIF(ThresholdAge16,"&lt;"&amp;'19_Расчет_аналитики'!AR4607,WeightedRevAge16)-SUMIF(ThresholdAge16,"&lt;"&amp;'19_Расчет_аналитики'!AR4607,WeightedMinAge16),MAX(CapacityAge16*'01_Вводные'!$B$218*'19_Расчет_аналитики'!AR4607,MeanMinAge16))),0)</f>
        <v/>
      </c>
      <c r="AS4527">
        <f>IF('01_Вводные'!$B$234="Да",IF(OR('19_Расчет_аналитики'!AS4499=0,16&lt;='01_Вводные'!$B$297),0,'19_Расчет_аналитики'!AS4499*IF('01_Вводные'!$B$239="Да",MeanMinAge16+'19_Расчет_аналитики'!AS4607*SUMIF(ThresholdAge16,"&lt;"&amp;'19_Расчет_аналитики'!AS4607,WeightedRevAge16)-SUMIF(ThresholdAge16,"&lt;"&amp;'19_Расчет_аналитики'!AS4607,WeightedMinAge16),MAX(CapacityAge16*'01_Вводные'!$B$218*'19_Расчет_аналитики'!AS4607,MeanMinAge16))),0)</f>
        <v/>
      </c>
      <c r="AT4527">
        <f>IF('01_Вводные'!$B$234="Да",IF(OR('19_Расчет_аналитики'!AT4499=0,16&lt;='01_Вводные'!$B$297),0,'19_Расчет_аналитики'!AT4499*IF('01_Вводные'!$B$239="Да",MeanMinAge16+'19_Расчет_аналитики'!AT4607*SUMIF(ThresholdAge16,"&lt;"&amp;'19_Расчет_аналитики'!AT4607,WeightedRevAge16)-SUMIF(ThresholdAge16,"&lt;"&amp;'19_Расчет_аналитики'!AT4607,WeightedMinAge16),MAX(CapacityAge16*'01_Вводные'!$B$218*'19_Расчет_аналитики'!AT4607,MeanMinAge16))),0)</f>
        <v/>
      </c>
      <c r="AU4527">
        <f>IF('01_Вводные'!$B$234="Да",IF(OR('19_Расчет_аналитики'!AU4499=0,16&lt;='01_Вводные'!$B$297),0,'19_Расчет_аналитики'!AU4499*IF('01_Вводные'!$B$239="Да",MeanMinAge16+'19_Расчет_аналитики'!AU4607*SUMIF(ThresholdAge16,"&lt;"&amp;'19_Расчет_аналитики'!AU4607,WeightedRevAge16)-SUMIF(ThresholdAge16,"&lt;"&amp;'19_Расчет_аналитики'!AU4607,WeightedMinAge16),MAX(CapacityAge16*'01_Вводные'!$B$218*'19_Расчет_аналитики'!AU4607,MeanMinAge16))),0)</f>
        <v/>
      </c>
      <c r="AV4527">
        <f>IF('01_Вводные'!$B$234="Да",IF(OR('19_Расчет_аналитики'!AV4499=0,16&lt;='01_Вводные'!$B$297),0,'19_Расчет_аналитики'!AV4499*IF('01_Вводные'!$B$239="Да",MeanMinAge16+'19_Расчет_аналитики'!AV4607*SUMIF(ThresholdAge16,"&lt;"&amp;'19_Расчет_аналитики'!AV4607,WeightedRevAge16)-SUMIF(ThresholdAge16,"&lt;"&amp;'19_Расчет_аналитики'!AV4607,WeightedMinAge16),MAX(CapacityAge16*'01_Вводные'!$B$218*'19_Расчет_аналитики'!AV4607,MeanMinAge16))),0)</f>
        <v/>
      </c>
      <c r="AW4527">
        <f>IF('01_Вводные'!$B$234="Да",IF(OR('19_Расчет_аналитики'!AW4499=0,16&lt;='01_Вводные'!$B$297),0,'19_Расчет_аналитики'!AW4499*IF('01_Вводные'!$B$239="Да",MeanMinAge16+'19_Расчет_аналитики'!AW4607*SUMIF(ThresholdAge16,"&lt;"&amp;'19_Расчет_аналитики'!AW4607,WeightedRevAge16)-SUMIF(ThresholdAge16,"&lt;"&amp;'19_Расчет_аналитики'!AW4607,WeightedMinAge16),MAX(CapacityAge16*'01_Вводные'!$B$218*'19_Расчет_аналитики'!AW4607,MeanMinAge16))),0)</f>
        <v/>
      </c>
      <c r="AX4527">
        <f>IF('01_Вводные'!$B$234="Да",IF(OR('19_Расчет_аналитики'!AX4499=0,16&lt;='01_Вводные'!$B$297),0,'19_Расчет_аналитики'!AX4499*IF('01_Вводные'!$B$239="Да",MeanMinAge16+'19_Расчет_аналитики'!AX4607*SUMIF(ThresholdAge16,"&lt;"&amp;'19_Расчет_аналитики'!AX4607,WeightedRevAge16)-SUMIF(ThresholdAge16,"&lt;"&amp;'19_Расчет_аналитики'!AX4607,WeightedMinAge16),MAX(CapacityAge16*'01_Вводные'!$B$218*'19_Расчет_аналитики'!AX4607,MeanMinAge16))),0)</f>
        <v/>
      </c>
      <c r="AY4527">
        <f>IF('01_Вводные'!$B$234="Да",IF(OR('19_Расчет_аналитики'!AY4499=0,16&lt;='01_Вводные'!$B$297),0,'19_Расчет_аналитики'!AY4499*IF('01_Вводные'!$B$239="Да",MeanMinAge16+'19_Расчет_аналитики'!AY4607*SUMIF(ThresholdAge16,"&lt;"&amp;'19_Расчет_аналитики'!AY4607,WeightedRevAge16)-SUMIF(ThresholdAge16,"&lt;"&amp;'19_Расчет_аналитики'!AY4607,WeightedMinAge16),MAX(CapacityAge16*'01_Вводные'!$B$218*'19_Расчет_аналитики'!AY4607,MeanMinAge16))),0)</f>
        <v/>
      </c>
      <c r="AZ4527">
        <f>IF('01_Вводные'!$B$234="Да",IF(OR('19_Расчет_аналитики'!AZ4499=0,16&lt;='01_Вводные'!$B$297),0,'19_Расчет_аналитики'!AZ4499*IF('01_Вводные'!$B$239="Да",MeanMinAge16+'19_Расчет_аналитики'!AZ4607*SUMIF(ThresholdAge16,"&lt;"&amp;'19_Расчет_аналитики'!AZ4607,WeightedRevAge16)-SUMIF(ThresholdAge16,"&lt;"&amp;'19_Расчет_аналитики'!AZ4607,WeightedMinAge16),MAX(CapacityAge16*'01_Вводные'!$B$218*'19_Расчет_аналитики'!AZ4607,MeanMinAge16))),0)</f>
        <v/>
      </c>
      <c r="BA4527">
        <f>IF('01_Вводные'!$B$234="Да",IF(OR('19_Расчет_аналитики'!BA4499=0,16&lt;='01_Вводные'!$B$297),0,'19_Расчет_аналитики'!BA4499*IF('01_Вводные'!$B$239="Да",MeanMinAge16+'19_Расчет_аналитики'!BA4607*SUMIF(ThresholdAge16,"&lt;"&amp;'19_Расчет_аналитики'!BA4607,WeightedRevAge16)-SUMIF(ThresholdAge16,"&lt;"&amp;'19_Расчет_аналитики'!BA4607,WeightedMinAge16),MAX(CapacityAge16*'01_Вводные'!$B$218*'19_Расчет_аналитики'!BA4607,MeanMinAge16))),0)</f>
        <v/>
      </c>
      <c r="BB4527">
        <f>IF('01_Вводные'!$B$234="Да",IF(OR('19_Расчет_аналитики'!BB4499=0,16&lt;='01_Вводные'!$B$297),0,'19_Расчет_аналитики'!BB4499*IF('01_Вводные'!$B$239="Да",MeanMinAge16+'19_Расчет_аналитики'!BB4607*SUMIF(ThresholdAge16,"&lt;"&amp;'19_Расчет_аналитики'!BB4607,WeightedRevAge16)-SUMIF(ThresholdAge16,"&lt;"&amp;'19_Расчет_аналитики'!BB4607,WeightedMinAge16),MAX(CapacityAge16*'01_Вводные'!$B$218*'19_Расчет_аналитики'!BB4607,MeanMinAge16))),0)</f>
        <v/>
      </c>
      <c r="BC4527">
        <f>IF('01_Вводные'!$B$234="Да",IF(OR('19_Расчет_аналитики'!BC4499=0,16&lt;='01_Вводные'!$B$297),0,'19_Расчет_аналитики'!BC4499*IF('01_Вводные'!$B$239="Да",MeanMinAge16+'19_Расчет_аналитики'!BC4607*SUMIF(ThresholdAge16,"&lt;"&amp;'19_Расчет_аналитики'!BC4607,WeightedRevAge16)-SUMIF(ThresholdAge16,"&lt;"&amp;'19_Расчет_аналитики'!BC4607,WeightedMinAge16),MAX(CapacityAge16*'01_Вводные'!$B$218*'19_Расчет_аналитики'!BC4607,MeanMinAge16))),0)</f>
        <v/>
      </c>
      <c r="BD4527">
        <f>IF('01_Вводные'!$B$234="Да",IF(OR('19_Расчет_аналитики'!BD4499=0,16&lt;='01_Вводные'!$B$297),0,'19_Расчет_аналитики'!BD4499*IF('01_Вводные'!$B$239="Да",MeanMinAge16+'19_Расчет_аналитики'!BD4607*SUMIF(ThresholdAge16,"&lt;"&amp;'19_Расчет_аналитики'!BD4607,WeightedRevAge16)-SUMIF(ThresholdAge16,"&lt;"&amp;'19_Расчет_аналитики'!BD4607,WeightedMinAge16),MAX(CapacityAge16*'01_Вводные'!$B$218*'19_Расчет_аналитики'!BD4607,MeanMinAge16))),0)</f>
        <v/>
      </c>
      <c r="BE4527">
        <f>IF('01_Вводные'!$B$234="Да",IF(OR('19_Расчет_аналитики'!BE4499=0,16&lt;='01_Вводные'!$B$297),0,'19_Расчет_аналитики'!BE4499*IF('01_Вводные'!$B$239="Да",MeanMinAge16+'19_Расчет_аналитики'!BE4607*SUMIF(ThresholdAge16,"&lt;"&amp;'19_Расчет_аналитики'!BE4607,WeightedRevAge16)-SUMIF(ThresholdAge16,"&lt;"&amp;'19_Расчет_аналитики'!BE4607,WeightedMinAge16),MAX(CapacityAge16*'01_Вводные'!$B$218*'19_Расчет_аналитики'!BE4607,MeanMinAge16))),0)</f>
        <v/>
      </c>
      <c r="BF4527">
        <f>IF('01_Вводные'!$B$234="Да",IF(OR('19_Расчет_аналитики'!BF4499=0,16&lt;='01_Вводные'!$B$297),0,'19_Расчет_аналитики'!BF4499*IF('01_Вводные'!$B$239="Да",MeanMinAge16+'19_Расчет_аналитики'!BF4607*SUMIF(ThresholdAge16,"&lt;"&amp;'19_Расчет_аналитики'!BF4607,WeightedRevAge16)-SUMIF(ThresholdAge16,"&lt;"&amp;'19_Расчет_аналитики'!BF4607,WeightedMinAge16),MAX(CapacityAge16*'01_Вводные'!$B$218*'19_Расчет_аналитики'!BF4607,MeanMinAge16))),0)</f>
        <v/>
      </c>
      <c r="BG4527">
        <f>IF('01_Вводные'!$B$234="Да",IF(OR('19_Расчет_аналитики'!BG4499=0,16&lt;='01_Вводные'!$B$297),0,'19_Расчет_аналитики'!BG4499*IF('01_Вводные'!$B$239="Да",MeanMinAge16+'19_Расчет_аналитики'!BG4607*SUMIF(ThresholdAge16,"&lt;"&amp;'19_Расчет_аналитики'!BG4607,WeightedRevAge16)-SUMIF(ThresholdAge16,"&lt;"&amp;'19_Расчет_аналитики'!BG4607,WeightedMinAge16),MAX(CapacityAge16*'01_Вводные'!$B$218*'19_Расчет_аналитики'!BG4607,MeanMinAge16))),0)</f>
        <v/>
      </c>
      <c r="BH4527">
        <f>IF('01_Вводные'!$B$234="Да",IF(OR('19_Расчет_аналитики'!BH4499=0,16&lt;='01_Вводные'!$B$297),0,'19_Расчет_аналитики'!BH4499*IF('01_Вводные'!$B$239="Да",MeanMinAge16+'19_Расчет_аналитики'!BH4607*SUMIF(ThresholdAge16,"&lt;"&amp;'19_Расчет_аналитики'!BH4607,WeightedRevAge16)-SUMIF(ThresholdAge16,"&lt;"&amp;'19_Расчет_аналитики'!BH4607,WeightedMinAge16),MAX(CapacityAge16*'01_Вводные'!$B$218*'19_Расчет_аналитики'!BH4607,MeanMinAge16))),0)</f>
        <v/>
      </c>
      <c r="BI4527">
        <f>IF('01_Вводные'!$B$234="Да",IF(OR('19_Расчет_аналитики'!BI4499=0,16&lt;='01_Вводные'!$B$297),0,'19_Расчет_аналитики'!BI4499*IF('01_Вводные'!$B$239="Да",MeanMinAge16+'19_Расчет_аналитики'!BI4607*SUMIF(ThresholdAge16,"&lt;"&amp;'19_Расчет_аналитики'!BI4607,WeightedRevAge16)-SUMIF(ThresholdAge16,"&lt;"&amp;'19_Расчет_аналитики'!BI4607,WeightedMinAge16),MAX(CapacityAge16*'01_Вводные'!$B$218*'19_Расчет_аналитики'!BI4607,MeanMinAge16))),0)</f>
        <v/>
      </c>
      <c r="BJ4527">
        <f>IF('01_Вводные'!$B$234="Да",IF(OR('19_Расчет_аналитики'!BJ4499=0,16&lt;='01_Вводные'!$B$297),0,'19_Расчет_аналитики'!BJ4499*IF('01_Вводные'!$B$239="Да",MeanMinAge16+'19_Расчет_аналитики'!BJ4607*SUMIF(ThresholdAge16,"&lt;"&amp;'19_Расчет_аналитики'!BJ4607,WeightedRevAge16)-SUMIF(ThresholdAge16,"&lt;"&amp;'19_Расчет_аналитики'!BJ4607,WeightedMinAge16),MAX(CapacityAge16*'01_Вводные'!$B$218*'19_Расчет_аналитики'!BJ4607,MeanMinAge16))),0)</f>
        <v/>
      </c>
      <c r="BK4527">
        <f>IF('01_Вводные'!$B$234="Да",IF(OR('19_Расчет_аналитики'!BK4499=0,16&lt;='01_Вводные'!$B$297),0,'19_Расчет_аналитики'!BK4499*IF('01_Вводные'!$B$239="Да",MeanMinAge16+'19_Расчет_аналитики'!BK4607*SUMIF(ThresholdAge16,"&lt;"&amp;'19_Расчет_аналитики'!BK4607,WeightedRevAge16)-SUMIF(ThresholdAge16,"&lt;"&amp;'19_Расчет_аналитики'!BK4607,WeightedMinAge16),MAX(CapacityAge16*'01_Вводные'!$B$218*'19_Расчет_аналитики'!BK4607,MeanMinAge16))),0)</f>
        <v/>
      </c>
      <c r="BL4527">
        <f>IF('01_Вводные'!$B$234="Да",IF(OR('19_Расчет_аналитики'!BL4499=0,16&lt;='01_Вводные'!$B$297),0,'19_Расчет_аналитики'!BL4499*IF('01_Вводные'!$B$239="Да",MeanMinAge16+'19_Расчет_аналитики'!BL4607*SUMIF(ThresholdAge16,"&lt;"&amp;'19_Расчет_аналитики'!BL4607,WeightedRevAge16)-SUMIF(ThresholdAge16,"&lt;"&amp;'19_Расчет_аналитики'!BL4607,WeightedMinAge16),MAX(CapacityAge16*'01_Вводные'!$B$218*'19_Расчет_аналитики'!BL4607,MeanMinAge16))),0)</f>
        <v/>
      </c>
      <c r="BM4527">
        <f>IF('01_Вводные'!$B$234="Да",IF(OR('19_Расчет_аналитики'!BM4499=0,16&lt;='01_Вводные'!$B$297),0,'19_Расчет_аналитики'!BM4499*IF('01_Вводные'!$B$239="Да",MeanMinAge16+'19_Расчет_аналитики'!BM4607*SUMIF(ThresholdAge16,"&lt;"&amp;'19_Расчет_аналитики'!BM4607,WeightedRevAge16)-SUMIF(ThresholdAge16,"&lt;"&amp;'19_Расчет_аналитики'!BM4607,WeightedMinAge16),MAX(CapacityAge16*'01_Вводные'!$B$218*'19_Расчет_аналитики'!BM4607,MeanMinAge16))),0)</f>
        <v/>
      </c>
      <c r="BN4527">
        <f>IF('01_Вводные'!$B$234="Да",IF(OR('19_Расчет_аналитики'!BN4499=0,16&lt;='01_Вводные'!$B$297),0,'19_Расчет_аналитики'!BN4499*IF('01_Вводные'!$B$239="Да",MeanMinAge16+'19_Расчет_аналитики'!BN4607*SUMIF(ThresholdAge16,"&lt;"&amp;'19_Расчет_аналитики'!BN4607,WeightedRevAge16)-SUMIF(ThresholdAge16,"&lt;"&amp;'19_Расчет_аналитики'!BN4607,WeightedMinAge16),MAX(CapacityAge16*'01_Вводные'!$B$218*'19_Расчет_аналитики'!BN4607,MeanMinAge16))),0)</f>
        <v/>
      </c>
      <c r="BO4527">
        <f>IF('01_Вводные'!$B$234="Да",IF(OR('19_Расчет_аналитики'!BO4499=0,16&lt;='01_Вводные'!$B$297),0,'19_Расчет_аналитики'!BO4499*IF('01_Вводные'!$B$239="Да",MeanMinAge16+'19_Расчет_аналитики'!BO4607*SUMIF(ThresholdAge16,"&lt;"&amp;'19_Расчет_аналитики'!BO4607,WeightedRevAge16)-SUMIF(ThresholdAge16,"&lt;"&amp;'19_Расчет_аналитики'!BO4607,WeightedMinAge16),MAX(CapacityAge16*'01_Вводные'!$B$218*'19_Расчет_аналитики'!BO4607,MeanMinAge16))),0)</f>
        <v/>
      </c>
    </row>
    <row r="4528">
      <c r="B4528">
        <f>IF('01_Вводные'!$B$234="Да",IF(OR('06_Сеть_и_дети'!B97=0,17&lt;='01_Вводные'!$B$297),0,'06_Сеть_и_дети'!B97*IF('01_Вводные'!$B$239="Да",MeanMinAge17+'19_Расчет_аналитики'!B4607*SUMIF(ThresholdAge17,"&lt;"&amp;'19_Расчет_аналитики'!B4607,WeightedRevAge17)-SUMIF(ThresholdAge17,"&lt;"&amp;'19_Расчет_аналитики'!B4607,WeightedMinAge17),MAX(CapacityAge17*'01_Вводные'!$B$218*'19_Расчет_аналитики'!B4607,MeanMinAge17))),0)</f>
        <v/>
      </c>
      <c r="C4528">
        <f>IF('01_Вводные'!$B$234="Да",IF(OR('06_Сеть_и_дети'!C97=0,17&lt;='01_Вводные'!$B$297),0,'06_Сеть_и_дети'!C97*IF('01_Вводные'!$B$239="Да",MeanMinAge17+'19_Расчет_аналитики'!C4607*SUMIF(ThresholdAge17,"&lt;"&amp;'19_Расчет_аналитики'!C4607,WeightedRevAge17)-SUMIF(ThresholdAge17,"&lt;"&amp;'19_Расчет_аналитики'!C4607,WeightedMinAge17),MAX(CapacityAge17*'01_Вводные'!$B$218*'19_Расчет_аналитики'!C4607,MeanMinAge17))),0)</f>
        <v/>
      </c>
      <c r="D4528">
        <f>IF('01_Вводные'!$B$234="Да",IF(OR('06_Сеть_и_дети'!D97=0,17&lt;='01_Вводные'!$B$297),0,'06_Сеть_и_дети'!D97*IF('01_Вводные'!$B$239="Да",MeanMinAge17+'19_Расчет_аналитики'!D4607*SUMIF(ThresholdAge17,"&lt;"&amp;'19_Расчет_аналитики'!D4607,WeightedRevAge17)-SUMIF(ThresholdAge17,"&lt;"&amp;'19_Расчет_аналитики'!D4607,WeightedMinAge17),MAX(CapacityAge17*'01_Вводные'!$B$218*'19_Расчет_аналитики'!D4607,MeanMinAge17))),0)</f>
        <v/>
      </c>
      <c r="E4528">
        <f>IF('01_Вводные'!$B$234="Да",IF(OR('06_Сеть_и_дети'!E97=0,17&lt;='01_Вводные'!$B$297),0,'06_Сеть_и_дети'!E97*IF('01_Вводные'!$B$239="Да",MeanMinAge17+'19_Расчет_аналитики'!E4607*SUMIF(ThresholdAge17,"&lt;"&amp;'19_Расчет_аналитики'!E4607,WeightedRevAge17)-SUMIF(ThresholdAge17,"&lt;"&amp;'19_Расчет_аналитики'!E4607,WeightedMinAge17),MAX(CapacityAge17*'01_Вводные'!$B$218*'19_Расчет_аналитики'!E4607,MeanMinAge17))),0)</f>
        <v/>
      </c>
      <c r="F4528">
        <f>IF('01_Вводные'!$B$234="Да",IF(OR('06_Сеть_и_дети'!F97=0,17&lt;='01_Вводные'!$B$297),0,'06_Сеть_и_дети'!F97*IF('01_Вводные'!$B$239="Да",MeanMinAge17+'19_Расчет_аналитики'!F4607*SUMIF(ThresholdAge17,"&lt;"&amp;'19_Расчет_аналитики'!F4607,WeightedRevAge17)-SUMIF(ThresholdAge17,"&lt;"&amp;'19_Расчет_аналитики'!F4607,WeightedMinAge17),MAX(CapacityAge17*'01_Вводные'!$B$218*'19_Расчет_аналитики'!F4607,MeanMinAge17))),0)</f>
        <v/>
      </c>
      <c r="G4528">
        <f>IF('01_Вводные'!$B$234="Да",IF(OR('06_Сеть_и_дети'!G97=0,17&lt;='01_Вводные'!$B$297),0,'06_Сеть_и_дети'!G97*IF('01_Вводные'!$B$239="Да",MeanMinAge17+'19_Расчет_аналитики'!G4607*SUMIF(ThresholdAge17,"&lt;"&amp;'19_Расчет_аналитики'!G4607,WeightedRevAge17)-SUMIF(ThresholdAge17,"&lt;"&amp;'19_Расчет_аналитики'!G4607,WeightedMinAge17),MAX(CapacityAge17*'01_Вводные'!$B$218*'19_Расчет_аналитики'!G4607,MeanMinAge17))),0)</f>
        <v/>
      </c>
      <c r="H4528">
        <f>IF('01_Вводные'!$B$234="Да",IF(OR('06_Сеть_и_дети'!H97=0,17&lt;='01_Вводные'!$B$297),0,'06_Сеть_и_дети'!H97*IF('01_Вводные'!$B$239="Да",MeanMinAge17+'19_Расчет_аналитики'!H4607*SUMIF(ThresholdAge17,"&lt;"&amp;'19_Расчет_аналитики'!H4607,WeightedRevAge17)-SUMIF(ThresholdAge17,"&lt;"&amp;'19_Расчет_аналитики'!H4607,WeightedMinAge17),MAX(CapacityAge17*'01_Вводные'!$B$218*'19_Расчет_аналитики'!H4607,MeanMinAge17))),0)</f>
        <v/>
      </c>
      <c r="I4528">
        <f>IF('01_Вводные'!$B$234="Да",IF(OR('06_Сеть_и_дети'!I97=0,17&lt;='01_Вводные'!$B$297),0,'06_Сеть_и_дети'!I97*IF('01_Вводные'!$B$239="Да",MeanMinAge17+'19_Расчет_аналитики'!I4607*SUMIF(ThresholdAge17,"&lt;"&amp;'19_Расчет_аналитики'!I4607,WeightedRevAge17)-SUMIF(ThresholdAge17,"&lt;"&amp;'19_Расчет_аналитики'!I4607,WeightedMinAge17),MAX(CapacityAge17*'01_Вводные'!$B$218*'19_Расчет_аналитики'!I4607,MeanMinAge17))),0)</f>
        <v/>
      </c>
      <c r="J4528">
        <f>IF('01_Вводные'!$B$234="Да",IF(OR('06_Сеть_и_дети'!J97=0,17&lt;='01_Вводные'!$B$297),0,'06_Сеть_и_дети'!J97*IF('01_Вводные'!$B$239="Да",MeanMinAge17+'19_Расчет_аналитики'!J4607*SUMIF(ThresholdAge17,"&lt;"&amp;'19_Расчет_аналитики'!J4607,WeightedRevAge17)-SUMIF(ThresholdAge17,"&lt;"&amp;'19_Расчет_аналитики'!J4607,WeightedMinAge17),MAX(CapacityAge17*'01_Вводные'!$B$218*'19_Расчет_аналитики'!J4607,MeanMinAge17))),0)</f>
        <v/>
      </c>
      <c r="K4528">
        <f>IF('01_Вводные'!$B$234="Да",IF(OR('06_Сеть_и_дети'!K97=0,17&lt;='01_Вводные'!$B$297),0,'06_Сеть_и_дети'!K97*IF('01_Вводные'!$B$239="Да",MeanMinAge17+'19_Расчет_аналитики'!K4607*SUMIF(ThresholdAge17,"&lt;"&amp;'19_Расчет_аналитики'!K4607,WeightedRevAge17)-SUMIF(ThresholdAge17,"&lt;"&amp;'19_Расчет_аналитики'!K4607,WeightedMinAge17),MAX(CapacityAge17*'01_Вводные'!$B$218*'19_Расчет_аналитики'!K4607,MeanMinAge17))),0)</f>
        <v/>
      </c>
      <c r="L4528">
        <f>IF('01_Вводные'!$B$234="Да",IF(OR('06_Сеть_и_дети'!L97=0,17&lt;='01_Вводные'!$B$297),0,'06_Сеть_и_дети'!L97*IF('01_Вводные'!$B$239="Да",MeanMinAge17+'19_Расчет_аналитики'!L4607*SUMIF(ThresholdAge17,"&lt;"&amp;'19_Расчет_аналитики'!L4607,WeightedRevAge17)-SUMIF(ThresholdAge17,"&lt;"&amp;'19_Расчет_аналитики'!L4607,WeightedMinAge17),MAX(CapacityAge17*'01_Вводные'!$B$218*'19_Расчет_аналитики'!L4607,MeanMinAge17))),0)</f>
        <v/>
      </c>
      <c r="M4528">
        <f>IF('01_Вводные'!$B$234="Да",IF(OR('06_Сеть_и_дети'!M97=0,17&lt;='01_Вводные'!$B$297),0,'06_Сеть_и_дети'!M97*IF('01_Вводные'!$B$239="Да",MeanMinAge17+'19_Расчет_аналитики'!M4607*SUMIF(ThresholdAge17,"&lt;"&amp;'19_Расчет_аналитики'!M4607,WeightedRevAge17)-SUMIF(ThresholdAge17,"&lt;"&amp;'19_Расчет_аналитики'!M4607,WeightedMinAge17),MAX(CapacityAge17*'01_Вводные'!$B$218*'19_Расчет_аналитики'!M4607,MeanMinAge17))),0)</f>
        <v/>
      </c>
      <c r="N4528">
        <f>IF('01_Вводные'!$B$234="Да",IF(OR('06_Сеть_и_дети'!N97=0,17&lt;='01_Вводные'!$B$297),0,'06_Сеть_и_дети'!N97*IF('01_Вводные'!$B$239="Да",MeanMinAge17+'19_Расчет_аналитики'!N4607*SUMIF(ThresholdAge17,"&lt;"&amp;'19_Расчет_аналитики'!N4607,WeightedRevAge17)-SUMIF(ThresholdAge17,"&lt;"&amp;'19_Расчет_аналитики'!N4607,WeightedMinAge17),MAX(CapacityAge17*'01_Вводные'!$B$218*'19_Расчет_аналитики'!N4607,MeanMinAge17))),0)</f>
        <v/>
      </c>
      <c r="O4528">
        <f>IF('01_Вводные'!$B$234="Да",IF(OR('06_Сеть_и_дети'!O97=0,17&lt;='01_Вводные'!$B$297),0,'06_Сеть_и_дети'!O97*IF('01_Вводные'!$B$239="Да",MeanMinAge17+'19_Расчет_аналитики'!O4607*SUMIF(ThresholdAge17,"&lt;"&amp;'19_Расчет_аналитики'!O4607,WeightedRevAge17)-SUMIF(ThresholdAge17,"&lt;"&amp;'19_Расчет_аналитики'!O4607,WeightedMinAge17),MAX(CapacityAge17*'01_Вводные'!$B$218*'19_Расчет_аналитики'!O4607,MeanMinAge17))),0)</f>
        <v/>
      </c>
      <c r="P4528">
        <f>IF('01_Вводные'!$B$234="Да",IF(OR('06_Сеть_и_дети'!P97=0,17&lt;='01_Вводные'!$B$297),0,'06_Сеть_и_дети'!P97*IF('01_Вводные'!$B$239="Да",MeanMinAge17+'19_Расчет_аналитики'!P4607*SUMIF(ThresholdAge17,"&lt;"&amp;'19_Расчет_аналитики'!P4607,WeightedRevAge17)-SUMIF(ThresholdAge17,"&lt;"&amp;'19_Расчет_аналитики'!P4607,WeightedMinAge17),MAX(CapacityAge17*'01_Вводные'!$B$218*'19_Расчет_аналитики'!P4607,MeanMinAge17))),0)</f>
        <v/>
      </c>
      <c r="Q4528">
        <f>IF('01_Вводные'!$B$234="Да",IF(OR('06_Сеть_и_дети'!Q97=0,17&lt;='01_Вводные'!$B$297),0,'06_Сеть_и_дети'!Q97*IF('01_Вводные'!$B$239="Да",MeanMinAge17+'19_Расчет_аналитики'!Q4607*SUMIF(ThresholdAge17,"&lt;"&amp;'19_Расчет_аналитики'!Q4607,WeightedRevAge17)-SUMIF(ThresholdAge17,"&lt;"&amp;'19_Расчет_аналитики'!Q4607,WeightedMinAge17),MAX(CapacityAge17*'01_Вводные'!$B$218*'19_Расчет_аналитики'!Q4607,MeanMinAge17))),0)</f>
        <v/>
      </c>
      <c r="R4528">
        <f>IF('01_Вводные'!$B$234="Да",IF(OR('19_Расчет_аналитики'!R4500=0,17&lt;='01_Вводные'!$B$297),0,'19_Расчет_аналитики'!R4500*IF('01_Вводные'!$B$239="Да",MeanMinAge17+'19_Расчет_аналитики'!R4607*SUMIF(ThresholdAge17,"&lt;"&amp;'19_Расчет_аналитики'!R4607,WeightedRevAge17)-SUMIF(ThresholdAge17,"&lt;"&amp;'19_Расчет_аналитики'!R4607,WeightedMinAge17),MAX(CapacityAge17*'01_Вводные'!$B$218*'19_Расчет_аналитики'!R4607,MeanMinAge17))),0)</f>
        <v/>
      </c>
      <c r="S4528">
        <f>IF('01_Вводные'!$B$234="Да",IF(OR('19_Расчет_аналитики'!S4500=0,17&lt;='01_Вводные'!$B$297),0,'19_Расчет_аналитики'!S4500*IF('01_Вводные'!$B$239="Да",MeanMinAge17+'19_Расчет_аналитики'!S4607*SUMIF(ThresholdAge17,"&lt;"&amp;'19_Расчет_аналитики'!S4607,WeightedRevAge17)-SUMIF(ThresholdAge17,"&lt;"&amp;'19_Расчет_аналитики'!S4607,WeightedMinAge17),MAX(CapacityAge17*'01_Вводные'!$B$218*'19_Расчет_аналитики'!S4607,MeanMinAge17))),0)</f>
        <v/>
      </c>
      <c r="T4528">
        <f>IF('01_Вводные'!$B$234="Да",IF(OR('19_Расчет_аналитики'!T4500=0,17&lt;='01_Вводные'!$B$297),0,'19_Расчет_аналитики'!T4500*IF('01_Вводные'!$B$239="Да",MeanMinAge17+'19_Расчет_аналитики'!T4607*SUMIF(ThresholdAge17,"&lt;"&amp;'19_Расчет_аналитики'!T4607,WeightedRevAge17)-SUMIF(ThresholdAge17,"&lt;"&amp;'19_Расчет_аналитики'!T4607,WeightedMinAge17),MAX(CapacityAge17*'01_Вводные'!$B$218*'19_Расчет_аналитики'!T4607,MeanMinAge17))),0)</f>
        <v/>
      </c>
      <c r="U4528">
        <f>IF('01_Вводные'!$B$234="Да",IF(OR('19_Расчет_аналитики'!U4500=0,17&lt;='01_Вводные'!$B$297),0,'19_Расчет_аналитики'!U4500*IF('01_Вводные'!$B$239="Да",MeanMinAge17+'19_Расчет_аналитики'!U4607*SUMIF(ThresholdAge17,"&lt;"&amp;'19_Расчет_аналитики'!U4607,WeightedRevAge17)-SUMIF(ThresholdAge17,"&lt;"&amp;'19_Расчет_аналитики'!U4607,WeightedMinAge17),MAX(CapacityAge17*'01_Вводные'!$B$218*'19_Расчет_аналитики'!U4607,MeanMinAge17))),0)</f>
        <v/>
      </c>
      <c r="V4528">
        <f>IF('01_Вводные'!$B$234="Да",IF(OR('19_Расчет_аналитики'!V4500=0,17&lt;='01_Вводные'!$B$297),0,'19_Расчет_аналитики'!V4500*IF('01_Вводные'!$B$239="Да",MeanMinAge17+'19_Расчет_аналитики'!V4607*SUMIF(ThresholdAge17,"&lt;"&amp;'19_Расчет_аналитики'!V4607,WeightedRevAge17)-SUMIF(ThresholdAge17,"&lt;"&amp;'19_Расчет_аналитики'!V4607,WeightedMinAge17),MAX(CapacityAge17*'01_Вводные'!$B$218*'19_Расчет_аналитики'!V4607,MeanMinAge17))),0)</f>
        <v/>
      </c>
      <c r="W4528">
        <f>IF('01_Вводные'!$B$234="Да",IF(OR('19_Расчет_аналитики'!W4500=0,17&lt;='01_Вводные'!$B$297),0,'19_Расчет_аналитики'!W4500*IF('01_Вводные'!$B$239="Да",MeanMinAge17+'19_Расчет_аналитики'!W4607*SUMIF(ThresholdAge17,"&lt;"&amp;'19_Расчет_аналитики'!W4607,WeightedRevAge17)-SUMIF(ThresholdAge17,"&lt;"&amp;'19_Расчет_аналитики'!W4607,WeightedMinAge17),MAX(CapacityAge17*'01_Вводные'!$B$218*'19_Расчет_аналитики'!W4607,MeanMinAge17))),0)</f>
        <v/>
      </c>
      <c r="X4528">
        <f>IF('01_Вводные'!$B$234="Да",IF(OR('19_Расчет_аналитики'!X4500=0,17&lt;='01_Вводные'!$B$297),0,'19_Расчет_аналитики'!X4500*IF('01_Вводные'!$B$239="Да",MeanMinAge17+'19_Расчет_аналитики'!X4607*SUMIF(ThresholdAge17,"&lt;"&amp;'19_Расчет_аналитики'!X4607,WeightedRevAge17)-SUMIF(ThresholdAge17,"&lt;"&amp;'19_Расчет_аналитики'!X4607,WeightedMinAge17),MAX(CapacityAge17*'01_Вводные'!$B$218*'19_Расчет_аналитики'!X4607,MeanMinAge17))),0)</f>
        <v/>
      </c>
      <c r="Y4528">
        <f>IF('01_Вводные'!$B$234="Да",IF(OR('19_Расчет_аналитики'!Y4500=0,17&lt;='01_Вводные'!$B$297),0,'19_Расчет_аналитики'!Y4500*IF('01_Вводные'!$B$239="Да",MeanMinAge17+'19_Расчет_аналитики'!Y4607*SUMIF(ThresholdAge17,"&lt;"&amp;'19_Расчет_аналитики'!Y4607,WeightedRevAge17)-SUMIF(ThresholdAge17,"&lt;"&amp;'19_Расчет_аналитики'!Y4607,WeightedMinAge17),MAX(CapacityAge17*'01_Вводные'!$B$218*'19_Расчет_аналитики'!Y4607,MeanMinAge17))),0)</f>
        <v/>
      </c>
      <c r="Z4528">
        <f>IF('01_Вводные'!$B$234="Да",IF(OR('19_Расчет_аналитики'!Z4500=0,17&lt;='01_Вводные'!$B$297),0,'19_Расчет_аналитики'!Z4500*IF('01_Вводные'!$B$239="Да",MeanMinAge17+'19_Расчет_аналитики'!Z4607*SUMIF(ThresholdAge17,"&lt;"&amp;'19_Расчет_аналитики'!Z4607,WeightedRevAge17)-SUMIF(ThresholdAge17,"&lt;"&amp;'19_Расчет_аналитики'!Z4607,WeightedMinAge17),MAX(CapacityAge17*'01_Вводные'!$B$218*'19_Расчет_аналитики'!Z4607,MeanMinAge17))),0)</f>
        <v/>
      </c>
      <c r="AA4528">
        <f>IF('01_Вводные'!$B$234="Да",IF(OR('19_Расчет_аналитики'!AA4500=0,17&lt;='01_Вводные'!$B$297),0,'19_Расчет_аналитики'!AA4500*IF('01_Вводные'!$B$239="Да",MeanMinAge17+'19_Расчет_аналитики'!AA4607*SUMIF(ThresholdAge17,"&lt;"&amp;'19_Расчет_аналитики'!AA4607,WeightedRevAge17)-SUMIF(ThresholdAge17,"&lt;"&amp;'19_Расчет_аналитики'!AA4607,WeightedMinAge17),MAX(CapacityAge17*'01_Вводные'!$B$218*'19_Расчет_аналитики'!AA4607,MeanMinAge17))),0)</f>
        <v/>
      </c>
      <c r="AB4528">
        <f>IF('01_Вводные'!$B$234="Да",IF(OR('19_Расчет_аналитики'!AB4500=0,17&lt;='01_Вводные'!$B$297),0,'19_Расчет_аналитики'!AB4500*IF('01_Вводные'!$B$239="Да",MeanMinAge17+'19_Расчет_аналитики'!AB4607*SUMIF(ThresholdAge17,"&lt;"&amp;'19_Расчет_аналитики'!AB4607,WeightedRevAge17)-SUMIF(ThresholdAge17,"&lt;"&amp;'19_Расчет_аналитики'!AB4607,WeightedMinAge17),MAX(CapacityAge17*'01_Вводные'!$B$218*'19_Расчет_аналитики'!AB4607,MeanMinAge17))),0)</f>
        <v/>
      </c>
      <c r="AC4528">
        <f>IF('01_Вводные'!$B$234="Да",IF(OR('19_Расчет_аналитики'!AC4500=0,17&lt;='01_Вводные'!$B$297),0,'19_Расчет_аналитики'!AC4500*IF('01_Вводные'!$B$239="Да",MeanMinAge17+'19_Расчет_аналитики'!AC4607*SUMIF(ThresholdAge17,"&lt;"&amp;'19_Расчет_аналитики'!AC4607,WeightedRevAge17)-SUMIF(ThresholdAge17,"&lt;"&amp;'19_Расчет_аналитики'!AC4607,WeightedMinAge17),MAX(CapacityAge17*'01_Вводные'!$B$218*'19_Расчет_аналитики'!AC4607,MeanMinAge17))),0)</f>
        <v/>
      </c>
      <c r="AD4528">
        <f>IF('01_Вводные'!$B$234="Да",IF(OR('19_Расчет_аналитики'!AD4500=0,17&lt;='01_Вводные'!$B$297),0,'19_Расчет_аналитики'!AD4500*IF('01_Вводные'!$B$239="Да",MeanMinAge17+'19_Расчет_аналитики'!AD4607*SUMIF(ThresholdAge17,"&lt;"&amp;'19_Расчет_аналитики'!AD4607,WeightedRevAge17)-SUMIF(ThresholdAge17,"&lt;"&amp;'19_Расчет_аналитики'!AD4607,WeightedMinAge17),MAX(CapacityAge17*'01_Вводные'!$B$218*'19_Расчет_аналитики'!AD4607,MeanMinAge17))),0)</f>
        <v/>
      </c>
      <c r="AE4528">
        <f>IF('01_Вводные'!$B$234="Да",IF(OR('19_Расчет_аналитики'!AE4500=0,17&lt;='01_Вводные'!$B$297),0,'19_Расчет_аналитики'!AE4500*IF('01_Вводные'!$B$239="Да",MeanMinAge17+'19_Расчет_аналитики'!AE4607*SUMIF(ThresholdAge17,"&lt;"&amp;'19_Расчет_аналитики'!AE4607,WeightedRevAge17)-SUMIF(ThresholdAge17,"&lt;"&amp;'19_Расчет_аналитики'!AE4607,WeightedMinAge17),MAX(CapacityAge17*'01_Вводные'!$B$218*'19_Расчет_аналитики'!AE4607,MeanMinAge17))),0)</f>
        <v/>
      </c>
      <c r="AF4528">
        <f>IF('01_Вводные'!$B$234="Да",IF(OR('19_Расчет_аналитики'!AF4500=0,17&lt;='01_Вводные'!$B$297),0,'19_Расчет_аналитики'!AF4500*IF('01_Вводные'!$B$239="Да",MeanMinAge17+'19_Расчет_аналитики'!AF4607*SUMIF(ThresholdAge17,"&lt;"&amp;'19_Расчет_аналитики'!AF4607,WeightedRevAge17)-SUMIF(ThresholdAge17,"&lt;"&amp;'19_Расчет_аналитики'!AF4607,WeightedMinAge17),MAX(CapacityAge17*'01_Вводные'!$B$218*'19_Расчет_аналитики'!AF4607,MeanMinAge17))),0)</f>
        <v/>
      </c>
      <c r="AG4528">
        <f>IF('01_Вводные'!$B$234="Да",IF(OR('19_Расчет_аналитики'!AG4500=0,17&lt;='01_Вводные'!$B$297),0,'19_Расчет_аналитики'!AG4500*IF('01_Вводные'!$B$239="Да",MeanMinAge17+'19_Расчет_аналитики'!AG4607*SUMIF(ThresholdAge17,"&lt;"&amp;'19_Расчет_аналитики'!AG4607,WeightedRevAge17)-SUMIF(ThresholdAge17,"&lt;"&amp;'19_Расчет_аналитики'!AG4607,WeightedMinAge17),MAX(CapacityAge17*'01_Вводные'!$B$218*'19_Расчет_аналитики'!AG4607,MeanMinAge17))),0)</f>
        <v/>
      </c>
      <c r="AH4528">
        <f>IF('01_Вводные'!$B$234="Да",IF(OR('19_Расчет_аналитики'!AH4500=0,17&lt;='01_Вводные'!$B$297),0,'19_Расчет_аналитики'!AH4500*IF('01_Вводные'!$B$239="Да",MeanMinAge17+'19_Расчет_аналитики'!AH4607*SUMIF(ThresholdAge17,"&lt;"&amp;'19_Расчет_аналитики'!AH4607,WeightedRevAge17)-SUMIF(ThresholdAge17,"&lt;"&amp;'19_Расчет_аналитики'!AH4607,WeightedMinAge17),MAX(CapacityAge17*'01_Вводные'!$B$218*'19_Расчет_аналитики'!AH4607,MeanMinAge17))),0)</f>
        <v/>
      </c>
      <c r="AI4528">
        <f>IF('01_Вводные'!$B$234="Да",IF(OR('19_Расчет_аналитики'!AI4500=0,17&lt;='01_Вводные'!$B$297),0,'19_Расчет_аналитики'!AI4500*IF('01_Вводные'!$B$239="Да",MeanMinAge17+'19_Расчет_аналитики'!AI4607*SUMIF(ThresholdAge17,"&lt;"&amp;'19_Расчет_аналитики'!AI4607,WeightedRevAge17)-SUMIF(ThresholdAge17,"&lt;"&amp;'19_Расчет_аналитики'!AI4607,WeightedMinAge17),MAX(CapacityAge17*'01_Вводные'!$B$218*'19_Расчет_аналитики'!AI4607,MeanMinAge17))),0)</f>
        <v/>
      </c>
      <c r="AJ4528">
        <f>IF('01_Вводные'!$B$234="Да",IF(OR('19_Расчет_аналитики'!AJ4500=0,17&lt;='01_Вводные'!$B$297),0,'19_Расчет_аналитики'!AJ4500*IF('01_Вводные'!$B$239="Да",MeanMinAge17+'19_Расчет_аналитики'!AJ4607*SUMIF(ThresholdAge17,"&lt;"&amp;'19_Расчет_аналитики'!AJ4607,WeightedRevAge17)-SUMIF(ThresholdAge17,"&lt;"&amp;'19_Расчет_аналитики'!AJ4607,WeightedMinAge17),MAX(CapacityAge17*'01_Вводные'!$B$218*'19_Расчет_аналитики'!AJ4607,MeanMinAge17))),0)</f>
        <v/>
      </c>
      <c r="AK4528">
        <f>IF('01_Вводные'!$B$234="Да",IF(OR('19_Расчет_аналитики'!AK4500=0,17&lt;='01_Вводные'!$B$297),0,'19_Расчет_аналитики'!AK4500*IF('01_Вводные'!$B$239="Да",MeanMinAge17+'19_Расчет_аналитики'!AK4607*SUMIF(ThresholdAge17,"&lt;"&amp;'19_Расчет_аналитики'!AK4607,WeightedRevAge17)-SUMIF(ThresholdAge17,"&lt;"&amp;'19_Расчет_аналитики'!AK4607,WeightedMinAge17),MAX(CapacityAge17*'01_Вводные'!$B$218*'19_Расчет_аналитики'!AK4607,MeanMinAge17))),0)</f>
        <v/>
      </c>
      <c r="AL4528">
        <f>IF('01_Вводные'!$B$234="Да",IF(OR('19_Расчет_аналитики'!AL4500=0,17&lt;='01_Вводные'!$B$297),0,'19_Расчет_аналитики'!AL4500*IF('01_Вводные'!$B$239="Да",MeanMinAge17+'19_Расчет_аналитики'!AL4607*SUMIF(ThresholdAge17,"&lt;"&amp;'19_Расчет_аналитики'!AL4607,WeightedRevAge17)-SUMIF(ThresholdAge17,"&lt;"&amp;'19_Расчет_аналитики'!AL4607,WeightedMinAge17),MAX(CapacityAge17*'01_Вводные'!$B$218*'19_Расчет_аналитики'!AL4607,MeanMinAge17))),0)</f>
        <v/>
      </c>
      <c r="AM4528">
        <f>IF('01_Вводные'!$B$234="Да",IF(OR('19_Расчет_аналитики'!AM4500=0,17&lt;='01_Вводные'!$B$297),0,'19_Расчет_аналитики'!AM4500*IF('01_Вводные'!$B$239="Да",MeanMinAge17+'19_Расчет_аналитики'!AM4607*SUMIF(ThresholdAge17,"&lt;"&amp;'19_Расчет_аналитики'!AM4607,WeightedRevAge17)-SUMIF(ThresholdAge17,"&lt;"&amp;'19_Расчет_аналитики'!AM4607,WeightedMinAge17),MAX(CapacityAge17*'01_Вводные'!$B$218*'19_Расчет_аналитики'!AM4607,MeanMinAge17))),0)</f>
        <v/>
      </c>
      <c r="AN4528">
        <f>IF('01_Вводные'!$B$234="Да",IF(OR('19_Расчет_аналитики'!AN4500=0,17&lt;='01_Вводные'!$B$297),0,'19_Расчет_аналитики'!AN4500*IF('01_Вводные'!$B$239="Да",MeanMinAge17+'19_Расчет_аналитики'!AN4607*SUMIF(ThresholdAge17,"&lt;"&amp;'19_Расчет_аналитики'!AN4607,WeightedRevAge17)-SUMIF(ThresholdAge17,"&lt;"&amp;'19_Расчет_аналитики'!AN4607,WeightedMinAge17),MAX(CapacityAge17*'01_Вводные'!$B$218*'19_Расчет_аналитики'!AN4607,MeanMinAge17))),0)</f>
        <v/>
      </c>
      <c r="AO4528">
        <f>IF('01_Вводные'!$B$234="Да",IF(OR('19_Расчет_аналитики'!AO4500=0,17&lt;='01_Вводные'!$B$297),0,'19_Расчет_аналитики'!AO4500*IF('01_Вводные'!$B$239="Да",MeanMinAge17+'19_Расчет_аналитики'!AO4607*SUMIF(ThresholdAge17,"&lt;"&amp;'19_Расчет_аналитики'!AO4607,WeightedRevAge17)-SUMIF(ThresholdAge17,"&lt;"&amp;'19_Расчет_аналитики'!AO4607,WeightedMinAge17),MAX(CapacityAge17*'01_Вводные'!$B$218*'19_Расчет_аналитики'!AO4607,MeanMinAge17))),0)</f>
        <v/>
      </c>
      <c r="AP4528">
        <f>IF('01_Вводные'!$B$234="Да",IF(OR('19_Расчет_аналитики'!AP4500=0,17&lt;='01_Вводные'!$B$297),0,'19_Расчет_аналитики'!AP4500*IF('01_Вводные'!$B$239="Да",MeanMinAge17+'19_Расчет_аналитики'!AP4607*SUMIF(ThresholdAge17,"&lt;"&amp;'19_Расчет_аналитики'!AP4607,WeightedRevAge17)-SUMIF(ThresholdAge17,"&lt;"&amp;'19_Расчет_аналитики'!AP4607,WeightedMinAge17),MAX(CapacityAge17*'01_Вводные'!$B$218*'19_Расчет_аналитики'!AP4607,MeanMinAge17))),0)</f>
        <v/>
      </c>
      <c r="AQ4528">
        <f>IF('01_Вводные'!$B$234="Да",IF(OR('19_Расчет_аналитики'!AQ4500=0,17&lt;='01_Вводные'!$B$297),0,'19_Расчет_аналитики'!AQ4500*IF('01_Вводные'!$B$239="Да",MeanMinAge17+'19_Расчет_аналитики'!AQ4607*SUMIF(ThresholdAge17,"&lt;"&amp;'19_Расчет_аналитики'!AQ4607,WeightedRevAge17)-SUMIF(ThresholdAge17,"&lt;"&amp;'19_Расчет_аналитики'!AQ4607,WeightedMinAge17),MAX(CapacityAge17*'01_Вводные'!$B$218*'19_Расчет_аналитики'!AQ4607,MeanMinAge17))),0)</f>
        <v/>
      </c>
      <c r="AR4528">
        <f>IF('01_Вводные'!$B$234="Да",IF(OR('19_Расчет_аналитики'!AR4500=0,17&lt;='01_Вводные'!$B$297),0,'19_Расчет_аналитики'!AR4500*IF('01_Вводные'!$B$239="Да",MeanMinAge17+'19_Расчет_аналитики'!AR4607*SUMIF(ThresholdAge17,"&lt;"&amp;'19_Расчет_аналитики'!AR4607,WeightedRevAge17)-SUMIF(ThresholdAge17,"&lt;"&amp;'19_Расчет_аналитики'!AR4607,WeightedMinAge17),MAX(CapacityAge17*'01_Вводные'!$B$218*'19_Расчет_аналитики'!AR4607,MeanMinAge17))),0)</f>
        <v/>
      </c>
      <c r="AS4528">
        <f>IF('01_Вводные'!$B$234="Да",IF(OR('19_Расчет_аналитики'!AS4500=0,17&lt;='01_Вводные'!$B$297),0,'19_Расчет_аналитики'!AS4500*IF('01_Вводные'!$B$239="Да",MeanMinAge17+'19_Расчет_аналитики'!AS4607*SUMIF(ThresholdAge17,"&lt;"&amp;'19_Расчет_аналитики'!AS4607,WeightedRevAge17)-SUMIF(ThresholdAge17,"&lt;"&amp;'19_Расчет_аналитики'!AS4607,WeightedMinAge17),MAX(CapacityAge17*'01_Вводные'!$B$218*'19_Расчет_аналитики'!AS4607,MeanMinAge17))),0)</f>
        <v/>
      </c>
      <c r="AT4528">
        <f>IF('01_Вводные'!$B$234="Да",IF(OR('19_Расчет_аналитики'!AT4500=0,17&lt;='01_Вводные'!$B$297),0,'19_Расчет_аналитики'!AT4500*IF('01_Вводные'!$B$239="Да",MeanMinAge17+'19_Расчет_аналитики'!AT4607*SUMIF(ThresholdAge17,"&lt;"&amp;'19_Расчет_аналитики'!AT4607,WeightedRevAge17)-SUMIF(ThresholdAge17,"&lt;"&amp;'19_Расчет_аналитики'!AT4607,WeightedMinAge17),MAX(CapacityAge17*'01_Вводные'!$B$218*'19_Расчет_аналитики'!AT4607,MeanMinAge17))),0)</f>
        <v/>
      </c>
      <c r="AU4528">
        <f>IF('01_Вводные'!$B$234="Да",IF(OR('19_Расчет_аналитики'!AU4500=0,17&lt;='01_Вводные'!$B$297),0,'19_Расчет_аналитики'!AU4500*IF('01_Вводные'!$B$239="Да",MeanMinAge17+'19_Расчет_аналитики'!AU4607*SUMIF(ThresholdAge17,"&lt;"&amp;'19_Расчет_аналитики'!AU4607,WeightedRevAge17)-SUMIF(ThresholdAge17,"&lt;"&amp;'19_Расчет_аналитики'!AU4607,WeightedMinAge17),MAX(CapacityAge17*'01_Вводные'!$B$218*'19_Расчет_аналитики'!AU4607,MeanMinAge17))),0)</f>
        <v/>
      </c>
      <c r="AV4528">
        <f>IF('01_Вводные'!$B$234="Да",IF(OR('19_Расчет_аналитики'!AV4500=0,17&lt;='01_Вводные'!$B$297),0,'19_Расчет_аналитики'!AV4500*IF('01_Вводные'!$B$239="Да",MeanMinAge17+'19_Расчет_аналитики'!AV4607*SUMIF(ThresholdAge17,"&lt;"&amp;'19_Расчет_аналитики'!AV4607,WeightedRevAge17)-SUMIF(ThresholdAge17,"&lt;"&amp;'19_Расчет_аналитики'!AV4607,WeightedMinAge17),MAX(CapacityAge17*'01_Вводные'!$B$218*'19_Расчет_аналитики'!AV4607,MeanMinAge17))),0)</f>
        <v/>
      </c>
      <c r="AW4528">
        <f>IF('01_Вводные'!$B$234="Да",IF(OR('19_Расчет_аналитики'!AW4500=0,17&lt;='01_Вводные'!$B$297),0,'19_Расчет_аналитики'!AW4500*IF('01_Вводные'!$B$239="Да",MeanMinAge17+'19_Расчет_аналитики'!AW4607*SUMIF(ThresholdAge17,"&lt;"&amp;'19_Расчет_аналитики'!AW4607,WeightedRevAge17)-SUMIF(ThresholdAge17,"&lt;"&amp;'19_Расчет_аналитики'!AW4607,WeightedMinAge17),MAX(CapacityAge17*'01_Вводные'!$B$218*'19_Расчет_аналитики'!AW4607,MeanMinAge17))),0)</f>
        <v/>
      </c>
      <c r="AX4528">
        <f>IF('01_Вводные'!$B$234="Да",IF(OR('19_Расчет_аналитики'!AX4500=0,17&lt;='01_Вводные'!$B$297),0,'19_Расчет_аналитики'!AX4500*IF('01_Вводные'!$B$239="Да",MeanMinAge17+'19_Расчет_аналитики'!AX4607*SUMIF(ThresholdAge17,"&lt;"&amp;'19_Расчет_аналитики'!AX4607,WeightedRevAge17)-SUMIF(ThresholdAge17,"&lt;"&amp;'19_Расчет_аналитики'!AX4607,WeightedMinAge17),MAX(CapacityAge17*'01_Вводные'!$B$218*'19_Расчет_аналитики'!AX4607,MeanMinAge17))),0)</f>
        <v/>
      </c>
      <c r="AY4528">
        <f>IF('01_Вводные'!$B$234="Да",IF(OR('19_Расчет_аналитики'!AY4500=0,17&lt;='01_Вводные'!$B$297),0,'19_Расчет_аналитики'!AY4500*IF('01_Вводные'!$B$239="Да",MeanMinAge17+'19_Расчет_аналитики'!AY4607*SUMIF(ThresholdAge17,"&lt;"&amp;'19_Расчет_аналитики'!AY4607,WeightedRevAge17)-SUMIF(ThresholdAge17,"&lt;"&amp;'19_Расчет_аналитики'!AY4607,WeightedMinAge17),MAX(CapacityAge17*'01_Вводные'!$B$218*'19_Расчет_аналитики'!AY4607,MeanMinAge17))),0)</f>
        <v/>
      </c>
      <c r="AZ4528">
        <f>IF('01_Вводные'!$B$234="Да",IF(OR('19_Расчет_аналитики'!AZ4500=0,17&lt;='01_Вводные'!$B$297),0,'19_Расчет_аналитики'!AZ4500*IF('01_Вводные'!$B$239="Да",MeanMinAge17+'19_Расчет_аналитики'!AZ4607*SUMIF(ThresholdAge17,"&lt;"&amp;'19_Расчет_аналитики'!AZ4607,WeightedRevAge17)-SUMIF(ThresholdAge17,"&lt;"&amp;'19_Расчет_аналитики'!AZ4607,WeightedMinAge17),MAX(CapacityAge17*'01_Вводные'!$B$218*'19_Расчет_аналитики'!AZ4607,MeanMinAge17))),0)</f>
        <v/>
      </c>
      <c r="BA4528">
        <f>IF('01_Вводные'!$B$234="Да",IF(OR('19_Расчет_аналитики'!BA4500=0,17&lt;='01_Вводные'!$B$297),0,'19_Расчет_аналитики'!BA4500*IF('01_Вводные'!$B$239="Да",MeanMinAge17+'19_Расчет_аналитики'!BA4607*SUMIF(ThresholdAge17,"&lt;"&amp;'19_Расчет_аналитики'!BA4607,WeightedRevAge17)-SUMIF(ThresholdAge17,"&lt;"&amp;'19_Расчет_аналитики'!BA4607,WeightedMinAge17),MAX(CapacityAge17*'01_Вводные'!$B$218*'19_Расчет_аналитики'!BA4607,MeanMinAge17))),0)</f>
        <v/>
      </c>
      <c r="BB4528">
        <f>IF('01_Вводные'!$B$234="Да",IF(OR('19_Расчет_аналитики'!BB4500=0,17&lt;='01_Вводные'!$B$297),0,'19_Расчет_аналитики'!BB4500*IF('01_Вводные'!$B$239="Да",MeanMinAge17+'19_Расчет_аналитики'!BB4607*SUMIF(ThresholdAge17,"&lt;"&amp;'19_Расчет_аналитики'!BB4607,WeightedRevAge17)-SUMIF(ThresholdAge17,"&lt;"&amp;'19_Расчет_аналитики'!BB4607,WeightedMinAge17),MAX(CapacityAge17*'01_Вводные'!$B$218*'19_Расчет_аналитики'!BB4607,MeanMinAge17))),0)</f>
        <v/>
      </c>
      <c r="BC4528">
        <f>IF('01_Вводные'!$B$234="Да",IF(OR('19_Расчет_аналитики'!BC4500=0,17&lt;='01_Вводные'!$B$297),0,'19_Расчет_аналитики'!BC4500*IF('01_Вводные'!$B$239="Да",MeanMinAge17+'19_Расчет_аналитики'!BC4607*SUMIF(ThresholdAge17,"&lt;"&amp;'19_Расчет_аналитики'!BC4607,WeightedRevAge17)-SUMIF(ThresholdAge17,"&lt;"&amp;'19_Расчет_аналитики'!BC4607,WeightedMinAge17),MAX(CapacityAge17*'01_Вводные'!$B$218*'19_Расчет_аналитики'!BC4607,MeanMinAge17))),0)</f>
        <v/>
      </c>
      <c r="BD4528">
        <f>IF('01_Вводные'!$B$234="Да",IF(OR('19_Расчет_аналитики'!BD4500=0,17&lt;='01_Вводные'!$B$297),0,'19_Расчет_аналитики'!BD4500*IF('01_Вводные'!$B$239="Да",MeanMinAge17+'19_Расчет_аналитики'!BD4607*SUMIF(ThresholdAge17,"&lt;"&amp;'19_Расчет_аналитики'!BD4607,WeightedRevAge17)-SUMIF(ThresholdAge17,"&lt;"&amp;'19_Расчет_аналитики'!BD4607,WeightedMinAge17),MAX(CapacityAge17*'01_Вводные'!$B$218*'19_Расчет_аналитики'!BD4607,MeanMinAge17))),0)</f>
        <v/>
      </c>
      <c r="BE4528">
        <f>IF('01_Вводные'!$B$234="Да",IF(OR('19_Расчет_аналитики'!BE4500=0,17&lt;='01_Вводные'!$B$297),0,'19_Расчет_аналитики'!BE4500*IF('01_Вводные'!$B$239="Да",MeanMinAge17+'19_Расчет_аналитики'!BE4607*SUMIF(ThresholdAge17,"&lt;"&amp;'19_Расчет_аналитики'!BE4607,WeightedRevAge17)-SUMIF(ThresholdAge17,"&lt;"&amp;'19_Расчет_аналитики'!BE4607,WeightedMinAge17),MAX(CapacityAge17*'01_Вводные'!$B$218*'19_Расчет_аналитики'!BE4607,MeanMinAge17))),0)</f>
        <v/>
      </c>
      <c r="BF4528">
        <f>IF('01_Вводные'!$B$234="Да",IF(OR('19_Расчет_аналитики'!BF4500=0,17&lt;='01_Вводные'!$B$297),0,'19_Расчет_аналитики'!BF4500*IF('01_Вводные'!$B$239="Да",MeanMinAge17+'19_Расчет_аналитики'!BF4607*SUMIF(ThresholdAge17,"&lt;"&amp;'19_Расчет_аналитики'!BF4607,WeightedRevAge17)-SUMIF(ThresholdAge17,"&lt;"&amp;'19_Расчет_аналитики'!BF4607,WeightedMinAge17),MAX(CapacityAge17*'01_Вводные'!$B$218*'19_Расчет_аналитики'!BF4607,MeanMinAge17))),0)</f>
        <v/>
      </c>
      <c r="BG4528">
        <f>IF('01_Вводные'!$B$234="Да",IF(OR('19_Расчет_аналитики'!BG4500=0,17&lt;='01_Вводные'!$B$297),0,'19_Расчет_аналитики'!BG4500*IF('01_Вводные'!$B$239="Да",MeanMinAge17+'19_Расчет_аналитики'!BG4607*SUMIF(ThresholdAge17,"&lt;"&amp;'19_Расчет_аналитики'!BG4607,WeightedRevAge17)-SUMIF(ThresholdAge17,"&lt;"&amp;'19_Расчет_аналитики'!BG4607,WeightedMinAge17),MAX(CapacityAge17*'01_Вводные'!$B$218*'19_Расчет_аналитики'!BG4607,MeanMinAge17))),0)</f>
        <v/>
      </c>
      <c r="BH4528">
        <f>IF('01_Вводные'!$B$234="Да",IF(OR('19_Расчет_аналитики'!BH4500=0,17&lt;='01_Вводные'!$B$297),0,'19_Расчет_аналитики'!BH4500*IF('01_Вводные'!$B$239="Да",MeanMinAge17+'19_Расчет_аналитики'!BH4607*SUMIF(ThresholdAge17,"&lt;"&amp;'19_Расчет_аналитики'!BH4607,WeightedRevAge17)-SUMIF(ThresholdAge17,"&lt;"&amp;'19_Расчет_аналитики'!BH4607,WeightedMinAge17),MAX(CapacityAge17*'01_Вводные'!$B$218*'19_Расчет_аналитики'!BH4607,MeanMinAge17))),0)</f>
        <v/>
      </c>
      <c r="BI4528">
        <f>IF('01_Вводные'!$B$234="Да",IF(OR('19_Расчет_аналитики'!BI4500=0,17&lt;='01_Вводные'!$B$297),0,'19_Расчет_аналитики'!BI4500*IF('01_Вводные'!$B$239="Да",MeanMinAge17+'19_Расчет_аналитики'!BI4607*SUMIF(ThresholdAge17,"&lt;"&amp;'19_Расчет_аналитики'!BI4607,WeightedRevAge17)-SUMIF(ThresholdAge17,"&lt;"&amp;'19_Расчет_аналитики'!BI4607,WeightedMinAge17),MAX(CapacityAge17*'01_Вводные'!$B$218*'19_Расчет_аналитики'!BI4607,MeanMinAge17))),0)</f>
        <v/>
      </c>
      <c r="BJ4528">
        <f>IF('01_Вводные'!$B$234="Да",IF(OR('19_Расчет_аналитики'!BJ4500=0,17&lt;='01_Вводные'!$B$297),0,'19_Расчет_аналитики'!BJ4500*IF('01_Вводные'!$B$239="Да",MeanMinAge17+'19_Расчет_аналитики'!BJ4607*SUMIF(ThresholdAge17,"&lt;"&amp;'19_Расчет_аналитики'!BJ4607,WeightedRevAge17)-SUMIF(ThresholdAge17,"&lt;"&amp;'19_Расчет_аналитики'!BJ4607,WeightedMinAge17),MAX(CapacityAge17*'01_Вводные'!$B$218*'19_Расчет_аналитики'!BJ4607,MeanMinAge17))),0)</f>
        <v/>
      </c>
      <c r="BK4528">
        <f>IF('01_Вводные'!$B$234="Да",IF(OR('19_Расчет_аналитики'!BK4500=0,17&lt;='01_Вводные'!$B$297),0,'19_Расчет_аналитики'!BK4500*IF('01_Вводные'!$B$239="Да",MeanMinAge17+'19_Расчет_аналитики'!BK4607*SUMIF(ThresholdAge17,"&lt;"&amp;'19_Расчет_аналитики'!BK4607,WeightedRevAge17)-SUMIF(ThresholdAge17,"&lt;"&amp;'19_Расчет_аналитики'!BK4607,WeightedMinAge17),MAX(CapacityAge17*'01_Вводные'!$B$218*'19_Расчет_аналитики'!BK4607,MeanMinAge17))),0)</f>
        <v/>
      </c>
      <c r="BL4528">
        <f>IF('01_Вводные'!$B$234="Да",IF(OR('19_Расчет_аналитики'!BL4500=0,17&lt;='01_Вводные'!$B$297),0,'19_Расчет_аналитики'!BL4500*IF('01_Вводные'!$B$239="Да",MeanMinAge17+'19_Расчет_аналитики'!BL4607*SUMIF(ThresholdAge17,"&lt;"&amp;'19_Расчет_аналитики'!BL4607,WeightedRevAge17)-SUMIF(ThresholdAge17,"&lt;"&amp;'19_Расчет_аналитики'!BL4607,WeightedMinAge17),MAX(CapacityAge17*'01_Вводные'!$B$218*'19_Расчет_аналитики'!BL4607,MeanMinAge17))),0)</f>
        <v/>
      </c>
      <c r="BM4528">
        <f>IF('01_Вводные'!$B$234="Да",IF(OR('19_Расчет_аналитики'!BM4500=0,17&lt;='01_Вводные'!$B$297),0,'19_Расчет_аналитики'!BM4500*IF('01_Вводные'!$B$239="Да",MeanMinAge17+'19_Расчет_аналитики'!BM4607*SUMIF(ThresholdAge17,"&lt;"&amp;'19_Расчет_аналитики'!BM4607,WeightedRevAge17)-SUMIF(ThresholdAge17,"&lt;"&amp;'19_Расчет_аналитики'!BM4607,WeightedMinAge17),MAX(CapacityAge17*'01_Вводные'!$B$218*'19_Расчет_аналитики'!BM4607,MeanMinAge17))),0)</f>
        <v/>
      </c>
      <c r="BN4528">
        <f>IF('01_Вводные'!$B$234="Да",IF(OR('19_Расчет_аналитики'!BN4500=0,17&lt;='01_Вводные'!$B$297),0,'19_Расчет_аналитики'!BN4500*IF('01_Вводные'!$B$239="Да",MeanMinAge17+'19_Расчет_аналитики'!BN4607*SUMIF(ThresholdAge17,"&lt;"&amp;'19_Расчет_аналитики'!BN4607,WeightedRevAge17)-SUMIF(ThresholdAge17,"&lt;"&amp;'19_Расчет_аналитики'!BN4607,WeightedMinAge17),MAX(CapacityAge17*'01_Вводные'!$B$218*'19_Расчет_аналитики'!BN4607,MeanMinAge17))),0)</f>
        <v/>
      </c>
      <c r="BO4528">
        <f>IF('01_Вводные'!$B$234="Да",IF(OR('19_Расчет_аналитики'!BO4500=0,17&lt;='01_Вводные'!$B$297),0,'19_Расчет_аналитики'!BO4500*IF('01_Вводные'!$B$239="Да",MeanMinAge17+'19_Расчет_аналитики'!BO4607*SUMIF(ThresholdAge17,"&lt;"&amp;'19_Расчет_аналитики'!BO4607,WeightedRevAge17)-SUMIF(ThresholdAge17,"&lt;"&amp;'19_Расчет_аналитики'!BO4607,WeightedMinAge17),MAX(CapacityAge17*'01_Вводные'!$B$218*'19_Расчет_аналитики'!BO4607,MeanMinAge17))),0)</f>
        <v/>
      </c>
    </row>
    <row r="4529">
      <c r="B4529">
        <f>IF('01_Вводные'!$B$234="Да",IF(OR('06_Сеть_и_дети'!B98=0,18&lt;='01_Вводные'!$B$297),0,'06_Сеть_и_дети'!B98*IF('01_Вводные'!$B$239="Да",MeanMinAge18+'19_Расчет_аналитики'!B4607*SUMIF(ThresholdAge18,"&lt;"&amp;'19_Расчет_аналитики'!B4607,WeightedRevAge18)-SUMIF(ThresholdAge18,"&lt;"&amp;'19_Расчет_аналитики'!B4607,WeightedMinAge18),MAX(CapacityAge18*'01_Вводные'!$B$218*'19_Расчет_аналитики'!B4607,MeanMinAge18))),0)</f>
        <v/>
      </c>
      <c r="C4529">
        <f>IF('01_Вводные'!$B$234="Да",IF(OR('06_Сеть_и_дети'!C98=0,18&lt;='01_Вводные'!$B$297),0,'06_Сеть_и_дети'!C98*IF('01_Вводные'!$B$239="Да",MeanMinAge18+'19_Расчет_аналитики'!C4607*SUMIF(ThresholdAge18,"&lt;"&amp;'19_Расчет_аналитики'!C4607,WeightedRevAge18)-SUMIF(ThresholdAge18,"&lt;"&amp;'19_Расчет_аналитики'!C4607,WeightedMinAge18),MAX(CapacityAge18*'01_Вводные'!$B$218*'19_Расчет_аналитики'!C4607,MeanMinAge18))),0)</f>
        <v/>
      </c>
      <c r="D4529">
        <f>IF('01_Вводные'!$B$234="Да",IF(OR('06_Сеть_и_дети'!D98=0,18&lt;='01_Вводные'!$B$297),0,'06_Сеть_и_дети'!D98*IF('01_Вводные'!$B$239="Да",MeanMinAge18+'19_Расчет_аналитики'!D4607*SUMIF(ThresholdAge18,"&lt;"&amp;'19_Расчет_аналитики'!D4607,WeightedRevAge18)-SUMIF(ThresholdAge18,"&lt;"&amp;'19_Расчет_аналитики'!D4607,WeightedMinAge18),MAX(CapacityAge18*'01_Вводные'!$B$218*'19_Расчет_аналитики'!D4607,MeanMinAge18))),0)</f>
        <v/>
      </c>
      <c r="E4529">
        <f>IF('01_Вводные'!$B$234="Да",IF(OR('06_Сеть_и_дети'!E98=0,18&lt;='01_Вводные'!$B$297),0,'06_Сеть_и_дети'!E98*IF('01_Вводные'!$B$239="Да",MeanMinAge18+'19_Расчет_аналитики'!E4607*SUMIF(ThresholdAge18,"&lt;"&amp;'19_Расчет_аналитики'!E4607,WeightedRevAge18)-SUMIF(ThresholdAge18,"&lt;"&amp;'19_Расчет_аналитики'!E4607,WeightedMinAge18),MAX(CapacityAge18*'01_Вводные'!$B$218*'19_Расчет_аналитики'!E4607,MeanMinAge18))),0)</f>
        <v/>
      </c>
      <c r="F4529">
        <f>IF('01_Вводные'!$B$234="Да",IF(OR('06_Сеть_и_дети'!F98=0,18&lt;='01_Вводные'!$B$297),0,'06_Сеть_и_дети'!F98*IF('01_Вводные'!$B$239="Да",MeanMinAge18+'19_Расчет_аналитики'!F4607*SUMIF(ThresholdAge18,"&lt;"&amp;'19_Расчет_аналитики'!F4607,WeightedRevAge18)-SUMIF(ThresholdAge18,"&lt;"&amp;'19_Расчет_аналитики'!F4607,WeightedMinAge18),MAX(CapacityAge18*'01_Вводные'!$B$218*'19_Расчет_аналитики'!F4607,MeanMinAge18))),0)</f>
        <v/>
      </c>
      <c r="G4529">
        <f>IF('01_Вводные'!$B$234="Да",IF(OR('06_Сеть_и_дети'!G98=0,18&lt;='01_Вводные'!$B$297),0,'06_Сеть_и_дети'!G98*IF('01_Вводные'!$B$239="Да",MeanMinAge18+'19_Расчет_аналитики'!G4607*SUMIF(ThresholdAge18,"&lt;"&amp;'19_Расчет_аналитики'!G4607,WeightedRevAge18)-SUMIF(ThresholdAge18,"&lt;"&amp;'19_Расчет_аналитики'!G4607,WeightedMinAge18),MAX(CapacityAge18*'01_Вводные'!$B$218*'19_Расчет_аналитики'!G4607,MeanMinAge18))),0)</f>
        <v/>
      </c>
      <c r="H4529">
        <f>IF('01_Вводные'!$B$234="Да",IF(OR('06_Сеть_и_дети'!H98=0,18&lt;='01_Вводные'!$B$297),0,'06_Сеть_и_дети'!H98*IF('01_Вводные'!$B$239="Да",MeanMinAge18+'19_Расчет_аналитики'!H4607*SUMIF(ThresholdAge18,"&lt;"&amp;'19_Расчет_аналитики'!H4607,WeightedRevAge18)-SUMIF(ThresholdAge18,"&lt;"&amp;'19_Расчет_аналитики'!H4607,WeightedMinAge18),MAX(CapacityAge18*'01_Вводные'!$B$218*'19_Расчет_аналитики'!H4607,MeanMinAge18))),0)</f>
        <v/>
      </c>
      <c r="I4529">
        <f>IF('01_Вводные'!$B$234="Да",IF(OR('06_Сеть_и_дети'!I98=0,18&lt;='01_Вводные'!$B$297),0,'06_Сеть_и_дети'!I98*IF('01_Вводные'!$B$239="Да",MeanMinAge18+'19_Расчет_аналитики'!I4607*SUMIF(ThresholdAge18,"&lt;"&amp;'19_Расчет_аналитики'!I4607,WeightedRevAge18)-SUMIF(ThresholdAge18,"&lt;"&amp;'19_Расчет_аналитики'!I4607,WeightedMinAge18),MAX(CapacityAge18*'01_Вводные'!$B$218*'19_Расчет_аналитики'!I4607,MeanMinAge18))),0)</f>
        <v/>
      </c>
      <c r="J4529">
        <f>IF('01_Вводные'!$B$234="Да",IF(OR('06_Сеть_и_дети'!J98=0,18&lt;='01_Вводные'!$B$297),0,'06_Сеть_и_дети'!J98*IF('01_Вводные'!$B$239="Да",MeanMinAge18+'19_Расчет_аналитики'!J4607*SUMIF(ThresholdAge18,"&lt;"&amp;'19_Расчет_аналитики'!J4607,WeightedRevAge18)-SUMIF(ThresholdAge18,"&lt;"&amp;'19_Расчет_аналитики'!J4607,WeightedMinAge18),MAX(CapacityAge18*'01_Вводные'!$B$218*'19_Расчет_аналитики'!J4607,MeanMinAge18))),0)</f>
        <v/>
      </c>
      <c r="K4529">
        <f>IF('01_Вводные'!$B$234="Да",IF(OR('06_Сеть_и_дети'!K98=0,18&lt;='01_Вводные'!$B$297),0,'06_Сеть_и_дети'!K98*IF('01_Вводные'!$B$239="Да",MeanMinAge18+'19_Расчет_аналитики'!K4607*SUMIF(ThresholdAge18,"&lt;"&amp;'19_Расчет_аналитики'!K4607,WeightedRevAge18)-SUMIF(ThresholdAge18,"&lt;"&amp;'19_Расчет_аналитики'!K4607,WeightedMinAge18),MAX(CapacityAge18*'01_Вводные'!$B$218*'19_Расчет_аналитики'!K4607,MeanMinAge18))),0)</f>
        <v/>
      </c>
      <c r="L4529">
        <f>IF('01_Вводные'!$B$234="Да",IF(OR('06_Сеть_и_дети'!L98=0,18&lt;='01_Вводные'!$B$297),0,'06_Сеть_и_дети'!L98*IF('01_Вводные'!$B$239="Да",MeanMinAge18+'19_Расчет_аналитики'!L4607*SUMIF(ThresholdAge18,"&lt;"&amp;'19_Расчет_аналитики'!L4607,WeightedRevAge18)-SUMIF(ThresholdAge18,"&lt;"&amp;'19_Расчет_аналитики'!L4607,WeightedMinAge18),MAX(CapacityAge18*'01_Вводные'!$B$218*'19_Расчет_аналитики'!L4607,MeanMinAge18))),0)</f>
        <v/>
      </c>
      <c r="M4529">
        <f>IF('01_Вводные'!$B$234="Да",IF(OR('06_Сеть_и_дети'!M98=0,18&lt;='01_Вводные'!$B$297),0,'06_Сеть_и_дети'!M98*IF('01_Вводные'!$B$239="Да",MeanMinAge18+'19_Расчет_аналитики'!M4607*SUMIF(ThresholdAge18,"&lt;"&amp;'19_Расчет_аналитики'!M4607,WeightedRevAge18)-SUMIF(ThresholdAge18,"&lt;"&amp;'19_Расчет_аналитики'!M4607,WeightedMinAge18),MAX(CapacityAge18*'01_Вводные'!$B$218*'19_Расчет_аналитики'!M4607,MeanMinAge18))),0)</f>
        <v/>
      </c>
      <c r="N4529">
        <f>IF('01_Вводные'!$B$234="Да",IF(OR('06_Сеть_и_дети'!N98=0,18&lt;='01_Вводные'!$B$297),0,'06_Сеть_и_дети'!N98*IF('01_Вводные'!$B$239="Да",MeanMinAge18+'19_Расчет_аналитики'!N4607*SUMIF(ThresholdAge18,"&lt;"&amp;'19_Расчет_аналитики'!N4607,WeightedRevAge18)-SUMIF(ThresholdAge18,"&lt;"&amp;'19_Расчет_аналитики'!N4607,WeightedMinAge18),MAX(CapacityAge18*'01_Вводные'!$B$218*'19_Расчет_аналитики'!N4607,MeanMinAge18))),0)</f>
        <v/>
      </c>
      <c r="O4529">
        <f>IF('01_Вводные'!$B$234="Да",IF(OR('06_Сеть_и_дети'!O98=0,18&lt;='01_Вводные'!$B$297),0,'06_Сеть_и_дети'!O98*IF('01_Вводные'!$B$239="Да",MeanMinAge18+'19_Расчет_аналитики'!O4607*SUMIF(ThresholdAge18,"&lt;"&amp;'19_Расчет_аналитики'!O4607,WeightedRevAge18)-SUMIF(ThresholdAge18,"&lt;"&amp;'19_Расчет_аналитики'!O4607,WeightedMinAge18),MAX(CapacityAge18*'01_Вводные'!$B$218*'19_Расчет_аналитики'!O4607,MeanMinAge18))),0)</f>
        <v/>
      </c>
      <c r="P4529">
        <f>IF('01_Вводные'!$B$234="Да",IF(OR('06_Сеть_и_дети'!P98=0,18&lt;='01_Вводные'!$B$297),0,'06_Сеть_и_дети'!P98*IF('01_Вводные'!$B$239="Да",MeanMinAge18+'19_Расчет_аналитики'!P4607*SUMIF(ThresholdAge18,"&lt;"&amp;'19_Расчет_аналитики'!P4607,WeightedRevAge18)-SUMIF(ThresholdAge18,"&lt;"&amp;'19_Расчет_аналитики'!P4607,WeightedMinAge18),MAX(CapacityAge18*'01_Вводные'!$B$218*'19_Расчет_аналитики'!P4607,MeanMinAge18))),0)</f>
        <v/>
      </c>
      <c r="Q4529">
        <f>IF('01_Вводные'!$B$234="Да",IF(OR('06_Сеть_и_дети'!Q98=0,18&lt;='01_Вводные'!$B$297),0,'06_Сеть_и_дети'!Q98*IF('01_Вводные'!$B$239="Да",MeanMinAge18+'19_Расчет_аналитики'!Q4607*SUMIF(ThresholdAge18,"&lt;"&amp;'19_Расчет_аналитики'!Q4607,WeightedRevAge18)-SUMIF(ThresholdAge18,"&lt;"&amp;'19_Расчет_аналитики'!Q4607,WeightedMinAge18),MAX(CapacityAge18*'01_Вводные'!$B$218*'19_Расчет_аналитики'!Q4607,MeanMinAge18))),0)</f>
        <v/>
      </c>
      <c r="R4529">
        <f>IF('01_Вводные'!$B$234="Да",IF(OR('06_Сеть_и_дети'!R98=0,18&lt;='01_Вводные'!$B$297),0,'06_Сеть_и_дети'!R98*IF('01_Вводные'!$B$239="Да",MeanMinAge18+'19_Расчет_аналитики'!R4607*SUMIF(ThresholdAge18,"&lt;"&amp;'19_Расчет_аналитики'!R4607,WeightedRevAge18)-SUMIF(ThresholdAge18,"&lt;"&amp;'19_Расчет_аналитики'!R4607,WeightedMinAge18),MAX(CapacityAge18*'01_Вводные'!$B$218*'19_Расчет_аналитики'!R4607,MeanMinAge18))),0)</f>
        <v/>
      </c>
      <c r="S4529">
        <f>IF('01_Вводные'!$B$234="Да",IF(OR('19_Расчет_аналитики'!S4501=0,18&lt;='01_Вводные'!$B$297),0,'19_Расчет_аналитики'!S4501*IF('01_Вводные'!$B$239="Да",MeanMinAge18+'19_Расчет_аналитики'!S4607*SUMIF(ThresholdAge18,"&lt;"&amp;'19_Расчет_аналитики'!S4607,WeightedRevAge18)-SUMIF(ThresholdAge18,"&lt;"&amp;'19_Расчет_аналитики'!S4607,WeightedMinAge18),MAX(CapacityAge18*'01_Вводные'!$B$218*'19_Расчет_аналитики'!S4607,MeanMinAge18))),0)</f>
        <v/>
      </c>
      <c r="T4529">
        <f>IF('01_Вводные'!$B$234="Да",IF(OR('19_Расчет_аналитики'!T4501=0,18&lt;='01_Вводные'!$B$297),0,'19_Расчет_аналитики'!T4501*IF('01_Вводные'!$B$239="Да",MeanMinAge18+'19_Расчет_аналитики'!T4607*SUMIF(ThresholdAge18,"&lt;"&amp;'19_Расчет_аналитики'!T4607,WeightedRevAge18)-SUMIF(ThresholdAge18,"&lt;"&amp;'19_Расчет_аналитики'!T4607,WeightedMinAge18),MAX(CapacityAge18*'01_Вводные'!$B$218*'19_Расчет_аналитики'!T4607,MeanMinAge18))),0)</f>
        <v/>
      </c>
      <c r="U4529">
        <f>IF('01_Вводные'!$B$234="Да",IF(OR('19_Расчет_аналитики'!U4501=0,18&lt;='01_Вводные'!$B$297),0,'19_Расчет_аналитики'!U4501*IF('01_Вводные'!$B$239="Да",MeanMinAge18+'19_Расчет_аналитики'!U4607*SUMIF(ThresholdAge18,"&lt;"&amp;'19_Расчет_аналитики'!U4607,WeightedRevAge18)-SUMIF(ThresholdAge18,"&lt;"&amp;'19_Расчет_аналитики'!U4607,WeightedMinAge18),MAX(CapacityAge18*'01_Вводные'!$B$218*'19_Расчет_аналитики'!U4607,MeanMinAge18))),0)</f>
        <v/>
      </c>
      <c r="V4529">
        <f>IF('01_Вводные'!$B$234="Да",IF(OR('19_Расчет_аналитики'!V4501=0,18&lt;='01_Вводные'!$B$297),0,'19_Расчет_аналитики'!V4501*IF('01_Вводные'!$B$239="Да",MeanMinAge18+'19_Расчет_аналитики'!V4607*SUMIF(ThresholdAge18,"&lt;"&amp;'19_Расчет_аналитики'!V4607,WeightedRevAge18)-SUMIF(ThresholdAge18,"&lt;"&amp;'19_Расчет_аналитики'!V4607,WeightedMinAge18),MAX(CapacityAge18*'01_Вводные'!$B$218*'19_Расчет_аналитики'!V4607,MeanMinAge18))),0)</f>
        <v/>
      </c>
      <c r="W4529">
        <f>IF('01_Вводные'!$B$234="Да",IF(OR('19_Расчет_аналитики'!W4501=0,18&lt;='01_Вводные'!$B$297),0,'19_Расчет_аналитики'!W4501*IF('01_Вводные'!$B$239="Да",MeanMinAge18+'19_Расчет_аналитики'!W4607*SUMIF(ThresholdAge18,"&lt;"&amp;'19_Расчет_аналитики'!W4607,WeightedRevAge18)-SUMIF(ThresholdAge18,"&lt;"&amp;'19_Расчет_аналитики'!W4607,WeightedMinAge18),MAX(CapacityAge18*'01_Вводные'!$B$218*'19_Расчет_аналитики'!W4607,MeanMinAge18))),0)</f>
        <v/>
      </c>
      <c r="X4529">
        <f>IF('01_Вводные'!$B$234="Да",IF(OR('19_Расчет_аналитики'!X4501=0,18&lt;='01_Вводные'!$B$297),0,'19_Расчет_аналитики'!X4501*IF('01_Вводные'!$B$239="Да",MeanMinAge18+'19_Расчет_аналитики'!X4607*SUMIF(ThresholdAge18,"&lt;"&amp;'19_Расчет_аналитики'!X4607,WeightedRevAge18)-SUMIF(ThresholdAge18,"&lt;"&amp;'19_Расчет_аналитики'!X4607,WeightedMinAge18),MAX(CapacityAge18*'01_Вводные'!$B$218*'19_Расчет_аналитики'!X4607,MeanMinAge18))),0)</f>
        <v/>
      </c>
      <c r="Y4529">
        <f>IF('01_Вводные'!$B$234="Да",IF(OR('19_Расчет_аналитики'!Y4501=0,18&lt;='01_Вводные'!$B$297),0,'19_Расчет_аналитики'!Y4501*IF('01_Вводные'!$B$239="Да",MeanMinAge18+'19_Расчет_аналитики'!Y4607*SUMIF(ThresholdAge18,"&lt;"&amp;'19_Расчет_аналитики'!Y4607,WeightedRevAge18)-SUMIF(ThresholdAge18,"&lt;"&amp;'19_Расчет_аналитики'!Y4607,WeightedMinAge18),MAX(CapacityAge18*'01_Вводные'!$B$218*'19_Расчет_аналитики'!Y4607,MeanMinAge18))),0)</f>
        <v/>
      </c>
      <c r="Z4529">
        <f>IF('01_Вводные'!$B$234="Да",IF(OR('19_Расчет_аналитики'!Z4501=0,18&lt;='01_Вводные'!$B$297),0,'19_Расчет_аналитики'!Z4501*IF('01_Вводные'!$B$239="Да",MeanMinAge18+'19_Расчет_аналитики'!Z4607*SUMIF(ThresholdAge18,"&lt;"&amp;'19_Расчет_аналитики'!Z4607,WeightedRevAge18)-SUMIF(ThresholdAge18,"&lt;"&amp;'19_Расчет_аналитики'!Z4607,WeightedMinAge18),MAX(CapacityAge18*'01_Вводные'!$B$218*'19_Расчет_аналитики'!Z4607,MeanMinAge18))),0)</f>
        <v/>
      </c>
      <c r="AA4529">
        <f>IF('01_Вводные'!$B$234="Да",IF(OR('19_Расчет_аналитики'!AA4501=0,18&lt;='01_Вводные'!$B$297),0,'19_Расчет_аналитики'!AA4501*IF('01_Вводные'!$B$239="Да",MeanMinAge18+'19_Расчет_аналитики'!AA4607*SUMIF(ThresholdAge18,"&lt;"&amp;'19_Расчет_аналитики'!AA4607,WeightedRevAge18)-SUMIF(ThresholdAge18,"&lt;"&amp;'19_Расчет_аналитики'!AA4607,WeightedMinAge18),MAX(CapacityAge18*'01_Вводные'!$B$218*'19_Расчет_аналитики'!AA4607,MeanMinAge18))),0)</f>
        <v/>
      </c>
      <c r="AB4529">
        <f>IF('01_Вводные'!$B$234="Да",IF(OR('19_Расчет_аналитики'!AB4501=0,18&lt;='01_Вводные'!$B$297),0,'19_Расчет_аналитики'!AB4501*IF('01_Вводные'!$B$239="Да",MeanMinAge18+'19_Расчет_аналитики'!AB4607*SUMIF(ThresholdAge18,"&lt;"&amp;'19_Расчет_аналитики'!AB4607,WeightedRevAge18)-SUMIF(ThresholdAge18,"&lt;"&amp;'19_Расчет_аналитики'!AB4607,WeightedMinAge18),MAX(CapacityAge18*'01_Вводные'!$B$218*'19_Расчет_аналитики'!AB4607,MeanMinAge18))),0)</f>
        <v/>
      </c>
      <c r="AC4529">
        <f>IF('01_Вводные'!$B$234="Да",IF(OR('19_Расчет_аналитики'!AC4501=0,18&lt;='01_Вводные'!$B$297),0,'19_Расчет_аналитики'!AC4501*IF('01_Вводные'!$B$239="Да",MeanMinAge18+'19_Расчет_аналитики'!AC4607*SUMIF(ThresholdAge18,"&lt;"&amp;'19_Расчет_аналитики'!AC4607,WeightedRevAge18)-SUMIF(ThresholdAge18,"&lt;"&amp;'19_Расчет_аналитики'!AC4607,WeightedMinAge18),MAX(CapacityAge18*'01_Вводные'!$B$218*'19_Расчет_аналитики'!AC4607,MeanMinAge18))),0)</f>
        <v/>
      </c>
      <c r="AD4529">
        <f>IF('01_Вводные'!$B$234="Да",IF(OR('19_Расчет_аналитики'!AD4501=0,18&lt;='01_Вводные'!$B$297),0,'19_Расчет_аналитики'!AD4501*IF('01_Вводные'!$B$239="Да",MeanMinAge18+'19_Расчет_аналитики'!AD4607*SUMIF(ThresholdAge18,"&lt;"&amp;'19_Расчет_аналитики'!AD4607,WeightedRevAge18)-SUMIF(ThresholdAge18,"&lt;"&amp;'19_Расчет_аналитики'!AD4607,WeightedMinAge18),MAX(CapacityAge18*'01_Вводные'!$B$218*'19_Расчет_аналитики'!AD4607,MeanMinAge18))),0)</f>
        <v/>
      </c>
      <c r="AE4529">
        <f>IF('01_Вводные'!$B$234="Да",IF(OR('19_Расчет_аналитики'!AE4501=0,18&lt;='01_Вводные'!$B$297),0,'19_Расчет_аналитики'!AE4501*IF('01_Вводные'!$B$239="Да",MeanMinAge18+'19_Расчет_аналитики'!AE4607*SUMIF(ThresholdAge18,"&lt;"&amp;'19_Расчет_аналитики'!AE4607,WeightedRevAge18)-SUMIF(ThresholdAge18,"&lt;"&amp;'19_Расчет_аналитики'!AE4607,WeightedMinAge18),MAX(CapacityAge18*'01_Вводные'!$B$218*'19_Расчет_аналитики'!AE4607,MeanMinAge18))),0)</f>
        <v/>
      </c>
      <c r="AF4529">
        <f>IF('01_Вводные'!$B$234="Да",IF(OR('19_Расчет_аналитики'!AF4501=0,18&lt;='01_Вводные'!$B$297),0,'19_Расчет_аналитики'!AF4501*IF('01_Вводные'!$B$239="Да",MeanMinAge18+'19_Расчет_аналитики'!AF4607*SUMIF(ThresholdAge18,"&lt;"&amp;'19_Расчет_аналитики'!AF4607,WeightedRevAge18)-SUMIF(ThresholdAge18,"&lt;"&amp;'19_Расчет_аналитики'!AF4607,WeightedMinAge18),MAX(CapacityAge18*'01_Вводные'!$B$218*'19_Расчет_аналитики'!AF4607,MeanMinAge18))),0)</f>
        <v/>
      </c>
      <c r="AG4529">
        <f>IF('01_Вводные'!$B$234="Да",IF(OR('19_Расчет_аналитики'!AG4501=0,18&lt;='01_Вводные'!$B$297),0,'19_Расчет_аналитики'!AG4501*IF('01_Вводные'!$B$239="Да",MeanMinAge18+'19_Расчет_аналитики'!AG4607*SUMIF(ThresholdAge18,"&lt;"&amp;'19_Расчет_аналитики'!AG4607,WeightedRevAge18)-SUMIF(ThresholdAge18,"&lt;"&amp;'19_Расчет_аналитики'!AG4607,WeightedMinAge18),MAX(CapacityAge18*'01_Вводные'!$B$218*'19_Расчет_аналитики'!AG4607,MeanMinAge18))),0)</f>
        <v/>
      </c>
      <c r="AH4529">
        <f>IF('01_Вводные'!$B$234="Да",IF(OR('19_Расчет_аналитики'!AH4501=0,18&lt;='01_Вводные'!$B$297),0,'19_Расчет_аналитики'!AH4501*IF('01_Вводные'!$B$239="Да",MeanMinAge18+'19_Расчет_аналитики'!AH4607*SUMIF(ThresholdAge18,"&lt;"&amp;'19_Расчет_аналитики'!AH4607,WeightedRevAge18)-SUMIF(ThresholdAge18,"&lt;"&amp;'19_Расчет_аналитики'!AH4607,WeightedMinAge18),MAX(CapacityAge18*'01_Вводные'!$B$218*'19_Расчет_аналитики'!AH4607,MeanMinAge18))),0)</f>
        <v/>
      </c>
      <c r="AI4529">
        <f>IF('01_Вводные'!$B$234="Да",IF(OR('19_Расчет_аналитики'!AI4501=0,18&lt;='01_Вводные'!$B$297),0,'19_Расчет_аналитики'!AI4501*IF('01_Вводные'!$B$239="Да",MeanMinAge18+'19_Расчет_аналитики'!AI4607*SUMIF(ThresholdAge18,"&lt;"&amp;'19_Расчет_аналитики'!AI4607,WeightedRevAge18)-SUMIF(ThresholdAge18,"&lt;"&amp;'19_Расчет_аналитики'!AI4607,WeightedMinAge18),MAX(CapacityAge18*'01_Вводные'!$B$218*'19_Расчет_аналитики'!AI4607,MeanMinAge18))),0)</f>
        <v/>
      </c>
      <c r="AJ4529">
        <f>IF('01_Вводные'!$B$234="Да",IF(OR('19_Расчет_аналитики'!AJ4501=0,18&lt;='01_Вводные'!$B$297),0,'19_Расчет_аналитики'!AJ4501*IF('01_Вводные'!$B$239="Да",MeanMinAge18+'19_Расчет_аналитики'!AJ4607*SUMIF(ThresholdAge18,"&lt;"&amp;'19_Расчет_аналитики'!AJ4607,WeightedRevAge18)-SUMIF(ThresholdAge18,"&lt;"&amp;'19_Расчет_аналитики'!AJ4607,WeightedMinAge18),MAX(CapacityAge18*'01_Вводные'!$B$218*'19_Расчет_аналитики'!AJ4607,MeanMinAge18))),0)</f>
        <v/>
      </c>
      <c r="AK4529">
        <f>IF('01_Вводные'!$B$234="Да",IF(OR('19_Расчет_аналитики'!AK4501=0,18&lt;='01_Вводные'!$B$297),0,'19_Расчет_аналитики'!AK4501*IF('01_Вводные'!$B$239="Да",MeanMinAge18+'19_Расчет_аналитики'!AK4607*SUMIF(ThresholdAge18,"&lt;"&amp;'19_Расчет_аналитики'!AK4607,WeightedRevAge18)-SUMIF(ThresholdAge18,"&lt;"&amp;'19_Расчет_аналитики'!AK4607,WeightedMinAge18),MAX(CapacityAge18*'01_Вводные'!$B$218*'19_Расчет_аналитики'!AK4607,MeanMinAge18))),0)</f>
        <v/>
      </c>
      <c r="AL4529">
        <f>IF('01_Вводные'!$B$234="Да",IF(OR('19_Расчет_аналитики'!AL4501=0,18&lt;='01_Вводные'!$B$297),0,'19_Расчет_аналитики'!AL4501*IF('01_Вводные'!$B$239="Да",MeanMinAge18+'19_Расчет_аналитики'!AL4607*SUMIF(ThresholdAge18,"&lt;"&amp;'19_Расчет_аналитики'!AL4607,WeightedRevAge18)-SUMIF(ThresholdAge18,"&lt;"&amp;'19_Расчет_аналитики'!AL4607,WeightedMinAge18),MAX(CapacityAge18*'01_Вводные'!$B$218*'19_Расчет_аналитики'!AL4607,MeanMinAge18))),0)</f>
        <v/>
      </c>
      <c r="AM4529">
        <f>IF('01_Вводные'!$B$234="Да",IF(OR('19_Расчет_аналитики'!AM4501=0,18&lt;='01_Вводные'!$B$297),0,'19_Расчет_аналитики'!AM4501*IF('01_Вводные'!$B$239="Да",MeanMinAge18+'19_Расчет_аналитики'!AM4607*SUMIF(ThresholdAge18,"&lt;"&amp;'19_Расчет_аналитики'!AM4607,WeightedRevAge18)-SUMIF(ThresholdAge18,"&lt;"&amp;'19_Расчет_аналитики'!AM4607,WeightedMinAge18),MAX(CapacityAge18*'01_Вводные'!$B$218*'19_Расчет_аналитики'!AM4607,MeanMinAge18))),0)</f>
        <v/>
      </c>
      <c r="AN4529">
        <f>IF('01_Вводные'!$B$234="Да",IF(OR('19_Расчет_аналитики'!AN4501=0,18&lt;='01_Вводные'!$B$297),0,'19_Расчет_аналитики'!AN4501*IF('01_Вводные'!$B$239="Да",MeanMinAge18+'19_Расчет_аналитики'!AN4607*SUMIF(ThresholdAge18,"&lt;"&amp;'19_Расчет_аналитики'!AN4607,WeightedRevAge18)-SUMIF(ThresholdAge18,"&lt;"&amp;'19_Расчет_аналитики'!AN4607,WeightedMinAge18),MAX(CapacityAge18*'01_Вводные'!$B$218*'19_Расчет_аналитики'!AN4607,MeanMinAge18))),0)</f>
        <v/>
      </c>
      <c r="AO4529">
        <f>IF('01_Вводные'!$B$234="Да",IF(OR('19_Расчет_аналитики'!AO4501=0,18&lt;='01_Вводные'!$B$297),0,'19_Расчет_аналитики'!AO4501*IF('01_Вводные'!$B$239="Да",MeanMinAge18+'19_Расчет_аналитики'!AO4607*SUMIF(ThresholdAge18,"&lt;"&amp;'19_Расчет_аналитики'!AO4607,WeightedRevAge18)-SUMIF(ThresholdAge18,"&lt;"&amp;'19_Расчет_аналитики'!AO4607,WeightedMinAge18),MAX(CapacityAge18*'01_Вводные'!$B$218*'19_Расчет_аналитики'!AO4607,MeanMinAge18))),0)</f>
        <v/>
      </c>
      <c r="AP4529">
        <f>IF('01_Вводные'!$B$234="Да",IF(OR('19_Расчет_аналитики'!AP4501=0,18&lt;='01_Вводные'!$B$297),0,'19_Расчет_аналитики'!AP4501*IF('01_Вводные'!$B$239="Да",MeanMinAge18+'19_Расчет_аналитики'!AP4607*SUMIF(ThresholdAge18,"&lt;"&amp;'19_Расчет_аналитики'!AP4607,WeightedRevAge18)-SUMIF(ThresholdAge18,"&lt;"&amp;'19_Расчет_аналитики'!AP4607,WeightedMinAge18),MAX(CapacityAge18*'01_Вводные'!$B$218*'19_Расчет_аналитики'!AP4607,MeanMinAge18))),0)</f>
        <v/>
      </c>
      <c r="AQ4529">
        <f>IF('01_Вводные'!$B$234="Да",IF(OR('19_Расчет_аналитики'!AQ4501=0,18&lt;='01_Вводные'!$B$297),0,'19_Расчет_аналитики'!AQ4501*IF('01_Вводные'!$B$239="Да",MeanMinAge18+'19_Расчет_аналитики'!AQ4607*SUMIF(ThresholdAge18,"&lt;"&amp;'19_Расчет_аналитики'!AQ4607,WeightedRevAge18)-SUMIF(ThresholdAge18,"&lt;"&amp;'19_Расчет_аналитики'!AQ4607,WeightedMinAge18),MAX(CapacityAge18*'01_Вводные'!$B$218*'19_Расчет_аналитики'!AQ4607,MeanMinAge18))),0)</f>
        <v/>
      </c>
      <c r="AR4529">
        <f>IF('01_Вводные'!$B$234="Да",IF(OR('19_Расчет_аналитики'!AR4501=0,18&lt;='01_Вводные'!$B$297),0,'19_Расчет_аналитики'!AR4501*IF('01_Вводные'!$B$239="Да",MeanMinAge18+'19_Расчет_аналитики'!AR4607*SUMIF(ThresholdAge18,"&lt;"&amp;'19_Расчет_аналитики'!AR4607,WeightedRevAge18)-SUMIF(ThresholdAge18,"&lt;"&amp;'19_Расчет_аналитики'!AR4607,WeightedMinAge18),MAX(CapacityAge18*'01_Вводные'!$B$218*'19_Расчет_аналитики'!AR4607,MeanMinAge18))),0)</f>
        <v/>
      </c>
      <c r="AS4529">
        <f>IF('01_Вводные'!$B$234="Да",IF(OR('19_Расчет_аналитики'!AS4501=0,18&lt;='01_Вводные'!$B$297),0,'19_Расчет_аналитики'!AS4501*IF('01_Вводные'!$B$239="Да",MeanMinAge18+'19_Расчет_аналитики'!AS4607*SUMIF(ThresholdAge18,"&lt;"&amp;'19_Расчет_аналитики'!AS4607,WeightedRevAge18)-SUMIF(ThresholdAge18,"&lt;"&amp;'19_Расчет_аналитики'!AS4607,WeightedMinAge18),MAX(CapacityAge18*'01_Вводные'!$B$218*'19_Расчет_аналитики'!AS4607,MeanMinAge18))),0)</f>
        <v/>
      </c>
      <c r="AT4529">
        <f>IF('01_Вводные'!$B$234="Да",IF(OR('19_Расчет_аналитики'!AT4501=0,18&lt;='01_Вводные'!$B$297),0,'19_Расчет_аналитики'!AT4501*IF('01_Вводные'!$B$239="Да",MeanMinAge18+'19_Расчет_аналитики'!AT4607*SUMIF(ThresholdAge18,"&lt;"&amp;'19_Расчет_аналитики'!AT4607,WeightedRevAge18)-SUMIF(ThresholdAge18,"&lt;"&amp;'19_Расчет_аналитики'!AT4607,WeightedMinAge18),MAX(CapacityAge18*'01_Вводные'!$B$218*'19_Расчет_аналитики'!AT4607,MeanMinAge18))),0)</f>
        <v/>
      </c>
      <c r="AU4529">
        <f>IF('01_Вводные'!$B$234="Да",IF(OR('19_Расчет_аналитики'!AU4501=0,18&lt;='01_Вводные'!$B$297),0,'19_Расчет_аналитики'!AU4501*IF('01_Вводные'!$B$239="Да",MeanMinAge18+'19_Расчет_аналитики'!AU4607*SUMIF(ThresholdAge18,"&lt;"&amp;'19_Расчет_аналитики'!AU4607,WeightedRevAge18)-SUMIF(ThresholdAge18,"&lt;"&amp;'19_Расчет_аналитики'!AU4607,WeightedMinAge18),MAX(CapacityAge18*'01_Вводные'!$B$218*'19_Расчет_аналитики'!AU4607,MeanMinAge18))),0)</f>
        <v/>
      </c>
      <c r="AV4529">
        <f>IF('01_Вводные'!$B$234="Да",IF(OR('19_Расчет_аналитики'!AV4501=0,18&lt;='01_Вводные'!$B$297),0,'19_Расчет_аналитики'!AV4501*IF('01_Вводные'!$B$239="Да",MeanMinAge18+'19_Расчет_аналитики'!AV4607*SUMIF(ThresholdAge18,"&lt;"&amp;'19_Расчет_аналитики'!AV4607,WeightedRevAge18)-SUMIF(ThresholdAge18,"&lt;"&amp;'19_Расчет_аналитики'!AV4607,WeightedMinAge18),MAX(CapacityAge18*'01_Вводные'!$B$218*'19_Расчет_аналитики'!AV4607,MeanMinAge18))),0)</f>
        <v/>
      </c>
      <c r="AW4529">
        <f>IF('01_Вводные'!$B$234="Да",IF(OR('19_Расчет_аналитики'!AW4501=0,18&lt;='01_Вводные'!$B$297),0,'19_Расчет_аналитики'!AW4501*IF('01_Вводные'!$B$239="Да",MeanMinAge18+'19_Расчет_аналитики'!AW4607*SUMIF(ThresholdAge18,"&lt;"&amp;'19_Расчет_аналитики'!AW4607,WeightedRevAge18)-SUMIF(ThresholdAge18,"&lt;"&amp;'19_Расчет_аналитики'!AW4607,WeightedMinAge18),MAX(CapacityAge18*'01_Вводные'!$B$218*'19_Расчет_аналитики'!AW4607,MeanMinAge18))),0)</f>
        <v/>
      </c>
      <c r="AX4529">
        <f>IF('01_Вводные'!$B$234="Да",IF(OR('19_Расчет_аналитики'!AX4501=0,18&lt;='01_Вводные'!$B$297),0,'19_Расчет_аналитики'!AX4501*IF('01_Вводные'!$B$239="Да",MeanMinAge18+'19_Расчет_аналитики'!AX4607*SUMIF(ThresholdAge18,"&lt;"&amp;'19_Расчет_аналитики'!AX4607,WeightedRevAge18)-SUMIF(ThresholdAge18,"&lt;"&amp;'19_Расчет_аналитики'!AX4607,WeightedMinAge18),MAX(CapacityAge18*'01_Вводные'!$B$218*'19_Расчет_аналитики'!AX4607,MeanMinAge18))),0)</f>
        <v/>
      </c>
      <c r="AY4529">
        <f>IF('01_Вводные'!$B$234="Да",IF(OR('19_Расчет_аналитики'!AY4501=0,18&lt;='01_Вводные'!$B$297),0,'19_Расчет_аналитики'!AY4501*IF('01_Вводные'!$B$239="Да",MeanMinAge18+'19_Расчет_аналитики'!AY4607*SUMIF(ThresholdAge18,"&lt;"&amp;'19_Расчет_аналитики'!AY4607,WeightedRevAge18)-SUMIF(ThresholdAge18,"&lt;"&amp;'19_Расчет_аналитики'!AY4607,WeightedMinAge18),MAX(CapacityAge18*'01_Вводные'!$B$218*'19_Расчет_аналитики'!AY4607,MeanMinAge18))),0)</f>
        <v/>
      </c>
      <c r="AZ4529">
        <f>IF('01_Вводные'!$B$234="Да",IF(OR('19_Расчет_аналитики'!AZ4501=0,18&lt;='01_Вводные'!$B$297),0,'19_Расчет_аналитики'!AZ4501*IF('01_Вводные'!$B$239="Да",MeanMinAge18+'19_Расчет_аналитики'!AZ4607*SUMIF(ThresholdAge18,"&lt;"&amp;'19_Расчет_аналитики'!AZ4607,WeightedRevAge18)-SUMIF(ThresholdAge18,"&lt;"&amp;'19_Расчет_аналитики'!AZ4607,WeightedMinAge18),MAX(CapacityAge18*'01_Вводные'!$B$218*'19_Расчет_аналитики'!AZ4607,MeanMinAge18))),0)</f>
        <v/>
      </c>
      <c r="BA4529">
        <f>IF('01_Вводные'!$B$234="Да",IF(OR('19_Расчет_аналитики'!BA4501=0,18&lt;='01_Вводные'!$B$297),0,'19_Расчет_аналитики'!BA4501*IF('01_Вводные'!$B$239="Да",MeanMinAge18+'19_Расчет_аналитики'!BA4607*SUMIF(ThresholdAge18,"&lt;"&amp;'19_Расчет_аналитики'!BA4607,WeightedRevAge18)-SUMIF(ThresholdAge18,"&lt;"&amp;'19_Расчет_аналитики'!BA4607,WeightedMinAge18),MAX(CapacityAge18*'01_Вводные'!$B$218*'19_Расчет_аналитики'!BA4607,MeanMinAge18))),0)</f>
        <v/>
      </c>
      <c r="BB4529">
        <f>IF('01_Вводные'!$B$234="Да",IF(OR('19_Расчет_аналитики'!BB4501=0,18&lt;='01_Вводные'!$B$297),0,'19_Расчет_аналитики'!BB4501*IF('01_Вводные'!$B$239="Да",MeanMinAge18+'19_Расчет_аналитики'!BB4607*SUMIF(ThresholdAge18,"&lt;"&amp;'19_Расчет_аналитики'!BB4607,WeightedRevAge18)-SUMIF(ThresholdAge18,"&lt;"&amp;'19_Расчет_аналитики'!BB4607,WeightedMinAge18),MAX(CapacityAge18*'01_Вводные'!$B$218*'19_Расчет_аналитики'!BB4607,MeanMinAge18))),0)</f>
        <v/>
      </c>
      <c r="BC4529">
        <f>IF('01_Вводные'!$B$234="Да",IF(OR('19_Расчет_аналитики'!BC4501=0,18&lt;='01_Вводные'!$B$297),0,'19_Расчет_аналитики'!BC4501*IF('01_Вводные'!$B$239="Да",MeanMinAge18+'19_Расчет_аналитики'!BC4607*SUMIF(ThresholdAge18,"&lt;"&amp;'19_Расчет_аналитики'!BC4607,WeightedRevAge18)-SUMIF(ThresholdAge18,"&lt;"&amp;'19_Расчет_аналитики'!BC4607,WeightedMinAge18),MAX(CapacityAge18*'01_Вводные'!$B$218*'19_Расчет_аналитики'!BC4607,MeanMinAge18))),0)</f>
        <v/>
      </c>
      <c r="BD4529">
        <f>IF('01_Вводные'!$B$234="Да",IF(OR('19_Расчет_аналитики'!BD4501=0,18&lt;='01_Вводные'!$B$297),0,'19_Расчет_аналитики'!BD4501*IF('01_Вводные'!$B$239="Да",MeanMinAge18+'19_Расчет_аналитики'!BD4607*SUMIF(ThresholdAge18,"&lt;"&amp;'19_Расчет_аналитики'!BD4607,WeightedRevAge18)-SUMIF(ThresholdAge18,"&lt;"&amp;'19_Расчет_аналитики'!BD4607,WeightedMinAge18),MAX(CapacityAge18*'01_Вводные'!$B$218*'19_Расчет_аналитики'!BD4607,MeanMinAge18))),0)</f>
        <v/>
      </c>
      <c r="BE4529">
        <f>IF('01_Вводные'!$B$234="Да",IF(OR('19_Расчет_аналитики'!BE4501=0,18&lt;='01_Вводные'!$B$297),0,'19_Расчет_аналитики'!BE4501*IF('01_Вводные'!$B$239="Да",MeanMinAge18+'19_Расчет_аналитики'!BE4607*SUMIF(ThresholdAge18,"&lt;"&amp;'19_Расчет_аналитики'!BE4607,WeightedRevAge18)-SUMIF(ThresholdAge18,"&lt;"&amp;'19_Расчет_аналитики'!BE4607,WeightedMinAge18),MAX(CapacityAge18*'01_Вводные'!$B$218*'19_Расчет_аналитики'!BE4607,MeanMinAge18))),0)</f>
        <v/>
      </c>
      <c r="BF4529">
        <f>IF('01_Вводные'!$B$234="Да",IF(OR('19_Расчет_аналитики'!BF4501=0,18&lt;='01_Вводные'!$B$297),0,'19_Расчет_аналитики'!BF4501*IF('01_Вводные'!$B$239="Да",MeanMinAge18+'19_Расчет_аналитики'!BF4607*SUMIF(ThresholdAge18,"&lt;"&amp;'19_Расчет_аналитики'!BF4607,WeightedRevAge18)-SUMIF(ThresholdAge18,"&lt;"&amp;'19_Расчет_аналитики'!BF4607,WeightedMinAge18),MAX(CapacityAge18*'01_Вводные'!$B$218*'19_Расчет_аналитики'!BF4607,MeanMinAge18))),0)</f>
        <v/>
      </c>
      <c r="BG4529">
        <f>IF('01_Вводные'!$B$234="Да",IF(OR('19_Расчет_аналитики'!BG4501=0,18&lt;='01_Вводные'!$B$297),0,'19_Расчет_аналитики'!BG4501*IF('01_Вводные'!$B$239="Да",MeanMinAge18+'19_Расчет_аналитики'!BG4607*SUMIF(ThresholdAge18,"&lt;"&amp;'19_Расчет_аналитики'!BG4607,WeightedRevAge18)-SUMIF(ThresholdAge18,"&lt;"&amp;'19_Расчет_аналитики'!BG4607,WeightedMinAge18),MAX(CapacityAge18*'01_Вводные'!$B$218*'19_Расчет_аналитики'!BG4607,MeanMinAge18))),0)</f>
        <v/>
      </c>
      <c r="BH4529">
        <f>IF('01_Вводные'!$B$234="Да",IF(OR('19_Расчет_аналитики'!BH4501=0,18&lt;='01_Вводные'!$B$297),0,'19_Расчет_аналитики'!BH4501*IF('01_Вводные'!$B$239="Да",MeanMinAge18+'19_Расчет_аналитики'!BH4607*SUMIF(ThresholdAge18,"&lt;"&amp;'19_Расчет_аналитики'!BH4607,WeightedRevAge18)-SUMIF(ThresholdAge18,"&lt;"&amp;'19_Расчет_аналитики'!BH4607,WeightedMinAge18),MAX(CapacityAge18*'01_Вводные'!$B$218*'19_Расчет_аналитики'!BH4607,MeanMinAge18))),0)</f>
        <v/>
      </c>
      <c r="BI4529">
        <f>IF('01_Вводные'!$B$234="Да",IF(OR('19_Расчет_аналитики'!BI4501=0,18&lt;='01_Вводные'!$B$297),0,'19_Расчет_аналитики'!BI4501*IF('01_Вводные'!$B$239="Да",MeanMinAge18+'19_Расчет_аналитики'!BI4607*SUMIF(ThresholdAge18,"&lt;"&amp;'19_Расчет_аналитики'!BI4607,WeightedRevAge18)-SUMIF(ThresholdAge18,"&lt;"&amp;'19_Расчет_аналитики'!BI4607,WeightedMinAge18),MAX(CapacityAge18*'01_Вводные'!$B$218*'19_Расчет_аналитики'!BI4607,MeanMinAge18))),0)</f>
        <v/>
      </c>
      <c r="BJ4529">
        <f>IF('01_Вводные'!$B$234="Да",IF(OR('19_Расчет_аналитики'!BJ4501=0,18&lt;='01_Вводные'!$B$297),0,'19_Расчет_аналитики'!BJ4501*IF('01_Вводные'!$B$239="Да",MeanMinAge18+'19_Расчет_аналитики'!BJ4607*SUMIF(ThresholdAge18,"&lt;"&amp;'19_Расчет_аналитики'!BJ4607,WeightedRevAge18)-SUMIF(ThresholdAge18,"&lt;"&amp;'19_Расчет_аналитики'!BJ4607,WeightedMinAge18),MAX(CapacityAge18*'01_Вводные'!$B$218*'19_Расчет_аналитики'!BJ4607,MeanMinAge18))),0)</f>
        <v/>
      </c>
      <c r="BK4529">
        <f>IF('01_Вводные'!$B$234="Да",IF(OR('19_Расчет_аналитики'!BK4501=0,18&lt;='01_Вводные'!$B$297),0,'19_Расчет_аналитики'!BK4501*IF('01_Вводные'!$B$239="Да",MeanMinAge18+'19_Расчет_аналитики'!BK4607*SUMIF(ThresholdAge18,"&lt;"&amp;'19_Расчет_аналитики'!BK4607,WeightedRevAge18)-SUMIF(ThresholdAge18,"&lt;"&amp;'19_Расчет_аналитики'!BK4607,WeightedMinAge18),MAX(CapacityAge18*'01_Вводные'!$B$218*'19_Расчет_аналитики'!BK4607,MeanMinAge18))),0)</f>
        <v/>
      </c>
      <c r="BL4529">
        <f>IF('01_Вводные'!$B$234="Да",IF(OR('19_Расчет_аналитики'!BL4501=0,18&lt;='01_Вводные'!$B$297),0,'19_Расчет_аналитики'!BL4501*IF('01_Вводные'!$B$239="Да",MeanMinAge18+'19_Расчет_аналитики'!BL4607*SUMIF(ThresholdAge18,"&lt;"&amp;'19_Расчет_аналитики'!BL4607,WeightedRevAge18)-SUMIF(ThresholdAge18,"&lt;"&amp;'19_Расчет_аналитики'!BL4607,WeightedMinAge18),MAX(CapacityAge18*'01_Вводные'!$B$218*'19_Расчет_аналитики'!BL4607,MeanMinAge18))),0)</f>
        <v/>
      </c>
      <c r="BM4529">
        <f>IF('01_Вводные'!$B$234="Да",IF(OR('19_Расчет_аналитики'!BM4501=0,18&lt;='01_Вводные'!$B$297),0,'19_Расчет_аналитики'!BM4501*IF('01_Вводные'!$B$239="Да",MeanMinAge18+'19_Расчет_аналитики'!BM4607*SUMIF(ThresholdAge18,"&lt;"&amp;'19_Расчет_аналитики'!BM4607,WeightedRevAge18)-SUMIF(ThresholdAge18,"&lt;"&amp;'19_Расчет_аналитики'!BM4607,WeightedMinAge18),MAX(CapacityAge18*'01_Вводные'!$B$218*'19_Расчет_аналитики'!BM4607,MeanMinAge18))),0)</f>
        <v/>
      </c>
      <c r="BN4529">
        <f>IF('01_Вводные'!$B$234="Да",IF(OR('19_Расчет_аналитики'!BN4501=0,18&lt;='01_Вводные'!$B$297),0,'19_Расчет_аналитики'!BN4501*IF('01_Вводные'!$B$239="Да",MeanMinAge18+'19_Расчет_аналитики'!BN4607*SUMIF(ThresholdAge18,"&lt;"&amp;'19_Расчет_аналитики'!BN4607,WeightedRevAge18)-SUMIF(ThresholdAge18,"&lt;"&amp;'19_Расчет_аналитики'!BN4607,WeightedMinAge18),MAX(CapacityAge18*'01_Вводные'!$B$218*'19_Расчет_аналитики'!BN4607,MeanMinAge18))),0)</f>
        <v/>
      </c>
      <c r="BO4529">
        <f>IF('01_Вводные'!$B$234="Да",IF(OR('19_Расчет_аналитики'!BO4501=0,18&lt;='01_Вводные'!$B$297),0,'19_Расчет_аналитики'!BO4501*IF('01_Вводные'!$B$239="Да",MeanMinAge18+'19_Расчет_аналитики'!BO4607*SUMIF(ThresholdAge18,"&lt;"&amp;'19_Расчет_аналитики'!BO4607,WeightedRevAge18)-SUMIF(ThresholdAge18,"&lt;"&amp;'19_Расчет_аналитики'!BO4607,WeightedMinAge18),MAX(CapacityAge18*'01_Вводные'!$B$218*'19_Расчет_аналитики'!BO4607,MeanMinAge18))),0)</f>
        <v/>
      </c>
    </row>
    <row r="4530">
      <c r="B4530">
        <f>IF('01_Вводные'!$B$234="Да",IF(OR('06_Сеть_и_дети'!B99=0,19&lt;='01_Вводные'!$B$297),0,'06_Сеть_и_дети'!B99*IF('01_Вводные'!$B$239="Да",MeanMinAge19+'19_Расчет_аналитики'!B4607*SUMIF(ThresholdAge19,"&lt;"&amp;'19_Расчет_аналитики'!B4607,WeightedRevAge19)-SUMIF(ThresholdAge19,"&lt;"&amp;'19_Расчет_аналитики'!B4607,WeightedMinAge19),MAX(CapacityAge19*'01_Вводные'!$B$218*'19_Расчет_аналитики'!B4607,MeanMinAge19))),0)</f>
        <v/>
      </c>
      <c r="C4530">
        <f>IF('01_Вводные'!$B$234="Да",IF(OR('06_Сеть_и_дети'!C99=0,19&lt;='01_Вводные'!$B$297),0,'06_Сеть_и_дети'!C99*IF('01_Вводные'!$B$239="Да",MeanMinAge19+'19_Расчет_аналитики'!C4607*SUMIF(ThresholdAge19,"&lt;"&amp;'19_Расчет_аналитики'!C4607,WeightedRevAge19)-SUMIF(ThresholdAge19,"&lt;"&amp;'19_Расчет_аналитики'!C4607,WeightedMinAge19),MAX(CapacityAge19*'01_Вводные'!$B$218*'19_Расчет_аналитики'!C4607,MeanMinAge19))),0)</f>
        <v/>
      </c>
      <c r="D4530">
        <f>IF('01_Вводные'!$B$234="Да",IF(OR('06_Сеть_и_дети'!D99=0,19&lt;='01_Вводные'!$B$297),0,'06_Сеть_и_дети'!D99*IF('01_Вводные'!$B$239="Да",MeanMinAge19+'19_Расчет_аналитики'!D4607*SUMIF(ThresholdAge19,"&lt;"&amp;'19_Расчет_аналитики'!D4607,WeightedRevAge19)-SUMIF(ThresholdAge19,"&lt;"&amp;'19_Расчет_аналитики'!D4607,WeightedMinAge19),MAX(CapacityAge19*'01_Вводные'!$B$218*'19_Расчет_аналитики'!D4607,MeanMinAge19))),0)</f>
        <v/>
      </c>
      <c r="E4530">
        <f>IF('01_Вводные'!$B$234="Да",IF(OR('06_Сеть_и_дети'!E99=0,19&lt;='01_Вводные'!$B$297),0,'06_Сеть_и_дети'!E99*IF('01_Вводные'!$B$239="Да",MeanMinAge19+'19_Расчет_аналитики'!E4607*SUMIF(ThresholdAge19,"&lt;"&amp;'19_Расчет_аналитики'!E4607,WeightedRevAge19)-SUMIF(ThresholdAge19,"&lt;"&amp;'19_Расчет_аналитики'!E4607,WeightedMinAge19),MAX(CapacityAge19*'01_Вводные'!$B$218*'19_Расчет_аналитики'!E4607,MeanMinAge19))),0)</f>
        <v/>
      </c>
      <c r="F4530">
        <f>IF('01_Вводные'!$B$234="Да",IF(OR('06_Сеть_и_дети'!F99=0,19&lt;='01_Вводные'!$B$297),0,'06_Сеть_и_дети'!F99*IF('01_Вводные'!$B$239="Да",MeanMinAge19+'19_Расчет_аналитики'!F4607*SUMIF(ThresholdAge19,"&lt;"&amp;'19_Расчет_аналитики'!F4607,WeightedRevAge19)-SUMIF(ThresholdAge19,"&lt;"&amp;'19_Расчет_аналитики'!F4607,WeightedMinAge19),MAX(CapacityAge19*'01_Вводные'!$B$218*'19_Расчет_аналитики'!F4607,MeanMinAge19))),0)</f>
        <v/>
      </c>
      <c r="G4530">
        <f>IF('01_Вводные'!$B$234="Да",IF(OR('06_Сеть_и_дети'!G99=0,19&lt;='01_Вводные'!$B$297),0,'06_Сеть_и_дети'!G99*IF('01_Вводные'!$B$239="Да",MeanMinAge19+'19_Расчет_аналитики'!G4607*SUMIF(ThresholdAge19,"&lt;"&amp;'19_Расчет_аналитики'!G4607,WeightedRevAge19)-SUMIF(ThresholdAge19,"&lt;"&amp;'19_Расчет_аналитики'!G4607,WeightedMinAge19),MAX(CapacityAge19*'01_Вводные'!$B$218*'19_Расчет_аналитики'!G4607,MeanMinAge19))),0)</f>
        <v/>
      </c>
      <c r="H4530">
        <f>IF('01_Вводные'!$B$234="Да",IF(OR('06_Сеть_и_дети'!H99=0,19&lt;='01_Вводные'!$B$297),0,'06_Сеть_и_дети'!H99*IF('01_Вводные'!$B$239="Да",MeanMinAge19+'19_Расчет_аналитики'!H4607*SUMIF(ThresholdAge19,"&lt;"&amp;'19_Расчет_аналитики'!H4607,WeightedRevAge19)-SUMIF(ThresholdAge19,"&lt;"&amp;'19_Расчет_аналитики'!H4607,WeightedMinAge19),MAX(CapacityAge19*'01_Вводные'!$B$218*'19_Расчет_аналитики'!H4607,MeanMinAge19))),0)</f>
        <v/>
      </c>
      <c r="I4530">
        <f>IF('01_Вводные'!$B$234="Да",IF(OR('06_Сеть_и_дети'!I99=0,19&lt;='01_Вводные'!$B$297),0,'06_Сеть_и_дети'!I99*IF('01_Вводные'!$B$239="Да",MeanMinAge19+'19_Расчет_аналитики'!I4607*SUMIF(ThresholdAge19,"&lt;"&amp;'19_Расчет_аналитики'!I4607,WeightedRevAge19)-SUMIF(ThresholdAge19,"&lt;"&amp;'19_Расчет_аналитики'!I4607,WeightedMinAge19),MAX(CapacityAge19*'01_Вводные'!$B$218*'19_Расчет_аналитики'!I4607,MeanMinAge19))),0)</f>
        <v/>
      </c>
      <c r="J4530">
        <f>IF('01_Вводные'!$B$234="Да",IF(OR('06_Сеть_и_дети'!J99=0,19&lt;='01_Вводные'!$B$297),0,'06_Сеть_и_дети'!J99*IF('01_Вводные'!$B$239="Да",MeanMinAge19+'19_Расчет_аналитики'!J4607*SUMIF(ThresholdAge19,"&lt;"&amp;'19_Расчет_аналитики'!J4607,WeightedRevAge19)-SUMIF(ThresholdAge19,"&lt;"&amp;'19_Расчет_аналитики'!J4607,WeightedMinAge19),MAX(CapacityAge19*'01_Вводные'!$B$218*'19_Расчет_аналитики'!J4607,MeanMinAge19))),0)</f>
        <v/>
      </c>
      <c r="K4530">
        <f>IF('01_Вводные'!$B$234="Да",IF(OR('06_Сеть_и_дети'!K99=0,19&lt;='01_Вводные'!$B$297),0,'06_Сеть_и_дети'!K99*IF('01_Вводные'!$B$239="Да",MeanMinAge19+'19_Расчет_аналитики'!K4607*SUMIF(ThresholdAge19,"&lt;"&amp;'19_Расчет_аналитики'!K4607,WeightedRevAge19)-SUMIF(ThresholdAge19,"&lt;"&amp;'19_Расчет_аналитики'!K4607,WeightedMinAge19),MAX(CapacityAge19*'01_Вводные'!$B$218*'19_Расчет_аналитики'!K4607,MeanMinAge19))),0)</f>
        <v/>
      </c>
      <c r="L4530">
        <f>IF('01_Вводные'!$B$234="Да",IF(OR('06_Сеть_и_дети'!L99=0,19&lt;='01_Вводные'!$B$297),0,'06_Сеть_и_дети'!L99*IF('01_Вводные'!$B$239="Да",MeanMinAge19+'19_Расчет_аналитики'!L4607*SUMIF(ThresholdAge19,"&lt;"&amp;'19_Расчет_аналитики'!L4607,WeightedRevAge19)-SUMIF(ThresholdAge19,"&lt;"&amp;'19_Расчет_аналитики'!L4607,WeightedMinAge19),MAX(CapacityAge19*'01_Вводные'!$B$218*'19_Расчет_аналитики'!L4607,MeanMinAge19))),0)</f>
        <v/>
      </c>
      <c r="M4530">
        <f>IF('01_Вводные'!$B$234="Да",IF(OR('06_Сеть_и_дети'!M99=0,19&lt;='01_Вводные'!$B$297),0,'06_Сеть_и_дети'!M99*IF('01_Вводные'!$B$239="Да",MeanMinAge19+'19_Расчет_аналитики'!M4607*SUMIF(ThresholdAge19,"&lt;"&amp;'19_Расчет_аналитики'!M4607,WeightedRevAge19)-SUMIF(ThresholdAge19,"&lt;"&amp;'19_Расчет_аналитики'!M4607,WeightedMinAge19),MAX(CapacityAge19*'01_Вводные'!$B$218*'19_Расчет_аналитики'!M4607,MeanMinAge19))),0)</f>
        <v/>
      </c>
      <c r="N4530">
        <f>IF('01_Вводные'!$B$234="Да",IF(OR('06_Сеть_и_дети'!N99=0,19&lt;='01_Вводные'!$B$297),0,'06_Сеть_и_дети'!N99*IF('01_Вводные'!$B$239="Да",MeanMinAge19+'19_Расчет_аналитики'!N4607*SUMIF(ThresholdAge19,"&lt;"&amp;'19_Расчет_аналитики'!N4607,WeightedRevAge19)-SUMIF(ThresholdAge19,"&lt;"&amp;'19_Расчет_аналитики'!N4607,WeightedMinAge19),MAX(CapacityAge19*'01_Вводные'!$B$218*'19_Расчет_аналитики'!N4607,MeanMinAge19))),0)</f>
        <v/>
      </c>
      <c r="O4530">
        <f>IF('01_Вводные'!$B$234="Да",IF(OR('06_Сеть_и_дети'!O99=0,19&lt;='01_Вводные'!$B$297),0,'06_Сеть_и_дети'!O99*IF('01_Вводные'!$B$239="Да",MeanMinAge19+'19_Расчет_аналитики'!O4607*SUMIF(ThresholdAge19,"&lt;"&amp;'19_Расчет_аналитики'!O4607,WeightedRevAge19)-SUMIF(ThresholdAge19,"&lt;"&amp;'19_Расчет_аналитики'!O4607,WeightedMinAge19),MAX(CapacityAge19*'01_Вводные'!$B$218*'19_Расчет_аналитики'!O4607,MeanMinAge19))),0)</f>
        <v/>
      </c>
      <c r="P4530">
        <f>IF('01_Вводные'!$B$234="Да",IF(OR('06_Сеть_и_дети'!P99=0,19&lt;='01_Вводные'!$B$297),0,'06_Сеть_и_дети'!P99*IF('01_Вводные'!$B$239="Да",MeanMinAge19+'19_Расчет_аналитики'!P4607*SUMIF(ThresholdAge19,"&lt;"&amp;'19_Расчет_аналитики'!P4607,WeightedRevAge19)-SUMIF(ThresholdAge19,"&lt;"&amp;'19_Расчет_аналитики'!P4607,WeightedMinAge19),MAX(CapacityAge19*'01_Вводные'!$B$218*'19_Расчет_аналитики'!P4607,MeanMinAge19))),0)</f>
        <v/>
      </c>
      <c r="Q4530">
        <f>IF('01_Вводные'!$B$234="Да",IF(OR('06_Сеть_и_дети'!Q99=0,19&lt;='01_Вводные'!$B$297),0,'06_Сеть_и_дети'!Q99*IF('01_Вводные'!$B$239="Да",MeanMinAge19+'19_Расчет_аналитики'!Q4607*SUMIF(ThresholdAge19,"&lt;"&amp;'19_Расчет_аналитики'!Q4607,WeightedRevAge19)-SUMIF(ThresholdAge19,"&lt;"&amp;'19_Расчет_аналитики'!Q4607,WeightedMinAge19),MAX(CapacityAge19*'01_Вводные'!$B$218*'19_Расчет_аналитики'!Q4607,MeanMinAge19))),0)</f>
        <v/>
      </c>
      <c r="R4530">
        <f>IF('01_Вводные'!$B$234="Да",IF(OR('06_Сеть_и_дети'!R99=0,19&lt;='01_Вводные'!$B$297),0,'06_Сеть_и_дети'!R99*IF('01_Вводные'!$B$239="Да",MeanMinAge19+'19_Расчет_аналитики'!R4607*SUMIF(ThresholdAge19,"&lt;"&amp;'19_Расчет_аналитики'!R4607,WeightedRevAge19)-SUMIF(ThresholdAge19,"&lt;"&amp;'19_Расчет_аналитики'!R4607,WeightedMinAge19),MAX(CapacityAge19*'01_Вводные'!$B$218*'19_Расчет_аналитики'!R4607,MeanMinAge19))),0)</f>
        <v/>
      </c>
      <c r="S4530">
        <f>IF('01_Вводные'!$B$234="Да",IF(OR('06_Сеть_и_дети'!S99=0,19&lt;='01_Вводные'!$B$297),0,'06_Сеть_и_дети'!S99*IF('01_Вводные'!$B$239="Да",MeanMinAge19+'19_Расчет_аналитики'!S4607*SUMIF(ThresholdAge19,"&lt;"&amp;'19_Расчет_аналитики'!S4607,WeightedRevAge19)-SUMIF(ThresholdAge19,"&lt;"&amp;'19_Расчет_аналитики'!S4607,WeightedMinAge19),MAX(CapacityAge19*'01_Вводные'!$B$218*'19_Расчет_аналитики'!S4607,MeanMinAge19))),0)</f>
        <v/>
      </c>
      <c r="T4530">
        <f>IF('01_Вводные'!$B$234="Да",IF(OR('19_Расчет_аналитики'!T4502=0,19&lt;='01_Вводные'!$B$297),0,'19_Расчет_аналитики'!T4502*IF('01_Вводные'!$B$239="Да",MeanMinAge19+'19_Расчет_аналитики'!T4607*SUMIF(ThresholdAge19,"&lt;"&amp;'19_Расчет_аналитики'!T4607,WeightedRevAge19)-SUMIF(ThresholdAge19,"&lt;"&amp;'19_Расчет_аналитики'!T4607,WeightedMinAge19),MAX(CapacityAge19*'01_Вводные'!$B$218*'19_Расчет_аналитики'!T4607,MeanMinAge19))),0)</f>
        <v/>
      </c>
      <c r="U4530">
        <f>IF('01_Вводные'!$B$234="Да",IF(OR('19_Расчет_аналитики'!U4502=0,19&lt;='01_Вводные'!$B$297),0,'19_Расчет_аналитики'!U4502*IF('01_Вводные'!$B$239="Да",MeanMinAge19+'19_Расчет_аналитики'!U4607*SUMIF(ThresholdAge19,"&lt;"&amp;'19_Расчет_аналитики'!U4607,WeightedRevAge19)-SUMIF(ThresholdAge19,"&lt;"&amp;'19_Расчет_аналитики'!U4607,WeightedMinAge19),MAX(CapacityAge19*'01_Вводные'!$B$218*'19_Расчет_аналитики'!U4607,MeanMinAge19))),0)</f>
        <v/>
      </c>
      <c r="V4530">
        <f>IF('01_Вводные'!$B$234="Да",IF(OR('19_Расчет_аналитики'!V4502=0,19&lt;='01_Вводные'!$B$297),0,'19_Расчет_аналитики'!V4502*IF('01_Вводные'!$B$239="Да",MeanMinAge19+'19_Расчет_аналитики'!V4607*SUMIF(ThresholdAge19,"&lt;"&amp;'19_Расчет_аналитики'!V4607,WeightedRevAge19)-SUMIF(ThresholdAge19,"&lt;"&amp;'19_Расчет_аналитики'!V4607,WeightedMinAge19),MAX(CapacityAge19*'01_Вводные'!$B$218*'19_Расчет_аналитики'!V4607,MeanMinAge19))),0)</f>
        <v/>
      </c>
      <c r="W4530">
        <f>IF('01_Вводные'!$B$234="Да",IF(OR('19_Расчет_аналитики'!W4502=0,19&lt;='01_Вводные'!$B$297),0,'19_Расчет_аналитики'!W4502*IF('01_Вводные'!$B$239="Да",MeanMinAge19+'19_Расчет_аналитики'!W4607*SUMIF(ThresholdAge19,"&lt;"&amp;'19_Расчет_аналитики'!W4607,WeightedRevAge19)-SUMIF(ThresholdAge19,"&lt;"&amp;'19_Расчет_аналитики'!W4607,WeightedMinAge19),MAX(CapacityAge19*'01_Вводные'!$B$218*'19_Расчет_аналитики'!W4607,MeanMinAge19))),0)</f>
        <v/>
      </c>
      <c r="X4530">
        <f>IF('01_Вводные'!$B$234="Да",IF(OR('19_Расчет_аналитики'!X4502=0,19&lt;='01_Вводные'!$B$297),0,'19_Расчет_аналитики'!X4502*IF('01_Вводные'!$B$239="Да",MeanMinAge19+'19_Расчет_аналитики'!X4607*SUMIF(ThresholdAge19,"&lt;"&amp;'19_Расчет_аналитики'!X4607,WeightedRevAge19)-SUMIF(ThresholdAge19,"&lt;"&amp;'19_Расчет_аналитики'!X4607,WeightedMinAge19),MAX(CapacityAge19*'01_Вводные'!$B$218*'19_Расчет_аналитики'!X4607,MeanMinAge19))),0)</f>
        <v/>
      </c>
      <c r="Y4530">
        <f>IF('01_Вводные'!$B$234="Да",IF(OR('19_Расчет_аналитики'!Y4502=0,19&lt;='01_Вводные'!$B$297),0,'19_Расчет_аналитики'!Y4502*IF('01_Вводные'!$B$239="Да",MeanMinAge19+'19_Расчет_аналитики'!Y4607*SUMIF(ThresholdAge19,"&lt;"&amp;'19_Расчет_аналитики'!Y4607,WeightedRevAge19)-SUMIF(ThresholdAge19,"&lt;"&amp;'19_Расчет_аналитики'!Y4607,WeightedMinAge19),MAX(CapacityAge19*'01_Вводные'!$B$218*'19_Расчет_аналитики'!Y4607,MeanMinAge19))),0)</f>
        <v/>
      </c>
      <c r="Z4530">
        <f>IF('01_Вводные'!$B$234="Да",IF(OR('19_Расчет_аналитики'!Z4502=0,19&lt;='01_Вводные'!$B$297),0,'19_Расчет_аналитики'!Z4502*IF('01_Вводные'!$B$239="Да",MeanMinAge19+'19_Расчет_аналитики'!Z4607*SUMIF(ThresholdAge19,"&lt;"&amp;'19_Расчет_аналитики'!Z4607,WeightedRevAge19)-SUMIF(ThresholdAge19,"&lt;"&amp;'19_Расчет_аналитики'!Z4607,WeightedMinAge19),MAX(CapacityAge19*'01_Вводные'!$B$218*'19_Расчет_аналитики'!Z4607,MeanMinAge19))),0)</f>
        <v/>
      </c>
      <c r="AA4530">
        <f>IF('01_Вводные'!$B$234="Да",IF(OR('19_Расчет_аналитики'!AA4502=0,19&lt;='01_Вводные'!$B$297),0,'19_Расчет_аналитики'!AA4502*IF('01_Вводные'!$B$239="Да",MeanMinAge19+'19_Расчет_аналитики'!AA4607*SUMIF(ThresholdAge19,"&lt;"&amp;'19_Расчет_аналитики'!AA4607,WeightedRevAge19)-SUMIF(ThresholdAge19,"&lt;"&amp;'19_Расчет_аналитики'!AA4607,WeightedMinAge19),MAX(CapacityAge19*'01_Вводные'!$B$218*'19_Расчет_аналитики'!AA4607,MeanMinAge19))),0)</f>
        <v/>
      </c>
      <c r="AB4530">
        <f>IF('01_Вводные'!$B$234="Да",IF(OR('19_Расчет_аналитики'!AB4502=0,19&lt;='01_Вводные'!$B$297),0,'19_Расчет_аналитики'!AB4502*IF('01_Вводные'!$B$239="Да",MeanMinAge19+'19_Расчет_аналитики'!AB4607*SUMIF(ThresholdAge19,"&lt;"&amp;'19_Расчет_аналитики'!AB4607,WeightedRevAge19)-SUMIF(ThresholdAge19,"&lt;"&amp;'19_Расчет_аналитики'!AB4607,WeightedMinAge19),MAX(CapacityAge19*'01_Вводные'!$B$218*'19_Расчет_аналитики'!AB4607,MeanMinAge19))),0)</f>
        <v/>
      </c>
      <c r="AC4530">
        <f>IF('01_Вводные'!$B$234="Да",IF(OR('19_Расчет_аналитики'!AC4502=0,19&lt;='01_Вводные'!$B$297),0,'19_Расчет_аналитики'!AC4502*IF('01_Вводные'!$B$239="Да",MeanMinAge19+'19_Расчет_аналитики'!AC4607*SUMIF(ThresholdAge19,"&lt;"&amp;'19_Расчет_аналитики'!AC4607,WeightedRevAge19)-SUMIF(ThresholdAge19,"&lt;"&amp;'19_Расчет_аналитики'!AC4607,WeightedMinAge19),MAX(CapacityAge19*'01_Вводные'!$B$218*'19_Расчет_аналитики'!AC4607,MeanMinAge19))),0)</f>
        <v/>
      </c>
      <c r="AD4530">
        <f>IF('01_Вводные'!$B$234="Да",IF(OR('19_Расчет_аналитики'!AD4502=0,19&lt;='01_Вводные'!$B$297),0,'19_Расчет_аналитики'!AD4502*IF('01_Вводные'!$B$239="Да",MeanMinAge19+'19_Расчет_аналитики'!AD4607*SUMIF(ThresholdAge19,"&lt;"&amp;'19_Расчет_аналитики'!AD4607,WeightedRevAge19)-SUMIF(ThresholdAge19,"&lt;"&amp;'19_Расчет_аналитики'!AD4607,WeightedMinAge19),MAX(CapacityAge19*'01_Вводные'!$B$218*'19_Расчет_аналитики'!AD4607,MeanMinAge19))),0)</f>
        <v/>
      </c>
      <c r="AE4530">
        <f>IF('01_Вводные'!$B$234="Да",IF(OR('19_Расчет_аналитики'!AE4502=0,19&lt;='01_Вводные'!$B$297),0,'19_Расчет_аналитики'!AE4502*IF('01_Вводные'!$B$239="Да",MeanMinAge19+'19_Расчет_аналитики'!AE4607*SUMIF(ThresholdAge19,"&lt;"&amp;'19_Расчет_аналитики'!AE4607,WeightedRevAge19)-SUMIF(ThresholdAge19,"&lt;"&amp;'19_Расчет_аналитики'!AE4607,WeightedMinAge19),MAX(CapacityAge19*'01_Вводные'!$B$218*'19_Расчет_аналитики'!AE4607,MeanMinAge19))),0)</f>
        <v/>
      </c>
      <c r="AF4530">
        <f>IF('01_Вводные'!$B$234="Да",IF(OR('19_Расчет_аналитики'!AF4502=0,19&lt;='01_Вводные'!$B$297),0,'19_Расчет_аналитики'!AF4502*IF('01_Вводные'!$B$239="Да",MeanMinAge19+'19_Расчет_аналитики'!AF4607*SUMIF(ThresholdAge19,"&lt;"&amp;'19_Расчет_аналитики'!AF4607,WeightedRevAge19)-SUMIF(ThresholdAge19,"&lt;"&amp;'19_Расчет_аналитики'!AF4607,WeightedMinAge19),MAX(CapacityAge19*'01_Вводные'!$B$218*'19_Расчет_аналитики'!AF4607,MeanMinAge19))),0)</f>
        <v/>
      </c>
      <c r="AG4530">
        <f>IF('01_Вводные'!$B$234="Да",IF(OR('19_Расчет_аналитики'!AG4502=0,19&lt;='01_Вводные'!$B$297),0,'19_Расчет_аналитики'!AG4502*IF('01_Вводные'!$B$239="Да",MeanMinAge19+'19_Расчет_аналитики'!AG4607*SUMIF(ThresholdAge19,"&lt;"&amp;'19_Расчет_аналитики'!AG4607,WeightedRevAge19)-SUMIF(ThresholdAge19,"&lt;"&amp;'19_Расчет_аналитики'!AG4607,WeightedMinAge19),MAX(CapacityAge19*'01_Вводные'!$B$218*'19_Расчет_аналитики'!AG4607,MeanMinAge19))),0)</f>
        <v/>
      </c>
      <c r="AH4530">
        <f>IF('01_Вводные'!$B$234="Да",IF(OR('19_Расчет_аналитики'!AH4502=0,19&lt;='01_Вводные'!$B$297),0,'19_Расчет_аналитики'!AH4502*IF('01_Вводные'!$B$239="Да",MeanMinAge19+'19_Расчет_аналитики'!AH4607*SUMIF(ThresholdAge19,"&lt;"&amp;'19_Расчет_аналитики'!AH4607,WeightedRevAge19)-SUMIF(ThresholdAge19,"&lt;"&amp;'19_Расчет_аналитики'!AH4607,WeightedMinAge19),MAX(CapacityAge19*'01_Вводные'!$B$218*'19_Расчет_аналитики'!AH4607,MeanMinAge19))),0)</f>
        <v/>
      </c>
      <c r="AI4530">
        <f>IF('01_Вводные'!$B$234="Да",IF(OR('19_Расчет_аналитики'!AI4502=0,19&lt;='01_Вводные'!$B$297),0,'19_Расчет_аналитики'!AI4502*IF('01_Вводные'!$B$239="Да",MeanMinAge19+'19_Расчет_аналитики'!AI4607*SUMIF(ThresholdAge19,"&lt;"&amp;'19_Расчет_аналитики'!AI4607,WeightedRevAge19)-SUMIF(ThresholdAge19,"&lt;"&amp;'19_Расчет_аналитики'!AI4607,WeightedMinAge19),MAX(CapacityAge19*'01_Вводные'!$B$218*'19_Расчет_аналитики'!AI4607,MeanMinAge19))),0)</f>
        <v/>
      </c>
      <c r="AJ4530">
        <f>IF('01_Вводные'!$B$234="Да",IF(OR('19_Расчет_аналитики'!AJ4502=0,19&lt;='01_Вводные'!$B$297),0,'19_Расчет_аналитики'!AJ4502*IF('01_Вводные'!$B$239="Да",MeanMinAge19+'19_Расчет_аналитики'!AJ4607*SUMIF(ThresholdAge19,"&lt;"&amp;'19_Расчет_аналитики'!AJ4607,WeightedRevAge19)-SUMIF(ThresholdAge19,"&lt;"&amp;'19_Расчет_аналитики'!AJ4607,WeightedMinAge19),MAX(CapacityAge19*'01_Вводные'!$B$218*'19_Расчет_аналитики'!AJ4607,MeanMinAge19))),0)</f>
        <v/>
      </c>
      <c r="AK4530">
        <f>IF('01_Вводные'!$B$234="Да",IF(OR('19_Расчет_аналитики'!AK4502=0,19&lt;='01_Вводные'!$B$297),0,'19_Расчет_аналитики'!AK4502*IF('01_Вводные'!$B$239="Да",MeanMinAge19+'19_Расчет_аналитики'!AK4607*SUMIF(ThresholdAge19,"&lt;"&amp;'19_Расчет_аналитики'!AK4607,WeightedRevAge19)-SUMIF(ThresholdAge19,"&lt;"&amp;'19_Расчет_аналитики'!AK4607,WeightedMinAge19),MAX(CapacityAge19*'01_Вводные'!$B$218*'19_Расчет_аналитики'!AK4607,MeanMinAge19))),0)</f>
        <v/>
      </c>
      <c r="AL4530">
        <f>IF('01_Вводные'!$B$234="Да",IF(OR('19_Расчет_аналитики'!AL4502=0,19&lt;='01_Вводные'!$B$297),0,'19_Расчет_аналитики'!AL4502*IF('01_Вводные'!$B$239="Да",MeanMinAge19+'19_Расчет_аналитики'!AL4607*SUMIF(ThresholdAge19,"&lt;"&amp;'19_Расчет_аналитики'!AL4607,WeightedRevAge19)-SUMIF(ThresholdAge19,"&lt;"&amp;'19_Расчет_аналитики'!AL4607,WeightedMinAge19),MAX(CapacityAge19*'01_Вводные'!$B$218*'19_Расчет_аналитики'!AL4607,MeanMinAge19))),0)</f>
        <v/>
      </c>
      <c r="AM4530">
        <f>IF('01_Вводные'!$B$234="Да",IF(OR('19_Расчет_аналитики'!AM4502=0,19&lt;='01_Вводные'!$B$297),0,'19_Расчет_аналитики'!AM4502*IF('01_Вводные'!$B$239="Да",MeanMinAge19+'19_Расчет_аналитики'!AM4607*SUMIF(ThresholdAge19,"&lt;"&amp;'19_Расчет_аналитики'!AM4607,WeightedRevAge19)-SUMIF(ThresholdAge19,"&lt;"&amp;'19_Расчет_аналитики'!AM4607,WeightedMinAge19),MAX(CapacityAge19*'01_Вводные'!$B$218*'19_Расчет_аналитики'!AM4607,MeanMinAge19))),0)</f>
        <v/>
      </c>
      <c r="AN4530">
        <f>IF('01_Вводные'!$B$234="Да",IF(OR('19_Расчет_аналитики'!AN4502=0,19&lt;='01_Вводные'!$B$297),0,'19_Расчет_аналитики'!AN4502*IF('01_Вводные'!$B$239="Да",MeanMinAge19+'19_Расчет_аналитики'!AN4607*SUMIF(ThresholdAge19,"&lt;"&amp;'19_Расчет_аналитики'!AN4607,WeightedRevAge19)-SUMIF(ThresholdAge19,"&lt;"&amp;'19_Расчет_аналитики'!AN4607,WeightedMinAge19),MAX(CapacityAge19*'01_Вводные'!$B$218*'19_Расчет_аналитики'!AN4607,MeanMinAge19))),0)</f>
        <v/>
      </c>
      <c r="AO4530">
        <f>IF('01_Вводные'!$B$234="Да",IF(OR('19_Расчет_аналитики'!AO4502=0,19&lt;='01_Вводные'!$B$297),0,'19_Расчет_аналитики'!AO4502*IF('01_Вводные'!$B$239="Да",MeanMinAge19+'19_Расчет_аналитики'!AO4607*SUMIF(ThresholdAge19,"&lt;"&amp;'19_Расчет_аналитики'!AO4607,WeightedRevAge19)-SUMIF(ThresholdAge19,"&lt;"&amp;'19_Расчет_аналитики'!AO4607,WeightedMinAge19),MAX(CapacityAge19*'01_Вводные'!$B$218*'19_Расчет_аналитики'!AO4607,MeanMinAge19))),0)</f>
        <v/>
      </c>
      <c r="AP4530">
        <f>IF('01_Вводные'!$B$234="Да",IF(OR('19_Расчет_аналитики'!AP4502=0,19&lt;='01_Вводные'!$B$297),0,'19_Расчет_аналитики'!AP4502*IF('01_Вводные'!$B$239="Да",MeanMinAge19+'19_Расчет_аналитики'!AP4607*SUMIF(ThresholdAge19,"&lt;"&amp;'19_Расчет_аналитики'!AP4607,WeightedRevAge19)-SUMIF(ThresholdAge19,"&lt;"&amp;'19_Расчет_аналитики'!AP4607,WeightedMinAge19),MAX(CapacityAge19*'01_Вводные'!$B$218*'19_Расчет_аналитики'!AP4607,MeanMinAge19))),0)</f>
        <v/>
      </c>
      <c r="AQ4530">
        <f>IF('01_Вводные'!$B$234="Да",IF(OR('19_Расчет_аналитики'!AQ4502=0,19&lt;='01_Вводные'!$B$297),0,'19_Расчет_аналитики'!AQ4502*IF('01_Вводные'!$B$239="Да",MeanMinAge19+'19_Расчет_аналитики'!AQ4607*SUMIF(ThresholdAge19,"&lt;"&amp;'19_Расчет_аналитики'!AQ4607,WeightedRevAge19)-SUMIF(ThresholdAge19,"&lt;"&amp;'19_Расчет_аналитики'!AQ4607,WeightedMinAge19),MAX(CapacityAge19*'01_Вводные'!$B$218*'19_Расчет_аналитики'!AQ4607,MeanMinAge19))),0)</f>
        <v/>
      </c>
      <c r="AR4530">
        <f>IF('01_Вводные'!$B$234="Да",IF(OR('19_Расчет_аналитики'!AR4502=0,19&lt;='01_Вводные'!$B$297),0,'19_Расчет_аналитики'!AR4502*IF('01_Вводные'!$B$239="Да",MeanMinAge19+'19_Расчет_аналитики'!AR4607*SUMIF(ThresholdAge19,"&lt;"&amp;'19_Расчет_аналитики'!AR4607,WeightedRevAge19)-SUMIF(ThresholdAge19,"&lt;"&amp;'19_Расчет_аналитики'!AR4607,WeightedMinAge19),MAX(CapacityAge19*'01_Вводные'!$B$218*'19_Расчет_аналитики'!AR4607,MeanMinAge19))),0)</f>
        <v/>
      </c>
      <c r="AS4530">
        <f>IF('01_Вводные'!$B$234="Да",IF(OR('19_Расчет_аналитики'!AS4502=0,19&lt;='01_Вводные'!$B$297),0,'19_Расчет_аналитики'!AS4502*IF('01_Вводные'!$B$239="Да",MeanMinAge19+'19_Расчет_аналитики'!AS4607*SUMIF(ThresholdAge19,"&lt;"&amp;'19_Расчет_аналитики'!AS4607,WeightedRevAge19)-SUMIF(ThresholdAge19,"&lt;"&amp;'19_Расчет_аналитики'!AS4607,WeightedMinAge19),MAX(CapacityAge19*'01_Вводные'!$B$218*'19_Расчет_аналитики'!AS4607,MeanMinAge19))),0)</f>
        <v/>
      </c>
      <c r="AT4530">
        <f>IF('01_Вводные'!$B$234="Да",IF(OR('19_Расчет_аналитики'!AT4502=0,19&lt;='01_Вводные'!$B$297),0,'19_Расчет_аналитики'!AT4502*IF('01_Вводные'!$B$239="Да",MeanMinAge19+'19_Расчет_аналитики'!AT4607*SUMIF(ThresholdAge19,"&lt;"&amp;'19_Расчет_аналитики'!AT4607,WeightedRevAge19)-SUMIF(ThresholdAge19,"&lt;"&amp;'19_Расчет_аналитики'!AT4607,WeightedMinAge19),MAX(CapacityAge19*'01_Вводные'!$B$218*'19_Расчет_аналитики'!AT4607,MeanMinAge19))),0)</f>
        <v/>
      </c>
      <c r="AU4530">
        <f>IF('01_Вводные'!$B$234="Да",IF(OR('19_Расчет_аналитики'!AU4502=0,19&lt;='01_Вводные'!$B$297),0,'19_Расчет_аналитики'!AU4502*IF('01_Вводные'!$B$239="Да",MeanMinAge19+'19_Расчет_аналитики'!AU4607*SUMIF(ThresholdAge19,"&lt;"&amp;'19_Расчет_аналитики'!AU4607,WeightedRevAge19)-SUMIF(ThresholdAge19,"&lt;"&amp;'19_Расчет_аналитики'!AU4607,WeightedMinAge19),MAX(CapacityAge19*'01_Вводные'!$B$218*'19_Расчет_аналитики'!AU4607,MeanMinAge19))),0)</f>
        <v/>
      </c>
      <c r="AV4530">
        <f>IF('01_Вводные'!$B$234="Да",IF(OR('19_Расчет_аналитики'!AV4502=0,19&lt;='01_Вводные'!$B$297),0,'19_Расчет_аналитики'!AV4502*IF('01_Вводные'!$B$239="Да",MeanMinAge19+'19_Расчет_аналитики'!AV4607*SUMIF(ThresholdAge19,"&lt;"&amp;'19_Расчет_аналитики'!AV4607,WeightedRevAge19)-SUMIF(ThresholdAge19,"&lt;"&amp;'19_Расчет_аналитики'!AV4607,WeightedMinAge19),MAX(CapacityAge19*'01_Вводные'!$B$218*'19_Расчет_аналитики'!AV4607,MeanMinAge19))),0)</f>
        <v/>
      </c>
      <c r="AW4530">
        <f>IF('01_Вводные'!$B$234="Да",IF(OR('19_Расчет_аналитики'!AW4502=0,19&lt;='01_Вводные'!$B$297),0,'19_Расчет_аналитики'!AW4502*IF('01_Вводные'!$B$239="Да",MeanMinAge19+'19_Расчет_аналитики'!AW4607*SUMIF(ThresholdAge19,"&lt;"&amp;'19_Расчет_аналитики'!AW4607,WeightedRevAge19)-SUMIF(ThresholdAge19,"&lt;"&amp;'19_Расчет_аналитики'!AW4607,WeightedMinAge19),MAX(CapacityAge19*'01_Вводные'!$B$218*'19_Расчет_аналитики'!AW4607,MeanMinAge19))),0)</f>
        <v/>
      </c>
      <c r="AX4530">
        <f>IF('01_Вводные'!$B$234="Да",IF(OR('19_Расчет_аналитики'!AX4502=0,19&lt;='01_Вводные'!$B$297),0,'19_Расчет_аналитики'!AX4502*IF('01_Вводные'!$B$239="Да",MeanMinAge19+'19_Расчет_аналитики'!AX4607*SUMIF(ThresholdAge19,"&lt;"&amp;'19_Расчет_аналитики'!AX4607,WeightedRevAge19)-SUMIF(ThresholdAge19,"&lt;"&amp;'19_Расчет_аналитики'!AX4607,WeightedMinAge19),MAX(CapacityAge19*'01_Вводные'!$B$218*'19_Расчет_аналитики'!AX4607,MeanMinAge19))),0)</f>
        <v/>
      </c>
      <c r="AY4530">
        <f>IF('01_Вводные'!$B$234="Да",IF(OR('19_Расчет_аналитики'!AY4502=0,19&lt;='01_Вводные'!$B$297),0,'19_Расчет_аналитики'!AY4502*IF('01_Вводные'!$B$239="Да",MeanMinAge19+'19_Расчет_аналитики'!AY4607*SUMIF(ThresholdAge19,"&lt;"&amp;'19_Расчет_аналитики'!AY4607,WeightedRevAge19)-SUMIF(ThresholdAge19,"&lt;"&amp;'19_Расчет_аналитики'!AY4607,WeightedMinAge19),MAX(CapacityAge19*'01_Вводные'!$B$218*'19_Расчет_аналитики'!AY4607,MeanMinAge19))),0)</f>
        <v/>
      </c>
      <c r="AZ4530">
        <f>IF('01_Вводные'!$B$234="Да",IF(OR('19_Расчет_аналитики'!AZ4502=0,19&lt;='01_Вводные'!$B$297),0,'19_Расчет_аналитики'!AZ4502*IF('01_Вводные'!$B$239="Да",MeanMinAge19+'19_Расчет_аналитики'!AZ4607*SUMIF(ThresholdAge19,"&lt;"&amp;'19_Расчет_аналитики'!AZ4607,WeightedRevAge19)-SUMIF(ThresholdAge19,"&lt;"&amp;'19_Расчет_аналитики'!AZ4607,WeightedMinAge19),MAX(CapacityAge19*'01_Вводные'!$B$218*'19_Расчет_аналитики'!AZ4607,MeanMinAge19))),0)</f>
        <v/>
      </c>
      <c r="BA4530">
        <f>IF('01_Вводные'!$B$234="Да",IF(OR('19_Расчет_аналитики'!BA4502=0,19&lt;='01_Вводные'!$B$297),0,'19_Расчет_аналитики'!BA4502*IF('01_Вводные'!$B$239="Да",MeanMinAge19+'19_Расчет_аналитики'!BA4607*SUMIF(ThresholdAge19,"&lt;"&amp;'19_Расчет_аналитики'!BA4607,WeightedRevAge19)-SUMIF(ThresholdAge19,"&lt;"&amp;'19_Расчет_аналитики'!BA4607,WeightedMinAge19),MAX(CapacityAge19*'01_Вводные'!$B$218*'19_Расчет_аналитики'!BA4607,MeanMinAge19))),0)</f>
        <v/>
      </c>
      <c r="BB4530">
        <f>IF('01_Вводные'!$B$234="Да",IF(OR('19_Расчет_аналитики'!BB4502=0,19&lt;='01_Вводные'!$B$297),0,'19_Расчет_аналитики'!BB4502*IF('01_Вводные'!$B$239="Да",MeanMinAge19+'19_Расчет_аналитики'!BB4607*SUMIF(ThresholdAge19,"&lt;"&amp;'19_Расчет_аналитики'!BB4607,WeightedRevAge19)-SUMIF(ThresholdAge19,"&lt;"&amp;'19_Расчет_аналитики'!BB4607,WeightedMinAge19),MAX(CapacityAge19*'01_Вводные'!$B$218*'19_Расчет_аналитики'!BB4607,MeanMinAge19))),0)</f>
        <v/>
      </c>
      <c r="BC4530">
        <f>IF('01_Вводные'!$B$234="Да",IF(OR('19_Расчет_аналитики'!BC4502=0,19&lt;='01_Вводные'!$B$297),0,'19_Расчет_аналитики'!BC4502*IF('01_Вводные'!$B$239="Да",MeanMinAge19+'19_Расчет_аналитики'!BC4607*SUMIF(ThresholdAge19,"&lt;"&amp;'19_Расчет_аналитики'!BC4607,WeightedRevAge19)-SUMIF(ThresholdAge19,"&lt;"&amp;'19_Расчет_аналитики'!BC4607,WeightedMinAge19),MAX(CapacityAge19*'01_Вводные'!$B$218*'19_Расчет_аналитики'!BC4607,MeanMinAge19))),0)</f>
        <v/>
      </c>
      <c r="BD4530">
        <f>IF('01_Вводные'!$B$234="Да",IF(OR('19_Расчет_аналитики'!BD4502=0,19&lt;='01_Вводные'!$B$297),0,'19_Расчет_аналитики'!BD4502*IF('01_Вводные'!$B$239="Да",MeanMinAge19+'19_Расчет_аналитики'!BD4607*SUMIF(ThresholdAge19,"&lt;"&amp;'19_Расчет_аналитики'!BD4607,WeightedRevAge19)-SUMIF(ThresholdAge19,"&lt;"&amp;'19_Расчет_аналитики'!BD4607,WeightedMinAge19),MAX(CapacityAge19*'01_Вводные'!$B$218*'19_Расчет_аналитики'!BD4607,MeanMinAge19))),0)</f>
        <v/>
      </c>
      <c r="BE4530">
        <f>IF('01_Вводные'!$B$234="Да",IF(OR('19_Расчет_аналитики'!BE4502=0,19&lt;='01_Вводные'!$B$297),0,'19_Расчет_аналитики'!BE4502*IF('01_Вводные'!$B$239="Да",MeanMinAge19+'19_Расчет_аналитики'!BE4607*SUMIF(ThresholdAge19,"&lt;"&amp;'19_Расчет_аналитики'!BE4607,WeightedRevAge19)-SUMIF(ThresholdAge19,"&lt;"&amp;'19_Расчет_аналитики'!BE4607,WeightedMinAge19),MAX(CapacityAge19*'01_Вводные'!$B$218*'19_Расчет_аналитики'!BE4607,MeanMinAge19))),0)</f>
        <v/>
      </c>
      <c r="BF4530">
        <f>IF('01_Вводные'!$B$234="Да",IF(OR('19_Расчет_аналитики'!BF4502=0,19&lt;='01_Вводные'!$B$297),0,'19_Расчет_аналитики'!BF4502*IF('01_Вводные'!$B$239="Да",MeanMinAge19+'19_Расчет_аналитики'!BF4607*SUMIF(ThresholdAge19,"&lt;"&amp;'19_Расчет_аналитики'!BF4607,WeightedRevAge19)-SUMIF(ThresholdAge19,"&lt;"&amp;'19_Расчет_аналитики'!BF4607,WeightedMinAge19),MAX(CapacityAge19*'01_Вводные'!$B$218*'19_Расчет_аналитики'!BF4607,MeanMinAge19))),0)</f>
        <v/>
      </c>
      <c r="BG4530">
        <f>IF('01_Вводные'!$B$234="Да",IF(OR('19_Расчет_аналитики'!BG4502=0,19&lt;='01_Вводные'!$B$297),0,'19_Расчет_аналитики'!BG4502*IF('01_Вводные'!$B$239="Да",MeanMinAge19+'19_Расчет_аналитики'!BG4607*SUMIF(ThresholdAge19,"&lt;"&amp;'19_Расчет_аналитики'!BG4607,WeightedRevAge19)-SUMIF(ThresholdAge19,"&lt;"&amp;'19_Расчет_аналитики'!BG4607,WeightedMinAge19),MAX(CapacityAge19*'01_Вводные'!$B$218*'19_Расчет_аналитики'!BG4607,MeanMinAge19))),0)</f>
        <v/>
      </c>
      <c r="BH4530">
        <f>IF('01_Вводные'!$B$234="Да",IF(OR('19_Расчет_аналитики'!BH4502=0,19&lt;='01_Вводные'!$B$297),0,'19_Расчет_аналитики'!BH4502*IF('01_Вводные'!$B$239="Да",MeanMinAge19+'19_Расчет_аналитики'!BH4607*SUMIF(ThresholdAge19,"&lt;"&amp;'19_Расчет_аналитики'!BH4607,WeightedRevAge19)-SUMIF(ThresholdAge19,"&lt;"&amp;'19_Расчет_аналитики'!BH4607,WeightedMinAge19),MAX(CapacityAge19*'01_Вводные'!$B$218*'19_Расчет_аналитики'!BH4607,MeanMinAge19))),0)</f>
        <v/>
      </c>
      <c r="BI4530">
        <f>IF('01_Вводные'!$B$234="Да",IF(OR('19_Расчет_аналитики'!BI4502=0,19&lt;='01_Вводные'!$B$297),0,'19_Расчет_аналитики'!BI4502*IF('01_Вводные'!$B$239="Да",MeanMinAge19+'19_Расчет_аналитики'!BI4607*SUMIF(ThresholdAge19,"&lt;"&amp;'19_Расчет_аналитики'!BI4607,WeightedRevAge19)-SUMIF(ThresholdAge19,"&lt;"&amp;'19_Расчет_аналитики'!BI4607,WeightedMinAge19),MAX(CapacityAge19*'01_Вводные'!$B$218*'19_Расчет_аналитики'!BI4607,MeanMinAge19))),0)</f>
        <v/>
      </c>
      <c r="BJ4530">
        <f>IF('01_Вводные'!$B$234="Да",IF(OR('19_Расчет_аналитики'!BJ4502=0,19&lt;='01_Вводные'!$B$297),0,'19_Расчет_аналитики'!BJ4502*IF('01_Вводные'!$B$239="Да",MeanMinAge19+'19_Расчет_аналитики'!BJ4607*SUMIF(ThresholdAge19,"&lt;"&amp;'19_Расчет_аналитики'!BJ4607,WeightedRevAge19)-SUMIF(ThresholdAge19,"&lt;"&amp;'19_Расчет_аналитики'!BJ4607,WeightedMinAge19),MAX(CapacityAge19*'01_Вводные'!$B$218*'19_Расчет_аналитики'!BJ4607,MeanMinAge19))),0)</f>
        <v/>
      </c>
      <c r="BK4530">
        <f>IF('01_Вводные'!$B$234="Да",IF(OR('19_Расчет_аналитики'!BK4502=0,19&lt;='01_Вводные'!$B$297),0,'19_Расчет_аналитики'!BK4502*IF('01_Вводные'!$B$239="Да",MeanMinAge19+'19_Расчет_аналитики'!BK4607*SUMIF(ThresholdAge19,"&lt;"&amp;'19_Расчет_аналитики'!BK4607,WeightedRevAge19)-SUMIF(ThresholdAge19,"&lt;"&amp;'19_Расчет_аналитики'!BK4607,WeightedMinAge19),MAX(CapacityAge19*'01_Вводные'!$B$218*'19_Расчет_аналитики'!BK4607,MeanMinAge19))),0)</f>
        <v/>
      </c>
      <c r="BL4530">
        <f>IF('01_Вводные'!$B$234="Да",IF(OR('19_Расчет_аналитики'!BL4502=0,19&lt;='01_Вводные'!$B$297),0,'19_Расчет_аналитики'!BL4502*IF('01_Вводные'!$B$239="Да",MeanMinAge19+'19_Расчет_аналитики'!BL4607*SUMIF(ThresholdAge19,"&lt;"&amp;'19_Расчет_аналитики'!BL4607,WeightedRevAge19)-SUMIF(ThresholdAge19,"&lt;"&amp;'19_Расчет_аналитики'!BL4607,WeightedMinAge19),MAX(CapacityAge19*'01_Вводные'!$B$218*'19_Расчет_аналитики'!BL4607,MeanMinAge19))),0)</f>
        <v/>
      </c>
      <c r="BM4530">
        <f>IF('01_Вводные'!$B$234="Да",IF(OR('19_Расчет_аналитики'!BM4502=0,19&lt;='01_Вводные'!$B$297),0,'19_Расчет_аналитики'!BM4502*IF('01_Вводные'!$B$239="Да",MeanMinAge19+'19_Расчет_аналитики'!BM4607*SUMIF(ThresholdAge19,"&lt;"&amp;'19_Расчет_аналитики'!BM4607,WeightedRevAge19)-SUMIF(ThresholdAge19,"&lt;"&amp;'19_Расчет_аналитики'!BM4607,WeightedMinAge19),MAX(CapacityAge19*'01_Вводные'!$B$218*'19_Расчет_аналитики'!BM4607,MeanMinAge19))),0)</f>
        <v/>
      </c>
      <c r="BN4530">
        <f>IF('01_Вводные'!$B$234="Да",IF(OR('19_Расчет_аналитики'!BN4502=0,19&lt;='01_Вводные'!$B$297),0,'19_Расчет_аналитики'!BN4502*IF('01_Вводные'!$B$239="Да",MeanMinAge19+'19_Расчет_аналитики'!BN4607*SUMIF(ThresholdAge19,"&lt;"&amp;'19_Расчет_аналитики'!BN4607,WeightedRevAge19)-SUMIF(ThresholdAge19,"&lt;"&amp;'19_Расчет_аналитики'!BN4607,WeightedMinAge19),MAX(CapacityAge19*'01_Вводные'!$B$218*'19_Расчет_аналитики'!BN4607,MeanMinAge19))),0)</f>
        <v/>
      </c>
      <c r="BO4530">
        <f>IF('01_Вводные'!$B$234="Да",IF(OR('19_Расчет_аналитики'!BO4502=0,19&lt;='01_Вводные'!$B$297),0,'19_Расчет_аналитики'!BO4502*IF('01_Вводные'!$B$239="Да",MeanMinAge19+'19_Расчет_аналитики'!BO4607*SUMIF(ThresholdAge19,"&lt;"&amp;'19_Расчет_аналитики'!BO4607,WeightedRevAge19)-SUMIF(ThresholdAge19,"&lt;"&amp;'19_Расчет_аналитики'!BO4607,WeightedMinAge19),MAX(CapacityAge19*'01_Вводные'!$B$218*'19_Расчет_аналитики'!BO4607,MeanMinAge19))),0)</f>
        <v/>
      </c>
    </row>
    <row r="4531">
      <c r="B4531">
        <f>IF('01_Вводные'!$B$234="Да",IF(OR('06_Сеть_и_дети'!B100=0,20&lt;='01_Вводные'!$B$297),0,'06_Сеть_и_дети'!B100*IF('01_Вводные'!$B$239="Да",MeanMinAge20+'19_Расчет_аналитики'!B4607*SUMIF(ThresholdAge20,"&lt;"&amp;'19_Расчет_аналитики'!B4607,WeightedRevAge20)-SUMIF(ThresholdAge20,"&lt;"&amp;'19_Расчет_аналитики'!B4607,WeightedMinAge20),MAX(CapacityAge20*'01_Вводные'!$B$218*'19_Расчет_аналитики'!B4607,MeanMinAge20))),0)</f>
        <v/>
      </c>
      <c r="C4531">
        <f>IF('01_Вводные'!$B$234="Да",IF(OR('06_Сеть_и_дети'!C100=0,20&lt;='01_Вводные'!$B$297),0,'06_Сеть_и_дети'!C100*IF('01_Вводные'!$B$239="Да",MeanMinAge20+'19_Расчет_аналитики'!C4607*SUMIF(ThresholdAge20,"&lt;"&amp;'19_Расчет_аналитики'!C4607,WeightedRevAge20)-SUMIF(ThresholdAge20,"&lt;"&amp;'19_Расчет_аналитики'!C4607,WeightedMinAge20),MAX(CapacityAge20*'01_Вводные'!$B$218*'19_Расчет_аналитики'!C4607,MeanMinAge20))),0)</f>
        <v/>
      </c>
      <c r="D4531">
        <f>IF('01_Вводные'!$B$234="Да",IF(OR('06_Сеть_и_дети'!D100=0,20&lt;='01_Вводные'!$B$297),0,'06_Сеть_и_дети'!D100*IF('01_Вводные'!$B$239="Да",MeanMinAge20+'19_Расчет_аналитики'!D4607*SUMIF(ThresholdAge20,"&lt;"&amp;'19_Расчет_аналитики'!D4607,WeightedRevAge20)-SUMIF(ThresholdAge20,"&lt;"&amp;'19_Расчет_аналитики'!D4607,WeightedMinAge20),MAX(CapacityAge20*'01_Вводные'!$B$218*'19_Расчет_аналитики'!D4607,MeanMinAge20))),0)</f>
        <v/>
      </c>
      <c r="E4531">
        <f>IF('01_Вводные'!$B$234="Да",IF(OR('06_Сеть_и_дети'!E100=0,20&lt;='01_Вводные'!$B$297),0,'06_Сеть_и_дети'!E100*IF('01_Вводные'!$B$239="Да",MeanMinAge20+'19_Расчет_аналитики'!E4607*SUMIF(ThresholdAge20,"&lt;"&amp;'19_Расчет_аналитики'!E4607,WeightedRevAge20)-SUMIF(ThresholdAge20,"&lt;"&amp;'19_Расчет_аналитики'!E4607,WeightedMinAge20),MAX(CapacityAge20*'01_Вводные'!$B$218*'19_Расчет_аналитики'!E4607,MeanMinAge20))),0)</f>
        <v/>
      </c>
      <c r="F4531">
        <f>IF('01_Вводные'!$B$234="Да",IF(OR('06_Сеть_и_дети'!F100=0,20&lt;='01_Вводные'!$B$297),0,'06_Сеть_и_дети'!F100*IF('01_Вводные'!$B$239="Да",MeanMinAge20+'19_Расчет_аналитики'!F4607*SUMIF(ThresholdAge20,"&lt;"&amp;'19_Расчет_аналитики'!F4607,WeightedRevAge20)-SUMIF(ThresholdAge20,"&lt;"&amp;'19_Расчет_аналитики'!F4607,WeightedMinAge20),MAX(CapacityAge20*'01_Вводные'!$B$218*'19_Расчет_аналитики'!F4607,MeanMinAge20))),0)</f>
        <v/>
      </c>
      <c r="G4531">
        <f>IF('01_Вводные'!$B$234="Да",IF(OR('06_Сеть_и_дети'!G100=0,20&lt;='01_Вводные'!$B$297),0,'06_Сеть_и_дети'!G100*IF('01_Вводные'!$B$239="Да",MeanMinAge20+'19_Расчет_аналитики'!G4607*SUMIF(ThresholdAge20,"&lt;"&amp;'19_Расчет_аналитики'!G4607,WeightedRevAge20)-SUMIF(ThresholdAge20,"&lt;"&amp;'19_Расчет_аналитики'!G4607,WeightedMinAge20),MAX(CapacityAge20*'01_Вводные'!$B$218*'19_Расчет_аналитики'!G4607,MeanMinAge20))),0)</f>
        <v/>
      </c>
      <c r="H4531">
        <f>IF('01_Вводные'!$B$234="Да",IF(OR('06_Сеть_и_дети'!H100=0,20&lt;='01_Вводные'!$B$297),0,'06_Сеть_и_дети'!H100*IF('01_Вводные'!$B$239="Да",MeanMinAge20+'19_Расчет_аналитики'!H4607*SUMIF(ThresholdAge20,"&lt;"&amp;'19_Расчет_аналитики'!H4607,WeightedRevAge20)-SUMIF(ThresholdAge20,"&lt;"&amp;'19_Расчет_аналитики'!H4607,WeightedMinAge20),MAX(CapacityAge20*'01_Вводные'!$B$218*'19_Расчет_аналитики'!H4607,MeanMinAge20))),0)</f>
        <v/>
      </c>
      <c r="I4531">
        <f>IF('01_Вводные'!$B$234="Да",IF(OR('06_Сеть_и_дети'!I100=0,20&lt;='01_Вводные'!$B$297),0,'06_Сеть_и_дети'!I100*IF('01_Вводные'!$B$239="Да",MeanMinAge20+'19_Расчет_аналитики'!I4607*SUMIF(ThresholdAge20,"&lt;"&amp;'19_Расчет_аналитики'!I4607,WeightedRevAge20)-SUMIF(ThresholdAge20,"&lt;"&amp;'19_Расчет_аналитики'!I4607,WeightedMinAge20),MAX(CapacityAge20*'01_Вводные'!$B$218*'19_Расчет_аналитики'!I4607,MeanMinAge20))),0)</f>
        <v/>
      </c>
      <c r="J4531">
        <f>IF('01_Вводные'!$B$234="Да",IF(OR('06_Сеть_и_дети'!J100=0,20&lt;='01_Вводные'!$B$297),0,'06_Сеть_и_дети'!J100*IF('01_Вводные'!$B$239="Да",MeanMinAge20+'19_Расчет_аналитики'!J4607*SUMIF(ThresholdAge20,"&lt;"&amp;'19_Расчет_аналитики'!J4607,WeightedRevAge20)-SUMIF(ThresholdAge20,"&lt;"&amp;'19_Расчет_аналитики'!J4607,WeightedMinAge20),MAX(CapacityAge20*'01_Вводные'!$B$218*'19_Расчет_аналитики'!J4607,MeanMinAge20))),0)</f>
        <v/>
      </c>
      <c r="K4531">
        <f>IF('01_Вводные'!$B$234="Да",IF(OR('06_Сеть_и_дети'!K100=0,20&lt;='01_Вводные'!$B$297),0,'06_Сеть_и_дети'!K100*IF('01_Вводные'!$B$239="Да",MeanMinAge20+'19_Расчет_аналитики'!K4607*SUMIF(ThresholdAge20,"&lt;"&amp;'19_Расчет_аналитики'!K4607,WeightedRevAge20)-SUMIF(ThresholdAge20,"&lt;"&amp;'19_Расчет_аналитики'!K4607,WeightedMinAge20),MAX(CapacityAge20*'01_Вводные'!$B$218*'19_Расчет_аналитики'!K4607,MeanMinAge20))),0)</f>
        <v/>
      </c>
      <c r="L4531">
        <f>IF('01_Вводные'!$B$234="Да",IF(OR('06_Сеть_и_дети'!L100=0,20&lt;='01_Вводные'!$B$297),0,'06_Сеть_и_дети'!L100*IF('01_Вводные'!$B$239="Да",MeanMinAge20+'19_Расчет_аналитики'!L4607*SUMIF(ThresholdAge20,"&lt;"&amp;'19_Расчет_аналитики'!L4607,WeightedRevAge20)-SUMIF(ThresholdAge20,"&lt;"&amp;'19_Расчет_аналитики'!L4607,WeightedMinAge20),MAX(CapacityAge20*'01_Вводные'!$B$218*'19_Расчет_аналитики'!L4607,MeanMinAge20))),0)</f>
        <v/>
      </c>
      <c r="M4531">
        <f>IF('01_Вводные'!$B$234="Да",IF(OR('06_Сеть_и_дети'!M100=0,20&lt;='01_Вводные'!$B$297),0,'06_Сеть_и_дети'!M100*IF('01_Вводные'!$B$239="Да",MeanMinAge20+'19_Расчет_аналитики'!M4607*SUMIF(ThresholdAge20,"&lt;"&amp;'19_Расчет_аналитики'!M4607,WeightedRevAge20)-SUMIF(ThresholdAge20,"&lt;"&amp;'19_Расчет_аналитики'!M4607,WeightedMinAge20),MAX(CapacityAge20*'01_Вводные'!$B$218*'19_Расчет_аналитики'!M4607,MeanMinAge20))),0)</f>
        <v/>
      </c>
      <c r="N4531">
        <f>IF('01_Вводные'!$B$234="Да",IF(OR('06_Сеть_и_дети'!N100=0,20&lt;='01_Вводные'!$B$297),0,'06_Сеть_и_дети'!N100*IF('01_Вводные'!$B$239="Да",MeanMinAge20+'19_Расчет_аналитики'!N4607*SUMIF(ThresholdAge20,"&lt;"&amp;'19_Расчет_аналитики'!N4607,WeightedRevAge20)-SUMIF(ThresholdAge20,"&lt;"&amp;'19_Расчет_аналитики'!N4607,WeightedMinAge20),MAX(CapacityAge20*'01_Вводные'!$B$218*'19_Расчет_аналитики'!N4607,MeanMinAge20))),0)</f>
        <v/>
      </c>
      <c r="O4531">
        <f>IF('01_Вводные'!$B$234="Да",IF(OR('06_Сеть_и_дети'!O100=0,20&lt;='01_Вводные'!$B$297),0,'06_Сеть_и_дети'!O100*IF('01_Вводные'!$B$239="Да",MeanMinAge20+'19_Расчет_аналитики'!O4607*SUMIF(ThresholdAge20,"&lt;"&amp;'19_Расчет_аналитики'!O4607,WeightedRevAge20)-SUMIF(ThresholdAge20,"&lt;"&amp;'19_Расчет_аналитики'!O4607,WeightedMinAge20),MAX(CapacityAge20*'01_Вводные'!$B$218*'19_Расчет_аналитики'!O4607,MeanMinAge20))),0)</f>
        <v/>
      </c>
      <c r="P4531">
        <f>IF('01_Вводные'!$B$234="Да",IF(OR('06_Сеть_и_дети'!P100=0,20&lt;='01_Вводные'!$B$297),0,'06_Сеть_и_дети'!P100*IF('01_Вводные'!$B$239="Да",MeanMinAge20+'19_Расчет_аналитики'!P4607*SUMIF(ThresholdAge20,"&lt;"&amp;'19_Расчет_аналитики'!P4607,WeightedRevAge20)-SUMIF(ThresholdAge20,"&lt;"&amp;'19_Расчет_аналитики'!P4607,WeightedMinAge20),MAX(CapacityAge20*'01_Вводные'!$B$218*'19_Расчет_аналитики'!P4607,MeanMinAge20))),0)</f>
        <v/>
      </c>
      <c r="Q4531">
        <f>IF('01_Вводные'!$B$234="Да",IF(OR('06_Сеть_и_дети'!Q100=0,20&lt;='01_Вводные'!$B$297),0,'06_Сеть_и_дети'!Q100*IF('01_Вводные'!$B$239="Да",MeanMinAge20+'19_Расчет_аналитики'!Q4607*SUMIF(ThresholdAge20,"&lt;"&amp;'19_Расчет_аналитики'!Q4607,WeightedRevAge20)-SUMIF(ThresholdAge20,"&lt;"&amp;'19_Расчет_аналитики'!Q4607,WeightedMinAge20),MAX(CapacityAge20*'01_Вводные'!$B$218*'19_Расчет_аналитики'!Q4607,MeanMinAge20))),0)</f>
        <v/>
      </c>
      <c r="R4531">
        <f>IF('01_Вводные'!$B$234="Да",IF(OR('06_Сеть_и_дети'!R100=0,20&lt;='01_Вводные'!$B$297),0,'06_Сеть_и_дети'!R100*IF('01_Вводные'!$B$239="Да",MeanMinAge20+'19_Расчет_аналитики'!R4607*SUMIF(ThresholdAge20,"&lt;"&amp;'19_Расчет_аналитики'!R4607,WeightedRevAge20)-SUMIF(ThresholdAge20,"&lt;"&amp;'19_Расчет_аналитики'!R4607,WeightedMinAge20),MAX(CapacityAge20*'01_Вводные'!$B$218*'19_Расчет_аналитики'!R4607,MeanMinAge20))),0)</f>
        <v/>
      </c>
      <c r="S4531">
        <f>IF('01_Вводные'!$B$234="Да",IF(OR('06_Сеть_и_дети'!S100=0,20&lt;='01_Вводные'!$B$297),0,'06_Сеть_и_дети'!S100*IF('01_Вводные'!$B$239="Да",MeanMinAge20+'19_Расчет_аналитики'!S4607*SUMIF(ThresholdAge20,"&lt;"&amp;'19_Расчет_аналитики'!S4607,WeightedRevAge20)-SUMIF(ThresholdAge20,"&lt;"&amp;'19_Расчет_аналитики'!S4607,WeightedMinAge20),MAX(CapacityAge20*'01_Вводные'!$B$218*'19_Расчет_аналитики'!S4607,MeanMinAge20))),0)</f>
        <v/>
      </c>
      <c r="T4531">
        <f>IF('01_Вводные'!$B$234="Да",IF(OR('06_Сеть_и_дети'!T100=0,20&lt;='01_Вводные'!$B$297),0,'06_Сеть_и_дети'!T100*IF('01_Вводные'!$B$239="Да",MeanMinAge20+'19_Расчет_аналитики'!T4607*SUMIF(ThresholdAge20,"&lt;"&amp;'19_Расчет_аналитики'!T4607,WeightedRevAge20)-SUMIF(ThresholdAge20,"&lt;"&amp;'19_Расчет_аналитики'!T4607,WeightedMinAge20),MAX(CapacityAge20*'01_Вводные'!$B$218*'19_Расчет_аналитики'!T4607,MeanMinAge20))),0)</f>
        <v/>
      </c>
      <c r="U4531">
        <f>IF('01_Вводные'!$B$234="Да",IF(OR('19_Расчет_аналитики'!U4503=0,20&lt;='01_Вводные'!$B$297),0,'19_Расчет_аналитики'!U4503*IF('01_Вводные'!$B$239="Да",MeanMinAge20+'19_Расчет_аналитики'!U4607*SUMIF(ThresholdAge20,"&lt;"&amp;'19_Расчет_аналитики'!U4607,WeightedRevAge20)-SUMIF(ThresholdAge20,"&lt;"&amp;'19_Расчет_аналитики'!U4607,WeightedMinAge20),MAX(CapacityAge20*'01_Вводные'!$B$218*'19_Расчет_аналитики'!U4607,MeanMinAge20))),0)</f>
        <v/>
      </c>
      <c r="V4531">
        <f>IF('01_Вводные'!$B$234="Да",IF(OR('19_Расчет_аналитики'!V4503=0,20&lt;='01_Вводные'!$B$297),0,'19_Расчет_аналитики'!V4503*IF('01_Вводные'!$B$239="Да",MeanMinAge20+'19_Расчет_аналитики'!V4607*SUMIF(ThresholdAge20,"&lt;"&amp;'19_Расчет_аналитики'!V4607,WeightedRevAge20)-SUMIF(ThresholdAge20,"&lt;"&amp;'19_Расчет_аналитики'!V4607,WeightedMinAge20),MAX(CapacityAge20*'01_Вводные'!$B$218*'19_Расчет_аналитики'!V4607,MeanMinAge20))),0)</f>
        <v/>
      </c>
      <c r="W4531">
        <f>IF('01_Вводные'!$B$234="Да",IF(OR('19_Расчет_аналитики'!W4503=0,20&lt;='01_Вводные'!$B$297),0,'19_Расчет_аналитики'!W4503*IF('01_Вводные'!$B$239="Да",MeanMinAge20+'19_Расчет_аналитики'!W4607*SUMIF(ThresholdAge20,"&lt;"&amp;'19_Расчет_аналитики'!W4607,WeightedRevAge20)-SUMIF(ThresholdAge20,"&lt;"&amp;'19_Расчет_аналитики'!W4607,WeightedMinAge20),MAX(CapacityAge20*'01_Вводные'!$B$218*'19_Расчет_аналитики'!W4607,MeanMinAge20))),0)</f>
        <v/>
      </c>
      <c r="X4531">
        <f>IF('01_Вводные'!$B$234="Да",IF(OR('19_Расчет_аналитики'!X4503=0,20&lt;='01_Вводные'!$B$297),0,'19_Расчет_аналитики'!X4503*IF('01_Вводные'!$B$239="Да",MeanMinAge20+'19_Расчет_аналитики'!X4607*SUMIF(ThresholdAge20,"&lt;"&amp;'19_Расчет_аналитики'!X4607,WeightedRevAge20)-SUMIF(ThresholdAge20,"&lt;"&amp;'19_Расчет_аналитики'!X4607,WeightedMinAge20),MAX(CapacityAge20*'01_Вводные'!$B$218*'19_Расчет_аналитики'!X4607,MeanMinAge20))),0)</f>
        <v/>
      </c>
      <c r="Y4531">
        <f>IF('01_Вводные'!$B$234="Да",IF(OR('19_Расчет_аналитики'!Y4503=0,20&lt;='01_Вводные'!$B$297),0,'19_Расчет_аналитики'!Y4503*IF('01_Вводные'!$B$239="Да",MeanMinAge20+'19_Расчет_аналитики'!Y4607*SUMIF(ThresholdAge20,"&lt;"&amp;'19_Расчет_аналитики'!Y4607,WeightedRevAge20)-SUMIF(ThresholdAge20,"&lt;"&amp;'19_Расчет_аналитики'!Y4607,WeightedMinAge20),MAX(CapacityAge20*'01_Вводные'!$B$218*'19_Расчет_аналитики'!Y4607,MeanMinAge20))),0)</f>
        <v/>
      </c>
      <c r="Z4531">
        <f>IF('01_Вводные'!$B$234="Да",IF(OR('19_Расчет_аналитики'!Z4503=0,20&lt;='01_Вводные'!$B$297),0,'19_Расчет_аналитики'!Z4503*IF('01_Вводные'!$B$239="Да",MeanMinAge20+'19_Расчет_аналитики'!Z4607*SUMIF(ThresholdAge20,"&lt;"&amp;'19_Расчет_аналитики'!Z4607,WeightedRevAge20)-SUMIF(ThresholdAge20,"&lt;"&amp;'19_Расчет_аналитики'!Z4607,WeightedMinAge20),MAX(CapacityAge20*'01_Вводные'!$B$218*'19_Расчет_аналитики'!Z4607,MeanMinAge20))),0)</f>
        <v/>
      </c>
      <c r="AA4531">
        <f>IF('01_Вводные'!$B$234="Да",IF(OR('19_Расчет_аналитики'!AA4503=0,20&lt;='01_Вводные'!$B$297),0,'19_Расчет_аналитики'!AA4503*IF('01_Вводные'!$B$239="Да",MeanMinAge20+'19_Расчет_аналитики'!AA4607*SUMIF(ThresholdAge20,"&lt;"&amp;'19_Расчет_аналитики'!AA4607,WeightedRevAge20)-SUMIF(ThresholdAge20,"&lt;"&amp;'19_Расчет_аналитики'!AA4607,WeightedMinAge20),MAX(CapacityAge20*'01_Вводные'!$B$218*'19_Расчет_аналитики'!AA4607,MeanMinAge20))),0)</f>
        <v/>
      </c>
      <c r="AB4531">
        <f>IF('01_Вводные'!$B$234="Да",IF(OR('19_Расчет_аналитики'!AB4503=0,20&lt;='01_Вводные'!$B$297),0,'19_Расчет_аналитики'!AB4503*IF('01_Вводные'!$B$239="Да",MeanMinAge20+'19_Расчет_аналитики'!AB4607*SUMIF(ThresholdAge20,"&lt;"&amp;'19_Расчет_аналитики'!AB4607,WeightedRevAge20)-SUMIF(ThresholdAge20,"&lt;"&amp;'19_Расчет_аналитики'!AB4607,WeightedMinAge20),MAX(CapacityAge20*'01_Вводные'!$B$218*'19_Расчет_аналитики'!AB4607,MeanMinAge20))),0)</f>
        <v/>
      </c>
      <c r="AC4531">
        <f>IF('01_Вводные'!$B$234="Да",IF(OR('19_Расчет_аналитики'!AC4503=0,20&lt;='01_Вводные'!$B$297),0,'19_Расчет_аналитики'!AC4503*IF('01_Вводные'!$B$239="Да",MeanMinAge20+'19_Расчет_аналитики'!AC4607*SUMIF(ThresholdAge20,"&lt;"&amp;'19_Расчет_аналитики'!AC4607,WeightedRevAge20)-SUMIF(ThresholdAge20,"&lt;"&amp;'19_Расчет_аналитики'!AC4607,WeightedMinAge20),MAX(CapacityAge20*'01_Вводные'!$B$218*'19_Расчет_аналитики'!AC4607,MeanMinAge20))),0)</f>
        <v/>
      </c>
      <c r="AD4531">
        <f>IF('01_Вводные'!$B$234="Да",IF(OR('19_Расчет_аналитики'!AD4503=0,20&lt;='01_Вводные'!$B$297),0,'19_Расчет_аналитики'!AD4503*IF('01_Вводные'!$B$239="Да",MeanMinAge20+'19_Расчет_аналитики'!AD4607*SUMIF(ThresholdAge20,"&lt;"&amp;'19_Расчет_аналитики'!AD4607,WeightedRevAge20)-SUMIF(ThresholdAge20,"&lt;"&amp;'19_Расчет_аналитики'!AD4607,WeightedMinAge20),MAX(CapacityAge20*'01_Вводные'!$B$218*'19_Расчет_аналитики'!AD4607,MeanMinAge20))),0)</f>
        <v/>
      </c>
      <c r="AE4531">
        <f>IF('01_Вводные'!$B$234="Да",IF(OR('19_Расчет_аналитики'!AE4503=0,20&lt;='01_Вводные'!$B$297),0,'19_Расчет_аналитики'!AE4503*IF('01_Вводные'!$B$239="Да",MeanMinAge20+'19_Расчет_аналитики'!AE4607*SUMIF(ThresholdAge20,"&lt;"&amp;'19_Расчет_аналитики'!AE4607,WeightedRevAge20)-SUMIF(ThresholdAge20,"&lt;"&amp;'19_Расчет_аналитики'!AE4607,WeightedMinAge20),MAX(CapacityAge20*'01_Вводные'!$B$218*'19_Расчет_аналитики'!AE4607,MeanMinAge20))),0)</f>
        <v/>
      </c>
      <c r="AF4531">
        <f>IF('01_Вводные'!$B$234="Да",IF(OR('19_Расчет_аналитики'!AF4503=0,20&lt;='01_Вводные'!$B$297),0,'19_Расчет_аналитики'!AF4503*IF('01_Вводные'!$B$239="Да",MeanMinAge20+'19_Расчет_аналитики'!AF4607*SUMIF(ThresholdAge20,"&lt;"&amp;'19_Расчет_аналитики'!AF4607,WeightedRevAge20)-SUMIF(ThresholdAge20,"&lt;"&amp;'19_Расчет_аналитики'!AF4607,WeightedMinAge20),MAX(CapacityAge20*'01_Вводные'!$B$218*'19_Расчет_аналитики'!AF4607,MeanMinAge20))),0)</f>
        <v/>
      </c>
      <c r="AG4531">
        <f>IF('01_Вводные'!$B$234="Да",IF(OR('19_Расчет_аналитики'!AG4503=0,20&lt;='01_Вводные'!$B$297),0,'19_Расчет_аналитики'!AG4503*IF('01_Вводные'!$B$239="Да",MeanMinAge20+'19_Расчет_аналитики'!AG4607*SUMIF(ThresholdAge20,"&lt;"&amp;'19_Расчет_аналитики'!AG4607,WeightedRevAge20)-SUMIF(ThresholdAge20,"&lt;"&amp;'19_Расчет_аналитики'!AG4607,WeightedMinAge20),MAX(CapacityAge20*'01_Вводные'!$B$218*'19_Расчет_аналитики'!AG4607,MeanMinAge20))),0)</f>
        <v/>
      </c>
      <c r="AH4531">
        <f>IF('01_Вводные'!$B$234="Да",IF(OR('19_Расчет_аналитики'!AH4503=0,20&lt;='01_Вводные'!$B$297),0,'19_Расчет_аналитики'!AH4503*IF('01_Вводные'!$B$239="Да",MeanMinAge20+'19_Расчет_аналитики'!AH4607*SUMIF(ThresholdAge20,"&lt;"&amp;'19_Расчет_аналитики'!AH4607,WeightedRevAge20)-SUMIF(ThresholdAge20,"&lt;"&amp;'19_Расчет_аналитики'!AH4607,WeightedMinAge20),MAX(CapacityAge20*'01_Вводные'!$B$218*'19_Расчет_аналитики'!AH4607,MeanMinAge20))),0)</f>
        <v/>
      </c>
      <c r="AI4531">
        <f>IF('01_Вводные'!$B$234="Да",IF(OR('19_Расчет_аналитики'!AI4503=0,20&lt;='01_Вводные'!$B$297),0,'19_Расчет_аналитики'!AI4503*IF('01_Вводные'!$B$239="Да",MeanMinAge20+'19_Расчет_аналитики'!AI4607*SUMIF(ThresholdAge20,"&lt;"&amp;'19_Расчет_аналитики'!AI4607,WeightedRevAge20)-SUMIF(ThresholdAge20,"&lt;"&amp;'19_Расчет_аналитики'!AI4607,WeightedMinAge20),MAX(CapacityAge20*'01_Вводные'!$B$218*'19_Расчет_аналитики'!AI4607,MeanMinAge20))),0)</f>
        <v/>
      </c>
      <c r="AJ4531">
        <f>IF('01_Вводные'!$B$234="Да",IF(OR('19_Расчет_аналитики'!AJ4503=0,20&lt;='01_Вводные'!$B$297),0,'19_Расчет_аналитики'!AJ4503*IF('01_Вводные'!$B$239="Да",MeanMinAge20+'19_Расчет_аналитики'!AJ4607*SUMIF(ThresholdAge20,"&lt;"&amp;'19_Расчет_аналитики'!AJ4607,WeightedRevAge20)-SUMIF(ThresholdAge20,"&lt;"&amp;'19_Расчет_аналитики'!AJ4607,WeightedMinAge20),MAX(CapacityAge20*'01_Вводные'!$B$218*'19_Расчет_аналитики'!AJ4607,MeanMinAge20))),0)</f>
        <v/>
      </c>
      <c r="AK4531">
        <f>IF('01_Вводные'!$B$234="Да",IF(OR('19_Расчет_аналитики'!AK4503=0,20&lt;='01_Вводные'!$B$297),0,'19_Расчет_аналитики'!AK4503*IF('01_Вводные'!$B$239="Да",MeanMinAge20+'19_Расчет_аналитики'!AK4607*SUMIF(ThresholdAge20,"&lt;"&amp;'19_Расчет_аналитики'!AK4607,WeightedRevAge20)-SUMIF(ThresholdAge20,"&lt;"&amp;'19_Расчет_аналитики'!AK4607,WeightedMinAge20),MAX(CapacityAge20*'01_Вводные'!$B$218*'19_Расчет_аналитики'!AK4607,MeanMinAge20))),0)</f>
        <v/>
      </c>
      <c r="AL4531">
        <f>IF('01_Вводные'!$B$234="Да",IF(OR('19_Расчет_аналитики'!AL4503=0,20&lt;='01_Вводные'!$B$297),0,'19_Расчет_аналитики'!AL4503*IF('01_Вводные'!$B$239="Да",MeanMinAge20+'19_Расчет_аналитики'!AL4607*SUMIF(ThresholdAge20,"&lt;"&amp;'19_Расчет_аналитики'!AL4607,WeightedRevAge20)-SUMIF(ThresholdAge20,"&lt;"&amp;'19_Расчет_аналитики'!AL4607,WeightedMinAge20),MAX(CapacityAge20*'01_Вводные'!$B$218*'19_Расчет_аналитики'!AL4607,MeanMinAge20))),0)</f>
        <v/>
      </c>
      <c r="AM4531">
        <f>IF('01_Вводные'!$B$234="Да",IF(OR('19_Расчет_аналитики'!AM4503=0,20&lt;='01_Вводные'!$B$297),0,'19_Расчет_аналитики'!AM4503*IF('01_Вводные'!$B$239="Да",MeanMinAge20+'19_Расчет_аналитики'!AM4607*SUMIF(ThresholdAge20,"&lt;"&amp;'19_Расчет_аналитики'!AM4607,WeightedRevAge20)-SUMIF(ThresholdAge20,"&lt;"&amp;'19_Расчет_аналитики'!AM4607,WeightedMinAge20),MAX(CapacityAge20*'01_Вводные'!$B$218*'19_Расчет_аналитики'!AM4607,MeanMinAge20))),0)</f>
        <v/>
      </c>
      <c r="AN4531">
        <f>IF('01_Вводные'!$B$234="Да",IF(OR('19_Расчет_аналитики'!AN4503=0,20&lt;='01_Вводные'!$B$297),0,'19_Расчет_аналитики'!AN4503*IF('01_Вводные'!$B$239="Да",MeanMinAge20+'19_Расчет_аналитики'!AN4607*SUMIF(ThresholdAge20,"&lt;"&amp;'19_Расчет_аналитики'!AN4607,WeightedRevAge20)-SUMIF(ThresholdAge20,"&lt;"&amp;'19_Расчет_аналитики'!AN4607,WeightedMinAge20),MAX(CapacityAge20*'01_Вводные'!$B$218*'19_Расчет_аналитики'!AN4607,MeanMinAge20))),0)</f>
        <v/>
      </c>
      <c r="AO4531">
        <f>IF('01_Вводные'!$B$234="Да",IF(OR('19_Расчет_аналитики'!AO4503=0,20&lt;='01_Вводные'!$B$297),0,'19_Расчет_аналитики'!AO4503*IF('01_Вводные'!$B$239="Да",MeanMinAge20+'19_Расчет_аналитики'!AO4607*SUMIF(ThresholdAge20,"&lt;"&amp;'19_Расчет_аналитики'!AO4607,WeightedRevAge20)-SUMIF(ThresholdAge20,"&lt;"&amp;'19_Расчет_аналитики'!AO4607,WeightedMinAge20),MAX(CapacityAge20*'01_Вводные'!$B$218*'19_Расчет_аналитики'!AO4607,MeanMinAge20))),0)</f>
        <v/>
      </c>
      <c r="AP4531">
        <f>IF('01_Вводные'!$B$234="Да",IF(OR('19_Расчет_аналитики'!AP4503=0,20&lt;='01_Вводные'!$B$297),0,'19_Расчет_аналитики'!AP4503*IF('01_Вводные'!$B$239="Да",MeanMinAge20+'19_Расчет_аналитики'!AP4607*SUMIF(ThresholdAge20,"&lt;"&amp;'19_Расчет_аналитики'!AP4607,WeightedRevAge20)-SUMIF(ThresholdAge20,"&lt;"&amp;'19_Расчет_аналитики'!AP4607,WeightedMinAge20),MAX(CapacityAge20*'01_Вводные'!$B$218*'19_Расчет_аналитики'!AP4607,MeanMinAge20))),0)</f>
        <v/>
      </c>
      <c r="AQ4531">
        <f>IF('01_Вводные'!$B$234="Да",IF(OR('19_Расчет_аналитики'!AQ4503=0,20&lt;='01_Вводные'!$B$297),0,'19_Расчет_аналитики'!AQ4503*IF('01_Вводные'!$B$239="Да",MeanMinAge20+'19_Расчет_аналитики'!AQ4607*SUMIF(ThresholdAge20,"&lt;"&amp;'19_Расчет_аналитики'!AQ4607,WeightedRevAge20)-SUMIF(ThresholdAge20,"&lt;"&amp;'19_Расчет_аналитики'!AQ4607,WeightedMinAge20),MAX(CapacityAge20*'01_Вводные'!$B$218*'19_Расчет_аналитики'!AQ4607,MeanMinAge20))),0)</f>
        <v/>
      </c>
      <c r="AR4531">
        <f>IF('01_Вводные'!$B$234="Да",IF(OR('19_Расчет_аналитики'!AR4503=0,20&lt;='01_Вводные'!$B$297),0,'19_Расчет_аналитики'!AR4503*IF('01_Вводные'!$B$239="Да",MeanMinAge20+'19_Расчет_аналитики'!AR4607*SUMIF(ThresholdAge20,"&lt;"&amp;'19_Расчет_аналитики'!AR4607,WeightedRevAge20)-SUMIF(ThresholdAge20,"&lt;"&amp;'19_Расчет_аналитики'!AR4607,WeightedMinAge20),MAX(CapacityAge20*'01_Вводные'!$B$218*'19_Расчет_аналитики'!AR4607,MeanMinAge20))),0)</f>
        <v/>
      </c>
      <c r="AS4531">
        <f>IF('01_Вводные'!$B$234="Да",IF(OR('19_Расчет_аналитики'!AS4503=0,20&lt;='01_Вводные'!$B$297),0,'19_Расчет_аналитики'!AS4503*IF('01_Вводные'!$B$239="Да",MeanMinAge20+'19_Расчет_аналитики'!AS4607*SUMIF(ThresholdAge20,"&lt;"&amp;'19_Расчет_аналитики'!AS4607,WeightedRevAge20)-SUMIF(ThresholdAge20,"&lt;"&amp;'19_Расчет_аналитики'!AS4607,WeightedMinAge20),MAX(CapacityAge20*'01_Вводные'!$B$218*'19_Расчет_аналитики'!AS4607,MeanMinAge20))),0)</f>
        <v/>
      </c>
      <c r="AT4531">
        <f>IF('01_Вводные'!$B$234="Да",IF(OR('19_Расчет_аналитики'!AT4503=0,20&lt;='01_Вводные'!$B$297),0,'19_Расчет_аналитики'!AT4503*IF('01_Вводные'!$B$239="Да",MeanMinAge20+'19_Расчет_аналитики'!AT4607*SUMIF(ThresholdAge20,"&lt;"&amp;'19_Расчет_аналитики'!AT4607,WeightedRevAge20)-SUMIF(ThresholdAge20,"&lt;"&amp;'19_Расчет_аналитики'!AT4607,WeightedMinAge20),MAX(CapacityAge20*'01_Вводные'!$B$218*'19_Расчет_аналитики'!AT4607,MeanMinAge20))),0)</f>
        <v/>
      </c>
      <c r="AU4531">
        <f>IF('01_Вводные'!$B$234="Да",IF(OR('19_Расчет_аналитики'!AU4503=0,20&lt;='01_Вводные'!$B$297),0,'19_Расчет_аналитики'!AU4503*IF('01_Вводные'!$B$239="Да",MeanMinAge20+'19_Расчет_аналитики'!AU4607*SUMIF(ThresholdAge20,"&lt;"&amp;'19_Расчет_аналитики'!AU4607,WeightedRevAge20)-SUMIF(ThresholdAge20,"&lt;"&amp;'19_Расчет_аналитики'!AU4607,WeightedMinAge20),MAX(CapacityAge20*'01_Вводные'!$B$218*'19_Расчет_аналитики'!AU4607,MeanMinAge20))),0)</f>
        <v/>
      </c>
      <c r="AV4531">
        <f>IF('01_Вводные'!$B$234="Да",IF(OR('19_Расчет_аналитики'!AV4503=0,20&lt;='01_Вводные'!$B$297),0,'19_Расчет_аналитики'!AV4503*IF('01_Вводные'!$B$239="Да",MeanMinAge20+'19_Расчет_аналитики'!AV4607*SUMIF(ThresholdAge20,"&lt;"&amp;'19_Расчет_аналитики'!AV4607,WeightedRevAge20)-SUMIF(ThresholdAge20,"&lt;"&amp;'19_Расчет_аналитики'!AV4607,WeightedMinAge20),MAX(CapacityAge20*'01_Вводные'!$B$218*'19_Расчет_аналитики'!AV4607,MeanMinAge20))),0)</f>
        <v/>
      </c>
      <c r="AW4531">
        <f>IF('01_Вводные'!$B$234="Да",IF(OR('19_Расчет_аналитики'!AW4503=0,20&lt;='01_Вводные'!$B$297),0,'19_Расчет_аналитики'!AW4503*IF('01_Вводные'!$B$239="Да",MeanMinAge20+'19_Расчет_аналитики'!AW4607*SUMIF(ThresholdAge20,"&lt;"&amp;'19_Расчет_аналитики'!AW4607,WeightedRevAge20)-SUMIF(ThresholdAge20,"&lt;"&amp;'19_Расчет_аналитики'!AW4607,WeightedMinAge20),MAX(CapacityAge20*'01_Вводные'!$B$218*'19_Расчет_аналитики'!AW4607,MeanMinAge20))),0)</f>
        <v/>
      </c>
      <c r="AX4531">
        <f>IF('01_Вводные'!$B$234="Да",IF(OR('19_Расчет_аналитики'!AX4503=0,20&lt;='01_Вводные'!$B$297),0,'19_Расчет_аналитики'!AX4503*IF('01_Вводные'!$B$239="Да",MeanMinAge20+'19_Расчет_аналитики'!AX4607*SUMIF(ThresholdAge20,"&lt;"&amp;'19_Расчет_аналитики'!AX4607,WeightedRevAge20)-SUMIF(ThresholdAge20,"&lt;"&amp;'19_Расчет_аналитики'!AX4607,WeightedMinAge20),MAX(CapacityAge20*'01_Вводные'!$B$218*'19_Расчет_аналитики'!AX4607,MeanMinAge20))),0)</f>
        <v/>
      </c>
      <c r="AY4531">
        <f>IF('01_Вводные'!$B$234="Да",IF(OR('19_Расчет_аналитики'!AY4503=0,20&lt;='01_Вводные'!$B$297),0,'19_Расчет_аналитики'!AY4503*IF('01_Вводные'!$B$239="Да",MeanMinAge20+'19_Расчет_аналитики'!AY4607*SUMIF(ThresholdAge20,"&lt;"&amp;'19_Расчет_аналитики'!AY4607,WeightedRevAge20)-SUMIF(ThresholdAge20,"&lt;"&amp;'19_Расчет_аналитики'!AY4607,WeightedMinAge20),MAX(CapacityAge20*'01_Вводные'!$B$218*'19_Расчет_аналитики'!AY4607,MeanMinAge20))),0)</f>
        <v/>
      </c>
      <c r="AZ4531">
        <f>IF('01_Вводные'!$B$234="Да",IF(OR('19_Расчет_аналитики'!AZ4503=0,20&lt;='01_Вводные'!$B$297),0,'19_Расчет_аналитики'!AZ4503*IF('01_Вводные'!$B$239="Да",MeanMinAge20+'19_Расчет_аналитики'!AZ4607*SUMIF(ThresholdAge20,"&lt;"&amp;'19_Расчет_аналитики'!AZ4607,WeightedRevAge20)-SUMIF(ThresholdAge20,"&lt;"&amp;'19_Расчет_аналитики'!AZ4607,WeightedMinAge20),MAX(CapacityAge20*'01_Вводные'!$B$218*'19_Расчет_аналитики'!AZ4607,MeanMinAge20))),0)</f>
        <v/>
      </c>
      <c r="BA4531">
        <f>IF('01_Вводные'!$B$234="Да",IF(OR('19_Расчет_аналитики'!BA4503=0,20&lt;='01_Вводные'!$B$297),0,'19_Расчет_аналитики'!BA4503*IF('01_Вводные'!$B$239="Да",MeanMinAge20+'19_Расчет_аналитики'!BA4607*SUMIF(ThresholdAge20,"&lt;"&amp;'19_Расчет_аналитики'!BA4607,WeightedRevAge20)-SUMIF(ThresholdAge20,"&lt;"&amp;'19_Расчет_аналитики'!BA4607,WeightedMinAge20),MAX(CapacityAge20*'01_Вводные'!$B$218*'19_Расчет_аналитики'!BA4607,MeanMinAge20))),0)</f>
        <v/>
      </c>
      <c r="BB4531">
        <f>IF('01_Вводные'!$B$234="Да",IF(OR('19_Расчет_аналитики'!BB4503=0,20&lt;='01_Вводные'!$B$297),0,'19_Расчет_аналитики'!BB4503*IF('01_Вводные'!$B$239="Да",MeanMinAge20+'19_Расчет_аналитики'!BB4607*SUMIF(ThresholdAge20,"&lt;"&amp;'19_Расчет_аналитики'!BB4607,WeightedRevAge20)-SUMIF(ThresholdAge20,"&lt;"&amp;'19_Расчет_аналитики'!BB4607,WeightedMinAge20),MAX(CapacityAge20*'01_Вводные'!$B$218*'19_Расчет_аналитики'!BB4607,MeanMinAge20))),0)</f>
        <v/>
      </c>
      <c r="BC4531">
        <f>IF('01_Вводные'!$B$234="Да",IF(OR('19_Расчет_аналитики'!BC4503=0,20&lt;='01_Вводные'!$B$297),0,'19_Расчет_аналитики'!BC4503*IF('01_Вводные'!$B$239="Да",MeanMinAge20+'19_Расчет_аналитики'!BC4607*SUMIF(ThresholdAge20,"&lt;"&amp;'19_Расчет_аналитики'!BC4607,WeightedRevAge20)-SUMIF(ThresholdAge20,"&lt;"&amp;'19_Расчет_аналитики'!BC4607,WeightedMinAge20),MAX(CapacityAge20*'01_Вводные'!$B$218*'19_Расчет_аналитики'!BC4607,MeanMinAge20))),0)</f>
        <v/>
      </c>
      <c r="BD4531">
        <f>IF('01_Вводные'!$B$234="Да",IF(OR('19_Расчет_аналитики'!BD4503=0,20&lt;='01_Вводные'!$B$297),0,'19_Расчет_аналитики'!BD4503*IF('01_Вводные'!$B$239="Да",MeanMinAge20+'19_Расчет_аналитики'!BD4607*SUMIF(ThresholdAge20,"&lt;"&amp;'19_Расчет_аналитики'!BD4607,WeightedRevAge20)-SUMIF(ThresholdAge20,"&lt;"&amp;'19_Расчет_аналитики'!BD4607,WeightedMinAge20),MAX(CapacityAge20*'01_Вводные'!$B$218*'19_Расчет_аналитики'!BD4607,MeanMinAge20))),0)</f>
        <v/>
      </c>
      <c r="BE4531">
        <f>IF('01_Вводные'!$B$234="Да",IF(OR('19_Расчет_аналитики'!BE4503=0,20&lt;='01_Вводные'!$B$297),0,'19_Расчет_аналитики'!BE4503*IF('01_Вводные'!$B$239="Да",MeanMinAge20+'19_Расчет_аналитики'!BE4607*SUMIF(ThresholdAge20,"&lt;"&amp;'19_Расчет_аналитики'!BE4607,WeightedRevAge20)-SUMIF(ThresholdAge20,"&lt;"&amp;'19_Расчет_аналитики'!BE4607,WeightedMinAge20),MAX(CapacityAge20*'01_Вводные'!$B$218*'19_Расчет_аналитики'!BE4607,MeanMinAge20))),0)</f>
        <v/>
      </c>
      <c r="BF4531">
        <f>IF('01_Вводные'!$B$234="Да",IF(OR('19_Расчет_аналитики'!BF4503=0,20&lt;='01_Вводные'!$B$297),0,'19_Расчет_аналитики'!BF4503*IF('01_Вводные'!$B$239="Да",MeanMinAge20+'19_Расчет_аналитики'!BF4607*SUMIF(ThresholdAge20,"&lt;"&amp;'19_Расчет_аналитики'!BF4607,WeightedRevAge20)-SUMIF(ThresholdAge20,"&lt;"&amp;'19_Расчет_аналитики'!BF4607,WeightedMinAge20),MAX(CapacityAge20*'01_Вводные'!$B$218*'19_Расчет_аналитики'!BF4607,MeanMinAge20))),0)</f>
        <v/>
      </c>
      <c r="BG4531">
        <f>IF('01_Вводные'!$B$234="Да",IF(OR('19_Расчет_аналитики'!BG4503=0,20&lt;='01_Вводные'!$B$297),0,'19_Расчет_аналитики'!BG4503*IF('01_Вводные'!$B$239="Да",MeanMinAge20+'19_Расчет_аналитики'!BG4607*SUMIF(ThresholdAge20,"&lt;"&amp;'19_Расчет_аналитики'!BG4607,WeightedRevAge20)-SUMIF(ThresholdAge20,"&lt;"&amp;'19_Расчет_аналитики'!BG4607,WeightedMinAge20),MAX(CapacityAge20*'01_Вводные'!$B$218*'19_Расчет_аналитики'!BG4607,MeanMinAge20))),0)</f>
        <v/>
      </c>
      <c r="BH4531">
        <f>IF('01_Вводные'!$B$234="Да",IF(OR('19_Расчет_аналитики'!BH4503=0,20&lt;='01_Вводные'!$B$297),0,'19_Расчет_аналитики'!BH4503*IF('01_Вводные'!$B$239="Да",MeanMinAge20+'19_Расчет_аналитики'!BH4607*SUMIF(ThresholdAge20,"&lt;"&amp;'19_Расчет_аналитики'!BH4607,WeightedRevAge20)-SUMIF(ThresholdAge20,"&lt;"&amp;'19_Расчет_аналитики'!BH4607,WeightedMinAge20),MAX(CapacityAge20*'01_Вводные'!$B$218*'19_Расчет_аналитики'!BH4607,MeanMinAge20))),0)</f>
        <v/>
      </c>
      <c r="BI4531">
        <f>IF('01_Вводные'!$B$234="Да",IF(OR('19_Расчет_аналитики'!BI4503=0,20&lt;='01_Вводные'!$B$297),0,'19_Расчет_аналитики'!BI4503*IF('01_Вводные'!$B$239="Да",MeanMinAge20+'19_Расчет_аналитики'!BI4607*SUMIF(ThresholdAge20,"&lt;"&amp;'19_Расчет_аналитики'!BI4607,WeightedRevAge20)-SUMIF(ThresholdAge20,"&lt;"&amp;'19_Расчет_аналитики'!BI4607,WeightedMinAge20),MAX(CapacityAge20*'01_Вводные'!$B$218*'19_Расчет_аналитики'!BI4607,MeanMinAge20))),0)</f>
        <v/>
      </c>
      <c r="BJ4531">
        <f>IF('01_Вводные'!$B$234="Да",IF(OR('19_Расчет_аналитики'!BJ4503=0,20&lt;='01_Вводные'!$B$297),0,'19_Расчет_аналитики'!BJ4503*IF('01_Вводные'!$B$239="Да",MeanMinAge20+'19_Расчет_аналитики'!BJ4607*SUMIF(ThresholdAge20,"&lt;"&amp;'19_Расчет_аналитики'!BJ4607,WeightedRevAge20)-SUMIF(ThresholdAge20,"&lt;"&amp;'19_Расчет_аналитики'!BJ4607,WeightedMinAge20),MAX(CapacityAge20*'01_Вводные'!$B$218*'19_Расчет_аналитики'!BJ4607,MeanMinAge20))),0)</f>
        <v/>
      </c>
      <c r="BK4531">
        <f>IF('01_Вводные'!$B$234="Да",IF(OR('19_Расчет_аналитики'!BK4503=0,20&lt;='01_Вводные'!$B$297),0,'19_Расчет_аналитики'!BK4503*IF('01_Вводные'!$B$239="Да",MeanMinAge20+'19_Расчет_аналитики'!BK4607*SUMIF(ThresholdAge20,"&lt;"&amp;'19_Расчет_аналитики'!BK4607,WeightedRevAge20)-SUMIF(ThresholdAge20,"&lt;"&amp;'19_Расчет_аналитики'!BK4607,WeightedMinAge20),MAX(CapacityAge20*'01_Вводные'!$B$218*'19_Расчет_аналитики'!BK4607,MeanMinAge20))),0)</f>
        <v/>
      </c>
      <c r="BL4531">
        <f>IF('01_Вводные'!$B$234="Да",IF(OR('19_Расчет_аналитики'!BL4503=0,20&lt;='01_Вводные'!$B$297),0,'19_Расчет_аналитики'!BL4503*IF('01_Вводные'!$B$239="Да",MeanMinAge20+'19_Расчет_аналитики'!BL4607*SUMIF(ThresholdAge20,"&lt;"&amp;'19_Расчет_аналитики'!BL4607,WeightedRevAge20)-SUMIF(ThresholdAge20,"&lt;"&amp;'19_Расчет_аналитики'!BL4607,WeightedMinAge20),MAX(CapacityAge20*'01_Вводные'!$B$218*'19_Расчет_аналитики'!BL4607,MeanMinAge20))),0)</f>
        <v/>
      </c>
      <c r="BM4531">
        <f>IF('01_Вводные'!$B$234="Да",IF(OR('19_Расчет_аналитики'!BM4503=0,20&lt;='01_Вводные'!$B$297),0,'19_Расчет_аналитики'!BM4503*IF('01_Вводные'!$B$239="Да",MeanMinAge20+'19_Расчет_аналитики'!BM4607*SUMIF(ThresholdAge20,"&lt;"&amp;'19_Расчет_аналитики'!BM4607,WeightedRevAge20)-SUMIF(ThresholdAge20,"&lt;"&amp;'19_Расчет_аналитики'!BM4607,WeightedMinAge20),MAX(CapacityAge20*'01_Вводные'!$B$218*'19_Расчет_аналитики'!BM4607,MeanMinAge20))),0)</f>
        <v/>
      </c>
      <c r="BN4531">
        <f>IF('01_Вводные'!$B$234="Да",IF(OR('19_Расчет_аналитики'!BN4503=0,20&lt;='01_Вводные'!$B$297),0,'19_Расчет_аналитики'!BN4503*IF('01_Вводные'!$B$239="Да",MeanMinAge20+'19_Расчет_аналитики'!BN4607*SUMIF(ThresholdAge20,"&lt;"&amp;'19_Расчет_аналитики'!BN4607,WeightedRevAge20)-SUMIF(ThresholdAge20,"&lt;"&amp;'19_Расчет_аналитики'!BN4607,WeightedMinAge20),MAX(CapacityAge20*'01_Вводные'!$B$218*'19_Расчет_аналитики'!BN4607,MeanMinAge20))),0)</f>
        <v/>
      </c>
      <c r="BO4531">
        <f>IF('01_Вводные'!$B$234="Да",IF(OR('19_Расчет_аналитики'!BO4503=0,20&lt;='01_Вводные'!$B$297),0,'19_Расчет_аналитики'!BO4503*IF('01_Вводные'!$B$239="Да",MeanMinAge20+'19_Расчет_аналитики'!BO4607*SUMIF(ThresholdAge20,"&lt;"&amp;'19_Расчет_аналитики'!BO4607,WeightedRevAge20)-SUMIF(ThresholdAge20,"&lt;"&amp;'19_Расчет_аналитики'!BO4607,WeightedMinAge20),MAX(CapacityAge20*'01_Вводные'!$B$218*'19_Расчет_аналитики'!BO4607,MeanMinAge20))),0)</f>
        <v/>
      </c>
    </row>
    <row r="4532">
      <c r="B4532">
        <f>IF('01_Вводные'!$B$234="Да",IF(OR('06_Сеть_и_дети'!B101=0,21&lt;='01_Вводные'!$B$297),0,'06_Сеть_и_дети'!B101*IF('01_Вводные'!$B$239="Да",MeanMinAge21+'19_Расчет_аналитики'!B4607*SUMIF(ThresholdAge21,"&lt;"&amp;'19_Расчет_аналитики'!B4607,WeightedRevAge21)-SUMIF(ThresholdAge21,"&lt;"&amp;'19_Расчет_аналитики'!B4607,WeightedMinAge21),MAX(CapacityAge21*'01_Вводные'!$B$218*'19_Расчет_аналитики'!B4607,MeanMinAge21))),0)</f>
        <v/>
      </c>
      <c r="C4532">
        <f>IF('01_Вводные'!$B$234="Да",IF(OR('06_Сеть_и_дети'!C101=0,21&lt;='01_Вводные'!$B$297),0,'06_Сеть_и_дети'!C101*IF('01_Вводные'!$B$239="Да",MeanMinAge21+'19_Расчет_аналитики'!C4607*SUMIF(ThresholdAge21,"&lt;"&amp;'19_Расчет_аналитики'!C4607,WeightedRevAge21)-SUMIF(ThresholdAge21,"&lt;"&amp;'19_Расчет_аналитики'!C4607,WeightedMinAge21),MAX(CapacityAge21*'01_Вводные'!$B$218*'19_Расчет_аналитики'!C4607,MeanMinAge21))),0)</f>
        <v/>
      </c>
      <c r="D4532">
        <f>IF('01_Вводные'!$B$234="Да",IF(OR('06_Сеть_и_дети'!D101=0,21&lt;='01_Вводные'!$B$297),0,'06_Сеть_и_дети'!D101*IF('01_Вводные'!$B$239="Да",MeanMinAge21+'19_Расчет_аналитики'!D4607*SUMIF(ThresholdAge21,"&lt;"&amp;'19_Расчет_аналитики'!D4607,WeightedRevAge21)-SUMIF(ThresholdAge21,"&lt;"&amp;'19_Расчет_аналитики'!D4607,WeightedMinAge21),MAX(CapacityAge21*'01_Вводные'!$B$218*'19_Расчет_аналитики'!D4607,MeanMinAge21))),0)</f>
        <v/>
      </c>
      <c r="E4532">
        <f>IF('01_Вводные'!$B$234="Да",IF(OR('06_Сеть_и_дети'!E101=0,21&lt;='01_Вводные'!$B$297),0,'06_Сеть_и_дети'!E101*IF('01_Вводные'!$B$239="Да",MeanMinAge21+'19_Расчет_аналитики'!E4607*SUMIF(ThresholdAge21,"&lt;"&amp;'19_Расчет_аналитики'!E4607,WeightedRevAge21)-SUMIF(ThresholdAge21,"&lt;"&amp;'19_Расчет_аналитики'!E4607,WeightedMinAge21),MAX(CapacityAge21*'01_Вводные'!$B$218*'19_Расчет_аналитики'!E4607,MeanMinAge21))),0)</f>
        <v/>
      </c>
      <c r="F4532">
        <f>IF('01_Вводные'!$B$234="Да",IF(OR('06_Сеть_и_дети'!F101=0,21&lt;='01_Вводные'!$B$297),0,'06_Сеть_и_дети'!F101*IF('01_Вводные'!$B$239="Да",MeanMinAge21+'19_Расчет_аналитики'!F4607*SUMIF(ThresholdAge21,"&lt;"&amp;'19_Расчет_аналитики'!F4607,WeightedRevAge21)-SUMIF(ThresholdAge21,"&lt;"&amp;'19_Расчет_аналитики'!F4607,WeightedMinAge21),MAX(CapacityAge21*'01_Вводные'!$B$218*'19_Расчет_аналитики'!F4607,MeanMinAge21))),0)</f>
        <v/>
      </c>
      <c r="G4532">
        <f>IF('01_Вводные'!$B$234="Да",IF(OR('06_Сеть_и_дети'!G101=0,21&lt;='01_Вводные'!$B$297),0,'06_Сеть_и_дети'!G101*IF('01_Вводные'!$B$239="Да",MeanMinAge21+'19_Расчет_аналитики'!G4607*SUMIF(ThresholdAge21,"&lt;"&amp;'19_Расчет_аналитики'!G4607,WeightedRevAge21)-SUMIF(ThresholdAge21,"&lt;"&amp;'19_Расчет_аналитики'!G4607,WeightedMinAge21),MAX(CapacityAge21*'01_Вводные'!$B$218*'19_Расчет_аналитики'!G4607,MeanMinAge21))),0)</f>
        <v/>
      </c>
      <c r="H4532">
        <f>IF('01_Вводные'!$B$234="Да",IF(OR('06_Сеть_и_дети'!H101=0,21&lt;='01_Вводные'!$B$297),0,'06_Сеть_и_дети'!H101*IF('01_Вводные'!$B$239="Да",MeanMinAge21+'19_Расчет_аналитики'!H4607*SUMIF(ThresholdAge21,"&lt;"&amp;'19_Расчет_аналитики'!H4607,WeightedRevAge21)-SUMIF(ThresholdAge21,"&lt;"&amp;'19_Расчет_аналитики'!H4607,WeightedMinAge21),MAX(CapacityAge21*'01_Вводные'!$B$218*'19_Расчет_аналитики'!H4607,MeanMinAge21))),0)</f>
        <v/>
      </c>
      <c r="I4532">
        <f>IF('01_Вводные'!$B$234="Да",IF(OR('06_Сеть_и_дети'!I101=0,21&lt;='01_Вводные'!$B$297),0,'06_Сеть_и_дети'!I101*IF('01_Вводные'!$B$239="Да",MeanMinAge21+'19_Расчет_аналитики'!I4607*SUMIF(ThresholdAge21,"&lt;"&amp;'19_Расчет_аналитики'!I4607,WeightedRevAge21)-SUMIF(ThresholdAge21,"&lt;"&amp;'19_Расчет_аналитики'!I4607,WeightedMinAge21),MAX(CapacityAge21*'01_Вводные'!$B$218*'19_Расчет_аналитики'!I4607,MeanMinAge21))),0)</f>
        <v/>
      </c>
      <c r="J4532">
        <f>IF('01_Вводные'!$B$234="Да",IF(OR('06_Сеть_и_дети'!J101=0,21&lt;='01_Вводные'!$B$297),0,'06_Сеть_и_дети'!J101*IF('01_Вводные'!$B$239="Да",MeanMinAge21+'19_Расчет_аналитики'!J4607*SUMIF(ThresholdAge21,"&lt;"&amp;'19_Расчет_аналитики'!J4607,WeightedRevAge21)-SUMIF(ThresholdAge21,"&lt;"&amp;'19_Расчет_аналитики'!J4607,WeightedMinAge21),MAX(CapacityAge21*'01_Вводные'!$B$218*'19_Расчет_аналитики'!J4607,MeanMinAge21))),0)</f>
        <v/>
      </c>
      <c r="K4532">
        <f>IF('01_Вводные'!$B$234="Да",IF(OR('06_Сеть_и_дети'!K101=0,21&lt;='01_Вводные'!$B$297),0,'06_Сеть_и_дети'!K101*IF('01_Вводные'!$B$239="Да",MeanMinAge21+'19_Расчет_аналитики'!K4607*SUMIF(ThresholdAge21,"&lt;"&amp;'19_Расчет_аналитики'!K4607,WeightedRevAge21)-SUMIF(ThresholdAge21,"&lt;"&amp;'19_Расчет_аналитики'!K4607,WeightedMinAge21),MAX(CapacityAge21*'01_Вводные'!$B$218*'19_Расчет_аналитики'!K4607,MeanMinAge21))),0)</f>
        <v/>
      </c>
      <c r="L4532">
        <f>IF('01_Вводные'!$B$234="Да",IF(OR('06_Сеть_и_дети'!L101=0,21&lt;='01_Вводные'!$B$297),0,'06_Сеть_и_дети'!L101*IF('01_Вводные'!$B$239="Да",MeanMinAge21+'19_Расчет_аналитики'!L4607*SUMIF(ThresholdAge21,"&lt;"&amp;'19_Расчет_аналитики'!L4607,WeightedRevAge21)-SUMIF(ThresholdAge21,"&lt;"&amp;'19_Расчет_аналитики'!L4607,WeightedMinAge21),MAX(CapacityAge21*'01_Вводные'!$B$218*'19_Расчет_аналитики'!L4607,MeanMinAge21))),0)</f>
        <v/>
      </c>
      <c r="M4532">
        <f>IF('01_Вводные'!$B$234="Да",IF(OR('06_Сеть_и_дети'!M101=0,21&lt;='01_Вводные'!$B$297),0,'06_Сеть_и_дети'!M101*IF('01_Вводные'!$B$239="Да",MeanMinAge21+'19_Расчет_аналитики'!M4607*SUMIF(ThresholdAge21,"&lt;"&amp;'19_Расчет_аналитики'!M4607,WeightedRevAge21)-SUMIF(ThresholdAge21,"&lt;"&amp;'19_Расчет_аналитики'!M4607,WeightedMinAge21),MAX(CapacityAge21*'01_Вводные'!$B$218*'19_Расчет_аналитики'!M4607,MeanMinAge21))),0)</f>
        <v/>
      </c>
      <c r="N4532">
        <f>IF('01_Вводные'!$B$234="Да",IF(OR('06_Сеть_и_дети'!N101=0,21&lt;='01_Вводные'!$B$297),0,'06_Сеть_и_дети'!N101*IF('01_Вводные'!$B$239="Да",MeanMinAge21+'19_Расчет_аналитики'!N4607*SUMIF(ThresholdAge21,"&lt;"&amp;'19_Расчет_аналитики'!N4607,WeightedRevAge21)-SUMIF(ThresholdAge21,"&lt;"&amp;'19_Расчет_аналитики'!N4607,WeightedMinAge21),MAX(CapacityAge21*'01_Вводные'!$B$218*'19_Расчет_аналитики'!N4607,MeanMinAge21))),0)</f>
        <v/>
      </c>
      <c r="O4532">
        <f>IF('01_Вводные'!$B$234="Да",IF(OR('06_Сеть_и_дети'!O101=0,21&lt;='01_Вводные'!$B$297),0,'06_Сеть_и_дети'!O101*IF('01_Вводные'!$B$239="Да",MeanMinAge21+'19_Расчет_аналитики'!O4607*SUMIF(ThresholdAge21,"&lt;"&amp;'19_Расчет_аналитики'!O4607,WeightedRevAge21)-SUMIF(ThresholdAge21,"&lt;"&amp;'19_Расчет_аналитики'!O4607,WeightedMinAge21),MAX(CapacityAge21*'01_Вводные'!$B$218*'19_Расчет_аналитики'!O4607,MeanMinAge21))),0)</f>
        <v/>
      </c>
      <c r="P4532">
        <f>IF('01_Вводные'!$B$234="Да",IF(OR('06_Сеть_и_дети'!P101=0,21&lt;='01_Вводные'!$B$297),0,'06_Сеть_и_дети'!P101*IF('01_Вводные'!$B$239="Да",MeanMinAge21+'19_Расчет_аналитики'!P4607*SUMIF(ThresholdAge21,"&lt;"&amp;'19_Расчет_аналитики'!P4607,WeightedRevAge21)-SUMIF(ThresholdAge21,"&lt;"&amp;'19_Расчет_аналитики'!P4607,WeightedMinAge21),MAX(CapacityAge21*'01_Вводные'!$B$218*'19_Расчет_аналитики'!P4607,MeanMinAge21))),0)</f>
        <v/>
      </c>
      <c r="Q4532">
        <f>IF('01_Вводные'!$B$234="Да",IF(OR('06_Сеть_и_дети'!Q101=0,21&lt;='01_Вводные'!$B$297),0,'06_Сеть_и_дети'!Q101*IF('01_Вводные'!$B$239="Да",MeanMinAge21+'19_Расчет_аналитики'!Q4607*SUMIF(ThresholdAge21,"&lt;"&amp;'19_Расчет_аналитики'!Q4607,WeightedRevAge21)-SUMIF(ThresholdAge21,"&lt;"&amp;'19_Расчет_аналитики'!Q4607,WeightedMinAge21),MAX(CapacityAge21*'01_Вводные'!$B$218*'19_Расчет_аналитики'!Q4607,MeanMinAge21))),0)</f>
        <v/>
      </c>
      <c r="R4532">
        <f>IF('01_Вводные'!$B$234="Да",IF(OR('06_Сеть_и_дети'!R101=0,21&lt;='01_Вводные'!$B$297),0,'06_Сеть_и_дети'!R101*IF('01_Вводные'!$B$239="Да",MeanMinAge21+'19_Расчет_аналитики'!R4607*SUMIF(ThresholdAge21,"&lt;"&amp;'19_Расчет_аналитики'!R4607,WeightedRevAge21)-SUMIF(ThresholdAge21,"&lt;"&amp;'19_Расчет_аналитики'!R4607,WeightedMinAge21),MAX(CapacityAge21*'01_Вводные'!$B$218*'19_Расчет_аналитики'!R4607,MeanMinAge21))),0)</f>
        <v/>
      </c>
      <c r="S4532">
        <f>IF('01_Вводные'!$B$234="Да",IF(OR('06_Сеть_и_дети'!S101=0,21&lt;='01_Вводные'!$B$297),0,'06_Сеть_и_дети'!S101*IF('01_Вводные'!$B$239="Да",MeanMinAge21+'19_Расчет_аналитики'!S4607*SUMIF(ThresholdAge21,"&lt;"&amp;'19_Расчет_аналитики'!S4607,WeightedRevAge21)-SUMIF(ThresholdAge21,"&lt;"&amp;'19_Расчет_аналитики'!S4607,WeightedMinAge21),MAX(CapacityAge21*'01_Вводные'!$B$218*'19_Расчет_аналитики'!S4607,MeanMinAge21))),0)</f>
        <v/>
      </c>
      <c r="T4532">
        <f>IF('01_Вводные'!$B$234="Да",IF(OR('06_Сеть_и_дети'!T101=0,21&lt;='01_Вводные'!$B$297),0,'06_Сеть_и_дети'!T101*IF('01_Вводные'!$B$239="Да",MeanMinAge21+'19_Расчет_аналитики'!T4607*SUMIF(ThresholdAge21,"&lt;"&amp;'19_Расчет_аналитики'!T4607,WeightedRevAge21)-SUMIF(ThresholdAge21,"&lt;"&amp;'19_Расчет_аналитики'!T4607,WeightedMinAge21),MAX(CapacityAge21*'01_Вводные'!$B$218*'19_Расчет_аналитики'!T4607,MeanMinAge21))),0)</f>
        <v/>
      </c>
      <c r="U4532">
        <f>IF('01_Вводные'!$B$234="Да",IF(OR('06_Сеть_и_дети'!U101=0,21&lt;='01_Вводные'!$B$297),0,'06_Сеть_и_дети'!U101*IF('01_Вводные'!$B$239="Да",MeanMinAge21+'19_Расчет_аналитики'!U4607*SUMIF(ThresholdAge21,"&lt;"&amp;'19_Расчет_аналитики'!U4607,WeightedRevAge21)-SUMIF(ThresholdAge21,"&lt;"&amp;'19_Расчет_аналитики'!U4607,WeightedMinAge21),MAX(CapacityAge21*'01_Вводные'!$B$218*'19_Расчет_аналитики'!U4607,MeanMinAge21))),0)</f>
        <v/>
      </c>
      <c r="V4532">
        <f>IF('01_Вводные'!$B$234="Да",IF(OR('19_Расчет_аналитики'!V4504=0,21&lt;='01_Вводные'!$B$297),0,'19_Расчет_аналитики'!V4504*IF('01_Вводные'!$B$239="Да",MeanMinAge21+'19_Расчет_аналитики'!V4607*SUMIF(ThresholdAge21,"&lt;"&amp;'19_Расчет_аналитики'!V4607,WeightedRevAge21)-SUMIF(ThresholdAge21,"&lt;"&amp;'19_Расчет_аналитики'!V4607,WeightedMinAge21),MAX(CapacityAge21*'01_Вводные'!$B$218*'19_Расчет_аналитики'!V4607,MeanMinAge21))),0)</f>
        <v/>
      </c>
      <c r="W4532">
        <f>IF('01_Вводные'!$B$234="Да",IF(OR('19_Расчет_аналитики'!W4504=0,21&lt;='01_Вводные'!$B$297),0,'19_Расчет_аналитики'!W4504*IF('01_Вводные'!$B$239="Да",MeanMinAge21+'19_Расчет_аналитики'!W4607*SUMIF(ThresholdAge21,"&lt;"&amp;'19_Расчет_аналитики'!W4607,WeightedRevAge21)-SUMIF(ThresholdAge21,"&lt;"&amp;'19_Расчет_аналитики'!W4607,WeightedMinAge21),MAX(CapacityAge21*'01_Вводные'!$B$218*'19_Расчет_аналитики'!W4607,MeanMinAge21))),0)</f>
        <v/>
      </c>
      <c r="X4532">
        <f>IF('01_Вводные'!$B$234="Да",IF(OR('19_Расчет_аналитики'!X4504=0,21&lt;='01_Вводные'!$B$297),0,'19_Расчет_аналитики'!X4504*IF('01_Вводные'!$B$239="Да",MeanMinAge21+'19_Расчет_аналитики'!X4607*SUMIF(ThresholdAge21,"&lt;"&amp;'19_Расчет_аналитики'!X4607,WeightedRevAge21)-SUMIF(ThresholdAge21,"&lt;"&amp;'19_Расчет_аналитики'!X4607,WeightedMinAge21),MAX(CapacityAge21*'01_Вводные'!$B$218*'19_Расчет_аналитики'!X4607,MeanMinAge21))),0)</f>
        <v/>
      </c>
      <c r="Y4532">
        <f>IF('01_Вводные'!$B$234="Да",IF(OR('19_Расчет_аналитики'!Y4504=0,21&lt;='01_Вводные'!$B$297),0,'19_Расчет_аналитики'!Y4504*IF('01_Вводные'!$B$239="Да",MeanMinAge21+'19_Расчет_аналитики'!Y4607*SUMIF(ThresholdAge21,"&lt;"&amp;'19_Расчет_аналитики'!Y4607,WeightedRevAge21)-SUMIF(ThresholdAge21,"&lt;"&amp;'19_Расчет_аналитики'!Y4607,WeightedMinAge21),MAX(CapacityAge21*'01_Вводные'!$B$218*'19_Расчет_аналитики'!Y4607,MeanMinAge21))),0)</f>
        <v/>
      </c>
      <c r="Z4532">
        <f>IF('01_Вводные'!$B$234="Да",IF(OR('19_Расчет_аналитики'!Z4504=0,21&lt;='01_Вводные'!$B$297),0,'19_Расчет_аналитики'!Z4504*IF('01_Вводные'!$B$239="Да",MeanMinAge21+'19_Расчет_аналитики'!Z4607*SUMIF(ThresholdAge21,"&lt;"&amp;'19_Расчет_аналитики'!Z4607,WeightedRevAge21)-SUMIF(ThresholdAge21,"&lt;"&amp;'19_Расчет_аналитики'!Z4607,WeightedMinAge21),MAX(CapacityAge21*'01_Вводные'!$B$218*'19_Расчет_аналитики'!Z4607,MeanMinAge21))),0)</f>
        <v/>
      </c>
      <c r="AA4532">
        <f>IF('01_Вводные'!$B$234="Да",IF(OR('19_Расчет_аналитики'!AA4504=0,21&lt;='01_Вводные'!$B$297),0,'19_Расчет_аналитики'!AA4504*IF('01_Вводные'!$B$239="Да",MeanMinAge21+'19_Расчет_аналитики'!AA4607*SUMIF(ThresholdAge21,"&lt;"&amp;'19_Расчет_аналитики'!AA4607,WeightedRevAge21)-SUMIF(ThresholdAge21,"&lt;"&amp;'19_Расчет_аналитики'!AA4607,WeightedMinAge21),MAX(CapacityAge21*'01_Вводные'!$B$218*'19_Расчет_аналитики'!AA4607,MeanMinAge21))),0)</f>
        <v/>
      </c>
      <c r="AB4532">
        <f>IF('01_Вводные'!$B$234="Да",IF(OR('19_Расчет_аналитики'!AB4504=0,21&lt;='01_Вводные'!$B$297),0,'19_Расчет_аналитики'!AB4504*IF('01_Вводные'!$B$239="Да",MeanMinAge21+'19_Расчет_аналитики'!AB4607*SUMIF(ThresholdAge21,"&lt;"&amp;'19_Расчет_аналитики'!AB4607,WeightedRevAge21)-SUMIF(ThresholdAge21,"&lt;"&amp;'19_Расчет_аналитики'!AB4607,WeightedMinAge21),MAX(CapacityAge21*'01_Вводные'!$B$218*'19_Расчет_аналитики'!AB4607,MeanMinAge21))),0)</f>
        <v/>
      </c>
      <c r="AC4532">
        <f>IF('01_Вводные'!$B$234="Да",IF(OR('19_Расчет_аналитики'!AC4504=0,21&lt;='01_Вводные'!$B$297),0,'19_Расчет_аналитики'!AC4504*IF('01_Вводные'!$B$239="Да",MeanMinAge21+'19_Расчет_аналитики'!AC4607*SUMIF(ThresholdAge21,"&lt;"&amp;'19_Расчет_аналитики'!AC4607,WeightedRevAge21)-SUMIF(ThresholdAge21,"&lt;"&amp;'19_Расчет_аналитики'!AC4607,WeightedMinAge21),MAX(CapacityAge21*'01_Вводные'!$B$218*'19_Расчет_аналитики'!AC4607,MeanMinAge21))),0)</f>
        <v/>
      </c>
      <c r="AD4532">
        <f>IF('01_Вводные'!$B$234="Да",IF(OR('19_Расчет_аналитики'!AD4504=0,21&lt;='01_Вводные'!$B$297),0,'19_Расчет_аналитики'!AD4504*IF('01_Вводные'!$B$239="Да",MeanMinAge21+'19_Расчет_аналитики'!AD4607*SUMIF(ThresholdAge21,"&lt;"&amp;'19_Расчет_аналитики'!AD4607,WeightedRevAge21)-SUMIF(ThresholdAge21,"&lt;"&amp;'19_Расчет_аналитики'!AD4607,WeightedMinAge21),MAX(CapacityAge21*'01_Вводные'!$B$218*'19_Расчет_аналитики'!AD4607,MeanMinAge21))),0)</f>
        <v/>
      </c>
      <c r="AE4532">
        <f>IF('01_Вводные'!$B$234="Да",IF(OR('19_Расчет_аналитики'!AE4504=0,21&lt;='01_Вводные'!$B$297),0,'19_Расчет_аналитики'!AE4504*IF('01_Вводные'!$B$239="Да",MeanMinAge21+'19_Расчет_аналитики'!AE4607*SUMIF(ThresholdAge21,"&lt;"&amp;'19_Расчет_аналитики'!AE4607,WeightedRevAge21)-SUMIF(ThresholdAge21,"&lt;"&amp;'19_Расчет_аналитики'!AE4607,WeightedMinAge21),MAX(CapacityAge21*'01_Вводные'!$B$218*'19_Расчет_аналитики'!AE4607,MeanMinAge21))),0)</f>
        <v/>
      </c>
      <c r="AF4532">
        <f>IF('01_Вводные'!$B$234="Да",IF(OR('19_Расчет_аналитики'!AF4504=0,21&lt;='01_Вводные'!$B$297),0,'19_Расчет_аналитики'!AF4504*IF('01_Вводные'!$B$239="Да",MeanMinAge21+'19_Расчет_аналитики'!AF4607*SUMIF(ThresholdAge21,"&lt;"&amp;'19_Расчет_аналитики'!AF4607,WeightedRevAge21)-SUMIF(ThresholdAge21,"&lt;"&amp;'19_Расчет_аналитики'!AF4607,WeightedMinAge21),MAX(CapacityAge21*'01_Вводные'!$B$218*'19_Расчет_аналитики'!AF4607,MeanMinAge21))),0)</f>
        <v/>
      </c>
      <c r="AG4532">
        <f>IF('01_Вводные'!$B$234="Да",IF(OR('19_Расчет_аналитики'!AG4504=0,21&lt;='01_Вводные'!$B$297),0,'19_Расчет_аналитики'!AG4504*IF('01_Вводные'!$B$239="Да",MeanMinAge21+'19_Расчет_аналитики'!AG4607*SUMIF(ThresholdAge21,"&lt;"&amp;'19_Расчет_аналитики'!AG4607,WeightedRevAge21)-SUMIF(ThresholdAge21,"&lt;"&amp;'19_Расчет_аналитики'!AG4607,WeightedMinAge21),MAX(CapacityAge21*'01_Вводные'!$B$218*'19_Расчет_аналитики'!AG4607,MeanMinAge21))),0)</f>
        <v/>
      </c>
      <c r="AH4532">
        <f>IF('01_Вводные'!$B$234="Да",IF(OR('19_Расчет_аналитики'!AH4504=0,21&lt;='01_Вводные'!$B$297),0,'19_Расчет_аналитики'!AH4504*IF('01_Вводные'!$B$239="Да",MeanMinAge21+'19_Расчет_аналитики'!AH4607*SUMIF(ThresholdAge21,"&lt;"&amp;'19_Расчет_аналитики'!AH4607,WeightedRevAge21)-SUMIF(ThresholdAge21,"&lt;"&amp;'19_Расчет_аналитики'!AH4607,WeightedMinAge21),MAX(CapacityAge21*'01_Вводные'!$B$218*'19_Расчет_аналитики'!AH4607,MeanMinAge21))),0)</f>
        <v/>
      </c>
      <c r="AI4532">
        <f>IF('01_Вводные'!$B$234="Да",IF(OR('19_Расчет_аналитики'!AI4504=0,21&lt;='01_Вводные'!$B$297),0,'19_Расчет_аналитики'!AI4504*IF('01_Вводные'!$B$239="Да",MeanMinAge21+'19_Расчет_аналитики'!AI4607*SUMIF(ThresholdAge21,"&lt;"&amp;'19_Расчет_аналитики'!AI4607,WeightedRevAge21)-SUMIF(ThresholdAge21,"&lt;"&amp;'19_Расчет_аналитики'!AI4607,WeightedMinAge21),MAX(CapacityAge21*'01_Вводные'!$B$218*'19_Расчет_аналитики'!AI4607,MeanMinAge21))),0)</f>
        <v/>
      </c>
      <c r="AJ4532">
        <f>IF('01_Вводные'!$B$234="Да",IF(OR('19_Расчет_аналитики'!AJ4504=0,21&lt;='01_Вводные'!$B$297),0,'19_Расчет_аналитики'!AJ4504*IF('01_Вводные'!$B$239="Да",MeanMinAge21+'19_Расчет_аналитики'!AJ4607*SUMIF(ThresholdAge21,"&lt;"&amp;'19_Расчет_аналитики'!AJ4607,WeightedRevAge21)-SUMIF(ThresholdAge21,"&lt;"&amp;'19_Расчет_аналитики'!AJ4607,WeightedMinAge21),MAX(CapacityAge21*'01_Вводные'!$B$218*'19_Расчет_аналитики'!AJ4607,MeanMinAge21))),0)</f>
        <v/>
      </c>
      <c r="AK4532">
        <f>IF('01_Вводные'!$B$234="Да",IF(OR('19_Расчет_аналитики'!AK4504=0,21&lt;='01_Вводные'!$B$297),0,'19_Расчет_аналитики'!AK4504*IF('01_Вводные'!$B$239="Да",MeanMinAge21+'19_Расчет_аналитики'!AK4607*SUMIF(ThresholdAge21,"&lt;"&amp;'19_Расчет_аналитики'!AK4607,WeightedRevAge21)-SUMIF(ThresholdAge21,"&lt;"&amp;'19_Расчет_аналитики'!AK4607,WeightedMinAge21),MAX(CapacityAge21*'01_Вводные'!$B$218*'19_Расчет_аналитики'!AK4607,MeanMinAge21))),0)</f>
        <v/>
      </c>
      <c r="AL4532">
        <f>IF('01_Вводные'!$B$234="Да",IF(OR('19_Расчет_аналитики'!AL4504=0,21&lt;='01_Вводные'!$B$297),0,'19_Расчет_аналитики'!AL4504*IF('01_Вводные'!$B$239="Да",MeanMinAge21+'19_Расчет_аналитики'!AL4607*SUMIF(ThresholdAge21,"&lt;"&amp;'19_Расчет_аналитики'!AL4607,WeightedRevAge21)-SUMIF(ThresholdAge21,"&lt;"&amp;'19_Расчет_аналитики'!AL4607,WeightedMinAge21),MAX(CapacityAge21*'01_Вводные'!$B$218*'19_Расчет_аналитики'!AL4607,MeanMinAge21))),0)</f>
        <v/>
      </c>
      <c r="AM4532">
        <f>IF('01_Вводные'!$B$234="Да",IF(OR('19_Расчет_аналитики'!AM4504=0,21&lt;='01_Вводные'!$B$297),0,'19_Расчет_аналитики'!AM4504*IF('01_Вводные'!$B$239="Да",MeanMinAge21+'19_Расчет_аналитики'!AM4607*SUMIF(ThresholdAge21,"&lt;"&amp;'19_Расчет_аналитики'!AM4607,WeightedRevAge21)-SUMIF(ThresholdAge21,"&lt;"&amp;'19_Расчет_аналитики'!AM4607,WeightedMinAge21),MAX(CapacityAge21*'01_Вводные'!$B$218*'19_Расчет_аналитики'!AM4607,MeanMinAge21))),0)</f>
        <v/>
      </c>
      <c r="AN4532">
        <f>IF('01_Вводные'!$B$234="Да",IF(OR('19_Расчет_аналитики'!AN4504=0,21&lt;='01_Вводные'!$B$297),0,'19_Расчет_аналитики'!AN4504*IF('01_Вводные'!$B$239="Да",MeanMinAge21+'19_Расчет_аналитики'!AN4607*SUMIF(ThresholdAge21,"&lt;"&amp;'19_Расчет_аналитики'!AN4607,WeightedRevAge21)-SUMIF(ThresholdAge21,"&lt;"&amp;'19_Расчет_аналитики'!AN4607,WeightedMinAge21),MAX(CapacityAge21*'01_Вводные'!$B$218*'19_Расчет_аналитики'!AN4607,MeanMinAge21))),0)</f>
        <v/>
      </c>
      <c r="AO4532">
        <f>IF('01_Вводные'!$B$234="Да",IF(OR('19_Расчет_аналитики'!AO4504=0,21&lt;='01_Вводные'!$B$297),0,'19_Расчет_аналитики'!AO4504*IF('01_Вводные'!$B$239="Да",MeanMinAge21+'19_Расчет_аналитики'!AO4607*SUMIF(ThresholdAge21,"&lt;"&amp;'19_Расчет_аналитики'!AO4607,WeightedRevAge21)-SUMIF(ThresholdAge21,"&lt;"&amp;'19_Расчет_аналитики'!AO4607,WeightedMinAge21),MAX(CapacityAge21*'01_Вводные'!$B$218*'19_Расчет_аналитики'!AO4607,MeanMinAge21))),0)</f>
        <v/>
      </c>
      <c r="AP4532">
        <f>IF('01_Вводные'!$B$234="Да",IF(OR('19_Расчет_аналитики'!AP4504=0,21&lt;='01_Вводные'!$B$297),0,'19_Расчет_аналитики'!AP4504*IF('01_Вводные'!$B$239="Да",MeanMinAge21+'19_Расчет_аналитики'!AP4607*SUMIF(ThresholdAge21,"&lt;"&amp;'19_Расчет_аналитики'!AP4607,WeightedRevAge21)-SUMIF(ThresholdAge21,"&lt;"&amp;'19_Расчет_аналитики'!AP4607,WeightedMinAge21),MAX(CapacityAge21*'01_Вводные'!$B$218*'19_Расчет_аналитики'!AP4607,MeanMinAge21))),0)</f>
        <v/>
      </c>
      <c r="AQ4532">
        <f>IF('01_Вводные'!$B$234="Да",IF(OR('19_Расчет_аналитики'!AQ4504=0,21&lt;='01_Вводные'!$B$297),0,'19_Расчет_аналитики'!AQ4504*IF('01_Вводные'!$B$239="Да",MeanMinAge21+'19_Расчет_аналитики'!AQ4607*SUMIF(ThresholdAge21,"&lt;"&amp;'19_Расчет_аналитики'!AQ4607,WeightedRevAge21)-SUMIF(ThresholdAge21,"&lt;"&amp;'19_Расчет_аналитики'!AQ4607,WeightedMinAge21),MAX(CapacityAge21*'01_Вводные'!$B$218*'19_Расчет_аналитики'!AQ4607,MeanMinAge21))),0)</f>
        <v/>
      </c>
      <c r="AR4532">
        <f>IF('01_Вводные'!$B$234="Да",IF(OR('19_Расчет_аналитики'!AR4504=0,21&lt;='01_Вводные'!$B$297),0,'19_Расчет_аналитики'!AR4504*IF('01_Вводные'!$B$239="Да",MeanMinAge21+'19_Расчет_аналитики'!AR4607*SUMIF(ThresholdAge21,"&lt;"&amp;'19_Расчет_аналитики'!AR4607,WeightedRevAge21)-SUMIF(ThresholdAge21,"&lt;"&amp;'19_Расчет_аналитики'!AR4607,WeightedMinAge21),MAX(CapacityAge21*'01_Вводные'!$B$218*'19_Расчет_аналитики'!AR4607,MeanMinAge21))),0)</f>
        <v/>
      </c>
      <c r="AS4532">
        <f>IF('01_Вводные'!$B$234="Да",IF(OR('19_Расчет_аналитики'!AS4504=0,21&lt;='01_Вводные'!$B$297),0,'19_Расчет_аналитики'!AS4504*IF('01_Вводные'!$B$239="Да",MeanMinAge21+'19_Расчет_аналитики'!AS4607*SUMIF(ThresholdAge21,"&lt;"&amp;'19_Расчет_аналитики'!AS4607,WeightedRevAge21)-SUMIF(ThresholdAge21,"&lt;"&amp;'19_Расчет_аналитики'!AS4607,WeightedMinAge21),MAX(CapacityAge21*'01_Вводные'!$B$218*'19_Расчет_аналитики'!AS4607,MeanMinAge21))),0)</f>
        <v/>
      </c>
      <c r="AT4532">
        <f>IF('01_Вводные'!$B$234="Да",IF(OR('19_Расчет_аналитики'!AT4504=0,21&lt;='01_Вводные'!$B$297),0,'19_Расчет_аналитики'!AT4504*IF('01_Вводные'!$B$239="Да",MeanMinAge21+'19_Расчет_аналитики'!AT4607*SUMIF(ThresholdAge21,"&lt;"&amp;'19_Расчет_аналитики'!AT4607,WeightedRevAge21)-SUMIF(ThresholdAge21,"&lt;"&amp;'19_Расчет_аналитики'!AT4607,WeightedMinAge21),MAX(CapacityAge21*'01_Вводные'!$B$218*'19_Расчет_аналитики'!AT4607,MeanMinAge21))),0)</f>
        <v/>
      </c>
      <c r="AU4532">
        <f>IF('01_Вводные'!$B$234="Да",IF(OR('19_Расчет_аналитики'!AU4504=0,21&lt;='01_Вводные'!$B$297),0,'19_Расчет_аналитики'!AU4504*IF('01_Вводные'!$B$239="Да",MeanMinAge21+'19_Расчет_аналитики'!AU4607*SUMIF(ThresholdAge21,"&lt;"&amp;'19_Расчет_аналитики'!AU4607,WeightedRevAge21)-SUMIF(ThresholdAge21,"&lt;"&amp;'19_Расчет_аналитики'!AU4607,WeightedMinAge21),MAX(CapacityAge21*'01_Вводные'!$B$218*'19_Расчет_аналитики'!AU4607,MeanMinAge21))),0)</f>
        <v/>
      </c>
      <c r="AV4532">
        <f>IF('01_Вводные'!$B$234="Да",IF(OR('19_Расчет_аналитики'!AV4504=0,21&lt;='01_Вводные'!$B$297),0,'19_Расчет_аналитики'!AV4504*IF('01_Вводные'!$B$239="Да",MeanMinAge21+'19_Расчет_аналитики'!AV4607*SUMIF(ThresholdAge21,"&lt;"&amp;'19_Расчет_аналитики'!AV4607,WeightedRevAge21)-SUMIF(ThresholdAge21,"&lt;"&amp;'19_Расчет_аналитики'!AV4607,WeightedMinAge21),MAX(CapacityAge21*'01_Вводные'!$B$218*'19_Расчет_аналитики'!AV4607,MeanMinAge21))),0)</f>
        <v/>
      </c>
      <c r="AW4532">
        <f>IF('01_Вводные'!$B$234="Да",IF(OR('19_Расчет_аналитики'!AW4504=0,21&lt;='01_Вводные'!$B$297),0,'19_Расчет_аналитики'!AW4504*IF('01_Вводные'!$B$239="Да",MeanMinAge21+'19_Расчет_аналитики'!AW4607*SUMIF(ThresholdAge21,"&lt;"&amp;'19_Расчет_аналитики'!AW4607,WeightedRevAge21)-SUMIF(ThresholdAge21,"&lt;"&amp;'19_Расчет_аналитики'!AW4607,WeightedMinAge21),MAX(CapacityAge21*'01_Вводные'!$B$218*'19_Расчет_аналитики'!AW4607,MeanMinAge21))),0)</f>
        <v/>
      </c>
      <c r="AX4532">
        <f>IF('01_Вводные'!$B$234="Да",IF(OR('19_Расчет_аналитики'!AX4504=0,21&lt;='01_Вводные'!$B$297),0,'19_Расчет_аналитики'!AX4504*IF('01_Вводные'!$B$239="Да",MeanMinAge21+'19_Расчет_аналитики'!AX4607*SUMIF(ThresholdAge21,"&lt;"&amp;'19_Расчет_аналитики'!AX4607,WeightedRevAge21)-SUMIF(ThresholdAge21,"&lt;"&amp;'19_Расчет_аналитики'!AX4607,WeightedMinAge21),MAX(CapacityAge21*'01_Вводные'!$B$218*'19_Расчет_аналитики'!AX4607,MeanMinAge21))),0)</f>
        <v/>
      </c>
      <c r="AY4532">
        <f>IF('01_Вводные'!$B$234="Да",IF(OR('19_Расчет_аналитики'!AY4504=0,21&lt;='01_Вводные'!$B$297),0,'19_Расчет_аналитики'!AY4504*IF('01_Вводные'!$B$239="Да",MeanMinAge21+'19_Расчет_аналитики'!AY4607*SUMIF(ThresholdAge21,"&lt;"&amp;'19_Расчет_аналитики'!AY4607,WeightedRevAge21)-SUMIF(ThresholdAge21,"&lt;"&amp;'19_Расчет_аналитики'!AY4607,WeightedMinAge21),MAX(CapacityAge21*'01_Вводные'!$B$218*'19_Расчет_аналитики'!AY4607,MeanMinAge21))),0)</f>
        <v/>
      </c>
      <c r="AZ4532">
        <f>IF('01_Вводные'!$B$234="Да",IF(OR('19_Расчет_аналитики'!AZ4504=0,21&lt;='01_Вводные'!$B$297),0,'19_Расчет_аналитики'!AZ4504*IF('01_Вводные'!$B$239="Да",MeanMinAge21+'19_Расчет_аналитики'!AZ4607*SUMIF(ThresholdAge21,"&lt;"&amp;'19_Расчет_аналитики'!AZ4607,WeightedRevAge21)-SUMIF(ThresholdAge21,"&lt;"&amp;'19_Расчет_аналитики'!AZ4607,WeightedMinAge21),MAX(CapacityAge21*'01_Вводные'!$B$218*'19_Расчет_аналитики'!AZ4607,MeanMinAge21))),0)</f>
        <v/>
      </c>
      <c r="BA4532">
        <f>IF('01_Вводные'!$B$234="Да",IF(OR('19_Расчет_аналитики'!BA4504=0,21&lt;='01_Вводные'!$B$297),0,'19_Расчет_аналитики'!BA4504*IF('01_Вводные'!$B$239="Да",MeanMinAge21+'19_Расчет_аналитики'!BA4607*SUMIF(ThresholdAge21,"&lt;"&amp;'19_Расчет_аналитики'!BA4607,WeightedRevAge21)-SUMIF(ThresholdAge21,"&lt;"&amp;'19_Расчет_аналитики'!BA4607,WeightedMinAge21),MAX(CapacityAge21*'01_Вводные'!$B$218*'19_Расчет_аналитики'!BA4607,MeanMinAge21))),0)</f>
        <v/>
      </c>
      <c r="BB4532">
        <f>IF('01_Вводные'!$B$234="Да",IF(OR('19_Расчет_аналитики'!BB4504=0,21&lt;='01_Вводные'!$B$297),0,'19_Расчет_аналитики'!BB4504*IF('01_Вводные'!$B$239="Да",MeanMinAge21+'19_Расчет_аналитики'!BB4607*SUMIF(ThresholdAge21,"&lt;"&amp;'19_Расчет_аналитики'!BB4607,WeightedRevAge21)-SUMIF(ThresholdAge21,"&lt;"&amp;'19_Расчет_аналитики'!BB4607,WeightedMinAge21),MAX(CapacityAge21*'01_Вводные'!$B$218*'19_Расчет_аналитики'!BB4607,MeanMinAge21))),0)</f>
        <v/>
      </c>
      <c r="BC4532">
        <f>IF('01_Вводные'!$B$234="Да",IF(OR('19_Расчет_аналитики'!BC4504=0,21&lt;='01_Вводные'!$B$297),0,'19_Расчет_аналитики'!BC4504*IF('01_Вводные'!$B$239="Да",MeanMinAge21+'19_Расчет_аналитики'!BC4607*SUMIF(ThresholdAge21,"&lt;"&amp;'19_Расчет_аналитики'!BC4607,WeightedRevAge21)-SUMIF(ThresholdAge21,"&lt;"&amp;'19_Расчет_аналитики'!BC4607,WeightedMinAge21),MAX(CapacityAge21*'01_Вводные'!$B$218*'19_Расчет_аналитики'!BC4607,MeanMinAge21))),0)</f>
        <v/>
      </c>
      <c r="BD4532">
        <f>IF('01_Вводные'!$B$234="Да",IF(OR('19_Расчет_аналитики'!BD4504=0,21&lt;='01_Вводные'!$B$297),0,'19_Расчет_аналитики'!BD4504*IF('01_Вводные'!$B$239="Да",MeanMinAge21+'19_Расчет_аналитики'!BD4607*SUMIF(ThresholdAge21,"&lt;"&amp;'19_Расчет_аналитики'!BD4607,WeightedRevAge21)-SUMIF(ThresholdAge21,"&lt;"&amp;'19_Расчет_аналитики'!BD4607,WeightedMinAge21),MAX(CapacityAge21*'01_Вводные'!$B$218*'19_Расчет_аналитики'!BD4607,MeanMinAge21))),0)</f>
        <v/>
      </c>
      <c r="BE4532">
        <f>IF('01_Вводные'!$B$234="Да",IF(OR('19_Расчет_аналитики'!BE4504=0,21&lt;='01_Вводные'!$B$297),0,'19_Расчет_аналитики'!BE4504*IF('01_Вводные'!$B$239="Да",MeanMinAge21+'19_Расчет_аналитики'!BE4607*SUMIF(ThresholdAge21,"&lt;"&amp;'19_Расчет_аналитики'!BE4607,WeightedRevAge21)-SUMIF(ThresholdAge21,"&lt;"&amp;'19_Расчет_аналитики'!BE4607,WeightedMinAge21),MAX(CapacityAge21*'01_Вводные'!$B$218*'19_Расчет_аналитики'!BE4607,MeanMinAge21))),0)</f>
        <v/>
      </c>
      <c r="BF4532">
        <f>IF('01_Вводные'!$B$234="Да",IF(OR('19_Расчет_аналитики'!BF4504=0,21&lt;='01_Вводные'!$B$297),0,'19_Расчет_аналитики'!BF4504*IF('01_Вводные'!$B$239="Да",MeanMinAge21+'19_Расчет_аналитики'!BF4607*SUMIF(ThresholdAge21,"&lt;"&amp;'19_Расчет_аналитики'!BF4607,WeightedRevAge21)-SUMIF(ThresholdAge21,"&lt;"&amp;'19_Расчет_аналитики'!BF4607,WeightedMinAge21),MAX(CapacityAge21*'01_Вводные'!$B$218*'19_Расчет_аналитики'!BF4607,MeanMinAge21))),0)</f>
        <v/>
      </c>
      <c r="BG4532">
        <f>IF('01_Вводные'!$B$234="Да",IF(OR('19_Расчет_аналитики'!BG4504=0,21&lt;='01_Вводные'!$B$297),0,'19_Расчет_аналитики'!BG4504*IF('01_Вводные'!$B$239="Да",MeanMinAge21+'19_Расчет_аналитики'!BG4607*SUMIF(ThresholdAge21,"&lt;"&amp;'19_Расчет_аналитики'!BG4607,WeightedRevAge21)-SUMIF(ThresholdAge21,"&lt;"&amp;'19_Расчет_аналитики'!BG4607,WeightedMinAge21),MAX(CapacityAge21*'01_Вводные'!$B$218*'19_Расчет_аналитики'!BG4607,MeanMinAge21))),0)</f>
        <v/>
      </c>
      <c r="BH4532">
        <f>IF('01_Вводные'!$B$234="Да",IF(OR('19_Расчет_аналитики'!BH4504=0,21&lt;='01_Вводные'!$B$297),0,'19_Расчет_аналитики'!BH4504*IF('01_Вводные'!$B$239="Да",MeanMinAge21+'19_Расчет_аналитики'!BH4607*SUMIF(ThresholdAge21,"&lt;"&amp;'19_Расчет_аналитики'!BH4607,WeightedRevAge21)-SUMIF(ThresholdAge21,"&lt;"&amp;'19_Расчет_аналитики'!BH4607,WeightedMinAge21),MAX(CapacityAge21*'01_Вводные'!$B$218*'19_Расчет_аналитики'!BH4607,MeanMinAge21))),0)</f>
        <v/>
      </c>
      <c r="BI4532">
        <f>IF('01_Вводные'!$B$234="Да",IF(OR('19_Расчет_аналитики'!BI4504=0,21&lt;='01_Вводные'!$B$297),0,'19_Расчет_аналитики'!BI4504*IF('01_Вводные'!$B$239="Да",MeanMinAge21+'19_Расчет_аналитики'!BI4607*SUMIF(ThresholdAge21,"&lt;"&amp;'19_Расчет_аналитики'!BI4607,WeightedRevAge21)-SUMIF(ThresholdAge21,"&lt;"&amp;'19_Расчет_аналитики'!BI4607,WeightedMinAge21),MAX(CapacityAge21*'01_Вводные'!$B$218*'19_Расчет_аналитики'!BI4607,MeanMinAge21))),0)</f>
        <v/>
      </c>
      <c r="BJ4532">
        <f>IF('01_Вводные'!$B$234="Да",IF(OR('19_Расчет_аналитики'!BJ4504=0,21&lt;='01_Вводные'!$B$297),0,'19_Расчет_аналитики'!BJ4504*IF('01_Вводные'!$B$239="Да",MeanMinAge21+'19_Расчет_аналитики'!BJ4607*SUMIF(ThresholdAge21,"&lt;"&amp;'19_Расчет_аналитики'!BJ4607,WeightedRevAge21)-SUMIF(ThresholdAge21,"&lt;"&amp;'19_Расчет_аналитики'!BJ4607,WeightedMinAge21),MAX(CapacityAge21*'01_Вводные'!$B$218*'19_Расчет_аналитики'!BJ4607,MeanMinAge21))),0)</f>
        <v/>
      </c>
      <c r="BK4532">
        <f>IF('01_Вводные'!$B$234="Да",IF(OR('19_Расчет_аналитики'!BK4504=0,21&lt;='01_Вводные'!$B$297),0,'19_Расчет_аналитики'!BK4504*IF('01_Вводные'!$B$239="Да",MeanMinAge21+'19_Расчет_аналитики'!BK4607*SUMIF(ThresholdAge21,"&lt;"&amp;'19_Расчет_аналитики'!BK4607,WeightedRevAge21)-SUMIF(ThresholdAge21,"&lt;"&amp;'19_Расчет_аналитики'!BK4607,WeightedMinAge21),MAX(CapacityAge21*'01_Вводные'!$B$218*'19_Расчет_аналитики'!BK4607,MeanMinAge21))),0)</f>
        <v/>
      </c>
      <c r="BL4532">
        <f>IF('01_Вводные'!$B$234="Да",IF(OR('19_Расчет_аналитики'!BL4504=0,21&lt;='01_Вводные'!$B$297),0,'19_Расчет_аналитики'!BL4504*IF('01_Вводные'!$B$239="Да",MeanMinAge21+'19_Расчет_аналитики'!BL4607*SUMIF(ThresholdAge21,"&lt;"&amp;'19_Расчет_аналитики'!BL4607,WeightedRevAge21)-SUMIF(ThresholdAge21,"&lt;"&amp;'19_Расчет_аналитики'!BL4607,WeightedMinAge21),MAX(CapacityAge21*'01_Вводные'!$B$218*'19_Расчет_аналитики'!BL4607,MeanMinAge21))),0)</f>
        <v/>
      </c>
      <c r="BM4532">
        <f>IF('01_Вводные'!$B$234="Да",IF(OR('19_Расчет_аналитики'!BM4504=0,21&lt;='01_Вводные'!$B$297),0,'19_Расчет_аналитики'!BM4504*IF('01_Вводные'!$B$239="Да",MeanMinAge21+'19_Расчет_аналитики'!BM4607*SUMIF(ThresholdAge21,"&lt;"&amp;'19_Расчет_аналитики'!BM4607,WeightedRevAge21)-SUMIF(ThresholdAge21,"&lt;"&amp;'19_Расчет_аналитики'!BM4607,WeightedMinAge21),MAX(CapacityAge21*'01_Вводные'!$B$218*'19_Расчет_аналитики'!BM4607,MeanMinAge21))),0)</f>
        <v/>
      </c>
      <c r="BN4532">
        <f>IF('01_Вводные'!$B$234="Да",IF(OR('19_Расчет_аналитики'!BN4504=0,21&lt;='01_Вводные'!$B$297),0,'19_Расчет_аналитики'!BN4504*IF('01_Вводные'!$B$239="Да",MeanMinAge21+'19_Расчет_аналитики'!BN4607*SUMIF(ThresholdAge21,"&lt;"&amp;'19_Расчет_аналитики'!BN4607,WeightedRevAge21)-SUMIF(ThresholdAge21,"&lt;"&amp;'19_Расчет_аналитики'!BN4607,WeightedMinAge21),MAX(CapacityAge21*'01_Вводные'!$B$218*'19_Расчет_аналитики'!BN4607,MeanMinAge21))),0)</f>
        <v/>
      </c>
      <c r="BO4532">
        <f>IF('01_Вводные'!$B$234="Да",IF(OR('19_Расчет_аналитики'!BO4504=0,21&lt;='01_Вводные'!$B$297),0,'19_Расчет_аналитики'!BO4504*IF('01_Вводные'!$B$239="Да",MeanMinAge21+'19_Расчет_аналитики'!BO4607*SUMIF(ThresholdAge21,"&lt;"&amp;'19_Расчет_аналитики'!BO4607,WeightedRevAge21)-SUMIF(ThresholdAge21,"&lt;"&amp;'19_Расчет_аналитики'!BO4607,WeightedMinAge21),MAX(CapacityAge21*'01_Вводные'!$B$218*'19_Расчет_аналитики'!BO4607,MeanMinAge21))),0)</f>
        <v/>
      </c>
    </row>
    <row r="4533">
      <c r="B4533">
        <f>IF('01_Вводные'!$B$234="Да",IF(OR('06_Сеть_и_дети'!B102=0,22&lt;='01_Вводные'!$B$297),0,'06_Сеть_и_дети'!B102*IF('01_Вводные'!$B$239="Да",MeanMinAge22+'19_Расчет_аналитики'!B4607*SUMIF(ThresholdAge22,"&lt;"&amp;'19_Расчет_аналитики'!B4607,WeightedRevAge22)-SUMIF(ThresholdAge22,"&lt;"&amp;'19_Расчет_аналитики'!B4607,WeightedMinAge22),MAX(CapacityAge22*'01_Вводные'!$B$218*'19_Расчет_аналитики'!B4607,MeanMinAge22))),0)</f>
        <v/>
      </c>
      <c r="C4533">
        <f>IF('01_Вводные'!$B$234="Да",IF(OR('06_Сеть_и_дети'!C102=0,22&lt;='01_Вводные'!$B$297),0,'06_Сеть_и_дети'!C102*IF('01_Вводные'!$B$239="Да",MeanMinAge22+'19_Расчет_аналитики'!C4607*SUMIF(ThresholdAge22,"&lt;"&amp;'19_Расчет_аналитики'!C4607,WeightedRevAge22)-SUMIF(ThresholdAge22,"&lt;"&amp;'19_Расчет_аналитики'!C4607,WeightedMinAge22),MAX(CapacityAge22*'01_Вводные'!$B$218*'19_Расчет_аналитики'!C4607,MeanMinAge22))),0)</f>
        <v/>
      </c>
      <c r="D4533">
        <f>IF('01_Вводные'!$B$234="Да",IF(OR('06_Сеть_и_дети'!D102=0,22&lt;='01_Вводные'!$B$297),0,'06_Сеть_и_дети'!D102*IF('01_Вводные'!$B$239="Да",MeanMinAge22+'19_Расчет_аналитики'!D4607*SUMIF(ThresholdAge22,"&lt;"&amp;'19_Расчет_аналитики'!D4607,WeightedRevAge22)-SUMIF(ThresholdAge22,"&lt;"&amp;'19_Расчет_аналитики'!D4607,WeightedMinAge22),MAX(CapacityAge22*'01_Вводные'!$B$218*'19_Расчет_аналитики'!D4607,MeanMinAge22))),0)</f>
        <v/>
      </c>
      <c r="E4533">
        <f>IF('01_Вводные'!$B$234="Да",IF(OR('06_Сеть_и_дети'!E102=0,22&lt;='01_Вводные'!$B$297),0,'06_Сеть_и_дети'!E102*IF('01_Вводные'!$B$239="Да",MeanMinAge22+'19_Расчет_аналитики'!E4607*SUMIF(ThresholdAge22,"&lt;"&amp;'19_Расчет_аналитики'!E4607,WeightedRevAge22)-SUMIF(ThresholdAge22,"&lt;"&amp;'19_Расчет_аналитики'!E4607,WeightedMinAge22),MAX(CapacityAge22*'01_Вводные'!$B$218*'19_Расчет_аналитики'!E4607,MeanMinAge22))),0)</f>
        <v/>
      </c>
      <c r="F4533">
        <f>IF('01_Вводные'!$B$234="Да",IF(OR('06_Сеть_и_дети'!F102=0,22&lt;='01_Вводные'!$B$297),0,'06_Сеть_и_дети'!F102*IF('01_Вводные'!$B$239="Да",MeanMinAge22+'19_Расчет_аналитики'!F4607*SUMIF(ThresholdAge22,"&lt;"&amp;'19_Расчет_аналитики'!F4607,WeightedRevAge22)-SUMIF(ThresholdAge22,"&lt;"&amp;'19_Расчет_аналитики'!F4607,WeightedMinAge22),MAX(CapacityAge22*'01_Вводные'!$B$218*'19_Расчет_аналитики'!F4607,MeanMinAge22))),0)</f>
        <v/>
      </c>
      <c r="G4533">
        <f>IF('01_Вводные'!$B$234="Да",IF(OR('06_Сеть_и_дети'!G102=0,22&lt;='01_Вводные'!$B$297),0,'06_Сеть_и_дети'!G102*IF('01_Вводные'!$B$239="Да",MeanMinAge22+'19_Расчет_аналитики'!G4607*SUMIF(ThresholdAge22,"&lt;"&amp;'19_Расчет_аналитики'!G4607,WeightedRevAge22)-SUMIF(ThresholdAge22,"&lt;"&amp;'19_Расчет_аналитики'!G4607,WeightedMinAge22),MAX(CapacityAge22*'01_Вводные'!$B$218*'19_Расчет_аналитики'!G4607,MeanMinAge22))),0)</f>
        <v/>
      </c>
      <c r="H4533">
        <f>IF('01_Вводные'!$B$234="Да",IF(OR('06_Сеть_и_дети'!H102=0,22&lt;='01_Вводные'!$B$297),0,'06_Сеть_и_дети'!H102*IF('01_Вводные'!$B$239="Да",MeanMinAge22+'19_Расчет_аналитики'!H4607*SUMIF(ThresholdAge22,"&lt;"&amp;'19_Расчет_аналитики'!H4607,WeightedRevAge22)-SUMIF(ThresholdAge22,"&lt;"&amp;'19_Расчет_аналитики'!H4607,WeightedMinAge22),MAX(CapacityAge22*'01_Вводные'!$B$218*'19_Расчет_аналитики'!H4607,MeanMinAge22))),0)</f>
        <v/>
      </c>
      <c r="I4533">
        <f>IF('01_Вводные'!$B$234="Да",IF(OR('06_Сеть_и_дети'!I102=0,22&lt;='01_Вводные'!$B$297),0,'06_Сеть_и_дети'!I102*IF('01_Вводные'!$B$239="Да",MeanMinAge22+'19_Расчет_аналитики'!I4607*SUMIF(ThresholdAge22,"&lt;"&amp;'19_Расчет_аналитики'!I4607,WeightedRevAge22)-SUMIF(ThresholdAge22,"&lt;"&amp;'19_Расчет_аналитики'!I4607,WeightedMinAge22),MAX(CapacityAge22*'01_Вводные'!$B$218*'19_Расчет_аналитики'!I4607,MeanMinAge22))),0)</f>
        <v/>
      </c>
      <c r="J4533">
        <f>IF('01_Вводные'!$B$234="Да",IF(OR('06_Сеть_и_дети'!J102=0,22&lt;='01_Вводные'!$B$297),0,'06_Сеть_и_дети'!J102*IF('01_Вводные'!$B$239="Да",MeanMinAge22+'19_Расчет_аналитики'!J4607*SUMIF(ThresholdAge22,"&lt;"&amp;'19_Расчет_аналитики'!J4607,WeightedRevAge22)-SUMIF(ThresholdAge22,"&lt;"&amp;'19_Расчет_аналитики'!J4607,WeightedMinAge22),MAX(CapacityAge22*'01_Вводные'!$B$218*'19_Расчет_аналитики'!J4607,MeanMinAge22))),0)</f>
        <v/>
      </c>
      <c r="K4533">
        <f>IF('01_Вводные'!$B$234="Да",IF(OR('06_Сеть_и_дети'!K102=0,22&lt;='01_Вводные'!$B$297),0,'06_Сеть_и_дети'!K102*IF('01_Вводные'!$B$239="Да",MeanMinAge22+'19_Расчет_аналитики'!K4607*SUMIF(ThresholdAge22,"&lt;"&amp;'19_Расчет_аналитики'!K4607,WeightedRevAge22)-SUMIF(ThresholdAge22,"&lt;"&amp;'19_Расчет_аналитики'!K4607,WeightedMinAge22),MAX(CapacityAge22*'01_Вводные'!$B$218*'19_Расчет_аналитики'!K4607,MeanMinAge22))),0)</f>
        <v/>
      </c>
      <c r="L4533">
        <f>IF('01_Вводные'!$B$234="Да",IF(OR('06_Сеть_и_дети'!L102=0,22&lt;='01_Вводные'!$B$297),0,'06_Сеть_и_дети'!L102*IF('01_Вводные'!$B$239="Да",MeanMinAge22+'19_Расчет_аналитики'!L4607*SUMIF(ThresholdAge22,"&lt;"&amp;'19_Расчет_аналитики'!L4607,WeightedRevAge22)-SUMIF(ThresholdAge22,"&lt;"&amp;'19_Расчет_аналитики'!L4607,WeightedMinAge22),MAX(CapacityAge22*'01_Вводные'!$B$218*'19_Расчет_аналитики'!L4607,MeanMinAge22))),0)</f>
        <v/>
      </c>
      <c r="M4533">
        <f>IF('01_Вводные'!$B$234="Да",IF(OR('06_Сеть_и_дети'!M102=0,22&lt;='01_Вводные'!$B$297),0,'06_Сеть_и_дети'!M102*IF('01_Вводные'!$B$239="Да",MeanMinAge22+'19_Расчет_аналитики'!M4607*SUMIF(ThresholdAge22,"&lt;"&amp;'19_Расчет_аналитики'!M4607,WeightedRevAge22)-SUMIF(ThresholdAge22,"&lt;"&amp;'19_Расчет_аналитики'!M4607,WeightedMinAge22),MAX(CapacityAge22*'01_Вводные'!$B$218*'19_Расчет_аналитики'!M4607,MeanMinAge22))),0)</f>
        <v/>
      </c>
      <c r="N4533">
        <f>IF('01_Вводные'!$B$234="Да",IF(OR('06_Сеть_и_дети'!N102=0,22&lt;='01_Вводные'!$B$297),0,'06_Сеть_и_дети'!N102*IF('01_Вводные'!$B$239="Да",MeanMinAge22+'19_Расчет_аналитики'!N4607*SUMIF(ThresholdAge22,"&lt;"&amp;'19_Расчет_аналитики'!N4607,WeightedRevAge22)-SUMIF(ThresholdAge22,"&lt;"&amp;'19_Расчет_аналитики'!N4607,WeightedMinAge22),MAX(CapacityAge22*'01_Вводные'!$B$218*'19_Расчет_аналитики'!N4607,MeanMinAge22))),0)</f>
        <v/>
      </c>
      <c r="O4533">
        <f>IF('01_Вводные'!$B$234="Да",IF(OR('06_Сеть_и_дети'!O102=0,22&lt;='01_Вводные'!$B$297),0,'06_Сеть_и_дети'!O102*IF('01_Вводные'!$B$239="Да",MeanMinAge22+'19_Расчет_аналитики'!O4607*SUMIF(ThresholdAge22,"&lt;"&amp;'19_Расчет_аналитики'!O4607,WeightedRevAge22)-SUMIF(ThresholdAge22,"&lt;"&amp;'19_Расчет_аналитики'!O4607,WeightedMinAge22),MAX(CapacityAge22*'01_Вводные'!$B$218*'19_Расчет_аналитики'!O4607,MeanMinAge22))),0)</f>
        <v/>
      </c>
      <c r="P4533">
        <f>IF('01_Вводные'!$B$234="Да",IF(OR('06_Сеть_и_дети'!P102=0,22&lt;='01_Вводные'!$B$297),0,'06_Сеть_и_дети'!P102*IF('01_Вводные'!$B$239="Да",MeanMinAge22+'19_Расчет_аналитики'!P4607*SUMIF(ThresholdAge22,"&lt;"&amp;'19_Расчет_аналитики'!P4607,WeightedRevAge22)-SUMIF(ThresholdAge22,"&lt;"&amp;'19_Расчет_аналитики'!P4607,WeightedMinAge22),MAX(CapacityAge22*'01_Вводные'!$B$218*'19_Расчет_аналитики'!P4607,MeanMinAge22))),0)</f>
        <v/>
      </c>
      <c r="Q4533">
        <f>IF('01_Вводные'!$B$234="Да",IF(OR('06_Сеть_и_дети'!Q102=0,22&lt;='01_Вводные'!$B$297),0,'06_Сеть_и_дети'!Q102*IF('01_Вводные'!$B$239="Да",MeanMinAge22+'19_Расчет_аналитики'!Q4607*SUMIF(ThresholdAge22,"&lt;"&amp;'19_Расчет_аналитики'!Q4607,WeightedRevAge22)-SUMIF(ThresholdAge22,"&lt;"&amp;'19_Расчет_аналитики'!Q4607,WeightedMinAge22),MAX(CapacityAge22*'01_Вводные'!$B$218*'19_Расчет_аналитики'!Q4607,MeanMinAge22))),0)</f>
        <v/>
      </c>
      <c r="R4533">
        <f>IF('01_Вводные'!$B$234="Да",IF(OR('06_Сеть_и_дети'!R102=0,22&lt;='01_Вводные'!$B$297),0,'06_Сеть_и_дети'!R102*IF('01_Вводные'!$B$239="Да",MeanMinAge22+'19_Расчет_аналитики'!R4607*SUMIF(ThresholdAge22,"&lt;"&amp;'19_Расчет_аналитики'!R4607,WeightedRevAge22)-SUMIF(ThresholdAge22,"&lt;"&amp;'19_Расчет_аналитики'!R4607,WeightedMinAge22),MAX(CapacityAge22*'01_Вводные'!$B$218*'19_Расчет_аналитики'!R4607,MeanMinAge22))),0)</f>
        <v/>
      </c>
      <c r="S4533">
        <f>IF('01_Вводные'!$B$234="Да",IF(OR('06_Сеть_и_дети'!S102=0,22&lt;='01_Вводные'!$B$297),0,'06_Сеть_и_дети'!S102*IF('01_Вводные'!$B$239="Да",MeanMinAge22+'19_Расчет_аналитики'!S4607*SUMIF(ThresholdAge22,"&lt;"&amp;'19_Расчет_аналитики'!S4607,WeightedRevAge22)-SUMIF(ThresholdAge22,"&lt;"&amp;'19_Расчет_аналитики'!S4607,WeightedMinAge22),MAX(CapacityAge22*'01_Вводные'!$B$218*'19_Расчет_аналитики'!S4607,MeanMinAge22))),0)</f>
        <v/>
      </c>
      <c r="T4533">
        <f>IF('01_Вводные'!$B$234="Да",IF(OR('06_Сеть_и_дети'!T102=0,22&lt;='01_Вводные'!$B$297),0,'06_Сеть_и_дети'!T102*IF('01_Вводные'!$B$239="Да",MeanMinAge22+'19_Расчет_аналитики'!T4607*SUMIF(ThresholdAge22,"&lt;"&amp;'19_Расчет_аналитики'!T4607,WeightedRevAge22)-SUMIF(ThresholdAge22,"&lt;"&amp;'19_Расчет_аналитики'!T4607,WeightedMinAge22),MAX(CapacityAge22*'01_Вводные'!$B$218*'19_Расчет_аналитики'!T4607,MeanMinAge22))),0)</f>
        <v/>
      </c>
      <c r="U4533">
        <f>IF('01_Вводные'!$B$234="Да",IF(OR('06_Сеть_и_дети'!U102=0,22&lt;='01_Вводные'!$B$297),0,'06_Сеть_и_дети'!U102*IF('01_Вводные'!$B$239="Да",MeanMinAge22+'19_Расчет_аналитики'!U4607*SUMIF(ThresholdAge22,"&lt;"&amp;'19_Расчет_аналитики'!U4607,WeightedRevAge22)-SUMIF(ThresholdAge22,"&lt;"&amp;'19_Расчет_аналитики'!U4607,WeightedMinAge22),MAX(CapacityAge22*'01_Вводные'!$B$218*'19_Расчет_аналитики'!U4607,MeanMinAge22))),0)</f>
        <v/>
      </c>
      <c r="V4533">
        <f>IF('01_Вводные'!$B$234="Да",IF(OR('06_Сеть_и_дети'!V102=0,22&lt;='01_Вводные'!$B$297),0,'06_Сеть_и_дети'!V102*IF('01_Вводные'!$B$239="Да",MeanMinAge22+'19_Расчет_аналитики'!V4607*SUMIF(ThresholdAge22,"&lt;"&amp;'19_Расчет_аналитики'!V4607,WeightedRevAge22)-SUMIF(ThresholdAge22,"&lt;"&amp;'19_Расчет_аналитики'!V4607,WeightedMinAge22),MAX(CapacityAge22*'01_Вводные'!$B$218*'19_Расчет_аналитики'!V4607,MeanMinAge22))),0)</f>
        <v/>
      </c>
      <c r="W4533">
        <f>IF('01_Вводные'!$B$234="Да",IF(OR('19_Расчет_аналитики'!W4505=0,22&lt;='01_Вводные'!$B$297),0,'19_Расчет_аналитики'!W4505*IF('01_Вводные'!$B$239="Да",MeanMinAge22+'19_Расчет_аналитики'!W4607*SUMIF(ThresholdAge22,"&lt;"&amp;'19_Расчет_аналитики'!W4607,WeightedRevAge22)-SUMIF(ThresholdAge22,"&lt;"&amp;'19_Расчет_аналитики'!W4607,WeightedMinAge22),MAX(CapacityAge22*'01_Вводные'!$B$218*'19_Расчет_аналитики'!W4607,MeanMinAge22))),0)</f>
        <v/>
      </c>
      <c r="X4533">
        <f>IF('01_Вводные'!$B$234="Да",IF(OR('19_Расчет_аналитики'!X4505=0,22&lt;='01_Вводные'!$B$297),0,'19_Расчет_аналитики'!X4505*IF('01_Вводные'!$B$239="Да",MeanMinAge22+'19_Расчет_аналитики'!X4607*SUMIF(ThresholdAge22,"&lt;"&amp;'19_Расчет_аналитики'!X4607,WeightedRevAge22)-SUMIF(ThresholdAge22,"&lt;"&amp;'19_Расчет_аналитики'!X4607,WeightedMinAge22),MAX(CapacityAge22*'01_Вводные'!$B$218*'19_Расчет_аналитики'!X4607,MeanMinAge22))),0)</f>
        <v/>
      </c>
      <c r="Y4533">
        <f>IF('01_Вводные'!$B$234="Да",IF(OR('19_Расчет_аналитики'!Y4505=0,22&lt;='01_Вводные'!$B$297),0,'19_Расчет_аналитики'!Y4505*IF('01_Вводные'!$B$239="Да",MeanMinAge22+'19_Расчет_аналитики'!Y4607*SUMIF(ThresholdAge22,"&lt;"&amp;'19_Расчет_аналитики'!Y4607,WeightedRevAge22)-SUMIF(ThresholdAge22,"&lt;"&amp;'19_Расчет_аналитики'!Y4607,WeightedMinAge22),MAX(CapacityAge22*'01_Вводные'!$B$218*'19_Расчет_аналитики'!Y4607,MeanMinAge22))),0)</f>
        <v/>
      </c>
      <c r="Z4533">
        <f>IF('01_Вводные'!$B$234="Да",IF(OR('19_Расчет_аналитики'!Z4505=0,22&lt;='01_Вводные'!$B$297),0,'19_Расчет_аналитики'!Z4505*IF('01_Вводные'!$B$239="Да",MeanMinAge22+'19_Расчет_аналитики'!Z4607*SUMIF(ThresholdAge22,"&lt;"&amp;'19_Расчет_аналитики'!Z4607,WeightedRevAge22)-SUMIF(ThresholdAge22,"&lt;"&amp;'19_Расчет_аналитики'!Z4607,WeightedMinAge22),MAX(CapacityAge22*'01_Вводные'!$B$218*'19_Расчет_аналитики'!Z4607,MeanMinAge22))),0)</f>
        <v/>
      </c>
      <c r="AA4533">
        <f>IF('01_Вводные'!$B$234="Да",IF(OR('19_Расчет_аналитики'!AA4505=0,22&lt;='01_Вводные'!$B$297),0,'19_Расчет_аналитики'!AA4505*IF('01_Вводные'!$B$239="Да",MeanMinAge22+'19_Расчет_аналитики'!AA4607*SUMIF(ThresholdAge22,"&lt;"&amp;'19_Расчет_аналитики'!AA4607,WeightedRevAge22)-SUMIF(ThresholdAge22,"&lt;"&amp;'19_Расчет_аналитики'!AA4607,WeightedMinAge22),MAX(CapacityAge22*'01_Вводные'!$B$218*'19_Расчет_аналитики'!AA4607,MeanMinAge22))),0)</f>
        <v/>
      </c>
      <c r="AB4533">
        <f>IF('01_Вводные'!$B$234="Да",IF(OR('19_Расчет_аналитики'!AB4505=0,22&lt;='01_Вводные'!$B$297),0,'19_Расчет_аналитики'!AB4505*IF('01_Вводные'!$B$239="Да",MeanMinAge22+'19_Расчет_аналитики'!AB4607*SUMIF(ThresholdAge22,"&lt;"&amp;'19_Расчет_аналитики'!AB4607,WeightedRevAge22)-SUMIF(ThresholdAge22,"&lt;"&amp;'19_Расчет_аналитики'!AB4607,WeightedMinAge22),MAX(CapacityAge22*'01_Вводные'!$B$218*'19_Расчет_аналитики'!AB4607,MeanMinAge22))),0)</f>
        <v/>
      </c>
      <c r="AC4533">
        <f>IF('01_Вводные'!$B$234="Да",IF(OR('19_Расчет_аналитики'!AC4505=0,22&lt;='01_Вводные'!$B$297),0,'19_Расчет_аналитики'!AC4505*IF('01_Вводные'!$B$239="Да",MeanMinAge22+'19_Расчет_аналитики'!AC4607*SUMIF(ThresholdAge22,"&lt;"&amp;'19_Расчет_аналитики'!AC4607,WeightedRevAge22)-SUMIF(ThresholdAge22,"&lt;"&amp;'19_Расчет_аналитики'!AC4607,WeightedMinAge22),MAX(CapacityAge22*'01_Вводные'!$B$218*'19_Расчет_аналитики'!AC4607,MeanMinAge22))),0)</f>
        <v/>
      </c>
      <c r="AD4533">
        <f>IF('01_Вводные'!$B$234="Да",IF(OR('19_Расчет_аналитики'!AD4505=0,22&lt;='01_Вводные'!$B$297),0,'19_Расчет_аналитики'!AD4505*IF('01_Вводные'!$B$239="Да",MeanMinAge22+'19_Расчет_аналитики'!AD4607*SUMIF(ThresholdAge22,"&lt;"&amp;'19_Расчет_аналитики'!AD4607,WeightedRevAge22)-SUMIF(ThresholdAge22,"&lt;"&amp;'19_Расчет_аналитики'!AD4607,WeightedMinAge22),MAX(CapacityAge22*'01_Вводные'!$B$218*'19_Расчет_аналитики'!AD4607,MeanMinAge22))),0)</f>
        <v/>
      </c>
      <c r="AE4533">
        <f>IF('01_Вводные'!$B$234="Да",IF(OR('19_Расчет_аналитики'!AE4505=0,22&lt;='01_Вводные'!$B$297),0,'19_Расчет_аналитики'!AE4505*IF('01_Вводные'!$B$239="Да",MeanMinAge22+'19_Расчет_аналитики'!AE4607*SUMIF(ThresholdAge22,"&lt;"&amp;'19_Расчет_аналитики'!AE4607,WeightedRevAge22)-SUMIF(ThresholdAge22,"&lt;"&amp;'19_Расчет_аналитики'!AE4607,WeightedMinAge22),MAX(CapacityAge22*'01_Вводные'!$B$218*'19_Расчет_аналитики'!AE4607,MeanMinAge22))),0)</f>
        <v/>
      </c>
      <c r="AF4533">
        <f>IF('01_Вводные'!$B$234="Да",IF(OR('19_Расчет_аналитики'!AF4505=0,22&lt;='01_Вводные'!$B$297),0,'19_Расчет_аналитики'!AF4505*IF('01_Вводные'!$B$239="Да",MeanMinAge22+'19_Расчет_аналитики'!AF4607*SUMIF(ThresholdAge22,"&lt;"&amp;'19_Расчет_аналитики'!AF4607,WeightedRevAge22)-SUMIF(ThresholdAge22,"&lt;"&amp;'19_Расчет_аналитики'!AF4607,WeightedMinAge22),MAX(CapacityAge22*'01_Вводные'!$B$218*'19_Расчет_аналитики'!AF4607,MeanMinAge22))),0)</f>
        <v/>
      </c>
      <c r="AG4533">
        <f>IF('01_Вводные'!$B$234="Да",IF(OR('19_Расчет_аналитики'!AG4505=0,22&lt;='01_Вводные'!$B$297),0,'19_Расчет_аналитики'!AG4505*IF('01_Вводные'!$B$239="Да",MeanMinAge22+'19_Расчет_аналитики'!AG4607*SUMIF(ThresholdAge22,"&lt;"&amp;'19_Расчет_аналитики'!AG4607,WeightedRevAge22)-SUMIF(ThresholdAge22,"&lt;"&amp;'19_Расчет_аналитики'!AG4607,WeightedMinAge22),MAX(CapacityAge22*'01_Вводные'!$B$218*'19_Расчет_аналитики'!AG4607,MeanMinAge22))),0)</f>
        <v/>
      </c>
      <c r="AH4533">
        <f>IF('01_Вводные'!$B$234="Да",IF(OR('19_Расчет_аналитики'!AH4505=0,22&lt;='01_Вводные'!$B$297),0,'19_Расчет_аналитики'!AH4505*IF('01_Вводные'!$B$239="Да",MeanMinAge22+'19_Расчет_аналитики'!AH4607*SUMIF(ThresholdAge22,"&lt;"&amp;'19_Расчет_аналитики'!AH4607,WeightedRevAge22)-SUMIF(ThresholdAge22,"&lt;"&amp;'19_Расчет_аналитики'!AH4607,WeightedMinAge22),MAX(CapacityAge22*'01_Вводные'!$B$218*'19_Расчет_аналитики'!AH4607,MeanMinAge22))),0)</f>
        <v/>
      </c>
      <c r="AI4533">
        <f>IF('01_Вводные'!$B$234="Да",IF(OR('19_Расчет_аналитики'!AI4505=0,22&lt;='01_Вводные'!$B$297),0,'19_Расчет_аналитики'!AI4505*IF('01_Вводные'!$B$239="Да",MeanMinAge22+'19_Расчет_аналитики'!AI4607*SUMIF(ThresholdAge22,"&lt;"&amp;'19_Расчет_аналитики'!AI4607,WeightedRevAge22)-SUMIF(ThresholdAge22,"&lt;"&amp;'19_Расчет_аналитики'!AI4607,WeightedMinAge22),MAX(CapacityAge22*'01_Вводные'!$B$218*'19_Расчет_аналитики'!AI4607,MeanMinAge22))),0)</f>
        <v/>
      </c>
      <c r="AJ4533">
        <f>IF('01_Вводные'!$B$234="Да",IF(OR('19_Расчет_аналитики'!AJ4505=0,22&lt;='01_Вводные'!$B$297),0,'19_Расчет_аналитики'!AJ4505*IF('01_Вводные'!$B$239="Да",MeanMinAge22+'19_Расчет_аналитики'!AJ4607*SUMIF(ThresholdAge22,"&lt;"&amp;'19_Расчет_аналитики'!AJ4607,WeightedRevAge22)-SUMIF(ThresholdAge22,"&lt;"&amp;'19_Расчет_аналитики'!AJ4607,WeightedMinAge22),MAX(CapacityAge22*'01_Вводные'!$B$218*'19_Расчет_аналитики'!AJ4607,MeanMinAge22))),0)</f>
        <v/>
      </c>
      <c r="AK4533">
        <f>IF('01_Вводные'!$B$234="Да",IF(OR('19_Расчет_аналитики'!AK4505=0,22&lt;='01_Вводные'!$B$297),0,'19_Расчет_аналитики'!AK4505*IF('01_Вводные'!$B$239="Да",MeanMinAge22+'19_Расчет_аналитики'!AK4607*SUMIF(ThresholdAge22,"&lt;"&amp;'19_Расчет_аналитики'!AK4607,WeightedRevAge22)-SUMIF(ThresholdAge22,"&lt;"&amp;'19_Расчет_аналитики'!AK4607,WeightedMinAge22),MAX(CapacityAge22*'01_Вводные'!$B$218*'19_Расчет_аналитики'!AK4607,MeanMinAge22))),0)</f>
        <v/>
      </c>
      <c r="AL4533">
        <f>IF('01_Вводные'!$B$234="Да",IF(OR('19_Расчет_аналитики'!AL4505=0,22&lt;='01_Вводные'!$B$297),0,'19_Расчет_аналитики'!AL4505*IF('01_Вводные'!$B$239="Да",MeanMinAge22+'19_Расчет_аналитики'!AL4607*SUMIF(ThresholdAge22,"&lt;"&amp;'19_Расчет_аналитики'!AL4607,WeightedRevAge22)-SUMIF(ThresholdAge22,"&lt;"&amp;'19_Расчет_аналитики'!AL4607,WeightedMinAge22),MAX(CapacityAge22*'01_Вводные'!$B$218*'19_Расчет_аналитики'!AL4607,MeanMinAge22))),0)</f>
        <v/>
      </c>
      <c r="AM4533">
        <f>IF('01_Вводные'!$B$234="Да",IF(OR('19_Расчет_аналитики'!AM4505=0,22&lt;='01_Вводные'!$B$297),0,'19_Расчет_аналитики'!AM4505*IF('01_Вводные'!$B$239="Да",MeanMinAge22+'19_Расчет_аналитики'!AM4607*SUMIF(ThresholdAge22,"&lt;"&amp;'19_Расчет_аналитики'!AM4607,WeightedRevAge22)-SUMIF(ThresholdAge22,"&lt;"&amp;'19_Расчет_аналитики'!AM4607,WeightedMinAge22),MAX(CapacityAge22*'01_Вводные'!$B$218*'19_Расчет_аналитики'!AM4607,MeanMinAge22))),0)</f>
        <v/>
      </c>
      <c r="AN4533">
        <f>IF('01_Вводные'!$B$234="Да",IF(OR('19_Расчет_аналитики'!AN4505=0,22&lt;='01_Вводные'!$B$297),0,'19_Расчет_аналитики'!AN4505*IF('01_Вводные'!$B$239="Да",MeanMinAge22+'19_Расчет_аналитики'!AN4607*SUMIF(ThresholdAge22,"&lt;"&amp;'19_Расчет_аналитики'!AN4607,WeightedRevAge22)-SUMIF(ThresholdAge22,"&lt;"&amp;'19_Расчет_аналитики'!AN4607,WeightedMinAge22),MAX(CapacityAge22*'01_Вводные'!$B$218*'19_Расчет_аналитики'!AN4607,MeanMinAge22))),0)</f>
        <v/>
      </c>
      <c r="AO4533">
        <f>IF('01_Вводные'!$B$234="Да",IF(OR('19_Расчет_аналитики'!AO4505=0,22&lt;='01_Вводные'!$B$297),0,'19_Расчет_аналитики'!AO4505*IF('01_Вводные'!$B$239="Да",MeanMinAge22+'19_Расчет_аналитики'!AO4607*SUMIF(ThresholdAge22,"&lt;"&amp;'19_Расчет_аналитики'!AO4607,WeightedRevAge22)-SUMIF(ThresholdAge22,"&lt;"&amp;'19_Расчет_аналитики'!AO4607,WeightedMinAge22),MAX(CapacityAge22*'01_Вводные'!$B$218*'19_Расчет_аналитики'!AO4607,MeanMinAge22))),0)</f>
        <v/>
      </c>
      <c r="AP4533">
        <f>IF('01_Вводные'!$B$234="Да",IF(OR('19_Расчет_аналитики'!AP4505=0,22&lt;='01_Вводные'!$B$297),0,'19_Расчет_аналитики'!AP4505*IF('01_Вводные'!$B$239="Да",MeanMinAge22+'19_Расчет_аналитики'!AP4607*SUMIF(ThresholdAge22,"&lt;"&amp;'19_Расчет_аналитики'!AP4607,WeightedRevAge22)-SUMIF(ThresholdAge22,"&lt;"&amp;'19_Расчет_аналитики'!AP4607,WeightedMinAge22),MAX(CapacityAge22*'01_Вводные'!$B$218*'19_Расчет_аналитики'!AP4607,MeanMinAge22))),0)</f>
        <v/>
      </c>
      <c r="AQ4533">
        <f>IF('01_Вводные'!$B$234="Да",IF(OR('19_Расчет_аналитики'!AQ4505=0,22&lt;='01_Вводные'!$B$297),0,'19_Расчет_аналитики'!AQ4505*IF('01_Вводные'!$B$239="Да",MeanMinAge22+'19_Расчет_аналитики'!AQ4607*SUMIF(ThresholdAge22,"&lt;"&amp;'19_Расчет_аналитики'!AQ4607,WeightedRevAge22)-SUMIF(ThresholdAge22,"&lt;"&amp;'19_Расчет_аналитики'!AQ4607,WeightedMinAge22),MAX(CapacityAge22*'01_Вводные'!$B$218*'19_Расчет_аналитики'!AQ4607,MeanMinAge22))),0)</f>
        <v/>
      </c>
      <c r="AR4533">
        <f>IF('01_Вводные'!$B$234="Да",IF(OR('19_Расчет_аналитики'!AR4505=0,22&lt;='01_Вводные'!$B$297),0,'19_Расчет_аналитики'!AR4505*IF('01_Вводные'!$B$239="Да",MeanMinAge22+'19_Расчет_аналитики'!AR4607*SUMIF(ThresholdAge22,"&lt;"&amp;'19_Расчет_аналитики'!AR4607,WeightedRevAge22)-SUMIF(ThresholdAge22,"&lt;"&amp;'19_Расчет_аналитики'!AR4607,WeightedMinAge22),MAX(CapacityAge22*'01_Вводные'!$B$218*'19_Расчет_аналитики'!AR4607,MeanMinAge22))),0)</f>
        <v/>
      </c>
      <c r="AS4533">
        <f>IF('01_Вводные'!$B$234="Да",IF(OR('19_Расчет_аналитики'!AS4505=0,22&lt;='01_Вводные'!$B$297),0,'19_Расчет_аналитики'!AS4505*IF('01_Вводные'!$B$239="Да",MeanMinAge22+'19_Расчет_аналитики'!AS4607*SUMIF(ThresholdAge22,"&lt;"&amp;'19_Расчет_аналитики'!AS4607,WeightedRevAge22)-SUMIF(ThresholdAge22,"&lt;"&amp;'19_Расчет_аналитики'!AS4607,WeightedMinAge22),MAX(CapacityAge22*'01_Вводные'!$B$218*'19_Расчет_аналитики'!AS4607,MeanMinAge22))),0)</f>
        <v/>
      </c>
      <c r="AT4533">
        <f>IF('01_Вводные'!$B$234="Да",IF(OR('19_Расчет_аналитики'!AT4505=0,22&lt;='01_Вводные'!$B$297),0,'19_Расчет_аналитики'!AT4505*IF('01_Вводные'!$B$239="Да",MeanMinAge22+'19_Расчет_аналитики'!AT4607*SUMIF(ThresholdAge22,"&lt;"&amp;'19_Расчет_аналитики'!AT4607,WeightedRevAge22)-SUMIF(ThresholdAge22,"&lt;"&amp;'19_Расчет_аналитики'!AT4607,WeightedMinAge22),MAX(CapacityAge22*'01_Вводные'!$B$218*'19_Расчет_аналитики'!AT4607,MeanMinAge22))),0)</f>
        <v/>
      </c>
      <c r="AU4533">
        <f>IF('01_Вводные'!$B$234="Да",IF(OR('19_Расчет_аналитики'!AU4505=0,22&lt;='01_Вводные'!$B$297),0,'19_Расчет_аналитики'!AU4505*IF('01_Вводные'!$B$239="Да",MeanMinAge22+'19_Расчет_аналитики'!AU4607*SUMIF(ThresholdAge22,"&lt;"&amp;'19_Расчет_аналитики'!AU4607,WeightedRevAge22)-SUMIF(ThresholdAge22,"&lt;"&amp;'19_Расчет_аналитики'!AU4607,WeightedMinAge22),MAX(CapacityAge22*'01_Вводные'!$B$218*'19_Расчет_аналитики'!AU4607,MeanMinAge22))),0)</f>
        <v/>
      </c>
      <c r="AV4533">
        <f>IF('01_Вводные'!$B$234="Да",IF(OR('19_Расчет_аналитики'!AV4505=0,22&lt;='01_Вводные'!$B$297),0,'19_Расчет_аналитики'!AV4505*IF('01_Вводные'!$B$239="Да",MeanMinAge22+'19_Расчет_аналитики'!AV4607*SUMIF(ThresholdAge22,"&lt;"&amp;'19_Расчет_аналитики'!AV4607,WeightedRevAge22)-SUMIF(ThresholdAge22,"&lt;"&amp;'19_Расчет_аналитики'!AV4607,WeightedMinAge22),MAX(CapacityAge22*'01_Вводные'!$B$218*'19_Расчет_аналитики'!AV4607,MeanMinAge22))),0)</f>
        <v/>
      </c>
      <c r="AW4533">
        <f>IF('01_Вводные'!$B$234="Да",IF(OR('19_Расчет_аналитики'!AW4505=0,22&lt;='01_Вводные'!$B$297),0,'19_Расчет_аналитики'!AW4505*IF('01_Вводные'!$B$239="Да",MeanMinAge22+'19_Расчет_аналитики'!AW4607*SUMIF(ThresholdAge22,"&lt;"&amp;'19_Расчет_аналитики'!AW4607,WeightedRevAge22)-SUMIF(ThresholdAge22,"&lt;"&amp;'19_Расчет_аналитики'!AW4607,WeightedMinAge22),MAX(CapacityAge22*'01_Вводные'!$B$218*'19_Расчет_аналитики'!AW4607,MeanMinAge22))),0)</f>
        <v/>
      </c>
      <c r="AX4533">
        <f>IF('01_Вводные'!$B$234="Да",IF(OR('19_Расчет_аналитики'!AX4505=0,22&lt;='01_Вводные'!$B$297),0,'19_Расчет_аналитики'!AX4505*IF('01_Вводные'!$B$239="Да",MeanMinAge22+'19_Расчет_аналитики'!AX4607*SUMIF(ThresholdAge22,"&lt;"&amp;'19_Расчет_аналитики'!AX4607,WeightedRevAge22)-SUMIF(ThresholdAge22,"&lt;"&amp;'19_Расчет_аналитики'!AX4607,WeightedMinAge22),MAX(CapacityAge22*'01_Вводные'!$B$218*'19_Расчет_аналитики'!AX4607,MeanMinAge22))),0)</f>
        <v/>
      </c>
      <c r="AY4533">
        <f>IF('01_Вводные'!$B$234="Да",IF(OR('19_Расчет_аналитики'!AY4505=0,22&lt;='01_Вводные'!$B$297),0,'19_Расчет_аналитики'!AY4505*IF('01_Вводные'!$B$239="Да",MeanMinAge22+'19_Расчет_аналитики'!AY4607*SUMIF(ThresholdAge22,"&lt;"&amp;'19_Расчет_аналитики'!AY4607,WeightedRevAge22)-SUMIF(ThresholdAge22,"&lt;"&amp;'19_Расчет_аналитики'!AY4607,WeightedMinAge22),MAX(CapacityAge22*'01_Вводные'!$B$218*'19_Расчет_аналитики'!AY4607,MeanMinAge22))),0)</f>
        <v/>
      </c>
      <c r="AZ4533">
        <f>IF('01_Вводные'!$B$234="Да",IF(OR('19_Расчет_аналитики'!AZ4505=0,22&lt;='01_Вводные'!$B$297),0,'19_Расчет_аналитики'!AZ4505*IF('01_Вводные'!$B$239="Да",MeanMinAge22+'19_Расчет_аналитики'!AZ4607*SUMIF(ThresholdAge22,"&lt;"&amp;'19_Расчет_аналитики'!AZ4607,WeightedRevAge22)-SUMIF(ThresholdAge22,"&lt;"&amp;'19_Расчет_аналитики'!AZ4607,WeightedMinAge22),MAX(CapacityAge22*'01_Вводные'!$B$218*'19_Расчет_аналитики'!AZ4607,MeanMinAge22))),0)</f>
        <v/>
      </c>
      <c r="BA4533">
        <f>IF('01_Вводные'!$B$234="Да",IF(OR('19_Расчет_аналитики'!BA4505=0,22&lt;='01_Вводные'!$B$297),0,'19_Расчет_аналитики'!BA4505*IF('01_Вводные'!$B$239="Да",MeanMinAge22+'19_Расчет_аналитики'!BA4607*SUMIF(ThresholdAge22,"&lt;"&amp;'19_Расчет_аналитики'!BA4607,WeightedRevAge22)-SUMIF(ThresholdAge22,"&lt;"&amp;'19_Расчет_аналитики'!BA4607,WeightedMinAge22),MAX(CapacityAge22*'01_Вводные'!$B$218*'19_Расчет_аналитики'!BA4607,MeanMinAge22))),0)</f>
        <v/>
      </c>
      <c r="BB4533">
        <f>IF('01_Вводные'!$B$234="Да",IF(OR('19_Расчет_аналитики'!BB4505=0,22&lt;='01_Вводные'!$B$297),0,'19_Расчет_аналитики'!BB4505*IF('01_Вводные'!$B$239="Да",MeanMinAge22+'19_Расчет_аналитики'!BB4607*SUMIF(ThresholdAge22,"&lt;"&amp;'19_Расчет_аналитики'!BB4607,WeightedRevAge22)-SUMIF(ThresholdAge22,"&lt;"&amp;'19_Расчет_аналитики'!BB4607,WeightedMinAge22),MAX(CapacityAge22*'01_Вводные'!$B$218*'19_Расчет_аналитики'!BB4607,MeanMinAge22))),0)</f>
        <v/>
      </c>
      <c r="BC4533">
        <f>IF('01_Вводные'!$B$234="Да",IF(OR('19_Расчет_аналитики'!BC4505=0,22&lt;='01_Вводные'!$B$297),0,'19_Расчет_аналитики'!BC4505*IF('01_Вводные'!$B$239="Да",MeanMinAge22+'19_Расчет_аналитики'!BC4607*SUMIF(ThresholdAge22,"&lt;"&amp;'19_Расчет_аналитики'!BC4607,WeightedRevAge22)-SUMIF(ThresholdAge22,"&lt;"&amp;'19_Расчет_аналитики'!BC4607,WeightedMinAge22),MAX(CapacityAge22*'01_Вводные'!$B$218*'19_Расчет_аналитики'!BC4607,MeanMinAge22))),0)</f>
        <v/>
      </c>
      <c r="BD4533">
        <f>IF('01_Вводные'!$B$234="Да",IF(OR('19_Расчет_аналитики'!BD4505=0,22&lt;='01_Вводные'!$B$297),0,'19_Расчет_аналитики'!BD4505*IF('01_Вводные'!$B$239="Да",MeanMinAge22+'19_Расчет_аналитики'!BD4607*SUMIF(ThresholdAge22,"&lt;"&amp;'19_Расчет_аналитики'!BD4607,WeightedRevAge22)-SUMIF(ThresholdAge22,"&lt;"&amp;'19_Расчет_аналитики'!BD4607,WeightedMinAge22),MAX(CapacityAge22*'01_Вводные'!$B$218*'19_Расчет_аналитики'!BD4607,MeanMinAge22))),0)</f>
        <v/>
      </c>
      <c r="BE4533">
        <f>IF('01_Вводные'!$B$234="Да",IF(OR('19_Расчет_аналитики'!BE4505=0,22&lt;='01_Вводные'!$B$297),0,'19_Расчет_аналитики'!BE4505*IF('01_Вводные'!$B$239="Да",MeanMinAge22+'19_Расчет_аналитики'!BE4607*SUMIF(ThresholdAge22,"&lt;"&amp;'19_Расчет_аналитики'!BE4607,WeightedRevAge22)-SUMIF(ThresholdAge22,"&lt;"&amp;'19_Расчет_аналитики'!BE4607,WeightedMinAge22),MAX(CapacityAge22*'01_Вводные'!$B$218*'19_Расчет_аналитики'!BE4607,MeanMinAge22))),0)</f>
        <v/>
      </c>
      <c r="BF4533">
        <f>IF('01_Вводные'!$B$234="Да",IF(OR('19_Расчет_аналитики'!BF4505=0,22&lt;='01_Вводные'!$B$297),0,'19_Расчет_аналитики'!BF4505*IF('01_Вводные'!$B$239="Да",MeanMinAge22+'19_Расчет_аналитики'!BF4607*SUMIF(ThresholdAge22,"&lt;"&amp;'19_Расчет_аналитики'!BF4607,WeightedRevAge22)-SUMIF(ThresholdAge22,"&lt;"&amp;'19_Расчет_аналитики'!BF4607,WeightedMinAge22),MAX(CapacityAge22*'01_Вводные'!$B$218*'19_Расчет_аналитики'!BF4607,MeanMinAge22))),0)</f>
        <v/>
      </c>
      <c r="BG4533">
        <f>IF('01_Вводные'!$B$234="Да",IF(OR('19_Расчет_аналитики'!BG4505=0,22&lt;='01_Вводные'!$B$297),0,'19_Расчет_аналитики'!BG4505*IF('01_Вводные'!$B$239="Да",MeanMinAge22+'19_Расчет_аналитики'!BG4607*SUMIF(ThresholdAge22,"&lt;"&amp;'19_Расчет_аналитики'!BG4607,WeightedRevAge22)-SUMIF(ThresholdAge22,"&lt;"&amp;'19_Расчет_аналитики'!BG4607,WeightedMinAge22),MAX(CapacityAge22*'01_Вводные'!$B$218*'19_Расчет_аналитики'!BG4607,MeanMinAge22))),0)</f>
        <v/>
      </c>
      <c r="BH4533">
        <f>IF('01_Вводные'!$B$234="Да",IF(OR('19_Расчет_аналитики'!BH4505=0,22&lt;='01_Вводные'!$B$297),0,'19_Расчет_аналитики'!BH4505*IF('01_Вводные'!$B$239="Да",MeanMinAge22+'19_Расчет_аналитики'!BH4607*SUMIF(ThresholdAge22,"&lt;"&amp;'19_Расчет_аналитики'!BH4607,WeightedRevAge22)-SUMIF(ThresholdAge22,"&lt;"&amp;'19_Расчет_аналитики'!BH4607,WeightedMinAge22),MAX(CapacityAge22*'01_Вводные'!$B$218*'19_Расчет_аналитики'!BH4607,MeanMinAge22))),0)</f>
        <v/>
      </c>
      <c r="BI4533">
        <f>IF('01_Вводные'!$B$234="Да",IF(OR('19_Расчет_аналитики'!BI4505=0,22&lt;='01_Вводные'!$B$297),0,'19_Расчет_аналитики'!BI4505*IF('01_Вводные'!$B$239="Да",MeanMinAge22+'19_Расчет_аналитики'!BI4607*SUMIF(ThresholdAge22,"&lt;"&amp;'19_Расчет_аналитики'!BI4607,WeightedRevAge22)-SUMIF(ThresholdAge22,"&lt;"&amp;'19_Расчет_аналитики'!BI4607,WeightedMinAge22),MAX(CapacityAge22*'01_Вводные'!$B$218*'19_Расчет_аналитики'!BI4607,MeanMinAge22))),0)</f>
        <v/>
      </c>
      <c r="BJ4533">
        <f>IF('01_Вводные'!$B$234="Да",IF(OR('19_Расчет_аналитики'!BJ4505=0,22&lt;='01_Вводные'!$B$297),0,'19_Расчет_аналитики'!BJ4505*IF('01_Вводные'!$B$239="Да",MeanMinAge22+'19_Расчет_аналитики'!BJ4607*SUMIF(ThresholdAge22,"&lt;"&amp;'19_Расчет_аналитики'!BJ4607,WeightedRevAge22)-SUMIF(ThresholdAge22,"&lt;"&amp;'19_Расчет_аналитики'!BJ4607,WeightedMinAge22),MAX(CapacityAge22*'01_Вводные'!$B$218*'19_Расчет_аналитики'!BJ4607,MeanMinAge22))),0)</f>
        <v/>
      </c>
      <c r="BK4533">
        <f>IF('01_Вводные'!$B$234="Да",IF(OR('19_Расчет_аналитики'!BK4505=0,22&lt;='01_Вводные'!$B$297),0,'19_Расчет_аналитики'!BK4505*IF('01_Вводные'!$B$239="Да",MeanMinAge22+'19_Расчет_аналитики'!BK4607*SUMIF(ThresholdAge22,"&lt;"&amp;'19_Расчет_аналитики'!BK4607,WeightedRevAge22)-SUMIF(ThresholdAge22,"&lt;"&amp;'19_Расчет_аналитики'!BK4607,WeightedMinAge22),MAX(CapacityAge22*'01_Вводные'!$B$218*'19_Расчет_аналитики'!BK4607,MeanMinAge22))),0)</f>
        <v/>
      </c>
      <c r="BL4533">
        <f>IF('01_Вводные'!$B$234="Да",IF(OR('19_Расчет_аналитики'!BL4505=0,22&lt;='01_Вводные'!$B$297),0,'19_Расчет_аналитики'!BL4505*IF('01_Вводные'!$B$239="Да",MeanMinAge22+'19_Расчет_аналитики'!BL4607*SUMIF(ThresholdAge22,"&lt;"&amp;'19_Расчет_аналитики'!BL4607,WeightedRevAge22)-SUMIF(ThresholdAge22,"&lt;"&amp;'19_Расчет_аналитики'!BL4607,WeightedMinAge22),MAX(CapacityAge22*'01_Вводные'!$B$218*'19_Расчет_аналитики'!BL4607,MeanMinAge22))),0)</f>
        <v/>
      </c>
      <c r="BM4533">
        <f>IF('01_Вводные'!$B$234="Да",IF(OR('19_Расчет_аналитики'!BM4505=0,22&lt;='01_Вводные'!$B$297),0,'19_Расчет_аналитики'!BM4505*IF('01_Вводные'!$B$239="Да",MeanMinAge22+'19_Расчет_аналитики'!BM4607*SUMIF(ThresholdAge22,"&lt;"&amp;'19_Расчет_аналитики'!BM4607,WeightedRevAge22)-SUMIF(ThresholdAge22,"&lt;"&amp;'19_Расчет_аналитики'!BM4607,WeightedMinAge22),MAX(CapacityAge22*'01_Вводные'!$B$218*'19_Расчет_аналитики'!BM4607,MeanMinAge22))),0)</f>
        <v/>
      </c>
      <c r="BN4533">
        <f>IF('01_Вводные'!$B$234="Да",IF(OR('19_Расчет_аналитики'!BN4505=0,22&lt;='01_Вводные'!$B$297),0,'19_Расчет_аналитики'!BN4505*IF('01_Вводные'!$B$239="Да",MeanMinAge22+'19_Расчет_аналитики'!BN4607*SUMIF(ThresholdAge22,"&lt;"&amp;'19_Расчет_аналитики'!BN4607,WeightedRevAge22)-SUMIF(ThresholdAge22,"&lt;"&amp;'19_Расчет_аналитики'!BN4607,WeightedMinAge22),MAX(CapacityAge22*'01_Вводные'!$B$218*'19_Расчет_аналитики'!BN4607,MeanMinAge22))),0)</f>
        <v/>
      </c>
      <c r="BO4533">
        <f>IF('01_Вводные'!$B$234="Да",IF(OR('19_Расчет_аналитики'!BO4505=0,22&lt;='01_Вводные'!$B$297),0,'19_Расчет_аналитики'!BO4505*IF('01_Вводные'!$B$239="Да",MeanMinAge22+'19_Расчет_аналитики'!BO4607*SUMIF(ThresholdAge22,"&lt;"&amp;'19_Расчет_аналитики'!BO4607,WeightedRevAge22)-SUMIF(ThresholdAge22,"&lt;"&amp;'19_Расчет_аналитики'!BO4607,WeightedMinAge22),MAX(CapacityAge22*'01_Вводные'!$B$218*'19_Расчет_аналитики'!BO4607,MeanMinAge22))),0)</f>
        <v/>
      </c>
    </row>
    <row r="4534">
      <c r="B4534">
        <f>IF('01_Вводные'!$B$234="Да",IF(OR('06_Сеть_и_дети'!B103=0,23&lt;='01_Вводные'!$B$297),0,'06_Сеть_и_дети'!B103*IF('01_Вводные'!$B$239="Да",MeanMinAge23+'19_Расчет_аналитики'!B4607*SUMIF(ThresholdAge23,"&lt;"&amp;'19_Расчет_аналитики'!B4607,WeightedRevAge23)-SUMIF(ThresholdAge23,"&lt;"&amp;'19_Расчет_аналитики'!B4607,WeightedMinAge23),MAX(CapacityAge23*'01_Вводные'!$B$218*'19_Расчет_аналитики'!B4607,MeanMinAge23))),0)</f>
        <v/>
      </c>
      <c r="C4534">
        <f>IF('01_Вводные'!$B$234="Да",IF(OR('06_Сеть_и_дети'!C103=0,23&lt;='01_Вводные'!$B$297),0,'06_Сеть_и_дети'!C103*IF('01_Вводные'!$B$239="Да",MeanMinAge23+'19_Расчет_аналитики'!C4607*SUMIF(ThresholdAge23,"&lt;"&amp;'19_Расчет_аналитики'!C4607,WeightedRevAge23)-SUMIF(ThresholdAge23,"&lt;"&amp;'19_Расчет_аналитики'!C4607,WeightedMinAge23),MAX(CapacityAge23*'01_Вводные'!$B$218*'19_Расчет_аналитики'!C4607,MeanMinAge23))),0)</f>
        <v/>
      </c>
      <c r="D4534">
        <f>IF('01_Вводные'!$B$234="Да",IF(OR('06_Сеть_и_дети'!D103=0,23&lt;='01_Вводные'!$B$297),0,'06_Сеть_и_дети'!D103*IF('01_Вводные'!$B$239="Да",MeanMinAge23+'19_Расчет_аналитики'!D4607*SUMIF(ThresholdAge23,"&lt;"&amp;'19_Расчет_аналитики'!D4607,WeightedRevAge23)-SUMIF(ThresholdAge23,"&lt;"&amp;'19_Расчет_аналитики'!D4607,WeightedMinAge23),MAX(CapacityAge23*'01_Вводные'!$B$218*'19_Расчет_аналитики'!D4607,MeanMinAge23))),0)</f>
        <v/>
      </c>
      <c r="E4534">
        <f>IF('01_Вводные'!$B$234="Да",IF(OR('06_Сеть_и_дети'!E103=0,23&lt;='01_Вводные'!$B$297),0,'06_Сеть_и_дети'!E103*IF('01_Вводные'!$B$239="Да",MeanMinAge23+'19_Расчет_аналитики'!E4607*SUMIF(ThresholdAge23,"&lt;"&amp;'19_Расчет_аналитики'!E4607,WeightedRevAge23)-SUMIF(ThresholdAge23,"&lt;"&amp;'19_Расчет_аналитики'!E4607,WeightedMinAge23),MAX(CapacityAge23*'01_Вводные'!$B$218*'19_Расчет_аналитики'!E4607,MeanMinAge23))),0)</f>
        <v/>
      </c>
      <c r="F4534">
        <f>IF('01_Вводные'!$B$234="Да",IF(OR('06_Сеть_и_дети'!F103=0,23&lt;='01_Вводные'!$B$297),0,'06_Сеть_и_дети'!F103*IF('01_Вводные'!$B$239="Да",MeanMinAge23+'19_Расчет_аналитики'!F4607*SUMIF(ThresholdAge23,"&lt;"&amp;'19_Расчет_аналитики'!F4607,WeightedRevAge23)-SUMIF(ThresholdAge23,"&lt;"&amp;'19_Расчет_аналитики'!F4607,WeightedMinAge23),MAX(CapacityAge23*'01_Вводные'!$B$218*'19_Расчет_аналитики'!F4607,MeanMinAge23))),0)</f>
        <v/>
      </c>
      <c r="G4534">
        <f>IF('01_Вводные'!$B$234="Да",IF(OR('06_Сеть_и_дети'!G103=0,23&lt;='01_Вводные'!$B$297),0,'06_Сеть_и_дети'!G103*IF('01_Вводные'!$B$239="Да",MeanMinAge23+'19_Расчет_аналитики'!G4607*SUMIF(ThresholdAge23,"&lt;"&amp;'19_Расчет_аналитики'!G4607,WeightedRevAge23)-SUMIF(ThresholdAge23,"&lt;"&amp;'19_Расчет_аналитики'!G4607,WeightedMinAge23),MAX(CapacityAge23*'01_Вводные'!$B$218*'19_Расчет_аналитики'!G4607,MeanMinAge23))),0)</f>
        <v/>
      </c>
      <c r="H4534">
        <f>IF('01_Вводные'!$B$234="Да",IF(OR('06_Сеть_и_дети'!H103=0,23&lt;='01_Вводные'!$B$297),0,'06_Сеть_и_дети'!H103*IF('01_Вводные'!$B$239="Да",MeanMinAge23+'19_Расчет_аналитики'!H4607*SUMIF(ThresholdAge23,"&lt;"&amp;'19_Расчет_аналитики'!H4607,WeightedRevAge23)-SUMIF(ThresholdAge23,"&lt;"&amp;'19_Расчет_аналитики'!H4607,WeightedMinAge23),MAX(CapacityAge23*'01_Вводные'!$B$218*'19_Расчет_аналитики'!H4607,MeanMinAge23))),0)</f>
        <v/>
      </c>
      <c r="I4534">
        <f>IF('01_Вводные'!$B$234="Да",IF(OR('06_Сеть_и_дети'!I103=0,23&lt;='01_Вводные'!$B$297),0,'06_Сеть_и_дети'!I103*IF('01_Вводные'!$B$239="Да",MeanMinAge23+'19_Расчет_аналитики'!I4607*SUMIF(ThresholdAge23,"&lt;"&amp;'19_Расчет_аналитики'!I4607,WeightedRevAge23)-SUMIF(ThresholdAge23,"&lt;"&amp;'19_Расчет_аналитики'!I4607,WeightedMinAge23),MAX(CapacityAge23*'01_Вводные'!$B$218*'19_Расчет_аналитики'!I4607,MeanMinAge23))),0)</f>
        <v/>
      </c>
      <c r="J4534">
        <f>IF('01_Вводные'!$B$234="Да",IF(OR('06_Сеть_и_дети'!J103=0,23&lt;='01_Вводные'!$B$297),0,'06_Сеть_и_дети'!J103*IF('01_Вводные'!$B$239="Да",MeanMinAge23+'19_Расчет_аналитики'!J4607*SUMIF(ThresholdAge23,"&lt;"&amp;'19_Расчет_аналитики'!J4607,WeightedRevAge23)-SUMIF(ThresholdAge23,"&lt;"&amp;'19_Расчет_аналитики'!J4607,WeightedMinAge23),MAX(CapacityAge23*'01_Вводные'!$B$218*'19_Расчет_аналитики'!J4607,MeanMinAge23))),0)</f>
        <v/>
      </c>
      <c r="K4534">
        <f>IF('01_Вводные'!$B$234="Да",IF(OR('06_Сеть_и_дети'!K103=0,23&lt;='01_Вводные'!$B$297),0,'06_Сеть_и_дети'!K103*IF('01_Вводные'!$B$239="Да",MeanMinAge23+'19_Расчет_аналитики'!K4607*SUMIF(ThresholdAge23,"&lt;"&amp;'19_Расчет_аналитики'!K4607,WeightedRevAge23)-SUMIF(ThresholdAge23,"&lt;"&amp;'19_Расчет_аналитики'!K4607,WeightedMinAge23),MAX(CapacityAge23*'01_Вводные'!$B$218*'19_Расчет_аналитики'!K4607,MeanMinAge23))),0)</f>
        <v/>
      </c>
      <c r="L4534">
        <f>IF('01_Вводные'!$B$234="Да",IF(OR('06_Сеть_и_дети'!L103=0,23&lt;='01_Вводные'!$B$297),0,'06_Сеть_и_дети'!L103*IF('01_Вводные'!$B$239="Да",MeanMinAge23+'19_Расчет_аналитики'!L4607*SUMIF(ThresholdAge23,"&lt;"&amp;'19_Расчет_аналитики'!L4607,WeightedRevAge23)-SUMIF(ThresholdAge23,"&lt;"&amp;'19_Расчет_аналитики'!L4607,WeightedMinAge23),MAX(CapacityAge23*'01_Вводные'!$B$218*'19_Расчет_аналитики'!L4607,MeanMinAge23))),0)</f>
        <v/>
      </c>
      <c r="M4534">
        <f>IF('01_Вводные'!$B$234="Да",IF(OR('06_Сеть_и_дети'!M103=0,23&lt;='01_Вводные'!$B$297),0,'06_Сеть_и_дети'!M103*IF('01_Вводные'!$B$239="Да",MeanMinAge23+'19_Расчет_аналитики'!M4607*SUMIF(ThresholdAge23,"&lt;"&amp;'19_Расчет_аналитики'!M4607,WeightedRevAge23)-SUMIF(ThresholdAge23,"&lt;"&amp;'19_Расчет_аналитики'!M4607,WeightedMinAge23),MAX(CapacityAge23*'01_Вводные'!$B$218*'19_Расчет_аналитики'!M4607,MeanMinAge23))),0)</f>
        <v/>
      </c>
      <c r="N4534">
        <f>IF('01_Вводные'!$B$234="Да",IF(OR('06_Сеть_и_дети'!N103=0,23&lt;='01_Вводные'!$B$297),0,'06_Сеть_и_дети'!N103*IF('01_Вводные'!$B$239="Да",MeanMinAge23+'19_Расчет_аналитики'!N4607*SUMIF(ThresholdAge23,"&lt;"&amp;'19_Расчет_аналитики'!N4607,WeightedRevAge23)-SUMIF(ThresholdAge23,"&lt;"&amp;'19_Расчет_аналитики'!N4607,WeightedMinAge23),MAX(CapacityAge23*'01_Вводные'!$B$218*'19_Расчет_аналитики'!N4607,MeanMinAge23))),0)</f>
        <v/>
      </c>
      <c r="O4534">
        <f>IF('01_Вводные'!$B$234="Да",IF(OR('06_Сеть_и_дети'!O103=0,23&lt;='01_Вводные'!$B$297),0,'06_Сеть_и_дети'!O103*IF('01_Вводные'!$B$239="Да",MeanMinAge23+'19_Расчет_аналитики'!O4607*SUMIF(ThresholdAge23,"&lt;"&amp;'19_Расчет_аналитики'!O4607,WeightedRevAge23)-SUMIF(ThresholdAge23,"&lt;"&amp;'19_Расчет_аналитики'!O4607,WeightedMinAge23),MAX(CapacityAge23*'01_Вводные'!$B$218*'19_Расчет_аналитики'!O4607,MeanMinAge23))),0)</f>
        <v/>
      </c>
      <c r="P4534">
        <f>IF('01_Вводные'!$B$234="Да",IF(OR('06_Сеть_и_дети'!P103=0,23&lt;='01_Вводные'!$B$297),0,'06_Сеть_и_дети'!P103*IF('01_Вводные'!$B$239="Да",MeanMinAge23+'19_Расчет_аналитики'!P4607*SUMIF(ThresholdAge23,"&lt;"&amp;'19_Расчет_аналитики'!P4607,WeightedRevAge23)-SUMIF(ThresholdAge23,"&lt;"&amp;'19_Расчет_аналитики'!P4607,WeightedMinAge23),MAX(CapacityAge23*'01_Вводные'!$B$218*'19_Расчет_аналитики'!P4607,MeanMinAge23))),0)</f>
        <v/>
      </c>
      <c r="Q4534">
        <f>IF('01_Вводные'!$B$234="Да",IF(OR('06_Сеть_и_дети'!Q103=0,23&lt;='01_Вводные'!$B$297),0,'06_Сеть_и_дети'!Q103*IF('01_Вводные'!$B$239="Да",MeanMinAge23+'19_Расчет_аналитики'!Q4607*SUMIF(ThresholdAge23,"&lt;"&amp;'19_Расчет_аналитики'!Q4607,WeightedRevAge23)-SUMIF(ThresholdAge23,"&lt;"&amp;'19_Расчет_аналитики'!Q4607,WeightedMinAge23),MAX(CapacityAge23*'01_Вводные'!$B$218*'19_Расчет_аналитики'!Q4607,MeanMinAge23))),0)</f>
        <v/>
      </c>
      <c r="R4534">
        <f>IF('01_Вводные'!$B$234="Да",IF(OR('06_Сеть_и_дети'!R103=0,23&lt;='01_Вводные'!$B$297),0,'06_Сеть_и_дети'!R103*IF('01_Вводные'!$B$239="Да",MeanMinAge23+'19_Расчет_аналитики'!R4607*SUMIF(ThresholdAge23,"&lt;"&amp;'19_Расчет_аналитики'!R4607,WeightedRevAge23)-SUMIF(ThresholdAge23,"&lt;"&amp;'19_Расчет_аналитики'!R4607,WeightedMinAge23),MAX(CapacityAge23*'01_Вводные'!$B$218*'19_Расчет_аналитики'!R4607,MeanMinAge23))),0)</f>
        <v/>
      </c>
      <c r="S4534">
        <f>IF('01_Вводные'!$B$234="Да",IF(OR('06_Сеть_и_дети'!S103=0,23&lt;='01_Вводные'!$B$297),0,'06_Сеть_и_дети'!S103*IF('01_Вводные'!$B$239="Да",MeanMinAge23+'19_Расчет_аналитики'!S4607*SUMIF(ThresholdAge23,"&lt;"&amp;'19_Расчет_аналитики'!S4607,WeightedRevAge23)-SUMIF(ThresholdAge23,"&lt;"&amp;'19_Расчет_аналитики'!S4607,WeightedMinAge23),MAX(CapacityAge23*'01_Вводные'!$B$218*'19_Расчет_аналитики'!S4607,MeanMinAge23))),0)</f>
        <v/>
      </c>
      <c r="T4534">
        <f>IF('01_Вводные'!$B$234="Да",IF(OR('06_Сеть_и_дети'!T103=0,23&lt;='01_Вводные'!$B$297),0,'06_Сеть_и_дети'!T103*IF('01_Вводные'!$B$239="Да",MeanMinAge23+'19_Расчет_аналитики'!T4607*SUMIF(ThresholdAge23,"&lt;"&amp;'19_Расчет_аналитики'!T4607,WeightedRevAge23)-SUMIF(ThresholdAge23,"&lt;"&amp;'19_Расчет_аналитики'!T4607,WeightedMinAge23),MAX(CapacityAge23*'01_Вводные'!$B$218*'19_Расчет_аналитики'!T4607,MeanMinAge23))),0)</f>
        <v/>
      </c>
      <c r="U4534">
        <f>IF('01_Вводные'!$B$234="Да",IF(OR('06_Сеть_и_дети'!U103=0,23&lt;='01_Вводные'!$B$297),0,'06_Сеть_и_дети'!U103*IF('01_Вводные'!$B$239="Да",MeanMinAge23+'19_Расчет_аналитики'!U4607*SUMIF(ThresholdAge23,"&lt;"&amp;'19_Расчет_аналитики'!U4607,WeightedRevAge23)-SUMIF(ThresholdAge23,"&lt;"&amp;'19_Расчет_аналитики'!U4607,WeightedMinAge23),MAX(CapacityAge23*'01_Вводные'!$B$218*'19_Расчет_аналитики'!U4607,MeanMinAge23))),0)</f>
        <v/>
      </c>
      <c r="V4534">
        <f>IF('01_Вводные'!$B$234="Да",IF(OR('06_Сеть_и_дети'!V103=0,23&lt;='01_Вводные'!$B$297),0,'06_Сеть_и_дети'!V103*IF('01_Вводные'!$B$239="Да",MeanMinAge23+'19_Расчет_аналитики'!V4607*SUMIF(ThresholdAge23,"&lt;"&amp;'19_Расчет_аналитики'!V4607,WeightedRevAge23)-SUMIF(ThresholdAge23,"&lt;"&amp;'19_Расчет_аналитики'!V4607,WeightedMinAge23),MAX(CapacityAge23*'01_Вводные'!$B$218*'19_Расчет_аналитики'!V4607,MeanMinAge23))),0)</f>
        <v/>
      </c>
      <c r="W4534">
        <f>IF('01_Вводные'!$B$234="Да",IF(OR('06_Сеть_и_дети'!W103=0,23&lt;='01_Вводные'!$B$297),0,'06_Сеть_и_дети'!W103*IF('01_Вводные'!$B$239="Да",MeanMinAge23+'19_Расчет_аналитики'!W4607*SUMIF(ThresholdAge23,"&lt;"&amp;'19_Расчет_аналитики'!W4607,WeightedRevAge23)-SUMIF(ThresholdAge23,"&lt;"&amp;'19_Расчет_аналитики'!W4607,WeightedMinAge23),MAX(CapacityAge23*'01_Вводные'!$B$218*'19_Расчет_аналитики'!W4607,MeanMinAge23))),0)</f>
        <v/>
      </c>
      <c r="X4534">
        <f>IF('01_Вводные'!$B$234="Да",IF(OR('19_Расчет_аналитики'!X4506=0,23&lt;='01_Вводные'!$B$297),0,'19_Расчет_аналитики'!X4506*IF('01_Вводные'!$B$239="Да",MeanMinAge23+'19_Расчет_аналитики'!X4607*SUMIF(ThresholdAge23,"&lt;"&amp;'19_Расчет_аналитики'!X4607,WeightedRevAge23)-SUMIF(ThresholdAge23,"&lt;"&amp;'19_Расчет_аналитики'!X4607,WeightedMinAge23),MAX(CapacityAge23*'01_Вводные'!$B$218*'19_Расчет_аналитики'!X4607,MeanMinAge23))),0)</f>
        <v/>
      </c>
      <c r="Y4534">
        <f>IF('01_Вводные'!$B$234="Да",IF(OR('19_Расчет_аналитики'!Y4506=0,23&lt;='01_Вводные'!$B$297),0,'19_Расчет_аналитики'!Y4506*IF('01_Вводные'!$B$239="Да",MeanMinAge23+'19_Расчет_аналитики'!Y4607*SUMIF(ThresholdAge23,"&lt;"&amp;'19_Расчет_аналитики'!Y4607,WeightedRevAge23)-SUMIF(ThresholdAge23,"&lt;"&amp;'19_Расчет_аналитики'!Y4607,WeightedMinAge23),MAX(CapacityAge23*'01_Вводные'!$B$218*'19_Расчет_аналитики'!Y4607,MeanMinAge23))),0)</f>
        <v/>
      </c>
      <c r="Z4534">
        <f>IF('01_Вводные'!$B$234="Да",IF(OR('19_Расчет_аналитики'!Z4506=0,23&lt;='01_Вводные'!$B$297),0,'19_Расчет_аналитики'!Z4506*IF('01_Вводные'!$B$239="Да",MeanMinAge23+'19_Расчет_аналитики'!Z4607*SUMIF(ThresholdAge23,"&lt;"&amp;'19_Расчет_аналитики'!Z4607,WeightedRevAge23)-SUMIF(ThresholdAge23,"&lt;"&amp;'19_Расчет_аналитики'!Z4607,WeightedMinAge23),MAX(CapacityAge23*'01_Вводные'!$B$218*'19_Расчет_аналитики'!Z4607,MeanMinAge23))),0)</f>
        <v/>
      </c>
      <c r="AA4534">
        <f>IF('01_Вводные'!$B$234="Да",IF(OR('19_Расчет_аналитики'!AA4506=0,23&lt;='01_Вводные'!$B$297),0,'19_Расчет_аналитики'!AA4506*IF('01_Вводные'!$B$239="Да",MeanMinAge23+'19_Расчет_аналитики'!AA4607*SUMIF(ThresholdAge23,"&lt;"&amp;'19_Расчет_аналитики'!AA4607,WeightedRevAge23)-SUMIF(ThresholdAge23,"&lt;"&amp;'19_Расчет_аналитики'!AA4607,WeightedMinAge23),MAX(CapacityAge23*'01_Вводные'!$B$218*'19_Расчет_аналитики'!AA4607,MeanMinAge23))),0)</f>
        <v/>
      </c>
      <c r="AB4534">
        <f>IF('01_Вводные'!$B$234="Да",IF(OR('19_Расчет_аналитики'!AB4506=0,23&lt;='01_Вводные'!$B$297),0,'19_Расчет_аналитики'!AB4506*IF('01_Вводные'!$B$239="Да",MeanMinAge23+'19_Расчет_аналитики'!AB4607*SUMIF(ThresholdAge23,"&lt;"&amp;'19_Расчет_аналитики'!AB4607,WeightedRevAge23)-SUMIF(ThresholdAge23,"&lt;"&amp;'19_Расчет_аналитики'!AB4607,WeightedMinAge23),MAX(CapacityAge23*'01_Вводные'!$B$218*'19_Расчет_аналитики'!AB4607,MeanMinAge23))),0)</f>
        <v/>
      </c>
      <c r="AC4534">
        <f>IF('01_Вводные'!$B$234="Да",IF(OR('19_Расчет_аналитики'!AC4506=0,23&lt;='01_Вводные'!$B$297),0,'19_Расчет_аналитики'!AC4506*IF('01_Вводные'!$B$239="Да",MeanMinAge23+'19_Расчет_аналитики'!AC4607*SUMIF(ThresholdAge23,"&lt;"&amp;'19_Расчет_аналитики'!AC4607,WeightedRevAge23)-SUMIF(ThresholdAge23,"&lt;"&amp;'19_Расчет_аналитики'!AC4607,WeightedMinAge23),MAX(CapacityAge23*'01_Вводные'!$B$218*'19_Расчет_аналитики'!AC4607,MeanMinAge23))),0)</f>
        <v/>
      </c>
      <c r="AD4534">
        <f>IF('01_Вводные'!$B$234="Да",IF(OR('19_Расчет_аналитики'!AD4506=0,23&lt;='01_Вводные'!$B$297),0,'19_Расчет_аналитики'!AD4506*IF('01_Вводные'!$B$239="Да",MeanMinAge23+'19_Расчет_аналитики'!AD4607*SUMIF(ThresholdAge23,"&lt;"&amp;'19_Расчет_аналитики'!AD4607,WeightedRevAge23)-SUMIF(ThresholdAge23,"&lt;"&amp;'19_Расчет_аналитики'!AD4607,WeightedMinAge23),MAX(CapacityAge23*'01_Вводные'!$B$218*'19_Расчет_аналитики'!AD4607,MeanMinAge23))),0)</f>
        <v/>
      </c>
      <c r="AE4534">
        <f>IF('01_Вводные'!$B$234="Да",IF(OR('19_Расчет_аналитики'!AE4506=0,23&lt;='01_Вводные'!$B$297),0,'19_Расчет_аналитики'!AE4506*IF('01_Вводные'!$B$239="Да",MeanMinAge23+'19_Расчет_аналитики'!AE4607*SUMIF(ThresholdAge23,"&lt;"&amp;'19_Расчет_аналитики'!AE4607,WeightedRevAge23)-SUMIF(ThresholdAge23,"&lt;"&amp;'19_Расчет_аналитики'!AE4607,WeightedMinAge23),MAX(CapacityAge23*'01_Вводные'!$B$218*'19_Расчет_аналитики'!AE4607,MeanMinAge23))),0)</f>
        <v/>
      </c>
      <c r="AF4534">
        <f>IF('01_Вводные'!$B$234="Да",IF(OR('19_Расчет_аналитики'!AF4506=0,23&lt;='01_Вводные'!$B$297),0,'19_Расчет_аналитики'!AF4506*IF('01_Вводные'!$B$239="Да",MeanMinAge23+'19_Расчет_аналитики'!AF4607*SUMIF(ThresholdAge23,"&lt;"&amp;'19_Расчет_аналитики'!AF4607,WeightedRevAge23)-SUMIF(ThresholdAge23,"&lt;"&amp;'19_Расчет_аналитики'!AF4607,WeightedMinAge23),MAX(CapacityAge23*'01_Вводные'!$B$218*'19_Расчет_аналитики'!AF4607,MeanMinAge23))),0)</f>
        <v/>
      </c>
      <c r="AG4534">
        <f>IF('01_Вводные'!$B$234="Да",IF(OR('19_Расчет_аналитики'!AG4506=0,23&lt;='01_Вводные'!$B$297),0,'19_Расчет_аналитики'!AG4506*IF('01_Вводные'!$B$239="Да",MeanMinAge23+'19_Расчет_аналитики'!AG4607*SUMIF(ThresholdAge23,"&lt;"&amp;'19_Расчет_аналитики'!AG4607,WeightedRevAge23)-SUMIF(ThresholdAge23,"&lt;"&amp;'19_Расчет_аналитики'!AG4607,WeightedMinAge23),MAX(CapacityAge23*'01_Вводные'!$B$218*'19_Расчет_аналитики'!AG4607,MeanMinAge23))),0)</f>
        <v/>
      </c>
      <c r="AH4534">
        <f>IF('01_Вводные'!$B$234="Да",IF(OR('19_Расчет_аналитики'!AH4506=0,23&lt;='01_Вводные'!$B$297),0,'19_Расчет_аналитики'!AH4506*IF('01_Вводные'!$B$239="Да",MeanMinAge23+'19_Расчет_аналитики'!AH4607*SUMIF(ThresholdAge23,"&lt;"&amp;'19_Расчет_аналитики'!AH4607,WeightedRevAge23)-SUMIF(ThresholdAge23,"&lt;"&amp;'19_Расчет_аналитики'!AH4607,WeightedMinAge23),MAX(CapacityAge23*'01_Вводные'!$B$218*'19_Расчет_аналитики'!AH4607,MeanMinAge23))),0)</f>
        <v/>
      </c>
      <c r="AI4534">
        <f>IF('01_Вводные'!$B$234="Да",IF(OR('19_Расчет_аналитики'!AI4506=0,23&lt;='01_Вводные'!$B$297),0,'19_Расчет_аналитики'!AI4506*IF('01_Вводные'!$B$239="Да",MeanMinAge23+'19_Расчет_аналитики'!AI4607*SUMIF(ThresholdAge23,"&lt;"&amp;'19_Расчет_аналитики'!AI4607,WeightedRevAge23)-SUMIF(ThresholdAge23,"&lt;"&amp;'19_Расчет_аналитики'!AI4607,WeightedMinAge23),MAX(CapacityAge23*'01_Вводные'!$B$218*'19_Расчет_аналитики'!AI4607,MeanMinAge23))),0)</f>
        <v/>
      </c>
      <c r="AJ4534">
        <f>IF('01_Вводные'!$B$234="Да",IF(OR('19_Расчет_аналитики'!AJ4506=0,23&lt;='01_Вводные'!$B$297),0,'19_Расчет_аналитики'!AJ4506*IF('01_Вводные'!$B$239="Да",MeanMinAge23+'19_Расчет_аналитики'!AJ4607*SUMIF(ThresholdAge23,"&lt;"&amp;'19_Расчет_аналитики'!AJ4607,WeightedRevAge23)-SUMIF(ThresholdAge23,"&lt;"&amp;'19_Расчет_аналитики'!AJ4607,WeightedMinAge23),MAX(CapacityAge23*'01_Вводные'!$B$218*'19_Расчет_аналитики'!AJ4607,MeanMinAge23))),0)</f>
        <v/>
      </c>
      <c r="AK4534">
        <f>IF('01_Вводные'!$B$234="Да",IF(OR('19_Расчет_аналитики'!AK4506=0,23&lt;='01_Вводные'!$B$297),0,'19_Расчет_аналитики'!AK4506*IF('01_Вводные'!$B$239="Да",MeanMinAge23+'19_Расчет_аналитики'!AK4607*SUMIF(ThresholdAge23,"&lt;"&amp;'19_Расчет_аналитики'!AK4607,WeightedRevAge23)-SUMIF(ThresholdAge23,"&lt;"&amp;'19_Расчет_аналитики'!AK4607,WeightedMinAge23),MAX(CapacityAge23*'01_Вводные'!$B$218*'19_Расчет_аналитики'!AK4607,MeanMinAge23))),0)</f>
        <v/>
      </c>
      <c r="AL4534">
        <f>IF('01_Вводные'!$B$234="Да",IF(OR('19_Расчет_аналитики'!AL4506=0,23&lt;='01_Вводные'!$B$297),0,'19_Расчет_аналитики'!AL4506*IF('01_Вводные'!$B$239="Да",MeanMinAge23+'19_Расчет_аналитики'!AL4607*SUMIF(ThresholdAge23,"&lt;"&amp;'19_Расчет_аналитики'!AL4607,WeightedRevAge23)-SUMIF(ThresholdAge23,"&lt;"&amp;'19_Расчет_аналитики'!AL4607,WeightedMinAge23),MAX(CapacityAge23*'01_Вводные'!$B$218*'19_Расчет_аналитики'!AL4607,MeanMinAge23))),0)</f>
        <v/>
      </c>
      <c r="AM4534">
        <f>IF('01_Вводные'!$B$234="Да",IF(OR('19_Расчет_аналитики'!AM4506=0,23&lt;='01_Вводные'!$B$297),0,'19_Расчет_аналитики'!AM4506*IF('01_Вводные'!$B$239="Да",MeanMinAge23+'19_Расчет_аналитики'!AM4607*SUMIF(ThresholdAge23,"&lt;"&amp;'19_Расчет_аналитики'!AM4607,WeightedRevAge23)-SUMIF(ThresholdAge23,"&lt;"&amp;'19_Расчет_аналитики'!AM4607,WeightedMinAge23),MAX(CapacityAge23*'01_Вводные'!$B$218*'19_Расчет_аналитики'!AM4607,MeanMinAge23))),0)</f>
        <v/>
      </c>
      <c r="AN4534">
        <f>IF('01_Вводные'!$B$234="Да",IF(OR('19_Расчет_аналитики'!AN4506=0,23&lt;='01_Вводные'!$B$297),0,'19_Расчет_аналитики'!AN4506*IF('01_Вводные'!$B$239="Да",MeanMinAge23+'19_Расчет_аналитики'!AN4607*SUMIF(ThresholdAge23,"&lt;"&amp;'19_Расчет_аналитики'!AN4607,WeightedRevAge23)-SUMIF(ThresholdAge23,"&lt;"&amp;'19_Расчет_аналитики'!AN4607,WeightedMinAge23),MAX(CapacityAge23*'01_Вводные'!$B$218*'19_Расчет_аналитики'!AN4607,MeanMinAge23))),0)</f>
        <v/>
      </c>
      <c r="AO4534">
        <f>IF('01_Вводные'!$B$234="Да",IF(OR('19_Расчет_аналитики'!AO4506=0,23&lt;='01_Вводные'!$B$297),0,'19_Расчет_аналитики'!AO4506*IF('01_Вводные'!$B$239="Да",MeanMinAge23+'19_Расчет_аналитики'!AO4607*SUMIF(ThresholdAge23,"&lt;"&amp;'19_Расчет_аналитики'!AO4607,WeightedRevAge23)-SUMIF(ThresholdAge23,"&lt;"&amp;'19_Расчет_аналитики'!AO4607,WeightedMinAge23),MAX(CapacityAge23*'01_Вводные'!$B$218*'19_Расчет_аналитики'!AO4607,MeanMinAge23))),0)</f>
        <v/>
      </c>
      <c r="AP4534">
        <f>IF('01_Вводные'!$B$234="Да",IF(OR('19_Расчет_аналитики'!AP4506=0,23&lt;='01_Вводные'!$B$297),0,'19_Расчет_аналитики'!AP4506*IF('01_Вводные'!$B$239="Да",MeanMinAge23+'19_Расчет_аналитики'!AP4607*SUMIF(ThresholdAge23,"&lt;"&amp;'19_Расчет_аналитики'!AP4607,WeightedRevAge23)-SUMIF(ThresholdAge23,"&lt;"&amp;'19_Расчет_аналитики'!AP4607,WeightedMinAge23),MAX(CapacityAge23*'01_Вводные'!$B$218*'19_Расчет_аналитики'!AP4607,MeanMinAge23))),0)</f>
        <v/>
      </c>
      <c r="AQ4534">
        <f>IF('01_Вводные'!$B$234="Да",IF(OR('19_Расчет_аналитики'!AQ4506=0,23&lt;='01_Вводные'!$B$297),0,'19_Расчет_аналитики'!AQ4506*IF('01_Вводные'!$B$239="Да",MeanMinAge23+'19_Расчет_аналитики'!AQ4607*SUMIF(ThresholdAge23,"&lt;"&amp;'19_Расчет_аналитики'!AQ4607,WeightedRevAge23)-SUMIF(ThresholdAge23,"&lt;"&amp;'19_Расчет_аналитики'!AQ4607,WeightedMinAge23),MAX(CapacityAge23*'01_Вводные'!$B$218*'19_Расчет_аналитики'!AQ4607,MeanMinAge23))),0)</f>
        <v/>
      </c>
      <c r="AR4534">
        <f>IF('01_Вводные'!$B$234="Да",IF(OR('19_Расчет_аналитики'!AR4506=0,23&lt;='01_Вводные'!$B$297),0,'19_Расчет_аналитики'!AR4506*IF('01_Вводные'!$B$239="Да",MeanMinAge23+'19_Расчет_аналитики'!AR4607*SUMIF(ThresholdAge23,"&lt;"&amp;'19_Расчет_аналитики'!AR4607,WeightedRevAge23)-SUMIF(ThresholdAge23,"&lt;"&amp;'19_Расчет_аналитики'!AR4607,WeightedMinAge23),MAX(CapacityAge23*'01_Вводные'!$B$218*'19_Расчет_аналитики'!AR4607,MeanMinAge23))),0)</f>
        <v/>
      </c>
      <c r="AS4534">
        <f>IF('01_Вводные'!$B$234="Да",IF(OR('19_Расчет_аналитики'!AS4506=0,23&lt;='01_Вводные'!$B$297),0,'19_Расчет_аналитики'!AS4506*IF('01_Вводные'!$B$239="Да",MeanMinAge23+'19_Расчет_аналитики'!AS4607*SUMIF(ThresholdAge23,"&lt;"&amp;'19_Расчет_аналитики'!AS4607,WeightedRevAge23)-SUMIF(ThresholdAge23,"&lt;"&amp;'19_Расчет_аналитики'!AS4607,WeightedMinAge23),MAX(CapacityAge23*'01_Вводные'!$B$218*'19_Расчет_аналитики'!AS4607,MeanMinAge23))),0)</f>
        <v/>
      </c>
      <c r="AT4534">
        <f>IF('01_Вводные'!$B$234="Да",IF(OR('19_Расчет_аналитики'!AT4506=0,23&lt;='01_Вводные'!$B$297),0,'19_Расчет_аналитики'!AT4506*IF('01_Вводные'!$B$239="Да",MeanMinAge23+'19_Расчет_аналитики'!AT4607*SUMIF(ThresholdAge23,"&lt;"&amp;'19_Расчет_аналитики'!AT4607,WeightedRevAge23)-SUMIF(ThresholdAge23,"&lt;"&amp;'19_Расчет_аналитики'!AT4607,WeightedMinAge23),MAX(CapacityAge23*'01_Вводные'!$B$218*'19_Расчет_аналитики'!AT4607,MeanMinAge23))),0)</f>
        <v/>
      </c>
      <c r="AU4534">
        <f>IF('01_Вводные'!$B$234="Да",IF(OR('19_Расчет_аналитики'!AU4506=0,23&lt;='01_Вводные'!$B$297),0,'19_Расчет_аналитики'!AU4506*IF('01_Вводные'!$B$239="Да",MeanMinAge23+'19_Расчет_аналитики'!AU4607*SUMIF(ThresholdAge23,"&lt;"&amp;'19_Расчет_аналитики'!AU4607,WeightedRevAge23)-SUMIF(ThresholdAge23,"&lt;"&amp;'19_Расчет_аналитики'!AU4607,WeightedMinAge23),MAX(CapacityAge23*'01_Вводные'!$B$218*'19_Расчет_аналитики'!AU4607,MeanMinAge23))),0)</f>
        <v/>
      </c>
      <c r="AV4534">
        <f>IF('01_Вводные'!$B$234="Да",IF(OR('19_Расчет_аналитики'!AV4506=0,23&lt;='01_Вводные'!$B$297),0,'19_Расчет_аналитики'!AV4506*IF('01_Вводные'!$B$239="Да",MeanMinAge23+'19_Расчет_аналитики'!AV4607*SUMIF(ThresholdAge23,"&lt;"&amp;'19_Расчет_аналитики'!AV4607,WeightedRevAge23)-SUMIF(ThresholdAge23,"&lt;"&amp;'19_Расчет_аналитики'!AV4607,WeightedMinAge23),MAX(CapacityAge23*'01_Вводные'!$B$218*'19_Расчет_аналитики'!AV4607,MeanMinAge23))),0)</f>
        <v/>
      </c>
      <c r="AW4534">
        <f>IF('01_Вводные'!$B$234="Да",IF(OR('19_Расчет_аналитики'!AW4506=0,23&lt;='01_Вводные'!$B$297),0,'19_Расчет_аналитики'!AW4506*IF('01_Вводные'!$B$239="Да",MeanMinAge23+'19_Расчет_аналитики'!AW4607*SUMIF(ThresholdAge23,"&lt;"&amp;'19_Расчет_аналитики'!AW4607,WeightedRevAge23)-SUMIF(ThresholdAge23,"&lt;"&amp;'19_Расчет_аналитики'!AW4607,WeightedMinAge23),MAX(CapacityAge23*'01_Вводные'!$B$218*'19_Расчет_аналитики'!AW4607,MeanMinAge23))),0)</f>
        <v/>
      </c>
      <c r="AX4534">
        <f>IF('01_Вводные'!$B$234="Да",IF(OR('19_Расчет_аналитики'!AX4506=0,23&lt;='01_Вводные'!$B$297),0,'19_Расчет_аналитики'!AX4506*IF('01_Вводные'!$B$239="Да",MeanMinAge23+'19_Расчет_аналитики'!AX4607*SUMIF(ThresholdAge23,"&lt;"&amp;'19_Расчет_аналитики'!AX4607,WeightedRevAge23)-SUMIF(ThresholdAge23,"&lt;"&amp;'19_Расчет_аналитики'!AX4607,WeightedMinAge23),MAX(CapacityAge23*'01_Вводные'!$B$218*'19_Расчет_аналитики'!AX4607,MeanMinAge23))),0)</f>
        <v/>
      </c>
      <c r="AY4534">
        <f>IF('01_Вводные'!$B$234="Да",IF(OR('19_Расчет_аналитики'!AY4506=0,23&lt;='01_Вводные'!$B$297),0,'19_Расчет_аналитики'!AY4506*IF('01_Вводные'!$B$239="Да",MeanMinAge23+'19_Расчет_аналитики'!AY4607*SUMIF(ThresholdAge23,"&lt;"&amp;'19_Расчет_аналитики'!AY4607,WeightedRevAge23)-SUMIF(ThresholdAge23,"&lt;"&amp;'19_Расчет_аналитики'!AY4607,WeightedMinAge23),MAX(CapacityAge23*'01_Вводные'!$B$218*'19_Расчет_аналитики'!AY4607,MeanMinAge23))),0)</f>
        <v/>
      </c>
      <c r="AZ4534">
        <f>IF('01_Вводные'!$B$234="Да",IF(OR('19_Расчет_аналитики'!AZ4506=0,23&lt;='01_Вводные'!$B$297),0,'19_Расчет_аналитики'!AZ4506*IF('01_Вводные'!$B$239="Да",MeanMinAge23+'19_Расчет_аналитики'!AZ4607*SUMIF(ThresholdAge23,"&lt;"&amp;'19_Расчет_аналитики'!AZ4607,WeightedRevAge23)-SUMIF(ThresholdAge23,"&lt;"&amp;'19_Расчет_аналитики'!AZ4607,WeightedMinAge23),MAX(CapacityAge23*'01_Вводные'!$B$218*'19_Расчет_аналитики'!AZ4607,MeanMinAge23))),0)</f>
        <v/>
      </c>
      <c r="BA4534">
        <f>IF('01_Вводные'!$B$234="Да",IF(OR('19_Расчет_аналитики'!BA4506=0,23&lt;='01_Вводные'!$B$297),0,'19_Расчет_аналитики'!BA4506*IF('01_Вводные'!$B$239="Да",MeanMinAge23+'19_Расчет_аналитики'!BA4607*SUMIF(ThresholdAge23,"&lt;"&amp;'19_Расчет_аналитики'!BA4607,WeightedRevAge23)-SUMIF(ThresholdAge23,"&lt;"&amp;'19_Расчет_аналитики'!BA4607,WeightedMinAge23),MAX(CapacityAge23*'01_Вводные'!$B$218*'19_Расчет_аналитики'!BA4607,MeanMinAge23))),0)</f>
        <v/>
      </c>
      <c r="BB4534">
        <f>IF('01_Вводные'!$B$234="Да",IF(OR('19_Расчет_аналитики'!BB4506=0,23&lt;='01_Вводные'!$B$297),0,'19_Расчет_аналитики'!BB4506*IF('01_Вводные'!$B$239="Да",MeanMinAge23+'19_Расчет_аналитики'!BB4607*SUMIF(ThresholdAge23,"&lt;"&amp;'19_Расчет_аналитики'!BB4607,WeightedRevAge23)-SUMIF(ThresholdAge23,"&lt;"&amp;'19_Расчет_аналитики'!BB4607,WeightedMinAge23),MAX(CapacityAge23*'01_Вводные'!$B$218*'19_Расчет_аналитики'!BB4607,MeanMinAge23))),0)</f>
        <v/>
      </c>
      <c r="BC4534">
        <f>IF('01_Вводные'!$B$234="Да",IF(OR('19_Расчет_аналитики'!BC4506=0,23&lt;='01_Вводные'!$B$297),0,'19_Расчет_аналитики'!BC4506*IF('01_Вводные'!$B$239="Да",MeanMinAge23+'19_Расчет_аналитики'!BC4607*SUMIF(ThresholdAge23,"&lt;"&amp;'19_Расчет_аналитики'!BC4607,WeightedRevAge23)-SUMIF(ThresholdAge23,"&lt;"&amp;'19_Расчет_аналитики'!BC4607,WeightedMinAge23),MAX(CapacityAge23*'01_Вводные'!$B$218*'19_Расчет_аналитики'!BC4607,MeanMinAge23))),0)</f>
        <v/>
      </c>
      <c r="BD4534">
        <f>IF('01_Вводные'!$B$234="Да",IF(OR('19_Расчет_аналитики'!BD4506=0,23&lt;='01_Вводные'!$B$297),0,'19_Расчет_аналитики'!BD4506*IF('01_Вводные'!$B$239="Да",MeanMinAge23+'19_Расчет_аналитики'!BD4607*SUMIF(ThresholdAge23,"&lt;"&amp;'19_Расчет_аналитики'!BD4607,WeightedRevAge23)-SUMIF(ThresholdAge23,"&lt;"&amp;'19_Расчет_аналитики'!BD4607,WeightedMinAge23),MAX(CapacityAge23*'01_Вводные'!$B$218*'19_Расчет_аналитики'!BD4607,MeanMinAge23))),0)</f>
        <v/>
      </c>
      <c r="BE4534">
        <f>IF('01_Вводные'!$B$234="Да",IF(OR('19_Расчет_аналитики'!BE4506=0,23&lt;='01_Вводные'!$B$297),0,'19_Расчет_аналитики'!BE4506*IF('01_Вводные'!$B$239="Да",MeanMinAge23+'19_Расчет_аналитики'!BE4607*SUMIF(ThresholdAge23,"&lt;"&amp;'19_Расчет_аналитики'!BE4607,WeightedRevAge23)-SUMIF(ThresholdAge23,"&lt;"&amp;'19_Расчет_аналитики'!BE4607,WeightedMinAge23),MAX(CapacityAge23*'01_Вводные'!$B$218*'19_Расчет_аналитики'!BE4607,MeanMinAge23))),0)</f>
        <v/>
      </c>
      <c r="BF4534">
        <f>IF('01_Вводные'!$B$234="Да",IF(OR('19_Расчет_аналитики'!BF4506=0,23&lt;='01_Вводные'!$B$297),0,'19_Расчет_аналитики'!BF4506*IF('01_Вводные'!$B$239="Да",MeanMinAge23+'19_Расчет_аналитики'!BF4607*SUMIF(ThresholdAge23,"&lt;"&amp;'19_Расчет_аналитики'!BF4607,WeightedRevAge23)-SUMIF(ThresholdAge23,"&lt;"&amp;'19_Расчет_аналитики'!BF4607,WeightedMinAge23),MAX(CapacityAge23*'01_Вводные'!$B$218*'19_Расчет_аналитики'!BF4607,MeanMinAge23))),0)</f>
        <v/>
      </c>
      <c r="BG4534">
        <f>IF('01_Вводные'!$B$234="Да",IF(OR('19_Расчет_аналитики'!BG4506=0,23&lt;='01_Вводные'!$B$297),0,'19_Расчет_аналитики'!BG4506*IF('01_Вводные'!$B$239="Да",MeanMinAge23+'19_Расчет_аналитики'!BG4607*SUMIF(ThresholdAge23,"&lt;"&amp;'19_Расчет_аналитики'!BG4607,WeightedRevAge23)-SUMIF(ThresholdAge23,"&lt;"&amp;'19_Расчет_аналитики'!BG4607,WeightedMinAge23),MAX(CapacityAge23*'01_Вводные'!$B$218*'19_Расчет_аналитики'!BG4607,MeanMinAge23))),0)</f>
        <v/>
      </c>
      <c r="BH4534">
        <f>IF('01_Вводные'!$B$234="Да",IF(OR('19_Расчет_аналитики'!BH4506=0,23&lt;='01_Вводные'!$B$297),0,'19_Расчет_аналитики'!BH4506*IF('01_Вводные'!$B$239="Да",MeanMinAge23+'19_Расчет_аналитики'!BH4607*SUMIF(ThresholdAge23,"&lt;"&amp;'19_Расчет_аналитики'!BH4607,WeightedRevAge23)-SUMIF(ThresholdAge23,"&lt;"&amp;'19_Расчет_аналитики'!BH4607,WeightedMinAge23),MAX(CapacityAge23*'01_Вводные'!$B$218*'19_Расчет_аналитики'!BH4607,MeanMinAge23))),0)</f>
        <v/>
      </c>
      <c r="BI4534">
        <f>IF('01_Вводные'!$B$234="Да",IF(OR('19_Расчет_аналитики'!BI4506=0,23&lt;='01_Вводные'!$B$297),0,'19_Расчет_аналитики'!BI4506*IF('01_Вводные'!$B$239="Да",MeanMinAge23+'19_Расчет_аналитики'!BI4607*SUMIF(ThresholdAge23,"&lt;"&amp;'19_Расчет_аналитики'!BI4607,WeightedRevAge23)-SUMIF(ThresholdAge23,"&lt;"&amp;'19_Расчет_аналитики'!BI4607,WeightedMinAge23),MAX(CapacityAge23*'01_Вводные'!$B$218*'19_Расчет_аналитики'!BI4607,MeanMinAge23))),0)</f>
        <v/>
      </c>
      <c r="BJ4534">
        <f>IF('01_Вводные'!$B$234="Да",IF(OR('19_Расчет_аналитики'!BJ4506=0,23&lt;='01_Вводные'!$B$297),0,'19_Расчет_аналитики'!BJ4506*IF('01_Вводные'!$B$239="Да",MeanMinAge23+'19_Расчет_аналитики'!BJ4607*SUMIF(ThresholdAge23,"&lt;"&amp;'19_Расчет_аналитики'!BJ4607,WeightedRevAge23)-SUMIF(ThresholdAge23,"&lt;"&amp;'19_Расчет_аналитики'!BJ4607,WeightedMinAge23),MAX(CapacityAge23*'01_Вводные'!$B$218*'19_Расчет_аналитики'!BJ4607,MeanMinAge23))),0)</f>
        <v/>
      </c>
      <c r="BK4534">
        <f>IF('01_Вводные'!$B$234="Да",IF(OR('19_Расчет_аналитики'!BK4506=0,23&lt;='01_Вводные'!$B$297),0,'19_Расчет_аналитики'!BK4506*IF('01_Вводные'!$B$239="Да",MeanMinAge23+'19_Расчет_аналитики'!BK4607*SUMIF(ThresholdAge23,"&lt;"&amp;'19_Расчет_аналитики'!BK4607,WeightedRevAge23)-SUMIF(ThresholdAge23,"&lt;"&amp;'19_Расчет_аналитики'!BK4607,WeightedMinAge23),MAX(CapacityAge23*'01_Вводные'!$B$218*'19_Расчет_аналитики'!BK4607,MeanMinAge23))),0)</f>
        <v/>
      </c>
      <c r="BL4534">
        <f>IF('01_Вводные'!$B$234="Да",IF(OR('19_Расчет_аналитики'!BL4506=0,23&lt;='01_Вводные'!$B$297),0,'19_Расчет_аналитики'!BL4506*IF('01_Вводные'!$B$239="Да",MeanMinAge23+'19_Расчет_аналитики'!BL4607*SUMIF(ThresholdAge23,"&lt;"&amp;'19_Расчет_аналитики'!BL4607,WeightedRevAge23)-SUMIF(ThresholdAge23,"&lt;"&amp;'19_Расчет_аналитики'!BL4607,WeightedMinAge23),MAX(CapacityAge23*'01_Вводные'!$B$218*'19_Расчет_аналитики'!BL4607,MeanMinAge23))),0)</f>
        <v/>
      </c>
      <c r="BM4534">
        <f>IF('01_Вводные'!$B$234="Да",IF(OR('19_Расчет_аналитики'!BM4506=0,23&lt;='01_Вводные'!$B$297),0,'19_Расчет_аналитики'!BM4506*IF('01_Вводные'!$B$239="Да",MeanMinAge23+'19_Расчет_аналитики'!BM4607*SUMIF(ThresholdAge23,"&lt;"&amp;'19_Расчет_аналитики'!BM4607,WeightedRevAge23)-SUMIF(ThresholdAge23,"&lt;"&amp;'19_Расчет_аналитики'!BM4607,WeightedMinAge23),MAX(CapacityAge23*'01_Вводные'!$B$218*'19_Расчет_аналитики'!BM4607,MeanMinAge23))),0)</f>
        <v/>
      </c>
      <c r="BN4534">
        <f>IF('01_Вводные'!$B$234="Да",IF(OR('19_Расчет_аналитики'!BN4506=0,23&lt;='01_Вводные'!$B$297),0,'19_Расчет_аналитики'!BN4506*IF('01_Вводные'!$B$239="Да",MeanMinAge23+'19_Расчет_аналитики'!BN4607*SUMIF(ThresholdAge23,"&lt;"&amp;'19_Расчет_аналитики'!BN4607,WeightedRevAge23)-SUMIF(ThresholdAge23,"&lt;"&amp;'19_Расчет_аналитики'!BN4607,WeightedMinAge23),MAX(CapacityAge23*'01_Вводные'!$B$218*'19_Расчет_аналитики'!BN4607,MeanMinAge23))),0)</f>
        <v/>
      </c>
      <c r="BO4534">
        <f>IF('01_Вводные'!$B$234="Да",IF(OR('19_Расчет_аналитики'!BO4506=0,23&lt;='01_Вводные'!$B$297),0,'19_Расчет_аналитики'!BO4506*IF('01_Вводные'!$B$239="Да",MeanMinAge23+'19_Расчет_аналитики'!BO4607*SUMIF(ThresholdAge23,"&lt;"&amp;'19_Расчет_аналитики'!BO4607,WeightedRevAge23)-SUMIF(ThresholdAge23,"&lt;"&amp;'19_Расчет_аналитики'!BO4607,WeightedMinAge23),MAX(CapacityAge23*'01_Вводные'!$B$218*'19_Расчет_аналитики'!BO4607,MeanMinAge23))),0)</f>
        <v/>
      </c>
    </row>
    <row r="4535">
      <c r="B4535">
        <f>IF('01_Вводные'!$B$234="Да",IF(OR('06_Сеть_и_дети'!B104=0,24&lt;='01_Вводные'!$B$297),0,'06_Сеть_и_дети'!B104*IF('01_Вводные'!$B$239="Да",MeanMinAge24+'19_Расчет_аналитики'!B4607*SUMIF(ThresholdAge24,"&lt;"&amp;'19_Расчет_аналитики'!B4607,WeightedRevAge24)-SUMIF(ThresholdAge24,"&lt;"&amp;'19_Расчет_аналитики'!B4607,WeightedMinAge24),MAX(CapacityAge24*'01_Вводные'!$B$218*'19_Расчет_аналитики'!B4607,MeanMinAge24))),0)</f>
        <v/>
      </c>
      <c r="C4535">
        <f>IF('01_Вводные'!$B$234="Да",IF(OR('06_Сеть_и_дети'!C104=0,24&lt;='01_Вводные'!$B$297),0,'06_Сеть_и_дети'!C104*IF('01_Вводные'!$B$239="Да",MeanMinAge24+'19_Расчет_аналитики'!C4607*SUMIF(ThresholdAge24,"&lt;"&amp;'19_Расчет_аналитики'!C4607,WeightedRevAge24)-SUMIF(ThresholdAge24,"&lt;"&amp;'19_Расчет_аналитики'!C4607,WeightedMinAge24),MAX(CapacityAge24*'01_Вводные'!$B$218*'19_Расчет_аналитики'!C4607,MeanMinAge24))),0)</f>
        <v/>
      </c>
      <c r="D4535">
        <f>IF('01_Вводные'!$B$234="Да",IF(OR('06_Сеть_и_дети'!D104=0,24&lt;='01_Вводные'!$B$297),0,'06_Сеть_и_дети'!D104*IF('01_Вводные'!$B$239="Да",MeanMinAge24+'19_Расчет_аналитики'!D4607*SUMIF(ThresholdAge24,"&lt;"&amp;'19_Расчет_аналитики'!D4607,WeightedRevAge24)-SUMIF(ThresholdAge24,"&lt;"&amp;'19_Расчет_аналитики'!D4607,WeightedMinAge24),MAX(CapacityAge24*'01_Вводные'!$B$218*'19_Расчет_аналитики'!D4607,MeanMinAge24))),0)</f>
        <v/>
      </c>
      <c r="E4535">
        <f>IF('01_Вводные'!$B$234="Да",IF(OR('06_Сеть_и_дети'!E104=0,24&lt;='01_Вводные'!$B$297),0,'06_Сеть_и_дети'!E104*IF('01_Вводные'!$B$239="Да",MeanMinAge24+'19_Расчет_аналитики'!E4607*SUMIF(ThresholdAge24,"&lt;"&amp;'19_Расчет_аналитики'!E4607,WeightedRevAge24)-SUMIF(ThresholdAge24,"&lt;"&amp;'19_Расчет_аналитики'!E4607,WeightedMinAge24),MAX(CapacityAge24*'01_Вводные'!$B$218*'19_Расчет_аналитики'!E4607,MeanMinAge24))),0)</f>
        <v/>
      </c>
      <c r="F4535">
        <f>IF('01_Вводные'!$B$234="Да",IF(OR('06_Сеть_и_дети'!F104=0,24&lt;='01_Вводные'!$B$297),0,'06_Сеть_и_дети'!F104*IF('01_Вводные'!$B$239="Да",MeanMinAge24+'19_Расчет_аналитики'!F4607*SUMIF(ThresholdAge24,"&lt;"&amp;'19_Расчет_аналитики'!F4607,WeightedRevAge24)-SUMIF(ThresholdAge24,"&lt;"&amp;'19_Расчет_аналитики'!F4607,WeightedMinAge24),MAX(CapacityAge24*'01_Вводные'!$B$218*'19_Расчет_аналитики'!F4607,MeanMinAge24))),0)</f>
        <v/>
      </c>
      <c r="G4535">
        <f>IF('01_Вводные'!$B$234="Да",IF(OR('06_Сеть_и_дети'!G104=0,24&lt;='01_Вводные'!$B$297),0,'06_Сеть_и_дети'!G104*IF('01_Вводные'!$B$239="Да",MeanMinAge24+'19_Расчет_аналитики'!G4607*SUMIF(ThresholdAge24,"&lt;"&amp;'19_Расчет_аналитики'!G4607,WeightedRevAge24)-SUMIF(ThresholdAge24,"&lt;"&amp;'19_Расчет_аналитики'!G4607,WeightedMinAge24),MAX(CapacityAge24*'01_Вводные'!$B$218*'19_Расчет_аналитики'!G4607,MeanMinAge24))),0)</f>
        <v/>
      </c>
      <c r="H4535">
        <f>IF('01_Вводные'!$B$234="Да",IF(OR('06_Сеть_и_дети'!H104=0,24&lt;='01_Вводные'!$B$297),0,'06_Сеть_и_дети'!H104*IF('01_Вводные'!$B$239="Да",MeanMinAge24+'19_Расчет_аналитики'!H4607*SUMIF(ThresholdAge24,"&lt;"&amp;'19_Расчет_аналитики'!H4607,WeightedRevAge24)-SUMIF(ThresholdAge24,"&lt;"&amp;'19_Расчет_аналитики'!H4607,WeightedMinAge24),MAX(CapacityAge24*'01_Вводные'!$B$218*'19_Расчет_аналитики'!H4607,MeanMinAge24))),0)</f>
        <v/>
      </c>
      <c r="I4535">
        <f>IF('01_Вводные'!$B$234="Да",IF(OR('06_Сеть_и_дети'!I104=0,24&lt;='01_Вводные'!$B$297),0,'06_Сеть_и_дети'!I104*IF('01_Вводные'!$B$239="Да",MeanMinAge24+'19_Расчет_аналитики'!I4607*SUMIF(ThresholdAge24,"&lt;"&amp;'19_Расчет_аналитики'!I4607,WeightedRevAge24)-SUMIF(ThresholdAge24,"&lt;"&amp;'19_Расчет_аналитики'!I4607,WeightedMinAge24),MAX(CapacityAge24*'01_Вводные'!$B$218*'19_Расчет_аналитики'!I4607,MeanMinAge24))),0)</f>
        <v/>
      </c>
      <c r="J4535">
        <f>IF('01_Вводные'!$B$234="Да",IF(OR('06_Сеть_и_дети'!J104=0,24&lt;='01_Вводные'!$B$297),0,'06_Сеть_и_дети'!J104*IF('01_Вводные'!$B$239="Да",MeanMinAge24+'19_Расчет_аналитики'!J4607*SUMIF(ThresholdAge24,"&lt;"&amp;'19_Расчет_аналитики'!J4607,WeightedRevAge24)-SUMIF(ThresholdAge24,"&lt;"&amp;'19_Расчет_аналитики'!J4607,WeightedMinAge24),MAX(CapacityAge24*'01_Вводные'!$B$218*'19_Расчет_аналитики'!J4607,MeanMinAge24))),0)</f>
        <v/>
      </c>
      <c r="K4535">
        <f>IF('01_Вводные'!$B$234="Да",IF(OR('06_Сеть_и_дети'!K104=0,24&lt;='01_Вводные'!$B$297),0,'06_Сеть_и_дети'!K104*IF('01_Вводные'!$B$239="Да",MeanMinAge24+'19_Расчет_аналитики'!K4607*SUMIF(ThresholdAge24,"&lt;"&amp;'19_Расчет_аналитики'!K4607,WeightedRevAge24)-SUMIF(ThresholdAge24,"&lt;"&amp;'19_Расчет_аналитики'!K4607,WeightedMinAge24),MAX(CapacityAge24*'01_Вводные'!$B$218*'19_Расчет_аналитики'!K4607,MeanMinAge24))),0)</f>
        <v/>
      </c>
      <c r="L4535">
        <f>IF('01_Вводные'!$B$234="Да",IF(OR('06_Сеть_и_дети'!L104=0,24&lt;='01_Вводные'!$B$297),0,'06_Сеть_и_дети'!L104*IF('01_Вводные'!$B$239="Да",MeanMinAge24+'19_Расчет_аналитики'!L4607*SUMIF(ThresholdAge24,"&lt;"&amp;'19_Расчет_аналитики'!L4607,WeightedRevAge24)-SUMIF(ThresholdAge24,"&lt;"&amp;'19_Расчет_аналитики'!L4607,WeightedMinAge24),MAX(CapacityAge24*'01_Вводные'!$B$218*'19_Расчет_аналитики'!L4607,MeanMinAge24))),0)</f>
        <v/>
      </c>
      <c r="M4535">
        <f>IF('01_Вводные'!$B$234="Да",IF(OR('06_Сеть_и_дети'!M104=0,24&lt;='01_Вводные'!$B$297),0,'06_Сеть_и_дети'!M104*IF('01_Вводные'!$B$239="Да",MeanMinAge24+'19_Расчет_аналитики'!M4607*SUMIF(ThresholdAge24,"&lt;"&amp;'19_Расчет_аналитики'!M4607,WeightedRevAge24)-SUMIF(ThresholdAge24,"&lt;"&amp;'19_Расчет_аналитики'!M4607,WeightedMinAge24),MAX(CapacityAge24*'01_Вводные'!$B$218*'19_Расчет_аналитики'!M4607,MeanMinAge24))),0)</f>
        <v/>
      </c>
      <c r="N4535">
        <f>IF('01_Вводные'!$B$234="Да",IF(OR('06_Сеть_и_дети'!N104=0,24&lt;='01_Вводные'!$B$297),0,'06_Сеть_и_дети'!N104*IF('01_Вводные'!$B$239="Да",MeanMinAge24+'19_Расчет_аналитики'!N4607*SUMIF(ThresholdAge24,"&lt;"&amp;'19_Расчет_аналитики'!N4607,WeightedRevAge24)-SUMIF(ThresholdAge24,"&lt;"&amp;'19_Расчет_аналитики'!N4607,WeightedMinAge24),MAX(CapacityAge24*'01_Вводные'!$B$218*'19_Расчет_аналитики'!N4607,MeanMinAge24))),0)</f>
        <v/>
      </c>
      <c r="O4535">
        <f>IF('01_Вводные'!$B$234="Да",IF(OR('06_Сеть_и_дети'!O104=0,24&lt;='01_Вводные'!$B$297),0,'06_Сеть_и_дети'!O104*IF('01_Вводные'!$B$239="Да",MeanMinAge24+'19_Расчет_аналитики'!O4607*SUMIF(ThresholdAge24,"&lt;"&amp;'19_Расчет_аналитики'!O4607,WeightedRevAge24)-SUMIF(ThresholdAge24,"&lt;"&amp;'19_Расчет_аналитики'!O4607,WeightedMinAge24),MAX(CapacityAge24*'01_Вводные'!$B$218*'19_Расчет_аналитики'!O4607,MeanMinAge24))),0)</f>
        <v/>
      </c>
      <c r="P4535">
        <f>IF('01_Вводные'!$B$234="Да",IF(OR('06_Сеть_и_дети'!P104=0,24&lt;='01_Вводные'!$B$297),0,'06_Сеть_и_дети'!P104*IF('01_Вводные'!$B$239="Да",MeanMinAge24+'19_Расчет_аналитики'!P4607*SUMIF(ThresholdAge24,"&lt;"&amp;'19_Расчет_аналитики'!P4607,WeightedRevAge24)-SUMIF(ThresholdAge24,"&lt;"&amp;'19_Расчет_аналитики'!P4607,WeightedMinAge24),MAX(CapacityAge24*'01_Вводные'!$B$218*'19_Расчет_аналитики'!P4607,MeanMinAge24))),0)</f>
        <v/>
      </c>
      <c r="Q4535">
        <f>IF('01_Вводные'!$B$234="Да",IF(OR('06_Сеть_и_дети'!Q104=0,24&lt;='01_Вводные'!$B$297),0,'06_Сеть_и_дети'!Q104*IF('01_Вводные'!$B$239="Да",MeanMinAge24+'19_Расчет_аналитики'!Q4607*SUMIF(ThresholdAge24,"&lt;"&amp;'19_Расчет_аналитики'!Q4607,WeightedRevAge24)-SUMIF(ThresholdAge24,"&lt;"&amp;'19_Расчет_аналитики'!Q4607,WeightedMinAge24),MAX(CapacityAge24*'01_Вводные'!$B$218*'19_Расчет_аналитики'!Q4607,MeanMinAge24))),0)</f>
        <v/>
      </c>
      <c r="R4535">
        <f>IF('01_Вводные'!$B$234="Да",IF(OR('06_Сеть_и_дети'!R104=0,24&lt;='01_Вводные'!$B$297),0,'06_Сеть_и_дети'!R104*IF('01_Вводные'!$B$239="Да",MeanMinAge24+'19_Расчет_аналитики'!R4607*SUMIF(ThresholdAge24,"&lt;"&amp;'19_Расчет_аналитики'!R4607,WeightedRevAge24)-SUMIF(ThresholdAge24,"&lt;"&amp;'19_Расчет_аналитики'!R4607,WeightedMinAge24),MAX(CapacityAge24*'01_Вводные'!$B$218*'19_Расчет_аналитики'!R4607,MeanMinAge24))),0)</f>
        <v/>
      </c>
      <c r="S4535">
        <f>IF('01_Вводные'!$B$234="Да",IF(OR('06_Сеть_и_дети'!S104=0,24&lt;='01_Вводные'!$B$297),0,'06_Сеть_и_дети'!S104*IF('01_Вводные'!$B$239="Да",MeanMinAge24+'19_Расчет_аналитики'!S4607*SUMIF(ThresholdAge24,"&lt;"&amp;'19_Расчет_аналитики'!S4607,WeightedRevAge24)-SUMIF(ThresholdAge24,"&lt;"&amp;'19_Расчет_аналитики'!S4607,WeightedMinAge24),MAX(CapacityAge24*'01_Вводные'!$B$218*'19_Расчет_аналитики'!S4607,MeanMinAge24))),0)</f>
        <v/>
      </c>
      <c r="T4535">
        <f>IF('01_Вводные'!$B$234="Да",IF(OR('06_Сеть_и_дети'!T104=0,24&lt;='01_Вводные'!$B$297),0,'06_Сеть_и_дети'!T104*IF('01_Вводные'!$B$239="Да",MeanMinAge24+'19_Расчет_аналитики'!T4607*SUMIF(ThresholdAge24,"&lt;"&amp;'19_Расчет_аналитики'!T4607,WeightedRevAge24)-SUMIF(ThresholdAge24,"&lt;"&amp;'19_Расчет_аналитики'!T4607,WeightedMinAge24),MAX(CapacityAge24*'01_Вводные'!$B$218*'19_Расчет_аналитики'!T4607,MeanMinAge24))),0)</f>
        <v/>
      </c>
      <c r="U4535">
        <f>IF('01_Вводные'!$B$234="Да",IF(OR('06_Сеть_и_дети'!U104=0,24&lt;='01_Вводные'!$B$297),0,'06_Сеть_и_дети'!U104*IF('01_Вводные'!$B$239="Да",MeanMinAge24+'19_Расчет_аналитики'!U4607*SUMIF(ThresholdAge24,"&lt;"&amp;'19_Расчет_аналитики'!U4607,WeightedRevAge24)-SUMIF(ThresholdAge24,"&lt;"&amp;'19_Расчет_аналитики'!U4607,WeightedMinAge24),MAX(CapacityAge24*'01_Вводные'!$B$218*'19_Расчет_аналитики'!U4607,MeanMinAge24))),0)</f>
        <v/>
      </c>
      <c r="V4535">
        <f>IF('01_Вводные'!$B$234="Да",IF(OR('06_Сеть_и_дети'!V104=0,24&lt;='01_Вводные'!$B$297),0,'06_Сеть_и_дети'!V104*IF('01_Вводные'!$B$239="Да",MeanMinAge24+'19_Расчет_аналитики'!V4607*SUMIF(ThresholdAge24,"&lt;"&amp;'19_Расчет_аналитики'!V4607,WeightedRevAge24)-SUMIF(ThresholdAge24,"&lt;"&amp;'19_Расчет_аналитики'!V4607,WeightedMinAge24),MAX(CapacityAge24*'01_Вводные'!$B$218*'19_Расчет_аналитики'!V4607,MeanMinAge24))),0)</f>
        <v/>
      </c>
      <c r="W4535">
        <f>IF('01_Вводные'!$B$234="Да",IF(OR('06_Сеть_и_дети'!W104=0,24&lt;='01_Вводные'!$B$297),0,'06_Сеть_и_дети'!W104*IF('01_Вводные'!$B$239="Да",MeanMinAge24+'19_Расчет_аналитики'!W4607*SUMIF(ThresholdAge24,"&lt;"&amp;'19_Расчет_аналитики'!W4607,WeightedRevAge24)-SUMIF(ThresholdAge24,"&lt;"&amp;'19_Расчет_аналитики'!W4607,WeightedMinAge24),MAX(CapacityAge24*'01_Вводные'!$B$218*'19_Расчет_аналитики'!W4607,MeanMinAge24))),0)</f>
        <v/>
      </c>
      <c r="X4535">
        <f>IF('01_Вводные'!$B$234="Да",IF(OR('06_Сеть_и_дети'!X104=0,24&lt;='01_Вводные'!$B$297),0,'06_Сеть_и_дети'!X104*IF('01_Вводные'!$B$239="Да",MeanMinAge24+'19_Расчет_аналитики'!X4607*SUMIF(ThresholdAge24,"&lt;"&amp;'19_Расчет_аналитики'!X4607,WeightedRevAge24)-SUMIF(ThresholdAge24,"&lt;"&amp;'19_Расчет_аналитики'!X4607,WeightedMinAge24),MAX(CapacityAge24*'01_Вводные'!$B$218*'19_Расчет_аналитики'!X4607,MeanMinAge24))),0)</f>
        <v/>
      </c>
      <c r="Y4535">
        <f>IF('01_Вводные'!$B$234="Да",IF(OR('19_Расчет_аналитики'!Y4507=0,24&lt;='01_Вводные'!$B$297),0,'19_Расчет_аналитики'!Y4507*IF('01_Вводные'!$B$239="Да",MeanMinAge24+'19_Расчет_аналитики'!Y4607*SUMIF(ThresholdAge24,"&lt;"&amp;'19_Расчет_аналитики'!Y4607,WeightedRevAge24)-SUMIF(ThresholdAge24,"&lt;"&amp;'19_Расчет_аналитики'!Y4607,WeightedMinAge24),MAX(CapacityAge24*'01_Вводные'!$B$218*'19_Расчет_аналитики'!Y4607,MeanMinAge24))),0)</f>
        <v/>
      </c>
      <c r="Z4535">
        <f>IF('01_Вводные'!$B$234="Да",IF(OR('19_Расчет_аналитики'!Z4507=0,24&lt;='01_Вводные'!$B$297),0,'19_Расчет_аналитики'!Z4507*IF('01_Вводные'!$B$239="Да",MeanMinAge24+'19_Расчет_аналитики'!Z4607*SUMIF(ThresholdAge24,"&lt;"&amp;'19_Расчет_аналитики'!Z4607,WeightedRevAge24)-SUMIF(ThresholdAge24,"&lt;"&amp;'19_Расчет_аналитики'!Z4607,WeightedMinAge24),MAX(CapacityAge24*'01_Вводные'!$B$218*'19_Расчет_аналитики'!Z4607,MeanMinAge24))),0)</f>
        <v/>
      </c>
      <c r="AA4535">
        <f>IF('01_Вводные'!$B$234="Да",IF(OR('19_Расчет_аналитики'!AA4507=0,24&lt;='01_Вводные'!$B$297),0,'19_Расчет_аналитики'!AA4507*IF('01_Вводные'!$B$239="Да",MeanMinAge24+'19_Расчет_аналитики'!AA4607*SUMIF(ThresholdAge24,"&lt;"&amp;'19_Расчет_аналитики'!AA4607,WeightedRevAge24)-SUMIF(ThresholdAge24,"&lt;"&amp;'19_Расчет_аналитики'!AA4607,WeightedMinAge24),MAX(CapacityAge24*'01_Вводные'!$B$218*'19_Расчет_аналитики'!AA4607,MeanMinAge24))),0)</f>
        <v/>
      </c>
      <c r="AB4535">
        <f>IF('01_Вводные'!$B$234="Да",IF(OR('19_Расчет_аналитики'!AB4507=0,24&lt;='01_Вводные'!$B$297),0,'19_Расчет_аналитики'!AB4507*IF('01_Вводные'!$B$239="Да",MeanMinAge24+'19_Расчет_аналитики'!AB4607*SUMIF(ThresholdAge24,"&lt;"&amp;'19_Расчет_аналитики'!AB4607,WeightedRevAge24)-SUMIF(ThresholdAge24,"&lt;"&amp;'19_Расчет_аналитики'!AB4607,WeightedMinAge24),MAX(CapacityAge24*'01_Вводные'!$B$218*'19_Расчет_аналитики'!AB4607,MeanMinAge24))),0)</f>
        <v/>
      </c>
      <c r="AC4535">
        <f>IF('01_Вводные'!$B$234="Да",IF(OR('19_Расчет_аналитики'!AC4507=0,24&lt;='01_Вводные'!$B$297),0,'19_Расчет_аналитики'!AC4507*IF('01_Вводные'!$B$239="Да",MeanMinAge24+'19_Расчет_аналитики'!AC4607*SUMIF(ThresholdAge24,"&lt;"&amp;'19_Расчет_аналитики'!AC4607,WeightedRevAge24)-SUMIF(ThresholdAge24,"&lt;"&amp;'19_Расчет_аналитики'!AC4607,WeightedMinAge24),MAX(CapacityAge24*'01_Вводные'!$B$218*'19_Расчет_аналитики'!AC4607,MeanMinAge24))),0)</f>
        <v/>
      </c>
      <c r="AD4535">
        <f>IF('01_Вводные'!$B$234="Да",IF(OR('19_Расчет_аналитики'!AD4507=0,24&lt;='01_Вводные'!$B$297),0,'19_Расчет_аналитики'!AD4507*IF('01_Вводные'!$B$239="Да",MeanMinAge24+'19_Расчет_аналитики'!AD4607*SUMIF(ThresholdAge24,"&lt;"&amp;'19_Расчет_аналитики'!AD4607,WeightedRevAge24)-SUMIF(ThresholdAge24,"&lt;"&amp;'19_Расчет_аналитики'!AD4607,WeightedMinAge24),MAX(CapacityAge24*'01_Вводные'!$B$218*'19_Расчет_аналитики'!AD4607,MeanMinAge24))),0)</f>
        <v/>
      </c>
      <c r="AE4535">
        <f>IF('01_Вводные'!$B$234="Да",IF(OR('19_Расчет_аналитики'!AE4507=0,24&lt;='01_Вводные'!$B$297),0,'19_Расчет_аналитики'!AE4507*IF('01_Вводные'!$B$239="Да",MeanMinAge24+'19_Расчет_аналитики'!AE4607*SUMIF(ThresholdAge24,"&lt;"&amp;'19_Расчет_аналитики'!AE4607,WeightedRevAge24)-SUMIF(ThresholdAge24,"&lt;"&amp;'19_Расчет_аналитики'!AE4607,WeightedMinAge24),MAX(CapacityAge24*'01_Вводные'!$B$218*'19_Расчет_аналитики'!AE4607,MeanMinAge24))),0)</f>
        <v/>
      </c>
      <c r="AF4535">
        <f>IF('01_Вводные'!$B$234="Да",IF(OR('19_Расчет_аналитики'!AF4507=0,24&lt;='01_Вводные'!$B$297),0,'19_Расчет_аналитики'!AF4507*IF('01_Вводные'!$B$239="Да",MeanMinAge24+'19_Расчет_аналитики'!AF4607*SUMIF(ThresholdAge24,"&lt;"&amp;'19_Расчет_аналитики'!AF4607,WeightedRevAge24)-SUMIF(ThresholdAge24,"&lt;"&amp;'19_Расчет_аналитики'!AF4607,WeightedMinAge24),MAX(CapacityAge24*'01_Вводные'!$B$218*'19_Расчет_аналитики'!AF4607,MeanMinAge24))),0)</f>
        <v/>
      </c>
      <c r="AG4535">
        <f>IF('01_Вводные'!$B$234="Да",IF(OR('19_Расчет_аналитики'!AG4507=0,24&lt;='01_Вводные'!$B$297),0,'19_Расчет_аналитики'!AG4507*IF('01_Вводные'!$B$239="Да",MeanMinAge24+'19_Расчет_аналитики'!AG4607*SUMIF(ThresholdAge24,"&lt;"&amp;'19_Расчет_аналитики'!AG4607,WeightedRevAge24)-SUMIF(ThresholdAge24,"&lt;"&amp;'19_Расчет_аналитики'!AG4607,WeightedMinAge24),MAX(CapacityAge24*'01_Вводные'!$B$218*'19_Расчет_аналитики'!AG4607,MeanMinAge24))),0)</f>
        <v/>
      </c>
      <c r="AH4535">
        <f>IF('01_Вводные'!$B$234="Да",IF(OR('19_Расчет_аналитики'!AH4507=0,24&lt;='01_Вводные'!$B$297),0,'19_Расчет_аналитики'!AH4507*IF('01_Вводные'!$B$239="Да",MeanMinAge24+'19_Расчет_аналитики'!AH4607*SUMIF(ThresholdAge24,"&lt;"&amp;'19_Расчет_аналитики'!AH4607,WeightedRevAge24)-SUMIF(ThresholdAge24,"&lt;"&amp;'19_Расчет_аналитики'!AH4607,WeightedMinAge24),MAX(CapacityAge24*'01_Вводные'!$B$218*'19_Расчет_аналитики'!AH4607,MeanMinAge24))),0)</f>
        <v/>
      </c>
      <c r="AI4535">
        <f>IF('01_Вводные'!$B$234="Да",IF(OR('19_Расчет_аналитики'!AI4507=0,24&lt;='01_Вводные'!$B$297),0,'19_Расчет_аналитики'!AI4507*IF('01_Вводные'!$B$239="Да",MeanMinAge24+'19_Расчет_аналитики'!AI4607*SUMIF(ThresholdAge24,"&lt;"&amp;'19_Расчет_аналитики'!AI4607,WeightedRevAge24)-SUMIF(ThresholdAge24,"&lt;"&amp;'19_Расчет_аналитики'!AI4607,WeightedMinAge24),MAX(CapacityAge24*'01_Вводные'!$B$218*'19_Расчет_аналитики'!AI4607,MeanMinAge24))),0)</f>
        <v/>
      </c>
      <c r="AJ4535">
        <f>IF('01_Вводные'!$B$234="Да",IF(OR('19_Расчет_аналитики'!AJ4507=0,24&lt;='01_Вводные'!$B$297),0,'19_Расчет_аналитики'!AJ4507*IF('01_Вводные'!$B$239="Да",MeanMinAge24+'19_Расчет_аналитики'!AJ4607*SUMIF(ThresholdAge24,"&lt;"&amp;'19_Расчет_аналитики'!AJ4607,WeightedRevAge24)-SUMIF(ThresholdAge24,"&lt;"&amp;'19_Расчет_аналитики'!AJ4607,WeightedMinAge24),MAX(CapacityAge24*'01_Вводные'!$B$218*'19_Расчет_аналитики'!AJ4607,MeanMinAge24))),0)</f>
        <v/>
      </c>
      <c r="AK4535">
        <f>IF('01_Вводные'!$B$234="Да",IF(OR('19_Расчет_аналитики'!AK4507=0,24&lt;='01_Вводные'!$B$297),0,'19_Расчет_аналитики'!AK4507*IF('01_Вводные'!$B$239="Да",MeanMinAge24+'19_Расчет_аналитики'!AK4607*SUMIF(ThresholdAge24,"&lt;"&amp;'19_Расчет_аналитики'!AK4607,WeightedRevAge24)-SUMIF(ThresholdAge24,"&lt;"&amp;'19_Расчет_аналитики'!AK4607,WeightedMinAge24),MAX(CapacityAge24*'01_Вводные'!$B$218*'19_Расчет_аналитики'!AK4607,MeanMinAge24))),0)</f>
        <v/>
      </c>
      <c r="AL4535">
        <f>IF('01_Вводные'!$B$234="Да",IF(OR('19_Расчет_аналитики'!AL4507=0,24&lt;='01_Вводные'!$B$297),0,'19_Расчет_аналитики'!AL4507*IF('01_Вводные'!$B$239="Да",MeanMinAge24+'19_Расчет_аналитики'!AL4607*SUMIF(ThresholdAge24,"&lt;"&amp;'19_Расчет_аналитики'!AL4607,WeightedRevAge24)-SUMIF(ThresholdAge24,"&lt;"&amp;'19_Расчет_аналитики'!AL4607,WeightedMinAge24),MAX(CapacityAge24*'01_Вводные'!$B$218*'19_Расчет_аналитики'!AL4607,MeanMinAge24))),0)</f>
        <v/>
      </c>
      <c r="AM4535">
        <f>IF('01_Вводные'!$B$234="Да",IF(OR('19_Расчет_аналитики'!AM4507=0,24&lt;='01_Вводные'!$B$297),0,'19_Расчет_аналитики'!AM4507*IF('01_Вводные'!$B$239="Да",MeanMinAge24+'19_Расчет_аналитики'!AM4607*SUMIF(ThresholdAge24,"&lt;"&amp;'19_Расчет_аналитики'!AM4607,WeightedRevAge24)-SUMIF(ThresholdAge24,"&lt;"&amp;'19_Расчет_аналитики'!AM4607,WeightedMinAge24),MAX(CapacityAge24*'01_Вводные'!$B$218*'19_Расчет_аналитики'!AM4607,MeanMinAge24))),0)</f>
        <v/>
      </c>
      <c r="AN4535">
        <f>IF('01_Вводные'!$B$234="Да",IF(OR('19_Расчет_аналитики'!AN4507=0,24&lt;='01_Вводные'!$B$297),0,'19_Расчет_аналитики'!AN4507*IF('01_Вводные'!$B$239="Да",MeanMinAge24+'19_Расчет_аналитики'!AN4607*SUMIF(ThresholdAge24,"&lt;"&amp;'19_Расчет_аналитики'!AN4607,WeightedRevAge24)-SUMIF(ThresholdAge24,"&lt;"&amp;'19_Расчет_аналитики'!AN4607,WeightedMinAge24),MAX(CapacityAge24*'01_Вводные'!$B$218*'19_Расчет_аналитики'!AN4607,MeanMinAge24))),0)</f>
        <v/>
      </c>
      <c r="AO4535">
        <f>IF('01_Вводные'!$B$234="Да",IF(OR('19_Расчет_аналитики'!AO4507=0,24&lt;='01_Вводные'!$B$297),0,'19_Расчет_аналитики'!AO4507*IF('01_Вводные'!$B$239="Да",MeanMinAge24+'19_Расчет_аналитики'!AO4607*SUMIF(ThresholdAge24,"&lt;"&amp;'19_Расчет_аналитики'!AO4607,WeightedRevAge24)-SUMIF(ThresholdAge24,"&lt;"&amp;'19_Расчет_аналитики'!AO4607,WeightedMinAge24),MAX(CapacityAge24*'01_Вводные'!$B$218*'19_Расчет_аналитики'!AO4607,MeanMinAge24))),0)</f>
        <v/>
      </c>
      <c r="AP4535">
        <f>IF('01_Вводные'!$B$234="Да",IF(OR('19_Расчет_аналитики'!AP4507=0,24&lt;='01_Вводные'!$B$297),0,'19_Расчет_аналитики'!AP4507*IF('01_Вводные'!$B$239="Да",MeanMinAge24+'19_Расчет_аналитики'!AP4607*SUMIF(ThresholdAge24,"&lt;"&amp;'19_Расчет_аналитики'!AP4607,WeightedRevAge24)-SUMIF(ThresholdAge24,"&lt;"&amp;'19_Расчет_аналитики'!AP4607,WeightedMinAge24),MAX(CapacityAge24*'01_Вводные'!$B$218*'19_Расчет_аналитики'!AP4607,MeanMinAge24))),0)</f>
        <v/>
      </c>
      <c r="AQ4535">
        <f>IF('01_Вводные'!$B$234="Да",IF(OR('19_Расчет_аналитики'!AQ4507=0,24&lt;='01_Вводные'!$B$297),0,'19_Расчет_аналитики'!AQ4507*IF('01_Вводные'!$B$239="Да",MeanMinAge24+'19_Расчет_аналитики'!AQ4607*SUMIF(ThresholdAge24,"&lt;"&amp;'19_Расчет_аналитики'!AQ4607,WeightedRevAge24)-SUMIF(ThresholdAge24,"&lt;"&amp;'19_Расчет_аналитики'!AQ4607,WeightedMinAge24),MAX(CapacityAge24*'01_Вводные'!$B$218*'19_Расчет_аналитики'!AQ4607,MeanMinAge24))),0)</f>
        <v/>
      </c>
      <c r="AR4535">
        <f>IF('01_Вводные'!$B$234="Да",IF(OR('19_Расчет_аналитики'!AR4507=0,24&lt;='01_Вводные'!$B$297),0,'19_Расчет_аналитики'!AR4507*IF('01_Вводные'!$B$239="Да",MeanMinAge24+'19_Расчет_аналитики'!AR4607*SUMIF(ThresholdAge24,"&lt;"&amp;'19_Расчет_аналитики'!AR4607,WeightedRevAge24)-SUMIF(ThresholdAge24,"&lt;"&amp;'19_Расчет_аналитики'!AR4607,WeightedMinAge24),MAX(CapacityAge24*'01_Вводные'!$B$218*'19_Расчет_аналитики'!AR4607,MeanMinAge24))),0)</f>
        <v/>
      </c>
      <c r="AS4535">
        <f>IF('01_Вводные'!$B$234="Да",IF(OR('19_Расчет_аналитики'!AS4507=0,24&lt;='01_Вводные'!$B$297),0,'19_Расчет_аналитики'!AS4507*IF('01_Вводные'!$B$239="Да",MeanMinAge24+'19_Расчет_аналитики'!AS4607*SUMIF(ThresholdAge24,"&lt;"&amp;'19_Расчет_аналитики'!AS4607,WeightedRevAge24)-SUMIF(ThresholdAge24,"&lt;"&amp;'19_Расчет_аналитики'!AS4607,WeightedMinAge24),MAX(CapacityAge24*'01_Вводные'!$B$218*'19_Расчет_аналитики'!AS4607,MeanMinAge24))),0)</f>
        <v/>
      </c>
      <c r="AT4535">
        <f>IF('01_Вводные'!$B$234="Да",IF(OR('19_Расчет_аналитики'!AT4507=0,24&lt;='01_Вводные'!$B$297),0,'19_Расчет_аналитики'!AT4507*IF('01_Вводные'!$B$239="Да",MeanMinAge24+'19_Расчет_аналитики'!AT4607*SUMIF(ThresholdAge24,"&lt;"&amp;'19_Расчет_аналитики'!AT4607,WeightedRevAge24)-SUMIF(ThresholdAge24,"&lt;"&amp;'19_Расчет_аналитики'!AT4607,WeightedMinAge24),MAX(CapacityAge24*'01_Вводные'!$B$218*'19_Расчет_аналитики'!AT4607,MeanMinAge24))),0)</f>
        <v/>
      </c>
      <c r="AU4535">
        <f>IF('01_Вводные'!$B$234="Да",IF(OR('19_Расчет_аналитики'!AU4507=0,24&lt;='01_Вводные'!$B$297),0,'19_Расчет_аналитики'!AU4507*IF('01_Вводные'!$B$239="Да",MeanMinAge24+'19_Расчет_аналитики'!AU4607*SUMIF(ThresholdAge24,"&lt;"&amp;'19_Расчет_аналитики'!AU4607,WeightedRevAge24)-SUMIF(ThresholdAge24,"&lt;"&amp;'19_Расчет_аналитики'!AU4607,WeightedMinAge24),MAX(CapacityAge24*'01_Вводные'!$B$218*'19_Расчет_аналитики'!AU4607,MeanMinAge24))),0)</f>
        <v/>
      </c>
      <c r="AV4535">
        <f>IF('01_Вводные'!$B$234="Да",IF(OR('19_Расчет_аналитики'!AV4507=0,24&lt;='01_Вводные'!$B$297),0,'19_Расчет_аналитики'!AV4507*IF('01_Вводные'!$B$239="Да",MeanMinAge24+'19_Расчет_аналитики'!AV4607*SUMIF(ThresholdAge24,"&lt;"&amp;'19_Расчет_аналитики'!AV4607,WeightedRevAge24)-SUMIF(ThresholdAge24,"&lt;"&amp;'19_Расчет_аналитики'!AV4607,WeightedMinAge24),MAX(CapacityAge24*'01_Вводные'!$B$218*'19_Расчет_аналитики'!AV4607,MeanMinAge24))),0)</f>
        <v/>
      </c>
      <c r="AW4535">
        <f>IF('01_Вводные'!$B$234="Да",IF(OR('19_Расчет_аналитики'!AW4507=0,24&lt;='01_Вводные'!$B$297),0,'19_Расчет_аналитики'!AW4507*IF('01_Вводные'!$B$239="Да",MeanMinAge24+'19_Расчет_аналитики'!AW4607*SUMIF(ThresholdAge24,"&lt;"&amp;'19_Расчет_аналитики'!AW4607,WeightedRevAge24)-SUMIF(ThresholdAge24,"&lt;"&amp;'19_Расчет_аналитики'!AW4607,WeightedMinAge24),MAX(CapacityAge24*'01_Вводные'!$B$218*'19_Расчет_аналитики'!AW4607,MeanMinAge24))),0)</f>
        <v/>
      </c>
      <c r="AX4535">
        <f>IF('01_Вводные'!$B$234="Да",IF(OR('19_Расчет_аналитики'!AX4507=0,24&lt;='01_Вводные'!$B$297),0,'19_Расчет_аналитики'!AX4507*IF('01_Вводные'!$B$239="Да",MeanMinAge24+'19_Расчет_аналитики'!AX4607*SUMIF(ThresholdAge24,"&lt;"&amp;'19_Расчет_аналитики'!AX4607,WeightedRevAge24)-SUMIF(ThresholdAge24,"&lt;"&amp;'19_Расчет_аналитики'!AX4607,WeightedMinAge24),MAX(CapacityAge24*'01_Вводные'!$B$218*'19_Расчет_аналитики'!AX4607,MeanMinAge24))),0)</f>
        <v/>
      </c>
      <c r="AY4535">
        <f>IF('01_Вводные'!$B$234="Да",IF(OR('19_Расчет_аналитики'!AY4507=0,24&lt;='01_Вводные'!$B$297),0,'19_Расчет_аналитики'!AY4507*IF('01_Вводные'!$B$239="Да",MeanMinAge24+'19_Расчет_аналитики'!AY4607*SUMIF(ThresholdAge24,"&lt;"&amp;'19_Расчет_аналитики'!AY4607,WeightedRevAge24)-SUMIF(ThresholdAge24,"&lt;"&amp;'19_Расчет_аналитики'!AY4607,WeightedMinAge24),MAX(CapacityAge24*'01_Вводные'!$B$218*'19_Расчет_аналитики'!AY4607,MeanMinAge24))),0)</f>
        <v/>
      </c>
      <c r="AZ4535">
        <f>IF('01_Вводные'!$B$234="Да",IF(OR('19_Расчет_аналитики'!AZ4507=0,24&lt;='01_Вводные'!$B$297),0,'19_Расчет_аналитики'!AZ4507*IF('01_Вводные'!$B$239="Да",MeanMinAge24+'19_Расчет_аналитики'!AZ4607*SUMIF(ThresholdAge24,"&lt;"&amp;'19_Расчет_аналитики'!AZ4607,WeightedRevAge24)-SUMIF(ThresholdAge24,"&lt;"&amp;'19_Расчет_аналитики'!AZ4607,WeightedMinAge24),MAX(CapacityAge24*'01_Вводные'!$B$218*'19_Расчет_аналитики'!AZ4607,MeanMinAge24))),0)</f>
        <v/>
      </c>
      <c r="BA4535">
        <f>IF('01_Вводные'!$B$234="Да",IF(OR('19_Расчет_аналитики'!BA4507=0,24&lt;='01_Вводные'!$B$297),0,'19_Расчет_аналитики'!BA4507*IF('01_Вводные'!$B$239="Да",MeanMinAge24+'19_Расчет_аналитики'!BA4607*SUMIF(ThresholdAge24,"&lt;"&amp;'19_Расчет_аналитики'!BA4607,WeightedRevAge24)-SUMIF(ThresholdAge24,"&lt;"&amp;'19_Расчет_аналитики'!BA4607,WeightedMinAge24),MAX(CapacityAge24*'01_Вводные'!$B$218*'19_Расчет_аналитики'!BA4607,MeanMinAge24))),0)</f>
        <v/>
      </c>
      <c r="BB4535">
        <f>IF('01_Вводные'!$B$234="Да",IF(OR('19_Расчет_аналитики'!BB4507=0,24&lt;='01_Вводные'!$B$297),0,'19_Расчет_аналитики'!BB4507*IF('01_Вводные'!$B$239="Да",MeanMinAge24+'19_Расчет_аналитики'!BB4607*SUMIF(ThresholdAge24,"&lt;"&amp;'19_Расчет_аналитики'!BB4607,WeightedRevAge24)-SUMIF(ThresholdAge24,"&lt;"&amp;'19_Расчет_аналитики'!BB4607,WeightedMinAge24),MAX(CapacityAge24*'01_Вводные'!$B$218*'19_Расчет_аналитики'!BB4607,MeanMinAge24))),0)</f>
        <v/>
      </c>
      <c r="BC4535">
        <f>IF('01_Вводные'!$B$234="Да",IF(OR('19_Расчет_аналитики'!BC4507=0,24&lt;='01_Вводные'!$B$297),0,'19_Расчет_аналитики'!BC4507*IF('01_Вводные'!$B$239="Да",MeanMinAge24+'19_Расчет_аналитики'!BC4607*SUMIF(ThresholdAge24,"&lt;"&amp;'19_Расчет_аналитики'!BC4607,WeightedRevAge24)-SUMIF(ThresholdAge24,"&lt;"&amp;'19_Расчет_аналитики'!BC4607,WeightedMinAge24),MAX(CapacityAge24*'01_Вводные'!$B$218*'19_Расчет_аналитики'!BC4607,MeanMinAge24))),0)</f>
        <v/>
      </c>
      <c r="BD4535">
        <f>IF('01_Вводные'!$B$234="Да",IF(OR('19_Расчет_аналитики'!BD4507=0,24&lt;='01_Вводные'!$B$297),0,'19_Расчет_аналитики'!BD4507*IF('01_Вводные'!$B$239="Да",MeanMinAge24+'19_Расчет_аналитики'!BD4607*SUMIF(ThresholdAge24,"&lt;"&amp;'19_Расчет_аналитики'!BD4607,WeightedRevAge24)-SUMIF(ThresholdAge24,"&lt;"&amp;'19_Расчет_аналитики'!BD4607,WeightedMinAge24),MAX(CapacityAge24*'01_Вводные'!$B$218*'19_Расчет_аналитики'!BD4607,MeanMinAge24))),0)</f>
        <v/>
      </c>
      <c r="BE4535">
        <f>IF('01_Вводные'!$B$234="Да",IF(OR('19_Расчет_аналитики'!BE4507=0,24&lt;='01_Вводные'!$B$297),0,'19_Расчет_аналитики'!BE4507*IF('01_Вводные'!$B$239="Да",MeanMinAge24+'19_Расчет_аналитики'!BE4607*SUMIF(ThresholdAge24,"&lt;"&amp;'19_Расчет_аналитики'!BE4607,WeightedRevAge24)-SUMIF(ThresholdAge24,"&lt;"&amp;'19_Расчет_аналитики'!BE4607,WeightedMinAge24),MAX(CapacityAge24*'01_Вводные'!$B$218*'19_Расчет_аналитики'!BE4607,MeanMinAge24))),0)</f>
        <v/>
      </c>
      <c r="BF4535">
        <f>IF('01_Вводные'!$B$234="Да",IF(OR('19_Расчет_аналитики'!BF4507=0,24&lt;='01_Вводные'!$B$297),0,'19_Расчет_аналитики'!BF4507*IF('01_Вводные'!$B$239="Да",MeanMinAge24+'19_Расчет_аналитики'!BF4607*SUMIF(ThresholdAge24,"&lt;"&amp;'19_Расчет_аналитики'!BF4607,WeightedRevAge24)-SUMIF(ThresholdAge24,"&lt;"&amp;'19_Расчет_аналитики'!BF4607,WeightedMinAge24),MAX(CapacityAge24*'01_Вводные'!$B$218*'19_Расчет_аналитики'!BF4607,MeanMinAge24))),0)</f>
        <v/>
      </c>
      <c r="BG4535">
        <f>IF('01_Вводные'!$B$234="Да",IF(OR('19_Расчет_аналитики'!BG4507=0,24&lt;='01_Вводные'!$B$297),0,'19_Расчет_аналитики'!BG4507*IF('01_Вводные'!$B$239="Да",MeanMinAge24+'19_Расчет_аналитики'!BG4607*SUMIF(ThresholdAge24,"&lt;"&amp;'19_Расчет_аналитики'!BG4607,WeightedRevAge24)-SUMIF(ThresholdAge24,"&lt;"&amp;'19_Расчет_аналитики'!BG4607,WeightedMinAge24),MAX(CapacityAge24*'01_Вводные'!$B$218*'19_Расчет_аналитики'!BG4607,MeanMinAge24))),0)</f>
        <v/>
      </c>
      <c r="BH4535">
        <f>IF('01_Вводные'!$B$234="Да",IF(OR('19_Расчет_аналитики'!BH4507=0,24&lt;='01_Вводные'!$B$297),0,'19_Расчет_аналитики'!BH4507*IF('01_Вводные'!$B$239="Да",MeanMinAge24+'19_Расчет_аналитики'!BH4607*SUMIF(ThresholdAge24,"&lt;"&amp;'19_Расчет_аналитики'!BH4607,WeightedRevAge24)-SUMIF(ThresholdAge24,"&lt;"&amp;'19_Расчет_аналитики'!BH4607,WeightedMinAge24),MAX(CapacityAge24*'01_Вводные'!$B$218*'19_Расчет_аналитики'!BH4607,MeanMinAge24))),0)</f>
        <v/>
      </c>
      <c r="BI4535">
        <f>IF('01_Вводные'!$B$234="Да",IF(OR('19_Расчет_аналитики'!BI4507=0,24&lt;='01_Вводные'!$B$297),0,'19_Расчет_аналитики'!BI4507*IF('01_Вводные'!$B$239="Да",MeanMinAge24+'19_Расчет_аналитики'!BI4607*SUMIF(ThresholdAge24,"&lt;"&amp;'19_Расчет_аналитики'!BI4607,WeightedRevAge24)-SUMIF(ThresholdAge24,"&lt;"&amp;'19_Расчет_аналитики'!BI4607,WeightedMinAge24),MAX(CapacityAge24*'01_Вводные'!$B$218*'19_Расчет_аналитики'!BI4607,MeanMinAge24))),0)</f>
        <v/>
      </c>
      <c r="BJ4535">
        <f>IF('01_Вводные'!$B$234="Да",IF(OR('19_Расчет_аналитики'!BJ4507=0,24&lt;='01_Вводные'!$B$297),0,'19_Расчет_аналитики'!BJ4507*IF('01_Вводные'!$B$239="Да",MeanMinAge24+'19_Расчет_аналитики'!BJ4607*SUMIF(ThresholdAge24,"&lt;"&amp;'19_Расчет_аналитики'!BJ4607,WeightedRevAge24)-SUMIF(ThresholdAge24,"&lt;"&amp;'19_Расчет_аналитики'!BJ4607,WeightedMinAge24),MAX(CapacityAge24*'01_Вводные'!$B$218*'19_Расчет_аналитики'!BJ4607,MeanMinAge24))),0)</f>
        <v/>
      </c>
      <c r="BK4535">
        <f>IF('01_Вводные'!$B$234="Да",IF(OR('19_Расчет_аналитики'!BK4507=0,24&lt;='01_Вводные'!$B$297),0,'19_Расчет_аналитики'!BK4507*IF('01_Вводные'!$B$239="Да",MeanMinAge24+'19_Расчет_аналитики'!BK4607*SUMIF(ThresholdAge24,"&lt;"&amp;'19_Расчет_аналитики'!BK4607,WeightedRevAge24)-SUMIF(ThresholdAge24,"&lt;"&amp;'19_Расчет_аналитики'!BK4607,WeightedMinAge24),MAX(CapacityAge24*'01_Вводные'!$B$218*'19_Расчет_аналитики'!BK4607,MeanMinAge24))),0)</f>
        <v/>
      </c>
      <c r="BL4535">
        <f>IF('01_Вводные'!$B$234="Да",IF(OR('19_Расчет_аналитики'!BL4507=0,24&lt;='01_Вводные'!$B$297),0,'19_Расчет_аналитики'!BL4507*IF('01_Вводные'!$B$239="Да",MeanMinAge24+'19_Расчет_аналитики'!BL4607*SUMIF(ThresholdAge24,"&lt;"&amp;'19_Расчет_аналитики'!BL4607,WeightedRevAge24)-SUMIF(ThresholdAge24,"&lt;"&amp;'19_Расчет_аналитики'!BL4607,WeightedMinAge24),MAX(CapacityAge24*'01_Вводные'!$B$218*'19_Расчет_аналитики'!BL4607,MeanMinAge24))),0)</f>
        <v/>
      </c>
      <c r="BM4535">
        <f>IF('01_Вводные'!$B$234="Да",IF(OR('19_Расчет_аналитики'!BM4507=0,24&lt;='01_Вводные'!$B$297),0,'19_Расчет_аналитики'!BM4507*IF('01_Вводные'!$B$239="Да",MeanMinAge24+'19_Расчет_аналитики'!BM4607*SUMIF(ThresholdAge24,"&lt;"&amp;'19_Расчет_аналитики'!BM4607,WeightedRevAge24)-SUMIF(ThresholdAge24,"&lt;"&amp;'19_Расчет_аналитики'!BM4607,WeightedMinAge24),MAX(CapacityAge24*'01_Вводные'!$B$218*'19_Расчет_аналитики'!BM4607,MeanMinAge24))),0)</f>
        <v/>
      </c>
      <c r="BN4535">
        <f>IF('01_Вводные'!$B$234="Да",IF(OR('19_Расчет_аналитики'!BN4507=0,24&lt;='01_Вводные'!$B$297),0,'19_Расчет_аналитики'!BN4507*IF('01_Вводные'!$B$239="Да",MeanMinAge24+'19_Расчет_аналитики'!BN4607*SUMIF(ThresholdAge24,"&lt;"&amp;'19_Расчет_аналитики'!BN4607,WeightedRevAge24)-SUMIF(ThresholdAge24,"&lt;"&amp;'19_Расчет_аналитики'!BN4607,WeightedMinAge24),MAX(CapacityAge24*'01_Вводные'!$B$218*'19_Расчет_аналитики'!BN4607,MeanMinAge24))),0)</f>
        <v/>
      </c>
      <c r="BO4535">
        <f>IF('01_Вводные'!$B$234="Да",IF(OR('19_Расчет_аналитики'!BO4507=0,24&lt;='01_Вводные'!$B$297),0,'19_Расчет_аналитики'!BO4507*IF('01_Вводные'!$B$239="Да",MeanMinAge24+'19_Расчет_аналитики'!BO4607*SUMIF(ThresholdAge24,"&lt;"&amp;'19_Расчет_аналитики'!BO4607,WeightedRevAge24)-SUMIF(ThresholdAge24,"&lt;"&amp;'19_Расчет_аналитики'!BO4607,WeightedMinAge24),MAX(CapacityAge24*'01_Вводные'!$B$218*'19_Расчет_аналитики'!BO4607,MeanMinAge24))),0)</f>
        <v/>
      </c>
    </row>
    <row r="4536">
      <c r="B4536">
        <f>IF('01_Вводные'!$B$234="Да",IF(OR('06_Сеть_и_дети'!B105=0,25&lt;='01_Вводные'!$B$297),0,'06_Сеть_и_дети'!B105*IF('01_Вводные'!$B$239="Да",MeanMinAge25+'19_Расчет_аналитики'!B4607*SUMIF(ThresholdAge25,"&lt;"&amp;'19_Расчет_аналитики'!B4607,WeightedRevAge25)-SUMIF(ThresholdAge25,"&lt;"&amp;'19_Расчет_аналитики'!B4607,WeightedMinAge25),MAX(CapacityAge25*'01_Вводные'!$B$218*'19_Расчет_аналитики'!B4607,MeanMinAge25))),0)</f>
        <v/>
      </c>
      <c r="C4536">
        <f>IF('01_Вводные'!$B$234="Да",IF(OR('06_Сеть_и_дети'!C105=0,25&lt;='01_Вводные'!$B$297),0,'06_Сеть_и_дети'!C105*IF('01_Вводные'!$B$239="Да",MeanMinAge25+'19_Расчет_аналитики'!C4607*SUMIF(ThresholdAge25,"&lt;"&amp;'19_Расчет_аналитики'!C4607,WeightedRevAge25)-SUMIF(ThresholdAge25,"&lt;"&amp;'19_Расчет_аналитики'!C4607,WeightedMinAge25),MAX(CapacityAge25*'01_Вводные'!$B$218*'19_Расчет_аналитики'!C4607,MeanMinAge25))),0)</f>
        <v/>
      </c>
      <c r="D4536">
        <f>IF('01_Вводные'!$B$234="Да",IF(OR('06_Сеть_и_дети'!D105=0,25&lt;='01_Вводные'!$B$297),0,'06_Сеть_и_дети'!D105*IF('01_Вводные'!$B$239="Да",MeanMinAge25+'19_Расчет_аналитики'!D4607*SUMIF(ThresholdAge25,"&lt;"&amp;'19_Расчет_аналитики'!D4607,WeightedRevAge25)-SUMIF(ThresholdAge25,"&lt;"&amp;'19_Расчет_аналитики'!D4607,WeightedMinAge25),MAX(CapacityAge25*'01_Вводные'!$B$218*'19_Расчет_аналитики'!D4607,MeanMinAge25))),0)</f>
        <v/>
      </c>
      <c r="E4536">
        <f>IF('01_Вводные'!$B$234="Да",IF(OR('06_Сеть_и_дети'!E105=0,25&lt;='01_Вводные'!$B$297),0,'06_Сеть_и_дети'!E105*IF('01_Вводные'!$B$239="Да",MeanMinAge25+'19_Расчет_аналитики'!E4607*SUMIF(ThresholdAge25,"&lt;"&amp;'19_Расчет_аналитики'!E4607,WeightedRevAge25)-SUMIF(ThresholdAge25,"&lt;"&amp;'19_Расчет_аналитики'!E4607,WeightedMinAge25),MAX(CapacityAge25*'01_Вводные'!$B$218*'19_Расчет_аналитики'!E4607,MeanMinAge25))),0)</f>
        <v/>
      </c>
      <c r="F4536">
        <f>IF('01_Вводные'!$B$234="Да",IF(OR('06_Сеть_и_дети'!F105=0,25&lt;='01_Вводные'!$B$297),0,'06_Сеть_и_дети'!F105*IF('01_Вводные'!$B$239="Да",MeanMinAge25+'19_Расчет_аналитики'!F4607*SUMIF(ThresholdAge25,"&lt;"&amp;'19_Расчет_аналитики'!F4607,WeightedRevAge25)-SUMIF(ThresholdAge25,"&lt;"&amp;'19_Расчет_аналитики'!F4607,WeightedMinAge25),MAX(CapacityAge25*'01_Вводные'!$B$218*'19_Расчет_аналитики'!F4607,MeanMinAge25))),0)</f>
        <v/>
      </c>
      <c r="G4536">
        <f>IF('01_Вводные'!$B$234="Да",IF(OR('06_Сеть_и_дети'!G105=0,25&lt;='01_Вводные'!$B$297),0,'06_Сеть_и_дети'!G105*IF('01_Вводные'!$B$239="Да",MeanMinAge25+'19_Расчет_аналитики'!G4607*SUMIF(ThresholdAge25,"&lt;"&amp;'19_Расчет_аналитики'!G4607,WeightedRevAge25)-SUMIF(ThresholdAge25,"&lt;"&amp;'19_Расчет_аналитики'!G4607,WeightedMinAge25),MAX(CapacityAge25*'01_Вводные'!$B$218*'19_Расчет_аналитики'!G4607,MeanMinAge25))),0)</f>
        <v/>
      </c>
      <c r="H4536">
        <f>IF('01_Вводные'!$B$234="Да",IF(OR('06_Сеть_и_дети'!H105=0,25&lt;='01_Вводные'!$B$297),0,'06_Сеть_и_дети'!H105*IF('01_Вводные'!$B$239="Да",MeanMinAge25+'19_Расчет_аналитики'!H4607*SUMIF(ThresholdAge25,"&lt;"&amp;'19_Расчет_аналитики'!H4607,WeightedRevAge25)-SUMIF(ThresholdAge25,"&lt;"&amp;'19_Расчет_аналитики'!H4607,WeightedMinAge25),MAX(CapacityAge25*'01_Вводные'!$B$218*'19_Расчет_аналитики'!H4607,MeanMinAge25))),0)</f>
        <v/>
      </c>
      <c r="I4536">
        <f>IF('01_Вводные'!$B$234="Да",IF(OR('06_Сеть_и_дети'!I105=0,25&lt;='01_Вводные'!$B$297),0,'06_Сеть_и_дети'!I105*IF('01_Вводные'!$B$239="Да",MeanMinAge25+'19_Расчет_аналитики'!I4607*SUMIF(ThresholdAge25,"&lt;"&amp;'19_Расчет_аналитики'!I4607,WeightedRevAge25)-SUMIF(ThresholdAge25,"&lt;"&amp;'19_Расчет_аналитики'!I4607,WeightedMinAge25),MAX(CapacityAge25*'01_Вводные'!$B$218*'19_Расчет_аналитики'!I4607,MeanMinAge25))),0)</f>
        <v/>
      </c>
      <c r="J4536">
        <f>IF('01_Вводные'!$B$234="Да",IF(OR('06_Сеть_и_дети'!J105=0,25&lt;='01_Вводные'!$B$297),0,'06_Сеть_и_дети'!J105*IF('01_Вводные'!$B$239="Да",MeanMinAge25+'19_Расчет_аналитики'!J4607*SUMIF(ThresholdAge25,"&lt;"&amp;'19_Расчет_аналитики'!J4607,WeightedRevAge25)-SUMIF(ThresholdAge25,"&lt;"&amp;'19_Расчет_аналитики'!J4607,WeightedMinAge25),MAX(CapacityAge25*'01_Вводные'!$B$218*'19_Расчет_аналитики'!J4607,MeanMinAge25))),0)</f>
        <v/>
      </c>
      <c r="K4536">
        <f>IF('01_Вводные'!$B$234="Да",IF(OR('06_Сеть_и_дети'!K105=0,25&lt;='01_Вводные'!$B$297),0,'06_Сеть_и_дети'!K105*IF('01_Вводные'!$B$239="Да",MeanMinAge25+'19_Расчет_аналитики'!K4607*SUMIF(ThresholdAge25,"&lt;"&amp;'19_Расчет_аналитики'!K4607,WeightedRevAge25)-SUMIF(ThresholdAge25,"&lt;"&amp;'19_Расчет_аналитики'!K4607,WeightedMinAge25),MAX(CapacityAge25*'01_Вводные'!$B$218*'19_Расчет_аналитики'!K4607,MeanMinAge25))),0)</f>
        <v/>
      </c>
      <c r="L4536">
        <f>IF('01_Вводные'!$B$234="Да",IF(OR('06_Сеть_и_дети'!L105=0,25&lt;='01_Вводные'!$B$297),0,'06_Сеть_и_дети'!L105*IF('01_Вводные'!$B$239="Да",MeanMinAge25+'19_Расчет_аналитики'!L4607*SUMIF(ThresholdAge25,"&lt;"&amp;'19_Расчет_аналитики'!L4607,WeightedRevAge25)-SUMIF(ThresholdAge25,"&lt;"&amp;'19_Расчет_аналитики'!L4607,WeightedMinAge25),MAX(CapacityAge25*'01_Вводные'!$B$218*'19_Расчет_аналитики'!L4607,MeanMinAge25))),0)</f>
        <v/>
      </c>
      <c r="M4536">
        <f>IF('01_Вводные'!$B$234="Да",IF(OR('06_Сеть_и_дети'!M105=0,25&lt;='01_Вводные'!$B$297),0,'06_Сеть_и_дети'!M105*IF('01_Вводные'!$B$239="Да",MeanMinAge25+'19_Расчет_аналитики'!M4607*SUMIF(ThresholdAge25,"&lt;"&amp;'19_Расчет_аналитики'!M4607,WeightedRevAge25)-SUMIF(ThresholdAge25,"&lt;"&amp;'19_Расчет_аналитики'!M4607,WeightedMinAge25),MAX(CapacityAge25*'01_Вводные'!$B$218*'19_Расчет_аналитики'!M4607,MeanMinAge25))),0)</f>
        <v/>
      </c>
      <c r="N4536">
        <f>IF('01_Вводные'!$B$234="Да",IF(OR('06_Сеть_и_дети'!N105=0,25&lt;='01_Вводные'!$B$297),0,'06_Сеть_и_дети'!N105*IF('01_Вводные'!$B$239="Да",MeanMinAge25+'19_Расчет_аналитики'!N4607*SUMIF(ThresholdAge25,"&lt;"&amp;'19_Расчет_аналитики'!N4607,WeightedRevAge25)-SUMIF(ThresholdAge25,"&lt;"&amp;'19_Расчет_аналитики'!N4607,WeightedMinAge25),MAX(CapacityAge25*'01_Вводные'!$B$218*'19_Расчет_аналитики'!N4607,MeanMinAge25))),0)</f>
        <v/>
      </c>
      <c r="O4536">
        <f>IF('01_Вводные'!$B$234="Да",IF(OR('06_Сеть_и_дети'!O105=0,25&lt;='01_Вводные'!$B$297),0,'06_Сеть_и_дети'!O105*IF('01_Вводные'!$B$239="Да",MeanMinAge25+'19_Расчет_аналитики'!O4607*SUMIF(ThresholdAge25,"&lt;"&amp;'19_Расчет_аналитики'!O4607,WeightedRevAge25)-SUMIF(ThresholdAge25,"&lt;"&amp;'19_Расчет_аналитики'!O4607,WeightedMinAge25),MAX(CapacityAge25*'01_Вводные'!$B$218*'19_Расчет_аналитики'!O4607,MeanMinAge25))),0)</f>
        <v/>
      </c>
      <c r="P4536">
        <f>IF('01_Вводные'!$B$234="Да",IF(OR('06_Сеть_и_дети'!P105=0,25&lt;='01_Вводные'!$B$297),0,'06_Сеть_и_дети'!P105*IF('01_Вводные'!$B$239="Да",MeanMinAge25+'19_Расчет_аналитики'!P4607*SUMIF(ThresholdAge25,"&lt;"&amp;'19_Расчет_аналитики'!P4607,WeightedRevAge25)-SUMIF(ThresholdAge25,"&lt;"&amp;'19_Расчет_аналитики'!P4607,WeightedMinAge25),MAX(CapacityAge25*'01_Вводные'!$B$218*'19_Расчет_аналитики'!P4607,MeanMinAge25))),0)</f>
        <v/>
      </c>
      <c r="Q4536">
        <f>IF('01_Вводные'!$B$234="Да",IF(OR('06_Сеть_и_дети'!Q105=0,25&lt;='01_Вводные'!$B$297),0,'06_Сеть_и_дети'!Q105*IF('01_Вводные'!$B$239="Да",MeanMinAge25+'19_Расчет_аналитики'!Q4607*SUMIF(ThresholdAge25,"&lt;"&amp;'19_Расчет_аналитики'!Q4607,WeightedRevAge25)-SUMIF(ThresholdAge25,"&lt;"&amp;'19_Расчет_аналитики'!Q4607,WeightedMinAge25),MAX(CapacityAge25*'01_Вводные'!$B$218*'19_Расчет_аналитики'!Q4607,MeanMinAge25))),0)</f>
        <v/>
      </c>
      <c r="R4536">
        <f>IF('01_Вводные'!$B$234="Да",IF(OR('06_Сеть_и_дети'!R105=0,25&lt;='01_Вводные'!$B$297),0,'06_Сеть_и_дети'!R105*IF('01_Вводные'!$B$239="Да",MeanMinAge25+'19_Расчет_аналитики'!R4607*SUMIF(ThresholdAge25,"&lt;"&amp;'19_Расчет_аналитики'!R4607,WeightedRevAge25)-SUMIF(ThresholdAge25,"&lt;"&amp;'19_Расчет_аналитики'!R4607,WeightedMinAge25),MAX(CapacityAge25*'01_Вводные'!$B$218*'19_Расчет_аналитики'!R4607,MeanMinAge25))),0)</f>
        <v/>
      </c>
      <c r="S4536">
        <f>IF('01_Вводные'!$B$234="Да",IF(OR('06_Сеть_и_дети'!S105=0,25&lt;='01_Вводные'!$B$297),0,'06_Сеть_и_дети'!S105*IF('01_Вводные'!$B$239="Да",MeanMinAge25+'19_Расчет_аналитики'!S4607*SUMIF(ThresholdAge25,"&lt;"&amp;'19_Расчет_аналитики'!S4607,WeightedRevAge25)-SUMIF(ThresholdAge25,"&lt;"&amp;'19_Расчет_аналитики'!S4607,WeightedMinAge25),MAX(CapacityAge25*'01_Вводные'!$B$218*'19_Расчет_аналитики'!S4607,MeanMinAge25))),0)</f>
        <v/>
      </c>
      <c r="T4536">
        <f>IF('01_Вводные'!$B$234="Да",IF(OR('06_Сеть_и_дети'!T105=0,25&lt;='01_Вводные'!$B$297),0,'06_Сеть_и_дети'!T105*IF('01_Вводные'!$B$239="Да",MeanMinAge25+'19_Расчет_аналитики'!T4607*SUMIF(ThresholdAge25,"&lt;"&amp;'19_Расчет_аналитики'!T4607,WeightedRevAge25)-SUMIF(ThresholdAge25,"&lt;"&amp;'19_Расчет_аналитики'!T4607,WeightedMinAge25),MAX(CapacityAge25*'01_Вводные'!$B$218*'19_Расчет_аналитики'!T4607,MeanMinAge25))),0)</f>
        <v/>
      </c>
      <c r="U4536">
        <f>IF('01_Вводные'!$B$234="Да",IF(OR('06_Сеть_и_дети'!U105=0,25&lt;='01_Вводные'!$B$297),0,'06_Сеть_и_дети'!U105*IF('01_Вводные'!$B$239="Да",MeanMinAge25+'19_Расчет_аналитики'!U4607*SUMIF(ThresholdAge25,"&lt;"&amp;'19_Расчет_аналитики'!U4607,WeightedRevAge25)-SUMIF(ThresholdAge25,"&lt;"&amp;'19_Расчет_аналитики'!U4607,WeightedMinAge25),MAX(CapacityAge25*'01_Вводные'!$B$218*'19_Расчет_аналитики'!U4607,MeanMinAge25))),0)</f>
        <v/>
      </c>
      <c r="V4536">
        <f>IF('01_Вводные'!$B$234="Да",IF(OR('06_Сеть_и_дети'!V105=0,25&lt;='01_Вводные'!$B$297),0,'06_Сеть_и_дети'!V105*IF('01_Вводные'!$B$239="Да",MeanMinAge25+'19_Расчет_аналитики'!V4607*SUMIF(ThresholdAge25,"&lt;"&amp;'19_Расчет_аналитики'!V4607,WeightedRevAge25)-SUMIF(ThresholdAge25,"&lt;"&amp;'19_Расчет_аналитики'!V4607,WeightedMinAge25),MAX(CapacityAge25*'01_Вводные'!$B$218*'19_Расчет_аналитики'!V4607,MeanMinAge25))),0)</f>
        <v/>
      </c>
      <c r="W4536">
        <f>IF('01_Вводные'!$B$234="Да",IF(OR('06_Сеть_и_дети'!W105=0,25&lt;='01_Вводные'!$B$297),0,'06_Сеть_и_дети'!W105*IF('01_Вводные'!$B$239="Да",MeanMinAge25+'19_Расчет_аналитики'!W4607*SUMIF(ThresholdAge25,"&lt;"&amp;'19_Расчет_аналитики'!W4607,WeightedRevAge25)-SUMIF(ThresholdAge25,"&lt;"&amp;'19_Расчет_аналитики'!W4607,WeightedMinAge25),MAX(CapacityAge25*'01_Вводные'!$B$218*'19_Расчет_аналитики'!W4607,MeanMinAge25))),0)</f>
        <v/>
      </c>
      <c r="X4536">
        <f>IF('01_Вводные'!$B$234="Да",IF(OR('06_Сеть_и_дети'!X105=0,25&lt;='01_Вводные'!$B$297),0,'06_Сеть_и_дети'!X105*IF('01_Вводные'!$B$239="Да",MeanMinAge25+'19_Расчет_аналитики'!X4607*SUMIF(ThresholdAge25,"&lt;"&amp;'19_Расчет_аналитики'!X4607,WeightedRevAge25)-SUMIF(ThresholdAge25,"&lt;"&amp;'19_Расчет_аналитики'!X4607,WeightedMinAge25),MAX(CapacityAge25*'01_Вводные'!$B$218*'19_Расчет_аналитики'!X4607,MeanMinAge25))),0)</f>
        <v/>
      </c>
      <c r="Y4536">
        <f>IF('01_Вводные'!$B$234="Да",IF(OR('06_Сеть_и_дети'!Y105=0,25&lt;='01_Вводные'!$B$297),0,'06_Сеть_и_дети'!Y105*IF('01_Вводные'!$B$239="Да",MeanMinAge25+'19_Расчет_аналитики'!Y4607*SUMIF(ThresholdAge25,"&lt;"&amp;'19_Расчет_аналитики'!Y4607,WeightedRevAge25)-SUMIF(ThresholdAge25,"&lt;"&amp;'19_Расчет_аналитики'!Y4607,WeightedMinAge25),MAX(CapacityAge25*'01_Вводные'!$B$218*'19_Расчет_аналитики'!Y4607,MeanMinAge25))),0)</f>
        <v/>
      </c>
      <c r="Z4536">
        <f>IF('01_Вводные'!$B$234="Да",IF(OR('19_Расчет_аналитики'!Z4508=0,25&lt;='01_Вводные'!$B$297),0,'19_Расчет_аналитики'!Z4508*IF('01_Вводные'!$B$239="Да",MeanMinAge25+'19_Расчет_аналитики'!Z4607*SUMIF(ThresholdAge25,"&lt;"&amp;'19_Расчет_аналитики'!Z4607,WeightedRevAge25)-SUMIF(ThresholdAge25,"&lt;"&amp;'19_Расчет_аналитики'!Z4607,WeightedMinAge25),MAX(CapacityAge25*'01_Вводные'!$B$218*'19_Расчет_аналитики'!Z4607,MeanMinAge25))),0)</f>
        <v/>
      </c>
      <c r="AA4536">
        <f>IF('01_Вводные'!$B$234="Да",IF(OR('19_Расчет_аналитики'!AA4508=0,25&lt;='01_Вводные'!$B$297),0,'19_Расчет_аналитики'!AA4508*IF('01_Вводные'!$B$239="Да",MeanMinAge25+'19_Расчет_аналитики'!AA4607*SUMIF(ThresholdAge25,"&lt;"&amp;'19_Расчет_аналитики'!AA4607,WeightedRevAge25)-SUMIF(ThresholdAge25,"&lt;"&amp;'19_Расчет_аналитики'!AA4607,WeightedMinAge25),MAX(CapacityAge25*'01_Вводные'!$B$218*'19_Расчет_аналитики'!AA4607,MeanMinAge25))),0)</f>
        <v/>
      </c>
      <c r="AB4536">
        <f>IF('01_Вводные'!$B$234="Да",IF(OR('19_Расчет_аналитики'!AB4508=0,25&lt;='01_Вводные'!$B$297),0,'19_Расчет_аналитики'!AB4508*IF('01_Вводные'!$B$239="Да",MeanMinAge25+'19_Расчет_аналитики'!AB4607*SUMIF(ThresholdAge25,"&lt;"&amp;'19_Расчет_аналитики'!AB4607,WeightedRevAge25)-SUMIF(ThresholdAge25,"&lt;"&amp;'19_Расчет_аналитики'!AB4607,WeightedMinAge25),MAX(CapacityAge25*'01_Вводные'!$B$218*'19_Расчет_аналитики'!AB4607,MeanMinAge25))),0)</f>
        <v/>
      </c>
      <c r="AC4536">
        <f>IF('01_Вводные'!$B$234="Да",IF(OR('19_Расчет_аналитики'!AC4508=0,25&lt;='01_Вводные'!$B$297),0,'19_Расчет_аналитики'!AC4508*IF('01_Вводные'!$B$239="Да",MeanMinAge25+'19_Расчет_аналитики'!AC4607*SUMIF(ThresholdAge25,"&lt;"&amp;'19_Расчет_аналитики'!AC4607,WeightedRevAge25)-SUMIF(ThresholdAge25,"&lt;"&amp;'19_Расчет_аналитики'!AC4607,WeightedMinAge25),MAX(CapacityAge25*'01_Вводные'!$B$218*'19_Расчет_аналитики'!AC4607,MeanMinAge25))),0)</f>
        <v/>
      </c>
      <c r="AD4536">
        <f>IF('01_Вводные'!$B$234="Да",IF(OR('19_Расчет_аналитики'!AD4508=0,25&lt;='01_Вводные'!$B$297),0,'19_Расчет_аналитики'!AD4508*IF('01_Вводные'!$B$239="Да",MeanMinAge25+'19_Расчет_аналитики'!AD4607*SUMIF(ThresholdAge25,"&lt;"&amp;'19_Расчет_аналитики'!AD4607,WeightedRevAge25)-SUMIF(ThresholdAge25,"&lt;"&amp;'19_Расчет_аналитики'!AD4607,WeightedMinAge25),MAX(CapacityAge25*'01_Вводные'!$B$218*'19_Расчет_аналитики'!AD4607,MeanMinAge25))),0)</f>
        <v/>
      </c>
      <c r="AE4536">
        <f>IF('01_Вводные'!$B$234="Да",IF(OR('19_Расчет_аналитики'!AE4508=0,25&lt;='01_Вводные'!$B$297),0,'19_Расчет_аналитики'!AE4508*IF('01_Вводные'!$B$239="Да",MeanMinAge25+'19_Расчет_аналитики'!AE4607*SUMIF(ThresholdAge25,"&lt;"&amp;'19_Расчет_аналитики'!AE4607,WeightedRevAge25)-SUMIF(ThresholdAge25,"&lt;"&amp;'19_Расчет_аналитики'!AE4607,WeightedMinAge25),MAX(CapacityAge25*'01_Вводные'!$B$218*'19_Расчет_аналитики'!AE4607,MeanMinAge25))),0)</f>
        <v/>
      </c>
      <c r="AF4536">
        <f>IF('01_Вводные'!$B$234="Да",IF(OR('19_Расчет_аналитики'!AF4508=0,25&lt;='01_Вводные'!$B$297),0,'19_Расчет_аналитики'!AF4508*IF('01_Вводные'!$B$239="Да",MeanMinAge25+'19_Расчет_аналитики'!AF4607*SUMIF(ThresholdAge25,"&lt;"&amp;'19_Расчет_аналитики'!AF4607,WeightedRevAge25)-SUMIF(ThresholdAge25,"&lt;"&amp;'19_Расчет_аналитики'!AF4607,WeightedMinAge25),MAX(CapacityAge25*'01_Вводные'!$B$218*'19_Расчет_аналитики'!AF4607,MeanMinAge25))),0)</f>
        <v/>
      </c>
      <c r="AG4536">
        <f>IF('01_Вводные'!$B$234="Да",IF(OR('19_Расчет_аналитики'!AG4508=0,25&lt;='01_Вводные'!$B$297),0,'19_Расчет_аналитики'!AG4508*IF('01_Вводные'!$B$239="Да",MeanMinAge25+'19_Расчет_аналитики'!AG4607*SUMIF(ThresholdAge25,"&lt;"&amp;'19_Расчет_аналитики'!AG4607,WeightedRevAge25)-SUMIF(ThresholdAge25,"&lt;"&amp;'19_Расчет_аналитики'!AG4607,WeightedMinAge25),MAX(CapacityAge25*'01_Вводные'!$B$218*'19_Расчет_аналитики'!AG4607,MeanMinAge25))),0)</f>
        <v/>
      </c>
      <c r="AH4536">
        <f>IF('01_Вводные'!$B$234="Да",IF(OR('19_Расчет_аналитики'!AH4508=0,25&lt;='01_Вводные'!$B$297),0,'19_Расчет_аналитики'!AH4508*IF('01_Вводные'!$B$239="Да",MeanMinAge25+'19_Расчет_аналитики'!AH4607*SUMIF(ThresholdAge25,"&lt;"&amp;'19_Расчет_аналитики'!AH4607,WeightedRevAge25)-SUMIF(ThresholdAge25,"&lt;"&amp;'19_Расчет_аналитики'!AH4607,WeightedMinAge25),MAX(CapacityAge25*'01_Вводные'!$B$218*'19_Расчет_аналитики'!AH4607,MeanMinAge25))),0)</f>
        <v/>
      </c>
      <c r="AI4536">
        <f>IF('01_Вводные'!$B$234="Да",IF(OR('19_Расчет_аналитики'!AI4508=0,25&lt;='01_Вводные'!$B$297),0,'19_Расчет_аналитики'!AI4508*IF('01_Вводные'!$B$239="Да",MeanMinAge25+'19_Расчет_аналитики'!AI4607*SUMIF(ThresholdAge25,"&lt;"&amp;'19_Расчет_аналитики'!AI4607,WeightedRevAge25)-SUMIF(ThresholdAge25,"&lt;"&amp;'19_Расчет_аналитики'!AI4607,WeightedMinAge25),MAX(CapacityAge25*'01_Вводные'!$B$218*'19_Расчет_аналитики'!AI4607,MeanMinAge25))),0)</f>
        <v/>
      </c>
      <c r="AJ4536">
        <f>IF('01_Вводные'!$B$234="Да",IF(OR('19_Расчет_аналитики'!AJ4508=0,25&lt;='01_Вводные'!$B$297),0,'19_Расчет_аналитики'!AJ4508*IF('01_Вводные'!$B$239="Да",MeanMinAge25+'19_Расчет_аналитики'!AJ4607*SUMIF(ThresholdAge25,"&lt;"&amp;'19_Расчет_аналитики'!AJ4607,WeightedRevAge25)-SUMIF(ThresholdAge25,"&lt;"&amp;'19_Расчет_аналитики'!AJ4607,WeightedMinAge25),MAX(CapacityAge25*'01_Вводные'!$B$218*'19_Расчет_аналитики'!AJ4607,MeanMinAge25))),0)</f>
        <v/>
      </c>
      <c r="AK4536">
        <f>IF('01_Вводные'!$B$234="Да",IF(OR('19_Расчет_аналитики'!AK4508=0,25&lt;='01_Вводные'!$B$297),0,'19_Расчет_аналитики'!AK4508*IF('01_Вводные'!$B$239="Да",MeanMinAge25+'19_Расчет_аналитики'!AK4607*SUMIF(ThresholdAge25,"&lt;"&amp;'19_Расчет_аналитики'!AK4607,WeightedRevAge25)-SUMIF(ThresholdAge25,"&lt;"&amp;'19_Расчет_аналитики'!AK4607,WeightedMinAge25),MAX(CapacityAge25*'01_Вводные'!$B$218*'19_Расчет_аналитики'!AK4607,MeanMinAge25))),0)</f>
        <v/>
      </c>
      <c r="AL4536">
        <f>IF('01_Вводные'!$B$234="Да",IF(OR('19_Расчет_аналитики'!AL4508=0,25&lt;='01_Вводные'!$B$297),0,'19_Расчет_аналитики'!AL4508*IF('01_Вводные'!$B$239="Да",MeanMinAge25+'19_Расчет_аналитики'!AL4607*SUMIF(ThresholdAge25,"&lt;"&amp;'19_Расчет_аналитики'!AL4607,WeightedRevAge25)-SUMIF(ThresholdAge25,"&lt;"&amp;'19_Расчет_аналитики'!AL4607,WeightedMinAge25),MAX(CapacityAge25*'01_Вводные'!$B$218*'19_Расчет_аналитики'!AL4607,MeanMinAge25))),0)</f>
        <v/>
      </c>
      <c r="AM4536">
        <f>IF('01_Вводные'!$B$234="Да",IF(OR('19_Расчет_аналитики'!AM4508=0,25&lt;='01_Вводные'!$B$297),0,'19_Расчет_аналитики'!AM4508*IF('01_Вводные'!$B$239="Да",MeanMinAge25+'19_Расчет_аналитики'!AM4607*SUMIF(ThresholdAge25,"&lt;"&amp;'19_Расчет_аналитики'!AM4607,WeightedRevAge25)-SUMIF(ThresholdAge25,"&lt;"&amp;'19_Расчет_аналитики'!AM4607,WeightedMinAge25),MAX(CapacityAge25*'01_Вводные'!$B$218*'19_Расчет_аналитики'!AM4607,MeanMinAge25))),0)</f>
        <v/>
      </c>
      <c r="AN4536">
        <f>IF('01_Вводные'!$B$234="Да",IF(OR('19_Расчет_аналитики'!AN4508=0,25&lt;='01_Вводные'!$B$297),0,'19_Расчет_аналитики'!AN4508*IF('01_Вводные'!$B$239="Да",MeanMinAge25+'19_Расчет_аналитики'!AN4607*SUMIF(ThresholdAge25,"&lt;"&amp;'19_Расчет_аналитики'!AN4607,WeightedRevAge25)-SUMIF(ThresholdAge25,"&lt;"&amp;'19_Расчет_аналитики'!AN4607,WeightedMinAge25),MAX(CapacityAge25*'01_Вводные'!$B$218*'19_Расчет_аналитики'!AN4607,MeanMinAge25))),0)</f>
        <v/>
      </c>
      <c r="AO4536">
        <f>IF('01_Вводные'!$B$234="Да",IF(OR('19_Расчет_аналитики'!AO4508=0,25&lt;='01_Вводные'!$B$297),0,'19_Расчет_аналитики'!AO4508*IF('01_Вводные'!$B$239="Да",MeanMinAge25+'19_Расчет_аналитики'!AO4607*SUMIF(ThresholdAge25,"&lt;"&amp;'19_Расчет_аналитики'!AO4607,WeightedRevAge25)-SUMIF(ThresholdAge25,"&lt;"&amp;'19_Расчет_аналитики'!AO4607,WeightedMinAge25),MAX(CapacityAge25*'01_Вводные'!$B$218*'19_Расчет_аналитики'!AO4607,MeanMinAge25))),0)</f>
        <v/>
      </c>
      <c r="AP4536">
        <f>IF('01_Вводные'!$B$234="Да",IF(OR('19_Расчет_аналитики'!AP4508=0,25&lt;='01_Вводные'!$B$297),0,'19_Расчет_аналитики'!AP4508*IF('01_Вводные'!$B$239="Да",MeanMinAge25+'19_Расчет_аналитики'!AP4607*SUMIF(ThresholdAge25,"&lt;"&amp;'19_Расчет_аналитики'!AP4607,WeightedRevAge25)-SUMIF(ThresholdAge25,"&lt;"&amp;'19_Расчет_аналитики'!AP4607,WeightedMinAge25),MAX(CapacityAge25*'01_Вводные'!$B$218*'19_Расчет_аналитики'!AP4607,MeanMinAge25))),0)</f>
        <v/>
      </c>
      <c r="AQ4536">
        <f>IF('01_Вводные'!$B$234="Да",IF(OR('19_Расчет_аналитики'!AQ4508=0,25&lt;='01_Вводные'!$B$297),0,'19_Расчет_аналитики'!AQ4508*IF('01_Вводные'!$B$239="Да",MeanMinAge25+'19_Расчет_аналитики'!AQ4607*SUMIF(ThresholdAge25,"&lt;"&amp;'19_Расчет_аналитики'!AQ4607,WeightedRevAge25)-SUMIF(ThresholdAge25,"&lt;"&amp;'19_Расчет_аналитики'!AQ4607,WeightedMinAge25),MAX(CapacityAge25*'01_Вводные'!$B$218*'19_Расчет_аналитики'!AQ4607,MeanMinAge25))),0)</f>
        <v/>
      </c>
      <c r="AR4536">
        <f>IF('01_Вводные'!$B$234="Да",IF(OR('19_Расчет_аналитики'!AR4508=0,25&lt;='01_Вводные'!$B$297),0,'19_Расчет_аналитики'!AR4508*IF('01_Вводные'!$B$239="Да",MeanMinAge25+'19_Расчет_аналитики'!AR4607*SUMIF(ThresholdAge25,"&lt;"&amp;'19_Расчет_аналитики'!AR4607,WeightedRevAge25)-SUMIF(ThresholdAge25,"&lt;"&amp;'19_Расчет_аналитики'!AR4607,WeightedMinAge25),MAX(CapacityAge25*'01_Вводные'!$B$218*'19_Расчет_аналитики'!AR4607,MeanMinAge25))),0)</f>
        <v/>
      </c>
      <c r="AS4536">
        <f>IF('01_Вводные'!$B$234="Да",IF(OR('19_Расчет_аналитики'!AS4508=0,25&lt;='01_Вводные'!$B$297),0,'19_Расчет_аналитики'!AS4508*IF('01_Вводные'!$B$239="Да",MeanMinAge25+'19_Расчет_аналитики'!AS4607*SUMIF(ThresholdAge25,"&lt;"&amp;'19_Расчет_аналитики'!AS4607,WeightedRevAge25)-SUMIF(ThresholdAge25,"&lt;"&amp;'19_Расчет_аналитики'!AS4607,WeightedMinAge25),MAX(CapacityAge25*'01_Вводные'!$B$218*'19_Расчет_аналитики'!AS4607,MeanMinAge25))),0)</f>
        <v/>
      </c>
      <c r="AT4536">
        <f>IF('01_Вводные'!$B$234="Да",IF(OR('19_Расчет_аналитики'!AT4508=0,25&lt;='01_Вводные'!$B$297),0,'19_Расчет_аналитики'!AT4508*IF('01_Вводные'!$B$239="Да",MeanMinAge25+'19_Расчет_аналитики'!AT4607*SUMIF(ThresholdAge25,"&lt;"&amp;'19_Расчет_аналитики'!AT4607,WeightedRevAge25)-SUMIF(ThresholdAge25,"&lt;"&amp;'19_Расчет_аналитики'!AT4607,WeightedMinAge25),MAX(CapacityAge25*'01_Вводные'!$B$218*'19_Расчет_аналитики'!AT4607,MeanMinAge25))),0)</f>
        <v/>
      </c>
      <c r="AU4536">
        <f>IF('01_Вводные'!$B$234="Да",IF(OR('19_Расчет_аналитики'!AU4508=0,25&lt;='01_Вводные'!$B$297),0,'19_Расчет_аналитики'!AU4508*IF('01_Вводные'!$B$239="Да",MeanMinAge25+'19_Расчет_аналитики'!AU4607*SUMIF(ThresholdAge25,"&lt;"&amp;'19_Расчет_аналитики'!AU4607,WeightedRevAge25)-SUMIF(ThresholdAge25,"&lt;"&amp;'19_Расчет_аналитики'!AU4607,WeightedMinAge25),MAX(CapacityAge25*'01_Вводные'!$B$218*'19_Расчет_аналитики'!AU4607,MeanMinAge25))),0)</f>
        <v/>
      </c>
      <c r="AV4536">
        <f>IF('01_Вводные'!$B$234="Да",IF(OR('19_Расчет_аналитики'!AV4508=0,25&lt;='01_Вводные'!$B$297),0,'19_Расчет_аналитики'!AV4508*IF('01_Вводные'!$B$239="Да",MeanMinAge25+'19_Расчет_аналитики'!AV4607*SUMIF(ThresholdAge25,"&lt;"&amp;'19_Расчет_аналитики'!AV4607,WeightedRevAge25)-SUMIF(ThresholdAge25,"&lt;"&amp;'19_Расчет_аналитики'!AV4607,WeightedMinAge25),MAX(CapacityAge25*'01_Вводные'!$B$218*'19_Расчет_аналитики'!AV4607,MeanMinAge25))),0)</f>
        <v/>
      </c>
      <c r="AW4536">
        <f>IF('01_Вводные'!$B$234="Да",IF(OR('19_Расчет_аналитики'!AW4508=0,25&lt;='01_Вводные'!$B$297),0,'19_Расчет_аналитики'!AW4508*IF('01_Вводные'!$B$239="Да",MeanMinAge25+'19_Расчет_аналитики'!AW4607*SUMIF(ThresholdAge25,"&lt;"&amp;'19_Расчет_аналитики'!AW4607,WeightedRevAge25)-SUMIF(ThresholdAge25,"&lt;"&amp;'19_Расчет_аналитики'!AW4607,WeightedMinAge25),MAX(CapacityAge25*'01_Вводные'!$B$218*'19_Расчет_аналитики'!AW4607,MeanMinAge25))),0)</f>
        <v/>
      </c>
      <c r="AX4536">
        <f>IF('01_Вводные'!$B$234="Да",IF(OR('19_Расчет_аналитики'!AX4508=0,25&lt;='01_Вводные'!$B$297),0,'19_Расчет_аналитики'!AX4508*IF('01_Вводные'!$B$239="Да",MeanMinAge25+'19_Расчет_аналитики'!AX4607*SUMIF(ThresholdAge25,"&lt;"&amp;'19_Расчет_аналитики'!AX4607,WeightedRevAge25)-SUMIF(ThresholdAge25,"&lt;"&amp;'19_Расчет_аналитики'!AX4607,WeightedMinAge25),MAX(CapacityAge25*'01_Вводные'!$B$218*'19_Расчет_аналитики'!AX4607,MeanMinAge25))),0)</f>
        <v/>
      </c>
      <c r="AY4536">
        <f>IF('01_Вводные'!$B$234="Да",IF(OR('19_Расчет_аналитики'!AY4508=0,25&lt;='01_Вводные'!$B$297),0,'19_Расчет_аналитики'!AY4508*IF('01_Вводные'!$B$239="Да",MeanMinAge25+'19_Расчет_аналитики'!AY4607*SUMIF(ThresholdAge25,"&lt;"&amp;'19_Расчет_аналитики'!AY4607,WeightedRevAge25)-SUMIF(ThresholdAge25,"&lt;"&amp;'19_Расчет_аналитики'!AY4607,WeightedMinAge25),MAX(CapacityAge25*'01_Вводные'!$B$218*'19_Расчет_аналитики'!AY4607,MeanMinAge25))),0)</f>
        <v/>
      </c>
      <c r="AZ4536">
        <f>IF('01_Вводные'!$B$234="Да",IF(OR('19_Расчет_аналитики'!AZ4508=0,25&lt;='01_Вводные'!$B$297),0,'19_Расчет_аналитики'!AZ4508*IF('01_Вводные'!$B$239="Да",MeanMinAge25+'19_Расчет_аналитики'!AZ4607*SUMIF(ThresholdAge25,"&lt;"&amp;'19_Расчет_аналитики'!AZ4607,WeightedRevAge25)-SUMIF(ThresholdAge25,"&lt;"&amp;'19_Расчет_аналитики'!AZ4607,WeightedMinAge25),MAX(CapacityAge25*'01_Вводные'!$B$218*'19_Расчет_аналитики'!AZ4607,MeanMinAge25))),0)</f>
        <v/>
      </c>
      <c r="BA4536">
        <f>IF('01_Вводные'!$B$234="Да",IF(OR('19_Расчет_аналитики'!BA4508=0,25&lt;='01_Вводные'!$B$297),0,'19_Расчет_аналитики'!BA4508*IF('01_Вводные'!$B$239="Да",MeanMinAge25+'19_Расчет_аналитики'!BA4607*SUMIF(ThresholdAge25,"&lt;"&amp;'19_Расчет_аналитики'!BA4607,WeightedRevAge25)-SUMIF(ThresholdAge25,"&lt;"&amp;'19_Расчет_аналитики'!BA4607,WeightedMinAge25),MAX(CapacityAge25*'01_Вводные'!$B$218*'19_Расчет_аналитики'!BA4607,MeanMinAge25))),0)</f>
        <v/>
      </c>
      <c r="BB4536">
        <f>IF('01_Вводные'!$B$234="Да",IF(OR('19_Расчет_аналитики'!BB4508=0,25&lt;='01_Вводные'!$B$297),0,'19_Расчет_аналитики'!BB4508*IF('01_Вводные'!$B$239="Да",MeanMinAge25+'19_Расчет_аналитики'!BB4607*SUMIF(ThresholdAge25,"&lt;"&amp;'19_Расчет_аналитики'!BB4607,WeightedRevAge25)-SUMIF(ThresholdAge25,"&lt;"&amp;'19_Расчет_аналитики'!BB4607,WeightedMinAge25),MAX(CapacityAge25*'01_Вводные'!$B$218*'19_Расчет_аналитики'!BB4607,MeanMinAge25))),0)</f>
        <v/>
      </c>
      <c r="BC4536">
        <f>IF('01_Вводные'!$B$234="Да",IF(OR('19_Расчет_аналитики'!BC4508=0,25&lt;='01_Вводные'!$B$297),0,'19_Расчет_аналитики'!BC4508*IF('01_Вводные'!$B$239="Да",MeanMinAge25+'19_Расчет_аналитики'!BC4607*SUMIF(ThresholdAge25,"&lt;"&amp;'19_Расчет_аналитики'!BC4607,WeightedRevAge25)-SUMIF(ThresholdAge25,"&lt;"&amp;'19_Расчет_аналитики'!BC4607,WeightedMinAge25),MAX(CapacityAge25*'01_Вводные'!$B$218*'19_Расчет_аналитики'!BC4607,MeanMinAge25))),0)</f>
        <v/>
      </c>
      <c r="BD4536">
        <f>IF('01_Вводные'!$B$234="Да",IF(OR('19_Расчет_аналитики'!BD4508=0,25&lt;='01_Вводные'!$B$297),0,'19_Расчет_аналитики'!BD4508*IF('01_Вводные'!$B$239="Да",MeanMinAge25+'19_Расчет_аналитики'!BD4607*SUMIF(ThresholdAge25,"&lt;"&amp;'19_Расчет_аналитики'!BD4607,WeightedRevAge25)-SUMIF(ThresholdAge25,"&lt;"&amp;'19_Расчет_аналитики'!BD4607,WeightedMinAge25),MAX(CapacityAge25*'01_Вводные'!$B$218*'19_Расчет_аналитики'!BD4607,MeanMinAge25))),0)</f>
        <v/>
      </c>
      <c r="BE4536">
        <f>IF('01_Вводные'!$B$234="Да",IF(OR('19_Расчет_аналитики'!BE4508=0,25&lt;='01_Вводные'!$B$297),0,'19_Расчет_аналитики'!BE4508*IF('01_Вводные'!$B$239="Да",MeanMinAge25+'19_Расчет_аналитики'!BE4607*SUMIF(ThresholdAge25,"&lt;"&amp;'19_Расчет_аналитики'!BE4607,WeightedRevAge25)-SUMIF(ThresholdAge25,"&lt;"&amp;'19_Расчет_аналитики'!BE4607,WeightedMinAge25),MAX(CapacityAge25*'01_Вводные'!$B$218*'19_Расчет_аналитики'!BE4607,MeanMinAge25))),0)</f>
        <v/>
      </c>
      <c r="BF4536">
        <f>IF('01_Вводные'!$B$234="Да",IF(OR('19_Расчет_аналитики'!BF4508=0,25&lt;='01_Вводные'!$B$297),0,'19_Расчет_аналитики'!BF4508*IF('01_Вводные'!$B$239="Да",MeanMinAge25+'19_Расчет_аналитики'!BF4607*SUMIF(ThresholdAge25,"&lt;"&amp;'19_Расчет_аналитики'!BF4607,WeightedRevAge25)-SUMIF(ThresholdAge25,"&lt;"&amp;'19_Расчет_аналитики'!BF4607,WeightedMinAge25),MAX(CapacityAge25*'01_Вводные'!$B$218*'19_Расчет_аналитики'!BF4607,MeanMinAge25))),0)</f>
        <v/>
      </c>
      <c r="BG4536">
        <f>IF('01_Вводные'!$B$234="Да",IF(OR('19_Расчет_аналитики'!BG4508=0,25&lt;='01_Вводные'!$B$297),0,'19_Расчет_аналитики'!BG4508*IF('01_Вводные'!$B$239="Да",MeanMinAge25+'19_Расчет_аналитики'!BG4607*SUMIF(ThresholdAge25,"&lt;"&amp;'19_Расчет_аналитики'!BG4607,WeightedRevAge25)-SUMIF(ThresholdAge25,"&lt;"&amp;'19_Расчет_аналитики'!BG4607,WeightedMinAge25),MAX(CapacityAge25*'01_Вводные'!$B$218*'19_Расчет_аналитики'!BG4607,MeanMinAge25))),0)</f>
        <v/>
      </c>
      <c r="BH4536">
        <f>IF('01_Вводные'!$B$234="Да",IF(OR('19_Расчет_аналитики'!BH4508=0,25&lt;='01_Вводные'!$B$297),0,'19_Расчет_аналитики'!BH4508*IF('01_Вводные'!$B$239="Да",MeanMinAge25+'19_Расчет_аналитики'!BH4607*SUMIF(ThresholdAge25,"&lt;"&amp;'19_Расчет_аналитики'!BH4607,WeightedRevAge25)-SUMIF(ThresholdAge25,"&lt;"&amp;'19_Расчет_аналитики'!BH4607,WeightedMinAge25),MAX(CapacityAge25*'01_Вводные'!$B$218*'19_Расчет_аналитики'!BH4607,MeanMinAge25))),0)</f>
        <v/>
      </c>
      <c r="BI4536">
        <f>IF('01_Вводные'!$B$234="Да",IF(OR('19_Расчет_аналитики'!BI4508=0,25&lt;='01_Вводные'!$B$297),0,'19_Расчет_аналитики'!BI4508*IF('01_Вводные'!$B$239="Да",MeanMinAge25+'19_Расчет_аналитики'!BI4607*SUMIF(ThresholdAge25,"&lt;"&amp;'19_Расчет_аналитики'!BI4607,WeightedRevAge25)-SUMIF(ThresholdAge25,"&lt;"&amp;'19_Расчет_аналитики'!BI4607,WeightedMinAge25),MAX(CapacityAge25*'01_Вводные'!$B$218*'19_Расчет_аналитики'!BI4607,MeanMinAge25))),0)</f>
        <v/>
      </c>
      <c r="BJ4536">
        <f>IF('01_Вводные'!$B$234="Да",IF(OR('19_Расчет_аналитики'!BJ4508=0,25&lt;='01_Вводные'!$B$297),0,'19_Расчет_аналитики'!BJ4508*IF('01_Вводные'!$B$239="Да",MeanMinAge25+'19_Расчет_аналитики'!BJ4607*SUMIF(ThresholdAge25,"&lt;"&amp;'19_Расчет_аналитики'!BJ4607,WeightedRevAge25)-SUMIF(ThresholdAge25,"&lt;"&amp;'19_Расчет_аналитики'!BJ4607,WeightedMinAge25),MAX(CapacityAge25*'01_Вводные'!$B$218*'19_Расчет_аналитики'!BJ4607,MeanMinAge25))),0)</f>
        <v/>
      </c>
      <c r="BK4536">
        <f>IF('01_Вводные'!$B$234="Да",IF(OR('19_Расчет_аналитики'!BK4508=0,25&lt;='01_Вводные'!$B$297),0,'19_Расчет_аналитики'!BK4508*IF('01_Вводные'!$B$239="Да",MeanMinAge25+'19_Расчет_аналитики'!BK4607*SUMIF(ThresholdAge25,"&lt;"&amp;'19_Расчет_аналитики'!BK4607,WeightedRevAge25)-SUMIF(ThresholdAge25,"&lt;"&amp;'19_Расчет_аналитики'!BK4607,WeightedMinAge25),MAX(CapacityAge25*'01_Вводные'!$B$218*'19_Расчет_аналитики'!BK4607,MeanMinAge25))),0)</f>
        <v/>
      </c>
      <c r="BL4536">
        <f>IF('01_Вводные'!$B$234="Да",IF(OR('19_Расчет_аналитики'!BL4508=0,25&lt;='01_Вводные'!$B$297),0,'19_Расчет_аналитики'!BL4508*IF('01_Вводные'!$B$239="Да",MeanMinAge25+'19_Расчет_аналитики'!BL4607*SUMIF(ThresholdAge25,"&lt;"&amp;'19_Расчет_аналитики'!BL4607,WeightedRevAge25)-SUMIF(ThresholdAge25,"&lt;"&amp;'19_Расчет_аналитики'!BL4607,WeightedMinAge25),MAX(CapacityAge25*'01_Вводные'!$B$218*'19_Расчет_аналитики'!BL4607,MeanMinAge25))),0)</f>
        <v/>
      </c>
      <c r="BM4536">
        <f>IF('01_Вводные'!$B$234="Да",IF(OR('19_Расчет_аналитики'!BM4508=0,25&lt;='01_Вводные'!$B$297),0,'19_Расчет_аналитики'!BM4508*IF('01_Вводные'!$B$239="Да",MeanMinAge25+'19_Расчет_аналитики'!BM4607*SUMIF(ThresholdAge25,"&lt;"&amp;'19_Расчет_аналитики'!BM4607,WeightedRevAge25)-SUMIF(ThresholdAge25,"&lt;"&amp;'19_Расчет_аналитики'!BM4607,WeightedMinAge25),MAX(CapacityAge25*'01_Вводные'!$B$218*'19_Расчет_аналитики'!BM4607,MeanMinAge25))),0)</f>
        <v/>
      </c>
      <c r="BN4536">
        <f>IF('01_Вводные'!$B$234="Да",IF(OR('19_Расчет_аналитики'!BN4508=0,25&lt;='01_Вводные'!$B$297),0,'19_Расчет_аналитики'!BN4508*IF('01_Вводные'!$B$239="Да",MeanMinAge25+'19_Расчет_аналитики'!BN4607*SUMIF(ThresholdAge25,"&lt;"&amp;'19_Расчет_аналитики'!BN4607,WeightedRevAge25)-SUMIF(ThresholdAge25,"&lt;"&amp;'19_Расчет_аналитики'!BN4607,WeightedMinAge25),MAX(CapacityAge25*'01_Вводные'!$B$218*'19_Расчет_аналитики'!BN4607,MeanMinAge25))),0)</f>
        <v/>
      </c>
      <c r="BO4536">
        <f>IF('01_Вводные'!$B$234="Да",IF(OR('19_Расчет_аналитики'!BO4508=0,25&lt;='01_Вводные'!$B$297),0,'19_Расчет_аналитики'!BO4508*IF('01_Вводные'!$B$239="Да",MeanMinAge25+'19_Расчет_аналитики'!BO4607*SUMIF(ThresholdAge25,"&lt;"&amp;'19_Расчет_аналитики'!BO4607,WeightedRevAge25)-SUMIF(ThresholdAge25,"&lt;"&amp;'19_Расчет_аналитики'!BO4607,WeightedMinAge25),MAX(CapacityAge25*'01_Вводные'!$B$218*'19_Расчет_аналитики'!BO4607,MeanMinAge25))),0)</f>
        <v/>
      </c>
    </row>
    <row r="4537"/>
    <row r="4538"/>
    <row r="4539"/>
    <row r="4540">
      <c r="B4540">
        <f>IF('01_Вводные'!$B$234="Да",IF(OR(('19_Расчет_аналитики'!B4456-'19_Расчет_аналитики'!B4484)=0,1&lt;='01_Вводные'!$B$297),0,('19_Расчет_аналитики'!B4456-'19_Расчет_аналитики'!B4484)*IF('01_Вводные'!$B$239="Да",MeanMinAge01+'19_Расчет_аналитики'!B4608*SUMIF(ThresholdAge01,"&lt;"&amp;'19_Расчет_аналитики'!B4608,WeightedRevAge01)-SUMIF(ThresholdAge01,"&lt;"&amp;'19_Расчет_аналитики'!B4608,WeightedMinAge01),MAX(CapacityAge01*'01_Вводные'!$B$218*'19_Расчет_аналитики'!B4608,MeanMinAge01))),0)</f>
        <v/>
      </c>
      <c r="C4540">
        <f>IF('01_Вводные'!$B$234="Да",IF(OR(('19_Расчет_аналитики'!C4456-'19_Расчет_аналитики'!C4484)=0,1&lt;='01_Вводные'!$B$297),0,('19_Расчет_аналитики'!C4456-'19_Расчет_аналитики'!C4484)*IF('01_Вводные'!$B$239="Да",MeanMinAge01+'19_Расчет_аналитики'!C4608*SUMIF(ThresholdAge01,"&lt;"&amp;'19_Расчет_аналитики'!C4608,WeightedRevAge01)-SUMIF(ThresholdAge01,"&lt;"&amp;'19_Расчет_аналитики'!C4608,WeightedMinAge01),MAX(CapacityAge01*'01_Вводные'!$B$218*'19_Расчет_аналитики'!C4608,MeanMinAge01))),0)</f>
        <v/>
      </c>
      <c r="D4540">
        <f>IF('01_Вводные'!$B$234="Да",IF(OR(('19_Расчет_аналитики'!D4456-'19_Расчет_аналитики'!D4484)=0,1&lt;='01_Вводные'!$B$297),0,('19_Расчет_аналитики'!D4456-'19_Расчет_аналитики'!D4484)*IF('01_Вводные'!$B$239="Да",MeanMinAge01+'19_Расчет_аналитики'!D4608*SUMIF(ThresholdAge01,"&lt;"&amp;'19_Расчет_аналитики'!D4608,WeightedRevAge01)-SUMIF(ThresholdAge01,"&lt;"&amp;'19_Расчет_аналитики'!D4608,WeightedMinAge01),MAX(CapacityAge01*'01_Вводные'!$B$218*'19_Расчет_аналитики'!D4608,MeanMinAge01))),0)</f>
        <v/>
      </c>
      <c r="E4540">
        <f>IF('01_Вводные'!$B$234="Да",IF(OR(('19_Расчет_аналитики'!E4456-'19_Расчет_аналитики'!E4484)=0,1&lt;='01_Вводные'!$B$297),0,('19_Расчет_аналитики'!E4456-'19_Расчет_аналитики'!E4484)*IF('01_Вводные'!$B$239="Да",MeanMinAge01+'19_Расчет_аналитики'!E4608*SUMIF(ThresholdAge01,"&lt;"&amp;'19_Расчет_аналитики'!E4608,WeightedRevAge01)-SUMIF(ThresholdAge01,"&lt;"&amp;'19_Расчет_аналитики'!E4608,WeightedMinAge01),MAX(CapacityAge01*'01_Вводные'!$B$218*'19_Расчет_аналитики'!E4608,MeanMinAge01))),0)</f>
        <v/>
      </c>
      <c r="F4540">
        <f>IF('01_Вводные'!$B$234="Да",IF(OR(('19_Расчет_аналитики'!F4456-'19_Расчет_аналитики'!F4484)=0,1&lt;='01_Вводные'!$B$297),0,('19_Расчет_аналитики'!F4456-'19_Расчет_аналитики'!F4484)*IF('01_Вводные'!$B$239="Да",MeanMinAge01+'19_Расчет_аналитики'!F4608*SUMIF(ThresholdAge01,"&lt;"&amp;'19_Расчет_аналитики'!F4608,WeightedRevAge01)-SUMIF(ThresholdAge01,"&lt;"&amp;'19_Расчет_аналитики'!F4608,WeightedMinAge01),MAX(CapacityAge01*'01_Вводные'!$B$218*'19_Расчет_аналитики'!F4608,MeanMinAge01))),0)</f>
        <v/>
      </c>
      <c r="G4540">
        <f>IF('01_Вводные'!$B$234="Да",IF(OR(('19_Расчет_аналитики'!G4456-'19_Расчет_аналитики'!G4484)=0,1&lt;='01_Вводные'!$B$297),0,('19_Расчет_аналитики'!G4456-'19_Расчет_аналитики'!G4484)*IF('01_Вводные'!$B$239="Да",MeanMinAge01+'19_Расчет_аналитики'!G4608*SUMIF(ThresholdAge01,"&lt;"&amp;'19_Расчет_аналитики'!G4608,WeightedRevAge01)-SUMIF(ThresholdAge01,"&lt;"&amp;'19_Расчет_аналитики'!G4608,WeightedMinAge01),MAX(CapacityAge01*'01_Вводные'!$B$218*'19_Расчет_аналитики'!G4608,MeanMinAge01))),0)</f>
        <v/>
      </c>
      <c r="H4540">
        <f>IF('01_Вводные'!$B$234="Да",IF(OR(('19_Расчет_аналитики'!H4456-'19_Расчет_аналитики'!H4484)=0,1&lt;='01_Вводные'!$B$297),0,('19_Расчет_аналитики'!H4456-'19_Расчет_аналитики'!H4484)*IF('01_Вводные'!$B$239="Да",MeanMinAge01+'19_Расчет_аналитики'!H4608*SUMIF(ThresholdAge01,"&lt;"&amp;'19_Расчет_аналитики'!H4608,WeightedRevAge01)-SUMIF(ThresholdAge01,"&lt;"&amp;'19_Расчет_аналитики'!H4608,WeightedMinAge01),MAX(CapacityAge01*'01_Вводные'!$B$218*'19_Расчет_аналитики'!H4608,MeanMinAge01))),0)</f>
        <v/>
      </c>
      <c r="I4540">
        <f>IF('01_Вводные'!$B$234="Да",IF(OR(('19_Расчет_аналитики'!I4456-'19_Расчет_аналитики'!I4484)=0,1&lt;='01_Вводные'!$B$297),0,('19_Расчет_аналитики'!I4456-'19_Расчет_аналитики'!I4484)*IF('01_Вводные'!$B$239="Да",MeanMinAge01+'19_Расчет_аналитики'!I4608*SUMIF(ThresholdAge01,"&lt;"&amp;'19_Расчет_аналитики'!I4608,WeightedRevAge01)-SUMIF(ThresholdAge01,"&lt;"&amp;'19_Расчет_аналитики'!I4608,WeightedMinAge01),MAX(CapacityAge01*'01_Вводные'!$B$218*'19_Расчет_аналитики'!I4608,MeanMinAge01))),0)</f>
        <v/>
      </c>
      <c r="J4540">
        <f>IF('01_Вводные'!$B$234="Да",IF(OR(('19_Расчет_аналитики'!J4456-'19_Расчет_аналитики'!J4484)=0,1&lt;='01_Вводные'!$B$297),0,('19_Расчет_аналитики'!J4456-'19_Расчет_аналитики'!J4484)*IF('01_Вводные'!$B$239="Да",MeanMinAge01+'19_Расчет_аналитики'!J4608*SUMIF(ThresholdAge01,"&lt;"&amp;'19_Расчет_аналитики'!J4608,WeightedRevAge01)-SUMIF(ThresholdAge01,"&lt;"&amp;'19_Расчет_аналитики'!J4608,WeightedMinAge01),MAX(CapacityAge01*'01_Вводные'!$B$218*'19_Расчет_аналитики'!J4608,MeanMinAge01))),0)</f>
        <v/>
      </c>
      <c r="K4540">
        <f>IF('01_Вводные'!$B$234="Да",IF(OR(('19_Расчет_аналитики'!K4456-'19_Расчет_аналитики'!K4484)=0,1&lt;='01_Вводные'!$B$297),0,('19_Расчет_аналитики'!K4456-'19_Расчет_аналитики'!K4484)*IF('01_Вводные'!$B$239="Да",MeanMinAge01+'19_Расчет_аналитики'!K4608*SUMIF(ThresholdAge01,"&lt;"&amp;'19_Расчет_аналитики'!K4608,WeightedRevAge01)-SUMIF(ThresholdAge01,"&lt;"&amp;'19_Расчет_аналитики'!K4608,WeightedMinAge01),MAX(CapacityAge01*'01_Вводные'!$B$218*'19_Расчет_аналитики'!K4608,MeanMinAge01))),0)</f>
        <v/>
      </c>
      <c r="L4540">
        <f>IF('01_Вводные'!$B$234="Да",IF(OR(('19_Расчет_аналитики'!L4456-'19_Расчет_аналитики'!L4484)=0,1&lt;='01_Вводные'!$B$297),0,('19_Расчет_аналитики'!L4456-'19_Расчет_аналитики'!L4484)*IF('01_Вводные'!$B$239="Да",MeanMinAge01+'19_Расчет_аналитики'!L4608*SUMIF(ThresholdAge01,"&lt;"&amp;'19_Расчет_аналитики'!L4608,WeightedRevAge01)-SUMIF(ThresholdAge01,"&lt;"&amp;'19_Расчет_аналитики'!L4608,WeightedMinAge01),MAX(CapacityAge01*'01_Вводные'!$B$218*'19_Расчет_аналитики'!L4608,MeanMinAge01))),0)</f>
        <v/>
      </c>
      <c r="M4540">
        <f>IF('01_Вводные'!$B$234="Да",IF(OR(('19_Расчет_аналитики'!M4456-'19_Расчет_аналитики'!M4484)=0,1&lt;='01_Вводные'!$B$297),0,('19_Расчет_аналитики'!M4456-'19_Расчет_аналитики'!M4484)*IF('01_Вводные'!$B$239="Да",MeanMinAge01+'19_Расчет_аналитики'!M4608*SUMIF(ThresholdAge01,"&lt;"&amp;'19_Расчет_аналитики'!M4608,WeightedRevAge01)-SUMIF(ThresholdAge01,"&lt;"&amp;'19_Расчет_аналитики'!M4608,WeightedMinAge01),MAX(CapacityAge01*'01_Вводные'!$B$218*'19_Расчет_аналитики'!M4608,MeanMinAge01))),0)</f>
        <v/>
      </c>
      <c r="N4540">
        <f>IF('01_Вводные'!$B$234="Да",IF(OR(('19_Расчет_аналитики'!N4456-'19_Расчет_аналитики'!N4484)=0,1&lt;='01_Вводные'!$B$297),0,('19_Расчет_аналитики'!N4456-'19_Расчет_аналитики'!N4484)*IF('01_Вводные'!$B$239="Да",MeanMinAge01+'19_Расчет_аналитики'!N4608*SUMIF(ThresholdAge01,"&lt;"&amp;'19_Расчет_аналитики'!N4608,WeightedRevAge01)-SUMIF(ThresholdAge01,"&lt;"&amp;'19_Расчет_аналитики'!N4608,WeightedMinAge01),MAX(CapacityAge01*'01_Вводные'!$B$218*'19_Расчет_аналитики'!N4608,MeanMinAge01))),0)</f>
        <v/>
      </c>
      <c r="O4540">
        <f>IF('01_Вводные'!$B$234="Да",IF(OR(('19_Расчет_аналитики'!O4456-'19_Расчет_аналитики'!O4484)=0,1&lt;='01_Вводные'!$B$297),0,('19_Расчет_аналитики'!O4456-'19_Расчет_аналитики'!O4484)*IF('01_Вводные'!$B$239="Да",MeanMinAge01+'19_Расчет_аналитики'!O4608*SUMIF(ThresholdAge01,"&lt;"&amp;'19_Расчет_аналитики'!O4608,WeightedRevAge01)-SUMIF(ThresholdAge01,"&lt;"&amp;'19_Расчет_аналитики'!O4608,WeightedMinAge01),MAX(CapacityAge01*'01_Вводные'!$B$218*'19_Расчет_аналитики'!O4608,MeanMinAge01))),0)</f>
        <v/>
      </c>
      <c r="P4540">
        <f>IF('01_Вводные'!$B$234="Да",IF(OR(('19_Расчет_аналитики'!P4456-'19_Расчет_аналитики'!P4484)=0,1&lt;='01_Вводные'!$B$297),0,('19_Расчет_аналитики'!P4456-'19_Расчет_аналитики'!P4484)*IF('01_Вводные'!$B$239="Да",MeanMinAge01+'19_Расчет_аналитики'!P4608*SUMIF(ThresholdAge01,"&lt;"&amp;'19_Расчет_аналитики'!P4608,WeightedRevAge01)-SUMIF(ThresholdAge01,"&lt;"&amp;'19_Расчет_аналитики'!P4608,WeightedMinAge01),MAX(CapacityAge01*'01_Вводные'!$B$218*'19_Расчет_аналитики'!P4608,MeanMinAge01))),0)</f>
        <v/>
      </c>
      <c r="Q4540">
        <f>IF('01_Вводные'!$B$234="Да",IF(OR(('19_Расчет_аналитики'!Q4456-'19_Расчет_аналитики'!Q4484)=0,1&lt;='01_Вводные'!$B$297),0,('19_Расчет_аналитики'!Q4456-'19_Расчет_аналитики'!Q4484)*IF('01_Вводные'!$B$239="Да",MeanMinAge01+'19_Расчет_аналитики'!Q4608*SUMIF(ThresholdAge01,"&lt;"&amp;'19_Расчет_аналитики'!Q4608,WeightedRevAge01)-SUMIF(ThresholdAge01,"&lt;"&amp;'19_Расчет_аналитики'!Q4608,WeightedMinAge01),MAX(CapacityAge01*'01_Вводные'!$B$218*'19_Расчет_аналитики'!Q4608,MeanMinAge01))),0)</f>
        <v/>
      </c>
      <c r="R4540">
        <f>IF('01_Вводные'!$B$234="Да",IF(OR(('19_Расчет_аналитики'!R4456-'19_Расчет_аналитики'!R4484)=0,1&lt;='01_Вводные'!$B$297),0,('19_Расчет_аналитики'!R4456-'19_Расчет_аналитики'!R4484)*IF('01_Вводные'!$B$239="Да",MeanMinAge01+'19_Расчет_аналитики'!R4608*SUMIF(ThresholdAge01,"&lt;"&amp;'19_Расчет_аналитики'!R4608,WeightedRevAge01)-SUMIF(ThresholdAge01,"&lt;"&amp;'19_Расчет_аналитики'!R4608,WeightedMinAge01),MAX(CapacityAge01*'01_Вводные'!$B$218*'19_Расчет_аналитики'!R4608,MeanMinAge01))),0)</f>
        <v/>
      </c>
      <c r="S4540">
        <f>IF('01_Вводные'!$B$234="Да",IF(OR(('19_Расчет_аналитики'!S4456-'19_Расчет_аналитики'!S4484)=0,1&lt;='01_Вводные'!$B$297),0,('19_Расчет_аналитики'!S4456-'19_Расчет_аналитики'!S4484)*IF('01_Вводные'!$B$239="Да",MeanMinAge01+'19_Расчет_аналитики'!S4608*SUMIF(ThresholdAge01,"&lt;"&amp;'19_Расчет_аналитики'!S4608,WeightedRevAge01)-SUMIF(ThresholdAge01,"&lt;"&amp;'19_Расчет_аналитики'!S4608,WeightedMinAge01),MAX(CapacityAge01*'01_Вводные'!$B$218*'19_Расчет_аналитики'!S4608,MeanMinAge01))),0)</f>
        <v/>
      </c>
      <c r="T4540">
        <f>IF('01_Вводные'!$B$234="Да",IF(OR(('19_Расчет_аналитики'!T4456-'19_Расчет_аналитики'!T4484)=0,1&lt;='01_Вводные'!$B$297),0,('19_Расчет_аналитики'!T4456-'19_Расчет_аналитики'!T4484)*IF('01_Вводные'!$B$239="Да",MeanMinAge01+'19_Расчет_аналитики'!T4608*SUMIF(ThresholdAge01,"&lt;"&amp;'19_Расчет_аналитики'!T4608,WeightedRevAge01)-SUMIF(ThresholdAge01,"&lt;"&amp;'19_Расчет_аналитики'!T4608,WeightedMinAge01),MAX(CapacityAge01*'01_Вводные'!$B$218*'19_Расчет_аналитики'!T4608,MeanMinAge01))),0)</f>
        <v/>
      </c>
      <c r="U4540">
        <f>IF('01_Вводные'!$B$234="Да",IF(OR(('19_Расчет_аналитики'!U4456-'19_Расчет_аналитики'!U4484)=0,1&lt;='01_Вводные'!$B$297),0,('19_Расчет_аналитики'!U4456-'19_Расчет_аналитики'!U4484)*IF('01_Вводные'!$B$239="Да",MeanMinAge01+'19_Расчет_аналитики'!U4608*SUMIF(ThresholdAge01,"&lt;"&amp;'19_Расчет_аналитики'!U4608,WeightedRevAge01)-SUMIF(ThresholdAge01,"&lt;"&amp;'19_Расчет_аналитики'!U4608,WeightedMinAge01),MAX(CapacityAge01*'01_Вводные'!$B$218*'19_Расчет_аналитики'!U4608,MeanMinAge01))),0)</f>
        <v/>
      </c>
      <c r="V4540">
        <f>IF('01_Вводные'!$B$234="Да",IF(OR(('19_Расчет_аналитики'!V4456-'19_Расчет_аналитики'!V4484)=0,1&lt;='01_Вводные'!$B$297),0,('19_Расчет_аналитики'!V4456-'19_Расчет_аналитики'!V4484)*IF('01_Вводные'!$B$239="Да",MeanMinAge01+'19_Расчет_аналитики'!V4608*SUMIF(ThresholdAge01,"&lt;"&amp;'19_Расчет_аналитики'!V4608,WeightedRevAge01)-SUMIF(ThresholdAge01,"&lt;"&amp;'19_Расчет_аналитики'!V4608,WeightedMinAge01),MAX(CapacityAge01*'01_Вводные'!$B$218*'19_Расчет_аналитики'!V4608,MeanMinAge01))),0)</f>
        <v/>
      </c>
      <c r="W4540">
        <f>IF('01_Вводные'!$B$234="Да",IF(OR(('19_Расчет_аналитики'!W4456-'19_Расчет_аналитики'!W4484)=0,1&lt;='01_Вводные'!$B$297),0,('19_Расчет_аналитики'!W4456-'19_Расчет_аналитики'!W4484)*IF('01_Вводные'!$B$239="Да",MeanMinAge01+'19_Расчет_аналитики'!W4608*SUMIF(ThresholdAge01,"&lt;"&amp;'19_Расчет_аналитики'!W4608,WeightedRevAge01)-SUMIF(ThresholdAge01,"&lt;"&amp;'19_Расчет_аналитики'!W4608,WeightedMinAge01),MAX(CapacityAge01*'01_Вводные'!$B$218*'19_Расчет_аналитики'!W4608,MeanMinAge01))),0)</f>
        <v/>
      </c>
      <c r="X4540">
        <f>IF('01_Вводные'!$B$234="Да",IF(OR(('19_Расчет_аналитики'!X4456-'19_Расчет_аналитики'!X4484)=0,1&lt;='01_Вводные'!$B$297),0,('19_Расчет_аналитики'!X4456-'19_Расчет_аналитики'!X4484)*IF('01_Вводные'!$B$239="Да",MeanMinAge01+'19_Расчет_аналитики'!X4608*SUMIF(ThresholdAge01,"&lt;"&amp;'19_Расчет_аналитики'!X4608,WeightedRevAge01)-SUMIF(ThresholdAge01,"&lt;"&amp;'19_Расчет_аналитики'!X4608,WeightedMinAge01),MAX(CapacityAge01*'01_Вводные'!$B$218*'19_Расчет_аналитики'!X4608,MeanMinAge01))),0)</f>
        <v/>
      </c>
      <c r="Y4540">
        <f>IF('01_Вводные'!$B$234="Да",IF(OR(('19_Расчет_аналитики'!Y4456-'19_Расчет_аналитики'!Y4484)=0,1&lt;='01_Вводные'!$B$297),0,('19_Расчет_аналитики'!Y4456-'19_Расчет_аналитики'!Y4484)*IF('01_Вводные'!$B$239="Да",MeanMinAge01+'19_Расчет_аналитики'!Y4608*SUMIF(ThresholdAge01,"&lt;"&amp;'19_Расчет_аналитики'!Y4608,WeightedRevAge01)-SUMIF(ThresholdAge01,"&lt;"&amp;'19_Расчет_аналитики'!Y4608,WeightedMinAge01),MAX(CapacityAge01*'01_Вводные'!$B$218*'19_Расчет_аналитики'!Y4608,MeanMinAge01))),0)</f>
        <v/>
      </c>
      <c r="Z4540">
        <f>IF('01_Вводные'!$B$234="Да",IF(OR(('19_Расчет_аналитики'!Z4456-'19_Расчет_аналитики'!Z4484)=0,1&lt;='01_Вводные'!$B$297),0,('19_Расчет_аналитики'!Z4456-'19_Расчет_аналитики'!Z4484)*IF('01_Вводные'!$B$239="Да",MeanMinAge01+'19_Расчет_аналитики'!Z4608*SUMIF(ThresholdAge01,"&lt;"&amp;'19_Расчет_аналитики'!Z4608,WeightedRevAge01)-SUMIF(ThresholdAge01,"&lt;"&amp;'19_Расчет_аналитики'!Z4608,WeightedMinAge01),MAX(CapacityAge01*'01_Вводные'!$B$218*'19_Расчет_аналитики'!Z4608,MeanMinAge01))),0)</f>
        <v/>
      </c>
      <c r="AA4540">
        <f>IF('01_Вводные'!$B$234="Да",IF(OR(('19_Расчет_аналитики'!AA4456-'19_Расчет_аналитики'!AA4484)=0,1&lt;='01_Вводные'!$B$297),0,('19_Расчет_аналитики'!AA4456-'19_Расчет_аналитики'!AA4484)*IF('01_Вводные'!$B$239="Да",MeanMinAge01+'19_Расчет_аналитики'!AA4608*SUMIF(ThresholdAge01,"&lt;"&amp;'19_Расчет_аналитики'!AA4608,WeightedRevAge01)-SUMIF(ThresholdAge01,"&lt;"&amp;'19_Расчет_аналитики'!AA4608,WeightedMinAge01),MAX(CapacityAge01*'01_Вводные'!$B$218*'19_Расчет_аналитики'!AA4608,MeanMinAge01))),0)</f>
        <v/>
      </c>
      <c r="AB4540">
        <f>IF('01_Вводные'!$B$234="Да",IF(OR(('19_Расчет_аналитики'!AB4456-'19_Расчет_аналитики'!AB4484)=0,1&lt;='01_Вводные'!$B$297),0,('19_Расчет_аналитики'!AB4456-'19_Расчет_аналитики'!AB4484)*IF('01_Вводные'!$B$239="Да",MeanMinAge01+'19_Расчет_аналитики'!AB4608*SUMIF(ThresholdAge01,"&lt;"&amp;'19_Расчет_аналитики'!AB4608,WeightedRevAge01)-SUMIF(ThresholdAge01,"&lt;"&amp;'19_Расчет_аналитики'!AB4608,WeightedMinAge01),MAX(CapacityAge01*'01_Вводные'!$B$218*'19_Расчет_аналитики'!AB4608,MeanMinAge01))),0)</f>
        <v/>
      </c>
      <c r="AC4540">
        <f>IF('01_Вводные'!$B$234="Да",IF(OR(('19_Расчет_аналитики'!AC4456-'19_Расчет_аналитики'!AC4484)=0,1&lt;='01_Вводные'!$B$297),0,('19_Расчет_аналитики'!AC4456-'19_Расчет_аналитики'!AC4484)*IF('01_Вводные'!$B$239="Да",MeanMinAge01+'19_Расчет_аналитики'!AC4608*SUMIF(ThresholdAge01,"&lt;"&amp;'19_Расчет_аналитики'!AC4608,WeightedRevAge01)-SUMIF(ThresholdAge01,"&lt;"&amp;'19_Расчет_аналитики'!AC4608,WeightedMinAge01),MAX(CapacityAge01*'01_Вводные'!$B$218*'19_Расчет_аналитики'!AC4608,MeanMinAge01))),0)</f>
        <v/>
      </c>
      <c r="AD4540">
        <f>IF('01_Вводные'!$B$234="Да",IF(OR(('19_Расчет_аналитики'!AD4456-'19_Расчет_аналитики'!AD4484)=0,1&lt;='01_Вводные'!$B$297),0,('19_Расчет_аналитики'!AD4456-'19_Расчет_аналитики'!AD4484)*IF('01_Вводные'!$B$239="Да",MeanMinAge01+'19_Расчет_аналитики'!AD4608*SUMIF(ThresholdAge01,"&lt;"&amp;'19_Расчет_аналитики'!AD4608,WeightedRevAge01)-SUMIF(ThresholdAge01,"&lt;"&amp;'19_Расчет_аналитики'!AD4608,WeightedMinAge01),MAX(CapacityAge01*'01_Вводные'!$B$218*'19_Расчет_аналитики'!AD4608,MeanMinAge01))),0)</f>
        <v/>
      </c>
      <c r="AE4540">
        <f>IF('01_Вводные'!$B$234="Да",IF(OR(('19_Расчет_аналитики'!AE4456-'19_Расчет_аналитики'!AE4484)=0,1&lt;='01_Вводные'!$B$297),0,('19_Расчет_аналитики'!AE4456-'19_Расчет_аналитики'!AE4484)*IF('01_Вводные'!$B$239="Да",MeanMinAge01+'19_Расчет_аналитики'!AE4608*SUMIF(ThresholdAge01,"&lt;"&amp;'19_Расчет_аналитики'!AE4608,WeightedRevAge01)-SUMIF(ThresholdAge01,"&lt;"&amp;'19_Расчет_аналитики'!AE4608,WeightedMinAge01),MAX(CapacityAge01*'01_Вводные'!$B$218*'19_Расчет_аналитики'!AE4608,MeanMinAge01))),0)</f>
        <v/>
      </c>
      <c r="AF4540">
        <f>IF('01_Вводные'!$B$234="Да",IF(OR(('19_Расчет_аналитики'!AF4456-'19_Расчет_аналитики'!AF4484)=0,1&lt;='01_Вводные'!$B$297),0,('19_Расчет_аналитики'!AF4456-'19_Расчет_аналитики'!AF4484)*IF('01_Вводные'!$B$239="Да",MeanMinAge01+'19_Расчет_аналитики'!AF4608*SUMIF(ThresholdAge01,"&lt;"&amp;'19_Расчет_аналитики'!AF4608,WeightedRevAge01)-SUMIF(ThresholdAge01,"&lt;"&amp;'19_Расчет_аналитики'!AF4608,WeightedMinAge01),MAX(CapacityAge01*'01_Вводные'!$B$218*'19_Расчет_аналитики'!AF4608,MeanMinAge01))),0)</f>
        <v/>
      </c>
      <c r="AG4540">
        <f>IF('01_Вводные'!$B$234="Да",IF(OR(('19_Расчет_аналитики'!AG4456-'19_Расчет_аналитики'!AG4484)=0,1&lt;='01_Вводные'!$B$297),0,('19_Расчет_аналитики'!AG4456-'19_Расчет_аналитики'!AG4484)*IF('01_Вводные'!$B$239="Да",MeanMinAge01+'19_Расчет_аналитики'!AG4608*SUMIF(ThresholdAge01,"&lt;"&amp;'19_Расчет_аналитики'!AG4608,WeightedRevAge01)-SUMIF(ThresholdAge01,"&lt;"&amp;'19_Расчет_аналитики'!AG4608,WeightedMinAge01),MAX(CapacityAge01*'01_Вводные'!$B$218*'19_Расчет_аналитики'!AG4608,MeanMinAge01))),0)</f>
        <v/>
      </c>
      <c r="AH4540">
        <f>IF('01_Вводные'!$B$234="Да",IF(OR(('19_Расчет_аналитики'!AH4456-'19_Расчет_аналитики'!AH4484)=0,1&lt;='01_Вводные'!$B$297),0,('19_Расчет_аналитики'!AH4456-'19_Расчет_аналитики'!AH4484)*IF('01_Вводные'!$B$239="Да",MeanMinAge01+'19_Расчет_аналитики'!AH4608*SUMIF(ThresholdAge01,"&lt;"&amp;'19_Расчет_аналитики'!AH4608,WeightedRevAge01)-SUMIF(ThresholdAge01,"&lt;"&amp;'19_Расчет_аналитики'!AH4608,WeightedMinAge01),MAX(CapacityAge01*'01_Вводные'!$B$218*'19_Расчет_аналитики'!AH4608,MeanMinAge01))),0)</f>
        <v/>
      </c>
      <c r="AI4540">
        <f>IF('01_Вводные'!$B$234="Да",IF(OR(('19_Расчет_аналитики'!AI4456-'19_Расчет_аналитики'!AI4484)=0,1&lt;='01_Вводные'!$B$297),0,('19_Расчет_аналитики'!AI4456-'19_Расчет_аналитики'!AI4484)*IF('01_Вводные'!$B$239="Да",MeanMinAge01+'19_Расчет_аналитики'!AI4608*SUMIF(ThresholdAge01,"&lt;"&amp;'19_Расчет_аналитики'!AI4608,WeightedRevAge01)-SUMIF(ThresholdAge01,"&lt;"&amp;'19_Расчет_аналитики'!AI4608,WeightedMinAge01),MAX(CapacityAge01*'01_Вводные'!$B$218*'19_Расчет_аналитики'!AI4608,MeanMinAge01))),0)</f>
        <v/>
      </c>
      <c r="AJ4540">
        <f>IF('01_Вводные'!$B$234="Да",IF(OR(('19_Расчет_аналитики'!AJ4456-'19_Расчет_аналитики'!AJ4484)=0,1&lt;='01_Вводные'!$B$297),0,('19_Расчет_аналитики'!AJ4456-'19_Расчет_аналитики'!AJ4484)*IF('01_Вводные'!$B$239="Да",MeanMinAge01+'19_Расчет_аналитики'!AJ4608*SUMIF(ThresholdAge01,"&lt;"&amp;'19_Расчет_аналитики'!AJ4608,WeightedRevAge01)-SUMIF(ThresholdAge01,"&lt;"&amp;'19_Расчет_аналитики'!AJ4608,WeightedMinAge01),MAX(CapacityAge01*'01_Вводные'!$B$218*'19_Расчет_аналитики'!AJ4608,MeanMinAge01))),0)</f>
        <v/>
      </c>
      <c r="AK4540">
        <f>IF('01_Вводные'!$B$234="Да",IF(OR(('19_Расчет_аналитики'!AK4456-'19_Расчет_аналитики'!AK4484)=0,1&lt;='01_Вводные'!$B$297),0,('19_Расчет_аналитики'!AK4456-'19_Расчет_аналитики'!AK4484)*IF('01_Вводные'!$B$239="Да",MeanMinAge01+'19_Расчет_аналитики'!AK4608*SUMIF(ThresholdAge01,"&lt;"&amp;'19_Расчет_аналитики'!AK4608,WeightedRevAge01)-SUMIF(ThresholdAge01,"&lt;"&amp;'19_Расчет_аналитики'!AK4608,WeightedMinAge01),MAX(CapacityAge01*'01_Вводные'!$B$218*'19_Расчет_аналитики'!AK4608,MeanMinAge01))),0)</f>
        <v/>
      </c>
      <c r="AL4540">
        <f>IF('01_Вводные'!$B$234="Да",IF(OR(('19_Расчет_аналитики'!AL4456-'19_Расчет_аналитики'!AL4484)=0,1&lt;='01_Вводные'!$B$297),0,('19_Расчет_аналитики'!AL4456-'19_Расчет_аналитики'!AL4484)*IF('01_Вводные'!$B$239="Да",MeanMinAge01+'19_Расчет_аналитики'!AL4608*SUMIF(ThresholdAge01,"&lt;"&amp;'19_Расчет_аналитики'!AL4608,WeightedRevAge01)-SUMIF(ThresholdAge01,"&lt;"&amp;'19_Расчет_аналитики'!AL4608,WeightedMinAge01),MAX(CapacityAge01*'01_Вводные'!$B$218*'19_Расчет_аналитики'!AL4608,MeanMinAge01))),0)</f>
        <v/>
      </c>
      <c r="AM4540">
        <f>IF('01_Вводные'!$B$234="Да",IF(OR(('19_Расчет_аналитики'!AM4456-'19_Расчет_аналитики'!AM4484)=0,1&lt;='01_Вводные'!$B$297),0,('19_Расчет_аналитики'!AM4456-'19_Расчет_аналитики'!AM4484)*IF('01_Вводные'!$B$239="Да",MeanMinAge01+'19_Расчет_аналитики'!AM4608*SUMIF(ThresholdAge01,"&lt;"&amp;'19_Расчет_аналитики'!AM4608,WeightedRevAge01)-SUMIF(ThresholdAge01,"&lt;"&amp;'19_Расчет_аналитики'!AM4608,WeightedMinAge01),MAX(CapacityAge01*'01_Вводные'!$B$218*'19_Расчет_аналитики'!AM4608,MeanMinAge01))),0)</f>
        <v/>
      </c>
      <c r="AN4540">
        <f>IF('01_Вводные'!$B$234="Да",IF(OR(('19_Расчет_аналитики'!AN4456-'19_Расчет_аналитики'!AN4484)=0,1&lt;='01_Вводные'!$B$297),0,('19_Расчет_аналитики'!AN4456-'19_Расчет_аналитики'!AN4484)*IF('01_Вводные'!$B$239="Да",MeanMinAge01+'19_Расчет_аналитики'!AN4608*SUMIF(ThresholdAge01,"&lt;"&amp;'19_Расчет_аналитики'!AN4608,WeightedRevAge01)-SUMIF(ThresholdAge01,"&lt;"&amp;'19_Расчет_аналитики'!AN4608,WeightedMinAge01),MAX(CapacityAge01*'01_Вводные'!$B$218*'19_Расчет_аналитики'!AN4608,MeanMinAge01))),0)</f>
        <v/>
      </c>
      <c r="AO4540">
        <f>IF('01_Вводные'!$B$234="Да",IF(OR(('19_Расчет_аналитики'!AO4456-'19_Расчет_аналитики'!AO4484)=0,1&lt;='01_Вводные'!$B$297),0,('19_Расчет_аналитики'!AO4456-'19_Расчет_аналитики'!AO4484)*IF('01_Вводные'!$B$239="Да",MeanMinAge01+'19_Расчет_аналитики'!AO4608*SUMIF(ThresholdAge01,"&lt;"&amp;'19_Расчет_аналитики'!AO4608,WeightedRevAge01)-SUMIF(ThresholdAge01,"&lt;"&amp;'19_Расчет_аналитики'!AO4608,WeightedMinAge01),MAX(CapacityAge01*'01_Вводные'!$B$218*'19_Расчет_аналитики'!AO4608,MeanMinAge01))),0)</f>
        <v/>
      </c>
      <c r="AP4540">
        <f>IF('01_Вводные'!$B$234="Да",IF(OR(('19_Расчет_аналитики'!AP4456-'19_Расчет_аналитики'!AP4484)=0,1&lt;='01_Вводные'!$B$297),0,('19_Расчет_аналитики'!AP4456-'19_Расчет_аналитики'!AP4484)*IF('01_Вводные'!$B$239="Да",MeanMinAge01+'19_Расчет_аналитики'!AP4608*SUMIF(ThresholdAge01,"&lt;"&amp;'19_Расчет_аналитики'!AP4608,WeightedRevAge01)-SUMIF(ThresholdAge01,"&lt;"&amp;'19_Расчет_аналитики'!AP4608,WeightedMinAge01),MAX(CapacityAge01*'01_Вводные'!$B$218*'19_Расчет_аналитики'!AP4608,MeanMinAge01))),0)</f>
        <v/>
      </c>
      <c r="AQ4540">
        <f>IF('01_Вводные'!$B$234="Да",IF(OR(('19_Расчет_аналитики'!AQ4456-'19_Расчет_аналитики'!AQ4484)=0,1&lt;='01_Вводные'!$B$297),0,('19_Расчет_аналитики'!AQ4456-'19_Расчет_аналитики'!AQ4484)*IF('01_Вводные'!$B$239="Да",MeanMinAge01+'19_Расчет_аналитики'!AQ4608*SUMIF(ThresholdAge01,"&lt;"&amp;'19_Расчет_аналитики'!AQ4608,WeightedRevAge01)-SUMIF(ThresholdAge01,"&lt;"&amp;'19_Расчет_аналитики'!AQ4608,WeightedMinAge01),MAX(CapacityAge01*'01_Вводные'!$B$218*'19_Расчет_аналитики'!AQ4608,MeanMinAge01))),0)</f>
        <v/>
      </c>
      <c r="AR4540">
        <f>IF('01_Вводные'!$B$234="Да",IF(OR(('19_Расчет_аналитики'!AR4456-'19_Расчет_аналитики'!AR4484)=0,1&lt;='01_Вводные'!$B$297),0,('19_Расчет_аналитики'!AR4456-'19_Расчет_аналитики'!AR4484)*IF('01_Вводные'!$B$239="Да",MeanMinAge01+'19_Расчет_аналитики'!AR4608*SUMIF(ThresholdAge01,"&lt;"&amp;'19_Расчет_аналитики'!AR4608,WeightedRevAge01)-SUMIF(ThresholdAge01,"&lt;"&amp;'19_Расчет_аналитики'!AR4608,WeightedMinAge01),MAX(CapacityAge01*'01_Вводные'!$B$218*'19_Расчет_аналитики'!AR4608,MeanMinAge01))),0)</f>
        <v/>
      </c>
      <c r="AS4540">
        <f>IF('01_Вводные'!$B$234="Да",IF(OR(('19_Расчет_аналитики'!AS4456-'19_Расчет_аналитики'!AS4484)=0,1&lt;='01_Вводные'!$B$297),0,('19_Расчет_аналитики'!AS4456-'19_Расчет_аналитики'!AS4484)*IF('01_Вводные'!$B$239="Да",MeanMinAge01+'19_Расчет_аналитики'!AS4608*SUMIF(ThresholdAge01,"&lt;"&amp;'19_Расчет_аналитики'!AS4608,WeightedRevAge01)-SUMIF(ThresholdAge01,"&lt;"&amp;'19_Расчет_аналитики'!AS4608,WeightedMinAge01),MAX(CapacityAge01*'01_Вводные'!$B$218*'19_Расчет_аналитики'!AS4608,MeanMinAge01))),0)</f>
        <v/>
      </c>
      <c r="AT4540">
        <f>IF('01_Вводные'!$B$234="Да",IF(OR(('19_Расчет_аналитики'!AT4456-'19_Расчет_аналитики'!AT4484)=0,1&lt;='01_Вводные'!$B$297),0,('19_Расчет_аналитики'!AT4456-'19_Расчет_аналитики'!AT4484)*IF('01_Вводные'!$B$239="Да",MeanMinAge01+'19_Расчет_аналитики'!AT4608*SUMIF(ThresholdAge01,"&lt;"&amp;'19_Расчет_аналитики'!AT4608,WeightedRevAge01)-SUMIF(ThresholdAge01,"&lt;"&amp;'19_Расчет_аналитики'!AT4608,WeightedMinAge01),MAX(CapacityAge01*'01_Вводные'!$B$218*'19_Расчет_аналитики'!AT4608,MeanMinAge01))),0)</f>
        <v/>
      </c>
      <c r="AU4540">
        <f>IF('01_Вводные'!$B$234="Да",IF(OR(('19_Расчет_аналитики'!AU4456-'19_Расчет_аналитики'!AU4484)=0,1&lt;='01_Вводные'!$B$297),0,('19_Расчет_аналитики'!AU4456-'19_Расчет_аналитики'!AU4484)*IF('01_Вводные'!$B$239="Да",MeanMinAge01+'19_Расчет_аналитики'!AU4608*SUMIF(ThresholdAge01,"&lt;"&amp;'19_Расчет_аналитики'!AU4608,WeightedRevAge01)-SUMIF(ThresholdAge01,"&lt;"&amp;'19_Расчет_аналитики'!AU4608,WeightedMinAge01),MAX(CapacityAge01*'01_Вводные'!$B$218*'19_Расчет_аналитики'!AU4608,MeanMinAge01))),0)</f>
        <v/>
      </c>
      <c r="AV4540">
        <f>IF('01_Вводные'!$B$234="Да",IF(OR(('19_Расчет_аналитики'!AV4456-'19_Расчет_аналитики'!AV4484)=0,1&lt;='01_Вводные'!$B$297),0,('19_Расчет_аналитики'!AV4456-'19_Расчет_аналитики'!AV4484)*IF('01_Вводные'!$B$239="Да",MeanMinAge01+'19_Расчет_аналитики'!AV4608*SUMIF(ThresholdAge01,"&lt;"&amp;'19_Расчет_аналитики'!AV4608,WeightedRevAge01)-SUMIF(ThresholdAge01,"&lt;"&amp;'19_Расчет_аналитики'!AV4608,WeightedMinAge01),MAX(CapacityAge01*'01_Вводные'!$B$218*'19_Расчет_аналитики'!AV4608,MeanMinAge01))),0)</f>
        <v/>
      </c>
      <c r="AW4540">
        <f>IF('01_Вводные'!$B$234="Да",IF(OR(('19_Расчет_аналитики'!AW4456-'19_Расчет_аналитики'!AW4484)=0,1&lt;='01_Вводные'!$B$297),0,('19_Расчет_аналитики'!AW4456-'19_Расчет_аналитики'!AW4484)*IF('01_Вводные'!$B$239="Да",MeanMinAge01+'19_Расчет_аналитики'!AW4608*SUMIF(ThresholdAge01,"&lt;"&amp;'19_Расчет_аналитики'!AW4608,WeightedRevAge01)-SUMIF(ThresholdAge01,"&lt;"&amp;'19_Расчет_аналитики'!AW4608,WeightedMinAge01),MAX(CapacityAge01*'01_Вводные'!$B$218*'19_Расчет_аналитики'!AW4608,MeanMinAge01))),0)</f>
        <v/>
      </c>
      <c r="AX4540">
        <f>IF('01_Вводные'!$B$234="Да",IF(OR(('19_Расчет_аналитики'!AX4456-'19_Расчет_аналитики'!AX4484)=0,1&lt;='01_Вводные'!$B$297),0,('19_Расчет_аналитики'!AX4456-'19_Расчет_аналитики'!AX4484)*IF('01_Вводные'!$B$239="Да",MeanMinAge01+'19_Расчет_аналитики'!AX4608*SUMIF(ThresholdAge01,"&lt;"&amp;'19_Расчет_аналитики'!AX4608,WeightedRevAge01)-SUMIF(ThresholdAge01,"&lt;"&amp;'19_Расчет_аналитики'!AX4608,WeightedMinAge01),MAX(CapacityAge01*'01_Вводные'!$B$218*'19_Расчет_аналитики'!AX4608,MeanMinAge01))),0)</f>
        <v/>
      </c>
      <c r="AY4540">
        <f>IF('01_Вводные'!$B$234="Да",IF(OR(('19_Расчет_аналитики'!AY4456-'19_Расчет_аналитики'!AY4484)=0,1&lt;='01_Вводные'!$B$297),0,('19_Расчет_аналитики'!AY4456-'19_Расчет_аналитики'!AY4484)*IF('01_Вводные'!$B$239="Да",MeanMinAge01+'19_Расчет_аналитики'!AY4608*SUMIF(ThresholdAge01,"&lt;"&amp;'19_Расчет_аналитики'!AY4608,WeightedRevAge01)-SUMIF(ThresholdAge01,"&lt;"&amp;'19_Расчет_аналитики'!AY4608,WeightedMinAge01),MAX(CapacityAge01*'01_Вводные'!$B$218*'19_Расчет_аналитики'!AY4608,MeanMinAge01))),0)</f>
        <v/>
      </c>
      <c r="AZ4540">
        <f>IF('01_Вводные'!$B$234="Да",IF(OR(('19_Расчет_аналитики'!AZ4456-'19_Расчет_аналитики'!AZ4484)=0,1&lt;='01_Вводные'!$B$297),0,('19_Расчет_аналитики'!AZ4456-'19_Расчет_аналитики'!AZ4484)*IF('01_Вводные'!$B$239="Да",MeanMinAge01+'19_Расчет_аналитики'!AZ4608*SUMIF(ThresholdAge01,"&lt;"&amp;'19_Расчет_аналитики'!AZ4608,WeightedRevAge01)-SUMIF(ThresholdAge01,"&lt;"&amp;'19_Расчет_аналитики'!AZ4608,WeightedMinAge01),MAX(CapacityAge01*'01_Вводные'!$B$218*'19_Расчет_аналитики'!AZ4608,MeanMinAge01))),0)</f>
        <v/>
      </c>
      <c r="BA4540">
        <f>IF('01_Вводные'!$B$234="Да",IF(OR(('19_Расчет_аналитики'!BA4456-'19_Расчет_аналитики'!BA4484)=0,1&lt;='01_Вводные'!$B$297),0,('19_Расчет_аналитики'!BA4456-'19_Расчет_аналитики'!BA4484)*IF('01_Вводные'!$B$239="Да",MeanMinAge01+'19_Расчет_аналитики'!BA4608*SUMIF(ThresholdAge01,"&lt;"&amp;'19_Расчет_аналитики'!BA4608,WeightedRevAge01)-SUMIF(ThresholdAge01,"&lt;"&amp;'19_Расчет_аналитики'!BA4608,WeightedMinAge01),MAX(CapacityAge01*'01_Вводные'!$B$218*'19_Расчет_аналитики'!BA4608,MeanMinAge01))),0)</f>
        <v/>
      </c>
      <c r="BB4540">
        <f>IF('01_Вводные'!$B$234="Да",IF(OR(('19_Расчет_аналитики'!BB4456-'19_Расчет_аналитики'!BB4484)=0,1&lt;='01_Вводные'!$B$297),0,('19_Расчет_аналитики'!BB4456-'19_Расчет_аналитики'!BB4484)*IF('01_Вводные'!$B$239="Да",MeanMinAge01+'19_Расчет_аналитики'!BB4608*SUMIF(ThresholdAge01,"&lt;"&amp;'19_Расчет_аналитики'!BB4608,WeightedRevAge01)-SUMIF(ThresholdAge01,"&lt;"&amp;'19_Расчет_аналитики'!BB4608,WeightedMinAge01),MAX(CapacityAge01*'01_Вводные'!$B$218*'19_Расчет_аналитики'!BB4608,MeanMinAge01))),0)</f>
        <v/>
      </c>
      <c r="BC4540">
        <f>IF('01_Вводные'!$B$234="Да",IF(OR(('19_Расчет_аналитики'!BC4456-'19_Расчет_аналитики'!BC4484)=0,1&lt;='01_Вводные'!$B$297),0,('19_Расчет_аналитики'!BC4456-'19_Расчет_аналитики'!BC4484)*IF('01_Вводные'!$B$239="Да",MeanMinAge01+'19_Расчет_аналитики'!BC4608*SUMIF(ThresholdAge01,"&lt;"&amp;'19_Расчет_аналитики'!BC4608,WeightedRevAge01)-SUMIF(ThresholdAge01,"&lt;"&amp;'19_Расчет_аналитики'!BC4608,WeightedMinAge01),MAX(CapacityAge01*'01_Вводные'!$B$218*'19_Расчет_аналитики'!BC4608,MeanMinAge01))),0)</f>
        <v/>
      </c>
      <c r="BD4540">
        <f>IF('01_Вводные'!$B$234="Да",IF(OR(('19_Расчет_аналитики'!BD4456-'19_Расчет_аналитики'!BD4484)=0,1&lt;='01_Вводные'!$B$297),0,('19_Расчет_аналитики'!BD4456-'19_Расчет_аналитики'!BD4484)*IF('01_Вводные'!$B$239="Да",MeanMinAge01+'19_Расчет_аналитики'!BD4608*SUMIF(ThresholdAge01,"&lt;"&amp;'19_Расчет_аналитики'!BD4608,WeightedRevAge01)-SUMIF(ThresholdAge01,"&lt;"&amp;'19_Расчет_аналитики'!BD4608,WeightedMinAge01),MAX(CapacityAge01*'01_Вводные'!$B$218*'19_Расчет_аналитики'!BD4608,MeanMinAge01))),0)</f>
        <v/>
      </c>
      <c r="BE4540">
        <f>IF('01_Вводные'!$B$234="Да",IF(OR(('19_Расчет_аналитики'!BE4456-'19_Расчет_аналитики'!BE4484)=0,1&lt;='01_Вводные'!$B$297),0,('19_Расчет_аналитики'!BE4456-'19_Расчет_аналитики'!BE4484)*IF('01_Вводные'!$B$239="Да",MeanMinAge01+'19_Расчет_аналитики'!BE4608*SUMIF(ThresholdAge01,"&lt;"&amp;'19_Расчет_аналитики'!BE4608,WeightedRevAge01)-SUMIF(ThresholdAge01,"&lt;"&amp;'19_Расчет_аналитики'!BE4608,WeightedMinAge01),MAX(CapacityAge01*'01_Вводные'!$B$218*'19_Расчет_аналитики'!BE4608,MeanMinAge01))),0)</f>
        <v/>
      </c>
      <c r="BF4540">
        <f>IF('01_Вводные'!$B$234="Да",IF(OR(('19_Расчет_аналитики'!BF4456-'19_Расчет_аналитики'!BF4484)=0,1&lt;='01_Вводные'!$B$297),0,('19_Расчет_аналитики'!BF4456-'19_Расчет_аналитики'!BF4484)*IF('01_Вводные'!$B$239="Да",MeanMinAge01+'19_Расчет_аналитики'!BF4608*SUMIF(ThresholdAge01,"&lt;"&amp;'19_Расчет_аналитики'!BF4608,WeightedRevAge01)-SUMIF(ThresholdAge01,"&lt;"&amp;'19_Расчет_аналитики'!BF4608,WeightedMinAge01),MAX(CapacityAge01*'01_Вводные'!$B$218*'19_Расчет_аналитики'!BF4608,MeanMinAge01))),0)</f>
        <v/>
      </c>
      <c r="BG4540">
        <f>IF('01_Вводные'!$B$234="Да",IF(OR(('19_Расчет_аналитики'!BG4456-'19_Расчет_аналитики'!BG4484)=0,1&lt;='01_Вводные'!$B$297),0,('19_Расчет_аналитики'!BG4456-'19_Расчет_аналитики'!BG4484)*IF('01_Вводные'!$B$239="Да",MeanMinAge01+'19_Расчет_аналитики'!BG4608*SUMIF(ThresholdAge01,"&lt;"&amp;'19_Расчет_аналитики'!BG4608,WeightedRevAge01)-SUMIF(ThresholdAge01,"&lt;"&amp;'19_Расчет_аналитики'!BG4608,WeightedMinAge01),MAX(CapacityAge01*'01_Вводные'!$B$218*'19_Расчет_аналитики'!BG4608,MeanMinAge01))),0)</f>
        <v/>
      </c>
      <c r="BH4540">
        <f>IF('01_Вводные'!$B$234="Да",IF(OR(('19_Расчет_аналитики'!BH4456-'19_Расчет_аналитики'!BH4484)=0,1&lt;='01_Вводные'!$B$297),0,('19_Расчет_аналитики'!BH4456-'19_Расчет_аналитики'!BH4484)*IF('01_Вводные'!$B$239="Да",MeanMinAge01+'19_Расчет_аналитики'!BH4608*SUMIF(ThresholdAge01,"&lt;"&amp;'19_Расчет_аналитики'!BH4608,WeightedRevAge01)-SUMIF(ThresholdAge01,"&lt;"&amp;'19_Расчет_аналитики'!BH4608,WeightedMinAge01),MAX(CapacityAge01*'01_Вводные'!$B$218*'19_Расчет_аналитики'!BH4608,MeanMinAge01))),0)</f>
        <v/>
      </c>
      <c r="BI4540">
        <f>IF('01_Вводные'!$B$234="Да",IF(OR(('19_Расчет_аналитики'!BI4456-'19_Расчет_аналитики'!BI4484)=0,1&lt;='01_Вводные'!$B$297),0,('19_Расчет_аналитики'!BI4456-'19_Расчет_аналитики'!BI4484)*IF('01_Вводные'!$B$239="Да",MeanMinAge01+'19_Расчет_аналитики'!BI4608*SUMIF(ThresholdAge01,"&lt;"&amp;'19_Расчет_аналитики'!BI4608,WeightedRevAge01)-SUMIF(ThresholdAge01,"&lt;"&amp;'19_Расчет_аналитики'!BI4608,WeightedMinAge01),MAX(CapacityAge01*'01_Вводные'!$B$218*'19_Расчет_аналитики'!BI4608,MeanMinAge01))),0)</f>
        <v/>
      </c>
      <c r="BJ4540">
        <f>IF('01_Вводные'!$B$234="Да",IF(OR(('19_Расчет_аналитики'!BJ4456-'19_Расчет_аналитики'!BJ4484)=0,1&lt;='01_Вводные'!$B$297),0,('19_Расчет_аналитики'!BJ4456-'19_Расчет_аналитики'!BJ4484)*IF('01_Вводные'!$B$239="Да",MeanMinAge01+'19_Расчет_аналитики'!BJ4608*SUMIF(ThresholdAge01,"&lt;"&amp;'19_Расчет_аналитики'!BJ4608,WeightedRevAge01)-SUMIF(ThresholdAge01,"&lt;"&amp;'19_Расчет_аналитики'!BJ4608,WeightedMinAge01),MAX(CapacityAge01*'01_Вводные'!$B$218*'19_Расчет_аналитики'!BJ4608,MeanMinAge01))),0)</f>
        <v/>
      </c>
      <c r="BK4540">
        <f>IF('01_Вводные'!$B$234="Да",IF(OR(('19_Расчет_аналитики'!BK4456-'19_Расчет_аналитики'!BK4484)=0,1&lt;='01_Вводные'!$B$297),0,('19_Расчет_аналитики'!BK4456-'19_Расчет_аналитики'!BK4484)*IF('01_Вводные'!$B$239="Да",MeanMinAge01+'19_Расчет_аналитики'!BK4608*SUMIF(ThresholdAge01,"&lt;"&amp;'19_Расчет_аналитики'!BK4608,WeightedRevAge01)-SUMIF(ThresholdAge01,"&lt;"&amp;'19_Расчет_аналитики'!BK4608,WeightedMinAge01),MAX(CapacityAge01*'01_Вводные'!$B$218*'19_Расчет_аналитики'!BK4608,MeanMinAge01))),0)</f>
        <v/>
      </c>
      <c r="BL4540">
        <f>IF('01_Вводные'!$B$234="Да",IF(OR(('19_Расчет_аналитики'!BL4456-'19_Расчет_аналитики'!BL4484)=0,1&lt;='01_Вводные'!$B$297),0,('19_Расчет_аналитики'!BL4456-'19_Расчет_аналитики'!BL4484)*IF('01_Вводные'!$B$239="Да",MeanMinAge01+'19_Расчет_аналитики'!BL4608*SUMIF(ThresholdAge01,"&lt;"&amp;'19_Расчет_аналитики'!BL4608,WeightedRevAge01)-SUMIF(ThresholdAge01,"&lt;"&amp;'19_Расчет_аналитики'!BL4608,WeightedMinAge01),MAX(CapacityAge01*'01_Вводные'!$B$218*'19_Расчет_аналитики'!BL4608,MeanMinAge01))),0)</f>
        <v/>
      </c>
      <c r="BM4540">
        <f>IF('01_Вводные'!$B$234="Да",IF(OR(('19_Расчет_аналитики'!BM4456-'19_Расчет_аналитики'!BM4484)=0,1&lt;='01_Вводные'!$B$297),0,('19_Расчет_аналитики'!BM4456-'19_Расчет_аналитики'!BM4484)*IF('01_Вводные'!$B$239="Да",MeanMinAge01+'19_Расчет_аналитики'!BM4608*SUMIF(ThresholdAge01,"&lt;"&amp;'19_Расчет_аналитики'!BM4608,WeightedRevAge01)-SUMIF(ThresholdAge01,"&lt;"&amp;'19_Расчет_аналитики'!BM4608,WeightedMinAge01),MAX(CapacityAge01*'01_Вводные'!$B$218*'19_Расчет_аналитики'!BM4608,MeanMinAge01))),0)</f>
        <v/>
      </c>
      <c r="BN4540">
        <f>IF('01_Вводные'!$B$234="Да",IF(OR(('19_Расчет_аналитики'!BN4456-'19_Расчет_аналитики'!BN4484)=0,1&lt;='01_Вводные'!$B$297),0,('19_Расчет_аналитики'!BN4456-'19_Расчет_аналитики'!BN4484)*IF('01_Вводные'!$B$239="Да",MeanMinAge01+'19_Расчет_аналитики'!BN4608*SUMIF(ThresholdAge01,"&lt;"&amp;'19_Расчет_аналитики'!BN4608,WeightedRevAge01)-SUMIF(ThresholdAge01,"&lt;"&amp;'19_Расчет_аналитики'!BN4608,WeightedMinAge01),MAX(CapacityAge01*'01_Вводные'!$B$218*'19_Расчет_аналитики'!BN4608,MeanMinAge01))),0)</f>
        <v/>
      </c>
      <c r="BO4540">
        <f>IF('01_Вводные'!$B$234="Да",IF(OR(('19_Расчет_аналитики'!BO4456-'19_Расчет_аналитики'!BO4484)=0,1&lt;='01_Вводные'!$B$297),0,('19_Расчет_аналитики'!BO4456-'19_Расчет_аналитики'!BO4484)*IF('01_Вводные'!$B$239="Да",MeanMinAge01+'19_Расчет_аналитики'!BO4608*SUMIF(ThresholdAge01,"&lt;"&amp;'19_Расчет_аналитики'!BO4608,WeightedRevAge01)-SUMIF(ThresholdAge01,"&lt;"&amp;'19_Расчет_аналитики'!BO4608,WeightedMinAge01),MAX(CapacityAge01*'01_Вводные'!$B$218*'19_Расчет_аналитики'!BO4608,MeanMinAge01))),0)</f>
        <v/>
      </c>
    </row>
    <row r="4541">
      <c r="B4541">
        <f>IF('01_Вводные'!$B$234="Да",IF(OR(('06_Сеть_и_дети'!B54-'06_Сеть_и_дети'!B82)=0,2&lt;='01_Вводные'!$B$297),0,('06_Сеть_и_дети'!B54-'06_Сеть_и_дети'!B82)*IF('01_Вводные'!$B$239="Да",MeanMinAge02+'19_Расчет_аналитики'!B4608*SUMIF(ThresholdAge02,"&lt;"&amp;'19_Расчет_аналитики'!B4608,WeightedRevAge02)-SUMIF(ThresholdAge02,"&lt;"&amp;'19_Расчет_аналитики'!B4608,WeightedMinAge02),MAX(CapacityAge02*'01_Вводные'!$B$218*'19_Расчет_аналитики'!B4608,MeanMinAge02))),0)</f>
        <v/>
      </c>
      <c r="C4541">
        <f>IF('01_Вводные'!$B$234="Да",IF(OR(('19_Расчет_аналитики'!C4457-'19_Расчет_аналитики'!C4485)=0,2&lt;='01_Вводные'!$B$297),0,('19_Расчет_аналитики'!C4457-'19_Расчет_аналитики'!C4485)*IF('01_Вводные'!$B$239="Да",MeanMinAge02+'19_Расчет_аналитики'!C4608*SUMIF(ThresholdAge02,"&lt;"&amp;'19_Расчет_аналитики'!C4608,WeightedRevAge02)-SUMIF(ThresholdAge02,"&lt;"&amp;'19_Расчет_аналитики'!C4608,WeightedMinAge02),MAX(CapacityAge02*'01_Вводные'!$B$218*'19_Расчет_аналитики'!C4608,MeanMinAge02))),0)</f>
        <v/>
      </c>
      <c r="D4541">
        <f>IF('01_Вводные'!$B$234="Да",IF(OR(('19_Расчет_аналитики'!D4457-'19_Расчет_аналитики'!D4485)=0,2&lt;='01_Вводные'!$B$297),0,('19_Расчет_аналитики'!D4457-'19_Расчет_аналитики'!D4485)*IF('01_Вводные'!$B$239="Да",MeanMinAge02+'19_Расчет_аналитики'!D4608*SUMIF(ThresholdAge02,"&lt;"&amp;'19_Расчет_аналитики'!D4608,WeightedRevAge02)-SUMIF(ThresholdAge02,"&lt;"&amp;'19_Расчет_аналитики'!D4608,WeightedMinAge02),MAX(CapacityAge02*'01_Вводные'!$B$218*'19_Расчет_аналитики'!D4608,MeanMinAge02))),0)</f>
        <v/>
      </c>
      <c r="E4541">
        <f>IF('01_Вводные'!$B$234="Да",IF(OR(('19_Расчет_аналитики'!E4457-'19_Расчет_аналитики'!E4485)=0,2&lt;='01_Вводные'!$B$297),0,('19_Расчет_аналитики'!E4457-'19_Расчет_аналитики'!E4485)*IF('01_Вводные'!$B$239="Да",MeanMinAge02+'19_Расчет_аналитики'!E4608*SUMIF(ThresholdAge02,"&lt;"&amp;'19_Расчет_аналитики'!E4608,WeightedRevAge02)-SUMIF(ThresholdAge02,"&lt;"&amp;'19_Расчет_аналитики'!E4608,WeightedMinAge02),MAX(CapacityAge02*'01_Вводные'!$B$218*'19_Расчет_аналитики'!E4608,MeanMinAge02))),0)</f>
        <v/>
      </c>
      <c r="F4541">
        <f>IF('01_Вводные'!$B$234="Да",IF(OR(('19_Расчет_аналитики'!F4457-'19_Расчет_аналитики'!F4485)=0,2&lt;='01_Вводные'!$B$297),0,('19_Расчет_аналитики'!F4457-'19_Расчет_аналитики'!F4485)*IF('01_Вводные'!$B$239="Да",MeanMinAge02+'19_Расчет_аналитики'!F4608*SUMIF(ThresholdAge02,"&lt;"&amp;'19_Расчет_аналитики'!F4608,WeightedRevAge02)-SUMIF(ThresholdAge02,"&lt;"&amp;'19_Расчет_аналитики'!F4608,WeightedMinAge02),MAX(CapacityAge02*'01_Вводные'!$B$218*'19_Расчет_аналитики'!F4608,MeanMinAge02))),0)</f>
        <v/>
      </c>
      <c r="G4541">
        <f>IF('01_Вводные'!$B$234="Да",IF(OR(('19_Расчет_аналитики'!G4457-'19_Расчет_аналитики'!G4485)=0,2&lt;='01_Вводные'!$B$297),0,('19_Расчет_аналитики'!G4457-'19_Расчет_аналитики'!G4485)*IF('01_Вводные'!$B$239="Да",MeanMinAge02+'19_Расчет_аналитики'!G4608*SUMIF(ThresholdAge02,"&lt;"&amp;'19_Расчет_аналитики'!G4608,WeightedRevAge02)-SUMIF(ThresholdAge02,"&lt;"&amp;'19_Расчет_аналитики'!G4608,WeightedMinAge02),MAX(CapacityAge02*'01_Вводные'!$B$218*'19_Расчет_аналитики'!G4608,MeanMinAge02))),0)</f>
        <v/>
      </c>
      <c r="H4541">
        <f>IF('01_Вводные'!$B$234="Да",IF(OR(('19_Расчет_аналитики'!H4457-'19_Расчет_аналитики'!H4485)=0,2&lt;='01_Вводные'!$B$297),0,('19_Расчет_аналитики'!H4457-'19_Расчет_аналитики'!H4485)*IF('01_Вводные'!$B$239="Да",MeanMinAge02+'19_Расчет_аналитики'!H4608*SUMIF(ThresholdAge02,"&lt;"&amp;'19_Расчет_аналитики'!H4608,WeightedRevAge02)-SUMIF(ThresholdAge02,"&lt;"&amp;'19_Расчет_аналитики'!H4608,WeightedMinAge02),MAX(CapacityAge02*'01_Вводные'!$B$218*'19_Расчет_аналитики'!H4608,MeanMinAge02))),0)</f>
        <v/>
      </c>
      <c r="I4541">
        <f>IF('01_Вводные'!$B$234="Да",IF(OR(('19_Расчет_аналитики'!I4457-'19_Расчет_аналитики'!I4485)=0,2&lt;='01_Вводные'!$B$297),0,('19_Расчет_аналитики'!I4457-'19_Расчет_аналитики'!I4485)*IF('01_Вводные'!$B$239="Да",MeanMinAge02+'19_Расчет_аналитики'!I4608*SUMIF(ThresholdAge02,"&lt;"&amp;'19_Расчет_аналитики'!I4608,WeightedRevAge02)-SUMIF(ThresholdAge02,"&lt;"&amp;'19_Расчет_аналитики'!I4608,WeightedMinAge02),MAX(CapacityAge02*'01_Вводные'!$B$218*'19_Расчет_аналитики'!I4608,MeanMinAge02))),0)</f>
        <v/>
      </c>
      <c r="J4541">
        <f>IF('01_Вводные'!$B$234="Да",IF(OR(('19_Расчет_аналитики'!J4457-'19_Расчет_аналитики'!J4485)=0,2&lt;='01_Вводные'!$B$297),0,('19_Расчет_аналитики'!J4457-'19_Расчет_аналитики'!J4485)*IF('01_Вводные'!$B$239="Да",MeanMinAge02+'19_Расчет_аналитики'!J4608*SUMIF(ThresholdAge02,"&lt;"&amp;'19_Расчет_аналитики'!J4608,WeightedRevAge02)-SUMIF(ThresholdAge02,"&lt;"&amp;'19_Расчет_аналитики'!J4608,WeightedMinAge02),MAX(CapacityAge02*'01_Вводные'!$B$218*'19_Расчет_аналитики'!J4608,MeanMinAge02))),0)</f>
        <v/>
      </c>
      <c r="K4541">
        <f>IF('01_Вводные'!$B$234="Да",IF(OR(('19_Расчет_аналитики'!K4457-'19_Расчет_аналитики'!K4485)=0,2&lt;='01_Вводные'!$B$297),0,('19_Расчет_аналитики'!K4457-'19_Расчет_аналитики'!K4485)*IF('01_Вводные'!$B$239="Да",MeanMinAge02+'19_Расчет_аналитики'!K4608*SUMIF(ThresholdAge02,"&lt;"&amp;'19_Расчет_аналитики'!K4608,WeightedRevAge02)-SUMIF(ThresholdAge02,"&lt;"&amp;'19_Расчет_аналитики'!K4608,WeightedMinAge02),MAX(CapacityAge02*'01_Вводные'!$B$218*'19_Расчет_аналитики'!K4608,MeanMinAge02))),0)</f>
        <v/>
      </c>
      <c r="L4541">
        <f>IF('01_Вводные'!$B$234="Да",IF(OR(('19_Расчет_аналитики'!L4457-'19_Расчет_аналитики'!L4485)=0,2&lt;='01_Вводные'!$B$297),0,('19_Расчет_аналитики'!L4457-'19_Расчет_аналитики'!L4485)*IF('01_Вводные'!$B$239="Да",MeanMinAge02+'19_Расчет_аналитики'!L4608*SUMIF(ThresholdAge02,"&lt;"&amp;'19_Расчет_аналитики'!L4608,WeightedRevAge02)-SUMIF(ThresholdAge02,"&lt;"&amp;'19_Расчет_аналитики'!L4608,WeightedMinAge02),MAX(CapacityAge02*'01_Вводные'!$B$218*'19_Расчет_аналитики'!L4608,MeanMinAge02))),0)</f>
        <v/>
      </c>
      <c r="M4541">
        <f>IF('01_Вводные'!$B$234="Да",IF(OR(('19_Расчет_аналитики'!M4457-'19_Расчет_аналитики'!M4485)=0,2&lt;='01_Вводные'!$B$297),0,('19_Расчет_аналитики'!M4457-'19_Расчет_аналитики'!M4485)*IF('01_Вводные'!$B$239="Да",MeanMinAge02+'19_Расчет_аналитики'!M4608*SUMIF(ThresholdAge02,"&lt;"&amp;'19_Расчет_аналитики'!M4608,WeightedRevAge02)-SUMIF(ThresholdAge02,"&lt;"&amp;'19_Расчет_аналитики'!M4608,WeightedMinAge02),MAX(CapacityAge02*'01_Вводные'!$B$218*'19_Расчет_аналитики'!M4608,MeanMinAge02))),0)</f>
        <v/>
      </c>
      <c r="N4541">
        <f>IF('01_Вводные'!$B$234="Да",IF(OR(('19_Расчет_аналитики'!N4457-'19_Расчет_аналитики'!N4485)=0,2&lt;='01_Вводные'!$B$297),0,('19_Расчет_аналитики'!N4457-'19_Расчет_аналитики'!N4485)*IF('01_Вводные'!$B$239="Да",MeanMinAge02+'19_Расчет_аналитики'!N4608*SUMIF(ThresholdAge02,"&lt;"&amp;'19_Расчет_аналитики'!N4608,WeightedRevAge02)-SUMIF(ThresholdAge02,"&lt;"&amp;'19_Расчет_аналитики'!N4608,WeightedMinAge02),MAX(CapacityAge02*'01_Вводные'!$B$218*'19_Расчет_аналитики'!N4608,MeanMinAge02))),0)</f>
        <v/>
      </c>
      <c r="O4541">
        <f>IF('01_Вводные'!$B$234="Да",IF(OR(('19_Расчет_аналитики'!O4457-'19_Расчет_аналитики'!O4485)=0,2&lt;='01_Вводные'!$B$297),0,('19_Расчет_аналитики'!O4457-'19_Расчет_аналитики'!O4485)*IF('01_Вводные'!$B$239="Да",MeanMinAge02+'19_Расчет_аналитики'!O4608*SUMIF(ThresholdAge02,"&lt;"&amp;'19_Расчет_аналитики'!O4608,WeightedRevAge02)-SUMIF(ThresholdAge02,"&lt;"&amp;'19_Расчет_аналитики'!O4608,WeightedMinAge02),MAX(CapacityAge02*'01_Вводные'!$B$218*'19_Расчет_аналитики'!O4608,MeanMinAge02))),0)</f>
        <v/>
      </c>
      <c r="P4541">
        <f>IF('01_Вводные'!$B$234="Да",IF(OR(('19_Расчет_аналитики'!P4457-'19_Расчет_аналитики'!P4485)=0,2&lt;='01_Вводные'!$B$297),0,('19_Расчет_аналитики'!P4457-'19_Расчет_аналитики'!P4485)*IF('01_Вводные'!$B$239="Да",MeanMinAge02+'19_Расчет_аналитики'!P4608*SUMIF(ThresholdAge02,"&lt;"&amp;'19_Расчет_аналитики'!P4608,WeightedRevAge02)-SUMIF(ThresholdAge02,"&lt;"&amp;'19_Расчет_аналитики'!P4608,WeightedMinAge02),MAX(CapacityAge02*'01_Вводные'!$B$218*'19_Расчет_аналитики'!P4608,MeanMinAge02))),0)</f>
        <v/>
      </c>
      <c r="Q4541">
        <f>IF('01_Вводные'!$B$234="Да",IF(OR(('19_Расчет_аналитики'!Q4457-'19_Расчет_аналитики'!Q4485)=0,2&lt;='01_Вводные'!$B$297),0,('19_Расчет_аналитики'!Q4457-'19_Расчет_аналитики'!Q4485)*IF('01_Вводные'!$B$239="Да",MeanMinAge02+'19_Расчет_аналитики'!Q4608*SUMIF(ThresholdAge02,"&lt;"&amp;'19_Расчет_аналитики'!Q4608,WeightedRevAge02)-SUMIF(ThresholdAge02,"&lt;"&amp;'19_Расчет_аналитики'!Q4608,WeightedMinAge02),MAX(CapacityAge02*'01_Вводные'!$B$218*'19_Расчет_аналитики'!Q4608,MeanMinAge02))),0)</f>
        <v/>
      </c>
      <c r="R4541">
        <f>IF('01_Вводные'!$B$234="Да",IF(OR(('19_Расчет_аналитики'!R4457-'19_Расчет_аналитики'!R4485)=0,2&lt;='01_Вводные'!$B$297),0,('19_Расчет_аналитики'!R4457-'19_Расчет_аналитики'!R4485)*IF('01_Вводные'!$B$239="Да",MeanMinAge02+'19_Расчет_аналитики'!R4608*SUMIF(ThresholdAge02,"&lt;"&amp;'19_Расчет_аналитики'!R4608,WeightedRevAge02)-SUMIF(ThresholdAge02,"&lt;"&amp;'19_Расчет_аналитики'!R4608,WeightedMinAge02),MAX(CapacityAge02*'01_Вводные'!$B$218*'19_Расчет_аналитики'!R4608,MeanMinAge02))),0)</f>
        <v/>
      </c>
      <c r="S4541">
        <f>IF('01_Вводные'!$B$234="Да",IF(OR(('19_Расчет_аналитики'!S4457-'19_Расчет_аналитики'!S4485)=0,2&lt;='01_Вводные'!$B$297),0,('19_Расчет_аналитики'!S4457-'19_Расчет_аналитики'!S4485)*IF('01_Вводные'!$B$239="Да",MeanMinAge02+'19_Расчет_аналитики'!S4608*SUMIF(ThresholdAge02,"&lt;"&amp;'19_Расчет_аналитики'!S4608,WeightedRevAge02)-SUMIF(ThresholdAge02,"&lt;"&amp;'19_Расчет_аналитики'!S4608,WeightedMinAge02),MAX(CapacityAge02*'01_Вводные'!$B$218*'19_Расчет_аналитики'!S4608,MeanMinAge02))),0)</f>
        <v/>
      </c>
      <c r="T4541">
        <f>IF('01_Вводные'!$B$234="Да",IF(OR(('19_Расчет_аналитики'!T4457-'19_Расчет_аналитики'!T4485)=0,2&lt;='01_Вводные'!$B$297),0,('19_Расчет_аналитики'!T4457-'19_Расчет_аналитики'!T4485)*IF('01_Вводные'!$B$239="Да",MeanMinAge02+'19_Расчет_аналитики'!T4608*SUMIF(ThresholdAge02,"&lt;"&amp;'19_Расчет_аналитики'!T4608,WeightedRevAge02)-SUMIF(ThresholdAge02,"&lt;"&amp;'19_Расчет_аналитики'!T4608,WeightedMinAge02),MAX(CapacityAge02*'01_Вводные'!$B$218*'19_Расчет_аналитики'!T4608,MeanMinAge02))),0)</f>
        <v/>
      </c>
      <c r="U4541">
        <f>IF('01_Вводные'!$B$234="Да",IF(OR(('19_Расчет_аналитики'!U4457-'19_Расчет_аналитики'!U4485)=0,2&lt;='01_Вводные'!$B$297),0,('19_Расчет_аналитики'!U4457-'19_Расчет_аналитики'!U4485)*IF('01_Вводные'!$B$239="Да",MeanMinAge02+'19_Расчет_аналитики'!U4608*SUMIF(ThresholdAge02,"&lt;"&amp;'19_Расчет_аналитики'!U4608,WeightedRevAge02)-SUMIF(ThresholdAge02,"&lt;"&amp;'19_Расчет_аналитики'!U4608,WeightedMinAge02),MAX(CapacityAge02*'01_Вводные'!$B$218*'19_Расчет_аналитики'!U4608,MeanMinAge02))),0)</f>
        <v/>
      </c>
      <c r="V4541">
        <f>IF('01_Вводные'!$B$234="Да",IF(OR(('19_Расчет_аналитики'!V4457-'19_Расчет_аналитики'!V4485)=0,2&lt;='01_Вводные'!$B$297),0,('19_Расчет_аналитики'!V4457-'19_Расчет_аналитики'!V4485)*IF('01_Вводные'!$B$239="Да",MeanMinAge02+'19_Расчет_аналитики'!V4608*SUMIF(ThresholdAge02,"&lt;"&amp;'19_Расчет_аналитики'!V4608,WeightedRevAge02)-SUMIF(ThresholdAge02,"&lt;"&amp;'19_Расчет_аналитики'!V4608,WeightedMinAge02),MAX(CapacityAge02*'01_Вводные'!$B$218*'19_Расчет_аналитики'!V4608,MeanMinAge02))),0)</f>
        <v/>
      </c>
      <c r="W4541">
        <f>IF('01_Вводные'!$B$234="Да",IF(OR(('19_Расчет_аналитики'!W4457-'19_Расчет_аналитики'!W4485)=0,2&lt;='01_Вводные'!$B$297),0,('19_Расчет_аналитики'!W4457-'19_Расчет_аналитики'!W4485)*IF('01_Вводные'!$B$239="Да",MeanMinAge02+'19_Расчет_аналитики'!W4608*SUMIF(ThresholdAge02,"&lt;"&amp;'19_Расчет_аналитики'!W4608,WeightedRevAge02)-SUMIF(ThresholdAge02,"&lt;"&amp;'19_Расчет_аналитики'!W4608,WeightedMinAge02),MAX(CapacityAge02*'01_Вводные'!$B$218*'19_Расчет_аналитики'!W4608,MeanMinAge02))),0)</f>
        <v/>
      </c>
      <c r="X4541">
        <f>IF('01_Вводные'!$B$234="Да",IF(OR(('19_Расчет_аналитики'!X4457-'19_Расчет_аналитики'!X4485)=0,2&lt;='01_Вводные'!$B$297),0,('19_Расчет_аналитики'!X4457-'19_Расчет_аналитики'!X4485)*IF('01_Вводные'!$B$239="Да",MeanMinAge02+'19_Расчет_аналитики'!X4608*SUMIF(ThresholdAge02,"&lt;"&amp;'19_Расчет_аналитики'!X4608,WeightedRevAge02)-SUMIF(ThresholdAge02,"&lt;"&amp;'19_Расчет_аналитики'!X4608,WeightedMinAge02),MAX(CapacityAge02*'01_Вводные'!$B$218*'19_Расчет_аналитики'!X4608,MeanMinAge02))),0)</f>
        <v/>
      </c>
      <c r="Y4541">
        <f>IF('01_Вводные'!$B$234="Да",IF(OR(('19_Расчет_аналитики'!Y4457-'19_Расчет_аналитики'!Y4485)=0,2&lt;='01_Вводные'!$B$297),0,('19_Расчет_аналитики'!Y4457-'19_Расчет_аналитики'!Y4485)*IF('01_Вводные'!$B$239="Да",MeanMinAge02+'19_Расчет_аналитики'!Y4608*SUMIF(ThresholdAge02,"&lt;"&amp;'19_Расчет_аналитики'!Y4608,WeightedRevAge02)-SUMIF(ThresholdAge02,"&lt;"&amp;'19_Расчет_аналитики'!Y4608,WeightedMinAge02),MAX(CapacityAge02*'01_Вводные'!$B$218*'19_Расчет_аналитики'!Y4608,MeanMinAge02))),0)</f>
        <v/>
      </c>
      <c r="Z4541">
        <f>IF('01_Вводные'!$B$234="Да",IF(OR(('19_Расчет_аналитики'!Z4457-'19_Расчет_аналитики'!Z4485)=0,2&lt;='01_Вводные'!$B$297),0,('19_Расчет_аналитики'!Z4457-'19_Расчет_аналитики'!Z4485)*IF('01_Вводные'!$B$239="Да",MeanMinAge02+'19_Расчет_аналитики'!Z4608*SUMIF(ThresholdAge02,"&lt;"&amp;'19_Расчет_аналитики'!Z4608,WeightedRevAge02)-SUMIF(ThresholdAge02,"&lt;"&amp;'19_Расчет_аналитики'!Z4608,WeightedMinAge02),MAX(CapacityAge02*'01_Вводные'!$B$218*'19_Расчет_аналитики'!Z4608,MeanMinAge02))),0)</f>
        <v/>
      </c>
      <c r="AA4541">
        <f>IF('01_Вводные'!$B$234="Да",IF(OR(('19_Расчет_аналитики'!AA4457-'19_Расчет_аналитики'!AA4485)=0,2&lt;='01_Вводные'!$B$297),0,('19_Расчет_аналитики'!AA4457-'19_Расчет_аналитики'!AA4485)*IF('01_Вводные'!$B$239="Да",MeanMinAge02+'19_Расчет_аналитики'!AA4608*SUMIF(ThresholdAge02,"&lt;"&amp;'19_Расчет_аналитики'!AA4608,WeightedRevAge02)-SUMIF(ThresholdAge02,"&lt;"&amp;'19_Расчет_аналитики'!AA4608,WeightedMinAge02),MAX(CapacityAge02*'01_Вводные'!$B$218*'19_Расчет_аналитики'!AA4608,MeanMinAge02))),0)</f>
        <v/>
      </c>
      <c r="AB4541">
        <f>IF('01_Вводные'!$B$234="Да",IF(OR(('19_Расчет_аналитики'!AB4457-'19_Расчет_аналитики'!AB4485)=0,2&lt;='01_Вводные'!$B$297),0,('19_Расчет_аналитики'!AB4457-'19_Расчет_аналитики'!AB4485)*IF('01_Вводные'!$B$239="Да",MeanMinAge02+'19_Расчет_аналитики'!AB4608*SUMIF(ThresholdAge02,"&lt;"&amp;'19_Расчет_аналитики'!AB4608,WeightedRevAge02)-SUMIF(ThresholdAge02,"&lt;"&amp;'19_Расчет_аналитики'!AB4608,WeightedMinAge02),MAX(CapacityAge02*'01_Вводные'!$B$218*'19_Расчет_аналитики'!AB4608,MeanMinAge02))),0)</f>
        <v/>
      </c>
      <c r="AC4541">
        <f>IF('01_Вводные'!$B$234="Да",IF(OR(('19_Расчет_аналитики'!AC4457-'19_Расчет_аналитики'!AC4485)=0,2&lt;='01_Вводные'!$B$297),0,('19_Расчет_аналитики'!AC4457-'19_Расчет_аналитики'!AC4485)*IF('01_Вводные'!$B$239="Да",MeanMinAge02+'19_Расчет_аналитики'!AC4608*SUMIF(ThresholdAge02,"&lt;"&amp;'19_Расчет_аналитики'!AC4608,WeightedRevAge02)-SUMIF(ThresholdAge02,"&lt;"&amp;'19_Расчет_аналитики'!AC4608,WeightedMinAge02),MAX(CapacityAge02*'01_Вводные'!$B$218*'19_Расчет_аналитики'!AC4608,MeanMinAge02))),0)</f>
        <v/>
      </c>
      <c r="AD4541">
        <f>IF('01_Вводные'!$B$234="Да",IF(OR(('19_Расчет_аналитики'!AD4457-'19_Расчет_аналитики'!AD4485)=0,2&lt;='01_Вводные'!$B$297),0,('19_Расчет_аналитики'!AD4457-'19_Расчет_аналитики'!AD4485)*IF('01_Вводные'!$B$239="Да",MeanMinAge02+'19_Расчет_аналитики'!AD4608*SUMIF(ThresholdAge02,"&lt;"&amp;'19_Расчет_аналитики'!AD4608,WeightedRevAge02)-SUMIF(ThresholdAge02,"&lt;"&amp;'19_Расчет_аналитики'!AD4608,WeightedMinAge02),MAX(CapacityAge02*'01_Вводные'!$B$218*'19_Расчет_аналитики'!AD4608,MeanMinAge02))),0)</f>
        <v/>
      </c>
      <c r="AE4541">
        <f>IF('01_Вводные'!$B$234="Да",IF(OR(('19_Расчет_аналитики'!AE4457-'19_Расчет_аналитики'!AE4485)=0,2&lt;='01_Вводные'!$B$297),0,('19_Расчет_аналитики'!AE4457-'19_Расчет_аналитики'!AE4485)*IF('01_Вводные'!$B$239="Да",MeanMinAge02+'19_Расчет_аналитики'!AE4608*SUMIF(ThresholdAge02,"&lt;"&amp;'19_Расчет_аналитики'!AE4608,WeightedRevAge02)-SUMIF(ThresholdAge02,"&lt;"&amp;'19_Расчет_аналитики'!AE4608,WeightedMinAge02),MAX(CapacityAge02*'01_Вводные'!$B$218*'19_Расчет_аналитики'!AE4608,MeanMinAge02))),0)</f>
        <v/>
      </c>
      <c r="AF4541">
        <f>IF('01_Вводные'!$B$234="Да",IF(OR(('19_Расчет_аналитики'!AF4457-'19_Расчет_аналитики'!AF4485)=0,2&lt;='01_Вводные'!$B$297),0,('19_Расчет_аналитики'!AF4457-'19_Расчет_аналитики'!AF4485)*IF('01_Вводные'!$B$239="Да",MeanMinAge02+'19_Расчет_аналитики'!AF4608*SUMIF(ThresholdAge02,"&lt;"&amp;'19_Расчет_аналитики'!AF4608,WeightedRevAge02)-SUMIF(ThresholdAge02,"&lt;"&amp;'19_Расчет_аналитики'!AF4608,WeightedMinAge02),MAX(CapacityAge02*'01_Вводные'!$B$218*'19_Расчет_аналитики'!AF4608,MeanMinAge02))),0)</f>
        <v/>
      </c>
      <c r="AG4541">
        <f>IF('01_Вводные'!$B$234="Да",IF(OR(('19_Расчет_аналитики'!AG4457-'19_Расчет_аналитики'!AG4485)=0,2&lt;='01_Вводные'!$B$297),0,('19_Расчет_аналитики'!AG4457-'19_Расчет_аналитики'!AG4485)*IF('01_Вводные'!$B$239="Да",MeanMinAge02+'19_Расчет_аналитики'!AG4608*SUMIF(ThresholdAge02,"&lt;"&amp;'19_Расчет_аналитики'!AG4608,WeightedRevAge02)-SUMIF(ThresholdAge02,"&lt;"&amp;'19_Расчет_аналитики'!AG4608,WeightedMinAge02),MAX(CapacityAge02*'01_Вводные'!$B$218*'19_Расчет_аналитики'!AG4608,MeanMinAge02))),0)</f>
        <v/>
      </c>
      <c r="AH4541">
        <f>IF('01_Вводные'!$B$234="Да",IF(OR(('19_Расчет_аналитики'!AH4457-'19_Расчет_аналитики'!AH4485)=0,2&lt;='01_Вводные'!$B$297),0,('19_Расчет_аналитики'!AH4457-'19_Расчет_аналитики'!AH4485)*IF('01_Вводные'!$B$239="Да",MeanMinAge02+'19_Расчет_аналитики'!AH4608*SUMIF(ThresholdAge02,"&lt;"&amp;'19_Расчет_аналитики'!AH4608,WeightedRevAge02)-SUMIF(ThresholdAge02,"&lt;"&amp;'19_Расчет_аналитики'!AH4608,WeightedMinAge02),MAX(CapacityAge02*'01_Вводные'!$B$218*'19_Расчет_аналитики'!AH4608,MeanMinAge02))),0)</f>
        <v/>
      </c>
      <c r="AI4541">
        <f>IF('01_Вводные'!$B$234="Да",IF(OR(('19_Расчет_аналитики'!AI4457-'19_Расчет_аналитики'!AI4485)=0,2&lt;='01_Вводные'!$B$297),0,('19_Расчет_аналитики'!AI4457-'19_Расчет_аналитики'!AI4485)*IF('01_Вводные'!$B$239="Да",MeanMinAge02+'19_Расчет_аналитики'!AI4608*SUMIF(ThresholdAge02,"&lt;"&amp;'19_Расчет_аналитики'!AI4608,WeightedRevAge02)-SUMIF(ThresholdAge02,"&lt;"&amp;'19_Расчет_аналитики'!AI4608,WeightedMinAge02),MAX(CapacityAge02*'01_Вводные'!$B$218*'19_Расчет_аналитики'!AI4608,MeanMinAge02))),0)</f>
        <v/>
      </c>
      <c r="AJ4541">
        <f>IF('01_Вводные'!$B$234="Да",IF(OR(('19_Расчет_аналитики'!AJ4457-'19_Расчет_аналитики'!AJ4485)=0,2&lt;='01_Вводные'!$B$297),0,('19_Расчет_аналитики'!AJ4457-'19_Расчет_аналитики'!AJ4485)*IF('01_Вводные'!$B$239="Да",MeanMinAge02+'19_Расчет_аналитики'!AJ4608*SUMIF(ThresholdAge02,"&lt;"&amp;'19_Расчет_аналитики'!AJ4608,WeightedRevAge02)-SUMIF(ThresholdAge02,"&lt;"&amp;'19_Расчет_аналитики'!AJ4608,WeightedMinAge02),MAX(CapacityAge02*'01_Вводные'!$B$218*'19_Расчет_аналитики'!AJ4608,MeanMinAge02))),0)</f>
        <v/>
      </c>
      <c r="AK4541">
        <f>IF('01_Вводные'!$B$234="Да",IF(OR(('19_Расчет_аналитики'!AK4457-'19_Расчет_аналитики'!AK4485)=0,2&lt;='01_Вводные'!$B$297),0,('19_Расчет_аналитики'!AK4457-'19_Расчет_аналитики'!AK4485)*IF('01_Вводные'!$B$239="Да",MeanMinAge02+'19_Расчет_аналитики'!AK4608*SUMIF(ThresholdAge02,"&lt;"&amp;'19_Расчет_аналитики'!AK4608,WeightedRevAge02)-SUMIF(ThresholdAge02,"&lt;"&amp;'19_Расчет_аналитики'!AK4608,WeightedMinAge02),MAX(CapacityAge02*'01_Вводные'!$B$218*'19_Расчет_аналитики'!AK4608,MeanMinAge02))),0)</f>
        <v/>
      </c>
      <c r="AL4541">
        <f>IF('01_Вводные'!$B$234="Да",IF(OR(('19_Расчет_аналитики'!AL4457-'19_Расчет_аналитики'!AL4485)=0,2&lt;='01_Вводные'!$B$297),0,('19_Расчет_аналитики'!AL4457-'19_Расчет_аналитики'!AL4485)*IF('01_Вводные'!$B$239="Да",MeanMinAge02+'19_Расчет_аналитики'!AL4608*SUMIF(ThresholdAge02,"&lt;"&amp;'19_Расчет_аналитики'!AL4608,WeightedRevAge02)-SUMIF(ThresholdAge02,"&lt;"&amp;'19_Расчет_аналитики'!AL4608,WeightedMinAge02),MAX(CapacityAge02*'01_Вводные'!$B$218*'19_Расчет_аналитики'!AL4608,MeanMinAge02))),0)</f>
        <v/>
      </c>
      <c r="AM4541">
        <f>IF('01_Вводные'!$B$234="Да",IF(OR(('19_Расчет_аналитики'!AM4457-'19_Расчет_аналитики'!AM4485)=0,2&lt;='01_Вводные'!$B$297),0,('19_Расчет_аналитики'!AM4457-'19_Расчет_аналитики'!AM4485)*IF('01_Вводные'!$B$239="Да",MeanMinAge02+'19_Расчет_аналитики'!AM4608*SUMIF(ThresholdAge02,"&lt;"&amp;'19_Расчет_аналитики'!AM4608,WeightedRevAge02)-SUMIF(ThresholdAge02,"&lt;"&amp;'19_Расчет_аналитики'!AM4608,WeightedMinAge02),MAX(CapacityAge02*'01_Вводные'!$B$218*'19_Расчет_аналитики'!AM4608,MeanMinAge02))),0)</f>
        <v/>
      </c>
      <c r="AN4541">
        <f>IF('01_Вводные'!$B$234="Да",IF(OR(('19_Расчет_аналитики'!AN4457-'19_Расчет_аналитики'!AN4485)=0,2&lt;='01_Вводные'!$B$297),0,('19_Расчет_аналитики'!AN4457-'19_Расчет_аналитики'!AN4485)*IF('01_Вводные'!$B$239="Да",MeanMinAge02+'19_Расчет_аналитики'!AN4608*SUMIF(ThresholdAge02,"&lt;"&amp;'19_Расчет_аналитики'!AN4608,WeightedRevAge02)-SUMIF(ThresholdAge02,"&lt;"&amp;'19_Расчет_аналитики'!AN4608,WeightedMinAge02),MAX(CapacityAge02*'01_Вводные'!$B$218*'19_Расчет_аналитики'!AN4608,MeanMinAge02))),0)</f>
        <v/>
      </c>
      <c r="AO4541">
        <f>IF('01_Вводные'!$B$234="Да",IF(OR(('19_Расчет_аналитики'!AO4457-'19_Расчет_аналитики'!AO4485)=0,2&lt;='01_Вводные'!$B$297),0,('19_Расчет_аналитики'!AO4457-'19_Расчет_аналитики'!AO4485)*IF('01_Вводные'!$B$239="Да",MeanMinAge02+'19_Расчет_аналитики'!AO4608*SUMIF(ThresholdAge02,"&lt;"&amp;'19_Расчет_аналитики'!AO4608,WeightedRevAge02)-SUMIF(ThresholdAge02,"&lt;"&amp;'19_Расчет_аналитики'!AO4608,WeightedMinAge02),MAX(CapacityAge02*'01_Вводные'!$B$218*'19_Расчет_аналитики'!AO4608,MeanMinAge02))),0)</f>
        <v/>
      </c>
      <c r="AP4541">
        <f>IF('01_Вводные'!$B$234="Да",IF(OR(('19_Расчет_аналитики'!AP4457-'19_Расчет_аналитики'!AP4485)=0,2&lt;='01_Вводные'!$B$297),0,('19_Расчет_аналитики'!AP4457-'19_Расчет_аналитики'!AP4485)*IF('01_Вводные'!$B$239="Да",MeanMinAge02+'19_Расчет_аналитики'!AP4608*SUMIF(ThresholdAge02,"&lt;"&amp;'19_Расчет_аналитики'!AP4608,WeightedRevAge02)-SUMIF(ThresholdAge02,"&lt;"&amp;'19_Расчет_аналитики'!AP4608,WeightedMinAge02),MAX(CapacityAge02*'01_Вводные'!$B$218*'19_Расчет_аналитики'!AP4608,MeanMinAge02))),0)</f>
        <v/>
      </c>
      <c r="AQ4541">
        <f>IF('01_Вводные'!$B$234="Да",IF(OR(('19_Расчет_аналитики'!AQ4457-'19_Расчет_аналитики'!AQ4485)=0,2&lt;='01_Вводные'!$B$297),0,('19_Расчет_аналитики'!AQ4457-'19_Расчет_аналитики'!AQ4485)*IF('01_Вводные'!$B$239="Да",MeanMinAge02+'19_Расчет_аналитики'!AQ4608*SUMIF(ThresholdAge02,"&lt;"&amp;'19_Расчет_аналитики'!AQ4608,WeightedRevAge02)-SUMIF(ThresholdAge02,"&lt;"&amp;'19_Расчет_аналитики'!AQ4608,WeightedMinAge02),MAX(CapacityAge02*'01_Вводные'!$B$218*'19_Расчет_аналитики'!AQ4608,MeanMinAge02))),0)</f>
        <v/>
      </c>
      <c r="AR4541">
        <f>IF('01_Вводные'!$B$234="Да",IF(OR(('19_Расчет_аналитики'!AR4457-'19_Расчет_аналитики'!AR4485)=0,2&lt;='01_Вводные'!$B$297),0,('19_Расчет_аналитики'!AR4457-'19_Расчет_аналитики'!AR4485)*IF('01_Вводные'!$B$239="Да",MeanMinAge02+'19_Расчет_аналитики'!AR4608*SUMIF(ThresholdAge02,"&lt;"&amp;'19_Расчет_аналитики'!AR4608,WeightedRevAge02)-SUMIF(ThresholdAge02,"&lt;"&amp;'19_Расчет_аналитики'!AR4608,WeightedMinAge02),MAX(CapacityAge02*'01_Вводные'!$B$218*'19_Расчет_аналитики'!AR4608,MeanMinAge02))),0)</f>
        <v/>
      </c>
      <c r="AS4541">
        <f>IF('01_Вводные'!$B$234="Да",IF(OR(('19_Расчет_аналитики'!AS4457-'19_Расчет_аналитики'!AS4485)=0,2&lt;='01_Вводные'!$B$297),0,('19_Расчет_аналитики'!AS4457-'19_Расчет_аналитики'!AS4485)*IF('01_Вводные'!$B$239="Да",MeanMinAge02+'19_Расчет_аналитики'!AS4608*SUMIF(ThresholdAge02,"&lt;"&amp;'19_Расчет_аналитики'!AS4608,WeightedRevAge02)-SUMIF(ThresholdAge02,"&lt;"&amp;'19_Расчет_аналитики'!AS4608,WeightedMinAge02),MAX(CapacityAge02*'01_Вводные'!$B$218*'19_Расчет_аналитики'!AS4608,MeanMinAge02))),0)</f>
        <v/>
      </c>
      <c r="AT4541">
        <f>IF('01_Вводные'!$B$234="Да",IF(OR(('19_Расчет_аналитики'!AT4457-'19_Расчет_аналитики'!AT4485)=0,2&lt;='01_Вводные'!$B$297),0,('19_Расчет_аналитики'!AT4457-'19_Расчет_аналитики'!AT4485)*IF('01_Вводные'!$B$239="Да",MeanMinAge02+'19_Расчет_аналитики'!AT4608*SUMIF(ThresholdAge02,"&lt;"&amp;'19_Расчет_аналитики'!AT4608,WeightedRevAge02)-SUMIF(ThresholdAge02,"&lt;"&amp;'19_Расчет_аналитики'!AT4608,WeightedMinAge02),MAX(CapacityAge02*'01_Вводные'!$B$218*'19_Расчет_аналитики'!AT4608,MeanMinAge02))),0)</f>
        <v/>
      </c>
      <c r="AU4541">
        <f>IF('01_Вводные'!$B$234="Да",IF(OR(('19_Расчет_аналитики'!AU4457-'19_Расчет_аналитики'!AU4485)=0,2&lt;='01_Вводные'!$B$297),0,('19_Расчет_аналитики'!AU4457-'19_Расчет_аналитики'!AU4485)*IF('01_Вводные'!$B$239="Да",MeanMinAge02+'19_Расчет_аналитики'!AU4608*SUMIF(ThresholdAge02,"&lt;"&amp;'19_Расчет_аналитики'!AU4608,WeightedRevAge02)-SUMIF(ThresholdAge02,"&lt;"&amp;'19_Расчет_аналитики'!AU4608,WeightedMinAge02),MAX(CapacityAge02*'01_Вводные'!$B$218*'19_Расчет_аналитики'!AU4608,MeanMinAge02))),0)</f>
        <v/>
      </c>
      <c r="AV4541">
        <f>IF('01_Вводные'!$B$234="Да",IF(OR(('19_Расчет_аналитики'!AV4457-'19_Расчет_аналитики'!AV4485)=0,2&lt;='01_Вводные'!$B$297),0,('19_Расчет_аналитики'!AV4457-'19_Расчет_аналитики'!AV4485)*IF('01_Вводные'!$B$239="Да",MeanMinAge02+'19_Расчет_аналитики'!AV4608*SUMIF(ThresholdAge02,"&lt;"&amp;'19_Расчет_аналитики'!AV4608,WeightedRevAge02)-SUMIF(ThresholdAge02,"&lt;"&amp;'19_Расчет_аналитики'!AV4608,WeightedMinAge02),MAX(CapacityAge02*'01_Вводные'!$B$218*'19_Расчет_аналитики'!AV4608,MeanMinAge02))),0)</f>
        <v/>
      </c>
      <c r="AW4541">
        <f>IF('01_Вводные'!$B$234="Да",IF(OR(('19_Расчет_аналитики'!AW4457-'19_Расчет_аналитики'!AW4485)=0,2&lt;='01_Вводные'!$B$297),0,('19_Расчет_аналитики'!AW4457-'19_Расчет_аналитики'!AW4485)*IF('01_Вводные'!$B$239="Да",MeanMinAge02+'19_Расчет_аналитики'!AW4608*SUMIF(ThresholdAge02,"&lt;"&amp;'19_Расчет_аналитики'!AW4608,WeightedRevAge02)-SUMIF(ThresholdAge02,"&lt;"&amp;'19_Расчет_аналитики'!AW4608,WeightedMinAge02),MAX(CapacityAge02*'01_Вводные'!$B$218*'19_Расчет_аналитики'!AW4608,MeanMinAge02))),0)</f>
        <v/>
      </c>
      <c r="AX4541">
        <f>IF('01_Вводные'!$B$234="Да",IF(OR(('19_Расчет_аналитики'!AX4457-'19_Расчет_аналитики'!AX4485)=0,2&lt;='01_Вводные'!$B$297),0,('19_Расчет_аналитики'!AX4457-'19_Расчет_аналитики'!AX4485)*IF('01_Вводные'!$B$239="Да",MeanMinAge02+'19_Расчет_аналитики'!AX4608*SUMIF(ThresholdAge02,"&lt;"&amp;'19_Расчет_аналитики'!AX4608,WeightedRevAge02)-SUMIF(ThresholdAge02,"&lt;"&amp;'19_Расчет_аналитики'!AX4608,WeightedMinAge02),MAX(CapacityAge02*'01_Вводные'!$B$218*'19_Расчет_аналитики'!AX4608,MeanMinAge02))),0)</f>
        <v/>
      </c>
      <c r="AY4541">
        <f>IF('01_Вводные'!$B$234="Да",IF(OR(('19_Расчет_аналитики'!AY4457-'19_Расчет_аналитики'!AY4485)=0,2&lt;='01_Вводные'!$B$297),0,('19_Расчет_аналитики'!AY4457-'19_Расчет_аналитики'!AY4485)*IF('01_Вводные'!$B$239="Да",MeanMinAge02+'19_Расчет_аналитики'!AY4608*SUMIF(ThresholdAge02,"&lt;"&amp;'19_Расчет_аналитики'!AY4608,WeightedRevAge02)-SUMIF(ThresholdAge02,"&lt;"&amp;'19_Расчет_аналитики'!AY4608,WeightedMinAge02),MAX(CapacityAge02*'01_Вводные'!$B$218*'19_Расчет_аналитики'!AY4608,MeanMinAge02))),0)</f>
        <v/>
      </c>
      <c r="AZ4541">
        <f>IF('01_Вводные'!$B$234="Да",IF(OR(('19_Расчет_аналитики'!AZ4457-'19_Расчет_аналитики'!AZ4485)=0,2&lt;='01_Вводные'!$B$297),0,('19_Расчет_аналитики'!AZ4457-'19_Расчет_аналитики'!AZ4485)*IF('01_Вводные'!$B$239="Да",MeanMinAge02+'19_Расчет_аналитики'!AZ4608*SUMIF(ThresholdAge02,"&lt;"&amp;'19_Расчет_аналитики'!AZ4608,WeightedRevAge02)-SUMIF(ThresholdAge02,"&lt;"&amp;'19_Расчет_аналитики'!AZ4608,WeightedMinAge02),MAX(CapacityAge02*'01_Вводные'!$B$218*'19_Расчет_аналитики'!AZ4608,MeanMinAge02))),0)</f>
        <v/>
      </c>
      <c r="BA4541">
        <f>IF('01_Вводные'!$B$234="Да",IF(OR(('19_Расчет_аналитики'!BA4457-'19_Расчет_аналитики'!BA4485)=0,2&lt;='01_Вводные'!$B$297),0,('19_Расчет_аналитики'!BA4457-'19_Расчет_аналитики'!BA4485)*IF('01_Вводные'!$B$239="Да",MeanMinAge02+'19_Расчет_аналитики'!BA4608*SUMIF(ThresholdAge02,"&lt;"&amp;'19_Расчет_аналитики'!BA4608,WeightedRevAge02)-SUMIF(ThresholdAge02,"&lt;"&amp;'19_Расчет_аналитики'!BA4608,WeightedMinAge02),MAX(CapacityAge02*'01_Вводные'!$B$218*'19_Расчет_аналитики'!BA4608,MeanMinAge02))),0)</f>
        <v/>
      </c>
      <c r="BB4541">
        <f>IF('01_Вводные'!$B$234="Да",IF(OR(('19_Расчет_аналитики'!BB4457-'19_Расчет_аналитики'!BB4485)=0,2&lt;='01_Вводные'!$B$297),0,('19_Расчет_аналитики'!BB4457-'19_Расчет_аналитики'!BB4485)*IF('01_Вводные'!$B$239="Да",MeanMinAge02+'19_Расчет_аналитики'!BB4608*SUMIF(ThresholdAge02,"&lt;"&amp;'19_Расчет_аналитики'!BB4608,WeightedRevAge02)-SUMIF(ThresholdAge02,"&lt;"&amp;'19_Расчет_аналитики'!BB4608,WeightedMinAge02),MAX(CapacityAge02*'01_Вводные'!$B$218*'19_Расчет_аналитики'!BB4608,MeanMinAge02))),0)</f>
        <v/>
      </c>
      <c r="BC4541">
        <f>IF('01_Вводные'!$B$234="Да",IF(OR(('19_Расчет_аналитики'!BC4457-'19_Расчет_аналитики'!BC4485)=0,2&lt;='01_Вводные'!$B$297),0,('19_Расчет_аналитики'!BC4457-'19_Расчет_аналитики'!BC4485)*IF('01_Вводные'!$B$239="Да",MeanMinAge02+'19_Расчет_аналитики'!BC4608*SUMIF(ThresholdAge02,"&lt;"&amp;'19_Расчет_аналитики'!BC4608,WeightedRevAge02)-SUMIF(ThresholdAge02,"&lt;"&amp;'19_Расчет_аналитики'!BC4608,WeightedMinAge02),MAX(CapacityAge02*'01_Вводные'!$B$218*'19_Расчет_аналитики'!BC4608,MeanMinAge02))),0)</f>
        <v/>
      </c>
      <c r="BD4541">
        <f>IF('01_Вводные'!$B$234="Да",IF(OR(('19_Расчет_аналитики'!BD4457-'19_Расчет_аналитики'!BD4485)=0,2&lt;='01_Вводные'!$B$297),0,('19_Расчет_аналитики'!BD4457-'19_Расчет_аналитики'!BD4485)*IF('01_Вводные'!$B$239="Да",MeanMinAge02+'19_Расчет_аналитики'!BD4608*SUMIF(ThresholdAge02,"&lt;"&amp;'19_Расчет_аналитики'!BD4608,WeightedRevAge02)-SUMIF(ThresholdAge02,"&lt;"&amp;'19_Расчет_аналитики'!BD4608,WeightedMinAge02),MAX(CapacityAge02*'01_Вводные'!$B$218*'19_Расчет_аналитики'!BD4608,MeanMinAge02))),0)</f>
        <v/>
      </c>
      <c r="BE4541">
        <f>IF('01_Вводные'!$B$234="Да",IF(OR(('19_Расчет_аналитики'!BE4457-'19_Расчет_аналитики'!BE4485)=0,2&lt;='01_Вводные'!$B$297),0,('19_Расчет_аналитики'!BE4457-'19_Расчет_аналитики'!BE4485)*IF('01_Вводные'!$B$239="Да",MeanMinAge02+'19_Расчет_аналитики'!BE4608*SUMIF(ThresholdAge02,"&lt;"&amp;'19_Расчет_аналитики'!BE4608,WeightedRevAge02)-SUMIF(ThresholdAge02,"&lt;"&amp;'19_Расчет_аналитики'!BE4608,WeightedMinAge02),MAX(CapacityAge02*'01_Вводные'!$B$218*'19_Расчет_аналитики'!BE4608,MeanMinAge02))),0)</f>
        <v/>
      </c>
      <c r="BF4541">
        <f>IF('01_Вводные'!$B$234="Да",IF(OR(('19_Расчет_аналитики'!BF4457-'19_Расчет_аналитики'!BF4485)=0,2&lt;='01_Вводные'!$B$297),0,('19_Расчет_аналитики'!BF4457-'19_Расчет_аналитики'!BF4485)*IF('01_Вводные'!$B$239="Да",MeanMinAge02+'19_Расчет_аналитики'!BF4608*SUMIF(ThresholdAge02,"&lt;"&amp;'19_Расчет_аналитики'!BF4608,WeightedRevAge02)-SUMIF(ThresholdAge02,"&lt;"&amp;'19_Расчет_аналитики'!BF4608,WeightedMinAge02),MAX(CapacityAge02*'01_Вводные'!$B$218*'19_Расчет_аналитики'!BF4608,MeanMinAge02))),0)</f>
        <v/>
      </c>
      <c r="BG4541">
        <f>IF('01_Вводные'!$B$234="Да",IF(OR(('19_Расчет_аналитики'!BG4457-'19_Расчет_аналитики'!BG4485)=0,2&lt;='01_Вводные'!$B$297),0,('19_Расчет_аналитики'!BG4457-'19_Расчет_аналитики'!BG4485)*IF('01_Вводные'!$B$239="Да",MeanMinAge02+'19_Расчет_аналитики'!BG4608*SUMIF(ThresholdAge02,"&lt;"&amp;'19_Расчет_аналитики'!BG4608,WeightedRevAge02)-SUMIF(ThresholdAge02,"&lt;"&amp;'19_Расчет_аналитики'!BG4608,WeightedMinAge02),MAX(CapacityAge02*'01_Вводные'!$B$218*'19_Расчет_аналитики'!BG4608,MeanMinAge02))),0)</f>
        <v/>
      </c>
      <c r="BH4541">
        <f>IF('01_Вводные'!$B$234="Да",IF(OR(('19_Расчет_аналитики'!BH4457-'19_Расчет_аналитики'!BH4485)=0,2&lt;='01_Вводные'!$B$297),0,('19_Расчет_аналитики'!BH4457-'19_Расчет_аналитики'!BH4485)*IF('01_Вводные'!$B$239="Да",MeanMinAge02+'19_Расчет_аналитики'!BH4608*SUMIF(ThresholdAge02,"&lt;"&amp;'19_Расчет_аналитики'!BH4608,WeightedRevAge02)-SUMIF(ThresholdAge02,"&lt;"&amp;'19_Расчет_аналитики'!BH4608,WeightedMinAge02),MAX(CapacityAge02*'01_Вводные'!$B$218*'19_Расчет_аналитики'!BH4608,MeanMinAge02))),0)</f>
        <v/>
      </c>
      <c r="BI4541">
        <f>IF('01_Вводные'!$B$234="Да",IF(OR(('19_Расчет_аналитики'!BI4457-'19_Расчет_аналитики'!BI4485)=0,2&lt;='01_Вводные'!$B$297),0,('19_Расчет_аналитики'!BI4457-'19_Расчет_аналитики'!BI4485)*IF('01_Вводные'!$B$239="Да",MeanMinAge02+'19_Расчет_аналитики'!BI4608*SUMIF(ThresholdAge02,"&lt;"&amp;'19_Расчет_аналитики'!BI4608,WeightedRevAge02)-SUMIF(ThresholdAge02,"&lt;"&amp;'19_Расчет_аналитики'!BI4608,WeightedMinAge02),MAX(CapacityAge02*'01_Вводные'!$B$218*'19_Расчет_аналитики'!BI4608,MeanMinAge02))),0)</f>
        <v/>
      </c>
      <c r="BJ4541">
        <f>IF('01_Вводные'!$B$234="Да",IF(OR(('19_Расчет_аналитики'!BJ4457-'19_Расчет_аналитики'!BJ4485)=0,2&lt;='01_Вводные'!$B$297),0,('19_Расчет_аналитики'!BJ4457-'19_Расчет_аналитики'!BJ4485)*IF('01_Вводные'!$B$239="Да",MeanMinAge02+'19_Расчет_аналитики'!BJ4608*SUMIF(ThresholdAge02,"&lt;"&amp;'19_Расчет_аналитики'!BJ4608,WeightedRevAge02)-SUMIF(ThresholdAge02,"&lt;"&amp;'19_Расчет_аналитики'!BJ4608,WeightedMinAge02),MAX(CapacityAge02*'01_Вводные'!$B$218*'19_Расчет_аналитики'!BJ4608,MeanMinAge02))),0)</f>
        <v/>
      </c>
      <c r="BK4541">
        <f>IF('01_Вводные'!$B$234="Да",IF(OR(('19_Расчет_аналитики'!BK4457-'19_Расчет_аналитики'!BK4485)=0,2&lt;='01_Вводные'!$B$297),0,('19_Расчет_аналитики'!BK4457-'19_Расчет_аналитики'!BK4485)*IF('01_Вводные'!$B$239="Да",MeanMinAge02+'19_Расчет_аналитики'!BK4608*SUMIF(ThresholdAge02,"&lt;"&amp;'19_Расчет_аналитики'!BK4608,WeightedRevAge02)-SUMIF(ThresholdAge02,"&lt;"&amp;'19_Расчет_аналитики'!BK4608,WeightedMinAge02),MAX(CapacityAge02*'01_Вводные'!$B$218*'19_Расчет_аналитики'!BK4608,MeanMinAge02))),0)</f>
        <v/>
      </c>
      <c r="BL4541">
        <f>IF('01_Вводные'!$B$234="Да",IF(OR(('19_Расчет_аналитики'!BL4457-'19_Расчет_аналитики'!BL4485)=0,2&lt;='01_Вводные'!$B$297),0,('19_Расчет_аналитики'!BL4457-'19_Расчет_аналитики'!BL4485)*IF('01_Вводные'!$B$239="Да",MeanMinAge02+'19_Расчет_аналитики'!BL4608*SUMIF(ThresholdAge02,"&lt;"&amp;'19_Расчет_аналитики'!BL4608,WeightedRevAge02)-SUMIF(ThresholdAge02,"&lt;"&amp;'19_Расчет_аналитики'!BL4608,WeightedMinAge02),MAX(CapacityAge02*'01_Вводные'!$B$218*'19_Расчет_аналитики'!BL4608,MeanMinAge02))),0)</f>
        <v/>
      </c>
      <c r="BM4541">
        <f>IF('01_Вводные'!$B$234="Да",IF(OR(('19_Расчет_аналитики'!BM4457-'19_Расчет_аналитики'!BM4485)=0,2&lt;='01_Вводные'!$B$297),0,('19_Расчет_аналитики'!BM4457-'19_Расчет_аналитики'!BM4485)*IF('01_Вводные'!$B$239="Да",MeanMinAge02+'19_Расчет_аналитики'!BM4608*SUMIF(ThresholdAge02,"&lt;"&amp;'19_Расчет_аналитики'!BM4608,WeightedRevAge02)-SUMIF(ThresholdAge02,"&lt;"&amp;'19_Расчет_аналитики'!BM4608,WeightedMinAge02),MAX(CapacityAge02*'01_Вводные'!$B$218*'19_Расчет_аналитики'!BM4608,MeanMinAge02))),0)</f>
        <v/>
      </c>
      <c r="BN4541">
        <f>IF('01_Вводные'!$B$234="Да",IF(OR(('19_Расчет_аналитики'!BN4457-'19_Расчет_аналитики'!BN4485)=0,2&lt;='01_Вводные'!$B$297),0,('19_Расчет_аналитики'!BN4457-'19_Расчет_аналитики'!BN4485)*IF('01_Вводные'!$B$239="Да",MeanMinAge02+'19_Расчет_аналитики'!BN4608*SUMIF(ThresholdAge02,"&lt;"&amp;'19_Расчет_аналитики'!BN4608,WeightedRevAge02)-SUMIF(ThresholdAge02,"&lt;"&amp;'19_Расчет_аналитики'!BN4608,WeightedMinAge02),MAX(CapacityAge02*'01_Вводные'!$B$218*'19_Расчет_аналитики'!BN4608,MeanMinAge02))),0)</f>
        <v/>
      </c>
      <c r="BO4541">
        <f>IF('01_Вводные'!$B$234="Да",IF(OR(('19_Расчет_аналитики'!BO4457-'19_Расчет_аналитики'!BO4485)=0,2&lt;='01_Вводные'!$B$297),0,('19_Расчет_аналитики'!BO4457-'19_Расчет_аналитики'!BO4485)*IF('01_Вводные'!$B$239="Да",MeanMinAge02+'19_Расчет_аналитики'!BO4608*SUMIF(ThresholdAge02,"&lt;"&amp;'19_Расчет_аналитики'!BO4608,WeightedRevAge02)-SUMIF(ThresholdAge02,"&lt;"&amp;'19_Расчет_аналитики'!BO4608,WeightedMinAge02),MAX(CapacityAge02*'01_Вводные'!$B$218*'19_Расчет_аналитики'!BO4608,MeanMinAge02))),0)</f>
        <v/>
      </c>
    </row>
    <row r="4542">
      <c r="B4542">
        <f>IF('01_Вводные'!$B$234="Да",IF(OR(('06_Сеть_и_дети'!B55-'06_Сеть_и_дети'!B83)=0,3&lt;='01_Вводные'!$B$297),0,('06_Сеть_и_дети'!B55-'06_Сеть_и_дети'!B83)*IF('01_Вводные'!$B$239="Да",MeanMinAge03+'19_Расчет_аналитики'!B4608*SUMIF(ThresholdAge03,"&lt;"&amp;'19_Расчет_аналитики'!B4608,WeightedRevAge03)-SUMIF(ThresholdAge03,"&lt;"&amp;'19_Расчет_аналитики'!B4608,WeightedMinAge03),MAX(CapacityAge03*'01_Вводные'!$B$218*'19_Расчет_аналитики'!B4608,MeanMinAge03))),0)</f>
        <v/>
      </c>
      <c r="C4542">
        <f>IF('01_Вводные'!$B$234="Да",IF(OR(('06_Сеть_и_дети'!C55-'06_Сеть_и_дети'!C83)=0,3&lt;='01_Вводные'!$B$297),0,('06_Сеть_и_дети'!C55-'06_Сеть_и_дети'!C83)*IF('01_Вводные'!$B$239="Да",MeanMinAge03+'19_Расчет_аналитики'!C4608*SUMIF(ThresholdAge03,"&lt;"&amp;'19_Расчет_аналитики'!C4608,WeightedRevAge03)-SUMIF(ThresholdAge03,"&lt;"&amp;'19_Расчет_аналитики'!C4608,WeightedMinAge03),MAX(CapacityAge03*'01_Вводные'!$B$218*'19_Расчет_аналитики'!C4608,MeanMinAge03))),0)</f>
        <v/>
      </c>
      <c r="D4542">
        <f>IF('01_Вводные'!$B$234="Да",IF(OR(('19_Расчет_аналитики'!D4458-'19_Расчет_аналитики'!D4486)=0,3&lt;='01_Вводные'!$B$297),0,('19_Расчет_аналитики'!D4458-'19_Расчет_аналитики'!D4486)*IF('01_Вводные'!$B$239="Да",MeanMinAge03+'19_Расчет_аналитики'!D4608*SUMIF(ThresholdAge03,"&lt;"&amp;'19_Расчет_аналитики'!D4608,WeightedRevAge03)-SUMIF(ThresholdAge03,"&lt;"&amp;'19_Расчет_аналитики'!D4608,WeightedMinAge03),MAX(CapacityAge03*'01_Вводные'!$B$218*'19_Расчет_аналитики'!D4608,MeanMinAge03))),0)</f>
        <v/>
      </c>
      <c r="E4542">
        <f>IF('01_Вводные'!$B$234="Да",IF(OR(('19_Расчет_аналитики'!E4458-'19_Расчет_аналитики'!E4486)=0,3&lt;='01_Вводные'!$B$297),0,('19_Расчет_аналитики'!E4458-'19_Расчет_аналитики'!E4486)*IF('01_Вводные'!$B$239="Да",MeanMinAge03+'19_Расчет_аналитики'!E4608*SUMIF(ThresholdAge03,"&lt;"&amp;'19_Расчет_аналитики'!E4608,WeightedRevAge03)-SUMIF(ThresholdAge03,"&lt;"&amp;'19_Расчет_аналитики'!E4608,WeightedMinAge03),MAX(CapacityAge03*'01_Вводные'!$B$218*'19_Расчет_аналитики'!E4608,MeanMinAge03))),0)</f>
        <v/>
      </c>
      <c r="F4542">
        <f>IF('01_Вводные'!$B$234="Да",IF(OR(('19_Расчет_аналитики'!F4458-'19_Расчет_аналитики'!F4486)=0,3&lt;='01_Вводные'!$B$297),0,('19_Расчет_аналитики'!F4458-'19_Расчет_аналитики'!F4486)*IF('01_Вводные'!$B$239="Да",MeanMinAge03+'19_Расчет_аналитики'!F4608*SUMIF(ThresholdAge03,"&lt;"&amp;'19_Расчет_аналитики'!F4608,WeightedRevAge03)-SUMIF(ThresholdAge03,"&lt;"&amp;'19_Расчет_аналитики'!F4608,WeightedMinAge03),MAX(CapacityAge03*'01_Вводные'!$B$218*'19_Расчет_аналитики'!F4608,MeanMinAge03))),0)</f>
        <v/>
      </c>
      <c r="G4542">
        <f>IF('01_Вводные'!$B$234="Да",IF(OR(('19_Расчет_аналитики'!G4458-'19_Расчет_аналитики'!G4486)=0,3&lt;='01_Вводные'!$B$297),0,('19_Расчет_аналитики'!G4458-'19_Расчет_аналитики'!G4486)*IF('01_Вводные'!$B$239="Да",MeanMinAge03+'19_Расчет_аналитики'!G4608*SUMIF(ThresholdAge03,"&lt;"&amp;'19_Расчет_аналитики'!G4608,WeightedRevAge03)-SUMIF(ThresholdAge03,"&lt;"&amp;'19_Расчет_аналитики'!G4608,WeightedMinAge03),MAX(CapacityAge03*'01_Вводные'!$B$218*'19_Расчет_аналитики'!G4608,MeanMinAge03))),0)</f>
        <v/>
      </c>
      <c r="H4542">
        <f>IF('01_Вводные'!$B$234="Да",IF(OR(('19_Расчет_аналитики'!H4458-'19_Расчет_аналитики'!H4486)=0,3&lt;='01_Вводные'!$B$297),0,('19_Расчет_аналитики'!H4458-'19_Расчет_аналитики'!H4486)*IF('01_Вводные'!$B$239="Да",MeanMinAge03+'19_Расчет_аналитики'!H4608*SUMIF(ThresholdAge03,"&lt;"&amp;'19_Расчет_аналитики'!H4608,WeightedRevAge03)-SUMIF(ThresholdAge03,"&lt;"&amp;'19_Расчет_аналитики'!H4608,WeightedMinAge03),MAX(CapacityAge03*'01_Вводные'!$B$218*'19_Расчет_аналитики'!H4608,MeanMinAge03))),0)</f>
        <v/>
      </c>
      <c r="I4542">
        <f>IF('01_Вводные'!$B$234="Да",IF(OR(('19_Расчет_аналитики'!I4458-'19_Расчет_аналитики'!I4486)=0,3&lt;='01_Вводные'!$B$297),0,('19_Расчет_аналитики'!I4458-'19_Расчет_аналитики'!I4486)*IF('01_Вводные'!$B$239="Да",MeanMinAge03+'19_Расчет_аналитики'!I4608*SUMIF(ThresholdAge03,"&lt;"&amp;'19_Расчет_аналитики'!I4608,WeightedRevAge03)-SUMIF(ThresholdAge03,"&lt;"&amp;'19_Расчет_аналитики'!I4608,WeightedMinAge03),MAX(CapacityAge03*'01_Вводные'!$B$218*'19_Расчет_аналитики'!I4608,MeanMinAge03))),0)</f>
        <v/>
      </c>
      <c r="J4542">
        <f>IF('01_Вводные'!$B$234="Да",IF(OR(('19_Расчет_аналитики'!J4458-'19_Расчет_аналитики'!J4486)=0,3&lt;='01_Вводные'!$B$297),0,('19_Расчет_аналитики'!J4458-'19_Расчет_аналитики'!J4486)*IF('01_Вводные'!$B$239="Да",MeanMinAge03+'19_Расчет_аналитики'!J4608*SUMIF(ThresholdAge03,"&lt;"&amp;'19_Расчет_аналитики'!J4608,WeightedRevAge03)-SUMIF(ThresholdAge03,"&lt;"&amp;'19_Расчет_аналитики'!J4608,WeightedMinAge03),MAX(CapacityAge03*'01_Вводные'!$B$218*'19_Расчет_аналитики'!J4608,MeanMinAge03))),0)</f>
        <v/>
      </c>
      <c r="K4542">
        <f>IF('01_Вводные'!$B$234="Да",IF(OR(('19_Расчет_аналитики'!K4458-'19_Расчет_аналитики'!K4486)=0,3&lt;='01_Вводные'!$B$297),0,('19_Расчет_аналитики'!K4458-'19_Расчет_аналитики'!K4486)*IF('01_Вводные'!$B$239="Да",MeanMinAge03+'19_Расчет_аналитики'!K4608*SUMIF(ThresholdAge03,"&lt;"&amp;'19_Расчет_аналитики'!K4608,WeightedRevAge03)-SUMIF(ThresholdAge03,"&lt;"&amp;'19_Расчет_аналитики'!K4608,WeightedMinAge03),MAX(CapacityAge03*'01_Вводные'!$B$218*'19_Расчет_аналитики'!K4608,MeanMinAge03))),0)</f>
        <v/>
      </c>
      <c r="L4542">
        <f>IF('01_Вводные'!$B$234="Да",IF(OR(('19_Расчет_аналитики'!L4458-'19_Расчет_аналитики'!L4486)=0,3&lt;='01_Вводные'!$B$297),0,('19_Расчет_аналитики'!L4458-'19_Расчет_аналитики'!L4486)*IF('01_Вводные'!$B$239="Да",MeanMinAge03+'19_Расчет_аналитики'!L4608*SUMIF(ThresholdAge03,"&lt;"&amp;'19_Расчет_аналитики'!L4608,WeightedRevAge03)-SUMIF(ThresholdAge03,"&lt;"&amp;'19_Расчет_аналитики'!L4608,WeightedMinAge03),MAX(CapacityAge03*'01_Вводные'!$B$218*'19_Расчет_аналитики'!L4608,MeanMinAge03))),0)</f>
        <v/>
      </c>
      <c r="M4542">
        <f>IF('01_Вводные'!$B$234="Да",IF(OR(('19_Расчет_аналитики'!M4458-'19_Расчет_аналитики'!M4486)=0,3&lt;='01_Вводные'!$B$297),0,('19_Расчет_аналитики'!M4458-'19_Расчет_аналитики'!M4486)*IF('01_Вводные'!$B$239="Да",MeanMinAge03+'19_Расчет_аналитики'!M4608*SUMIF(ThresholdAge03,"&lt;"&amp;'19_Расчет_аналитики'!M4608,WeightedRevAge03)-SUMIF(ThresholdAge03,"&lt;"&amp;'19_Расчет_аналитики'!M4608,WeightedMinAge03),MAX(CapacityAge03*'01_Вводные'!$B$218*'19_Расчет_аналитики'!M4608,MeanMinAge03))),0)</f>
        <v/>
      </c>
      <c r="N4542">
        <f>IF('01_Вводные'!$B$234="Да",IF(OR(('19_Расчет_аналитики'!N4458-'19_Расчет_аналитики'!N4486)=0,3&lt;='01_Вводные'!$B$297),0,('19_Расчет_аналитики'!N4458-'19_Расчет_аналитики'!N4486)*IF('01_Вводные'!$B$239="Да",MeanMinAge03+'19_Расчет_аналитики'!N4608*SUMIF(ThresholdAge03,"&lt;"&amp;'19_Расчет_аналитики'!N4608,WeightedRevAge03)-SUMIF(ThresholdAge03,"&lt;"&amp;'19_Расчет_аналитики'!N4608,WeightedMinAge03),MAX(CapacityAge03*'01_Вводные'!$B$218*'19_Расчет_аналитики'!N4608,MeanMinAge03))),0)</f>
        <v/>
      </c>
      <c r="O4542">
        <f>IF('01_Вводные'!$B$234="Да",IF(OR(('19_Расчет_аналитики'!O4458-'19_Расчет_аналитики'!O4486)=0,3&lt;='01_Вводные'!$B$297),0,('19_Расчет_аналитики'!O4458-'19_Расчет_аналитики'!O4486)*IF('01_Вводные'!$B$239="Да",MeanMinAge03+'19_Расчет_аналитики'!O4608*SUMIF(ThresholdAge03,"&lt;"&amp;'19_Расчет_аналитики'!O4608,WeightedRevAge03)-SUMIF(ThresholdAge03,"&lt;"&amp;'19_Расчет_аналитики'!O4608,WeightedMinAge03),MAX(CapacityAge03*'01_Вводные'!$B$218*'19_Расчет_аналитики'!O4608,MeanMinAge03))),0)</f>
        <v/>
      </c>
      <c r="P4542">
        <f>IF('01_Вводные'!$B$234="Да",IF(OR(('19_Расчет_аналитики'!P4458-'19_Расчет_аналитики'!P4486)=0,3&lt;='01_Вводные'!$B$297),0,('19_Расчет_аналитики'!P4458-'19_Расчет_аналитики'!P4486)*IF('01_Вводные'!$B$239="Да",MeanMinAge03+'19_Расчет_аналитики'!P4608*SUMIF(ThresholdAge03,"&lt;"&amp;'19_Расчет_аналитики'!P4608,WeightedRevAge03)-SUMIF(ThresholdAge03,"&lt;"&amp;'19_Расчет_аналитики'!P4608,WeightedMinAge03),MAX(CapacityAge03*'01_Вводные'!$B$218*'19_Расчет_аналитики'!P4608,MeanMinAge03))),0)</f>
        <v/>
      </c>
      <c r="Q4542">
        <f>IF('01_Вводные'!$B$234="Да",IF(OR(('19_Расчет_аналитики'!Q4458-'19_Расчет_аналитики'!Q4486)=0,3&lt;='01_Вводные'!$B$297),0,('19_Расчет_аналитики'!Q4458-'19_Расчет_аналитики'!Q4486)*IF('01_Вводные'!$B$239="Да",MeanMinAge03+'19_Расчет_аналитики'!Q4608*SUMIF(ThresholdAge03,"&lt;"&amp;'19_Расчет_аналитики'!Q4608,WeightedRevAge03)-SUMIF(ThresholdAge03,"&lt;"&amp;'19_Расчет_аналитики'!Q4608,WeightedMinAge03),MAX(CapacityAge03*'01_Вводные'!$B$218*'19_Расчет_аналитики'!Q4608,MeanMinAge03))),0)</f>
        <v/>
      </c>
      <c r="R4542">
        <f>IF('01_Вводные'!$B$234="Да",IF(OR(('19_Расчет_аналитики'!R4458-'19_Расчет_аналитики'!R4486)=0,3&lt;='01_Вводные'!$B$297),0,('19_Расчет_аналитики'!R4458-'19_Расчет_аналитики'!R4486)*IF('01_Вводные'!$B$239="Да",MeanMinAge03+'19_Расчет_аналитики'!R4608*SUMIF(ThresholdAge03,"&lt;"&amp;'19_Расчет_аналитики'!R4608,WeightedRevAge03)-SUMIF(ThresholdAge03,"&lt;"&amp;'19_Расчет_аналитики'!R4608,WeightedMinAge03),MAX(CapacityAge03*'01_Вводные'!$B$218*'19_Расчет_аналитики'!R4608,MeanMinAge03))),0)</f>
        <v/>
      </c>
      <c r="S4542">
        <f>IF('01_Вводные'!$B$234="Да",IF(OR(('19_Расчет_аналитики'!S4458-'19_Расчет_аналитики'!S4486)=0,3&lt;='01_Вводные'!$B$297),0,('19_Расчет_аналитики'!S4458-'19_Расчет_аналитики'!S4486)*IF('01_Вводные'!$B$239="Да",MeanMinAge03+'19_Расчет_аналитики'!S4608*SUMIF(ThresholdAge03,"&lt;"&amp;'19_Расчет_аналитики'!S4608,WeightedRevAge03)-SUMIF(ThresholdAge03,"&lt;"&amp;'19_Расчет_аналитики'!S4608,WeightedMinAge03),MAX(CapacityAge03*'01_Вводные'!$B$218*'19_Расчет_аналитики'!S4608,MeanMinAge03))),0)</f>
        <v/>
      </c>
      <c r="T4542">
        <f>IF('01_Вводные'!$B$234="Да",IF(OR(('19_Расчет_аналитики'!T4458-'19_Расчет_аналитики'!T4486)=0,3&lt;='01_Вводные'!$B$297),0,('19_Расчет_аналитики'!T4458-'19_Расчет_аналитики'!T4486)*IF('01_Вводные'!$B$239="Да",MeanMinAge03+'19_Расчет_аналитики'!T4608*SUMIF(ThresholdAge03,"&lt;"&amp;'19_Расчет_аналитики'!T4608,WeightedRevAge03)-SUMIF(ThresholdAge03,"&lt;"&amp;'19_Расчет_аналитики'!T4608,WeightedMinAge03),MAX(CapacityAge03*'01_Вводные'!$B$218*'19_Расчет_аналитики'!T4608,MeanMinAge03))),0)</f>
        <v/>
      </c>
      <c r="U4542">
        <f>IF('01_Вводные'!$B$234="Да",IF(OR(('19_Расчет_аналитики'!U4458-'19_Расчет_аналитики'!U4486)=0,3&lt;='01_Вводные'!$B$297),0,('19_Расчет_аналитики'!U4458-'19_Расчет_аналитики'!U4486)*IF('01_Вводные'!$B$239="Да",MeanMinAge03+'19_Расчет_аналитики'!U4608*SUMIF(ThresholdAge03,"&lt;"&amp;'19_Расчет_аналитики'!U4608,WeightedRevAge03)-SUMIF(ThresholdAge03,"&lt;"&amp;'19_Расчет_аналитики'!U4608,WeightedMinAge03),MAX(CapacityAge03*'01_Вводные'!$B$218*'19_Расчет_аналитики'!U4608,MeanMinAge03))),0)</f>
        <v/>
      </c>
      <c r="V4542">
        <f>IF('01_Вводные'!$B$234="Да",IF(OR(('19_Расчет_аналитики'!V4458-'19_Расчет_аналитики'!V4486)=0,3&lt;='01_Вводные'!$B$297),0,('19_Расчет_аналитики'!V4458-'19_Расчет_аналитики'!V4486)*IF('01_Вводные'!$B$239="Да",MeanMinAge03+'19_Расчет_аналитики'!V4608*SUMIF(ThresholdAge03,"&lt;"&amp;'19_Расчет_аналитики'!V4608,WeightedRevAge03)-SUMIF(ThresholdAge03,"&lt;"&amp;'19_Расчет_аналитики'!V4608,WeightedMinAge03),MAX(CapacityAge03*'01_Вводные'!$B$218*'19_Расчет_аналитики'!V4608,MeanMinAge03))),0)</f>
        <v/>
      </c>
      <c r="W4542">
        <f>IF('01_Вводные'!$B$234="Да",IF(OR(('19_Расчет_аналитики'!W4458-'19_Расчет_аналитики'!W4486)=0,3&lt;='01_Вводные'!$B$297),0,('19_Расчет_аналитики'!W4458-'19_Расчет_аналитики'!W4486)*IF('01_Вводные'!$B$239="Да",MeanMinAge03+'19_Расчет_аналитики'!W4608*SUMIF(ThresholdAge03,"&lt;"&amp;'19_Расчет_аналитики'!W4608,WeightedRevAge03)-SUMIF(ThresholdAge03,"&lt;"&amp;'19_Расчет_аналитики'!W4608,WeightedMinAge03),MAX(CapacityAge03*'01_Вводные'!$B$218*'19_Расчет_аналитики'!W4608,MeanMinAge03))),0)</f>
        <v/>
      </c>
      <c r="X4542">
        <f>IF('01_Вводные'!$B$234="Да",IF(OR(('19_Расчет_аналитики'!X4458-'19_Расчет_аналитики'!X4486)=0,3&lt;='01_Вводные'!$B$297),0,('19_Расчет_аналитики'!X4458-'19_Расчет_аналитики'!X4486)*IF('01_Вводные'!$B$239="Да",MeanMinAge03+'19_Расчет_аналитики'!X4608*SUMIF(ThresholdAge03,"&lt;"&amp;'19_Расчет_аналитики'!X4608,WeightedRevAge03)-SUMIF(ThresholdAge03,"&lt;"&amp;'19_Расчет_аналитики'!X4608,WeightedMinAge03),MAX(CapacityAge03*'01_Вводные'!$B$218*'19_Расчет_аналитики'!X4608,MeanMinAge03))),0)</f>
        <v/>
      </c>
      <c r="Y4542">
        <f>IF('01_Вводные'!$B$234="Да",IF(OR(('19_Расчет_аналитики'!Y4458-'19_Расчет_аналитики'!Y4486)=0,3&lt;='01_Вводные'!$B$297),0,('19_Расчет_аналитики'!Y4458-'19_Расчет_аналитики'!Y4486)*IF('01_Вводные'!$B$239="Да",MeanMinAge03+'19_Расчет_аналитики'!Y4608*SUMIF(ThresholdAge03,"&lt;"&amp;'19_Расчет_аналитики'!Y4608,WeightedRevAge03)-SUMIF(ThresholdAge03,"&lt;"&amp;'19_Расчет_аналитики'!Y4608,WeightedMinAge03),MAX(CapacityAge03*'01_Вводные'!$B$218*'19_Расчет_аналитики'!Y4608,MeanMinAge03))),0)</f>
        <v/>
      </c>
      <c r="Z4542">
        <f>IF('01_Вводные'!$B$234="Да",IF(OR(('19_Расчет_аналитики'!Z4458-'19_Расчет_аналитики'!Z4486)=0,3&lt;='01_Вводные'!$B$297),0,('19_Расчет_аналитики'!Z4458-'19_Расчет_аналитики'!Z4486)*IF('01_Вводные'!$B$239="Да",MeanMinAge03+'19_Расчет_аналитики'!Z4608*SUMIF(ThresholdAge03,"&lt;"&amp;'19_Расчет_аналитики'!Z4608,WeightedRevAge03)-SUMIF(ThresholdAge03,"&lt;"&amp;'19_Расчет_аналитики'!Z4608,WeightedMinAge03),MAX(CapacityAge03*'01_Вводные'!$B$218*'19_Расчет_аналитики'!Z4608,MeanMinAge03))),0)</f>
        <v/>
      </c>
      <c r="AA4542">
        <f>IF('01_Вводные'!$B$234="Да",IF(OR(('19_Расчет_аналитики'!AA4458-'19_Расчет_аналитики'!AA4486)=0,3&lt;='01_Вводные'!$B$297),0,('19_Расчет_аналитики'!AA4458-'19_Расчет_аналитики'!AA4486)*IF('01_Вводные'!$B$239="Да",MeanMinAge03+'19_Расчет_аналитики'!AA4608*SUMIF(ThresholdAge03,"&lt;"&amp;'19_Расчет_аналитики'!AA4608,WeightedRevAge03)-SUMIF(ThresholdAge03,"&lt;"&amp;'19_Расчет_аналитики'!AA4608,WeightedMinAge03),MAX(CapacityAge03*'01_Вводные'!$B$218*'19_Расчет_аналитики'!AA4608,MeanMinAge03))),0)</f>
        <v/>
      </c>
      <c r="AB4542">
        <f>IF('01_Вводные'!$B$234="Да",IF(OR(('19_Расчет_аналитики'!AB4458-'19_Расчет_аналитики'!AB4486)=0,3&lt;='01_Вводные'!$B$297),0,('19_Расчет_аналитики'!AB4458-'19_Расчет_аналитики'!AB4486)*IF('01_Вводные'!$B$239="Да",MeanMinAge03+'19_Расчет_аналитики'!AB4608*SUMIF(ThresholdAge03,"&lt;"&amp;'19_Расчет_аналитики'!AB4608,WeightedRevAge03)-SUMIF(ThresholdAge03,"&lt;"&amp;'19_Расчет_аналитики'!AB4608,WeightedMinAge03),MAX(CapacityAge03*'01_Вводные'!$B$218*'19_Расчет_аналитики'!AB4608,MeanMinAge03))),0)</f>
        <v/>
      </c>
      <c r="AC4542">
        <f>IF('01_Вводные'!$B$234="Да",IF(OR(('19_Расчет_аналитики'!AC4458-'19_Расчет_аналитики'!AC4486)=0,3&lt;='01_Вводные'!$B$297),0,('19_Расчет_аналитики'!AC4458-'19_Расчет_аналитики'!AC4486)*IF('01_Вводные'!$B$239="Да",MeanMinAge03+'19_Расчет_аналитики'!AC4608*SUMIF(ThresholdAge03,"&lt;"&amp;'19_Расчет_аналитики'!AC4608,WeightedRevAge03)-SUMIF(ThresholdAge03,"&lt;"&amp;'19_Расчет_аналитики'!AC4608,WeightedMinAge03),MAX(CapacityAge03*'01_Вводные'!$B$218*'19_Расчет_аналитики'!AC4608,MeanMinAge03))),0)</f>
        <v/>
      </c>
      <c r="AD4542">
        <f>IF('01_Вводные'!$B$234="Да",IF(OR(('19_Расчет_аналитики'!AD4458-'19_Расчет_аналитики'!AD4486)=0,3&lt;='01_Вводные'!$B$297),0,('19_Расчет_аналитики'!AD4458-'19_Расчет_аналитики'!AD4486)*IF('01_Вводные'!$B$239="Да",MeanMinAge03+'19_Расчет_аналитики'!AD4608*SUMIF(ThresholdAge03,"&lt;"&amp;'19_Расчет_аналитики'!AD4608,WeightedRevAge03)-SUMIF(ThresholdAge03,"&lt;"&amp;'19_Расчет_аналитики'!AD4608,WeightedMinAge03),MAX(CapacityAge03*'01_Вводные'!$B$218*'19_Расчет_аналитики'!AD4608,MeanMinAge03))),0)</f>
        <v/>
      </c>
      <c r="AE4542">
        <f>IF('01_Вводные'!$B$234="Да",IF(OR(('19_Расчет_аналитики'!AE4458-'19_Расчет_аналитики'!AE4486)=0,3&lt;='01_Вводные'!$B$297),0,('19_Расчет_аналитики'!AE4458-'19_Расчет_аналитики'!AE4486)*IF('01_Вводные'!$B$239="Да",MeanMinAge03+'19_Расчет_аналитики'!AE4608*SUMIF(ThresholdAge03,"&lt;"&amp;'19_Расчет_аналитики'!AE4608,WeightedRevAge03)-SUMIF(ThresholdAge03,"&lt;"&amp;'19_Расчет_аналитики'!AE4608,WeightedMinAge03),MAX(CapacityAge03*'01_Вводные'!$B$218*'19_Расчет_аналитики'!AE4608,MeanMinAge03))),0)</f>
        <v/>
      </c>
      <c r="AF4542">
        <f>IF('01_Вводные'!$B$234="Да",IF(OR(('19_Расчет_аналитики'!AF4458-'19_Расчет_аналитики'!AF4486)=0,3&lt;='01_Вводные'!$B$297),0,('19_Расчет_аналитики'!AF4458-'19_Расчет_аналитики'!AF4486)*IF('01_Вводные'!$B$239="Да",MeanMinAge03+'19_Расчет_аналитики'!AF4608*SUMIF(ThresholdAge03,"&lt;"&amp;'19_Расчет_аналитики'!AF4608,WeightedRevAge03)-SUMIF(ThresholdAge03,"&lt;"&amp;'19_Расчет_аналитики'!AF4608,WeightedMinAge03),MAX(CapacityAge03*'01_Вводные'!$B$218*'19_Расчет_аналитики'!AF4608,MeanMinAge03))),0)</f>
        <v/>
      </c>
      <c r="AG4542">
        <f>IF('01_Вводные'!$B$234="Да",IF(OR(('19_Расчет_аналитики'!AG4458-'19_Расчет_аналитики'!AG4486)=0,3&lt;='01_Вводные'!$B$297),0,('19_Расчет_аналитики'!AG4458-'19_Расчет_аналитики'!AG4486)*IF('01_Вводные'!$B$239="Да",MeanMinAge03+'19_Расчет_аналитики'!AG4608*SUMIF(ThresholdAge03,"&lt;"&amp;'19_Расчет_аналитики'!AG4608,WeightedRevAge03)-SUMIF(ThresholdAge03,"&lt;"&amp;'19_Расчет_аналитики'!AG4608,WeightedMinAge03),MAX(CapacityAge03*'01_Вводные'!$B$218*'19_Расчет_аналитики'!AG4608,MeanMinAge03))),0)</f>
        <v/>
      </c>
      <c r="AH4542">
        <f>IF('01_Вводные'!$B$234="Да",IF(OR(('19_Расчет_аналитики'!AH4458-'19_Расчет_аналитики'!AH4486)=0,3&lt;='01_Вводные'!$B$297),0,('19_Расчет_аналитики'!AH4458-'19_Расчет_аналитики'!AH4486)*IF('01_Вводные'!$B$239="Да",MeanMinAge03+'19_Расчет_аналитики'!AH4608*SUMIF(ThresholdAge03,"&lt;"&amp;'19_Расчет_аналитики'!AH4608,WeightedRevAge03)-SUMIF(ThresholdAge03,"&lt;"&amp;'19_Расчет_аналитики'!AH4608,WeightedMinAge03),MAX(CapacityAge03*'01_Вводные'!$B$218*'19_Расчет_аналитики'!AH4608,MeanMinAge03))),0)</f>
        <v/>
      </c>
      <c r="AI4542">
        <f>IF('01_Вводные'!$B$234="Да",IF(OR(('19_Расчет_аналитики'!AI4458-'19_Расчет_аналитики'!AI4486)=0,3&lt;='01_Вводные'!$B$297),0,('19_Расчет_аналитики'!AI4458-'19_Расчет_аналитики'!AI4486)*IF('01_Вводные'!$B$239="Да",MeanMinAge03+'19_Расчет_аналитики'!AI4608*SUMIF(ThresholdAge03,"&lt;"&amp;'19_Расчет_аналитики'!AI4608,WeightedRevAge03)-SUMIF(ThresholdAge03,"&lt;"&amp;'19_Расчет_аналитики'!AI4608,WeightedMinAge03),MAX(CapacityAge03*'01_Вводные'!$B$218*'19_Расчет_аналитики'!AI4608,MeanMinAge03))),0)</f>
        <v/>
      </c>
      <c r="AJ4542">
        <f>IF('01_Вводные'!$B$234="Да",IF(OR(('19_Расчет_аналитики'!AJ4458-'19_Расчет_аналитики'!AJ4486)=0,3&lt;='01_Вводные'!$B$297),0,('19_Расчет_аналитики'!AJ4458-'19_Расчет_аналитики'!AJ4486)*IF('01_Вводные'!$B$239="Да",MeanMinAge03+'19_Расчет_аналитики'!AJ4608*SUMIF(ThresholdAge03,"&lt;"&amp;'19_Расчет_аналитики'!AJ4608,WeightedRevAge03)-SUMIF(ThresholdAge03,"&lt;"&amp;'19_Расчет_аналитики'!AJ4608,WeightedMinAge03),MAX(CapacityAge03*'01_Вводные'!$B$218*'19_Расчет_аналитики'!AJ4608,MeanMinAge03))),0)</f>
        <v/>
      </c>
      <c r="AK4542">
        <f>IF('01_Вводные'!$B$234="Да",IF(OR(('19_Расчет_аналитики'!AK4458-'19_Расчет_аналитики'!AK4486)=0,3&lt;='01_Вводные'!$B$297),0,('19_Расчет_аналитики'!AK4458-'19_Расчет_аналитики'!AK4486)*IF('01_Вводные'!$B$239="Да",MeanMinAge03+'19_Расчет_аналитики'!AK4608*SUMIF(ThresholdAge03,"&lt;"&amp;'19_Расчет_аналитики'!AK4608,WeightedRevAge03)-SUMIF(ThresholdAge03,"&lt;"&amp;'19_Расчет_аналитики'!AK4608,WeightedMinAge03),MAX(CapacityAge03*'01_Вводные'!$B$218*'19_Расчет_аналитики'!AK4608,MeanMinAge03))),0)</f>
        <v/>
      </c>
      <c r="AL4542">
        <f>IF('01_Вводные'!$B$234="Да",IF(OR(('19_Расчет_аналитики'!AL4458-'19_Расчет_аналитики'!AL4486)=0,3&lt;='01_Вводные'!$B$297),0,('19_Расчет_аналитики'!AL4458-'19_Расчет_аналитики'!AL4486)*IF('01_Вводные'!$B$239="Да",MeanMinAge03+'19_Расчет_аналитики'!AL4608*SUMIF(ThresholdAge03,"&lt;"&amp;'19_Расчет_аналитики'!AL4608,WeightedRevAge03)-SUMIF(ThresholdAge03,"&lt;"&amp;'19_Расчет_аналитики'!AL4608,WeightedMinAge03),MAX(CapacityAge03*'01_Вводные'!$B$218*'19_Расчет_аналитики'!AL4608,MeanMinAge03))),0)</f>
        <v/>
      </c>
      <c r="AM4542">
        <f>IF('01_Вводные'!$B$234="Да",IF(OR(('19_Расчет_аналитики'!AM4458-'19_Расчет_аналитики'!AM4486)=0,3&lt;='01_Вводные'!$B$297),0,('19_Расчет_аналитики'!AM4458-'19_Расчет_аналитики'!AM4486)*IF('01_Вводные'!$B$239="Да",MeanMinAge03+'19_Расчет_аналитики'!AM4608*SUMIF(ThresholdAge03,"&lt;"&amp;'19_Расчет_аналитики'!AM4608,WeightedRevAge03)-SUMIF(ThresholdAge03,"&lt;"&amp;'19_Расчет_аналитики'!AM4608,WeightedMinAge03),MAX(CapacityAge03*'01_Вводные'!$B$218*'19_Расчет_аналитики'!AM4608,MeanMinAge03))),0)</f>
        <v/>
      </c>
      <c r="AN4542">
        <f>IF('01_Вводные'!$B$234="Да",IF(OR(('19_Расчет_аналитики'!AN4458-'19_Расчет_аналитики'!AN4486)=0,3&lt;='01_Вводные'!$B$297),0,('19_Расчет_аналитики'!AN4458-'19_Расчет_аналитики'!AN4486)*IF('01_Вводные'!$B$239="Да",MeanMinAge03+'19_Расчет_аналитики'!AN4608*SUMIF(ThresholdAge03,"&lt;"&amp;'19_Расчет_аналитики'!AN4608,WeightedRevAge03)-SUMIF(ThresholdAge03,"&lt;"&amp;'19_Расчет_аналитики'!AN4608,WeightedMinAge03),MAX(CapacityAge03*'01_Вводные'!$B$218*'19_Расчет_аналитики'!AN4608,MeanMinAge03))),0)</f>
        <v/>
      </c>
      <c r="AO4542">
        <f>IF('01_Вводные'!$B$234="Да",IF(OR(('19_Расчет_аналитики'!AO4458-'19_Расчет_аналитики'!AO4486)=0,3&lt;='01_Вводные'!$B$297),0,('19_Расчет_аналитики'!AO4458-'19_Расчет_аналитики'!AO4486)*IF('01_Вводные'!$B$239="Да",MeanMinAge03+'19_Расчет_аналитики'!AO4608*SUMIF(ThresholdAge03,"&lt;"&amp;'19_Расчет_аналитики'!AO4608,WeightedRevAge03)-SUMIF(ThresholdAge03,"&lt;"&amp;'19_Расчет_аналитики'!AO4608,WeightedMinAge03),MAX(CapacityAge03*'01_Вводные'!$B$218*'19_Расчет_аналитики'!AO4608,MeanMinAge03))),0)</f>
        <v/>
      </c>
      <c r="AP4542">
        <f>IF('01_Вводные'!$B$234="Да",IF(OR(('19_Расчет_аналитики'!AP4458-'19_Расчет_аналитики'!AP4486)=0,3&lt;='01_Вводные'!$B$297),0,('19_Расчет_аналитики'!AP4458-'19_Расчет_аналитики'!AP4486)*IF('01_Вводные'!$B$239="Да",MeanMinAge03+'19_Расчет_аналитики'!AP4608*SUMIF(ThresholdAge03,"&lt;"&amp;'19_Расчет_аналитики'!AP4608,WeightedRevAge03)-SUMIF(ThresholdAge03,"&lt;"&amp;'19_Расчет_аналитики'!AP4608,WeightedMinAge03),MAX(CapacityAge03*'01_Вводные'!$B$218*'19_Расчет_аналитики'!AP4608,MeanMinAge03))),0)</f>
        <v/>
      </c>
      <c r="AQ4542">
        <f>IF('01_Вводные'!$B$234="Да",IF(OR(('19_Расчет_аналитики'!AQ4458-'19_Расчет_аналитики'!AQ4486)=0,3&lt;='01_Вводные'!$B$297),0,('19_Расчет_аналитики'!AQ4458-'19_Расчет_аналитики'!AQ4486)*IF('01_Вводные'!$B$239="Да",MeanMinAge03+'19_Расчет_аналитики'!AQ4608*SUMIF(ThresholdAge03,"&lt;"&amp;'19_Расчет_аналитики'!AQ4608,WeightedRevAge03)-SUMIF(ThresholdAge03,"&lt;"&amp;'19_Расчет_аналитики'!AQ4608,WeightedMinAge03),MAX(CapacityAge03*'01_Вводные'!$B$218*'19_Расчет_аналитики'!AQ4608,MeanMinAge03))),0)</f>
        <v/>
      </c>
      <c r="AR4542">
        <f>IF('01_Вводные'!$B$234="Да",IF(OR(('19_Расчет_аналитики'!AR4458-'19_Расчет_аналитики'!AR4486)=0,3&lt;='01_Вводные'!$B$297),0,('19_Расчет_аналитики'!AR4458-'19_Расчет_аналитики'!AR4486)*IF('01_Вводные'!$B$239="Да",MeanMinAge03+'19_Расчет_аналитики'!AR4608*SUMIF(ThresholdAge03,"&lt;"&amp;'19_Расчет_аналитики'!AR4608,WeightedRevAge03)-SUMIF(ThresholdAge03,"&lt;"&amp;'19_Расчет_аналитики'!AR4608,WeightedMinAge03),MAX(CapacityAge03*'01_Вводные'!$B$218*'19_Расчет_аналитики'!AR4608,MeanMinAge03))),0)</f>
        <v/>
      </c>
      <c r="AS4542">
        <f>IF('01_Вводные'!$B$234="Да",IF(OR(('19_Расчет_аналитики'!AS4458-'19_Расчет_аналитики'!AS4486)=0,3&lt;='01_Вводные'!$B$297),0,('19_Расчет_аналитики'!AS4458-'19_Расчет_аналитики'!AS4486)*IF('01_Вводные'!$B$239="Да",MeanMinAge03+'19_Расчет_аналитики'!AS4608*SUMIF(ThresholdAge03,"&lt;"&amp;'19_Расчет_аналитики'!AS4608,WeightedRevAge03)-SUMIF(ThresholdAge03,"&lt;"&amp;'19_Расчет_аналитики'!AS4608,WeightedMinAge03),MAX(CapacityAge03*'01_Вводные'!$B$218*'19_Расчет_аналитики'!AS4608,MeanMinAge03))),0)</f>
        <v/>
      </c>
      <c r="AT4542">
        <f>IF('01_Вводные'!$B$234="Да",IF(OR(('19_Расчет_аналитики'!AT4458-'19_Расчет_аналитики'!AT4486)=0,3&lt;='01_Вводные'!$B$297),0,('19_Расчет_аналитики'!AT4458-'19_Расчет_аналитики'!AT4486)*IF('01_Вводные'!$B$239="Да",MeanMinAge03+'19_Расчет_аналитики'!AT4608*SUMIF(ThresholdAge03,"&lt;"&amp;'19_Расчет_аналитики'!AT4608,WeightedRevAge03)-SUMIF(ThresholdAge03,"&lt;"&amp;'19_Расчет_аналитики'!AT4608,WeightedMinAge03),MAX(CapacityAge03*'01_Вводные'!$B$218*'19_Расчет_аналитики'!AT4608,MeanMinAge03))),0)</f>
        <v/>
      </c>
      <c r="AU4542">
        <f>IF('01_Вводные'!$B$234="Да",IF(OR(('19_Расчет_аналитики'!AU4458-'19_Расчет_аналитики'!AU4486)=0,3&lt;='01_Вводные'!$B$297),0,('19_Расчет_аналитики'!AU4458-'19_Расчет_аналитики'!AU4486)*IF('01_Вводные'!$B$239="Да",MeanMinAge03+'19_Расчет_аналитики'!AU4608*SUMIF(ThresholdAge03,"&lt;"&amp;'19_Расчет_аналитики'!AU4608,WeightedRevAge03)-SUMIF(ThresholdAge03,"&lt;"&amp;'19_Расчет_аналитики'!AU4608,WeightedMinAge03),MAX(CapacityAge03*'01_Вводные'!$B$218*'19_Расчет_аналитики'!AU4608,MeanMinAge03))),0)</f>
        <v/>
      </c>
      <c r="AV4542">
        <f>IF('01_Вводные'!$B$234="Да",IF(OR(('19_Расчет_аналитики'!AV4458-'19_Расчет_аналитики'!AV4486)=0,3&lt;='01_Вводные'!$B$297),0,('19_Расчет_аналитики'!AV4458-'19_Расчет_аналитики'!AV4486)*IF('01_Вводные'!$B$239="Да",MeanMinAge03+'19_Расчет_аналитики'!AV4608*SUMIF(ThresholdAge03,"&lt;"&amp;'19_Расчет_аналитики'!AV4608,WeightedRevAge03)-SUMIF(ThresholdAge03,"&lt;"&amp;'19_Расчет_аналитики'!AV4608,WeightedMinAge03),MAX(CapacityAge03*'01_Вводные'!$B$218*'19_Расчет_аналитики'!AV4608,MeanMinAge03))),0)</f>
        <v/>
      </c>
      <c r="AW4542">
        <f>IF('01_Вводные'!$B$234="Да",IF(OR(('19_Расчет_аналитики'!AW4458-'19_Расчет_аналитики'!AW4486)=0,3&lt;='01_Вводные'!$B$297),0,('19_Расчет_аналитики'!AW4458-'19_Расчет_аналитики'!AW4486)*IF('01_Вводные'!$B$239="Да",MeanMinAge03+'19_Расчет_аналитики'!AW4608*SUMIF(ThresholdAge03,"&lt;"&amp;'19_Расчет_аналитики'!AW4608,WeightedRevAge03)-SUMIF(ThresholdAge03,"&lt;"&amp;'19_Расчет_аналитики'!AW4608,WeightedMinAge03),MAX(CapacityAge03*'01_Вводные'!$B$218*'19_Расчет_аналитики'!AW4608,MeanMinAge03))),0)</f>
        <v/>
      </c>
      <c r="AX4542">
        <f>IF('01_Вводные'!$B$234="Да",IF(OR(('19_Расчет_аналитики'!AX4458-'19_Расчет_аналитики'!AX4486)=0,3&lt;='01_Вводные'!$B$297),0,('19_Расчет_аналитики'!AX4458-'19_Расчет_аналитики'!AX4486)*IF('01_Вводные'!$B$239="Да",MeanMinAge03+'19_Расчет_аналитики'!AX4608*SUMIF(ThresholdAge03,"&lt;"&amp;'19_Расчет_аналитики'!AX4608,WeightedRevAge03)-SUMIF(ThresholdAge03,"&lt;"&amp;'19_Расчет_аналитики'!AX4608,WeightedMinAge03),MAX(CapacityAge03*'01_Вводные'!$B$218*'19_Расчет_аналитики'!AX4608,MeanMinAge03))),0)</f>
        <v/>
      </c>
      <c r="AY4542">
        <f>IF('01_Вводные'!$B$234="Да",IF(OR(('19_Расчет_аналитики'!AY4458-'19_Расчет_аналитики'!AY4486)=0,3&lt;='01_Вводные'!$B$297),0,('19_Расчет_аналитики'!AY4458-'19_Расчет_аналитики'!AY4486)*IF('01_Вводные'!$B$239="Да",MeanMinAge03+'19_Расчет_аналитики'!AY4608*SUMIF(ThresholdAge03,"&lt;"&amp;'19_Расчет_аналитики'!AY4608,WeightedRevAge03)-SUMIF(ThresholdAge03,"&lt;"&amp;'19_Расчет_аналитики'!AY4608,WeightedMinAge03),MAX(CapacityAge03*'01_Вводные'!$B$218*'19_Расчет_аналитики'!AY4608,MeanMinAge03))),0)</f>
        <v/>
      </c>
      <c r="AZ4542">
        <f>IF('01_Вводные'!$B$234="Да",IF(OR(('19_Расчет_аналитики'!AZ4458-'19_Расчет_аналитики'!AZ4486)=0,3&lt;='01_Вводные'!$B$297),0,('19_Расчет_аналитики'!AZ4458-'19_Расчет_аналитики'!AZ4486)*IF('01_Вводные'!$B$239="Да",MeanMinAge03+'19_Расчет_аналитики'!AZ4608*SUMIF(ThresholdAge03,"&lt;"&amp;'19_Расчет_аналитики'!AZ4608,WeightedRevAge03)-SUMIF(ThresholdAge03,"&lt;"&amp;'19_Расчет_аналитики'!AZ4608,WeightedMinAge03),MAX(CapacityAge03*'01_Вводные'!$B$218*'19_Расчет_аналитики'!AZ4608,MeanMinAge03))),0)</f>
        <v/>
      </c>
      <c r="BA4542">
        <f>IF('01_Вводные'!$B$234="Да",IF(OR(('19_Расчет_аналитики'!BA4458-'19_Расчет_аналитики'!BA4486)=0,3&lt;='01_Вводные'!$B$297),0,('19_Расчет_аналитики'!BA4458-'19_Расчет_аналитики'!BA4486)*IF('01_Вводные'!$B$239="Да",MeanMinAge03+'19_Расчет_аналитики'!BA4608*SUMIF(ThresholdAge03,"&lt;"&amp;'19_Расчет_аналитики'!BA4608,WeightedRevAge03)-SUMIF(ThresholdAge03,"&lt;"&amp;'19_Расчет_аналитики'!BA4608,WeightedMinAge03),MAX(CapacityAge03*'01_Вводные'!$B$218*'19_Расчет_аналитики'!BA4608,MeanMinAge03))),0)</f>
        <v/>
      </c>
      <c r="BB4542">
        <f>IF('01_Вводные'!$B$234="Да",IF(OR(('19_Расчет_аналитики'!BB4458-'19_Расчет_аналитики'!BB4486)=0,3&lt;='01_Вводные'!$B$297),0,('19_Расчет_аналитики'!BB4458-'19_Расчет_аналитики'!BB4486)*IF('01_Вводные'!$B$239="Да",MeanMinAge03+'19_Расчет_аналитики'!BB4608*SUMIF(ThresholdAge03,"&lt;"&amp;'19_Расчет_аналитики'!BB4608,WeightedRevAge03)-SUMIF(ThresholdAge03,"&lt;"&amp;'19_Расчет_аналитики'!BB4608,WeightedMinAge03),MAX(CapacityAge03*'01_Вводные'!$B$218*'19_Расчет_аналитики'!BB4608,MeanMinAge03))),0)</f>
        <v/>
      </c>
      <c r="BC4542">
        <f>IF('01_Вводные'!$B$234="Да",IF(OR(('19_Расчет_аналитики'!BC4458-'19_Расчет_аналитики'!BC4486)=0,3&lt;='01_Вводные'!$B$297),0,('19_Расчет_аналитики'!BC4458-'19_Расчет_аналитики'!BC4486)*IF('01_Вводные'!$B$239="Да",MeanMinAge03+'19_Расчет_аналитики'!BC4608*SUMIF(ThresholdAge03,"&lt;"&amp;'19_Расчет_аналитики'!BC4608,WeightedRevAge03)-SUMIF(ThresholdAge03,"&lt;"&amp;'19_Расчет_аналитики'!BC4608,WeightedMinAge03),MAX(CapacityAge03*'01_Вводные'!$B$218*'19_Расчет_аналитики'!BC4608,MeanMinAge03))),0)</f>
        <v/>
      </c>
      <c r="BD4542">
        <f>IF('01_Вводные'!$B$234="Да",IF(OR(('19_Расчет_аналитики'!BD4458-'19_Расчет_аналитики'!BD4486)=0,3&lt;='01_Вводные'!$B$297),0,('19_Расчет_аналитики'!BD4458-'19_Расчет_аналитики'!BD4486)*IF('01_Вводные'!$B$239="Да",MeanMinAge03+'19_Расчет_аналитики'!BD4608*SUMIF(ThresholdAge03,"&lt;"&amp;'19_Расчет_аналитики'!BD4608,WeightedRevAge03)-SUMIF(ThresholdAge03,"&lt;"&amp;'19_Расчет_аналитики'!BD4608,WeightedMinAge03),MAX(CapacityAge03*'01_Вводные'!$B$218*'19_Расчет_аналитики'!BD4608,MeanMinAge03))),0)</f>
        <v/>
      </c>
      <c r="BE4542">
        <f>IF('01_Вводные'!$B$234="Да",IF(OR(('19_Расчет_аналитики'!BE4458-'19_Расчет_аналитики'!BE4486)=0,3&lt;='01_Вводные'!$B$297),0,('19_Расчет_аналитики'!BE4458-'19_Расчет_аналитики'!BE4486)*IF('01_Вводные'!$B$239="Да",MeanMinAge03+'19_Расчет_аналитики'!BE4608*SUMIF(ThresholdAge03,"&lt;"&amp;'19_Расчет_аналитики'!BE4608,WeightedRevAge03)-SUMIF(ThresholdAge03,"&lt;"&amp;'19_Расчет_аналитики'!BE4608,WeightedMinAge03),MAX(CapacityAge03*'01_Вводные'!$B$218*'19_Расчет_аналитики'!BE4608,MeanMinAge03))),0)</f>
        <v/>
      </c>
      <c r="BF4542">
        <f>IF('01_Вводные'!$B$234="Да",IF(OR(('19_Расчет_аналитики'!BF4458-'19_Расчет_аналитики'!BF4486)=0,3&lt;='01_Вводные'!$B$297),0,('19_Расчет_аналитики'!BF4458-'19_Расчет_аналитики'!BF4486)*IF('01_Вводные'!$B$239="Да",MeanMinAge03+'19_Расчет_аналитики'!BF4608*SUMIF(ThresholdAge03,"&lt;"&amp;'19_Расчет_аналитики'!BF4608,WeightedRevAge03)-SUMIF(ThresholdAge03,"&lt;"&amp;'19_Расчет_аналитики'!BF4608,WeightedMinAge03),MAX(CapacityAge03*'01_Вводные'!$B$218*'19_Расчет_аналитики'!BF4608,MeanMinAge03))),0)</f>
        <v/>
      </c>
      <c r="BG4542">
        <f>IF('01_Вводные'!$B$234="Да",IF(OR(('19_Расчет_аналитики'!BG4458-'19_Расчет_аналитики'!BG4486)=0,3&lt;='01_Вводные'!$B$297),0,('19_Расчет_аналитики'!BG4458-'19_Расчет_аналитики'!BG4486)*IF('01_Вводные'!$B$239="Да",MeanMinAge03+'19_Расчет_аналитики'!BG4608*SUMIF(ThresholdAge03,"&lt;"&amp;'19_Расчет_аналитики'!BG4608,WeightedRevAge03)-SUMIF(ThresholdAge03,"&lt;"&amp;'19_Расчет_аналитики'!BG4608,WeightedMinAge03),MAX(CapacityAge03*'01_Вводные'!$B$218*'19_Расчет_аналитики'!BG4608,MeanMinAge03))),0)</f>
        <v/>
      </c>
      <c r="BH4542">
        <f>IF('01_Вводные'!$B$234="Да",IF(OR(('19_Расчет_аналитики'!BH4458-'19_Расчет_аналитики'!BH4486)=0,3&lt;='01_Вводные'!$B$297),0,('19_Расчет_аналитики'!BH4458-'19_Расчет_аналитики'!BH4486)*IF('01_Вводные'!$B$239="Да",MeanMinAge03+'19_Расчет_аналитики'!BH4608*SUMIF(ThresholdAge03,"&lt;"&amp;'19_Расчет_аналитики'!BH4608,WeightedRevAge03)-SUMIF(ThresholdAge03,"&lt;"&amp;'19_Расчет_аналитики'!BH4608,WeightedMinAge03),MAX(CapacityAge03*'01_Вводные'!$B$218*'19_Расчет_аналитики'!BH4608,MeanMinAge03))),0)</f>
        <v/>
      </c>
      <c r="BI4542">
        <f>IF('01_Вводные'!$B$234="Да",IF(OR(('19_Расчет_аналитики'!BI4458-'19_Расчет_аналитики'!BI4486)=0,3&lt;='01_Вводные'!$B$297),0,('19_Расчет_аналитики'!BI4458-'19_Расчет_аналитики'!BI4486)*IF('01_Вводные'!$B$239="Да",MeanMinAge03+'19_Расчет_аналитики'!BI4608*SUMIF(ThresholdAge03,"&lt;"&amp;'19_Расчет_аналитики'!BI4608,WeightedRevAge03)-SUMIF(ThresholdAge03,"&lt;"&amp;'19_Расчет_аналитики'!BI4608,WeightedMinAge03),MAX(CapacityAge03*'01_Вводные'!$B$218*'19_Расчет_аналитики'!BI4608,MeanMinAge03))),0)</f>
        <v/>
      </c>
      <c r="BJ4542">
        <f>IF('01_Вводные'!$B$234="Да",IF(OR(('19_Расчет_аналитики'!BJ4458-'19_Расчет_аналитики'!BJ4486)=0,3&lt;='01_Вводные'!$B$297),0,('19_Расчет_аналитики'!BJ4458-'19_Расчет_аналитики'!BJ4486)*IF('01_Вводные'!$B$239="Да",MeanMinAge03+'19_Расчет_аналитики'!BJ4608*SUMIF(ThresholdAge03,"&lt;"&amp;'19_Расчет_аналитики'!BJ4608,WeightedRevAge03)-SUMIF(ThresholdAge03,"&lt;"&amp;'19_Расчет_аналитики'!BJ4608,WeightedMinAge03),MAX(CapacityAge03*'01_Вводные'!$B$218*'19_Расчет_аналитики'!BJ4608,MeanMinAge03))),0)</f>
        <v/>
      </c>
      <c r="BK4542">
        <f>IF('01_Вводные'!$B$234="Да",IF(OR(('19_Расчет_аналитики'!BK4458-'19_Расчет_аналитики'!BK4486)=0,3&lt;='01_Вводные'!$B$297),0,('19_Расчет_аналитики'!BK4458-'19_Расчет_аналитики'!BK4486)*IF('01_Вводные'!$B$239="Да",MeanMinAge03+'19_Расчет_аналитики'!BK4608*SUMIF(ThresholdAge03,"&lt;"&amp;'19_Расчет_аналитики'!BK4608,WeightedRevAge03)-SUMIF(ThresholdAge03,"&lt;"&amp;'19_Расчет_аналитики'!BK4608,WeightedMinAge03),MAX(CapacityAge03*'01_Вводные'!$B$218*'19_Расчет_аналитики'!BK4608,MeanMinAge03))),0)</f>
        <v/>
      </c>
      <c r="BL4542">
        <f>IF('01_Вводные'!$B$234="Да",IF(OR(('19_Расчет_аналитики'!BL4458-'19_Расчет_аналитики'!BL4486)=0,3&lt;='01_Вводные'!$B$297),0,('19_Расчет_аналитики'!BL4458-'19_Расчет_аналитики'!BL4486)*IF('01_Вводные'!$B$239="Да",MeanMinAge03+'19_Расчет_аналитики'!BL4608*SUMIF(ThresholdAge03,"&lt;"&amp;'19_Расчет_аналитики'!BL4608,WeightedRevAge03)-SUMIF(ThresholdAge03,"&lt;"&amp;'19_Расчет_аналитики'!BL4608,WeightedMinAge03),MAX(CapacityAge03*'01_Вводные'!$B$218*'19_Расчет_аналитики'!BL4608,MeanMinAge03))),0)</f>
        <v/>
      </c>
      <c r="BM4542">
        <f>IF('01_Вводные'!$B$234="Да",IF(OR(('19_Расчет_аналитики'!BM4458-'19_Расчет_аналитики'!BM4486)=0,3&lt;='01_Вводные'!$B$297),0,('19_Расчет_аналитики'!BM4458-'19_Расчет_аналитики'!BM4486)*IF('01_Вводные'!$B$239="Да",MeanMinAge03+'19_Расчет_аналитики'!BM4608*SUMIF(ThresholdAge03,"&lt;"&amp;'19_Расчет_аналитики'!BM4608,WeightedRevAge03)-SUMIF(ThresholdAge03,"&lt;"&amp;'19_Расчет_аналитики'!BM4608,WeightedMinAge03),MAX(CapacityAge03*'01_Вводные'!$B$218*'19_Расчет_аналитики'!BM4608,MeanMinAge03))),0)</f>
        <v/>
      </c>
      <c r="BN4542">
        <f>IF('01_Вводные'!$B$234="Да",IF(OR(('19_Расчет_аналитики'!BN4458-'19_Расчет_аналитики'!BN4486)=0,3&lt;='01_Вводные'!$B$297),0,('19_Расчет_аналитики'!BN4458-'19_Расчет_аналитики'!BN4486)*IF('01_Вводные'!$B$239="Да",MeanMinAge03+'19_Расчет_аналитики'!BN4608*SUMIF(ThresholdAge03,"&lt;"&amp;'19_Расчет_аналитики'!BN4608,WeightedRevAge03)-SUMIF(ThresholdAge03,"&lt;"&amp;'19_Расчет_аналитики'!BN4608,WeightedMinAge03),MAX(CapacityAge03*'01_Вводные'!$B$218*'19_Расчет_аналитики'!BN4608,MeanMinAge03))),0)</f>
        <v/>
      </c>
      <c r="BO4542">
        <f>IF('01_Вводные'!$B$234="Да",IF(OR(('19_Расчет_аналитики'!BO4458-'19_Расчет_аналитики'!BO4486)=0,3&lt;='01_Вводные'!$B$297),0,('19_Расчет_аналитики'!BO4458-'19_Расчет_аналитики'!BO4486)*IF('01_Вводные'!$B$239="Да",MeanMinAge03+'19_Расчет_аналитики'!BO4608*SUMIF(ThresholdAge03,"&lt;"&amp;'19_Расчет_аналитики'!BO4608,WeightedRevAge03)-SUMIF(ThresholdAge03,"&lt;"&amp;'19_Расчет_аналитики'!BO4608,WeightedMinAge03),MAX(CapacityAge03*'01_Вводные'!$B$218*'19_Расчет_аналитики'!BO4608,MeanMinAge03))),0)</f>
        <v/>
      </c>
    </row>
    <row r="4543">
      <c r="B4543">
        <f>IF('01_Вводные'!$B$234="Да",IF(OR(('06_Сеть_и_дети'!B56-'06_Сеть_и_дети'!B84)=0,4&lt;='01_Вводные'!$B$297),0,('06_Сеть_и_дети'!B56-'06_Сеть_и_дети'!B84)*IF('01_Вводные'!$B$239="Да",MeanMinAge04+'19_Расчет_аналитики'!B4608*SUMIF(ThresholdAge04,"&lt;"&amp;'19_Расчет_аналитики'!B4608,WeightedRevAge04)-SUMIF(ThresholdAge04,"&lt;"&amp;'19_Расчет_аналитики'!B4608,WeightedMinAge04),MAX(CapacityAge04*'01_Вводные'!$B$218*'19_Расчет_аналитики'!B4608,MeanMinAge04))),0)</f>
        <v/>
      </c>
      <c r="C4543">
        <f>IF('01_Вводные'!$B$234="Да",IF(OR(('06_Сеть_и_дети'!C56-'06_Сеть_и_дети'!C84)=0,4&lt;='01_Вводные'!$B$297),0,('06_Сеть_и_дети'!C56-'06_Сеть_и_дети'!C84)*IF('01_Вводные'!$B$239="Да",MeanMinAge04+'19_Расчет_аналитики'!C4608*SUMIF(ThresholdAge04,"&lt;"&amp;'19_Расчет_аналитики'!C4608,WeightedRevAge04)-SUMIF(ThresholdAge04,"&lt;"&amp;'19_Расчет_аналитики'!C4608,WeightedMinAge04),MAX(CapacityAge04*'01_Вводные'!$B$218*'19_Расчет_аналитики'!C4608,MeanMinAge04))),0)</f>
        <v/>
      </c>
      <c r="D4543">
        <f>IF('01_Вводные'!$B$234="Да",IF(OR(('06_Сеть_и_дети'!D56-'06_Сеть_и_дети'!D84)=0,4&lt;='01_Вводные'!$B$297),0,('06_Сеть_и_дети'!D56-'06_Сеть_и_дети'!D84)*IF('01_Вводные'!$B$239="Да",MeanMinAge04+'19_Расчет_аналитики'!D4608*SUMIF(ThresholdAge04,"&lt;"&amp;'19_Расчет_аналитики'!D4608,WeightedRevAge04)-SUMIF(ThresholdAge04,"&lt;"&amp;'19_Расчет_аналитики'!D4608,WeightedMinAge04),MAX(CapacityAge04*'01_Вводные'!$B$218*'19_Расчет_аналитики'!D4608,MeanMinAge04))),0)</f>
        <v/>
      </c>
      <c r="E4543">
        <f>IF('01_Вводные'!$B$234="Да",IF(OR(('19_Расчет_аналитики'!E4459-'19_Расчет_аналитики'!E4487)=0,4&lt;='01_Вводные'!$B$297),0,('19_Расчет_аналитики'!E4459-'19_Расчет_аналитики'!E4487)*IF('01_Вводные'!$B$239="Да",MeanMinAge04+'19_Расчет_аналитики'!E4608*SUMIF(ThresholdAge04,"&lt;"&amp;'19_Расчет_аналитики'!E4608,WeightedRevAge04)-SUMIF(ThresholdAge04,"&lt;"&amp;'19_Расчет_аналитики'!E4608,WeightedMinAge04),MAX(CapacityAge04*'01_Вводные'!$B$218*'19_Расчет_аналитики'!E4608,MeanMinAge04))),0)</f>
        <v/>
      </c>
      <c r="F4543">
        <f>IF('01_Вводные'!$B$234="Да",IF(OR(('19_Расчет_аналитики'!F4459-'19_Расчет_аналитики'!F4487)=0,4&lt;='01_Вводные'!$B$297),0,('19_Расчет_аналитики'!F4459-'19_Расчет_аналитики'!F4487)*IF('01_Вводные'!$B$239="Да",MeanMinAge04+'19_Расчет_аналитики'!F4608*SUMIF(ThresholdAge04,"&lt;"&amp;'19_Расчет_аналитики'!F4608,WeightedRevAge04)-SUMIF(ThresholdAge04,"&lt;"&amp;'19_Расчет_аналитики'!F4608,WeightedMinAge04),MAX(CapacityAge04*'01_Вводные'!$B$218*'19_Расчет_аналитики'!F4608,MeanMinAge04))),0)</f>
        <v/>
      </c>
      <c r="G4543">
        <f>IF('01_Вводные'!$B$234="Да",IF(OR(('19_Расчет_аналитики'!G4459-'19_Расчет_аналитики'!G4487)=0,4&lt;='01_Вводные'!$B$297),0,('19_Расчет_аналитики'!G4459-'19_Расчет_аналитики'!G4487)*IF('01_Вводные'!$B$239="Да",MeanMinAge04+'19_Расчет_аналитики'!G4608*SUMIF(ThresholdAge04,"&lt;"&amp;'19_Расчет_аналитики'!G4608,WeightedRevAge04)-SUMIF(ThresholdAge04,"&lt;"&amp;'19_Расчет_аналитики'!G4608,WeightedMinAge04),MAX(CapacityAge04*'01_Вводные'!$B$218*'19_Расчет_аналитики'!G4608,MeanMinAge04))),0)</f>
        <v/>
      </c>
      <c r="H4543">
        <f>IF('01_Вводные'!$B$234="Да",IF(OR(('19_Расчет_аналитики'!H4459-'19_Расчет_аналитики'!H4487)=0,4&lt;='01_Вводные'!$B$297),0,('19_Расчет_аналитики'!H4459-'19_Расчет_аналитики'!H4487)*IF('01_Вводные'!$B$239="Да",MeanMinAge04+'19_Расчет_аналитики'!H4608*SUMIF(ThresholdAge04,"&lt;"&amp;'19_Расчет_аналитики'!H4608,WeightedRevAge04)-SUMIF(ThresholdAge04,"&lt;"&amp;'19_Расчет_аналитики'!H4608,WeightedMinAge04),MAX(CapacityAge04*'01_Вводные'!$B$218*'19_Расчет_аналитики'!H4608,MeanMinAge04))),0)</f>
        <v/>
      </c>
      <c r="I4543">
        <f>IF('01_Вводные'!$B$234="Да",IF(OR(('19_Расчет_аналитики'!I4459-'19_Расчет_аналитики'!I4487)=0,4&lt;='01_Вводные'!$B$297),0,('19_Расчет_аналитики'!I4459-'19_Расчет_аналитики'!I4487)*IF('01_Вводные'!$B$239="Да",MeanMinAge04+'19_Расчет_аналитики'!I4608*SUMIF(ThresholdAge04,"&lt;"&amp;'19_Расчет_аналитики'!I4608,WeightedRevAge04)-SUMIF(ThresholdAge04,"&lt;"&amp;'19_Расчет_аналитики'!I4608,WeightedMinAge04),MAX(CapacityAge04*'01_Вводные'!$B$218*'19_Расчет_аналитики'!I4608,MeanMinAge04))),0)</f>
        <v/>
      </c>
      <c r="J4543">
        <f>IF('01_Вводные'!$B$234="Да",IF(OR(('19_Расчет_аналитики'!J4459-'19_Расчет_аналитики'!J4487)=0,4&lt;='01_Вводные'!$B$297),0,('19_Расчет_аналитики'!J4459-'19_Расчет_аналитики'!J4487)*IF('01_Вводные'!$B$239="Да",MeanMinAge04+'19_Расчет_аналитики'!J4608*SUMIF(ThresholdAge04,"&lt;"&amp;'19_Расчет_аналитики'!J4608,WeightedRevAge04)-SUMIF(ThresholdAge04,"&lt;"&amp;'19_Расчет_аналитики'!J4608,WeightedMinAge04),MAX(CapacityAge04*'01_Вводные'!$B$218*'19_Расчет_аналитики'!J4608,MeanMinAge04))),0)</f>
        <v/>
      </c>
      <c r="K4543">
        <f>IF('01_Вводные'!$B$234="Да",IF(OR(('19_Расчет_аналитики'!K4459-'19_Расчет_аналитики'!K4487)=0,4&lt;='01_Вводные'!$B$297),0,('19_Расчет_аналитики'!K4459-'19_Расчет_аналитики'!K4487)*IF('01_Вводные'!$B$239="Да",MeanMinAge04+'19_Расчет_аналитики'!K4608*SUMIF(ThresholdAge04,"&lt;"&amp;'19_Расчет_аналитики'!K4608,WeightedRevAge04)-SUMIF(ThresholdAge04,"&lt;"&amp;'19_Расчет_аналитики'!K4608,WeightedMinAge04),MAX(CapacityAge04*'01_Вводные'!$B$218*'19_Расчет_аналитики'!K4608,MeanMinAge04))),0)</f>
        <v/>
      </c>
      <c r="L4543">
        <f>IF('01_Вводные'!$B$234="Да",IF(OR(('19_Расчет_аналитики'!L4459-'19_Расчет_аналитики'!L4487)=0,4&lt;='01_Вводные'!$B$297),0,('19_Расчет_аналитики'!L4459-'19_Расчет_аналитики'!L4487)*IF('01_Вводные'!$B$239="Да",MeanMinAge04+'19_Расчет_аналитики'!L4608*SUMIF(ThresholdAge04,"&lt;"&amp;'19_Расчет_аналитики'!L4608,WeightedRevAge04)-SUMIF(ThresholdAge04,"&lt;"&amp;'19_Расчет_аналитики'!L4608,WeightedMinAge04),MAX(CapacityAge04*'01_Вводные'!$B$218*'19_Расчет_аналитики'!L4608,MeanMinAge04))),0)</f>
        <v/>
      </c>
      <c r="M4543">
        <f>IF('01_Вводные'!$B$234="Да",IF(OR(('19_Расчет_аналитики'!M4459-'19_Расчет_аналитики'!M4487)=0,4&lt;='01_Вводные'!$B$297),0,('19_Расчет_аналитики'!M4459-'19_Расчет_аналитики'!M4487)*IF('01_Вводные'!$B$239="Да",MeanMinAge04+'19_Расчет_аналитики'!M4608*SUMIF(ThresholdAge04,"&lt;"&amp;'19_Расчет_аналитики'!M4608,WeightedRevAge04)-SUMIF(ThresholdAge04,"&lt;"&amp;'19_Расчет_аналитики'!M4608,WeightedMinAge04),MAX(CapacityAge04*'01_Вводные'!$B$218*'19_Расчет_аналитики'!M4608,MeanMinAge04))),0)</f>
        <v/>
      </c>
      <c r="N4543">
        <f>IF('01_Вводные'!$B$234="Да",IF(OR(('19_Расчет_аналитики'!N4459-'19_Расчет_аналитики'!N4487)=0,4&lt;='01_Вводные'!$B$297),0,('19_Расчет_аналитики'!N4459-'19_Расчет_аналитики'!N4487)*IF('01_Вводные'!$B$239="Да",MeanMinAge04+'19_Расчет_аналитики'!N4608*SUMIF(ThresholdAge04,"&lt;"&amp;'19_Расчет_аналитики'!N4608,WeightedRevAge04)-SUMIF(ThresholdAge04,"&lt;"&amp;'19_Расчет_аналитики'!N4608,WeightedMinAge04),MAX(CapacityAge04*'01_Вводные'!$B$218*'19_Расчет_аналитики'!N4608,MeanMinAge04))),0)</f>
        <v/>
      </c>
      <c r="O4543">
        <f>IF('01_Вводные'!$B$234="Да",IF(OR(('19_Расчет_аналитики'!O4459-'19_Расчет_аналитики'!O4487)=0,4&lt;='01_Вводные'!$B$297),0,('19_Расчет_аналитики'!O4459-'19_Расчет_аналитики'!O4487)*IF('01_Вводные'!$B$239="Да",MeanMinAge04+'19_Расчет_аналитики'!O4608*SUMIF(ThresholdAge04,"&lt;"&amp;'19_Расчет_аналитики'!O4608,WeightedRevAge04)-SUMIF(ThresholdAge04,"&lt;"&amp;'19_Расчет_аналитики'!O4608,WeightedMinAge04),MAX(CapacityAge04*'01_Вводные'!$B$218*'19_Расчет_аналитики'!O4608,MeanMinAge04))),0)</f>
        <v/>
      </c>
      <c r="P4543">
        <f>IF('01_Вводные'!$B$234="Да",IF(OR(('19_Расчет_аналитики'!P4459-'19_Расчет_аналитики'!P4487)=0,4&lt;='01_Вводные'!$B$297),0,('19_Расчет_аналитики'!P4459-'19_Расчет_аналитики'!P4487)*IF('01_Вводные'!$B$239="Да",MeanMinAge04+'19_Расчет_аналитики'!P4608*SUMIF(ThresholdAge04,"&lt;"&amp;'19_Расчет_аналитики'!P4608,WeightedRevAge04)-SUMIF(ThresholdAge04,"&lt;"&amp;'19_Расчет_аналитики'!P4608,WeightedMinAge04),MAX(CapacityAge04*'01_Вводные'!$B$218*'19_Расчет_аналитики'!P4608,MeanMinAge04))),0)</f>
        <v/>
      </c>
      <c r="Q4543">
        <f>IF('01_Вводные'!$B$234="Да",IF(OR(('19_Расчет_аналитики'!Q4459-'19_Расчет_аналитики'!Q4487)=0,4&lt;='01_Вводные'!$B$297),0,('19_Расчет_аналитики'!Q4459-'19_Расчет_аналитики'!Q4487)*IF('01_Вводные'!$B$239="Да",MeanMinAge04+'19_Расчет_аналитики'!Q4608*SUMIF(ThresholdAge04,"&lt;"&amp;'19_Расчет_аналитики'!Q4608,WeightedRevAge04)-SUMIF(ThresholdAge04,"&lt;"&amp;'19_Расчет_аналитики'!Q4608,WeightedMinAge04),MAX(CapacityAge04*'01_Вводные'!$B$218*'19_Расчет_аналитики'!Q4608,MeanMinAge04))),0)</f>
        <v/>
      </c>
      <c r="R4543">
        <f>IF('01_Вводные'!$B$234="Да",IF(OR(('19_Расчет_аналитики'!R4459-'19_Расчет_аналитики'!R4487)=0,4&lt;='01_Вводные'!$B$297),0,('19_Расчет_аналитики'!R4459-'19_Расчет_аналитики'!R4487)*IF('01_Вводные'!$B$239="Да",MeanMinAge04+'19_Расчет_аналитики'!R4608*SUMIF(ThresholdAge04,"&lt;"&amp;'19_Расчет_аналитики'!R4608,WeightedRevAge04)-SUMIF(ThresholdAge04,"&lt;"&amp;'19_Расчет_аналитики'!R4608,WeightedMinAge04),MAX(CapacityAge04*'01_Вводные'!$B$218*'19_Расчет_аналитики'!R4608,MeanMinAge04))),0)</f>
        <v/>
      </c>
      <c r="S4543">
        <f>IF('01_Вводные'!$B$234="Да",IF(OR(('19_Расчет_аналитики'!S4459-'19_Расчет_аналитики'!S4487)=0,4&lt;='01_Вводные'!$B$297),0,('19_Расчет_аналитики'!S4459-'19_Расчет_аналитики'!S4487)*IF('01_Вводные'!$B$239="Да",MeanMinAge04+'19_Расчет_аналитики'!S4608*SUMIF(ThresholdAge04,"&lt;"&amp;'19_Расчет_аналитики'!S4608,WeightedRevAge04)-SUMIF(ThresholdAge04,"&lt;"&amp;'19_Расчет_аналитики'!S4608,WeightedMinAge04),MAX(CapacityAge04*'01_Вводные'!$B$218*'19_Расчет_аналитики'!S4608,MeanMinAge04))),0)</f>
        <v/>
      </c>
      <c r="T4543">
        <f>IF('01_Вводные'!$B$234="Да",IF(OR(('19_Расчет_аналитики'!T4459-'19_Расчет_аналитики'!T4487)=0,4&lt;='01_Вводные'!$B$297),0,('19_Расчет_аналитики'!T4459-'19_Расчет_аналитики'!T4487)*IF('01_Вводные'!$B$239="Да",MeanMinAge04+'19_Расчет_аналитики'!T4608*SUMIF(ThresholdAge04,"&lt;"&amp;'19_Расчет_аналитики'!T4608,WeightedRevAge04)-SUMIF(ThresholdAge04,"&lt;"&amp;'19_Расчет_аналитики'!T4608,WeightedMinAge04),MAX(CapacityAge04*'01_Вводные'!$B$218*'19_Расчет_аналитики'!T4608,MeanMinAge04))),0)</f>
        <v/>
      </c>
      <c r="U4543">
        <f>IF('01_Вводные'!$B$234="Да",IF(OR(('19_Расчет_аналитики'!U4459-'19_Расчет_аналитики'!U4487)=0,4&lt;='01_Вводные'!$B$297),0,('19_Расчет_аналитики'!U4459-'19_Расчет_аналитики'!U4487)*IF('01_Вводные'!$B$239="Да",MeanMinAge04+'19_Расчет_аналитики'!U4608*SUMIF(ThresholdAge04,"&lt;"&amp;'19_Расчет_аналитики'!U4608,WeightedRevAge04)-SUMIF(ThresholdAge04,"&lt;"&amp;'19_Расчет_аналитики'!U4608,WeightedMinAge04),MAX(CapacityAge04*'01_Вводные'!$B$218*'19_Расчет_аналитики'!U4608,MeanMinAge04))),0)</f>
        <v/>
      </c>
      <c r="V4543">
        <f>IF('01_Вводные'!$B$234="Да",IF(OR(('19_Расчет_аналитики'!V4459-'19_Расчет_аналитики'!V4487)=0,4&lt;='01_Вводные'!$B$297),0,('19_Расчет_аналитики'!V4459-'19_Расчет_аналитики'!V4487)*IF('01_Вводные'!$B$239="Да",MeanMinAge04+'19_Расчет_аналитики'!V4608*SUMIF(ThresholdAge04,"&lt;"&amp;'19_Расчет_аналитики'!V4608,WeightedRevAge04)-SUMIF(ThresholdAge04,"&lt;"&amp;'19_Расчет_аналитики'!V4608,WeightedMinAge04),MAX(CapacityAge04*'01_Вводные'!$B$218*'19_Расчет_аналитики'!V4608,MeanMinAge04))),0)</f>
        <v/>
      </c>
      <c r="W4543">
        <f>IF('01_Вводные'!$B$234="Да",IF(OR(('19_Расчет_аналитики'!W4459-'19_Расчет_аналитики'!W4487)=0,4&lt;='01_Вводные'!$B$297),0,('19_Расчет_аналитики'!W4459-'19_Расчет_аналитики'!W4487)*IF('01_Вводные'!$B$239="Да",MeanMinAge04+'19_Расчет_аналитики'!W4608*SUMIF(ThresholdAge04,"&lt;"&amp;'19_Расчет_аналитики'!W4608,WeightedRevAge04)-SUMIF(ThresholdAge04,"&lt;"&amp;'19_Расчет_аналитики'!W4608,WeightedMinAge04),MAX(CapacityAge04*'01_Вводные'!$B$218*'19_Расчет_аналитики'!W4608,MeanMinAge04))),0)</f>
        <v/>
      </c>
      <c r="X4543">
        <f>IF('01_Вводные'!$B$234="Да",IF(OR(('19_Расчет_аналитики'!X4459-'19_Расчет_аналитики'!X4487)=0,4&lt;='01_Вводные'!$B$297),0,('19_Расчет_аналитики'!X4459-'19_Расчет_аналитики'!X4487)*IF('01_Вводные'!$B$239="Да",MeanMinAge04+'19_Расчет_аналитики'!X4608*SUMIF(ThresholdAge04,"&lt;"&amp;'19_Расчет_аналитики'!X4608,WeightedRevAge04)-SUMIF(ThresholdAge04,"&lt;"&amp;'19_Расчет_аналитики'!X4608,WeightedMinAge04),MAX(CapacityAge04*'01_Вводные'!$B$218*'19_Расчет_аналитики'!X4608,MeanMinAge04))),0)</f>
        <v/>
      </c>
      <c r="Y4543">
        <f>IF('01_Вводные'!$B$234="Да",IF(OR(('19_Расчет_аналитики'!Y4459-'19_Расчет_аналитики'!Y4487)=0,4&lt;='01_Вводные'!$B$297),0,('19_Расчет_аналитики'!Y4459-'19_Расчет_аналитики'!Y4487)*IF('01_Вводные'!$B$239="Да",MeanMinAge04+'19_Расчет_аналитики'!Y4608*SUMIF(ThresholdAge04,"&lt;"&amp;'19_Расчет_аналитики'!Y4608,WeightedRevAge04)-SUMIF(ThresholdAge04,"&lt;"&amp;'19_Расчет_аналитики'!Y4608,WeightedMinAge04),MAX(CapacityAge04*'01_Вводные'!$B$218*'19_Расчет_аналитики'!Y4608,MeanMinAge04))),0)</f>
        <v/>
      </c>
      <c r="Z4543">
        <f>IF('01_Вводные'!$B$234="Да",IF(OR(('19_Расчет_аналитики'!Z4459-'19_Расчет_аналитики'!Z4487)=0,4&lt;='01_Вводные'!$B$297),0,('19_Расчет_аналитики'!Z4459-'19_Расчет_аналитики'!Z4487)*IF('01_Вводные'!$B$239="Да",MeanMinAge04+'19_Расчет_аналитики'!Z4608*SUMIF(ThresholdAge04,"&lt;"&amp;'19_Расчет_аналитики'!Z4608,WeightedRevAge04)-SUMIF(ThresholdAge04,"&lt;"&amp;'19_Расчет_аналитики'!Z4608,WeightedMinAge04),MAX(CapacityAge04*'01_Вводные'!$B$218*'19_Расчет_аналитики'!Z4608,MeanMinAge04))),0)</f>
        <v/>
      </c>
      <c r="AA4543">
        <f>IF('01_Вводные'!$B$234="Да",IF(OR(('19_Расчет_аналитики'!AA4459-'19_Расчет_аналитики'!AA4487)=0,4&lt;='01_Вводные'!$B$297),0,('19_Расчет_аналитики'!AA4459-'19_Расчет_аналитики'!AA4487)*IF('01_Вводные'!$B$239="Да",MeanMinAge04+'19_Расчет_аналитики'!AA4608*SUMIF(ThresholdAge04,"&lt;"&amp;'19_Расчет_аналитики'!AA4608,WeightedRevAge04)-SUMIF(ThresholdAge04,"&lt;"&amp;'19_Расчет_аналитики'!AA4608,WeightedMinAge04),MAX(CapacityAge04*'01_Вводные'!$B$218*'19_Расчет_аналитики'!AA4608,MeanMinAge04))),0)</f>
        <v/>
      </c>
      <c r="AB4543">
        <f>IF('01_Вводные'!$B$234="Да",IF(OR(('19_Расчет_аналитики'!AB4459-'19_Расчет_аналитики'!AB4487)=0,4&lt;='01_Вводные'!$B$297),0,('19_Расчет_аналитики'!AB4459-'19_Расчет_аналитики'!AB4487)*IF('01_Вводные'!$B$239="Да",MeanMinAge04+'19_Расчет_аналитики'!AB4608*SUMIF(ThresholdAge04,"&lt;"&amp;'19_Расчет_аналитики'!AB4608,WeightedRevAge04)-SUMIF(ThresholdAge04,"&lt;"&amp;'19_Расчет_аналитики'!AB4608,WeightedMinAge04),MAX(CapacityAge04*'01_Вводные'!$B$218*'19_Расчет_аналитики'!AB4608,MeanMinAge04))),0)</f>
        <v/>
      </c>
      <c r="AC4543">
        <f>IF('01_Вводные'!$B$234="Да",IF(OR(('19_Расчет_аналитики'!AC4459-'19_Расчет_аналитики'!AC4487)=0,4&lt;='01_Вводные'!$B$297),0,('19_Расчет_аналитики'!AC4459-'19_Расчет_аналитики'!AC4487)*IF('01_Вводные'!$B$239="Да",MeanMinAge04+'19_Расчет_аналитики'!AC4608*SUMIF(ThresholdAge04,"&lt;"&amp;'19_Расчет_аналитики'!AC4608,WeightedRevAge04)-SUMIF(ThresholdAge04,"&lt;"&amp;'19_Расчет_аналитики'!AC4608,WeightedMinAge04),MAX(CapacityAge04*'01_Вводные'!$B$218*'19_Расчет_аналитики'!AC4608,MeanMinAge04))),0)</f>
        <v/>
      </c>
      <c r="AD4543">
        <f>IF('01_Вводные'!$B$234="Да",IF(OR(('19_Расчет_аналитики'!AD4459-'19_Расчет_аналитики'!AD4487)=0,4&lt;='01_Вводные'!$B$297),0,('19_Расчет_аналитики'!AD4459-'19_Расчет_аналитики'!AD4487)*IF('01_Вводные'!$B$239="Да",MeanMinAge04+'19_Расчет_аналитики'!AD4608*SUMIF(ThresholdAge04,"&lt;"&amp;'19_Расчет_аналитики'!AD4608,WeightedRevAge04)-SUMIF(ThresholdAge04,"&lt;"&amp;'19_Расчет_аналитики'!AD4608,WeightedMinAge04),MAX(CapacityAge04*'01_Вводные'!$B$218*'19_Расчет_аналитики'!AD4608,MeanMinAge04))),0)</f>
        <v/>
      </c>
      <c r="AE4543">
        <f>IF('01_Вводные'!$B$234="Да",IF(OR(('19_Расчет_аналитики'!AE4459-'19_Расчет_аналитики'!AE4487)=0,4&lt;='01_Вводные'!$B$297),0,('19_Расчет_аналитики'!AE4459-'19_Расчет_аналитики'!AE4487)*IF('01_Вводные'!$B$239="Да",MeanMinAge04+'19_Расчет_аналитики'!AE4608*SUMIF(ThresholdAge04,"&lt;"&amp;'19_Расчет_аналитики'!AE4608,WeightedRevAge04)-SUMIF(ThresholdAge04,"&lt;"&amp;'19_Расчет_аналитики'!AE4608,WeightedMinAge04),MAX(CapacityAge04*'01_Вводные'!$B$218*'19_Расчет_аналитики'!AE4608,MeanMinAge04))),0)</f>
        <v/>
      </c>
      <c r="AF4543">
        <f>IF('01_Вводные'!$B$234="Да",IF(OR(('19_Расчет_аналитики'!AF4459-'19_Расчет_аналитики'!AF4487)=0,4&lt;='01_Вводные'!$B$297),0,('19_Расчет_аналитики'!AF4459-'19_Расчет_аналитики'!AF4487)*IF('01_Вводные'!$B$239="Да",MeanMinAge04+'19_Расчет_аналитики'!AF4608*SUMIF(ThresholdAge04,"&lt;"&amp;'19_Расчет_аналитики'!AF4608,WeightedRevAge04)-SUMIF(ThresholdAge04,"&lt;"&amp;'19_Расчет_аналитики'!AF4608,WeightedMinAge04),MAX(CapacityAge04*'01_Вводные'!$B$218*'19_Расчет_аналитики'!AF4608,MeanMinAge04))),0)</f>
        <v/>
      </c>
      <c r="AG4543">
        <f>IF('01_Вводные'!$B$234="Да",IF(OR(('19_Расчет_аналитики'!AG4459-'19_Расчет_аналитики'!AG4487)=0,4&lt;='01_Вводные'!$B$297),0,('19_Расчет_аналитики'!AG4459-'19_Расчет_аналитики'!AG4487)*IF('01_Вводные'!$B$239="Да",MeanMinAge04+'19_Расчет_аналитики'!AG4608*SUMIF(ThresholdAge04,"&lt;"&amp;'19_Расчет_аналитики'!AG4608,WeightedRevAge04)-SUMIF(ThresholdAge04,"&lt;"&amp;'19_Расчет_аналитики'!AG4608,WeightedMinAge04),MAX(CapacityAge04*'01_Вводные'!$B$218*'19_Расчет_аналитики'!AG4608,MeanMinAge04))),0)</f>
        <v/>
      </c>
      <c r="AH4543">
        <f>IF('01_Вводные'!$B$234="Да",IF(OR(('19_Расчет_аналитики'!AH4459-'19_Расчет_аналитики'!AH4487)=0,4&lt;='01_Вводные'!$B$297),0,('19_Расчет_аналитики'!AH4459-'19_Расчет_аналитики'!AH4487)*IF('01_Вводные'!$B$239="Да",MeanMinAge04+'19_Расчет_аналитики'!AH4608*SUMIF(ThresholdAge04,"&lt;"&amp;'19_Расчет_аналитики'!AH4608,WeightedRevAge04)-SUMIF(ThresholdAge04,"&lt;"&amp;'19_Расчет_аналитики'!AH4608,WeightedMinAge04),MAX(CapacityAge04*'01_Вводные'!$B$218*'19_Расчет_аналитики'!AH4608,MeanMinAge04))),0)</f>
        <v/>
      </c>
      <c r="AI4543">
        <f>IF('01_Вводные'!$B$234="Да",IF(OR(('19_Расчет_аналитики'!AI4459-'19_Расчет_аналитики'!AI4487)=0,4&lt;='01_Вводные'!$B$297),0,('19_Расчет_аналитики'!AI4459-'19_Расчет_аналитики'!AI4487)*IF('01_Вводные'!$B$239="Да",MeanMinAge04+'19_Расчет_аналитики'!AI4608*SUMIF(ThresholdAge04,"&lt;"&amp;'19_Расчет_аналитики'!AI4608,WeightedRevAge04)-SUMIF(ThresholdAge04,"&lt;"&amp;'19_Расчет_аналитики'!AI4608,WeightedMinAge04),MAX(CapacityAge04*'01_Вводные'!$B$218*'19_Расчет_аналитики'!AI4608,MeanMinAge04))),0)</f>
        <v/>
      </c>
      <c r="AJ4543">
        <f>IF('01_Вводные'!$B$234="Да",IF(OR(('19_Расчет_аналитики'!AJ4459-'19_Расчет_аналитики'!AJ4487)=0,4&lt;='01_Вводные'!$B$297),0,('19_Расчет_аналитики'!AJ4459-'19_Расчет_аналитики'!AJ4487)*IF('01_Вводные'!$B$239="Да",MeanMinAge04+'19_Расчет_аналитики'!AJ4608*SUMIF(ThresholdAge04,"&lt;"&amp;'19_Расчет_аналитики'!AJ4608,WeightedRevAge04)-SUMIF(ThresholdAge04,"&lt;"&amp;'19_Расчет_аналитики'!AJ4608,WeightedMinAge04),MAX(CapacityAge04*'01_Вводные'!$B$218*'19_Расчет_аналитики'!AJ4608,MeanMinAge04))),0)</f>
        <v/>
      </c>
      <c r="AK4543">
        <f>IF('01_Вводные'!$B$234="Да",IF(OR(('19_Расчет_аналитики'!AK4459-'19_Расчет_аналитики'!AK4487)=0,4&lt;='01_Вводные'!$B$297),0,('19_Расчет_аналитики'!AK4459-'19_Расчет_аналитики'!AK4487)*IF('01_Вводные'!$B$239="Да",MeanMinAge04+'19_Расчет_аналитики'!AK4608*SUMIF(ThresholdAge04,"&lt;"&amp;'19_Расчет_аналитики'!AK4608,WeightedRevAge04)-SUMIF(ThresholdAge04,"&lt;"&amp;'19_Расчет_аналитики'!AK4608,WeightedMinAge04),MAX(CapacityAge04*'01_Вводные'!$B$218*'19_Расчет_аналитики'!AK4608,MeanMinAge04))),0)</f>
        <v/>
      </c>
      <c r="AL4543">
        <f>IF('01_Вводные'!$B$234="Да",IF(OR(('19_Расчет_аналитики'!AL4459-'19_Расчет_аналитики'!AL4487)=0,4&lt;='01_Вводные'!$B$297),0,('19_Расчет_аналитики'!AL4459-'19_Расчет_аналитики'!AL4487)*IF('01_Вводные'!$B$239="Да",MeanMinAge04+'19_Расчет_аналитики'!AL4608*SUMIF(ThresholdAge04,"&lt;"&amp;'19_Расчет_аналитики'!AL4608,WeightedRevAge04)-SUMIF(ThresholdAge04,"&lt;"&amp;'19_Расчет_аналитики'!AL4608,WeightedMinAge04),MAX(CapacityAge04*'01_Вводные'!$B$218*'19_Расчет_аналитики'!AL4608,MeanMinAge04))),0)</f>
        <v/>
      </c>
      <c r="AM4543">
        <f>IF('01_Вводные'!$B$234="Да",IF(OR(('19_Расчет_аналитики'!AM4459-'19_Расчет_аналитики'!AM4487)=0,4&lt;='01_Вводные'!$B$297),0,('19_Расчет_аналитики'!AM4459-'19_Расчет_аналитики'!AM4487)*IF('01_Вводные'!$B$239="Да",MeanMinAge04+'19_Расчет_аналитики'!AM4608*SUMIF(ThresholdAge04,"&lt;"&amp;'19_Расчет_аналитики'!AM4608,WeightedRevAge04)-SUMIF(ThresholdAge04,"&lt;"&amp;'19_Расчет_аналитики'!AM4608,WeightedMinAge04),MAX(CapacityAge04*'01_Вводные'!$B$218*'19_Расчет_аналитики'!AM4608,MeanMinAge04))),0)</f>
        <v/>
      </c>
      <c r="AN4543">
        <f>IF('01_Вводные'!$B$234="Да",IF(OR(('19_Расчет_аналитики'!AN4459-'19_Расчет_аналитики'!AN4487)=0,4&lt;='01_Вводные'!$B$297),0,('19_Расчет_аналитики'!AN4459-'19_Расчет_аналитики'!AN4487)*IF('01_Вводные'!$B$239="Да",MeanMinAge04+'19_Расчет_аналитики'!AN4608*SUMIF(ThresholdAge04,"&lt;"&amp;'19_Расчет_аналитики'!AN4608,WeightedRevAge04)-SUMIF(ThresholdAge04,"&lt;"&amp;'19_Расчет_аналитики'!AN4608,WeightedMinAge04),MAX(CapacityAge04*'01_Вводные'!$B$218*'19_Расчет_аналитики'!AN4608,MeanMinAge04))),0)</f>
        <v/>
      </c>
      <c r="AO4543">
        <f>IF('01_Вводные'!$B$234="Да",IF(OR(('19_Расчет_аналитики'!AO4459-'19_Расчет_аналитики'!AO4487)=0,4&lt;='01_Вводные'!$B$297),0,('19_Расчет_аналитики'!AO4459-'19_Расчет_аналитики'!AO4487)*IF('01_Вводные'!$B$239="Да",MeanMinAge04+'19_Расчет_аналитики'!AO4608*SUMIF(ThresholdAge04,"&lt;"&amp;'19_Расчет_аналитики'!AO4608,WeightedRevAge04)-SUMIF(ThresholdAge04,"&lt;"&amp;'19_Расчет_аналитики'!AO4608,WeightedMinAge04),MAX(CapacityAge04*'01_Вводные'!$B$218*'19_Расчет_аналитики'!AO4608,MeanMinAge04))),0)</f>
        <v/>
      </c>
      <c r="AP4543">
        <f>IF('01_Вводные'!$B$234="Да",IF(OR(('19_Расчет_аналитики'!AP4459-'19_Расчет_аналитики'!AP4487)=0,4&lt;='01_Вводные'!$B$297),0,('19_Расчет_аналитики'!AP4459-'19_Расчет_аналитики'!AP4487)*IF('01_Вводные'!$B$239="Да",MeanMinAge04+'19_Расчет_аналитики'!AP4608*SUMIF(ThresholdAge04,"&lt;"&amp;'19_Расчет_аналитики'!AP4608,WeightedRevAge04)-SUMIF(ThresholdAge04,"&lt;"&amp;'19_Расчет_аналитики'!AP4608,WeightedMinAge04),MAX(CapacityAge04*'01_Вводные'!$B$218*'19_Расчет_аналитики'!AP4608,MeanMinAge04))),0)</f>
        <v/>
      </c>
      <c r="AQ4543">
        <f>IF('01_Вводные'!$B$234="Да",IF(OR(('19_Расчет_аналитики'!AQ4459-'19_Расчет_аналитики'!AQ4487)=0,4&lt;='01_Вводные'!$B$297),0,('19_Расчет_аналитики'!AQ4459-'19_Расчет_аналитики'!AQ4487)*IF('01_Вводные'!$B$239="Да",MeanMinAge04+'19_Расчет_аналитики'!AQ4608*SUMIF(ThresholdAge04,"&lt;"&amp;'19_Расчет_аналитики'!AQ4608,WeightedRevAge04)-SUMIF(ThresholdAge04,"&lt;"&amp;'19_Расчет_аналитики'!AQ4608,WeightedMinAge04),MAX(CapacityAge04*'01_Вводные'!$B$218*'19_Расчет_аналитики'!AQ4608,MeanMinAge04))),0)</f>
        <v/>
      </c>
      <c r="AR4543">
        <f>IF('01_Вводные'!$B$234="Да",IF(OR(('19_Расчет_аналитики'!AR4459-'19_Расчет_аналитики'!AR4487)=0,4&lt;='01_Вводные'!$B$297),0,('19_Расчет_аналитики'!AR4459-'19_Расчет_аналитики'!AR4487)*IF('01_Вводные'!$B$239="Да",MeanMinAge04+'19_Расчет_аналитики'!AR4608*SUMIF(ThresholdAge04,"&lt;"&amp;'19_Расчет_аналитики'!AR4608,WeightedRevAge04)-SUMIF(ThresholdAge04,"&lt;"&amp;'19_Расчет_аналитики'!AR4608,WeightedMinAge04),MAX(CapacityAge04*'01_Вводные'!$B$218*'19_Расчет_аналитики'!AR4608,MeanMinAge04))),0)</f>
        <v/>
      </c>
      <c r="AS4543">
        <f>IF('01_Вводные'!$B$234="Да",IF(OR(('19_Расчет_аналитики'!AS4459-'19_Расчет_аналитики'!AS4487)=0,4&lt;='01_Вводные'!$B$297),0,('19_Расчет_аналитики'!AS4459-'19_Расчет_аналитики'!AS4487)*IF('01_Вводные'!$B$239="Да",MeanMinAge04+'19_Расчет_аналитики'!AS4608*SUMIF(ThresholdAge04,"&lt;"&amp;'19_Расчет_аналитики'!AS4608,WeightedRevAge04)-SUMIF(ThresholdAge04,"&lt;"&amp;'19_Расчет_аналитики'!AS4608,WeightedMinAge04),MAX(CapacityAge04*'01_Вводные'!$B$218*'19_Расчет_аналитики'!AS4608,MeanMinAge04))),0)</f>
        <v/>
      </c>
      <c r="AT4543">
        <f>IF('01_Вводные'!$B$234="Да",IF(OR(('19_Расчет_аналитики'!AT4459-'19_Расчет_аналитики'!AT4487)=0,4&lt;='01_Вводные'!$B$297),0,('19_Расчет_аналитики'!AT4459-'19_Расчет_аналитики'!AT4487)*IF('01_Вводные'!$B$239="Да",MeanMinAge04+'19_Расчет_аналитики'!AT4608*SUMIF(ThresholdAge04,"&lt;"&amp;'19_Расчет_аналитики'!AT4608,WeightedRevAge04)-SUMIF(ThresholdAge04,"&lt;"&amp;'19_Расчет_аналитики'!AT4608,WeightedMinAge04),MAX(CapacityAge04*'01_Вводные'!$B$218*'19_Расчет_аналитики'!AT4608,MeanMinAge04))),0)</f>
        <v/>
      </c>
      <c r="AU4543">
        <f>IF('01_Вводные'!$B$234="Да",IF(OR(('19_Расчет_аналитики'!AU4459-'19_Расчет_аналитики'!AU4487)=0,4&lt;='01_Вводные'!$B$297),0,('19_Расчет_аналитики'!AU4459-'19_Расчет_аналитики'!AU4487)*IF('01_Вводные'!$B$239="Да",MeanMinAge04+'19_Расчет_аналитики'!AU4608*SUMIF(ThresholdAge04,"&lt;"&amp;'19_Расчет_аналитики'!AU4608,WeightedRevAge04)-SUMIF(ThresholdAge04,"&lt;"&amp;'19_Расчет_аналитики'!AU4608,WeightedMinAge04),MAX(CapacityAge04*'01_Вводные'!$B$218*'19_Расчет_аналитики'!AU4608,MeanMinAge04))),0)</f>
        <v/>
      </c>
      <c r="AV4543">
        <f>IF('01_Вводные'!$B$234="Да",IF(OR(('19_Расчет_аналитики'!AV4459-'19_Расчет_аналитики'!AV4487)=0,4&lt;='01_Вводные'!$B$297),0,('19_Расчет_аналитики'!AV4459-'19_Расчет_аналитики'!AV4487)*IF('01_Вводные'!$B$239="Да",MeanMinAge04+'19_Расчет_аналитики'!AV4608*SUMIF(ThresholdAge04,"&lt;"&amp;'19_Расчет_аналитики'!AV4608,WeightedRevAge04)-SUMIF(ThresholdAge04,"&lt;"&amp;'19_Расчет_аналитики'!AV4608,WeightedMinAge04),MAX(CapacityAge04*'01_Вводные'!$B$218*'19_Расчет_аналитики'!AV4608,MeanMinAge04))),0)</f>
        <v/>
      </c>
      <c r="AW4543">
        <f>IF('01_Вводные'!$B$234="Да",IF(OR(('19_Расчет_аналитики'!AW4459-'19_Расчет_аналитики'!AW4487)=0,4&lt;='01_Вводные'!$B$297),0,('19_Расчет_аналитики'!AW4459-'19_Расчет_аналитики'!AW4487)*IF('01_Вводные'!$B$239="Да",MeanMinAge04+'19_Расчет_аналитики'!AW4608*SUMIF(ThresholdAge04,"&lt;"&amp;'19_Расчет_аналитики'!AW4608,WeightedRevAge04)-SUMIF(ThresholdAge04,"&lt;"&amp;'19_Расчет_аналитики'!AW4608,WeightedMinAge04),MAX(CapacityAge04*'01_Вводные'!$B$218*'19_Расчет_аналитики'!AW4608,MeanMinAge04))),0)</f>
        <v/>
      </c>
      <c r="AX4543">
        <f>IF('01_Вводные'!$B$234="Да",IF(OR(('19_Расчет_аналитики'!AX4459-'19_Расчет_аналитики'!AX4487)=0,4&lt;='01_Вводные'!$B$297),0,('19_Расчет_аналитики'!AX4459-'19_Расчет_аналитики'!AX4487)*IF('01_Вводные'!$B$239="Да",MeanMinAge04+'19_Расчет_аналитики'!AX4608*SUMIF(ThresholdAge04,"&lt;"&amp;'19_Расчет_аналитики'!AX4608,WeightedRevAge04)-SUMIF(ThresholdAge04,"&lt;"&amp;'19_Расчет_аналитики'!AX4608,WeightedMinAge04),MAX(CapacityAge04*'01_Вводные'!$B$218*'19_Расчет_аналитики'!AX4608,MeanMinAge04))),0)</f>
        <v/>
      </c>
      <c r="AY4543">
        <f>IF('01_Вводные'!$B$234="Да",IF(OR(('19_Расчет_аналитики'!AY4459-'19_Расчет_аналитики'!AY4487)=0,4&lt;='01_Вводные'!$B$297),0,('19_Расчет_аналитики'!AY4459-'19_Расчет_аналитики'!AY4487)*IF('01_Вводные'!$B$239="Да",MeanMinAge04+'19_Расчет_аналитики'!AY4608*SUMIF(ThresholdAge04,"&lt;"&amp;'19_Расчет_аналитики'!AY4608,WeightedRevAge04)-SUMIF(ThresholdAge04,"&lt;"&amp;'19_Расчет_аналитики'!AY4608,WeightedMinAge04),MAX(CapacityAge04*'01_Вводные'!$B$218*'19_Расчет_аналитики'!AY4608,MeanMinAge04))),0)</f>
        <v/>
      </c>
      <c r="AZ4543">
        <f>IF('01_Вводные'!$B$234="Да",IF(OR(('19_Расчет_аналитики'!AZ4459-'19_Расчет_аналитики'!AZ4487)=0,4&lt;='01_Вводные'!$B$297),0,('19_Расчет_аналитики'!AZ4459-'19_Расчет_аналитики'!AZ4487)*IF('01_Вводные'!$B$239="Да",MeanMinAge04+'19_Расчет_аналитики'!AZ4608*SUMIF(ThresholdAge04,"&lt;"&amp;'19_Расчет_аналитики'!AZ4608,WeightedRevAge04)-SUMIF(ThresholdAge04,"&lt;"&amp;'19_Расчет_аналитики'!AZ4608,WeightedMinAge04),MAX(CapacityAge04*'01_Вводные'!$B$218*'19_Расчет_аналитики'!AZ4608,MeanMinAge04))),0)</f>
        <v/>
      </c>
      <c r="BA4543">
        <f>IF('01_Вводные'!$B$234="Да",IF(OR(('19_Расчет_аналитики'!BA4459-'19_Расчет_аналитики'!BA4487)=0,4&lt;='01_Вводные'!$B$297),0,('19_Расчет_аналитики'!BA4459-'19_Расчет_аналитики'!BA4487)*IF('01_Вводные'!$B$239="Да",MeanMinAge04+'19_Расчет_аналитики'!BA4608*SUMIF(ThresholdAge04,"&lt;"&amp;'19_Расчет_аналитики'!BA4608,WeightedRevAge04)-SUMIF(ThresholdAge04,"&lt;"&amp;'19_Расчет_аналитики'!BA4608,WeightedMinAge04),MAX(CapacityAge04*'01_Вводные'!$B$218*'19_Расчет_аналитики'!BA4608,MeanMinAge04))),0)</f>
        <v/>
      </c>
      <c r="BB4543">
        <f>IF('01_Вводные'!$B$234="Да",IF(OR(('19_Расчет_аналитики'!BB4459-'19_Расчет_аналитики'!BB4487)=0,4&lt;='01_Вводные'!$B$297),0,('19_Расчет_аналитики'!BB4459-'19_Расчет_аналитики'!BB4487)*IF('01_Вводные'!$B$239="Да",MeanMinAge04+'19_Расчет_аналитики'!BB4608*SUMIF(ThresholdAge04,"&lt;"&amp;'19_Расчет_аналитики'!BB4608,WeightedRevAge04)-SUMIF(ThresholdAge04,"&lt;"&amp;'19_Расчет_аналитики'!BB4608,WeightedMinAge04),MAX(CapacityAge04*'01_Вводные'!$B$218*'19_Расчет_аналитики'!BB4608,MeanMinAge04))),0)</f>
        <v/>
      </c>
      <c r="BC4543">
        <f>IF('01_Вводные'!$B$234="Да",IF(OR(('19_Расчет_аналитики'!BC4459-'19_Расчет_аналитики'!BC4487)=0,4&lt;='01_Вводные'!$B$297),0,('19_Расчет_аналитики'!BC4459-'19_Расчет_аналитики'!BC4487)*IF('01_Вводные'!$B$239="Да",MeanMinAge04+'19_Расчет_аналитики'!BC4608*SUMIF(ThresholdAge04,"&lt;"&amp;'19_Расчет_аналитики'!BC4608,WeightedRevAge04)-SUMIF(ThresholdAge04,"&lt;"&amp;'19_Расчет_аналитики'!BC4608,WeightedMinAge04),MAX(CapacityAge04*'01_Вводные'!$B$218*'19_Расчет_аналитики'!BC4608,MeanMinAge04))),0)</f>
        <v/>
      </c>
      <c r="BD4543">
        <f>IF('01_Вводные'!$B$234="Да",IF(OR(('19_Расчет_аналитики'!BD4459-'19_Расчет_аналитики'!BD4487)=0,4&lt;='01_Вводные'!$B$297),0,('19_Расчет_аналитики'!BD4459-'19_Расчет_аналитики'!BD4487)*IF('01_Вводные'!$B$239="Да",MeanMinAge04+'19_Расчет_аналитики'!BD4608*SUMIF(ThresholdAge04,"&lt;"&amp;'19_Расчет_аналитики'!BD4608,WeightedRevAge04)-SUMIF(ThresholdAge04,"&lt;"&amp;'19_Расчет_аналитики'!BD4608,WeightedMinAge04),MAX(CapacityAge04*'01_Вводные'!$B$218*'19_Расчет_аналитики'!BD4608,MeanMinAge04))),0)</f>
        <v/>
      </c>
      <c r="BE4543">
        <f>IF('01_Вводные'!$B$234="Да",IF(OR(('19_Расчет_аналитики'!BE4459-'19_Расчет_аналитики'!BE4487)=0,4&lt;='01_Вводные'!$B$297),0,('19_Расчет_аналитики'!BE4459-'19_Расчет_аналитики'!BE4487)*IF('01_Вводные'!$B$239="Да",MeanMinAge04+'19_Расчет_аналитики'!BE4608*SUMIF(ThresholdAge04,"&lt;"&amp;'19_Расчет_аналитики'!BE4608,WeightedRevAge04)-SUMIF(ThresholdAge04,"&lt;"&amp;'19_Расчет_аналитики'!BE4608,WeightedMinAge04),MAX(CapacityAge04*'01_Вводные'!$B$218*'19_Расчет_аналитики'!BE4608,MeanMinAge04))),0)</f>
        <v/>
      </c>
      <c r="BF4543">
        <f>IF('01_Вводные'!$B$234="Да",IF(OR(('19_Расчет_аналитики'!BF4459-'19_Расчет_аналитики'!BF4487)=0,4&lt;='01_Вводные'!$B$297),0,('19_Расчет_аналитики'!BF4459-'19_Расчет_аналитики'!BF4487)*IF('01_Вводные'!$B$239="Да",MeanMinAge04+'19_Расчет_аналитики'!BF4608*SUMIF(ThresholdAge04,"&lt;"&amp;'19_Расчет_аналитики'!BF4608,WeightedRevAge04)-SUMIF(ThresholdAge04,"&lt;"&amp;'19_Расчет_аналитики'!BF4608,WeightedMinAge04),MAX(CapacityAge04*'01_Вводные'!$B$218*'19_Расчет_аналитики'!BF4608,MeanMinAge04))),0)</f>
        <v/>
      </c>
      <c r="BG4543">
        <f>IF('01_Вводные'!$B$234="Да",IF(OR(('19_Расчет_аналитики'!BG4459-'19_Расчет_аналитики'!BG4487)=0,4&lt;='01_Вводные'!$B$297),0,('19_Расчет_аналитики'!BG4459-'19_Расчет_аналитики'!BG4487)*IF('01_Вводные'!$B$239="Да",MeanMinAge04+'19_Расчет_аналитики'!BG4608*SUMIF(ThresholdAge04,"&lt;"&amp;'19_Расчет_аналитики'!BG4608,WeightedRevAge04)-SUMIF(ThresholdAge04,"&lt;"&amp;'19_Расчет_аналитики'!BG4608,WeightedMinAge04),MAX(CapacityAge04*'01_Вводные'!$B$218*'19_Расчет_аналитики'!BG4608,MeanMinAge04))),0)</f>
        <v/>
      </c>
      <c r="BH4543">
        <f>IF('01_Вводные'!$B$234="Да",IF(OR(('19_Расчет_аналитики'!BH4459-'19_Расчет_аналитики'!BH4487)=0,4&lt;='01_Вводные'!$B$297),0,('19_Расчет_аналитики'!BH4459-'19_Расчет_аналитики'!BH4487)*IF('01_Вводные'!$B$239="Да",MeanMinAge04+'19_Расчет_аналитики'!BH4608*SUMIF(ThresholdAge04,"&lt;"&amp;'19_Расчет_аналитики'!BH4608,WeightedRevAge04)-SUMIF(ThresholdAge04,"&lt;"&amp;'19_Расчет_аналитики'!BH4608,WeightedMinAge04),MAX(CapacityAge04*'01_Вводные'!$B$218*'19_Расчет_аналитики'!BH4608,MeanMinAge04))),0)</f>
        <v/>
      </c>
      <c r="BI4543">
        <f>IF('01_Вводные'!$B$234="Да",IF(OR(('19_Расчет_аналитики'!BI4459-'19_Расчет_аналитики'!BI4487)=0,4&lt;='01_Вводные'!$B$297),0,('19_Расчет_аналитики'!BI4459-'19_Расчет_аналитики'!BI4487)*IF('01_Вводные'!$B$239="Да",MeanMinAge04+'19_Расчет_аналитики'!BI4608*SUMIF(ThresholdAge04,"&lt;"&amp;'19_Расчет_аналитики'!BI4608,WeightedRevAge04)-SUMIF(ThresholdAge04,"&lt;"&amp;'19_Расчет_аналитики'!BI4608,WeightedMinAge04),MAX(CapacityAge04*'01_Вводные'!$B$218*'19_Расчет_аналитики'!BI4608,MeanMinAge04))),0)</f>
        <v/>
      </c>
      <c r="BJ4543">
        <f>IF('01_Вводные'!$B$234="Да",IF(OR(('19_Расчет_аналитики'!BJ4459-'19_Расчет_аналитики'!BJ4487)=0,4&lt;='01_Вводные'!$B$297),0,('19_Расчет_аналитики'!BJ4459-'19_Расчет_аналитики'!BJ4487)*IF('01_Вводные'!$B$239="Да",MeanMinAge04+'19_Расчет_аналитики'!BJ4608*SUMIF(ThresholdAge04,"&lt;"&amp;'19_Расчет_аналитики'!BJ4608,WeightedRevAge04)-SUMIF(ThresholdAge04,"&lt;"&amp;'19_Расчет_аналитики'!BJ4608,WeightedMinAge04),MAX(CapacityAge04*'01_Вводные'!$B$218*'19_Расчет_аналитики'!BJ4608,MeanMinAge04))),0)</f>
        <v/>
      </c>
      <c r="BK4543">
        <f>IF('01_Вводные'!$B$234="Да",IF(OR(('19_Расчет_аналитики'!BK4459-'19_Расчет_аналитики'!BK4487)=0,4&lt;='01_Вводные'!$B$297),0,('19_Расчет_аналитики'!BK4459-'19_Расчет_аналитики'!BK4487)*IF('01_Вводные'!$B$239="Да",MeanMinAge04+'19_Расчет_аналитики'!BK4608*SUMIF(ThresholdAge04,"&lt;"&amp;'19_Расчет_аналитики'!BK4608,WeightedRevAge04)-SUMIF(ThresholdAge04,"&lt;"&amp;'19_Расчет_аналитики'!BK4608,WeightedMinAge04),MAX(CapacityAge04*'01_Вводные'!$B$218*'19_Расчет_аналитики'!BK4608,MeanMinAge04))),0)</f>
        <v/>
      </c>
      <c r="BL4543">
        <f>IF('01_Вводные'!$B$234="Да",IF(OR(('19_Расчет_аналитики'!BL4459-'19_Расчет_аналитики'!BL4487)=0,4&lt;='01_Вводные'!$B$297),0,('19_Расчет_аналитики'!BL4459-'19_Расчет_аналитики'!BL4487)*IF('01_Вводные'!$B$239="Да",MeanMinAge04+'19_Расчет_аналитики'!BL4608*SUMIF(ThresholdAge04,"&lt;"&amp;'19_Расчет_аналитики'!BL4608,WeightedRevAge04)-SUMIF(ThresholdAge04,"&lt;"&amp;'19_Расчет_аналитики'!BL4608,WeightedMinAge04),MAX(CapacityAge04*'01_Вводные'!$B$218*'19_Расчет_аналитики'!BL4608,MeanMinAge04))),0)</f>
        <v/>
      </c>
      <c r="BM4543">
        <f>IF('01_Вводные'!$B$234="Да",IF(OR(('19_Расчет_аналитики'!BM4459-'19_Расчет_аналитики'!BM4487)=0,4&lt;='01_Вводные'!$B$297),0,('19_Расчет_аналитики'!BM4459-'19_Расчет_аналитики'!BM4487)*IF('01_Вводные'!$B$239="Да",MeanMinAge04+'19_Расчет_аналитики'!BM4608*SUMIF(ThresholdAge04,"&lt;"&amp;'19_Расчет_аналитики'!BM4608,WeightedRevAge04)-SUMIF(ThresholdAge04,"&lt;"&amp;'19_Расчет_аналитики'!BM4608,WeightedMinAge04),MAX(CapacityAge04*'01_Вводные'!$B$218*'19_Расчет_аналитики'!BM4608,MeanMinAge04))),0)</f>
        <v/>
      </c>
      <c r="BN4543">
        <f>IF('01_Вводные'!$B$234="Да",IF(OR(('19_Расчет_аналитики'!BN4459-'19_Расчет_аналитики'!BN4487)=0,4&lt;='01_Вводные'!$B$297),0,('19_Расчет_аналитики'!BN4459-'19_Расчет_аналитики'!BN4487)*IF('01_Вводные'!$B$239="Да",MeanMinAge04+'19_Расчет_аналитики'!BN4608*SUMIF(ThresholdAge04,"&lt;"&amp;'19_Расчет_аналитики'!BN4608,WeightedRevAge04)-SUMIF(ThresholdAge04,"&lt;"&amp;'19_Расчет_аналитики'!BN4608,WeightedMinAge04),MAX(CapacityAge04*'01_Вводные'!$B$218*'19_Расчет_аналитики'!BN4608,MeanMinAge04))),0)</f>
        <v/>
      </c>
      <c r="BO4543">
        <f>IF('01_Вводные'!$B$234="Да",IF(OR(('19_Расчет_аналитики'!BO4459-'19_Расчет_аналитики'!BO4487)=0,4&lt;='01_Вводные'!$B$297),0,('19_Расчет_аналитики'!BO4459-'19_Расчет_аналитики'!BO4487)*IF('01_Вводные'!$B$239="Да",MeanMinAge04+'19_Расчет_аналитики'!BO4608*SUMIF(ThresholdAge04,"&lt;"&amp;'19_Расчет_аналитики'!BO4608,WeightedRevAge04)-SUMIF(ThresholdAge04,"&lt;"&amp;'19_Расчет_аналитики'!BO4608,WeightedMinAge04),MAX(CapacityAge04*'01_Вводные'!$B$218*'19_Расчет_аналитики'!BO4608,MeanMinAge04))),0)</f>
        <v/>
      </c>
    </row>
    <row r="4544">
      <c r="B4544">
        <f>IF('01_Вводные'!$B$234="Да",IF(OR(('06_Сеть_и_дети'!B57-'06_Сеть_и_дети'!B85)=0,5&lt;='01_Вводные'!$B$297),0,('06_Сеть_и_дети'!B57-'06_Сеть_и_дети'!B85)*IF('01_Вводные'!$B$239="Да",MeanMinAge05+'19_Расчет_аналитики'!B4608*SUMIF(ThresholdAge05,"&lt;"&amp;'19_Расчет_аналитики'!B4608,WeightedRevAge05)-SUMIF(ThresholdAge05,"&lt;"&amp;'19_Расчет_аналитики'!B4608,WeightedMinAge05),MAX(CapacityAge05*'01_Вводные'!$B$218*'19_Расчет_аналитики'!B4608,MeanMinAge05))),0)</f>
        <v/>
      </c>
      <c r="C4544">
        <f>IF('01_Вводные'!$B$234="Да",IF(OR(('06_Сеть_и_дети'!C57-'06_Сеть_и_дети'!C85)=0,5&lt;='01_Вводные'!$B$297),0,('06_Сеть_и_дети'!C57-'06_Сеть_и_дети'!C85)*IF('01_Вводные'!$B$239="Да",MeanMinAge05+'19_Расчет_аналитики'!C4608*SUMIF(ThresholdAge05,"&lt;"&amp;'19_Расчет_аналитики'!C4608,WeightedRevAge05)-SUMIF(ThresholdAge05,"&lt;"&amp;'19_Расчет_аналитики'!C4608,WeightedMinAge05),MAX(CapacityAge05*'01_Вводные'!$B$218*'19_Расчет_аналитики'!C4608,MeanMinAge05))),0)</f>
        <v/>
      </c>
      <c r="D4544">
        <f>IF('01_Вводные'!$B$234="Да",IF(OR(('06_Сеть_и_дети'!D57-'06_Сеть_и_дети'!D85)=0,5&lt;='01_Вводные'!$B$297),0,('06_Сеть_и_дети'!D57-'06_Сеть_и_дети'!D85)*IF('01_Вводные'!$B$239="Да",MeanMinAge05+'19_Расчет_аналитики'!D4608*SUMIF(ThresholdAge05,"&lt;"&amp;'19_Расчет_аналитики'!D4608,WeightedRevAge05)-SUMIF(ThresholdAge05,"&lt;"&amp;'19_Расчет_аналитики'!D4608,WeightedMinAge05),MAX(CapacityAge05*'01_Вводные'!$B$218*'19_Расчет_аналитики'!D4608,MeanMinAge05))),0)</f>
        <v/>
      </c>
      <c r="E4544">
        <f>IF('01_Вводные'!$B$234="Да",IF(OR(('06_Сеть_и_дети'!E57-'06_Сеть_и_дети'!E85)=0,5&lt;='01_Вводные'!$B$297),0,('06_Сеть_и_дети'!E57-'06_Сеть_и_дети'!E85)*IF('01_Вводные'!$B$239="Да",MeanMinAge05+'19_Расчет_аналитики'!E4608*SUMIF(ThresholdAge05,"&lt;"&amp;'19_Расчет_аналитики'!E4608,WeightedRevAge05)-SUMIF(ThresholdAge05,"&lt;"&amp;'19_Расчет_аналитики'!E4608,WeightedMinAge05),MAX(CapacityAge05*'01_Вводные'!$B$218*'19_Расчет_аналитики'!E4608,MeanMinAge05))),0)</f>
        <v/>
      </c>
      <c r="F4544">
        <f>IF('01_Вводные'!$B$234="Да",IF(OR(('19_Расчет_аналитики'!F4460-'19_Расчет_аналитики'!F4488)=0,5&lt;='01_Вводные'!$B$297),0,('19_Расчет_аналитики'!F4460-'19_Расчет_аналитики'!F4488)*IF('01_Вводные'!$B$239="Да",MeanMinAge05+'19_Расчет_аналитики'!F4608*SUMIF(ThresholdAge05,"&lt;"&amp;'19_Расчет_аналитики'!F4608,WeightedRevAge05)-SUMIF(ThresholdAge05,"&lt;"&amp;'19_Расчет_аналитики'!F4608,WeightedMinAge05),MAX(CapacityAge05*'01_Вводные'!$B$218*'19_Расчет_аналитики'!F4608,MeanMinAge05))),0)</f>
        <v/>
      </c>
      <c r="G4544">
        <f>IF('01_Вводные'!$B$234="Да",IF(OR(('19_Расчет_аналитики'!G4460-'19_Расчет_аналитики'!G4488)=0,5&lt;='01_Вводные'!$B$297),0,('19_Расчет_аналитики'!G4460-'19_Расчет_аналитики'!G4488)*IF('01_Вводные'!$B$239="Да",MeanMinAge05+'19_Расчет_аналитики'!G4608*SUMIF(ThresholdAge05,"&lt;"&amp;'19_Расчет_аналитики'!G4608,WeightedRevAge05)-SUMIF(ThresholdAge05,"&lt;"&amp;'19_Расчет_аналитики'!G4608,WeightedMinAge05),MAX(CapacityAge05*'01_Вводные'!$B$218*'19_Расчет_аналитики'!G4608,MeanMinAge05))),0)</f>
        <v/>
      </c>
      <c r="H4544">
        <f>IF('01_Вводные'!$B$234="Да",IF(OR(('19_Расчет_аналитики'!H4460-'19_Расчет_аналитики'!H4488)=0,5&lt;='01_Вводные'!$B$297),0,('19_Расчет_аналитики'!H4460-'19_Расчет_аналитики'!H4488)*IF('01_Вводные'!$B$239="Да",MeanMinAge05+'19_Расчет_аналитики'!H4608*SUMIF(ThresholdAge05,"&lt;"&amp;'19_Расчет_аналитики'!H4608,WeightedRevAge05)-SUMIF(ThresholdAge05,"&lt;"&amp;'19_Расчет_аналитики'!H4608,WeightedMinAge05),MAX(CapacityAge05*'01_Вводные'!$B$218*'19_Расчет_аналитики'!H4608,MeanMinAge05))),0)</f>
        <v/>
      </c>
      <c r="I4544">
        <f>IF('01_Вводные'!$B$234="Да",IF(OR(('19_Расчет_аналитики'!I4460-'19_Расчет_аналитики'!I4488)=0,5&lt;='01_Вводные'!$B$297),0,('19_Расчет_аналитики'!I4460-'19_Расчет_аналитики'!I4488)*IF('01_Вводные'!$B$239="Да",MeanMinAge05+'19_Расчет_аналитики'!I4608*SUMIF(ThresholdAge05,"&lt;"&amp;'19_Расчет_аналитики'!I4608,WeightedRevAge05)-SUMIF(ThresholdAge05,"&lt;"&amp;'19_Расчет_аналитики'!I4608,WeightedMinAge05),MAX(CapacityAge05*'01_Вводные'!$B$218*'19_Расчет_аналитики'!I4608,MeanMinAge05))),0)</f>
        <v/>
      </c>
      <c r="J4544">
        <f>IF('01_Вводные'!$B$234="Да",IF(OR(('19_Расчет_аналитики'!J4460-'19_Расчет_аналитики'!J4488)=0,5&lt;='01_Вводные'!$B$297),0,('19_Расчет_аналитики'!J4460-'19_Расчет_аналитики'!J4488)*IF('01_Вводные'!$B$239="Да",MeanMinAge05+'19_Расчет_аналитики'!J4608*SUMIF(ThresholdAge05,"&lt;"&amp;'19_Расчет_аналитики'!J4608,WeightedRevAge05)-SUMIF(ThresholdAge05,"&lt;"&amp;'19_Расчет_аналитики'!J4608,WeightedMinAge05),MAX(CapacityAge05*'01_Вводные'!$B$218*'19_Расчет_аналитики'!J4608,MeanMinAge05))),0)</f>
        <v/>
      </c>
      <c r="K4544">
        <f>IF('01_Вводные'!$B$234="Да",IF(OR(('19_Расчет_аналитики'!K4460-'19_Расчет_аналитики'!K4488)=0,5&lt;='01_Вводные'!$B$297),0,('19_Расчет_аналитики'!K4460-'19_Расчет_аналитики'!K4488)*IF('01_Вводные'!$B$239="Да",MeanMinAge05+'19_Расчет_аналитики'!K4608*SUMIF(ThresholdAge05,"&lt;"&amp;'19_Расчет_аналитики'!K4608,WeightedRevAge05)-SUMIF(ThresholdAge05,"&lt;"&amp;'19_Расчет_аналитики'!K4608,WeightedMinAge05),MAX(CapacityAge05*'01_Вводные'!$B$218*'19_Расчет_аналитики'!K4608,MeanMinAge05))),0)</f>
        <v/>
      </c>
      <c r="L4544">
        <f>IF('01_Вводные'!$B$234="Да",IF(OR(('19_Расчет_аналитики'!L4460-'19_Расчет_аналитики'!L4488)=0,5&lt;='01_Вводные'!$B$297),0,('19_Расчет_аналитики'!L4460-'19_Расчет_аналитики'!L4488)*IF('01_Вводные'!$B$239="Да",MeanMinAge05+'19_Расчет_аналитики'!L4608*SUMIF(ThresholdAge05,"&lt;"&amp;'19_Расчет_аналитики'!L4608,WeightedRevAge05)-SUMIF(ThresholdAge05,"&lt;"&amp;'19_Расчет_аналитики'!L4608,WeightedMinAge05),MAX(CapacityAge05*'01_Вводные'!$B$218*'19_Расчет_аналитики'!L4608,MeanMinAge05))),0)</f>
        <v/>
      </c>
      <c r="M4544">
        <f>IF('01_Вводные'!$B$234="Да",IF(OR(('19_Расчет_аналитики'!M4460-'19_Расчет_аналитики'!M4488)=0,5&lt;='01_Вводные'!$B$297),0,('19_Расчет_аналитики'!M4460-'19_Расчет_аналитики'!M4488)*IF('01_Вводные'!$B$239="Да",MeanMinAge05+'19_Расчет_аналитики'!M4608*SUMIF(ThresholdAge05,"&lt;"&amp;'19_Расчет_аналитики'!M4608,WeightedRevAge05)-SUMIF(ThresholdAge05,"&lt;"&amp;'19_Расчет_аналитики'!M4608,WeightedMinAge05),MAX(CapacityAge05*'01_Вводные'!$B$218*'19_Расчет_аналитики'!M4608,MeanMinAge05))),0)</f>
        <v/>
      </c>
      <c r="N4544">
        <f>IF('01_Вводные'!$B$234="Да",IF(OR(('19_Расчет_аналитики'!N4460-'19_Расчет_аналитики'!N4488)=0,5&lt;='01_Вводные'!$B$297),0,('19_Расчет_аналитики'!N4460-'19_Расчет_аналитики'!N4488)*IF('01_Вводные'!$B$239="Да",MeanMinAge05+'19_Расчет_аналитики'!N4608*SUMIF(ThresholdAge05,"&lt;"&amp;'19_Расчет_аналитики'!N4608,WeightedRevAge05)-SUMIF(ThresholdAge05,"&lt;"&amp;'19_Расчет_аналитики'!N4608,WeightedMinAge05),MAX(CapacityAge05*'01_Вводные'!$B$218*'19_Расчет_аналитики'!N4608,MeanMinAge05))),0)</f>
        <v/>
      </c>
      <c r="O4544">
        <f>IF('01_Вводные'!$B$234="Да",IF(OR(('19_Расчет_аналитики'!O4460-'19_Расчет_аналитики'!O4488)=0,5&lt;='01_Вводные'!$B$297),0,('19_Расчет_аналитики'!O4460-'19_Расчет_аналитики'!O4488)*IF('01_Вводные'!$B$239="Да",MeanMinAge05+'19_Расчет_аналитики'!O4608*SUMIF(ThresholdAge05,"&lt;"&amp;'19_Расчет_аналитики'!O4608,WeightedRevAge05)-SUMIF(ThresholdAge05,"&lt;"&amp;'19_Расчет_аналитики'!O4608,WeightedMinAge05),MAX(CapacityAge05*'01_Вводные'!$B$218*'19_Расчет_аналитики'!O4608,MeanMinAge05))),0)</f>
        <v/>
      </c>
      <c r="P4544">
        <f>IF('01_Вводные'!$B$234="Да",IF(OR(('19_Расчет_аналитики'!P4460-'19_Расчет_аналитики'!P4488)=0,5&lt;='01_Вводные'!$B$297),0,('19_Расчет_аналитики'!P4460-'19_Расчет_аналитики'!P4488)*IF('01_Вводные'!$B$239="Да",MeanMinAge05+'19_Расчет_аналитики'!P4608*SUMIF(ThresholdAge05,"&lt;"&amp;'19_Расчет_аналитики'!P4608,WeightedRevAge05)-SUMIF(ThresholdAge05,"&lt;"&amp;'19_Расчет_аналитики'!P4608,WeightedMinAge05),MAX(CapacityAge05*'01_Вводные'!$B$218*'19_Расчет_аналитики'!P4608,MeanMinAge05))),0)</f>
        <v/>
      </c>
      <c r="Q4544">
        <f>IF('01_Вводные'!$B$234="Да",IF(OR(('19_Расчет_аналитики'!Q4460-'19_Расчет_аналитики'!Q4488)=0,5&lt;='01_Вводные'!$B$297),0,('19_Расчет_аналитики'!Q4460-'19_Расчет_аналитики'!Q4488)*IF('01_Вводные'!$B$239="Да",MeanMinAge05+'19_Расчет_аналитики'!Q4608*SUMIF(ThresholdAge05,"&lt;"&amp;'19_Расчет_аналитики'!Q4608,WeightedRevAge05)-SUMIF(ThresholdAge05,"&lt;"&amp;'19_Расчет_аналитики'!Q4608,WeightedMinAge05),MAX(CapacityAge05*'01_Вводные'!$B$218*'19_Расчет_аналитики'!Q4608,MeanMinAge05))),0)</f>
        <v/>
      </c>
      <c r="R4544">
        <f>IF('01_Вводные'!$B$234="Да",IF(OR(('19_Расчет_аналитики'!R4460-'19_Расчет_аналитики'!R4488)=0,5&lt;='01_Вводные'!$B$297),0,('19_Расчет_аналитики'!R4460-'19_Расчет_аналитики'!R4488)*IF('01_Вводные'!$B$239="Да",MeanMinAge05+'19_Расчет_аналитики'!R4608*SUMIF(ThresholdAge05,"&lt;"&amp;'19_Расчет_аналитики'!R4608,WeightedRevAge05)-SUMIF(ThresholdAge05,"&lt;"&amp;'19_Расчет_аналитики'!R4608,WeightedMinAge05),MAX(CapacityAge05*'01_Вводные'!$B$218*'19_Расчет_аналитики'!R4608,MeanMinAge05))),0)</f>
        <v/>
      </c>
      <c r="S4544">
        <f>IF('01_Вводные'!$B$234="Да",IF(OR(('19_Расчет_аналитики'!S4460-'19_Расчет_аналитики'!S4488)=0,5&lt;='01_Вводные'!$B$297),0,('19_Расчет_аналитики'!S4460-'19_Расчет_аналитики'!S4488)*IF('01_Вводные'!$B$239="Да",MeanMinAge05+'19_Расчет_аналитики'!S4608*SUMIF(ThresholdAge05,"&lt;"&amp;'19_Расчет_аналитики'!S4608,WeightedRevAge05)-SUMIF(ThresholdAge05,"&lt;"&amp;'19_Расчет_аналитики'!S4608,WeightedMinAge05),MAX(CapacityAge05*'01_Вводные'!$B$218*'19_Расчет_аналитики'!S4608,MeanMinAge05))),0)</f>
        <v/>
      </c>
      <c r="T4544">
        <f>IF('01_Вводные'!$B$234="Да",IF(OR(('19_Расчет_аналитики'!T4460-'19_Расчет_аналитики'!T4488)=0,5&lt;='01_Вводные'!$B$297),0,('19_Расчет_аналитики'!T4460-'19_Расчет_аналитики'!T4488)*IF('01_Вводные'!$B$239="Да",MeanMinAge05+'19_Расчет_аналитики'!T4608*SUMIF(ThresholdAge05,"&lt;"&amp;'19_Расчет_аналитики'!T4608,WeightedRevAge05)-SUMIF(ThresholdAge05,"&lt;"&amp;'19_Расчет_аналитики'!T4608,WeightedMinAge05),MAX(CapacityAge05*'01_Вводные'!$B$218*'19_Расчет_аналитики'!T4608,MeanMinAge05))),0)</f>
        <v/>
      </c>
      <c r="U4544">
        <f>IF('01_Вводные'!$B$234="Да",IF(OR(('19_Расчет_аналитики'!U4460-'19_Расчет_аналитики'!U4488)=0,5&lt;='01_Вводные'!$B$297),0,('19_Расчет_аналитики'!U4460-'19_Расчет_аналитики'!U4488)*IF('01_Вводные'!$B$239="Да",MeanMinAge05+'19_Расчет_аналитики'!U4608*SUMIF(ThresholdAge05,"&lt;"&amp;'19_Расчет_аналитики'!U4608,WeightedRevAge05)-SUMIF(ThresholdAge05,"&lt;"&amp;'19_Расчет_аналитики'!U4608,WeightedMinAge05),MAX(CapacityAge05*'01_Вводные'!$B$218*'19_Расчет_аналитики'!U4608,MeanMinAge05))),0)</f>
        <v/>
      </c>
      <c r="V4544">
        <f>IF('01_Вводные'!$B$234="Да",IF(OR(('19_Расчет_аналитики'!V4460-'19_Расчет_аналитики'!V4488)=0,5&lt;='01_Вводные'!$B$297),0,('19_Расчет_аналитики'!V4460-'19_Расчет_аналитики'!V4488)*IF('01_Вводные'!$B$239="Да",MeanMinAge05+'19_Расчет_аналитики'!V4608*SUMIF(ThresholdAge05,"&lt;"&amp;'19_Расчет_аналитики'!V4608,WeightedRevAge05)-SUMIF(ThresholdAge05,"&lt;"&amp;'19_Расчет_аналитики'!V4608,WeightedMinAge05),MAX(CapacityAge05*'01_Вводные'!$B$218*'19_Расчет_аналитики'!V4608,MeanMinAge05))),0)</f>
        <v/>
      </c>
      <c r="W4544">
        <f>IF('01_Вводные'!$B$234="Да",IF(OR(('19_Расчет_аналитики'!W4460-'19_Расчет_аналитики'!W4488)=0,5&lt;='01_Вводные'!$B$297),0,('19_Расчет_аналитики'!W4460-'19_Расчет_аналитики'!W4488)*IF('01_Вводные'!$B$239="Да",MeanMinAge05+'19_Расчет_аналитики'!W4608*SUMIF(ThresholdAge05,"&lt;"&amp;'19_Расчет_аналитики'!W4608,WeightedRevAge05)-SUMIF(ThresholdAge05,"&lt;"&amp;'19_Расчет_аналитики'!W4608,WeightedMinAge05),MAX(CapacityAge05*'01_Вводные'!$B$218*'19_Расчет_аналитики'!W4608,MeanMinAge05))),0)</f>
        <v/>
      </c>
      <c r="X4544">
        <f>IF('01_Вводные'!$B$234="Да",IF(OR(('19_Расчет_аналитики'!X4460-'19_Расчет_аналитики'!X4488)=0,5&lt;='01_Вводные'!$B$297),0,('19_Расчет_аналитики'!X4460-'19_Расчет_аналитики'!X4488)*IF('01_Вводные'!$B$239="Да",MeanMinAge05+'19_Расчет_аналитики'!X4608*SUMIF(ThresholdAge05,"&lt;"&amp;'19_Расчет_аналитики'!X4608,WeightedRevAge05)-SUMIF(ThresholdAge05,"&lt;"&amp;'19_Расчет_аналитики'!X4608,WeightedMinAge05),MAX(CapacityAge05*'01_Вводные'!$B$218*'19_Расчет_аналитики'!X4608,MeanMinAge05))),0)</f>
        <v/>
      </c>
      <c r="Y4544">
        <f>IF('01_Вводные'!$B$234="Да",IF(OR(('19_Расчет_аналитики'!Y4460-'19_Расчет_аналитики'!Y4488)=0,5&lt;='01_Вводные'!$B$297),0,('19_Расчет_аналитики'!Y4460-'19_Расчет_аналитики'!Y4488)*IF('01_Вводные'!$B$239="Да",MeanMinAge05+'19_Расчет_аналитики'!Y4608*SUMIF(ThresholdAge05,"&lt;"&amp;'19_Расчет_аналитики'!Y4608,WeightedRevAge05)-SUMIF(ThresholdAge05,"&lt;"&amp;'19_Расчет_аналитики'!Y4608,WeightedMinAge05),MAX(CapacityAge05*'01_Вводные'!$B$218*'19_Расчет_аналитики'!Y4608,MeanMinAge05))),0)</f>
        <v/>
      </c>
      <c r="Z4544">
        <f>IF('01_Вводные'!$B$234="Да",IF(OR(('19_Расчет_аналитики'!Z4460-'19_Расчет_аналитики'!Z4488)=0,5&lt;='01_Вводные'!$B$297),0,('19_Расчет_аналитики'!Z4460-'19_Расчет_аналитики'!Z4488)*IF('01_Вводные'!$B$239="Да",MeanMinAge05+'19_Расчет_аналитики'!Z4608*SUMIF(ThresholdAge05,"&lt;"&amp;'19_Расчет_аналитики'!Z4608,WeightedRevAge05)-SUMIF(ThresholdAge05,"&lt;"&amp;'19_Расчет_аналитики'!Z4608,WeightedMinAge05),MAX(CapacityAge05*'01_Вводные'!$B$218*'19_Расчет_аналитики'!Z4608,MeanMinAge05))),0)</f>
        <v/>
      </c>
      <c r="AA4544">
        <f>IF('01_Вводные'!$B$234="Да",IF(OR(('19_Расчет_аналитики'!AA4460-'19_Расчет_аналитики'!AA4488)=0,5&lt;='01_Вводные'!$B$297),0,('19_Расчет_аналитики'!AA4460-'19_Расчет_аналитики'!AA4488)*IF('01_Вводные'!$B$239="Да",MeanMinAge05+'19_Расчет_аналитики'!AA4608*SUMIF(ThresholdAge05,"&lt;"&amp;'19_Расчет_аналитики'!AA4608,WeightedRevAge05)-SUMIF(ThresholdAge05,"&lt;"&amp;'19_Расчет_аналитики'!AA4608,WeightedMinAge05),MAX(CapacityAge05*'01_Вводные'!$B$218*'19_Расчет_аналитики'!AA4608,MeanMinAge05))),0)</f>
        <v/>
      </c>
      <c r="AB4544">
        <f>IF('01_Вводные'!$B$234="Да",IF(OR(('19_Расчет_аналитики'!AB4460-'19_Расчет_аналитики'!AB4488)=0,5&lt;='01_Вводные'!$B$297),0,('19_Расчет_аналитики'!AB4460-'19_Расчет_аналитики'!AB4488)*IF('01_Вводные'!$B$239="Да",MeanMinAge05+'19_Расчет_аналитики'!AB4608*SUMIF(ThresholdAge05,"&lt;"&amp;'19_Расчет_аналитики'!AB4608,WeightedRevAge05)-SUMIF(ThresholdAge05,"&lt;"&amp;'19_Расчет_аналитики'!AB4608,WeightedMinAge05),MAX(CapacityAge05*'01_Вводные'!$B$218*'19_Расчет_аналитики'!AB4608,MeanMinAge05))),0)</f>
        <v/>
      </c>
      <c r="AC4544">
        <f>IF('01_Вводные'!$B$234="Да",IF(OR(('19_Расчет_аналитики'!AC4460-'19_Расчет_аналитики'!AC4488)=0,5&lt;='01_Вводные'!$B$297),0,('19_Расчет_аналитики'!AC4460-'19_Расчет_аналитики'!AC4488)*IF('01_Вводные'!$B$239="Да",MeanMinAge05+'19_Расчет_аналитики'!AC4608*SUMIF(ThresholdAge05,"&lt;"&amp;'19_Расчет_аналитики'!AC4608,WeightedRevAge05)-SUMIF(ThresholdAge05,"&lt;"&amp;'19_Расчет_аналитики'!AC4608,WeightedMinAge05),MAX(CapacityAge05*'01_Вводные'!$B$218*'19_Расчет_аналитики'!AC4608,MeanMinAge05))),0)</f>
        <v/>
      </c>
      <c r="AD4544">
        <f>IF('01_Вводные'!$B$234="Да",IF(OR(('19_Расчет_аналитики'!AD4460-'19_Расчет_аналитики'!AD4488)=0,5&lt;='01_Вводные'!$B$297),0,('19_Расчет_аналитики'!AD4460-'19_Расчет_аналитики'!AD4488)*IF('01_Вводные'!$B$239="Да",MeanMinAge05+'19_Расчет_аналитики'!AD4608*SUMIF(ThresholdAge05,"&lt;"&amp;'19_Расчет_аналитики'!AD4608,WeightedRevAge05)-SUMIF(ThresholdAge05,"&lt;"&amp;'19_Расчет_аналитики'!AD4608,WeightedMinAge05),MAX(CapacityAge05*'01_Вводные'!$B$218*'19_Расчет_аналитики'!AD4608,MeanMinAge05))),0)</f>
        <v/>
      </c>
      <c r="AE4544">
        <f>IF('01_Вводные'!$B$234="Да",IF(OR(('19_Расчет_аналитики'!AE4460-'19_Расчет_аналитики'!AE4488)=0,5&lt;='01_Вводные'!$B$297),0,('19_Расчет_аналитики'!AE4460-'19_Расчет_аналитики'!AE4488)*IF('01_Вводные'!$B$239="Да",MeanMinAge05+'19_Расчет_аналитики'!AE4608*SUMIF(ThresholdAge05,"&lt;"&amp;'19_Расчет_аналитики'!AE4608,WeightedRevAge05)-SUMIF(ThresholdAge05,"&lt;"&amp;'19_Расчет_аналитики'!AE4608,WeightedMinAge05),MAX(CapacityAge05*'01_Вводные'!$B$218*'19_Расчет_аналитики'!AE4608,MeanMinAge05))),0)</f>
        <v/>
      </c>
      <c r="AF4544">
        <f>IF('01_Вводные'!$B$234="Да",IF(OR(('19_Расчет_аналитики'!AF4460-'19_Расчет_аналитики'!AF4488)=0,5&lt;='01_Вводные'!$B$297),0,('19_Расчет_аналитики'!AF4460-'19_Расчет_аналитики'!AF4488)*IF('01_Вводные'!$B$239="Да",MeanMinAge05+'19_Расчет_аналитики'!AF4608*SUMIF(ThresholdAge05,"&lt;"&amp;'19_Расчет_аналитики'!AF4608,WeightedRevAge05)-SUMIF(ThresholdAge05,"&lt;"&amp;'19_Расчет_аналитики'!AF4608,WeightedMinAge05),MAX(CapacityAge05*'01_Вводные'!$B$218*'19_Расчет_аналитики'!AF4608,MeanMinAge05))),0)</f>
        <v/>
      </c>
      <c r="AG4544">
        <f>IF('01_Вводные'!$B$234="Да",IF(OR(('19_Расчет_аналитики'!AG4460-'19_Расчет_аналитики'!AG4488)=0,5&lt;='01_Вводные'!$B$297),0,('19_Расчет_аналитики'!AG4460-'19_Расчет_аналитики'!AG4488)*IF('01_Вводные'!$B$239="Да",MeanMinAge05+'19_Расчет_аналитики'!AG4608*SUMIF(ThresholdAge05,"&lt;"&amp;'19_Расчет_аналитики'!AG4608,WeightedRevAge05)-SUMIF(ThresholdAge05,"&lt;"&amp;'19_Расчет_аналитики'!AG4608,WeightedMinAge05),MAX(CapacityAge05*'01_Вводные'!$B$218*'19_Расчет_аналитики'!AG4608,MeanMinAge05))),0)</f>
        <v/>
      </c>
      <c r="AH4544">
        <f>IF('01_Вводные'!$B$234="Да",IF(OR(('19_Расчет_аналитики'!AH4460-'19_Расчет_аналитики'!AH4488)=0,5&lt;='01_Вводные'!$B$297),0,('19_Расчет_аналитики'!AH4460-'19_Расчет_аналитики'!AH4488)*IF('01_Вводные'!$B$239="Да",MeanMinAge05+'19_Расчет_аналитики'!AH4608*SUMIF(ThresholdAge05,"&lt;"&amp;'19_Расчет_аналитики'!AH4608,WeightedRevAge05)-SUMIF(ThresholdAge05,"&lt;"&amp;'19_Расчет_аналитики'!AH4608,WeightedMinAge05),MAX(CapacityAge05*'01_Вводные'!$B$218*'19_Расчет_аналитики'!AH4608,MeanMinAge05))),0)</f>
        <v/>
      </c>
      <c r="AI4544">
        <f>IF('01_Вводные'!$B$234="Да",IF(OR(('19_Расчет_аналитики'!AI4460-'19_Расчет_аналитики'!AI4488)=0,5&lt;='01_Вводные'!$B$297),0,('19_Расчет_аналитики'!AI4460-'19_Расчет_аналитики'!AI4488)*IF('01_Вводные'!$B$239="Да",MeanMinAge05+'19_Расчет_аналитики'!AI4608*SUMIF(ThresholdAge05,"&lt;"&amp;'19_Расчет_аналитики'!AI4608,WeightedRevAge05)-SUMIF(ThresholdAge05,"&lt;"&amp;'19_Расчет_аналитики'!AI4608,WeightedMinAge05),MAX(CapacityAge05*'01_Вводные'!$B$218*'19_Расчет_аналитики'!AI4608,MeanMinAge05))),0)</f>
        <v/>
      </c>
      <c r="AJ4544">
        <f>IF('01_Вводные'!$B$234="Да",IF(OR(('19_Расчет_аналитики'!AJ4460-'19_Расчет_аналитики'!AJ4488)=0,5&lt;='01_Вводные'!$B$297),0,('19_Расчет_аналитики'!AJ4460-'19_Расчет_аналитики'!AJ4488)*IF('01_Вводные'!$B$239="Да",MeanMinAge05+'19_Расчет_аналитики'!AJ4608*SUMIF(ThresholdAge05,"&lt;"&amp;'19_Расчет_аналитики'!AJ4608,WeightedRevAge05)-SUMIF(ThresholdAge05,"&lt;"&amp;'19_Расчет_аналитики'!AJ4608,WeightedMinAge05),MAX(CapacityAge05*'01_Вводные'!$B$218*'19_Расчет_аналитики'!AJ4608,MeanMinAge05))),0)</f>
        <v/>
      </c>
      <c r="AK4544">
        <f>IF('01_Вводные'!$B$234="Да",IF(OR(('19_Расчет_аналитики'!AK4460-'19_Расчет_аналитики'!AK4488)=0,5&lt;='01_Вводные'!$B$297),0,('19_Расчет_аналитики'!AK4460-'19_Расчет_аналитики'!AK4488)*IF('01_Вводные'!$B$239="Да",MeanMinAge05+'19_Расчет_аналитики'!AK4608*SUMIF(ThresholdAge05,"&lt;"&amp;'19_Расчет_аналитики'!AK4608,WeightedRevAge05)-SUMIF(ThresholdAge05,"&lt;"&amp;'19_Расчет_аналитики'!AK4608,WeightedMinAge05),MAX(CapacityAge05*'01_Вводные'!$B$218*'19_Расчет_аналитики'!AK4608,MeanMinAge05))),0)</f>
        <v/>
      </c>
      <c r="AL4544">
        <f>IF('01_Вводные'!$B$234="Да",IF(OR(('19_Расчет_аналитики'!AL4460-'19_Расчет_аналитики'!AL4488)=0,5&lt;='01_Вводные'!$B$297),0,('19_Расчет_аналитики'!AL4460-'19_Расчет_аналитики'!AL4488)*IF('01_Вводные'!$B$239="Да",MeanMinAge05+'19_Расчет_аналитики'!AL4608*SUMIF(ThresholdAge05,"&lt;"&amp;'19_Расчет_аналитики'!AL4608,WeightedRevAge05)-SUMIF(ThresholdAge05,"&lt;"&amp;'19_Расчет_аналитики'!AL4608,WeightedMinAge05),MAX(CapacityAge05*'01_Вводные'!$B$218*'19_Расчет_аналитики'!AL4608,MeanMinAge05))),0)</f>
        <v/>
      </c>
      <c r="AM4544">
        <f>IF('01_Вводные'!$B$234="Да",IF(OR(('19_Расчет_аналитики'!AM4460-'19_Расчет_аналитики'!AM4488)=0,5&lt;='01_Вводные'!$B$297),0,('19_Расчет_аналитики'!AM4460-'19_Расчет_аналитики'!AM4488)*IF('01_Вводные'!$B$239="Да",MeanMinAge05+'19_Расчет_аналитики'!AM4608*SUMIF(ThresholdAge05,"&lt;"&amp;'19_Расчет_аналитики'!AM4608,WeightedRevAge05)-SUMIF(ThresholdAge05,"&lt;"&amp;'19_Расчет_аналитики'!AM4608,WeightedMinAge05),MAX(CapacityAge05*'01_Вводные'!$B$218*'19_Расчет_аналитики'!AM4608,MeanMinAge05))),0)</f>
        <v/>
      </c>
      <c r="AN4544">
        <f>IF('01_Вводные'!$B$234="Да",IF(OR(('19_Расчет_аналитики'!AN4460-'19_Расчет_аналитики'!AN4488)=0,5&lt;='01_Вводные'!$B$297),0,('19_Расчет_аналитики'!AN4460-'19_Расчет_аналитики'!AN4488)*IF('01_Вводные'!$B$239="Да",MeanMinAge05+'19_Расчет_аналитики'!AN4608*SUMIF(ThresholdAge05,"&lt;"&amp;'19_Расчет_аналитики'!AN4608,WeightedRevAge05)-SUMIF(ThresholdAge05,"&lt;"&amp;'19_Расчет_аналитики'!AN4608,WeightedMinAge05),MAX(CapacityAge05*'01_Вводные'!$B$218*'19_Расчет_аналитики'!AN4608,MeanMinAge05))),0)</f>
        <v/>
      </c>
      <c r="AO4544">
        <f>IF('01_Вводные'!$B$234="Да",IF(OR(('19_Расчет_аналитики'!AO4460-'19_Расчет_аналитики'!AO4488)=0,5&lt;='01_Вводные'!$B$297),0,('19_Расчет_аналитики'!AO4460-'19_Расчет_аналитики'!AO4488)*IF('01_Вводные'!$B$239="Да",MeanMinAge05+'19_Расчет_аналитики'!AO4608*SUMIF(ThresholdAge05,"&lt;"&amp;'19_Расчет_аналитики'!AO4608,WeightedRevAge05)-SUMIF(ThresholdAge05,"&lt;"&amp;'19_Расчет_аналитики'!AO4608,WeightedMinAge05),MAX(CapacityAge05*'01_Вводные'!$B$218*'19_Расчет_аналитики'!AO4608,MeanMinAge05))),0)</f>
        <v/>
      </c>
      <c r="AP4544">
        <f>IF('01_Вводные'!$B$234="Да",IF(OR(('19_Расчет_аналитики'!AP4460-'19_Расчет_аналитики'!AP4488)=0,5&lt;='01_Вводные'!$B$297),0,('19_Расчет_аналитики'!AP4460-'19_Расчет_аналитики'!AP4488)*IF('01_Вводные'!$B$239="Да",MeanMinAge05+'19_Расчет_аналитики'!AP4608*SUMIF(ThresholdAge05,"&lt;"&amp;'19_Расчет_аналитики'!AP4608,WeightedRevAge05)-SUMIF(ThresholdAge05,"&lt;"&amp;'19_Расчет_аналитики'!AP4608,WeightedMinAge05),MAX(CapacityAge05*'01_Вводные'!$B$218*'19_Расчет_аналитики'!AP4608,MeanMinAge05))),0)</f>
        <v/>
      </c>
      <c r="AQ4544">
        <f>IF('01_Вводные'!$B$234="Да",IF(OR(('19_Расчет_аналитики'!AQ4460-'19_Расчет_аналитики'!AQ4488)=0,5&lt;='01_Вводные'!$B$297),0,('19_Расчет_аналитики'!AQ4460-'19_Расчет_аналитики'!AQ4488)*IF('01_Вводные'!$B$239="Да",MeanMinAge05+'19_Расчет_аналитики'!AQ4608*SUMIF(ThresholdAge05,"&lt;"&amp;'19_Расчет_аналитики'!AQ4608,WeightedRevAge05)-SUMIF(ThresholdAge05,"&lt;"&amp;'19_Расчет_аналитики'!AQ4608,WeightedMinAge05),MAX(CapacityAge05*'01_Вводные'!$B$218*'19_Расчет_аналитики'!AQ4608,MeanMinAge05))),0)</f>
        <v/>
      </c>
      <c r="AR4544">
        <f>IF('01_Вводные'!$B$234="Да",IF(OR(('19_Расчет_аналитики'!AR4460-'19_Расчет_аналитики'!AR4488)=0,5&lt;='01_Вводные'!$B$297),0,('19_Расчет_аналитики'!AR4460-'19_Расчет_аналитики'!AR4488)*IF('01_Вводные'!$B$239="Да",MeanMinAge05+'19_Расчет_аналитики'!AR4608*SUMIF(ThresholdAge05,"&lt;"&amp;'19_Расчет_аналитики'!AR4608,WeightedRevAge05)-SUMIF(ThresholdAge05,"&lt;"&amp;'19_Расчет_аналитики'!AR4608,WeightedMinAge05),MAX(CapacityAge05*'01_Вводные'!$B$218*'19_Расчет_аналитики'!AR4608,MeanMinAge05))),0)</f>
        <v/>
      </c>
      <c r="AS4544">
        <f>IF('01_Вводные'!$B$234="Да",IF(OR(('19_Расчет_аналитики'!AS4460-'19_Расчет_аналитики'!AS4488)=0,5&lt;='01_Вводные'!$B$297),0,('19_Расчет_аналитики'!AS4460-'19_Расчет_аналитики'!AS4488)*IF('01_Вводные'!$B$239="Да",MeanMinAge05+'19_Расчет_аналитики'!AS4608*SUMIF(ThresholdAge05,"&lt;"&amp;'19_Расчет_аналитики'!AS4608,WeightedRevAge05)-SUMIF(ThresholdAge05,"&lt;"&amp;'19_Расчет_аналитики'!AS4608,WeightedMinAge05),MAX(CapacityAge05*'01_Вводные'!$B$218*'19_Расчет_аналитики'!AS4608,MeanMinAge05))),0)</f>
        <v/>
      </c>
      <c r="AT4544">
        <f>IF('01_Вводные'!$B$234="Да",IF(OR(('19_Расчет_аналитики'!AT4460-'19_Расчет_аналитики'!AT4488)=0,5&lt;='01_Вводные'!$B$297),0,('19_Расчет_аналитики'!AT4460-'19_Расчет_аналитики'!AT4488)*IF('01_Вводные'!$B$239="Да",MeanMinAge05+'19_Расчет_аналитики'!AT4608*SUMIF(ThresholdAge05,"&lt;"&amp;'19_Расчет_аналитики'!AT4608,WeightedRevAge05)-SUMIF(ThresholdAge05,"&lt;"&amp;'19_Расчет_аналитики'!AT4608,WeightedMinAge05),MAX(CapacityAge05*'01_Вводные'!$B$218*'19_Расчет_аналитики'!AT4608,MeanMinAge05))),0)</f>
        <v/>
      </c>
      <c r="AU4544">
        <f>IF('01_Вводные'!$B$234="Да",IF(OR(('19_Расчет_аналитики'!AU4460-'19_Расчет_аналитики'!AU4488)=0,5&lt;='01_Вводные'!$B$297),0,('19_Расчет_аналитики'!AU4460-'19_Расчет_аналитики'!AU4488)*IF('01_Вводные'!$B$239="Да",MeanMinAge05+'19_Расчет_аналитики'!AU4608*SUMIF(ThresholdAge05,"&lt;"&amp;'19_Расчет_аналитики'!AU4608,WeightedRevAge05)-SUMIF(ThresholdAge05,"&lt;"&amp;'19_Расчет_аналитики'!AU4608,WeightedMinAge05),MAX(CapacityAge05*'01_Вводные'!$B$218*'19_Расчет_аналитики'!AU4608,MeanMinAge05))),0)</f>
        <v/>
      </c>
      <c r="AV4544">
        <f>IF('01_Вводные'!$B$234="Да",IF(OR(('19_Расчет_аналитики'!AV4460-'19_Расчет_аналитики'!AV4488)=0,5&lt;='01_Вводные'!$B$297),0,('19_Расчет_аналитики'!AV4460-'19_Расчет_аналитики'!AV4488)*IF('01_Вводные'!$B$239="Да",MeanMinAge05+'19_Расчет_аналитики'!AV4608*SUMIF(ThresholdAge05,"&lt;"&amp;'19_Расчет_аналитики'!AV4608,WeightedRevAge05)-SUMIF(ThresholdAge05,"&lt;"&amp;'19_Расчет_аналитики'!AV4608,WeightedMinAge05),MAX(CapacityAge05*'01_Вводные'!$B$218*'19_Расчет_аналитики'!AV4608,MeanMinAge05))),0)</f>
        <v/>
      </c>
      <c r="AW4544">
        <f>IF('01_Вводные'!$B$234="Да",IF(OR(('19_Расчет_аналитики'!AW4460-'19_Расчет_аналитики'!AW4488)=0,5&lt;='01_Вводные'!$B$297),0,('19_Расчет_аналитики'!AW4460-'19_Расчет_аналитики'!AW4488)*IF('01_Вводные'!$B$239="Да",MeanMinAge05+'19_Расчет_аналитики'!AW4608*SUMIF(ThresholdAge05,"&lt;"&amp;'19_Расчет_аналитики'!AW4608,WeightedRevAge05)-SUMIF(ThresholdAge05,"&lt;"&amp;'19_Расчет_аналитики'!AW4608,WeightedMinAge05),MAX(CapacityAge05*'01_Вводные'!$B$218*'19_Расчет_аналитики'!AW4608,MeanMinAge05))),0)</f>
        <v/>
      </c>
      <c r="AX4544">
        <f>IF('01_Вводные'!$B$234="Да",IF(OR(('19_Расчет_аналитики'!AX4460-'19_Расчет_аналитики'!AX4488)=0,5&lt;='01_Вводные'!$B$297),0,('19_Расчет_аналитики'!AX4460-'19_Расчет_аналитики'!AX4488)*IF('01_Вводные'!$B$239="Да",MeanMinAge05+'19_Расчет_аналитики'!AX4608*SUMIF(ThresholdAge05,"&lt;"&amp;'19_Расчет_аналитики'!AX4608,WeightedRevAge05)-SUMIF(ThresholdAge05,"&lt;"&amp;'19_Расчет_аналитики'!AX4608,WeightedMinAge05),MAX(CapacityAge05*'01_Вводные'!$B$218*'19_Расчет_аналитики'!AX4608,MeanMinAge05))),0)</f>
        <v/>
      </c>
      <c r="AY4544">
        <f>IF('01_Вводные'!$B$234="Да",IF(OR(('19_Расчет_аналитики'!AY4460-'19_Расчет_аналитики'!AY4488)=0,5&lt;='01_Вводные'!$B$297),0,('19_Расчет_аналитики'!AY4460-'19_Расчет_аналитики'!AY4488)*IF('01_Вводные'!$B$239="Да",MeanMinAge05+'19_Расчет_аналитики'!AY4608*SUMIF(ThresholdAge05,"&lt;"&amp;'19_Расчет_аналитики'!AY4608,WeightedRevAge05)-SUMIF(ThresholdAge05,"&lt;"&amp;'19_Расчет_аналитики'!AY4608,WeightedMinAge05),MAX(CapacityAge05*'01_Вводные'!$B$218*'19_Расчет_аналитики'!AY4608,MeanMinAge05))),0)</f>
        <v/>
      </c>
      <c r="AZ4544">
        <f>IF('01_Вводные'!$B$234="Да",IF(OR(('19_Расчет_аналитики'!AZ4460-'19_Расчет_аналитики'!AZ4488)=0,5&lt;='01_Вводные'!$B$297),0,('19_Расчет_аналитики'!AZ4460-'19_Расчет_аналитики'!AZ4488)*IF('01_Вводные'!$B$239="Да",MeanMinAge05+'19_Расчет_аналитики'!AZ4608*SUMIF(ThresholdAge05,"&lt;"&amp;'19_Расчет_аналитики'!AZ4608,WeightedRevAge05)-SUMIF(ThresholdAge05,"&lt;"&amp;'19_Расчет_аналитики'!AZ4608,WeightedMinAge05),MAX(CapacityAge05*'01_Вводные'!$B$218*'19_Расчет_аналитики'!AZ4608,MeanMinAge05))),0)</f>
        <v/>
      </c>
      <c r="BA4544">
        <f>IF('01_Вводные'!$B$234="Да",IF(OR(('19_Расчет_аналитики'!BA4460-'19_Расчет_аналитики'!BA4488)=0,5&lt;='01_Вводные'!$B$297),0,('19_Расчет_аналитики'!BA4460-'19_Расчет_аналитики'!BA4488)*IF('01_Вводные'!$B$239="Да",MeanMinAge05+'19_Расчет_аналитики'!BA4608*SUMIF(ThresholdAge05,"&lt;"&amp;'19_Расчет_аналитики'!BA4608,WeightedRevAge05)-SUMIF(ThresholdAge05,"&lt;"&amp;'19_Расчет_аналитики'!BA4608,WeightedMinAge05),MAX(CapacityAge05*'01_Вводные'!$B$218*'19_Расчет_аналитики'!BA4608,MeanMinAge05))),0)</f>
        <v/>
      </c>
      <c r="BB4544">
        <f>IF('01_Вводные'!$B$234="Да",IF(OR(('19_Расчет_аналитики'!BB4460-'19_Расчет_аналитики'!BB4488)=0,5&lt;='01_Вводные'!$B$297),0,('19_Расчет_аналитики'!BB4460-'19_Расчет_аналитики'!BB4488)*IF('01_Вводные'!$B$239="Да",MeanMinAge05+'19_Расчет_аналитики'!BB4608*SUMIF(ThresholdAge05,"&lt;"&amp;'19_Расчет_аналитики'!BB4608,WeightedRevAge05)-SUMIF(ThresholdAge05,"&lt;"&amp;'19_Расчет_аналитики'!BB4608,WeightedMinAge05),MAX(CapacityAge05*'01_Вводные'!$B$218*'19_Расчет_аналитики'!BB4608,MeanMinAge05))),0)</f>
        <v/>
      </c>
      <c r="BC4544">
        <f>IF('01_Вводные'!$B$234="Да",IF(OR(('19_Расчет_аналитики'!BC4460-'19_Расчет_аналитики'!BC4488)=0,5&lt;='01_Вводные'!$B$297),0,('19_Расчет_аналитики'!BC4460-'19_Расчет_аналитики'!BC4488)*IF('01_Вводные'!$B$239="Да",MeanMinAge05+'19_Расчет_аналитики'!BC4608*SUMIF(ThresholdAge05,"&lt;"&amp;'19_Расчет_аналитики'!BC4608,WeightedRevAge05)-SUMIF(ThresholdAge05,"&lt;"&amp;'19_Расчет_аналитики'!BC4608,WeightedMinAge05),MAX(CapacityAge05*'01_Вводные'!$B$218*'19_Расчет_аналитики'!BC4608,MeanMinAge05))),0)</f>
        <v/>
      </c>
      <c r="BD4544">
        <f>IF('01_Вводные'!$B$234="Да",IF(OR(('19_Расчет_аналитики'!BD4460-'19_Расчет_аналитики'!BD4488)=0,5&lt;='01_Вводные'!$B$297),0,('19_Расчет_аналитики'!BD4460-'19_Расчет_аналитики'!BD4488)*IF('01_Вводные'!$B$239="Да",MeanMinAge05+'19_Расчет_аналитики'!BD4608*SUMIF(ThresholdAge05,"&lt;"&amp;'19_Расчет_аналитики'!BD4608,WeightedRevAge05)-SUMIF(ThresholdAge05,"&lt;"&amp;'19_Расчет_аналитики'!BD4608,WeightedMinAge05),MAX(CapacityAge05*'01_Вводные'!$B$218*'19_Расчет_аналитики'!BD4608,MeanMinAge05))),0)</f>
        <v/>
      </c>
      <c r="BE4544">
        <f>IF('01_Вводные'!$B$234="Да",IF(OR(('19_Расчет_аналитики'!BE4460-'19_Расчет_аналитики'!BE4488)=0,5&lt;='01_Вводные'!$B$297),0,('19_Расчет_аналитики'!BE4460-'19_Расчет_аналитики'!BE4488)*IF('01_Вводные'!$B$239="Да",MeanMinAge05+'19_Расчет_аналитики'!BE4608*SUMIF(ThresholdAge05,"&lt;"&amp;'19_Расчет_аналитики'!BE4608,WeightedRevAge05)-SUMIF(ThresholdAge05,"&lt;"&amp;'19_Расчет_аналитики'!BE4608,WeightedMinAge05),MAX(CapacityAge05*'01_Вводные'!$B$218*'19_Расчет_аналитики'!BE4608,MeanMinAge05))),0)</f>
        <v/>
      </c>
      <c r="BF4544">
        <f>IF('01_Вводные'!$B$234="Да",IF(OR(('19_Расчет_аналитики'!BF4460-'19_Расчет_аналитики'!BF4488)=0,5&lt;='01_Вводные'!$B$297),0,('19_Расчет_аналитики'!BF4460-'19_Расчет_аналитики'!BF4488)*IF('01_Вводные'!$B$239="Да",MeanMinAge05+'19_Расчет_аналитики'!BF4608*SUMIF(ThresholdAge05,"&lt;"&amp;'19_Расчет_аналитики'!BF4608,WeightedRevAge05)-SUMIF(ThresholdAge05,"&lt;"&amp;'19_Расчет_аналитики'!BF4608,WeightedMinAge05),MAX(CapacityAge05*'01_Вводные'!$B$218*'19_Расчет_аналитики'!BF4608,MeanMinAge05))),0)</f>
        <v/>
      </c>
      <c r="BG4544">
        <f>IF('01_Вводные'!$B$234="Да",IF(OR(('19_Расчет_аналитики'!BG4460-'19_Расчет_аналитики'!BG4488)=0,5&lt;='01_Вводные'!$B$297),0,('19_Расчет_аналитики'!BG4460-'19_Расчет_аналитики'!BG4488)*IF('01_Вводные'!$B$239="Да",MeanMinAge05+'19_Расчет_аналитики'!BG4608*SUMIF(ThresholdAge05,"&lt;"&amp;'19_Расчет_аналитики'!BG4608,WeightedRevAge05)-SUMIF(ThresholdAge05,"&lt;"&amp;'19_Расчет_аналитики'!BG4608,WeightedMinAge05),MAX(CapacityAge05*'01_Вводные'!$B$218*'19_Расчет_аналитики'!BG4608,MeanMinAge05))),0)</f>
        <v/>
      </c>
      <c r="BH4544">
        <f>IF('01_Вводные'!$B$234="Да",IF(OR(('19_Расчет_аналитики'!BH4460-'19_Расчет_аналитики'!BH4488)=0,5&lt;='01_Вводные'!$B$297),0,('19_Расчет_аналитики'!BH4460-'19_Расчет_аналитики'!BH4488)*IF('01_Вводные'!$B$239="Да",MeanMinAge05+'19_Расчет_аналитики'!BH4608*SUMIF(ThresholdAge05,"&lt;"&amp;'19_Расчет_аналитики'!BH4608,WeightedRevAge05)-SUMIF(ThresholdAge05,"&lt;"&amp;'19_Расчет_аналитики'!BH4608,WeightedMinAge05),MAX(CapacityAge05*'01_Вводные'!$B$218*'19_Расчет_аналитики'!BH4608,MeanMinAge05))),0)</f>
        <v/>
      </c>
      <c r="BI4544">
        <f>IF('01_Вводные'!$B$234="Да",IF(OR(('19_Расчет_аналитики'!BI4460-'19_Расчет_аналитики'!BI4488)=0,5&lt;='01_Вводные'!$B$297),0,('19_Расчет_аналитики'!BI4460-'19_Расчет_аналитики'!BI4488)*IF('01_Вводные'!$B$239="Да",MeanMinAge05+'19_Расчет_аналитики'!BI4608*SUMIF(ThresholdAge05,"&lt;"&amp;'19_Расчет_аналитики'!BI4608,WeightedRevAge05)-SUMIF(ThresholdAge05,"&lt;"&amp;'19_Расчет_аналитики'!BI4608,WeightedMinAge05),MAX(CapacityAge05*'01_Вводные'!$B$218*'19_Расчет_аналитики'!BI4608,MeanMinAge05))),0)</f>
        <v/>
      </c>
      <c r="BJ4544">
        <f>IF('01_Вводные'!$B$234="Да",IF(OR(('19_Расчет_аналитики'!BJ4460-'19_Расчет_аналитики'!BJ4488)=0,5&lt;='01_Вводные'!$B$297),0,('19_Расчет_аналитики'!BJ4460-'19_Расчет_аналитики'!BJ4488)*IF('01_Вводные'!$B$239="Да",MeanMinAge05+'19_Расчет_аналитики'!BJ4608*SUMIF(ThresholdAge05,"&lt;"&amp;'19_Расчет_аналитики'!BJ4608,WeightedRevAge05)-SUMIF(ThresholdAge05,"&lt;"&amp;'19_Расчет_аналитики'!BJ4608,WeightedMinAge05),MAX(CapacityAge05*'01_Вводные'!$B$218*'19_Расчет_аналитики'!BJ4608,MeanMinAge05))),0)</f>
        <v/>
      </c>
      <c r="BK4544">
        <f>IF('01_Вводные'!$B$234="Да",IF(OR(('19_Расчет_аналитики'!BK4460-'19_Расчет_аналитики'!BK4488)=0,5&lt;='01_Вводные'!$B$297),0,('19_Расчет_аналитики'!BK4460-'19_Расчет_аналитики'!BK4488)*IF('01_Вводные'!$B$239="Да",MeanMinAge05+'19_Расчет_аналитики'!BK4608*SUMIF(ThresholdAge05,"&lt;"&amp;'19_Расчет_аналитики'!BK4608,WeightedRevAge05)-SUMIF(ThresholdAge05,"&lt;"&amp;'19_Расчет_аналитики'!BK4608,WeightedMinAge05),MAX(CapacityAge05*'01_Вводные'!$B$218*'19_Расчет_аналитики'!BK4608,MeanMinAge05))),0)</f>
        <v/>
      </c>
      <c r="BL4544">
        <f>IF('01_Вводные'!$B$234="Да",IF(OR(('19_Расчет_аналитики'!BL4460-'19_Расчет_аналитики'!BL4488)=0,5&lt;='01_Вводные'!$B$297),0,('19_Расчет_аналитики'!BL4460-'19_Расчет_аналитики'!BL4488)*IF('01_Вводные'!$B$239="Да",MeanMinAge05+'19_Расчет_аналитики'!BL4608*SUMIF(ThresholdAge05,"&lt;"&amp;'19_Расчет_аналитики'!BL4608,WeightedRevAge05)-SUMIF(ThresholdAge05,"&lt;"&amp;'19_Расчет_аналитики'!BL4608,WeightedMinAge05),MAX(CapacityAge05*'01_Вводные'!$B$218*'19_Расчет_аналитики'!BL4608,MeanMinAge05))),0)</f>
        <v/>
      </c>
      <c r="BM4544">
        <f>IF('01_Вводные'!$B$234="Да",IF(OR(('19_Расчет_аналитики'!BM4460-'19_Расчет_аналитики'!BM4488)=0,5&lt;='01_Вводные'!$B$297),0,('19_Расчет_аналитики'!BM4460-'19_Расчет_аналитики'!BM4488)*IF('01_Вводные'!$B$239="Да",MeanMinAge05+'19_Расчет_аналитики'!BM4608*SUMIF(ThresholdAge05,"&lt;"&amp;'19_Расчет_аналитики'!BM4608,WeightedRevAge05)-SUMIF(ThresholdAge05,"&lt;"&amp;'19_Расчет_аналитики'!BM4608,WeightedMinAge05),MAX(CapacityAge05*'01_Вводные'!$B$218*'19_Расчет_аналитики'!BM4608,MeanMinAge05))),0)</f>
        <v/>
      </c>
      <c r="BN4544">
        <f>IF('01_Вводные'!$B$234="Да",IF(OR(('19_Расчет_аналитики'!BN4460-'19_Расчет_аналитики'!BN4488)=0,5&lt;='01_Вводные'!$B$297),0,('19_Расчет_аналитики'!BN4460-'19_Расчет_аналитики'!BN4488)*IF('01_Вводные'!$B$239="Да",MeanMinAge05+'19_Расчет_аналитики'!BN4608*SUMIF(ThresholdAge05,"&lt;"&amp;'19_Расчет_аналитики'!BN4608,WeightedRevAge05)-SUMIF(ThresholdAge05,"&lt;"&amp;'19_Расчет_аналитики'!BN4608,WeightedMinAge05),MAX(CapacityAge05*'01_Вводные'!$B$218*'19_Расчет_аналитики'!BN4608,MeanMinAge05))),0)</f>
        <v/>
      </c>
      <c r="BO4544">
        <f>IF('01_Вводные'!$B$234="Да",IF(OR(('19_Расчет_аналитики'!BO4460-'19_Расчет_аналитики'!BO4488)=0,5&lt;='01_Вводные'!$B$297),0,('19_Расчет_аналитики'!BO4460-'19_Расчет_аналитики'!BO4488)*IF('01_Вводные'!$B$239="Да",MeanMinAge05+'19_Расчет_аналитики'!BO4608*SUMIF(ThresholdAge05,"&lt;"&amp;'19_Расчет_аналитики'!BO4608,WeightedRevAge05)-SUMIF(ThresholdAge05,"&lt;"&amp;'19_Расчет_аналитики'!BO4608,WeightedMinAge05),MAX(CapacityAge05*'01_Вводные'!$B$218*'19_Расчет_аналитики'!BO4608,MeanMinAge05))),0)</f>
        <v/>
      </c>
    </row>
    <row r="4545">
      <c r="B4545">
        <f>IF('01_Вводные'!$B$234="Да",IF(OR(('06_Сеть_и_дети'!B58-'06_Сеть_и_дети'!B86)=0,6&lt;='01_Вводные'!$B$297),0,('06_Сеть_и_дети'!B58-'06_Сеть_и_дети'!B86)*IF('01_Вводные'!$B$239="Да",MeanMinAge06+'19_Расчет_аналитики'!B4608*SUMIF(ThresholdAge06,"&lt;"&amp;'19_Расчет_аналитики'!B4608,WeightedRevAge06)-SUMIF(ThresholdAge06,"&lt;"&amp;'19_Расчет_аналитики'!B4608,WeightedMinAge06),MAX(CapacityAge06*'01_Вводные'!$B$218*'19_Расчет_аналитики'!B4608,MeanMinAge06))),0)</f>
        <v/>
      </c>
      <c r="C4545">
        <f>IF('01_Вводные'!$B$234="Да",IF(OR(('06_Сеть_и_дети'!C58-'06_Сеть_и_дети'!C86)=0,6&lt;='01_Вводные'!$B$297),0,('06_Сеть_и_дети'!C58-'06_Сеть_и_дети'!C86)*IF('01_Вводные'!$B$239="Да",MeanMinAge06+'19_Расчет_аналитики'!C4608*SUMIF(ThresholdAge06,"&lt;"&amp;'19_Расчет_аналитики'!C4608,WeightedRevAge06)-SUMIF(ThresholdAge06,"&lt;"&amp;'19_Расчет_аналитики'!C4608,WeightedMinAge06),MAX(CapacityAge06*'01_Вводные'!$B$218*'19_Расчет_аналитики'!C4608,MeanMinAge06))),0)</f>
        <v/>
      </c>
      <c r="D4545">
        <f>IF('01_Вводные'!$B$234="Да",IF(OR(('06_Сеть_и_дети'!D58-'06_Сеть_и_дети'!D86)=0,6&lt;='01_Вводные'!$B$297),0,('06_Сеть_и_дети'!D58-'06_Сеть_и_дети'!D86)*IF('01_Вводные'!$B$239="Да",MeanMinAge06+'19_Расчет_аналитики'!D4608*SUMIF(ThresholdAge06,"&lt;"&amp;'19_Расчет_аналитики'!D4608,WeightedRevAge06)-SUMIF(ThresholdAge06,"&lt;"&amp;'19_Расчет_аналитики'!D4608,WeightedMinAge06),MAX(CapacityAge06*'01_Вводные'!$B$218*'19_Расчет_аналитики'!D4608,MeanMinAge06))),0)</f>
        <v/>
      </c>
      <c r="E4545">
        <f>IF('01_Вводные'!$B$234="Да",IF(OR(('06_Сеть_и_дети'!E58-'06_Сеть_и_дети'!E86)=0,6&lt;='01_Вводные'!$B$297),0,('06_Сеть_и_дети'!E58-'06_Сеть_и_дети'!E86)*IF('01_Вводные'!$B$239="Да",MeanMinAge06+'19_Расчет_аналитики'!E4608*SUMIF(ThresholdAge06,"&lt;"&amp;'19_Расчет_аналитики'!E4608,WeightedRevAge06)-SUMIF(ThresholdAge06,"&lt;"&amp;'19_Расчет_аналитики'!E4608,WeightedMinAge06),MAX(CapacityAge06*'01_Вводные'!$B$218*'19_Расчет_аналитики'!E4608,MeanMinAge06))),0)</f>
        <v/>
      </c>
      <c r="F4545">
        <f>IF('01_Вводные'!$B$234="Да",IF(OR(('06_Сеть_и_дети'!F58-'06_Сеть_и_дети'!F86)=0,6&lt;='01_Вводные'!$B$297),0,('06_Сеть_и_дети'!F58-'06_Сеть_и_дети'!F86)*IF('01_Вводные'!$B$239="Да",MeanMinAge06+'19_Расчет_аналитики'!F4608*SUMIF(ThresholdAge06,"&lt;"&amp;'19_Расчет_аналитики'!F4608,WeightedRevAge06)-SUMIF(ThresholdAge06,"&lt;"&amp;'19_Расчет_аналитики'!F4608,WeightedMinAge06),MAX(CapacityAge06*'01_Вводные'!$B$218*'19_Расчет_аналитики'!F4608,MeanMinAge06))),0)</f>
        <v/>
      </c>
      <c r="G4545">
        <f>IF('01_Вводные'!$B$234="Да",IF(OR(('19_Расчет_аналитики'!G4461-'19_Расчет_аналитики'!G4489)=0,6&lt;='01_Вводные'!$B$297),0,('19_Расчет_аналитики'!G4461-'19_Расчет_аналитики'!G4489)*IF('01_Вводные'!$B$239="Да",MeanMinAge06+'19_Расчет_аналитики'!G4608*SUMIF(ThresholdAge06,"&lt;"&amp;'19_Расчет_аналитики'!G4608,WeightedRevAge06)-SUMIF(ThresholdAge06,"&lt;"&amp;'19_Расчет_аналитики'!G4608,WeightedMinAge06),MAX(CapacityAge06*'01_Вводные'!$B$218*'19_Расчет_аналитики'!G4608,MeanMinAge06))),0)</f>
        <v/>
      </c>
      <c r="H4545">
        <f>IF('01_Вводные'!$B$234="Да",IF(OR(('19_Расчет_аналитики'!H4461-'19_Расчет_аналитики'!H4489)=0,6&lt;='01_Вводные'!$B$297),0,('19_Расчет_аналитики'!H4461-'19_Расчет_аналитики'!H4489)*IF('01_Вводные'!$B$239="Да",MeanMinAge06+'19_Расчет_аналитики'!H4608*SUMIF(ThresholdAge06,"&lt;"&amp;'19_Расчет_аналитики'!H4608,WeightedRevAge06)-SUMIF(ThresholdAge06,"&lt;"&amp;'19_Расчет_аналитики'!H4608,WeightedMinAge06),MAX(CapacityAge06*'01_Вводные'!$B$218*'19_Расчет_аналитики'!H4608,MeanMinAge06))),0)</f>
        <v/>
      </c>
      <c r="I4545">
        <f>IF('01_Вводные'!$B$234="Да",IF(OR(('19_Расчет_аналитики'!I4461-'19_Расчет_аналитики'!I4489)=0,6&lt;='01_Вводные'!$B$297),0,('19_Расчет_аналитики'!I4461-'19_Расчет_аналитики'!I4489)*IF('01_Вводные'!$B$239="Да",MeanMinAge06+'19_Расчет_аналитики'!I4608*SUMIF(ThresholdAge06,"&lt;"&amp;'19_Расчет_аналитики'!I4608,WeightedRevAge06)-SUMIF(ThresholdAge06,"&lt;"&amp;'19_Расчет_аналитики'!I4608,WeightedMinAge06),MAX(CapacityAge06*'01_Вводные'!$B$218*'19_Расчет_аналитики'!I4608,MeanMinAge06))),0)</f>
        <v/>
      </c>
      <c r="J4545">
        <f>IF('01_Вводные'!$B$234="Да",IF(OR(('19_Расчет_аналитики'!J4461-'19_Расчет_аналитики'!J4489)=0,6&lt;='01_Вводные'!$B$297),0,('19_Расчет_аналитики'!J4461-'19_Расчет_аналитики'!J4489)*IF('01_Вводные'!$B$239="Да",MeanMinAge06+'19_Расчет_аналитики'!J4608*SUMIF(ThresholdAge06,"&lt;"&amp;'19_Расчет_аналитики'!J4608,WeightedRevAge06)-SUMIF(ThresholdAge06,"&lt;"&amp;'19_Расчет_аналитики'!J4608,WeightedMinAge06),MAX(CapacityAge06*'01_Вводные'!$B$218*'19_Расчет_аналитики'!J4608,MeanMinAge06))),0)</f>
        <v/>
      </c>
      <c r="K4545">
        <f>IF('01_Вводные'!$B$234="Да",IF(OR(('19_Расчет_аналитики'!K4461-'19_Расчет_аналитики'!K4489)=0,6&lt;='01_Вводные'!$B$297),0,('19_Расчет_аналитики'!K4461-'19_Расчет_аналитики'!K4489)*IF('01_Вводные'!$B$239="Да",MeanMinAge06+'19_Расчет_аналитики'!K4608*SUMIF(ThresholdAge06,"&lt;"&amp;'19_Расчет_аналитики'!K4608,WeightedRevAge06)-SUMIF(ThresholdAge06,"&lt;"&amp;'19_Расчет_аналитики'!K4608,WeightedMinAge06),MAX(CapacityAge06*'01_Вводные'!$B$218*'19_Расчет_аналитики'!K4608,MeanMinAge06))),0)</f>
        <v/>
      </c>
      <c r="L4545">
        <f>IF('01_Вводные'!$B$234="Да",IF(OR(('19_Расчет_аналитики'!L4461-'19_Расчет_аналитики'!L4489)=0,6&lt;='01_Вводные'!$B$297),0,('19_Расчет_аналитики'!L4461-'19_Расчет_аналитики'!L4489)*IF('01_Вводные'!$B$239="Да",MeanMinAge06+'19_Расчет_аналитики'!L4608*SUMIF(ThresholdAge06,"&lt;"&amp;'19_Расчет_аналитики'!L4608,WeightedRevAge06)-SUMIF(ThresholdAge06,"&lt;"&amp;'19_Расчет_аналитики'!L4608,WeightedMinAge06),MAX(CapacityAge06*'01_Вводные'!$B$218*'19_Расчет_аналитики'!L4608,MeanMinAge06))),0)</f>
        <v/>
      </c>
      <c r="M4545">
        <f>IF('01_Вводные'!$B$234="Да",IF(OR(('19_Расчет_аналитики'!M4461-'19_Расчет_аналитики'!M4489)=0,6&lt;='01_Вводные'!$B$297),0,('19_Расчет_аналитики'!M4461-'19_Расчет_аналитики'!M4489)*IF('01_Вводные'!$B$239="Да",MeanMinAge06+'19_Расчет_аналитики'!M4608*SUMIF(ThresholdAge06,"&lt;"&amp;'19_Расчет_аналитики'!M4608,WeightedRevAge06)-SUMIF(ThresholdAge06,"&lt;"&amp;'19_Расчет_аналитики'!M4608,WeightedMinAge06),MAX(CapacityAge06*'01_Вводные'!$B$218*'19_Расчет_аналитики'!M4608,MeanMinAge06))),0)</f>
        <v/>
      </c>
      <c r="N4545">
        <f>IF('01_Вводные'!$B$234="Да",IF(OR(('19_Расчет_аналитики'!N4461-'19_Расчет_аналитики'!N4489)=0,6&lt;='01_Вводные'!$B$297),0,('19_Расчет_аналитики'!N4461-'19_Расчет_аналитики'!N4489)*IF('01_Вводные'!$B$239="Да",MeanMinAge06+'19_Расчет_аналитики'!N4608*SUMIF(ThresholdAge06,"&lt;"&amp;'19_Расчет_аналитики'!N4608,WeightedRevAge06)-SUMIF(ThresholdAge06,"&lt;"&amp;'19_Расчет_аналитики'!N4608,WeightedMinAge06),MAX(CapacityAge06*'01_Вводные'!$B$218*'19_Расчет_аналитики'!N4608,MeanMinAge06))),0)</f>
        <v/>
      </c>
      <c r="O4545">
        <f>IF('01_Вводные'!$B$234="Да",IF(OR(('19_Расчет_аналитики'!O4461-'19_Расчет_аналитики'!O4489)=0,6&lt;='01_Вводные'!$B$297),0,('19_Расчет_аналитики'!O4461-'19_Расчет_аналитики'!O4489)*IF('01_Вводные'!$B$239="Да",MeanMinAge06+'19_Расчет_аналитики'!O4608*SUMIF(ThresholdAge06,"&lt;"&amp;'19_Расчет_аналитики'!O4608,WeightedRevAge06)-SUMIF(ThresholdAge06,"&lt;"&amp;'19_Расчет_аналитики'!O4608,WeightedMinAge06),MAX(CapacityAge06*'01_Вводные'!$B$218*'19_Расчет_аналитики'!O4608,MeanMinAge06))),0)</f>
        <v/>
      </c>
      <c r="P4545">
        <f>IF('01_Вводные'!$B$234="Да",IF(OR(('19_Расчет_аналитики'!P4461-'19_Расчет_аналитики'!P4489)=0,6&lt;='01_Вводные'!$B$297),0,('19_Расчет_аналитики'!P4461-'19_Расчет_аналитики'!P4489)*IF('01_Вводные'!$B$239="Да",MeanMinAge06+'19_Расчет_аналитики'!P4608*SUMIF(ThresholdAge06,"&lt;"&amp;'19_Расчет_аналитики'!P4608,WeightedRevAge06)-SUMIF(ThresholdAge06,"&lt;"&amp;'19_Расчет_аналитики'!P4608,WeightedMinAge06),MAX(CapacityAge06*'01_Вводные'!$B$218*'19_Расчет_аналитики'!P4608,MeanMinAge06))),0)</f>
        <v/>
      </c>
      <c r="Q4545">
        <f>IF('01_Вводные'!$B$234="Да",IF(OR(('19_Расчет_аналитики'!Q4461-'19_Расчет_аналитики'!Q4489)=0,6&lt;='01_Вводные'!$B$297),0,('19_Расчет_аналитики'!Q4461-'19_Расчет_аналитики'!Q4489)*IF('01_Вводные'!$B$239="Да",MeanMinAge06+'19_Расчет_аналитики'!Q4608*SUMIF(ThresholdAge06,"&lt;"&amp;'19_Расчет_аналитики'!Q4608,WeightedRevAge06)-SUMIF(ThresholdAge06,"&lt;"&amp;'19_Расчет_аналитики'!Q4608,WeightedMinAge06),MAX(CapacityAge06*'01_Вводные'!$B$218*'19_Расчет_аналитики'!Q4608,MeanMinAge06))),0)</f>
        <v/>
      </c>
      <c r="R4545">
        <f>IF('01_Вводные'!$B$234="Да",IF(OR(('19_Расчет_аналитики'!R4461-'19_Расчет_аналитики'!R4489)=0,6&lt;='01_Вводные'!$B$297),0,('19_Расчет_аналитики'!R4461-'19_Расчет_аналитики'!R4489)*IF('01_Вводные'!$B$239="Да",MeanMinAge06+'19_Расчет_аналитики'!R4608*SUMIF(ThresholdAge06,"&lt;"&amp;'19_Расчет_аналитики'!R4608,WeightedRevAge06)-SUMIF(ThresholdAge06,"&lt;"&amp;'19_Расчет_аналитики'!R4608,WeightedMinAge06),MAX(CapacityAge06*'01_Вводные'!$B$218*'19_Расчет_аналитики'!R4608,MeanMinAge06))),0)</f>
        <v/>
      </c>
      <c r="S4545">
        <f>IF('01_Вводные'!$B$234="Да",IF(OR(('19_Расчет_аналитики'!S4461-'19_Расчет_аналитики'!S4489)=0,6&lt;='01_Вводные'!$B$297),0,('19_Расчет_аналитики'!S4461-'19_Расчет_аналитики'!S4489)*IF('01_Вводные'!$B$239="Да",MeanMinAge06+'19_Расчет_аналитики'!S4608*SUMIF(ThresholdAge06,"&lt;"&amp;'19_Расчет_аналитики'!S4608,WeightedRevAge06)-SUMIF(ThresholdAge06,"&lt;"&amp;'19_Расчет_аналитики'!S4608,WeightedMinAge06),MAX(CapacityAge06*'01_Вводные'!$B$218*'19_Расчет_аналитики'!S4608,MeanMinAge06))),0)</f>
        <v/>
      </c>
      <c r="T4545">
        <f>IF('01_Вводные'!$B$234="Да",IF(OR(('19_Расчет_аналитики'!T4461-'19_Расчет_аналитики'!T4489)=0,6&lt;='01_Вводные'!$B$297),0,('19_Расчет_аналитики'!T4461-'19_Расчет_аналитики'!T4489)*IF('01_Вводные'!$B$239="Да",MeanMinAge06+'19_Расчет_аналитики'!T4608*SUMIF(ThresholdAge06,"&lt;"&amp;'19_Расчет_аналитики'!T4608,WeightedRevAge06)-SUMIF(ThresholdAge06,"&lt;"&amp;'19_Расчет_аналитики'!T4608,WeightedMinAge06),MAX(CapacityAge06*'01_Вводные'!$B$218*'19_Расчет_аналитики'!T4608,MeanMinAge06))),0)</f>
        <v/>
      </c>
      <c r="U4545">
        <f>IF('01_Вводные'!$B$234="Да",IF(OR(('19_Расчет_аналитики'!U4461-'19_Расчет_аналитики'!U4489)=0,6&lt;='01_Вводные'!$B$297),0,('19_Расчет_аналитики'!U4461-'19_Расчет_аналитики'!U4489)*IF('01_Вводные'!$B$239="Да",MeanMinAge06+'19_Расчет_аналитики'!U4608*SUMIF(ThresholdAge06,"&lt;"&amp;'19_Расчет_аналитики'!U4608,WeightedRevAge06)-SUMIF(ThresholdAge06,"&lt;"&amp;'19_Расчет_аналитики'!U4608,WeightedMinAge06),MAX(CapacityAge06*'01_Вводные'!$B$218*'19_Расчет_аналитики'!U4608,MeanMinAge06))),0)</f>
        <v/>
      </c>
      <c r="V4545">
        <f>IF('01_Вводные'!$B$234="Да",IF(OR(('19_Расчет_аналитики'!V4461-'19_Расчет_аналитики'!V4489)=0,6&lt;='01_Вводные'!$B$297),0,('19_Расчет_аналитики'!V4461-'19_Расчет_аналитики'!V4489)*IF('01_Вводные'!$B$239="Да",MeanMinAge06+'19_Расчет_аналитики'!V4608*SUMIF(ThresholdAge06,"&lt;"&amp;'19_Расчет_аналитики'!V4608,WeightedRevAge06)-SUMIF(ThresholdAge06,"&lt;"&amp;'19_Расчет_аналитики'!V4608,WeightedMinAge06),MAX(CapacityAge06*'01_Вводные'!$B$218*'19_Расчет_аналитики'!V4608,MeanMinAge06))),0)</f>
        <v/>
      </c>
      <c r="W4545">
        <f>IF('01_Вводные'!$B$234="Да",IF(OR(('19_Расчет_аналитики'!W4461-'19_Расчет_аналитики'!W4489)=0,6&lt;='01_Вводные'!$B$297),0,('19_Расчет_аналитики'!W4461-'19_Расчет_аналитики'!W4489)*IF('01_Вводные'!$B$239="Да",MeanMinAge06+'19_Расчет_аналитики'!W4608*SUMIF(ThresholdAge06,"&lt;"&amp;'19_Расчет_аналитики'!W4608,WeightedRevAge06)-SUMIF(ThresholdAge06,"&lt;"&amp;'19_Расчет_аналитики'!W4608,WeightedMinAge06),MAX(CapacityAge06*'01_Вводные'!$B$218*'19_Расчет_аналитики'!W4608,MeanMinAge06))),0)</f>
        <v/>
      </c>
      <c r="X4545">
        <f>IF('01_Вводные'!$B$234="Да",IF(OR(('19_Расчет_аналитики'!X4461-'19_Расчет_аналитики'!X4489)=0,6&lt;='01_Вводные'!$B$297),0,('19_Расчет_аналитики'!X4461-'19_Расчет_аналитики'!X4489)*IF('01_Вводные'!$B$239="Да",MeanMinAge06+'19_Расчет_аналитики'!X4608*SUMIF(ThresholdAge06,"&lt;"&amp;'19_Расчет_аналитики'!X4608,WeightedRevAge06)-SUMIF(ThresholdAge06,"&lt;"&amp;'19_Расчет_аналитики'!X4608,WeightedMinAge06),MAX(CapacityAge06*'01_Вводные'!$B$218*'19_Расчет_аналитики'!X4608,MeanMinAge06))),0)</f>
        <v/>
      </c>
      <c r="Y4545">
        <f>IF('01_Вводные'!$B$234="Да",IF(OR(('19_Расчет_аналитики'!Y4461-'19_Расчет_аналитики'!Y4489)=0,6&lt;='01_Вводные'!$B$297),0,('19_Расчет_аналитики'!Y4461-'19_Расчет_аналитики'!Y4489)*IF('01_Вводные'!$B$239="Да",MeanMinAge06+'19_Расчет_аналитики'!Y4608*SUMIF(ThresholdAge06,"&lt;"&amp;'19_Расчет_аналитики'!Y4608,WeightedRevAge06)-SUMIF(ThresholdAge06,"&lt;"&amp;'19_Расчет_аналитики'!Y4608,WeightedMinAge06),MAX(CapacityAge06*'01_Вводные'!$B$218*'19_Расчет_аналитики'!Y4608,MeanMinAge06))),0)</f>
        <v/>
      </c>
      <c r="Z4545">
        <f>IF('01_Вводные'!$B$234="Да",IF(OR(('19_Расчет_аналитики'!Z4461-'19_Расчет_аналитики'!Z4489)=0,6&lt;='01_Вводные'!$B$297),0,('19_Расчет_аналитики'!Z4461-'19_Расчет_аналитики'!Z4489)*IF('01_Вводные'!$B$239="Да",MeanMinAge06+'19_Расчет_аналитики'!Z4608*SUMIF(ThresholdAge06,"&lt;"&amp;'19_Расчет_аналитики'!Z4608,WeightedRevAge06)-SUMIF(ThresholdAge06,"&lt;"&amp;'19_Расчет_аналитики'!Z4608,WeightedMinAge06),MAX(CapacityAge06*'01_Вводные'!$B$218*'19_Расчет_аналитики'!Z4608,MeanMinAge06))),0)</f>
        <v/>
      </c>
      <c r="AA4545">
        <f>IF('01_Вводные'!$B$234="Да",IF(OR(('19_Расчет_аналитики'!AA4461-'19_Расчет_аналитики'!AA4489)=0,6&lt;='01_Вводные'!$B$297),0,('19_Расчет_аналитики'!AA4461-'19_Расчет_аналитики'!AA4489)*IF('01_Вводные'!$B$239="Да",MeanMinAge06+'19_Расчет_аналитики'!AA4608*SUMIF(ThresholdAge06,"&lt;"&amp;'19_Расчет_аналитики'!AA4608,WeightedRevAge06)-SUMIF(ThresholdAge06,"&lt;"&amp;'19_Расчет_аналитики'!AA4608,WeightedMinAge06),MAX(CapacityAge06*'01_Вводные'!$B$218*'19_Расчет_аналитики'!AA4608,MeanMinAge06))),0)</f>
        <v/>
      </c>
      <c r="AB4545">
        <f>IF('01_Вводные'!$B$234="Да",IF(OR(('19_Расчет_аналитики'!AB4461-'19_Расчет_аналитики'!AB4489)=0,6&lt;='01_Вводные'!$B$297),0,('19_Расчет_аналитики'!AB4461-'19_Расчет_аналитики'!AB4489)*IF('01_Вводные'!$B$239="Да",MeanMinAge06+'19_Расчет_аналитики'!AB4608*SUMIF(ThresholdAge06,"&lt;"&amp;'19_Расчет_аналитики'!AB4608,WeightedRevAge06)-SUMIF(ThresholdAge06,"&lt;"&amp;'19_Расчет_аналитики'!AB4608,WeightedMinAge06),MAX(CapacityAge06*'01_Вводные'!$B$218*'19_Расчет_аналитики'!AB4608,MeanMinAge06))),0)</f>
        <v/>
      </c>
      <c r="AC4545">
        <f>IF('01_Вводные'!$B$234="Да",IF(OR(('19_Расчет_аналитики'!AC4461-'19_Расчет_аналитики'!AC4489)=0,6&lt;='01_Вводные'!$B$297),0,('19_Расчет_аналитики'!AC4461-'19_Расчет_аналитики'!AC4489)*IF('01_Вводные'!$B$239="Да",MeanMinAge06+'19_Расчет_аналитики'!AC4608*SUMIF(ThresholdAge06,"&lt;"&amp;'19_Расчет_аналитики'!AC4608,WeightedRevAge06)-SUMIF(ThresholdAge06,"&lt;"&amp;'19_Расчет_аналитики'!AC4608,WeightedMinAge06),MAX(CapacityAge06*'01_Вводные'!$B$218*'19_Расчет_аналитики'!AC4608,MeanMinAge06))),0)</f>
        <v/>
      </c>
      <c r="AD4545">
        <f>IF('01_Вводные'!$B$234="Да",IF(OR(('19_Расчет_аналитики'!AD4461-'19_Расчет_аналитики'!AD4489)=0,6&lt;='01_Вводные'!$B$297),0,('19_Расчет_аналитики'!AD4461-'19_Расчет_аналитики'!AD4489)*IF('01_Вводные'!$B$239="Да",MeanMinAge06+'19_Расчет_аналитики'!AD4608*SUMIF(ThresholdAge06,"&lt;"&amp;'19_Расчет_аналитики'!AD4608,WeightedRevAge06)-SUMIF(ThresholdAge06,"&lt;"&amp;'19_Расчет_аналитики'!AD4608,WeightedMinAge06),MAX(CapacityAge06*'01_Вводные'!$B$218*'19_Расчет_аналитики'!AD4608,MeanMinAge06))),0)</f>
        <v/>
      </c>
      <c r="AE4545">
        <f>IF('01_Вводные'!$B$234="Да",IF(OR(('19_Расчет_аналитики'!AE4461-'19_Расчет_аналитики'!AE4489)=0,6&lt;='01_Вводные'!$B$297),0,('19_Расчет_аналитики'!AE4461-'19_Расчет_аналитики'!AE4489)*IF('01_Вводные'!$B$239="Да",MeanMinAge06+'19_Расчет_аналитики'!AE4608*SUMIF(ThresholdAge06,"&lt;"&amp;'19_Расчет_аналитики'!AE4608,WeightedRevAge06)-SUMIF(ThresholdAge06,"&lt;"&amp;'19_Расчет_аналитики'!AE4608,WeightedMinAge06),MAX(CapacityAge06*'01_Вводные'!$B$218*'19_Расчет_аналитики'!AE4608,MeanMinAge06))),0)</f>
        <v/>
      </c>
      <c r="AF4545">
        <f>IF('01_Вводные'!$B$234="Да",IF(OR(('19_Расчет_аналитики'!AF4461-'19_Расчет_аналитики'!AF4489)=0,6&lt;='01_Вводные'!$B$297),0,('19_Расчет_аналитики'!AF4461-'19_Расчет_аналитики'!AF4489)*IF('01_Вводные'!$B$239="Да",MeanMinAge06+'19_Расчет_аналитики'!AF4608*SUMIF(ThresholdAge06,"&lt;"&amp;'19_Расчет_аналитики'!AF4608,WeightedRevAge06)-SUMIF(ThresholdAge06,"&lt;"&amp;'19_Расчет_аналитики'!AF4608,WeightedMinAge06),MAX(CapacityAge06*'01_Вводные'!$B$218*'19_Расчет_аналитики'!AF4608,MeanMinAge06))),0)</f>
        <v/>
      </c>
      <c r="AG4545">
        <f>IF('01_Вводные'!$B$234="Да",IF(OR(('19_Расчет_аналитики'!AG4461-'19_Расчет_аналитики'!AG4489)=0,6&lt;='01_Вводные'!$B$297),0,('19_Расчет_аналитики'!AG4461-'19_Расчет_аналитики'!AG4489)*IF('01_Вводные'!$B$239="Да",MeanMinAge06+'19_Расчет_аналитики'!AG4608*SUMIF(ThresholdAge06,"&lt;"&amp;'19_Расчет_аналитики'!AG4608,WeightedRevAge06)-SUMIF(ThresholdAge06,"&lt;"&amp;'19_Расчет_аналитики'!AG4608,WeightedMinAge06),MAX(CapacityAge06*'01_Вводные'!$B$218*'19_Расчет_аналитики'!AG4608,MeanMinAge06))),0)</f>
        <v/>
      </c>
      <c r="AH4545">
        <f>IF('01_Вводные'!$B$234="Да",IF(OR(('19_Расчет_аналитики'!AH4461-'19_Расчет_аналитики'!AH4489)=0,6&lt;='01_Вводные'!$B$297),0,('19_Расчет_аналитики'!AH4461-'19_Расчет_аналитики'!AH4489)*IF('01_Вводные'!$B$239="Да",MeanMinAge06+'19_Расчет_аналитики'!AH4608*SUMIF(ThresholdAge06,"&lt;"&amp;'19_Расчет_аналитики'!AH4608,WeightedRevAge06)-SUMIF(ThresholdAge06,"&lt;"&amp;'19_Расчет_аналитики'!AH4608,WeightedMinAge06),MAX(CapacityAge06*'01_Вводные'!$B$218*'19_Расчет_аналитики'!AH4608,MeanMinAge06))),0)</f>
        <v/>
      </c>
      <c r="AI4545">
        <f>IF('01_Вводные'!$B$234="Да",IF(OR(('19_Расчет_аналитики'!AI4461-'19_Расчет_аналитики'!AI4489)=0,6&lt;='01_Вводные'!$B$297),0,('19_Расчет_аналитики'!AI4461-'19_Расчет_аналитики'!AI4489)*IF('01_Вводные'!$B$239="Да",MeanMinAge06+'19_Расчет_аналитики'!AI4608*SUMIF(ThresholdAge06,"&lt;"&amp;'19_Расчет_аналитики'!AI4608,WeightedRevAge06)-SUMIF(ThresholdAge06,"&lt;"&amp;'19_Расчет_аналитики'!AI4608,WeightedMinAge06),MAX(CapacityAge06*'01_Вводные'!$B$218*'19_Расчет_аналитики'!AI4608,MeanMinAge06))),0)</f>
        <v/>
      </c>
      <c r="AJ4545">
        <f>IF('01_Вводные'!$B$234="Да",IF(OR(('19_Расчет_аналитики'!AJ4461-'19_Расчет_аналитики'!AJ4489)=0,6&lt;='01_Вводные'!$B$297),0,('19_Расчет_аналитики'!AJ4461-'19_Расчет_аналитики'!AJ4489)*IF('01_Вводные'!$B$239="Да",MeanMinAge06+'19_Расчет_аналитики'!AJ4608*SUMIF(ThresholdAge06,"&lt;"&amp;'19_Расчет_аналитики'!AJ4608,WeightedRevAge06)-SUMIF(ThresholdAge06,"&lt;"&amp;'19_Расчет_аналитики'!AJ4608,WeightedMinAge06),MAX(CapacityAge06*'01_Вводные'!$B$218*'19_Расчет_аналитики'!AJ4608,MeanMinAge06))),0)</f>
        <v/>
      </c>
      <c r="AK4545">
        <f>IF('01_Вводные'!$B$234="Да",IF(OR(('19_Расчет_аналитики'!AK4461-'19_Расчет_аналитики'!AK4489)=0,6&lt;='01_Вводные'!$B$297),0,('19_Расчет_аналитики'!AK4461-'19_Расчет_аналитики'!AK4489)*IF('01_Вводные'!$B$239="Да",MeanMinAge06+'19_Расчет_аналитики'!AK4608*SUMIF(ThresholdAge06,"&lt;"&amp;'19_Расчет_аналитики'!AK4608,WeightedRevAge06)-SUMIF(ThresholdAge06,"&lt;"&amp;'19_Расчет_аналитики'!AK4608,WeightedMinAge06),MAX(CapacityAge06*'01_Вводные'!$B$218*'19_Расчет_аналитики'!AK4608,MeanMinAge06))),0)</f>
        <v/>
      </c>
      <c r="AL4545">
        <f>IF('01_Вводные'!$B$234="Да",IF(OR(('19_Расчет_аналитики'!AL4461-'19_Расчет_аналитики'!AL4489)=0,6&lt;='01_Вводные'!$B$297),0,('19_Расчет_аналитики'!AL4461-'19_Расчет_аналитики'!AL4489)*IF('01_Вводные'!$B$239="Да",MeanMinAge06+'19_Расчет_аналитики'!AL4608*SUMIF(ThresholdAge06,"&lt;"&amp;'19_Расчет_аналитики'!AL4608,WeightedRevAge06)-SUMIF(ThresholdAge06,"&lt;"&amp;'19_Расчет_аналитики'!AL4608,WeightedMinAge06),MAX(CapacityAge06*'01_Вводные'!$B$218*'19_Расчет_аналитики'!AL4608,MeanMinAge06))),0)</f>
        <v/>
      </c>
      <c r="AM4545">
        <f>IF('01_Вводные'!$B$234="Да",IF(OR(('19_Расчет_аналитики'!AM4461-'19_Расчет_аналитики'!AM4489)=0,6&lt;='01_Вводные'!$B$297),0,('19_Расчет_аналитики'!AM4461-'19_Расчет_аналитики'!AM4489)*IF('01_Вводные'!$B$239="Да",MeanMinAge06+'19_Расчет_аналитики'!AM4608*SUMIF(ThresholdAge06,"&lt;"&amp;'19_Расчет_аналитики'!AM4608,WeightedRevAge06)-SUMIF(ThresholdAge06,"&lt;"&amp;'19_Расчет_аналитики'!AM4608,WeightedMinAge06),MAX(CapacityAge06*'01_Вводные'!$B$218*'19_Расчет_аналитики'!AM4608,MeanMinAge06))),0)</f>
        <v/>
      </c>
      <c r="AN4545">
        <f>IF('01_Вводные'!$B$234="Да",IF(OR(('19_Расчет_аналитики'!AN4461-'19_Расчет_аналитики'!AN4489)=0,6&lt;='01_Вводные'!$B$297),0,('19_Расчет_аналитики'!AN4461-'19_Расчет_аналитики'!AN4489)*IF('01_Вводные'!$B$239="Да",MeanMinAge06+'19_Расчет_аналитики'!AN4608*SUMIF(ThresholdAge06,"&lt;"&amp;'19_Расчет_аналитики'!AN4608,WeightedRevAge06)-SUMIF(ThresholdAge06,"&lt;"&amp;'19_Расчет_аналитики'!AN4608,WeightedMinAge06),MAX(CapacityAge06*'01_Вводные'!$B$218*'19_Расчет_аналитики'!AN4608,MeanMinAge06))),0)</f>
        <v/>
      </c>
      <c r="AO4545">
        <f>IF('01_Вводные'!$B$234="Да",IF(OR(('19_Расчет_аналитики'!AO4461-'19_Расчет_аналитики'!AO4489)=0,6&lt;='01_Вводные'!$B$297),0,('19_Расчет_аналитики'!AO4461-'19_Расчет_аналитики'!AO4489)*IF('01_Вводные'!$B$239="Да",MeanMinAge06+'19_Расчет_аналитики'!AO4608*SUMIF(ThresholdAge06,"&lt;"&amp;'19_Расчет_аналитики'!AO4608,WeightedRevAge06)-SUMIF(ThresholdAge06,"&lt;"&amp;'19_Расчет_аналитики'!AO4608,WeightedMinAge06),MAX(CapacityAge06*'01_Вводные'!$B$218*'19_Расчет_аналитики'!AO4608,MeanMinAge06))),0)</f>
        <v/>
      </c>
      <c r="AP4545">
        <f>IF('01_Вводные'!$B$234="Да",IF(OR(('19_Расчет_аналитики'!AP4461-'19_Расчет_аналитики'!AP4489)=0,6&lt;='01_Вводные'!$B$297),0,('19_Расчет_аналитики'!AP4461-'19_Расчет_аналитики'!AP4489)*IF('01_Вводные'!$B$239="Да",MeanMinAge06+'19_Расчет_аналитики'!AP4608*SUMIF(ThresholdAge06,"&lt;"&amp;'19_Расчет_аналитики'!AP4608,WeightedRevAge06)-SUMIF(ThresholdAge06,"&lt;"&amp;'19_Расчет_аналитики'!AP4608,WeightedMinAge06),MAX(CapacityAge06*'01_Вводные'!$B$218*'19_Расчет_аналитики'!AP4608,MeanMinAge06))),0)</f>
        <v/>
      </c>
      <c r="AQ4545">
        <f>IF('01_Вводные'!$B$234="Да",IF(OR(('19_Расчет_аналитики'!AQ4461-'19_Расчет_аналитики'!AQ4489)=0,6&lt;='01_Вводные'!$B$297),0,('19_Расчет_аналитики'!AQ4461-'19_Расчет_аналитики'!AQ4489)*IF('01_Вводные'!$B$239="Да",MeanMinAge06+'19_Расчет_аналитики'!AQ4608*SUMIF(ThresholdAge06,"&lt;"&amp;'19_Расчет_аналитики'!AQ4608,WeightedRevAge06)-SUMIF(ThresholdAge06,"&lt;"&amp;'19_Расчет_аналитики'!AQ4608,WeightedMinAge06),MAX(CapacityAge06*'01_Вводные'!$B$218*'19_Расчет_аналитики'!AQ4608,MeanMinAge06))),0)</f>
        <v/>
      </c>
      <c r="AR4545">
        <f>IF('01_Вводные'!$B$234="Да",IF(OR(('19_Расчет_аналитики'!AR4461-'19_Расчет_аналитики'!AR4489)=0,6&lt;='01_Вводные'!$B$297),0,('19_Расчет_аналитики'!AR4461-'19_Расчет_аналитики'!AR4489)*IF('01_Вводные'!$B$239="Да",MeanMinAge06+'19_Расчет_аналитики'!AR4608*SUMIF(ThresholdAge06,"&lt;"&amp;'19_Расчет_аналитики'!AR4608,WeightedRevAge06)-SUMIF(ThresholdAge06,"&lt;"&amp;'19_Расчет_аналитики'!AR4608,WeightedMinAge06),MAX(CapacityAge06*'01_Вводные'!$B$218*'19_Расчет_аналитики'!AR4608,MeanMinAge06))),0)</f>
        <v/>
      </c>
      <c r="AS4545">
        <f>IF('01_Вводные'!$B$234="Да",IF(OR(('19_Расчет_аналитики'!AS4461-'19_Расчет_аналитики'!AS4489)=0,6&lt;='01_Вводные'!$B$297),0,('19_Расчет_аналитики'!AS4461-'19_Расчет_аналитики'!AS4489)*IF('01_Вводные'!$B$239="Да",MeanMinAge06+'19_Расчет_аналитики'!AS4608*SUMIF(ThresholdAge06,"&lt;"&amp;'19_Расчет_аналитики'!AS4608,WeightedRevAge06)-SUMIF(ThresholdAge06,"&lt;"&amp;'19_Расчет_аналитики'!AS4608,WeightedMinAge06),MAX(CapacityAge06*'01_Вводные'!$B$218*'19_Расчет_аналитики'!AS4608,MeanMinAge06))),0)</f>
        <v/>
      </c>
      <c r="AT4545">
        <f>IF('01_Вводные'!$B$234="Да",IF(OR(('19_Расчет_аналитики'!AT4461-'19_Расчет_аналитики'!AT4489)=0,6&lt;='01_Вводные'!$B$297),0,('19_Расчет_аналитики'!AT4461-'19_Расчет_аналитики'!AT4489)*IF('01_Вводные'!$B$239="Да",MeanMinAge06+'19_Расчет_аналитики'!AT4608*SUMIF(ThresholdAge06,"&lt;"&amp;'19_Расчет_аналитики'!AT4608,WeightedRevAge06)-SUMIF(ThresholdAge06,"&lt;"&amp;'19_Расчет_аналитики'!AT4608,WeightedMinAge06),MAX(CapacityAge06*'01_Вводные'!$B$218*'19_Расчет_аналитики'!AT4608,MeanMinAge06))),0)</f>
        <v/>
      </c>
      <c r="AU4545">
        <f>IF('01_Вводные'!$B$234="Да",IF(OR(('19_Расчет_аналитики'!AU4461-'19_Расчет_аналитики'!AU4489)=0,6&lt;='01_Вводные'!$B$297),0,('19_Расчет_аналитики'!AU4461-'19_Расчет_аналитики'!AU4489)*IF('01_Вводные'!$B$239="Да",MeanMinAge06+'19_Расчет_аналитики'!AU4608*SUMIF(ThresholdAge06,"&lt;"&amp;'19_Расчет_аналитики'!AU4608,WeightedRevAge06)-SUMIF(ThresholdAge06,"&lt;"&amp;'19_Расчет_аналитики'!AU4608,WeightedMinAge06),MAX(CapacityAge06*'01_Вводные'!$B$218*'19_Расчет_аналитики'!AU4608,MeanMinAge06))),0)</f>
        <v/>
      </c>
      <c r="AV4545">
        <f>IF('01_Вводные'!$B$234="Да",IF(OR(('19_Расчет_аналитики'!AV4461-'19_Расчет_аналитики'!AV4489)=0,6&lt;='01_Вводные'!$B$297),0,('19_Расчет_аналитики'!AV4461-'19_Расчет_аналитики'!AV4489)*IF('01_Вводные'!$B$239="Да",MeanMinAge06+'19_Расчет_аналитики'!AV4608*SUMIF(ThresholdAge06,"&lt;"&amp;'19_Расчет_аналитики'!AV4608,WeightedRevAge06)-SUMIF(ThresholdAge06,"&lt;"&amp;'19_Расчет_аналитики'!AV4608,WeightedMinAge06),MAX(CapacityAge06*'01_Вводные'!$B$218*'19_Расчет_аналитики'!AV4608,MeanMinAge06))),0)</f>
        <v/>
      </c>
      <c r="AW4545">
        <f>IF('01_Вводные'!$B$234="Да",IF(OR(('19_Расчет_аналитики'!AW4461-'19_Расчет_аналитики'!AW4489)=0,6&lt;='01_Вводные'!$B$297),0,('19_Расчет_аналитики'!AW4461-'19_Расчет_аналитики'!AW4489)*IF('01_Вводные'!$B$239="Да",MeanMinAge06+'19_Расчет_аналитики'!AW4608*SUMIF(ThresholdAge06,"&lt;"&amp;'19_Расчет_аналитики'!AW4608,WeightedRevAge06)-SUMIF(ThresholdAge06,"&lt;"&amp;'19_Расчет_аналитики'!AW4608,WeightedMinAge06),MAX(CapacityAge06*'01_Вводные'!$B$218*'19_Расчет_аналитики'!AW4608,MeanMinAge06))),0)</f>
        <v/>
      </c>
      <c r="AX4545">
        <f>IF('01_Вводные'!$B$234="Да",IF(OR(('19_Расчет_аналитики'!AX4461-'19_Расчет_аналитики'!AX4489)=0,6&lt;='01_Вводные'!$B$297),0,('19_Расчет_аналитики'!AX4461-'19_Расчет_аналитики'!AX4489)*IF('01_Вводные'!$B$239="Да",MeanMinAge06+'19_Расчет_аналитики'!AX4608*SUMIF(ThresholdAge06,"&lt;"&amp;'19_Расчет_аналитики'!AX4608,WeightedRevAge06)-SUMIF(ThresholdAge06,"&lt;"&amp;'19_Расчет_аналитики'!AX4608,WeightedMinAge06),MAX(CapacityAge06*'01_Вводные'!$B$218*'19_Расчет_аналитики'!AX4608,MeanMinAge06))),0)</f>
        <v/>
      </c>
      <c r="AY4545">
        <f>IF('01_Вводные'!$B$234="Да",IF(OR(('19_Расчет_аналитики'!AY4461-'19_Расчет_аналитики'!AY4489)=0,6&lt;='01_Вводные'!$B$297),0,('19_Расчет_аналитики'!AY4461-'19_Расчет_аналитики'!AY4489)*IF('01_Вводные'!$B$239="Да",MeanMinAge06+'19_Расчет_аналитики'!AY4608*SUMIF(ThresholdAge06,"&lt;"&amp;'19_Расчет_аналитики'!AY4608,WeightedRevAge06)-SUMIF(ThresholdAge06,"&lt;"&amp;'19_Расчет_аналитики'!AY4608,WeightedMinAge06),MAX(CapacityAge06*'01_Вводные'!$B$218*'19_Расчет_аналитики'!AY4608,MeanMinAge06))),0)</f>
        <v/>
      </c>
      <c r="AZ4545">
        <f>IF('01_Вводные'!$B$234="Да",IF(OR(('19_Расчет_аналитики'!AZ4461-'19_Расчет_аналитики'!AZ4489)=0,6&lt;='01_Вводные'!$B$297),0,('19_Расчет_аналитики'!AZ4461-'19_Расчет_аналитики'!AZ4489)*IF('01_Вводные'!$B$239="Да",MeanMinAge06+'19_Расчет_аналитики'!AZ4608*SUMIF(ThresholdAge06,"&lt;"&amp;'19_Расчет_аналитики'!AZ4608,WeightedRevAge06)-SUMIF(ThresholdAge06,"&lt;"&amp;'19_Расчет_аналитики'!AZ4608,WeightedMinAge06),MAX(CapacityAge06*'01_Вводные'!$B$218*'19_Расчет_аналитики'!AZ4608,MeanMinAge06))),0)</f>
        <v/>
      </c>
      <c r="BA4545">
        <f>IF('01_Вводные'!$B$234="Да",IF(OR(('19_Расчет_аналитики'!BA4461-'19_Расчет_аналитики'!BA4489)=0,6&lt;='01_Вводные'!$B$297),0,('19_Расчет_аналитики'!BA4461-'19_Расчет_аналитики'!BA4489)*IF('01_Вводные'!$B$239="Да",MeanMinAge06+'19_Расчет_аналитики'!BA4608*SUMIF(ThresholdAge06,"&lt;"&amp;'19_Расчет_аналитики'!BA4608,WeightedRevAge06)-SUMIF(ThresholdAge06,"&lt;"&amp;'19_Расчет_аналитики'!BA4608,WeightedMinAge06),MAX(CapacityAge06*'01_Вводные'!$B$218*'19_Расчет_аналитики'!BA4608,MeanMinAge06))),0)</f>
        <v/>
      </c>
      <c r="BB4545">
        <f>IF('01_Вводные'!$B$234="Да",IF(OR(('19_Расчет_аналитики'!BB4461-'19_Расчет_аналитики'!BB4489)=0,6&lt;='01_Вводные'!$B$297),0,('19_Расчет_аналитики'!BB4461-'19_Расчет_аналитики'!BB4489)*IF('01_Вводные'!$B$239="Да",MeanMinAge06+'19_Расчет_аналитики'!BB4608*SUMIF(ThresholdAge06,"&lt;"&amp;'19_Расчет_аналитики'!BB4608,WeightedRevAge06)-SUMIF(ThresholdAge06,"&lt;"&amp;'19_Расчет_аналитики'!BB4608,WeightedMinAge06),MAX(CapacityAge06*'01_Вводные'!$B$218*'19_Расчет_аналитики'!BB4608,MeanMinAge06))),0)</f>
        <v/>
      </c>
      <c r="BC4545">
        <f>IF('01_Вводные'!$B$234="Да",IF(OR(('19_Расчет_аналитики'!BC4461-'19_Расчет_аналитики'!BC4489)=0,6&lt;='01_Вводные'!$B$297),0,('19_Расчет_аналитики'!BC4461-'19_Расчет_аналитики'!BC4489)*IF('01_Вводные'!$B$239="Да",MeanMinAge06+'19_Расчет_аналитики'!BC4608*SUMIF(ThresholdAge06,"&lt;"&amp;'19_Расчет_аналитики'!BC4608,WeightedRevAge06)-SUMIF(ThresholdAge06,"&lt;"&amp;'19_Расчет_аналитики'!BC4608,WeightedMinAge06),MAX(CapacityAge06*'01_Вводные'!$B$218*'19_Расчет_аналитики'!BC4608,MeanMinAge06))),0)</f>
        <v/>
      </c>
      <c r="BD4545">
        <f>IF('01_Вводные'!$B$234="Да",IF(OR(('19_Расчет_аналитики'!BD4461-'19_Расчет_аналитики'!BD4489)=0,6&lt;='01_Вводные'!$B$297),0,('19_Расчет_аналитики'!BD4461-'19_Расчет_аналитики'!BD4489)*IF('01_Вводные'!$B$239="Да",MeanMinAge06+'19_Расчет_аналитики'!BD4608*SUMIF(ThresholdAge06,"&lt;"&amp;'19_Расчет_аналитики'!BD4608,WeightedRevAge06)-SUMIF(ThresholdAge06,"&lt;"&amp;'19_Расчет_аналитики'!BD4608,WeightedMinAge06),MAX(CapacityAge06*'01_Вводные'!$B$218*'19_Расчет_аналитики'!BD4608,MeanMinAge06))),0)</f>
        <v/>
      </c>
      <c r="BE4545">
        <f>IF('01_Вводные'!$B$234="Да",IF(OR(('19_Расчет_аналитики'!BE4461-'19_Расчет_аналитики'!BE4489)=0,6&lt;='01_Вводные'!$B$297),0,('19_Расчет_аналитики'!BE4461-'19_Расчет_аналитики'!BE4489)*IF('01_Вводные'!$B$239="Да",MeanMinAge06+'19_Расчет_аналитики'!BE4608*SUMIF(ThresholdAge06,"&lt;"&amp;'19_Расчет_аналитики'!BE4608,WeightedRevAge06)-SUMIF(ThresholdAge06,"&lt;"&amp;'19_Расчет_аналитики'!BE4608,WeightedMinAge06),MAX(CapacityAge06*'01_Вводные'!$B$218*'19_Расчет_аналитики'!BE4608,MeanMinAge06))),0)</f>
        <v/>
      </c>
      <c r="BF4545">
        <f>IF('01_Вводные'!$B$234="Да",IF(OR(('19_Расчет_аналитики'!BF4461-'19_Расчет_аналитики'!BF4489)=0,6&lt;='01_Вводные'!$B$297),0,('19_Расчет_аналитики'!BF4461-'19_Расчет_аналитики'!BF4489)*IF('01_Вводные'!$B$239="Да",MeanMinAge06+'19_Расчет_аналитики'!BF4608*SUMIF(ThresholdAge06,"&lt;"&amp;'19_Расчет_аналитики'!BF4608,WeightedRevAge06)-SUMIF(ThresholdAge06,"&lt;"&amp;'19_Расчет_аналитики'!BF4608,WeightedMinAge06),MAX(CapacityAge06*'01_Вводные'!$B$218*'19_Расчет_аналитики'!BF4608,MeanMinAge06))),0)</f>
        <v/>
      </c>
      <c r="BG4545">
        <f>IF('01_Вводные'!$B$234="Да",IF(OR(('19_Расчет_аналитики'!BG4461-'19_Расчет_аналитики'!BG4489)=0,6&lt;='01_Вводные'!$B$297),0,('19_Расчет_аналитики'!BG4461-'19_Расчет_аналитики'!BG4489)*IF('01_Вводные'!$B$239="Да",MeanMinAge06+'19_Расчет_аналитики'!BG4608*SUMIF(ThresholdAge06,"&lt;"&amp;'19_Расчет_аналитики'!BG4608,WeightedRevAge06)-SUMIF(ThresholdAge06,"&lt;"&amp;'19_Расчет_аналитики'!BG4608,WeightedMinAge06),MAX(CapacityAge06*'01_Вводные'!$B$218*'19_Расчет_аналитики'!BG4608,MeanMinAge06))),0)</f>
        <v/>
      </c>
      <c r="BH4545">
        <f>IF('01_Вводные'!$B$234="Да",IF(OR(('19_Расчет_аналитики'!BH4461-'19_Расчет_аналитики'!BH4489)=0,6&lt;='01_Вводные'!$B$297),0,('19_Расчет_аналитики'!BH4461-'19_Расчет_аналитики'!BH4489)*IF('01_Вводные'!$B$239="Да",MeanMinAge06+'19_Расчет_аналитики'!BH4608*SUMIF(ThresholdAge06,"&lt;"&amp;'19_Расчет_аналитики'!BH4608,WeightedRevAge06)-SUMIF(ThresholdAge06,"&lt;"&amp;'19_Расчет_аналитики'!BH4608,WeightedMinAge06),MAX(CapacityAge06*'01_Вводные'!$B$218*'19_Расчет_аналитики'!BH4608,MeanMinAge06))),0)</f>
        <v/>
      </c>
      <c r="BI4545">
        <f>IF('01_Вводные'!$B$234="Да",IF(OR(('19_Расчет_аналитики'!BI4461-'19_Расчет_аналитики'!BI4489)=0,6&lt;='01_Вводные'!$B$297),0,('19_Расчет_аналитики'!BI4461-'19_Расчет_аналитики'!BI4489)*IF('01_Вводные'!$B$239="Да",MeanMinAge06+'19_Расчет_аналитики'!BI4608*SUMIF(ThresholdAge06,"&lt;"&amp;'19_Расчет_аналитики'!BI4608,WeightedRevAge06)-SUMIF(ThresholdAge06,"&lt;"&amp;'19_Расчет_аналитики'!BI4608,WeightedMinAge06),MAX(CapacityAge06*'01_Вводные'!$B$218*'19_Расчет_аналитики'!BI4608,MeanMinAge06))),0)</f>
        <v/>
      </c>
      <c r="BJ4545">
        <f>IF('01_Вводные'!$B$234="Да",IF(OR(('19_Расчет_аналитики'!BJ4461-'19_Расчет_аналитики'!BJ4489)=0,6&lt;='01_Вводные'!$B$297),0,('19_Расчет_аналитики'!BJ4461-'19_Расчет_аналитики'!BJ4489)*IF('01_Вводные'!$B$239="Да",MeanMinAge06+'19_Расчет_аналитики'!BJ4608*SUMIF(ThresholdAge06,"&lt;"&amp;'19_Расчет_аналитики'!BJ4608,WeightedRevAge06)-SUMIF(ThresholdAge06,"&lt;"&amp;'19_Расчет_аналитики'!BJ4608,WeightedMinAge06),MAX(CapacityAge06*'01_Вводные'!$B$218*'19_Расчет_аналитики'!BJ4608,MeanMinAge06))),0)</f>
        <v/>
      </c>
      <c r="BK4545">
        <f>IF('01_Вводные'!$B$234="Да",IF(OR(('19_Расчет_аналитики'!BK4461-'19_Расчет_аналитики'!BK4489)=0,6&lt;='01_Вводные'!$B$297),0,('19_Расчет_аналитики'!BK4461-'19_Расчет_аналитики'!BK4489)*IF('01_Вводные'!$B$239="Да",MeanMinAge06+'19_Расчет_аналитики'!BK4608*SUMIF(ThresholdAge06,"&lt;"&amp;'19_Расчет_аналитики'!BK4608,WeightedRevAge06)-SUMIF(ThresholdAge06,"&lt;"&amp;'19_Расчет_аналитики'!BK4608,WeightedMinAge06),MAX(CapacityAge06*'01_Вводные'!$B$218*'19_Расчет_аналитики'!BK4608,MeanMinAge06))),0)</f>
        <v/>
      </c>
      <c r="BL4545">
        <f>IF('01_Вводные'!$B$234="Да",IF(OR(('19_Расчет_аналитики'!BL4461-'19_Расчет_аналитики'!BL4489)=0,6&lt;='01_Вводные'!$B$297),0,('19_Расчет_аналитики'!BL4461-'19_Расчет_аналитики'!BL4489)*IF('01_Вводные'!$B$239="Да",MeanMinAge06+'19_Расчет_аналитики'!BL4608*SUMIF(ThresholdAge06,"&lt;"&amp;'19_Расчет_аналитики'!BL4608,WeightedRevAge06)-SUMIF(ThresholdAge06,"&lt;"&amp;'19_Расчет_аналитики'!BL4608,WeightedMinAge06),MAX(CapacityAge06*'01_Вводные'!$B$218*'19_Расчет_аналитики'!BL4608,MeanMinAge06))),0)</f>
        <v/>
      </c>
      <c r="BM4545">
        <f>IF('01_Вводные'!$B$234="Да",IF(OR(('19_Расчет_аналитики'!BM4461-'19_Расчет_аналитики'!BM4489)=0,6&lt;='01_Вводные'!$B$297),0,('19_Расчет_аналитики'!BM4461-'19_Расчет_аналитики'!BM4489)*IF('01_Вводные'!$B$239="Да",MeanMinAge06+'19_Расчет_аналитики'!BM4608*SUMIF(ThresholdAge06,"&lt;"&amp;'19_Расчет_аналитики'!BM4608,WeightedRevAge06)-SUMIF(ThresholdAge06,"&lt;"&amp;'19_Расчет_аналитики'!BM4608,WeightedMinAge06),MAX(CapacityAge06*'01_Вводные'!$B$218*'19_Расчет_аналитики'!BM4608,MeanMinAge06))),0)</f>
        <v/>
      </c>
      <c r="BN4545">
        <f>IF('01_Вводные'!$B$234="Да",IF(OR(('19_Расчет_аналитики'!BN4461-'19_Расчет_аналитики'!BN4489)=0,6&lt;='01_Вводные'!$B$297),0,('19_Расчет_аналитики'!BN4461-'19_Расчет_аналитики'!BN4489)*IF('01_Вводные'!$B$239="Да",MeanMinAge06+'19_Расчет_аналитики'!BN4608*SUMIF(ThresholdAge06,"&lt;"&amp;'19_Расчет_аналитики'!BN4608,WeightedRevAge06)-SUMIF(ThresholdAge06,"&lt;"&amp;'19_Расчет_аналитики'!BN4608,WeightedMinAge06),MAX(CapacityAge06*'01_Вводные'!$B$218*'19_Расчет_аналитики'!BN4608,MeanMinAge06))),0)</f>
        <v/>
      </c>
      <c r="BO4545">
        <f>IF('01_Вводные'!$B$234="Да",IF(OR(('19_Расчет_аналитики'!BO4461-'19_Расчет_аналитики'!BO4489)=0,6&lt;='01_Вводные'!$B$297),0,('19_Расчет_аналитики'!BO4461-'19_Расчет_аналитики'!BO4489)*IF('01_Вводные'!$B$239="Да",MeanMinAge06+'19_Расчет_аналитики'!BO4608*SUMIF(ThresholdAge06,"&lt;"&amp;'19_Расчет_аналитики'!BO4608,WeightedRevAge06)-SUMIF(ThresholdAge06,"&lt;"&amp;'19_Расчет_аналитики'!BO4608,WeightedMinAge06),MAX(CapacityAge06*'01_Вводные'!$B$218*'19_Расчет_аналитики'!BO4608,MeanMinAge06))),0)</f>
        <v/>
      </c>
    </row>
    <row r="4546">
      <c r="B4546">
        <f>IF('01_Вводные'!$B$234="Да",IF(OR(('06_Сеть_и_дети'!B59-'06_Сеть_и_дети'!B87)=0,7&lt;='01_Вводные'!$B$297),0,('06_Сеть_и_дети'!B59-'06_Сеть_и_дети'!B87)*IF('01_Вводные'!$B$239="Да",MeanMinAge07+'19_Расчет_аналитики'!B4608*SUMIF(ThresholdAge07,"&lt;"&amp;'19_Расчет_аналитики'!B4608,WeightedRevAge07)-SUMIF(ThresholdAge07,"&lt;"&amp;'19_Расчет_аналитики'!B4608,WeightedMinAge07),MAX(CapacityAge07*'01_Вводные'!$B$218*'19_Расчет_аналитики'!B4608,MeanMinAge07))),0)</f>
        <v/>
      </c>
      <c r="C4546">
        <f>IF('01_Вводные'!$B$234="Да",IF(OR(('06_Сеть_и_дети'!C59-'06_Сеть_и_дети'!C87)=0,7&lt;='01_Вводные'!$B$297),0,('06_Сеть_и_дети'!C59-'06_Сеть_и_дети'!C87)*IF('01_Вводные'!$B$239="Да",MeanMinAge07+'19_Расчет_аналитики'!C4608*SUMIF(ThresholdAge07,"&lt;"&amp;'19_Расчет_аналитики'!C4608,WeightedRevAge07)-SUMIF(ThresholdAge07,"&lt;"&amp;'19_Расчет_аналитики'!C4608,WeightedMinAge07),MAX(CapacityAge07*'01_Вводные'!$B$218*'19_Расчет_аналитики'!C4608,MeanMinAge07))),0)</f>
        <v/>
      </c>
      <c r="D4546">
        <f>IF('01_Вводные'!$B$234="Да",IF(OR(('06_Сеть_и_дети'!D59-'06_Сеть_и_дети'!D87)=0,7&lt;='01_Вводные'!$B$297),0,('06_Сеть_и_дети'!D59-'06_Сеть_и_дети'!D87)*IF('01_Вводные'!$B$239="Да",MeanMinAge07+'19_Расчет_аналитики'!D4608*SUMIF(ThresholdAge07,"&lt;"&amp;'19_Расчет_аналитики'!D4608,WeightedRevAge07)-SUMIF(ThresholdAge07,"&lt;"&amp;'19_Расчет_аналитики'!D4608,WeightedMinAge07),MAX(CapacityAge07*'01_Вводные'!$B$218*'19_Расчет_аналитики'!D4608,MeanMinAge07))),0)</f>
        <v/>
      </c>
      <c r="E4546">
        <f>IF('01_Вводные'!$B$234="Да",IF(OR(('06_Сеть_и_дети'!E59-'06_Сеть_и_дети'!E87)=0,7&lt;='01_Вводные'!$B$297),0,('06_Сеть_и_дети'!E59-'06_Сеть_и_дети'!E87)*IF('01_Вводные'!$B$239="Да",MeanMinAge07+'19_Расчет_аналитики'!E4608*SUMIF(ThresholdAge07,"&lt;"&amp;'19_Расчет_аналитики'!E4608,WeightedRevAge07)-SUMIF(ThresholdAge07,"&lt;"&amp;'19_Расчет_аналитики'!E4608,WeightedMinAge07),MAX(CapacityAge07*'01_Вводные'!$B$218*'19_Расчет_аналитики'!E4608,MeanMinAge07))),0)</f>
        <v/>
      </c>
      <c r="F4546">
        <f>IF('01_Вводные'!$B$234="Да",IF(OR(('06_Сеть_и_дети'!F59-'06_Сеть_и_дети'!F87)=0,7&lt;='01_Вводные'!$B$297),0,('06_Сеть_и_дети'!F59-'06_Сеть_и_дети'!F87)*IF('01_Вводные'!$B$239="Да",MeanMinAge07+'19_Расчет_аналитики'!F4608*SUMIF(ThresholdAge07,"&lt;"&amp;'19_Расчет_аналитики'!F4608,WeightedRevAge07)-SUMIF(ThresholdAge07,"&lt;"&amp;'19_Расчет_аналитики'!F4608,WeightedMinAge07),MAX(CapacityAge07*'01_Вводные'!$B$218*'19_Расчет_аналитики'!F4608,MeanMinAge07))),0)</f>
        <v/>
      </c>
      <c r="G4546">
        <f>IF('01_Вводные'!$B$234="Да",IF(OR(('06_Сеть_и_дети'!G59-'06_Сеть_и_дети'!G87)=0,7&lt;='01_Вводные'!$B$297),0,('06_Сеть_и_дети'!G59-'06_Сеть_и_дети'!G87)*IF('01_Вводные'!$B$239="Да",MeanMinAge07+'19_Расчет_аналитики'!G4608*SUMIF(ThresholdAge07,"&lt;"&amp;'19_Расчет_аналитики'!G4608,WeightedRevAge07)-SUMIF(ThresholdAge07,"&lt;"&amp;'19_Расчет_аналитики'!G4608,WeightedMinAge07),MAX(CapacityAge07*'01_Вводные'!$B$218*'19_Расчет_аналитики'!G4608,MeanMinAge07))),0)</f>
        <v/>
      </c>
      <c r="H4546">
        <f>IF('01_Вводные'!$B$234="Да",IF(OR(('19_Расчет_аналитики'!H4462-'19_Расчет_аналитики'!H4490)=0,7&lt;='01_Вводные'!$B$297),0,('19_Расчет_аналитики'!H4462-'19_Расчет_аналитики'!H4490)*IF('01_Вводные'!$B$239="Да",MeanMinAge07+'19_Расчет_аналитики'!H4608*SUMIF(ThresholdAge07,"&lt;"&amp;'19_Расчет_аналитики'!H4608,WeightedRevAge07)-SUMIF(ThresholdAge07,"&lt;"&amp;'19_Расчет_аналитики'!H4608,WeightedMinAge07),MAX(CapacityAge07*'01_Вводные'!$B$218*'19_Расчет_аналитики'!H4608,MeanMinAge07))),0)</f>
        <v/>
      </c>
      <c r="I4546">
        <f>IF('01_Вводные'!$B$234="Да",IF(OR(('19_Расчет_аналитики'!I4462-'19_Расчет_аналитики'!I4490)=0,7&lt;='01_Вводные'!$B$297),0,('19_Расчет_аналитики'!I4462-'19_Расчет_аналитики'!I4490)*IF('01_Вводные'!$B$239="Да",MeanMinAge07+'19_Расчет_аналитики'!I4608*SUMIF(ThresholdAge07,"&lt;"&amp;'19_Расчет_аналитики'!I4608,WeightedRevAge07)-SUMIF(ThresholdAge07,"&lt;"&amp;'19_Расчет_аналитики'!I4608,WeightedMinAge07),MAX(CapacityAge07*'01_Вводные'!$B$218*'19_Расчет_аналитики'!I4608,MeanMinAge07))),0)</f>
        <v/>
      </c>
      <c r="J4546">
        <f>IF('01_Вводные'!$B$234="Да",IF(OR(('19_Расчет_аналитики'!J4462-'19_Расчет_аналитики'!J4490)=0,7&lt;='01_Вводные'!$B$297),0,('19_Расчет_аналитики'!J4462-'19_Расчет_аналитики'!J4490)*IF('01_Вводные'!$B$239="Да",MeanMinAge07+'19_Расчет_аналитики'!J4608*SUMIF(ThresholdAge07,"&lt;"&amp;'19_Расчет_аналитики'!J4608,WeightedRevAge07)-SUMIF(ThresholdAge07,"&lt;"&amp;'19_Расчет_аналитики'!J4608,WeightedMinAge07),MAX(CapacityAge07*'01_Вводные'!$B$218*'19_Расчет_аналитики'!J4608,MeanMinAge07))),0)</f>
        <v/>
      </c>
      <c r="K4546">
        <f>IF('01_Вводные'!$B$234="Да",IF(OR(('19_Расчет_аналитики'!K4462-'19_Расчет_аналитики'!K4490)=0,7&lt;='01_Вводные'!$B$297),0,('19_Расчет_аналитики'!K4462-'19_Расчет_аналитики'!K4490)*IF('01_Вводные'!$B$239="Да",MeanMinAge07+'19_Расчет_аналитики'!K4608*SUMIF(ThresholdAge07,"&lt;"&amp;'19_Расчет_аналитики'!K4608,WeightedRevAge07)-SUMIF(ThresholdAge07,"&lt;"&amp;'19_Расчет_аналитики'!K4608,WeightedMinAge07),MAX(CapacityAge07*'01_Вводные'!$B$218*'19_Расчет_аналитики'!K4608,MeanMinAge07))),0)</f>
        <v/>
      </c>
      <c r="L4546">
        <f>IF('01_Вводные'!$B$234="Да",IF(OR(('19_Расчет_аналитики'!L4462-'19_Расчет_аналитики'!L4490)=0,7&lt;='01_Вводные'!$B$297),0,('19_Расчет_аналитики'!L4462-'19_Расчет_аналитики'!L4490)*IF('01_Вводные'!$B$239="Да",MeanMinAge07+'19_Расчет_аналитики'!L4608*SUMIF(ThresholdAge07,"&lt;"&amp;'19_Расчет_аналитики'!L4608,WeightedRevAge07)-SUMIF(ThresholdAge07,"&lt;"&amp;'19_Расчет_аналитики'!L4608,WeightedMinAge07),MAX(CapacityAge07*'01_Вводные'!$B$218*'19_Расчет_аналитики'!L4608,MeanMinAge07))),0)</f>
        <v/>
      </c>
      <c r="M4546">
        <f>IF('01_Вводные'!$B$234="Да",IF(OR(('19_Расчет_аналитики'!M4462-'19_Расчет_аналитики'!M4490)=0,7&lt;='01_Вводные'!$B$297),0,('19_Расчет_аналитики'!M4462-'19_Расчет_аналитики'!M4490)*IF('01_Вводные'!$B$239="Да",MeanMinAge07+'19_Расчет_аналитики'!M4608*SUMIF(ThresholdAge07,"&lt;"&amp;'19_Расчет_аналитики'!M4608,WeightedRevAge07)-SUMIF(ThresholdAge07,"&lt;"&amp;'19_Расчет_аналитики'!M4608,WeightedMinAge07),MAX(CapacityAge07*'01_Вводные'!$B$218*'19_Расчет_аналитики'!M4608,MeanMinAge07))),0)</f>
        <v/>
      </c>
      <c r="N4546">
        <f>IF('01_Вводные'!$B$234="Да",IF(OR(('19_Расчет_аналитики'!N4462-'19_Расчет_аналитики'!N4490)=0,7&lt;='01_Вводные'!$B$297),0,('19_Расчет_аналитики'!N4462-'19_Расчет_аналитики'!N4490)*IF('01_Вводные'!$B$239="Да",MeanMinAge07+'19_Расчет_аналитики'!N4608*SUMIF(ThresholdAge07,"&lt;"&amp;'19_Расчет_аналитики'!N4608,WeightedRevAge07)-SUMIF(ThresholdAge07,"&lt;"&amp;'19_Расчет_аналитики'!N4608,WeightedMinAge07),MAX(CapacityAge07*'01_Вводные'!$B$218*'19_Расчет_аналитики'!N4608,MeanMinAge07))),0)</f>
        <v/>
      </c>
      <c r="O4546">
        <f>IF('01_Вводные'!$B$234="Да",IF(OR(('19_Расчет_аналитики'!O4462-'19_Расчет_аналитики'!O4490)=0,7&lt;='01_Вводные'!$B$297),0,('19_Расчет_аналитики'!O4462-'19_Расчет_аналитики'!O4490)*IF('01_Вводные'!$B$239="Да",MeanMinAge07+'19_Расчет_аналитики'!O4608*SUMIF(ThresholdAge07,"&lt;"&amp;'19_Расчет_аналитики'!O4608,WeightedRevAge07)-SUMIF(ThresholdAge07,"&lt;"&amp;'19_Расчет_аналитики'!O4608,WeightedMinAge07),MAX(CapacityAge07*'01_Вводные'!$B$218*'19_Расчет_аналитики'!O4608,MeanMinAge07))),0)</f>
        <v/>
      </c>
      <c r="P4546">
        <f>IF('01_Вводные'!$B$234="Да",IF(OR(('19_Расчет_аналитики'!P4462-'19_Расчет_аналитики'!P4490)=0,7&lt;='01_Вводные'!$B$297),0,('19_Расчет_аналитики'!P4462-'19_Расчет_аналитики'!P4490)*IF('01_Вводные'!$B$239="Да",MeanMinAge07+'19_Расчет_аналитики'!P4608*SUMIF(ThresholdAge07,"&lt;"&amp;'19_Расчет_аналитики'!P4608,WeightedRevAge07)-SUMIF(ThresholdAge07,"&lt;"&amp;'19_Расчет_аналитики'!P4608,WeightedMinAge07),MAX(CapacityAge07*'01_Вводные'!$B$218*'19_Расчет_аналитики'!P4608,MeanMinAge07))),0)</f>
        <v/>
      </c>
      <c r="Q4546">
        <f>IF('01_Вводные'!$B$234="Да",IF(OR(('19_Расчет_аналитики'!Q4462-'19_Расчет_аналитики'!Q4490)=0,7&lt;='01_Вводные'!$B$297),0,('19_Расчет_аналитики'!Q4462-'19_Расчет_аналитики'!Q4490)*IF('01_Вводные'!$B$239="Да",MeanMinAge07+'19_Расчет_аналитики'!Q4608*SUMIF(ThresholdAge07,"&lt;"&amp;'19_Расчет_аналитики'!Q4608,WeightedRevAge07)-SUMIF(ThresholdAge07,"&lt;"&amp;'19_Расчет_аналитики'!Q4608,WeightedMinAge07),MAX(CapacityAge07*'01_Вводные'!$B$218*'19_Расчет_аналитики'!Q4608,MeanMinAge07))),0)</f>
        <v/>
      </c>
      <c r="R4546">
        <f>IF('01_Вводные'!$B$234="Да",IF(OR(('19_Расчет_аналитики'!R4462-'19_Расчет_аналитики'!R4490)=0,7&lt;='01_Вводные'!$B$297),0,('19_Расчет_аналитики'!R4462-'19_Расчет_аналитики'!R4490)*IF('01_Вводные'!$B$239="Да",MeanMinAge07+'19_Расчет_аналитики'!R4608*SUMIF(ThresholdAge07,"&lt;"&amp;'19_Расчет_аналитики'!R4608,WeightedRevAge07)-SUMIF(ThresholdAge07,"&lt;"&amp;'19_Расчет_аналитики'!R4608,WeightedMinAge07),MAX(CapacityAge07*'01_Вводные'!$B$218*'19_Расчет_аналитики'!R4608,MeanMinAge07))),0)</f>
        <v/>
      </c>
      <c r="S4546">
        <f>IF('01_Вводные'!$B$234="Да",IF(OR(('19_Расчет_аналитики'!S4462-'19_Расчет_аналитики'!S4490)=0,7&lt;='01_Вводные'!$B$297),0,('19_Расчет_аналитики'!S4462-'19_Расчет_аналитики'!S4490)*IF('01_Вводные'!$B$239="Да",MeanMinAge07+'19_Расчет_аналитики'!S4608*SUMIF(ThresholdAge07,"&lt;"&amp;'19_Расчет_аналитики'!S4608,WeightedRevAge07)-SUMIF(ThresholdAge07,"&lt;"&amp;'19_Расчет_аналитики'!S4608,WeightedMinAge07),MAX(CapacityAge07*'01_Вводные'!$B$218*'19_Расчет_аналитики'!S4608,MeanMinAge07))),0)</f>
        <v/>
      </c>
      <c r="T4546">
        <f>IF('01_Вводные'!$B$234="Да",IF(OR(('19_Расчет_аналитики'!T4462-'19_Расчет_аналитики'!T4490)=0,7&lt;='01_Вводные'!$B$297),0,('19_Расчет_аналитики'!T4462-'19_Расчет_аналитики'!T4490)*IF('01_Вводные'!$B$239="Да",MeanMinAge07+'19_Расчет_аналитики'!T4608*SUMIF(ThresholdAge07,"&lt;"&amp;'19_Расчет_аналитики'!T4608,WeightedRevAge07)-SUMIF(ThresholdAge07,"&lt;"&amp;'19_Расчет_аналитики'!T4608,WeightedMinAge07),MAX(CapacityAge07*'01_Вводные'!$B$218*'19_Расчет_аналитики'!T4608,MeanMinAge07))),0)</f>
        <v/>
      </c>
      <c r="U4546">
        <f>IF('01_Вводные'!$B$234="Да",IF(OR(('19_Расчет_аналитики'!U4462-'19_Расчет_аналитики'!U4490)=0,7&lt;='01_Вводные'!$B$297),0,('19_Расчет_аналитики'!U4462-'19_Расчет_аналитики'!U4490)*IF('01_Вводные'!$B$239="Да",MeanMinAge07+'19_Расчет_аналитики'!U4608*SUMIF(ThresholdAge07,"&lt;"&amp;'19_Расчет_аналитики'!U4608,WeightedRevAge07)-SUMIF(ThresholdAge07,"&lt;"&amp;'19_Расчет_аналитики'!U4608,WeightedMinAge07),MAX(CapacityAge07*'01_Вводные'!$B$218*'19_Расчет_аналитики'!U4608,MeanMinAge07))),0)</f>
        <v/>
      </c>
      <c r="V4546">
        <f>IF('01_Вводные'!$B$234="Да",IF(OR(('19_Расчет_аналитики'!V4462-'19_Расчет_аналитики'!V4490)=0,7&lt;='01_Вводные'!$B$297),0,('19_Расчет_аналитики'!V4462-'19_Расчет_аналитики'!V4490)*IF('01_Вводные'!$B$239="Да",MeanMinAge07+'19_Расчет_аналитики'!V4608*SUMIF(ThresholdAge07,"&lt;"&amp;'19_Расчет_аналитики'!V4608,WeightedRevAge07)-SUMIF(ThresholdAge07,"&lt;"&amp;'19_Расчет_аналитики'!V4608,WeightedMinAge07),MAX(CapacityAge07*'01_Вводные'!$B$218*'19_Расчет_аналитики'!V4608,MeanMinAge07))),0)</f>
        <v/>
      </c>
      <c r="W4546">
        <f>IF('01_Вводные'!$B$234="Да",IF(OR(('19_Расчет_аналитики'!W4462-'19_Расчет_аналитики'!W4490)=0,7&lt;='01_Вводные'!$B$297),0,('19_Расчет_аналитики'!W4462-'19_Расчет_аналитики'!W4490)*IF('01_Вводные'!$B$239="Да",MeanMinAge07+'19_Расчет_аналитики'!W4608*SUMIF(ThresholdAge07,"&lt;"&amp;'19_Расчет_аналитики'!W4608,WeightedRevAge07)-SUMIF(ThresholdAge07,"&lt;"&amp;'19_Расчет_аналитики'!W4608,WeightedMinAge07),MAX(CapacityAge07*'01_Вводные'!$B$218*'19_Расчет_аналитики'!W4608,MeanMinAge07))),0)</f>
        <v/>
      </c>
      <c r="X4546">
        <f>IF('01_Вводные'!$B$234="Да",IF(OR(('19_Расчет_аналитики'!X4462-'19_Расчет_аналитики'!X4490)=0,7&lt;='01_Вводные'!$B$297),0,('19_Расчет_аналитики'!X4462-'19_Расчет_аналитики'!X4490)*IF('01_Вводные'!$B$239="Да",MeanMinAge07+'19_Расчет_аналитики'!X4608*SUMIF(ThresholdAge07,"&lt;"&amp;'19_Расчет_аналитики'!X4608,WeightedRevAge07)-SUMIF(ThresholdAge07,"&lt;"&amp;'19_Расчет_аналитики'!X4608,WeightedMinAge07),MAX(CapacityAge07*'01_Вводные'!$B$218*'19_Расчет_аналитики'!X4608,MeanMinAge07))),0)</f>
        <v/>
      </c>
      <c r="Y4546">
        <f>IF('01_Вводные'!$B$234="Да",IF(OR(('19_Расчет_аналитики'!Y4462-'19_Расчет_аналитики'!Y4490)=0,7&lt;='01_Вводные'!$B$297),0,('19_Расчет_аналитики'!Y4462-'19_Расчет_аналитики'!Y4490)*IF('01_Вводные'!$B$239="Да",MeanMinAge07+'19_Расчет_аналитики'!Y4608*SUMIF(ThresholdAge07,"&lt;"&amp;'19_Расчет_аналитики'!Y4608,WeightedRevAge07)-SUMIF(ThresholdAge07,"&lt;"&amp;'19_Расчет_аналитики'!Y4608,WeightedMinAge07),MAX(CapacityAge07*'01_Вводные'!$B$218*'19_Расчет_аналитики'!Y4608,MeanMinAge07))),0)</f>
        <v/>
      </c>
      <c r="Z4546">
        <f>IF('01_Вводные'!$B$234="Да",IF(OR(('19_Расчет_аналитики'!Z4462-'19_Расчет_аналитики'!Z4490)=0,7&lt;='01_Вводные'!$B$297),0,('19_Расчет_аналитики'!Z4462-'19_Расчет_аналитики'!Z4490)*IF('01_Вводные'!$B$239="Да",MeanMinAge07+'19_Расчет_аналитики'!Z4608*SUMIF(ThresholdAge07,"&lt;"&amp;'19_Расчет_аналитики'!Z4608,WeightedRevAge07)-SUMIF(ThresholdAge07,"&lt;"&amp;'19_Расчет_аналитики'!Z4608,WeightedMinAge07),MAX(CapacityAge07*'01_Вводные'!$B$218*'19_Расчет_аналитики'!Z4608,MeanMinAge07))),0)</f>
        <v/>
      </c>
      <c r="AA4546">
        <f>IF('01_Вводные'!$B$234="Да",IF(OR(('19_Расчет_аналитики'!AA4462-'19_Расчет_аналитики'!AA4490)=0,7&lt;='01_Вводные'!$B$297),0,('19_Расчет_аналитики'!AA4462-'19_Расчет_аналитики'!AA4490)*IF('01_Вводные'!$B$239="Да",MeanMinAge07+'19_Расчет_аналитики'!AA4608*SUMIF(ThresholdAge07,"&lt;"&amp;'19_Расчет_аналитики'!AA4608,WeightedRevAge07)-SUMIF(ThresholdAge07,"&lt;"&amp;'19_Расчет_аналитики'!AA4608,WeightedMinAge07),MAX(CapacityAge07*'01_Вводные'!$B$218*'19_Расчет_аналитики'!AA4608,MeanMinAge07))),0)</f>
        <v/>
      </c>
      <c r="AB4546">
        <f>IF('01_Вводные'!$B$234="Да",IF(OR(('19_Расчет_аналитики'!AB4462-'19_Расчет_аналитики'!AB4490)=0,7&lt;='01_Вводные'!$B$297),0,('19_Расчет_аналитики'!AB4462-'19_Расчет_аналитики'!AB4490)*IF('01_Вводные'!$B$239="Да",MeanMinAge07+'19_Расчет_аналитики'!AB4608*SUMIF(ThresholdAge07,"&lt;"&amp;'19_Расчет_аналитики'!AB4608,WeightedRevAge07)-SUMIF(ThresholdAge07,"&lt;"&amp;'19_Расчет_аналитики'!AB4608,WeightedMinAge07),MAX(CapacityAge07*'01_Вводные'!$B$218*'19_Расчет_аналитики'!AB4608,MeanMinAge07))),0)</f>
        <v/>
      </c>
      <c r="AC4546">
        <f>IF('01_Вводные'!$B$234="Да",IF(OR(('19_Расчет_аналитики'!AC4462-'19_Расчет_аналитики'!AC4490)=0,7&lt;='01_Вводные'!$B$297),0,('19_Расчет_аналитики'!AC4462-'19_Расчет_аналитики'!AC4490)*IF('01_Вводные'!$B$239="Да",MeanMinAge07+'19_Расчет_аналитики'!AC4608*SUMIF(ThresholdAge07,"&lt;"&amp;'19_Расчет_аналитики'!AC4608,WeightedRevAge07)-SUMIF(ThresholdAge07,"&lt;"&amp;'19_Расчет_аналитики'!AC4608,WeightedMinAge07),MAX(CapacityAge07*'01_Вводные'!$B$218*'19_Расчет_аналитики'!AC4608,MeanMinAge07))),0)</f>
        <v/>
      </c>
      <c r="AD4546">
        <f>IF('01_Вводные'!$B$234="Да",IF(OR(('19_Расчет_аналитики'!AD4462-'19_Расчет_аналитики'!AD4490)=0,7&lt;='01_Вводные'!$B$297),0,('19_Расчет_аналитики'!AD4462-'19_Расчет_аналитики'!AD4490)*IF('01_Вводные'!$B$239="Да",MeanMinAge07+'19_Расчет_аналитики'!AD4608*SUMIF(ThresholdAge07,"&lt;"&amp;'19_Расчет_аналитики'!AD4608,WeightedRevAge07)-SUMIF(ThresholdAge07,"&lt;"&amp;'19_Расчет_аналитики'!AD4608,WeightedMinAge07),MAX(CapacityAge07*'01_Вводные'!$B$218*'19_Расчет_аналитики'!AD4608,MeanMinAge07))),0)</f>
        <v/>
      </c>
      <c r="AE4546">
        <f>IF('01_Вводные'!$B$234="Да",IF(OR(('19_Расчет_аналитики'!AE4462-'19_Расчет_аналитики'!AE4490)=0,7&lt;='01_Вводные'!$B$297),0,('19_Расчет_аналитики'!AE4462-'19_Расчет_аналитики'!AE4490)*IF('01_Вводные'!$B$239="Да",MeanMinAge07+'19_Расчет_аналитики'!AE4608*SUMIF(ThresholdAge07,"&lt;"&amp;'19_Расчет_аналитики'!AE4608,WeightedRevAge07)-SUMIF(ThresholdAge07,"&lt;"&amp;'19_Расчет_аналитики'!AE4608,WeightedMinAge07),MAX(CapacityAge07*'01_Вводные'!$B$218*'19_Расчет_аналитики'!AE4608,MeanMinAge07))),0)</f>
        <v/>
      </c>
      <c r="AF4546">
        <f>IF('01_Вводные'!$B$234="Да",IF(OR(('19_Расчет_аналитики'!AF4462-'19_Расчет_аналитики'!AF4490)=0,7&lt;='01_Вводные'!$B$297),0,('19_Расчет_аналитики'!AF4462-'19_Расчет_аналитики'!AF4490)*IF('01_Вводные'!$B$239="Да",MeanMinAge07+'19_Расчет_аналитики'!AF4608*SUMIF(ThresholdAge07,"&lt;"&amp;'19_Расчет_аналитики'!AF4608,WeightedRevAge07)-SUMIF(ThresholdAge07,"&lt;"&amp;'19_Расчет_аналитики'!AF4608,WeightedMinAge07),MAX(CapacityAge07*'01_Вводные'!$B$218*'19_Расчет_аналитики'!AF4608,MeanMinAge07))),0)</f>
        <v/>
      </c>
      <c r="AG4546">
        <f>IF('01_Вводные'!$B$234="Да",IF(OR(('19_Расчет_аналитики'!AG4462-'19_Расчет_аналитики'!AG4490)=0,7&lt;='01_Вводные'!$B$297),0,('19_Расчет_аналитики'!AG4462-'19_Расчет_аналитики'!AG4490)*IF('01_Вводные'!$B$239="Да",MeanMinAge07+'19_Расчет_аналитики'!AG4608*SUMIF(ThresholdAge07,"&lt;"&amp;'19_Расчет_аналитики'!AG4608,WeightedRevAge07)-SUMIF(ThresholdAge07,"&lt;"&amp;'19_Расчет_аналитики'!AG4608,WeightedMinAge07),MAX(CapacityAge07*'01_Вводные'!$B$218*'19_Расчет_аналитики'!AG4608,MeanMinAge07))),0)</f>
        <v/>
      </c>
      <c r="AH4546">
        <f>IF('01_Вводные'!$B$234="Да",IF(OR(('19_Расчет_аналитики'!AH4462-'19_Расчет_аналитики'!AH4490)=0,7&lt;='01_Вводные'!$B$297),0,('19_Расчет_аналитики'!AH4462-'19_Расчет_аналитики'!AH4490)*IF('01_Вводные'!$B$239="Да",MeanMinAge07+'19_Расчет_аналитики'!AH4608*SUMIF(ThresholdAge07,"&lt;"&amp;'19_Расчет_аналитики'!AH4608,WeightedRevAge07)-SUMIF(ThresholdAge07,"&lt;"&amp;'19_Расчет_аналитики'!AH4608,WeightedMinAge07),MAX(CapacityAge07*'01_Вводные'!$B$218*'19_Расчет_аналитики'!AH4608,MeanMinAge07))),0)</f>
        <v/>
      </c>
      <c r="AI4546">
        <f>IF('01_Вводные'!$B$234="Да",IF(OR(('19_Расчет_аналитики'!AI4462-'19_Расчет_аналитики'!AI4490)=0,7&lt;='01_Вводные'!$B$297),0,('19_Расчет_аналитики'!AI4462-'19_Расчет_аналитики'!AI4490)*IF('01_Вводные'!$B$239="Да",MeanMinAge07+'19_Расчет_аналитики'!AI4608*SUMIF(ThresholdAge07,"&lt;"&amp;'19_Расчет_аналитики'!AI4608,WeightedRevAge07)-SUMIF(ThresholdAge07,"&lt;"&amp;'19_Расчет_аналитики'!AI4608,WeightedMinAge07),MAX(CapacityAge07*'01_Вводные'!$B$218*'19_Расчет_аналитики'!AI4608,MeanMinAge07))),0)</f>
        <v/>
      </c>
      <c r="AJ4546">
        <f>IF('01_Вводные'!$B$234="Да",IF(OR(('19_Расчет_аналитики'!AJ4462-'19_Расчет_аналитики'!AJ4490)=0,7&lt;='01_Вводные'!$B$297),0,('19_Расчет_аналитики'!AJ4462-'19_Расчет_аналитики'!AJ4490)*IF('01_Вводные'!$B$239="Да",MeanMinAge07+'19_Расчет_аналитики'!AJ4608*SUMIF(ThresholdAge07,"&lt;"&amp;'19_Расчет_аналитики'!AJ4608,WeightedRevAge07)-SUMIF(ThresholdAge07,"&lt;"&amp;'19_Расчет_аналитики'!AJ4608,WeightedMinAge07),MAX(CapacityAge07*'01_Вводные'!$B$218*'19_Расчет_аналитики'!AJ4608,MeanMinAge07))),0)</f>
        <v/>
      </c>
      <c r="AK4546">
        <f>IF('01_Вводные'!$B$234="Да",IF(OR(('19_Расчет_аналитики'!AK4462-'19_Расчет_аналитики'!AK4490)=0,7&lt;='01_Вводные'!$B$297),0,('19_Расчет_аналитики'!AK4462-'19_Расчет_аналитики'!AK4490)*IF('01_Вводные'!$B$239="Да",MeanMinAge07+'19_Расчет_аналитики'!AK4608*SUMIF(ThresholdAge07,"&lt;"&amp;'19_Расчет_аналитики'!AK4608,WeightedRevAge07)-SUMIF(ThresholdAge07,"&lt;"&amp;'19_Расчет_аналитики'!AK4608,WeightedMinAge07),MAX(CapacityAge07*'01_Вводные'!$B$218*'19_Расчет_аналитики'!AK4608,MeanMinAge07))),0)</f>
        <v/>
      </c>
      <c r="AL4546">
        <f>IF('01_Вводные'!$B$234="Да",IF(OR(('19_Расчет_аналитики'!AL4462-'19_Расчет_аналитики'!AL4490)=0,7&lt;='01_Вводные'!$B$297),0,('19_Расчет_аналитики'!AL4462-'19_Расчет_аналитики'!AL4490)*IF('01_Вводные'!$B$239="Да",MeanMinAge07+'19_Расчет_аналитики'!AL4608*SUMIF(ThresholdAge07,"&lt;"&amp;'19_Расчет_аналитики'!AL4608,WeightedRevAge07)-SUMIF(ThresholdAge07,"&lt;"&amp;'19_Расчет_аналитики'!AL4608,WeightedMinAge07),MAX(CapacityAge07*'01_Вводные'!$B$218*'19_Расчет_аналитики'!AL4608,MeanMinAge07))),0)</f>
        <v/>
      </c>
      <c r="AM4546">
        <f>IF('01_Вводные'!$B$234="Да",IF(OR(('19_Расчет_аналитики'!AM4462-'19_Расчет_аналитики'!AM4490)=0,7&lt;='01_Вводные'!$B$297),0,('19_Расчет_аналитики'!AM4462-'19_Расчет_аналитики'!AM4490)*IF('01_Вводные'!$B$239="Да",MeanMinAge07+'19_Расчет_аналитики'!AM4608*SUMIF(ThresholdAge07,"&lt;"&amp;'19_Расчет_аналитики'!AM4608,WeightedRevAge07)-SUMIF(ThresholdAge07,"&lt;"&amp;'19_Расчет_аналитики'!AM4608,WeightedMinAge07),MAX(CapacityAge07*'01_Вводные'!$B$218*'19_Расчет_аналитики'!AM4608,MeanMinAge07))),0)</f>
        <v/>
      </c>
      <c r="AN4546">
        <f>IF('01_Вводные'!$B$234="Да",IF(OR(('19_Расчет_аналитики'!AN4462-'19_Расчет_аналитики'!AN4490)=0,7&lt;='01_Вводные'!$B$297),0,('19_Расчет_аналитики'!AN4462-'19_Расчет_аналитики'!AN4490)*IF('01_Вводные'!$B$239="Да",MeanMinAge07+'19_Расчет_аналитики'!AN4608*SUMIF(ThresholdAge07,"&lt;"&amp;'19_Расчет_аналитики'!AN4608,WeightedRevAge07)-SUMIF(ThresholdAge07,"&lt;"&amp;'19_Расчет_аналитики'!AN4608,WeightedMinAge07),MAX(CapacityAge07*'01_Вводные'!$B$218*'19_Расчет_аналитики'!AN4608,MeanMinAge07))),0)</f>
        <v/>
      </c>
      <c r="AO4546">
        <f>IF('01_Вводные'!$B$234="Да",IF(OR(('19_Расчет_аналитики'!AO4462-'19_Расчет_аналитики'!AO4490)=0,7&lt;='01_Вводные'!$B$297),0,('19_Расчет_аналитики'!AO4462-'19_Расчет_аналитики'!AO4490)*IF('01_Вводные'!$B$239="Да",MeanMinAge07+'19_Расчет_аналитики'!AO4608*SUMIF(ThresholdAge07,"&lt;"&amp;'19_Расчет_аналитики'!AO4608,WeightedRevAge07)-SUMIF(ThresholdAge07,"&lt;"&amp;'19_Расчет_аналитики'!AO4608,WeightedMinAge07),MAX(CapacityAge07*'01_Вводные'!$B$218*'19_Расчет_аналитики'!AO4608,MeanMinAge07))),0)</f>
        <v/>
      </c>
      <c r="AP4546">
        <f>IF('01_Вводные'!$B$234="Да",IF(OR(('19_Расчет_аналитики'!AP4462-'19_Расчет_аналитики'!AP4490)=0,7&lt;='01_Вводные'!$B$297),0,('19_Расчет_аналитики'!AP4462-'19_Расчет_аналитики'!AP4490)*IF('01_Вводные'!$B$239="Да",MeanMinAge07+'19_Расчет_аналитики'!AP4608*SUMIF(ThresholdAge07,"&lt;"&amp;'19_Расчет_аналитики'!AP4608,WeightedRevAge07)-SUMIF(ThresholdAge07,"&lt;"&amp;'19_Расчет_аналитики'!AP4608,WeightedMinAge07),MAX(CapacityAge07*'01_Вводные'!$B$218*'19_Расчет_аналитики'!AP4608,MeanMinAge07))),0)</f>
        <v/>
      </c>
      <c r="AQ4546">
        <f>IF('01_Вводные'!$B$234="Да",IF(OR(('19_Расчет_аналитики'!AQ4462-'19_Расчет_аналитики'!AQ4490)=0,7&lt;='01_Вводные'!$B$297),0,('19_Расчет_аналитики'!AQ4462-'19_Расчет_аналитики'!AQ4490)*IF('01_Вводные'!$B$239="Да",MeanMinAge07+'19_Расчет_аналитики'!AQ4608*SUMIF(ThresholdAge07,"&lt;"&amp;'19_Расчет_аналитики'!AQ4608,WeightedRevAge07)-SUMIF(ThresholdAge07,"&lt;"&amp;'19_Расчет_аналитики'!AQ4608,WeightedMinAge07),MAX(CapacityAge07*'01_Вводные'!$B$218*'19_Расчет_аналитики'!AQ4608,MeanMinAge07))),0)</f>
        <v/>
      </c>
      <c r="AR4546">
        <f>IF('01_Вводные'!$B$234="Да",IF(OR(('19_Расчет_аналитики'!AR4462-'19_Расчет_аналитики'!AR4490)=0,7&lt;='01_Вводные'!$B$297),0,('19_Расчет_аналитики'!AR4462-'19_Расчет_аналитики'!AR4490)*IF('01_Вводные'!$B$239="Да",MeanMinAge07+'19_Расчет_аналитики'!AR4608*SUMIF(ThresholdAge07,"&lt;"&amp;'19_Расчет_аналитики'!AR4608,WeightedRevAge07)-SUMIF(ThresholdAge07,"&lt;"&amp;'19_Расчет_аналитики'!AR4608,WeightedMinAge07),MAX(CapacityAge07*'01_Вводные'!$B$218*'19_Расчет_аналитики'!AR4608,MeanMinAge07))),0)</f>
        <v/>
      </c>
      <c r="AS4546">
        <f>IF('01_Вводные'!$B$234="Да",IF(OR(('19_Расчет_аналитики'!AS4462-'19_Расчет_аналитики'!AS4490)=0,7&lt;='01_Вводные'!$B$297),0,('19_Расчет_аналитики'!AS4462-'19_Расчет_аналитики'!AS4490)*IF('01_Вводные'!$B$239="Да",MeanMinAge07+'19_Расчет_аналитики'!AS4608*SUMIF(ThresholdAge07,"&lt;"&amp;'19_Расчет_аналитики'!AS4608,WeightedRevAge07)-SUMIF(ThresholdAge07,"&lt;"&amp;'19_Расчет_аналитики'!AS4608,WeightedMinAge07),MAX(CapacityAge07*'01_Вводные'!$B$218*'19_Расчет_аналитики'!AS4608,MeanMinAge07))),0)</f>
        <v/>
      </c>
      <c r="AT4546">
        <f>IF('01_Вводные'!$B$234="Да",IF(OR(('19_Расчет_аналитики'!AT4462-'19_Расчет_аналитики'!AT4490)=0,7&lt;='01_Вводные'!$B$297),0,('19_Расчет_аналитики'!AT4462-'19_Расчет_аналитики'!AT4490)*IF('01_Вводные'!$B$239="Да",MeanMinAge07+'19_Расчет_аналитики'!AT4608*SUMIF(ThresholdAge07,"&lt;"&amp;'19_Расчет_аналитики'!AT4608,WeightedRevAge07)-SUMIF(ThresholdAge07,"&lt;"&amp;'19_Расчет_аналитики'!AT4608,WeightedMinAge07),MAX(CapacityAge07*'01_Вводные'!$B$218*'19_Расчет_аналитики'!AT4608,MeanMinAge07))),0)</f>
        <v/>
      </c>
      <c r="AU4546">
        <f>IF('01_Вводные'!$B$234="Да",IF(OR(('19_Расчет_аналитики'!AU4462-'19_Расчет_аналитики'!AU4490)=0,7&lt;='01_Вводные'!$B$297),0,('19_Расчет_аналитики'!AU4462-'19_Расчет_аналитики'!AU4490)*IF('01_Вводные'!$B$239="Да",MeanMinAge07+'19_Расчет_аналитики'!AU4608*SUMIF(ThresholdAge07,"&lt;"&amp;'19_Расчет_аналитики'!AU4608,WeightedRevAge07)-SUMIF(ThresholdAge07,"&lt;"&amp;'19_Расчет_аналитики'!AU4608,WeightedMinAge07),MAX(CapacityAge07*'01_Вводные'!$B$218*'19_Расчет_аналитики'!AU4608,MeanMinAge07))),0)</f>
        <v/>
      </c>
      <c r="AV4546">
        <f>IF('01_Вводные'!$B$234="Да",IF(OR(('19_Расчет_аналитики'!AV4462-'19_Расчет_аналитики'!AV4490)=0,7&lt;='01_Вводные'!$B$297),0,('19_Расчет_аналитики'!AV4462-'19_Расчет_аналитики'!AV4490)*IF('01_Вводные'!$B$239="Да",MeanMinAge07+'19_Расчет_аналитики'!AV4608*SUMIF(ThresholdAge07,"&lt;"&amp;'19_Расчет_аналитики'!AV4608,WeightedRevAge07)-SUMIF(ThresholdAge07,"&lt;"&amp;'19_Расчет_аналитики'!AV4608,WeightedMinAge07),MAX(CapacityAge07*'01_Вводные'!$B$218*'19_Расчет_аналитики'!AV4608,MeanMinAge07))),0)</f>
        <v/>
      </c>
      <c r="AW4546">
        <f>IF('01_Вводные'!$B$234="Да",IF(OR(('19_Расчет_аналитики'!AW4462-'19_Расчет_аналитики'!AW4490)=0,7&lt;='01_Вводные'!$B$297),0,('19_Расчет_аналитики'!AW4462-'19_Расчет_аналитики'!AW4490)*IF('01_Вводные'!$B$239="Да",MeanMinAge07+'19_Расчет_аналитики'!AW4608*SUMIF(ThresholdAge07,"&lt;"&amp;'19_Расчет_аналитики'!AW4608,WeightedRevAge07)-SUMIF(ThresholdAge07,"&lt;"&amp;'19_Расчет_аналитики'!AW4608,WeightedMinAge07),MAX(CapacityAge07*'01_Вводные'!$B$218*'19_Расчет_аналитики'!AW4608,MeanMinAge07))),0)</f>
        <v/>
      </c>
      <c r="AX4546">
        <f>IF('01_Вводные'!$B$234="Да",IF(OR(('19_Расчет_аналитики'!AX4462-'19_Расчет_аналитики'!AX4490)=0,7&lt;='01_Вводные'!$B$297),0,('19_Расчет_аналитики'!AX4462-'19_Расчет_аналитики'!AX4490)*IF('01_Вводные'!$B$239="Да",MeanMinAge07+'19_Расчет_аналитики'!AX4608*SUMIF(ThresholdAge07,"&lt;"&amp;'19_Расчет_аналитики'!AX4608,WeightedRevAge07)-SUMIF(ThresholdAge07,"&lt;"&amp;'19_Расчет_аналитики'!AX4608,WeightedMinAge07),MAX(CapacityAge07*'01_Вводные'!$B$218*'19_Расчет_аналитики'!AX4608,MeanMinAge07))),0)</f>
        <v/>
      </c>
      <c r="AY4546">
        <f>IF('01_Вводные'!$B$234="Да",IF(OR(('19_Расчет_аналитики'!AY4462-'19_Расчет_аналитики'!AY4490)=0,7&lt;='01_Вводные'!$B$297),0,('19_Расчет_аналитики'!AY4462-'19_Расчет_аналитики'!AY4490)*IF('01_Вводные'!$B$239="Да",MeanMinAge07+'19_Расчет_аналитики'!AY4608*SUMIF(ThresholdAge07,"&lt;"&amp;'19_Расчет_аналитики'!AY4608,WeightedRevAge07)-SUMIF(ThresholdAge07,"&lt;"&amp;'19_Расчет_аналитики'!AY4608,WeightedMinAge07),MAX(CapacityAge07*'01_Вводные'!$B$218*'19_Расчет_аналитики'!AY4608,MeanMinAge07))),0)</f>
        <v/>
      </c>
      <c r="AZ4546">
        <f>IF('01_Вводные'!$B$234="Да",IF(OR(('19_Расчет_аналитики'!AZ4462-'19_Расчет_аналитики'!AZ4490)=0,7&lt;='01_Вводные'!$B$297),0,('19_Расчет_аналитики'!AZ4462-'19_Расчет_аналитики'!AZ4490)*IF('01_Вводные'!$B$239="Да",MeanMinAge07+'19_Расчет_аналитики'!AZ4608*SUMIF(ThresholdAge07,"&lt;"&amp;'19_Расчет_аналитики'!AZ4608,WeightedRevAge07)-SUMIF(ThresholdAge07,"&lt;"&amp;'19_Расчет_аналитики'!AZ4608,WeightedMinAge07),MAX(CapacityAge07*'01_Вводные'!$B$218*'19_Расчет_аналитики'!AZ4608,MeanMinAge07))),0)</f>
        <v/>
      </c>
      <c r="BA4546">
        <f>IF('01_Вводные'!$B$234="Да",IF(OR(('19_Расчет_аналитики'!BA4462-'19_Расчет_аналитики'!BA4490)=0,7&lt;='01_Вводные'!$B$297),0,('19_Расчет_аналитики'!BA4462-'19_Расчет_аналитики'!BA4490)*IF('01_Вводные'!$B$239="Да",MeanMinAge07+'19_Расчет_аналитики'!BA4608*SUMIF(ThresholdAge07,"&lt;"&amp;'19_Расчет_аналитики'!BA4608,WeightedRevAge07)-SUMIF(ThresholdAge07,"&lt;"&amp;'19_Расчет_аналитики'!BA4608,WeightedMinAge07),MAX(CapacityAge07*'01_Вводные'!$B$218*'19_Расчет_аналитики'!BA4608,MeanMinAge07))),0)</f>
        <v/>
      </c>
      <c r="BB4546">
        <f>IF('01_Вводные'!$B$234="Да",IF(OR(('19_Расчет_аналитики'!BB4462-'19_Расчет_аналитики'!BB4490)=0,7&lt;='01_Вводные'!$B$297),0,('19_Расчет_аналитики'!BB4462-'19_Расчет_аналитики'!BB4490)*IF('01_Вводные'!$B$239="Да",MeanMinAge07+'19_Расчет_аналитики'!BB4608*SUMIF(ThresholdAge07,"&lt;"&amp;'19_Расчет_аналитики'!BB4608,WeightedRevAge07)-SUMIF(ThresholdAge07,"&lt;"&amp;'19_Расчет_аналитики'!BB4608,WeightedMinAge07),MAX(CapacityAge07*'01_Вводные'!$B$218*'19_Расчет_аналитики'!BB4608,MeanMinAge07))),0)</f>
        <v/>
      </c>
      <c r="BC4546">
        <f>IF('01_Вводные'!$B$234="Да",IF(OR(('19_Расчет_аналитики'!BC4462-'19_Расчет_аналитики'!BC4490)=0,7&lt;='01_Вводные'!$B$297),0,('19_Расчет_аналитики'!BC4462-'19_Расчет_аналитики'!BC4490)*IF('01_Вводные'!$B$239="Да",MeanMinAge07+'19_Расчет_аналитики'!BC4608*SUMIF(ThresholdAge07,"&lt;"&amp;'19_Расчет_аналитики'!BC4608,WeightedRevAge07)-SUMIF(ThresholdAge07,"&lt;"&amp;'19_Расчет_аналитики'!BC4608,WeightedMinAge07),MAX(CapacityAge07*'01_Вводные'!$B$218*'19_Расчет_аналитики'!BC4608,MeanMinAge07))),0)</f>
        <v/>
      </c>
      <c r="BD4546">
        <f>IF('01_Вводные'!$B$234="Да",IF(OR(('19_Расчет_аналитики'!BD4462-'19_Расчет_аналитики'!BD4490)=0,7&lt;='01_Вводные'!$B$297),0,('19_Расчет_аналитики'!BD4462-'19_Расчет_аналитики'!BD4490)*IF('01_Вводные'!$B$239="Да",MeanMinAge07+'19_Расчет_аналитики'!BD4608*SUMIF(ThresholdAge07,"&lt;"&amp;'19_Расчет_аналитики'!BD4608,WeightedRevAge07)-SUMIF(ThresholdAge07,"&lt;"&amp;'19_Расчет_аналитики'!BD4608,WeightedMinAge07),MAX(CapacityAge07*'01_Вводные'!$B$218*'19_Расчет_аналитики'!BD4608,MeanMinAge07))),0)</f>
        <v/>
      </c>
      <c r="BE4546">
        <f>IF('01_Вводные'!$B$234="Да",IF(OR(('19_Расчет_аналитики'!BE4462-'19_Расчет_аналитики'!BE4490)=0,7&lt;='01_Вводные'!$B$297),0,('19_Расчет_аналитики'!BE4462-'19_Расчет_аналитики'!BE4490)*IF('01_Вводные'!$B$239="Да",MeanMinAge07+'19_Расчет_аналитики'!BE4608*SUMIF(ThresholdAge07,"&lt;"&amp;'19_Расчет_аналитики'!BE4608,WeightedRevAge07)-SUMIF(ThresholdAge07,"&lt;"&amp;'19_Расчет_аналитики'!BE4608,WeightedMinAge07),MAX(CapacityAge07*'01_Вводные'!$B$218*'19_Расчет_аналитики'!BE4608,MeanMinAge07))),0)</f>
        <v/>
      </c>
      <c r="BF4546">
        <f>IF('01_Вводные'!$B$234="Да",IF(OR(('19_Расчет_аналитики'!BF4462-'19_Расчет_аналитики'!BF4490)=0,7&lt;='01_Вводные'!$B$297),0,('19_Расчет_аналитики'!BF4462-'19_Расчет_аналитики'!BF4490)*IF('01_Вводные'!$B$239="Да",MeanMinAge07+'19_Расчет_аналитики'!BF4608*SUMIF(ThresholdAge07,"&lt;"&amp;'19_Расчет_аналитики'!BF4608,WeightedRevAge07)-SUMIF(ThresholdAge07,"&lt;"&amp;'19_Расчет_аналитики'!BF4608,WeightedMinAge07),MAX(CapacityAge07*'01_Вводные'!$B$218*'19_Расчет_аналитики'!BF4608,MeanMinAge07))),0)</f>
        <v/>
      </c>
      <c r="BG4546">
        <f>IF('01_Вводные'!$B$234="Да",IF(OR(('19_Расчет_аналитики'!BG4462-'19_Расчет_аналитики'!BG4490)=0,7&lt;='01_Вводные'!$B$297),0,('19_Расчет_аналитики'!BG4462-'19_Расчет_аналитики'!BG4490)*IF('01_Вводные'!$B$239="Да",MeanMinAge07+'19_Расчет_аналитики'!BG4608*SUMIF(ThresholdAge07,"&lt;"&amp;'19_Расчет_аналитики'!BG4608,WeightedRevAge07)-SUMIF(ThresholdAge07,"&lt;"&amp;'19_Расчет_аналитики'!BG4608,WeightedMinAge07),MAX(CapacityAge07*'01_Вводные'!$B$218*'19_Расчет_аналитики'!BG4608,MeanMinAge07))),0)</f>
        <v/>
      </c>
      <c r="BH4546">
        <f>IF('01_Вводные'!$B$234="Да",IF(OR(('19_Расчет_аналитики'!BH4462-'19_Расчет_аналитики'!BH4490)=0,7&lt;='01_Вводные'!$B$297),0,('19_Расчет_аналитики'!BH4462-'19_Расчет_аналитики'!BH4490)*IF('01_Вводные'!$B$239="Да",MeanMinAge07+'19_Расчет_аналитики'!BH4608*SUMIF(ThresholdAge07,"&lt;"&amp;'19_Расчет_аналитики'!BH4608,WeightedRevAge07)-SUMIF(ThresholdAge07,"&lt;"&amp;'19_Расчет_аналитики'!BH4608,WeightedMinAge07),MAX(CapacityAge07*'01_Вводные'!$B$218*'19_Расчет_аналитики'!BH4608,MeanMinAge07))),0)</f>
        <v/>
      </c>
      <c r="BI4546">
        <f>IF('01_Вводные'!$B$234="Да",IF(OR(('19_Расчет_аналитики'!BI4462-'19_Расчет_аналитики'!BI4490)=0,7&lt;='01_Вводные'!$B$297),0,('19_Расчет_аналитики'!BI4462-'19_Расчет_аналитики'!BI4490)*IF('01_Вводные'!$B$239="Да",MeanMinAge07+'19_Расчет_аналитики'!BI4608*SUMIF(ThresholdAge07,"&lt;"&amp;'19_Расчет_аналитики'!BI4608,WeightedRevAge07)-SUMIF(ThresholdAge07,"&lt;"&amp;'19_Расчет_аналитики'!BI4608,WeightedMinAge07),MAX(CapacityAge07*'01_Вводные'!$B$218*'19_Расчет_аналитики'!BI4608,MeanMinAge07))),0)</f>
        <v/>
      </c>
      <c r="BJ4546">
        <f>IF('01_Вводные'!$B$234="Да",IF(OR(('19_Расчет_аналитики'!BJ4462-'19_Расчет_аналитики'!BJ4490)=0,7&lt;='01_Вводные'!$B$297),0,('19_Расчет_аналитики'!BJ4462-'19_Расчет_аналитики'!BJ4490)*IF('01_Вводные'!$B$239="Да",MeanMinAge07+'19_Расчет_аналитики'!BJ4608*SUMIF(ThresholdAge07,"&lt;"&amp;'19_Расчет_аналитики'!BJ4608,WeightedRevAge07)-SUMIF(ThresholdAge07,"&lt;"&amp;'19_Расчет_аналитики'!BJ4608,WeightedMinAge07),MAX(CapacityAge07*'01_Вводные'!$B$218*'19_Расчет_аналитики'!BJ4608,MeanMinAge07))),0)</f>
        <v/>
      </c>
      <c r="BK4546">
        <f>IF('01_Вводные'!$B$234="Да",IF(OR(('19_Расчет_аналитики'!BK4462-'19_Расчет_аналитики'!BK4490)=0,7&lt;='01_Вводные'!$B$297),0,('19_Расчет_аналитики'!BK4462-'19_Расчет_аналитики'!BK4490)*IF('01_Вводные'!$B$239="Да",MeanMinAge07+'19_Расчет_аналитики'!BK4608*SUMIF(ThresholdAge07,"&lt;"&amp;'19_Расчет_аналитики'!BK4608,WeightedRevAge07)-SUMIF(ThresholdAge07,"&lt;"&amp;'19_Расчет_аналитики'!BK4608,WeightedMinAge07),MAX(CapacityAge07*'01_Вводные'!$B$218*'19_Расчет_аналитики'!BK4608,MeanMinAge07))),0)</f>
        <v/>
      </c>
      <c r="BL4546">
        <f>IF('01_Вводные'!$B$234="Да",IF(OR(('19_Расчет_аналитики'!BL4462-'19_Расчет_аналитики'!BL4490)=0,7&lt;='01_Вводные'!$B$297),0,('19_Расчет_аналитики'!BL4462-'19_Расчет_аналитики'!BL4490)*IF('01_Вводные'!$B$239="Да",MeanMinAge07+'19_Расчет_аналитики'!BL4608*SUMIF(ThresholdAge07,"&lt;"&amp;'19_Расчет_аналитики'!BL4608,WeightedRevAge07)-SUMIF(ThresholdAge07,"&lt;"&amp;'19_Расчет_аналитики'!BL4608,WeightedMinAge07),MAX(CapacityAge07*'01_Вводные'!$B$218*'19_Расчет_аналитики'!BL4608,MeanMinAge07))),0)</f>
        <v/>
      </c>
      <c r="BM4546">
        <f>IF('01_Вводные'!$B$234="Да",IF(OR(('19_Расчет_аналитики'!BM4462-'19_Расчет_аналитики'!BM4490)=0,7&lt;='01_Вводные'!$B$297),0,('19_Расчет_аналитики'!BM4462-'19_Расчет_аналитики'!BM4490)*IF('01_Вводные'!$B$239="Да",MeanMinAge07+'19_Расчет_аналитики'!BM4608*SUMIF(ThresholdAge07,"&lt;"&amp;'19_Расчет_аналитики'!BM4608,WeightedRevAge07)-SUMIF(ThresholdAge07,"&lt;"&amp;'19_Расчет_аналитики'!BM4608,WeightedMinAge07),MAX(CapacityAge07*'01_Вводные'!$B$218*'19_Расчет_аналитики'!BM4608,MeanMinAge07))),0)</f>
        <v/>
      </c>
      <c r="BN4546">
        <f>IF('01_Вводные'!$B$234="Да",IF(OR(('19_Расчет_аналитики'!BN4462-'19_Расчет_аналитики'!BN4490)=0,7&lt;='01_Вводные'!$B$297),0,('19_Расчет_аналитики'!BN4462-'19_Расчет_аналитики'!BN4490)*IF('01_Вводные'!$B$239="Да",MeanMinAge07+'19_Расчет_аналитики'!BN4608*SUMIF(ThresholdAge07,"&lt;"&amp;'19_Расчет_аналитики'!BN4608,WeightedRevAge07)-SUMIF(ThresholdAge07,"&lt;"&amp;'19_Расчет_аналитики'!BN4608,WeightedMinAge07),MAX(CapacityAge07*'01_Вводные'!$B$218*'19_Расчет_аналитики'!BN4608,MeanMinAge07))),0)</f>
        <v/>
      </c>
      <c r="BO4546">
        <f>IF('01_Вводные'!$B$234="Да",IF(OR(('19_Расчет_аналитики'!BO4462-'19_Расчет_аналитики'!BO4490)=0,7&lt;='01_Вводные'!$B$297),0,('19_Расчет_аналитики'!BO4462-'19_Расчет_аналитики'!BO4490)*IF('01_Вводные'!$B$239="Да",MeanMinAge07+'19_Расчет_аналитики'!BO4608*SUMIF(ThresholdAge07,"&lt;"&amp;'19_Расчет_аналитики'!BO4608,WeightedRevAge07)-SUMIF(ThresholdAge07,"&lt;"&amp;'19_Расчет_аналитики'!BO4608,WeightedMinAge07),MAX(CapacityAge07*'01_Вводные'!$B$218*'19_Расчет_аналитики'!BO4608,MeanMinAge07))),0)</f>
        <v/>
      </c>
    </row>
    <row r="4547">
      <c r="B4547">
        <f>IF('01_Вводные'!$B$234="Да",IF(OR(('06_Сеть_и_дети'!B60-'06_Сеть_и_дети'!B88)=0,8&lt;='01_Вводные'!$B$297),0,('06_Сеть_и_дети'!B60-'06_Сеть_и_дети'!B88)*IF('01_Вводные'!$B$239="Да",MeanMinAge08+'19_Расчет_аналитики'!B4608*SUMIF(ThresholdAge08,"&lt;"&amp;'19_Расчет_аналитики'!B4608,WeightedRevAge08)-SUMIF(ThresholdAge08,"&lt;"&amp;'19_Расчет_аналитики'!B4608,WeightedMinAge08),MAX(CapacityAge08*'01_Вводные'!$B$218*'19_Расчет_аналитики'!B4608,MeanMinAge08))),0)</f>
        <v/>
      </c>
      <c r="C4547">
        <f>IF('01_Вводные'!$B$234="Да",IF(OR(('06_Сеть_и_дети'!C60-'06_Сеть_и_дети'!C88)=0,8&lt;='01_Вводные'!$B$297),0,('06_Сеть_и_дети'!C60-'06_Сеть_и_дети'!C88)*IF('01_Вводные'!$B$239="Да",MeanMinAge08+'19_Расчет_аналитики'!C4608*SUMIF(ThresholdAge08,"&lt;"&amp;'19_Расчет_аналитики'!C4608,WeightedRevAge08)-SUMIF(ThresholdAge08,"&lt;"&amp;'19_Расчет_аналитики'!C4608,WeightedMinAge08),MAX(CapacityAge08*'01_Вводные'!$B$218*'19_Расчет_аналитики'!C4608,MeanMinAge08))),0)</f>
        <v/>
      </c>
      <c r="D4547">
        <f>IF('01_Вводные'!$B$234="Да",IF(OR(('06_Сеть_и_дети'!D60-'06_Сеть_и_дети'!D88)=0,8&lt;='01_Вводные'!$B$297),0,('06_Сеть_и_дети'!D60-'06_Сеть_и_дети'!D88)*IF('01_Вводные'!$B$239="Да",MeanMinAge08+'19_Расчет_аналитики'!D4608*SUMIF(ThresholdAge08,"&lt;"&amp;'19_Расчет_аналитики'!D4608,WeightedRevAge08)-SUMIF(ThresholdAge08,"&lt;"&amp;'19_Расчет_аналитики'!D4608,WeightedMinAge08),MAX(CapacityAge08*'01_Вводные'!$B$218*'19_Расчет_аналитики'!D4608,MeanMinAge08))),0)</f>
        <v/>
      </c>
      <c r="E4547">
        <f>IF('01_Вводные'!$B$234="Да",IF(OR(('06_Сеть_и_дети'!E60-'06_Сеть_и_дети'!E88)=0,8&lt;='01_Вводные'!$B$297),0,('06_Сеть_и_дети'!E60-'06_Сеть_и_дети'!E88)*IF('01_Вводные'!$B$239="Да",MeanMinAge08+'19_Расчет_аналитики'!E4608*SUMIF(ThresholdAge08,"&lt;"&amp;'19_Расчет_аналитики'!E4608,WeightedRevAge08)-SUMIF(ThresholdAge08,"&lt;"&amp;'19_Расчет_аналитики'!E4608,WeightedMinAge08),MAX(CapacityAge08*'01_Вводные'!$B$218*'19_Расчет_аналитики'!E4608,MeanMinAge08))),0)</f>
        <v/>
      </c>
      <c r="F4547">
        <f>IF('01_Вводные'!$B$234="Да",IF(OR(('06_Сеть_и_дети'!F60-'06_Сеть_и_дети'!F88)=0,8&lt;='01_Вводные'!$B$297),0,('06_Сеть_и_дети'!F60-'06_Сеть_и_дети'!F88)*IF('01_Вводные'!$B$239="Да",MeanMinAge08+'19_Расчет_аналитики'!F4608*SUMIF(ThresholdAge08,"&lt;"&amp;'19_Расчет_аналитики'!F4608,WeightedRevAge08)-SUMIF(ThresholdAge08,"&lt;"&amp;'19_Расчет_аналитики'!F4608,WeightedMinAge08),MAX(CapacityAge08*'01_Вводные'!$B$218*'19_Расчет_аналитики'!F4608,MeanMinAge08))),0)</f>
        <v/>
      </c>
      <c r="G4547">
        <f>IF('01_Вводные'!$B$234="Да",IF(OR(('06_Сеть_и_дети'!G60-'06_Сеть_и_дети'!G88)=0,8&lt;='01_Вводные'!$B$297),0,('06_Сеть_и_дети'!G60-'06_Сеть_и_дети'!G88)*IF('01_Вводные'!$B$239="Да",MeanMinAge08+'19_Расчет_аналитики'!G4608*SUMIF(ThresholdAge08,"&lt;"&amp;'19_Расчет_аналитики'!G4608,WeightedRevAge08)-SUMIF(ThresholdAge08,"&lt;"&amp;'19_Расчет_аналитики'!G4608,WeightedMinAge08),MAX(CapacityAge08*'01_Вводные'!$B$218*'19_Расчет_аналитики'!G4608,MeanMinAge08))),0)</f>
        <v/>
      </c>
      <c r="H4547">
        <f>IF('01_Вводные'!$B$234="Да",IF(OR(('06_Сеть_и_дети'!H60-'06_Сеть_и_дети'!H88)=0,8&lt;='01_Вводные'!$B$297),0,('06_Сеть_и_дети'!H60-'06_Сеть_и_дети'!H88)*IF('01_Вводные'!$B$239="Да",MeanMinAge08+'19_Расчет_аналитики'!H4608*SUMIF(ThresholdAge08,"&lt;"&amp;'19_Расчет_аналитики'!H4608,WeightedRevAge08)-SUMIF(ThresholdAge08,"&lt;"&amp;'19_Расчет_аналитики'!H4608,WeightedMinAge08),MAX(CapacityAge08*'01_Вводные'!$B$218*'19_Расчет_аналитики'!H4608,MeanMinAge08))),0)</f>
        <v/>
      </c>
      <c r="I4547">
        <f>IF('01_Вводные'!$B$234="Да",IF(OR(('19_Расчет_аналитики'!I4463-'19_Расчет_аналитики'!I4491)=0,8&lt;='01_Вводные'!$B$297),0,('19_Расчет_аналитики'!I4463-'19_Расчет_аналитики'!I4491)*IF('01_Вводные'!$B$239="Да",MeanMinAge08+'19_Расчет_аналитики'!I4608*SUMIF(ThresholdAge08,"&lt;"&amp;'19_Расчет_аналитики'!I4608,WeightedRevAge08)-SUMIF(ThresholdAge08,"&lt;"&amp;'19_Расчет_аналитики'!I4608,WeightedMinAge08),MAX(CapacityAge08*'01_Вводные'!$B$218*'19_Расчет_аналитики'!I4608,MeanMinAge08))),0)</f>
        <v/>
      </c>
      <c r="J4547">
        <f>IF('01_Вводные'!$B$234="Да",IF(OR(('19_Расчет_аналитики'!J4463-'19_Расчет_аналитики'!J4491)=0,8&lt;='01_Вводные'!$B$297),0,('19_Расчет_аналитики'!J4463-'19_Расчет_аналитики'!J4491)*IF('01_Вводные'!$B$239="Да",MeanMinAge08+'19_Расчет_аналитики'!J4608*SUMIF(ThresholdAge08,"&lt;"&amp;'19_Расчет_аналитики'!J4608,WeightedRevAge08)-SUMIF(ThresholdAge08,"&lt;"&amp;'19_Расчет_аналитики'!J4608,WeightedMinAge08),MAX(CapacityAge08*'01_Вводные'!$B$218*'19_Расчет_аналитики'!J4608,MeanMinAge08))),0)</f>
        <v/>
      </c>
      <c r="K4547">
        <f>IF('01_Вводные'!$B$234="Да",IF(OR(('19_Расчет_аналитики'!K4463-'19_Расчет_аналитики'!K4491)=0,8&lt;='01_Вводные'!$B$297),0,('19_Расчет_аналитики'!K4463-'19_Расчет_аналитики'!K4491)*IF('01_Вводные'!$B$239="Да",MeanMinAge08+'19_Расчет_аналитики'!K4608*SUMIF(ThresholdAge08,"&lt;"&amp;'19_Расчет_аналитики'!K4608,WeightedRevAge08)-SUMIF(ThresholdAge08,"&lt;"&amp;'19_Расчет_аналитики'!K4608,WeightedMinAge08),MAX(CapacityAge08*'01_Вводные'!$B$218*'19_Расчет_аналитики'!K4608,MeanMinAge08))),0)</f>
        <v/>
      </c>
      <c r="L4547">
        <f>IF('01_Вводные'!$B$234="Да",IF(OR(('19_Расчет_аналитики'!L4463-'19_Расчет_аналитики'!L4491)=0,8&lt;='01_Вводные'!$B$297),0,('19_Расчет_аналитики'!L4463-'19_Расчет_аналитики'!L4491)*IF('01_Вводные'!$B$239="Да",MeanMinAge08+'19_Расчет_аналитики'!L4608*SUMIF(ThresholdAge08,"&lt;"&amp;'19_Расчет_аналитики'!L4608,WeightedRevAge08)-SUMIF(ThresholdAge08,"&lt;"&amp;'19_Расчет_аналитики'!L4608,WeightedMinAge08),MAX(CapacityAge08*'01_Вводные'!$B$218*'19_Расчет_аналитики'!L4608,MeanMinAge08))),0)</f>
        <v/>
      </c>
      <c r="M4547">
        <f>IF('01_Вводные'!$B$234="Да",IF(OR(('19_Расчет_аналитики'!M4463-'19_Расчет_аналитики'!M4491)=0,8&lt;='01_Вводные'!$B$297),0,('19_Расчет_аналитики'!M4463-'19_Расчет_аналитики'!M4491)*IF('01_Вводные'!$B$239="Да",MeanMinAge08+'19_Расчет_аналитики'!M4608*SUMIF(ThresholdAge08,"&lt;"&amp;'19_Расчет_аналитики'!M4608,WeightedRevAge08)-SUMIF(ThresholdAge08,"&lt;"&amp;'19_Расчет_аналитики'!M4608,WeightedMinAge08),MAX(CapacityAge08*'01_Вводные'!$B$218*'19_Расчет_аналитики'!M4608,MeanMinAge08))),0)</f>
        <v/>
      </c>
      <c r="N4547">
        <f>IF('01_Вводные'!$B$234="Да",IF(OR(('19_Расчет_аналитики'!N4463-'19_Расчет_аналитики'!N4491)=0,8&lt;='01_Вводные'!$B$297),0,('19_Расчет_аналитики'!N4463-'19_Расчет_аналитики'!N4491)*IF('01_Вводные'!$B$239="Да",MeanMinAge08+'19_Расчет_аналитики'!N4608*SUMIF(ThresholdAge08,"&lt;"&amp;'19_Расчет_аналитики'!N4608,WeightedRevAge08)-SUMIF(ThresholdAge08,"&lt;"&amp;'19_Расчет_аналитики'!N4608,WeightedMinAge08),MAX(CapacityAge08*'01_Вводные'!$B$218*'19_Расчет_аналитики'!N4608,MeanMinAge08))),0)</f>
        <v/>
      </c>
      <c r="O4547">
        <f>IF('01_Вводные'!$B$234="Да",IF(OR(('19_Расчет_аналитики'!O4463-'19_Расчет_аналитики'!O4491)=0,8&lt;='01_Вводные'!$B$297),0,('19_Расчет_аналитики'!O4463-'19_Расчет_аналитики'!O4491)*IF('01_Вводные'!$B$239="Да",MeanMinAge08+'19_Расчет_аналитики'!O4608*SUMIF(ThresholdAge08,"&lt;"&amp;'19_Расчет_аналитики'!O4608,WeightedRevAge08)-SUMIF(ThresholdAge08,"&lt;"&amp;'19_Расчет_аналитики'!O4608,WeightedMinAge08),MAX(CapacityAge08*'01_Вводные'!$B$218*'19_Расчет_аналитики'!O4608,MeanMinAge08))),0)</f>
        <v/>
      </c>
      <c r="P4547">
        <f>IF('01_Вводные'!$B$234="Да",IF(OR(('19_Расчет_аналитики'!P4463-'19_Расчет_аналитики'!P4491)=0,8&lt;='01_Вводные'!$B$297),0,('19_Расчет_аналитики'!P4463-'19_Расчет_аналитики'!P4491)*IF('01_Вводные'!$B$239="Да",MeanMinAge08+'19_Расчет_аналитики'!P4608*SUMIF(ThresholdAge08,"&lt;"&amp;'19_Расчет_аналитики'!P4608,WeightedRevAge08)-SUMIF(ThresholdAge08,"&lt;"&amp;'19_Расчет_аналитики'!P4608,WeightedMinAge08),MAX(CapacityAge08*'01_Вводные'!$B$218*'19_Расчет_аналитики'!P4608,MeanMinAge08))),0)</f>
        <v/>
      </c>
      <c r="Q4547">
        <f>IF('01_Вводные'!$B$234="Да",IF(OR(('19_Расчет_аналитики'!Q4463-'19_Расчет_аналитики'!Q4491)=0,8&lt;='01_Вводные'!$B$297),0,('19_Расчет_аналитики'!Q4463-'19_Расчет_аналитики'!Q4491)*IF('01_Вводные'!$B$239="Да",MeanMinAge08+'19_Расчет_аналитики'!Q4608*SUMIF(ThresholdAge08,"&lt;"&amp;'19_Расчет_аналитики'!Q4608,WeightedRevAge08)-SUMIF(ThresholdAge08,"&lt;"&amp;'19_Расчет_аналитики'!Q4608,WeightedMinAge08),MAX(CapacityAge08*'01_Вводные'!$B$218*'19_Расчет_аналитики'!Q4608,MeanMinAge08))),0)</f>
        <v/>
      </c>
      <c r="R4547">
        <f>IF('01_Вводные'!$B$234="Да",IF(OR(('19_Расчет_аналитики'!R4463-'19_Расчет_аналитики'!R4491)=0,8&lt;='01_Вводные'!$B$297),0,('19_Расчет_аналитики'!R4463-'19_Расчет_аналитики'!R4491)*IF('01_Вводные'!$B$239="Да",MeanMinAge08+'19_Расчет_аналитики'!R4608*SUMIF(ThresholdAge08,"&lt;"&amp;'19_Расчет_аналитики'!R4608,WeightedRevAge08)-SUMIF(ThresholdAge08,"&lt;"&amp;'19_Расчет_аналитики'!R4608,WeightedMinAge08),MAX(CapacityAge08*'01_Вводные'!$B$218*'19_Расчет_аналитики'!R4608,MeanMinAge08))),0)</f>
        <v/>
      </c>
      <c r="S4547">
        <f>IF('01_Вводные'!$B$234="Да",IF(OR(('19_Расчет_аналитики'!S4463-'19_Расчет_аналитики'!S4491)=0,8&lt;='01_Вводные'!$B$297),0,('19_Расчет_аналитики'!S4463-'19_Расчет_аналитики'!S4491)*IF('01_Вводные'!$B$239="Да",MeanMinAge08+'19_Расчет_аналитики'!S4608*SUMIF(ThresholdAge08,"&lt;"&amp;'19_Расчет_аналитики'!S4608,WeightedRevAge08)-SUMIF(ThresholdAge08,"&lt;"&amp;'19_Расчет_аналитики'!S4608,WeightedMinAge08),MAX(CapacityAge08*'01_Вводные'!$B$218*'19_Расчет_аналитики'!S4608,MeanMinAge08))),0)</f>
        <v/>
      </c>
      <c r="T4547">
        <f>IF('01_Вводные'!$B$234="Да",IF(OR(('19_Расчет_аналитики'!T4463-'19_Расчет_аналитики'!T4491)=0,8&lt;='01_Вводные'!$B$297),0,('19_Расчет_аналитики'!T4463-'19_Расчет_аналитики'!T4491)*IF('01_Вводные'!$B$239="Да",MeanMinAge08+'19_Расчет_аналитики'!T4608*SUMIF(ThresholdAge08,"&lt;"&amp;'19_Расчет_аналитики'!T4608,WeightedRevAge08)-SUMIF(ThresholdAge08,"&lt;"&amp;'19_Расчет_аналитики'!T4608,WeightedMinAge08),MAX(CapacityAge08*'01_Вводные'!$B$218*'19_Расчет_аналитики'!T4608,MeanMinAge08))),0)</f>
        <v/>
      </c>
      <c r="U4547">
        <f>IF('01_Вводные'!$B$234="Да",IF(OR(('19_Расчет_аналитики'!U4463-'19_Расчет_аналитики'!U4491)=0,8&lt;='01_Вводные'!$B$297),0,('19_Расчет_аналитики'!U4463-'19_Расчет_аналитики'!U4491)*IF('01_Вводные'!$B$239="Да",MeanMinAge08+'19_Расчет_аналитики'!U4608*SUMIF(ThresholdAge08,"&lt;"&amp;'19_Расчет_аналитики'!U4608,WeightedRevAge08)-SUMIF(ThresholdAge08,"&lt;"&amp;'19_Расчет_аналитики'!U4608,WeightedMinAge08),MAX(CapacityAge08*'01_Вводные'!$B$218*'19_Расчет_аналитики'!U4608,MeanMinAge08))),0)</f>
        <v/>
      </c>
      <c r="V4547">
        <f>IF('01_Вводные'!$B$234="Да",IF(OR(('19_Расчет_аналитики'!V4463-'19_Расчет_аналитики'!V4491)=0,8&lt;='01_Вводные'!$B$297),0,('19_Расчет_аналитики'!V4463-'19_Расчет_аналитики'!V4491)*IF('01_Вводные'!$B$239="Да",MeanMinAge08+'19_Расчет_аналитики'!V4608*SUMIF(ThresholdAge08,"&lt;"&amp;'19_Расчет_аналитики'!V4608,WeightedRevAge08)-SUMIF(ThresholdAge08,"&lt;"&amp;'19_Расчет_аналитики'!V4608,WeightedMinAge08),MAX(CapacityAge08*'01_Вводные'!$B$218*'19_Расчет_аналитики'!V4608,MeanMinAge08))),0)</f>
        <v/>
      </c>
      <c r="W4547">
        <f>IF('01_Вводные'!$B$234="Да",IF(OR(('19_Расчет_аналитики'!W4463-'19_Расчет_аналитики'!W4491)=0,8&lt;='01_Вводные'!$B$297),0,('19_Расчет_аналитики'!W4463-'19_Расчет_аналитики'!W4491)*IF('01_Вводные'!$B$239="Да",MeanMinAge08+'19_Расчет_аналитики'!W4608*SUMIF(ThresholdAge08,"&lt;"&amp;'19_Расчет_аналитики'!W4608,WeightedRevAge08)-SUMIF(ThresholdAge08,"&lt;"&amp;'19_Расчет_аналитики'!W4608,WeightedMinAge08),MAX(CapacityAge08*'01_Вводные'!$B$218*'19_Расчет_аналитики'!W4608,MeanMinAge08))),0)</f>
        <v/>
      </c>
      <c r="X4547">
        <f>IF('01_Вводные'!$B$234="Да",IF(OR(('19_Расчет_аналитики'!X4463-'19_Расчет_аналитики'!X4491)=0,8&lt;='01_Вводные'!$B$297),0,('19_Расчет_аналитики'!X4463-'19_Расчет_аналитики'!X4491)*IF('01_Вводные'!$B$239="Да",MeanMinAge08+'19_Расчет_аналитики'!X4608*SUMIF(ThresholdAge08,"&lt;"&amp;'19_Расчет_аналитики'!X4608,WeightedRevAge08)-SUMIF(ThresholdAge08,"&lt;"&amp;'19_Расчет_аналитики'!X4608,WeightedMinAge08),MAX(CapacityAge08*'01_Вводные'!$B$218*'19_Расчет_аналитики'!X4608,MeanMinAge08))),0)</f>
        <v/>
      </c>
      <c r="Y4547">
        <f>IF('01_Вводные'!$B$234="Да",IF(OR(('19_Расчет_аналитики'!Y4463-'19_Расчет_аналитики'!Y4491)=0,8&lt;='01_Вводные'!$B$297),0,('19_Расчет_аналитики'!Y4463-'19_Расчет_аналитики'!Y4491)*IF('01_Вводные'!$B$239="Да",MeanMinAge08+'19_Расчет_аналитики'!Y4608*SUMIF(ThresholdAge08,"&lt;"&amp;'19_Расчет_аналитики'!Y4608,WeightedRevAge08)-SUMIF(ThresholdAge08,"&lt;"&amp;'19_Расчет_аналитики'!Y4608,WeightedMinAge08),MAX(CapacityAge08*'01_Вводные'!$B$218*'19_Расчет_аналитики'!Y4608,MeanMinAge08))),0)</f>
        <v/>
      </c>
      <c r="Z4547">
        <f>IF('01_Вводные'!$B$234="Да",IF(OR(('19_Расчет_аналитики'!Z4463-'19_Расчет_аналитики'!Z4491)=0,8&lt;='01_Вводные'!$B$297),0,('19_Расчет_аналитики'!Z4463-'19_Расчет_аналитики'!Z4491)*IF('01_Вводные'!$B$239="Да",MeanMinAge08+'19_Расчет_аналитики'!Z4608*SUMIF(ThresholdAge08,"&lt;"&amp;'19_Расчет_аналитики'!Z4608,WeightedRevAge08)-SUMIF(ThresholdAge08,"&lt;"&amp;'19_Расчет_аналитики'!Z4608,WeightedMinAge08),MAX(CapacityAge08*'01_Вводные'!$B$218*'19_Расчет_аналитики'!Z4608,MeanMinAge08))),0)</f>
        <v/>
      </c>
      <c r="AA4547">
        <f>IF('01_Вводные'!$B$234="Да",IF(OR(('19_Расчет_аналитики'!AA4463-'19_Расчет_аналитики'!AA4491)=0,8&lt;='01_Вводные'!$B$297),0,('19_Расчет_аналитики'!AA4463-'19_Расчет_аналитики'!AA4491)*IF('01_Вводные'!$B$239="Да",MeanMinAge08+'19_Расчет_аналитики'!AA4608*SUMIF(ThresholdAge08,"&lt;"&amp;'19_Расчет_аналитики'!AA4608,WeightedRevAge08)-SUMIF(ThresholdAge08,"&lt;"&amp;'19_Расчет_аналитики'!AA4608,WeightedMinAge08),MAX(CapacityAge08*'01_Вводные'!$B$218*'19_Расчет_аналитики'!AA4608,MeanMinAge08))),0)</f>
        <v/>
      </c>
      <c r="AB4547">
        <f>IF('01_Вводные'!$B$234="Да",IF(OR(('19_Расчет_аналитики'!AB4463-'19_Расчет_аналитики'!AB4491)=0,8&lt;='01_Вводные'!$B$297),0,('19_Расчет_аналитики'!AB4463-'19_Расчет_аналитики'!AB4491)*IF('01_Вводные'!$B$239="Да",MeanMinAge08+'19_Расчет_аналитики'!AB4608*SUMIF(ThresholdAge08,"&lt;"&amp;'19_Расчет_аналитики'!AB4608,WeightedRevAge08)-SUMIF(ThresholdAge08,"&lt;"&amp;'19_Расчет_аналитики'!AB4608,WeightedMinAge08),MAX(CapacityAge08*'01_Вводные'!$B$218*'19_Расчет_аналитики'!AB4608,MeanMinAge08))),0)</f>
        <v/>
      </c>
      <c r="AC4547">
        <f>IF('01_Вводные'!$B$234="Да",IF(OR(('19_Расчет_аналитики'!AC4463-'19_Расчет_аналитики'!AC4491)=0,8&lt;='01_Вводные'!$B$297),0,('19_Расчет_аналитики'!AC4463-'19_Расчет_аналитики'!AC4491)*IF('01_Вводные'!$B$239="Да",MeanMinAge08+'19_Расчет_аналитики'!AC4608*SUMIF(ThresholdAge08,"&lt;"&amp;'19_Расчет_аналитики'!AC4608,WeightedRevAge08)-SUMIF(ThresholdAge08,"&lt;"&amp;'19_Расчет_аналитики'!AC4608,WeightedMinAge08),MAX(CapacityAge08*'01_Вводные'!$B$218*'19_Расчет_аналитики'!AC4608,MeanMinAge08))),0)</f>
        <v/>
      </c>
      <c r="AD4547">
        <f>IF('01_Вводные'!$B$234="Да",IF(OR(('19_Расчет_аналитики'!AD4463-'19_Расчет_аналитики'!AD4491)=0,8&lt;='01_Вводные'!$B$297),0,('19_Расчет_аналитики'!AD4463-'19_Расчет_аналитики'!AD4491)*IF('01_Вводные'!$B$239="Да",MeanMinAge08+'19_Расчет_аналитики'!AD4608*SUMIF(ThresholdAge08,"&lt;"&amp;'19_Расчет_аналитики'!AD4608,WeightedRevAge08)-SUMIF(ThresholdAge08,"&lt;"&amp;'19_Расчет_аналитики'!AD4608,WeightedMinAge08),MAX(CapacityAge08*'01_Вводные'!$B$218*'19_Расчет_аналитики'!AD4608,MeanMinAge08))),0)</f>
        <v/>
      </c>
      <c r="AE4547">
        <f>IF('01_Вводные'!$B$234="Да",IF(OR(('19_Расчет_аналитики'!AE4463-'19_Расчет_аналитики'!AE4491)=0,8&lt;='01_Вводные'!$B$297),0,('19_Расчет_аналитики'!AE4463-'19_Расчет_аналитики'!AE4491)*IF('01_Вводные'!$B$239="Да",MeanMinAge08+'19_Расчет_аналитики'!AE4608*SUMIF(ThresholdAge08,"&lt;"&amp;'19_Расчет_аналитики'!AE4608,WeightedRevAge08)-SUMIF(ThresholdAge08,"&lt;"&amp;'19_Расчет_аналитики'!AE4608,WeightedMinAge08),MAX(CapacityAge08*'01_Вводные'!$B$218*'19_Расчет_аналитики'!AE4608,MeanMinAge08))),0)</f>
        <v/>
      </c>
      <c r="AF4547">
        <f>IF('01_Вводные'!$B$234="Да",IF(OR(('19_Расчет_аналитики'!AF4463-'19_Расчет_аналитики'!AF4491)=0,8&lt;='01_Вводные'!$B$297),0,('19_Расчет_аналитики'!AF4463-'19_Расчет_аналитики'!AF4491)*IF('01_Вводные'!$B$239="Да",MeanMinAge08+'19_Расчет_аналитики'!AF4608*SUMIF(ThresholdAge08,"&lt;"&amp;'19_Расчет_аналитики'!AF4608,WeightedRevAge08)-SUMIF(ThresholdAge08,"&lt;"&amp;'19_Расчет_аналитики'!AF4608,WeightedMinAge08),MAX(CapacityAge08*'01_Вводные'!$B$218*'19_Расчет_аналитики'!AF4608,MeanMinAge08))),0)</f>
        <v/>
      </c>
      <c r="AG4547">
        <f>IF('01_Вводные'!$B$234="Да",IF(OR(('19_Расчет_аналитики'!AG4463-'19_Расчет_аналитики'!AG4491)=0,8&lt;='01_Вводные'!$B$297),0,('19_Расчет_аналитики'!AG4463-'19_Расчет_аналитики'!AG4491)*IF('01_Вводные'!$B$239="Да",MeanMinAge08+'19_Расчет_аналитики'!AG4608*SUMIF(ThresholdAge08,"&lt;"&amp;'19_Расчет_аналитики'!AG4608,WeightedRevAge08)-SUMIF(ThresholdAge08,"&lt;"&amp;'19_Расчет_аналитики'!AG4608,WeightedMinAge08),MAX(CapacityAge08*'01_Вводные'!$B$218*'19_Расчет_аналитики'!AG4608,MeanMinAge08))),0)</f>
        <v/>
      </c>
      <c r="AH4547">
        <f>IF('01_Вводные'!$B$234="Да",IF(OR(('19_Расчет_аналитики'!AH4463-'19_Расчет_аналитики'!AH4491)=0,8&lt;='01_Вводные'!$B$297),0,('19_Расчет_аналитики'!AH4463-'19_Расчет_аналитики'!AH4491)*IF('01_Вводные'!$B$239="Да",MeanMinAge08+'19_Расчет_аналитики'!AH4608*SUMIF(ThresholdAge08,"&lt;"&amp;'19_Расчет_аналитики'!AH4608,WeightedRevAge08)-SUMIF(ThresholdAge08,"&lt;"&amp;'19_Расчет_аналитики'!AH4608,WeightedMinAge08),MAX(CapacityAge08*'01_Вводные'!$B$218*'19_Расчет_аналитики'!AH4608,MeanMinAge08))),0)</f>
        <v/>
      </c>
      <c r="AI4547">
        <f>IF('01_Вводные'!$B$234="Да",IF(OR(('19_Расчет_аналитики'!AI4463-'19_Расчет_аналитики'!AI4491)=0,8&lt;='01_Вводные'!$B$297),0,('19_Расчет_аналитики'!AI4463-'19_Расчет_аналитики'!AI4491)*IF('01_Вводные'!$B$239="Да",MeanMinAge08+'19_Расчет_аналитики'!AI4608*SUMIF(ThresholdAge08,"&lt;"&amp;'19_Расчет_аналитики'!AI4608,WeightedRevAge08)-SUMIF(ThresholdAge08,"&lt;"&amp;'19_Расчет_аналитики'!AI4608,WeightedMinAge08),MAX(CapacityAge08*'01_Вводные'!$B$218*'19_Расчет_аналитики'!AI4608,MeanMinAge08))),0)</f>
        <v/>
      </c>
      <c r="AJ4547">
        <f>IF('01_Вводные'!$B$234="Да",IF(OR(('19_Расчет_аналитики'!AJ4463-'19_Расчет_аналитики'!AJ4491)=0,8&lt;='01_Вводные'!$B$297),0,('19_Расчет_аналитики'!AJ4463-'19_Расчет_аналитики'!AJ4491)*IF('01_Вводные'!$B$239="Да",MeanMinAge08+'19_Расчет_аналитики'!AJ4608*SUMIF(ThresholdAge08,"&lt;"&amp;'19_Расчет_аналитики'!AJ4608,WeightedRevAge08)-SUMIF(ThresholdAge08,"&lt;"&amp;'19_Расчет_аналитики'!AJ4608,WeightedMinAge08),MAX(CapacityAge08*'01_Вводные'!$B$218*'19_Расчет_аналитики'!AJ4608,MeanMinAge08))),0)</f>
        <v/>
      </c>
      <c r="AK4547">
        <f>IF('01_Вводные'!$B$234="Да",IF(OR(('19_Расчет_аналитики'!AK4463-'19_Расчет_аналитики'!AK4491)=0,8&lt;='01_Вводные'!$B$297),0,('19_Расчет_аналитики'!AK4463-'19_Расчет_аналитики'!AK4491)*IF('01_Вводные'!$B$239="Да",MeanMinAge08+'19_Расчет_аналитики'!AK4608*SUMIF(ThresholdAge08,"&lt;"&amp;'19_Расчет_аналитики'!AK4608,WeightedRevAge08)-SUMIF(ThresholdAge08,"&lt;"&amp;'19_Расчет_аналитики'!AK4608,WeightedMinAge08),MAX(CapacityAge08*'01_Вводные'!$B$218*'19_Расчет_аналитики'!AK4608,MeanMinAge08))),0)</f>
        <v/>
      </c>
      <c r="AL4547">
        <f>IF('01_Вводные'!$B$234="Да",IF(OR(('19_Расчет_аналитики'!AL4463-'19_Расчет_аналитики'!AL4491)=0,8&lt;='01_Вводные'!$B$297),0,('19_Расчет_аналитики'!AL4463-'19_Расчет_аналитики'!AL4491)*IF('01_Вводные'!$B$239="Да",MeanMinAge08+'19_Расчет_аналитики'!AL4608*SUMIF(ThresholdAge08,"&lt;"&amp;'19_Расчет_аналитики'!AL4608,WeightedRevAge08)-SUMIF(ThresholdAge08,"&lt;"&amp;'19_Расчет_аналитики'!AL4608,WeightedMinAge08),MAX(CapacityAge08*'01_Вводные'!$B$218*'19_Расчет_аналитики'!AL4608,MeanMinAge08))),0)</f>
        <v/>
      </c>
      <c r="AM4547">
        <f>IF('01_Вводные'!$B$234="Да",IF(OR(('19_Расчет_аналитики'!AM4463-'19_Расчет_аналитики'!AM4491)=0,8&lt;='01_Вводные'!$B$297),0,('19_Расчет_аналитики'!AM4463-'19_Расчет_аналитики'!AM4491)*IF('01_Вводные'!$B$239="Да",MeanMinAge08+'19_Расчет_аналитики'!AM4608*SUMIF(ThresholdAge08,"&lt;"&amp;'19_Расчет_аналитики'!AM4608,WeightedRevAge08)-SUMIF(ThresholdAge08,"&lt;"&amp;'19_Расчет_аналитики'!AM4608,WeightedMinAge08),MAX(CapacityAge08*'01_Вводные'!$B$218*'19_Расчет_аналитики'!AM4608,MeanMinAge08))),0)</f>
        <v/>
      </c>
      <c r="AN4547">
        <f>IF('01_Вводные'!$B$234="Да",IF(OR(('19_Расчет_аналитики'!AN4463-'19_Расчет_аналитики'!AN4491)=0,8&lt;='01_Вводные'!$B$297),0,('19_Расчет_аналитики'!AN4463-'19_Расчет_аналитики'!AN4491)*IF('01_Вводные'!$B$239="Да",MeanMinAge08+'19_Расчет_аналитики'!AN4608*SUMIF(ThresholdAge08,"&lt;"&amp;'19_Расчет_аналитики'!AN4608,WeightedRevAge08)-SUMIF(ThresholdAge08,"&lt;"&amp;'19_Расчет_аналитики'!AN4608,WeightedMinAge08),MAX(CapacityAge08*'01_Вводные'!$B$218*'19_Расчет_аналитики'!AN4608,MeanMinAge08))),0)</f>
        <v/>
      </c>
      <c r="AO4547">
        <f>IF('01_Вводные'!$B$234="Да",IF(OR(('19_Расчет_аналитики'!AO4463-'19_Расчет_аналитики'!AO4491)=0,8&lt;='01_Вводные'!$B$297),0,('19_Расчет_аналитики'!AO4463-'19_Расчет_аналитики'!AO4491)*IF('01_Вводные'!$B$239="Да",MeanMinAge08+'19_Расчет_аналитики'!AO4608*SUMIF(ThresholdAge08,"&lt;"&amp;'19_Расчет_аналитики'!AO4608,WeightedRevAge08)-SUMIF(ThresholdAge08,"&lt;"&amp;'19_Расчет_аналитики'!AO4608,WeightedMinAge08),MAX(CapacityAge08*'01_Вводные'!$B$218*'19_Расчет_аналитики'!AO4608,MeanMinAge08))),0)</f>
        <v/>
      </c>
      <c r="AP4547">
        <f>IF('01_Вводные'!$B$234="Да",IF(OR(('19_Расчет_аналитики'!AP4463-'19_Расчет_аналитики'!AP4491)=0,8&lt;='01_Вводные'!$B$297),0,('19_Расчет_аналитики'!AP4463-'19_Расчет_аналитики'!AP4491)*IF('01_Вводные'!$B$239="Да",MeanMinAge08+'19_Расчет_аналитики'!AP4608*SUMIF(ThresholdAge08,"&lt;"&amp;'19_Расчет_аналитики'!AP4608,WeightedRevAge08)-SUMIF(ThresholdAge08,"&lt;"&amp;'19_Расчет_аналитики'!AP4608,WeightedMinAge08),MAX(CapacityAge08*'01_Вводные'!$B$218*'19_Расчет_аналитики'!AP4608,MeanMinAge08))),0)</f>
        <v/>
      </c>
      <c r="AQ4547">
        <f>IF('01_Вводные'!$B$234="Да",IF(OR(('19_Расчет_аналитики'!AQ4463-'19_Расчет_аналитики'!AQ4491)=0,8&lt;='01_Вводные'!$B$297),0,('19_Расчет_аналитики'!AQ4463-'19_Расчет_аналитики'!AQ4491)*IF('01_Вводные'!$B$239="Да",MeanMinAge08+'19_Расчет_аналитики'!AQ4608*SUMIF(ThresholdAge08,"&lt;"&amp;'19_Расчет_аналитики'!AQ4608,WeightedRevAge08)-SUMIF(ThresholdAge08,"&lt;"&amp;'19_Расчет_аналитики'!AQ4608,WeightedMinAge08),MAX(CapacityAge08*'01_Вводные'!$B$218*'19_Расчет_аналитики'!AQ4608,MeanMinAge08))),0)</f>
        <v/>
      </c>
      <c r="AR4547">
        <f>IF('01_Вводные'!$B$234="Да",IF(OR(('19_Расчет_аналитики'!AR4463-'19_Расчет_аналитики'!AR4491)=0,8&lt;='01_Вводные'!$B$297),0,('19_Расчет_аналитики'!AR4463-'19_Расчет_аналитики'!AR4491)*IF('01_Вводные'!$B$239="Да",MeanMinAge08+'19_Расчет_аналитики'!AR4608*SUMIF(ThresholdAge08,"&lt;"&amp;'19_Расчет_аналитики'!AR4608,WeightedRevAge08)-SUMIF(ThresholdAge08,"&lt;"&amp;'19_Расчет_аналитики'!AR4608,WeightedMinAge08),MAX(CapacityAge08*'01_Вводные'!$B$218*'19_Расчет_аналитики'!AR4608,MeanMinAge08))),0)</f>
        <v/>
      </c>
      <c r="AS4547">
        <f>IF('01_Вводные'!$B$234="Да",IF(OR(('19_Расчет_аналитики'!AS4463-'19_Расчет_аналитики'!AS4491)=0,8&lt;='01_Вводные'!$B$297),0,('19_Расчет_аналитики'!AS4463-'19_Расчет_аналитики'!AS4491)*IF('01_Вводные'!$B$239="Да",MeanMinAge08+'19_Расчет_аналитики'!AS4608*SUMIF(ThresholdAge08,"&lt;"&amp;'19_Расчет_аналитики'!AS4608,WeightedRevAge08)-SUMIF(ThresholdAge08,"&lt;"&amp;'19_Расчет_аналитики'!AS4608,WeightedMinAge08),MAX(CapacityAge08*'01_Вводные'!$B$218*'19_Расчет_аналитики'!AS4608,MeanMinAge08))),0)</f>
        <v/>
      </c>
      <c r="AT4547">
        <f>IF('01_Вводные'!$B$234="Да",IF(OR(('19_Расчет_аналитики'!AT4463-'19_Расчет_аналитики'!AT4491)=0,8&lt;='01_Вводные'!$B$297),0,('19_Расчет_аналитики'!AT4463-'19_Расчет_аналитики'!AT4491)*IF('01_Вводные'!$B$239="Да",MeanMinAge08+'19_Расчет_аналитики'!AT4608*SUMIF(ThresholdAge08,"&lt;"&amp;'19_Расчет_аналитики'!AT4608,WeightedRevAge08)-SUMIF(ThresholdAge08,"&lt;"&amp;'19_Расчет_аналитики'!AT4608,WeightedMinAge08),MAX(CapacityAge08*'01_Вводные'!$B$218*'19_Расчет_аналитики'!AT4608,MeanMinAge08))),0)</f>
        <v/>
      </c>
      <c r="AU4547">
        <f>IF('01_Вводные'!$B$234="Да",IF(OR(('19_Расчет_аналитики'!AU4463-'19_Расчет_аналитики'!AU4491)=0,8&lt;='01_Вводные'!$B$297),0,('19_Расчет_аналитики'!AU4463-'19_Расчет_аналитики'!AU4491)*IF('01_Вводные'!$B$239="Да",MeanMinAge08+'19_Расчет_аналитики'!AU4608*SUMIF(ThresholdAge08,"&lt;"&amp;'19_Расчет_аналитики'!AU4608,WeightedRevAge08)-SUMIF(ThresholdAge08,"&lt;"&amp;'19_Расчет_аналитики'!AU4608,WeightedMinAge08),MAX(CapacityAge08*'01_Вводные'!$B$218*'19_Расчет_аналитики'!AU4608,MeanMinAge08))),0)</f>
        <v/>
      </c>
      <c r="AV4547">
        <f>IF('01_Вводные'!$B$234="Да",IF(OR(('19_Расчет_аналитики'!AV4463-'19_Расчет_аналитики'!AV4491)=0,8&lt;='01_Вводные'!$B$297),0,('19_Расчет_аналитики'!AV4463-'19_Расчет_аналитики'!AV4491)*IF('01_Вводные'!$B$239="Да",MeanMinAge08+'19_Расчет_аналитики'!AV4608*SUMIF(ThresholdAge08,"&lt;"&amp;'19_Расчет_аналитики'!AV4608,WeightedRevAge08)-SUMIF(ThresholdAge08,"&lt;"&amp;'19_Расчет_аналитики'!AV4608,WeightedMinAge08),MAX(CapacityAge08*'01_Вводные'!$B$218*'19_Расчет_аналитики'!AV4608,MeanMinAge08))),0)</f>
        <v/>
      </c>
      <c r="AW4547">
        <f>IF('01_Вводные'!$B$234="Да",IF(OR(('19_Расчет_аналитики'!AW4463-'19_Расчет_аналитики'!AW4491)=0,8&lt;='01_Вводные'!$B$297),0,('19_Расчет_аналитики'!AW4463-'19_Расчет_аналитики'!AW4491)*IF('01_Вводные'!$B$239="Да",MeanMinAge08+'19_Расчет_аналитики'!AW4608*SUMIF(ThresholdAge08,"&lt;"&amp;'19_Расчет_аналитики'!AW4608,WeightedRevAge08)-SUMIF(ThresholdAge08,"&lt;"&amp;'19_Расчет_аналитики'!AW4608,WeightedMinAge08),MAX(CapacityAge08*'01_Вводные'!$B$218*'19_Расчет_аналитики'!AW4608,MeanMinAge08))),0)</f>
        <v/>
      </c>
      <c r="AX4547">
        <f>IF('01_Вводные'!$B$234="Да",IF(OR(('19_Расчет_аналитики'!AX4463-'19_Расчет_аналитики'!AX4491)=0,8&lt;='01_Вводные'!$B$297),0,('19_Расчет_аналитики'!AX4463-'19_Расчет_аналитики'!AX4491)*IF('01_Вводные'!$B$239="Да",MeanMinAge08+'19_Расчет_аналитики'!AX4608*SUMIF(ThresholdAge08,"&lt;"&amp;'19_Расчет_аналитики'!AX4608,WeightedRevAge08)-SUMIF(ThresholdAge08,"&lt;"&amp;'19_Расчет_аналитики'!AX4608,WeightedMinAge08),MAX(CapacityAge08*'01_Вводные'!$B$218*'19_Расчет_аналитики'!AX4608,MeanMinAge08))),0)</f>
        <v/>
      </c>
      <c r="AY4547">
        <f>IF('01_Вводные'!$B$234="Да",IF(OR(('19_Расчет_аналитики'!AY4463-'19_Расчет_аналитики'!AY4491)=0,8&lt;='01_Вводные'!$B$297),0,('19_Расчет_аналитики'!AY4463-'19_Расчет_аналитики'!AY4491)*IF('01_Вводные'!$B$239="Да",MeanMinAge08+'19_Расчет_аналитики'!AY4608*SUMIF(ThresholdAge08,"&lt;"&amp;'19_Расчет_аналитики'!AY4608,WeightedRevAge08)-SUMIF(ThresholdAge08,"&lt;"&amp;'19_Расчет_аналитики'!AY4608,WeightedMinAge08),MAX(CapacityAge08*'01_Вводные'!$B$218*'19_Расчет_аналитики'!AY4608,MeanMinAge08))),0)</f>
        <v/>
      </c>
      <c r="AZ4547">
        <f>IF('01_Вводные'!$B$234="Да",IF(OR(('19_Расчет_аналитики'!AZ4463-'19_Расчет_аналитики'!AZ4491)=0,8&lt;='01_Вводные'!$B$297),0,('19_Расчет_аналитики'!AZ4463-'19_Расчет_аналитики'!AZ4491)*IF('01_Вводные'!$B$239="Да",MeanMinAge08+'19_Расчет_аналитики'!AZ4608*SUMIF(ThresholdAge08,"&lt;"&amp;'19_Расчет_аналитики'!AZ4608,WeightedRevAge08)-SUMIF(ThresholdAge08,"&lt;"&amp;'19_Расчет_аналитики'!AZ4608,WeightedMinAge08),MAX(CapacityAge08*'01_Вводные'!$B$218*'19_Расчет_аналитики'!AZ4608,MeanMinAge08))),0)</f>
        <v/>
      </c>
      <c r="BA4547">
        <f>IF('01_Вводные'!$B$234="Да",IF(OR(('19_Расчет_аналитики'!BA4463-'19_Расчет_аналитики'!BA4491)=0,8&lt;='01_Вводные'!$B$297),0,('19_Расчет_аналитики'!BA4463-'19_Расчет_аналитики'!BA4491)*IF('01_Вводные'!$B$239="Да",MeanMinAge08+'19_Расчет_аналитики'!BA4608*SUMIF(ThresholdAge08,"&lt;"&amp;'19_Расчет_аналитики'!BA4608,WeightedRevAge08)-SUMIF(ThresholdAge08,"&lt;"&amp;'19_Расчет_аналитики'!BA4608,WeightedMinAge08),MAX(CapacityAge08*'01_Вводные'!$B$218*'19_Расчет_аналитики'!BA4608,MeanMinAge08))),0)</f>
        <v/>
      </c>
      <c r="BB4547">
        <f>IF('01_Вводные'!$B$234="Да",IF(OR(('19_Расчет_аналитики'!BB4463-'19_Расчет_аналитики'!BB4491)=0,8&lt;='01_Вводные'!$B$297),0,('19_Расчет_аналитики'!BB4463-'19_Расчет_аналитики'!BB4491)*IF('01_Вводные'!$B$239="Да",MeanMinAge08+'19_Расчет_аналитики'!BB4608*SUMIF(ThresholdAge08,"&lt;"&amp;'19_Расчет_аналитики'!BB4608,WeightedRevAge08)-SUMIF(ThresholdAge08,"&lt;"&amp;'19_Расчет_аналитики'!BB4608,WeightedMinAge08),MAX(CapacityAge08*'01_Вводные'!$B$218*'19_Расчет_аналитики'!BB4608,MeanMinAge08))),0)</f>
        <v/>
      </c>
      <c r="BC4547">
        <f>IF('01_Вводные'!$B$234="Да",IF(OR(('19_Расчет_аналитики'!BC4463-'19_Расчет_аналитики'!BC4491)=0,8&lt;='01_Вводные'!$B$297),0,('19_Расчет_аналитики'!BC4463-'19_Расчет_аналитики'!BC4491)*IF('01_Вводные'!$B$239="Да",MeanMinAge08+'19_Расчет_аналитики'!BC4608*SUMIF(ThresholdAge08,"&lt;"&amp;'19_Расчет_аналитики'!BC4608,WeightedRevAge08)-SUMIF(ThresholdAge08,"&lt;"&amp;'19_Расчет_аналитики'!BC4608,WeightedMinAge08),MAX(CapacityAge08*'01_Вводные'!$B$218*'19_Расчет_аналитики'!BC4608,MeanMinAge08))),0)</f>
        <v/>
      </c>
      <c r="BD4547">
        <f>IF('01_Вводные'!$B$234="Да",IF(OR(('19_Расчет_аналитики'!BD4463-'19_Расчет_аналитики'!BD4491)=0,8&lt;='01_Вводные'!$B$297),0,('19_Расчет_аналитики'!BD4463-'19_Расчет_аналитики'!BD4491)*IF('01_Вводные'!$B$239="Да",MeanMinAge08+'19_Расчет_аналитики'!BD4608*SUMIF(ThresholdAge08,"&lt;"&amp;'19_Расчет_аналитики'!BD4608,WeightedRevAge08)-SUMIF(ThresholdAge08,"&lt;"&amp;'19_Расчет_аналитики'!BD4608,WeightedMinAge08),MAX(CapacityAge08*'01_Вводные'!$B$218*'19_Расчет_аналитики'!BD4608,MeanMinAge08))),0)</f>
        <v/>
      </c>
      <c r="BE4547">
        <f>IF('01_Вводные'!$B$234="Да",IF(OR(('19_Расчет_аналитики'!BE4463-'19_Расчет_аналитики'!BE4491)=0,8&lt;='01_Вводные'!$B$297),0,('19_Расчет_аналитики'!BE4463-'19_Расчет_аналитики'!BE4491)*IF('01_Вводные'!$B$239="Да",MeanMinAge08+'19_Расчет_аналитики'!BE4608*SUMIF(ThresholdAge08,"&lt;"&amp;'19_Расчет_аналитики'!BE4608,WeightedRevAge08)-SUMIF(ThresholdAge08,"&lt;"&amp;'19_Расчет_аналитики'!BE4608,WeightedMinAge08),MAX(CapacityAge08*'01_Вводные'!$B$218*'19_Расчет_аналитики'!BE4608,MeanMinAge08))),0)</f>
        <v/>
      </c>
      <c r="BF4547">
        <f>IF('01_Вводные'!$B$234="Да",IF(OR(('19_Расчет_аналитики'!BF4463-'19_Расчет_аналитики'!BF4491)=0,8&lt;='01_Вводные'!$B$297),0,('19_Расчет_аналитики'!BF4463-'19_Расчет_аналитики'!BF4491)*IF('01_Вводные'!$B$239="Да",MeanMinAge08+'19_Расчет_аналитики'!BF4608*SUMIF(ThresholdAge08,"&lt;"&amp;'19_Расчет_аналитики'!BF4608,WeightedRevAge08)-SUMIF(ThresholdAge08,"&lt;"&amp;'19_Расчет_аналитики'!BF4608,WeightedMinAge08),MAX(CapacityAge08*'01_Вводные'!$B$218*'19_Расчет_аналитики'!BF4608,MeanMinAge08))),0)</f>
        <v/>
      </c>
      <c r="BG4547">
        <f>IF('01_Вводные'!$B$234="Да",IF(OR(('19_Расчет_аналитики'!BG4463-'19_Расчет_аналитики'!BG4491)=0,8&lt;='01_Вводные'!$B$297),0,('19_Расчет_аналитики'!BG4463-'19_Расчет_аналитики'!BG4491)*IF('01_Вводные'!$B$239="Да",MeanMinAge08+'19_Расчет_аналитики'!BG4608*SUMIF(ThresholdAge08,"&lt;"&amp;'19_Расчет_аналитики'!BG4608,WeightedRevAge08)-SUMIF(ThresholdAge08,"&lt;"&amp;'19_Расчет_аналитики'!BG4608,WeightedMinAge08),MAX(CapacityAge08*'01_Вводные'!$B$218*'19_Расчет_аналитики'!BG4608,MeanMinAge08))),0)</f>
        <v/>
      </c>
      <c r="BH4547">
        <f>IF('01_Вводные'!$B$234="Да",IF(OR(('19_Расчет_аналитики'!BH4463-'19_Расчет_аналитики'!BH4491)=0,8&lt;='01_Вводные'!$B$297),0,('19_Расчет_аналитики'!BH4463-'19_Расчет_аналитики'!BH4491)*IF('01_Вводные'!$B$239="Да",MeanMinAge08+'19_Расчет_аналитики'!BH4608*SUMIF(ThresholdAge08,"&lt;"&amp;'19_Расчет_аналитики'!BH4608,WeightedRevAge08)-SUMIF(ThresholdAge08,"&lt;"&amp;'19_Расчет_аналитики'!BH4608,WeightedMinAge08),MAX(CapacityAge08*'01_Вводные'!$B$218*'19_Расчет_аналитики'!BH4608,MeanMinAge08))),0)</f>
        <v/>
      </c>
      <c r="BI4547">
        <f>IF('01_Вводные'!$B$234="Да",IF(OR(('19_Расчет_аналитики'!BI4463-'19_Расчет_аналитики'!BI4491)=0,8&lt;='01_Вводные'!$B$297),0,('19_Расчет_аналитики'!BI4463-'19_Расчет_аналитики'!BI4491)*IF('01_Вводные'!$B$239="Да",MeanMinAge08+'19_Расчет_аналитики'!BI4608*SUMIF(ThresholdAge08,"&lt;"&amp;'19_Расчет_аналитики'!BI4608,WeightedRevAge08)-SUMIF(ThresholdAge08,"&lt;"&amp;'19_Расчет_аналитики'!BI4608,WeightedMinAge08),MAX(CapacityAge08*'01_Вводные'!$B$218*'19_Расчет_аналитики'!BI4608,MeanMinAge08))),0)</f>
        <v/>
      </c>
      <c r="BJ4547">
        <f>IF('01_Вводные'!$B$234="Да",IF(OR(('19_Расчет_аналитики'!BJ4463-'19_Расчет_аналитики'!BJ4491)=0,8&lt;='01_Вводные'!$B$297),0,('19_Расчет_аналитики'!BJ4463-'19_Расчет_аналитики'!BJ4491)*IF('01_Вводные'!$B$239="Да",MeanMinAge08+'19_Расчет_аналитики'!BJ4608*SUMIF(ThresholdAge08,"&lt;"&amp;'19_Расчет_аналитики'!BJ4608,WeightedRevAge08)-SUMIF(ThresholdAge08,"&lt;"&amp;'19_Расчет_аналитики'!BJ4608,WeightedMinAge08),MAX(CapacityAge08*'01_Вводные'!$B$218*'19_Расчет_аналитики'!BJ4608,MeanMinAge08))),0)</f>
        <v/>
      </c>
      <c r="BK4547">
        <f>IF('01_Вводные'!$B$234="Да",IF(OR(('19_Расчет_аналитики'!BK4463-'19_Расчет_аналитики'!BK4491)=0,8&lt;='01_Вводные'!$B$297),0,('19_Расчет_аналитики'!BK4463-'19_Расчет_аналитики'!BK4491)*IF('01_Вводные'!$B$239="Да",MeanMinAge08+'19_Расчет_аналитики'!BK4608*SUMIF(ThresholdAge08,"&lt;"&amp;'19_Расчет_аналитики'!BK4608,WeightedRevAge08)-SUMIF(ThresholdAge08,"&lt;"&amp;'19_Расчет_аналитики'!BK4608,WeightedMinAge08),MAX(CapacityAge08*'01_Вводные'!$B$218*'19_Расчет_аналитики'!BK4608,MeanMinAge08))),0)</f>
        <v/>
      </c>
      <c r="BL4547">
        <f>IF('01_Вводные'!$B$234="Да",IF(OR(('19_Расчет_аналитики'!BL4463-'19_Расчет_аналитики'!BL4491)=0,8&lt;='01_Вводные'!$B$297),0,('19_Расчет_аналитики'!BL4463-'19_Расчет_аналитики'!BL4491)*IF('01_Вводные'!$B$239="Да",MeanMinAge08+'19_Расчет_аналитики'!BL4608*SUMIF(ThresholdAge08,"&lt;"&amp;'19_Расчет_аналитики'!BL4608,WeightedRevAge08)-SUMIF(ThresholdAge08,"&lt;"&amp;'19_Расчет_аналитики'!BL4608,WeightedMinAge08),MAX(CapacityAge08*'01_Вводные'!$B$218*'19_Расчет_аналитики'!BL4608,MeanMinAge08))),0)</f>
        <v/>
      </c>
      <c r="BM4547">
        <f>IF('01_Вводные'!$B$234="Да",IF(OR(('19_Расчет_аналитики'!BM4463-'19_Расчет_аналитики'!BM4491)=0,8&lt;='01_Вводные'!$B$297),0,('19_Расчет_аналитики'!BM4463-'19_Расчет_аналитики'!BM4491)*IF('01_Вводные'!$B$239="Да",MeanMinAge08+'19_Расчет_аналитики'!BM4608*SUMIF(ThresholdAge08,"&lt;"&amp;'19_Расчет_аналитики'!BM4608,WeightedRevAge08)-SUMIF(ThresholdAge08,"&lt;"&amp;'19_Расчет_аналитики'!BM4608,WeightedMinAge08),MAX(CapacityAge08*'01_Вводные'!$B$218*'19_Расчет_аналитики'!BM4608,MeanMinAge08))),0)</f>
        <v/>
      </c>
      <c r="BN4547">
        <f>IF('01_Вводные'!$B$234="Да",IF(OR(('19_Расчет_аналитики'!BN4463-'19_Расчет_аналитики'!BN4491)=0,8&lt;='01_Вводные'!$B$297),0,('19_Расчет_аналитики'!BN4463-'19_Расчет_аналитики'!BN4491)*IF('01_Вводные'!$B$239="Да",MeanMinAge08+'19_Расчет_аналитики'!BN4608*SUMIF(ThresholdAge08,"&lt;"&amp;'19_Расчет_аналитики'!BN4608,WeightedRevAge08)-SUMIF(ThresholdAge08,"&lt;"&amp;'19_Расчет_аналитики'!BN4608,WeightedMinAge08),MAX(CapacityAge08*'01_Вводные'!$B$218*'19_Расчет_аналитики'!BN4608,MeanMinAge08))),0)</f>
        <v/>
      </c>
      <c r="BO4547">
        <f>IF('01_Вводные'!$B$234="Да",IF(OR(('19_Расчет_аналитики'!BO4463-'19_Расчет_аналитики'!BO4491)=0,8&lt;='01_Вводные'!$B$297),0,('19_Расчет_аналитики'!BO4463-'19_Расчет_аналитики'!BO4491)*IF('01_Вводные'!$B$239="Да",MeanMinAge08+'19_Расчет_аналитики'!BO4608*SUMIF(ThresholdAge08,"&lt;"&amp;'19_Расчет_аналитики'!BO4608,WeightedRevAge08)-SUMIF(ThresholdAge08,"&lt;"&amp;'19_Расчет_аналитики'!BO4608,WeightedMinAge08),MAX(CapacityAge08*'01_Вводные'!$B$218*'19_Расчет_аналитики'!BO4608,MeanMinAge08))),0)</f>
        <v/>
      </c>
    </row>
    <row r="4548">
      <c r="B4548">
        <f>IF('01_Вводные'!$B$234="Да",IF(OR(('06_Сеть_и_дети'!B61-'06_Сеть_и_дети'!B89)=0,9&lt;='01_Вводные'!$B$297),0,('06_Сеть_и_дети'!B61-'06_Сеть_и_дети'!B89)*IF('01_Вводные'!$B$239="Да",MeanMinAge09+'19_Расчет_аналитики'!B4608*SUMIF(ThresholdAge09,"&lt;"&amp;'19_Расчет_аналитики'!B4608,WeightedRevAge09)-SUMIF(ThresholdAge09,"&lt;"&amp;'19_Расчет_аналитики'!B4608,WeightedMinAge09),MAX(CapacityAge09*'01_Вводные'!$B$218*'19_Расчет_аналитики'!B4608,MeanMinAge09))),0)</f>
        <v/>
      </c>
      <c r="C4548">
        <f>IF('01_Вводные'!$B$234="Да",IF(OR(('06_Сеть_и_дети'!C61-'06_Сеть_и_дети'!C89)=0,9&lt;='01_Вводные'!$B$297),0,('06_Сеть_и_дети'!C61-'06_Сеть_и_дети'!C89)*IF('01_Вводные'!$B$239="Да",MeanMinAge09+'19_Расчет_аналитики'!C4608*SUMIF(ThresholdAge09,"&lt;"&amp;'19_Расчет_аналитики'!C4608,WeightedRevAge09)-SUMIF(ThresholdAge09,"&lt;"&amp;'19_Расчет_аналитики'!C4608,WeightedMinAge09),MAX(CapacityAge09*'01_Вводные'!$B$218*'19_Расчет_аналитики'!C4608,MeanMinAge09))),0)</f>
        <v/>
      </c>
      <c r="D4548">
        <f>IF('01_Вводные'!$B$234="Да",IF(OR(('06_Сеть_и_дети'!D61-'06_Сеть_и_дети'!D89)=0,9&lt;='01_Вводные'!$B$297),0,('06_Сеть_и_дети'!D61-'06_Сеть_и_дети'!D89)*IF('01_Вводные'!$B$239="Да",MeanMinAge09+'19_Расчет_аналитики'!D4608*SUMIF(ThresholdAge09,"&lt;"&amp;'19_Расчет_аналитики'!D4608,WeightedRevAge09)-SUMIF(ThresholdAge09,"&lt;"&amp;'19_Расчет_аналитики'!D4608,WeightedMinAge09),MAX(CapacityAge09*'01_Вводные'!$B$218*'19_Расчет_аналитики'!D4608,MeanMinAge09))),0)</f>
        <v/>
      </c>
      <c r="E4548">
        <f>IF('01_Вводные'!$B$234="Да",IF(OR(('06_Сеть_и_дети'!E61-'06_Сеть_и_дети'!E89)=0,9&lt;='01_Вводные'!$B$297),0,('06_Сеть_и_дети'!E61-'06_Сеть_и_дети'!E89)*IF('01_Вводные'!$B$239="Да",MeanMinAge09+'19_Расчет_аналитики'!E4608*SUMIF(ThresholdAge09,"&lt;"&amp;'19_Расчет_аналитики'!E4608,WeightedRevAge09)-SUMIF(ThresholdAge09,"&lt;"&amp;'19_Расчет_аналитики'!E4608,WeightedMinAge09),MAX(CapacityAge09*'01_Вводные'!$B$218*'19_Расчет_аналитики'!E4608,MeanMinAge09))),0)</f>
        <v/>
      </c>
      <c r="F4548">
        <f>IF('01_Вводные'!$B$234="Да",IF(OR(('06_Сеть_и_дети'!F61-'06_Сеть_и_дети'!F89)=0,9&lt;='01_Вводные'!$B$297),0,('06_Сеть_и_дети'!F61-'06_Сеть_и_дети'!F89)*IF('01_Вводные'!$B$239="Да",MeanMinAge09+'19_Расчет_аналитики'!F4608*SUMIF(ThresholdAge09,"&lt;"&amp;'19_Расчет_аналитики'!F4608,WeightedRevAge09)-SUMIF(ThresholdAge09,"&lt;"&amp;'19_Расчет_аналитики'!F4608,WeightedMinAge09),MAX(CapacityAge09*'01_Вводные'!$B$218*'19_Расчет_аналитики'!F4608,MeanMinAge09))),0)</f>
        <v/>
      </c>
      <c r="G4548">
        <f>IF('01_Вводные'!$B$234="Да",IF(OR(('06_Сеть_и_дети'!G61-'06_Сеть_и_дети'!G89)=0,9&lt;='01_Вводные'!$B$297),0,('06_Сеть_и_дети'!G61-'06_Сеть_и_дети'!G89)*IF('01_Вводные'!$B$239="Да",MeanMinAge09+'19_Расчет_аналитики'!G4608*SUMIF(ThresholdAge09,"&lt;"&amp;'19_Расчет_аналитики'!G4608,WeightedRevAge09)-SUMIF(ThresholdAge09,"&lt;"&amp;'19_Расчет_аналитики'!G4608,WeightedMinAge09),MAX(CapacityAge09*'01_Вводные'!$B$218*'19_Расчет_аналитики'!G4608,MeanMinAge09))),0)</f>
        <v/>
      </c>
      <c r="H4548">
        <f>IF('01_Вводные'!$B$234="Да",IF(OR(('06_Сеть_и_дети'!H61-'06_Сеть_и_дети'!H89)=0,9&lt;='01_Вводные'!$B$297),0,('06_Сеть_и_дети'!H61-'06_Сеть_и_дети'!H89)*IF('01_Вводные'!$B$239="Да",MeanMinAge09+'19_Расчет_аналитики'!H4608*SUMIF(ThresholdAge09,"&lt;"&amp;'19_Расчет_аналитики'!H4608,WeightedRevAge09)-SUMIF(ThresholdAge09,"&lt;"&amp;'19_Расчет_аналитики'!H4608,WeightedMinAge09),MAX(CapacityAge09*'01_Вводные'!$B$218*'19_Расчет_аналитики'!H4608,MeanMinAge09))),0)</f>
        <v/>
      </c>
      <c r="I4548">
        <f>IF('01_Вводные'!$B$234="Да",IF(OR(('06_Сеть_и_дети'!I61-'06_Сеть_и_дети'!I89)=0,9&lt;='01_Вводные'!$B$297),0,('06_Сеть_и_дети'!I61-'06_Сеть_и_дети'!I89)*IF('01_Вводные'!$B$239="Да",MeanMinAge09+'19_Расчет_аналитики'!I4608*SUMIF(ThresholdAge09,"&lt;"&amp;'19_Расчет_аналитики'!I4608,WeightedRevAge09)-SUMIF(ThresholdAge09,"&lt;"&amp;'19_Расчет_аналитики'!I4608,WeightedMinAge09),MAX(CapacityAge09*'01_Вводные'!$B$218*'19_Расчет_аналитики'!I4608,MeanMinAge09))),0)</f>
        <v/>
      </c>
      <c r="J4548">
        <f>IF('01_Вводные'!$B$234="Да",IF(OR(('19_Расчет_аналитики'!J4464-'19_Расчет_аналитики'!J4492)=0,9&lt;='01_Вводные'!$B$297),0,('19_Расчет_аналитики'!J4464-'19_Расчет_аналитики'!J4492)*IF('01_Вводные'!$B$239="Да",MeanMinAge09+'19_Расчет_аналитики'!J4608*SUMIF(ThresholdAge09,"&lt;"&amp;'19_Расчет_аналитики'!J4608,WeightedRevAge09)-SUMIF(ThresholdAge09,"&lt;"&amp;'19_Расчет_аналитики'!J4608,WeightedMinAge09),MAX(CapacityAge09*'01_Вводные'!$B$218*'19_Расчет_аналитики'!J4608,MeanMinAge09))),0)</f>
        <v/>
      </c>
      <c r="K4548">
        <f>IF('01_Вводные'!$B$234="Да",IF(OR(('19_Расчет_аналитики'!K4464-'19_Расчет_аналитики'!K4492)=0,9&lt;='01_Вводные'!$B$297),0,('19_Расчет_аналитики'!K4464-'19_Расчет_аналитики'!K4492)*IF('01_Вводные'!$B$239="Да",MeanMinAge09+'19_Расчет_аналитики'!K4608*SUMIF(ThresholdAge09,"&lt;"&amp;'19_Расчет_аналитики'!K4608,WeightedRevAge09)-SUMIF(ThresholdAge09,"&lt;"&amp;'19_Расчет_аналитики'!K4608,WeightedMinAge09),MAX(CapacityAge09*'01_Вводные'!$B$218*'19_Расчет_аналитики'!K4608,MeanMinAge09))),0)</f>
        <v/>
      </c>
      <c r="L4548">
        <f>IF('01_Вводные'!$B$234="Да",IF(OR(('19_Расчет_аналитики'!L4464-'19_Расчет_аналитики'!L4492)=0,9&lt;='01_Вводные'!$B$297),0,('19_Расчет_аналитики'!L4464-'19_Расчет_аналитики'!L4492)*IF('01_Вводные'!$B$239="Да",MeanMinAge09+'19_Расчет_аналитики'!L4608*SUMIF(ThresholdAge09,"&lt;"&amp;'19_Расчет_аналитики'!L4608,WeightedRevAge09)-SUMIF(ThresholdAge09,"&lt;"&amp;'19_Расчет_аналитики'!L4608,WeightedMinAge09),MAX(CapacityAge09*'01_Вводные'!$B$218*'19_Расчет_аналитики'!L4608,MeanMinAge09))),0)</f>
        <v/>
      </c>
      <c r="M4548">
        <f>IF('01_Вводные'!$B$234="Да",IF(OR(('19_Расчет_аналитики'!M4464-'19_Расчет_аналитики'!M4492)=0,9&lt;='01_Вводные'!$B$297),0,('19_Расчет_аналитики'!M4464-'19_Расчет_аналитики'!M4492)*IF('01_Вводные'!$B$239="Да",MeanMinAge09+'19_Расчет_аналитики'!M4608*SUMIF(ThresholdAge09,"&lt;"&amp;'19_Расчет_аналитики'!M4608,WeightedRevAge09)-SUMIF(ThresholdAge09,"&lt;"&amp;'19_Расчет_аналитики'!M4608,WeightedMinAge09),MAX(CapacityAge09*'01_Вводные'!$B$218*'19_Расчет_аналитики'!M4608,MeanMinAge09))),0)</f>
        <v/>
      </c>
      <c r="N4548">
        <f>IF('01_Вводные'!$B$234="Да",IF(OR(('19_Расчет_аналитики'!N4464-'19_Расчет_аналитики'!N4492)=0,9&lt;='01_Вводные'!$B$297),0,('19_Расчет_аналитики'!N4464-'19_Расчет_аналитики'!N4492)*IF('01_Вводные'!$B$239="Да",MeanMinAge09+'19_Расчет_аналитики'!N4608*SUMIF(ThresholdAge09,"&lt;"&amp;'19_Расчет_аналитики'!N4608,WeightedRevAge09)-SUMIF(ThresholdAge09,"&lt;"&amp;'19_Расчет_аналитики'!N4608,WeightedMinAge09),MAX(CapacityAge09*'01_Вводные'!$B$218*'19_Расчет_аналитики'!N4608,MeanMinAge09))),0)</f>
        <v/>
      </c>
      <c r="O4548">
        <f>IF('01_Вводные'!$B$234="Да",IF(OR(('19_Расчет_аналитики'!O4464-'19_Расчет_аналитики'!O4492)=0,9&lt;='01_Вводные'!$B$297),0,('19_Расчет_аналитики'!O4464-'19_Расчет_аналитики'!O4492)*IF('01_Вводные'!$B$239="Да",MeanMinAge09+'19_Расчет_аналитики'!O4608*SUMIF(ThresholdAge09,"&lt;"&amp;'19_Расчет_аналитики'!O4608,WeightedRevAge09)-SUMIF(ThresholdAge09,"&lt;"&amp;'19_Расчет_аналитики'!O4608,WeightedMinAge09),MAX(CapacityAge09*'01_Вводные'!$B$218*'19_Расчет_аналитики'!O4608,MeanMinAge09))),0)</f>
        <v/>
      </c>
      <c r="P4548">
        <f>IF('01_Вводные'!$B$234="Да",IF(OR(('19_Расчет_аналитики'!P4464-'19_Расчет_аналитики'!P4492)=0,9&lt;='01_Вводные'!$B$297),0,('19_Расчет_аналитики'!P4464-'19_Расчет_аналитики'!P4492)*IF('01_Вводные'!$B$239="Да",MeanMinAge09+'19_Расчет_аналитики'!P4608*SUMIF(ThresholdAge09,"&lt;"&amp;'19_Расчет_аналитики'!P4608,WeightedRevAge09)-SUMIF(ThresholdAge09,"&lt;"&amp;'19_Расчет_аналитики'!P4608,WeightedMinAge09),MAX(CapacityAge09*'01_Вводные'!$B$218*'19_Расчет_аналитики'!P4608,MeanMinAge09))),0)</f>
        <v/>
      </c>
      <c r="Q4548">
        <f>IF('01_Вводные'!$B$234="Да",IF(OR(('19_Расчет_аналитики'!Q4464-'19_Расчет_аналитики'!Q4492)=0,9&lt;='01_Вводные'!$B$297),0,('19_Расчет_аналитики'!Q4464-'19_Расчет_аналитики'!Q4492)*IF('01_Вводные'!$B$239="Да",MeanMinAge09+'19_Расчет_аналитики'!Q4608*SUMIF(ThresholdAge09,"&lt;"&amp;'19_Расчет_аналитики'!Q4608,WeightedRevAge09)-SUMIF(ThresholdAge09,"&lt;"&amp;'19_Расчет_аналитики'!Q4608,WeightedMinAge09),MAX(CapacityAge09*'01_Вводные'!$B$218*'19_Расчет_аналитики'!Q4608,MeanMinAge09))),0)</f>
        <v/>
      </c>
      <c r="R4548">
        <f>IF('01_Вводные'!$B$234="Да",IF(OR(('19_Расчет_аналитики'!R4464-'19_Расчет_аналитики'!R4492)=0,9&lt;='01_Вводные'!$B$297),0,('19_Расчет_аналитики'!R4464-'19_Расчет_аналитики'!R4492)*IF('01_Вводные'!$B$239="Да",MeanMinAge09+'19_Расчет_аналитики'!R4608*SUMIF(ThresholdAge09,"&lt;"&amp;'19_Расчет_аналитики'!R4608,WeightedRevAge09)-SUMIF(ThresholdAge09,"&lt;"&amp;'19_Расчет_аналитики'!R4608,WeightedMinAge09),MAX(CapacityAge09*'01_Вводные'!$B$218*'19_Расчет_аналитики'!R4608,MeanMinAge09))),0)</f>
        <v/>
      </c>
      <c r="S4548">
        <f>IF('01_Вводные'!$B$234="Да",IF(OR(('19_Расчет_аналитики'!S4464-'19_Расчет_аналитики'!S4492)=0,9&lt;='01_Вводные'!$B$297),0,('19_Расчет_аналитики'!S4464-'19_Расчет_аналитики'!S4492)*IF('01_Вводные'!$B$239="Да",MeanMinAge09+'19_Расчет_аналитики'!S4608*SUMIF(ThresholdAge09,"&lt;"&amp;'19_Расчет_аналитики'!S4608,WeightedRevAge09)-SUMIF(ThresholdAge09,"&lt;"&amp;'19_Расчет_аналитики'!S4608,WeightedMinAge09),MAX(CapacityAge09*'01_Вводные'!$B$218*'19_Расчет_аналитики'!S4608,MeanMinAge09))),0)</f>
        <v/>
      </c>
      <c r="T4548">
        <f>IF('01_Вводные'!$B$234="Да",IF(OR(('19_Расчет_аналитики'!T4464-'19_Расчет_аналитики'!T4492)=0,9&lt;='01_Вводные'!$B$297),0,('19_Расчет_аналитики'!T4464-'19_Расчет_аналитики'!T4492)*IF('01_Вводные'!$B$239="Да",MeanMinAge09+'19_Расчет_аналитики'!T4608*SUMIF(ThresholdAge09,"&lt;"&amp;'19_Расчет_аналитики'!T4608,WeightedRevAge09)-SUMIF(ThresholdAge09,"&lt;"&amp;'19_Расчет_аналитики'!T4608,WeightedMinAge09),MAX(CapacityAge09*'01_Вводные'!$B$218*'19_Расчет_аналитики'!T4608,MeanMinAge09))),0)</f>
        <v/>
      </c>
      <c r="U4548">
        <f>IF('01_Вводные'!$B$234="Да",IF(OR(('19_Расчет_аналитики'!U4464-'19_Расчет_аналитики'!U4492)=0,9&lt;='01_Вводные'!$B$297),0,('19_Расчет_аналитики'!U4464-'19_Расчет_аналитики'!U4492)*IF('01_Вводные'!$B$239="Да",MeanMinAge09+'19_Расчет_аналитики'!U4608*SUMIF(ThresholdAge09,"&lt;"&amp;'19_Расчет_аналитики'!U4608,WeightedRevAge09)-SUMIF(ThresholdAge09,"&lt;"&amp;'19_Расчет_аналитики'!U4608,WeightedMinAge09),MAX(CapacityAge09*'01_Вводные'!$B$218*'19_Расчет_аналитики'!U4608,MeanMinAge09))),0)</f>
        <v/>
      </c>
      <c r="V4548">
        <f>IF('01_Вводные'!$B$234="Да",IF(OR(('19_Расчет_аналитики'!V4464-'19_Расчет_аналитики'!V4492)=0,9&lt;='01_Вводные'!$B$297),0,('19_Расчет_аналитики'!V4464-'19_Расчет_аналитики'!V4492)*IF('01_Вводные'!$B$239="Да",MeanMinAge09+'19_Расчет_аналитики'!V4608*SUMIF(ThresholdAge09,"&lt;"&amp;'19_Расчет_аналитики'!V4608,WeightedRevAge09)-SUMIF(ThresholdAge09,"&lt;"&amp;'19_Расчет_аналитики'!V4608,WeightedMinAge09),MAX(CapacityAge09*'01_Вводные'!$B$218*'19_Расчет_аналитики'!V4608,MeanMinAge09))),0)</f>
        <v/>
      </c>
      <c r="W4548">
        <f>IF('01_Вводные'!$B$234="Да",IF(OR(('19_Расчет_аналитики'!W4464-'19_Расчет_аналитики'!W4492)=0,9&lt;='01_Вводные'!$B$297),0,('19_Расчет_аналитики'!W4464-'19_Расчет_аналитики'!W4492)*IF('01_Вводные'!$B$239="Да",MeanMinAge09+'19_Расчет_аналитики'!W4608*SUMIF(ThresholdAge09,"&lt;"&amp;'19_Расчет_аналитики'!W4608,WeightedRevAge09)-SUMIF(ThresholdAge09,"&lt;"&amp;'19_Расчет_аналитики'!W4608,WeightedMinAge09),MAX(CapacityAge09*'01_Вводные'!$B$218*'19_Расчет_аналитики'!W4608,MeanMinAge09))),0)</f>
        <v/>
      </c>
      <c r="X4548">
        <f>IF('01_Вводные'!$B$234="Да",IF(OR(('19_Расчет_аналитики'!X4464-'19_Расчет_аналитики'!X4492)=0,9&lt;='01_Вводные'!$B$297),0,('19_Расчет_аналитики'!X4464-'19_Расчет_аналитики'!X4492)*IF('01_Вводные'!$B$239="Да",MeanMinAge09+'19_Расчет_аналитики'!X4608*SUMIF(ThresholdAge09,"&lt;"&amp;'19_Расчет_аналитики'!X4608,WeightedRevAge09)-SUMIF(ThresholdAge09,"&lt;"&amp;'19_Расчет_аналитики'!X4608,WeightedMinAge09),MAX(CapacityAge09*'01_Вводные'!$B$218*'19_Расчет_аналитики'!X4608,MeanMinAge09))),0)</f>
        <v/>
      </c>
      <c r="Y4548">
        <f>IF('01_Вводные'!$B$234="Да",IF(OR(('19_Расчет_аналитики'!Y4464-'19_Расчет_аналитики'!Y4492)=0,9&lt;='01_Вводные'!$B$297),0,('19_Расчет_аналитики'!Y4464-'19_Расчет_аналитики'!Y4492)*IF('01_Вводные'!$B$239="Да",MeanMinAge09+'19_Расчет_аналитики'!Y4608*SUMIF(ThresholdAge09,"&lt;"&amp;'19_Расчет_аналитики'!Y4608,WeightedRevAge09)-SUMIF(ThresholdAge09,"&lt;"&amp;'19_Расчет_аналитики'!Y4608,WeightedMinAge09),MAX(CapacityAge09*'01_Вводные'!$B$218*'19_Расчет_аналитики'!Y4608,MeanMinAge09))),0)</f>
        <v/>
      </c>
      <c r="Z4548">
        <f>IF('01_Вводные'!$B$234="Да",IF(OR(('19_Расчет_аналитики'!Z4464-'19_Расчет_аналитики'!Z4492)=0,9&lt;='01_Вводные'!$B$297),0,('19_Расчет_аналитики'!Z4464-'19_Расчет_аналитики'!Z4492)*IF('01_Вводные'!$B$239="Да",MeanMinAge09+'19_Расчет_аналитики'!Z4608*SUMIF(ThresholdAge09,"&lt;"&amp;'19_Расчет_аналитики'!Z4608,WeightedRevAge09)-SUMIF(ThresholdAge09,"&lt;"&amp;'19_Расчет_аналитики'!Z4608,WeightedMinAge09),MAX(CapacityAge09*'01_Вводные'!$B$218*'19_Расчет_аналитики'!Z4608,MeanMinAge09))),0)</f>
        <v/>
      </c>
      <c r="AA4548">
        <f>IF('01_Вводные'!$B$234="Да",IF(OR(('19_Расчет_аналитики'!AA4464-'19_Расчет_аналитики'!AA4492)=0,9&lt;='01_Вводные'!$B$297),0,('19_Расчет_аналитики'!AA4464-'19_Расчет_аналитики'!AA4492)*IF('01_Вводные'!$B$239="Да",MeanMinAge09+'19_Расчет_аналитики'!AA4608*SUMIF(ThresholdAge09,"&lt;"&amp;'19_Расчет_аналитики'!AA4608,WeightedRevAge09)-SUMIF(ThresholdAge09,"&lt;"&amp;'19_Расчет_аналитики'!AA4608,WeightedMinAge09),MAX(CapacityAge09*'01_Вводные'!$B$218*'19_Расчет_аналитики'!AA4608,MeanMinAge09))),0)</f>
        <v/>
      </c>
      <c r="AB4548">
        <f>IF('01_Вводные'!$B$234="Да",IF(OR(('19_Расчет_аналитики'!AB4464-'19_Расчет_аналитики'!AB4492)=0,9&lt;='01_Вводные'!$B$297),0,('19_Расчет_аналитики'!AB4464-'19_Расчет_аналитики'!AB4492)*IF('01_Вводные'!$B$239="Да",MeanMinAge09+'19_Расчет_аналитики'!AB4608*SUMIF(ThresholdAge09,"&lt;"&amp;'19_Расчет_аналитики'!AB4608,WeightedRevAge09)-SUMIF(ThresholdAge09,"&lt;"&amp;'19_Расчет_аналитики'!AB4608,WeightedMinAge09),MAX(CapacityAge09*'01_Вводные'!$B$218*'19_Расчет_аналитики'!AB4608,MeanMinAge09))),0)</f>
        <v/>
      </c>
      <c r="AC4548">
        <f>IF('01_Вводные'!$B$234="Да",IF(OR(('19_Расчет_аналитики'!AC4464-'19_Расчет_аналитики'!AC4492)=0,9&lt;='01_Вводные'!$B$297),0,('19_Расчет_аналитики'!AC4464-'19_Расчет_аналитики'!AC4492)*IF('01_Вводные'!$B$239="Да",MeanMinAge09+'19_Расчет_аналитики'!AC4608*SUMIF(ThresholdAge09,"&lt;"&amp;'19_Расчет_аналитики'!AC4608,WeightedRevAge09)-SUMIF(ThresholdAge09,"&lt;"&amp;'19_Расчет_аналитики'!AC4608,WeightedMinAge09),MAX(CapacityAge09*'01_Вводные'!$B$218*'19_Расчет_аналитики'!AC4608,MeanMinAge09))),0)</f>
        <v/>
      </c>
      <c r="AD4548">
        <f>IF('01_Вводные'!$B$234="Да",IF(OR(('19_Расчет_аналитики'!AD4464-'19_Расчет_аналитики'!AD4492)=0,9&lt;='01_Вводные'!$B$297),0,('19_Расчет_аналитики'!AD4464-'19_Расчет_аналитики'!AD4492)*IF('01_Вводные'!$B$239="Да",MeanMinAge09+'19_Расчет_аналитики'!AD4608*SUMIF(ThresholdAge09,"&lt;"&amp;'19_Расчет_аналитики'!AD4608,WeightedRevAge09)-SUMIF(ThresholdAge09,"&lt;"&amp;'19_Расчет_аналитики'!AD4608,WeightedMinAge09),MAX(CapacityAge09*'01_Вводные'!$B$218*'19_Расчет_аналитики'!AD4608,MeanMinAge09))),0)</f>
        <v/>
      </c>
      <c r="AE4548">
        <f>IF('01_Вводные'!$B$234="Да",IF(OR(('19_Расчет_аналитики'!AE4464-'19_Расчет_аналитики'!AE4492)=0,9&lt;='01_Вводные'!$B$297),0,('19_Расчет_аналитики'!AE4464-'19_Расчет_аналитики'!AE4492)*IF('01_Вводные'!$B$239="Да",MeanMinAge09+'19_Расчет_аналитики'!AE4608*SUMIF(ThresholdAge09,"&lt;"&amp;'19_Расчет_аналитики'!AE4608,WeightedRevAge09)-SUMIF(ThresholdAge09,"&lt;"&amp;'19_Расчет_аналитики'!AE4608,WeightedMinAge09),MAX(CapacityAge09*'01_Вводные'!$B$218*'19_Расчет_аналитики'!AE4608,MeanMinAge09))),0)</f>
        <v/>
      </c>
      <c r="AF4548">
        <f>IF('01_Вводные'!$B$234="Да",IF(OR(('19_Расчет_аналитики'!AF4464-'19_Расчет_аналитики'!AF4492)=0,9&lt;='01_Вводные'!$B$297),0,('19_Расчет_аналитики'!AF4464-'19_Расчет_аналитики'!AF4492)*IF('01_Вводные'!$B$239="Да",MeanMinAge09+'19_Расчет_аналитики'!AF4608*SUMIF(ThresholdAge09,"&lt;"&amp;'19_Расчет_аналитики'!AF4608,WeightedRevAge09)-SUMIF(ThresholdAge09,"&lt;"&amp;'19_Расчет_аналитики'!AF4608,WeightedMinAge09),MAX(CapacityAge09*'01_Вводные'!$B$218*'19_Расчет_аналитики'!AF4608,MeanMinAge09))),0)</f>
        <v/>
      </c>
      <c r="AG4548">
        <f>IF('01_Вводные'!$B$234="Да",IF(OR(('19_Расчет_аналитики'!AG4464-'19_Расчет_аналитики'!AG4492)=0,9&lt;='01_Вводные'!$B$297),0,('19_Расчет_аналитики'!AG4464-'19_Расчет_аналитики'!AG4492)*IF('01_Вводные'!$B$239="Да",MeanMinAge09+'19_Расчет_аналитики'!AG4608*SUMIF(ThresholdAge09,"&lt;"&amp;'19_Расчет_аналитики'!AG4608,WeightedRevAge09)-SUMIF(ThresholdAge09,"&lt;"&amp;'19_Расчет_аналитики'!AG4608,WeightedMinAge09),MAX(CapacityAge09*'01_Вводные'!$B$218*'19_Расчет_аналитики'!AG4608,MeanMinAge09))),0)</f>
        <v/>
      </c>
      <c r="AH4548">
        <f>IF('01_Вводные'!$B$234="Да",IF(OR(('19_Расчет_аналитики'!AH4464-'19_Расчет_аналитики'!AH4492)=0,9&lt;='01_Вводные'!$B$297),0,('19_Расчет_аналитики'!AH4464-'19_Расчет_аналитики'!AH4492)*IF('01_Вводные'!$B$239="Да",MeanMinAge09+'19_Расчет_аналитики'!AH4608*SUMIF(ThresholdAge09,"&lt;"&amp;'19_Расчет_аналитики'!AH4608,WeightedRevAge09)-SUMIF(ThresholdAge09,"&lt;"&amp;'19_Расчет_аналитики'!AH4608,WeightedMinAge09),MAX(CapacityAge09*'01_Вводные'!$B$218*'19_Расчет_аналитики'!AH4608,MeanMinAge09))),0)</f>
        <v/>
      </c>
      <c r="AI4548">
        <f>IF('01_Вводные'!$B$234="Да",IF(OR(('19_Расчет_аналитики'!AI4464-'19_Расчет_аналитики'!AI4492)=0,9&lt;='01_Вводные'!$B$297),0,('19_Расчет_аналитики'!AI4464-'19_Расчет_аналитики'!AI4492)*IF('01_Вводные'!$B$239="Да",MeanMinAge09+'19_Расчет_аналитики'!AI4608*SUMIF(ThresholdAge09,"&lt;"&amp;'19_Расчет_аналитики'!AI4608,WeightedRevAge09)-SUMIF(ThresholdAge09,"&lt;"&amp;'19_Расчет_аналитики'!AI4608,WeightedMinAge09),MAX(CapacityAge09*'01_Вводные'!$B$218*'19_Расчет_аналитики'!AI4608,MeanMinAge09))),0)</f>
        <v/>
      </c>
      <c r="AJ4548">
        <f>IF('01_Вводные'!$B$234="Да",IF(OR(('19_Расчет_аналитики'!AJ4464-'19_Расчет_аналитики'!AJ4492)=0,9&lt;='01_Вводные'!$B$297),0,('19_Расчет_аналитики'!AJ4464-'19_Расчет_аналитики'!AJ4492)*IF('01_Вводные'!$B$239="Да",MeanMinAge09+'19_Расчет_аналитики'!AJ4608*SUMIF(ThresholdAge09,"&lt;"&amp;'19_Расчет_аналитики'!AJ4608,WeightedRevAge09)-SUMIF(ThresholdAge09,"&lt;"&amp;'19_Расчет_аналитики'!AJ4608,WeightedMinAge09),MAX(CapacityAge09*'01_Вводные'!$B$218*'19_Расчет_аналитики'!AJ4608,MeanMinAge09))),0)</f>
        <v/>
      </c>
      <c r="AK4548">
        <f>IF('01_Вводные'!$B$234="Да",IF(OR(('19_Расчет_аналитики'!AK4464-'19_Расчет_аналитики'!AK4492)=0,9&lt;='01_Вводные'!$B$297),0,('19_Расчет_аналитики'!AK4464-'19_Расчет_аналитики'!AK4492)*IF('01_Вводные'!$B$239="Да",MeanMinAge09+'19_Расчет_аналитики'!AK4608*SUMIF(ThresholdAge09,"&lt;"&amp;'19_Расчет_аналитики'!AK4608,WeightedRevAge09)-SUMIF(ThresholdAge09,"&lt;"&amp;'19_Расчет_аналитики'!AK4608,WeightedMinAge09),MAX(CapacityAge09*'01_Вводные'!$B$218*'19_Расчет_аналитики'!AK4608,MeanMinAge09))),0)</f>
        <v/>
      </c>
      <c r="AL4548">
        <f>IF('01_Вводные'!$B$234="Да",IF(OR(('19_Расчет_аналитики'!AL4464-'19_Расчет_аналитики'!AL4492)=0,9&lt;='01_Вводные'!$B$297),0,('19_Расчет_аналитики'!AL4464-'19_Расчет_аналитики'!AL4492)*IF('01_Вводные'!$B$239="Да",MeanMinAge09+'19_Расчет_аналитики'!AL4608*SUMIF(ThresholdAge09,"&lt;"&amp;'19_Расчет_аналитики'!AL4608,WeightedRevAge09)-SUMIF(ThresholdAge09,"&lt;"&amp;'19_Расчет_аналитики'!AL4608,WeightedMinAge09),MAX(CapacityAge09*'01_Вводные'!$B$218*'19_Расчет_аналитики'!AL4608,MeanMinAge09))),0)</f>
        <v/>
      </c>
      <c r="AM4548">
        <f>IF('01_Вводные'!$B$234="Да",IF(OR(('19_Расчет_аналитики'!AM4464-'19_Расчет_аналитики'!AM4492)=0,9&lt;='01_Вводные'!$B$297),0,('19_Расчет_аналитики'!AM4464-'19_Расчет_аналитики'!AM4492)*IF('01_Вводные'!$B$239="Да",MeanMinAge09+'19_Расчет_аналитики'!AM4608*SUMIF(ThresholdAge09,"&lt;"&amp;'19_Расчет_аналитики'!AM4608,WeightedRevAge09)-SUMIF(ThresholdAge09,"&lt;"&amp;'19_Расчет_аналитики'!AM4608,WeightedMinAge09),MAX(CapacityAge09*'01_Вводные'!$B$218*'19_Расчет_аналитики'!AM4608,MeanMinAge09))),0)</f>
        <v/>
      </c>
      <c r="AN4548">
        <f>IF('01_Вводные'!$B$234="Да",IF(OR(('19_Расчет_аналитики'!AN4464-'19_Расчет_аналитики'!AN4492)=0,9&lt;='01_Вводные'!$B$297),0,('19_Расчет_аналитики'!AN4464-'19_Расчет_аналитики'!AN4492)*IF('01_Вводные'!$B$239="Да",MeanMinAge09+'19_Расчет_аналитики'!AN4608*SUMIF(ThresholdAge09,"&lt;"&amp;'19_Расчет_аналитики'!AN4608,WeightedRevAge09)-SUMIF(ThresholdAge09,"&lt;"&amp;'19_Расчет_аналитики'!AN4608,WeightedMinAge09),MAX(CapacityAge09*'01_Вводные'!$B$218*'19_Расчет_аналитики'!AN4608,MeanMinAge09))),0)</f>
        <v/>
      </c>
      <c r="AO4548">
        <f>IF('01_Вводные'!$B$234="Да",IF(OR(('19_Расчет_аналитики'!AO4464-'19_Расчет_аналитики'!AO4492)=0,9&lt;='01_Вводные'!$B$297),0,('19_Расчет_аналитики'!AO4464-'19_Расчет_аналитики'!AO4492)*IF('01_Вводные'!$B$239="Да",MeanMinAge09+'19_Расчет_аналитики'!AO4608*SUMIF(ThresholdAge09,"&lt;"&amp;'19_Расчет_аналитики'!AO4608,WeightedRevAge09)-SUMIF(ThresholdAge09,"&lt;"&amp;'19_Расчет_аналитики'!AO4608,WeightedMinAge09),MAX(CapacityAge09*'01_Вводные'!$B$218*'19_Расчет_аналитики'!AO4608,MeanMinAge09))),0)</f>
        <v/>
      </c>
      <c r="AP4548">
        <f>IF('01_Вводные'!$B$234="Да",IF(OR(('19_Расчет_аналитики'!AP4464-'19_Расчет_аналитики'!AP4492)=0,9&lt;='01_Вводные'!$B$297),0,('19_Расчет_аналитики'!AP4464-'19_Расчет_аналитики'!AP4492)*IF('01_Вводные'!$B$239="Да",MeanMinAge09+'19_Расчет_аналитики'!AP4608*SUMIF(ThresholdAge09,"&lt;"&amp;'19_Расчет_аналитики'!AP4608,WeightedRevAge09)-SUMIF(ThresholdAge09,"&lt;"&amp;'19_Расчет_аналитики'!AP4608,WeightedMinAge09),MAX(CapacityAge09*'01_Вводные'!$B$218*'19_Расчет_аналитики'!AP4608,MeanMinAge09))),0)</f>
        <v/>
      </c>
      <c r="AQ4548">
        <f>IF('01_Вводные'!$B$234="Да",IF(OR(('19_Расчет_аналитики'!AQ4464-'19_Расчет_аналитики'!AQ4492)=0,9&lt;='01_Вводные'!$B$297),0,('19_Расчет_аналитики'!AQ4464-'19_Расчет_аналитики'!AQ4492)*IF('01_Вводные'!$B$239="Да",MeanMinAge09+'19_Расчет_аналитики'!AQ4608*SUMIF(ThresholdAge09,"&lt;"&amp;'19_Расчет_аналитики'!AQ4608,WeightedRevAge09)-SUMIF(ThresholdAge09,"&lt;"&amp;'19_Расчет_аналитики'!AQ4608,WeightedMinAge09),MAX(CapacityAge09*'01_Вводные'!$B$218*'19_Расчет_аналитики'!AQ4608,MeanMinAge09))),0)</f>
        <v/>
      </c>
      <c r="AR4548">
        <f>IF('01_Вводные'!$B$234="Да",IF(OR(('19_Расчет_аналитики'!AR4464-'19_Расчет_аналитики'!AR4492)=0,9&lt;='01_Вводные'!$B$297),0,('19_Расчет_аналитики'!AR4464-'19_Расчет_аналитики'!AR4492)*IF('01_Вводные'!$B$239="Да",MeanMinAge09+'19_Расчет_аналитики'!AR4608*SUMIF(ThresholdAge09,"&lt;"&amp;'19_Расчет_аналитики'!AR4608,WeightedRevAge09)-SUMIF(ThresholdAge09,"&lt;"&amp;'19_Расчет_аналитики'!AR4608,WeightedMinAge09),MAX(CapacityAge09*'01_Вводные'!$B$218*'19_Расчет_аналитики'!AR4608,MeanMinAge09))),0)</f>
        <v/>
      </c>
      <c r="AS4548">
        <f>IF('01_Вводные'!$B$234="Да",IF(OR(('19_Расчет_аналитики'!AS4464-'19_Расчет_аналитики'!AS4492)=0,9&lt;='01_Вводные'!$B$297),0,('19_Расчет_аналитики'!AS4464-'19_Расчет_аналитики'!AS4492)*IF('01_Вводные'!$B$239="Да",MeanMinAge09+'19_Расчет_аналитики'!AS4608*SUMIF(ThresholdAge09,"&lt;"&amp;'19_Расчет_аналитики'!AS4608,WeightedRevAge09)-SUMIF(ThresholdAge09,"&lt;"&amp;'19_Расчет_аналитики'!AS4608,WeightedMinAge09),MAX(CapacityAge09*'01_Вводные'!$B$218*'19_Расчет_аналитики'!AS4608,MeanMinAge09))),0)</f>
        <v/>
      </c>
      <c r="AT4548">
        <f>IF('01_Вводные'!$B$234="Да",IF(OR(('19_Расчет_аналитики'!AT4464-'19_Расчет_аналитики'!AT4492)=0,9&lt;='01_Вводные'!$B$297),0,('19_Расчет_аналитики'!AT4464-'19_Расчет_аналитики'!AT4492)*IF('01_Вводные'!$B$239="Да",MeanMinAge09+'19_Расчет_аналитики'!AT4608*SUMIF(ThresholdAge09,"&lt;"&amp;'19_Расчет_аналитики'!AT4608,WeightedRevAge09)-SUMIF(ThresholdAge09,"&lt;"&amp;'19_Расчет_аналитики'!AT4608,WeightedMinAge09),MAX(CapacityAge09*'01_Вводные'!$B$218*'19_Расчет_аналитики'!AT4608,MeanMinAge09))),0)</f>
        <v/>
      </c>
      <c r="AU4548">
        <f>IF('01_Вводные'!$B$234="Да",IF(OR(('19_Расчет_аналитики'!AU4464-'19_Расчет_аналитики'!AU4492)=0,9&lt;='01_Вводные'!$B$297),0,('19_Расчет_аналитики'!AU4464-'19_Расчет_аналитики'!AU4492)*IF('01_Вводные'!$B$239="Да",MeanMinAge09+'19_Расчет_аналитики'!AU4608*SUMIF(ThresholdAge09,"&lt;"&amp;'19_Расчет_аналитики'!AU4608,WeightedRevAge09)-SUMIF(ThresholdAge09,"&lt;"&amp;'19_Расчет_аналитики'!AU4608,WeightedMinAge09),MAX(CapacityAge09*'01_Вводные'!$B$218*'19_Расчет_аналитики'!AU4608,MeanMinAge09))),0)</f>
        <v/>
      </c>
      <c r="AV4548">
        <f>IF('01_Вводные'!$B$234="Да",IF(OR(('19_Расчет_аналитики'!AV4464-'19_Расчет_аналитики'!AV4492)=0,9&lt;='01_Вводные'!$B$297),0,('19_Расчет_аналитики'!AV4464-'19_Расчет_аналитики'!AV4492)*IF('01_Вводные'!$B$239="Да",MeanMinAge09+'19_Расчет_аналитики'!AV4608*SUMIF(ThresholdAge09,"&lt;"&amp;'19_Расчет_аналитики'!AV4608,WeightedRevAge09)-SUMIF(ThresholdAge09,"&lt;"&amp;'19_Расчет_аналитики'!AV4608,WeightedMinAge09),MAX(CapacityAge09*'01_Вводные'!$B$218*'19_Расчет_аналитики'!AV4608,MeanMinAge09))),0)</f>
        <v/>
      </c>
      <c r="AW4548">
        <f>IF('01_Вводные'!$B$234="Да",IF(OR(('19_Расчет_аналитики'!AW4464-'19_Расчет_аналитики'!AW4492)=0,9&lt;='01_Вводные'!$B$297),0,('19_Расчет_аналитики'!AW4464-'19_Расчет_аналитики'!AW4492)*IF('01_Вводные'!$B$239="Да",MeanMinAge09+'19_Расчет_аналитики'!AW4608*SUMIF(ThresholdAge09,"&lt;"&amp;'19_Расчет_аналитики'!AW4608,WeightedRevAge09)-SUMIF(ThresholdAge09,"&lt;"&amp;'19_Расчет_аналитики'!AW4608,WeightedMinAge09),MAX(CapacityAge09*'01_Вводные'!$B$218*'19_Расчет_аналитики'!AW4608,MeanMinAge09))),0)</f>
        <v/>
      </c>
      <c r="AX4548">
        <f>IF('01_Вводные'!$B$234="Да",IF(OR(('19_Расчет_аналитики'!AX4464-'19_Расчет_аналитики'!AX4492)=0,9&lt;='01_Вводные'!$B$297),0,('19_Расчет_аналитики'!AX4464-'19_Расчет_аналитики'!AX4492)*IF('01_Вводные'!$B$239="Да",MeanMinAge09+'19_Расчет_аналитики'!AX4608*SUMIF(ThresholdAge09,"&lt;"&amp;'19_Расчет_аналитики'!AX4608,WeightedRevAge09)-SUMIF(ThresholdAge09,"&lt;"&amp;'19_Расчет_аналитики'!AX4608,WeightedMinAge09),MAX(CapacityAge09*'01_Вводные'!$B$218*'19_Расчет_аналитики'!AX4608,MeanMinAge09))),0)</f>
        <v/>
      </c>
      <c r="AY4548">
        <f>IF('01_Вводные'!$B$234="Да",IF(OR(('19_Расчет_аналитики'!AY4464-'19_Расчет_аналитики'!AY4492)=0,9&lt;='01_Вводные'!$B$297),0,('19_Расчет_аналитики'!AY4464-'19_Расчет_аналитики'!AY4492)*IF('01_Вводные'!$B$239="Да",MeanMinAge09+'19_Расчет_аналитики'!AY4608*SUMIF(ThresholdAge09,"&lt;"&amp;'19_Расчет_аналитики'!AY4608,WeightedRevAge09)-SUMIF(ThresholdAge09,"&lt;"&amp;'19_Расчет_аналитики'!AY4608,WeightedMinAge09),MAX(CapacityAge09*'01_Вводные'!$B$218*'19_Расчет_аналитики'!AY4608,MeanMinAge09))),0)</f>
        <v/>
      </c>
      <c r="AZ4548">
        <f>IF('01_Вводные'!$B$234="Да",IF(OR(('19_Расчет_аналитики'!AZ4464-'19_Расчет_аналитики'!AZ4492)=0,9&lt;='01_Вводные'!$B$297),0,('19_Расчет_аналитики'!AZ4464-'19_Расчет_аналитики'!AZ4492)*IF('01_Вводные'!$B$239="Да",MeanMinAge09+'19_Расчет_аналитики'!AZ4608*SUMIF(ThresholdAge09,"&lt;"&amp;'19_Расчет_аналитики'!AZ4608,WeightedRevAge09)-SUMIF(ThresholdAge09,"&lt;"&amp;'19_Расчет_аналитики'!AZ4608,WeightedMinAge09),MAX(CapacityAge09*'01_Вводные'!$B$218*'19_Расчет_аналитики'!AZ4608,MeanMinAge09))),0)</f>
        <v/>
      </c>
      <c r="BA4548">
        <f>IF('01_Вводные'!$B$234="Да",IF(OR(('19_Расчет_аналитики'!BA4464-'19_Расчет_аналитики'!BA4492)=0,9&lt;='01_Вводные'!$B$297),0,('19_Расчет_аналитики'!BA4464-'19_Расчет_аналитики'!BA4492)*IF('01_Вводные'!$B$239="Да",MeanMinAge09+'19_Расчет_аналитики'!BA4608*SUMIF(ThresholdAge09,"&lt;"&amp;'19_Расчет_аналитики'!BA4608,WeightedRevAge09)-SUMIF(ThresholdAge09,"&lt;"&amp;'19_Расчет_аналитики'!BA4608,WeightedMinAge09),MAX(CapacityAge09*'01_Вводные'!$B$218*'19_Расчет_аналитики'!BA4608,MeanMinAge09))),0)</f>
        <v/>
      </c>
      <c r="BB4548">
        <f>IF('01_Вводные'!$B$234="Да",IF(OR(('19_Расчет_аналитики'!BB4464-'19_Расчет_аналитики'!BB4492)=0,9&lt;='01_Вводные'!$B$297),0,('19_Расчет_аналитики'!BB4464-'19_Расчет_аналитики'!BB4492)*IF('01_Вводные'!$B$239="Да",MeanMinAge09+'19_Расчет_аналитики'!BB4608*SUMIF(ThresholdAge09,"&lt;"&amp;'19_Расчет_аналитики'!BB4608,WeightedRevAge09)-SUMIF(ThresholdAge09,"&lt;"&amp;'19_Расчет_аналитики'!BB4608,WeightedMinAge09),MAX(CapacityAge09*'01_Вводные'!$B$218*'19_Расчет_аналитики'!BB4608,MeanMinAge09))),0)</f>
        <v/>
      </c>
      <c r="BC4548">
        <f>IF('01_Вводные'!$B$234="Да",IF(OR(('19_Расчет_аналитики'!BC4464-'19_Расчет_аналитики'!BC4492)=0,9&lt;='01_Вводные'!$B$297),0,('19_Расчет_аналитики'!BC4464-'19_Расчет_аналитики'!BC4492)*IF('01_Вводные'!$B$239="Да",MeanMinAge09+'19_Расчет_аналитики'!BC4608*SUMIF(ThresholdAge09,"&lt;"&amp;'19_Расчет_аналитики'!BC4608,WeightedRevAge09)-SUMIF(ThresholdAge09,"&lt;"&amp;'19_Расчет_аналитики'!BC4608,WeightedMinAge09),MAX(CapacityAge09*'01_Вводные'!$B$218*'19_Расчет_аналитики'!BC4608,MeanMinAge09))),0)</f>
        <v/>
      </c>
      <c r="BD4548">
        <f>IF('01_Вводные'!$B$234="Да",IF(OR(('19_Расчет_аналитики'!BD4464-'19_Расчет_аналитики'!BD4492)=0,9&lt;='01_Вводные'!$B$297),0,('19_Расчет_аналитики'!BD4464-'19_Расчет_аналитики'!BD4492)*IF('01_Вводные'!$B$239="Да",MeanMinAge09+'19_Расчет_аналитики'!BD4608*SUMIF(ThresholdAge09,"&lt;"&amp;'19_Расчет_аналитики'!BD4608,WeightedRevAge09)-SUMIF(ThresholdAge09,"&lt;"&amp;'19_Расчет_аналитики'!BD4608,WeightedMinAge09),MAX(CapacityAge09*'01_Вводные'!$B$218*'19_Расчет_аналитики'!BD4608,MeanMinAge09))),0)</f>
        <v/>
      </c>
      <c r="BE4548">
        <f>IF('01_Вводные'!$B$234="Да",IF(OR(('19_Расчет_аналитики'!BE4464-'19_Расчет_аналитики'!BE4492)=0,9&lt;='01_Вводные'!$B$297),0,('19_Расчет_аналитики'!BE4464-'19_Расчет_аналитики'!BE4492)*IF('01_Вводные'!$B$239="Да",MeanMinAge09+'19_Расчет_аналитики'!BE4608*SUMIF(ThresholdAge09,"&lt;"&amp;'19_Расчет_аналитики'!BE4608,WeightedRevAge09)-SUMIF(ThresholdAge09,"&lt;"&amp;'19_Расчет_аналитики'!BE4608,WeightedMinAge09),MAX(CapacityAge09*'01_Вводные'!$B$218*'19_Расчет_аналитики'!BE4608,MeanMinAge09))),0)</f>
        <v/>
      </c>
      <c r="BF4548">
        <f>IF('01_Вводные'!$B$234="Да",IF(OR(('19_Расчет_аналитики'!BF4464-'19_Расчет_аналитики'!BF4492)=0,9&lt;='01_Вводные'!$B$297),0,('19_Расчет_аналитики'!BF4464-'19_Расчет_аналитики'!BF4492)*IF('01_Вводные'!$B$239="Да",MeanMinAge09+'19_Расчет_аналитики'!BF4608*SUMIF(ThresholdAge09,"&lt;"&amp;'19_Расчет_аналитики'!BF4608,WeightedRevAge09)-SUMIF(ThresholdAge09,"&lt;"&amp;'19_Расчет_аналитики'!BF4608,WeightedMinAge09),MAX(CapacityAge09*'01_Вводные'!$B$218*'19_Расчет_аналитики'!BF4608,MeanMinAge09))),0)</f>
        <v/>
      </c>
      <c r="BG4548">
        <f>IF('01_Вводные'!$B$234="Да",IF(OR(('19_Расчет_аналитики'!BG4464-'19_Расчет_аналитики'!BG4492)=0,9&lt;='01_Вводные'!$B$297),0,('19_Расчет_аналитики'!BG4464-'19_Расчет_аналитики'!BG4492)*IF('01_Вводные'!$B$239="Да",MeanMinAge09+'19_Расчет_аналитики'!BG4608*SUMIF(ThresholdAge09,"&lt;"&amp;'19_Расчет_аналитики'!BG4608,WeightedRevAge09)-SUMIF(ThresholdAge09,"&lt;"&amp;'19_Расчет_аналитики'!BG4608,WeightedMinAge09),MAX(CapacityAge09*'01_Вводные'!$B$218*'19_Расчет_аналитики'!BG4608,MeanMinAge09))),0)</f>
        <v/>
      </c>
      <c r="BH4548">
        <f>IF('01_Вводные'!$B$234="Да",IF(OR(('19_Расчет_аналитики'!BH4464-'19_Расчет_аналитики'!BH4492)=0,9&lt;='01_Вводные'!$B$297),0,('19_Расчет_аналитики'!BH4464-'19_Расчет_аналитики'!BH4492)*IF('01_Вводные'!$B$239="Да",MeanMinAge09+'19_Расчет_аналитики'!BH4608*SUMIF(ThresholdAge09,"&lt;"&amp;'19_Расчет_аналитики'!BH4608,WeightedRevAge09)-SUMIF(ThresholdAge09,"&lt;"&amp;'19_Расчет_аналитики'!BH4608,WeightedMinAge09),MAX(CapacityAge09*'01_Вводные'!$B$218*'19_Расчет_аналитики'!BH4608,MeanMinAge09))),0)</f>
        <v/>
      </c>
      <c r="BI4548">
        <f>IF('01_Вводные'!$B$234="Да",IF(OR(('19_Расчет_аналитики'!BI4464-'19_Расчет_аналитики'!BI4492)=0,9&lt;='01_Вводные'!$B$297),0,('19_Расчет_аналитики'!BI4464-'19_Расчет_аналитики'!BI4492)*IF('01_Вводные'!$B$239="Да",MeanMinAge09+'19_Расчет_аналитики'!BI4608*SUMIF(ThresholdAge09,"&lt;"&amp;'19_Расчет_аналитики'!BI4608,WeightedRevAge09)-SUMIF(ThresholdAge09,"&lt;"&amp;'19_Расчет_аналитики'!BI4608,WeightedMinAge09),MAX(CapacityAge09*'01_Вводные'!$B$218*'19_Расчет_аналитики'!BI4608,MeanMinAge09))),0)</f>
        <v/>
      </c>
      <c r="BJ4548">
        <f>IF('01_Вводные'!$B$234="Да",IF(OR(('19_Расчет_аналитики'!BJ4464-'19_Расчет_аналитики'!BJ4492)=0,9&lt;='01_Вводные'!$B$297),0,('19_Расчет_аналитики'!BJ4464-'19_Расчет_аналитики'!BJ4492)*IF('01_Вводные'!$B$239="Да",MeanMinAge09+'19_Расчет_аналитики'!BJ4608*SUMIF(ThresholdAge09,"&lt;"&amp;'19_Расчет_аналитики'!BJ4608,WeightedRevAge09)-SUMIF(ThresholdAge09,"&lt;"&amp;'19_Расчет_аналитики'!BJ4608,WeightedMinAge09),MAX(CapacityAge09*'01_Вводные'!$B$218*'19_Расчет_аналитики'!BJ4608,MeanMinAge09))),0)</f>
        <v/>
      </c>
      <c r="BK4548">
        <f>IF('01_Вводные'!$B$234="Да",IF(OR(('19_Расчет_аналитики'!BK4464-'19_Расчет_аналитики'!BK4492)=0,9&lt;='01_Вводные'!$B$297),0,('19_Расчет_аналитики'!BK4464-'19_Расчет_аналитики'!BK4492)*IF('01_Вводные'!$B$239="Да",MeanMinAge09+'19_Расчет_аналитики'!BK4608*SUMIF(ThresholdAge09,"&lt;"&amp;'19_Расчет_аналитики'!BK4608,WeightedRevAge09)-SUMIF(ThresholdAge09,"&lt;"&amp;'19_Расчет_аналитики'!BK4608,WeightedMinAge09),MAX(CapacityAge09*'01_Вводные'!$B$218*'19_Расчет_аналитики'!BK4608,MeanMinAge09))),0)</f>
        <v/>
      </c>
      <c r="BL4548">
        <f>IF('01_Вводные'!$B$234="Да",IF(OR(('19_Расчет_аналитики'!BL4464-'19_Расчет_аналитики'!BL4492)=0,9&lt;='01_Вводные'!$B$297),0,('19_Расчет_аналитики'!BL4464-'19_Расчет_аналитики'!BL4492)*IF('01_Вводные'!$B$239="Да",MeanMinAge09+'19_Расчет_аналитики'!BL4608*SUMIF(ThresholdAge09,"&lt;"&amp;'19_Расчет_аналитики'!BL4608,WeightedRevAge09)-SUMIF(ThresholdAge09,"&lt;"&amp;'19_Расчет_аналитики'!BL4608,WeightedMinAge09),MAX(CapacityAge09*'01_Вводные'!$B$218*'19_Расчет_аналитики'!BL4608,MeanMinAge09))),0)</f>
        <v/>
      </c>
      <c r="BM4548">
        <f>IF('01_Вводные'!$B$234="Да",IF(OR(('19_Расчет_аналитики'!BM4464-'19_Расчет_аналитики'!BM4492)=0,9&lt;='01_Вводные'!$B$297),0,('19_Расчет_аналитики'!BM4464-'19_Расчет_аналитики'!BM4492)*IF('01_Вводные'!$B$239="Да",MeanMinAge09+'19_Расчет_аналитики'!BM4608*SUMIF(ThresholdAge09,"&lt;"&amp;'19_Расчет_аналитики'!BM4608,WeightedRevAge09)-SUMIF(ThresholdAge09,"&lt;"&amp;'19_Расчет_аналитики'!BM4608,WeightedMinAge09),MAX(CapacityAge09*'01_Вводные'!$B$218*'19_Расчет_аналитики'!BM4608,MeanMinAge09))),0)</f>
        <v/>
      </c>
      <c r="BN4548">
        <f>IF('01_Вводные'!$B$234="Да",IF(OR(('19_Расчет_аналитики'!BN4464-'19_Расчет_аналитики'!BN4492)=0,9&lt;='01_Вводные'!$B$297),0,('19_Расчет_аналитики'!BN4464-'19_Расчет_аналитики'!BN4492)*IF('01_Вводные'!$B$239="Да",MeanMinAge09+'19_Расчет_аналитики'!BN4608*SUMIF(ThresholdAge09,"&lt;"&amp;'19_Расчет_аналитики'!BN4608,WeightedRevAge09)-SUMIF(ThresholdAge09,"&lt;"&amp;'19_Расчет_аналитики'!BN4608,WeightedMinAge09),MAX(CapacityAge09*'01_Вводные'!$B$218*'19_Расчет_аналитики'!BN4608,MeanMinAge09))),0)</f>
        <v/>
      </c>
      <c r="BO4548">
        <f>IF('01_Вводные'!$B$234="Да",IF(OR(('19_Расчет_аналитики'!BO4464-'19_Расчет_аналитики'!BO4492)=0,9&lt;='01_Вводные'!$B$297),0,('19_Расчет_аналитики'!BO4464-'19_Расчет_аналитики'!BO4492)*IF('01_Вводные'!$B$239="Да",MeanMinAge09+'19_Расчет_аналитики'!BO4608*SUMIF(ThresholdAge09,"&lt;"&amp;'19_Расчет_аналитики'!BO4608,WeightedRevAge09)-SUMIF(ThresholdAge09,"&lt;"&amp;'19_Расчет_аналитики'!BO4608,WeightedMinAge09),MAX(CapacityAge09*'01_Вводные'!$B$218*'19_Расчет_аналитики'!BO4608,MeanMinAge09))),0)</f>
        <v/>
      </c>
    </row>
    <row r="4549">
      <c r="B4549">
        <f>IF('01_Вводные'!$B$234="Да",IF(OR(('06_Сеть_и_дети'!B62-'06_Сеть_и_дети'!B90)=0,10&lt;='01_Вводные'!$B$297),0,('06_Сеть_и_дети'!B62-'06_Сеть_и_дети'!B90)*IF('01_Вводные'!$B$239="Да",MeanMinAge10+'19_Расчет_аналитики'!B4608*SUMIF(ThresholdAge10,"&lt;"&amp;'19_Расчет_аналитики'!B4608,WeightedRevAge10)-SUMIF(ThresholdAge10,"&lt;"&amp;'19_Расчет_аналитики'!B4608,WeightedMinAge10),MAX(CapacityAge10*'01_Вводные'!$B$218*'19_Расчет_аналитики'!B4608,MeanMinAge10))),0)</f>
        <v/>
      </c>
      <c r="C4549">
        <f>IF('01_Вводные'!$B$234="Да",IF(OR(('06_Сеть_и_дети'!C62-'06_Сеть_и_дети'!C90)=0,10&lt;='01_Вводные'!$B$297),0,('06_Сеть_и_дети'!C62-'06_Сеть_и_дети'!C90)*IF('01_Вводные'!$B$239="Да",MeanMinAge10+'19_Расчет_аналитики'!C4608*SUMIF(ThresholdAge10,"&lt;"&amp;'19_Расчет_аналитики'!C4608,WeightedRevAge10)-SUMIF(ThresholdAge10,"&lt;"&amp;'19_Расчет_аналитики'!C4608,WeightedMinAge10),MAX(CapacityAge10*'01_Вводные'!$B$218*'19_Расчет_аналитики'!C4608,MeanMinAge10))),0)</f>
        <v/>
      </c>
      <c r="D4549">
        <f>IF('01_Вводные'!$B$234="Да",IF(OR(('06_Сеть_и_дети'!D62-'06_Сеть_и_дети'!D90)=0,10&lt;='01_Вводные'!$B$297),0,('06_Сеть_и_дети'!D62-'06_Сеть_и_дети'!D90)*IF('01_Вводные'!$B$239="Да",MeanMinAge10+'19_Расчет_аналитики'!D4608*SUMIF(ThresholdAge10,"&lt;"&amp;'19_Расчет_аналитики'!D4608,WeightedRevAge10)-SUMIF(ThresholdAge10,"&lt;"&amp;'19_Расчет_аналитики'!D4608,WeightedMinAge10),MAX(CapacityAge10*'01_Вводные'!$B$218*'19_Расчет_аналитики'!D4608,MeanMinAge10))),0)</f>
        <v/>
      </c>
      <c r="E4549">
        <f>IF('01_Вводные'!$B$234="Да",IF(OR(('06_Сеть_и_дети'!E62-'06_Сеть_и_дети'!E90)=0,10&lt;='01_Вводные'!$B$297),0,('06_Сеть_и_дети'!E62-'06_Сеть_и_дети'!E90)*IF('01_Вводные'!$B$239="Да",MeanMinAge10+'19_Расчет_аналитики'!E4608*SUMIF(ThresholdAge10,"&lt;"&amp;'19_Расчет_аналитики'!E4608,WeightedRevAge10)-SUMIF(ThresholdAge10,"&lt;"&amp;'19_Расчет_аналитики'!E4608,WeightedMinAge10),MAX(CapacityAge10*'01_Вводные'!$B$218*'19_Расчет_аналитики'!E4608,MeanMinAge10))),0)</f>
        <v/>
      </c>
      <c r="F4549">
        <f>IF('01_Вводные'!$B$234="Да",IF(OR(('06_Сеть_и_дети'!F62-'06_Сеть_и_дети'!F90)=0,10&lt;='01_Вводные'!$B$297),0,('06_Сеть_и_дети'!F62-'06_Сеть_и_дети'!F90)*IF('01_Вводные'!$B$239="Да",MeanMinAge10+'19_Расчет_аналитики'!F4608*SUMIF(ThresholdAge10,"&lt;"&amp;'19_Расчет_аналитики'!F4608,WeightedRevAge10)-SUMIF(ThresholdAge10,"&lt;"&amp;'19_Расчет_аналитики'!F4608,WeightedMinAge10),MAX(CapacityAge10*'01_Вводные'!$B$218*'19_Расчет_аналитики'!F4608,MeanMinAge10))),0)</f>
        <v/>
      </c>
      <c r="G4549">
        <f>IF('01_Вводные'!$B$234="Да",IF(OR(('06_Сеть_и_дети'!G62-'06_Сеть_и_дети'!G90)=0,10&lt;='01_Вводные'!$B$297),0,('06_Сеть_и_дети'!G62-'06_Сеть_и_дети'!G90)*IF('01_Вводные'!$B$239="Да",MeanMinAge10+'19_Расчет_аналитики'!G4608*SUMIF(ThresholdAge10,"&lt;"&amp;'19_Расчет_аналитики'!G4608,WeightedRevAge10)-SUMIF(ThresholdAge10,"&lt;"&amp;'19_Расчет_аналитики'!G4608,WeightedMinAge10),MAX(CapacityAge10*'01_Вводные'!$B$218*'19_Расчет_аналитики'!G4608,MeanMinAge10))),0)</f>
        <v/>
      </c>
      <c r="H4549">
        <f>IF('01_Вводные'!$B$234="Да",IF(OR(('06_Сеть_и_дети'!H62-'06_Сеть_и_дети'!H90)=0,10&lt;='01_Вводные'!$B$297),0,('06_Сеть_и_дети'!H62-'06_Сеть_и_дети'!H90)*IF('01_Вводные'!$B$239="Да",MeanMinAge10+'19_Расчет_аналитики'!H4608*SUMIF(ThresholdAge10,"&lt;"&amp;'19_Расчет_аналитики'!H4608,WeightedRevAge10)-SUMIF(ThresholdAge10,"&lt;"&amp;'19_Расчет_аналитики'!H4608,WeightedMinAge10),MAX(CapacityAge10*'01_Вводные'!$B$218*'19_Расчет_аналитики'!H4608,MeanMinAge10))),0)</f>
        <v/>
      </c>
      <c r="I4549">
        <f>IF('01_Вводные'!$B$234="Да",IF(OR(('06_Сеть_и_дети'!I62-'06_Сеть_и_дети'!I90)=0,10&lt;='01_Вводные'!$B$297),0,('06_Сеть_и_дети'!I62-'06_Сеть_и_дети'!I90)*IF('01_Вводные'!$B$239="Да",MeanMinAge10+'19_Расчет_аналитики'!I4608*SUMIF(ThresholdAge10,"&lt;"&amp;'19_Расчет_аналитики'!I4608,WeightedRevAge10)-SUMIF(ThresholdAge10,"&lt;"&amp;'19_Расчет_аналитики'!I4608,WeightedMinAge10),MAX(CapacityAge10*'01_Вводные'!$B$218*'19_Расчет_аналитики'!I4608,MeanMinAge10))),0)</f>
        <v/>
      </c>
      <c r="J4549">
        <f>IF('01_Вводные'!$B$234="Да",IF(OR(('06_Сеть_и_дети'!J62-'06_Сеть_и_дети'!J90)=0,10&lt;='01_Вводные'!$B$297),0,('06_Сеть_и_дети'!J62-'06_Сеть_и_дети'!J90)*IF('01_Вводные'!$B$239="Да",MeanMinAge10+'19_Расчет_аналитики'!J4608*SUMIF(ThresholdAge10,"&lt;"&amp;'19_Расчет_аналитики'!J4608,WeightedRevAge10)-SUMIF(ThresholdAge10,"&lt;"&amp;'19_Расчет_аналитики'!J4608,WeightedMinAge10),MAX(CapacityAge10*'01_Вводные'!$B$218*'19_Расчет_аналитики'!J4608,MeanMinAge10))),0)</f>
        <v/>
      </c>
      <c r="K4549">
        <f>IF('01_Вводные'!$B$234="Да",IF(OR(('19_Расчет_аналитики'!K4465-'19_Расчет_аналитики'!K4493)=0,10&lt;='01_Вводные'!$B$297),0,('19_Расчет_аналитики'!K4465-'19_Расчет_аналитики'!K4493)*IF('01_Вводные'!$B$239="Да",MeanMinAge10+'19_Расчет_аналитики'!K4608*SUMIF(ThresholdAge10,"&lt;"&amp;'19_Расчет_аналитики'!K4608,WeightedRevAge10)-SUMIF(ThresholdAge10,"&lt;"&amp;'19_Расчет_аналитики'!K4608,WeightedMinAge10),MAX(CapacityAge10*'01_Вводные'!$B$218*'19_Расчет_аналитики'!K4608,MeanMinAge10))),0)</f>
        <v/>
      </c>
      <c r="L4549">
        <f>IF('01_Вводные'!$B$234="Да",IF(OR(('19_Расчет_аналитики'!L4465-'19_Расчет_аналитики'!L4493)=0,10&lt;='01_Вводные'!$B$297),0,('19_Расчет_аналитики'!L4465-'19_Расчет_аналитики'!L4493)*IF('01_Вводные'!$B$239="Да",MeanMinAge10+'19_Расчет_аналитики'!L4608*SUMIF(ThresholdAge10,"&lt;"&amp;'19_Расчет_аналитики'!L4608,WeightedRevAge10)-SUMIF(ThresholdAge10,"&lt;"&amp;'19_Расчет_аналитики'!L4608,WeightedMinAge10),MAX(CapacityAge10*'01_Вводные'!$B$218*'19_Расчет_аналитики'!L4608,MeanMinAge10))),0)</f>
        <v/>
      </c>
      <c r="M4549">
        <f>IF('01_Вводные'!$B$234="Да",IF(OR(('19_Расчет_аналитики'!M4465-'19_Расчет_аналитики'!M4493)=0,10&lt;='01_Вводные'!$B$297),0,('19_Расчет_аналитики'!M4465-'19_Расчет_аналитики'!M4493)*IF('01_Вводные'!$B$239="Да",MeanMinAge10+'19_Расчет_аналитики'!M4608*SUMIF(ThresholdAge10,"&lt;"&amp;'19_Расчет_аналитики'!M4608,WeightedRevAge10)-SUMIF(ThresholdAge10,"&lt;"&amp;'19_Расчет_аналитики'!M4608,WeightedMinAge10),MAX(CapacityAge10*'01_Вводные'!$B$218*'19_Расчет_аналитики'!M4608,MeanMinAge10))),0)</f>
        <v/>
      </c>
      <c r="N4549">
        <f>IF('01_Вводные'!$B$234="Да",IF(OR(('19_Расчет_аналитики'!N4465-'19_Расчет_аналитики'!N4493)=0,10&lt;='01_Вводные'!$B$297),0,('19_Расчет_аналитики'!N4465-'19_Расчет_аналитики'!N4493)*IF('01_Вводные'!$B$239="Да",MeanMinAge10+'19_Расчет_аналитики'!N4608*SUMIF(ThresholdAge10,"&lt;"&amp;'19_Расчет_аналитики'!N4608,WeightedRevAge10)-SUMIF(ThresholdAge10,"&lt;"&amp;'19_Расчет_аналитики'!N4608,WeightedMinAge10),MAX(CapacityAge10*'01_Вводные'!$B$218*'19_Расчет_аналитики'!N4608,MeanMinAge10))),0)</f>
        <v/>
      </c>
      <c r="O4549">
        <f>IF('01_Вводные'!$B$234="Да",IF(OR(('19_Расчет_аналитики'!O4465-'19_Расчет_аналитики'!O4493)=0,10&lt;='01_Вводные'!$B$297),0,('19_Расчет_аналитики'!O4465-'19_Расчет_аналитики'!O4493)*IF('01_Вводные'!$B$239="Да",MeanMinAge10+'19_Расчет_аналитики'!O4608*SUMIF(ThresholdAge10,"&lt;"&amp;'19_Расчет_аналитики'!O4608,WeightedRevAge10)-SUMIF(ThresholdAge10,"&lt;"&amp;'19_Расчет_аналитики'!O4608,WeightedMinAge10),MAX(CapacityAge10*'01_Вводные'!$B$218*'19_Расчет_аналитики'!O4608,MeanMinAge10))),0)</f>
        <v/>
      </c>
      <c r="P4549">
        <f>IF('01_Вводные'!$B$234="Да",IF(OR(('19_Расчет_аналитики'!P4465-'19_Расчет_аналитики'!P4493)=0,10&lt;='01_Вводные'!$B$297),0,('19_Расчет_аналитики'!P4465-'19_Расчет_аналитики'!P4493)*IF('01_Вводные'!$B$239="Да",MeanMinAge10+'19_Расчет_аналитики'!P4608*SUMIF(ThresholdAge10,"&lt;"&amp;'19_Расчет_аналитики'!P4608,WeightedRevAge10)-SUMIF(ThresholdAge10,"&lt;"&amp;'19_Расчет_аналитики'!P4608,WeightedMinAge10),MAX(CapacityAge10*'01_Вводные'!$B$218*'19_Расчет_аналитики'!P4608,MeanMinAge10))),0)</f>
        <v/>
      </c>
      <c r="Q4549">
        <f>IF('01_Вводные'!$B$234="Да",IF(OR(('19_Расчет_аналитики'!Q4465-'19_Расчет_аналитики'!Q4493)=0,10&lt;='01_Вводные'!$B$297),0,('19_Расчет_аналитики'!Q4465-'19_Расчет_аналитики'!Q4493)*IF('01_Вводные'!$B$239="Да",MeanMinAge10+'19_Расчет_аналитики'!Q4608*SUMIF(ThresholdAge10,"&lt;"&amp;'19_Расчет_аналитики'!Q4608,WeightedRevAge10)-SUMIF(ThresholdAge10,"&lt;"&amp;'19_Расчет_аналитики'!Q4608,WeightedMinAge10),MAX(CapacityAge10*'01_Вводные'!$B$218*'19_Расчет_аналитики'!Q4608,MeanMinAge10))),0)</f>
        <v/>
      </c>
      <c r="R4549">
        <f>IF('01_Вводные'!$B$234="Да",IF(OR(('19_Расчет_аналитики'!R4465-'19_Расчет_аналитики'!R4493)=0,10&lt;='01_Вводные'!$B$297),0,('19_Расчет_аналитики'!R4465-'19_Расчет_аналитики'!R4493)*IF('01_Вводные'!$B$239="Да",MeanMinAge10+'19_Расчет_аналитики'!R4608*SUMIF(ThresholdAge10,"&lt;"&amp;'19_Расчет_аналитики'!R4608,WeightedRevAge10)-SUMIF(ThresholdAge10,"&lt;"&amp;'19_Расчет_аналитики'!R4608,WeightedMinAge10),MAX(CapacityAge10*'01_Вводные'!$B$218*'19_Расчет_аналитики'!R4608,MeanMinAge10))),0)</f>
        <v/>
      </c>
      <c r="S4549">
        <f>IF('01_Вводные'!$B$234="Да",IF(OR(('19_Расчет_аналитики'!S4465-'19_Расчет_аналитики'!S4493)=0,10&lt;='01_Вводные'!$B$297),0,('19_Расчет_аналитики'!S4465-'19_Расчет_аналитики'!S4493)*IF('01_Вводные'!$B$239="Да",MeanMinAge10+'19_Расчет_аналитики'!S4608*SUMIF(ThresholdAge10,"&lt;"&amp;'19_Расчет_аналитики'!S4608,WeightedRevAge10)-SUMIF(ThresholdAge10,"&lt;"&amp;'19_Расчет_аналитики'!S4608,WeightedMinAge10),MAX(CapacityAge10*'01_Вводные'!$B$218*'19_Расчет_аналитики'!S4608,MeanMinAge10))),0)</f>
        <v/>
      </c>
      <c r="T4549">
        <f>IF('01_Вводные'!$B$234="Да",IF(OR(('19_Расчет_аналитики'!T4465-'19_Расчет_аналитики'!T4493)=0,10&lt;='01_Вводные'!$B$297),0,('19_Расчет_аналитики'!T4465-'19_Расчет_аналитики'!T4493)*IF('01_Вводные'!$B$239="Да",MeanMinAge10+'19_Расчет_аналитики'!T4608*SUMIF(ThresholdAge10,"&lt;"&amp;'19_Расчет_аналитики'!T4608,WeightedRevAge10)-SUMIF(ThresholdAge10,"&lt;"&amp;'19_Расчет_аналитики'!T4608,WeightedMinAge10),MAX(CapacityAge10*'01_Вводные'!$B$218*'19_Расчет_аналитики'!T4608,MeanMinAge10))),0)</f>
        <v/>
      </c>
      <c r="U4549">
        <f>IF('01_Вводные'!$B$234="Да",IF(OR(('19_Расчет_аналитики'!U4465-'19_Расчет_аналитики'!U4493)=0,10&lt;='01_Вводные'!$B$297),0,('19_Расчет_аналитики'!U4465-'19_Расчет_аналитики'!U4493)*IF('01_Вводные'!$B$239="Да",MeanMinAge10+'19_Расчет_аналитики'!U4608*SUMIF(ThresholdAge10,"&lt;"&amp;'19_Расчет_аналитики'!U4608,WeightedRevAge10)-SUMIF(ThresholdAge10,"&lt;"&amp;'19_Расчет_аналитики'!U4608,WeightedMinAge10),MAX(CapacityAge10*'01_Вводные'!$B$218*'19_Расчет_аналитики'!U4608,MeanMinAge10))),0)</f>
        <v/>
      </c>
      <c r="V4549">
        <f>IF('01_Вводные'!$B$234="Да",IF(OR(('19_Расчет_аналитики'!V4465-'19_Расчет_аналитики'!V4493)=0,10&lt;='01_Вводные'!$B$297),0,('19_Расчет_аналитики'!V4465-'19_Расчет_аналитики'!V4493)*IF('01_Вводные'!$B$239="Да",MeanMinAge10+'19_Расчет_аналитики'!V4608*SUMIF(ThresholdAge10,"&lt;"&amp;'19_Расчет_аналитики'!V4608,WeightedRevAge10)-SUMIF(ThresholdAge10,"&lt;"&amp;'19_Расчет_аналитики'!V4608,WeightedMinAge10),MAX(CapacityAge10*'01_Вводные'!$B$218*'19_Расчет_аналитики'!V4608,MeanMinAge10))),0)</f>
        <v/>
      </c>
      <c r="W4549">
        <f>IF('01_Вводные'!$B$234="Да",IF(OR(('19_Расчет_аналитики'!W4465-'19_Расчет_аналитики'!W4493)=0,10&lt;='01_Вводные'!$B$297),0,('19_Расчет_аналитики'!W4465-'19_Расчет_аналитики'!W4493)*IF('01_Вводные'!$B$239="Да",MeanMinAge10+'19_Расчет_аналитики'!W4608*SUMIF(ThresholdAge10,"&lt;"&amp;'19_Расчет_аналитики'!W4608,WeightedRevAge10)-SUMIF(ThresholdAge10,"&lt;"&amp;'19_Расчет_аналитики'!W4608,WeightedMinAge10),MAX(CapacityAge10*'01_Вводные'!$B$218*'19_Расчет_аналитики'!W4608,MeanMinAge10))),0)</f>
        <v/>
      </c>
      <c r="X4549">
        <f>IF('01_Вводные'!$B$234="Да",IF(OR(('19_Расчет_аналитики'!X4465-'19_Расчет_аналитики'!X4493)=0,10&lt;='01_Вводные'!$B$297),0,('19_Расчет_аналитики'!X4465-'19_Расчет_аналитики'!X4493)*IF('01_Вводные'!$B$239="Да",MeanMinAge10+'19_Расчет_аналитики'!X4608*SUMIF(ThresholdAge10,"&lt;"&amp;'19_Расчет_аналитики'!X4608,WeightedRevAge10)-SUMIF(ThresholdAge10,"&lt;"&amp;'19_Расчет_аналитики'!X4608,WeightedMinAge10),MAX(CapacityAge10*'01_Вводные'!$B$218*'19_Расчет_аналитики'!X4608,MeanMinAge10))),0)</f>
        <v/>
      </c>
      <c r="Y4549">
        <f>IF('01_Вводные'!$B$234="Да",IF(OR(('19_Расчет_аналитики'!Y4465-'19_Расчет_аналитики'!Y4493)=0,10&lt;='01_Вводные'!$B$297),0,('19_Расчет_аналитики'!Y4465-'19_Расчет_аналитики'!Y4493)*IF('01_Вводные'!$B$239="Да",MeanMinAge10+'19_Расчет_аналитики'!Y4608*SUMIF(ThresholdAge10,"&lt;"&amp;'19_Расчет_аналитики'!Y4608,WeightedRevAge10)-SUMIF(ThresholdAge10,"&lt;"&amp;'19_Расчет_аналитики'!Y4608,WeightedMinAge10),MAX(CapacityAge10*'01_Вводные'!$B$218*'19_Расчет_аналитики'!Y4608,MeanMinAge10))),0)</f>
        <v/>
      </c>
      <c r="Z4549">
        <f>IF('01_Вводные'!$B$234="Да",IF(OR(('19_Расчет_аналитики'!Z4465-'19_Расчет_аналитики'!Z4493)=0,10&lt;='01_Вводные'!$B$297),0,('19_Расчет_аналитики'!Z4465-'19_Расчет_аналитики'!Z4493)*IF('01_Вводные'!$B$239="Да",MeanMinAge10+'19_Расчет_аналитики'!Z4608*SUMIF(ThresholdAge10,"&lt;"&amp;'19_Расчет_аналитики'!Z4608,WeightedRevAge10)-SUMIF(ThresholdAge10,"&lt;"&amp;'19_Расчет_аналитики'!Z4608,WeightedMinAge10),MAX(CapacityAge10*'01_Вводные'!$B$218*'19_Расчет_аналитики'!Z4608,MeanMinAge10))),0)</f>
        <v/>
      </c>
      <c r="AA4549">
        <f>IF('01_Вводные'!$B$234="Да",IF(OR(('19_Расчет_аналитики'!AA4465-'19_Расчет_аналитики'!AA4493)=0,10&lt;='01_Вводные'!$B$297),0,('19_Расчет_аналитики'!AA4465-'19_Расчет_аналитики'!AA4493)*IF('01_Вводные'!$B$239="Да",MeanMinAge10+'19_Расчет_аналитики'!AA4608*SUMIF(ThresholdAge10,"&lt;"&amp;'19_Расчет_аналитики'!AA4608,WeightedRevAge10)-SUMIF(ThresholdAge10,"&lt;"&amp;'19_Расчет_аналитики'!AA4608,WeightedMinAge10),MAX(CapacityAge10*'01_Вводные'!$B$218*'19_Расчет_аналитики'!AA4608,MeanMinAge10))),0)</f>
        <v/>
      </c>
      <c r="AB4549">
        <f>IF('01_Вводные'!$B$234="Да",IF(OR(('19_Расчет_аналитики'!AB4465-'19_Расчет_аналитики'!AB4493)=0,10&lt;='01_Вводные'!$B$297),0,('19_Расчет_аналитики'!AB4465-'19_Расчет_аналитики'!AB4493)*IF('01_Вводные'!$B$239="Да",MeanMinAge10+'19_Расчет_аналитики'!AB4608*SUMIF(ThresholdAge10,"&lt;"&amp;'19_Расчет_аналитики'!AB4608,WeightedRevAge10)-SUMIF(ThresholdAge10,"&lt;"&amp;'19_Расчет_аналитики'!AB4608,WeightedMinAge10),MAX(CapacityAge10*'01_Вводные'!$B$218*'19_Расчет_аналитики'!AB4608,MeanMinAge10))),0)</f>
        <v/>
      </c>
      <c r="AC4549">
        <f>IF('01_Вводные'!$B$234="Да",IF(OR(('19_Расчет_аналитики'!AC4465-'19_Расчет_аналитики'!AC4493)=0,10&lt;='01_Вводные'!$B$297),0,('19_Расчет_аналитики'!AC4465-'19_Расчет_аналитики'!AC4493)*IF('01_Вводные'!$B$239="Да",MeanMinAge10+'19_Расчет_аналитики'!AC4608*SUMIF(ThresholdAge10,"&lt;"&amp;'19_Расчет_аналитики'!AC4608,WeightedRevAge10)-SUMIF(ThresholdAge10,"&lt;"&amp;'19_Расчет_аналитики'!AC4608,WeightedMinAge10),MAX(CapacityAge10*'01_Вводные'!$B$218*'19_Расчет_аналитики'!AC4608,MeanMinAge10))),0)</f>
        <v/>
      </c>
      <c r="AD4549">
        <f>IF('01_Вводные'!$B$234="Да",IF(OR(('19_Расчет_аналитики'!AD4465-'19_Расчет_аналитики'!AD4493)=0,10&lt;='01_Вводные'!$B$297),0,('19_Расчет_аналитики'!AD4465-'19_Расчет_аналитики'!AD4493)*IF('01_Вводные'!$B$239="Да",MeanMinAge10+'19_Расчет_аналитики'!AD4608*SUMIF(ThresholdAge10,"&lt;"&amp;'19_Расчет_аналитики'!AD4608,WeightedRevAge10)-SUMIF(ThresholdAge10,"&lt;"&amp;'19_Расчет_аналитики'!AD4608,WeightedMinAge10),MAX(CapacityAge10*'01_Вводные'!$B$218*'19_Расчет_аналитики'!AD4608,MeanMinAge10))),0)</f>
        <v/>
      </c>
      <c r="AE4549">
        <f>IF('01_Вводные'!$B$234="Да",IF(OR(('19_Расчет_аналитики'!AE4465-'19_Расчет_аналитики'!AE4493)=0,10&lt;='01_Вводные'!$B$297),0,('19_Расчет_аналитики'!AE4465-'19_Расчет_аналитики'!AE4493)*IF('01_Вводные'!$B$239="Да",MeanMinAge10+'19_Расчет_аналитики'!AE4608*SUMIF(ThresholdAge10,"&lt;"&amp;'19_Расчет_аналитики'!AE4608,WeightedRevAge10)-SUMIF(ThresholdAge10,"&lt;"&amp;'19_Расчет_аналитики'!AE4608,WeightedMinAge10),MAX(CapacityAge10*'01_Вводные'!$B$218*'19_Расчет_аналитики'!AE4608,MeanMinAge10))),0)</f>
        <v/>
      </c>
      <c r="AF4549">
        <f>IF('01_Вводные'!$B$234="Да",IF(OR(('19_Расчет_аналитики'!AF4465-'19_Расчет_аналитики'!AF4493)=0,10&lt;='01_Вводные'!$B$297),0,('19_Расчет_аналитики'!AF4465-'19_Расчет_аналитики'!AF4493)*IF('01_Вводные'!$B$239="Да",MeanMinAge10+'19_Расчет_аналитики'!AF4608*SUMIF(ThresholdAge10,"&lt;"&amp;'19_Расчет_аналитики'!AF4608,WeightedRevAge10)-SUMIF(ThresholdAge10,"&lt;"&amp;'19_Расчет_аналитики'!AF4608,WeightedMinAge10),MAX(CapacityAge10*'01_Вводные'!$B$218*'19_Расчет_аналитики'!AF4608,MeanMinAge10))),0)</f>
        <v/>
      </c>
      <c r="AG4549">
        <f>IF('01_Вводные'!$B$234="Да",IF(OR(('19_Расчет_аналитики'!AG4465-'19_Расчет_аналитики'!AG4493)=0,10&lt;='01_Вводные'!$B$297),0,('19_Расчет_аналитики'!AG4465-'19_Расчет_аналитики'!AG4493)*IF('01_Вводные'!$B$239="Да",MeanMinAge10+'19_Расчет_аналитики'!AG4608*SUMIF(ThresholdAge10,"&lt;"&amp;'19_Расчет_аналитики'!AG4608,WeightedRevAge10)-SUMIF(ThresholdAge10,"&lt;"&amp;'19_Расчет_аналитики'!AG4608,WeightedMinAge10),MAX(CapacityAge10*'01_Вводные'!$B$218*'19_Расчет_аналитики'!AG4608,MeanMinAge10))),0)</f>
        <v/>
      </c>
      <c r="AH4549">
        <f>IF('01_Вводные'!$B$234="Да",IF(OR(('19_Расчет_аналитики'!AH4465-'19_Расчет_аналитики'!AH4493)=0,10&lt;='01_Вводные'!$B$297),0,('19_Расчет_аналитики'!AH4465-'19_Расчет_аналитики'!AH4493)*IF('01_Вводные'!$B$239="Да",MeanMinAge10+'19_Расчет_аналитики'!AH4608*SUMIF(ThresholdAge10,"&lt;"&amp;'19_Расчет_аналитики'!AH4608,WeightedRevAge10)-SUMIF(ThresholdAge10,"&lt;"&amp;'19_Расчет_аналитики'!AH4608,WeightedMinAge10),MAX(CapacityAge10*'01_Вводные'!$B$218*'19_Расчет_аналитики'!AH4608,MeanMinAge10))),0)</f>
        <v/>
      </c>
      <c r="AI4549">
        <f>IF('01_Вводные'!$B$234="Да",IF(OR(('19_Расчет_аналитики'!AI4465-'19_Расчет_аналитики'!AI4493)=0,10&lt;='01_Вводные'!$B$297),0,('19_Расчет_аналитики'!AI4465-'19_Расчет_аналитики'!AI4493)*IF('01_Вводные'!$B$239="Да",MeanMinAge10+'19_Расчет_аналитики'!AI4608*SUMIF(ThresholdAge10,"&lt;"&amp;'19_Расчет_аналитики'!AI4608,WeightedRevAge10)-SUMIF(ThresholdAge10,"&lt;"&amp;'19_Расчет_аналитики'!AI4608,WeightedMinAge10),MAX(CapacityAge10*'01_Вводные'!$B$218*'19_Расчет_аналитики'!AI4608,MeanMinAge10))),0)</f>
        <v/>
      </c>
      <c r="AJ4549">
        <f>IF('01_Вводные'!$B$234="Да",IF(OR(('19_Расчет_аналитики'!AJ4465-'19_Расчет_аналитики'!AJ4493)=0,10&lt;='01_Вводные'!$B$297),0,('19_Расчет_аналитики'!AJ4465-'19_Расчет_аналитики'!AJ4493)*IF('01_Вводные'!$B$239="Да",MeanMinAge10+'19_Расчет_аналитики'!AJ4608*SUMIF(ThresholdAge10,"&lt;"&amp;'19_Расчет_аналитики'!AJ4608,WeightedRevAge10)-SUMIF(ThresholdAge10,"&lt;"&amp;'19_Расчет_аналитики'!AJ4608,WeightedMinAge10),MAX(CapacityAge10*'01_Вводные'!$B$218*'19_Расчет_аналитики'!AJ4608,MeanMinAge10))),0)</f>
        <v/>
      </c>
      <c r="AK4549">
        <f>IF('01_Вводные'!$B$234="Да",IF(OR(('19_Расчет_аналитики'!AK4465-'19_Расчет_аналитики'!AK4493)=0,10&lt;='01_Вводные'!$B$297),0,('19_Расчет_аналитики'!AK4465-'19_Расчет_аналитики'!AK4493)*IF('01_Вводные'!$B$239="Да",MeanMinAge10+'19_Расчет_аналитики'!AK4608*SUMIF(ThresholdAge10,"&lt;"&amp;'19_Расчет_аналитики'!AK4608,WeightedRevAge10)-SUMIF(ThresholdAge10,"&lt;"&amp;'19_Расчет_аналитики'!AK4608,WeightedMinAge10),MAX(CapacityAge10*'01_Вводные'!$B$218*'19_Расчет_аналитики'!AK4608,MeanMinAge10))),0)</f>
        <v/>
      </c>
      <c r="AL4549">
        <f>IF('01_Вводные'!$B$234="Да",IF(OR(('19_Расчет_аналитики'!AL4465-'19_Расчет_аналитики'!AL4493)=0,10&lt;='01_Вводные'!$B$297),0,('19_Расчет_аналитики'!AL4465-'19_Расчет_аналитики'!AL4493)*IF('01_Вводные'!$B$239="Да",MeanMinAge10+'19_Расчет_аналитики'!AL4608*SUMIF(ThresholdAge10,"&lt;"&amp;'19_Расчет_аналитики'!AL4608,WeightedRevAge10)-SUMIF(ThresholdAge10,"&lt;"&amp;'19_Расчет_аналитики'!AL4608,WeightedMinAge10),MAX(CapacityAge10*'01_Вводные'!$B$218*'19_Расчет_аналитики'!AL4608,MeanMinAge10))),0)</f>
        <v/>
      </c>
      <c r="AM4549">
        <f>IF('01_Вводные'!$B$234="Да",IF(OR(('19_Расчет_аналитики'!AM4465-'19_Расчет_аналитики'!AM4493)=0,10&lt;='01_Вводные'!$B$297),0,('19_Расчет_аналитики'!AM4465-'19_Расчет_аналитики'!AM4493)*IF('01_Вводные'!$B$239="Да",MeanMinAge10+'19_Расчет_аналитики'!AM4608*SUMIF(ThresholdAge10,"&lt;"&amp;'19_Расчет_аналитики'!AM4608,WeightedRevAge10)-SUMIF(ThresholdAge10,"&lt;"&amp;'19_Расчет_аналитики'!AM4608,WeightedMinAge10),MAX(CapacityAge10*'01_Вводные'!$B$218*'19_Расчет_аналитики'!AM4608,MeanMinAge10))),0)</f>
        <v/>
      </c>
      <c r="AN4549">
        <f>IF('01_Вводные'!$B$234="Да",IF(OR(('19_Расчет_аналитики'!AN4465-'19_Расчет_аналитики'!AN4493)=0,10&lt;='01_Вводные'!$B$297),0,('19_Расчет_аналитики'!AN4465-'19_Расчет_аналитики'!AN4493)*IF('01_Вводные'!$B$239="Да",MeanMinAge10+'19_Расчет_аналитики'!AN4608*SUMIF(ThresholdAge10,"&lt;"&amp;'19_Расчет_аналитики'!AN4608,WeightedRevAge10)-SUMIF(ThresholdAge10,"&lt;"&amp;'19_Расчет_аналитики'!AN4608,WeightedMinAge10),MAX(CapacityAge10*'01_Вводные'!$B$218*'19_Расчет_аналитики'!AN4608,MeanMinAge10))),0)</f>
        <v/>
      </c>
      <c r="AO4549">
        <f>IF('01_Вводные'!$B$234="Да",IF(OR(('19_Расчет_аналитики'!AO4465-'19_Расчет_аналитики'!AO4493)=0,10&lt;='01_Вводные'!$B$297),0,('19_Расчет_аналитики'!AO4465-'19_Расчет_аналитики'!AO4493)*IF('01_Вводные'!$B$239="Да",MeanMinAge10+'19_Расчет_аналитики'!AO4608*SUMIF(ThresholdAge10,"&lt;"&amp;'19_Расчет_аналитики'!AO4608,WeightedRevAge10)-SUMIF(ThresholdAge10,"&lt;"&amp;'19_Расчет_аналитики'!AO4608,WeightedMinAge10),MAX(CapacityAge10*'01_Вводные'!$B$218*'19_Расчет_аналитики'!AO4608,MeanMinAge10))),0)</f>
        <v/>
      </c>
      <c r="AP4549">
        <f>IF('01_Вводные'!$B$234="Да",IF(OR(('19_Расчет_аналитики'!AP4465-'19_Расчет_аналитики'!AP4493)=0,10&lt;='01_Вводные'!$B$297),0,('19_Расчет_аналитики'!AP4465-'19_Расчет_аналитики'!AP4493)*IF('01_Вводные'!$B$239="Да",MeanMinAge10+'19_Расчет_аналитики'!AP4608*SUMIF(ThresholdAge10,"&lt;"&amp;'19_Расчет_аналитики'!AP4608,WeightedRevAge10)-SUMIF(ThresholdAge10,"&lt;"&amp;'19_Расчет_аналитики'!AP4608,WeightedMinAge10),MAX(CapacityAge10*'01_Вводные'!$B$218*'19_Расчет_аналитики'!AP4608,MeanMinAge10))),0)</f>
        <v/>
      </c>
      <c r="AQ4549">
        <f>IF('01_Вводные'!$B$234="Да",IF(OR(('19_Расчет_аналитики'!AQ4465-'19_Расчет_аналитики'!AQ4493)=0,10&lt;='01_Вводные'!$B$297),0,('19_Расчет_аналитики'!AQ4465-'19_Расчет_аналитики'!AQ4493)*IF('01_Вводные'!$B$239="Да",MeanMinAge10+'19_Расчет_аналитики'!AQ4608*SUMIF(ThresholdAge10,"&lt;"&amp;'19_Расчет_аналитики'!AQ4608,WeightedRevAge10)-SUMIF(ThresholdAge10,"&lt;"&amp;'19_Расчет_аналитики'!AQ4608,WeightedMinAge10),MAX(CapacityAge10*'01_Вводные'!$B$218*'19_Расчет_аналитики'!AQ4608,MeanMinAge10))),0)</f>
        <v/>
      </c>
      <c r="AR4549">
        <f>IF('01_Вводные'!$B$234="Да",IF(OR(('19_Расчет_аналитики'!AR4465-'19_Расчет_аналитики'!AR4493)=0,10&lt;='01_Вводные'!$B$297),0,('19_Расчет_аналитики'!AR4465-'19_Расчет_аналитики'!AR4493)*IF('01_Вводные'!$B$239="Да",MeanMinAge10+'19_Расчет_аналитики'!AR4608*SUMIF(ThresholdAge10,"&lt;"&amp;'19_Расчет_аналитики'!AR4608,WeightedRevAge10)-SUMIF(ThresholdAge10,"&lt;"&amp;'19_Расчет_аналитики'!AR4608,WeightedMinAge10),MAX(CapacityAge10*'01_Вводные'!$B$218*'19_Расчет_аналитики'!AR4608,MeanMinAge10))),0)</f>
        <v/>
      </c>
      <c r="AS4549">
        <f>IF('01_Вводные'!$B$234="Да",IF(OR(('19_Расчет_аналитики'!AS4465-'19_Расчет_аналитики'!AS4493)=0,10&lt;='01_Вводные'!$B$297),0,('19_Расчет_аналитики'!AS4465-'19_Расчет_аналитики'!AS4493)*IF('01_Вводные'!$B$239="Да",MeanMinAge10+'19_Расчет_аналитики'!AS4608*SUMIF(ThresholdAge10,"&lt;"&amp;'19_Расчет_аналитики'!AS4608,WeightedRevAge10)-SUMIF(ThresholdAge10,"&lt;"&amp;'19_Расчет_аналитики'!AS4608,WeightedMinAge10),MAX(CapacityAge10*'01_Вводные'!$B$218*'19_Расчет_аналитики'!AS4608,MeanMinAge10))),0)</f>
        <v/>
      </c>
      <c r="AT4549">
        <f>IF('01_Вводные'!$B$234="Да",IF(OR(('19_Расчет_аналитики'!AT4465-'19_Расчет_аналитики'!AT4493)=0,10&lt;='01_Вводные'!$B$297),0,('19_Расчет_аналитики'!AT4465-'19_Расчет_аналитики'!AT4493)*IF('01_Вводные'!$B$239="Да",MeanMinAge10+'19_Расчет_аналитики'!AT4608*SUMIF(ThresholdAge10,"&lt;"&amp;'19_Расчет_аналитики'!AT4608,WeightedRevAge10)-SUMIF(ThresholdAge10,"&lt;"&amp;'19_Расчет_аналитики'!AT4608,WeightedMinAge10),MAX(CapacityAge10*'01_Вводные'!$B$218*'19_Расчет_аналитики'!AT4608,MeanMinAge10))),0)</f>
        <v/>
      </c>
      <c r="AU4549">
        <f>IF('01_Вводные'!$B$234="Да",IF(OR(('19_Расчет_аналитики'!AU4465-'19_Расчет_аналитики'!AU4493)=0,10&lt;='01_Вводные'!$B$297),0,('19_Расчет_аналитики'!AU4465-'19_Расчет_аналитики'!AU4493)*IF('01_Вводные'!$B$239="Да",MeanMinAge10+'19_Расчет_аналитики'!AU4608*SUMIF(ThresholdAge10,"&lt;"&amp;'19_Расчет_аналитики'!AU4608,WeightedRevAge10)-SUMIF(ThresholdAge10,"&lt;"&amp;'19_Расчет_аналитики'!AU4608,WeightedMinAge10),MAX(CapacityAge10*'01_Вводные'!$B$218*'19_Расчет_аналитики'!AU4608,MeanMinAge10))),0)</f>
        <v/>
      </c>
      <c r="AV4549">
        <f>IF('01_Вводные'!$B$234="Да",IF(OR(('19_Расчет_аналитики'!AV4465-'19_Расчет_аналитики'!AV4493)=0,10&lt;='01_Вводные'!$B$297),0,('19_Расчет_аналитики'!AV4465-'19_Расчет_аналитики'!AV4493)*IF('01_Вводные'!$B$239="Да",MeanMinAge10+'19_Расчет_аналитики'!AV4608*SUMIF(ThresholdAge10,"&lt;"&amp;'19_Расчет_аналитики'!AV4608,WeightedRevAge10)-SUMIF(ThresholdAge10,"&lt;"&amp;'19_Расчет_аналитики'!AV4608,WeightedMinAge10),MAX(CapacityAge10*'01_Вводные'!$B$218*'19_Расчет_аналитики'!AV4608,MeanMinAge10))),0)</f>
        <v/>
      </c>
      <c r="AW4549">
        <f>IF('01_Вводные'!$B$234="Да",IF(OR(('19_Расчет_аналитики'!AW4465-'19_Расчет_аналитики'!AW4493)=0,10&lt;='01_Вводные'!$B$297),0,('19_Расчет_аналитики'!AW4465-'19_Расчет_аналитики'!AW4493)*IF('01_Вводные'!$B$239="Да",MeanMinAge10+'19_Расчет_аналитики'!AW4608*SUMIF(ThresholdAge10,"&lt;"&amp;'19_Расчет_аналитики'!AW4608,WeightedRevAge10)-SUMIF(ThresholdAge10,"&lt;"&amp;'19_Расчет_аналитики'!AW4608,WeightedMinAge10),MAX(CapacityAge10*'01_Вводные'!$B$218*'19_Расчет_аналитики'!AW4608,MeanMinAge10))),0)</f>
        <v/>
      </c>
      <c r="AX4549">
        <f>IF('01_Вводные'!$B$234="Да",IF(OR(('19_Расчет_аналитики'!AX4465-'19_Расчет_аналитики'!AX4493)=0,10&lt;='01_Вводные'!$B$297),0,('19_Расчет_аналитики'!AX4465-'19_Расчет_аналитики'!AX4493)*IF('01_Вводные'!$B$239="Да",MeanMinAge10+'19_Расчет_аналитики'!AX4608*SUMIF(ThresholdAge10,"&lt;"&amp;'19_Расчет_аналитики'!AX4608,WeightedRevAge10)-SUMIF(ThresholdAge10,"&lt;"&amp;'19_Расчет_аналитики'!AX4608,WeightedMinAge10),MAX(CapacityAge10*'01_Вводные'!$B$218*'19_Расчет_аналитики'!AX4608,MeanMinAge10))),0)</f>
        <v/>
      </c>
      <c r="AY4549">
        <f>IF('01_Вводные'!$B$234="Да",IF(OR(('19_Расчет_аналитики'!AY4465-'19_Расчет_аналитики'!AY4493)=0,10&lt;='01_Вводные'!$B$297),0,('19_Расчет_аналитики'!AY4465-'19_Расчет_аналитики'!AY4493)*IF('01_Вводные'!$B$239="Да",MeanMinAge10+'19_Расчет_аналитики'!AY4608*SUMIF(ThresholdAge10,"&lt;"&amp;'19_Расчет_аналитики'!AY4608,WeightedRevAge10)-SUMIF(ThresholdAge10,"&lt;"&amp;'19_Расчет_аналитики'!AY4608,WeightedMinAge10),MAX(CapacityAge10*'01_Вводные'!$B$218*'19_Расчет_аналитики'!AY4608,MeanMinAge10))),0)</f>
        <v/>
      </c>
      <c r="AZ4549">
        <f>IF('01_Вводные'!$B$234="Да",IF(OR(('19_Расчет_аналитики'!AZ4465-'19_Расчет_аналитики'!AZ4493)=0,10&lt;='01_Вводные'!$B$297),0,('19_Расчет_аналитики'!AZ4465-'19_Расчет_аналитики'!AZ4493)*IF('01_Вводные'!$B$239="Да",MeanMinAge10+'19_Расчет_аналитики'!AZ4608*SUMIF(ThresholdAge10,"&lt;"&amp;'19_Расчет_аналитики'!AZ4608,WeightedRevAge10)-SUMIF(ThresholdAge10,"&lt;"&amp;'19_Расчет_аналитики'!AZ4608,WeightedMinAge10),MAX(CapacityAge10*'01_Вводные'!$B$218*'19_Расчет_аналитики'!AZ4608,MeanMinAge10))),0)</f>
        <v/>
      </c>
      <c r="BA4549">
        <f>IF('01_Вводные'!$B$234="Да",IF(OR(('19_Расчет_аналитики'!BA4465-'19_Расчет_аналитики'!BA4493)=0,10&lt;='01_Вводные'!$B$297),0,('19_Расчет_аналитики'!BA4465-'19_Расчет_аналитики'!BA4493)*IF('01_Вводные'!$B$239="Да",MeanMinAge10+'19_Расчет_аналитики'!BA4608*SUMIF(ThresholdAge10,"&lt;"&amp;'19_Расчет_аналитики'!BA4608,WeightedRevAge10)-SUMIF(ThresholdAge10,"&lt;"&amp;'19_Расчет_аналитики'!BA4608,WeightedMinAge10),MAX(CapacityAge10*'01_Вводные'!$B$218*'19_Расчет_аналитики'!BA4608,MeanMinAge10))),0)</f>
        <v/>
      </c>
      <c r="BB4549">
        <f>IF('01_Вводные'!$B$234="Да",IF(OR(('19_Расчет_аналитики'!BB4465-'19_Расчет_аналитики'!BB4493)=0,10&lt;='01_Вводные'!$B$297),0,('19_Расчет_аналитики'!BB4465-'19_Расчет_аналитики'!BB4493)*IF('01_Вводные'!$B$239="Да",MeanMinAge10+'19_Расчет_аналитики'!BB4608*SUMIF(ThresholdAge10,"&lt;"&amp;'19_Расчет_аналитики'!BB4608,WeightedRevAge10)-SUMIF(ThresholdAge10,"&lt;"&amp;'19_Расчет_аналитики'!BB4608,WeightedMinAge10),MAX(CapacityAge10*'01_Вводные'!$B$218*'19_Расчет_аналитики'!BB4608,MeanMinAge10))),0)</f>
        <v/>
      </c>
      <c r="BC4549">
        <f>IF('01_Вводные'!$B$234="Да",IF(OR(('19_Расчет_аналитики'!BC4465-'19_Расчет_аналитики'!BC4493)=0,10&lt;='01_Вводные'!$B$297),0,('19_Расчет_аналитики'!BC4465-'19_Расчет_аналитики'!BC4493)*IF('01_Вводные'!$B$239="Да",MeanMinAge10+'19_Расчет_аналитики'!BC4608*SUMIF(ThresholdAge10,"&lt;"&amp;'19_Расчет_аналитики'!BC4608,WeightedRevAge10)-SUMIF(ThresholdAge10,"&lt;"&amp;'19_Расчет_аналитики'!BC4608,WeightedMinAge10),MAX(CapacityAge10*'01_Вводные'!$B$218*'19_Расчет_аналитики'!BC4608,MeanMinAge10))),0)</f>
        <v/>
      </c>
      <c r="BD4549">
        <f>IF('01_Вводные'!$B$234="Да",IF(OR(('19_Расчет_аналитики'!BD4465-'19_Расчет_аналитики'!BD4493)=0,10&lt;='01_Вводные'!$B$297),0,('19_Расчет_аналитики'!BD4465-'19_Расчет_аналитики'!BD4493)*IF('01_Вводные'!$B$239="Да",MeanMinAge10+'19_Расчет_аналитики'!BD4608*SUMIF(ThresholdAge10,"&lt;"&amp;'19_Расчет_аналитики'!BD4608,WeightedRevAge10)-SUMIF(ThresholdAge10,"&lt;"&amp;'19_Расчет_аналитики'!BD4608,WeightedMinAge10),MAX(CapacityAge10*'01_Вводные'!$B$218*'19_Расчет_аналитики'!BD4608,MeanMinAge10))),0)</f>
        <v/>
      </c>
      <c r="BE4549">
        <f>IF('01_Вводные'!$B$234="Да",IF(OR(('19_Расчет_аналитики'!BE4465-'19_Расчет_аналитики'!BE4493)=0,10&lt;='01_Вводные'!$B$297),0,('19_Расчет_аналитики'!BE4465-'19_Расчет_аналитики'!BE4493)*IF('01_Вводные'!$B$239="Да",MeanMinAge10+'19_Расчет_аналитики'!BE4608*SUMIF(ThresholdAge10,"&lt;"&amp;'19_Расчет_аналитики'!BE4608,WeightedRevAge10)-SUMIF(ThresholdAge10,"&lt;"&amp;'19_Расчет_аналитики'!BE4608,WeightedMinAge10),MAX(CapacityAge10*'01_Вводные'!$B$218*'19_Расчет_аналитики'!BE4608,MeanMinAge10))),0)</f>
        <v/>
      </c>
      <c r="BF4549">
        <f>IF('01_Вводные'!$B$234="Да",IF(OR(('19_Расчет_аналитики'!BF4465-'19_Расчет_аналитики'!BF4493)=0,10&lt;='01_Вводные'!$B$297),0,('19_Расчет_аналитики'!BF4465-'19_Расчет_аналитики'!BF4493)*IF('01_Вводные'!$B$239="Да",MeanMinAge10+'19_Расчет_аналитики'!BF4608*SUMIF(ThresholdAge10,"&lt;"&amp;'19_Расчет_аналитики'!BF4608,WeightedRevAge10)-SUMIF(ThresholdAge10,"&lt;"&amp;'19_Расчет_аналитики'!BF4608,WeightedMinAge10),MAX(CapacityAge10*'01_Вводные'!$B$218*'19_Расчет_аналитики'!BF4608,MeanMinAge10))),0)</f>
        <v/>
      </c>
      <c r="BG4549">
        <f>IF('01_Вводные'!$B$234="Да",IF(OR(('19_Расчет_аналитики'!BG4465-'19_Расчет_аналитики'!BG4493)=0,10&lt;='01_Вводные'!$B$297),0,('19_Расчет_аналитики'!BG4465-'19_Расчет_аналитики'!BG4493)*IF('01_Вводные'!$B$239="Да",MeanMinAge10+'19_Расчет_аналитики'!BG4608*SUMIF(ThresholdAge10,"&lt;"&amp;'19_Расчет_аналитики'!BG4608,WeightedRevAge10)-SUMIF(ThresholdAge10,"&lt;"&amp;'19_Расчет_аналитики'!BG4608,WeightedMinAge10),MAX(CapacityAge10*'01_Вводные'!$B$218*'19_Расчет_аналитики'!BG4608,MeanMinAge10))),0)</f>
        <v/>
      </c>
      <c r="BH4549">
        <f>IF('01_Вводные'!$B$234="Да",IF(OR(('19_Расчет_аналитики'!BH4465-'19_Расчет_аналитики'!BH4493)=0,10&lt;='01_Вводные'!$B$297),0,('19_Расчет_аналитики'!BH4465-'19_Расчет_аналитики'!BH4493)*IF('01_Вводные'!$B$239="Да",MeanMinAge10+'19_Расчет_аналитики'!BH4608*SUMIF(ThresholdAge10,"&lt;"&amp;'19_Расчет_аналитики'!BH4608,WeightedRevAge10)-SUMIF(ThresholdAge10,"&lt;"&amp;'19_Расчет_аналитики'!BH4608,WeightedMinAge10),MAX(CapacityAge10*'01_Вводные'!$B$218*'19_Расчет_аналитики'!BH4608,MeanMinAge10))),0)</f>
        <v/>
      </c>
      <c r="BI4549">
        <f>IF('01_Вводные'!$B$234="Да",IF(OR(('19_Расчет_аналитики'!BI4465-'19_Расчет_аналитики'!BI4493)=0,10&lt;='01_Вводные'!$B$297),0,('19_Расчет_аналитики'!BI4465-'19_Расчет_аналитики'!BI4493)*IF('01_Вводные'!$B$239="Да",MeanMinAge10+'19_Расчет_аналитики'!BI4608*SUMIF(ThresholdAge10,"&lt;"&amp;'19_Расчет_аналитики'!BI4608,WeightedRevAge10)-SUMIF(ThresholdAge10,"&lt;"&amp;'19_Расчет_аналитики'!BI4608,WeightedMinAge10),MAX(CapacityAge10*'01_Вводные'!$B$218*'19_Расчет_аналитики'!BI4608,MeanMinAge10))),0)</f>
        <v/>
      </c>
      <c r="BJ4549">
        <f>IF('01_Вводные'!$B$234="Да",IF(OR(('19_Расчет_аналитики'!BJ4465-'19_Расчет_аналитики'!BJ4493)=0,10&lt;='01_Вводные'!$B$297),0,('19_Расчет_аналитики'!BJ4465-'19_Расчет_аналитики'!BJ4493)*IF('01_Вводные'!$B$239="Да",MeanMinAge10+'19_Расчет_аналитики'!BJ4608*SUMIF(ThresholdAge10,"&lt;"&amp;'19_Расчет_аналитики'!BJ4608,WeightedRevAge10)-SUMIF(ThresholdAge10,"&lt;"&amp;'19_Расчет_аналитики'!BJ4608,WeightedMinAge10),MAX(CapacityAge10*'01_Вводные'!$B$218*'19_Расчет_аналитики'!BJ4608,MeanMinAge10))),0)</f>
        <v/>
      </c>
      <c r="BK4549">
        <f>IF('01_Вводные'!$B$234="Да",IF(OR(('19_Расчет_аналитики'!BK4465-'19_Расчет_аналитики'!BK4493)=0,10&lt;='01_Вводные'!$B$297),0,('19_Расчет_аналитики'!BK4465-'19_Расчет_аналитики'!BK4493)*IF('01_Вводные'!$B$239="Да",MeanMinAge10+'19_Расчет_аналитики'!BK4608*SUMIF(ThresholdAge10,"&lt;"&amp;'19_Расчет_аналитики'!BK4608,WeightedRevAge10)-SUMIF(ThresholdAge10,"&lt;"&amp;'19_Расчет_аналитики'!BK4608,WeightedMinAge10),MAX(CapacityAge10*'01_Вводные'!$B$218*'19_Расчет_аналитики'!BK4608,MeanMinAge10))),0)</f>
        <v/>
      </c>
      <c r="BL4549">
        <f>IF('01_Вводные'!$B$234="Да",IF(OR(('19_Расчет_аналитики'!BL4465-'19_Расчет_аналитики'!BL4493)=0,10&lt;='01_Вводные'!$B$297),0,('19_Расчет_аналитики'!BL4465-'19_Расчет_аналитики'!BL4493)*IF('01_Вводные'!$B$239="Да",MeanMinAge10+'19_Расчет_аналитики'!BL4608*SUMIF(ThresholdAge10,"&lt;"&amp;'19_Расчет_аналитики'!BL4608,WeightedRevAge10)-SUMIF(ThresholdAge10,"&lt;"&amp;'19_Расчет_аналитики'!BL4608,WeightedMinAge10),MAX(CapacityAge10*'01_Вводные'!$B$218*'19_Расчет_аналитики'!BL4608,MeanMinAge10))),0)</f>
        <v/>
      </c>
      <c r="BM4549">
        <f>IF('01_Вводные'!$B$234="Да",IF(OR(('19_Расчет_аналитики'!BM4465-'19_Расчет_аналитики'!BM4493)=0,10&lt;='01_Вводные'!$B$297),0,('19_Расчет_аналитики'!BM4465-'19_Расчет_аналитики'!BM4493)*IF('01_Вводные'!$B$239="Да",MeanMinAge10+'19_Расчет_аналитики'!BM4608*SUMIF(ThresholdAge10,"&lt;"&amp;'19_Расчет_аналитики'!BM4608,WeightedRevAge10)-SUMIF(ThresholdAge10,"&lt;"&amp;'19_Расчет_аналитики'!BM4608,WeightedMinAge10),MAX(CapacityAge10*'01_Вводные'!$B$218*'19_Расчет_аналитики'!BM4608,MeanMinAge10))),0)</f>
        <v/>
      </c>
      <c r="BN4549">
        <f>IF('01_Вводные'!$B$234="Да",IF(OR(('19_Расчет_аналитики'!BN4465-'19_Расчет_аналитики'!BN4493)=0,10&lt;='01_Вводные'!$B$297),0,('19_Расчет_аналитики'!BN4465-'19_Расчет_аналитики'!BN4493)*IF('01_Вводные'!$B$239="Да",MeanMinAge10+'19_Расчет_аналитики'!BN4608*SUMIF(ThresholdAge10,"&lt;"&amp;'19_Расчет_аналитики'!BN4608,WeightedRevAge10)-SUMIF(ThresholdAge10,"&lt;"&amp;'19_Расчет_аналитики'!BN4608,WeightedMinAge10),MAX(CapacityAge10*'01_Вводные'!$B$218*'19_Расчет_аналитики'!BN4608,MeanMinAge10))),0)</f>
        <v/>
      </c>
      <c r="BO4549">
        <f>IF('01_Вводные'!$B$234="Да",IF(OR(('19_Расчет_аналитики'!BO4465-'19_Расчет_аналитики'!BO4493)=0,10&lt;='01_Вводные'!$B$297),0,('19_Расчет_аналитики'!BO4465-'19_Расчет_аналитики'!BO4493)*IF('01_Вводные'!$B$239="Да",MeanMinAge10+'19_Расчет_аналитики'!BO4608*SUMIF(ThresholdAge10,"&lt;"&amp;'19_Расчет_аналитики'!BO4608,WeightedRevAge10)-SUMIF(ThresholdAge10,"&lt;"&amp;'19_Расчет_аналитики'!BO4608,WeightedMinAge10),MAX(CapacityAge10*'01_Вводные'!$B$218*'19_Расчет_аналитики'!BO4608,MeanMinAge10))),0)</f>
        <v/>
      </c>
    </row>
    <row r="4550">
      <c r="B4550">
        <f>IF('01_Вводные'!$B$234="Да",IF(OR(('06_Сеть_и_дети'!B63-'06_Сеть_и_дети'!B91)=0,11&lt;='01_Вводные'!$B$297),0,('06_Сеть_и_дети'!B63-'06_Сеть_и_дети'!B91)*IF('01_Вводные'!$B$239="Да",MeanMinAge11+'19_Расчет_аналитики'!B4608*SUMIF(ThresholdAge11,"&lt;"&amp;'19_Расчет_аналитики'!B4608,WeightedRevAge11)-SUMIF(ThresholdAge11,"&lt;"&amp;'19_Расчет_аналитики'!B4608,WeightedMinAge11),MAX(CapacityAge11*'01_Вводные'!$B$218*'19_Расчет_аналитики'!B4608,MeanMinAge11))),0)</f>
        <v/>
      </c>
      <c r="C4550">
        <f>IF('01_Вводные'!$B$234="Да",IF(OR(('06_Сеть_и_дети'!C63-'06_Сеть_и_дети'!C91)=0,11&lt;='01_Вводные'!$B$297),0,('06_Сеть_и_дети'!C63-'06_Сеть_и_дети'!C91)*IF('01_Вводные'!$B$239="Да",MeanMinAge11+'19_Расчет_аналитики'!C4608*SUMIF(ThresholdAge11,"&lt;"&amp;'19_Расчет_аналитики'!C4608,WeightedRevAge11)-SUMIF(ThresholdAge11,"&lt;"&amp;'19_Расчет_аналитики'!C4608,WeightedMinAge11),MAX(CapacityAge11*'01_Вводные'!$B$218*'19_Расчет_аналитики'!C4608,MeanMinAge11))),0)</f>
        <v/>
      </c>
      <c r="D4550">
        <f>IF('01_Вводные'!$B$234="Да",IF(OR(('06_Сеть_и_дети'!D63-'06_Сеть_и_дети'!D91)=0,11&lt;='01_Вводные'!$B$297),0,('06_Сеть_и_дети'!D63-'06_Сеть_и_дети'!D91)*IF('01_Вводные'!$B$239="Да",MeanMinAge11+'19_Расчет_аналитики'!D4608*SUMIF(ThresholdAge11,"&lt;"&amp;'19_Расчет_аналитики'!D4608,WeightedRevAge11)-SUMIF(ThresholdAge11,"&lt;"&amp;'19_Расчет_аналитики'!D4608,WeightedMinAge11),MAX(CapacityAge11*'01_Вводные'!$B$218*'19_Расчет_аналитики'!D4608,MeanMinAge11))),0)</f>
        <v/>
      </c>
      <c r="E4550">
        <f>IF('01_Вводные'!$B$234="Да",IF(OR(('06_Сеть_и_дети'!E63-'06_Сеть_и_дети'!E91)=0,11&lt;='01_Вводные'!$B$297),0,('06_Сеть_и_дети'!E63-'06_Сеть_и_дети'!E91)*IF('01_Вводные'!$B$239="Да",MeanMinAge11+'19_Расчет_аналитики'!E4608*SUMIF(ThresholdAge11,"&lt;"&amp;'19_Расчет_аналитики'!E4608,WeightedRevAge11)-SUMIF(ThresholdAge11,"&lt;"&amp;'19_Расчет_аналитики'!E4608,WeightedMinAge11),MAX(CapacityAge11*'01_Вводные'!$B$218*'19_Расчет_аналитики'!E4608,MeanMinAge11))),0)</f>
        <v/>
      </c>
      <c r="F4550">
        <f>IF('01_Вводные'!$B$234="Да",IF(OR(('06_Сеть_и_дети'!F63-'06_Сеть_и_дети'!F91)=0,11&lt;='01_Вводные'!$B$297),0,('06_Сеть_и_дети'!F63-'06_Сеть_и_дети'!F91)*IF('01_Вводные'!$B$239="Да",MeanMinAge11+'19_Расчет_аналитики'!F4608*SUMIF(ThresholdAge11,"&lt;"&amp;'19_Расчет_аналитики'!F4608,WeightedRevAge11)-SUMIF(ThresholdAge11,"&lt;"&amp;'19_Расчет_аналитики'!F4608,WeightedMinAge11),MAX(CapacityAge11*'01_Вводные'!$B$218*'19_Расчет_аналитики'!F4608,MeanMinAge11))),0)</f>
        <v/>
      </c>
      <c r="G4550">
        <f>IF('01_Вводные'!$B$234="Да",IF(OR(('06_Сеть_и_дети'!G63-'06_Сеть_и_дети'!G91)=0,11&lt;='01_Вводные'!$B$297),0,('06_Сеть_и_дети'!G63-'06_Сеть_и_дети'!G91)*IF('01_Вводные'!$B$239="Да",MeanMinAge11+'19_Расчет_аналитики'!G4608*SUMIF(ThresholdAge11,"&lt;"&amp;'19_Расчет_аналитики'!G4608,WeightedRevAge11)-SUMIF(ThresholdAge11,"&lt;"&amp;'19_Расчет_аналитики'!G4608,WeightedMinAge11),MAX(CapacityAge11*'01_Вводные'!$B$218*'19_Расчет_аналитики'!G4608,MeanMinAge11))),0)</f>
        <v/>
      </c>
      <c r="H4550">
        <f>IF('01_Вводные'!$B$234="Да",IF(OR(('06_Сеть_и_дети'!H63-'06_Сеть_и_дети'!H91)=0,11&lt;='01_Вводные'!$B$297),0,('06_Сеть_и_дети'!H63-'06_Сеть_и_дети'!H91)*IF('01_Вводные'!$B$239="Да",MeanMinAge11+'19_Расчет_аналитики'!H4608*SUMIF(ThresholdAge11,"&lt;"&amp;'19_Расчет_аналитики'!H4608,WeightedRevAge11)-SUMIF(ThresholdAge11,"&lt;"&amp;'19_Расчет_аналитики'!H4608,WeightedMinAge11),MAX(CapacityAge11*'01_Вводные'!$B$218*'19_Расчет_аналитики'!H4608,MeanMinAge11))),0)</f>
        <v/>
      </c>
      <c r="I4550">
        <f>IF('01_Вводные'!$B$234="Да",IF(OR(('06_Сеть_и_дети'!I63-'06_Сеть_и_дети'!I91)=0,11&lt;='01_Вводные'!$B$297),0,('06_Сеть_и_дети'!I63-'06_Сеть_и_дети'!I91)*IF('01_Вводные'!$B$239="Да",MeanMinAge11+'19_Расчет_аналитики'!I4608*SUMIF(ThresholdAge11,"&lt;"&amp;'19_Расчет_аналитики'!I4608,WeightedRevAge11)-SUMIF(ThresholdAge11,"&lt;"&amp;'19_Расчет_аналитики'!I4608,WeightedMinAge11),MAX(CapacityAge11*'01_Вводные'!$B$218*'19_Расчет_аналитики'!I4608,MeanMinAge11))),0)</f>
        <v/>
      </c>
      <c r="J4550">
        <f>IF('01_Вводные'!$B$234="Да",IF(OR(('06_Сеть_и_дети'!J63-'06_Сеть_и_дети'!J91)=0,11&lt;='01_Вводные'!$B$297),0,('06_Сеть_и_дети'!J63-'06_Сеть_и_дети'!J91)*IF('01_Вводные'!$B$239="Да",MeanMinAge11+'19_Расчет_аналитики'!J4608*SUMIF(ThresholdAge11,"&lt;"&amp;'19_Расчет_аналитики'!J4608,WeightedRevAge11)-SUMIF(ThresholdAge11,"&lt;"&amp;'19_Расчет_аналитики'!J4608,WeightedMinAge11),MAX(CapacityAge11*'01_Вводные'!$B$218*'19_Расчет_аналитики'!J4608,MeanMinAge11))),0)</f>
        <v/>
      </c>
      <c r="K4550">
        <f>IF('01_Вводные'!$B$234="Да",IF(OR(('06_Сеть_и_дети'!K63-'06_Сеть_и_дети'!K91)=0,11&lt;='01_Вводные'!$B$297),0,('06_Сеть_и_дети'!K63-'06_Сеть_и_дети'!K91)*IF('01_Вводные'!$B$239="Да",MeanMinAge11+'19_Расчет_аналитики'!K4608*SUMIF(ThresholdAge11,"&lt;"&amp;'19_Расчет_аналитики'!K4608,WeightedRevAge11)-SUMIF(ThresholdAge11,"&lt;"&amp;'19_Расчет_аналитики'!K4608,WeightedMinAge11),MAX(CapacityAge11*'01_Вводные'!$B$218*'19_Расчет_аналитики'!K4608,MeanMinAge11))),0)</f>
        <v/>
      </c>
      <c r="L4550">
        <f>IF('01_Вводные'!$B$234="Да",IF(OR(('19_Расчет_аналитики'!L4466-'19_Расчет_аналитики'!L4494)=0,11&lt;='01_Вводные'!$B$297),0,('19_Расчет_аналитики'!L4466-'19_Расчет_аналитики'!L4494)*IF('01_Вводные'!$B$239="Да",MeanMinAge11+'19_Расчет_аналитики'!L4608*SUMIF(ThresholdAge11,"&lt;"&amp;'19_Расчет_аналитики'!L4608,WeightedRevAge11)-SUMIF(ThresholdAge11,"&lt;"&amp;'19_Расчет_аналитики'!L4608,WeightedMinAge11),MAX(CapacityAge11*'01_Вводные'!$B$218*'19_Расчет_аналитики'!L4608,MeanMinAge11))),0)</f>
        <v/>
      </c>
      <c r="M4550">
        <f>IF('01_Вводные'!$B$234="Да",IF(OR(('19_Расчет_аналитики'!M4466-'19_Расчет_аналитики'!M4494)=0,11&lt;='01_Вводные'!$B$297),0,('19_Расчет_аналитики'!M4466-'19_Расчет_аналитики'!M4494)*IF('01_Вводные'!$B$239="Да",MeanMinAge11+'19_Расчет_аналитики'!M4608*SUMIF(ThresholdAge11,"&lt;"&amp;'19_Расчет_аналитики'!M4608,WeightedRevAge11)-SUMIF(ThresholdAge11,"&lt;"&amp;'19_Расчет_аналитики'!M4608,WeightedMinAge11),MAX(CapacityAge11*'01_Вводные'!$B$218*'19_Расчет_аналитики'!M4608,MeanMinAge11))),0)</f>
        <v/>
      </c>
      <c r="N4550">
        <f>IF('01_Вводные'!$B$234="Да",IF(OR(('19_Расчет_аналитики'!N4466-'19_Расчет_аналитики'!N4494)=0,11&lt;='01_Вводные'!$B$297),0,('19_Расчет_аналитики'!N4466-'19_Расчет_аналитики'!N4494)*IF('01_Вводные'!$B$239="Да",MeanMinAge11+'19_Расчет_аналитики'!N4608*SUMIF(ThresholdAge11,"&lt;"&amp;'19_Расчет_аналитики'!N4608,WeightedRevAge11)-SUMIF(ThresholdAge11,"&lt;"&amp;'19_Расчет_аналитики'!N4608,WeightedMinAge11),MAX(CapacityAge11*'01_Вводные'!$B$218*'19_Расчет_аналитики'!N4608,MeanMinAge11))),0)</f>
        <v/>
      </c>
      <c r="O4550">
        <f>IF('01_Вводные'!$B$234="Да",IF(OR(('19_Расчет_аналитики'!O4466-'19_Расчет_аналитики'!O4494)=0,11&lt;='01_Вводные'!$B$297),0,('19_Расчет_аналитики'!O4466-'19_Расчет_аналитики'!O4494)*IF('01_Вводные'!$B$239="Да",MeanMinAge11+'19_Расчет_аналитики'!O4608*SUMIF(ThresholdAge11,"&lt;"&amp;'19_Расчет_аналитики'!O4608,WeightedRevAge11)-SUMIF(ThresholdAge11,"&lt;"&amp;'19_Расчет_аналитики'!O4608,WeightedMinAge11),MAX(CapacityAge11*'01_Вводные'!$B$218*'19_Расчет_аналитики'!O4608,MeanMinAge11))),0)</f>
        <v/>
      </c>
      <c r="P4550">
        <f>IF('01_Вводные'!$B$234="Да",IF(OR(('19_Расчет_аналитики'!P4466-'19_Расчет_аналитики'!P4494)=0,11&lt;='01_Вводные'!$B$297),0,('19_Расчет_аналитики'!P4466-'19_Расчет_аналитики'!P4494)*IF('01_Вводные'!$B$239="Да",MeanMinAge11+'19_Расчет_аналитики'!P4608*SUMIF(ThresholdAge11,"&lt;"&amp;'19_Расчет_аналитики'!P4608,WeightedRevAge11)-SUMIF(ThresholdAge11,"&lt;"&amp;'19_Расчет_аналитики'!P4608,WeightedMinAge11),MAX(CapacityAge11*'01_Вводные'!$B$218*'19_Расчет_аналитики'!P4608,MeanMinAge11))),0)</f>
        <v/>
      </c>
      <c r="Q4550">
        <f>IF('01_Вводные'!$B$234="Да",IF(OR(('19_Расчет_аналитики'!Q4466-'19_Расчет_аналитики'!Q4494)=0,11&lt;='01_Вводные'!$B$297),0,('19_Расчет_аналитики'!Q4466-'19_Расчет_аналитики'!Q4494)*IF('01_Вводные'!$B$239="Да",MeanMinAge11+'19_Расчет_аналитики'!Q4608*SUMIF(ThresholdAge11,"&lt;"&amp;'19_Расчет_аналитики'!Q4608,WeightedRevAge11)-SUMIF(ThresholdAge11,"&lt;"&amp;'19_Расчет_аналитики'!Q4608,WeightedMinAge11),MAX(CapacityAge11*'01_Вводные'!$B$218*'19_Расчет_аналитики'!Q4608,MeanMinAge11))),0)</f>
        <v/>
      </c>
      <c r="R4550">
        <f>IF('01_Вводные'!$B$234="Да",IF(OR(('19_Расчет_аналитики'!R4466-'19_Расчет_аналитики'!R4494)=0,11&lt;='01_Вводные'!$B$297),0,('19_Расчет_аналитики'!R4466-'19_Расчет_аналитики'!R4494)*IF('01_Вводные'!$B$239="Да",MeanMinAge11+'19_Расчет_аналитики'!R4608*SUMIF(ThresholdAge11,"&lt;"&amp;'19_Расчет_аналитики'!R4608,WeightedRevAge11)-SUMIF(ThresholdAge11,"&lt;"&amp;'19_Расчет_аналитики'!R4608,WeightedMinAge11),MAX(CapacityAge11*'01_Вводные'!$B$218*'19_Расчет_аналитики'!R4608,MeanMinAge11))),0)</f>
        <v/>
      </c>
      <c r="S4550">
        <f>IF('01_Вводные'!$B$234="Да",IF(OR(('19_Расчет_аналитики'!S4466-'19_Расчет_аналитики'!S4494)=0,11&lt;='01_Вводные'!$B$297),0,('19_Расчет_аналитики'!S4466-'19_Расчет_аналитики'!S4494)*IF('01_Вводные'!$B$239="Да",MeanMinAge11+'19_Расчет_аналитики'!S4608*SUMIF(ThresholdAge11,"&lt;"&amp;'19_Расчет_аналитики'!S4608,WeightedRevAge11)-SUMIF(ThresholdAge11,"&lt;"&amp;'19_Расчет_аналитики'!S4608,WeightedMinAge11),MAX(CapacityAge11*'01_Вводные'!$B$218*'19_Расчет_аналитики'!S4608,MeanMinAge11))),0)</f>
        <v/>
      </c>
      <c r="T4550">
        <f>IF('01_Вводные'!$B$234="Да",IF(OR(('19_Расчет_аналитики'!T4466-'19_Расчет_аналитики'!T4494)=0,11&lt;='01_Вводные'!$B$297),0,('19_Расчет_аналитики'!T4466-'19_Расчет_аналитики'!T4494)*IF('01_Вводные'!$B$239="Да",MeanMinAge11+'19_Расчет_аналитики'!T4608*SUMIF(ThresholdAge11,"&lt;"&amp;'19_Расчет_аналитики'!T4608,WeightedRevAge11)-SUMIF(ThresholdAge11,"&lt;"&amp;'19_Расчет_аналитики'!T4608,WeightedMinAge11),MAX(CapacityAge11*'01_Вводные'!$B$218*'19_Расчет_аналитики'!T4608,MeanMinAge11))),0)</f>
        <v/>
      </c>
      <c r="U4550">
        <f>IF('01_Вводные'!$B$234="Да",IF(OR(('19_Расчет_аналитики'!U4466-'19_Расчет_аналитики'!U4494)=0,11&lt;='01_Вводные'!$B$297),0,('19_Расчет_аналитики'!U4466-'19_Расчет_аналитики'!U4494)*IF('01_Вводные'!$B$239="Да",MeanMinAge11+'19_Расчет_аналитики'!U4608*SUMIF(ThresholdAge11,"&lt;"&amp;'19_Расчет_аналитики'!U4608,WeightedRevAge11)-SUMIF(ThresholdAge11,"&lt;"&amp;'19_Расчет_аналитики'!U4608,WeightedMinAge11),MAX(CapacityAge11*'01_Вводные'!$B$218*'19_Расчет_аналитики'!U4608,MeanMinAge11))),0)</f>
        <v/>
      </c>
      <c r="V4550">
        <f>IF('01_Вводные'!$B$234="Да",IF(OR(('19_Расчет_аналитики'!V4466-'19_Расчет_аналитики'!V4494)=0,11&lt;='01_Вводные'!$B$297),0,('19_Расчет_аналитики'!V4466-'19_Расчет_аналитики'!V4494)*IF('01_Вводные'!$B$239="Да",MeanMinAge11+'19_Расчет_аналитики'!V4608*SUMIF(ThresholdAge11,"&lt;"&amp;'19_Расчет_аналитики'!V4608,WeightedRevAge11)-SUMIF(ThresholdAge11,"&lt;"&amp;'19_Расчет_аналитики'!V4608,WeightedMinAge11),MAX(CapacityAge11*'01_Вводные'!$B$218*'19_Расчет_аналитики'!V4608,MeanMinAge11))),0)</f>
        <v/>
      </c>
      <c r="W4550">
        <f>IF('01_Вводные'!$B$234="Да",IF(OR(('19_Расчет_аналитики'!W4466-'19_Расчет_аналитики'!W4494)=0,11&lt;='01_Вводные'!$B$297),0,('19_Расчет_аналитики'!W4466-'19_Расчет_аналитики'!W4494)*IF('01_Вводные'!$B$239="Да",MeanMinAge11+'19_Расчет_аналитики'!W4608*SUMIF(ThresholdAge11,"&lt;"&amp;'19_Расчет_аналитики'!W4608,WeightedRevAge11)-SUMIF(ThresholdAge11,"&lt;"&amp;'19_Расчет_аналитики'!W4608,WeightedMinAge11),MAX(CapacityAge11*'01_Вводные'!$B$218*'19_Расчет_аналитики'!W4608,MeanMinAge11))),0)</f>
        <v/>
      </c>
      <c r="X4550">
        <f>IF('01_Вводные'!$B$234="Да",IF(OR(('19_Расчет_аналитики'!X4466-'19_Расчет_аналитики'!X4494)=0,11&lt;='01_Вводные'!$B$297),0,('19_Расчет_аналитики'!X4466-'19_Расчет_аналитики'!X4494)*IF('01_Вводные'!$B$239="Да",MeanMinAge11+'19_Расчет_аналитики'!X4608*SUMIF(ThresholdAge11,"&lt;"&amp;'19_Расчет_аналитики'!X4608,WeightedRevAge11)-SUMIF(ThresholdAge11,"&lt;"&amp;'19_Расчет_аналитики'!X4608,WeightedMinAge11),MAX(CapacityAge11*'01_Вводные'!$B$218*'19_Расчет_аналитики'!X4608,MeanMinAge11))),0)</f>
        <v/>
      </c>
      <c r="Y4550">
        <f>IF('01_Вводные'!$B$234="Да",IF(OR(('19_Расчет_аналитики'!Y4466-'19_Расчет_аналитики'!Y4494)=0,11&lt;='01_Вводные'!$B$297),0,('19_Расчет_аналитики'!Y4466-'19_Расчет_аналитики'!Y4494)*IF('01_Вводные'!$B$239="Да",MeanMinAge11+'19_Расчет_аналитики'!Y4608*SUMIF(ThresholdAge11,"&lt;"&amp;'19_Расчет_аналитики'!Y4608,WeightedRevAge11)-SUMIF(ThresholdAge11,"&lt;"&amp;'19_Расчет_аналитики'!Y4608,WeightedMinAge11),MAX(CapacityAge11*'01_Вводные'!$B$218*'19_Расчет_аналитики'!Y4608,MeanMinAge11))),0)</f>
        <v/>
      </c>
      <c r="Z4550">
        <f>IF('01_Вводные'!$B$234="Да",IF(OR(('19_Расчет_аналитики'!Z4466-'19_Расчет_аналитики'!Z4494)=0,11&lt;='01_Вводные'!$B$297),0,('19_Расчет_аналитики'!Z4466-'19_Расчет_аналитики'!Z4494)*IF('01_Вводные'!$B$239="Да",MeanMinAge11+'19_Расчет_аналитики'!Z4608*SUMIF(ThresholdAge11,"&lt;"&amp;'19_Расчет_аналитики'!Z4608,WeightedRevAge11)-SUMIF(ThresholdAge11,"&lt;"&amp;'19_Расчет_аналитики'!Z4608,WeightedMinAge11),MAX(CapacityAge11*'01_Вводные'!$B$218*'19_Расчет_аналитики'!Z4608,MeanMinAge11))),0)</f>
        <v/>
      </c>
      <c r="AA4550">
        <f>IF('01_Вводные'!$B$234="Да",IF(OR(('19_Расчет_аналитики'!AA4466-'19_Расчет_аналитики'!AA4494)=0,11&lt;='01_Вводные'!$B$297),0,('19_Расчет_аналитики'!AA4466-'19_Расчет_аналитики'!AA4494)*IF('01_Вводные'!$B$239="Да",MeanMinAge11+'19_Расчет_аналитики'!AA4608*SUMIF(ThresholdAge11,"&lt;"&amp;'19_Расчет_аналитики'!AA4608,WeightedRevAge11)-SUMIF(ThresholdAge11,"&lt;"&amp;'19_Расчет_аналитики'!AA4608,WeightedMinAge11),MAX(CapacityAge11*'01_Вводные'!$B$218*'19_Расчет_аналитики'!AA4608,MeanMinAge11))),0)</f>
        <v/>
      </c>
      <c r="AB4550">
        <f>IF('01_Вводные'!$B$234="Да",IF(OR(('19_Расчет_аналитики'!AB4466-'19_Расчет_аналитики'!AB4494)=0,11&lt;='01_Вводные'!$B$297),0,('19_Расчет_аналитики'!AB4466-'19_Расчет_аналитики'!AB4494)*IF('01_Вводные'!$B$239="Да",MeanMinAge11+'19_Расчет_аналитики'!AB4608*SUMIF(ThresholdAge11,"&lt;"&amp;'19_Расчет_аналитики'!AB4608,WeightedRevAge11)-SUMIF(ThresholdAge11,"&lt;"&amp;'19_Расчет_аналитики'!AB4608,WeightedMinAge11),MAX(CapacityAge11*'01_Вводные'!$B$218*'19_Расчет_аналитики'!AB4608,MeanMinAge11))),0)</f>
        <v/>
      </c>
      <c r="AC4550">
        <f>IF('01_Вводные'!$B$234="Да",IF(OR(('19_Расчет_аналитики'!AC4466-'19_Расчет_аналитики'!AC4494)=0,11&lt;='01_Вводные'!$B$297),0,('19_Расчет_аналитики'!AC4466-'19_Расчет_аналитики'!AC4494)*IF('01_Вводные'!$B$239="Да",MeanMinAge11+'19_Расчет_аналитики'!AC4608*SUMIF(ThresholdAge11,"&lt;"&amp;'19_Расчет_аналитики'!AC4608,WeightedRevAge11)-SUMIF(ThresholdAge11,"&lt;"&amp;'19_Расчет_аналитики'!AC4608,WeightedMinAge11),MAX(CapacityAge11*'01_Вводные'!$B$218*'19_Расчет_аналитики'!AC4608,MeanMinAge11))),0)</f>
        <v/>
      </c>
      <c r="AD4550">
        <f>IF('01_Вводные'!$B$234="Да",IF(OR(('19_Расчет_аналитики'!AD4466-'19_Расчет_аналитики'!AD4494)=0,11&lt;='01_Вводные'!$B$297),0,('19_Расчет_аналитики'!AD4466-'19_Расчет_аналитики'!AD4494)*IF('01_Вводные'!$B$239="Да",MeanMinAge11+'19_Расчет_аналитики'!AD4608*SUMIF(ThresholdAge11,"&lt;"&amp;'19_Расчет_аналитики'!AD4608,WeightedRevAge11)-SUMIF(ThresholdAge11,"&lt;"&amp;'19_Расчет_аналитики'!AD4608,WeightedMinAge11),MAX(CapacityAge11*'01_Вводные'!$B$218*'19_Расчет_аналитики'!AD4608,MeanMinAge11))),0)</f>
        <v/>
      </c>
      <c r="AE4550">
        <f>IF('01_Вводные'!$B$234="Да",IF(OR(('19_Расчет_аналитики'!AE4466-'19_Расчет_аналитики'!AE4494)=0,11&lt;='01_Вводные'!$B$297),0,('19_Расчет_аналитики'!AE4466-'19_Расчет_аналитики'!AE4494)*IF('01_Вводные'!$B$239="Да",MeanMinAge11+'19_Расчет_аналитики'!AE4608*SUMIF(ThresholdAge11,"&lt;"&amp;'19_Расчет_аналитики'!AE4608,WeightedRevAge11)-SUMIF(ThresholdAge11,"&lt;"&amp;'19_Расчет_аналитики'!AE4608,WeightedMinAge11),MAX(CapacityAge11*'01_Вводные'!$B$218*'19_Расчет_аналитики'!AE4608,MeanMinAge11))),0)</f>
        <v/>
      </c>
      <c r="AF4550">
        <f>IF('01_Вводные'!$B$234="Да",IF(OR(('19_Расчет_аналитики'!AF4466-'19_Расчет_аналитики'!AF4494)=0,11&lt;='01_Вводные'!$B$297),0,('19_Расчет_аналитики'!AF4466-'19_Расчет_аналитики'!AF4494)*IF('01_Вводные'!$B$239="Да",MeanMinAge11+'19_Расчет_аналитики'!AF4608*SUMIF(ThresholdAge11,"&lt;"&amp;'19_Расчет_аналитики'!AF4608,WeightedRevAge11)-SUMIF(ThresholdAge11,"&lt;"&amp;'19_Расчет_аналитики'!AF4608,WeightedMinAge11),MAX(CapacityAge11*'01_Вводные'!$B$218*'19_Расчет_аналитики'!AF4608,MeanMinAge11))),0)</f>
        <v/>
      </c>
      <c r="AG4550">
        <f>IF('01_Вводные'!$B$234="Да",IF(OR(('19_Расчет_аналитики'!AG4466-'19_Расчет_аналитики'!AG4494)=0,11&lt;='01_Вводные'!$B$297),0,('19_Расчет_аналитики'!AG4466-'19_Расчет_аналитики'!AG4494)*IF('01_Вводные'!$B$239="Да",MeanMinAge11+'19_Расчет_аналитики'!AG4608*SUMIF(ThresholdAge11,"&lt;"&amp;'19_Расчет_аналитики'!AG4608,WeightedRevAge11)-SUMIF(ThresholdAge11,"&lt;"&amp;'19_Расчет_аналитики'!AG4608,WeightedMinAge11),MAX(CapacityAge11*'01_Вводные'!$B$218*'19_Расчет_аналитики'!AG4608,MeanMinAge11))),0)</f>
        <v/>
      </c>
      <c r="AH4550">
        <f>IF('01_Вводные'!$B$234="Да",IF(OR(('19_Расчет_аналитики'!AH4466-'19_Расчет_аналитики'!AH4494)=0,11&lt;='01_Вводные'!$B$297),0,('19_Расчет_аналитики'!AH4466-'19_Расчет_аналитики'!AH4494)*IF('01_Вводные'!$B$239="Да",MeanMinAge11+'19_Расчет_аналитики'!AH4608*SUMIF(ThresholdAge11,"&lt;"&amp;'19_Расчет_аналитики'!AH4608,WeightedRevAge11)-SUMIF(ThresholdAge11,"&lt;"&amp;'19_Расчет_аналитики'!AH4608,WeightedMinAge11),MAX(CapacityAge11*'01_Вводные'!$B$218*'19_Расчет_аналитики'!AH4608,MeanMinAge11))),0)</f>
        <v/>
      </c>
      <c r="AI4550">
        <f>IF('01_Вводные'!$B$234="Да",IF(OR(('19_Расчет_аналитики'!AI4466-'19_Расчет_аналитики'!AI4494)=0,11&lt;='01_Вводные'!$B$297),0,('19_Расчет_аналитики'!AI4466-'19_Расчет_аналитики'!AI4494)*IF('01_Вводные'!$B$239="Да",MeanMinAge11+'19_Расчет_аналитики'!AI4608*SUMIF(ThresholdAge11,"&lt;"&amp;'19_Расчет_аналитики'!AI4608,WeightedRevAge11)-SUMIF(ThresholdAge11,"&lt;"&amp;'19_Расчет_аналитики'!AI4608,WeightedMinAge11),MAX(CapacityAge11*'01_Вводные'!$B$218*'19_Расчет_аналитики'!AI4608,MeanMinAge11))),0)</f>
        <v/>
      </c>
      <c r="AJ4550">
        <f>IF('01_Вводные'!$B$234="Да",IF(OR(('19_Расчет_аналитики'!AJ4466-'19_Расчет_аналитики'!AJ4494)=0,11&lt;='01_Вводные'!$B$297),0,('19_Расчет_аналитики'!AJ4466-'19_Расчет_аналитики'!AJ4494)*IF('01_Вводные'!$B$239="Да",MeanMinAge11+'19_Расчет_аналитики'!AJ4608*SUMIF(ThresholdAge11,"&lt;"&amp;'19_Расчет_аналитики'!AJ4608,WeightedRevAge11)-SUMIF(ThresholdAge11,"&lt;"&amp;'19_Расчет_аналитики'!AJ4608,WeightedMinAge11),MAX(CapacityAge11*'01_Вводные'!$B$218*'19_Расчет_аналитики'!AJ4608,MeanMinAge11))),0)</f>
        <v/>
      </c>
      <c r="AK4550">
        <f>IF('01_Вводные'!$B$234="Да",IF(OR(('19_Расчет_аналитики'!AK4466-'19_Расчет_аналитики'!AK4494)=0,11&lt;='01_Вводные'!$B$297),0,('19_Расчет_аналитики'!AK4466-'19_Расчет_аналитики'!AK4494)*IF('01_Вводные'!$B$239="Да",MeanMinAge11+'19_Расчет_аналитики'!AK4608*SUMIF(ThresholdAge11,"&lt;"&amp;'19_Расчет_аналитики'!AK4608,WeightedRevAge11)-SUMIF(ThresholdAge11,"&lt;"&amp;'19_Расчет_аналитики'!AK4608,WeightedMinAge11),MAX(CapacityAge11*'01_Вводные'!$B$218*'19_Расчет_аналитики'!AK4608,MeanMinAge11))),0)</f>
        <v/>
      </c>
      <c r="AL4550">
        <f>IF('01_Вводные'!$B$234="Да",IF(OR(('19_Расчет_аналитики'!AL4466-'19_Расчет_аналитики'!AL4494)=0,11&lt;='01_Вводные'!$B$297),0,('19_Расчет_аналитики'!AL4466-'19_Расчет_аналитики'!AL4494)*IF('01_Вводные'!$B$239="Да",MeanMinAge11+'19_Расчет_аналитики'!AL4608*SUMIF(ThresholdAge11,"&lt;"&amp;'19_Расчет_аналитики'!AL4608,WeightedRevAge11)-SUMIF(ThresholdAge11,"&lt;"&amp;'19_Расчет_аналитики'!AL4608,WeightedMinAge11),MAX(CapacityAge11*'01_Вводные'!$B$218*'19_Расчет_аналитики'!AL4608,MeanMinAge11))),0)</f>
        <v/>
      </c>
      <c r="AM4550">
        <f>IF('01_Вводные'!$B$234="Да",IF(OR(('19_Расчет_аналитики'!AM4466-'19_Расчет_аналитики'!AM4494)=0,11&lt;='01_Вводные'!$B$297),0,('19_Расчет_аналитики'!AM4466-'19_Расчет_аналитики'!AM4494)*IF('01_Вводные'!$B$239="Да",MeanMinAge11+'19_Расчет_аналитики'!AM4608*SUMIF(ThresholdAge11,"&lt;"&amp;'19_Расчет_аналитики'!AM4608,WeightedRevAge11)-SUMIF(ThresholdAge11,"&lt;"&amp;'19_Расчет_аналитики'!AM4608,WeightedMinAge11),MAX(CapacityAge11*'01_Вводные'!$B$218*'19_Расчет_аналитики'!AM4608,MeanMinAge11))),0)</f>
        <v/>
      </c>
      <c r="AN4550">
        <f>IF('01_Вводные'!$B$234="Да",IF(OR(('19_Расчет_аналитики'!AN4466-'19_Расчет_аналитики'!AN4494)=0,11&lt;='01_Вводные'!$B$297),0,('19_Расчет_аналитики'!AN4466-'19_Расчет_аналитики'!AN4494)*IF('01_Вводные'!$B$239="Да",MeanMinAge11+'19_Расчет_аналитики'!AN4608*SUMIF(ThresholdAge11,"&lt;"&amp;'19_Расчет_аналитики'!AN4608,WeightedRevAge11)-SUMIF(ThresholdAge11,"&lt;"&amp;'19_Расчет_аналитики'!AN4608,WeightedMinAge11),MAX(CapacityAge11*'01_Вводные'!$B$218*'19_Расчет_аналитики'!AN4608,MeanMinAge11))),0)</f>
        <v/>
      </c>
      <c r="AO4550">
        <f>IF('01_Вводные'!$B$234="Да",IF(OR(('19_Расчет_аналитики'!AO4466-'19_Расчет_аналитики'!AO4494)=0,11&lt;='01_Вводные'!$B$297),0,('19_Расчет_аналитики'!AO4466-'19_Расчет_аналитики'!AO4494)*IF('01_Вводные'!$B$239="Да",MeanMinAge11+'19_Расчет_аналитики'!AO4608*SUMIF(ThresholdAge11,"&lt;"&amp;'19_Расчет_аналитики'!AO4608,WeightedRevAge11)-SUMIF(ThresholdAge11,"&lt;"&amp;'19_Расчет_аналитики'!AO4608,WeightedMinAge11),MAX(CapacityAge11*'01_Вводные'!$B$218*'19_Расчет_аналитики'!AO4608,MeanMinAge11))),0)</f>
        <v/>
      </c>
      <c r="AP4550">
        <f>IF('01_Вводные'!$B$234="Да",IF(OR(('19_Расчет_аналитики'!AP4466-'19_Расчет_аналитики'!AP4494)=0,11&lt;='01_Вводные'!$B$297),0,('19_Расчет_аналитики'!AP4466-'19_Расчет_аналитики'!AP4494)*IF('01_Вводные'!$B$239="Да",MeanMinAge11+'19_Расчет_аналитики'!AP4608*SUMIF(ThresholdAge11,"&lt;"&amp;'19_Расчет_аналитики'!AP4608,WeightedRevAge11)-SUMIF(ThresholdAge11,"&lt;"&amp;'19_Расчет_аналитики'!AP4608,WeightedMinAge11),MAX(CapacityAge11*'01_Вводные'!$B$218*'19_Расчет_аналитики'!AP4608,MeanMinAge11))),0)</f>
        <v/>
      </c>
      <c r="AQ4550">
        <f>IF('01_Вводные'!$B$234="Да",IF(OR(('19_Расчет_аналитики'!AQ4466-'19_Расчет_аналитики'!AQ4494)=0,11&lt;='01_Вводные'!$B$297),0,('19_Расчет_аналитики'!AQ4466-'19_Расчет_аналитики'!AQ4494)*IF('01_Вводные'!$B$239="Да",MeanMinAge11+'19_Расчет_аналитики'!AQ4608*SUMIF(ThresholdAge11,"&lt;"&amp;'19_Расчет_аналитики'!AQ4608,WeightedRevAge11)-SUMIF(ThresholdAge11,"&lt;"&amp;'19_Расчет_аналитики'!AQ4608,WeightedMinAge11),MAX(CapacityAge11*'01_Вводные'!$B$218*'19_Расчет_аналитики'!AQ4608,MeanMinAge11))),0)</f>
        <v/>
      </c>
      <c r="AR4550">
        <f>IF('01_Вводные'!$B$234="Да",IF(OR(('19_Расчет_аналитики'!AR4466-'19_Расчет_аналитики'!AR4494)=0,11&lt;='01_Вводные'!$B$297),0,('19_Расчет_аналитики'!AR4466-'19_Расчет_аналитики'!AR4494)*IF('01_Вводные'!$B$239="Да",MeanMinAge11+'19_Расчет_аналитики'!AR4608*SUMIF(ThresholdAge11,"&lt;"&amp;'19_Расчет_аналитики'!AR4608,WeightedRevAge11)-SUMIF(ThresholdAge11,"&lt;"&amp;'19_Расчет_аналитики'!AR4608,WeightedMinAge11),MAX(CapacityAge11*'01_Вводные'!$B$218*'19_Расчет_аналитики'!AR4608,MeanMinAge11))),0)</f>
        <v/>
      </c>
      <c r="AS4550">
        <f>IF('01_Вводные'!$B$234="Да",IF(OR(('19_Расчет_аналитики'!AS4466-'19_Расчет_аналитики'!AS4494)=0,11&lt;='01_Вводные'!$B$297),0,('19_Расчет_аналитики'!AS4466-'19_Расчет_аналитики'!AS4494)*IF('01_Вводные'!$B$239="Да",MeanMinAge11+'19_Расчет_аналитики'!AS4608*SUMIF(ThresholdAge11,"&lt;"&amp;'19_Расчет_аналитики'!AS4608,WeightedRevAge11)-SUMIF(ThresholdAge11,"&lt;"&amp;'19_Расчет_аналитики'!AS4608,WeightedMinAge11),MAX(CapacityAge11*'01_Вводные'!$B$218*'19_Расчет_аналитики'!AS4608,MeanMinAge11))),0)</f>
        <v/>
      </c>
      <c r="AT4550">
        <f>IF('01_Вводные'!$B$234="Да",IF(OR(('19_Расчет_аналитики'!AT4466-'19_Расчет_аналитики'!AT4494)=0,11&lt;='01_Вводные'!$B$297),0,('19_Расчет_аналитики'!AT4466-'19_Расчет_аналитики'!AT4494)*IF('01_Вводные'!$B$239="Да",MeanMinAge11+'19_Расчет_аналитики'!AT4608*SUMIF(ThresholdAge11,"&lt;"&amp;'19_Расчет_аналитики'!AT4608,WeightedRevAge11)-SUMIF(ThresholdAge11,"&lt;"&amp;'19_Расчет_аналитики'!AT4608,WeightedMinAge11),MAX(CapacityAge11*'01_Вводные'!$B$218*'19_Расчет_аналитики'!AT4608,MeanMinAge11))),0)</f>
        <v/>
      </c>
      <c r="AU4550">
        <f>IF('01_Вводные'!$B$234="Да",IF(OR(('19_Расчет_аналитики'!AU4466-'19_Расчет_аналитики'!AU4494)=0,11&lt;='01_Вводные'!$B$297),0,('19_Расчет_аналитики'!AU4466-'19_Расчет_аналитики'!AU4494)*IF('01_Вводные'!$B$239="Да",MeanMinAge11+'19_Расчет_аналитики'!AU4608*SUMIF(ThresholdAge11,"&lt;"&amp;'19_Расчет_аналитики'!AU4608,WeightedRevAge11)-SUMIF(ThresholdAge11,"&lt;"&amp;'19_Расчет_аналитики'!AU4608,WeightedMinAge11),MAX(CapacityAge11*'01_Вводные'!$B$218*'19_Расчет_аналитики'!AU4608,MeanMinAge11))),0)</f>
        <v/>
      </c>
      <c r="AV4550">
        <f>IF('01_Вводные'!$B$234="Да",IF(OR(('19_Расчет_аналитики'!AV4466-'19_Расчет_аналитики'!AV4494)=0,11&lt;='01_Вводные'!$B$297),0,('19_Расчет_аналитики'!AV4466-'19_Расчет_аналитики'!AV4494)*IF('01_Вводные'!$B$239="Да",MeanMinAge11+'19_Расчет_аналитики'!AV4608*SUMIF(ThresholdAge11,"&lt;"&amp;'19_Расчет_аналитики'!AV4608,WeightedRevAge11)-SUMIF(ThresholdAge11,"&lt;"&amp;'19_Расчет_аналитики'!AV4608,WeightedMinAge11),MAX(CapacityAge11*'01_Вводные'!$B$218*'19_Расчет_аналитики'!AV4608,MeanMinAge11))),0)</f>
        <v/>
      </c>
      <c r="AW4550">
        <f>IF('01_Вводные'!$B$234="Да",IF(OR(('19_Расчет_аналитики'!AW4466-'19_Расчет_аналитики'!AW4494)=0,11&lt;='01_Вводные'!$B$297),0,('19_Расчет_аналитики'!AW4466-'19_Расчет_аналитики'!AW4494)*IF('01_Вводные'!$B$239="Да",MeanMinAge11+'19_Расчет_аналитики'!AW4608*SUMIF(ThresholdAge11,"&lt;"&amp;'19_Расчет_аналитики'!AW4608,WeightedRevAge11)-SUMIF(ThresholdAge11,"&lt;"&amp;'19_Расчет_аналитики'!AW4608,WeightedMinAge11),MAX(CapacityAge11*'01_Вводные'!$B$218*'19_Расчет_аналитики'!AW4608,MeanMinAge11))),0)</f>
        <v/>
      </c>
      <c r="AX4550">
        <f>IF('01_Вводные'!$B$234="Да",IF(OR(('19_Расчет_аналитики'!AX4466-'19_Расчет_аналитики'!AX4494)=0,11&lt;='01_Вводные'!$B$297),0,('19_Расчет_аналитики'!AX4466-'19_Расчет_аналитики'!AX4494)*IF('01_Вводные'!$B$239="Да",MeanMinAge11+'19_Расчет_аналитики'!AX4608*SUMIF(ThresholdAge11,"&lt;"&amp;'19_Расчет_аналитики'!AX4608,WeightedRevAge11)-SUMIF(ThresholdAge11,"&lt;"&amp;'19_Расчет_аналитики'!AX4608,WeightedMinAge11),MAX(CapacityAge11*'01_Вводные'!$B$218*'19_Расчет_аналитики'!AX4608,MeanMinAge11))),0)</f>
        <v/>
      </c>
      <c r="AY4550">
        <f>IF('01_Вводные'!$B$234="Да",IF(OR(('19_Расчет_аналитики'!AY4466-'19_Расчет_аналитики'!AY4494)=0,11&lt;='01_Вводные'!$B$297),0,('19_Расчет_аналитики'!AY4466-'19_Расчет_аналитики'!AY4494)*IF('01_Вводные'!$B$239="Да",MeanMinAge11+'19_Расчет_аналитики'!AY4608*SUMIF(ThresholdAge11,"&lt;"&amp;'19_Расчет_аналитики'!AY4608,WeightedRevAge11)-SUMIF(ThresholdAge11,"&lt;"&amp;'19_Расчет_аналитики'!AY4608,WeightedMinAge11),MAX(CapacityAge11*'01_Вводные'!$B$218*'19_Расчет_аналитики'!AY4608,MeanMinAge11))),0)</f>
        <v/>
      </c>
      <c r="AZ4550">
        <f>IF('01_Вводные'!$B$234="Да",IF(OR(('19_Расчет_аналитики'!AZ4466-'19_Расчет_аналитики'!AZ4494)=0,11&lt;='01_Вводные'!$B$297),0,('19_Расчет_аналитики'!AZ4466-'19_Расчет_аналитики'!AZ4494)*IF('01_Вводные'!$B$239="Да",MeanMinAge11+'19_Расчет_аналитики'!AZ4608*SUMIF(ThresholdAge11,"&lt;"&amp;'19_Расчет_аналитики'!AZ4608,WeightedRevAge11)-SUMIF(ThresholdAge11,"&lt;"&amp;'19_Расчет_аналитики'!AZ4608,WeightedMinAge11),MAX(CapacityAge11*'01_Вводные'!$B$218*'19_Расчет_аналитики'!AZ4608,MeanMinAge11))),0)</f>
        <v/>
      </c>
      <c r="BA4550">
        <f>IF('01_Вводные'!$B$234="Да",IF(OR(('19_Расчет_аналитики'!BA4466-'19_Расчет_аналитики'!BA4494)=0,11&lt;='01_Вводные'!$B$297),0,('19_Расчет_аналитики'!BA4466-'19_Расчет_аналитики'!BA4494)*IF('01_Вводные'!$B$239="Да",MeanMinAge11+'19_Расчет_аналитики'!BA4608*SUMIF(ThresholdAge11,"&lt;"&amp;'19_Расчет_аналитики'!BA4608,WeightedRevAge11)-SUMIF(ThresholdAge11,"&lt;"&amp;'19_Расчет_аналитики'!BA4608,WeightedMinAge11),MAX(CapacityAge11*'01_Вводные'!$B$218*'19_Расчет_аналитики'!BA4608,MeanMinAge11))),0)</f>
        <v/>
      </c>
      <c r="BB4550">
        <f>IF('01_Вводные'!$B$234="Да",IF(OR(('19_Расчет_аналитики'!BB4466-'19_Расчет_аналитики'!BB4494)=0,11&lt;='01_Вводные'!$B$297),0,('19_Расчет_аналитики'!BB4466-'19_Расчет_аналитики'!BB4494)*IF('01_Вводные'!$B$239="Да",MeanMinAge11+'19_Расчет_аналитики'!BB4608*SUMIF(ThresholdAge11,"&lt;"&amp;'19_Расчет_аналитики'!BB4608,WeightedRevAge11)-SUMIF(ThresholdAge11,"&lt;"&amp;'19_Расчет_аналитики'!BB4608,WeightedMinAge11),MAX(CapacityAge11*'01_Вводные'!$B$218*'19_Расчет_аналитики'!BB4608,MeanMinAge11))),0)</f>
        <v/>
      </c>
      <c r="BC4550">
        <f>IF('01_Вводные'!$B$234="Да",IF(OR(('19_Расчет_аналитики'!BC4466-'19_Расчет_аналитики'!BC4494)=0,11&lt;='01_Вводные'!$B$297),0,('19_Расчет_аналитики'!BC4466-'19_Расчет_аналитики'!BC4494)*IF('01_Вводные'!$B$239="Да",MeanMinAge11+'19_Расчет_аналитики'!BC4608*SUMIF(ThresholdAge11,"&lt;"&amp;'19_Расчет_аналитики'!BC4608,WeightedRevAge11)-SUMIF(ThresholdAge11,"&lt;"&amp;'19_Расчет_аналитики'!BC4608,WeightedMinAge11),MAX(CapacityAge11*'01_Вводные'!$B$218*'19_Расчет_аналитики'!BC4608,MeanMinAge11))),0)</f>
        <v/>
      </c>
      <c r="BD4550">
        <f>IF('01_Вводные'!$B$234="Да",IF(OR(('19_Расчет_аналитики'!BD4466-'19_Расчет_аналитики'!BD4494)=0,11&lt;='01_Вводные'!$B$297),0,('19_Расчет_аналитики'!BD4466-'19_Расчет_аналитики'!BD4494)*IF('01_Вводные'!$B$239="Да",MeanMinAge11+'19_Расчет_аналитики'!BD4608*SUMIF(ThresholdAge11,"&lt;"&amp;'19_Расчет_аналитики'!BD4608,WeightedRevAge11)-SUMIF(ThresholdAge11,"&lt;"&amp;'19_Расчет_аналитики'!BD4608,WeightedMinAge11),MAX(CapacityAge11*'01_Вводные'!$B$218*'19_Расчет_аналитики'!BD4608,MeanMinAge11))),0)</f>
        <v/>
      </c>
      <c r="BE4550">
        <f>IF('01_Вводные'!$B$234="Да",IF(OR(('19_Расчет_аналитики'!BE4466-'19_Расчет_аналитики'!BE4494)=0,11&lt;='01_Вводные'!$B$297),0,('19_Расчет_аналитики'!BE4466-'19_Расчет_аналитики'!BE4494)*IF('01_Вводные'!$B$239="Да",MeanMinAge11+'19_Расчет_аналитики'!BE4608*SUMIF(ThresholdAge11,"&lt;"&amp;'19_Расчет_аналитики'!BE4608,WeightedRevAge11)-SUMIF(ThresholdAge11,"&lt;"&amp;'19_Расчет_аналитики'!BE4608,WeightedMinAge11),MAX(CapacityAge11*'01_Вводные'!$B$218*'19_Расчет_аналитики'!BE4608,MeanMinAge11))),0)</f>
        <v/>
      </c>
      <c r="BF4550">
        <f>IF('01_Вводные'!$B$234="Да",IF(OR(('19_Расчет_аналитики'!BF4466-'19_Расчет_аналитики'!BF4494)=0,11&lt;='01_Вводные'!$B$297),0,('19_Расчет_аналитики'!BF4466-'19_Расчет_аналитики'!BF4494)*IF('01_Вводные'!$B$239="Да",MeanMinAge11+'19_Расчет_аналитики'!BF4608*SUMIF(ThresholdAge11,"&lt;"&amp;'19_Расчет_аналитики'!BF4608,WeightedRevAge11)-SUMIF(ThresholdAge11,"&lt;"&amp;'19_Расчет_аналитики'!BF4608,WeightedMinAge11),MAX(CapacityAge11*'01_Вводные'!$B$218*'19_Расчет_аналитики'!BF4608,MeanMinAge11))),0)</f>
        <v/>
      </c>
      <c r="BG4550">
        <f>IF('01_Вводные'!$B$234="Да",IF(OR(('19_Расчет_аналитики'!BG4466-'19_Расчет_аналитики'!BG4494)=0,11&lt;='01_Вводные'!$B$297),0,('19_Расчет_аналитики'!BG4466-'19_Расчет_аналитики'!BG4494)*IF('01_Вводные'!$B$239="Да",MeanMinAge11+'19_Расчет_аналитики'!BG4608*SUMIF(ThresholdAge11,"&lt;"&amp;'19_Расчет_аналитики'!BG4608,WeightedRevAge11)-SUMIF(ThresholdAge11,"&lt;"&amp;'19_Расчет_аналитики'!BG4608,WeightedMinAge11),MAX(CapacityAge11*'01_Вводные'!$B$218*'19_Расчет_аналитики'!BG4608,MeanMinAge11))),0)</f>
        <v/>
      </c>
      <c r="BH4550">
        <f>IF('01_Вводные'!$B$234="Да",IF(OR(('19_Расчет_аналитики'!BH4466-'19_Расчет_аналитики'!BH4494)=0,11&lt;='01_Вводные'!$B$297),0,('19_Расчет_аналитики'!BH4466-'19_Расчет_аналитики'!BH4494)*IF('01_Вводные'!$B$239="Да",MeanMinAge11+'19_Расчет_аналитики'!BH4608*SUMIF(ThresholdAge11,"&lt;"&amp;'19_Расчет_аналитики'!BH4608,WeightedRevAge11)-SUMIF(ThresholdAge11,"&lt;"&amp;'19_Расчет_аналитики'!BH4608,WeightedMinAge11),MAX(CapacityAge11*'01_Вводные'!$B$218*'19_Расчет_аналитики'!BH4608,MeanMinAge11))),0)</f>
        <v/>
      </c>
      <c r="BI4550">
        <f>IF('01_Вводные'!$B$234="Да",IF(OR(('19_Расчет_аналитики'!BI4466-'19_Расчет_аналитики'!BI4494)=0,11&lt;='01_Вводные'!$B$297),0,('19_Расчет_аналитики'!BI4466-'19_Расчет_аналитики'!BI4494)*IF('01_Вводные'!$B$239="Да",MeanMinAge11+'19_Расчет_аналитики'!BI4608*SUMIF(ThresholdAge11,"&lt;"&amp;'19_Расчет_аналитики'!BI4608,WeightedRevAge11)-SUMIF(ThresholdAge11,"&lt;"&amp;'19_Расчет_аналитики'!BI4608,WeightedMinAge11),MAX(CapacityAge11*'01_Вводные'!$B$218*'19_Расчет_аналитики'!BI4608,MeanMinAge11))),0)</f>
        <v/>
      </c>
      <c r="BJ4550">
        <f>IF('01_Вводные'!$B$234="Да",IF(OR(('19_Расчет_аналитики'!BJ4466-'19_Расчет_аналитики'!BJ4494)=0,11&lt;='01_Вводные'!$B$297),0,('19_Расчет_аналитики'!BJ4466-'19_Расчет_аналитики'!BJ4494)*IF('01_Вводные'!$B$239="Да",MeanMinAge11+'19_Расчет_аналитики'!BJ4608*SUMIF(ThresholdAge11,"&lt;"&amp;'19_Расчет_аналитики'!BJ4608,WeightedRevAge11)-SUMIF(ThresholdAge11,"&lt;"&amp;'19_Расчет_аналитики'!BJ4608,WeightedMinAge11),MAX(CapacityAge11*'01_Вводные'!$B$218*'19_Расчет_аналитики'!BJ4608,MeanMinAge11))),0)</f>
        <v/>
      </c>
      <c r="BK4550">
        <f>IF('01_Вводные'!$B$234="Да",IF(OR(('19_Расчет_аналитики'!BK4466-'19_Расчет_аналитики'!BK4494)=0,11&lt;='01_Вводные'!$B$297),0,('19_Расчет_аналитики'!BK4466-'19_Расчет_аналитики'!BK4494)*IF('01_Вводные'!$B$239="Да",MeanMinAge11+'19_Расчет_аналитики'!BK4608*SUMIF(ThresholdAge11,"&lt;"&amp;'19_Расчет_аналитики'!BK4608,WeightedRevAge11)-SUMIF(ThresholdAge11,"&lt;"&amp;'19_Расчет_аналитики'!BK4608,WeightedMinAge11),MAX(CapacityAge11*'01_Вводные'!$B$218*'19_Расчет_аналитики'!BK4608,MeanMinAge11))),0)</f>
        <v/>
      </c>
      <c r="BL4550">
        <f>IF('01_Вводные'!$B$234="Да",IF(OR(('19_Расчет_аналитики'!BL4466-'19_Расчет_аналитики'!BL4494)=0,11&lt;='01_Вводные'!$B$297),0,('19_Расчет_аналитики'!BL4466-'19_Расчет_аналитики'!BL4494)*IF('01_Вводные'!$B$239="Да",MeanMinAge11+'19_Расчет_аналитики'!BL4608*SUMIF(ThresholdAge11,"&lt;"&amp;'19_Расчет_аналитики'!BL4608,WeightedRevAge11)-SUMIF(ThresholdAge11,"&lt;"&amp;'19_Расчет_аналитики'!BL4608,WeightedMinAge11),MAX(CapacityAge11*'01_Вводные'!$B$218*'19_Расчет_аналитики'!BL4608,MeanMinAge11))),0)</f>
        <v/>
      </c>
      <c r="BM4550">
        <f>IF('01_Вводные'!$B$234="Да",IF(OR(('19_Расчет_аналитики'!BM4466-'19_Расчет_аналитики'!BM4494)=0,11&lt;='01_Вводные'!$B$297),0,('19_Расчет_аналитики'!BM4466-'19_Расчет_аналитики'!BM4494)*IF('01_Вводные'!$B$239="Да",MeanMinAge11+'19_Расчет_аналитики'!BM4608*SUMIF(ThresholdAge11,"&lt;"&amp;'19_Расчет_аналитики'!BM4608,WeightedRevAge11)-SUMIF(ThresholdAge11,"&lt;"&amp;'19_Расчет_аналитики'!BM4608,WeightedMinAge11),MAX(CapacityAge11*'01_Вводные'!$B$218*'19_Расчет_аналитики'!BM4608,MeanMinAge11))),0)</f>
        <v/>
      </c>
      <c r="BN4550">
        <f>IF('01_Вводные'!$B$234="Да",IF(OR(('19_Расчет_аналитики'!BN4466-'19_Расчет_аналитики'!BN4494)=0,11&lt;='01_Вводные'!$B$297),0,('19_Расчет_аналитики'!BN4466-'19_Расчет_аналитики'!BN4494)*IF('01_Вводные'!$B$239="Да",MeanMinAge11+'19_Расчет_аналитики'!BN4608*SUMIF(ThresholdAge11,"&lt;"&amp;'19_Расчет_аналитики'!BN4608,WeightedRevAge11)-SUMIF(ThresholdAge11,"&lt;"&amp;'19_Расчет_аналитики'!BN4608,WeightedMinAge11),MAX(CapacityAge11*'01_Вводные'!$B$218*'19_Расчет_аналитики'!BN4608,MeanMinAge11))),0)</f>
        <v/>
      </c>
      <c r="BO4550">
        <f>IF('01_Вводные'!$B$234="Да",IF(OR(('19_Расчет_аналитики'!BO4466-'19_Расчет_аналитики'!BO4494)=0,11&lt;='01_Вводные'!$B$297),0,('19_Расчет_аналитики'!BO4466-'19_Расчет_аналитики'!BO4494)*IF('01_Вводные'!$B$239="Да",MeanMinAge11+'19_Расчет_аналитики'!BO4608*SUMIF(ThresholdAge11,"&lt;"&amp;'19_Расчет_аналитики'!BO4608,WeightedRevAge11)-SUMIF(ThresholdAge11,"&lt;"&amp;'19_Расчет_аналитики'!BO4608,WeightedMinAge11),MAX(CapacityAge11*'01_Вводные'!$B$218*'19_Расчет_аналитики'!BO4608,MeanMinAge11))),0)</f>
        <v/>
      </c>
    </row>
    <row r="4551">
      <c r="B4551">
        <f>IF('01_Вводные'!$B$234="Да",IF(OR(('06_Сеть_и_дети'!B64-'06_Сеть_и_дети'!B92)=0,12&lt;='01_Вводные'!$B$297),0,('06_Сеть_и_дети'!B64-'06_Сеть_и_дети'!B92)*IF('01_Вводные'!$B$239="Да",MeanMinAge12+'19_Расчет_аналитики'!B4608*SUMIF(ThresholdAge12,"&lt;"&amp;'19_Расчет_аналитики'!B4608,WeightedRevAge12)-SUMIF(ThresholdAge12,"&lt;"&amp;'19_Расчет_аналитики'!B4608,WeightedMinAge12),MAX(CapacityAge12*'01_Вводные'!$B$218*'19_Расчет_аналитики'!B4608,MeanMinAge12))),0)</f>
        <v/>
      </c>
      <c r="C4551">
        <f>IF('01_Вводные'!$B$234="Да",IF(OR(('06_Сеть_и_дети'!C64-'06_Сеть_и_дети'!C92)=0,12&lt;='01_Вводные'!$B$297),0,('06_Сеть_и_дети'!C64-'06_Сеть_и_дети'!C92)*IF('01_Вводные'!$B$239="Да",MeanMinAge12+'19_Расчет_аналитики'!C4608*SUMIF(ThresholdAge12,"&lt;"&amp;'19_Расчет_аналитики'!C4608,WeightedRevAge12)-SUMIF(ThresholdAge12,"&lt;"&amp;'19_Расчет_аналитики'!C4608,WeightedMinAge12),MAX(CapacityAge12*'01_Вводные'!$B$218*'19_Расчет_аналитики'!C4608,MeanMinAge12))),0)</f>
        <v/>
      </c>
      <c r="D4551">
        <f>IF('01_Вводные'!$B$234="Да",IF(OR(('06_Сеть_и_дети'!D64-'06_Сеть_и_дети'!D92)=0,12&lt;='01_Вводные'!$B$297),0,('06_Сеть_и_дети'!D64-'06_Сеть_и_дети'!D92)*IF('01_Вводные'!$B$239="Да",MeanMinAge12+'19_Расчет_аналитики'!D4608*SUMIF(ThresholdAge12,"&lt;"&amp;'19_Расчет_аналитики'!D4608,WeightedRevAge12)-SUMIF(ThresholdAge12,"&lt;"&amp;'19_Расчет_аналитики'!D4608,WeightedMinAge12),MAX(CapacityAge12*'01_Вводные'!$B$218*'19_Расчет_аналитики'!D4608,MeanMinAge12))),0)</f>
        <v/>
      </c>
      <c r="E4551">
        <f>IF('01_Вводные'!$B$234="Да",IF(OR(('06_Сеть_и_дети'!E64-'06_Сеть_и_дети'!E92)=0,12&lt;='01_Вводные'!$B$297),0,('06_Сеть_и_дети'!E64-'06_Сеть_и_дети'!E92)*IF('01_Вводные'!$B$239="Да",MeanMinAge12+'19_Расчет_аналитики'!E4608*SUMIF(ThresholdAge12,"&lt;"&amp;'19_Расчет_аналитики'!E4608,WeightedRevAge12)-SUMIF(ThresholdAge12,"&lt;"&amp;'19_Расчет_аналитики'!E4608,WeightedMinAge12),MAX(CapacityAge12*'01_Вводные'!$B$218*'19_Расчет_аналитики'!E4608,MeanMinAge12))),0)</f>
        <v/>
      </c>
      <c r="F4551">
        <f>IF('01_Вводные'!$B$234="Да",IF(OR(('06_Сеть_и_дети'!F64-'06_Сеть_и_дети'!F92)=0,12&lt;='01_Вводные'!$B$297),0,('06_Сеть_и_дети'!F64-'06_Сеть_и_дети'!F92)*IF('01_Вводные'!$B$239="Да",MeanMinAge12+'19_Расчет_аналитики'!F4608*SUMIF(ThresholdAge12,"&lt;"&amp;'19_Расчет_аналитики'!F4608,WeightedRevAge12)-SUMIF(ThresholdAge12,"&lt;"&amp;'19_Расчет_аналитики'!F4608,WeightedMinAge12),MAX(CapacityAge12*'01_Вводные'!$B$218*'19_Расчет_аналитики'!F4608,MeanMinAge12))),0)</f>
        <v/>
      </c>
      <c r="G4551">
        <f>IF('01_Вводные'!$B$234="Да",IF(OR(('06_Сеть_и_дети'!G64-'06_Сеть_и_дети'!G92)=0,12&lt;='01_Вводные'!$B$297),0,('06_Сеть_и_дети'!G64-'06_Сеть_и_дети'!G92)*IF('01_Вводные'!$B$239="Да",MeanMinAge12+'19_Расчет_аналитики'!G4608*SUMIF(ThresholdAge12,"&lt;"&amp;'19_Расчет_аналитики'!G4608,WeightedRevAge12)-SUMIF(ThresholdAge12,"&lt;"&amp;'19_Расчет_аналитики'!G4608,WeightedMinAge12),MAX(CapacityAge12*'01_Вводные'!$B$218*'19_Расчет_аналитики'!G4608,MeanMinAge12))),0)</f>
        <v/>
      </c>
      <c r="H4551">
        <f>IF('01_Вводные'!$B$234="Да",IF(OR(('06_Сеть_и_дети'!H64-'06_Сеть_и_дети'!H92)=0,12&lt;='01_Вводные'!$B$297),0,('06_Сеть_и_дети'!H64-'06_Сеть_и_дети'!H92)*IF('01_Вводные'!$B$239="Да",MeanMinAge12+'19_Расчет_аналитики'!H4608*SUMIF(ThresholdAge12,"&lt;"&amp;'19_Расчет_аналитики'!H4608,WeightedRevAge12)-SUMIF(ThresholdAge12,"&lt;"&amp;'19_Расчет_аналитики'!H4608,WeightedMinAge12),MAX(CapacityAge12*'01_Вводные'!$B$218*'19_Расчет_аналитики'!H4608,MeanMinAge12))),0)</f>
        <v/>
      </c>
      <c r="I4551">
        <f>IF('01_Вводные'!$B$234="Да",IF(OR(('06_Сеть_и_дети'!I64-'06_Сеть_и_дети'!I92)=0,12&lt;='01_Вводные'!$B$297),0,('06_Сеть_и_дети'!I64-'06_Сеть_и_дети'!I92)*IF('01_Вводные'!$B$239="Да",MeanMinAge12+'19_Расчет_аналитики'!I4608*SUMIF(ThresholdAge12,"&lt;"&amp;'19_Расчет_аналитики'!I4608,WeightedRevAge12)-SUMIF(ThresholdAge12,"&lt;"&amp;'19_Расчет_аналитики'!I4608,WeightedMinAge12),MAX(CapacityAge12*'01_Вводные'!$B$218*'19_Расчет_аналитики'!I4608,MeanMinAge12))),0)</f>
        <v/>
      </c>
      <c r="J4551">
        <f>IF('01_Вводные'!$B$234="Да",IF(OR(('06_Сеть_и_дети'!J64-'06_Сеть_и_дети'!J92)=0,12&lt;='01_Вводные'!$B$297),0,('06_Сеть_и_дети'!J64-'06_Сеть_и_дети'!J92)*IF('01_Вводные'!$B$239="Да",MeanMinAge12+'19_Расчет_аналитики'!J4608*SUMIF(ThresholdAge12,"&lt;"&amp;'19_Расчет_аналитики'!J4608,WeightedRevAge12)-SUMIF(ThresholdAge12,"&lt;"&amp;'19_Расчет_аналитики'!J4608,WeightedMinAge12),MAX(CapacityAge12*'01_Вводные'!$B$218*'19_Расчет_аналитики'!J4608,MeanMinAge12))),0)</f>
        <v/>
      </c>
      <c r="K4551">
        <f>IF('01_Вводные'!$B$234="Да",IF(OR(('06_Сеть_и_дети'!K64-'06_Сеть_и_дети'!K92)=0,12&lt;='01_Вводные'!$B$297),0,('06_Сеть_и_дети'!K64-'06_Сеть_и_дети'!K92)*IF('01_Вводные'!$B$239="Да",MeanMinAge12+'19_Расчет_аналитики'!K4608*SUMIF(ThresholdAge12,"&lt;"&amp;'19_Расчет_аналитики'!K4608,WeightedRevAge12)-SUMIF(ThresholdAge12,"&lt;"&amp;'19_Расчет_аналитики'!K4608,WeightedMinAge12),MAX(CapacityAge12*'01_Вводные'!$B$218*'19_Расчет_аналитики'!K4608,MeanMinAge12))),0)</f>
        <v/>
      </c>
      <c r="L4551">
        <f>IF('01_Вводные'!$B$234="Да",IF(OR(('06_Сеть_и_дети'!L64-'06_Сеть_и_дети'!L92)=0,12&lt;='01_Вводные'!$B$297),0,('06_Сеть_и_дети'!L64-'06_Сеть_и_дети'!L92)*IF('01_Вводные'!$B$239="Да",MeanMinAge12+'19_Расчет_аналитики'!L4608*SUMIF(ThresholdAge12,"&lt;"&amp;'19_Расчет_аналитики'!L4608,WeightedRevAge12)-SUMIF(ThresholdAge12,"&lt;"&amp;'19_Расчет_аналитики'!L4608,WeightedMinAge12),MAX(CapacityAge12*'01_Вводные'!$B$218*'19_Расчет_аналитики'!L4608,MeanMinAge12))),0)</f>
        <v/>
      </c>
      <c r="M4551">
        <f>IF('01_Вводные'!$B$234="Да",IF(OR(('19_Расчет_аналитики'!M4467-'19_Расчет_аналитики'!M4495)=0,12&lt;='01_Вводные'!$B$297),0,('19_Расчет_аналитики'!M4467-'19_Расчет_аналитики'!M4495)*IF('01_Вводные'!$B$239="Да",MeanMinAge12+'19_Расчет_аналитики'!M4608*SUMIF(ThresholdAge12,"&lt;"&amp;'19_Расчет_аналитики'!M4608,WeightedRevAge12)-SUMIF(ThresholdAge12,"&lt;"&amp;'19_Расчет_аналитики'!M4608,WeightedMinAge12),MAX(CapacityAge12*'01_Вводные'!$B$218*'19_Расчет_аналитики'!M4608,MeanMinAge12))),0)</f>
        <v/>
      </c>
      <c r="N4551">
        <f>IF('01_Вводные'!$B$234="Да",IF(OR(('19_Расчет_аналитики'!N4467-'19_Расчет_аналитики'!N4495)=0,12&lt;='01_Вводные'!$B$297),0,('19_Расчет_аналитики'!N4467-'19_Расчет_аналитики'!N4495)*IF('01_Вводные'!$B$239="Да",MeanMinAge12+'19_Расчет_аналитики'!N4608*SUMIF(ThresholdAge12,"&lt;"&amp;'19_Расчет_аналитики'!N4608,WeightedRevAge12)-SUMIF(ThresholdAge12,"&lt;"&amp;'19_Расчет_аналитики'!N4608,WeightedMinAge12),MAX(CapacityAge12*'01_Вводные'!$B$218*'19_Расчет_аналитики'!N4608,MeanMinAge12))),0)</f>
        <v/>
      </c>
      <c r="O4551">
        <f>IF('01_Вводные'!$B$234="Да",IF(OR(('19_Расчет_аналитики'!O4467-'19_Расчет_аналитики'!O4495)=0,12&lt;='01_Вводные'!$B$297),0,('19_Расчет_аналитики'!O4467-'19_Расчет_аналитики'!O4495)*IF('01_Вводные'!$B$239="Да",MeanMinAge12+'19_Расчет_аналитики'!O4608*SUMIF(ThresholdAge12,"&lt;"&amp;'19_Расчет_аналитики'!O4608,WeightedRevAge12)-SUMIF(ThresholdAge12,"&lt;"&amp;'19_Расчет_аналитики'!O4608,WeightedMinAge12),MAX(CapacityAge12*'01_Вводные'!$B$218*'19_Расчет_аналитики'!O4608,MeanMinAge12))),0)</f>
        <v/>
      </c>
      <c r="P4551">
        <f>IF('01_Вводные'!$B$234="Да",IF(OR(('19_Расчет_аналитики'!P4467-'19_Расчет_аналитики'!P4495)=0,12&lt;='01_Вводные'!$B$297),0,('19_Расчет_аналитики'!P4467-'19_Расчет_аналитики'!P4495)*IF('01_Вводные'!$B$239="Да",MeanMinAge12+'19_Расчет_аналитики'!P4608*SUMIF(ThresholdAge12,"&lt;"&amp;'19_Расчет_аналитики'!P4608,WeightedRevAge12)-SUMIF(ThresholdAge12,"&lt;"&amp;'19_Расчет_аналитики'!P4608,WeightedMinAge12),MAX(CapacityAge12*'01_Вводные'!$B$218*'19_Расчет_аналитики'!P4608,MeanMinAge12))),0)</f>
        <v/>
      </c>
      <c r="Q4551">
        <f>IF('01_Вводные'!$B$234="Да",IF(OR(('19_Расчет_аналитики'!Q4467-'19_Расчет_аналитики'!Q4495)=0,12&lt;='01_Вводные'!$B$297),0,('19_Расчет_аналитики'!Q4467-'19_Расчет_аналитики'!Q4495)*IF('01_Вводные'!$B$239="Да",MeanMinAge12+'19_Расчет_аналитики'!Q4608*SUMIF(ThresholdAge12,"&lt;"&amp;'19_Расчет_аналитики'!Q4608,WeightedRevAge12)-SUMIF(ThresholdAge12,"&lt;"&amp;'19_Расчет_аналитики'!Q4608,WeightedMinAge12),MAX(CapacityAge12*'01_Вводные'!$B$218*'19_Расчет_аналитики'!Q4608,MeanMinAge12))),0)</f>
        <v/>
      </c>
      <c r="R4551">
        <f>IF('01_Вводные'!$B$234="Да",IF(OR(('19_Расчет_аналитики'!R4467-'19_Расчет_аналитики'!R4495)=0,12&lt;='01_Вводные'!$B$297),0,('19_Расчет_аналитики'!R4467-'19_Расчет_аналитики'!R4495)*IF('01_Вводные'!$B$239="Да",MeanMinAge12+'19_Расчет_аналитики'!R4608*SUMIF(ThresholdAge12,"&lt;"&amp;'19_Расчет_аналитики'!R4608,WeightedRevAge12)-SUMIF(ThresholdAge12,"&lt;"&amp;'19_Расчет_аналитики'!R4608,WeightedMinAge12),MAX(CapacityAge12*'01_Вводные'!$B$218*'19_Расчет_аналитики'!R4608,MeanMinAge12))),0)</f>
        <v/>
      </c>
      <c r="S4551">
        <f>IF('01_Вводные'!$B$234="Да",IF(OR(('19_Расчет_аналитики'!S4467-'19_Расчет_аналитики'!S4495)=0,12&lt;='01_Вводные'!$B$297),0,('19_Расчет_аналитики'!S4467-'19_Расчет_аналитики'!S4495)*IF('01_Вводные'!$B$239="Да",MeanMinAge12+'19_Расчет_аналитики'!S4608*SUMIF(ThresholdAge12,"&lt;"&amp;'19_Расчет_аналитики'!S4608,WeightedRevAge12)-SUMIF(ThresholdAge12,"&lt;"&amp;'19_Расчет_аналитики'!S4608,WeightedMinAge12),MAX(CapacityAge12*'01_Вводные'!$B$218*'19_Расчет_аналитики'!S4608,MeanMinAge12))),0)</f>
        <v/>
      </c>
      <c r="T4551">
        <f>IF('01_Вводные'!$B$234="Да",IF(OR(('19_Расчет_аналитики'!T4467-'19_Расчет_аналитики'!T4495)=0,12&lt;='01_Вводные'!$B$297),0,('19_Расчет_аналитики'!T4467-'19_Расчет_аналитики'!T4495)*IF('01_Вводные'!$B$239="Да",MeanMinAge12+'19_Расчет_аналитики'!T4608*SUMIF(ThresholdAge12,"&lt;"&amp;'19_Расчет_аналитики'!T4608,WeightedRevAge12)-SUMIF(ThresholdAge12,"&lt;"&amp;'19_Расчет_аналитики'!T4608,WeightedMinAge12),MAX(CapacityAge12*'01_Вводные'!$B$218*'19_Расчет_аналитики'!T4608,MeanMinAge12))),0)</f>
        <v/>
      </c>
      <c r="U4551">
        <f>IF('01_Вводные'!$B$234="Да",IF(OR(('19_Расчет_аналитики'!U4467-'19_Расчет_аналитики'!U4495)=0,12&lt;='01_Вводные'!$B$297),0,('19_Расчет_аналитики'!U4467-'19_Расчет_аналитики'!U4495)*IF('01_Вводные'!$B$239="Да",MeanMinAge12+'19_Расчет_аналитики'!U4608*SUMIF(ThresholdAge12,"&lt;"&amp;'19_Расчет_аналитики'!U4608,WeightedRevAge12)-SUMIF(ThresholdAge12,"&lt;"&amp;'19_Расчет_аналитики'!U4608,WeightedMinAge12),MAX(CapacityAge12*'01_Вводные'!$B$218*'19_Расчет_аналитики'!U4608,MeanMinAge12))),0)</f>
        <v/>
      </c>
      <c r="V4551">
        <f>IF('01_Вводные'!$B$234="Да",IF(OR(('19_Расчет_аналитики'!V4467-'19_Расчет_аналитики'!V4495)=0,12&lt;='01_Вводные'!$B$297),0,('19_Расчет_аналитики'!V4467-'19_Расчет_аналитики'!V4495)*IF('01_Вводные'!$B$239="Да",MeanMinAge12+'19_Расчет_аналитики'!V4608*SUMIF(ThresholdAge12,"&lt;"&amp;'19_Расчет_аналитики'!V4608,WeightedRevAge12)-SUMIF(ThresholdAge12,"&lt;"&amp;'19_Расчет_аналитики'!V4608,WeightedMinAge12),MAX(CapacityAge12*'01_Вводные'!$B$218*'19_Расчет_аналитики'!V4608,MeanMinAge12))),0)</f>
        <v/>
      </c>
      <c r="W4551">
        <f>IF('01_Вводные'!$B$234="Да",IF(OR(('19_Расчет_аналитики'!W4467-'19_Расчет_аналитики'!W4495)=0,12&lt;='01_Вводные'!$B$297),0,('19_Расчет_аналитики'!W4467-'19_Расчет_аналитики'!W4495)*IF('01_Вводные'!$B$239="Да",MeanMinAge12+'19_Расчет_аналитики'!W4608*SUMIF(ThresholdAge12,"&lt;"&amp;'19_Расчет_аналитики'!W4608,WeightedRevAge12)-SUMIF(ThresholdAge12,"&lt;"&amp;'19_Расчет_аналитики'!W4608,WeightedMinAge12),MAX(CapacityAge12*'01_Вводные'!$B$218*'19_Расчет_аналитики'!W4608,MeanMinAge12))),0)</f>
        <v/>
      </c>
      <c r="X4551">
        <f>IF('01_Вводные'!$B$234="Да",IF(OR(('19_Расчет_аналитики'!X4467-'19_Расчет_аналитики'!X4495)=0,12&lt;='01_Вводные'!$B$297),0,('19_Расчет_аналитики'!X4467-'19_Расчет_аналитики'!X4495)*IF('01_Вводные'!$B$239="Да",MeanMinAge12+'19_Расчет_аналитики'!X4608*SUMIF(ThresholdAge12,"&lt;"&amp;'19_Расчет_аналитики'!X4608,WeightedRevAge12)-SUMIF(ThresholdAge12,"&lt;"&amp;'19_Расчет_аналитики'!X4608,WeightedMinAge12),MAX(CapacityAge12*'01_Вводные'!$B$218*'19_Расчет_аналитики'!X4608,MeanMinAge12))),0)</f>
        <v/>
      </c>
      <c r="Y4551">
        <f>IF('01_Вводные'!$B$234="Да",IF(OR(('19_Расчет_аналитики'!Y4467-'19_Расчет_аналитики'!Y4495)=0,12&lt;='01_Вводные'!$B$297),0,('19_Расчет_аналитики'!Y4467-'19_Расчет_аналитики'!Y4495)*IF('01_Вводные'!$B$239="Да",MeanMinAge12+'19_Расчет_аналитики'!Y4608*SUMIF(ThresholdAge12,"&lt;"&amp;'19_Расчет_аналитики'!Y4608,WeightedRevAge12)-SUMIF(ThresholdAge12,"&lt;"&amp;'19_Расчет_аналитики'!Y4608,WeightedMinAge12),MAX(CapacityAge12*'01_Вводные'!$B$218*'19_Расчет_аналитики'!Y4608,MeanMinAge12))),0)</f>
        <v/>
      </c>
      <c r="Z4551">
        <f>IF('01_Вводные'!$B$234="Да",IF(OR(('19_Расчет_аналитики'!Z4467-'19_Расчет_аналитики'!Z4495)=0,12&lt;='01_Вводные'!$B$297),0,('19_Расчет_аналитики'!Z4467-'19_Расчет_аналитики'!Z4495)*IF('01_Вводные'!$B$239="Да",MeanMinAge12+'19_Расчет_аналитики'!Z4608*SUMIF(ThresholdAge12,"&lt;"&amp;'19_Расчет_аналитики'!Z4608,WeightedRevAge12)-SUMIF(ThresholdAge12,"&lt;"&amp;'19_Расчет_аналитики'!Z4608,WeightedMinAge12),MAX(CapacityAge12*'01_Вводные'!$B$218*'19_Расчет_аналитики'!Z4608,MeanMinAge12))),0)</f>
        <v/>
      </c>
      <c r="AA4551">
        <f>IF('01_Вводные'!$B$234="Да",IF(OR(('19_Расчет_аналитики'!AA4467-'19_Расчет_аналитики'!AA4495)=0,12&lt;='01_Вводные'!$B$297),0,('19_Расчет_аналитики'!AA4467-'19_Расчет_аналитики'!AA4495)*IF('01_Вводные'!$B$239="Да",MeanMinAge12+'19_Расчет_аналитики'!AA4608*SUMIF(ThresholdAge12,"&lt;"&amp;'19_Расчет_аналитики'!AA4608,WeightedRevAge12)-SUMIF(ThresholdAge12,"&lt;"&amp;'19_Расчет_аналитики'!AA4608,WeightedMinAge12),MAX(CapacityAge12*'01_Вводные'!$B$218*'19_Расчет_аналитики'!AA4608,MeanMinAge12))),0)</f>
        <v/>
      </c>
      <c r="AB4551">
        <f>IF('01_Вводные'!$B$234="Да",IF(OR(('19_Расчет_аналитики'!AB4467-'19_Расчет_аналитики'!AB4495)=0,12&lt;='01_Вводные'!$B$297),0,('19_Расчет_аналитики'!AB4467-'19_Расчет_аналитики'!AB4495)*IF('01_Вводные'!$B$239="Да",MeanMinAge12+'19_Расчет_аналитики'!AB4608*SUMIF(ThresholdAge12,"&lt;"&amp;'19_Расчет_аналитики'!AB4608,WeightedRevAge12)-SUMIF(ThresholdAge12,"&lt;"&amp;'19_Расчет_аналитики'!AB4608,WeightedMinAge12),MAX(CapacityAge12*'01_Вводные'!$B$218*'19_Расчет_аналитики'!AB4608,MeanMinAge12))),0)</f>
        <v/>
      </c>
      <c r="AC4551">
        <f>IF('01_Вводные'!$B$234="Да",IF(OR(('19_Расчет_аналитики'!AC4467-'19_Расчет_аналитики'!AC4495)=0,12&lt;='01_Вводные'!$B$297),0,('19_Расчет_аналитики'!AC4467-'19_Расчет_аналитики'!AC4495)*IF('01_Вводные'!$B$239="Да",MeanMinAge12+'19_Расчет_аналитики'!AC4608*SUMIF(ThresholdAge12,"&lt;"&amp;'19_Расчет_аналитики'!AC4608,WeightedRevAge12)-SUMIF(ThresholdAge12,"&lt;"&amp;'19_Расчет_аналитики'!AC4608,WeightedMinAge12),MAX(CapacityAge12*'01_Вводные'!$B$218*'19_Расчет_аналитики'!AC4608,MeanMinAge12))),0)</f>
        <v/>
      </c>
      <c r="AD4551">
        <f>IF('01_Вводные'!$B$234="Да",IF(OR(('19_Расчет_аналитики'!AD4467-'19_Расчет_аналитики'!AD4495)=0,12&lt;='01_Вводные'!$B$297),0,('19_Расчет_аналитики'!AD4467-'19_Расчет_аналитики'!AD4495)*IF('01_Вводные'!$B$239="Да",MeanMinAge12+'19_Расчет_аналитики'!AD4608*SUMIF(ThresholdAge12,"&lt;"&amp;'19_Расчет_аналитики'!AD4608,WeightedRevAge12)-SUMIF(ThresholdAge12,"&lt;"&amp;'19_Расчет_аналитики'!AD4608,WeightedMinAge12),MAX(CapacityAge12*'01_Вводные'!$B$218*'19_Расчет_аналитики'!AD4608,MeanMinAge12))),0)</f>
        <v/>
      </c>
      <c r="AE4551">
        <f>IF('01_Вводные'!$B$234="Да",IF(OR(('19_Расчет_аналитики'!AE4467-'19_Расчет_аналитики'!AE4495)=0,12&lt;='01_Вводные'!$B$297),0,('19_Расчет_аналитики'!AE4467-'19_Расчет_аналитики'!AE4495)*IF('01_Вводные'!$B$239="Да",MeanMinAge12+'19_Расчет_аналитики'!AE4608*SUMIF(ThresholdAge12,"&lt;"&amp;'19_Расчет_аналитики'!AE4608,WeightedRevAge12)-SUMIF(ThresholdAge12,"&lt;"&amp;'19_Расчет_аналитики'!AE4608,WeightedMinAge12),MAX(CapacityAge12*'01_Вводные'!$B$218*'19_Расчет_аналитики'!AE4608,MeanMinAge12))),0)</f>
        <v/>
      </c>
      <c r="AF4551">
        <f>IF('01_Вводные'!$B$234="Да",IF(OR(('19_Расчет_аналитики'!AF4467-'19_Расчет_аналитики'!AF4495)=0,12&lt;='01_Вводные'!$B$297),0,('19_Расчет_аналитики'!AF4467-'19_Расчет_аналитики'!AF4495)*IF('01_Вводные'!$B$239="Да",MeanMinAge12+'19_Расчет_аналитики'!AF4608*SUMIF(ThresholdAge12,"&lt;"&amp;'19_Расчет_аналитики'!AF4608,WeightedRevAge12)-SUMIF(ThresholdAge12,"&lt;"&amp;'19_Расчет_аналитики'!AF4608,WeightedMinAge12),MAX(CapacityAge12*'01_Вводные'!$B$218*'19_Расчет_аналитики'!AF4608,MeanMinAge12))),0)</f>
        <v/>
      </c>
      <c r="AG4551">
        <f>IF('01_Вводные'!$B$234="Да",IF(OR(('19_Расчет_аналитики'!AG4467-'19_Расчет_аналитики'!AG4495)=0,12&lt;='01_Вводные'!$B$297),0,('19_Расчет_аналитики'!AG4467-'19_Расчет_аналитики'!AG4495)*IF('01_Вводные'!$B$239="Да",MeanMinAge12+'19_Расчет_аналитики'!AG4608*SUMIF(ThresholdAge12,"&lt;"&amp;'19_Расчет_аналитики'!AG4608,WeightedRevAge12)-SUMIF(ThresholdAge12,"&lt;"&amp;'19_Расчет_аналитики'!AG4608,WeightedMinAge12),MAX(CapacityAge12*'01_Вводные'!$B$218*'19_Расчет_аналитики'!AG4608,MeanMinAge12))),0)</f>
        <v/>
      </c>
      <c r="AH4551">
        <f>IF('01_Вводные'!$B$234="Да",IF(OR(('19_Расчет_аналитики'!AH4467-'19_Расчет_аналитики'!AH4495)=0,12&lt;='01_Вводные'!$B$297),0,('19_Расчет_аналитики'!AH4467-'19_Расчет_аналитики'!AH4495)*IF('01_Вводные'!$B$239="Да",MeanMinAge12+'19_Расчет_аналитики'!AH4608*SUMIF(ThresholdAge12,"&lt;"&amp;'19_Расчет_аналитики'!AH4608,WeightedRevAge12)-SUMIF(ThresholdAge12,"&lt;"&amp;'19_Расчет_аналитики'!AH4608,WeightedMinAge12),MAX(CapacityAge12*'01_Вводные'!$B$218*'19_Расчет_аналитики'!AH4608,MeanMinAge12))),0)</f>
        <v/>
      </c>
      <c r="AI4551">
        <f>IF('01_Вводные'!$B$234="Да",IF(OR(('19_Расчет_аналитики'!AI4467-'19_Расчет_аналитики'!AI4495)=0,12&lt;='01_Вводные'!$B$297),0,('19_Расчет_аналитики'!AI4467-'19_Расчет_аналитики'!AI4495)*IF('01_Вводные'!$B$239="Да",MeanMinAge12+'19_Расчет_аналитики'!AI4608*SUMIF(ThresholdAge12,"&lt;"&amp;'19_Расчет_аналитики'!AI4608,WeightedRevAge12)-SUMIF(ThresholdAge12,"&lt;"&amp;'19_Расчет_аналитики'!AI4608,WeightedMinAge12),MAX(CapacityAge12*'01_Вводные'!$B$218*'19_Расчет_аналитики'!AI4608,MeanMinAge12))),0)</f>
        <v/>
      </c>
      <c r="AJ4551">
        <f>IF('01_Вводные'!$B$234="Да",IF(OR(('19_Расчет_аналитики'!AJ4467-'19_Расчет_аналитики'!AJ4495)=0,12&lt;='01_Вводные'!$B$297),0,('19_Расчет_аналитики'!AJ4467-'19_Расчет_аналитики'!AJ4495)*IF('01_Вводные'!$B$239="Да",MeanMinAge12+'19_Расчет_аналитики'!AJ4608*SUMIF(ThresholdAge12,"&lt;"&amp;'19_Расчет_аналитики'!AJ4608,WeightedRevAge12)-SUMIF(ThresholdAge12,"&lt;"&amp;'19_Расчет_аналитики'!AJ4608,WeightedMinAge12),MAX(CapacityAge12*'01_Вводные'!$B$218*'19_Расчет_аналитики'!AJ4608,MeanMinAge12))),0)</f>
        <v/>
      </c>
      <c r="AK4551">
        <f>IF('01_Вводные'!$B$234="Да",IF(OR(('19_Расчет_аналитики'!AK4467-'19_Расчет_аналитики'!AK4495)=0,12&lt;='01_Вводные'!$B$297),0,('19_Расчет_аналитики'!AK4467-'19_Расчет_аналитики'!AK4495)*IF('01_Вводные'!$B$239="Да",MeanMinAge12+'19_Расчет_аналитики'!AK4608*SUMIF(ThresholdAge12,"&lt;"&amp;'19_Расчет_аналитики'!AK4608,WeightedRevAge12)-SUMIF(ThresholdAge12,"&lt;"&amp;'19_Расчет_аналитики'!AK4608,WeightedMinAge12),MAX(CapacityAge12*'01_Вводные'!$B$218*'19_Расчет_аналитики'!AK4608,MeanMinAge12))),0)</f>
        <v/>
      </c>
      <c r="AL4551">
        <f>IF('01_Вводные'!$B$234="Да",IF(OR(('19_Расчет_аналитики'!AL4467-'19_Расчет_аналитики'!AL4495)=0,12&lt;='01_Вводные'!$B$297),0,('19_Расчет_аналитики'!AL4467-'19_Расчет_аналитики'!AL4495)*IF('01_Вводные'!$B$239="Да",MeanMinAge12+'19_Расчет_аналитики'!AL4608*SUMIF(ThresholdAge12,"&lt;"&amp;'19_Расчет_аналитики'!AL4608,WeightedRevAge12)-SUMIF(ThresholdAge12,"&lt;"&amp;'19_Расчет_аналитики'!AL4608,WeightedMinAge12),MAX(CapacityAge12*'01_Вводные'!$B$218*'19_Расчет_аналитики'!AL4608,MeanMinAge12))),0)</f>
        <v/>
      </c>
      <c r="AM4551">
        <f>IF('01_Вводные'!$B$234="Да",IF(OR(('19_Расчет_аналитики'!AM4467-'19_Расчет_аналитики'!AM4495)=0,12&lt;='01_Вводные'!$B$297),0,('19_Расчет_аналитики'!AM4467-'19_Расчет_аналитики'!AM4495)*IF('01_Вводные'!$B$239="Да",MeanMinAge12+'19_Расчет_аналитики'!AM4608*SUMIF(ThresholdAge12,"&lt;"&amp;'19_Расчет_аналитики'!AM4608,WeightedRevAge12)-SUMIF(ThresholdAge12,"&lt;"&amp;'19_Расчет_аналитики'!AM4608,WeightedMinAge12),MAX(CapacityAge12*'01_Вводные'!$B$218*'19_Расчет_аналитики'!AM4608,MeanMinAge12))),0)</f>
        <v/>
      </c>
      <c r="AN4551">
        <f>IF('01_Вводные'!$B$234="Да",IF(OR(('19_Расчет_аналитики'!AN4467-'19_Расчет_аналитики'!AN4495)=0,12&lt;='01_Вводные'!$B$297),0,('19_Расчет_аналитики'!AN4467-'19_Расчет_аналитики'!AN4495)*IF('01_Вводные'!$B$239="Да",MeanMinAge12+'19_Расчет_аналитики'!AN4608*SUMIF(ThresholdAge12,"&lt;"&amp;'19_Расчет_аналитики'!AN4608,WeightedRevAge12)-SUMIF(ThresholdAge12,"&lt;"&amp;'19_Расчет_аналитики'!AN4608,WeightedMinAge12),MAX(CapacityAge12*'01_Вводные'!$B$218*'19_Расчет_аналитики'!AN4608,MeanMinAge12))),0)</f>
        <v/>
      </c>
      <c r="AO4551">
        <f>IF('01_Вводные'!$B$234="Да",IF(OR(('19_Расчет_аналитики'!AO4467-'19_Расчет_аналитики'!AO4495)=0,12&lt;='01_Вводные'!$B$297),0,('19_Расчет_аналитики'!AO4467-'19_Расчет_аналитики'!AO4495)*IF('01_Вводные'!$B$239="Да",MeanMinAge12+'19_Расчет_аналитики'!AO4608*SUMIF(ThresholdAge12,"&lt;"&amp;'19_Расчет_аналитики'!AO4608,WeightedRevAge12)-SUMIF(ThresholdAge12,"&lt;"&amp;'19_Расчет_аналитики'!AO4608,WeightedMinAge12),MAX(CapacityAge12*'01_Вводные'!$B$218*'19_Расчет_аналитики'!AO4608,MeanMinAge12))),0)</f>
        <v/>
      </c>
      <c r="AP4551">
        <f>IF('01_Вводные'!$B$234="Да",IF(OR(('19_Расчет_аналитики'!AP4467-'19_Расчет_аналитики'!AP4495)=0,12&lt;='01_Вводные'!$B$297),0,('19_Расчет_аналитики'!AP4467-'19_Расчет_аналитики'!AP4495)*IF('01_Вводные'!$B$239="Да",MeanMinAge12+'19_Расчет_аналитики'!AP4608*SUMIF(ThresholdAge12,"&lt;"&amp;'19_Расчет_аналитики'!AP4608,WeightedRevAge12)-SUMIF(ThresholdAge12,"&lt;"&amp;'19_Расчет_аналитики'!AP4608,WeightedMinAge12),MAX(CapacityAge12*'01_Вводные'!$B$218*'19_Расчет_аналитики'!AP4608,MeanMinAge12))),0)</f>
        <v/>
      </c>
      <c r="AQ4551">
        <f>IF('01_Вводные'!$B$234="Да",IF(OR(('19_Расчет_аналитики'!AQ4467-'19_Расчет_аналитики'!AQ4495)=0,12&lt;='01_Вводные'!$B$297),0,('19_Расчет_аналитики'!AQ4467-'19_Расчет_аналитики'!AQ4495)*IF('01_Вводные'!$B$239="Да",MeanMinAge12+'19_Расчет_аналитики'!AQ4608*SUMIF(ThresholdAge12,"&lt;"&amp;'19_Расчет_аналитики'!AQ4608,WeightedRevAge12)-SUMIF(ThresholdAge12,"&lt;"&amp;'19_Расчет_аналитики'!AQ4608,WeightedMinAge12),MAX(CapacityAge12*'01_Вводные'!$B$218*'19_Расчет_аналитики'!AQ4608,MeanMinAge12))),0)</f>
        <v/>
      </c>
      <c r="AR4551">
        <f>IF('01_Вводные'!$B$234="Да",IF(OR(('19_Расчет_аналитики'!AR4467-'19_Расчет_аналитики'!AR4495)=0,12&lt;='01_Вводные'!$B$297),0,('19_Расчет_аналитики'!AR4467-'19_Расчет_аналитики'!AR4495)*IF('01_Вводные'!$B$239="Да",MeanMinAge12+'19_Расчет_аналитики'!AR4608*SUMIF(ThresholdAge12,"&lt;"&amp;'19_Расчет_аналитики'!AR4608,WeightedRevAge12)-SUMIF(ThresholdAge12,"&lt;"&amp;'19_Расчет_аналитики'!AR4608,WeightedMinAge12),MAX(CapacityAge12*'01_Вводные'!$B$218*'19_Расчет_аналитики'!AR4608,MeanMinAge12))),0)</f>
        <v/>
      </c>
      <c r="AS4551">
        <f>IF('01_Вводные'!$B$234="Да",IF(OR(('19_Расчет_аналитики'!AS4467-'19_Расчет_аналитики'!AS4495)=0,12&lt;='01_Вводные'!$B$297),0,('19_Расчет_аналитики'!AS4467-'19_Расчет_аналитики'!AS4495)*IF('01_Вводные'!$B$239="Да",MeanMinAge12+'19_Расчет_аналитики'!AS4608*SUMIF(ThresholdAge12,"&lt;"&amp;'19_Расчет_аналитики'!AS4608,WeightedRevAge12)-SUMIF(ThresholdAge12,"&lt;"&amp;'19_Расчет_аналитики'!AS4608,WeightedMinAge12),MAX(CapacityAge12*'01_Вводные'!$B$218*'19_Расчет_аналитики'!AS4608,MeanMinAge12))),0)</f>
        <v/>
      </c>
      <c r="AT4551">
        <f>IF('01_Вводные'!$B$234="Да",IF(OR(('19_Расчет_аналитики'!AT4467-'19_Расчет_аналитики'!AT4495)=0,12&lt;='01_Вводные'!$B$297),0,('19_Расчет_аналитики'!AT4467-'19_Расчет_аналитики'!AT4495)*IF('01_Вводные'!$B$239="Да",MeanMinAge12+'19_Расчет_аналитики'!AT4608*SUMIF(ThresholdAge12,"&lt;"&amp;'19_Расчет_аналитики'!AT4608,WeightedRevAge12)-SUMIF(ThresholdAge12,"&lt;"&amp;'19_Расчет_аналитики'!AT4608,WeightedMinAge12),MAX(CapacityAge12*'01_Вводные'!$B$218*'19_Расчет_аналитики'!AT4608,MeanMinAge12))),0)</f>
        <v/>
      </c>
      <c r="AU4551">
        <f>IF('01_Вводные'!$B$234="Да",IF(OR(('19_Расчет_аналитики'!AU4467-'19_Расчет_аналитики'!AU4495)=0,12&lt;='01_Вводные'!$B$297),0,('19_Расчет_аналитики'!AU4467-'19_Расчет_аналитики'!AU4495)*IF('01_Вводные'!$B$239="Да",MeanMinAge12+'19_Расчет_аналитики'!AU4608*SUMIF(ThresholdAge12,"&lt;"&amp;'19_Расчет_аналитики'!AU4608,WeightedRevAge12)-SUMIF(ThresholdAge12,"&lt;"&amp;'19_Расчет_аналитики'!AU4608,WeightedMinAge12),MAX(CapacityAge12*'01_Вводные'!$B$218*'19_Расчет_аналитики'!AU4608,MeanMinAge12))),0)</f>
        <v/>
      </c>
      <c r="AV4551">
        <f>IF('01_Вводные'!$B$234="Да",IF(OR(('19_Расчет_аналитики'!AV4467-'19_Расчет_аналитики'!AV4495)=0,12&lt;='01_Вводные'!$B$297),0,('19_Расчет_аналитики'!AV4467-'19_Расчет_аналитики'!AV4495)*IF('01_Вводные'!$B$239="Да",MeanMinAge12+'19_Расчет_аналитики'!AV4608*SUMIF(ThresholdAge12,"&lt;"&amp;'19_Расчет_аналитики'!AV4608,WeightedRevAge12)-SUMIF(ThresholdAge12,"&lt;"&amp;'19_Расчет_аналитики'!AV4608,WeightedMinAge12),MAX(CapacityAge12*'01_Вводные'!$B$218*'19_Расчет_аналитики'!AV4608,MeanMinAge12))),0)</f>
        <v/>
      </c>
      <c r="AW4551">
        <f>IF('01_Вводные'!$B$234="Да",IF(OR(('19_Расчет_аналитики'!AW4467-'19_Расчет_аналитики'!AW4495)=0,12&lt;='01_Вводные'!$B$297),0,('19_Расчет_аналитики'!AW4467-'19_Расчет_аналитики'!AW4495)*IF('01_Вводные'!$B$239="Да",MeanMinAge12+'19_Расчет_аналитики'!AW4608*SUMIF(ThresholdAge12,"&lt;"&amp;'19_Расчет_аналитики'!AW4608,WeightedRevAge12)-SUMIF(ThresholdAge12,"&lt;"&amp;'19_Расчет_аналитики'!AW4608,WeightedMinAge12),MAX(CapacityAge12*'01_Вводные'!$B$218*'19_Расчет_аналитики'!AW4608,MeanMinAge12))),0)</f>
        <v/>
      </c>
      <c r="AX4551">
        <f>IF('01_Вводные'!$B$234="Да",IF(OR(('19_Расчет_аналитики'!AX4467-'19_Расчет_аналитики'!AX4495)=0,12&lt;='01_Вводные'!$B$297),0,('19_Расчет_аналитики'!AX4467-'19_Расчет_аналитики'!AX4495)*IF('01_Вводные'!$B$239="Да",MeanMinAge12+'19_Расчет_аналитики'!AX4608*SUMIF(ThresholdAge12,"&lt;"&amp;'19_Расчет_аналитики'!AX4608,WeightedRevAge12)-SUMIF(ThresholdAge12,"&lt;"&amp;'19_Расчет_аналитики'!AX4608,WeightedMinAge12),MAX(CapacityAge12*'01_Вводные'!$B$218*'19_Расчет_аналитики'!AX4608,MeanMinAge12))),0)</f>
        <v/>
      </c>
      <c r="AY4551">
        <f>IF('01_Вводные'!$B$234="Да",IF(OR(('19_Расчет_аналитики'!AY4467-'19_Расчет_аналитики'!AY4495)=0,12&lt;='01_Вводные'!$B$297),0,('19_Расчет_аналитики'!AY4467-'19_Расчет_аналитики'!AY4495)*IF('01_Вводные'!$B$239="Да",MeanMinAge12+'19_Расчет_аналитики'!AY4608*SUMIF(ThresholdAge12,"&lt;"&amp;'19_Расчет_аналитики'!AY4608,WeightedRevAge12)-SUMIF(ThresholdAge12,"&lt;"&amp;'19_Расчет_аналитики'!AY4608,WeightedMinAge12),MAX(CapacityAge12*'01_Вводные'!$B$218*'19_Расчет_аналитики'!AY4608,MeanMinAge12))),0)</f>
        <v/>
      </c>
      <c r="AZ4551">
        <f>IF('01_Вводные'!$B$234="Да",IF(OR(('19_Расчет_аналитики'!AZ4467-'19_Расчет_аналитики'!AZ4495)=0,12&lt;='01_Вводные'!$B$297),0,('19_Расчет_аналитики'!AZ4467-'19_Расчет_аналитики'!AZ4495)*IF('01_Вводные'!$B$239="Да",MeanMinAge12+'19_Расчет_аналитики'!AZ4608*SUMIF(ThresholdAge12,"&lt;"&amp;'19_Расчет_аналитики'!AZ4608,WeightedRevAge12)-SUMIF(ThresholdAge12,"&lt;"&amp;'19_Расчет_аналитики'!AZ4608,WeightedMinAge12),MAX(CapacityAge12*'01_Вводные'!$B$218*'19_Расчет_аналитики'!AZ4608,MeanMinAge12))),0)</f>
        <v/>
      </c>
      <c r="BA4551">
        <f>IF('01_Вводные'!$B$234="Да",IF(OR(('19_Расчет_аналитики'!BA4467-'19_Расчет_аналитики'!BA4495)=0,12&lt;='01_Вводные'!$B$297),0,('19_Расчет_аналитики'!BA4467-'19_Расчет_аналитики'!BA4495)*IF('01_Вводные'!$B$239="Да",MeanMinAge12+'19_Расчет_аналитики'!BA4608*SUMIF(ThresholdAge12,"&lt;"&amp;'19_Расчет_аналитики'!BA4608,WeightedRevAge12)-SUMIF(ThresholdAge12,"&lt;"&amp;'19_Расчет_аналитики'!BA4608,WeightedMinAge12),MAX(CapacityAge12*'01_Вводные'!$B$218*'19_Расчет_аналитики'!BA4608,MeanMinAge12))),0)</f>
        <v/>
      </c>
      <c r="BB4551">
        <f>IF('01_Вводные'!$B$234="Да",IF(OR(('19_Расчет_аналитики'!BB4467-'19_Расчет_аналитики'!BB4495)=0,12&lt;='01_Вводные'!$B$297),0,('19_Расчет_аналитики'!BB4467-'19_Расчет_аналитики'!BB4495)*IF('01_Вводные'!$B$239="Да",MeanMinAge12+'19_Расчет_аналитики'!BB4608*SUMIF(ThresholdAge12,"&lt;"&amp;'19_Расчет_аналитики'!BB4608,WeightedRevAge12)-SUMIF(ThresholdAge12,"&lt;"&amp;'19_Расчет_аналитики'!BB4608,WeightedMinAge12),MAX(CapacityAge12*'01_Вводные'!$B$218*'19_Расчет_аналитики'!BB4608,MeanMinAge12))),0)</f>
        <v/>
      </c>
      <c r="BC4551">
        <f>IF('01_Вводные'!$B$234="Да",IF(OR(('19_Расчет_аналитики'!BC4467-'19_Расчет_аналитики'!BC4495)=0,12&lt;='01_Вводные'!$B$297),0,('19_Расчет_аналитики'!BC4467-'19_Расчет_аналитики'!BC4495)*IF('01_Вводные'!$B$239="Да",MeanMinAge12+'19_Расчет_аналитики'!BC4608*SUMIF(ThresholdAge12,"&lt;"&amp;'19_Расчет_аналитики'!BC4608,WeightedRevAge12)-SUMIF(ThresholdAge12,"&lt;"&amp;'19_Расчет_аналитики'!BC4608,WeightedMinAge12),MAX(CapacityAge12*'01_Вводные'!$B$218*'19_Расчет_аналитики'!BC4608,MeanMinAge12))),0)</f>
        <v/>
      </c>
      <c r="BD4551">
        <f>IF('01_Вводные'!$B$234="Да",IF(OR(('19_Расчет_аналитики'!BD4467-'19_Расчет_аналитики'!BD4495)=0,12&lt;='01_Вводные'!$B$297),0,('19_Расчет_аналитики'!BD4467-'19_Расчет_аналитики'!BD4495)*IF('01_Вводные'!$B$239="Да",MeanMinAge12+'19_Расчет_аналитики'!BD4608*SUMIF(ThresholdAge12,"&lt;"&amp;'19_Расчет_аналитики'!BD4608,WeightedRevAge12)-SUMIF(ThresholdAge12,"&lt;"&amp;'19_Расчет_аналитики'!BD4608,WeightedMinAge12),MAX(CapacityAge12*'01_Вводные'!$B$218*'19_Расчет_аналитики'!BD4608,MeanMinAge12))),0)</f>
        <v/>
      </c>
      <c r="BE4551">
        <f>IF('01_Вводные'!$B$234="Да",IF(OR(('19_Расчет_аналитики'!BE4467-'19_Расчет_аналитики'!BE4495)=0,12&lt;='01_Вводные'!$B$297),0,('19_Расчет_аналитики'!BE4467-'19_Расчет_аналитики'!BE4495)*IF('01_Вводные'!$B$239="Да",MeanMinAge12+'19_Расчет_аналитики'!BE4608*SUMIF(ThresholdAge12,"&lt;"&amp;'19_Расчет_аналитики'!BE4608,WeightedRevAge12)-SUMIF(ThresholdAge12,"&lt;"&amp;'19_Расчет_аналитики'!BE4608,WeightedMinAge12),MAX(CapacityAge12*'01_Вводные'!$B$218*'19_Расчет_аналитики'!BE4608,MeanMinAge12))),0)</f>
        <v/>
      </c>
      <c r="BF4551">
        <f>IF('01_Вводные'!$B$234="Да",IF(OR(('19_Расчет_аналитики'!BF4467-'19_Расчет_аналитики'!BF4495)=0,12&lt;='01_Вводные'!$B$297),0,('19_Расчет_аналитики'!BF4467-'19_Расчет_аналитики'!BF4495)*IF('01_Вводные'!$B$239="Да",MeanMinAge12+'19_Расчет_аналитики'!BF4608*SUMIF(ThresholdAge12,"&lt;"&amp;'19_Расчет_аналитики'!BF4608,WeightedRevAge12)-SUMIF(ThresholdAge12,"&lt;"&amp;'19_Расчет_аналитики'!BF4608,WeightedMinAge12),MAX(CapacityAge12*'01_Вводные'!$B$218*'19_Расчет_аналитики'!BF4608,MeanMinAge12))),0)</f>
        <v/>
      </c>
      <c r="BG4551">
        <f>IF('01_Вводные'!$B$234="Да",IF(OR(('19_Расчет_аналитики'!BG4467-'19_Расчет_аналитики'!BG4495)=0,12&lt;='01_Вводные'!$B$297),0,('19_Расчет_аналитики'!BG4467-'19_Расчет_аналитики'!BG4495)*IF('01_Вводные'!$B$239="Да",MeanMinAge12+'19_Расчет_аналитики'!BG4608*SUMIF(ThresholdAge12,"&lt;"&amp;'19_Расчет_аналитики'!BG4608,WeightedRevAge12)-SUMIF(ThresholdAge12,"&lt;"&amp;'19_Расчет_аналитики'!BG4608,WeightedMinAge12),MAX(CapacityAge12*'01_Вводные'!$B$218*'19_Расчет_аналитики'!BG4608,MeanMinAge12))),0)</f>
        <v/>
      </c>
      <c r="BH4551">
        <f>IF('01_Вводные'!$B$234="Да",IF(OR(('19_Расчет_аналитики'!BH4467-'19_Расчет_аналитики'!BH4495)=0,12&lt;='01_Вводные'!$B$297),0,('19_Расчет_аналитики'!BH4467-'19_Расчет_аналитики'!BH4495)*IF('01_Вводные'!$B$239="Да",MeanMinAge12+'19_Расчет_аналитики'!BH4608*SUMIF(ThresholdAge12,"&lt;"&amp;'19_Расчет_аналитики'!BH4608,WeightedRevAge12)-SUMIF(ThresholdAge12,"&lt;"&amp;'19_Расчет_аналитики'!BH4608,WeightedMinAge12),MAX(CapacityAge12*'01_Вводные'!$B$218*'19_Расчет_аналитики'!BH4608,MeanMinAge12))),0)</f>
        <v/>
      </c>
      <c r="BI4551">
        <f>IF('01_Вводные'!$B$234="Да",IF(OR(('19_Расчет_аналитики'!BI4467-'19_Расчет_аналитики'!BI4495)=0,12&lt;='01_Вводные'!$B$297),0,('19_Расчет_аналитики'!BI4467-'19_Расчет_аналитики'!BI4495)*IF('01_Вводные'!$B$239="Да",MeanMinAge12+'19_Расчет_аналитики'!BI4608*SUMIF(ThresholdAge12,"&lt;"&amp;'19_Расчет_аналитики'!BI4608,WeightedRevAge12)-SUMIF(ThresholdAge12,"&lt;"&amp;'19_Расчет_аналитики'!BI4608,WeightedMinAge12),MAX(CapacityAge12*'01_Вводные'!$B$218*'19_Расчет_аналитики'!BI4608,MeanMinAge12))),0)</f>
        <v/>
      </c>
      <c r="BJ4551">
        <f>IF('01_Вводные'!$B$234="Да",IF(OR(('19_Расчет_аналитики'!BJ4467-'19_Расчет_аналитики'!BJ4495)=0,12&lt;='01_Вводные'!$B$297),0,('19_Расчет_аналитики'!BJ4467-'19_Расчет_аналитики'!BJ4495)*IF('01_Вводные'!$B$239="Да",MeanMinAge12+'19_Расчет_аналитики'!BJ4608*SUMIF(ThresholdAge12,"&lt;"&amp;'19_Расчет_аналитики'!BJ4608,WeightedRevAge12)-SUMIF(ThresholdAge12,"&lt;"&amp;'19_Расчет_аналитики'!BJ4608,WeightedMinAge12),MAX(CapacityAge12*'01_Вводные'!$B$218*'19_Расчет_аналитики'!BJ4608,MeanMinAge12))),0)</f>
        <v/>
      </c>
      <c r="BK4551">
        <f>IF('01_Вводные'!$B$234="Да",IF(OR(('19_Расчет_аналитики'!BK4467-'19_Расчет_аналитики'!BK4495)=0,12&lt;='01_Вводные'!$B$297),0,('19_Расчет_аналитики'!BK4467-'19_Расчет_аналитики'!BK4495)*IF('01_Вводные'!$B$239="Да",MeanMinAge12+'19_Расчет_аналитики'!BK4608*SUMIF(ThresholdAge12,"&lt;"&amp;'19_Расчет_аналитики'!BK4608,WeightedRevAge12)-SUMIF(ThresholdAge12,"&lt;"&amp;'19_Расчет_аналитики'!BK4608,WeightedMinAge12),MAX(CapacityAge12*'01_Вводные'!$B$218*'19_Расчет_аналитики'!BK4608,MeanMinAge12))),0)</f>
        <v/>
      </c>
      <c r="BL4551">
        <f>IF('01_Вводные'!$B$234="Да",IF(OR(('19_Расчет_аналитики'!BL4467-'19_Расчет_аналитики'!BL4495)=0,12&lt;='01_Вводные'!$B$297),0,('19_Расчет_аналитики'!BL4467-'19_Расчет_аналитики'!BL4495)*IF('01_Вводные'!$B$239="Да",MeanMinAge12+'19_Расчет_аналитики'!BL4608*SUMIF(ThresholdAge12,"&lt;"&amp;'19_Расчет_аналитики'!BL4608,WeightedRevAge12)-SUMIF(ThresholdAge12,"&lt;"&amp;'19_Расчет_аналитики'!BL4608,WeightedMinAge12),MAX(CapacityAge12*'01_Вводные'!$B$218*'19_Расчет_аналитики'!BL4608,MeanMinAge12))),0)</f>
        <v/>
      </c>
      <c r="BM4551">
        <f>IF('01_Вводные'!$B$234="Да",IF(OR(('19_Расчет_аналитики'!BM4467-'19_Расчет_аналитики'!BM4495)=0,12&lt;='01_Вводные'!$B$297),0,('19_Расчет_аналитики'!BM4467-'19_Расчет_аналитики'!BM4495)*IF('01_Вводные'!$B$239="Да",MeanMinAge12+'19_Расчет_аналитики'!BM4608*SUMIF(ThresholdAge12,"&lt;"&amp;'19_Расчет_аналитики'!BM4608,WeightedRevAge12)-SUMIF(ThresholdAge12,"&lt;"&amp;'19_Расчет_аналитики'!BM4608,WeightedMinAge12),MAX(CapacityAge12*'01_Вводные'!$B$218*'19_Расчет_аналитики'!BM4608,MeanMinAge12))),0)</f>
        <v/>
      </c>
      <c r="BN4551">
        <f>IF('01_Вводные'!$B$234="Да",IF(OR(('19_Расчет_аналитики'!BN4467-'19_Расчет_аналитики'!BN4495)=0,12&lt;='01_Вводные'!$B$297),0,('19_Расчет_аналитики'!BN4467-'19_Расчет_аналитики'!BN4495)*IF('01_Вводные'!$B$239="Да",MeanMinAge12+'19_Расчет_аналитики'!BN4608*SUMIF(ThresholdAge12,"&lt;"&amp;'19_Расчет_аналитики'!BN4608,WeightedRevAge12)-SUMIF(ThresholdAge12,"&lt;"&amp;'19_Расчет_аналитики'!BN4608,WeightedMinAge12),MAX(CapacityAge12*'01_Вводные'!$B$218*'19_Расчет_аналитики'!BN4608,MeanMinAge12))),0)</f>
        <v/>
      </c>
      <c r="BO4551">
        <f>IF('01_Вводные'!$B$234="Да",IF(OR(('19_Расчет_аналитики'!BO4467-'19_Расчет_аналитики'!BO4495)=0,12&lt;='01_Вводные'!$B$297),0,('19_Расчет_аналитики'!BO4467-'19_Расчет_аналитики'!BO4495)*IF('01_Вводные'!$B$239="Да",MeanMinAge12+'19_Расчет_аналитики'!BO4608*SUMIF(ThresholdAge12,"&lt;"&amp;'19_Расчет_аналитики'!BO4608,WeightedRevAge12)-SUMIF(ThresholdAge12,"&lt;"&amp;'19_Расчет_аналитики'!BO4608,WeightedMinAge12),MAX(CapacityAge12*'01_Вводные'!$B$218*'19_Расчет_аналитики'!BO4608,MeanMinAge12))),0)</f>
        <v/>
      </c>
    </row>
    <row r="4552">
      <c r="B4552">
        <f>IF('01_Вводные'!$B$234="Да",IF(OR(('06_Сеть_и_дети'!B65-'06_Сеть_и_дети'!B93)=0,13&lt;='01_Вводные'!$B$297),0,('06_Сеть_и_дети'!B65-'06_Сеть_и_дети'!B93)*IF('01_Вводные'!$B$239="Да",MeanMinAge13+'19_Расчет_аналитики'!B4608*SUMIF(ThresholdAge13,"&lt;"&amp;'19_Расчет_аналитики'!B4608,WeightedRevAge13)-SUMIF(ThresholdAge13,"&lt;"&amp;'19_Расчет_аналитики'!B4608,WeightedMinAge13),MAX(CapacityAge13*'01_Вводные'!$B$218*'19_Расчет_аналитики'!B4608,MeanMinAge13))),0)</f>
        <v/>
      </c>
      <c r="C4552">
        <f>IF('01_Вводные'!$B$234="Да",IF(OR(('06_Сеть_и_дети'!C65-'06_Сеть_и_дети'!C93)=0,13&lt;='01_Вводные'!$B$297),0,('06_Сеть_и_дети'!C65-'06_Сеть_и_дети'!C93)*IF('01_Вводные'!$B$239="Да",MeanMinAge13+'19_Расчет_аналитики'!C4608*SUMIF(ThresholdAge13,"&lt;"&amp;'19_Расчет_аналитики'!C4608,WeightedRevAge13)-SUMIF(ThresholdAge13,"&lt;"&amp;'19_Расчет_аналитики'!C4608,WeightedMinAge13),MAX(CapacityAge13*'01_Вводные'!$B$218*'19_Расчет_аналитики'!C4608,MeanMinAge13))),0)</f>
        <v/>
      </c>
      <c r="D4552">
        <f>IF('01_Вводные'!$B$234="Да",IF(OR(('06_Сеть_и_дети'!D65-'06_Сеть_и_дети'!D93)=0,13&lt;='01_Вводные'!$B$297),0,('06_Сеть_и_дети'!D65-'06_Сеть_и_дети'!D93)*IF('01_Вводные'!$B$239="Да",MeanMinAge13+'19_Расчет_аналитики'!D4608*SUMIF(ThresholdAge13,"&lt;"&amp;'19_Расчет_аналитики'!D4608,WeightedRevAge13)-SUMIF(ThresholdAge13,"&lt;"&amp;'19_Расчет_аналитики'!D4608,WeightedMinAge13),MAX(CapacityAge13*'01_Вводные'!$B$218*'19_Расчет_аналитики'!D4608,MeanMinAge13))),0)</f>
        <v/>
      </c>
      <c r="E4552">
        <f>IF('01_Вводные'!$B$234="Да",IF(OR(('06_Сеть_и_дети'!E65-'06_Сеть_и_дети'!E93)=0,13&lt;='01_Вводные'!$B$297),0,('06_Сеть_и_дети'!E65-'06_Сеть_и_дети'!E93)*IF('01_Вводные'!$B$239="Да",MeanMinAge13+'19_Расчет_аналитики'!E4608*SUMIF(ThresholdAge13,"&lt;"&amp;'19_Расчет_аналитики'!E4608,WeightedRevAge13)-SUMIF(ThresholdAge13,"&lt;"&amp;'19_Расчет_аналитики'!E4608,WeightedMinAge13),MAX(CapacityAge13*'01_Вводные'!$B$218*'19_Расчет_аналитики'!E4608,MeanMinAge13))),0)</f>
        <v/>
      </c>
      <c r="F4552">
        <f>IF('01_Вводные'!$B$234="Да",IF(OR(('06_Сеть_и_дети'!F65-'06_Сеть_и_дети'!F93)=0,13&lt;='01_Вводные'!$B$297),0,('06_Сеть_и_дети'!F65-'06_Сеть_и_дети'!F93)*IF('01_Вводные'!$B$239="Да",MeanMinAge13+'19_Расчет_аналитики'!F4608*SUMIF(ThresholdAge13,"&lt;"&amp;'19_Расчет_аналитики'!F4608,WeightedRevAge13)-SUMIF(ThresholdAge13,"&lt;"&amp;'19_Расчет_аналитики'!F4608,WeightedMinAge13),MAX(CapacityAge13*'01_Вводные'!$B$218*'19_Расчет_аналитики'!F4608,MeanMinAge13))),0)</f>
        <v/>
      </c>
      <c r="G4552">
        <f>IF('01_Вводные'!$B$234="Да",IF(OR(('06_Сеть_и_дети'!G65-'06_Сеть_и_дети'!G93)=0,13&lt;='01_Вводные'!$B$297),0,('06_Сеть_и_дети'!G65-'06_Сеть_и_дети'!G93)*IF('01_Вводные'!$B$239="Да",MeanMinAge13+'19_Расчет_аналитики'!G4608*SUMIF(ThresholdAge13,"&lt;"&amp;'19_Расчет_аналитики'!G4608,WeightedRevAge13)-SUMIF(ThresholdAge13,"&lt;"&amp;'19_Расчет_аналитики'!G4608,WeightedMinAge13),MAX(CapacityAge13*'01_Вводные'!$B$218*'19_Расчет_аналитики'!G4608,MeanMinAge13))),0)</f>
        <v/>
      </c>
      <c r="H4552">
        <f>IF('01_Вводные'!$B$234="Да",IF(OR(('06_Сеть_и_дети'!H65-'06_Сеть_и_дети'!H93)=0,13&lt;='01_Вводные'!$B$297),0,('06_Сеть_и_дети'!H65-'06_Сеть_и_дети'!H93)*IF('01_Вводные'!$B$239="Да",MeanMinAge13+'19_Расчет_аналитики'!H4608*SUMIF(ThresholdAge13,"&lt;"&amp;'19_Расчет_аналитики'!H4608,WeightedRevAge13)-SUMIF(ThresholdAge13,"&lt;"&amp;'19_Расчет_аналитики'!H4608,WeightedMinAge13),MAX(CapacityAge13*'01_Вводные'!$B$218*'19_Расчет_аналитики'!H4608,MeanMinAge13))),0)</f>
        <v/>
      </c>
      <c r="I4552">
        <f>IF('01_Вводные'!$B$234="Да",IF(OR(('06_Сеть_и_дети'!I65-'06_Сеть_и_дети'!I93)=0,13&lt;='01_Вводные'!$B$297),0,('06_Сеть_и_дети'!I65-'06_Сеть_и_дети'!I93)*IF('01_Вводные'!$B$239="Да",MeanMinAge13+'19_Расчет_аналитики'!I4608*SUMIF(ThresholdAge13,"&lt;"&amp;'19_Расчет_аналитики'!I4608,WeightedRevAge13)-SUMIF(ThresholdAge13,"&lt;"&amp;'19_Расчет_аналитики'!I4608,WeightedMinAge13),MAX(CapacityAge13*'01_Вводные'!$B$218*'19_Расчет_аналитики'!I4608,MeanMinAge13))),0)</f>
        <v/>
      </c>
      <c r="J4552">
        <f>IF('01_Вводные'!$B$234="Да",IF(OR(('06_Сеть_и_дети'!J65-'06_Сеть_и_дети'!J93)=0,13&lt;='01_Вводные'!$B$297),0,('06_Сеть_и_дети'!J65-'06_Сеть_и_дети'!J93)*IF('01_Вводные'!$B$239="Да",MeanMinAge13+'19_Расчет_аналитики'!J4608*SUMIF(ThresholdAge13,"&lt;"&amp;'19_Расчет_аналитики'!J4608,WeightedRevAge13)-SUMIF(ThresholdAge13,"&lt;"&amp;'19_Расчет_аналитики'!J4608,WeightedMinAge13),MAX(CapacityAge13*'01_Вводные'!$B$218*'19_Расчет_аналитики'!J4608,MeanMinAge13))),0)</f>
        <v/>
      </c>
      <c r="K4552">
        <f>IF('01_Вводные'!$B$234="Да",IF(OR(('06_Сеть_и_дети'!K65-'06_Сеть_и_дети'!K93)=0,13&lt;='01_Вводные'!$B$297),0,('06_Сеть_и_дети'!K65-'06_Сеть_и_дети'!K93)*IF('01_Вводные'!$B$239="Да",MeanMinAge13+'19_Расчет_аналитики'!K4608*SUMIF(ThresholdAge13,"&lt;"&amp;'19_Расчет_аналитики'!K4608,WeightedRevAge13)-SUMIF(ThresholdAge13,"&lt;"&amp;'19_Расчет_аналитики'!K4608,WeightedMinAge13),MAX(CapacityAge13*'01_Вводные'!$B$218*'19_Расчет_аналитики'!K4608,MeanMinAge13))),0)</f>
        <v/>
      </c>
      <c r="L4552">
        <f>IF('01_Вводные'!$B$234="Да",IF(OR(('06_Сеть_и_дети'!L65-'06_Сеть_и_дети'!L93)=0,13&lt;='01_Вводные'!$B$297),0,('06_Сеть_и_дети'!L65-'06_Сеть_и_дети'!L93)*IF('01_Вводные'!$B$239="Да",MeanMinAge13+'19_Расчет_аналитики'!L4608*SUMIF(ThresholdAge13,"&lt;"&amp;'19_Расчет_аналитики'!L4608,WeightedRevAge13)-SUMIF(ThresholdAge13,"&lt;"&amp;'19_Расчет_аналитики'!L4608,WeightedMinAge13),MAX(CapacityAge13*'01_Вводные'!$B$218*'19_Расчет_аналитики'!L4608,MeanMinAge13))),0)</f>
        <v/>
      </c>
      <c r="M4552">
        <f>IF('01_Вводные'!$B$234="Да",IF(OR(('06_Сеть_и_дети'!M65-'06_Сеть_и_дети'!M93)=0,13&lt;='01_Вводные'!$B$297),0,('06_Сеть_и_дети'!M65-'06_Сеть_и_дети'!M93)*IF('01_Вводные'!$B$239="Да",MeanMinAge13+'19_Расчет_аналитики'!M4608*SUMIF(ThresholdAge13,"&lt;"&amp;'19_Расчет_аналитики'!M4608,WeightedRevAge13)-SUMIF(ThresholdAge13,"&lt;"&amp;'19_Расчет_аналитики'!M4608,WeightedMinAge13),MAX(CapacityAge13*'01_Вводные'!$B$218*'19_Расчет_аналитики'!M4608,MeanMinAge13))),0)</f>
        <v/>
      </c>
      <c r="N4552">
        <f>IF('01_Вводные'!$B$234="Да",IF(OR(('19_Расчет_аналитики'!N4468-'19_Расчет_аналитики'!N4496)=0,13&lt;='01_Вводные'!$B$297),0,('19_Расчет_аналитики'!N4468-'19_Расчет_аналитики'!N4496)*IF('01_Вводные'!$B$239="Да",MeanMinAge13+'19_Расчет_аналитики'!N4608*SUMIF(ThresholdAge13,"&lt;"&amp;'19_Расчет_аналитики'!N4608,WeightedRevAge13)-SUMIF(ThresholdAge13,"&lt;"&amp;'19_Расчет_аналитики'!N4608,WeightedMinAge13),MAX(CapacityAge13*'01_Вводные'!$B$218*'19_Расчет_аналитики'!N4608,MeanMinAge13))),0)</f>
        <v/>
      </c>
      <c r="O4552">
        <f>IF('01_Вводные'!$B$234="Да",IF(OR(('19_Расчет_аналитики'!O4468-'19_Расчет_аналитики'!O4496)=0,13&lt;='01_Вводные'!$B$297),0,('19_Расчет_аналитики'!O4468-'19_Расчет_аналитики'!O4496)*IF('01_Вводные'!$B$239="Да",MeanMinAge13+'19_Расчет_аналитики'!O4608*SUMIF(ThresholdAge13,"&lt;"&amp;'19_Расчет_аналитики'!O4608,WeightedRevAge13)-SUMIF(ThresholdAge13,"&lt;"&amp;'19_Расчет_аналитики'!O4608,WeightedMinAge13),MAX(CapacityAge13*'01_Вводные'!$B$218*'19_Расчет_аналитики'!O4608,MeanMinAge13))),0)</f>
        <v/>
      </c>
      <c r="P4552">
        <f>IF('01_Вводные'!$B$234="Да",IF(OR(('19_Расчет_аналитики'!P4468-'19_Расчет_аналитики'!P4496)=0,13&lt;='01_Вводные'!$B$297),0,('19_Расчет_аналитики'!P4468-'19_Расчет_аналитики'!P4496)*IF('01_Вводные'!$B$239="Да",MeanMinAge13+'19_Расчет_аналитики'!P4608*SUMIF(ThresholdAge13,"&lt;"&amp;'19_Расчет_аналитики'!P4608,WeightedRevAge13)-SUMIF(ThresholdAge13,"&lt;"&amp;'19_Расчет_аналитики'!P4608,WeightedMinAge13),MAX(CapacityAge13*'01_Вводные'!$B$218*'19_Расчет_аналитики'!P4608,MeanMinAge13))),0)</f>
        <v/>
      </c>
      <c r="Q4552">
        <f>IF('01_Вводные'!$B$234="Да",IF(OR(('19_Расчет_аналитики'!Q4468-'19_Расчет_аналитики'!Q4496)=0,13&lt;='01_Вводные'!$B$297),0,('19_Расчет_аналитики'!Q4468-'19_Расчет_аналитики'!Q4496)*IF('01_Вводные'!$B$239="Да",MeanMinAge13+'19_Расчет_аналитики'!Q4608*SUMIF(ThresholdAge13,"&lt;"&amp;'19_Расчет_аналитики'!Q4608,WeightedRevAge13)-SUMIF(ThresholdAge13,"&lt;"&amp;'19_Расчет_аналитики'!Q4608,WeightedMinAge13),MAX(CapacityAge13*'01_Вводные'!$B$218*'19_Расчет_аналитики'!Q4608,MeanMinAge13))),0)</f>
        <v/>
      </c>
      <c r="R4552">
        <f>IF('01_Вводные'!$B$234="Да",IF(OR(('19_Расчет_аналитики'!R4468-'19_Расчет_аналитики'!R4496)=0,13&lt;='01_Вводные'!$B$297),0,('19_Расчет_аналитики'!R4468-'19_Расчет_аналитики'!R4496)*IF('01_Вводные'!$B$239="Да",MeanMinAge13+'19_Расчет_аналитики'!R4608*SUMIF(ThresholdAge13,"&lt;"&amp;'19_Расчет_аналитики'!R4608,WeightedRevAge13)-SUMIF(ThresholdAge13,"&lt;"&amp;'19_Расчет_аналитики'!R4608,WeightedMinAge13),MAX(CapacityAge13*'01_Вводные'!$B$218*'19_Расчет_аналитики'!R4608,MeanMinAge13))),0)</f>
        <v/>
      </c>
      <c r="S4552">
        <f>IF('01_Вводные'!$B$234="Да",IF(OR(('19_Расчет_аналитики'!S4468-'19_Расчет_аналитики'!S4496)=0,13&lt;='01_Вводные'!$B$297),0,('19_Расчет_аналитики'!S4468-'19_Расчет_аналитики'!S4496)*IF('01_Вводные'!$B$239="Да",MeanMinAge13+'19_Расчет_аналитики'!S4608*SUMIF(ThresholdAge13,"&lt;"&amp;'19_Расчет_аналитики'!S4608,WeightedRevAge13)-SUMIF(ThresholdAge13,"&lt;"&amp;'19_Расчет_аналитики'!S4608,WeightedMinAge13),MAX(CapacityAge13*'01_Вводные'!$B$218*'19_Расчет_аналитики'!S4608,MeanMinAge13))),0)</f>
        <v/>
      </c>
      <c r="T4552">
        <f>IF('01_Вводные'!$B$234="Да",IF(OR(('19_Расчет_аналитики'!T4468-'19_Расчет_аналитики'!T4496)=0,13&lt;='01_Вводные'!$B$297),0,('19_Расчет_аналитики'!T4468-'19_Расчет_аналитики'!T4496)*IF('01_Вводные'!$B$239="Да",MeanMinAge13+'19_Расчет_аналитики'!T4608*SUMIF(ThresholdAge13,"&lt;"&amp;'19_Расчет_аналитики'!T4608,WeightedRevAge13)-SUMIF(ThresholdAge13,"&lt;"&amp;'19_Расчет_аналитики'!T4608,WeightedMinAge13),MAX(CapacityAge13*'01_Вводные'!$B$218*'19_Расчет_аналитики'!T4608,MeanMinAge13))),0)</f>
        <v/>
      </c>
      <c r="U4552">
        <f>IF('01_Вводные'!$B$234="Да",IF(OR(('19_Расчет_аналитики'!U4468-'19_Расчет_аналитики'!U4496)=0,13&lt;='01_Вводные'!$B$297),0,('19_Расчет_аналитики'!U4468-'19_Расчет_аналитики'!U4496)*IF('01_Вводные'!$B$239="Да",MeanMinAge13+'19_Расчет_аналитики'!U4608*SUMIF(ThresholdAge13,"&lt;"&amp;'19_Расчет_аналитики'!U4608,WeightedRevAge13)-SUMIF(ThresholdAge13,"&lt;"&amp;'19_Расчет_аналитики'!U4608,WeightedMinAge13),MAX(CapacityAge13*'01_Вводные'!$B$218*'19_Расчет_аналитики'!U4608,MeanMinAge13))),0)</f>
        <v/>
      </c>
      <c r="V4552">
        <f>IF('01_Вводные'!$B$234="Да",IF(OR(('19_Расчет_аналитики'!V4468-'19_Расчет_аналитики'!V4496)=0,13&lt;='01_Вводные'!$B$297),0,('19_Расчет_аналитики'!V4468-'19_Расчет_аналитики'!V4496)*IF('01_Вводные'!$B$239="Да",MeanMinAge13+'19_Расчет_аналитики'!V4608*SUMIF(ThresholdAge13,"&lt;"&amp;'19_Расчет_аналитики'!V4608,WeightedRevAge13)-SUMIF(ThresholdAge13,"&lt;"&amp;'19_Расчет_аналитики'!V4608,WeightedMinAge13),MAX(CapacityAge13*'01_Вводные'!$B$218*'19_Расчет_аналитики'!V4608,MeanMinAge13))),0)</f>
        <v/>
      </c>
      <c r="W4552">
        <f>IF('01_Вводные'!$B$234="Да",IF(OR(('19_Расчет_аналитики'!W4468-'19_Расчет_аналитики'!W4496)=0,13&lt;='01_Вводные'!$B$297),0,('19_Расчет_аналитики'!W4468-'19_Расчет_аналитики'!W4496)*IF('01_Вводные'!$B$239="Да",MeanMinAge13+'19_Расчет_аналитики'!W4608*SUMIF(ThresholdAge13,"&lt;"&amp;'19_Расчет_аналитики'!W4608,WeightedRevAge13)-SUMIF(ThresholdAge13,"&lt;"&amp;'19_Расчет_аналитики'!W4608,WeightedMinAge13),MAX(CapacityAge13*'01_Вводные'!$B$218*'19_Расчет_аналитики'!W4608,MeanMinAge13))),0)</f>
        <v/>
      </c>
      <c r="X4552">
        <f>IF('01_Вводные'!$B$234="Да",IF(OR(('19_Расчет_аналитики'!X4468-'19_Расчет_аналитики'!X4496)=0,13&lt;='01_Вводные'!$B$297),0,('19_Расчет_аналитики'!X4468-'19_Расчет_аналитики'!X4496)*IF('01_Вводные'!$B$239="Да",MeanMinAge13+'19_Расчет_аналитики'!X4608*SUMIF(ThresholdAge13,"&lt;"&amp;'19_Расчет_аналитики'!X4608,WeightedRevAge13)-SUMIF(ThresholdAge13,"&lt;"&amp;'19_Расчет_аналитики'!X4608,WeightedMinAge13),MAX(CapacityAge13*'01_Вводные'!$B$218*'19_Расчет_аналитики'!X4608,MeanMinAge13))),0)</f>
        <v/>
      </c>
      <c r="Y4552">
        <f>IF('01_Вводные'!$B$234="Да",IF(OR(('19_Расчет_аналитики'!Y4468-'19_Расчет_аналитики'!Y4496)=0,13&lt;='01_Вводные'!$B$297),0,('19_Расчет_аналитики'!Y4468-'19_Расчет_аналитики'!Y4496)*IF('01_Вводные'!$B$239="Да",MeanMinAge13+'19_Расчет_аналитики'!Y4608*SUMIF(ThresholdAge13,"&lt;"&amp;'19_Расчет_аналитики'!Y4608,WeightedRevAge13)-SUMIF(ThresholdAge13,"&lt;"&amp;'19_Расчет_аналитики'!Y4608,WeightedMinAge13),MAX(CapacityAge13*'01_Вводные'!$B$218*'19_Расчет_аналитики'!Y4608,MeanMinAge13))),0)</f>
        <v/>
      </c>
      <c r="Z4552">
        <f>IF('01_Вводные'!$B$234="Да",IF(OR(('19_Расчет_аналитики'!Z4468-'19_Расчет_аналитики'!Z4496)=0,13&lt;='01_Вводные'!$B$297),0,('19_Расчет_аналитики'!Z4468-'19_Расчет_аналитики'!Z4496)*IF('01_Вводные'!$B$239="Да",MeanMinAge13+'19_Расчет_аналитики'!Z4608*SUMIF(ThresholdAge13,"&lt;"&amp;'19_Расчет_аналитики'!Z4608,WeightedRevAge13)-SUMIF(ThresholdAge13,"&lt;"&amp;'19_Расчет_аналитики'!Z4608,WeightedMinAge13),MAX(CapacityAge13*'01_Вводные'!$B$218*'19_Расчет_аналитики'!Z4608,MeanMinAge13))),0)</f>
        <v/>
      </c>
      <c r="AA4552">
        <f>IF('01_Вводные'!$B$234="Да",IF(OR(('19_Расчет_аналитики'!AA4468-'19_Расчет_аналитики'!AA4496)=0,13&lt;='01_Вводные'!$B$297),0,('19_Расчет_аналитики'!AA4468-'19_Расчет_аналитики'!AA4496)*IF('01_Вводные'!$B$239="Да",MeanMinAge13+'19_Расчет_аналитики'!AA4608*SUMIF(ThresholdAge13,"&lt;"&amp;'19_Расчет_аналитики'!AA4608,WeightedRevAge13)-SUMIF(ThresholdAge13,"&lt;"&amp;'19_Расчет_аналитики'!AA4608,WeightedMinAge13),MAX(CapacityAge13*'01_Вводные'!$B$218*'19_Расчет_аналитики'!AA4608,MeanMinAge13))),0)</f>
        <v/>
      </c>
      <c r="AB4552">
        <f>IF('01_Вводные'!$B$234="Да",IF(OR(('19_Расчет_аналитики'!AB4468-'19_Расчет_аналитики'!AB4496)=0,13&lt;='01_Вводные'!$B$297),0,('19_Расчет_аналитики'!AB4468-'19_Расчет_аналитики'!AB4496)*IF('01_Вводные'!$B$239="Да",MeanMinAge13+'19_Расчет_аналитики'!AB4608*SUMIF(ThresholdAge13,"&lt;"&amp;'19_Расчет_аналитики'!AB4608,WeightedRevAge13)-SUMIF(ThresholdAge13,"&lt;"&amp;'19_Расчет_аналитики'!AB4608,WeightedMinAge13),MAX(CapacityAge13*'01_Вводные'!$B$218*'19_Расчет_аналитики'!AB4608,MeanMinAge13))),0)</f>
        <v/>
      </c>
      <c r="AC4552">
        <f>IF('01_Вводные'!$B$234="Да",IF(OR(('19_Расчет_аналитики'!AC4468-'19_Расчет_аналитики'!AC4496)=0,13&lt;='01_Вводные'!$B$297),0,('19_Расчет_аналитики'!AC4468-'19_Расчет_аналитики'!AC4496)*IF('01_Вводные'!$B$239="Да",MeanMinAge13+'19_Расчет_аналитики'!AC4608*SUMIF(ThresholdAge13,"&lt;"&amp;'19_Расчет_аналитики'!AC4608,WeightedRevAge13)-SUMIF(ThresholdAge13,"&lt;"&amp;'19_Расчет_аналитики'!AC4608,WeightedMinAge13),MAX(CapacityAge13*'01_Вводные'!$B$218*'19_Расчет_аналитики'!AC4608,MeanMinAge13))),0)</f>
        <v/>
      </c>
      <c r="AD4552">
        <f>IF('01_Вводные'!$B$234="Да",IF(OR(('19_Расчет_аналитики'!AD4468-'19_Расчет_аналитики'!AD4496)=0,13&lt;='01_Вводные'!$B$297),0,('19_Расчет_аналитики'!AD4468-'19_Расчет_аналитики'!AD4496)*IF('01_Вводные'!$B$239="Да",MeanMinAge13+'19_Расчет_аналитики'!AD4608*SUMIF(ThresholdAge13,"&lt;"&amp;'19_Расчет_аналитики'!AD4608,WeightedRevAge13)-SUMIF(ThresholdAge13,"&lt;"&amp;'19_Расчет_аналитики'!AD4608,WeightedMinAge13),MAX(CapacityAge13*'01_Вводные'!$B$218*'19_Расчет_аналитики'!AD4608,MeanMinAge13))),0)</f>
        <v/>
      </c>
      <c r="AE4552">
        <f>IF('01_Вводные'!$B$234="Да",IF(OR(('19_Расчет_аналитики'!AE4468-'19_Расчет_аналитики'!AE4496)=0,13&lt;='01_Вводные'!$B$297),0,('19_Расчет_аналитики'!AE4468-'19_Расчет_аналитики'!AE4496)*IF('01_Вводные'!$B$239="Да",MeanMinAge13+'19_Расчет_аналитики'!AE4608*SUMIF(ThresholdAge13,"&lt;"&amp;'19_Расчет_аналитики'!AE4608,WeightedRevAge13)-SUMIF(ThresholdAge13,"&lt;"&amp;'19_Расчет_аналитики'!AE4608,WeightedMinAge13),MAX(CapacityAge13*'01_Вводные'!$B$218*'19_Расчет_аналитики'!AE4608,MeanMinAge13))),0)</f>
        <v/>
      </c>
      <c r="AF4552">
        <f>IF('01_Вводные'!$B$234="Да",IF(OR(('19_Расчет_аналитики'!AF4468-'19_Расчет_аналитики'!AF4496)=0,13&lt;='01_Вводные'!$B$297),0,('19_Расчет_аналитики'!AF4468-'19_Расчет_аналитики'!AF4496)*IF('01_Вводные'!$B$239="Да",MeanMinAge13+'19_Расчет_аналитики'!AF4608*SUMIF(ThresholdAge13,"&lt;"&amp;'19_Расчет_аналитики'!AF4608,WeightedRevAge13)-SUMIF(ThresholdAge13,"&lt;"&amp;'19_Расчет_аналитики'!AF4608,WeightedMinAge13),MAX(CapacityAge13*'01_Вводные'!$B$218*'19_Расчет_аналитики'!AF4608,MeanMinAge13))),0)</f>
        <v/>
      </c>
      <c r="AG4552">
        <f>IF('01_Вводные'!$B$234="Да",IF(OR(('19_Расчет_аналитики'!AG4468-'19_Расчет_аналитики'!AG4496)=0,13&lt;='01_Вводные'!$B$297),0,('19_Расчет_аналитики'!AG4468-'19_Расчет_аналитики'!AG4496)*IF('01_Вводные'!$B$239="Да",MeanMinAge13+'19_Расчет_аналитики'!AG4608*SUMIF(ThresholdAge13,"&lt;"&amp;'19_Расчет_аналитики'!AG4608,WeightedRevAge13)-SUMIF(ThresholdAge13,"&lt;"&amp;'19_Расчет_аналитики'!AG4608,WeightedMinAge13),MAX(CapacityAge13*'01_Вводные'!$B$218*'19_Расчет_аналитики'!AG4608,MeanMinAge13))),0)</f>
        <v/>
      </c>
      <c r="AH4552">
        <f>IF('01_Вводные'!$B$234="Да",IF(OR(('19_Расчет_аналитики'!AH4468-'19_Расчет_аналитики'!AH4496)=0,13&lt;='01_Вводные'!$B$297),0,('19_Расчет_аналитики'!AH4468-'19_Расчет_аналитики'!AH4496)*IF('01_Вводные'!$B$239="Да",MeanMinAge13+'19_Расчет_аналитики'!AH4608*SUMIF(ThresholdAge13,"&lt;"&amp;'19_Расчет_аналитики'!AH4608,WeightedRevAge13)-SUMIF(ThresholdAge13,"&lt;"&amp;'19_Расчет_аналитики'!AH4608,WeightedMinAge13),MAX(CapacityAge13*'01_Вводные'!$B$218*'19_Расчет_аналитики'!AH4608,MeanMinAge13))),0)</f>
        <v/>
      </c>
      <c r="AI4552">
        <f>IF('01_Вводные'!$B$234="Да",IF(OR(('19_Расчет_аналитики'!AI4468-'19_Расчет_аналитики'!AI4496)=0,13&lt;='01_Вводные'!$B$297),0,('19_Расчет_аналитики'!AI4468-'19_Расчет_аналитики'!AI4496)*IF('01_Вводные'!$B$239="Да",MeanMinAge13+'19_Расчет_аналитики'!AI4608*SUMIF(ThresholdAge13,"&lt;"&amp;'19_Расчет_аналитики'!AI4608,WeightedRevAge13)-SUMIF(ThresholdAge13,"&lt;"&amp;'19_Расчет_аналитики'!AI4608,WeightedMinAge13),MAX(CapacityAge13*'01_Вводные'!$B$218*'19_Расчет_аналитики'!AI4608,MeanMinAge13))),0)</f>
        <v/>
      </c>
      <c r="AJ4552">
        <f>IF('01_Вводные'!$B$234="Да",IF(OR(('19_Расчет_аналитики'!AJ4468-'19_Расчет_аналитики'!AJ4496)=0,13&lt;='01_Вводные'!$B$297),0,('19_Расчет_аналитики'!AJ4468-'19_Расчет_аналитики'!AJ4496)*IF('01_Вводные'!$B$239="Да",MeanMinAge13+'19_Расчет_аналитики'!AJ4608*SUMIF(ThresholdAge13,"&lt;"&amp;'19_Расчет_аналитики'!AJ4608,WeightedRevAge13)-SUMIF(ThresholdAge13,"&lt;"&amp;'19_Расчет_аналитики'!AJ4608,WeightedMinAge13),MAX(CapacityAge13*'01_Вводные'!$B$218*'19_Расчет_аналитики'!AJ4608,MeanMinAge13))),0)</f>
        <v/>
      </c>
      <c r="AK4552">
        <f>IF('01_Вводные'!$B$234="Да",IF(OR(('19_Расчет_аналитики'!AK4468-'19_Расчет_аналитики'!AK4496)=0,13&lt;='01_Вводные'!$B$297),0,('19_Расчет_аналитики'!AK4468-'19_Расчет_аналитики'!AK4496)*IF('01_Вводные'!$B$239="Да",MeanMinAge13+'19_Расчет_аналитики'!AK4608*SUMIF(ThresholdAge13,"&lt;"&amp;'19_Расчет_аналитики'!AK4608,WeightedRevAge13)-SUMIF(ThresholdAge13,"&lt;"&amp;'19_Расчет_аналитики'!AK4608,WeightedMinAge13),MAX(CapacityAge13*'01_Вводные'!$B$218*'19_Расчет_аналитики'!AK4608,MeanMinAge13))),0)</f>
        <v/>
      </c>
      <c r="AL4552">
        <f>IF('01_Вводные'!$B$234="Да",IF(OR(('19_Расчет_аналитики'!AL4468-'19_Расчет_аналитики'!AL4496)=0,13&lt;='01_Вводные'!$B$297),0,('19_Расчет_аналитики'!AL4468-'19_Расчет_аналитики'!AL4496)*IF('01_Вводные'!$B$239="Да",MeanMinAge13+'19_Расчет_аналитики'!AL4608*SUMIF(ThresholdAge13,"&lt;"&amp;'19_Расчет_аналитики'!AL4608,WeightedRevAge13)-SUMIF(ThresholdAge13,"&lt;"&amp;'19_Расчет_аналитики'!AL4608,WeightedMinAge13),MAX(CapacityAge13*'01_Вводные'!$B$218*'19_Расчет_аналитики'!AL4608,MeanMinAge13))),0)</f>
        <v/>
      </c>
      <c r="AM4552">
        <f>IF('01_Вводные'!$B$234="Да",IF(OR(('19_Расчет_аналитики'!AM4468-'19_Расчет_аналитики'!AM4496)=0,13&lt;='01_Вводные'!$B$297),0,('19_Расчет_аналитики'!AM4468-'19_Расчет_аналитики'!AM4496)*IF('01_Вводные'!$B$239="Да",MeanMinAge13+'19_Расчет_аналитики'!AM4608*SUMIF(ThresholdAge13,"&lt;"&amp;'19_Расчет_аналитики'!AM4608,WeightedRevAge13)-SUMIF(ThresholdAge13,"&lt;"&amp;'19_Расчет_аналитики'!AM4608,WeightedMinAge13),MAX(CapacityAge13*'01_Вводные'!$B$218*'19_Расчет_аналитики'!AM4608,MeanMinAge13))),0)</f>
        <v/>
      </c>
      <c r="AN4552">
        <f>IF('01_Вводные'!$B$234="Да",IF(OR(('19_Расчет_аналитики'!AN4468-'19_Расчет_аналитики'!AN4496)=0,13&lt;='01_Вводные'!$B$297),0,('19_Расчет_аналитики'!AN4468-'19_Расчет_аналитики'!AN4496)*IF('01_Вводные'!$B$239="Да",MeanMinAge13+'19_Расчет_аналитики'!AN4608*SUMIF(ThresholdAge13,"&lt;"&amp;'19_Расчет_аналитики'!AN4608,WeightedRevAge13)-SUMIF(ThresholdAge13,"&lt;"&amp;'19_Расчет_аналитики'!AN4608,WeightedMinAge13),MAX(CapacityAge13*'01_Вводные'!$B$218*'19_Расчет_аналитики'!AN4608,MeanMinAge13))),0)</f>
        <v/>
      </c>
      <c r="AO4552">
        <f>IF('01_Вводные'!$B$234="Да",IF(OR(('19_Расчет_аналитики'!AO4468-'19_Расчет_аналитики'!AO4496)=0,13&lt;='01_Вводные'!$B$297),0,('19_Расчет_аналитики'!AO4468-'19_Расчет_аналитики'!AO4496)*IF('01_Вводные'!$B$239="Да",MeanMinAge13+'19_Расчет_аналитики'!AO4608*SUMIF(ThresholdAge13,"&lt;"&amp;'19_Расчет_аналитики'!AO4608,WeightedRevAge13)-SUMIF(ThresholdAge13,"&lt;"&amp;'19_Расчет_аналитики'!AO4608,WeightedMinAge13),MAX(CapacityAge13*'01_Вводные'!$B$218*'19_Расчет_аналитики'!AO4608,MeanMinAge13))),0)</f>
        <v/>
      </c>
      <c r="AP4552">
        <f>IF('01_Вводные'!$B$234="Да",IF(OR(('19_Расчет_аналитики'!AP4468-'19_Расчет_аналитики'!AP4496)=0,13&lt;='01_Вводные'!$B$297),0,('19_Расчет_аналитики'!AP4468-'19_Расчет_аналитики'!AP4496)*IF('01_Вводные'!$B$239="Да",MeanMinAge13+'19_Расчет_аналитики'!AP4608*SUMIF(ThresholdAge13,"&lt;"&amp;'19_Расчет_аналитики'!AP4608,WeightedRevAge13)-SUMIF(ThresholdAge13,"&lt;"&amp;'19_Расчет_аналитики'!AP4608,WeightedMinAge13),MAX(CapacityAge13*'01_Вводные'!$B$218*'19_Расчет_аналитики'!AP4608,MeanMinAge13))),0)</f>
        <v/>
      </c>
      <c r="AQ4552">
        <f>IF('01_Вводные'!$B$234="Да",IF(OR(('19_Расчет_аналитики'!AQ4468-'19_Расчет_аналитики'!AQ4496)=0,13&lt;='01_Вводные'!$B$297),0,('19_Расчет_аналитики'!AQ4468-'19_Расчет_аналитики'!AQ4496)*IF('01_Вводные'!$B$239="Да",MeanMinAge13+'19_Расчет_аналитики'!AQ4608*SUMIF(ThresholdAge13,"&lt;"&amp;'19_Расчет_аналитики'!AQ4608,WeightedRevAge13)-SUMIF(ThresholdAge13,"&lt;"&amp;'19_Расчет_аналитики'!AQ4608,WeightedMinAge13),MAX(CapacityAge13*'01_Вводные'!$B$218*'19_Расчет_аналитики'!AQ4608,MeanMinAge13))),0)</f>
        <v/>
      </c>
      <c r="AR4552">
        <f>IF('01_Вводные'!$B$234="Да",IF(OR(('19_Расчет_аналитики'!AR4468-'19_Расчет_аналитики'!AR4496)=0,13&lt;='01_Вводные'!$B$297),0,('19_Расчет_аналитики'!AR4468-'19_Расчет_аналитики'!AR4496)*IF('01_Вводные'!$B$239="Да",MeanMinAge13+'19_Расчет_аналитики'!AR4608*SUMIF(ThresholdAge13,"&lt;"&amp;'19_Расчет_аналитики'!AR4608,WeightedRevAge13)-SUMIF(ThresholdAge13,"&lt;"&amp;'19_Расчет_аналитики'!AR4608,WeightedMinAge13),MAX(CapacityAge13*'01_Вводные'!$B$218*'19_Расчет_аналитики'!AR4608,MeanMinAge13))),0)</f>
        <v/>
      </c>
      <c r="AS4552">
        <f>IF('01_Вводные'!$B$234="Да",IF(OR(('19_Расчет_аналитики'!AS4468-'19_Расчет_аналитики'!AS4496)=0,13&lt;='01_Вводные'!$B$297),0,('19_Расчет_аналитики'!AS4468-'19_Расчет_аналитики'!AS4496)*IF('01_Вводные'!$B$239="Да",MeanMinAge13+'19_Расчет_аналитики'!AS4608*SUMIF(ThresholdAge13,"&lt;"&amp;'19_Расчет_аналитики'!AS4608,WeightedRevAge13)-SUMIF(ThresholdAge13,"&lt;"&amp;'19_Расчет_аналитики'!AS4608,WeightedMinAge13),MAX(CapacityAge13*'01_Вводные'!$B$218*'19_Расчет_аналитики'!AS4608,MeanMinAge13))),0)</f>
        <v/>
      </c>
      <c r="AT4552">
        <f>IF('01_Вводные'!$B$234="Да",IF(OR(('19_Расчет_аналитики'!AT4468-'19_Расчет_аналитики'!AT4496)=0,13&lt;='01_Вводные'!$B$297),0,('19_Расчет_аналитики'!AT4468-'19_Расчет_аналитики'!AT4496)*IF('01_Вводные'!$B$239="Да",MeanMinAge13+'19_Расчет_аналитики'!AT4608*SUMIF(ThresholdAge13,"&lt;"&amp;'19_Расчет_аналитики'!AT4608,WeightedRevAge13)-SUMIF(ThresholdAge13,"&lt;"&amp;'19_Расчет_аналитики'!AT4608,WeightedMinAge13),MAX(CapacityAge13*'01_Вводные'!$B$218*'19_Расчет_аналитики'!AT4608,MeanMinAge13))),0)</f>
        <v/>
      </c>
      <c r="AU4552">
        <f>IF('01_Вводные'!$B$234="Да",IF(OR(('19_Расчет_аналитики'!AU4468-'19_Расчет_аналитики'!AU4496)=0,13&lt;='01_Вводные'!$B$297),0,('19_Расчет_аналитики'!AU4468-'19_Расчет_аналитики'!AU4496)*IF('01_Вводные'!$B$239="Да",MeanMinAge13+'19_Расчет_аналитики'!AU4608*SUMIF(ThresholdAge13,"&lt;"&amp;'19_Расчет_аналитики'!AU4608,WeightedRevAge13)-SUMIF(ThresholdAge13,"&lt;"&amp;'19_Расчет_аналитики'!AU4608,WeightedMinAge13),MAX(CapacityAge13*'01_Вводные'!$B$218*'19_Расчет_аналитики'!AU4608,MeanMinAge13))),0)</f>
        <v/>
      </c>
      <c r="AV4552">
        <f>IF('01_Вводные'!$B$234="Да",IF(OR(('19_Расчет_аналитики'!AV4468-'19_Расчет_аналитики'!AV4496)=0,13&lt;='01_Вводные'!$B$297),0,('19_Расчет_аналитики'!AV4468-'19_Расчет_аналитики'!AV4496)*IF('01_Вводные'!$B$239="Да",MeanMinAge13+'19_Расчет_аналитики'!AV4608*SUMIF(ThresholdAge13,"&lt;"&amp;'19_Расчет_аналитики'!AV4608,WeightedRevAge13)-SUMIF(ThresholdAge13,"&lt;"&amp;'19_Расчет_аналитики'!AV4608,WeightedMinAge13),MAX(CapacityAge13*'01_Вводные'!$B$218*'19_Расчет_аналитики'!AV4608,MeanMinAge13))),0)</f>
        <v/>
      </c>
      <c r="AW4552">
        <f>IF('01_Вводные'!$B$234="Да",IF(OR(('19_Расчет_аналитики'!AW4468-'19_Расчет_аналитики'!AW4496)=0,13&lt;='01_Вводные'!$B$297),0,('19_Расчет_аналитики'!AW4468-'19_Расчет_аналитики'!AW4496)*IF('01_Вводные'!$B$239="Да",MeanMinAge13+'19_Расчет_аналитики'!AW4608*SUMIF(ThresholdAge13,"&lt;"&amp;'19_Расчет_аналитики'!AW4608,WeightedRevAge13)-SUMIF(ThresholdAge13,"&lt;"&amp;'19_Расчет_аналитики'!AW4608,WeightedMinAge13),MAX(CapacityAge13*'01_Вводные'!$B$218*'19_Расчет_аналитики'!AW4608,MeanMinAge13))),0)</f>
        <v/>
      </c>
      <c r="AX4552">
        <f>IF('01_Вводные'!$B$234="Да",IF(OR(('19_Расчет_аналитики'!AX4468-'19_Расчет_аналитики'!AX4496)=0,13&lt;='01_Вводные'!$B$297),0,('19_Расчет_аналитики'!AX4468-'19_Расчет_аналитики'!AX4496)*IF('01_Вводные'!$B$239="Да",MeanMinAge13+'19_Расчет_аналитики'!AX4608*SUMIF(ThresholdAge13,"&lt;"&amp;'19_Расчет_аналитики'!AX4608,WeightedRevAge13)-SUMIF(ThresholdAge13,"&lt;"&amp;'19_Расчет_аналитики'!AX4608,WeightedMinAge13),MAX(CapacityAge13*'01_Вводные'!$B$218*'19_Расчет_аналитики'!AX4608,MeanMinAge13))),0)</f>
        <v/>
      </c>
      <c r="AY4552">
        <f>IF('01_Вводные'!$B$234="Да",IF(OR(('19_Расчет_аналитики'!AY4468-'19_Расчет_аналитики'!AY4496)=0,13&lt;='01_Вводные'!$B$297),0,('19_Расчет_аналитики'!AY4468-'19_Расчет_аналитики'!AY4496)*IF('01_Вводные'!$B$239="Да",MeanMinAge13+'19_Расчет_аналитики'!AY4608*SUMIF(ThresholdAge13,"&lt;"&amp;'19_Расчет_аналитики'!AY4608,WeightedRevAge13)-SUMIF(ThresholdAge13,"&lt;"&amp;'19_Расчет_аналитики'!AY4608,WeightedMinAge13),MAX(CapacityAge13*'01_Вводные'!$B$218*'19_Расчет_аналитики'!AY4608,MeanMinAge13))),0)</f>
        <v/>
      </c>
      <c r="AZ4552">
        <f>IF('01_Вводные'!$B$234="Да",IF(OR(('19_Расчет_аналитики'!AZ4468-'19_Расчет_аналитики'!AZ4496)=0,13&lt;='01_Вводные'!$B$297),0,('19_Расчет_аналитики'!AZ4468-'19_Расчет_аналитики'!AZ4496)*IF('01_Вводные'!$B$239="Да",MeanMinAge13+'19_Расчет_аналитики'!AZ4608*SUMIF(ThresholdAge13,"&lt;"&amp;'19_Расчет_аналитики'!AZ4608,WeightedRevAge13)-SUMIF(ThresholdAge13,"&lt;"&amp;'19_Расчет_аналитики'!AZ4608,WeightedMinAge13),MAX(CapacityAge13*'01_Вводные'!$B$218*'19_Расчет_аналитики'!AZ4608,MeanMinAge13))),0)</f>
        <v/>
      </c>
      <c r="BA4552">
        <f>IF('01_Вводные'!$B$234="Да",IF(OR(('19_Расчет_аналитики'!BA4468-'19_Расчет_аналитики'!BA4496)=0,13&lt;='01_Вводные'!$B$297),0,('19_Расчет_аналитики'!BA4468-'19_Расчет_аналитики'!BA4496)*IF('01_Вводные'!$B$239="Да",MeanMinAge13+'19_Расчет_аналитики'!BA4608*SUMIF(ThresholdAge13,"&lt;"&amp;'19_Расчет_аналитики'!BA4608,WeightedRevAge13)-SUMIF(ThresholdAge13,"&lt;"&amp;'19_Расчет_аналитики'!BA4608,WeightedMinAge13),MAX(CapacityAge13*'01_Вводные'!$B$218*'19_Расчет_аналитики'!BA4608,MeanMinAge13))),0)</f>
        <v/>
      </c>
      <c r="BB4552">
        <f>IF('01_Вводные'!$B$234="Да",IF(OR(('19_Расчет_аналитики'!BB4468-'19_Расчет_аналитики'!BB4496)=0,13&lt;='01_Вводные'!$B$297),0,('19_Расчет_аналитики'!BB4468-'19_Расчет_аналитики'!BB4496)*IF('01_Вводные'!$B$239="Да",MeanMinAge13+'19_Расчет_аналитики'!BB4608*SUMIF(ThresholdAge13,"&lt;"&amp;'19_Расчет_аналитики'!BB4608,WeightedRevAge13)-SUMIF(ThresholdAge13,"&lt;"&amp;'19_Расчет_аналитики'!BB4608,WeightedMinAge13),MAX(CapacityAge13*'01_Вводные'!$B$218*'19_Расчет_аналитики'!BB4608,MeanMinAge13))),0)</f>
        <v/>
      </c>
      <c r="BC4552">
        <f>IF('01_Вводные'!$B$234="Да",IF(OR(('19_Расчет_аналитики'!BC4468-'19_Расчет_аналитики'!BC4496)=0,13&lt;='01_Вводные'!$B$297),0,('19_Расчет_аналитики'!BC4468-'19_Расчет_аналитики'!BC4496)*IF('01_Вводные'!$B$239="Да",MeanMinAge13+'19_Расчет_аналитики'!BC4608*SUMIF(ThresholdAge13,"&lt;"&amp;'19_Расчет_аналитики'!BC4608,WeightedRevAge13)-SUMIF(ThresholdAge13,"&lt;"&amp;'19_Расчет_аналитики'!BC4608,WeightedMinAge13),MAX(CapacityAge13*'01_Вводные'!$B$218*'19_Расчет_аналитики'!BC4608,MeanMinAge13))),0)</f>
        <v/>
      </c>
      <c r="BD4552">
        <f>IF('01_Вводные'!$B$234="Да",IF(OR(('19_Расчет_аналитики'!BD4468-'19_Расчет_аналитики'!BD4496)=0,13&lt;='01_Вводные'!$B$297),0,('19_Расчет_аналитики'!BD4468-'19_Расчет_аналитики'!BD4496)*IF('01_Вводные'!$B$239="Да",MeanMinAge13+'19_Расчет_аналитики'!BD4608*SUMIF(ThresholdAge13,"&lt;"&amp;'19_Расчет_аналитики'!BD4608,WeightedRevAge13)-SUMIF(ThresholdAge13,"&lt;"&amp;'19_Расчет_аналитики'!BD4608,WeightedMinAge13),MAX(CapacityAge13*'01_Вводные'!$B$218*'19_Расчет_аналитики'!BD4608,MeanMinAge13))),0)</f>
        <v/>
      </c>
      <c r="BE4552">
        <f>IF('01_Вводные'!$B$234="Да",IF(OR(('19_Расчет_аналитики'!BE4468-'19_Расчет_аналитики'!BE4496)=0,13&lt;='01_Вводные'!$B$297),0,('19_Расчет_аналитики'!BE4468-'19_Расчет_аналитики'!BE4496)*IF('01_Вводные'!$B$239="Да",MeanMinAge13+'19_Расчет_аналитики'!BE4608*SUMIF(ThresholdAge13,"&lt;"&amp;'19_Расчет_аналитики'!BE4608,WeightedRevAge13)-SUMIF(ThresholdAge13,"&lt;"&amp;'19_Расчет_аналитики'!BE4608,WeightedMinAge13),MAX(CapacityAge13*'01_Вводные'!$B$218*'19_Расчет_аналитики'!BE4608,MeanMinAge13))),0)</f>
        <v/>
      </c>
      <c r="BF4552">
        <f>IF('01_Вводные'!$B$234="Да",IF(OR(('19_Расчет_аналитики'!BF4468-'19_Расчет_аналитики'!BF4496)=0,13&lt;='01_Вводные'!$B$297),0,('19_Расчет_аналитики'!BF4468-'19_Расчет_аналитики'!BF4496)*IF('01_Вводные'!$B$239="Да",MeanMinAge13+'19_Расчет_аналитики'!BF4608*SUMIF(ThresholdAge13,"&lt;"&amp;'19_Расчет_аналитики'!BF4608,WeightedRevAge13)-SUMIF(ThresholdAge13,"&lt;"&amp;'19_Расчет_аналитики'!BF4608,WeightedMinAge13),MAX(CapacityAge13*'01_Вводные'!$B$218*'19_Расчет_аналитики'!BF4608,MeanMinAge13))),0)</f>
        <v/>
      </c>
      <c r="BG4552">
        <f>IF('01_Вводные'!$B$234="Да",IF(OR(('19_Расчет_аналитики'!BG4468-'19_Расчет_аналитики'!BG4496)=0,13&lt;='01_Вводные'!$B$297),0,('19_Расчет_аналитики'!BG4468-'19_Расчет_аналитики'!BG4496)*IF('01_Вводные'!$B$239="Да",MeanMinAge13+'19_Расчет_аналитики'!BG4608*SUMIF(ThresholdAge13,"&lt;"&amp;'19_Расчет_аналитики'!BG4608,WeightedRevAge13)-SUMIF(ThresholdAge13,"&lt;"&amp;'19_Расчет_аналитики'!BG4608,WeightedMinAge13),MAX(CapacityAge13*'01_Вводные'!$B$218*'19_Расчет_аналитики'!BG4608,MeanMinAge13))),0)</f>
        <v/>
      </c>
      <c r="BH4552">
        <f>IF('01_Вводные'!$B$234="Да",IF(OR(('19_Расчет_аналитики'!BH4468-'19_Расчет_аналитики'!BH4496)=0,13&lt;='01_Вводные'!$B$297),0,('19_Расчет_аналитики'!BH4468-'19_Расчет_аналитики'!BH4496)*IF('01_Вводные'!$B$239="Да",MeanMinAge13+'19_Расчет_аналитики'!BH4608*SUMIF(ThresholdAge13,"&lt;"&amp;'19_Расчет_аналитики'!BH4608,WeightedRevAge13)-SUMIF(ThresholdAge13,"&lt;"&amp;'19_Расчет_аналитики'!BH4608,WeightedMinAge13),MAX(CapacityAge13*'01_Вводные'!$B$218*'19_Расчет_аналитики'!BH4608,MeanMinAge13))),0)</f>
        <v/>
      </c>
      <c r="BI4552">
        <f>IF('01_Вводные'!$B$234="Да",IF(OR(('19_Расчет_аналитики'!BI4468-'19_Расчет_аналитики'!BI4496)=0,13&lt;='01_Вводные'!$B$297),0,('19_Расчет_аналитики'!BI4468-'19_Расчет_аналитики'!BI4496)*IF('01_Вводные'!$B$239="Да",MeanMinAge13+'19_Расчет_аналитики'!BI4608*SUMIF(ThresholdAge13,"&lt;"&amp;'19_Расчет_аналитики'!BI4608,WeightedRevAge13)-SUMIF(ThresholdAge13,"&lt;"&amp;'19_Расчет_аналитики'!BI4608,WeightedMinAge13),MAX(CapacityAge13*'01_Вводные'!$B$218*'19_Расчет_аналитики'!BI4608,MeanMinAge13))),0)</f>
        <v/>
      </c>
      <c r="BJ4552">
        <f>IF('01_Вводные'!$B$234="Да",IF(OR(('19_Расчет_аналитики'!BJ4468-'19_Расчет_аналитики'!BJ4496)=0,13&lt;='01_Вводные'!$B$297),0,('19_Расчет_аналитики'!BJ4468-'19_Расчет_аналитики'!BJ4496)*IF('01_Вводные'!$B$239="Да",MeanMinAge13+'19_Расчет_аналитики'!BJ4608*SUMIF(ThresholdAge13,"&lt;"&amp;'19_Расчет_аналитики'!BJ4608,WeightedRevAge13)-SUMIF(ThresholdAge13,"&lt;"&amp;'19_Расчет_аналитики'!BJ4608,WeightedMinAge13),MAX(CapacityAge13*'01_Вводные'!$B$218*'19_Расчет_аналитики'!BJ4608,MeanMinAge13))),0)</f>
        <v/>
      </c>
      <c r="BK4552">
        <f>IF('01_Вводные'!$B$234="Да",IF(OR(('19_Расчет_аналитики'!BK4468-'19_Расчет_аналитики'!BK4496)=0,13&lt;='01_Вводные'!$B$297),0,('19_Расчет_аналитики'!BK4468-'19_Расчет_аналитики'!BK4496)*IF('01_Вводные'!$B$239="Да",MeanMinAge13+'19_Расчет_аналитики'!BK4608*SUMIF(ThresholdAge13,"&lt;"&amp;'19_Расчет_аналитики'!BK4608,WeightedRevAge13)-SUMIF(ThresholdAge13,"&lt;"&amp;'19_Расчет_аналитики'!BK4608,WeightedMinAge13),MAX(CapacityAge13*'01_Вводные'!$B$218*'19_Расчет_аналитики'!BK4608,MeanMinAge13))),0)</f>
        <v/>
      </c>
      <c r="BL4552">
        <f>IF('01_Вводные'!$B$234="Да",IF(OR(('19_Расчет_аналитики'!BL4468-'19_Расчет_аналитики'!BL4496)=0,13&lt;='01_Вводные'!$B$297),0,('19_Расчет_аналитики'!BL4468-'19_Расчет_аналитики'!BL4496)*IF('01_Вводные'!$B$239="Да",MeanMinAge13+'19_Расчет_аналитики'!BL4608*SUMIF(ThresholdAge13,"&lt;"&amp;'19_Расчет_аналитики'!BL4608,WeightedRevAge13)-SUMIF(ThresholdAge13,"&lt;"&amp;'19_Расчет_аналитики'!BL4608,WeightedMinAge13),MAX(CapacityAge13*'01_Вводные'!$B$218*'19_Расчет_аналитики'!BL4608,MeanMinAge13))),0)</f>
        <v/>
      </c>
      <c r="BM4552">
        <f>IF('01_Вводные'!$B$234="Да",IF(OR(('19_Расчет_аналитики'!BM4468-'19_Расчет_аналитики'!BM4496)=0,13&lt;='01_Вводные'!$B$297),0,('19_Расчет_аналитики'!BM4468-'19_Расчет_аналитики'!BM4496)*IF('01_Вводные'!$B$239="Да",MeanMinAge13+'19_Расчет_аналитики'!BM4608*SUMIF(ThresholdAge13,"&lt;"&amp;'19_Расчет_аналитики'!BM4608,WeightedRevAge13)-SUMIF(ThresholdAge13,"&lt;"&amp;'19_Расчет_аналитики'!BM4608,WeightedMinAge13),MAX(CapacityAge13*'01_Вводные'!$B$218*'19_Расчет_аналитики'!BM4608,MeanMinAge13))),0)</f>
        <v/>
      </c>
      <c r="BN4552">
        <f>IF('01_Вводные'!$B$234="Да",IF(OR(('19_Расчет_аналитики'!BN4468-'19_Расчет_аналитики'!BN4496)=0,13&lt;='01_Вводные'!$B$297),0,('19_Расчет_аналитики'!BN4468-'19_Расчет_аналитики'!BN4496)*IF('01_Вводные'!$B$239="Да",MeanMinAge13+'19_Расчет_аналитики'!BN4608*SUMIF(ThresholdAge13,"&lt;"&amp;'19_Расчет_аналитики'!BN4608,WeightedRevAge13)-SUMIF(ThresholdAge13,"&lt;"&amp;'19_Расчет_аналитики'!BN4608,WeightedMinAge13),MAX(CapacityAge13*'01_Вводные'!$B$218*'19_Расчет_аналитики'!BN4608,MeanMinAge13))),0)</f>
        <v/>
      </c>
      <c r="BO4552">
        <f>IF('01_Вводные'!$B$234="Да",IF(OR(('19_Расчет_аналитики'!BO4468-'19_Расчет_аналитики'!BO4496)=0,13&lt;='01_Вводные'!$B$297),0,('19_Расчет_аналитики'!BO4468-'19_Расчет_аналитики'!BO4496)*IF('01_Вводные'!$B$239="Да",MeanMinAge13+'19_Расчет_аналитики'!BO4608*SUMIF(ThresholdAge13,"&lt;"&amp;'19_Расчет_аналитики'!BO4608,WeightedRevAge13)-SUMIF(ThresholdAge13,"&lt;"&amp;'19_Расчет_аналитики'!BO4608,WeightedMinAge13),MAX(CapacityAge13*'01_Вводные'!$B$218*'19_Расчет_аналитики'!BO4608,MeanMinAge13))),0)</f>
        <v/>
      </c>
    </row>
    <row r="4553">
      <c r="B4553">
        <f>IF('01_Вводные'!$B$234="Да",IF(OR(('06_Сеть_и_дети'!B66-'06_Сеть_и_дети'!B94)=0,14&lt;='01_Вводные'!$B$297),0,('06_Сеть_и_дети'!B66-'06_Сеть_и_дети'!B94)*IF('01_Вводные'!$B$239="Да",MeanMinAge14+'19_Расчет_аналитики'!B4608*SUMIF(ThresholdAge14,"&lt;"&amp;'19_Расчет_аналитики'!B4608,WeightedRevAge14)-SUMIF(ThresholdAge14,"&lt;"&amp;'19_Расчет_аналитики'!B4608,WeightedMinAge14),MAX(CapacityAge14*'01_Вводные'!$B$218*'19_Расчет_аналитики'!B4608,MeanMinAge14))),0)</f>
        <v/>
      </c>
      <c r="C4553">
        <f>IF('01_Вводные'!$B$234="Да",IF(OR(('06_Сеть_и_дети'!C66-'06_Сеть_и_дети'!C94)=0,14&lt;='01_Вводные'!$B$297),0,('06_Сеть_и_дети'!C66-'06_Сеть_и_дети'!C94)*IF('01_Вводные'!$B$239="Да",MeanMinAge14+'19_Расчет_аналитики'!C4608*SUMIF(ThresholdAge14,"&lt;"&amp;'19_Расчет_аналитики'!C4608,WeightedRevAge14)-SUMIF(ThresholdAge14,"&lt;"&amp;'19_Расчет_аналитики'!C4608,WeightedMinAge14),MAX(CapacityAge14*'01_Вводные'!$B$218*'19_Расчет_аналитики'!C4608,MeanMinAge14))),0)</f>
        <v/>
      </c>
      <c r="D4553">
        <f>IF('01_Вводные'!$B$234="Да",IF(OR(('06_Сеть_и_дети'!D66-'06_Сеть_и_дети'!D94)=0,14&lt;='01_Вводные'!$B$297),0,('06_Сеть_и_дети'!D66-'06_Сеть_и_дети'!D94)*IF('01_Вводные'!$B$239="Да",MeanMinAge14+'19_Расчет_аналитики'!D4608*SUMIF(ThresholdAge14,"&lt;"&amp;'19_Расчет_аналитики'!D4608,WeightedRevAge14)-SUMIF(ThresholdAge14,"&lt;"&amp;'19_Расчет_аналитики'!D4608,WeightedMinAge14),MAX(CapacityAge14*'01_Вводные'!$B$218*'19_Расчет_аналитики'!D4608,MeanMinAge14))),0)</f>
        <v/>
      </c>
      <c r="E4553">
        <f>IF('01_Вводные'!$B$234="Да",IF(OR(('06_Сеть_и_дети'!E66-'06_Сеть_и_дети'!E94)=0,14&lt;='01_Вводные'!$B$297),0,('06_Сеть_и_дети'!E66-'06_Сеть_и_дети'!E94)*IF('01_Вводные'!$B$239="Да",MeanMinAge14+'19_Расчет_аналитики'!E4608*SUMIF(ThresholdAge14,"&lt;"&amp;'19_Расчет_аналитики'!E4608,WeightedRevAge14)-SUMIF(ThresholdAge14,"&lt;"&amp;'19_Расчет_аналитики'!E4608,WeightedMinAge14),MAX(CapacityAge14*'01_Вводные'!$B$218*'19_Расчет_аналитики'!E4608,MeanMinAge14))),0)</f>
        <v/>
      </c>
      <c r="F4553">
        <f>IF('01_Вводные'!$B$234="Да",IF(OR(('06_Сеть_и_дети'!F66-'06_Сеть_и_дети'!F94)=0,14&lt;='01_Вводные'!$B$297),0,('06_Сеть_и_дети'!F66-'06_Сеть_и_дети'!F94)*IF('01_Вводные'!$B$239="Да",MeanMinAge14+'19_Расчет_аналитики'!F4608*SUMIF(ThresholdAge14,"&lt;"&amp;'19_Расчет_аналитики'!F4608,WeightedRevAge14)-SUMIF(ThresholdAge14,"&lt;"&amp;'19_Расчет_аналитики'!F4608,WeightedMinAge14),MAX(CapacityAge14*'01_Вводные'!$B$218*'19_Расчет_аналитики'!F4608,MeanMinAge14))),0)</f>
        <v/>
      </c>
      <c r="G4553">
        <f>IF('01_Вводные'!$B$234="Да",IF(OR(('06_Сеть_и_дети'!G66-'06_Сеть_и_дети'!G94)=0,14&lt;='01_Вводные'!$B$297),0,('06_Сеть_и_дети'!G66-'06_Сеть_и_дети'!G94)*IF('01_Вводные'!$B$239="Да",MeanMinAge14+'19_Расчет_аналитики'!G4608*SUMIF(ThresholdAge14,"&lt;"&amp;'19_Расчет_аналитики'!G4608,WeightedRevAge14)-SUMIF(ThresholdAge14,"&lt;"&amp;'19_Расчет_аналитики'!G4608,WeightedMinAge14),MAX(CapacityAge14*'01_Вводные'!$B$218*'19_Расчет_аналитики'!G4608,MeanMinAge14))),0)</f>
        <v/>
      </c>
      <c r="H4553">
        <f>IF('01_Вводные'!$B$234="Да",IF(OR(('06_Сеть_и_дети'!H66-'06_Сеть_и_дети'!H94)=0,14&lt;='01_Вводные'!$B$297),0,('06_Сеть_и_дети'!H66-'06_Сеть_и_дети'!H94)*IF('01_Вводные'!$B$239="Да",MeanMinAge14+'19_Расчет_аналитики'!H4608*SUMIF(ThresholdAge14,"&lt;"&amp;'19_Расчет_аналитики'!H4608,WeightedRevAge14)-SUMIF(ThresholdAge14,"&lt;"&amp;'19_Расчет_аналитики'!H4608,WeightedMinAge14),MAX(CapacityAge14*'01_Вводные'!$B$218*'19_Расчет_аналитики'!H4608,MeanMinAge14))),0)</f>
        <v/>
      </c>
      <c r="I4553">
        <f>IF('01_Вводные'!$B$234="Да",IF(OR(('06_Сеть_и_дети'!I66-'06_Сеть_и_дети'!I94)=0,14&lt;='01_Вводные'!$B$297),0,('06_Сеть_и_дети'!I66-'06_Сеть_и_дети'!I94)*IF('01_Вводные'!$B$239="Да",MeanMinAge14+'19_Расчет_аналитики'!I4608*SUMIF(ThresholdAge14,"&lt;"&amp;'19_Расчет_аналитики'!I4608,WeightedRevAge14)-SUMIF(ThresholdAge14,"&lt;"&amp;'19_Расчет_аналитики'!I4608,WeightedMinAge14),MAX(CapacityAge14*'01_Вводные'!$B$218*'19_Расчет_аналитики'!I4608,MeanMinAge14))),0)</f>
        <v/>
      </c>
      <c r="J4553">
        <f>IF('01_Вводные'!$B$234="Да",IF(OR(('06_Сеть_и_дети'!J66-'06_Сеть_и_дети'!J94)=0,14&lt;='01_Вводные'!$B$297),0,('06_Сеть_и_дети'!J66-'06_Сеть_и_дети'!J94)*IF('01_Вводные'!$B$239="Да",MeanMinAge14+'19_Расчет_аналитики'!J4608*SUMIF(ThresholdAge14,"&lt;"&amp;'19_Расчет_аналитики'!J4608,WeightedRevAge14)-SUMIF(ThresholdAge14,"&lt;"&amp;'19_Расчет_аналитики'!J4608,WeightedMinAge14),MAX(CapacityAge14*'01_Вводные'!$B$218*'19_Расчет_аналитики'!J4608,MeanMinAge14))),0)</f>
        <v/>
      </c>
      <c r="K4553">
        <f>IF('01_Вводные'!$B$234="Да",IF(OR(('06_Сеть_и_дети'!K66-'06_Сеть_и_дети'!K94)=0,14&lt;='01_Вводные'!$B$297),0,('06_Сеть_и_дети'!K66-'06_Сеть_и_дети'!K94)*IF('01_Вводные'!$B$239="Да",MeanMinAge14+'19_Расчет_аналитики'!K4608*SUMIF(ThresholdAge14,"&lt;"&amp;'19_Расчет_аналитики'!K4608,WeightedRevAge14)-SUMIF(ThresholdAge14,"&lt;"&amp;'19_Расчет_аналитики'!K4608,WeightedMinAge14),MAX(CapacityAge14*'01_Вводные'!$B$218*'19_Расчет_аналитики'!K4608,MeanMinAge14))),0)</f>
        <v/>
      </c>
      <c r="L4553">
        <f>IF('01_Вводные'!$B$234="Да",IF(OR(('06_Сеть_и_дети'!L66-'06_Сеть_и_дети'!L94)=0,14&lt;='01_Вводные'!$B$297),0,('06_Сеть_и_дети'!L66-'06_Сеть_и_дети'!L94)*IF('01_Вводные'!$B$239="Да",MeanMinAge14+'19_Расчет_аналитики'!L4608*SUMIF(ThresholdAge14,"&lt;"&amp;'19_Расчет_аналитики'!L4608,WeightedRevAge14)-SUMIF(ThresholdAge14,"&lt;"&amp;'19_Расчет_аналитики'!L4608,WeightedMinAge14),MAX(CapacityAge14*'01_Вводные'!$B$218*'19_Расчет_аналитики'!L4608,MeanMinAge14))),0)</f>
        <v/>
      </c>
      <c r="M4553">
        <f>IF('01_Вводные'!$B$234="Да",IF(OR(('06_Сеть_и_дети'!M66-'06_Сеть_и_дети'!M94)=0,14&lt;='01_Вводные'!$B$297),0,('06_Сеть_и_дети'!M66-'06_Сеть_и_дети'!M94)*IF('01_Вводные'!$B$239="Да",MeanMinAge14+'19_Расчет_аналитики'!M4608*SUMIF(ThresholdAge14,"&lt;"&amp;'19_Расчет_аналитики'!M4608,WeightedRevAge14)-SUMIF(ThresholdAge14,"&lt;"&amp;'19_Расчет_аналитики'!M4608,WeightedMinAge14),MAX(CapacityAge14*'01_Вводные'!$B$218*'19_Расчет_аналитики'!M4608,MeanMinAge14))),0)</f>
        <v/>
      </c>
      <c r="N4553">
        <f>IF('01_Вводные'!$B$234="Да",IF(OR(('06_Сеть_и_дети'!N66-'06_Сеть_и_дети'!N94)=0,14&lt;='01_Вводные'!$B$297),0,('06_Сеть_и_дети'!N66-'06_Сеть_и_дети'!N94)*IF('01_Вводные'!$B$239="Да",MeanMinAge14+'19_Расчет_аналитики'!N4608*SUMIF(ThresholdAge14,"&lt;"&amp;'19_Расчет_аналитики'!N4608,WeightedRevAge14)-SUMIF(ThresholdAge14,"&lt;"&amp;'19_Расчет_аналитики'!N4608,WeightedMinAge14),MAX(CapacityAge14*'01_Вводные'!$B$218*'19_Расчет_аналитики'!N4608,MeanMinAge14))),0)</f>
        <v/>
      </c>
      <c r="O4553">
        <f>IF('01_Вводные'!$B$234="Да",IF(OR(('19_Расчет_аналитики'!O4469-'19_Расчет_аналитики'!O4497)=0,14&lt;='01_Вводные'!$B$297),0,('19_Расчет_аналитики'!O4469-'19_Расчет_аналитики'!O4497)*IF('01_Вводные'!$B$239="Да",MeanMinAge14+'19_Расчет_аналитики'!O4608*SUMIF(ThresholdAge14,"&lt;"&amp;'19_Расчет_аналитики'!O4608,WeightedRevAge14)-SUMIF(ThresholdAge14,"&lt;"&amp;'19_Расчет_аналитики'!O4608,WeightedMinAge14),MAX(CapacityAge14*'01_Вводные'!$B$218*'19_Расчет_аналитики'!O4608,MeanMinAge14))),0)</f>
        <v/>
      </c>
      <c r="P4553">
        <f>IF('01_Вводные'!$B$234="Да",IF(OR(('19_Расчет_аналитики'!P4469-'19_Расчет_аналитики'!P4497)=0,14&lt;='01_Вводные'!$B$297),0,('19_Расчет_аналитики'!P4469-'19_Расчет_аналитики'!P4497)*IF('01_Вводные'!$B$239="Да",MeanMinAge14+'19_Расчет_аналитики'!P4608*SUMIF(ThresholdAge14,"&lt;"&amp;'19_Расчет_аналитики'!P4608,WeightedRevAge14)-SUMIF(ThresholdAge14,"&lt;"&amp;'19_Расчет_аналитики'!P4608,WeightedMinAge14),MAX(CapacityAge14*'01_Вводные'!$B$218*'19_Расчет_аналитики'!P4608,MeanMinAge14))),0)</f>
        <v/>
      </c>
      <c r="Q4553">
        <f>IF('01_Вводные'!$B$234="Да",IF(OR(('19_Расчет_аналитики'!Q4469-'19_Расчет_аналитики'!Q4497)=0,14&lt;='01_Вводные'!$B$297),0,('19_Расчет_аналитики'!Q4469-'19_Расчет_аналитики'!Q4497)*IF('01_Вводные'!$B$239="Да",MeanMinAge14+'19_Расчет_аналитики'!Q4608*SUMIF(ThresholdAge14,"&lt;"&amp;'19_Расчет_аналитики'!Q4608,WeightedRevAge14)-SUMIF(ThresholdAge14,"&lt;"&amp;'19_Расчет_аналитики'!Q4608,WeightedMinAge14),MAX(CapacityAge14*'01_Вводные'!$B$218*'19_Расчет_аналитики'!Q4608,MeanMinAge14))),0)</f>
        <v/>
      </c>
      <c r="R4553">
        <f>IF('01_Вводные'!$B$234="Да",IF(OR(('19_Расчет_аналитики'!R4469-'19_Расчет_аналитики'!R4497)=0,14&lt;='01_Вводные'!$B$297),0,('19_Расчет_аналитики'!R4469-'19_Расчет_аналитики'!R4497)*IF('01_Вводные'!$B$239="Да",MeanMinAge14+'19_Расчет_аналитики'!R4608*SUMIF(ThresholdAge14,"&lt;"&amp;'19_Расчет_аналитики'!R4608,WeightedRevAge14)-SUMIF(ThresholdAge14,"&lt;"&amp;'19_Расчет_аналитики'!R4608,WeightedMinAge14),MAX(CapacityAge14*'01_Вводные'!$B$218*'19_Расчет_аналитики'!R4608,MeanMinAge14))),0)</f>
        <v/>
      </c>
      <c r="S4553">
        <f>IF('01_Вводные'!$B$234="Да",IF(OR(('19_Расчет_аналитики'!S4469-'19_Расчет_аналитики'!S4497)=0,14&lt;='01_Вводные'!$B$297),0,('19_Расчет_аналитики'!S4469-'19_Расчет_аналитики'!S4497)*IF('01_Вводные'!$B$239="Да",MeanMinAge14+'19_Расчет_аналитики'!S4608*SUMIF(ThresholdAge14,"&lt;"&amp;'19_Расчет_аналитики'!S4608,WeightedRevAge14)-SUMIF(ThresholdAge14,"&lt;"&amp;'19_Расчет_аналитики'!S4608,WeightedMinAge14),MAX(CapacityAge14*'01_Вводные'!$B$218*'19_Расчет_аналитики'!S4608,MeanMinAge14))),0)</f>
        <v/>
      </c>
      <c r="T4553">
        <f>IF('01_Вводные'!$B$234="Да",IF(OR(('19_Расчет_аналитики'!T4469-'19_Расчет_аналитики'!T4497)=0,14&lt;='01_Вводные'!$B$297),0,('19_Расчет_аналитики'!T4469-'19_Расчет_аналитики'!T4497)*IF('01_Вводные'!$B$239="Да",MeanMinAge14+'19_Расчет_аналитики'!T4608*SUMIF(ThresholdAge14,"&lt;"&amp;'19_Расчет_аналитики'!T4608,WeightedRevAge14)-SUMIF(ThresholdAge14,"&lt;"&amp;'19_Расчет_аналитики'!T4608,WeightedMinAge14),MAX(CapacityAge14*'01_Вводные'!$B$218*'19_Расчет_аналитики'!T4608,MeanMinAge14))),0)</f>
        <v/>
      </c>
      <c r="U4553">
        <f>IF('01_Вводные'!$B$234="Да",IF(OR(('19_Расчет_аналитики'!U4469-'19_Расчет_аналитики'!U4497)=0,14&lt;='01_Вводные'!$B$297),0,('19_Расчет_аналитики'!U4469-'19_Расчет_аналитики'!U4497)*IF('01_Вводные'!$B$239="Да",MeanMinAge14+'19_Расчет_аналитики'!U4608*SUMIF(ThresholdAge14,"&lt;"&amp;'19_Расчет_аналитики'!U4608,WeightedRevAge14)-SUMIF(ThresholdAge14,"&lt;"&amp;'19_Расчет_аналитики'!U4608,WeightedMinAge14),MAX(CapacityAge14*'01_Вводные'!$B$218*'19_Расчет_аналитики'!U4608,MeanMinAge14))),0)</f>
        <v/>
      </c>
      <c r="V4553">
        <f>IF('01_Вводные'!$B$234="Да",IF(OR(('19_Расчет_аналитики'!V4469-'19_Расчет_аналитики'!V4497)=0,14&lt;='01_Вводные'!$B$297),0,('19_Расчет_аналитики'!V4469-'19_Расчет_аналитики'!V4497)*IF('01_Вводные'!$B$239="Да",MeanMinAge14+'19_Расчет_аналитики'!V4608*SUMIF(ThresholdAge14,"&lt;"&amp;'19_Расчет_аналитики'!V4608,WeightedRevAge14)-SUMIF(ThresholdAge14,"&lt;"&amp;'19_Расчет_аналитики'!V4608,WeightedMinAge14),MAX(CapacityAge14*'01_Вводные'!$B$218*'19_Расчет_аналитики'!V4608,MeanMinAge14))),0)</f>
        <v/>
      </c>
      <c r="W4553">
        <f>IF('01_Вводные'!$B$234="Да",IF(OR(('19_Расчет_аналитики'!W4469-'19_Расчет_аналитики'!W4497)=0,14&lt;='01_Вводные'!$B$297),0,('19_Расчет_аналитики'!W4469-'19_Расчет_аналитики'!W4497)*IF('01_Вводные'!$B$239="Да",MeanMinAge14+'19_Расчет_аналитики'!W4608*SUMIF(ThresholdAge14,"&lt;"&amp;'19_Расчет_аналитики'!W4608,WeightedRevAge14)-SUMIF(ThresholdAge14,"&lt;"&amp;'19_Расчет_аналитики'!W4608,WeightedMinAge14),MAX(CapacityAge14*'01_Вводные'!$B$218*'19_Расчет_аналитики'!W4608,MeanMinAge14))),0)</f>
        <v/>
      </c>
      <c r="X4553">
        <f>IF('01_Вводные'!$B$234="Да",IF(OR(('19_Расчет_аналитики'!X4469-'19_Расчет_аналитики'!X4497)=0,14&lt;='01_Вводные'!$B$297),0,('19_Расчет_аналитики'!X4469-'19_Расчет_аналитики'!X4497)*IF('01_Вводные'!$B$239="Да",MeanMinAge14+'19_Расчет_аналитики'!X4608*SUMIF(ThresholdAge14,"&lt;"&amp;'19_Расчет_аналитики'!X4608,WeightedRevAge14)-SUMIF(ThresholdAge14,"&lt;"&amp;'19_Расчет_аналитики'!X4608,WeightedMinAge14),MAX(CapacityAge14*'01_Вводные'!$B$218*'19_Расчет_аналитики'!X4608,MeanMinAge14))),0)</f>
        <v/>
      </c>
      <c r="Y4553">
        <f>IF('01_Вводные'!$B$234="Да",IF(OR(('19_Расчет_аналитики'!Y4469-'19_Расчет_аналитики'!Y4497)=0,14&lt;='01_Вводные'!$B$297),0,('19_Расчет_аналитики'!Y4469-'19_Расчет_аналитики'!Y4497)*IF('01_Вводные'!$B$239="Да",MeanMinAge14+'19_Расчет_аналитики'!Y4608*SUMIF(ThresholdAge14,"&lt;"&amp;'19_Расчет_аналитики'!Y4608,WeightedRevAge14)-SUMIF(ThresholdAge14,"&lt;"&amp;'19_Расчет_аналитики'!Y4608,WeightedMinAge14),MAX(CapacityAge14*'01_Вводные'!$B$218*'19_Расчет_аналитики'!Y4608,MeanMinAge14))),0)</f>
        <v/>
      </c>
      <c r="Z4553">
        <f>IF('01_Вводные'!$B$234="Да",IF(OR(('19_Расчет_аналитики'!Z4469-'19_Расчет_аналитики'!Z4497)=0,14&lt;='01_Вводные'!$B$297),0,('19_Расчет_аналитики'!Z4469-'19_Расчет_аналитики'!Z4497)*IF('01_Вводные'!$B$239="Да",MeanMinAge14+'19_Расчет_аналитики'!Z4608*SUMIF(ThresholdAge14,"&lt;"&amp;'19_Расчет_аналитики'!Z4608,WeightedRevAge14)-SUMIF(ThresholdAge14,"&lt;"&amp;'19_Расчет_аналитики'!Z4608,WeightedMinAge14),MAX(CapacityAge14*'01_Вводные'!$B$218*'19_Расчет_аналитики'!Z4608,MeanMinAge14))),0)</f>
        <v/>
      </c>
      <c r="AA4553">
        <f>IF('01_Вводные'!$B$234="Да",IF(OR(('19_Расчет_аналитики'!AA4469-'19_Расчет_аналитики'!AA4497)=0,14&lt;='01_Вводные'!$B$297),0,('19_Расчет_аналитики'!AA4469-'19_Расчет_аналитики'!AA4497)*IF('01_Вводные'!$B$239="Да",MeanMinAge14+'19_Расчет_аналитики'!AA4608*SUMIF(ThresholdAge14,"&lt;"&amp;'19_Расчет_аналитики'!AA4608,WeightedRevAge14)-SUMIF(ThresholdAge14,"&lt;"&amp;'19_Расчет_аналитики'!AA4608,WeightedMinAge14),MAX(CapacityAge14*'01_Вводные'!$B$218*'19_Расчет_аналитики'!AA4608,MeanMinAge14))),0)</f>
        <v/>
      </c>
      <c r="AB4553">
        <f>IF('01_Вводные'!$B$234="Да",IF(OR(('19_Расчет_аналитики'!AB4469-'19_Расчет_аналитики'!AB4497)=0,14&lt;='01_Вводные'!$B$297),0,('19_Расчет_аналитики'!AB4469-'19_Расчет_аналитики'!AB4497)*IF('01_Вводные'!$B$239="Да",MeanMinAge14+'19_Расчет_аналитики'!AB4608*SUMIF(ThresholdAge14,"&lt;"&amp;'19_Расчет_аналитики'!AB4608,WeightedRevAge14)-SUMIF(ThresholdAge14,"&lt;"&amp;'19_Расчет_аналитики'!AB4608,WeightedMinAge14),MAX(CapacityAge14*'01_Вводные'!$B$218*'19_Расчет_аналитики'!AB4608,MeanMinAge14))),0)</f>
        <v/>
      </c>
      <c r="AC4553">
        <f>IF('01_Вводные'!$B$234="Да",IF(OR(('19_Расчет_аналитики'!AC4469-'19_Расчет_аналитики'!AC4497)=0,14&lt;='01_Вводные'!$B$297),0,('19_Расчет_аналитики'!AC4469-'19_Расчет_аналитики'!AC4497)*IF('01_Вводные'!$B$239="Да",MeanMinAge14+'19_Расчет_аналитики'!AC4608*SUMIF(ThresholdAge14,"&lt;"&amp;'19_Расчет_аналитики'!AC4608,WeightedRevAge14)-SUMIF(ThresholdAge14,"&lt;"&amp;'19_Расчет_аналитики'!AC4608,WeightedMinAge14),MAX(CapacityAge14*'01_Вводные'!$B$218*'19_Расчет_аналитики'!AC4608,MeanMinAge14))),0)</f>
        <v/>
      </c>
      <c r="AD4553">
        <f>IF('01_Вводные'!$B$234="Да",IF(OR(('19_Расчет_аналитики'!AD4469-'19_Расчет_аналитики'!AD4497)=0,14&lt;='01_Вводные'!$B$297),0,('19_Расчет_аналитики'!AD4469-'19_Расчет_аналитики'!AD4497)*IF('01_Вводные'!$B$239="Да",MeanMinAge14+'19_Расчет_аналитики'!AD4608*SUMIF(ThresholdAge14,"&lt;"&amp;'19_Расчет_аналитики'!AD4608,WeightedRevAge14)-SUMIF(ThresholdAge14,"&lt;"&amp;'19_Расчет_аналитики'!AD4608,WeightedMinAge14),MAX(CapacityAge14*'01_Вводные'!$B$218*'19_Расчет_аналитики'!AD4608,MeanMinAge14))),0)</f>
        <v/>
      </c>
      <c r="AE4553">
        <f>IF('01_Вводные'!$B$234="Да",IF(OR(('19_Расчет_аналитики'!AE4469-'19_Расчет_аналитики'!AE4497)=0,14&lt;='01_Вводные'!$B$297),0,('19_Расчет_аналитики'!AE4469-'19_Расчет_аналитики'!AE4497)*IF('01_Вводные'!$B$239="Да",MeanMinAge14+'19_Расчет_аналитики'!AE4608*SUMIF(ThresholdAge14,"&lt;"&amp;'19_Расчет_аналитики'!AE4608,WeightedRevAge14)-SUMIF(ThresholdAge14,"&lt;"&amp;'19_Расчет_аналитики'!AE4608,WeightedMinAge14),MAX(CapacityAge14*'01_Вводные'!$B$218*'19_Расчет_аналитики'!AE4608,MeanMinAge14))),0)</f>
        <v/>
      </c>
      <c r="AF4553">
        <f>IF('01_Вводные'!$B$234="Да",IF(OR(('19_Расчет_аналитики'!AF4469-'19_Расчет_аналитики'!AF4497)=0,14&lt;='01_Вводные'!$B$297),0,('19_Расчет_аналитики'!AF4469-'19_Расчет_аналитики'!AF4497)*IF('01_Вводные'!$B$239="Да",MeanMinAge14+'19_Расчет_аналитики'!AF4608*SUMIF(ThresholdAge14,"&lt;"&amp;'19_Расчет_аналитики'!AF4608,WeightedRevAge14)-SUMIF(ThresholdAge14,"&lt;"&amp;'19_Расчет_аналитики'!AF4608,WeightedMinAge14),MAX(CapacityAge14*'01_Вводные'!$B$218*'19_Расчет_аналитики'!AF4608,MeanMinAge14))),0)</f>
        <v/>
      </c>
      <c r="AG4553">
        <f>IF('01_Вводные'!$B$234="Да",IF(OR(('19_Расчет_аналитики'!AG4469-'19_Расчет_аналитики'!AG4497)=0,14&lt;='01_Вводные'!$B$297),0,('19_Расчет_аналитики'!AG4469-'19_Расчет_аналитики'!AG4497)*IF('01_Вводные'!$B$239="Да",MeanMinAge14+'19_Расчет_аналитики'!AG4608*SUMIF(ThresholdAge14,"&lt;"&amp;'19_Расчет_аналитики'!AG4608,WeightedRevAge14)-SUMIF(ThresholdAge14,"&lt;"&amp;'19_Расчет_аналитики'!AG4608,WeightedMinAge14),MAX(CapacityAge14*'01_Вводные'!$B$218*'19_Расчет_аналитики'!AG4608,MeanMinAge14))),0)</f>
        <v/>
      </c>
      <c r="AH4553">
        <f>IF('01_Вводные'!$B$234="Да",IF(OR(('19_Расчет_аналитики'!AH4469-'19_Расчет_аналитики'!AH4497)=0,14&lt;='01_Вводные'!$B$297),0,('19_Расчет_аналитики'!AH4469-'19_Расчет_аналитики'!AH4497)*IF('01_Вводные'!$B$239="Да",MeanMinAge14+'19_Расчет_аналитики'!AH4608*SUMIF(ThresholdAge14,"&lt;"&amp;'19_Расчет_аналитики'!AH4608,WeightedRevAge14)-SUMIF(ThresholdAge14,"&lt;"&amp;'19_Расчет_аналитики'!AH4608,WeightedMinAge14),MAX(CapacityAge14*'01_Вводные'!$B$218*'19_Расчет_аналитики'!AH4608,MeanMinAge14))),0)</f>
        <v/>
      </c>
      <c r="AI4553">
        <f>IF('01_Вводные'!$B$234="Да",IF(OR(('19_Расчет_аналитики'!AI4469-'19_Расчет_аналитики'!AI4497)=0,14&lt;='01_Вводные'!$B$297),0,('19_Расчет_аналитики'!AI4469-'19_Расчет_аналитики'!AI4497)*IF('01_Вводные'!$B$239="Да",MeanMinAge14+'19_Расчет_аналитики'!AI4608*SUMIF(ThresholdAge14,"&lt;"&amp;'19_Расчет_аналитики'!AI4608,WeightedRevAge14)-SUMIF(ThresholdAge14,"&lt;"&amp;'19_Расчет_аналитики'!AI4608,WeightedMinAge14),MAX(CapacityAge14*'01_Вводные'!$B$218*'19_Расчет_аналитики'!AI4608,MeanMinAge14))),0)</f>
        <v/>
      </c>
      <c r="AJ4553">
        <f>IF('01_Вводные'!$B$234="Да",IF(OR(('19_Расчет_аналитики'!AJ4469-'19_Расчет_аналитики'!AJ4497)=0,14&lt;='01_Вводные'!$B$297),0,('19_Расчет_аналитики'!AJ4469-'19_Расчет_аналитики'!AJ4497)*IF('01_Вводные'!$B$239="Да",MeanMinAge14+'19_Расчет_аналитики'!AJ4608*SUMIF(ThresholdAge14,"&lt;"&amp;'19_Расчет_аналитики'!AJ4608,WeightedRevAge14)-SUMIF(ThresholdAge14,"&lt;"&amp;'19_Расчет_аналитики'!AJ4608,WeightedMinAge14),MAX(CapacityAge14*'01_Вводные'!$B$218*'19_Расчет_аналитики'!AJ4608,MeanMinAge14))),0)</f>
        <v/>
      </c>
      <c r="AK4553">
        <f>IF('01_Вводные'!$B$234="Да",IF(OR(('19_Расчет_аналитики'!AK4469-'19_Расчет_аналитики'!AK4497)=0,14&lt;='01_Вводные'!$B$297),0,('19_Расчет_аналитики'!AK4469-'19_Расчет_аналитики'!AK4497)*IF('01_Вводные'!$B$239="Да",MeanMinAge14+'19_Расчет_аналитики'!AK4608*SUMIF(ThresholdAge14,"&lt;"&amp;'19_Расчет_аналитики'!AK4608,WeightedRevAge14)-SUMIF(ThresholdAge14,"&lt;"&amp;'19_Расчет_аналитики'!AK4608,WeightedMinAge14),MAX(CapacityAge14*'01_Вводные'!$B$218*'19_Расчет_аналитики'!AK4608,MeanMinAge14))),0)</f>
        <v/>
      </c>
      <c r="AL4553">
        <f>IF('01_Вводные'!$B$234="Да",IF(OR(('19_Расчет_аналитики'!AL4469-'19_Расчет_аналитики'!AL4497)=0,14&lt;='01_Вводные'!$B$297),0,('19_Расчет_аналитики'!AL4469-'19_Расчет_аналитики'!AL4497)*IF('01_Вводные'!$B$239="Да",MeanMinAge14+'19_Расчет_аналитики'!AL4608*SUMIF(ThresholdAge14,"&lt;"&amp;'19_Расчет_аналитики'!AL4608,WeightedRevAge14)-SUMIF(ThresholdAge14,"&lt;"&amp;'19_Расчет_аналитики'!AL4608,WeightedMinAge14),MAX(CapacityAge14*'01_Вводные'!$B$218*'19_Расчет_аналитики'!AL4608,MeanMinAge14))),0)</f>
        <v/>
      </c>
      <c r="AM4553">
        <f>IF('01_Вводные'!$B$234="Да",IF(OR(('19_Расчет_аналитики'!AM4469-'19_Расчет_аналитики'!AM4497)=0,14&lt;='01_Вводные'!$B$297),0,('19_Расчет_аналитики'!AM4469-'19_Расчет_аналитики'!AM4497)*IF('01_Вводные'!$B$239="Да",MeanMinAge14+'19_Расчет_аналитики'!AM4608*SUMIF(ThresholdAge14,"&lt;"&amp;'19_Расчет_аналитики'!AM4608,WeightedRevAge14)-SUMIF(ThresholdAge14,"&lt;"&amp;'19_Расчет_аналитики'!AM4608,WeightedMinAge14),MAX(CapacityAge14*'01_Вводные'!$B$218*'19_Расчет_аналитики'!AM4608,MeanMinAge14))),0)</f>
        <v/>
      </c>
      <c r="AN4553">
        <f>IF('01_Вводные'!$B$234="Да",IF(OR(('19_Расчет_аналитики'!AN4469-'19_Расчет_аналитики'!AN4497)=0,14&lt;='01_Вводные'!$B$297),0,('19_Расчет_аналитики'!AN4469-'19_Расчет_аналитики'!AN4497)*IF('01_Вводные'!$B$239="Да",MeanMinAge14+'19_Расчет_аналитики'!AN4608*SUMIF(ThresholdAge14,"&lt;"&amp;'19_Расчет_аналитики'!AN4608,WeightedRevAge14)-SUMIF(ThresholdAge14,"&lt;"&amp;'19_Расчет_аналитики'!AN4608,WeightedMinAge14),MAX(CapacityAge14*'01_Вводные'!$B$218*'19_Расчет_аналитики'!AN4608,MeanMinAge14))),0)</f>
        <v/>
      </c>
      <c r="AO4553">
        <f>IF('01_Вводные'!$B$234="Да",IF(OR(('19_Расчет_аналитики'!AO4469-'19_Расчет_аналитики'!AO4497)=0,14&lt;='01_Вводные'!$B$297),0,('19_Расчет_аналитики'!AO4469-'19_Расчет_аналитики'!AO4497)*IF('01_Вводные'!$B$239="Да",MeanMinAge14+'19_Расчет_аналитики'!AO4608*SUMIF(ThresholdAge14,"&lt;"&amp;'19_Расчет_аналитики'!AO4608,WeightedRevAge14)-SUMIF(ThresholdAge14,"&lt;"&amp;'19_Расчет_аналитики'!AO4608,WeightedMinAge14),MAX(CapacityAge14*'01_Вводные'!$B$218*'19_Расчет_аналитики'!AO4608,MeanMinAge14))),0)</f>
        <v/>
      </c>
      <c r="AP4553">
        <f>IF('01_Вводные'!$B$234="Да",IF(OR(('19_Расчет_аналитики'!AP4469-'19_Расчет_аналитики'!AP4497)=0,14&lt;='01_Вводные'!$B$297),0,('19_Расчет_аналитики'!AP4469-'19_Расчет_аналитики'!AP4497)*IF('01_Вводные'!$B$239="Да",MeanMinAge14+'19_Расчет_аналитики'!AP4608*SUMIF(ThresholdAge14,"&lt;"&amp;'19_Расчет_аналитики'!AP4608,WeightedRevAge14)-SUMIF(ThresholdAge14,"&lt;"&amp;'19_Расчет_аналитики'!AP4608,WeightedMinAge14),MAX(CapacityAge14*'01_Вводные'!$B$218*'19_Расчет_аналитики'!AP4608,MeanMinAge14))),0)</f>
        <v/>
      </c>
      <c r="AQ4553">
        <f>IF('01_Вводные'!$B$234="Да",IF(OR(('19_Расчет_аналитики'!AQ4469-'19_Расчет_аналитики'!AQ4497)=0,14&lt;='01_Вводные'!$B$297),0,('19_Расчет_аналитики'!AQ4469-'19_Расчет_аналитики'!AQ4497)*IF('01_Вводные'!$B$239="Да",MeanMinAge14+'19_Расчет_аналитики'!AQ4608*SUMIF(ThresholdAge14,"&lt;"&amp;'19_Расчет_аналитики'!AQ4608,WeightedRevAge14)-SUMIF(ThresholdAge14,"&lt;"&amp;'19_Расчет_аналитики'!AQ4608,WeightedMinAge14),MAX(CapacityAge14*'01_Вводные'!$B$218*'19_Расчет_аналитики'!AQ4608,MeanMinAge14))),0)</f>
        <v/>
      </c>
      <c r="AR4553">
        <f>IF('01_Вводные'!$B$234="Да",IF(OR(('19_Расчет_аналитики'!AR4469-'19_Расчет_аналитики'!AR4497)=0,14&lt;='01_Вводные'!$B$297),0,('19_Расчет_аналитики'!AR4469-'19_Расчет_аналитики'!AR4497)*IF('01_Вводные'!$B$239="Да",MeanMinAge14+'19_Расчет_аналитики'!AR4608*SUMIF(ThresholdAge14,"&lt;"&amp;'19_Расчет_аналитики'!AR4608,WeightedRevAge14)-SUMIF(ThresholdAge14,"&lt;"&amp;'19_Расчет_аналитики'!AR4608,WeightedMinAge14),MAX(CapacityAge14*'01_Вводные'!$B$218*'19_Расчет_аналитики'!AR4608,MeanMinAge14))),0)</f>
        <v/>
      </c>
      <c r="AS4553">
        <f>IF('01_Вводные'!$B$234="Да",IF(OR(('19_Расчет_аналитики'!AS4469-'19_Расчет_аналитики'!AS4497)=0,14&lt;='01_Вводные'!$B$297),0,('19_Расчет_аналитики'!AS4469-'19_Расчет_аналитики'!AS4497)*IF('01_Вводные'!$B$239="Да",MeanMinAge14+'19_Расчет_аналитики'!AS4608*SUMIF(ThresholdAge14,"&lt;"&amp;'19_Расчет_аналитики'!AS4608,WeightedRevAge14)-SUMIF(ThresholdAge14,"&lt;"&amp;'19_Расчет_аналитики'!AS4608,WeightedMinAge14),MAX(CapacityAge14*'01_Вводные'!$B$218*'19_Расчет_аналитики'!AS4608,MeanMinAge14))),0)</f>
        <v/>
      </c>
      <c r="AT4553">
        <f>IF('01_Вводные'!$B$234="Да",IF(OR(('19_Расчет_аналитики'!AT4469-'19_Расчет_аналитики'!AT4497)=0,14&lt;='01_Вводные'!$B$297),0,('19_Расчет_аналитики'!AT4469-'19_Расчет_аналитики'!AT4497)*IF('01_Вводные'!$B$239="Да",MeanMinAge14+'19_Расчет_аналитики'!AT4608*SUMIF(ThresholdAge14,"&lt;"&amp;'19_Расчет_аналитики'!AT4608,WeightedRevAge14)-SUMIF(ThresholdAge14,"&lt;"&amp;'19_Расчет_аналитики'!AT4608,WeightedMinAge14),MAX(CapacityAge14*'01_Вводные'!$B$218*'19_Расчет_аналитики'!AT4608,MeanMinAge14))),0)</f>
        <v/>
      </c>
      <c r="AU4553">
        <f>IF('01_Вводные'!$B$234="Да",IF(OR(('19_Расчет_аналитики'!AU4469-'19_Расчет_аналитики'!AU4497)=0,14&lt;='01_Вводные'!$B$297),0,('19_Расчет_аналитики'!AU4469-'19_Расчет_аналитики'!AU4497)*IF('01_Вводные'!$B$239="Да",MeanMinAge14+'19_Расчет_аналитики'!AU4608*SUMIF(ThresholdAge14,"&lt;"&amp;'19_Расчет_аналитики'!AU4608,WeightedRevAge14)-SUMIF(ThresholdAge14,"&lt;"&amp;'19_Расчет_аналитики'!AU4608,WeightedMinAge14),MAX(CapacityAge14*'01_Вводные'!$B$218*'19_Расчет_аналитики'!AU4608,MeanMinAge14))),0)</f>
        <v/>
      </c>
      <c r="AV4553">
        <f>IF('01_Вводные'!$B$234="Да",IF(OR(('19_Расчет_аналитики'!AV4469-'19_Расчет_аналитики'!AV4497)=0,14&lt;='01_Вводные'!$B$297),0,('19_Расчет_аналитики'!AV4469-'19_Расчет_аналитики'!AV4497)*IF('01_Вводные'!$B$239="Да",MeanMinAge14+'19_Расчет_аналитики'!AV4608*SUMIF(ThresholdAge14,"&lt;"&amp;'19_Расчет_аналитики'!AV4608,WeightedRevAge14)-SUMIF(ThresholdAge14,"&lt;"&amp;'19_Расчет_аналитики'!AV4608,WeightedMinAge14),MAX(CapacityAge14*'01_Вводные'!$B$218*'19_Расчет_аналитики'!AV4608,MeanMinAge14))),0)</f>
        <v/>
      </c>
      <c r="AW4553">
        <f>IF('01_Вводные'!$B$234="Да",IF(OR(('19_Расчет_аналитики'!AW4469-'19_Расчет_аналитики'!AW4497)=0,14&lt;='01_Вводные'!$B$297),0,('19_Расчет_аналитики'!AW4469-'19_Расчет_аналитики'!AW4497)*IF('01_Вводные'!$B$239="Да",MeanMinAge14+'19_Расчет_аналитики'!AW4608*SUMIF(ThresholdAge14,"&lt;"&amp;'19_Расчет_аналитики'!AW4608,WeightedRevAge14)-SUMIF(ThresholdAge14,"&lt;"&amp;'19_Расчет_аналитики'!AW4608,WeightedMinAge14),MAX(CapacityAge14*'01_Вводные'!$B$218*'19_Расчет_аналитики'!AW4608,MeanMinAge14))),0)</f>
        <v/>
      </c>
      <c r="AX4553">
        <f>IF('01_Вводные'!$B$234="Да",IF(OR(('19_Расчет_аналитики'!AX4469-'19_Расчет_аналитики'!AX4497)=0,14&lt;='01_Вводные'!$B$297),0,('19_Расчет_аналитики'!AX4469-'19_Расчет_аналитики'!AX4497)*IF('01_Вводные'!$B$239="Да",MeanMinAge14+'19_Расчет_аналитики'!AX4608*SUMIF(ThresholdAge14,"&lt;"&amp;'19_Расчет_аналитики'!AX4608,WeightedRevAge14)-SUMIF(ThresholdAge14,"&lt;"&amp;'19_Расчет_аналитики'!AX4608,WeightedMinAge14),MAX(CapacityAge14*'01_Вводные'!$B$218*'19_Расчет_аналитики'!AX4608,MeanMinAge14))),0)</f>
        <v/>
      </c>
      <c r="AY4553">
        <f>IF('01_Вводные'!$B$234="Да",IF(OR(('19_Расчет_аналитики'!AY4469-'19_Расчет_аналитики'!AY4497)=0,14&lt;='01_Вводные'!$B$297),0,('19_Расчет_аналитики'!AY4469-'19_Расчет_аналитики'!AY4497)*IF('01_Вводные'!$B$239="Да",MeanMinAge14+'19_Расчет_аналитики'!AY4608*SUMIF(ThresholdAge14,"&lt;"&amp;'19_Расчет_аналитики'!AY4608,WeightedRevAge14)-SUMIF(ThresholdAge14,"&lt;"&amp;'19_Расчет_аналитики'!AY4608,WeightedMinAge14),MAX(CapacityAge14*'01_Вводные'!$B$218*'19_Расчет_аналитики'!AY4608,MeanMinAge14))),0)</f>
        <v/>
      </c>
      <c r="AZ4553">
        <f>IF('01_Вводные'!$B$234="Да",IF(OR(('19_Расчет_аналитики'!AZ4469-'19_Расчет_аналитики'!AZ4497)=0,14&lt;='01_Вводные'!$B$297),0,('19_Расчет_аналитики'!AZ4469-'19_Расчет_аналитики'!AZ4497)*IF('01_Вводные'!$B$239="Да",MeanMinAge14+'19_Расчет_аналитики'!AZ4608*SUMIF(ThresholdAge14,"&lt;"&amp;'19_Расчет_аналитики'!AZ4608,WeightedRevAge14)-SUMIF(ThresholdAge14,"&lt;"&amp;'19_Расчет_аналитики'!AZ4608,WeightedMinAge14),MAX(CapacityAge14*'01_Вводные'!$B$218*'19_Расчет_аналитики'!AZ4608,MeanMinAge14))),0)</f>
        <v/>
      </c>
      <c r="BA4553">
        <f>IF('01_Вводные'!$B$234="Да",IF(OR(('19_Расчет_аналитики'!BA4469-'19_Расчет_аналитики'!BA4497)=0,14&lt;='01_Вводные'!$B$297),0,('19_Расчет_аналитики'!BA4469-'19_Расчет_аналитики'!BA4497)*IF('01_Вводные'!$B$239="Да",MeanMinAge14+'19_Расчет_аналитики'!BA4608*SUMIF(ThresholdAge14,"&lt;"&amp;'19_Расчет_аналитики'!BA4608,WeightedRevAge14)-SUMIF(ThresholdAge14,"&lt;"&amp;'19_Расчет_аналитики'!BA4608,WeightedMinAge14),MAX(CapacityAge14*'01_Вводные'!$B$218*'19_Расчет_аналитики'!BA4608,MeanMinAge14))),0)</f>
        <v/>
      </c>
      <c r="BB4553">
        <f>IF('01_Вводные'!$B$234="Да",IF(OR(('19_Расчет_аналитики'!BB4469-'19_Расчет_аналитики'!BB4497)=0,14&lt;='01_Вводные'!$B$297),0,('19_Расчет_аналитики'!BB4469-'19_Расчет_аналитики'!BB4497)*IF('01_Вводные'!$B$239="Да",MeanMinAge14+'19_Расчет_аналитики'!BB4608*SUMIF(ThresholdAge14,"&lt;"&amp;'19_Расчет_аналитики'!BB4608,WeightedRevAge14)-SUMIF(ThresholdAge14,"&lt;"&amp;'19_Расчет_аналитики'!BB4608,WeightedMinAge14),MAX(CapacityAge14*'01_Вводные'!$B$218*'19_Расчет_аналитики'!BB4608,MeanMinAge14))),0)</f>
        <v/>
      </c>
      <c r="BC4553">
        <f>IF('01_Вводные'!$B$234="Да",IF(OR(('19_Расчет_аналитики'!BC4469-'19_Расчет_аналитики'!BC4497)=0,14&lt;='01_Вводные'!$B$297),0,('19_Расчет_аналитики'!BC4469-'19_Расчет_аналитики'!BC4497)*IF('01_Вводные'!$B$239="Да",MeanMinAge14+'19_Расчет_аналитики'!BC4608*SUMIF(ThresholdAge14,"&lt;"&amp;'19_Расчет_аналитики'!BC4608,WeightedRevAge14)-SUMIF(ThresholdAge14,"&lt;"&amp;'19_Расчет_аналитики'!BC4608,WeightedMinAge14),MAX(CapacityAge14*'01_Вводные'!$B$218*'19_Расчет_аналитики'!BC4608,MeanMinAge14))),0)</f>
        <v/>
      </c>
      <c r="BD4553">
        <f>IF('01_Вводные'!$B$234="Да",IF(OR(('19_Расчет_аналитики'!BD4469-'19_Расчет_аналитики'!BD4497)=0,14&lt;='01_Вводные'!$B$297),0,('19_Расчет_аналитики'!BD4469-'19_Расчет_аналитики'!BD4497)*IF('01_Вводные'!$B$239="Да",MeanMinAge14+'19_Расчет_аналитики'!BD4608*SUMIF(ThresholdAge14,"&lt;"&amp;'19_Расчет_аналитики'!BD4608,WeightedRevAge14)-SUMIF(ThresholdAge14,"&lt;"&amp;'19_Расчет_аналитики'!BD4608,WeightedMinAge14),MAX(CapacityAge14*'01_Вводные'!$B$218*'19_Расчет_аналитики'!BD4608,MeanMinAge14))),0)</f>
        <v/>
      </c>
      <c r="BE4553">
        <f>IF('01_Вводные'!$B$234="Да",IF(OR(('19_Расчет_аналитики'!BE4469-'19_Расчет_аналитики'!BE4497)=0,14&lt;='01_Вводные'!$B$297),0,('19_Расчет_аналитики'!BE4469-'19_Расчет_аналитики'!BE4497)*IF('01_Вводные'!$B$239="Да",MeanMinAge14+'19_Расчет_аналитики'!BE4608*SUMIF(ThresholdAge14,"&lt;"&amp;'19_Расчет_аналитики'!BE4608,WeightedRevAge14)-SUMIF(ThresholdAge14,"&lt;"&amp;'19_Расчет_аналитики'!BE4608,WeightedMinAge14),MAX(CapacityAge14*'01_Вводные'!$B$218*'19_Расчет_аналитики'!BE4608,MeanMinAge14))),0)</f>
        <v/>
      </c>
      <c r="BF4553">
        <f>IF('01_Вводные'!$B$234="Да",IF(OR(('19_Расчет_аналитики'!BF4469-'19_Расчет_аналитики'!BF4497)=0,14&lt;='01_Вводные'!$B$297),0,('19_Расчет_аналитики'!BF4469-'19_Расчет_аналитики'!BF4497)*IF('01_Вводные'!$B$239="Да",MeanMinAge14+'19_Расчет_аналитики'!BF4608*SUMIF(ThresholdAge14,"&lt;"&amp;'19_Расчет_аналитики'!BF4608,WeightedRevAge14)-SUMIF(ThresholdAge14,"&lt;"&amp;'19_Расчет_аналитики'!BF4608,WeightedMinAge14),MAX(CapacityAge14*'01_Вводные'!$B$218*'19_Расчет_аналитики'!BF4608,MeanMinAge14))),0)</f>
        <v/>
      </c>
      <c r="BG4553">
        <f>IF('01_Вводные'!$B$234="Да",IF(OR(('19_Расчет_аналитики'!BG4469-'19_Расчет_аналитики'!BG4497)=0,14&lt;='01_Вводные'!$B$297),0,('19_Расчет_аналитики'!BG4469-'19_Расчет_аналитики'!BG4497)*IF('01_Вводные'!$B$239="Да",MeanMinAge14+'19_Расчет_аналитики'!BG4608*SUMIF(ThresholdAge14,"&lt;"&amp;'19_Расчет_аналитики'!BG4608,WeightedRevAge14)-SUMIF(ThresholdAge14,"&lt;"&amp;'19_Расчет_аналитики'!BG4608,WeightedMinAge14),MAX(CapacityAge14*'01_Вводные'!$B$218*'19_Расчет_аналитики'!BG4608,MeanMinAge14))),0)</f>
        <v/>
      </c>
      <c r="BH4553">
        <f>IF('01_Вводные'!$B$234="Да",IF(OR(('19_Расчет_аналитики'!BH4469-'19_Расчет_аналитики'!BH4497)=0,14&lt;='01_Вводные'!$B$297),0,('19_Расчет_аналитики'!BH4469-'19_Расчет_аналитики'!BH4497)*IF('01_Вводные'!$B$239="Да",MeanMinAge14+'19_Расчет_аналитики'!BH4608*SUMIF(ThresholdAge14,"&lt;"&amp;'19_Расчет_аналитики'!BH4608,WeightedRevAge14)-SUMIF(ThresholdAge14,"&lt;"&amp;'19_Расчет_аналитики'!BH4608,WeightedMinAge14),MAX(CapacityAge14*'01_Вводные'!$B$218*'19_Расчет_аналитики'!BH4608,MeanMinAge14))),0)</f>
        <v/>
      </c>
      <c r="BI4553">
        <f>IF('01_Вводные'!$B$234="Да",IF(OR(('19_Расчет_аналитики'!BI4469-'19_Расчет_аналитики'!BI4497)=0,14&lt;='01_Вводные'!$B$297),0,('19_Расчет_аналитики'!BI4469-'19_Расчет_аналитики'!BI4497)*IF('01_Вводные'!$B$239="Да",MeanMinAge14+'19_Расчет_аналитики'!BI4608*SUMIF(ThresholdAge14,"&lt;"&amp;'19_Расчет_аналитики'!BI4608,WeightedRevAge14)-SUMIF(ThresholdAge14,"&lt;"&amp;'19_Расчет_аналитики'!BI4608,WeightedMinAge14),MAX(CapacityAge14*'01_Вводные'!$B$218*'19_Расчет_аналитики'!BI4608,MeanMinAge14))),0)</f>
        <v/>
      </c>
      <c r="BJ4553">
        <f>IF('01_Вводные'!$B$234="Да",IF(OR(('19_Расчет_аналитики'!BJ4469-'19_Расчет_аналитики'!BJ4497)=0,14&lt;='01_Вводные'!$B$297),0,('19_Расчет_аналитики'!BJ4469-'19_Расчет_аналитики'!BJ4497)*IF('01_Вводные'!$B$239="Да",MeanMinAge14+'19_Расчет_аналитики'!BJ4608*SUMIF(ThresholdAge14,"&lt;"&amp;'19_Расчет_аналитики'!BJ4608,WeightedRevAge14)-SUMIF(ThresholdAge14,"&lt;"&amp;'19_Расчет_аналитики'!BJ4608,WeightedMinAge14),MAX(CapacityAge14*'01_Вводные'!$B$218*'19_Расчет_аналитики'!BJ4608,MeanMinAge14))),0)</f>
        <v/>
      </c>
      <c r="BK4553">
        <f>IF('01_Вводные'!$B$234="Да",IF(OR(('19_Расчет_аналитики'!BK4469-'19_Расчет_аналитики'!BK4497)=0,14&lt;='01_Вводные'!$B$297),0,('19_Расчет_аналитики'!BK4469-'19_Расчет_аналитики'!BK4497)*IF('01_Вводные'!$B$239="Да",MeanMinAge14+'19_Расчет_аналитики'!BK4608*SUMIF(ThresholdAge14,"&lt;"&amp;'19_Расчет_аналитики'!BK4608,WeightedRevAge14)-SUMIF(ThresholdAge14,"&lt;"&amp;'19_Расчет_аналитики'!BK4608,WeightedMinAge14),MAX(CapacityAge14*'01_Вводные'!$B$218*'19_Расчет_аналитики'!BK4608,MeanMinAge14))),0)</f>
        <v/>
      </c>
      <c r="BL4553">
        <f>IF('01_Вводные'!$B$234="Да",IF(OR(('19_Расчет_аналитики'!BL4469-'19_Расчет_аналитики'!BL4497)=0,14&lt;='01_Вводные'!$B$297),0,('19_Расчет_аналитики'!BL4469-'19_Расчет_аналитики'!BL4497)*IF('01_Вводные'!$B$239="Да",MeanMinAge14+'19_Расчет_аналитики'!BL4608*SUMIF(ThresholdAge14,"&lt;"&amp;'19_Расчет_аналитики'!BL4608,WeightedRevAge14)-SUMIF(ThresholdAge14,"&lt;"&amp;'19_Расчет_аналитики'!BL4608,WeightedMinAge14),MAX(CapacityAge14*'01_Вводные'!$B$218*'19_Расчет_аналитики'!BL4608,MeanMinAge14))),0)</f>
        <v/>
      </c>
      <c r="BM4553">
        <f>IF('01_Вводные'!$B$234="Да",IF(OR(('19_Расчет_аналитики'!BM4469-'19_Расчет_аналитики'!BM4497)=0,14&lt;='01_Вводные'!$B$297),0,('19_Расчет_аналитики'!BM4469-'19_Расчет_аналитики'!BM4497)*IF('01_Вводные'!$B$239="Да",MeanMinAge14+'19_Расчет_аналитики'!BM4608*SUMIF(ThresholdAge14,"&lt;"&amp;'19_Расчет_аналитики'!BM4608,WeightedRevAge14)-SUMIF(ThresholdAge14,"&lt;"&amp;'19_Расчет_аналитики'!BM4608,WeightedMinAge14),MAX(CapacityAge14*'01_Вводные'!$B$218*'19_Расчет_аналитики'!BM4608,MeanMinAge14))),0)</f>
        <v/>
      </c>
      <c r="BN4553">
        <f>IF('01_Вводные'!$B$234="Да",IF(OR(('19_Расчет_аналитики'!BN4469-'19_Расчет_аналитики'!BN4497)=0,14&lt;='01_Вводные'!$B$297),0,('19_Расчет_аналитики'!BN4469-'19_Расчет_аналитики'!BN4497)*IF('01_Вводные'!$B$239="Да",MeanMinAge14+'19_Расчет_аналитики'!BN4608*SUMIF(ThresholdAge14,"&lt;"&amp;'19_Расчет_аналитики'!BN4608,WeightedRevAge14)-SUMIF(ThresholdAge14,"&lt;"&amp;'19_Расчет_аналитики'!BN4608,WeightedMinAge14),MAX(CapacityAge14*'01_Вводные'!$B$218*'19_Расчет_аналитики'!BN4608,MeanMinAge14))),0)</f>
        <v/>
      </c>
      <c r="BO4553">
        <f>IF('01_Вводные'!$B$234="Да",IF(OR(('19_Расчет_аналитики'!BO4469-'19_Расчет_аналитики'!BO4497)=0,14&lt;='01_Вводные'!$B$297),0,('19_Расчет_аналитики'!BO4469-'19_Расчет_аналитики'!BO4497)*IF('01_Вводные'!$B$239="Да",MeanMinAge14+'19_Расчет_аналитики'!BO4608*SUMIF(ThresholdAge14,"&lt;"&amp;'19_Расчет_аналитики'!BO4608,WeightedRevAge14)-SUMIF(ThresholdAge14,"&lt;"&amp;'19_Расчет_аналитики'!BO4608,WeightedMinAge14),MAX(CapacityAge14*'01_Вводные'!$B$218*'19_Расчет_аналитики'!BO4608,MeanMinAge14))),0)</f>
        <v/>
      </c>
    </row>
    <row r="4554">
      <c r="B4554">
        <f>IF('01_Вводные'!$B$234="Да",IF(OR(('06_Сеть_и_дети'!B67-'06_Сеть_и_дети'!B95)=0,15&lt;='01_Вводные'!$B$297),0,('06_Сеть_и_дети'!B67-'06_Сеть_и_дети'!B95)*IF('01_Вводные'!$B$239="Да",MeanMinAge15+'19_Расчет_аналитики'!B4608*SUMIF(ThresholdAge15,"&lt;"&amp;'19_Расчет_аналитики'!B4608,WeightedRevAge15)-SUMIF(ThresholdAge15,"&lt;"&amp;'19_Расчет_аналитики'!B4608,WeightedMinAge15),MAX(CapacityAge15*'01_Вводные'!$B$218*'19_Расчет_аналитики'!B4608,MeanMinAge15))),0)</f>
        <v/>
      </c>
      <c r="C4554">
        <f>IF('01_Вводные'!$B$234="Да",IF(OR(('06_Сеть_и_дети'!C67-'06_Сеть_и_дети'!C95)=0,15&lt;='01_Вводные'!$B$297),0,('06_Сеть_и_дети'!C67-'06_Сеть_и_дети'!C95)*IF('01_Вводные'!$B$239="Да",MeanMinAge15+'19_Расчет_аналитики'!C4608*SUMIF(ThresholdAge15,"&lt;"&amp;'19_Расчет_аналитики'!C4608,WeightedRevAge15)-SUMIF(ThresholdAge15,"&lt;"&amp;'19_Расчет_аналитики'!C4608,WeightedMinAge15),MAX(CapacityAge15*'01_Вводные'!$B$218*'19_Расчет_аналитики'!C4608,MeanMinAge15))),0)</f>
        <v/>
      </c>
      <c r="D4554">
        <f>IF('01_Вводные'!$B$234="Да",IF(OR(('06_Сеть_и_дети'!D67-'06_Сеть_и_дети'!D95)=0,15&lt;='01_Вводные'!$B$297),0,('06_Сеть_и_дети'!D67-'06_Сеть_и_дети'!D95)*IF('01_Вводные'!$B$239="Да",MeanMinAge15+'19_Расчет_аналитики'!D4608*SUMIF(ThresholdAge15,"&lt;"&amp;'19_Расчет_аналитики'!D4608,WeightedRevAge15)-SUMIF(ThresholdAge15,"&lt;"&amp;'19_Расчет_аналитики'!D4608,WeightedMinAge15),MAX(CapacityAge15*'01_Вводные'!$B$218*'19_Расчет_аналитики'!D4608,MeanMinAge15))),0)</f>
        <v/>
      </c>
      <c r="E4554">
        <f>IF('01_Вводные'!$B$234="Да",IF(OR(('06_Сеть_и_дети'!E67-'06_Сеть_и_дети'!E95)=0,15&lt;='01_Вводные'!$B$297),0,('06_Сеть_и_дети'!E67-'06_Сеть_и_дети'!E95)*IF('01_Вводные'!$B$239="Да",MeanMinAge15+'19_Расчет_аналитики'!E4608*SUMIF(ThresholdAge15,"&lt;"&amp;'19_Расчет_аналитики'!E4608,WeightedRevAge15)-SUMIF(ThresholdAge15,"&lt;"&amp;'19_Расчет_аналитики'!E4608,WeightedMinAge15),MAX(CapacityAge15*'01_Вводные'!$B$218*'19_Расчет_аналитики'!E4608,MeanMinAge15))),0)</f>
        <v/>
      </c>
      <c r="F4554">
        <f>IF('01_Вводные'!$B$234="Да",IF(OR(('06_Сеть_и_дети'!F67-'06_Сеть_и_дети'!F95)=0,15&lt;='01_Вводные'!$B$297),0,('06_Сеть_и_дети'!F67-'06_Сеть_и_дети'!F95)*IF('01_Вводные'!$B$239="Да",MeanMinAge15+'19_Расчет_аналитики'!F4608*SUMIF(ThresholdAge15,"&lt;"&amp;'19_Расчет_аналитики'!F4608,WeightedRevAge15)-SUMIF(ThresholdAge15,"&lt;"&amp;'19_Расчет_аналитики'!F4608,WeightedMinAge15),MAX(CapacityAge15*'01_Вводные'!$B$218*'19_Расчет_аналитики'!F4608,MeanMinAge15))),0)</f>
        <v/>
      </c>
      <c r="G4554">
        <f>IF('01_Вводные'!$B$234="Да",IF(OR(('06_Сеть_и_дети'!G67-'06_Сеть_и_дети'!G95)=0,15&lt;='01_Вводные'!$B$297),0,('06_Сеть_и_дети'!G67-'06_Сеть_и_дети'!G95)*IF('01_Вводные'!$B$239="Да",MeanMinAge15+'19_Расчет_аналитики'!G4608*SUMIF(ThresholdAge15,"&lt;"&amp;'19_Расчет_аналитики'!G4608,WeightedRevAge15)-SUMIF(ThresholdAge15,"&lt;"&amp;'19_Расчет_аналитики'!G4608,WeightedMinAge15),MAX(CapacityAge15*'01_Вводные'!$B$218*'19_Расчет_аналитики'!G4608,MeanMinAge15))),0)</f>
        <v/>
      </c>
      <c r="H4554">
        <f>IF('01_Вводные'!$B$234="Да",IF(OR(('06_Сеть_и_дети'!H67-'06_Сеть_и_дети'!H95)=0,15&lt;='01_Вводные'!$B$297),0,('06_Сеть_и_дети'!H67-'06_Сеть_и_дети'!H95)*IF('01_Вводные'!$B$239="Да",MeanMinAge15+'19_Расчет_аналитики'!H4608*SUMIF(ThresholdAge15,"&lt;"&amp;'19_Расчет_аналитики'!H4608,WeightedRevAge15)-SUMIF(ThresholdAge15,"&lt;"&amp;'19_Расчет_аналитики'!H4608,WeightedMinAge15),MAX(CapacityAge15*'01_Вводные'!$B$218*'19_Расчет_аналитики'!H4608,MeanMinAge15))),0)</f>
        <v/>
      </c>
      <c r="I4554">
        <f>IF('01_Вводные'!$B$234="Да",IF(OR(('06_Сеть_и_дети'!I67-'06_Сеть_и_дети'!I95)=0,15&lt;='01_Вводные'!$B$297),0,('06_Сеть_и_дети'!I67-'06_Сеть_и_дети'!I95)*IF('01_Вводные'!$B$239="Да",MeanMinAge15+'19_Расчет_аналитики'!I4608*SUMIF(ThresholdAge15,"&lt;"&amp;'19_Расчет_аналитики'!I4608,WeightedRevAge15)-SUMIF(ThresholdAge15,"&lt;"&amp;'19_Расчет_аналитики'!I4608,WeightedMinAge15),MAX(CapacityAge15*'01_Вводные'!$B$218*'19_Расчет_аналитики'!I4608,MeanMinAge15))),0)</f>
        <v/>
      </c>
      <c r="J4554">
        <f>IF('01_Вводные'!$B$234="Да",IF(OR(('06_Сеть_и_дети'!J67-'06_Сеть_и_дети'!J95)=0,15&lt;='01_Вводные'!$B$297),0,('06_Сеть_и_дети'!J67-'06_Сеть_и_дети'!J95)*IF('01_Вводные'!$B$239="Да",MeanMinAge15+'19_Расчет_аналитики'!J4608*SUMIF(ThresholdAge15,"&lt;"&amp;'19_Расчет_аналитики'!J4608,WeightedRevAge15)-SUMIF(ThresholdAge15,"&lt;"&amp;'19_Расчет_аналитики'!J4608,WeightedMinAge15),MAX(CapacityAge15*'01_Вводные'!$B$218*'19_Расчет_аналитики'!J4608,MeanMinAge15))),0)</f>
        <v/>
      </c>
      <c r="K4554">
        <f>IF('01_Вводные'!$B$234="Да",IF(OR(('06_Сеть_и_дети'!K67-'06_Сеть_и_дети'!K95)=0,15&lt;='01_Вводные'!$B$297),0,('06_Сеть_и_дети'!K67-'06_Сеть_и_дети'!K95)*IF('01_Вводные'!$B$239="Да",MeanMinAge15+'19_Расчет_аналитики'!K4608*SUMIF(ThresholdAge15,"&lt;"&amp;'19_Расчет_аналитики'!K4608,WeightedRevAge15)-SUMIF(ThresholdAge15,"&lt;"&amp;'19_Расчет_аналитики'!K4608,WeightedMinAge15),MAX(CapacityAge15*'01_Вводные'!$B$218*'19_Расчет_аналитики'!K4608,MeanMinAge15))),0)</f>
        <v/>
      </c>
      <c r="L4554">
        <f>IF('01_Вводные'!$B$234="Да",IF(OR(('06_Сеть_и_дети'!L67-'06_Сеть_и_дети'!L95)=0,15&lt;='01_Вводные'!$B$297),0,('06_Сеть_и_дети'!L67-'06_Сеть_и_дети'!L95)*IF('01_Вводные'!$B$239="Да",MeanMinAge15+'19_Расчет_аналитики'!L4608*SUMIF(ThresholdAge15,"&lt;"&amp;'19_Расчет_аналитики'!L4608,WeightedRevAge15)-SUMIF(ThresholdAge15,"&lt;"&amp;'19_Расчет_аналитики'!L4608,WeightedMinAge15),MAX(CapacityAge15*'01_Вводные'!$B$218*'19_Расчет_аналитики'!L4608,MeanMinAge15))),0)</f>
        <v/>
      </c>
      <c r="M4554">
        <f>IF('01_Вводные'!$B$234="Да",IF(OR(('06_Сеть_и_дети'!M67-'06_Сеть_и_дети'!M95)=0,15&lt;='01_Вводные'!$B$297),0,('06_Сеть_и_дети'!M67-'06_Сеть_и_дети'!M95)*IF('01_Вводные'!$B$239="Да",MeanMinAge15+'19_Расчет_аналитики'!M4608*SUMIF(ThresholdAge15,"&lt;"&amp;'19_Расчет_аналитики'!M4608,WeightedRevAge15)-SUMIF(ThresholdAge15,"&lt;"&amp;'19_Расчет_аналитики'!M4608,WeightedMinAge15),MAX(CapacityAge15*'01_Вводные'!$B$218*'19_Расчет_аналитики'!M4608,MeanMinAge15))),0)</f>
        <v/>
      </c>
      <c r="N4554">
        <f>IF('01_Вводные'!$B$234="Да",IF(OR(('06_Сеть_и_дети'!N67-'06_Сеть_и_дети'!N95)=0,15&lt;='01_Вводные'!$B$297),0,('06_Сеть_и_дети'!N67-'06_Сеть_и_дети'!N95)*IF('01_Вводные'!$B$239="Да",MeanMinAge15+'19_Расчет_аналитики'!N4608*SUMIF(ThresholdAge15,"&lt;"&amp;'19_Расчет_аналитики'!N4608,WeightedRevAge15)-SUMIF(ThresholdAge15,"&lt;"&amp;'19_Расчет_аналитики'!N4608,WeightedMinAge15),MAX(CapacityAge15*'01_Вводные'!$B$218*'19_Расчет_аналитики'!N4608,MeanMinAge15))),0)</f>
        <v/>
      </c>
      <c r="O4554">
        <f>IF('01_Вводные'!$B$234="Да",IF(OR(('06_Сеть_и_дети'!O67-'06_Сеть_и_дети'!O95)=0,15&lt;='01_Вводные'!$B$297),0,('06_Сеть_и_дети'!O67-'06_Сеть_и_дети'!O95)*IF('01_Вводные'!$B$239="Да",MeanMinAge15+'19_Расчет_аналитики'!O4608*SUMIF(ThresholdAge15,"&lt;"&amp;'19_Расчет_аналитики'!O4608,WeightedRevAge15)-SUMIF(ThresholdAge15,"&lt;"&amp;'19_Расчет_аналитики'!O4608,WeightedMinAge15),MAX(CapacityAge15*'01_Вводные'!$B$218*'19_Расчет_аналитики'!O4608,MeanMinAge15))),0)</f>
        <v/>
      </c>
      <c r="P4554">
        <f>IF('01_Вводные'!$B$234="Да",IF(OR(('19_Расчет_аналитики'!P4470-'19_Расчет_аналитики'!P4498)=0,15&lt;='01_Вводные'!$B$297),0,('19_Расчет_аналитики'!P4470-'19_Расчет_аналитики'!P4498)*IF('01_Вводные'!$B$239="Да",MeanMinAge15+'19_Расчет_аналитики'!P4608*SUMIF(ThresholdAge15,"&lt;"&amp;'19_Расчет_аналитики'!P4608,WeightedRevAge15)-SUMIF(ThresholdAge15,"&lt;"&amp;'19_Расчет_аналитики'!P4608,WeightedMinAge15),MAX(CapacityAge15*'01_Вводные'!$B$218*'19_Расчет_аналитики'!P4608,MeanMinAge15))),0)</f>
        <v/>
      </c>
      <c r="Q4554">
        <f>IF('01_Вводные'!$B$234="Да",IF(OR(('19_Расчет_аналитики'!Q4470-'19_Расчет_аналитики'!Q4498)=0,15&lt;='01_Вводные'!$B$297),0,('19_Расчет_аналитики'!Q4470-'19_Расчет_аналитики'!Q4498)*IF('01_Вводные'!$B$239="Да",MeanMinAge15+'19_Расчет_аналитики'!Q4608*SUMIF(ThresholdAge15,"&lt;"&amp;'19_Расчет_аналитики'!Q4608,WeightedRevAge15)-SUMIF(ThresholdAge15,"&lt;"&amp;'19_Расчет_аналитики'!Q4608,WeightedMinAge15),MAX(CapacityAge15*'01_Вводные'!$B$218*'19_Расчет_аналитики'!Q4608,MeanMinAge15))),0)</f>
        <v/>
      </c>
      <c r="R4554">
        <f>IF('01_Вводные'!$B$234="Да",IF(OR(('19_Расчет_аналитики'!R4470-'19_Расчет_аналитики'!R4498)=0,15&lt;='01_Вводные'!$B$297),0,('19_Расчет_аналитики'!R4470-'19_Расчет_аналитики'!R4498)*IF('01_Вводные'!$B$239="Да",MeanMinAge15+'19_Расчет_аналитики'!R4608*SUMIF(ThresholdAge15,"&lt;"&amp;'19_Расчет_аналитики'!R4608,WeightedRevAge15)-SUMIF(ThresholdAge15,"&lt;"&amp;'19_Расчет_аналитики'!R4608,WeightedMinAge15),MAX(CapacityAge15*'01_Вводные'!$B$218*'19_Расчет_аналитики'!R4608,MeanMinAge15))),0)</f>
        <v/>
      </c>
      <c r="S4554">
        <f>IF('01_Вводные'!$B$234="Да",IF(OR(('19_Расчет_аналитики'!S4470-'19_Расчет_аналитики'!S4498)=0,15&lt;='01_Вводные'!$B$297),0,('19_Расчет_аналитики'!S4470-'19_Расчет_аналитики'!S4498)*IF('01_Вводные'!$B$239="Да",MeanMinAge15+'19_Расчет_аналитики'!S4608*SUMIF(ThresholdAge15,"&lt;"&amp;'19_Расчет_аналитики'!S4608,WeightedRevAge15)-SUMIF(ThresholdAge15,"&lt;"&amp;'19_Расчет_аналитики'!S4608,WeightedMinAge15),MAX(CapacityAge15*'01_Вводные'!$B$218*'19_Расчет_аналитики'!S4608,MeanMinAge15))),0)</f>
        <v/>
      </c>
      <c r="T4554">
        <f>IF('01_Вводные'!$B$234="Да",IF(OR(('19_Расчет_аналитики'!T4470-'19_Расчет_аналитики'!T4498)=0,15&lt;='01_Вводные'!$B$297),0,('19_Расчет_аналитики'!T4470-'19_Расчет_аналитики'!T4498)*IF('01_Вводные'!$B$239="Да",MeanMinAge15+'19_Расчет_аналитики'!T4608*SUMIF(ThresholdAge15,"&lt;"&amp;'19_Расчет_аналитики'!T4608,WeightedRevAge15)-SUMIF(ThresholdAge15,"&lt;"&amp;'19_Расчет_аналитики'!T4608,WeightedMinAge15),MAX(CapacityAge15*'01_Вводные'!$B$218*'19_Расчет_аналитики'!T4608,MeanMinAge15))),0)</f>
        <v/>
      </c>
      <c r="U4554">
        <f>IF('01_Вводные'!$B$234="Да",IF(OR(('19_Расчет_аналитики'!U4470-'19_Расчет_аналитики'!U4498)=0,15&lt;='01_Вводные'!$B$297),0,('19_Расчет_аналитики'!U4470-'19_Расчет_аналитики'!U4498)*IF('01_Вводные'!$B$239="Да",MeanMinAge15+'19_Расчет_аналитики'!U4608*SUMIF(ThresholdAge15,"&lt;"&amp;'19_Расчет_аналитики'!U4608,WeightedRevAge15)-SUMIF(ThresholdAge15,"&lt;"&amp;'19_Расчет_аналитики'!U4608,WeightedMinAge15),MAX(CapacityAge15*'01_Вводные'!$B$218*'19_Расчет_аналитики'!U4608,MeanMinAge15))),0)</f>
        <v/>
      </c>
      <c r="V4554">
        <f>IF('01_Вводные'!$B$234="Да",IF(OR(('19_Расчет_аналитики'!V4470-'19_Расчет_аналитики'!V4498)=0,15&lt;='01_Вводные'!$B$297),0,('19_Расчет_аналитики'!V4470-'19_Расчет_аналитики'!V4498)*IF('01_Вводные'!$B$239="Да",MeanMinAge15+'19_Расчет_аналитики'!V4608*SUMIF(ThresholdAge15,"&lt;"&amp;'19_Расчет_аналитики'!V4608,WeightedRevAge15)-SUMIF(ThresholdAge15,"&lt;"&amp;'19_Расчет_аналитики'!V4608,WeightedMinAge15),MAX(CapacityAge15*'01_Вводные'!$B$218*'19_Расчет_аналитики'!V4608,MeanMinAge15))),0)</f>
        <v/>
      </c>
      <c r="W4554">
        <f>IF('01_Вводные'!$B$234="Да",IF(OR(('19_Расчет_аналитики'!W4470-'19_Расчет_аналитики'!W4498)=0,15&lt;='01_Вводные'!$B$297),0,('19_Расчет_аналитики'!W4470-'19_Расчет_аналитики'!W4498)*IF('01_Вводные'!$B$239="Да",MeanMinAge15+'19_Расчет_аналитики'!W4608*SUMIF(ThresholdAge15,"&lt;"&amp;'19_Расчет_аналитики'!W4608,WeightedRevAge15)-SUMIF(ThresholdAge15,"&lt;"&amp;'19_Расчет_аналитики'!W4608,WeightedMinAge15),MAX(CapacityAge15*'01_Вводные'!$B$218*'19_Расчет_аналитики'!W4608,MeanMinAge15))),0)</f>
        <v/>
      </c>
      <c r="X4554">
        <f>IF('01_Вводные'!$B$234="Да",IF(OR(('19_Расчет_аналитики'!X4470-'19_Расчет_аналитики'!X4498)=0,15&lt;='01_Вводные'!$B$297),0,('19_Расчет_аналитики'!X4470-'19_Расчет_аналитики'!X4498)*IF('01_Вводные'!$B$239="Да",MeanMinAge15+'19_Расчет_аналитики'!X4608*SUMIF(ThresholdAge15,"&lt;"&amp;'19_Расчет_аналитики'!X4608,WeightedRevAge15)-SUMIF(ThresholdAge15,"&lt;"&amp;'19_Расчет_аналитики'!X4608,WeightedMinAge15),MAX(CapacityAge15*'01_Вводные'!$B$218*'19_Расчет_аналитики'!X4608,MeanMinAge15))),0)</f>
        <v/>
      </c>
      <c r="Y4554">
        <f>IF('01_Вводные'!$B$234="Да",IF(OR(('19_Расчет_аналитики'!Y4470-'19_Расчет_аналитики'!Y4498)=0,15&lt;='01_Вводные'!$B$297),0,('19_Расчет_аналитики'!Y4470-'19_Расчет_аналитики'!Y4498)*IF('01_Вводные'!$B$239="Да",MeanMinAge15+'19_Расчет_аналитики'!Y4608*SUMIF(ThresholdAge15,"&lt;"&amp;'19_Расчет_аналитики'!Y4608,WeightedRevAge15)-SUMIF(ThresholdAge15,"&lt;"&amp;'19_Расчет_аналитики'!Y4608,WeightedMinAge15),MAX(CapacityAge15*'01_Вводные'!$B$218*'19_Расчет_аналитики'!Y4608,MeanMinAge15))),0)</f>
        <v/>
      </c>
      <c r="Z4554">
        <f>IF('01_Вводные'!$B$234="Да",IF(OR(('19_Расчет_аналитики'!Z4470-'19_Расчет_аналитики'!Z4498)=0,15&lt;='01_Вводные'!$B$297),0,('19_Расчет_аналитики'!Z4470-'19_Расчет_аналитики'!Z4498)*IF('01_Вводные'!$B$239="Да",MeanMinAge15+'19_Расчет_аналитики'!Z4608*SUMIF(ThresholdAge15,"&lt;"&amp;'19_Расчет_аналитики'!Z4608,WeightedRevAge15)-SUMIF(ThresholdAge15,"&lt;"&amp;'19_Расчет_аналитики'!Z4608,WeightedMinAge15),MAX(CapacityAge15*'01_Вводные'!$B$218*'19_Расчет_аналитики'!Z4608,MeanMinAge15))),0)</f>
        <v/>
      </c>
      <c r="AA4554">
        <f>IF('01_Вводные'!$B$234="Да",IF(OR(('19_Расчет_аналитики'!AA4470-'19_Расчет_аналитики'!AA4498)=0,15&lt;='01_Вводные'!$B$297),0,('19_Расчет_аналитики'!AA4470-'19_Расчет_аналитики'!AA4498)*IF('01_Вводные'!$B$239="Да",MeanMinAge15+'19_Расчет_аналитики'!AA4608*SUMIF(ThresholdAge15,"&lt;"&amp;'19_Расчет_аналитики'!AA4608,WeightedRevAge15)-SUMIF(ThresholdAge15,"&lt;"&amp;'19_Расчет_аналитики'!AA4608,WeightedMinAge15),MAX(CapacityAge15*'01_Вводные'!$B$218*'19_Расчет_аналитики'!AA4608,MeanMinAge15))),0)</f>
        <v/>
      </c>
      <c r="AB4554">
        <f>IF('01_Вводные'!$B$234="Да",IF(OR(('19_Расчет_аналитики'!AB4470-'19_Расчет_аналитики'!AB4498)=0,15&lt;='01_Вводные'!$B$297),0,('19_Расчет_аналитики'!AB4470-'19_Расчет_аналитики'!AB4498)*IF('01_Вводные'!$B$239="Да",MeanMinAge15+'19_Расчет_аналитики'!AB4608*SUMIF(ThresholdAge15,"&lt;"&amp;'19_Расчет_аналитики'!AB4608,WeightedRevAge15)-SUMIF(ThresholdAge15,"&lt;"&amp;'19_Расчет_аналитики'!AB4608,WeightedMinAge15),MAX(CapacityAge15*'01_Вводные'!$B$218*'19_Расчет_аналитики'!AB4608,MeanMinAge15))),0)</f>
        <v/>
      </c>
      <c r="AC4554">
        <f>IF('01_Вводные'!$B$234="Да",IF(OR(('19_Расчет_аналитики'!AC4470-'19_Расчет_аналитики'!AC4498)=0,15&lt;='01_Вводные'!$B$297),0,('19_Расчет_аналитики'!AC4470-'19_Расчет_аналитики'!AC4498)*IF('01_Вводные'!$B$239="Да",MeanMinAge15+'19_Расчет_аналитики'!AC4608*SUMIF(ThresholdAge15,"&lt;"&amp;'19_Расчет_аналитики'!AC4608,WeightedRevAge15)-SUMIF(ThresholdAge15,"&lt;"&amp;'19_Расчет_аналитики'!AC4608,WeightedMinAge15),MAX(CapacityAge15*'01_Вводные'!$B$218*'19_Расчет_аналитики'!AC4608,MeanMinAge15))),0)</f>
        <v/>
      </c>
      <c r="AD4554">
        <f>IF('01_Вводные'!$B$234="Да",IF(OR(('19_Расчет_аналитики'!AD4470-'19_Расчет_аналитики'!AD4498)=0,15&lt;='01_Вводные'!$B$297),0,('19_Расчет_аналитики'!AD4470-'19_Расчет_аналитики'!AD4498)*IF('01_Вводные'!$B$239="Да",MeanMinAge15+'19_Расчет_аналитики'!AD4608*SUMIF(ThresholdAge15,"&lt;"&amp;'19_Расчет_аналитики'!AD4608,WeightedRevAge15)-SUMIF(ThresholdAge15,"&lt;"&amp;'19_Расчет_аналитики'!AD4608,WeightedMinAge15),MAX(CapacityAge15*'01_Вводные'!$B$218*'19_Расчет_аналитики'!AD4608,MeanMinAge15))),0)</f>
        <v/>
      </c>
      <c r="AE4554">
        <f>IF('01_Вводные'!$B$234="Да",IF(OR(('19_Расчет_аналитики'!AE4470-'19_Расчет_аналитики'!AE4498)=0,15&lt;='01_Вводные'!$B$297),0,('19_Расчет_аналитики'!AE4470-'19_Расчет_аналитики'!AE4498)*IF('01_Вводные'!$B$239="Да",MeanMinAge15+'19_Расчет_аналитики'!AE4608*SUMIF(ThresholdAge15,"&lt;"&amp;'19_Расчет_аналитики'!AE4608,WeightedRevAge15)-SUMIF(ThresholdAge15,"&lt;"&amp;'19_Расчет_аналитики'!AE4608,WeightedMinAge15),MAX(CapacityAge15*'01_Вводные'!$B$218*'19_Расчет_аналитики'!AE4608,MeanMinAge15))),0)</f>
        <v/>
      </c>
      <c r="AF4554">
        <f>IF('01_Вводные'!$B$234="Да",IF(OR(('19_Расчет_аналитики'!AF4470-'19_Расчет_аналитики'!AF4498)=0,15&lt;='01_Вводные'!$B$297),0,('19_Расчет_аналитики'!AF4470-'19_Расчет_аналитики'!AF4498)*IF('01_Вводные'!$B$239="Да",MeanMinAge15+'19_Расчет_аналитики'!AF4608*SUMIF(ThresholdAge15,"&lt;"&amp;'19_Расчет_аналитики'!AF4608,WeightedRevAge15)-SUMIF(ThresholdAge15,"&lt;"&amp;'19_Расчет_аналитики'!AF4608,WeightedMinAge15),MAX(CapacityAge15*'01_Вводные'!$B$218*'19_Расчет_аналитики'!AF4608,MeanMinAge15))),0)</f>
        <v/>
      </c>
      <c r="AG4554">
        <f>IF('01_Вводные'!$B$234="Да",IF(OR(('19_Расчет_аналитики'!AG4470-'19_Расчет_аналитики'!AG4498)=0,15&lt;='01_Вводные'!$B$297),0,('19_Расчет_аналитики'!AG4470-'19_Расчет_аналитики'!AG4498)*IF('01_Вводные'!$B$239="Да",MeanMinAge15+'19_Расчет_аналитики'!AG4608*SUMIF(ThresholdAge15,"&lt;"&amp;'19_Расчет_аналитики'!AG4608,WeightedRevAge15)-SUMIF(ThresholdAge15,"&lt;"&amp;'19_Расчет_аналитики'!AG4608,WeightedMinAge15),MAX(CapacityAge15*'01_Вводные'!$B$218*'19_Расчет_аналитики'!AG4608,MeanMinAge15))),0)</f>
        <v/>
      </c>
      <c r="AH4554">
        <f>IF('01_Вводные'!$B$234="Да",IF(OR(('19_Расчет_аналитики'!AH4470-'19_Расчет_аналитики'!AH4498)=0,15&lt;='01_Вводные'!$B$297),0,('19_Расчет_аналитики'!AH4470-'19_Расчет_аналитики'!AH4498)*IF('01_Вводные'!$B$239="Да",MeanMinAge15+'19_Расчет_аналитики'!AH4608*SUMIF(ThresholdAge15,"&lt;"&amp;'19_Расчет_аналитики'!AH4608,WeightedRevAge15)-SUMIF(ThresholdAge15,"&lt;"&amp;'19_Расчет_аналитики'!AH4608,WeightedMinAge15),MAX(CapacityAge15*'01_Вводные'!$B$218*'19_Расчет_аналитики'!AH4608,MeanMinAge15))),0)</f>
        <v/>
      </c>
      <c r="AI4554">
        <f>IF('01_Вводные'!$B$234="Да",IF(OR(('19_Расчет_аналитики'!AI4470-'19_Расчет_аналитики'!AI4498)=0,15&lt;='01_Вводные'!$B$297),0,('19_Расчет_аналитики'!AI4470-'19_Расчет_аналитики'!AI4498)*IF('01_Вводные'!$B$239="Да",MeanMinAge15+'19_Расчет_аналитики'!AI4608*SUMIF(ThresholdAge15,"&lt;"&amp;'19_Расчет_аналитики'!AI4608,WeightedRevAge15)-SUMIF(ThresholdAge15,"&lt;"&amp;'19_Расчет_аналитики'!AI4608,WeightedMinAge15),MAX(CapacityAge15*'01_Вводные'!$B$218*'19_Расчет_аналитики'!AI4608,MeanMinAge15))),0)</f>
        <v/>
      </c>
      <c r="AJ4554">
        <f>IF('01_Вводные'!$B$234="Да",IF(OR(('19_Расчет_аналитики'!AJ4470-'19_Расчет_аналитики'!AJ4498)=0,15&lt;='01_Вводные'!$B$297),0,('19_Расчет_аналитики'!AJ4470-'19_Расчет_аналитики'!AJ4498)*IF('01_Вводные'!$B$239="Да",MeanMinAge15+'19_Расчет_аналитики'!AJ4608*SUMIF(ThresholdAge15,"&lt;"&amp;'19_Расчет_аналитики'!AJ4608,WeightedRevAge15)-SUMIF(ThresholdAge15,"&lt;"&amp;'19_Расчет_аналитики'!AJ4608,WeightedMinAge15),MAX(CapacityAge15*'01_Вводные'!$B$218*'19_Расчет_аналитики'!AJ4608,MeanMinAge15))),0)</f>
        <v/>
      </c>
      <c r="AK4554">
        <f>IF('01_Вводные'!$B$234="Да",IF(OR(('19_Расчет_аналитики'!AK4470-'19_Расчет_аналитики'!AK4498)=0,15&lt;='01_Вводные'!$B$297),0,('19_Расчет_аналитики'!AK4470-'19_Расчет_аналитики'!AK4498)*IF('01_Вводные'!$B$239="Да",MeanMinAge15+'19_Расчет_аналитики'!AK4608*SUMIF(ThresholdAge15,"&lt;"&amp;'19_Расчет_аналитики'!AK4608,WeightedRevAge15)-SUMIF(ThresholdAge15,"&lt;"&amp;'19_Расчет_аналитики'!AK4608,WeightedMinAge15),MAX(CapacityAge15*'01_Вводные'!$B$218*'19_Расчет_аналитики'!AK4608,MeanMinAge15))),0)</f>
        <v/>
      </c>
      <c r="AL4554">
        <f>IF('01_Вводные'!$B$234="Да",IF(OR(('19_Расчет_аналитики'!AL4470-'19_Расчет_аналитики'!AL4498)=0,15&lt;='01_Вводные'!$B$297),0,('19_Расчет_аналитики'!AL4470-'19_Расчет_аналитики'!AL4498)*IF('01_Вводные'!$B$239="Да",MeanMinAge15+'19_Расчет_аналитики'!AL4608*SUMIF(ThresholdAge15,"&lt;"&amp;'19_Расчет_аналитики'!AL4608,WeightedRevAge15)-SUMIF(ThresholdAge15,"&lt;"&amp;'19_Расчет_аналитики'!AL4608,WeightedMinAge15),MAX(CapacityAge15*'01_Вводные'!$B$218*'19_Расчет_аналитики'!AL4608,MeanMinAge15))),0)</f>
        <v/>
      </c>
      <c r="AM4554">
        <f>IF('01_Вводные'!$B$234="Да",IF(OR(('19_Расчет_аналитики'!AM4470-'19_Расчет_аналитики'!AM4498)=0,15&lt;='01_Вводные'!$B$297),0,('19_Расчет_аналитики'!AM4470-'19_Расчет_аналитики'!AM4498)*IF('01_Вводные'!$B$239="Да",MeanMinAge15+'19_Расчет_аналитики'!AM4608*SUMIF(ThresholdAge15,"&lt;"&amp;'19_Расчет_аналитики'!AM4608,WeightedRevAge15)-SUMIF(ThresholdAge15,"&lt;"&amp;'19_Расчет_аналитики'!AM4608,WeightedMinAge15),MAX(CapacityAge15*'01_Вводные'!$B$218*'19_Расчет_аналитики'!AM4608,MeanMinAge15))),0)</f>
        <v/>
      </c>
      <c r="AN4554">
        <f>IF('01_Вводные'!$B$234="Да",IF(OR(('19_Расчет_аналитики'!AN4470-'19_Расчет_аналитики'!AN4498)=0,15&lt;='01_Вводные'!$B$297),0,('19_Расчет_аналитики'!AN4470-'19_Расчет_аналитики'!AN4498)*IF('01_Вводные'!$B$239="Да",MeanMinAge15+'19_Расчет_аналитики'!AN4608*SUMIF(ThresholdAge15,"&lt;"&amp;'19_Расчет_аналитики'!AN4608,WeightedRevAge15)-SUMIF(ThresholdAge15,"&lt;"&amp;'19_Расчет_аналитики'!AN4608,WeightedMinAge15),MAX(CapacityAge15*'01_Вводные'!$B$218*'19_Расчет_аналитики'!AN4608,MeanMinAge15))),0)</f>
        <v/>
      </c>
      <c r="AO4554">
        <f>IF('01_Вводные'!$B$234="Да",IF(OR(('19_Расчет_аналитики'!AO4470-'19_Расчет_аналитики'!AO4498)=0,15&lt;='01_Вводные'!$B$297),0,('19_Расчет_аналитики'!AO4470-'19_Расчет_аналитики'!AO4498)*IF('01_Вводные'!$B$239="Да",MeanMinAge15+'19_Расчет_аналитики'!AO4608*SUMIF(ThresholdAge15,"&lt;"&amp;'19_Расчет_аналитики'!AO4608,WeightedRevAge15)-SUMIF(ThresholdAge15,"&lt;"&amp;'19_Расчет_аналитики'!AO4608,WeightedMinAge15),MAX(CapacityAge15*'01_Вводные'!$B$218*'19_Расчет_аналитики'!AO4608,MeanMinAge15))),0)</f>
        <v/>
      </c>
      <c r="AP4554">
        <f>IF('01_Вводные'!$B$234="Да",IF(OR(('19_Расчет_аналитики'!AP4470-'19_Расчет_аналитики'!AP4498)=0,15&lt;='01_Вводные'!$B$297),0,('19_Расчет_аналитики'!AP4470-'19_Расчет_аналитики'!AP4498)*IF('01_Вводные'!$B$239="Да",MeanMinAge15+'19_Расчет_аналитики'!AP4608*SUMIF(ThresholdAge15,"&lt;"&amp;'19_Расчет_аналитики'!AP4608,WeightedRevAge15)-SUMIF(ThresholdAge15,"&lt;"&amp;'19_Расчет_аналитики'!AP4608,WeightedMinAge15),MAX(CapacityAge15*'01_Вводные'!$B$218*'19_Расчет_аналитики'!AP4608,MeanMinAge15))),0)</f>
        <v/>
      </c>
      <c r="AQ4554">
        <f>IF('01_Вводные'!$B$234="Да",IF(OR(('19_Расчет_аналитики'!AQ4470-'19_Расчет_аналитики'!AQ4498)=0,15&lt;='01_Вводные'!$B$297),0,('19_Расчет_аналитики'!AQ4470-'19_Расчет_аналитики'!AQ4498)*IF('01_Вводные'!$B$239="Да",MeanMinAge15+'19_Расчет_аналитики'!AQ4608*SUMIF(ThresholdAge15,"&lt;"&amp;'19_Расчет_аналитики'!AQ4608,WeightedRevAge15)-SUMIF(ThresholdAge15,"&lt;"&amp;'19_Расчет_аналитики'!AQ4608,WeightedMinAge15),MAX(CapacityAge15*'01_Вводные'!$B$218*'19_Расчет_аналитики'!AQ4608,MeanMinAge15))),0)</f>
        <v/>
      </c>
      <c r="AR4554">
        <f>IF('01_Вводные'!$B$234="Да",IF(OR(('19_Расчет_аналитики'!AR4470-'19_Расчет_аналитики'!AR4498)=0,15&lt;='01_Вводные'!$B$297),0,('19_Расчет_аналитики'!AR4470-'19_Расчет_аналитики'!AR4498)*IF('01_Вводные'!$B$239="Да",MeanMinAge15+'19_Расчет_аналитики'!AR4608*SUMIF(ThresholdAge15,"&lt;"&amp;'19_Расчет_аналитики'!AR4608,WeightedRevAge15)-SUMIF(ThresholdAge15,"&lt;"&amp;'19_Расчет_аналитики'!AR4608,WeightedMinAge15),MAX(CapacityAge15*'01_Вводные'!$B$218*'19_Расчет_аналитики'!AR4608,MeanMinAge15))),0)</f>
        <v/>
      </c>
      <c r="AS4554">
        <f>IF('01_Вводные'!$B$234="Да",IF(OR(('19_Расчет_аналитики'!AS4470-'19_Расчет_аналитики'!AS4498)=0,15&lt;='01_Вводные'!$B$297),0,('19_Расчет_аналитики'!AS4470-'19_Расчет_аналитики'!AS4498)*IF('01_Вводные'!$B$239="Да",MeanMinAge15+'19_Расчет_аналитики'!AS4608*SUMIF(ThresholdAge15,"&lt;"&amp;'19_Расчет_аналитики'!AS4608,WeightedRevAge15)-SUMIF(ThresholdAge15,"&lt;"&amp;'19_Расчет_аналитики'!AS4608,WeightedMinAge15),MAX(CapacityAge15*'01_Вводные'!$B$218*'19_Расчет_аналитики'!AS4608,MeanMinAge15))),0)</f>
        <v/>
      </c>
      <c r="AT4554">
        <f>IF('01_Вводные'!$B$234="Да",IF(OR(('19_Расчет_аналитики'!AT4470-'19_Расчет_аналитики'!AT4498)=0,15&lt;='01_Вводные'!$B$297),0,('19_Расчет_аналитики'!AT4470-'19_Расчет_аналитики'!AT4498)*IF('01_Вводные'!$B$239="Да",MeanMinAge15+'19_Расчет_аналитики'!AT4608*SUMIF(ThresholdAge15,"&lt;"&amp;'19_Расчет_аналитики'!AT4608,WeightedRevAge15)-SUMIF(ThresholdAge15,"&lt;"&amp;'19_Расчет_аналитики'!AT4608,WeightedMinAge15),MAX(CapacityAge15*'01_Вводные'!$B$218*'19_Расчет_аналитики'!AT4608,MeanMinAge15))),0)</f>
        <v/>
      </c>
      <c r="AU4554">
        <f>IF('01_Вводные'!$B$234="Да",IF(OR(('19_Расчет_аналитики'!AU4470-'19_Расчет_аналитики'!AU4498)=0,15&lt;='01_Вводные'!$B$297),0,('19_Расчет_аналитики'!AU4470-'19_Расчет_аналитики'!AU4498)*IF('01_Вводные'!$B$239="Да",MeanMinAge15+'19_Расчет_аналитики'!AU4608*SUMIF(ThresholdAge15,"&lt;"&amp;'19_Расчет_аналитики'!AU4608,WeightedRevAge15)-SUMIF(ThresholdAge15,"&lt;"&amp;'19_Расчет_аналитики'!AU4608,WeightedMinAge15),MAX(CapacityAge15*'01_Вводные'!$B$218*'19_Расчет_аналитики'!AU4608,MeanMinAge15))),0)</f>
        <v/>
      </c>
      <c r="AV4554">
        <f>IF('01_Вводные'!$B$234="Да",IF(OR(('19_Расчет_аналитики'!AV4470-'19_Расчет_аналитики'!AV4498)=0,15&lt;='01_Вводные'!$B$297),0,('19_Расчет_аналитики'!AV4470-'19_Расчет_аналитики'!AV4498)*IF('01_Вводные'!$B$239="Да",MeanMinAge15+'19_Расчет_аналитики'!AV4608*SUMIF(ThresholdAge15,"&lt;"&amp;'19_Расчет_аналитики'!AV4608,WeightedRevAge15)-SUMIF(ThresholdAge15,"&lt;"&amp;'19_Расчет_аналитики'!AV4608,WeightedMinAge15),MAX(CapacityAge15*'01_Вводные'!$B$218*'19_Расчет_аналитики'!AV4608,MeanMinAge15))),0)</f>
        <v/>
      </c>
      <c r="AW4554">
        <f>IF('01_Вводные'!$B$234="Да",IF(OR(('19_Расчет_аналитики'!AW4470-'19_Расчет_аналитики'!AW4498)=0,15&lt;='01_Вводные'!$B$297),0,('19_Расчет_аналитики'!AW4470-'19_Расчет_аналитики'!AW4498)*IF('01_Вводные'!$B$239="Да",MeanMinAge15+'19_Расчет_аналитики'!AW4608*SUMIF(ThresholdAge15,"&lt;"&amp;'19_Расчет_аналитики'!AW4608,WeightedRevAge15)-SUMIF(ThresholdAge15,"&lt;"&amp;'19_Расчет_аналитики'!AW4608,WeightedMinAge15),MAX(CapacityAge15*'01_Вводные'!$B$218*'19_Расчет_аналитики'!AW4608,MeanMinAge15))),0)</f>
        <v/>
      </c>
      <c r="AX4554">
        <f>IF('01_Вводные'!$B$234="Да",IF(OR(('19_Расчет_аналитики'!AX4470-'19_Расчет_аналитики'!AX4498)=0,15&lt;='01_Вводные'!$B$297),0,('19_Расчет_аналитики'!AX4470-'19_Расчет_аналитики'!AX4498)*IF('01_Вводные'!$B$239="Да",MeanMinAge15+'19_Расчет_аналитики'!AX4608*SUMIF(ThresholdAge15,"&lt;"&amp;'19_Расчет_аналитики'!AX4608,WeightedRevAge15)-SUMIF(ThresholdAge15,"&lt;"&amp;'19_Расчет_аналитики'!AX4608,WeightedMinAge15),MAX(CapacityAge15*'01_Вводные'!$B$218*'19_Расчет_аналитики'!AX4608,MeanMinAge15))),0)</f>
        <v/>
      </c>
      <c r="AY4554">
        <f>IF('01_Вводные'!$B$234="Да",IF(OR(('19_Расчет_аналитики'!AY4470-'19_Расчет_аналитики'!AY4498)=0,15&lt;='01_Вводные'!$B$297),0,('19_Расчет_аналитики'!AY4470-'19_Расчет_аналитики'!AY4498)*IF('01_Вводные'!$B$239="Да",MeanMinAge15+'19_Расчет_аналитики'!AY4608*SUMIF(ThresholdAge15,"&lt;"&amp;'19_Расчет_аналитики'!AY4608,WeightedRevAge15)-SUMIF(ThresholdAge15,"&lt;"&amp;'19_Расчет_аналитики'!AY4608,WeightedMinAge15),MAX(CapacityAge15*'01_Вводные'!$B$218*'19_Расчет_аналитики'!AY4608,MeanMinAge15))),0)</f>
        <v/>
      </c>
      <c r="AZ4554">
        <f>IF('01_Вводные'!$B$234="Да",IF(OR(('19_Расчет_аналитики'!AZ4470-'19_Расчет_аналитики'!AZ4498)=0,15&lt;='01_Вводные'!$B$297),0,('19_Расчет_аналитики'!AZ4470-'19_Расчет_аналитики'!AZ4498)*IF('01_Вводные'!$B$239="Да",MeanMinAge15+'19_Расчет_аналитики'!AZ4608*SUMIF(ThresholdAge15,"&lt;"&amp;'19_Расчет_аналитики'!AZ4608,WeightedRevAge15)-SUMIF(ThresholdAge15,"&lt;"&amp;'19_Расчет_аналитики'!AZ4608,WeightedMinAge15),MAX(CapacityAge15*'01_Вводные'!$B$218*'19_Расчет_аналитики'!AZ4608,MeanMinAge15))),0)</f>
        <v/>
      </c>
      <c r="BA4554">
        <f>IF('01_Вводные'!$B$234="Да",IF(OR(('19_Расчет_аналитики'!BA4470-'19_Расчет_аналитики'!BA4498)=0,15&lt;='01_Вводные'!$B$297),0,('19_Расчет_аналитики'!BA4470-'19_Расчет_аналитики'!BA4498)*IF('01_Вводные'!$B$239="Да",MeanMinAge15+'19_Расчет_аналитики'!BA4608*SUMIF(ThresholdAge15,"&lt;"&amp;'19_Расчет_аналитики'!BA4608,WeightedRevAge15)-SUMIF(ThresholdAge15,"&lt;"&amp;'19_Расчет_аналитики'!BA4608,WeightedMinAge15),MAX(CapacityAge15*'01_Вводные'!$B$218*'19_Расчет_аналитики'!BA4608,MeanMinAge15))),0)</f>
        <v/>
      </c>
      <c r="BB4554">
        <f>IF('01_Вводные'!$B$234="Да",IF(OR(('19_Расчет_аналитики'!BB4470-'19_Расчет_аналитики'!BB4498)=0,15&lt;='01_Вводные'!$B$297),0,('19_Расчет_аналитики'!BB4470-'19_Расчет_аналитики'!BB4498)*IF('01_Вводные'!$B$239="Да",MeanMinAge15+'19_Расчет_аналитики'!BB4608*SUMIF(ThresholdAge15,"&lt;"&amp;'19_Расчет_аналитики'!BB4608,WeightedRevAge15)-SUMIF(ThresholdAge15,"&lt;"&amp;'19_Расчет_аналитики'!BB4608,WeightedMinAge15),MAX(CapacityAge15*'01_Вводные'!$B$218*'19_Расчет_аналитики'!BB4608,MeanMinAge15))),0)</f>
        <v/>
      </c>
      <c r="BC4554">
        <f>IF('01_Вводные'!$B$234="Да",IF(OR(('19_Расчет_аналитики'!BC4470-'19_Расчет_аналитики'!BC4498)=0,15&lt;='01_Вводные'!$B$297),0,('19_Расчет_аналитики'!BC4470-'19_Расчет_аналитики'!BC4498)*IF('01_Вводные'!$B$239="Да",MeanMinAge15+'19_Расчет_аналитики'!BC4608*SUMIF(ThresholdAge15,"&lt;"&amp;'19_Расчет_аналитики'!BC4608,WeightedRevAge15)-SUMIF(ThresholdAge15,"&lt;"&amp;'19_Расчет_аналитики'!BC4608,WeightedMinAge15),MAX(CapacityAge15*'01_Вводные'!$B$218*'19_Расчет_аналитики'!BC4608,MeanMinAge15))),0)</f>
        <v/>
      </c>
      <c r="BD4554">
        <f>IF('01_Вводные'!$B$234="Да",IF(OR(('19_Расчет_аналитики'!BD4470-'19_Расчет_аналитики'!BD4498)=0,15&lt;='01_Вводные'!$B$297),0,('19_Расчет_аналитики'!BD4470-'19_Расчет_аналитики'!BD4498)*IF('01_Вводные'!$B$239="Да",MeanMinAge15+'19_Расчет_аналитики'!BD4608*SUMIF(ThresholdAge15,"&lt;"&amp;'19_Расчет_аналитики'!BD4608,WeightedRevAge15)-SUMIF(ThresholdAge15,"&lt;"&amp;'19_Расчет_аналитики'!BD4608,WeightedMinAge15),MAX(CapacityAge15*'01_Вводные'!$B$218*'19_Расчет_аналитики'!BD4608,MeanMinAge15))),0)</f>
        <v/>
      </c>
      <c r="BE4554">
        <f>IF('01_Вводные'!$B$234="Да",IF(OR(('19_Расчет_аналитики'!BE4470-'19_Расчет_аналитики'!BE4498)=0,15&lt;='01_Вводные'!$B$297),0,('19_Расчет_аналитики'!BE4470-'19_Расчет_аналитики'!BE4498)*IF('01_Вводные'!$B$239="Да",MeanMinAge15+'19_Расчет_аналитики'!BE4608*SUMIF(ThresholdAge15,"&lt;"&amp;'19_Расчет_аналитики'!BE4608,WeightedRevAge15)-SUMIF(ThresholdAge15,"&lt;"&amp;'19_Расчет_аналитики'!BE4608,WeightedMinAge15),MAX(CapacityAge15*'01_Вводные'!$B$218*'19_Расчет_аналитики'!BE4608,MeanMinAge15))),0)</f>
        <v/>
      </c>
      <c r="BF4554">
        <f>IF('01_Вводные'!$B$234="Да",IF(OR(('19_Расчет_аналитики'!BF4470-'19_Расчет_аналитики'!BF4498)=0,15&lt;='01_Вводные'!$B$297),0,('19_Расчет_аналитики'!BF4470-'19_Расчет_аналитики'!BF4498)*IF('01_Вводные'!$B$239="Да",MeanMinAge15+'19_Расчет_аналитики'!BF4608*SUMIF(ThresholdAge15,"&lt;"&amp;'19_Расчет_аналитики'!BF4608,WeightedRevAge15)-SUMIF(ThresholdAge15,"&lt;"&amp;'19_Расчет_аналитики'!BF4608,WeightedMinAge15),MAX(CapacityAge15*'01_Вводные'!$B$218*'19_Расчет_аналитики'!BF4608,MeanMinAge15))),0)</f>
        <v/>
      </c>
      <c r="BG4554">
        <f>IF('01_Вводные'!$B$234="Да",IF(OR(('19_Расчет_аналитики'!BG4470-'19_Расчет_аналитики'!BG4498)=0,15&lt;='01_Вводные'!$B$297),0,('19_Расчет_аналитики'!BG4470-'19_Расчет_аналитики'!BG4498)*IF('01_Вводные'!$B$239="Да",MeanMinAge15+'19_Расчет_аналитики'!BG4608*SUMIF(ThresholdAge15,"&lt;"&amp;'19_Расчет_аналитики'!BG4608,WeightedRevAge15)-SUMIF(ThresholdAge15,"&lt;"&amp;'19_Расчет_аналитики'!BG4608,WeightedMinAge15),MAX(CapacityAge15*'01_Вводные'!$B$218*'19_Расчет_аналитики'!BG4608,MeanMinAge15))),0)</f>
        <v/>
      </c>
      <c r="BH4554">
        <f>IF('01_Вводные'!$B$234="Да",IF(OR(('19_Расчет_аналитики'!BH4470-'19_Расчет_аналитики'!BH4498)=0,15&lt;='01_Вводные'!$B$297),0,('19_Расчет_аналитики'!BH4470-'19_Расчет_аналитики'!BH4498)*IF('01_Вводные'!$B$239="Да",MeanMinAge15+'19_Расчет_аналитики'!BH4608*SUMIF(ThresholdAge15,"&lt;"&amp;'19_Расчет_аналитики'!BH4608,WeightedRevAge15)-SUMIF(ThresholdAge15,"&lt;"&amp;'19_Расчет_аналитики'!BH4608,WeightedMinAge15),MAX(CapacityAge15*'01_Вводные'!$B$218*'19_Расчет_аналитики'!BH4608,MeanMinAge15))),0)</f>
        <v/>
      </c>
      <c r="BI4554">
        <f>IF('01_Вводные'!$B$234="Да",IF(OR(('19_Расчет_аналитики'!BI4470-'19_Расчет_аналитики'!BI4498)=0,15&lt;='01_Вводные'!$B$297),0,('19_Расчет_аналитики'!BI4470-'19_Расчет_аналитики'!BI4498)*IF('01_Вводные'!$B$239="Да",MeanMinAge15+'19_Расчет_аналитики'!BI4608*SUMIF(ThresholdAge15,"&lt;"&amp;'19_Расчет_аналитики'!BI4608,WeightedRevAge15)-SUMIF(ThresholdAge15,"&lt;"&amp;'19_Расчет_аналитики'!BI4608,WeightedMinAge15),MAX(CapacityAge15*'01_Вводные'!$B$218*'19_Расчет_аналитики'!BI4608,MeanMinAge15))),0)</f>
        <v/>
      </c>
      <c r="BJ4554">
        <f>IF('01_Вводные'!$B$234="Да",IF(OR(('19_Расчет_аналитики'!BJ4470-'19_Расчет_аналитики'!BJ4498)=0,15&lt;='01_Вводные'!$B$297),0,('19_Расчет_аналитики'!BJ4470-'19_Расчет_аналитики'!BJ4498)*IF('01_Вводные'!$B$239="Да",MeanMinAge15+'19_Расчет_аналитики'!BJ4608*SUMIF(ThresholdAge15,"&lt;"&amp;'19_Расчет_аналитики'!BJ4608,WeightedRevAge15)-SUMIF(ThresholdAge15,"&lt;"&amp;'19_Расчет_аналитики'!BJ4608,WeightedMinAge15),MAX(CapacityAge15*'01_Вводные'!$B$218*'19_Расчет_аналитики'!BJ4608,MeanMinAge15))),0)</f>
        <v/>
      </c>
      <c r="BK4554">
        <f>IF('01_Вводные'!$B$234="Да",IF(OR(('19_Расчет_аналитики'!BK4470-'19_Расчет_аналитики'!BK4498)=0,15&lt;='01_Вводные'!$B$297),0,('19_Расчет_аналитики'!BK4470-'19_Расчет_аналитики'!BK4498)*IF('01_Вводные'!$B$239="Да",MeanMinAge15+'19_Расчет_аналитики'!BK4608*SUMIF(ThresholdAge15,"&lt;"&amp;'19_Расчет_аналитики'!BK4608,WeightedRevAge15)-SUMIF(ThresholdAge15,"&lt;"&amp;'19_Расчет_аналитики'!BK4608,WeightedMinAge15),MAX(CapacityAge15*'01_Вводные'!$B$218*'19_Расчет_аналитики'!BK4608,MeanMinAge15))),0)</f>
        <v/>
      </c>
      <c r="BL4554">
        <f>IF('01_Вводные'!$B$234="Да",IF(OR(('19_Расчет_аналитики'!BL4470-'19_Расчет_аналитики'!BL4498)=0,15&lt;='01_Вводные'!$B$297),0,('19_Расчет_аналитики'!BL4470-'19_Расчет_аналитики'!BL4498)*IF('01_Вводные'!$B$239="Да",MeanMinAge15+'19_Расчет_аналитики'!BL4608*SUMIF(ThresholdAge15,"&lt;"&amp;'19_Расчет_аналитики'!BL4608,WeightedRevAge15)-SUMIF(ThresholdAge15,"&lt;"&amp;'19_Расчет_аналитики'!BL4608,WeightedMinAge15),MAX(CapacityAge15*'01_Вводные'!$B$218*'19_Расчет_аналитики'!BL4608,MeanMinAge15))),0)</f>
        <v/>
      </c>
      <c r="BM4554">
        <f>IF('01_Вводные'!$B$234="Да",IF(OR(('19_Расчет_аналитики'!BM4470-'19_Расчет_аналитики'!BM4498)=0,15&lt;='01_Вводные'!$B$297),0,('19_Расчет_аналитики'!BM4470-'19_Расчет_аналитики'!BM4498)*IF('01_Вводные'!$B$239="Да",MeanMinAge15+'19_Расчет_аналитики'!BM4608*SUMIF(ThresholdAge15,"&lt;"&amp;'19_Расчет_аналитики'!BM4608,WeightedRevAge15)-SUMIF(ThresholdAge15,"&lt;"&amp;'19_Расчет_аналитики'!BM4608,WeightedMinAge15),MAX(CapacityAge15*'01_Вводные'!$B$218*'19_Расчет_аналитики'!BM4608,MeanMinAge15))),0)</f>
        <v/>
      </c>
      <c r="BN4554">
        <f>IF('01_Вводные'!$B$234="Да",IF(OR(('19_Расчет_аналитики'!BN4470-'19_Расчет_аналитики'!BN4498)=0,15&lt;='01_Вводные'!$B$297),0,('19_Расчет_аналитики'!BN4470-'19_Расчет_аналитики'!BN4498)*IF('01_Вводные'!$B$239="Да",MeanMinAge15+'19_Расчет_аналитики'!BN4608*SUMIF(ThresholdAge15,"&lt;"&amp;'19_Расчет_аналитики'!BN4608,WeightedRevAge15)-SUMIF(ThresholdAge15,"&lt;"&amp;'19_Расчет_аналитики'!BN4608,WeightedMinAge15),MAX(CapacityAge15*'01_Вводные'!$B$218*'19_Расчет_аналитики'!BN4608,MeanMinAge15))),0)</f>
        <v/>
      </c>
      <c r="BO4554">
        <f>IF('01_Вводные'!$B$234="Да",IF(OR(('19_Расчет_аналитики'!BO4470-'19_Расчет_аналитики'!BO4498)=0,15&lt;='01_Вводные'!$B$297),0,('19_Расчет_аналитики'!BO4470-'19_Расчет_аналитики'!BO4498)*IF('01_Вводные'!$B$239="Да",MeanMinAge15+'19_Расчет_аналитики'!BO4608*SUMIF(ThresholdAge15,"&lt;"&amp;'19_Расчет_аналитики'!BO4608,WeightedRevAge15)-SUMIF(ThresholdAge15,"&lt;"&amp;'19_Расчет_аналитики'!BO4608,WeightedMinAge15),MAX(CapacityAge15*'01_Вводные'!$B$218*'19_Расчет_аналитики'!BO4608,MeanMinAge15))),0)</f>
        <v/>
      </c>
    </row>
    <row r="4555">
      <c r="B4555">
        <f>IF('01_Вводные'!$B$234="Да",IF(OR(('06_Сеть_и_дети'!B68-'06_Сеть_и_дети'!B96)=0,16&lt;='01_Вводные'!$B$297),0,('06_Сеть_и_дети'!B68-'06_Сеть_и_дети'!B96)*IF('01_Вводные'!$B$239="Да",MeanMinAge16+'19_Расчет_аналитики'!B4608*SUMIF(ThresholdAge16,"&lt;"&amp;'19_Расчет_аналитики'!B4608,WeightedRevAge16)-SUMIF(ThresholdAge16,"&lt;"&amp;'19_Расчет_аналитики'!B4608,WeightedMinAge16),MAX(CapacityAge16*'01_Вводные'!$B$218*'19_Расчет_аналитики'!B4608,MeanMinAge16))),0)</f>
        <v/>
      </c>
      <c r="C4555">
        <f>IF('01_Вводные'!$B$234="Да",IF(OR(('06_Сеть_и_дети'!C68-'06_Сеть_и_дети'!C96)=0,16&lt;='01_Вводные'!$B$297),0,('06_Сеть_и_дети'!C68-'06_Сеть_и_дети'!C96)*IF('01_Вводные'!$B$239="Да",MeanMinAge16+'19_Расчет_аналитики'!C4608*SUMIF(ThresholdAge16,"&lt;"&amp;'19_Расчет_аналитики'!C4608,WeightedRevAge16)-SUMIF(ThresholdAge16,"&lt;"&amp;'19_Расчет_аналитики'!C4608,WeightedMinAge16),MAX(CapacityAge16*'01_Вводные'!$B$218*'19_Расчет_аналитики'!C4608,MeanMinAge16))),0)</f>
        <v/>
      </c>
      <c r="D4555">
        <f>IF('01_Вводные'!$B$234="Да",IF(OR(('06_Сеть_и_дети'!D68-'06_Сеть_и_дети'!D96)=0,16&lt;='01_Вводные'!$B$297),0,('06_Сеть_и_дети'!D68-'06_Сеть_и_дети'!D96)*IF('01_Вводные'!$B$239="Да",MeanMinAge16+'19_Расчет_аналитики'!D4608*SUMIF(ThresholdAge16,"&lt;"&amp;'19_Расчет_аналитики'!D4608,WeightedRevAge16)-SUMIF(ThresholdAge16,"&lt;"&amp;'19_Расчет_аналитики'!D4608,WeightedMinAge16),MAX(CapacityAge16*'01_Вводные'!$B$218*'19_Расчет_аналитики'!D4608,MeanMinAge16))),0)</f>
        <v/>
      </c>
      <c r="E4555">
        <f>IF('01_Вводные'!$B$234="Да",IF(OR(('06_Сеть_и_дети'!E68-'06_Сеть_и_дети'!E96)=0,16&lt;='01_Вводные'!$B$297),0,('06_Сеть_и_дети'!E68-'06_Сеть_и_дети'!E96)*IF('01_Вводные'!$B$239="Да",MeanMinAge16+'19_Расчет_аналитики'!E4608*SUMIF(ThresholdAge16,"&lt;"&amp;'19_Расчет_аналитики'!E4608,WeightedRevAge16)-SUMIF(ThresholdAge16,"&lt;"&amp;'19_Расчет_аналитики'!E4608,WeightedMinAge16),MAX(CapacityAge16*'01_Вводные'!$B$218*'19_Расчет_аналитики'!E4608,MeanMinAge16))),0)</f>
        <v/>
      </c>
      <c r="F4555">
        <f>IF('01_Вводные'!$B$234="Да",IF(OR(('06_Сеть_и_дети'!F68-'06_Сеть_и_дети'!F96)=0,16&lt;='01_Вводные'!$B$297),0,('06_Сеть_и_дети'!F68-'06_Сеть_и_дети'!F96)*IF('01_Вводные'!$B$239="Да",MeanMinAge16+'19_Расчет_аналитики'!F4608*SUMIF(ThresholdAge16,"&lt;"&amp;'19_Расчет_аналитики'!F4608,WeightedRevAge16)-SUMIF(ThresholdAge16,"&lt;"&amp;'19_Расчет_аналитики'!F4608,WeightedMinAge16),MAX(CapacityAge16*'01_Вводные'!$B$218*'19_Расчет_аналитики'!F4608,MeanMinAge16))),0)</f>
        <v/>
      </c>
      <c r="G4555">
        <f>IF('01_Вводные'!$B$234="Да",IF(OR(('06_Сеть_и_дети'!G68-'06_Сеть_и_дети'!G96)=0,16&lt;='01_Вводные'!$B$297),0,('06_Сеть_и_дети'!G68-'06_Сеть_и_дети'!G96)*IF('01_Вводные'!$B$239="Да",MeanMinAge16+'19_Расчет_аналитики'!G4608*SUMIF(ThresholdAge16,"&lt;"&amp;'19_Расчет_аналитики'!G4608,WeightedRevAge16)-SUMIF(ThresholdAge16,"&lt;"&amp;'19_Расчет_аналитики'!G4608,WeightedMinAge16),MAX(CapacityAge16*'01_Вводные'!$B$218*'19_Расчет_аналитики'!G4608,MeanMinAge16))),0)</f>
        <v/>
      </c>
      <c r="H4555">
        <f>IF('01_Вводные'!$B$234="Да",IF(OR(('06_Сеть_и_дети'!H68-'06_Сеть_и_дети'!H96)=0,16&lt;='01_Вводные'!$B$297),0,('06_Сеть_и_дети'!H68-'06_Сеть_и_дети'!H96)*IF('01_Вводные'!$B$239="Да",MeanMinAge16+'19_Расчет_аналитики'!H4608*SUMIF(ThresholdAge16,"&lt;"&amp;'19_Расчет_аналитики'!H4608,WeightedRevAge16)-SUMIF(ThresholdAge16,"&lt;"&amp;'19_Расчет_аналитики'!H4608,WeightedMinAge16),MAX(CapacityAge16*'01_Вводные'!$B$218*'19_Расчет_аналитики'!H4608,MeanMinAge16))),0)</f>
        <v/>
      </c>
      <c r="I4555">
        <f>IF('01_Вводные'!$B$234="Да",IF(OR(('06_Сеть_и_дети'!I68-'06_Сеть_и_дети'!I96)=0,16&lt;='01_Вводные'!$B$297),0,('06_Сеть_и_дети'!I68-'06_Сеть_и_дети'!I96)*IF('01_Вводные'!$B$239="Да",MeanMinAge16+'19_Расчет_аналитики'!I4608*SUMIF(ThresholdAge16,"&lt;"&amp;'19_Расчет_аналитики'!I4608,WeightedRevAge16)-SUMIF(ThresholdAge16,"&lt;"&amp;'19_Расчет_аналитики'!I4608,WeightedMinAge16),MAX(CapacityAge16*'01_Вводные'!$B$218*'19_Расчет_аналитики'!I4608,MeanMinAge16))),0)</f>
        <v/>
      </c>
      <c r="J4555">
        <f>IF('01_Вводные'!$B$234="Да",IF(OR(('06_Сеть_и_дети'!J68-'06_Сеть_и_дети'!J96)=0,16&lt;='01_Вводные'!$B$297),0,('06_Сеть_и_дети'!J68-'06_Сеть_и_дети'!J96)*IF('01_Вводные'!$B$239="Да",MeanMinAge16+'19_Расчет_аналитики'!J4608*SUMIF(ThresholdAge16,"&lt;"&amp;'19_Расчет_аналитики'!J4608,WeightedRevAge16)-SUMIF(ThresholdAge16,"&lt;"&amp;'19_Расчет_аналитики'!J4608,WeightedMinAge16),MAX(CapacityAge16*'01_Вводные'!$B$218*'19_Расчет_аналитики'!J4608,MeanMinAge16))),0)</f>
        <v/>
      </c>
      <c r="K4555">
        <f>IF('01_Вводные'!$B$234="Да",IF(OR(('06_Сеть_и_дети'!K68-'06_Сеть_и_дети'!K96)=0,16&lt;='01_Вводные'!$B$297),0,('06_Сеть_и_дети'!K68-'06_Сеть_и_дети'!K96)*IF('01_Вводные'!$B$239="Да",MeanMinAge16+'19_Расчет_аналитики'!K4608*SUMIF(ThresholdAge16,"&lt;"&amp;'19_Расчет_аналитики'!K4608,WeightedRevAge16)-SUMIF(ThresholdAge16,"&lt;"&amp;'19_Расчет_аналитики'!K4608,WeightedMinAge16),MAX(CapacityAge16*'01_Вводные'!$B$218*'19_Расчет_аналитики'!K4608,MeanMinAge16))),0)</f>
        <v/>
      </c>
      <c r="L4555">
        <f>IF('01_Вводные'!$B$234="Да",IF(OR(('06_Сеть_и_дети'!L68-'06_Сеть_и_дети'!L96)=0,16&lt;='01_Вводные'!$B$297),0,('06_Сеть_и_дети'!L68-'06_Сеть_и_дети'!L96)*IF('01_Вводные'!$B$239="Да",MeanMinAge16+'19_Расчет_аналитики'!L4608*SUMIF(ThresholdAge16,"&lt;"&amp;'19_Расчет_аналитики'!L4608,WeightedRevAge16)-SUMIF(ThresholdAge16,"&lt;"&amp;'19_Расчет_аналитики'!L4608,WeightedMinAge16),MAX(CapacityAge16*'01_Вводные'!$B$218*'19_Расчет_аналитики'!L4608,MeanMinAge16))),0)</f>
        <v/>
      </c>
      <c r="M4555">
        <f>IF('01_Вводные'!$B$234="Да",IF(OR(('06_Сеть_и_дети'!M68-'06_Сеть_и_дети'!M96)=0,16&lt;='01_Вводные'!$B$297),0,('06_Сеть_и_дети'!M68-'06_Сеть_и_дети'!M96)*IF('01_Вводные'!$B$239="Да",MeanMinAge16+'19_Расчет_аналитики'!M4608*SUMIF(ThresholdAge16,"&lt;"&amp;'19_Расчет_аналитики'!M4608,WeightedRevAge16)-SUMIF(ThresholdAge16,"&lt;"&amp;'19_Расчет_аналитики'!M4608,WeightedMinAge16),MAX(CapacityAge16*'01_Вводные'!$B$218*'19_Расчет_аналитики'!M4608,MeanMinAge16))),0)</f>
        <v/>
      </c>
      <c r="N4555">
        <f>IF('01_Вводные'!$B$234="Да",IF(OR(('06_Сеть_и_дети'!N68-'06_Сеть_и_дети'!N96)=0,16&lt;='01_Вводные'!$B$297),0,('06_Сеть_и_дети'!N68-'06_Сеть_и_дети'!N96)*IF('01_Вводные'!$B$239="Да",MeanMinAge16+'19_Расчет_аналитики'!N4608*SUMIF(ThresholdAge16,"&lt;"&amp;'19_Расчет_аналитики'!N4608,WeightedRevAge16)-SUMIF(ThresholdAge16,"&lt;"&amp;'19_Расчет_аналитики'!N4608,WeightedMinAge16),MAX(CapacityAge16*'01_Вводные'!$B$218*'19_Расчет_аналитики'!N4608,MeanMinAge16))),0)</f>
        <v/>
      </c>
      <c r="O4555">
        <f>IF('01_Вводные'!$B$234="Да",IF(OR(('06_Сеть_и_дети'!O68-'06_Сеть_и_дети'!O96)=0,16&lt;='01_Вводные'!$B$297),0,('06_Сеть_и_дети'!O68-'06_Сеть_и_дети'!O96)*IF('01_Вводные'!$B$239="Да",MeanMinAge16+'19_Расчет_аналитики'!O4608*SUMIF(ThresholdAge16,"&lt;"&amp;'19_Расчет_аналитики'!O4608,WeightedRevAge16)-SUMIF(ThresholdAge16,"&lt;"&amp;'19_Расчет_аналитики'!O4608,WeightedMinAge16),MAX(CapacityAge16*'01_Вводные'!$B$218*'19_Расчет_аналитики'!O4608,MeanMinAge16))),0)</f>
        <v/>
      </c>
      <c r="P4555">
        <f>IF('01_Вводные'!$B$234="Да",IF(OR(('06_Сеть_и_дети'!P68-'06_Сеть_и_дети'!P96)=0,16&lt;='01_Вводные'!$B$297),0,('06_Сеть_и_дети'!P68-'06_Сеть_и_дети'!P96)*IF('01_Вводные'!$B$239="Да",MeanMinAge16+'19_Расчет_аналитики'!P4608*SUMIF(ThresholdAge16,"&lt;"&amp;'19_Расчет_аналитики'!P4608,WeightedRevAge16)-SUMIF(ThresholdAge16,"&lt;"&amp;'19_Расчет_аналитики'!P4608,WeightedMinAge16),MAX(CapacityAge16*'01_Вводные'!$B$218*'19_Расчет_аналитики'!P4608,MeanMinAge16))),0)</f>
        <v/>
      </c>
      <c r="Q4555">
        <f>IF('01_Вводные'!$B$234="Да",IF(OR(('19_Расчет_аналитики'!Q4471-'19_Расчет_аналитики'!Q4499)=0,16&lt;='01_Вводные'!$B$297),0,('19_Расчет_аналитики'!Q4471-'19_Расчет_аналитики'!Q4499)*IF('01_Вводные'!$B$239="Да",MeanMinAge16+'19_Расчет_аналитики'!Q4608*SUMIF(ThresholdAge16,"&lt;"&amp;'19_Расчет_аналитики'!Q4608,WeightedRevAge16)-SUMIF(ThresholdAge16,"&lt;"&amp;'19_Расчет_аналитики'!Q4608,WeightedMinAge16),MAX(CapacityAge16*'01_Вводные'!$B$218*'19_Расчет_аналитики'!Q4608,MeanMinAge16))),0)</f>
        <v/>
      </c>
      <c r="R4555">
        <f>IF('01_Вводные'!$B$234="Да",IF(OR(('19_Расчет_аналитики'!R4471-'19_Расчет_аналитики'!R4499)=0,16&lt;='01_Вводные'!$B$297),0,('19_Расчет_аналитики'!R4471-'19_Расчет_аналитики'!R4499)*IF('01_Вводные'!$B$239="Да",MeanMinAge16+'19_Расчет_аналитики'!R4608*SUMIF(ThresholdAge16,"&lt;"&amp;'19_Расчет_аналитики'!R4608,WeightedRevAge16)-SUMIF(ThresholdAge16,"&lt;"&amp;'19_Расчет_аналитики'!R4608,WeightedMinAge16),MAX(CapacityAge16*'01_Вводные'!$B$218*'19_Расчет_аналитики'!R4608,MeanMinAge16))),0)</f>
        <v/>
      </c>
      <c r="S4555">
        <f>IF('01_Вводные'!$B$234="Да",IF(OR(('19_Расчет_аналитики'!S4471-'19_Расчет_аналитики'!S4499)=0,16&lt;='01_Вводные'!$B$297),0,('19_Расчет_аналитики'!S4471-'19_Расчет_аналитики'!S4499)*IF('01_Вводные'!$B$239="Да",MeanMinAge16+'19_Расчет_аналитики'!S4608*SUMIF(ThresholdAge16,"&lt;"&amp;'19_Расчет_аналитики'!S4608,WeightedRevAge16)-SUMIF(ThresholdAge16,"&lt;"&amp;'19_Расчет_аналитики'!S4608,WeightedMinAge16),MAX(CapacityAge16*'01_Вводные'!$B$218*'19_Расчет_аналитики'!S4608,MeanMinAge16))),0)</f>
        <v/>
      </c>
      <c r="T4555">
        <f>IF('01_Вводные'!$B$234="Да",IF(OR(('19_Расчет_аналитики'!T4471-'19_Расчет_аналитики'!T4499)=0,16&lt;='01_Вводные'!$B$297),0,('19_Расчет_аналитики'!T4471-'19_Расчет_аналитики'!T4499)*IF('01_Вводные'!$B$239="Да",MeanMinAge16+'19_Расчет_аналитики'!T4608*SUMIF(ThresholdAge16,"&lt;"&amp;'19_Расчет_аналитики'!T4608,WeightedRevAge16)-SUMIF(ThresholdAge16,"&lt;"&amp;'19_Расчет_аналитики'!T4608,WeightedMinAge16),MAX(CapacityAge16*'01_Вводные'!$B$218*'19_Расчет_аналитики'!T4608,MeanMinAge16))),0)</f>
        <v/>
      </c>
      <c r="U4555">
        <f>IF('01_Вводные'!$B$234="Да",IF(OR(('19_Расчет_аналитики'!U4471-'19_Расчет_аналитики'!U4499)=0,16&lt;='01_Вводные'!$B$297),0,('19_Расчет_аналитики'!U4471-'19_Расчет_аналитики'!U4499)*IF('01_Вводные'!$B$239="Да",MeanMinAge16+'19_Расчет_аналитики'!U4608*SUMIF(ThresholdAge16,"&lt;"&amp;'19_Расчет_аналитики'!U4608,WeightedRevAge16)-SUMIF(ThresholdAge16,"&lt;"&amp;'19_Расчет_аналитики'!U4608,WeightedMinAge16),MAX(CapacityAge16*'01_Вводные'!$B$218*'19_Расчет_аналитики'!U4608,MeanMinAge16))),0)</f>
        <v/>
      </c>
      <c r="V4555">
        <f>IF('01_Вводные'!$B$234="Да",IF(OR(('19_Расчет_аналитики'!V4471-'19_Расчет_аналитики'!V4499)=0,16&lt;='01_Вводные'!$B$297),0,('19_Расчет_аналитики'!V4471-'19_Расчет_аналитики'!V4499)*IF('01_Вводные'!$B$239="Да",MeanMinAge16+'19_Расчет_аналитики'!V4608*SUMIF(ThresholdAge16,"&lt;"&amp;'19_Расчет_аналитики'!V4608,WeightedRevAge16)-SUMIF(ThresholdAge16,"&lt;"&amp;'19_Расчет_аналитики'!V4608,WeightedMinAge16),MAX(CapacityAge16*'01_Вводные'!$B$218*'19_Расчет_аналитики'!V4608,MeanMinAge16))),0)</f>
        <v/>
      </c>
      <c r="W4555">
        <f>IF('01_Вводные'!$B$234="Да",IF(OR(('19_Расчет_аналитики'!W4471-'19_Расчет_аналитики'!W4499)=0,16&lt;='01_Вводные'!$B$297),0,('19_Расчет_аналитики'!W4471-'19_Расчет_аналитики'!W4499)*IF('01_Вводные'!$B$239="Да",MeanMinAge16+'19_Расчет_аналитики'!W4608*SUMIF(ThresholdAge16,"&lt;"&amp;'19_Расчет_аналитики'!W4608,WeightedRevAge16)-SUMIF(ThresholdAge16,"&lt;"&amp;'19_Расчет_аналитики'!W4608,WeightedMinAge16),MAX(CapacityAge16*'01_Вводные'!$B$218*'19_Расчет_аналитики'!W4608,MeanMinAge16))),0)</f>
        <v/>
      </c>
      <c r="X4555">
        <f>IF('01_Вводные'!$B$234="Да",IF(OR(('19_Расчет_аналитики'!X4471-'19_Расчет_аналитики'!X4499)=0,16&lt;='01_Вводные'!$B$297),0,('19_Расчет_аналитики'!X4471-'19_Расчет_аналитики'!X4499)*IF('01_Вводные'!$B$239="Да",MeanMinAge16+'19_Расчет_аналитики'!X4608*SUMIF(ThresholdAge16,"&lt;"&amp;'19_Расчет_аналитики'!X4608,WeightedRevAge16)-SUMIF(ThresholdAge16,"&lt;"&amp;'19_Расчет_аналитики'!X4608,WeightedMinAge16),MAX(CapacityAge16*'01_Вводные'!$B$218*'19_Расчет_аналитики'!X4608,MeanMinAge16))),0)</f>
        <v/>
      </c>
      <c r="Y4555">
        <f>IF('01_Вводные'!$B$234="Да",IF(OR(('19_Расчет_аналитики'!Y4471-'19_Расчет_аналитики'!Y4499)=0,16&lt;='01_Вводные'!$B$297),0,('19_Расчет_аналитики'!Y4471-'19_Расчет_аналитики'!Y4499)*IF('01_Вводные'!$B$239="Да",MeanMinAge16+'19_Расчет_аналитики'!Y4608*SUMIF(ThresholdAge16,"&lt;"&amp;'19_Расчет_аналитики'!Y4608,WeightedRevAge16)-SUMIF(ThresholdAge16,"&lt;"&amp;'19_Расчет_аналитики'!Y4608,WeightedMinAge16),MAX(CapacityAge16*'01_Вводные'!$B$218*'19_Расчет_аналитики'!Y4608,MeanMinAge16))),0)</f>
        <v/>
      </c>
      <c r="Z4555">
        <f>IF('01_Вводные'!$B$234="Да",IF(OR(('19_Расчет_аналитики'!Z4471-'19_Расчет_аналитики'!Z4499)=0,16&lt;='01_Вводные'!$B$297),0,('19_Расчет_аналитики'!Z4471-'19_Расчет_аналитики'!Z4499)*IF('01_Вводные'!$B$239="Да",MeanMinAge16+'19_Расчет_аналитики'!Z4608*SUMIF(ThresholdAge16,"&lt;"&amp;'19_Расчет_аналитики'!Z4608,WeightedRevAge16)-SUMIF(ThresholdAge16,"&lt;"&amp;'19_Расчет_аналитики'!Z4608,WeightedMinAge16),MAX(CapacityAge16*'01_Вводные'!$B$218*'19_Расчет_аналитики'!Z4608,MeanMinAge16))),0)</f>
        <v/>
      </c>
      <c r="AA4555">
        <f>IF('01_Вводные'!$B$234="Да",IF(OR(('19_Расчет_аналитики'!AA4471-'19_Расчет_аналитики'!AA4499)=0,16&lt;='01_Вводные'!$B$297),0,('19_Расчет_аналитики'!AA4471-'19_Расчет_аналитики'!AA4499)*IF('01_Вводные'!$B$239="Да",MeanMinAge16+'19_Расчет_аналитики'!AA4608*SUMIF(ThresholdAge16,"&lt;"&amp;'19_Расчет_аналитики'!AA4608,WeightedRevAge16)-SUMIF(ThresholdAge16,"&lt;"&amp;'19_Расчет_аналитики'!AA4608,WeightedMinAge16),MAX(CapacityAge16*'01_Вводные'!$B$218*'19_Расчет_аналитики'!AA4608,MeanMinAge16))),0)</f>
        <v/>
      </c>
      <c r="AB4555">
        <f>IF('01_Вводные'!$B$234="Да",IF(OR(('19_Расчет_аналитики'!AB4471-'19_Расчет_аналитики'!AB4499)=0,16&lt;='01_Вводные'!$B$297),0,('19_Расчет_аналитики'!AB4471-'19_Расчет_аналитики'!AB4499)*IF('01_Вводные'!$B$239="Да",MeanMinAge16+'19_Расчет_аналитики'!AB4608*SUMIF(ThresholdAge16,"&lt;"&amp;'19_Расчет_аналитики'!AB4608,WeightedRevAge16)-SUMIF(ThresholdAge16,"&lt;"&amp;'19_Расчет_аналитики'!AB4608,WeightedMinAge16),MAX(CapacityAge16*'01_Вводные'!$B$218*'19_Расчет_аналитики'!AB4608,MeanMinAge16))),0)</f>
        <v/>
      </c>
      <c r="AC4555">
        <f>IF('01_Вводные'!$B$234="Да",IF(OR(('19_Расчет_аналитики'!AC4471-'19_Расчет_аналитики'!AC4499)=0,16&lt;='01_Вводные'!$B$297),0,('19_Расчет_аналитики'!AC4471-'19_Расчет_аналитики'!AC4499)*IF('01_Вводные'!$B$239="Да",MeanMinAge16+'19_Расчет_аналитики'!AC4608*SUMIF(ThresholdAge16,"&lt;"&amp;'19_Расчет_аналитики'!AC4608,WeightedRevAge16)-SUMIF(ThresholdAge16,"&lt;"&amp;'19_Расчет_аналитики'!AC4608,WeightedMinAge16),MAX(CapacityAge16*'01_Вводные'!$B$218*'19_Расчет_аналитики'!AC4608,MeanMinAge16))),0)</f>
        <v/>
      </c>
      <c r="AD4555">
        <f>IF('01_Вводные'!$B$234="Да",IF(OR(('19_Расчет_аналитики'!AD4471-'19_Расчет_аналитики'!AD4499)=0,16&lt;='01_Вводные'!$B$297),0,('19_Расчет_аналитики'!AD4471-'19_Расчет_аналитики'!AD4499)*IF('01_Вводные'!$B$239="Да",MeanMinAge16+'19_Расчет_аналитики'!AD4608*SUMIF(ThresholdAge16,"&lt;"&amp;'19_Расчет_аналитики'!AD4608,WeightedRevAge16)-SUMIF(ThresholdAge16,"&lt;"&amp;'19_Расчет_аналитики'!AD4608,WeightedMinAge16),MAX(CapacityAge16*'01_Вводные'!$B$218*'19_Расчет_аналитики'!AD4608,MeanMinAge16))),0)</f>
        <v/>
      </c>
      <c r="AE4555">
        <f>IF('01_Вводные'!$B$234="Да",IF(OR(('19_Расчет_аналитики'!AE4471-'19_Расчет_аналитики'!AE4499)=0,16&lt;='01_Вводные'!$B$297),0,('19_Расчет_аналитики'!AE4471-'19_Расчет_аналитики'!AE4499)*IF('01_Вводные'!$B$239="Да",MeanMinAge16+'19_Расчет_аналитики'!AE4608*SUMIF(ThresholdAge16,"&lt;"&amp;'19_Расчет_аналитики'!AE4608,WeightedRevAge16)-SUMIF(ThresholdAge16,"&lt;"&amp;'19_Расчет_аналитики'!AE4608,WeightedMinAge16),MAX(CapacityAge16*'01_Вводные'!$B$218*'19_Расчет_аналитики'!AE4608,MeanMinAge16))),0)</f>
        <v/>
      </c>
      <c r="AF4555">
        <f>IF('01_Вводные'!$B$234="Да",IF(OR(('19_Расчет_аналитики'!AF4471-'19_Расчет_аналитики'!AF4499)=0,16&lt;='01_Вводные'!$B$297),0,('19_Расчет_аналитики'!AF4471-'19_Расчет_аналитики'!AF4499)*IF('01_Вводные'!$B$239="Да",MeanMinAge16+'19_Расчет_аналитики'!AF4608*SUMIF(ThresholdAge16,"&lt;"&amp;'19_Расчет_аналитики'!AF4608,WeightedRevAge16)-SUMIF(ThresholdAge16,"&lt;"&amp;'19_Расчет_аналитики'!AF4608,WeightedMinAge16),MAX(CapacityAge16*'01_Вводные'!$B$218*'19_Расчет_аналитики'!AF4608,MeanMinAge16))),0)</f>
        <v/>
      </c>
      <c r="AG4555">
        <f>IF('01_Вводные'!$B$234="Да",IF(OR(('19_Расчет_аналитики'!AG4471-'19_Расчет_аналитики'!AG4499)=0,16&lt;='01_Вводные'!$B$297),0,('19_Расчет_аналитики'!AG4471-'19_Расчет_аналитики'!AG4499)*IF('01_Вводные'!$B$239="Да",MeanMinAge16+'19_Расчет_аналитики'!AG4608*SUMIF(ThresholdAge16,"&lt;"&amp;'19_Расчет_аналитики'!AG4608,WeightedRevAge16)-SUMIF(ThresholdAge16,"&lt;"&amp;'19_Расчет_аналитики'!AG4608,WeightedMinAge16),MAX(CapacityAge16*'01_Вводные'!$B$218*'19_Расчет_аналитики'!AG4608,MeanMinAge16))),0)</f>
        <v/>
      </c>
      <c r="AH4555">
        <f>IF('01_Вводные'!$B$234="Да",IF(OR(('19_Расчет_аналитики'!AH4471-'19_Расчет_аналитики'!AH4499)=0,16&lt;='01_Вводные'!$B$297),0,('19_Расчет_аналитики'!AH4471-'19_Расчет_аналитики'!AH4499)*IF('01_Вводные'!$B$239="Да",MeanMinAge16+'19_Расчет_аналитики'!AH4608*SUMIF(ThresholdAge16,"&lt;"&amp;'19_Расчет_аналитики'!AH4608,WeightedRevAge16)-SUMIF(ThresholdAge16,"&lt;"&amp;'19_Расчет_аналитики'!AH4608,WeightedMinAge16),MAX(CapacityAge16*'01_Вводные'!$B$218*'19_Расчет_аналитики'!AH4608,MeanMinAge16))),0)</f>
        <v/>
      </c>
      <c r="AI4555">
        <f>IF('01_Вводные'!$B$234="Да",IF(OR(('19_Расчет_аналитики'!AI4471-'19_Расчет_аналитики'!AI4499)=0,16&lt;='01_Вводные'!$B$297),0,('19_Расчет_аналитики'!AI4471-'19_Расчет_аналитики'!AI4499)*IF('01_Вводные'!$B$239="Да",MeanMinAge16+'19_Расчет_аналитики'!AI4608*SUMIF(ThresholdAge16,"&lt;"&amp;'19_Расчет_аналитики'!AI4608,WeightedRevAge16)-SUMIF(ThresholdAge16,"&lt;"&amp;'19_Расчет_аналитики'!AI4608,WeightedMinAge16),MAX(CapacityAge16*'01_Вводные'!$B$218*'19_Расчет_аналитики'!AI4608,MeanMinAge16))),0)</f>
        <v/>
      </c>
      <c r="AJ4555">
        <f>IF('01_Вводные'!$B$234="Да",IF(OR(('19_Расчет_аналитики'!AJ4471-'19_Расчет_аналитики'!AJ4499)=0,16&lt;='01_Вводные'!$B$297),0,('19_Расчет_аналитики'!AJ4471-'19_Расчет_аналитики'!AJ4499)*IF('01_Вводные'!$B$239="Да",MeanMinAge16+'19_Расчет_аналитики'!AJ4608*SUMIF(ThresholdAge16,"&lt;"&amp;'19_Расчет_аналитики'!AJ4608,WeightedRevAge16)-SUMIF(ThresholdAge16,"&lt;"&amp;'19_Расчет_аналитики'!AJ4608,WeightedMinAge16),MAX(CapacityAge16*'01_Вводные'!$B$218*'19_Расчет_аналитики'!AJ4608,MeanMinAge16))),0)</f>
        <v/>
      </c>
      <c r="AK4555">
        <f>IF('01_Вводные'!$B$234="Да",IF(OR(('19_Расчет_аналитики'!AK4471-'19_Расчет_аналитики'!AK4499)=0,16&lt;='01_Вводные'!$B$297),0,('19_Расчет_аналитики'!AK4471-'19_Расчет_аналитики'!AK4499)*IF('01_Вводные'!$B$239="Да",MeanMinAge16+'19_Расчет_аналитики'!AK4608*SUMIF(ThresholdAge16,"&lt;"&amp;'19_Расчет_аналитики'!AK4608,WeightedRevAge16)-SUMIF(ThresholdAge16,"&lt;"&amp;'19_Расчет_аналитики'!AK4608,WeightedMinAge16),MAX(CapacityAge16*'01_Вводные'!$B$218*'19_Расчет_аналитики'!AK4608,MeanMinAge16))),0)</f>
        <v/>
      </c>
      <c r="AL4555">
        <f>IF('01_Вводные'!$B$234="Да",IF(OR(('19_Расчет_аналитики'!AL4471-'19_Расчет_аналитики'!AL4499)=0,16&lt;='01_Вводные'!$B$297),0,('19_Расчет_аналитики'!AL4471-'19_Расчет_аналитики'!AL4499)*IF('01_Вводные'!$B$239="Да",MeanMinAge16+'19_Расчет_аналитики'!AL4608*SUMIF(ThresholdAge16,"&lt;"&amp;'19_Расчет_аналитики'!AL4608,WeightedRevAge16)-SUMIF(ThresholdAge16,"&lt;"&amp;'19_Расчет_аналитики'!AL4608,WeightedMinAge16),MAX(CapacityAge16*'01_Вводные'!$B$218*'19_Расчет_аналитики'!AL4608,MeanMinAge16))),0)</f>
        <v/>
      </c>
      <c r="AM4555">
        <f>IF('01_Вводные'!$B$234="Да",IF(OR(('19_Расчет_аналитики'!AM4471-'19_Расчет_аналитики'!AM4499)=0,16&lt;='01_Вводные'!$B$297),0,('19_Расчет_аналитики'!AM4471-'19_Расчет_аналитики'!AM4499)*IF('01_Вводные'!$B$239="Да",MeanMinAge16+'19_Расчет_аналитики'!AM4608*SUMIF(ThresholdAge16,"&lt;"&amp;'19_Расчет_аналитики'!AM4608,WeightedRevAge16)-SUMIF(ThresholdAge16,"&lt;"&amp;'19_Расчет_аналитики'!AM4608,WeightedMinAge16),MAX(CapacityAge16*'01_Вводные'!$B$218*'19_Расчет_аналитики'!AM4608,MeanMinAge16))),0)</f>
        <v/>
      </c>
      <c r="AN4555">
        <f>IF('01_Вводные'!$B$234="Да",IF(OR(('19_Расчет_аналитики'!AN4471-'19_Расчет_аналитики'!AN4499)=0,16&lt;='01_Вводные'!$B$297),0,('19_Расчет_аналитики'!AN4471-'19_Расчет_аналитики'!AN4499)*IF('01_Вводные'!$B$239="Да",MeanMinAge16+'19_Расчет_аналитики'!AN4608*SUMIF(ThresholdAge16,"&lt;"&amp;'19_Расчет_аналитики'!AN4608,WeightedRevAge16)-SUMIF(ThresholdAge16,"&lt;"&amp;'19_Расчет_аналитики'!AN4608,WeightedMinAge16),MAX(CapacityAge16*'01_Вводные'!$B$218*'19_Расчет_аналитики'!AN4608,MeanMinAge16))),0)</f>
        <v/>
      </c>
      <c r="AO4555">
        <f>IF('01_Вводные'!$B$234="Да",IF(OR(('19_Расчет_аналитики'!AO4471-'19_Расчет_аналитики'!AO4499)=0,16&lt;='01_Вводные'!$B$297),0,('19_Расчет_аналитики'!AO4471-'19_Расчет_аналитики'!AO4499)*IF('01_Вводные'!$B$239="Да",MeanMinAge16+'19_Расчет_аналитики'!AO4608*SUMIF(ThresholdAge16,"&lt;"&amp;'19_Расчет_аналитики'!AO4608,WeightedRevAge16)-SUMIF(ThresholdAge16,"&lt;"&amp;'19_Расчет_аналитики'!AO4608,WeightedMinAge16),MAX(CapacityAge16*'01_Вводные'!$B$218*'19_Расчет_аналитики'!AO4608,MeanMinAge16))),0)</f>
        <v/>
      </c>
      <c r="AP4555">
        <f>IF('01_Вводные'!$B$234="Да",IF(OR(('19_Расчет_аналитики'!AP4471-'19_Расчет_аналитики'!AP4499)=0,16&lt;='01_Вводные'!$B$297),0,('19_Расчет_аналитики'!AP4471-'19_Расчет_аналитики'!AP4499)*IF('01_Вводные'!$B$239="Да",MeanMinAge16+'19_Расчет_аналитики'!AP4608*SUMIF(ThresholdAge16,"&lt;"&amp;'19_Расчет_аналитики'!AP4608,WeightedRevAge16)-SUMIF(ThresholdAge16,"&lt;"&amp;'19_Расчет_аналитики'!AP4608,WeightedMinAge16),MAX(CapacityAge16*'01_Вводные'!$B$218*'19_Расчет_аналитики'!AP4608,MeanMinAge16))),0)</f>
        <v/>
      </c>
      <c r="AQ4555">
        <f>IF('01_Вводные'!$B$234="Да",IF(OR(('19_Расчет_аналитики'!AQ4471-'19_Расчет_аналитики'!AQ4499)=0,16&lt;='01_Вводные'!$B$297),0,('19_Расчет_аналитики'!AQ4471-'19_Расчет_аналитики'!AQ4499)*IF('01_Вводные'!$B$239="Да",MeanMinAge16+'19_Расчет_аналитики'!AQ4608*SUMIF(ThresholdAge16,"&lt;"&amp;'19_Расчет_аналитики'!AQ4608,WeightedRevAge16)-SUMIF(ThresholdAge16,"&lt;"&amp;'19_Расчет_аналитики'!AQ4608,WeightedMinAge16),MAX(CapacityAge16*'01_Вводные'!$B$218*'19_Расчет_аналитики'!AQ4608,MeanMinAge16))),0)</f>
        <v/>
      </c>
      <c r="AR4555">
        <f>IF('01_Вводные'!$B$234="Да",IF(OR(('19_Расчет_аналитики'!AR4471-'19_Расчет_аналитики'!AR4499)=0,16&lt;='01_Вводные'!$B$297),0,('19_Расчет_аналитики'!AR4471-'19_Расчет_аналитики'!AR4499)*IF('01_Вводные'!$B$239="Да",MeanMinAge16+'19_Расчет_аналитики'!AR4608*SUMIF(ThresholdAge16,"&lt;"&amp;'19_Расчет_аналитики'!AR4608,WeightedRevAge16)-SUMIF(ThresholdAge16,"&lt;"&amp;'19_Расчет_аналитики'!AR4608,WeightedMinAge16),MAX(CapacityAge16*'01_Вводные'!$B$218*'19_Расчет_аналитики'!AR4608,MeanMinAge16))),0)</f>
        <v/>
      </c>
      <c r="AS4555">
        <f>IF('01_Вводные'!$B$234="Да",IF(OR(('19_Расчет_аналитики'!AS4471-'19_Расчет_аналитики'!AS4499)=0,16&lt;='01_Вводные'!$B$297),0,('19_Расчет_аналитики'!AS4471-'19_Расчет_аналитики'!AS4499)*IF('01_Вводные'!$B$239="Да",MeanMinAge16+'19_Расчет_аналитики'!AS4608*SUMIF(ThresholdAge16,"&lt;"&amp;'19_Расчет_аналитики'!AS4608,WeightedRevAge16)-SUMIF(ThresholdAge16,"&lt;"&amp;'19_Расчет_аналитики'!AS4608,WeightedMinAge16),MAX(CapacityAge16*'01_Вводные'!$B$218*'19_Расчет_аналитики'!AS4608,MeanMinAge16))),0)</f>
        <v/>
      </c>
      <c r="AT4555">
        <f>IF('01_Вводные'!$B$234="Да",IF(OR(('19_Расчет_аналитики'!AT4471-'19_Расчет_аналитики'!AT4499)=0,16&lt;='01_Вводные'!$B$297),0,('19_Расчет_аналитики'!AT4471-'19_Расчет_аналитики'!AT4499)*IF('01_Вводные'!$B$239="Да",MeanMinAge16+'19_Расчет_аналитики'!AT4608*SUMIF(ThresholdAge16,"&lt;"&amp;'19_Расчет_аналитики'!AT4608,WeightedRevAge16)-SUMIF(ThresholdAge16,"&lt;"&amp;'19_Расчет_аналитики'!AT4608,WeightedMinAge16),MAX(CapacityAge16*'01_Вводные'!$B$218*'19_Расчет_аналитики'!AT4608,MeanMinAge16))),0)</f>
        <v/>
      </c>
      <c r="AU4555">
        <f>IF('01_Вводные'!$B$234="Да",IF(OR(('19_Расчет_аналитики'!AU4471-'19_Расчет_аналитики'!AU4499)=0,16&lt;='01_Вводные'!$B$297),0,('19_Расчет_аналитики'!AU4471-'19_Расчет_аналитики'!AU4499)*IF('01_Вводные'!$B$239="Да",MeanMinAge16+'19_Расчет_аналитики'!AU4608*SUMIF(ThresholdAge16,"&lt;"&amp;'19_Расчет_аналитики'!AU4608,WeightedRevAge16)-SUMIF(ThresholdAge16,"&lt;"&amp;'19_Расчет_аналитики'!AU4608,WeightedMinAge16),MAX(CapacityAge16*'01_Вводные'!$B$218*'19_Расчет_аналитики'!AU4608,MeanMinAge16))),0)</f>
        <v/>
      </c>
      <c r="AV4555">
        <f>IF('01_Вводные'!$B$234="Да",IF(OR(('19_Расчет_аналитики'!AV4471-'19_Расчет_аналитики'!AV4499)=0,16&lt;='01_Вводные'!$B$297),0,('19_Расчет_аналитики'!AV4471-'19_Расчет_аналитики'!AV4499)*IF('01_Вводные'!$B$239="Да",MeanMinAge16+'19_Расчет_аналитики'!AV4608*SUMIF(ThresholdAge16,"&lt;"&amp;'19_Расчет_аналитики'!AV4608,WeightedRevAge16)-SUMIF(ThresholdAge16,"&lt;"&amp;'19_Расчет_аналитики'!AV4608,WeightedMinAge16),MAX(CapacityAge16*'01_Вводные'!$B$218*'19_Расчет_аналитики'!AV4608,MeanMinAge16))),0)</f>
        <v/>
      </c>
      <c r="AW4555">
        <f>IF('01_Вводные'!$B$234="Да",IF(OR(('19_Расчет_аналитики'!AW4471-'19_Расчет_аналитики'!AW4499)=0,16&lt;='01_Вводные'!$B$297),0,('19_Расчет_аналитики'!AW4471-'19_Расчет_аналитики'!AW4499)*IF('01_Вводные'!$B$239="Да",MeanMinAge16+'19_Расчет_аналитики'!AW4608*SUMIF(ThresholdAge16,"&lt;"&amp;'19_Расчет_аналитики'!AW4608,WeightedRevAge16)-SUMIF(ThresholdAge16,"&lt;"&amp;'19_Расчет_аналитики'!AW4608,WeightedMinAge16),MAX(CapacityAge16*'01_Вводные'!$B$218*'19_Расчет_аналитики'!AW4608,MeanMinAge16))),0)</f>
        <v/>
      </c>
      <c r="AX4555">
        <f>IF('01_Вводные'!$B$234="Да",IF(OR(('19_Расчет_аналитики'!AX4471-'19_Расчет_аналитики'!AX4499)=0,16&lt;='01_Вводные'!$B$297),0,('19_Расчет_аналитики'!AX4471-'19_Расчет_аналитики'!AX4499)*IF('01_Вводные'!$B$239="Да",MeanMinAge16+'19_Расчет_аналитики'!AX4608*SUMIF(ThresholdAge16,"&lt;"&amp;'19_Расчет_аналитики'!AX4608,WeightedRevAge16)-SUMIF(ThresholdAge16,"&lt;"&amp;'19_Расчет_аналитики'!AX4608,WeightedMinAge16),MAX(CapacityAge16*'01_Вводные'!$B$218*'19_Расчет_аналитики'!AX4608,MeanMinAge16))),0)</f>
        <v/>
      </c>
      <c r="AY4555">
        <f>IF('01_Вводные'!$B$234="Да",IF(OR(('19_Расчет_аналитики'!AY4471-'19_Расчет_аналитики'!AY4499)=0,16&lt;='01_Вводные'!$B$297),0,('19_Расчет_аналитики'!AY4471-'19_Расчет_аналитики'!AY4499)*IF('01_Вводные'!$B$239="Да",MeanMinAge16+'19_Расчет_аналитики'!AY4608*SUMIF(ThresholdAge16,"&lt;"&amp;'19_Расчет_аналитики'!AY4608,WeightedRevAge16)-SUMIF(ThresholdAge16,"&lt;"&amp;'19_Расчет_аналитики'!AY4608,WeightedMinAge16),MAX(CapacityAge16*'01_Вводные'!$B$218*'19_Расчет_аналитики'!AY4608,MeanMinAge16))),0)</f>
        <v/>
      </c>
      <c r="AZ4555">
        <f>IF('01_Вводные'!$B$234="Да",IF(OR(('19_Расчет_аналитики'!AZ4471-'19_Расчет_аналитики'!AZ4499)=0,16&lt;='01_Вводные'!$B$297),0,('19_Расчет_аналитики'!AZ4471-'19_Расчет_аналитики'!AZ4499)*IF('01_Вводные'!$B$239="Да",MeanMinAge16+'19_Расчет_аналитики'!AZ4608*SUMIF(ThresholdAge16,"&lt;"&amp;'19_Расчет_аналитики'!AZ4608,WeightedRevAge16)-SUMIF(ThresholdAge16,"&lt;"&amp;'19_Расчет_аналитики'!AZ4608,WeightedMinAge16),MAX(CapacityAge16*'01_Вводные'!$B$218*'19_Расчет_аналитики'!AZ4608,MeanMinAge16))),0)</f>
        <v/>
      </c>
      <c r="BA4555">
        <f>IF('01_Вводные'!$B$234="Да",IF(OR(('19_Расчет_аналитики'!BA4471-'19_Расчет_аналитики'!BA4499)=0,16&lt;='01_Вводные'!$B$297),0,('19_Расчет_аналитики'!BA4471-'19_Расчет_аналитики'!BA4499)*IF('01_Вводные'!$B$239="Да",MeanMinAge16+'19_Расчет_аналитики'!BA4608*SUMIF(ThresholdAge16,"&lt;"&amp;'19_Расчет_аналитики'!BA4608,WeightedRevAge16)-SUMIF(ThresholdAge16,"&lt;"&amp;'19_Расчет_аналитики'!BA4608,WeightedMinAge16),MAX(CapacityAge16*'01_Вводные'!$B$218*'19_Расчет_аналитики'!BA4608,MeanMinAge16))),0)</f>
        <v/>
      </c>
      <c r="BB4555">
        <f>IF('01_Вводные'!$B$234="Да",IF(OR(('19_Расчет_аналитики'!BB4471-'19_Расчет_аналитики'!BB4499)=0,16&lt;='01_Вводные'!$B$297),0,('19_Расчет_аналитики'!BB4471-'19_Расчет_аналитики'!BB4499)*IF('01_Вводные'!$B$239="Да",MeanMinAge16+'19_Расчет_аналитики'!BB4608*SUMIF(ThresholdAge16,"&lt;"&amp;'19_Расчет_аналитики'!BB4608,WeightedRevAge16)-SUMIF(ThresholdAge16,"&lt;"&amp;'19_Расчет_аналитики'!BB4608,WeightedMinAge16),MAX(CapacityAge16*'01_Вводные'!$B$218*'19_Расчет_аналитики'!BB4608,MeanMinAge16))),0)</f>
        <v/>
      </c>
      <c r="BC4555">
        <f>IF('01_Вводные'!$B$234="Да",IF(OR(('19_Расчет_аналитики'!BC4471-'19_Расчет_аналитики'!BC4499)=0,16&lt;='01_Вводные'!$B$297),0,('19_Расчет_аналитики'!BC4471-'19_Расчет_аналитики'!BC4499)*IF('01_Вводные'!$B$239="Да",MeanMinAge16+'19_Расчет_аналитики'!BC4608*SUMIF(ThresholdAge16,"&lt;"&amp;'19_Расчет_аналитики'!BC4608,WeightedRevAge16)-SUMIF(ThresholdAge16,"&lt;"&amp;'19_Расчет_аналитики'!BC4608,WeightedMinAge16),MAX(CapacityAge16*'01_Вводные'!$B$218*'19_Расчет_аналитики'!BC4608,MeanMinAge16))),0)</f>
        <v/>
      </c>
      <c r="BD4555">
        <f>IF('01_Вводные'!$B$234="Да",IF(OR(('19_Расчет_аналитики'!BD4471-'19_Расчет_аналитики'!BD4499)=0,16&lt;='01_Вводные'!$B$297),0,('19_Расчет_аналитики'!BD4471-'19_Расчет_аналитики'!BD4499)*IF('01_Вводные'!$B$239="Да",MeanMinAge16+'19_Расчет_аналитики'!BD4608*SUMIF(ThresholdAge16,"&lt;"&amp;'19_Расчет_аналитики'!BD4608,WeightedRevAge16)-SUMIF(ThresholdAge16,"&lt;"&amp;'19_Расчет_аналитики'!BD4608,WeightedMinAge16),MAX(CapacityAge16*'01_Вводные'!$B$218*'19_Расчет_аналитики'!BD4608,MeanMinAge16))),0)</f>
        <v/>
      </c>
      <c r="BE4555">
        <f>IF('01_Вводные'!$B$234="Да",IF(OR(('19_Расчет_аналитики'!BE4471-'19_Расчет_аналитики'!BE4499)=0,16&lt;='01_Вводные'!$B$297),0,('19_Расчет_аналитики'!BE4471-'19_Расчет_аналитики'!BE4499)*IF('01_Вводные'!$B$239="Да",MeanMinAge16+'19_Расчет_аналитики'!BE4608*SUMIF(ThresholdAge16,"&lt;"&amp;'19_Расчет_аналитики'!BE4608,WeightedRevAge16)-SUMIF(ThresholdAge16,"&lt;"&amp;'19_Расчет_аналитики'!BE4608,WeightedMinAge16),MAX(CapacityAge16*'01_Вводные'!$B$218*'19_Расчет_аналитики'!BE4608,MeanMinAge16))),0)</f>
        <v/>
      </c>
      <c r="BF4555">
        <f>IF('01_Вводные'!$B$234="Да",IF(OR(('19_Расчет_аналитики'!BF4471-'19_Расчет_аналитики'!BF4499)=0,16&lt;='01_Вводные'!$B$297),0,('19_Расчет_аналитики'!BF4471-'19_Расчет_аналитики'!BF4499)*IF('01_Вводные'!$B$239="Да",MeanMinAge16+'19_Расчет_аналитики'!BF4608*SUMIF(ThresholdAge16,"&lt;"&amp;'19_Расчет_аналитики'!BF4608,WeightedRevAge16)-SUMIF(ThresholdAge16,"&lt;"&amp;'19_Расчет_аналитики'!BF4608,WeightedMinAge16),MAX(CapacityAge16*'01_Вводные'!$B$218*'19_Расчет_аналитики'!BF4608,MeanMinAge16))),0)</f>
        <v/>
      </c>
      <c r="BG4555">
        <f>IF('01_Вводные'!$B$234="Да",IF(OR(('19_Расчет_аналитики'!BG4471-'19_Расчет_аналитики'!BG4499)=0,16&lt;='01_Вводные'!$B$297),0,('19_Расчет_аналитики'!BG4471-'19_Расчет_аналитики'!BG4499)*IF('01_Вводные'!$B$239="Да",MeanMinAge16+'19_Расчет_аналитики'!BG4608*SUMIF(ThresholdAge16,"&lt;"&amp;'19_Расчет_аналитики'!BG4608,WeightedRevAge16)-SUMIF(ThresholdAge16,"&lt;"&amp;'19_Расчет_аналитики'!BG4608,WeightedMinAge16),MAX(CapacityAge16*'01_Вводные'!$B$218*'19_Расчет_аналитики'!BG4608,MeanMinAge16))),0)</f>
        <v/>
      </c>
      <c r="BH4555">
        <f>IF('01_Вводные'!$B$234="Да",IF(OR(('19_Расчет_аналитики'!BH4471-'19_Расчет_аналитики'!BH4499)=0,16&lt;='01_Вводные'!$B$297),0,('19_Расчет_аналитики'!BH4471-'19_Расчет_аналитики'!BH4499)*IF('01_Вводные'!$B$239="Да",MeanMinAge16+'19_Расчет_аналитики'!BH4608*SUMIF(ThresholdAge16,"&lt;"&amp;'19_Расчет_аналитики'!BH4608,WeightedRevAge16)-SUMIF(ThresholdAge16,"&lt;"&amp;'19_Расчет_аналитики'!BH4608,WeightedMinAge16),MAX(CapacityAge16*'01_Вводные'!$B$218*'19_Расчет_аналитики'!BH4608,MeanMinAge16))),0)</f>
        <v/>
      </c>
      <c r="BI4555">
        <f>IF('01_Вводные'!$B$234="Да",IF(OR(('19_Расчет_аналитики'!BI4471-'19_Расчет_аналитики'!BI4499)=0,16&lt;='01_Вводные'!$B$297),0,('19_Расчет_аналитики'!BI4471-'19_Расчет_аналитики'!BI4499)*IF('01_Вводные'!$B$239="Да",MeanMinAge16+'19_Расчет_аналитики'!BI4608*SUMIF(ThresholdAge16,"&lt;"&amp;'19_Расчет_аналитики'!BI4608,WeightedRevAge16)-SUMIF(ThresholdAge16,"&lt;"&amp;'19_Расчет_аналитики'!BI4608,WeightedMinAge16),MAX(CapacityAge16*'01_Вводные'!$B$218*'19_Расчет_аналитики'!BI4608,MeanMinAge16))),0)</f>
        <v/>
      </c>
      <c r="BJ4555">
        <f>IF('01_Вводные'!$B$234="Да",IF(OR(('19_Расчет_аналитики'!BJ4471-'19_Расчет_аналитики'!BJ4499)=0,16&lt;='01_Вводные'!$B$297),0,('19_Расчет_аналитики'!BJ4471-'19_Расчет_аналитики'!BJ4499)*IF('01_Вводные'!$B$239="Да",MeanMinAge16+'19_Расчет_аналитики'!BJ4608*SUMIF(ThresholdAge16,"&lt;"&amp;'19_Расчет_аналитики'!BJ4608,WeightedRevAge16)-SUMIF(ThresholdAge16,"&lt;"&amp;'19_Расчет_аналитики'!BJ4608,WeightedMinAge16),MAX(CapacityAge16*'01_Вводные'!$B$218*'19_Расчет_аналитики'!BJ4608,MeanMinAge16))),0)</f>
        <v/>
      </c>
      <c r="BK4555">
        <f>IF('01_Вводные'!$B$234="Да",IF(OR(('19_Расчет_аналитики'!BK4471-'19_Расчет_аналитики'!BK4499)=0,16&lt;='01_Вводные'!$B$297),0,('19_Расчет_аналитики'!BK4471-'19_Расчет_аналитики'!BK4499)*IF('01_Вводные'!$B$239="Да",MeanMinAge16+'19_Расчет_аналитики'!BK4608*SUMIF(ThresholdAge16,"&lt;"&amp;'19_Расчет_аналитики'!BK4608,WeightedRevAge16)-SUMIF(ThresholdAge16,"&lt;"&amp;'19_Расчет_аналитики'!BK4608,WeightedMinAge16),MAX(CapacityAge16*'01_Вводные'!$B$218*'19_Расчет_аналитики'!BK4608,MeanMinAge16))),0)</f>
        <v/>
      </c>
      <c r="BL4555">
        <f>IF('01_Вводные'!$B$234="Да",IF(OR(('19_Расчет_аналитики'!BL4471-'19_Расчет_аналитики'!BL4499)=0,16&lt;='01_Вводные'!$B$297),0,('19_Расчет_аналитики'!BL4471-'19_Расчет_аналитики'!BL4499)*IF('01_Вводные'!$B$239="Да",MeanMinAge16+'19_Расчет_аналитики'!BL4608*SUMIF(ThresholdAge16,"&lt;"&amp;'19_Расчет_аналитики'!BL4608,WeightedRevAge16)-SUMIF(ThresholdAge16,"&lt;"&amp;'19_Расчет_аналитики'!BL4608,WeightedMinAge16),MAX(CapacityAge16*'01_Вводные'!$B$218*'19_Расчет_аналитики'!BL4608,MeanMinAge16))),0)</f>
        <v/>
      </c>
      <c r="BM4555">
        <f>IF('01_Вводные'!$B$234="Да",IF(OR(('19_Расчет_аналитики'!BM4471-'19_Расчет_аналитики'!BM4499)=0,16&lt;='01_Вводные'!$B$297),0,('19_Расчет_аналитики'!BM4471-'19_Расчет_аналитики'!BM4499)*IF('01_Вводные'!$B$239="Да",MeanMinAge16+'19_Расчет_аналитики'!BM4608*SUMIF(ThresholdAge16,"&lt;"&amp;'19_Расчет_аналитики'!BM4608,WeightedRevAge16)-SUMIF(ThresholdAge16,"&lt;"&amp;'19_Расчет_аналитики'!BM4608,WeightedMinAge16),MAX(CapacityAge16*'01_Вводные'!$B$218*'19_Расчет_аналитики'!BM4608,MeanMinAge16))),0)</f>
        <v/>
      </c>
      <c r="BN4555">
        <f>IF('01_Вводные'!$B$234="Да",IF(OR(('19_Расчет_аналитики'!BN4471-'19_Расчет_аналитики'!BN4499)=0,16&lt;='01_Вводные'!$B$297),0,('19_Расчет_аналитики'!BN4471-'19_Расчет_аналитики'!BN4499)*IF('01_Вводные'!$B$239="Да",MeanMinAge16+'19_Расчет_аналитики'!BN4608*SUMIF(ThresholdAge16,"&lt;"&amp;'19_Расчет_аналитики'!BN4608,WeightedRevAge16)-SUMIF(ThresholdAge16,"&lt;"&amp;'19_Расчет_аналитики'!BN4608,WeightedMinAge16),MAX(CapacityAge16*'01_Вводные'!$B$218*'19_Расчет_аналитики'!BN4608,MeanMinAge16))),0)</f>
        <v/>
      </c>
      <c r="BO4555">
        <f>IF('01_Вводные'!$B$234="Да",IF(OR(('19_Расчет_аналитики'!BO4471-'19_Расчет_аналитики'!BO4499)=0,16&lt;='01_Вводные'!$B$297),0,('19_Расчет_аналитики'!BO4471-'19_Расчет_аналитики'!BO4499)*IF('01_Вводные'!$B$239="Да",MeanMinAge16+'19_Расчет_аналитики'!BO4608*SUMIF(ThresholdAge16,"&lt;"&amp;'19_Расчет_аналитики'!BO4608,WeightedRevAge16)-SUMIF(ThresholdAge16,"&lt;"&amp;'19_Расчет_аналитики'!BO4608,WeightedMinAge16),MAX(CapacityAge16*'01_Вводные'!$B$218*'19_Расчет_аналитики'!BO4608,MeanMinAge16))),0)</f>
        <v/>
      </c>
    </row>
    <row r="4556">
      <c r="B4556">
        <f>IF('01_Вводные'!$B$234="Да",IF(OR(('06_Сеть_и_дети'!B69-'06_Сеть_и_дети'!B97)=0,17&lt;='01_Вводные'!$B$297),0,('06_Сеть_и_дети'!B69-'06_Сеть_и_дети'!B97)*IF('01_Вводные'!$B$239="Да",MeanMinAge17+'19_Расчет_аналитики'!B4608*SUMIF(ThresholdAge17,"&lt;"&amp;'19_Расчет_аналитики'!B4608,WeightedRevAge17)-SUMIF(ThresholdAge17,"&lt;"&amp;'19_Расчет_аналитики'!B4608,WeightedMinAge17),MAX(CapacityAge17*'01_Вводные'!$B$218*'19_Расчет_аналитики'!B4608,MeanMinAge17))),0)</f>
        <v/>
      </c>
      <c r="C4556">
        <f>IF('01_Вводные'!$B$234="Да",IF(OR(('06_Сеть_и_дети'!C69-'06_Сеть_и_дети'!C97)=0,17&lt;='01_Вводные'!$B$297),0,('06_Сеть_и_дети'!C69-'06_Сеть_и_дети'!C97)*IF('01_Вводные'!$B$239="Да",MeanMinAge17+'19_Расчет_аналитики'!C4608*SUMIF(ThresholdAge17,"&lt;"&amp;'19_Расчет_аналитики'!C4608,WeightedRevAge17)-SUMIF(ThresholdAge17,"&lt;"&amp;'19_Расчет_аналитики'!C4608,WeightedMinAge17),MAX(CapacityAge17*'01_Вводные'!$B$218*'19_Расчет_аналитики'!C4608,MeanMinAge17))),0)</f>
        <v/>
      </c>
      <c r="D4556">
        <f>IF('01_Вводные'!$B$234="Да",IF(OR(('06_Сеть_и_дети'!D69-'06_Сеть_и_дети'!D97)=0,17&lt;='01_Вводные'!$B$297),0,('06_Сеть_и_дети'!D69-'06_Сеть_и_дети'!D97)*IF('01_Вводные'!$B$239="Да",MeanMinAge17+'19_Расчет_аналитики'!D4608*SUMIF(ThresholdAge17,"&lt;"&amp;'19_Расчет_аналитики'!D4608,WeightedRevAge17)-SUMIF(ThresholdAge17,"&lt;"&amp;'19_Расчет_аналитики'!D4608,WeightedMinAge17),MAX(CapacityAge17*'01_Вводные'!$B$218*'19_Расчет_аналитики'!D4608,MeanMinAge17))),0)</f>
        <v/>
      </c>
      <c r="E4556">
        <f>IF('01_Вводные'!$B$234="Да",IF(OR(('06_Сеть_и_дети'!E69-'06_Сеть_и_дети'!E97)=0,17&lt;='01_Вводные'!$B$297),0,('06_Сеть_и_дети'!E69-'06_Сеть_и_дети'!E97)*IF('01_Вводные'!$B$239="Да",MeanMinAge17+'19_Расчет_аналитики'!E4608*SUMIF(ThresholdAge17,"&lt;"&amp;'19_Расчет_аналитики'!E4608,WeightedRevAge17)-SUMIF(ThresholdAge17,"&lt;"&amp;'19_Расчет_аналитики'!E4608,WeightedMinAge17),MAX(CapacityAge17*'01_Вводные'!$B$218*'19_Расчет_аналитики'!E4608,MeanMinAge17))),0)</f>
        <v/>
      </c>
      <c r="F4556">
        <f>IF('01_Вводные'!$B$234="Да",IF(OR(('06_Сеть_и_дети'!F69-'06_Сеть_и_дети'!F97)=0,17&lt;='01_Вводные'!$B$297),0,('06_Сеть_и_дети'!F69-'06_Сеть_и_дети'!F97)*IF('01_Вводные'!$B$239="Да",MeanMinAge17+'19_Расчет_аналитики'!F4608*SUMIF(ThresholdAge17,"&lt;"&amp;'19_Расчет_аналитики'!F4608,WeightedRevAge17)-SUMIF(ThresholdAge17,"&lt;"&amp;'19_Расчет_аналитики'!F4608,WeightedMinAge17),MAX(CapacityAge17*'01_Вводные'!$B$218*'19_Расчет_аналитики'!F4608,MeanMinAge17))),0)</f>
        <v/>
      </c>
      <c r="G4556">
        <f>IF('01_Вводные'!$B$234="Да",IF(OR(('06_Сеть_и_дети'!G69-'06_Сеть_и_дети'!G97)=0,17&lt;='01_Вводные'!$B$297),0,('06_Сеть_и_дети'!G69-'06_Сеть_и_дети'!G97)*IF('01_Вводные'!$B$239="Да",MeanMinAge17+'19_Расчет_аналитики'!G4608*SUMIF(ThresholdAge17,"&lt;"&amp;'19_Расчет_аналитики'!G4608,WeightedRevAge17)-SUMIF(ThresholdAge17,"&lt;"&amp;'19_Расчет_аналитики'!G4608,WeightedMinAge17),MAX(CapacityAge17*'01_Вводные'!$B$218*'19_Расчет_аналитики'!G4608,MeanMinAge17))),0)</f>
        <v/>
      </c>
      <c r="H4556">
        <f>IF('01_Вводные'!$B$234="Да",IF(OR(('06_Сеть_и_дети'!H69-'06_Сеть_и_дети'!H97)=0,17&lt;='01_Вводные'!$B$297),0,('06_Сеть_и_дети'!H69-'06_Сеть_и_дети'!H97)*IF('01_Вводные'!$B$239="Да",MeanMinAge17+'19_Расчет_аналитики'!H4608*SUMIF(ThresholdAge17,"&lt;"&amp;'19_Расчет_аналитики'!H4608,WeightedRevAge17)-SUMIF(ThresholdAge17,"&lt;"&amp;'19_Расчет_аналитики'!H4608,WeightedMinAge17),MAX(CapacityAge17*'01_Вводные'!$B$218*'19_Расчет_аналитики'!H4608,MeanMinAge17))),0)</f>
        <v/>
      </c>
      <c r="I4556">
        <f>IF('01_Вводные'!$B$234="Да",IF(OR(('06_Сеть_и_дети'!I69-'06_Сеть_и_дети'!I97)=0,17&lt;='01_Вводные'!$B$297),0,('06_Сеть_и_дети'!I69-'06_Сеть_и_дети'!I97)*IF('01_Вводные'!$B$239="Да",MeanMinAge17+'19_Расчет_аналитики'!I4608*SUMIF(ThresholdAge17,"&lt;"&amp;'19_Расчет_аналитики'!I4608,WeightedRevAge17)-SUMIF(ThresholdAge17,"&lt;"&amp;'19_Расчет_аналитики'!I4608,WeightedMinAge17),MAX(CapacityAge17*'01_Вводные'!$B$218*'19_Расчет_аналитики'!I4608,MeanMinAge17))),0)</f>
        <v/>
      </c>
      <c r="J4556">
        <f>IF('01_Вводные'!$B$234="Да",IF(OR(('06_Сеть_и_дети'!J69-'06_Сеть_и_дети'!J97)=0,17&lt;='01_Вводные'!$B$297),0,('06_Сеть_и_дети'!J69-'06_Сеть_и_дети'!J97)*IF('01_Вводные'!$B$239="Да",MeanMinAge17+'19_Расчет_аналитики'!J4608*SUMIF(ThresholdAge17,"&lt;"&amp;'19_Расчет_аналитики'!J4608,WeightedRevAge17)-SUMIF(ThresholdAge17,"&lt;"&amp;'19_Расчет_аналитики'!J4608,WeightedMinAge17),MAX(CapacityAge17*'01_Вводные'!$B$218*'19_Расчет_аналитики'!J4608,MeanMinAge17))),0)</f>
        <v/>
      </c>
      <c r="K4556">
        <f>IF('01_Вводные'!$B$234="Да",IF(OR(('06_Сеть_и_дети'!K69-'06_Сеть_и_дети'!K97)=0,17&lt;='01_Вводные'!$B$297),0,('06_Сеть_и_дети'!K69-'06_Сеть_и_дети'!K97)*IF('01_Вводные'!$B$239="Да",MeanMinAge17+'19_Расчет_аналитики'!K4608*SUMIF(ThresholdAge17,"&lt;"&amp;'19_Расчет_аналитики'!K4608,WeightedRevAge17)-SUMIF(ThresholdAge17,"&lt;"&amp;'19_Расчет_аналитики'!K4608,WeightedMinAge17),MAX(CapacityAge17*'01_Вводные'!$B$218*'19_Расчет_аналитики'!K4608,MeanMinAge17))),0)</f>
        <v/>
      </c>
      <c r="L4556">
        <f>IF('01_Вводные'!$B$234="Да",IF(OR(('06_Сеть_и_дети'!L69-'06_Сеть_и_дети'!L97)=0,17&lt;='01_Вводные'!$B$297),0,('06_Сеть_и_дети'!L69-'06_Сеть_и_дети'!L97)*IF('01_Вводные'!$B$239="Да",MeanMinAge17+'19_Расчет_аналитики'!L4608*SUMIF(ThresholdAge17,"&lt;"&amp;'19_Расчет_аналитики'!L4608,WeightedRevAge17)-SUMIF(ThresholdAge17,"&lt;"&amp;'19_Расчет_аналитики'!L4608,WeightedMinAge17),MAX(CapacityAge17*'01_Вводные'!$B$218*'19_Расчет_аналитики'!L4608,MeanMinAge17))),0)</f>
        <v/>
      </c>
      <c r="M4556">
        <f>IF('01_Вводные'!$B$234="Да",IF(OR(('06_Сеть_и_дети'!M69-'06_Сеть_и_дети'!M97)=0,17&lt;='01_Вводные'!$B$297),0,('06_Сеть_и_дети'!M69-'06_Сеть_и_дети'!M97)*IF('01_Вводные'!$B$239="Да",MeanMinAge17+'19_Расчет_аналитики'!M4608*SUMIF(ThresholdAge17,"&lt;"&amp;'19_Расчет_аналитики'!M4608,WeightedRevAge17)-SUMIF(ThresholdAge17,"&lt;"&amp;'19_Расчет_аналитики'!M4608,WeightedMinAge17),MAX(CapacityAge17*'01_Вводные'!$B$218*'19_Расчет_аналитики'!M4608,MeanMinAge17))),0)</f>
        <v/>
      </c>
      <c r="N4556">
        <f>IF('01_Вводные'!$B$234="Да",IF(OR(('06_Сеть_и_дети'!N69-'06_Сеть_и_дети'!N97)=0,17&lt;='01_Вводные'!$B$297),0,('06_Сеть_и_дети'!N69-'06_Сеть_и_дети'!N97)*IF('01_Вводные'!$B$239="Да",MeanMinAge17+'19_Расчет_аналитики'!N4608*SUMIF(ThresholdAge17,"&lt;"&amp;'19_Расчет_аналитики'!N4608,WeightedRevAge17)-SUMIF(ThresholdAge17,"&lt;"&amp;'19_Расчет_аналитики'!N4608,WeightedMinAge17),MAX(CapacityAge17*'01_Вводные'!$B$218*'19_Расчет_аналитики'!N4608,MeanMinAge17))),0)</f>
        <v/>
      </c>
      <c r="O4556">
        <f>IF('01_Вводные'!$B$234="Да",IF(OR(('06_Сеть_и_дети'!O69-'06_Сеть_и_дети'!O97)=0,17&lt;='01_Вводные'!$B$297),0,('06_Сеть_и_дети'!O69-'06_Сеть_и_дети'!O97)*IF('01_Вводные'!$B$239="Да",MeanMinAge17+'19_Расчет_аналитики'!O4608*SUMIF(ThresholdAge17,"&lt;"&amp;'19_Расчет_аналитики'!O4608,WeightedRevAge17)-SUMIF(ThresholdAge17,"&lt;"&amp;'19_Расчет_аналитики'!O4608,WeightedMinAge17),MAX(CapacityAge17*'01_Вводные'!$B$218*'19_Расчет_аналитики'!O4608,MeanMinAge17))),0)</f>
        <v/>
      </c>
      <c r="P4556">
        <f>IF('01_Вводные'!$B$234="Да",IF(OR(('06_Сеть_и_дети'!P69-'06_Сеть_и_дети'!P97)=0,17&lt;='01_Вводные'!$B$297),0,('06_Сеть_и_дети'!P69-'06_Сеть_и_дети'!P97)*IF('01_Вводные'!$B$239="Да",MeanMinAge17+'19_Расчет_аналитики'!P4608*SUMIF(ThresholdAge17,"&lt;"&amp;'19_Расчет_аналитики'!P4608,WeightedRevAge17)-SUMIF(ThresholdAge17,"&lt;"&amp;'19_Расчет_аналитики'!P4608,WeightedMinAge17),MAX(CapacityAge17*'01_Вводные'!$B$218*'19_Расчет_аналитики'!P4608,MeanMinAge17))),0)</f>
        <v/>
      </c>
      <c r="Q4556">
        <f>IF('01_Вводные'!$B$234="Да",IF(OR(('06_Сеть_и_дети'!Q69-'06_Сеть_и_дети'!Q97)=0,17&lt;='01_Вводные'!$B$297),0,('06_Сеть_и_дети'!Q69-'06_Сеть_и_дети'!Q97)*IF('01_Вводные'!$B$239="Да",MeanMinAge17+'19_Расчет_аналитики'!Q4608*SUMIF(ThresholdAge17,"&lt;"&amp;'19_Расчет_аналитики'!Q4608,WeightedRevAge17)-SUMIF(ThresholdAge17,"&lt;"&amp;'19_Расчет_аналитики'!Q4608,WeightedMinAge17),MAX(CapacityAge17*'01_Вводные'!$B$218*'19_Расчет_аналитики'!Q4608,MeanMinAge17))),0)</f>
        <v/>
      </c>
      <c r="R4556">
        <f>IF('01_Вводные'!$B$234="Да",IF(OR(('19_Расчет_аналитики'!R4472-'19_Расчет_аналитики'!R4500)=0,17&lt;='01_Вводные'!$B$297),0,('19_Расчет_аналитики'!R4472-'19_Расчет_аналитики'!R4500)*IF('01_Вводные'!$B$239="Да",MeanMinAge17+'19_Расчет_аналитики'!R4608*SUMIF(ThresholdAge17,"&lt;"&amp;'19_Расчет_аналитики'!R4608,WeightedRevAge17)-SUMIF(ThresholdAge17,"&lt;"&amp;'19_Расчет_аналитики'!R4608,WeightedMinAge17),MAX(CapacityAge17*'01_Вводные'!$B$218*'19_Расчет_аналитики'!R4608,MeanMinAge17))),0)</f>
        <v/>
      </c>
      <c r="S4556">
        <f>IF('01_Вводные'!$B$234="Да",IF(OR(('19_Расчет_аналитики'!S4472-'19_Расчет_аналитики'!S4500)=0,17&lt;='01_Вводные'!$B$297),0,('19_Расчет_аналитики'!S4472-'19_Расчет_аналитики'!S4500)*IF('01_Вводные'!$B$239="Да",MeanMinAge17+'19_Расчет_аналитики'!S4608*SUMIF(ThresholdAge17,"&lt;"&amp;'19_Расчет_аналитики'!S4608,WeightedRevAge17)-SUMIF(ThresholdAge17,"&lt;"&amp;'19_Расчет_аналитики'!S4608,WeightedMinAge17),MAX(CapacityAge17*'01_Вводные'!$B$218*'19_Расчет_аналитики'!S4608,MeanMinAge17))),0)</f>
        <v/>
      </c>
      <c r="T4556">
        <f>IF('01_Вводные'!$B$234="Да",IF(OR(('19_Расчет_аналитики'!T4472-'19_Расчет_аналитики'!T4500)=0,17&lt;='01_Вводные'!$B$297),0,('19_Расчет_аналитики'!T4472-'19_Расчет_аналитики'!T4500)*IF('01_Вводные'!$B$239="Да",MeanMinAge17+'19_Расчет_аналитики'!T4608*SUMIF(ThresholdAge17,"&lt;"&amp;'19_Расчет_аналитики'!T4608,WeightedRevAge17)-SUMIF(ThresholdAge17,"&lt;"&amp;'19_Расчет_аналитики'!T4608,WeightedMinAge17),MAX(CapacityAge17*'01_Вводные'!$B$218*'19_Расчет_аналитики'!T4608,MeanMinAge17))),0)</f>
        <v/>
      </c>
      <c r="U4556">
        <f>IF('01_Вводные'!$B$234="Да",IF(OR(('19_Расчет_аналитики'!U4472-'19_Расчет_аналитики'!U4500)=0,17&lt;='01_Вводные'!$B$297),0,('19_Расчет_аналитики'!U4472-'19_Расчет_аналитики'!U4500)*IF('01_Вводные'!$B$239="Да",MeanMinAge17+'19_Расчет_аналитики'!U4608*SUMIF(ThresholdAge17,"&lt;"&amp;'19_Расчет_аналитики'!U4608,WeightedRevAge17)-SUMIF(ThresholdAge17,"&lt;"&amp;'19_Расчет_аналитики'!U4608,WeightedMinAge17),MAX(CapacityAge17*'01_Вводные'!$B$218*'19_Расчет_аналитики'!U4608,MeanMinAge17))),0)</f>
        <v/>
      </c>
      <c r="V4556">
        <f>IF('01_Вводные'!$B$234="Да",IF(OR(('19_Расчет_аналитики'!V4472-'19_Расчет_аналитики'!V4500)=0,17&lt;='01_Вводные'!$B$297),0,('19_Расчет_аналитики'!V4472-'19_Расчет_аналитики'!V4500)*IF('01_Вводные'!$B$239="Да",MeanMinAge17+'19_Расчет_аналитики'!V4608*SUMIF(ThresholdAge17,"&lt;"&amp;'19_Расчет_аналитики'!V4608,WeightedRevAge17)-SUMIF(ThresholdAge17,"&lt;"&amp;'19_Расчет_аналитики'!V4608,WeightedMinAge17),MAX(CapacityAge17*'01_Вводные'!$B$218*'19_Расчет_аналитики'!V4608,MeanMinAge17))),0)</f>
        <v/>
      </c>
      <c r="W4556">
        <f>IF('01_Вводные'!$B$234="Да",IF(OR(('19_Расчет_аналитики'!W4472-'19_Расчет_аналитики'!W4500)=0,17&lt;='01_Вводные'!$B$297),0,('19_Расчет_аналитики'!W4472-'19_Расчет_аналитики'!W4500)*IF('01_Вводные'!$B$239="Да",MeanMinAge17+'19_Расчет_аналитики'!W4608*SUMIF(ThresholdAge17,"&lt;"&amp;'19_Расчет_аналитики'!W4608,WeightedRevAge17)-SUMIF(ThresholdAge17,"&lt;"&amp;'19_Расчет_аналитики'!W4608,WeightedMinAge17),MAX(CapacityAge17*'01_Вводные'!$B$218*'19_Расчет_аналитики'!W4608,MeanMinAge17))),0)</f>
        <v/>
      </c>
      <c r="X4556">
        <f>IF('01_Вводные'!$B$234="Да",IF(OR(('19_Расчет_аналитики'!X4472-'19_Расчет_аналитики'!X4500)=0,17&lt;='01_Вводные'!$B$297),0,('19_Расчет_аналитики'!X4472-'19_Расчет_аналитики'!X4500)*IF('01_Вводные'!$B$239="Да",MeanMinAge17+'19_Расчет_аналитики'!X4608*SUMIF(ThresholdAge17,"&lt;"&amp;'19_Расчет_аналитики'!X4608,WeightedRevAge17)-SUMIF(ThresholdAge17,"&lt;"&amp;'19_Расчет_аналитики'!X4608,WeightedMinAge17),MAX(CapacityAge17*'01_Вводные'!$B$218*'19_Расчет_аналитики'!X4608,MeanMinAge17))),0)</f>
        <v/>
      </c>
      <c r="Y4556">
        <f>IF('01_Вводные'!$B$234="Да",IF(OR(('19_Расчет_аналитики'!Y4472-'19_Расчет_аналитики'!Y4500)=0,17&lt;='01_Вводные'!$B$297),0,('19_Расчет_аналитики'!Y4472-'19_Расчет_аналитики'!Y4500)*IF('01_Вводные'!$B$239="Да",MeanMinAge17+'19_Расчет_аналитики'!Y4608*SUMIF(ThresholdAge17,"&lt;"&amp;'19_Расчет_аналитики'!Y4608,WeightedRevAge17)-SUMIF(ThresholdAge17,"&lt;"&amp;'19_Расчет_аналитики'!Y4608,WeightedMinAge17),MAX(CapacityAge17*'01_Вводные'!$B$218*'19_Расчет_аналитики'!Y4608,MeanMinAge17))),0)</f>
        <v/>
      </c>
      <c r="Z4556">
        <f>IF('01_Вводные'!$B$234="Да",IF(OR(('19_Расчет_аналитики'!Z4472-'19_Расчет_аналитики'!Z4500)=0,17&lt;='01_Вводные'!$B$297),0,('19_Расчет_аналитики'!Z4472-'19_Расчет_аналитики'!Z4500)*IF('01_Вводные'!$B$239="Да",MeanMinAge17+'19_Расчет_аналитики'!Z4608*SUMIF(ThresholdAge17,"&lt;"&amp;'19_Расчет_аналитики'!Z4608,WeightedRevAge17)-SUMIF(ThresholdAge17,"&lt;"&amp;'19_Расчет_аналитики'!Z4608,WeightedMinAge17),MAX(CapacityAge17*'01_Вводные'!$B$218*'19_Расчет_аналитики'!Z4608,MeanMinAge17))),0)</f>
        <v/>
      </c>
      <c r="AA4556">
        <f>IF('01_Вводные'!$B$234="Да",IF(OR(('19_Расчет_аналитики'!AA4472-'19_Расчет_аналитики'!AA4500)=0,17&lt;='01_Вводные'!$B$297),0,('19_Расчет_аналитики'!AA4472-'19_Расчет_аналитики'!AA4500)*IF('01_Вводные'!$B$239="Да",MeanMinAge17+'19_Расчет_аналитики'!AA4608*SUMIF(ThresholdAge17,"&lt;"&amp;'19_Расчет_аналитики'!AA4608,WeightedRevAge17)-SUMIF(ThresholdAge17,"&lt;"&amp;'19_Расчет_аналитики'!AA4608,WeightedMinAge17),MAX(CapacityAge17*'01_Вводные'!$B$218*'19_Расчет_аналитики'!AA4608,MeanMinAge17))),0)</f>
        <v/>
      </c>
      <c r="AB4556">
        <f>IF('01_Вводные'!$B$234="Да",IF(OR(('19_Расчет_аналитики'!AB4472-'19_Расчет_аналитики'!AB4500)=0,17&lt;='01_Вводные'!$B$297),0,('19_Расчет_аналитики'!AB4472-'19_Расчет_аналитики'!AB4500)*IF('01_Вводные'!$B$239="Да",MeanMinAge17+'19_Расчет_аналитики'!AB4608*SUMIF(ThresholdAge17,"&lt;"&amp;'19_Расчет_аналитики'!AB4608,WeightedRevAge17)-SUMIF(ThresholdAge17,"&lt;"&amp;'19_Расчет_аналитики'!AB4608,WeightedMinAge17),MAX(CapacityAge17*'01_Вводные'!$B$218*'19_Расчет_аналитики'!AB4608,MeanMinAge17))),0)</f>
        <v/>
      </c>
      <c r="AC4556">
        <f>IF('01_Вводные'!$B$234="Да",IF(OR(('19_Расчет_аналитики'!AC4472-'19_Расчет_аналитики'!AC4500)=0,17&lt;='01_Вводные'!$B$297),0,('19_Расчет_аналитики'!AC4472-'19_Расчет_аналитики'!AC4500)*IF('01_Вводные'!$B$239="Да",MeanMinAge17+'19_Расчет_аналитики'!AC4608*SUMIF(ThresholdAge17,"&lt;"&amp;'19_Расчет_аналитики'!AC4608,WeightedRevAge17)-SUMIF(ThresholdAge17,"&lt;"&amp;'19_Расчет_аналитики'!AC4608,WeightedMinAge17),MAX(CapacityAge17*'01_Вводные'!$B$218*'19_Расчет_аналитики'!AC4608,MeanMinAge17))),0)</f>
        <v/>
      </c>
      <c r="AD4556">
        <f>IF('01_Вводные'!$B$234="Да",IF(OR(('19_Расчет_аналитики'!AD4472-'19_Расчет_аналитики'!AD4500)=0,17&lt;='01_Вводные'!$B$297),0,('19_Расчет_аналитики'!AD4472-'19_Расчет_аналитики'!AD4500)*IF('01_Вводные'!$B$239="Да",MeanMinAge17+'19_Расчет_аналитики'!AD4608*SUMIF(ThresholdAge17,"&lt;"&amp;'19_Расчет_аналитики'!AD4608,WeightedRevAge17)-SUMIF(ThresholdAge17,"&lt;"&amp;'19_Расчет_аналитики'!AD4608,WeightedMinAge17),MAX(CapacityAge17*'01_Вводные'!$B$218*'19_Расчет_аналитики'!AD4608,MeanMinAge17))),0)</f>
        <v/>
      </c>
      <c r="AE4556">
        <f>IF('01_Вводные'!$B$234="Да",IF(OR(('19_Расчет_аналитики'!AE4472-'19_Расчет_аналитики'!AE4500)=0,17&lt;='01_Вводные'!$B$297),0,('19_Расчет_аналитики'!AE4472-'19_Расчет_аналитики'!AE4500)*IF('01_Вводные'!$B$239="Да",MeanMinAge17+'19_Расчет_аналитики'!AE4608*SUMIF(ThresholdAge17,"&lt;"&amp;'19_Расчет_аналитики'!AE4608,WeightedRevAge17)-SUMIF(ThresholdAge17,"&lt;"&amp;'19_Расчет_аналитики'!AE4608,WeightedMinAge17),MAX(CapacityAge17*'01_Вводные'!$B$218*'19_Расчет_аналитики'!AE4608,MeanMinAge17))),0)</f>
        <v/>
      </c>
      <c r="AF4556">
        <f>IF('01_Вводные'!$B$234="Да",IF(OR(('19_Расчет_аналитики'!AF4472-'19_Расчет_аналитики'!AF4500)=0,17&lt;='01_Вводные'!$B$297),0,('19_Расчет_аналитики'!AF4472-'19_Расчет_аналитики'!AF4500)*IF('01_Вводные'!$B$239="Да",MeanMinAge17+'19_Расчет_аналитики'!AF4608*SUMIF(ThresholdAge17,"&lt;"&amp;'19_Расчет_аналитики'!AF4608,WeightedRevAge17)-SUMIF(ThresholdAge17,"&lt;"&amp;'19_Расчет_аналитики'!AF4608,WeightedMinAge17),MAX(CapacityAge17*'01_Вводные'!$B$218*'19_Расчет_аналитики'!AF4608,MeanMinAge17))),0)</f>
        <v/>
      </c>
      <c r="AG4556">
        <f>IF('01_Вводные'!$B$234="Да",IF(OR(('19_Расчет_аналитики'!AG4472-'19_Расчет_аналитики'!AG4500)=0,17&lt;='01_Вводные'!$B$297),0,('19_Расчет_аналитики'!AG4472-'19_Расчет_аналитики'!AG4500)*IF('01_Вводные'!$B$239="Да",MeanMinAge17+'19_Расчет_аналитики'!AG4608*SUMIF(ThresholdAge17,"&lt;"&amp;'19_Расчет_аналитики'!AG4608,WeightedRevAge17)-SUMIF(ThresholdAge17,"&lt;"&amp;'19_Расчет_аналитики'!AG4608,WeightedMinAge17),MAX(CapacityAge17*'01_Вводные'!$B$218*'19_Расчет_аналитики'!AG4608,MeanMinAge17))),0)</f>
        <v/>
      </c>
      <c r="AH4556">
        <f>IF('01_Вводные'!$B$234="Да",IF(OR(('19_Расчет_аналитики'!AH4472-'19_Расчет_аналитики'!AH4500)=0,17&lt;='01_Вводные'!$B$297),0,('19_Расчет_аналитики'!AH4472-'19_Расчет_аналитики'!AH4500)*IF('01_Вводные'!$B$239="Да",MeanMinAge17+'19_Расчет_аналитики'!AH4608*SUMIF(ThresholdAge17,"&lt;"&amp;'19_Расчет_аналитики'!AH4608,WeightedRevAge17)-SUMIF(ThresholdAge17,"&lt;"&amp;'19_Расчет_аналитики'!AH4608,WeightedMinAge17),MAX(CapacityAge17*'01_Вводные'!$B$218*'19_Расчет_аналитики'!AH4608,MeanMinAge17))),0)</f>
        <v/>
      </c>
      <c r="AI4556">
        <f>IF('01_Вводные'!$B$234="Да",IF(OR(('19_Расчет_аналитики'!AI4472-'19_Расчет_аналитики'!AI4500)=0,17&lt;='01_Вводные'!$B$297),0,('19_Расчет_аналитики'!AI4472-'19_Расчет_аналитики'!AI4500)*IF('01_Вводные'!$B$239="Да",MeanMinAge17+'19_Расчет_аналитики'!AI4608*SUMIF(ThresholdAge17,"&lt;"&amp;'19_Расчет_аналитики'!AI4608,WeightedRevAge17)-SUMIF(ThresholdAge17,"&lt;"&amp;'19_Расчет_аналитики'!AI4608,WeightedMinAge17),MAX(CapacityAge17*'01_Вводные'!$B$218*'19_Расчет_аналитики'!AI4608,MeanMinAge17))),0)</f>
        <v/>
      </c>
      <c r="AJ4556">
        <f>IF('01_Вводные'!$B$234="Да",IF(OR(('19_Расчет_аналитики'!AJ4472-'19_Расчет_аналитики'!AJ4500)=0,17&lt;='01_Вводные'!$B$297),0,('19_Расчет_аналитики'!AJ4472-'19_Расчет_аналитики'!AJ4500)*IF('01_Вводные'!$B$239="Да",MeanMinAge17+'19_Расчет_аналитики'!AJ4608*SUMIF(ThresholdAge17,"&lt;"&amp;'19_Расчет_аналитики'!AJ4608,WeightedRevAge17)-SUMIF(ThresholdAge17,"&lt;"&amp;'19_Расчет_аналитики'!AJ4608,WeightedMinAge17),MAX(CapacityAge17*'01_Вводные'!$B$218*'19_Расчет_аналитики'!AJ4608,MeanMinAge17))),0)</f>
        <v/>
      </c>
      <c r="AK4556">
        <f>IF('01_Вводные'!$B$234="Да",IF(OR(('19_Расчет_аналитики'!AK4472-'19_Расчет_аналитики'!AK4500)=0,17&lt;='01_Вводные'!$B$297),0,('19_Расчет_аналитики'!AK4472-'19_Расчет_аналитики'!AK4500)*IF('01_Вводные'!$B$239="Да",MeanMinAge17+'19_Расчет_аналитики'!AK4608*SUMIF(ThresholdAge17,"&lt;"&amp;'19_Расчет_аналитики'!AK4608,WeightedRevAge17)-SUMIF(ThresholdAge17,"&lt;"&amp;'19_Расчет_аналитики'!AK4608,WeightedMinAge17),MAX(CapacityAge17*'01_Вводные'!$B$218*'19_Расчет_аналитики'!AK4608,MeanMinAge17))),0)</f>
        <v/>
      </c>
      <c r="AL4556">
        <f>IF('01_Вводные'!$B$234="Да",IF(OR(('19_Расчет_аналитики'!AL4472-'19_Расчет_аналитики'!AL4500)=0,17&lt;='01_Вводные'!$B$297),0,('19_Расчет_аналитики'!AL4472-'19_Расчет_аналитики'!AL4500)*IF('01_Вводные'!$B$239="Да",MeanMinAge17+'19_Расчет_аналитики'!AL4608*SUMIF(ThresholdAge17,"&lt;"&amp;'19_Расчет_аналитики'!AL4608,WeightedRevAge17)-SUMIF(ThresholdAge17,"&lt;"&amp;'19_Расчет_аналитики'!AL4608,WeightedMinAge17),MAX(CapacityAge17*'01_Вводные'!$B$218*'19_Расчет_аналитики'!AL4608,MeanMinAge17))),0)</f>
        <v/>
      </c>
      <c r="AM4556">
        <f>IF('01_Вводные'!$B$234="Да",IF(OR(('19_Расчет_аналитики'!AM4472-'19_Расчет_аналитики'!AM4500)=0,17&lt;='01_Вводные'!$B$297),0,('19_Расчет_аналитики'!AM4472-'19_Расчет_аналитики'!AM4500)*IF('01_Вводные'!$B$239="Да",MeanMinAge17+'19_Расчет_аналитики'!AM4608*SUMIF(ThresholdAge17,"&lt;"&amp;'19_Расчет_аналитики'!AM4608,WeightedRevAge17)-SUMIF(ThresholdAge17,"&lt;"&amp;'19_Расчет_аналитики'!AM4608,WeightedMinAge17),MAX(CapacityAge17*'01_Вводные'!$B$218*'19_Расчет_аналитики'!AM4608,MeanMinAge17))),0)</f>
        <v/>
      </c>
      <c r="AN4556">
        <f>IF('01_Вводные'!$B$234="Да",IF(OR(('19_Расчет_аналитики'!AN4472-'19_Расчет_аналитики'!AN4500)=0,17&lt;='01_Вводные'!$B$297),0,('19_Расчет_аналитики'!AN4472-'19_Расчет_аналитики'!AN4500)*IF('01_Вводные'!$B$239="Да",MeanMinAge17+'19_Расчет_аналитики'!AN4608*SUMIF(ThresholdAge17,"&lt;"&amp;'19_Расчет_аналитики'!AN4608,WeightedRevAge17)-SUMIF(ThresholdAge17,"&lt;"&amp;'19_Расчет_аналитики'!AN4608,WeightedMinAge17),MAX(CapacityAge17*'01_Вводные'!$B$218*'19_Расчет_аналитики'!AN4608,MeanMinAge17))),0)</f>
        <v/>
      </c>
      <c r="AO4556">
        <f>IF('01_Вводные'!$B$234="Да",IF(OR(('19_Расчет_аналитики'!AO4472-'19_Расчет_аналитики'!AO4500)=0,17&lt;='01_Вводные'!$B$297),0,('19_Расчет_аналитики'!AO4472-'19_Расчет_аналитики'!AO4500)*IF('01_Вводные'!$B$239="Да",MeanMinAge17+'19_Расчет_аналитики'!AO4608*SUMIF(ThresholdAge17,"&lt;"&amp;'19_Расчет_аналитики'!AO4608,WeightedRevAge17)-SUMIF(ThresholdAge17,"&lt;"&amp;'19_Расчет_аналитики'!AO4608,WeightedMinAge17),MAX(CapacityAge17*'01_Вводные'!$B$218*'19_Расчет_аналитики'!AO4608,MeanMinAge17))),0)</f>
        <v/>
      </c>
      <c r="AP4556">
        <f>IF('01_Вводные'!$B$234="Да",IF(OR(('19_Расчет_аналитики'!AP4472-'19_Расчет_аналитики'!AP4500)=0,17&lt;='01_Вводные'!$B$297),0,('19_Расчет_аналитики'!AP4472-'19_Расчет_аналитики'!AP4500)*IF('01_Вводные'!$B$239="Да",MeanMinAge17+'19_Расчет_аналитики'!AP4608*SUMIF(ThresholdAge17,"&lt;"&amp;'19_Расчет_аналитики'!AP4608,WeightedRevAge17)-SUMIF(ThresholdAge17,"&lt;"&amp;'19_Расчет_аналитики'!AP4608,WeightedMinAge17),MAX(CapacityAge17*'01_Вводные'!$B$218*'19_Расчет_аналитики'!AP4608,MeanMinAge17))),0)</f>
        <v/>
      </c>
      <c r="AQ4556">
        <f>IF('01_Вводные'!$B$234="Да",IF(OR(('19_Расчет_аналитики'!AQ4472-'19_Расчет_аналитики'!AQ4500)=0,17&lt;='01_Вводные'!$B$297),0,('19_Расчет_аналитики'!AQ4472-'19_Расчет_аналитики'!AQ4500)*IF('01_Вводные'!$B$239="Да",MeanMinAge17+'19_Расчет_аналитики'!AQ4608*SUMIF(ThresholdAge17,"&lt;"&amp;'19_Расчет_аналитики'!AQ4608,WeightedRevAge17)-SUMIF(ThresholdAge17,"&lt;"&amp;'19_Расчет_аналитики'!AQ4608,WeightedMinAge17),MAX(CapacityAge17*'01_Вводные'!$B$218*'19_Расчет_аналитики'!AQ4608,MeanMinAge17))),0)</f>
        <v/>
      </c>
      <c r="AR4556">
        <f>IF('01_Вводные'!$B$234="Да",IF(OR(('19_Расчет_аналитики'!AR4472-'19_Расчет_аналитики'!AR4500)=0,17&lt;='01_Вводные'!$B$297),0,('19_Расчет_аналитики'!AR4472-'19_Расчет_аналитики'!AR4500)*IF('01_Вводные'!$B$239="Да",MeanMinAge17+'19_Расчет_аналитики'!AR4608*SUMIF(ThresholdAge17,"&lt;"&amp;'19_Расчет_аналитики'!AR4608,WeightedRevAge17)-SUMIF(ThresholdAge17,"&lt;"&amp;'19_Расчет_аналитики'!AR4608,WeightedMinAge17),MAX(CapacityAge17*'01_Вводные'!$B$218*'19_Расчет_аналитики'!AR4608,MeanMinAge17))),0)</f>
        <v/>
      </c>
      <c r="AS4556">
        <f>IF('01_Вводные'!$B$234="Да",IF(OR(('19_Расчет_аналитики'!AS4472-'19_Расчет_аналитики'!AS4500)=0,17&lt;='01_Вводные'!$B$297),0,('19_Расчет_аналитики'!AS4472-'19_Расчет_аналитики'!AS4500)*IF('01_Вводные'!$B$239="Да",MeanMinAge17+'19_Расчет_аналитики'!AS4608*SUMIF(ThresholdAge17,"&lt;"&amp;'19_Расчет_аналитики'!AS4608,WeightedRevAge17)-SUMIF(ThresholdAge17,"&lt;"&amp;'19_Расчет_аналитики'!AS4608,WeightedMinAge17),MAX(CapacityAge17*'01_Вводные'!$B$218*'19_Расчет_аналитики'!AS4608,MeanMinAge17))),0)</f>
        <v/>
      </c>
      <c r="AT4556">
        <f>IF('01_Вводные'!$B$234="Да",IF(OR(('19_Расчет_аналитики'!AT4472-'19_Расчет_аналитики'!AT4500)=0,17&lt;='01_Вводные'!$B$297),0,('19_Расчет_аналитики'!AT4472-'19_Расчет_аналитики'!AT4500)*IF('01_Вводные'!$B$239="Да",MeanMinAge17+'19_Расчет_аналитики'!AT4608*SUMIF(ThresholdAge17,"&lt;"&amp;'19_Расчет_аналитики'!AT4608,WeightedRevAge17)-SUMIF(ThresholdAge17,"&lt;"&amp;'19_Расчет_аналитики'!AT4608,WeightedMinAge17),MAX(CapacityAge17*'01_Вводные'!$B$218*'19_Расчет_аналитики'!AT4608,MeanMinAge17))),0)</f>
        <v/>
      </c>
      <c r="AU4556">
        <f>IF('01_Вводные'!$B$234="Да",IF(OR(('19_Расчет_аналитики'!AU4472-'19_Расчет_аналитики'!AU4500)=0,17&lt;='01_Вводные'!$B$297),0,('19_Расчет_аналитики'!AU4472-'19_Расчет_аналитики'!AU4500)*IF('01_Вводные'!$B$239="Да",MeanMinAge17+'19_Расчет_аналитики'!AU4608*SUMIF(ThresholdAge17,"&lt;"&amp;'19_Расчет_аналитики'!AU4608,WeightedRevAge17)-SUMIF(ThresholdAge17,"&lt;"&amp;'19_Расчет_аналитики'!AU4608,WeightedMinAge17),MAX(CapacityAge17*'01_Вводные'!$B$218*'19_Расчет_аналитики'!AU4608,MeanMinAge17))),0)</f>
        <v/>
      </c>
      <c r="AV4556">
        <f>IF('01_Вводные'!$B$234="Да",IF(OR(('19_Расчет_аналитики'!AV4472-'19_Расчет_аналитики'!AV4500)=0,17&lt;='01_Вводные'!$B$297),0,('19_Расчет_аналитики'!AV4472-'19_Расчет_аналитики'!AV4500)*IF('01_Вводные'!$B$239="Да",MeanMinAge17+'19_Расчет_аналитики'!AV4608*SUMIF(ThresholdAge17,"&lt;"&amp;'19_Расчет_аналитики'!AV4608,WeightedRevAge17)-SUMIF(ThresholdAge17,"&lt;"&amp;'19_Расчет_аналитики'!AV4608,WeightedMinAge17),MAX(CapacityAge17*'01_Вводные'!$B$218*'19_Расчет_аналитики'!AV4608,MeanMinAge17))),0)</f>
        <v/>
      </c>
      <c r="AW4556">
        <f>IF('01_Вводные'!$B$234="Да",IF(OR(('19_Расчет_аналитики'!AW4472-'19_Расчет_аналитики'!AW4500)=0,17&lt;='01_Вводные'!$B$297),0,('19_Расчет_аналитики'!AW4472-'19_Расчет_аналитики'!AW4500)*IF('01_Вводные'!$B$239="Да",MeanMinAge17+'19_Расчет_аналитики'!AW4608*SUMIF(ThresholdAge17,"&lt;"&amp;'19_Расчет_аналитики'!AW4608,WeightedRevAge17)-SUMIF(ThresholdAge17,"&lt;"&amp;'19_Расчет_аналитики'!AW4608,WeightedMinAge17),MAX(CapacityAge17*'01_Вводные'!$B$218*'19_Расчет_аналитики'!AW4608,MeanMinAge17))),0)</f>
        <v/>
      </c>
      <c r="AX4556">
        <f>IF('01_Вводные'!$B$234="Да",IF(OR(('19_Расчет_аналитики'!AX4472-'19_Расчет_аналитики'!AX4500)=0,17&lt;='01_Вводные'!$B$297),0,('19_Расчет_аналитики'!AX4472-'19_Расчет_аналитики'!AX4500)*IF('01_Вводные'!$B$239="Да",MeanMinAge17+'19_Расчет_аналитики'!AX4608*SUMIF(ThresholdAge17,"&lt;"&amp;'19_Расчет_аналитики'!AX4608,WeightedRevAge17)-SUMIF(ThresholdAge17,"&lt;"&amp;'19_Расчет_аналитики'!AX4608,WeightedMinAge17),MAX(CapacityAge17*'01_Вводные'!$B$218*'19_Расчет_аналитики'!AX4608,MeanMinAge17))),0)</f>
        <v/>
      </c>
      <c r="AY4556">
        <f>IF('01_Вводные'!$B$234="Да",IF(OR(('19_Расчет_аналитики'!AY4472-'19_Расчет_аналитики'!AY4500)=0,17&lt;='01_Вводные'!$B$297),0,('19_Расчет_аналитики'!AY4472-'19_Расчет_аналитики'!AY4500)*IF('01_Вводные'!$B$239="Да",MeanMinAge17+'19_Расчет_аналитики'!AY4608*SUMIF(ThresholdAge17,"&lt;"&amp;'19_Расчет_аналитики'!AY4608,WeightedRevAge17)-SUMIF(ThresholdAge17,"&lt;"&amp;'19_Расчет_аналитики'!AY4608,WeightedMinAge17),MAX(CapacityAge17*'01_Вводные'!$B$218*'19_Расчет_аналитики'!AY4608,MeanMinAge17))),0)</f>
        <v/>
      </c>
      <c r="AZ4556">
        <f>IF('01_Вводные'!$B$234="Да",IF(OR(('19_Расчет_аналитики'!AZ4472-'19_Расчет_аналитики'!AZ4500)=0,17&lt;='01_Вводные'!$B$297),0,('19_Расчет_аналитики'!AZ4472-'19_Расчет_аналитики'!AZ4500)*IF('01_Вводные'!$B$239="Да",MeanMinAge17+'19_Расчет_аналитики'!AZ4608*SUMIF(ThresholdAge17,"&lt;"&amp;'19_Расчет_аналитики'!AZ4608,WeightedRevAge17)-SUMIF(ThresholdAge17,"&lt;"&amp;'19_Расчет_аналитики'!AZ4608,WeightedMinAge17),MAX(CapacityAge17*'01_Вводные'!$B$218*'19_Расчет_аналитики'!AZ4608,MeanMinAge17))),0)</f>
        <v/>
      </c>
      <c r="BA4556">
        <f>IF('01_Вводные'!$B$234="Да",IF(OR(('19_Расчет_аналитики'!BA4472-'19_Расчет_аналитики'!BA4500)=0,17&lt;='01_Вводные'!$B$297),0,('19_Расчет_аналитики'!BA4472-'19_Расчет_аналитики'!BA4500)*IF('01_Вводные'!$B$239="Да",MeanMinAge17+'19_Расчет_аналитики'!BA4608*SUMIF(ThresholdAge17,"&lt;"&amp;'19_Расчет_аналитики'!BA4608,WeightedRevAge17)-SUMIF(ThresholdAge17,"&lt;"&amp;'19_Расчет_аналитики'!BA4608,WeightedMinAge17),MAX(CapacityAge17*'01_Вводные'!$B$218*'19_Расчет_аналитики'!BA4608,MeanMinAge17))),0)</f>
        <v/>
      </c>
      <c r="BB4556">
        <f>IF('01_Вводные'!$B$234="Да",IF(OR(('19_Расчет_аналитики'!BB4472-'19_Расчет_аналитики'!BB4500)=0,17&lt;='01_Вводные'!$B$297),0,('19_Расчет_аналитики'!BB4472-'19_Расчет_аналитики'!BB4500)*IF('01_Вводные'!$B$239="Да",MeanMinAge17+'19_Расчет_аналитики'!BB4608*SUMIF(ThresholdAge17,"&lt;"&amp;'19_Расчет_аналитики'!BB4608,WeightedRevAge17)-SUMIF(ThresholdAge17,"&lt;"&amp;'19_Расчет_аналитики'!BB4608,WeightedMinAge17),MAX(CapacityAge17*'01_Вводные'!$B$218*'19_Расчет_аналитики'!BB4608,MeanMinAge17))),0)</f>
        <v/>
      </c>
      <c r="BC4556">
        <f>IF('01_Вводные'!$B$234="Да",IF(OR(('19_Расчет_аналитики'!BC4472-'19_Расчет_аналитики'!BC4500)=0,17&lt;='01_Вводные'!$B$297),0,('19_Расчет_аналитики'!BC4472-'19_Расчет_аналитики'!BC4500)*IF('01_Вводные'!$B$239="Да",MeanMinAge17+'19_Расчет_аналитики'!BC4608*SUMIF(ThresholdAge17,"&lt;"&amp;'19_Расчет_аналитики'!BC4608,WeightedRevAge17)-SUMIF(ThresholdAge17,"&lt;"&amp;'19_Расчет_аналитики'!BC4608,WeightedMinAge17),MAX(CapacityAge17*'01_Вводные'!$B$218*'19_Расчет_аналитики'!BC4608,MeanMinAge17))),0)</f>
        <v/>
      </c>
      <c r="BD4556">
        <f>IF('01_Вводные'!$B$234="Да",IF(OR(('19_Расчет_аналитики'!BD4472-'19_Расчет_аналитики'!BD4500)=0,17&lt;='01_Вводные'!$B$297),0,('19_Расчет_аналитики'!BD4472-'19_Расчет_аналитики'!BD4500)*IF('01_Вводные'!$B$239="Да",MeanMinAge17+'19_Расчет_аналитики'!BD4608*SUMIF(ThresholdAge17,"&lt;"&amp;'19_Расчет_аналитики'!BD4608,WeightedRevAge17)-SUMIF(ThresholdAge17,"&lt;"&amp;'19_Расчет_аналитики'!BD4608,WeightedMinAge17),MAX(CapacityAge17*'01_Вводные'!$B$218*'19_Расчет_аналитики'!BD4608,MeanMinAge17))),0)</f>
        <v/>
      </c>
      <c r="BE4556">
        <f>IF('01_Вводные'!$B$234="Да",IF(OR(('19_Расчет_аналитики'!BE4472-'19_Расчет_аналитики'!BE4500)=0,17&lt;='01_Вводные'!$B$297),0,('19_Расчет_аналитики'!BE4472-'19_Расчет_аналитики'!BE4500)*IF('01_Вводные'!$B$239="Да",MeanMinAge17+'19_Расчет_аналитики'!BE4608*SUMIF(ThresholdAge17,"&lt;"&amp;'19_Расчет_аналитики'!BE4608,WeightedRevAge17)-SUMIF(ThresholdAge17,"&lt;"&amp;'19_Расчет_аналитики'!BE4608,WeightedMinAge17),MAX(CapacityAge17*'01_Вводные'!$B$218*'19_Расчет_аналитики'!BE4608,MeanMinAge17))),0)</f>
        <v/>
      </c>
      <c r="BF4556">
        <f>IF('01_Вводные'!$B$234="Да",IF(OR(('19_Расчет_аналитики'!BF4472-'19_Расчет_аналитики'!BF4500)=0,17&lt;='01_Вводные'!$B$297),0,('19_Расчет_аналитики'!BF4472-'19_Расчет_аналитики'!BF4500)*IF('01_Вводные'!$B$239="Да",MeanMinAge17+'19_Расчет_аналитики'!BF4608*SUMIF(ThresholdAge17,"&lt;"&amp;'19_Расчет_аналитики'!BF4608,WeightedRevAge17)-SUMIF(ThresholdAge17,"&lt;"&amp;'19_Расчет_аналитики'!BF4608,WeightedMinAge17),MAX(CapacityAge17*'01_Вводные'!$B$218*'19_Расчет_аналитики'!BF4608,MeanMinAge17))),0)</f>
        <v/>
      </c>
      <c r="BG4556">
        <f>IF('01_Вводные'!$B$234="Да",IF(OR(('19_Расчет_аналитики'!BG4472-'19_Расчет_аналитики'!BG4500)=0,17&lt;='01_Вводные'!$B$297),0,('19_Расчет_аналитики'!BG4472-'19_Расчет_аналитики'!BG4500)*IF('01_Вводные'!$B$239="Да",MeanMinAge17+'19_Расчет_аналитики'!BG4608*SUMIF(ThresholdAge17,"&lt;"&amp;'19_Расчет_аналитики'!BG4608,WeightedRevAge17)-SUMIF(ThresholdAge17,"&lt;"&amp;'19_Расчет_аналитики'!BG4608,WeightedMinAge17),MAX(CapacityAge17*'01_Вводные'!$B$218*'19_Расчет_аналитики'!BG4608,MeanMinAge17))),0)</f>
        <v/>
      </c>
      <c r="BH4556">
        <f>IF('01_Вводные'!$B$234="Да",IF(OR(('19_Расчет_аналитики'!BH4472-'19_Расчет_аналитики'!BH4500)=0,17&lt;='01_Вводные'!$B$297),0,('19_Расчет_аналитики'!BH4472-'19_Расчет_аналитики'!BH4500)*IF('01_Вводные'!$B$239="Да",MeanMinAge17+'19_Расчет_аналитики'!BH4608*SUMIF(ThresholdAge17,"&lt;"&amp;'19_Расчет_аналитики'!BH4608,WeightedRevAge17)-SUMIF(ThresholdAge17,"&lt;"&amp;'19_Расчет_аналитики'!BH4608,WeightedMinAge17),MAX(CapacityAge17*'01_Вводные'!$B$218*'19_Расчет_аналитики'!BH4608,MeanMinAge17))),0)</f>
        <v/>
      </c>
      <c r="BI4556">
        <f>IF('01_Вводные'!$B$234="Да",IF(OR(('19_Расчет_аналитики'!BI4472-'19_Расчет_аналитики'!BI4500)=0,17&lt;='01_Вводные'!$B$297),0,('19_Расчет_аналитики'!BI4472-'19_Расчет_аналитики'!BI4500)*IF('01_Вводные'!$B$239="Да",MeanMinAge17+'19_Расчет_аналитики'!BI4608*SUMIF(ThresholdAge17,"&lt;"&amp;'19_Расчет_аналитики'!BI4608,WeightedRevAge17)-SUMIF(ThresholdAge17,"&lt;"&amp;'19_Расчет_аналитики'!BI4608,WeightedMinAge17),MAX(CapacityAge17*'01_Вводные'!$B$218*'19_Расчет_аналитики'!BI4608,MeanMinAge17))),0)</f>
        <v/>
      </c>
      <c r="BJ4556">
        <f>IF('01_Вводные'!$B$234="Да",IF(OR(('19_Расчет_аналитики'!BJ4472-'19_Расчет_аналитики'!BJ4500)=0,17&lt;='01_Вводные'!$B$297),0,('19_Расчет_аналитики'!BJ4472-'19_Расчет_аналитики'!BJ4500)*IF('01_Вводные'!$B$239="Да",MeanMinAge17+'19_Расчет_аналитики'!BJ4608*SUMIF(ThresholdAge17,"&lt;"&amp;'19_Расчет_аналитики'!BJ4608,WeightedRevAge17)-SUMIF(ThresholdAge17,"&lt;"&amp;'19_Расчет_аналитики'!BJ4608,WeightedMinAge17),MAX(CapacityAge17*'01_Вводные'!$B$218*'19_Расчет_аналитики'!BJ4608,MeanMinAge17))),0)</f>
        <v/>
      </c>
      <c r="BK4556">
        <f>IF('01_Вводные'!$B$234="Да",IF(OR(('19_Расчет_аналитики'!BK4472-'19_Расчет_аналитики'!BK4500)=0,17&lt;='01_Вводные'!$B$297),0,('19_Расчет_аналитики'!BK4472-'19_Расчет_аналитики'!BK4500)*IF('01_Вводные'!$B$239="Да",MeanMinAge17+'19_Расчет_аналитики'!BK4608*SUMIF(ThresholdAge17,"&lt;"&amp;'19_Расчет_аналитики'!BK4608,WeightedRevAge17)-SUMIF(ThresholdAge17,"&lt;"&amp;'19_Расчет_аналитики'!BK4608,WeightedMinAge17),MAX(CapacityAge17*'01_Вводные'!$B$218*'19_Расчет_аналитики'!BK4608,MeanMinAge17))),0)</f>
        <v/>
      </c>
      <c r="BL4556">
        <f>IF('01_Вводные'!$B$234="Да",IF(OR(('19_Расчет_аналитики'!BL4472-'19_Расчет_аналитики'!BL4500)=0,17&lt;='01_Вводные'!$B$297),0,('19_Расчет_аналитики'!BL4472-'19_Расчет_аналитики'!BL4500)*IF('01_Вводные'!$B$239="Да",MeanMinAge17+'19_Расчет_аналитики'!BL4608*SUMIF(ThresholdAge17,"&lt;"&amp;'19_Расчет_аналитики'!BL4608,WeightedRevAge17)-SUMIF(ThresholdAge17,"&lt;"&amp;'19_Расчет_аналитики'!BL4608,WeightedMinAge17),MAX(CapacityAge17*'01_Вводные'!$B$218*'19_Расчет_аналитики'!BL4608,MeanMinAge17))),0)</f>
        <v/>
      </c>
      <c r="BM4556">
        <f>IF('01_Вводные'!$B$234="Да",IF(OR(('19_Расчет_аналитики'!BM4472-'19_Расчет_аналитики'!BM4500)=0,17&lt;='01_Вводные'!$B$297),0,('19_Расчет_аналитики'!BM4472-'19_Расчет_аналитики'!BM4500)*IF('01_Вводные'!$B$239="Да",MeanMinAge17+'19_Расчет_аналитики'!BM4608*SUMIF(ThresholdAge17,"&lt;"&amp;'19_Расчет_аналитики'!BM4608,WeightedRevAge17)-SUMIF(ThresholdAge17,"&lt;"&amp;'19_Расчет_аналитики'!BM4608,WeightedMinAge17),MAX(CapacityAge17*'01_Вводные'!$B$218*'19_Расчет_аналитики'!BM4608,MeanMinAge17))),0)</f>
        <v/>
      </c>
      <c r="BN4556">
        <f>IF('01_Вводные'!$B$234="Да",IF(OR(('19_Расчет_аналитики'!BN4472-'19_Расчет_аналитики'!BN4500)=0,17&lt;='01_Вводные'!$B$297),0,('19_Расчет_аналитики'!BN4472-'19_Расчет_аналитики'!BN4500)*IF('01_Вводные'!$B$239="Да",MeanMinAge17+'19_Расчет_аналитики'!BN4608*SUMIF(ThresholdAge17,"&lt;"&amp;'19_Расчет_аналитики'!BN4608,WeightedRevAge17)-SUMIF(ThresholdAge17,"&lt;"&amp;'19_Расчет_аналитики'!BN4608,WeightedMinAge17),MAX(CapacityAge17*'01_Вводные'!$B$218*'19_Расчет_аналитики'!BN4608,MeanMinAge17))),0)</f>
        <v/>
      </c>
      <c r="BO4556">
        <f>IF('01_Вводные'!$B$234="Да",IF(OR(('19_Расчет_аналитики'!BO4472-'19_Расчет_аналитики'!BO4500)=0,17&lt;='01_Вводные'!$B$297),0,('19_Расчет_аналитики'!BO4472-'19_Расчет_аналитики'!BO4500)*IF('01_Вводные'!$B$239="Да",MeanMinAge17+'19_Расчет_аналитики'!BO4608*SUMIF(ThresholdAge17,"&lt;"&amp;'19_Расчет_аналитики'!BO4608,WeightedRevAge17)-SUMIF(ThresholdAge17,"&lt;"&amp;'19_Расчет_аналитики'!BO4608,WeightedMinAge17),MAX(CapacityAge17*'01_Вводные'!$B$218*'19_Расчет_аналитики'!BO4608,MeanMinAge17))),0)</f>
        <v/>
      </c>
    </row>
    <row r="4557">
      <c r="B4557">
        <f>IF('01_Вводные'!$B$234="Да",IF(OR(('06_Сеть_и_дети'!B70-'06_Сеть_и_дети'!B98)=0,18&lt;='01_Вводные'!$B$297),0,('06_Сеть_и_дети'!B70-'06_Сеть_и_дети'!B98)*IF('01_Вводные'!$B$239="Да",MeanMinAge18+'19_Расчет_аналитики'!B4608*SUMIF(ThresholdAge18,"&lt;"&amp;'19_Расчет_аналитики'!B4608,WeightedRevAge18)-SUMIF(ThresholdAge18,"&lt;"&amp;'19_Расчет_аналитики'!B4608,WeightedMinAge18),MAX(CapacityAge18*'01_Вводные'!$B$218*'19_Расчет_аналитики'!B4608,MeanMinAge18))),0)</f>
        <v/>
      </c>
      <c r="C4557">
        <f>IF('01_Вводные'!$B$234="Да",IF(OR(('06_Сеть_и_дети'!C70-'06_Сеть_и_дети'!C98)=0,18&lt;='01_Вводные'!$B$297),0,('06_Сеть_и_дети'!C70-'06_Сеть_и_дети'!C98)*IF('01_Вводные'!$B$239="Да",MeanMinAge18+'19_Расчет_аналитики'!C4608*SUMIF(ThresholdAge18,"&lt;"&amp;'19_Расчет_аналитики'!C4608,WeightedRevAge18)-SUMIF(ThresholdAge18,"&lt;"&amp;'19_Расчет_аналитики'!C4608,WeightedMinAge18),MAX(CapacityAge18*'01_Вводные'!$B$218*'19_Расчет_аналитики'!C4608,MeanMinAge18))),0)</f>
        <v/>
      </c>
      <c r="D4557">
        <f>IF('01_Вводные'!$B$234="Да",IF(OR(('06_Сеть_и_дети'!D70-'06_Сеть_и_дети'!D98)=0,18&lt;='01_Вводные'!$B$297),0,('06_Сеть_и_дети'!D70-'06_Сеть_и_дети'!D98)*IF('01_Вводные'!$B$239="Да",MeanMinAge18+'19_Расчет_аналитики'!D4608*SUMIF(ThresholdAge18,"&lt;"&amp;'19_Расчет_аналитики'!D4608,WeightedRevAge18)-SUMIF(ThresholdAge18,"&lt;"&amp;'19_Расчет_аналитики'!D4608,WeightedMinAge18),MAX(CapacityAge18*'01_Вводные'!$B$218*'19_Расчет_аналитики'!D4608,MeanMinAge18))),0)</f>
        <v/>
      </c>
      <c r="E4557">
        <f>IF('01_Вводные'!$B$234="Да",IF(OR(('06_Сеть_и_дети'!E70-'06_Сеть_и_дети'!E98)=0,18&lt;='01_Вводные'!$B$297),0,('06_Сеть_и_дети'!E70-'06_Сеть_и_дети'!E98)*IF('01_Вводные'!$B$239="Да",MeanMinAge18+'19_Расчет_аналитики'!E4608*SUMIF(ThresholdAge18,"&lt;"&amp;'19_Расчет_аналитики'!E4608,WeightedRevAge18)-SUMIF(ThresholdAge18,"&lt;"&amp;'19_Расчет_аналитики'!E4608,WeightedMinAge18),MAX(CapacityAge18*'01_Вводные'!$B$218*'19_Расчет_аналитики'!E4608,MeanMinAge18))),0)</f>
        <v/>
      </c>
      <c r="F4557">
        <f>IF('01_Вводные'!$B$234="Да",IF(OR(('06_Сеть_и_дети'!F70-'06_Сеть_и_дети'!F98)=0,18&lt;='01_Вводные'!$B$297),0,('06_Сеть_и_дети'!F70-'06_Сеть_и_дети'!F98)*IF('01_Вводные'!$B$239="Да",MeanMinAge18+'19_Расчет_аналитики'!F4608*SUMIF(ThresholdAge18,"&lt;"&amp;'19_Расчет_аналитики'!F4608,WeightedRevAge18)-SUMIF(ThresholdAge18,"&lt;"&amp;'19_Расчет_аналитики'!F4608,WeightedMinAge18),MAX(CapacityAge18*'01_Вводные'!$B$218*'19_Расчет_аналитики'!F4608,MeanMinAge18))),0)</f>
        <v/>
      </c>
      <c r="G4557">
        <f>IF('01_Вводные'!$B$234="Да",IF(OR(('06_Сеть_и_дети'!G70-'06_Сеть_и_дети'!G98)=0,18&lt;='01_Вводные'!$B$297),0,('06_Сеть_и_дети'!G70-'06_Сеть_и_дети'!G98)*IF('01_Вводные'!$B$239="Да",MeanMinAge18+'19_Расчет_аналитики'!G4608*SUMIF(ThresholdAge18,"&lt;"&amp;'19_Расчет_аналитики'!G4608,WeightedRevAge18)-SUMIF(ThresholdAge18,"&lt;"&amp;'19_Расчет_аналитики'!G4608,WeightedMinAge18),MAX(CapacityAge18*'01_Вводные'!$B$218*'19_Расчет_аналитики'!G4608,MeanMinAge18))),0)</f>
        <v/>
      </c>
      <c r="H4557">
        <f>IF('01_Вводные'!$B$234="Да",IF(OR(('06_Сеть_и_дети'!H70-'06_Сеть_и_дети'!H98)=0,18&lt;='01_Вводные'!$B$297),0,('06_Сеть_и_дети'!H70-'06_Сеть_и_дети'!H98)*IF('01_Вводные'!$B$239="Да",MeanMinAge18+'19_Расчет_аналитики'!H4608*SUMIF(ThresholdAge18,"&lt;"&amp;'19_Расчет_аналитики'!H4608,WeightedRevAge18)-SUMIF(ThresholdAge18,"&lt;"&amp;'19_Расчет_аналитики'!H4608,WeightedMinAge18),MAX(CapacityAge18*'01_Вводные'!$B$218*'19_Расчет_аналитики'!H4608,MeanMinAge18))),0)</f>
        <v/>
      </c>
      <c r="I4557">
        <f>IF('01_Вводные'!$B$234="Да",IF(OR(('06_Сеть_и_дети'!I70-'06_Сеть_и_дети'!I98)=0,18&lt;='01_Вводные'!$B$297),0,('06_Сеть_и_дети'!I70-'06_Сеть_и_дети'!I98)*IF('01_Вводные'!$B$239="Да",MeanMinAge18+'19_Расчет_аналитики'!I4608*SUMIF(ThresholdAge18,"&lt;"&amp;'19_Расчет_аналитики'!I4608,WeightedRevAge18)-SUMIF(ThresholdAge18,"&lt;"&amp;'19_Расчет_аналитики'!I4608,WeightedMinAge18),MAX(CapacityAge18*'01_Вводные'!$B$218*'19_Расчет_аналитики'!I4608,MeanMinAge18))),0)</f>
        <v/>
      </c>
      <c r="J4557">
        <f>IF('01_Вводные'!$B$234="Да",IF(OR(('06_Сеть_и_дети'!J70-'06_Сеть_и_дети'!J98)=0,18&lt;='01_Вводные'!$B$297),0,('06_Сеть_и_дети'!J70-'06_Сеть_и_дети'!J98)*IF('01_Вводные'!$B$239="Да",MeanMinAge18+'19_Расчет_аналитики'!J4608*SUMIF(ThresholdAge18,"&lt;"&amp;'19_Расчет_аналитики'!J4608,WeightedRevAge18)-SUMIF(ThresholdAge18,"&lt;"&amp;'19_Расчет_аналитики'!J4608,WeightedMinAge18),MAX(CapacityAge18*'01_Вводные'!$B$218*'19_Расчет_аналитики'!J4608,MeanMinAge18))),0)</f>
        <v/>
      </c>
      <c r="K4557">
        <f>IF('01_Вводные'!$B$234="Да",IF(OR(('06_Сеть_и_дети'!K70-'06_Сеть_и_дети'!K98)=0,18&lt;='01_Вводные'!$B$297),0,('06_Сеть_и_дети'!K70-'06_Сеть_и_дети'!K98)*IF('01_Вводные'!$B$239="Да",MeanMinAge18+'19_Расчет_аналитики'!K4608*SUMIF(ThresholdAge18,"&lt;"&amp;'19_Расчет_аналитики'!K4608,WeightedRevAge18)-SUMIF(ThresholdAge18,"&lt;"&amp;'19_Расчет_аналитики'!K4608,WeightedMinAge18),MAX(CapacityAge18*'01_Вводные'!$B$218*'19_Расчет_аналитики'!K4608,MeanMinAge18))),0)</f>
        <v/>
      </c>
      <c r="L4557">
        <f>IF('01_Вводные'!$B$234="Да",IF(OR(('06_Сеть_и_дети'!L70-'06_Сеть_и_дети'!L98)=0,18&lt;='01_Вводные'!$B$297),0,('06_Сеть_и_дети'!L70-'06_Сеть_и_дети'!L98)*IF('01_Вводные'!$B$239="Да",MeanMinAge18+'19_Расчет_аналитики'!L4608*SUMIF(ThresholdAge18,"&lt;"&amp;'19_Расчет_аналитики'!L4608,WeightedRevAge18)-SUMIF(ThresholdAge18,"&lt;"&amp;'19_Расчет_аналитики'!L4608,WeightedMinAge18),MAX(CapacityAge18*'01_Вводные'!$B$218*'19_Расчет_аналитики'!L4608,MeanMinAge18))),0)</f>
        <v/>
      </c>
      <c r="M4557">
        <f>IF('01_Вводные'!$B$234="Да",IF(OR(('06_Сеть_и_дети'!M70-'06_Сеть_и_дети'!M98)=0,18&lt;='01_Вводные'!$B$297),0,('06_Сеть_и_дети'!M70-'06_Сеть_и_дети'!M98)*IF('01_Вводные'!$B$239="Да",MeanMinAge18+'19_Расчет_аналитики'!M4608*SUMIF(ThresholdAge18,"&lt;"&amp;'19_Расчет_аналитики'!M4608,WeightedRevAge18)-SUMIF(ThresholdAge18,"&lt;"&amp;'19_Расчет_аналитики'!M4608,WeightedMinAge18),MAX(CapacityAge18*'01_Вводные'!$B$218*'19_Расчет_аналитики'!M4608,MeanMinAge18))),0)</f>
        <v/>
      </c>
      <c r="N4557">
        <f>IF('01_Вводные'!$B$234="Да",IF(OR(('06_Сеть_и_дети'!N70-'06_Сеть_и_дети'!N98)=0,18&lt;='01_Вводные'!$B$297),0,('06_Сеть_и_дети'!N70-'06_Сеть_и_дети'!N98)*IF('01_Вводные'!$B$239="Да",MeanMinAge18+'19_Расчет_аналитики'!N4608*SUMIF(ThresholdAge18,"&lt;"&amp;'19_Расчет_аналитики'!N4608,WeightedRevAge18)-SUMIF(ThresholdAge18,"&lt;"&amp;'19_Расчет_аналитики'!N4608,WeightedMinAge18),MAX(CapacityAge18*'01_Вводные'!$B$218*'19_Расчет_аналитики'!N4608,MeanMinAge18))),0)</f>
        <v/>
      </c>
      <c r="O4557">
        <f>IF('01_Вводные'!$B$234="Да",IF(OR(('06_Сеть_и_дети'!O70-'06_Сеть_и_дети'!O98)=0,18&lt;='01_Вводные'!$B$297),0,('06_Сеть_и_дети'!O70-'06_Сеть_и_дети'!O98)*IF('01_Вводные'!$B$239="Да",MeanMinAge18+'19_Расчет_аналитики'!O4608*SUMIF(ThresholdAge18,"&lt;"&amp;'19_Расчет_аналитики'!O4608,WeightedRevAge18)-SUMIF(ThresholdAge18,"&lt;"&amp;'19_Расчет_аналитики'!O4608,WeightedMinAge18),MAX(CapacityAge18*'01_Вводные'!$B$218*'19_Расчет_аналитики'!O4608,MeanMinAge18))),0)</f>
        <v/>
      </c>
      <c r="P4557">
        <f>IF('01_Вводные'!$B$234="Да",IF(OR(('06_Сеть_и_дети'!P70-'06_Сеть_и_дети'!P98)=0,18&lt;='01_Вводные'!$B$297),0,('06_Сеть_и_дети'!P70-'06_Сеть_и_дети'!P98)*IF('01_Вводные'!$B$239="Да",MeanMinAge18+'19_Расчет_аналитики'!P4608*SUMIF(ThresholdAge18,"&lt;"&amp;'19_Расчет_аналитики'!P4608,WeightedRevAge18)-SUMIF(ThresholdAge18,"&lt;"&amp;'19_Расчет_аналитики'!P4608,WeightedMinAge18),MAX(CapacityAge18*'01_Вводные'!$B$218*'19_Расчет_аналитики'!P4608,MeanMinAge18))),0)</f>
        <v/>
      </c>
      <c r="Q4557">
        <f>IF('01_Вводные'!$B$234="Да",IF(OR(('06_Сеть_и_дети'!Q70-'06_Сеть_и_дети'!Q98)=0,18&lt;='01_Вводные'!$B$297),0,('06_Сеть_и_дети'!Q70-'06_Сеть_и_дети'!Q98)*IF('01_Вводные'!$B$239="Да",MeanMinAge18+'19_Расчет_аналитики'!Q4608*SUMIF(ThresholdAge18,"&lt;"&amp;'19_Расчет_аналитики'!Q4608,WeightedRevAge18)-SUMIF(ThresholdAge18,"&lt;"&amp;'19_Расчет_аналитики'!Q4608,WeightedMinAge18),MAX(CapacityAge18*'01_Вводные'!$B$218*'19_Расчет_аналитики'!Q4608,MeanMinAge18))),0)</f>
        <v/>
      </c>
      <c r="R4557">
        <f>IF('01_Вводные'!$B$234="Да",IF(OR(('06_Сеть_и_дети'!R70-'06_Сеть_и_дети'!R98)=0,18&lt;='01_Вводные'!$B$297),0,('06_Сеть_и_дети'!R70-'06_Сеть_и_дети'!R98)*IF('01_Вводные'!$B$239="Да",MeanMinAge18+'19_Расчет_аналитики'!R4608*SUMIF(ThresholdAge18,"&lt;"&amp;'19_Расчет_аналитики'!R4608,WeightedRevAge18)-SUMIF(ThresholdAge18,"&lt;"&amp;'19_Расчет_аналитики'!R4608,WeightedMinAge18),MAX(CapacityAge18*'01_Вводные'!$B$218*'19_Расчет_аналитики'!R4608,MeanMinAge18))),0)</f>
        <v/>
      </c>
      <c r="S4557">
        <f>IF('01_Вводные'!$B$234="Да",IF(OR(('19_Расчет_аналитики'!S4473-'19_Расчет_аналитики'!S4501)=0,18&lt;='01_Вводные'!$B$297),0,('19_Расчет_аналитики'!S4473-'19_Расчет_аналитики'!S4501)*IF('01_Вводные'!$B$239="Да",MeanMinAge18+'19_Расчет_аналитики'!S4608*SUMIF(ThresholdAge18,"&lt;"&amp;'19_Расчет_аналитики'!S4608,WeightedRevAge18)-SUMIF(ThresholdAge18,"&lt;"&amp;'19_Расчет_аналитики'!S4608,WeightedMinAge18),MAX(CapacityAge18*'01_Вводные'!$B$218*'19_Расчет_аналитики'!S4608,MeanMinAge18))),0)</f>
        <v/>
      </c>
      <c r="T4557">
        <f>IF('01_Вводные'!$B$234="Да",IF(OR(('19_Расчет_аналитики'!T4473-'19_Расчет_аналитики'!T4501)=0,18&lt;='01_Вводные'!$B$297),0,('19_Расчет_аналитики'!T4473-'19_Расчет_аналитики'!T4501)*IF('01_Вводные'!$B$239="Да",MeanMinAge18+'19_Расчет_аналитики'!T4608*SUMIF(ThresholdAge18,"&lt;"&amp;'19_Расчет_аналитики'!T4608,WeightedRevAge18)-SUMIF(ThresholdAge18,"&lt;"&amp;'19_Расчет_аналитики'!T4608,WeightedMinAge18),MAX(CapacityAge18*'01_Вводные'!$B$218*'19_Расчет_аналитики'!T4608,MeanMinAge18))),0)</f>
        <v/>
      </c>
      <c r="U4557">
        <f>IF('01_Вводные'!$B$234="Да",IF(OR(('19_Расчет_аналитики'!U4473-'19_Расчет_аналитики'!U4501)=0,18&lt;='01_Вводные'!$B$297),0,('19_Расчет_аналитики'!U4473-'19_Расчет_аналитики'!U4501)*IF('01_Вводные'!$B$239="Да",MeanMinAge18+'19_Расчет_аналитики'!U4608*SUMIF(ThresholdAge18,"&lt;"&amp;'19_Расчет_аналитики'!U4608,WeightedRevAge18)-SUMIF(ThresholdAge18,"&lt;"&amp;'19_Расчет_аналитики'!U4608,WeightedMinAge18),MAX(CapacityAge18*'01_Вводные'!$B$218*'19_Расчет_аналитики'!U4608,MeanMinAge18))),0)</f>
        <v/>
      </c>
      <c r="V4557">
        <f>IF('01_Вводные'!$B$234="Да",IF(OR(('19_Расчет_аналитики'!V4473-'19_Расчет_аналитики'!V4501)=0,18&lt;='01_Вводные'!$B$297),0,('19_Расчет_аналитики'!V4473-'19_Расчет_аналитики'!V4501)*IF('01_Вводные'!$B$239="Да",MeanMinAge18+'19_Расчет_аналитики'!V4608*SUMIF(ThresholdAge18,"&lt;"&amp;'19_Расчет_аналитики'!V4608,WeightedRevAge18)-SUMIF(ThresholdAge18,"&lt;"&amp;'19_Расчет_аналитики'!V4608,WeightedMinAge18),MAX(CapacityAge18*'01_Вводные'!$B$218*'19_Расчет_аналитики'!V4608,MeanMinAge18))),0)</f>
        <v/>
      </c>
      <c r="W4557">
        <f>IF('01_Вводные'!$B$234="Да",IF(OR(('19_Расчет_аналитики'!W4473-'19_Расчет_аналитики'!W4501)=0,18&lt;='01_Вводные'!$B$297),0,('19_Расчет_аналитики'!W4473-'19_Расчет_аналитики'!W4501)*IF('01_Вводные'!$B$239="Да",MeanMinAge18+'19_Расчет_аналитики'!W4608*SUMIF(ThresholdAge18,"&lt;"&amp;'19_Расчет_аналитики'!W4608,WeightedRevAge18)-SUMIF(ThresholdAge18,"&lt;"&amp;'19_Расчет_аналитики'!W4608,WeightedMinAge18),MAX(CapacityAge18*'01_Вводные'!$B$218*'19_Расчет_аналитики'!W4608,MeanMinAge18))),0)</f>
        <v/>
      </c>
      <c r="X4557">
        <f>IF('01_Вводные'!$B$234="Да",IF(OR(('19_Расчет_аналитики'!X4473-'19_Расчет_аналитики'!X4501)=0,18&lt;='01_Вводные'!$B$297),0,('19_Расчет_аналитики'!X4473-'19_Расчет_аналитики'!X4501)*IF('01_Вводные'!$B$239="Да",MeanMinAge18+'19_Расчет_аналитики'!X4608*SUMIF(ThresholdAge18,"&lt;"&amp;'19_Расчет_аналитики'!X4608,WeightedRevAge18)-SUMIF(ThresholdAge18,"&lt;"&amp;'19_Расчет_аналитики'!X4608,WeightedMinAge18),MAX(CapacityAge18*'01_Вводные'!$B$218*'19_Расчет_аналитики'!X4608,MeanMinAge18))),0)</f>
        <v/>
      </c>
      <c r="Y4557">
        <f>IF('01_Вводные'!$B$234="Да",IF(OR(('19_Расчет_аналитики'!Y4473-'19_Расчет_аналитики'!Y4501)=0,18&lt;='01_Вводные'!$B$297),0,('19_Расчет_аналитики'!Y4473-'19_Расчет_аналитики'!Y4501)*IF('01_Вводные'!$B$239="Да",MeanMinAge18+'19_Расчет_аналитики'!Y4608*SUMIF(ThresholdAge18,"&lt;"&amp;'19_Расчет_аналитики'!Y4608,WeightedRevAge18)-SUMIF(ThresholdAge18,"&lt;"&amp;'19_Расчет_аналитики'!Y4608,WeightedMinAge18),MAX(CapacityAge18*'01_Вводные'!$B$218*'19_Расчет_аналитики'!Y4608,MeanMinAge18))),0)</f>
        <v/>
      </c>
      <c r="Z4557">
        <f>IF('01_Вводные'!$B$234="Да",IF(OR(('19_Расчет_аналитики'!Z4473-'19_Расчет_аналитики'!Z4501)=0,18&lt;='01_Вводные'!$B$297),0,('19_Расчет_аналитики'!Z4473-'19_Расчет_аналитики'!Z4501)*IF('01_Вводные'!$B$239="Да",MeanMinAge18+'19_Расчет_аналитики'!Z4608*SUMIF(ThresholdAge18,"&lt;"&amp;'19_Расчет_аналитики'!Z4608,WeightedRevAge18)-SUMIF(ThresholdAge18,"&lt;"&amp;'19_Расчет_аналитики'!Z4608,WeightedMinAge18),MAX(CapacityAge18*'01_Вводные'!$B$218*'19_Расчет_аналитики'!Z4608,MeanMinAge18))),0)</f>
        <v/>
      </c>
      <c r="AA4557">
        <f>IF('01_Вводные'!$B$234="Да",IF(OR(('19_Расчет_аналитики'!AA4473-'19_Расчет_аналитики'!AA4501)=0,18&lt;='01_Вводные'!$B$297),0,('19_Расчет_аналитики'!AA4473-'19_Расчет_аналитики'!AA4501)*IF('01_Вводные'!$B$239="Да",MeanMinAge18+'19_Расчет_аналитики'!AA4608*SUMIF(ThresholdAge18,"&lt;"&amp;'19_Расчет_аналитики'!AA4608,WeightedRevAge18)-SUMIF(ThresholdAge18,"&lt;"&amp;'19_Расчет_аналитики'!AA4608,WeightedMinAge18),MAX(CapacityAge18*'01_Вводные'!$B$218*'19_Расчет_аналитики'!AA4608,MeanMinAge18))),0)</f>
        <v/>
      </c>
      <c r="AB4557">
        <f>IF('01_Вводные'!$B$234="Да",IF(OR(('19_Расчет_аналитики'!AB4473-'19_Расчет_аналитики'!AB4501)=0,18&lt;='01_Вводные'!$B$297),0,('19_Расчет_аналитики'!AB4473-'19_Расчет_аналитики'!AB4501)*IF('01_Вводные'!$B$239="Да",MeanMinAge18+'19_Расчет_аналитики'!AB4608*SUMIF(ThresholdAge18,"&lt;"&amp;'19_Расчет_аналитики'!AB4608,WeightedRevAge18)-SUMIF(ThresholdAge18,"&lt;"&amp;'19_Расчет_аналитики'!AB4608,WeightedMinAge18),MAX(CapacityAge18*'01_Вводные'!$B$218*'19_Расчет_аналитики'!AB4608,MeanMinAge18))),0)</f>
        <v/>
      </c>
      <c r="AC4557">
        <f>IF('01_Вводные'!$B$234="Да",IF(OR(('19_Расчет_аналитики'!AC4473-'19_Расчет_аналитики'!AC4501)=0,18&lt;='01_Вводные'!$B$297),0,('19_Расчет_аналитики'!AC4473-'19_Расчет_аналитики'!AC4501)*IF('01_Вводные'!$B$239="Да",MeanMinAge18+'19_Расчет_аналитики'!AC4608*SUMIF(ThresholdAge18,"&lt;"&amp;'19_Расчет_аналитики'!AC4608,WeightedRevAge18)-SUMIF(ThresholdAge18,"&lt;"&amp;'19_Расчет_аналитики'!AC4608,WeightedMinAge18),MAX(CapacityAge18*'01_Вводные'!$B$218*'19_Расчет_аналитики'!AC4608,MeanMinAge18))),0)</f>
        <v/>
      </c>
      <c r="AD4557">
        <f>IF('01_Вводные'!$B$234="Да",IF(OR(('19_Расчет_аналитики'!AD4473-'19_Расчет_аналитики'!AD4501)=0,18&lt;='01_Вводные'!$B$297),0,('19_Расчет_аналитики'!AD4473-'19_Расчет_аналитики'!AD4501)*IF('01_Вводные'!$B$239="Да",MeanMinAge18+'19_Расчет_аналитики'!AD4608*SUMIF(ThresholdAge18,"&lt;"&amp;'19_Расчет_аналитики'!AD4608,WeightedRevAge18)-SUMIF(ThresholdAge18,"&lt;"&amp;'19_Расчет_аналитики'!AD4608,WeightedMinAge18),MAX(CapacityAge18*'01_Вводные'!$B$218*'19_Расчет_аналитики'!AD4608,MeanMinAge18))),0)</f>
        <v/>
      </c>
      <c r="AE4557">
        <f>IF('01_Вводные'!$B$234="Да",IF(OR(('19_Расчет_аналитики'!AE4473-'19_Расчет_аналитики'!AE4501)=0,18&lt;='01_Вводные'!$B$297),0,('19_Расчет_аналитики'!AE4473-'19_Расчет_аналитики'!AE4501)*IF('01_Вводные'!$B$239="Да",MeanMinAge18+'19_Расчет_аналитики'!AE4608*SUMIF(ThresholdAge18,"&lt;"&amp;'19_Расчет_аналитики'!AE4608,WeightedRevAge18)-SUMIF(ThresholdAge18,"&lt;"&amp;'19_Расчет_аналитики'!AE4608,WeightedMinAge18),MAX(CapacityAge18*'01_Вводные'!$B$218*'19_Расчет_аналитики'!AE4608,MeanMinAge18))),0)</f>
        <v/>
      </c>
      <c r="AF4557">
        <f>IF('01_Вводные'!$B$234="Да",IF(OR(('19_Расчет_аналитики'!AF4473-'19_Расчет_аналитики'!AF4501)=0,18&lt;='01_Вводные'!$B$297),0,('19_Расчет_аналитики'!AF4473-'19_Расчет_аналитики'!AF4501)*IF('01_Вводные'!$B$239="Да",MeanMinAge18+'19_Расчет_аналитики'!AF4608*SUMIF(ThresholdAge18,"&lt;"&amp;'19_Расчет_аналитики'!AF4608,WeightedRevAge18)-SUMIF(ThresholdAge18,"&lt;"&amp;'19_Расчет_аналитики'!AF4608,WeightedMinAge18),MAX(CapacityAge18*'01_Вводные'!$B$218*'19_Расчет_аналитики'!AF4608,MeanMinAge18))),0)</f>
        <v/>
      </c>
      <c r="AG4557">
        <f>IF('01_Вводные'!$B$234="Да",IF(OR(('19_Расчет_аналитики'!AG4473-'19_Расчет_аналитики'!AG4501)=0,18&lt;='01_Вводные'!$B$297),0,('19_Расчет_аналитики'!AG4473-'19_Расчет_аналитики'!AG4501)*IF('01_Вводные'!$B$239="Да",MeanMinAge18+'19_Расчет_аналитики'!AG4608*SUMIF(ThresholdAge18,"&lt;"&amp;'19_Расчет_аналитики'!AG4608,WeightedRevAge18)-SUMIF(ThresholdAge18,"&lt;"&amp;'19_Расчет_аналитики'!AG4608,WeightedMinAge18),MAX(CapacityAge18*'01_Вводные'!$B$218*'19_Расчет_аналитики'!AG4608,MeanMinAge18))),0)</f>
        <v/>
      </c>
      <c r="AH4557">
        <f>IF('01_Вводные'!$B$234="Да",IF(OR(('19_Расчет_аналитики'!AH4473-'19_Расчет_аналитики'!AH4501)=0,18&lt;='01_Вводные'!$B$297),0,('19_Расчет_аналитики'!AH4473-'19_Расчет_аналитики'!AH4501)*IF('01_Вводные'!$B$239="Да",MeanMinAge18+'19_Расчет_аналитики'!AH4608*SUMIF(ThresholdAge18,"&lt;"&amp;'19_Расчет_аналитики'!AH4608,WeightedRevAge18)-SUMIF(ThresholdAge18,"&lt;"&amp;'19_Расчет_аналитики'!AH4608,WeightedMinAge18),MAX(CapacityAge18*'01_Вводные'!$B$218*'19_Расчет_аналитики'!AH4608,MeanMinAge18))),0)</f>
        <v/>
      </c>
      <c r="AI4557">
        <f>IF('01_Вводные'!$B$234="Да",IF(OR(('19_Расчет_аналитики'!AI4473-'19_Расчет_аналитики'!AI4501)=0,18&lt;='01_Вводные'!$B$297),0,('19_Расчет_аналитики'!AI4473-'19_Расчет_аналитики'!AI4501)*IF('01_Вводные'!$B$239="Да",MeanMinAge18+'19_Расчет_аналитики'!AI4608*SUMIF(ThresholdAge18,"&lt;"&amp;'19_Расчет_аналитики'!AI4608,WeightedRevAge18)-SUMIF(ThresholdAge18,"&lt;"&amp;'19_Расчет_аналитики'!AI4608,WeightedMinAge18),MAX(CapacityAge18*'01_Вводные'!$B$218*'19_Расчет_аналитики'!AI4608,MeanMinAge18))),0)</f>
        <v/>
      </c>
      <c r="AJ4557">
        <f>IF('01_Вводные'!$B$234="Да",IF(OR(('19_Расчет_аналитики'!AJ4473-'19_Расчет_аналитики'!AJ4501)=0,18&lt;='01_Вводные'!$B$297),0,('19_Расчет_аналитики'!AJ4473-'19_Расчет_аналитики'!AJ4501)*IF('01_Вводные'!$B$239="Да",MeanMinAge18+'19_Расчет_аналитики'!AJ4608*SUMIF(ThresholdAge18,"&lt;"&amp;'19_Расчет_аналитики'!AJ4608,WeightedRevAge18)-SUMIF(ThresholdAge18,"&lt;"&amp;'19_Расчет_аналитики'!AJ4608,WeightedMinAge18),MAX(CapacityAge18*'01_Вводные'!$B$218*'19_Расчет_аналитики'!AJ4608,MeanMinAge18))),0)</f>
        <v/>
      </c>
      <c r="AK4557">
        <f>IF('01_Вводные'!$B$234="Да",IF(OR(('19_Расчет_аналитики'!AK4473-'19_Расчет_аналитики'!AK4501)=0,18&lt;='01_Вводные'!$B$297),0,('19_Расчет_аналитики'!AK4473-'19_Расчет_аналитики'!AK4501)*IF('01_Вводные'!$B$239="Да",MeanMinAge18+'19_Расчет_аналитики'!AK4608*SUMIF(ThresholdAge18,"&lt;"&amp;'19_Расчет_аналитики'!AK4608,WeightedRevAge18)-SUMIF(ThresholdAge18,"&lt;"&amp;'19_Расчет_аналитики'!AK4608,WeightedMinAge18),MAX(CapacityAge18*'01_Вводные'!$B$218*'19_Расчет_аналитики'!AK4608,MeanMinAge18))),0)</f>
        <v/>
      </c>
      <c r="AL4557">
        <f>IF('01_Вводные'!$B$234="Да",IF(OR(('19_Расчет_аналитики'!AL4473-'19_Расчет_аналитики'!AL4501)=0,18&lt;='01_Вводные'!$B$297),0,('19_Расчет_аналитики'!AL4473-'19_Расчет_аналитики'!AL4501)*IF('01_Вводные'!$B$239="Да",MeanMinAge18+'19_Расчет_аналитики'!AL4608*SUMIF(ThresholdAge18,"&lt;"&amp;'19_Расчет_аналитики'!AL4608,WeightedRevAge18)-SUMIF(ThresholdAge18,"&lt;"&amp;'19_Расчет_аналитики'!AL4608,WeightedMinAge18),MAX(CapacityAge18*'01_Вводные'!$B$218*'19_Расчет_аналитики'!AL4608,MeanMinAge18))),0)</f>
        <v/>
      </c>
      <c r="AM4557">
        <f>IF('01_Вводные'!$B$234="Да",IF(OR(('19_Расчет_аналитики'!AM4473-'19_Расчет_аналитики'!AM4501)=0,18&lt;='01_Вводные'!$B$297),0,('19_Расчет_аналитики'!AM4473-'19_Расчет_аналитики'!AM4501)*IF('01_Вводные'!$B$239="Да",MeanMinAge18+'19_Расчет_аналитики'!AM4608*SUMIF(ThresholdAge18,"&lt;"&amp;'19_Расчет_аналитики'!AM4608,WeightedRevAge18)-SUMIF(ThresholdAge18,"&lt;"&amp;'19_Расчет_аналитики'!AM4608,WeightedMinAge18),MAX(CapacityAge18*'01_Вводные'!$B$218*'19_Расчет_аналитики'!AM4608,MeanMinAge18))),0)</f>
        <v/>
      </c>
      <c r="AN4557">
        <f>IF('01_Вводные'!$B$234="Да",IF(OR(('19_Расчет_аналитики'!AN4473-'19_Расчет_аналитики'!AN4501)=0,18&lt;='01_Вводные'!$B$297),0,('19_Расчет_аналитики'!AN4473-'19_Расчет_аналитики'!AN4501)*IF('01_Вводные'!$B$239="Да",MeanMinAge18+'19_Расчет_аналитики'!AN4608*SUMIF(ThresholdAge18,"&lt;"&amp;'19_Расчет_аналитики'!AN4608,WeightedRevAge18)-SUMIF(ThresholdAge18,"&lt;"&amp;'19_Расчет_аналитики'!AN4608,WeightedMinAge18),MAX(CapacityAge18*'01_Вводные'!$B$218*'19_Расчет_аналитики'!AN4608,MeanMinAge18))),0)</f>
        <v/>
      </c>
      <c r="AO4557">
        <f>IF('01_Вводные'!$B$234="Да",IF(OR(('19_Расчет_аналитики'!AO4473-'19_Расчет_аналитики'!AO4501)=0,18&lt;='01_Вводные'!$B$297),0,('19_Расчет_аналитики'!AO4473-'19_Расчет_аналитики'!AO4501)*IF('01_Вводные'!$B$239="Да",MeanMinAge18+'19_Расчет_аналитики'!AO4608*SUMIF(ThresholdAge18,"&lt;"&amp;'19_Расчет_аналитики'!AO4608,WeightedRevAge18)-SUMIF(ThresholdAge18,"&lt;"&amp;'19_Расчет_аналитики'!AO4608,WeightedMinAge18),MAX(CapacityAge18*'01_Вводные'!$B$218*'19_Расчет_аналитики'!AO4608,MeanMinAge18))),0)</f>
        <v/>
      </c>
      <c r="AP4557">
        <f>IF('01_Вводные'!$B$234="Да",IF(OR(('19_Расчет_аналитики'!AP4473-'19_Расчет_аналитики'!AP4501)=0,18&lt;='01_Вводные'!$B$297),0,('19_Расчет_аналитики'!AP4473-'19_Расчет_аналитики'!AP4501)*IF('01_Вводные'!$B$239="Да",MeanMinAge18+'19_Расчет_аналитики'!AP4608*SUMIF(ThresholdAge18,"&lt;"&amp;'19_Расчет_аналитики'!AP4608,WeightedRevAge18)-SUMIF(ThresholdAge18,"&lt;"&amp;'19_Расчет_аналитики'!AP4608,WeightedMinAge18),MAX(CapacityAge18*'01_Вводные'!$B$218*'19_Расчет_аналитики'!AP4608,MeanMinAge18))),0)</f>
        <v/>
      </c>
      <c r="AQ4557">
        <f>IF('01_Вводные'!$B$234="Да",IF(OR(('19_Расчет_аналитики'!AQ4473-'19_Расчет_аналитики'!AQ4501)=0,18&lt;='01_Вводные'!$B$297),0,('19_Расчет_аналитики'!AQ4473-'19_Расчет_аналитики'!AQ4501)*IF('01_Вводные'!$B$239="Да",MeanMinAge18+'19_Расчет_аналитики'!AQ4608*SUMIF(ThresholdAge18,"&lt;"&amp;'19_Расчет_аналитики'!AQ4608,WeightedRevAge18)-SUMIF(ThresholdAge18,"&lt;"&amp;'19_Расчет_аналитики'!AQ4608,WeightedMinAge18),MAX(CapacityAge18*'01_Вводные'!$B$218*'19_Расчет_аналитики'!AQ4608,MeanMinAge18))),0)</f>
        <v/>
      </c>
      <c r="AR4557">
        <f>IF('01_Вводные'!$B$234="Да",IF(OR(('19_Расчет_аналитики'!AR4473-'19_Расчет_аналитики'!AR4501)=0,18&lt;='01_Вводные'!$B$297),0,('19_Расчет_аналитики'!AR4473-'19_Расчет_аналитики'!AR4501)*IF('01_Вводные'!$B$239="Да",MeanMinAge18+'19_Расчет_аналитики'!AR4608*SUMIF(ThresholdAge18,"&lt;"&amp;'19_Расчет_аналитики'!AR4608,WeightedRevAge18)-SUMIF(ThresholdAge18,"&lt;"&amp;'19_Расчет_аналитики'!AR4608,WeightedMinAge18),MAX(CapacityAge18*'01_Вводные'!$B$218*'19_Расчет_аналитики'!AR4608,MeanMinAge18))),0)</f>
        <v/>
      </c>
      <c r="AS4557">
        <f>IF('01_Вводные'!$B$234="Да",IF(OR(('19_Расчет_аналитики'!AS4473-'19_Расчет_аналитики'!AS4501)=0,18&lt;='01_Вводные'!$B$297),0,('19_Расчет_аналитики'!AS4473-'19_Расчет_аналитики'!AS4501)*IF('01_Вводные'!$B$239="Да",MeanMinAge18+'19_Расчет_аналитики'!AS4608*SUMIF(ThresholdAge18,"&lt;"&amp;'19_Расчет_аналитики'!AS4608,WeightedRevAge18)-SUMIF(ThresholdAge18,"&lt;"&amp;'19_Расчет_аналитики'!AS4608,WeightedMinAge18),MAX(CapacityAge18*'01_Вводные'!$B$218*'19_Расчет_аналитики'!AS4608,MeanMinAge18))),0)</f>
        <v/>
      </c>
      <c r="AT4557">
        <f>IF('01_Вводные'!$B$234="Да",IF(OR(('19_Расчет_аналитики'!AT4473-'19_Расчет_аналитики'!AT4501)=0,18&lt;='01_Вводные'!$B$297),0,('19_Расчет_аналитики'!AT4473-'19_Расчет_аналитики'!AT4501)*IF('01_Вводные'!$B$239="Да",MeanMinAge18+'19_Расчет_аналитики'!AT4608*SUMIF(ThresholdAge18,"&lt;"&amp;'19_Расчет_аналитики'!AT4608,WeightedRevAge18)-SUMIF(ThresholdAge18,"&lt;"&amp;'19_Расчет_аналитики'!AT4608,WeightedMinAge18),MAX(CapacityAge18*'01_Вводные'!$B$218*'19_Расчет_аналитики'!AT4608,MeanMinAge18))),0)</f>
        <v/>
      </c>
      <c r="AU4557">
        <f>IF('01_Вводные'!$B$234="Да",IF(OR(('19_Расчет_аналитики'!AU4473-'19_Расчет_аналитики'!AU4501)=0,18&lt;='01_Вводные'!$B$297),0,('19_Расчет_аналитики'!AU4473-'19_Расчет_аналитики'!AU4501)*IF('01_Вводные'!$B$239="Да",MeanMinAge18+'19_Расчет_аналитики'!AU4608*SUMIF(ThresholdAge18,"&lt;"&amp;'19_Расчет_аналитики'!AU4608,WeightedRevAge18)-SUMIF(ThresholdAge18,"&lt;"&amp;'19_Расчет_аналитики'!AU4608,WeightedMinAge18),MAX(CapacityAge18*'01_Вводные'!$B$218*'19_Расчет_аналитики'!AU4608,MeanMinAge18))),0)</f>
        <v/>
      </c>
      <c r="AV4557">
        <f>IF('01_Вводные'!$B$234="Да",IF(OR(('19_Расчет_аналитики'!AV4473-'19_Расчет_аналитики'!AV4501)=0,18&lt;='01_Вводные'!$B$297),0,('19_Расчет_аналитики'!AV4473-'19_Расчет_аналитики'!AV4501)*IF('01_Вводные'!$B$239="Да",MeanMinAge18+'19_Расчет_аналитики'!AV4608*SUMIF(ThresholdAge18,"&lt;"&amp;'19_Расчет_аналитики'!AV4608,WeightedRevAge18)-SUMIF(ThresholdAge18,"&lt;"&amp;'19_Расчет_аналитики'!AV4608,WeightedMinAge18),MAX(CapacityAge18*'01_Вводные'!$B$218*'19_Расчет_аналитики'!AV4608,MeanMinAge18))),0)</f>
        <v/>
      </c>
      <c r="AW4557">
        <f>IF('01_Вводные'!$B$234="Да",IF(OR(('19_Расчет_аналитики'!AW4473-'19_Расчет_аналитики'!AW4501)=0,18&lt;='01_Вводные'!$B$297),0,('19_Расчет_аналитики'!AW4473-'19_Расчет_аналитики'!AW4501)*IF('01_Вводные'!$B$239="Да",MeanMinAge18+'19_Расчет_аналитики'!AW4608*SUMIF(ThresholdAge18,"&lt;"&amp;'19_Расчет_аналитики'!AW4608,WeightedRevAge18)-SUMIF(ThresholdAge18,"&lt;"&amp;'19_Расчет_аналитики'!AW4608,WeightedMinAge18),MAX(CapacityAge18*'01_Вводные'!$B$218*'19_Расчет_аналитики'!AW4608,MeanMinAge18))),0)</f>
        <v/>
      </c>
      <c r="AX4557">
        <f>IF('01_Вводные'!$B$234="Да",IF(OR(('19_Расчет_аналитики'!AX4473-'19_Расчет_аналитики'!AX4501)=0,18&lt;='01_Вводные'!$B$297),0,('19_Расчет_аналитики'!AX4473-'19_Расчет_аналитики'!AX4501)*IF('01_Вводные'!$B$239="Да",MeanMinAge18+'19_Расчет_аналитики'!AX4608*SUMIF(ThresholdAge18,"&lt;"&amp;'19_Расчет_аналитики'!AX4608,WeightedRevAge18)-SUMIF(ThresholdAge18,"&lt;"&amp;'19_Расчет_аналитики'!AX4608,WeightedMinAge18),MAX(CapacityAge18*'01_Вводные'!$B$218*'19_Расчет_аналитики'!AX4608,MeanMinAge18))),0)</f>
        <v/>
      </c>
      <c r="AY4557">
        <f>IF('01_Вводные'!$B$234="Да",IF(OR(('19_Расчет_аналитики'!AY4473-'19_Расчет_аналитики'!AY4501)=0,18&lt;='01_Вводные'!$B$297),0,('19_Расчет_аналитики'!AY4473-'19_Расчет_аналитики'!AY4501)*IF('01_Вводные'!$B$239="Да",MeanMinAge18+'19_Расчет_аналитики'!AY4608*SUMIF(ThresholdAge18,"&lt;"&amp;'19_Расчет_аналитики'!AY4608,WeightedRevAge18)-SUMIF(ThresholdAge18,"&lt;"&amp;'19_Расчет_аналитики'!AY4608,WeightedMinAge18),MAX(CapacityAge18*'01_Вводные'!$B$218*'19_Расчет_аналитики'!AY4608,MeanMinAge18))),0)</f>
        <v/>
      </c>
      <c r="AZ4557">
        <f>IF('01_Вводные'!$B$234="Да",IF(OR(('19_Расчет_аналитики'!AZ4473-'19_Расчет_аналитики'!AZ4501)=0,18&lt;='01_Вводные'!$B$297),0,('19_Расчет_аналитики'!AZ4473-'19_Расчет_аналитики'!AZ4501)*IF('01_Вводные'!$B$239="Да",MeanMinAge18+'19_Расчет_аналитики'!AZ4608*SUMIF(ThresholdAge18,"&lt;"&amp;'19_Расчет_аналитики'!AZ4608,WeightedRevAge18)-SUMIF(ThresholdAge18,"&lt;"&amp;'19_Расчет_аналитики'!AZ4608,WeightedMinAge18),MAX(CapacityAge18*'01_Вводные'!$B$218*'19_Расчет_аналитики'!AZ4608,MeanMinAge18))),0)</f>
        <v/>
      </c>
      <c r="BA4557">
        <f>IF('01_Вводные'!$B$234="Да",IF(OR(('19_Расчет_аналитики'!BA4473-'19_Расчет_аналитики'!BA4501)=0,18&lt;='01_Вводные'!$B$297),0,('19_Расчет_аналитики'!BA4473-'19_Расчет_аналитики'!BA4501)*IF('01_Вводные'!$B$239="Да",MeanMinAge18+'19_Расчет_аналитики'!BA4608*SUMIF(ThresholdAge18,"&lt;"&amp;'19_Расчет_аналитики'!BA4608,WeightedRevAge18)-SUMIF(ThresholdAge18,"&lt;"&amp;'19_Расчет_аналитики'!BA4608,WeightedMinAge18),MAX(CapacityAge18*'01_Вводные'!$B$218*'19_Расчет_аналитики'!BA4608,MeanMinAge18))),0)</f>
        <v/>
      </c>
      <c r="BB4557">
        <f>IF('01_Вводные'!$B$234="Да",IF(OR(('19_Расчет_аналитики'!BB4473-'19_Расчет_аналитики'!BB4501)=0,18&lt;='01_Вводные'!$B$297),0,('19_Расчет_аналитики'!BB4473-'19_Расчет_аналитики'!BB4501)*IF('01_Вводные'!$B$239="Да",MeanMinAge18+'19_Расчет_аналитики'!BB4608*SUMIF(ThresholdAge18,"&lt;"&amp;'19_Расчет_аналитики'!BB4608,WeightedRevAge18)-SUMIF(ThresholdAge18,"&lt;"&amp;'19_Расчет_аналитики'!BB4608,WeightedMinAge18),MAX(CapacityAge18*'01_Вводные'!$B$218*'19_Расчет_аналитики'!BB4608,MeanMinAge18))),0)</f>
        <v/>
      </c>
      <c r="BC4557">
        <f>IF('01_Вводные'!$B$234="Да",IF(OR(('19_Расчет_аналитики'!BC4473-'19_Расчет_аналитики'!BC4501)=0,18&lt;='01_Вводные'!$B$297),0,('19_Расчет_аналитики'!BC4473-'19_Расчет_аналитики'!BC4501)*IF('01_Вводные'!$B$239="Да",MeanMinAge18+'19_Расчет_аналитики'!BC4608*SUMIF(ThresholdAge18,"&lt;"&amp;'19_Расчет_аналитики'!BC4608,WeightedRevAge18)-SUMIF(ThresholdAge18,"&lt;"&amp;'19_Расчет_аналитики'!BC4608,WeightedMinAge18),MAX(CapacityAge18*'01_Вводные'!$B$218*'19_Расчет_аналитики'!BC4608,MeanMinAge18))),0)</f>
        <v/>
      </c>
      <c r="BD4557">
        <f>IF('01_Вводные'!$B$234="Да",IF(OR(('19_Расчет_аналитики'!BD4473-'19_Расчет_аналитики'!BD4501)=0,18&lt;='01_Вводные'!$B$297),0,('19_Расчет_аналитики'!BD4473-'19_Расчет_аналитики'!BD4501)*IF('01_Вводные'!$B$239="Да",MeanMinAge18+'19_Расчет_аналитики'!BD4608*SUMIF(ThresholdAge18,"&lt;"&amp;'19_Расчет_аналитики'!BD4608,WeightedRevAge18)-SUMIF(ThresholdAge18,"&lt;"&amp;'19_Расчет_аналитики'!BD4608,WeightedMinAge18),MAX(CapacityAge18*'01_Вводные'!$B$218*'19_Расчет_аналитики'!BD4608,MeanMinAge18))),0)</f>
        <v/>
      </c>
      <c r="BE4557">
        <f>IF('01_Вводные'!$B$234="Да",IF(OR(('19_Расчет_аналитики'!BE4473-'19_Расчет_аналитики'!BE4501)=0,18&lt;='01_Вводные'!$B$297),0,('19_Расчет_аналитики'!BE4473-'19_Расчет_аналитики'!BE4501)*IF('01_Вводные'!$B$239="Да",MeanMinAge18+'19_Расчет_аналитики'!BE4608*SUMIF(ThresholdAge18,"&lt;"&amp;'19_Расчет_аналитики'!BE4608,WeightedRevAge18)-SUMIF(ThresholdAge18,"&lt;"&amp;'19_Расчет_аналитики'!BE4608,WeightedMinAge18),MAX(CapacityAge18*'01_Вводные'!$B$218*'19_Расчет_аналитики'!BE4608,MeanMinAge18))),0)</f>
        <v/>
      </c>
      <c r="BF4557">
        <f>IF('01_Вводные'!$B$234="Да",IF(OR(('19_Расчет_аналитики'!BF4473-'19_Расчет_аналитики'!BF4501)=0,18&lt;='01_Вводные'!$B$297),0,('19_Расчет_аналитики'!BF4473-'19_Расчет_аналитики'!BF4501)*IF('01_Вводные'!$B$239="Да",MeanMinAge18+'19_Расчет_аналитики'!BF4608*SUMIF(ThresholdAge18,"&lt;"&amp;'19_Расчет_аналитики'!BF4608,WeightedRevAge18)-SUMIF(ThresholdAge18,"&lt;"&amp;'19_Расчет_аналитики'!BF4608,WeightedMinAge18),MAX(CapacityAge18*'01_Вводные'!$B$218*'19_Расчет_аналитики'!BF4608,MeanMinAge18))),0)</f>
        <v/>
      </c>
      <c r="BG4557">
        <f>IF('01_Вводные'!$B$234="Да",IF(OR(('19_Расчет_аналитики'!BG4473-'19_Расчет_аналитики'!BG4501)=0,18&lt;='01_Вводные'!$B$297),0,('19_Расчет_аналитики'!BG4473-'19_Расчет_аналитики'!BG4501)*IF('01_Вводные'!$B$239="Да",MeanMinAge18+'19_Расчет_аналитики'!BG4608*SUMIF(ThresholdAge18,"&lt;"&amp;'19_Расчет_аналитики'!BG4608,WeightedRevAge18)-SUMIF(ThresholdAge18,"&lt;"&amp;'19_Расчет_аналитики'!BG4608,WeightedMinAge18),MAX(CapacityAge18*'01_Вводные'!$B$218*'19_Расчет_аналитики'!BG4608,MeanMinAge18))),0)</f>
        <v/>
      </c>
      <c r="BH4557">
        <f>IF('01_Вводные'!$B$234="Да",IF(OR(('19_Расчет_аналитики'!BH4473-'19_Расчет_аналитики'!BH4501)=0,18&lt;='01_Вводные'!$B$297),0,('19_Расчет_аналитики'!BH4473-'19_Расчет_аналитики'!BH4501)*IF('01_Вводные'!$B$239="Да",MeanMinAge18+'19_Расчет_аналитики'!BH4608*SUMIF(ThresholdAge18,"&lt;"&amp;'19_Расчет_аналитики'!BH4608,WeightedRevAge18)-SUMIF(ThresholdAge18,"&lt;"&amp;'19_Расчет_аналитики'!BH4608,WeightedMinAge18),MAX(CapacityAge18*'01_Вводные'!$B$218*'19_Расчет_аналитики'!BH4608,MeanMinAge18))),0)</f>
        <v/>
      </c>
      <c r="BI4557">
        <f>IF('01_Вводные'!$B$234="Да",IF(OR(('19_Расчет_аналитики'!BI4473-'19_Расчет_аналитики'!BI4501)=0,18&lt;='01_Вводные'!$B$297),0,('19_Расчет_аналитики'!BI4473-'19_Расчет_аналитики'!BI4501)*IF('01_Вводные'!$B$239="Да",MeanMinAge18+'19_Расчет_аналитики'!BI4608*SUMIF(ThresholdAge18,"&lt;"&amp;'19_Расчет_аналитики'!BI4608,WeightedRevAge18)-SUMIF(ThresholdAge18,"&lt;"&amp;'19_Расчет_аналитики'!BI4608,WeightedMinAge18),MAX(CapacityAge18*'01_Вводные'!$B$218*'19_Расчет_аналитики'!BI4608,MeanMinAge18))),0)</f>
        <v/>
      </c>
      <c r="BJ4557">
        <f>IF('01_Вводные'!$B$234="Да",IF(OR(('19_Расчет_аналитики'!BJ4473-'19_Расчет_аналитики'!BJ4501)=0,18&lt;='01_Вводные'!$B$297),0,('19_Расчет_аналитики'!BJ4473-'19_Расчет_аналитики'!BJ4501)*IF('01_Вводные'!$B$239="Да",MeanMinAge18+'19_Расчет_аналитики'!BJ4608*SUMIF(ThresholdAge18,"&lt;"&amp;'19_Расчет_аналитики'!BJ4608,WeightedRevAge18)-SUMIF(ThresholdAge18,"&lt;"&amp;'19_Расчет_аналитики'!BJ4608,WeightedMinAge18),MAX(CapacityAge18*'01_Вводные'!$B$218*'19_Расчет_аналитики'!BJ4608,MeanMinAge18))),0)</f>
        <v/>
      </c>
      <c r="BK4557">
        <f>IF('01_Вводные'!$B$234="Да",IF(OR(('19_Расчет_аналитики'!BK4473-'19_Расчет_аналитики'!BK4501)=0,18&lt;='01_Вводные'!$B$297),0,('19_Расчет_аналитики'!BK4473-'19_Расчет_аналитики'!BK4501)*IF('01_Вводные'!$B$239="Да",MeanMinAge18+'19_Расчет_аналитики'!BK4608*SUMIF(ThresholdAge18,"&lt;"&amp;'19_Расчет_аналитики'!BK4608,WeightedRevAge18)-SUMIF(ThresholdAge18,"&lt;"&amp;'19_Расчет_аналитики'!BK4608,WeightedMinAge18),MAX(CapacityAge18*'01_Вводные'!$B$218*'19_Расчет_аналитики'!BK4608,MeanMinAge18))),0)</f>
        <v/>
      </c>
      <c r="BL4557">
        <f>IF('01_Вводные'!$B$234="Да",IF(OR(('19_Расчет_аналитики'!BL4473-'19_Расчет_аналитики'!BL4501)=0,18&lt;='01_Вводные'!$B$297),0,('19_Расчет_аналитики'!BL4473-'19_Расчет_аналитики'!BL4501)*IF('01_Вводные'!$B$239="Да",MeanMinAge18+'19_Расчет_аналитики'!BL4608*SUMIF(ThresholdAge18,"&lt;"&amp;'19_Расчет_аналитики'!BL4608,WeightedRevAge18)-SUMIF(ThresholdAge18,"&lt;"&amp;'19_Расчет_аналитики'!BL4608,WeightedMinAge18),MAX(CapacityAge18*'01_Вводные'!$B$218*'19_Расчет_аналитики'!BL4608,MeanMinAge18))),0)</f>
        <v/>
      </c>
      <c r="BM4557">
        <f>IF('01_Вводные'!$B$234="Да",IF(OR(('19_Расчет_аналитики'!BM4473-'19_Расчет_аналитики'!BM4501)=0,18&lt;='01_Вводные'!$B$297),0,('19_Расчет_аналитики'!BM4473-'19_Расчет_аналитики'!BM4501)*IF('01_Вводные'!$B$239="Да",MeanMinAge18+'19_Расчет_аналитики'!BM4608*SUMIF(ThresholdAge18,"&lt;"&amp;'19_Расчет_аналитики'!BM4608,WeightedRevAge18)-SUMIF(ThresholdAge18,"&lt;"&amp;'19_Расчет_аналитики'!BM4608,WeightedMinAge18),MAX(CapacityAge18*'01_Вводные'!$B$218*'19_Расчет_аналитики'!BM4608,MeanMinAge18))),0)</f>
        <v/>
      </c>
      <c r="BN4557">
        <f>IF('01_Вводные'!$B$234="Да",IF(OR(('19_Расчет_аналитики'!BN4473-'19_Расчет_аналитики'!BN4501)=0,18&lt;='01_Вводные'!$B$297),0,('19_Расчет_аналитики'!BN4473-'19_Расчет_аналитики'!BN4501)*IF('01_Вводные'!$B$239="Да",MeanMinAge18+'19_Расчет_аналитики'!BN4608*SUMIF(ThresholdAge18,"&lt;"&amp;'19_Расчет_аналитики'!BN4608,WeightedRevAge18)-SUMIF(ThresholdAge18,"&lt;"&amp;'19_Расчет_аналитики'!BN4608,WeightedMinAge18),MAX(CapacityAge18*'01_Вводные'!$B$218*'19_Расчет_аналитики'!BN4608,MeanMinAge18))),0)</f>
        <v/>
      </c>
      <c r="BO4557">
        <f>IF('01_Вводные'!$B$234="Да",IF(OR(('19_Расчет_аналитики'!BO4473-'19_Расчет_аналитики'!BO4501)=0,18&lt;='01_Вводные'!$B$297),0,('19_Расчет_аналитики'!BO4473-'19_Расчет_аналитики'!BO4501)*IF('01_Вводные'!$B$239="Да",MeanMinAge18+'19_Расчет_аналитики'!BO4608*SUMIF(ThresholdAge18,"&lt;"&amp;'19_Расчет_аналитики'!BO4608,WeightedRevAge18)-SUMIF(ThresholdAge18,"&lt;"&amp;'19_Расчет_аналитики'!BO4608,WeightedMinAge18),MAX(CapacityAge18*'01_Вводные'!$B$218*'19_Расчет_аналитики'!BO4608,MeanMinAge18))),0)</f>
        <v/>
      </c>
    </row>
    <row r="4558">
      <c r="B4558">
        <f>IF('01_Вводные'!$B$234="Да",IF(OR(('06_Сеть_и_дети'!B71-'06_Сеть_и_дети'!B99)=0,19&lt;='01_Вводные'!$B$297),0,('06_Сеть_и_дети'!B71-'06_Сеть_и_дети'!B99)*IF('01_Вводные'!$B$239="Да",MeanMinAge19+'19_Расчет_аналитики'!B4608*SUMIF(ThresholdAge19,"&lt;"&amp;'19_Расчет_аналитики'!B4608,WeightedRevAge19)-SUMIF(ThresholdAge19,"&lt;"&amp;'19_Расчет_аналитики'!B4608,WeightedMinAge19),MAX(CapacityAge19*'01_Вводные'!$B$218*'19_Расчет_аналитики'!B4608,MeanMinAge19))),0)</f>
        <v/>
      </c>
      <c r="C4558">
        <f>IF('01_Вводные'!$B$234="Да",IF(OR(('06_Сеть_и_дети'!C71-'06_Сеть_и_дети'!C99)=0,19&lt;='01_Вводные'!$B$297),0,('06_Сеть_и_дети'!C71-'06_Сеть_и_дети'!C99)*IF('01_Вводные'!$B$239="Да",MeanMinAge19+'19_Расчет_аналитики'!C4608*SUMIF(ThresholdAge19,"&lt;"&amp;'19_Расчет_аналитики'!C4608,WeightedRevAge19)-SUMIF(ThresholdAge19,"&lt;"&amp;'19_Расчет_аналитики'!C4608,WeightedMinAge19),MAX(CapacityAge19*'01_Вводные'!$B$218*'19_Расчет_аналитики'!C4608,MeanMinAge19))),0)</f>
        <v/>
      </c>
      <c r="D4558">
        <f>IF('01_Вводные'!$B$234="Да",IF(OR(('06_Сеть_и_дети'!D71-'06_Сеть_и_дети'!D99)=0,19&lt;='01_Вводные'!$B$297),0,('06_Сеть_и_дети'!D71-'06_Сеть_и_дети'!D99)*IF('01_Вводные'!$B$239="Да",MeanMinAge19+'19_Расчет_аналитики'!D4608*SUMIF(ThresholdAge19,"&lt;"&amp;'19_Расчет_аналитики'!D4608,WeightedRevAge19)-SUMIF(ThresholdAge19,"&lt;"&amp;'19_Расчет_аналитики'!D4608,WeightedMinAge19),MAX(CapacityAge19*'01_Вводные'!$B$218*'19_Расчет_аналитики'!D4608,MeanMinAge19))),0)</f>
        <v/>
      </c>
      <c r="E4558">
        <f>IF('01_Вводные'!$B$234="Да",IF(OR(('06_Сеть_и_дети'!E71-'06_Сеть_и_дети'!E99)=0,19&lt;='01_Вводные'!$B$297),0,('06_Сеть_и_дети'!E71-'06_Сеть_и_дети'!E99)*IF('01_Вводные'!$B$239="Да",MeanMinAge19+'19_Расчет_аналитики'!E4608*SUMIF(ThresholdAge19,"&lt;"&amp;'19_Расчет_аналитики'!E4608,WeightedRevAge19)-SUMIF(ThresholdAge19,"&lt;"&amp;'19_Расчет_аналитики'!E4608,WeightedMinAge19),MAX(CapacityAge19*'01_Вводные'!$B$218*'19_Расчет_аналитики'!E4608,MeanMinAge19))),0)</f>
        <v/>
      </c>
      <c r="F4558">
        <f>IF('01_Вводные'!$B$234="Да",IF(OR(('06_Сеть_и_дети'!F71-'06_Сеть_и_дети'!F99)=0,19&lt;='01_Вводные'!$B$297),0,('06_Сеть_и_дети'!F71-'06_Сеть_и_дети'!F99)*IF('01_Вводные'!$B$239="Да",MeanMinAge19+'19_Расчет_аналитики'!F4608*SUMIF(ThresholdAge19,"&lt;"&amp;'19_Расчет_аналитики'!F4608,WeightedRevAge19)-SUMIF(ThresholdAge19,"&lt;"&amp;'19_Расчет_аналитики'!F4608,WeightedMinAge19),MAX(CapacityAge19*'01_Вводные'!$B$218*'19_Расчет_аналитики'!F4608,MeanMinAge19))),0)</f>
        <v/>
      </c>
      <c r="G4558">
        <f>IF('01_Вводные'!$B$234="Да",IF(OR(('06_Сеть_и_дети'!G71-'06_Сеть_и_дети'!G99)=0,19&lt;='01_Вводные'!$B$297),0,('06_Сеть_и_дети'!G71-'06_Сеть_и_дети'!G99)*IF('01_Вводные'!$B$239="Да",MeanMinAge19+'19_Расчет_аналитики'!G4608*SUMIF(ThresholdAge19,"&lt;"&amp;'19_Расчет_аналитики'!G4608,WeightedRevAge19)-SUMIF(ThresholdAge19,"&lt;"&amp;'19_Расчет_аналитики'!G4608,WeightedMinAge19),MAX(CapacityAge19*'01_Вводные'!$B$218*'19_Расчет_аналитики'!G4608,MeanMinAge19))),0)</f>
        <v/>
      </c>
      <c r="H4558">
        <f>IF('01_Вводные'!$B$234="Да",IF(OR(('06_Сеть_и_дети'!H71-'06_Сеть_и_дети'!H99)=0,19&lt;='01_Вводные'!$B$297),0,('06_Сеть_и_дети'!H71-'06_Сеть_и_дети'!H99)*IF('01_Вводные'!$B$239="Да",MeanMinAge19+'19_Расчет_аналитики'!H4608*SUMIF(ThresholdAge19,"&lt;"&amp;'19_Расчет_аналитики'!H4608,WeightedRevAge19)-SUMIF(ThresholdAge19,"&lt;"&amp;'19_Расчет_аналитики'!H4608,WeightedMinAge19),MAX(CapacityAge19*'01_Вводные'!$B$218*'19_Расчет_аналитики'!H4608,MeanMinAge19))),0)</f>
        <v/>
      </c>
      <c r="I4558">
        <f>IF('01_Вводные'!$B$234="Да",IF(OR(('06_Сеть_и_дети'!I71-'06_Сеть_и_дети'!I99)=0,19&lt;='01_Вводные'!$B$297),0,('06_Сеть_и_дети'!I71-'06_Сеть_и_дети'!I99)*IF('01_Вводные'!$B$239="Да",MeanMinAge19+'19_Расчет_аналитики'!I4608*SUMIF(ThresholdAge19,"&lt;"&amp;'19_Расчет_аналитики'!I4608,WeightedRevAge19)-SUMIF(ThresholdAge19,"&lt;"&amp;'19_Расчет_аналитики'!I4608,WeightedMinAge19),MAX(CapacityAge19*'01_Вводные'!$B$218*'19_Расчет_аналитики'!I4608,MeanMinAge19))),0)</f>
        <v/>
      </c>
      <c r="J4558">
        <f>IF('01_Вводные'!$B$234="Да",IF(OR(('06_Сеть_и_дети'!J71-'06_Сеть_и_дети'!J99)=0,19&lt;='01_Вводные'!$B$297),0,('06_Сеть_и_дети'!J71-'06_Сеть_и_дети'!J99)*IF('01_Вводные'!$B$239="Да",MeanMinAge19+'19_Расчет_аналитики'!J4608*SUMIF(ThresholdAge19,"&lt;"&amp;'19_Расчет_аналитики'!J4608,WeightedRevAge19)-SUMIF(ThresholdAge19,"&lt;"&amp;'19_Расчет_аналитики'!J4608,WeightedMinAge19),MAX(CapacityAge19*'01_Вводные'!$B$218*'19_Расчет_аналитики'!J4608,MeanMinAge19))),0)</f>
        <v/>
      </c>
      <c r="K4558">
        <f>IF('01_Вводные'!$B$234="Да",IF(OR(('06_Сеть_и_дети'!K71-'06_Сеть_и_дети'!K99)=0,19&lt;='01_Вводные'!$B$297),0,('06_Сеть_и_дети'!K71-'06_Сеть_и_дети'!K99)*IF('01_Вводные'!$B$239="Да",MeanMinAge19+'19_Расчет_аналитики'!K4608*SUMIF(ThresholdAge19,"&lt;"&amp;'19_Расчет_аналитики'!K4608,WeightedRevAge19)-SUMIF(ThresholdAge19,"&lt;"&amp;'19_Расчет_аналитики'!K4608,WeightedMinAge19),MAX(CapacityAge19*'01_Вводные'!$B$218*'19_Расчет_аналитики'!K4608,MeanMinAge19))),0)</f>
        <v/>
      </c>
      <c r="L4558">
        <f>IF('01_Вводные'!$B$234="Да",IF(OR(('06_Сеть_и_дети'!L71-'06_Сеть_и_дети'!L99)=0,19&lt;='01_Вводные'!$B$297),0,('06_Сеть_и_дети'!L71-'06_Сеть_и_дети'!L99)*IF('01_Вводные'!$B$239="Да",MeanMinAge19+'19_Расчет_аналитики'!L4608*SUMIF(ThresholdAge19,"&lt;"&amp;'19_Расчет_аналитики'!L4608,WeightedRevAge19)-SUMIF(ThresholdAge19,"&lt;"&amp;'19_Расчет_аналитики'!L4608,WeightedMinAge19),MAX(CapacityAge19*'01_Вводные'!$B$218*'19_Расчет_аналитики'!L4608,MeanMinAge19))),0)</f>
        <v/>
      </c>
      <c r="M4558">
        <f>IF('01_Вводные'!$B$234="Да",IF(OR(('06_Сеть_и_дети'!M71-'06_Сеть_и_дети'!M99)=0,19&lt;='01_Вводные'!$B$297),0,('06_Сеть_и_дети'!M71-'06_Сеть_и_дети'!M99)*IF('01_Вводные'!$B$239="Да",MeanMinAge19+'19_Расчет_аналитики'!M4608*SUMIF(ThresholdAge19,"&lt;"&amp;'19_Расчет_аналитики'!M4608,WeightedRevAge19)-SUMIF(ThresholdAge19,"&lt;"&amp;'19_Расчет_аналитики'!M4608,WeightedMinAge19),MAX(CapacityAge19*'01_Вводные'!$B$218*'19_Расчет_аналитики'!M4608,MeanMinAge19))),0)</f>
        <v/>
      </c>
      <c r="N4558">
        <f>IF('01_Вводные'!$B$234="Да",IF(OR(('06_Сеть_и_дети'!N71-'06_Сеть_и_дети'!N99)=0,19&lt;='01_Вводные'!$B$297),0,('06_Сеть_и_дети'!N71-'06_Сеть_и_дети'!N99)*IF('01_Вводные'!$B$239="Да",MeanMinAge19+'19_Расчет_аналитики'!N4608*SUMIF(ThresholdAge19,"&lt;"&amp;'19_Расчет_аналитики'!N4608,WeightedRevAge19)-SUMIF(ThresholdAge19,"&lt;"&amp;'19_Расчет_аналитики'!N4608,WeightedMinAge19),MAX(CapacityAge19*'01_Вводные'!$B$218*'19_Расчет_аналитики'!N4608,MeanMinAge19))),0)</f>
        <v/>
      </c>
      <c r="O4558">
        <f>IF('01_Вводные'!$B$234="Да",IF(OR(('06_Сеть_и_дети'!O71-'06_Сеть_и_дети'!O99)=0,19&lt;='01_Вводные'!$B$297),0,('06_Сеть_и_дети'!O71-'06_Сеть_и_дети'!O99)*IF('01_Вводные'!$B$239="Да",MeanMinAge19+'19_Расчет_аналитики'!O4608*SUMIF(ThresholdAge19,"&lt;"&amp;'19_Расчет_аналитики'!O4608,WeightedRevAge19)-SUMIF(ThresholdAge19,"&lt;"&amp;'19_Расчет_аналитики'!O4608,WeightedMinAge19),MAX(CapacityAge19*'01_Вводные'!$B$218*'19_Расчет_аналитики'!O4608,MeanMinAge19))),0)</f>
        <v/>
      </c>
      <c r="P4558">
        <f>IF('01_Вводные'!$B$234="Да",IF(OR(('06_Сеть_и_дети'!P71-'06_Сеть_и_дети'!P99)=0,19&lt;='01_Вводные'!$B$297),0,('06_Сеть_и_дети'!P71-'06_Сеть_и_дети'!P99)*IF('01_Вводные'!$B$239="Да",MeanMinAge19+'19_Расчет_аналитики'!P4608*SUMIF(ThresholdAge19,"&lt;"&amp;'19_Расчет_аналитики'!P4608,WeightedRevAge19)-SUMIF(ThresholdAge19,"&lt;"&amp;'19_Расчет_аналитики'!P4608,WeightedMinAge19),MAX(CapacityAge19*'01_Вводные'!$B$218*'19_Расчет_аналитики'!P4608,MeanMinAge19))),0)</f>
        <v/>
      </c>
      <c r="Q4558">
        <f>IF('01_Вводные'!$B$234="Да",IF(OR(('06_Сеть_и_дети'!Q71-'06_Сеть_и_дети'!Q99)=0,19&lt;='01_Вводные'!$B$297),0,('06_Сеть_и_дети'!Q71-'06_Сеть_и_дети'!Q99)*IF('01_Вводные'!$B$239="Да",MeanMinAge19+'19_Расчет_аналитики'!Q4608*SUMIF(ThresholdAge19,"&lt;"&amp;'19_Расчет_аналитики'!Q4608,WeightedRevAge19)-SUMIF(ThresholdAge19,"&lt;"&amp;'19_Расчет_аналитики'!Q4608,WeightedMinAge19),MAX(CapacityAge19*'01_Вводные'!$B$218*'19_Расчет_аналитики'!Q4608,MeanMinAge19))),0)</f>
        <v/>
      </c>
      <c r="R4558">
        <f>IF('01_Вводные'!$B$234="Да",IF(OR(('06_Сеть_и_дети'!R71-'06_Сеть_и_дети'!R99)=0,19&lt;='01_Вводные'!$B$297),0,('06_Сеть_и_дети'!R71-'06_Сеть_и_дети'!R99)*IF('01_Вводные'!$B$239="Да",MeanMinAge19+'19_Расчет_аналитики'!R4608*SUMIF(ThresholdAge19,"&lt;"&amp;'19_Расчет_аналитики'!R4608,WeightedRevAge19)-SUMIF(ThresholdAge19,"&lt;"&amp;'19_Расчет_аналитики'!R4608,WeightedMinAge19),MAX(CapacityAge19*'01_Вводные'!$B$218*'19_Расчет_аналитики'!R4608,MeanMinAge19))),0)</f>
        <v/>
      </c>
      <c r="S4558">
        <f>IF('01_Вводные'!$B$234="Да",IF(OR(('06_Сеть_и_дети'!S71-'06_Сеть_и_дети'!S99)=0,19&lt;='01_Вводные'!$B$297),0,('06_Сеть_и_дети'!S71-'06_Сеть_и_дети'!S99)*IF('01_Вводные'!$B$239="Да",MeanMinAge19+'19_Расчет_аналитики'!S4608*SUMIF(ThresholdAge19,"&lt;"&amp;'19_Расчет_аналитики'!S4608,WeightedRevAge19)-SUMIF(ThresholdAge19,"&lt;"&amp;'19_Расчет_аналитики'!S4608,WeightedMinAge19),MAX(CapacityAge19*'01_Вводные'!$B$218*'19_Расчет_аналитики'!S4608,MeanMinAge19))),0)</f>
        <v/>
      </c>
      <c r="T4558">
        <f>IF('01_Вводные'!$B$234="Да",IF(OR(('19_Расчет_аналитики'!T4474-'19_Расчет_аналитики'!T4502)=0,19&lt;='01_Вводные'!$B$297),0,('19_Расчет_аналитики'!T4474-'19_Расчет_аналитики'!T4502)*IF('01_Вводные'!$B$239="Да",MeanMinAge19+'19_Расчет_аналитики'!T4608*SUMIF(ThresholdAge19,"&lt;"&amp;'19_Расчет_аналитики'!T4608,WeightedRevAge19)-SUMIF(ThresholdAge19,"&lt;"&amp;'19_Расчет_аналитики'!T4608,WeightedMinAge19),MAX(CapacityAge19*'01_Вводные'!$B$218*'19_Расчет_аналитики'!T4608,MeanMinAge19))),0)</f>
        <v/>
      </c>
      <c r="U4558">
        <f>IF('01_Вводные'!$B$234="Да",IF(OR(('19_Расчет_аналитики'!U4474-'19_Расчет_аналитики'!U4502)=0,19&lt;='01_Вводные'!$B$297),0,('19_Расчет_аналитики'!U4474-'19_Расчет_аналитики'!U4502)*IF('01_Вводные'!$B$239="Да",MeanMinAge19+'19_Расчет_аналитики'!U4608*SUMIF(ThresholdAge19,"&lt;"&amp;'19_Расчет_аналитики'!U4608,WeightedRevAge19)-SUMIF(ThresholdAge19,"&lt;"&amp;'19_Расчет_аналитики'!U4608,WeightedMinAge19),MAX(CapacityAge19*'01_Вводные'!$B$218*'19_Расчет_аналитики'!U4608,MeanMinAge19))),0)</f>
        <v/>
      </c>
      <c r="V4558">
        <f>IF('01_Вводные'!$B$234="Да",IF(OR(('19_Расчет_аналитики'!V4474-'19_Расчет_аналитики'!V4502)=0,19&lt;='01_Вводные'!$B$297),0,('19_Расчет_аналитики'!V4474-'19_Расчет_аналитики'!V4502)*IF('01_Вводные'!$B$239="Да",MeanMinAge19+'19_Расчет_аналитики'!V4608*SUMIF(ThresholdAge19,"&lt;"&amp;'19_Расчет_аналитики'!V4608,WeightedRevAge19)-SUMIF(ThresholdAge19,"&lt;"&amp;'19_Расчет_аналитики'!V4608,WeightedMinAge19),MAX(CapacityAge19*'01_Вводные'!$B$218*'19_Расчет_аналитики'!V4608,MeanMinAge19))),0)</f>
        <v/>
      </c>
      <c r="W4558">
        <f>IF('01_Вводные'!$B$234="Да",IF(OR(('19_Расчет_аналитики'!W4474-'19_Расчет_аналитики'!W4502)=0,19&lt;='01_Вводные'!$B$297),0,('19_Расчет_аналитики'!W4474-'19_Расчет_аналитики'!W4502)*IF('01_Вводные'!$B$239="Да",MeanMinAge19+'19_Расчет_аналитики'!W4608*SUMIF(ThresholdAge19,"&lt;"&amp;'19_Расчет_аналитики'!W4608,WeightedRevAge19)-SUMIF(ThresholdAge19,"&lt;"&amp;'19_Расчет_аналитики'!W4608,WeightedMinAge19),MAX(CapacityAge19*'01_Вводные'!$B$218*'19_Расчет_аналитики'!W4608,MeanMinAge19))),0)</f>
        <v/>
      </c>
      <c r="X4558">
        <f>IF('01_Вводные'!$B$234="Да",IF(OR(('19_Расчет_аналитики'!X4474-'19_Расчет_аналитики'!X4502)=0,19&lt;='01_Вводные'!$B$297),0,('19_Расчет_аналитики'!X4474-'19_Расчет_аналитики'!X4502)*IF('01_Вводные'!$B$239="Да",MeanMinAge19+'19_Расчет_аналитики'!X4608*SUMIF(ThresholdAge19,"&lt;"&amp;'19_Расчет_аналитики'!X4608,WeightedRevAge19)-SUMIF(ThresholdAge19,"&lt;"&amp;'19_Расчет_аналитики'!X4608,WeightedMinAge19),MAX(CapacityAge19*'01_Вводные'!$B$218*'19_Расчет_аналитики'!X4608,MeanMinAge19))),0)</f>
        <v/>
      </c>
      <c r="Y4558">
        <f>IF('01_Вводные'!$B$234="Да",IF(OR(('19_Расчет_аналитики'!Y4474-'19_Расчет_аналитики'!Y4502)=0,19&lt;='01_Вводные'!$B$297),0,('19_Расчет_аналитики'!Y4474-'19_Расчет_аналитики'!Y4502)*IF('01_Вводные'!$B$239="Да",MeanMinAge19+'19_Расчет_аналитики'!Y4608*SUMIF(ThresholdAge19,"&lt;"&amp;'19_Расчет_аналитики'!Y4608,WeightedRevAge19)-SUMIF(ThresholdAge19,"&lt;"&amp;'19_Расчет_аналитики'!Y4608,WeightedMinAge19),MAX(CapacityAge19*'01_Вводные'!$B$218*'19_Расчет_аналитики'!Y4608,MeanMinAge19))),0)</f>
        <v/>
      </c>
      <c r="Z4558">
        <f>IF('01_Вводные'!$B$234="Да",IF(OR(('19_Расчет_аналитики'!Z4474-'19_Расчет_аналитики'!Z4502)=0,19&lt;='01_Вводные'!$B$297),0,('19_Расчет_аналитики'!Z4474-'19_Расчет_аналитики'!Z4502)*IF('01_Вводные'!$B$239="Да",MeanMinAge19+'19_Расчет_аналитики'!Z4608*SUMIF(ThresholdAge19,"&lt;"&amp;'19_Расчет_аналитики'!Z4608,WeightedRevAge19)-SUMIF(ThresholdAge19,"&lt;"&amp;'19_Расчет_аналитики'!Z4608,WeightedMinAge19),MAX(CapacityAge19*'01_Вводные'!$B$218*'19_Расчет_аналитики'!Z4608,MeanMinAge19))),0)</f>
        <v/>
      </c>
      <c r="AA4558">
        <f>IF('01_Вводные'!$B$234="Да",IF(OR(('19_Расчет_аналитики'!AA4474-'19_Расчет_аналитики'!AA4502)=0,19&lt;='01_Вводные'!$B$297),0,('19_Расчет_аналитики'!AA4474-'19_Расчет_аналитики'!AA4502)*IF('01_Вводные'!$B$239="Да",MeanMinAge19+'19_Расчет_аналитики'!AA4608*SUMIF(ThresholdAge19,"&lt;"&amp;'19_Расчет_аналитики'!AA4608,WeightedRevAge19)-SUMIF(ThresholdAge19,"&lt;"&amp;'19_Расчет_аналитики'!AA4608,WeightedMinAge19),MAX(CapacityAge19*'01_Вводные'!$B$218*'19_Расчет_аналитики'!AA4608,MeanMinAge19))),0)</f>
        <v/>
      </c>
      <c r="AB4558">
        <f>IF('01_Вводные'!$B$234="Да",IF(OR(('19_Расчет_аналитики'!AB4474-'19_Расчет_аналитики'!AB4502)=0,19&lt;='01_Вводные'!$B$297),0,('19_Расчет_аналитики'!AB4474-'19_Расчет_аналитики'!AB4502)*IF('01_Вводные'!$B$239="Да",MeanMinAge19+'19_Расчет_аналитики'!AB4608*SUMIF(ThresholdAge19,"&lt;"&amp;'19_Расчет_аналитики'!AB4608,WeightedRevAge19)-SUMIF(ThresholdAge19,"&lt;"&amp;'19_Расчет_аналитики'!AB4608,WeightedMinAge19),MAX(CapacityAge19*'01_Вводные'!$B$218*'19_Расчет_аналитики'!AB4608,MeanMinAge19))),0)</f>
        <v/>
      </c>
      <c r="AC4558">
        <f>IF('01_Вводные'!$B$234="Да",IF(OR(('19_Расчет_аналитики'!AC4474-'19_Расчет_аналитики'!AC4502)=0,19&lt;='01_Вводные'!$B$297),0,('19_Расчет_аналитики'!AC4474-'19_Расчет_аналитики'!AC4502)*IF('01_Вводные'!$B$239="Да",MeanMinAge19+'19_Расчет_аналитики'!AC4608*SUMIF(ThresholdAge19,"&lt;"&amp;'19_Расчет_аналитики'!AC4608,WeightedRevAge19)-SUMIF(ThresholdAge19,"&lt;"&amp;'19_Расчет_аналитики'!AC4608,WeightedMinAge19),MAX(CapacityAge19*'01_Вводные'!$B$218*'19_Расчет_аналитики'!AC4608,MeanMinAge19))),0)</f>
        <v/>
      </c>
      <c r="AD4558">
        <f>IF('01_Вводные'!$B$234="Да",IF(OR(('19_Расчет_аналитики'!AD4474-'19_Расчет_аналитики'!AD4502)=0,19&lt;='01_Вводные'!$B$297),0,('19_Расчет_аналитики'!AD4474-'19_Расчет_аналитики'!AD4502)*IF('01_Вводные'!$B$239="Да",MeanMinAge19+'19_Расчет_аналитики'!AD4608*SUMIF(ThresholdAge19,"&lt;"&amp;'19_Расчет_аналитики'!AD4608,WeightedRevAge19)-SUMIF(ThresholdAge19,"&lt;"&amp;'19_Расчет_аналитики'!AD4608,WeightedMinAge19),MAX(CapacityAge19*'01_Вводные'!$B$218*'19_Расчет_аналитики'!AD4608,MeanMinAge19))),0)</f>
        <v/>
      </c>
      <c r="AE4558">
        <f>IF('01_Вводные'!$B$234="Да",IF(OR(('19_Расчет_аналитики'!AE4474-'19_Расчет_аналитики'!AE4502)=0,19&lt;='01_Вводные'!$B$297),0,('19_Расчет_аналитики'!AE4474-'19_Расчет_аналитики'!AE4502)*IF('01_Вводные'!$B$239="Да",MeanMinAge19+'19_Расчет_аналитики'!AE4608*SUMIF(ThresholdAge19,"&lt;"&amp;'19_Расчет_аналитики'!AE4608,WeightedRevAge19)-SUMIF(ThresholdAge19,"&lt;"&amp;'19_Расчет_аналитики'!AE4608,WeightedMinAge19),MAX(CapacityAge19*'01_Вводные'!$B$218*'19_Расчет_аналитики'!AE4608,MeanMinAge19))),0)</f>
        <v/>
      </c>
      <c r="AF4558">
        <f>IF('01_Вводные'!$B$234="Да",IF(OR(('19_Расчет_аналитики'!AF4474-'19_Расчет_аналитики'!AF4502)=0,19&lt;='01_Вводные'!$B$297),0,('19_Расчет_аналитики'!AF4474-'19_Расчет_аналитики'!AF4502)*IF('01_Вводные'!$B$239="Да",MeanMinAge19+'19_Расчет_аналитики'!AF4608*SUMIF(ThresholdAge19,"&lt;"&amp;'19_Расчет_аналитики'!AF4608,WeightedRevAge19)-SUMIF(ThresholdAge19,"&lt;"&amp;'19_Расчет_аналитики'!AF4608,WeightedMinAge19),MAX(CapacityAge19*'01_Вводные'!$B$218*'19_Расчет_аналитики'!AF4608,MeanMinAge19))),0)</f>
        <v/>
      </c>
      <c r="AG4558">
        <f>IF('01_Вводные'!$B$234="Да",IF(OR(('19_Расчет_аналитики'!AG4474-'19_Расчет_аналитики'!AG4502)=0,19&lt;='01_Вводные'!$B$297),0,('19_Расчет_аналитики'!AG4474-'19_Расчет_аналитики'!AG4502)*IF('01_Вводные'!$B$239="Да",MeanMinAge19+'19_Расчет_аналитики'!AG4608*SUMIF(ThresholdAge19,"&lt;"&amp;'19_Расчет_аналитики'!AG4608,WeightedRevAge19)-SUMIF(ThresholdAge19,"&lt;"&amp;'19_Расчет_аналитики'!AG4608,WeightedMinAge19),MAX(CapacityAge19*'01_Вводные'!$B$218*'19_Расчет_аналитики'!AG4608,MeanMinAge19))),0)</f>
        <v/>
      </c>
      <c r="AH4558">
        <f>IF('01_Вводные'!$B$234="Да",IF(OR(('19_Расчет_аналитики'!AH4474-'19_Расчет_аналитики'!AH4502)=0,19&lt;='01_Вводные'!$B$297),0,('19_Расчет_аналитики'!AH4474-'19_Расчет_аналитики'!AH4502)*IF('01_Вводные'!$B$239="Да",MeanMinAge19+'19_Расчет_аналитики'!AH4608*SUMIF(ThresholdAge19,"&lt;"&amp;'19_Расчет_аналитики'!AH4608,WeightedRevAge19)-SUMIF(ThresholdAge19,"&lt;"&amp;'19_Расчет_аналитики'!AH4608,WeightedMinAge19),MAX(CapacityAge19*'01_Вводные'!$B$218*'19_Расчет_аналитики'!AH4608,MeanMinAge19))),0)</f>
        <v/>
      </c>
      <c r="AI4558">
        <f>IF('01_Вводные'!$B$234="Да",IF(OR(('19_Расчет_аналитики'!AI4474-'19_Расчет_аналитики'!AI4502)=0,19&lt;='01_Вводные'!$B$297),0,('19_Расчет_аналитики'!AI4474-'19_Расчет_аналитики'!AI4502)*IF('01_Вводные'!$B$239="Да",MeanMinAge19+'19_Расчет_аналитики'!AI4608*SUMIF(ThresholdAge19,"&lt;"&amp;'19_Расчет_аналитики'!AI4608,WeightedRevAge19)-SUMIF(ThresholdAge19,"&lt;"&amp;'19_Расчет_аналитики'!AI4608,WeightedMinAge19),MAX(CapacityAge19*'01_Вводные'!$B$218*'19_Расчет_аналитики'!AI4608,MeanMinAge19))),0)</f>
        <v/>
      </c>
      <c r="AJ4558">
        <f>IF('01_Вводные'!$B$234="Да",IF(OR(('19_Расчет_аналитики'!AJ4474-'19_Расчет_аналитики'!AJ4502)=0,19&lt;='01_Вводные'!$B$297),0,('19_Расчет_аналитики'!AJ4474-'19_Расчет_аналитики'!AJ4502)*IF('01_Вводные'!$B$239="Да",MeanMinAge19+'19_Расчет_аналитики'!AJ4608*SUMIF(ThresholdAge19,"&lt;"&amp;'19_Расчет_аналитики'!AJ4608,WeightedRevAge19)-SUMIF(ThresholdAge19,"&lt;"&amp;'19_Расчет_аналитики'!AJ4608,WeightedMinAge19),MAX(CapacityAge19*'01_Вводные'!$B$218*'19_Расчет_аналитики'!AJ4608,MeanMinAge19))),0)</f>
        <v/>
      </c>
      <c r="AK4558">
        <f>IF('01_Вводные'!$B$234="Да",IF(OR(('19_Расчет_аналитики'!AK4474-'19_Расчет_аналитики'!AK4502)=0,19&lt;='01_Вводные'!$B$297),0,('19_Расчет_аналитики'!AK4474-'19_Расчет_аналитики'!AK4502)*IF('01_Вводные'!$B$239="Да",MeanMinAge19+'19_Расчет_аналитики'!AK4608*SUMIF(ThresholdAge19,"&lt;"&amp;'19_Расчет_аналитики'!AK4608,WeightedRevAge19)-SUMIF(ThresholdAge19,"&lt;"&amp;'19_Расчет_аналитики'!AK4608,WeightedMinAge19),MAX(CapacityAge19*'01_Вводные'!$B$218*'19_Расчет_аналитики'!AK4608,MeanMinAge19))),0)</f>
        <v/>
      </c>
      <c r="AL4558">
        <f>IF('01_Вводные'!$B$234="Да",IF(OR(('19_Расчет_аналитики'!AL4474-'19_Расчет_аналитики'!AL4502)=0,19&lt;='01_Вводные'!$B$297),0,('19_Расчет_аналитики'!AL4474-'19_Расчет_аналитики'!AL4502)*IF('01_Вводные'!$B$239="Да",MeanMinAge19+'19_Расчет_аналитики'!AL4608*SUMIF(ThresholdAge19,"&lt;"&amp;'19_Расчет_аналитики'!AL4608,WeightedRevAge19)-SUMIF(ThresholdAge19,"&lt;"&amp;'19_Расчет_аналитики'!AL4608,WeightedMinAge19),MAX(CapacityAge19*'01_Вводные'!$B$218*'19_Расчет_аналитики'!AL4608,MeanMinAge19))),0)</f>
        <v/>
      </c>
      <c r="AM4558">
        <f>IF('01_Вводные'!$B$234="Да",IF(OR(('19_Расчет_аналитики'!AM4474-'19_Расчет_аналитики'!AM4502)=0,19&lt;='01_Вводные'!$B$297),0,('19_Расчет_аналитики'!AM4474-'19_Расчет_аналитики'!AM4502)*IF('01_Вводные'!$B$239="Да",MeanMinAge19+'19_Расчет_аналитики'!AM4608*SUMIF(ThresholdAge19,"&lt;"&amp;'19_Расчет_аналитики'!AM4608,WeightedRevAge19)-SUMIF(ThresholdAge19,"&lt;"&amp;'19_Расчет_аналитики'!AM4608,WeightedMinAge19),MAX(CapacityAge19*'01_Вводные'!$B$218*'19_Расчет_аналитики'!AM4608,MeanMinAge19))),0)</f>
        <v/>
      </c>
      <c r="AN4558">
        <f>IF('01_Вводные'!$B$234="Да",IF(OR(('19_Расчет_аналитики'!AN4474-'19_Расчет_аналитики'!AN4502)=0,19&lt;='01_Вводные'!$B$297),0,('19_Расчет_аналитики'!AN4474-'19_Расчет_аналитики'!AN4502)*IF('01_Вводные'!$B$239="Да",MeanMinAge19+'19_Расчет_аналитики'!AN4608*SUMIF(ThresholdAge19,"&lt;"&amp;'19_Расчет_аналитики'!AN4608,WeightedRevAge19)-SUMIF(ThresholdAge19,"&lt;"&amp;'19_Расчет_аналитики'!AN4608,WeightedMinAge19),MAX(CapacityAge19*'01_Вводные'!$B$218*'19_Расчет_аналитики'!AN4608,MeanMinAge19))),0)</f>
        <v/>
      </c>
      <c r="AO4558">
        <f>IF('01_Вводные'!$B$234="Да",IF(OR(('19_Расчет_аналитики'!AO4474-'19_Расчет_аналитики'!AO4502)=0,19&lt;='01_Вводные'!$B$297),0,('19_Расчет_аналитики'!AO4474-'19_Расчет_аналитики'!AO4502)*IF('01_Вводные'!$B$239="Да",MeanMinAge19+'19_Расчет_аналитики'!AO4608*SUMIF(ThresholdAge19,"&lt;"&amp;'19_Расчет_аналитики'!AO4608,WeightedRevAge19)-SUMIF(ThresholdAge19,"&lt;"&amp;'19_Расчет_аналитики'!AO4608,WeightedMinAge19),MAX(CapacityAge19*'01_Вводные'!$B$218*'19_Расчет_аналитики'!AO4608,MeanMinAge19))),0)</f>
        <v/>
      </c>
      <c r="AP4558">
        <f>IF('01_Вводные'!$B$234="Да",IF(OR(('19_Расчет_аналитики'!AP4474-'19_Расчет_аналитики'!AP4502)=0,19&lt;='01_Вводные'!$B$297),0,('19_Расчет_аналитики'!AP4474-'19_Расчет_аналитики'!AP4502)*IF('01_Вводные'!$B$239="Да",MeanMinAge19+'19_Расчет_аналитики'!AP4608*SUMIF(ThresholdAge19,"&lt;"&amp;'19_Расчет_аналитики'!AP4608,WeightedRevAge19)-SUMIF(ThresholdAge19,"&lt;"&amp;'19_Расчет_аналитики'!AP4608,WeightedMinAge19),MAX(CapacityAge19*'01_Вводные'!$B$218*'19_Расчет_аналитики'!AP4608,MeanMinAge19))),0)</f>
        <v/>
      </c>
      <c r="AQ4558">
        <f>IF('01_Вводные'!$B$234="Да",IF(OR(('19_Расчет_аналитики'!AQ4474-'19_Расчет_аналитики'!AQ4502)=0,19&lt;='01_Вводные'!$B$297),0,('19_Расчет_аналитики'!AQ4474-'19_Расчет_аналитики'!AQ4502)*IF('01_Вводные'!$B$239="Да",MeanMinAge19+'19_Расчет_аналитики'!AQ4608*SUMIF(ThresholdAge19,"&lt;"&amp;'19_Расчет_аналитики'!AQ4608,WeightedRevAge19)-SUMIF(ThresholdAge19,"&lt;"&amp;'19_Расчет_аналитики'!AQ4608,WeightedMinAge19),MAX(CapacityAge19*'01_Вводные'!$B$218*'19_Расчет_аналитики'!AQ4608,MeanMinAge19))),0)</f>
        <v/>
      </c>
      <c r="AR4558">
        <f>IF('01_Вводные'!$B$234="Да",IF(OR(('19_Расчет_аналитики'!AR4474-'19_Расчет_аналитики'!AR4502)=0,19&lt;='01_Вводные'!$B$297),0,('19_Расчет_аналитики'!AR4474-'19_Расчет_аналитики'!AR4502)*IF('01_Вводные'!$B$239="Да",MeanMinAge19+'19_Расчет_аналитики'!AR4608*SUMIF(ThresholdAge19,"&lt;"&amp;'19_Расчет_аналитики'!AR4608,WeightedRevAge19)-SUMIF(ThresholdAge19,"&lt;"&amp;'19_Расчет_аналитики'!AR4608,WeightedMinAge19),MAX(CapacityAge19*'01_Вводные'!$B$218*'19_Расчет_аналитики'!AR4608,MeanMinAge19))),0)</f>
        <v/>
      </c>
      <c r="AS4558">
        <f>IF('01_Вводные'!$B$234="Да",IF(OR(('19_Расчет_аналитики'!AS4474-'19_Расчет_аналитики'!AS4502)=0,19&lt;='01_Вводные'!$B$297),0,('19_Расчет_аналитики'!AS4474-'19_Расчет_аналитики'!AS4502)*IF('01_Вводные'!$B$239="Да",MeanMinAge19+'19_Расчет_аналитики'!AS4608*SUMIF(ThresholdAge19,"&lt;"&amp;'19_Расчет_аналитики'!AS4608,WeightedRevAge19)-SUMIF(ThresholdAge19,"&lt;"&amp;'19_Расчет_аналитики'!AS4608,WeightedMinAge19),MAX(CapacityAge19*'01_Вводные'!$B$218*'19_Расчет_аналитики'!AS4608,MeanMinAge19))),0)</f>
        <v/>
      </c>
      <c r="AT4558">
        <f>IF('01_Вводные'!$B$234="Да",IF(OR(('19_Расчет_аналитики'!AT4474-'19_Расчет_аналитики'!AT4502)=0,19&lt;='01_Вводные'!$B$297),0,('19_Расчет_аналитики'!AT4474-'19_Расчет_аналитики'!AT4502)*IF('01_Вводные'!$B$239="Да",MeanMinAge19+'19_Расчет_аналитики'!AT4608*SUMIF(ThresholdAge19,"&lt;"&amp;'19_Расчет_аналитики'!AT4608,WeightedRevAge19)-SUMIF(ThresholdAge19,"&lt;"&amp;'19_Расчет_аналитики'!AT4608,WeightedMinAge19),MAX(CapacityAge19*'01_Вводные'!$B$218*'19_Расчет_аналитики'!AT4608,MeanMinAge19))),0)</f>
        <v/>
      </c>
      <c r="AU4558">
        <f>IF('01_Вводные'!$B$234="Да",IF(OR(('19_Расчет_аналитики'!AU4474-'19_Расчет_аналитики'!AU4502)=0,19&lt;='01_Вводные'!$B$297),0,('19_Расчет_аналитики'!AU4474-'19_Расчет_аналитики'!AU4502)*IF('01_Вводные'!$B$239="Да",MeanMinAge19+'19_Расчет_аналитики'!AU4608*SUMIF(ThresholdAge19,"&lt;"&amp;'19_Расчет_аналитики'!AU4608,WeightedRevAge19)-SUMIF(ThresholdAge19,"&lt;"&amp;'19_Расчет_аналитики'!AU4608,WeightedMinAge19),MAX(CapacityAge19*'01_Вводные'!$B$218*'19_Расчет_аналитики'!AU4608,MeanMinAge19))),0)</f>
        <v/>
      </c>
      <c r="AV4558">
        <f>IF('01_Вводные'!$B$234="Да",IF(OR(('19_Расчет_аналитики'!AV4474-'19_Расчет_аналитики'!AV4502)=0,19&lt;='01_Вводные'!$B$297),0,('19_Расчет_аналитики'!AV4474-'19_Расчет_аналитики'!AV4502)*IF('01_Вводные'!$B$239="Да",MeanMinAge19+'19_Расчет_аналитики'!AV4608*SUMIF(ThresholdAge19,"&lt;"&amp;'19_Расчет_аналитики'!AV4608,WeightedRevAge19)-SUMIF(ThresholdAge19,"&lt;"&amp;'19_Расчет_аналитики'!AV4608,WeightedMinAge19),MAX(CapacityAge19*'01_Вводные'!$B$218*'19_Расчет_аналитики'!AV4608,MeanMinAge19))),0)</f>
        <v/>
      </c>
      <c r="AW4558">
        <f>IF('01_Вводные'!$B$234="Да",IF(OR(('19_Расчет_аналитики'!AW4474-'19_Расчет_аналитики'!AW4502)=0,19&lt;='01_Вводные'!$B$297),0,('19_Расчет_аналитики'!AW4474-'19_Расчет_аналитики'!AW4502)*IF('01_Вводные'!$B$239="Да",MeanMinAge19+'19_Расчет_аналитики'!AW4608*SUMIF(ThresholdAge19,"&lt;"&amp;'19_Расчет_аналитики'!AW4608,WeightedRevAge19)-SUMIF(ThresholdAge19,"&lt;"&amp;'19_Расчет_аналитики'!AW4608,WeightedMinAge19),MAX(CapacityAge19*'01_Вводные'!$B$218*'19_Расчет_аналитики'!AW4608,MeanMinAge19))),0)</f>
        <v/>
      </c>
      <c r="AX4558">
        <f>IF('01_Вводные'!$B$234="Да",IF(OR(('19_Расчет_аналитики'!AX4474-'19_Расчет_аналитики'!AX4502)=0,19&lt;='01_Вводные'!$B$297),0,('19_Расчет_аналитики'!AX4474-'19_Расчет_аналитики'!AX4502)*IF('01_Вводные'!$B$239="Да",MeanMinAge19+'19_Расчет_аналитики'!AX4608*SUMIF(ThresholdAge19,"&lt;"&amp;'19_Расчет_аналитики'!AX4608,WeightedRevAge19)-SUMIF(ThresholdAge19,"&lt;"&amp;'19_Расчет_аналитики'!AX4608,WeightedMinAge19),MAX(CapacityAge19*'01_Вводные'!$B$218*'19_Расчет_аналитики'!AX4608,MeanMinAge19))),0)</f>
        <v/>
      </c>
      <c r="AY4558">
        <f>IF('01_Вводные'!$B$234="Да",IF(OR(('19_Расчет_аналитики'!AY4474-'19_Расчет_аналитики'!AY4502)=0,19&lt;='01_Вводные'!$B$297),0,('19_Расчет_аналитики'!AY4474-'19_Расчет_аналитики'!AY4502)*IF('01_Вводные'!$B$239="Да",MeanMinAge19+'19_Расчет_аналитики'!AY4608*SUMIF(ThresholdAge19,"&lt;"&amp;'19_Расчет_аналитики'!AY4608,WeightedRevAge19)-SUMIF(ThresholdAge19,"&lt;"&amp;'19_Расчет_аналитики'!AY4608,WeightedMinAge19),MAX(CapacityAge19*'01_Вводные'!$B$218*'19_Расчет_аналитики'!AY4608,MeanMinAge19))),0)</f>
        <v/>
      </c>
      <c r="AZ4558">
        <f>IF('01_Вводные'!$B$234="Да",IF(OR(('19_Расчет_аналитики'!AZ4474-'19_Расчет_аналитики'!AZ4502)=0,19&lt;='01_Вводные'!$B$297),0,('19_Расчет_аналитики'!AZ4474-'19_Расчет_аналитики'!AZ4502)*IF('01_Вводные'!$B$239="Да",MeanMinAge19+'19_Расчет_аналитики'!AZ4608*SUMIF(ThresholdAge19,"&lt;"&amp;'19_Расчет_аналитики'!AZ4608,WeightedRevAge19)-SUMIF(ThresholdAge19,"&lt;"&amp;'19_Расчет_аналитики'!AZ4608,WeightedMinAge19),MAX(CapacityAge19*'01_Вводные'!$B$218*'19_Расчет_аналитики'!AZ4608,MeanMinAge19))),0)</f>
        <v/>
      </c>
      <c r="BA4558">
        <f>IF('01_Вводные'!$B$234="Да",IF(OR(('19_Расчет_аналитики'!BA4474-'19_Расчет_аналитики'!BA4502)=0,19&lt;='01_Вводные'!$B$297),0,('19_Расчет_аналитики'!BA4474-'19_Расчет_аналитики'!BA4502)*IF('01_Вводные'!$B$239="Да",MeanMinAge19+'19_Расчет_аналитики'!BA4608*SUMIF(ThresholdAge19,"&lt;"&amp;'19_Расчет_аналитики'!BA4608,WeightedRevAge19)-SUMIF(ThresholdAge19,"&lt;"&amp;'19_Расчет_аналитики'!BA4608,WeightedMinAge19),MAX(CapacityAge19*'01_Вводные'!$B$218*'19_Расчет_аналитики'!BA4608,MeanMinAge19))),0)</f>
        <v/>
      </c>
      <c r="BB4558">
        <f>IF('01_Вводные'!$B$234="Да",IF(OR(('19_Расчет_аналитики'!BB4474-'19_Расчет_аналитики'!BB4502)=0,19&lt;='01_Вводные'!$B$297),0,('19_Расчет_аналитики'!BB4474-'19_Расчет_аналитики'!BB4502)*IF('01_Вводные'!$B$239="Да",MeanMinAge19+'19_Расчет_аналитики'!BB4608*SUMIF(ThresholdAge19,"&lt;"&amp;'19_Расчет_аналитики'!BB4608,WeightedRevAge19)-SUMIF(ThresholdAge19,"&lt;"&amp;'19_Расчет_аналитики'!BB4608,WeightedMinAge19),MAX(CapacityAge19*'01_Вводные'!$B$218*'19_Расчет_аналитики'!BB4608,MeanMinAge19))),0)</f>
        <v/>
      </c>
      <c r="BC4558">
        <f>IF('01_Вводные'!$B$234="Да",IF(OR(('19_Расчет_аналитики'!BC4474-'19_Расчет_аналитики'!BC4502)=0,19&lt;='01_Вводные'!$B$297),0,('19_Расчет_аналитики'!BC4474-'19_Расчет_аналитики'!BC4502)*IF('01_Вводные'!$B$239="Да",MeanMinAge19+'19_Расчет_аналитики'!BC4608*SUMIF(ThresholdAge19,"&lt;"&amp;'19_Расчет_аналитики'!BC4608,WeightedRevAge19)-SUMIF(ThresholdAge19,"&lt;"&amp;'19_Расчет_аналитики'!BC4608,WeightedMinAge19),MAX(CapacityAge19*'01_Вводные'!$B$218*'19_Расчет_аналитики'!BC4608,MeanMinAge19))),0)</f>
        <v/>
      </c>
      <c r="BD4558">
        <f>IF('01_Вводные'!$B$234="Да",IF(OR(('19_Расчет_аналитики'!BD4474-'19_Расчет_аналитики'!BD4502)=0,19&lt;='01_Вводные'!$B$297),0,('19_Расчет_аналитики'!BD4474-'19_Расчет_аналитики'!BD4502)*IF('01_Вводные'!$B$239="Да",MeanMinAge19+'19_Расчет_аналитики'!BD4608*SUMIF(ThresholdAge19,"&lt;"&amp;'19_Расчет_аналитики'!BD4608,WeightedRevAge19)-SUMIF(ThresholdAge19,"&lt;"&amp;'19_Расчет_аналитики'!BD4608,WeightedMinAge19),MAX(CapacityAge19*'01_Вводные'!$B$218*'19_Расчет_аналитики'!BD4608,MeanMinAge19))),0)</f>
        <v/>
      </c>
      <c r="BE4558">
        <f>IF('01_Вводные'!$B$234="Да",IF(OR(('19_Расчет_аналитики'!BE4474-'19_Расчет_аналитики'!BE4502)=0,19&lt;='01_Вводные'!$B$297),0,('19_Расчет_аналитики'!BE4474-'19_Расчет_аналитики'!BE4502)*IF('01_Вводные'!$B$239="Да",MeanMinAge19+'19_Расчет_аналитики'!BE4608*SUMIF(ThresholdAge19,"&lt;"&amp;'19_Расчет_аналитики'!BE4608,WeightedRevAge19)-SUMIF(ThresholdAge19,"&lt;"&amp;'19_Расчет_аналитики'!BE4608,WeightedMinAge19),MAX(CapacityAge19*'01_Вводные'!$B$218*'19_Расчет_аналитики'!BE4608,MeanMinAge19))),0)</f>
        <v/>
      </c>
      <c r="BF4558">
        <f>IF('01_Вводные'!$B$234="Да",IF(OR(('19_Расчет_аналитики'!BF4474-'19_Расчет_аналитики'!BF4502)=0,19&lt;='01_Вводные'!$B$297),0,('19_Расчет_аналитики'!BF4474-'19_Расчет_аналитики'!BF4502)*IF('01_Вводные'!$B$239="Да",MeanMinAge19+'19_Расчет_аналитики'!BF4608*SUMIF(ThresholdAge19,"&lt;"&amp;'19_Расчет_аналитики'!BF4608,WeightedRevAge19)-SUMIF(ThresholdAge19,"&lt;"&amp;'19_Расчет_аналитики'!BF4608,WeightedMinAge19),MAX(CapacityAge19*'01_Вводные'!$B$218*'19_Расчет_аналитики'!BF4608,MeanMinAge19))),0)</f>
        <v/>
      </c>
      <c r="BG4558">
        <f>IF('01_Вводные'!$B$234="Да",IF(OR(('19_Расчет_аналитики'!BG4474-'19_Расчет_аналитики'!BG4502)=0,19&lt;='01_Вводные'!$B$297),0,('19_Расчет_аналитики'!BG4474-'19_Расчет_аналитики'!BG4502)*IF('01_Вводные'!$B$239="Да",MeanMinAge19+'19_Расчет_аналитики'!BG4608*SUMIF(ThresholdAge19,"&lt;"&amp;'19_Расчет_аналитики'!BG4608,WeightedRevAge19)-SUMIF(ThresholdAge19,"&lt;"&amp;'19_Расчет_аналитики'!BG4608,WeightedMinAge19),MAX(CapacityAge19*'01_Вводные'!$B$218*'19_Расчет_аналитики'!BG4608,MeanMinAge19))),0)</f>
        <v/>
      </c>
      <c r="BH4558">
        <f>IF('01_Вводные'!$B$234="Да",IF(OR(('19_Расчет_аналитики'!BH4474-'19_Расчет_аналитики'!BH4502)=0,19&lt;='01_Вводные'!$B$297),0,('19_Расчет_аналитики'!BH4474-'19_Расчет_аналитики'!BH4502)*IF('01_Вводные'!$B$239="Да",MeanMinAge19+'19_Расчет_аналитики'!BH4608*SUMIF(ThresholdAge19,"&lt;"&amp;'19_Расчет_аналитики'!BH4608,WeightedRevAge19)-SUMIF(ThresholdAge19,"&lt;"&amp;'19_Расчет_аналитики'!BH4608,WeightedMinAge19),MAX(CapacityAge19*'01_Вводные'!$B$218*'19_Расчет_аналитики'!BH4608,MeanMinAge19))),0)</f>
        <v/>
      </c>
      <c r="BI4558">
        <f>IF('01_Вводные'!$B$234="Да",IF(OR(('19_Расчет_аналитики'!BI4474-'19_Расчет_аналитики'!BI4502)=0,19&lt;='01_Вводные'!$B$297),0,('19_Расчет_аналитики'!BI4474-'19_Расчет_аналитики'!BI4502)*IF('01_Вводные'!$B$239="Да",MeanMinAge19+'19_Расчет_аналитики'!BI4608*SUMIF(ThresholdAge19,"&lt;"&amp;'19_Расчет_аналитики'!BI4608,WeightedRevAge19)-SUMIF(ThresholdAge19,"&lt;"&amp;'19_Расчет_аналитики'!BI4608,WeightedMinAge19),MAX(CapacityAge19*'01_Вводные'!$B$218*'19_Расчет_аналитики'!BI4608,MeanMinAge19))),0)</f>
        <v/>
      </c>
      <c r="BJ4558">
        <f>IF('01_Вводные'!$B$234="Да",IF(OR(('19_Расчет_аналитики'!BJ4474-'19_Расчет_аналитики'!BJ4502)=0,19&lt;='01_Вводные'!$B$297),0,('19_Расчет_аналитики'!BJ4474-'19_Расчет_аналитики'!BJ4502)*IF('01_Вводные'!$B$239="Да",MeanMinAge19+'19_Расчет_аналитики'!BJ4608*SUMIF(ThresholdAge19,"&lt;"&amp;'19_Расчет_аналитики'!BJ4608,WeightedRevAge19)-SUMIF(ThresholdAge19,"&lt;"&amp;'19_Расчет_аналитики'!BJ4608,WeightedMinAge19),MAX(CapacityAge19*'01_Вводные'!$B$218*'19_Расчет_аналитики'!BJ4608,MeanMinAge19))),0)</f>
        <v/>
      </c>
      <c r="BK4558">
        <f>IF('01_Вводные'!$B$234="Да",IF(OR(('19_Расчет_аналитики'!BK4474-'19_Расчет_аналитики'!BK4502)=0,19&lt;='01_Вводные'!$B$297),0,('19_Расчет_аналитики'!BK4474-'19_Расчет_аналитики'!BK4502)*IF('01_Вводные'!$B$239="Да",MeanMinAge19+'19_Расчет_аналитики'!BK4608*SUMIF(ThresholdAge19,"&lt;"&amp;'19_Расчет_аналитики'!BK4608,WeightedRevAge19)-SUMIF(ThresholdAge19,"&lt;"&amp;'19_Расчет_аналитики'!BK4608,WeightedMinAge19),MAX(CapacityAge19*'01_Вводные'!$B$218*'19_Расчет_аналитики'!BK4608,MeanMinAge19))),0)</f>
        <v/>
      </c>
      <c r="BL4558">
        <f>IF('01_Вводные'!$B$234="Да",IF(OR(('19_Расчет_аналитики'!BL4474-'19_Расчет_аналитики'!BL4502)=0,19&lt;='01_Вводные'!$B$297),0,('19_Расчет_аналитики'!BL4474-'19_Расчет_аналитики'!BL4502)*IF('01_Вводные'!$B$239="Да",MeanMinAge19+'19_Расчет_аналитики'!BL4608*SUMIF(ThresholdAge19,"&lt;"&amp;'19_Расчет_аналитики'!BL4608,WeightedRevAge19)-SUMIF(ThresholdAge19,"&lt;"&amp;'19_Расчет_аналитики'!BL4608,WeightedMinAge19),MAX(CapacityAge19*'01_Вводные'!$B$218*'19_Расчет_аналитики'!BL4608,MeanMinAge19))),0)</f>
        <v/>
      </c>
      <c r="BM4558">
        <f>IF('01_Вводные'!$B$234="Да",IF(OR(('19_Расчет_аналитики'!BM4474-'19_Расчет_аналитики'!BM4502)=0,19&lt;='01_Вводные'!$B$297),0,('19_Расчет_аналитики'!BM4474-'19_Расчет_аналитики'!BM4502)*IF('01_Вводные'!$B$239="Да",MeanMinAge19+'19_Расчет_аналитики'!BM4608*SUMIF(ThresholdAge19,"&lt;"&amp;'19_Расчет_аналитики'!BM4608,WeightedRevAge19)-SUMIF(ThresholdAge19,"&lt;"&amp;'19_Расчет_аналитики'!BM4608,WeightedMinAge19),MAX(CapacityAge19*'01_Вводные'!$B$218*'19_Расчет_аналитики'!BM4608,MeanMinAge19))),0)</f>
        <v/>
      </c>
      <c r="BN4558">
        <f>IF('01_Вводные'!$B$234="Да",IF(OR(('19_Расчет_аналитики'!BN4474-'19_Расчет_аналитики'!BN4502)=0,19&lt;='01_Вводные'!$B$297),0,('19_Расчет_аналитики'!BN4474-'19_Расчет_аналитики'!BN4502)*IF('01_Вводные'!$B$239="Да",MeanMinAge19+'19_Расчет_аналитики'!BN4608*SUMIF(ThresholdAge19,"&lt;"&amp;'19_Расчет_аналитики'!BN4608,WeightedRevAge19)-SUMIF(ThresholdAge19,"&lt;"&amp;'19_Расчет_аналитики'!BN4608,WeightedMinAge19),MAX(CapacityAge19*'01_Вводные'!$B$218*'19_Расчет_аналитики'!BN4608,MeanMinAge19))),0)</f>
        <v/>
      </c>
      <c r="BO4558">
        <f>IF('01_Вводные'!$B$234="Да",IF(OR(('19_Расчет_аналитики'!BO4474-'19_Расчет_аналитики'!BO4502)=0,19&lt;='01_Вводные'!$B$297),0,('19_Расчет_аналитики'!BO4474-'19_Расчет_аналитики'!BO4502)*IF('01_Вводные'!$B$239="Да",MeanMinAge19+'19_Расчет_аналитики'!BO4608*SUMIF(ThresholdAge19,"&lt;"&amp;'19_Расчет_аналитики'!BO4608,WeightedRevAge19)-SUMIF(ThresholdAge19,"&lt;"&amp;'19_Расчет_аналитики'!BO4608,WeightedMinAge19),MAX(CapacityAge19*'01_Вводные'!$B$218*'19_Расчет_аналитики'!BO4608,MeanMinAge19))),0)</f>
        <v/>
      </c>
    </row>
    <row r="4559">
      <c r="B4559">
        <f>IF('01_Вводные'!$B$234="Да",IF(OR(('06_Сеть_и_дети'!B72-'06_Сеть_и_дети'!B100)=0,20&lt;='01_Вводные'!$B$297),0,('06_Сеть_и_дети'!B72-'06_Сеть_и_дети'!B100)*IF('01_Вводные'!$B$239="Да",MeanMinAge20+'19_Расчет_аналитики'!B4608*SUMIF(ThresholdAge20,"&lt;"&amp;'19_Расчет_аналитики'!B4608,WeightedRevAge20)-SUMIF(ThresholdAge20,"&lt;"&amp;'19_Расчет_аналитики'!B4608,WeightedMinAge20),MAX(CapacityAge20*'01_Вводные'!$B$218*'19_Расчет_аналитики'!B4608,MeanMinAge20))),0)</f>
        <v/>
      </c>
      <c r="C4559">
        <f>IF('01_Вводные'!$B$234="Да",IF(OR(('06_Сеть_и_дети'!C72-'06_Сеть_и_дети'!C100)=0,20&lt;='01_Вводные'!$B$297),0,('06_Сеть_и_дети'!C72-'06_Сеть_и_дети'!C100)*IF('01_Вводные'!$B$239="Да",MeanMinAge20+'19_Расчет_аналитики'!C4608*SUMIF(ThresholdAge20,"&lt;"&amp;'19_Расчет_аналитики'!C4608,WeightedRevAge20)-SUMIF(ThresholdAge20,"&lt;"&amp;'19_Расчет_аналитики'!C4608,WeightedMinAge20),MAX(CapacityAge20*'01_Вводные'!$B$218*'19_Расчет_аналитики'!C4608,MeanMinAge20))),0)</f>
        <v/>
      </c>
      <c r="D4559">
        <f>IF('01_Вводные'!$B$234="Да",IF(OR(('06_Сеть_и_дети'!D72-'06_Сеть_и_дети'!D100)=0,20&lt;='01_Вводные'!$B$297),0,('06_Сеть_и_дети'!D72-'06_Сеть_и_дети'!D100)*IF('01_Вводные'!$B$239="Да",MeanMinAge20+'19_Расчет_аналитики'!D4608*SUMIF(ThresholdAge20,"&lt;"&amp;'19_Расчет_аналитики'!D4608,WeightedRevAge20)-SUMIF(ThresholdAge20,"&lt;"&amp;'19_Расчет_аналитики'!D4608,WeightedMinAge20),MAX(CapacityAge20*'01_Вводные'!$B$218*'19_Расчет_аналитики'!D4608,MeanMinAge20))),0)</f>
        <v/>
      </c>
      <c r="E4559">
        <f>IF('01_Вводные'!$B$234="Да",IF(OR(('06_Сеть_и_дети'!E72-'06_Сеть_и_дети'!E100)=0,20&lt;='01_Вводные'!$B$297),0,('06_Сеть_и_дети'!E72-'06_Сеть_и_дети'!E100)*IF('01_Вводные'!$B$239="Да",MeanMinAge20+'19_Расчет_аналитики'!E4608*SUMIF(ThresholdAge20,"&lt;"&amp;'19_Расчет_аналитики'!E4608,WeightedRevAge20)-SUMIF(ThresholdAge20,"&lt;"&amp;'19_Расчет_аналитики'!E4608,WeightedMinAge20),MAX(CapacityAge20*'01_Вводные'!$B$218*'19_Расчет_аналитики'!E4608,MeanMinAge20))),0)</f>
        <v/>
      </c>
      <c r="F4559">
        <f>IF('01_Вводные'!$B$234="Да",IF(OR(('06_Сеть_и_дети'!F72-'06_Сеть_и_дети'!F100)=0,20&lt;='01_Вводные'!$B$297),0,('06_Сеть_и_дети'!F72-'06_Сеть_и_дети'!F100)*IF('01_Вводные'!$B$239="Да",MeanMinAge20+'19_Расчет_аналитики'!F4608*SUMIF(ThresholdAge20,"&lt;"&amp;'19_Расчет_аналитики'!F4608,WeightedRevAge20)-SUMIF(ThresholdAge20,"&lt;"&amp;'19_Расчет_аналитики'!F4608,WeightedMinAge20),MAX(CapacityAge20*'01_Вводные'!$B$218*'19_Расчет_аналитики'!F4608,MeanMinAge20))),0)</f>
        <v/>
      </c>
      <c r="G4559">
        <f>IF('01_Вводные'!$B$234="Да",IF(OR(('06_Сеть_и_дети'!G72-'06_Сеть_и_дети'!G100)=0,20&lt;='01_Вводные'!$B$297),0,('06_Сеть_и_дети'!G72-'06_Сеть_и_дети'!G100)*IF('01_Вводные'!$B$239="Да",MeanMinAge20+'19_Расчет_аналитики'!G4608*SUMIF(ThresholdAge20,"&lt;"&amp;'19_Расчет_аналитики'!G4608,WeightedRevAge20)-SUMIF(ThresholdAge20,"&lt;"&amp;'19_Расчет_аналитики'!G4608,WeightedMinAge20),MAX(CapacityAge20*'01_Вводные'!$B$218*'19_Расчет_аналитики'!G4608,MeanMinAge20))),0)</f>
        <v/>
      </c>
      <c r="H4559">
        <f>IF('01_Вводные'!$B$234="Да",IF(OR(('06_Сеть_и_дети'!H72-'06_Сеть_и_дети'!H100)=0,20&lt;='01_Вводные'!$B$297),0,('06_Сеть_и_дети'!H72-'06_Сеть_и_дети'!H100)*IF('01_Вводные'!$B$239="Да",MeanMinAge20+'19_Расчет_аналитики'!H4608*SUMIF(ThresholdAge20,"&lt;"&amp;'19_Расчет_аналитики'!H4608,WeightedRevAge20)-SUMIF(ThresholdAge20,"&lt;"&amp;'19_Расчет_аналитики'!H4608,WeightedMinAge20),MAX(CapacityAge20*'01_Вводные'!$B$218*'19_Расчет_аналитики'!H4608,MeanMinAge20))),0)</f>
        <v/>
      </c>
      <c r="I4559">
        <f>IF('01_Вводные'!$B$234="Да",IF(OR(('06_Сеть_и_дети'!I72-'06_Сеть_и_дети'!I100)=0,20&lt;='01_Вводные'!$B$297),0,('06_Сеть_и_дети'!I72-'06_Сеть_и_дети'!I100)*IF('01_Вводные'!$B$239="Да",MeanMinAge20+'19_Расчет_аналитики'!I4608*SUMIF(ThresholdAge20,"&lt;"&amp;'19_Расчет_аналитики'!I4608,WeightedRevAge20)-SUMIF(ThresholdAge20,"&lt;"&amp;'19_Расчет_аналитики'!I4608,WeightedMinAge20),MAX(CapacityAge20*'01_Вводные'!$B$218*'19_Расчет_аналитики'!I4608,MeanMinAge20))),0)</f>
        <v/>
      </c>
      <c r="J4559">
        <f>IF('01_Вводные'!$B$234="Да",IF(OR(('06_Сеть_и_дети'!J72-'06_Сеть_и_дети'!J100)=0,20&lt;='01_Вводные'!$B$297),0,('06_Сеть_и_дети'!J72-'06_Сеть_и_дети'!J100)*IF('01_Вводные'!$B$239="Да",MeanMinAge20+'19_Расчет_аналитики'!J4608*SUMIF(ThresholdAge20,"&lt;"&amp;'19_Расчет_аналитики'!J4608,WeightedRevAge20)-SUMIF(ThresholdAge20,"&lt;"&amp;'19_Расчет_аналитики'!J4608,WeightedMinAge20),MAX(CapacityAge20*'01_Вводные'!$B$218*'19_Расчет_аналитики'!J4608,MeanMinAge20))),0)</f>
        <v/>
      </c>
      <c r="K4559">
        <f>IF('01_Вводные'!$B$234="Да",IF(OR(('06_Сеть_и_дети'!K72-'06_Сеть_и_дети'!K100)=0,20&lt;='01_Вводные'!$B$297),0,('06_Сеть_и_дети'!K72-'06_Сеть_и_дети'!K100)*IF('01_Вводные'!$B$239="Да",MeanMinAge20+'19_Расчет_аналитики'!K4608*SUMIF(ThresholdAge20,"&lt;"&amp;'19_Расчет_аналитики'!K4608,WeightedRevAge20)-SUMIF(ThresholdAge20,"&lt;"&amp;'19_Расчет_аналитики'!K4608,WeightedMinAge20),MAX(CapacityAge20*'01_Вводные'!$B$218*'19_Расчет_аналитики'!K4608,MeanMinAge20))),0)</f>
        <v/>
      </c>
      <c r="L4559">
        <f>IF('01_Вводные'!$B$234="Да",IF(OR(('06_Сеть_и_дети'!L72-'06_Сеть_и_дети'!L100)=0,20&lt;='01_Вводные'!$B$297),0,('06_Сеть_и_дети'!L72-'06_Сеть_и_дети'!L100)*IF('01_Вводные'!$B$239="Да",MeanMinAge20+'19_Расчет_аналитики'!L4608*SUMIF(ThresholdAge20,"&lt;"&amp;'19_Расчет_аналитики'!L4608,WeightedRevAge20)-SUMIF(ThresholdAge20,"&lt;"&amp;'19_Расчет_аналитики'!L4608,WeightedMinAge20),MAX(CapacityAge20*'01_Вводные'!$B$218*'19_Расчет_аналитики'!L4608,MeanMinAge20))),0)</f>
        <v/>
      </c>
      <c r="M4559">
        <f>IF('01_Вводные'!$B$234="Да",IF(OR(('06_Сеть_и_дети'!M72-'06_Сеть_и_дети'!M100)=0,20&lt;='01_Вводные'!$B$297),0,('06_Сеть_и_дети'!M72-'06_Сеть_и_дети'!M100)*IF('01_Вводные'!$B$239="Да",MeanMinAge20+'19_Расчет_аналитики'!M4608*SUMIF(ThresholdAge20,"&lt;"&amp;'19_Расчет_аналитики'!M4608,WeightedRevAge20)-SUMIF(ThresholdAge20,"&lt;"&amp;'19_Расчет_аналитики'!M4608,WeightedMinAge20),MAX(CapacityAge20*'01_Вводные'!$B$218*'19_Расчет_аналитики'!M4608,MeanMinAge20))),0)</f>
        <v/>
      </c>
      <c r="N4559">
        <f>IF('01_Вводные'!$B$234="Да",IF(OR(('06_Сеть_и_дети'!N72-'06_Сеть_и_дети'!N100)=0,20&lt;='01_Вводные'!$B$297),0,('06_Сеть_и_дети'!N72-'06_Сеть_и_дети'!N100)*IF('01_Вводные'!$B$239="Да",MeanMinAge20+'19_Расчет_аналитики'!N4608*SUMIF(ThresholdAge20,"&lt;"&amp;'19_Расчет_аналитики'!N4608,WeightedRevAge20)-SUMIF(ThresholdAge20,"&lt;"&amp;'19_Расчет_аналитики'!N4608,WeightedMinAge20),MAX(CapacityAge20*'01_Вводные'!$B$218*'19_Расчет_аналитики'!N4608,MeanMinAge20))),0)</f>
        <v/>
      </c>
      <c r="O4559">
        <f>IF('01_Вводные'!$B$234="Да",IF(OR(('06_Сеть_и_дети'!O72-'06_Сеть_и_дети'!O100)=0,20&lt;='01_Вводные'!$B$297),0,('06_Сеть_и_дети'!O72-'06_Сеть_и_дети'!O100)*IF('01_Вводные'!$B$239="Да",MeanMinAge20+'19_Расчет_аналитики'!O4608*SUMIF(ThresholdAge20,"&lt;"&amp;'19_Расчет_аналитики'!O4608,WeightedRevAge20)-SUMIF(ThresholdAge20,"&lt;"&amp;'19_Расчет_аналитики'!O4608,WeightedMinAge20),MAX(CapacityAge20*'01_Вводные'!$B$218*'19_Расчет_аналитики'!O4608,MeanMinAge20))),0)</f>
        <v/>
      </c>
      <c r="P4559">
        <f>IF('01_Вводные'!$B$234="Да",IF(OR(('06_Сеть_и_дети'!P72-'06_Сеть_и_дети'!P100)=0,20&lt;='01_Вводные'!$B$297),0,('06_Сеть_и_дети'!P72-'06_Сеть_и_дети'!P100)*IF('01_Вводные'!$B$239="Да",MeanMinAge20+'19_Расчет_аналитики'!P4608*SUMIF(ThresholdAge20,"&lt;"&amp;'19_Расчет_аналитики'!P4608,WeightedRevAge20)-SUMIF(ThresholdAge20,"&lt;"&amp;'19_Расчет_аналитики'!P4608,WeightedMinAge20),MAX(CapacityAge20*'01_Вводные'!$B$218*'19_Расчет_аналитики'!P4608,MeanMinAge20))),0)</f>
        <v/>
      </c>
      <c r="Q4559">
        <f>IF('01_Вводные'!$B$234="Да",IF(OR(('06_Сеть_и_дети'!Q72-'06_Сеть_и_дети'!Q100)=0,20&lt;='01_Вводные'!$B$297),0,('06_Сеть_и_дети'!Q72-'06_Сеть_и_дети'!Q100)*IF('01_Вводные'!$B$239="Да",MeanMinAge20+'19_Расчет_аналитики'!Q4608*SUMIF(ThresholdAge20,"&lt;"&amp;'19_Расчет_аналитики'!Q4608,WeightedRevAge20)-SUMIF(ThresholdAge20,"&lt;"&amp;'19_Расчет_аналитики'!Q4608,WeightedMinAge20),MAX(CapacityAge20*'01_Вводные'!$B$218*'19_Расчет_аналитики'!Q4608,MeanMinAge20))),0)</f>
        <v/>
      </c>
      <c r="R4559">
        <f>IF('01_Вводные'!$B$234="Да",IF(OR(('06_Сеть_и_дети'!R72-'06_Сеть_и_дети'!R100)=0,20&lt;='01_Вводные'!$B$297),0,('06_Сеть_и_дети'!R72-'06_Сеть_и_дети'!R100)*IF('01_Вводные'!$B$239="Да",MeanMinAge20+'19_Расчет_аналитики'!R4608*SUMIF(ThresholdAge20,"&lt;"&amp;'19_Расчет_аналитики'!R4608,WeightedRevAge20)-SUMIF(ThresholdAge20,"&lt;"&amp;'19_Расчет_аналитики'!R4608,WeightedMinAge20),MAX(CapacityAge20*'01_Вводные'!$B$218*'19_Расчет_аналитики'!R4608,MeanMinAge20))),0)</f>
        <v/>
      </c>
      <c r="S4559">
        <f>IF('01_Вводные'!$B$234="Да",IF(OR(('06_Сеть_и_дети'!S72-'06_Сеть_и_дети'!S100)=0,20&lt;='01_Вводные'!$B$297),0,('06_Сеть_и_дети'!S72-'06_Сеть_и_дети'!S100)*IF('01_Вводные'!$B$239="Да",MeanMinAge20+'19_Расчет_аналитики'!S4608*SUMIF(ThresholdAge20,"&lt;"&amp;'19_Расчет_аналитики'!S4608,WeightedRevAge20)-SUMIF(ThresholdAge20,"&lt;"&amp;'19_Расчет_аналитики'!S4608,WeightedMinAge20),MAX(CapacityAge20*'01_Вводные'!$B$218*'19_Расчет_аналитики'!S4608,MeanMinAge20))),0)</f>
        <v/>
      </c>
      <c r="T4559">
        <f>IF('01_Вводные'!$B$234="Да",IF(OR(('06_Сеть_и_дети'!T72-'06_Сеть_и_дети'!T100)=0,20&lt;='01_Вводные'!$B$297),0,('06_Сеть_и_дети'!T72-'06_Сеть_и_дети'!T100)*IF('01_Вводные'!$B$239="Да",MeanMinAge20+'19_Расчет_аналитики'!T4608*SUMIF(ThresholdAge20,"&lt;"&amp;'19_Расчет_аналитики'!T4608,WeightedRevAge20)-SUMIF(ThresholdAge20,"&lt;"&amp;'19_Расчет_аналитики'!T4608,WeightedMinAge20),MAX(CapacityAge20*'01_Вводные'!$B$218*'19_Расчет_аналитики'!T4608,MeanMinAge20))),0)</f>
        <v/>
      </c>
      <c r="U4559">
        <f>IF('01_Вводные'!$B$234="Да",IF(OR(('19_Расчет_аналитики'!U4475-'19_Расчет_аналитики'!U4503)=0,20&lt;='01_Вводные'!$B$297),0,('19_Расчет_аналитики'!U4475-'19_Расчет_аналитики'!U4503)*IF('01_Вводные'!$B$239="Да",MeanMinAge20+'19_Расчет_аналитики'!U4608*SUMIF(ThresholdAge20,"&lt;"&amp;'19_Расчет_аналитики'!U4608,WeightedRevAge20)-SUMIF(ThresholdAge20,"&lt;"&amp;'19_Расчет_аналитики'!U4608,WeightedMinAge20),MAX(CapacityAge20*'01_Вводные'!$B$218*'19_Расчет_аналитики'!U4608,MeanMinAge20))),0)</f>
        <v/>
      </c>
      <c r="V4559">
        <f>IF('01_Вводные'!$B$234="Да",IF(OR(('19_Расчет_аналитики'!V4475-'19_Расчет_аналитики'!V4503)=0,20&lt;='01_Вводные'!$B$297),0,('19_Расчет_аналитики'!V4475-'19_Расчет_аналитики'!V4503)*IF('01_Вводные'!$B$239="Да",MeanMinAge20+'19_Расчет_аналитики'!V4608*SUMIF(ThresholdAge20,"&lt;"&amp;'19_Расчет_аналитики'!V4608,WeightedRevAge20)-SUMIF(ThresholdAge20,"&lt;"&amp;'19_Расчет_аналитики'!V4608,WeightedMinAge20),MAX(CapacityAge20*'01_Вводные'!$B$218*'19_Расчет_аналитики'!V4608,MeanMinAge20))),0)</f>
        <v/>
      </c>
      <c r="W4559">
        <f>IF('01_Вводные'!$B$234="Да",IF(OR(('19_Расчет_аналитики'!W4475-'19_Расчет_аналитики'!W4503)=0,20&lt;='01_Вводные'!$B$297),0,('19_Расчет_аналитики'!W4475-'19_Расчет_аналитики'!W4503)*IF('01_Вводные'!$B$239="Да",MeanMinAge20+'19_Расчет_аналитики'!W4608*SUMIF(ThresholdAge20,"&lt;"&amp;'19_Расчет_аналитики'!W4608,WeightedRevAge20)-SUMIF(ThresholdAge20,"&lt;"&amp;'19_Расчет_аналитики'!W4608,WeightedMinAge20),MAX(CapacityAge20*'01_Вводные'!$B$218*'19_Расчет_аналитики'!W4608,MeanMinAge20))),0)</f>
        <v/>
      </c>
      <c r="X4559">
        <f>IF('01_Вводные'!$B$234="Да",IF(OR(('19_Расчет_аналитики'!X4475-'19_Расчет_аналитики'!X4503)=0,20&lt;='01_Вводные'!$B$297),0,('19_Расчет_аналитики'!X4475-'19_Расчет_аналитики'!X4503)*IF('01_Вводные'!$B$239="Да",MeanMinAge20+'19_Расчет_аналитики'!X4608*SUMIF(ThresholdAge20,"&lt;"&amp;'19_Расчет_аналитики'!X4608,WeightedRevAge20)-SUMIF(ThresholdAge20,"&lt;"&amp;'19_Расчет_аналитики'!X4608,WeightedMinAge20),MAX(CapacityAge20*'01_Вводные'!$B$218*'19_Расчет_аналитики'!X4608,MeanMinAge20))),0)</f>
        <v/>
      </c>
      <c r="Y4559">
        <f>IF('01_Вводные'!$B$234="Да",IF(OR(('19_Расчет_аналитики'!Y4475-'19_Расчет_аналитики'!Y4503)=0,20&lt;='01_Вводные'!$B$297),0,('19_Расчет_аналитики'!Y4475-'19_Расчет_аналитики'!Y4503)*IF('01_Вводные'!$B$239="Да",MeanMinAge20+'19_Расчет_аналитики'!Y4608*SUMIF(ThresholdAge20,"&lt;"&amp;'19_Расчет_аналитики'!Y4608,WeightedRevAge20)-SUMIF(ThresholdAge20,"&lt;"&amp;'19_Расчет_аналитики'!Y4608,WeightedMinAge20),MAX(CapacityAge20*'01_Вводные'!$B$218*'19_Расчет_аналитики'!Y4608,MeanMinAge20))),0)</f>
        <v/>
      </c>
      <c r="Z4559">
        <f>IF('01_Вводные'!$B$234="Да",IF(OR(('19_Расчет_аналитики'!Z4475-'19_Расчет_аналитики'!Z4503)=0,20&lt;='01_Вводные'!$B$297),0,('19_Расчет_аналитики'!Z4475-'19_Расчет_аналитики'!Z4503)*IF('01_Вводные'!$B$239="Да",MeanMinAge20+'19_Расчет_аналитики'!Z4608*SUMIF(ThresholdAge20,"&lt;"&amp;'19_Расчет_аналитики'!Z4608,WeightedRevAge20)-SUMIF(ThresholdAge20,"&lt;"&amp;'19_Расчет_аналитики'!Z4608,WeightedMinAge20),MAX(CapacityAge20*'01_Вводные'!$B$218*'19_Расчет_аналитики'!Z4608,MeanMinAge20))),0)</f>
        <v/>
      </c>
      <c r="AA4559">
        <f>IF('01_Вводные'!$B$234="Да",IF(OR(('19_Расчет_аналитики'!AA4475-'19_Расчет_аналитики'!AA4503)=0,20&lt;='01_Вводные'!$B$297),0,('19_Расчет_аналитики'!AA4475-'19_Расчет_аналитики'!AA4503)*IF('01_Вводные'!$B$239="Да",MeanMinAge20+'19_Расчет_аналитики'!AA4608*SUMIF(ThresholdAge20,"&lt;"&amp;'19_Расчет_аналитики'!AA4608,WeightedRevAge20)-SUMIF(ThresholdAge20,"&lt;"&amp;'19_Расчет_аналитики'!AA4608,WeightedMinAge20),MAX(CapacityAge20*'01_Вводные'!$B$218*'19_Расчет_аналитики'!AA4608,MeanMinAge20))),0)</f>
        <v/>
      </c>
      <c r="AB4559">
        <f>IF('01_Вводные'!$B$234="Да",IF(OR(('19_Расчет_аналитики'!AB4475-'19_Расчет_аналитики'!AB4503)=0,20&lt;='01_Вводные'!$B$297),0,('19_Расчет_аналитики'!AB4475-'19_Расчет_аналитики'!AB4503)*IF('01_Вводные'!$B$239="Да",MeanMinAge20+'19_Расчет_аналитики'!AB4608*SUMIF(ThresholdAge20,"&lt;"&amp;'19_Расчет_аналитики'!AB4608,WeightedRevAge20)-SUMIF(ThresholdAge20,"&lt;"&amp;'19_Расчет_аналитики'!AB4608,WeightedMinAge20),MAX(CapacityAge20*'01_Вводные'!$B$218*'19_Расчет_аналитики'!AB4608,MeanMinAge20))),0)</f>
        <v/>
      </c>
      <c r="AC4559">
        <f>IF('01_Вводные'!$B$234="Да",IF(OR(('19_Расчет_аналитики'!AC4475-'19_Расчет_аналитики'!AC4503)=0,20&lt;='01_Вводные'!$B$297),0,('19_Расчет_аналитики'!AC4475-'19_Расчет_аналитики'!AC4503)*IF('01_Вводные'!$B$239="Да",MeanMinAge20+'19_Расчет_аналитики'!AC4608*SUMIF(ThresholdAge20,"&lt;"&amp;'19_Расчет_аналитики'!AC4608,WeightedRevAge20)-SUMIF(ThresholdAge20,"&lt;"&amp;'19_Расчет_аналитики'!AC4608,WeightedMinAge20),MAX(CapacityAge20*'01_Вводные'!$B$218*'19_Расчет_аналитики'!AC4608,MeanMinAge20))),0)</f>
        <v/>
      </c>
      <c r="AD4559">
        <f>IF('01_Вводные'!$B$234="Да",IF(OR(('19_Расчет_аналитики'!AD4475-'19_Расчет_аналитики'!AD4503)=0,20&lt;='01_Вводные'!$B$297),0,('19_Расчет_аналитики'!AD4475-'19_Расчет_аналитики'!AD4503)*IF('01_Вводные'!$B$239="Да",MeanMinAge20+'19_Расчет_аналитики'!AD4608*SUMIF(ThresholdAge20,"&lt;"&amp;'19_Расчет_аналитики'!AD4608,WeightedRevAge20)-SUMIF(ThresholdAge20,"&lt;"&amp;'19_Расчет_аналитики'!AD4608,WeightedMinAge20),MAX(CapacityAge20*'01_Вводные'!$B$218*'19_Расчет_аналитики'!AD4608,MeanMinAge20))),0)</f>
        <v/>
      </c>
      <c r="AE4559">
        <f>IF('01_Вводные'!$B$234="Да",IF(OR(('19_Расчет_аналитики'!AE4475-'19_Расчет_аналитики'!AE4503)=0,20&lt;='01_Вводные'!$B$297),0,('19_Расчет_аналитики'!AE4475-'19_Расчет_аналитики'!AE4503)*IF('01_Вводные'!$B$239="Да",MeanMinAge20+'19_Расчет_аналитики'!AE4608*SUMIF(ThresholdAge20,"&lt;"&amp;'19_Расчет_аналитики'!AE4608,WeightedRevAge20)-SUMIF(ThresholdAge20,"&lt;"&amp;'19_Расчет_аналитики'!AE4608,WeightedMinAge20),MAX(CapacityAge20*'01_Вводные'!$B$218*'19_Расчет_аналитики'!AE4608,MeanMinAge20))),0)</f>
        <v/>
      </c>
      <c r="AF4559">
        <f>IF('01_Вводные'!$B$234="Да",IF(OR(('19_Расчет_аналитики'!AF4475-'19_Расчет_аналитики'!AF4503)=0,20&lt;='01_Вводные'!$B$297),0,('19_Расчет_аналитики'!AF4475-'19_Расчет_аналитики'!AF4503)*IF('01_Вводные'!$B$239="Да",MeanMinAge20+'19_Расчет_аналитики'!AF4608*SUMIF(ThresholdAge20,"&lt;"&amp;'19_Расчет_аналитики'!AF4608,WeightedRevAge20)-SUMIF(ThresholdAge20,"&lt;"&amp;'19_Расчет_аналитики'!AF4608,WeightedMinAge20),MAX(CapacityAge20*'01_Вводные'!$B$218*'19_Расчет_аналитики'!AF4608,MeanMinAge20))),0)</f>
        <v/>
      </c>
      <c r="AG4559">
        <f>IF('01_Вводные'!$B$234="Да",IF(OR(('19_Расчет_аналитики'!AG4475-'19_Расчет_аналитики'!AG4503)=0,20&lt;='01_Вводные'!$B$297),0,('19_Расчет_аналитики'!AG4475-'19_Расчет_аналитики'!AG4503)*IF('01_Вводные'!$B$239="Да",MeanMinAge20+'19_Расчет_аналитики'!AG4608*SUMIF(ThresholdAge20,"&lt;"&amp;'19_Расчет_аналитики'!AG4608,WeightedRevAge20)-SUMIF(ThresholdAge20,"&lt;"&amp;'19_Расчет_аналитики'!AG4608,WeightedMinAge20),MAX(CapacityAge20*'01_Вводные'!$B$218*'19_Расчет_аналитики'!AG4608,MeanMinAge20))),0)</f>
        <v/>
      </c>
      <c r="AH4559">
        <f>IF('01_Вводные'!$B$234="Да",IF(OR(('19_Расчет_аналитики'!AH4475-'19_Расчет_аналитики'!AH4503)=0,20&lt;='01_Вводные'!$B$297),0,('19_Расчет_аналитики'!AH4475-'19_Расчет_аналитики'!AH4503)*IF('01_Вводные'!$B$239="Да",MeanMinAge20+'19_Расчет_аналитики'!AH4608*SUMIF(ThresholdAge20,"&lt;"&amp;'19_Расчет_аналитики'!AH4608,WeightedRevAge20)-SUMIF(ThresholdAge20,"&lt;"&amp;'19_Расчет_аналитики'!AH4608,WeightedMinAge20),MAX(CapacityAge20*'01_Вводные'!$B$218*'19_Расчет_аналитики'!AH4608,MeanMinAge20))),0)</f>
        <v/>
      </c>
      <c r="AI4559">
        <f>IF('01_Вводные'!$B$234="Да",IF(OR(('19_Расчет_аналитики'!AI4475-'19_Расчет_аналитики'!AI4503)=0,20&lt;='01_Вводные'!$B$297),0,('19_Расчет_аналитики'!AI4475-'19_Расчет_аналитики'!AI4503)*IF('01_Вводные'!$B$239="Да",MeanMinAge20+'19_Расчет_аналитики'!AI4608*SUMIF(ThresholdAge20,"&lt;"&amp;'19_Расчет_аналитики'!AI4608,WeightedRevAge20)-SUMIF(ThresholdAge20,"&lt;"&amp;'19_Расчет_аналитики'!AI4608,WeightedMinAge20),MAX(CapacityAge20*'01_Вводные'!$B$218*'19_Расчет_аналитики'!AI4608,MeanMinAge20))),0)</f>
        <v/>
      </c>
      <c r="AJ4559">
        <f>IF('01_Вводные'!$B$234="Да",IF(OR(('19_Расчет_аналитики'!AJ4475-'19_Расчет_аналитики'!AJ4503)=0,20&lt;='01_Вводные'!$B$297),0,('19_Расчет_аналитики'!AJ4475-'19_Расчет_аналитики'!AJ4503)*IF('01_Вводные'!$B$239="Да",MeanMinAge20+'19_Расчет_аналитики'!AJ4608*SUMIF(ThresholdAge20,"&lt;"&amp;'19_Расчет_аналитики'!AJ4608,WeightedRevAge20)-SUMIF(ThresholdAge20,"&lt;"&amp;'19_Расчет_аналитики'!AJ4608,WeightedMinAge20),MAX(CapacityAge20*'01_Вводные'!$B$218*'19_Расчет_аналитики'!AJ4608,MeanMinAge20))),0)</f>
        <v/>
      </c>
      <c r="AK4559">
        <f>IF('01_Вводные'!$B$234="Да",IF(OR(('19_Расчет_аналитики'!AK4475-'19_Расчет_аналитики'!AK4503)=0,20&lt;='01_Вводные'!$B$297),0,('19_Расчет_аналитики'!AK4475-'19_Расчет_аналитики'!AK4503)*IF('01_Вводные'!$B$239="Да",MeanMinAge20+'19_Расчет_аналитики'!AK4608*SUMIF(ThresholdAge20,"&lt;"&amp;'19_Расчет_аналитики'!AK4608,WeightedRevAge20)-SUMIF(ThresholdAge20,"&lt;"&amp;'19_Расчет_аналитики'!AK4608,WeightedMinAge20),MAX(CapacityAge20*'01_Вводные'!$B$218*'19_Расчет_аналитики'!AK4608,MeanMinAge20))),0)</f>
        <v/>
      </c>
      <c r="AL4559">
        <f>IF('01_Вводные'!$B$234="Да",IF(OR(('19_Расчет_аналитики'!AL4475-'19_Расчет_аналитики'!AL4503)=0,20&lt;='01_Вводные'!$B$297),0,('19_Расчет_аналитики'!AL4475-'19_Расчет_аналитики'!AL4503)*IF('01_Вводные'!$B$239="Да",MeanMinAge20+'19_Расчет_аналитики'!AL4608*SUMIF(ThresholdAge20,"&lt;"&amp;'19_Расчет_аналитики'!AL4608,WeightedRevAge20)-SUMIF(ThresholdAge20,"&lt;"&amp;'19_Расчет_аналитики'!AL4608,WeightedMinAge20),MAX(CapacityAge20*'01_Вводные'!$B$218*'19_Расчет_аналитики'!AL4608,MeanMinAge20))),0)</f>
        <v/>
      </c>
      <c r="AM4559">
        <f>IF('01_Вводные'!$B$234="Да",IF(OR(('19_Расчет_аналитики'!AM4475-'19_Расчет_аналитики'!AM4503)=0,20&lt;='01_Вводные'!$B$297),0,('19_Расчет_аналитики'!AM4475-'19_Расчет_аналитики'!AM4503)*IF('01_Вводные'!$B$239="Да",MeanMinAge20+'19_Расчет_аналитики'!AM4608*SUMIF(ThresholdAge20,"&lt;"&amp;'19_Расчет_аналитики'!AM4608,WeightedRevAge20)-SUMIF(ThresholdAge20,"&lt;"&amp;'19_Расчет_аналитики'!AM4608,WeightedMinAge20),MAX(CapacityAge20*'01_Вводные'!$B$218*'19_Расчет_аналитики'!AM4608,MeanMinAge20))),0)</f>
        <v/>
      </c>
      <c r="AN4559">
        <f>IF('01_Вводные'!$B$234="Да",IF(OR(('19_Расчет_аналитики'!AN4475-'19_Расчет_аналитики'!AN4503)=0,20&lt;='01_Вводные'!$B$297),0,('19_Расчет_аналитики'!AN4475-'19_Расчет_аналитики'!AN4503)*IF('01_Вводные'!$B$239="Да",MeanMinAge20+'19_Расчет_аналитики'!AN4608*SUMIF(ThresholdAge20,"&lt;"&amp;'19_Расчет_аналитики'!AN4608,WeightedRevAge20)-SUMIF(ThresholdAge20,"&lt;"&amp;'19_Расчет_аналитики'!AN4608,WeightedMinAge20),MAX(CapacityAge20*'01_Вводные'!$B$218*'19_Расчет_аналитики'!AN4608,MeanMinAge20))),0)</f>
        <v/>
      </c>
      <c r="AO4559">
        <f>IF('01_Вводные'!$B$234="Да",IF(OR(('19_Расчет_аналитики'!AO4475-'19_Расчет_аналитики'!AO4503)=0,20&lt;='01_Вводные'!$B$297),0,('19_Расчет_аналитики'!AO4475-'19_Расчет_аналитики'!AO4503)*IF('01_Вводные'!$B$239="Да",MeanMinAge20+'19_Расчет_аналитики'!AO4608*SUMIF(ThresholdAge20,"&lt;"&amp;'19_Расчет_аналитики'!AO4608,WeightedRevAge20)-SUMIF(ThresholdAge20,"&lt;"&amp;'19_Расчет_аналитики'!AO4608,WeightedMinAge20),MAX(CapacityAge20*'01_Вводные'!$B$218*'19_Расчет_аналитики'!AO4608,MeanMinAge20))),0)</f>
        <v/>
      </c>
      <c r="AP4559">
        <f>IF('01_Вводные'!$B$234="Да",IF(OR(('19_Расчет_аналитики'!AP4475-'19_Расчет_аналитики'!AP4503)=0,20&lt;='01_Вводные'!$B$297),0,('19_Расчет_аналитики'!AP4475-'19_Расчет_аналитики'!AP4503)*IF('01_Вводные'!$B$239="Да",MeanMinAge20+'19_Расчет_аналитики'!AP4608*SUMIF(ThresholdAge20,"&lt;"&amp;'19_Расчет_аналитики'!AP4608,WeightedRevAge20)-SUMIF(ThresholdAge20,"&lt;"&amp;'19_Расчет_аналитики'!AP4608,WeightedMinAge20),MAX(CapacityAge20*'01_Вводные'!$B$218*'19_Расчет_аналитики'!AP4608,MeanMinAge20))),0)</f>
        <v/>
      </c>
      <c r="AQ4559">
        <f>IF('01_Вводные'!$B$234="Да",IF(OR(('19_Расчет_аналитики'!AQ4475-'19_Расчет_аналитики'!AQ4503)=0,20&lt;='01_Вводные'!$B$297),0,('19_Расчет_аналитики'!AQ4475-'19_Расчет_аналитики'!AQ4503)*IF('01_Вводные'!$B$239="Да",MeanMinAge20+'19_Расчет_аналитики'!AQ4608*SUMIF(ThresholdAge20,"&lt;"&amp;'19_Расчет_аналитики'!AQ4608,WeightedRevAge20)-SUMIF(ThresholdAge20,"&lt;"&amp;'19_Расчет_аналитики'!AQ4608,WeightedMinAge20),MAX(CapacityAge20*'01_Вводные'!$B$218*'19_Расчет_аналитики'!AQ4608,MeanMinAge20))),0)</f>
        <v/>
      </c>
      <c r="AR4559">
        <f>IF('01_Вводные'!$B$234="Да",IF(OR(('19_Расчет_аналитики'!AR4475-'19_Расчет_аналитики'!AR4503)=0,20&lt;='01_Вводные'!$B$297),0,('19_Расчет_аналитики'!AR4475-'19_Расчет_аналитики'!AR4503)*IF('01_Вводные'!$B$239="Да",MeanMinAge20+'19_Расчет_аналитики'!AR4608*SUMIF(ThresholdAge20,"&lt;"&amp;'19_Расчет_аналитики'!AR4608,WeightedRevAge20)-SUMIF(ThresholdAge20,"&lt;"&amp;'19_Расчет_аналитики'!AR4608,WeightedMinAge20),MAX(CapacityAge20*'01_Вводные'!$B$218*'19_Расчет_аналитики'!AR4608,MeanMinAge20))),0)</f>
        <v/>
      </c>
      <c r="AS4559">
        <f>IF('01_Вводные'!$B$234="Да",IF(OR(('19_Расчет_аналитики'!AS4475-'19_Расчет_аналитики'!AS4503)=0,20&lt;='01_Вводные'!$B$297),0,('19_Расчет_аналитики'!AS4475-'19_Расчет_аналитики'!AS4503)*IF('01_Вводные'!$B$239="Да",MeanMinAge20+'19_Расчет_аналитики'!AS4608*SUMIF(ThresholdAge20,"&lt;"&amp;'19_Расчет_аналитики'!AS4608,WeightedRevAge20)-SUMIF(ThresholdAge20,"&lt;"&amp;'19_Расчет_аналитики'!AS4608,WeightedMinAge20),MAX(CapacityAge20*'01_Вводные'!$B$218*'19_Расчет_аналитики'!AS4608,MeanMinAge20))),0)</f>
        <v/>
      </c>
      <c r="AT4559">
        <f>IF('01_Вводные'!$B$234="Да",IF(OR(('19_Расчет_аналитики'!AT4475-'19_Расчет_аналитики'!AT4503)=0,20&lt;='01_Вводные'!$B$297),0,('19_Расчет_аналитики'!AT4475-'19_Расчет_аналитики'!AT4503)*IF('01_Вводные'!$B$239="Да",MeanMinAge20+'19_Расчет_аналитики'!AT4608*SUMIF(ThresholdAge20,"&lt;"&amp;'19_Расчет_аналитики'!AT4608,WeightedRevAge20)-SUMIF(ThresholdAge20,"&lt;"&amp;'19_Расчет_аналитики'!AT4608,WeightedMinAge20),MAX(CapacityAge20*'01_Вводные'!$B$218*'19_Расчет_аналитики'!AT4608,MeanMinAge20))),0)</f>
        <v/>
      </c>
      <c r="AU4559">
        <f>IF('01_Вводные'!$B$234="Да",IF(OR(('19_Расчет_аналитики'!AU4475-'19_Расчет_аналитики'!AU4503)=0,20&lt;='01_Вводные'!$B$297),0,('19_Расчет_аналитики'!AU4475-'19_Расчет_аналитики'!AU4503)*IF('01_Вводные'!$B$239="Да",MeanMinAge20+'19_Расчет_аналитики'!AU4608*SUMIF(ThresholdAge20,"&lt;"&amp;'19_Расчет_аналитики'!AU4608,WeightedRevAge20)-SUMIF(ThresholdAge20,"&lt;"&amp;'19_Расчет_аналитики'!AU4608,WeightedMinAge20),MAX(CapacityAge20*'01_Вводные'!$B$218*'19_Расчет_аналитики'!AU4608,MeanMinAge20))),0)</f>
        <v/>
      </c>
      <c r="AV4559">
        <f>IF('01_Вводные'!$B$234="Да",IF(OR(('19_Расчет_аналитики'!AV4475-'19_Расчет_аналитики'!AV4503)=0,20&lt;='01_Вводные'!$B$297),0,('19_Расчет_аналитики'!AV4475-'19_Расчет_аналитики'!AV4503)*IF('01_Вводные'!$B$239="Да",MeanMinAge20+'19_Расчет_аналитики'!AV4608*SUMIF(ThresholdAge20,"&lt;"&amp;'19_Расчет_аналитики'!AV4608,WeightedRevAge20)-SUMIF(ThresholdAge20,"&lt;"&amp;'19_Расчет_аналитики'!AV4608,WeightedMinAge20),MAX(CapacityAge20*'01_Вводные'!$B$218*'19_Расчет_аналитики'!AV4608,MeanMinAge20))),0)</f>
        <v/>
      </c>
      <c r="AW4559">
        <f>IF('01_Вводные'!$B$234="Да",IF(OR(('19_Расчет_аналитики'!AW4475-'19_Расчет_аналитики'!AW4503)=0,20&lt;='01_Вводные'!$B$297),0,('19_Расчет_аналитики'!AW4475-'19_Расчет_аналитики'!AW4503)*IF('01_Вводные'!$B$239="Да",MeanMinAge20+'19_Расчет_аналитики'!AW4608*SUMIF(ThresholdAge20,"&lt;"&amp;'19_Расчет_аналитики'!AW4608,WeightedRevAge20)-SUMIF(ThresholdAge20,"&lt;"&amp;'19_Расчет_аналитики'!AW4608,WeightedMinAge20),MAX(CapacityAge20*'01_Вводные'!$B$218*'19_Расчет_аналитики'!AW4608,MeanMinAge20))),0)</f>
        <v/>
      </c>
      <c r="AX4559">
        <f>IF('01_Вводные'!$B$234="Да",IF(OR(('19_Расчет_аналитики'!AX4475-'19_Расчет_аналитики'!AX4503)=0,20&lt;='01_Вводные'!$B$297),0,('19_Расчет_аналитики'!AX4475-'19_Расчет_аналитики'!AX4503)*IF('01_Вводные'!$B$239="Да",MeanMinAge20+'19_Расчет_аналитики'!AX4608*SUMIF(ThresholdAge20,"&lt;"&amp;'19_Расчет_аналитики'!AX4608,WeightedRevAge20)-SUMIF(ThresholdAge20,"&lt;"&amp;'19_Расчет_аналитики'!AX4608,WeightedMinAge20),MAX(CapacityAge20*'01_Вводные'!$B$218*'19_Расчет_аналитики'!AX4608,MeanMinAge20))),0)</f>
        <v/>
      </c>
      <c r="AY4559">
        <f>IF('01_Вводные'!$B$234="Да",IF(OR(('19_Расчет_аналитики'!AY4475-'19_Расчет_аналитики'!AY4503)=0,20&lt;='01_Вводные'!$B$297),0,('19_Расчет_аналитики'!AY4475-'19_Расчет_аналитики'!AY4503)*IF('01_Вводные'!$B$239="Да",MeanMinAge20+'19_Расчет_аналитики'!AY4608*SUMIF(ThresholdAge20,"&lt;"&amp;'19_Расчет_аналитики'!AY4608,WeightedRevAge20)-SUMIF(ThresholdAge20,"&lt;"&amp;'19_Расчет_аналитики'!AY4608,WeightedMinAge20),MAX(CapacityAge20*'01_Вводные'!$B$218*'19_Расчет_аналитики'!AY4608,MeanMinAge20))),0)</f>
        <v/>
      </c>
      <c r="AZ4559">
        <f>IF('01_Вводные'!$B$234="Да",IF(OR(('19_Расчет_аналитики'!AZ4475-'19_Расчет_аналитики'!AZ4503)=0,20&lt;='01_Вводные'!$B$297),0,('19_Расчет_аналитики'!AZ4475-'19_Расчет_аналитики'!AZ4503)*IF('01_Вводные'!$B$239="Да",MeanMinAge20+'19_Расчет_аналитики'!AZ4608*SUMIF(ThresholdAge20,"&lt;"&amp;'19_Расчет_аналитики'!AZ4608,WeightedRevAge20)-SUMIF(ThresholdAge20,"&lt;"&amp;'19_Расчет_аналитики'!AZ4608,WeightedMinAge20),MAX(CapacityAge20*'01_Вводные'!$B$218*'19_Расчет_аналитики'!AZ4608,MeanMinAge20))),0)</f>
        <v/>
      </c>
      <c r="BA4559">
        <f>IF('01_Вводные'!$B$234="Да",IF(OR(('19_Расчет_аналитики'!BA4475-'19_Расчет_аналитики'!BA4503)=0,20&lt;='01_Вводные'!$B$297),0,('19_Расчет_аналитики'!BA4475-'19_Расчет_аналитики'!BA4503)*IF('01_Вводные'!$B$239="Да",MeanMinAge20+'19_Расчет_аналитики'!BA4608*SUMIF(ThresholdAge20,"&lt;"&amp;'19_Расчет_аналитики'!BA4608,WeightedRevAge20)-SUMIF(ThresholdAge20,"&lt;"&amp;'19_Расчет_аналитики'!BA4608,WeightedMinAge20),MAX(CapacityAge20*'01_Вводные'!$B$218*'19_Расчет_аналитики'!BA4608,MeanMinAge20))),0)</f>
        <v/>
      </c>
      <c r="BB4559">
        <f>IF('01_Вводные'!$B$234="Да",IF(OR(('19_Расчет_аналитики'!BB4475-'19_Расчет_аналитики'!BB4503)=0,20&lt;='01_Вводные'!$B$297),0,('19_Расчет_аналитики'!BB4475-'19_Расчет_аналитики'!BB4503)*IF('01_Вводные'!$B$239="Да",MeanMinAge20+'19_Расчет_аналитики'!BB4608*SUMIF(ThresholdAge20,"&lt;"&amp;'19_Расчет_аналитики'!BB4608,WeightedRevAge20)-SUMIF(ThresholdAge20,"&lt;"&amp;'19_Расчет_аналитики'!BB4608,WeightedMinAge20),MAX(CapacityAge20*'01_Вводные'!$B$218*'19_Расчет_аналитики'!BB4608,MeanMinAge20))),0)</f>
        <v/>
      </c>
      <c r="BC4559">
        <f>IF('01_Вводные'!$B$234="Да",IF(OR(('19_Расчет_аналитики'!BC4475-'19_Расчет_аналитики'!BC4503)=0,20&lt;='01_Вводные'!$B$297),0,('19_Расчет_аналитики'!BC4475-'19_Расчет_аналитики'!BC4503)*IF('01_Вводные'!$B$239="Да",MeanMinAge20+'19_Расчет_аналитики'!BC4608*SUMIF(ThresholdAge20,"&lt;"&amp;'19_Расчет_аналитики'!BC4608,WeightedRevAge20)-SUMIF(ThresholdAge20,"&lt;"&amp;'19_Расчет_аналитики'!BC4608,WeightedMinAge20),MAX(CapacityAge20*'01_Вводные'!$B$218*'19_Расчет_аналитики'!BC4608,MeanMinAge20))),0)</f>
        <v/>
      </c>
      <c r="BD4559">
        <f>IF('01_Вводные'!$B$234="Да",IF(OR(('19_Расчет_аналитики'!BD4475-'19_Расчет_аналитики'!BD4503)=0,20&lt;='01_Вводные'!$B$297),0,('19_Расчет_аналитики'!BD4475-'19_Расчет_аналитики'!BD4503)*IF('01_Вводные'!$B$239="Да",MeanMinAge20+'19_Расчет_аналитики'!BD4608*SUMIF(ThresholdAge20,"&lt;"&amp;'19_Расчет_аналитики'!BD4608,WeightedRevAge20)-SUMIF(ThresholdAge20,"&lt;"&amp;'19_Расчет_аналитики'!BD4608,WeightedMinAge20),MAX(CapacityAge20*'01_Вводные'!$B$218*'19_Расчет_аналитики'!BD4608,MeanMinAge20))),0)</f>
        <v/>
      </c>
      <c r="BE4559">
        <f>IF('01_Вводные'!$B$234="Да",IF(OR(('19_Расчет_аналитики'!BE4475-'19_Расчет_аналитики'!BE4503)=0,20&lt;='01_Вводные'!$B$297),0,('19_Расчет_аналитики'!BE4475-'19_Расчет_аналитики'!BE4503)*IF('01_Вводные'!$B$239="Да",MeanMinAge20+'19_Расчет_аналитики'!BE4608*SUMIF(ThresholdAge20,"&lt;"&amp;'19_Расчет_аналитики'!BE4608,WeightedRevAge20)-SUMIF(ThresholdAge20,"&lt;"&amp;'19_Расчет_аналитики'!BE4608,WeightedMinAge20),MAX(CapacityAge20*'01_Вводные'!$B$218*'19_Расчет_аналитики'!BE4608,MeanMinAge20))),0)</f>
        <v/>
      </c>
      <c r="BF4559">
        <f>IF('01_Вводные'!$B$234="Да",IF(OR(('19_Расчет_аналитики'!BF4475-'19_Расчет_аналитики'!BF4503)=0,20&lt;='01_Вводные'!$B$297),0,('19_Расчет_аналитики'!BF4475-'19_Расчет_аналитики'!BF4503)*IF('01_Вводные'!$B$239="Да",MeanMinAge20+'19_Расчет_аналитики'!BF4608*SUMIF(ThresholdAge20,"&lt;"&amp;'19_Расчет_аналитики'!BF4608,WeightedRevAge20)-SUMIF(ThresholdAge20,"&lt;"&amp;'19_Расчет_аналитики'!BF4608,WeightedMinAge20),MAX(CapacityAge20*'01_Вводные'!$B$218*'19_Расчет_аналитики'!BF4608,MeanMinAge20))),0)</f>
        <v/>
      </c>
      <c r="BG4559">
        <f>IF('01_Вводные'!$B$234="Да",IF(OR(('19_Расчет_аналитики'!BG4475-'19_Расчет_аналитики'!BG4503)=0,20&lt;='01_Вводные'!$B$297),0,('19_Расчет_аналитики'!BG4475-'19_Расчет_аналитики'!BG4503)*IF('01_Вводные'!$B$239="Да",MeanMinAge20+'19_Расчет_аналитики'!BG4608*SUMIF(ThresholdAge20,"&lt;"&amp;'19_Расчет_аналитики'!BG4608,WeightedRevAge20)-SUMIF(ThresholdAge20,"&lt;"&amp;'19_Расчет_аналитики'!BG4608,WeightedMinAge20),MAX(CapacityAge20*'01_Вводные'!$B$218*'19_Расчет_аналитики'!BG4608,MeanMinAge20))),0)</f>
        <v/>
      </c>
      <c r="BH4559">
        <f>IF('01_Вводные'!$B$234="Да",IF(OR(('19_Расчет_аналитики'!BH4475-'19_Расчет_аналитики'!BH4503)=0,20&lt;='01_Вводные'!$B$297),0,('19_Расчет_аналитики'!BH4475-'19_Расчет_аналитики'!BH4503)*IF('01_Вводные'!$B$239="Да",MeanMinAge20+'19_Расчет_аналитики'!BH4608*SUMIF(ThresholdAge20,"&lt;"&amp;'19_Расчет_аналитики'!BH4608,WeightedRevAge20)-SUMIF(ThresholdAge20,"&lt;"&amp;'19_Расчет_аналитики'!BH4608,WeightedMinAge20),MAX(CapacityAge20*'01_Вводные'!$B$218*'19_Расчет_аналитики'!BH4608,MeanMinAge20))),0)</f>
        <v/>
      </c>
      <c r="BI4559">
        <f>IF('01_Вводные'!$B$234="Да",IF(OR(('19_Расчет_аналитики'!BI4475-'19_Расчет_аналитики'!BI4503)=0,20&lt;='01_Вводные'!$B$297),0,('19_Расчет_аналитики'!BI4475-'19_Расчет_аналитики'!BI4503)*IF('01_Вводные'!$B$239="Да",MeanMinAge20+'19_Расчет_аналитики'!BI4608*SUMIF(ThresholdAge20,"&lt;"&amp;'19_Расчет_аналитики'!BI4608,WeightedRevAge20)-SUMIF(ThresholdAge20,"&lt;"&amp;'19_Расчет_аналитики'!BI4608,WeightedMinAge20),MAX(CapacityAge20*'01_Вводные'!$B$218*'19_Расчет_аналитики'!BI4608,MeanMinAge20))),0)</f>
        <v/>
      </c>
      <c r="BJ4559">
        <f>IF('01_Вводные'!$B$234="Да",IF(OR(('19_Расчет_аналитики'!BJ4475-'19_Расчет_аналитики'!BJ4503)=0,20&lt;='01_Вводные'!$B$297),0,('19_Расчет_аналитики'!BJ4475-'19_Расчет_аналитики'!BJ4503)*IF('01_Вводные'!$B$239="Да",MeanMinAge20+'19_Расчет_аналитики'!BJ4608*SUMIF(ThresholdAge20,"&lt;"&amp;'19_Расчет_аналитики'!BJ4608,WeightedRevAge20)-SUMIF(ThresholdAge20,"&lt;"&amp;'19_Расчет_аналитики'!BJ4608,WeightedMinAge20),MAX(CapacityAge20*'01_Вводные'!$B$218*'19_Расчет_аналитики'!BJ4608,MeanMinAge20))),0)</f>
        <v/>
      </c>
      <c r="BK4559">
        <f>IF('01_Вводные'!$B$234="Да",IF(OR(('19_Расчет_аналитики'!BK4475-'19_Расчет_аналитики'!BK4503)=0,20&lt;='01_Вводные'!$B$297),0,('19_Расчет_аналитики'!BK4475-'19_Расчет_аналитики'!BK4503)*IF('01_Вводные'!$B$239="Да",MeanMinAge20+'19_Расчет_аналитики'!BK4608*SUMIF(ThresholdAge20,"&lt;"&amp;'19_Расчет_аналитики'!BK4608,WeightedRevAge20)-SUMIF(ThresholdAge20,"&lt;"&amp;'19_Расчет_аналитики'!BK4608,WeightedMinAge20),MAX(CapacityAge20*'01_Вводные'!$B$218*'19_Расчет_аналитики'!BK4608,MeanMinAge20))),0)</f>
        <v/>
      </c>
      <c r="BL4559">
        <f>IF('01_Вводные'!$B$234="Да",IF(OR(('19_Расчет_аналитики'!BL4475-'19_Расчет_аналитики'!BL4503)=0,20&lt;='01_Вводные'!$B$297),0,('19_Расчет_аналитики'!BL4475-'19_Расчет_аналитики'!BL4503)*IF('01_Вводные'!$B$239="Да",MeanMinAge20+'19_Расчет_аналитики'!BL4608*SUMIF(ThresholdAge20,"&lt;"&amp;'19_Расчет_аналитики'!BL4608,WeightedRevAge20)-SUMIF(ThresholdAge20,"&lt;"&amp;'19_Расчет_аналитики'!BL4608,WeightedMinAge20),MAX(CapacityAge20*'01_Вводные'!$B$218*'19_Расчет_аналитики'!BL4608,MeanMinAge20))),0)</f>
        <v/>
      </c>
      <c r="BM4559">
        <f>IF('01_Вводные'!$B$234="Да",IF(OR(('19_Расчет_аналитики'!BM4475-'19_Расчет_аналитики'!BM4503)=0,20&lt;='01_Вводные'!$B$297),0,('19_Расчет_аналитики'!BM4475-'19_Расчет_аналитики'!BM4503)*IF('01_Вводные'!$B$239="Да",MeanMinAge20+'19_Расчет_аналитики'!BM4608*SUMIF(ThresholdAge20,"&lt;"&amp;'19_Расчет_аналитики'!BM4608,WeightedRevAge20)-SUMIF(ThresholdAge20,"&lt;"&amp;'19_Расчет_аналитики'!BM4608,WeightedMinAge20),MAX(CapacityAge20*'01_Вводные'!$B$218*'19_Расчет_аналитики'!BM4608,MeanMinAge20))),0)</f>
        <v/>
      </c>
      <c r="BN4559">
        <f>IF('01_Вводные'!$B$234="Да",IF(OR(('19_Расчет_аналитики'!BN4475-'19_Расчет_аналитики'!BN4503)=0,20&lt;='01_Вводные'!$B$297),0,('19_Расчет_аналитики'!BN4475-'19_Расчет_аналитики'!BN4503)*IF('01_Вводные'!$B$239="Да",MeanMinAge20+'19_Расчет_аналитики'!BN4608*SUMIF(ThresholdAge20,"&lt;"&amp;'19_Расчет_аналитики'!BN4608,WeightedRevAge20)-SUMIF(ThresholdAge20,"&lt;"&amp;'19_Расчет_аналитики'!BN4608,WeightedMinAge20),MAX(CapacityAge20*'01_Вводные'!$B$218*'19_Расчет_аналитики'!BN4608,MeanMinAge20))),0)</f>
        <v/>
      </c>
      <c r="BO4559">
        <f>IF('01_Вводные'!$B$234="Да",IF(OR(('19_Расчет_аналитики'!BO4475-'19_Расчет_аналитики'!BO4503)=0,20&lt;='01_Вводные'!$B$297),0,('19_Расчет_аналитики'!BO4475-'19_Расчет_аналитики'!BO4503)*IF('01_Вводные'!$B$239="Да",MeanMinAge20+'19_Расчет_аналитики'!BO4608*SUMIF(ThresholdAge20,"&lt;"&amp;'19_Расчет_аналитики'!BO4608,WeightedRevAge20)-SUMIF(ThresholdAge20,"&lt;"&amp;'19_Расчет_аналитики'!BO4608,WeightedMinAge20),MAX(CapacityAge20*'01_Вводные'!$B$218*'19_Расчет_аналитики'!BO4608,MeanMinAge20))),0)</f>
        <v/>
      </c>
    </row>
    <row r="4560">
      <c r="B4560">
        <f>IF('01_Вводные'!$B$234="Да",IF(OR(('06_Сеть_и_дети'!B73-'06_Сеть_и_дети'!B101)=0,21&lt;='01_Вводные'!$B$297),0,('06_Сеть_и_дети'!B73-'06_Сеть_и_дети'!B101)*IF('01_Вводные'!$B$239="Да",MeanMinAge21+'19_Расчет_аналитики'!B4608*SUMIF(ThresholdAge21,"&lt;"&amp;'19_Расчет_аналитики'!B4608,WeightedRevAge21)-SUMIF(ThresholdAge21,"&lt;"&amp;'19_Расчет_аналитики'!B4608,WeightedMinAge21),MAX(CapacityAge21*'01_Вводные'!$B$218*'19_Расчет_аналитики'!B4608,MeanMinAge21))),0)</f>
        <v/>
      </c>
      <c r="C4560">
        <f>IF('01_Вводные'!$B$234="Да",IF(OR(('06_Сеть_и_дети'!C73-'06_Сеть_и_дети'!C101)=0,21&lt;='01_Вводные'!$B$297),0,('06_Сеть_и_дети'!C73-'06_Сеть_и_дети'!C101)*IF('01_Вводные'!$B$239="Да",MeanMinAge21+'19_Расчет_аналитики'!C4608*SUMIF(ThresholdAge21,"&lt;"&amp;'19_Расчет_аналитики'!C4608,WeightedRevAge21)-SUMIF(ThresholdAge21,"&lt;"&amp;'19_Расчет_аналитики'!C4608,WeightedMinAge21),MAX(CapacityAge21*'01_Вводные'!$B$218*'19_Расчет_аналитики'!C4608,MeanMinAge21))),0)</f>
        <v/>
      </c>
      <c r="D4560">
        <f>IF('01_Вводные'!$B$234="Да",IF(OR(('06_Сеть_и_дети'!D73-'06_Сеть_и_дети'!D101)=0,21&lt;='01_Вводные'!$B$297),0,('06_Сеть_и_дети'!D73-'06_Сеть_и_дети'!D101)*IF('01_Вводные'!$B$239="Да",MeanMinAge21+'19_Расчет_аналитики'!D4608*SUMIF(ThresholdAge21,"&lt;"&amp;'19_Расчет_аналитики'!D4608,WeightedRevAge21)-SUMIF(ThresholdAge21,"&lt;"&amp;'19_Расчет_аналитики'!D4608,WeightedMinAge21),MAX(CapacityAge21*'01_Вводные'!$B$218*'19_Расчет_аналитики'!D4608,MeanMinAge21))),0)</f>
        <v/>
      </c>
      <c r="E4560">
        <f>IF('01_Вводные'!$B$234="Да",IF(OR(('06_Сеть_и_дети'!E73-'06_Сеть_и_дети'!E101)=0,21&lt;='01_Вводные'!$B$297),0,('06_Сеть_и_дети'!E73-'06_Сеть_и_дети'!E101)*IF('01_Вводные'!$B$239="Да",MeanMinAge21+'19_Расчет_аналитики'!E4608*SUMIF(ThresholdAge21,"&lt;"&amp;'19_Расчет_аналитики'!E4608,WeightedRevAge21)-SUMIF(ThresholdAge21,"&lt;"&amp;'19_Расчет_аналитики'!E4608,WeightedMinAge21),MAX(CapacityAge21*'01_Вводные'!$B$218*'19_Расчет_аналитики'!E4608,MeanMinAge21))),0)</f>
        <v/>
      </c>
      <c r="F4560">
        <f>IF('01_Вводные'!$B$234="Да",IF(OR(('06_Сеть_и_дети'!F73-'06_Сеть_и_дети'!F101)=0,21&lt;='01_Вводные'!$B$297),0,('06_Сеть_и_дети'!F73-'06_Сеть_и_дети'!F101)*IF('01_Вводные'!$B$239="Да",MeanMinAge21+'19_Расчет_аналитики'!F4608*SUMIF(ThresholdAge21,"&lt;"&amp;'19_Расчет_аналитики'!F4608,WeightedRevAge21)-SUMIF(ThresholdAge21,"&lt;"&amp;'19_Расчет_аналитики'!F4608,WeightedMinAge21),MAX(CapacityAge21*'01_Вводные'!$B$218*'19_Расчет_аналитики'!F4608,MeanMinAge21))),0)</f>
        <v/>
      </c>
      <c r="G4560">
        <f>IF('01_Вводные'!$B$234="Да",IF(OR(('06_Сеть_и_дети'!G73-'06_Сеть_и_дети'!G101)=0,21&lt;='01_Вводные'!$B$297),0,('06_Сеть_и_дети'!G73-'06_Сеть_и_дети'!G101)*IF('01_Вводные'!$B$239="Да",MeanMinAge21+'19_Расчет_аналитики'!G4608*SUMIF(ThresholdAge21,"&lt;"&amp;'19_Расчет_аналитики'!G4608,WeightedRevAge21)-SUMIF(ThresholdAge21,"&lt;"&amp;'19_Расчет_аналитики'!G4608,WeightedMinAge21),MAX(CapacityAge21*'01_Вводные'!$B$218*'19_Расчет_аналитики'!G4608,MeanMinAge21))),0)</f>
        <v/>
      </c>
      <c r="H4560">
        <f>IF('01_Вводные'!$B$234="Да",IF(OR(('06_Сеть_и_дети'!H73-'06_Сеть_и_дети'!H101)=0,21&lt;='01_Вводные'!$B$297),0,('06_Сеть_и_дети'!H73-'06_Сеть_и_дети'!H101)*IF('01_Вводные'!$B$239="Да",MeanMinAge21+'19_Расчет_аналитики'!H4608*SUMIF(ThresholdAge21,"&lt;"&amp;'19_Расчет_аналитики'!H4608,WeightedRevAge21)-SUMIF(ThresholdAge21,"&lt;"&amp;'19_Расчет_аналитики'!H4608,WeightedMinAge21),MAX(CapacityAge21*'01_Вводные'!$B$218*'19_Расчет_аналитики'!H4608,MeanMinAge21))),0)</f>
        <v/>
      </c>
      <c r="I4560">
        <f>IF('01_Вводные'!$B$234="Да",IF(OR(('06_Сеть_и_дети'!I73-'06_Сеть_и_дети'!I101)=0,21&lt;='01_Вводные'!$B$297),0,('06_Сеть_и_дети'!I73-'06_Сеть_и_дети'!I101)*IF('01_Вводные'!$B$239="Да",MeanMinAge21+'19_Расчет_аналитики'!I4608*SUMIF(ThresholdAge21,"&lt;"&amp;'19_Расчет_аналитики'!I4608,WeightedRevAge21)-SUMIF(ThresholdAge21,"&lt;"&amp;'19_Расчет_аналитики'!I4608,WeightedMinAge21),MAX(CapacityAge21*'01_Вводные'!$B$218*'19_Расчет_аналитики'!I4608,MeanMinAge21))),0)</f>
        <v/>
      </c>
      <c r="J4560">
        <f>IF('01_Вводные'!$B$234="Да",IF(OR(('06_Сеть_и_дети'!J73-'06_Сеть_и_дети'!J101)=0,21&lt;='01_Вводные'!$B$297),0,('06_Сеть_и_дети'!J73-'06_Сеть_и_дети'!J101)*IF('01_Вводные'!$B$239="Да",MeanMinAge21+'19_Расчет_аналитики'!J4608*SUMIF(ThresholdAge21,"&lt;"&amp;'19_Расчет_аналитики'!J4608,WeightedRevAge21)-SUMIF(ThresholdAge21,"&lt;"&amp;'19_Расчет_аналитики'!J4608,WeightedMinAge21),MAX(CapacityAge21*'01_Вводные'!$B$218*'19_Расчет_аналитики'!J4608,MeanMinAge21))),0)</f>
        <v/>
      </c>
      <c r="K4560">
        <f>IF('01_Вводные'!$B$234="Да",IF(OR(('06_Сеть_и_дети'!K73-'06_Сеть_и_дети'!K101)=0,21&lt;='01_Вводные'!$B$297),0,('06_Сеть_и_дети'!K73-'06_Сеть_и_дети'!K101)*IF('01_Вводные'!$B$239="Да",MeanMinAge21+'19_Расчет_аналитики'!K4608*SUMIF(ThresholdAge21,"&lt;"&amp;'19_Расчет_аналитики'!K4608,WeightedRevAge21)-SUMIF(ThresholdAge21,"&lt;"&amp;'19_Расчет_аналитики'!K4608,WeightedMinAge21),MAX(CapacityAge21*'01_Вводные'!$B$218*'19_Расчет_аналитики'!K4608,MeanMinAge21))),0)</f>
        <v/>
      </c>
      <c r="L4560">
        <f>IF('01_Вводные'!$B$234="Да",IF(OR(('06_Сеть_и_дети'!L73-'06_Сеть_и_дети'!L101)=0,21&lt;='01_Вводные'!$B$297),0,('06_Сеть_и_дети'!L73-'06_Сеть_и_дети'!L101)*IF('01_Вводные'!$B$239="Да",MeanMinAge21+'19_Расчет_аналитики'!L4608*SUMIF(ThresholdAge21,"&lt;"&amp;'19_Расчет_аналитики'!L4608,WeightedRevAge21)-SUMIF(ThresholdAge21,"&lt;"&amp;'19_Расчет_аналитики'!L4608,WeightedMinAge21),MAX(CapacityAge21*'01_Вводные'!$B$218*'19_Расчет_аналитики'!L4608,MeanMinAge21))),0)</f>
        <v/>
      </c>
      <c r="M4560">
        <f>IF('01_Вводные'!$B$234="Да",IF(OR(('06_Сеть_и_дети'!M73-'06_Сеть_и_дети'!M101)=0,21&lt;='01_Вводные'!$B$297),0,('06_Сеть_и_дети'!M73-'06_Сеть_и_дети'!M101)*IF('01_Вводные'!$B$239="Да",MeanMinAge21+'19_Расчет_аналитики'!M4608*SUMIF(ThresholdAge21,"&lt;"&amp;'19_Расчет_аналитики'!M4608,WeightedRevAge21)-SUMIF(ThresholdAge21,"&lt;"&amp;'19_Расчет_аналитики'!M4608,WeightedMinAge21),MAX(CapacityAge21*'01_Вводные'!$B$218*'19_Расчет_аналитики'!M4608,MeanMinAge21))),0)</f>
        <v/>
      </c>
      <c r="N4560">
        <f>IF('01_Вводные'!$B$234="Да",IF(OR(('06_Сеть_и_дети'!N73-'06_Сеть_и_дети'!N101)=0,21&lt;='01_Вводные'!$B$297),0,('06_Сеть_и_дети'!N73-'06_Сеть_и_дети'!N101)*IF('01_Вводные'!$B$239="Да",MeanMinAge21+'19_Расчет_аналитики'!N4608*SUMIF(ThresholdAge21,"&lt;"&amp;'19_Расчет_аналитики'!N4608,WeightedRevAge21)-SUMIF(ThresholdAge21,"&lt;"&amp;'19_Расчет_аналитики'!N4608,WeightedMinAge21),MAX(CapacityAge21*'01_Вводные'!$B$218*'19_Расчет_аналитики'!N4608,MeanMinAge21))),0)</f>
        <v/>
      </c>
      <c r="O4560">
        <f>IF('01_Вводные'!$B$234="Да",IF(OR(('06_Сеть_и_дети'!O73-'06_Сеть_и_дети'!O101)=0,21&lt;='01_Вводные'!$B$297),0,('06_Сеть_и_дети'!O73-'06_Сеть_и_дети'!O101)*IF('01_Вводные'!$B$239="Да",MeanMinAge21+'19_Расчет_аналитики'!O4608*SUMIF(ThresholdAge21,"&lt;"&amp;'19_Расчет_аналитики'!O4608,WeightedRevAge21)-SUMIF(ThresholdAge21,"&lt;"&amp;'19_Расчет_аналитики'!O4608,WeightedMinAge21),MAX(CapacityAge21*'01_Вводные'!$B$218*'19_Расчет_аналитики'!O4608,MeanMinAge21))),0)</f>
        <v/>
      </c>
      <c r="P4560">
        <f>IF('01_Вводные'!$B$234="Да",IF(OR(('06_Сеть_и_дети'!P73-'06_Сеть_и_дети'!P101)=0,21&lt;='01_Вводные'!$B$297),0,('06_Сеть_и_дети'!P73-'06_Сеть_и_дети'!P101)*IF('01_Вводные'!$B$239="Да",MeanMinAge21+'19_Расчет_аналитики'!P4608*SUMIF(ThresholdAge21,"&lt;"&amp;'19_Расчет_аналитики'!P4608,WeightedRevAge21)-SUMIF(ThresholdAge21,"&lt;"&amp;'19_Расчет_аналитики'!P4608,WeightedMinAge21),MAX(CapacityAge21*'01_Вводные'!$B$218*'19_Расчет_аналитики'!P4608,MeanMinAge21))),0)</f>
        <v/>
      </c>
      <c r="Q4560">
        <f>IF('01_Вводные'!$B$234="Да",IF(OR(('06_Сеть_и_дети'!Q73-'06_Сеть_и_дети'!Q101)=0,21&lt;='01_Вводные'!$B$297),0,('06_Сеть_и_дети'!Q73-'06_Сеть_и_дети'!Q101)*IF('01_Вводные'!$B$239="Да",MeanMinAge21+'19_Расчет_аналитики'!Q4608*SUMIF(ThresholdAge21,"&lt;"&amp;'19_Расчет_аналитики'!Q4608,WeightedRevAge21)-SUMIF(ThresholdAge21,"&lt;"&amp;'19_Расчет_аналитики'!Q4608,WeightedMinAge21),MAX(CapacityAge21*'01_Вводные'!$B$218*'19_Расчет_аналитики'!Q4608,MeanMinAge21))),0)</f>
        <v/>
      </c>
      <c r="R4560">
        <f>IF('01_Вводные'!$B$234="Да",IF(OR(('06_Сеть_и_дети'!R73-'06_Сеть_и_дети'!R101)=0,21&lt;='01_Вводные'!$B$297),0,('06_Сеть_и_дети'!R73-'06_Сеть_и_дети'!R101)*IF('01_Вводные'!$B$239="Да",MeanMinAge21+'19_Расчет_аналитики'!R4608*SUMIF(ThresholdAge21,"&lt;"&amp;'19_Расчет_аналитики'!R4608,WeightedRevAge21)-SUMIF(ThresholdAge21,"&lt;"&amp;'19_Расчет_аналитики'!R4608,WeightedMinAge21),MAX(CapacityAge21*'01_Вводные'!$B$218*'19_Расчет_аналитики'!R4608,MeanMinAge21))),0)</f>
        <v/>
      </c>
      <c r="S4560">
        <f>IF('01_Вводные'!$B$234="Да",IF(OR(('06_Сеть_и_дети'!S73-'06_Сеть_и_дети'!S101)=0,21&lt;='01_Вводные'!$B$297),0,('06_Сеть_и_дети'!S73-'06_Сеть_и_дети'!S101)*IF('01_Вводные'!$B$239="Да",MeanMinAge21+'19_Расчет_аналитики'!S4608*SUMIF(ThresholdAge21,"&lt;"&amp;'19_Расчет_аналитики'!S4608,WeightedRevAge21)-SUMIF(ThresholdAge21,"&lt;"&amp;'19_Расчет_аналитики'!S4608,WeightedMinAge21),MAX(CapacityAge21*'01_Вводные'!$B$218*'19_Расчет_аналитики'!S4608,MeanMinAge21))),0)</f>
        <v/>
      </c>
      <c r="T4560">
        <f>IF('01_Вводные'!$B$234="Да",IF(OR(('06_Сеть_и_дети'!T73-'06_Сеть_и_дети'!T101)=0,21&lt;='01_Вводные'!$B$297),0,('06_Сеть_и_дети'!T73-'06_Сеть_и_дети'!T101)*IF('01_Вводные'!$B$239="Да",MeanMinAge21+'19_Расчет_аналитики'!T4608*SUMIF(ThresholdAge21,"&lt;"&amp;'19_Расчет_аналитики'!T4608,WeightedRevAge21)-SUMIF(ThresholdAge21,"&lt;"&amp;'19_Расчет_аналитики'!T4608,WeightedMinAge21),MAX(CapacityAge21*'01_Вводные'!$B$218*'19_Расчет_аналитики'!T4608,MeanMinAge21))),0)</f>
        <v/>
      </c>
      <c r="U4560">
        <f>IF('01_Вводные'!$B$234="Да",IF(OR(('06_Сеть_и_дети'!U73-'06_Сеть_и_дети'!U101)=0,21&lt;='01_Вводные'!$B$297),0,('06_Сеть_и_дети'!U73-'06_Сеть_и_дети'!U101)*IF('01_Вводные'!$B$239="Да",MeanMinAge21+'19_Расчет_аналитики'!U4608*SUMIF(ThresholdAge21,"&lt;"&amp;'19_Расчет_аналитики'!U4608,WeightedRevAge21)-SUMIF(ThresholdAge21,"&lt;"&amp;'19_Расчет_аналитики'!U4608,WeightedMinAge21),MAX(CapacityAge21*'01_Вводные'!$B$218*'19_Расчет_аналитики'!U4608,MeanMinAge21))),0)</f>
        <v/>
      </c>
      <c r="V4560">
        <f>IF('01_Вводные'!$B$234="Да",IF(OR(('19_Расчет_аналитики'!V4476-'19_Расчет_аналитики'!V4504)=0,21&lt;='01_Вводные'!$B$297),0,('19_Расчет_аналитики'!V4476-'19_Расчет_аналитики'!V4504)*IF('01_Вводные'!$B$239="Да",MeanMinAge21+'19_Расчет_аналитики'!V4608*SUMIF(ThresholdAge21,"&lt;"&amp;'19_Расчет_аналитики'!V4608,WeightedRevAge21)-SUMIF(ThresholdAge21,"&lt;"&amp;'19_Расчет_аналитики'!V4608,WeightedMinAge21),MAX(CapacityAge21*'01_Вводные'!$B$218*'19_Расчет_аналитики'!V4608,MeanMinAge21))),0)</f>
        <v/>
      </c>
      <c r="W4560">
        <f>IF('01_Вводные'!$B$234="Да",IF(OR(('19_Расчет_аналитики'!W4476-'19_Расчет_аналитики'!W4504)=0,21&lt;='01_Вводные'!$B$297),0,('19_Расчет_аналитики'!W4476-'19_Расчет_аналитики'!W4504)*IF('01_Вводные'!$B$239="Да",MeanMinAge21+'19_Расчет_аналитики'!W4608*SUMIF(ThresholdAge21,"&lt;"&amp;'19_Расчет_аналитики'!W4608,WeightedRevAge21)-SUMIF(ThresholdAge21,"&lt;"&amp;'19_Расчет_аналитики'!W4608,WeightedMinAge21),MAX(CapacityAge21*'01_Вводные'!$B$218*'19_Расчет_аналитики'!W4608,MeanMinAge21))),0)</f>
        <v/>
      </c>
      <c r="X4560">
        <f>IF('01_Вводные'!$B$234="Да",IF(OR(('19_Расчет_аналитики'!X4476-'19_Расчет_аналитики'!X4504)=0,21&lt;='01_Вводные'!$B$297),0,('19_Расчет_аналитики'!X4476-'19_Расчет_аналитики'!X4504)*IF('01_Вводные'!$B$239="Да",MeanMinAge21+'19_Расчет_аналитики'!X4608*SUMIF(ThresholdAge21,"&lt;"&amp;'19_Расчет_аналитики'!X4608,WeightedRevAge21)-SUMIF(ThresholdAge21,"&lt;"&amp;'19_Расчет_аналитики'!X4608,WeightedMinAge21),MAX(CapacityAge21*'01_Вводные'!$B$218*'19_Расчет_аналитики'!X4608,MeanMinAge21))),0)</f>
        <v/>
      </c>
      <c r="Y4560">
        <f>IF('01_Вводные'!$B$234="Да",IF(OR(('19_Расчет_аналитики'!Y4476-'19_Расчет_аналитики'!Y4504)=0,21&lt;='01_Вводные'!$B$297),0,('19_Расчет_аналитики'!Y4476-'19_Расчет_аналитики'!Y4504)*IF('01_Вводные'!$B$239="Да",MeanMinAge21+'19_Расчет_аналитики'!Y4608*SUMIF(ThresholdAge21,"&lt;"&amp;'19_Расчет_аналитики'!Y4608,WeightedRevAge21)-SUMIF(ThresholdAge21,"&lt;"&amp;'19_Расчет_аналитики'!Y4608,WeightedMinAge21),MAX(CapacityAge21*'01_Вводные'!$B$218*'19_Расчет_аналитики'!Y4608,MeanMinAge21))),0)</f>
        <v/>
      </c>
      <c r="Z4560">
        <f>IF('01_Вводные'!$B$234="Да",IF(OR(('19_Расчет_аналитики'!Z4476-'19_Расчет_аналитики'!Z4504)=0,21&lt;='01_Вводные'!$B$297),0,('19_Расчет_аналитики'!Z4476-'19_Расчет_аналитики'!Z4504)*IF('01_Вводные'!$B$239="Да",MeanMinAge21+'19_Расчет_аналитики'!Z4608*SUMIF(ThresholdAge21,"&lt;"&amp;'19_Расчет_аналитики'!Z4608,WeightedRevAge21)-SUMIF(ThresholdAge21,"&lt;"&amp;'19_Расчет_аналитики'!Z4608,WeightedMinAge21),MAX(CapacityAge21*'01_Вводные'!$B$218*'19_Расчет_аналитики'!Z4608,MeanMinAge21))),0)</f>
        <v/>
      </c>
      <c r="AA4560">
        <f>IF('01_Вводные'!$B$234="Да",IF(OR(('19_Расчет_аналитики'!AA4476-'19_Расчет_аналитики'!AA4504)=0,21&lt;='01_Вводные'!$B$297),0,('19_Расчет_аналитики'!AA4476-'19_Расчет_аналитики'!AA4504)*IF('01_Вводные'!$B$239="Да",MeanMinAge21+'19_Расчет_аналитики'!AA4608*SUMIF(ThresholdAge21,"&lt;"&amp;'19_Расчет_аналитики'!AA4608,WeightedRevAge21)-SUMIF(ThresholdAge21,"&lt;"&amp;'19_Расчет_аналитики'!AA4608,WeightedMinAge21),MAX(CapacityAge21*'01_Вводные'!$B$218*'19_Расчет_аналитики'!AA4608,MeanMinAge21))),0)</f>
        <v/>
      </c>
      <c r="AB4560">
        <f>IF('01_Вводные'!$B$234="Да",IF(OR(('19_Расчет_аналитики'!AB4476-'19_Расчет_аналитики'!AB4504)=0,21&lt;='01_Вводные'!$B$297),0,('19_Расчет_аналитики'!AB4476-'19_Расчет_аналитики'!AB4504)*IF('01_Вводные'!$B$239="Да",MeanMinAge21+'19_Расчет_аналитики'!AB4608*SUMIF(ThresholdAge21,"&lt;"&amp;'19_Расчет_аналитики'!AB4608,WeightedRevAge21)-SUMIF(ThresholdAge21,"&lt;"&amp;'19_Расчет_аналитики'!AB4608,WeightedMinAge21),MAX(CapacityAge21*'01_Вводные'!$B$218*'19_Расчет_аналитики'!AB4608,MeanMinAge21))),0)</f>
        <v/>
      </c>
      <c r="AC4560">
        <f>IF('01_Вводные'!$B$234="Да",IF(OR(('19_Расчет_аналитики'!AC4476-'19_Расчет_аналитики'!AC4504)=0,21&lt;='01_Вводные'!$B$297),0,('19_Расчет_аналитики'!AC4476-'19_Расчет_аналитики'!AC4504)*IF('01_Вводные'!$B$239="Да",MeanMinAge21+'19_Расчет_аналитики'!AC4608*SUMIF(ThresholdAge21,"&lt;"&amp;'19_Расчет_аналитики'!AC4608,WeightedRevAge21)-SUMIF(ThresholdAge21,"&lt;"&amp;'19_Расчет_аналитики'!AC4608,WeightedMinAge21),MAX(CapacityAge21*'01_Вводные'!$B$218*'19_Расчет_аналитики'!AC4608,MeanMinAge21))),0)</f>
        <v/>
      </c>
      <c r="AD4560">
        <f>IF('01_Вводные'!$B$234="Да",IF(OR(('19_Расчет_аналитики'!AD4476-'19_Расчет_аналитики'!AD4504)=0,21&lt;='01_Вводные'!$B$297),0,('19_Расчет_аналитики'!AD4476-'19_Расчет_аналитики'!AD4504)*IF('01_Вводные'!$B$239="Да",MeanMinAge21+'19_Расчет_аналитики'!AD4608*SUMIF(ThresholdAge21,"&lt;"&amp;'19_Расчет_аналитики'!AD4608,WeightedRevAge21)-SUMIF(ThresholdAge21,"&lt;"&amp;'19_Расчет_аналитики'!AD4608,WeightedMinAge21),MAX(CapacityAge21*'01_Вводные'!$B$218*'19_Расчет_аналитики'!AD4608,MeanMinAge21))),0)</f>
        <v/>
      </c>
      <c r="AE4560">
        <f>IF('01_Вводные'!$B$234="Да",IF(OR(('19_Расчет_аналитики'!AE4476-'19_Расчет_аналитики'!AE4504)=0,21&lt;='01_Вводные'!$B$297),0,('19_Расчет_аналитики'!AE4476-'19_Расчет_аналитики'!AE4504)*IF('01_Вводные'!$B$239="Да",MeanMinAge21+'19_Расчет_аналитики'!AE4608*SUMIF(ThresholdAge21,"&lt;"&amp;'19_Расчет_аналитики'!AE4608,WeightedRevAge21)-SUMIF(ThresholdAge21,"&lt;"&amp;'19_Расчет_аналитики'!AE4608,WeightedMinAge21),MAX(CapacityAge21*'01_Вводные'!$B$218*'19_Расчет_аналитики'!AE4608,MeanMinAge21))),0)</f>
        <v/>
      </c>
      <c r="AF4560">
        <f>IF('01_Вводные'!$B$234="Да",IF(OR(('19_Расчет_аналитики'!AF4476-'19_Расчет_аналитики'!AF4504)=0,21&lt;='01_Вводные'!$B$297),0,('19_Расчет_аналитики'!AF4476-'19_Расчет_аналитики'!AF4504)*IF('01_Вводные'!$B$239="Да",MeanMinAge21+'19_Расчет_аналитики'!AF4608*SUMIF(ThresholdAge21,"&lt;"&amp;'19_Расчет_аналитики'!AF4608,WeightedRevAge21)-SUMIF(ThresholdAge21,"&lt;"&amp;'19_Расчет_аналитики'!AF4608,WeightedMinAge21),MAX(CapacityAge21*'01_Вводные'!$B$218*'19_Расчет_аналитики'!AF4608,MeanMinAge21))),0)</f>
        <v/>
      </c>
      <c r="AG4560">
        <f>IF('01_Вводные'!$B$234="Да",IF(OR(('19_Расчет_аналитики'!AG4476-'19_Расчет_аналитики'!AG4504)=0,21&lt;='01_Вводные'!$B$297),0,('19_Расчет_аналитики'!AG4476-'19_Расчет_аналитики'!AG4504)*IF('01_Вводные'!$B$239="Да",MeanMinAge21+'19_Расчет_аналитики'!AG4608*SUMIF(ThresholdAge21,"&lt;"&amp;'19_Расчет_аналитики'!AG4608,WeightedRevAge21)-SUMIF(ThresholdAge21,"&lt;"&amp;'19_Расчет_аналитики'!AG4608,WeightedMinAge21),MAX(CapacityAge21*'01_Вводные'!$B$218*'19_Расчет_аналитики'!AG4608,MeanMinAge21))),0)</f>
        <v/>
      </c>
      <c r="AH4560">
        <f>IF('01_Вводные'!$B$234="Да",IF(OR(('19_Расчет_аналитики'!AH4476-'19_Расчет_аналитики'!AH4504)=0,21&lt;='01_Вводные'!$B$297),0,('19_Расчет_аналитики'!AH4476-'19_Расчет_аналитики'!AH4504)*IF('01_Вводные'!$B$239="Да",MeanMinAge21+'19_Расчет_аналитики'!AH4608*SUMIF(ThresholdAge21,"&lt;"&amp;'19_Расчет_аналитики'!AH4608,WeightedRevAge21)-SUMIF(ThresholdAge21,"&lt;"&amp;'19_Расчет_аналитики'!AH4608,WeightedMinAge21),MAX(CapacityAge21*'01_Вводные'!$B$218*'19_Расчет_аналитики'!AH4608,MeanMinAge21))),0)</f>
        <v/>
      </c>
      <c r="AI4560">
        <f>IF('01_Вводные'!$B$234="Да",IF(OR(('19_Расчет_аналитики'!AI4476-'19_Расчет_аналитики'!AI4504)=0,21&lt;='01_Вводные'!$B$297),0,('19_Расчет_аналитики'!AI4476-'19_Расчет_аналитики'!AI4504)*IF('01_Вводные'!$B$239="Да",MeanMinAge21+'19_Расчет_аналитики'!AI4608*SUMIF(ThresholdAge21,"&lt;"&amp;'19_Расчет_аналитики'!AI4608,WeightedRevAge21)-SUMIF(ThresholdAge21,"&lt;"&amp;'19_Расчет_аналитики'!AI4608,WeightedMinAge21),MAX(CapacityAge21*'01_Вводные'!$B$218*'19_Расчет_аналитики'!AI4608,MeanMinAge21))),0)</f>
        <v/>
      </c>
      <c r="AJ4560">
        <f>IF('01_Вводные'!$B$234="Да",IF(OR(('19_Расчет_аналитики'!AJ4476-'19_Расчет_аналитики'!AJ4504)=0,21&lt;='01_Вводные'!$B$297),0,('19_Расчет_аналитики'!AJ4476-'19_Расчет_аналитики'!AJ4504)*IF('01_Вводные'!$B$239="Да",MeanMinAge21+'19_Расчет_аналитики'!AJ4608*SUMIF(ThresholdAge21,"&lt;"&amp;'19_Расчет_аналитики'!AJ4608,WeightedRevAge21)-SUMIF(ThresholdAge21,"&lt;"&amp;'19_Расчет_аналитики'!AJ4608,WeightedMinAge21),MAX(CapacityAge21*'01_Вводные'!$B$218*'19_Расчет_аналитики'!AJ4608,MeanMinAge21))),0)</f>
        <v/>
      </c>
      <c r="AK4560">
        <f>IF('01_Вводные'!$B$234="Да",IF(OR(('19_Расчет_аналитики'!AK4476-'19_Расчет_аналитики'!AK4504)=0,21&lt;='01_Вводные'!$B$297),0,('19_Расчет_аналитики'!AK4476-'19_Расчет_аналитики'!AK4504)*IF('01_Вводные'!$B$239="Да",MeanMinAge21+'19_Расчет_аналитики'!AK4608*SUMIF(ThresholdAge21,"&lt;"&amp;'19_Расчет_аналитики'!AK4608,WeightedRevAge21)-SUMIF(ThresholdAge21,"&lt;"&amp;'19_Расчет_аналитики'!AK4608,WeightedMinAge21),MAX(CapacityAge21*'01_Вводные'!$B$218*'19_Расчет_аналитики'!AK4608,MeanMinAge21))),0)</f>
        <v/>
      </c>
      <c r="AL4560">
        <f>IF('01_Вводные'!$B$234="Да",IF(OR(('19_Расчет_аналитики'!AL4476-'19_Расчет_аналитики'!AL4504)=0,21&lt;='01_Вводные'!$B$297),0,('19_Расчет_аналитики'!AL4476-'19_Расчет_аналитики'!AL4504)*IF('01_Вводные'!$B$239="Да",MeanMinAge21+'19_Расчет_аналитики'!AL4608*SUMIF(ThresholdAge21,"&lt;"&amp;'19_Расчет_аналитики'!AL4608,WeightedRevAge21)-SUMIF(ThresholdAge21,"&lt;"&amp;'19_Расчет_аналитики'!AL4608,WeightedMinAge21),MAX(CapacityAge21*'01_Вводные'!$B$218*'19_Расчет_аналитики'!AL4608,MeanMinAge21))),0)</f>
        <v/>
      </c>
      <c r="AM4560">
        <f>IF('01_Вводные'!$B$234="Да",IF(OR(('19_Расчет_аналитики'!AM4476-'19_Расчет_аналитики'!AM4504)=0,21&lt;='01_Вводные'!$B$297),0,('19_Расчет_аналитики'!AM4476-'19_Расчет_аналитики'!AM4504)*IF('01_Вводные'!$B$239="Да",MeanMinAge21+'19_Расчет_аналитики'!AM4608*SUMIF(ThresholdAge21,"&lt;"&amp;'19_Расчет_аналитики'!AM4608,WeightedRevAge21)-SUMIF(ThresholdAge21,"&lt;"&amp;'19_Расчет_аналитики'!AM4608,WeightedMinAge21),MAX(CapacityAge21*'01_Вводные'!$B$218*'19_Расчет_аналитики'!AM4608,MeanMinAge21))),0)</f>
        <v/>
      </c>
      <c r="AN4560">
        <f>IF('01_Вводные'!$B$234="Да",IF(OR(('19_Расчет_аналитики'!AN4476-'19_Расчет_аналитики'!AN4504)=0,21&lt;='01_Вводные'!$B$297),0,('19_Расчет_аналитики'!AN4476-'19_Расчет_аналитики'!AN4504)*IF('01_Вводные'!$B$239="Да",MeanMinAge21+'19_Расчет_аналитики'!AN4608*SUMIF(ThresholdAge21,"&lt;"&amp;'19_Расчет_аналитики'!AN4608,WeightedRevAge21)-SUMIF(ThresholdAge21,"&lt;"&amp;'19_Расчет_аналитики'!AN4608,WeightedMinAge21),MAX(CapacityAge21*'01_Вводные'!$B$218*'19_Расчет_аналитики'!AN4608,MeanMinAge21))),0)</f>
        <v/>
      </c>
      <c r="AO4560">
        <f>IF('01_Вводные'!$B$234="Да",IF(OR(('19_Расчет_аналитики'!AO4476-'19_Расчет_аналитики'!AO4504)=0,21&lt;='01_Вводные'!$B$297),0,('19_Расчет_аналитики'!AO4476-'19_Расчет_аналитики'!AO4504)*IF('01_Вводные'!$B$239="Да",MeanMinAge21+'19_Расчет_аналитики'!AO4608*SUMIF(ThresholdAge21,"&lt;"&amp;'19_Расчет_аналитики'!AO4608,WeightedRevAge21)-SUMIF(ThresholdAge21,"&lt;"&amp;'19_Расчет_аналитики'!AO4608,WeightedMinAge21),MAX(CapacityAge21*'01_Вводные'!$B$218*'19_Расчет_аналитики'!AO4608,MeanMinAge21))),0)</f>
        <v/>
      </c>
      <c r="AP4560">
        <f>IF('01_Вводные'!$B$234="Да",IF(OR(('19_Расчет_аналитики'!AP4476-'19_Расчет_аналитики'!AP4504)=0,21&lt;='01_Вводные'!$B$297),0,('19_Расчет_аналитики'!AP4476-'19_Расчет_аналитики'!AP4504)*IF('01_Вводные'!$B$239="Да",MeanMinAge21+'19_Расчет_аналитики'!AP4608*SUMIF(ThresholdAge21,"&lt;"&amp;'19_Расчет_аналитики'!AP4608,WeightedRevAge21)-SUMIF(ThresholdAge21,"&lt;"&amp;'19_Расчет_аналитики'!AP4608,WeightedMinAge21),MAX(CapacityAge21*'01_Вводные'!$B$218*'19_Расчет_аналитики'!AP4608,MeanMinAge21))),0)</f>
        <v/>
      </c>
      <c r="AQ4560">
        <f>IF('01_Вводные'!$B$234="Да",IF(OR(('19_Расчет_аналитики'!AQ4476-'19_Расчет_аналитики'!AQ4504)=0,21&lt;='01_Вводные'!$B$297),0,('19_Расчет_аналитики'!AQ4476-'19_Расчет_аналитики'!AQ4504)*IF('01_Вводные'!$B$239="Да",MeanMinAge21+'19_Расчет_аналитики'!AQ4608*SUMIF(ThresholdAge21,"&lt;"&amp;'19_Расчет_аналитики'!AQ4608,WeightedRevAge21)-SUMIF(ThresholdAge21,"&lt;"&amp;'19_Расчет_аналитики'!AQ4608,WeightedMinAge21),MAX(CapacityAge21*'01_Вводные'!$B$218*'19_Расчет_аналитики'!AQ4608,MeanMinAge21))),0)</f>
        <v/>
      </c>
      <c r="AR4560">
        <f>IF('01_Вводные'!$B$234="Да",IF(OR(('19_Расчет_аналитики'!AR4476-'19_Расчет_аналитики'!AR4504)=0,21&lt;='01_Вводные'!$B$297),0,('19_Расчет_аналитики'!AR4476-'19_Расчет_аналитики'!AR4504)*IF('01_Вводные'!$B$239="Да",MeanMinAge21+'19_Расчет_аналитики'!AR4608*SUMIF(ThresholdAge21,"&lt;"&amp;'19_Расчет_аналитики'!AR4608,WeightedRevAge21)-SUMIF(ThresholdAge21,"&lt;"&amp;'19_Расчет_аналитики'!AR4608,WeightedMinAge21),MAX(CapacityAge21*'01_Вводные'!$B$218*'19_Расчет_аналитики'!AR4608,MeanMinAge21))),0)</f>
        <v/>
      </c>
      <c r="AS4560">
        <f>IF('01_Вводные'!$B$234="Да",IF(OR(('19_Расчет_аналитики'!AS4476-'19_Расчет_аналитики'!AS4504)=0,21&lt;='01_Вводные'!$B$297),0,('19_Расчет_аналитики'!AS4476-'19_Расчет_аналитики'!AS4504)*IF('01_Вводные'!$B$239="Да",MeanMinAge21+'19_Расчет_аналитики'!AS4608*SUMIF(ThresholdAge21,"&lt;"&amp;'19_Расчет_аналитики'!AS4608,WeightedRevAge21)-SUMIF(ThresholdAge21,"&lt;"&amp;'19_Расчет_аналитики'!AS4608,WeightedMinAge21),MAX(CapacityAge21*'01_Вводные'!$B$218*'19_Расчет_аналитики'!AS4608,MeanMinAge21))),0)</f>
        <v/>
      </c>
      <c r="AT4560">
        <f>IF('01_Вводные'!$B$234="Да",IF(OR(('19_Расчет_аналитики'!AT4476-'19_Расчет_аналитики'!AT4504)=0,21&lt;='01_Вводные'!$B$297),0,('19_Расчет_аналитики'!AT4476-'19_Расчет_аналитики'!AT4504)*IF('01_Вводные'!$B$239="Да",MeanMinAge21+'19_Расчет_аналитики'!AT4608*SUMIF(ThresholdAge21,"&lt;"&amp;'19_Расчет_аналитики'!AT4608,WeightedRevAge21)-SUMIF(ThresholdAge21,"&lt;"&amp;'19_Расчет_аналитики'!AT4608,WeightedMinAge21),MAX(CapacityAge21*'01_Вводные'!$B$218*'19_Расчет_аналитики'!AT4608,MeanMinAge21))),0)</f>
        <v/>
      </c>
      <c r="AU4560">
        <f>IF('01_Вводные'!$B$234="Да",IF(OR(('19_Расчет_аналитики'!AU4476-'19_Расчет_аналитики'!AU4504)=0,21&lt;='01_Вводные'!$B$297),0,('19_Расчет_аналитики'!AU4476-'19_Расчет_аналитики'!AU4504)*IF('01_Вводные'!$B$239="Да",MeanMinAge21+'19_Расчет_аналитики'!AU4608*SUMIF(ThresholdAge21,"&lt;"&amp;'19_Расчет_аналитики'!AU4608,WeightedRevAge21)-SUMIF(ThresholdAge21,"&lt;"&amp;'19_Расчет_аналитики'!AU4608,WeightedMinAge21),MAX(CapacityAge21*'01_Вводные'!$B$218*'19_Расчет_аналитики'!AU4608,MeanMinAge21))),0)</f>
        <v/>
      </c>
      <c r="AV4560">
        <f>IF('01_Вводные'!$B$234="Да",IF(OR(('19_Расчет_аналитики'!AV4476-'19_Расчет_аналитики'!AV4504)=0,21&lt;='01_Вводные'!$B$297),0,('19_Расчет_аналитики'!AV4476-'19_Расчет_аналитики'!AV4504)*IF('01_Вводные'!$B$239="Да",MeanMinAge21+'19_Расчет_аналитики'!AV4608*SUMIF(ThresholdAge21,"&lt;"&amp;'19_Расчет_аналитики'!AV4608,WeightedRevAge21)-SUMIF(ThresholdAge21,"&lt;"&amp;'19_Расчет_аналитики'!AV4608,WeightedMinAge21),MAX(CapacityAge21*'01_Вводные'!$B$218*'19_Расчет_аналитики'!AV4608,MeanMinAge21))),0)</f>
        <v/>
      </c>
      <c r="AW4560">
        <f>IF('01_Вводные'!$B$234="Да",IF(OR(('19_Расчет_аналитики'!AW4476-'19_Расчет_аналитики'!AW4504)=0,21&lt;='01_Вводные'!$B$297),0,('19_Расчет_аналитики'!AW4476-'19_Расчет_аналитики'!AW4504)*IF('01_Вводные'!$B$239="Да",MeanMinAge21+'19_Расчет_аналитики'!AW4608*SUMIF(ThresholdAge21,"&lt;"&amp;'19_Расчет_аналитики'!AW4608,WeightedRevAge21)-SUMIF(ThresholdAge21,"&lt;"&amp;'19_Расчет_аналитики'!AW4608,WeightedMinAge21),MAX(CapacityAge21*'01_Вводные'!$B$218*'19_Расчет_аналитики'!AW4608,MeanMinAge21))),0)</f>
        <v/>
      </c>
      <c r="AX4560">
        <f>IF('01_Вводные'!$B$234="Да",IF(OR(('19_Расчет_аналитики'!AX4476-'19_Расчет_аналитики'!AX4504)=0,21&lt;='01_Вводные'!$B$297),0,('19_Расчет_аналитики'!AX4476-'19_Расчет_аналитики'!AX4504)*IF('01_Вводные'!$B$239="Да",MeanMinAge21+'19_Расчет_аналитики'!AX4608*SUMIF(ThresholdAge21,"&lt;"&amp;'19_Расчет_аналитики'!AX4608,WeightedRevAge21)-SUMIF(ThresholdAge21,"&lt;"&amp;'19_Расчет_аналитики'!AX4608,WeightedMinAge21),MAX(CapacityAge21*'01_Вводные'!$B$218*'19_Расчет_аналитики'!AX4608,MeanMinAge21))),0)</f>
        <v/>
      </c>
      <c r="AY4560">
        <f>IF('01_Вводные'!$B$234="Да",IF(OR(('19_Расчет_аналитики'!AY4476-'19_Расчет_аналитики'!AY4504)=0,21&lt;='01_Вводные'!$B$297),0,('19_Расчет_аналитики'!AY4476-'19_Расчет_аналитики'!AY4504)*IF('01_Вводные'!$B$239="Да",MeanMinAge21+'19_Расчет_аналитики'!AY4608*SUMIF(ThresholdAge21,"&lt;"&amp;'19_Расчет_аналитики'!AY4608,WeightedRevAge21)-SUMIF(ThresholdAge21,"&lt;"&amp;'19_Расчет_аналитики'!AY4608,WeightedMinAge21),MAX(CapacityAge21*'01_Вводные'!$B$218*'19_Расчет_аналитики'!AY4608,MeanMinAge21))),0)</f>
        <v/>
      </c>
      <c r="AZ4560">
        <f>IF('01_Вводные'!$B$234="Да",IF(OR(('19_Расчет_аналитики'!AZ4476-'19_Расчет_аналитики'!AZ4504)=0,21&lt;='01_Вводные'!$B$297),0,('19_Расчет_аналитики'!AZ4476-'19_Расчет_аналитики'!AZ4504)*IF('01_Вводные'!$B$239="Да",MeanMinAge21+'19_Расчет_аналитики'!AZ4608*SUMIF(ThresholdAge21,"&lt;"&amp;'19_Расчет_аналитики'!AZ4608,WeightedRevAge21)-SUMIF(ThresholdAge21,"&lt;"&amp;'19_Расчет_аналитики'!AZ4608,WeightedMinAge21),MAX(CapacityAge21*'01_Вводные'!$B$218*'19_Расчет_аналитики'!AZ4608,MeanMinAge21))),0)</f>
        <v/>
      </c>
      <c r="BA4560">
        <f>IF('01_Вводные'!$B$234="Да",IF(OR(('19_Расчет_аналитики'!BA4476-'19_Расчет_аналитики'!BA4504)=0,21&lt;='01_Вводные'!$B$297),0,('19_Расчет_аналитики'!BA4476-'19_Расчет_аналитики'!BA4504)*IF('01_Вводные'!$B$239="Да",MeanMinAge21+'19_Расчет_аналитики'!BA4608*SUMIF(ThresholdAge21,"&lt;"&amp;'19_Расчет_аналитики'!BA4608,WeightedRevAge21)-SUMIF(ThresholdAge21,"&lt;"&amp;'19_Расчет_аналитики'!BA4608,WeightedMinAge21),MAX(CapacityAge21*'01_Вводные'!$B$218*'19_Расчет_аналитики'!BA4608,MeanMinAge21))),0)</f>
        <v/>
      </c>
      <c r="BB4560">
        <f>IF('01_Вводные'!$B$234="Да",IF(OR(('19_Расчет_аналитики'!BB4476-'19_Расчет_аналитики'!BB4504)=0,21&lt;='01_Вводные'!$B$297),0,('19_Расчет_аналитики'!BB4476-'19_Расчет_аналитики'!BB4504)*IF('01_Вводные'!$B$239="Да",MeanMinAge21+'19_Расчет_аналитики'!BB4608*SUMIF(ThresholdAge21,"&lt;"&amp;'19_Расчет_аналитики'!BB4608,WeightedRevAge21)-SUMIF(ThresholdAge21,"&lt;"&amp;'19_Расчет_аналитики'!BB4608,WeightedMinAge21),MAX(CapacityAge21*'01_Вводные'!$B$218*'19_Расчет_аналитики'!BB4608,MeanMinAge21))),0)</f>
        <v/>
      </c>
      <c r="BC4560">
        <f>IF('01_Вводные'!$B$234="Да",IF(OR(('19_Расчет_аналитики'!BC4476-'19_Расчет_аналитики'!BC4504)=0,21&lt;='01_Вводные'!$B$297),0,('19_Расчет_аналитики'!BC4476-'19_Расчет_аналитики'!BC4504)*IF('01_Вводные'!$B$239="Да",MeanMinAge21+'19_Расчет_аналитики'!BC4608*SUMIF(ThresholdAge21,"&lt;"&amp;'19_Расчет_аналитики'!BC4608,WeightedRevAge21)-SUMIF(ThresholdAge21,"&lt;"&amp;'19_Расчет_аналитики'!BC4608,WeightedMinAge21),MAX(CapacityAge21*'01_Вводные'!$B$218*'19_Расчет_аналитики'!BC4608,MeanMinAge21))),0)</f>
        <v/>
      </c>
      <c r="BD4560">
        <f>IF('01_Вводные'!$B$234="Да",IF(OR(('19_Расчет_аналитики'!BD4476-'19_Расчет_аналитики'!BD4504)=0,21&lt;='01_Вводные'!$B$297),0,('19_Расчет_аналитики'!BD4476-'19_Расчет_аналитики'!BD4504)*IF('01_Вводные'!$B$239="Да",MeanMinAge21+'19_Расчет_аналитики'!BD4608*SUMIF(ThresholdAge21,"&lt;"&amp;'19_Расчет_аналитики'!BD4608,WeightedRevAge21)-SUMIF(ThresholdAge21,"&lt;"&amp;'19_Расчет_аналитики'!BD4608,WeightedMinAge21),MAX(CapacityAge21*'01_Вводные'!$B$218*'19_Расчет_аналитики'!BD4608,MeanMinAge21))),0)</f>
        <v/>
      </c>
      <c r="BE4560">
        <f>IF('01_Вводные'!$B$234="Да",IF(OR(('19_Расчет_аналитики'!BE4476-'19_Расчет_аналитики'!BE4504)=0,21&lt;='01_Вводные'!$B$297),0,('19_Расчет_аналитики'!BE4476-'19_Расчет_аналитики'!BE4504)*IF('01_Вводные'!$B$239="Да",MeanMinAge21+'19_Расчет_аналитики'!BE4608*SUMIF(ThresholdAge21,"&lt;"&amp;'19_Расчет_аналитики'!BE4608,WeightedRevAge21)-SUMIF(ThresholdAge21,"&lt;"&amp;'19_Расчет_аналитики'!BE4608,WeightedMinAge21),MAX(CapacityAge21*'01_Вводные'!$B$218*'19_Расчет_аналитики'!BE4608,MeanMinAge21))),0)</f>
        <v/>
      </c>
      <c r="BF4560">
        <f>IF('01_Вводные'!$B$234="Да",IF(OR(('19_Расчет_аналитики'!BF4476-'19_Расчет_аналитики'!BF4504)=0,21&lt;='01_Вводные'!$B$297),0,('19_Расчет_аналитики'!BF4476-'19_Расчет_аналитики'!BF4504)*IF('01_Вводные'!$B$239="Да",MeanMinAge21+'19_Расчет_аналитики'!BF4608*SUMIF(ThresholdAge21,"&lt;"&amp;'19_Расчет_аналитики'!BF4608,WeightedRevAge21)-SUMIF(ThresholdAge21,"&lt;"&amp;'19_Расчет_аналитики'!BF4608,WeightedMinAge21),MAX(CapacityAge21*'01_Вводные'!$B$218*'19_Расчет_аналитики'!BF4608,MeanMinAge21))),0)</f>
        <v/>
      </c>
      <c r="BG4560">
        <f>IF('01_Вводные'!$B$234="Да",IF(OR(('19_Расчет_аналитики'!BG4476-'19_Расчет_аналитики'!BG4504)=0,21&lt;='01_Вводные'!$B$297),0,('19_Расчет_аналитики'!BG4476-'19_Расчет_аналитики'!BG4504)*IF('01_Вводные'!$B$239="Да",MeanMinAge21+'19_Расчет_аналитики'!BG4608*SUMIF(ThresholdAge21,"&lt;"&amp;'19_Расчет_аналитики'!BG4608,WeightedRevAge21)-SUMIF(ThresholdAge21,"&lt;"&amp;'19_Расчет_аналитики'!BG4608,WeightedMinAge21),MAX(CapacityAge21*'01_Вводные'!$B$218*'19_Расчет_аналитики'!BG4608,MeanMinAge21))),0)</f>
        <v/>
      </c>
      <c r="BH4560">
        <f>IF('01_Вводные'!$B$234="Да",IF(OR(('19_Расчет_аналитики'!BH4476-'19_Расчет_аналитики'!BH4504)=0,21&lt;='01_Вводные'!$B$297),0,('19_Расчет_аналитики'!BH4476-'19_Расчет_аналитики'!BH4504)*IF('01_Вводные'!$B$239="Да",MeanMinAge21+'19_Расчет_аналитики'!BH4608*SUMIF(ThresholdAge21,"&lt;"&amp;'19_Расчет_аналитики'!BH4608,WeightedRevAge21)-SUMIF(ThresholdAge21,"&lt;"&amp;'19_Расчет_аналитики'!BH4608,WeightedMinAge21),MAX(CapacityAge21*'01_Вводные'!$B$218*'19_Расчет_аналитики'!BH4608,MeanMinAge21))),0)</f>
        <v/>
      </c>
      <c r="BI4560">
        <f>IF('01_Вводные'!$B$234="Да",IF(OR(('19_Расчет_аналитики'!BI4476-'19_Расчет_аналитики'!BI4504)=0,21&lt;='01_Вводные'!$B$297),0,('19_Расчет_аналитики'!BI4476-'19_Расчет_аналитики'!BI4504)*IF('01_Вводные'!$B$239="Да",MeanMinAge21+'19_Расчет_аналитики'!BI4608*SUMIF(ThresholdAge21,"&lt;"&amp;'19_Расчет_аналитики'!BI4608,WeightedRevAge21)-SUMIF(ThresholdAge21,"&lt;"&amp;'19_Расчет_аналитики'!BI4608,WeightedMinAge21),MAX(CapacityAge21*'01_Вводные'!$B$218*'19_Расчет_аналитики'!BI4608,MeanMinAge21))),0)</f>
        <v/>
      </c>
      <c r="BJ4560">
        <f>IF('01_Вводные'!$B$234="Да",IF(OR(('19_Расчет_аналитики'!BJ4476-'19_Расчет_аналитики'!BJ4504)=0,21&lt;='01_Вводные'!$B$297),0,('19_Расчет_аналитики'!BJ4476-'19_Расчет_аналитики'!BJ4504)*IF('01_Вводные'!$B$239="Да",MeanMinAge21+'19_Расчет_аналитики'!BJ4608*SUMIF(ThresholdAge21,"&lt;"&amp;'19_Расчет_аналитики'!BJ4608,WeightedRevAge21)-SUMIF(ThresholdAge21,"&lt;"&amp;'19_Расчет_аналитики'!BJ4608,WeightedMinAge21),MAX(CapacityAge21*'01_Вводные'!$B$218*'19_Расчет_аналитики'!BJ4608,MeanMinAge21))),0)</f>
        <v/>
      </c>
      <c r="BK4560">
        <f>IF('01_Вводные'!$B$234="Да",IF(OR(('19_Расчет_аналитики'!BK4476-'19_Расчет_аналитики'!BK4504)=0,21&lt;='01_Вводные'!$B$297),0,('19_Расчет_аналитики'!BK4476-'19_Расчет_аналитики'!BK4504)*IF('01_Вводные'!$B$239="Да",MeanMinAge21+'19_Расчет_аналитики'!BK4608*SUMIF(ThresholdAge21,"&lt;"&amp;'19_Расчет_аналитики'!BK4608,WeightedRevAge21)-SUMIF(ThresholdAge21,"&lt;"&amp;'19_Расчет_аналитики'!BK4608,WeightedMinAge21),MAX(CapacityAge21*'01_Вводные'!$B$218*'19_Расчет_аналитики'!BK4608,MeanMinAge21))),0)</f>
        <v/>
      </c>
      <c r="BL4560">
        <f>IF('01_Вводные'!$B$234="Да",IF(OR(('19_Расчет_аналитики'!BL4476-'19_Расчет_аналитики'!BL4504)=0,21&lt;='01_Вводные'!$B$297),0,('19_Расчет_аналитики'!BL4476-'19_Расчет_аналитики'!BL4504)*IF('01_Вводные'!$B$239="Да",MeanMinAge21+'19_Расчет_аналитики'!BL4608*SUMIF(ThresholdAge21,"&lt;"&amp;'19_Расчет_аналитики'!BL4608,WeightedRevAge21)-SUMIF(ThresholdAge21,"&lt;"&amp;'19_Расчет_аналитики'!BL4608,WeightedMinAge21),MAX(CapacityAge21*'01_Вводные'!$B$218*'19_Расчет_аналитики'!BL4608,MeanMinAge21))),0)</f>
        <v/>
      </c>
      <c r="BM4560">
        <f>IF('01_Вводные'!$B$234="Да",IF(OR(('19_Расчет_аналитики'!BM4476-'19_Расчет_аналитики'!BM4504)=0,21&lt;='01_Вводные'!$B$297),0,('19_Расчет_аналитики'!BM4476-'19_Расчет_аналитики'!BM4504)*IF('01_Вводные'!$B$239="Да",MeanMinAge21+'19_Расчет_аналитики'!BM4608*SUMIF(ThresholdAge21,"&lt;"&amp;'19_Расчет_аналитики'!BM4608,WeightedRevAge21)-SUMIF(ThresholdAge21,"&lt;"&amp;'19_Расчет_аналитики'!BM4608,WeightedMinAge21),MAX(CapacityAge21*'01_Вводные'!$B$218*'19_Расчет_аналитики'!BM4608,MeanMinAge21))),0)</f>
        <v/>
      </c>
      <c r="BN4560">
        <f>IF('01_Вводные'!$B$234="Да",IF(OR(('19_Расчет_аналитики'!BN4476-'19_Расчет_аналитики'!BN4504)=0,21&lt;='01_Вводные'!$B$297),0,('19_Расчет_аналитики'!BN4476-'19_Расчет_аналитики'!BN4504)*IF('01_Вводные'!$B$239="Да",MeanMinAge21+'19_Расчет_аналитики'!BN4608*SUMIF(ThresholdAge21,"&lt;"&amp;'19_Расчет_аналитики'!BN4608,WeightedRevAge21)-SUMIF(ThresholdAge21,"&lt;"&amp;'19_Расчет_аналитики'!BN4608,WeightedMinAge21),MAX(CapacityAge21*'01_Вводные'!$B$218*'19_Расчет_аналитики'!BN4608,MeanMinAge21))),0)</f>
        <v/>
      </c>
      <c r="BO4560">
        <f>IF('01_Вводные'!$B$234="Да",IF(OR(('19_Расчет_аналитики'!BO4476-'19_Расчет_аналитики'!BO4504)=0,21&lt;='01_Вводные'!$B$297),0,('19_Расчет_аналитики'!BO4476-'19_Расчет_аналитики'!BO4504)*IF('01_Вводные'!$B$239="Да",MeanMinAge21+'19_Расчет_аналитики'!BO4608*SUMIF(ThresholdAge21,"&lt;"&amp;'19_Расчет_аналитики'!BO4608,WeightedRevAge21)-SUMIF(ThresholdAge21,"&lt;"&amp;'19_Расчет_аналитики'!BO4608,WeightedMinAge21),MAX(CapacityAge21*'01_Вводные'!$B$218*'19_Расчет_аналитики'!BO4608,MeanMinAge21))),0)</f>
        <v/>
      </c>
    </row>
    <row r="4561">
      <c r="B4561">
        <f>IF('01_Вводные'!$B$234="Да",IF(OR(('06_Сеть_и_дети'!B74-'06_Сеть_и_дети'!B102)=0,22&lt;='01_Вводные'!$B$297),0,('06_Сеть_и_дети'!B74-'06_Сеть_и_дети'!B102)*IF('01_Вводные'!$B$239="Да",MeanMinAge22+'19_Расчет_аналитики'!B4608*SUMIF(ThresholdAge22,"&lt;"&amp;'19_Расчет_аналитики'!B4608,WeightedRevAge22)-SUMIF(ThresholdAge22,"&lt;"&amp;'19_Расчет_аналитики'!B4608,WeightedMinAge22),MAX(CapacityAge22*'01_Вводные'!$B$218*'19_Расчет_аналитики'!B4608,MeanMinAge22))),0)</f>
        <v/>
      </c>
      <c r="C4561">
        <f>IF('01_Вводные'!$B$234="Да",IF(OR(('06_Сеть_и_дети'!C74-'06_Сеть_и_дети'!C102)=0,22&lt;='01_Вводные'!$B$297),0,('06_Сеть_и_дети'!C74-'06_Сеть_и_дети'!C102)*IF('01_Вводные'!$B$239="Да",MeanMinAge22+'19_Расчет_аналитики'!C4608*SUMIF(ThresholdAge22,"&lt;"&amp;'19_Расчет_аналитики'!C4608,WeightedRevAge22)-SUMIF(ThresholdAge22,"&lt;"&amp;'19_Расчет_аналитики'!C4608,WeightedMinAge22),MAX(CapacityAge22*'01_Вводные'!$B$218*'19_Расчет_аналитики'!C4608,MeanMinAge22))),0)</f>
        <v/>
      </c>
      <c r="D4561">
        <f>IF('01_Вводные'!$B$234="Да",IF(OR(('06_Сеть_и_дети'!D74-'06_Сеть_и_дети'!D102)=0,22&lt;='01_Вводные'!$B$297),0,('06_Сеть_и_дети'!D74-'06_Сеть_и_дети'!D102)*IF('01_Вводные'!$B$239="Да",MeanMinAge22+'19_Расчет_аналитики'!D4608*SUMIF(ThresholdAge22,"&lt;"&amp;'19_Расчет_аналитики'!D4608,WeightedRevAge22)-SUMIF(ThresholdAge22,"&lt;"&amp;'19_Расчет_аналитики'!D4608,WeightedMinAge22),MAX(CapacityAge22*'01_Вводные'!$B$218*'19_Расчет_аналитики'!D4608,MeanMinAge22))),0)</f>
        <v/>
      </c>
      <c r="E4561">
        <f>IF('01_Вводные'!$B$234="Да",IF(OR(('06_Сеть_и_дети'!E74-'06_Сеть_и_дети'!E102)=0,22&lt;='01_Вводные'!$B$297),0,('06_Сеть_и_дети'!E74-'06_Сеть_и_дети'!E102)*IF('01_Вводные'!$B$239="Да",MeanMinAge22+'19_Расчет_аналитики'!E4608*SUMIF(ThresholdAge22,"&lt;"&amp;'19_Расчет_аналитики'!E4608,WeightedRevAge22)-SUMIF(ThresholdAge22,"&lt;"&amp;'19_Расчет_аналитики'!E4608,WeightedMinAge22),MAX(CapacityAge22*'01_Вводные'!$B$218*'19_Расчет_аналитики'!E4608,MeanMinAge22))),0)</f>
        <v/>
      </c>
      <c r="F4561">
        <f>IF('01_Вводные'!$B$234="Да",IF(OR(('06_Сеть_и_дети'!F74-'06_Сеть_и_дети'!F102)=0,22&lt;='01_Вводные'!$B$297),0,('06_Сеть_и_дети'!F74-'06_Сеть_и_дети'!F102)*IF('01_Вводные'!$B$239="Да",MeanMinAge22+'19_Расчет_аналитики'!F4608*SUMIF(ThresholdAge22,"&lt;"&amp;'19_Расчет_аналитики'!F4608,WeightedRevAge22)-SUMIF(ThresholdAge22,"&lt;"&amp;'19_Расчет_аналитики'!F4608,WeightedMinAge22),MAX(CapacityAge22*'01_Вводные'!$B$218*'19_Расчет_аналитики'!F4608,MeanMinAge22))),0)</f>
        <v/>
      </c>
      <c r="G4561">
        <f>IF('01_Вводные'!$B$234="Да",IF(OR(('06_Сеть_и_дети'!G74-'06_Сеть_и_дети'!G102)=0,22&lt;='01_Вводные'!$B$297),0,('06_Сеть_и_дети'!G74-'06_Сеть_и_дети'!G102)*IF('01_Вводные'!$B$239="Да",MeanMinAge22+'19_Расчет_аналитики'!G4608*SUMIF(ThresholdAge22,"&lt;"&amp;'19_Расчет_аналитики'!G4608,WeightedRevAge22)-SUMIF(ThresholdAge22,"&lt;"&amp;'19_Расчет_аналитики'!G4608,WeightedMinAge22),MAX(CapacityAge22*'01_Вводные'!$B$218*'19_Расчет_аналитики'!G4608,MeanMinAge22))),0)</f>
        <v/>
      </c>
      <c r="H4561">
        <f>IF('01_Вводные'!$B$234="Да",IF(OR(('06_Сеть_и_дети'!H74-'06_Сеть_и_дети'!H102)=0,22&lt;='01_Вводные'!$B$297),0,('06_Сеть_и_дети'!H74-'06_Сеть_и_дети'!H102)*IF('01_Вводные'!$B$239="Да",MeanMinAge22+'19_Расчет_аналитики'!H4608*SUMIF(ThresholdAge22,"&lt;"&amp;'19_Расчет_аналитики'!H4608,WeightedRevAge22)-SUMIF(ThresholdAge22,"&lt;"&amp;'19_Расчет_аналитики'!H4608,WeightedMinAge22),MAX(CapacityAge22*'01_Вводные'!$B$218*'19_Расчет_аналитики'!H4608,MeanMinAge22))),0)</f>
        <v/>
      </c>
      <c r="I4561">
        <f>IF('01_Вводные'!$B$234="Да",IF(OR(('06_Сеть_и_дети'!I74-'06_Сеть_и_дети'!I102)=0,22&lt;='01_Вводные'!$B$297),0,('06_Сеть_и_дети'!I74-'06_Сеть_и_дети'!I102)*IF('01_Вводные'!$B$239="Да",MeanMinAge22+'19_Расчет_аналитики'!I4608*SUMIF(ThresholdAge22,"&lt;"&amp;'19_Расчет_аналитики'!I4608,WeightedRevAge22)-SUMIF(ThresholdAge22,"&lt;"&amp;'19_Расчет_аналитики'!I4608,WeightedMinAge22),MAX(CapacityAge22*'01_Вводные'!$B$218*'19_Расчет_аналитики'!I4608,MeanMinAge22))),0)</f>
        <v/>
      </c>
      <c r="J4561">
        <f>IF('01_Вводные'!$B$234="Да",IF(OR(('06_Сеть_и_дети'!J74-'06_Сеть_и_дети'!J102)=0,22&lt;='01_Вводные'!$B$297),0,('06_Сеть_и_дети'!J74-'06_Сеть_и_дети'!J102)*IF('01_Вводные'!$B$239="Да",MeanMinAge22+'19_Расчет_аналитики'!J4608*SUMIF(ThresholdAge22,"&lt;"&amp;'19_Расчет_аналитики'!J4608,WeightedRevAge22)-SUMIF(ThresholdAge22,"&lt;"&amp;'19_Расчет_аналитики'!J4608,WeightedMinAge22),MAX(CapacityAge22*'01_Вводные'!$B$218*'19_Расчет_аналитики'!J4608,MeanMinAge22))),0)</f>
        <v/>
      </c>
      <c r="K4561">
        <f>IF('01_Вводные'!$B$234="Да",IF(OR(('06_Сеть_и_дети'!K74-'06_Сеть_и_дети'!K102)=0,22&lt;='01_Вводные'!$B$297),0,('06_Сеть_и_дети'!K74-'06_Сеть_и_дети'!K102)*IF('01_Вводные'!$B$239="Да",MeanMinAge22+'19_Расчет_аналитики'!K4608*SUMIF(ThresholdAge22,"&lt;"&amp;'19_Расчет_аналитики'!K4608,WeightedRevAge22)-SUMIF(ThresholdAge22,"&lt;"&amp;'19_Расчет_аналитики'!K4608,WeightedMinAge22),MAX(CapacityAge22*'01_Вводные'!$B$218*'19_Расчет_аналитики'!K4608,MeanMinAge22))),0)</f>
        <v/>
      </c>
      <c r="L4561">
        <f>IF('01_Вводные'!$B$234="Да",IF(OR(('06_Сеть_и_дети'!L74-'06_Сеть_и_дети'!L102)=0,22&lt;='01_Вводные'!$B$297),0,('06_Сеть_и_дети'!L74-'06_Сеть_и_дети'!L102)*IF('01_Вводные'!$B$239="Да",MeanMinAge22+'19_Расчет_аналитики'!L4608*SUMIF(ThresholdAge22,"&lt;"&amp;'19_Расчет_аналитики'!L4608,WeightedRevAge22)-SUMIF(ThresholdAge22,"&lt;"&amp;'19_Расчет_аналитики'!L4608,WeightedMinAge22),MAX(CapacityAge22*'01_Вводные'!$B$218*'19_Расчет_аналитики'!L4608,MeanMinAge22))),0)</f>
        <v/>
      </c>
      <c r="M4561">
        <f>IF('01_Вводные'!$B$234="Да",IF(OR(('06_Сеть_и_дети'!M74-'06_Сеть_и_дети'!M102)=0,22&lt;='01_Вводные'!$B$297),0,('06_Сеть_и_дети'!M74-'06_Сеть_и_дети'!M102)*IF('01_Вводные'!$B$239="Да",MeanMinAge22+'19_Расчет_аналитики'!M4608*SUMIF(ThresholdAge22,"&lt;"&amp;'19_Расчет_аналитики'!M4608,WeightedRevAge22)-SUMIF(ThresholdAge22,"&lt;"&amp;'19_Расчет_аналитики'!M4608,WeightedMinAge22),MAX(CapacityAge22*'01_Вводные'!$B$218*'19_Расчет_аналитики'!M4608,MeanMinAge22))),0)</f>
        <v/>
      </c>
      <c r="N4561">
        <f>IF('01_Вводные'!$B$234="Да",IF(OR(('06_Сеть_и_дети'!N74-'06_Сеть_и_дети'!N102)=0,22&lt;='01_Вводные'!$B$297),0,('06_Сеть_и_дети'!N74-'06_Сеть_и_дети'!N102)*IF('01_Вводные'!$B$239="Да",MeanMinAge22+'19_Расчет_аналитики'!N4608*SUMIF(ThresholdAge22,"&lt;"&amp;'19_Расчет_аналитики'!N4608,WeightedRevAge22)-SUMIF(ThresholdAge22,"&lt;"&amp;'19_Расчет_аналитики'!N4608,WeightedMinAge22),MAX(CapacityAge22*'01_Вводные'!$B$218*'19_Расчет_аналитики'!N4608,MeanMinAge22))),0)</f>
        <v/>
      </c>
      <c r="O4561">
        <f>IF('01_Вводные'!$B$234="Да",IF(OR(('06_Сеть_и_дети'!O74-'06_Сеть_и_дети'!O102)=0,22&lt;='01_Вводные'!$B$297),0,('06_Сеть_и_дети'!O74-'06_Сеть_и_дети'!O102)*IF('01_Вводные'!$B$239="Да",MeanMinAge22+'19_Расчет_аналитики'!O4608*SUMIF(ThresholdAge22,"&lt;"&amp;'19_Расчет_аналитики'!O4608,WeightedRevAge22)-SUMIF(ThresholdAge22,"&lt;"&amp;'19_Расчет_аналитики'!O4608,WeightedMinAge22),MAX(CapacityAge22*'01_Вводные'!$B$218*'19_Расчет_аналитики'!O4608,MeanMinAge22))),0)</f>
        <v/>
      </c>
      <c r="P4561">
        <f>IF('01_Вводные'!$B$234="Да",IF(OR(('06_Сеть_и_дети'!P74-'06_Сеть_и_дети'!P102)=0,22&lt;='01_Вводные'!$B$297),0,('06_Сеть_и_дети'!P74-'06_Сеть_и_дети'!P102)*IF('01_Вводные'!$B$239="Да",MeanMinAge22+'19_Расчет_аналитики'!P4608*SUMIF(ThresholdAge22,"&lt;"&amp;'19_Расчет_аналитики'!P4608,WeightedRevAge22)-SUMIF(ThresholdAge22,"&lt;"&amp;'19_Расчет_аналитики'!P4608,WeightedMinAge22),MAX(CapacityAge22*'01_Вводные'!$B$218*'19_Расчет_аналитики'!P4608,MeanMinAge22))),0)</f>
        <v/>
      </c>
      <c r="Q4561">
        <f>IF('01_Вводные'!$B$234="Да",IF(OR(('06_Сеть_и_дети'!Q74-'06_Сеть_и_дети'!Q102)=0,22&lt;='01_Вводные'!$B$297),0,('06_Сеть_и_дети'!Q74-'06_Сеть_и_дети'!Q102)*IF('01_Вводные'!$B$239="Да",MeanMinAge22+'19_Расчет_аналитики'!Q4608*SUMIF(ThresholdAge22,"&lt;"&amp;'19_Расчет_аналитики'!Q4608,WeightedRevAge22)-SUMIF(ThresholdAge22,"&lt;"&amp;'19_Расчет_аналитики'!Q4608,WeightedMinAge22),MAX(CapacityAge22*'01_Вводные'!$B$218*'19_Расчет_аналитики'!Q4608,MeanMinAge22))),0)</f>
        <v/>
      </c>
      <c r="R4561">
        <f>IF('01_Вводные'!$B$234="Да",IF(OR(('06_Сеть_и_дети'!R74-'06_Сеть_и_дети'!R102)=0,22&lt;='01_Вводные'!$B$297),0,('06_Сеть_и_дети'!R74-'06_Сеть_и_дети'!R102)*IF('01_Вводные'!$B$239="Да",MeanMinAge22+'19_Расчет_аналитики'!R4608*SUMIF(ThresholdAge22,"&lt;"&amp;'19_Расчет_аналитики'!R4608,WeightedRevAge22)-SUMIF(ThresholdAge22,"&lt;"&amp;'19_Расчет_аналитики'!R4608,WeightedMinAge22),MAX(CapacityAge22*'01_Вводные'!$B$218*'19_Расчет_аналитики'!R4608,MeanMinAge22))),0)</f>
        <v/>
      </c>
      <c r="S4561">
        <f>IF('01_Вводные'!$B$234="Да",IF(OR(('06_Сеть_и_дети'!S74-'06_Сеть_и_дети'!S102)=0,22&lt;='01_Вводные'!$B$297),0,('06_Сеть_и_дети'!S74-'06_Сеть_и_дети'!S102)*IF('01_Вводные'!$B$239="Да",MeanMinAge22+'19_Расчет_аналитики'!S4608*SUMIF(ThresholdAge22,"&lt;"&amp;'19_Расчет_аналитики'!S4608,WeightedRevAge22)-SUMIF(ThresholdAge22,"&lt;"&amp;'19_Расчет_аналитики'!S4608,WeightedMinAge22),MAX(CapacityAge22*'01_Вводные'!$B$218*'19_Расчет_аналитики'!S4608,MeanMinAge22))),0)</f>
        <v/>
      </c>
      <c r="T4561">
        <f>IF('01_Вводные'!$B$234="Да",IF(OR(('06_Сеть_и_дети'!T74-'06_Сеть_и_дети'!T102)=0,22&lt;='01_Вводные'!$B$297),0,('06_Сеть_и_дети'!T74-'06_Сеть_и_дети'!T102)*IF('01_Вводные'!$B$239="Да",MeanMinAge22+'19_Расчет_аналитики'!T4608*SUMIF(ThresholdAge22,"&lt;"&amp;'19_Расчет_аналитики'!T4608,WeightedRevAge22)-SUMIF(ThresholdAge22,"&lt;"&amp;'19_Расчет_аналитики'!T4608,WeightedMinAge22),MAX(CapacityAge22*'01_Вводные'!$B$218*'19_Расчет_аналитики'!T4608,MeanMinAge22))),0)</f>
        <v/>
      </c>
      <c r="U4561">
        <f>IF('01_Вводные'!$B$234="Да",IF(OR(('06_Сеть_и_дети'!U74-'06_Сеть_и_дети'!U102)=0,22&lt;='01_Вводные'!$B$297),0,('06_Сеть_и_дети'!U74-'06_Сеть_и_дети'!U102)*IF('01_Вводные'!$B$239="Да",MeanMinAge22+'19_Расчет_аналитики'!U4608*SUMIF(ThresholdAge22,"&lt;"&amp;'19_Расчет_аналитики'!U4608,WeightedRevAge22)-SUMIF(ThresholdAge22,"&lt;"&amp;'19_Расчет_аналитики'!U4608,WeightedMinAge22),MAX(CapacityAge22*'01_Вводные'!$B$218*'19_Расчет_аналитики'!U4608,MeanMinAge22))),0)</f>
        <v/>
      </c>
      <c r="V4561">
        <f>IF('01_Вводные'!$B$234="Да",IF(OR(('06_Сеть_и_дети'!V74-'06_Сеть_и_дети'!V102)=0,22&lt;='01_Вводные'!$B$297),0,('06_Сеть_и_дети'!V74-'06_Сеть_и_дети'!V102)*IF('01_Вводные'!$B$239="Да",MeanMinAge22+'19_Расчет_аналитики'!V4608*SUMIF(ThresholdAge22,"&lt;"&amp;'19_Расчет_аналитики'!V4608,WeightedRevAge22)-SUMIF(ThresholdAge22,"&lt;"&amp;'19_Расчет_аналитики'!V4608,WeightedMinAge22),MAX(CapacityAge22*'01_Вводные'!$B$218*'19_Расчет_аналитики'!V4608,MeanMinAge22))),0)</f>
        <v/>
      </c>
      <c r="W4561">
        <f>IF('01_Вводные'!$B$234="Да",IF(OR(('19_Расчет_аналитики'!W4477-'19_Расчет_аналитики'!W4505)=0,22&lt;='01_Вводные'!$B$297),0,('19_Расчет_аналитики'!W4477-'19_Расчет_аналитики'!W4505)*IF('01_Вводные'!$B$239="Да",MeanMinAge22+'19_Расчет_аналитики'!W4608*SUMIF(ThresholdAge22,"&lt;"&amp;'19_Расчет_аналитики'!W4608,WeightedRevAge22)-SUMIF(ThresholdAge22,"&lt;"&amp;'19_Расчет_аналитики'!W4608,WeightedMinAge22),MAX(CapacityAge22*'01_Вводные'!$B$218*'19_Расчет_аналитики'!W4608,MeanMinAge22))),0)</f>
        <v/>
      </c>
      <c r="X4561">
        <f>IF('01_Вводные'!$B$234="Да",IF(OR(('19_Расчет_аналитики'!X4477-'19_Расчет_аналитики'!X4505)=0,22&lt;='01_Вводные'!$B$297),0,('19_Расчет_аналитики'!X4477-'19_Расчет_аналитики'!X4505)*IF('01_Вводные'!$B$239="Да",MeanMinAge22+'19_Расчет_аналитики'!X4608*SUMIF(ThresholdAge22,"&lt;"&amp;'19_Расчет_аналитики'!X4608,WeightedRevAge22)-SUMIF(ThresholdAge22,"&lt;"&amp;'19_Расчет_аналитики'!X4608,WeightedMinAge22),MAX(CapacityAge22*'01_Вводные'!$B$218*'19_Расчет_аналитики'!X4608,MeanMinAge22))),0)</f>
        <v/>
      </c>
      <c r="Y4561">
        <f>IF('01_Вводные'!$B$234="Да",IF(OR(('19_Расчет_аналитики'!Y4477-'19_Расчет_аналитики'!Y4505)=0,22&lt;='01_Вводные'!$B$297),0,('19_Расчет_аналитики'!Y4477-'19_Расчет_аналитики'!Y4505)*IF('01_Вводные'!$B$239="Да",MeanMinAge22+'19_Расчет_аналитики'!Y4608*SUMIF(ThresholdAge22,"&lt;"&amp;'19_Расчет_аналитики'!Y4608,WeightedRevAge22)-SUMIF(ThresholdAge22,"&lt;"&amp;'19_Расчет_аналитики'!Y4608,WeightedMinAge22),MAX(CapacityAge22*'01_Вводные'!$B$218*'19_Расчет_аналитики'!Y4608,MeanMinAge22))),0)</f>
        <v/>
      </c>
      <c r="Z4561">
        <f>IF('01_Вводные'!$B$234="Да",IF(OR(('19_Расчет_аналитики'!Z4477-'19_Расчет_аналитики'!Z4505)=0,22&lt;='01_Вводные'!$B$297),0,('19_Расчет_аналитики'!Z4477-'19_Расчет_аналитики'!Z4505)*IF('01_Вводные'!$B$239="Да",MeanMinAge22+'19_Расчет_аналитики'!Z4608*SUMIF(ThresholdAge22,"&lt;"&amp;'19_Расчет_аналитики'!Z4608,WeightedRevAge22)-SUMIF(ThresholdAge22,"&lt;"&amp;'19_Расчет_аналитики'!Z4608,WeightedMinAge22),MAX(CapacityAge22*'01_Вводные'!$B$218*'19_Расчет_аналитики'!Z4608,MeanMinAge22))),0)</f>
        <v/>
      </c>
      <c r="AA4561">
        <f>IF('01_Вводные'!$B$234="Да",IF(OR(('19_Расчет_аналитики'!AA4477-'19_Расчет_аналитики'!AA4505)=0,22&lt;='01_Вводные'!$B$297),0,('19_Расчет_аналитики'!AA4477-'19_Расчет_аналитики'!AA4505)*IF('01_Вводные'!$B$239="Да",MeanMinAge22+'19_Расчет_аналитики'!AA4608*SUMIF(ThresholdAge22,"&lt;"&amp;'19_Расчет_аналитики'!AA4608,WeightedRevAge22)-SUMIF(ThresholdAge22,"&lt;"&amp;'19_Расчет_аналитики'!AA4608,WeightedMinAge22),MAX(CapacityAge22*'01_Вводные'!$B$218*'19_Расчет_аналитики'!AA4608,MeanMinAge22))),0)</f>
        <v/>
      </c>
      <c r="AB4561">
        <f>IF('01_Вводные'!$B$234="Да",IF(OR(('19_Расчет_аналитики'!AB4477-'19_Расчет_аналитики'!AB4505)=0,22&lt;='01_Вводные'!$B$297),0,('19_Расчет_аналитики'!AB4477-'19_Расчет_аналитики'!AB4505)*IF('01_Вводные'!$B$239="Да",MeanMinAge22+'19_Расчет_аналитики'!AB4608*SUMIF(ThresholdAge22,"&lt;"&amp;'19_Расчет_аналитики'!AB4608,WeightedRevAge22)-SUMIF(ThresholdAge22,"&lt;"&amp;'19_Расчет_аналитики'!AB4608,WeightedMinAge22),MAX(CapacityAge22*'01_Вводные'!$B$218*'19_Расчет_аналитики'!AB4608,MeanMinAge22))),0)</f>
        <v/>
      </c>
      <c r="AC4561">
        <f>IF('01_Вводные'!$B$234="Да",IF(OR(('19_Расчет_аналитики'!AC4477-'19_Расчет_аналитики'!AC4505)=0,22&lt;='01_Вводные'!$B$297),0,('19_Расчет_аналитики'!AC4477-'19_Расчет_аналитики'!AC4505)*IF('01_Вводные'!$B$239="Да",MeanMinAge22+'19_Расчет_аналитики'!AC4608*SUMIF(ThresholdAge22,"&lt;"&amp;'19_Расчет_аналитики'!AC4608,WeightedRevAge22)-SUMIF(ThresholdAge22,"&lt;"&amp;'19_Расчет_аналитики'!AC4608,WeightedMinAge22),MAX(CapacityAge22*'01_Вводные'!$B$218*'19_Расчет_аналитики'!AC4608,MeanMinAge22))),0)</f>
        <v/>
      </c>
      <c r="AD4561">
        <f>IF('01_Вводные'!$B$234="Да",IF(OR(('19_Расчет_аналитики'!AD4477-'19_Расчет_аналитики'!AD4505)=0,22&lt;='01_Вводные'!$B$297),0,('19_Расчет_аналитики'!AD4477-'19_Расчет_аналитики'!AD4505)*IF('01_Вводные'!$B$239="Да",MeanMinAge22+'19_Расчет_аналитики'!AD4608*SUMIF(ThresholdAge22,"&lt;"&amp;'19_Расчет_аналитики'!AD4608,WeightedRevAge22)-SUMIF(ThresholdAge22,"&lt;"&amp;'19_Расчет_аналитики'!AD4608,WeightedMinAge22),MAX(CapacityAge22*'01_Вводные'!$B$218*'19_Расчет_аналитики'!AD4608,MeanMinAge22))),0)</f>
        <v/>
      </c>
      <c r="AE4561">
        <f>IF('01_Вводные'!$B$234="Да",IF(OR(('19_Расчет_аналитики'!AE4477-'19_Расчет_аналитики'!AE4505)=0,22&lt;='01_Вводные'!$B$297),0,('19_Расчет_аналитики'!AE4477-'19_Расчет_аналитики'!AE4505)*IF('01_Вводные'!$B$239="Да",MeanMinAge22+'19_Расчет_аналитики'!AE4608*SUMIF(ThresholdAge22,"&lt;"&amp;'19_Расчет_аналитики'!AE4608,WeightedRevAge22)-SUMIF(ThresholdAge22,"&lt;"&amp;'19_Расчет_аналитики'!AE4608,WeightedMinAge22),MAX(CapacityAge22*'01_Вводные'!$B$218*'19_Расчет_аналитики'!AE4608,MeanMinAge22))),0)</f>
        <v/>
      </c>
      <c r="AF4561">
        <f>IF('01_Вводные'!$B$234="Да",IF(OR(('19_Расчет_аналитики'!AF4477-'19_Расчет_аналитики'!AF4505)=0,22&lt;='01_Вводные'!$B$297),0,('19_Расчет_аналитики'!AF4477-'19_Расчет_аналитики'!AF4505)*IF('01_Вводные'!$B$239="Да",MeanMinAge22+'19_Расчет_аналитики'!AF4608*SUMIF(ThresholdAge22,"&lt;"&amp;'19_Расчет_аналитики'!AF4608,WeightedRevAge22)-SUMIF(ThresholdAge22,"&lt;"&amp;'19_Расчет_аналитики'!AF4608,WeightedMinAge22),MAX(CapacityAge22*'01_Вводные'!$B$218*'19_Расчет_аналитики'!AF4608,MeanMinAge22))),0)</f>
        <v/>
      </c>
      <c r="AG4561">
        <f>IF('01_Вводные'!$B$234="Да",IF(OR(('19_Расчет_аналитики'!AG4477-'19_Расчет_аналитики'!AG4505)=0,22&lt;='01_Вводные'!$B$297),0,('19_Расчет_аналитики'!AG4477-'19_Расчет_аналитики'!AG4505)*IF('01_Вводные'!$B$239="Да",MeanMinAge22+'19_Расчет_аналитики'!AG4608*SUMIF(ThresholdAge22,"&lt;"&amp;'19_Расчет_аналитики'!AG4608,WeightedRevAge22)-SUMIF(ThresholdAge22,"&lt;"&amp;'19_Расчет_аналитики'!AG4608,WeightedMinAge22),MAX(CapacityAge22*'01_Вводные'!$B$218*'19_Расчет_аналитики'!AG4608,MeanMinAge22))),0)</f>
        <v/>
      </c>
      <c r="AH4561">
        <f>IF('01_Вводные'!$B$234="Да",IF(OR(('19_Расчет_аналитики'!AH4477-'19_Расчет_аналитики'!AH4505)=0,22&lt;='01_Вводные'!$B$297),0,('19_Расчет_аналитики'!AH4477-'19_Расчет_аналитики'!AH4505)*IF('01_Вводные'!$B$239="Да",MeanMinAge22+'19_Расчет_аналитики'!AH4608*SUMIF(ThresholdAge22,"&lt;"&amp;'19_Расчет_аналитики'!AH4608,WeightedRevAge22)-SUMIF(ThresholdAge22,"&lt;"&amp;'19_Расчет_аналитики'!AH4608,WeightedMinAge22),MAX(CapacityAge22*'01_Вводные'!$B$218*'19_Расчет_аналитики'!AH4608,MeanMinAge22))),0)</f>
        <v/>
      </c>
      <c r="AI4561">
        <f>IF('01_Вводные'!$B$234="Да",IF(OR(('19_Расчет_аналитики'!AI4477-'19_Расчет_аналитики'!AI4505)=0,22&lt;='01_Вводные'!$B$297),0,('19_Расчет_аналитики'!AI4477-'19_Расчет_аналитики'!AI4505)*IF('01_Вводные'!$B$239="Да",MeanMinAge22+'19_Расчет_аналитики'!AI4608*SUMIF(ThresholdAge22,"&lt;"&amp;'19_Расчет_аналитики'!AI4608,WeightedRevAge22)-SUMIF(ThresholdAge22,"&lt;"&amp;'19_Расчет_аналитики'!AI4608,WeightedMinAge22),MAX(CapacityAge22*'01_Вводные'!$B$218*'19_Расчет_аналитики'!AI4608,MeanMinAge22))),0)</f>
        <v/>
      </c>
      <c r="AJ4561">
        <f>IF('01_Вводные'!$B$234="Да",IF(OR(('19_Расчет_аналитики'!AJ4477-'19_Расчет_аналитики'!AJ4505)=0,22&lt;='01_Вводные'!$B$297),0,('19_Расчет_аналитики'!AJ4477-'19_Расчет_аналитики'!AJ4505)*IF('01_Вводные'!$B$239="Да",MeanMinAge22+'19_Расчет_аналитики'!AJ4608*SUMIF(ThresholdAge22,"&lt;"&amp;'19_Расчет_аналитики'!AJ4608,WeightedRevAge22)-SUMIF(ThresholdAge22,"&lt;"&amp;'19_Расчет_аналитики'!AJ4608,WeightedMinAge22),MAX(CapacityAge22*'01_Вводные'!$B$218*'19_Расчет_аналитики'!AJ4608,MeanMinAge22))),0)</f>
        <v/>
      </c>
      <c r="AK4561">
        <f>IF('01_Вводные'!$B$234="Да",IF(OR(('19_Расчет_аналитики'!AK4477-'19_Расчет_аналитики'!AK4505)=0,22&lt;='01_Вводные'!$B$297),0,('19_Расчет_аналитики'!AK4477-'19_Расчет_аналитики'!AK4505)*IF('01_Вводные'!$B$239="Да",MeanMinAge22+'19_Расчет_аналитики'!AK4608*SUMIF(ThresholdAge22,"&lt;"&amp;'19_Расчет_аналитики'!AK4608,WeightedRevAge22)-SUMIF(ThresholdAge22,"&lt;"&amp;'19_Расчет_аналитики'!AK4608,WeightedMinAge22),MAX(CapacityAge22*'01_Вводные'!$B$218*'19_Расчет_аналитики'!AK4608,MeanMinAge22))),0)</f>
        <v/>
      </c>
      <c r="AL4561">
        <f>IF('01_Вводные'!$B$234="Да",IF(OR(('19_Расчет_аналитики'!AL4477-'19_Расчет_аналитики'!AL4505)=0,22&lt;='01_Вводные'!$B$297),0,('19_Расчет_аналитики'!AL4477-'19_Расчет_аналитики'!AL4505)*IF('01_Вводные'!$B$239="Да",MeanMinAge22+'19_Расчет_аналитики'!AL4608*SUMIF(ThresholdAge22,"&lt;"&amp;'19_Расчет_аналитики'!AL4608,WeightedRevAge22)-SUMIF(ThresholdAge22,"&lt;"&amp;'19_Расчет_аналитики'!AL4608,WeightedMinAge22),MAX(CapacityAge22*'01_Вводные'!$B$218*'19_Расчет_аналитики'!AL4608,MeanMinAge22))),0)</f>
        <v/>
      </c>
      <c r="AM4561">
        <f>IF('01_Вводные'!$B$234="Да",IF(OR(('19_Расчет_аналитики'!AM4477-'19_Расчет_аналитики'!AM4505)=0,22&lt;='01_Вводные'!$B$297),0,('19_Расчет_аналитики'!AM4477-'19_Расчет_аналитики'!AM4505)*IF('01_Вводные'!$B$239="Да",MeanMinAge22+'19_Расчет_аналитики'!AM4608*SUMIF(ThresholdAge22,"&lt;"&amp;'19_Расчет_аналитики'!AM4608,WeightedRevAge22)-SUMIF(ThresholdAge22,"&lt;"&amp;'19_Расчет_аналитики'!AM4608,WeightedMinAge22),MAX(CapacityAge22*'01_Вводные'!$B$218*'19_Расчет_аналитики'!AM4608,MeanMinAge22))),0)</f>
        <v/>
      </c>
      <c r="AN4561">
        <f>IF('01_Вводные'!$B$234="Да",IF(OR(('19_Расчет_аналитики'!AN4477-'19_Расчет_аналитики'!AN4505)=0,22&lt;='01_Вводные'!$B$297),0,('19_Расчет_аналитики'!AN4477-'19_Расчет_аналитики'!AN4505)*IF('01_Вводные'!$B$239="Да",MeanMinAge22+'19_Расчет_аналитики'!AN4608*SUMIF(ThresholdAge22,"&lt;"&amp;'19_Расчет_аналитики'!AN4608,WeightedRevAge22)-SUMIF(ThresholdAge22,"&lt;"&amp;'19_Расчет_аналитики'!AN4608,WeightedMinAge22),MAX(CapacityAge22*'01_Вводные'!$B$218*'19_Расчет_аналитики'!AN4608,MeanMinAge22))),0)</f>
        <v/>
      </c>
      <c r="AO4561">
        <f>IF('01_Вводные'!$B$234="Да",IF(OR(('19_Расчет_аналитики'!AO4477-'19_Расчет_аналитики'!AO4505)=0,22&lt;='01_Вводные'!$B$297),0,('19_Расчет_аналитики'!AO4477-'19_Расчет_аналитики'!AO4505)*IF('01_Вводные'!$B$239="Да",MeanMinAge22+'19_Расчет_аналитики'!AO4608*SUMIF(ThresholdAge22,"&lt;"&amp;'19_Расчет_аналитики'!AO4608,WeightedRevAge22)-SUMIF(ThresholdAge22,"&lt;"&amp;'19_Расчет_аналитики'!AO4608,WeightedMinAge22),MAX(CapacityAge22*'01_Вводные'!$B$218*'19_Расчет_аналитики'!AO4608,MeanMinAge22))),0)</f>
        <v/>
      </c>
      <c r="AP4561">
        <f>IF('01_Вводные'!$B$234="Да",IF(OR(('19_Расчет_аналитики'!AP4477-'19_Расчет_аналитики'!AP4505)=0,22&lt;='01_Вводные'!$B$297),0,('19_Расчет_аналитики'!AP4477-'19_Расчет_аналитики'!AP4505)*IF('01_Вводные'!$B$239="Да",MeanMinAge22+'19_Расчет_аналитики'!AP4608*SUMIF(ThresholdAge22,"&lt;"&amp;'19_Расчет_аналитики'!AP4608,WeightedRevAge22)-SUMIF(ThresholdAge22,"&lt;"&amp;'19_Расчет_аналитики'!AP4608,WeightedMinAge22),MAX(CapacityAge22*'01_Вводные'!$B$218*'19_Расчет_аналитики'!AP4608,MeanMinAge22))),0)</f>
        <v/>
      </c>
      <c r="AQ4561">
        <f>IF('01_Вводные'!$B$234="Да",IF(OR(('19_Расчет_аналитики'!AQ4477-'19_Расчет_аналитики'!AQ4505)=0,22&lt;='01_Вводные'!$B$297),0,('19_Расчет_аналитики'!AQ4477-'19_Расчет_аналитики'!AQ4505)*IF('01_Вводные'!$B$239="Да",MeanMinAge22+'19_Расчет_аналитики'!AQ4608*SUMIF(ThresholdAge22,"&lt;"&amp;'19_Расчет_аналитики'!AQ4608,WeightedRevAge22)-SUMIF(ThresholdAge22,"&lt;"&amp;'19_Расчет_аналитики'!AQ4608,WeightedMinAge22),MAX(CapacityAge22*'01_Вводные'!$B$218*'19_Расчет_аналитики'!AQ4608,MeanMinAge22))),0)</f>
        <v/>
      </c>
      <c r="AR4561">
        <f>IF('01_Вводные'!$B$234="Да",IF(OR(('19_Расчет_аналитики'!AR4477-'19_Расчет_аналитики'!AR4505)=0,22&lt;='01_Вводные'!$B$297),0,('19_Расчет_аналитики'!AR4477-'19_Расчет_аналитики'!AR4505)*IF('01_Вводные'!$B$239="Да",MeanMinAge22+'19_Расчет_аналитики'!AR4608*SUMIF(ThresholdAge22,"&lt;"&amp;'19_Расчет_аналитики'!AR4608,WeightedRevAge22)-SUMIF(ThresholdAge22,"&lt;"&amp;'19_Расчет_аналитики'!AR4608,WeightedMinAge22),MAX(CapacityAge22*'01_Вводные'!$B$218*'19_Расчет_аналитики'!AR4608,MeanMinAge22))),0)</f>
        <v/>
      </c>
      <c r="AS4561">
        <f>IF('01_Вводные'!$B$234="Да",IF(OR(('19_Расчет_аналитики'!AS4477-'19_Расчет_аналитики'!AS4505)=0,22&lt;='01_Вводные'!$B$297),0,('19_Расчет_аналитики'!AS4477-'19_Расчет_аналитики'!AS4505)*IF('01_Вводные'!$B$239="Да",MeanMinAge22+'19_Расчет_аналитики'!AS4608*SUMIF(ThresholdAge22,"&lt;"&amp;'19_Расчет_аналитики'!AS4608,WeightedRevAge22)-SUMIF(ThresholdAge22,"&lt;"&amp;'19_Расчет_аналитики'!AS4608,WeightedMinAge22),MAX(CapacityAge22*'01_Вводные'!$B$218*'19_Расчет_аналитики'!AS4608,MeanMinAge22))),0)</f>
        <v/>
      </c>
      <c r="AT4561">
        <f>IF('01_Вводные'!$B$234="Да",IF(OR(('19_Расчет_аналитики'!AT4477-'19_Расчет_аналитики'!AT4505)=0,22&lt;='01_Вводные'!$B$297),0,('19_Расчет_аналитики'!AT4477-'19_Расчет_аналитики'!AT4505)*IF('01_Вводные'!$B$239="Да",MeanMinAge22+'19_Расчет_аналитики'!AT4608*SUMIF(ThresholdAge22,"&lt;"&amp;'19_Расчет_аналитики'!AT4608,WeightedRevAge22)-SUMIF(ThresholdAge22,"&lt;"&amp;'19_Расчет_аналитики'!AT4608,WeightedMinAge22),MAX(CapacityAge22*'01_Вводные'!$B$218*'19_Расчет_аналитики'!AT4608,MeanMinAge22))),0)</f>
        <v/>
      </c>
      <c r="AU4561">
        <f>IF('01_Вводные'!$B$234="Да",IF(OR(('19_Расчет_аналитики'!AU4477-'19_Расчет_аналитики'!AU4505)=0,22&lt;='01_Вводные'!$B$297),0,('19_Расчет_аналитики'!AU4477-'19_Расчет_аналитики'!AU4505)*IF('01_Вводные'!$B$239="Да",MeanMinAge22+'19_Расчет_аналитики'!AU4608*SUMIF(ThresholdAge22,"&lt;"&amp;'19_Расчет_аналитики'!AU4608,WeightedRevAge22)-SUMIF(ThresholdAge22,"&lt;"&amp;'19_Расчет_аналитики'!AU4608,WeightedMinAge22),MAX(CapacityAge22*'01_Вводные'!$B$218*'19_Расчет_аналитики'!AU4608,MeanMinAge22))),0)</f>
        <v/>
      </c>
      <c r="AV4561">
        <f>IF('01_Вводные'!$B$234="Да",IF(OR(('19_Расчет_аналитики'!AV4477-'19_Расчет_аналитики'!AV4505)=0,22&lt;='01_Вводные'!$B$297),0,('19_Расчет_аналитики'!AV4477-'19_Расчет_аналитики'!AV4505)*IF('01_Вводные'!$B$239="Да",MeanMinAge22+'19_Расчет_аналитики'!AV4608*SUMIF(ThresholdAge22,"&lt;"&amp;'19_Расчет_аналитики'!AV4608,WeightedRevAge22)-SUMIF(ThresholdAge22,"&lt;"&amp;'19_Расчет_аналитики'!AV4608,WeightedMinAge22),MAX(CapacityAge22*'01_Вводные'!$B$218*'19_Расчет_аналитики'!AV4608,MeanMinAge22))),0)</f>
        <v/>
      </c>
      <c r="AW4561">
        <f>IF('01_Вводные'!$B$234="Да",IF(OR(('19_Расчет_аналитики'!AW4477-'19_Расчет_аналитики'!AW4505)=0,22&lt;='01_Вводные'!$B$297),0,('19_Расчет_аналитики'!AW4477-'19_Расчет_аналитики'!AW4505)*IF('01_Вводные'!$B$239="Да",MeanMinAge22+'19_Расчет_аналитики'!AW4608*SUMIF(ThresholdAge22,"&lt;"&amp;'19_Расчет_аналитики'!AW4608,WeightedRevAge22)-SUMIF(ThresholdAge22,"&lt;"&amp;'19_Расчет_аналитики'!AW4608,WeightedMinAge22),MAX(CapacityAge22*'01_Вводные'!$B$218*'19_Расчет_аналитики'!AW4608,MeanMinAge22))),0)</f>
        <v/>
      </c>
      <c r="AX4561">
        <f>IF('01_Вводные'!$B$234="Да",IF(OR(('19_Расчет_аналитики'!AX4477-'19_Расчет_аналитики'!AX4505)=0,22&lt;='01_Вводные'!$B$297),0,('19_Расчет_аналитики'!AX4477-'19_Расчет_аналитики'!AX4505)*IF('01_Вводные'!$B$239="Да",MeanMinAge22+'19_Расчет_аналитики'!AX4608*SUMIF(ThresholdAge22,"&lt;"&amp;'19_Расчет_аналитики'!AX4608,WeightedRevAge22)-SUMIF(ThresholdAge22,"&lt;"&amp;'19_Расчет_аналитики'!AX4608,WeightedMinAge22),MAX(CapacityAge22*'01_Вводные'!$B$218*'19_Расчет_аналитики'!AX4608,MeanMinAge22))),0)</f>
        <v/>
      </c>
      <c r="AY4561">
        <f>IF('01_Вводные'!$B$234="Да",IF(OR(('19_Расчет_аналитики'!AY4477-'19_Расчет_аналитики'!AY4505)=0,22&lt;='01_Вводные'!$B$297),0,('19_Расчет_аналитики'!AY4477-'19_Расчет_аналитики'!AY4505)*IF('01_Вводные'!$B$239="Да",MeanMinAge22+'19_Расчет_аналитики'!AY4608*SUMIF(ThresholdAge22,"&lt;"&amp;'19_Расчет_аналитики'!AY4608,WeightedRevAge22)-SUMIF(ThresholdAge22,"&lt;"&amp;'19_Расчет_аналитики'!AY4608,WeightedMinAge22),MAX(CapacityAge22*'01_Вводные'!$B$218*'19_Расчет_аналитики'!AY4608,MeanMinAge22))),0)</f>
        <v/>
      </c>
      <c r="AZ4561">
        <f>IF('01_Вводные'!$B$234="Да",IF(OR(('19_Расчет_аналитики'!AZ4477-'19_Расчет_аналитики'!AZ4505)=0,22&lt;='01_Вводные'!$B$297),0,('19_Расчет_аналитики'!AZ4477-'19_Расчет_аналитики'!AZ4505)*IF('01_Вводные'!$B$239="Да",MeanMinAge22+'19_Расчет_аналитики'!AZ4608*SUMIF(ThresholdAge22,"&lt;"&amp;'19_Расчет_аналитики'!AZ4608,WeightedRevAge22)-SUMIF(ThresholdAge22,"&lt;"&amp;'19_Расчет_аналитики'!AZ4608,WeightedMinAge22),MAX(CapacityAge22*'01_Вводные'!$B$218*'19_Расчет_аналитики'!AZ4608,MeanMinAge22))),0)</f>
        <v/>
      </c>
      <c r="BA4561">
        <f>IF('01_Вводные'!$B$234="Да",IF(OR(('19_Расчет_аналитики'!BA4477-'19_Расчет_аналитики'!BA4505)=0,22&lt;='01_Вводные'!$B$297),0,('19_Расчет_аналитики'!BA4477-'19_Расчет_аналитики'!BA4505)*IF('01_Вводные'!$B$239="Да",MeanMinAge22+'19_Расчет_аналитики'!BA4608*SUMIF(ThresholdAge22,"&lt;"&amp;'19_Расчет_аналитики'!BA4608,WeightedRevAge22)-SUMIF(ThresholdAge22,"&lt;"&amp;'19_Расчет_аналитики'!BA4608,WeightedMinAge22),MAX(CapacityAge22*'01_Вводные'!$B$218*'19_Расчет_аналитики'!BA4608,MeanMinAge22))),0)</f>
        <v/>
      </c>
      <c r="BB4561">
        <f>IF('01_Вводные'!$B$234="Да",IF(OR(('19_Расчет_аналитики'!BB4477-'19_Расчет_аналитики'!BB4505)=0,22&lt;='01_Вводные'!$B$297),0,('19_Расчет_аналитики'!BB4477-'19_Расчет_аналитики'!BB4505)*IF('01_Вводные'!$B$239="Да",MeanMinAge22+'19_Расчет_аналитики'!BB4608*SUMIF(ThresholdAge22,"&lt;"&amp;'19_Расчет_аналитики'!BB4608,WeightedRevAge22)-SUMIF(ThresholdAge22,"&lt;"&amp;'19_Расчет_аналитики'!BB4608,WeightedMinAge22),MAX(CapacityAge22*'01_Вводные'!$B$218*'19_Расчет_аналитики'!BB4608,MeanMinAge22))),0)</f>
        <v/>
      </c>
      <c r="BC4561">
        <f>IF('01_Вводные'!$B$234="Да",IF(OR(('19_Расчет_аналитики'!BC4477-'19_Расчет_аналитики'!BC4505)=0,22&lt;='01_Вводные'!$B$297),0,('19_Расчет_аналитики'!BC4477-'19_Расчет_аналитики'!BC4505)*IF('01_Вводные'!$B$239="Да",MeanMinAge22+'19_Расчет_аналитики'!BC4608*SUMIF(ThresholdAge22,"&lt;"&amp;'19_Расчет_аналитики'!BC4608,WeightedRevAge22)-SUMIF(ThresholdAge22,"&lt;"&amp;'19_Расчет_аналитики'!BC4608,WeightedMinAge22),MAX(CapacityAge22*'01_Вводные'!$B$218*'19_Расчет_аналитики'!BC4608,MeanMinAge22))),0)</f>
        <v/>
      </c>
      <c r="BD4561">
        <f>IF('01_Вводные'!$B$234="Да",IF(OR(('19_Расчет_аналитики'!BD4477-'19_Расчет_аналитики'!BD4505)=0,22&lt;='01_Вводные'!$B$297),0,('19_Расчет_аналитики'!BD4477-'19_Расчет_аналитики'!BD4505)*IF('01_Вводные'!$B$239="Да",MeanMinAge22+'19_Расчет_аналитики'!BD4608*SUMIF(ThresholdAge22,"&lt;"&amp;'19_Расчет_аналитики'!BD4608,WeightedRevAge22)-SUMIF(ThresholdAge22,"&lt;"&amp;'19_Расчет_аналитики'!BD4608,WeightedMinAge22),MAX(CapacityAge22*'01_Вводные'!$B$218*'19_Расчет_аналитики'!BD4608,MeanMinAge22))),0)</f>
        <v/>
      </c>
      <c r="BE4561">
        <f>IF('01_Вводные'!$B$234="Да",IF(OR(('19_Расчет_аналитики'!BE4477-'19_Расчет_аналитики'!BE4505)=0,22&lt;='01_Вводные'!$B$297),0,('19_Расчет_аналитики'!BE4477-'19_Расчет_аналитики'!BE4505)*IF('01_Вводные'!$B$239="Да",MeanMinAge22+'19_Расчет_аналитики'!BE4608*SUMIF(ThresholdAge22,"&lt;"&amp;'19_Расчет_аналитики'!BE4608,WeightedRevAge22)-SUMIF(ThresholdAge22,"&lt;"&amp;'19_Расчет_аналитики'!BE4608,WeightedMinAge22),MAX(CapacityAge22*'01_Вводные'!$B$218*'19_Расчет_аналитики'!BE4608,MeanMinAge22))),0)</f>
        <v/>
      </c>
      <c r="BF4561">
        <f>IF('01_Вводные'!$B$234="Да",IF(OR(('19_Расчет_аналитики'!BF4477-'19_Расчет_аналитики'!BF4505)=0,22&lt;='01_Вводные'!$B$297),0,('19_Расчет_аналитики'!BF4477-'19_Расчет_аналитики'!BF4505)*IF('01_Вводные'!$B$239="Да",MeanMinAge22+'19_Расчет_аналитики'!BF4608*SUMIF(ThresholdAge22,"&lt;"&amp;'19_Расчет_аналитики'!BF4608,WeightedRevAge22)-SUMIF(ThresholdAge22,"&lt;"&amp;'19_Расчет_аналитики'!BF4608,WeightedMinAge22),MAX(CapacityAge22*'01_Вводные'!$B$218*'19_Расчет_аналитики'!BF4608,MeanMinAge22))),0)</f>
        <v/>
      </c>
      <c r="BG4561">
        <f>IF('01_Вводные'!$B$234="Да",IF(OR(('19_Расчет_аналитики'!BG4477-'19_Расчет_аналитики'!BG4505)=0,22&lt;='01_Вводные'!$B$297),0,('19_Расчет_аналитики'!BG4477-'19_Расчет_аналитики'!BG4505)*IF('01_Вводные'!$B$239="Да",MeanMinAge22+'19_Расчет_аналитики'!BG4608*SUMIF(ThresholdAge22,"&lt;"&amp;'19_Расчет_аналитики'!BG4608,WeightedRevAge22)-SUMIF(ThresholdAge22,"&lt;"&amp;'19_Расчет_аналитики'!BG4608,WeightedMinAge22),MAX(CapacityAge22*'01_Вводные'!$B$218*'19_Расчет_аналитики'!BG4608,MeanMinAge22))),0)</f>
        <v/>
      </c>
      <c r="BH4561">
        <f>IF('01_Вводные'!$B$234="Да",IF(OR(('19_Расчет_аналитики'!BH4477-'19_Расчет_аналитики'!BH4505)=0,22&lt;='01_Вводные'!$B$297),0,('19_Расчет_аналитики'!BH4477-'19_Расчет_аналитики'!BH4505)*IF('01_Вводные'!$B$239="Да",MeanMinAge22+'19_Расчет_аналитики'!BH4608*SUMIF(ThresholdAge22,"&lt;"&amp;'19_Расчет_аналитики'!BH4608,WeightedRevAge22)-SUMIF(ThresholdAge22,"&lt;"&amp;'19_Расчет_аналитики'!BH4608,WeightedMinAge22),MAX(CapacityAge22*'01_Вводные'!$B$218*'19_Расчет_аналитики'!BH4608,MeanMinAge22))),0)</f>
        <v/>
      </c>
      <c r="BI4561">
        <f>IF('01_Вводные'!$B$234="Да",IF(OR(('19_Расчет_аналитики'!BI4477-'19_Расчет_аналитики'!BI4505)=0,22&lt;='01_Вводные'!$B$297),0,('19_Расчет_аналитики'!BI4477-'19_Расчет_аналитики'!BI4505)*IF('01_Вводные'!$B$239="Да",MeanMinAge22+'19_Расчет_аналитики'!BI4608*SUMIF(ThresholdAge22,"&lt;"&amp;'19_Расчет_аналитики'!BI4608,WeightedRevAge22)-SUMIF(ThresholdAge22,"&lt;"&amp;'19_Расчет_аналитики'!BI4608,WeightedMinAge22),MAX(CapacityAge22*'01_Вводные'!$B$218*'19_Расчет_аналитики'!BI4608,MeanMinAge22))),0)</f>
        <v/>
      </c>
      <c r="BJ4561">
        <f>IF('01_Вводные'!$B$234="Да",IF(OR(('19_Расчет_аналитики'!BJ4477-'19_Расчет_аналитики'!BJ4505)=0,22&lt;='01_Вводные'!$B$297),0,('19_Расчет_аналитики'!BJ4477-'19_Расчет_аналитики'!BJ4505)*IF('01_Вводные'!$B$239="Да",MeanMinAge22+'19_Расчет_аналитики'!BJ4608*SUMIF(ThresholdAge22,"&lt;"&amp;'19_Расчет_аналитики'!BJ4608,WeightedRevAge22)-SUMIF(ThresholdAge22,"&lt;"&amp;'19_Расчет_аналитики'!BJ4608,WeightedMinAge22),MAX(CapacityAge22*'01_Вводные'!$B$218*'19_Расчет_аналитики'!BJ4608,MeanMinAge22))),0)</f>
        <v/>
      </c>
      <c r="BK4561">
        <f>IF('01_Вводные'!$B$234="Да",IF(OR(('19_Расчет_аналитики'!BK4477-'19_Расчет_аналитики'!BK4505)=0,22&lt;='01_Вводные'!$B$297),0,('19_Расчет_аналитики'!BK4477-'19_Расчет_аналитики'!BK4505)*IF('01_Вводные'!$B$239="Да",MeanMinAge22+'19_Расчет_аналитики'!BK4608*SUMIF(ThresholdAge22,"&lt;"&amp;'19_Расчет_аналитики'!BK4608,WeightedRevAge22)-SUMIF(ThresholdAge22,"&lt;"&amp;'19_Расчет_аналитики'!BK4608,WeightedMinAge22),MAX(CapacityAge22*'01_Вводные'!$B$218*'19_Расчет_аналитики'!BK4608,MeanMinAge22))),0)</f>
        <v/>
      </c>
      <c r="BL4561">
        <f>IF('01_Вводные'!$B$234="Да",IF(OR(('19_Расчет_аналитики'!BL4477-'19_Расчет_аналитики'!BL4505)=0,22&lt;='01_Вводные'!$B$297),0,('19_Расчет_аналитики'!BL4477-'19_Расчет_аналитики'!BL4505)*IF('01_Вводные'!$B$239="Да",MeanMinAge22+'19_Расчет_аналитики'!BL4608*SUMIF(ThresholdAge22,"&lt;"&amp;'19_Расчет_аналитики'!BL4608,WeightedRevAge22)-SUMIF(ThresholdAge22,"&lt;"&amp;'19_Расчет_аналитики'!BL4608,WeightedMinAge22),MAX(CapacityAge22*'01_Вводные'!$B$218*'19_Расчет_аналитики'!BL4608,MeanMinAge22))),0)</f>
        <v/>
      </c>
      <c r="BM4561">
        <f>IF('01_Вводные'!$B$234="Да",IF(OR(('19_Расчет_аналитики'!BM4477-'19_Расчет_аналитики'!BM4505)=0,22&lt;='01_Вводные'!$B$297),0,('19_Расчет_аналитики'!BM4477-'19_Расчет_аналитики'!BM4505)*IF('01_Вводные'!$B$239="Да",MeanMinAge22+'19_Расчет_аналитики'!BM4608*SUMIF(ThresholdAge22,"&lt;"&amp;'19_Расчет_аналитики'!BM4608,WeightedRevAge22)-SUMIF(ThresholdAge22,"&lt;"&amp;'19_Расчет_аналитики'!BM4608,WeightedMinAge22),MAX(CapacityAge22*'01_Вводные'!$B$218*'19_Расчет_аналитики'!BM4608,MeanMinAge22))),0)</f>
        <v/>
      </c>
      <c r="BN4561">
        <f>IF('01_Вводные'!$B$234="Да",IF(OR(('19_Расчет_аналитики'!BN4477-'19_Расчет_аналитики'!BN4505)=0,22&lt;='01_Вводные'!$B$297),0,('19_Расчет_аналитики'!BN4477-'19_Расчет_аналитики'!BN4505)*IF('01_Вводные'!$B$239="Да",MeanMinAge22+'19_Расчет_аналитики'!BN4608*SUMIF(ThresholdAge22,"&lt;"&amp;'19_Расчет_аналитики'!BN4608,WeightedRevAge22)-SUMIF(ThresholdAge22,"&lt;"&amp;'19_Расчет_аналитики'!BN4608,WeightedMinAge22),MAX(CapacityAge22*'01_Вводные'!$B$218*'19_Расчет_аналитики'!BN4608,MeanMinAge22))),0)</f>
        <v/>
      </c>
      <c r="BO4561">
        <f>IF('01_Вводные'!$B$234="Да",IF(OR(('19_Расчет_аналитики'!BO4477-'19_Расчет_аналитики'!BO4505)=0,22&lt;='01_Вводные'!$B$297),0,('19_Расчет_аналитики'!BO4477-'19_Расчет_аналитики'!BO4505)*IF('01_Вводные'!$B$239="Да",MeanMinAge22+'19_Расчет_аналитики'!BO4608*SUMIF(ThresholdAge22,"&lt;"&amp;'19_Расчет_аналитики'!BO4608,WeightedRevAge22)-SUMIF(ThresholdAge22,"&lt;"&amp;'19_Расчет_аналитики'!BO4608,WeightedMinAge22),MAX(CapacityAge22*'01_Вводные'!$B$218*'19_Расчет_аналитики'!BO4608,MeanMinAge22))),0)</f>
        <v/>
      </c>
    </row>
    <row r="4562">
      <c r="B4562">
        <f>IF('01_Вводные'!$B$234="Да",IF(OR(('06_Сеть_и_дети'!B75-'06_Сеть_и_дети'!B103)=0,23&lt;='01_Вводные'!$B$297),0,('06_Сеть_и_дети'!B75-'06_Сеть_и_дети'!B103)*IF('01_Вводные'!$B$239="Да",MeanMinAge23+'19_Расчет_аналитики'!B4608*SUMIF(ThresholdAge23,"&lt;"&amp;'19_Расчет_аналитики'!B4608,WeightedRevAge23)-SUMIF(ThresholdAge23,"&lt;"&amp;'19_Расчет_аналитики'!B4608,WeightedMinAge23),MAX(CapacityAge23*'01_Вводные'!$B$218*'19_Расчет_аналитики'!B4608,MeanMinAge23))),0)</f>
        <v/>
      </c>
      <c r="C4562">
        <f>IF('01_Вводные'!$B$234="Да",IF(OR(('06_Сеть_и_дети'!C75-'06_Сеть_и_дети'!C103)=0,23&lt;='01_Вводные'!$B$297),0,('06_Сеть_и_дети'!C75-'06_Сеть_и_дети'!C103)*IF('01_Вводные'!$B$239="Да",MeanMinAge23+'19_Расчет_аналитики'!C4608*SUMIF(ThresholdAge23,"&lt;"&amp;'19_Расчет_аналитики'!C4608,WeightedRevAge23)-SUMIF(ThresholdAge23,"&lt;"&amp;'19_Расчет_аналитики'!C4608,WeightedMinAge23),MAX(CapacityAge23*'01_Вводные'!$B$218*'19_Расчет_аналитики'!C4608,MeanMinAge23))),0)</f>
        <v/>
      </c>
      <c r="D4562">
        <f>IF('01_Вводные'!$B$234="Да",IF(OR(('06_Сеть_и_дети'!D75-'06_Сеть_и_дети'!D103)=0,23&lt;='01_Вводные'!$B$297),0,('06_Сеть_и_дети'!D75-'06_Сеть_и_дети'!D103)*IF('01_Вводные'!$B$239="Да",MeanMinAge23+'19_Расчет_аналитики'!D4608*SUMIF(ThresholdAge23,"&lt;"&amp;'19_Расчет_аналитики'!D4608,WeightedRevAge23)-SUMIF(ThresholdAge23,"&lt;"&amp;'19_Расчет_аналитики'!D4608,WeightedMinAge23),MAX(CapacityAge23*'01_Вводные'!$B$218*'19_Расчет_аналитики'!D4608,MeanMinAge23))),0)</f>
        <v/>
      </c>
      <c r="E4562">
        <f>IF('01_Вводные'!$B$234="Да",IF(OR(('06_Сеть_и_дети'!E75-'06_Сеть_и_дети'!E103)=0,23&lt;='01_Вводные'!$B$297),0,('06_Сеть_и_дети'!E75-'06_Сеть_и_дети'!E103)*IF('01_Вводные'!$B$239="Да",MeanMinAge23+'19_Расчет_аналитики'!E4608*SUMIF(ThresholdAge23,"&lt;"&amp;'19_Расчет_аналитики'!E4608,WeightedRevAge23)-SUMIF(ThresholdAge23,"&lt;"&amp;'19_Расчет_аналитики'!E4608,WeightedMinAge23),MAX(CapacityAge23*'01_Вводные'!$B$218*'19_Расчет_аналитики'!E4608,MeanMinAge23))),0)</f>
        <v/>
      </c>
      <c r="F4562">
        <f>IF('01_Вводные'!$B$234="Да",IF(OR(('06_Сеть_и_дети'!F75-'06_Сеть_и_дети'!F103)=0,23&lt;='01_Вводные'!$B$297),0,('06_Сеть_и_дети'!F75-'06_Сеть_и_дети'!F103)*IF('01_Вводные'!$B$239="Да",MeanMinAge23+'19_Расчет_аналитики'!F4608*SUMIF(ThresholdAge23,"&lt;"&amp;'19_Расчет_аналитики'!F4608,WeightedRevAge23)-SUMIF(ThresholdAge23,"&lt;"&amp;'19_Расчет_аналитики'!F4608,WeightedMinAge23),MAX(CapacityAge23*'01_Вводные'!$B$218*'19_Расчет_аналитики'!F4608,MeanMinAge23))),0)</f>
        <v/>
      </c>
      <c r="G4562">
        <f>IF('01_Вводные'!$B$234="Да",IF(OR(('06_Сеть_и_дети'!G75-'06_Сеть_и_дети'!G103)=0,23&lt;='01_Вводные'!$B$297),0,('06_Сеть_и_дети'!G75-'06_Сеть_и_дети'!G103)*IF('01_Вводные'!$B$239="Да",MeanMinAge23+'19_Расчет_аналитики'!G4608*SUMIF(ThresholdAge23,"&lt;"&amp;'19_Расчет_аналитики'!G4608,WeightedRevAge23)-SUMIF(ThresholdAge23,"&lt;"&amp;'19_Расчет_аналитики'!G4608,WeightedMinAge23),MAX(CapacityAge23*'01_Вводные'!$B$218*'19_Расчет_аналитики'!G4608,MeanMinAge23))),0)</f>
        <v/>
      </c>
      <c r="H4562">
        <f>IF('01_Вводные'!$B$234="Да",IF(OR(('06_Сеть_и_дети'!H75-'06_Сеть_и_дети'!H103)=0,23&lt;='01_Вводные'!$B$297),0,('06_Сеть_и_дети'!H75-'06_Сеть_и_дети'!H103)*IF('01_Вводные'!$B$239="Да",MeanMinAge23+'19_Расчет_аналитики'!H4608*SUMIF(ThresholdAge23,"&lt;"&amp;'19_Расчет_аналитики'!H4608,WeightedRevAge23)-SUMIF(ThresholdAge23,"&lt;"&amp;'19_Расчет_аналитики'!H4608,WeightedMinAge23),MAX(CapacityAge23*'01_Вводные'!$B$218*'19_Расчет_аналитики'!H4608,MeanMinAge23))),0)</f>
        <v/>
      </c>
      <c r="I4562">
        <f>IF('01_Вводные'!$B$234="Да",IF(OR(('06_Сеть_и_дети'!I75-'06_Сеть_и_дети'!I103)=0,23&lt;='01_Вводные'!$B$297),0,('06_Сеть_и_дети'!I75-'06_Сеть_и_дети'!I103)*IF('01_Вводные'!$B$239="Да",MeanMinAge23+'19_Расчет_аналитики'!I4608*SUMIF(ThresholdAge23,"&lt;"&amp;'19_Расчет_аналитики'!I4608,WeightedRevAge23)-SUMIF(ThresholdAge23,"&lt;"&amp;'19_Расчет_аналитики'!I4608,WeightedMinAge23),MAX(CapacityAge23*'01_Вводные'!$B$218*'19_Расчет_аналитики'!I4608,MeanMinAge23))),0)</f>
        <v/>
      </c>
      <c r="J4562">
        <f>IF('01_Вводные'!$B$234="Да",IF(OR(('06_Сеть_и_дети'!J75-'06_Сеть_и_дети'!J103)=0,23&lt;='01_Вводные'!$B$297),0,('06_Сеть_и_дети'!J75-'06_Сеть_и_дети'!J103)*IF('01_Вводные'!$B$239="Да",MeanMinAge23+'19_Расчет_аналитики'!J4608*SUMIF(ThresholdAge23,"&lt;"&amp;'19_Расчет_аналитики'!J4608,WeightedRevAge23)-SUMIF(ThresholdAge23,"&lt;"&amp;'19_Расчет_аналитики'!J4608,WeightedMinAge23),MAX(CapacityAge23*'01_Вводные'!$B$218*'19_Расчет_аналитики'!J4608,MeanMinAge23))),0)</f>
        <v/>
      </c>
      <c r="K4562">
        <f>IF('01_Вводные'!$B$234="Да",IF(OR(('06_Сеть_и_дети'!K75-'06_Сеть_и_дети'!K103)=0,23&lt;='01_Вводные'!$B$297),0,('06_Сеть_и_дети'!K75-'06_Сеть_и_дети'!K103)*IF('01_Вводные'!$B$239="Да",MeanMinAge23+'19_Расчет_аналитики'!K4608*SUMIF(ThresholdAge23,"&lt;"&amp;'19_Расчет_аналитики'!K4608,WeightedRevAge23)-SUMIF(ThresholdAge23,"&lt;"&amp;'19_Расчет_аналитики'!K4608,WeightedMinAge23),MAX(CapacityAge23*'01_Вводные'!$B$218*'19_Расчет_аналитики'!K4608,MeanMinAge23))),0)</f>
        <v/>
      </c>
      <c r="L4562">
        <f>IF('01_Вводные'!$B$234="Да",IF(OR(('06_Сеть_и_дети'!L75-'06_Сеть_и_дети'!L103)=0,23&lt;='01_Вводные'!$B$297),0,('06_Сеть_и_дети'!L75-'06_Сеть_и_дети'!L103)*IF('01_Вводные'!$B$239="Да",MeanMinAge23+'19_Расчет_аналитики'!L4608*SUMIF(ThresholdAge23,"&lt;"&amp;'19_Расчет_аналитики'!L4608,WeightedRevAge23)-SUMIF(ThresholdAge23,"&lt;"&amp;'19_Расчет_аналитики'!L4608,WeightedMinAge23),MAX(CapacityAge23*'01_Вводные'!$B$218*'19_Расчет_аналитики'!L4608,MeanMinAge23))),0)</f>
        <v/>
      </c>
      <c r="M4562">
        <f>IF('01_Вводные'!$B$234="Да",IF(OR(('06_Сеть_и_дети'!M75-'06_Сеть_и_дети'!M103)=0,23&lt;='01_Вводные'!$B$297),0,('06_Сеть_и_дети'!M75-'06_Сеть_и_дети'!M103)*IF('01_Вводные'!$B$239="Да",MeanMinAge23+'19_Расчет_аналитики'!M4608*SUMIF(ThresholdAge23,"&lt;"&amp;'19_Расчет_аналитики'!M4608,WeightedRevAge23)-SUMIF(ThresholdAge23,"&lt;"&amp;'19_Расчет_аналитики'!M4608,WeightedMinAge23),MAX(CapacityAge23*'01_Вводные'!$B$218*'19_Расчет_аналитики'!M4608,MeanMinAge23))),0)</f>
        <v/>
      </c>
      <c r="N4562">
        <f>IF('01_Вводные'!$B$234="Да",IF(OR(('06_Сеть_и_дети'!N75-'06_Сеть_и_дети'!N103)=0,23&lt;='01_Вводные'!$B$297),0,('06_Сеть_и_дети'!N75-'06_Сеть_и_дети'!N103)*IF('01_Вводные'!$B$239="Да",MeanMinAge23+'19_Расчет_аналитики'!N4608*SUMIF(ThresholdAge23,"&lt;"&amp;'19_Расчет_аналитики'!N4608,WeightedRevAge23)-SUMIF(ThresholdAge23,"&lt;"&amp;'19_Расчет_аналитики'!N4608,WeightedMinAge23),MAX(CapacityAge23*'01_Вводные'!$B$218*'19_Расчет_аналитики'!N4608,MeanMinAge23))),0)</f>
        <v/>
      </c>
      <c r="O4562">
        <f>IF('01_Вводные'!$B$234="Да",IF(OR(('06_Сеть_и_дети'!O75-'06_Сеть_и_дети'!O103)=0,23&lt;='01_Вводные'!$B$297),0,('06_Сеть_и_дети'!O75-'06_Сеть_и_дети'!O103)*IF('01_Вводные'!$B$239="Да",MeanMinAge23+'19_Расчет_аналитики'!O4608*SUMIF(ThresholdAge23,"&lt;"&amp;'19_Расчет_аналитики'!O4608,WeightedRevAge23)-SUMIF(ThresholdAge23,"&lt;"&amp;'19_Расчет_аналитики'!O4608,WeightedMinAge23),MAX(CapacityAge23*'01_Вводные'!$B$218*'19_Расчет_аналитики'!O4608,MeanMinAge23))),0)</f>
        <v/>
      </c>
      <c r="P4562">
        <f>IF('01_Вводные'!$B$234="Да",IF(OR(('06_Сеть_и_дети'!P75-'06_Сеть_и_дети'!P103)=0,23&lt;='01_Вводные'!$B$297),0,('06_Сеть_и_дети'!P75-'06_Сеть_и_дети'!P103)*IF('01_Вводные'!$B$239="Да",MeanMinAge23+'19_Расчет_аналитики'!P4608*SUMIF(ThresholdAge23,"&lt;"&amp;'19_Расчет_аналитики'!P4608,WeightedRevAge23)-SUMIF(ThresholdAge23,"&lt;"&amp;'19_Расчет_аналитики'!P4608,WeightedMinAge23),MAX(CapacityAge23*'01_Вводные'!$B$218*'19_Расчет_аналитики'!P4608,MeanMinAge23))),0)</f>
        <v/>
      </c>
      <c r="Q4562">
        <f>IF('01_Вводные'!$B$234="Да",IF(OR(('06_Сеть_и_дети'!Q75-'06_Сеть_и_дети'!Q103)=0,23&lt;='01_Вводные'!$B$297),0,('06_Сеть_и_дети'!Q75-'06_Сеть_и_дети'!Q103)*IF('01_Вводные'!$B$239="Да",MeanMinAge23+'19_Расчет_аналитики'!Q4608*SUMIF(ThresholdAge23,"&lt;"&amp;'19_Расчет_аналитики'!Q4608,WeightedRevAge23)-SUMIF(ThresholdAge23,"&lt;"&amp;'19_Расчет_аналитики'!Q4608,WeightedMinAge23),MAX(CapacityAge23*'01_Вводные'!$B$218*'19_Расчет_аналитики'!Q4608,MeanMinAge23))),0)</f>
        <v/>
      </c>
      <c r="R4562">
        <f>IF('01_Вводные'!$B$234="Да",IF(OR(('06_Сеть_и_дети'!R75-'06_Сеть_и_дети'!R103)=0,23&lt;='01_Вводные'!$B$297),0,('06_Сеть_и_дети'!R75-'06_Сеть_и_дети'!R103)*IF('01_Вводные'!$B$239="Да",MeanMinAge23+'19_Расчет_аналитики'!R4608*SUMIF(ThresholdAge23,"&lt;"&amp;'19_Расчет_аналитики'!R4608,WeightedRevAge23)-SUMIF(ThresholdAge23,"&lt;"&amp;'19_Расчет_аналитики'!R4608,WeightedMinAge23),MAX(CapacityAge23*'01_Вводные'!$B$218*'19_Расчет_аналитики'!R4608,MeanMinAge23))),0)</f>
        <v/>
      </c>
      <c r="S4562">
        <f>IF('01_Вводные'!$B$234="Да",IF(OR(('06_Сеть_и_дети'!S75-'06_Сеть_и_дети'!S103)=0,23&lt;='01_Вводные'!$B$297),0,('06_Сеть_и_дети'!S75-'06_Сеть_и_дети'!S103)*IF('01_Вводные'!$B$239="Да",MeanMinAge23+'19_Расчет_аналитики'!S4608*SUMIF(ThresholdAge23,"&lt;"&amp;'19_Расчет_аналитики'!S4608,WeightedRevAge23)-SUMIF(ThresholdAge23,"&lt;"&amp;'19_Расчет_аналитики'!S4608,WeightedMinAge23),MAX(CapacityAge23*'01_Вводные'!$B$218*'19_Расчет_аналитики'!S4608,MeanMinAge23))),0)</f>
        <v/>
      </c>
      <c r="T4562">
        <f>IF('01_Вводные'!$B$234="Да",IF(OR(('06_Сеть_и_дети'!T75-'06_Сеть_и_дети'!T103)=0,23&lt;='01_Вводные'!$B$297),0,('06_Сеть_и_дети'!T75-'06_Сеть_и_дети'!T103)*IF('01_Вводные'!$B$239="Да",MeanMinAge23+'19_Расчет_аналитики'!T4608*SUMIF(ThresholdAge23,"&lt;"&amp;'19_Расчет_аналитики'!T4608,WeightedRevAge23)-SUMIF(ThresholdAge23,"&lt;"&amp;'19_Расчет_аналитики'!T4608,WeightedMinAge23),MAX(CapacityAge23*'01_Вводные'!$B$218*'19_Расчет_аналитики'!T4608,MeanMinAge23))),0)</f>
        <v/>
      </c>
      <c r="U4562">
        <f>IF('01_Вводные'!$B$234="Да",IF(OR(('06_Сеть_и_дети'!U75-'06_Сеть_и_дети'!U103)=0,23&lt;='01_Вводные'!$B$297),0,('06_Сеть_и_дети'!U75-'06_Сеть_и_дети'!U103)*IF('01_Вводные'!$B$239="Да",MeanMinAge23+'19_Расчет_аналитики'!U4608*SUMIF(ThresholdAge23,"&lt;"&amp;'19_Расчет_аналитики'!U4608,WeightedRevAge23)-SUMIF(ThresholdAge23,"&lt;"&amp;'19_Расчет_аналитики'!U4608,WeightedMinAge23),MAX(CapacityAge23*'01_Вводные'!$B$218*'19_Расчет_аналитики'!U4608,MeanMinAge23))),0)</f>
        <v/>
      </c>
      <c r="V4562">
        <f>IF('01_Вводные'!$B$234="Да",IF(OR(('06_Сеть_и_дети'!V75-'06_Сеть_и_дети'!V103)=0,23&lt;='01_Вводные'!$B$297),0,('06_Сеть_и_дети'!V75-'06_Сеть_и_дети'!V103)*IF('01_Вводные'!$B$239="Да",MeanMinAge23+'19_Расчет_аналитики'!V4608*SUMIF(ThresholdAge23,"&lt;"&amp;'19_Расчет_аналитики'!V4608,WeightedRevAge23)-SUMIF(ThresholdAge23,"&lt;"&amp;'19_Расчет_аналитики'!V4608,WeightedMinAge23),MAX(CapacityAge23*'01_Вводные'!$B$218*'19_Расчет_аналитики'!V4608,MeanMinAge23))),0)</f>
        <v/>
      </c>
      <c r="W4562">
        <f>IF('01_Вводные'!$B$234="Да",IF(OR(('06_Сеть_и_дети'!W75-'06_Сеть_и_дети'!W103)=0,23&lt;='01_Вводные'!$B$297),0,('06_Сеть_и_дети'!W75-'06_Сеть_и_дети'!W103)*IF('01_Вводные'!$B$239="Да",MeanMinAge23+'19_Расчет_аналитики'!W4608*SUMIF(ThresholdAge23,"&lt;"&amp;'19_Расчет_аналитики'!W4608,WeightedRevAge23)-SUMIF(ThresholdAge23,"&lt;"&amp;'19_Расчет_аналитики'!W4608,WeightedMinAge23),MAX(CapacityAge23*'01_Вводные'!$B$218*'19_Расчет_аналитики'!W4608,MeanMinAge23))),0)</f>
        <v/>
      </c>
      <c r="X4562">
        <f>IF('01_Вводные'!$B$234="Да",IF(OR(('19_Расчет_аналитики'!X4478-'19_Расчет_аналитики'!X4506)=0,23&lt;='01_Вводные'!$B$297),0,('19_Расчет_аналитики'!X4478-'19_Расчет_аналитики'!X4506)*IF('01_Вводные'!$B$239="Да",MeanMinAge23+'19_Расчет_аналитики'!X4608*SUMIF(ThresholdAge23,"&lt;"&amp;'19_Расчет_аналитики'!X4608,WeightedRevAge23)-SUMIF(ThresholdAge23,"&lt;"&amp;'19_Расчет_аналитики'!X4608,WeightedMinAge23),MAX(CapacityAge23*'01_Вводные'!$B$218*'19_Расчет_аналитики'!X4608,MeanMinAge23))),0)</f>
        <v/>
      </c>
      <c r="Y4562">
        <f>IF('01_Вводные'!$B$234="Да",IF(OR(('19_Расчет_аналитики'!Y4478-'19_Расчет_аналитики'!Y4506)=0,23&lt;='01_Вводные'!$B$297),0,('19_Расчет_аналитики'!Y4478-'19_Расчет_аналитики'!Y4506)*IF('01_Вводные'!$B$239="Да",MeanMinAge23+'19_Расчет_аналитики'!Y4608*SUMIF(ThresholdAge23,"&lt;"&amp;'19_Расчет_аналитики'!Y4608,WeightedRevAge23)-SUMIF(ThresholdAge23,"&lt;"&amp;'19_Расчет_аналитики'!Y4608,WeightedMinAge23),MAX(CapacityAge23*'01_Вводные'!$B$218*'19_Расчет_аналитики'!Y4608,MeanMinAge23))),0)</f>
        <v/>
      </c>
      <c r="Z4562">
        <f>IF('01_Вводные'!$B$234="Да",IF(OR(('19_Расчет_аналитики'!Z4478-'19_Расчет_аналитики'!Z4506)=0,23&lt;='01_Вводные'!$B$297),0,('19_Расчет_аналитики'!Z4478-'19_Расчет_аналитики'!Z4506)*IF('01_Вводные'!$B$239="Да",MeanMinAge23+'19_Расчет_аналитики'!Z4608*SUMIF(ThresholdAge23,"&lt;"&amp;'19_Расчет_аналитики'!Z4608,WeightedRevAge23)-SUMIF(ThresholdAge23,"&lt;"&amp;'19_Расчет_аналитики'!Z4608,WeightedMinAge23),MAX(CapacityAge23*'01_Вводные'!$B$218*'19_Расчет_аналитики'!Z4608,MeanMinAge23))),0)</f>
        <v/>
      </c>
      <c r="AA4562">
        <f>IF('01_Вводные'!$B$234="Да",IF(OR(('19_Расчет_аналитики'!AA4478-'19_Расчет_аналитики'!AA4506)=0,23&lt;='01_Вводные'!$B$297),0,('19_Расчет_аналитики'!AA4478-'19_Расчет_аналитики'!AA4506)*IF('01_Вводные'!$B$239="Да",MeanMinAge23+'19_Расчет_аналитики'!AA4608*SUMIF(ThresholdAge23,"&lt;"&amp;'19_Расчет_аналитики'!AA4608,WeightedRevAge23)-SUMIF(ThresholdAge23,"&lt;"&amp;'19_Расчет_аналитики'!AA4608,WeightedMinAge23),MAX(CapacityAge23*'01_Вводные'!$B$218*'19_Расчет_аналитики'!AA4608,MeanMinAge23))),0)</f>
        <v/>
      </c>
      <c r="AB4562">
        <f>IF('01_Вводные'!$B$234="Да",IF(OR(('19_Расчет_аналитики'!AB4478-'19_Расчет_аналитики'!AB4506)=0,23&lt;='01_Вводные'!$B$297),0,('19_Расчет_аналитики'!AB4478-'19_Расчет_аналитики'!AB4506)*IF('01_Вводные'!$B$239="Да",MeanMinAge23+'19_Расчет_аналитики'!AB4608*SUMIF(ThresholdAge23,"&lt;"&amp;'19_Расчет_аналитики'!AB4608,WeightedRevAge23)-SUMIF(ThresholdAge23,"&lt;"&amp;'19_Расчет_аналитики'!AB4608,WeightedMinAge23),MAX(CapacityAge23*'01_Вводные'!$B$218*'19_Расчет_аналитики'!AB4608,MeanMinAge23))),0)</f>
        <v/>
      </c>
      <c r="AC4562">
        <f>IF('01_Вводные'!$B$234="Да",IF(OR(('19_Расчет_аналитики'!AC4478-'19_Расчет_аналитики'!AC4506)=0,23&lt;='01_Вводные'!$B$297),0,('19_Расчет_аналитики'!AC4478-'19_Расчет_аналитики'!AC4506)*IF('01_Вводные'!$B$239="Да",MeanMinAge23+'19_Расчет_аналитики'!AC4608*SUMIF(ThresholdAge23,"&lt;"&amp;'19_Расчет_аналитики'!AC4608,WeightedRevAge23)-SUMIF(ThresholdAge23,"&lt;"&amp;'19_Расчет_аналитики'!AC4608,WeightedMinAge23),MAX(CapacityAge23*'01_Вводные'!$B$218*'19_Расчет_аналитики'!AC4608,MeanMinAge23))),0)</f>
        <v/>
      </c>
      <c r="AD4562">
        <f>IF('01_Вводные'!$B$234="Да",IF(OR(('19_Расчет_аналитики'!AD4478-'19_Расчет_аналитики'!AD4506)=0,23&lt;='01_Вводные'!$B$297),0,('19_Расчет_аналитики'!AD4478-'19_Расчет_аналитики'!AD4506)*IF('01_Вводные'!$B$239="Да",MeanMinAge23+'19_Расчет_аналитики'!AD4608*SUMIF(ThresholdAge23,"&lt;"&amp;'19_Расчет_аналитики'!AD4608,WeightedRevAge23)-SUMIF(ThresholdAge23,"&lt;"&amp;'19_Расчет_аналитики'!AD4608,WeightedMinAge23),MAX(CapacityAge23*'01_Вводные'!$B$218*'19_Расчет_аналитики'!AD4608,MeanMinAge23))),0)</f>
        <v/>
      </c>
      <c r="AE4562">
        <f>IF('01_Вводные'!$B$234="Да",IF(OR(('19_Расчет_аналитики'!AE4478-'19_Расчет_аналитики'!AE4506)=0,23&lt;='01_Вводные'!$B$297),0,('19_Расчет_аналитики'!AE4478-'19_Расчет_аналитики'!AE4506)*IF('01_Вводные'!$B$239="Да",MeanMinAge23+'19_Расчет_аналитики'!AE4608*SUMIF(ThresholdAge23,"&lt;"&amp;'19_Расчет_аналитики'!AE4608,WeightedRevAge23)-SUMIF(ThresholdAge23,"&lt;"&amp;'19_Расчет_аналитики'!AE4608,WeightedMinAge23),MAX(CapacityAge23*'01_Вводные'!$B$218*'19_Расчет_аналитики'!AE4608,MeanMinAge23))),0)</f>
        <v/>
      </c>
      <c r="AF4562">
        <f>IF('01_Вводные'!$B$234="Да",IF(OR(('19_Расчет_аналитики'!AF4478-'19_Расчет_аналитики'!AF4506)=0,23&lt;='01_Вводные'!$B$297),0,('19_Расчет_аналитики'!AF4478-'19_Расчет_аналитики'!AF4506)*IF('01_Вводные'!$B$239="Да",MeanMinAge23+'19_Расчет_аналитики'!AF4608*SUMIF(ThresholdAge23,"&lt;"&amp;'19_Расчет_аналитики'!AF4608,WeightedRevAge23)-SUMIF(ThresholdAge23,"&lt;"&amp;'19_Расчет_аналитики'!AF4608,WeightedMinAge23),MAX(CapacityAge23*'01_Вводные'!$B$218*'19_Расчет_аналитики'!AF4608,MeanMinAge23))),0)</f>
        <v/>
      </c>
      <c r="AG4562">
        <f>IF('01_Вводные'!$B$234="Да",IF(OR(('19_Расчет_аналитики'!AG4478-'19_Расчет_аналитики'!AG4506)=0,23&lt;='01_Вводные'!$B$297),0,('19_Расчет_аналитики'!AG4478-'19_Расчет_аналитики'!AG4506)*IF('01_Вводные'!$B$239="Да",MeanMinAge23+'19_Расчет_аналитики'!AG4608*SUMIF(ThresholdAge23,"&lt;"&amp;'19_Расчет_аналитики'!AG4608,WeightedRevAge23)-SUMIF(ThresholdAge23,"&lt;"&amp;'19_Расчет_аналитики'!AG4608,WeightedMinAge23),MAX(CapacityAge23*'01_Вводные'!$B$218*'19_Расчет_аналитики'!AG4608,MeanMinAge23))),0)</f>
        <v/>
      </c>
      <c r="AH4562">
        <f>IF('01_Вводные'!$B$234="Да",IF(OR(('19_Расчет_аналитики'!AH4478-'19_Расчет_аналитики'!AH4506)=0,23&lt;='01_Вводные'!$B$297),0,('19_Расчет_аналитики'!AH4478-'19_Расчет_аналитики'!AH4506)*IF('01_Вводные'!$B$239="Да",MeanMinAge23+'19_Расчет_аналитики'!AH4608*SUMIF(ThresholdAge23,"&lt;"&amp;'19_Расчет_аналитики'!AH4608,WeightedRevAge23)-SUMIF(ThresholdAge23,"&lt;"&amp;'19_Расчет_аналитики'!AH4608,WeightedMinAge23),MAX(CapacityAge23*'01_Вводные'!$B$218*'19_Расчет_аналитики'!AH4608,MeanMinAge23))),0)</f>
        <v/>
      </c>
      <c r="AI4562">
        <f>IF('01_Вводные'!$B$234="Да",IF(OR(('19_Расчет_аналитики'!AI4478-'19_Расчет_аналитики'!AI4506)=0,23&lt;='01_Вводные'!$B$297),0,('19_Расчет_аналитики'!AI4478-'19_Расчет_аналитики'!AI4506)*IF('01_Вводные'!$B$239="Да",MeanMinAge23+'19_Расчет_аналитики'!AI4608*SUMIF(ThresholdAge23,"&lt;"&amp;'19_Расчет_аналитики'!AI4608,WeightedRevAge23)-SUMIF(ThresholdAge23,"&lt;"&amp;'19_Расчет_аналитики'!AI4608,WeightedMinAge23),MAX(CapacityAge23*'01_Вводные'!$B$218*'19_Расчет_аналитики'!AI4608,MeanMinAge23))),0)</f>
        <v/>
      </c>
      <c r="AJ4562">
        <f>IF('01_Вводные'!$B$234="Да",IF(OR(('19_Расчет_аналитики'!AJ4478-'19_Расчет_аналитики'!AJ4506)=0,23&lt;='01_Вводные'!$B$297),0,('19_Расчет_аналитики'!AJ4478-'19_Расчет_аналитики'!AJ4506)*IF('01_Вводные'!$B$239="Да",MeanMinAge23+'19_Расчет_аналитики'!AJ4608*SUMIF(ThresholdAge23,"&lt;"&amp;'19_Расчет_аналитики'!AJ4608,WeightedRevAge23)-SUMIF(ThresholdAge23,"&lt;"&amp;'19_Расчет_аналитики'!AJ4608,WeightedMinAge23),MAX(CapacityAge23*'01_Вводные'!$B$218*'19_Расчет_аналитики'!AJ4608,MeanMinAge23))),0)</f>
        <v/>
      </c>
      <c r="AK4562">
        <f>IF('01_Вводные'!$B$234="Да",IF(OR(('19_Расчет_аналитики'!AK4478-'19_Расчет_аналитики'!AK4506)=0,23&lt;='01_Вводные'!$B$297),0,('19_Расчет_аналитики'!AK4478-'19_Расчет_аналитики'!AK4506)*IF('01_Вводные'!$B$239="Да",MeanMinAge23+'19_Расчет_аналитики'!AK4608*SUMIF(ThresholdAge23,"&lt;"&amp;'19_Расчет_аналитики'!AK4608,WeightedRevAge23)-SUMIF(ThresholdAge23,"&lt;"&amp;'19_Расчет_аналитики'!AK4608,WeightedMinAge23),MAX(CapacityAge23*'01_Вводные'!$B$218*'19_Расчет_аналитики'!AK4608,MeanMinAge23))),0)</f>
        <v/>
      </c>
      <c r="AL4562">
        <f>IF('01_Вводные'!$B$234="Да",IF(OR(('19_Расчет_аналитики'!AL4478-'19_Расчет_аналитики'!AL4506)=0,23&lt;='01_Вводные'!$B$297),0,('19_Расчет_аналитики'!AL4478-'19_Расчет_аналитики'!AL4506)*IF('01_Вводные'!$B$239="Да",MeanMinAge23+'19_Расчет_аналитики'!AL4608*SUMIF(ThresholdAge23,"&lt;"&amp;'19_Расчет_аналитики'!AL4608,WeightedRevAge23)-SUMIF(ThresholdAge23,"&lt;"&amp;'19_Расчет_аналитики'!AL4608,WeightedMinAge23),MAX(CapacityAge23*'01_Вводные'!$B$218*'19_Расчет_аналитики'!AL4608,MeanMinAge23))),0)</f>
        <v/>
      </c>
      <c r="AM4562">
        <f>IF('01_Вводные'!$B$234="Да",IF(OR(('19_Расчет_аналитики'!AM4478-'19_Расчет_аналитики'!AM4506)=0,23&lt;='01_Вводные'!$B$297),0,('19_Расчет_аналитики'!AM4478-'19_Расчет_аналитики'!AM4506)*IF('01_Вводные'!$B$239="Да",MeanMinAge23+'19_Расчет_аналитики'!AM4608*SUMIF(ThresholdAge23,"&lt;"&amp;'19_Расчет_аналитики'!AM4608,WeightedRevAge23)-SUMIF(ThresholdAge23,"&lt;"&amp;'19_Расчет_аналитики'!AM4608,WeightedMinAge23),MAX(CapacityAge23*'01_Вводные'!$B$218*'19_Расчет_аналитики'!AM4608,MeanMinAge23))),0)</f>
        <v/>
      </c>
      <c r="AN4562">
        <f>IF('01_Вводные'!$B$234="Да",IF(OR(('19_Расчет_аналитики'!AN4478-'19_Расчет_аналитики'!AN4506)=0,23&lt;='01_Вводные'!$B$297),0,('19_Расчет_аналитики'!AN4478-'19_Расчет_аналитики'!AN4506)*IF('01_Вводные'!$B$239="Да",MeanMinAge23+'19_Расчет_аналитики'!AN4608*SUMIF(ThresholdAge23,"&lt;"&amp;'19_Расчет_аналитики'!AN4608,WeightedRevAge23)-SUMIF(ThresholdAge23,"&lt;"&amp;'19_Расчет_аналитики'!AN4608,WeightedMinAge23),MAX(CapacityAge23*'01_Вводные'!$B$218*'19_Расчет_аналитики'!AN4608,MeanMinAge23))),0)</f>
        <v/>
      </c>
      <c r="AO4562">
        <f>IF('01_Вводные'!$B$234="Да",IF(OR(('19_Расчет_аналитики'!AO4478-'19_Расчет_аналитики'!AO4506)=0,23&lt;='01_Вводные'!$B$297),0,('19_Расчет_аналитики'!AO4478-'19_Расчет_аналитики'!AO4506)*IF('01_Вводные'!$B$239="Да",MeanMinAge23+'19_Расчет_аналитики'!AO4608*SUMIF(ThresholdAge23,"&lt;"&amp;'19_Расчет_аналитики'!AO4608,WeightedRevAge23)-SUMIF(ThresholdAge23,"&lt;"&amp;'19_Расчет_аналитики'!AO4608,WeightedMinAge23),MAX(CapacityAge23*'01_Вводные'!$B$218*'19_Расчет_аналитики'!AO4608,MeanMinAge23))),0)</f>
        <v/>
      </c>
      <c r="AP4562">
        <f>IF('01_Вводные'!$B$234="Да",IF(OR(('19_Расчет_аналитики'!AP4478-'19_Расчет_аналитики'!AP4506)=0,23&lt;='01_Вводные'!$B$297),0,('19_Расчет_аналитики'!AP4478-'19_Расчет_аналитики'!AP4506)*IF('01_Вводные'!$B$239="Да",MeanMinAge23+'19_Расчет_аналитики'!AP4608*SUMIF(ThresholdAge23,"&lt;"&amp;'19_Расчет_аналитики'!AP4608,WeightedRevAge23)-SUMIF(ThresholdAge23,"&lt;"&amp;'19_Расчет_аналитики'!AP4608,WeightedMinAge23),MAX(CapacityAge23*'01_Вводные'!$B$218*'19_Расчет_аналитики'!AP4608,MeanMinAge23))),0)</f>
        <v/>
      </c>
      <c r="AQ4562">
        <f>IF('01_Вводные'!$B$234="Да",IF(OR(('19_Расчет_аналитики'!AQ4478-'19_Расчет_аналитики'!AQ4506)=0,23&lt;='01_Вводные'!$B$297),0,('19_Расчет_аналитики'!AQ4478-'19_Расчет_аналитики'!AQ4506)*IF('01_Вводные'!$B$239="Да",MeanMinAge23+'19_Расчет_аналитики'!AQ4608*SUMIF(ThresholdAge23,"&lt;"&amp;'19_Расчет_аналитики'!AQ4608,WeightedRevAge23)-SUMIF(ThresholdAge23,"&lt;"&amp;'19_Расчет_аналитики'!AQ4608,WeightedMinAge23),MAX(CapacityAge23*'01_Вводные'!$B$218*'19_Расчет_аналитики'!AQ4608,MeanMinAge23))),0)</f>
        <v/>
      </c>
      <c r="AR4562">
        <f>IF('01_Вводные'!$B$234="Да",IF(OR(('19_Расчет_аналитики'!AR4478-'19_Расчет_аналитики'!AR4506)=0,23&lt;='01_Вводные'!$B$297),0,('19_Расчет_аналитики'!AR4478-'19_Расчет_аналитики'!AR4506)*IF('01_Вводные'!$B$239="Да",MeanMinAge23+'19_Расчет_аналитики'!AR4608*SUMIF(ThresholdAge23,"&lt;"&amp;'19_Расчет_аналитики'!AR4608,WeightedRevAge23)-SUMIF(ThresholdAge23,"&lt;"&amp;'19_Расчет_аналитики'!AR4608,WeightedMinAge23),MAX(CapacityAge23*'01_Вводные'!$B$218*'19_Расчет_аналитики'!AR4608,MeanMinAge23))),0)</f>
        <v/>
      </c>
      <c r="AS4562">
        <f>IF('01_Вводные'!$B$234="Да",IF(OR(('19_Расчет_аналитики'!AS4478-'19_Расчет_аналитики'!AS4506)=0,23&lt;='01_Вводные'!$B$297),0,('19_Расчет_аналитики'!AS4478-'19_Расчет_аналитики'!AS4506)*IF('01_Вводные'!$B$239="Да",MeanMinAge23+'19_Расчет_аналитики'!AS4608*SUMIF(ThresholdAge23,"&lt;"&amp;'19_Расчет_аналитики'!AS4608,WeightedRevAge23)-SUMIF(ThresholdAge23,"&lt;"&amp;'19_Расчет_аналитики'!AS4608,WeightedMinAge23),MAX(CapacityAge23*'01_Вводные'!$B$218*'19_Расчет_аналитики'!AS4608,MeanMinAge23))),0)</f>
        <v/>
      </c>
      <c r="AT4562">
        <f>IF('01_Вводные'!$B$234="Да",IF(OR(('19_Расчет_аналитики'!AT4478-'19_Расчет_аналитики'!AT4506)=0,23&lt;='01_Вводные'!$B$297),0,('19_Расчет_аналитики'!AT4478-'19_Расчет_аналитики'!AT4506)*IF('01_Вводные'!$B$239="Да",MeanMinAge23+'19_Расчет_аналитики'!AT4608*SUMIF(ThresholdAge23,"&lt;"&amp;'19_Расчет_аналитики'!AT4608,WeightedRevAge23)-SUMIF(ThresholdAge23,"&lt;"&amp;'19_Расчет_аналитики'!AT4608,WeightedMinAge23),MAX(CapacityAge23*'01_Вводные'!$B$218*'19_Расчет_аналитики'!AT4608,MeanMinAge23))),0)</f>
        <v/>
      </c>
      <c r="AU4562">
        <f>IF('01_Вводные'!$B$234="Да",IF(OR(('19_Расчет_аналитики'!AU4478-'19_Расчет_аналитики'!AU4506)=0,23&lt;='01_Вводные'!$B$297),0,('19_Расчет_аналитики'!AU4478-'19_Расчет_аналитики'!AU4506)*IF('01_Вводные'!$B$239="Да",MeanMinAge23+'19_Расчет_аналитики'!AU4608*SUMIF(ThresholdAge23,"&lt;"&amp;'19_Расчет_аналитики'!AU4608,WeightedRevAge23)-SUMIF(ThresholdAge23,"&lt;"&amp;'19_Расчет_аналитики'!AU4608,WeightedMinAge23),MAX(CapacityAge23*'01_Вводные'!$B$218*'19_Расчет_аналитики'!AU4608,MeanMinAge23))),0)</f>
        <v/>
      </c>
      <c r="AV4562">
        <f>IF('01_Вводные'!$B$234="Да",IF(OR(('19_Расчет_аналитики'!AV4478-'19_Расчет_аналитики'!AV4506)=0,23&lt;='01_Вводные'!$B$297),0,('19_Расчет_аналитики'!AV4478-'19_Расчет_аналитики'!AV4506)*IF('01_Вводные'!$B$239="Да",MeanMinAge23+'19_Расчет_аналитики'!AV4608*SUMIF(ThresholdAge23,"&lt;"&amp;'19_Расчет_аналитики'!AV4608,WeightedRevAge23)-SUMIF(ThresholdAge23,"&lt;"&amp;'19_Расчет_аналитики'!AV4608,WeightedMinAge23),MAX(CapacityAge23*'01_Вводные'!$B$218*'19_Расчет_аналитики'!AV4608,MeanMinAge23))),0)</f>
        <v/>
      </c>
      <c r="AW4562">
        <f>IF('01_Вводные'!$B$234="Да",IF(OR(('19_Расчет_аналитики'!AW4478-'19_Расчет_аналитики'!AW4506)=0,23&lt;='01_Вводные'!$B$297),0,('19_Расчет_аналитики'!AW4478-'19_Расчет_аналитики'!AW4506)*IF('01_Вводные'!$B$239="Да",MeanMinAge23+'19_Расчет_аналитики'!AW4608*SUMIF(ThresholdAge23,"&lt;"&amp;'19_Расчет_аналитики'!AW4608,WeightedRevAge23)-SUMIF(ThresholdAge23,"&lt;"&amp;'19_Расчет_аналитики'!AW4608,WeightedMinAge23),MAX(CapacityAge23*'01_Вводные'!$B$218*'19_Расчет_аналитики'!AW4608,MeanMinAge23))),0)</f>
        <v/>
      </c>
      <c r="AX4562">
        <f>IF('01_Вводные'!$B$234="Да",IF(OR(('19_Расчет_аналитики'!AX4478-'19_Расчет_аналитики'!AX4506)=0,23&lt;='01_Вводные'!$B$297),0,('19_Расчет_аналитики'!AX4478-'19_Расчет_аналитики'!AX4506)*IF('01_Вводные'!$B$239="Да",MeanMinAge23+'19_Расчет_аналитики'!AX4608*SUMIF(ThresholdAge23,"&lt;"&amp;'19_Расчет_аналитики'!AX4608,WeightedRevAge23)-SUMIF(ThresholdAge23,"&lt;"&amp;'19_Расчет_аналитики'!AX4608,WeightedMinAge23),MAX(CapacityAge23*'01_Вводные'!$B$218*'19_Расчет_аналитики'!AX4608,MeanMinAge23))),0)</f>
        <v/>
      </c>
      <c r="AY4562">
        <f>IF('01_Вводные'!$B$234="Да",IF(OR(('19_Расчет_аналитики'!AY4478-'19_Расчет_аналитики'!AY4506)=0,23&lt;='01_Вводные'!$B$297),0,('19_Расчет_аналитики'!AY4478-'19_Расчет_аналитики'!AY4506)*IF('01_Вводные'!$B$239="Да",MeanMinAge23+'19_Расчет_аналитики'!AY4608*SUMIF(ThresholdAge23,"&lt;"&amp;'19_Расчет_аналитики'!AY4608,WeightedRevAge23)-SUMIF(ThresholdAge23,"&lt;"&amp;'19_Расчет_аналитики'!AY4608,WeightedMinAge23),MAX(CapacityAge23*'01_Вводные'!$B$218*'19_Расчет_аналитики'!AY4608,MeanMinAge23))),0)</f>
        <v/>
      </c>
      <c r="AZ4562">
        <f>IF('01_Вводные'!$B$234="Да",IF(OR(('19_Расчет_аналитики'!AZ4478-'19_Расчет_аналитики'!AZ4506)=0,23&lt;='01_Вводные'!$B$297),0,('19_Расчет_аналитики'!AZ4478-'19_Расчет_аналитики'!AZ4506)*IF('01_Вводные'!$B$239="Да",MeanMinAge23+'19_Расчет_аналитики'!AZ4608*SUMIF(ThresholdAge23,"&lt;"&amp;'19_Расчет_аналитики'!AZ4608,WeightedRevAge23)-SUMIF(ThresholdAge23,"&lt;"&amp;'19_Расчет_аналитики'!AZ4608,WeightedMinAge23),MAX(CapacityAge23*'01_Вводные'!$B$218*'19_Расчет_аналитики'!AZ4608,MeanMinAge23))),0)</f>
        <v/>
      </c>
      <c r="BA4562">
        <f>IF('01_Вводные'!$B$234="Да",IF(OR(('19_Расчет_аналитики'!BA4478-'19_Расчет_аналитики'!BA4506)=0,23&lt;='01_Вводные'!$B$297),0,('19_Расчет_аналитики'!BA4478-'19_Расчет_аналитики'!BA4506)*IF('01_Вводные'!$B$239="Да",MeanMinAge23+'19_Расчет_аналитики'!BA4608*SUMIF(ThresholdAge23,"&lt;"&amp;'19_Расчет_аналитики'!BA4608,WeightedRevAge23)-SUMIF(ThresholdAge23,"&lt;"&amp;'19_Расчет_аналитики'!BA4608,WeightedMinAge23),MAX(CapacityAge23*'01_Вводные'!$B$218*'19_Расчет_аналитики'!BA4608,MeanMinAge23))),0)</f>
        <v/>
      </c>
      <c r="BB4562">
        <f>IF('01_Вводные'!$B$234="Да",IF(OR(('19_Расчет_аналитики'!BB4478-'19_Расчет_аналитики'!BB4506)=0,23&lt;='01_Вводные'!$B$297),0,('19_Расчет_аналитики'!BB4478-'19_Расчет_аналитики'!BB4506)*IF('01_Вводные'!$B$239="Да",MeanMinAge23+'19_Расчет_аналитики'!BB4608*SUMIF(ThresholdAge23,"&lt;"&amp;'19_Расчет_аналитики'!BB4608,WeightedRevAge23)-SUMIF(ThresholdAge23,"&lt;"&amp;'19_Расчет_аналитики'!BB4608,WeightedMinAge23),MAX(CapacityAge23*'01_Вводные'!$B$218*'19_Расчет_аналитики'!BB4608,MeanMinAge23))),0)</f>
        <v/>
      </c>
      <c r="BC4562">
        <f>IF('01_Вводные'!$B$234="Да",IF(OR(('19_Расчет_аналитики'!BC4478-'19_Расчет_аналитики'!BC4506)=0,23&lt;='01_Вводные'!$B$297),0,('19_Расчет_аналитики'!BC4478-'19_Расчет_аналитики'!BC4506)*IF('01_Вводные'!$B$239="Да",MeanMinAge23+'19_Расчет_аналитики'!BC4608*SUMIF(ThresholdAge23,"&lt;"&amp;'19_Расчет_аналитики'!BC4608,WeightedRevAge23)-SUMIF(ThresholdAge23,"&lt;"&amp;'19_Расчет_аналитики'!BC4608,WeightedMinAge23),MAX(CapacityAge23*'01_Вводные'!$B$218*'19_Расчет_аналитики'!BC4608,MeanMinAge23))),0)</f>
        <v/>
      </c>
      <c r="BD4562">
        <f>IF('01_Вводные'!$B$234="Да",IF(OR(('19_Расчет_аналитики'!BD4478-'19_Расчет_аналитики'!BD4506)=0,23&lt;='01_Вводные'!$B$297),0,('19_Расчет_аналитики'!BD4478-'19_Расчет_аналитики'!BD4506)*IF('01_Вводные'!$B$239="Да",MeanMinAge23+'19_Расчет_аналитики'!BD4608*SUMIF(ThresholdAge23,"&lt;"&amp;'19_Расчет_аналитики'!BD4608,WeightedRevAge23)-SUMIF(ThresholdAge23,"&lt;"&amp;'19_Расчет_аналитики'!BD4608,WeightedMinAge23),MAX(CapacityAge23*'01_Вводные'!$B$218*'19_Расчет_аналитики'!BD4608,MeanMinAge23))),0)</f>
        <v/>
      </c>
      <c r="BE4562">
        <f>IF('01_Вводные'!$B$234="Да",IF(OR(('19_Расчет_аналитики'!BE4478-'19_Расчет_аналитики'!BE4506)=0,23&lt;='01_Вводные'!$B$297),0,('19_Расчет_аналитики'!BE4478-'19_Расчет_аналитики'!BE4506)*IF('01_Вводные'!$B$239="Да",MeanMinAge23+'19_Расчет_аналитики'!BE4608*SUMIF(ThresholdAge23,"&lt;"&amp;'19_Расчет_аналитики'!BE4608,WeightedRevAge23)-SUMIF(ThresholdAge23,"&lt;"&amp;'19_Расчет_аналитики'!BE4608,WeightedMinAge23),MAX(CapacityAge23*'01_Вводные'!$B$218*'19_Расчет_аналитики'!BE4608,MeanMinAge23))),0)</f>
        <v/>
      </c>
      <c r="BF4562">
        <f>IF('01_Вводные'!$B$234="Да",IF(OR(('19_Расчет_аналитики'!BF4478-'19_Расчет_аналитики'!BF4506)=0,23&lt;='01_Вводные'!$B$297),0,('19_Расчет_аналитики'!BF4478-'19_Расчет_аналитики'!BF4506)*IF('01_Вводные'!$B$239="Да",MeanMinAge23+'19_Расчет_аналитики'!BF4608*SUMIF(ThresholdAge23,"&lt;"&amp;'19_Расчет_аналитики'!BF4608,WeightedRevAge23)-SUMIF(ThresholdAge23,"&lt;"&amp;'19_Расчет_аналитики'!BF4608,WeightedMinAge23),MAX(CapacityAge23*'01_Вводные'!$B$218*'19_Расчет_аналитики'!BF4608,MeanMinAge23))),0)</f>
        <v/>
      </c>
      <c r="BG4562">
        <f>IF('01_Вводные'!$B$234="Да",IF(OR(('19_Расчет_аналитики'!BG4478-'19_Расчет_аналитики'!BG4506)=0,23&lt;='01_Вводные'!$B$297),0,('19_Расчет_аналитики'!BG4478-'19_Расчет_аналитики'!BG4506)*IF('01_Вводные'!$B$239="Да",MeanMinAge23+'19_Расчет_аналитики'!BG4608*SUMIF(ThresholdAge23,"&lt;"&amp;'19_Расчет_аналитики'!BG4608,WeightedRevAge23)-SUMIF(ThresholdAge23,"&lt;"&amp;'19_Расчет_аналитики'!BG4608,WeightedMinAge23),MAX(CapacityAge23*'01_Вводные'!$B$218*'19_Расчет_аналитики'!BG4608,MeanMinAge23))),0)</f>
        <v/>
      </c>
      <c r="BH4562">
        <f>IF('01_Вводные'!$B$234="Да",IF(OR(('19_Расчет_аналитики'!BH4478-'19_Расчет_аналитики'!BH4506)=0,23&lt;='01_Вводные'!$B$297),0,('19_Расчет_аналитики'!BH4478-'19_Расчет_аналитики'!BH4506)*IF('01_Вводные'!$B$239="Да",MeanMinAge23+'19_Расчет_аналитики'!BH4608*SUMIF(ThresholdAge23,"&lt;"&amp;'19_Расчет_аналитики'!BH4608,WeightedRevAge23)-SUMIF(ThresholdAge23,"&lt;"&amp;'19_Расчет_аналитики'!BH4608,WeightedMinAge23),MAX(CapacityAge23*'01_Вводные'!$B$218*'19_Расчет_аналитики'!BH4608,MeanMinAge23))),0)</f>
        <v/>
      </c>
      <c r="BI4562">
        <f>IF('01_Вводные'!$B$234="Да",IF(OR(('19_Расчет_аналитики'!BI4478-'19_Расчет_аналитики'!BI4506)=0,23&lt;='01_Вводные'!$B$297),0,('19_Расчет_аналитики'!BI4478-'19_Расчет_аналитики'!BI4506)*IF('01_Вводные'!$B$239="Да",MeanMinAge23+'19_Расчет_аналитики'!BI4608*SUMIF(ThresholdAge23,"&lt;"&amp;'19_Расчет_аналитики'!BI4608,WeightedRevAge23)-SUMIF(ThresholdAge23,"&lt;"&amp;'19_Расчет_аналитики'!BI4608,WeightedMinAge23),MAX(CapacityAge23*'01_Вводные'!$B$218*'19_Расчет_аналитики'!BI4608,MeanMinAge23))),0)</f>
        <v/>
      </c>
      <c r="BJ4562">
        <f>IF('01_Вводные'!$B$234="Да",IF(OR(('19_Расчет_аналитики'!BJ4478-'19_Расчет_аналитики'!BJ4506)=0,23&lt;='01_Вводные'!$B$297),0,('19_Расчет_аналитики'!BJ4478-'19_Расчет_аналитики'!BJ4506)*IF('01_Вводные'!$B$239="Да",MeanMinAge23+'19_Расчет_аналитики'!BJ4608*SUMIF(ThresholdAge23,"&lt;"&amp;'19_Расчет_аналитики'!BJ4608,WeightedRevAge23)-SUMIF(ThresholdAge23,"&lt;"&amp;'19_Расчет_аналитики'!BJ4608,WeightedMinAge23),MAX(CapacityAge23*'01_Вводные'!$B$218*'19_Расчет_аналитики'!BJ4608,MeanMinAge23))),0)</f>
        <v/>
      </c>
      <c r="BK4562">
        <f>IF('01_Вводные'!$B$234="Да",IF(OR(('19_Расчет_аналитики'!BK4478-'19_Расчет_аналитики'!BK4506)=0,23&lt;='01_Вводные'!$B$297),0,('19_Расчет_аналитики'!BK4478-'19_Расчет_аналитики'!BK4506)*IF('01_Вводные'!$B$239="Да",MeanMinAge23+'19_Расчет_аналитики'!BK4608*SUMIF(ThresholdAge23,"&lt;"&amp;'19_Расчет_аналитики'!BK4608,WeightedRevAge23)-SUMIF(ThresholdAge23,"&lt;"&amp;'19_Расчет_аналитики'!BK4608,WeightedMinAge23),MAX(CapacityAge23*'01_Вводные'!$B$218*'19_Расчет_аналитики'!BK4608,MeanMinAge23))),0)</f>
        <v/>
      </c>
      <c r="BL4562">
        <f>IF('01_Вводные'!$B$234="Да",IF(OR(('19_Расчет_аналитики'!BL4478-'19_Расчет_аналитики'!BL4506)=0,23&lt;='01_Вводные'!$B$297),0,('19_Расчет_аналитики'!BL4478-'19_Расчет_аналитики'!BL4506)*IF('01_Вводные'!$B$239="Да",MeanMinAge23+'19_Расчет_аналитики'!BL4608*SUMIF(ThresholdAge23,"&lt;"&amp;'19_Расчет_аналитики'!BL4608,WeightedRevAge23)-SUMIF(ThresholdAge23,"&lt;"&amp;'19_Расчет_аналитики'!BL4608,WeightedMinAge23),MAX(CapacityAge23*'01_Вводные'!$B$218*'19_Расчет_аналитики'!BL4608,MeanMinAge23))),0)</f>
        <v/>
      </c>
      <c r="BM4562">
        <f>IF('01_Вводные'!$B$234="Да",IF(OR(('19_Расчет_аналитики'!BM4478-'19_Расчет_аналитики'!BM4506)=0,23&lt;='01_Вводные'!$B$297),0,('19_Расчет_аналитики'!BM4478-'19_Расчет_аналитики'!BM4506)*IF('01_Вводные'!$B$239="Да",MeanMinAge23+'19_Расчет_аналитики'!BM4608*SUMIF(ThresholdAge23,"&lt;"&amp;'19_Расчет_аналитики'!BM4608,WeightedRevAge23)-SUMIF(ThresholdAge23,"&lt;"&amp;'19_Расчет_аналитики'!BM4608,WeightedMinAge23),MAX(CapacityAge23*'01_Вводные'!$B$218*'19_Расчет_аналитики'!BM4608,MeanMinAge23))),0)</f>
        <v/>
      </c>
      <c r="BN4562">
        <f>IF('01_Вводные'!$B$234="Да",IF(OR(('19_Расчет_аналитики'!BN4478-'19_Расчет_аналитики'!BN4506)=0,23&lt;='01_Вводные'!$B$297),0,('19_Расчет_аналитики'!BN4478-'19_Расчет_аналитики'!BN4506)*IF('01_Вводные'!$B$239="Да",MeanMinAge23+'19_Расчет_аналитики'!BN4608*SUMIF(ThresholdAge23,"&lt;"&amp;'19_Расчет_аналитики'!BN4608,WeightedRevAge23)-SUMIF(ThresholdAge23,"&lt;"&amp;'19_Расчет_аналитики'!BN4608,WeightedMinAge23),MAX(CapacityAge23*'01_Вводные'!$B$218*'19_Расчет_аналитики'!BN4608,MeanMinAge23))),0)</f>
        <v/>
      </c>
      <c r="BO4562">
        <f>IF('01_Вводные'!$B$234="Да",IF(OR(('19_Расчет_аналитики'!BO4478-'19_Расчет_аналитики'!BO4506)=0,23&lt;='01_Вводные'!$B$297),0,('19_Расчет_аналитики'!BO4478-'19_Расчет_аналитики'!BO4506)*IF('01_Вводные'!$B$239="Да",MeanMinAge23+'19_Расчет_аналитики'!BO4608*SUMIF(ThresholdAge23,"&lt;"&amp;'19_Расчет_аналитики'!BO4608,WeightedRevAge23)-SUMIF(ThresholdAge23,"&lt;"&amp;'19_Расчет_аналитики'!BO4608,WeightedMinAge23),MAX(CapacityAge23*'01_Вводные'!$B$218*'19_Расчет_аналитики'!BO4608,MeanMinAge23))),0)</f>
        <v/>
      </c>
    </row>
    <row r="4563">
      <c r="B4563">
        <f>IF('01_Вводные'!$B$234="Да",IF(OR(('06_Сеть_и_дети'!B76-'06_Сеть_и_дети'!B104)=0,24&lt;='01_Вводные'!$B$297),0,('06_Сеть_и_дети'!B76-'06_Сеть_и_дети'!B104)*IF('01_Вводные'!$B$239="Да",MeanMinAge24+'19_Расчет_аналитики'!B4608*SUMIF(ThresholdAge24,"&lt;"&amp;'19_Расчет_аналитики'!B4608,WeightedRevAge24)-SUMIF(ThresholdAge24,"&lt;"&amp;'19_Расчет_аналитики'!B4608,WeightedMinAge24),MAX(CapacityAge24*'01_Вводные'!$B$218*'19_Расчет_аналитики'!B4608,MeanMinAge24))),0)</f>
        <v/>
      </c>
      <c r="C4563">
        <f>IF('01_Вводные'!$B$234="Да",IF(OR(('06_Сеть_и_дети'!C76-'06_Сеть_и_дети'!C104)=0,24&lt;='01_Вводные'!$B$297),0,('06_Сеть_и_дети'!C76-'06_Сеть_и_дети'!C104)*IF('01_Вводные'!$B$239="Да",MeanMinAge24+'19_Расчет_аналитики'!C4608*SUMIF(ThresholdAge24,"&lt;"&amp;'19_Расчет_аналитики'!C4608,WeightedRevAge24)-SUMIF(ThresholdAge24,"&lt;"&amp;'19_Расчет_аналитики'!C4608,WeightedMinAge24),MAX(CapacityAge24*'01_Вводные'!$B$218*'19_Расчет_аналитики'!C4608,MeanMinAge24))),0)</f>
        <v/>
      </c>
      <c r="D4563">
        <f>IF('01_Вводные'!$B$234="Да",IF(OR(('06_Сеть_и_дети'!D76-'06_Сеть_и_дети'!D104)=0,24&lt;='01_Вводные'!$B$297),0,('06_Сеть_и_дети'!D76-'06_Сеть_и_дети'!D104)*IF('01_Вводные'!$B$239="Да",MeanMinAge24+'19_Расчет_аналитики'!D4608*SUMIF(ThresholdAge24,"&lt;"&amp;'19_Расчет_аналитики'!D4608,WeightedRevAge24)-SUMIF(ThresholdAge24,"&lt;"&amp;'19_Расчет_аналитики'!D4608,WeightedMinAge24),MAX(CapacityAge24*'01_Вводные'!$B$218*'19_Расчет_аналитики'!D4608,MeanMinAge24))),0)</f>
        <v/>
      </c>
      <c r="E4563">
        <f>IF('01_Вводные'!$B$234="Да",IF(OR(('06_Сеть_и_дети'!E76-'06_Сеть_и_дети'!E104)=0,24&lt;='01_Вводные'!$B$297),0,('06_Сеть_и_дети'!E76-'06_Сеть_и_дети'!E104)*IF('01_Вводные'!$B$239="Да",MeanMinAge24+'19_Расчет_аналитики'!E4608*SUMIF(ThresholdAge24,"&lt;"&amp;'19_Расчет_аналитики'!E4608,WeightedRevAge24)-SUMIF(ThresholdAge24,"&lt;"&amp;'19_Расчет_аналитики'!E4608,WeightedMinAge24),MAX(CapacityAge24*'01_Вводные'!$B$218*'19_Расчет_аналитики'!E4608,MeanMinAge24))),0)</f>
        <v/>
      </c>
      <c r="F4563">
        <f>IF('01_Вводные'!$B$234="Да",IF(OR(('06_Сеть_и_дети'!F76-'06_Сеть_и_дети'!F104)=0,24&lt;='01_Вводные'!$B$297),0,('06_Сеть_и_дети'!F76-'06_Сеть_и_дети'!F104)*IF('01_Вводные'!$B$239="Да",MeanMinAge24+'19_Расчет_аналитики'!F4608*SUMIF(ThresholdAge24,"&lt;"&amp;'19_Расчет_аналитики'!F4608,WeightedRevAge24)-SUMIF(ThresholdAge24,"&lt;"&amp;'19_Расчет_аналитики'!F4608,WeightedMinAge24),MAX(CapacityAge24*'01_Вводные'!$B$218*'19_Расчет_аналитики'!F4608,MeanMinAge24))),0)</f>
        <v/>
      </c>
      <c r="G4563">
        <f>IF('01_Вводные'!$B$234="Да",IF(OR(('06_Сеть_и_дети'!G76-'06_Сеть_и_дети'!G104)=0,24&lt;='01_Вводные'!$B$297),0,('06_Сеть_и_дети'!G76-'06_Сеть_и_дети'!G104)*IF('01_Вводные'!$B$239="Да",MeanMinAge24+'19_Расчет_аналитики'!G4608*SUMIF(ThresholdAge24,"&lt;"&amp;'19_Расчет_аналитики'!G4608,WeightedRevAge24)-SUMIF(ThresholdAge24,"&lt;"&amp;'19_Расчет_аналитики'!G4608,WeightedMinAge24),MAX(CapacityAge24*'01_Вводные'!$B$218*'19_Расчет_аналитики'!G4608,MeanMinAge24))),0)</f>
        <v/>
      </c>
      <c r="H4563">
        <f>IF('01_Вводные'!$B$234="Да",IF(OR(('06_Сеть_и_дети'!H76-'06_Сеть_и_дети'!H104)=0,24&lt;='01_Вводные'!$B$297),0,('06_Сеть_и_дети'!H76-'06_Сеть_и_дети'!H104)*IF('01_Вводные'!$B$239="Да",MeanMinAge24+'19_Расчет_аналитики'!H4608*SUMIF(ThresholdAge24,"&lt;"&amp;'19_Расчет_аналитики'!H4608,WeightedRevAge24)-SUMIF(ThresholdAge24,"&lt;"&amp;'19_Расчет_аналитики'!H4608,WeightedMinAge24),MAX(CapacityAge24*'01_Вводные'!$B$218*'19_Расчет_аналитики'!H4608,MeanMinAge24))),0)</f>
        <v/>
      </c>
      <c r="I4563">
        <f>IF('01_Вводные'!$B$234="Да",IF(OR(('06_Сеть_и_дети'!I76-'06_Сеть_и_дети'!I104)=0,24&lt;='01_Вводные'!$B$297),0,('06_Сеть_и_дети'!I76-'06_Сеть_и_дети'!I104)*IF('01_Вводные'!$B$239="Да",MeanMinAge24+'19_Расчет_аналитики'!I4608*SUMIF(ThresholdAge24,"&lt;"&amp;'19_Расчет_аналитики'!I4608,WeightedRevAge24)-SUMIF(ThresholdAge24,"&lt;"&amp;'19_Расчет_аналитики'!I4608,WeightedMinAge24),MAX(CapacityAge24*'01_Вводные'!$B$218*'19_Расчет_аналитики'!I4608,MeanMinAge24))),0)</f>
        <v/>
      </c>
      <c r="J4563">
        <f>IF('01_Вводные'!$B$234="Да",IF(OR(('06_Сеть_и_дети'!J76-'06_Сеть_и_дети'!J104)=0,24&lt;='01_Вводные'!$B$297),0,('06_Сеть_и_дети'!J76-'06_Сеть_и_дети'!J104)*IF('01_Вводные'!$B$239="Да",MeanMinAge24+'19_Расчет_аналитики'!J4608*SUMIF(ThresholdAge24,"&lt;"&amp;'19_Расчет_аналитики'!J4608,WeightedRevAge24)-SUMIF(ThresholdAge24,"&lt;"&amp;'19_Расчет_аналитики'!J4608,WeightedMinAge24),MAX(CapacityAge24*'01_Вводные'!$B$218*'19_Расчет_аналитики'!J4608,MeanMinAge24))),0)</f>
        <v/>
      </c>
      <c r="K4563">
        <f>IF('01_Вводные'!$B$234="Да",IF(OR(('06_Сеть_и_дети'!K76-'06_Сеть_и_дети'!K104)=0,24&lt;='01_Вводные'!$B$297),0,('06_Сеть_и_дети'!K76-'06_Сеть_и_дети'!K104)*IF('01_Вводные'!$B$239="Да",MeanMinAge24+'19_Расчет_аналитики'!K4608*SUMIF(ThresholdAge24,"&lt;"&amp;'19_Расчет_аналитики'!K4608,WeightedRevAge24)-SUMIF(ThresholdAge24,"&lt;"&amp;'19_Расчет_аналитики'!K4608,WeightedMinAge24),MAX(CapacityAge24*'01_Вводные'!$B$218*'19_Расчет_аналитики'!K4608,MeanMinAge24))),0)</f>
        <v/>
      </c>
      <c r="L4563">
        <f>IF('01_Вводные'!$B$234="Да",IF(OR(('06_Сеть_и_дети'!L76-'06_Сеть_и_дети'!L104)=0,24&lt;='01_Вводные'!$B$297),0,('06_Сеть_и_дети'!L76-'06_Сеть_и_дети'!L104)*IF('01_Вводные'!$B$239="Да",MeanMinAge24+'19_Расчет_аналитики'!L4608*SUMIF(ThresholdAge24,"&lt;"&amp;'19_Расчет_аналитики'!L4608,WeightedRevAge24)-SUMIF(ThresholdAge24,"&lt;"&amp;'19_Расчет_аналитики'!L4608,WeightedMinAge24),MAX(CapacityAge24*'01_Вводные'!$B$218*'19_Расчет_аналитики'!L4608,MeanMinAge24))),0)</f>
        <v/>
      </c>
      <c r="M4563">
        <f>IF('01_Вводные'!$B$234="Да",IF(OR(('06_Сеть_и_дети'!M76-'06_Сеть_и_дети'!M104)=0,24&lt;='01_Вводные'!$B$297),0,('06_Сеть_и_дети'!M76-'06_Сеть_и_дети'!M104)*IF('01_Вводные'!$B$239="Да",MeanMinAge24+'19_Расчет_аналитики'!M4608*SUMIF(ThresholdAge24,"&lt;"&amp;'19_Расчет_аналитики'!M4608,WeightedRevAge24)-SUMIF(ThresholdAge24,"&lt;"&amp;'19_Расчет_аналитики'!M4608,WeightedMinAge24),MAX(CapacityAge24*'01_Вводные'!$B$218*'19_Расчет_аналитики'!M4608,MeanMinAge24))),0)</f>
        <v/>
      </c>
      <c r="N4563">
        <f>IF('01_Вводные'!$B$234="Да",IF(OR(('06_Сеть_и_дети'!N76-'06_Сеть_и_дети'!N104)=0,24&lt;='01_Вводные'!$B$297),0,('06_Сеть_и_дети'!N76-'06_Сеть_и_дети'!N104)*IF('01_Вводные'!$B$239="Да",MeanMinAge24+'19_Расчет_аналитики'!N4608*SUMIF(ThresholdAge24,"&lt;"&amp;'19_Расчет_аналитики'!N4608,WeightedRevAge24)-SUMIF(ThresholdAge24,"&lt;"&amp;'19_Расчет_аналитики'!N4608,WeightedMinAge24),MAX(CapacityAge24*'01_Вводные'!$B$218*'19_Расчет_аналитики'!N4608,MeanMinAge24))),0)</f>
        <v/>
      </c>
      <c r="O4563">
        <f>IF('01_Вводные'!$B$234="Да",IF(OR(('06_Сеть_и_дети'!O76-'06_Сеть_и_дети'!O104)=0,24&lt;='01_Вводные'!$B$297),0,('06_Сеть_и_дети'!O76-'06_Сеть_и_дети'!O104)*IF('01_Вводные'!$B$239="Да",MeanMinAge24+'19_Расчет_аналитики'!O4608*SUMIF(ThresholdAge24,"&lt;"&amp;'19_Расчет_аналитики'!O4608,WeightedRevAge24)-SUMIF(ThresholdAge24,"&lt;"&amp;'19_Расчет_аналитики'!O4608,WeightedMinAge24),MAX(CapacityAge24*'01_Вводные'!$B$218*'19_Расчет_аналитики'!O4608,MeanMinAge24))),0)</f>
        <v/>
      </c>
      <c r="P4563">
        <f>IF('01_Вводные'!$B$234="Да",IF(OR(('06_Сеть_и_дети'!P76-'06_Сеть_и_дети'!P104)=0,24&lt;='01_Вводные'!$B$297),0,('06_Сеть_и_дети'!P76-'06_Сеть_и_дети'!P104)*IF('01_Вводные'!$B$239="Да",MeanMinAge24+'19_Расчет_аналитики'!P4608*SUMIF(ThresholdAge24,"&lt;"&amp;'19_Расчет_аналитики'!P4608,WeightedRevAge24)-SUMIF(ThresholdAge24,"&lt;"&amp;'19_Расчет_аналитики'!P4608,WeightedMinAge24),MAX(CapacityAge24*'01_Вводные'!$B$218*'19_Расчет_аналитики'!P4608,MeanMinAge24))),0)</f>
        <v/>
      </c>
      <c r="Q4563">
        <f>IF('01_Вводные'!$B$234="Да",IF(OR(('06_Сеть_и_дети'!Q76-'06_Сеть_и_дети'!Q104)=0,24&lt;='01_Вводные'!$B$297),0,('06_Сеть_и_дети'!Q76-'06_Сеть_и_дети'!Q104)*IF('01_Вводные'!$B$239="Да",MeanMinAge24+'19_Расчет_аналитики'!Q4608*SUMIF(ThresholdAge24,"&lt;"&amp;'19_Расчет_аналитики'!Q4608,WeightedRevAge24)-SUMIF(ThresholdAge24,"&lt;"&amp;'19_Расчет_аналитики'!Q4608,WeightedMinAge24),MAX(CapacityAge24*'01_Вводные'!$B$218*'19_Расчет_аналитики'!Q4608,MeanMinAge24))),0)</f>
        <v/>
      </c>
      <c r="R4563">
        <f>IF('01_Вводные'!$B$234="Да",IF(OR(('06_Сеть_и_дети'!R76-'06_Сеть_и_дети'!R104)=0,24&lt;='01_Вводные'!$B$297),0,('06_Сеть_и_дети'!R76-'06_Сеть_и_дети'!R104)*IF('01_Вводные'!$B$239="Да",MeanMinAge24+'19_Расчет_аналитики'!R4608*SUMIF(ThresholdAge24,"&lt;"&amp;'19_Расчет_аналитики'!R4608,WeightedRevAge24)-SUMIF(ThresholdAge24,"&lt;"&amp;'19_Расчет_аналитики'!R4608,WeightedMinAge24),MAX(CapacityAge24*'01_Вводные'!$B$218*'19_Расчет_аналитики'!R4608,MeanMinAge24))),0)</f>
        <v/>
      </c>
      <c r="S4563">
        <f>IF('01_Вводные'!$B$234="Да",IF(OR(('06_Сеть_и_дети'!S76-'06_Сеть_и_дети'!S104)=0,24&lt;='01_Вводные'!$B$297),0,('06_Сеть_и_дети'!S76-'06_Сеть_и_дети'!S104)*IF('01_Вводные'!$B$239="Да",MeanMinAge24+'19_Расчет_аналитики'!S4608*SUMIF(ThresholdAge24,"&lt;"&amp;'19_Расчет_аналитики'!S4608,WeightedRevAge24)-SUMIF(ThresholdAge24,"&lt;"&amp;'19_Расчет_аналитики'!S4608,WeightedMinAge24),MAX(CapacityAge24*'01_Вводные'!$B$218*'19_Расчет_аналитики'!S4608,MeanMinAge24))),0)</f>
        <v/>
      </c>
      <c r="T4563">
        <f>IF('01_Вводные'!$B$234="Да",IF(OR(('06_Сеть_и_дети'!T76-'06_Сеть_и_дети'!T104)=0,24&lt;='01_Вводные'!$B$297),0,('06_Сеть_и_дети'!T76-'06_Сеть_и_дети'!T104)*IF('01_Вводные'!$B$239="Да",MeanMinAge24+'19_Расчет_аналитики'!T4608*SUMIF(ThresholdAge24,"&lt;"&amp;'19_Расчет_аналитики'!T4608,WeightedRevAge24)-SUMIF(ThresholdAge24,"&lt;"&amp;'19_Расчет_аналитики'!T4608,WeightedMinAge24),MAX(CapacityAge24*'01_Вводные'!$B$218*'19_Расчет_аналитики'!T4608,MeanMinAge24))),0)</f>
        <v/>
      </c>
      <c r="U4563">
        <f>IF('01_Вводные'!$B$234="Да",IF(OR(('06_Сеть_и_дети'!U76-'06_Сеть_и_дети'!U104)=0,24&lt;='01_Вводные'!$B$297),0,('06_Сеть_и_дети'!U76-'06_Сеть_и_дети'!U104)*IF('01_Вводные'!$B$239="Да",MeanMinAge24+'19_Расчет_аналитики'!U4608*SUMIF(ThresholdAge24,"&lt;"&amp;'19_Расчет_аналитики'!U4608,WeightedRevAge24)-SUMIF(ThresholdAge24,"&lt;"&amp;'19_Расчет_аналитики'!U4608,WeightedMinAge24),MAX(CapacityAge24*'01_Вводные'!$B$218*'19_Расчет_аналитики'!U4608,MeanMinAge24))),0)</f>
        <v/>
      </c>
      <c r="V4563">
        <f>IF('01_Вводные'!$B$234="Да",IF(OR(('06_Сеть_и_дети'!V76-'06_Сеть_и_дети'!V104)=0,24&lt;='01_Вводные'!$B$297),0,('06_Сеть_и_дети'!V76-'06_Сеть_и_дети'!V104)*IF('01_Вводные'!$B$239="Да",MeanMinAge24+'19_Расчет_аналитики'!V4608*SUMIF(ThresholdAge24,"&lt;"&amp;'19_Расчет_аналитики'!V4608,WeightedRevAge24)-SUMIF(ThresholdAge24,"&lt;"&amp;'19_Расчет_аналитики'!V4608,WeightedMinAge24),MAX(CapacityAge24*'01_Вводные'!$B$218*'19_Расчет_аналитики'!V4608,MeanMinAge24))),0)</f>
        <v/>
      </c>
      <c r="W4563">
        <f>IF('01_Вводные'!$B$234="Да",IF(OR(('06_Сеть_и_дети'!W76-'06_Сеть_и_дети'!W104)=0,24&lt;='01_Вводные'!$B$297),0,('06_Сеть_и_дети'!W76-'06_Сеть_и_дети'!W104)*IF('01_Вводные'!$B$239="Да",MeanMinAge24+'19_Расчет_аналитики'!W4608*SUMIF(ThresholdAge24,"&lt;"&amp;'19_Расчет_аналитики'!W4608,WeightedRevAge24)-SUMIF(ThresholdAge24,"&lt;"&amp;'19_Расчет_аналитики'!W4608,WeightedMinAge24),MAX(CapacityAge24*'01_Вводные'!$B$218*'19_Расчет_аналитики'!W4608,MeanMinAge24))),0)</f>
        <v/>
      </c>
      <c r="X4563">
        <f>IF('01_Вводные'!$B$234="Да",IF(OR(('06_Сеть_и_дети'!X76-'06_Сеть_и_дети'!X104)=0,24&lt;='01_Вводные'!$B$297),0,('06_Сеть_и_дети'!X76-'06_Сеть_и_дети'!X104)*IF('01_Вводные'!$B$239="Да",MeanMinAge24+'19_Расчет_аналитики'!X4608*SUMIF(ThresholdAge24,"&lt;"&amp;'19_Расчет_аналитики'!X4608,WeightedRevAge24)-SUMIF(ThresholdAge24,"&lt;"&amp;'19_Расчет_аналитики'!X4608,WeightedMinAge24),MAX(CapacityAge24*'01_Вводные'!$B$218*'19_Расчет_аналитики'!X4608,MeanMinAge24))),0)</f>
        <v/>
      </c>
      <c r="Y4563">
        <f>IF('01_Вводные'!$B$234="Да",IF(OR(('19_Расчет_аналитики'!Y4479-'19_Расчет_аналитики'!Y4507)=0,24&lt;='01_Вводные'!$B$297),0,('19_Расчет_аналитики'!Y4479-'19_Расчет_аналитики'!Y4507)*IF('01_Вводные'!$B$239="Да",MeanMinAge24+'19_Расчет_аналитики'!Y4608*SUMIF(ThresholdAge24,"&lt;"&amp;'19_Расчет_аналитики'!Y4608,WeightedRevAge24)-SUMIF(ThresholdAge24,"&lt;"&amp;'19_Расчет_аналитики'!Y4608,WeightedMinAge24),MAX(CapacityAge24*'01_Вводные'!$B$218*'19_Расчет_аналитики'!Y4608,MeanMinAge24))),0)</f>
        <v/>
      </c>
      <c r="Z4563">
        <f>IF('01_Вводные'!$B$234="Да",IF(OR(('19_Расчет_аналитики'!Z4479-'19_Расчет_аналитики'!Z4507)=0,24&lt;='01_Вводные'!$B$297),0,('19_Расчет_аналитики'!Z4479-'19_Расчет_аналитики'!Z4507)*IF('01_Вводные'!$B$239="Да",MeanMinAge24+'19_Расчет_аналитики'!Z4608*SUMIF(ThresholdAge24,"&lt;"&amp;'19_Расчет_аналитики'!Z4608,WeightedRevAge24)-SUMIF(ThresholdAge24,"&lt;"&amp;'19_Расчет_аналитики'!Z4608,WeightedMinAge24),MAX(CapacityAge24*'01_Вводные'!$B$218*'19_Расчет_аналитики'!Z4608,MeanMinAge24))),0)</f>
        <v/>
      </c>
      <c r="AA4563">
        <f>IF('01_Вводные'!$B$234="Да",IF(OR(('19_Расчет_аналитики'!AA4479-'19_Расчет_аналитики'!AA4507)=0,24&lt;='01_Вводные'!$B$297),0,('19_Расчет_аналитики'!AA4479-'19_Расчет_аналитики'!AA4507)*IF('01_Вводные'!$B$239="Да",MeanMinAge24+'19_Расчет_аналитики'!AA4608*SUMIF(ThresholdAge24,"&lt;"&amp;'19_Расчет_аналитики'!AA4608,WeightedRevAge24)-SUMIF(ThresholdAge24,"&lt;"&amp;'19_Расчет_аналитики'!AA4608,WeightedMinAge24),MAX(CapacityAge24*'01_Вводные'!$B$218*'19_Расчет_аналитики'!AA4608,MeanMinAge24))),0)</f>
        <v/>
      </c>
      <c r="AB4563">
        <f>IF('01_Вводные'!$B$234="Да",IF(OR(('19_Расчет_аналитики'!AB4479-'19_Расчет_аналитики'!AB4507)=0,24&lt;='01_Вводные'!$B$297),0,('19_Расчет_аналитики'!AB4479-'19_Расчет_аналитики'!AB4507)*IF('01_Вводные'!$B$239="Да",MeanMinAge24+'19_Расчет_аналитики'!AB4608*SUMIF(ThresholdAge24,"&lt;"&amp;'19_Расчет_аналитики'!AB4608,WeightedRevAge24)-SUMIF(ThresholdAge24,"&lt;"&amp;'19_Расчет_аналитики'!AB4608,WeightedMinAge24),MAX(CapacityAge24*'01_Вводные'!$B$218*'19_Расчет_аналитики'!AB4608,MeanMinAge24))),0)</f>
        <v/>
      </c>
      <c r="AC4563">
        <f>IF('01_Вводные'!$B$234="Да",IF(OR(('19_Расчет_аналитики'!AC4479-'19_Расчет_аналитики'!AC4507)=0,24&lt;='01_Вводные'!$B$297),0,('19_Расчет_аналитики'!AC4479-'19_Расчет_аналитики'!AC4507)*IF('01_Вводные'!$B$239="Да",MeanMinAge24+'19_Расчет_аналитики'!AC4608*SUMIF(ThresholdAge24,"&lt;"&amp;'19_Расчет_аналитики'!AC4608,WeightedRevAge24)-SUMIF(ThresholdAge24,"&lt;"&amp;'19_Расчет_аналитики'!AC4608,WeightedMinAge24),MAX(CapacityAge24*'01_Вводные'!$B$218*'19_Расчет_аналитики'!AC4608,MeanMinAge24))),0)</f>
        <v/>
      </c>
      <c r="AD4563">
        <f>IF('01_Вводные'!$B$234="Да",IF(OR(('19_Расчет_аналитики'!AD4479-'19_Расчет_аналитики'!AD4507)=0,24&lt;='01_Вводные'!$B$297),0,('19_Расчет_аналитики'!AD4479-'19_Расчет_аналитики'!AD4507)*IF('01_Вводные'!$B$239="Да",MeanMinAge24+'19_Расчет_аналитики'!AD4608*SUMIF(ThresholdAge24,"&lt;"&amp;'19_Расчет_аналитики'!AD4608,WeightedRevAge24)-SUMIF(ThresholdAge24,"&lt;"&amp;'19_Расчет_аналитики'!AD4608,WeightedMinAge24),MAX(CapacityAge24*'01_Вводные'!$B$218*'19_Расчет_аналитики'!AD4608,MeanMinAge24))),0)</f>
        <v/>
      </c>
      <c r="AE4563">
        <f>IF('01_Вводные'!$B$234="Да",IF(OR(('19_Расчет_аналитики'!AE4479-'19_Расчет_аналитики'!AE4507)=0,24&lt;='01_Вводные'!$B$297),0,('19_Расчет_аналитики'!AE4479-'19_Расчет_аналитики'!AE4507)*IF('01_Вводные'!$B$239="Да",MeanMinAge24+'19_Расчет_аналитики'!AE4608*SUMIF(ThresholdAge24,"&lt;"&amp;'19_Расчет_аналитики'!AE4608,WeightedRevAge24)-SUMIF(ThresholdAge24,"&lt;"&amp;'19_Расчет_аналитики'!AE4608,WeightedMinAge24),MAX(CapacityAge24*'01_Вводные'!$B$218*'19_Расчет_аналитики'!AE4608,MeanMinAge24))),0)</f>
        <v/>
      </c>
      <c r="AF4563">
        <f>IF('01_Вводные'!$B$234="Да",IF(OR(('19_Расчет_аналитики'!AF4479-'19_Расчет_аналитики'!AF4507)=0,24&lt;='01_Вводные'!$B$297),0,('19_Расчет_аналитики'!AF4479-'19_Расчет_аналитики'!AF4507)*IF('01_Вводные'!$B$239="Да",MeanMinAge24+'19_Расчет_аналитики'!AF4608*SUMIF(ThresholdAge24,"&lt;"&amp;'19_Расчет_аналитики'!AF4608,WeightedRevAge24)-SUMIF(ThresholdAge24,"&lt;"&amp;'19_Расчет_аналитики'!AF4608,WeightedMinAge24),MAX(CapacityAge24*'01_Вводные'!$B$218*'19_Расчет_аналитики'!AF4608,MeanMinAge24))),0)</f>
        <v/>
      </c>
      <c r="AG4563">
        <f>IF('01_Вводные'!$B$234="Да",IF(OR(('19_Расчет_аналитики'!AG4479-'19_Расчет_аналитики'!AG4507)=0,24&lt;='01_Вводные'!$B$297),0,('19_Расчет_аналитики'!AG4479-'19_Расчет_аналитики'!AG4507)*IF('01_Вводные'!$B$239="Да",MeanMinAge24+'19_Расчет_аналитики'!AG4608*SUMIF(ThresholdAge24,"&lt;"&amp;'19_Расчет_аналитики'!AG4608,WeightedRevAge24)-SUMIF(ThresholdAge24,"&lt;"&amp;'19_Расчет_аналитики'!AG4608,WeightedMinAge24),MAX(CapacityAge24*'01_Вводные'!$B$218*'19_Расчет_аналитики'!AG4608,MeanMinAge24))),0)</f>
        <v/>
      </c>
      <c r="AH4563">
        <f>IF('01_Вводные'!$B$234="Да",IF(OR(('19_Расчет_аналитики'!AH4479-'19_Расчет_аналитики'!AH4507)=0,24&lt;='01_Вводные'!$B$297),0,('19_Расчет_аналитики'!AH4479-'19_Расчет_аналитики'!AH4507)*IF('01_Вводные'!$B$239="Да",MeanMinAge24+'19_Расчет_аналитики'!AH4608*SUMIF(ThresholdAge24,"&lt;"&amp;'19_Расчет_аналитики'!AH4608,WeightedRevAge24)-SUMIF(ThresholdAge24,"&lt;"&amp;'19_Расчет_аналитики'!AH4608,WeightedMinAge24),MAX(CapacityAge24*'01_Вводные'!$B$218*'19_Расчет_аналитики'!AH4608,MeanMinAge24))),0)</f>
        <v/>
      </c>
      <c r="AI4563">
        <f>IF('01_Вводные'!$B$234="Да",IF(OR(('19_Расчет_аналитики'!AI4479-'19_Расчет_аналитики'!AI4507)=0,24&lt;='01_Вводные'!$B$297),0,('19_Расчет_аналитики'!AI4479-'19_Расчет_аналитики'!AI4507)*IF('01_Вводные'!$B$239="Да",MeanMinAge24+'19_Расчет_аналитики'!AI4608*SUMIF(ThresholdAge24,"&lt;"&amp;'19_Расчет_аналитики'!AI4608,WeightedRevAge24)-SUMIF(ThresholdAge24,"&lt;"&amp;'19_Расчет_аналитики'!AI4608,WeightedMinAge24),MAX(CapacityAge24*'01_Вводные'!$B$218*'19_Расчет_аналитики'!AI4608,MeanMinAge24))),0)</f>
        <v/>
      </c>
      <c r="AJ4563">
        <f>IF('01_Вводные'!$B$234="Да",IF(OR(('19_Расчет_аналитики'!AJ4479-'19_Расчет_аналитики'!AJ4507)=0,24&lt;='01_Вводные'!$B$297),0,('19_Расчет_аналитики'!AJ4479-'19_Расчет_аналитики'!AJ4507)*IF('01_Вводные'!$B$239="Да",MeanMinAge24+'19_Расчет_аналитики'!AJ4608*SUMIF(ThresholdAge24,"&lt;"&amp;'19_Расчет_аналитики'!AJ4608,WeightedRevAge24)-SUMIF(ThresholdAge24,"&lt;"&amp;'19_Расчет_аналитики'!AJ4608,WeightedMinAge24),MAX(CapacityAge24*'01_Вводные'!$B$218*'19_Расчет_аналитики'!AJ4608,MeanMinAge24))),0)</f>
        <v/>
      </c>
      <c r="AK4563">
        <f>IF('01_Вводные'!$B$234="Да",IF(OR(('19_Расчет_аналитики'!AK4479-'19_Расчет_аналитики'!AK4507)=0,24&lt;='01_Вводные'!$B$297),0,('19_Расчет_аналитики'!AK4479-'19_Расчет_аналитики'!AK4507)*IF('01_Вводные'!$B$239="Да",MeanMinAge24+'19_Расчет_аналитики'!AK4608*SUMIF(ThresholdAge24,"&lt;"&amp;'19_Расчет_аналитики'!AK4608,WeightedRevAge24)-SUMIF(ThresholdAge24,"&lt;"&amp;'19_Расчет_аналитики'!AK4608,WeightedMinAge24),MAX(CapacityAge24*'01_Вводные'!$B$218*'19_Расчет_аналитики'!AK4608,MeanMinAge24))),0)</f>
        <v/>
      </c>
      <c r="AL4563">
        <f>IF('01_Вводные'!$B$234="Да",IF(OR(('19_Расчет_аналитики'!AL4479-'19_Расчет_аналитики'!AL4507)=0,24&lt;='01_Вводные'!$B$297),0,('19_Расчет_аналитики'!AL4479-'19_Расчет_аналитики'!AL4507)*IF('01_Вводные'!$B$239="Да",MeanMinAge24+'19_Расчет_аналитики'!AL4608*SUMIF(ThresholdAge24,"&lt;"&amp;'19_Расчет_аналитики'!AL4608,WeightedRevAge24)-SUMIF(ThresholdAge24,"&lt;"&amp;'19_Расчет_аналитики'!AL4608,WeightedMinAge24),MAX(CapacityAge24*'01_Вводные'!$B$218*'19_Расчет_аналитики'!AL4608,MeanMinAge24))),0)</f>
        <v/>
      </c>
      <c r="AM4563">
        <f>IF('01_Вводные'!$B$234="Да",IF(OR(('19_Расчет_аналитики'!AM4479-'19_Расчет_аналитики'!AM4507)=0,24&lt;='01_Вводные'!$B$297),0,('19_Расчет_аналитики'!AM4479-'19_Расчет_аналитики'!AM4507)*IF('01_Вводные'!$B$239="Да",MeanMinAge24+'19_Расчет_аналитики'!AM4608*SUMIF(ThresholdAge24,"&lt;"&amp;'19_Расчет_аналитики'!AM4608,WeightedRevAge24)-SUMIF(ThresholdAge24,"&lt;"&amp;'19_Расчет_аналитики'!AM4608,WeightedMinAge24),MAX(CapacityAge24*'01_Вводные'!$B$218*'19_Расчет_аналитики'!AM4608,MeanMinAge24))),0)</f>
        <v/>
      </c>
      <c r="AN4563">
        <f>IF('01_Вводные'!$B$234="Да",IF(OR(('19_Расчет_аналитики'!AN4479-'19_Расчет_аналитики'!AN4507)=0,24&lt;='01_Вводные'!$B$297),0,('19_Расчет_аналитики'!AN4479-'19_Расчет_аналитики'!AN4507)*IF('01_Вводные'!$B$239="Да",MeanMinAge24+'19_Расчет_аналитики'!AN4608*SUMIF(ThresholdAge24,"&lt;"&amp;'19_Расчет_аналитики'!AN4608,WeightedRevAge24)-SUMIF(ThresholdAge24,"&lt;"&amp;'19_Расчет_аналитики'!AN4608,WeightedMinAge24),MAX(CapacityAge24*'01_Вводные'!$B$218*'19_Расчет_аналитики'!AN4608,MeanMinAge24))),0)</f>
        <v/>
      </c>
      <c r="AO4563">
        <f>IF('01_Вводные'!$B$234="Да",IF(OR(('19_Расчет_аналитики'!AO4479-'19_Расчет_аналитики'!AO4507)=0,24&lt;='01_Вводные'!$B$297),0,('19_Расчет_аналитики'!AO4479-'19_Расчет_аналитики'!AO4507)*IF('01_Вводные'!$B$239="Да",MeanMinAge24+'19_Расчет_аналитики'!AO4608*SUMIF(ThresholdAge24,"&lt;"&amp;'19_Расчет_аналитики'!AO4608,WeightedRevAge24)-SUMIF(ThresholdAge24,"&lt;"&amp;'19_Расчет_аналитики'!AO4608,WeightedMinAge24),MAX(CapacityAge24*'01_Вводные'!$B$218*'19_Расчет_аналитики'!AO4608,MeanMinAge24))),0)</f>
        <v/>
      </c>
      <c r="AP4563">
        <f>IF('01_Вводные'!$B$234="Да",IF(OR(('19_Расчет_аналитики'!AP4479-'19_Расчет_аналитики'!AP4507)=0,24&lt;='01_Вводные'!$B$297),0,('19_Расчет_аналитики'!AP4479-'19_Расчет_аналитики'!AP4507)*IF('01_Вводные'!$B$239="Да",MeanMinAge24+'19_Расчет_аналитики'!AP4608*SUMIF(ThresholdAge24,"&lt;"&amp;'19_Расчет_аналитики'!AP4608,WeightedRevAge24)-SUMIF(ThresholdAge24,"&lt;"&amp;'19_Расчет_аналитики'!AP4608,WeightedMinAge24),MAX(CapacityAge24*'01_Вводные'!$B$218*'19_Расчет_аналитики'!AP4608,MeanMinAge24))),0)</f>
        <v/>
      </c>
      <c r="AQ4563">
        <f>IF('01_Вводные'!$B$234="Да",IF(OR(('19_Расчет_аналитики'!AQ4479-'19_Расчет_аналитики'!AQ4507)=0,24&lt;='01_Вводные'!$B$297),0,('19_Расчет_аналитики'!AQ4479-'19_Расчет_аналитики'!AQ4507)*IF('01_Вводные'!$B$239="Да",MeanMinAge24+'19_Расчет_аналитики'!AQ4608*SUMIF(ThresholdAge24,"&lt;"&amp;'19_Расчет_аналитики'!AQ4608,WeightedRevAge24)-SUMIF(ThresholdAge24,"&lt;"&amp;'19_Расчет_аналитики'!AQ4608,WeightedMinAge24),MAX(CapacityAge24*'01_Вводные'!$B$218*'19_Расчет_аналитики'!AQ4608,MeanMinAge24))),0)</f>
        <v/>
      </c>
      <c r="AR4563">
        <f>IF('01_Вводные'!$B$234="Да",IF(OR(('19_Расчет_аналитики'!AR4479-'19_Расчет_аналитики'!AR4507)=0,24&lt;='01_Вводные'!$B$297),0,('19_Расчет_аналитики'!AR4479-'19_Расчет_аналитики'!AR4507)*IF('01_Вводные'!$B$239="Да",MeanMinAge24+'19_Расчет_аналитики'!AR4608*SUMIF(ThresholdAge24,"&lt;"&amp;'19_Расчет_аналитики'!AR4608,WeightedRevAge24)-SUMIF(ThresholdAge24,"&lt;"&amp;'19_Расчет_аналитики'!AR4608,WeightedMinAge24),MAX(CapacityAge24*'01_Вводные'!$B$218*'19_Расчет_аналитики'!AR4608,MeanMinAge24))),0)</f>
        <v/>
      </c>
      <c r="AS4563">
        <f>IF('01_Вводные'!$B$234="Да",IF(OR(('19_Расчет_аналитики'!AS4479-'19_Расчет_аналитики'!AS4507)=0,24&lt;='01_Вводные'!$B$297),0,('19_Расчет_аналитики'!AS4479-'19_Расчет_аналитики'!AS4507)*IF('01_Вводные'!$B$239="Да",MeanMinAge24+'19_Расчет_аналитики'!AS4608*SUMIF(ThresholdAge24,"&lt;"&amp;'19_Расчет_аналитики'!AS4608,WeightedRevAge24)-SUMIF(ThresholdAge24,"&lt;"&amp;'19_Расчет_аналитики'!AS4608,WeightedMinAge24),MAX(CapacityAge24*'01_Вводные'!$B$218*'19_Расчет_аналитики'!AS4608,MeanMinAge24))),0)</f>
        <v/>
      </c>
      <c r="AT4563">
        <f>IF('01_Вводные'!$B$234="Да",IF(OR(('19_Расчет_аналитики'!AT4479-'19_Расчет_аналитики'!AT4507)=0,24&lt;='01_Вводные'!$B$297),0,('19_Расчет_аналитики'!AT4479-'19_Расчет_аналитики'!AT4507)*IF('01_Вводные'!$B$239="Да",MeanMinAge24+'19_Расчет_аналитики'!AT4608*SUMIF(ThresholdAge24,"&lt;"&amp;'19_Расчет_аналитики'!AT4608,WeightedRevAge24)-SUMIF(ThresholdAge24,"&lt;"&amp;'19_Расчет_аналитики'!AT4608,WeightedMinAge24),MAX(CapacityAge24*'01_Вводные'!$B$218*'19_Расчет_аналитики'!AT4608,MeanMinAge24))),0)</f>
        <v/>
      </c>
      <c r="AU4563">
        <f>IF('01_Вводные'!$B$234="Да",IF(OR(('19_Расчет_аналитики'!AU4479-'19_Расчет_аналитики'!AU4507)=0,24&lt;='01_Вводные'!$B$297),0,('19_Расчет_аналитики'!AU4479-'19_Расчет_аналитики'!AU4507)*IF('01_Вводные'!$B$239="Да",MeanMinAge24+'19_Расчет_аналитики'!AU4608*SUMIF(ThresholdAge24,"&lt;"&amp;'19_Расчет_аналитики'!AU4608,WeightedRevAge24)-SUMIF(ThresholdAge24,"&lt;"&amp;'19_Расчет_аналитики'!AU4608,WeightedMinAge24),MAX(CapacityAge24*'01_Вводные'!$B$218*'19_Расчет_аналитики'!AU4608,MeanMinAge24))),0)</f>
        <v/>
      </c>
      <c r="AV4563">
        <f>IF('01_Вводные'!$B$234="Да",IF(OR(('19_Расчет_аналитики'!AV4479-'19_Расчет_аналитики'!AV4507)=0,24&lt;='01_Вводные'!$B$297),0,('19_Расчет_аналитики'!AV4479-'19_Расчет_аналитики'!AV4507)*IF('01_Вводные'!$B$239="Да",MeanMinAge24+'19_Расчет_аналитики'!AV4608*SUMIF(ThresholdAge24,"&lt;"&amp;'19_Расчет_аналитики'!AV4608,WeightedRevAge24)-SUMIF(ThresholdAge24,"&lt;"&amp;'19_Расчет_аналитики'!AV4608,WeightedMinAge24),MAX(CapacityAge24*'01_Вводные'!$B$218*'19_Расчет_аналитики'!AV4608,MeanMinAge24))),0)</f>
        <v/>
      </c>
      <c r="AW4563">
        <f>IF('01_Вводные'!$B$234="Да",IF(OR(('19_Расчет_аналитики'!AW4479-'19_Расчет_аналитики'!AW4507)=0,24&lt;='01_Вводные'!$B$297),0,('19_Расчет_аналитики'!AW4479-'19_Расчет_аналитики'!AW4507)*IF('01_Вводные'!$B$239="Да",MeanMinAge24+'19_Расчет_аналитики'!AW4608*SUMIF(ThresholdAge24,"&lt;"&amp;'19_Расчет_аналитики'!AW4608,WeightedRevAge24)-SUMIF(ThresholdAge24,"&lt;"&amp;'19_Расчет_аналитики'!AW4608,WeightedMinAge24),MAX(CapacityAge24*'01_Вводные'!$B$218*'19_Расчет_аналитики'!AW4608,MeanMinAge24))),0)</f>
        <v/>
      </c>
      <c r="AX4563">
        <f>IF('01_Вводные'!$B$234="Да",IF(OR(('19_Расчет_аналитики'!AX4479-'19_Расчет_аналитики'!AX4507)=0,24&lt;='01_Вводные'!$B$297),0,('19_Расчет_аналитики'!AX4479-'19_Расчет_аналитики'!AX4507)*IF('01_Вводные'!$B$239="Да",MeanMinAge24+'19_Расчет_аналитики'!AX4608*SUMIF(ThresholdAge24,"&lt;"&amp;'19_Расчет_аналитики'!AX4608,WeightedRevAge24)-SUMIF(ThresholdAge24,"&lt;"&amp;'19_Расчет_аналитики'!AX4608,WeightedMinAge24),MAX(CapacityAge24*'01_Вводные'!$B$218*'19_Расчет_аналитики'!AX4608,MeanMinAge24))),0)</f>
        <v/>
      </c>
      <c r="AY4563">
        <f>IF('01_Вводные'!$B$234="Да",IF(OR(('19_Расчет_аналитики'!AY4479-'19_Расчет_аналитики'!AY4507)=0,24&lt;='01_Вводные'!$B$297),0,('19_Расчет_аналитики'!AY4479-'19_Расчет_аналитики'!AY4507)*IF('01_Вводные'!$B$239="Да",MeanMinAge24+'19_Расчет_аналитики'!AY4608*SUMIF(ThresholdAge24,"&lt;"&amp;'19_Расчет_аналитики'!AY4608,WeightedRevAge24)-SUMIF(ThresholdAge24,"&lt;"&amp;'19_Расчет_аналитики'!AY4608,WeightedMinAge24),MAX(CapacityAge24*'01_Вводные'!$B$218*'19_Расчет_аналитики'!AY4608,MeanMinAge24))),0)</f>
        <v/>
      </c>
      <c r="AZ4563">
        <f>IF('01_Вводные'!$B$234="Да",IF(OR(('19_Расчет_аналитики'!AZ4479-'19_Расчет_аналитики'!AZ4507)=0,24&lt;='01_Вводные'!$B$297),0,('19_Расчет_аналитики'!AZ4479-'19_Расчет_аналитики'!AZ4507)*IF('01_Вводные'!$B$239="Да",MeanMinAge24+'19_Расчет_аналитики'!AZ4608*SUMIF(ThresholdAge24,"&lt;"&amp;'19_Расчет_аналитики'!AZ4608,WeightedRevAge24)-SUMIF(ThresholdAge24,"&lt;"&amp;'19_Расчет_аналитики'!AZ4608,WeightedMinAge24),MAX(CapacityAge24*'01_Вводные'!$B$218*'19_Расчет_аналитики'!AZ4608,MeanMinAge24))),0)</f>
        <v/>
      </c>
      <c r="BA4563">
        <f>IF('01_Вводные'!$B$234="Да",IF(OR(('19_Расчет_аналитики'!BA4479-'19_Расчет_аналитики'!BA4507)=0,24&lt;='01_Вводные'!$B$297),0,('19_Расчет_аналитики'!BA4479-'19_Расчет_аналитики'!BA4507)*IF('01_Вводные'!$B$239="Да",MeanMinAge24+'19_Расчет_аналитики'!BA4608*SUMIF(ThresholdAge24,"&lt;"&amp;'19_Расчет_аналитики'!BA4608,WeightedRevAge24)-SUMIF(ThresholdAge24,"&lt;"&amp;'19_Расчет_аналитики'!BA4608,WeightedMinAge24),MAX(CapacityAge24*'01_Вводные'!$B$218*'19_Расчет_аналитики'!BA4608,MeanMinAge24))),0)</f>
        <v/>
      </c>
      <c r="BB4563">
        <f>IF('01_Вводные'!$B$234="Да",IF(OR(('19_Расчет_аналитики'!BB4479-'19_Расчет_аналитики'!BB4507)=0,24&lt;='01_Вводные'!$B$297),0,('19_Расчет_аналитики'!BB4479-'19_Расчет_аналитики'!BB4507)*IF('01_Вводные'!$B$239="Да",MeanMinAge24+'19_Расчет_аналитики'!BB4608*SUMIF(ThresholdAge24,"&lt;"&amp;'19_Расчет_аналитики'!BB4608,WeightedRevAge24)-SUMIF(ThresholdAge24,"&lt;"&amp;'19_Расчет_аналитики'!BB4608,WeightedMinAge24),MAX(CapacityAge24*'01_Вводные'!$B$218*'19_Расчет_аналитики'!BB4608,MeanMinAge24))),0)</f>
        <v/>
      </c>
      <c r="BC4563">
        <f>IF('01_Вводные'!$B$234="Да",IF(OR(('19_Расчет_аналитики'!BC4479-'19_Расчет_аналитики'!BC4507)=0,24&lt;='01_Вводные'!$B$297),0,('19_Расчет_аналитики'!BC4479-'19_Расчет_аналитики'!BC4507)*IF('01_Вводные'!$B$239="Да",MeanMinAge24+'19_Расчет_аналитики'!BC4608*SUMIF(ThresholdAge24,"&lt;"&amp;'19_Расчет_аналитики'!BC4608,WeightedRevAge24)-SUMIF(ThresholdAge24,"&lt;"&amp;'19_Расчет_аналитики'!BC4608,WeightedMinAge24),MAX(CapacityAge24*'01_Вводные'!$B$218*'19_Расчет_аналитики'!BC4608,MeanMinAge24))),0)</f>
        <v/>
      </c>
      <c r="BD4563">
        <f>IF('01_Вводные'!$B$234="Да",IF(OR(('19_Расчет_аналитики'!BD4479-'19_Расчет_аналитики'!BD4507)=0,24&lt;='01_Вводные'!$B$297),0,('19_Расчет_аналитики'!BD4479-'19_Расчет_аналитики'!BD4507)*IF('01_Вводные'!$B$239="Да",MeanMinAge24+'19_Расчет_аналитики'!BD4608*SUMIF(ThresholdAge24,"&lt;"&amp;'19_Расчет_аналитики'!BD4608,WeightedRevAge24)-SUMIF(ThresholdAge24,"&lt;"&amp;'19_Расчет_аналитики'!BD4608,WeightedMinAge24),MAX(CapacityAge24*'01_Вводные'!$B$218*'19_Расчет_аналитики'!BD4608,MeanMinAge24))),0)</f>
        <v/>
      </c>
      <c r="BE4563">
        <f>IF('01_Вводные'!$B$234="Да",IF(OR(('19_Расчет_аналитики'!BE4479-'19_Расчет_аналитики'!BE4507)=0,24&lt;='01_Вводные'!$B$297),0,('19_Расчет_аналитики'!BE4479-'19_Расчет_аналитики'!BE4507)*IF('01_Вводные'!$B$239="Да",MeanMinAge24+'19_Расчет_аналитики'!BE4608*SUMIF(ThresholdAge24,"&lt;"&amp;'19_Расчет_аналитики'!BE4608,WeightedRevAge24)-SUMIF(ThresholdAge24,"&lt;"&amp;'19_Расчет_аналитики'!BE4608,WeightedMinAge24),MAX(CapacityAge24*'01_Вводные'!$B$218*'19_Расчет_аналитики'!BE4608,MeanMinAge24))),0)</f>
        <v/>
      </c>
      <c r="BF4563">
        <f>IF('01_Вводные'!$B$234="Да",IF(OR(('19_Расчет_аналитики'!BF4479-'19_Расчет_аналитики'!BF4507)=0,24&lt;='01_Вводные'!$B$297),0,('19_Расчет_аналитики'!BF4479-'19_Расчет_аналитики'!BF4507)*IF('01_Вводные'!$B$239="Да",MeanMinAge24+'19_Расчет_аналитики'!BF4608*SUMIF(ThresholdAge24,"&lt;"&amp;'19_Расчет_аналитики'!BF4608,WeightedRevAge24)-SUMIF(ThresholdAge24,"&lt;"&amp;'19_Расчет_аналитики'!BF4608,WeightedMinAge24),MAX(CapacityAge24*'01_Вводные'!$B$218*'19_Расчет_аналитики'!BF4608,MeanMinAge24))),0)</f>
        <v/>
      </c>
      <c r="BG4563">
        <f>IF('01_Вводные'!$B$234="Да",IF(OR(('19_Расчет_аналитики'!BG4479-'19_Расчет_аналитики'!BG4507)=0,24&lt;='01_Вводные'!$B$297),0,('19_Расчет_аналитики'!BG4479-'19_Расчет_аналитики'!BG4507)*IF('01_Вводные'!$B$239="Да",MeanMinAge24+'19_Расчет_аналитики'!BG4608*SUMIF(ThresholdAge24,"&lt;"&amp;'19_Расчет_аналитики'!BG4608,WeightedRevAge24)-SUMIF(ThresholdAge24,"&lt;"&amp;'19_Расчет_аналитики'!BG4608,WeightedMinAge24),MAX(CapacityAge24*'01_Вводные'!$B$218*'19_Расчет_аналитики'!BG4608,MeanMinAge24))),0)</f>
        <v/>
      </c>
      <c r="BH4563">
        <f>IF('01_Вводные'!$B$234="Да",IF(OR(('19_Расчет_аналитики'!BH4479-'19_Расчет_аналитики'!BH4507)=0,24&lt;='01_Вводные'!$B$297),0,('19_Расчет_аналитики'!BH4479-'19_Расчет_аналитики'!BH4507)*IF('01_Вводные'!$B$239="Да",MeanMinAge24+'19_Расчет_аналитики'!BH4608*SUMIF(ThresholdAge24,"&lt;"&amp;'19_Расчет_аналитики'!BH4608,WeightedRevAge24)-SUMIF(ThresholdAge24,"&lt;"&amp;'19_Расчет_аналитики'!BH4608,WeightedMinAge24),MAX(CapacityAge24*'01_Вводные'!$B$218*'19_Расчет_аналитики'!BH4608,MeanMinAge24))),0)</f>
        <v/>
      </c>
      <c r="BI4563">
        <f>IF('01_Вводные'!$B$234="Да",IF(OR(('19_Расчет_аналитики'!BI4479-'19_Расчет_аналитики'!BI4507)=0,24&lt;='01_Вводные'!$B$297),0,('19_Расчет_аналитики'!BI4479-'19_Расчет_аналитики'!BI4507)*IF('01_Вводные'!$B$239="Да",MeanMinAge24+'19_Расчет_аналитики'!BI4608*SUMIF(ThresholdAge24,"&lt;"&amp;'19_Расчет_аналитики'!BI4608,WeightedRevAge24)-SUMIF(ThresholdAge24,"&lt;"&amp;'19_Расчет_аналитики'!BI4608,WeightedMinAge24),MAX(CapacityAge24*'01_Вводные'!$B$218*'19_Расчет_аналитики'!BI4608,MeanMinAge24))),0)</f>
        <v/>
      </c>
      <c r="BJ4563">
        <f>IF('01_Вводные'!$B$234="Да",IF(OR(('19_Расчет_аналитики'!BJ4479-'19_Расчет_аналитики'!BJ4507)=0,24&lt;='01_Вводные'!$B$297),0,('19_Расчет_аналитики'!BJ4479-'19_Расчет_аналитики'!BJ4507)*IF('01_Вводные'!$B$239="Да",MeanMinAge24+'19_Расчет_аналитики'!BJ4608*SUMIF(ThresholdAge24,"&lt;"&amp;'19_Расчет_аналитики'!BJ4608,WeightedRevAge24)-SUMIF(ThresholdAge24,"&lt;"&amp;'19_Расчет_аналитики'!BJ4608,WeightedMinAge24),MAX(CapacityAge24*'01_Вводные'!$B$218*'19_Расчет_аналитики'!BJ4608,MeanMinAge24))),0)</f>
        <v/>
      </c>
      <c r="BK4563">
        <f>IF('01_Вводные'!$B$234="Да",IF(OR(('19_Расчет_аналитики'!BK4479-'19_Расчет_аналитики'!BK4507)=0,24&lt;='01_Вводные'!$B$297),0,('19_Расчет_аналитики'!BK4479-'19_Расчет_аналитики'!BK4507)*IF('01_Вводные'!$B$239="Да",MeanMinAge24+'19_Расчет_аналитики'!BK4608*SUMIF(ThresholdAge24,"&lt;"&amp;'19_Расчет_аналитики'!BK4608,WeightedRevAge24)-SUMIF(ThresholdAge24,"&lt;"&amp;'19_Расчет_аналитики'!BK4608,WeightedMinAge24),MAX(CapacityAge24*'01_Вводные'!$B$218*'19_Расчет_аналитики'!BK4608,MeanMinAge24))),0)</f>
        <v/>
      </c>
      <c r="BL4563">
        <f>IF('01_Вводные'!$B$234="Да",IF(OR(('19_Расчет_аналитики'!BL4479-'19_Расчет_аналитики'!BL4507)=0,24&lt;='01_Вводные'!$B$297),0,('19_Расчет_аналитики'!BL4479-'19_Расчет_аналитики'!BL4507)*IF('01_Вводные'!$B$239="Да",MeanMinAge24+'19_Расчет_аналитики'!BL4608*SUMIF(ThresholdAge24,"&lt;"&amp;'19_Расчет_аналитики'!BL4608,WeightedRevAge24)-SUMIF(ThresholdAge24,"&lt;"&amp;'19_Расчет_аналитики'!BL4608,WeightedMinAge24),MAX(CapacityAge24*'01_Вводные'!$B$218*'19_Расчет_аналитики'!BL4608,MeanMinAge24))),0)</f>
        <v/>
      </c>
      <c r="BM4563">
        <f>IF('01_Вводные'!$B$234="Да",IF(OR(('19_Расчет_аналитики'!BM4479-'19_Расчет_аналитики'!BM4507)=0,24&lt;='01_Вводные'!$B$297),0,('19_Расчет_аналитики'!BM4479-'19_Расчет_аналитики'!BM4507)*IF('01_Вводные'!$B$239="Да",MeanMinAge24+'19_Расчет_аналитики'!BM4608*SUMIF(ThresholdAge24,"&lt;"&amp;'19_Расчет_аналитики'!BM4608,WeightedRevAge24)-SUMIF(ThresholdAge24,"&lt;"&amp;'19_Расчет_аналитики'!BM4608,WeightedMinAge24),MAX(CapacityAge24*'01_Вводные'!$B$218*'19_Расчет_аналитики'!BM4608,MeanMinAge24))),0)</f>
        <v/>
      </c>
      <c r="BN4563">
        <f>IF('01_Вводные'!$B$234="Да",IF(OR(('19_Расчет_аналитики'!BN4479-'19_Расчет_аналитики'!BN4507)=0,24&lt;='01_Вводные'!$B$297),0,('19_Расчет_аналитики'!BN4479-'19_Расчет_аналитики'!BN4507)*IF('01_Вводные'!$B$239="Да",MeanMinAge24+'19_Расчет_аналитики'!BN4608*SUMIF(ThresholdAge24,"&lt;"&amp;'19_Расчет_аналитики'!BN4608,WeightedRevAge24)-SUMIF(ThresholdAge24,"&lt;"&amp;'19_Расчет_аналитики'!BN4608,WeightedMinAge24),MAX(CapacityAge24*'01_Вводные'!$B$218*'19_Расчет_аналитики'!BN4608,MeanMinAge24))),0)</f>
        <v/>
      </c>
      <c r="BO4563">
        <f>IF('01_Вводные'!$B$234="Да",IF(OR(('19_Расчет_аналитики'!BO4479-'19_Расчет_аналитики'!BO4507)=0,24&lt;='01_Вводные'!$B$297),0,('19_Расчет_аналитики'!BO4479-'19_Расчет_аналитики'!BO4507)*IF('01_Вводные'!$B$239="Да",MeanMinAge24+'19_Расчет_аналитики'!BO4608*SUMIF(ThresholdAge24,"&lt;"&amp;'19_Расчет_аналитики'!BO4608,WeightedRevAge24)-SUMIF(ThresholdAge24,"&lt;"&amp;'19_Расчет_аналитики'!BO4608,WeightedMinAge24),MAX(CapacityAge24*'01_Вводные'!$B$218*'19_Расчет_аналитики'!BO4608,MeanMinAge24))),0)</f>
        <v/>
      </c>
    </row>
    <row r="4564">
      <c r="B4564">
        <f>IF('01_Вводные'!$B$234="Да",IF(OR(('06_Сеть_и_дети'!B77-'06_Сеть_и_дети'!B105)=0,25&lt;='01_Вводные'!$B$297),0,('06_Сеть_и_дети'!B77-'06_Сеть_и_дети'!B105)*IF('01_Вводные'!$B$239="Да",MeanMinAge25+'19_Расчет_аналитики'!B4608*SUMIF(ThresholdAge25,"&lt;"&amp;'19_Расчет_аналитики'!B4608,WeightedRevAge25)-SUMIF(ThresholdAge25,"&lt;"&amp;'19_Расчет_аналитики'!B4608,WeightedMinAge25),MAX(CapacityAge25*'01_Вводные'!$B$218*'19_Расчет_аналитики'!B4608,MeanMinAge25))),0)</f>
        <v/>
      </c>
      <c r="C4564">
        <f>IF('01_Вводные'!$B$234="Да",IF(OR(('06_Сеть_и_дети'!C77-'06_Сеть_и_дети'!C105)=0,25&lt;='01_Вводные'!$B$297),0,('06_Сеть_и_дети'!C77-'06_Сеть_и_дети'!C105)*IF('01_Вводные'!$B$239="Да",MeanMinAge25+'19_Расчет_аналитики'!C4608*SUMIF(ThresholdAge25,"&lt;"&amp;'19_Расчет_аналитики'!C4608,WeightedRevAge25)-SUMIF(ThresholdAge25,"&lt;"&amp;'19_Расчет_аналитики'!C4608,WeightedMinAge25),MAX(CapacityAge25*'01_Вводные'!$B$218*'19_Расчет_аналитики'!C4608,MeanMinAge25))),0)</f>
        <v/>
      </c>
      <c r="D4564">
        <f>IF('01_Вводные'!$B$234="Да",IF(OR(('06_Сеть_и_дети'!D77-'06_Сеть_и_дети'!D105)=0,25&lt;='01_Вводные'!$B$297),0,('06_Сеть_и_дети'!D77-'06_Сеть_и_дети'!D105)*IF('01_Вводные'!$B$239="Да",MeanMinAge25+'19_Расчет_аналитики'!D4608*SUMIF(ThresholdAge25,"&lt;"&amp;'19_Расчет_аналитики'!D4608,WeightedRevAge25)-SUMIF(ThresholdAge25,"&lt;"&amp;'19_Расчет_аналитики'!D4608,WeightedMinAge25),MAX(CapacityAge25*'01_Вводные'!$B$218*'19_Расчет_аналитики'!D4608,MeanMinAge25))),0)</f>
        <v/>
      </c>
      <c r="E4564">
        <f>IF('01_Вводные'!$B$234="Да",IF(OR(('06_Сеть_и_дети'!E77-'06_Сеть_и_дети'!E105)=0,25&lt;='01_Вводные'!$B$297),0,('06_Сеть_и_дети'!E77-'06_Сеть_и_дети'!E105)*IF('01_Вводные'!$B$239="Да",MeanMinAge25+'19_Расчет_аналитики'!E4608*SUMIF(ThresholdAge25,"&lt;"&amp;'19_Расчет_аналитики'!E4608,WeightedRevAge25)-SUMIF(ThresholdAge25,"&lt;"&amp;'19_Расчет_аналитики'!E4608,WeightedMinAge25),MAX(CapacityAge25*'01_Вводные'!$B$218*'19_Расчет_аналитики'!E4608,MeanMinAge25))),0)</f>
        <v/>
      </c>
      <c r="F4564">
        <f>IF('01_Вводные'!$B$234="Да",IF(OR(('06_Сеть_и_дети'!F77-'06_Сеть_и_дети'!F105)=0,25&lt;='01_Вводные'!$B$297),0,('06_Сеть_и_дети'!F77-'06_Сеть_и_дети'!F105)*IF('01_Вводные'!$B$239="Да",MeanMinAge25+'19_Расчет_аналитики'!F4608*SUMIF(ThresholdAge25,"&lt;"&amp;'19_Расчет_аналитики'!F4608,WeightedRevAge25)-SUMIF(ThresholdAge25,"&lt;"&amp;'19_Расчет_аналитики'!F4608,WeightedMinAge25),MAX(CapacityAge25*'01_Вводные'!$B$218*'19_Расчет_аналитики'!F4608,MeanMinAge25))),0)</f>
        <v/>
      </c>
      <c r="G4564">
        <f>IF('01_Вводные'!$B$234="Да",IF(OR(('06_Сеть_и_дети'!G77-'06_Сеть_и_дети'!G105)=0,25&lt;='01_Вводные'!$B$297),0,('06_Сеть_и_дети'!G77-'06_Сеть_и_дети'!G105)*IF('01_Вводные'!$B$239="Да",MeanMinAge25+'19_Расчет_аналитики'!G4608*SUMIF(ThresholdAge25,"&lt;"&amp;'19_Расчет_аналитики'!G4608,WeightedRevAge25)-SUMIF(ThresholdAge25,"&lt;"&amp;'19_Расчет_аналитики'!G4608,WeightedMinAge25),MAX(CapacityAge25*'01_Вводные'!$B$218*'19_Расчет_аналитики'!G4608,MeanMinAge25))),0)</f>
        <v/>
      </c>
      <c r="H4564">
        <f>IF('01_Вводные'!$B$234="Да",IF(OR(('06_Сеть_и_дети'!H77-'06_Сеть_и_дети'!H105)=0,25&lt;='01_Вводные'!$B$297),0,('06_Сеть_и_дети'!H77-'06_Сеть_и_дети'!H105)*IF('01_Вводные'!$B$239="Да",MeanMinAge25+'19_Расчет_аналитики'!H4608*SUMIF(ThresholdAge25,"&lt;"&amp;'19_Расчет_аналитики'!H4608,WeightedRevAge25)-SUMIF(ThresholdAge25,"&lt;"&amp;'19_Расчет_аналитики'!H4608,WeightedMinAge25),MAX(CapacityAge25*'01_Вводные'!$B$218*'19_Расчет_аналитики'!H4608,MeanMinAge25))),0)</f>
        <v/>
      </c>
      <c r="I4564">
        <f>IF('01_Вводные'!$B$234="Да",IF(OR(('06_Сеть_и_дети'!I77-'06_Сеть_и_дети'!I105)=0,25&lt;='01_Вводные'!$B$297),0,('06_Сеть_и_дети'!I77-'06_Сеть_и_дети'!I105)*IF('01_Вводные'!$B$239="Да",MeanMinAge25+'19_Расчет_аналитики'!I4608*SUMIF(ThresholdAge25,"&lt;"&amp;'19_Расчет_аналитики'!I4608,WeightedRevAge25)-SUMIF(ThresholdAge25,"&lt;"&amp;'19_Расчет_аналитики'!I4608,WeightedMinAge25),MAX(CapacityAge25*'01_Вводные'!$B$218*'19_Расчет_аналитики'!I4608,MeanMinAge25))),0)</f>
        <v/>
      </c>
      <c r="J4564">
        <f>IF('01_Вводные'!$B$234="Да",IF(OR(('06_Сеть_и_дети'!J77-'06_Сеть_и_дети'!J105)=0,25&lt;='01_Вводные'!$B$297),0,('06_Сеть_и_дети'!J77-'06_Сеть_и_дети'!J105)*IF('01_Вводные'!$B$239="Да",MeanMinAge25+'19_Расчет_аналитики'!J4608*SUMIF(ThresholdAge25,"&lt;"&amp;'19_Расчет_аналитики'!J4608,WeightedRevAge25)-SUMIF(ThresholdAge25,"&lt;"&amp;'19_Расчет_аналитики'!J4608,WeightedMinAge25),MAX(CapacityAge25*'01_Вводные'!$B$218*'19_Расчет_аналитики'!J4608,MeanMinAge25))),0)</f>
        <v/>
      </c>
      <c r="K4564">
        <f>IF('01_Вводные'!$B$234="Да",IF(OR(('06_Сеть_и_дети'!K77-'06_Сеть_и_дети'!K105)=0,25&lt;='01_Вводные'!$B$297),0,('06_Сеть_и_дети'!K77-'06_Сеть_и_дети'!K105)*IF('01_Вводные'!$B$239="Да",MeanMinAge25+'19_Расчет_аналитики'!K4608*SUMIF(ThresholdAge25,"&lt;"&amp;'19_Расчет_аналитики'!K4608,WeightedRevAge25)-SUMIF(ThresholdAge25,"&lt;"&amp;'19_Расчет_аналитики'!K4608,WeightedMinAge25),MAX(CapacityAge25*'01_Вводные'!$B$218*'19_Расчет_аналитики'!K4608,MeanMinAge25))),0)</f>
        <v/>
      </c>
      <c r="L4564">
        <f>IF('01_Вводные'!$B$234="Да",IF(OR(('06_Сеть_и_дети'!L77-'06_Сеть_и_дети'!L105)=0,25&lt;='01_Вводные'!$B$297),0,('06_Сеть_и_дети'!L77-'06_Сеть_и_дети'!L105)*IF('01_Вводные'!$B$239="Да",MeanMinAge25+'19_Расчет_аналитики'!L4608*SUMIF(ThresholdAge25,"&lt;"&amp;'19_Расчет_аналитики'!L4608,WeightedRevAge25)-SUMIF(ThresholdAge25,"&lt;"&amp;'19_Расчет_аналитики'!L4608,WeightedMinAge25),MAX(CapacityAge25*'01_Вводные'!$B$218*'19_Расчет_аналитики'!L4608,MeanMinAge25))),0)</f>
        <v/>
      </c>
      <c r="M4564">
        <f>IF('01_Вводные'!$B$234="Да",IF(OR(('06_Сеть_и_дети'!M77-'06_Сеть_и_дети'!M105)=0,25&lt;='01_Вводные'!$B$297),0,('06_Сеть_и_дети'!M77-'06_Сеть_и_дети'!M105)*IF('01_Вводные'!$B$239="Да",MeanMinAge25+'19_Расчет_аналитики'!M4608*SUMIF(ThresholdAge25,"&lt;"&amp;'19_Расчет_аналитики'!M4608,WeightedRevAge25)-SUMIF(ThresholdAge25,"&lt;"&amp;'19_Расчет_аналитики'!M4608,WeightedMinAge25),MAX(CapacityAge25*'01_Вводные'!$B$218*'19_Расчет_аналитики'!M4608,MeanMinAge25))),0)</f>
        <v/>
      </c>
      <c r="N4564">
        <f>IF('01_Вводные'!$B$234="Да",IF(OR(('06_Сеть_и_дети'!N77-'06_Сеть_и_дети'!N105)=0,25&lt;='01_Вводные'!$B$297),0,('06_Сеть_и_дети'!N77-'06_Сеть_и_дети'!N105)*IF('01_Вводные'!$B$239="Да",MeanMinAge25+'19_Расчет_аналитики'!N4608*SUMIF(ThresholdAge25,"&lt;"&amp;'19_Расчет_аналитики'!N4608,WeightedRevAge25)-SUMIF(ThresholdAge25,"&lt;"&amp;'19_Расчет_аналитики'!N4608,WeightedMinAge25),MAX(CapacityAge25*'01_Вводные'!$B$218*'19_Расчет_аналитики'!N4608,MeanMinAge25))),0)</f>
        <v/>
      </c>
      <c r="O4564">
        <f>IF('01_Вводные'!$B$234="Да",IF(OR(('06_Сеть_и_дети'!O77-'06_Сеть_и_дети'!O105)=0,25&lt;='01_Вводные'!$B$297),0,('06_Сеть_и_дети'!O77-'06_Сеть_и_дети'!O105)*IF('01_Вводные'!$B$239="Да",MeanMinAge25+'19_Расчет_аналитики'!O4608*SUMIF(ThresholdAge25,"&lt;"&amp;'19_Расчет_аналитики'!O4608,WeightedRevAge25)-SUMIF(ThresholdAge25,"&lt;"&amp;'19_Расчет_аналитики'!O4608,WeightedMinAge25),MAX(CapacityAge25*'01_Вводные'!$B$218*'19_Расчет_аналитики'!O4608,MeanMinAge25))),0)</f>
        <v/>
      </c>
      <c r="P4564">
        <f>IF('01_Вводные'!$B$234="Да",IF(OR(('06_Сеть_и_дети'!P77-'06_Сеть_и_дети'!P105)=0,25&lt;='01_Вводные'!$B$297),0,('06_Сеть_и_дети'!P77-'06_Сеть_и_дети'!P105)*IF('01_Вводные'!$B$239="Да",MeanMinAge25+'19_Расчет_аналитики'!P4608*SUMIF(ThresholdAge25,"&lt;"&amp;'19_Расчет_аналитики'!P4608,WeightedRevAge25)-SUMIF(ThresholdAge25,"&lt;"&amp;'19_Расчет_аналитики'!P4608,WeightedMinAge25),MAX(CapacityAge25*'01_Вводные'!$B$218*'19_Расчет_аналитики'!P4608,MeanMinAge25))),0)</f>
        <v/>
      </c>
      <c r="Q4564">
        <f>IF('01_Вводные'!$B$234="Да",IF(OR(('06_Сеть_и_дети'!Q77-'06_Сеть_и_дети'!Q105)=0,25&lt;='01_Вводные'!$B$297),0,('06_Сеть_и_дети'!Q77-'06_Сеть_и_дети'!Q105)*IF('01_Вводные'!$B$239="Да",MeanMinAge25+'19_Расчет_аналитики'!Q4608*SUMIF(ThresholdAge25,"&lt;"&amp;'19_Расчет_аналитики'!Q4608,WeightedRevAge25)-SUMIF(ThresholdAge25,"&lt;"&amp;'19_Расчет_аналитики'!Q4608,WeightedMinAge25),MAX(CapacityAge25*'01_Вводные'!$B$218*'19_Расчет_аналитики'!Q4608,MeanMinAge25))),0)</f>
        <v/>
      </c>
      <c r="R4564">
        <f>IF('01_Вводные'!$B$234="Да",IF(OR(('06_Сеть_и_дети'!R77-'06_Сеть_и_дети'!R105)=0,25&lt;='01_Вводные'!$B$297),0,('06_Сеть_и_дети'!R77-'06_Сеть_и_дети'!R105)*IF('01_Вводные'!$B$239="Да",MeanMinAge25+'19_Расчет_аналитики'!R4608*SUMIF(ThresholdAge25,"&lt;"&amp;'19_Расчет_аналитики'!R4608,WeightedRevAge25)-SUMIF(ThresholdAge25,"&lt;"&amp;'19_Расчет_аналитики'!R4608,WeightedMinAge25),MAX(CapacityAge25*'01_Вводные'!$B$218*'19_Расчет_аналитики'!R4608,MeanMinAge25))),0)</f>
        <v/>
      </c>
      <c r="S4564">
        <f>IF('01_Вводные'!$B$234="Да",IF(OR(('06_Сеть_и_дети'!S77-'06_Сеть_и_дети'!S105)=0,25&lt;='01_Вводные'!$B$297),0,('06_Сеть_и_дети'!S77-'06_Сеть_и_дети'!S105)*IF('01_Вводные'!$B$239="Да",MeanMinAge25+'19_Расчет_аналитики'!S4608*SUMIF(ThresholdAge25,"&lt;"&amp;'19_Расчет_аналитики'!S4608,WeightedRevAge25)-SUMIF(ThresholdAge25,"&lt;"&amp;'19_Расчет_аналитики'!S4608,WeightedMinAge25),MAX(CapacityAge25*'01_Вводные'!$B$218*'19_Расчет_аналитики'!S4608,MeanMinAge25))),0)</f>
        <v/>
      </c>
      <c r="T4564">
        <f>IF('01_Вводные'!$B$234="Да",IF(OR(('06_Сеть_и_дети'!T77-'06_Сеть_и_дети'!T105)=0,25&lt;='01_Вводные'!$B$297),0,('06_Сеть_и_дети'!T77-'06_Сеть_и_дети'!T105)*IF('01_Вводные'!$B$239="Да",MeanMinAge25+'19_Расчет_аналитики'!T4608*SUMIF(ThresholdAge25,"&lt;"&amp;'19_Расчет_аналитики'!T4608,WeightedRevAge25)-SUMIF(ThresholdAge25,"&lt;"&amp;'19_Расчет_аналитики'!T4608,WeightedMinAge25),MAX(CapacityAge25*'01_Вводные'!$B$218*'19_Расчет_аналитики'!T4608,MeanMinAge25))),0)</f>
        <v/>
      </c>
      <c r="U4564">
        <f>IF('01_Вводные'!$B$234="Да",IF(OR(('06_Сеть_и_дети'!U77-'06_Сеть_и_дети'!U105)=0,25&lt;='01_Вводные'!$B$297),0,('06_Сеть_и_дети'!U77-'06_Сеть_и_дети'!U105)*IF('01_Вводные'!$B$239="Да",MeanMinAge25+'19_Расчет_аналитики'!U4608*SUMIF(ThresholdAge25,"&lt;"&amp;'19_Расчет_аналитики'!U4608,WeightedRevAge25)-SUMIF(ThresholdAge25,"&lt;"&amp;'19_Расчет_аналитики'!U4608,WeightedMinAge25),MAX(CapacityAge25*'01_Вводные'!$B$218*'19_Расчет_аналитики'!U4608,MeanMinAge25))),0)</f>
        <v/>
      </c>
      <c r="V4564">
        <f>IF('01_Вводные'!$B$234="Да",IF(OR(('06_Сеть_и_дети'!V77-'06_Сеть_и_дети'!V105)=0,25&lt;='01_Вводные'!$B$297),0,('06_Сеть_и_дети'!V77-'06_Сеть_и_дети'!V105)*IF('01_Вводные'!$B$239="Да",MeanMinAge25+'19_Расчет_аналитики'!V4608*SUMIF(ThresholdAge25,"&lt;"&amp;'19_Расчет_аналитики'!V4608,WeightedRevAge25)-SUMIF(ThresholdAge25,"&lt;"&amp;'19_Расчет_аналитики'!V4608,WeightedMinAge25),MAX(CapacityAge25*'01_Вводные'!$B$218*'19_Расчет_аналитики'!V4608,MeanMinAge25))),0)</f>
        <v/>
      </c>
      <c r="W4564">
        <f>IF('01_Вводные'!$B$234="Да",IF(OR(('06_Сеть_и_дети'!W77-'06_Сеть_и_дети'!W105)=0,25&lt;='01_Вводные'!$B$297),0,('06_Сеть_и_дети'!W77-'06_Сеть_и_дети'!W105)*IF('01_Вводные'!$B$239="Да",MeanMinAge25+'19_Расчет_аналитики'!W4608*SUMIF(ThresholdAge25,"&lt;"&amp;'19_Расчет_аналитики'!W4608,WeightedRevAge25)-SUMIF(ThresholdAge25,"&lt;"&amp;'19_Расчет_аналитики'!W4608,WeightedMinAge25),MAX(CapacityAge25*'01_Вводные'!$B$218*'19_Расчет_аналитики'!W4608,MeanMinAge25))),0)</f>
        <v/>
      </c>
      <c r="X4564">
        <f>IF('01_Вводные'!$B$234="Да",IF(OR(('06_Сеть_и_дети'!X77-'06_Сеть_и_дети'!X105)=0,25&lt;='01_Вводные'!$B$297),0,('06_Сеть_и_дети'!X77-'06_Сеть_и_дети'!X105)*IF('01_Вводные'!$B$239="Да",MeanMinAge25+'19_Расчет_аналитики'!X4608*SUMIF(ThresholdAge25,"&lt;"&amp;'19_Расчет_аналитики'!X4608,WeightedRevAge25)-SUMIF(ThresholdAge25,"&lt;"&amp;'19_Расчет_аналитики'!X4608,WeightedMinAge25),MAX(CapacityAge25*'01_Вводные'!$B$218*'19_Расчет_аналитики'!X4608,MeanMinAge25))),0)</f>
        <v/>
      </c>
      <c r="Y4564">
        <f>IF('01_Вводные'!$B$234="Да",IF(OR(('06_Сеть_и_дети'!Y77-'06_Сеть_и_дети'!Y105)=0,25&lt;='01_Вводные'!$B$297),0,('06_Сеть_и_дети'!Y77-'06_Сеть_и_дети'!Y105)*IF('01_Вводные'!$B$239="Да",MeanMinAge25+'19_Расчет_аналитики'!Y4608*SUMIF(ThresholdAge25,"&lt;"&amp;'19_Расчет_аналитики'!Y4608,WeightedRevAge25)-SUMIF(ThresholdAge25,"&lt;"&amp;'19_Расчет_аналитики'!Y4608,WeightedMinAge25),MAX(CapacityAge25*'01_Вводные'!$B$218*'19_Расчет_аналитики'!Y4608,MeanMinAge25))),0)</f>
        <v/>
      </c>
      <c r="Z4564">
        <f>IF('01_Вводные'!$B$234="Да",IF(OR(('19_Расчет_аналитики'!Z4480-'19_Расчет_аналитики'!Z4508)=0,25&lt;='01_Вводные'!$B$297),0,('19_Расчет_аналитики'!Z4480-'19_Расчет_аналитики'!Z4508)*IF('01_Вводные'!$B$239="Да",MeanMinAge25+'19_Расчет_аналитики'!Z4608*SUMIF(ThresholdAge25,"&lt;"&amp;'19_Расчет_аналитики'!Z4608,WeightedRevAge25)-SUMIF(ThresholdAge25,"&lt;"&amp;'19_Расчет_аналитики'!Z4608,WeightedMinAge25),MAX(CapacityAge25*'01_Вводные'!$B$218*'19_Расчет_аналитики'!Z4608,MeanMinAge25))),0)</f>
        <v/>
      </c>
      <c r="AA4564">
        <f>IF('01_Вводные'!$B$234="Да",IF(OR(('19_Расчет_аналитики'!AA4480-'19_Расчет_аналитики'!AA4508)=0,25&lt;='01_Вводные'!$B$297),0,('19_Расчет_аналитики'!AA4480-'19_Расчет_аналитики'!AA4508)*IF('01_Вводные'!$B$239="Да",MeanMinAge25+'19_Расчет_аналитики'!AA4608*SUMIF(ThresholdAge25,"&lt;"&amp;'19_Расчет_аналитики'!AA4608,WeightedRevAge25)-SUMIF(ThresholdAge25,"&lt;"&amp;'19_Расчет_аналитики'!AA4608,WeightedMinAge25),MAX(CapacityAge25*'01_Вводные'!$B$218*'19_Расчет_аналитики'!AA4608,MeanMinAge25))),0)</f>
        <v/>
      </c>
      <c r="AB4564">
        <f>IF('01_Вводные'!$B$234="Да",IF(OR(('19_Расчет_аналитики'!AB4480-'19_Расчет_аналитики'!AB4508)=0,25&lt;='01_Вводные'!$B$297),0,('19_Расчет_аналитики'!AB4480-'19_Расчет_аналитики'!AB4508)*IF('01_Вводные'!$B$239="Да",MeanMinAge25+'19_Расчет_аналитики'!AB4608*SUMIF(ThresholdAge25,"&lt;"&amp;'19_Расчет_аналитики'!AB4608,WeightedRevAge25)-SUMIF(ThresholdAge25,"&lt;"&amp;'19_Расчет_аналитики'!AB4608,WeightedMinAge25),MAX(CapacityAge25*'01_Вводные'!$B$218*'19_Расчет_аналитики'!AB4608,MeanMinAge25))),0)</f>
        <v/>
      </c>
      <c r="AC4564">
        <f>IF('01_Вводные'!$B$234="Да",IF(OR(('19_Расчет_аналитики'!AC4480-'19_Расчет_аналитики'!AC4508)=0,25&lt;='01_Вводные'!$B$297),0,('19_Расчет_аналитики'!AC4480-'19_Расчет_аналитики'!AC4508)*IF('01_Вводные'!$B$239="Да",MeanMinAge25+'19_Расчет_аналитики'!AC4608*SUMIF(ThresholdAge25,"&lt;"&amp;'19_Расчет_аналитики'!AC4608,WeightedRevAge25)-SUMIF(ThresholdAge25,"&lt;"&amp;'19_Расчет_аналитики'!AC4608,WeightedMinAge25),MAX(CapacityAge25*'01_Вводные'!$B$218*'19_Расчет_аналитики'!AC4608,MeanMinAge25))),0)</f>
        <v/>
      </c>
      <c r="AD4564">
        <f>IF('01_Вводные'!$B$234="Да",IF(OR(('19_Расчет_аналитики'!AD4480-'19_Расчет_аналитики'!AD4508)=0,25&lt;='01_Вводные'!$B$297),0,('19_Расчет_аналитики'!AD4480-'19_Расчет_аналитики'!AD4508)*IF('01_Вводные'!$B$239="Да",MeanMinAge25+'19_Расчет_аналитики'!AD4608*SUMIF(ThresholdAge25,"&lt;"&amp;'19_Расчет_аналитики'!AD4608,WeightedRevAge25)-SUMIF(ThresholdAge25,"&lt;"&amp;'19_Расчет_аналитики'!AD4608,WeightedMinAge25),MAX(CapacityAge25*'01_Вводные'!$B$218*'19_Расчет_аналитики'!AD4608,MeanMinAge25))),0)</f>
        <v/>
      </c>
      <c r="AE4564">
        <f>IF('01_Вводные'!$B$234="Да",IF(OR(('19_Расчет_аналитики'!AE4480-'19_Расчет_аналитики'!AE4508)=0,25&lt;='01_Вводные'!$B$297),0,('19_Расчет_аналитики'!AE4480-'19_Расчет_аналитики'!AE4508)*IF('01_Вводные'!$B$239="Да",MeanMinAge25+'19_Расчет_аналитики'!AE4608*SUMIF(ThresholdAge25,"&lt;"&amp;'19_Расчет_аналитики'!AE4608,WeightedRevAge25)-SUMIF(ThresholdAge25,"&lt;"&amp;'19_Расчет_аналитики'!AE4608,WeightedMinAge25),MAX(CapacityAge25*'01_Вводные'!$B$218*'19_Расчет_аналитики'!AE4608,MeanMinAge25))),0)</f>
        <v/>
      </c>
      <c r="AF4564">
        <f>IF('01_Вводные'!$B$234="Да",IF(OR(('19_Расчет_аналитики'!AF4480-'19_Расчет_аналитики'!AF4508)=0,25&lt;='01_Вводные'!$B$297),0,('19_Расчет_аналитики'!AF4480-'19_Расчет_аналитики'!AF4508)*IF('01_Вводные'!$B$239="Да",MeanMinAge25+'19_Расчет_аналитики'!AF4608*SUMIF(ThresholdAge25,"&lt;"&amp;'19_Расчет_аналитики'!AF4608,WeightedRevAge25)-SUMIF(ThresholdAge25,"&lt;"&amp;'19_Расчет_аналитики'!AF4608,WeightedMinAge25),MAX(CapacityAge25*'01_Вводные'!$B$218*'19_Расчет_аналитики'!AF4608,MeanMinAge25))),0)</f>
        <v/>
      </c>
      <c r="AG4564">
        <f>IF('01_Вводные'!$B$234="Да",IF(OR(('19_Расчет_аналитики'!AG4480-'19_Расчет_аналитики'!AG4508)=0,25&lt;='01_Вводные'!$B$297),0,('19_Расчет_аналитики'!AG4480-'19_Расчет_аналитики'!AG4508)*IF('01_Вводные'!$B$239="Да",MeanMinAge25+'19_Расчет_аналитики'!AG4608*SUMIF(ThresholdAge25,"&lt;"&amp;'19_Расчет_аналитики'!AG4608,WeightedRevAge25)-SUMIF(ThresholdAge25,"&lt;"&amp;'19_Расчет_аналитики'!AG4608,WeightedMinAge25),MAX(CapacityAge25*'01_Вводные'!$B$218*'19_Расчет_аналитики'!AG4608,MeanMinAge25))),0)</f>
        <v/>
      </c>
      <c r="AH4564">
        <f>IF('01_Вводные'!$B$234="Да",IF(OR(('19_Расчет_аналитики'!AH4480-'19_Расчет_аналитики'!AH4508)=0,25&lt;='01_Вводные'!$B$297),0,('19_Расчет_аналитики'!AH4480-'19_Расчет_аналитики'!AH4508)*IF('01_Вводные'!$B$239="Да",MeanMinAge25+'19_Расчет_аналитики'!AH4608*SUMIF(ThresholdAge25,"&lt;"&amp;'19_Расчет_аналитики'!AH4608,WeightedRevAge25)-SUMIF(ThresholdAge25,"&lt;"&amp;'19_Расчет_аналитики'!AH4608,WeightedMinAge25),MAX(CapacityAge25*'01_Вводные'!$B$218*'19_Расчет_аналитики'!AH4608,MeanMinAge25))),0)</f>
        <v/>
      </c>
      <c r="AI4564">
        <f>IF('01_Вводные'!$B$234="Да",IF(OR(('19_Расчет_аналитики'!AI4480-'19_Расчет_аналитики'!AI4508)=0,25&lt;='01_Вводные'!$B$297),0,('19_Расчет_аналитики'!AI4480-'19_Расчет_аналитики'!AI4508)*IF('01_Вводные'!$B$239="Да",MeanMinAge25+'19_Расчет_аналитики'!AI4608*SUMIF(ThresholdAge25,"&lt;"&amp;'19_Расчет_аналитики'!AI4608,WeightedRevAge25)-SUMIF(ThresholdAge25,"&lt;"&amp;'19_Расчет_аналитики'!AI4608,WeightedMinAge25),MAX(CapacityAge25*'01_Вводные'!$B$218*'19_Расчет_аналитики'!AI4608,MeanMinAge25))),0)</f>
        <v/>
      </c>
      <c r="AJ4564">
        <f>IF('01_Вводные'!$B$234="Да",IF(OR(('19_Расчет_аналитики'!AJ4480-'19_Расчет_аналитики'!AJ4508)=0,25&lt;='01_Вводные'!$B$297),0,('19_Расчет_аналитики'!AJ4480-'19_Расчет_аналитики'!AJ4508)*IF('01_Вводные'!$B$239="Да",MeanMinAge25+'19_Расчет_аналитики'!AJ4608*SUMIF(ThresholdAge25,"&lt;"&amp;'19_Расчет_аналитики'!AJ4608,WeightedRevAge25)-SUMIF(ThresholdAge25,"&lt;"&amp;'19_Расчет_аналитики'!AJ4608,WeightedMinAge25),MAX(CapacityAge25*'01_Вводные'!$B$218*'19_Расчет_аналитики'!AJ4608,MeanMinAge25))),0)</f>
        <v/>
      </c>
      <c r="AK4564">
        <f>IF('01_Вводные'!$B$234="Да",IF(OR(('19_Расчет_аналитики'!AK4480-'19_Расчет_аналитики'!AK4508)=0,25&lt;='01_Вводные'!$B$297),0,('19_Расчет_аналитики'!AK4480-'19_Расчет_аналитики'!AK4508)*IF('01_Вводные'!$B$239="Да",MeanMinAge25+'19_Расчет_аналитики'!AK4608*SUMIF(ThresholdAge25,"&lt;"&amp;'19_Расчет_аналитики'!AK4608,WeightedRevAge25)-SUMIF(ThresholdAge25,"&lt;"&amp;'19_Расчет_аналитики'!AK4608,WeightedMinAge25),MAX(CapacityAge25*'01_Вводные'!$B$218*'19_Расчет_аналитики'!AK4608,MeanMinAge25))),0)</f>
        <v/>
      </c>
      <c r="AL4564">
        <f>IF('01_Вводные'!$B$234="Да",IF(OR(('19_Расчет_аналитики'!AL4480-'19_Расчет_аналитики'!AL4508)=0,25&lt;='01_Вводные'!$B$297),0,('19_Расчет_аналитики'!AL4480-'19_Расчет_аналитики'!AL4508)*IF('01_Вводные'!$B$239="Да",MeanMinAge25+'19_Расчет_аналитики'!AL4608*SUMIF(ThresholdAge25,"&lt;"&amp;'19_Расчет_аналитики'!AL4608,WeightedRevAge25)-SUMIF(ThresholdAge25,"&lt;"&amp;'19_Расчет_аналитики'!AL4608,WeightedMinAge25),MAX(CapacityAge25*'01_Вводные'!$B$218*'19_Расчет_аналитики'!AL4608,MeanMinAge25))),0)</f>
        <v/>
      </c>
      <c r="AM4564">
        <f>IF('01_Вводные'!$B$234="Да",IF(OR(('19_Расчет_аналитики'!AM4480-'19_Расчет_аналитики'!AM4508)=0,25&lt;='01_Вводные'!$B$297),0,('19_Расчет_аналитики'!AM4480-'19_Расчет_аналитики'!AM4508)*IF('01_Вводные'!$B$239="Да",MeanMinAge25+'19_Расчет_аналитики'!AM4608*SUMIF(ThresholdAge25,"&lt;"&amp;'19_Расчет_аналитики'!AM4608,WeightedRevAge25)-SUMIF(ThresholdAge25,"&lt;"&amp;'19_Расчет_аналитики'!AM4608,WeightedMinAge25),MAX(CapacityAge25*'01_Вводные'!$B$218*'19_Расчет_аналитики'!AM4608,MeanMinAge25))),0)</f>
        <v/>
      </c>
      <c r="AN4564">
        <f>IF('01_Вводные'!$B$234="Да",IF(OR(('19_Расчет_аналитики'!AN4480-'19_Расчет_аналитики'!AN4508)=0,25&lt;='01_Вводные'!$B$297),0,('19_Расчет_аналитики'!AN4480-'19_Расчет_аналитики'!AN4508)*IF('01_Вводные'!$B$239="Да",MeanMinAge25+'19_Расчет_аналитики'!AN4608*SUMIF(ThresholdAge25,"&lt;"&amp;'19_Расчет_аналитики'!AN4608,WeightedRevAge25)-SUMIF(ThresholdAge25,"&lt;"&amp;'19_Расчет_аналитики'!AN4608,WeightedMinAge25),MAX(CapacityAge25*'01_Вводные'!$B$218*'19_Расчет_аналитики'!AN4608,MeanMinAge25))),0)</f>
        <v/>
      </c>
      <c r="AO4564">
        <f>IF('01_Вводные'!$B$234="Да",IF(OR(('19_Расчет_аналитики'!AO4480-'19_Расчет_аналитики'!AO4508)=0,25&lt;='01_Вводные'!$B$297),0,('19_Расчет_аналитики'!AO4480-'19_Расчет_аналитики'!AO4508)*IF('01_Вводные'!$B$239="Да",MeanMinAge25+'19_Расчет_аналитики'!AO4608*SUMIF(ThresholdAge25,"&lt;"&amp;'19_Расчет_аналитики'!AO4608,WeightedRevAge25)-SUMIF(ThresholdAge25,"&lt;"&amp;'19_Расчет_аналитики'!AO4608,WeightedMinAge25),MAX(CapacityAge25*'01_Вводные'!$B$218*'19_Расчет_аналитики'!AO4608,MeanMinAge25))),0)</f>
        <v/>
      </c>
      <c r="AP4564">
        <f>IF('01_Вводные'!$B$234="Да",IF(OR(('19_Расчет_аналитики'!AP4480-'19_Расчет_аналитики'!AP4508)=0,25&lt;='01_Вводные'!$B$297),0,('19_Расчет_аналитики'!AP4480-'19_Расчет_аналитики'!AP4508)*IF('01_Вводные'!$B$239="Да",MeanMinAge25+'19_Расчет_аналитики'!AP4608*SUMIF(ThresholdAge25,"&lt;"&amp;'19_Расчет_аналитики'!AP4608,WeightedRevAge25)-SUMIF(ThresholdAge25,"&lt;"&amp;'19_Расчет_аналитики'!AP4608,WeightedMinAge25),MAX(CapacityAge25*'01_Вводные'!$B$218*'19_Расчет_аналитики'!AP4608,MeanMinAge25))),0)</f>
        <v/>
      </c>
      <c r="AQ4564">
        <f>IF('01_Вводные'!$B$234="Да",IF(OR(('19_Расчет_аналитики'!AQ4480-'19_Расчет_аналитики'!AQ4508)=0,25&lt;='01_Вводные'!$B$297),0,('19_Расчет_аналитики'!AQ4480-'19_Расчет_аналитики'!AQ4508)*IF('01_Вводные'!$B$239="Да",MeanMinAge25+'19_Расчет_аналитики'!AQ4608*SUMIF(ThresholdAge25,"&lt;"&amp;'19_Расчет_аналитики'!AQ4608,WeightedRevAge25)-SUMIF(ThresholdAge25,"&lt;"&amp;'19_Расчет_аналитики'!AQ4608,WeightedMinAge25),MAX(CapacityAge25*'01_Вводные'!$B$218*'19_Расчет_аналитики'!AQ4608,MeanMinAge25))),0)</f>
        <v/>
      </c>
      <c r="AR4564">
        <f>IF('01_Вводные'!$B$234="Да",IF(OR(('19_Расчет_аналитики'!AR4480-'19_Расчет_аналитики'!AR4508)=0,25&lt;='01_Вводные'!$B$297),0,('19_Расчет_аналитики'!AR4480-'19_Расчет_аналитики'!AR4508)*IF('01_Вводные'!$B$239="Да",MeanMinAge25+'19_Расчет_аналитики'!AR4608*SUMIF(ThresholdAge25,"&lt;"&amp;'19_Расчет_аналитики'!AR4608,WeightedRevAge25)-SUMIF(ThresholdAge25,"&lt;"&amp;'19_Расчет_аналитики'!AR4608,WeightedMinAge25),MAX(CapacityAge25*'01_Вводные'!$B$218*'19_Расчет_аналитики'!AR4608,MeanMinAge25))),0)</f>
        <v/>
      </c>
      <c r="AS4564">
        <f>IF('01_Вводные'!$B$234="Да",IF(OR(('19_Расчет_аналитики'!AS4480-'19_Расчет_аналитики'!AS4508)=0,25&lt;='01_Вводные'!$B$297),0,('19_Расчет_аналитики'!AS4480-'19_Расчет_аналитики'!AS4508)*IF('01_Вводные'!$B$239="Да",MeanMinAge25+'19_Расчет_аналитики'!AS4608*SUMIF(ThresholdAge25,"&lt;"&amp;'19_Расчет_аналитики'!AS4608,WeightedRevAge25)-SUMIF(ThresholdAge25,"&lt;"&amp;'19_Расчет_аналитики'!AS4608,WeightedMinAge25),MAX(CapacityAge25*'01_Вводные'!$B$218*'19_Расчет_аналитики'!AS4608,MeanMinAge25))),0)</f>
        <v/>
      </c>
      <c r="AT4564">
        <f>IF('01_Вводные'!$B$234="Да",IF(OR(('19_Расчет_аналитики'!AT4480-'19_Расчет_аналитики'!AT4508)=0,25&lt;='01_Вводные'!$B$297),0,('19_Расчет_аналитики'!AT4480-'19_Расчет_аналитики'!AT4508)*IF('01_Вводные'!$B$239="Да",MeanMinAge25+'19_Расчет_аналитики'!AT4608*SUMIF(ThresholdAge25,"&lt;"&amp;'19_Расчет_аналитики'!AT4608,WeightedRevAge25)-SUMIF(ThresholdAge25,"&lt;"&amp;'19_Расчет_аналитики'!AT4608,WeightedMinAge25),MAX(CapacityAge25*'01_Вводные'!$B$218*'19_Расчет_аналитики'!AT4608,MeanMinAge25))),0)</f>
        <v/>
      </c>
      <c r="AU4564">
        <f>IF('01_Вводные'!$B$234="Да",IF(OR(('19_Расчет_аналитики'!AU4480-'19_Расчет_аналитики'!AU4508)=0,25&lt;='01_Вводные'!$B$297),0,('19_Расчет_аналитики'!AU4480-'19_Расчет_аналитики'!AU4508)*IF('01_Вводные'!$B$239="Да",MeanMinAge25+'19_Расчет_аналитики'!AU4608*SUMIF(ThresholdAge25,"&lt;"&amp;'19_Расчет_аналитики'!AU4608,WeightedRevAge25)-SUMIF(ThresholdAge25,"&lt;"&amp;'19_Расчет_аналитики'!AU4608,WeightedMinAge25),MAX(CapacityAge25*'01_Вводные'!$B$218*'19_Расчет_аналитики'!AU4608,MeanMinAge25))),0)</f>
        <v/>
      </c>
      <c r="AV4564">
        <f>IF('01_Вводные'!$B$234="Да",IF(OR(('19_Расчет_аналитики'!AV4480-'19_Расчет_аналитики'!AV4508)=0,25&lt;='01_Вводные'!$B$297),0,('19_Расчет_аналитики'!AV4480-'19_Расчет_аналитики'!AV4508)*IF('01_Вводные'!$B$239="Да",MeanMinAge25+'19_Расчет_аналитики'!AV4608*SUMIF(ThresholdAge25,"&lt;"&amp;'19_Расчет_аналитики'!AV4608,WeightedRevAge25)-SUMIF(ThresholdAge25,"&lt;"&amp;'19_Расчет_аналитики'!AV4608,WeightedMinAge25),MAX(CapacityAge25*'01_Вводные'!$B$218*'19_Расчет_аналитики'!AV4608,MeanMinAge25))),0)</f>
        <v/>
      </c>
      <c r="AW4564">
        <f>IF('01_Вводные'!$B$234="Да",IF(OR(('19_Расчет_аналитики'!AW4480-'19_Расчет_аналитики'!AW4508)=0,25&lt;='01_Вводные'!$B$297),0,('19_Расчет_аналитики'!AW4480-'19_Расчет_аналитики'!AW4508)*IF('01_Вводные'!$B$239="Да",MeanMinAge25+'19_Расчет_аналитики'!AW4608*SUMIF(ThresholdAge25,"&lt;"&amp;'19_Расчет_аналитики'!AW4608,WeightedRevAge25)-SUMIF(ThresholdAge25,"&lt;"&amp;'19_Расчет_аналитики'!AW4608,WeightedMinAge25),MAX(CapacityAge25*'01_Вводные'!$B$218*'19_Расчет_аналитики'!AW4608,MeanMinAge25))),0)</f>
        <v/>
      </c>
      <c r="AX4564">
        <f>IF('01_Вводные'!$B$234="Да",IF(OR(('19_Расчет_аналитики'!AX4480-'19_Расчет_аналитики'!AX4508)=0,25&lt;='01_Вводные'!$B$297),0,('19_Расчет_аналитики'!AX4480-'19_Расчет_аналитики'!AX4508)*IF('01_Вводные'!$B$239="Да",MeanMinAge25+'19_Расчет_аналитики'!AX4608*SUMIF(ThresholdAge25,"&lt;"&amp;'19_Расчет_аналитики'!AX4608,WeightedRevAge25)-SUMIF(ThresholdAge25,"&lt;"&amp;'19_Расчет_аналитики'!AX4608,WeightedMinAge25),MAX(CapacityAge25*'01_Вводные'!$B$218*'19_Расчет_аналитики'!AX4608,MeanMinAge25))),0)</f>
        <v/>
      </c>
      <c r="AY4564">
        <f>IF('01_Вводные'!$B$234="Да",IF(OR(('19_Расчет_аналитики'!AY4480-'19_Расчет_аналитики'!AY4508)=0,25&lt;='01_Вводные'!$B$297),0,('19_Расчет_аналитики'!AY4480-'19_Расчет_аналитики'!AY4508)*IF('01_Вводные'!$B$239="Да",MeanMinAge25+'19_Расчет_аналитики'!AY4608*SUMIF(ThresholdAge25,"&lt;"&amp;'19_Расчет_аналитики'!AY4608,WeightedRevAge25)-SUMIF(ThresholdAge25,"&lt;"&amp;'19_Расчет_аналитики'!AY4608,WeightedMinAge25),MAX(CapacityAge25*'01_Вводные'!$B$218*'19_Расчет_аналитики'!AY4608,MeanMinAge25))),0)</f>
        <v/>
      </c>
      <c r="AZ4564">
        <f>IF('01_Вводные'!$B$234="Да",IF(OR(('19_Расчет_аналитики'!AZ4480-'19_Расчет_аналитики'!AZ4508)=0,25&lt;='01_Вводные'!$B$297),0,('19_Расчет_аналитики'!AZ4480-'19_Расчет_аналитики'!AZ4508)*IF('01_Вводные'!$B$239="Да",MeanMinAge25+'19_Расчет_аналитики'!AZ4608*SUMIF(ThresholdAge25,"&lt;"&amp;'19_Расчет_аналитики'!AZ4608,WeightedRevAge25)-SUMIF(ThresholdAge25,"&lt;"&amp;'19_Расчет_аналитики'!AZ4608,WeightedMinAge25),MAX(CapacityAge25*'01_Вводные'!$B$218*'19_Расчет_аналитики'!AZ4608,MeanMinAge25))),0)</f>
        <v/>
      </c>
      <c r="BA4564">
        <f>IF('01_Вводные'!$B$234="Да",IF(OR(('19_Расчет_аналитики'!BA4480-'19_Расчет_аналитики'!BA4508)=0,25&lt;='01_Вводные'!$B$297),0,('19_Расчет_аналитики'!BA4480-'19_Расчет_аналитики'!BA4508)*IF('01_Вводные'!$B$239="Да",MeanMinAge25+'19_Расчет_аналитики'!BA4608*SUMIF(ThresholdAge25,"&lt;"&amp;'19_Расчет_аналитики'!BA4608,WeightedRevAge25)-SUMIF(ThresholdAge25,"&lt;"&amp;'19_Расчет_аналитики'!BA4608,WeightedMinAge25),MAX(CapacityAge25*'01_Вводные'!$B$218*'19_Расчет_аналитики'!BA4608,MeanMinAge25))),0)</f>
        <v/>
      </c>
      <c r="BB4564">
        <f>IF('01_Вводные'!$B$234="Да",IF(OR(('19_Расчет_аналитики'!BB4480-'19_Расчет_аналитики'!BB4508)=0,25&lt;='01_Вводные'!$B$297),0,('19_Расчет_аналитики'!BB4480-'19_Расчет_аналитики'!BB4508)*IF('01_Вводные'!$B$239="Да",MeanMinAge25+'19_Расчет_аналитики'!BB4608*SUMIF(ThresholdAge25,"&lt;"&amp;'19_Расчет_аналитики'!BB4608,WeightedRevAge25)-SUMIF(ThresholdAge25,"&lt;"&amp;'19_Расчет_аналитики'!BB4608,WeightedMinAge25),MAX(CapacityAge25*'01_Вводные'!$B$218*'19_Расчет_аналитики'!BB4608,MeanMinAge25))),0)</f>
        <v/>
      </c>
      <c r="BC4564">
        <f>IF('01_Вводные'!$B$234="Да",IF(OR(('19_Расчет_аналитики'!BC4480-'19_Расчет_аналитики'!BC4508)=0,25&lt;='01_Вводные'!$B$297),0,('19_Расчет_аналитики'!BC4480-'19_Расчет_аналитики'!BC4508)*IF('01_Вводные'!$B$239="Да",MeanMinAge25+'19_Расчет_аналитики'!BC4608*SUMIF(ThresholdAge25,"&lt;"&amp;'19_Расчет_аналитики'!BC4608,WeightedRevAge25)-SUMIF(ThresholdAge25,"&lt;"&amp;'19_Расчет_аналитики'!BC4608,WeightedMinAge25),MAX(CapacityAge25*'01_Вводные'!$B$218*'19_Расчет_аналитики'!BC4608,MeanMinAge25))),0)</f>
        <v/>
      </c>
      <c r="BD4564">
        <f>IF('01_Вводные'!$B$234="Да",IF(OR(('19_Расчет_аналитики'!BD4480-'19_Расчет_аналитики'!BD4508)=0,25&lt;='01_Вводные'!$B$297),0,('19_Расчет_аналитики'!BD4480-'19_Расчет_аналитики'!BD4508)*IF('01_Вводные'!$B$239="Да",MeanMinAge25+'19_Расчет_аналитики'!BD4608*SUMIF(ThresholdAge25,"&lt;"&amp;'19_Расчет_аналитики'!BD4608,WeightedRevAge25)-SUMIF(ThresholdAge25,"&lt;"&amp;'19_Расчет_аналитики'!BD4608,WeightedMinAge25),MAX(CapacityAge25*'01_Вводные'!$B$218*'19_Расчет_аналитики'!BD4608,MeanMinAge25))),0)</f>
        <v/>
      </c>
      <c r="BE4564">
        <f>IF('01_Вводные'!$B$234="Да",IF(OR(('19_Расчет_аналитики'!BE4480-'19_Расчет_аналитики'!BE4508)=0,25&lt;='01_Вводные'!$B$297),0,('19_Расчет_аналитики'!BE4480-'19_Расчет_аналитики'!BE4508)*IF('01_Вводные'!$B$239="Да",MeanMinAge25+'19_Расчет_аналитики'!BE4608*SUMIF(ThresholdAge25,"&lt;"&amp;'19_Расчет_аналитики'!BE4608,WeightedRevAge25)-SUMIF(ThresholdAge25,"&lt;"&amp;'19_Расчет_аналитики'!BE4608,WeightedMinAge25),MAX(CapacityAge25*'01_Вводные'!$B$218*'19_Расчет_аналитики'!BE4608,MeanMinAge25))),0)</f>
        <v/>
      </c>
      <c r="BF4564">
        <f>IF('01_Вводные'!$B$234="Да",IF(OR(('19_Расчет_аналитики'!BF4480-'19_Расчет_аналитики'!BF4508)=0,25&lt;='01_Вводные'!$B$297),0,('19_Расчет_аналитики'!BF4480-'19_Расчет_аналитики'!BF4508)*IF('01_Вводные'!$B$239="Да",MeanMinAge25+'19_Расчет_аналитики'!BF4608*SUMIF(ThresholdAge25,"&lt;"&amp;'19_Расчет_аналитики'!BF4608,WeightedRevAge25)-SUMIF(ThresholdAge25,"&lt;"&amp;'19_Расчет_аналитики'!BF4608,WeightedMinAge25),MAX(CapacityAge25*'01_Вводные'!$B$218*'19_Расчет_аналитики'!BF4608,MeanMinAge25))),0)</f>
        <v/>
      </c>
      <c r="BG4564">
        <f>IF('01_Вводные'!$B$234="Да",IF(OR(('19_Расчет_аналитики'!BG4480-'19_Расчет_аналитики'!BG4508)=0,25&lt;='01_Вводные'!$B$297),0,('19_Расчет_аналитики'!BG4480-'19_Расчет_аналитики'!BG4508)*IF('01_Вводные'!$B$239="Да",MeanMinAge25+'19_Расчет_аналитики'!BG4608*SUMIF(ThresholdAge25,"&lt;"&amp;'19_Расчет_аналитики'!BG4608,WeightedRevAge25)-SUMIF(ThresholdAge25,"&lt;"&amp;'19_Расчет_аналитики'!BG4608,WeightedMinAge25),MAX(CapacityAge25*'01_Вводные'!$B$218*'19_Расчет_аналитики'!BG4608,MeanMinAge25))),0)</f>
        <v/>
      </c>
      <c r="BH4564">
        <f>IF('01_Вводные'!$B$234="Да",IF(OR(('19_Расчет_аналитики'!BH4480-'19_Расчет_аналитики'!BH4508)=0,25&lt;='01_Вводные'!$B$297),0,('19_Расчет_аналитики'!BH4480-'19_Расчет_аналитики'!BH4508)*IF('01_Вводные'!$B$239="Да",MeanMinAge25+'19_Расчет_аналитики'!BH4608*SUMIF(ThresholdAge25,"&lt;"&amp;'19_Расчет_аналитики'!BH4608,WeightedRevAge25)-SUMIF(ThresholdAge25,"&lt;"&amp;'19_Расчет_аналитики'!BH4608,WeightedMinAge25),MAX(CapacityAge25*'01_Вводные'!$B$218*'19_Расчет_аналитики'!BH4608,MeanMinAge25))),0)</f>
        <v/>
      </c>
      <c r="BI4564">
        <f>IF('01_Вводные'!$B$234="Да",IF(OR(('19_Расчет_аналитики'!BI4480-'19_Расчет_аналитики'!BI4508)=0,25&lt;='01_Вводные'!$B$297),0,('19_Расчет_аналитики'!BI4480-'19_Расчет_аналитики'!BI4508)*IF('01_Вводные'!$B$239="Да",MeanMinAge25+'19_Расчет_аналитики'!BI4608*SUMIF(ThresholdAge25,"&lt;"&amp;'19_Расчет_аналитики'!BI4608,WeightedRevAge25)-SUMIF(ThresholdAge25,"&lt;"&amp;'19_Расчет_аналитики'!BI4608,WeightedMinAge25),MAX(CapacityAge25*'01_Вводные'!$B$218*'19_Расчет_аналитики'!BI4608,MeanMinAge25))),0)</f>
        <v/>
      </c>
      <c r="BJ4564">
        <f>IF('01_Вводные'!$B$234="Да",IF(OR(('19_Расчет_аналитики'!BJ4480-'19_Расчет_аналитики'!BJ4508)=0,25&lt;='01_Вводные'!$B$297),0,('19_Расчет_аналитики'!BJ4480-'19_Расчет_аналитики'!BJ4508)*IF('01_Вводные'!$B$239="Да",MeanMinAge25+'19_Расчет_аналитики'!BJ4608*SUMIF(ThresholdAge25,"&lt;"&amp;'19_Расчет_аналитики'!BJ4608,WeightedRevAge25)-SUMIF(ThresholdAge25,"&lt;"&amp;'19_Расчет_аналитики'!BJ4608,WeightedMinAge25),MAX(CapacityAge25*'01_Вводные'!$B$218*'19_Расчет_аналитики'!BJ4608,MeanMinAge25))),0)</f>
        <v/>
      </c>
      <c r="BK4564">
        <f>IF('01_Вводные'!$B$234="Да",IF(OR(('19_Расчет_аналитики'!BK4480-'19_Расчет_аналитики'!BK4508)=0,25&lt;='01_Вводные'!$B$297),0,('19_Расчет_аналитики'!BK4480-'19_Расчет_аналитики'!BK4508)*IF('01_Вводные'!$B$239="Да",MeanMinAge25+'19_Расчет_аналитики'!BK4608*SUMIF(ThresholdAge25,"&lt;"&amp;'19_Расчет_аналитики'!BK4608,WeightedRevAge25)-SUMIF(ThresholdAge25,"&lt;"&amp;'19_Расчет_аналитики'!BK4608,WeightedMinAge25),MAX(CapacityAge25*'01_Вводные'!$B$218*'19_Расчет_аналитики'!BK4608,MeanMinAge25))),0)</f>
        <v/>
      </c>
      <c r="BL4564">
        <f>IF('01_Вводные'!$B$234="Да",IF(OR(('19_Расчет_аналитики'!BL4480-'19_Расчет_аналитики'!BL4508)=0,25&lt;='01_Вводные'!$B$297),0,('19_Расчет_аналитики'!BL4480-'19_Расчет_аналитики'!BL4508)*IF('01_Вводные'!$B$239="Да",MeanMinAge25+'19_Расчет_аналитики'!BL4608*SUMIF(ThresholdAge25,"&lt;"&amp;'19_Расчет_аналитики'!BL4608,WeightedRevAge25)-SUMIF(ThresholdAge25,"&lt;"&amp;'19_Расчет_аналитики'!BL4608,WeightedMinAge25),MAX(CapacityAge25*'01_Вводные'!$B$218*'19_Расчет_аналитики'!BL4608,MeanMinAge25))),0)</f>
        <v/>
      </c>
      <c r="BM4564">
        <f>IF('01_Вводные'!$B$234="Да",IF(OR(('19_Расчет_аналитики'!BM4480-'19_Расчет_аналитики'!BM4508)=0,25&lt;='01_Вводные'!$B$297),0,('19_Расчет_аналитики'!BM4480-'19_Расчет_аналитики'!BM4508)*IF('01_Вводные'!$B$239="Да",MeanMinAge25+'19_Расчет_аналитики'!BM4608*SUMIF(ThresholdAge25,"&lt;"&amp;'19_Расчет_аналитики'!BM4608,WeightedRevAge25)-SUMIF(ThresholdAge25,"&lt;"&amp;'19_Расчет_аналитики'!BM4608,WeightedMinAge25),MAX(CapacityAge25*'01_Вводные'!$B$218*'19_Расчет_аналитики'!BM4608,MeanMinAge25))),0)</f>
        <v/>
      </c>
      <c r="BN4564">
        <f>IF('01_Вводные'!$B$234="Да",IF(OR(('19_Расчет_аналитики'!BN4480-'19_Расчет_аналитики'!BN4508)=0,25&lt;='01_Вводные'!$B$297),0,('19_Расчет_аналитики'!BN4480-'19_Расчет_аналитики'!BN4508)*IF('01_Вводные'!$B$239="Да",MeanMinAge25+'19_Расчет_аналитики'!BN4608*SUMIF(ThresholdAge25,"&lt;"&amp;'19_Расчет_аналитики'!BN4608,WeightedRevAge25)-SUMIF(ThresholdAge25,"&lt;"&amp;'19_Расчет_аналитики'!BN4608,WeightedMinAge25),MAX(CapacityAge25*'01_Вводные'!$B$218*'19_Расчет_аналитики'!BN4608,MeanMinAge25))),0)</f>
        <v/>
      </c>
      <c r="BO4564">
        <f>IF('01_Вводные'!$B$234="Да",IF(OR(('19_Расчет_аналитики'!BO4480-'19_Расчет_аналитики'!BO4508)=0,25&lt;='01_Вводные'!$B$297),0,('19_Расчет_аналитики'!BO4480-'19_Расчет_аналитики'!BO4508)*IF('01_Вводные'!$B$239="Да",MeanMinAge25+'19_Расчет_аналитики'!BO4608*SUMIF(ThresholdAge25,"&lt;"&amp;'19_Расчет_аналитики'!BO4608,WeightedRevAge25)-SUMIF(ThresholdAge25,"&lt;"&amp;'19_Расчет_аналитики'!BO4608,WeightedMinAge25),MAX(CapacityAge25*'01_Вводные'!$B$218*'19_Расчет_аналитики'!BO4608,MeanMinAge25))),0)</f>
        <v/>
      </c>
    </row>
    <row r="4565"/>
    <row r="4566"/>
    <row r="4567"/>
    <row r="4568">
      <c r="B4568">
        <f>IF('01_Вводные'!$B$234="Да",IF(IF('01_Вводные'!$B$296="Новый сезон",FALSE,FALSE),'19_Расчет_аналитики'!B4456*CapacityAge01*'19_Расчет_аналитики'!$F$4259,0),0)</f>
        <v/>
      </c>
      <c r="C4568">
        <f>IF('01_Вводные'!$B$234="Да",IF(IF('01_Вводные'!$B$296="Новый сезон",FALSE,FALSE),'19_Расчет_аналитики'!C4456*CapacityAge01*'19_Расчет_аналитики'!$F$4259,0),0)</f>
        <v/>
      </c>
      <c r="D4568">
        <f>IF('01_Вводные'!$B$234="Да",IF(IF('01_Вводные'!$B$296="Новый сезон",FALSE,FALSE),'19_Расчет_аналитики'!D4456*CapacityAge01*'19_Расчет_аналитики'!$F$4259,0),0)</f>
        <v/>
      </c>
      <c r="E4568">
        <f>IF('01_Вводные'!$B$234="Да",IF(IF('01_Вводные'!$B$296="Новый сезон",FALSE,FALSE),'19_Расчет_аналитики'!E4456*CapacityAge01*'19_Расчет_аналитики'!$F$4259,0),0)</f>
        <v/>
      </c>
      <c r="F4568">
        <f>IF('01_Вводные'!$B$234="Да",IF(IF('01_Вводные'!$B$296="Новый сезон",FALSE,FALSE),'19_Расчет_аналитики'!F4456*CapacityAge01*'19_Расчет_аналитики'!$F$4259,0),0)</f>
        <v/>
      </c>
      <c r="G4568">
        <f>IF('01_Вводные'!$B$234="Да",IF(IF('01_Вводные'!$B$296="Новый сезон",FALSE,FALSE),'19_Расчет_аналитики'!G4456*CapacityAge01*'19_Расчет_аналитики'!$F$4259,0),0)</f>
        <v/>
      </c>
      <c r="H4568">
        <f>IF('01_Вводные'!$B$234="Да",IF(IF('01_Вводные'!$B$296="Новый сезон",FALSE,FALSE),'19_Расчет_аналитики'!H4456*CapacityAge01*'19_Расчет_аналитики'!$F$4259,0),0)</f>
        <v/>
      </c>
      <c r="I4568">
        <f>IF('01_Вводные'!$B$234="Да",IF(IF('01_Вводные'!$B$296="Новый сезон",FALSE,FALSE),'19_Расчет_аналитики'!I4456*CapacityAge01*'19_Расчет_аналитики'!$F$4259,0),0)</f>
        <v/>
      </c>
      <c r="J4568">
        <f>IF('01_Вводные'!$B$234="Да",IF(IF('01_Вводные'!$B$296="Новый сезон",FALSE,FALSE),'19_Расчет_аналитики'!J4456*CapacityAge01*'19_Расчет_аналитики'!$F$4259,0),0)</f>
        <v/>
      </c>
      <c r="K4568">
        <f>IF('01_Вводные'!$B$234="Да",IF(IF('01_Вводные'!$B$296="Новый сезон",FALSE,FALSE),'19_Расчет_аналитики'!K4456*CapacityAge01*'19_Расчет_аналитики'!$F$4259,0),0)</f>
        <v/>
      </c>
      <c r="L4568">
        <f>IF('01_Вводные'!$B$234="Да",IF(IF('01_Вводные'!$B$296="Новый сезон",FALSE,FALSE),'19_Расчет_аналитики'!L4456*CapacityAge01*'19_Расчет_аналитики'!$F$4259,0),0)</f>
        <v/>
      </c>
      <c r="M4568">
        <f>IF('01_Вводные'!$B$234="Да",IF(IF('01_Вводные'!$B$296="Новый сезон",FALSE,FALSE),'19_Расчет_аналитики'!M4456*CapacityAge01*'19_Расчет_аналитики'!$F$4259,0),0)</f>
        <v/>
      </c>
      <c r="N4568">
        <f>IF('01_Вводные'!$B$234="Да",IF(IF('01_Вводные'!$B$296="Новый сезон",FALSE,FALSE),'19_Расчет_аналитики'!N4456*CapacityAge01*'19_Расчет_аналитики'!$F$4259,0),0)</f>
        <v/>
      </c>
      <c r="O4568">
        <f>IF('01_Вводные'!$B$234="Да",IF(IF('01_Вводные'!$B$296="Новый сезон",FALSE,FALSE),'19_Расчет_аналитики'!O4456*CapacityAge01*'19_Расчет_аналитики'!$F$4259,0),0)</f>
        <v/>
      </c>
      <c r="P4568">
        <f>IF('01_Вводные'!$B$234="Да",IF(IF('01_Вводные'!$B$296="Новый сезон",FALSE,FALSE),'19_Расчет_аналитики'!P4456*CapacityAge01*'19_Расчет_аналитики'!$F$4259,0),0)</f>
        <v/>
      </c>
      <c r="Q4568">
        <f>IF('01_Вводные'!$B$234="Да",IF(IF('01_Вводные'!$B$296="Новый сезон",FALSE,FALSE),'19_Расчет_аналитики'!Q4456*CapacityAge01*'19_Расчет_аналитики'!$F$4259,0),0)</f>
        <v/>
      </c>
      <c r="R4568">
        <f>IF('01_Вводные'!$B$234="Да",IF(IF('01_Вводные'!$B$296="Новый сезон",FALSE,FALSE),'19_Расчет_аналитики'!R4456*CapacityAge01*'19_Расчет_аналитики'!$F$4259,0),0)</f>
        <v/>
      </c>
      <c r="S4568">
        <f>IF('01_Вводные'!$B$234="Да",IF(IF('01_Вводные'!$B$296="Новый сезон",FALSE,FALSE),'19_Расчет_аналитики'!S4456*CapacityAge01*'19_Расчет_аналитики'!$F$4259,0),0)</f>
        <v/>
      </c>
      <c r="T4568">
        <f>IF('01_Вводные'!$B$234="Да",IF(IF('01_Вводные'!$B$296="Новый сезон",FALSE,FALSE),'19_Расчет_аналитики'!T4456*CapacityAge01*'19_Расчет_аналитики'!$F$4259,0),0)</f>
        <v/>
      </c>
      <c r="U4568">
        <f>IF('01_Вводные'!$B$234="Да",IF(IF('01_Вводные'!$B$296="Новый сезон",FALSE,FALSE),'19_Расчет_аналитики'!U4456*CapacityAge01*'19_Расчет_аналитики'!$F$4259,0),0)</f>
        <v/>
      </c>
      <c r="V4568">
        <f>IF('01_Вводные'!$B$234="Да",IF(IF('01_Вводные'!$B$296="Новый сезон",FALSE,FALSE),'19_Расчет_аналитики'!V4456*CapacityAge01*'19_Расчет_аналитики'!$F$4259,0),0)</f>
        <v/>
      </c>
      <c r="W4568">
        <f>IF('01_Вводные'!$B$234="Да",IF(IF('01_Вводные'!$B$296="Новый сезон",FALSE,FALSE),'19_Расчет_аналитики'!W4456*CapacityAge01*'19_Расчет_аналитики'!$F$4259,0),0)</f>
        <v/>
      </c>
      <c r="X4568">
        <f>IF('01_Вводные'!$B$234="Да",IF(IF('01_Вводные'!$B$296="Новый сезон",FALSE,FALSE),'19_Расчет_аналитики'!X4456*CapacityAge01*'19_Расчет_аналитики'!$F$4259,0),0)</f>
        <v/>
      </c>
      <c r="Y4568">
        <f>IF('01_Вводные'!$B$234="Да",IF(IF('01_Вводные'!$B$296="Новый сезон",FALSE,FALSE),'19_Расчет_аналитики'!Y4456*CapacityAge01*'19_Расчет_аналитики'!$F$4259,0),0)</f>
        <v/>
      </c>
      <c r="Z4568">
        <f>IF('01_Вводные'!$B$234="Да",IF(IF('01_Вводные'!$B$296="Новый сезон",FALSE,FALSE),'19_Расчет_аналитики'!Z4456*CapacityAge01*'19_Расчет_аналитики'!$F$4259,0),0)</f>
        <v/>
      </c>
      <c r="AA4568">
        <f>IF('01_Вводные'!$B$234="Да",IF(IF('01_Вводные'!$B$296="Новый сезон",FALSE,FALSE),'19_Расчет_аналитики'!AA4456*CapacityAge01*'19_Расчет_аналитики'!$F$4259,0),0)</f>
        <v/>
      </c>
      <c r="AB4568">
        <f>IF('01_Вводные'!$B$234="Да",IF(IF('01_Вводные'!$B$296="Новый сезон",FALSE,FALSE),'19_Расчет_аналитики'!AB4456*CapacityAge01*'19_Расчет_аналитики'!$F$4259,0),0)</f>
        <v/>
      </c>
      <c r="AC4568">
        <f>IF('01_Вводные'!$B$234="Да",IF(IF('01_Вводные'!$B$296="Новый сезон",FALSE,FALSE),'19_Расчет_аналитики'!AC4456*CapacityAge01*'19_Расчет_аналитики'!$F$4259,0),0)</f>
        <v/>
      </c>
      <c r="AD4568">
        <f>IF('01_Вводные'!$B$234="Да",IF(IF('01_Вводные'!$B$296="Новый сезон",FALSE,FALSE),'19_Расчет_аналитики'!AD4456*CapacityAge01*'19_Расчет_аналитики'!$F$4259,0),0)</f>
        <v/>
      </c>
      <c r="AE4568">
        <f>IF('01_Вводные'!$B$234="Да",IF(IF('01_Вводные'!$B$296="Новый сезон",FALSE,FALSE),'19_Расчет_аналитики'!AE4456*CapacityAge01*'19_Расчет_аналитики'!$F$4259,0),0)</f>
        <v/>
      </c>
      <c r="AF4568">
        <f>IF('01_Вводные'!$B$234="Да",IF(IF('01_Вводные'!$B$296="Новый сезон",FALSE,FALSE),'19_Расчет_аналитики'!AF4456*CapacityAge01*'19_Расчет_аналитики'!$F$4259,0),0)</f>
        <v/>
      </c>
      <c r="AG4568">
        <f>IF('01_Вводные'!$B$234="Да",IF(IF('01_Вводные'!$B$296="Новый сезон",FALSE,FALSE),'19_Расчет_аналитики'!AG4456*CapacityAge01*'19_Расчет_аналитики'!$F$4259,0),0)</f>
        <v/>
      </c>
      <c r="AH4568">
        <f>IF('01_Вводные'!$B$234="Да",IF(IF('01_Вводные'!$B$296="Новый сезон",FALSE,FALSE),'19_Расчет_аналитики'!AH4456*CapacityAge01*'19_Расчет_аналитики'!$F$4259,0),0)</f>
        <v/>
      </c>
      <c r="AI4568">
        <f>IF('01_Вводные'!$B$234="Да",IF(IF('01_Вводные'!$B$296="Новый сезон",FALSE,FALSE),'19_Расчет_аналитики'!AI4456*CapacityAge01*'19_Расчет_аналитики'!$F$4259,0),0)</f>
        <v/>
      </c>
      <c r="AJ4568">
        <f>IF('01_Вводные'!$B$234="Да",IF(IF('01_Вводные'!$B$296="Новый сезон",FALSE,FALSE),'19_Расчет_аналитики'!AJ4456*CapacityAge01*'19_Расчет_аналитики'!$F$4259,0),0)</f>
        <v/>
      </c>
      <c r="AK4568">
        <f>IF('01_Вводные'!$B$234="Да",IF(IF('01_Вводные'!$B$296="Новый сезон",FALSE,FALSE),'19_Расчет_аналитики'!AK4456*CapacityAge01*'19_Расчет_аналитики'!$F$4259,0),0)</f>
        <v/>
      </c>
      <c r="AL4568">
        <f>IF('01_Вводные'!$B$234="Да",IF(IF('01_Вводные'!$B$296="Новый сезон",FALSE,FALSE),'19_Расчет_аналитики'!AL4456*CapacityAge01*'19_Расчет_аналитики'!$F$4259,0),0)</f>
        <v/>
      </c>
      <c r="AM4568">
        <f>IF('01_Вводные'!$B$234="Да",IF(IF('01_Вводные'!$B$296="Новый сезон",FALSE,FALSE),'19_Расчет_аналитики'!AM4456*CapacityAge01*'19_Расчет_аналитики'!$F$4259,0),0)</f>
        <v/>
      </c>
      <c r="AN4568">
        <f>IF('01_Вводные'!$B$234="Да",IF(IF('01_Вводные'!$B$296="Новый сезон",FALSE,FALSE),'19_Расчет_аналитики'!AN4456*CapacityAge01*'19_Расчет_аналитики'!$F$4259,0),0)</f>
        <v/>
      </c>
      <c r="AO4568">
        <f>IF('01_Вводные'!$B$234="Да",IF(IF('01_Вводные'!$B$296="Новый сезон",FALSE,FALSE),'19_Расчет_аналитики'!AO4456*CapacityAge01*'19_Расчет_аналитики'!$F$4259,0),0)</f>
        <v/>
      </c>
      <c r="AP4568">
        <f>IF('01_Вводные'!$B$234="Да",IF(IF('01_Вводные'!$B$296="Новый сезон",FALSE,FALSE),'19_Расчет_аналитики'!AP4456*CapacityAge01*'19_Расчет_аналитики'!$F$4259,0),0)</f>
        <v/>
      </c>
      <c r="AQ4568">
        <f>IF('01_Вводные'!$B$234="Да",IF(IF('01_Вводные'!$B$296="Новый сезон",FALSE,FALSE),'19_Расчет_аналитики'!AQ4456*CapacityAge01*'19_Расчет_аналитики'!$F$4259,0),0)</f>
        <v/>
      </c>
      <c r="AR4568">
        <f>IF('01_Вводные'!$B$234="Да",IF(IF('01_Вводные'!$B$296="Новый сезон",FALSE,FALSE),'19_Расчет_аналитики'!AR4456*CapacityAge01*'19_Расчет_аналитики'!$F$4259,0),0)</f>
        <v/>
      </c>
      <c r="AS4568">
        <f>IF('01_Вводные'!$B$234="Да",IF(IF('01_Вводные'!$B$296="Новый сезон",FALSE,FALSE),'19_Расчет_аналитики'!AS4456*CapacityAge01*'19_Расчет_аналитики'!$F$4259,0),0)</f>
        <v/>
      </c>
      <c r="AT4568">
        <f>IF('01_Вводные'!$B$234="Да",IF(IF('01_Вводные'!$B$296="Новый сезон",FALSE,FALSE),'19_Расчет_аналитики'!AT4456*CapacityAge01*'19_Расчет_аналитики'!$F$4259,0),0)</f>
        <v/>
      </c>
      <c r="AU4568">
        <f>IF('01_Вводные'!$B$234="Да",IF(IF('01_Вводные'!$B$296="Новый сезон",FALSE,FALSE),'19_Расчет_аналитики'!AU4456*CapacityAge01*'19_Расчет_аналитики'!$F$4259,0),0)</f>
        <v/>
      </c>
      <c r="AV4568">
        <f>IF('01_Вводные'!$B$234="Да",IF(IF('01_Вводные'!$B$296="Новый сезон",FALSE,FALSE),'19_Расчет_аналитики'!AV4456*CapacityAge01*'19_Расчет_аналитики'!$F$4259,0),0)</f>
        <v/>
      </c>
      <c r="AW4568">
        <f>IF('01_Вводные'!$B$234="Да",IF(IF('01_Вводные'!$B$296="Новый сезон",FALSE,FALSE),'19_Расчет_аналитики'!AW4456*CapacityAge01*'19_Расчет_аналитики'!$F$4259,0),0)</f>
        <v/>
      </c>
      <c r="AX4568">
        <f>IF('01_Вводные'!$B$234="Да",IF(IF('01_Вводные'!$B$296="Новый сезон",FALSE,FALSE),'19_Расчет_аналитики'!AX4456*CapacityAge01*'19_Расчет_аналитики'!$F$4259,0),0)</f>
        <v/>
      </c>
      <c r="AY4568">
        <f>IF('01_Вводные'!$B$234="Да",IF(IF('01_Вводные'!$B$296="Новый сезон",FALSE,FALSE),'19_Расчет_аналитики'!AY4456*CapacityAge01*'19_Расчет_аналитики'!$F$4259,0),0)</f>
        <v/>
      </c>
      <c r="AZ4568">
        <f>IF('01_Вводные'!$B$234="Да",IF(IF('01_Вводные'!$B$296="Новый сезон",FALSE,FALSE),'19_Расчет_аналитики'!AZ4456*CapacityAge01*'19_Расчет_аналитики'!$F$4259,0),0)</f>
        <v/>
      </c>
      <c r="BA4568">
        <f>IF('01_Вводные'!$B$234="Да",IF(IF('01_Вводные'!$B$296="Новый сезон",FALSE,FALSE),'19_Расчет_аналитики'!BA4456*CapacityAge01*'19_Расчет_аналитики'!$F$4259,0),0)</f>
        <v/>
      </c>
      <c r="BB4568">
        <f>IF('01_Вводные'!$B$234="Да",IF(IF('01_Вводные'!$B$296="Новый сезон",FALSE,FALSE),'19_Расчет_аналитики'!BB4456*CapacityAge01*'19_Расчет_аналитики'!$F$4259,0),0)</f>
        <v/>
      </c>
      <c r="BC4568">
        <f>IF('01_Вводные'!$B$234="Да",IF(IF('01_Вводные'!$B$296="Новый сезон",FALSE,FALSE),'19_Расчет_аналитики'!BC4456*CapacityAge01*'19_Расчет_аналитики'!$F$4259,0),0)</f>
        <v/>
      </c>
      <c r="BD4568">
        <f>IF('01_Вводные'!$B$234="Да",IF(IF('01_Вводные'!$B$296="Новый сезон",FALSE,FALSE),'19_Расчет_аналитики'!BD4456*CapacityAge01*'19_Расчет_аналитики'!$F$4259,0),0)</f>
        <v/>
      </c>
      <c r="BE4568">
        <f>IF('01_Вводные'!$B$234="Да",IF(IF('01_Вводные'!$B$296="Новый сезон",FALSE,FALSE),'19_Расчет_аналитики'!BE4456*CapacityAge01*'19_Расчет_аналитики'!$F$4259,0),0)</f>
        <v/>
      </c>
      <c r="BF4568">
        <f>IF('01_Вводные'!$B$234="Да",IF(IF('01_Вводные'!$B$296="Новый сезон",FALSE,FALSE),'19_Расчет_аналитики'!BF4456*CapacityAge01*'19_Расчет_аналитики'!$F$4259,0),0)</f>
        <v/>
      </c>
      <c r="BG4568">
        <f>IF('01_Вводные'!$B$234="Да",IF(IF('01_Вводные'!$B$296="Новый сезон",FALSE,FALSE),'19_Расчет_аналитики'!BG4456*CapacityAge01*'19_Расчет_аналитики'!$F$4259,0),0)</f>
        <v/>
      </c>
      <c r="BH4568">
        <f>IF('01_Вводные'!$B$234="Да",IF(IF('01_Вводные'!$B$296="Новый сезон",FALSE,FALSE),'19_Расчет_аналитики'!BH4456*CapacityAge01*'19_Расчет_аналитики'!$F$4259,0),0)</f>
        <v/>
      </c>
      <c r="BI4568">
        <f>IF('01_Вводные'!$B$234="Да",IF(IF('01_Вводные'!$B$296="Новый сезон",FALSE,FALSE),'19_Расчет_аналитики'!BI4456*CapacityAge01*'19_Расчет_аналитики'!$F$4259,0),0)</f>
        <v/>
      </c>
      <c r="BJ4568">
        <f>IF('01_Вводные'!$B$234="Да",IF(IF('01_Вводные'!$B$296="Новый сезон",FALSE,FALSE),'19_Расчет_аналитики'!BJ4456*CapacityAge01*'19_Расчет_аналитики'!$F$4259,0),0)</f>
        <v/>
      </c>
      <c r="BK4568">
        <f>IF('01_Вводные'!$B$234="Да",IF(IF('01_Вводные'!$B$296="Новый сезон",FALSE,FALSE),'19_Расчет_аналитики'!BK4456*CapacityAge01*'19_Расчет_аналитики'!$F$4259,0),0)</f>
        <v/>
      </c>
      <c r="BL4568">
        <f>IF('01_Вводные'!$B$234="Да",IF(IF('01_Вводные'!$B$296="Новый сезон",FALSE,FALSE),'19_Расчет_аналитики'!BL4456*CapacityAge01*'19_Расчет_аналитики'!$F$4259,0),0)</f>
        <v/>
      </c>
      <c r="BM4568">
        <f>IF('01_Вводные'!$B$234="Да",IF(IF('01_Вводные'!$B$296="Новый сезон",FALSE,FALSE),'19_Расчет_аналитики'!BM4456*CapacityAge01*'19_Расчет_аналитики'!$F$4259,0),0)</f>
        <v/>
      </c>
      <c r="BN4568">
        <f>IF('01_Вводные'!$B$234="Да",IF(IF('01_Вводные'!$B$296="Новый сезон",FALSE,FALSE),'19_Расчет_аналитики'!BN4456*CapacityAge01*'19_Расчет_аналитики'!$F$4259,0),0)</f>
        <v/>
      </c>
      <c r="BO4568">
        <f>IF('01_Вводные'!$B$234="Да",IF(IF('01_Вводные'!$B$296="Новый сезон",FALSE,FALSE),'19_Расчет_аналитики'!BO4456*CapacityAge01*'19_Расчет_аналитики'!$F$4259,0),0)</f>
        <v/>
      </c>
    </row>
    <row r="4569">
      <c r="B4569">
        <f>IF('01_Вводные'!$B$234="Да",IF(IF('01_Вводные'!$B$296="Новый сезон",FALSE,FALSE),'06_Сеть_и_дети'!B54*CapacityAge02*'19_Расчет_аналитики'!$F$4259,0),0)</f>
        <v/>
      </c>
      <c r="C4569">
        <f>IF('01_Вводные'!$B$234="Да",IF(IF('01_Вводные'!$B$296="Новый сезон",FALSE,FALSE),'19_Расчет_аналитики'!C4457*CapacityAge02*'19_Расчет_аналитики'!$F$4259,0),0)</f>
        <v/>
      </c>
      <c r="D4569">
        <f>IF('01_Вводные'!$B$234="Да",IF(IF('01_Вводные'!$B$296="Новый сезон",FALSE,FALSE),'19_Расчет_аналитики'!D4457*CapacityAge02*'19_Расчет_аналитики'!$F$4259,0),0)</f>
        <v/>
      </c>
      <c r="E4569">
        <f>IF('01_Вводные'!$B$234="Да",IF(IF('01_Вводные'!$B$296="Новый сезон",FALSE,FALSE),'19_Расчет_аналитики'!E4457*CapacityAge02*'19_Расчет_аналитики'!$F$4259,0),0)</f>
        <v/>
      </c>
      <c r="F4569">
        <f>IF('01_Вводные'!$B$234="Да",IF(IF('01_Вводные'!$B$296="Новый сезон",FALSE,FALSE),'19_Расчет_аналитики'!F4457*CapacityAge02*'19_Расчет_аналитики'!$F$4259,0),0)</f>
        <v/>
      </c>
      <c r="G4569">
        <f>IF('01_Вводные'!$B$234="Да",IF(IF('01_Вводные'!$B$296="Новый сезон",FALSE,FALSE),'19_Расчет_аналитики'!G4457*CapacityAge02*'19_Расчет_аналитики'!$F$4259,0),0)</f>
        <v/>
      </c>
      <c r="H4569">
        <f>IF('01_Вводные'!$B$234="Да",IF(IF('01_Вводные'!$B$296="Новый сезон",FALSE,FALSE),'19_Расчет_аналитики'!H4457*CapacityAge02*'19_Расчет_аналитики'!$F$4259,0),0)</f>
        <v/>
      </c>
      <c r="I4569">
        <f>IF('01_Вводные'!$B$234="Да",IF(IF('01_Вводные'!$B$296="Новый сезон",FALSE,FALSE),'19_Расчет_аналитики'!I4457*CapacityAge02*'19_Расчет_аналитики'!$F$4259,0),0)</f>
        <v/>
      </c>
      <c r="J4569">
        <f>IF('01_Вводные'!$B$234="Да",IF(IF('01_Вводные'!$B$296="Новый сезон",FALSE,FALSE),'19_Расчет_аналитики'!J4457*CapacityAge02*'19_Расчет_аналитики'!$F$4259,0),0)</f>
        <v/>
      </c>
      <c r="K4569">
        <f>IF('01_Вводные'!$B$234="Да",IF(IF('01_Вводные'!$B$296="Новый сезон",FALSE,FALSE),'19_Расчет_аналитики'!K4457*CapacityAge02*'19_Расчет_аналитики'!$F$4259,0),0)</f>
        <v/>
      </c>
      <c r="L4569">
        <f>IF('01_Вводные'!$B$234="Да",IF(IF('01_Вводные'!$B$296="Новый сезон",FALSE,FALSE),'19_Расчет_аналитики'!L4457*CapacityAge02*'19_Расчет_аналитики'!$F$4259,0),0)</f>
        <v/>
      </c>
      <c r="M4569">
        <f>IF('01_Вводные'!$B$234="Да",IF(IF('01_Вводные'!$B$296="Новый сезон",FALSE,FALSE),'19_Расчет_аналитики'!M4457*CapacityAge02*'19_Расчет_аналитики'!$F$4259,0),0)</f>
        <v/>
      </c>
      <c r="N4569">
        <f>IF('01_Вводные'!$B$234="Да",IF(IF('01_Вводные'!$B$296="Новый сезон",FALSE,FALSE),'19_Расчет_аналитики'!N4457*CapacityAge02*'19_Расчет_аналитики'!$F$4259,0),0)</f>
        <v/>
      </c>
      <c r="O4569">
        <f>IF('01_Вводные'!$B$234="Да",IF(IF('01_Вводные'!$B$296="Новый сезон",FALSE,FALSE),'19_Расчет_аналитики'!O4457*CapacityAge02*'19_Расчет_аналитики'!$F$4259,0),0)</f>
        <v/>
      </c>
      <c r="P4569">
        <f>IF('01_Вводные'!$B$234="Да",IF(IF('01_Вводные'!$B$296="Новый сезон",FALSE,FALSE),'19_Расчет_аналитики'!P4457*CapacityAge02*'19_Расчет_аналитики'!$F$4259,0),0)</f>
        <v/>
      </c>
      <c r="Q4569">
        <f>IF('01_Вводные'!$B$234="Да",IF(IF('01_Вводные'!$B$296="Новый сезон",FALSE,FALSE),'19_Расчет_аналитики'!Q4457*CapacityAge02*'19_Расчет_аналитики'!$F$4259,0),0)</f>
        <v/>
      </c>
      <c r="R4569">
        <f>IF('01_Вводные'!$B$234="Да",IF(IF('01_Вводные'!$B$296="Новый сезон",FALSE,FALSE),'19_Расчет_аналитики'!R4457*CapacityAge02*'19_Расчет_аналитики'!$F$4259,0),0)</f>
        <v/>
      </c>
      <c r="S4569">
        <f>IF('01_Вводные'!$B$234="Да",IF(IF('01_Вводные'!$B$296="Новый сезон",FALSE,FALSE),'19_Расчет_аналитики'!S4457*CapacityAge02*'19_Расчет_аналитики'!$F$4259,0),0)</f>
        <v/>
      </c>
      <c r="T4569">
        <f>IF('01_Вводные'!$B$234="Да",IF(IF('01_Вводные'!$B$296="Новый сезон",FALSE,FALSE),'19_Расчет_аналитики'!T4457*CapacityAge02*'19_Расчет_аналитики'!$F$4259,0),0)</f>
        <v/>
      </c>
      <c r="U4569">
        <f>IF('01_Вводные'!$B$234="Да",IF(IF('01_Вводные'!$B$296="Новый сезон",FALSE,FALSE),'19_Расчет_аналитики'!U4457*CapacityAge02*'19_Расчет_аналитики'!$F$4259,0),0)</f>
        <v/>
      </c>
      <c r="V4569">
        <f>IF('01_Вводные'!$B$234="Да",IF(IF('01_Вводные'!$B$296="Новый сезон",FALSE,FALSE),'19_Расчет_аналитики'!V4457*CapacityAge02*'19_Расчет_аналитики'!$F$4259,0),0)</f>
        <v/>
      </c>
      <c r="W4569">
        <f>IF('01_Вводные'!$B$234="Да",IF(IF('01_Вводные'!$B$296="Новый сезон",FALSE,FALSE),'19_Расчет_аналитики'!W4457*CapacityAge02*'19_Расчет_аналитики'!$F$4259,0),0)</f>
        <v/>
      </c>
      <c r="X4569">
        <f>IF('01_Вводные'!$B$234="Да",IF(IF('01_Вводные'!$B$296="Новый сезон",FALSE,FALSE),'19_Расчет_аналитики'!X4457*CapacityAge02*'19_Расчет_аналитики'!$F$4259,0),0)</f>
        <v/>
      </c>
      <c r="Y4569">
        <f>IF('01_Вводные'!$B$234="Да",IF(IF('01_Вводные'!$B$296="Новый сезон",FALSE,FALSE),'19_Расчет_аналитики'!Y4457*CapacityAge02*'19_Расчет_аналитики'!$F$4259,0),0)</f>
        <v/>
      </c>
      <c r="Z4569">
        <f>IF('01_Вводные'!$B$234="Да",IF(IF('01_Вводные'!$B$296="Новый сезон",FALSE,FALSE),'19_Расчет_аналитики'!Z4457*CapacityAge02*'19_Расчет_аналитики'!$F$4259,0),0)</f>
        <v/>
      </c>
      <c r="AA4569">
        <f>IF('01_Вводные'!$B$234="Да",IF(IF('01_Вводные'!$B$296="Новый сезон",FALSE,FALSE),'19_Расчет_аналитики'!AA4457*CapacityAge02*'19_Расчет_аналитики'!$F$4259,0),0)</f>
        <v/>
      </c>
      <c r="AB4569">
        <f>IF('01_Вводные'!$B$234="Да",IF(IF('01_Вводные'!$B$296="Новый сезон",FALSE,FALSE),'19_Расчет_аналитики'!AB4457*CapacityAge02*'19_Расчет_аналитики'!$F$4259,0),0)</f>
        <v/>
      </c>
      <c r="AC4569">
        <f>IF('01_Вводные'!$B$234="Да",IF(IF('01_Вводные'!$B$296="Новый сезон",FALSE,FALSE),'19_Расчет_аналитики'!AC4457*CapacityAge02*'19_Расчет_аналитики'!$F$4259,0),0)</f>
        <v/>
      </c>
      <c r="AD4569">
        <f>IF('01_Вводные'!$B$234="Да",IF(IF('01_Вводные'!$B$296="Новый сезон",FALSE,FALSE),'19_Расчет_аналитики'!AD4457*CapacityAge02*'19_Расчет_аналитики'!$F$4259,0),0)</f>
        <v/>
      </c>
      <c r="AE4569">
        <f>IF('01_Вводные'!$B$234="Да",IF(IF('01_Вводные'!$B$296="Новый сезон",FALSE,FALSE),'19_Расчет_аналитики'!AE4457*CapacityAge02*'19_Расчет_аналитики'!$F$4259,0),0)</f>
        <v/>
      </c>
      <c r="AF4569">
        <f>IF('01_Вводные'!$B$234="Да",IF(IF('01_Вводные'!$B$296="Новый сезон",FALSE,FALSE),'19_Расчет_аналитики'!AF4457*CapacityAge02*'19_Расчет_аналитики'!$F$4259,0),0)</f>
        <v/>
      </c>
      <c r="AG4569">
        <f>IF('01_Вводные'!$B$234="Да",IF(IF('01_Вводные'!$B$296="Новый сезон",FALSE,FALSE),'19_Расчет_аналитики'!AG4457*CapacityAge02*'19_Расчет_аналитики'!$F$4259,0),0)</f>
        <v/>
      </c>
      <c r="AH4569">
        <f>IF('01_Вводные'!$B$234="Да",IF(IF('01_Вводные'!$B$296="Новый сезон",FALSE,FALSE),'19_Расчет_аналитики'!AH4457*CapacityAge02*'19_Расчет_аналитики'!$F$4259,0),0)</f>
        <v/>
      </c>
      <c r="AI4569">
        <f>IF('01_Вводные'!$B$234="Да",IF(IF('01_Вводные'!$B$296="Новый сезон",FALSE,FALSE),'19_Расчет_аналитики'!AI4457*CapacityAge02*'19_Расчет_аналитики'!$F$4259,0),0)</f>
        <v/>
      </c>
      <c r="AJ4569">
        <f>IF('01_Вводные'!$B$234="Да",IF(IF('01_Вводные'!$B$296="Новый сезон",FALSE,FALSE),'19_Расчет_аналитики'!AJ4457*CapacityAge02*'19_Расчет_аналитики'!$F$4259,0),0)</f>
        <v/>
      </c>
      <c r="AK4569">
        <f>IF('01_Вводные'!$B$234="Да",IF(IF('01_Вводные'!$B$296="Новый сезон",FALSE,FALSE),'19_Расчет_аналитики'!AK4457*CapacityAge02*'19_Расчет_аналитики'!$F$4259,0),0)</f>
        <v/>
      </c>
      <c r="AL4569">
        <f>IF('01_Вводные'!$B$234="Да",IF(IF('01_Вводные'!$B$296="Новый сезон",FALSE,FALSE),'19_Расчет_аналитики'!AL4457*CapacityAge02*'19_Расчет_аналитики'!$F$4259,0),0)</f>
        <v/>
      </c>
      <c r="AM4569">
        <f>IF('01_Вводные'!$B$234="Да",IF(IF('01_Вводные'!$B$296="Новый сезон",FALSE,FALSE),'19_Расчет_аналитики'!AM4457*CapacityAge02*'19_Расчет_аналитики'!$F$4259,0),0)</f>
        <v/>
      </c>
      <c r="AN4569">
        <f>IF('01_Вводные'!$B$234="Да",IF(IF('01_Вводные'!$B$296="Новый сезон",FALSE,FALSE),'19_Расчет_аналитики'!AN4457*CapacityAge02*'19_Расчет_аналитики'!$F$4259,0),0)</f>
        <v/>
      </c>
      <c r="AO4569">
        <f>IF('01_Вводные'!$B$234="Да",IF(IF('01_Вводные'!$B$296="Новый сезон",FALSE,FALSE),'19_Расчет_аналитики'!AO4457*CapacityAge02*'19_Расчет_аналитики'!$F$4259,0),0)</f>
        <v/>
      </c>
      <c r="AP4569">
        <f>IF('01_Вводные'!$B$234="Да",IF(IF('01_Вводные'!$B$296="Новый сезон",FALSE,FALSE),'19_Расчет_аналитики'!AP4457*CapacityAge02*'19_Расчет_аналитики'!$F$4259,0),0)</f>
        <v/>
      </c>
      <c r="AQ4569">
        <f>IF('01_Вводные'!$B$234="Да",IF(IF('01_Вводные'!$B$296="Новый сезон",FALSE,FALSE),'19_Расчет_аналитики'!AQ4457*CapacityAge02*'19_Расчет_аналитики'!$F$4259,0),0)</f>
        <v/>
      </c>
      <c r="AR4569">
        <f>IF('01_Вводные'!$B$234="Да",IF(IF('01_Вводные'!$B$296="Новый сезон",FALSE,FALSE),'19_Расчет_аналитики'!AR4457*CapacityAge02*'19_Расчет_аналитики'!$F$4259,0),0)</f>
        <v/>
      </c>
      <c r="AS4569">
        <f>IF('01_Вводные'!$B$234="Да",IF(IF('01_Вводные'!$B$296="Новый сезон",FALSE,FALSE),'19_Расчет_аналитики'!AS4457*CapacityAge02*'19_Расчет_аналитики'!$F$4259,0),0)</f>
        <v/>
      </c>
      <c r="AT4569">
        <f>IF('01_Вводные'!$B$234="Да",IF(IF('01_Вводные'!$B$296="Новый сезон",FALSE,FALSE),'19_Расчет_аналитики'!AT4457*CapacityAge02*'19_Расчет_аналитики'!$F$4259,0),0)</f>
        <v/>
      </c>
      <c r="AU4569">
        <f>IF('01_Вводные'!$B$234="Да",IF(IF('01_Вводные'!$B$296="Новый сезон",FALSE,FALSE),'19_Расчет_аналитики'!AU4457*CapacityAge02*'19_Расчет_аналитики'!$F$4259,0),0)</f>
        <v/>
      </c>
      <c r="AV4569">
        <f>IF('01_Вводные'!$B$234="Да",IF(IF('01_Вводные'!$B$296="Новый сезон",FALSE,FALSE),'19_Расчет_аналитики'!AV4457*CapacityAge02*'19_Расчет_аналитики'!$F$4259,0),0)</f>
        <v/>
      </c>
      <c r="AW4569">
        <f>IF('01_Вводные'!$B$234="Да",IF(IF('01_Вводные'!$B$296="Новый сезон",FALSE,FALSE),'19_Расчет_аналитики'!AW4457*CapacityAge02*'19_Расчет_аналитики'!$F$4259,0),0)</f>
        <v/>
      </c>
      <c r="AX4569">
        <f>IF('01_Вводные'!$B$234="Да",IF(IF('01_Вводные'!$B$296="Новый сезон",FALSE,FALSE),'19_Расчет_аналитики'!AX4457*CapacityAge02*'19_Расчет_аналитики'!$F$4259,0),0)</f>
        <v/>
      </c>
      <c r="AY4569">
        <f>IF('01_Вводные'!$B$234="Да",IF(IF('01_Вводные'!$B$296="Новый сезон",FALSE,FALSE),'19_Расчет_аналитики'!AY4457*CapacityAge02*'19_Расчет_аналитики'!$F$4259,0),0)</f>
        <v/>
      </c>
      <c r="AZ4569">
        <f>IF('01_Вводные'!$B$234="Да",IF(IF('01_Вводные'!$B$296="Новый сезон",FALSE,FALSE),'19_Расчет_аналитики'!AZ4457*CapacityAge02*'19_Расчет_аналитики'!$F$4259,0),0)</f>
        <v/>
      </c>
      <c r="BA4569">
        <f>IF('01_Вводные'!$B$234="Да",IF(IF('01_Вводные'!$B$296="Новый сезон",FALSE,FALSE),'19_Расчет_аналитики'!BA4457*CapacityAge02*'19_Расчет_аналитики'!$F$4259,0),0)</f>
        <v/>
      </c>
      <c r="BB4569">
        <f>IF('01_Вводные'!$B$234="Да",IF(IF('01_Вводные'!$B$296="Новый сезон",FALSE,FALSE),'19_Расчет_аналитики'!BB4457*CapacityAge02*'19_Расчет_аналитики'!$F$4259,0),0)</f>
        <v/>
      </c>
      <c r="BC4569">
        <f>IF('01_Вводные'!$B$234="Да",IF(IF('01_Вводные'!$B$296="Новый сезон",FALSE,FALSE),'19_Расчет_аналитики'!BC4457*CapacityAge02*'19_Расчет_аналитики'!$F$4259,0),0)</f>
        <v/>
      </c>
      <c r="BD4569">
        <f>IF('01_Вводные'!$B$234="Да",IF(IF('01_Вводные'!$B$296="Новый сезон",FALSE,FALSE),'19_Расчет_аналитики'!BD4457*CapacityAge02*'19_Расчет_аналитики'!$F$4259,0),0)</f>
        <v/>
      </c>
      <c r="BE4569">
        <f>IF('01_Вводные'!$B$234="Да",IF(IF('01_Вводные'!$B$296="Новый сезон",FALSE,FALSE),'19_Расчет_аналитики'!BE4457*CapacityAge02*'19_Расчет_аналитики'!$F$4259,0),0)</f>
        <v/>
      </c>
      <c r="BF4569">
        <f>IF('01_Вводные'!$B$234="Да",IF(IF('01_Вводные'!$B$296="Новый сезон",FALSE,FALSE),'19_Расчет_аналитики'!BF4457*CapacityAge02*'19_Расчет_аналитики'!$F$4259,0),0)</f>
        <v/>
      </c>
      <c r="BG4569">
        <f>IF('01_Вводные'!$B$234="Да",IF(IF('01_Вводные'!$B$296="Новый сезон",FALSE,FALSE),'19_Расчет_аналитики'!BG4457*CapacityAge02*'19_Расчет_аналитики'!$F$4259,0),0)</f>
        <v/>
      </c>
      <c r="BH4569">
        <f>IF('01_Вводные'!$B$234="Да",IF(IF('01_Вводные'!$B$296="Новый сезон",FALSE,FALSE),'19_Расчет_аналитики'!BH4457*CapacityAge02*'19_Расчет_аналитики'!$F$4259,0),0)</f>
        <v/>
      </c>
      <c r="BI4569">
        <f>IF('01_Вводные'!$B$234="Да",IF(IF('01_Вводные'!$B$296="Новый сезон",FALSE,FALSE),'19_Расчет_аналитики'!BI4457*CapacityAge02*'19_Расчет_аналитики'!$F$4259,0),0)</f>
        <v/>
      </c>
      <c r="BJ4569">
        <f>IF('01_Вводные'!$B$234="Да",IF(IF('01_Вводные'!$B$296="Новый сезон",FALSE,FALSE),'19_Расчет_аналитики'!BJ4457*CapacityAge02*'19_Расчет_аналитики'!$F$4259,0),0)</f>
        <v/>
      </c>
      <c r="BK4569">
        <f>IF('01_Вводные'!$B$234="Да",IF(IF('01_Вводные'!$B$296="Новый сезон",FALSE,FALSE),'19_Расчет_аналитики'!BK4457*CapacityAge02*'19_Расчет_аналитики'!$F$4259,0),0)</f>
        <v/>
      </c>
      <c r="BL4569">
        <f>IF('01_Вводные'!$B$234="Да",IF(IF('01_Вводные'!$B$296="Новый сезон",FALSE,FALSE),'19_Расчет_аналитики'!BL4457*CapacityAge02*'19_Расчет_аналитики'!$F$4259,0),0)</f>
        <v/>
      </c>
      <c r="BM4569">
        <f>IF('01_Вводные'!$B$234="Да",IF(IF('01_Вводные'!$B$296="Новый сезон",FALSE,FALSE),'19_Расчет_аналитики'!BM4457*CapacityAge02*'19_Расчет_аналитики'!$F$4259,0),0)</f>
        <v/>
      </c>
      <c r="BN4569">
        <f>IF('01_Вводные'!$B$234="Да",IF(IF('01_Вводные'!$B$296="Новый сезон",FALSE,FALSE),'19_Расчет_аналитики'!BN4457*CapacityAge02*'19_Расчет_аналитики'!$F$4259,0),0)</f>
        <v/>
      </c>
      <c r="BO4569">
        <f>IF('01_Вводные'!$B$234="Да",IF(IF('01_Вводные'!$B$296="Новый сезон",FALSE,FALSE),'19_Расчет_аналитики'!BO4457*CapacityAge02*'19_Расчет_аналитики'!$F$4259,0),0)</f>
        <v/>
      </c>
    </row>
    <row r="4570">
      <c r="B4570">
        <f>IF('01_Вводные'!$B$234="Да",IF(IF('01_Вводные'!$B$296="Новый сезон",FALSE,FALSE),'06_Сеть_и_дети'!B55*CapacityAge03*'19_Расчет_аналитики'!$F$4259,0),0)</f>
        <v/>
      </c>
      <c r="C4570">
        <f>IF('01_Вводные'!$B$234="Да",IF(IF('01_Вводные'!$B$296="Новый сезон",FALSE,FALSE),'06_Сеть_и_дети'!C55*CapacityAge03*'19_Расчет_аналитики'!$F$4259,0),0)</f>
        <v/>
      </c>
      <c r="D4570">
        <f>IF('01_Вводные'!$B$234="Да",IF(IF('01_Вводные'!$B$296="Новый сезон",FALSE,FALSE),'19_Расчет_аналитики'!D4458*CapacityAge03*'19_Расчет_аналитики'!$F$4259,0),0)</f>
        <v/>
      </c>
      <c r="E4570">
        <f>IF('01_Вводные'!$B$234="Да",IF(IF('01_Вводные'!$B$296="Новый сезон",FALSE,FALSE),'19_Расчет_аналитики'!E4458*CapacityAge03*'19_Расчет_аналитики'!$F$4259,0),0)</f>
        <v/>
      </c>
      <c r="F4570">
        <f>IF('01_Вводные'!$B$234="Да",IF(IF('01_Вводные'!$B$296="Новый сезон",FALSE,FALSE),'19_Расчет_аналитики'!F4458*CapacityAge03*'19_Расчет_аналитики'!$F$4259,0),0)</f>
        <v/>
      </c>
      <c r="G4570">
        <f>IF('01_Вводные'!$B$234="Да",IF(IF('01_Вводные'!$B$296="Новый сезон",FALSE,FALSE),'19_Расчет_аналитики'!G4458*CapacityAge03*'19_Расчет_аналитики'!$F$4259,0),0)</f>
        <v/>
      </c>
      <c r="H4570">
        <f>IF('01_Вводные'!$B$234="Да",IF(IF('01_Вводные'!$B$296="Новый сезон",FALSE,FALSE),'19_Расчет_аналитики'!H4458*CapacityAge03*'19_Расчет_аналитики'!$F$4259,0),0)</f>
        <v/>
      </c>
      <c r="I4570">
        <f>IF('01_Вводные'!$B$234="Да",IF(IF('01_Вводные'!$B$296="Новый сезон",FALSE,FALSE),'19_Расчет_аналитики'!I4458*CapacityAge03*'19_Расчет_аналитики'!$F$4259,0),0)</f>
        <v/>
      </c>
      <c r="J4570">
        <f>IF('01_Вводные'!$B$234="Да",IF(IF('01_Вводные'!$B$296="Новый сезон",FALSE,FALSE),'19_Расчет_аналитики'!J4458*CapacityAge03*'19_Расчет_аналитики'!$F$4259,0),0)</f>
        <v/>
      </c>
      <c r="K4570">
        <f>IF('01_Вводные'!$B$234="Да",IF(IF('01_Вводные'!$B$296="Новый сезон",FALSE,FALSE),'19_Расчет_аналитики'!K4458*CapacityAge03*'19_Расчет_аналитики'!$F$4259,0),0)</f>
        <v/>
      </c>
      <c r="L4570">
        <f>IF('01_Вводные'!$B$234="Да",IF(IF('01_Вводные'!$B$296="Новый сезон",FALSE,FALSE),'19_Расчет_аналитики'!L4458*CapacityAge03*'19_Расчет_аналитики'!$F$4259,0),0)</f>
        <v/>
      </c>
      <c r="M4570">
        <f>IF('01_Вводные'!$B$234="Да",IF(IF('01_Вводные'!$B$296="Новый сезон",FALSE,FALSE),'19_Расчет_аналитики'!M4458*CapacityAge03*'19_Расчет_аналитики'!$F$4259,0),0)</f>
        <v/>
      </c>
      <c r="N4570">
        <f>IF('01_Вводные'!$B$234="Да",IF(IF('01_Вводные'!$B$296="Новый сезон",FALSE,FALSE),'19_Расчет_аналитики'!N4458*CapacityAge03*'19_Расчет_аналитики'!$F$4259,0),0)</f>
        <v/>
      </c>
      <c r="O4570">
        <f>IF('01_Вводные'!$B$234="Да",IF(IF('01_Вводные'!$B$296="Новый сезон",FALSE,FALSE),'19_Расчет_аналитики'!O4458*CapacityAge03*'19_Расчет_аналитики'!$F$4259,0),0)</f>
        <v/>
      </c>
      <c r="P4570">
        <f>IF('01_Вводные'!$B$234="Да",IF(IF('01_Вводные'!$B$296="Новый сезон",FALSE,FALSE),'19_Расчет_аналитики'!P4458*CapacityAge03*'19_Расчет_аналитики'!$F$4259,0),0)</f>
        <v/>
      </c>
      <c r="Q4570">
        <f>IF('01_Вводные'!$B$234="Да",IF(IF('01_Вводные'!$B$296="Новый сезон",FALSE,FALSE),'19_Расчет_аналитики'!Q4458*CapacityAge03*'19_Расчет_аналитики'!$F$4259,0),0)</f>
        <v/>
      </c>
      <c r="R4570">
        <f>IF('01_Вводные'!$B$234="Да",IF(IF('01_Вводные'!$B$296="Новый сезон",FALSE,FALSE),'19_Расчет_аналитики'!R4458*CapacityAge03*'19_Расчет_аналитики'!$F$4259,0),0)</f>
        <v/>
      </c>
      <c r="S4570">
        <f>IF('01_Вводные'!$B$234="Да",IF(IF('01_Вводные'!$B$296="Новый сезон",FALSE,FALSE),'19_Расчет_аналитики'!S4458*CapacityAge03*'19_Расчет_аналитики'!$F$4259,0),0)</f>
        <v/>
      </c>
      <c r="T4570">
        <f>IF('01_Вводные'!$B$234="Да",IF(IF('01_Вводные'!$B$296="Новый сезон",FALSE,FALSE),'19_Расчет_аналитики'!T4458*CapacityAge03*'19_Расчет_аналитики'!$F$4259,0),0)</f>
        <v/>
      </c>
      <c r="U4570">
        <f>IF('01_Вводные'!$B$234="Да",IF(IF('01_Вводные'!$B$296="Новый сезон",FALSE,FALSE),'19_Расчет_аналитики'!U4458*CapacityAge03*'19_Расчет_аналитики'!$F$4259,0),0)</f>
        <v/>
      </c>
      <c r="V4570">
        <f>IF('01_Вводные'!$B$234="Да",IF(IF('01_Вводные'!$B$296="Новый сезон",FALSE,FALSE),'19_Расчет_аналитики'!V4458*CapacityAge03*'19_Расчет_аналитики'!$F$4259,0),0)</f>
        <v/>
      </c>
      <c r="W4570">
        <f>IF('01_Вводные'!$B$234="Да",IF(IF('01_Вводные'!$B$296="Новый сезон",FALSE,FALSE),'19_Расчет_аналитики'!W4458*CapacityAge03*'19_Расчет_аналитики'!$F$4259,0),0)</f>
        <v/>
      </c>
      <c r="X4570">
        <f>IF('01_Вводные'!$B$234="Да",IF(IF('01_Вводные'!$B$296="Новый сезон",FALSE,FALSE),'19_Расчет_аналитики'!X4458*CapacityAge03*'19_Расчет_аналитики'!$F$4259,0),0)</f>
        <v/>
      </c>
      <c r="Y4570">
        <f>IF('01_Вводные'!$B$234="Да",IF(IF('01_Вводные'!$B$296="Новый сезон",FALSE,FALSE),'19_Расчет_аналитики'!Y4458*CapacityAge03*'19_Расчет_аналитики'!$F$4259,0),0)</f>
        <v/>
      </c>
      <c r="Z4570">
        <f>IF('01_Вводные'!$B$234="Да",IF(IF('01_Вводные'!$B$296="Новый сезон",FALSE,FALSE),'19_Расчет_аналитики'!Z4458*CapacityAge03*'19_Расчет_аналитики'!$F$4259,0),0)</f>
        <v/>
      </c>
      <c r="AA4570">
        <f>IF('01_Вводные'!$B$234="Да",IF(IF('01_Вводные'!$B$296="Новый сезон",FALSE,FALSE),'19_Расчет_аналитики'!AA4458*CapacityAge03*'19_Расчет_аналитики'!$F$4259,0),0)</f>
        <v/>
      </c>
      <c r="AB4570">
        <f>IF('01_Вводные'!$B$234="Да",IF(IF('01_Вводные'!$B$296="Новый сезон",FALSE,FALSE),'19_Расчет_аналитики'!AB4458*CapacityAge03*'19_Расчет_аналитики'!$F$4259,0),0)</f>
        <v/>
      </c>
      <c r="AC4570">
        <f>IF('01_Вводные'!$B$234="Да",IF(IF('01_Вводные'!$B$296="Новый сезон",FALSE,FALSE),'19_Расчет_аналитики'!AC4458*CapacityAge03*'19_Расчет_аналитики'!$F$4259,0),0)</f>
        <v/>
      </c>
      <c r="AD4570">
        <f>IF('01_Вводные'!$B$234="Да",IF(IF('01_Вводные'!$B$296="Новый сезон",FALSE,FALSE),'19_Расчет_аналитики'!AD4458*CapacityAge03*'19_Расчет_аналитики'!$F$4259,0),0)</f>
        <v/>
      </c>
      <c r="AE4570">
        <f>IF('01_Вводные'!$B$234="Да",IF(IF('01_Вводные'!$B$296="Новый сезон",FALSE,FALSE),'19_Расчет_аналитики'!AE4458*CapacityAge03*'19_Расчет_аналитики'!$F$4259,0),0)</f>
        <v/>
      </c>
      <c r="AF4570">
        <f>IF('01_Вводные'!$B$234="Да",IF(IF('01_Вводные'!$B$296="Новый сезон",FALSE,FALSE),'19_Расчет_аналитики'!AF4458*CapacityAge03*'19_Расчет_аналитики'!$F$4259,0),0)</f>
        <v/>
      </c>
      <c r="AG4570">
        <f>IF('01_Вводные'!$B$234="Да",IF(IF('01_Вводные'!$B$296="Новый сезон",FALSE,FALSE),'19_Расчет_аналитики'!AG4458*CapacityAge03*'19_Расчет_аналитики'!$F$4259,0),0)</f>
        <v/>
      </c>
      <c r="AH4570">
        <f>IF('01_Вводные'!$B$234="Да",IF(IF('01_Вводные'!$B$296="Новый сезон",FALSE,FALSE),'19_Расчет_аналитики'!AH4458*CapacityAge03*'19_Расчет_аналитики'!$F$4259,0),0)</f>
        <v/>
      </c>
      <c r="AI4570">
        <f>IF('01_Вводные'!$B$234="Да",IF(IF('01_Вводные'!$B$296="Новый сезон",FALSE,FALSE),'19_Расчет_аналитики'!AI4458*CapacityAge03*'19_Расчет_аналитики'!$F$4259,0),0)</f>
        <v/>
      </c>
      <c r="AJ4570">
        <f>IF('01_Вводные'!$B$234="Да",IF(IF('01_Вводные'!$B$296="Новый сезон",FALSE,FALSE),'19_Расчет_аналитики'!AJ4458*CapacityAge03*'19_Расчет_аналитики'!$F$4259,0),0)</f>
        <v/>
      </c>
      <c r="AK4570">
        <f>IF('01_Вводные'!$B$234="Да",IF(IF('01_Вводные'!$B$296="Новый сезон",FALSE,FALSE),'19_Расчет_аналитики'!AK4458*CapacityAge03*'19_Расчет_аналитики'!$F$4259,0),0)</f>
        <v/>
      </c>
      <c r="AL4570">
        <f>IF('01_Вводные'!$B$234="Да",IF(IF('01_Вводные'!$B$296="Новый сезон",FALSE,FALSE),'19_Расчет_аналитики'!AL4458*CapacityAge03*'19_Расчет_аналитики'!$F$4259,0),0)</f>
        <v/>
      </c>
      <c r="AM4570">
        <f>IF('01_Вводные'!$B$234="Да",IF(IF('01_Вводные'!$B$296="Новый сезон",FALSE,FALSE),'19_Расчет_аналитики'!AM4458*CapacityAge03*'19_Расчет_аналитики'!$F$4259,0),0)</f>
        <v/>
      </c>
      <c r="AN4570">
        <f>IF('01_Вводные'!$B$234="Да",IF(IF('01_Вводные'!$B$296="Новый сезон",FALSE,FALSE),'19_Расчет_аналитики'!AN4458*CapacityAge03*'19_Расчет_аналитики'!$F$4259,0),0)</f>
        <v/>
      </c>
      <c r="AO4570">
        <f>IF('01_Вводные'!$B$234="Да",IF(IF('01_Вводные'!$B$296="Новый сезон",FALSE,FALSE),'19_Расчет_аналитики'!AO4458*CapacityAge03*'19_Расчет_аналитики'!$F$4259,0),0)</f>
        <v/>
      </c>
      <c r="AP4570">
        <f>IF('01_Вводные'!$B$234="Да",IF(IF('01_Вводные'!$B$296="Новый сезон",FALSE,FALSE),'19_Расчет_аналитики'!AP4458*CapacityAge03*'19_Расчет_аналитики'!$F$4259,0),0)</f>
        <v/>
      </c>
      <c r="AQ4570">
        <f>IF('01_Вводные'!$B$234="Да",IF(IF('01_Вводные'!$B$296="Новый сезон",FALSE,FALSE),'19_Расчет_аналитики'!AQ4458*CapacityAge03*'19_Расчет_аналитики'!$F$4259,0),0)</f>
        <v/>
      </c>
      <c r="AR4570">
        <f>IF('01_Вводные'!$B$234="Да",IF(IF('01_Вводные'!$B$296="Новый сезон",FALSE,FALSE),'19_Расчет_аналитики'!AR4458*CapacityAge03*'19_Расчет_аналитики'!$F$4259,0),0)</f>
        <v/>
      </c>
      <c r="AS4570">
        <f>IF('01_Вводные'!$B$234="Да",IF(IF('01_Вводные'!$B$296="Новый сезон",FALSE,FALSE),'19_Расчет_аналитики'!AS4458*CapacityAge03*'19_Расчет_аналитики'!$F$4259,0),0)</f>
        <v/>
      </c>
      <c r="AT4570">
        <f>IF('01_Вводные'!$B$234="Да",IF(IF('01_Вводные'!$B$296="Новый сезон",FALSE,FALSE),'19_Расчет_аналитики'!AT4458*CapacityAge03*'19_Расчет_аналитики'!$F$4259,0),0)</f>
        <v/>
      </c>
      <c r="AU4570">
        <f>IF('01_Вводные'!$B$234="Да",IF(IF('01_Вводные'!$B$296="Новый сезон",FALSE,FALSE),'19_Расчет_аналитики'!AU4458*CapacityAge03*'19_Расчет_аналитики'!$F$4259,0),0)</f>
        <v/>
      </c>
      <c r="AV4570">
        <f>IF('01_Вводные'!$B$234="Да",IF(IF('01_Вводные'!$B$296="Новый сезон",FALSE,FALSE),'19_Расчет_аналитики'!AV4458*CapacityAge03*'19_Расчет_аналитики'!$F$4259,0),0)</f>
        <v/>
      </c>
      <c r="AW4570">
        <f>IF('01_Вводные'!$B$234="Да",IF(IF('01_Вводные'!$B$296="Новый сезон",FALSE,FALSE),'19_Расчет_аналитики'!AW4458*CapacityAge03*'19_Расчет_аналитики'!$F$4259,0),0)</f>
        <v/>
      </c>
      <c r="AX4570">
        <f>IF('01_Вводные'!$B$234="Да",IF(IF('01_Вводные'!$B$296="Новый сезон",FALSE,FALSE),'19_Расчет_аналитики'!AX4458*CapacityAge03*'19_Расчет_аналитики'!$F$4259,0),0)</f>
        <v/>
      </c>
      <c r="AY4570">
        <f>IF('01_Вводные'!$B$234="Да",IF(IF('01_Вводные'!$B$296="Новый сезон",FALSE,FALSE),'19_Расчет_аналитики'!AY4458*CapacityAge03*'19_Расчет_аналитики'!$F$4259,0),0)</f>
        <v/>
      </c>
      <c r="AZ4570">
        <f>IF('01_Вводные'!$B$234="Да",IF(IF('01_Вводные'!$B$296="Новый сезон",FALSE,FALSE),'19_Расчет_аналитики'!AZ4458*CapacityAge03*'19_Расчет_аналитики'!$F$4259,0),0)</f>
        <v/>
      </c>
      <c r="BA4570">
        <f>IF('01_Вводные'!$B$234="Да",IF(IF('01_Вводные'!$B$296="Новый сезон",FALSE,FALSE),'19_Расчет_аналитики'!BA4458*CapacityAge03*'19_Расчет_аналитики'!$F$4259,0),0)</f>
        <v/>
      </c>
      <c r="BB4570">
        <f>IF('01_Вводные'!$B$234="Да",IF(IF('01_Вводные'!$B$296="Новый сезон",FALSE,FALSE),'19_Расчет_аналитики'!BB4458*CapacityAge03*'19_Расчет_аналитики'!$F$4259,0),0)</f>
        <v/>
      </c>
      <c r="BC4570">
        <f>IF('01_Вводные'!$B$234="Да",IF(IF('01_Вводные'!$B$296="Новый сезон",FALSE,FALSE),'19_Расчет_аналитики'!BC4458*CapacityAge03*'19_Расчет_аналитики'!$F$4259,0),0)</f>
        <v/>
      </c>
      <c r="BD4570">
        <f>IF('01_Вводные'!$B$234="Да",IF(IF('01_Вводные'!$B$296="Новый сезон",FALSE,FALSE),'19_Расчет_аналитики'!BD4458*CapacityAge03*'19_Расчет_аналитики'!$F$4259,0),0)</f>
        <v/>
      </c>
      <c r="BE4570">
        <f>IF('01_Вводные'!$B$234="Да",IF(IF('01_Вводные'!$B$296="Новый сезон",FALSE,FALSE),'19_Расчет_аналитики'!BE4458*CapacityAge03*'19_Расчет_аналитики'!$F$4259,0),0)</f>
        <v/>
      </c>
      <c r="BF4570">
        <f>IF('01_Вводные'!$B$234="Да",IF(IF('01_Вводные'!$B$296="Новый сезон",FALSE,FALSE),'19_Расчет_аналитики'!BF4458*CapacityAge03*'19_Расчет_аналитики'!$F$4259,0),0)</f>
        <v/>
      </c>
      <c r="BG4570">
        <f>IF('01_Вводные'!$B$234="Да",IF(IF('01_Вводные'!$B$296="Новый сезон",FALSE,FALSE),'19_Расчет_аналитики'!BG4458*CapacityAge03*'19_Расчет_аналитики'!$F$4259,0),0)</f>
        <v/>
      </c>
      <c r="BH4570">
        <f>IF('01_Вводные'!$B$234="Да",IF(IF('01_Вводные'!$B$296="Новый сезон",FALSE,FALSE),'19_Расчет_аналитики'!BH4458*CapacityAge03*'19_Расчет_аналитики'!$F$4259,0),0)</f>
        <v/>
      </c>
      <c r="BI4570">
        <f>IF('01_Вводные'!$B$234="Да",IF(IF('01_Вводные'!$B$296="Новый сезон",FALSE,FALSE),'19_Расчет_аналитики'!BI4458*CapacityAge03*'19_Расчет_аналитики'!$F$4259,0),0)</f>
        <v/>
      </c>
      <c r="BJ4570">
        <f>IF('01_Вводные'!$B$234="Да",IF(IF('01_Вводные'!$B$296="Новый сезон",FALSE,FALSE),'19_Расчет_аналитики'!BJ4458*CapacityAge03*'19_Расчет_аналитики'!$F$4259,0),0)</f>
        <v/>
      </c>
      <c r="BK4570">
        <f>IF('01_Вводные'!$B$234="Да",IF(IF('01_Вводные'!$B$296="Новый сезон",FALSE,FALSE),'19_Расчет_аналитики'!BK4458*CapacityAge03*'19_Расчет_аналитики'!$F$4259,0),0)</f>
        <v/>
      </c>
      <c r="BL4570">
        <f>IF('01_Вводные'!$B$234="Да",IF(IF('01_Вводные'!$B$296="Новый сезон",FALSE,FALSE),'19_Расчет_аналитики'!BL4458*CapacityAge03*'19_Расчет_аналитики'!$F$4259,0),0)</f>
        <v/>
      </c>
      <c r="BM4570">
        <f>IF('01_Вводные'!$B$234="Да",IF(IF('01_Вводные'!$B$296="Новый сезон",FALSE,FALSE),'19_Расчет_аналитики'!BM4458*CapacityAge03*'19_Расчет_аналитики'!$F$4259,0),0)</f>
        <v/>
      </c>
      <c r="BN4570">
        <f>IF('01_Вводные'!$B$234="Да",IF(IF('01_Вводные'!$B$296="Новый сезон",FALSE,FALSE),'19_Расчет_аналитики'!BN4458*CapacityAge03*'19_Расчет_аналитики'!$F$4259,0),0)</f>
        <v/>
      </c>
      <c r="BO4570">
        <f>IF('01_Вводные'!$B$234="Да",IF(IF('01_Вводные'!$B$296="Новый сезон",FALSE,FALSE),'19_Расчет_аналитики'!BO4458*CapacityAge03*'19_Расчет_аналитики'!$F$4259,0),0)</f>
        <v/>
      </c>
    </row>
    <row r="4571">
      <c r="B4571">
        <f>IF('01_Вводные'!$B$234="Да",IF(IF('01_Вводные'!$B$296="Новый сезон",FALSE,FALSE),'06_Сеть_и_дети'!B56*CapacityAge04*'19_Расчет_аналитики'!$F$4259,0),0)</f>
        <v/>
      </c>
      <c r="C4571">
        <f>IF('01_Вводные'!$B$234="Да",IF(IF('01_Вводные'!$B$296="Новый сезон",FALSE,FALSE),'06_Сеть_и_дети'!C56*CapacityAge04*'19_Расчет_аналитики'!$F$4259,0),0)</f>
        <v/>
      </c>
      <c r="D4571">
        <f>IF('01_Вводные'!$B$234="Да",IF(IF('01_Вводные'!$B$296="Новый сезон",FALSE,FALSE),'06_Сеть_и_дети'!D56*CapacityAge04*'19_Расчет_аналитики'!$F$4259,0),0)</f>
        <v/>
      </c>
      <c r="E4571">
        <f>IF('01_Вводные'!$B$234="Да",IF(IF('01_Вводные'!$B$296="Новый сезон",FALSE,FALSE),'19_Расчет_аналитики'!E4459*CapacityAge04*'19_Расчет_аналитики'!$F$4259,0),0)</f>
        <v/>
      </c>
      <c r="F4571">
        <f>IF('01_Вводные'!$B$234="Да",IF(IF('01_Вводные'!$B$296="Новый сезон",FALSE,FALSE),'19_Расчет_аналитики'!F4459*CapacityAge04*'19_Расчет_аналитики'!$F$4259,0),0)</f>
        <v/>
      </c>
      <c r="G4571">
        <f>IF('01_Вводные'!$B$234="Да",IF(IF('01_Вводные'!$B$296="Новый сезон",FALSE,FALSE),'19_Расчет_аналитики'!G4459*CapacityAge04*'19_Расчет_аналитики'!$F$4259,0),0)</f>
        <v/>
      </c>
      <c r="H4571">
        <f>IF('01_Вводные'!$B$234="Да",IF(IF('01_Вводные'!$B$296="Новый сезон",FALSE,FALSE),'19_Расчет_аналитики'!H4459*CapacityAge04*'19_Расчет_аналитики'!$F$4259,0),0)</f>
        <v/>
      </c>
      <c r="I4571">
        <f>IF('01_Вводные'!$B$234="Да",IF(IF('01_Вводные'!$B$296="Новый сезон",FALSE,FALSE),'19_Расчет_аналитики'!I4459*CapacityAge04*'19_Расчет_аналитики'!$F$4259,0),0)</f>
        <v/>
      </c>
      <c r="J4571">
        <f>IF('01_Вводные'!$B$234="Да",IF(IF('01_Вводные'!$B$296="Новый сезон",FALSE,FALSE),'19_Расчет_аналитики'!J4459*CapacityAge04*'19_Расчет_аналитики'!$F$4259,0),0)</f>
        <v/>
      </c>
      <c r="K4571">
        <f>IF('01_Вводные'!$B$234="Да",IF(IF('01_Вводные'!$B$296="Новый сезон",FALSE,FALSE),'19_Расчет_аналитики'!K4459*CapacityAge04*'19_Расчет_аналитики'!$F$4259,0),0)</f>
        <v/>
      </c>
      <c r="L4571">
        <f>IF('01_Вводные'!$B$234="Да",IF(IF('01_Вводные'!$B$296="Новый сезон",FALSE,FALSE),'19_Расчет_аналитики'!L4459*CapacityAge04*'19_Расчет_аналитики'!$F$4259,0),0)</f>
        <v/>
      </c>
      <c r="M4571">
        <f>IF('01_Вводные'!$B$234="Да",IF(IF('01_Вводные'!$B$296="Новый сезон",FALSE,FALSE),'19_Расчет_аналитики'!M4459*CapacityAge04*'19_Расчет_аналитики'!$F$4259,0),0)</f>
        <v/>
      </c>
      <c r="N4571">
        <f>IF('01_Вводные'!$B$234="Да",IF(IF('01_Вводные'!$B$296="Новый сезон",FALSE,FALSE),'19_Расчет_аналитики'!N4459*CapacityAge04*'19_Расчет_аналитики'!$F$4259,0),0)</f>
        <v/>
      </c>
      <c r="O4571">
        <f>IF('01_Вводные'!$B$234="Да",IF(IF('01_Вводные'!$B$296="Новый сезон",FALSE,FALSE),'19_Расчет_аналитики'!O4459*CapacityAge04*'19_Расчет_аналитики'!$F$4259,0),0)</f>
        <v/>
      </c>
      <c r="P4571">
        <f>IF('01_Вводные'!$B$234="Да",IF(IF('01_Вводные'!$B$296="Новый сезон",FALSE,FALSE),'19_Расчет_аналитики'!P4459*CapacityAge04*'19_Расчет_аналитики'!$F$4259,0),0)</f>
        <v/>
      </c>
      <c r="Q4571">
        <f>IF('01_Вводные'!$B$234="Да",IF(IF('01_Вводные'!$B$296="Новый сезон",FALSE,FALSE),'19_Расчет_аналитики'!Q4459*CapacityAge04*'19_Расчет_аналитики'!$F$4259,0),0)</f>
        <v/>
      </c>
      <c r="R4571">
        <f>IF('01_Вводные'!$B$234="Да",IF(IF('01_Вводные'!$B$296="Новый сезон",FALSE,FALSE),'19_Расчет_аналитики'!R4459*CapacityAge04*'19_Расчет_аналитики'!$F$4259,0),0)</f>
        <v/>
      </c>
      <c r="S4571">
        <f>IF('01_Вводные'!$B$234="Да",IF(IF('01_Вводные'!$B$296="Новый сезон",FALSE,FALSE),'19_Расчет_аналитики'!S4459*CapacityAge04*'19_Расчет_аналитики'!$F$4259,0),0)</f>
        <v/>
      </c>
      <c r="T4571">
        <f>IF('01_Вводные'!$B$234="Да",IF(IF('01_Вводные'!$B$296="Новый сезон",FALSE,FALSE),'19_Расчет_аналитики'!T4459*CapacityAge04*'19_Расчет_аналитики'!$F$4259,0),0)</f>
        <v/>
      </c>
      <c r="U4571">
        <f>IF('01_Вводные'!$B$234="Да",IF(IF('01_Вводные'!$B$296="Новый сезон",FALSE,FALSE),'19_Расчет_аналитики'!U4459*CapacityAge04*'19_Расчет_аналитики'!$F$4259,0),0)</f>
        <v/>
      </c>
      <c r="V4571">
        <f>IF('01_Вводные'!$B$234="Да",IF(IF('01_Вводные'!$B$296="Новый сезон",FALSE,FALSE),'19_Расчет_аналитики'!V4459*CapacityAge04*'19_Расчет_аналитики'!$F$4259,0),0)</f>
        <v/>
      </c>
      <c r="W4571">
        <f>IF('01_Вводные'!$B$234="Да",IF(IF('01_Вводные'!$B$296="Новый сезон",FALSE,FALSE),'19_Расчет_аналитики'!W4459*CapacityAge04*'19_Расчет_аналитики'!$F$4259,0),0)</f>
        <v/>
      </c>
      <c r="X4571">
        <f>IF('01_Вводные'!$B$234="Да",IF(IF('01_Вводные'!$B$296="Новый сезон",FALSE,FALSE),'19_Расчет_аналитики'!X4459*CapacityAge04*'19_Расчет_аналитики'!$F$4259,0),0)</f>
        <v/>
      </c>
      <c r="Y4571">
        <f>IF('01_Вводные'!$B$234="Да",IF(IF('01_Вводные'!$B$296="Новый сезон",FALSE,FALSE),'19_Расчет_аналитики'!Y4459*CapacityAge04*'19_Расчет_аналитики'!$F$4259,0),0)</f>
        <v/>
      </c>
      <c r="Z4571">
        <f>IF('01_Вводные'!$B$234="Да",IF(IF('01_Вводные'!$B$296="Новый сезон",FALSE,FALSE),'19_Расчет_аналитики'!Z4459*CapacityAge04*'19_Расчет_аналитики'!$F$4259,0),0)</f>
        <v/>
      </c>
      <c r="AA4571">
        <f>IF('01_Вводные'!$B$234="Да",IF(IF('01_Вводные'!$B$296="Новый сезон",FALSE,FALSE),'19_Расчет_аналитики'!AA4459*CapacityAge04*'19_Расчет_аналитики'!$F$4259,0),0)</f>
        <v/>
      </c>
      <c r="AB4571">
        <f>IF('01_Вводные'!$B$234="Да",IF(IF('01_Вводные'!$B$296="Новый сезон",FALSE,FALSE),'19_Расчет_аналитики'!AB4459*CapacityAge04*'19_Расчет_аналитики'!$F$4259,0),0)</f>
        <v/>
      </c>
      <c r="AC4571">
        <f>IF('01_Вводные'!$B$234="Да",IF(IF('01_Вводные'!$B$296="Новый сезон",FALSE,FALSE),'19_Расчет_аналитики'!AC4459*CapacityAge04*'19_Расчет_аналитики'!$F$4259,0),0)</f>
        <v/>
      </c>
      <c r="AD4571">
        <f>IF('01_Вводные'!$B$234="Да",IF(IF('01_Вводные'!$B$296="Новый сезон",FALSE,FALSE),'19_Расчет_аналитики'!AD4459*CapacityAge04*'19_Расчет_аналитики'!$F$4259,0),0)</f>
        <v/>
      </c>
      <c r="AE4571">
        <f>IF('01_Вводные'!$B$234="Да",IF(IF('01_Вводные'!$B$296="Новый сезон",FALSE,FALSE),'19_Расчет_аналитики'!AE4459*CapacityAge04*'19_Расчет_аналитики'!$F$4259,0),0)</f>
        <v/>
      </c>
      <c r="AF4571">
        <f>IF('01_Вводные'!$B$234="Да",IF(IF('01_Вводные'!$B$296="Новый сезон",FALSE,FALSE),'19_Расчет_аналитики'!AF4459*CapacityAge04*'19_Расчет_аналитики'!$F$4259,0),0)</f>
        <v/>
      </c>
      <c r="AG4571">
        <f>IF('01_Вводные'!$B$234="Да",IF(IF('01_Вводные'!$B$296="Новый сезон",FALSE,FALSE),'19_Расчет_аналитики'!AG4459*CapacityAge04*'19_Расчет_аналитики'!$F$4259,0),0)</f>
        <v/>
      </c>
      <c r="AH4571">
        <f>IF('01_Вводные'!$B$234="Да",IF(IF('01_Вводные'!$B$296="Новый сезон",FALSE,FALSE),'19_Расчет_аналитики'!AH4459*CapacityAge04*'19_Расчет_аналитики'!$F$4259,0),0)</f>
        <v/>
      </c>
      <c r="AI4571">
        <f>IF('01_Вводные'!$B$234="Да",IF(IF('01_Вводные'!$B$296="Новый сезон",FALSE,FALSE),'19_Расчет_аналитики'!AI4459*CapacityAge04*'19_Расчет_аналитики'!$F$4259,0),0)</f>
        <v/>
      </c>
      <c r="AJ4571">
        <f>IF('01_Вводные'!$B$234="Да",IF(IF('01_Вводные'!$B$296="Новый сезон",FALSE,FALSE),'19_Расчет_аналитики'!AJ4459*CapacityAge04*'19_Расчет_аналитики'!$F$4259,0),0)</f>
        <v/>
      </c>
      <c r="AK4571">
        <f>IF('01_Вводные'!$B$234="Да",IF(IF('01_Вводные'!$B$296="Новый сезон",FALSE,FALSE),'19_Расчет_аналитики'!AK4459*CapacityAge04*'19_Расчет_аналитики'!$F$4259,0),0)</f>
        <v/>
      </c>
      <c r="AL4571">
        <f>IF('01_Вводные'!$B$234="Да",IF(IF('01_Вводные'!$B$296="Новый сезон",FALSE,FALSE),'19_Расчет_аналитики'!AL4459*CapacityAge04*'19_Расчет_аналитики'!$F$4259,0),0)</f>
        <v/>
      </c>
      <c r="AM4571">
        <f>IF('01_Вводные'!$B$234="Да",IF(IF('01_Вводные'!$B$296="Новый сезон",FALSE,FALSE),'19_Расчет_аналитики'!AM4459*CapacityAge04*'19_Расчет_аналитики'!$F$4259,0),0)</f>
        <v/>
      </c>
      <c r="AN4571">
        <f>IF('01_Вводные'!$B$234="Да",IF(IF('01_Вводные'!$B$296="Новый сезон",FALSE,FALSE),'19_Расчет_аналитики'!AN4459*CapacityAge04*'19_Расчет_аналитики'!$F$4259,0),0)</f>
        <v/>
      </c>
      <c r="AO4571">
        <f>IF('01_Вводные'!$B$234="Да",IF(IF('01_Вводные'!$B$296="Новый сезон",FALSE,FALSE),'19_Расчет_аналитики'!AO4459*CapacityAge04*'19_Расчет_аналитики'!$F$4259,0),0)</f>
        <v/>
      </c>
      <c r="AP4571">
        <f>IF('01_Вводные'!$B$234="Да",IF(IF('01_Вводные'!$B$296="Новый сезон",FALSE,FALSE),'19_Расчет_аналитики'!AP4459*CapacityAge04*'19_Расчет_аналитики'!$F$4259,0),0)</f>
        <v/>
      </c>
      <c r="AQ4571">
        <f>IF('01_Вводные'!$B$234="Да",IF(IF('01_Вводные'!$B$296="Новый сезон",FALSE,FALSE),'19_Расчет_аналитики'!AQ4459*CapacityAge04*'19_Расчет_аналитики'!$F$4259,0),0)</f>
        <v/>
      </c>
      <c r="AR4571">
        <f>IF('01_Вводные'!$B$234="Да",IF(IF('01_Вводные'!$B$296="Новый сезон",FALSE,FALSE),'19_Расчет_аналитики'!AR4459*CapacityAge04*'19_Расчет_аналитики'!$F$4259,0),0)</f>
        <v/>
      </c>
      <c r="AS4571">
        <f>IF('01_Вводные'!$B$234="Да",IF(IF('01_Вводные'!$B$296="Новый сезон",FALSE,FALSE),'19_Расчет_аналитики'!AS4459*CapacityAge04*'19_Расчет_аналитики'!$F$4259,0),0)</f>
        <v/>
      </c>
      <c r="AT4571">
        <f>IF('01_Вводные'!$B$234="Да",IF(IF('01_Вводные'!$B$296="Новый сезон",FALSE,FALSE),'19_Расчет_аналитики'!AT4459*CapacityAge04*'19_Расчет_аналитики'!$F$4259,0),0)</f>
        <v/>
      </c>
      <c r="AU4571">
        <f>IF('01_Вводные'!$B$234="Да",IF(IF('01_Вводные'!$B$296="Новый сезон",FALSE,FALSE),'19_Расчет_аналитики'!AU4459*CapacityAge04*'19_Расчет_аналитики'!$F$4259,0),0)</f>
        <v/>
      </c>
      <c r="AV4571">
        <f>IF('01_Вводные'!$B$234="Да",IF(IF('01_Вводные'!$B$296="Новый сезон",FALSE,FALSE),'19_Расчет_аналитики'!AV4459*CapacityAge04*'19_Расчет_аналитики'!$F$4259,0),0)</f>
        <v/>
      </c>
      <c r="AW4571">
        <f>IF('01_Вводные'!$B$234="Да",IF(IF('01_Вводные'!$B$296="Новый сезон",FALSE,FALSE),'19_Расчет_аналитики'!AW4459*CapacityAge04*'19_Расчет_аналитики'!$F$4259,0),0)</f>
        <v/>
      </c>
      <c r="AX4571">
        <f>IF('01_Вводные'!$B$234="Да",IF(IF('01_Вводные'!$B$296="Новый сезон",FALSE,FALSE),'19_Расчет_аналитики'!AX4459*CapacityAge04*'19_Расчет_аналитики'!$F$4259,0),0)</f>
        <v/>
      </c>
      <c r="AY4571">
        <f>IF('01_Вводные'!$B$234="Да",IF(IF('01_Вводные'!$B$296="Новый сезон",FALSE,FALSE),'19_Расчет_аналитики'!AY4459*CapacityAge04*'19_Расчет_аналитики'!$F$4259,0),0)</f>
        <v/>
      </c>
      <c r="AZ4571">
        <f>IF('01_Вводные'!$B$234="Да",IF(IF('01_Вводные'!$B$296="Новый сезон",FALSE,FALSE),'19_Расчет_аналитики'!AZ4459*CapacityAge04*'19_Расчет_аналитики'!$F$4259,0),0)</f>
        <v/>
      </c>
      <c r="BA4571">
        <f>IF('01_Вводные'!$B$234="Да",IF(IF('01_Вводные'!$B$296="Новый сезон",FALSE,FALSE),'19_Расчет_аналитики'!BA4459*CapacityAge04*'19_Расчет_аналитики'!$F$4259,0),0)</f>
        <v/>
      </c>
      <c r="BB4571">
        <f>IF('01_Вводные'!$B$234="Да",IF(IF('01_Вводные'!$B$296="Новый сезон",FALSE,FALSE),'19_Расчет_аналитики'!BB4459*CapacityAge04*'19_Расчет_аналитики'!$F$4259,0),0)</f>
        <v/>
      </c>
      <c r="BC4571">
        <f>IF('01_Вводные'!$B$234="Да",IF(IF('01_Вводные'!$B$296="Новый сезон",FALSE,FALSE),'19_Расчет_аналитики'!BC4459*CapacityAge04*'19_Расчет_аналитики'!$F$4259,0),0)</f>
        <v/>
      </c>
      <c r="BD4571">
        <f>IF('01_Вводные'!$B$234="Да",IF(IF('01_Вводные'!$B$296="Новый сезон",FALSE,FALSE),'19_Расчет_аналитики'!BD4459*CapacityAge04*'19_Расчет_аналитики'!$F$4259,0),0)</f>
        <v/>
      </c>
      <c r="BE4571">
        <f>IF('01_Вводные'!$B$234="Да",IF(IF('01_Вводные'!$B$296="Новый сезон",FALSE,FALSE),'19_Расчет_аналитики'!BE4459*CapacityAge04*'19_Расчет_аналитики'!$F$4259,0),0)</f>
        <v/>
      </c>
      <c r="BF4571">
        <f>IF('01_Вводные'!$B$234="Да",IF(IF('01_Вводные'!$B$296="Новый сезон",FALSE,FALSE),'19_Расчет_аналитики'!BF4459*CapacityAge04*'19_Расчет_аналитики'!$F$4259,0),0)</f>
        <v/>
      </c>
      <c r="BG4571">
        <f>IF('01_Вводные'!$B$234="Да",IF(IF('01_Вводные'!$B$296="Новый сезон",FALSE,FALSE),'19_Расчет_аналитики'!BG4459*CapacityAge04*'19_Расчет_аналитики'!$F$4259,0),0)</f>
        <v/>
      </c>
      <c r="BH4571">
        <f>IF('01_Вводные'!$B$234="Да",IF(IF('01_Вводные'!$B$296="Новый сезон",FALSE,FALSE),'19_Расчет_аналитики'!BH4459*CapacityAge04*'19_Расчет_аналитики'!$F$4259,0),0)</f>
        <v/>
      </c>
      <c r="BI4571">
        <f>IF('01_Вводные'!$B$234="Да",IF(IF('01_Вводные'!$B$296="Новый сезон",FALSE,FALSE),'19_Расчет_аналитики'!BI4459*CapacityAge04*'19_Расчет_аналитики'!$F$4259,0),0)</f>
        <v/>
      </c>
      <c r="BJ4571">
        <f>IF('01_Вводные'!$B$234="Да",IF(IF('01_Вводные'!$B$296="Новый сезон",FALSE,FALSE),'19_Расчет_аналитики'!BJ4459*CapacityAge04*'19_Расчет_аналитики'!$F$4259,0),0)</f>
        <v/>
      </c>
      <c r="BK4571">
        <f>IF('01_Вводные'!$B$234="Да",IF(IF('01_Вводные'!$B$296="Новый сезон",FALSE,FALSE),'19_Расчет_аналитики'!BK4459*CapacityAge04*'19_Расчет_аналитики'!$F$4259,0),0)</f>
        <v/>
      </c>
      <c r="BL4571">
        <f>IF('01_Вводные'!$B$234="Да",IF(IF('01_Вводные'!$B$296="Новый сезон",FALSE,FALSE),'19_Расчет_аналитики'!BL4459*CapacityAge04*'19_Расчет_аналитики'!$F$4259,0),0)</f>
        <v/>
      </c>
      <c r="BM4571">
        <f>IF('01_Вводные'!$B$234="Да",IF(IF('01_Вводные'!$B$296="Новый сезон",FALSE,FALSE),'19_Расчет_аналитики'!BM4459*CapacityAge04*'19_Расчет_аналитики'!$F$4259,0),0)</f>
        <v/>
      </c>
      <c r="BN4571">
        <f>IF('01_Вводные'!$B$234="Да",IF(IF('01_Вводные'!$B$296="Новый сезон",FALSE,FALSE),'19_Расчет_аналитики'!BN4459*CapacityAge04*'19_Расчет_аналитики'!$F$4259,0),0)</f>
        <v/>
      </c>
      <c r="BO4571">
        <f>IF('01_Вводные'!$B$234="Да",IF(IF('01_Вводные'!$B$296="Новый сезон",FALSE,FALSE),'19_Расчет_аналитики'!BO4459*CapacityAge04*'19_Расчет_аналитики'!$F$4259,0),0)</f>
        <v/>
      </c>
    </row>
    <row r="4572">
      <c r="B4572">
        <f>IF('01_Вводные'!$B$234="Да",IF(IF('01_Вводные'!$B$296="Новый сезон",5-1&gt;MOD(MONTH('06_Сеть_и_дети'!B$3)-9,12),FALSE),'06_Сеть_и_дети'!B57*CapacityAge05*'19_Расчет_аналитики'!$F$4259,0),0)</f>
        <v/>
      </c>
      <c r="C4572">
        <f>IF('01_Вводные'!$B$234="Да",IF(IF('01_Вводные'!$B$296="Новый сезон",5-1&gt;MOD(MONTH('06_Сеть_и_дети'!C$3)-9,12),FALSE),'06_Сеть_и_дети'!C57*CapacityAge05*'19_Расчет_аналитики'!$F$4259,0),0)</f>
        <v/>
      </c>
      <c r="D4572">
        <f>IF('01_Вводные'!$B$234="Да",IF(IF('01_Вводные'!$B$296="Новый сезон",5-1&gt;MOD(MONTH('06_Сеть_и_дети'!D$3)-9,12),FALSE),'06_Сеть_и_дети'!D57*CapacityAge05*'19_Расчет_аналитики'!$F$4259,0),0)</f>
        <v/>
      </c>
      <c r="E4572">
        <f>IF('01_Вводные'!$B$234="Да",IF(IF('01_Вводные'!$B$296="Новый сезон",5-1&gt;MOD(MONTH('06_Сеть_и_дети'!E$3)-9,12),FALSE),'06_Сеть_и_дети'!E57*CapacityAge05*'19_Расчет_аналитики'!$F$4259,0),0)</f>
        <v/>
      </c>
      <c r="F4572">
        <f>IF('01_Вводные'!$B$234="Да",IF(IF('01_Вводные'!$B$296="Новый сезон",5-1&gt;MOD(MONTH('06_Сеть_и_дети'!F$3)-9,12),FALSE),'19_Расчет_аналитики'!F4460*CapacityAge05*'19_Расчет_аналитики'!$F$4259,0),0)</f>
        <v/>
      </c>
      <c r="G4572">
        <f>IF('01_Вводные'!$B$234="Да",IF(IF('01_Вводные'!$B$296="Новый сезон",5-1&gt;MOD(MONTH('06_Сеть_и_дети'!G$3)-9,12),FALSE),'19_Расчет_аналитики'!G4460*CapacityAge05*'19_Расчет_аналитики'!$F$4259,0),0)</f>
        <v/>
      </c>
      <c r="H4572">
        <f>IF('01_Вводные'!$B$234="Да",IF(IF('01_Вводные'!$B$296="Новый сезон",5-1&gt;MOD(MONTH('06_Сеть_и_дети'!H$3)-9,12),FALSE),'19_Расчет_аналитики'!H4460*CapacityAge05*'19_Расчет_аналитики'!$F$4259,0),0)</f>
        <v/>
      </c>
      <c r="I4572">
        <f>IF('01_Вводные'!$B$234="Да",IF(IF('01_Вводные'!$B$296="Новый сезон",5-1&gt;MOD(MONTH('06_Сеть_и_дети'!I$3)-9,12),FALSE),'19_Расчет_аналитики'!I4460*CapacityAge05*'19_Расчет_аналитики'!$F$4259,0),0)</f>
        <v/>
      </c>
      <c r="J4572">
        <f>IF('01_Вводные'!$B$234="Да",IF(IF('01_Вводные'!$B$296="Новый сезон",5-1&gt;MOD(MONTH('06_Сеть_и_дети'!J$3)-9,12),FALSE),'19_Расчет_аналитики'!J4460*CapacityAge05*'19_Расчет_аналитики'!$F$4259,0),0)</f>
        <v/>
      </c>
      <c r="K4572">
        <f>IF('01_Вводные'!$B$234="Да",IF(IF('01_Вводные'!$B$296="Новый сезон",5-1&gt;MOD(MONTH('06_Сеть_и_дети'!K$3)-9,12),FALSE),'19_Расчет_аналитики'!K4460*CapacityAge05*'19_Расчет_аналитики'!$F$4259,0),0)</f>
        <v/>
      </c>
      <c r="L4572">
        <f>IF('01_Вводные'!$B$234="Да",IF(IF('01_Вводные'!$B$296="Новый сезон",5-1&gt;MOD(MONTH('06_Сеть_и_дети'!L$3)-9,12),FALSE),'19_Расчет_аналитики'!L4460*CapacityAge05*'19_Расчет_аналитики'!$F$4259,0),0)</f>
        <v/>
      </c>
      <c r="M4572">
        <f>IF('01_Вводные'!$B$234="Да",IF(IF('01_Вводные'!$B$296="Новый сезон",5-1&gt;MOD(MONTH('06_Сеть_и_дети'!M$3)-9,12),FALSE),'19_Расчет_аналитики'!M4460*CapacityAge05*'19_Расчет_аналитики'!$F$4259,0),0)</f>
        <v/>
      </c>
      <c r="N4572">
        <f>IF('01_Вводные'!$B$234="Да",IF(IF('01_Вводные'!$B$296="Новый сезон",5-1&gt;MOD(MONTH('06_Сеть_и_дети'!N$3)-9,12),FALSE),'19_Расчет_аналитики'!N4460*CapacityAge05*'19_Расчет_аналитики'!$F$4259,0),0)</f>
        <v/>
      </c>
      <c r="O4572">
        <f>IF('01_Вводные'!$B$234="Да",IF(IF('01_Вводные'!$B$296="Новый сезон",5-1&gt;MOD(MONTH('06_Сеть_и_дети'!O$3)-9,12),FALSE),'19_Расчет_аналитики'!O4460*CapacityAge05*'19_Расчет_аналитики'!$F$4259,0),0)</f>
        <v/>
      </c>
      <c r="P4572">
        <f>IF('01_Вводные'!$B$234="Да",IF(IF('01_Вводные'!$B$296="Новый сезон",5-1&gt;MOD(MONTH('06_Сеть_и_дети'!P$3)-9,12),FALSE),'19_Расчет_аналитики'!P4460*CapacityAge05*'19_Расчет_аналитики'!$F$4259,0),0)</f>
        <v/>
      </c>
      <c r="Q4572">
        <f>IF('01_Вводные'!$B$234="Да",IF(IF('01_Вводные'!$B$296="Новый сезон",5-1&gt;MOD(MONTH('06_Сеть_и_дети'!Q$3)-9,12),FALSE),'19_Расчет_аналитики'!Q4460*CapacityAge05*'19_Расчет_аналитики'!$F$4259,0),0)</f>
        <v/>
      </c>
      <c r="R4572">
        <f>IF('01_Вводные'!$B$234="Да",IF(IF('01_Вводные'!$B$296="Новый сезон",5-1&gt;MOD(MONTH('06_Сеть_и_дети'!R$3)-9,12),FALSE),'19_Расчет_аналитики'!R4460*CapacityAge05*'19_Расчет_аналитики'!$F$4259,0),0)</f>
        <v/>
      </c>
      <c r="S4572">
        <f>IF('01_Вводные'!$B$234="Да",IF(IF('01_Вводные'!$B$296="Новый сезон",5-1&gt;MOD(MONTH('06_Сеть_и_дети'!S$3)-9,12),FALSE),'19_Расчет_аналитики'!S4460*CapacityAge05*'19_Расчет_аналитики'!$F$4259,0),0)</f>
        <v/>
      </c>
      <c r="T4572">
        <f>IF('01_Вводные'!$B$234="Да",IF(IF('01_Вводные'!$B$296="Новый сезон",5-1&gt;MOD(MONTH('06_Сеть_и_дети'!T$3)-9,12),FALSE),'19_Расчет_аналитики'!T4460*CapacityAge05*'19_Расчет_аналитики'!$F$4259,0),0)</f>
        <v/>
      </c>
      <c r="U4572">
        <f>IF('01_Вводные'!$B$234="Да",IF(IF('01_Вводные'!$B$296="Новый сезон",5-1&gt;MOD(MONTH('06_Сеть_и_дети'!U$3)-9,12),FALSE),'19_Расчет_аналитики'!U4460*CapacityAge05*'19_Расчет_аналитики'!$F$4259,0),0)</f>
        <v/>
      </c>
      <c r="V4572">
        <f>IF('01_Вводные'!$B$234="Да",IF(IF('01_Вводные'!$B$296="Новый сезон",5-1&gt;MOD(MONTH('06_Сеть_и_дети'!V$3)-9,12),FALSE),'19_Расчет_аналитики'!V4460*CapacityAge05*'19_Расчет_аналитики'!$F$4259,0),0)</f>
        <v/>
      </c>
      <c r="W4572">
        <f>IF('01_Вводные'!$B$234="Да",IF(IF('01_Вводные'!$B$296="Новый сезон",5-1&gt;MOD(MONTH('06_Сеть_и_дети'!W$3)-9,12),FALSE),'19_Расчет_аналитики'!W4460*CapacityAge05*'19_Расчет_аналитики'!$F$4259,0),0)</f>
        <v/>
      </c>
      <c r="X4572">
        <f>IF('01_Вводные'!$B$234="Да",IF(IF('01_Вводные'!$B$296="Новый сезон",5-1&gt;MOD(MONTH('06_Сеть_и_дети'!X$3)-9,12),FALSE),'19_Расчет_аналитики'!X4460*CapacityAge05*'19_Расчет_аналитики'!$F$4259,0),0)</f>
        <v/>
      </c>
      <c r="Y4572">
        <f>IF('01_Вводные'!$B$234="Да",IF(IF('01_Вводные'!$B$296="Новый сезон",5-1&gt;MOD(MONTH('06_Сеть_и_дети'!Y$3)-9,12),FALSE),'19_Расчет_аналитики'!Y4460*CapacityAge05*'19_Расчет_аналитики'!$F$4259,0),0)</f>
        <v/>
      </c>
      <c r="Z4572">
        <f>IF('01_Вводные'!$B$234="Да",IF(IF('01_Вводные'!$B$296="Новый сезон",5-1&gt;MOD(MONTH('06_Сеть_и_дети'!Z$3)-9,12),FALSE),'19_Расчет_аналитики'!Z4460*CapacityAge05*'19_Расчет_аналитики'!$F$4259,0),0)</f>
        <v/>
      </c>
      <c r="AA4572">
        <f>IF('01_Вводные'!$B$234="Да",IF(IF('01_Вводные'!$B$296="Новый сезон",5-1&gt;MOD(MONTH('06_Сеть_и_дети'!AA$3)-9,12),FALSE),'19_Расчет_аналитики'!AA4460*CapacityAge05*'19_Расчет_аналитики'!$F$4259,0),0)</f>
        <v/>
      </c>
      <c r="AB4572">
        <f>IF('01_Вводные'!$B$234="Да",IF(IF('01_Вводные'!$B$296="Новый сезон",5-1&gt;MOD(MONTH('06_Сеть_и_дети'!AB$3)-9,12),FALSE),'19_Расчет_аналитики'!AB4460*CapacityAge05*'19_Расчет_аналитики'!$F$4259,0),0)</f>
        <v/>
      </c>
      <c r="AC4572">
        <f>IF('01_Вводные'!$B$234="Да",IF(IF('01_Вводные'!$B$296="Новый сезон",5-1&gt;MOD(MONTH('06_Сеть_и_дети'!AC$3)-9,12),FALSE),'19_Расчет_аналитики'!AC4460*CapacityAge05*'19_Расчет_аналитики'!$F$4259,0),0)</f>
        <v/>
      </c>
      <c r="AD4572">
        <f>IF('01_Вводные'!$B$234="Да",IF(IF('01_Вводные'!$B$296="Новый сезон",5-1&gt;MOD(MONTH('06_Сеть_и_дети'!AD$3)-9,12),FALSE),'19_Расчет_аналитики'!AD4460*CapacityAge05*'19_Расчет_аналитики'!$F$4259,0),0)</f>
        <v/>
      </c>
      <c r="AE4572">
        <f>IF('01_Вводные'!$B$234="Да",IF(IF('01_Вводные'!$B$296="Новый сезон",5-1&gt;MOD(MONTH('06_Сеть_и_дети'!AE$3)-9,12),FALSE),'19_Расчет_аналитики'!AE4460*CapacityAge05*'19_Расчет_аналитики'!$F$4259,0),0)</f>
        <v/>
      </c>
      <c r="AF4572">
        <f>IF('01_Вводные'!$B$234="Да",IF(IF('01_Вводные'!$B$296="Новый сезон",5-1&gt;MOD(MONTH('06_Сеть_и_дети'!AF$3)-9,12),FALSE),'19_Расчет_аналитики'!AF4460*CapacityAge05*'19_Расчет_аналитики'!$F$4259,0),0)</f>
        <v/>
      </c>
      <c r="AG4572">
        <f>IF('01_Вводные'!$B$234="Да",IF(IF('01_Вводные'!$B$296="Новый сезон",5-1&gt;MOD(MONTH('06_Сеть_и_дети'!AG$3)-9,12),FALSE),'19_Расчет_аналитики'!AG4460*CapacityAge05*'19_Расчет_аналитики'!$F$4259,0),0)</f>
        <v/>
      </c>
      <c r="AH4572">
        <f>IF('01_Вводные'!$B$234="Да",IF(IF('01_Вводные'!$B$296="Новый сезон",5-1&gt;MOD(MONTH('06_Сеть_и_дети'!AH$3)-9,12),FALSE),'19_Расчет_аналитики'!AH4460*CapacityAge05*'19_Расчет_аналитики'!$F$4259,0),0)</f>
        <v/>
      </c>
      <c r="AI4572">
        <f>IF('01_Вводные'!$B$234="Да",IF(IF('01_Вводные'!$B$296="Новый сезон",5-1&gt;MOD(MONTH('06_Сеть_и_дети'!AI$3)-9,12),FALSE),'19_Расчет_аналитики'!AI4460*CapacityAge05*'19_Расчет_аналитики'!$F$4259,0),0)</f>
        <v/>
      </c>
      <c r="AJ4572">
        <f>IF('01_Вводные'!$B$234="Да",IF(IF('01_Вводные'!$B$296="Новый сезон",5-1&gt;MOD(MONTH('06_Сеть_и_дети'!AJ$3)-9,12),FALSE),'19_Расчет_аналитики'!AJ4460*CapacityAge05*'19_Расчет_аналитики'!$F$4259,0),0)</f>
        <v/>
      </c>
      <c r="AK4572">
        <f>IF('01_Вводные'!$B$234="Да",IF(IF('01_Вводные'!$B$296="Новый сезон",5-1&gt;MOD(MONTH('06_Сеть_и_дети'!AK$3)-9,12),FALSE),'19_Расчет_аналитики'!AK4460*CapacityAge05*'19_Расчет_аналитики'!$F$4259,0),0)</f>
        <v/>
      </c>
      <c r="AL4572">
        <f>IF('01_Вводные'!$B$234="Да",IF(IF('01_Вводные'!$B$296="Новый сезон",5-1&gt;MOD(MONTH('06_Сеть_и_дети'!AL$3)-9,12),FALSE),'19_Расчет_аналитики'!AL4460*CapacityAge05*'19_Расчет_аналитики'!$F$4259,0),0)</f>
        <v/>
      </c>
      <c r="AM4572">
        <f>IF('01_Вводные'!$B$234="Да",IF(IF('01_Вводные'!$B$296="Новый сезон",5-1&gt;MOD(MONTH('06_Сеть_и_дети'!AM$3)-9,12),FALSE),'19_Расчет_аналитики'!AM4460*CapacityAge05*'19_Расчет_аналитики'!$F$4259,0),0)</f>
        <v/>
      </c>
      <c r="AN4572">
        <f>IF('01_Вводные'!$B$234="Да",IF(IF('01_Вводные'!$B$296="Новый сезон",5-1&gt;MOD(MONTH('06_Сеть_и_дети'!AN$3)-9,12),FALSE),'19_Расчет_аналитики'!AN4460*CapacityAge05*'19_Расчет_аналитики'!$F$4259,0),0)</f>
        <v/>
      </c>
      <c r="AO4572">
        <f>IF('01_Вводные'!$B$234="Да",IF(IF('01_Вводные'!$B$296="Новый сезон",5-1&gt;MOD(MONTH('06_Сеть_и_дети'!AO$3)-9,12),FALSE),'19_Расчет_аналитики'!AO4460*CapacityAge05*'19_Расчет_аналитики'!$F$4259,0),0)</f>
        <v/>
      </c>
      <c r="AP4572">
        <f>IF('01_Вводные'!$B$234="Да",IF(IF('01_Вводные'!$B$296="Новый сезон",5-1&gt;MOD(MONTH('06_Сеть_и_дети'!AP$3)-9,12),FALSE),'19_Расчет_аналитики'!AP4460*CapacityAge05*'19_Расчет_аналитики'!$F$4259,0),0)</f>
        <v/>
      </c>
      <c r="AQ4572">
        <f>IF('01_Вводные'!$B$234="Да",IF(IF('01_Вводные'!$B$296="Новый сезон",5-1&gt;MOD(MONTH('06_Сеть_и_дети'!AQ$3)-9,12),FALSE),'19_Расчет_аналитики'!AQ4460*CapacityAge05*'19_Расчет_аналитики'!$F$4259,0),0)</f>
        <v/>
      </c>
      <c r="AR4572">
        <f>IF('01_Вводные'!$B$234="Да",IF(IF('01_Вводные'!$B$296="Новый сезон",5-1&gt;MOD(MONTH('06_Сеть_и_дети'!AR$3)-9,12),FALSE),'19_Расчет_аналитики'!AR4460*CapacityAge05*'19_Расчет_аналитики'!$F$4259,0),0)</f>
        <v/>
      </c>
      <c r="AS4572">
        <f>IF('01_Вводные'!$B$234="Да",IF(IF('01_Вводные'!$B$296="Новый сезон",5-1&gt;MOD(MONTH('06_Сеть_и_дети'!AS$3)-9,12),FALSE),'19_Расчет_аналитики'!AS4460*CapacityAge05*'19_Расчет_аналитики'!$F$4259,0),0)</f>
        <v/>
      </c>
      <c r="AT4572">
        <f>IF('01_Вводные'!$B$234="Да",IF(IF('01_Вводные'!$B$296="Новый сезон",5-1&gt;MOD(MONTH('06_Сеть_и_дети'!AT$3)-9,12),FALSE),'19_Расчет_аналитики'!AT4460*CapacityAge05*'19_Расчет_аналитики'!$F$4259,0),0)</f>
        <v/>
      </c>
      <c r="AU4572">
        <f>IF('01_Вводные'!$B$234="Да",IF(IF('01_Вводные'!$B$296="Новый сезон",5-1&gt;MOD(MONTH('06_Сеть_и_дети'!AU$3)-9,12),FALSE),'19_Расчет_аналитики'!AU4460*CapacityAge05*'19_Расчет_аналитики'!$F$4259,0),0)</f>
        <v/>
      </c>
      <c r="AV4572">
        <f>IF('01_Вводные'!$B$234="Да",IF(IF('01_Вводные'!$B$296="Новый сезон",5-1&gt;MOD(MONTH('06_Сеть_и_дети'!AV$3)-9,12),FALSE),'19_Расчет_аналитики'!AV4460*CapacityAge05*'19_Расчет_аналитики'!$F$4259,0),0)</f>
        <v/>
      </c>
      <c r="AW4572">
        <f>IF('01_Вводные'!$B$234="Да",IF(IF('01_Вводные'!$B$296="Новый сезон",5-1&gt;MOD(MONTH('06_Сеть_и_дети'!AW$3)-9,12),FALSE),'19_Расчет_аналитики'!AW4460*CapacityAge05*'19_Расчет_аналитики'!$F$4259,0),0)</f>
        <v/>
      </c>
      <c r="AX4572">
        <f>IF('01_Вводные'!$B$234="Да",IF(IF('01_Вводные'!$B$296="Новый сезон",5-1&gt;MOD(MONTH('06_Сеть_и_дети'!AX$3)-9,12),FALSE),'19_Расчет_аналитики'!AX4460*CapacityAge05*'19_Расчет_аналитики'!$F$4259,0),0)</f>
        <v/>
      </c>
      <c r="AY4572">
        <f>IF('01_Вводные'!$B$234="Да",IF(IF('01_Вводные'!$B$296="Новый сезон",5-1&gt;MOD(MONTH('06_Сеть_и_дети'!AY$3)-9,12),FALSE),'19_Расчет_аналитики'!AY4460*CapacityAge05*'19_Расчет_аналитики'!$F$4259,0),0)</f>
        <v/>
      </c>
      <c r="AZ4572">
        <f>IF('01_Вводные'!$B$234="Да",IF(IF('01_Вводные'!$B$296="Новый сезон",5-1&gt;MOD(MONTH('06_Сеть_и_дети'!AZ$3)-9,12),FALSE),'19_Расчет_аналитики'!AZ4460*CapacityAge05*'19_Расчет_аналитики'!$F$4259,0),0)</f>
        <v/>
      </c>
      <c r="BA4572">
        <f>IF('01_Вводные'!$B$234="Да",IF(IF('01_Вводные'!$B$296="Новый сезон",5-1&gt;MOD(MONTH('06_Сеть_и_дети'!BA$3)-9,12),FALSE),'19_Расчет_аналитики'!BA4460*CapacityAge05*'19_Расчет_аналитики'!$F$4259,0),0)</f>
        <v/>
      </c>
      <c r="BB4572">
        <f>IF('01_Вводные'!$B$234="Да",IF(IF('01_Вводные'!$B$296="Новый сезон",5-1&gt;MOD(MONTH('06_Сеть_и_дети'!BB$3)-9,12),FALSE),'19_Расчет_аналитики'!BB4460*CapacityAge05*'19_Расчет_аналитики'!$F$4259,0),0)</f>
        <v/>
      </c>
      <c r="BC4572">
        <f>IF('01_Вводные'!$B$234="Да",IF(IF('01_Вводные'!$B$296="Новый сезон",5-1&gt;MOD(MONTH('06_Сеть_и_дети'!BC$3)-9,12),FALSE),'19_Расчет_аналитики'!BC4460*CapacityAge05*'19_Расчет_аналитики'!$F$4259,0),0)</f>
        <v/>
      </c>
      <c r="BD4572">
        <f>IF('01_Вводные'!$B$234="Да",IF(IF('01_Вводные'!$B$296="Новый сезон",5-1&gt;MOD(MONTH('06_Сеть_и_дети'!BD$3)-9,12),FALSE),'19_Расчет_аналитики'!BD4460*CapacityAge05*'19_Расчет_аналитики'!$F$4259,0),0)</f>
        <v/>
      </c>
      <c r="BE4572">
        <f>IF('01_Вводные'!$B$234="Да",IF(IF('01_Вводные'!$B$296="Новый сезон",5-1&gt;MOD(MONTH('06_Сеть_и_дети'!BE$3)-9,12),FALSE),'19_Расчет_аналитики'!BE4460*CapacityAge05*'19_Расчет_аналитики'!$F$4259,0),0)</f>
        <v/>
      </c>
      <c r="BF4572">
        <f>IF('01_Вводные'!$B$234="Да",IF(IF('01_Вводные'!$B$296="Новый сезон",5-1&gt;MOD(MONTH('06_Сеть_и_дети'!BF$3)-9,12),FALSE),'19_Расчет_аналитики'!BF4460*CapacityAge05*'19_Расчет_аналитики'!$F$4259,0),0)</f>
        <v/>
      </c>
      <c r="BG4572">
        <f>IF('01_Вводные'!$B$234="Да",IF(IF('01_Вводные'!$B$296="Новый сезон",5-1&gt;MOD(MONTH('06_Сеть_и_дети'!BG$3)-9,12),FALSE),'19_Расчет_аналитики'!BG4460*CapacityAge05*'19_Расчет_аналитики'!$F$4259,0),0)</f>
        <v/>
      </c>
      <c r="BH4572">
        <f>IF('01_Вводные'!$B$234="Да",IF(IF('01_Вводные'!$B$296="Новый сезон",5-1&gt;MOD(MONTH('06_Сеть_и_дети'!BH$3)-9,12),FALSE),'19_Расчет_аналитики'!BH4460*CapacityAge05*'19_Расчет_аналитики'!$F$4259,0),0)</f>
        <v/>
      </c>
      <c r="BI4572">
        <f>IF('01_Вводные'!$B$234="Да",IF(IF('01_Вводные'!$B$296="Новый сезон",5-1&gt;MOD(MONTH('06_Сеть_и_дети'!BI$3)-9,12),FALSE),'19_Расчет_аналитики'!BI4460*CapacityAge05*'19_Расчет_аналитики'!$F$4259,0),0)</f>
        <v/>
      </c>
      <c r="BJ4572">
        <f>IF('01_Вводные'!$B$234="Да",IF(IF('01_Вводные'!$B$296="Новый сезон",5-1&gt;MOD(MONTH('06_Сеть_и_дети'!BJ$3)-9,12),FALSE),'19_Расчет_аналитики'!BJ4460*CapacityAge05*'19_Расчет_аналитики'!$F$4259,0),0)</f>
        <v/>
      </c>
      <c r="BK4572">
        <f>IF('01_Вводные'!$B$234="Да",IF(IF('01_Вводные'!$B$296="Новый сезон",5-1&gt;MOD(MONTH('06_Сеть_и_дети'!BK$3)-9,12),FALSE),'19_Расчет_аналитики'!BK4460*CapacityAge05*'19_Расчет_аналитики'!$F$4259,0),0)</f>
        <v/>
      </c>
      <c r="BL4572">
        <f>IF('01_Вводные'!$B$234="Да",IF(IF('01_Вводные'!$B$296="Новый сезон",5-1&gt;MOD(MONTH('06_Сеть_и_дети'!BL$3)-9,12),FALSE),'19_Расчет_аналитики'!BL4460*CapacityAge05*'19_Расчет_аналитики'!$F$4259,0),0)</f>
        <v/>
      </c>
      <c r="BM4572">
        <f>IF('01_Вводные'!$B$234="Да",IF(IF('01_Вводные'!$B$296="Новый сезон",5-1&gt;MOD(MONTH('06_Сеть_и_дети'!BM$3)-9,12),FALSE),'19_Расчет_аналитики'!BM4460*CapacityAge05*'19_Расчет_аналитики'!$F$4259,0),0)</f>
        <v/>
      </c>
      <c r="BN4572">
        <f>IF('01_Вводные'!$B$234="Да",IF(IF('01_Вводные'!$B$296="Новый сезон",5-1&gt;MOD(MONTH('06_Сеть_и_дети'!BN$3)-9,12),FALSE),'19_Расчет_аналитики'!BN4460*CapacityAge05*'19_Расчет_аналитики'!$F$4259,0),0)</f>
        <v/>
      </c>
      <c r="BO4572">
        <f>IF('01_Вводные'!$B$234="Да",IF(IF('01_Вводные'!$B$296="Новый сезон",5-1&gt;MOD(MONTH('06_Сеть_и_дети'!BO$3)-9,12),FALSE),'19_Расчет_аналитики'!BO4460*CapacityAge05*'19_Расчет_аналитики'!$F$4259,0),0)</f>
        <v/>
      </c>
    </row>
    <row r="4573">
      <c r="B4573">
        <f>IF('01_Вводные'!$B$234="Да",IF(IF('01_Вводные'!$B$296="Новый сезон",6-1&gt;MOD(MONTH('06_Сеть_и_дети'!B$3)-9,12),FALSE),'06_Сеть_и_дети'!B58*CapacityAge06*'19_Расчет_аналитики'!$F$4259,0),0)</f>
        <v/>
      </c>
      <c r="C4573">
        <f>IF('01_Вводные'!$B$234="Да",IF(IF('01_Вводные'!$B$296="Новый сезон",6-1&gt;MOD(MONTH('06_Сеть_и_дети'!C$3)-9,12),FALSE),'06_Сеть_и_дети'!C58*CapacityAge06*'19_Расчет_аналитики'!$F$4259,0),0)</f>
        <v/>
      </c>
      <c r="D4573">
        <f>IF('01_Вводные'!$B$234="Да",IF(IF('01_Вводные'!$B$296="Новый сезон",6-1&gt;MOD(MONTH('06_Сеть_и_дети'!D$3)-9,12),FALSE),'06_Сеть_и_дети'!D58*CapacityAge06*'19_Расчет_аналитики'!$F$4259,0),0)</f>
        <v/>
      </c>
      <c r="E4573">
        <f>IF('01_Вводные'!$B$234="Да",IF(IF('01_Вводные'!$B$296="Новый сезон",6-1&gt;MOD(MONTH('06_Сеть_и_дети'!E$3)-9,12),FALSE),'06_Сеть_и_дети'!E58*CapacityAge06*'19_Расчет_аналитики'!$F$4259,0),0)</f>
        <v/>
      </c>
      <c r="F4573">
        <f>IF('01_Вводные'!$B$234="Да",IF(IF('01_Вводные'!$B$296="Новый сезон",6-1&gt;MOD(MONTH('06_Сеть_и_дети'!F$3)-9,12),FALSE),'06_Сеть_и_дети'!F58*CapacityAge06*'19_Расчет_аналитики'!$F$4259,0),0)</f>
        <v/>
      </c>
      <c r="G4573">
        <f>IF('01_Вводные'!$B$234="Да",IF(IF('01_Вводные'!$B$296="Новый сезон",6-1&gt;MOD(MONTH('06_Сеть_и_дети'!G$3)-9,12),FALSE),'19_Расчет_аналитики'!G4461*CapacityAge06*'19_Расчет_аналитики'!$F$4259,0),0)</f>
        <v/>
      </c>
      <c r="H4573">
        <f>IF('01_Вводные'!$B$234="Да",IF(IF('01_Вводные'!$B$296="Новый сезон",6-1&gt;MOD(MONTH('06_Сеть_и_дети'!H$3)-9,12),FALSE),'19_Расчет_аналитики'!H4461*CapacityAge06*'19_Расчет_аналитики'!$F$4259,0),0)</f>
        <v/>
      </c>
      <c r="I4573">
        <f>IF('01_Вводные'!$B$234="Да",IF(IF('01_Вводные'!$B$296="Новый сезон",6-1&gt;MOD(MONTH('06_Сеть_и_дети'!I$3)-9,12),FALSE),'19_Расчет_аналитики'!I4461*CapacityAge06*'19_Расчет_аналитики'!$F$4259,0),0)</f>
        <v/>
      </c>
      <c r="J4573">
        <f>IF('01_Вводные'!$B$234="Да",IF(IF('01_Вводные'!$B$296="Новый сезон",6-1&gt;MOD(MONTH('06_Сеть_и_дети'!J$3)-9,12),FALSE),'19_Расчет_аналитики'!J4461*CapacityAge06*'19_Расчет_аналитики'!$F$4259,0),0)</f>
        <v/>
      </c>
      <c r="K4573">
        <f>IF('01_Вводные'!$B$234="Да",IF(IF('01_Вводные'!$B$296="Новый сезон",6-1&gt;MOD(MONTH('06_Сеть_и_дети'!K$3)-9,12),FALSE),'19_Расчет_аналитики'!K4461*CapacityAge06*'19_Расчет_аналитики'!$F$4259,0),0)</f>
        <v/>
      </c>
      <c r="L4573">
        <f>IF('01_Вводные'!$B$234="Да",IF(IF('01_Вводные'!$B$296="Новый сезон",6-1&gt;MOD(MONTH('06_Сеть_и_дети'!L$3)-9,12),FALSE),'19_Расчет_аналитики'!L4461*CapacityAge06*'19_Расчет_аналитики'!$F$4259,0),0)</f>
        <v/>
      </c>
      <c r="M4573">
        <f>IF('01_Вводные'!$B$234="Да",IF(IF('01_Вводные'!$B$296="Новый сезон",6-1&gt;MOD(MONTH('06_Сеть_и_дети'!M$3)-9,12),FALSE),'19_Расчет_аналитики'!M4461*CapacityAge06*'19_Расчет_аналитики'!$F$4259,0),0)</f>
        <v/>
      </c>
      <c r="N4573">
        <f>IF('01_Вводные'!$B$234="Да",IF(IF('01_Вводные'!$B$296="Новый сезон",6-1&gt;MOD(MONTH('06_Сеть_и_дети'!N$3)-9,12),FALSE),'19_Расчет_аналитики'!N4461*CapacityAge06*'19_Расчет_аналитики'!$F$4259,0),0)</f>
        <v/>
      </c>
      <c r="O4573">
        <f>IF('01_Вводные'!$B$234="Да",IF(IF('01_Вводные'!$B$296="Новый сезон",6-1&gt;MOD(MONTH('06_Сеть_и_дети'!O$3)-9,12),FALSE),'19_Расчет_аналитики'!O4461*CapacityAge06*'19_Расчет_аналитики'!$F$4259,0),0)</f>
        <v/>
      </c>
      <c r="P4573">
        <f>IF('01_Вводные'!$B$234="Да",IF(IF('01_Вводные'!$B$296="Новый сезон",6-1&gt;MOD(MONTH('06_Сеть_и_дети'!P$3)-9,12),FALSE),'19_Расчет_аналитики'!P4461*CapacityAge06*'19_Расчет_аналитики'!$F$4259,0),0)</f>
        <v/>
      </c>
      <c r="Q4573">
        <f>IF('01_Вводные'!$B$234="Да",IF(IF('01_Вводные'!$B$296="Новый сезон",6-1&gt;MOD(MONTH('06_Сеть_и_дети'!Q$3)-9,12),FALSE),'19_Расчет_аналитики'!Q4461*CapacityAge06*'19_Расчет_аналитики'!$F$4259,0),0)</f>
        <v/>
      </c>
      <c r="R4573">
        <f>IF('01_Вводные'!$B$234="Да",IF(IF('01_Вводные'!$B$296="Новый сезон",6-1&gt;MOD(MONTH('06_Сеть_и_дети'!R$3)-9,12),FALSE),'19_Расчет_аналитики'!R4461*CapacityAge06*'19_Расчет_аналитики'!$F$4259,0),0)</f>
        <v/>
      </c>
      <c r="S4573">
        <f>IF('01_Вводные'!$B$234="Да",IF(IF('01_Вводные'!$B$296="Новый сезон",6-1&gt;MOD(MONTH('06_Сеть_и_дети'!S$3)-9,12),FALSE),'19_Расчет_аналитики'!S4461*CapacityAge06*'19_Расчет_аналитики'!$F$4259,0),0)</f>
        <v/>
      </c>
      <c r="T4573">
        <f>IF('01_Вводные'!$B$234="Да",IF(IF('01_Вводные'!$B$296="Новый сезон",6-1&gt;MOD(MONTH('06_Сеть_и_дети'!T$3)-9,12),FALSE),'19_Расчет_аналитики'!T4461*CapacityAge06*'19_Расчет_аналитики'!$F$4259,0),0)</f>
        <v/>
      </c>
      <c r="U4573">
        <f>IF('01_Вводные'!$B$234="Да",IF(IF('01_Вводные'!$B$296="Новый сезон",6-1&gt;MOD(MONTH('06_Сеть_и_дети'!U$3)-9,12),FALSE),'19_Расчет_аналитики'!U4461*CapacityAge06*'19_Расчет_аналитики'!$F$4259,0),0)</f>
        <v/>
      </c>
      <c r="V4573">
        <f>IF('01_Вводные'!$B$234="Да",IF(IF('01_Вводные'!$B$296="Новый сезон",6-1&gt;MOD(MONTH('06_Сеть_и_дети'!V$3)-9,12),FALSE),'19_Расчет_аналитики'!V4461*CapacityAge06*'19_Расчет_аналитики'!$F$4259,0),0)</f>
        <v/>
      </c>
      <c r="W4573">
        <f>IF('01_Вводные'!$B$234="Да",IF(IF('01_Вводные'!$B$296="Новый сезон",6-1&gt;MOD(MONTH('06_Сеть_и_дети'!W$3)-9,12),FALSE),'19_Расчет_аналитики'!W4461*CapacityAge06*'19_Расчет_аналитики'!$F$4259,0),0)</f>
        <v/>
      </c>
      <c r="X4573">
        <f>IF('01_Вводные'!$B$234="Да",IF(IF('01_Вводные'!$B$296="Новый сезон",6-1&gt;MOD(MONTH('06_Сеть_и_дети'!X$3)-9,12),FALSE),'19_Расчет_аналитики'!X4461*CapacityAge06*'19_Расчет_аналитики'!$F$4259,0),0)</f>
        <v/>
      </c>
      <c r="Y4573">
        <f>IF('01_Вводные'!$B$234="Да",IF(IF('01_Вводные'!$B$296="Новый сезон",6-1&gt;MOD(MONTH('06_Сеть_и_дети'!Y$3)-9,12),FALSE),'19_Расчет_аналитики'!Y4461*CapacityAge06*'19_Расчет_аналитики'!$F$4259,0),0)</f>
        <v/>
      </c>
      <c r="Z4573">
        <f>IF('01_Вводные'!$B$234="Да",IF(IF('01_Вводные'!$B$296="Новый сезон",6-1&gt;MOD(MONTH('06_Сеть_и_дети'!Z$3)-9,12),FALSE),'19_Расчет_аналитики'!Z4461*CapacityAge06*'19_Расчет_аналитики'!$F$4259,0),0)</f>
        <v/>
      </c>
      <c r="AA4573">
        <f>IF('01_Вводные'!$B$234="Да",IF(IF('01_Вводные'!$B$296="Новый сезон",6-1&gt;MOD(MONTH('06_Сеть_и_дети'!AA$3)-9,12),FALSE),'19_Расчет_аналитики'!AA4461*CapacityAge06*'19_Расчет_аналитики'!$F$4259,0),0)</f>
        <v/>
      </c>
      <c r="AB4573">
        <f>IF('01_Вводные'!$B$234="Да",IF(IF('01_Вводные'!$B$296="Новый сезон",6-1&gt;MOD(MONTH('06_Сеть_и_дети'!AB$3)-9,12),FALSE),'19_Расчет_аналитики'!AB4461*CapacityAge06*'19_Расчет_аналитики'!$F$4259,0),0)</f>
        <v/>
      </c>
      <c r="AC4573">
        <f>IF('01_Вводные'!$B$234="Да",IF(IF('01_Вводные'!$B$296="Новый сезон",6-1&gt;MOD(MONTH('06_Сеть_и_дети'!AC$3)-9,12),FALSE),'19_Расчет_аналитики'!AC4461*CapacityAge06*'19_Расчет_аналитики'!$F$4259,0),0)</f>
        <v/>
      </c>
      <c r="AD4573">
        <f>IF('01_Вводные'!$B$234="Да",IF(IF('01_Вводные'!$B$296="Новый сезон",6-1&gt;MOD(MONTH('06_Сеть_и_дети'!AD$3)-9,12),FALSE),'19_Расчет_аналитики'!AD4461*CapacityAge06*'19_Расчет_аналитики'!$F$4259,0),0)</f>
        <v/>
      </c>
      <c r="AE4573">
        <f>IF('01_Вводные'!$B$234="Да",IF(IF('01_Вводные'!$B$296="Новый сезон",6-1&gt;MOD(MONTH('06_Сеть_и_дети'!AE$3)-9,12),FALSE),'19_Расчет_аналитики'!AE4461*CapacityAge06*'19_Расчет_аналитики'!$F$4259,0),0)</f>
        <v/>
      </c>
      <c r="AF4573">
        <f>IF('01_Вводные'!$B$234="Да",IF(IF('01_Вводные'!$B$296="Новый сезон",6-1&gt;MOD(MONTH('06_Сеть_и_дети'!AF$3)-9,12),FALSE),'19_Расчет_аналитики'!AF4461*CapacityAge06*'19_Расчет_аналитики'!$F$4259,0),0)</f>
        <v/>
      </c>
      <c r="AG4573">
        <f>IF('01_Вводные'!$B$234="Да",IF(IF('01_Вводные'!$B$296="Новый сезон",6-1&gt;MOD(MONTH('06_Сеть_и_дети'!AG$3)-9,12),FALSE),'19_Расчет_аналитики'!AG4461*CapacityAge06*'19_Расчет_аналитики'!$F$4259,0),0)</f>
        <v/>
      </c>
      <c r="AH4573">
        <f>IF('01_Вводные'!$B$234="Да",IF(IF('01_Вводные'!$B$296="Новый сезон",6-1&gt;MOD(MONTH('06_Сеть_и_дети'!AH$3)-9,12),FALSE),'19_Расчет_аналитики'!AH4461*CapacityAge06*'19_Расчет_аналитики'!$F$4259,0),0)</f>
        <v/>
      </c>
      <c r="AI4573">
        <f>IF('01_Вводные'!$B$234="Да",IF(IF('01_Вводные'!$B$296="Новый сезон",6-1&gt;MOD(MONTH('06_Сеть_и_дети'!AI$3)-9,12),FALSE),'19_Расчет_аналитики'!AI4461*CapacityAge06*'19_Расчет_аналитики'!$F$4259,0),0)</f>
        <v/>
      </c>
      <c r="AJ4573">
        <f>IF('01_Вводные'!$B$234="Да",IF(IF('01_Вводные'!$B$296="Новый сезон",6-1&gt;MOD(MONTH('06_Сеть_и_дети'!AJ$3)-9,12),FALSE),'19_Расчет_аналитики'!AJ4461*CapacityAge06*'19_Расчет_аналитики'!$F$4259,0),0)</f>
        <v/>
      </c>
      <c r="AK4573">
        <f>IF('01_Вводные'!$B$234="Да",IF(IF('01_Вводные'!$B$296="Новый сезон",6-1&gt;MOD(MONTH('06_Сеть_и_дети'!AK$3)-9,12),FALSE),'19_Расчет_аналитики'!AK4461*CapacityAge06*'19_Расчет_аналитики'!$F$4259,0),0)</f>
        <v/>
      </c>
      <c r="AL4573">
        <f>IF('01_Вводные'!$B$234="Да",IF(IF('01_Вводные'!$B$296="Новый сезон",6-1&gt;MOD(MONTH('06_Сеть_и_дети'!AL$3)-9,12),FALSE),'19_Расчет_аналитики'!AL4461*CapacityAge06*'19_Расчет_аналитики'!$F$4259,0),0)</f>
        <v/>
      </c>
      <c r="AM4573">
        <f>IF('01_Вводные'!$B$234="Да",IF(IF('01_Вводные'!$B$296="Новый сезон",6-1&gt;MOD(MONTH('06_Сеть_и_дети'!AM$3)-9,12),FALSE),'19_Расчет_аналитики'!AM4461*CapacityAge06*'19_Расчет_аналитики'!$F$4259,0),0)</f>
        <v/>
      </c>
      <c r="AN4573">
        <f>IF('01_Вводные'!$B$234="Да",IF(IF('01_Вводные'!$B$296="Новый сезон",6-1&gt;MOD(MONTH('06_Сеть_и_дети'!AN$3)-9,12),FALSE),'19_Расчет_аналитики'!AN4461*CapacityAge06*'19_Расчет_аналитики'!$F$4259,0),0)</f>
        <v/>
      </c>
      <c r="AO4573">
        <f>IF('01_Вводные'!$B$234="Да",IF(IF('01_Вводные'!$B$296="Новый сезон",6-1&gt;MOD(MONTH('06_Сеть_и_дети'!AO$3)-9,12),FALSE),'19_Расчет_аналитики'!AO4461*CapacityAge06*'19_Расчет_аналитики'!$F$4259,0),0)</f>
        <v/>
      </c>
      <c r="AP4573">
        <f>IF('01_Вводные'!$B$234="Да",IF(IF('01_Вводные'!$B$296="Новый сезон",6-1&gt;MOD(MONTH('06_Сеть_и_дети'!AP$3)-9,12),FALSE),'19_Расчет_аналитики'!AP4461*CapacityAge06*'19_Расчет_аналитики'!$F$4259,0),0)</f>
        <v/>
      </c>
      <c r="AQ4573">
        <f>IF('01_Вводные'!$B$234="Да",IF(IF('01_Вводные'!$B$296="Новый сезон",6-1&gt;MOD(MONTH('06_Сеть_и_дети'!AQ$3)-9,12),FALSE),'19_Расчет_аналитики'!AQ4461*CapacityAge06*'19_Расчет_аналитики'!$F$4259,0),0)</f>
        <v/>
      </c>
      <c r="AR4573">
        <f>IF('01_Вводные'!$B$234="Да",IF(IF('01_Вводные'!$B$296="Новый сезон",6-1&gt;MOD(MONTH('06_Сеть_и_дети'!AR$3)-9,12),FALSE),'19_Расчет_аналитики'!AR4461*CapacityAge06*'19_Расчет_аналитики'!$F$4259,0),0)</f>
        <v/>
      </c>
      <c r="AS4573">
        <f>IF('01_Вводные'!$B$234="Да",IF(IF('01_Вводные'!$B$296="Новый сезон",6-1&gt;MOD(MONTH('06_Сеть_и_дети'!AS$3)-9,12),FALSE),'19_Расчет_аналитики'!AS4461*CapacityAge06*'19_Расчет_аналитики'!$F$4259,0),0)</f>
        <v/>
      </c>
      <c r="AT4573">
        <f>IF('01_Вводные'!$B$234="Да",IF(IF('01_Вводные'!$B$296="Новый сезон",6-1&gt;MOD(MONTH('06_Сеть_и_дети'!AT$3)-9,12),FALSE),'19_Расчет_аналитики'!AT4461*CapacityAge06*'19_Расчет_аналитики'!$F$4259,0),0)</f>
        <v/>
      </c>
      <c r="AU4573">
        <f>IF('01_Вводные'!$B$234="Да",IF(IF('01_Вводные'!$B$296="Новый сезон",6-1&gt;MOD(MONTH('06_Сеть_и_дети'!AU$3)-9,12),FALSE),'19_Расчет_аналитики'!AU4461*CapacityAge06*'19_Расчет_аналитики'!$F$4259,0),0)</f>
        <v/>
      </c>
      <c r="AV4573">
        <f>IF('01_Вводные'!$B$234="Да",IF(IF('01_Вводные'!$B$296="Новый сезон",6-1&gt;MOD(MONTH('06_Сеть_и_дети'!AV$3)-9,12),FALSE),'19_Расчет_аналитики'!AV4461*CapacityAge06*'19_Расчет_аналитики'!$F$4259,0),0)</f>
        <v/>
      </c>
      <c r="AW4573">
        <f>IF('01_Вводные'!$B$234="Да",IF(IF('01_Вводные'!$B$296="Новый сезон",6-1&gt;MOD(MONTH('06_Сеть_и_дети'!AW$3)-9,12),FALSE),'19_Расчет_аналитики'!AW4461*CapacityAge06*'19_Расчет_аналитики'!$F$4259,0),0)</f>
        <v/>
      </c>
      <c r="AX4573">
        <f>IF('01_Вводные'!$B$234="Да",IF(IF('01_Вводные'!$B$296="Новый сезон",6-1&gt;MOD(MONTH('06_Сеть_и_дети'!AX$3)-9,12),FALSE),'19_Расчет_аналитики'!AX4461*CapacityAge06*'19_Расчет_аналитики'!$F$4259,0),0)</f>
        <v/>
      </c>
      <c r="AY4573">
        <f>IF('01_Вводные'!$B$234="Да",IF(IF('01_Вводные'!$B$296="Новый сезон",6-1&gt;MOD(MONTH('06_Сеть_и_дети'!AY$3)-9,12),FALSE),'19_Расчет_аналитики'!AY4461*CapacityAge06*'19_Расчет_аналитики'!$F$4259,0),0)</f>
        <v/>
      </c>
      <c r="AZ4573">
        <f>IF('01_Вводные'!$B$234="Да",IF(IF('01_Вводные'!$B$296="Новый сезон",6-1&gt;MOD(MONTH('06_Сеть_и_дети'!AZ$3)-9,12),FALSE),'19_Расчет_аналитики'!AZ4461*CapacityAge06*'19_Расчет_аналитики'!$F$4259,0),0)</f>
        <v/>
      </c>
      <c r="BA4573">
        <f>IF('01_Вводные'!$B$234="Да",IF(IF('01_Вводные'!$B$296="Новый сезон",6-1&gt;MOD(MONTH('06_Сеть_и_дети'!BA$3)-9,12),FALSE),'19_Расчет_аналитики'!BA4461*CapacityAge06*'19_Расчет_аналитики'!$F$4259,0),0)</f>
        <v/>
      </c>
      <c r="BB4573">
        <f>IF('01_Вводные'!$B$234="Да",IF(IF('01_Вводные'!$B$296="Новый сезон",6-1&gt;MOD(MONTH('06_Сеть_и_дети'!BB$3)-9,12),FALSE),'19_Расчет_аналитики'!BB4461*CapacityAge06*'19_Расчет_аналитики'!$F$4259,0),0)</f>
        <v/>
      </c>
      <c r="BC4573">
        <f>IF('01_Вводные'!$B$234="Да",IF(IF('01_Вводные'!$B$296="Новый сезон",6-1&gt;MOD(MONTH('06_Сеть_и_дети'!BC$3)-9,12),FALSE),'19_Расчет_аналитики'!BC4461*CapacityAge06*'19_Расчет_аналитики'!$F$4259,0),0)</f>
        <v/>
      </c>
      <c r="BD4573">
        <f>IF('01_Вводные'!$B$234="Да",IF(IF('01_Вводные'!$B$296="Новый сезон",6-1&gt;MOD(MONTH('06_Сеть_и_дети'!BD$3)-9,12),FALSE),'19_Расчет_аналитики'!BD4461*CapacityAge06*'19_Расчет_аналитики'!$F$4259,0),0)</f>
        <v/>
      </c>
      <c r="BE4573">
        <f>IF('01_Вводные'!$B$234="Да",IF(IF('01_Вводные'!$B$296="Новый сезон",6-1&gt;MOD(MONTH('06_Сеть_и_дети'!BE$3)-9,12),FALSE),'19_Расчет_аналитики'!BE4461*CapacityAge06*'19_Расчет_аналитики'!$F$4259,0),0)</f>
        <v/>
      </c>
      <c r="BF4573">
        <f>IF('01_Вводные'!$B$234="Да",IF(IF('01_Вводные'!$B$296="Новый сезон",6-1&gt;MOD(MONTH('06_Сеть_и_дети'!BF$3)-9,12),FALSE),'19_Расчет_аналитики'!BF4461*CapacityAge06*'19_Расчет_аналитики'!$F$4259,0),0)</f>
        <v/>
      </c>
      <c r="BG4573">
        <f>IF('01_Вводные'!$B$234="Да",IF(IF('01_Вводные'!$B$296="Новый сезон",6-1&gt;MOD(MONTH('06_Сеть_и_дети'!BG$3)-9,12),FALSE),'19_Расчет_аналитики'!BG4461*CapacityAge06*'19_Расчет_аналитики'!$F$4259,0),0)</f>
        <v/>
      </c>
      <c r="BH4573">
        <f>IF('01_Вводные'!$B$234="Да",IF(IF('01_Вводные'!$B$296="Новый сезон",6-1&gt;MOD(MONTH('06_Сеть_и_дети'!BH$3)-9,12),FALSE),'19_Расчет_аналитики'!BH4461*CapacityAge06*'19_Расчет_аналитики'!$F$4259,0),0)</f>
        <v/>
      </c>
      <c r="BI4573">
        <f>IF('01_Вводные'!$B$234="Да",IF(IF('01_Вводные'!$B$296="Новый сезон",6-1&gt;MOD(MONTH('06_Сеть_и_дети'!BI$3)-9,12),FALSE),'19_Расчет_аналитики'!BI4461*CapacityAge06*'19_Расчет_аналитики'!$F$4259,0),0)</f>
        <v/>
      </c>
      <c r="BJ4573">
        <f>IF('01_Вводные'!$B$234="Да",IF(IF('01_Вводные'!$B$296="Новый сезон",6-1&gt;MOD(MONTH('06_Сеть_и_дети'!BJ$3)-9,12),FALSE),'19_Расчет_аналитики'!BJ4461*CapacityAge06*'19_Расчет_аналитики'!$F$4259,0),0)</f>
        <v/>
      </c>
      <c r="BK4573">
        <f>IF('01_Вводные'!$B$234="Да",IF(IF('01_Вводные'!$B$296="Новый сезон",6-1&gt;MOD(MONTH('06_Сеть_и_дети'!BK$3)-9,12),FALSE),'19_Расчет_аналитики'!BK4461*CapacityAge06*'19_Расчет_аналитики'!$F$4259,0),0)</f>
        <v/>
      </c>
      <c r="BL4573">
        <f>IF('01_Вводные'!$B$234="Да",IF(IF('01_Вводные'!$B$296="Новый сезон",6-1&gt;MOD(MONTH('06_Сеть_и_дети'!BL$3)-9,12),FALSE),'19_Расчет_аналитики'!BL4461*CapacityAge06*'19_Расчет_аналитики'!$F$4259,0),0)</f>
        <v/>
      </c>
      <c r="BM4573">
        <f>IF('01_Вводные'!$B$234="Да",IF(IF('01_Вводные'!$B$296="Новый сезон",6-1&gt;MOD(MONTH('06_Сеть_и_дети'!BM$3)-9,12),FALSE),'19_Расчет_аналитики'!BM4461*CapacityAge06*'19_Расчет_аналитики'!$F$4259,0),0)</f>
        <v/>
      </c>
      <c r="BN4573">
        <f>IF('01_Вводные'!$B$234="Да",IF(IF('01_Вводные'!$B$296="Новый сезон",6-1&gt;MOD(MONTH('06_Сеть_и_дети'!BN$3)-9,12),FALSE),'19_Расчет_аналитики'!BN4461*CapacityAge06*'19_Расчет_аналитики'!$F$4259,0),0)</f>
        <v/>
      </c>
      <c r="BO4573">
        <f>IF('01_Вводные'!$B$234="Да",IF(IF('01_Вводные'!$B$296="Новый сезон",6-1&gt;MOD(MONTH('06_Сеть_и_дети'!BO$3)-9,12),FALSE),'19_Расчет_аналитики'!BO4461*CapacityAge06*'19_Расчет_аналитики'!$F$4259,0),0)</f>
        <v/>
      </c>
    </row>
    <row r="4574">
      <c r="B4574">
        <f>IF('01_Вводные'!$B$234="Да",IF(IF('01_Вводные'!$B$296="Новый сезон",7-1&gt;MOD(MONTH('06_Сеть_и_дети'!B$3)-9,12),FALSE),'06_Сеть_и_дети'!B59*CapacityAge07*'19_Расчет_аналитики'!$F$4259,0),0)</f>
        <v/>
      </c>
      <c r="C4574">
        <f>IF('01_Вводные'!$B$234="Да",IF(IF('01_Вводные'!$B$296="Новый сезон",7-1&gt;MOD(MONTH('06_Сеть_и_дети'!C$3)-9,12),FALSE),'06_Сеть_и_дети'!C59*CapacityAge07*'19_Расчет_аналитики'!$F$4259,0),0)</f>
        <v/>
      </c>
      <c r="D4574">
        <f>IF('01_Вводные'!$B$234="Да",IF(IF('01_Вводные'!$B$296="Новый сезон",7-1&gt;MOD(MONTH('06_Сеть_и_дети'!D$3)-9,12),FALSE),'06_Сеть_и_дети'!D59*CapacityAge07*'19_Расчет_аналитики'!$F$4259,0),0)</f>
        <v/>
      </c>
      <c r="E4574">
        <f>IF('01_Вводные'!$B$234="Да",IF(IF('01_Вводные'!$B$296="Новый сезон",7-1&gt;MOD(MONTH('06_Сеть_и_дети'!E$3)-9,12),FALSE),'06_Сеть_и_дети'!E59*CapacityAge07*'19_Расчет_аналитики'!$F$4259,0),0)</f>
        <v/>
      </c>
      <c r="F4574">
        <f>IF('01_Вводные'!$B$234="Да",IF(IF('01_Вводные'!$B$296="Новый сезон",7-1&gt;MOD(MONTH('06_Сеть_и_дети'!F$3)-9,12),FALSE),'06_Сеть_и_дети'!F59*CapacityAge07*'19_Расчет_аналитики'!$F$4259,0),0)</f>
        <v/>
      </c>
      <c r="G4574">
        <f>IF('01_Вводные'!$B$234="Да",IF(IF('01_Вводные'!$B$296="Новый сезон",7-1&gt;MOD(MONTH('06_Сеть_и_дети'!G$3)-9,12),FALSE),'06_Сеть_и_дети'!G59*CapacityAge07*'19_Расчет_аналитики'!$F$4259,0),0)</f>
        <v/>
      </c>
      <c r="H4574">
        <f>IF('01_Вводные'!$B$234="Да",IF(IF('01_Вводные'!$B$296="Новый сезон",7-1&gt;MOD(MONTH('06_Сеть_и_дети'!H$3)-9,12),FALSE),'19_Расчет_аналитики'!H4462*CapacityAge07*'19_Расчет_аналитики'!$F$4259,0),0)</f>
        <v/>
      </c>
      <c r="I4574">
        <f>IF('01_Вводные'!$B$234="Да",IF(IF('01_Вводные'!$B$296="Новый сезон",7-1&gt;MOD(MONTH('06_Сеть_и_дети'!I$3)-9,12),FALSE),'19_Расчет_аналитики'!I4462*CapacityAge07*'19_Расчет_аналитики'!$F$4259,0),0)</f>
        <v/>
      </c>
      <c r="J4574">
        <f>IF('01_Вводные'!$B$234="Да",IF(IF('01_Вводные'!$B$296="Новый сезон",7-1&gt;MOD(MONTH('06_Сеть_и_дети'!J$3)-9,12),FALSE),'19_Расчет_аналитики'!J4462*CapacityAge07*'19_Расчет_аналитики'!$F$4259,0),0)</f>
        <v/>
      </c>
      <c r="K4574">
        <f>IF('01_Вводные'!$B$234="Да",IF(IF('01_Вводные'!$B$296="Новый сезон",7-1&gt;MOD(MONTH('06_Сеть_и_дети'!K$3)-9,12),FALSE),'19_Расчет_аналитики'!K4462*CapacityAge07*'19_Расчет_аналитики'!$F$4259,0),0)</f>
        <v/>
      </c>
      <c r="L4574">
        <f>IF('01_Вводные'!$B$234="Да",IF(IF('01_Вводные'!$B$296="Новый сезон",7-1&gt;MOD(MONTH('06_Сеть_и_дети'!L$3)-9,12),FALSE),'19_Расчет_аналитики'!L4462*CapacityAge07*'19_Расчет_аналитики'!$F$4259,0),0)</f>
        <v/>
      </c>
      <c r="M4574">
        <f>IF('01_Вводные'!$B$234="Да",IF(IF('01_Вводные'!$B$296="Новый сезон",7-1&gt;MOD(MONTH('06_Сеть_и_дети'!M$3)-9,12),FALSE),'19_Расчет_аналитики'!M4462*CapacityAge07*'19_Расчет_аналитики'!$F$4259,0),0)</f>
        <v/>
      </c>
      <c r="N4574">
        <f>IF('01_Вводные'!$B$234="Да",IF(IF('01_Вводные'!$B$296="Новый сезон",7-1&gt;MOD(MONTH('06_Сеть_и_дети'!N$3)-9,12),FALSE),'19_Расчет_аналитики'!N4462*CapacityAge07*'19_Расчет_аналитики'!$F$4259,0),0)</f>
        <v/>
      </c>
      <c r="O4574">
        <f>IF('01_Вводные'!$B$234="Да",IF(IF('01_Вводные'!$B$296="Новый сезон",7-1&gt;MOD(MONTH('06_Сеть_и_дети'!O$3)-9,12),FALSE),'19_Расчет_аналитики'!O4462*CapacityAge07*'19_Расчет_аналитики'!$F$4259,0),0)</f>
        <v/>
      </c>
      <c r="P4574">
        <f>IF('01_Вводные'!$B$234="Да",IF(IF('01_Вводные'!$B$296="Новый сезон",7-1&gt;MOD(MONTH('06_Сеть_и_дети'!P$3)-9,12),FALSE),'19_Расчет_аналитики'!P4462*CapacityAge07*'19_Расчет_аналитики'!$F$4259,0),0)</f>
        <v/>
      </c>
      <c r="Q4574">
        <f>IF('01_Вводные'!$B$234="Да",IF(IF('01_Вводные'!$B$296="Новый сезон",7-1&gt;MOD(MONTH('06_Сеть_и_дети'!Q$3)-9,12),FALSE),'19_Расчет_аналитики'!Q4462*CapacityAge07*'19_Расчет_аналитики'!$F$4259,0),0)</f>
        <v/>
      </c>
      <c r="R4574">
        <f>IF('01_Вводные'!$B$234="Да",IF(IF('01_Вводные'!$B$296="Новый сезон",7-1&gt;MOD(MONTH('06_Сеть_и_дети'!R$3)-9,12),FALSE),'19_Расчет_аналитики'!R4462*CapacityAge07*'19_Расчет_аналитики'!$F$4259,0),0)</f>
        <v/>
      </c>
      <c r="S4574">
        <f>IF('01_Вводные'!$B$234="Да",IF(IF('01_Вводные'!$B$296="Новый сезон",7-1&gt;MOD(MONTH('06_Сеть_и_дети'!S$3)-9,12),FALSE),'19_Расчет_аналитики'!S4462*CapacityAge07*'19_Расчет_аналитики'!$F$4259,0),0)</f>
        <v/>
      </c>
      <c r="T4574">
        <f>IF('01_Вводные'!$B$234="Да",IF(IF('01_Вводные'!$B$296="Новый сезон",7-1&gt;MOD(MONTH('06_Сеть_и_дети'!T$3)-9,12),FALSE),'19_Расчет_аналитики'!T4462*CapacityAge07*'19_Расчет_аналитики'!$F$4259,0),0)</f>
        <v/>
      </c>
      <c r="U4574">
        <f>IF('01_Вводные'!$B$234="Да",IF(IF('01_Вводные'!$B$296="Новый сезон",7-1&gt;MOD(MONTH('06_Сеть_и_дети'!U$3)-9,12),FALSE),'19_Расчет_аналитики'!U4462*CapacityAge07*'19_Расчет_аналитики'!$F$4259,0),0)</f>
        <v/>
      </c>
      <c r="V4574">
        <f>IF('01_Вводные'!$B$234="Да",IF(IF('01_Вводные'!$B$296="Новый сезон",7-1&gt;MOD(MONTH('06_Сеть_и_дети'!V$3)-9,12),FALSE),'19_Расчет_аналитики'!V4462*CapacityAge07*'19_Расчет_аналитики'!$F$4259,0),0)</f>
        <v/>
      </c>
      <c r="W4574">
        <f>IF('01_Вводные'!$B$234="Да",IF(IF('01_Вводные'!$B$296="Новый сезон",7-1&gt;MOD(MONTH('06_Сеть_и_дети'!W$3)-9,12),FALSE),'19_Расчет_аналитики'!W4462*CapacityAge07*'19_Расчет_аналитики'!$F$4259,0),0)</f>
        <v/>
      </c>
      <c r="X4574">
        <f>IF('01_Вводные'!$B$234="Да",IF(IF('01_Вводные'!$B$296="Новый сезон",7-1&gt;MOD(MONTH('06_Сеть_и_дети'!X$3)-9,12),FALSE),'19_Расчет_аналитики'!X4462*CapacityAge07*'19_Расчет_аналитики'!$F$4259,0),0)</f>
        <v/>
      </c>
      <c r="Y4574">
        <f>IF('01_Вводные'!$B$234="Да",IF(IF('01_Вводные'!$B$296="Новый сезон",7-1&gt;MOD(MONTH('06_Сеть_и_дети'!Y$3)-9,12),FALSE),'19_Расчет_аналитики'!Y4462*CapacityAge07*'19_Расчет_аналитики'!$F$4259,0),0)</f>
        <v/>
      </c>
      <c r="Z4574">
        <f>IF('01_Вводные'!$B$234="Да",IF(IF('01_Вводные'!$B$296="Новый сезон",7-1&gt;MOD(MONTH('06_Сеть_и_дети'!Z$3)-9,12),FALSE),'19_Расчет_аналитики'!Z4462*CapacityAge07*'19_Расчет_аналитики'!$F$4259,0),0)</f>
        <v/>
      </c>
      <c r="AA4574">
        <f>IF('01_Вводные'!$B$234="Да",IF(IF('01_Вводные'!$B$296="Новый сезон",7-1&gt;MOD(MONTH('06_Сеть_и_дети'!AA$3)-9,12),FALSE),'19_Расчет_аналитики'!AA4462*CapacityAge07*'19_Расчет_аналитики'!$F$4259,0),0)</f>
        <v/>
      </c>
      <c r="AB4574">
        <f>IF('01_Вводные'!$B$234="Да",IF(IF('01_Вводные'!$B$296="Новый сезон",7-1&gt;MOD(MONTH('06_Сеть_и_дети'!AB$3)-9,12),FALSE),'19_Расчет_аналитики'!AB4462*CapacityAge07*'19_Расчет_аналитики'!$F$4259,0),0)</f>
        <v/>
      </c>
      <c r="AC4574">
        <f>IF('01_Вводные'!$B$234="Да",IF(IF('01_Вводные'!$B$296="Новый сезон",7-1&gt;MOD(MONTH('06_Сеть_и_дети'!AC$3)-9,12),FALSE),'19_Расчет_аналитики'!AC4462*CapacityAge07*'19_Расчет_аналитики'!$F$4259,0),0)</f>
        <v/>
      </c>
      <c r="AD4574">
        <f>IF('01_Вводные'!$B$234="Да",IF(IF('01_Вводные'!$B$296="Новый сезон",7-1&gt;MOD(MONTH('06_Сеть_и_дети'!AD$3)-9,12),FALSE),'19_Расчет_аналитики'!AD4462*CapacityAge07*'19_Расчет_аналитики'!$F$4259,0),0)</f>
        <v/>
      </c>
      <c r="AE4574">
        <f>IF('01_Вводные'!$B$234="Да",IF(IF('01_Вводные'!$B$296="Новый сезон",7-1&gt;MOD(MONTH('06_Сеть_и_дети'!AE$3)-9,12),FALSE),'19_Расчет_аналитики'!AE4462*CapacityAge07*'19_Расчет_аналитики'!$F$4259,0),0)</f>
        <v/>
      </c>
      <c r="AF4574">
        <f>IF('01_Вводные'!$B$234="Да",IF(IF('01_Вводные'!$B$296="Новый сезон",7-1&gt;MOD(MONTH('06_Сеть_и_дети'!AF$3)-9,12),FALSE),'19_Расчет_аналитики'!AF4462*CapacityAge07*'19_Расчет_аналитики'!$F$4259,0),0)</f>
        <v/>
      </c>
      <c r="AG4574">
        <f>IF('01_Вводные'!$B$234="Да",IF(IF('01_Вводные'!$B$296="Новый сезон",7-1&gt;MOD(MONTH('06_Сеть_и_дети'!AG$3)-9,12),FALSE),'19_Расчет_аналитики'!AG4462*CapacityAge07*'19_Расчет_аналитики'!$F$4259,0),0)</f>
        <v/>
      </c>
      <c r="AH4574">
        <f>IF('01_Вводные'!$B$234="Да",IF(IF('01_Вводные'!$B$296="Новый сезон",7-1&gt;MOD(MONTH('06_Сеть_и_дети'!AH$3)-9,12),FALSE),'19_Расчет_аналитики'!AH4462*CapacityAge07*'19_Расчет_аналитики'!$F$4259,0),0)</f>
        <v/>
      </c>
      <c r="AI4574">
        <f>IF('01_Вводные'!$B$234="Да",IF(IF('01_Вводные'!$B$296="Новый сезон",7-1&gt;MOD(MONTH('06_Сеть_и_дети'!AI$3)-9,12),FALSE),'19_Расчет_аналитики'!AI4462*CapacityAge07*'19_Расчет_аналитики'!$F$4259,0),0)</f>
        <v/>
      </c>
      <c r="AJ4574">
        <f>IF('01_Вводные'!$B$234="Да",IF(IF('01_Вводные'!$B$296="Новый сезон",7-1&gt;MOD(MONTH('06_Сеть_и_дети'!AJ$3)-9,12),FALSE),'19_Расчет_аналитики'!AJ4462*CapacityAge07*'19_Расчет_аналитики'!$F$4259,0),0)</f>
        <v/>
      </c>
      <c r="AK4574">
        <f>IF('01_Вводные'!$B$234="Да",IF(IF('01_Вводные'!$B$296="Новый сезон",7-1&gt;MOD(MONTH('06_Сеть_и_дети'!AK$3)-9,12),FALSE),'19_Расчет_аналитики'!AK4462*CapacityAge07*'19_Расчет_аналитики'!$F$4259,0),0)</f>
        <v/>
      </c>
      <c r="AL4574">
        <f>IF('01_Вводные'!$B$234="Да",IF(IF('01_Вводные'!$B$296="Новый сезон",7-1&gt;MOD(MONTH('06_Сеть_и_дети'!AL$3)-9,12),FALSE),'19_Расчет_аналитики'!AL4462*CapacityAge07*'19_Расчет_аналитики'!$F$4259,0),0)</f>
        <v/>
      </c>
      <c r="AM4574">
        <f>IF('01_Вводные'!$B$234="Да",IF(IF('01_Вводные'!$B$296="Новый сезон",7-1&gt;MOD(MONTH('06_Сеть_и_дети'!AM$3)-9,12),FALSE),'19_Расчет_аналитики'!AM4462*CapacityAge07*'19_Расчет_аналитики'!$F$4259,0),0)</f>
        <v/>
      </c>
      <c r="AN4574">
        <f>IF('01_Вводные'!$B$234="Да",IF(IF('01_Вводные'!$B$296="Новый сезон",7-1&gt;MOD(MONTH('06_Сеть_и_дети'!AN$3)-9,12),FALSE),'19_Расчет_аналитики'!AN4462*CapacityAge07*'19_Расчет_аналитики'!$F$4259,0),0)</f>
        <v/>
      </c>
      <c r="AO4574">
        <f>IF('01_Вводные'!$B$234="Да",IF(IF('01_Вводные'!$B$296="Новый сезон",7-1&gt;MOD(MONTH('06_Сеть_и_дети'!AO$3)-9,12),FALSE),'19_Расчет_аналитики'!AO4462*CapacityAge07*'19_Расчет_аналитики'!$F$4259,0),0)</f>
        <v/>
      </c>
      <c r="AP4574">
        <f>IF('01_Вводные'!$B$234="Да",IF(IF('01_Вводные'!$B$296="Новый сезон",7-1&gt;MOD(MONTH('06_Сеть_и_дети'!AP$3)-9,12),FALSE),'19_Расчет_аналитики'!AP4462*CapacityAge07*'19_Расчет_аналитики'!$F$4259,0),0)</f>
        <v/>
      </c>
      <c r="AQ4574">
        <f>IF('01_Вводные'!$B$234="Да",IF(IF('01_Вводные'!$B$296="Новый сезон",7-1&gt;MOD(MONTH('06_Сеть_и_дети'!AQ$3)-9,12),FALSE),'19_Расчет_аналитики'!AQ4462*CapacityAge07*'19_Расчет_аналитики'!$F$4259,0),0)</f>
        <v/>
      </c>
      <c r="AR4574">
        <f>IF('01_Вводные'!$B$234="Да",IF(IF('01_Вводные'!$B$296="Новый сезон",7-1&gt;MOD(MONTH('06_Сеть_и_дети'!AR$3)-9,12),FALSE),'19_Расчет_аналитики'!AR4462*CapacityAge07*'19_Расчет_аналитики'!$F$4259,0),0)</f>
        <v/>
      </c>
      <c r="AS4574">
        <f>IF('01_Вводные'!$B$234="Да",IF(IF('01_Вводные'!$B$296="Новый сезон",7-1&gt;MOD(MONTH('06_Сеть_и_дети'!AS$3)-9,12),FALSE),'19_Расчет_аналитики'!AS4462*CapacityAge07*'19_Расчет_аналитики'!$F$4259,0),0)</f>
        <v/>
      </c>
      <c r="AT4574">
        <f>IF('01_Вводные'!$B$234="Да",IF(IF('01_Вводные'!$B$296="Новый сезон",7-1&gt;MOD(MONTH('06_Сеть_и_дети'!AT$3)-9,12),FALSE),'19_Расчет_аналитики'!AT4462*CapacityAge07*'19_Расчет_аналитики'!$F$4259,0),0)</f>
        <v/>
      </c>
      <c r="AU4574">
        <f>IF('01_Вводные'!$B$234="Да",IF(IF('01_Вводные'!$B$296="Новый сезон",7-1&gt;MOD(MONTH('06_Сеть_и_дети'!AU$3)-9,12),FALSE),'19_Расчет_аналитики'!AU4462*CapacityAge07*'19_Расчет_аналитики'!$F$4259,0),0)</f>
        <v/>
      </c>
      <c r="AV4574">
        <f>IF('01_Вводные'!$B$234="Да",IF(IF('01_Вводные'!$B$296="Новый сезон",7-1&gt;MOD(MONTH('06_Сеть_и_дети'!AV$3)-9,12),FALSE),'19_Расчет_аналитики'!AV4462*CapacityAge07*'19_Расчет_аналитики'!$F$4259,0),0)</f>
        <v/>
      </c>
      <c r="AW4574">
        <f>IF('01_Вводные'!$B$234="Да",IF(IF('01_Вводные'!$B$296="Новый сезон",7-1&gt;MOD(MONTH('06_Сеть_и_дети'!AW$3)-9,12),FALSE),'19_Расчет_аналитики'!AW4462*CapacityAge07*'19_Расчет_аналитики'!$F$4259,0),0)</f>
        <v/>
      </c>
      <c r="AX4574">
        <f>IF('01_Вводные'!$B$234="Да",IF(IF('01_Вводные'!$B$296="Новый сезон",7-1&gt;MOD(MONTH('06_Сеть_и_дети'!AX$3)-9,12),FALSE),'19_Расчет_аналитики'!AX4462*CapacityAge07*'19_Расчет_аналитики'!$F$4259,0),0)</f>
        <v/>
      </c>
      <c r="AY4574">
        <f>IF('01_Вводные'!$B$234="Да",IF(IF('01_Вводные'!$B$296="Новый сезон",7-1&gt;MOD(MONTH('06_Сеть_и_дети'!AY$3)-9,12),FALSE),'19_Расчет_аналитики'!AY4462*CapacityAge07*'19_Расчет_аналитики'!$F$4259,0),0)</f>
        <v/>
      </c>
      <c r="AZ4574">
        <f>IF('01_Вводные'!$B$234="Да",IF(IF('01_Вводные'!$B$296="Новый сезон",7-1&gt;MOD(MONTH('06_Сеть_и_дети'!AZ$3)-9,12),FALSE),'19_Расчет_аналитики'!AZ4462*CapacityAge07*'19_Расчет_аналитики'!$F$4259,0),0)</f>
        <v/>
      </c>
      <c r="BA4574">
        <f>IF('01_Вводные'!$B$234="Да",IF(IF('01_Вводные'!$B$296="Новый сезон",7-1&gt;MOD(MONTH('06_Сеть_и_дети'!BA$3)-9,12),FALSE),'19_Расчет_аналитики'!BA4462*CapacityAge07*'19_Расчет_аналитики'!$F$4259,0),0)</f>
        <v/>
      </c>
      <c r="BB4574">
        <f>IF('01_Вводные'!$B$234="Да",IF(IF('01_Вводные'!$B$296="Новый сезон",7-1&gt;MOD(MONTH('06_Сеть_и_дети'!BB$3)-9,12),FALSE),'19_Расчет_аналитики'!BB4462*CapacityAge07*'19_Расчет_аналитики'!$F$4259,0),0)</f>
        <v/>
      </c>
      <c r="BC4574">
        <f>IF('01_Вводные'!$B$234="Да",IF(IF('01_Вводные'!$B$296="Новый сезон",7-1&gt;MOD(MONTH('06_Сеть_и_дети'!BC$3)-9,12),FALSE),'19_Расчет_аналитики'!BC4462*CapacityAge07*'19_Расчет_аналитики'!$F$4259,0),0)</f>
        <v/>
      </c>
      <c r="BD4574">
        <f>IF('01_Вводные'!$B$234="Да",IF(IF('01_Вводные'!$B$296="Новый сезон",7-1&gt;MOD(MONTH('06_Сеть_и_дети'!BD$3)-9,12),FALSE),'19_Расчет_аналитики'!BD4462*CapacityAge07*'19_Расчет_аналитики'!$F$4259,0),0)</f>
        <v/>
      </c>
      <c r="BE4574">
        <f>IF('01_Вводные'!$B$234="Да",IF(IF('01_Вводные'!$B$296="Новый сезон",7-1&gt;MOD(MONTH('06_Сеть_и_дети'!BE$3)-9,12),FALSE),'19_Расчет_аналитики'!BE4462*CapacityAge07*'19_Расчет_аналитики'!$F$4259,0),0)</f>
        <v/>
      </c>
      <c r="BF4574">
        <f>IF('01_Вводные'!$B$234="Да",IF(IF('01_Вводные'!$B$296="Новый сезон",7-1&gt;MOD(MONTH('06_Сеть_и_дети'!BF$3)-9,12),FALSE),'19_Расчет_аналитики'!BF4462*CapacityAge07*'19_Расчет_аналитики'!$F$4259,0),0)</f>
        <v/>
      </c>
      <c r="BG4574">
        <f>IF('01_Вводные'!$B$234="Да",IF(IF('01_Вводные'!$B$296="Новый сезон",7-1&gt;MOD(MONTH('06_Сеть_и_дети'!BG$3)-9,12),FALSE),'19_Расчет_аналитики'!BG4462*CapacityAge07*'19_Расчет_аналитики'!$F$4259,0),0)</f>
        <v/>
      </c>
      <c r="BH4574">
        <f>IF('01_Вводные'!$B$234="Да",IF(IF('01_Вводные'!$B$296="Новый сезон",7-1&gt;MOD(MONTH('06_Сеть_и_дети'!BH$3)-9,12),FALSE),'19_Расчет_аналитики'!BH4462*CapacityAge07*'19_Расчет_аналитики'!$F$4259,0),0)</f>
        <v/>
      </c>
      <c r="BI4574">
        <f>IF('01_Вводные'!$B$234="Да",IF(IF('01_Вводные'!$B$296="Новый сезон",7-1&gt;MOD(MONTH('06_Сеть_и_дети'!BI$3)-9,12),FALSE),'19_Расчет_аналитики'!BI4462*CapacityAge07*'19_Расчет_аналитики'!$F$4259,0),0)</f>
        <v/>
      </c>
      <c r="BJ4574">
        <f>IF('01_Вводные'!$B$234="Да",IF(IF('01_Вводные'!$B$296="Новый сезон",7-1&gt;MOD(MONTH('06_Сеть_и_дети'!BJ$3)-9,12),FALSE),'19_Расчет_аналитики'!BJ4462*CapacityAge07*'19_Расчет_аналитики'!$F$4259,0),0)</f>
        <v/>
      </c>
      <c r="BK4574">
        <f>IF('01_Вводные'!$B$234="Да",IF(IF('01_Вводные'!$B$296="Новый сезон",7-1&gt;MOD(MONTH('06_Сеть_и_дети'!BK$3)-9,12),FALSE),'19_Расчет_аналитики'!BK4462*CapacityAge07*'19_Расчет_аналитики'!$F$4259,0),0)</f>
        <v/>
      </c>
      <c r="BL4574">
        <f>IF('01_Вводные'!$B$234="Да",IF(IF('01_Вводные'!$B$296="Новый сезон",7-1&gt;MOD(MONTH('06_Сеть_и_дети'!BL$3)-9,12),FALSE),'19_Расчет_аналитики'!BL4462*CapacityAge07*'19_Расчет_аналитики'!$F$4259,0),0)</f>
        <v/>
      </c>
      <c r="BM4574">
        <f>IF('01_Вводные'!$B$234="Да",IF(IF('01_Вводные'!$B$296="Новый сезон",7-1&gt;MOD(MONTH('06_Сеть_и_дети'!BM$3)-9,12),FALSE),'19_Расчет_аналитики'!BM4462*CapacityAge07*'19_Расчет_аналитики'!$F$4259,0),0)</f>
        <v/>
      </c>
      <c r="BN4574">
        <f>IF('01_Вводные'!$B$234="Да",IF(IF('01_Вводные'!$B$296="Новый сезон",7-1&gt;MOD(MONTH('06_Сеть_и_дети'!BN$3)-9,12),FALSE),'19_Расчет_аналитики'!BN4462*CapacityAge07*'19_Расчет_аналитики'!$F$4259,0),0)</f>
        <v/>
      </c>
      <c r="BO4574">
        <f>IF('01_Вводные'!$B$234="Да",IF(IF('01_Вводные'!$B$296="Новый сезон",7-1&gt;MOD(MONTH('06_Сеть_и_дети'!BO$3)-9,12),FALSE),'19_Расчет_аналитики'!BO4462*CapacityAge07*'19_Расчет_аналитики'!$F$4259,0),0)</f>
        <v/>
      </c>
    </row>
    <row r="4575">
      <c r="B4575">
        <f>IF('01_Вводные'!$B$234="Да",IF(IF('01_Вводные'!$B$296="Новый сезон",8-1&gt;MOD(MONTH('06_Сеть_и_дети'!B$3)-9,12),FALSE),'06_Сеть_и_дети'!B60*CapacityAge08*'19_Расчет_аналитики'!$F$4259,0),0)</f>
        <v/>
      </c>
      <c r="C4575">
        <f>IF('01_Вводные'!$B$234="Да",IF(IF('01_Вводные'!$B$296="Новый сезон",8-1&gt;MOD(MONTH('06_Сеть_и_дети'!C$3)-9,12),FALSE),'06_Сеть_и_дети'!C60*CapacityAge08*'19_Расчет_аналитики'!$F$4259,0),0)</f>
        <v/>
      </c>
      <c r="D4575">
        <f>IF('01_Вводные'!$B$234="Да",IF(IF('01_Вводные'!$B$296="Новый сезон",8-1&gt;MOD(MONTH('06_Сеть_и_дети'!D$3)-9,12),FALSE),'06_Сеть_и_дети'!D60*CapacityAge08*'19_Расчет_аналитики'!$F$4259,0),0)</f>
        <v/>
      </c>
      <c r="E4575">
        <f>IF('01_Вводные'!$B$234="Да",IF(IF('01_Вводные'!$B$296="Новый сезон",8-1&gt;MOD(MONTH('06_Сеть_и_дети'!E$3)-9,12),FALSE),'06_Сеть_и_дети'!E60*CapacityAge08*'19_Расчет_аналитики'!$F$4259,0),0)</f>
        <v/>
      </c>
      <c r="F4575">
        <f>IF('01_Вводные'!$B$234="Да",IF(IF('01_Вводные'!$B$296="Новый сезон",8-1&gt;MOD(MONTH('06_Сеть_и_дети'!F$3)-9,12),FALSE),'06_Сеть_и_дети'!F60*CapacityAge08*'19_Расчет_аналитики'!$F$4259,0),0)</f>
        <v/>
      </c>
      <c r="G4575">
        <f>IF('01_Вводные'!$B$234="Да",IF(IF('01_Вводные'!$B$296="Новый сезон",8-1&gt;MOD(MONTH('06_Сеть_и_дети'!G$3)-9,12),FALSE),'06_Сеть_и_дети'!G60*CapacityAge08*'19_Расчет_аналитики'!$F$4259,0),0)</f>
        <v/>
      </c>
      <c r="H4575">
        <f>IF('01_Вводные'!$B$234="Да",IF(IF('01_Вводные'!$B$296="Новый сезон",8-1&gt;MOD(MONTH('06_Сеть_и_дети'!H$3)-9,12),FALSE),'06_Сеть_и_дети'!H60*CapacityAge08*'19_Расчет_аналитики'!$F$4259,0),0)</f>
        <v/>
      </c>
      <c r="I4575">
        <f>IF('01_Вводные'!$B$234="Да",IF(IF('01_Вводные'!$B$296="Новый сезон",8-1&gt;MOD(MONTH('06_Сеть_и_дети'!I$3)-9,12),FALSE),'19_Расчет_аналитики'!I4463*CapacityAge08*'19_Расчет_аналитики'!$F$4259,0),0)</f>
        <v/>
      </c>
      <c r="J4575">
        <f>IF('01_Вводные'!$B$234="Да",IF(IF('01_Вводные'!$B$296="Новый сезон",8-1&gt;MOD(MONTH('06_Сеть_и_дети'!J$3)-9,12),FALSE),'19_Расчет_аналитики'!J4463*CapacityAge08*'19_Расчет_аналитики'!$F$4259,0),0)</f>
        <v/>
      </c>
      <c r="K4575">
        <f>IF('01_Вводные'!$B$234="Да",IF(IF('01_Вводные'!$B$296="Новый сезон",8-1&gt;MOD(MONTH('06_Сеть_и_дети'!K$3)-9,12),FALSE),'19_Расчет_аналитики'!K4463*CapacityAge08*'19_Расчет_аналитики'!$F$4259,0),0)</f>
        <v/>
      </c>
      <c r="L4575">
        <f>IF('01_Вводные'!$B$234="Да",IF(IF('01_Вводные'!$B$296="Новый сезон",8-1&gt;MOD(MONTH('06_Сеть_и_дети'!L$3)-9,12),FALSE),'19_Расчет_аналитики'!L4463*CapacityAge08*'19_Расчет_аналитики'!$F$4259,0),0)</f>
        <v/>
      </c>
      <c r="M4575">
        <f>IF('01_Вводные'!$B$234="Да",IF(IF('01_Вводные'!$B$296="Новый сезон",8-1&gt;MOD(MONTH('06_Сеть_и_дети'!M$3)-9,12),FALSE),'19_Расчет_аналитики'!M4463*CapacityAge08*'19_Расчет_аналитики'!$F$4259,0),0)</f>
        <v/>
      </c>
      <c r="N4575">
        <f>IF('01_Вводные'!$B$234="Да",IF(IF('01_Вводные'!$B$296="Новый сезон",8-1&gt;MOD(MONTH('06_Сеть_и_дети'!N$3)-9,12),FALSE),'19_Расчет_аналитики'!N4463*CapacityAge08*'19_Расчет_аналитики'!$F$4259,0),0)</f>
        <v/>
      </c>
      <c r="O4575">
        <f>IF('01_Вводные'!$B$234="Да",IF(IF('01_Вводные'!$B$296="Новый сезон",8-1&gt;MOD(MONTH('06_Сеть_и_дети'!O$3)-9,12),FALSE),'19_Расчет_аналитики'!O4463*CapacityAge08*'19_Расчет_аналитики'!$F$4259,0),0)</f>
        <v/>
      </c>
      <c r="P4575">
        <f>IF('01_Вводные'!$B$234="Да",IF(IF('01_Вводные'!$B$296="Новый сезон",8-1&gt;MOD(MONTH('06_Сеть_и_дети'!P$3)-9,12),FALSE),'19_Расчет_аналитики'!P4463*CapacityAge08*'19_Расчет_аналитики'!$F$4259,0),0)</f>
        <v/>
      </c>
      <c r="Q4575">
        <f>IF('01_Вводные'!$B$234="Да",IF(IF('01_Вводные'!$B$296="Новый сезон",8-1&gt;MOD(MONTH('06_Сеть_и_дети'!Q$3)-9,12),FALSE),'19_Расчет_аналитики'!Q4463*CapacityAge08*'19_Расчет_аналитики'!$F$4259,0),0)</f>
        <v/>
      </c>
      <c r="R4575">
        <f>IF('01_Вводные'!$B$234="Да",IF(IF('01_Вводные'!$B$296="Новый сезон",8-1&gt;MOD(MONTH('06_Сеть_и_дети'!R$3)-9,12),FALSE),'19_Расчет_аналитики'!R4463*CapacityAge08*'19_Расчет_аналитики'!$F$4259,0),0)</f>
        <v/>
      </c>
      <c r="S4575">
        <f>IF('01_Вводные'!$B$234="Да",IF(IF('01_Вводные'!$B$296="Новый сезон",8-1&gt;MOD(MONTH('06_Сеть_и_дети'!S$3)-9,12),FALSE),'19_Расчет_аналитики'!S4463*CapacityAge08*'19_Расчет_аналитики'!$F$4259,0),0)</f>
        <v/>
      </c>
      <c r="T4575">
        <f>IF('01_Вводные'!$B$234="Да",IF(IF('01_Вводные'!$B$296="Новый сезон",8-1&gt;MOD(MONTH('06_Сеть_и_дети'!T$3)-9,12),FALSE),'19_Расчет_аналитики'!T4463*CapacityAge08*'19_Расчет_аналитики'!$F$4259,0),0)</f>
        <v/>
      </c>
      <c r="U4575">
        <f>IF('01_Вводные'!$B$234="Да",IF(IF('01_Вводные'!$B$296="Новый сезон",8-1&gt;MOD(MONTH('06_Сеть_и_дети'!U$3)-9,12),FALSE),'19_Расчет_аналитики'!U4463*CapacityAge08*'19_Расчет_аналитики'!$F$4259,0),0)</f>
        <v/>
      </c>
      <c r="V4575">
        <f>IF('01_Вводные'!$B$234="Да",IF(IF('01_Вводные'!$B$296="Новый сезон",8-1&gt;MOD(MONTH('06_Сеть_и_дети'!V$3)-9,12),FALSE),'19_Расчет_аналитики'!V4463*CapacityAge08*'19_Расчет_аналитики'!$F$4259,0),0)</f>
        <v/>
      </c>
      <c r="W4575">
        <f>IF('01_Вводные'!$B$234="Да",IF(IF('01_Вводные'!$B$296="Новый сезон",8-1&gt;MOD(MONTH('06_Сеть_и_дети'!W$3)-9,12),FALSE),'19_Расчет_аналитики'!W4463*CapacityAge08*'19_Расчет_аналитики'!$F$4259,0),0)</f>
        <v/>
      </c>
      <c r="X4575">
        <f>IF('01_Вводные'!$B$234="Да",IF(IF('01_Вводные'!$B$296="Новый сезон",8-1&gt;MOD(MONTH('06_Сеть_и_дети'!X$3)-9,12),FALSE),'19_Расчет_аналитики'!X4463*CapacityAge08*'19_Расчет_аналитики'!$F$4259,0),0)</f>
        <v/>
      </c>
      <c r="Y4575">
        <f>IF('01_Вводные'!$B$234="Да",IF(IF('01_Вводные'!$B$296="Новый сезон",8-1&gt;MOD(MONTH('06_Сеть_и_дети'!Y$3)-9,12),FALSE),'19_Расчет_аналитики'!Y4463*CapacityAge08*'19_Расчет_аналитики'!$F$4259,0),0)</f>
        <v/>
      </c>
      <c r="Z4575">
        <f>IF('01_Вводные'!$B$234="Да",IF(IF('01_Вводные'!$B$296="Новый сезон",8-1&gt;MOD(MONTH('06_Сеть_и_дети'!Z$3)-9,12),FALSE),'19_Расчет_аналитики'!Z4463*CapacityAge08*'19_Расчет_аналитики'!$F$4259,0),0)</f>
        <v/>
      </c>
      <c r="AA4575">
        <f>IF('01_Вводные'!$B$234="Да",IF(IF('01_Вводные'!$B$296="Новый сезон",8-1&gt;MOD(MONTH('06_Сеть_и_дети'!AA$3)-9,12),FALSE),'19_Расчет_аналитики'!AA4463*CapacityAge08*'19_Расчет_аналитики'!$F$4259,0),0)</f>
        <v/>
      </c>
      <c r="AB4575">
        <f>IF('01_Вводные'!$B$234="Да",IF(IF('01_Вводные'!$B$296="Новый сезон",8-1&gt;MOD(MONTH('06_Сеть_и_дети'!AB$3)-9,12),FALSE),'19_Расчет_аналитики'!AB4463*CapacityAge08*'19_Расчет_аналитики'!$F$4259,0),0)</f>
        <v/>
      </c>
      <c r="AC4575">
        <f>IF('01_Вводные'!$B$234="Да",IF(IF('01_Вводные'!$B$296="Новый сезон",8-1&gt;MOD(MONTH('06_Сеть_и_дети'!AC$3)-9,12),FALSE),'19_Расчет_аналитики'!AC4463*CapacityAge08*'19_Расчет_аналитики'!$F$4259,0),0)</f>
        <v/>
      </c>
      <c r="AD4575">
        <f>IF('01_Вводные'!$B$234="Да",IF(IF('01_Вводные'!$B$296="Новый сезон",8-1&gt;MOD(MONTH('06_Сеть_и_дети'!AD$3)-9,12),FALSE),'19_Расчет_аналитики'!AD4463*CapacityAge08*'19_Расчет_аналитики'!$F$4259,0),0)</f>
        <v/>
      </c>
      <c r="AE4575">
        <f>IF('01_Вводные'!$B$234="Да",IF(IF('01_Вводные'!$B$296="Новый сезон",8-1&gt;MOD(MONTH('06_Сеть_и_дети'!AE$3)-9,12),FALSE),'19_Расчет_аналитики'!AE4463*CapacityAge08*'19_Расчет_аналитики'!$F$4259,0),0)</f>
        <v/>
      </c>
      <c r="AF4575">
        <f>IF('01_Вводные'!$B$234="Да",IF(IF('01_Вводные'!$B$296="Новый сезон",8-1&gt;MOD(MONTH('06_Сеть_и_дети'!AF$3)-9,12),FALSE),'19_Расчет_аналитики'!AF4463*CapacityAge08*'19_Расчет_аналитики'!$F$4259,0),0)</f>
        <v/>
      </c>
      <c r="AG4575">
        <f>IF('01_Вводные'!$B$234="Да",IF(IF('01_Вводные'!$B$296="Новый сезон",8-1&gt;MOD(MONTH('06_Сеть_и_дети'!AG$3)-9,12),FALSE),'19_Расчет_аналитики'!AG4463*CapacityAge08*'19_Расчет_аналитики'!$F$4259,0),0)</f>
        <v/>
      </c>
      <c r="AH4575">
        <f>IF('01_Вводные'!$B$234="Да",IF(IF('01_Вводные'!$B$296="Новый сезон",8-1&gt;MOD(MONTH('06_Сеть_и_дети'!AH$3)-9,12),FALSE),'19_Расчет_аналитики'!AH4463*CapacityAge08*'19_Расчет_аналитики'!$F$4259,0),0)</f>
        <v/>
      </c>
      <c r="AI4575">
        <f>IF('01_Вводные'!$B$234="Да",IF(IF('01_Вводные'!$B$296="Новый сезон",8-1&gt;MOD(MONTH('06_Сеть_и_дети'!AI$3)-9,12),FALSE),'19_Расчет_аналитики'!AI4463*CapacityAge08*'19_Расчет_аналитики'!$F$4259,0),0)</f>
        <v/>
      </c>
      <c r="AJ4575">
        <f>IF('01_Вводные'!$B$234="Да",IF(IF('01_Вводные'!$B$296="Новый сезон",8-1&gt;MOD(MONTH('06_Сеть_и_дети'!AJ$3)-9,12),FALSE),'19_Расчет_аналитики'!AJ4463*CapacityAge08*'19_Расчет_аналитики'!$F$4259,0),0)</f>
        <v/>
      </c>
      <c r="AK4575">
        <f>IF('01_Вводные'!$B$234="Да",IF(IF('01_Вводные'!$B$296="Новый сезон",8-1&gt;MOD(MONTH('06_Сеть_и_дети'!AK$3)-9,12),FALSE),'19_Расчет_аналитики'!AK4463*CapacityAge08*'19_Расчет_аналитики'!$F$4259,0),0)</f>
        <v/>
      </c>
      <c r="AL4575">
        <f>IF('01_Вводные'!$B$234="Да",IF(IF('01_Вводные'!$B$296="Новый сезон",8-1&gt;MOD(MONTH('06_Сеть_и_дети'!AL$3)-9,12),FALSE),'19_Расчет_аналитики'!AL4463*CapacityAge08*'19_Расчет_аналитики'!$F$4259,0),0)</f>
        <v/>
      </c>
      <c r="AM4575">
        <f>IF('01_Вводные'!$B$234="Да",IF(IF('01_Вводные'!$B$296="Новый сезон",8-1&gt;MOD(MONTH('06_Сеть_и_дети'!AM$3)-9,12),FALSE),'19_Расчет_аналитики'!AM4463*CapacityAge08*'19_Расчет_аналитики'!$F$4259,0),0)</f>
        <v/>
      </c>
      <c r="AN4575">
        <f>IF('01_Вводные'!$B$234="Да",IF(IF('01_Вводные'!$B$296="Новый сезон",8-1&gt;MOD(MONTH('06_Сеть_и_дети'!AN$3)-9,12),FALSE),'19_Расчет_аналитики'!AN4463*CapacityAge08*'19_Расчет_аналитики'!$F$4259,0),0)</f>
        <v/>
      </c>
      <c r="AO4575">
        <f>IF('01_Вводные'!$B$234="Да",IF(IF('01_Вводные'!$B$296="Новый сезон",8-1&gt;MOD(MONTH('06_Сеть_и_дети'!AO$3)-9,12),FALSE),'19_Расчет_аналитики'!AO4463*CapacityAge08*'19_Расчет_аналитики'!$F$4259,0),0)</f>
        <v/>
      </c>
      <c r="AP4575">
        <f>IF('01_Вводные'!$B$234="Да",IF(IF('01_Вводные'!$B$296="Новый сезон",8-1&gt;MOD(MONTH('06_Сеть_и_дети'!AP$3)-9,12),FALSE),'19_Расчет_аналитики'!AP4463*CapacityAge08*'19_Расчет_аналитики'!$F$4259,0),0)</f>
        <v/>
      </c>
      <c r="AQ4575">
        <f>IF('01_Вводные'!$B$234="Да",IF(IF('01_Вводные'!$B$296="Новый сезон",8-1&gt;MOD(MONTH('06_Сеть_и_дети'!AQ$3)-9,12),FALSE),'19_Расчет_аналитики'!AQ4463*CapacityAge08*'19_Расчет_аналитики'!$F$4259,0),0)</f>
        <v/>
      </c>
      <c r="AR4575">
        <f>IF('01_Вводные'!$B$234="Да",IF(IF('01_Вводные'!$B$296="Новый сезон",8-1&gt;MOD(MONTH('06_Сеть_и_дети'!AR$3)-9,12),FALSE),'19_Расчет_аналитики'!AR4463*CapacityAge08*'19_Расчет_аналитики'!$F$4259,0),0)</f>
        <v/>
      </c>
      <c r="AS4575">
        <f>IF('01_Вводные'!$B$234="Да",IF(IF('01_Вводные'!$B$296="Новый сезон",8-1&gt;MOD(MONTH('06_Сеть_и_дети'!AS$3)-9,12),FALSE),'19_Расчет_аналитики'!AS4463*CapacityAge08*'19_Расчет_аналитики'!$F$4259,0),0)</f>
        <v/>
      </c>
      <c r="AT4575">
        <f>IF('01_Вводные'!$B$234="Да",IF(IF('01_Вводные'!$B$296="Новый сезон",8-1&gt;MOD(MONTH('06_Сеть_и_дети'!AT$3)-9,12),FALSE),'19_Расчет_аналитики'!AT4463*CapacityAge08*'19_Расчет_аналитики'!$F$4259,0),0)</f>
        <v/>
      </c>
      <c r="AU4575">
        <f>IF('01_Вводные'!$B$234="Да",IF(IF('01_Вводные'!$B$296="Новый сезон",8-1&gt;MOD(MONTH('06_Сеть_и_дети'!AU$3)-9,12),FALSE),'19_Расчет_аналитики'!AU4463*CapacityAge08*'19_Расчет_аналитики'!$F$4259,0),0)</f>
        <v/>
      </c>
      <c r="AV4575">
        <f>IF('01_Вводные'!$B$234="Да",IF(IF('01_Вводные'!$B$296="Новый сезон",8-1&gt;MOD(MONTH('06_Сеть_и_дети'!AV$3)-9,12),FALSE),'19_Расчет_аналитики'!AV4463*CapacityAge08*'19_Расчет_аналитики'!$F$4259,0),0)</f>
        <v/>
      </c>
      <c r="AW4575">
        <f>IF('01_Вводные'!$B$234="Да",IF(IF('01_Вводные'!$B$296="Новый сезон",8-1&gt;MOD(MONTH('06_Сеть_и_дети'!AW$3)-9,12),FALSE),'19_Расчет_аналитики'!AW4463*CapacityAge08*'19_Расчет_аналитики'!$F$4259,0),0)</f>
        <v/>
      </c>
      <c r="AX4575">
        <f>IF('01_Вводные'!$B$234="Да",IF(IF('01_Вводные'!$B$296="Новый сезон",8-1&gt;MOD(MONTH('06_Сеть_и_дети'!AX$3)-9,12),FALSE),'19_Расчет_аналитики'!AX4463*CapacityAge08*'19_Расчет_аналитики'!$F$4259,0),0)</f>
        <v/>
      </c>
      <c r="AY4575">
        <f>IF('01_Вводные'!$B$234="Да",IF(IF('01_Вводные'!$B$296="Новый сезон",8-1&gt;MOD(MONTH('06_Сеть_и_дети'!AY$3)-9,12),FALSE),'19_Расчет_аналитики'!AY4463*CapacityAge08*'19_Расчет_аналитики'!$F$4259,0),0)</f>
        <v/>
      </c>
      <c r="AZ4575">
        <f>IF('01_Вводные'!$B$234="Да",IF(IF('01_Вводные'!$B$296="Новый сезон",8-1&gt;MOD(MONTH('06_Сеть_и_дети'!AZ$3)-9,12),FALSE),'19_Расчет_аналитики'!AZ4463*CapacityAge08*'19_Расчет_аналитики'!$F$4259,0),0)</f>
        <v/>
      </c>
      <c r="BA4575">
        <f>IF('01_Вводные'!$B$234="Да",IF(IF('01_Вводные'!$B$296="Новый сезон",8-1&gt;MOD(MONTH('06_Сеть_и_дети'!BA$3)-9,12),FALSE),'19_Расчет_аналитики'!BA4463*CapacityAge08*'19_Расчет_аналитики'!$F$4259,0),0)</f>
        <v/>
      </c>
      <c r="BB4575">
        <f>IF('01_Вводные'!$B$234="Да",IF(IF('01_Вводные'!$B$296="Новый сезон",8-1&gt;MOD(MONTH('06_Сеть_и_дети'!BB$3)-9,12),FALSE),'19_Расчет_аналитики'!BB4463*CapacityAge08*'19_Расчет_аналитики'!$F$4259,0),0)</f>
        <v/>
      </c>
      <c r="BC4575">
        <f>IF('01_Вводные'!$B$234="Да",IF(IF('01_Вводные'!$B$296="Новый сезон",8-1&gt;MOD(MONTH('06_Сеть_и_дети'!BC$3)-9,12),FALSE),'19_Расчет_аналитики'!BC4463*CapacityAge08*'19_Расчет_аналитики'!$F$4259,0),0)</f>
        <v/>
      </c>
      <c r="BD4575">
        <f>IF('01_Вводные'!$B$234="Да",IF(IF('01_Вводные'!$B$296="Новый сезон",8-1&gt;MOD(MONTH('06_Сеть_и_дети'!BD$3)-9,12),FALSE),'19_Расчет_аналитики'!BD4463*CapacityAge08*'19_Расчет_аналитики'!$F$4259,0),0)</f>
        <v/>
      </c>
      <c r="BE4575">
        <f>IF('01_Вводные'!$B$234="Да",IF(IF('01_Вводные'!$B$296="Новый сезон",8-1&gt;MOD(MONTH('06_Сеть_и_дети'!BE$3)-9,12),FALSE),'19_Расчет_аналитики'!BE4463*CapacityAge08*'19_Расчет_аналитики'!$F$4259,0),0)</f>
        <v/>
      </c>
      <c r="BF4575">
        <f>IF('01_Вводные'!$B$234="Да",IF(IF('01_Вводные'!$B$296="Новый сезон",8-1&gt;MOD(MONTH('06_Сеть_и_дети'!BF$3)-9,12),FALSE),'19_Расчет_аналитики'!BF4463*CapacityAge08*'19_Расчет_аналитики'!$F$4259,0),0)</f>
        <v/>
      </c>
      <c r="BG4575">
        <f>IF('01_Вводные'!$B$234="Да",IF(IF('01_Вводные'!$B$296="Новый сезон",8-1&gt;MOD(MONTH('06_Сеть_и_дети'!BG$3)-9,12),FALSE),'19_Расчет_аналитики'!BG4463*CapacityAge08*'19_Расчет_аналитики'!$F$4259,0),0)</f>
        <v/>
      </c>
      <c r="BH4575">
        <f>IF('01_Вводные'!$B$234="Да",IF(IF('01_Вводные'!$B$296="Новый сезон",8-1&gt;MOD(MONTH('06_Сеть_и_дети'!BH$3)-9,12),FALSE),'19_Расчет_аналитики'!BH4463*CapacityAge08*'19_Расчет_аналитики'!$F$4259,0),0)</f>
        <v/>
      </c>
      <c r="BI4575">
        <f>IF('01_Вводные'!$B$234="Да",IF(IF('01_Вводные'!$B$296="Новый сезон",8-1&gt;MOD(MONTH('06_Сеть_и_дети'!BI$3)-9,12),FALSE),'19_Расчет_аналитики'!BI4463*CapacityAge08*'19_Расчет_аналитики'!$F$4259,0),0)</f>
        <v/>
      </c>
      <c r="BJ4575">
        <f>IF('01_Вводные'!$B$234="Да",IF(IF('01_Вводные'!$B$296="Новый сезон",8-1&gt;MOD(MONTH('06_Сеть_и_дети'!BJ$3)-9,12),FALSE),'19_Расчет_аналитики'!BJ4463*CapacityAge08*'19_Расчет_аналитики'!$F$4259,0),0)</f>
        <v/>
      </c>
      <c r="BK4575">
        <f>IF('01_Вводные'!$B$234="Да",IF(IF('01_Вводные'!$B$296="Новый сезон",8-1&gt;MOD(MONTH('06_Сеть_и_дети'!BK$3)-9,12),FALSE),'19_Расчет_аналитики'!BK4463*CapacityAge08*'19_Расчет_аналитики'!$F$4259,0),0)</f>
        <v/>
      </c>
      <c r="BL4575">
        <f>IF('01_Вводные'!$B$234="Да",IF(IF('01_Вводные'!$B$296="Новый сезон",8-1&gt;MOD(MONTH('06_Сеть_и_дети'!BL$3)-9,12),FALSE),'19_Расчет_аналитики'!BL4463*CapacityAge08*'19_Расчет_аналитики'!$F$4259,0),0)</f>
        <v/>
      </c>
      <c r="BM4575">
        <f>IF('01_Вводные'!$B$234="Да",IF(IF('01_Вводные'!$B$296="Новый сезон",8-1&gt;MOD(MONTH('06_Сеть_и_дети'!BM$3)-9,12),FALSE),'19_Расчет_аналитики'!BM4463*CapacityAge08*'19_Расчет_аналитики'!$F$4259,0),0)</f>
        <v/>
      </c>
      <c r="BN4575">
        <f>IF('01_Вводные'!$B$234="Да",IF(IF('01_Вводные'!$B$296="Новый сезон",8-1&gt;MOD(MONTH('06_Сеть_и_дети'!BN$3)-9,12),FALSE),'19_Расчет_аналитики'!BN4463*CapacityAge08*'19_Расчет_аналитики'!$F$4259,0),0)</f>
        <v/>
      </c>
      <c r="BO4575">
        <f>IF('01_Вводные'!$B$234="Да",IF(IF('01_Вводные'!$B$296="Новый сезон",8-1&gt;MOD(MONTH('06_Сеть_и_дети'!BO$3)-9,12),FALSE),'19_Расчет_аналитики'!BO4463*CapacityAge08*'19_Расчет_аналитики'!$F$4259,0),0)</f>
        <v/>
      </c>
    </row>
    <row r="4576">
      <c r="B4576">
        <f>IF('01_Вводные'!$B$234="Да",IF(IF('01_Вводные'!$B$296="Новый сезон",9-1&gt;MOD(MONTH('06_Сеть_и_дети'!B$3)-9,12),FALSE),'06_Сеть_и_дети'!B61*CapacityAge09*'19_Расчет_аналитики'!$F$4259,0),0)</f>
        <v/>
      </c>
      <c r="C4576">
        <f>IF('01_Вводные'!$B$234="Да",IF(IF('01_Вводные'!$B$296="Новый сезон",9-1&gt;MOD(MONTH('06_Сеть_и_дети'!C$3)-9,12),FALSE),'06_Сеть_и_дети'!C61*CapacityAge09*'19_Расчет_аналитики'!$F$4259,0),0)</f>
        <v/>
      </c>
      <c r="D4576">
        <f>IF('01_Вводные'!$B$234="Да",IF(IF('01_Вводные'!$B$296="Новый сезон",9-1&gt;MOD(MONTH('06_Сеть_и_дети'!D$3)-9,12),FALSE),'06_Сеть_и_дети'!D61*CapacityAge09*'19_Расчет_аналитики'!$F$4259,0),0)</f>
        <v/>
      </c>
      <c r="E4576">
        <f>IF('01_Вводные'!$B$234="Да",IF(IF('01_Вводные'!$B$296="Новый сезон",9-1&gt;MOD(MONTH('06_Сеть_и_дети'!E$3)-9,12),FALSE),'06_Сеть_и_дети'!E61*CapacityAge09*'19_Расчет_аналитики'!$F$4259,0),0)</f>
        <v/>
      </c>
      <c r="F4576">
        <f>IF('01_Вводные'!$B$234="Да",IF(IF('01_Вводные'!$B$296="Новый сезон",9-1&gt;MOD(MONTH('06_Сеть_и_дети'!F$3)-9,12),FALSE),'06_Сеть_и_дети'!F61*CapacityAge09*'19_Расчет_аналитики'!$F$4259,0),0)</f>
        <v/>
      </c>
      <c r="G4576">
        <f>IF('01_Вводные'!$B$234="Да",IF(IF('01_Вводные'!$B$296="Новый сезон",9-1&gt;MOD(MONTH('06_Сеть_и_дети'!G$3)-9,12),FALSE),'06_Сеть_и_дети'!G61*CapacityAge09*'19_Расчет_аналитики'!$F$4259,0),0)</f>
        <v/>
      </c>
      <c r="H4576">
        <f>IF('01_Вводные'!$B$234="Да",IF(IF('01_Вводные'!$B$296="Новый сезон",9-1&gt;MOD(MONTH('06_Сеть_и_дети'!H$3)-9,12),FALSE),'06_Сеть_и_дети'!H61*CapacityAge09*'19_Расчет_аналитики'!$F$4259,0),0)</f>
        <v/>
      </c>
      <c r="I4576">
        <f>IF('01_Вводные'!$B$234="Да",IF(IF('01_Вводные'!$B$296="Новый сезон",9-1&gt;MOD(MONTH('06_Сеть_и_дети'!I$3)-9,12),FALSE),'06_Сеть_и_дети'!I61*CapacityAge09*'19_Расчет_аналитики'!$F$4259,0),0)</f>
        <v/>
      </c>
      <c r="J4576">
        <f>IF('01_Вводные'!$B$234="Да",IF(IF('01_Вводные'!$B$296="Новый сезон",9-1&gt;MOD(MONTH('06_Сеть_и_дети'!J$3)-9,12),FALSE),'19_Расчет_аналитики'!J4464*CapacityAge09*'19_Расчет_аналитики'!$F$4259,0),0)</f>
        <v/>
      </c>
      <c r="K4576">
        <f>IF('01_Вводные'!$B$234="Да",IF(IF('01_Вводные'!$B$296="Новый сезон",9-1&gt;MOD(MONTH('06_Сеть_и_дети'!K$3)-9,12),FALSE),'19_Расчет_аналитики'!K4464*CapacityAge09*'19_Расчет_аналитики'!$F$4259,0),0)</f>
        <v/>
      </c>
      <c r="L4576">
        <f>IF('01_Вводные'!$B$234="Да",IF(IF('01_Вводные'!$B$296="Новый сезон",9-1&gt;MOD(MONTH('06_Сеть_и_дети'!L$3)-9,12),FALSE),'19_Расчет_аналитики'!L4464*CapacityAge09*'19_Расчет_аналитики'!$F$4259,0),0)</f>
        <v/>
      </c>
      <c r="M4576">
        <f>IF('01_Вводные'!$B$234="Да",IF(IF('01_Вводные'!$B$296="Новый сезон",9-1&gt;MOD(MONTH('06_Сеть_и_дети'!M$3)-9,12),FALSE),'19_Расчет_аналитики'!M4464*CapacityAge09*'19_Расчет_аналитики'!$F$4259,0),0)</f>
        <v/>
      </c>
      <c r="N4576">
        <f>IF('01_Вводные'!$B$234="Да",IF(IF('01_Вводные'!$B$296="Новый сезон",9-1&gt;MOD(MONTH('06_Сеть_и_дети'!N$3)-9,12),FALSE),'19_Расчет_аналитики'!N4464*CapacityAge09*'19_Расчет_аналитики'!$F$4259,0),0)</f>
        <v/>
      </c>
      <c r="O4576">
        <f>IF('01_Вводные'!$B$234="Да",IF(IF('01_Вводные'!$B$296="Новый сезон",9-1&gt;MOD(MONTH('06_Сеть_и_дети'!O$3)-9,12),FALSE),'19_Расчет_аналитики'!O4464*CapacityAge09*'19_Расчет_аналитики'!$F$4259,0),0)</f>
        <v/>
      </c>
      <c r="P4576">
        <f>IF('01_Вводные'!$B$234="Да",IF(IF('01_Вводные'!$B$296="Новый сезон",9-1&gt;MOD(MONTH('06_Сеть_и_дети'!P$3)-9,12),FALSE),'19_Расчет_аналитики'!P4464*CapacityAge09*'19_Расчет_аналитики'!$F$4259,0),0)</f>
        <v/>
      </c>
      <c r="Q4576">
        <f>IF('01_Вводные'!$B$234="Да",IF(IF('01_Вводные'!$B$296="Новый сезон",9-1&gt;MOD(MONTH('06_Сеть_и_дети'!Q$3)-9,12),FALSE),'19_Расчет_аналитики'!Q4464*CapacityAge09*'19_Расчет_аналитики'!$F$4259,0),0)</f>
        <v/>
      </c>
      <c r="R4576">
        <f>IF('01_Вводные'!$B$234="Да",IF(IF('01_Вводные'!$B$296="Новый сезон",9-1&gt;MOD(MONTH('06_Сеть_и_дети'!R$3)-9,12),FALSE),'19_Расчет_аналитики'!R4464*CapacityAge09*'19_Расчет_аналитики'!$F$4259,0),0)</f>
        <v/>
      </c>
      <c r="S4576">
        <f>IF('01_Вводные'!$B$234="Да",IF(IF('01_Вводные'!$B$296="Новый сезон",9-1&gt;MOD(MONTH('06_Сеть_и_дети'!S$3)-9,12),FALSE),'19_Расчет_аналитики'!S4464*CapacityAge09*'19_Расчет_аналитики'!$F$4259,0),0)</f>
        <v/>
      </c>
      <c r="T4576">
        <f>IF('01_Вводные'!$B$234="Да",IF(IF('01_Вводные'!$B$296="Новый сезон",9-1&gt;MOD(MONTH('06_Сеть_и_дети'!T$3)-9,12),FALSE),'19_Расчет_аналитики'!T4464*CapacityAge09*'19_Расчет_аналитики'!$F$4259,0),0)</f>
        <v/>
      </c>
      <c r="U4576">
        <f>IF('01_Вводные'!$B$234="Да",IF(IF('01_Вводные'!$B$296="Новый сезон",9-1&gt;MOD(MONTH('06_Сеть_и_дети'!U$3)-9,12),FALSE),'19_Расчет_аналитики'!U4464*CapacityAge09*'19_Расчет_аналитики'!$F$4259,0),0)</f>
        <v/>
      </c>
      <c r="V4576">
        <f>IF('01_Вводные'!$B$234="Да",IF(IF('01_Вводные'!$B$296="Новый сезон",9-1&gt;MOD(MONTH('06_Сеть_и_дети'!V$3)-9,12),FALSE),'19_Расчет_аналитики'!V4464*CapacityAge09*'19_Расчет_аналитики'!$F$4259,0),0)</f>
        <v/>
      </c>
      <c r="W4576">
        <f>IF('01_Вводные'!$B$234="Да",IF(IF('01_Вводные'!$B$296="Новый сезон",9-1&gt;MOD(MONTH('06_Сеть_и_дети'!W$3)-9,12),FALSE),'19_Расчет_аналитики'!W4464*CapacityAge09*'19_Расчет_аналитики'!$F$4259,0),0)</f>
        <v/>
      </c>
      <c r="X4576">
        <f>IF('01_Вводные'!$B$234="Да",IF(IF('01_Вводные'!$B$296="Новый сезон",9-1&gt;MOD(MONTH('06_Сеть_и_дети'!X$3)-9,12),FALSE),'19_Расчет_аналитики'!X4464*CapacityAge09*'19_Расчет_аналитики'!$F$4259,0),0)</f>
        <v/>
      </c>
      <c r="Y4576">
        <f>IF('01_Вводные'!$B$234="Да",IF(IF('01_Вводные'!$B$296="Новый сезон",9-1&gt;MOD(MONTH('06_Сеть_и_дети'!Y$3)-9,12),FALSE),'19_Расчет_аналитики'!Y4464*CapacityAge09*'19_Расчет_аналитики'!$F$4259,0),0)</f>
        <v/>
      </c>
      <c r="Z4576">
        <f>IF('01_Вводные'!$B$234="Да",IF(IF('01_Вводные'!$B$296="Новый сезон",9-1&gt;MOD(MONTH('06_Сеть_и_дети'!Z$3)-9,12),FALSE),'19_Расчет_аналитики'!Z4464*CapacityAge09*'19_Расчет_аналитики'!$F$4259,0),0)</f>
        <v/>
      </c>
      <c r="AA4576">
        <f>IF('01_Вводные'!$B$234="Да",IF(IF('01_Вводные'!$B$296="Новый сезон",9-1&gt;MOD(MONTH('06_Сеть_и_дети'!AA$3)-9,12),FALSE),'19_Расчет_аналитики'!AA4464*CapacityAge09*'19_Расчет_аналитики'!$F$4259,0),0)</f>
        <v/>
      </c>
      <c r="AB4576">
        <f>IF('01_Вводные'!$B$234="Да",IF(IF('01_Вводные'!$B$296="Новый сезон",9-1&gt;MOD(MONTH('06_Сеть_и_дети'!AB$3)-9,12),FALSE),'19_Расчет_аналитики'!AB4464*CapacityAge09*'19_Расчет_аналитики'!$F$4259,0),0)</f>
        <v/>
      </c>
      <c r="AC4576">
        <f>IF('01_Вводные'!$B$234="Да",IF(IF('01_Вводные'!$B$296="Новый сезон",9-1&gt;MOD(MONTH('06_Сеть_и_дети'!AC$3)-9,12),FALSE),'19_Расчет_аналитики'!AC4464*CapacityAge09*'19_Расчет_аналитики'!$F$4259,0),0)</f>
        <v/>
      </c>
      <c r="AD4576">
        <f>IF('01_Вводные'!$B$234="Да",IF(IF('01_Вводные'!$B$296="Новый сезон",9-1&gt;MOD(MONTH('06_Сеть_и_дети'!AD$3)-9,12),FALSE),'19_Расчет_аналитики'!AD4464*CapacityAge09*'19_Расчет_аналитики'!$F$4259,0),0)</f>
        <v/>
      </c>
      <c r="AE4576">
        <f>IF('01_Вводные'!$B$234="Да",IF(IF('01_Вводные'!$B$296="Новый сезон",9-1&gt;MOD(MONTH('06_Сеть_и_дети'!AE$3)-9,12),FALSE),'19_Расчет_аналитики'!AE4464*CapacityAge09*'19_Расчет_аналитики'!$F$4259,0),0)</f>
        <v/>
      </c>
      <c r="AF4576">
        <f>IF('01_Вводные'!$B$234="Да",IF(IF('01_Вводные'!$B$296="Новый сезон",9-1&gt;MOD(MONTH('06_Сеть_и_дети'!AF$3)-9,12),FALSE),'19_Расчет_аналитики'!AF4464*CapacityAge09*'19_Расчет_аналитики'!$F$4259,0),0)</f>
        <v/>
      </c>
      <c r="AG4576">
        <f>IF('01_Вводные'!$B$234="Да",IF(IF('01_Вводные'!$B$296="Новый сезон",9-1&gt;MOD(MONTH('06_Сеть_и_дети'!AG$3)-9,12),FALSE),'19_Расчет_аналитики'!AG4464*CapacityAge09*'19_Расчет_аналитики'!$F$4259,0),0)</f>
        <v/>
      </c>
      <c r="AH4576">
        <f>IF('01_Вводные'!$B$234="Да",IF(IF('01_Вводные'!$B$296="Новый сезон",9-1&gt;MOD(MONTH('06_Сеть_и_дети'!AH$3)-9,12),FALSE),'19_Расчет_аналитики'!AH4464*CapacityAge09*'19_Расчет_аналитики'!$F$4259,0),0)</f>
        <v/>
      </c>
      <c r="AI4576">
        <f>IF('01_Вводные'!$B$234="Да",IF(IF('01_Вводные'!$B$296="Новый сезон",9-1&gt;MOD(MONTH('06_Сеть_и_дети'!AI$3)-9,12),FALSE),'19_Расчет_аналитики'!AI4464*CapacityAge09*'19_Расчет_аналитики'!$F$4259,0),0)</f>
        <v/>
      </c>
      <c r="AJ4576">
        <f>IF('01_Вводные'!$B$234="Да",IF(IF('01_Вводные'!$B$296="Новый сезон",9-1&gt;MOD(MONTH('06_Сеть_и_дети'!AJ$3)-9,12),FALSE),'19_Расчет_аналитики'!AJ4464*CapacityAge09*'19_Расчет_аналитики'!$F$4259,0),0)</f>
        <v/>
      </c>
      <c r="AK4576">
        <f>IF('01_Вводные'!$B$234="Да",IF(IF('01_Вводные'!$B$296="Новый сезон",9-1&gt;MOD(MONTH('06_Сеть_и_дети'!AK$3)-9,12),FALSE),'19_Расчет_аналитики'!AK4464*CapacityAge09*'19_Расчет_аналитики'!$F$4259,0),0)</f>
        <v/>
      </c>
      <c r="AL4576">
        <f>IF('01_Вводные'!$B$234="Да",IF(IF('01_Вводные'!$B$296="Новый сезон",9-1&gt;MOD(MONTH('06_Сеть_и_дети'!AL$3)-9,12),FALSE),'19_Расчет_аналитики'!AL4464*CapacityAge09*'19_Расчет_аналитики'!$F$4259,0),0)</f>
        <v/>
      </c>
      <c r="AM4576">
        <f>IF('01_Вводные'!$B$234="Да",IF(IF('01_Вводные'!$B$296="Новый сезон",9-1&gt;MOD(MONTH('06_Сеть_и_дети'!AM$3)-9,12),FALSE),'19_Расчет_аналитики'!AM4464*CapacityAge09*'19_Расчет_аналитики'!$F$4259,0),0)</f>
        <v/>
      </c>
      <c r="AN4576">
        <f>IF('01_Вводные'!$B$234="Да",IF(IF('01_Вводные'!$B$296="Новый сезон",9-1&gt;MOD(MONTH('06_Сеть_и_дети'!AN$3)-9,12),FALSE),'19_Расчет_аналитики'!AN4464*CapacityAge09*'19_Расчет_аналитики'!$F$4259,0),0)</f>
        <v/>
      </c>
      <c r="AO4576">
        <f>IF('01_Вводные'!$B$234="Да",IF(IF('01_Вводные'!$B$296="Новый сезон",9-1&gt;MOD(MONTH('06_Сеть_и_дети'!AO$3)-9,12),FALSE),'19_Расчет_аналитики'!AO4464*CapacityAge09*'19_Расчет_аналитики'!$F$4259,0),0)</f>
        <v/>
      </c>
      <c r="AP4576">
        <f>IF('01_Вводные'!$B$234="Да",IF(IF('01_Вводные'!$B$296="Новый сезон",9-1&gt;MOD(MONTH('06_Сеть_и_дети'!AP$3)-9,12),FALSE),'19_Расчет_аналитики'!AP4464*CapacityAge09*'19_Расчет_аналитики'!$F$4259,0),0)</f>
        <v/>
      </c>
      <c r="AQ4576">
        <f>IF('01_Вводные'!$B$234="Да",IF(IF('01_Вводные'!$B$296="Новый сезон",9-1&gt;MOD(MONTH('06_Сеть_и_дети'!AQ$3)-9,12),FALSE),'19_Расчет_аналитики'!AQ4464*CapacityAge09*'19_Расчет_аналитики'!$F$4259,0),0)</f>
        <v/>
      </c>
      <c r="AR4576">
        <f>IF('01_Вводные'!$B$234="Да",IF(IF('01_Вводные'!$B$296="Новый сезон",9-1&gt;MOD(MONTH('06_Сеть_и_дети'!AR$3)-9,12),FALSE),'19_Расчет_аналитики'!AR4464*CapacityAge09*'19_Расчет_аналитики'!$F$4259,0),0)</f>
        <v/>
      </c>
      <c r="AS4576">
        <f>IF('01_Вводные'!$B$234="Да",IF(IF('01_Вводные'!$B$296="Новый сезон",9-1&gt;MOD(MONTH('06_Сеть_и_дети'!AS$3)-9,12),FALSE),'19_Расчет_аналитики'!AS4464*CapacityAge09*'19_Расчет_аналитики'!$F$4259,0),0)</f>
        <v/>
      </c>
      <c r="AT4576">
        <f>IF('01_Вводные'!$B$234="Да",IF(IF('01_Вводные'!$B$296="Новый сезон",9-1&gt;MOD(MONTH('06_Сеть_и_дети'!AT$3)-9,12),FALSE),'19_Расчет_аналитики'!AT4464*CapacityAge09*'19_Расчет_аналитики'!$F$4259,0),0)</f>
        <v/>
      </c>
      <c r="AU4576">
        <f>IF('01_Вводные'!$B$234="Да",IF(IF('01_Вводные'!$B$296="Новый сезон",9-1&gt;MOD(MONTH('06_Сеть_и_дети'!AU$3)-9,12),FALSE),'19_Расчет_аналитики'!AU4464*CapacityAge09*'19_Расчет_аналитики'!$F$4259,0),0)</f>
        <v/>
      </c>
      <c r="AV4576">
        <f>IF('01_Вводные'!$B$234="Да",IF(IF('01_Вводные'!$B$296="Новый сезон",9-1&gt;MOD(MONTH('06_Сеть_и_дети'!AV$3)-9,12),FALSE),'19_Расчет_аналитики'!AV4464*CapacityAge09*'19_Расчет_аналитики'!$F$4259,0),0)</f>
        <v/>
      </c>
      <c r="AW4576">
        <f>IF('01_Вводные'!$B$234="Да",IF(IF('01_Вводные'!$B$296="Новый сезон",9-1&gt;MOD(MONTH('06_Сеть_и_дети'!AW$3)-9,12),FALSE),'19_Расчет_аналитики'!AW4464*CapacityAge09*'19_Расчет_аналитики'!$F$4259,0),0)</f>
        <v/>
      </c>
      <c r="AX4576">
        <f>IF('01_Вводные'!$B$234="Да",IF(IF('01_Вводные'!$B$296="Новый сезон",9-1&gt;MOD(MONTH('06_Сеть_и_дети'!AX$3)-9,12),FALSE),'19_Расчет_аналитики'!AX4464*CapacityAge09*'19_Расчет_аналитики'!$F$4259,0),0)</f>
        <v/>
      </c>
      <c r="AY4576">
        <f>IF('01_Вводные'!$B$234="Да",IF(IF('01_Вводные'!$B$296="Новый сезон",9-1&gt;MOD(MONTH('06_Сеть_и_дети'!AY$3)-9,12),FALSE),'19_Расчет_аналитики'!AY4464*CapacityAge09*'19_Расчет_аналитики'!$F$4259,0),0)</f>
        <v/>
      </c>
      <c r="AZ4576">
        <f>IF('01_Вводные'!$B$234="Да",IF(IF('01_Вводные'!$B$296="Новый сезон",9-1&gt;MOD(MONTH('06_Сеть_и_дети'!AZ$3)-9,12),FALSE),'19_Расчет_аналитики'!AZ4464*CapacityAge09*'19_Расчет_аналитики'!$F$4259,0),0)</f>
        <v/>
      </c>
      <c r="BA4576">
        <f>IF('01_Вводные'!$B$234="Да",IF(IF('01_Вводные'!$B$296="Новый сезон",9-1&gt;MOD(MONTH('06_Сеть_и_дети'!BA$3)-9,12),FALSE),'19_Расчет_аналитики'!BA4464*CapacityAge09*'19_Расчет_аналитики'!$F$4259,0),0)</f>
        <v/>
      </c>
      <c r="BB4576">
        <f>IF('01_Вводные'!$B$234="Да",IF(IF('01_Вводные'!$B$296="Новый сезон",9-1&gt;MOD(MONTH('06_Сеть_и_дети'!BB$3)-9,12),FALSE),'19_Расчет_аналитики'!BB4464*CapacityAge09*'19_Расчет_аналитики'!$F$4259,0),0)</f>
        <v/>
      </c>
      <c r="BC4576">
        <f>IF('01_Вводные'!$B$234="Да",IF(IF('01_Вводные'!$B$296="Новый сезон",9-1&gt;MOD(MONTH('06_Сеть_и_дети'!BC$3)-9,12),FALSE),'19_Расчет_аналитики'!BC4464*CapacityAge09*'19_Расчет_аналитики'!$F$4259,0),0)</f>
        <v/>
      </c>
      <c r="BD4576">
        <f>IF('01_Вводные'!$B$234="Да",IF(IF('01_Вводные'!$B$296="Новый сезон",9-1&gt;MOD(MONTH('06_Сеть_и_дети'!BD$3)-9,12),FALSE),'19_Расчет_аналитики'!BD4464*CapacityAge09*'19_Расчет_аналитики'!$F$4259,0),0)</f>
        <v/>
      </c>
      <c r="BE4576">
        <f>IF('01_Вводные'!$B$234="Да",IF(IF('01_Вводные'!$B$296="Новый сезон",9-1&gt;MOD(MONTH('06_Сеть_и_дети'!BE$3)-9,12),FALSE),'19_Расчет_аналитики'!BE4464*CapacityAge09*'19_Расчет_аналитики'!$F$4259,0),0)</f>
        <v/>
      </c>
      <c r="BF4576">
        <f>IF('01_Вводные'!$B$234="Да",IF(IF('01_Вводные'!$B$296="Новый сезон",9-1&gt;MOD(MONTH('06_Сеть_и_дети'!BF$3)-9,12),FALSE),'19_Расчет_аналитики'!BF4464*CapacityAge09*'19_Расчет_аналитики'!$F$4259,0),0)</f>
        <v/>
      </c>
      <c r="BG4576">
        <f>IF('01_Вводные'!$B$234="Да",IF(IF('01_Вводные'!$B$296="Новый сезон",9-1&gt;MOD(MONTH('06_Сеть_и_дети'!BG$3)-9,12),FALSE),'19_Расчет_аналитики'!BG4464*CapacityAge09*'19_Расчет_аналитики'!$F$4259,0),0)</f>
        <v/>
      </c>
      <c r="BH4576">
        <f>IF('01_Вводные'!$B$234="Да",IF(IF('01_Вводные'!$B$296="Новый сезон",9-1&gt;MOD(MONTH('06_Сеть_и_дети'!BH$3)-9,12),FALSE),'19_Расчет_аналитики'!BH4464*CapacityAge09*'19_Расчет_аналитики'!$F$4259,0),0)</f>
        <v/>
      </c>
      <c r="BI4576">
        <f>IF('01_Вводные'!$B$234="Да",IF(IF('01_Вводные'!$B$296="Новый сезон",9-1&gt;MOD(MONTH('06_Сеть_и_дети'!BI$3)-9,12),FALSE),'19_Расчет_аналитики'!BI4464*CapacityAge09*'19_Расчет_аналитики'!$F$4259,0),0)</f>
        <v/>
      </c>
      <c r="BJ4576">
        <f>IF('01_Вводные'!$B$234="Да",IF(IF('01_Вводные'!$B$296="Новый сезон",9-1&gt;MOD(MONTH('06_Сеть_и_дети'!BJ$3)-9,12),FALSE),'19_Расчет_аналитики'!BJ4464*CapacityAge09*'19_Расчет_аналитики'!$F$4259,0),0)</f>
        <v/>
      </c>
      <c r="BK4576">
        <f>IF('01_Вводные'!$B$234="Да",IF(IF('01_Вводные'!$B$296="Новый сезон",9-1&gt;MOD(MONTH('06_Сеть_и_дети'!BK$3)-9,12),FALSE),'19_Расчет_аналитики'!BK4464*CapacityAge09*'19_Расчет_аналитики'!$F$4259,0),0)</f>
        <v/>
      </c>
      <c r="BL4576">
        <f>IF('01_Вводные'!$B$234="Да",IF(IF('01_Вводные'!$B$296="Новый сезон",9-1&gt;MOD(MONTH('06_Сеть_и_дети'!BL$3)-9,12),FALSE),'19_Расчет_аналитики'!BL4464*CapacityAge09*'19_Расчет_аналитики'!$F$4259,0),0)</f>
        <v/>
      </c>
      <c r="BM4576">
        <f>IF('01_Вводные'!$B$234="Да",IF(IF('01_Вводные'!$B$296="Новый сезон",9-1&gt;MOD(MONTH('06_Сеть_и_дети'!BM$3)-9,12),FALSE),'19_Расчет_аналитики'!BM4464*CapacityAge09*'19_Расчет_аналитики'!$F$4259,0),0)</f>
        <v/>
      </c>
      <c r="BN4576">
        <f>IF('01_Вводные'!$B$234="Да",IF(IF('01_Вводные'!$B$296="Новый сезон",9-1&gt;MOD(MONTH('06_Сеть_и_дети'!BN$3)-9,12),FALSE),'19_Расчет_аналитики'!BN4464*CapacityAge09*'19_Расчет_аналитики'!$F$4259,0),0)</f>
        <v/>
      </c>
      <c r="BO4576">
        <f>IF('01_Вводные'!$B$234="Да",IF(IF('01_Вводные'!$B$296="Новый сезон",9-1&gt;MOD(MONTH('06_Сеть_и_дети'!BO$3)-9,12),FALSE),'19_Расчет_аналитики'!BO4464*CapacityAge09*'19_Расчет_аналитики'!$F$4259,0),0)</f>
        <v/>
      </c>
    </row>
    <row r="4577">
      <c r="B4577">
        <f>IF('01_Вводные'!$B$234="Да",IF(IF('01_Вводные'!$B$296="Новый сезон",10-1&gt;MOD(MONTH('06_Сеть_и_дети'!B$3)-9,12),FALSE),'06_Сеть_и_дети'!B62*CapacityAge10*'19_Расчет_аналитики'!$F$4259,0),0)</f>
        <v/>
      </c>
      <c r="C4577">
        <f>IF('01_Вводные'!$B$234="Да",IF(IF('01_Вводные'!$B$296="Новый сезон",10-1&gt;MOD(MONTH('06_Сеть_и_дети'!C$3)-9,12),FALSE),'06_Сеть_и_дети'!C62*CapacityAge10*'19_Расчет_аналитики'!$F$4259,0),0)</f>
        <v/>
      </c>
      <c r="D4577">
        <f>IF('01_Вводные'!$B$234="Да",IF(IF('01_Вводные'!$B$296="Новый сезон",10-1&gt;MOD(MONTH('06_Сеть_и_дети'!D$3)-9,12),FALSE),'06_Сеть_и_дети'!D62*CapacityAge10*'19_Расчет_аналитики'!$F$4259,0),0)</f>
        <v/>
      </c>
      <c r="E4577">
        <f>IF('01_Вводные'!$B$234="Да",IF(IF('01_Вводные'!$B$296="Новый сезон",10-1&gt;MOD(MONTH('06_Сеть_и_дети'!E$3)-9,12),FALSE),'06_Сеть_и_дети'!E62*CapacityAge10*'19_Расчет_аналитики'!$F$4259,0),0)</f>
        <v/>
      </c>
      <c r="F4577">
        <f>IF('01_Вводные'!$B$234="Да",IF(IF('01_Вводные'!$B$296="Новый сезон",10-1&gt;MOD(MONTH('06_Сеть_и_дети'!F$3)-9,12),FALSE),'06_Сеть_и_дети'!F62*CapacityAge10*'19_Расчет_аналитики'!$F$4259,0),0)</f>
        <v/>
      </c>
      <c r="G4577">
        <f>IF('01_Вводные'!$B$234="Да",IF(IF('01_Вводные'!$B$296="Новый сезон",10-1&gt;MOD(MONTH('06_Сеть_и_дети'!G$3)-9,12),FALSE),'06_Сеть_и_дети'!G62*CapacityAge10*'19_Расчет_аналитики'!$F$4259,0),0)</f>
        <v/>
      </c>
      <c r="H4577">
        <f>IF('01_Вводные'!$B$234="Да",IF(IF('01_Вводные'!$B$296="Новый сезон",10-1&gt;MOD(MONTH('06_Сеть_и_дети'!H$3)-9,12),FALSE),'06_Сеть_и_дети'!H62*CapacityAge10*'19_Расчет_аналитики'!$F$4259,0),0)</f>
        <v/>
      </c>
      <c r="I4577">
        <f>IF('01_Вводные'!$B$234="Да",IF(IF('01_Вводные'!$B$296="Новый сезон",10-1&gt;MOD(MONTH('06_Сеть_и_дети'!I$3)-9,12),FALSE),'06_Сеть_и_дети'!I62*CapacityAge10*'19_Расчет_аналитики'!$F$4259,0),0)</f>
        <v/>
      </c>
      <c r="J4577">
        <f>IF('01_Вводные'!$B$234="Да",IF(IF('01_Вводные'!$B$296="Новый сезон",10-1&gt;MOD(MONTH('06_Сеть_и_дети'!J$3)-9,12),FALSE),'06_Сеть_и_дети'!J62*CapacityAge10*'19_Расчет_аналитики'!$F$4259,0),0)</f>
        <v/>
      </c>
      <c r="K4577">
        <f>IF('01_Вводные'!$B$234="Да",IF(IF('01_Вводные'!$B$296="Новый сезон",10-1&gt;MOD(MONTH('06_Сеть_и_дети'!K$3)-9,12),FALSE),'19_Расчет_аналитики'!K4465*CapacityAge10*'19_Расчет_аналитики'!$F$4259,0),0)</f>
        <v/>
      </c>
      <c r="L4577">
        <f>IF('01_Вводные'!$B$234="Да",IF(IF('01_Вводные'!$B$296="Новый сезон",10-1&gt;MOD(MONTH('06_Сеть_и_дети'!L$3)-9,12),FALSE),'19_Расчет_аналитики'!L4465*CapacityAge10*'19_Расчет_аналитики'!$F$4259,0),0)</f>
        <v/>
      </c>
      <c r="M4577">
        <f>IF('01_Вводные'!$B$234="Да",IF(IF('01_Вводные'!$B$296="Новый сезон",10-1&gt;MOD(MONTH('06_Сеть_и_дети'!M$3)-9,12),FALSE),'19_Расчет_аналитики'!M4465*CapacityAge10*'19_Расчет_аналитики'!$F$4259,0),0)</f>
        <v/>
      </c>
      <c r="N4577">
        <f>IF('01_Вводные'!$B$234="Да",IF(IF('01_Вводные'!$B$296="Новый сезон",10-1&gt;MOD(MONTH('06_Сеть_и_дети'!N$3)-9,12),FALSE),'19_Расчет_аналитики'!N4465*CapacityAge10*'19_Расчет_аналитики'!$F$4259,0),0)</f>
        <v/>
      </c>
      <c r="O4577">
        <f>IF('01_Вводные'!$B$234="Да",IF(IF('01_Вводные'!$B$296="Новый сезон",10-1&gt;MOD(MONTH('06_Сеть_и_дети'!O$3)-9,12),FALSE),'19_Расчет_аналитики'!O4465*CapacityAge10*'19_Расчет_аналитики'!$F$4259,0),0)</f>
        <v/>
      </c>
      <c r="P4577">
        <f>IF('01_Вводные'!$B$234="Да",IF(IF('01_Вводные'!$B$296="Новый сезон",10-1&gt;MOD(MONTH('06_Сеть_и_дети'!P$3)-9,12),FALSE),'19_Расчет_аналитики'!P4465*CapacityAge10*'19_Расчет_аналитики'!$F$4259,0),0)</f>
        <v/>
      </c>
      <c r="Q4577">
        <f>IF('01_Вводные'!$B$234="Да",IF(IF('01_Вводные'!$B$296="Новый сезон",10-1&gt;MOD(MONTH('06_Сеть_и_дети'!Q$3)-9,12),FALSE),'19_Расчет_аналитики'!Q4465*CapacityAge10*'19_Расчет_аналитики'!$F$4259,0),0)</f>
        <v/>
      </c>
      <c r="R4577">
        <f>IF('01_Вводные'!$B$234="Да",IF(IF('01_Вводные'!$B$296="Новый сезон",10-1&gt;MOD(MONTH('06_Сеть_и_дети'!R$3)-9,12),FALSE),'19_Расчет_аналитики'!R4465*CapacityAge10*'19_Расчет_аналитики'!$F$4259,0),0)</f>
        <v/>
      </c>
      <c r="S4577">
        <f>IF('01_Вводные'!$B$234="Да",IF(IF('01_Вводные'!$B$296="Новый сезон",10-1&gt;MOD(MONTH('06_Сеть_и_дети'!S$3)-9,12),FALSE),'19_Расчет_аналитики'!S4465*CapacityAge10*'19_Расчет_аналитики'!$F$4259,0),0)</f>
        <v/>
      </c>
      <c r="T4577">
        <f>IF('01_Вводные'!$B$234="Да",IF(IF('01_Вводные'!$B$296="Новый сезон",10-1&gt;MOD(MONTH('06_Сеть_и_дети'!T$3)-9,12),FALSE),'19_Расчет_аналитики'!T4465*CapacityAge10*'19_Расчет_аналитики'!$F$4259,0),0)</f>
        <v/>
      </c>
      <c r="U4577">
        <f>IF('01_Вводные'!$B$234="Да",IF(IF('01_Вводные'!$B$296="Новый сезон",10-1&gt;MOD(MONTH('06_Сеть_и_дети'!U$3)-9,12),FALSE),'19_Расчет_аналитики'!U4465*CapacityAge10*'19_Расчет_аналитики'!$F$4259,0),0)</f>
        <v/>
      </c>
      <c r="V4577">
        <f>IF('01_Вводные'!$B$234="Да",IF(IF('01_Вводные'!$B$296="Новый сезон",10-1&gt;MOD(MONTH('06_Сеть_и_дети'!V$3)-9,12),FALSE),'19_Расчет_аналитики'!V4465*CapacityAge10*'19_Расчет_аналитики'!$F$4259,0),0)</f>
        <v/>
      </c>
      <c r="W4577">
        <f>IF('01_Вводные'!$B$234="Да",IF(IF('01_Вводные'!$B$296="Новый сезон",10-1&gt;MOD(MONTH('06_Сеть_и_дети'!W$3)-9,12),FALSE),'19_Расчет_аналитики'!W4465*CapacityAge10*'19_Расчет_аналитики'!$F$4259,0),0)</f>
        <v/>
      </c>
      <c r="X4577">
        <f>IF('01_Вводные'!$B$234="Да",IF(IF('01_Вводные'!$B$296="Новый сезон",10-1&gt;MOD(MONTH('06_Сеть_и_дети'!X$3)-9,12),FALSE),'19_Расчет_аналитики'!X4465*CapacityAge10*'19_Расчет_аналитики'!$F$4259,0),0)</f>
        <v/>
      </c>
      <c r="Y4577">
        <f>IF('01_Вводные'!$B$234="Да",IF(IF('01_Вводные'!$B$296="Новый сезон",10-1&gt;MOD(MONTH('06_Сеть_и_дети'!Y$3)-9,12),FALSE),'19_Расчет_аналитики'!Y4465*CapacityAge10*'19_Расчет_аналитики'!$F$4259,0),0)</f>
        <v/>
      </c>
      <c r="Z4577">
        <f>IF('01_Вводные'!$B$234="Да",IF(IF('01_Вводные'!$B$296="Новый сезон",10-1&gt;MOD(MONTH('06_Сеть_и_дети'!Z$3)-9,12),FALSE),'19_Расчет_аналитики'!Z4465*CapacityAge10*'19_Расчет_аналитики'!$F$4259,0),0)</f>
        <v/>
      </c>
      <c r="AA4577">
        <f>IF('01_Вводные'!$B$234="Да",IF(IF('01_Вводные'!$B$296="Новый сезон",10-1&gt;MOD(MONTH('06_Сеть_и_дети'!AA$3)-9,12),FALSE),'19_Расчет_аналитики'!AA4465*CapacityAge10*'19_Расчет_аналитики'!$F$4259,0),0)</f>
        <v/>
      </c>
      <c r="AB4577">
        <f>IF('01_Вводные'!$B$234="Да",IF(IF('01_Вводные'!$B$296="Новый сезон",10-1&gt;MOD(MONTH('06_Сеть_и_дети'!AB$3)-9,12),FALSE),'19_Расчет_аналитики'!AB4465*CapacityAge10*'19_Расчет_аналитики'!$F$4259,0),0)</f>
        <v/>
      </c>
      <c r="AC4577">
        <f>IF('01_Вводные'!$B$234="Да",IF(IF('01_Вводные'!$B$296="Новый сезон",10-1&gt;MOD(MONTH('06_Сеть_и_дети'!AC$3)-9,12),FALSE),'19_Расчет_аналитики'!AC4465*CapacityAge10*'19_Расчет_аналитики'!$F$4259,0),0)</f>
        <v/>
      </c>
      <c r="AD4577">
        <f>IF('01_Вводные'!$B$234="Да",IF(IF('01_Вводные'!$B$296="Новый сезон",10-1&gt;MOD(MONTH('06_Сеть_и_дети'!AD$3)-9,12),FALSE),'19_Расчет_аналитики'!AD4465*CapacityAge10*'19_Расчет_аналитики'!$F$4259,0),0)</f>
        <v/>
      </c>
      <c r="AE4577">
        <f>IF('01_Вводные'!$B$234="Да",IF(IF('01_Вводные'!$B$296="Новый сезон",10-1&gt;MOD(MONTH('06_Сеть_и_дети'!AE$3)-9,12),FALSE),'19_Расчет_аналитики'!AE4465*CapacityAge10*'19_Расчет_аналитики'!$F$4259,0),0)</f>
        <v/>
      </c>
      <c r="AF4577">
        <f>IF('01_Вводные'!$B$234="Да",IF(IF('01_Вводные'!$B$296="Новый сезон",10-1&gt;MOD(MONTH('06_Сеть_и_дети'!AF$3)-9,12),FALSE),'19_Расчет_аналитики'!AF4465*CapacityAge10*'19_Расчет_аналитики'!$F$4259,0),0)</f>
        <v/>
      </c>
      <c r="AG4577">
        <f>IF('01_Вводные'!$B$234="Да",IF(IF('01_Вводные'!$B$296="Новый сезон",10-1&gt;MOD(MONTH('06_Сеть_и_дети'!AG$3)-9,12),FALSE),'19_Расчет_аналитики'!AG4465*CapacityAge10*'19_Расчет_аналитики'!$F$4259,0),0)</f>
        <v/>
      </c>
      <c r="AH4577">
        <f>IF('01_Вводные'!$B$234="Да",IF(IF('01_Вводные'!$B$296="Новый сезон",10-1&gt;MOD(MONTH('06_Сеть_и_дети'!AH$3)-9,12),FALSE),'19_Расчет_аналитики'!AH4465*CapacityAge10*'19_Расчет_аналитики'!$F$4259,0),0)</f>
        <v/>
      </c>
      <c r="AI4577">
        <f>IF('01_Вводные'!$B$234="Да",IF(IF('01_Вводные'!$B$296="Новый сезон",10-1&gt;MOD(MONTH('06_Сеть_и_дети'!AI$3)-9,12),FALSE),'19_Расчет_аналитики'!AI4465*CapacityAge10*'19_Расчет_аналитики'!$F$4259,0),0)</f>
        <v/>
      </c>
      <c r="AJ4577">
        <f>IF('01_Вводные'!$B$234="Да",IF(IF('01_Вводные'!$B$296="Новый сезон",10-1&gt;MOD(MONTH('06_Сеть_и_дети'!AJ$3)-9,12),FALSE),'19_Расчет_аналитики'!AJ4465*CapacityAge10*'19_Расчет_аналитики'!$F$4259,0),0)</f>
        <v/>
      </c>
      <c r="AK4577">
        <f>IF('01_Вводные'!$B$234="Да",IF(IF('01_Вводные'!$B$296="Новый сезон",10-1&gt;MOD(MONTH('06_Сеть_и_дети'!AK$3)-9,12),FALSE),'19_Расчет_аналитики'!AK4465*CapacityAge10*'19_Расчет_аналитики'!$F$4259,0),0)</f>
        <v/>
      </c>
      <c r="AL4577">
        <f>IF('01_Вводные'!$B$234="Да",IF(IF('01_Вводные'!$B$296="Новый сезон",10-1&gt;MOD(MONTH('06_Сеть_и_дети'!AL$3)-9,12),FALSE),'19_Расчет_аналитики'!AL4465*CapacityAge10*'19_Расчет_аналитики'!$F$4259,0),0)</f>
        <v/>
      </c>
      <c r="AM4577">
        <f>IF('01_Вводные'!$B$234="Да",IF(IF('01_Вводные'!$B$296="Новый сезон",10-1&gt;MOD(MONTH('06_Сеть_и_дети'!AM$3)-9,12),FALSE),'19_Расчет_аналитики'!AM4465*CapacityAge10*'19_Расчет_аналитики'!$F$4259,0),0)</f>
        <v/>
      </c>
      <c r="AN4577">
        <f>IF('01_Вводные'!$B$234="Да",IF(IF('01_Вводные'!$B$296="Новый сезон",10-1&gt;MOD(MONTH('06_Сеть_и_дети'!AN$3)-9,12),FALSE),'19_Расчет_аналитики'!AN4465*CapacityAge10*'19_Расчет_аналитики'!$F$4259,0),0)</f>
        <v/>
      </c>
      <c r="AO4577">
        <f>IF('01_Вводные'!$B$234="Да",IF(IF('01_Вводные'!$B$296="Новый сезон",10-1&gt;MOD(MONTH('06_Сеть_и_дети'!AO$3)-9,12),FALSE),'19_Расчет_аналитики'!AO4465*CapacityAge10*'19_Расчет_аналитики'!$F$4259,0),0)</f>
        <v/>
      </c>
      <c r="AP4577">
        <f>IF('01_Вводные'!$B$234="Да",IF(IF('01_Вводные'!$B$296="Новый сезон",10-1&gt;MOD(MONTH('06_Сеть_и_дети'!AP$3)-9,12),FALSE),'19_Расчет_аналитики'!AP4465*CapacityAge10*'19_Расчет_аналитики'!$F$4259,0),0)</f>
        <v/>
      </c>
      <c r="AQ4577">
        <f>IF('01_Вводные'!$B$234="Да",IF(IF('01_Вводные'!$B$296="Новый сезон",10-1&gt;MOD(MONTH('06_Сеть_и_дети'!AQ$3)-9,12),FALSE),'19_Расчет_аналитики'!AQ4465*CapacityAge10*'19_Расчет_аналитики'!$F$4259,0),0)</f>
        <v/>
      </c>
      <c r="AR4577">
        <f>IF('01_Вводные'!$B$234="Да",IF(IF('01_Вводные'!$B$296="Новый сезон",10-1&gt;MOD(MONTH('06_Сеть_и_дети'!AR$3)-9,12),FALSE),'19_Расчет_аналитики'!AR4465*CapacityAge10*'19_Расчет_аналитики'!$F$4259,0),0)</f>
        <v/>
      </c>
      <c r="AS4577">
        <f>IF('01_Вводные'!$B$234="Да",IF(IF('01_Вводные'!$B$296="Новый сезон",10-1&gt;MOD(MONTH('06_Сеть_и_дети'!AS$3)-9,12),FALSE),'19_Расчет_аналитики'!AS4465*CapacityAge10*'19_Расчет_аналитики'!$F$4259,0),0)</f>
        <v/>
      </c>
      <c r="AT4577">
        <f>IF('01_Вводные'!$B$234="Да",IF(IF('01_Вводные'!$B$296="Новый сезон",10-1&gt;MOD(MONTH('06_Сеть_и_дети'!AT$3)-9,12),FALSE),'19_Расчет_аналитики'!AT4465*CapacityAge10*'19_Расчет_аналитики'!$F$4259,0),0)</f>
        <v/>
      </c>
      <c r="AU4577">
        <f>IF('01_Вводные'!$B$234="Да",IF(IF('01_Вводные'!$B$296="Новый сезон",10-1&gt;MOD(MONTH('06_Сеть_и_дети'!AU$3)-9,12),FALSE),'19_Расчет_аналитики'!AU4465*CapacityAge10*'19_Расчет_аналитики'!$F$4259,0),0)</f>
        <v/>
      </c>
      <c r="AV4577">
        <f>IF('01_Вводные'!$B$234="Да",IF(IF('01_Вводные'!$B$296="Новый сезон",10-1&gt;MOD(MONTH('06_Сеть_и_дети'!AV$3)-9,12),FALSE),'19_Расчет_аналитики'!AV4465*CapacityAge10*'19_Расчет_аналитики'!$F$4259,0),0)</f>
        <v/>
      </c>
      <c r="AW4577">
        <f>IF('01_Вводные'!$B$234="Да",IF(IF('01_Вводные'!$B$296="Новый сезон",10-1&gt;MOD(MONTH('06_Сеть_и_дети'!AW$3)-9,12),FALSE),'19_Расчет_аналитики'!AW4465*CapacityAge10*'19_Расчет_аналитики'!$F$4259,0),0)</f>
        <v/>
      </c>
      <c r="AX4577">
        <f>IF('01_Вводные'!$B$234="Да",IF(IF('01_Вводные'!$B$296="Новый сезон",10-1&gt;MOD(MONTH('06_Сеть_и_дети'!AX$3)-9,12),FALSE),'19_Расчет_аналитики'!AX4465*CapacityAge10*'19_Расчет_аналитики'!$F$4259,0),0)</f>
        <v/>
      </c>
      <c r="AY4577">
        <f>IF('01_Вводные'!$B$234="Да",IF(IF('01_Вводные'!$B$296="Новый сезон",10-1&gt;MOD(MONTH('06_Сеть_и_дети'!AY$3)-9,12),FALSE),'19_Расчет_аналитики'!AY4465*CapacityAge10*'19_Расчет_аналитики'!$F$4259,0),0)</f>
        <v/>
      </c>
      <c r="AZ4577">
        <f>IF('01_Вводные'!$B$234="Да",IF(IF('01_Вводные'!$B$296="Новый сезон",10-1&gt;MOD(MONTH('06_Сеть_и_дети'!AZ$3)-9,12),FALSE),'19_Расчет_аналитики'!AZ4465*CapacityAge10*'19_Расчет_аналитики'!$F$4259,0),0)</f>
        <v/>
      </c>
      <c r="BA4577">
        <f>IF('01_Вводные'!$B$234="Да",IF(IF('01_Вводные'!$B$296="Новый сезон",10-1&gt;MOD(MONTH('06_Сеть_и_дети'!BA$3)-9,12),FALSE),'19_Расчет_аналитики'!BA4465*CapacityAge10*'19_Расчет_аналитики'!$F$4259,0),0)</f>
        <v/>
      </c>
      <c r="BB4577">
        <f>IF('01_Вводные'!$B$234="Да",IF(IF('01_Вводные'!$B$296="Новый сезон",10-1&gt;MOD(MONTH('06_Сеть_и_дети'!BB$3)-9,12),FALSE),'19_Расчет_аналитики'!BB4465*CapacityAge10*'19_Расчет_аналитики'!$F$4259,0),0)</f>
        <v/>
      </c>
      <c r="BC4577">
        <f>IF('01_Вводные'!$B$234="Да",IF(IF('01_Вводные'!$B$296="Новый сезон",10-1&gt;MOD(MONTH('06_Сеть_и_дети'!BC$3)-9,12),FALSE),'19_Расчет_аналитики'!BC4465*CapacityAge10*'19_Расчет_аналитики'!$F$4259,0),0)</f>
        <v/>
      </c>
      <c r="BD4577">
        <f>IF('01_Вводные'!$B$234="Да",IF(IF('01_Вводные'!$B$296="Новый сезон",10-1&gt;MOD(MONTH('06_Сеть_и_дети'!BD$3)-9,12),FALSE),'19_Расчет_аналитики'!BD4465*CapacityAge10*'19_Расчет_аналитики'!$F$4259,0),0)</f>
        <v/>
      </c>
      <c r="BE4577">
        <f>IF('01_Вводные'!$B$234="Да",IF(IF('01_Вводные'!$B$296="Новый сезон",10-1&gt;MOD(MONTH('06_Сеть_и_дети'!BE$3)-9,12),FALSE),'19_Расчет_аналитики'!BE4465*CapacityAge10*'19_Расчет_аналитики'!$F$4259,0),0)</f>
        <v/>
      </c>
      <c r="BF4577">
        <f>IF('01_Вводные'!$B$234="Да",IF(IF('01_Вводные'!$B$296="Новый сезон",10-1&gt;MOD(MONTH('06_Сеть_и_дети'!BF$3)-9,12),FALSE),'19_Расчет_аналитики'!BF4465*CapacityAge10*'19_Расчет_аналитики'!$F$4259,0),0)</f>
        <v/>
      </c>
      <c r="BG4577">
        <f>IF('01_Вводные'!$B$234="Да",IF(IF('01_Вводные'!$B$296="Новый сезон",10-1&gt;MOD(MONTH('06_Сеть_и_дети'!BG$3)-9,12),FALSE),'19_Расчет_аналитики'!BG4465*CapacityAge10*'19_Расчет_аналитики'!$F$4259,0),0)</f>
        <v/>
      </c>
      <c r="BH4577">
        <f>IF('01_Вводные'!$B$234="Да",IF(IF('01_Вводные'!$B$296="Новый сезон",10-1&gt;MOD(MONTH('06_Сеть_и_дети'!BH$3)-9,12),FALSE),'19_Расчет_аналитики'!BH4465*CapacityAge10*'19_Расчет_аналитики'!$F$4259,0),0)</f>
        <v/>
      </c>
      <c r="BI4577">
        <f>IF('01_Вводные'!$B$234="Да",IF(IF('01_Вводные'!$B$296="Новый сезон",10-1&gt;MOD(MONTH('06_Сеть_и_дети'!BI$3)-9,12),FALSE),'19_Расчет_аналитики'!BI4465*CapacityAge10*'19_Расчет_аналитики'!$F$4259,0),0)</f>
        <v/>
      </c>
      <c r="BJ4577">
        <f>IF('01_Вводные'!$B$234="Да",IF(IF('01_Вводные'!$B$296="Новый сезон",10-1&gt;MOD(MONTH('06_Сеть_и_дети'!BJ$3)-9,12),FALSE),'19_Расчет_аналитики'!BJ4465*CapacityAge10*'19_Расчет_аналитики'!$F$4259,0),0)</f>
        <v/>
      </c>
      <c r="BK4577">
        <f>IF('01_Вводные'!$B$234="Да",IF(IF('01_Вводные'!$B$296="Новый сезон",10-1&gt;MOD(MONTH('06_Сеть_и_дети'!BK$3)-9,12),FALSE),'19_Расчет_аналитики'!BK4465*CapacityAge10*'19_Расчет_аналитики'!$F$4259,0),0)</f>
        <v/>
      </c>
      <c r="BL4577">
        <f>IF('01_Вводные'!$B$234="Да",IF(IF('01_Вводные'!$B$296="Новый сезон",10-1&gt;MOD(MONTH('06_Сеть_и_дети'!BL$3)-9,12),FALSE),'19_Расчет_аналитики'!BL4465*CapacityAge10*'19_Расчет_аналитики'!$F$4259,0),0)</f>
        <v/>
      </c>
      <c r="BM4577">
        <f>IF('01_Вводные'!$B$234="Да",IF(IF('01_Вводные'!$B$296="Новый сезон",10-1&gt;MOD(MONTH('06_Сеть_и_дети'!BM$3)-9,12),FALSE),'19_Расчет_аналитики'!BM4465*CapacityAge10*'19_Расчет_аналитики'!$F$4259,0),0)</f>
        <v/>
      </c>
      <c r="BN4577">
        <f>IF('01_Вводные'!$B$234="Да",IF(IF('01_Вводные'!$B$296="Новый сезон",10-1&gt;MOD(MONTH('06_Сеть_и_дети'!BN$3)-9,12),FALSE),'19_Расчет_аналитики'!BN4465*CapacityAge10*'19_Расчет_аналитики'!$F$4259,0),0)</f>
        <v/>
      </c>
      <c r="BO4577">
        <f>IF('01_Вводные'!$B$234="Да",IF(IF('01_Вводные'!$B$296="Новый сезон",10-1&gt;MOD(MONTH('06_Сеть_и_дети'!BO$3)-9,12),FALSE),'19_Расчет_аналитики'!BO4465*CapacityAge10*'19_Расчет_аналитики'!$F$4259,0),0)</f>
        <v/>
      </c>
    </row>
    <row r="4578">
      <c r="B4578">
        <f>IF('01_Вводные'!$B$234="Да",IF(IF('01_Вводные'!$B$296="Новый сезон",11-1&gt;MOD(MONTH('06_Сеть_и_дети'!B$3)-9,12),FALSE),'06_Сеть_и_дети'!B63*CapacityAge11*'19_Расчет_аналитики'!$F$4259,0),0)</f>
        <v/>
      </c>
      <c r="C4578">
        <f>IF('01_Вводные'!$B$234="Да",IF(IF('01_Вводные'!$B$296="Новый сезон",11-1&gt;MOD(MONTH('06_Сеть_и_дети'!C$3)-9,12),FALSE),'06_Сеть_и_дети'!C63*CapacityAge11*'19_Расчет_аналитики'!$F$4259,0),0)</f>
        <v/>
      </c>
      <c r="D4578">
        <f>IF('01_Вводные'!$B$234="Да",IF(IF('01_Вводные'!$B$296="Новый сезон",11-1&gt;MOD(MONTH('06_Сеть_и_дети'!D$3)-9,12),FALSE),'06_Сеть_и_дети'!D63*CapacityAge11*'19_Расчет_аналитики'!$F$4259,0),0)</f>
        <v/>
      </c>
      <c r="E4578">
        <f>IF('01_Вводные'!$B$234="Да",IF(IF('01_Вводные'!$B$296="Новый сезон",11-1&gt;MOD(MONTH('06_Сеть_и_дети'!E$3)-9,12),FALSE),'06_Сеть_и_дети'!E63*CapacityAge11*'19_Расчет_аналитики'!$F$4259,0),0)</f>
        <v/>
      </c>
      <c r="F4578">
        <f>IF('01_Вводные'!$B$234="Да",IF(IF('01_Вводные'!$B$296="Новый сезон",11-1&gt;MOD(MONTH('06_Сеть_и_дети'!F$3)-9,12),FALSE),'06_Сеть_и_дети'!F63*CapacityAge11*'19_Расчет_аналитики'!$F$4259,0),0)</f>
        <v/>
      </c>
      <c r="G4578">
        <f>IF('01_Вводные'!$B$234="Да",IF(IF('01_Вводные'!$B$296="Новый сезон",11-1&gt;MOD(MONTH('06_Сеть_и_дети'!G$3)-9,12),FALSE),'06_Сеть_и_дети'!G63*CapacityAge11*'19_Расчет_аналитики'!$F$4259,0),0)</f>
        <v/>
      </c>
      <c r="H4578">
        <f>IF('01_Вводные'!$B$234="Да",IF(IF('01_Вводные'!$B$296="Новый сезон",11-1&gt;MOD(MONTH('06_Сеть_и_дети'!H$3)-9,12),FALSE),'06_Сеть_и_дети'!H63*CapacityAge11*'19_Расчет_аналитики'!$F$4259,0),0)</f>
        <v/>
      </c>
      <c r="I4578">
        <f>IF('01_Вводные'!$B$234="Да",IF(IF('01_Вводные'!$B$296="Новый сезон",11-1&gt;MOD(MONTH('06_Сеть_и_дети'!I$3)-9,12),FALSE),'06_Сеть_и_дети'!I63*CapacityAge11*'19_Расчет_аналитики'!$F$4259,0),0)</f>
        <v/>
      </c>
      <c r="J4578">
        <f>IF('01_Вводные'!$B$234="Да",IF(IF('01_Вводные'!$B$296="Новый сезон",11-1&gt;MOD(MONTH('06_Сеть_и_дети'!J$3)-9,12),FALSE),'06_Сеть_и_дети'!J63*CapacityAge11*'19_Расчет_аналитики'!$F$4259,0),0)</f>
        <v/>
      </c>
      <c r="K4578">
        <f>IF('01_Вводные'!$B$234="Да",IF(IF('01_Вводные'!$B$296="Новый сезон",11-1&gt;MOD(MONTH('06_Сеть_и_дети'!K$3)-9,12),FALSE),'06_Сеть_и_дети'!K63*CapacityAge11*'19_Расчет_аналитики'!$F$4259,0),0)</f>
        <v/>
      </c>
      <c r="L4578">
        <f>IF('01_Вводные'!$B$234="Да",IF(IF('01_Вводные'!$B$296="Новый сезон",11-1&gt;MOD(MONTH('06_Сеть_и_дети'!L$3)-9,12),FALSE),'19_Расчет_аналитики'!L4466*CapacityAge11*'19_Расчет_аналитики'!$F$4259,0),0)</f>
        <v/>
      </c>
      <c r="M4578">
        <f>IF('01_Вводные'!$B$234="Да",IF(IF('01_Вводные'!$B$296="Новый сезон",11-1&gt;MOD(MONTH('06_Сеть_и_дети'!M$3)-9,12),FALSE),'19_Расчет_аналитики'!M4466*CapacityAge11*'19_Расчет_аналитики'!$F$4259,0),0)</f>
        <v/>
      </c>
      <c r="N4578">
        <f>IF('01_Вводные'!$B$234="Да",IF(IF('01_Вводные'!$B$296="Новый сезон",11-1&gt;MOD(MONTH('06_Сеть_и_дети'!N$3)-9,12),FALSE),'19_Расчет_аналитики'!N4466*CapacityAge11*'19_Расчет_аналитики'!$F$4259,0),0)</f>
        <v/>
      </c>
      <c r="O4578">
        <f>IF('01_Вводные'!$B$234="Да",IF(IF('01_Вводные'!$B$296="Новый сезон",11-1&gt;MOD(MONTH('06_Сеть_и_дети'!O$3)-9,12),FALSE),'19_Расчет_аналитики'!O4466*CapacityAge11*'19_Расчет_аналитики'!$F$4259,0),0)</f>
        <v/>
      </c>
      <c r="P4578">
        <f>IF('01_Вводные'!$B$234="Да",IF(IF('01_Вводные'!$B$296="Новый сезон",11-1&gt;MOD(MONTH('06_Сеть_и_дети'!P$3)-9,12),FALSE),'19_Расчет_аналитики'!P4466*CapacityAge11*'19_Расчет_аналитики'!$F$4259,0),0)</f>
        <v/>
      </c>
      <c r="Q4578">
        <f>IF('01_Вводные'!$B$234="Да",IF(IF('01_Вводные'!$B$296="Новый сезон",11-1&gt;MOD(MONTH('06_Сеть_и_дети'!Q$3)-9,12),FALSE),'19_Расчет_аналитики'!Q4466*CapacityAge11*'19_Расчет_аналитики'!$F$4259,0),0)</f>
        <v/>
      </c>
      <c r="R4578">
        <f>IF('01_Вводные'!$B$234="Да",IF(IF('01_Вводные'!$B$296="Новый сезон",11-1&gt;MOD(MONTH('06_Сеть_и_дети'!R$3)-9,12),FALSE),'19_Расчет_аналитики'!R4466*CapacityAge11*'19_Расчет_аналитики'!$F$4259,0),0)</f>
        <v/>
      </c>
      <c r="S4578">
        <f>IF('01_Вводные'!$B$234="Да",IF(IF('01_Вводные'!$B$296="Новый сезон",11-1&gt;MOD(MONTH('06_Сеть_и_дети'!S$3)-9,12),FALSE),'19_Расчет_аналитики'!S4466*CapacityAge11*'19_Расчет_аналитики'!$F$4259,0),0)</f>
        <v/>
      </c>
      <c r="T4578">
        <f>IF('01_Вводные'!$B$234="Да",IF(IF('01_Вводные'!$B$296="Новый сезон",11-1&gt;MOD(MONTH('06_Сеть_и_дети'!T$3)-9,12),FALSE),'19_Расчет_аналитики'!T4466*CapacityAge11*'19_Расчет_аналитики'!$F$4259,0),0)</f>
        <v/>
      </c>
      <c r="U4578">
        <f>IF('01_Вводные'!$B$234="Да",IF(IF('01_Вводные'!$B$296="Новый сезон",11-1&gt;MOD(MONTH('06_Сеть_и_дети'!U$3)-9,12),FALSE),'19_Расчет_аналитики'!U4466*CapacityAge11*'19_Расчет_аналитики'!$F$4259,0),0)</f>
        <v/>
      </c>
      <c r="V4578">
        <f>IF('01_Вводные'!$B$234="Да",IF(IF('01_Вводные'!$B$296="Новый сезон",11-1&gt;MOD(MONTH('06_Сеть_и_дети'!V$3)-9,12),FALSE),'19_Расчет_аналитики'!V4466*CapacityAge11*'19_Расчет_аналитики'!$F$4259,0),0)</f>
        <v/>
      </c>
      <c r="W4578">
        <f>IF('01_Вводные'!$B$234="Да",IF(IF('01_Вводные'!$B$296="Новый сезон",11-1&gt;MOD(MONTH('06_Сеть_и_дети'!W$3)-9,12),FALSE),'19_Расчет_аналитики'!W4466*CapacityAge11*'19_Расчет_аналитики'!$F$4259,0),0)</f>
        <v/>
      </c>
      <c r="X4578">
        <f>IF('01_Вводные'!$B$234="Да",IF(IF('01_Вводные'!$B$296="Новый сезон",11-1&gt;MOD(MONTH('06_Сеть_и_дети'!X$3)-9,12),FALSE),'19_Расчет_аналитики'!X4466*CapacityAge11*'19_Расчет_аналитики'!$F$4259,0),0)</f>
        <v/>
      </c>
      <c r="Y4578">
        <f>IF('01_Вводные'!$B$234="Да",IF(IF('01_Вводные'!$B$296="Новый сезон",11-1&gt;MOD(MONTH('06_Сеть_и_дети'!Y$3)-9,12),FALSE),'19_Расчет_аналитики'!Y4466*CapacityAge11*'19_Расчет_аналитики'!$F$4259,0),0)</f>
        <v/>
      </c>
      <c r="Z4578">
        <f>IF('01_Вводные'!$B$234="Да",IF(IF('01_Вводные'!$B$296="Новый сезон",11-1&gt;MOD(MONTH('06_Сеть_и_дети'!Z$3)-9,12),FALSE),'19_Расчет_аналитики'!Z4466*CapacityAge11*'19_Расчет_аналитики'!$F$4259,0),0)</f>
        <v/>
      </c>
      <c r="AA4578">
        <f>IF('01_Вводные'!$B$234="Да",IF(IF('01_Вводные'!$B$296="Новый сезон",11-1&gt;MOD(MONTH('06_Сеть_и_дети'!AA$3)-9,12),FALSE),'19_Расчет_аналитики'!AA4466*CapacityAge11*'19_Расчет_аналитики'!$F$4259,0),0)</f>
        <v/>
      </c>
      <c r="AB4578">
        <f>IF('01_Вводные'!$B$234="Да",IF(IF('01_Вводные'!$B$296="Новый сезон",11-1&gt;MOD(MONTH('06_Сеть_и_дети'!AB$3)-9,12),FALSE),'19_Расчет_аналитики'!AB4466*CapacityAge11*'19_Расчет_аналитики'!$F$4259,0),0)</f>
        <v/>
      </c>
      <c r="AC4578">
        <f>IF('01_Вводные'!$B$234="Да",IF(IF('01_Вводные'!$B$296="Новый сезон",11-1&gt;MOD(MONTH('06_Сеть_и_дети'!AC$3)-9,12),FALSE),'19_Расчет_аналитики'!AC4466*CapacityAge11*'19_Расчет_аналитики'!$F$4259,0),0)</f>
        <v/>
      </c>
      <c r="AD4578">
        <f>IF('01_Вводные'!$B$234="Да",IF(IF('01_Вводные'!$B$296="Новый сезон",11-1&gt;MOD(MONTH('06_Сеть_и_дети'!AD$3)-9,12),FALSE),'19_Расчет_аналитики'!AD4466*CapacityAge11*'19_Расчет_аналитики'!$F$4259,0),0)</f>
        <v/>
      </c>
      <c r="AE4578">
        <f>IF('01_Вводные'!$B$234="Да",IF(IF('01_Вводные'!$B$296="Новый сезон",11-1&gt;MOD(MONTH('06_Сеть_и_дети'!AE$3)-9,12),FALSE),'19_Расчет_аналитики'!AE4466*CapacityAge11*'19_Расчет_аналитики'!$F$4259,0),0)</f>
        <v/>
      </c>
      <c r="AF4578">
        <f>IF('01_Вводные'!$B$234="Да",IF(IF('01_Вводные'!$B$296="Новый сезон",11-1&gt;MOD(MONTH('06_Сеть_и_дети'!AF$3)-9,12),FALSE),'19_Расчет_аналитики'!AF4466*CapacityAge11*'19_Расчет_аналитики'!$F$4259,0),0)</f>
        <v/>
      </c>
      <c r="AG4578">
        <f>IF('01_Вводные'!$B$234="Да",IF(IF('01_Вводные'!$B$296="Новый сезон",11-1&gt;MOD(MONTH('06_Сеть_и_дети'!AG$3)-9,12),FALSE),'19_Расчет_аналитики'!AG4466*CapacityAge11*'19_Расчет_аналитики'!$F$4259,0),0)</f>
        <v/>
      </c>
      <c r="AH4578">
        <f>IF('01_Вводные'!$B$234="Да",IF(IF('01_Вводные'!$B$296="Новый сезон",11-1&gt;MOD(MONTH('06_Сеть_и_дети'!AH$3)-9,12),FALSE),'19_Расчет_аналитики'!AH4466*CapacityAge11*'19_Расчет_аналитики'!$F$4259,0),0)</f>
        <v/>
      </c>
      <c r="AI4578">
        <f>IF('01_Вводные'!$B$234="Да",IF(IF('01_Вводные'!$B$296="Новый сезон",11-1&gt;MOD(MONTH('06_Сеть_и_дети'!AI$3)-9,12),FALSE),'19_Расчет_аналитики'!AI4466*CapacityAge11*'19_Расчет_аналитики'!$F$4259,0),0)</f>
        <v/>
      </c>
      <c r="AJ4578">
        <f>IF('01_Вводные'!$B$234="Да",IF(IF('01_Вводные'!$B$296="Новый сезон",11-1&gt;MOD(MONTH('06_Сеть_и_дети'!AJ$3)-9,12),FALSE),'19_Расчет_аналитики'!AJ4466*CapacityAge11*'19_Расчет_аналитики'!$F$4259,0),0)</f>
        <v/>
      </c>
      <c r="AK4578">
        <f>IF('01_Вводные'!$B$234="Да",IF(IF('01_Вводные'!$B$296="Новый сезон",11-1&gt;MOD(MONTH('06_Сеть_и_дети'!AK$3)-9,12),FALSE),'19_Расчет_аналитики'!AK4466*CapacityAge11*'19_Расчет_аналитики'!$F$4259,0),0)</f>
        <v/>
      </c>
      <c r="AL4578">
        <f>IF('01_Вводные'!$B$234="Да",IF(IF('01_Вводные'!$B$296="Новый сезон",11-1&gt;MOD(MONTH('06_Сеть_и_дети'!AL$3)-9,12),FALSE),'19_Расчет_аналитики'!AL4466*CapacityAge11*'19_Расчет_аналитики'!$F$4259,0),0)</f>
        <v/>
      </c>
      <c r="AM4578">
        <f>IF('01_Вводные'!$B$234="Да",IF(IF('01_Вводные'!$B$296="Новый сезон",11-1&gt;MOD(MONTH('06_Сеть_и_дети'!AM$3)-9,12),FALSE),'19_Расчет_аналитики'!AM4466*CapacityAge11*'19_Расчет_аналитики'!$F$4259,0),0)</f>
        <v/>
      </c>
      <c r="AN4578">
        <f>IF('01_Вводные'!$B$234="Да",IF(IF('01_Вводные'!$B$296="Новый сезон",11-1&gt;MOD(MONTH('06_Сеть_и_дети'!AN$3)-9,12),FALSE),'19_Расчет_аналитики'!AN4466*CapacityAge11*'19_Расчет_аналитики'!$F$4259,0),0)</f>
        <v/>
      </c>
      <c r="AO4578">
        <f>IF('01_Вводные'!$B$234="Да",IF(IF('01_Вводные'!$B$296="Новый сезон",11-1&gt;MOD(MONTH('06_Сеть_и_дети'!AO$3)-9,12),FALSE),'19_Расчет_аналитики'!AO4466*CapacityAge11*'19_Расчет_аналитики'!$F$4259,0),0)</f>
        <v/>
      </c>
      <c r="AP4578">
        <f>IF('01_Вводные'!$B$234="Да",IF(IF('01_Вводные'!$B$296="Новый сезон",11-1&gt;MOD(MONTH('06_Сеть_и_дети'!AP$3)-9,12),FALSE),'19_Расчет_аналитики'!AP4466*CapacityAge11*'19_Расчет_аналитики'!$F$4259,0),0)</f>
        <v/>
      </c>
      <c r="AQ4578">
        <f>IF('01_Вводные'!$B$234="Да",IF(IF('01_Вводные'!$B$296="Новый сезон",11-1&gt;MOD(MONTH('06_Сеть_и_дети'!AQ$3)-9,12),FALSE),'19_Расчет_аналитики'!AQ4466*CapacityAge11*'19_Расчет_аналитики'!$F$4259,0),0)</f>
        <v/>
      </c>
      <c r="AR4578">
        <f>IF('01_Вводные'!$B$234="Да",IF(IF('01_Вводные'!$B$296="Новый сезон",11-1&gt;MOD(MONTH('06_Сеть_и_дети'!AR$3)-9,12),FALSE),'19_Расчет_аналитики'!AR4466*CapacityAge11*'19_Расчет_аналитики'!$F$4259,0),0)</f>
        <v/>
      </c>
      <c r="AS4578">
        <f>IF('01_Вводные'!$B$234="Да",IF(IF('01_Вводные'!$B$296="Новый сезон",11-1&gt;MOD(MONTH('06_Сеть_и_дети'!AS$3)-9,12),FALSE),'19_Расчет_аналитики'!AS4466*CapacityAge11*'19_Расчет_аналитики'!$F$4259,0),0)</f>
        <v/>
      </c>
      <c r="AT4578">
        <f>IF('01_Вводные'!$B$234="Да",IF(IF('01_Вводные'!$B$296="Новый сезон",11-1&gt;MOD(MONTH('06_Сеть_и_дети'!AT$3)-9,12),FALSE),'19_Расчет_аналитики'!AT4466*CapacityAge11*'19_Расчет_аналитики'!$F$4259,0),0)</f>
        <v/>
      </c>
      <c r="AU4578">
        <f>IF('01_Вводные'!$B$234="Да",IF(IF('01_Вводные'!$B$296="Новый сезон",11-1&gt;MOD(MONTH('06_Сеть_и_дети'!AU$3)-9,12),FALSE),'19_Расчет_аналитики'!AU4466*CapacityAge11*'19_Расчет_аналитики'!$F$4259,0),0)</f>
        <v/>
      </c>
      <c r="AV4578">
        <f>IF('01_Вводные'!$B$234="Да",IF(IF('01_Вводные'!$B$296="Новый сезон",11-1&gt;MOD(MONTH('06_Сеть_и_дети'!AV$3)-9,12),FALSE),'19_Расчет_аналитики'!AV4466*CapacityAge11*'19_Расчет_аналитики'!$F$4259,0),0)</f>
        <v/>
      </c>
      <c r="AW4578">
        <f>IF('01_Вводные'!$B$234="Да",IF(IF('01_Вводные'!$B$296="Новый сезон",11-1&gt;MOD(MONTH('06_Сеть_и_дети'!AW$3)-9,12),FALSE),'19_Расчет_аналитики'!AW4466*CapacityAge11*'19_Расчет_аналитики'!$F$4259,0),0)</f>
        <v/>
      </c>
      <c r="AX4578">
        <f>IF('01_Вводные'!$B$234="Да",IF(IF('01_Вводные'!$B$296="Новый сезон",11-1&gt;MOD(MONTH('06_Сеть_и_дети'!AX$3)-9,12),FALSE),'19_Расчет_аналитики'!AX4466*CapacityAge11*'19_Расчет_аналитики'!$F$4259,0),0)</f>
        <v/>
      </c>
      <c r="AY4578">
        <f>IF('01_Вводные'!$B$234="Да",IF(IF('01_Вводные'!$B$296="Новый сезон",11-1&gt;MOD(MONTH('06_Сеть_и_дети'!AY$3)-9,12),FALSE),'19_Расчет_аналитики'!AY4466*CapacityAge11*'19_Расчет_аналитики'!$F$4259,0),0)</f>
        <v/>
      </c>
      <c r="AZ4578">
        <f>IF('01_Вводные'!$B$234="Да",IF(IF('01_Вводные'!$B$296="Новый сезон",11-1&gt;MOD(MONTH('06_Сеть_и_дети'!AZ$3)-9,12),FALSE),'19_Расчет_аналитики'!AZ4466*CapacityAge11*'19_Расчет_аналитики'!$F$4259,0),0)</f>
        <v/>
      </c>
      <c r="BA4578">
        <f>IF('01_Вводные'!$B$234="Да",IF(IF('01_Вводные'!$B$296="Новый сезон",11-1&gt;MOD(MONTH('06_Сеть_и_дети'!BA$3)-9,12),FALSE),'19_Расчет_аналитики'!BA4466*CapacityAge11*'19_Расчет_аналитики'!$F$4259,0),0)</f>
        <v/>
      </c>
      <c r="BB4578">
        <f>IF('01_Вводные'!$B$234="Да",IF(IF('01_Вводные'!$B$296="Новый сезон",11-1&gt;MOD(MONTH('06_Сеть_и_дети'!BB$3)-9,12),FALSE),'19_Расчет_аналитики'!BB4466*CapacityAge11*'19_Расчет_аналитики'!$F$4259,0),0)</f>
        <v/>
      </c>
      <c r="BC4578">
        <f>IF('01_Вводные'!$B$234="Да",IF(IF('01_Вводные'!$B$296="Новый сезон",11-1&gt;MOD(MONTH('06_Сеть_и_дети'!BC$3)-9,12),FALSE),'19_Расчет_аналитики'!BC4466*CapacityAge11*'19_Расчет_аналитики'!$F$4259,0),0)</f>
        <v/>
      </c>
      <c r="BD4578">
        <f>IF('01_Вводные'!$B$234="Да",IF(IF('01_Вводные'!$B$296="Новый сезон",11-1&gt;MOD(MONTH('06_Сеть_и_дети'!BD$3)-9,12),FALSE),'19_Расчет_аналитики'!BD4466*CapacityAge11*'19_Расчет_аналитики'!$F$4259,0),0)</f>
        <v/>
      </c>
      <c r="BE4578">
        <f>IF('01_Вводные'!$B$234="Да",IF(IF('01_Вводные'!$B$296="Новый сезон",11-1&gt;MOD(MONTH('06_Сеть_и_дети'!BE$3)-9,12),FALSE),'19_Расчет_аналитики'!BE4466*CapacityAge11*'19_Расчет_аналитики'!$F$4259,0),0)</f>
        <v/>
      </c>
      <c r="BF4578">
        <f>IF('01_Вводные'!$B$234="Да",IF(IF('01_Вводные'!$B$296="Новый сезон",11-1&gt;MOD(MONTH('06_Сеть_и_дети'!BF$3)-9,12),FALSE),'19_Расчет_аналитики'!BF4466*CapacityAge11*'19_Расчет_аналитики'!$F$4259,0),0)</f>
        <v/>
      </c>
      <c r="BG4578">
        <f>IF('01_Вводные'!$B$234="Да",IF(IF('01_Вводные'!$B$296="Новый сезон",11-1&gt;MOD(MONTH('06_Сеть_и_дети'!BG$3)-9,12),FALSE),'19_Расчет_аналитики'!BG4466*CapacityAge11*'19_Расчет_аналитики'!$F$4259,0),0)</f>
        <v/>
      </c>
      <c r="BH4578">
        <f>IF('01_Вводные'!$B$234="Да",IF(IF('01_Вводные'!$B$296="Новый сезон",11-1&gt;MOD(MONTH('06_Сеть_и_дети'!BH$3)-9,12),FALSE),'19_Расчет_аналитики'!BH4466*CapacityAge11*'19_Расчет_аналитики'!$F$4259,0),0)</f>
        <v/>
      </c>
      <c r="BI4578">
        <f>IF('01_Вводные'!$B$234="Да",IF(IF('01_Вводные'!$B$296="Новый сезон",11-1&gt;MOD(MONTH('06_Сеть_и_дети'!BI$3)-9,12),FALSE),'19_Расчет_аналитики'!BI4466*CapacityAge11*'19_Расчет_аналитики'!$F$4259,0),0)</f>
        <v/>
      </c>
      <c r="BJ4578">
        <f>IF('01_Вводные'!$B$234="Да",IF(IF('01_Вводные'!$B$296="Новый сезон",11-1&gt;MOD(MONTH('06_Сеть_и_дети'!BJ$3)-9,12),FALSE),'19_Расчет_аналитики'!BJ4466*CapacityAge11*'19_Расчет_аналитики'!$F$4259,0),0)</f>
        <v/>
      </c>
      <c r="BK4578">
        <f>IF('01_Вводные'!$B$234="Да",IF(IF('01_Вводные'!$B$296="Новый сезон",11-1&gt;MOD(MONTH('06_Сеть_и_дети'!BK$3)-9,12),FALSE),'19_Расчет_аналитики'!BK4466*CapacityAge11*'19_Расчет_аналитики'!$F$4259,0),0)</f>
        <v/>
      </c>
      <c r="BL4578">
        <f>IF('01_Вводные'!$B$234="Да",IF(IF('01_Вводные'!$B$296="Новый сезон",11-1&gt;MOD(MONTH('06_Сеть_и_дети'!BL$3)-9,12),FALSE),'19_Расчет_аналитики'!BL4466*CapacityAge11*'19_Расчет_аналитики'!$F$4259,0),0)</f>
        <v/>
      </c>
      <c r="BM4578">
        <f>IF('01_Вводные'!$B$234="Да",IF(IF('01_Вводные'!$B$296="Новый сезон",11-1&gt;MOD(MONTH('06_Сеть_и_дети'!BM$3)-9,12),FALSE),'19_Расчет_аналитики'!BM4466*CapacityAge11*'19_Расчет_аналитики'!$F$4259,0),0)</f>
        <v/>
      </c>
      <c r="BN4578">
        <f>IF('01_Вводные'!$B$234="Да",IF(IF('01_Вводные'!$B$296="Новый сезон",11-1&gt;MOD(MONTH('06_Сеть_и_дети'!BN$3)-9,12),FALSE),'19_Расчет_аналитики'!BN4466*CapacityAge11*'19_Расчет_аналитики'!$F$4259,0),0)</f>
        <v/>
      </c>
      <c r="BO4578">
        <f>IF('01_Вводные'!$B$234="Да",IF(IF('01_Вводные'!$B$296="Новый сезон",11-1&gt;MOD(MONTH('06_Сеть_и_дети'!BO$3)-9,12),FALSE),'19_Расчет_аналитики'!BO4466*CapacityAge11*'19_Расчет_аналитики'!$F$4259,0),0)</f>
        <v/>
      </c>
    </row>
    <row r="4579">
      <c r="B4579">
        <f>IF('01_Вводные'!$B$234="Да",IF(IF('01_Вводные'!$B$296="Новый сезон",12-1&gt;MOD(MONTH('06_Сеть_и_дети'!B$3)-9,12),FALSE),'06_Сеть_и_дети'!B64*CapacityAge12*'19_Расчет_аналитики'!$F$4259,0),0)</f>
        <v/>
      </c>
      <c r="C4579">
        <f>IF('01_Вводные'!$B$234="Да",IF(IF('01_Вводные'!$B$296="Новый сезон",12-1&gt;MOD(MONTH('06_Сеть_и_дети'!C$3)-9,12),FALSE),'06_Сеть_и_дети'!C64*CapacityAge12*'19_Расчет_аналитики'!$F$4259,0),0)</f>
        <v/>
      </c>
      <c r="D4579">
        <f>IF('01_Вводные'!$B$234="Да",IF(IF('01_Вводные'!$B$296="Новый сезон",12-1&gt;MOD(MONTH('06_Сеть_и_дети'!D$3)-9,12),FALSE),'06_Сеть_и_дети'!D64*CapacityAge12*'19_Расчет_аналитики'!$F$4259,0),0)</f>
        <v/>
      </c>
      <c r="E4579">
        <f>IF('01_Вводные'!$B$234="Да",IF(IF('01_Вводные'!$B$296="Новый сезон",12-1&gt;MOD(MONTH('06_Сеть_и_дети'!E$3)-9,12),FALSE),'06_Сеть_и_дети'!E64*CapacityAge12*'19_Расчет_аналитики'!$F$4259,0),0)</f>
        <v/>
      </c>
      <c r="F4579">
        <f>IF('01_Вводные'!$B$234="Да",IF(IF('01_Вводные'!$B$296="Новый сезон",12-1&gt;MOD(MONTH('06_Сеть_и_дети'!F$3)-9,12),FALSE),'06_Сеть_и_дети'!F64*CapacityAge12*'19_Расчет_аналитики'!$F$4259,0),0)</f>
        <v/>
      </c>
      <c r="G4579">
        <f>IF('01_Вводные'!$B$234="Да",IF(IF('01_Вводные'!$B$296="Новый сезон",12-1&gt;MOD(MONTH('06_Сеть_и_дети'!G$3)-9,12),FALSE),'06_Сеть_и_дети'!G64*CapacityAge12*'19_Расчет_аналитики'!$F$4259,0),0)</f>
        <v/>
      </c>
      <c r="H4579">
        <f>IF('01_Вводные'!$B$234="Да",IF(IF('01_Вводные'!$B$296="Новый сезон",12-1&gt;MOD(MONTH('06_Сеть_и_дети'!H$3)-9,12),FALSE),'06_Сеть_и_дети'!H64*CapacityAge12*'19_Расчет_аналитики'!$F$4259,0),0)</f>
        <v/>
      </c>
      <c r="I4579">
        <f>IF('01_Вводные'!$B$234="Да",IF(IF('01_Вводные'!$B$296="Новый сезон",12-1&gt;MOD(MONTH('06_Сеть_и_дети'!I$3)-9,12),FALSE),'06_Сеть_и_дети'!I64*CapacityAge12*'19_Расчет_аналитики'!$F$4259,0),0)</f>
        <v/>
      </c>
      <c r="J4579">
        <f>IF('01_Вводные'!$B$234="Да",IF(IF('01_Вводные'!$B$296="Новый сезон",12-1&gt;MOD(MONTH('06_Сеть_и_дети'!J$3)-9,12),FALSE),'06_Сеть_и_дети'!J64*CapacityAge12*'19_Расчет_аналитики'!$F$4259,0),0)</f>
        <v/>
      </c>
      <c r="K4579">
        <f>IF('01_Вводные'!$B$234="Да",IF(IF('01_Вводные'!$B$296="Новый сезон",12-1&gt;MOD(MONTH('06_Сеть_и_дети'!K$3)-9,12),FALSE),'06_Сеть_и_дети'!K64*CapacityAge12*'19_Расчет_аналитики'!$F$4259,0),0)</f>
        <v/>
      </c>
      <c r="L4579">
        <f>IF('01_Вводные'!$B$234="Да",IF(IF('01_Вводные'!$B$296="Новый сезон",12-1&gt;MOD(MONTH('06_Сеть_и_дети'!L$3)-9,12),FALSE),'06_Сеть_и_дети'!L64*CapacityAge12*'19_Расчет_аналитики'!$F$4259,0),0)</f>
        <v/>
      </c>
      <c r="M4579">
        <f>IF('01_Вводные'!$B$234="Да",IF(IF('01_Вводные'!$B$296="Новый сезон",12-1&gt;MOD(MONTH('06_Сеть_и_дети'!M$3)-9,12),FALSE),'19_Расчет_аналитики'!M4467*CapacityAge12*'19_Расчет_аналитики'!$F$4259,0),0)</f>
        <v/>
      </c>
      <c r="N4579">
        <f>IF('01_Вводные'!$B$234="Да",IF(IF('01_Вводные'!$B$296="Новый сезон",12-1&gt;MOD(MONTH('06_Сеть_и_дети'!N$3)-9,12),FALSE),'19_Расчет_аналитики'!N4467*CapacityAge12*'19_Расчет_аналитики'!$F$4259,0),0)</f>
        <v/>
      </c>
      <c r="O4579">
        <f>IF('01_Вводные'!$B$234="Да",IF(IF('01_Вводные'!$B$296="Новый сезон",12-1&gt;MOD(MONTH('06_Сеть_и_дети'!O$3)-9,12),FALSE),'19_Расчет_аналитики'!O4467*CapacityAge12*'19_Расчет_аналитики'!$F$4259,0),0)</f>
        <v/>
      </c>
      <c r="P4579">
        <f>IF('01_Вводные'!$B$234="Да",IF(IF('01_Вводные'!$B$296="Новый сезон",12-1&gt;MOD(MONTH('06_Сеть_и_дети'!P$3)-9,12),FALSE),'19_Расчет_аналитики'!P4467*CapacityAge12*'19_Расчет_аналитики'!$F$4259,0),0)</f>
        <v/>
      </c>
      <c r="Q4579">
        <f>IF('01_Вводные'!$B$234="Да",IF(IF('01_Вводные'!$B$296="Новый сезон",12-1&gt;MOD(MONTH('06_Сеть_и_дети'!Q$3)-9,12),FALSE),'19_Расчет_аналитики'!Q4467*CapacityAge12*'19_Расчет_аналитики'!$F$4259,0),0)</f>
        <v/>
      </c>
      <c r="R4579">
        <f>IF('01_Вводные'!$B$234="Да",IF(IF('01_Вводные'!$B$296="Новый сезон",12-1&gt;MOD(MONTH('06_Сеть_и_дети'!R$3)-9,12),FALSE),'19_Расчет_аналитики'!R4467*CapacityAge12*'19_Расчет_аналитики'!$F$4259,0),0)</f>
        <v/>
      </c>
      <c r="S4579">
        <f>IF('01_Вводные'!$B$234="Да",IF(IF('01_Вводные'!$B$296="Новый сезон",12-1&gt;MOD(MONTH('06_Сеть_и_дети'!S$3)-9,12),FALSE),'19_Расчет_аналитики'!S4467*CapacityAge12*'19_Расчет_аналитики'!$F$4259,0),0)</f>
        <v/>
      </c>
      <c r="T4579">
        <f>IF('01_Вводные'!$B$234="Да",IF(IF('01_Вводные'!$B$296="Новый сезон",12-1&gt;MOD(MONTH('06_Сеть_и_дети'!T$3)-9,12),FALSE),'19_Расчет_аналитики'!T4467*CapacityAge12*'19_Расчет_аналитики'!$F$4259,0),0)</f>
        <v/>
      </c>
      <c r="U4579">
        <f>IF('01_Вводные'!$B$234="Да",IF(IF('01_Вводные'!$B$296="Новый сезон",12-1&gt;MOD(MONTH('06_Сеть_и_дети'!U$3)-9,12),FALSE),'19_Расчет_аналитики'!U4467*CapacityAge12*'19_Расчет_аналитики'!$F$4259,0),0)</f>
        <v/>
      </c>
      <c r="V4579">
        <f>IF('01_Вводные'!$B$234="Да",IF(IF('01_Вводные'!$B$296="Новый сезон",12-1&gt;MOD(MONTH('06_Сеть_и_дети'!V$3)-9,12),FALSE),'19_Расчет_аналитики'!V4467*CapacityAge12*'19_Расчет_аналитики'!$F$4259,0),0)</f>
        <v/>
      </c>
      <c r="W4579">
        <f>IF('01_Вводные'!$B$234="Да",IF(IF('01_Вводные'!$B$296="Новый сезон",12-1&gt;MOD(MONTH('06_Сеть_и_дети'!W$3)-9,12),FALSE),'19_Расчет_аналитики'!W4467*CapacityAge12*'19_Расчет_аналитики'!$F$4259,0),0)</f>
        <v/>
      </c>
      <c r="X4579">
        <f>IF('01_Вводные'!$B$234="Да",IF(IF('01_Вводные'!$B$296="Новый сезон",12-1&gt;MOD(MONTH('06_Сеть_и_дети'!X$3)-9,12),FALSE),'19_Расчет_аналитики'!X4467*CapacityAge12*'19_Расчет_аналитики'!$F$4259,0),0)</f>
        <v/>
      </c>
      <c r="Y4579">
        <f>IF('01_Вводные'!$B$234="Да",IF(IF('01_Вводные'!$B$296="Новый сезон",12-1&gt;MOD(MONTH('06_Сеть_и_дети'!Y$3)-9,12),FALSE),'19_Расчет_аналитики'!Y4467*CapacityAge12*'19_Расчет_аналитики'!$F$4259,0),0)</f>
        <v/>
      </c>
      <c r="Z4579">
        <f>IF('01_Вводные'!$B$234="Да",IF(IF('01_Вводные'!$B$296="Новый сезон",12-1&gt;MOD(MONTH('06_Сеть_и_дети'!Z$3)-9,12),FALSE),'19_Расчет_аналитики'!Z4467*CapacityAge12*'19_Расчет_аналитики'!$F$4259,0),0)</f>
        <v/>
      </c>
      <c r="AA4579">
        <f>IF('01_Вводные'!$B$234="Да",IF(IF('01_Вводные'!$B$296="Новый сезон",12-1&gt;MOD(MONTH('06_Сеть_и_дети'!AA$3)-9,12),FALSE),'19_Расчет_аналитики'!AA4467*CapacityAge12*'19_Расчет_аналитики'!$F$4259,0),0)</f>
        <v/>
      </c>
      <c r="AB4579">
        <f>IF('01_Вводные'!$B$234="Да",IF(IF('01_Вводные'!$B$296="Новый сезон",12-1&gt;MOD(MONTH('06_Сеть_и_дети'!AB$3)-9,12),FALSE),'19_Расчет_аналитики'!AB4467*CapacityAge12*'19_Расчет_аналитики'!$F$4259,0),0)</f>
        <v/>
      </c>
      <c r="AC4579">
        <f>IF('01_Вводные'!$B$234="Да",IF(IF('01_Вводные'!$B$296="Новый сезон",12-1&gt;MOD(MONTH('06_Сеть_и_дети'!AC$3)-9,12),FALSE),'19_Расчет_аналитики'!AC4467*CapacityAge12*'19_Расчет_аналитики'!$F$4259,0),0)</f>
        <v/>
      </c>
      <c r="AD4579">
        <f>IF('01_Вводные'!$B$234="Да",IF(IF('01_Вводные'!$B$296="Новый сезон",12-1&gt;MOD(MONTH('06_Сеть_и_дети'!AD$3)-9,12),FALSE),'19_Расчет_аналитики'!AD4467*CapacityAge12*'19_Расчет_аналитики'!$F$4259,0),0)</f>
        <v/>
      </c>
      <c r="AE4579">
        <f>IF('01_Вводные'!$B$234="Да",IF(IF('01_Вводные'!$B$296="Новый сезон",12-1&gt;MOD(MONTH('06_Сеть_и_дети'!AE$3)-9,12),FALSE),'19_Расчет_аналитики'!AE4467*CapacityAge12*'19_Расчет_аналитики'!$F$4259,0),0)</f>
        <v/>
      </c>
      <c r="AF4579">
        <f>IF('01_Вводные'!$B$234="Да",IF(IF('01_Вводные'!$B$296="Новый сезон",12-1&gt;MOD(MONTH('06_Сеть_и_дети'!AF$3)-9,12),FALSE),'19_Расчет_аналитики'!AF4467*CapacityAge12*'19_Расчет_аналитики'!$F$4259,0),0)</f>
        <v/>
      </c>
      <c r="AG4579">
        <f>IF('01_Вводные'!$B$234="Да",IF(IF('01_Вводные'!$B$296="Новый сезон",12-1&gt;MOD(MONTH('06_Сеть_и_дети'!AG$3)-9,12),FALSE),'19_Расчет_аналитики'!AG4467*CapacityAge12*'19_Расчет_аналитики'!$F$4259,0),0)</f>
        <v/>
      </c>
      <c r="AH4579">
        <f>IF('01_Вводные'!$B$234="Да",IF(IF('01_Вводные'!$B$296="Новый сезон",12-1&gt;MOD(MONTH('06_Сеть_и_дети'!AH$3)-9,12),FALSE),'19_Расчет_аналитики'!AH4467*CapacityAge12*'19_Расчет_аналитики'!$F$4259,0),0)</f>
        <v/>
      </c>
      <c r="AI4579">
        <f>IF('01_Вводные'!$B$234="Да",IF(IF('01_Вводные'!$B$296="Новый сезон",12-1&gt;MOD(MONTH('06_Сеть_и_дети'!AI$3)-9,12),FALSE),'19_Расчет_аналитики'!AI4467*CapacityAge12*'19_Расчет_аналитики'!$F$4259,0),0)</f>
        <v/>
      </c>
      <c r="AJ4579">
        <f>IF('01_Вводные'!$B$234="Да",IF(IF('01_Вводные'!$B$296="Новый сезон",12-1&gt;MOD(MONTH('06_Сеть_и_дети'!AJ$3)-9,12),FALSE),'19_Расчет_аналитики'!AJ4467*CapacityAge12*'19_Расчет_аналитики'!$F$4259,0),0)</f>
        <v/>
      </c>
      <c r="AK4579">
        <f>IF('01_Вводные'!$B$234="Да",IF(IF('01_Вводные'!$B$296="Новый сезон",12-1&gt;MOD(MONTH('06_Сеть_и_дети'!AK$3)-9,12),FALSE),'19_Расчет_аналитики'!AK4467*CapacityAge12*'19_Расчет_аналитики'!$F$4259,0),0)</f>
        <v/>
      </c>
      <c r="AL4579">
        <f>IF('01_Вводные'!$B$234="Да",IF(IF('01_Вводные'!$B$296="Новый сезон",12-1&gt;MOD(MONTH('06_Сеть_и_дети'!AL$3)-9,12),FALSE),'19_Расчет_аналитики'!AL4467*CapacityAge12*'19_Расчет_аналитики'!$F$4259,0),0)</f>
        <v/>
      </c>
      <c r="AM4579">
        <f>IF('01_Вводные'!$B$234="Да",IF(IF('01_Вводные'!$B$296="Новый сезон",12-1&gt;MOD(MONTH('06_Сеть_и_дети'!AM$3)-9,12),FALSE),'19_Расчет_аналитики'!AM4467*CapacityAge12*'19_Расчет_аналитики'!$F$4259,0),0)</f>
        <v/>
      </c>
      <c r="AN4579">
        <f>IF('01_Вводные'!$B$234="Да",IF(IF('01_Вводные'!$B$296="Новый сезон",12-1&gt;MOD(MONTH('06_Сеть_и_дети'!AN$3)-9,12),FALSE),'19_Расчет_аналитики'!AN4467*CapacityAge12*'19_Расчет_аналитики'!$F$4259,0),0)</f>
        <v/>
      </c>
      <c r="AO4579">
        <f>IF('01_Вводные'!$B$234="Да",IF(IF('01_Вводные'!$B$296="Новый сезон",12-1&gt;MOD(MONTH('06_Сеть_и_дети'!AO$3)-9,12),FALSE),'19_Расчет_аналитики'!AO4467*CapacityAge12*'19_Расчет_аналитики'!$F$4259,0),0)</f>
        <v/>
      </c>
      <c r="AP4579">
        <f>IF('01_Вводные'!$B$234="Да",IF(IF('01_Вводные'!$B$296="Новый сезон",12-1&gt;MOD(MONTH('06_Сеть_и_дети'!AP$3)-9,12),FALSE),'19_Расчет_аналитики'!AP4467*CapacityAge12*'19_Расчет_аналитики'!$F$4259,0),0)</f>
        <v/>
      </c>
      <c r="AQ4579">
        <f>IF('01_Вводные'!$B$234="Да",IF(IF('01_Вводные'!$B$296="Новый сезон",12-1&gt;MOD(MONTH('06_Сеть_и_дети'!AQ$3)-9,12),FALSE),'19_Расчет_аналитики'!AQ4467*CapacityAge12*'19_Расчет_аналитики'!$F$4259,0),0)</f>
        <v/>
      </c>
      <c r="AR4579">
        <f>IF('01_Вводные'!$B$234="Да",IF(IF('01_Вводные'!$B$296="Новый сезон",12-1&gt;MOD(MONTH('06_Сеть_и_дети'!AR$3)-9,12),FALSE),'19_Расчет_аналитики'!AR4467*CapacityAge12*'19_Расчет_аналитики'!$F$4259,0),0)</f>
        <v/>
      </c>
      <c r="AS4579">
        <f>IF('01_Вводные'!$B$234="Да",IF(IF('01_Вводные'!$B$296="Новый сезон",12-1&gt;MOD(MONTH('06_Сеть_и_дети'!AS$3)-9,12),FALSE),'19_Расчет_аналитики'!AS4467*CapacityAge12*'19_Расчет_аналитики'!$F$4259,0),0)</f>
        <v/>
      </c>
      <c r="AT4579">
        <f>IF('01_Вводные'!$B$234="Да",IF(IF('01_Вводные'!$B$296="Новый сезон",12-1&gt;MOD(MONTH('06_Сеть_и_дети'!AT$3)-9,12),FALSE),'19_Расчет_аналитики'!AT4467*CapacityAge12*'19_Расчет_аналитики'!$F$4259,0),0)</f>
        <v/>
      </c>
      <c r="AU4579">
        <f>IF('01_Вводные'!$B$234="Да",IF(IF('01_Вводные'!$B$296="Новый сезон",12-1&gt;MOD(MONTH('06_Сеть_и_дети'!AU$3)-9,12),FALSE),'19_Расчет_аналитики'!AU4467*CapacityAge12*'19_Расчет_аналитики'!$F$4259,0),0)</f>
        <v/>
      </c>
      <c r="AV4579">
        <f>IF('01_Вводные'!$B$234="Да",IF(IF('01_Вводные'!$B$296="Новый сезон",12-1&gt;MOD(MONTH('06_Сеть_и_дети'!AV$3)-9,12),FALSE),'19_Расчет_аналитики'!AV4467*CapacityAge12*'19_Расчет_аналитики'!$F$4259,0),0)</f>
        <v/>
      </c>
      <c r="AW4579">
        <f>IF('01_Вводные'!$B$234="Да",IF(IF('01_Вводные'!$B$296="Новый сезон",12-1&gt;MOD(MONTH('06_Сеть_и_дети'!AW$3)-9,12),FALSE),'19_Расчет_аналитики'!AW4467*CapacityAge12*'19_Расчет_аналитики'!$F$4259,0),0)</f>
        <v/>
      </c>
      <c r="AX4579">
        <f>IF('01_Вводные'!$B$234="Да",IF(IF('01_Вводные'!$B$296="Новый сезон",12-1&gt;MOD(MONTH('06_Сеть_и_дети'!AX$3)-9,12),FALSE),'19_Расчет_аналитики'!AX4467*CapacityAge12*'19_Расчет_аналитики'!$F$4259,0),0)</f>
        <v/>
      </c>
      <c r="AY4579">
        <f>IF('01_Вводные'!$B$234="Да",IF(IF('01_Вводные'!$B$296="Новый сезон",12-1&gt;MOD(MONTH('06_Сеть_и_дети'!AY$3)-9,12),FALSE),'19_Расчет_аналитики'!AY4467*CapacityAge12*'19_Расчет_аналитики'!$F$4259,0),0)</f>
        <v/>
      </c>
      <c r="AZ4579">
        <f>IF('01_Вводные'!$B$234="Да",IF(IF('01_Вводные'!$B$296="Новый сезон",12-1&gt;MOD(MONTH('06_Сеть_и_дети'!AZ$3)-9,12),FALSE),'19_Расчет_аналитики'!AZ4467*CapacityAge12*'19_Расчет_аналитики'!$F$4259,0),0)</f>
        <v/>
      </c>
      <c r="BA4579">
        <f>IF('01_Вводные'!$B$234="Да",IF(IF('01_Вводные'!$B$296="Новый сезон",12-1&gt;MOD(MONTH('06_Сеть_и_дети'!BA$3)-9,12),FALSE),'19_Расчет_аналитики'!BA4467*CapacityAge12*'19_Расчет_аналитики'!$F$4259,0),0)</f>
        <v/>
      </c>
      <c r="BB4579">
        <f>IF('01_Вводные'!$B$234="Да",IF(IF('01_Вводные'!$B$296="Новый сезон",12-1&gt;MOD(MONTH('06_Сеть_и_дети'!BB$3)-9,12),FALSE),'19_Расчет_аналитики'!BB4467*CapacityAge12*'19_Расчет_аналитики'!$F$4259,0),0)</f>
        <v/>
      </c>
      <c r="BC4579">
        <f>IF('01_Вводные'!$B$234="Да",IF(IF('01_Вводные'!$B$296="Новый сезон",12-1&gt;MOD(MONTH('06_Сеть_и_дети'!BC$3)-9,12),FALSE),'19_Расчет_аналитики'!BC4467*CapacityAge12*'19_Расчет_аналитики'!$F$4259,0),0)</f>
        <v/>
      </c>
      <c r="BD4579">
        <f>IF('01_Вводные'!$B$234="Да",IF(IF('01_Вводные'!$B$296="Новый сезон",12-1&gt;MOD(MONTH('06_Сеть_и_дети'!BD$3)-9,12),FALSE),'19_Расчет_аналитики'!BD4467*CapacityAge12*'19_Расчет_аналитики'!$F$4259,0),0)</f>
        <v/>
      </c>
      <c r="BE4579">
        <f>IF('01_Вводные'!$B$234="Да",IF(IF('01_Вводные'!$B$296="Новый сезон",12-1&gt;MOD(MONTH('06_Сеть_и_дети'!BE$3)-9,12),FALSE),'19_Расчет_аналитики'!BE4467*CapacityAge12*'19_Расчет_аналитики'!$F$4259,0),0)</f>
        <v/>
      </c>
      <c r="BF4579">
        <f>IF('01_Вводные'!$B$234="Да",IF(IF('01_Вводные'!$B$296="Новый сезон",12-1&gt;MOD(MONTH('06_Сеть_и_дети'!BF$3)-9,12),FALSE),'19_Расчет_аналитики'!BF4467*CapacityAge12*'19_Расчет_аналитики'!$F$4259,0),0)</f>
        <v/>
      </c>
      <c r="BG4579">
        <f>IF('01_Вводные'!$B$234="Да",IF(IF('01_Вводные'!$B$296="Новый сезон",12-1&gt;MOD(MONTH('06_Сеть_и_дети'!BG$3)-9,12),FALSE),'19_Расчет_аналитики'!BG4467*CapacityAge12*'19_Расчет_аналитики'!$F$4259,0),0)</f>
        <v/>
      </c>
      <c r="BH4579">
        <f>IF('01_Вводные'!$B$234="Да",IF(IF('01_Вводные'!$B$296="Новый сезон",12-1&gt;MOD(MONTH('06_Сеть_и_дети'!BH$3)-9,12),FALSE),'19_Расчет_аналитики'!BH4467*CapacityAge12*'19_Расчет_аналитики'!$F$4259,0),0)</f>
        <v/>
      </c>
      <c r="BI4579">
        <f>IF('01_Вводные'!$B$234="Да",IF(IF('01_Вводные'!$B$296="Новый сезон",12-1&gt;MOD(MONTH('06_Сеть_и_дети'!BI$3)-9,12),FALSE),'19_Расчет_аналитики'!BI4467*CapacityAge12*'19_Расчет_аналитики'!$F$4259,0),0)</f>
        <v/>
      </c>
      <c r="BJ4579">
        <f>IF('01_Вводные'!$B$234="Да",IF(IF('01_Вводные'!$B$296="Новый сезон",12-1&gt;MOD(MONTH('06_Сеть_и_дети'!BJ$3)-9,12),FALSE),'19_Расчет_аналитики'!BJ4467*CapacityAge12*'19_Расчет_аналитики'!$F$4259,0),0)</f>
        <v/>
      </c>
      <c r="BK4579">
        <f>IF('01_Вводные'!$B$234="Да",IF(IF('01_Вводные'!$B$296="Новый сезон",12-1&gt;MOD(MONTH('06_Сеть_и_дети'!BK$3)-9,12),FALSE),'19_Расчет_аналитики'!BK4467*CapacityAge12*'19_Расчет_аналитики'!$F$4259,0),0)</f>
        <v/>
      </c>
      <c r="BL4579">
        <f>IF('01_Вводные'!$B$234="Да",IF(IF('01_Вводные'!$B$296="Новый сезон",12-1&gt;MOD(MONTH('06_Сеть_и_дети'!BL$3)-9,12),FALSE),'19_Расчет_аналитики'!BL4467*CapacityAge12*'19_Расчет_аналитики'!$F$4259,0),0)</f>
        <v/>
      </c>
      <c r="BM4579">
        <f>IF('01_Вводные'!$B$234="Да",IF(IF('01_Вводные'!$B$296="Новый сезон",12-1&gt;MOD(MONTH('06_Сеть_и_дети'!BM$3)-9,12),FALSE),'19_Расчет_аналитики'!BM4467*CapacityAge12*'19_Расчет_аналитики'!$F$4259,0),0)</f>
        <v/>
      </c>
      <c r="BN4579">
        <f>IF('01_Вводные'!$B$234="Да",IF(IF('01_Вводные'!$B$296="Новый сезон",12-1&gt;MOD(MONTH('06_Сеть_и_дети'!BN$3)-9,12),FALSE),'19_Расчет_аналитики'!BN4467*CapacityAge12*'19_Расчет_аналитики'!$F$4259,0),0)</f>
        <v/>
      </c>
      <c r="BO4579">
        <f>IF('01_Вводные'!$B$234="Да",IF(IF('01_Вводные'!$B$296="Новый сезон",12-1&gt;MOD(MONTH('06_Сеть_и_дети'!BO$3)-9,12),FALSE),'19_Расчет_аналитики'!BO4467*CapacityAge12*'19_Расчет_аналитики'!$F$4259,0),0)</f>
        <v/>
      </c>
    </row>
    <row r="4580">
      <c r="B4580">
        <f>IF('01_Вводные'!$B$234="Да",IF(IF('01_Вводные'!$B$296="Новый сезон",TRUE,TRUE),'06_Сеть_и_дети'!B65*CapacityAge13*'19_Расчет_аналитики'!$F$4259,0),0)</f>
        <v/>
      </c>
      <c r="C4580">
        <f>IF('01_Вводные'!$B$234="Да",IF(IF('01_Вводные'!$B$296="Новый сезон",TRUE,TRUE),'06_Сеть_и_дети'!C65*CapacityAge13*'19_Расчет_аналитики'!$F$4259,0),0)</f>
        <v/>
      </c>
      <c r="D4580">
        <f>IF('01_Вводные'!$B$234="Да",IF(IF('01_Вводные'!$B$296="Новый сезон",TRUE,TRUE),'06_Сеть_и_дети'!D65*CapacityAge13*'19_Расчет_аналитики'!$F$4259,0),0)</f>
        <v/>
      </c>
      <c r="E4580">
        <f>IF('01_Вводные'!$B$234="Да",IF(IF('01_Вводные'!$B$296="Новый сезон",TRUE,TRUE),'06_Сеть_и_дети'!E65*CapacityAge13*'19_Расчет_аналитики'!$F$4259,0),0)</f>
        <v/>
      </c>
      <c r="F4580">
        <f>IF('01_Вводные'!$B$234="Да",IF(IF('01_Вводные'!$B$296="Новый сезон",TRUE,TRUE),'06_Сеть_и_дети'!F65*CapacityAge13*'19_Расчет_аналитики'!$F$4259,0),0)</f>
        <v/>
      </c>
      <c r="G4580">
        <f>IF('01_Вводные'!$B$234="Да",IF(IF('01_Вводные'!$B$296="Новый сезон",TRUE,TRUE),'06_Сеть_и_дети'!G65*CapacityAge13*'19_Расчет_аналитики'!$F$4259,0),0)</f>
        <v/>
      </c>
      <c r="H4580">
        <f>IF('01_Вводные'!$B$234="Да",IF(IF('01_Вводные'!$B$296="Новый сезон",TRUE,TRUE),'06_Сеть_и_дети'!H65*CapacityAge13*'19_Расчет_аналитики'!$F$4259,0),0)</f>
        <v/>
      </c>
      <c r="I4580">
        <f>IF('01_Вводные'!$B$234="Да",IF(IF('01_Вводные'!$B$296="Новый сезон",TRUE,TRUE),'06_Сеть_и_дети'!I65*CapacityAge13*'19_Расчет_аналитики'!$F$4259,0),0)</f>
        <v/>
      </c>
      <c r="J4580">
        <f>IF('01_Вводные'!$B$234="Да",IF(IF('01_Вводные'!$B$296="Новый сезон",TRUE,TRUE),'06_Сеть_и_дети'!J65*CapacityAge13*'19_Расчет_аналитики'!$F$4259,0),0)</f>
        <v/>
      </c>
      <c r="K4580">
        <f>IF('01_Вводные'!$B$234="Да",IF(IF('01_Вводные'!$B$296="Новый сезон",TRUE,TRUE),'06_Сеть_и_дети'!K65*CapacityAge13*'19_Расчет_аналитики'!$F$4259,0),0)</f>
        <v/>
      </c>
      <c r="L4580">
        <f>IF('01_Вводные'!$B$234="Да",IF(IF('01_Вводные'!$B$296="Новый сезон",TRUE,TRUE),'06_Сеть_и_дети'!L65*CapacityAge13*'19_Расчет_аналитики'!$F$4259,0),0)</f>
        <v/>
      </c>
      <c r="M4580">
        <f>IF('01_Вводные'!$B$234="Да",IF(IF('01_Вводные'!$B$296="Новый сезон",TRUE,TRUE),'06_Сеть_и_дети'!M65*CapacityAge13*'19_Расчет_аналитики'!$F$4259,0),0)</f>
        <v/>
      </c>
      <c r="N4580">
        <f>IF('01_Вводные'!$B$234="Да",IF(IF('01_Вводные'!$B$296="Новый сезон",TRUE,TRUE),'19_Расчет_аналитики'!N4468*CapacityAge13*'19_Расчет_аналитики'!$F$4259,0),0)</f>
        <v/>
      </c>
      <c r="O4580">
        <f>IF('01_Вводные'!$B$234="Да",IF(IF('01_Вводные'!$B$296="Новый сезон",TRUE,TRUE),'19_Расчет_аналитики'!O4468*CapacityAge13*'19_Расчет_аналитики'!$F$4259,0),0)</f>
        <v/>
      </c>
      <c r="P4580">
        <f>IF('01_Вводные'!$B$234="Да",IF(IF('01_Вводные'!$B$296="Новый сезон",TRUE,TRUE),'19_Расчет_аналитики'!P4468*CapacityAge13*'19_Расчет_аналитики'!$F$4259,0),0)</f>
        <v/>
      </c>
      <c r="Q4580">
        <f>IF('01_Вводные'!$B$234="Да",IF(IF('01_Вводные'!$B$296="Новый сезон",TRUE,TRUE),'19_Расчет_аналитики'!Q4468*CapacityAge13*'19_Расчет_аналитики'!$F$4259,0),0)</f>
        <v/>
      </c>
      <c r="R4580">
        <f>IF('01_Вводные'!$B$234="Да",IF(IF('01_Вводные'!$B$296="Новый сезон",TRUE,TRUE),'19_Расчет_аналитики'!R4468*CapacityAge13*'19_Расчет_аналитики'!$F$4259,0),0)</f>
        <v/>
      </c>
      <c r="S4580">
        <f>IF('01_Вводные'!$B$234="Да",IF(IF('01_Вводные'!$B$296="Новый сезон",TRUE,TRUE),'19_Расчет_аналитики'!S4468*CapacityAge13*'19_Расчет_аналитики'!$F$4259,0),0)</f>
        <v/>
      </c>
      <c r="T4580">
        <f>IF('01_Вводные'!$B$234="Да",IF(IF('01_Вводные'!$B$296="Новый сезон",TRUE,TRUE),'19_Расчет_аналитики'!T4468*CapacityAge13*'19_Расчет_аналитики'!$F$4259,0),0)</f>
        <v/>
      </c>
      <c r="U4580">
        <f>IF('01_Вводные'!$B$234="Да",IF(IF('01_Вводные'!$B$296="Новый сезон",TRUE,TRUE),'19_Расчет_аналитики'!U4468*CapacityAge13*'19_Расчет_аналитики'!$F$4259,0),0)</f>
        <v/>
      </c>
      <c r="V4580">
        <f>IF('01_Вводные'!$B$234="Да",IF(IF('01_Вводные'!$B$296="Новый сезон",TRUE,TRUE),'19_Расчет_аналитики'!V4468*CapacityAge13*'19_Расчет_аналитики'!$F$4259,0),0)</f>
        <v/>
      </c>
      <c r="W4580">
        <f>IF('01_Вводные'!$B$234="Да",IF(IF('01_Вводные'!$B$296="Новый сезон",TRUE,TRUE),'19_Расчет_аналитики'!W4468*CapacityAge13*'19_Расчет_аналитики'!$F$4259,0),0)</f>
        <v/>
      </c>
      <c r="X4580">
        <f>IF('01_Вводные'!$B$234="Да",IF(IF('01_Вводные'!$B$296="Новый сезон",TRUE,TRUE),'19_Расчет_аналитики'!X4468*CapacityAge13*'19_Расчет_аналитики'!$F$4259,0),0)</f>
        <v/>
      </c>
      <c r="Y4580">
        <f>IF('01_Вводные'!$B$234="Да",IF(IF('01_Вводные'!$B$296="Новый сезон",TRUE,TRUE),'19_Расчет_аналитики'!Y4468*CapacityAge13*'19_Расчет_аналитики'!$F$4259,0),0)</f>
        <v/>
      </c>
      <c r="Z4580">
        <f>IF('01_Вводные'!$B$234="Да",IF(IF('01_Вводные'!$B$296="Новый сезон",TRUE,TRUE),'19_Расчет_аналитики'!Z4468*CapacityAge13*'19_Расчет_аналитики'!$F$4259,0),0)</f>
        <v/>
      </c>
      <c r="AA4580">
        <f>IF('01_Вводные'!$B$234="Да",IF(IF('01_Вводные'!$B$296="Новый сезон",TRUE,TRUE),'19_Расчет_аналитики'!AA4468*CapacityAge13*'19_Расчет_аналитики'!$F$4259,0),0)</f>
        <v/>
      </c>
      <c r="AB4580">
        <f>IF('01_Вводные'!$B$234="Да",IF(IF('01_Вводные'!$B$296="Новый сезон",TRUE,TRUE),'19_Расчет_аналитики'!AB4468*CapacityAge13*'19_Расчет_аналитики'!$F$4259,0),0)</f>
        <v/>
      </c>
      <c r="AC4580">
        <f>IF('01_Вводные'!$B$234="Да",IF(IF('01_Вводные'!$B$296="Новый сезон",TRUE,TRUE),'19_Расчет_аналитики'!AC4468*CapacityAge13*'19_Расчет_аналитики'!$F$4259,0),0)</f>
        <v/>
      </c>
      <c r="AD4580">
        <f>IF('01_Вводные'!$B$234="Да",IF(IF('01_Вводные'!$B$296="Новый сезон",TRUE,TRUE),'19_Расчет_аналитики'!AD4468*CapacityAge13*'19_Расчет_аналитики'!$F$4259,0),0)</f>
        <v/>
      </c>
      <c r="AE4580">
        <f>IF('01_Вводные'!$B$234="Да",IF(IF('01_Вводные'!$B$296="Новый сезон",TRUE,TRUE),'19_Расчет_аналитики'!AE4468*CapacityAge13*'19_Расчет_аналитики'!$F$4259,0),0)</f>
        <v/>
      </c>
      <c r="AF4580">
        <f>IF('01_Вводные'!$B$234="Да",IF(IF('01_Вводные'!$B$296="Новый сезон",TRUE,TRUE),'19_Расчет_аналитики'!AF4468*CapacityAge13*'19_Расчет_аналитики'!$F$4259,0),0)</f>
        <v/>
      </c>
      <c r="AG4580">
        <f>IF('01_Вводные'!$B$234="Да",IF(IF('01_Вводные'!$B$296="Новый сезон",TRUE,TRUE),'19_Расчет_аналитики'!AG4468*CapacityAge13*'19_Расчет_аналитики'!$F$4259,0),0)</f>
        <v/>
      </c>
      <c r="AH4580">
        <f>IF('01_Вводные'!$B$234="Да",IF(IF('01_Вводные'!$B$296="Новый сезон",TRUE,TRUE),'19_Расчет_аналитики'!AH4468*CapacityAge13*'19_Расчет_аналитики'!$F$4259,0),0)</f>
        <v/>
      </c>
      <c r="AI4580">
        <f>IF('01_Вводные'!$B$234="Да",IF(IF('01_Вводные'!$B$296="Новый сезон",TRUE,TRUE),'19_Расчет_аналитики'!AI4468*CapacityAge13*'19_Расчет_аналитики'!$F$4259,0),0)</f>
        <v/>
      </c>
      <c r="AJ4580">
        <f>IF('01_Вводные'!$B$234="Да",IF(IF('01_Вводные'!$B$296="Новый сезон",TRUE,TRUE),'19_Расчет_аналитики'!AJ4468*CapacityAge13*'19_Расчет_аналитики'!$F$4259,0),0)</f>
        <v/>
      </c>
      <c r="AK4580">
        <f>IF('01_Вводные'!$B$234="Да",IF(IF('01_Вводные'!$B$296="Новый сезон",TRUE,TRUE),'19_Расчет_аналитики'!AK4468*CapacityAge13*'19_Расчет_аналитики'!$F$4259,0),0)</f>
        <v/>
      </c>
      <c r="AL4580">
        <f>IF('01_Вводные'!$B$234="Да",IF(IF('01_Вводные'!$B$296="Новый сезон",TRUE,TRUE),'19_Расчет_аналитики'!AL4468*CapacityAge13*'19_Расчет_аналитики'!$F$4259,0),0)</f>
        <v/>
      </c>
      <c r="AM4580">
        <f>IF('01_Вводные'!$B$234="Да",IF(IF('01_Вводные'!$B$296="Новый сезон",TRUE,TRUE),'19_Расчет_аналитики'!AM4468*CapacityAge13*'19_Расчет_аналитики'!$F$4259,0),0)</f>
        <v/>
      </c>
      <c r="AN4580">
        <f>IF('01_Вводные'!$B$234="Да",IF(IF('01_Вводные'!$B$296="Новый сезон",TRUE,TRUE),'19_Расчет_аналитики'!AN4468*CapacityAge13*'19_Расчет_аналитики'!$F$4259,0),0)</f>
        <v/>
      </c>
      <c r="AO4580">
        <f>IF('01_Вводные'!$B$234="Да",IF(IF('01_Вводные'!$B$296="Новый сезон",TRUE,TRUE),'19_Расчет_аналитики'!AO4468*CapacityAge13*'19_Расчет_аналитики'!$F$4259,0),0)</f>
        <v/>
      </c>
      <c r="AP4580">
        <f>IF('01_Вводные'!$B$234="Да",IF(IF('01_Вводные'!$B$296="Новый сезон",TRUE,TRUE),'19_Расчет_аналитики'!AP4468*CapacityAge13*'19_Расчет_аналитики'!$F$4259,0),0)</f>
        <v/>
      </c>
      <c r="AQ4580">
        <f>IF('01_Вводные'!$B$234="Да",IF(IF('01_Вводные'!$B$296="Новый сезон",TRUE,TRUE),'19_Расчет_аналитики'!AQ4468*CapacityAge13*'19_Расчет_аналитики'!$F$4259,0),0)</f>
        <v/>
      </c>
      <c r="AR4580">
        <f>IF('01_Вводные'!$B$234="Да",IF(IF('01_Вводные'!$B$296="Новый сезон",TRUE,TRUE),'19_Расчет_аналитики'!AR4468*CapacityAge13*'19_Расчет_аналитики'!$F$4259,0),0)</f>
        <v/>
      </c>
      <c r="AS4580">
        <f>IF('01_Вводные'!$B$234="Да",IF(IF('01_Вводные'!$B$296="Новый сезон",TRUE,TRUE),'19_Расчет_аналитики'!AS4468*CapacityAge13*'19_Расчет_аналитики'!$F$4259,0),0)</f>
        <v/>
      </c>
      <c r="AT4580">
        <f>IF('01_Вводные'!$B$234="Да",IF(IF('01_Вводные'!$B$296="Новый сезон",TRUE,TRUE),'19_Расчет_аналитики'!AT4468*CapacityAge13*'19_Расчет_аналитики'!$F$4259,0),0)</f>
        <v/>
      </c>
      <c r="AU4580">
        <f>IF('01_Вводные'!$B$234="Да",IF(IF('01_Вводные'!$B$296="Новый сезон",TRUE,TRUE),'19_Расчет_аналитики'!AU4468*CapacityAge13*'19_Расчет_аналитики'!$F$4259,0),0)</f>
        <v/>
      </c>
      <c r="AV4580">
        <f>IF('01_Вводные'!$B$234="Да",IF(IF('01_Вводные'!$B$296="Новый сезон",TRUE,TRUE),'19_Расчет_аналитики'!AV4468*CapacityAge13*'19_Расчет_аналитики'!$F$4259,0),0)</f>
        <v/>
      </c>
      <c r="AW4580">
        <f>IF('01_Вводные'!$B$234="Да",IF(IF('01_Вводные'!$B$296="Новый сезон",TRUE,TRUE),'19_Расчет_аналитики'!AW4468*CapacityAge13*'19_Расчет_аналитики'!$F$4259,0),0)</f>
        <v/>
      </c>
      <c r="AX4580">
        <f>IF('01_Вводные'!$B$234="Да",IF(IF('01_Вводные'!$B$296="Новый сезон",TRUE,TRUE),'19_Расчет_аналитики'!AX4468*CapacityAge13*'19_Расчет_аналитики'!$F$4259,0),0)</f>
        <v/>
      </c>
      <c r="AY4580">
        <f>IF('01_Вводные'!$B$234="Да",IF(IF('01_Вводные'!$B$296="Новый сезон",TRUE,TRUE),'19_Расчет_аналитики'!AY4468*CapacityAge13*'19_Расчет_аналитики'!$F$4259,0),0)</f>
        <v/>
      </c>
      <c r="AZ4580">
        <f>IF('01_Вводные'!$B$234="Да",IF(IF('01_Вводные'!$B$296="Новый сезон",TRUE,TRUE),'19_Расчет_аналитики'!AZ4468*CapacityAge13*'19_Расчет_аналитики'!$F$4259,0),0)</f>
        <v/>
      </c>
      <c r="BA4580">
        <f>IF('01_Вводные'!$B$234="Да",IF(IF('01_Вводные'!$B$296="Новый сезон",TRUE,TRUE),'19_Расчет_аналитики'!BA4468*CapacityAge13*'19_Расчет_аналитики'!$F$4259,0),0)</f>
        <v/>
      </c>
      <c r="BB4580">
        <f>IF('01_Вводные'!$B$234="Да",IF(IF('01_Вводные'!$B$296="Новый сезон",TRUE,TRUE),'19_Расчет_аналитики'!BB4468*CapacityAge13*'19_Расчет_аналитики'!$F$4259,0),0)</f>
        <v/>
      </c>
      <c r="BC4580">
        <f>IF('01_Вводные'!$B$234="Да",IF(IF('01_Вводные'!$B$296="Новый сезон",TRUE,TRUE),'19_Расчет_аналитики'!BC4468*CapacityAge13*'19_Расчет_аналитики'!$F$4259,0),0)</f>
        <v/>
      </c>
      <c r="BD4580">
        <f>IF('01_Вводные'!$B$234="Да",IF(IF('01_Вводные'!$B$296="Новый сезон",TRUE,TRUE),'19_Расчет_аналитики'!BD4468*CapacityAge13*'19_Расчет_аналитики'!$F$4259,0),0)</f>
        <v/>
      </c>
      <c r="BE4580">
        <f>IF('01_Вводные'!$B$234="Да",IF(IF('01_Вводные'!$B$296="Новый сезон",TRUE,TRUE),'19_Расчет_аналитики'!BE4468*CapacityAge13*'19_Расчет_аналитики'!$F$4259,0),0)</f>
        <v/>
      </c>
      <c r="BF4580">
        <f>IF('01_Вводные'!$B$234="Да",IF(IF('01_Вводные'!$B$296="Новый сезон",TRUE,TRUE),'19_Расчет_аналитики'!BF4468*CapacityAge13*'19_Расчет_аналитики'!$F$4259,0),0)</f>
        <v/>
      </c>
      <c r="BG4580">
        <f>IF('01_Вводные'!$B$234="Да",IF(IF('01_Вводные'!$B$296="Новый сезон",TRUE,TRUE),'19_Расчет_аналитики'!BG4468*CapacityAge13*'19_Расчет_аналитики'!$F$4259,0),0)</f>
        <v/>
      </c>
      <c r="BH4580">
        <f>IF('01_Вводные'!$B$234="Да",IF(IF('01_Вводные'!$B$296="Новый сезон",TRUE,TRUE),'19_Расчет_аналитики'!BH4468*CapacityAge13*'19_Расчет_аналитики'!$F$4259,0),0)</f>
        <v/>
      </c>
      <c r="BI4580">
        <f>IF('01_Вводные'!$B$234="Да",IF(IF('01_Вводные'!$B$296="Новый сезон",TRUE,TRUE),'19_Расчет_аналитики'!BI4468*CapacityAge13*'19_Расчет_аналитики'!$F$4259,0),0)</f>
        <v/>
      </c>
      <c r="BJ4580">
        <f>IF('01_Вводные'!$B$234="Да",IF(IF('01_Вводные'!$B$296="Новый сезон",TRUE,TRUE),'19_Расчет_аналитики'!BJ4468*CapacityAge13*'19_Расчет_аналитики'!$F$4259,0),0)</f>
        <v/>
      </c>
      <c r="BK4580">
        <f>IF('01_Вводные'!$B$234="Да",IF(IF('01_Вводные'!$B$296="Новый сезон",TRUE,TRUE),'19_Расчет_аналитики'!BK4468*CapacityAge13*'19_Расчет_аналитики'!$F$4259,0),0)</f>
        <v/>
      </c>
      <c r="BL4580">
        <f>IF('01_Вводные'!$B$234="Да",IF(IF('01_Вводные'!$B$296="Новый сезон",TRUE,TRUE),'19_Расчет_аналитики'!BL4468*CapacityAge13*'19_Расчет_аналитики'!$F$4259,0),0)</f>
        <v/>
      </c>
      <c r="BM4580">
        <f>IF('01_Вводные'!$B$234="Да",IF(IF('01_Вводные'!$B$296="Новый сезон",TRUE,TRUE),'19_Расчет_аналитики'!BM4468*CapacityAge13*'19_Расчет_аналитики'!$F$4259,0),0)</f>
        <v/>
      </c>
      <c r="BN4580">
        <f>IF('01_Вводные'!$B$234="Да",IF(IF('01_Вводные'!$B$296="Новый сезон",TRUE,TRUE),'19_Расчет_аналитики'!BN4468*CapacityAge13*'19_Расчет_аналитики'!$F$4259,0),0)</f>
        <v/>
      </c>
      <c r="BO4580">
        <f>IF('01_Вводные'!$B$234="Да",IF(IF('01_Вводные'!$B$296="Новый сезон",TRUE,TRUE),'19_Расчет_аналитики'!BO4468*CapacityAge13*'19_Расчет_аналитики'!$F$4259,0),0)</f>
        <v/>
      </c>
    </row>
    <row r="4581">
      <c r="B4581">
        <f>IF('01_Вводные'!$B$234="Да",IF(IF('01_Вводные'!$B$296="Новый сезон",TRUE,TRUE),'06_Сеть_и_дети'!B66*CapacityAge14*'19_Расчет_аналитики'!$F$4259,0),0)</f>
        <v/>
      </c>
      <c r="C4581">
        <f>IF('01_Вводные'!$B$234="Да",IF(IF('01_Вводные'!$B$296="Новый сезон",TRUE,TRUE),'06_Сеть_и_дети'!C66*CapacityAge14*'19_Расчет_аналитики'!$F$4259,0),0)</f>
        <v/>
      </c>
      <c r="D4581">
        <f>IF('01_Вводные'!$B$234="Да",IF(IF('01_Вводные'!$B$296="Новый сезон",TRUE,TRUE),'06_Сеть_и_дети'!D66*CapacityAge14*'19_Расчет_аналитики'!$F$4259,0),0)</f>
        <v/>
      </c>
      <c r="E4581">
        <f>IF('01_Вводные'!$B$234="Да",IF(IF('01_Вводные'!$B$296="Новый сезон",TRUE,TRUE),'06_Сеть_и_дети'!E66*CapacityAge14*'19_Расчет_аналитики'!$F$4259,0),0)</f>
        <v/>
      </c>
      <c r="F4581">
        <f>IF('01_Вводные'!$B$234="Да",IF(IF('01_Вводные'!$B$296="Новый сезон",TRUE,TRUE),'06_Сеть_и_дети'!F66*CapacityAge14*'19_Расчет_аналитики'!$F$4259,0),0)</f>
        <v/>
      </c>
      <c r="G4581">
        <f>IF('01_Вводные'!$B$234="Да",IF(IF('01_Вводные'!$B$296="Новый сезон",TRUE,TRUE),'06_Сеть_и_дети'!G66*CapacityAge14*'19_Расчет_аналитики'!$F$4259,0),0)</f>
        <v/>
      </c>
      <c r="H4581">
        <f>IF('01_Вводные'!$B$234="Да",IF(IF('01_Вводные'!$B$296="Новый сезон",TRUE,TRUE),'06_Сеть_и_дети'!H66*CapacityAge14*'19_Расчет_аналитики'!$F$4259,0),0)</f>
        <v/>
      </c>
      <c r="I4581">
        <f>IF('01_Вводные'!$B$234="Да",IF(IF('01_Вводные'!$B$296="Новый сезон",TRUE,TRUE),'06_Сеть_и_дети'!I66*CapacityAge14*'19_Расчет_аналитики'!$F$4259,0),0)</f>
        <v/>
      </c>
      <c r="J4581">
        <f>IF('01_Вводные'!$B$234="Да",IF(IF('01_Вводные'!$B$296="Новый сезон",TRUE,TRUE),'06_Сеть_и_дети'!J66*CapacityAge14*'19_Расчет_аналитики'!$F$4259,0),0)</f>
        <v/>
      </c>
      <c r="K4581">
        <f>IF('01_Вводные'!$B$234="Да",IF(IF('01_Вводные'!$B$296="Новый сезон",TRUE,TRUE),'06_Сеть_и_дети'!K66*CapacityAge14*'19_Расчет_аналитики'!$F$4259,0),0)</f>
        <v/>
      </c>
      <c r="L4581">
        <f>IF('01_Вводные'!$B$234="Да",IF(IF('01_Вводные'!$B$296="Новый сезон",TRUE,TRUE),'06_Сеть_и_дети'!L66*CapacityAge14*'19_Расчет_аналитики'!$F$4259,0),0)</f>
        <v/>
      </c>
      <c r="M4581">
        <f>IF('01_Вводные'!$B$234="Да",IF(IF('01_Вводные'!$B$296="Новый сезон",TRUE,TRUE),'06_Сеть_и_дети'!M66*CapacityAge14*'19_Расчет_аналитики'!$F$4259,0),0)</f>
        <v/>
      </c>
      <c r="N4581">
        <f>IF('01_Вводные'!$B$234="Да",IF(IF('01_Вводные'!$B$296="Новый сезон",TRUE,TRUE),'06_Сеть_и_дети'!N66*CapacityAge14*'19_Расчет_аналитики'!$F$4259,0),0)</f>
        <v/>
      </c>
      <c r="O4581">
        <f>IF('01_Вводные'!$B$234="Да",IF(IF('01_Вводные'!$B$296="Новый сезон",TRUE,TRUE),'19_Расчет_аналитики'!O4469*CapacityAge14*'19_Расчет_аналитики'!$F$4259,0),0)</f>
        <v/>
      </c>
      <c r="P4581">
        <f>IF('01_Вводные'!$B$234="Да",IF(IF('01_Вводные'!$B$296="Новый сезон",TRUE,TRUE),'19_Расчет_аналитики'!P4469*CapacityAge14*'19_Расчет_аналитики'!$F$4259,0),0)</f>
        <v/>
      </c>
      <c r="Q4581">
        <f>IF('01_Вводные'!$B$234="Да",IF(IF('01_Вводные'!$B$296="Новый сезон",TRUE,TRUE),'19_Расчет_аналитики'!Q4469*CapacityAge14*'19_Расчет_аналитики'!$F$4259,0),0)</f>
        <v/>
      </c>
      <c r="R4581">
        <f>IF('01_Вводные'!$B$234="Да",IF(IF('01_Вводные'!$B$296="Новый сезон",TRUE,TRUE),'19_Расчет_аналитики'!R4469*CapacityAge14*'19_Расчет_аналитики'!$F$4259,0),0)</f>
        <v/>
      </c>
      <c r="S4581">
        <f>IF('01_Вводные'!$B$234="Да",IF(IF('01_Вводные'!$B$296="Новый сезон",TRUE,TRUE),'19_Расчет_аналитики'!S4469*CapacityAge14*'19_Расчет_аналитики'!$F$4259,0),0)</f>
        <v/>
      </c>
      <c r="T4581">
        <f>IF('01_Вводные'!$B$234="Да",IF(IF('01_Вводные'!$B$296="Новый сезон",TRUE,TRUE),'19_Расчет_аналитики'!T4469*CapacityAge14*'19_Расчет_аналитики'!$F$4259,0),0)</f>
        <v/>
      </c>
      <c r="U4581">
        <f>IF('01_Вводные'!$B$234="Да",IF(IF('01_Вводные'!$B$296="Новый сезон",TRUE,TRUE),'19_Расчет_аналитики'!U4469*CapacityAge14*'19_Расчет_аналитики'!$F$4259,0),0)</f>
        <v/>
      </c>
      <c r="V4581">
        <f>IF('01_Вводные'!$B$234="Да",IF(IF('01_Вводные'!$B$296="Новый сезон",TRUE,TRUE),'19_Расчет_аналитики'!V4469*CapacityAge14*'19_Расчет_аналитики'!$F$4259,0),0)</f>
        <v/>
      </c>
      <c r="W4581">
        <f>IF('01_Вводные'!$B$234="Да",IF(IF('01_Вводные'!$B$296="Новый сезон",TRUE,TRUE),'19_Расчет_аналитики'!W4469*CapacityAge14*'19_Расчет_аналитики'!$F$4259,0),0)</f>
        <v/>
      </c>
      <c r="X4581">
        <f>IF('01_Вводные'!$B$234="Да",IF(IF('01_Вводные'!$B$296="Новый сезон",TRUE,TRUE),'19_Расчет_аналитики'!X4469*CapacityAge14*'19_Расчет_аналитики'!$F$4259,0),0)</f>
        <v/>
      </c>
      <c r="Y4581">
        <f>IF('01_Вводные'!$B$234="Да",IF(IF('01_Вводные'!$B$296="Новый сезон",TRUE,TRUE),'19_Расчет_аналитики'!Y4469*CapacityAge14*'19_Расчет_аналитики'!$F$4259,0),0)</f>
        <v/>
      </c>
      <c r="Z4581">
        <f>IF('01_Вводные'!$B$234="Да",IF(IF('01_Вводные'!$B$296="Новый сезон",TRUE,TRUE),'19_Расчет_аналитики'!Z4469*CapacityAge14*'19_Расчет_аналитики'!$F$4259,0),0)</f>
        <v/>
      </c>
      <c r="AA4581">
        <f>IF('01_Вводные'!$B$234="Да",IF(IF('01_Вводные'!$B$296="Новый сезон",TRUE,TRUE),'19_Расчет_аналитики'!AA4469*CapacityAge14*'19_Расчет_аналитики'!$F$4259,0),0)</f>
        <v/>
      </c>
      <c r="AB4581">
        <f>IF('01_Вводные'!$B$234="Да",IF(IF('01_Вводные'!$B$296="Новый сезон",TRUE,TRUE),'19_Расчет_аналитики'!AB4469*CapacityAge14*'19_Расчет_аналитики'!$F$4259,0),0)</f>
        <v/>
      </c>
      <c r="AC4581">
        <f>IF('01_Вводные'!$B$234="Да",IF(IF('01_Вводные'!$B$296="Новый сезон",TRUE,TRUE),'19_Расчет_аналитики'!AC4469*CapacityAge14*'19_Расчет_аналитики'!$F$4259,0),0)</f>
        <v/>
      </c>
      <c r="AD4581">
        <f>IF('01_Вводные'!$B$234="Да",IF(IF('01_Вводные'!$B$296="Новый сезон",TRUE,TRUE),'19_Расчет_аналитики'!AD4469*CapacityAge14*'19_Расчет_аналитики'!$F$4259,0),0)</f>
        <v/>
      </c>
      <c r="AE4581">
        <f>IF('01_Вводные'!$B$234="Да",IF(IF('01_Вводные'!$B$296="Новый сезон",TRUE,TRUE),'19_Расчет_аналитики'!AE4469*CapacityAge14*'19_Расчет_аналитики'!$F$4259,0),0)</f>
        <v/>
      </c>
      <c r="AF4581">
        <f>IF('01_Вводные'!$B$234="Да",IF(IF('01_Вводные'!$B$296="Новый сезон",TRUE,TRUE),'19_Расчет_аналитики'!AF4469*CapacityAge14*'19_Расчет_аналитики'!$F$4259,0),0)</f>
        <v/>
      </c>
      <c r="AG4581">
        <f>IF('01_Вводные'!$B$234="Да",IF(IF('01_Вводные'!$B$296="Новый сезон",TRUE,TRUE),'19_Расчет_аналитики'!AG4469*CapacityAge14*'19_Расчет_аналитики'!$F$4259,0),0)</f>
        <v/>
      </c>
      <c r="AH4581">
        <f>IF('01_Вводные'!$B$234="Да",IF(IF('01_Вводные'!$B$296="Новый сезон",TRUE,TRUE),'19_Расчет_аналитики'!AH4469*CapacityAge14*'19_Расчет_аналитики'!$F$4259,0),0)</f>
        <v/>
      </c>
      <c r="AI4581">
        <f>IF('01_Вводные'!$B$234="Да",IF(IF('01_Вводные'!$B$296="Новый сезон",TRUE,TRUE),'19_Расчет_аналитики'!AI4469*CapacityAge14*'19_Расчет_аналитики'!$F$4259,0),0)</f>
        <v/>
      </c>
      <c r="AJ4581">
        <f>IF('01_Вводные'!$B$234="Да",IF(IF('01_Вводные'!$B$296="Новый сезон",TRUE,TRUE),'19_Расчет_аналитики'!AJ4469*CapacityAge14*'19_Расчет_аналитики'!$F$4259,0),0)</f>
        <v/>
      </c>
      <c r="AK4581">
        <f>IF('01_Вводные'!$B$234="Да",IF(IF('01_Вводные'!$B$296="Новый сезон",TRUE,TRUE),'19_Расчет_аналитики'!AK4469*CapacityAge14*'19_Расчет_аналитики'!$F$4259,0),0)</f>
        <v/>
      </c>
      <c r="AL4581">
        <f>IF('01_Вводные'!$B$234="Да",IF(IF('01_Вводные'!$B$296="Новый сезон",TRUE,TRUE),'19_Расчет_аналитики'!AL4469*CapacityAge14*'19_Расчет_аналитики'!$F$4259,0),0)</f>
        <v/>
      </c>
      <c r="AM4581">
        <f>IF('01_Вводные'!$B$234="Да",IF(IF('01_Вводные'!$B$296="Новый сезон",TRUE,TRUE),'19_Расчет_аналитики'!AM4469*CapacityAge14*'19_Расчет_аналитики'!$F$4259,0),0)</f>
        <v/>
      </c>
      <c r="AN4581">
        <f>IF('01_Вводные'!$B$234="Да",IF(IF('01_Вводные'!$B$296="Новый сезон",TRUE,TRUE),'19_Расчет_аналитики'!AN4469*CapacityAge14*'19_Расчет_аналитики'!$F$4259,0),0)</f>
        <v/>
      </c>
      <c r="AO4581">
        <f>IF('01_Вводные'!$B$234="Да",IF(IF('01_Вводные'!$B$296="Новый сезон",TRUE,TRUE),'19_Расчет_аналитики'!AO4469*CapacityAge14*'19_Расчет_аналитики'!$F$4259,0),0)</f>
        <v/>
      </c>
      <c r="AP4581">
        <f>IF('01_Вводные'!$B$234="Да",IF(IF('01_Вводные'!$B$296="Новый сезон",TRUE,TRUE),'19_Расчет_аналитики'!AP4469*CapacityAge14*'19_Расчет_аналитики'!$F$4259,0),0)</f>
        <v/>
      </c>
      <c r="AQ4581">
        <f>IF('01_Вводные'!$B$234="Да",IF(IF('01_Вводные'!$B$296="Новый сезон",TRUE,TRUE),'19_Расчет_аналитики'!AQ4469*CapacityAge14*'19_Расчет_аналитики'!$F$4259,0),0)</f>
        <v/>
      </c>
      <c r="AR4581">
        <f>IF('01_Вводные'!$B$234="Да",IF(IF('01_Вводные'!$B$296="Новый сезон",TRUE,TRUE),'19_Расчет_аналитики'!AR4469*CapacityAge14*'19_Расчет_аналитики'!$F$4259,0),0)</f>
        <v/>
      </c>
      <c r="AS4581">
        <f>IF('01_Вводные'!$B$234="Да",IF(IF('01_Вводные'!$B$296="Новый сезон",TRUE,TRUE),'19_Расчет_аналитики'!AS4469*CapacityAge14*'19_Расчет_аналитики'!$F$4259,0),0)</f>
        <v/>
      </c>
      <c r="AT4581">
        <f>IF('01_Вводные'!$B$234="Да",IF(IF('01_Вводные'!$B$296="Новый сезон",TRUE,TRUE),'19_Расчет_аналитики'!AT4469*CapacityAge14*'19_Расчет_аналитики'!$F$4259,0),0)</f>
        <v/>
      </c>
      <c r="AU4581">
        <f>IF('01_Вводные'!$B$234="Да",IF(IF('01_Вводные'!$B$296="Новый сезон",TRUE,TRUE),'19_Расчет_аналитики'!AU4469*CapacityAge14*'19_Расчет_аналитики'!$F$4259,0),0)</f>
        <v/>
      </c>
      <c r="AV4581">
        <f>IF('01_Вводные'!$B$234="Да",IF(IF('01_Вводные'!$B$296="Новый сезон",TRUE,TRUE),'19_Расчет_аналитики'!AV4469*CapacityAge14*'19_Расчет_аналитики'!$F$4259,0),0)</f>
        <v/>
      </c>
      <c r="AW4581">
        <f>IF('01_Вводные'!$B$234="Да",IF(IF('01_Вводные'!$B$296="Новый сезон",TRUE,TRUE),'19_Расчет_аналитики'!AW4469*CapacityAge14*'19_Расчет_аналитики'!$F$4259,0),0)</f>
        <v/>
      </c>
      <c r="AX4581">
        <f>IF('01_Вводные'!$B$234="Да",IF(IF('01_Вводные'!$B$296="Новый сезон",TRUE,TRUE),'19_Расчет_аналитики'!AX4469*CapacityAge14*'19_Расчет_аналитики'!$F$4259,0),0)</f>
        <v/>
      </c>
      <c r="AY4581">
        <f>IF('01_Вводные'!$B$234="Да",IF(IF('01_Вводные'!$B$296="Новый сезон",TRUE,TRUE),'19_Расчет_аналитики'!AY4469*CapacityAge14*'19_Расчет_аналитики'!$F$4259,0),0)</f>
        <v/>
      </c>
      <c r="AZ4581">
        <f>IF('01_Вводные'!$B$234="Да",IF(IF('01_Вводные'!$B$296="Новый сезон",TRUE,TRUE),'19_Расчет_аналитики'!AZ4469*CapacityAge14*'19_Расчет_аналитики'!$F$4259,0),0)</f>
        <v/>
      </c>
      <c r="BA4581">
        <f>IF('01_Вводные'!$B$234="Да",IF(IF('01_Вводные'!$B$296="Новый сезон",TRUE,TRUE),'19_Расчет_аналитики'!BA4469*CapacityAge14*'19_Расчет_аналитики'!$F$4259,0),0)</f>
        <v/>
      </c>
      <c r="BB4581">
        <f>IF('01_Вводные'!$B$234="Да",IF(IF('01_Вводные'!$B$296="Новый сезон",TRUE,TRUE),'19_Расчет_аналитики'!BB4469*CapacityAge14*'19_Расчет_аналитики'!$F$4259,0),0)</f>
        <v/>
      </c>
      <c r="BC4581">
        <f>IF('01_Вводные'!$B$234="Да",IF(IF('01_Вводные'!$B$296="Новый сезон",TRUE,TRUE),'19_Расчет_аналитики'!BC4469*CapacityAge14*'19_Расчет_аналитики'!$F$4259,0),0)</f>
        <v/>
      </c>
      <c r="BD4581">
        <f>IF('01_Вводные'!$B$234="Да",IF(IF('01_Вводные'!$B$296="Новый сезон",TRUE,TRUE),'19_Расчет_аналитики'!BD4469*CapacityAge14*'19_Расчет_аналитики'!$F$4259,0),0)</f>
        <v/>
      </c>
      <c r="BE4581">
        <f>IF('01_Вводные'!$B$234="Да",IF(IF('01_Вводные'!$B$296="Новый сезон",TRUE,TRUE),'19_Расчет_аналитики'!BE4469*CapacityAge14*'19_Расчет_аналитики'!$F$4259,0),0)</f>
        <v/>
      </c>
      <c r="BF4581">
        <f>IF('01_Вводные'!$B$234="Да",IF(IF('01_Вводные'!$B$296="Новый сезон",TRUE,TRUE),'19_Расчет_аналитики'!BF4469*CapacityAge14*'19_Расчет_аналитики'!$F$4259,0),0)</f>
        <v/>
      </c>
      <c r="BG4581">
        <f>IF('01_Вводные'!$B$234="Да",IF(IF('01_Вводные'!$B$296="Новый сезон",TRUE,TRUE),'19_Расчет_аналитики'!BG4469*CapacityAge14*'19_Расчет_аналитики'!$F$4259,0),0)</f>
        <v/>
      </c>
      <c r="BH4581">
        <f>IF('01_Вводные'!$B$234="Да",IF(IF('01_Вводные'!$B$296="Новый сезон",TRUE,TRUE),'19_Расчет_аналитики'!BH4469*CapacityAge14*'19_Расчет_аналитики'!$F$4259,0),0)</f>
        <v/>
      </c>
      <c r="BI4581">
        <f>IF('01_Вводные'!$B$234="Да",IF(IF('01_Вводные'!$B$296="Новый сезон",TRUE,TRUE),'19_Расчет_аналитики'!BI4469*CapacityAge14*'19_Расчет_аналитики'!$F$4259,0),0)</f>
        <v/>
      </c>
      <c r="BJ4581">
        <f>IF('01_Вводные'!$B$234="Да",IF(IF('01_Вводные'!$B$296="Новый сезон",TRUE,TRUE),'19_Расчет_аналитики'!BJ4469*CapacityAge14*'19_Расчет_аналитики'!$F$4259,0),0)</f>
        <v/>
      </c>
      <c r="BK4581">
        <f>IF('01_Вводные'!$B$234="Да",IF(IF('01_Вводные'!$B$296="Новый сезон",TRUE,TRUE),'19_Расчет_аналитики'!BK4469*CapacityAge14*'19_Расчет_аналитики'!$F$4259,0),0)</f>
        <v/>
      </c>
      <c r="BL4581">
        <f>IF('01_Вводные'!$B$234="Да",IF(IF('01_Вводные'!$B$296="Новый сезон",TRUE,TRUE),'19_Расчет_аналитики'!BL4469*CapacityAge14*'19_Расчет_аналитики'!$F$4259,0),0)</f>
        <v/>
      </c>
      <c r="BM4581">
        <f>IF('01_Вводные'!$B$234="Да",IF(IF('01_Вводные'!$B$296="Новый сезон",TRUE,TRUE),'19_Расчет_аналитики'!BM4469*CapacityAge14*'19_Расчет_аналитики'!$F$4259,0),0)</f>
        <v/>
      </c>
      <c r="BN4581">
        <f>IF('01_Вводные'!$B$234="Да",IF(IF('01_Вводные'!$B$296="Новый сезон",TRUE,TRUE),'19_Расчет_аналитики'!BN4469*CapacityAge14*'19_Расчет_аналитики'!$F$4259,0),0)</f>
        <v/>
      </c>
      <c r="BO4581">
        <f>IF('01_Вводные'!$B$234="Да",IF(IF('01_Вводные'!$B$296="Новый сезон",TRUE,TRUE),'19_Расчет_аналитики'!BO4469*CapacityAge14*'19_Расчет_аналитики'!$F$4259,0),0)</f>
        <v/>
      </c>
    </row>
    <row r="4582">
      <c r="B4582">
        <f>IF('01_Вводные'!$B$234="Да",IF(IF('01_Вводные'!$B$296="Новый сезон",TRUE,TRUE),'06_Сеть_и_дети'!B67*CapacityAge15*'19_Расчет_аналитики'!$F$4259,0),0)</f>
        <v/>
      </c>
      <c r="C4582">
        <f>IF('01_Вводные'!$B$234="Да",IF(IF('01_Вводные'!$B$296="Новый сезон",TRUE,TRUE),'06_Сеть_и_дети'!C67*CapacityAge15*'19_Расчет_аналитики'!$F$4259,0),0)</f>
        <v/>
      </c>
      <c r="D4582">
        <f>IF('01_Вводные'!$B$234="Да",IF(IF('01_Вводные'!$B$296="Новый сезон",TRUE,TRUE),'06_Сеть_и_дети'!D67*CapacityAge15*'19_Расчет_аналитики'!$F$4259,0),0)</f>
        <v/>
      </c>
      <c r="E4582">
        <f>IF('01_Вводные'!$B$234="Да",IF(IF('01_Вводные'!$B$296="Новый сезон",TRUE,TRUE),'06_Сеть_и_дети'!E67*CapacityAge15*'19_Расчет_аналитики'!$F$4259,0),0)</f>
        <v/>
      </c>
      <c r="F4582">
        <f>IF('01_Вводные'!$B$234="Да",IF(IF('01_Вводные'!$B$296="Новый сезон",TRUE,TRUE),'06_Сеть_и_дети'!F67*CapacityAge15*'19_Расчет_аналитики'!$F$4259,0),0)</f>
        <v/>
      </c>
      <c r="G4582">
        <f>IF('01_Вводные'!$B$234="Да",IF(IF('01_Вводные'!$B$296="Новый сезон",TRUE,TRUE),'06_Сеть_и_дети'!G67*CapacityAge15*'19_Расчет_аналитики'!$F$4259,0),0)</f>
        <v/>
      </c>
      <c r="H4582">
        <f>IF('01_Вводные'!$B$234="Да",IF(IF('01_Вводные'!$B$296="Новый сезон",TRUE,TRUE),'06_Сеть_и_дети'!H67*CapacityAge15*'19_Расчет_аналитики'!$F$4259,0),0)</f>
        <v/>
      </c>
      <c r="I4582">
        <f>IF('01_Вводные'!$B$234="Да",IF(IF('01_Вводные'!$B$296="Новый сезон",TRUE,TRUE),'06_Сеть_и_дети'!I67*CapacityAge15*'19_Расчет_аналитики'!$F$4259,0),0)</f>
        <v/>
      </c>
      <c r="J4582">
        <f>IF('01_Вводные'!$B$234="Да",IF(IF('01_Вводные'!$B$296="Новый сезон",TRUE,TRUE),'06_Сеть_и_дети'!J67*CapacityAge15*'19_Расчет_аналитики'!$F$4259,0),0)</f>
        <v/>
      </c>
      <c r="K4582">
        <f>IF('01_Вводные'!$B$234="Да",IF(IF('01_Вводные'!$B$296="Новый сезон",TRUE,TRUE),'06_Сеть_и_дети'!K67*CapacityAge15*'19_Расчет_аналитики'!$F$4259,0),0)</f>
        <v/>
      </c>
      <c r="L4582">
        <f>IF('01_Вводные'!$B$234="Да",IF(IF('01_Вводные'!$B$296="Новый сезон",TRUE,TRUE),'06_Сеть_и_дети'!L67*CapacityAge15*'19_Расчет_аналитики'!$F$4259,0),0)</f>
        <v/>
      </c>
      <c r="M4582">
        <f>IF('01_Вводные'!$B$234="Да",IF(IF('01_Вводные'!$B$296="Новый сезон",TRUE,TRUE),'06_Сеть_и_дети'!M67*CapacityAge15*'19_Расчет_аналитики'!$F$4259,0),0)</f>
        <v/>
      </c>
      <c r="N4582">
        <f>IF('01_Вводные'!$B$234="Да",IF(IF('01_Вводные'!$B$296="Новый сезон",TRUE,TRUE),'06_Сеть_и_дети'!N67*CapacityAge15*'19_Расчет_аналитики'!$F$4259,0),0)</f>
        <v/>
      </c>
      <c r="O4582">
        <f>IF('01_Вводные'!$B$234="Да",IF(IF('01_Вводные'!$B$296="Новый сезон",TRUE,TRUE),'06_Сеть_и_дети'!O67*CapacityAge15*'19_Расчет_аналитики'!$F$4259,0),0)</f>
        <v/>
      </c>
      <c r="P4582">
        <f>IF('01_Вводные'!$B$234="Да",IF(IF('01_Вводные'!$B$296="Новый сезон",TRUE,TRUE),'19_Расчет_аналитики'!P4470*CapacityAge15*'19_Расчет_аналитики'!$F$4259,0),0)</f>
        <v/>
      </c>
      <c r="Q4582">
        <f>IF('01_Вводные'!$B$234="Да",IF(IF('01_Вводные'!$B$296="Новый сезон",TRUE,TRUE),'19_Расчет_аналитики'!Q4470*CapacityAge15*'19_Расчет_аналитики'!$F$4259,0),0)</f>
        <v/>
      </c>
      <c r="R4582">
        <f>IF('01_Вводные'!$B$234="Да",IF(IF('01_Вводные'!$B$296="Новый сезон",TRUE,TRUE),'19_Расчет_аналитики'!R4470*CapacityAge15*'19_Расчет_аналитики'!$F$4259,0),0)</f>
        <v/>
      </c>
      <c r="S4582">
        <f>IF('01_Вводные'!$B$234="Да",IF(IF('01_Вводные'!$B$296="Новый сезон",TRUE,TRUE),'19_Расчет_аналитики'!S4470*CapacityAge15*'19_Расчет_аналитики'!$F$4259,0),0)</f>
        <v/>
      </c>
      <c r="T4582">
        <f>IF('01_Вводные'!$B$234="Да",IF(IF('01_Вводные'!$B$296="Новый сезон",TRUE,TRUE),'19_Расчет_аналитики'!T4470*CapacityAge15*'19_Расчет_аналитики'!$F$4259,0),0)</f>
        <v/>
      </c>
      <c r="U4582">
        <f>IF('01_Вводные'!$B$234="Да",IF(IF('01_Вводные'!$B$296="Новый сезон",TRUE,TRUE),'19_Расчет_аналитики'!U4470*CapacityAge15*'19_Расчет_аналитики'!$F$4259,0),0)</f>
        <v/>
      </c>
      <c r="V4582">
        <f>IF('01_Вводные'!$B$234="Да",IF(IF('01_Вводные'!$B$296="Новый сезон",TRUE,TRUE),'19_Расчет_аналитики'!V4470*CapacityAge15*'19_Расчет_аналитики'!$F$4259,0),0)</f>
        <v/>
      </c>
      <c r="W4582">
        <f>IF('01_Вводные'!$B$234="Да",IF(IF('01_Вводные'!$B$296="Новый сезон",TRUE,TRUE),'19_Расчет_аналитики'!W4470*CapacityAge15*'19_Расчет_аналитики'!$F$4259,0),0)</f>
        <v/>
      </c>
      <c r="X4582">
        <f>IF('01_Вводные'!$B$234="Да",IF(IF('01_Вводные'!$B$296="Новый сезон",TRUE,TRUE),'19_Расчет_аналитики'!X4470*CapacityAge15*'19_Расчет_аналитики'!$F$4259,0),0)</f>
        <v/>
      </c>
      <c r="Y4582">
        <f>IF('01_Вводные'!$B$234="Да",IF(IF('01_Вводные'!$B$296="Новый сезон",TRUE,TRUE),'19_Расчет_аналитики'!Y4470*CapacityAge15*'19_Расчет_аналитики'!$F$4259,0),0)</f>
        <v/>
      </c>
      <c r="Z4582">
        <f>IF('01_Вводные'!$B$234="Да",IF(IF('01_Вводные'!$B$296="Новый сезон",TRUE,TRUE),'19_Расчет_аналитики'!Z4470*CapacityAge15*'19_Расчет_аналитики'!$F$4259,0),0)</f>
        <v/>
      </c>
      <c r="AA4582">
        <f>IF('01_Вводные'!$B$234="Да",IF(IF('01_Вводные'!$B$296="Новый сезон",TRUE,TRUE),'19_Расчет_аналитики'!AA4470*CapacityAge15*'19_Расчет_аналитики'!$F$4259,0),0)</f>
        <v/>
      </c>
      <c r="AB4582">
        <f>IF('01_Вводные'!$B$234="Да",IF(IF('01_Вводные'!$B$296="Новый сезон",TRUE,TRUE),'19_Расчет_аналитики'!AB4470*CapacityAge15*'19_Расчет_аналитики'!$F$4259,0),0)</f>
        <v/>
      </c>
      <c r="AC4582">
        <f>IF('01_Вводные'!$B$234="Да",IF(IF('01_Вводные'!$B$296="Новый сезон",TRUE,TRUE),'19_Расчет_аналитики'!AC4470*CapacityAge15*'19_Расчет_аналитики'!$F$4259,0),0)</f>
        <v/>
      </c>
      <c r="AD4582">
        <f>IF('01_Вводные'!$B$234="Да",IF(IF('01_Вводные'!$B$296="Новый сезон",TRUE,TRUE),'19_Расчет_аналитики'!AD4470*CapacityAge15*'19_Расчет_аналитики'!$F$4259,0),0)</f>
        <v/>
      </c>
      <c r="AE4582">
        <f>IF('01_Вводные'!$B$234="Да",IF(IF('01_Вводные'!$B$296="Новый сезон",TRUE,TRUE),'19_Расчет_аналитики'!AE4470*CapacityAge15*'19_Расчет_аналитики'!$F$4259,0),0)</f>
        <v/>
      </c>
      <c r="AF4582">
        <f>IF('01_Вводные'!$B$234="Да",IF(IF('01_Вводные'!$B$296="Новый сезон",TRUE,TRUE),'19_Расчет_аналитики'!AF4470*CapacityAge15*'19_Расчет_аналитики'!$F$4259,0),0)</f>
        <v/>
      </c>
      <c r="AG4582">
        <f>IF('01_Вводные'!$B$234="Да",IF(IF('01_Вводные'!$B$296="Новый сезон",TRUE,TRUE),'19_Расчет_аналитики'!AG4470*CapacityAge15*'19_Расчет_аналитики'!$F$4259,0),0)</f>
        <v/>
      </c>
      <c r="AH4582">
        <f>IF('01_Вводные'!$B$234="Да",IF(IF('01_Вводные'!$B$296="Новый сезон",TRUE,TRUE),'19_Расчет_аналитики'!AH4470*CapacityAge15*'19_Расчет_аналитики'!$F$4259,0),0)</f>
        <v/>
      </c>
      <c r="AI4582">
        <f>IF('01_Вводные'!$B$234="Да",IF(IF('01_Вводные'!$B$296="Новый сезон",TRUE,TRUE),'19_Расчет_аналитики'!AI4470*CapacityAge15*'19_Расчет_аналитики'!$F$4259,0),0)</f>
        <v/>
      </c>
      <c r="AJ4582">
        <f>IF('01_Вводные'!$B$234="Да",IF(IF('01_Вводные'!$B$296="Новый сезон",TRUE,TRUE),'19_Расчет_аналитики'!AJ4470*CapacityAge15*'19_Расчет_аналитики'!$F$4259,0),0)</f>
        <v/>
      </c>
      <c r="AK4582">
        <f>IF('01_Вводные'!$B$234="Да",IF(IF('01_Вводные'!$B$296="Новый сезон",TRUE,TRUE),'19_Расчет_аналитики'!AK4470*CapacityAge15*'19_Расчет_аналитики'!$F$4259,0),0)</f>
        <v/>
      </c>
      <c r="AL4582">
        <f>IF('01_Вводные'!$B$234="Да",IF(IF('01_Вводные'!$B$296="Новый сезон",TRUE,TRUE),'19_Расчет_аналитики'!AL4470*CapacityAge15*'19_Расчет_аналитики'!$F$4259,0),0)</f>
        <v/>
      </c>
      <c r="AM4582">
        <f>IF('01_Вводные'!$B$234="Да",IF(IF('01_Вводные'!$B$296="Новый сезон",TRUE,TRUE),'19_Расчет_аналитики'!AM4470*CapacityAge15*'19_Расчет_аналитики'!$F$4259,0),0)</f>
        <v/>
      </c>
      <c r="AN4582">
        <f>IF('01_Вводные'!$B$234="Да",IF(IF('01_Вводные'!$B$296="Новый сезон",TRUE,TRUE),'19_Расчет_аналитики'!AN4470*CapacityAge15*'19_Расчет_аналитики'!$F$4259,0),0)</f>
        <v/>
      </c>
      <c r="AO4582">
        <f>IF('01_Вводные'!$B$234="Да",IF(IF('01_Вводные'!$B$296="Новый сезон",TRUE,TRUE),'19_Расчет_аналитики'!AO4470*CapacityAge15*'19_Расчет_аналитики'!$F$4259,0),0)</f>
        <v/>
      </c>
      <c r="AP4582">
        <f>IF('01_Вводные'!$B$234="Да",IF(IF('01_Вводные'!$B$296="Новый сезон",TRUE,TRUE),'19_Расчет_аналитики'!AP4470*CapacityAge15*'19_Расчет_аналитики'!$F$4259,0),0)</f>
        <v/>
      </c>
      <c r="AQ4582">
        <f>IF('01_Вводные'!$B$234="Да",IF(IF('01_Вводные'!$B$296="Новый сезон",TRUE,TRUE),'19_Расчет_аналитики'!AQ4470*CapacityAge15*'19_Расчет_аналитики'!$F$4259,0),0)</f>
        <v/>
      </c>
      <c r="AR4582">
        <f>IF('01_Вводные'!$B$234="Да",IF(IF('01_Вводные'!$B$296="Новый сезон",TRUE,TRUE),'19_Расчет_аналитики'!AR4470*CapacityAge15*'19_Расчет_аналитики'!$F$4259,0),0)</f>
        <v/>
      </c>
      <c r="AS4582">
        <f>IF('01_Вводные'!$B$234="Да",IF(IF('01_Вводные'!$B$296="Новый сезон",TRUE,TRUE),'19_Расчет_аналитики'!AS4470*CapacityAge15*'19_Расчет_аналитики'!$F$4259,0),0)</f>
        <v/>
      </c>
      <c r="AT4582">
        <f>IF('01_Вводные'!$B$234="Да",IF(IF('01_Вводные'!$B$296="Новый сезон",TRUE,TRUE),'19_Расчет_аналитики'!AT4470*CapacityAge15*'19_Расчет_аналитики'!$F$4259,0),0)</f>
        <v/>
      </c>
      <c r="AU4582">
        <f>IF('01_Вводные'!$B$234="Да",IF(IF('01_Вводные'!$B$296="Новый сезон",TRUE,TRUE),'19_Расчет_аналитики'!AU4470*CapacityAge15*'19_Расчет_аналитики'!$F$4259,0),0)</f>
        <v/>
      </c>
      <c r="AV4582">
        <f>IF('01_Вводные'!$B$234="Да",IF(IF('01_Вводные'!$B$296="Новый сезон",TRUE,TRUE),'19_Расчет_аналитики'!AV4470*CapacityAge15*'19_Расчет_аналитики'!$F$4259,0),0)</f>
        <v/>
      </c>
      <c r="AW4582">
        <f>IF('01_Вводные'!$B$234="Да",IF(IF('01_Вводные'!$B$296="Новый сезон",TRUE,TRUE),'19_Расчет_аналитики'!AW4470*CapacityAge15*'19_Расчет_аналитики'!$F$4259,0),0)</f>
        <v/>
      </c>
      <c r="AX4582">
        <f>IF('01_Вводные'!$B$234="Да",IF(IF('01_Вводные'!$B$296="Новый сезон",TRUE,TRUE),'19_Расчет_аналитики'!AX4470*CapacityAge15*'19_Расчет_аналитики'!$F$4259,0),0)</f>
        <v/>
      </c>
      <c r="AY4582">
        <f>IF('01_Вводные'!$B$234="Да",IF(IF('01_Вводные'!$B$296="Новый сезон",TRUE,TRUE),'19_Расчет_аналитики'!AY4470*CapacityAge15*'19_Расчет_аналитики'!$F$4259,0),0)</f>
        <v/>
      </c>
      <c r="AZ4582">
        <f>IF('01_Вводные'!$B$234="Да",IF(IF('01_Вводные'!$B$296="Новый сезон",TRUE,TRUE),'19_Расчет_аналитики'!AZ4470*CapacityAge15*'19_Расчет_аналитики'!$F$4259,0),0)</f>
        <v/>
      </c>
      <c r="BA4582">
        <f>IF('01_Вводные'!$B$234="Да",IF(IF('01_Вводные'!$B$296="Новый сезон",TRUE,TRUE),'19_Расчет_аналитики'!BA4470*CapacityAge15*'19_Расчет_аналитики'!$F$4259,0),0)</f>
        <v/>
      </c>
      <c r="BB4582">
        <f>IF('01_Вводные'!$B$234="Да",IF(IF('01_Вводные'!$B$296="Новый сезон",TRUE,TRUE),'19_Расчет_аналитики'!BB4470*CapacityAge15*'19_Расчет_аналитики'!$F$4259,0),0)</f>
        <v/>
      </c>
      <c r="BC4582">
        <f>IF('01_Вводные'!$B$234="Да",IF(IF('01_Вводные'!$B$296="Новый сезон",TRUE,TRUE),'19_Расчет_аналитики'!BC4470*CapacityAge15*'19_Расчет_аналитики'!$F$4259,0),0)</f>
        <v/>
      </c>
      <c r="BD4582">
        <f>IF('01_Вводные'!$B$234="Да",IF(IF('01_Вводные'!$B$296="Новый сезон",TRUE,TRUE),'19_Расчет_аналитики'!BD4470*CapacityAge15*'19_Расчет_аналитики'!$F$4259,0),0)</f>
        <v/>
      </c>
      <c r="BE4582">
        <f>IF('01_Вводные'!$B$234="Да",IF(IF('01_Вводные'!$B$296="Новый сезон",TRUE,TRUE),'19_Расчет_аналитики'!BE4470*CapacityAge15*'19_Расчет_аналитики'!$F$4259,0),0)</f>
        <v/>
      </c>
      <c r="BF4582">
        <f>IF('01_Вводные'!$B$234="Да",IF(IF('01_Вводные'!$B$296="Новый сезон",TRUE,TRUE),'19_Расчет_аналитики'!BF4470*CapacityAge15*'19_Расчет_аналитики'!$F$4259,0),0)</f>
        <v/>
      </c>
      <c r="BG4582">
        <f>IF('01_Вводные'!$B$234="Да",IF(IF('01_Вводные'!$B$296="Новый сезон",TRUE,TRUE),'19_Расчет_аналитики'!BG4470*CapacityAge15*'19_Расчет_аналитики'!$F$4259,0),0)</f>
        <v/>
      </c>
      <c r="BH4582">
        <f>IF('01_Вводные'!$B$234="Да",IF(IF('01_Вводные'!$B$296="Новый сезон",TRUE,TRUE),'19_Расчет_аналитики'!BH4470*CapacityAge15*'19_Расчет_аналитики'!$F$4259,0),0)</f>
        <v/>
      </c>
      <c r="BI4582">
        <f>IF('01_Вводные'!$B$234="Да",IF(IF('01_Вводные'!$B$296="Новый сезон",TRUE,TRUE),'19_Расчет_аналитики'!BI4470*CapacityAge15*'19_Расчет_аналитики'!$F$4259,0),0)</f>
        <v/>
      </c>
      <c r="BJ4582">
        <f>IF('01_Вводные'!$B$234="Да",IF(IF('01_Вводные'!$B$296="Новый сезон",TRUE,TRUE),'19_Расчет_аналитики'!BJ4470*CapacityAge15*'19_Расчет_аналитики'!$F$4259,0),0)</f>
        <v/>
      </c>
      <c r="BK4582">
        <f>IF('01_Вводные'!$B$234="Да",IF(IF('01_Вводные'!$B$296="Новый сезон",TRUE,TRUE),'19_Расчет_аналитики'!BK4470*CapacityAge15*'19_Расчет_аналитики'!$F$4259,0),0)</f>
        <v/>
      </c>
      <c r="BL4582">
        <f>IF('01_Вводные'!$B$234="Да",IF(IF('01_Вводные'!$B$296="Новый сезон",TRUE,TRUE),'19_Расчет_аналитики'!BL4470*CapacityAge15*'19_Расчет_аналитики'!$F$4259,0),0)</f>
        <v/>
      </c>
      <c r="BM4582">
        <f>IF('01_Вводные'!$B$234="Да",IF(IF('01_Вводные'!$B$296="Новый сезон",TRUE,TRUE),'19_Расчет_аналитики'!BM4470*CapacityAge15*'19_Расчет_аналитики'!$F$4259,0),0)</f>
        <v/>
      </c>
      <c r="BN4582">
        <f>IF('01_Вводные'!$B$234="Да",IF(IF('01_Вводные'!$B$296="Новый сезон",TRUE,TRUE),'19_Расчет_аналитики'!BN4470*CapacityAge15*'19_Расчет_аналитики'!$F$4259,0),0)</f>
        <v/>
      </c>
      <c r="BO4582">
        <f>IF('01_Вводные'!$B$234="Да",IF(IF('01_Вводные'!$B$296="Новый сезон",TRUE,TRUE),'19_Расчет_аналитики'!BO4470*CapacityAge15*'19_Расчет_аналитики'!$F$4259,0),0)</f>
        <v/>
      </c>
    </row>
    <row r="4583">
      <c r="B4583">
        <f>IF('01_Вводные'!$B$234="Да",IF(IF('01_Вводные'!$B$296="Новый сезон",TRUE,TRUE),'06_Сеть_и_дети'!B68*CapacityAge16*'19_Расчет_аналитики'!$F$4259,0),0)</f>
        <v/>
      </c>
      <c r="C4583">
        <f>IF('01_Вводные'!$B$234="Да",IF(IF('01_Вводные'!$B$296="Новый сезон",TRUE,TRUE),'06_Сеть_и_дети'!C68*CapacityAge16*'19_Расчет_аналитики'!$F$4259,0),0)</f>
        <v/>
      </c>
      <c r="D4583">
        <f>IF('01_Вводные'!$B$234="Да",IF(IF('01_Вводные'!$B$296="Новый сезон",TRUE,TRUE),'06_Сеть_и_дети'!D68*CapacityAge16*'19_Расчет_аналитики'!$F$4259,0),0)</f>
        <v/>
      </c>
      <c r="E4583">
        <f>IF('01_Вводные'!$B$234="Да",IF(IF('01_Вводные'!$B$296="Новый сезон",TRUE,TRUE),'06_Сеть_и_дети'!E68*CapacityAge16*'19_Расчет_аналитики'!$F$4259,0),0)</f>
        <v/>
      </c>
      <c r="F4583">
        <f>IF('01_Вводные'!$B$234="Да",IF(IF('01_Вводные'!$B$296="Новый сезон",TRUE,TRUE),'06_Сеть_и_дети'!F68*CapacityAge16*'19_Расчет_аналитики'!$F$4259,0),0)</f>
        <v/>
      </c>
      <c r="G4583">
        <f>IF('01_Вводные'!$B$234="Да",IF(IF('01_Вводные'!$B$296="Новый сезон",TRUE,TRUE),'06_Сеть_и_дети'!G68*CapacityAge16*'19_Расчет_аналитики'!$F$4259,0),0)</f>
        <v/>
      </c>
      <c r="H4583">
        <f>IF('01_Вводные'!$B$234="Да",IF(IF('01_Вводные'!$B$296="Новый сезон",TRUE,TRUE),'06_Сеть_и_дети'!H68*CapacityAge16*'19_Расчет_аналитики'!$F$4259,0),0)</f>
        <v/>
      </c>
      <c r="I4583">
        <f>IF('01_Вводные'!$B$234="Да",IF(IF('01_Вводные'!$B$296="Новый сезон",TRUE,TRUE),'06_Сеть_и_дети'!I68*CapacityAge16*'19_Расчет_аналитики'!$F$4259,0),0)</f>
        <v/>
      </c>
      <c r="J4583">
        <f>IF('01_Вводные'!$B$234="Да",IF(IF('01_Вводные'!$B$296="Новый сезон",TRUE,TRUE),'06_Сеть_и_дети'!J68*CapacityAge16*'19_Расчет_аналитики'!$F$4259,0),0)</f>
        <v/>
      </c>
      <c r="K4583">
        <f>IF('01_Вводные'!$B$234="Да",IF(IF('01_Вводные'!$B$296="Новый сезон",TRUE,TRUE),'06_Сеть_и_дети'!K68*CapacityAge16*'19_Расчет_аналитики'!$F$4259,0),0)</f>
        <v/>
      </c>
      <c r="L4583">
        <f>IF('01_Вводные'!$B$234="Да",IF(IF('01_Вводные'!$B$296="Новый сезон",TRUE,TRUE),'06_Сеть_и_дети'!L68*CapacityAge16*'19_Расчет_аналитики'!$F$4259,0),0)</f>
        <v/>
      </c>
      <c r="M4583">
        <f>IF('01_Вводные'!$B$234="Да",IF(IF('01_Вводные'!$B$296="Новый сезон",TRUE,TRUE),'06_Сеть_и_дети'!M68*CapacityAge16*'19_Расчет_аналитики'!$F$4259,0),0)</f>
        <v/>
      </c>
      <c r="N4583">
        <f>IF('01_Вводные'!$B$234="Да",IF(IF('01_Вводные'!$B$296="Новый сезон",TRUE,TRUE),'06_Сеть_и_дети'!N68*CapacityAge16*'19_Расчет_аналитики'!$F$4259,0),0)</f>
        <v/>
      </c>
      <c r="O4583">
        <f>IF('01_Вводные'!$B$234="Да",IF(IF('01_Вводные'!$B$296="Новый сезон",TRUE,TRUE),'06_Сеть_и_дети'!O68*CapacityAge16*'19_Расчет_аналитики'!$F$4259,0),0)</f>
        <v/>
      </c>
      <c r="P4583">
        <f>IF('01_Вводные'!$B$234="Да",IF(IF('01_Вводные'!$B$296="Новый сезон",TRUE,TRUE),'06_Сеть_и_дети'!P68*CapacityAge16*'19_Расчет_аналитики'!$F$4259,0),0)</f>
        <v/>
      </c>
      <c r="Q4583">
        <f>IF('01_Вводные'!$B$234="Да",IF(IF('01_Вводные'!$B$296="Новый сезон",TRUE,TRUE),'19_Расчет_аналитики'!Q4471*CapacityAge16*'19_Расчет_аналитики'!$F$4259,0),0)</f>
        <v/>
      </c>
      <c r="R4583">
        <f>IF('01_Вводные'!$B$234="Да",IF(IF('01_Вводные'!$B$296="Новый сезон",TRUE,TRUE),'19_Расчет_аналитики'!R4471*CapacityAge16*'19_Расчет_аналитики'!$F$4259,0),0)</f>
        <v/>
      </c>
      <c r="S4583">
        <f>IF('01_Вводные'!$B$234="Да",IF(IF('01_Вводные'!$B$296="Новый сезон",TRUE,TRUE),'19_Расчет_аналитики'!S4471*CapacityAge16*'19_Расчет_аналитики'!$F$4259,0),0)</f>
        <v/>
      </c>
      <c r="T4583">
        <f>IF('01_Вводные'!$B$234="Да",IF(IF('01_Вводные'!$B$296="Новый сезон",TRUE,TRUE),'19_Расчет_аналитики'!T4471*CapacityAge16*'19_Расчет_аналитики'!$F$4259,0),0)</f>
        <v/>
      </c>
      <c r="U4583">
        <f>IF('01_Вводные'!$B$234="Да",IF(IF('01_Вводные'!$B$296="Новый сезон",TRUE,TRUE),'19_Расчет_аналитики'!U4471*CapacityAge16*'19_Расчет_аналитики'!$F$4259,0),0)</f>
        <v/>
      </c>
      <c r="V4583">
        <f>IF('01_Вводные'!$B$234="Да",IF(IF('01_Вводные'!$B$296="Новый сезон",TRUE,TRUE),'19_Расчет_аналитики'!V4471*CapacityAge16*'19_Расчет_аналитики'!$F$4259,0),0)</f>
        <v/>
      </c>
      <c r="W4583">
        <f>IF('01_Вводные'!$B$234="Да",IF(IF('01_Вводные'!$B$296="Новый сезон",TRUE,TRUE),'19_Расчет_аналитики'!W4471*CapacityAge16*'19_Расчет_аналитики'!$F$4259,0),0)</f>
        <v/>
      </c>
      <c r="X4583">
        <f>IF('01_Вводные'!$B$234="Да",IF(IF('01_Вводные'!$B$296="Новый сезон",TRUE,TRUE),'19_Расчет_аналитики'!X4471*CapacityAge16*'19_Расчет_аналитики'!$F$4259,0),0)</f>
        <v/>
      </c>
      <c r="Y4583">
        <f>IF('01_Вводные'!$B$234="Да",IF(IF('01_Вводные'!$B$296="Новый сезон",TRUE,TRUE),'19_Расчет_аналитики'!Y4471*CapacityAge16*'19_Расчет_аналитики'!$F$4259,0),0)</f>
        <v/>
      </c>
      <c r="Z4583">
        <f>IF('01_Вводные'!$B$234="Да",IF(IF('01_Вводные'!$B$296="Новый сезон",TRUE,TRUE),'19_Расчет_аналитики'!Z4471*CapacityAge16*'19_Расчет_аналитики'!$F$4259,0),0)</f>
        <v/>
      </c>
      <c r="AA4583">
        <f>IF('01_Вводные'!$B$234="Да",IF(IF('01_Вводные'!$B$296="Новый сезон",TRUE,TRUE),'19_Расчет_аналитики'!AA4471*CapacityAge16*'19_Расчет_аналитики'!$F$4259,0),0)</f>
        <v/>
      </c>
      <c r="AB4583">
        <f>IF('01_Вводные'!$B$234="Да",IF(IF('01_Вводные'!$B$296="Новый сезон",TRUE,TRUE),'19_Расчет_аналитики'!AB4471*CapacityAge16*'19_Расчет_аналитики'!$F$4259,0),0)</f>
        <v/>
      </c>
      <c r="AC4583">
        <f>IF('01_Вводные'!$B$234="Да",IF(IF('01_Вводные'!$B$296="Новый сезон",TRUE,TRUE),'19_Расчет_аналитики'!AC4471*CapacityAge16*'19_Расчет_аналитики'!$F$4259,0),0)</f>
        <v/>
      </c>
      <c r="AD4583">
        <f>IF('01_Вводные'!$B$234="Да",IF(IF('01_Вводные'!$B$296="Новый сезон",TRUE,TRUE),'19_Расчет_аналитики'!AD4471*CapacityAge16*'19_Расчет_аналитики'!$F$4259,0),0)</f>
        <v/>
      </c>
      <c r="AE4583">
        <f>IF('01_Вводные'!$B$234="Да",IF(IF('01_Вводные'!$B$296="Новый сезон",TRUE,TRUE),'19_Расчет_аналитики'!AE4471*CapacityAge16*'19_Расчет_аналитики'!$F$4259,0),0)</f>
        <v/>
      </c>
      <c r="AF4583">
        <f>IF('01_Вводные'!$B$234="Да",IF(IF('01_Вводные'!$B$296="Новый сезон",TRUE,TRUE),'19_Расчет_аналитики'!AF4471*CapacityAge16*'19_Расчет_аналитики'!$F$4259,0),0)</f>
        <v/>
      </c>
      <c r="AG4583">
        <f>IF('01_Вводные'!$B$234="Да",IF(IF('01_Вводные'!$B$296="Новый сезон",TRUE,TRUE),'19_Расчет_аналитики'!AG4471*CapacityAge16*'19_Расчет_аналитики'!$F$4259,0),0)</f>
        <v/>
      </c>
      <c r="AH4583">
        <f>IF('01_Вводные'!$B$234="Да",IF(IF('01_Вводные'!$B$296="Новый сезон",TRUE,TRUE),'19_Расчет_аналитики'!AH4471*CapacityAge16*'19_Расчет_аналитики'!$F$4259,0),0)</f>
        <v/>
      </c>
      <c r="AI4583">
        <f>IF('01_Вводные'!$B$234="Да",IF(IF('01_Вводные'!$B$296="Новый сезон",TRUE,TRUE),'19_Расчет_аналитики'!AI4471*CapacityAge16*'19_Расчет_аналитики'!$F$4259,0),0)</f>
        <v/>
      </c>
      <c r="AJ4583">
        <f>IF('01_Вводные'!$B$234="Да",IF(IF('01_Вводные'!$B$296="Новый сезон",TRUE,TRUE),'19_Расчет_аналитики'!AJ4471*CapacityAge16*'19_Расчет_аналитики'!$F$4259,0),0)</f>
        <v/>
      </c>
      <c r="AK4583">
        <f>IF('01_Вводные'!$B$234="Да",IF(IF('01_Вводные'!$B$296="Новый сезон",TRUE,TRUE),'19_Расчет_аналитики'!AK4471*CapacityAge16*'19_Расчет_аналитики'!$F$4259,0),0)</f>
        <v/>
      </c>
      <c r="AL4583">
        <f>IF('01_Вводные'!$B$234="Да",IF(IF('01_Вводные'!$B$296="Новый сезон",TRUE,TRUE),'19_Расчет_аналитики'!AL4471*CapacityAge16*'19_Расчет_аналитики'!$F$4259,0),0)</f>
        <v/>
      </c>
      <c r="AM4583">
        <f>IF('01_Вводные'!$B$234="Да",IF(IF('01_Вводные'!$B$296="Новый сезон",TRUE,TRUE),'19_Расчет_аналитики'!AM4471*CapacityAge16*'19_Расчет_аналитики'!$F$4259,0),0)</f>
        <v/>
      </c>
      <c r="AN4583">
        <f>IF('01_Вводные'!$B$234="Да",IF(IF('01_Вводные'!$B$296="Новый сезон",TRUE,TRUE),'19_Расчет_аналитики'!AN4471*CapacityAge16*'19_Расчет_аналитики'!$F$4259,0),0)</f>
        <v/>
      </c>
      <c r="AO4583">
        <f>IF('01_Вводные'!$B$234="Да",IF(IF('01_Вводные'!$B$296="Новый сезон",TRUE,TRUE),'19_Расчет_аналитики'!AO4471*CapacityAge16*'19_Расчет_аналитики'!$F$4259,0),0)</f>
        <v/>
      </c>
      <c r="AP4583">
        <f>IF('01_Вводные'!$B$234="Да",IF(IF('01_Вводные'!$B$296="Новый сезон",TRUE,TRUE),'19_Расчет_аналитики'!AP4471*CapacityAge16*'19_Расчет_аналитики'!$F$4259,0),0)</f>
        <v/>
      </c>
      <c r="AQ4583">
        <f>IF('01_Вводные'!$B$234="Да",IF(IF('01_Вводные'!$B$296="Новый сезон",TRUE,TRUE),'19_Расчет_аналитики'!AQ4471*CapacityAge16*'19_Расчет_аналитики'!$F$4259,0),0)</f>
        <v/>
      </c>
      <c r="AR4583">
        <f>IF('01_Вводные'!$B$234="Да",IF(IF('01_Вводные'!$B$296="Новый сезон",TRUE,TRUE),'19_Расчет_аналитики'!AR4471*CapacityAge16*'19_Расчет_аналитики'!$F$4259,0),0)</f>
        <v/>
      </c>
      <c r="AS4583">
        <f>IF('01_Вводные'!$B$234="Да",IF(IF('01_Вводные'!$B$296="Новый сезон",TRUE,TRUE),'19_Расчет_аналитики'!AS4471*CapacityAge16*'19_Расчет_аналитики'!$F$4259,0),0)</f>
        <v/>
      </c>
      <c r="AT4583">
        <f>IF('01_Вводные'!$B$234="Да",IF(IF('01_Вводные'!$B$296="Новый сезон",TRUE,TRUE),'19_Расчет_аналитики'!AT4471*CapacityAge16*'19_Расчет_аналитики'!$F$4259,0),0)</f>
        <v/>
      </c>
      <c r="AU4583">
        <f>IF('01_Вводные'!$B$234="Да",IF(IF('01_Вводные'!$B$296="Новый сезон",TRUE,TRUE),'19_Расчет_аналитики'!AU4471*CapacityAge16*'19_Расчет_аналитики'!$F$4259,0),0)</f>
        <v/>
      </c>
      <c r="AV4583">
        <f>IF('01_Вводные'!$B$234="Да",IF(IF('01_Вводные'!$B$296="Новый сезон",TRUE,TRUE),'19_Расчет_аналитики'!AV4471*CapacityAge16*'19_Расчет_аналитики'!$F$4259,0),0)</f>
        <v/>
      </c>
      <c r="AW4583">
        <f>IF('01_Вводные'!$B$234="Да",IF(IF('01_Вводные'!$B$296="Новый сезон",TRUE,TRUE),'19_Расчет_аналитики'!AW4471*CapacityAge16*'19_Расчет_аналитики'!$F$4259,0),0)</f>
        <v/>
      </c>
      <c r="AX4583">
        <f>IF('01_Вводные'!$B$234="Да",IF(IF('01_Вводные'!$B$296="Новый сезон",TRUE,TRUE),'19_Расчет_аналитики'!AX4471*CapacityAge16*'19_Расчет_аналитики'!$F$4259,0),0)</f>
        <v/>
      </c>
      <c r="AY4583">
        <f>IF('01_Вводные'!$B$234="Да",IF(IF('01_Вводные'!$B$296="Новый сезон",TRUE,TRUE),'19_Расчет_аналитики'!AY4471*CapacityAge16*'19_Расчет_аналитики'!$F$4259,0),0)</f>
        <v/>
      </c>
      <c r="AZ4583">
        <f>IF('01_Вводные'!$B$234="Да",IF(IF('01_Вводные'!$B$296="Новый сезон",TRUE,TRUE),'19_Расчет_аналитики'!AZ4471*CapacityAge16*'19_Расчет_аналитики'!$F$4259,0),0)</f>
        <v/>
      </c>
      <c r="BA4583">
        <f>IF('01_Вводные'!$B$234="Да",IF(IF('01_Вводные'!$B$296="Новый сезон",TRUE,TRUE),'19_Расчет_аналитики'!BA4471*CapacityAge16*'19_Расчет_аналитики'!$F$4259,0),0)</f>
        <v/>
      </c>
      <c r="BB4583">
        <f>IF('01_Вводные'!$B$234="Да",IF(IF('01_Вводные'!$B$296="Новый сезон",TRUE,TRUE),'19_Расчет_аналитики'!BB4471*CapacityAge16*'19_Расчет_аналитики'!$F$4259,0),0)</f>
        <v/>
      </c>
      <c r="BC4583">
        <f>IF('01_Вводные'!$B$234="Да",IF(IF('01_Вводные'!$B$296="Новый сезон",TRUE,TRUE),'19_Расчет_аналитики'!BC4471*CapacityAge16*'19_Расчет_аналитики'!$F$4259,0),0)</f>
        <v/>
      </c>
      <c r="BD4583">
        <f>IF('01_Вводные'!$B$234="Да",IF(IF('01_Вводные'!$B$296="Новый сезон",TRUE,TRUE),'19_Расчет_аналитики'!BD4471*CapacityAge16*'19_Расчет_аналитики'!$F$4259,0),0)</f>
        <v/>
      </c>
      <c r="BE4583">
        <f>IF('01_Вводные'!$B$234="Да",IF(IF('01_Вводные'!$B$296="Новый сезон",TRUE,TRUE),'19_Расчет_аналитики'!BE4471*CapacityAge16*'19_Расчет_аналитики'!$F$4259,0),0)</f>
        <v/>
      </c>
      <c r="BF4583">
        <f>IF('01_Вводные'!$B$234="Да",IF(IF('01_Вводные'!$B$296="Новый сезон",TRUE,TRUE),'19_Расчет_аналитики'!BF4471*CapacityAge16*'19_Расчет_аналитики'!$F$4259,0),0)</f>
        <v/>
      </c>
      <c r="BG4583">
        <f>IF('01_Вводные'!$B$234="Да",IF(IF('01_Вводные'!$B$296="Новый сезон",TRUE,TRUE),'19_Расчет_аналитики'!BG4471*CapacityAge16*'19_Расчет_аналитики'!$F$4259,0),0)</f>
        <v/>
      </c>
      <c r="BH4583">
        <f>IF('01_Вводные'!$B$234="Да",IF(IF('01_Вводные'!$B$296="Новый сезон",TRUE,TRUE),'19_Расчет_аналитики'!BH4471*CapacityAge16*'19_Расчет_аналитики'!$F$4259,0),0)</f>
        <v/>
      </c>
      <c r="BI4583">
        <f>IF('01_Вводные'!$B$234="Да",IF(IF('01_Вводные'!$B$296="Новый сезон",TRUE,TRUE),'19_Расчет_аналитики'!BI4471*CapacityAge16*'19_Расчет_аналитики'!$F$4259,0),0)</f>
        <v/>
      </c>
      <c r="BJ4583">
        <f>IF('01_Вводные'!$B$234="Да",IF(IF('01_Вводные'!$B$296="Новый сезон",TRUE,TRUE),'19_Расчет_аналитики'!BJ4471*CapacityAge16*'19_Расчет_аналитики'!$F$4259,0),0)</f>
        <v/>
      </c>
      <c r="BK4583">
        <f>IF('01_Вводные'!$B$234="Да",IF(IF('01_Вводные'!$B$296="Новый сезон",TRUE,TRUE),'19_Расчет_аналитики'!BK4471*CapacityAge16*'19_Расчет_аналитики'!$F$4259,0),0)</f>
        <v/>
      </c>
      <c r="BL4583">
        <f>IF('01_Вводные'!$B$234="Да",IF(IF('01_Вводные'!$B$296="Новый сезон",TRUE,TRUE),'19_Расчет_аналитики'!BL4471*CapacityAge16*'19_Расчет_аналитики'!$F$4259,0),0)</f>
        <v/>
      </c>
      <c r="BM4583">
        <f>IF('01_Вводные'!$B$234="Да",IF(IF('01_Вводные'!$B$296="Новый сезон",TRUE,TRUE),'19_Расчет_аналитики'!BM4471*CapacityAge16*'19_Расчет_аналитики'!$F$4259,0),0)</f>
        <v/>
      </c>
      <c r="BN4583">
        <f>IF('01_Вводные'!$B$234="Да",IF(IF('01_Вводные'!$B$296="Новый сезон",TRUE,TRUE),'19_Расчет_аналитики'!BN4471*CapacityAge16*'19_Расчет_аналитики'!$F$4259,0),0)</f>
        <v/>
      </c>
      <c r="BO4583">
        <f>IF('01_Вводные'!$B$234="Да",IF(IF('01_Вводные'!$B$296="Новый сезон",TRUE,TRUE),'19_Расчет_аналитики'!BO4471*CapacityAge16*'19_Расчет_аналитики'!$F$4259,0),0)</f>
        <v/>
      </c>
    </row>
    <row r="4584">
      <c r="B4584">
        <f>IF('01_Вводные'!$B$234="Да",IF(IF('01_Вводные'!$B$296="Новый сезон",TRUE,TRUE),'06_Сеть_и_дети'!B69*CapacityAge17*'19_Расчет_аналитики'!$F$4259,0),0)</f>
        <v/>
      </c>
      <c r="C4584">
        <f>IF('01_Вводные'!$B$234="Да",IF(IF('01_Вводные'!$B$296="Новый сезон",TRUE,TRUE),'06_Сеть_и_дети'!C69*CapacityAge17*'19_Расчет_аналитики'!$F$4259,0),0)</f>
        <v/>
      </c>
      <c r="D4584">
        <f>IF('01_Вводные'!$B$234="Да",IF(IF('01_Вводные'!$B$296="Новый сезон",TRUE,TRUE),'06_Сеть_и_дети'!D69*CapacityAge17*'19_Расчет_аналитики'!$F$4259,0),0)</f>
        <v/>
      </c>
      <c r="E4584">
        <f>IF('01_Вводные'!$B$234="Да",IF(IF('01_Вводные'!$B$296="Новый сезон",TRUE,TRUE),'06_Сеть_и_дети'!E69*CapacityAge17*'19_Расчет_аналитики'!$F$4259,0),0)</f>
        <v/>
      </c>
      <c r="F4584">
        <f>IF('01_Вводные'!$B$234="Да",IF(IF('01_Вводные'!$B$296="Новый сезон",TRUE,TRUE),'06_Сеть_и_дети'!F69*CapacityAge17*'19_Расчет_аналитики'!$F$4259,0),0)</f>
        <v/>
      </c>
      <c r="G4584">
        <f>IF('01_Вводные'!$B$234="Да",IF(IF('01_Вводные'!$B$296="Новый сезон",TRUE,TRUE),'06_Сеть_и_дети'!G69*CapacityAge17*'19_Расчет_аналитики'!$F$4259,0),0)</f>
        <v/>
      </c>
      <c r="H4584">
        <f>IF('01_Вводные'!$B$234="Да",IF(IF('01_Вводные'!$B$296="Новый сезон",TRUE,TRUE),'06_Сеть_и_дети'!H69*CapacityAge17*'19_Расчет_аналитики'!$F$4259,0),0)</f>
        <v/>
      </c>
      <c r="I4584">
        <f>IF('01_Вводные'!$B$234="Да",IF(IF('01_Вводные'!$B$296="Новый сезон",TRUE,TRUE),'06_Сеть_и_дети'!I69*CapacityAge17*'19_Расчет_аналитики'!$F$4259,0),0)</f>
        <v/>
      </c>
      <c r="J4584">
        <f>IF('01_Вводные'!$B$234="Да",IF(IF('01_Вводные'!$B$296="Новый сезон",TRUE,TRUE),'06_Сеть_и_дети'!J69*CapacityAge17*'19_Расчет_аналитики'!$F$4259,0),0)</f>
        <v/>
      </c>
      <c r="K4584">
        <f>IF('01_Вводные'!$B$234="Да",IF(IF('01_Вводные'!$B$296="Новый сезон",TRUE,TRUE),'06_Сеть_и_дети'!K69*CapacityAge17*'19_Расчет_аналитики'!$F$4259,0),0)</f>
        <v/>
      </c>
      <c r="L4584">
        <f>IF('01_Вводные'!$B$234="Да",IF(IF('01_Вводные'!$B$296="Новый сезон",TRUE,TRUE),'06_Сеть_и_дети'!L69*CapacityAge17*'19_Расчет_аналитики'!$F$4259,0),0)</f>
        <v/>
      </c>
      <c r="M4584">
        <f>IF('01_Вводные'!$B$234="Да",IF(IF('01_Вводные'!$B$296="Новый сезон",TRUE,TRUE),'06_Сеть_и_дети'!M69*CapacityAge17*'19_Расчет_аналитики'!$F$4259,0),0)</f>
        <v/>
      </c>
      <c r="N4584">
        <f>IF('01_Вводные'!$B$234="Да",IF(IF('01_Вводные'!$B$296="Новый сезон",TRUE,TRUE),'06_Сеть_и_дети'!N69*CapacityAge17*'19_Расчет_аналитики'!$F$4259,0),0)</f>
        <v/>
      </c>
      <c r="O4584">
        <f>IF('01_Вводные'!$B$234="Да",IF(IF('01_Вводные'!$B$296="Новый сезон",TRUE,TRUE),'06_Сеть_и_дети'!O69*CapacityAge17*'19_Расчет_аналитики'!$F$4259,0),0)</f>
        <v/>
      </c>
      <c r="P4584">
        <f>IF('01_Вводные'!$B$234="Да",IF(IF('01_Вводные'!$B$296="Новый сезон",TRUE,TRUE),'06_Сеть_и_дети'!P69*CapacityAge17*'19_Расчет_аналитики'!$F$4259,0),0)</f>
        <v/>
      </c>
      <c r="Q4584">
        <f>IF('01_Вводные'!$B$234="Да",IF(IF('01_Вводные'!$B$296="Новый сезон",TRUE,TRUE),'06_Сеть_и_дети'!Q69*CapacityAge17*'19_Расчет_аналитики'!$F$4259,0),0)</f>
        <v/>
      </c>
      <c r="R4584">
        <f>IF('01_Вводные'!$B$234="Да",IF(IF('01_Вводные'!$B$296="Новый сезон",TRUE,TRUE),'19_Расчет_аналитики'!R4472*CapacityAge17*'19_Расчет_аналитики'!$F$4259,0),0)</f>
        <v/>
      </c>
      <c r="S4584">
        <f>IF('01_Вводные'!$B$234="Да",IF(IF('01_Вводные'!$B$296="Новый сезон",TRUE,TRUE),'19_Расчет_аналитики'!S4472*CapacityAge17*'19_Расчет_аналитики'!$F$4259,0),0)</f>
        <v/>
      </c>
      <c r="T4584">
        <f>IF('01_Вводные'!$B$234="Да",IF(IF('01_Вводные'!$B$296="Новый сезон",TRUE,TRUE),'19_Расчет_аналитики'!T4472*CapacityAge17*'19_Расчет_аналитики'!$F$4259,0),0)</f>
        <v/>
      </c>
      <c r="U4584">
        <f>IF('01_Вводные'!$B$234="Да",IF(IF('01_Вводные'!$B$296="Новый сезон",TRUE,TRUE),'19_Расчет_аналитики'!U4472*CapacityAge17*'19_Расчет_аналитики'!$F$4259,0),0)</f>
        <v/>
      </c>
      <c r="V4584">
        <f>IF('01_Вводные'!$B$234="Да",IF(IF('01_Вводные'!$B$296="Новый сезон",TRUE,TRUE),'19_Расчет_аналитики'!V4472*CapacityAge17*'19_Расчет_аналитики'!$F$4259,0),0)</f>
        <v/>
      </c>
      <c r="W4584">
        <f>IF('01_Вводные'!$B$234="Да",IF(IF('01_Вводные'!$B$296="Новый сезон",TRUE,TRUE),'19_Расчет_аналитики'!W4472*CapacityAge17*'19_Расчет_аналитики'!$F$4259,0),0)</f>
        <v/>
      </c>
      <c r="X4584">
        <f>IF('01_Вводные'!$B$234="Да",IF(IF('01_Вводные'!$B$296="Новый сезон",TRUE,TRUE),'19_Расчет_аналитики'!X4472*CapacityAge17*'19_Расчет_аналитики'!$F$4259,0),0)</f>
        <v/>
      </c>
      <c r="Y4584">
        <f>IF('01_Вводные'!$B$234="Да",IF(IF('01_Вводные'!$B$296="Новый сезон",TRUE,TRUE),'19_Расчет_аналитики'!Y4472*CapacityAge17*'19_Расчет_аналитики'!$F$4259,0),0)</f>
        <v/>
      </c>
      <c r="Z4584">
        <f>IF('01_Вводные'!$B$234="Да",IF(IF('01_Вводные'!$B$296="Новый сезон",TRUE,TRUE),'19_Расчет_аналитики'!Z4472*CapacityAge17*'19_Расчет_аналитики'!$F$4259,0),0)</f>
        <v/>
      </c>
      <c r="AA4584">
        <f>IF('01_Вводные'!$B$234="Да",IF(IF('01_Вводные'!$B$296="Новый сезон",TRUE,TRUE),'19_Расчет_аналитики'!AA4472*CapacityAge17*'19_Расчет_аналитики'!$F$4259,0),0)</f>
        <v/>
      </c>
      <c r="AB4584">
        <f>IF('01_Вводные'!$B$234="Да",IF(IF('01_Вводные'!$B$296="Новый сезон",TRUE,TRUE),'19_Расчет_аналитики'!AB4472*CapacityAge17*'19_Расчет_аналитики'!$F$4259,0),0)</f>
        <v/>
      </c>
      <c r="AC4584">
        <f>IF('01_Вводные'!$B$234="Да",IF(IF('01_Вводные'!$B$296="Новый сезон",TRUE,TRUE),'19_Расчет_аналитики'!AC4472*CapacityAge17*'19_Расчет_аналитики'!$F$4259,0),0)</f>
        <v/>
      </c>
      <c r="AD4584">
        <f>IF('01_Вводные'!$B$234="Да",IF(IF('01_Вводные'!$B$296="Новый сезон",TRUE,TRUE),'19_Расчет_аналитики'!AD4472*CapacityAge17*'19_Расчет_аналитики'!$F$4259,0),0)</f>
        <v/>
      </c>
      <c r="AE4584">
        <f>IF('01_Вводные'!$B$234="Да",IF(IF('01_Вводные'!$B$296="Новый сезон",TRUE,TRUE),'19_Расчет_аналитики'!AE4472*CapacityAge17*'19_Расчет_аналитики'!$F$4259,0),0)</f>
        <v/>
      </c>
      <c r="AF4584">
        <f>IF('01_Вводные'!$B$234="Да",IF(IF('01_Вводные'!$B$296="Новый сезон",TRUE,TRUE),'19_Расчет_аналитики'!AF4472*CapacityAge17*'19_Расчет_аналитики'!$F$4259,0),0)</f>
        <v/>
      </c>
      <c r="AG4584">
        <f>IF('01_Вводные'!$B$234="Да",IF(IF('01_Вводные'!$B$296="Новый сезон",TRUE,TRUE),'19_Расчет_аналитики'!AG4472*CapacityAge17*'19_Расчет_аналитики'!$F$4259,0),0)</f>
        <v/>
      </c>
      <c r="AH4584">
        <f>IF('01_Вводные'!$B$234="Да",IF(IF('01_Вводные'!$B$296="Новый сезон",TRUE,TRUE),'19_Расчет_аналитики'!AH4472*CapacityAge17*'19_Расчет_аналитики'!$F$4259,0),0)</f>
        <v/>
      </c>
      <c r="AI4584">
        <f>IF('01_Вводные'!$B$234="Да",IF(IF('01_Вводные'!$B$296="Новый сезон",TRUE,TRUE),'19_Расчет_аналитики'!AI4472*CapacityAge17*'19_Расчет_аналитики'!$F$4259,0),0)</f>
        <v/>
      </c>
      <c r="AJ4584">
        <f>IF('01_Вводные'!$B$234="Да",IF(IF('01_Вводные'!$B$296="Новый сезон",TRUE,TRUE),'19_Расчет_аналитики'!AJ4472*CapacityAge17*'19_Расчет_аналитики'!$F$4259,0),0)</f>
        <v/>
      </c>
      <c r="AK4584">
        <f>IF('01_Вводные'!$B$234="Да",IF(IF('01_Вводные'!$B$296="Новый сезон",TRUE,TRUE),'19_Расчет_аналитики'!AK4472*CapacityAge17*'19_Расчет_аналитики'!$F$4259,0),0)</f>
        <v/>
      </c>
      <c r="AL4584">
        <f>IF('01_Вводные'!$B$234="Да",IF(IF('01_Вводные'!$B$296="Новый сезон",TRUE,TRUE),'19_Расчет_аналитики'!AL4472*CapacityAge17*'19_Расчет_аналитики'!$F$4259,0),0)</f>
        <v/>
      </c>
      <c r="AM4584">
        <f>IF('01_Вводные'!$B$234="Да",IF(IF('01_Вводные'!$B$296="Новый сезон",TRUE,TRUE),'19_Расчет_аналитики'!AM4472*CapacityAge17*'19_Расчет_аналитики'!$F$4259,0),0)</f>
        <v/>
      </c>
      <c r="AN4584">
        <f>IF('01_Вводные'!$B$234="Да",IF(IF('01_Вводные'!$B$296="Новый сезон",TRUE,TRUE),'19_Расчет_аналитики'!AN4472*CapacityAge17*'19_Расчет_аналитики'!$F$4259,0),0)</f>
        <v/>
      </c>
      <c r="AO4584">
        <f>IF('01_Вводные'!$B$234="Да",IF(IF('01_Вводные'!$B$296="Новый сезон",TRUE,TRUE),'19_Расчет_аналитики'!AO4472*CapacityAge17*'19_Расчет_аналитики'!$F$4259,0),0)</f>
        <v/>
      </c>
      <c r="AP4584">
        <f>IF('01_Вводные'!$B$234="Да",IF(IF('01_Вводные'!$B$296="Новый сезон",TRUE,TRUE),'19_Расчет_аналитики'!AP4472*CapacityAge17*'19_Расчет_аналитики'!$F$4259,0),0)</f>
        <v/>
      </c>
      <c r="AQ4584">
        <f>IF('01_Вводные'!$B$234="Да",IF(IF('01_Вводные'!$B$296="Новый сезон",TRUE,TRUE),'19_Расчет_аналитики'!AQ4472*CapacityAge17*'19_Расчет_аналитики'!$F$4259,0),0)</f>
        <v/>
      </c>
      <c r="AR4584">
        <f>IF('01_Вводные'!$B$234="Да",IF(IF('01_Вводные'!$B$296="Новый сезон",TRUE,TRUE),'19_Расчет_аналитики'!AR4472*CapacityAge17*'19_Расчет_аналитики'!$F$4259,0),0)</f>
        <v/>
      </c>
      <c r="AS4584">
        <f>IF('01_Вводные'!$B$234="Да",IF(IF('01_Вводные'!$B$296="Новый сезон",TRUE,TRUE),'19_Расчет_аналитики'!AS4472*CapacityAge17*'19_Расчет_аналитики'!$F$4259,0),0)</f>
        <v/>
      </c>
      <c r="AT4584">
        <f>IF('01_Вводные'!$B$234="Да",IF(IF('01_Вводные'!$B$296="Новый сезон",TRUE,TRUE),'19_Расчет_аналитики'!AT4472*CapacityAge17*'19_Расчет_аналитики'!$F$4259,0),0)</f>
        <v/>
      </c>
      <c r="AU4584">
        <f>IF('01_Вводные'!$B$234="Да",IF(IF('01_Вводные'!$B$296="Новый сезон",TRUE,TRUE),'19_Расчет_аналитики'!AU4472*CapacityAge17*'19_Расчет_аналитики'!$F$4259,0),0)</f>
        <v/>
      </c>
      <c r="AV4584">
        <f>IF('01_Вводные'!$B$234="Да",IF(IF('01_Вводные'!$B$296="Новый сезон",TRUE,TRUE),'19_Расчет_аналитики'!AV4472*CapacityAge17*'19_Расчет_аналитики'!$F$4259,0),0)</f>
        <v/>
      </c>
      <c r="AW4584">
        <f>IF('01_Вводные'!$B$234="Да",IF(IF('01_Вводные'!$B$296="Новый сезон",TRUE,TRUE),'19_Расчет_аналитики'!AW4472*CapacityAge17*'19_Расчет_аналитики'!$F$4259,0),0)</f>
        <v/>
      </c>
      <c r="AX4584">
        <f>IF('01_Вводные'!$B$234="Да",IF(IF('01_Вводные'!$B$296="Новый сезон",TRUE,TRUE),'19_Расчет_аналитики'!AX4472*CapacityAge17*'19_Расчет_аналитики'!$F$4259,0),0)</f>
        <v/>
      </c>
      <c r="AY4584">
        <f>IF('01_Вводные'!$B$234="Да",IF(IF('01_Вводные'!$B$296="Новый сезон",TRUE,TRUE),'19_Расчет_аналитики'!AY4472*CapacityAge17*'19_Расчет_аналитики'!$F$4259,0),0)</f>
        <v/>
      </c>
      <c r="AZ4584">
        <f>IF('01_Вводные'!$B$234="Да",IF(IF('01_Вводные'!$B$296="Новый сезон",TRUE,TRUE),'19_Расчет_аналитики'!AZ4472*CapacityAge17*'19_Расчет_аналитики'!$F$4259,0),0)</f>
        <v/>
      </c>
      <c r="BA4584">
        <f>IF('01_Вводные'!$B$234="Да",IF(IF('01_Вводные'!$B$296="Новый сезон",TRUE,TRUE),'19_Расчет_аналитики'!BA4472*CapacityAge17*'19_Расчет_аналитики'!$F$4259,0),0)</f>
        <v/>
      </c>
      <c r="BB4584">
        <f>IF('01_Вводные'!$B$234="Да",IF(IF('01_Вводные'!$B$296="Новый сезон",TRUE,TRUE),'19_Расчет_аналитики'!BB4472*CapacityAge17*'19_Расчет_аналитики'!$F$4259,0),0)</f>
        <v/>
      </c>
      <c r="BC4584">
        <f>IF('01_Вводные'!$B$234="Да",IF(IF('01_Вводные'!$B$296="Новый сезон",TRUE,TRUE),'19_Расчет_аналитики'!BC4472*CapacityAge17*'19_Расчет_аналитики'!$F$4259,0),0)</f>
        <v/>
      </c>
      <c r="BD4584">
        <f>IF('01_Вводные'!$B$234="Да",IF(IF('01_Вводные'!$B$296="Новый сезон",TRUE,TRUE),'19_Расчет_аналитики'!BD4472*CapacityAge17*'19_Расчет_аналитики'!$F$4259,0),0)</f>
        <v/>
      </c>
      <c r="BE4584">
        <f>IF('01_Вводные'!$B$234="Да",IF(IF('01_Вводные'!$B$296="Новый сезон",TRUE,TRUE),'19_Расчет_аналитики'!BE4472*CapacityAge17*'19_Расчет_аналитики'!$F$4259,0),0)</f>
        <v/>
      </c>
      <c r="BF4584">
        <f>IF('01_Вводные'!$B$234="Да",IF(IF('01_Вводные'!$B$296="Новый сезон",TRUE,TRUE),'19_Расчет_аналитики'!BF4472*CapacityAge17*'19_Расчет_аналитики'!$F$4259,0),0)</f>
        <v/>
      </c>
      <c r="BG4584">
        <f>IF('01_Вводные'!$B$234="Да",IF(IF('01_Вводные'!$B$296="Новый сезон",TRUE,TRUE),'19_Расчет_аналитики'!BG4472*CapacityAge17*'19_Расчет_аналитики'!$F$4259,0),0)</f>
        <v/>
      </c>
      <c r="BH4584">
        <f>IF('01_Вводные'!$B$234="Да",IF(IF('01_Вводные'!$B$296="Новый сезон",TRUE,TRUE),'19_Расчет_аналитики'!BH4472*CapacityAge17*'19_Расчет_аналитики'!$F$4259,0),0)</f>
        <v/>
      </c>
      <c r="BI4584">
        <f>IF('01_Вводные'!$B$234="Да",IF(IF('01_Вводные'!$B$296="Новый сезон",TRUE,TRUE),'19_Расчет_аналитики'!BI4472*CapacityAge17*'19_Расчет_аналитики'!$F$4259,0),0)</f>
        <v/>
      </c>
      <c r="BJ4584">
        <f>IF('01_Вводные'!$B$234="Да",IF(IF('01_Вводные'!$B$296="Новый сезон",TRUE,TRUE),'19_Расчет_аналитики'!BJ4472*CapacityAge17*'19_Расчет_аналитики'!$F$4259,0),0)</f>
        <v/>
      </c>
      <c r="BK4584">
        <f>IF('01_Вводные'!$B$234="Да",IF(IF('01_Вводные'!$B$296="Новый сезон",TRUE,TRUE),'19_Расчет_аналитики'!BK4472*CapacityAge17*'19_Расчет_аналитики'!$F$4259,0),0)</f>
        <v/>
      </c>
      <c r="BL4584">
        <f>IF('01_Вводные'!$B$234="Да",IF(IF('01_Вводные'!$B$296="Новый сезон",TRUE,TRUE),'19_Расчет_аналитики'!BL4472*CapacityAge17*'19_Расчет_аналитики'!$F$4259,0),0)</f>
        <v/>
      </c>
      <c r="BM4584">
        <f>IF('01_Вводные'!$B$234="Да",IF(IF('01_Вводные'!$B$296="Новый сезон",TRUE,TRUE),'19_Расчет_аналитики'!BM4472*CapacityAge17*'19_Расчет_аналитики'!$F$4259,0),0)</f>
        <v/>
      </c>
      <c r="BN4584">
        <f>IF('01_Вводные'!$B$234="Да",IF(IF('01_Вводные'!$B$296="Новый сезон",TRUE,TRUE),'19_Расчет_аналитики'!BN4472*CapacityAge17*'19_Расчет_аналитики'!$F$4259,0),0)</f>
        <v/>
      </c>
      <c r="BO4584">
        <f>IF('01_Вводные'!$B$234="Да",IF(IF('01_Вводные'!$B$296="Новый сезон",TRUE,TRUE),'19_Расчет_аналитики'!BO4472*CapacityAge17*'19_Расчет_аналитики'!$F$4259,0),0)</f>
        <v/>
      </c>
    </row>
    <row r="4585">
      <c r="B4585">
        <f>IF('01_Вводные'!$B$234="Да",IF(IF('01_Вводные'!$B$296="Новый сезон",TRUE,TRUE),'06_Сеть_и_дети'!B70*CapacityAge18*'19_Расчет_аналитики'!$F$4259,0),0)</f>
        <v/>
      </c>
      <c r="C4585">
        <f>IF('01_Вводные'!$B$234="Да",IF(IF('01_Вводные'!$B$296="Новый сезон",TRUE,TRUE),'06_Сеть_и_дети'!C70*CapacityAge18*'19_Расчет_аналитики'!$F$4259,0),0)</f>
        <v/>
      </c>
      <c r="D4585">
        <f>IF('01_Вводные'!$B$234="Да",IF(IF('01_Вводные'!$B$296="Новый сезон",TRUE,TRUE),'06_Сеть_и_дети'!D70*CapacityAge18*'19_Расчет_аналитики'!$F$4259,0),0)</f>
        <v/>
      </c>
      <c r="E4585">
        <f>IF('01_Вводные'!$B$234="Да",IF(IF('01_Вводные'!$B$296="Новый сезон",TRUE,TRUE),'06_Сеть_и_дети'!E70*CapacityAge18*'19_Расчет_аналитики'!$F$4259,0),0)</f>
        <v/>
      </c>
      <c r="F4585">
        <f>IF('01_Вводные'!$B$234="Да",IF(IF('01_Вводные'!$B$296="Новый сезон",TRUE,TRUE),'06_Сеть_и_дети'!F70*CapacityAge18*'19_Расчет_аналитики'!$F$4259,0),0)</f>
        <v/>
      </c>
      <c r="G4585">
        <f>IF('01_Вводные'!$B$234="Да",IF(IF('01_Вводные'!$B$296="Новый сезон",TRUE,TRUE),'06_Сеть_и_дети'!G70*CapacityAge18*'19_Расчет_аналитики'!$F$4259,0),0)</f>
        <v/>
      </c>
      <c r="H4585">
        <f>IF('01_Вводные'!$B$234="Да",IF(IF('01_Вводные'!$B$296="Новый сезон",TRUE,TRUE),'06_Сеть_и_дети'!H70*CapacityAge18*'19_Расчет_аналитики'!$F$4259,0),0)</f>
        <v/>
      </c>
      <c r="I4585">
        <f>IF('01_Вводные'!$B$234="Да",IF(IF('01_Вводные'!$B$296="Новый сезон",TRUE,TRUE),'06_Сеть_и_дети'!I70*CapacityAge18*'19_Расчет_аналитики'!$F$4259,0),0)</f>
        <v/>
      </c>
      <c r="J4585">
        <f>IF('01_Вводные'!$B$234="Да",IF(IF('01_Вводные'!$B$296="Новый сезон",TRUE,TRUE),'06_Сеть_и_дети'!J70*CapacityAge18*'19_Расчет_аналитики'!$F$4259,0),0)</f>
        <v/>
      </c>
      <c r="K4585">
        <f>IF('01_Вводные'!$B$234="Да",IF(IF('01_Вводные'!$B$296="Новый сезон",TRUE,TRUE),'06_Сеть_и_дети'!K70*CapacityAge18*'19_Расчет_аналитики'!$F$4259,0),0)</f>
        <v/>
      </c>
      <c r="L4585">
        <f>IF('01_Вводные'!$B$234="Да",IF(IF('01_Вводные'!$B$296="Новый сезон",TRUE,TRUE),'06_Сеть_и_дети'!L70*CapacityAge18*'19_Расчет_аналитики'!$F$4259,0),0)</f>
        <v/>
      </c>
      <c r="M4585">
        <f>IF('01_Вводные'!$B$234="Да",IF(IF('01_Вводные'!$B$296="Новый сезон",TRUE,TRUE),'06_Сеть_и_дети'!M70*CapacityAge18*'19_Расчет_аналитики'!$F$4259,0),0)</f>
        <v/>
      </c>
      <c r="N4585">
        <f>IF('01_Вводные'!$B$234="Да",IF(IF('01_Вводные'!$B$296="Новый сезон",TRUE,TRUE),'06_Сеть_и_дети'!N70*CapacityAge18*'19_Расчет_аналитики'!$F$4259,0),0)</f>
        <v/>
      </c>
      <c r="O4585">
        <f>IF('01_Вводные'!$B$234="Да",IF(IF('01_Вводные'!$B$296="Новый сезон",TRUE,TRUE),'06_Сеть_и_дети'!O70*CapacityAge18*'19_Расчет_аналитики'!$F$4259,0),0)</f>
        <v/>
      </c>
      <c r="P4585">
        <f>IF('01_Вводные'!$B$234="Да",IF(IF('01_Вводные'!$B$296="Новый сезон",TRUE,TRUE),'06_Сеть_и_дети'!P70*CapacityAge18*'19_Расчет_аналитики'!$F$4259,0),0)</f>
        <v/>
      </c>
      <c r="Q4585">
        <f>IF('01_Вводные'!$B$234="Да",IF(IF('01_Вводные'!$B$296="Новый сезон",TRUE,TRUE),'06_Сеть_и_дети'!Q70*CapacityAge18*'19_Расчет_аналитики'!$F$4259,0),0)</f>
        <v/>
      </c>
      <c r="R4585">
        <f>IF('01_Вводные'!$B$234="Да",IF(IF('01_Вводные'!$B$296="Новый сезон",TRUE,TRUE),'06_Сеть_и_дети'!R70*CapacityAge18*'19_Расчет_аналитики'!$F$4259,0),0)</f>
        <v/>
      </c>
      <c r="S4585">
        <f>IF('01_Вводные'!$B$234="Да",IF(IF('01_Вводные'!$B$296="Новый сезон",TRUE,TRUE),'19_Расчет_аналитики'!S4473*CapacityAge18*'19_Расчет_аналитики'!$F$4259,0),0)</f>
        <v/>
      </c>
      <c r="T4585">
        <f>IF('01_Вводные'!$B$234="Да",IF(IF('01_Вводные'!$B$296="Новый сезон",TRUE,TRUE),'19_Расчет_аналитики'!T4473*CapacityAge18*'19_Расчет_аналитики'!$F$4259,0),0)</f>
        <v/>
      </c>
      <c r="U4585">
        <f>IF('01_Вводные'!$B$234="Да",IF(IF('01_Вводные'!$B$296="Новый сезон",TRUE,TRUE),'19_Расчет_аналитики'!U4473*CapacityAge18*'19_Расчет_аналитики'!$F$4259,0),0)</f>
        <v/>
      </c>
      <c r="V4585">
        <f>IF('01_Вводные'!$B$234="Да",IF(IF('01_Вводные'!$B$296="Новый сезон",TRUE,TRUE),'19_Расчет_аналитики'!V4473*CapacityAge18*'19_Расчет_аналитики'!$F$4259,0),0)</f>
        <v/>
      </c>
      <c r="W4585">
        <f>IF('01_Вводные'!$B$234="Да",IF(IF('01_Вводные'!$B$296="Новый сезон",TRUE,TRUE),'19_Расчет_аналитики'!W4473*CapacityAge18*'19_Расчет_аналитики'!$F$4259,0),0)</f>
        <v/>
      </c>
      <c r="X4585">
        <f>IF('01_Вводные'!$B$234="Да",IF(IF('01_Вводные'!$B$296="Новый сезон",TRUE,TRUE),'19_Расчет_аналитики'!X4473*CapacityAge18*'19_Расчет_аналитики'!$F$4259,0),0)</f>
        <v/>
      </c>
      <c r="Y4585">
        <f>IF('01_Вводные'!$B$234="Да",IF(IF('01_Вводные'!$B$296="Новый сезон",TRUE,TRUE),'19_Расчет_аналитики'!Y4473*CapacityAge18*'19_Расчет_аналитики'!$F$4259,0),0)</f>
        <v/>
      </c>
      <c r="Z4585">
        <f>IF('01_Вводные'!$B$234="Да",IF(IF('01_Вводные'!$B$296="Новый сезон",TRUE,TRUE),'19_Расчет_аналитики'!Z4473*CapacityAge18*'19_Расчет_аналитики'!$F$4259,0),0)</f>
        <v/>
      </c>
      <c r="AA4585">
        <f>IF('01_Вводные'!$B$234="Да",IF(IF('01_Вводные'!$B$296="Новый сезон",TRUE,TRUE),'19_Расчет_аналитики'!AA4473*CapacityAge18*'19_Расчет_аналитики'!$F$4259,0),0)</f>
        <v/>
      </c>
      <c r="AB4585">
        <f>IF('01_Вводные'!$B$234="Да",IF(IF('01_Вводные'!$B$296="Новый сезон",TRUE,TRUE),'19_Расчет_аналитики'!AB4473*CapacityAge18*'19_Расчет_аналитики'!$F$4259,0),0)</f>
        <v/>
      </c>
      <c r="AC4585">
        <f>IF('01_Вводные'!$B$234="Да",IF(IF('01_Вводные'!$B$296="Новый сезон",TRUE,TRUE),'19_Расчет_аналитики'!AC4473*CapacityAge18*'19_Расчет_аналитики'!$F$4259,0),0)</f>
        <v/>
      </c>
      <c r="AD4585">
        <f>IF('01_Вводные'!$B$234="Да",IF(IF('01_Вводные'!$B$296="Новый сезон",TRUE,TRUE),'19_Расчет_аналитики'!AD4473*CapacityAge18*'19_Расчет_аналитики'!$F$4259,0),0)</f>
        <v/>
      </c>
      <c r="AE4585">
        <f>IF('01_Вводные'!$B$234="Да",IF(IF('01_Вводные'!$B$296="Новый сезон",TRUE,TRUE),'19_Расчет_аналитики'!AE4473*CapacityAge18*'19_Расчет_аналитики'!$F$4259,0),0)</f>
        <v/>
      </c>
      <c r="AF4585">
        <f>IF('01_Вводные'!$B$234="Да",IF(IF('01_Вводные'!$B$296="Новый сезон",TRUE,TRUE),'19_Расчет_аналитики'!AF4473*CapacityAge18*'19_Расчет_аналитики'!$F$4259,0),0)</f>
        <v/>
      </c>
      <c r="AG4585">
        <f>IF('01_Вводные'!$B$234="Да",IF(IF('01_Вводные'!$B$296="Новый сезон",TRUE,TRUE),'19_Расчет_аналитики'!AG4473*CapacityAge18*'19_Расчет_аналитики'!$F$4259,0),0)</f>
        <v/>
      </c>
      <c r="AH4585">
        <f>IF('01_Вводные'!$B$234="Да",IF(IF('01_Вводные'!$B$296="Новый сезон",TRUE,TRUE),'19_Расчет_аналитики'!AH4473*CapacityAge18*'19_Расчет_аналитики'!$F$4259,0),0)</f>
        <v/>
      </c>
      <c r="AI4585">
        <f>IF('01_Вводные'!$B$234="Да",IF(IF('01_Вводные'!$B$296="Новый сезон",TRUE,TRUE),'19_Расчет_аналитики'!AI4473*CapacityAge18*'19_Расчет_аналитики'!$F$4259,0),0)</f>
        <v/>
      </c>
      <c r="AJ4585">
        <f>IF('01_Вводные'!$B$234="Да",IF(IF('01_Вводные'!$B$296="Новый сезон",TRUE,TRUE),'19_Расчет_аналитики'!AJ4473*CapacityAge18*'19_Расчет_аналитики'!$F$4259,0),0)</f>
        <v/>
      </c>
      <c r="AK4585">
        <f>IF('01_Вводные'!$B$234="Да",IF(IF('01_Вводные'!$B$296="Новый сезон",TRUE,TRUE),'19_Расчет_аналитики'!AK4473*CapacityAge18*'19_Расчет_аналитики'!$F$4259,0),0)</f>
        <v/>
      </c>
      <c r="AL4585">
        <f>IF('01_Вводные'!$B$234="Да",IF(IF('01_Вводные'!$B$296="Новый сезон",TRUE,TRUE),'19_Расчет_аналитики'!AL4473*CapacityAge18*'19_Расчет_аналитики'!$F$4259,0),0)</f>
        <v/>
      </c>
      <c r="AM4585">
        <f>IF('01_Вводные'!$B$234="Да",IF(IF('01_Вводные'!$B$296="Новый сезон",TRUE,TRUE),'19_Расчет_аналитики'!AM4473*CapacityAge18*'19_Расчет_аналитики'!$F$4259,0),0)</f>
        <v/>
      </c>
      <c r="AN4585">
        <f>IF('01_Вводные'!$B$234="Да",IF(IF('01_Вводные'!$B$296="Новый сезон",TRUE,TRUE),'19_Расчет_аналитики'!AN4473*CapacityAge18*'19_Расчет_аналитики'!$F$4259,0),0)</f>
        <v/>
      </c>
      <c r="AO4585">
        <f>IF('01_Вводные'!$B$234="Да",IF(IF('01_Вводные'!$B$296="Новый сезон",TRUE,TRUE),'19_Расчет_аналитики'!AO4473*CapacityAge18*'19_Расчет_аналитики'!$F$4259,0),0)</f>
        <v/>
      </c>
      <c r="AP4585">
        <f>IF('01_Вводные'!$B$234="Да",IF(IF('01_Вводные'!$B$296="Новый сезон",TRUE,TRUE),'19_Расчет_аналитики'!AP4473*CapacityAge18*'19_Расчет_аналитики'!$F$4259,0),0)</f>
        <v/>
      </c>
      <c r="AQ4585">
        <f>IF('01_Вводные'!$B$234="Да",IF(IF('01_Вводные'!$B$296="Новый сезон",TRUE,TRUE),'19_Расчет_аналитики'!AQ4473*CapacityAge18*'19_Расчет_аналитики'!$F$4259,0),0)</f>
        <v/>
      </c>
      <c r="AR4585">
        <f>IF('01_Вводные'!$B$234="Да",IF(IF('01_Вводные'!$B$296="Новый сезон",TRUE,TRUE),'19_Расчет_аналитики'!AR4473*CapacityAge18*'19_Расчет_аналитики'!$F$4259,0),0)</f>
        <v/>
      </c>
      <c r="AS4585">
        <f>IF('01_Вводные'!$B$234="Да",IF(IF('01_Вводные'!$B$296="Новый сезон",TRUE,TRUE),'19_Расчет_аналитики'!AS4473*CapacityAge18*'19_Расчет_аналитики'!$F$4259,0),0)</f>
        <v/>
      </c>
      <c r="AT4585">
        <f>IF('01_Вводные'!$B$234="Да",IF(IF('01_Вводные'!$B$296="Новый сезон",TRUE,TRUE),'19_Расчет_аналитики'!AT4473*CapacityAge18*'19_Расчет_аналитики'!$F$4259,0),0)</f>
        <v/>
      </c>
      <c r="AU4585">
        <f>IF('01_Вводные'!$B$234="Да",IF(IF('01_Вводные'!$B$296="Новый сезон",TRUE,TRUE),'19_Расчет_аналитики'!AU4473*CapacityAge18*'19_Расчет_аналитики'!$F$4259,0),0)</f>
        <v/>
      </c>
      <c r="AV4585">
        <f>IF('01_Вводные'!$B$234="Да",IF(IF('01_Вводные'!$B$296="Новый сезон",TRUE,TRUE),'19_Расчет_аналитики'!AV4473*CapacityAge18*'19_Расчет_аналитики'!$F$4259,0),0)</f>
        <v/>
      </c>
      <c r="AW4585">
        <f>IF('01_Вводные'!$B$234="Да",IF(IF('01_Вводные'!$B$296="Новый сезон",TRUE,TRUE),'19_Расчет_аналитики'!AW4473*CapacityAge18*'19_Расчет_аналитики'!$F$4259,0),0)</f>
        <v/>
      </c>
      <c r="AX4585">
        <f>IF('01_Вводные'!$B$234="Да",IF(IF('01_Вводные'!$B$296="Новый сезон",TRUE,TRUE),'19_Расчет_аналитики'!AX4473*CapacityAge18*'19_Расчет_аналитики'!$F$4259,0),0)</f>
        <v/>
      </c>
      <c r="AY4585">
        <f>IF('01_Вводные'!$B$234="Да",IF(IF('01_Вводные'!$B$296="Новый сезон",TRUE,TRUE),'19_Расчет_аналитики'!AY4473*CapacityAge18*'19_Расчет_аналитики'!$F$4259,0),0)</f>
        <v/>
      </c>
      <c r="AZ4585">
        <f>IF('01_Вводные'!$B$234="Да",IF(IF('01_Вводные'!$B$296="Новый сезон",TRUE,TRUE),'19_Расчет_аналитики'!AZ4473*CapacityAge18*'19_Расчет_аналитики'!$F$4259,0),0)</f>
        <v/>
      </c>
      <c r="BA4585">
        <f>IF('01_Вводные'!$B$234="Да",IF(IF('01_Вводные'!$B$296="Новый сезон",TRUE,TRUE),'19_Расчет_аналитики'!BA4473*CapacityAge18*'19_Расчет_аналитики'!$F$4259,0),0)</f>
        <v/>
      </c>
      <c r="BB4585">
        <f>IF('01_Вводные'!$B$234="Да",IF(IF('01_Вводные'!$B$296="Новый сезон",TRUE,TRUE),'19_Расчет_аналитики'!BB4473*CapacityAge18*'19_Расчет_аналитики'!$F$4259,0),0)</f>
        <v/>
      </c>
      <c r="BC4585">
        <f>IF('01_Вводные'!$B$234="Да",IF(IF('01_Вводные'!$B$296="Новый сезон",TRUE,TRUE),'19_Расчет_аналитики'!BC4473*CapacityAge18*'19_Расчет_аналитики'!$F$4259,0),0)</f>
        <v/>
      </c>
      <c r="BD4585">
        <f>IF('01_Вводные'!$B$234="Да",IF(IF('01_Вводные'!$B$296="Новый сезон",TRUE,TRUE),'19_Расчет_аналитики'!BD4473*CapacityAge18*'19_Расчет_аналитики'!$F$4259,0),0)</f>
        <v/>
      </c>
      <c r="BE4585">
        <f>IF('01_Вводные'!$B$234="Да",IF(IF('01_Вводные'!$B$296="Новый сезон",TRUE,TRUE),'19_Расчет_аналитики'!BE4473*CapacityAge18*'19_Расчет_аналитики'!$F$4259,0),0)</f>
        <v/>
      </c>
      <c r="BF4585">
        <f>IF('01_Вводные'!$B$234="Да",IF(IF('01_Вводные'!$B$296="Новый сезон",TRUE,TRUE),'19_Расчет_аналитики'!BF4473*CapacityAge18*'19_Расчет_аналитики'!$F$4259,0),0)</f>
        <v/>
      </c>
      <c r="BG4585">
        <f>IF('01_Вводные'!$B$234="Да",IF(IF('01_Вводные'!$B$296="Новый сезон",TRUE,TRUE),'19_Расчет_аналитики'!BG4473*CapacityAge18*'19_Расчет_аналитики'!$F$4259,0),0)</f>
        <v/>
      </c>
      <c r="BH4585">
        <f>IF('01_Вводные'!$B$234="Да",IF(IF('01_Вводные'!$B$296="Новый сезон",TRUE,TRUE),'19_Расчет_аналитики'!BH4473*CapacityAge18*'19_Расчет_аналитики'!$F$4259,0),0)</f>
        <v/>
      </c>
      <c r="BI4585">
        <f>IF('01_Вводные'!$B$234="Да",IF(IF('01_Вводные'!$B$296="Новый сезон",TRUE,TRUE),'19_Расчет_аналитики'!BI4473*CapacityAge18*'19_Расчет_аналитики'!$F$4259,0),0)</f>
        <v/>
      </c>
      <c r="BJ4585">
        <f>IF('01_Вводные'!$B$234="Да",IF(IF('01_Вводные'!$B$296="Новый сезон",TRUE,TRUE),'19_Расчет_аналитики'!BJ4473*CapacityAge18*'19_Расчет_аналитики'!$F$4259,0),0)</f>
        <v/>
      </c>
      <c r="BK4585">
        <f>IF('01_Вводные'!$B$234="Да",IF(IF('01_Вводные'!$B$296="Новый сезон",TRUE,TRUE),'19_Расчет_аналитики'!BK4473*CapacityAge18*'19_Расчет_аналитики'!$F$4259,0),0)</f>
        <v/>
      </c>
      <c r="BL4585">
        <f>IF('01_Вводные'!$B$234="Да",IF(IF('01_Вводные'!$B$296="Новый сезон",TRUE,TRUE),'19_Расчет_аналитики'!BL4473*CapacityAge18*'19_Расчет_аналитики'!$F$4259,0),0)</f>
        <v/>
      </c>
      <c r="BM4585">
        <f>IF('01_Вводные'!$B$234="Да",IF(IF('01_Вводные'!$B$296="Новый сезон",TRUE,TRUE),'19_Расчет_аналитики'!BM4473*CapacityAge18*'19_Расчет_аналитики'!$F$4259,0),0)</f>
        <v/>
      </c>
      <c r="BN4585">
        <f>IF('01_Вводные'!$B$234="Да",IF(IF('01_Вводные'!$B$296="Новый сезон",TRUE,TRUE),'19_Расчет_аналитики'!BN4473*CapacityAge18*'19_Расчет_аналитики'!$F$4259,0),0)</f>
        <v/>
      </c>
      <c r="BO4585">
        <f>IF('01_Вводные'!$B$234="Да",IF(IF('01_Вводные'!$B$296="Новый сезон",TRUE,TRUE),'19_Расчет_аналитики'!BO4473*CapacityAge18*'19_Расчет_аналитики'!$F$4259,0),0)</f>
        <v/>
      </c>
    </row>
    <row r="4586">
      <c r="B4586">
        <f>IF('01_Вводные'!$B$234="Да",IF(IF('01_Вводные'!$B$296="Новый сезон",TRUE,TRUE),'06_Сеть_и_дети'!B71*CapacityAge19*'19_Расчет_аналитики'!$F$4259,0),0)</f>
        <v/>
      </c>
      <c r="C4586">
        <f>IF('01_Вводные'!$B$234="Да",IF(IF('01_Вводные'!$B$296="Новый сезон",TRUE,TRUE),'06_Сеть_и_дети'!C71*CapacityAge19*'19_Расчет_аналитики'!$F$4259,0),0)</f>
        <v/>
      </c>
      <c r="D4586">
        <f>IF('01_Вводные'!$B$234="Да",IF(IF('01_Вводные'!$B$296="Новый сезон",TRUE,TRUE),'06_Сеть_и_дети'!D71*CapacityAge19*'19_Расчет_аналитики'!$F$4259,0),0)</f>
        <v/>
      </c>
      <c r="E4586">
        <f>IF('01_Вводные'!$B$234="Да",IF(IF('01_Вводные'!$B$296="Новый сезон",TRUE,TRUE),'06_Сеть_и_дети'!E71*CapacityAge19*'19_Расчет_аналитики'!$F$4259,0),0)</f>
        <v/>
      </c>
      <c r="F4586">
        <f>IF('01_Вводные'!$B$234="Да",IF(IF('01_Вводные'!$B$296="Новый сезон",TRUE,TRUE),'06_Сеть_и_дети'!F71*CapacityAge19*'19_Расчет_аналитики'!$F$4259,0),0)</f>
        <v/>
      </c>
      <c r="G4586">
        <f>IF('01_Вводные'!$B$234="Да",IF(IF('01_Вводные'!$B$296="Новый сезон",TRUE,TRUE),'06_Сеть_и_дети'!G71*CapacityAge19*'19_Расчет_аналитики'!$F$4259,0),0)</f>
        <v/>
      </c>
      <c r="H4586">
        <f>IF('01_Вводные'!$B$234="Да",IF(IF('01_Вводные'!$B$296="Новый сезон",TRUE,TRUE),'06_Сеть_и_дети'!H71*CapacityAge19*'19_Расчет_аналитики'!$F$4259,0),0)</f>
        <v/>
      </c>
      <c r="I4586">
        <f>IF('01_Вводные'!$B$234="Да",IF(IF('01_Вводные'!$B$296="Новый сезон",TRUE,TRUE),'06_Сеть_и_дети'!I71*CapacityAge19*'19_Расчет_аналитики'!$F$4259,0),0)</f>
        <v/>
      </c>
      <c r="J4586">
        <f>IF('01_Вводные'!$B$234="Да",IF(IF('01_Вводные'!$B$296="Новый сезон",TRUE,TRUE),'06_Сеть_и_дети'!J71*CapacityAge19*'19_Расчет_аналитики'!$F$4259,0),0)</f>
        <v/>
      </c>
      <c r="K4586">
        <f>IF('01_Вводные'!$B$234="Да",IF(IF('01_Вводные'!$B$296="Новый сезон",TRUE,TRUE),'06_Сеть_и_дети'!K71*CapacityAge19*'19_Расчет_аналитики'!$F$4259,0),0)</f>
        <v/>
      </c>
      <c r="L4586">
        <f>IF('01_Вводные'!$B$234="Да",IF(IF('01_Вводные'!$B$296="Новый сезон",TRUE,TRUE),'06_Сеть_и_дети'!L71*CapacityAge19*'19_Расчет_аналитики'!$F$4259,0),0)</f>
        <v/>
      </c>
      <c r="M4586">
        <f>IF('01_Вводные'!$B$234="Да",IF(IF('01_Вводные'!$B$296="Новый сезон",TRUE,TRUE),'06_Сеть_и_дети'!M71*CapacityAge19*'19_Расчет_аналитики'!$F$4259,0),0)</f>
        <v/>
      </c>
      <c r="N4586">
        <f>IF('01_Вводные'!$B$234="Да",IF(IF('01_Вводные'!$B$296="Новый сезон",TRUE,TRUE),'06_Сеть_и_дети'!N71*CapacityAge19*'19_Расчет_аналитики'!$F$4259,0),0)</f>
        <v/>
      </c>
      <c r="O4586">
        <f>IF('01_Вводные'!$B$234="Да",IF(IF('01_Вводные'!$B$296="Новый сезон",TRUE,TRUE),'06_Сеть_и_дети'!O71*CapacityAge19*'19_Расчет_аналитики'!$F$4259,0),0)</f>
        <v/>
      </c>
      <c r="P4586">
        <f>IF('01_Вводные'!$B$234="Да",IF(IF('01_Вводные'!$B$296="Новый сезон",TRUE,TRUE),'06_Сеть_и_дети'!P71*CapacityAge19*'19_Расчет_аналитики'!$F$4259,0),0)</f>
        <v/>
      </c>
      <c r="Q4586">
        <f>IF('01_Вводные'!$B$234="Да",IF(IF('01_Вводные'!$B$296="Новый сезон",TRUE,TRUE),'06_Сеть_и_дети'!Q71*CapacityAge19*'19_Расчет_аналитики'!$F$4259,0),0)</f>
        <v/>
      </c>
      <c r="R4586">
        <f>IF('01_Вводные'!$B$234="Да",IF(IF('01_Вводные'!$B$296="Новый сезон",TRUE,TRUE),'06_Сеть_и_дети'!R71*CapacityAge19*'19_Расчет_аналитики'!$F$4259,0),0)</f>
        <v/>
      </c>
      <c r="S4586">
        <f>IF('01_Вводные'!$B$234="Да",IF(IF('01_Вводные'!$B$296="Новый сезон",TRUE,TRUE),'06_Сеть_и_дети'!S71*CapacityAge19*'19_Расчет_аналитики'!$F$4259,0),0)</f>
        <v/>
      </c>
      <c r="T4586">
        <f>IF('01_Вводные'!$B$234="Да",IF(IF('01_Вводные'!$B$296="Новый сезон",TRUE,TRUE),'19_Расчет_аналитики'!T4474*CapacityAge19*'19_Расчет_аналитики'!$F$4259,0),0)</f>
        <v/>
      </c>
      <c r="U4586">
        <f>IF('01_Вводные'!$B$234="Да",IF(IF('01_Вводные'!$B$296="Новый сезон",TRUE,TRUE),'19_Расчет_аналитики'!U4474*CapacityAge19*'19_Расчет_аналитики'!$F$4259,0),0)</f>
        <v/>
      </c>
      <c r="V4586">
        <f>IF('01_Вводные'!$B$234="Да",IF(IF('01_Вводные'!$B$296="Новый сезон",TRUE,TRUE),'19_Расчет_аналитики'!V4474*CapacityAge19*'19_Расчет_аналитики'!$F$4259,0),0)</f>
        <v/>
      </c>
      <c r="W4586">
        <f>IF('01_Вводные'!$B$234="Да",IF(IF('01_Вводные'!$B$296="Новый сезон",TRUE,TRUE),'19_Расчет_аналитики'!W4474*CapacityAge19*'19_Расчет_аналитики'!$F$4259,0),0)</f>
        <v/>
      </c>
      <c r="X4586">
        <f>IF('01_Вводные'!$B$234="Да",IF(IF('01_Вводные'!$B$296="Новый сезон",TRUE,TRUE),'19_Расчет_аналитики'!X4474*CapacityAge19*'19_Расчет_аналитики'!$F$4259,0),0)</f>
        <v/>
      </c>
      <c r="Y4586">
        <f>IF('01_Вводные'!$B$234="Да",IF(IF('01_Вводные'!$B$296="Новый сезон",TRUE,TRUE),'19_Расчет_аналитики'!Y4474*CapacityAge19*'19_Расчет_аналитики'!$F$4259,0),0)</f>
        <v/>
      </c>
      <c r="Z4586">
        <f>IF('01_Вводные'!$B$234="Да",IF(IF('01_Вводные'!$B$296="Новый сезон",TRUE,TRUE),'19_Расчет_аналитики'!Z4474*CapacityAge19*'19_Расчет_аналитики'!$F$4259,0),0)</f>
        <v/>
      </c>
      <c r="AA4586">
        <f>IF('01_Вводные'!$B$234="Да",IF(IF('01_Вводные'!$B$296="Новый сезон",TRUE,TRUE),'19_Расчет_аналитики'!AA4474*CapacityAge19*'19_Расчет_аналитики'!$F$4259,0),0)</f>
        <v/>
      </c>
      <c r="AB4586">
        <f>IF('01_Вводные'!$B$234="Да",IF(IF('01_Вводные'!$B$296="Новый сезон",TRUE,TRUE),'19_Расчет_аналитики'!AB4474*CapacityAge19*'19_Расчет_аналитики'!$F$4259,0),0)</f>
        <v/>
      </c>
      <c r="AC4586">
        <f>IF('01_Вводные'!$B$234="Да",IF(IF('01_Вводные'!$B$296="Новый сезон",TRUE,TRUE),'19_Расчет_аналитики'!AC4474*CapacityAge19*'19_Расчет_аналитики'!$F$4259,0),0)</f>
        <v/>
      </c>
      <c r="AD4586">
        <f>IF('01_Вводные'!$B$234="Да",IF(IF('01_Вводные'!$B$296="Новый сезон",TRUE,TRUE),'19_Расчет_аналитики'!AD4474*CapacityAge19*'19_Расчет_аналитики'!$F$4259,0),0)</f>
        <v/>
      </c>
      <c r="AE4586">
        <f>IF('01_Вводные'!$B$234="Да",IF(IF('01_Вводные'!$B$296="Новый сезон",TRUE,TRUE),'19_Расчет_аналитики'!AE4474*CapacityAge19*'19_Расчет_аналитики'!$F$4259,0),0)</f>
        <v/>
      </c>
      <c r="AF4586">
        <f>IF('01_Вводные'!$B$234="Да",IF(IF('01_Вводные'!$B$296="Новый сезон",TRUE,TRUE),'19_Расчет_аналитики'!AF4474*CapacityAge19*'19_Расчет_аналитики'!$F$4259,0),0)</f>
        <v/>
      </c>
      <c r="AG4586">
        <f>IF('01_Вводные'!$B$234="Да",IF(IF('01_Вводные'!$B$296="Новый сезон",TRUE,TRUE),'19_Расчет_аналитики'!AG4474*CapacityAge19*'19_Расчет_аналитики'!$F$4259,0),0)</f>
        <v/>
      </c>
      <c r="AH4586">
        <f>IF('01_Вводные'!$B$234="Да",IF(IF('01_Вводные'!$B$296="Новый сезон",TRUE,TRUE),'19_Расчет_аналитики'!AH4474*CapacityAge19*'19_Расчет_аналитики'!$F$4259,0),0)</f>
        <v/>
      </c>
      <c r="AI4586">
        <f>IF('01_Вводные'!$B$234="Да",IF(IF('01_Вводные'!$B$296="Новый сезон",TRUE,TRUE),'19_Расчет_аналитики'!AI4474*CapacityAge19*'19_Расчет_аналитики'!$F$4259,0),0)</f>
        <v/>
      </c>
      <c r="AJ4586">
        <f>IF('01_Вводные'!$B$234="Да",IF(IF('01_Вводные'!$B$296="Новый сезон",TRUE,TRUE),'19_Расчет_аналитики'!AJ4474*CapacityAge19*'19_Расчет_аналитики'!$F$4259,0),0)</f>
        <v/>
      </c>
      <c r="AK4586">
        <f>IF('01_Вводные'!$B$234="Да",IF(IF('01_Вводные'!$B$296="Новый сезон",TRUE,TRUE),'19_Расчет_аналитики'!AK4474*CapacityAge19*'19_Расчет_аналитики'!$F$4259,0),0)</f>
        <v/>
      </c>
      <c r="AL4586">
        <f>IF('01_Вводные'!$B$234="Да",IF(IF('01_Вводные'!$B$296="Новый сезон",TRUE,TRUE),'19_Расчет_аналитики'!AL4474*CapacityAge19*'19_Расчет_аналитики'!$F$4259,0),0)</f>
        <v/>
      </c>
      <c r="AM4586">
        <f>IF('01_Вводные'!$B$234="Да",IF(IF('01_Вводные'!$B$296="Новый сезон",TRUE,TRUE),'19_Расчет_аналитики'!AM4474*CapacityAge19*'19_Расчет_аналитики'!$F$4259,0),0)</f>
        <v/>
      </c>
      <c r="AN4586">
        <f>IF('01_Вводные'!$B$234="Да",IF(IF('01_Вводные'!$B$296="Новый сезон",TRUE,TRUE),'19_Расчет_аналитики'!AN4474*CapacityAge19*'19_Расчет_аналитики'!$F$4259,0),0)</f>
        <v/>
      </c>
      <c r="AO4586">
        <f>IF('01_Вводные'!$B$234="Да",IF(IF('01_Вводные'!$B$296="Новый сезон",TRUE,TRUE),'19_Расчет_аналитики'!AO4474*CapacityAge19*'19_Расчет_аналитики'!$F$4259,0),0)</f>
        <v/>
      </c>
      <c r="AP4586">
        <f>IF('01_Вводные'!$B$234="Да",IF(IF('01_Вводные'!$B$296="Новый сезон",TRUE,TRUE),'19_Расчет_аналитики'!AP4474*CapacityAge19*'19_Расчет_аналитики'!$F$4259,0),0)</f>
        <v/>
      </c>
      <c r="AQ4586">
        <f>IF('01_Вводные'!$B$234="Да",IF(IF('01_Вводные'!$B$296="Новый сезон",TRUE,TRUE),'19_Расчет_аналитики'!AQ4474*CapacityAge19*'19_Расчет_аналитики'!$F$4259,0),0)</f>
        <v/>
      </c>
      <c r="AR4586">
        <f>IF('01_Вводные'!$B$234="Да",IF(IF('01_Вводные'!$B$296="Новый сезон",TRUE,TRUE),'19_Расчет_аналитики'!AR4474*CapacityAge19*'19_Расчет_аналитики'!$F$4259,0),0)</f>
        <v/>
      </c>
      <c r="AS4586">
        <f>IF('01_Вводные'!$B$234="Да",IF(IF('01_Вводные'!$B$296="Новый сезон",TRUE,TRUE),'19_Расчет_аналитики'!AS4474*CapacityAge19*'19_Расчет_аналитики'!$F$4259,0),0)</f>
        <v/>
      </c>
      <c r="AT4586">
        <f>IF('01_Вводные'!$B$234="Да",IF(IF('01_Вводные'!$B$296="Новый сезон",TRUE,TRUE),'19_Расчет_аналитики'!AT4474*CapacityAge19*'19_Расчет_аналитики'!$F$4259,0),0)</f>
        <v/>
      </c>
      <c r="AU4586">
        <f>IF('01_Вводные'!$B$234="Да",IF(IF('01_Вводные'!$B$296="Новый сезон",TRUE,TRUE),'19_Расчет_аналитики'!AU4474*CapacityAge19*'19_Расчет_аналитики'!$F$4259,0),0)</f>
        <v/>
      </c>
      <c r="AV4586">
        <f>IF('01_Вводные'!$B$234="Да",IF(IF('01_Вводные'!$B$296="Новый сезон",TRUE,TRUE),'19_Расчет_аналитики'!AV4474*CapacityAge19*'19_Расчет_аналитики'!$F$4259,0),0)</f>
        <v/>
      </c>
      <c r="AW4586">
        <f>IF('01_Вводные'!$B$234="Да",IF(IF('01_Вводные'!$B$296="Новый сезон",TRUE,TRUE),'19_Расчет_аналитики'!AW4474*CapacityAge19*'19_Расчет_аналитики'!$F$4259,0),0)</f>
        <v/>
      </c>
      <c r="AX4586">
        <f>IF('01_Вводные'!$B$234="Да",IF(IF('01_Вводные'!$B$296="Новый сезон",TRUE,TRUE),'19_Расчет_аналитики'!AX4474*CapacityAge19*'19_Расчет_аналитики'!$F$4259,0),0)</f>
        <v/>
      </c>
      <c r="AY4586">
        <f>IF('01_Вводные'!$B$234="Да",IF(IF('01_Вводные'!$B$296="Новый сезон",TRUE,TRUE),'19_Расчет_аналитики'!AY4474*CapacityAge19*'19_Расчет_аналитики'!$F$4259,0),0)</f>
        <v/>
      </c>
      <c r="AZ4586">
        <f>IF('01_Вводные'!$B$234="Да",IF(IF('01_Вводные'!$B$296="Новый сезон",TRUE,TRUE),'19_Расчет_аналитики'!AZ4474*CapacityAge19*'19_Расчет_аналитики'!$F$4259,0),0)</f>
        <v/>
      </c>
      <c r="BA4586">
        <f>IF('01_Вводные'!$B$234="Да",IF(IF('01_Вводные'!$B$296="Новый сезон",TRUE,TRUE),'19_Расчет_аналитики'!BA4474*CapacityAge19*'19_Расчет_аналитики'!$F$4259,0),0)</f>
        <v/>
      </c>
      <c r="BB4586">
        <f>IF('01_Вводные'!$B$234="Да",IF(IF('01_Вводные'!$B$296="Новый сезон",TRUE,TRUE),'19_Расчет_аналитики'!BB4474*CapacityAge19*'19_Расчет_аналитики'!$F$4259,0),0)</f>
        <v/>
      </c>
      <c r="BC4586">
        <f>IF('01_Вводные'!$B$234="Да",IF(IF('01_Вводные'!$B$296="Новый сезон",TRUE,TRUE),'19_Расчет_аналитики'!BC4474*CapacityAge19*'19_Расчет_аналитики'!$F$4259,0),0)</f>
        <v/>
      </c>
      <c r="BD4586">
        <f>IF('01_Вводные'!$B$234="Да",IF(IF('01_Вводные'!$B$296="Новый сезон",TRUE,TRUE),'19_Расчет_аналитики'!BD4474*CapacityAge19*'19_Расчет_аналитики'!$F$4259,0),0)</f>
        <v/>
      </c>
      <c r="BE4586">
        <f>IF('01_Вводные'!$B$234="Да",IF(IF('01_Вводные'!$B$296="Новый сезон",TRUE,TRUE),'19_Расчет_аналитики'!BE4474*CapacityAge19*'19_Расчет_аналитики'!$F$4259,0),0)</f>
        <v/>
      </c>
      <c r="BF4586">
        <f>IF('01_Вводные'!$B$234="Да",IF(IF('01_Вводные'!$B$296="Новый сезон",TRUE,TRUE),'19_Расчет_аналитики'!BF4474*CapacityAge19*'19_Расчет_аналитики'!$F$4259,0),0)</f>
        <v/>
      </c>
      <c r="BG4586">
        <f>IF('01_Вводные'!$B$234="Да",IF(IF('01_Вводные'!$B$296="Новый сезон",TRUE,TRUE),'19_Расчет_аналитики'!BG4474*CapacityAge19*'19_Расчет_аналитики'!$F$4259,0),0)</f>
        <v/>
      </c>
      <c r="BH4586">
        <f>IF('01_Вводные'!$B$234="Да",IF(IF('01_Вводные'!$B$296="Новый сезон",TRUE,TRUE),'19_Расчет_аналитики'!BH4474*CapacityAge19*'19_Расчет_аналитики'!$F$4259,0),0)</f>
        <v/>
      </c>
      <c r="BI4586">
        <f>IF('01_Вводные'!$B$234="Да",IF(IF('01_Вводные'!$B$296="Новый сезон",TRUE,TRUE),'19_Расчет_аналитики'!BI4474*CapacityAge19*'19_Расчет_аналитики'!$F$4259,0),0)</f>
        <v/>
      </c>
      <c r="BJ4586">
        <f>IF('01_Вводные'!$B$234="Да",IF(IF('01_Вводные'!$B$296="Новый сезон",TRUE,TRUE),'19_Расчет_аналитики'!BJ4474*CapacityAge19*'19_Расчет_аналитики'!$F$4259,0),0)</f>
        <v/>
      </c>
      <c r="BK4586">
        <f>IF('01_Вводные'!$B$234="Да",IF(IF('01_Вводные'!$B$296="Новый сезон",TRUE,TRUE),'19_Расчет_аналитики'!BK4474*CapacityAge19*'19_Расчет_аналитики'!$F$4259,0),0)</f>
        <v/>
      </c>
      <c r="BL4586">
        <f>IF('01_Вводные'!$B$234="Да",IF(IF('01_Вводные'!$B$296="Новый сезон",TRUE,TRUE),'19_Расчет_аналитики'!BL4474*CapacityAge19*'19_Расчет_аналитики'!$F$4259,0),0)</f>
        <v/>
      </c>
      <c r="BM4586">
        <f>IF('01_Вводные'!$B$234="Да",IF(IF('01_Вводные'!$B$296="Новый сезон",TRUE,TRUE),'19_Расчет_аналитики'!BM4474*CapacityAge19*'19_Расчет_аналитики'!$F$4259,0),0)</f>
        <v/>
      </c>
      <c r="BN4586">
        <f>IF('01_Вводные'!$B$234="Да",IF(IF('01_Вводные'!$B$296="Новый сезон",TRUE,TRUE),'19_Расчет_аналитики'!BN4474*CapacityAge19*'19_Расчет_аналитики'!$F$4259,0),0)</f>
        <v/>
      </c>
      <c r="BO4586">
        <f>IF('01_Вводные'!$B$234="Да",IF(IF('01_Вводные'!$B$296="Новый сезон",TRUE,TRUE),'19_Расчет_аналитики'!BO4474*CapacityAge19*'19_Расчет_аналитики'!$F$4259,0),0)</f>
        <v/>
      </c>
    </row>
    <row r="4587">
      <c r="B4587">
        <f>IF('01_Вводные'!$B$234="Да",IF(IF('01_Вводные'!$B$296="Новый сезон",TRUE,TRUE),'06_Сеть_и_дети'!B72*CapacityAge20*'19_Расчет_аналитики'!$F$4259,0),0)</f>
        <v/>
      </c>
      <c r="C4587">
        <f>IF('01_Вводные'!$B$234="Да",IF(IF('01_Вводные'!$B$296="Новый сезон",TRUE,TRUE),'06_Сеть_и_дети'!C72*CapacityAge20*'19_Расчет_аналитики'!$F$4259,0),0)</f>
        <v/>
      </c>
      <c r="D4587">
        <f>IF('01_Вводные'!$B$234="Да",IF(IF('01_Вводные'!$B$296="Новый сезон",TRUE,TRUE),'06_Сеть_и_дети'!D72*CapacityAge20*'19_Расчет_аналитики'!$F$4259,0),0)</f>
        <v/>
      </c>
      <c r="E4587">
        <f>IF('01_Вводные'!$B$234="Да",IF(IF('01_Вводные'!$B$296="Новый сезон",TRUE,TRUE),'06_Сеть_и_дети'!E72*CapacityAge20*'19_Расчет_аналитики'!$F$4259,0),0)</f>
        <v/>
      </c>
      <c r="F4587">
        <f>IF('01_Вводные'!$B$234="Да",IF(IF('01_Вводные'!$B$296="Новый сезон",TRUE,TRUE),'06_Сеть_и_дети'!F72*CapacityAge20*'19_Расчет_аналитики'!$F$4259,0),0)</f>
        <v/>
      </c>
      <c r="G4587">
        <f>IF('01_Вводные'!$B$234="Да",IF(IF('01_Вводные'!$B$296="Новый сезон",TRUE,TRUE),'06_Сеть_и_дети'!G72*CapacityAge20*'19_Расчет_аналитики'!$F$4259,0),0)</f>
        <v/>
      </c>
      <c r="H4587">
        <f>IF('01_Вводные'!$B$234="Да",IF(IF('01_Вводные'!$B$296="Новый сезон",TRUE,TRUE),'06_Сеть_и_дети'!H72*CapacityAge20*'19_Расчет_аналитики'!$F$4259,0),0)</f>
        <v/>
      </c>
      <c r="I4587">
        <f>IF('01_Вводные'!$B$234="Да",IF(IF('01_Вводные'!$B$296="Новый сезон",TRUE,TRUE),'06_Сеть_и_дети'!I72*CapacityAge20*'19_Расчет_аналитики'!$F$4259,0),0)</f>
        <v/>
      </c>
      <c r="J4587">
        <f>IF('01_Вводные'!$B$234="Да",IF(IF('01_Вводные'!$B$296="Новый сезон",TRUE,TRUE),'06_Сеть_и_дети'!J72*CapacityAge20*'19_Расчет_аналитики'!$F$4259,0),0)</f>
        <v/>
      </c>
      <c r="K4587">
        <f>IF('01_Вводные'!$B$234="Да",IF(IF('01_Вводные'!$B$296="Новый сезон",TRUE,TRUE),'06_Сеть_и_дети'!K72*CapacityAge20*'19_Расчет_аналитики'!$F$4259,0),0)</f>
        <v/>
      </c>
      <c r="L4587">
        <f>IF('01_Вводные'!$B$234="Да",IF(IF('01_Вводные'!$B$296="Новый сезон",TRUE,TRUE),'06_Сеть_и_дети'!L72*CapacityAge20*'19_Расчет_аналитики'!$F$4259,0),0)</f>
        <v/>
      </c>
      <c r="M4587">
        <f>IF('01_Вводные'!$B$234="Да",IF(IF('01_Вводные'!$B$296="Новый сезон",TRUE,TRUE),'06_Сеть_и_дети'!M72*CapacityAge20*'19_Расчет_аналитики'!$F$4259,0),0)</f>
        <v/>
      </c>
      <c r="N4587">
        <f>IF('01_Вводные'!$B$234="Да",IF(IF('01_Вводные'!$B$296="Новый сезон",TRUE,TRUE),'06_Сеть_и_дети'!N72*CapacityAge20*'19_Расчет_аналитики'!$F$4259,0),0)</f>
        <v/>
      </c>
      <c r="O4587">
        <f>IF('01_Вводные'!$B$234="Да",IF(IF('01_Вводные'!$B$296="Новый сезон",TRUE,TRUE),'06_Сеть_и_дети'!O72*CapacityAge20*'19_Расчет_аналитики'!$F$4259,0),0)</f>
        <v/>
      </c>
      <c r="P4587">
        <f>IF('01_Вводные'!$B$234="Да",IF(IF('01_Вводные'!$B$296="Новый сезон",TRUE,TRUE),'06_Сеть_и_дети'!P72*CapacityAge20*'19_Расчет_аналитики'!$F$4259,0),0)</f>
        <v/>
      </c>
      <c r="Q4587">
        <f>IF('01_Вводные'!$B$234="Да",IF(IF('01_Вводные'!$B$296="Новый сезон",TRUE,TRUE),'06_Сеть_и_дети'!Q72*CapacityAge20*'19_Расчет_аналитики'!$F$4259,0),0)</f>
        <v/>
      </c>
      <c r="R4587">
        <f>IF('01_Вводные'!$B$234="Да",IF(IF('01_Вводные'!$B$296="Новый сезон",TRUE,TRUE),'06_Сеть_и_дети'!R72*CapacityAge20*'19_Расчет_аналитики'!$F$4259,0),0)</f>
        <v/>
      </c>
      <c r="S4587">
        <f>IF('01_Вводные'!$B$234="Да",IF(IF('01_Вводные'!$B$296="Новый сезон",TRUE,TRUE),'06_Сеть_и_дети'!S72*CapacityAge20*'19_Расчет_аналитики'!$F$4259,0),0)</f>
        <v/>
      </c>
      <c r="T4587">
        <f>IF('01_Вводные'!$B$234="Да",IF(IF('01_Вводные'!$B$296="Новый сезон",TRUE,TRUE),'06_Сеть_и_дети'!T72*CapacityAge20*'19_Расчет_аналитики'!$F$4259,0),0)</f>
        <v/>
      </c>
      <c r="U4587">
        <f>IF('01_Вводные'!$B$234="Да",IF(IF('01_Вводные'!$B$296="Новый сезон",TRUE,TRUE),'19_Расчет_аналитики'!U4475*CapacityAge20*'19_Расчет_аналитики'!$F$4259,0),0)</f>
        <v/>
      </c>
      <c r="V4587">
        <f>IF('01_Вводные'!$B$234="Да",IF(IF('01_Вводные'!$B$296="Новый сезон",TRUE,TRUE),'19_Расчет_аналитики'!V4475*CapacityAge20*'19_Расчет_аналитики'!$F$4259,0),0)</f>
        <v/>
      </c>
      <c r="W4587">
        <f>IF('01_Вводные'!$B$234="Да",IF(IF('01_Вводные'!$B$296="Новый сезон",TRUE,TRUE),'19_Расчет_аналитики'!W4475*CapacityAge20*'19_Расчет_аналитики'!$F$4259,0),0)</f>
        <v/>
      </c>
      <c r="X4587">
        <f>IF('01_Вводные'!$B$234="Да",IF(IF('01_Вводные'!$B$296="Новый сезон",TRUE,TRUE),'19_Расчет_аналитики'!X4475*CapacityAge20*'19_Расчет_аналитики'!$F$4259,0),0)</f>
        <v/>
      </c>
      <c r="Y4587">
        <f>IF('01_Вводные'!$B$234="Да",IF(IF('01_Вводные'!$B$296="Новый сезон",TRUE,TRUE),'19_Расчет_аналитики'!Y4475*CapacityAge20*'19_Расчет_аналитики'!$F$4259,0),0)</f>
        <v/>
      </c>
      <c r="Z4587">
        <f>IF('01_Вводные'!$B$234="Да",IF(IF('01_Вводные'!$B$296="Новый сезон",TRUE,TRUE),'19_Расчет_аналитики'!Z4475*CapacityAge20*'19_Расчет_аналитики'!$F$4259,0),0)</f>
        <v/>
      </c>
      <c r="AA4587">
        <f>IF('01_Вводные'!$B$234="Да",IF(IF('01_Вводные'!$B$296="Новый сезон",TRUE,TRUE),'19_Расчет_аналитики'!AA4475*CapacityAge20*'19_Расчет_аналитики'!$F$4259,0),0)</f>
        <v/>
      </c>
      <c r="AB4587">
        <f>IF('01_Вводные'!$B$234="Да",IF(IF('01_Вводные'!$B$296="Новый сезон",TRUE,TRUE),'19_Расчет_аналитики'!AB4475*CapacityAge20*'19_Расчет_аналитики'!$F$4259,0),0)</f>
        <v/>
      </c>
      <c r="AC4587">
        <f>IF('01_Вводные'!$B$234="Да",IF(IF('01_Вводные'!$B$296="Новый сезон",TRUE,TRUE),'19_Расчет_аналитики'!AC4475*CapacityAge20*'19_Расчет_аналитики'!$F$4259,0),0)</f>
        <v/>
      </c>
      <c r="AD4587">
        <f>IF('01_Вводные'!$B$234="Да",IF(IF('01_Вводные'!$B$296="Новый сезон",TRUE,TRUE),'19_Расчет_аналитики'!AD4475*CapacityAge20*'19_Расчет_аналитики'!$F$4259,0),0)</f>
        <v/>
      </c>
      <c r="AE4587">
        <f>IF('01_Вводные'!$B$234="Да",IF(IF('01_Вводные'!$B$296="Новый сезон",TRUE,TRUE),'19_Расчет_аналитики'!AE4475*CapacityAge20*'19_Расчет_аналитики'!$F$4259,0),0)</f>
        <v/>
      </c>
      <c r="AF4587">
        <f>IF('01_Вводные'!$B$234="Да",IF(IF('01_Вводные'!$B$296="Новый сезон",TRUE,TRUE),'19_Расчет_аналитики'!AF4475*CapacityAge20*'19_Расчет_аналитики'!$F$4259,0),0)</f>
        <v/>
      </c>
      <c r="AG4587">
        <f>IF('01_Вводные'!$B$234="Да",IF(IF('01_Вводные'!$B$296="Новый сезон",TRUE,TRUE),'19_Расчет_аналитики'!AG4475*CapacityAge20*'19_Расчет_аналитики'!$F$4259,0),0)</f>
        <v/>
      </c>
      <c r="AH4587">
        <f>IF('01_Вводные'!$B$234="Да",IF(IF('01_Вводные'!$B$296="Новый сезон",TRUE,TRUE),'19_Расчет_аналитики'!AH4475*CapacityAge20*'19_Расчет_аналитики'!$F$4259,0),0)</f>
        <v/>
      </c>
      <c r="AI4587">
        <f>IF('01_Вводные'!$B$234="Да",IF(IF('01_Вводные'!$B$296="Новый сезон",TRUE,TRUE),'19_Расчет_аналитики'!AI4475*CapacityAge20*'19_Расчет_аналитики'!$F$4259,0),0)</f>
        <v/>
      </c>
      <c r="AJ4587">
        <f>IF('01_Вводные'!$B$234="Да",IF(IF('01_Вводные'!$B$296="Новый сезон",TRUE,TRUE),'19_Расчет_аналитики'!AJ4475*CapacityAge20*'19_Расчет_аналитики'!$F$4259,0),0)</f>
        <v/>
      </c>
      <c r="AK4587">
        <f>IF('01_Вводные'!$B$234="Да",IF(IF('01_Вводные'!$B$296="Новый сезон",TRUE,TRUE),'19_Расчет_аналитики'!AK4475*CapacityAge20*'19_Расчет_аналитики'!$F$4259,0),0)</f>
        <v/>
      </c>
      <c r="AL4587">
        <f>IF('01_Вводные'!$B$234="Да",IF(IF('01_Вводные'!$B$296="Новый сезон",TRUE,TRUE),'19_Расчет_аналитики'!AL4475*CapacityAge20*'19_Расчет_аналитики'!$F$4259,0),0)</f>
        <v/>
      </c>
      <c r="AM4587">
        <f>IF('01_Вводные'!$B$234="Да",IF(IF('01_Вводные'!$B$296="Новый сезон",TRUE,TRUE),'19_Расчет_аналитики'!AM4475*CapacityAge20*'19_Расчет_аналитики'!$F$4259,0),0)</f>
        <v/>
      </c>
      <c r="AN4587">
        <f>IF('01_Вводные'!$B$234="Да",IF(IF('01_Вводные'!$B$296="Новый сезон",TRUE,TRUE),'19_Расчет_аналитики'!AN4475*CapacityAge20*'19_Расчет_аналитики'!$F$4259,0),0)</f>
        <v/>
      </c>
      <c r="AO4587">
        <f>IF('01_Вводные'!$B$234="Да",IF(IF('01_Вводные'!$B$296="Новый сезон",TRUE,TRUE),'19_Расчет_аналитики'!AO4475*CapacityAge20*'19_Расчет_аналитики'!$F$4259,0),0)</f>
        <v/>
      </c>
      <c r="AP4587">
        <f>IF('01_Вводные'!$B$234="Да",IF(IF('01_Вводные'!$B$296="Новый сезон",TRUE,TRUE),'19_Расчет_аналитики'!AP4475*CapacityAge20*'19_Расчет_аналитики'!$F$4259,0),0)</f>
        <v/>
      </c>
      <c r="AQ4587">
        <f>IF('01_Вводные'!$B$234="Да",IF(IF('01_Вводные'!$B$296="Новый сезон",TRUE,TRUE),'19_Расчет_аналитики'!AQ4475*CapacityAge20*'19_Расчет_аналитики'!$F$4259,0),0)</f>
        <v/>
      </c>
      <c r="AR4587">
        <f>IF('01_Вводные'!$B$234="Да",IF(IF('01_Вводные'!$B$296="Новый сезон",TRUE,TRUE),'19_Расчет_аналитики'!AR4475*CapacityAge20*'19_Расчет_аналитики'!$F$4259,0),0)</f>
        <v/>
      </c>
      <c r="AS4587">
        <f>IF('01_Вводные'!$B$234="Да",IF(IF('01_Вводные'!$B$296="Новый сезон",TRUE,TRUE),'19_Расчет_аналитики'!AS4475*CapacityAge20*'19_Расчет_аналитики'!$F$4259,0),0)</f>
        <v/>
      </c>
      <c r="AT4587">
        <f>IF('01_Вводные'!$B$234="Да",IF(IF('01_Вводные'!$B$296="Новый сезон",TRUE,TRUE),'19_Расчет_аналитики'!AT4475*CapacityAge20*'19_Расчет_аналитики'!$F$4259,0),0)</f>
        <v/>
      </c>
      <c r="AU4587">
        <f>IF('01_Вводные'!$B$234="Да",IF(IF('01_Вводные'!$B$296="Новый сезон",TRUE,TRUE),'19_Расчет_аналитики'!AU4475*CapacityAge20*'19_Расчет_аналитики'!$F$4259,0),0)</f>
        <v/>
      </c>
      <c r="AV4587">
        <f>IF('01_Вводные'!$B$234="Да",IF(IF('01_Вводные'!$B$296="Новый сезон",TRUE,TRUE),'19_Расчет_аналитики'!AV4475*CapacityAge20*'19_Расчет_аналитики'!$F$4259,0),0)</f>
        <v/>
      </c>
      <c r="AW4587">
        <f>IF('01_Вводные'!$B$234="Да",IF(IF('01_Вводные'!$B$296="Новый сезон",TRUE,TRUE),'19_Расчет_аналитики'!AW4475*CapacityAge20*'19_Расчет_аналитики'!$F$4259,0),0)</f>
        <v/>
      </c>
      <c r="AX4587">
        <f>IF('01_Вводные'!$B$234="Да",IF(IF('01_Вводные'!$B$296="Новый сезон",TRUE,TRUE),'19_Расчет_аналитики'!AX4475*CapacityAge20*'19_Расчет_аналитики'!$F$4259,0),0)</f>
        <v/>
      </c>
      <c r="AY4587">
        <f>IF('01_Вводные'!$B$234="Да",IF(IF('01_Вводные'!$B$296="Новый сезон",TRUE,TRUE),'19_Расчет_аналитики'!AY4475*CapacityAge20*'19_Расчет_аналитики'!$F$4259,0),0)</f>
        <v/>
      </c>
      <c r="AZ4587">
        <f>IF('01_Вводные'!$B$234="Да",IF(IF('01_Вводные'!$B$296="Новый сезон",TRUE,TRUE),'19_Расчет_аналитики'!AZ4475*CapacityAge20*'19_Расчет_аналитики'!$F$4259,0),0)</f>
        <v/>
      </c>
      <c r="BA4587">
        <f>IF('01_Вводные'!$B$234="Да",IF(IF('01_Вводные'!$B$296="Новый сезон",TRUE,TRUE),'19_Расчет_аналитики'!BA4475*CapacityAge20*'19_Расчет_аналитики'!$F$4259,0),0)</f>
        <v/>
      </c>
      <c r="BB4587">
        <f>IF('01_Вводные'!$B$234="Да",IF(IF('01_Вводные'!$B$296="Новый сезон",TRUE,TRUE),'19_Расчет_аналитики'!BB4475*CapacityAge20*'19_Расчет_аналитики'!$F$4259,0),0)</f>
        <v/>
      </c>
      <c r="BC4587">
        <f>IF('01_Вводные'!$B$234="Да",IF(IF('01_Вводные'!$B$296="Новый сезон",TRUE,TRUE),'19_Расчет_аналитики'!BC4475*CapacityAge20*'19_Расчет_аналитики'!$F$4259,0),0)</f>
        <v/>
      </c>
      <c r="BD4587">
        <f>IF('01_Вводные'!$B$234="Да",IF(IF('01_Вводные'!$B$296="Новый сезон",TRUE,TRUE),'19_Расчет_аналитики'!BD4475*CapacityAge20*'19_Расчет_аналитики'!$F$4259,0),0)</f>
        <v/>
      </c>
      <c r="BE4587">
        <f>IF('01_Вводные'!$B$234="Да",IF(IF('01_Вводные'!$B$296="Новый сезон",TRUE,TRUE),'19_Расчет_аналитики'!BE4475*CapacityAge20*'19_Расчет_аналитики'!$F$4259,0),0)</f>
        <v/>
      </c>
      <c r="BF4587">
        <f>IF('01_Вводные'!$B$234="Да",IF(IF('01_Вводные'!$B$296="Новый сезон",TRUE,TRUE),'19_Расчет_аналитики'!BF4475*CapacityAge20*'19_Расчет_аналитики'!$F$4259,0),0)</f>
        <v/>
      </c>
      <c r="BG4587">
        <f>IF('01_Вводные'!$B$234="Да",IF(IF('01_Вводные'!$B$296="Новый сезон",TRUE,TRUE),'19_Расчет_аналитики'!BG4475*CapacityAge20*'19_Расчет_аналитики'!$F$4259,0),0)</f>
        <v/>
      </c>
      <c r="BH4587">
        <f>IF('01_Вводные'!$B$234="Да",IF(IF('01_Вводные'!$B$296="Новый сезон",TRUE,TRUE),'19_Расчет_аналитики'!BH4475*CapacityAge20*'19_Расчет_аналитики'!$F$4259,0),0)</f>
        <v/>
      </c>
      <c r="BI4587">
        <f>IF('01_Вводные'!$B$234="Да",IF(IF('01_Вводные'!$B$296="Новый сезон",TRUE,TRUE),'19_Расчет_аналитики'!BI4475*CapacityAge20*'19_Расчет_аналитики'!$F$4259,0),0)</f>
        <v/>
      </c>
      <c r="BJ4587">
        <f>IF('01_Вводные'!$B$234="Да",IF(IF('01_Вводные'!$B$296="Новый сезон",TRUE,TRUE),'19_Расчет_аналитики'!BJ4475*CapacityAge20*'19_Расчет_аналитики'!$F$4259,0),0)</f>
        <v/>
      </c>
      <c r="BK4587">
        <f>IF('01_Вводные'!$B$234="Да",IF(IF('01_Вводные'!$B$296="Новый сезон",TRUE,TRUE),'19_Расчет_аналитики'!BK4475*CapacityAge20*'19_Расчет_аналитики'!$F$4259,0),0)</f>
        <v/>
      </c>
      <c r="BL4587">
        <f>IF('01_Вводные'!$B$234="Да",IF(IF('01_Вводные'!$B$296="Новый сезон",TRUE,TRUE),'19_Расчет_аналитики'!BL4475*CapacityAge20*'19_Расчет_аналитики'!$F$4259,0),0)</f>
        <v/>
      </c>
      <c r="BM4587">
        <f>IF('01_Вводные'!$B$234="Да",IF(IF('01_Вводные'!$B$296="Новый сезон",TRUE,TRUE),'19_Расчет_аналитики'!BM4475*CapacityAge20*'19_Расчет_аналитики'!$F$4259,0),0)</f>
        <v/>
      </c>
      <c r="BN4587">
        <f>IF('01_Вводные'!$B$234="Да",IF(IF('01_Вводные'!$B$296="Новый сезон",TRUE,TRUE),'19_Расчет_аналитики'!BN4475*CapacityAge20*'19_Расчет_аналитики'!$F$4259,0),0)</f>
        <v/>
      </c>
      <c r="BO4587">
        <f>IF('01_Вводные'!$B$234="Да",IF(IF('01_Вводные'!$B$296="Новый сезон",TRUE,TRUE),'19_Расчет_аналитики'!BO4475*CapacityAge20*'19_Расчет_аналитики'!$F$4259,0),0)</f>
        <v/>
      </c>
    </row>
    <row r="4588">
      <c r="B4588">
        <f>IF('01_Вводные'!$B$234="Да",IF(IF('01_Вводные'!$B$296="Новый сезон",TRUE,TRUE),'06_Сеть_и_дети'!B73*CapacityAge21*'19_Расчет_аналитики'!$F$4259,0),0)</f>
        <v/>
      </c>
      <c r="C4588">
        <f>IF('01_Вводные'!$B$234="Да",IF(IF('01_Вводные'!$B$296="Новый сезон",TRUE,TRUE),'06_Сеть_и_дети'!C73*CapacityAge21*'19_Расчет_аналитики'!$F$4259,0),0)</f>
        <v/>
      </c>
      <c r="D4588">
        <f>IF('01_Вводные'!$B$234="Да",IF(IF('01_Вводные'!$B$296="Новый сезон",TRUE,TRUE),'06_Сеть_и_дети'!D73*CapacityAge21*'19_Расчет_аналитики'!$F$4259,0),0)</f>
        <v/>
      </c>
      <c r="E4588">
        <f>IF('01_Вводные'!$B$234="Да",IF(IF('01_Вводные'!$B$296="Новый сезон",TRUE,TRUE),'06_Сеть_и_дети'!E73*CapacityAge21*'19_Расчет_аналитики'!$F$4259,0),0)</f>
        <v/>
      </c>
      <c r="F4588">
        <f>IF('01_Вводные'!$B$234="Да",IF(IF('01_Вводные'!$B$296="Новый сезон",TRUE,TRUE),'06_Сеть_и_дети'!F73*CapacityAge21*'19_Расчет_аналитики'!$F$4259,0),0)</f>
        <v/>
      </c>
      <c r="G4588">
        <f>IF('01_Вводные'!$B$234="Да",IF(IF('01_Вводные'!$B$296="Новый сезон",TRUE,TRUE),'06_Сеть_и_дети'!G73*CapacityAge21*'19_Расчет_аналитики'!$F$4259,0),0)</f>
        <v/>
      </c>
      <c r="H4588">
        <f>IF('01_Вводные'!$B$234="Да",IF(IF('01_Вводные'!$B$296="Новый сезон",TRUE,TRUE),'06_Сеть_и_дети'!H73*CapacityAge21*'19_Расчет_аналитики'!$F$4259,0),0)</f>
        <v/>
      </c>
      <c r="I4588">
        <f>IF('01_Вводные'!$B$234="Да",IF(IF('01_Вводные'!$B$296="Новый сезон",TRUE,TRUE),'06_Сеть_и_дети'!I73*CapacityAge21*'19_Расчет_аналитики'!$F$4259,0),0)</f>
        <v/>
      </c>
      <c r="J4588">
        <f>IF('01_Вводные'!$B$234="Да",IF(IF('01_Вводные'!$B$296="Новый сезон",TRUE,TRUE),'06_Сеть_и_дети'!J73*CapacityAge21*'19_Расчет_аналитики'!$F$4259,0),0)</f>
        <v/>
      </c>
      <c r="K4588">
        <f>IF('01_Вводные'!$B$234="Да",IF(IF('01_Вводные'!$B$296="Новый сезон",TRUE,TRUE),'06_Сеть_и_дети'!K73*CapacityAge21*'19_Расчет_аналитики'!$F$4259,0),0)</f>
        <v/>
      </c>
      <c r="L4588">
        <f>IF('01_Вводные'!$B$234="Да",IF(IF('01_Вводные'!$B$296="Новый сезон",TRUE,TRUE),'06_Сеть_и_дети'!L73*CapacityAge21*'19_Расчет_аналитики'!$F$4259,0),0)</f>
        <v/>
      </c>
      <c r="M4588">
        <f>IF('01_Вводные'!$B$234="Да",IF(IF('01_Вводные'!$B$296="Новый сезон",TRUE,TRUE),'06_Сеть_и_дети'!M73*CapacityAge21*'19_Расчет_аналитики'!$F$4259,0),0)</f>
        <v/>
      </c>
      <c r="N4588">
        <f>IF('01_Вводные'!$B$234="Да",IF(IF('01_Вводные'!$B$296="Новый сезон",TRUE,TRUE),'06_Сеть_и_дети'!N73*CapacityAge21*'19_Расчет_аналитики'!$F$4259,0),0)</f>
        <v/>
      </c>
      <c r="O4588">
        <f>IF('01_Вводные'!$B$234="Да",IF(IF('01_Вводные'!$B$296="Новый сезон",TRUE,TRUE),'06_Сеть_и_дети'!O73*CapacityAge21*'19_Расчет_аналитики'!$F$4259,0),0)</f>
        <v/>
      </c>
      <c r="P4588">
        <f>IF('01_Вводные'!$B$234="Да",IF(IF('01_Вводные'!$B$296="Новый сезон",TRUE,TRUE),'06_Сеть_и_дети'!P73*CapacityAge21*'19_Расчет_аналитики'!$F$4259,0),0)</f>
        <v/>
      </c>
      <c r="Q4588">
        <f>IF('01_Вводные'!$B$234="Да",IF(IF('01_Вводные'!$B$296="Новый сезон",TRUE,TRUE),'06_Сеть_и_дети'!Q73*CapacityAge21*'19_Расчет_аналитики'!$F$4259,0),0)</f>
        <v/>
      </c>
      <c r="R4588">
        <f>IF('01_Вводные'!$B$234="Да",IF(IF('01_Вводные'!$B$296="Новый сезон",TRUE,TRUE),'06_Сеть_и_дети'!R73*CapacityAge21*'19_Расчет_аналитики'!$F$4259,0),0)</f>
        <v/>
      </c>
      <c r="S4588">
        <f>IF('01_Вводные'!$B$234="Да",IF(IF('01_Вводные'!$B$296="Новый сезон",TRUE,TRUE),'06_Сеть_и_дети'!S73*CapacityAge21*'19_Расчет_аналитики'!$F$4259,0),0)</f>
        <v/>
      </c>
      <c r="T4588">
        <f>IF('01_Вводные'!$B$234="Да",IF(IF('01_Вводные'!$B$296="Новый сезон",TRUE,TRUE),'06_Сеть_и_дети'!T73*CapacityAge21*'19_Расчет_аналитики'!$F$4259,0),0)</f>
        <v/>
      </c>
      <c r="U4588">
        <f>IF('01_Вводные'!$B$234="Да",IF(IF('01_Вводные'!$B$296="Новый сезон",TRUE,TRUE),'06_Сеть_и_дети'!U73*CapacityAge21*'19_Расчет_аналитики'!$F$4259,0),0)</f>
        <v/>
      </c>
      <c r="V4588">
        <f>IF('01_Вводные'!$B$234="Да",IF(IF('01_Вводные'!$B$296="Новый сезон",TRUE,TRUE),'19_Расчет_аналитики'!V4476*CapacityAge21*'19_Расчет_аналитики'!$F$4259,0),0)</f>
        <v/>
      </c>
      <c r="W4588">
        <f>IF('01_Вводные'!$B$234="Да",IF(IF('01_Вводные'!$B$296="Новый сезон",TRUE,TRUE),'19_Расчет_аналитики'!W4476*CapacityAge21*'19_Расчет_аналитики'!$F$4259,0),0)</f>
        <v/>
      </c>
      <c r="X4588">
        <f>IF('01_Вводные'!$B$234="Да",IF(IF('01_Вводные'!$B$296="Новый сезон",TRUE,TRUE),'19_Расчет_аналитики'!X4476*CapacityAge21*'19_Расчет_аналитики'!$F$4259,0),0)</f>
        <v/>
      </c>
      <c r="Y4588">
        <f>IF('01_Вводные'!$B$234="Да",IF(IF('01_Вводные'!$B$296="Новый сезон",TRUE,TRUE),'19_Расчет_аналитики'!Y4476*CapacityAge21*'19_Расчет_аналитики'!$F$4259,0),0)</f>
        <v/>
      </c>
      <c r="Z4588">
        <f>IF('01_Вводные'!$B$234="Да",IF(IF('01_Вводные'!$B$296="Новый сезон",TRUE,TRUE),'19_Расчет_аналитики'!Z4476*CapacityAge21*'19_Расчет_аналитики'!$F$4259,0),0)</f>
        <v/>
      </c>
      <c r="AA4588">
        <f>IF('01_Вводные'!$B$234="Да",IF(IF('01_Вводные'!$B$296="Новый сезон",TRUE,TRUE),'19_Расчет_аналитики'!AA4476*CapacityAge21*'19_Расчет_аналитики'!$F$4259,0),0)</f>
        <v/>
      </c>
      <c r="AB4588">
        <f>IF('01_Вводные'!$B$234="Да",IF(IF('01_Вводные'!$B$296="Новый сезон",TRUE,TRUE),'19_Расчет_аналитики'!AB4476*CapacityAge21*'19_Расчет_аналитики'!$F$4259,0),0)</f>
        <v/>
      </c>
      <c r="AC4588">
        <f>IF('01_Вводные'!$B$234="Да",IF(IF('01_Вводные'!$B$296="Новый сезон",TRUE,TRUE),'19_Расчет_аналитики'!AC4476*CapacityAge21*'19_Расчет_аналитики'!$F$4259,0),0)</f>
        <v/>
      </c>
      <c r="AD4588">
        <f>IF('01_Вводные'!$B$234="Да",IF(IF('01_Вводные'!$B$296="Новый сезон",TRUE,TRUE),'19_Расчет_аналитики'!AD4476*CapacityAge21*'19_Расчет_аналитики'!$F$4259,0),0)</f>
        <v/>
      </c>
      <c r="AE4588">
        <f>IF('01_Вводные'!$B$234="Да",IF(IF('01_Вводные'!$B$296="Новый сезон",TRUE,TRUE),'19_Расчет_аналитики'!AE4476*CapacityAge21*'19_Расчет_аналитики'!$F$4259,0),0)</f>
        <v/>
      </c>
      <c r="AF4588">
        <f>IF('01_Вводные'!$B$234="Да",IF(IF('01_Вводные'!$B$296="Новый сезон",TRUE,TRUE),'19_Расчет_аналитики'!AF4476*CapacityAge21*'19_Расчет_аналитики'!$F$4259,0),0)</f>
        <v/>
      </c>
      <c r="AG4588">
        <f>IF('01_Вводные'!$B$234="Да",IF(IF('01_Вводные'!$B$296="Новый сезон",TRUE,TRUE),'19_Расчет_аналитики'!AG4476*CapacityAge21*'19_Расчет_аналитики'!$F$4259,0),0)</f>
        <v/>
      </c>
      <c r="AH4588">
        <f>IF('01_Вводные'!$B$234="Да",IF(IF('01_Вводные'!$B$296="Новый сезон",TRUE,TRUE),'19_Расчет_аналитики'!AH4476*CapacityAge21*'19_Расчет_аналитики'!$F$4259,0),0)</f>
        <v/>
      </c>
      <c r="AI4588">
        <f>IF('01_Вводные'!$B$234="Да",IF(IF('01_Вводные'!$B$296="Новый сезон",TRUE,TRUE),'19_Расчет_аналитики'!AI4476*CapacityAge21*'19_Расчет_аналитики'!$F$4259,0),0)</f>
        <v/>
      </c>
      <c r="AJ4588">
        <f>IF('01_Вводные'!$B$234="Да",IF(IF('01_Вводные'!$B$296="Новый сезон",TRUE,TRUE),'19_Расчет_аналитики'!AJ4476*CapacityAge21*'19_Расчет_аналитики'!$F$4259,0),0)</f>
        <v/>
      </c>
      <c r="AK4588">
        <f>IF('01_Вводные'!$B$234="Да",IF(IF('01_Вводные'!$B$296="Новый сезон",TRUE,TRUE),'19_Расчет_аналитики'!AK4476*CapacityAge21*'19_Расчет_аналитики'!$F$4259,0),0)</f>
        <v/>
      </c>
      <c r="AL4588">
        <f>IF('01_Вводные'!$B$234="Да",IF(IF('01_Вводные'!$B$296="Новый сезон",TRUE,TRUE),'19_Расчет_аналитики'!AL4476*CapacityAge21*'19_Расчет_аналитики'!$F$4259,0),0)</f>
        <v/>
      </c>
      <c r="AM4588">
        <f>IF('01_Вводные'!$B$234="Да",IF(IF('01_Вводные'!$B$296="Новый сезон",TRUE,TRUE),'19_Расчет_аналитики'!AM4476*CapacityAge21*'19_Расчет_аналитики'!$F$4259,0),0)</f>
        <v/>
      </c>
      <c r="AN4588">
        <f>IF('01_Вводные'!$B$234="Да",IF(IF('01_Вводные'!$B$296="Новый сезон",TRUE,TRUE),'19_Расчет_аналитики'!AN4476*CapacityAge21*'19_Расчет_аналитики'!$F$4259,0),0)</f>
        <v/>
      </c>
      <c r="AO4588">
        <f>IF('01_Вводные'!$B$234="Да",IF(IF('01_Вводные'!$B$296="Новый сезон",TRUE,TRUE),'19_Расчет_аналитики'!AO4476*CapacityAge21*'19_Расчет_аналитики'!$F$4259,0),0)</f>
        <v/>
      </c>
      <c r="AP4588">
        <f>IF('01_Вводные'!$B$234="Да",IF(IF('01_Вводные'!$B$296="Новый сезон",TRUE,TRUE),'19_Расчет_аналитики'!AP4476*CapacityAge21*'19_Расчет_аналитики'!$F$4259,0),0)</f>
        <v/>
      </c>
      <c r="AQ4588">
        <f>IF('01_Вводные'!$B$234="Да",IF(IF('01_Вводные'!$B$296="Новый сезон",TRUE,TRUE),'19_Расчет_аналитики'!AQ4476*CapacityAge21*'19_Расчет_аналитики'!$F$4259,0),0)</f>
        <v/>
      </c>
      <c r="AR4588">
        <f>IF('01_Вводные'!$B$234="Да",IF(IF('01_Вводные'!$B$296="Новый сезон",TRUE,TRUE),'19_Расчет_аналитики'!AR4476*CapacityAge21*'19_Расчет_аналитики'!$F$4259,0),0)</f>
        <v/>
      </c>
      <c r="AS4588">
        <f>IF('01_Вводные'!$B$234="Да",IF(IF('01_Вводные'!$B$296="Новый сезон",TRUE,TRUE),'19_Расчет_аналитики'!AS4476*CapacityAge21*'19_Расчет_аналитики'!$F$4259,0),0)</f>
        <v/>
      </c>
      <c r="AT4588">
        <f>IF('01_Вводные'!$B$234="Да",IF(IF('01_Вводные'!$B$296="Новый сезон",TRUE,TRUE),'19_Расчет_аналитики'!AT4476*CapacityAge21*'19_Расчет_аналитики'!$F$4259,0),0)</f>
        <v/>
      </c>
      <c r="AU4588">
        <f>IF('01_Вводные'!$B$234="Да",IF(IF('01_Вводные'!$B$296="Новый сезон",TRUE,TRUE),'19_Расчет_аналитики'!AU4476*CapacityAge21*'19_Расчет_аналитики'!$F$4259,0),0)</f>
        <v/>
      </c>
      <c r="AV4588">
        <f>IF('01_Вводные'!$B$234="Да",IF(IF('01_Вводные'!$B$296="Новый сезон",TRUE,TRUE),'19_Расчет_аналитики'!AV4476*CapacityAge21*'19_Расчет_аналитики'!$F$4259,0),0)</f>
        <v/>
      </c>
      <c r="AW4588">
        <f>IF('01_Вводные'!$B$234="Да",IF(IF('01_Вводные'!$B$296="Новый сезон",TRUE,TRUE),'19_Расчет_аналитики'!AW4476*CapacityAge21*'19_Расчет_аналитики'!$F$4259,0),0)</f>
        <v/>
      </c>
      <c r="AX4588">
        <f>IF('01_Вводные'!$B$234="Да",IF(IF('01_Вводные'!$B$296="Новый сезон",TRUE,TRUE),'19_Расчет_аналитики'!AX4476*CapacityAge21*'19_Расчет_аналитики'!$F$4259,0),0)</f>
        <v/>
      </c>
      <c r="AY4588">
        <f>IF('01_Вводные'!$B$234="Да",IF(IF('01_Вводные'!$B$296="Новый сезон",TRUE,TRUE),'19_Расчет_аналитики'!AY4476*CapacityAge21*'19_Расчет_аналитики'!$F$4259,0),0)</f>
        <v/>
      </c>
      <c r="AZ4588">
        <f>IF('01_Вводные'!$B$234="Да",IF(IF('01_Вводные'!$B$296="Новый сезон",TRUE,TRUE),'19_Расчет_аналитики'!AZ4476*CapacityAge21*'19_Расчет_аналитики'!$F$4259,0),0)</f>
        <v/>
      </c>
      <c r="BA4588">
        <f>IF('01_Вводные'!$B$234="Да",IF(IF('01_Вводные'!$B$296="Новый сезон",TRUE,TRUE),'19_Расчет_аналитики'!BA4476*CapacityAge21*'19_Расчет_аналитики'!$F$4259,0),0)</f>
        <v/>
      </c>
      <c r="BB4588">
        <f>IF('01_Вводные'!$B$234="Да",IF(IF('01_Вводные'!$B$296="Новый сезон",TRUE,TRUE),'19_Расчет_аналитики'!BB4476*CapacityAge21*'19_Расчет_аналитики'!$F$4259,0),0)</f>
        <v/>
      </c>
      <c r="BC4588">
        <f>IF('01_Вводные'!$B$234="Да",IF(IF('01_Вводные'!$B$296="Новый сезон",TRUE,TRUE),'19_Расчет_аналитики'!BC4476*CapacityAge21*'19_Расчет_аналитики'!$F$4259,0),0)</f>
        <v/>
      </c>
      <c r="BD4588">
        <f>IF('01_Вводные'!$B$234="Да",IF(IF('01_Вводные'!$B$296="Новый сезон",TRUE,TRUE),'19_Расчет_аналитики'!BD4476*CapacityAge21*'19_Расчет_аналитики'!$F$4259,0),0)</f>
        <v/>
      </c>
      <c r="BE4588">
        <f>IF('01_Вводные'!$B$234="Да",IF(IF('01_Вводные'!$B$296="Новый сезон",TRUE,TRUE),'19_Расчет_аналитики'!BE4476*CapacityAge21*'19_Расчет_аналитики'!$F$4259,0),0)</f>
        <v/>
      </c>
      <c r="BF4588">
        <f>IF('01_Вводные'!$B$234="Да",IF(IF('01_Вводные'!$B$296="Новый сезон",TRUE,TRUE),'19_Расчет_аналитики'!BF4476*CapacityAge21*'19_Расчет_аналитики'!$F$4259,0),0)</f>
        <v/>
      </c>
      <c r="BG4588">
        <f>IF('01_Вводные'!$B$234="Да",IF(IF('01_Вводные'!$B$296="Новый сезон",TRUE,TRUE),'19_Расчет_аналитики'!BG4476*CapacityAge21*'19_Расчет_аналитики'!$F$4259,0),0)</f>
        <v/>
      </c>
      <c r="BH4588">
        <f>IF('01_Вводные'!$B$234="Да",IF(IF('01_Вводные'!$B$296="Новый сезон",TRUE,TRUE),'19_Расчет_аналитики'!BH4476*CapacityAge21*'19_Расчет_аналитики'!$F$4259,0),0)</f>
        <v/>
      </c>
      <c r="BI4588">
        <f>IF('01_Вводные'!$B$234="Да",IF(IF('01_Вводные'!$B$296="Новый сезон",TRUE,TRUE),'19_Расчет_аналитики'!BI4476*CapacityAge21*'19_Расчет_аналитики'!$F$4259,0),0)</f>
        <v/>
      </c>
      <c r="BJ4588">
        <f>IF('01_Вводные'!$B$234="Да",IF(IF('01_Вводные'!$B$296="Новый сезон",TRUE,TRUE),'19_Расчет_аналитики'!BJ4476*CapacityAge21*'19_Расчет_аналитики'!$F$4259,0),0)</f>
        <v/>
      </c>
      <c r="BK4588">
        <f>IF('01_Вводные'!$B$234="Да",IF(IF('01_Вводные'!$B$296="Новый сезон",TRUE,TRUE),'19_Расчет_аналитики'!BK4476*CapacityAge21*'19_Расчет_аналитики'!$F$4259,0),0)</f>
        <v/>
      </c>
      <c r="BL4588">
        <f>IF('01_Вводные'!$B$234="Да",IF(IF('01_Вводные'!$B$296="Новый сезон",TRUE,TRUE),'19_Расчет_аналитики'!BL4476*CapacityAge21*'19_Расчет_аналитики'!$F$4259,0),0)</f>
        <v/>
      </c>
      <c r="BM4588">
        <f>IF('01_Вводные'!$B$234="Да",IF(IF('01_Вводные'!$B$296="Новый сезон",TRUE,TRUE),'19_Расчет_аналитики'!BM4476*CapacityAge21*'19_Расчет_аналитики'!$F$4259,0),0)</f>
        <v/>
      </c>
      <c r="BN4588">
        <f>IF('01_Вводные'!$B$234="Да",IF(IF('01_Вводные'!$B$296="Новый сезон",TRUE,TRUE),'19_Расчет_аналитики'!BN4476*CapacityAge21*'19_Расчет_аналитики'!$F$4259,0),0)</f>
        <v/>
      </c>
      <c r="BO4588">
        <f>IF('01_Вводные'!$B$234="Да",IF(IF('01_Вводные'!$B$296="Новый сезон",TRUE,TRUE),'19_Расчет_аналитики'!BO4476*CapacityAge21*'19_Расчет_аналитики'!$F$4259,0),0)</f>
        <v/>
      </c>
    </row>
    <row r="4589">
      <c r="B4589">
        <f>IF('01_Вводные'!$B$234="Да",IF(IF('01_Вводные'!$B$296="Новый сезон",TRUE,TRUE),'06_Сеть_и_дети'!B74*CapacityAge22*'19_Расчет_аналитики'!$F$4259,0),0)</f>
        <v/>
      </c>
      <c r="C4589">
        <f>IF('01_Вводные'!$B$234="Да",IF(IF('01_Вводные'!$B$296="Новый сезон",TRUE,TRUE),'06_Сеть_и_дети'!C74*CapacityAge22*'19_Расчет_аналитики'!$F$4259,0),0)</f>
        <v/>
      </c>
      <c r="D4589">
        <f>IF('01_Вводные'!$B$234="Да",IF(IF('01_Вводные'!$B$296="Новый сезон",TRUE,TRUE),'06_Сеть_и_дети'!D74*CapacityAge22*'19_Расчет_аналитики'!$F$4259,0),0)</f>
        <v/>
      </c>
      <c r="E4589">
        <f>IF('01_Вводные'!$B$234="Да",IF(IF('01_Вводные'!$B$296="Новый сезон",TRUE,TRUE),'06_Сеть_и_дети'!E74*CapacityAge22*'19_Расчет_аналитики'!$F$4259,0),0)</f>
        <v/>
      </c>
      <c r="F4589">
        <f>IF('01_Вводные'!$B$234="Да",IF(IF('01_Вводные'!$B$296="Новый сезон",TRUE,TRUE),'06_Сеть_и_дети'!F74*CapacityAge22*'19_Расчет_аналитики'!$F$4259,0),0)</f>
        <v/>
      </c>
      <c r="G4589">
        <f>IF('01_Вводные'!$B$234="Да",IF(IF('01_Вводные'!$B$296="Новый сезон",TRUE,TRUE),'06_Сеть_и_дети'!G74*CapacityAge22*'19_Расчет_аналитики'!$F$4259,0),0)</f>
        <v/>
      </c>
      <c r="H4589">
        <f>IF('01_Вводные'!$B$234="Да",IF(IF('01_Вводные'!$B$296="Новый сезон",TRUE,TRUE),'06_Сеть_и_дети'!H74*CapacityAge22*'19_Расчет_аналитики'!$F$4259,0),0)</f>
        <v/>
      </c>
      <c r="I4589">
        <f>IF('01_Вводные'!$B$234="Да",IF(IF('01_Вводные'!$B$296="Новый сезон",TRUE,TRUE),'06_Сеть_и_дети'!I74*CapacityAge22*'19_Расчет_аналитики'!$F$4259,0),0)</f>
        <v/>
      </c>
      <c r="J4589">
        <f>IF('01_Вводные'!$B$234="Да",IF(IF('01_Вводные'!$B$296="Новый сезон",TRUE,TRUE),'06_Сеть_и_дети'!J74*CapacityAge22*'19_Расчет_аналитики'!$F$4259,0),0)</f>
        <v/>
      </c>
      <c r="K4589">
        <f>IF('01_Вводные'!$B$234="Да",IF(IF('01_Вводные'!$B$296="Новый сезон",TRUE,TRUE),'06_Сеть_и_дети'!K74*CapacityAge22*'19_Расчет_аналитики'!$F$4259,0),0)</f>
        <v/>
      </c>
      <c r="L4589">
        <f>IF('01_Вводные'!$B$234="Да",IF(IF('01_Вводные'!$B$296="Новый сезон",TRUE,TRUE),'06_Сеть_и_дети'!L74*CapacityAge22*'19_Расчет_аналитики'!$F$4259,0),0)</f>
        <v/>
      </c>
      <c r="M4589">
        <f>IF('01_Вводные'!$B$234="Да",IF(IF('01_Вводные'!$B$296="Новый сезон",TRUE,TRUE),'06_Сеть_и_дети'!M74*CapacityAge22*'19_Расчет_аналитики'!$F$4259,0),0)</f>
        <v/>
      </c>
      <c r="N4589">
        <f>IF('01_Вводные'!$B$234="Да",IF(IF('01_Вводные'!$B$296="Новый сезон",TRUE,TRUE),'06_Сеть_и_дети'!N74*CapacityAge22*'19_Расчет_аналитики'!$F$4259,0),0)</f>
        <v/>
      </c>
      <c r="O4589">
        <f>IF('01_Вводные'!$B$234="Да",IF(IF('01_Вводные'!$B$296="Новый сезон",TRUE,TRUE),'06_Сеть_и_дети'!O74*CapacityAge22*'19_Расчет_аналитики'!$F$4259,0),0)</f>
        <v/>
      </c>
      <c r="P4589">
        <f>IF('01_Вводные'!$B$234="Да",IF(IF('01_Вводные'!$B$296="Новый сезон",TRUE,TRUE),'06_Сеть_и_дети'!P74*CapacityAge22*'19_Расчет_аналитики'!$F$4259,0),0)</f>
        <v/>
      </c>
      <c r="Q4589">
        <f>IF('01_Вводные'!$B$234="Да",IF(IF('01_Вводные'!$B$296="Новый сезон",TRUE,TRUE),'06_Сеть_и_дети'!Q74*CapacityAge22*'19_Расчет_аналитики'!$F$4259,0),0)</f>
        <v/>
      </c>
      <c r="R4589">
        <f>IF('01_Вводные'!$B$234="Да",IF(IF('01_Вводные'!$B$296="Новый сезон",TRUE,TRUE),'06_Сеть_и_дети'!R74*CapacityAge22*'19_Расчет_аналитики'!$F$4259,0),0)</f>
        <v/>
      </c>
      <c r="S4589">
        <f>IF('01_Вводные'!$B$234="Да",IF(IF('01_Вводные'!$B$296="Новый сезон",TRUE,TRUE),'06_Сеть_и_дети'!S74*CapacityAge22*'19_Расчет_аналитики'!$F$4259,0),0)</f>
        <v/>
      </c>
      <c r="T4589">
        <f>IF('01_Вводные'!$B$234="Да",IF(IF('01_Вводные'!$B$296="Новый сезон",TRUE,TRUE),'06_Сеть_и_дети'!T74*CapacityAge22*'19_Расчет_аналитики'!$F$4259,0),0)</f>
        <v/>
      </c>
      <c r="U4589">
        <f>IF('01_Вводные'!$B$234="Да",IF(IF('01_Вводные'!$B$296="Новый сезон",TRUE,TRUE),'06_Сеть_и_дети'!U74*CapacityAge22*'19_Расчет_аналитики'!$F$4259,0),0)</f>
        <v/>
      </c>
      <c r="V4589">
        <f>IF('01_Вводные'!$B$234="Да",IF(IF('01_Вводные'!$B$296="Новый сезон",TRUE,TRUE),'06_Сеть_и_дети'!V74*CapacityAge22*'19_Расчет_аналитики'!$F$4259,0),0)</f>
        <v/>
      </c>
      <c r="W4589">
        <f>IF('01_Вводные'!$B$234="Да",IF(IF('01_Вводные'!$B$296="Новый сезон",TRUE,TRUE),'19_Расчет_аналитики'!W4477*CapacityAge22*'19_Расчет_аналитики'!$F$4259,0),0)</f>
        <v/>
      </c>
      <c r="X4589">
        <f>IF('01_Вводные'!$B$234="Да",IF(IF('01_Вводные'!$B$296="Новый сезон",TRUE,TRUE),'19_Расчет_аналитики'!X4477*CapacityAge22*'19_Расчет_аналитики'!$F$4259,0),0)</f>
        <v/>
      </c>
      <c r="Y4589">
        <f>IF('01_Вводные'!$B$234="Да",IF(IF('01_Вводные'!$B$296="Новый сезон",TRUE,TRUE),'19_Расчет_аналитики'!Y4477*CapacityAge22*'19_Расчет_аналитики'!$F$4259,0),0)</f>
        <v/>
      </c>
      <c r="Z4589">
        <f>IF('01_Вводные'!$B$234="Да",IF(IF('01_Вводные'!$B$296="Новый сезон",TRUE,TRUE),'19_Расчет_аналитики'!Z4477*CapacityAge22*'19_Расчет_аналитики'!$F$4259,0),0)</f>
        <v/>
      </c>
      <c r="AA4589">
        <f>IF('01_Вводные'!$B$234="Да",IF(IF('01_Вводные'!$B$296="Новый сезон",TRUE,TRUE),'19_Расчет_аналитики'!AA4477*CapacityAge22*'19_Расчет_аналитики'!$F$4259,0),0)</f>
        <v/>
      </c>
      <c r="AB4589">
        <f>IF('01_Вводные'!$B$234="Да",IF(IF('01_Вводные'!$B$296="Новый сезон",TRUE,TRUE),'19_Расчет_аналитики'!AB4477*CapacityAge22*'19_Расчет_аналитики'!$F$4259,0),0)</f>
        <v/>
      </c>
      <c r="AC4589">
        <f>IF('01_Вводные'!$B$234="Да",IF(IF('01_Вводные'!$B$296="Новый сезон",TRUE,TRUE),'19_Расчет_аналитики'!AC4477*CapacityAge22*'19_Расчет_аналитики'!$F$4259,0),0)</f>
        <v/>
      </c>
      <c r="AD4589">
        <f>IF('01_Вводные'!$B$234="Да",IF(IF('01_Вводные'!$B$296="Новый сезон",TRUE,TRUE),'19_Расчет_аналитики'!AD4477*CapacityAge22*'19_Расчет_аналитики'!$F$4259,0),0)</f>
        <v/>
      </c>
      <c r="AE4589">
        <f>IF('01_Вводные'!$B$234="Да",IF(IF('01_Вводные'!$B$296="Новый сезон",TRUE,TRUE),'19_Расчет_аналитики'!AE4477*CapacityAge22*'19_Расчет_аналитики'!$F$4259,0),0)</f>
        <v/>
      </c>
      <c r="AF4589">
        <f>IF('01_Вводные'!$B$234="Да",IF(IF('01_Вводные'!$B$296="Новый сезон",TRUE,TRUE),'19_Расчет_аналитики'!AF4477*CapacityAge22*'19_Расчет_аналитики'!$F$4259,0),0)</f>
        <v/>
      </c>
      <c r="AG4589">
        <f>IF('01_Вводные'!$B$234="Да",IF(IF('01_Вводные'!$B$296="Новый сезон",TRUE,TRUE),'19_Расчет_аналитики'!AG4477*CapacityAge22*'19_Расчет_аналитики'!$F$4259,0),0)</f>
        <v/>
      </c>
      <c r="AH4589">
        <f>IF('01_Вводные'!$B$234="Да",IF(IF('01_Вводные'!$B$296="Новый сезон",TRUE,TRUE),'19_Расчет_аналитики'!AH4477*CapacityAge22*'19_Расчет_аналитики'!$F$4259,0),0)</f>
        <v/>
      </c>
      <c r="AI4589">
        <f>IF('01_Вводные'!$B$234="Да",IF(IF('01_Вводные'!$B$296="Новый сезон",TRUE,TRUE),'19_Расчет_аналитики'!AI4477*CapacityAge22*'19_Расчет_аналитики'!$F$4259,0),0)</f>
        <v/>
      </c>
      <c r="AJ4589">
        <f>IF('01_Вводные'!$B$234="Да",IF(IF('01_Вводные'!$B$296="Новый сезон",TRUE,TRUE),'19_Расчет_аналитики'!AJ4477*CapacityAge22*'19_Расчет_аналитики'!$F$4259,0),0)</f>
        <v/>
      </c>
      <c r="AK4589">
        <f>IF('01_Вводные'!$B$234="Да",IF(IF('01_Вводные'!$B$296="Новый сезон",TRUE,TRUE),'19_Расчет_аналитики'!AK4477*CapacityAge22*'19_Расчет_аналитики'!$F$4259,0),0)</f>
        <v/>
      </c>
      <c r="AL4589">
        <f>IF('01_Вводные'!$B$234="Да",IF(IF('01_Вводные'!$B$296="Новый сезон",TRUE,TRUE),'19_Расчет_аналитики'!AL4477*CapacityAge22*'19_Расчет_аналитики'!$F$4259,0),0)</f>
        <v/>
      </c>
      <c r="AM4589">
        <f>IF('01_Вводные'!$B$234="Да",IF(IF('01_Вводные'!$B$296="Новый сезон",TRUE,TRUE),'19_Расчет_аналитики'!AM4477*CapacityAge22*'19_Расчет_аналитики'!$F$4259,0),0)</f>
        <v/>
      </c>
      <c r="AN4589">
        <f>IF('01_Вводные'!$B$234="Да",IF(IF('01_Вводные'!$B$296="Новый сезон",TRUE,TRUE),'19_Расчет_аналитики'!AN4477*CapacityAge22*'19_Расчет_аналитики'!$F$4259,0),0)</f>
        <v/>
      </c>
      <c r="AO4589">
        <f>IF('01_Вводные'!$B$234="Да",IF(IF('01_Вводные'!$B$296="Новый сезон",TRUE,TRUE),'19_Расчет_аналитики'!AO4477*CapacityAge22*'19_Расчет_аналитики'!$F$4259,0),0)</f>
        <v/>
      </c>
      <c r="AP4589">
        <f>IF('01_Вводные'!$B$234="Да",IF(IF('01_Вводные'!$B$296="Новый сезон",TRUE,TRUE),'19_Расчет_аналитики'!AP4477*CapacityAge22*'19_Расчет_аналитики'!$F$4259,0),0)</f>
        <v/>
      </c>
      <c r="AQ4589">
        <f>IF('01_Вводные'!$B$234="Да",IF(IF('01_Вводные'!$B$296="Новый сезон",TRUE,TRUE),'19_Расчет_аналитики'!AQ4477*CapacityAge22*'19_Расчет_аналитики'!$F$4259,0),0)</f>
        <v/>
      </c>
      <c r="AR4589">
        <f>IF('01_Вводные'!$B$234="Да",IF(IF('01_Вводные'!$B$296="Новый сезон",TRUE,TRUE),'19_Расчет_аналитики'!AR4477*CapacityAge22*'19_Расчет_аналитики'!$F$4259,0),0)</f>
        <v/>
      </c>
      <c r="AS4589">
        <f>IF('01_Вводные'!$B$234="Да",IF(IF('01_Вводные'!$B$296="Новый сезон",TRUE,TRUE),'19_Расчет_аналитики'!AS4477*CapacityAge22*'19_Расчет_аналитики'!$F$4259,0),0)</f>
        <v/>
      </c>
      <c r="AT4589">
        <f>IF('01_Вводные'!$B$234="Да",IF(IF('01_Вводные'!$B$296="Новый сезон",TRUE,TRUE),'19_Расчет_аналитики'!AT4477*CapacityAge22*'19_Расчет_аналитики'!$F$4259,0),0)</f>
        <v/>
      </c>
      <c r="AU4589">
        <f>IF('01_Вводные'!$B$234="Да",IF(IF('01_Вводные'!$B$296="Новый сезон",TRUE,TRUE),'19_Расчет_аналитики'!AU4477*CapacityAge22*'19_Расчет_аналитики'!$F$4259,0),0)</f>
        <v/>
      </c>
      <c r="AV4589">
        <f>IF('01_Вводные'!$B$234="Да",IF(IF('01_Вводные'!$B$296="Новый сезон",TRUE,TRUE),'19_Расчет_аналитики'!AV4477*CapacityAge22*'19_Расчет_аналитики'!$F$4259,0),0)</f>
        <v/>
      </c>
      <c r="AW4589">
        <f>IF('01_Вводные'!$B$234="Да",IF(IF('01_Вводные'!$B$296="Новый сезон",TRUE,TRUE),'19_Расчет_аналитики'!AW4477*CapacityAge22*'19_Расчет_аналитики'!$F$4259,0),0)</f>
        <v/>
      </c>
      <c r="AX4589">
        <f>IF('01_Вводные'!$B$234="Да",IF(IF('01_Вводные'!$B$296="Новый сезон",TRUE,TRUE),'19_Расчет_аналитики'!AX4477*CapacityAge22*'19_Расчет_аналитики'!$F$4259,0),0)</f>
        <v/>
      </c>
      <c r="AY4589">
        <f>IF('01_Вводные'!$B$234="Да",IF(IF('01_Вводные'!$B$296="Новый сезон",TRUE,TRUE),'19_Расчет_аналитики'!AY4477*CapacityAge22*'19_Расчет_аналитики'!$F$4259,0),0)</f>
        <v/>
      </c>
      <c r="AZ4589">
        <f>IF('01_Вводные'!$B$234="Да",IF(IF('01_Вводные'!$B$296="Новый сезон",TRUE,TRUE),'19_Расчет_аналитики'!AZ4477*CapacityAge22*'19_Расчет_аналитики'!$F$4259,0),0)</f>
        <v/>
      </c>
      <c r="BA4589">
        <f>IF('01_Вводные'!$B$234="Да",IF(IF('01_Вводные'!$B$296="Новый сезон",TRUE,TRUE),'19_Расчет_аналитики'!BA4477*CapacityAge22*'19_Расчет_аналитики'!$F$4259,0),0)</f>
        <v/>
      </c>
      <c r="BB4589">
        <f>IF('01_Вводные'!$B$234="Да",IF(IF('01_Вводные'!$B$296="Новый сезон",TRUE,TRUE),'19_Расчет_аналитики'!BB4477*CapacityAge22*'19_Расчет_аналитики'!$F$4259,0),0)</f>
        <v/>
      </c>
      <c r="BC4589">
        <f>IF('01_Вводные'!$B$234="Да",IF(IF('01_Вводные'!$B$296="Новый сезон",TRUE,TRUE),'19_Расчет_аналитики'!BC4477*CapacityAge22*'19_Расчет_аналитики'!$F$4259,0),0)</f>
        <v/>
      </c>
      <c r="BD4589">
        <f>IF('01_Вводные'!$B$234="Да",IF(IF('01_Вводные'!$B$296="Новый сезон",TRUE,TRUE),'19_Расчет_аналитики'!BD4477*CapacityAge22*'19_Расчет_аналитики'!$F$4259,0),0)</f>
        <v/>
      </c>
      <c r="BE4589">
        <f>IF('01_Вводные'!$B$234="Да",IF(IF('01_Вводные'!$B$296="Новый сезон",TRUE,TRUE),'19_Расчет_аналитики'!BE4477*CapacityAge22*'19_Расчет_аналитики'!$F$4259,0),0)</f>
        <v/>
      </c>
      <c r="BF4589">
        <f>IF('01_Вводные'!$B$234="Да",IF(IF('01_Вводные'!$B$296="Новый сезон",TRUE,TRUE),'19_Расчет_аналитики'!BF4477*CapacityAge22*'19_Расчет_аналитики'!$F$4259,0),0)</f>
        <v/>
      </c>
      <c r="BG4589">
        <f>IF('01_Вводные'!$B$234="Да",IF(IF('01_Вводные'!$B$296="Новый сезон",TRUE,TRUE),'19_Расчет_аналитики'!BG4477*CapacityAge22*'19_Расчет_аналитики'!$F$4259,0),0)</f>
        <v/>
      </c>
      <c r="BH4589">
        <f>IF('01_Вводные'!$B$234="Да",IF(IF('01_Вводные'!$B$296="Новый сезон",TRUE,TRUE),'19_Расчет_аналитики'!BH4477*CapacityAge22*'19_Расчет_аналитики'!$F$4259,0),0)</f>
        <v/>
      </c>
      <c r="BI4589">
        <f>IF('01_Вводные'!$B$234="Да",IF(IF('01_Вводные'!$B$296="Новый сезон",TRUE,TRUE),'19_Расчет_аналитики'!BI4477*CapacityAge22*'19_Расчет_аналитики'!$F$4259,0),0)</f>
        <v/>
      </c>
      <c r="BJ4589">
        <f>IF('01_Вводные'!$B$234="Да",IF(IF('01_Вводные'!$B$296="Новый сезон",TRUE,TRUE),'19_Расчет_аналитики'!BJ4477*CapacityAge22*'19_Расчет_аналитики'!$F$4259,0),0)</f>
        <v/>
      </c>
      <c r="BK4589">
        <f>IF('01_Вводные'!$B$234="Да",IF(IF('01_Вводные'!$B$296="Новый сезон",TRUE,TRUE),'19_Расчет_аналитики'!BK4477*CapacityAge22*'19_Расчет_аналитики'!$F$4259,0),0)</f>
        <v/>
      </c>
      <c r="BL4589">
        <f>IF('01_Вводные'!$B$234="Да",IF(IF('01_Вводные'!$B$296="Новый сезон",TRUE,TRUE),'19_Расчет_аналитики'!BL4477*CapacityAge22*'19_Расчет_аналитики'!$F$4259,0),0)</f>
        <v/>
      </c>
      <c r="BM4589">
        <f>IF('01_Вводные'!$B$234="Да",IF(IF('01_Вводные'!$B$296="Новый сезон",TRUE,TRUE),'19_Расчет_аналитики'!BM4477*CapacityAge22*'19_Расчет_аналитики'!$F$4259,0),0)</f>
        <v/>
      </c>
      <c r="BN4589">
        <f>IF('01_Вводные'!$B$234="Да",IF(IF('01_Вводные'!$B$296="Новый сезон",TRUE,TRUE),'19_Расчет_аналитики'!BN4477*CapacityAge22*'19_Расчет_аналитики'!$F$4259,0),0)</f>
        <v/>
      </c>
      <c r="BO4589">
        <f>IF('01_Вводные'!$B$234="Да",IF(IF('01_Вводные'!$B$296="Новый сезон",TRUE,TRUE),'19_Расчет_аналитики'!BO4477*CapacityAge22*'19_Расчет_аналитики'!$F$4259,0),0)</f>
        <v/>
      </c>
    </row>
    <row r="4590">
      <c r="B4590">
        <f>IF('01_Вводные'!$B$234="Да",IF(IF('01_Вводные'!$B$296="Новый сезон",TRUE,TRUE),'06_Сеть_и_дети'!B75*CapacityAge23*'19_Расчет_аналитики'!$F$4259,0),0)</f>
        <v/>
      </c>
      <c r="C4590">
        <f>IF('01_Вводные'!$B$234="Да",IF(IF('01_Вводные'!$B$296="Новый сезон",TRUE,TRUE),'06_Сеть_и_дети'!C75*CapacityAge23*'19_Расчет_аналитики'!$F$4259,0),0)</f>
        <v/>
      </c>
      <c r="D4590">
        <f>IF('01_Вводные'!$B$234="Да",IF(IF('01_Вводные'!$B$296="Новый сезон",TRUE,TRUE),'06_Сеть_и_дети'!D75*CapacityAge23*'19_Расчет_аналитики'!$F$4259,0),0)</f>
        <v/>
      </c>
      <c r="E4590">
        <f>IF('01_Вводные'!$B$234="Да",IF(IF('01_Вводные'!$B$296="Новый сезон",TRUE,TRUE),'06_Сеть_и_дети'!E75*CapacityAge23*'19_Расчет_аналитики'!$F$4259,0),0)</f>
        <v/>
      </c>
      <c r="F4590">
        <f>IF('01_Вводные'!$B$234="Да",IF(IF('01_Вводные'!$B$296="Новый сезон",TRUE,TRUE),'06_Сеть_и_дети'!F75*CapacityAge23*'19_Расчет_аналитики'!$F$4259,0),0)</f>
        <v/>
      </c>
      <c r="G4590">
        <f>IF('01_Вводные'!$B$234="Да",IF(IF('01_Вводные'!$B$296="Новый сезон",TRUE,TRUE),'06_Сеть_и_дети'!G75*CapacityAge23*'19_Расчет_аналитики'!$F$4259,0),0)</f>
        <v/>
      </c>
      <c r="H4590">
        <f>IF('01_Вводные'!$B$234="Да",IF(IF('01_Вводные'!$B$296="Новый сезон",TRUE,TRUE),'06_Сеть_и_дети'!H75*CapacityAge23*'19_Расчет_аналитики'!$F$4259,0),0)</f>
        <v/>
      </c>
      <c r="I4590">
        <f>IF('01_Вводные'!$B$234="Да",IF(IF('01_Вводные'!$B$296="Новый сезон",TRUE,TRUE),'06_Сеть_и_дети'!I75*CapacityAge23*'19_Расчет_аналитики'!$F$4259,0),0)</f>
        <v/>
      </c>
      <c r="J4590">
        <f>IF('01_Вводные'!$B$234="Да",IF(IF('01_Вводные'!$B$296="Новый сезон",TRUE,TRUE),'06_Сеть_и_дети'!J75*CapacityAge23*'19_Расчет_аналитики'!$F$4259,0),0)</f>
        <v/>
      </c>
      <c r="K4590">
        <f>IF('01_Вводные'!$B$234="Да",IF(IF('01_Вводные'!$B$296="Новый сезон",TRUE,TRUE),'06_Сеть_и_дети'!K75*CapacityAge23*'19_Расчет_аналитики'!$F$4259,0),0)</f>
        <v/>
      </c>
      <c r="L4590">
        <f>IF('01_Вводные'!$B$234="Да",IF(IF('01_Вводные'!$B$296="Новый сезон",TRUE,TRUE),'06_Сеть_и_дети'!L75*CapacityAge23*'19_Расчет_аналитики'!$F$4259,0),0)</f>
        <v/>
      </c>
      <c r="M4590">
        <f>IF('01_Вводные'!$B$234="Да",IF(IF('01_Вводные'!$B$296="Новый сезон",TRUE,TRUE),'06_Сеть_и_дети'!M75*CapacityAge23*'19_Расчет_аналитики'!$F$4259,0),0)</f>
        <v/>
      </c>
      <c r="N4590">
        <f>IF('01_Вводные'!$B$234="Да",IF(IF('01_Вводные'!$B$296="Новый сезон",TRUE,TRUE),'06_Сеть_и_дети'!N75*CapacityAge23*'19_Расчет_аналитики'!$F$4259,0),0)</f>
        <v/>
      </c>
      <c r="O4590">
        <f>IF('01_Вводные'!$B$234="Да",IF(IF('01_Вводные'!$B$296="Новый сезон",TRUE,TRUE),'06_Сеть_и_дети'!O75*CapacityAge23*'19_Расчет_аналитики'!$F$4259,0),0)</f>
        <v/>
      </c>
      <c r="P4590">
        <f>IF('01_Вводные'!$B$234="Да",IF(IF('01_Вводные'!$B$296="Новый сезон",TRUE,TRUE),'06_Сеть_и_дети'!P75*CapacityAge23*'19_Расчет_аналитики'!$F$4259,0),0)</f>
        <v/>
      </c>
      <c r="Q4590">
        <f>IF('01_Вводные'!$B$234="Да",IF(IF('01_Вводные'!$B$296="Новый сезон",TRUE,TRUE),'06_Сеть_и_дети'!Q75*CapacityAge23*'19_Расчет_аналитики'!$F$4259,0),0)</f>
        <v/>
      </c>
      <c r="R4590">
        <f>IF('01_Вводные'!$B$234="Да",IF(IF('01_Вводные'!$B$296="Новый сезон",TRUE,TRUE),'06_Сеть_и_дети'!R75*CapacityAge23*'19_Расчет_аналитики'!$F$4259,0),0)</f>
        <v/>
      </c>
      <c r="S4590">
        <f>IF('01_Вводные'!$B$234="Да",IF(IF('01_Вводные'!$B$296="Новый сезон",TRUE,TRUE),'06_Сеть_и_дети'!S75*CapacityAge23*'19_Расчет_аналитики'!$F$4259,0),0)</f>
        <v/>
      </c>
      <c r="T4590">
        <f>IF('01_Вводные'!$B$234="Да",IF(IF('01_Вводные'!$B$296="Новый сезон",TRUE,TRUE),'06_Сеть_и_дети'!T75*CapacityAge23*'19_Расчет_аналитики'!$F$4259,0),0)</f>
        <v/>
      </c>
      <c r="U4590">
        <f>IF('01_Вводные'!$B$234="Да",IF(IF('01_Вводные'!$B$296="Новый сезон",TRUE,TRUE),'06_Сеть_и_дети'!U75*CapacityAge23*'19_Расчет_аналитики'!$F$4259,0),0)</f>
        <v/>
      </c>
      <c r="V4590">
        <f>IF('01_Вводные'!$B$234="Да",IF(IF('01_Вводные'!$B$296="Новый сезон",TRUE,TRUE),'06_Сеть_и_дети'!V75*CapacityAge23*'19_Расчет_аналитики'!$F$4259,0),0)</f>
        <v/>
      </c>
      <c r="W4590">
        <f>IF('01_Вводные'!$B$234="Да",IF(IF('01_Вводные'!$B$296="Новый сезон",TRUE,TRUE),'06_Сеть_и_дети'!W75*CapacityAge23*'19_Расчет_аналитики'!$F$4259,0),0)</f>
        <v/>
      </c>
      <c r="X4590">
        <f>IF('01_Вводные'!$B$234="Да",IF(IF('01_Вводные'!$B$296="Новый сезон",TRUE,TRUE),'19_Расчет_аналитики'!X4478*CapacityAge23*'19_Расчет_аналитики'!$F$4259,0),0)</f>
        <v/>
      </c>
      <c r="Y4590">
        <f>IF('01_Вводные'!$B$234="Да",IF(IF('01_Вводные'!$B$296="Новый сезон",TRUE,TRUE),'19_Расчет_аналитики'!Y4478*CapacityAge23*'19_Расчет_аналитики'!$F$4259,0),0)</f>
        <v/>
      </c>
      <c r="Z4590">
        <f>IF('01_Вводные'!$B$234="Да",IF(IF('01_Вводные'!$B$296="Новый сезон",TRUE,TRUE),'19_Расчет_аналитики'!Z4478*CapacityAge23*'19_Расчет_аналитики'!$F$4259,0),0)</f>
        <v/>
      </c>
      <c r="AA4590">
        <f>IF('01_Вводные'!$B$234="Да",IF(IF('01_Вводные'!$B$296="Новый сезон",TRUE,TRUE),'19_Расчет_аналитики'!AA4478*CapacityAge23*'19_Расчет_аналитики'!$F$4259,0),0)</f>
        <v/>
      </c>
      <c r="AB4590">
        <f>IF('01_Вводные'!$B$234="Да",IF(IF('01_Вводные'!$B$296="Новый сезон",TRUE,TRUE),'19_Расчет_аналитики'!AB4478*CapacityAge23*'19_Расчет_аналитики'!$F$4259,0),0)</f>
        <v/>
      </c>
      <c r="AC4590">
        <f>IF('01_Вводные'!$B$234="Да",IF(IF('01_Вводные'!$B$296="Новый сезон",TRUE,TRUE),'19_Расчет_аналитики'!AC4478*CapacityAge23*'19_Расчет_аналитики'!$F$4259,0),0)</f>
        <v/>
      </c>
      <c r="AD4590">
        <f>IF('01_Вводные'!$B$234="Да",IF(IF('01_Вводные'!$B$296="Новый сезон",TRUE,TRUE),'19_Расчет_аналитики'!AD4478*CapacityAge23*'19_Расчет_аналитики'!$F$4259,0),0)</f>
        <v/>
      </c>
      <c r="AE4590">
        <f>IF('01_Вводные'!$B$234="Да",IF(IF('01_Вводные'!$B$296="Новый сезон",TRUE,TRUE),'19_Расчет_аналитики'!AE4478*CapacityAge23*'19_Расчет_аналитики'!$F$4259,0),0)</f>
        <v/>
      </c>
      <c r="AF4590">
        <f>IF('01_Вводные'!$B$234="Да",IF(IF('01_Вводные'!$B$296="Новый сезон",TRUE,TRUE),'19_Расчет_аналитики'!AF4478*CapacityAge23*'19_Расчет_аналитики'!$F$4259,0),0)</f>
        <v/>
      </c>
      <c r="AG4590">
        <f>IF('01_Вводные'!$B$234="Да",IF(IF('01_Вводные'!$B$296="Новый сезон",TRUE,TRUE),'19_Расчет_аналитики'!AG4478*CapacityAge23*'19_Расчет_аналитики'!$F$4259,0),0)</f>
        <v/>
      </c>
      <c r="AH4590">
        <f>IF('01_Вводные'!$B$234="Да",IF(IF('01_Вводные'!$B$296="Новый сезон",TRUE,TRUE),'19_Расчет_аналитики'!AH4478*CapacityAge23*'19_Расчет_аналитики'!$F$4259,0),0)</f>
        <v/>
      </c>
      <c r="AI4590">
        <f>IF('01_Вводные'!$B$234="Да",IF(IF('01_Вводные'!$B$296="Новый сезон",TRUE,TRUE),'19_Расчет_аналитики'!AI4478*CapacityAge23*'19_Расчет_аналитики'!$F$4259,0),0)</f>
        <v/>
      </c>
      <c r="AJ4590">
        <f>IF('01_Вводные'!$B$234="Да",IF(IF('01_Вводные'!$B$296="Новый сезон",TRUE,TRUE),'19_Расчет_аналитики'!AJ4478*CapacityAge23*'19_Расчет_аналитики'!$F$4259,0),0)</f>
        <v/>
      </c>
      <c r="AK4590">
        <f>IF('01_Вводные'!$B$234="Да",IF(IF('01_Вводные'!$B$296="Новый сезон",TRUE,TRUE),'19_Расчет_аналитики'!AK4478*CapacityAge23*'19_Расчет_аналитики'!$F$4259,0),0)</f>
        <v/>
      </c>
      <c r="AL4590">
        <f>IF('01_Вводные'!$B$234="Да",IF(IF('01_Вводные'!$B$296="Новый сезон",TRUE,TRUE),'19_Расчет_аналитики'!AL4478*CapacityAge23*'19_Расчет_аналитики'!$F$4259,0),0)</f>
        <v/>
      </c>
      <c r="AM4590">
        <f>IF('01_Вводные'!$B$234="Да",IF(IF('01_Вводные'!$B$296="Новый сезон",TRUE,TRUE),'19_Расчет_аналитики'!AM4478*CapacityAge23*'19_Расчет_аналитики'!$F$4259,0),0)</f>
        <v/>
      </c>
      <c r="AN4590">
        <f>IF('01_Вводные'!$B$234="Да",IF(IF('01_Вводные'!$B$296="Новый сезон",TRUE,TRUE),'19_Расчет_аналитики'!AN4478*CapacityAge23*'19_Расчет_аналитики'!$F$4259,0),0)</f>
        <v/>
      </c>
      <c r="AO4590">
        <f>IF('01_Вводные'!$B$234="Да",IF(IF('01_Вводные'!$B$296="Новый сезон",TRUE,TRUE),'19_Расчет_аналитики'!AO4478*CapacityAge23*'19_Расчет_аналитики'!$F$4259,0),0)</f>
        <v/>
      </c>
      <c r="AP4590">
        <f>IF('01_Вводные'!$B$234="Да",IF(IF('01_Вводные'!$B$296="Новый сезон",TRUE,TRUE),'19_Расчет_аналитики'!AP4478*CapacityAge23*'19_Расчет_аналитики'!$F$4259,0),0)</f>
        <v/>
      </c>
      <c r="AQ4590">
        <f>IF('01_Вводные'!$B$234="Да",IF(IF('01_Вводные'!$B$296="Новый сезон",TRUE,TRUE),'19_Расчет_аналитики'!AQ4478*CapacityAge23*'19_Расчет_аналитики'!$F$4259,0),0)</f>
        <v/>
      </c>
      <c r="AR4590">
        <f>IF('01_Вводные'!$B$234="Да",IF(IF('01_Вводные'!$B$296="Новый сезон",TRUE,TRUE),'19_Расчет_аналитики'!AR4478*CapacityAge23*'19_Расчет_аналитики'!$F$4259,0),0)</f>
        <v/>
      </c>
      <c r="AS4590">
        <f>IF('01_Вводные'!$B$234="Да",IF(IF('01_Вводные'!$B$296="Новый сезон",TRUE,TRUE),'19_Расчет_аналитики'!AS4478*CapacityAge23*'19_Расчет_аналитики'!$F$4259,0),0)</f>
        <v/>
      </c>
      <c r="AT4590">
        <f>IF('01_Вводные'!$B$234="Да",IF(IF('01_Вводные'!$B$296="Новый сезон",TRUE,TRUE),'19_Расчет_аналитики'!AT4478*CapacityAge23*'19_Расчет_аналитики'!$F$4259,0),0)</f>
        <v/>
      </c>
      <c r="AU4590">
        <f>IF('01_Вводные'!$B$234="Да",IF(IF('01_Вводные'!$B$296="Новый сезон",TRUE,TRUE),'19_Расчет_аналитики'!AU4478*CapacityAge23*'19_Расчет_аналитики'!$F$4259,0),0)</f>
        <v/>
      </c>
      <c r="AV4590">
        <f>IF('01_Вводные'!$B$234="Да",IF(IF('01_Вводные'!$B$296="Новый сезон",TRUE,TRUE),'19_Расчет_аналитики'!AV4478*CapacityAge23*'19_Расчет_аналитики'!$F$4259,0),0)</f>
        <v/>
      </c>
      <c r="AW4590">
        <f>IF('01_Вводные'!$B$234="Да",IF(IF('01_Вводные'!$B$296="Новый сезон",TRUE,TRUE),'19_Расчет_аналитики'!AW4478*CapacityAge23*'19_Расчет_аналитики'!$F$4259,0),0)</f>
        <v/>
      </c>
      <c r="AX4590">
        <f>IF('01_Вводные'!$B$234="Да",IF(IF('01_Вводные'!$B$296="Новый сезон",TRUE,TRUE),'19_Расчет_аналитики'!AX4478*CapacityAge23*'19_Расчет_аналитики'!$F$4259,0),0)</f>
        <v/>
      </c>
      <c r="AY4590">
        <f>IF('01_Вводные'!$B$234="Да",IF(IF('01_Вводные'!$B$296="Новый сезон",TRUE,TRUE),'19_Расчет_аналитики'!AY4478*CapacityAge23*'19_Расчет_аналитики'!$F$4259,0),0)</f>
        <v/>
      </c>
      <c r="AZ4590">
        <f>IF('01_Вводные'!$B$234="Да",IF(IF('01_Вводные'!$B$296="Новый сезон",TRUE,TRUE),'19_Расчет_аналитики'!AZ4478*CapacityAge23*'19_Расчет_аналитики'!$F$4259,0),0)</f>
        <v/>
      </c>
      <c r="BA4590">
        <f>IF('01_Вводные'!$B$234="Да",IF(IF('01_Вводные'!$B$296="Новый сезон",TRUE,TRUE),'19_Расчет_аналитики'!BA4478*CapacityAge23*'19_Расчет_аналитики'!$F$4259,0),0)</f>
        <v/>
      </c>
      <c r="BB4590">
        <f>IF('01_Вводные'!$B$234="Да",IF(IF('01_Вводные'!$B$296="Новый сезон",TRUE,TRUE),'19_Расчет_аналитики'!BB4478*CapacityAge23*'19_Расчет_аналитики'!$F$4259,0),0)</f>
        <v/>
      </c>
      <c r="BC4590">
        <f>IF('01_Вводные'!$B$234="Да",IF(IF('01_Вводные'!$B$296="Новый сезон",TRUE,TRUE),'19_Расчет_аналитики'!BC4478*CapacityAge23*'19_Расчет_аналитики'!$F$4259,0),0)</f>
        <v/>
      </c>
      <c r="BD4590">
        <f>IF('01_Вводные'!$B$234="Да",IF(IF('01_Вводные'!$B$296="Новый сезон",TRUE,TRUE),'19_Расчет_аналитики'!BD4478*CapacityAge23*'19_Расчет_аналитики'!$F$4259,0),0)</f>
        <v/>
      </c>
      <c r="BE4590">
        <f>IF('01_Вводные'!$B$234="Да",IF(IF('01_Вводные'!$B$296="Новый сезон",TRUE,TRUE),'19_Расчет_аналитики'!BE4478*CapacityAge23*'19_Расчет_аналитики'!$F$4259,0),0)</f>
        <v/>
      </c>
      <c r="BF4590">
        <f>IF('01_Вводные'!$B$234="Да",IF(IF('01_Вводные'!$B$296="Новый сезон",TRUE,TRUE),'19_Расчет_аналитики'!BF4478*CapacityAge23*'19_Расчет_аналитики'!$F$4259,0),0)</f>
        <v/>
      </c>
      <c r="BG4590">
        <f>IF('01_Вводные'!$B$234="Да",IF(IF('01_Вводные'!$B$296="Новый сезон",TRUE,TRUE),'19_Расчет_аналитики'!BG4478*CapacityAge23*'19_Расчет_аналитики'!$F$4259,0),0)</f>
        <v/>
      </c>
      <c r="BH4590">
        <f>IF('01_Вводные'!$B$234="Да",IF(IF('01_Вводные'!$B$296="Новый сезон",TRUE,TRUE),'19_Расчет_аналитики'!BH4478*CapacityAge23*'19_Расчет_аналитики'!$F$4259,0),0)</f>
        <v/>
      </c>
      <c r="BI4590">
        <f>IF('01_Вводные'!$B$234="Да",IF(IF('01_Вводные'!$B$296="Новый сезон",TRUE,TRUE),'19_Расчет_аналитики'!BI4478*CapacityAge23*'19_Расчет_аналитики'!$F$4259,0),0)</f>
        <v/>
      </c>
      <c r="BJ4590">
        <f>IF('01_Вводные'!$B$234="Да",IF(IF('01_Вводные'!$B$296="Новый сезон",TRUE,TRUE),'19_Расчет_аналитики'!BJ4478*CapacityAge23*'19_Расчет_аналитики'!$F$4259,0),0)</f>
        <v/>
      </c>
      <c r="BK4590">
        <f>IF('01_Вводные'!$B$234="Да",IF(IF('01_Вводные'!$B$296="Новый сезон",TRUE,TRUE),'19_Расчет_аналитики'!BK4478*CapacityAge23*'19_Расчет_аналитики'!$F$4259,0),0)</f>
        <v/>
      </c>
      <c r="BL4590">
        <f>IF('01_Вводные'!$B$234="Да",IF(IF('01_Вводные'!$B$296="Новый сезон",TRUE,TRUE),'19_Расчет_аналитики'!BL4478*CapacityAge23*'19_Расчет_аналитики'!$F$4259,0),0)</f>
        <v/>
      </c>
      <c r="BM4590">
        <f>IF('01_Вводные'!$B$234="Да",IF(IF('01_Вводные'!$B$296="Новый сезон",TRUE,TRUE),'19_Расчет_аналитики'!BM4478*CapacityAge23*'19_Расчет_аналитики'!$F$4259,0),0)</f>
        <v/>
      </c>
      <c r="BN4590">
        <f>IF('01_Вводные'!$B$234="Да",IF(IF('01_Вводные'!$B$296="Новый сезон",TRUE,TRUE),'19_Расчет_аналитики'!BN4478*CapacityAge23*'19_Расчет_аналитики'!$F$4259,0),0)</f>
        <v/>
      </c>
      <c r="BO4590">
        <f>IF('01_Вводные'!$B$234="Да",IF(IF('01_Вводные'!$B$296="Новый сезон",TRUE,TRUE),'19_Расчет_аналитики'!BO4478*CapacityAge23*'19_Расчет_аналитики'!$F$4259,0),0)</f>
        <v/>
      </c>
    </row>
    <row r="4591">
      <c r="B4591">
        <f>IF('01_Вводные'!$B$234="Да",IF(IF('01_Вводные'!$B$296="Новый сезон",TRUE,TRUE),'06_Сеть_и_дети'!B76*CapacityAge24*'19_Расчет_аналитики'!$F$4259,0),0)</f>
        <v/>
      </c>
      <c r="C4591">
        <f>IF('01_Вводные'!$B$234="Да",IF(IF('01_Вводные'!$B$296="Новый сезон",TRUE,TRUE),'06_Сеть_и_дети'!C76*CapacityAge24*'19_Расчет_аналитики'!$F$4259,0),0)</f>
        <v/>
      </c>
      <c r="D4591">
        <f>IF('01_Вводные'!$B$234="Да",IF(IF('01_Вводные'!$B$296="Новый сезон",TRUE,TRUE),'06_Сеть_и_дети'!D76*CapacityAge24*'19_Расчет_аналитики'!$F$4259,0),0)</f>
        <v/>
      </c>
      <c r="E4591">
        <f>IF('01_Вводные'!$B$234="Да",IF(IF('01_Вводные'!$B$296="Новый сезон",TRUE,TRUE),'06_Сеть_и_дети'!E76*CapacityAge24*'19_Расчет_аналитики'!$F$4259,0),0)</f>
        <v/>
      </c>
      <c r="F4591">
        <f>IF('01_Вводные'!$B$234="Да",IF(IF('01_Вводные'!$B$296="Новый сезон",TRUE,TRUE),'06_Сеть_и_дети'!F76*CapacityAge24*'19_Расчет_аналитики'!$F$4259,0),0)</f>
        <v/>
      </c>
      <c r="G4591">
        <f>IF('01_Вводные'!$B$234="Да",IF(IF('01_Вводные'!$B$296="Новый сезон",TRUE,TRUE),'06_Сеть_и_дети'!G76*CapacityAge24*'19_Расчет_аналитики'!$F$4259,0),0)</f>
        <v/>
      </c>
      <c r="H4591">
        <f>IF('01_Вводные'!$B$234="Да",IF(IF('01_Вводные'!$B$296="Новый сезон",TRUE,TRUE),'06_Сеть_и_дети'!H76*CapacityAge24*'19_Расчет_аналитики'!$F$4259,0),0)</f>
        <v/>
      </c>
      <c r="I4591">
        <f>IF('01_Вводные'!$B$234="Да",IF(IF('01_Вводные'!$B$296="Новый сезон",TRUE,TRUE),'06_Сеть_и_дети'!I76*CapacityAge24*'19_Расчет_аналитики'!$F$4259,0),0)</f>
        <v/>
      </c>
      <c r="J4591">
        <f>IF('01_Вводные'!$B$234="Да",IF(IF('01_Вводные'!$B$296="Новый сезон",TRUE,TRUE),'06_Сеть_и_дети'!J76*CapacityAge24*'19_Расчет_аналитики'!$F$4259,0),0)</f>
        <v/>
      </c>
      <c r="K4591">
        <f>IF('01_Вводные'!$B$234="Да",IF(IF('01_Вводные'!$B$296="Новый сезон",TRUE,TRUE),'06_Сеть_и_дети'!K76*CapacityAge24*'19_Расчет_аналитики'!$F$4259,0),0)</f>
        <v/>
      </c>
      <c r="L4591">
        <f>IF('01_Вводные'!$B$234="Да",IF(IF('01_Вводные'!$B$296="Новый сезон",TRUE,TRUE),'06_Сеть_и_дети'!L76*CapacityAge24*'19_Расчет_аналитики'!$F$4259,0),0)</f>
        <v/>
      </c>
      <c r="M4591">
        <f>IF('01_Вводные'!$B$234="Да",IF(IF('01_Вводные'!$B$296="Новый сезон",TRUE,TRUE),'06_Сеть_и_дети'!M76*CapacityAge24*'19_Расчет_аналитики'!$F$4259,0),0)</f>
        <v/>
      </c>
      <c r="N4591">
        <f>IF('01_Вводные'!$B$234="Да",IF(IF('01_Вводные'!$B$296="Новый сезон",TRUE,TRUE),'06_Сеть_и_дети'!N76*CapacityAge24*'19_Расчет_аналитики'!$F$4259,0),0)</f>
        <v/>
      </c>
      <c r="O4591">
        <f>IF('01_Вводные'!$B$234="Да",IF(IF('01_Вводные'!$B$296="Новый сезон",TRUE,TRUE),'06_Сеть_и_дети'!O76*CapacityAge24*'19_Расчет_аналитики'!$F$4259,0),0)</f>
        <v/>
      </c>
      <c r="P4591">
        <f>IF('01_Вводные'!$B$234="Да",IF(IF('01_Вводные'!$B$296="Новый сезон",TRUE,TRUE),'06_Сеть_и_дети'!P76*CapacityAge24*'19_Расчет_аналитики'!$F$4259,0),0)</f>
        <v/>
      </c>
      <c r="Q4591">
        <f>IF('01_Вводные'!$B$234="Да",IF(IF('01_Вводные'!$B$296="Новый сезон",TRUE,TRUE),'06_Сеть_и_дети'!Q76*CapacityAge24*'19_Расчет_аналитики'!$F$4259,0),0)</f>
        <v/>
      </c>
      <c r="R4591">
        <f>IF('01_Вводные'!$B$234="Да",IF(IF('01_Вводные'!$B$296="Новый сезон",TRUE,TRUE),'06_Сеть_и_дети'!R76*CapacityAge24*'19_Расчет_аналитики'!$F$4259,0),0)</f>
        <v/>
      </c>
      <c r="S4591">
        <f>IF('01_Вводные'!$B$234="Да",IF(IF('01_Вводные'!$B$296="Новый сезон",TRUE,TRUE),'06_Сеть_и_дети'!S76*CapacityAge24*'19_Расчет_аналитики'!$F$4259,0),0)</f>
        <v/>
      </c>
      <c r="T4591">
        <f>IF('01_Вводные'!$B$234="Да",IF(IF('01_Вводные'!$B$296="Новый сезон",TRUE,TRUE),'06_Сеть_и_дети'!T76*CapacityAge24*'19_Расчет_аналитики'!$F$4259,0),0)</f>
        <v/>
      </c>
      <c r="U4591">
        <f>IF('01_Вводные'!$B$234="Да",IF(IF('01_Вводные'!$B$296="Новый сезон",TRUE,TRUE),'06_Сеть_и_дети'!U76*CapacityAge24*'19_Расчет_аналитики'!$F$4259,0),0)</f>
        <v/>
      </c>
      <c r="V4591">
        <f>IF('01_Вводные'!$B$234="Да",IF(IF('01_Вводные'!$B$296="Новый сезон",TRUE,TRUE),'06_Сеть_и_дети'!V76*CapacityAge24*'19_Расчет_аналитики'!$F$4259,0),0)</f>
        <v/>
      </c>
      <c r="W4591">
        <f>IF('01_Вводные'!$B$234="Да",IF(IF('01_Вводные'!$B$296="Новый сезон",TRUE,TRUE),'06_Сеть_и_дети'!W76*CapacityAge24*'19_Расчет_аналитики'!$F$4259,0),0)</f>
        <v/>
      </c>
      <c r="X4591">
        <f>IF('01_Вводные'!$B$234="Да",IF(IF('01_Вводные'!$B$296="Новый сезон",TRUE,TRUE),'06_Сеть_и_дети'!X76*CapacityAge24*'19_Расчет_аналитики'!$F$4259,0),0)</f>
        <v/>
      </c>
      <c r="Y4591">
        <f>IF('01_Вводные'!$B$234="Да",IF(IF('01_Вводные'!$B$296="Новый сезон",TRUE,TRUE),'19_Расчет_аналитики'!Y4479*CapacityAge24*'19_Расчет_аналитики'!$F$4259,0),0)</f>
        <v/>
      </c>
      <c r="Z4591">
        <f>IF('01_Вводные'!$B$234="Да",IF(IF('01_Вводные'!$B$296="Новый сезон",TRUE,TRUE),'19_Расчет_аналитики'!Z4479*CapacityAge24*'19_Расчет_аналитики'!$F$4259,0),0)</f>
        <v/>
      </c>
      <c r="AA4591">
        <f>IF('01_Вводные'!$B$234="Да",IF(IF('01_Вводные'!$B$296="Новый сезон",TRUE,TRUE),'19_Расчет_аналитики'!AA4479*CapacityAge24*'19_Расчет_аналитики'!$F$4259,0),0)</f>
        <v/>
      </c>
      <c r="AB4591">
        <f>IF('01_Вводные'!$B$234="Да",IF(IF('01_Вводные'!$B$296="Новый сезон",TRUE,TRUE),'19_Расчет_аналитики'!AB4479*CapacityAge24*'19_Расчет_аналитики'!$F$4259,0),0)</f>
        <v/>
      </c>
      <c r="AC4591">
        <f>IF('01_Вводные'!$B$234="Да",IF(IF('01_Вводные'!$B$296="Новый сезон",TRUE,TRUE),'19_Расчет_аналитики'!AC4479*CapacityAge24*'19_Расчет_аналитики'!$F$4259,0),0)</f>
        <v/>
      </c>
      <c r="AD4591">
        <f>IF('01_Вводные'!$B$234="Да",IF(IF('01_Вводные'!$B$296="Новый сезон",TRUE,TRUE),'19_Расчет_аналитики'!AD4479*CapacityAge24*'19_Расчет_аналитики'!$F$4259,0),0)</f>
        <v/>
      </c>
      <c r="AE4591">
        <f>IF('01_Вводные'!$B$234="Да",IF(IF('01_Вводные'!$B$296="Новый сезон",TRUE,TRUE),'19_Расчет_аналитики'!AE4479*CapacityAge24*'19_Расчет_аналитики'!$F$4259,0),0)</f>
        <v/>
      </c>
      <c r="AF4591">
        <f>IF('01_Вводные'!$B$234="Да",IF(IF('01_Вводные'!$B$296="Новый сезон",TRUE,TRUE),'19_Расчет_аналитики'!AF4479*CapacityAge24*'19_Расчет_аналитики'!$F$4259,0),0)</f>
        <v/>
      </c>
      <c r="AG4591">
        <f>IF('01_Вводные'!$B$234="Да",IF(IF('01_Вводные'!$B$296="Новый сезон",TRUE,TRUE),'19_Расчет_аналитики'!AG4479*CapacityAge24*'19_Расчет_аналитики'!$F$4259,0),0)</f>
        <v/>
      </c>
      <c r="AH4591">
        <f>IF('01_Вводные'!$B$234="Да",IF(IF('01_Вводные'!$B$296="Новый сезон",TRUE,TRUE),'19_Расчет_аналитики'!AH4479*CapacityAge24*'19_Расчет_аналитики'!$F$4259,0),0)</f>
        <v/>
      </c>
      <c r="AI4591">
        <f>IF('01_Вводные'!$B$234="Да",IF(IF('01_Вводные'!$B$296="Новый сезон",TRUE,TRUE),'19_Расчет_аналитики'!AI4479*CapacityAge24*'19_Расчет_аналитики'!$F$4259,0),0)</f>
        <v/>
      </c>
      <c r="AJ4591">
        <f>IF('01_Вводные'!$B$234="Да",IF(IF('01_Вводные'!$B$296="Новый сезон",TRUE,TRUE),'19_Расчет_аналитики'!AJ4479*CapacityAge24*'19_Расчет_аналитики'!$F$4259,0),0)</f>
        <v/>
      </c>
      <c r="AK4591">
        <f>IF('01_Вводные'!$B$234="Да",IF(IF('01_Вводные'!$B$296="Новый сезон",TRUE,TRUE),'19_Расчет_аналитики'!AK4479*CapacityAge24*'19_Расчет_аналитики'!$F$4259,0),0)</f>
        <v/>
      </c>
      <c r="AL4591">
        <f>IF('01_Вводные'!$B$234="Да",IF(IF('01_Вводные'!$B$296="Новый сезон",TRUE,TRUE),'19_Расчет_аналитики'!AL4479*CapacityAge24*'19_Расчет_аналитики'!$F$4259,0),0)</f>
        <v/>
      </c>
      <c r="AM4591">
        <f>IF('01_Вводные'!$B$234="Да",IF(IF('01_Вводные'!$B$296="Новый сезон",TRUE,TRUE),'19_Расчет_аналитики'!AM4479*CapacityAge24*'19_Расчет_аналитики'!$F$4259,0),0)</f>
        <v/>
      </c>
      <c r="AN4591">
        <f>IF('01_Вводные'!$B$234="Да",IF(IF('01_Вводные'!$B$296="Новый сезон",TRUE,TRUE),'19_Расчет_аналитики'!AN4479*CapacityAge24*'19_Расчет_аналитики'!$F$4259,0),0)</f>
        <v/>
      </c>
      <c r="AO4591">
        <f>IF('01_Вводные'!$B$234="Да",IF(IF('01_Вводные'!$B$296="Новый сезон",TRUE,TRUE),'19_Расчет_аналитики'!AO4479*CapacityAge24*'19_Расчет_аналитики'!$F$4259,0),0)</f>
        <v/>
      </c>
      <c r="AP4591">
        <f>IF('01_Вводные'!$B$234="Да",IF(IF('01_Вводные'!$B$296="Новый сезон",TRUE,TRUE),'19_Расчет_аналитики'!AP4479*CapacityAge24*'19_Расчет_аналитики'!$F$4259,0),0)</f>
        <v/>
      </c>
      <c r="AQ4591">
        <f>IF('01_Вводные'!$B$234="Да",IF(IF('01_Вводные'!$B$296="Новый сезон",TRUE,TRUE),'19_Расчет_аналитики'!AQ4479*CapacityAge24*'19_Расчет_аналитики'!$F$4259,0),0)</f>
        <v/>
      </c>
      <c r="AR4591">
        <f>IF('01_Вводные'!$B$234="Да",IF(IF('01_Вводные'!$B$296="Новый сезон",TRUE,TRUE),'19_Расчет_аналитики'!AR4479*CapacityAge24*'19_Расчет_аналитики'!$F$4259,0),0)</f>
        <v/>
      </c>
      <c r="AS4591">
        <f>IF('01_Вводные'!$B$234="Да",IF(IF('01_Вводные'!$B$296="Новый сезон",TRUE,TRUE),'19_Расчет_аналитики'!AS4479*CapacityAge24*'19_Расчет_аналитики'!$F$4259,0),0)</f>
        <v/>
      </c>
      <c r="AT4591">
        <f>IF('01_Вводные'!$B$234="Да",IF(IF('01_Вводные'!$B$296="Новый сезон",TRUE,TRUE),'19_Расчет_аналитики'!AT4479*CapacityAge24*'19_Расчет_аналитики'!$F$4259,0),0)</f>
        <v/>
      </c>
      <c r="AU4591">
        <f>IF('01_Вводные'!$B$234="Да",IF(IF('01_Вводные'!$B$296="Новый сезон",TRUE,TRUE),'19_Расчет_аналитики'!AU4479*CapacityAge24*'19_Расчет_аналитики'!$F$4259,0),0)</f>
        <v/>
      </c>
      <c r="AV4591">
        <f>IF('01_Вводные'!$B$234="Да",IF(IF('01_Вводные'!$B$296="Новый сезон",TRUE,TRUE),'19_Расчет_аналитики'!AV4479*CapacityAge24*'19_Расчет_аналитики'!$F$4259,0),0)</f>
        <v/>
      </c>
      <c r="AW4591">
        <f>IF('01_Вводные'!$B$234="Да",IF(IF('01_Вводные'!$B$296="Новый сезон",TRUE,TRUE),'19_Расчет_аналитики'!AW4479*CapacityAge24*'19_Расчет_аналитики'!$F$4259,0),0)</f>
        <v/>
      </c>
      <c r="AX4591">
        <f>IF('01_Вводные'!$B$234="Да",IF(IF('01_Вводные'!$B$296="Новый сезон",TRUE,TRUE),'19_Расчет_аналитики'!AX4479*CapacityAge24*'19_Расчет_аналитики'!$F$4259,0),0)</f>
        <v/>
      </c>
      <c r="AY4591">
        <f>IF('01_Вводные'!$B$234="Да",IF(IF('01_Вводные'!$B$296="Новый сезон",TRUE,TRUE),'19_Расчет_аналитики'!AY4479*CapacityAge24*'19_Расчет_аналитики'!$F$4259,0),0)</f>
        <v/>
      </c>
      <c r="AZ4591">
        <f>IF('01_Вводные'!$B$234="Да",IF(IF('01_Вводные'!$B$296="Новый сезон",TRUE,TRUE),'19_Расчет_аналитики'!AZ4479*CapacityAge24*'19_Расчет_аналитики'!$F$4259,0),0)</f>
        <v/>
      </c>
      <c r="BA4591">
        <f>IF('01_Вводные'!$B$234="Да",IF(IF('01_Вводные'!$B$296="Новый сезон",TRUE,TRUE),'19_Расчет_аналитики'!BA4479*CapacityAge24*'19_Расчет_аналитики'!$F$4259,0),0)</f>
        <v/>
      </c>
      <c r="BB4591">
        <f>IF('01_Вводные'!$B$234="Да",IF(IF('01_Вводные'!$B$296="Новый сезон",TRUE,TRUE),'19_Расчет_аналитики'!BB4479*CapacityAge24*'19_Расчет_аналитики'!$F$4259,0),0)</f>
        <v/>
      </c>
      <c r="BC4591">
        <f>IF('01_Вводные'!$B$234="Да",IF(IF('01_Вводные'!$B$296="Новый сезон",TRUE,TRUE),'19_Расчет_аналитики'!BC4479*CapacityAge24*'19_Расчет_аналитики'!$F$4259,0),0)</f>
        <v/>
      </c>
      <c r="BD4591">
        <f>IF('01_Вводные'!$B$234="Да",IF(IF('01_Вводные'!$B$296="Новый сезон",TRUE,TRUE),'19_Расчет_аналитики'!BD4479*CapacityAge24*'19_Расчет_аналитики'!$F$4259,0),0)</f>
        <v/>
      </c>
      <c r="BE4591">
        <f>IF('01_Вводные'!$B$234="Да",IF(IF('01_Вводные'!$B$296="Новый сезон",TRUE,TRUE),'19_Расчет_аналитики'!BE4479*CapacityAge24*'19_Расчет_аналитики'!$F$4259,0),0)</f>
        <v/>
      </c>
      <c r="BF4591">
        <f>IF('01_Вводные'!$B$234="Да",IF(IF('01_Вводные'!$B$296="Новый сезон",TRUE,TRUE),'19_Расчет_аналитики'!BF4479*CapacityAge24*'19_Расчет_аналитики'!$F$4259,0),0)</f>
        <v/>
      </c>
      <c r="BG4591">
        <f>IF('01_Вводные'!$B$234="Да",IF(IF('01_Вводные'!$B$296="Новый сезон",TRUE,TRUE),'19_Расчет_аналитики'!BG4479*CapacityAge24*'19_Расчет_аналитики'!$F$4259,0),0)</f>
        <v/>
      </c>
      <c r="BH4591">
        <f>IF('01_Вводные'!$B$234="Да",IF(IF('01_Вводные'!$B$296="Новый сезон",TRUE,TRUE),'19_Расчет_аналитики'!BH4479*CapacityAge24*'19_Расчет_аналитики'!$F$4259,0),0)</f>
        <v/>
      </c>
      <c r="BI4591">
        <f>IF('01_Вводные'!$B$234="Да",IF(IF('01_Вводные'!$B$296="Новый сезон",TRUE,TRUE),'19_Расчет_аналитики'!BI4479*CapacityAge24*'19_Расчет_аналитики'!$F$4259,0),0)</f>
        <v/>
      </c>
      <c r="BJ4591">
        <f>IF('01_Вводные'!$B$234="Да",IF(IF('01_Вводные'!$B$296="Новый сезон",TRUE,TRUE),'19_Расчет_аналитики'!BJ4479*CapacityAge24*'19_Расчет_аналитики'!$F$4259,0),0)</f>
        <v/>
      </c>
      <c r="BK4591">
        <f>IF('01_Вводные'!$B$234="Да",IF(IF('01_Вводные'!$B$296="Новый сезон",TRUE,TRUE),'19_Расчет_аналитики'!BK4479*CapacityAge24*'19_Расчет_аналитики'!$F$4259,0),0)</f>
        <v/>
      </c>
      <c r="BL4591">
        <f>IF('01_Вводные'!$B$234="Да",IF(IF('01_Вводные'!$B$296="Новый сезон",TRUE,TRUE),'19_Расчет_аналитики'!BL4479*CapacityAge24*'19_Расчет_аналитики'!$F$4259,0),0)</f>
        <v/>
      </c>
      <c r="BM4591">
        <f>IF('01_Вводные'!$B$234="Да",IF(IF('01_Вводные'!$B$296="Новый сезон",TRUE,TRUE),'19_Расчет_аналитики'!BM4479*CapacityAge24*'19_Расчет_аналитики'!$F$4259,0),0)</f>
        <v/>
      </c>
      <c r="BN4591">
        <f>IF('01_Вводные'!$B$234="Да",IF(IF('01_Вводные'!$B$296="Новый сезон",TRUE,TRUE),'19_Расчет_аналитики'!BN4479*CapacityAge24*'19_Расчет_аналитики'!$F$4259,0),0)</f>
        <v/>
      </c>
      <c r="BO4591">
        <f>IF('01_Вводные'!$B$234="Да",IF(IF('01_Вводные'!$B$296="Новый сезон",TRUE,TRUE),'19_Расчет_аналитики'!BO4479*CapacityAge24*'19_Расчет_аналитики'!$F$4259,0),0)</f>
        <v/>
      </c>
    </row>
    <row r="4592">
      <c r="B4592">
        <f>IF('01_Вводные'!$B$234="Да",IF(IF('01_Вводные'!$B$296="Новый сезон",TRUE,TRUE),'06_Сеть_и_дети'!B77*CapacityAge25*'19_Расчет_аналитики'!$F$4259,0),0)</f>
        <v/>
      </c>
      <c r="C4592">
        <f>IF('01_Вводные'!$B$234="Да",IF(IF('01_Вводные'!$B$296="Новый сезон",TRUE,TRUE),'06_Сеть_и_дети'!C77*CapacityAge25*'19_Расчет_аналитики'!$F$4259,0),0)</f>
        <v/>
      </c>
      <c r="D4592">
        <f>IF('01_Вводные'!$B$234="Да",IF(IF('01_Вводные'!$B$296="Новый сезон",TRUE,TRUE),'06_Сеть_и_дети'!D77*CapacityAge25*'19_Расчет_аналитики'!$F$4259,0),0)</f>
        <v/>
      </c>
      <c r="E4592">
        <f>IF('01_Вводные'!$B$234="Да",IF(IF('01_Вводные'!$B$296="Новый сезон",TRUE,TRUE),'06_Сеть_и_дети'!E77*CapacityAge25*'19_Расчет_аналитики'!$F$4259,0),0)</f>
        <v/>
      </c>
      <c r="F4592">
        <f>IF('01_Вводные'!$B$234="Да",IF(IF('01_Вводные'!$B$296="Новый сезон",TRUE,TRUE),'06_Сеть_и_дети'!F77*CapacityAge25*'19_Расчет_аналитики'!$F$4259,0),0)</f>
        <v/>
      </c>
      <c r="G4592">
        <f>IF('01_Вводные'!$B$234="Да",IF(IF('01_Вводные'!$B$296="Новый сезон",TRUE,TRUE),'06_Сеть_и_дети'!G77*CapacityAge25*'19_Расчет_аналитики'!$F$4259,0),0)</f>
        <v/>
      </c>
      <c r="H4592">
        <f>IF('01_Вводные'!$B$234="Да",IF(IF('01_Вводные'!$B$296="Новый сезон",TRUE,TRUE),'06_Сеть_и_дети'!H77*CapacityAge25*'19_Расчет_аналитики'!$F$4259,0),0)</f>
        <v/>
      </c>
      <c r="I4592">
        <f>IF('01_Вводные'!$B$234="Да",IF(IF('01_Вводные'!$B$296="Новый сезон",TRUE,TRUE),'06_Сеть_и_дети'!I77*CapacityAge25*'19_Расчет_аналитики'!$F$4259,0),0)</f>
        <v/>
      </c>
      <c r="J4592">
        <f>IF('01_Вводные'!$B$234="Да",IF(IF('01_Вводные'!$B$296="Новый сезон",TRUE,TRUE),'06_Сеть_и_дети'!J77*CapacityAge25*'19_Расчет_аналитики'!$F$4259,0),0)</f>
        <v/>
      </c>
      <c r="K4592">
        <f>IF('01_Вводные'!$B$234="Да",IF(IF('01_Вводные'!$B$296="Новый сезон",TRUE,TRUE),'06_Сеть_и_дети'!K77*CapacityAge25*'19_Расчет_аналитики'!$F$4259,0),0)</f>
        <v/>
      </c>
      <c r="L4592">
        <f>IF('01_Вводные'!$B$234="Да",IF(IF('01_Вводные'!$B$296="Новый сезон",TRUE,TRUE),'06_Сеть_и_дети'!L77*CapacityAge25*'19_Расчет_аналитики'!$F$4259,0),0)</f>
        <v/>
      </c>
      <c r="M4592">
        <f>IF('01_Вводные'!$B$234="Да",IF(IF('01_Вводные'!$B$296="Новый сезон",TRUE,TRUE),'06_Сеть_и_дети'!M77*CapacityAge25*'19_Расчет_аналитики'!$F$4259,0),0)</f>
        <v/>
      </c>
      <c r="N4592">
        <f>IF('01_Вводные'!$B$234="Да",IF(IF('01_Вводные'!$B$296="Новый сезон",TRUE,TRUE),'06_Сеть_и_дети'!N77*CapacityAge25*'19_Расчет_аналитики'!$F$4259,0),0)</f>
        <v/>
      </c>
      <c r="O4592">
        <f>IF('01_Вводные'!$B$234="Да",IF(IF('01_Вводные'!$B$296="Новый сезон",TRUE,TRUE),'06_Сеть_и_дети'!O77*CapacityAge25*'19_Расчет_аналитики'!$F$4259,0),0)</f>
        <v/>
      </c>
      <c r="P4592">
        <f>IF('01_Вводные'!$B$234="Да",IF(IF('01_Вводные'!$B$296="Новый сезон",TRUE,TRUE),'06_Сеть_и_дети'!P77*CapacityAge25*'19_Расчет_аналитики'!$F$4259,0),0)</f>
        <v/>
      </c>
      <c r="Q4592">
        <f>IF('01_Вводные'!$B$234="Да",IF(IF('01_Вводные'!$B$296="Новый сезон",TRUE,TRUE),'06_Сеть_и_дети'!Q77*CapacityAge25*'19_Расчет_аналитики'!$F$4259,0),0)</f>
        <v/>
      </c>
      <c r="R4592">
        <f>IF('01_Вводные'!$B$234="Да",IF(IF('01_Вводные'!$B$296="Новый сезон",TRUE,TRUE),'06_Сеть_и_дети'!R77*CapacityAge25*'19_Расчет_аналитики'!$F$4259,0),0)</f>
        <v/>
      </c>
      <c r="S4592">
        <f>IF('01_Вводные'!$B$234="Да",IF(IF('01_Вводные'!$B$296="Новый сезон",TRUE,TRUE),'06_Сеть_и_дети'!S77*CapacityAge25*'19_Расчет_аналитики'!$F$4259,0),0)</f>
        <v/>
      </c>
      <c r="T4592">
        <f>IF('01_Вводные'!$B$234="Да",IF(IF('01_Вводные'!$B$296="Новый сезон",TRUE,TRUE),'06_Сеть_и_дети'!T77*CapacityAge25*'19_Расчет_аналитики'!$F$4259,0),0)</f>
        <v/>
      </c>
      <c r="U4592">
        <f>IF('01_Вводные'!$B$234="Да",IF(IF('01_Вводные'!$B$296="Новый сезон",TRUE,TRUE),'06_Сеть_и_дети'!U77*CapacityAge25*'19_Расчет_аналитики'!$F$4259,0),0)</f>
        <v/>
      </c>
      <c r="V4592">
        <f>IF('01_Вводные'!$B$234="Да",IF(IF('01_Вводные'!$B$296="Новый сезон",TRUE,TRUE),'06_Сеть_и_дети'!V77*CapacityAge25*'19_Расчет_аналитики'!$F$4259,0),0)</f>
        <v/>
      </c>
      <c r="W4592">
        <f>IF('01_Вводные'!$B$234="Да",IF(IF('01_Вводные'!$B$296="Новый сезон",TRUE,TRUE),'06_Сеть_и_дети'!W77*CapacityAge25*'19_Расчет_аналитики'!$F$4259,0),0)</f>
        <v/>
      </c>
      <c r="X4592">
        <f>IF('01_Вводные'!$B$234="Да",IF(IF('01_Вводные'!$B$296="Новый сезон",TRUE,TRUE),'06_Сеть_и_дети'!X77*CapacityAge25*'19_Расчет_аналитики'!$F$4259,0),0)</f>
        <v/>
      </c>
      <c r="Y4592">
        <f>IF('01_Вводные'!$B$234="Да",IF(IF('01_Вводные'!$B$296="Новый сезон",TRUE,TRUE),'06_Сеть_и_дети'!Y77*CapacityAge25*'19_Расчет_аналитики'!$F$4259,0),0)</f>
        <v/>
      </c>
      <c r="Z4592">
        <f>IF('01_Вводные'!$B$234="Да",IF(IF('01_Вводные'!$B$296="Новый сезон",TRUE,TRUE),'19_Расчет_аналитики'!Z4480*CapacityAge25*'19_Расчет_аналитики'!$F$4259,0),0)</f>
        <v/>
      </c>
      <c r="AA4592">
        <f>IF('01_Вводные'!$B$234="Да",IF(IF('01_Вводные'!$B$296="Новый сезон",TRUE,TRUE),'19_Расчет_аналитики'!AA4480*CapacityAge25*'19_Расчет_аналитики'!$F$4259,0),0)</f>
        <v/>
      </c>
      <c r="AB4592">
        <f>IF('01_Вводные'!$B$234="Да",IF(IF('01_Вводные'!$B$296="Новый сезон",TRUE,TRUE),'19_Расчет_аналитики'!AB4480*CapacityAge25*'19_Расчет_аналитики'!$F$4259,0),0)</f>
        <v/>
      </c>
      <c r="AC4592">
        <f>IF('01_Вводные'!$B$234="Да",IF(IF('01_Вводные'!$B$296="Новый сезон",TRUE,TRUE),'19_Расчет_аналитики'!AC4480*CapacityAge25*'19_Расчет_аналитики'!$F$4259,0),0)</f>
        <v/>
      </c>
      <c r="AD4592">
        <f>IF('01_Вводные'!$B$234="Да",IF(IF('01_Вводные'!$B$296="Новый сезон",TRUE,TRUE),'19_Расчет_аналитики'!AD4480*CapacityAge25*'19_Расчет_аналитики'!$F$4259,0),0)</f>
        <v/>
      </c>
      <c r="AE4592">
        <f>IF('01_Вводные'!$B$234="Да",IF(IF('01_Вводные'!$B$296="Новый сезон",TRUE,TRUE),'19_Расчет_аналитики'!AE4480*CapacityAge25*'19_Расчет_аналитики'!$F$4259,0),0)</f>
        <v/>
      </c>
      <c r="AF4592">
        <f>IF('01_Вводные'!$B$234="Да",IF(IF('01_Вводные'!$B$296="Новый сезон",TRUE,TRUE),'19_Расчет_аналитики'!AF4480*CapacityAge25*'19_Расчет_аналитики'!$F$4259,0),0)</f>
        <v/>
      </c>
      <c r="AG4592">
        <f>IF('01_Вводные'!$B$234="Да",IF(IF('01_Вводные'!$B$296="Новый сезон",TRUE,TRUE),'19_Расчет_аналитики'!AG4480*CapacityAge25*'19_Расчет_аналитики'!$F$4259,0),0)</f>
        <v/>
      </c>
      <c r="AH4592">
        <f>IF('01_Вводные'!$B$234="Да",IF(IF('01_Вводные'!$B$296="Новый сезон",TRUE,TRUE),'19_Расчет_аналитики'!AH4480*CapacityAge25*'19_Расчет_аналитики'!$F$4259,0),0)</f>
        <v/>
      </c>
      <c r="AI4592">
        <f>IF('01_Вводные'!$B$234="Да",IF(IF('01_Вводные'!$B$296="Новый сезон",TRUE,TRUE),'19_Расчет_аналитики'!AI4480*CapacityAge25*'19_Расчет_аналитики'!$F$4259,0),0)</f>
        <v/>
      </c>
      <c r="AJ4592">
        <f>IF('01_Вводные'!$B$234="Да",IF(IF('01_Вводные'!$B$296="Новый сезон",TRUE,TRUE),'19_Расчет_аналитики'!AJ4480*CapacityAge25*'19_Расчет_аналитики'!$F$4259,0),0)</f>
        <v/>
      </c>
      <c r="AK4592">
        <f>IF('01_Вводные'!$B$234="Да",IF(IF('01_Вводные'!$B$296="Новый сезон",TRUE,TRUE),'19_Расчет_аналитики'!AK4480*CapacityAge25*'19_Расчет_аналитики'!$F$4259,0),0)</f>
        <v/>
      </c>
      <c r="AL4592">
        <f>IF('01_Вводные'!$B$234="Да",IF(IF('01_Вводные'!$B$296="Новый сезон",TRUE,TRUE),'19_Расчет_аналитики'!AL4480*CapacityAge25*'19_Расчет_аналитики'!$F$4259,0),0)</f>
        <v/>
      </c>
      <c r="AM4592">
        <f>IF('01_Вводные'!$B$234="Да",IF(IF('01_Вводные'!$B$296="Новый сезон",TRUE,TRUE),'19_Расчет_аналитики'!AM4480*CapacityAge25*'19_Расчет_аналитики'!$F$4259,0),0)</f>
        <v/>
      </c>
      <c r="AN4592">
        <f>IF('01_Вводные'!$B$234="Да",IF(IF('01_Вводные'!$B$296="Новый сезон",TRUE,TRUE),'19_Расчет_аналитики'!AN4480*CapacityAge25*'19_Расчет_аналитики'!$F$4259,0),0)</f>
        <v/>
      </c>
      <c r="AO4592">
        <f>IF('01_Вводные'!$B$234="Да",IF(IF('01_Вводные'!$B$296="Новый сезон",TRUE,TRUE),'19_Расчет_аналитики'!AO4480*CapacityAge25*'19_Расчет_аналитики'!$F$4259,0),0)</f>
        <v/>
      </c>
      <c r="AP4592">
        <f>IF('01_Вводные'!$B$234="Да",IF(IF('01_Вводные'!$B$296="Новый сезон",TRUE,TRUE),'19_Расчет_аналитики'!AP4480*CapacityAge25*'19_Расчет_аналитики'!$F$4259,0),0)</f>
        <v/>
      </c>
      <c r="AQ4592">
        <f>IF('01_Вводные'!$B$234="Да",IF(IF('01_Вводные'!$B$296="Новый сезон",TRUE,TRUE),'19_Расчет_аналитики'!AQ4480*CapacityAge25*'19_Расчет_аналитики'!$F$4259,0),0)</f>
        <v/>
      </c>
      <c r="AR4592">
        <f>IF('01_Вводные'!$B$234="Да",IF(IF('01_Вводные'!$B$296="Новый сезон",TRUE,TRUE),'19_Расчет_аналитики'!AR4480*CapacityAge25*'19_Расчет_аналитики'!$F$4259,0),0)</f>
        <v/>
      </c>
      <c r="AS4592">
        <f>IF('01_Вводные'!$B$234="Да",IF(IF('01_Вводные'!$B$296="Новый сезон",TRUE,TRUE),'19_Расчет_аналитики'!AS4480*CapacityAge25*'19_Расчет_аналитики'!$F$4259,0),0)</f>
        <v/>
      </c>
      <c r="AT4592">
        <f>IF('01_Вводные'!$B$234="Да",IF(IF('01_Вводные'!$B$296="Новый сезон",TRUE,TRUE),'19_Расчет_аналитики'!AT4480*CapacityAge25*'19_Расчет_аналитики'!$F$4259,0),0)</f>
        <v/>
      </c>
      <c r="AU4592">
        <f>IF('01_Вводные'!$B$234="Да",IF(IF('01_Вводные'!$B$296="Новый сезон",TRUE,TRUE),'19_Расчет_аналитики'!AU4480*CapacityAge25*'19_Расчет_аналитики'!$F$4259,0),0)</f>
        <v/>
      </c>
      <c r="AV4592">
        <f>IF('01_Вводные'!$B$234="Да",IF(IF('01_Вводные'!$B$296="Новый сезон",TRUE,TRUE),'19_Расчет_аналитики'!AV4480*CapacityAge25*'19_Расчет_аналитики'!$F$4259,0),0)</f>
        <v/>
      </c>
      <c r="AW4592">
        <f>IF('01_Вводные'!$B$234="Да",IF(IF('01_Вводные'!$B$296="Новый сезон",TRUE,TRUE),'19_Расчет_аналитики'!AW4480*CapacityAge25*'19_Расчет_аналитики'!$F$4259,0),0)</f>
        <v/>
      </c>
      <c r="AX4592">
        <f>IF('01_Вводные'!$B$234="Да",IF(IF('01_Вводные'!$B$296="Новый сезон",TRUE,TRUE),'19_Расчет_аналитики'!AX4480*CapacityAge25*'19_Расчет_аналитики'!$F$4259,0),0)</f>
        <v/>
      </c>
      <c r="AY4592">
        <f>IF('01_Вводные'!$B$234="Да",IF(IF('01_Вводные'!$B$296="Новый сезон",TRUE,TRUE),'19_Расчет_аналитики'!AY4480*CapacityAge25*'19_Расчет_аналитики'!$F$4259,0),0)</f>
        <v/>
      </c>
      <c r="AZ4592">
        <f>IF('01_Вводные'!$B$234="Да",IF(IF('01_Вводные'!$B$296="Новый сезон",TRUE,TRUE),'19_Расчет_аналитики'!AZ4480*CapacityAge25*'19_Расчет_аналитики'!$F$4259,0),0)</f>
        <v/>
      </c>
      <c r="BA4592">
        <f>IF('01_Вводные'!$B$234="Да",IF(IF('01_Вводные'!$B$296="Новый сезон",TRUE,TRUE),'19_Расчет_аналитики'!BA4480*CapacityAge25*'19_Расчет_аналитики'!$F$4259,0),0)</f>
        <v/>
      </c>
      <c r="BB4592">
        <f>IF('01_Вводные'!$B$234="Да",IF(IF('01_Вводные'!$B$296="Новый сезон",TRUE,TRUE),'19_Расчет_аналитики'!BB4480*CapacityAge25*'19_Расчет_аналитики'!$F$4259,0),0)</f>
        <v/>
      </c>
      <c r="BC4592">
        <f>IF('01_Вводные'!$B$234="Да",IF(IF('01_Вводные'!$B$296="Новый сезон",TRUE,TRUE),'19_Расчет_аналитики'!BC4480*CapacityAge25*'19_Расчет_аналитики'!$F$4259,0),0)</f>
        <v/>
      </c>
      <c r="BD4592">
        <f>IF('01_Вводные'!$B$234="Да",IF(IF('01_Вводные'!$B$296="Новый сезон",TRUE,TRUE),'19_Расчет_аналитики'!BD4480*CapacityAge25*'19_Расчет_аналитики'!$F$4259,0),0)</f>
        <v/>
      </c>
      <c r="BE4592">
        <f>IF('01_Вводные'!$B$234="Да",IF(IF('01_Вводные'!$B$296="Новый сезон",TRUE,TRUE),'19_Расчет_аналитики'!BE4480*CapacityAge25*'19_Расчет_аналитики'!$F$4259,0),0)</f>
        <v/>
      </c>
      <c r="BF4592">
        <f>IF('01_Вводные'!$B$234="Да",IF(IF('01_Вводные'!$B$296="Новый сезон",TRUE,TRUE),'19_Расчет_аналитики'!BF4480*CapacityAge25*'19_Расчет_аналитики'!$F$4259,0),0)</f>
        <v/>
      </c>
      <c r="BG4592">
        <f>IF('01_Вводные'!$B$234="Да",IF(IF('01_Вводные'!$B$296="Новый сезон",TRUE,TRUE),'19_Расчет_аналитики'!BG4480*CapacityAge25*'19_Расчет_аналитики'!$F$4259,0),0)</f>
        <v/>
      </c>
      <c r="BH4592">
        <f>IF('01_Вводные'!$B$234="Да",IF(IF('01_Вводные'!$B$296="Новый сезон",TRUE,TRUE),'19_Расчет_аналитики'!BH4480*CapacityAge25*'19_Расчет_аналитики'!$F$4259,0),0)</f>
        <v/>
      </c>
      <c r="BI4592">
        <f>IF('01_Вводные'!$B$234="Да",IF(IF('01_Вводные'!$B$296="Новый сезон",TRUE,TRUE),'19_Расчет_аналитики'!BI4480*CapacityAge25*'19_Расчет_аналитики'!$F$4259,0),0)</f>
        <v/>
      </c>
      <c r="BJ4592">
        <f>IF('01_Вводные'!$B$234="Да",IF(IF('01_Вводные'!$B$296="Новый сезон",TRUE,TRUE),'19_Расчет_аналитики'!BJ4480*CapacityAge25*'19_Расчет_аналитики'!$F$4259,0),0)</f>
        <v/>
      </c>
      <c r="BK4592">
        <f>IF('01_Вводные'!$B$234="Да",IF(IF('01_Вводные'!$B$296="Новый сезон",TRUE,TRUE),'19_Расчет_аналитики'!BK4480*CapacityAge25*'19_Расчет_аналитики'!$F$4259,0),0)</f>
        <v/>
      </c>
      <c r="BL4592">
        <f>IF('01_Вводные'!$B$234="Да",IF(IF('01_Вводные'!$B$296="Новый сезон",TRUE,TRUE),'19_Расчет_аналитики'!BL4480*CapacityAge25*'19_Расчет_аналитики'!$F$4259,0),0)</f>
        <v/>
      </c>
      <c r="BM4592">
        <f>IF('01_Вводные'!$B$234="Да",IF(IF('01_Вводные'!$B$296="Новый сезон",TRUE,TRUE),'19_Расчет_аналитики'!BM4480*CapacityAge25*'19_Расчет_аналитики'!$F$4259,0),0)</f>
        <v/>
      </c>
      <c r="BN4592">
        <f>IF('01_Вводные'!$B$234="Да",IF(IF('01_Вводные'!$B$296="Новый сезон",TRUE,TRUE),'19_Расчет_аналитики'!BN4480*CapacityAge25*'19_Расчет_аналитики'!$F$4259,0),0)</f>
        <v/>
      </c>
      <c r="BO4592">
        <f>IF('01_Вводные'!$B$234="Да",IF(IF('01_Вводные'!$B$296="Новый сезон",TRUE,TRUE),'19_Расчет_аналитики'!BO4480*CapacityAge25*'19_Расчет_аналитики'!$F$4259,0),0)</f>
        <v/>
      </c>
    </row>
    <row r="4593"/>
    <row r="4594">
      <c r="B4594">
        <f>IF('01_Вводные'!$B$234="Да",SUM('19_Расчет_аналитики'!B4568:B4592),0)</f>
        <v/>
      </c>
      <c r="C4594">
        <f>IF('01_Вводные'!$B$234="Да",SUM('19_Расчет_аналитики'!C4568:C4592),0)</f>
        <v/>
      </c>
      <c r="D4594">
        <f>IF('01_Вводные'!$B$234="Да",SUM('19_Расчет_аналитики'!D4568:D4592),0)</f>
        <v/>
      </c>
      <c r="E4594">
        <f>IF('01_Вводные'!$B$234="Да",SUM('19_Расчет_аналитики'!E4568:E4592),0)</f>
        <v/>
      </c>
      <c r="F4594">
        <f>IF('01_Вводные'!$B$234="Да",SUM('19_Расчет_аналитики'!F4568:F4592),0)</f>
        <v/>
      </c>
      <c r="G4594">
        <f>IF('01_Вводные'!$B$234="Да",SUM('19_Расчет_аналитики'!G4568:G4592),0)</f>
        <v/>
      </c>
      <c r="H4594">
        <f>IF('01_Вводные'!$B$234="Да",SUM('19_Расчет_аналитики'!H4568:H4592),0)</f>
        <v/>
      </c>
      <c r="I4594">
        <f>IF('01_Вводные'!$B$234="Да",SUM('19_Расчет_аналитики'!I4568:I4592),0)</f>
        <v/>
      </c>
      <c r="J4594">
        <f>IF('01_Вводные'!$B$234="Да",SUM('19_Расчет_аналитики'!J4568:J4592),0)</f>
        <v/>
      </c>
      <c r="K4594">
        <f>IF('01_Вводные'!$B$234="Да",SUM('19_Расчет_аналитики'!K4568:K4592),0)</f>
        <v/>
      </c>
      <c r="L4594">
        <f>IF('01_Вводные'!$B$234="Да",SUM('19_Расчет_аналитики'!L4568:L4592),0)</f>
        <v/>
      </c>
      <c r="M4594">
        <f>IF('01_Вводные'!$B$234="Да",SUM('19_Расчет_аналитики'!M4568:M4592),0)</f>
        <v/>
      </c>
      <c r="N4594">
        <f>IF('01_Вводные'!$B$234="Да",SUM('19_Расчет_аналитики'!N4568:N4592),0)</f>
        <v/>
      </c>
      <c r="O4594">
        <f>IF('01_Вводные'!$B$234="Да",SUM('19_Расчет_аналитики'!O4568:O4592),0)</f>
        <v/>
      </c>
      <c r="P4594">
        <f>IF('01_Вводные'!$B$234="Да",SUM('19_Расчет_аналитики'!P4568:P4592),0)</f>
        <v/>
      </c>
      <c r="Q4594">
        <f>IF('01_Вводные'!$B$234="Да",SUM('19_Расчет_аналитики'!Q4568:Q4592),0)</f>
        <v/>
      </c>
      <c r="R4594">
        <f>IF('01_Вводные'!$B$234="Да",SUM('19_Расчет_аналитики'!R4568:R4592),0)</f>
        <v/>
      </c>
      <c r="S4594">
        <f>IF('01_Вводные'!$B$234="Да",SUM('19_Расчет_аналитики'!S4568:S4592),0)</f>
        <v/>
      </c>
      <c r="T4594">
        <f>IF('01_Вводные'!$B$234="Да",SUM('19_Расчет_аналитики'!T4568:T4592),0)</f>
        <v/>
      </c>
      <c r="U4594">
        <f>IF('01_Вводные'!$B$234="Да",SUM('19_Расчет_аналитики'!U4568:U4592),0)</f>
        <v/>
      </c>
      <c r="V4594">
        <f>IF('01_Вводные'!$B$234="Да",SUM('19_Расчет_аналитики'!V4568:V4592),0)</f>
        <v/>
      </c>
      <c r="W4594">
        <f>IF('01_Вводные'!$B$234="Да",SUM('19_Расчет_аналитики'!W4568:W4592),0)</f>
        <v/>
      </c>
      <c r="X4594">
        <f>IF('01_Вводные'!$B$234="Да",SUM('19_Расчет_аналитики'!X4568:X4592),0)</f>
        <v/>
      </c>
      <c r="Y4594">
        <f>IF('01_Вводные'!$B$234="Да",SUM('19_Расчет_аналитики'!Y4568:Y4592),0)</f>
        <v/>
      </c>
      <c r="Z4594">
        <f>IF('01_Вводные'!$B$234="Да",SUM('19_Расчет_аналитики'!Z4568:Z4592),0)</f>
        <v/>
      </c>
      <c r="AA4594">
        <f>IF('01_Вводные'!$B$234="Да",SUM('19_Расчет_аналитики'!AA4568:AA4592),0)</f>
        <v/>
      </c>
      <c r="AB4594">
        <f>IF('01_Вводные'!$B$234="Да",SUM('19_Расчет_аналитики'!AB4568:AB4592),0)</f>
        <v/>
      </c>
      <c r="AC4594">
        <f>IF('01_Вводные'!$B$234="Да",SUM('19_Расчет_аналитики'!AC4568:AC4592),0)</f>
        <v/>
      </c>
      <c r="AD4594">
        <f>IF('01_Вводные'!$B$234="Да",SUM('19_Расчет_аналитики'!AD4568:AD4592),0)</f>
        <v/>
      </c>
      <c r="AE4594">
        <f>IF('01_Вводные'!$B$234="Да",SUM('19_Расчет_аналитики'!AE4568:AE4592),0)</f>
        <v/>
      </c>
      <c r="AF4594">
        <f>IF('01_Вводные'!$B$234="Да",SUM('19_Расчет_аналитики'!AF4568:AF4592),0)</f>
        <v/>
      </c>
      <c r="AG4594">
        <f>IF('01_Вводные'!$B$234="Да",SUM('19_Расчет_аналитики'!AG4568:AG4592),0)</f>
        <v/>
      </c>
      <c r="AH4594">
        <f>IF('01_Вводные'!$B$234="Да",SUM('19_Расчет_аналитики'!AH4568:AH4592),0)</f>
        <v/>
      </c>
      <c r="AI4594">
        <f>IF('01_Вводные'!$B$234="Да",SUM('19_Расчет_аналитики'!AI4568:AI4592),0)</f>
        <v/>
      </c>
      <c r="AJ4594">
        <f>IF('01_Вводные'!$B$234="Да",SUM('19_Расчет_аналитики'!AJ4568:AJ4592),0)</f>
        <v/>
      </c>
      <c r="AK4594">
        <f>IF('01_Вводные'!$B$234="Да",SUM('19_Расчет_аналитики'!AK4568:AK4592),0)</f>
        <v/>
      </c>
      <c r="AL4594">
        <f>IF('01_Вводные'!$B$234="Да",SUM('19_Расчет_аналитики'!AL4568:AL4592),0)</f>
        <v/>
      </c>
      <c r="AM4594">
        <f>IF('01_Вводные'!$B$234="Да",SUM('19_Расчет_аналитики'!AM4568:AM4592),0)</f>
        <v/>
      </c>
      <c r="AN4594">
        <f>IF('01_Вводные'!$B$234="Да",SUM('19_Расчет_аналитики'!AN4568:AN4592),0)</f>
        <v/>
      </c>
      <c r="AO4594">
        <f>IF('01_Вводные'!$B$234="Да",SUM('19_Расчет_аналитики'!AO4568:AO4592),0)</f>
        <v/>
      </c>
      <c r="AP4594">
        <f>IF('01_Вводные'!$B$234="Да",SUM('19_Расчет_аналитики'!AP4568:AP4592),0)</f>
        <v/>
      </c>
      <c r="AQ4594">
        <f>IF('01_Вводные'!$B$234="Да",SUM('19_Расчет_аналитики'!AQ4568:AQ4592),0)</f>
        <v/>
      </c>
      <c r="AR4594">
        <f>IF('01_Вводные'!$B$234="Да",SUM('19_Расчет_аналитики'!AR4568:AR4592),0)</f>
        <v/>
      </c>
      <c r="AS4594">
        <f>IF('01_Вводные'!$B$234="Да",SUM('19_Расчет_аналитики'!AS4568:AS4592),0)</f>
        <v/>
      </c>
      <c r="AT4594">
        <f>IF('01_Вводные'!$B$234="Да",SUM('19_Расчет_аналитики'!AT4568:AT4592),0)</f>
        <v/>
      </c>
      <c r="AU4594">
        <f>IF('01_Вводные'!$B$234="Да",SUM('19_Расчет_аналитики'!AU4568:AU4592),0)</f>
        <v/>
      </c>
      <c r="AV4594">
        <f>IF('01_Вводные'!$B$234="Да",SUM('19_Расчет_аналитики'!AV4568:AV4592),0)</f>
        <v/>
      </c>
      <c r="AW4594">
        <f>IF('01_Вводные'!$B$234="Да",SUM('19_Расчет_аналитики'!AW4568:AW4592),0)</f>
        <v/>
      </c>
      <c r="AX4594">
        <f>IF('01_Вводные'!$B$234="Да",SUM('19_Расчет_аналитики'!AX4568:AX4592),0)</f>
        <v/>
      </c>
      <c r="AY4594">
        <f>IF('01_Вводные'!$B$234="Да",SUM('19_Расчет_аналитики'!AY4568:AY4592),0)</f>
        <v/>
      </c>
      <c r="AZ4594">
        <f>IF('01_Вводные'!$B$234="Да",SUM('19_Расчет_аналитики'!AZ4568:AZ4592),0)</f>
        <v/>
      </c>
      <c r="BA4594">
        <f>IF('01_Вводные'!$B$234="Да",SUM('19_Расчет_аналитики'!BA4568:BA4592),0)</f>
        <v/>
      </c>
      <c r="BB4594">
        <f>IF('01_Вводные'!$B$234="Да",SUM('19_Расчет_аналитики'!BB4568:BB4592),0)</f>
        <v/>
      </c>
      <c r="BC4594">
        <f>IF('01_Вводные'!$B$234="Да",SUM('19_Расчет_аналитики'!BC4568:BC4592),0)</f>
        <v/>
      </c>
      <c r="BD4594">
        <f>IF('01_Вводные'!$B$234="Да",SUM('19_Расчет_аналитики'!BD4568:BD4592),0)</f>
        <v/>
      </c>
      <c r="BE4594">
        <f>IF('01_Вводные'!$B$234="Да",SUM('19_Расчет_аналитики'!BE4568:BE4592),0)</f>
        <v/>
      </c>
      <c r="BF4594">
        <f>IF('01_Вводные'!$B$234="Да",SUM('19_Расчет_аналитики'!BF4568:BF4592),0)</f>
        <v/>
      </c>
      <c r="BG4594">
        <f>IF('01_Вводные'!$B$234="Да",SUM('19_Расчет_аналитики'!BG4568:BG4592),0)</f>
        <v/>
      </c>
      <c r="BH4594">
        <f>IF('01_Вводные'!$B$234="Да",SUM('19_Расчет_аналитики'!BH4568:BH4592),0)</f>
        <v/>
      </c>
      <c r="BI4594">
        <f>IF('01_Вводные'!$B$234="Да",SUM('19_Расчет_аналитики'!BI4568:BI4592),0)</f>
        <v/>
      </c>
      <c r="BJ4594">
        <f>IF('01_Вводные'!$B$234="Да",SUM('19_Расчет_аналитики'!BJ4568:BJ4592),0)</f>
        <v/>
      </c>
      <c r="BK4594">
        <f>IF('01_Вводные'!$B$234="Да",SUM('19_Расчет_аналитики'!BK4568:BK4592),0)</f>
        <v/>
      </c>
      <c r="BL4594">
        <f>IF('01_Вводные'!$B$234="Да",SUM('19_Расчет_аналитики'!BL4568:BL4592),0)</f>
        <v/>
      </c>
      <c r="BM4594">
        <f>IF('01_Вводные'!$B$234="Да",SUM('19_Расчет_аналитики'!BM4568:BM4592),0)</f>
        <v/>
      </c>
      <c r="BN4594">
        <f>IF('01_Вводные'!$B$234="Да",SUM('19_Расчет_аналитики'!BN4568:BN4592),0)</f>
        <v/>
      </c>
      <c r="BO4594">
        <f>IF('01_Вводные'!$B$234="Да",SUM('19_Расчет_аналитики'!BO4568:BO4592),0)</f>
        <v/>
      </c>
    </row>
    <row r="4595"/>
    <row r="4596"/>
    <row r="4597"/>
    <row r="4598"/>
    <row r="4599"/>
    <row r="4600"/>
    <row r="4601"/>
    <row r="4602"/>
    <row r="4603"/>
    <row r="4604"/>
    <row r="4605">
      <c r="B4605">
        <f>IF('01_Вводные'!$B$234="Да",'06_Сеть_и_дети'!B5*'19_Расчет_аналитики'!$F$4259*'19_Расчет_аналитики'!$F$4260*'18_Календарь_тарифы'!B4,0)</f>
        <v/>
      </c>
      <c r="C4605">
        <f>IF('01_Вводные'!$B$234="Да",'06_Сеть_и_дети'!C5*'19_Расчет_аналитики'!$F$4259*'19_Расчет_аналитики'!$F$4260*'18_Календарь_тарифы'!C4,0)</f>
        <v/>
      </c>
      <c r="D4605">
        <f>IF('01_Вводные'!$B$234="Да",'06_Сеть_и_дети'!D5*'19_Расчет_аналитики'!$F$4259*'19_Расчет_аналитики'!$F$4260*'18_Календарь_тарифы'!D4,0)</f>
        <v/>
      </c>
      <c r="E4605">
        <f>IF('01_Вводные'!$B$234="Да",'06_Сеть_и_дети'!E5*'19_Расчет_аналитики'!$F$4259*'19_Расчет_аналитики'!$F$4260*'18_Календарь_тарифы'!E4,0)</f>
        <v/>
      </c>
      <c r="F4605">
        <f>IF('01_Вводные'!$B$234="Да",'06_Сеть_и_дети'!F5*'19_Расчет_аналитики'!$F$4259*'19_Расчет_аналитики'!$F$4260*'18_Календарь_тарифы'!F4,0)</f>
        <v/>
      </c>
      <c r="G4605">
        <f>IF('01_Вводные'!$B$234="Да",'06_Сеть_и_дети'!G5*'19_Расчет_аналитики'!$F$4259*'19_Расчет_аналитики'!$F$4260*'18_Календарь_тарифы'!G4,0)</f>
        <v/>
      </c>
      <c r="H4605">
        <f>IF('01_Вводные'!$B$234="Да",'06_Сеть_и_дети'!H5*'19_Расчет_аналитики'!$F$4259*'19_Расчет_аналитики'!$F$4260*'18_Календарь_тарифы'!H4,0)</f>
        <v/>
      </c>
      <c r="I4605">
        <f>IF('01_Вводные'!$B$234="Да",'06_Сеть_и_дети'!I5*'19_Расчет_аналитики'!$F$4259*'19_Расчет_аналитики'!$F$4260*'18_Календарь_тарифы'!I4,0)</f>
        <v/>
      </c>
      <c r="J4605">
        <f>IF('01_Вводные'!$B$234="Да",'06_Сеть_и_дети'!J5*'19_Расчет_аналитики'!$F$4259*'19_Расчет_аналитики'!$F$4260*'18_Календарь_тарифы'!J4,0)</f>
        <v/>
      </c>
      <c r="K4605">
        <f>IF('01_Вводные'!$B$234="Да",'06_Сеть_и_дети'!K5*'19_Расчет_аналитики'!$F$4259*'19_Расчет_аналитики'!$F$4260*'18_Календарь_тарифы'!K4,0)</f>
        <v/>
      </c>
      <c r="L4605">
        <f>IF('01_Вводные'!$B$234="Да",'06_Сеть_и_дети'!L5*'19_Расчет_аналитики'!$F$4259*'19_Расчет_аналитики'!$F$4260*'18_Календарь_тарифы'!L4,0)</f>
        <v/>
      </c>
      <c r="M4605">
        <f>IF('01_Вводные'!$B$234="Да",'06_Сеть_и_дети'!M5*'19_Расчет_аналитики'!$F$4259*'19_Расчет_аналитики'!$F$4260*'18_Календарь_тарифы'!M4,0)</f>
        <v/>
      </c>
      <c r="N4605">
        <f>IF('01_Вводные'!$B$234="Да",'06_Сеть_и_дети'!N5*'19_Расчет_аналитики'!$F$4259*'19_Расчет_аналитики'!$F$4260*'18_Календарь_тарифы'!N4,0)</f>
        <v/>
      </c>
      <c r="O4605">
        <f>IF('01_Вводные'!$B$234="Да",'06_Сеть_и_дети'!O5*'19_Расчет_аналитики'!$F$4259*'19_Расчет_аналитики'!$F$4260*'18_Календарь_тарифы'!O4,0)</f>
        <v/>
      </c>
      <c r="P4605">
        <f>IF('01_Вводные'!$B$234="Да",'06_Сеть_и_дети'!P5*'19_Расчет_аналитики'!$F$4259*'19_Расчет_аналитики'!$F$4260*'18_Календарь_тарифы'!P4,0)</f>
        <v/>
      </c>
      <c r="Q4605">
        <f>IF('01_Вводные'!$B$234="Да",'06_Сеть_и_дети'!Q5*'19_Расчет_аналитики'!$F$4259*'19_Расчет_аналитики'!$F$4260*'18_Календарь_тарифы'!Q4,0)</f>
        <v/>
      </c>
      <c r="R4605">
        <f>IF('01_Вводные'!$B$234="Да",'06_Сеть_и_дети'!R5*'19_Расчет_аналитики'!$F$4259*'19_Расчет_аналитики'!$F$4260*'18_Календарь_тарифы'!R4,0)</f>
        <v/>
      </c>
      <c r="S4605">
        <f>IF('01_Вводные'!$B$234="Да",'06_Сеть_и_дети'!S5*'19_Расчет_аналитики'!$F$4259*'19_Расчет_аналитики'!$F$4260*'18_Календарь_тарифы'!S4,0)</f>
        <v/>
      </c>
      <c r="T4605">
        <f>IF('01_Вводные'!$B$234="Да",'06_Сеть_и_дети'!T5*'19_Расчет_аналитики'!$F$4259*'19_Расчет_аналитики'!$F$4260*'18_Календарь_тарифы'!T4,0)</f>
        <v/>
      </c>
      <c r="U4605">
        <f>IF('01_Вводные'!$B$234="Да",'06_Сеть_и_дети'!U5*'19_Расчет_аналитики'!$F$4259*'19_Расчет_аналитики'!$F$4260*'18_Календарь_тарифы'!U4,0)</f>
        <v/>
      </c>
      <c r="V4605">
        <f>IF('01_Вводные'!$B$234="Да",'06_Сеть_и_дети'!V5*'19_Расчет_аналитики'!$F$4259*'19_Расчет_аналитики'!$F$4260*'18_Календарь_тарифы'!V4,0)</f>
        <v/>
      </c>
      <c r="W4605">
        <f>IF('01_Вводные'!$B$234="Да",'06_Сеть_и_дети'!W5*'19_Расчет_аналитики'!$F$4259*'19_Расчет_аналитики'!$F$4260*'18_Календарь_тарифы'!W4,0)</f>
        <v/>
      </c>
      <c r="X4605">
        <f>IF('01_Вводные'!$B$234="Да",'06_Сеть_и_дети'!X5*'19_Расчет_аналитики'!$F$4259*'19_Расчет_аналитики'!$F$4260*'18_Календарь_тарифы'!X4,0)</f>
        <v/>
      </c>
      <c r="Y4605">
        <f>IF('01_Вводные'!$B$234="Да",'06_Сеть_и_дети'!Y5*'19_Расчет_аналитики'!$F$4259*'19_Расчет_аналитики'!$F$4260*'18_Календарь_тарифы'!Y4,0)</f>
        <v/>
      </c>
      <c r="Z4605">
        <f>IF('01_Вводные'!$B$234="Да",'06_Сеть_и_дети'!Z5*'19_Расчет_аналитики'!$F$4259*'19_Расчет_аналитики'!$F$4260*'18_Календарь_тарифы'!Z4,0)</f>
        <v/>
      </c>
      <c r="AA4605">
        <f>IF('01_Вводные'!$B$234="Да",'06_Сеть_и_дети'!AA5*'19_Расчет_аналитики'!$F$4259*'19_Расчет_аналитики'!$F$4260*'18_Календарь_тарифы'!AA4,0)</f>
        <v/>
      </c>
      <c r="AB4605">
        <f>IF('01_Вводные'!$B$234="Да",'06_Сеть_и_дети'!AB5*'19_Расчет_аналитики'!$F$4259*'19_Расчет_аналитики'!$F$4260*'18_Календарь_тарифы'!AB4,0)</f>
        <v/>
      </c>
      <c r="AC4605">
        <f>IF('01_Вводные'!$B$234="Да",'06_Сеть_и_дети'!AC5*'19_Расчет_аналитики'!$F$4259*'19_Расчет_аналитики'!$F$4260*'18_Календарь_тарифы'!AC4,0)</f>
        <v/>
      </c>
      <c r="AD4605">
        <f>IF('01_Вводные'!$B$234="Да",'06_Сеть_и_дети'!AD5*'19_Расчет_аналитики'!$F$4259*'19_Расчет_аналитики'!$F$4260*'18_Календарь_тарифы'!AD4,0)</f>
        <v/>
      </c>
      <c r="AE4605">
        <f>IF('01_Вводные'!$B$234="Да",'06_Сеть_и_дети'!AE5*'19_Расчет_аналитики'!$F$4259*'19_Расчет_аналитики'!$F$4260*'18_Календарь_тарифы'!AE4,0)</f>
        <v/>
      </c>
      <c r="AF4605">
        <f>IF('01_Вводные'!$B$234="Да",'06_Сеть_и_дети'!AF5*'19_Расчет_аналитики'!$F$4259*'19_Расчет_аналитики'!$F$4260*'18_Календарь_тарифы'!AF4,0)</f>
        <v/>
      </c>
      <c r="AG4605">
        <f>IF('01_Вводные'!$B$234="Да",'06_Сеть_и_дети'!AG5*'19_Расчет_аналитики'!$F$4259*'19_Расчет_аналитики'!$F$4260*'18_Календарь_тарифы'!AG4,0)</f>
        <v/>
      </c>
      <c r="AH4605">
        <f>IF('01_Вводные'!$B$234="Да",'06_Сеть_и_дети'!AH5*'19_Расчет_аналитики'!$F$4259*'19_Расчет_аналитики'!$F$4260*'18_Календарь_тарифы'!AH4,0)</f>
        <v/>
      </c>
      <c r="AI4605">
        <f>IF('01_Вводные'!$B$234="Да",'06_Сеть_и_дети'!AI5*'19_Расчет_аналитики'!$F$4259*'19_Расчет_аналитики'!$F$4260*'18_Календарь_тарифы'!AI4,0)</f>
        <v/>
      </c>
      <c r="AJ4605">
        <f>IF('01_Вводные'!$B$234="Да",'06_Сеть_и_дети'!AJ5*'19_Расчет_аналитики'!$F$4259*'19_Расчет_аналитики'!$F$4260*'18_Календарь_тарифы'!AJ4,0)</f>
        <v/>
      </c>
      <c r="AK4605">
        <f>IF('01_Вводные'!$B$234="Да",'06_Сеть_и_дети'!AK5*'19_Расчет_аналитики'!$F$4259*'19_Расчет_аналитики'!$F$4260*'18_Календарь_тарифы'!AK4,0)</f>
        <v/>
      </c>
      <c r="AL4605">
        <f>IF('01_Вводные'!$B$234="Да",'06_Сеть_и_дети'!AL5*'19_Расчет_аналитики'!$F$4259*'19_Расчет_аналитики'!$F$4260*'18_Календарь_тарифы'!AL4,0)</f>
        <v/>
      </c>
      <c r="AM4605">
        <f>IF('01_Вводные'!$B$234="Да",'06_Сеть_и_дети'!AM5*'19_Расчет_аналитики'!$F$4259*'19_Расчет_аналитики'!$F$4260*'18_Календарь_тарифы'!AM4,0)</f>
        <v/>
      </c>
      <c r="AN4605">
        <f>IF('01_Вводные'!$B$234="Да",'06_Сеть_и_дети'!AN5*'19_Расчет_аналитики'!$F$4259*'19_Расчет_аналитики'!$F$4260*'18_Календарь_тарифы'!AN4,0)</f>
        <v/>
      </c>
      <c r="AO4605">
        <f>IF('01_Вводные'!$B$234="Да",'06_Сеть_и_дети'!AO5*'19_Расчет_аналитики'!$F$4259*'19_Расчет_аналитики'!$F$4260*'18_Календарь_тарифы'!AO4,0)</f>
        <v/>
      </c>
      <c r="AP4605">
        <f>IF('01_Вводные'!$B$234="Да",'06_Сеть_и_дети'!AP5*'19_Расчет_аналитики'!$F$4259*'19_Расчет_аналитики'!$F$4260*'18_Календарь_тарифы'!AP4,0)</f>
        <v/>
      </c>
      <c r="AQ4605">
        <f>IF('01_Вводные'!$B$234="Да",'06_Сеть_и_дети'!AQ5*'19_Расчет_аналитики'!$F$4259*'19_Расчет_аналитики'!$F$4260*'18_Календарь_тарифы'!AQ4,0)</f>
        <v/>
      </c>
      <c r="AR4605">
        <f>IF('01_Вводные'!$B$234="Да",'06_Сеть_и_дети'!AR5*'19_Расчет_аналитики'!$F$4259*'19_Расчет_аналитики'!$F$4260*'18_Календарь_тарифы'!AR4,0)</f>
        <v/>
      </c>
      <c r="AS4605">
        <f>IF('01_Вводные'!$B$234="Да",'06_Сеть_и_дети'!AS5*'19_Расчет_аналитики'!$F$4259*'19_Расчет_аналитики'!$F$4260*'18_Календарь_тарифы'!AS4,0)</f>
        <v/>
      </c>
      <c r="AT4605">
        <f>IF('01_Вводные'!$B$234="Да",'06_Сеть_и_дети'!AT5*'19_Расчет_аналитики'!$F$4259*'19_Расчет_аналитики'!$F$4260*'18_Календарь_тарифы'!AT4,0)</f>
        <v/>
      </c>
      <c r="AU4605">
        <f>IF('01_Вводные'!$B$234="Да",'06_Сеть_и_дети'!AU5*'19_Расчет_аналитики'!$F$4259*'19_Расчет_аналитики'!$F$4260*'18_Календарь_тарифы'!AU4,0)</f>
        <v/>
      </c>
      <c r="AV4605">
        <f>IF('01_Вводные'!$B$234="Да",'06_Сеть_и_дети'!AV5*'19_Расчет_аналитики'!$F$4259*'19_Расчет_аналитики'!$F$4260*'18_Календарь_тарифы'!AV4,0)</f>
        <v/>
      </c>
      <c r="AW4605">
        <f>IF('01_Вводные'!$B$234="Да",'06_Сеть_и_дети'!AW5*'19_Расчет_аналитики'!$F$4259*'19_Расчет_аналитики'!$F$4260*'18_Календарь_тарифы'!AW4,0)</f>
        <v/>
      </c>
      <c r="AX4605">
        <f>IF('01_Вводные'!$B$234="Да",'06_Сеть_и_дети'!AX5*'19_Расчет_аналитики'!$F$4259*'19_Расчет_аналитики'!$F$4260*'18_Календарь_тарифы'!AX4,0)</f>
        <v/>
      </c>
      <c r="AY4605">
        <f>IF('01_Вводные'!$B$234="Да",'06_Сеть_и_дети'!AY5*'19_Расчет_аналитики'!$F$4259*'19_Расчет_аналитики'!$F$4260*'18_Календарь_тарифы'!AY4,0)</f>
        <v/>
      </c>
      <c r="AZ4605">
        <f>IF('01_Вводные'!$B$234="Да",'06_Сеть_и_дети'!AZ5*'19_Расчет_аналитики'!$F$4259*'19_Расчет_аналитики'!$F$4260*'18_Календарь_тарифы'!AZ4,0)</f>
        <v/>
      </c>
      <c r="BA4605">
        <f>IF('01_Вводные'!$B$234="Да",'06_Сеть_и_дети'!BA5*'19_Расчет_аналитики'!$F$4259*'19_Расчет_аналитики'!$F$4260*'18_Календарь_тарифы'!BA4,0)</f>
        <v/>
      </c>
      <c r="BB4605">
        <f>IF('01_Вводные'!$B$234="Да",'06_Сеть_и_дети'!BB5*'19_Расчет_аналитики'!$F$4259*'19_Расчет_аналитики'!$F$4260*'18_Календарь_тарифы'!BB4,0)</f>
        <v/>
      </c>
      <c r="BC4605">
        <f>IF('01_Вводные'!$B$234="Да",'06_Сеть_и_дети'!BC5*'19_Расчет_аналитики'!$F$4259*'19_Расчет_аналитики'!$F$4260*'18_Календарь_тарифы'!BC4,0)</f>
        <v/>
      </c>
      <c r="BD4605">
        <f>IF('01_Вводные'!$B$234="Да",'06_Сеть_и_дети'!BD5*'19_Расчет_аналитики'!$F$4259*'19_Расчет_аналитики'!$F$4260*'18_Календарь_тарифы'!BD4,0)</f>
        <v/>
      </c>
      <c r="BE4605">
        <f>IF('01_Вводные'!$B$234="Да",'06_Сеть_и_дети'!BE5*'19_Расчет_аналитики'!$F$4259*'19_Расчет_аналитики'!$F$4260*'18_Календарь_тарифы'!BE4,0)</f>
        <v/>
      </c>
      <c r="BF4605">
        <f>IF('01_Вводные'!$B$234="Да",'06_Сеть_и_дети'!BF5*'19_Расчет_аналитики'!$F$4259*'19_Расчет_аналитики'!$F$4260*'18_Календарь_тарифы'!BF4,0)</f>
        <v/>
      </c>
      <c r="BG4605">
        <f>IF('01_Вводные'!$B$234="Да",'06_Сеть_и_дети'!BG5*'19_Расчет_аналитики'!$F$4259*'19_Расчет_аналитики'!$F$4260*'18_Календарь_тарифы'!BG4,0)</f>
        <v/>
      </c>
      <c r="BH4605">
        <f>IF('01_Вводные'!$B$234="Да",'06_Сеть_и_дети'!BH5*'19_Расчет_аналитики'!$F$4259*'19_Расчет_аналитики'!$F$4260*'18_Календарь_тарифы'!BH4,0)</f>
        <v/>
      </c>
      <c r="BI4605">
        <f>IF('01_Вводные'!$B$234="Да",'06_Сеть_и_дети'!BI5*'19_Расчет_аналитики'!$F$4259*'19_Расчет_аналитики'!$F$4260*'18_Календарь_тарифы'!BI4,0)</f>
        <v/>
      </c>
      <c r="BJ4605">
        <f>IF('01_Вводные'!$B$234="Да",'06_Сеть_и_дети'!BJ5*'19_Расчет_аналитики'!$F$4259*'19_Расчет_аналитики'!$F$4260*'18_Календарь_тарифы'!BJ4,0)</f>
        <v/>
      </c>
      <c r="BK4605">
        <f>IF('01_Вводные'!$B$234="Да",'06_Сеть_и_дети'!BK5*'19_Расчет_аналитики'!$F$4259*'19_Расчет_аналитики'!$F$4260*'18_Календарь_тарифы'!BK4,0)</f>
        <v/>
      </c>
      <c r="BL4605">
        <f>IF('01_Вводные'!$B$234="Да",'06_Сеть_и_дети'!BL5*'19_Расчет_аналитики'!$F$4259*'19_Расчет_аналитики'!$F$4260*'18_Календарь_тарифы'!BL4,0)</f>
        <v/>
      </c>
      <c r="BM4605">
        <f>IF('01_Вводные'!$B$234="Да",'06_Сеть_и_дети'!BM5*'19_Расчет_аналитики'!$F$4259*'19_Расчет_аналитики'!$F$4260*'18_Календарь_тарифы'!BM4,0)</f>
        <v/>
      </c>
      <c r="BN4605">
        <f>IF('01_Вводные'!$B$234="Да",'06_Сеть_и_дети'!BN5*'19_Расчет_аналитики'!$F$4259*'19_Расчет_аналитики'!$F$4260*'18_Календарь_тарифы'!BN4,0)</f>
        <v/>
      </c>
      <c r="BO4605">
        <f>IF('01_Вводные'!$B$234="Да",'06_Сеть_и_дети'!BO5*'19_Расчет_аналитики'!$F$4259*'19_Расчет_аналитики'!$F$4260*'18_Календарь_тарифы'!BO4,0)</f>
        <v/>
      </c>
    </row>
    <row r="4606"/>
    <row r="4607">
      <c r="B4607">
        <f>IF('01_Вводные'!$B$234="Да",'19_Расчет_аналитики'!B4605*IF('06_Сеть_и_дети'!B$3&gt;='01_Вводные'!$B$245,'01_Вводные'!$B$57,'01_Вводные'!$B$55),0)</f>
        <v/>
      </c>
      <c r="C4607">
        <f>IF('01_Вводные'!$B$234="Да",'19_Расчет_аналитики'!C4605*IF('06_Сеть_и_дети'!C$3&gt;='01_Вводные'!$B$245,'01_Вводные'!$B$57,'01_Вводные'!$B$55),0)</f>
        <v/>
      </c>
      <c r="D4607">
        <f>IF('01_Вводные'!$B$234="Да",'19_Расчет_аналитики'!D4605*IF('06_Сеть_и_дети'!D$3&gt;='01_Вводные'!$B$245,'01_Вводные'!$B$57,'01_Вводные'!$B$55),0)</f>
        <v/>
      </c>
      <c r="E4607">
        <f>IF('01_Вводные'!$B$234="Да",'19_Расчет_аналитики'!E4605*IF('06_Сеть_и_дети'!E$3&gt;='01_Вводные'!$B$245,'01_Вводные'!$B$57,'01_Вводные'!$B$55),0)</f>
        <v/>
      </c>
      <c r="F4607">
        <f>IF('01_Вводные'!$B$234="Да",'19_Расчет_аналитики'!F4605*IF('06_Сеть_и_дети'!F$3&gt;='01_Вводные'!$B$245,'01_Вводные'!$B$57,'01_Вводные'!$B$55),0)</f>
        <v/>
      </c>
      <c r="G4607">
        <f>IF('01_Вводные'!$B$234="Да",'19_Расчет_аналитики'!G4605*IF('06_Сеть_и_дети'!G$3&gt;='01_Вводные'!$B$245,'01_Вводные'!$B$57,'01_Вводные'!$B$55),0)</f>
        <v/>
      </c>
      <c r="H4607">
        <f>IF('01_Вводные'!$B$234="Да",'19_Расчет_аналитики'!H4605*IF('06_Сеть_и_дети'!H$3&gt;='01_Вводные'!$B$245,'01_Вводные'!$B$57,'01_Вводные'!$B$55),0)</f>
        <v/>
      </c>
      <c r="I4607">
        <f>IF('01_Вводные'!$B$234="Да",'19_Расчет_аналитики'!I4605*IF('06_Сеть_и_дети'!I$3&gt;='01_Вводные'!$B$245,'01_Вводные'!$B$57,'01_Вводные'!$B$55),0)</f>
        <v/>
      </c>
      <c r="J4607">
        <f>IF('01_Вводные'!$B$234="Да",'19_Расчет_аналитики'!J4605*IF('06_Сеть_и_дети'!J$3&gt;='01_Вводные'!$B$245,'01_Вводные'!$B$57,'01_Вводные'!$B$55),0)</f>
        <v/>
      </c>
      <c r="K4607">
        <f>IF('01_Вводные'!$B$234="Да",'19_Расчет_аналитики'!K4605*IF('06_Сеть_и_дети'!K$3&gt;='01_Вводные'!$B$245,'01_Вводные'!$B$57,'01_Вводные'!$B$55),0)</f>
        <v/>
      </c>
      <c r="L4607">
        <f>IF('01_Вводные'!$B$234="Да",'19_Расчет_аналитики'!L4605*IF('06_Сеть_и_дети'!L$3&gt;='01_Вводные'!$B$245,'01_Вводные'!$B$57,'01_Вводные'!$B$55),0)</f>
        <v/>
      </c>
      <c r="M4607">
        <f>IF('01_Вводные'!$B$234="Да",'19_Расчет_аналитики'!M4605*IF('06_Сеть_и_дети'!M$3&gt;='01_Вводные'!$B$245,'01_Вводные'!$B$57,'01_Вводные'!$B$55),0)</f>
        <v/>
      </c>
      <c r="N4607">
        <f>IF('01_Вводные'!$B$234="Да",'19_Расчет_аналитики'!N4605*IF('06_Сеть_и_дети'!N$3&gt;='01_Вводные'!$B$245,'01_Вводные'!$B$57,'01_Вводные'!$B$55),0)</f>
        <v/>
      </c>
      <c r="O4607">
        <f>IF('01_Вводные'!$B$234="Да",'19_Расчет_аналитики'!O4605*IF('06_Сеть_и_дети'!O$3&gt;='01_Вводные'!$B$245,'01_Вводные'!$B$57,'01_Вводные'!$B$55),0)</f>
        <v/>
      </c>
      <c r="P4607">
        <f>IF('01_Вводные'!$B$234="Да",'19_Расчет_аналитики'!P4605*IF('06_Сеть_и_дети'!P$3&gt;='01_Вводные'!$B$245,'01_Вводные'!$B$57,'01_Вводные'!$B$55),0)</f>
        <v/>
      </c>
      <c r="Q4607">
        <f>IF('01_Вводные'!$B$234="Да",'19_Расчет_аналитики'!Q4605*IF('06_Сеть_и_дети'!Q$3&gt;='01_Вводные'!$B$245,'01_Вводные'!$B$57,'01_Вводные'!$B$55),0)</f>
        <v/>
      </c>
      <c r="R4607">
        <f>IF('01_Вводные'!$B$234="Да",'19_Расчет_аналитики'!R4605*IF('06_Сеть_и_дети'!R$3&gt;='01_Вводные'!$B$245,'01_Вводные'!$B$57,'01_Вводные'!$B$55),0)</f>
        <v/>
      </c>
      <c r="S4607">
        <f>IF('01_Вводные'!$B$234="Да",'19_Расчет_аналитики'!S4605*IF('06_Сеть_и_дети'!S$3&gt;='01_Вводные'!$B$245,'01_Вводные'!$B$57,'01_Вводные'!$B$55),0)</f>
        <v/>
      </c>
      <c r="T4607">
        <f>IF('01_Вводные'!$B$234="Да",'19_Расчет_аналитики'!T4605*IF('06_Сеть_и_дети'!T$3&gt;='01_Вводные'!$B$245,'01_Вводные'!$B$57,'01_Вводные'!$B$55),0)</f>
        <v/>
      </c>
      <c r="U4607">
        <f>IF('01_Вводные'!$B$234="Да",'19_Расчет_аналитики'!U4605*IF('06_Сеть_и_дети'!U$3&gt;='01_Вводные'!$B$245,'01_Вводные'!$B$57,'01_Вводные'!$B$55),0)</f>
        <v/>
      </c>
      <c r="V4607">
        <f>IF('01_Вводные'!$B$234="Да",'19_Расчет_аналитики'!V4605*IF('06_Сеть_и_дети'!V$3&gt;='01_Вводные'!$B$245,'01_Вводные'!$B$57,'01_Вводные'!$B$55),0)</f>
        <v/>
      </c>
      <c r="W4607">
        <f>IF('01_Вводные'!$B$234="Да",'19_Расчет_аналитики'!W4605*IF('06_Сеть_и_дети'!W$3&gt;='01_Вводные'!$B$245,'01_Вводные'!$B$57,'01_Вводные'!$B$55),0)</f>
        <v/>
      </c>
      <c r="X4607">
        <f>IF('01_Вводные'!$B$234="Да",'19_Расчет_аналитики'!X4605*IF('06_Сеть_и_дети'!X$3&gt;='01_Вводные'!$B$245,'01_Вводные'!$B$57,'01_Вводные'!$B$55),0)</f>
        <v/>
      </c>
      <c r="Y4607">
        <f>IF('01_Вводные'!$B$234="Да",'19_Расчет_аналитики'!Y4605*IF('06_Сеть_и_дети'!Y$3&gt;='01_Вводные'!$B$245,'01_Вводные'!$B$57,'01_Вводные'!$B$55),0)</f>
        <v/>
      </c>
      <c r="Z4607">
        <f>IF('01_Вводные'!$B$234="Да",'19_Расчет_аналитики'!Z4605*IF('06_Сеть_и_дети'!Z$3&gt;='01_Вводные'!$B$245,'01_Вводные'!$B$57,'01_Вводные'!$B$55),0)</f>
        <v/>
      </c>
      <c r="AA4607">
        <f>IF('01_Вводные'!$B$234="Да",'19_Расчет_аналитики'!AA4605*IF('06_Сеть_и_дети'!AA$3&gt;='01_Вводные'!$B$245,'01_Вводные'!$B$57,'01_Вводные'!$B$55),0)</f>
        <v/>
      </c>
      <c r="AB4607">
        <f>IF('01_Вводные'!$B$234="Да",'19_Расчет_аналитики'!AB4605*IF('06_Сеть_и_дети'!AB$3&gt;='01_Вводные'!$B$245,'01_Вводные'!$B$57,'01_Вводные'!$B$55),0)</f>
        <v/>
      </c>
      <c r="AC4607">
        <f>IF('01_Вводные'!$B$234="Да",'19_Расчет_аналитики'!AC4605*IF('06_Сеть_и_дети'!AC$3&gt;='01_Вводные'!$B$245,'01_Вводные'!$B$57,'01_Вводные'!$B$55),0)</f>
        <v/>
      </c>
      <c r="AD4607">
        <f>IF('01_Вводные'!$B$234="Да",'19_Расчет_аналитики'!AD4605*IF('06_Сеть_и_дети'!AD$3&gt;='01_Вводные'!$B$245,'01_Вводные'!$B$57,'01_Вводные'!$B$55),0)</f>
        <v/>
      </c>
      <c r="AE4607">
        <f>IF('01_Вводные'!$B$234="Да",'19_Расчет_аналитики'!AE4605*IF('06_Сеть_и_дети'!AE$3&gt;='01_Вводные'!$B$245,'01_Вводные'!$B$57,'01_Вводные'!$B$55),0)</f>
        <v/>
      </c>
      <c r="AF4607">
        <f>IF('01_Вводные'!$B$234="Да",'19_Расчет_аналитики'!AF4605*IF('06_Сеть_и_дети'!AF$3&gt;='01_Вводные'!$B$245,'01_Вводные'!$B$57,'01_Вводные'!$B$55),0)</f>
        <v/>
      </c>
      <c r="AG4607">
        <f>IF('01_Вводные'!$B$234="Да",'19_Расчет_аналитики'!AG4605*IF('06_Сеть_и_дети'!AG$3&gt;='01_Вводные'!$B$245,'01_Вводные'!$B$57,'01_Вводные'!$B$55),0)</f>
        <v/>
      </c>
      <c r="AH4607">
        <f>IF('01_Вводные'!$B$234="Да",'19_Расчет_аналитики'!AH4605*IF('06_Сеть_и_дети'!AH$3&gt;='01_Вводные'!$B$245,'01_Вводные'!$B$57,'01_Вводные'!$B$55),0)</f>
        <v/>
      </c>
      <c r="AI4607">
        <f>IF('01_Вводные'!$B$234="Да",'19_Расчет_аналитики'!AI4605*IF('06_Сеть_и_дети'!AI$3&gt;='01_Вводные'!$B$245,'01_Вводные'!$B$57,'01_Вводные'!$B$55),0)</f>
        <v/>
      </c>
      <c r="AJ4607">
        <f>IF('01_Вводные'!$B$234="Да",'19_Расчет_аналитики'!AJ4605*IF('06_Сеть_и_дети'!AJ$3&gt;='01_Вводные'!$B$245,'01_Вводные'!$B$57,'01_Вводные'!$B$55),0)</f>
        <v/>
      </c>
      <c r="AK4607">
        <f>IF('01_Вводные'!$B$234="Да",'19_Расчет_аналитики'!AK4605*IF('06_Сеть_и_дети'!AK$3&gt;='01_Вводные'!$B$245,'01_Вводные'!$B$57,'01_Вводные'!$B$55),0)</f>
        <v/>
      </c>
      <c r="AL4607">
        <f>IF('01_Вводные'!$B$234="Да",'19_Расчет_аналитики'!AL4605*IF('06_Сеть_и_дети'!AL$3&gt;='01_Вводные'!$B$245,'01_Вводные'!$B$57,'01_Вводные'!$B$55),0)</f>
        <v/>
      </c>
      <c r="AM4607">
        <f>IF('01_Вводные'!$B$234="Да",'19_Расчет_аналитики'!AM4605*IF('06_Сеть_и_дети'!AM$3&gt;='01_Вводные'!$B$245,'01_Вводные'!$B$57,'01_Вводные'!$B$55),0)</f>
        <v/>
      </c>
      <c r="AN4607">
        <f>IF('01_Вводные'!$B$234="Да",'19_Расчет_аналитики'!AN4605*IF('06_Сеть_и_дети'!AN$3&gt;='01_Вводные'!$B$245,'01_Вводные'!$B$57,'01_Вводные'!$B$55),0)</f>
        <v/>
      </c>
      <c r="AO4607">
        <f>IF('01_Вводные'!$B$234="Да",'19_Расчет_аналитики'!AO4605*IF('06_Сеть_и_дети'!AO$3&gt;='01_Вводные'!$B$245,'01_Вводные'!$B$57,'01_Вводные'!$B$55),0)</f>
        <v/>
      </c>
      <c r="AP4607">
        <f>IF('01_Вводные'!$B$234="Да",'19_Расчет_аналитики'!AP4605*IF('06_Сеть_и_дети'!AP$3&gt;='01_Вводные'!$B$245,'01_Вводные'!$B$57,'01_Вводные'!$B$55),0)</f>
        <v/>
      </c>
      <c r="AQ4607">
        <f>IF('01_Вводные'!$B$234="Да",'19_Расчет_аналитики'!AQ4605*IF('06_Сеть_и_дети'!AQ$3&gt;='01_Вводные'!$B$245,'01_Вводные'!$B$57,'01_Вводные'!$B$55),0)</f>
        <v/>
      </c>
      <c r="AR4607">
        <f>IF('01_Вводные'!$B$234="Да",'19_Расчет_аналитики'!AR4605*IF('06_Сеть_и_дети'!AR$3&gt;='01_Вводные'!$B$245,'01_Вводные'!$B$57,'01_Вводные'!$B$55),0)</f>
        <v/>
      </c>
      <c r="AS4607">
        <f>IF('01_Вводные'!$B$234="Да",'19_Расчет_аналитики'!AS4605*IF('06_Сеть_и_дети'!AS$3&gt;='01_Вводные'!$B$245,'01_Вводные'!$B$57,'01_Вводные'!$B$55),0)</f>
        <v/>
      </c>
      <c r="AT4607">
        <f>IF('01_Вводные'!$B$234="Да",'19_Расчет_аналитики'!AT4605*IF('06_Сеть_и_дети'!AT$3&gt;='01_Вводные'!$B$245,'01_Вводные'!$B$57,'01_Вводные'!$B$55),0)</f>
        <v/>
      </c>
      <c r="AU4607">
        <f>IF('01_Вводные'!$B$234="Да",'19_Расчет_аналитики'!AU4605*IF('06_Сеть_и_дети'!AU$3&gt;='01_Вводные'!$B$245,'01_Вводные'!$B$57,'01_Вводные'!$B$55),0)</f>
        <v/>
      </c>
      <c r="AV4607">
        <f>IF('01_Вводные'!$B$234="Да",'19_Расчет_аналитики'!AV4605*IF('06_Сеть_и_дети'!AV$3&gt;='01_Вводные'!$B$245,'01_Вводные'!$B$57,'01_Вводные'!$B$55),0)</f>
        <v/>
      </c>
      <c r="AW4607">
        <f>IF('01_Вводные'!$B$234="Да",'19_Расчет_аналитики'!AW4605*IF('06_Сеть_и_дети'!AW$3&gt;='01_Вводные'!$B$245,'01_Вводные'!$B$57,'01_Вводные'!$B$55),0)</f>
        <v/>
      </c>
      <c r="AX4607">
        <f>IF('01_Вводные'!$B$234="Да",'19_Расчет_аналитики'!AX4605*IF('06_Сеть_и_дети'!AX$3&gt;='01_Вводные'!$B$245,'01_Вводные'!$B$57,'01_Вводные'!$B$55),0)</f>
        <v/>
      </c>
      <c r="AY4607">
        <f>IF('01_Вводные'!$B$234="Да",'19_Расчет_аналитики'!AY4605*IF('06_Сеть_и_дети'!AY$3&gt;='01_Вводные'!$B$245,'01_Вводные'!$B$57,'01_Вводные'!$B$55),0)</f>
        <v/>
      </c>
      <c r="AZ4607">
        <f>IF('01_Вводные'!$B$234="Да",'19_Расчет_аналитики'!AZ4605*IF('06_Сеть_и_дети'!AZ$3&gt;='01_Вводные'!$B$245,'01_Вводные'!$B$57,'01_Вводные'!$B$55),0)</f>
        <v/>
      </c>
      <c r="BA4607">
        <f>IF('01_Вводные'!$B$234="Да",'19_Расчет_аналитики'!BA4605*IF('06_Сеть_и_дети'!BA$3&gt;='01_Вводные'!$B$245,'01_Вводные'!$B$57,'01_Вводные'!$B$55),0)</f>
        <v/>
      </c>
      <c r="BB4607">
        <f>IF('01_Вводные'!$B$234="Да",'19_Расчет_аналитики'!BB4605*IF('06_Сеть_и_дети'!BB$3&gt;='01_Вводные'!$B$245,'01_Вводные'!$B$57,'01_Вводные'!$B$55),0)</f>
        <v/>
      </c>
      <c r="BC4607">
        <f>IF('01_Вводные'!$B$234="Да",'19_Расчет_аналитики'!BC4605*IF('06_Сеть_и_дети'!BC$3&gt;='01_Вводные'!$B$245,'01_Вводные'!$B$57,'01_Вводные'!$B$55),0)</f>
        <v/>
      </c>
      <c r="BD4607">
        <f>IF('01_Вводные'!$B$234="Да",'19_Расчет_аналитики'!BD4605*IF('06_Сеть_и_дети'!BD$3&gt;='01_Вводные'!$B$245,'01_Вводные'!$B$57,'01_Вводные'!$B$55),0)</f>
        <v/>
      </c>
      <c r="BE4607">
        <f>IF('01_Вводные'!$B$234="Да",'19_Расчет_аналитики'!BE4605*IF('06_Сеть_и_дети'!BE$3&gt;='01_Вводные'!$B$245,'01_Вводные'!$B$57,'01_Вводные'!$B$55),0)</f>
        <v/>
      </c>
      <c r="BF4607">
        <f>IF('01_Вводные'!$B$234="Да",'19_Расчет_аналитики'!BF4605*IF('06_Сеть_и_дети'!BF$3&gt;='01_Вводные'!$B$245,'01_Вводные'!$B$57,'01_Вводные'!$B$55),0)</f>
        <v/>
      </c>
      <c r="BG4607">
        <f>IF('01_Вводные'!$B$234="Да",'19_Расчет_аналитики'!BG4605*IF('06_Сеть_и_дети'!BG$3&gt;='01_Вводные'!$B$245,'01_Вводные'!$B$57,'01_Вводные'!$B$55),0)</f>
        <v/>
      </c>
      <c r="BH4607">
        <f>IF('01_Вводные'!$B$234="Да",'19_Расчет_аналитики'!BH4605*IF('06_Сеть_и_дети'!BH$3&gt;='01_Вводные'!$B$245,'01_Вводные'!$B$57,'01_Вводные'!$B$55),0)</f>
        <v/>
      </c>
      <c r="BI4607">
        <f>IF('01_Вводные'!$B$234="Да",'19_Расчет_аналитики'!BI4605*IF('06_Сеть_и_дети'!BI$3&gt;='01_Вводные'!$B$245,'01_Вводные'!$B$57,'01_Вводные'!$B$55),0)</f>
        <v/>
      </c>
      <c r="BJ4607">
        <f>IF('01_Вводные'!$B$234="Да",'19_Расчет_аналитики'!BJ4605*IF('06_Сеть_и_дети'!BJ$3&gt;='01_Вводные'!$B$245,'01_Вводные'!$B$57,'01_Вводные'!$B$55),0)</f>
        <v/>
      </c>
      <c r="BK4607">
        <f>IF('01_Вводные'!$B$234="Да",'19_Расчет_аналитики'!BK4605*IF('06_Сеть_и_дети'!BK$3&gt;='01_Вводные'!$B$245,'01_Вводные'!$B$57,'01_Вводные'!$B$55),0)</f>
        <v/>
      </c>
      <c r="BL4607">
        <f>IF('01_Вводные'!$B$234="Да",'19_Расчет_аналитики'!BL4605*IF('06_Сеть_и_дети'!BL$3&gt;='01_Вводные'!$B$245,'01_Вводные'!$B$57,'01_Вводные'!$B$55),0)</f>
        <v/>
      </c>
      <c r="BM4607">
        <f>IF('01_Вводные'!$B$234="Да",'19_Расчет_аналитики'!BM4605*IF('06_Сеть_и_дети'!BM$3&gt;='01_Вводные'!$B$245,'01_Вводные'!$B$57,'01_Вводные'!$B$55),0)</f>
        <v/>
      </c>
      <c r="BN4607">
        <f>IF('01_Вводные'!$B$234="Да",'19_Расчет_аналитики'!BN4605*IF('06_Сеть_и_дети'!BN$3&gt;='01_Вводные'!$B$245,'01_Вводные'!$B$57,'01_Вводные'!$B$55),0)</f>
        <v/>
      </c>
      <c r="BO4607">
        <f>IF('01_Вводные'!$B$234="Да",'19_Расчет_аналитики'!BO4605*IF('06_Сеть_и_дети'!BO$3&gt;='01_Вводные'!$B$245,'01_Вводные'!$B$57,'01_Вводные'!$B$55),0)</f>
        <v/>
      </c>
    </row>
    <row r="4608">
      <c r="B4608">
        <f>IF('01_Вводные'!$B$234="Да",'19_Расчет_аналитики'!B4605*IF('06_Сеть_и_дети'!B$3&gt;='01_Вводные'!$B$245,'01_Вводные'!$B$57,'01_Вводные'!$B$56),0)</f>
        <v/>
      </c>
      <c r="C4608">
        <f>IF('01_Вводные'!$B$234="Да",'19_Расчет_аналитики'!C4605*IF('06_Сеть_и_дети'!C$3&gt;='01_Вводные'!$B$245,'01_Вводные'!$B$57,'01_Вводные'!$B$56),0)</f>
        <v/>
      </c>
      <c r="D4608">
        <f>IF('01_Вводные'!$B$234="Да",'19_Расчет_аналитики'!D4605*IF('06_Сеть_и_дети'!D$3&gt;='01_Вводные'!$B$245,'01_Вводные'!$B$57,'01_Вводные'!$B$56),0)</f>
        <v/>
      </c>
      <c r="E4608">
        <f>IF('01_Вводные'!$B$234="Да",'19_Расчет_аналитики'!E4605*IF('06_Сеть_и_дети'!E$3&gt;='01_Вводные'!$B$245,'01_Вводные'!$B$57,'01_Вводные'!$B$56),0)</f>
        <v/>
      </c>
      <c r="F4608">
        <f>IF('01_Вводные'!$B$234="Да",'19_Расчет_аналитики'!F4605*IF('06_Сеть_и_дети'!F$3&gt;='01_Вводные'!$B$245,'01_Вводные'!$B$57,'01_Вводные'!$B$56),0)</f>
        <v/>
      </c>
      <c r="G4608">
        <f>IF('01_Вводные'!$B$234="Да",'19_Расчет_аналитики'!G4605*IF('06_Сеть_и_дети'!G$3&gt;='01_Вводные'!$B$245,'01_Вводные'!$B$57,'01_Вводные'!$B$56),0)</f>
        <v/>
      </c>
      <c r="H4608">
        <f>IF('01_Вводные'!$B$234="Да",'19_Расчет_аналитики'!H4605*IF('06_Сеть_и_дети'!H$3&gt;='01_Вводные'!$B$245,'01_Вводные'!$B$57,'01_Вводные'!$B$56),0)</f>
        <v/>
      </c>
      <c r="I4608">
        <f>IF('01_Вводные'!$B$234="Да",'19_Расчет_аналитики'!I4605*IF('06_Сеть_и_дети'!I$3&gt;='01_Вводные'!$B$245,'01_Вводные'!$B$57,'01_Вводные'!$B$56),0)</f>
        <v/>
      </c>
      <c r="J4608">
        <f>IF('01_Вводные'!$B$234="Да",'19_Расчет_аналитики'!J4605*IF('06_Сеть_и_дети'!J$3&gt;='01_Вводные'!$B$245,'01_Вводные'!$B$57,'01_Вводные'!$B$56),0)</f>
        <v/>
      </c>
      <c r="K4608">
        <f>IF('01_Вводные'!$B$234="Да",'19_Расчет_аналитики'!K4605*IF('06_Сеть_и_дети'!K$3&gt;='01_Вводные'!$B$245,'01_Вводные'!$B$57,'01_Вводные'!$B$56),0)</f>
        <v/>
      </c>
      <c r="L4608">
        <f>IF('01_Вводные'!$B$234="Да",'19_Расчет_аналитики'!L4605*IF('06_Сеть_и_дети'!L$3&gt;='01_Вводные'!$B$245,'01_Вводные'!$B$57,'01_Вводные'!$B$56),0)</f>
        <v/>
      </c>
      <c r="M4608">
        <f>IF('01_Вводные'!$B$234="Да",'19_Расчет_аналитики'!M4605*IF('06_Сеть_и_дети'!M$3&gt;='01_Вводные'!$B$245,'01_Вводные'!$B$57,'01_Вводные'!$B$56),0)</f>
        <v/>
      </c>
      <c r="N4608">
        <f>IF('01_Вводные'!$B$234="Да",'19_Расчет_аналитики'!N4605*IF('06_Сеть_и_дети'!N$3&gt;='01_Вводные'!$B$245,'01_Вводные'!$B$57,'01_Вводные'!$B$56),0)</f>
        <v/>
      </c>
      <c r="O4608">
        <f>IF('01_Вводные'!$B$234="Да",'19_Расчет_аналитики'!O4605*IF('06_Сеть_и_дети'!O$3&gt;='01_Вводные'!$B$245,'01_Вводные'!$B$57,'01_Вводные'!$B$56),0)</f>
        <v/>
      </c>
      <c r="P4608">
        <f>IF('01_Вводные'!$B$234="Да",'19_Расчет_аналитики'!P4605*IF('06_Сеть_и_дети'!P$3&gt;='01_Вводные'!$B$245,'01_Вводные'!$B$57,'01_Вводные'!$B$56),0)</f>
        <v/>
      </c>
      <c r="Q4608">
        <f>IF('01_Вводные'!$B$234="Да",'19_Расчет_аналитики'!Q4605*IF('06_Сеть_и_дети'!Q$3&gt;='01_Вводные'!$B$245,'01_Вводные'!$B$57,'01_Вводные'!$B$56),0)</f>
        <v/>
      </c>
      <c r="R4608">
        <f>IF('01_Вводные'!$B$234="Да",'19_Расчет_аналитики'!R4605*IF('06_Сеть_и_дети'!R$3&gt;='01_Вводные'!$B$245,'01_Вводные'!$B$57,'01_Вводные'!$B$56),0)</f>
        <v/>
      </c>
      <c r="S4608">
        <f>IF('01_Вводные'!$B$234="Да",'19_Расчет_аналитики'!S4605*IF('06_Сеть_и_дети'!S$3&gt;='01_Вводные'!$B$245,'01_Вводные'!$B$57,'01_Вводные'!$B$56),0)</f>
        <v/>
      </c>
      <c r="T4608">
        <f>IF('01_Вводные'!$B$234="Да",'19_Расчет_аналитики'!T4605*IF('06_Сеть_и_дети'!T$3&gt;='01_Вводные'!$B$245,'01_Вводные'!$B$57,'01_Вводные'!$B$56),0)</f>
        <v/>
      </c>
      <c r="U4608">
        <f>IF('01_Вводные'!$B$234="Да",'19_Расчет_аналитики'!U4605*IF('06_Сеть_и_дети'!U$3&gt;='01_Вводные'!$B$245,'01_Вводные'!$B$57,'01_Вводные'!$B$56),0)</f>
        <v/>
      </c>
      <c r="V4608">
        <f>IF('01_Вводные'!$B$234="Да",'19_Расчет_аналитики'!V4605*IF('06_Сеть_и_дети'!V$3&gt;='01_Вводные'!$B$245,'01_Вводные'!$B$57,'01_Вводные'!$B$56),0)</f>
        <v/>
      </c>
      <c r="W4608">
        <f>IF('01_Вводные'!$B$234="Да",'19_Расчет_аналитики'!W4605*IF('06_Сеть_и_дети'!W$3&gt;='01_Вводные'!$B$245,'01_Вводные'!$B$57,'01_Вводные'!$B$56),0)</f>
        <v/>
      </c>
      <c r="X4608">
        <f>IF('01_Вводные'!$B$234="Да",'19_Расчет_аналитики'!X4605*IF('06_Сеть_и_дети'!X$3&gt;='01_Вводные'!$B$245,'01_Вводные'!$B$57,'01_Вводные'!$B$56),0)</f>
        <v/>
      </c>
      <c r="Y4608">
        <f>IF('01_Вводные'!$B$234="Да",'19_Расчет_аналитики'!Y4605*IF('06_Сеть_и_дети'!Y$3&gt;='01_Вводные'!$B$245,'01_Вводные'!$B$57,'01_Вводные'!$B$56),0)</f>
        <v/>
      </c>
      <c r="Z4608">
        <f>IF('01_Вводные'!$B$234="Да",'19_Расчет_аналитики'!Z4605*IF('06_Сеть_и_дети'!Z$3&gt;='01_Вводные'!$B$245,'01_Вводные'!$B$57,'01_Вводные'!$B$56),0)</f>
        <v/>
      </c>
      <c r="AA4608">
        <f>IF('01_Вводные'!$B$234="Да",'19_Расчет_аналитики'!AA4605*IF('06_Сеть_и_дети'!AA$3&gt;='01_Вводные'!$B$245,'01_Вводные'!$B$57,'01_Вводные'!$B$56),0)</f>
        <v/>
      </c>
      <c r="AB4608">
        <f>IF('01_Вводные'!$B$234="Да",'19_Расчет_аналитики'!AB4605*IF('06_Сеть_и_дети'!AB$3&gt;='01_Вводные'!$B$245,'01_Вводные'!$B$57,'01_Вводные'!$B$56),0)</f>
        <v/>
      </c>
      <c r="AC4608">
        <f>IF('01_Вводные'!$B$234="Да",'19_Расчет_аналитики'!AC4605*IF('06_Сеть_и_дети'!AC$3&gt;='01_Вводные'!$B$245,'01_Вводные'!$B$57,'01_Вводные'!$B$56),0)</f>
        <v/>
      </c>
      <c r="AD4608">
        <f>IF('01_Вводные'!$B$234="Да",'19_Расчет_аналитики'!AD4605*IF('06_Сеть_и_дети'!AD$3&gt;='01_Вводные'!$B$245,'01_Вводные'!$B$57,'01_Вводные'!$B$56),0)</f>
        <v/>
      </c>
      <c r="AE4608">
        <f>IF('01_Вводные'!$B$234="Да",'19_Расчет_аналитики'!AE4605*IF('06_Сеть_и_дети'!AE$3&gt;='01_Вводные'!$B$245,'01_Вводные'!$B$57,'01_Вводные'!$B$56),0)</f>
        <v/>
      </c>
      <c r="AF4608">
        <f>IF('01_Вводные'!$B$234="Да",'19_Расчет_аналитики'!AF4605*IF('06_Сеть_и_дети'!AF$3&gt;='01_Вводные'!$B$245,'01_Вводные'!$B$57,'01_Вводные'!$B$56),0)</f>
        <v/>
      </c>
      <c r="AG4608">
        <f>IF('01_Вводные'!$B$234="Да",'19_Расчет_аналитики'!AG4605*IF('06_Сеть_и_дети'!AG$3&gt;='01_Вводные'!$B$245,'01_Вводные'!$B$57,'01_Вводные'!$B$56),0)</f>
        <v/>
      </c>
      <c r="AH4608">
        <f>IF('01_Вводные'!$B$234="Да",'19_Расчет_аналитики'!AH4605*IF('06_Сеть_и_дети'!AH$3&gt;='01_Вводные'!$B$245,'01_Вводные'!$B$57,'01_Вводные'!$B$56),0)</f>
        <v/>
      </c>
      <c r="AI4608">
        <f>IF('01_Вводные'!$B$234="Да",'19_Расчет_аналитики'!AI4605*IF('06_Сеть_и_дети'!AI$3&gt;='01_Вводные'!$B$245,'01_Вводные'!$B$57,'01_Вводные'!$B$56),0)</f>
        <v/>
      </c>
      <c r="AJ4608">
        <f>IF('01_Вводные'!$B$234="Да",'19_Расчет_аналитики'!AJ4605*IF('06_Сеть_и_дети'!AJ$3&gt;='01_Вводные'!$B$245,'01_Вводные'!$B$57,'01_Вводные'!$B$56),0)</f>
        <v/>
      </c>
      <c r="AK4608">
        <f>IF('01_Вводные'!$B$234="Да",'19_Расчет_аналитики'!AK4605*IF('06_Сеть_и_дети'!AK$3&gt;='01_Вводные'!$B$245,'01_Вводные'!$B$57,'01_Вводные'!$B$56),0)</f>
        <v/>
      </c>
      <c r="AL4608">
        <f>IF('01_Вводные'!$B$234="Да",'19_Расчет_аналитики'!AL4605*IF('06_Сеть_и_дети'!AL$3&gt;='01_Вводные'!$B$245,'01_Вводные'!$B$57,'01_Вводные'!$B$56),0)</f>
        <v/>
      </c>
      <c r="AM4608">
        <f>IF('01_Вводные'!$B$234="Да",'19_Расчет_аналитики'!AM4605*IF('06_Сеть_и_дети'!AM$3&gt;='01_Вводные'!$B$245,'01_Вводные'!$B$57,'01_Вводные'!$B$56),0)</f>
        <v/>
      </c>
      <c r="AN4608">
        <f>IF('01_Вводные'!$B$234="Да",'19_Расчет_аналитики'!AN4605*IF('06_Сеть_и_дети'!AN$3&gt;='01_Вводные'!$B$245,'01_Вводные'!$B$57,'01_Вводные'!$B$56),0)</f>
        <v/>
      </c>
      <c r="AO4608">
        <f>IF('01_Вводные'!$B$234="Да",'19_Расчет_аналитики'!AO4605*IF('06_Сеть_и_дети'!AO$3&gt;='01_Вводные'!$B$245,'01_Вводные'!$B$57,'01_Вводные'!$B$56),0)</f>
        <v/>
      </c>
      <c r="AP4608">
        <f>IF('01_Вводные'!$B$234="Да",'19_Расчет_аналитики'!AP4605*IF('06_Сеть_и_дети'!AP$3&gt;='01_Вводные'!$B$245,'01_Вводные'!$B$57,'01_Вводные'!$B$56),0)</f>
        <v/>
      </c>
      <c r="AQ4608">
        <f>IF('01_Вводные'!$B$234="Да",'19_Расчет_аналитики'!AQ4605*IF('06_Сеть_и_дети'!AQ$3&gt;='01_Вводные'!$B$245,'01_Вводные'!$B$57,'01_Вводные'!$B$56),0)</f>
        <v/>
      </c>
      <c r="AR4608">
        <f>IF('01_Вводные'!$B$234="Да",'19_Расчет_аналитики'!AR4605*IF('06_Сеть_и_дети'!AR$3&gt;='01_Вводные'!$B$245,'01_Вводные'!$B$57,'01_Вводные'!$B$56),0)</f>
        <v/>
      </c>
      <c r="AS4608">
        <f>IF('01_Вводные'!$B$234="Да",'19_Расчет_аналитики'!AS4605*IF('06_Сеть_и_дети'!AS$3&gt;='01_Вводные'!$B$245,'01_Вводные'!$B$57,'01_Вводные'!$B$56),0)</f>
        <v/>
      </c>
      <c r="AT4608">
        <f>IF('01_Вводные'!$B$234="Да",'19_Расчет_аналитики'!AT4605*IF('06_Сеть_и_дети'!AT$3&gt;='01_Вводные'!$B$245,'01_Вводные'!$B$57,'01_Вводные'!$B$56),0)</f>
        <v/>
      </c>
      <c r="AU4608">
        <f>IF('01_Вводные'!$B$234="Да",'19_Расчет_аналитики'!AU4605*IF('06_Сеть_и_дети'!AU$3&gt;='01_Вводные'!$B$245,'01_Вводные'!$B$57,'01_Вводные'!$B$56),0)</f>
        <v/>
      </c>
      <c r="AV4608">
        <f>IF('01_Вводные'!$B$234="Да",'19_Расчет_аналитики'!AV4605*IF('06_Сеть_и_дети'!AV$3&gt;='01_Вводные'!$B$245,'01_Вводные'!$B$57,'01_Вводные'!$B$56),0)</f>
        <v/>
      </c>
      <c r="AW4608">
        <f>IF('01_Вводные'!$B$234="Да",'19_Расчет_аналитики'!AW4605*IF('06_Сеть_и_дети'!AW$3&gt;='01_Вводные'!$B$245,'01_Вводные'!$B$57,'01_Вводные'!$B$56),0)</f>
        <v/>
      </c>
      <c r="AX4608">
        <f>IF('01_Вводные'!$B$234="Да",'19_Расчет_аналитики'!AX4605*IF('06_Сеть_и_дети'!AX$3&gt;='01_Вводные'!$B$245,'01_Вводные'!$B$57,'01_Вводные'!$B$56),0)</f>
        <v/>
      </c>
      <c r="AY4608">
        <f>IF('01_Вводные'!$B$234="Да",'19_Расчет_аналитики'!AY4605*IF('06_Сеть_и_дети'!AY$3&gt;='01_Вводные'!$B$245,'01_Вводные'!$B$57,'01_Вводные'!$B$56),0)</f>
        <v/>
      </c>
      <c r="AZ4608">
        <f>IF('01_Вводные'!$B$234="Да",'19_Расчет_аналитики'!AZ4605*IF('06_Сеть_и_дети'!AZ$3&gt;='01_Вводные'!$B$245,'01_Вводные'!$B$57,'01_Вводные'!$B$56),0)</f>
        <v/>
      </c>
      <c r="BA4608">
        <f>IF('01_Вводные'!$B$234="Да",'19_Расчет_аналитики'!BA4605*IF('06_Сеть_и_дети'!BA$3&gt;='01_Вводные'!$B$245,'01_Вводные'!$B$57,'01_Вводные'!$B$56),0)</f>
        <v/>
      </c>
      <c r="BB4608">
        <f>IF('01_Вводные'!$B$234="Да",'19_Расчет_аналитики'!BB4605*IF('06_Сеть_и_дети'!BB$3&gt;='01_Вводные'!$B$245,'01_Вводные'!$B$57,'01_Вводные'!$B$56),0)</f>
        <v/>
      </c>
      <c r="BC4608">
        <f>IF('01_Вводные'!$B$234="Да",'19_Расчет_аналитики'!BC4605*IF('06_Сеть_и_дети'!BC$3&gt;='01_Вводные'!$B$245,'01_Вводные'!$B$57,'01_Вводные'!$B$56),0)</f>
        <v/>
      </c>
      <c r="BD4608">
        <f>IF('01_Вводные'!$B$234="Да",'19_Расчет_аналитики'!BD4605*IF('06_Сеть_и_дети'!BD$3&gt;='01_Вводные'!$B$245,'01_Вводные'!$B$57,'01_Вводные'!$B$56),0)</f>
        <v/>
      </c>
      <c r="BE4608">
        <f>IF('01_Вводные'!$B$234="Да",'19_Расчет_аналитики'!BE4605*IF('06_Сеть_и_дети'!BE$3&gt;='01_Вводные'!$B$245,'01_Вводные'!$B$57,'01_Вводные'!$B$56),0)</f>
        <v/>
      </c>
      <c r="BF4608">
        <f>IF('01_Вводные'!$B$234="Да",'19_Расчет_аналитики'!BF4605*IF('06_Сеть_и_дети'!BF$3&gt;='01_Вводные'!$B$245,'01_Вводные'!$B$57,'01_Вводные'!$B$56),0)</f>
        <v/>
      </c>
      <c r="BG4608">
        <f>IF('01_Вводные'!$B$234="Да",'19_Расчет_аналитики'!BG4605*IF('06_Сеть_и_дети'!BG$3&gt;='01_Вводные'!$B$245,'01_Вводные'!$B$57,'01_Вводные'!$B$56),0)</f>
        <v/>
      </c>
      <c r="BH4608">
        <f>IF('01_Вводные'!$B$234="Да",'19_Расчет_аналитики'!BH4605*IF('06_Сеть_и_дети'!BH$3&gt;='01_Вводные'!$B$245,'01_Вводные'!$B$57,'01_Вводные'!$B$56),0)</f>
        <v/>
      </c>
      <c r="BI4608">
        <f>IF('01_Вводные'!$B$234="Да",'19_Расчет_аналитики'!BI4605*IF('06_Сеть_и_дети'!BI$3&gt;='01_Вводные'!$B$245,'01_Вводные'!$B$57,'01_Вводные'!$B$56),0)</f>
        <v/>
      </c>
      <c r="BJ4608">
        <f>IF('01_Вводные'!$B$234="Да",'19_Расчет_аналитики'!BJ4605*IF('06_Сеть_и_дети'!BJ$3&gt;='01_Вводные'!$B$245,'01_Вводные'!$B$57,'01_Вводные'!$B$56),0)</f>
        <v/>
      </c>
      <c r="BK4608">
        <f>IF('01_Вводные'!$B$234="Да",'19_Расчет_аналитики'!BK4605*IF('06_Сеть_и_дети'!BK$3&gt;='01_Вводные'!$B$245,'01_Вводные'!$B$57,'01_Вводные'!$B$56),0)</f>
        <v/>
      </c>
      <c r="BL4608">
        <f>IF('01_Вводные'!$B$234="Да",'19_Расчет_аналитики'!BL4605*IF('06_Сеть_и_дети'!BL$3&gt;='01_Вводные'!$B$245,'01_Вводные'!$B$57,'01_Вводные'!$B$56),0)</f>
        <v/>
      </c>
      <c r="BM4608">
        <f>IF('01_Вводные'!$B$234="Да",'19_Расчет_аналитики'!BM4605*IF('06_Сеть_и_дети'!BM$3&gt;='01_Вводные'!$B$245,'01_Вводные'!$B$57,'01_Вводные'!$B$56),0)</f>
        <v/>
      </c>
      <c r="BN4608">
        <f>IF('01_Вводные'!$B$234="Да",'19_Расчет_аналитики'!BN4605*IF('06_Сеть_и_дети'!BN$3&gt;='01_Вводные'!$B$245,'01_Вводные'!$B$57,'01_Вводные'!$B$56),0)</f>
        <v/>
      </c>
      <c r="BO4608">
        <f>IF('01_Вводные'!$B$234="Да",'19_Расчет_аналитики'!BO4605*IF('06_Сеть_и_дети'!BO$3&gt;='01_Вводные'!$B$245,'01_Вводные'!$B$57,'01_Вводные'!$B$56),0)</f>
        <v/>
      </c>
    </row>
    <row r="4609">
      <c r="B4609">
        <f>IF('01_Вводные'!$B$234="Да",SUM('19_Расчет_аналитики'!B4456:B4480)-'19_Расчет_аналитики'!B4419,0)</f>
        <v/>
      </c>
      <c r="C4609">
        <f>IF('01_Вводные'!$B$234="Да",SUM('19_Расчет_аналитики'!C4456:C4480)-'19_Расчет_аналитики'!C4419,0)</f>
        <v/>
      </c>
      <c r="D4609">
        <f>IF('01_Вводные'!$B$234="Да",SUM('19_Расчет_аналитики'!D4456:D4480)-'19_Расчет_аналитики'!D4419,0)</f>
        <v/>
      </c>
      <c r="E4609">
        <f>IF('01_Вводные'!$B$234="Да",SUM('19_Расчет_аналитики'!E4456:E4480)-'19_Расчет_аналитики'!E4419,0)</f>
        <v/>
      </c>
      <c r="F4609">
        <f>IF('01_Вводные'!$B$234="Да",SUM('19_Расчет_аналитики'!F4456:F4480)-'19_Расчет_аналитики'!F4419,0)</f>
        <v/>
      </c>
      <c r="G4609">
        <f>IF('01_Вводные'!$B$234="Да",SUM('19_Расчет_аналитики'!G4456:G4480)-'19_Расчет_аналитики'!G4419,0)</f>
        <v/>
      </c>
      <c r="H4609">
        <f>IF('01_Вводные'!$B$234="Да",SUM('19_Расчет_аналитики'!H4456:H4480)-'19_Расчет_аналитики'!H4419,0)</f>
        <v/>
      </c>
      <c r="I4609">
        <f>IF('01_Вводные'!$B$234="Да",SUM('19_Расчет_аналитики'!I4456:I4480)-'19_Расчет_аналитики'!I4419,0)</f>
        <v/>
      </c>
      <c r="J4609">
        <f>IF('01_Вводные'!$B$234="Да",SUM('19_Расчет_аналитики'!J4456:J4480)-'19_Расчет_аналитики'!J4419,0)</f>
        <v/>
      </c>
      <c r="K4609">
        <f>IF('01_Вводные'!$B$234="Да",SUM('19_Расчет_аналитики'!K4456:K4480)-'19_Расчет_аналитики'!K4419,0)</f>
        <v/>
      </c>
      <c r="L4609">
        <f>IF('01_Вводные'!$B$234="Да",SUM('19_Расчет_аналитики'!L4456:L4480)-'19_Расчет_аналитики'!L4419,0)</f>
        <v/>
      </c>
      <c r="M4609">
        <f>IF('01_Вводные'!$B$234="Да",SUM('19_Расчет_аналитики'!M4456:M4480)-'19_Расчет_аналитики'!M4419,0)</f>
        <v/>
      </c>
      <c r="N4609">
        <f>IF('01_Вводные'!$B$234="Да",SUM('19_Расчет_аналитики'!N4456:N4480)-'19_Расчет_аналитики'!N4419,0)</f>
        <v/>
      </c>
      <c r="O4609">
        <f>IF('01_Вводные'!$B$234="Да",SUM('19_Расчет_аналитики'!O4456:O4480)-'19_Расчет_аналитики'!O4419,0)</f>
        <v/>
      </c>
      <c r="P4609">
        <f>IF('01_Вводные'!$B$234="Да",SUM('19_Расчет_аналитики'!P4456:P4480)-'19_Расчет_аналитики'!P4419,0)</f>
        <v/>
      </c>
      <c r="Q4609">
        <f>IF('01_Вводные'!$B$234="Да",SUM('19_Расчет_аналитики'!Q4456:Q4480)-'19_Расчет_аналитики'!Q4419,0)</f>
        <v/>
      </c>
      <c r="R4609">
        <f>IF('01_Вводные'!$B$234="Да",SUM('19_Расчет_аналитики'!R4456:R4480)-'19_Расчет_аналитики'!R4419,0)</f>
        <v/>
      </c>
      <c r="S4609">
        <f>IF('01_Вводные'!$B$234="Да",SUM('19_Расчет_аналитики'!S4456:S4480)-'19_Расчет_аналитики'!S4419,0)</f>
        <v/>
      </c>
      <c r="T4609">
        <f>IF('01_Вводные'!$B$234="Да",SUM('19_Расчет_аналитики'!T4456:T4480)-'19_Расчет_аналитики'!T4419,0)</f>
        <v/>
      </c>
      <c r="U4609">
        <f>IF('01_Вводные'!$B$234="Да",SUM('19_Расчет_аналитики'!U4456:U4480)-'19_Расчет_аналитики'!U4419,0)</f>
        <v/>
      </c>
      <c r="V4609">
        <f>IF('01_Вводные'!$B$234="Да",SUM('19_Расчет_аналитики'!V4456:V4480)-'19_Расчет_аналитики'!V4419,0)</f>
        <v/>
      </c>
      <c r="W4609">
        <f>IF('01_Вводные'!$B$234="Да",SUM('19_Расчет_аналитики'!W4456:W4480)-'19_Расчет_аналитики'!W4419,0)</f>
        <v/>
      </c>
      <c r="X4609">
        <f>IF('01_Вводные'!$B$234="Да",SUM('19_Расчет_аналитики'!X4456:X4480)-'19_Расчет_аналитики'!X4419,0)</f>
        <v/>
      </c>
      <c r="Y4609">
        <f>IF('01_Вводные'!$B$234="Да",SUM('19_Расчет_аналитики'!Y4456:Y4480)-'19_Расчет_аналитики'!Y4419,0)</f>
        <v/>
      </c>
      <c r="Z4609">
        <f>IF('01_Вводные'!$B$234="Да",SUM('19_Расчет_аналитики'!Z4456:Z4480)-'19_Расчет_аналитики'!Z4419,0)</f>
        <v/>
      </c>
      <c r="AA4609">
        <f>IF('01_Вводные'!$B$234="Да",SUM('19_Расчет_аналитики'!AA4456:AA4480)-'19_Расчет_аналитики'!AA4419,0)</f>
        <v/>
      </c>
      <c r="AB4609">
        <f>IF('01_Вводные'!$B$234="Да",SUM('19_Расчет_аналитики'!AB4456:AB4480)-'19_Расчет_аналитики'!AB4419,0)</f>
        <v/>
      </c>
      <c r="AC4609">
        <f>IF('01_Вводные'!$B$234="Да",SUM('19_Расчет_аналитики'!AC4456:AC4480)-'19_Расчет_аналитики'!AC4419,0)</f>
        <v/>
      </c>
      <c r="AD4609">
        <f>IF('01_Вводные'!$B$234="Да",SUM('19_Расчет_аналитики'!AD4456:AD4480)-'19_Расчет_аналитики'!AD4419,0)</f>
        <v/>
      </c>
      <c r="AE4609">
        <f>IF('01_Вводные'!$B$234="Да",SUM('19_Расчет_аналитики'!AE4456:AE4480)-'19_Расчет_аналитики'!AE4419,0)</f>
        <v/>
      </c>
      <c r="AF4609">
        <f>IF('01_Вводные'!$B$234="Да",SUM('19_Расчет_аналитики'!AF4456:AF4480)-'19_Расчет_аналитики'!AF4419,0)</f>
        <v/>
      </c>
      <c r="AG4609">
        <f>IF('01_Вводные'!$B$234="Да",SUM('19_Расчет_аналитики'!AG4456:AG4480)-'19_Расчет_аналитики'!AG4419,0)</f>
        <v/>
      </c>
      <c r="AH4609">
        <f>IF('01_Вводные'!$B$234="Да",SUM('19_Расчет_аналитики'!AH4456:AH4480)-'19_Расчет_аналитики'!AH4419,0)</f>
        <v/>
      </c>
      <c r="AI4609">
        <f>IF('01_Вводные'!$B$234="Да",SUM('19_Расчет_аналитики'!AI4456:AI4480)-'19_Расчет_аналитики'!AI4419,0)</f>
        <v/>
      </c>
      <c r="AJ4609">
        <f>IF('01_Вводные'!$B$234="Да",SUM('19_Расчет_аналитики'!AJ4456:AJ4480)-'19_Расчет_аналитики'!AJ4419,0)</f>
        <v/>
      </c>
      <c r="AK4609">
        <f>IF('01_Вводные'!$B$234="Да",SUM('19_Расчет_аналитики'!AK4456:AK4480)-'19_Расчет_аналитики'!AK4419,0)</f>
        <v/>
      </c>
      <c r="AL4609">
        <f>IF('01_Вводные'!$B$234="Да",SUM('19_Расчет_аналитики'!AL4456:AL4480)-'19_Расчет_аналитики'!AL4419,0)</f>
        <v/>
      </c>
      <c r="AM4609">
        <f>IF('01_Вводные'!$B$234="Да",SUM('19_Расчет_аналитики'!AM4456:AM4480)-'19_Расчет_аналитики'!AM4419,0)</f>
        <v/>
      </c>
      <c r="AN4609">
        <f>IF('01_Вводные'!$B$234="Да",SUM('19_Расчет_аналитики'!AN4456:AN4480)-'19_Расчет_аналитики'!AN4419,0)</f>
        <v/>
      </c>
      <c r="AO4609">
        <f>IF('01_Вводные'!$B$234="Да",SUM('19_Расчет_аналитики'!AO4456:AO4480)-'19_Расчет_аналитики'!AO4419,0)</f>
        <v/>
      </c>
      <c r="AP4609">
        <f>IF('01_Вводные'!$B$234="Да",SUM('19_Расчет_аналитики'!AP4456:AP4480)-'19_Расчет_аналитики'!AP4419,0)</f>
        <v/>
      </c>
      <c r="AQ4609">
        <f>IF('01_Вводные'!$B$234="Да",SUM('19_Расчет_аналитики'!AQ4456:AQ4480)-'19_Расчет_аналитики'!AQ4419,0)</f>
        <v/>
      </c>
      <c r="AR4609">
        <f>IF('01_Вводные'!$B$234="Да",SUM('19_Расчет_аналитики'!AR4456:AR4480)-'19_Расчет_аналитики'!AR4419,0)</f>
        <v/>
      </c>
      <c r="AS4609">
        <f>IF('01_Вводные'!$B$234="Да",SUM('19_Расчет_аналитики'!AS4456:AS4480)-'19_Расчет_аналитики'!AS4419,0)</f>
        <v/>
      </c>
      <c r="AT4609">
        <f>IF('01_Вводные'!$B$234="Да",SUM('19_Расчет_аналитики'!AT4456:AT4480)-'19_Расчет_аналитики'!AT4419,0)</f>
        <v/>
      </c>
      <c r="AU4609">
        <f>IF('01_Вводные'!$B$234="Да",SUM('19_Расчет_аналитики'!AU4456:AU4480)-'19_Расчет_аналитики'!AU4419,0)</f>
        <v/>
      </c>
      <c r="AV4609">
        <f>IF('01_Вводные'!$B$234="Да",SUM('19_Расчет_аналитики'!AV4456:AV4480)-'19_Расчет_аналитики'!AV4419,0)</f>
        <v/>
      </c>
      <c r="AW4609">
        <f>IF('01_Вводные'!$B$234="Да",SUM('19_Расчет_аналитики'!AW4456:AW4480)-'19_Расчет_аналитики'!AW4419,0)</f>
        <v/>
      </c>
      <c r="AX4609">
        <f>IF('01_Вводные'!$B$234="Да",SUM('19_Расчет_аналитики'!AX4456:AX4480)-'19_Расчет_аналитики'!AX4419,0)</f>
        <v/>
      </c>
      <c r="AY4609">
        <f>IF('01_Вводные'!$B$234="Да",SUM('19_Расчет_аналитики'!AY4456:AY4480)-'19_Расчет_аналитики'!AY4419,0)</f>
        <v/>
      </c>
      <c r="AZ4609">
        <f>IF('01_Вводные'!$B$234="Да",SUM('19_Расчет_аналитики'!AZ4456:AZ4480)-'19_Расчет_аналитики'!AZ4419,0)</f>
        <v/>
      </c>
      <c r="BA4609">
        <f>IF('01_Вводные'!$B$234="Да",SUM('19_Расчет_аналитики'!BA4456:BA4480)-'19_Расчет_аналитики'!BA4419,0)</f>
        <v/>
      </c>
      <c r="BB4609">
        <f>IF('01_Вводные'!$B$234="Да",SUM('19_Расчет_аналитики'!BB4456:BB4480)-'19_Расчет_аналитики'!BB4419,0)</f>
        <v/>
      </c>
      <c r="BC4609">
        <f>IF('01_Вводные'!$B$234="Да",SUM('19_Расчет_аналитики'!BC4456:BC4480)-'19_Расчет_аналитики'!BC4419,0)</f>
        <v/>
      </c>
      <c r="BD4609">
        <f>IF('01_Вводные'!$B$234="Да",SUM('19_Расчет_аналитики'!BD4456:BD4480)-'19_Расчет_аналитики'!BD4419,0)</f>
        <v/>
      </c>
      <c r="BE4609">
        <f>IF('01_Вводные'!$B$234="Да",SUM('19_Расчет_аналитики'!BE4456:BE4480)-'19_Расчет_аналитики'!BE4419,0)</f>
        <v/>
      </c>
      <c r="BF4609">
        <f>IF('01_Вводные'!$B$234="Да",SUM('19_Расчет_аналитики'!BF4456:BF4480)-'19_Расчет_аналитики'!BF4419,0)</f>
        <v/>
      </c>
      <c r="BG4609">
        <f>IF('01_Вводные'!$B$234="Да",SUM('19_Расчет_аналитики'!BG4456:BG4480)-'19_Расчет_аналитики'!BG4419,0)</f>
        <v/>
      </c>
      <c r="BH4609">
        <f>IF('01_Вводные'!$B$234="Да",SUM('19_Расчет_аналитики'!BH4456:BH4480)-'19_Расчет_аналитики'!BH4419,0)</f>
        <v/>
      </c>
      <c r="BI4609">
        <f>IF('01_Вводные'!$B$234="Да",SUM('19_Расчет_аналитики'!BI4456:BI4480)-'19_Расчет_аналитики'!BI4419,0)</f>
        <v/>
      </c>
      <c r="BJ4609">
        <f>IF('01_Вводные'!$B$234="Да",SUM('19_Расчет_аналитики'!BJ4456:BJ4480)-'19_Расчет_аналитики'!BJ4419,0)</f>
        <v/>
      </c>
      <c r="BK4609">
        <f>IF('01_Вводные'!$B$234="Да",SUM('19_Расчет_аналитики'!BK4456:BK4480)-'19_Расчет_аналитики'!BK4419,0)</f>
        <v/>
      </c>
      <c r="BL4609">
        <f>IF('01_Вводные'!$B$234="Да",SUM('19_Расчет_аналитики'!BL4456:BL4480)-'19_Расчет_аналитики'!BL4419,0)</f>
        <v/>
      </c>
      <c r="BM4609">
        <f>IF('01_Вводные'!$B$234="Да",SUM('19_Расчет_аналитики'!BM4456:BM4480)-'19_Расчет_аналитики'!BM4419,0)</f>
        <v/>
      </c>
      <c r="BN4609">
        <f>IF('01_Вводные'!$B$234="Да",SUM('19_Расчет_аналитики'!BN4456:BN4480)-'19_Расчет_аналитики'!BN4419,0)</f>
        <v/>
      </c>
      <c r="BO4609">
        <f>IF('01_Вводные'!$B$234="Да",SUM('19_Расчет_аналитики'!BO4456:BO4480)-'19_Расчет_аналитики'!BO4419,0)</f>
        <v/>
      </c>
    </row>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c r="F4654">
        <f>IF('01_Вводные'!$B$234="Да",'06_Сеть_и_дети'!F19*'19_Расчет_аналитики'!$B$4134*'07_Мерч'!F4,0)</f>
        <v/>
      </c>
      <c r="G4654">
        <f>IF('01_Вводные'!$B$234="Да",'06_Сеть_и_дети'!G19*'19_Расчет_аналитики'!$B$4134*'07_Мерч'!G4,0)</f>
        <v/>
      </c>
      <c r="H4654">
        <f>IF('01_Вводные'!$B$234="Да",'06_Сеть_и_дети'!H19*'19_Расчет_аналитики'!$B$4134*'07_Мерч'!H4,0)</f>
        <v/>
      </c>
      <c r="I4654">
        <f>IF('01_Вводные'!$B$234="Да",'06_Сеть_и_дети'!I19*'19_Расчет_аналитики'!$B$4134*'07_Мерч'!I4,0)</f>
        <v/>
      </c>
      <c r="J4654">
        <f>IF('01_Вводные'!$B$234="Да",'06_Сеть_и_дети'!J19*'19_Расчет_аналитики'!$B$4134*'07_Мерч'!J4,0)</f>
        <v/>
      </c>
      <c r="K4654">
        <f>IF('01_Вводные'!$B$234="Да",'06_Сеть_и_дети'!K19*'19_Расчет_аналитики'!$B$4134*'07_Мерч'!K4,0)</f>
        <v/>
      </c>
      <c r="L4654">
        <f>IF('01_Вводные'!$B$234="Да",'06_Сеть_и_дети'!L19*'19_Расчет_аналитики'!$B$4134*'07_Мерч'!L4,0)</f>
        <v/>
      </c>
      <c r="M4654">
        <f>IF('01_Вводные'!$B$234="Да",'06_Сеть_и_дети'!M19*'19_Расчет_аналитики'!$B$4134*'07_Мерч'!M4,0)</f>
        <v/>
      </c>
      <c r="N4654">
        <f>IF('01_Вводные'!$B$234="Да",'06_Сеть_и_дети'!N19*'19_Расчет_аналитики'!$B$4134*'07_Мерч'!N4,0)</f>
        <v/>
      </c>
      <c r="O4654">
        <f>IF('01_Вводные'!$B$234="Да",'06_Сеть_и_дети'!O19*'19_Расчет_аналитики'!$B$4134*'07_Мерч'!O4,0)</f>
        <v/>
      </c>
      <c r="P4654">
        <f>IF('01_Вводные'!$B$234="Да",'06_Сеть_и_дети'!P19*'19_Расчет_аналитики'!$B$4134*'07_Мерч'!P4,0)</f>
        <v/>
      </c>
      <c r="Q4654">
        <f>IF('01_Вводные'!$B$234="Да",'06_Сеть_и_дети'!Q19*'19_Расчет_аналитики'!$B$4134*'07_Мерч'!Q4,0)</f>
        <v/>
      </c>
      <c r="R4654">
        <f>IF('01_Вводные'!$B$234="Да",'06_Сеть_и_дети'!R19*'19_Расчет_аналитики'!$B$4134*'07_Мерч'!R4,0)</f>
        <v/>
      </c>
      <c r="S4654">
        <f>IF('01_Вводные'!$B$234="Да",'06_Сеть_и_дети'!S19*'19_Расчет_аналитики'!$B$4134*'07_Мерч'!S4,0)</f>
        <v/>
      </c>
      <c r="T4654">
        <f>IF('01_Вводные'!$B$234="Да",'06_Сеть_и_дети'!T19*'19_Расчет_аналитики'!$B$4134*'07_Мерч'!T4,0)</f>
        <v/>
      </c>
      <c r="U4654">
        <f>IF('01_Вводные'!$B$234="Да",'06_Сеть_и_дети'!U19*'19_Расчет_аналитики'!$B$4134*'07_Мерч'!U4,0)</f>
        <v/>
      </c>
      <c r="V4654">
        <f>IF('01_Вводные'!$B$234="Да",'06_Сеть_и_дети'!V19*'19_Расчет_аналитики'!$B$4134*'07_Мерч'!V4,0)</f>
        <v/>
      </c>
      <c r="W4654">
        <f>IF('01_Вводные'!$B$234="Да",'06_Сеть_и_дети'!W19*'19_Расчет_аналитики'!$B$4134*'07_Мерч'!W4,0)</f>
        <v/>
      </c>
      <c r="X4654">
        <f>IF('01_Вводные'!$B$234="Да",'06_Сеть_и_дети'!X19*'19_Расчет_аналитики'!$B$4134*'07_Мерч'!X4,0)</f>
        <v/>
      </c>
      <c r="Y4654">
        <f>IF('01_Вводные'!$B$234="Да",'06_Сеть_и_дети'!Y19*'19_Расчет_аналитики'!$B$4134*'07_Мерч'!Y4,0)</f>
        <v/>
      </c>
      <c r="Z4654">
        <f>IF('01_Вводные'!$B$234="Да",'06_Сеть_и_дети'!Z19*'19_Расчет_аналитики'!$B$4134*'07_Мерч'!Z4,0)</f>
        <v/>
      </c>
      <c r="AA4654">
        <f>IF('01_Вводные'!$B$234="Да",'06_Сеть_и_дети'!AA19*'19_Расчет_аналитики'!$B$4134*'07_Мерч'!AA4,0)</f>
        <v/>
      </c>
      <c r="AB4654">
        <f>IF('01_Вводные'!$B$234="Да",'06_Сеть_и_дети'!AB19*'19_Расчет_аналитики'!$B$4134*'07_Мерч'!AB4,0)</f>
        <v/>
      </c>
      <c r="AC4654">
        <f>IF('01_Вводные'!$B$234="Да",'06_Сеть_и_дети'!AC19*'19_Расчет_аналитики'!$B$4134*'07_Мерч'!AC4,0)</f>
        <v/>
      </c>
      <c r="AD4654">
        <f>IF('01_Вводные'!$B$234="Да",'06_Сеть_и_дети'!AD19*'19_Расчет_аналитики'!$B$4134*'07_Мерч'!AD4,0)</f>
        <v/>
      </c>
      <c r="AE4654">
        <f>IF('01_Вводные'!$B$234="Да",'06_Сеть_и_дети'!AE19*'19_Расчет_аналитики'!$B$4134*'07_Мерч'!AE4,0)</f>
        <v/>
      </c>
      <c r="AF4654">
        <f>IF('01_Вводные'!$B$234="Да",'06_Сеть_и_дети'!AF19*'19_Расчет_аналитики'!$B$4134*'07_Мерч'!AF4,0)</f>
        <v/>
      </c>
      <c r="AG4654">
        <f>IF('01_Вводные'!$B$234="Да",'06_Сеть_и_дети'!AG19*'19_Расчет_аналитики'!$B$4134*'07_Мерч'!AG4,0)</f>
        <v/>
      </c>
      <c r="AH4654">
        <f>IF('01_Вводные'!$B$234="Да",'06_Сеть_и_дети'!AH19*'19_Расчет_аналитики'!$B$4134*'07_Мерч'!AH4,0)</f>
        <v/>
      </c>
      <c r="AI4654">
        <f>IF('01_Вводные'!$B$234="Да",'06_Сеть_и_дети'!AI19*'19_Расчет_аналитики'!$B$4134*'07_Мерч'!AI4,0)</f>
        <v/>
      </c>
      <c r="AJ4654">
        <f>IF('01_Вводные'!$B$234="Да",'06_Сеть_и_дети'!AJ19*'19_Расчет_аналитики'!$B$4134*'07_Мерч'!AJ4,0)</f>
        <v/>
      </c>
      <c r="AK4654">
        <f>IF('01_Вводные'!$B$234="Да",'06_Сеть_и_дети'!AK19*'19_Расчет_аналитики'!$B$4134*'07_Мерч'!AK4,0)</f>
        <v/>
      </c>
      <c r="AL4654">
        <f>IF('01_Вводные'!$B$234="Да",'06_Сеть_и_дети'!AL19*'19_Расчет_аналитики'!$B$4134*'07_Мерч'!AL4,0)</f>
        <v/>
      </c>
      <c r="AM4654">
        <f>IF('01_Вводные'!$B$234="Да",'06_Сеть_и_дети'!AM19*'19_Расчет_аналитики'!$B$4134*'07_Мерч'!AM4,0)</f>
        <v/>
      </c>
      <c r="AN4654">
        <f>IF('01_Вводные'!$B$234="Да",'06_Сеть_и_дети'!AN19*'19_Расчет_аналитики'!$B$4134*'07_Мерч'!AN4,0)</f>
        <v/>
      </c>
      <c r="AO4654">
        <f>IF('01_Вводные'!$B$234="Да",'06_Сеть_и_дети'!AO19*'19_Расчет_аналитики'!$B$4134*'07_Мерч'!AO4,0)</f>
        <v/>
      </c>
      <c r="AP4654">
        <f>IF('01_Вводные'!$B$234="Да",'06_Сеть_и_дети'!AP19*'19_Расчет_аналитики'!$B$4134*'07_Мерч'!AP4,0)</f>
        <v/>
      </c>
      <c r="AQ4654">
        <f>IF('01_Вводные'!$B$234="Да",'06_Сеть_и_дети'!AQ19*'19_Расчет_аналитики'!$B$4134*'07_Мерч'!AQ4,0)</f>
        <v/>
      </c>
      <c r="AR4654">
        <f>IF('01_Вводные'!$B$234="Да",'06_Сеть_и_дети'!AR19*'19_Расчет_аналитики'!$B$4134*'07_Мерч'!AR4,0)</f>
        <v/>
      </c>
      <c r="AS4654">
        <f>IF('01_Вводные'!$B$234="Да",'06_Сеть_и_дети'!AS19*'19_Расчет_аналитики'!$B$4134*'07_Мерч'!AS4,0)</f>
        <v/>
      </c>
      <c r="AT4654">
        <f>IF('01_Вводные'!$B$234="Да",'06_Сеть_и_дети'!AT19*'19_Расчет_аналитики'!$B$4134*'07_Мерч'!AT4,0)</f>
        <v/>
      </c>
      <c r="AU4654">
        <f>IF('01_Вводные'!$B$234="Да",'06_Сеть_и_дети'!AU19*'19_Расчет_аналитики'!$B$4134*'07_Мерч'!AU4,0)</f>
        <v/>
      </c>
      <c r="AV4654">
        <f>IF('01_Вводные'!$B$234="Да",'06_Сеть_и_дети'!AV19*'19_Расчет_аналитики'!$B$4134*'07_Мерч'!AV4,0)</f>
        <v/>
      </c>
      <c r="AW4654">
        <f>IF('01_Вводные'!$B$234="Да",'06_Сеть_и_дети'!AW19*'19_Расчет_аналитики'!$B$4134*'07_Мерч'!AW4,0)</f>
        <v/>
      </c>
      <c r="AX4654">
        <f>IF('01_Вводные'!$B$234="Да",'06_Сеть_и_дети'!AX19*'19_Расчет_аналитики'!$B$4134*'07_Мерч'!AX4,0)</f>
        <v/>
      </c>
      <c r="AY4654">
        <f>IF('01_Вводные'!$B$234="Да",'06_Сеть_и_дети'!AY19*'19_Расчет_аналитики'!$B$4134*'07_Мерч'!AY4,0)</f>
        <v/>
      </c>
      <c r="AZ4654">
        <f>IF('01_Вводные'!$B$234="Да",'06_Сеть_и_дети'!AZ19*'19_Расчет_аналитики'!$B$4134*'07_Мерч'!AZ4,0)</f>
        <v/>
      </c>
      <c r="BA4654">
        <f>IF('01_Вводные'!$B$234="Да",'06_Сеть_и_дети'!BA19*'19_Расчет_аналитики'!$B$4134*'07_Мерч'!BA4,0)</f>
        <v/>
      </c>
      <c r="BB4654">
        <f>IF('01_Вводные'!$B$234="Да",'06_Сеть_и_дети'!BB19*'19_Расчет_аналитики'!$B$4134*'07_Мерч'!BB4,0)</f>
        <v/>
      </c>
      <c r="BC4654">
        <f>IF('01_Вводные'!$B$234="Да",'06_Сеть_и_дети'!BC19*'19_Расчет_аналитики'!$B$4134*'07_Мерч'!BC4,0)</f>
        <v/>
      </c>
      <c r="BD4654">
        <f>IF('01_Вводные'!$B$234="Да",'06_Сеть_и_дети'!BD19*'19_Расчет_аналитики'!$B$4134*'07_Мерч'!BD4,0)</f>
        <v/>
      </c>
      <c r="BE4654">
        <f>IF('01_Вводные'!$B$234="Да",'06_Сеть_и_дети'!BE19*'19_Расчет_аналитики'!$B$4134*'07_Мерч'!BE4,0)</f>
        <v/>
      </c>
      <c r="BF4654">
        <f>IF('01_Вводные'!$B$234="Да",'06_Сеть_и_дети'!BF19*'19_Расчет_аналитики'!$B$4134*'07_Мерч'!BF4,0)</f>
        <v/>
      </c>
      <c r="BG4654">
        <f>IF('01_Вводные'!$B$234="Да",'06_Сеть_и_дети'!BG19*'19_Расчет_аналитики'!$B$4134*'07_Мерч'!BG4,0)</f>
        <v/>
      </c>
      <c r="BH4654">
        <f>IF('01_Вводные'!$B$234="Да",'06_Сеть_и_дети'!BH19*'19_Расчет_аналитики'!$B$4134*'07_Мерч'!BH4,0)</f>
        <v/>
      </c>
      <c r="BI4654">
        <f>IF('01_Вводные'!$B$234="Да",'06_Сеть_и_дети'!BI19*'19_Расчет_аналитики'!$B$4134*'07_Мерч'!BI4,0)</f>
        <v/>
      </c>
      <c r="BJ4654">
        <f>IF('01_Вводные'!$B$234="Да",'06_Сеть_и_дети'!BJ19*'19_Расчет_аналитики'!$B$4134*'07_Мерч'!BJ4,0)</f>
        <v/>
      </c>
      <c r="BK4654">
        <f>IF('01_Вводные'!$B$234="Да",'06_Сеть_и_дети'!BK19*'19_Расчет_аналитики'!$B$4134*'07_Мерч'!BK4,0)</f>
        <v/>
      </c>
      <c r="BL4654">
        <f>IF('01_Вводные'!$B$234="Да",'06_Сеть_и_дети'!BL19*'19_Расчет_аналитики'!$B$4134*'07_Мерч'!BL4,0)</f>
        <v/>
      </c>
      <c r="BM4654">
        <f>IF('01_Вводные'!$B$234="Да",'06_Сеть_и_дети'!BM19*'19_Расчет_аналитики'!$B$4134*'07_Мерч'!BM4,0)</f>
        <v/>
      </c>
      <c r="BN4654">
        <f>IF('01_Вводные'!$B$234="Да",'06_Сеть_и_дети'!BN19*'19_Расчет_аналитики'!$B$4134*'07_Мерч'!BN4,0)</f>
        <v/>
      </c>
      <c r="BO4654">
        <f>IF('01_Вводные'!$B$234="Да",'06_Сеть_и_дети'!BO19*'19_Расчет_аналитики'!$B$4134*'07_Мерч'!BO4,0)</f>
        <v/>
      </c>
    </row>
    <row r="4655">
      <c r="F4655">
        <f>IF('01_Вводные'!$B$234="Да",'19_Расчет_аналитики'!F4654*'18_Календарь_тарифы'!F10,0)</f>
        <v/>
      </c>
      <c r="G4655">
        <f>IF('01_Вводные'!$B$234="Да",'19_Расчет_аналитики'!G4654*'18_Календарь_тарифы'!G10,0)</f>
        <v/>
      </c>
      <c r="H4655">
        <f>IF('01_Вводные'!$B$234="Да",'19_Расчет_аналитики'!H4654*'18_Календарь_тарифы'!H10,0)</f>
        <v/>
      </c>
      <c r="I4655">
        <f>IF('01_Вводные'!$B$234="Да",'19_Расчет_аналитики'!I4654*'18_Календарь_тарифы'!I10,0)</f>
        <v/>
      </c>
      <c r="J4655">
        <f>IF('01_Вводные'!$B$234="Да",'19_Расчет_аналитики'!J4654*'18_Календарь_тарифы'!J10,0)</f>
        <v/>
      </c>
      <c r="K4655">
        <f>IF('01_Вводные'!$B$234="Да",'19_Расчет_аналитики'!K4654*'18_Календарь_тарифы'!K10,0)</f>
        <v/>
      </c>
      <c r="L4655">
        <f>IF('01_Вводные'!$B$234="Да",'19_Расчет_аналитики'!L4654*'18_Календарь_тарифы'!L10,0)</f>
        <v/>
      </c>
      <c r="M4655">
        <f>IF('01_Вводные'!$B$234="Да",'19_Расчет_аналитики'!M4654*'18_Календарь_тарифы'!M10,0)</f>
        <v/>
      </c>
      <c r="N4655">
        <f>IF('01_Вводные'!$B$234="Да",'19_Расчет_аналитики'!N4654*'18_Календарь_тарифы'!N10,0)</f>
        <v/>
      </c>
      <c r="O4655">
        <f>IF('01_Вводные'!$B$234="Да",'19_Расчет_аналитики'!O4654*'18_Календарь_тарифы'!O10,0)</f>
        <v/>
      </c>
      <c r="P4655">
        <f>IF('01_Вводные'!$B$234="Да",'19_Расчет_аналитики'!P4654*'18_Календарь_тарифы'!P10,0)</f>
        <v/>
      </c>
      <c r="Q4655">
        <f>IF('01_Вводные'!$B$234="Да",'19_Расчет_аналитики'!Q4654*'18_Календарь_тарифы'!Q10,0)</f>
        <v/>
      </c>
      <c r="R4655">
        <f>IF('01_Вводные'!$B$234="Да",'19_Расчет_аналитики'!R4654*'18_Календарь_тарифы'!R10,0)</f>
        <v/>
      </c>
      <c r="S4655">
        <f>IF('01_Вводные'!$B$234="Да",'19_Расчет_аналитики'!S4654*'18_Календарь_тарифы'!S10,0)</f>
        <v/>
      </c>
      <c r="T4655">
        <f>IF('01_Вводные'!$B$234="Да",'19_Расчет_аналитики'!T4654*'18_Календарь_тарифы'!T10,0)</f>
        <v/>
      </c>
      <c r="U4655">
        <f>IF('01_Вводные'!$B$234="Да",'19_Расчет_аналитики'!U4654*'18_Календарь_тарифы'!U10,0)</f>
        <v/>
      </c>
      <c r="V4655">
        <f>IF('01_Вводные'!$B$234="Да",'19_Расчет_аналитики'!V4654*'18_Календарь_тарифы'!V10,0)</f>
        <v/>
      </c>
      <c r="W4655">
        <f>IF('01_Вводные'!$B$234="Да",'19_Расчет_аналитики'!W4654*'18_Календарь_тарифы'!W10,0)</f>
        <v/>
      </c>
      <c r="X4655">
        <f>IF('01_Вводные'!$B$234="Да",'19_Расчет_аналитики'!X4654*'18_Календарь_тарифы'!X10,0)</f>
        <v/>
      </c>
      <c r="Y4655">
        <f>IF('01_Вводные'!$B$234="Да",'19_Расчет_аналитики'!Y4654*'18_Календарь_тарифы'!Y10,0)</f>
        <v/>
      </c>
      <c r="Z4655">
        <f>IF('01_Вводные'!$B$234="Да",'19_Расчет_аналитики'!Z4654*'18_Календарь_тарифы'!Z10,0)</f>
        <v/>
      </c>
      <c r="AA4655">
        <f>IF('01_Вводные'!$B$234="Да",'19_Расчет_аналитики'!AA4654*'18_Календарь_тарифы'!AA10,0)</f>
        <v/>
      </c>
      <c r="AB4655">
        <f>IF('01_Вводные'!$B$234="Да",'19_Расчет_аналитики'!AB4654*'18_Календарь_тарифы'!AB10,0)</f>
        <v/>
      </c>
      <c r="AC4655">
        <f>IF('01_Вводные'!$B$234="Да",'19_Расчет_аналитики'!AC4654*'18_Календарь_тарифы'!AC10,0)</f>
        <v/>
      </c>
      <c r="AD4655">
        <f>IF('01_Вводные'!$B$234="Да",'19_Расчет_аналитики'!AD4654*'18_Календарь_тарифы'!AD10,0)</f>
        <v/>
      </c>
      <c r="AE4655">
        <f>IF('01_Вводные'!$B$234="Да",'19_Расчет_аналитики'!AE4654*'18_Календарь_тарифы'!AE10,0)</f>
        <v/>
      </c>
      <c r="AF4655">
        <f>IF('01_Вводные'!$B$234="Да",'19_Расчет_аналитики'!AF4654*'18_Календарь_тарифы'!AF10,0)</f>
        <v/>
      </c>
      <c r="AG4655">
        <f>IF('01_Вводные'!$B$234="Да",'19_Расчет_аналитики'!AG4654*'18_Календарь_тарифы'!AG10,0)</f>
        <v/>
      </c>
      <c r="AH4655">
        <f>IF('01_Вводные'!$B$234="Да",'19_Расчет_аналитики'!AH4654*'18_Календарь_тарифы'!AH10,0)</f>
        <v/>
      </c>
      <c r="AI4655">
        <f>IF('01_Вводные'!$B$234="Да",'19_Расчет_аналитики'!AI4654*'18_Календарь_тарифы'!AI10,0)</f>
        <v/>
      </c>
      <c r="AJ4655">
        <f>IF('01_Вводные'!$B$234="Да",'19_Расчет_аналитики'!AJ4654*'18_Календарь_тарифы'!AJ10,0)</f>
        <v/>
      </c>
      <c r="AK4655">
        <f>IF('01_Вводные'!$B$234="Да",'19_Расчет_аналитики'!AK4654*'18_Календарь_тарифы'!AK10,0)</f>
        <v/>
      </c>
      <c r="AL4655">
        <f>IF('01_Вводные'!$B$234="Да",'19_Расчет_аналитики'!AL4654*'18_Календарь_тарифы'!AL10,0)</f>
        <v/>
      </c>
      <c r="AM4655">
        <f>IF('01_Вводные'!$B$234="Да",'19_Расчет_аналитики'!AM4654*'18_Календарь_тарифы'!AM10,0)</f>
        <v/>
      </c>
      <c r="AN4655">
        <f>IF('01_Вводные'!$B$234="Да",'19_Расчет_аналитики'!AN4654*'18_Календарь_тарифы'!AN10,0)</f>
        <v/>
      </c>
      <c r="AO4655">
        <f>IF('01_Вводные'!$B$234="Да",'19_Расчет_аналитики'!AO4654*'18_Календарь_тарифы'!AO10,0)</f>
        <v/>
      </c>
      <c r="AP4655">
        <f>IF('01_Вводные'!$B$234="Да",'19_Расчет_аналитики'!AP4654*'18_Календарь_тарифы'!AP10,0)</f>
        <v/>
      </c>
      <c r="AQ4655">
        <f>IF('01_Вводные'!$B$234="Да",'19_Расчет_аналитики'!AQ4654*'18_Календарь_тарифы'!AQ10,0)</f>
        <v/>
      </c>
      <c r="AR4655">
        <f>IF('01_Вводные'!$B$234="Да",'19_Расчет_аналитики'!AR4654*'18_Календарь_тарифы'!AR10,0)</f>
        <v/>
      </c>
      <c r="AS4655">
        <f>IF('01_Вводные'!$B$234="Да",'19_Расчет_аналитики'!AS4654*'18_Календарь_тарифы'!AS10,0)</f>
        <v/>
      </c>
      <c r="AT4655">
        <f>IF('01_Вводные'!$B$234="Да",'19_Расчет_аналитики'!AT4654*'18_Календарь_тарифы'!AT10,0)</f>
        <v/>
      </c>
      <c r="AU4655">
        <f>IF('01_Вводные'!$B$234="Да",'19_Расчет_аналитики'!AU4654*'18_Календарь_тарифы'!AU10,0)</f>
        <v/>
      </c>
      <c r="AV4655">
        <f>IF('01_Вводные'!$B$234="Да",'19_Расчет_аналитики'!AV4654*'18_Календарь_тарифы'!AV10,0)</f>
        <v/>
      </c>
      <c r="AW4655">
        <f>IF('01_Вводные'!$B$234="Да",'19_Расчет_аналитики'!AW4654*'18_Календарь_тарифы'!AW10,0)</f>
        <v/>
      </c>
      <c r="AX4655">
        <f>IF('01_Вводные'!$B$234="Да",'19_Расчет_аналитики'!AX4654*'18_Календарь_тарифы'!AX10,0)</f>
        <v/>
      </c>
      <c r="AY4655">
        <f>IF('01_Вводные'!$B$234="Да",'19_Расчет_аналитики'!AY4654*'18_Календарь_тарифы'!AY10,0)</f>
        <v/>
      </c>
      <c r="AZ4655">
        <f>IF('01_Вводные'!$B$234="Да",'19_Расчет_аналитики'!AZ4654*'18_Календарь_тарифы'!AZ10,0)</f>
        <v/>
      </c>
      <c r="BA4655">
        <f>IF('01_Вводные'!$B$234="Да",'19_Расчет_аналитики'!BA4654*'18_Календарь_тарифы'!BA10,0)</f>
        <v/>
      </c>
      <c r="BB4655">
        <f>IF('01_Вводные'!$B$234="Да",'19_Расчет_аналитики'!BB4654*'18_Календарь_тарифы'!BB10,0)</f>
        <v/>
      </c>
      <c r="BC4655">
        <f>IF('01_Вводные'!$B$234="Да",'19_Расчет_аналитики'!BC4654*'18_Календарь_тарифы'!BC10,0)</f>
        <v/>
      </c>
      <c r="BD4655">
        <f>IF('01_Вводные'!$B$234="Да",'19_Расчет_аналитики'!BD4654*'18_Календарь_тарифы'!BD10,0)</f>
        <v/>
      </c>
      <c r="BE4655">
        <f>IF('01_Вводные'!$B$234="Да",'19_Расчет_аналитики'!BE4654*'18_Календарь_тарифы'!BE10,0)</f>
        <v/>
      </c>
      <c r="BF4655">
        <f>IF('01_Вводные'!$B$234="Да",'19_Расчет_аналитики'!BF4654*'18_Календарь_тарифы'!BF10,0)</f>
        <v/>
      </c>
      <c r="BG4655">
        <f>IF('01_Вводные'!$B$234="Да",'19_Расчет_аналитики'!BG4654*'18_Календарь_тарифы'!BG10,0)</f>
        <v/>
      </c>
      <c r="BH4655">
        <f>IF('01_Вводные'!$B$234="Да",'19_Расчет_аналитики'!BH4654*'18_Календарь_тарифы'!BH10,0)</f>
        <v/>
      </c>
      <c r="BI4655">
        <f>IF('01_Вводные'!$B$234="Да",'19_Расчет_аналитики'!BI4654*'18_Календарь_тарифы'!BI10,0)</f>
        <v/>
      </c>
      <c r="BJ4655">
        <f>IF('01_Вводные'!$B$234="Да",'19_Расчет_аналитики'!BJ4654*'18_Календарь_тарифы'!BJ10,0)</f>
        <v/>
      </c>
      <c r="BK4655">
        <f>IF('01_Вводные'!$B$234="Да",'19_Расчет_аналитики'!BK4654*'18_Календарь_тарифы'!BK10,0)</f>
        <v/>
      </c>
      <c r="BL4655">
        <f>IF('01_Вводные'!$B$234="Да",'19_Расчет_аналитики'!BL4654*'18_Календарь_тарифы'!BL10,0)</f>
        <v/>
      </c>
      <c r="BM4655">
        <f>IF('01_Вводные'!$B$234="Да",'19_Расчет_аналитики'!BM4654*'18_Календарь_тарифы'!BM10,0)</f>
        <v/>
      </c>
      <c r="BN4655">
        <f>IF('01_Вводные'!$B$234="Да",'19_Расчет_аналитики'!BN4654*'18_Календарь_тарифы'!BN10,0)</f>
        <v/>
      </c>
      <c r="BO4655">
        <f>IF('01_Вводные'!$B$234="Да",'19_Расчет_аналитики'!BO4654*'18_Календарь_тарифы'!BO10,0)</f>
        <v/>
      </c>
    </row>
    <row r="4656">
      <c r="F4656">
        <f>IF('01_Вводные'!$B$234="Да",'19_Расчет_аналитики'!F4654*'18_Календарь_тарифы'!F9,0)</f>
        <v/>
      </c>
      <c r="G4656">
        <f>IF('01_Вводные'!$B$234="Да",'19_Расчет_аналитики'!G4654*'18_Календарь_тарифы'!G9,0)</f>
        <v/>
      </c>
      <c r="H4656">
        <f>IF('01_Вводные'!$B$234="Да",'19_Расчет_аналитики'!H4654*'18_Календарь_тарифы'!H9,0)</f>
        <v/>
      </c>
      <c r="I4656">
        <f>IF('01_Вводные'!$B$234="Да",'19_Расчет_аналитики'!I4654*'18_Календарь_тарифы'!I9,0)</f>
        <v/>
      </c>
      <c r="J4656">
        <f>IF('01_Вводные'!$B$234="Да",'19_Расчет_аналитики'!J4654*'18_Календарь_тарифы'!J9,0)</f>
        <v/>
      </c>
      <c r="K4656">
        <f>IF('01_Вводные'!$B$234="Да",'19_Расчет_аналитики'!K4654*'18_Календарь_тарифы'!K9,0)</f>
        <v/>
      </c>
      <c r="L4656">
        <f>IF('01_Вводные'!$B$234="Да",'19_Расчет_аналитики'!L4654*'18_Календарь_тарифы'!L9,0)</f>
        <v/>
      </c>
      <c r="M4656">
        <f>IF('01_Вводные'!$B$234="Да",'19_Расчет_аналитики'!M4654*'18_Календарь_тарифы'!M9,0)</f>
        <v/>
      </c>
      <c r="N4656">
        <f>IF('01_Вводные'!$B$234="Да",'19_Расчет_аналитики'!N4654*'18_Календарь_тарифы'!N9,0)</f>
        <v/>
      </c>
      <c r="O4656">
        <f>IF('01_Вводные'!$B$234="Да",'19_Расчет_аналитики'!O4654*'18_Календарь_тарифы'!O9,0)</f>
        <v/>
      </c>
      <c r="P4656">
        <f>IF('01_Вводные'!$B$234="Да",'19_Расчет_аналитики'!P4654*'18_Календарь_тарифы'!P9,0)</f>
        <v/>
      </c>
      <c r="Q4656">
        <f>IF('01_Вводные'!$B$234="Да",'19_Расчет_аналитики'!Q4654*'18_Календарь_тарифы'!Q9,0)</f>
        <v/>
      </c>
      <c r="R4656">
        <f>IF('01_Вводные'!$B$234="Да",'19_Расчет_аналитики'!R4654*'18_Календарь_тарифы'!R9,0)</f>
        <v/>
      </c>
      <c r="S4656">
        <f>IF('01_Вводные'!$B$234="Да",'19_Расчет_аналитики'!S4654*'18_Календарь_тарифы'!S9,0)</f>
        <v/>
      </c>
      <c r="T4656">
        <f>IF('01_Вводные'!$B$234="Да",'19_Расчет_аналитики'!T4654*'18_Календарь_тарифы'!T9,0)</f>
        <v/>
      </c>
      <c r="U4656">
        <f>IF('01_Вводные'!$B$234="Да",'19_Расчет_аналитики'!U4654*'18_Календарь_тарифы'!U9,0)</f>
        <v/>
      </c>
      <c r="V4656">
        <f>IF('01_Вводные'!$B$234="Да",'19_Расчет_аналитики'!V4654*'18_Календарь_тарифы'!V9,0)</f>
        <v/>
      </c>
      <c r="W4656">
        <f>IF('01_Вводные'!$B$234="Да",'19_Расчет_аналитики'!W4654*'18_Календарь_тарифы'!W9,0)</f>
        <v/>
      </c>
      <c r="X4656">
        <f>IF('01_Вводные'!$B$234="Да",'19_Расчет_аналитики'!X4654*'18_Календарь_тарифы'!X9,0)</f>
        <v/>
      </c>
      <c r="Y4656">
        <f>IF('01_Вводные'!$B$234="Да",'19_Расчет_аналитики'!Y4654*'18_Календарь_тарифы'!Y9,0)</f>
        <v/>
      </c>
      <c r="Z4656">
        <f>IF('01_Вводные'!$B$234="Да",'19_Расчет_аналитики'!Z4654*'18_Календарь_тарифы'!Z9,0)</f>
        <v/>
      </c>
      <c r="AA4656">
        <f>IF('01_Вводные'!$B$234="Да",'19_Расчет_аналитики'!AA4654*'18_Календарь_тарифы'!AA9,0)</f>
        <v/>
      </c>
      <c r="AB4656">
        <f>IF('01_Вводные'!$B$234="Да",'19_Расчет_аналитики'!AB4654*'18_Календарь_тарифы'!AB9,0)</f>
        <v/>
      </c>
      <c r="AC4656">
        <f>IF('01_Вводные'!$B$234="Да",'19_Расчет_аналитики'!AC4654*'18_Календарь_тарифы'!AC9,0)</f>
        <v/>
      </c>
      <c r="AD4656">
        <f>IF('01_Вводные'!$B$234="Да",'19_Расчет_аналитики'!AD4654*'18_Календарь_тарифы'!AD9,0)</f>
        <v/>
      </c>
      <c r="AE4656">
        <f>IF('01_Вводные'!$B$234="Да",'19_Расчет_аналитики'!AE4654*'18_Календарь_тарифы'!AE9,0)</f>
        <v/>
      </c>
      <c r="AF4656">
        <f>IF('01_Вводные'!$B$234="Да",'19_Расчет_аналитики'!AF4654*'18_Календарь_тарифы'!AF9,0)</f>
        <v/>
      </c>
      <c r="AG4656">
        <f>IF('01_Вводные'!$B$234="Да",'19_Расчет_аналитики'!AG4654*'18_Календарь_тарифы'!AG9,0)</f>
        <v/>
      </c>
      <c r="AH4656">
        <f>IF('01_Вводные'!$B$234="Да",'19_Расчет_аналитики'!AH4654*'18_Календарь_тарифы'!AH9,0)</f>
        <v/>
      </c>
      <c r="AI4656">
        <f>IF('01_Вводные'!$B$234="Да",'19_Расчет_аналитики'!AI4654*'18_Календарь_тарифы'!AI9,0)</f>
        <v/>
      </c>
      <c r="AJ4656">
        <f>IF('01_Вводные'!$B$234="Да",'19_Расчет_аналитики'!AJ4654*'18_Календарь_тарифы'!AJ9,0)</f>
        <v/>
      </c>
      <c r="AK4656">
        <f>IF('01_Вводные'!$B$234="Да",'19_Расчет_аналитики'!AK4654*'18_Календарь_тарифы'!AK9,0)</f>
        <v/>
      </c>
      <c r="AL4656">
        <f>IF('01_Вводные'!$B$234="Да",'19_Расчет_аналитики'!AL4654*'18_Календарь_тарифы'!AL9,0)</f>
        <v/>
      </c>
      <c r="AM4656">
        <f>IF('01_Вводные'!$B$234="Да",'19_Расчет_аналитики'!AM4654*'18_Календарь_тарифы'!AM9,0)</f>
        <v/>
      </c>
      <c r="AN4656">
        <f>IF('01_Вводные'!$B$234="Да",'19_Расчет_аналитики'!AN4654*'18_Календарь_тарифы'!AN9,0)</f>
        <v/>
      </c>
      <c r="AO4656">
        <f>IF('01_Вводные'!$B$234="Да",'19_Расчет_аналитики'!AO4654*'18_Календарь_тарифы'!AO9,0)</f>
        <v/>
      </c>
      <c r="AP4656">
        <f>IF('01_Вводные'!$B$234="Да",'19_Расчет_аналитики'!AP4654*'18_Календарь_тарифы'!AP9,0)</f>
        <v/>
      </c>
      <c r="AQ4656">
        <f>IF('01_Вводные'!$B$234="Да",'19_Расчет_аналитики'!AQ4654*'18_Календарь_тарифы'!AQ9,0)</f>
        <v/>
      </c>
      <c r="AR4656">
        <f>IF('01_Вводные'!$B$234="Да",'19_Расчет_аналитики'!AR4654*'18_Календарь_тарифы'!AR9,0)</f>
        <v/>
      </c>
      <c r="AS4656">
        <f>IF('01_Вводные'!$B$234="Да",'19_Расчет_аналитики'!AS4654*'18_Календарь_тарифы'!AS9,0)</f>
        <v/>
      </c>
      <c r="AT4656">
        <f>IF('01_Вводные'!$B$234="Да",'19_Расчет_аналитики'!AT4654*'18_Календарь_тарифы'!AT9,0)</f>
        <v/>
      </c>
      <c r="AU4656">
        <f>IF('01_Вводные'!$B$234="Да",'19_Расчет_аналитики'!AU4654*'18_Календарь_тарифы'!AU9,0)</f>
        <v/>
      </c>
      <c r="AV4656">
        <f>IF('01_Вводные'!$B$234="Да",'19_Расчет_аналитики'!AV4654*'18_Календарь_тарифы'!AV9,0)</f>
        <v/>
      </c>
      <c r="AW4656">
        <f>IF('01_Вводные'!$B$234="Да",'19_Расчет_аналитики'!AW4654*'18_Календарь_тарифы'!AW9,0)</f>
        <v/>
      </c>
      <c r="AX4656">
        <f>IF('01_Вводные'!$B$234="Да",'19_Расчет_аналитики'!AX4654*'18_Календарь_тарифы'!AX9,0)</f>
        <v/>
      </c>
      <c r="AY4656">
        <f>IF('01_Вводные'!$B$234="Да",'19_Расчет_аналитики'!AY4654*'18_Календарь_тарифы'!AY9,0)</f>
        <v/>
      </c>
      <c r="AZ4656">
        <f>IF('01_Вводные'!$B$234="Да",'19_Расчет_аналитики'!AZ4654*'18_Календарь_тарифы'!AZ9,0)</f>
        <v/>
      </c>
      <c r="BA4656">
        <f>IF('01_Вводные'!$B$234="Да",'19_Расчет_аналитики'!BA4654*'18_Календарь_тарифы'!BA9,0)</f>
        <v/>
      </c>
      <c r="BB4656">
        <f>IF('01_Вводные'!$B$234="Да",'19_Расчет_аналитики'!BB4654*'18_Календарь_тарифы'!BB9,0)</f>
        <v/>
      </c>
      <c r="BC4656">
        <f>IF('01_Вводные'!$B$234="Да",'19_Расчет_аналитики'!BC4654*'18_Календарь_тарифы'!BC9,0)</f>
        <v/>
      </c>
      <c r="BD4656">
        <f>IF('01_Вводные'!$B$234="Да",'19_Расчет_аналитики'!BD4654*'18_Календарь_тарифы'!BD9,0)</f>
        <v/>
      </c>
      <c r="BE4656">
        <f>IF('01_Вводные'!$B$234="Да",'19_Расчет_аналитики'!BE4654*'18_Календарь_тарифы'!BE9,0)</f>
        <v/>
      </c>
      <c r="BF4656">
        <f>IF('01_Вводные'!$B$234="Да",'19_Расчет_аналитики'!BF4654*'18_Календарь_тарифы'!BF9,0)</f>
        <v/>
      </c>
      <c r="BG4656">
        <f>IF('01_Вводные'!$B$234="Да",'19_Расчет_аналитики'!BG4654*'18_Календарь_тарифы'!BG9,0)</f>
        <v/>
      </c>
      <c r="BH4656">
        <f>IF('01_Вводные'!$B$234="Да",'19_Расчет_аналитики'!BH4654*'18_Календарь_тарифы'!BH9,0)</f>
        <v/>
      </c>
      <c r="BI4656">
        <f>IF('01_Вводные'!$B$234="Да",'19_Расчет_аналитики'!BI4654*'18_Календарь_тарифы'!BI9,0)</f>
        <v/>
      </c>
      <c r="BJ4656">
        <f>IF('01_Вводные'!$B$234="Да",'19_Расчет_аналитики'!BJ4654*'18_Календарь_тарифы'!BJ9,0)</f>
        <v/>
      </c>
      <c r="BK4656">
        <f>IF('01_Вводные'!$B$234="Да",'19_Расчет_аналитики'!BK4654*'18_Календарь_тарифы'!BK9,0)</f>
        <v/>
      </c>
      <c r="BL4656">
        <f>IF('01_Вводные'!$B$234="Да",'19_Расчет_аналитики'!BL4654*'18_Календарь_тарифы'!BL9,0)</f>
        <v/>
      </c>
      <c r="BM4656">
        <f>IF('01_Вводные'!$B$234="Да",'19_Расчет_аналитики'!BM4654*'18_Календарь_тарифы'!BM9,0)</f>
        <v/>
      </c>
      <c r="BN4656">
        <f>IF('01_Вводные'!$B$234="Да",'19_Расчет_аналитики'!BN4654*'18_Календарь_тарифы'!BN9,0)</f>
        <v/>
      </c>
      <c r="BO4656">
        <f>IF('01_Вводные'!$B$234="Да",'19_Расчет_аналитики'!BO4654*'18_Календарь_тарифы'!BO9,0)</f>
        <v/>
      </c>
    </row>
    <row r="4657"/>
    <row r="4658">
      <c r="B4658">
        <f>'07_Мерч'!B9</f>
        <v/>
      </c>
      <c r="C4658">
        <f>IF('01_Вводные'!$B$234="Да",('19_Расчет_аналитики'!B4411*'01_Вводные'!$B$87*'01_Вводные'!$B$14^1)*'19_Расчет_аналитики'!$B$4106*'19_Расчет_аналитики'!$B$4134,0)</f>
        <v/>
      </c>
      <c r="D4658">
        <f>IF('01_Вводные'!$B$234="Да",('19_Расчет_аналитики'!C4411*'01_Вводные'!$B$87*'01_Вводные'!$B$14^1+'19_Расчет_аналитики'!B4411*'01_Вводные'!$B$88*'01_Вводные'!$B$14^2)*'19_Расчет_аналитики'!$B$4106*'19_Расчет_аналитики'!$B$4134,0)</f>
        <v/>
      </c>
      <c r="E4658">
        <f>IF('01_Вводные'!$B$234="Да",('19_Расчет_аналитики'!D4411*'01_Вводные'!$B$87*'01_Вводные'!$B$14^1+'19_Расчет_аналитики'!C4411*'01_Вводные'!$B$88*'01_Вводные'!$B$14^2+'19_Расчет_аналитики'!B4411*'01_Вводные'!$B$89*'01_Вводные'!$B$14^3)*'19_Расчет_аналитики'!$B$4106*'19_Расчет_аналитики'!$B$4134,0)</f>
        <v/>
      </c>
      <c r="F4658">
        <f>IF('01_Вводные'!$B$234="Да",('19_Расчет_аналитики'!E4411*'01_Вводные'!$B$87*'01_Вводные'!$B$14^1+'19_Расчет_аналитики'!D4411*'01_Вводные'!$B$88*'01_Вводные'!$B$14^2+'19_Расчет_аналитики'!C4411*'01_Вводные'!$B$89*'01_Вводные'!$B$14^3)*'19_Расчет_аналитики'!$B$4106*'19_Расчет_аналитики'!$B$4134,0)</f>
        <v/>
      </c>
      <c r="G4658">
        <f>IF('01_Вводные'!$B$234="Да",('19_Расчет_аналитики'!F4411*'01_Вводные'!$B$87*'01_Вводные'!$B$14^1+'19_Расчет_аналитики'!E4411*'01_Вводные'!$B$88*'01_Вводные'!$B$14^2+'19_Расчет_аналитики'!D4411*'01_Вводные'!$B$89*'01_Вводные'!$B$14^3)*'19_Расчет_аналитики'!$B$4106*'19_Расчет_аналитики'!$B$4134,0)</f>
        <v/>
      </c>
      <c r="H4658">
        <f>IF('01_Вводные'!$B$234="Да",('19_Расчет_аналитики'!G4411*'01_Вводные'!$B$87*'01_Вводные'!$B$14^1+'19_Расчет_аналитики'!F4411*'01_Вводные'!$B$88*'01_Вводные'!$B$14^2+'19_Расчет_аналитики'!E4411*'01_Вводные'!$B$89*'01_Вводные'!$B$14^3)*'19_Расчет_аналитики'!$B$4106*'19_Расчет_аналитики'!$B$4134,0)</f>
        <v/>
      </c>
      <c r="I4658">
        <f>IF('01_Вводные'!$B$234="Да",('19_Расчет_аналитики'!H4411*'01_Вводные'!$B$87*'01_Вводные'!$B$14^1+'19_Расчет_аналитики'!G4411*'01_Вводные'!$B$88*'01_Вводные'!$B$14^2+'19_Расчет_аналитики'!F4411*'01_Вводные'!$B$89*'01_Вводные'!$B$14^3)*'19_Расчет_аналитики'!$B$4106*'19_Расчет_аналитики'!$B$4134,0)</f>
        <v/>
      </c>
      <c r="J4658">
        <f>IF('01_Вводные'!$B$234="Да",('19_Расчет_аналитики'!I4411*'01_Вводные'!$B$87*'01_Вводные'!$B$14^1+'19_Расчет_аналитики'!H4411*'01_Вводные'!$B$88*'01_Вводные'!$B$14^2+'19_Расчет_аналитики'!G4411*'01_Вводные'!$B$89*'01_Вводные'!$B$14^3)*'19_Расчет_аналитики'!$B$4106*'19_Расчет_аналитики'!$B$4134,0)</f>
        <v/>
      </c>
      <c r="K4658">
        <f>IF('01_Вводные'!$B$234="Да",('19_Расчет_аналитики'!J4411*'01_Вводные'!$B$87*'01_Вводные'!$B$14^1+'19_Расчет_аналитики'!I4411*'01_Вводные'!$B$88*'01_Вводные'!$B$14^2+'19_Расчет_аналитики'!H4411*'01_Вводные'!$B$89*'01_Вводные'!$B$14^3)*'19_Расчет_аналитики'!$B$4106*'19_Расчет_аналитики'!$B$4134,0)</f>
        <v/>
      </c>
      <c r="L4658">
        <f>IF('01_Вводные'!$B$234="Да",('19_Расчет_аналитики'!K4411*'01_Вводные'!$B$87*'01_Вводные'!$B$14^1+'19_Расчет_аналитики'!J4411*'01_Вводные'!$B$88*'01_Вводные'!$B$14^2+'19_Расчет_аналитики'!I4411*'01_Вводные'!$B$89*'01_Вводные'!$B$14^3)*'19_Расчет_аналитики'!$B$4106*'19_Расчет_аналитики'!$B$4134,0)</f>
        <v/>
      </c>
      <c r="M4658">
        <f>IF('01_Вводные'!$B$234="Да",('19_Расчет_аналитики'!L4411*'01_Вводные'!$B$87*'01_Вводные'!$B$14^1+'19_Расчет_аналитики'!K4411*'01_Вводные'!$B$88*'01_Вводные'!$B$14^2+'19_Расчет_аналитики'!J4411*'01_Вводные'!$B$89*'01_Вводные'!$B$14^3)*'19_Расчет_аналитики'!$B$4106*'19_Расчет_аналитики'!$B$4134,0)</f>
        <v/>
      </c>
      <c r="N4658">
        <f>IF('01_Вводные'!$B$234="Да",('19_Расчет_аналитики'!M4411*'01_Вводные'!$B$87*'01_Вводные'!$B$14^1+'19_Расчет_аналитики'!L4411*'01_Вводные'!$B$88*'01_Вводные'!$B$14^2+'19_Расчет_аналитики'!K4411*'01_Вводные'!$B$89*'01_Вводные'!$B$14^3)*'19_Расчет_аналитики'!$B$4106*'19_Расчет_аналитики'!$B$4134,0)</f>
        <v/>
      </c>
      <c r="O4658">
        <f>IF('01_Вводные'!$B$234="Да",('19_Расчет_аналитики'!N4411*'01_Вводные'!$B$87*'01_Вводные'!$B$14^1+'19_Расчет_аналитики'!M4411*'01_Вводные'!$B$88*'01_Вводные'!$B$14^2+'19_Расчет_аналитики'!L4411*'01_Вводные'!$B$89*'01_Вводные'!$B$14^3)*'19_Расчет_аналитики'!$B$4106*'19_Расчет_аналитики'!$B$4134,0)</f>
        <v/>
      </c>
      <c r="P4658">
        <f>IF('01_Вводные'!$B$234="Да",('19_Расчет_аналитики'!O4411*'01_Вводные'!$B$87*'01_Вводные'!$B$14^1+'19_Расчет_аналитики'!N4411*'01_Вводные'!$B$88*'01_Вводные'!$B$14^2+'19_Расчет_аналитики'!M4411*'01_Вводные'!$B$89*'01_Вводные'!$B$14^3)*'19_Расчет_аналитики'!$B$4106*'19_Расчет_аналитики'!$B$4134,0)</f>
        <v/>
      </c>
      <c r="Q4658">
        <f>IF('01_Вводные'!$B$234="Да",('19_Расчет_аналитики'!P4411*'01_Вводные'!$B$87*'01_Вводные'!$B$14^1+'19_Расчет_аналитики'!O4411*'01_Вводные'!$B$88*'01_Вводные'!$B$14^2+'19_Расчет_аналитики'!N4411*'01_Вводные'!$B$89*'01_Вводные'!$B$14^3)*'19_Расчет_аналитики'!$B$4106*'19_Расчет_аналитики'!$B$4134,0)</f>
        <v/>
      </c>
      <c r="R4658">
        <f>IF('01_Вводные'!$B$234="Да",('19_Расчет_аналитики'!Q4411*'01_Вводные'!$B$87*'01_Вводные'!$B$14^1+'19_Расчет_аналитики'!P4411*'01_Вводные'!$B$88*'01_Вводные'!$B$14^2+'19_Расчет_аналитики'!O4411*'01_Вводные'!$B$89*'01_Вводные'!$B$14^3)*'19_Расчет_аналитики'!$B$4106*'19_Расчет_аналитики'!$B$4134,0)</f>
        <v/>
      </c>
      <c r="S4658">
        <f>IF('01_Вводные'!$B$234="Да",('19_Расчет_аналитики'!R4411*'01_Вводные'!$B$87*'01_Вводные'!$B$14^1+'19_Расчет_аналитики'!Q4411*'01_Вводные'!$B$88*'01_Вводные'!$B$14^2+'19_Расчет_аналитики'!P4411*'01_Вводные'!$B$89*'01_Вводные'!$B$14^3)*'19_Расчет_аналитики'!$B$4106*'19_Расчет_аналитики'!$B$4134,0)</f>
        <v/>
      </c>
      <c r="T4658">
        <f>IF('01_Вводные'!$B$234="Да",('19_Расчет_аналитики'!S4411*'01_Вводные'!$B$87*'01_Вводные'!$B$14^1+'19_Расчет_аналитики'!R4411*'01_Вводные'!$B$88*'01_Вводные'!$B$14^2+'19_Расчет_аналитики'!Q4411*'01_Вводные'!$B$89*'01_Вводные'!$B$14^3)*'19_Расчет_аналитики'!$B$4106*'19_Расчет_аналитики'!$B$4134,0)</f>
        <v/>
      </c>
      <c r="U4658">
        <f>IF('01_Вводные'!$B$234="Да",('19_Расчет_аналитики'!T4411*'01_Вводные'!$B$87*'01_Вводные'!$B$14^1+'19_Расчет_аналитики'!S4411*'01_Вводные'!$B$88*'01_Вводные'!$B$14^2+'19_Расчет_аналитики'!R4411*'01_Вводные'!$B$89*'01_Вводные'!$B$14^3)*'19_Расчет_аналитики'!$B$4106*'19_Расчет_аналитики'!$B$4134,0)</f>
        <v/>
      </c>
      <c r="V4658">
        <f>IF('01_Вводные'!$B$234="Да",('19_Расчет_аналитики'!U4411*'01_Вводные'!$B$87*'01_Вводные'!$B$14^1+'19_Расчет_аналитики'!T4411*'01_Вводные'!$B$88*'01_Вводные'!$B$14^2+'19_Расчет_аналитики'!S4411*'01_Вводные'!$B$89*'01_Вводные'!$B$14^3)*'19_Расчет_аналитики'!$B$4106*'19_Расчет_аналитики'!$B$4134,0)</f>
        <v/>
      </c>
      <c r="W4658">
        <f>IF('01_Вводные'!$B$234="Да",('19_Расчет_аналитики'!V4411*'01_Вводные'!$B$87*'01_Вводные'!$B$14^1+'19_Расчет_аналитики'!U4411*'01_Вводные'!$B$88*'01_Вводные'!$B$14^2+'19_Расчет_аналитики'!T4411*'01_Вводные'!$B$89*'01_Вводные'!$B$14^3)*'19_Расчет_аналитики'!$B$4106*'19_Расчет_аналитики'!$B$4134,0)</f>
        <v/>
      </c>
      <c r="X4658">
        <f>IF('01_Вводные'!$B$234="Да",('19_Расчет_аналитики'!W4411*'01_Вводные'!$B$87*'01_Вводные'!$B$14^1+'19_Расчет_аналитики'!V4411*'01_Вводные'!$B$88*'01_Вводные'!$B$14^2+'19_Расчет_аналитики'!U4411*'01_Вводные'!$B$89*'01_Вводные'!$B$14^3)*'19_Расчет_аналитики'!$B$4106*'19_Расчет_аналитики'!$B$4134,0)</f>
        <v/>
      </c>
      <c r="Y4658">
        <f>IF('01_Вводные'!$B$234="Да",('19_Расчет_аналитики'!X4411*'01_Вводные'!$B$87*'01_Вводные'!$B$14^1+'19_Расчет_аналитики'!W4411*'01_Вводные'!$B$88*'01_Вводные'!$B$14^2+'19_Расчет_аналитики'!V4411*'01_Вводные'!$B$89*'01_Вводные'!$B$14^3)*'19_Расчет_аналитики'!$B$4106*'19_Расчет_аналитики'!$B$4134,0)</f>
        <v/>
      </c>
      <c r="Z4658">
        <f>IF('01_Вводные'!$B$234="Да",('19_Расчет_аналитики'!Y4411*'01_Вводные'!$B$87*'01_Вводные'!$B$14^1+'19_Расчет_аналитики'!X4411*'01_Вводные'!$B$88*'01_Вводные'!$B$14^2+'19_Расчет_аналитики'!W4411*'01_Вводные'!$B$89*'01_Вводные'!$B$14^3)*'19_Расчет_аналитики'!$B$4106*'19_Расчет_аналитики'!$B$4134,0)</f>
        <v/>
      </c>
      <c r="AA4658">
        <f>IF('01_Вводные'!$B$234="Да",('19_Расчет_аналитики'!Z4411*'01_Вводные'!$B$87*'01_Вводные'!$B$14^1+'19_Расчет_аналитики'!Y4411*'01_Вводные'!$B$88*'01_Вводные'!$B$14^2+'19_Расчет_аналитики'!X4411*'01_Вводные'!$B$89*'01_Вводные'!$B$14^3)*'19_Расчет_аналитики'!$B$4106*'19_Расчет_аналитики'!$B$4134,0)</f>
        <v/>
      </c>
      <c r="AB4658">
        <f>IF('01_Вводные'!$B$234="Да",('19_Расчет_аналитики'!AA4411*'01_Вводные'!$B$87*'01_Вводные'!$B$14^1+'19_Расчет_аналитики'!Z4411*'01_Вводные'!$B$88*'01_Вводные'!$B$14^2+'19_Расчет_аналитики'!Y4411*'01_Вводные'!$B$89*'01_Вводные'!$B$14^3)*'19_Расчет_аналитики'!$B$4106*'19_Расчет_аналитики'!$B$4134,0)</f>
        <v/>
      </c>
      <c r="AC4658">
        <f>IF('01_Вводные'!$B$234="Да",('19_Расчет_аналитики'!AB4411*'01_Вводные'!$B$87*'01_Вводные'!$B$14^1+'19_Расчет_аналитики'!AA4411*'01_Вводные'!$B$88*'01_Вводные'!$B$14^2+'19_Расчет_аналитики'!Z4411*'01_Вводные'!$B$89*'01_Вводные'!$B$14^3)*'19_Расчет_аналитики'!$B$4106*'19_Расчет_аналитики'!$B$4134,0)</f>
        <v/>
      </c>
      <c r="AD4658">
        <f>IF('01_Вводные'!$B$234="Да",('19_Расчет_аналитики'!AC4411*'01_Вводные'!$B$87*'01_Вводные'!$B$14^1+'19_Расчет_аналитики'!AB4411*'01_Вводные'!$B$88*'01_Вводные'!$B$14^2+'19_Расчет_аналитики'!AA4411*'01_Вводные'!$B$89*'01_Вводные'!$B$14^3)*'19_Расчет_аналитики'!$B$4106*'19_Расчет_аналитики'!$B$4134,0)</f>
        <v/>
      </c>
      <c r="AE4658">
        <f>IF('01_Вводные'!$B$234="Да",('19_Расчет_аналитики'!AD4411*'01_Вводные'!$B$87*'01_Вводные'!$B$14^1+'19_Расчет_аналитики'!AC4411*'01_Вводные'!$B$88*'01_Вводные'!$B$14^2+'19_Расчет_аналитики'!AB4411*'01_Вводные'!$B$89*'01_Вводные'!$B$14^3)*'19_Расчет_аналитики'!$B$4106*'19_Расчет_аналитики'!$B$4134,0)</f>
        <v/>
      </c>
      <c r="AF4658">
        <f>IF('01_Вводные'!$B$234="Да",('19_Расчет_аналитики'!AE4411*'01_Вводные'!$B$87*'01_Вводные'!$B$14^1+'19_Расчет_аналитики'!AD4411*'01_Вводные'!$B$88*'01_Вводные'!$B$14^2+'19_Расчет_аналитики'!AC4411*'01_Вводные'!$B$89*'01_Вводные'!$B$14^3)*'19_Расчет_аналитики'!$B$4106*'19_Расчет_аналитики'!$B$4134,0)</f>
        <v/>
      </c>
      <c r="AG4658">
        <f>IF('01_Вводные'!$B$234="Да",('19_Расчет_аналитики'!AF4411*'01_Вводные'!$B$87*'01_Вводные'!$B$14^1+'19_Расчет_аналитики'!AE4411*'01_Вводные'!$B$88*'01_Вводные'!$B$14^2+'19_Расчет_аналитики'!AD4411*'01_Вводные'!$B$89*'01_Вводные'!$B$14^3)*'19_Расчет_аналитики'!$B$4106*'19_Расчет_аналитики'!$B$4134,0)</f>
        <v/>
      </c>
      <c r="AH4658">
        <f>IF('01_Вводные'!$B$234="Да",('19_Расчет_аналитики'!AG4411*'01_Вводные'!$B$87*'01_Вводные'!$B$14^1+'19_Расчет_аналитики'!AF4411*'01_Вводные'!$B$88*'01_Вводные'!$B$14^2+'19_Расчет_аналитики'!AE4411*'01_Вводные'!$B$89*'01_Вводные'!$B$14^3)*'19_Расчет_аналитики'!$B$4106*'19_Расчет_аналитики'!$B$4134,0)</f>
        <v/>
      </c>
      <c r="AI4658">
        <f>IF('01_Вводные'!$B$234="Да",('19_Расчет_аналитики'!AH4411*'01_Вводные'!$B$87*'01_Вводные'!$B$14^1+'19_Расчет_аналитики'!AG4411*'01_Вводные'!$B$88*'01_Вводные'!$B$14^2+'19_Расчет_аналитики'!AF4411*'01_Вводные'!$B$89*'01_Вводные'!$B$14^3)*'19_Расчет_аналитики'!$B$4106*'19_Расчет_аналитики'!$B$4134,0)</f>
        <v/>
      </c>
      <c r="AJ4658">
        <f>IF('01_Вводные'!$B$234="Да",('19_Расчет_аналитики'!AI4411*'01_Вводные'!$B$87*'01_Вводные'!$B$14^1+'19_Расчет_аналитики'!AH4411*'01_Вводные'!$B$88*'01_Вводные'!$B$14^2+'19_Расчет_аналитики'!AG4411*'01_Вводные'!$B$89*'01_Вводные'!$B$14^3)*'19_Расчет_аналитики'!$B$4106*'19_Расчет_аналитики'!$B$4134,0)</f>
        <v/>
      </c>
      <c r="AK4658">
        <f>IF('01_Вводные'!$B$234="Да",('19_Расчет_аналитики'!AJ4411*'01_Вводные'!$B$87*'01_Вводные'!$B$14^1+'19_Расчет_аналитики'!AI4411*'01_Вводные'!$B$88*'01_Вводные'!$B$14^2+'19_Расчет_аналитики'!AH4411*'01_Вводные'!$B$89*'01_Вводные'!$B$14^3)*'19_Расчет_аналитики'!$B$4106*'19_Расчет_аналитики'!$B$4134,0)</f>
        <v/>
      </c>
      <c r="AL4658">
        <f>IF('01_Вводные'!$B$234="Да",('19_Расчет_аналитики'!AK4411*'01_Вводные'!$B$87*'01_Вводные'!$B$14^1+'19_Расчет_аналитики'!AJ4411*'01_Вводные'!$B$88*'01_Вводные'!$B$14^2+'19_Расчет_аналитики'!AI4411*'01_Вводные'!$B$89*'01_Вводные'!$B$14^3)*'19_Расчет_аналитики'!$B$4106*'19_Расчет_аналитики'!$B$4134,0)</f>
        <v/>
      </c>
      <c r="AM4658">
        <f>IF('01_Вводные'!$B$234="Да",('19_Расчет_аналитики'!AL4411*'01_Вводные'!$B$87*'01_Вводные'!$B$14^1+'19_Расчет_аналитики'!AK4411*'01_Вводные'!$B$88*'01_Вводные'!$B$14^2+'19_Расчет_аналитики'!AJ4411*'01_Вводные'!$B$89*'01_Вводные'!$B$14^3)*'19_Расчет_аналитики'!$B$4106*'19_Расчет_аналитики'!$B$4134,0)</f>
        <v/>
      </c>
      <c r="AN4658">
        <f>IF('01_Вводные'!$B$234="Да",('19_Расчет_аналитики'!AM4411*'01_Вводные'!$B$87*'01_Вводные'!$B$14^1+'19_Расчет_аналитики'!AL4411*'01_Вводные'!$B$88*'01_Вводные'!$B$14^2+'19_Расчет_аналитики'!AK4411*'01_Вводные'!$B$89*'01_Вводные'!$B$14^3)*'19_Расчет_аналитики'!$B$4106*'19_Расчет_аналитики'!$B$4134,0)</f>
        <v/>
      </c>
      <c r="AO4658">
        <f>IF('01_Вводные'!$B$234="Да",('19_Расчет_аналитики'!AN4411*'01_Вводные'!$B$87*'01_Вводные'!$B$14^1+'19_Расчет_аналитики'!AM4411*'01_Вводные'!$B$88*'01_Вводные'!$B$14^2+'19_Расчет_аналитики'!AL4411*'01_Вводные'!$B$89*'01_Вводные'!$B$14^3)*'19_Расчет_аналитики'!$B$4106*'19_Расчет_аналитики'!$B$4134,0)</f>
        <v/>
      </c>
      <c r="AP4658">
        <f>IF('01_Вводные'!$B$234="Да",('19_Расчет_аналитики'!AO4411*'01_Вводные'!$B$87*'01_Вводные'!$B$14^1+'19_Расчет_аналитики'!AN4411*'01_Вводные'!$B$88*'01_Вводные'!$B$14^2+'19_Расчет_аналитики'!AM4411*'01_Вводные'!$B$89*'01_Вводные'!$B$14^3)*'19_Расчет_аналитики'!$B$4106*'19_Расчет_аналитики'!$B$4134,0)</f>
        <v/>
      </c>
      <c r="AQ4658">
        <f>IF('01_Вводные'!$B$234="Да",('19_Расчет_аналитики'!AP4411*'01_Вводные'!$B$87*'01_Вводные'!$B$14^1+'19_Расчет_аналитики'!AO4411*'01_Вводные'!$B$88*'01_Вводные'!$B$14^2+'19_Расчет_аналитики'!AN4411*'01_Вводные'!$B$89*'01_Вводные'!$B$14^3)*'19_Расчет_аналитики'!$B$4106*'19_Расчет_аналитики'!$B$4134,0)</f>
        <v/>
      </c>
      <c r="AR4658">
        <f>IF('01_Вводные'!$B$234="Да",('19_Расчет_аналитики'!AQ4411*'01_Вводные'!$B$87*'01_Вводные'!$B$14^1+'19_Расчет_аналитики'!AP4411*'01_Вводные'!$B$88*'01_Вводные'!$B$14^2+'19_Расчет_аналитики'!AO4411*'01_Вводные'!$B$89*'01_Вводные'!$B$14^3)*'19_Расчет_аналитики'!$B$4106*'19_Расчет_аналитики'!$B$4134,0)</f>
        <v/>
      </c>
      <c r="AS4658">
        <f>IF('01_Вводные'!$B$234="Да",('19_Расчет_аналитики'!AR4411*'01_Вводные'!$B$87*'01_Вводные'!$B$14^1+'19_Расчет_аналитики'!AQ4411*'01_Вводные'!$B$88*'01_Вводные'!$B$14^2+'19_Расчет_аналитики'!AP4411*'01_Вводные'!$B$89*'01_Вводные'!$B$14^3)*'19_Расчет_аналитики'!$B$4106*'19_Расчет_аналитики'!$B$4134,0)</f>
        <v/>
      </c>
      <c r="AT4658">
        <f>IF('01_Вводные'!$B$234="Да",('19_Расчет_аналитики'!AS4411*'01_Вводные'!$B$87*'01_Вводные'!$B$14^1+'19_Расчет_аналитики'!AR4411*'01_Вводные'!$B$88*'01_Вводные'!$B$14^2+'19_Расчет_аналитики'!AQ4411*'01_Вводные'!$B$89*'01_Вводные'!$B$14^3)*'19_Расчет_аналитики'!$B$4106*'19_Расчет_аналитики'!$B$4134,0)</f>
        <v/>
      </c>
      <c r="AU4658">
        <f>IF('01_Вводные'!$B$234="Да",('19_Расчет_аналитики'!AT4411*'01_Вводные'!$B$87*'01_Вводные'!$B$14^1+'19_Расчет_аналитики'!AS4411*'01_Вводные'!$B$88*'01_Вводные'!$B$14^2+'19_Расчет_аналитики'!AR4411*'01_Вводные'!$B$89*'01_Вводные'!$B$14^3)*'19_Расчет_аналитики'!$B$4106*'19_Расчет_аналитики'!$B$4134,0)</f>
        <v/>
      </c>
      <c r="AV4658">
        <f>IF('01_Вводные'!$B$234="Да",('19_Расчет_аналитики'!AU4411*'01_Вводные'!$B$87*'01_Вводные'!$B$14^1+'19_Расчет_аналитики'!AT4411*'01_Вводные'!$B$88*'01_Вводные'!$B$14^2+'19_Расчет_аналитики'!AS4411*'01_Вводные'!$B$89*'01_Вводные'!$B$14^3)*'19_Расчет_аналитики'!$B$4106*'19_Расчет_аналитики'!$B$4134,0)</f>
        <v/>
      </c>
      <c r="AW4658">
        <f>IF('01_Вводные'!$B$234="Да",('19_Расчет_аналитики'!AV4411*'01_Вводные'!$B$87*'01_Вводные'!$B$14^1+'19_Расчет_аналитики'!AU4411*'01_Вводные'!$B$88*'01_Вводные'!$B$14^2+'19_Расчет_аналитики'!AT4411*'01_Вводные'!$B$89*'01_Вводные'!$B$14^3)*'19_Расчет_аналитики'!$B$4106*'19_Расчет_аналитики'!$B$4134,0)</f>
        <v/>
      </c>
      <c r="AX4658">
        <f>IF('01_Вводные'!$B$234="Да",('19_Расчет_аналитики'!AW4411*'01_Вводные'!$B$87*'01_Вводные'!$B$14^1+'19_Расчет_аналитики'!AV4411*'01_Вводные'!$B$88*'01_Вводные'!$B$14^2+'19_Расчет_аналитики'!AU4411*'01_Вводные'!$B$89*'01_Вводные'!$B$14^3)*'19_Расчет_аналитики'!$B$4106*'19_Расчет_аналитики'!$B$4134,0)</f>
        <v/>
      </c>
      <c r="AY4658">
        <f>IF('01_Вводные'!$B$234="Да",('19_Расчет_аналитики'!AX4411*'01_Вводные'!$B$87*'01_Вводные'!$B$14^1+'19_Расчет_аналитики'!AW4411*'01_Вводные'!$B$88*'01_Вводные'!$B$14^2+'19_Расчет_аналитики'!AV4411*'01_Вводные'!$B$89*'01_Вводные'!$B$14^3)*'19_Расчет_аналитики'!$B$4106*'19_Расчет_аналитики'!$B$4134,0)</f>
        <v/>
      </c>
      <c r="AZ4658">
        <f>IF('01_Вводные'!$B$234="Да",('19_Расчет_аналитики'!AY4411*'01_Вводные'!$B$87*'01_Вводные'!$B$14^1+'19_Расчет_аналитики'!AX4411*'01_Вводные'!$B$88*'01_Вводные'!$B$14^2+'19_Расчет_аналитики'!AW4411*'01_Вводные'!$B$89*'01_Вводные'!$B$14^3)*'19_Расчет_аналитики'!$B$4106*'19_Расчет_аналитики'!$B$4134,0)</f>
        <v/>
      </c>
      <c r="BA4658">
        <f>IF('01_Вводные'!$B$234="Да",('19_Расчет_аналитики'!AZ4411*'01_Вводные'!$B$87*'01_Вводные'!$B$14^1+'19_Расчет_аналитики'!AY4411*'01_Вводные'!$B$88*'01_Вводные'!$B$14^2+'19_Расчет_аналитики'!AX4411*'01_Вводные'!$B$89*'01_Вводные'!$B$14^3)*'19_Расчет_аналитики'!$B$4106*'19_Расчет_аналитики'!$B$4134,0)</f>
        <v/>
      </c>
      <c r="BB4658">
        <f>IF('01_Вводные'!$B$234="Да",('19_Расчет_аналитики'!BA4411*'01_Вводные'!$B$87*'01_Вводные'!$B$14^1+'19_Расчет_аналитики'!AZ4411*'01_Вводные'!$B$88*'01_Вводные'!$B$14^2+'19_Расчет_аналитики'!AY4411*'01_Вводные'!$B$89*'01_Вводные'!$B$14^3)*'19_Расчет_аналитики'!$B$4106*'19_Расчет_аналитики'!$B$4134,0)</f>
        <v/>
      </c>
      <c r="BC4658">
        <f>IF('01_Вводные'!$B$234="Да",('19_Расчет_аналитики'!BB4411*'01_Вводные'!$B$87*'01_Вводные'!$B$14^1+'19_Расчет_аналитики'!BA4411*'01_Вводные'!$B$88*'01_Вводные'!$B$14^2+'19_Расчет_аналитики'!AZ4411*'01_Вводные'!$B$89*'01_Вводные'!$B$14^3)*'19_Расчет_аналитики'!$B$4106*'19_Расчет_аналитики'!$B$4134,0)</f>
        <v/>
      </c>
      <c r="BD4658">
        <f>IF('01_Вводные'!$B$234="Да",('19_Расчет_аналитики'!BC4411*'01_Вводные'!$B$87*'01_Вводные'!$B$14^1+'19_Расчет_аналитики'!BB4411*'01_Вводные'!$B$88*'01_Вводные'!$B$14^2+'19_Расчет_аналитики'!BA4411*'01_Вводные'!$B$89*'01_Вводные'!$B$14^3)*'19_Расчет_аналитики'!$B$4106*'19_Расчет_аналитики'!$B$4134,0)</f>
        <v/>
      </c>
      <c r="BE4658">
        <f>IF('01_Вводные'!$B$234="Да",('19_Расчет_аналитики'!BD4411*'01_Вводные'!$B$87*'01_Вводные'!$B$14^1+'19_Расчет_аналитики'!BC4411*'01_Вводные'!$B$88*'01_Вводные'!$B$14^2+'19_Расчет_аналитики'!BB4411*'01_Вводные'!$B$89*'01_Вводные'!$B$14^3)*'19_Расчет_аналитики'!$B$4106*'19_Расчет_аналитики'!$B$4134,0)</f>
        <v/>
      </c>
      <c r="BF4658">
        <f>IF('01_Вводные'!$B$234="Да",('19_Расчет_аналитики'!BE4411*'01_Вводные'!$B$87*'01_Вводные'!$B$14^1+'19_Расчет_аналитики'!BD4411*'01_Вводные'!$B$88*'01_Вводные'!$B$14^2+'19_Расчет_аналитики'!BC4411*'01_Вводные'!$B$89*'01_Вводные'!$B$14^3)*'19_Расчет_аналитики'!$B$4106*'19_Расчет_аналитики'!$B$4134,0)</f>
        <v/>
      </c>
      <c r="BG4658">
        <f>IF('01_Вводные'!$B$234="Да",('19_Расчет_аналитики'!BF4411*'01_Вводные'!$B$87*'01_Вводные'!$B$14^1+'19_Расчет_аналитики'!BE4411*'01_Вводные'!$B$88*'01_Вводные'!$B$14^2+'19_Расчет_аналитики'!BD4411*'01_Вводные'!$B$89*'01_Вводные'!$B$14^3)*'19_Расчет_аналитики'!$B$4106*'19_Расчет_аналитики'!$B$4134,0)</f>
        <v/>
      </c>
      <c r="BH4658">
        <f>IF('01_Вводные'!$B$234="Да",('19_Расчет_аналитики'!BG4411*'01_Вводные'!$B$87*'01_Вводные'!$B$14^1+'19_Расчет_аналитики'!BF4411*'01_Вводные'!$B$88*'01_Вводные'!$B$14^2+'19_Расчет_аналитики'!BE4411*'01_Вводные'!$B$89*'01_Вводные'!$B$14^3)*'19_Расчет_аналитики'!$B$4106*'19_Расчет_аналитики'!$B$4134,0)</f>
        <v/>
      </c>
      <c r="BI4658">
        <f>IF('01_Вводные'!$B$234="Да",('19_Расчет_аналитики'!BH4411*'01_Вводные'!$B$87*'01_Вводные'!$B$14^1+'19_Расчет_аналитики'!BG4411*'01_Вводные'!$B$88*'01_Вводные'!$B$14^2+'19_Расчет_аналитики'!BF4411*'01_Вводные'!$B$89*'01_Вводные'!$B$14^3)*'19_Расчет_аналитики'!$B$4106*'19_Расчет_аналитики'!$B$4134,0)</f>
        <v/>
      </c>
      <c r="BJ4658">
        <f>IF('01_Вводные'!$B$234="Да",('19_Расчет_аналитики'!BI4411*'01_Вводные'!$B$87*'01_Вводные'!$B$14^1+'19_Расчет_аналитики'!BH4411*'01_Вводные'!$B$88*'01_Вводные'!$B$14^2+'19_Расчет_аналитики'!BG4411*'01_Вводные'!$B$89*'01_Вводные'!$B$14^3)*'19_Расчет_аналитики'!$B$4106*'19_Расчет_аналитики'!$B$4134,0)</f>
        <v/>
      </c>
      <c r="BK4658">
        <f>IF('01_Вводные'!$B$234="Да",('19_Расчет_аналитики'!BJ4411*'01_Вводные'!$B$87*'01_Вводные'!$B$14^1+'19_Расчет_аналитики'!BI4411*'01_Вводные'!$B$88*'01_Вводные'!$B$14^2+'19_Расчет_аналитики'!BH4411*'01_Вводные'!$B$89*'01_Вводные'!$B$14^3)*'19_Расчет_аналитики'!$B$4106*'19_Расчет_аналитики'!$B$4134,0)</f>
        <v/>
      </c>
      <c r="BL4658">
        <f>IF('01_Вводные'!$B$234="Да",('19_Расчет_аналитики'!BK4411*'01_Вводные'!$B$87*'01_Вводные'!$B$14^1+'19_Расчет_аналитики'!BJ4411*'01_Вводные'!$B$88*'01_Вводные'!$B$14^2+'19_Расчет_аналитики'!BI4411*'01_Вводные'!$B$89*'01_Вводные'!$B$14^3)*'19_Расчет_аналитики'!$B$4106*'19_Расчет_аналитики'!$B$4134,0)</f>
        <v/>
      </c>
      <c r="BM4658">
        <f>IF('01_Вводные'!$B$234="Да",('19_Расчет_аналитики'!BL4411*'01_Вводные'!$B$87*'01_Вводные'!$B$14^1+'19_Расчет_аналитики'!BK4411*'01_Вводные'!$B$88*'01_Вводные'!$B$14^2+'19_Расчет_аналитики'!BJ4411*'01_Вводные'!$B$89*'01_Вводные'!$B$14^3)*'19_Расчет_аналитики'!$B$4106*'19_Расчет_аналитики'!$B$4134,0)</f>
        <v/>
      </c>
      <c r="BN4658">
        <f>IF('01_Вводные'!$B$234="Да",('19_Расчет_аналитики'!BM4411*'01_Вводные'!$B$87*'01_Вводные'!$B$14^1+'19_Расчет_аналитики'!BL4411*'01_Вводные'!$B$88*'01_Вводные'!$B$14^2+'19_Расчет_аналитики'!BK4411*'01_Вводные'!$B$89*'01_Вводные'!$B$14^3)*'19_Расчет_аналитики'!$B$4106*'19_Расчет_аналитики'!$B$4134,0)</f>
        <v/>
      </c>
      <c r="BO4658">
        <f>IF('01_Вводные'!$B$234="Да",('19_Расчет_аналитики'!BN4411*'01_Вводные'!$B$87*'01_Вводные'!$B$14^1+'19_Расчет_аналитики'!BM4411*'01_Вводные'!$B$88*'01_Вводные'!$B$14^2+'19_Расчет_аналитики'!BL4411*'01_Вводные'!$B$89*'01_Вводные'!$B$14^3)*'19_Расчет_аналитики'!$B$4106*'19_Расчет_аналитики'!$B$4134,0)</f>
        <v/>
      </c>
    </row>
    <row r="4659">
      <c r="B4659">
        <f>IF('01_Вводные'!$B$234="Да",'19_Расчет_аналитики'!B4594*'19_Расчет_аналитики'!$B$4134*'07_Мерч'!B4,0)</f>
        <v/>
      </c>
      <c r="C4659">
        <f>IF('01_Вводные'!$B$234="Да",'19_Расчет_аналитики'!C4594*'19_Расчет_аналитики'!$B$4134*'07_Мерч'!C4,0)</f>
        <v/>
      </c>
      <c r="D4659">
        <f>IF('01_Вводные'!$B$234="Да",'19_Расчет_аналитики'!D4594*'19_Расчет_аналитики'!$B$4134*'07_Мерч'!D4,0)</f>
        <v/>
      </c>
      <c r="E4659">
        <f>IF('01_Вводные'!$B$234="Да",'19_Расчет_аналитики'!E4594*'19_Расчет_аналитики'!$B$4134*'07_Мерч'!E4,0)</f>
        <v/>
      </c>
      <c r="F4659">
        <f>IF('01_Вводные'!$B$234="Да",'19_Расчет_аналитики'!F4594*'19_Расчет_аналитики'!$B$4134*'07_Мерч'!F4,0)</f>
        <v/>
      </c>
      <c r="G4659">
        <f>IF('01_Вводные'!$B$234="Да",'19_Расчет_аналитики'!G4594*'19_Расчет_аналитики'!$B$4134*'07_Мерч'!G4,0)</f>
        <v/>
      </c>
      <c r="H4659">
        <f>IF('01_Вводные'!$B$234="Да",'19_Расчет_аналитики'!H4594*'19_Расчет_аналитики'!$B$4134*'07_Мерч'!H4,0)</f>
        <v/>
      </c>
      <c r="I4659">
        <f>IF('01_Вводные'!$B$234="Да",'19_Расчет_аналитики'!I4594*'19_Расчет_аналитики'!$B$4134*'07_Мерч'!I4,0)</f>
        <v/>
      </c>
      <c r="J4659">
        <f>IF('01_Вводные'!$B$234="Да",'19_Расчет_аналитики'!J4594*'19_Расчет_аналитики'!$B$4134*'07_Мерч'!J4,0)</f>
        <v/>
      </c>
      <c r="K4659">
        <f>IF('01_Вводные'!$B$234="Да",'19_Расчет_аналитики'!K4594*'19_Расчет_аналитики'!$B$4134*'07_Мерч'!K4,0)</f>
        <v/>
      </c>
      <c r="L4659">
        <f>IF('01_Вводные'!$B$234="Да",'19_Расчет_аналитики'!L4594*'19_Расчет_аналитики'!$B$4134*'07_Мерч'!L4,0)</f>
        <v/>
      </c>
      <c r="M4659">
        <f>IF('01_Вводные'!$B$234="Да",'19_Расчет_аналитики'!M4594*'19_Расчет_аналитики'!$B$4134*'07_Мерч'!M4,0)</f>
        <v/>
      </c>
      <c r="N4659">
        <f>IF('01_Вводные'!$B$234="Да",'19_Расчет_аналитики'!N4594*'19_Расчет_аналитики'!$B$4134*'07_Мерч'!N4,0)</f>
        <v/>
      </c>
      <c r="O4659">
        <f>IF('01_Вводные'!$B$234="Да",'19_Расчет_аналитики'!O4594*'19_Расчет_аналитики'!$B$4134*'07_Мерч'!O4,0)</f>
        <v/>
      </c>
      <c r="P4659">
        <f>IF('01_Вводные'!$B$234="Да",'19_Расчет_аналитики'!P4594*'19_Расчет_аналитики'!$B$4134*'07_Мерч'!P4,0)</f>
        <v/>
      </c>
      <c r="Q4659">
        <f>IF('01_Вводные'!$B$234="Да",'19_Расчет_аналитики'!Q4594*'19_Расчет_аналитики'!$B$4134*'07_Мерч'!Q4,0)</f>
        <v/>
      </c>
      <c r="R4659">
        <f>IF('01_Вводные'!$B$234="Да",'19_Расчет_аналитики'!R4594*'19_Расчет_аналитики'!$B$4134*'07_Мерч'!R4,0)</f>
        <v/>
      </c>
      <c r="S4659">
        <f>IF('01_Вводные'!$B$234="Да",'19_Расчет_аналитики'!S4594*'19_Расчет_аналитики'!$B$4134*'07_Мерч'!S4,0)</f>
        <v/>
      </c>
      <c r="T4659">
        <f>IF('01_Вводные'!$B$234="Да",'19_Расчет_аналитики'!T4594*'19_Расчет_аналитики'!$B$4134*'07_Мерч'!T4,0)</f>
        <v/>
      </c>
      <c r="U4659">
        <f>IF('01_Вводные'!$B$234="Да",'19_Расчет_аналитики'!U4594*'19_Расчет_аналитики'!$B$4134*'07_Мерч'!U4,0)</f>
        <v/>
      </c>
      <c r="V4659">
        <f>IF('01_Вводные'!$B$234="Да",'19_Расчет_аналитики'!V4594*'19_Расчет_аналитики'!$B$4134*'07_Мерч'!V4,0)</f>
        <v/>
      </c>
      <c r="W4659">
        <f>IF('01_Вводные'!$B$234="Да",'19_Расчет_аналитики'!W4594*'19_Расчет_аналитики'!$B$4134*'07_Мерч'!W4,0)</f>
        <v/>
      </c>
      <c r="X4659">
        <f>IF('01_Вводные'!$B$234="Да",'19_Расчет_аналитики'!X4594*'19_Расчет_аналитики'!$B$4134*'07_Мерч'!X4,0)</f>
        <v/>
      </c>
      <c r="Y4659">
        <f>IF('01_Вводные'!$B$234="Да",'19_Расчет_аналитики'!Y4594*'19_Расчет_аналитики'!$B$4134*'07_Мерч'!Y4,0)</f>
        <v/>
      </c>
      <c r="Z4659">
        <f>IF('01_Вводные'!$B$234="Да",'19_Расчет_аналитики'!Z4594*'19_Расчет_аналитики'!$B$4134*'07_Мерч'!Z4,0)</f>
        <v/>
      </c>
      <c r="AA4659">
        <f>IF('01_Вводные'!$B$234="Да",'19_Расчет_аналитики'!AA4594*'19_Расчет_аналитики'!$B$4134*'07_Мерч'!AA4,0)</f>
        <v/>
      </c>
      <c r="AB4659">
        <f>IF('01_Вводные'!$B$234="Да",'19_Расчет_аналитики'!AB4594*'19_Расчет_аналитики'!$B$4134*'07_Мерч'!AB4,0)</f>
        <v/>
      </c>
      <c r="AC4659">
        <f>IF('01_Вводные'!$B$234="Да",'19_Расчет_аналитики'!AC4594*'19_Расчет_аналитики'!$B$4134*'07_Мерч'!AC4,0)</f>
        <v/>
      </c>
      <c r="AD4659">
        <f>IF('01_Вводные'!$B$234="Да",'19_Расчет_аналитики'!AD4594*'19_Расчет_аналитики'!$B$4134*'07_Мерч'!AD4,0)</f>
        <v/>
      </c>
      <c r="AE4659">
        <f>IF('01_Вводные'!$B$234="Да",'19_Расчет_аналитики'!AE4594*'19_Расчет_аналитики'!$B$4134*'07_Мерч'!AE4,0)</f>
        <v/>
      </c>
      <c r="AF4659">
        <f>IF('01_Вводные'!$B$234="Да",'19_Расчет_аналитики'!AF4594*'19_Расчет_аналитики'!$B$4134*'07_Мерч'!AF4,0)</f>
        <v/>
      </c>
      <c r="AG4659">
        <f>IF('01_Вводные'!$B$234="Да",'19_Расчет_аналитики'!AG4594*'19_Расчет_аналитики'!$B$4134*'07_Мерч'!AG4,0)</f>
        <v/>
      </c>
      <c r="AH4659">
        <f>IF('01_Вводные'!$B$234="Да",'19_Расчет_аналитики'!AH4594*'19_Расчет_аналитики'!$B$4134*'07_Мерч'!AH4,0)</f>
        <v/>
      </c>
      <c r="AI4659">
        <f>IF('01_Вводные'!$B$234="Да",'19_Расчет_аналитики'!AI4594*'19_Расчет_аналитики'!$B$4134*'07_Мерч'!AI4,0)</f>
        <v/>
      </c>
      <c r="AJ4659">
        <f>IF('01_Вводные'!$B$234="Да",'19_Расчет_аналитики'!AJ4594*'19_Расчет_аналитики'!$B$4134*'07_Мерч'!AJ4,0)</f>
        <v/>
      </c>
      <c r="AK4659">
        <f>IF('01_Вводные'!$B$234="Да",'19_Расчет_аналитики'!AK4594*'19_Расчет_аналитики'!$B$4134*'07_Мерч'!AK4,0)</f>
        <v/>
      </c>
      <c r="AL4659">
        <f>IF('01_Вводные'!$B$234="Да",'19_Расчет_аналитики'!AL4594*'19_Расчет_аналитики'!$B$4134*'07_Мерч'!AL4,0)</f>
        <v/>
      </c>
      <c r="AM4659">
        <f>IF('01_Вводные'!$B$234="Да",'19_Расчет_аналитики'!AM4594*'19_Расчет_аналитики'!$B$4134*'07_Мерч'!AM4,0)</f>
        <v/>
      </c>
      <c r="AN4659">
        <f>IF('01_Вводные'!$B$234="Да",'19_Расчет_аналитики'!AN4594*'19_Расчет_аналитики'!$B$4134*'07_Мерч'!AN4,0)</f>
        <v/>
      </c>
      <c r="AO4659">
        <f>IF('01_Вводные'!$B$234="Да",'19_Расчет_аналитики'!AO4594*'19_Расчет_аналитики'!$B$4134*'07_Мерч'!AO4,0)</f>
        <v/>
      </c>
      <c r="AP4659">
        <f>IF('01_Вводные'!$B$234="Да",'19_Расчет_аналитики'!AP4594*'19_Расчет_аналитики'!$B$4134*'07_Мерч'!AP4,0)</f>
        <v/>
      </c>
      <c r="AQ4659">
        <f>IF('01_Вводные'!$B$234="Да",'19_Расчет_аналитики'!AQ4594*'19_Расчет_аналитики'!$B$4134*'07_Мерч'!AQ4,0)</f>
        <v/>
      </c>
      <c r="AR4659">
        <f>IF('01_Вводные'!$B$234="Да",'19_Расчет_аналитики'!AR4594*'19_Расчет_аналитики'!$B$4134*'07_Мерч'!AR4,0)</f>
        <v/>
      </c>
      <c r="AS4659">
        <f>IF('01_Вводные'!$B$234="Да",'19_Расчет_аналитики'!AS4594*'19_Расчет_аналитики'!$B$4134*'07_Мерч'!AS4,0)</f>
        <v/>
      </c>
      <c r="AT4659">
        <f>IF('01_Вводные'!$B$234="Да",'19_Расчет_аналитики'!AT4594*'19_Расчет_аналитики'!$B$4134*'07_Мерч'!AT4,0)</f>
        <v/>
      </c>
      <c r="AU4659">
        <f>IF('01_Вводные'!$B$234="Да",'19_Расчет_аналитики'!AU4594*'19_Расчет_аналитики'!$B$4134*'07_Мерч'!AU4,0)</f>
        <v/>
      </c>
      <c r="AV4659">
        <f>IF('01_Вводные'!$B$234="Да",'19_Расчет_аналитики'!AV4594*'19_Расчет_аналитики'!$B$4134*'07_Мерч'!AV4,0)</f>
        <v/>
      </c>
      <c r="AW4659">
        <f>IF('01_Вводные'!$B$234="Да",'19_Расчет_аналитики'!AW4594*'19_Расчет_аналитики'!$B$4134*'07_Мерч'!AW4,0)</f>
        <v/>
      </c>
      <c r="AX4659">
        <f>IF('01_Вводные'!$B$234="Да",'19_Расчет_аналитики'!AX4594*'19_Расчет_аналитики'!$B$4134*'07_Мерч'!AX4,0)</f>
        <v/>
      </c>
      <c r="AY4659">
        <f>IF('01_Вводные'!$B$234="Да",'19_Расчет_аналитики'!AY4594*'19_Расчет_аналитики'!$B$4134*'07_Мерч'!AY4,0)</f>
        <v/>
      </c>
      <c r="AZ4659">
        <f>IF('01_Вводные'!$B$234="Да",'19_Расчет_аналитики'!AZ4594*'19_Расчет_аналитики'!$B$4134*'07_Мерч'!AZ4,0)</f>
        <v/>
      </c>
      <c r="BA4659">
        <f>IF('01_Вводные'!$B$234="Да",'19_Расчет_аналитики'!BA4594*'19_Расчет_аналитики'!$B$4134*'07_Мерч'!BA4,0)</f>
        <v/>
      </c>
      <c r="BB4659">
        <f>IF('01_Вводные'!$B$234="Да",'19_Расчет_аналитики'!BB4594*'19_Расчет_аналитики'!$B$4134*'07_Мерч'!BB4,0)</f>
        <v/>
      </c>
      <c r="BC4659">
        <f>IF('01_Вводные'!$B$234="Да",'19_Расчет_аналитики'!BC4594*'19_Расчет_аналитики'!$B$4134*'07_Мерч'!BC4,0)</f>
        <v/>
      </c>
      <c r="BD4659">
        <f>IF('01_Вводные'!$B$234="Да",'19_Расчет_аналитики'!BD4594*'19_Расчет_аналитики'!$B$4134*'07_Мерч'!BD4,0)</f>
        <v/>
      </c>
      <c r="BE4659">
        <f>IF('01_Вводные'!$B$234="Да",'19_Расчет_аналитики'!BE4594*'19_Расчет_аналитики'!$B$4134*'07_Мерч'!BE4,0)</f>
        <v/>
      </c>
      <c r="BF4659">
        <f>IF('01_Вводные'!$B$234="Да",'19_Расчет_аналитики'!BF4594*'19_Расчет_аналитики'!$B$4134*'07_Мерч'!BF4,0)</f>
        <v/>
      </c>
      <c r="BG4659">
        <f>IF('01_Вводные'!$B$234="Да",'19_Расчет_аналитики'!BG4594*'19_Расчет_аналитики'!$B$4134*'07_Мерч'!BG4,0)</f>
        <v/>
      </c>
      <c r="BH4659">
        <f>IF('01_Вводные'!$B$234="Да",'19_Расчет_аналитики'!BH4594*'19_Расчет_аналитики'!$B$4134*'07_Мерч'!BH4,0)</f>
        <v/>
      </c>
      <c r="BI4659">
        <f>IF('01_Вводные'!$B$234="Да",'19_Расчет_аналитики'!BI4594*'19_Расчет_аналитики'!$B$4134*'07_Мерч'!BI4,0)</f>
        <v/>
      </c>
      <c r="BJ4659">
        <f>IF('01_Вводные'!$B$234="Да",'19_Расчет_аналитики'!BJ4594*'19_Расчет_аналитики'!$B$4134*'07_Мерч'!BJ4,0)</f>
        <v/>
      </c>
      <c r="BK4659">
        <f>IF('01_Вводные'!$B$234="Да",'19_Расчет_аналитики'!BK4594*'19_Расчет_аналитики'!$B$4134*'07_Мерч'!BK4,0)</f>
        <v/>
      </c>
      <c r="BL4659">
        <f>IF('01_Вводные'!$B$234="Да",'19_Расчет_аналитики'!BL4594*'19_Расчет_аналитики'!$B$4134*'07_Мерч'!BL4,0)</f>
        <v/>
      </c>
      <c r="BM4659">
        <f>IF('01_Вводные'!$B$234="Да",'19_Расчет_аналитики'!BM4594*'19_Расчет_аналитики'!$B$4134*'07_Мерч'!BM4,0)</f>
        <v/>
      </c>
      <c r="BN4659">
        <f>IF('01_Вводные'!$B$234="Да",'19_Расчет_аналитики'!BN4594*'19_Расчет_аналитики'!$B$4134*'07_Мерч'!BN4,0)</f>
        <v/>
      </c>
      <c r="BO4659">
        <f>IF('01_Вводные'!$B$234="Да",'19_Расчет_аналитики'!BO4594*'19_Расчет_аналитики'!$B$4134*'07_Мерч'!BO4,0)</f>
        <v/>
      </c>
    </row>
    <row r="4660">
      <c r="B4660">
        <f>IF('01_Вводные'!$B$234="Да",SUM('19_Расчет_аналитики'!B4658:B4659)*'18_Календарь_тарифы'!B10,0)</f>
        <v/>
      </c>
      <c r="C4660">
        <f>IF('01_Вводные'!$B$234="Да",SUM('19_Расчет_аналитики'!C4658:C4659)*'18_Календарь_тарифы'!C10,0)</f>
        <v/>
      </c>
      <c r="D4660">
        <f>IF('01_Вводные'!$B$234="Да",SUM('19_Расчет_аналитики'!D4658:D4659)*'18_Календарь_тарифы'!D10,0)</f>
        <v/>
      </c>
      <c r="E4660">
        <f>IF('01_Вводные'!$B$234="Да",SUM('19_Расчет_аналитики'!E4658:E4659)*'18_Календарь_тарифы'!E10,0)</f>
        <v/>
      </c>
      <c r="F4660">
        <f>IF('01_Вводные'!$B$234="Да",SUM('19_Расчет_аналитики'!F4658:F4659)*'18_Календарь_тарифы'!F10,0)</f>
        <v/>
      </c>
      <c r="G4660">
        <f>IF('01_Вводные'!$B$234="Да",SUM('19_Расчет_аналитики'!G4658:G4659)*'18_Календарь_тарифы'!G10,0)</f>
        <v/>
      </c>
      <c r="H4660">
        <f>IF('01_Вводные'!$B$234="Да",SUM('19_Расчет_аналитики'!H4658:H4659)*'18_Календарь_тарифы'!H10,0)</f>
        <v/>
      </c>
      <c r="I4660">
        <f>IF('01_Вводные'!$B$234="Да",SUM('19_Расчет_аналитики'!I4658:I4659)*'18_Календарь_тарифы'!I10,0)</f>
        <v/>
      </c>
      <c r="J4660">
        <f>IF('01_Вводные'!$B$234="Да",SUM('19_Расчет_аналитики'!J4658:J4659)*'18_Календарь_тарифы'!J10,0)</f>
        <v/>
      </c>
      <c r="K4660">
        <f>IF('01_Вводные'!$B$234="Да",SUM('19_Расчет_аналитики'!K4658:K4659)*'18_Календарь_тарифы'!K10,0)</f>
        <v/>
      </c>
      <c r="L4660">
        <f>IF('01_Вводные'!$B$234="Да",SUM('19_Расчет_аналитики'!L4658:L4659)*'18_Календарь_тарифы'!L10,0)</f>
        <v/>
      </c>
      <c r="M4660">
        <f>IF('01_Вводные'!$B$234="Да",SUM('19_Расчет_аналитики'!M4658:M4659)*'18_Календарь_тарифы'!M10,0)</f>
        <v/>
      </c>
      <c r="N4660">
        <f>IF('01_Вводные'!$B$234="Да",SUM('19_Расчет_аналитики'!N4658:N4659)*'18_Календарь_тарифы'!N10,0)</f>
        <v/>
      </c>
      <c r="O4660">
        <f>IF('01_Вводные'!$B$234="Да",SUM('19_Расчет_аналитики'!O4658:O4659)*'18_Календарь_тарифы'!O10,0)</f>
        <v/>
      </c>
      <c r="P4660">
        <f>IF('01_Вводные'!$B$234="Да",SUM('19_Расчет_аналитики'!P4658:P4659)*'18_Календарь_тарифы'!P10,0)</f>
        <v/>
      </c>
      <c r="Q4660">
        <f>IF('01_Вводные'!$B$234="Да",SUM('19_Расчет_аналитики'!Q4658:Q4659)*'18_Календарь_тарифы'!Q10,0)</f>
        <v/>
      </c>
      <c r="R4660">
        <f>IF('01_Вводные'!$B$234="Да",SUM('19_Расчет_аналитики'!R4658:R4659)*'18_Календарь_тарифы'!R10,0)</f>
        <v/>
      </c>
      <c r="S4660">
        <f>IF('01_Вводные'!$B$234="Да",SUM('19_Расчет_аналитики'!S4658:S4659)*'18_Календарь_тарифы'!S10,0)</f>
        <v/>
      </c>
      <c r="T4660">
        <f>IF('01_Вводные'!$B$234="Да",SUM('19_Расчет_аналитики'!T4658:T4659)*'18_Календарь_тарифы'!T10,0)</f>
        <v/>
      </c>
      <c r="U4660">
        <f>IF('01_Вводные'!$B$234="Да",SUM('19_Расчет_аналитики'!U4658:U4659)*'18_Календарь_тарифы'!U10,0)</f>
        <v/>
      </c>
      <c r="V4660">
        <f>IF('01_Вводные'!$B$234="Да",SUM('19_Расчет_аналитики'!V4658:V4659)*'18_Календарь_тарифы'!V10,0)</f>
        <v/>
      </c>
      <c r="W4660">
        <f>IF('01_Вводные'!$B$234="Да",SUM('19_Расчет_аналитики'!W4658:W4659)*'18_Календарь_тарифы'!W10,0)</f>
        <v/>
      </c>
      <c r="X4660">
        <f>IF('01_Вводные'!$B$234="Да",SUM('19_Расчет_аналитики'!X4658:X4659)*'18_Календарь_тарифы'!X10,0)</f>
        <v/>
      </c>
      <c r="Y4660">
        <f>IF('01_Вводные'!$B$234="Да",SUM('19_Расчет_аналитики'!Y4658:Y4659)*'18_Календарь_тарифы'!Y10,0)</f>
        <v/>
      </c>
      <c r="Z4660">
        <f>IF('01_Вводные'!$B$234="Да",SUM('19_Расчет_аналитики'!Z4658:Z4659)*'18_Календарь_тарифы'!Z10,0)</f>
        <v/>
      </c>
      <c r="AA4660">
        <f>IF('01_Вводные'!$B$234="Да",SUM('19_Расчет_аналитики'!AA4658:AA4659)*'18_Календарь_тарифы'!AA10,0)</f>
        <v/>
      </c>
      <c r="AB4660">
        <f>IF('01_Вводные'!$B$234="Да",SUM('19_Расчет_аналитики'!AB4658:AB4659)*'18_Календарь_тарифы'!AB10,0)</f>
        <v/>
      </c>
      <c r="AC4660">
        <f>IF('01_Вводные'!$B$234="Да",SUM('19_Расчет_аналитики'!AC4658:AC4659)*'18_Календарь_тарифы'!AC10,0)</f>
        <v/>
      </c>
      <c r="AD4660">
        <f>IF('01_Вводные'!$B$234="Да",SUM('19_Расчет_аналитики'!AD4658:AD4659)*'18_Календарь_тарифы'!AD10,0)</f>
        <v/>
      </c>
      <c r="AE4660">
        <f>IF('01_Вводные'!$B$234="Да",SUM('19_Расчет_аналитики'!AE4658:AE4659)*'18_Календарь_тарифы'!AE10,0)</f>
        <v/>
      </c>
      <c r="AF4660">
        <f>IF('01_Вводные'!$B$234="Да",SUM('19_Расчет_аналитики'!AF4658:AF4659)*'18_Календарь_тарифы'!AF10,0)</f>
        <v/>
      </c>
      <c r="AG4660">
        <f>IF('01_Вводные'!$B$234="Да",SUM('19_Расчет_аналитики'!AG4658:AG4659)*'18_Календарь_тарифы'!AG10,0)</f>
        <v/>
      </c>
      <c r="AH4660">
        <f>IF('01_Вводные'!$B$234="Да",SUM('19_Расчет_аналитики'!AH4658:AH4659)*'18_Календарь_тарифы'!AH10,0)</f>
        <v/>
      </c>
      <c r="AI4660">
        <f>IF('01_Вводные'!$B$234="Да",SUM('19_Расчет_аналитики'!AI4658:AI4659)*'18_Календарь_тарифы'!AI10,0)</f>
        <v/>
      </c>
      <c r="AJ4660">
        <f>IF('01_Вводные'!$B$234="Да",SUM('19_Расчет_аналитики'!AJ4658:AJ4659)*'18_Календарь_тарифы'!AJ10,0)</f>
        <v/>
      </c>
      <c r="AK4660">
        <f>IF('01_Вводные'!$B$234="Да",SUM('19_Расчет_аналитики'!AK4658:AK4659)*'18_Календарь_тарифы'!AK10,0)</f>
        <v/>
      </c>
      <c r="AL4660">
        <f>IF('01_Вводные'!$B$234="Да",SUM('19_Расчет_аналитики'!AL4658:AL4659)*'18_Календарь_тарифы'!AL10,0)</f>
        <v/>
      </c>
      <c r="AM4660">
        <f>IF('01_Вводные'!$B$234="Да",SUM('19_Расчет_аналитики'!AM4658:AM4659)*'18_Календарь_тарифы'!AM10,0)</f>
        <v/>
      </c>
      <c r="AN4660">
        <f>IF('01_Вводные'!$B$234="Да",SUM('19_Расчет_аналитики'!AN4658:AN4659)*'18_Календарь_тарифы'!AN10,0)</f>
        <v/>
      </c>
      <c r="AO4660">
        <f>IF('01_Вводные'!$B$234="Да",SUM('19_Расчет_аналитики'!AO4658:AO4659)*'18_Календарь_тарифы'!AO10,0)</f>
        <v/>
      </c>
      <c r="AP4660">
        <f>IF('01_Вводные'!$B$234="Да",SUM('19_Расчет_аналитики'!AP4658:AP4659)*'18_Календарь_тарифы'!AP10,0)</f>
        <v/>
      </c>
      <c r="AQ4660">
        <f>IF('01_Вводные'!$B$234="Да",SUM('19_Расчет_аналитики'!AQ4658:AQ4659)*'18_Календарь_тарифы'!AQ10,0)</f>
        <v/>
      </c>
      <c r="AR4660">
        <f>IF('01_Вводные'!$B$234="Да",SUM('19_Расчет_аналитики'!AR4658:AR4659)*'18_Календарь_тарифы'!AR10,0)</f>
        <v/>
      </c>
      <c r="AS4660">
        <f>IF('01_Вводные'!$B$234="Да",SUM('19_Расчет_аналитики'!AS4658:AS4659)*'18_Календарь_тарифы'!AS10,0)</f>
        <v/>
      </c>
      <c r="AT4660">
        <f>IF('01_Вводные'!$B$234="Да",SUM('19_Расчет_аналитики'!AT4658:AT4659)*'18_Календарь_тарифы'!AT10,0)</f>
        <v/>
      </c>
      <c r="AU4660">
        <f>IF('01_Вводные'!$B$234="Да",SUM('19_Расчет_аналитики'!AU4658:AU4659)*'18_Календарь_тарифы'!AU10,0)</f>
        <v/>
      </c>
      <c r="AV4660">
        <f>IF('01_Вводные'!$B$234="Да",SUM('19_Расчет_аналитики'!AV4658:AV4659)*'18_Календарь_тарифы'!AV10,0)</f>
        <v/>
      </c>
      <c r="AW4660">
        <f>IF('01_Вводные'!$B$234="Да",SUM('19_Расчет_аналитики'!AW4658:AW4659)*'18_Календарь_тарифы'!AW10,0)</f>
        <v/>
      </c>
      <c r="AX4660">
        <f>IF('01_Вводные'!$B$234="Да",SUM('19_Расчет_аналитики'!AX4658:AX4659)*'18_Календарь_тарифы'!AX10,0)</f>
        <v/>
      </c>
      <c r="AY4660">
        <f>IF('01_Вводные'!$B$234="Да",SUM('19_Расчет_аналитики'!AY4658:AY4659)*'18_Календарь_тарифы'!AY10,0)</f>
        <v/>
      </c>
      <c r="AZ4660">
        <f>IF('01_Вводные'!$B$234="Да",SUM('19_Расчет_аналитики'!AZ4658:AZ4659)*'18_Календарь_тарифы'!AZ10,0)</f>
        <v/>
      </c>
      <c r="BA4660">
        <f>IF('01_Вводные'!$B$234="Да",SUM('19_Расчет_аналитики'!BA4658:BA4659)*'18_Календарь_тарифы'!BA10,0)</f>
        <v/>
      </c>
      <c r="BB4660">
        <f>IF('01_Вводные'!$B$234="Да",SUM('19_Расчет_аналитики'!BB4658:BB4659)*'18_Календарь_тарифы'!BB10,0)</f>
        <v/>
      </c>
      <c r="BC4660">
        <f>IF('01_Вводные'!$B$234="Да",SUM('19_Расчет_аналитики'!BC4658:BC4659)*'18_Календарь_тарифы'!BC10,0)</f>
        <v/>
      </c>
      <c r="BD4660">
        <f>IF('01_Вводные'!$B$234="Да",SUM('19_Расчет_аналитики'!BD4658:BD4659)*'18_Календарь_тарифы'!BD10,0)</f>
        <v/>
      </c>
      <c r="BE4660">
        <f>IF('01_Вводные'!$B$234="Да",SUM('19_Расчет_аналитики'!BE4658:BE4659)*'18_Календарь_тарифы'!BE10,0)</f>
        <v/>
      </c>
      <c r="BF4660">
        <f>IF('01_Вводные'!$B$234="Да",SUM('19_Расчет_аналитики'!BF4658:BF4659)*'18_Календарь_тарифы'!BF10,0)</f>
        <v/>
      </c>
      <c r="BG4660">
        <f>IF('01_Вводные'!$B$234="Да",SUM('19_Расчет_аналитики'!BG4658:BG4659)*'18_Календарь_тарифы'!BG10,0)</f>
        <v/>
      </c>
      <c r="BH4660">
        <f>IF('01_Вводные'!$B$234="Да",SUM('19_Расчет_аналитики'!BH4658:BH4659)*'18_Календарь_тарифы'!BH10,0)</f>
        <v/>
      </c>
      <c r="BI4660">
        <f>IF('01_Вводные'!$B$234="Да",SUM('19_Расчет_аналитики'!BI4658:BI4659)*'18_Календарь_тарифы'!BI10,0)</f>
        <v/>
      </c>
      <c r="BJ4660">
        <f>IF('01_Вводные'!$B$234="Да",SUM('19_Расчет_аналитики'!BJ4658:BJ4659)*'18_Календарь_тарифы'!BJ10,0)</f>
        <v/>
      </c>
      <c r="BK4660">
        <f>IF('01_Вводные'!$B$234="Да",SUM('19_Расчет_аналитики'!BK4658:BK4659)*'18_Календарь_тарифы'!BK10,0)</f>
        <v/>
      </c>
      <c r="BL4660">
        <f>IF('01_Вводные'!$B$234="Да",SUM('19_Расчет_аналитики'!BL4658:BL4659)*'18_Календарь_тарифы'!BL10,0)</f>
        <v/>
      </c>
      <c r="BM4660">
        <f>IF('01_Вводные'!$B$234="Да",SUM('19_Расчет_аналитики'!BM4658:BM4659)*'18_Календарь_тарифы'!BM10,0)</f>
        <v/>
      </c>
      <c r="BN4660">
        <f>IF('01_Вводные'!$B$234="Да",SUM('19_Расчет_аналитики'!BN4658:BN4659)*'18_Календарь_тарифы'!BN10,0)</f>
        <v/>
      </c>
      <c r="BO4660">
        <f>IF('01_Вводные'!$B$234="Да",SUM('19_Расчет_аналитики'!BO4658:BO4659)*'18_Календарь_тарифы'!BO10,0)</f>
        <v/>
      </c>
    </row>
    <row r="4661">
      <c r="B4661">
        <f>IF('01_Вводные'!$B$234="Да",SUM('19_Расчет_аналитики'!B4658:B4659)*'18_Календарь_тарифы'!B9,0)</f>
        <v/>
      </c>
      <c r="C4661">
        <f>IF('01_Вводные'!$B$234="Да",SUM('19_Расчет_аналитики'!C4658:C4659)*'18_Календарь_тарифы'!C9,0)</f>
        <v/>
      </c>
      <c r="D4661">
        <f>IF('01_Вводные'!$B$234="Да",SUM('19_Расчет_аналитики'!D4658:D4659)*'18_Календарь_тарифы'!D9,0)</f>
        <v/>
      </c>
      <c r="E4661">
        <f>IF('01_Вводные'!$B$234="Да",SUM('19_Расчет_аналитики'!E4658:E4659)*'18_Календарь_тарифы'!E9,0)</f>
        <v/>
      </c>
      <c r="F4661">
        <f>IF('01_Вводные'!$B$234="Да",SUM('19_Расчет_аналитики'!F4658:F4659)*'18_Календарь_тарифы'!F9,0)</f>
        <v/>
      </c>
      <c r="G4661">
        <f>IF('01_Вводные'!$B$234="Да",SUM('19_Расчет_аналитики'!G4658:G4659)*'18_Календарь_тарифы'!G9,0)</f>
        <v/>
      </c>
      <c r="H4661">
        <f>IF('01_Вводные'!$B$234="Да",SUM('19_Расчет_аналитики'!H4658:H4659)*'18_Календарь_тарифы'!H9,0)</f>
        <v/>
      </c>
      <c r="I4661">
        <f>IF('01_Вводные'!$B$234="Да",SUM('19_Расчет_аналитики'!I4658:I4659)*'18_Календарь_тарифы'!I9,0)</f>
        <v/>
      </c>
      <c r="J4661">
        <f>IF('01_Вводные'!$B$234="Да",SUM('19_Расчет_аналитики'!J4658:J4659)*'18_Календарь_тарифы'!J9,0)</f>
        <v/>
      </c>
      <c r="K4661">
        <f>IF('01_Вводные'!$B$234="Да",SUM('19_Расчет_аналитики'!K4658:K4659)*'18_Календарь_тарифы'!K9,0)</f>
        <v/>
      </c>
      <c r="L4661">
        <f>IF('01_Вводные'!$B$234="Да",SUM('19_Расчет_аналитики'!L4658:L4659)*'18_Календарь_тарифы'!L9,0)</f>
        <v/>
      </c>
      <c r="M4661">
        <f>IF('01_Вводные'!$B$234="Да",SUM('19_Расчет_аналитики'!M4658:M4659)*'18_Календарь_тарифы'!M9,0)</f>
        <v/>
      </c>
      <c r="N4661">
        <f>IF('01_Вводные'!$B$234="Да",SUM('19_Расчет_аналитики'!N4658:N4659)*'18_Календарь_тарифы'!N9,0)</f>
        <v/>
      </c>
      <c r="O4661">
        <f>IF('01_Вводные'!$B$234="Да",SUM('19_Расчет_аналитики'!O4658:O4659)*'18_Календарь_тарифы'!O9,0)</f>
        <v/>
      </c>
      <c r="P4661">
        <f>IF('01_Вводные'!$B$234="Да",SUM('19_Расчет_аналитики'!P4658:P4659)*'18_Календарь_тарифы'!P9,0)</f>
        <v/>
      </c>
      <c r="Q4661">
        <f>IF('01_Вводные'!$B$234="Да",SUM('19_Расчет_аналитики'!Q4658:Q4659)*'18_Календарь_тарифы'!Q9,0)</f>
        <v/>
      </c>
      <c r="R4661">
        <f>IF('01_Вводные'!$B$234="Да",SUM('19_Расчет_аналитики'!R4658:R4659)*'18_Календарь_тарифы'!R9,0)</f>
        <v/>
      </c>
      <c r="S4661">
        <f>IF('01_Вводные'!$B$234="Да",SUM('19_Расчет_аналитики'!S4658:S4659)*'18_Календарь_тарифы'!S9,0)</f>
        <v/>
      </c>
      <c r="T4661">
        <f>IF('01_Вводные'!$B$234="Да",SUM('19_Расчет_аналитики'!T4658:T4659)*'18_Календарь_тарифы'!T9,0)</f>
        <v/>
      </c>
      <c r="U4661">
        <f>IF('01_Вводные'!$B$234="Да",SUM('19_Расчет_аналитики'!U4658:U4659)*'18_Календарь_тарифы'!U9,0)</f>
        <v/>
      </c>
      <c r="V4661">
        <f>IF('01_Вводные'!$B$234="Да",SUM('19_Расчет_аналитики'!V4658:V4659)*'18_Календарь_тарифы'!V9,0)</f>
        <v/>
      </c>
      <c r="W4661">
        <f>IF('01_Вводные'!$B$234="Да",SUM('19_Расчет_аналитики'!W4658:W4659)*'18_Календарь_тарифы'!W9,0)</f>
        <v/>
      </c>
      <c r="X4661">
        <f>IF('01_Вводные'!$B$234="Да",SUM('19_Расчет_аналитики'!X4658:X4659)*'18_Календарь_тарифы'!X9,0)</f>
        <v/>
      </c>
      <c r="Y4661">
        <f>IF('01_Вводные'!$B$234="Да",SUM('19_Расчет_аналитики'!Y4658:Y4659)*'18_Календарь_тарифы'!Y9,0)</f>
        <v/>
      </c>
      <c r="Z4661">
        <f>IF('01_Вводные'!$B$234="Да",SUM('19_Расчет_аналитики'!Z4658:Z4659)*'18_Календарь_тарифы'!Z9,0)</f>
        <v/>
      </c>
      <c r="AA4661">
        <f>IF('01_Вводные'!$B$234="Да",SUM('19_Расчет_аналитики'!AA4658:AA4659)*'18_Календарь_тарифы'!AA9,0)</f>
        <v/>
      </c>
      <c r="AB4661">
        <f>IF('01_Вводные'!$B$234="Да",SUM('19_Расчет_аналитики'!AB4658:AB4659)*'18_Календарь_тарифы'!AB9,0)</f>
        <v/>
      </c>
      <c r="AC4661">
        <f>IF('01_Вводные'!$B$234="Да",SUM('19_Расчет_аналитики'!AC4658:AC4659)*'18_Календарь_тарифы'!AC9,0)</f>
        <v/>
      </c>
      <c r="AD4661">
        <f>IF('01_Вводные'!$B$234="Да",SUM('19_Расчет_аналитики'!AD4658:AD4659)*'18_Календарь_тарифы'!AD9,0)</f>
        <v/>
      </c>
      <c r="AE4661">
        <f>IF('01_Вводные'!$B$234="Да",SUM('19_Расчет_аналитики'!AE4658:AE4659)*'18_Календарь_тарифы'!AE9,0)</f>
        <v/>
      </c>
      <c r="AF4661">
        <f>IF('01_Вводные'!$B$234="Да",SUM('19_Расчет_аналитики'!AF4658:AF4659)*'18_Календарь_тарифы'!AF9,0)</f>
        <v/>
      </c>
      <c r="AG4661">
        <f>IF('01_Вводные'!$B$234="Да",SUM('19_Расчет_аналитики'!AG4658:AG4659)*'18_Календарь_тарифы'!AG9,0)</f>
        <v/>
      </c>
      <c r="AH4661">
        <f>IF('01_Вводные'!$B$234="Да",SUM('19_Расчет_аналитики'!AH4658:AH4659)*'18_Календарь_тарифы'!AH9,0)</f>
        <v/>
      </c>
      <c r="AI4661">
        <f>IF('01_Вводные'!$B$234="Да",SUM('19_Расчет_аналитики'!AI4658:AI4659)*'18_Календарь_тарифы'!AI9,0)</f>
        <v/>
      </c>
      <c r="AJ4661">
        <f>IF('01_Вводные'!$B$234="Да",SUM('19_Расчет_аналитики'!AJ4658:AJ4659)*'18_Календарь_тарифы'!AJ9,0)</f>
        <v/>
      </c>
      <c r="AK4661">
        <f>IF('01_Вводные'!$B$234="Да",SUM('19_Расчет_аналитики'!AK4658:AK4659)*'18_Календарь_тарифы'!AK9,0)</f>
        <v/>
      </c>
      <c r="AL4661">
        <f>IF('01_Вводные'!$B$234="Да",SUM('19_Расчет_аналитики'!AL4658:AL4659)*'18_Календарь_тарифы'!AL9,0)</f>
        <v/>
      </c>
      <c r="AM4661">
        <f>IF('01_Вводные'!$B$234="Да",SUM('19_Расчет_аналитики'!AM4658:AM4659)*'18_Календарь_тарифы'!AM9,0)</f>
        <v/>
      </c>
      <c r="AN4661">
        <f>IF('01_Вводные'!$B$234="Да",SUM('19_Расчет_аналитики'!AN4658:AN4659)*'18_Календарь_тарифы'!AN9,0)</f>
        <v/>
      </c>
      <c r="AO4661">
        <f>IF('01_Вводные'!$B$234="Да",SUM('19_Расчет_аналитики'!AO4658:AO4659)*'18_Календарь_тарифы'!AO9,0)</f>
        <v/>
      </c>
      <c r="AP4661">
        <f>IF('01_Вводные'!$B$234="Да",SUM('19_Расчет_аналитики'!AP4658:AP4659)*'18_Календарь_тарифы'!AP9,0)</f>
        <v/>
      </c>
      <c r="AQ4661">
        <f>IF('01_Вводные'!$B$234="Да",SUM('19_Расчет_аналитики'!AQ4658:AQ4659)*'18_Календарь_тарифы'!AQ9,0)</f>
        <v/>
      </c>
      <c r="AR4661">
        <f>IF('01_Вводные'!$B$234="Да",SUM('19_Расчет_аналитики'!AR4658:AR4659)*'18_Календарь_тарифы'!AR9,0)</f>
        <v/>
      </c>
      <c r="AS4661">
        <f>IF('01_Вводные'!$B$234="Да",SUM('19_Расчет_аналитики'!AS4658:AS4659)*'18_Календарь_тарифы'!AS9,0)</f>
        <v/>
      </c>
      <c r="AT4661">
        <f>IF('01_Вводные'!$B$234="Да",SUM('19_Расчет_аналитики'!AT4658:AT4659)*'18_Календарь_тарифы'!AT9,0)</f>
        <v/>
      </c>
      <c r="AU4661">
        <f>IF('01_Вводные'!$B$234="Да",SUM('19_Расчет_аналитики'!AU4658:AU4659)*'18_Календарь_тарифы'!AU9,0)</f>
        <v/>
      </c>
      <c r="AV4661">
        <f>IF('01_Вводные'!$B$234="Да",SUM('19_Расчет_аналитики'!AV4658:AV4659)*'18_Календарь_тарифы'!AV9,0)</f>
        <v/>
      </c>
      <c r="AW4661">
        <f>IF('01_Вводные'!$B$234="Да",SUM('19_Расчет_аналитики'!AW4658:AW4659)*'18_Календарь_тарифы'!AW9,0)</f>
        <v/>
      </c>
      <c r="AX4661">
        <f>IF('01_Вводные'!$B$234="Да",SUM('19_Расчет_аналитики'!AX4658:AX4659)*'18_Календарь_тарифы'!AX9,0)</f>
        <v/>
      </c>
      <c r="AY4661">
        <f>IF('01_Вводные'!$B$234="Да",SUM('19_Расчет_аналитики'!AY4658:AY4659)*'18_Календарь_тарифы'!AY9,0)</f>
        <v/>
      </c>
      <c r="AZ4661">
        <f>IF('01_Вводные'!$B$234="Да",SUM('19_Расчет_аналитики'!AZ4658:AZ4659)*'18_Календарь_тарифы'!AZ9,0)</f>
        <v/>
      </c>
      <c r="BA4661">
        <f>IF('01_Вводные'!$B$234="Да",SUM('19_Расчет_аналитики'!BA4658:BA4659)*'18_Календарь_тарифы'!BA9,0)</f>
        <v/>
      </c>
      <c r="BB4661">
        <f>IF('01_Вводные'!$B$234="Да",SUM('19_Расчет_аналитики'!BB4658:BB4659)*'18_Календарь_тарифы'!BB9,0)</f>
        <v/>
      </c>
      <c r="BC4661">
        <f>IF('01_Вводные'!$B$234="Да",SUM('19_Расчет_аналитики'!BC4658:BC4659)*'18_Календарь_тарифы'!BC9,0)</f>
        <v/>
      </c>
      <c r="BD4661">
        <f>IF('01_Вводные'!$B$234="Да",SUM('19_Расчет_аналитики'!BD4658:BD4659)*'18_Календарь_тарифы'!BD9,0)</f>
        <v/>
      </c>
      <c r="BE4661">
        <f>IF('01_Вводные'!$B$234="Да",SUM('19_Расчет_аналитики'!BE4658:BE4659)*'18_Календарь_тарифы'!BE9,0)</f>
        <v/>
      </c>
      <c r="BF4661">
        <f>IF('01_Вводные'!$B$234="Да",SUM('19_Расчет_аналитики'!BF4658:BF4659)*'18_Календарь_тарифы'!BF9,0)</f>
        <v/>
      </c>
      <c r="BG4661">
        <f>IF('01_Вводные'!$B$234="Да",SUM('19_Расчет_аналитики'!BG4658:BG4659)*'18_Календарь_тарифы'!BG9,0)</f>
        <v/>
      </c>
      <c r="BH4661">
        <f>IF('01_Вводные'!$B$234="Да",SUM('19_Расчет_аналитики'!BH4658:BH4659)*'18_Календарь_тарифы'!BH9,0)</f>
        <v/>
      </c>
      <c r="BI4661">
        <f>IF('01_Вводные'!$B$234="Да",SUM('19_Расчет_аналитики'!BI4658:BI4659)*'18_Календарь_тарифы'!BI9,0)</f>
        <v/>
      </c>
      <c r="BJ4661">
        <f>IF('01_Вводные'!$B$234="Да",SUM('19_Расчет_аналитики'!BJ4658:BJ4659)*'18_Календарь_тарифы'!BJ9,0)</f>
        <v/>
      </c>
      <c r="BK4661">
        <f>IF('01_Вводные'!$B$234="Да",SUM('19_Расчет_аналитики'!BK4658:BK4659)*'18_Календарь_тарифы'!BK9,0)</f>
        <v/>
      </c>
      <c r="BL4661">
        <f>IF('01_Вводные'!$B$234="Да",SUM('19_Расчет_аналитики'!BL4658:BL4659)*'18_Календарь_тарифы'!BL9,0)</f>
        <v/>
      </c>
      <c r="BM4661">
        <f>IF('01_Вводные'!$B$234="Да",SUM('19_Расчет_аналитики'!BM4658:BM4659)*'18_Календарь_тарифы'!BM9,0)</f>
        <v/>
      </c>
      <c r="BN4661">
        <f>IF('01_Вводные'!$B$234="Да",SUM('19_Расчет_аналитики'!BN4658:BN4659)*'18_Календарь_тарифы'!BN9,0)</f>
        <v/>
      </c>
      <c r="BO4661">
        <f>IF('01_Вводные'!$B$234="Да",SUM('19_Расчет_аналитики'!BO4658:BO4659)*'18_Календарь_тарифы'!BO9,0)</f>
        <v/>
      </c>
    </row>
    <row r="4662"/>
    <row r="4663">
      <c r="B4663">
        <f>IF('01_Вводные'!$B$234="Да",'07_Мерч'!B6+'19_Расчет_аналитики'!B4660,0)</f>
        <v/>
      </c>
      <c r="C4663">
        <f>IF('01_Вводные'!$B$234="Да",'07_Мерч'!C6+'19_Расчет_аналитики'!C4660,0)</f>
        <v/>
      </c>
      <c r="D4663">
        <f>IF('01_Вводные'!$B$234="Да",'07_Мерч'!D6+'19_Расчет_аналитики'!D4660,0)</f>
        <v/>
      </c>
      <c r="E4663">
        <f>IF('01_Вводные'!$B$234="Да",'07_Мерч'!E6+'19_Расчет_аналитики'!E4660,0)</f>
        <v/>
      </c>
      <c r="F4663">
        <f>IF('01_Вводные'!$B$234="Да",'19_Расчет_аналитики'!F4655+'19_Расчет_аналитики'!F4660,0)</f>
        <v/>
      </c>
      <c r="G4663">
        <f>IF('01_Вводные'!$B$234="Да",'19_Расчет_аналитики'!G4655+'19_Расчет_аналитики'!G4660,0)</f>
        <v/>
      </c>
      <c r="H4663">
        <f>IF('01_Вводные'!$B$234="Да",'19_Расчет_аналитики'!H4655+'19_Расчет_аналитики'!H4660,0)</f>
        <v/>
      </c>
      <c r="I4663">
        <f>IF('01_Вводные'!$B$234="Да",'19_Расчет_аналитики'!I4655+'19_Расчет_аналитики'!I4660,0)</f>
        <v/>
      </c>
      <c r="J4663">
        <f>IF('01_Вводные'!$B$234="Да",'19_Расчет_аналитики'!J4655+'19_Расчет_аналитики'!J4660,0)</f>
        <v/>
      </c>
      <c r="K4663">
        <f>IF('01_Вводные'!$B$234="Да",'19_Расчет_аналитики'!K4655+'19_Расчет_аналитики'!K4660,0)</f>
        <v/>
      </c>
      <c r="L4663">
        <f>IF('01_Вводные'!$B$234="Да",'19_Расчет_аналитики'!L4655+'19_Расчет_аналитики'!L4660,0)</f>
        <v/>
      </c>
      <c r="M4663">
        <f>IF('01_Вводные'!$B$234="Да",'19_Расчет_аналитики'!M4655+'19_Расчет_аналитики'!M4660,0)</f>
        <v/>
      </c>
      <c r="N4663">
        <f>IF('01_Вводные'!$B$234="Да",'19_Расчет_аналитики'!N4655+'19_Расчет_аналитики'!N4660,0)</f>
        <v/>
      </c>
      <c r="O4663">
        <f>IF('01_Вводные'!$B$234="Да",'19_Расчет_аналитики'!O4655+'19_Расчет_аналитики'!O4660,0)</f>
        <v/>
      </c>
      <c r="P4663">
        <f>IF('01_Вводные'!$B$234="Да",'19_Расчет_аналитики'!P4655+'19_Расчет_аналитики'!P4660,0)</f>
        <v/>
      </c>
      <c r="Q4663">
        <f>IF('01_Вводные'!$B$234="Да",'19_Расчет_аналитики'!Q4655+'19_Расчет_аналитики'!Q4660,0)</f>
        <v/>
      </c>
      <c r="R4663">
        <f>IF('01_Вводные'!$B$234="Да",'19_Расчет_аналитики'!R4655+'19_Расчет_аналитики'!R4660,0)</f>
        <v/>
      </c>
      <c r="S4663">
        <f>IF('01_Вводные'!$B$234="Да",'19_Расчет_аналитики'!S4655+'19_Расчет_аналитики'!S4660,0)</f>
        <v/>
      </c>
      <c r="T4663">
        <f>IF('01_Вводные'!$B$234="Да",'19_Расчет_аналитики'!T4655+'19_Расчет_аналитики'!T4660,0)</f>
        <v/>
      </c>
      <c r="U4663">
        <f>IF('01_Вводные'!$B$234="Да",'19_Расчет_аналитики'!U4655+'19_Расчет_аналитики'!U4660,0)</f>
        <v/>
      </c>
      <c r="V4663">
        <f>IF('01_Вводные'!$B$234="Да",'19_Расчет_аналитики'!V4655+'19_Расчет_аналитики'!V4660,0)</f>
        <v/>
      </c>
      <c r="W4663">
        <f>IF('01_Вводные'!$B$234="Да",'19_Расчет_аналитики'!W4655+'19_Расчет_аналитики'!W4660,0)</f>
        <v/>
      </c>
      <c r="X4663">
        <f>IF('01_Вводные'!$B$234="Да",'19_Расчет_аналитики'!X4655+'19_Расчет_аналитики'!X4660,0)</f>
        <v/>
      </c>
      <c r="Y4663">
        <f>IF('01_Вводные'!$B$234="Да",'19_Расчет_аналитики'!Y4655+'19_Расчет_аналитики'!Y4660,0)</f>
        <v/>
      </c>
      <c r="Z4663">
        <f>IF('01_Вводные'!$B$234="Да",'19_Расчет_аналитики'!Z4655+'19_Расчет_аналитики'!Z4660,0)</f>
        <v/>
      </c>
      <c r="AA4663">
        <f>IF('01_Вводные'!$B$234="Да",'19_Расчет_аналитики'!AA4655+'19_Расчет_аналитики'!AA4660,0)</f>
        <v/>
      </c>
      <c r="AB4663">
        <f>IF('01_Вводные'!$B$234="Да",'19_Расчет_аналитики'!AB4655+'19_Расчет_аналитики'!AB4660,0)</f>
        <v/>
      </c>
      <c r="AC4663">
        <f>IF('01_Вводные'!$B$234="Да",'19_Расчет_аналитики'!AC4655+'19_Расчет_аналитики'!AC4660,0)</f>
        <v/>
      </c>
      <c r="AD4663">
        <f>IF('01_Вводные'!$B$234="Да",'19_Расчет_аналитики'!AD4655+'19_Расчет_аналитики'!AD4660,0)</f>
        <v/>
      </c>
      <c r="AE4663">
        <f>IF('01_Вводные'!$B$234="Да",'19_Расчет_аналитики'!AE4655+'19_Расчет_аналитики'!AE4660,0)</f>
        <v/>
      </c>
      <c r="AF4663">
        <f>IF('01_Вводные'!$B$234="Да",'19_Расчет_аналитики'!AF4655+'19_Расчет_аналитики'!AF4660,0)</f>
        <v/>
      </c>
      <c r="AG4663">
        <f>IF('01_Вводные'!$B$234="Да",'19_Расчет_аналитики'!AG4655+'19_Расчет_аналитики'!AG4660,0)</f>
        <v/>
      </c>
      <c r="AH4663">
        <f>IF('01_Вводные'!$B$234="Да",'19_Расчет_аналитики'!AH4655+'19_Расчет_аналитики'!AH4660,0)</f>
        <v/>
      </c>
      <c r="AI4663">
        <f>IF('01_Вводные'!$B$234="Да",'19_Расчет_аналитики'!AI4655+'19_Расчет_аналитики'!AI4660,0)</f>
        <v/>
      </c>
      <c r="AJ4663">
        <f>IF('01_Вводные'!$B$234="Да",'19_Расчет_аналитики'!AJ4655+'19_Расчет_аналитики'!AJ4660,0)</f>
        <v/>
      </c>
      <c r="AK4663">
        <f>IF('01_Вводные'!$B$234="Да",'19_Расчет_аналитики'!AK4655+'19_Расчет_аналитики'!AK4660,0)</f>
        <v/>
      </c>
      <c r="AL4663">
        <f>IF('01_Вводные'!$B$234="Да",'19_Расчет_аналитики'!AL4655+'19_Расчет_аналитики'!AL4660,0)</f>
        <v/>
      </c>
      <c r="AM4663">
        <f>IF('01_Вводные'!$B$234="Да",'19_Расчет_аналитики'!AM4655+'19_Расчет_аналитики'!AM4660,0)</f>
        <v/>
      </c>
      <c r="AN4663">
        <f>IF('01_Вводные'!$B$234="Да",'19_Расчет_аналитики'!AN4655+'19_Расчет_аналитики'!AN4660,0)</f>
        <v/>
      </c>
      <c r="AO4663">
        <f>IF('01_Вводные'!$B$234="Да",'19_Расчет_аналитики'!AO4655+'19_Расчет_аналитики'!AO4660,0)</f>
        <v/>
      </c>
      <c r="AP4663">
        <f>IF('01_Вводные'!$B$234="Да",'19_Расчет_аналитики'!AP4655+'19_Расчет_аналитики'!AP4660,0)</f>
        <v/>
      </c>
      <c r="AQ4663">
        <f>IF('01_Вводные'!$B$234="Да",'19_Расчет_аналитики'!AQ4655+'19_Расчет_аналитики'!AQ4660,0)</f>
        <v/>
      </c>
      <c r="AR4663">
        <f>IF('01_Вводные'!$B$234="Да",'19_Расчет_аналитики'!AR4655+'19_Расчет_аналитики'!AR4660,0)</f>
        <v/>
      </c>
      <c r="AS4663">
        <f>IF('01_Вводные'!$B$234="Да",'19_Расчет_аналитики'!AS4655+'19_Расчет_аналитики'!AS4660,0)</f>
        <v/>
      </c>
      <c r="AT4663">
        <f>IF('01_Вводные'!$B$234="Да",'19_Расчет_аналитики'!AT4655+'19_Расчет_аналитики'!AT4660,0)</f>
        <v/>
      </c>
      <c r="AU4663">
        <f>IF('01_Вводные'!$B$234="Да",'19_Расчет_аналитики'!AU4655+'19_Расчет_аналитики'!AU4660,0)</f>
        <v/>
      </c>
      <c r="AV4663">
        <f>IF('01_Вводные'!$B$234="Да",'19_Расчет_аналитики'!AV4655+'19_Расчет_аналитики'!AV4660,0)</f>
        <v/>
      </c>
      <c r="AW4663">
        <f>IF('01_Вводные'!$B$234="Да",'19_Расчет_аналитики'!AW4655+'19_Расчет_аналитики'!AW4660,0)</f>
        <v/>
      </c>
      <c r="AX4663">
        <f>IF('01_Вводные'!$B$234="Да",'19_Расчет_аналитики'!AX4655+'19_Расчет_аналитики'!AX4660,0)</f>
        <v/>
      </c>
      <c r="AY4663">
        <f>IF('01_Вводные'!$B$234="Да",'19_Расчет_аналитики'!AY4655+'19_Расчет_аналитики'!AY4660,0)</f>
        <v/>
      </c>
      <c r="AZ4663">
        <f>IF('01_Вводные'!$B$234="Да",'19_Расчет_аналитики'!AZ4655+'19_Расчет_аналитики'!AZ4660,0)</f>
        <v/>
      </c>
      <c r="BA4663">
        <f>IF('01_Вводные'!$B$234="Да",'19_Расчет_аналитики'!BA4655+'19_Расчет_аналитики'!BA4660,0)</f>
        <v/>
      </c>
      <c r="BB4663">
        <f>IF('01_Вводные'!$B$234="Да",'19_Расчет_аналитики'!BB4655+'19_Расчет_аналитики'!BB4660,0)</f>
        <v/>
      </c>
      <c r="BC4663">
        <f>IF('01_Вводные'!$B$234="Да",'19_Расчет_аналитики'!BC4655+'19_Расчет_аналитики'!BC4660,0)</f>
        <v/>
      </c>
      <c r="BD4663">
        <f>IF('01_Вводные'!$B$234="Да",'19_Расчет_аналитики'!BD4655+'19_Расчет_аналитики'!BD4660,0)</f>
        <v/>
      </c>
      <c r="BE4663">
        <f>IF('01_Вводные'!$B$234="Да",'19_Расчет_аналитики'!BE4655+'19_Расчет_аналитики'!BE4660,0)</f>
        <v/>
      </c>
      <c r="BF4663">
        <f>IF('01_Вводные'!$B$234="Да",'19_Расчет_аналитики'!BF4655+'19_Расчет_аналитики'!BF4660,0)</f>
        <v/>
      </c>
      <c r="BG4663">
        <f>IF('01_Вводные'!$B$234="Да",'19_Расчет_аналитики'!BG4655+'19_Расчет_аналитики'!BG4660,0)</f>
        <v/>
      </c>
      <c r="BH4663">
        <f>IF('01_Вводные'!$B$234="Да",'19_Расчет_аналитики'!BH4655+'19_Расчет_аналитики'!BH4660,0)</f>
        <v/>
      </c>
      <c r="BI4663">
        <f>IF('01_Вводные'!$B$234="Да",'19_Расчет_аналитики'!BI4655+'19_Расчет_аналитики'!BI4660,0)</f>
        <v/>
      </c>
      <c r="BJ4663">
        <f>IF('01_Вводные'!$B$234="Да",'19_Расчет_аналитики'!BJ4655+'19_Расчет_аналитики'!BJ4660,0)</f>
        <v/>
      </c>
      <c r="BK4663">
        <f>IF('01_Вводные'!$B$234="Да",'19_Расчет_аналитики'!BK4655+'19_Расчет_аналитики'!BK4660,0)</f>
        <v/>
      </c>
      <c r="BL4663">
        <f>IF('01_Вводные'!$B$234="Да",'19_Расчет_аналитики'!BL4655+'19_Расчет_аналитики'!BL4660,0)</f>
        <v/>
      </c>
      <c r="BM4663">
        <f>IF('01_Вводные'!$B$234="Да",'19_Расчет_аналитики'!BM4655+'19_Расчет_аналитики'!BM4660,0)</f>
        <v/>
      </c>
      <c r="BN4663">
        <f>IF('01_Вводные'!$B$234="Да",'19_Расчет_аналитики'!BN4655+'19_Расчет_аналитики'!BN4660,0)</f>
        <v/>
      </c>
      <c r="BO4663">
        <f>IF('01_Вводные'!$B$234="Да",'19_Расчет_аналитики'!BO4655+'19_Расчет_аналитики'!BO4660,0)</f>
        <v/>
      </c>
    </row>
    <row r="4664">
      <c r="B4664">
        <f>IF('01_Вводные'!$B$234="Да",'19_Расчет_аналитики'!B4663/(1+'01_Вводные'!$B$58),0)</f>
        <v/>
      </c>
      <c r="C4664">
        <f>IF('01_Вводные'!$B$234="Да",'19_Расчет_аналитики'!C4663/(1+'01_Вводные'!$B$58),0)</f>
        <v/>
      </c>
      <c r="D4664">
        <f>IF('01_Вводные'!$B$234="Да",'19_Расчет_аналитики'!D4663/(1+'01_Вводные'!$B$58),0)</f>
        <v/>
      </c>
      <c r="E4664">
        <f>IF('01_Вводные'!$B$234="Да",'19_Расчет_аналитики'!E4663/(1+'01_Вводные'!$B$58),0)</f>
        <v/>
      </c>
      <c r="F4664">
        <f>IF('01_Вводные'!$B$234="Да",'19_Расчет_аналитики'!F4663/(1+'01_Вводные'!$B$58),0)</f>
        <v/>
      </c>
      <c r="G4664">
        <f>IF('01_Вводные'!$B$234="Да",'19_Расчет_аналитики'!G4663/(1+'01_Вводные'!$B$58),0)</f>
        <v/>
      </c>
      <c r="H4664">
        <f>IF('01_Вводные'!$B$234="Да",'19_Расчет_аналитики'!H4663/(1+'01_Вводные'!$B$58),0)</f>
        <v/>
      </c>
      <c r="I4664">
        <f>IF('01_Вводные'!$B$234="Да",'19_Расчет_аналитики'!I4663/(1+'01_Вводные'!$B$58),0)</f>
        <v/>
      </c>
      <c r="J4664">
        <f>IF('01_Вводные'!$B$234="Да",'19_Расчет_аналитики'!J4663/(1+'01_Вводные'!$B$58),0)</f>
        <v/>
      </c>
      <c r="K4664">
        <f>IF('01_Вводные'!$B$234="Да",'19_Расчет_аналитики'!K4663/(1+'01_Вводные'!$B$58),0)</f>
        <v/>
      </c>
      <c r="L4664">
        <f>IF('01_Вводные'!$B$234="Да",'19_Расчет_аналитики'!L4663/(1+'01_Вводные'!$B$58),0)</f>
        <v/>
      </c>
      <c r="M4664">
        <f>IF('01_Вводные'!$B$234="Да",'19_Расчет_аналитики'!M4663/(1+'01_Вводные'!$B$58),0)</f>
        <v/>
      </c>
      <c r="N4664">
        <f>IF('01_Вводные'!$B$234="Да",'19_Расчет_аналитики'!N4663/(1+'01_Вводные'!$B$58),0)</f>
        <v/>
      </c>
      <c r="O4664">
        <f>IF('01_Вводные'!$B$234="Да",'19_Расчет_аналитики'!O4663/(1+'01_Вводные'!$B$58),0)</f>
        <v/>
      </c>
      <c r="P4664">
        <f>IF('01_Вводные'!$B$234="Да",'19_Расчет_аналитики'!P4663/(1+'01_Вводные'!$B$58),0)</f>
        <v/>
      </c>
      <c r="Q4664">
        <f>IF('01_Вводные'!$B$234="Да",'19_Расчет_аналитики'!Q4663/(1+'01_Вводные'!$B$58),0)</f>
        <v/>
      </c>
      <c r="R4664">
        <f>IF('01_Вводные'!$B$234="Да",'19_Расчет_аналитики'!R4663/(1+'01_Вводные'!$B$58),0)</f>
        <v/>
      </c>
      <c r="S4664">
        <f>IF('01_Вводные'!$B$234="Да",'19_Расчет_аналитики'!S4663/(1+'01_Вводные'!$B$58),0)</f>
        <v/>
      </c>
      <c r="T4664">
        <f>IF('01_Вводные'!$B$234="Да",'19_Расчет_аналитики'!T4663/(1+'01_Вводные'!$B$58),0)</f>
        <v/>
      </c>
      <c r="U4664">
        <f>IF('01_Вводные'!$B$234="Да",'19_Расчет_аналитики'!U4663/(1+'01_Вводные'!$B$58),0)</f>
        <v/>
      </c>
      <c r="V4664">
        <f>IF('01_Вводные'!$B$234="Да",'19_Расчет_аналитики'!V4663/(1+'01_Вводные'!$B$58),0)</f>
        <v/>
      </c>
      <c r="W4664">
        <f>IF('01_Вводные'!$B$234="Да",'19_Расчет_аналитики'!W4663/(1+'01_Вводные'!$B$58),0)</f>
        <v/>
      </c>
      <c r="X4664">
        <f>IF('01_Вводные'!$B$234="Да",'19_Расчет_аналитики'!X4663/(1+'01_Вводные'!$B$58),0)</f>
        <v/>
      </c>
      <c r="Y4664">
        <f>IF('01_Вводные'!$B$234="Да",'19_Расчет_аналитики'!Y4663/(1+'01_Вводные'!$B$58),0)</f>
        <v/>
      </c>
      <c r="Z4664">
        <f>IF('01_Вводные'!$B$234="Да",'19_Расчет_аналитики'!Z4663/(1+'01_Вводные'!$B$58),0)</f>
        <v/>
      </c>
      <c r="AA4664">
        <f>IF('01_Вводные'!$B$234="Да",'19_Расчет_аналитики'!AA4663/(1+'01_Вводные'!$B$58),0)</f>
        <v/>
      </c>
      <c r="AB4664">
        <f>IF('01_Вводные'!$B$234="Да",'19_Расчет_аналитики'!AB4663/(1+'01_Вводные'!$B$58),0)</f>
        <v/>
      </c>
      <c r="AC4664">
        <f>IF('01_Вводные'!$B$234="Да",'19_Расчет_аналитики'!AC4663/(1+'01_Вводные'!$B$58),0)</f>
        <v/>
      </c>
      <c r="AD4664">
        <f>IF('01_Вводные'!$B$234="Да",'19_Расчет_аналитики'!AD4663/(1+'01_Вводные'!$B$58),0)</f>
        <v/>
      </c>
      <c r="AE4664">
        <f>IF('01_Вводные'!$B$234="Да",'19_Расчет_аналитики'!AE4663/(1+'01_Вводные'!$B$58),0)</f>
        <v/>
      </c>
      <c r="AF4664">
        <f>IF('01_Вводные'!$B$234="Да",'19_Расчет_аналитики'!AF4663/(1+'01_Вводные'!$B$58),0)</f>
        <v/>
      </c>
      <c r="AG4664">
        <f>IF('01_Вводные'!$B$234="Да",'19_Расчет_аналитики'!AG4663/(1+'01_Вводные'!$B$58),0)</f>
        <v/>
      </c>
      <c r="AH4664">
        <f>IF('01_Вводные'!$B$234="Да",'19_Расчет_аналитики'!AH4663/(1+'01_Вводные'!$B$58),0)</f>
        <v/>
      </c>
      <c r="AI4664">
        <f>IF('01_Вводные'!$B$234="Да",'19_Расчет_аналитики'!AI4663/(1+'01_Вводные'!$B$58),0)</f>
        <v/>
      </c>
      <c r="AJ4664">
        <f>IF('01_Вводные'!$B$234="Да",'19_Расчет_аналитики'!AJ4663/(1+'01_Вводные'!$B$58),0)</f>
        <v/>
      </c>
      <c r="AK4664">
        <f>IF('01_Вводные'!$B$234="Да",'19_Расчет_аналитики'!AK4663/(1+'01_Вводные'!$B$58),0)</f>
        <v/>
      </c>
      <c r="AL4664">
        <f>IF('01_Вводные'!$B$234="Да",'19_Расчет_аналитики'!AL4663/(1+'01_Вводные'!$B$58),0)</f>
        <v/>
      </c>
      <c r="AM4664">
        <f>IF('01_Вводные'!$B$234="Да",'19_Расчет_аналитики'!AM4663/(1+'01_Вводные'!$B$58),0)</f>
        <v/>
      </c>
      <c r="AN4664">
        <f>IF('01_Вводные'!$B$234="Да",'19_Расчет_аналитики'!AN4663/(1+'01_Вводные'!$B$58),0)</f>
        <v/>
      </c>
      <c r="AO4664">
        <f>IF('01_Вводные'!$B$234="Да",'19_Расчет_аналитики'!AO4663/(1+'01_Вводные'!$B$58),0)</f>
        <v/>
      </c>
      <c r="AP4664">
        <f>IF('01_Вводные'!$B$234="Да",'19_Расчет_аналитики'!AP4663/(1+'01_Вводные'!$B$58),0)</f>
        <v/>
      </c>
      <c r="AQ4664">
        <f>IF('01_Вводные'!$B$234="Да",'19_Расчет_аналитики'!AQ4663/(1+'01_Вводные'!$B$58),0)</f>
        <v/>
      </c>
      <c r="AR4664">
        <f>IF('01_Вводные'!$B$234="Да",'19_Расчет_аналитики'!AR4663/(1+'01_Вводные'!$B$58),0)</f>
        <v/>
      </c>
      <c r="AS4664">
        <f>IF('01_Вводные'!$B$234="Да",'19_Расчет_аналитики'!AS4663/(1+'01_Вводные'!$B$58),0)</f>
        <v/>
      </c>
      <c r="AT4664">
        <f>IF('01_Вводные'!$B$234="Да",'19_Расчет_аналитики'!AT4663/(1+'01_Вводные'!$B$58),0)</f>
        <v/>
      </c>
      <c r="AU4664">
        <f>IF('01_Вводные'!$B$234="Да",'19_Расчет_аналитики'!AU4663/(1+'01_Вводные'!$B$58),0)</f>
        <v/>
      </c>
      <c r="AV4664">
        <f>IF('01_Вводные'!$B$234="Да",'19_Расчет_аналитики'!AV4663/(1+'01_Вводные'!$B$58),0)</f>
        <v/>
      </c>
      <c r="AW4664">
        <f>IF('01_Вводные'!$B$234="Да",'19_Расчет_аналитики'!AW4663/(1+'01_Вводные'!$B$58),0)</f>
        <v/>
      </c>
      <c r="AX4664">
        <f>IF('01_Вводные'!$B$234="Да",'19_Расчет_аналитики'!AX4663/(1+'01_Вводные'!$B$58),0)</f>
        <v/>
      </c>
      <c r="AY4664">
        <f>IF('01_Вводные'!$B$234="Да",'19_Расчет_аналитики'!AY4663/(1+'01_Вводные'!$B$58),0)</f>
        <v/>
      </c>
      <c r="AZ4664">
        <f>IF('01_Вводные'!$B$234="Да",'19_Расчет_аналитики'!AZ4663/(1+'01_Вводные'!$B$58),0)</f>
        <v/>
      </c>
      <c r="BA4664">
        <f>IF('01_Вводные'!$B$234="Да",'19_Расчет_аналитики'!BA4663/(1+'01_Вводные'!$B$58),0)</f>
        <v/>
      </c>
      <c r="BB4664">
        <f>IF('01_Вводные'!$B$234="Да",'19_Расчет_аналитики'!BB4663/(1+'01_Вводные'!$B$58),0)</f>
        <v/>
      </c>
      <c r="BC4664">
        <f>IF('01_Вводные'!$B$234="Да",'19_Расчет_аналитики'!BC4663/(1+'01_Вводные'!$B$58),0)</f>
        <v/>
      </c>
      <c r="BD4664">
        <f>IF('01_Вводные'!$B$234="Да",'19_Расчет_аналитики'!BD4663/(1+'01_Вводные'!$B$58),0)</f>
        <v/>
      </c>
      <c r="BE4664">
        <f>IF('01_Вводные'!$B$234="Да",'19_Расчет_аналитики'!BE4663/(1+'01_Вводные'!$B$58),0)</f>
        <v/>
      </c>
      <c r="BF4664">
        <f>IF('01_Вводные'!$B$234="Да",'19_Расчет_аналитики'!BF4663/(1+'01_Вводные'!$B$58),0)</f>
        <v/>
      </c>
      <c r="BG4664">
        <f>IF('01_Вводные'!$B$234="Да",'19_Расчет_аналитики'!BG4663/(1+'01_Вводные'!$B$58),0)</f>
        <v/>
      </c>
      <c r="BH4664">
        <f>IF('01_Вводные'!$B$234="Да",'19_Расчет_аналитики'!BH4663/(1+'01_Вводные'!$B$58),0)</f>
        <v/>
      </c>
      <c r="BI4664">
        <f>IF('01_Вводные'!$B$234="Да",'19_Расчет_аналитики'!BI4663/(1+'01_Вводные'!$B$58),0)</f>
        <v/>
      </c>
      <c r="BJ4664">
        <f>IF('01_Вводные'!$B$234="Да",'19_Расчет_аналитики'!BJ4663/(1+'01_Вводные'!$B$58),0)</f>
        <v/>
      </c>
      <c r="BK4664">
        <f>IF('01_Вводные'!$B$234="Да",'19_Расчет_аналитики'!BK4663/(1+'01_Вводные'!$B$58),0)</f>
        <v/>
      </c>
      <c r="BL4664">
        <f>IF('01_Вводные'!$B$234="Да",'19_Расчет_аналитики'!BL4663/(1+'01_Вводные'!$B$58),0)</f>
        <v/>
      </c>
      <c r="BM4664">
        <f>IF('01_Вводные'!$B$234="Да",'19_Расчет_аналитики'!BM4663/(1+'01_Вводные'!$B$58),0)</f>
        <v/>
      </c>
      <c r="BN4664">
        <f>IF('01_Вводные'!$B$234="Да",'19_Расчет_аналитики'!BN4663/(1+'01_Вводные'!$B$58),0)</f>
        <v/>
      </c>
      <c r="BO4664">
        <f>IF('01_Вводные'!$B$234="Да",'19_Расчет_аналитики'!BO4663/(1+'01_Вводные'!$B$58),0)</f>
        <v/>
      </c>
    </row>
    <row r="4665">
      <c r="B4665">
        <f>IF('01_Вводные'!$B$234="Да",'07_Мерч'!B7+'19_Расчет_аналитики'!B4661,0)</f>
        <v/>
      </c>
      <c r="C4665">
        <f>IF('01_Вводные'!$B$234="Да",'07_Мерч'!C7+'19_Расчет_аналитики'!C4661,0)</f>
        <v/>
      </c>
      <c r="D4665">
        <f>IF('01_Вводные'!$B$234="Да",'07_Мерч'!D7+'19_Расчет_аналитики'!D4661,0)</f>
        <v/>
      </c>
      <c r="E4665">
        <f>IF('01_Вводные'!$B$234="Да",'07_Мерч'!E7+'19_Расчет_аналитики'!E4661,0)</f>
        <v/>
      </c>
      <c r="F4665">
        <f>IF('01_Вводные'!$B$234="Да",'19_Расчет_аналитики'!F4656+'19_Расчет_аналитики'!F4661,0)</f>
        <v/>
      </c>
      <c r="G4665">
        <f>IF('01_Вводные'!$B$234="Да",'19_Расчет_аналитики'!G4656+'19_Расчет_аналитики'!G4661,0)</f>
        <v/>
      </c>
      <c r="H4665">
        <f>IF('01_Вводные'!$B$234="Да",'19_Расчет_аналитики'!H4656+'19_Расчет_аналитики'!H4661,0)</f>
        <v/>
      </c>
      <c r="I4665">
        <f>IF('01_Вводные'!$B$234="Да",'19_Расчет_аналитики'!I4656+'19_Расчет_аналитики'!I4661,0)</f>
        <v/>
      </c>
      <c r="J4665">
        <f>IF('01_Вводные'!$B$234="Да",'19_Расчет_аналитики'!J4656+'19_Расчет_аналитики'!J4661,0)</f>
        <v/>
      </c>
      <c r="K4665">
        <f>IF('01_Вводные'!$B$234="Да",'19_Расчет_аналитики'!K4656+'19_Расчет_аналитики'!K4661,0)</f>
        <v/>
      </c>
      <c r="L4665">
        <f>IF('01_Вводные'!$B$234="Да",'19_Расчет_аналитики'!L4656+'19_Расчет_аналитики'!L4661,0)</f>
        <v/>
      </c>
      <c r="M4665">
        <f>IF('01_Вводные'!$B$234="Да",'19_Расчет_аналитики'!M4656+'19_Расчет_аналитики'!M4661,0)</f>
        <v/>
      </c>
      <c r="N4665">
        <f>IF('01_Вводные'!$B$234="Да",'19_Расчет_аналитики'!N4656+'19_Расчет_аналитики'!N4661,0)</f>
        <v/>
      </c>
      <c r="O4665">
        <f>IF('01_Вводные'!$B$234="Да",'19_Расчет_аналитики'!O4656+'19_Расчет_аналитики'!O4661,0)</f>
        <v/>
      </c>
      <c r="P4665">
        <f>IF('01_Вводные'!$B$234="Да",'19_Расчет_аналитики'!P4656+'19_Расчет_аналитики'!P4661,0)</f>
        <v/>
      </c>
      <c r="Q4665">
        <f>IF('01_Вводные'!$B$234="Да",'19_Расчет_аналитики'!Q4656+'19_Расчет_аналитики'!Q4661,0)</f>
        <v/>
      </c>
      <c r="R4665">
        <f>IF('01_Вводные'!$B$234="Да",'19_Расчет_аналитики'!R4656+'19_Расчет_аналитики'!R4661,0)</f>
        <v/>
      </c>
      <c r="S4665">
        <f>IF('01_Вводные'!$B$234="Да",'19_Расчет_аналитики'!S4656+'19_Расчет_аналитики'!S4661,0)</f>
        <v/>
      </c>
      <c r="T4665">
        <f>IF('01_Вводные'!$B$234="Да",'19_Расчет_аналитики'!T4656+'19_Расчет_аналитики'!T4661,0)</f>
        <v/>
      </c>
      <c r="U4665">
        <f>IF('01_Вводные'!$B$234="Да",'19_Расчет_аналитики'!U4656+'19_Расчет_аналитики'!U4661,0)</f>
        <v/>
      </c>
      <c r="V4665">
        <f>IF('01_Вводные'!$B$234="Да",'19_Расчет_аналитики'!V4656+'19_Расчет_аналитики'!V4661,0)</f>
        <v/>
      </c>
      <c r="W4665">
        <f>IF('01_Вводные'!$B$234="Да",'19_Расчет_аналитики'!W4656+'19_Расчет_аналитики'!W4661,0)</f>
        <v/>
      </c>
      <c r="X4665">
        <f>IF('01_Вводные'!$B$234="Да",'19_Расчет_аналитики'!X4656+'19_Расчет_аналитики'!X4661,0)</f>
        <v/>
      </c>
      <c r="Y4665">
        <f>IF('01_Вводные'!$B$234="Да",'19_Расчет_аналитики'!Y4656+'19_Расчет_аналитики'!Y4661,0)</f>
        <v/>
      </c>
      <c r="Z4665">
        <f>IF('01_Вводные'!$B$234="Да",'19_Расчет_аналитики'!Z4656+'19_Расчет_аналитики'!Z4661,0)</f>
        <v/>
      </c>
      <c r="AA4665">
        <f>IF('01_Вводные'!$B$234="Да",'19_Расчет_аналитики'!AA4656+'19_Расчет_аналитики'!AA4661,0)</f>
        <v/>
      </c>
      <c r="AB4665">
        <f>IF('01_Вводные'!$B$234="Да",'19_Расчет_аналитики'!AB4656+'19_Расчет_аналитики'!AB4661,0)</f>
        <v/>
      </c>
      <c r="AC4665">
        <f>IF('01_Вводные'!$B$234="Да",'19_Расчет_аналитики'!AC4656+'19_Расчет_аналитики'!AC4661,0)</f>
        <v/>
      </c>
      <c r="AD4665">
        <f>IF('01_Вводные'!$B$234="Да",'19_Расчет_аналитики'!AD4656+'19_Расчет_аналитики'!AD4661,0)</f>
        <v/>
      </c>
      <c r="AE4665">
        <f>IF('01_Вводные'!$B$234="Да",'19_Расчет_аналитики'!AE4656+'19_Расчет_аналитики'!AE4661,0)</f>
        <v/>
      </c>
      <c r="AF4665">
        <f>IF('01_Вводные'!$B$234="Да",'19_Расчет_аналитики'!AF4656+'19_Расчет_аналитики'!AF4661,0)</f>
        <v/>
      </c>
      <c r="AG4665">
        <f>IF('01_Вводные'!$B$234="Да",'19_Расчет_аналитики'!AG4656+'19_Расчет_аналитики'!AG4661,0)</f>
        <v/>
      </c>
      <c r="AH4665">
        <f>IF('01_Вводные'!$B$234="Да",'19_Расчет_аналитики'!AH4656+'19_Расчет_аналитики'!AH4661,0)</f>
        <v/>
      </c>
      <c r="AI4665">
        <f>IF('01_Вводные'!$B$234="Да",'19_Расчет_аналитики'!AI4656+'19_Расчет_аналитики'!AI4661,0)</f>
        <v/>
      </c>
      <c r="AJ4665">
        <f>IF('01_Вводные'!$B$234="Да",'19_Расчет_аналитики'!AJ4656+'19_Расчет_аналитики'!AJ4661,0)</f>
        <v/>
      </c>
      <c r="AK4665">
        <f>IF('01_Вводные'!$B$234="Да",'19_Расчет_аналитики'!AK4656+'19_Расчет_аналитики'!AK4661,0)</f>
        <v/>
      </c>
      <c r="AL4665">
        <f>IF('01_Вводные'!$B$234="Да",'19_Расчет_аналитики'!AL4656+'19_Расчет_аналитики'!AL4661,0)</f>
        <v/>
      </c>
      <c r="AM4665">
        <f>IF('01_Вводные'!$B$234="Да",'19_Расчет_аналитики'!AM4656+'19_Расчет_аналитики'!AM4661,0)</f>
        <v/>
      </c>
      <c r="AN4665">
        <f>IF('01_Вводные'!$B$234="Да",'19_Расчет_аналитики'!AN4656+'19_Расчет_аналитики'!AN4661,0)</f>
        <v/>
      </c>
      <c r="AO4665">
        <f>IF('01_Вводные'!$B$234="Да",'19_Расчет_аналитики'!AO4656+'19_Расчет_аналитики'!AO4661,0)</f>
        <v/>
      </c>
      <c r="AP4665">
        <f>IF('01_Вводные'!$B$234="Да",'19_Расчет_аналитики'!AP4656+'19_Расчет_аналитики'!AP4661,0)</f>
        <v/>
      </c>
      <c r="AQ4665">
        <f>IF('01_Вводные'!$B$234="Да",'19_Расчет_аналитики'!AQ4656+'19_Расчет_аналитики'!AQ4661,0)</f>
        <v/>
      </c>
      <c r="AR4665">
        <f>IF('01_Вводные'!$B$234="Да",'19_Расчет_аналитики'!AR4656+'19_Расчет_аналитики'!AR4661,0)</f>
        <v/>
      </c>
      <c r="AS4665">
        <f>IF('01_Вводные'!$B$234="Да",'19_Расчет_аналитики'!AS4656+'19_Расчет_аналитики'!AS4661,0)</f>
        <v/>
      </c>
      <c r="AT4665">
        <f>IF('01_Вводные'!$B$234="Да",'19_Расчет_аналитики'!AT4656+'19_Расчет_аналитики'!AT4661,0)</f>
        <v/>
      </c>
      <c r="AU4665">
        <f>IF('01_Вводные'!$B$234="Да",'19_Расчет_аналитики'!AU4656+'19_Расчет_аналитики'!AU4661,0)</f>
        <v/>
      </c>
      <c r="AV4665">
        <f>IF('01_Вводные'!$B$234="Да",'19_Расчет_аналитики'!AV4656+'19_Расчет_аналитики'!AV4661,0)</f>
        <v/>
      </c>
      <c r="AW4665">
        <f>IF('01_Вводные'!$B$234="Да",'19_Расчет_аналитики'!AW4656+'19_Расчет_аналитики'!AW4661,0)</f>
        <v/>
      </c>
      <c r="AX4665">
        <f>IF('01_Вводные'!$B$234="Да",'19_Расчет_аналитики'!AX4656+'19_Расчет_аналитики'!AX4661,0)</f>
        <v/>
      </c>
      <c r="AY4665">
        <f>IF('01_Вводные'!$B$234="Да",'19_Расчет_аналитики'!AY4656+'19_Расчет_аналитики'!AY4661,0)</f>
        <v/>
      </c>
      <c r="AZ4665">
        <f>IF('01_Вводные'!$B$234="Да",'19_Расчет_аналитики'!AZ4656+'19_Расчет_аналитики'!AZ4661,0)</f>
        <v/>
      </c>
      <c r="BA4665">
        <f>IF('01_Вводные'!$B$234="Да",'19_Расчет_аналитики'!BA4656+'19_Расчет_аналитики'!BA4661,0)</f>
        <v/>
      </c>
      <c r="BB4665">
        <f>IF('01_Вводные'!$B$234="Да",'19_Расчет_аналитики'!BB4656+'19_Расчет_аналитики'!BB4661,0)</f>
        <v/>
      </c>
      <c r="BC4665">
        <f>IF('01_Вводные'!$B$234="Да",'19_Расчет_аналитики'!BC4656+'19_Расчет_аналитики'!BC4661,0)</f>
        <v/>
      </c>
      <c r="BD4665">
        <f>IF('01_Вводные'!$B$234="Да",'19_Расчет_аналитики'!BD4656+'19_Расчет_аналитики'!BD4661,0)</f>
        <v/>
      </c>
      <c r="BE4665">
        <f>IF('01_Вводные'!$B$234="Да",'19_Расчет_аналитики'!BE4656+'19_Расчет_аналитики'!BE4661,0)</f>
        <v/>
      </c>
      <c r="BF4665">
        <f>IF('01_Вводные'!$B$234="Да",'19_Расчет_аналитики'!BF4656+'19_Расчет_аналитики'!BF4661,0)</f>
        <v/>
      </c>
      <c r="BG4665">
        <f>IF('01_Вводные'!$B$234="Да",'19_Расчет_аналитики'!BG4656+'19_Расчет_аналитики'!BG4661,0)</f>
        <v/>
      </c>
      <c r="BH4665">
        <f>IF('01_Вводные'!$B$234="Да",'19_Расчет_аналитики'!BH4656+'19_Расчет_аналитики'!BH4661,0)</f>
        <v/>
      </c>
      <c r="BI4665">
        <f>IF('01_Вводные'!$B$234="Да",'19_Расчет_аналитики'!BI4656+'19_Расчет_аналитики'!BI4661,0)</f>
        <v/>
      </c>
      <c r="BJ4665">
        <f>IF('01_Вводные'!$B$234="Да",'19_Расчет_аналитики'!BJ4656+'19_Расчет_аналитики'!BJ4661,0)</f>
        <v/>
      </c>
      <c r="BK4665">
        <f>IF('01_Вводные'!$B$234="Да",'19_Расчет_аналитики'!BK4656+'19_Расчет_аналитики'!BK4661,0)</f>
        <v/>
      </c>
      <c r="BL4665">
        <f>IF('01_Вводные'!$B$234="Да",'19_Расчет_аналитики'!BL4656+'19_Расчет_аналитики'!BL4661,0)</f>
        <v/>
      </c>
      <c r="BM4665">
        <f>IF('01_Вводные'!$B$234="Да",'19_Расчет_аналитики'!BM4656+'19_Расчет_аналитики'!BM4661,0)</f>
        <v/>
      </c>
      <c r="BN4665">
        <f>IF('01_Вводные'!$B$234="Да",'19_Расчет_аналитики'!BN4656+'19_Расчет_аналитики'!BN4661,0)</f>
        <v/>
      </c>
      <c r="BO4665">
        <f>IF('01_Вводные'!$B$234="Да",'19_Расчет_аналитики'!BO4656+'19_Расчет_аналитики'!BO4661,0)</f>
        <v/>
      </c>
    </row>
    <row r="4666">
      <c r="B4666">
        <f>IF('01_Вводные'!$B$234="Да",'19_Расчет_аналитики'!B4664*'01_Вводные'!$B$75,0)</f>
        <v/>
      </c>
      <c r="C4666">
        <f>IF('01_Вводные'!$B$234="Да",'19_Расчет_аналитики'!C4664*'01_Вводные'!$B$75,0)</f>
        <v/>
      </c>
      <c r="D4666">
        <f>IF('01_Вводные'!$B$234="Да",'19_Расчет_аналитики'!D4664*'01_Вводные'!$B$75,0)</f>
        <v/>
      </c>
      <c r="E4666">
        <f>IF('01_Вводные'!$B$234="Да",'19_Расчет_аналитики'!E4664*'01_Вводные'!$B$75,0)</f>
        <v/>
      </c>
      <c r="F4666">
        <f>IF('01_Вводные'!$B$234="Да",'19_Расчет_аналитики'!F4664*'01_Вводные'!$B$75,0)</f>
        <v/>
      </c>
      <c r="G4666">
        <f>IF('01_Вводные'!$B$234="Да",'19_Расчет_аналитики'!G4664*'01_Вводные'!$B$75,0)</f>
        <v/>
      </c>
      <c r="H4666">
        <f>IF('01_Вводные'!$B$234="Да",'19_Расчет_аналитики'!H4664*'01_Вводные'!$B$75,0)</f>
        <v/>
      </c>
      <c r="I4666">
        <f>IF('01_Вводные'!$B$234="Да",'19_Расчет_аналитики'!I4664*'01_Вводные'!$B$75,0)</f>
        <v/>
      </c>
      <c r="J4666">
        <f>IF('01_Вводные'!$B$234="Да",'19_Расчет_аналитики'!J4664*'01_Вводные'!$B$75,0)</f>
        <v/>
      </c>
      <c r="K4666">
        <f>IF('01_Вводные'!$B$234="Да",'19_Расчет_аналитики'!K4664*'01_Вводные'!$B$75,0)</f>
        <v/>
      </c>
      <c r="L4666">
        <f>IF('01_Вводные'!$B$234="Да",'19_Расчет_аналитики'!L4664*'01_Вводные'!$B$75,0)</f>
        <v/>
      </c>
      <c r="M4666">
        <f>IF('01_Вводные'!$B$234="Да",'19_Расчет_аналитики'!M4664*'01_Вводные'!$B$75,0)</f>
        <v/>
      </c>
      <c r="N4666">
        <f>IF('01_Вводные'!$B$234="Да",'19_Расчет_аналитики'!N4664*'01_Вводные'!$B$75,0)</f>
        <v/>
      </c>
      <c r="O4666">
        <f>IF('01_Вводные'!$B$234="Да",'19_Расчет_аналитики'!O4664*'01_Вводные'!$B$75,0)</f>
        <v/>
      </c>
      <c r="P4666">
        <f>IF('01_Вводные'!$B$234="Да",'19_Расчет_аналитики'!P4664*'01_Вводные'!$B$75,0)</f>
        <v/>
      </c>
      <c r="Q4666">
        <f>IF('01_Вводные'!$B$234="Да",'19_Расчет_аналитики'!Q4664*'01_Вводные'!$B$75,0)</f>
        <v/>
      </c>
      <c r="R4666">
        <f>IF('01_Вводные'!$B$234="Да",'19_Расчет_аналитики'!R4664*'01_Вводные'!$B$75,0)</f>
        <v/>
      </c>
      <c r="S4666">
        <f>IF('01_Вводные'!$B$234="Да",'19_Расчет_аналитики'!S4664*'01_Вводные'!$B$75,0)</f>
        <v/>
      </c>
      <c r="T4666">
        <f>IF('01_Вводные'!$B$234="Да",'19_Расчет_аналитики'!T4664*'01_Вводные'!$B$75,0)</f>
        <v/>
      </c>
      <c r="U4666">
        <f>IF('01_Вводные'!$B$234="Да",'19_Расчет_аналитики'!U4664*'01_Вводные'!$B$75,0)</f>
        <v/>
      </c>
      <c r="V4666">
        <f>IF('01_Вводные'!$B$234="Да",'19_Расчет_аналитики'!V4664*'01_Вводные'!$B$75,0)</f>
        <v/>
      </c>
      <c r="W4666">
        <f>IF('01_Вводные'!$B$234="Да",'19_Расчет_аналитики'!W4664*'01_Вводные'!$B$75,0)</f>
        <v/>
      </c>
      <c r="X4666">
        <f>IF('01_Вводные'!$B$234="Да",'19_Расчет_аналитики'!X4664*'01_Вводные'!$B$75,0)</f>
        <v/>
      </c>
      <c r="Y4666">
        <f>IF('01_Вводные'!$B$234="Да",'19_Расчет_аналитики'!Y4664*'01_Вводные'!$B$75,0)</f>
        <v/>
      </c>
      <c r="Z4666">
        <f>IF('01_Вводные'!$B$234="Да",'19_Расчет_аналитики'!Z4664*'01_Вводные'!$B$75,0)</f>
        <v/>
      </c>
      <c r="AA4666">
        <f>IF('01_Вводные'!$B$234="Да",'19_Расчет_аналитики'!AA4664*'01_Вводные'!$B$75,0)</f>
        <v/>
      </c>
      <c r="AB4666">
        <f>IF('01_Вводные'!$B$234="Да",'19_Расчет_аналитики'!AB4664*'01_Вводные'!$B$75,0)</f>
        <v/>
      </c>
      <c r="AC4666">
        <f>IF('01_Вводные'!$B$234="Да",'19_Расчет_аналитики'!AC4664*'01_Вводные'!$B$75,0)</f>
        <v/>
      </c>
      <c r="AD4666">
        <f>IF('01_Вводные'!$B$234="Да",'19_Расчет_аналитики'!AD4664*'01_Вводные'!$B$75,0)</f>
        <v/>
      </c>
      <c r="AE4666">
        <f>IF('01_Вводные'!$B$234="Да",'19_Расчет_аналитики'!AE4664*'01_Вводные'!$B$75,0)</f>
        <v/>
      </c>
      <c r="AF4666">
        <f>IF('01_Вводные'!$B$234="Да",'19_Расчет_аналитики'!AF4664*'01_Вводные'!$B$75,0)</f>
        <v/>
      </c>
      <c r="AG4666">
        <f>IF('01_Вводные'!$B$234="Да",'19_Расчет_аналитики'!AG4664*'01_Вводные'!$B$75,0)</f>
        <v/>
      </c>
      <c r="AH4666">
        <f>IF('01_Вводные'!$B$234="Да",'19_Расчет_аналитики'!AH4664*'01_Вводные'!$B$75,0)</f>
        <v/>
      </c>
      <c r="AI4666">
        <f>IF('01_Вводные'!$B$234="Да",'19_Расчет_аналитики'!AI4664*'01_Вводные'!$B$75,0)</f>
        <v/>
      </c>
      <c r="AJ4666">
        <f>IF('01_Вводные'!$B$234="Да",'19_Расчет_аналитики'!AJ4664*'01_Вводные'!$B$75,0)</f>
        <v/>
      </c>
      <c r="AK4666">
        <f>IF('01_Вводные'!$B$234="Да",'19_Расчет_аналитики'!AK4664*'01_Вводные'!$B$75,0)</f>
        <v/>
      </c>
      <c r="AL4666">
        <f>IF('01_Вводные'!$B$234="Да",'19_Расчет_аналитики'!AL4664*'01_Вводные'!$B$75,0)</f>
        <v/>
      </c>
      <c r="AM4666">
        <f>IF('01_Вводные'!$B$234="Да",'19_Расчет_аналитики'!AM4664*'01_Вводные'!$B$75,0)</f>
        <v/>
      </c>
      <c r="AN4666">
        <f>IF('01_Вводные'!$B$234="Да",'19_Расчет_аналитики'!AN4664*'01_Вводные'!$B$75,0)</f>
        <v/>
      </c>
      <c r="AO4666">
        <f>IF('01_Вводные'!$B$234="Да",'19_Расчет_аналитики'!AO4664*'01_Вводные'!$B$75,0)</f>
        <v/>
      </c>
      <c r="AP4666">
        <f>IF('01_Вводные'!$B$234="Да",'19_Расчет_аналитики'!AP4664*'01_Вводные'!$B$75,0)</f>
        <v/>
      </c>
      <c r="AQ4666">
        <f>IF('01_Вводные'!$B$234="Да",'19_Расчет_аналитики'!AQ4664*'01_Вводные'!$B$75,0)</f>
        <v/>
      </c>
      <c r="AR4666">
        <f>IF('01_Вводные'!$B$234="Да",'19_Расчет_аналитики'!AR4664*'01_Вводные'!$B$75,0)</f>
        <v/>
      </c>
      <c r="AS4666">
        <f>IF('01_Вводные'!$B$234="Да",'19_Расчет_аналитики'!AS4664*'01_Вводные'!$B$75,0)</f>
        <v/>
      </c>
      <c r="AT4666">
        <f>IF('01_Вводные'!$B$234="Да",'19_Расчет_аналитики'!AT4664*'01_Вводные'!$B$75,0)</f>
        <v/>
      </c>
      <c r="AU4666">
        <f>IF('01_Вводные'!$B$234="Да",'19_Расчет_аналитики'!AU4664*'01_Вводные'!$B$75,0)</f>
        <v/>
      </c>
      <c r="AV4666">
        <f>IF('01_Вводные'!$B$234="Да",'19_Расчет_аналитики'!AV4664*'01_Вводные'!$B$75,0)</f>
        <v/>
      </c>
      <c r="AW4666">
        <f>IF('01_Вводные'!$B$234="Да",'19_Расчет_аналитики'!AW4664*'01_Вводные'!$B$75,0)</f>
        <v/>
      </c>
      <c r="AX4666">
        <f>IF('01_Вводные'!$B$234="Да",'19_Расчет_аналитики'!AX4664*'01_Вводные'!$B$75,0)</f>
        <v/>
      </c>
      <c r="AY4666">
        <f>IF('01_Вводные'!$B$234="Да",'19_Расчет_аналитики'!AY4664*'01_Вводные'!$B$75,0)</f>
        <v/>
      </c>
      <c r="AZ4666">
        <f>IF('01_Вводные'!$B$234="Да",'19_Расчет_аналитики'!AZ4664*'01_Вводные'!$B$75,0)</f>
        <v/>
      </c>
      <c r="BA4666">
        <f>IF('01_Вводные'!$B$234="Да",'19_Расчет_аналитики'!BA4664*'01_Вводные'!$B$75,0)</f>
        <v/>
      </c>
      <c r="BB4666">
        <f>IF('01_Вводные'!$B$234="Да",'19_Расчет_аналитики'!BB4664*'01_Вводные'!$B$75,0)</f>
        <v/>
      </c>
      <c r="BC4666">
        <f>IF('01_Вводные'!$B$234="Да",'19_Расчет_аналитики'!BC4664*'01_Вводные'!$B$75,0)</f>
        <v/>
      </c>
      <c r="BD4666">
        <f>IF('01_Вводные'!$B$234="Да",'19_Расчет_аналитики'!BD4664*'01_Вводные'!$B$75,0)</f>
        <v/>
      </c>
      <c r="BE4666">
        <f>IF('01_Вводные'!$B$234="Да",'19_Расчет_аналитики'!BE4664*'01_Вводные'!$B$75,0)</f>
        <v/>
      </c>
      <c r="BF4666">
        <f>IF('01_Вводные'!$B$234="Да",'19_Расчет_аналитики'!BF4664*'01_Вводные'!$B$75,0)</f>
        <v/>
      </c>
      <c r="BG4666">
        <f>IF('01_Вводные'!$B$234="Да",'19_Расчет_аналитики'!BG4664*'01_Вводные'!$B$75,0)</f>
        <v/>
      </c>
      <c r="BH4666">
        <f>IF('01_Вводные'!$B$234="Да",'19_Расчет_аналитики'!BH4664*'01_Вводные'!$B$75,0)</f>
        <v/>
      </c>
      <c r="BI4666">
        <f>IF('01_Вводные'!$B$234="Да",'19_Расчет_аналитики'!BI4664*'01_Вводные'!$B$75,0)</f>
        <v/>
      </c>
      <c r="BJ4666">
        <f>IF('01_Вводные'!$B$234="Да",'19_Расчет_аналитики'!BJ4664*'01_Вводные'!$B$75,0)</f>
        <v/>
      </c>
      <c r="BK4666">
        <f>IF('01_Вводные'!$B$234="Да",'19_Расчет_аналитики'!BK4664*'01_Вводные'!$B$75,0)</f>
        <v/>
      </c>
      <c r="BL4666">
        <f>IF('01_Вводные'!$B$234="Да",'19_Расчет_аналитики'!BL4664*'01_Вводные'!$B$75,0)</f>
        <v/>
      </c>
      <c r="BM4666">
        <f>IF('01_Вводные'!$B$234="Да",'19_Расчет_аналитики'!BM4664*'01_Вводные'!$B$75,0)</f>
        <v/>
      </c>
      <c r="BN4666">
        <f>IF('01_Вводные'!$B$234="Да",'19_Расчет_аналитики'!BN4664*'01_Вводные'!$B$75,0)</f>
        <v/>
      </c>
      <c r="BO4666">
        <f>IF('01_Вводные'!$B$234="Да",'19_Расчет_аналитики'!BO4664*'01_Вводные'!$B$75,0)</f>
        <v/>
      </c>
    </row>
    <row r="4667">
      <c r="B4667">
        <f>IF('01_Вводные'!$B$234="Да",MAX(0,'19_Расчет_аналитики'!B4664-'19_Расчет_аналитики'!B4665-'19_Расчет_аналитики'!B4666),0)</f>
        <v/>
      </c>
      <c r="C4667">
        <f>IF('01_Вводные'!$B$234="Да",MAX(0,'19_Расчет_аналитики'!C4664-'19_Расчет_аналитики'!C4665-'19_Расчет_аналитики'!C4666),0)</f>
        <v/>
      </c>
      <c r="D4667">
        <f>IF('01_Вводные'!$B$234="Да",MAX(0,'19_Расчет_аналитики'!D4664-'19_Расчет_аналитики'!D4665-'19_Расчет_аналитики'!D4666),0)</f>
        <v/>
      </c>
      <c r="E4667">
        <f>IF('01_Вводные'!$B$234="Да",MAX(0,'19_Расчет_аналитики'!E4664-'19_Расчет_аналитики'!E4665-'19_Расчет_аналитики'!E4666),0)</f>
        <v/>
      </c>
      <c r="F4667">
        <f>IF('01_Вводные'!$B$234="Да",MAX(0,'19_Расчет_аналитики'!F4664-'19_Расчет_аналитики'!F4665-'19_Расчет_аналитики'!F4666),0)</f>
        <v/>
      </c>
      <c r="G4667">
        <f>IF('01_Вводные'!$B$234="Да",MAX(0,'19_Расчет_аналитики'!G4664-'19_Расчет_аналитики'!G4665-'19_Расчет_аналитики'!G4666),0)</f>
        <v/>
      </c>
      <c r="H4667">
        <f>IF('01_Вводные'!$B$234="Да",MAX(0,'19_Расчет_аналитики'!H4664-'19_Расчет_аналитики'!H4665-'19_Расчет_аналитики'!H4666),0)</f>
        <v/>
      </c>
      <c r="I4667">
        <f>IF('01_Вводные'!$B$234="Да",MAX(0,'19_Расчет_аналитики'!I4664-'19_Расчет_аналитики'!I4665-'19_Расчет_аналитики'!I4666),0)</f>
        <v/>
      </c>
      <c r="J4667">
        <f>IF('01_Вводные'!$B$234="Да",MAX(0,'19_Расчет_аналитики'!J4664-'19_Расчет_аналитики'!J4665-'19_Расчет_аналитики'!J4666),0)</f>
        <v/>
      </c>
      <c r="K4667">
        <f>IF('01_Вводные'!$B$234="Да",MAX(0,'19_Расчет_аналитики'!K4664-'19_Расчет_аналитики'!K4665-'19_Расчет_аналитики'!K4666),0)</f>
        <v/>
      </c>
      <c r="L4667">
        <f>IF('01_Вводные'!$B$234="Да",MAX(0,'19_Расчет_аналитики'!L4664-'19_Расчет_аналитики'!L4665-'19_Расчет_аналитики'!L4666),0)</f>
        <v/>
      </c>
      <c r="M4667">
        <f>IF('01_Вводные'!$B$234="Да",MAX(0,'19_Расчет_аналитики'!M4664-'19_Расчет_аналитики'!M4665-'19_Расчет_аналитики'!M4666),0)</f>
        <v/>
      </c>
      <c r="N4667">
        <f>IF('01_Вводные'!$B$234="Да",MAX(0,'19_Расчет_аналитики'!N4664-'19_Расчет_аналитики'!N4665-'19_Расчет_аналитики'!N4666),0)</f>
        <v/>
      </c>
      <c r="O4667">
        <f>IF('01_Вводные'!$B$234="Да",MAX(0,'19_Расчет_аналитики'!O4664-'19_Расчет_аналитики'!O4665-'19_Расчет_аналитики'!O4666),0)</f>
        <v/>
      </c>
      <c r="P4667">
        <f>IF('01_Вводные'!$B$234="Да",MAX(0,'19_Расчет_аналитики'!P4664-'19_Расчет_аналитики'!P4665-'19_Расчет_аналитики'!P4666),0)</f>
        <v/>
      </c>
      <c r="Q4667">
        <f>IF('01_Вводные'!$B$234="Да",MAX(0,'19_Расчет_аналитики'!Q4664-'19_Расчет_аналитики'!Q4665-'19_Расчет_аналитики'!Q4666),0)</f>
        <v/>
      </c>
      <c r="R4667">
        <f>IF('01_Вводные'!$B$234="Да",MAX(0,'19_Расчет_аналитики'!R4664-'19_Расчет_аналитики'!R4665-'19_Расчет_аналитики'!R4666),0)</f>
        <v/>
      </c>
      <c r="S4667">
        <f>IF('01_Вводные'!$B$234="Да",MAX(0,'19_Расчет_аналитики'!S4664-'19_Расчет_аналитики'!S4665-'19_Расчет_аналитики'!S4666),0)</f>
        <v/>
      </c>
      <c r="T4667">
        <f>IF('01_Вводные'!$B$234="Да",MAX(0,'19_Расчет_аналитики'!T4664-'19_Расчет_аналитики'!T4665-'19_Расчет_аналитики'!T4666),0)</f>
        <v/>
      </c>
      <c r="U4667">
        <f>IF('01_Вводные'!$B$234="Да",MAX(0,'19_Расчет_аналитики'!U4664-'19_Расчет_аналитики'!U4665-'19_Расчет_аналитики'!U4666),0)</f>
        <v/>
      </c>
      <c r="V4667">
        <f>IF('01_Вводные'!$B$234="Да",MAX(0,'19_Расчет_аналитики'!V4664-'19_Расчет_аналитики'!V4665-'19_Расчет_аналитики'!V4666),0)</f>
        <v/>
      </c>
      <c r="W4667">
        <f>IF('01_Вводные'!$B$234="Да",MAX(0,'19_Расчет_аналитики'!W4664-'19_Расчет_аналитики'!W4665-'19_Расчет_аналитики'!W4666),0)</f>
        <v/>
      </c>
      <c r="X4667">
        <f>IF('01_Вводные'!$B$234="Да",MAX(0,'19_Расчет_аналитики'!X4664-'19_Расчет_аналитики'!X4665-'19_Расчет_аналитики'!X4666),0)</f>
        <v/>
      </c>
      <c r="Y4667">
        <f>IF('01_Вводные'!$B$234="Да",MAX(0,'19_Расчет_аналитики'!Y4664-'19_Расчет_аналитики'!Y4665-'19_Расчет_аналитики'!Y4666),0)</f>
        <v/>
      </c>
      <c r="Z4667">
        <f>IF('01_Вводные'!$B$234="Да",MAX(0,'19_Расчет_аналитики'!Z4664-'19_Расчет_аналитики'!Z4665-'19_Расчет_аналитики'!Z4666),0)</f>
        <v/>
      </c>
      <c r="AA4667">
        <f>IF('01_Вводные'!$B$234="Да",MAX(0,'19_Расчет_аналитики'!AA4664-'19_Расчет_аналитики'!AA4665-'19_Расчет_аналитики'!AA4666),0)</f>
        <v/>
      </c>
      <c r="AB4667">
        <f>IF('01_Вводные'!$B$234="Да",MAX(0,'19_Расчет_аналитики'!AB4664-'19_Расчет_аналитики'!AB4665-'19_Расчет_аналитики'!AB4666),0)</f>
        <v/>
      </c>
      <c r="AC4667">
        <f>IF('01_Вводные'!$B$234="Да",MAX(0,'19_Расчет_аналитики'!AC4664-'19_Расчет_аналитики'!AC4665-'19_Расчет_аналитики'!AC4666),0)</f>
        <v/>
      </c>
      <c r="AD4667">
        <f>IF('01_Вводные'!$B$234="Да",MAX(0,'19_Расчет_аналитики'!AD4664-'19_Расчет_аналитики'!AD4665-'19_Расчет_аналитики'!AD4666),0)</f>
        <v/>
      </c>
      <c r="AE4667">
        <f>IF('01_Вводные'!$B$234="Да",MAX(0,'19_Расчет_аналитики'!AE4664-'19_Расчет_аналитики'!AE4665-'19_Расчет_аналитики'!AE4666),0)</f>
        <v/>
      </c>
      <c r="AF4667">
        <f>IF('01_Вводные'!$B$234="Да",MAX(0,'19_Расчет_аналитики'!AF4664-'19_Расчет_аналитики'!AF4665-'19_Расчет_аналитики'!AF4666),0)</f>
        <v/>
      </c>
      <c r="AG4667">
        <f>IF('01_Вводные'!$B$234="Да",MAX(0,'19_Расчет_аналитики'!AG4664-'19_Расчет_аналитики'!AG4665-'19_Расчет_аналитики'!AG4666),0)</f>
        <v/>
      </c>
      <c r="AH4667">
        <f>IF('01_Вводные'!$B$234="Да",MAX(0,'19_Расчет_аналитики'!AH4664-'19_Расчет_аналитики'!AH4665-'19_Расчет_аналитики'!AH4666),0)</f>
        <v/>
      </c>
      <c r="AI4667">
        <f>IF('01_Вводные'!$B$234="Да",MAX(0,'19_Расчет_аналитики'!AI4664-'19_Расчет_аналитики'!AI4665-'19_Расчет_аналитики'!AI4666),0)</f>
        <v/>
      </c>
      <c r="AJ4667">
        <f>IF('01_Вводные'!$B$234="Да",MAX(0,'19_Расчет_аналитики'!AJ4664-'19_Расчет_аналитики'!AJ4665-'19_Расчет_аналитики'!AJ4666),0)</f>
        <v/>
      </c>
      <c r="AK4667">
        <f>IF('01_Вводные'!$B$234="Да",MAX(0,'19_Расчет_аналитики'!AK4664-'19_Расчет_аналитики'!AK4665-'19_Расчет_аналитики'!AK4666),0)</f>
        <v/>
      </c>
      <c r="AL4667">
        <f>IF('01_Вводные'!$B$234="Да",MAX(0,'19_Расчет_аналитики'!AL4664-'19_Расчет_аналитики'!AL4665-'19_Расчет_аналитики'!AL4666),0)</f>
        <v/>
      </c>
      <c r="AM4667">
        <f>IF('01_Вводные'!$B$234="Да",MAX(0,'19_Расчет_аналитики'!AM4664-'19_Расчет_аналитики'!AM4665-'19_Расчет_аналитики'!AM4666),0)</f>
        <v/>
      </c>
      <c r="AN4667">
        <f>IF('01_Вводные'!$B$234="Да",MAX(0,'19_Расчет_аналитики'!AN4664-'19_Расчет_аналитики'!AN4665-'19_Расчет_аналитики'!AN4666),0)</f>
        <v/>
      </c>
      <c r="AO4667">
        <f>IF('01_Вводные'!$B$234="Да",MAX(0,'19_Расчет_аналитики'!AO4664-'19_Расчет_аналитики'!AO4665-'19_Расчет_аналитики'!AO4666),0)</f>
        <v/>
      </c>
      <c r="AP4667">
        <f>IF('01_Вводные'!$B$234="Да",MAX(0,'19_Расчет_аналитики'!AP4664-'19_Расчет_аналитики'!AP4665-'19_Расчет_аналитики'!AP4666),0)</f>
        <v/>
      </c>
      <c r="AQ4667">
        <f>IF('01_Вводные'!$B$234="Да",MAX(0,'19_Расчет_аналитики'!AQ4664-'19_Расчет_аналитики'!AQ4665-'19_Расчет_аналитики'!AQ4666),0)</f>
        <v/>
      </c>
      <c r="AR4667">
        <f>IF('01_Вводные'!$B$234="Да",MAX(0,'19_Расчет_аналитики'!AR4664-'19_Расчет_аналитики'!AR4665-'19_Расчет_аналитики'!AR4666),0)</f>
        <v/>
      </c>
      <c r="AS4667">
        <f>IF('01_Вводные'!$B$234="Да",MAX(0,'19_Расчет_аналитики'!AS4664-'19_Расчет_аналитики'!AS4665-'19_Расчет_аналитики'!AS4666),0)</f>
        <v/>
      </c>
      <c r="AT4667">
        <f>IF('01_Вводные'!$B$234="Да",MAX(0,'19_Расчет_аналитики'!AT4664-'19_Расчет_аналитики'!AT4665-'19_Расчет_аналитики'!AT4666),0)</f>
        <v/>
      </c>
      <c r="AU4667">
        <f>IF('01_Вводные'!$B$234="Да",MAX(0,'19_Расчет_аналитики'!AU4664-'19_Расчет_аналитики'!AU4665-'19_Расчет_аналитики'!AU4666),0)</f>
        <v/>
      </c>
      <c r="AV4667">
        <f>IF('01_Вводные'!$B$234="Да",MAX(0,'19_Расчет_аналитики'!AV4664-'19_Расчет_аналитики'!AV4665-'19_Расчет_аналитики'!AV4666),0)</f>
        <v/>
      </c>
      <c r="AW4667">
        <f>IF('01_Вводные'!$B$234="Да",MAX(0,'19_Расчет_аналитики'!AW4664-'19_Расчет_аналитики'!AW4665-'19_Расчет_аналитики'!AW4666),0)</f>
        <v/>
      </c>
      <c r="AX4667">
        <f>IF('01_Вводные'!$B$234="Да",MAX(0,'19_Расчет_аналитики'!AX4664-'19_Расчет_аналитики'!AX4665-'19_Расчет_аналитики'!AX4666),0)</f>
        <v/>
      </c>
      <c r="AY4667">
        <f>IF('01_Вводные'!$B$234="Да",MAX(0,'19_Расчет_аналитики'!AY4664-'19_Расчет_аналитики'!AY4665-'19_Расчет_аналитики'!AY4666),0)</f>
        <v/>
      </c>
      <c r="AZ4667">
        <f>IF('01_Вводные'!$B$234="Да",MAX(0,'19_Расчет_аналитики'!AZ4664-'19_Расчет_аналитики'!AZ4665-'19_Расчет_аналитики'!AZ4666),0)</f>
        <v/>
      </c>
      <c r="BA4667">
        <f>IF('01_Вводные'!$B$234="Да",MAX(0,'19_Расчет_аналитики'!BA4664-'19_Расчет_аналитики'!BA4665-'19_Расчет_аналитики'!BA4666),0)</f>
        <v/>
      </c>
      <c r="BB4667">
        <f>IF('01_Вводные'!$B$234="Да",MAX(0,'19_Расчет_аналитики'!BB4664-'19_Расчет_аналитики'!BB4665-'19_Расчет_аналитики'!BB4666),0)</f>
        <v/>
      </c>
      <c r="BC4667">
        <f>IF('01_Вводные'!$B$234="Да",MAX(0,'19_Расчет_аналитики'!BC4664-'19_Расчет_аналитики'!BC4665-'19_Расчет_аналитики'!BC4666),0)</f>
        <v/>
      </c>
      <c r="BD4667">
        <f>IF('01_Вводные'!$B$234="Да",MAX(0,'19_Расчет_аналитики'!BD4664-'19_Расчет_аналитики'!BD4665-'19_Расчет_аналитики'!BD4666),0)</f>
        <v/>
      </c>
      <c r="BE4667">
        <f>IF('01_Вводные'!$B$234="Да",MAX(0,'19_Расчет_аналитики'!BE4664-'19_Расчет_аналитики'!BE4665-'19_Расчет_аналитики'!BE4666),0)</f>
        <v/>
      </c>
      <c r="BF4667">
        <f>IF('01_Вводные'!$B$234="Да",MAX(0,'19_Расчет_аналитики'!BF4664-'19_Расчет_аналитики'!BF4665-'19_Расчет_аналитики'!BF4666),0)</f>
        <v/>
      </c>
      <c r="BG4667">
        <f>IF('01_Вводные'!$B$234="Да",MAX(0,'19_Расчет_аналитики'!BG4664-'19_Расчет_аналитики'!BG4665-'19_Расчет_аналитики'!BG4666),0)</f>
        <v/>
      </c>
      <c r="BH4667">
        <f>IF('01_Вводные'!$B$234="Да",MAX(0,'19_Расчет_аналитики'!BH4664-'19_Расчет_аналитики'!BH4665-'19_Расчет_аналитики'!BH4666),0)</f>
        <v/>
      </c>
      <c r="BI4667">
        <f>IF('01_Вводные'!$B$234="Да",MAX(0,'19_Расчет_аналитики'!BI4664-'19_Расчет_аналитики'!BI4665-'19_Расчет_аналитики'!BI4666),0)</f>
        <v/>
      </c>
      <c r="BJ4667">
        <f>IF('01_Вводные'!$B$234="Да",MAX(0,'19_Расчет_аналитики'!BJ4664-'19_Расчет_аналитики'!BJ4665-'19_Расчет_аналитики'!BJ4666),0)</f>
        <v/>
      </c>
      <c r="BK4667">
        <f>IF('01_Вводные'!$B$234="Да",MAX(0,'19_Расчет_аналитики'!BK4664-'19_Расчет_аналитики'!BK4665-'19_Расчет_аналитики'!BK4666),0)</f>
        <v/>
      </c>
      <c r="BL4667">
        <f>IF('01_Вводные'!$B$234="Да",MAX(0,'19_Расчет_аналитики'!BL4664-'19_Расчет_аналитики'!BL4665-'19_Расчет_аналитики'!BL4666),0)</f>
        <v/>
      </c>
      <c r="BM4667">
        <f>IF('01_Вводные'!$B$234="Да",MAX(0,'19_Расчет_аналитики'!BM4664-'19_Расчет_аналитики'!BM4665-'19_Расчет_аналитики'!BM4666),0)</f>
        <v/>
      </c>
      <c r="BN4667">
        <f>IF('01_Вводные'!$B$234="Да",MAX(0,'19_Расчет_аналитики'!BN4664-'19_Расчет_аналитики'!BN4665-'19_Расчет_аналитики'!BN4666),0)</f>
        <v/>
      </c>
      <c r="BO4667">
        <f>IF('01_Вводные'!$B$234="Да",MAX(0,'19_Расчет_аналитики'!BO4664-'19_Расчет_аналитики'!BO4665-'19_Расчет_аналитики'!BO4666),0)</f>
        <v/>
      </c>
    </row>
    <row r="4668">
      <c r="B4668">
        <f>IF('01_Вводные'!$B$234="Да",'19_Расчет_аналитики'!B4667*'01_Вводные'!$B$76,0)</f>
        <v/>
      </c>
      <c r="C4668">
        <f>IF('01_Вводные'!$B$234="Да",'19_Расчет_аналитики'!C4667*'01_Вводные'!$B$76,0)</f>
        <v/>
      </c>
      <c r="D4668">
        <f>IF('01_Вводные'!$B$234="Да",'19_Расчет_аналитики'!D4667*'01_Вводные'!$B$76,0)</f>
        <v/>
      </c>
      <c r="E4668">
        <f>IF('01_Вводные'!$B$234="Да",'19_Расчет_аналитики'!E4667*'01_Вводные'!$B$76,0)</f>
        <v/>
      </c>
      <c r="F4668">
        <f>IF('01_Вводные'!$B$234="Да",'19_Расчет_аналитики'!F4667*'01_Вводные'!$B$76,0)</f>
        <v/>
      </c>
      <c r="G4668">
        <f>IF('01_Вводные'!$B$234="Да",'19_Расчет_аналитики'!G4667*'01_Вводные'!$B$76,0)</f>
        <v/>
      </c>
      <c r="H4668">
        <f>IF('01_Вводные'!$B$234="Да",'19_Расчет_аналитики'!H4667*'01_Вводные'!$B$76,0)</f>
        <v/>
      </c>
      <c r="I4668">
        <f>IF('01_Вводные'!$B$234="Да",'19_Расчет_аналитики'!I4667*'01_Вводные'!$B$76,0)</f>
        <v/>
      </c>
      <c r="J4668">
        <f>IF('01_Вводные'!$B$234="Да",'19_Расчет_аналитики'!J4667*'01_Вводные'!$B$76,0)</f>
        <v/>
      </c>
      <c r="K4668">
        <f>IF('01_Вводные'!$B$234="Да",'19_Расчет_аналитики'!K4667*'01_Вводные'!$B$76,0)</f>
        <v/>
      </c>
      <c r="L4668">
        <f>IF('01_Вводные'!$B$234="Да",'19_Расчет_аналитики'!L4667*'01_Вводные'!$B$76,0)</f>
        <v/>
      </c>
      <c r="M4668">
        <f>IF('01_Вводные'!$B$234="Да",'19_Расчет_аналитики'!M4667*'01_Вводные'!$B$76,0)</f>
        <v/>
      </c>
      <c r="N4668">
        <f>IF('01_Вводные'!$B$234="Да",'19_Расчет_аналитики'!N4667*'01_Вводные'!$B$76,0)</f>
        <v/>
      </c>
      <c r="O4668">
        <f>IF('01_Вводные'!$B$234="Да",'19_Расчет_аналитики'!O4667*'01_Вводные'!$B$76,0)</f>
        <v/>
      </c>
      <c r="P4668">
        <f>IF('01_Вводные'!$B$234="Да",'19_Расчет_аналитики'!P4667*'01_Вводные'!$B$76,0)</f>
        <v/>
      </c>
      <c r="Q4668">
        <f>IF('01_Вводные'!$B$234="Да",'19_Расчет_аналитики'!Q4667*'01_Вводные'!$B$76,0)</f>
        <v/>
      </c>
      <c r="R4668">
        <f>IF('01_Вводные'!$B$234="Да",'19_Расчет_аналитики'!R4667*'01_Вводные'!$B$76,0)</f>
        <v/>
      </c>
      <c r="S4668">
        <f>IF('01_Вводные'!$B$234="Да",'19_Расчет_аналитики'!S4667*'01_Вводные'!$B$76,0)</f>
        <v/>
      </c>
      <c r="T4668">
        <f>IF('01_Вводные'!$B$234="Да",'19_Расчет_аналитики'!T4667*'01_Вводные'!$B$76,0)</f>
        <v/>
      </c>
      <c r="U4668">
        <f>IF('01_Вводные'!$B$234="Да",'19_Расчет_аналитики'!U4667*'01_Вводные'!$B$76,0)</f>
        <v/>
      </c>
      <c r="V4668">
        <f>IF('01_Вводные'!$B$234="Да",'19_Расчет_аналитики'!V4667*'01_Вводные'!$B$76,0)</f>
        <v/>
      </c>
      <c r="W4668">
        <f>IF('01_Вводные'!$B$234="Да",'19_Расчет_аналитики'!W4667*'01_Вводные'!$B$76,0)</f>
        <v/>
      </c>
      <c r="X4668">
        <f>IF('01_Вводные'!$B$234="Да",'19_Расчет_аналитики'!X4667*'01_Вводные'!$B$76,0)</f>
        <v/>
      </c>
      <c r="Y4668">
        <f>IF('01_Вводные'!$B$234="Да",'19_Расчет_аналитики'!Y4667*'01_Вводные'!$B$76,0)</f>
        <v/>
      </c>
      <c r="Z4668">
        <f>IF('01_Вводные'!$B$234="Да",'19_Расчет_аналитики'!Z4667*'01_Вводные'!$B$76,0)</f>
        <v/>
      </c>
      <c r="AA4668">
        <f>IF('01_Вводные'!$B$234="Да",'19_Расчет_аналитики'!AA4667*'01_Вводные'!$B$76,0)</f>
        <v/>
      </c>
      <c r="AB4668">
        <f>IF('01_Вводные'!$B$234="Да",'19_Расчет_аналитики'!AB4667*'01_Вводные'!$B$76,0)</f>
        <v/>
      </c>
      <c r="AC4668">
        <f>IF('01_Вводные'!$B$234="Да",'19_Расчет_аналитики'!AC4667*'01_Вводные'!$B$76,0)</f>
        <v/>
      </c>
      <c r="AD4668">
        <f>IF('01_Вводные'!$B$234="Да",'19_Расчет_аналитики'!AD4667*'01_Вводные'!$B$76,0)</f>
        <v/>
      </c>
      <c r="AE4668">
        <f>IF('01_Вводные'!$B$234="Да",'19_Расчет_аналитики'!AE4667*'01_Вводные'!$B$76,0)</f>
        <v/>
      </c>
      <c r="AF4668">
        <f>IF('01_Вводные'!$B$234="Да",'19_Расчет_аналитики'!AF4667*'01_Вводные'!$B$76,0)</f>
        <v/>
      </c>
      <c r="AG4668">
        <f>IF('01_Вводные'!$B$234="Да",'19_Расчет_аналитики'!AG4667*'01_Вводные'!$B$76,0)</f>
        <v/>
      </c>
      <c r="AH4668">
        <f>IF('01_Вводные'!$B$234="Да",'19_Расчет_аналитики'!AH4667*'01_Вводные'!$B$76,0)</f>
        <v/>
      </c>
      <c r="AI4668">
        <f>IF('01_Вводные'!$B$234="Да",'19_Расчет_аналитики'!AI4667*'01_Вводные'!$B$76,0)</f>
        <v/>
      </c>
      <c r="AJ4668">
        <f>IF('01_Вводные'!$B$234="Да",'19_Расчет_аналитики'!AJ4667*'01_Вводные'!$B$76,0)</f>
        <v/>
      </c>
      <c r="AK4668">
        <f>IF('01_Вводные'!$B$234="Да",'19_Расчет_аналитики'!AK4667*'01_Вводные'!$B$76,0)</f>
        <v/>
      </c>
      <c r="AL4668">
        <f>IF('01_Вводные'!$B$234="Да",'19_Расчет_аналитики'!AL4667*'01_Вводные'!$B$76,0)</f>
        <v/>
      </c>
      <c r="AM4668">
        <f>IF('01_Вводные'!$B$234="Да",'19_Расчет_аналитики'!AM4667*'01_Вводные'!$B$76,0)</f>
        <v/>
      </c>
      <c r="AN4668">
        <f>IF('01_Вводные'!$B$234="Да",'19_Расчет_аналитики'!AN4667*'01_Вводные'!$B$76,0)</f>
        <v/>
      </c>
      <c r="AO4668">
        <f>IF('01_Вводные'!$B$234="Да",'19_Расчет_аналитики'!AO4667*'01_Вводные'!$B$76,0)</f>
        <v/>
      </c>
      <c r="AP4668">
        <f>IF('01_Вводные'!$B$234="Да",'19_Расчет_аналитики'!AP4667*'01_Вводные'!$B$76,0)</f>
        <v/>
      </c>
      <c r="AQ4668">
        <f>IF('01_Вводные'!$B$234="Да",'19_Расчет_аналитики'!AQ4667*'01_Вводные'!$B$76,0)</f>
        <v/>
      </c>
      <c r="AR4668">
        <f>IF('01_Вводные'!$B$234="Да",'19_Расчет_аналитики'!AR4667*'01_Вводные'!$B$76,0)</f>
        <v/>
      </c>
      <c r="AS4668">
        <f>IF('01_Вводные'!$B$234="Да",'19_Расчет_аналитики'!AS4667*'01_Вводные'!$B$76,0)</f>
        <v/>
      </c>
      <c r="AT4668">
        <f>IF('01_Вводные'!$B$234="Да",'19_Расчет_аналитики'!AT4667*'01_Вводные'!$B$76,0)</f>
        <v/>
      </c>
      <c r="AU4668">
        <f>IF('01_Вводные'!$B$234="Да",'19_Расчет_аналитики'!AU4667*'01_Вводные'!$B$76,0)</f>
        <v/>
      </c>
      <c r="AV4668">
        <f>IF('01_Вводные'!$B$234="Да",'19_Расчет_аналитики'!AV4667*'01_Вводные'!$B$76,0)</f>
        <v/>
      </c>
      <c r="AW4668">
        <f>IF('01_Вводные'!$B$234="Да",'19_Расчет_аналитики'!AW4667*'01_Вводные'!$B$76,0)</f>
        <v/>
      </c>
      <c r="AX4668">
        <f>IF('01_Вводные'!$B$234="Да",'19_Расчет_аналитики'!AX4667*'01_Вводные'!$B$76,0)</f>
        <v/>
      </c>
      <c r="AY4668">
        <f>IF('01_Вводные'!$B$234="Да",'19_Расчет_аналитики'!AY4667*'01_Вводные'!$B$76,0)</f>
        <v/>
      </c>
      <c r="AZ4668">
        <f>IF('01_Вводные'!$B$234="Да",'19_Расчет_аналитики'!AZ4667*'01_Вводные'!$B$76,0)</f>
        <v/>
      </c>
      <c r="BA4668">
        <f>IF('01_Вводные'!$B$234="Да",'19_Расчет_аналитики'!BA4667*'01_Вводные'!$B$76,0)</f>
        <v/>
      </c>
      <c r="BB4668">
        <f>IF('01_Вводные'!$B$234="Да",'19_Расчет_аналитики'!BB4667*'01_Вводные'!$B$76,0)</f>
        <v/>
      </c>
      <c r="BC4668">
        <f>IF('01_Вводные'!$B$234="Да",'19_Расчет_аналитики'!BC4667*'01_Вводные'!$B$76,0)</f>
        <v/>
      </c>
      <c r="BD4668">
        <f>IF('01_Вводные'!$B$234="Да",'19_Расчет_аналитики'!BD4667*'01_Вводные'!$B$76,0)</f>
        <v/>
      </c>
      <c r="BE4668">
        <f>IF('01_Вводные'!$B$234="Да",'19_Расчет_аналитики'!BE4667*'01_Вводные'!$B$76,0)</f>
        <v/>
      </c>
      <c r="BF4668">
        <f>IF('01_Вводные'!$B$234="Да",'19_Расчет_аналитики'!BF4667*'01_Вводные'!$B$76,0)</f>
        <v/>
      </c>
      <c r="BG4668">
        <f>IF('01_Вводные'!$B$234="Да",'19_Расчет_аналитики'!BG4667*'01_Вводные'!$B$76,0)</f>
        <v/>
      </c>
      <c r="BH4668">
        <f>IF('01_Вводные'!$B$234="Да",'19_Расчет_аналитики'!BH4667*'01_Вводные'!$B$76,0)</f>
        <v/>
      </c>
      <c r="BI4668">
        <f>IF('01_Вводные'!$B$234="Да",'19_Расчет_аналитики'!BI4667*'01_Вводные'!$B$76,0)</f>
        <v/>
      </c>
      <c r="BJ4668">
        <f>IF('01_Вводные'!$B$234="Да",'19_Расчет_аналитики'!BJ4667*'01_Вводные'!$B$76,0)</f>
        <v/>
      </c>
      <c r="BK4668">
        <f>IF('01_Вводные'!$B$234="Да",'19_Расчет_аналитики'!BK4667*'01_Вводные'!$B$76,0)</f>
        <v/>
      </c>
      <c r="BL4668">
        <f>IF('01_Вводные'!$B$234="Да",'19_Расчет_аналитики'!BL4667*'01_Вводные'!$B$76,0)</f>
        <v/>
      </c>
      <c r="BM4668">
        <f>IF('01_Вводные'!$B$234="Да",'19_Расчет_аналитики'!BM4667*'01_Вводные'!$B$76,0)</f>
        <v/>
      </c>
      <c r="BN4668">
        <f>IF('01_Вводные'!$B$234="Да",'19_Расчет_аналитики'!BN4667*'01_Вводные'!$B$76,0)</f>
        <v/>
      </c>
      <c r="BO4668">
        <f>IF('01_Вводные'!$B$234="Да",'19_Расчет_аналитики'!BO4667*'01_Вводные'!$B$76,0)</f>
        <v/>
      </c>
    </row>
    <row r="4669"/>
    <row r="4670"/>
    <row r="4671">
      <c r="C4671">
        <f>IF('01_Вводные'!$B$234="Да",'19_Расчет_аналитики'!B4675,0)</f>
        <v/>
      </c>
      <c r="D4671">
        <f>IF('01_Вводные'!$B$234="Да",'19_Расчет_аналитики'!C4675,0)</f>
        <v/>
      </c>
      <c r="E4671">
        <f>IF('01_Вводные'!$B$234="Да",'19_Расчет_аналитики'!D4675,0)</f>
        <v/>
      </c>
      <c r="F4671">
        <f>IF('01_Вводные'!$B$234="Да",'19_Расчет_аналитики'!E4675,0)</f>
        <v/>
      </c>
      <c r="G4671">
        <f>IF('01_Вводные'!$B$234="Да",'19_Расчет_аналитики'!F4675,0)</f>
        <v/>
      </c>
      <c r="H4671">
        <f>IF('01_Вводные'!$B$234="Да",'19_Расчет_аналитики'!G4675,0)</f>
        <v/>
      </c>
      <c r="I4671">
        <f>IF('01_Вводные'!$B$234="Да",'19_Расчет_аналитики'!H4675,0)</f>
        <v/>
      </c>
      <c r="J4671">
        <f>IF('01_Вводные'!$B$234="Да",'19_Расчет_аналитики'!I4675,0)</f>
        <v/>
      </c>
      <c r="K4671">
        <f>IF('01_Вводные'!$B$234="Да",'19_Расчет_аналитики'!J4675,0)</f>
        <v/>
      </c>
      <c r="L4671">
        <f>IF('01_Вводные'!$B$234="Да",'19_Расчет_аналитики'!K4675,0)</f>
        <v/>
      </c>
      <c r="M4671">
        <f>IF('01_Вводные'!$B$234="Да",'19_Расчет_аналитики'!L4675,0)</f>
        <v/>
      </c>
      <c r="N4671">
        <f>IF('01_Вводные'!$B$234="Да",'19_Расчет_аналитики'!M4675,0)</f>
        <v/>
      </c>
      <c r="O4671">
        <f>IF('01_Вводные'!$B$234="Да",'19_Расчет_аналитики'!N4675,0)</f>
        <v/>
      </c>
      <c r="P4671">
        <f>IF('01_Вводные'!$B$234="Да",'19_Расчет_аналитики'!O4675,0)</f>
        <v/>
      </c>
      <c r="Q4671">
        <f>IF('01_Вводные'!$B$234="Да",'19_Расчет_аналитики'!P4675,0)</f>
        <v/>
      </c>
      <c r="R4671">
        <f>IF('01_Вводные'!$B$234="Да",'19_Расчет_аналитики'!Q4675,0)</f>
        <v/>
      </c>
      <c r="S4671">
        <f>IF('01_Вводные'!$B$234="Да",'19_Расчет_аналитики'!R4675,0)</f>
        <v/>
      </c>
      <c r="T4671">
        <f>IF('01_Вводные'!$B$234="Да",'19_Расчет_аналитики'!S4675,0)</f>
        <v/>
      </c>
      <c r="U4671">
        <f>IF('01_Вводные'!$B$234="Да",'19_Расчет_аналитики'!T4675,0)</f>
        <v/>
      </c>
      <c r="V4671">
        <f>IF('01_Вводные'!$B$234="Да",'19_Расчет_аналитики'!U4675,0)</f>
        <v/>
      </c>
      <c r="W4671">
        <f>IF('01_Вводные'!$B$234="Да",'19_Расчет_аналитики'!V4675,0)</f>
        <v/>
      </c>
      <c r="X4671">
        <f>IF('01_Вводные'!$B$234="Да",'19_Расчет_аналитики'!W4675,0)</f>
        <v/>
      </c>
      <c r="Y4671">
        <f>IF('01_Вводные'!$B$234="Да",'19_Расчет_аналитики'!X4675,0)</f>
        <v/>
      </c>
      <c r="Z4671">
        <f>IF('01_Вводные'!$B$234="Да",'19_Расчет_аналитики'!Y4675,0)</f>
        <v/>
      </c>
      <c r="AA4671">
        <f>IF('01_Вводные'!$B$234="Да",'19_Расчет_аналитики'!Z4675,0)</f>
        <v/>
      </c>
      <c r="AB4671">
        <f>IF('01_Вводные'!$B$234="Да",'19_Расчет_аналитики'!AA4675,0)</f>
        <v/>
      </c>
      <c r="AC4671">
        <f>IF('01_Вводные'!$B$234="Да",'19_Расчет_аналитики'!AB4675,0)</f>
        <v/>
      </c>
      <c r="AD4671">
        <f>IF('01_Вводные'!$B$234="Да",'19_Расчет_аналитики'!AC4675,0)</f>
        <v/>
      </c>
      <c r="AE4671">
        <f>IF('01_Вводные'!$B$234="Да",'19_Расчет_аналитики'!AD4675,0)</f>
        <v/>
      </c>
      <c r="AF4671">
        <f>IF('01_Вводные'!$B$234="Да",'19_Расчет_аналитики'!AE4675,0)</f>
        <v/>
      </c>
      <c r="AG4671">
        <f>IF('01_Вводные'!$B$234="Да",'19_Расчет_аналитики'!AF4675,0)</f>
        <v/>
      </c>
      <c r="AH4671">
        <f>IF('01_Вводные'!$B$234="Да",'19_Расчет_аналитики'!AG4675,0)</f>
        <v/>
      </c>
      <c r="AI4671">
        <f>IF('01_Вводные'!$B$234="Да",'19_Расчет_аналитики'!AH4675,0)</f>
        <v/>
      </c>
      <c r="AJ4671">
        <f>IF('01_Вводные'!$B$234="Да",'19_Расчет_аналитики'!AI4675,0)</f>
        <v/>
      </c>
      <c r="AK4671">
        <f>IF('01_Вводные'!$B$234="Да",'19_Расчет_аналитики'!AJ4675,0)</f>
        <v/>
      </c>
      <c r="AL4671">
        <f>IF('01_Вводные'!$B$234="Да",'19_Расчет_аналитики'!AK4675,0)</f>
        <v/>
      </c>
      <c r="AM4671">
        <f>IF('01_Вводные'!$B$234="Да",'19_Расчет_аналитики'!AL4675,0)</f>
        <v/>
      </c>
      <c r="AN4671">
        <f>IF('01_Вводные'!$B$234="Да",'19_Расчет_аналитики'!AM4675,0)</f>
        <v/>
      </c>
      <c r="AO4671">
        <f>IF('01_Вводные'!$B$234="Да",'19_Расчет_аналитики'!AN4675,0)</f>
        <v/>
      </c>
      <c r="AP4671">
        <f>IF('01_Вводные'!$B$234="Да",'19_Расчет_аналитики'!AO4675,0)</f>
        <v/>
      </c>
      <c r="AQ4671">
        <f>IF('01_Вводные'!$B$234="Да",'19_Расчет_аналитики'!AP4675,0)</f>
        <v/>
      </c>
      <c r="AR4671">
        <f>IF('01_Вводные'!$B$234="Да",'19_Расчет_аналитики'!AQ4675,0)</f>
        <v/>
      </c>
      <c r="AS4671">
        <f>IF('01_Вводные'!$B$234="Да",'19_Расчет_аналитики'!AR4675,0)</f>
        <v/>
      </c>
      <c r="AT4671">
        <f>IF('01_Вводные'!$B$234="Да",'19_Расчет_аналитики'!AS4675,0)</f>
        <v/>
      </c>
      <c r="AU4671">
        <f>IF('01_Вводные'!$B$234="Да",'19_Расчет_аналитики'!AT4675,0)</f>
        <v/>
      </c>
      <c r="AV4671">
        <f>IF('01_Вводные'!$B$234="Да",'19_Расчет_аналитики'!AU4675,0)</f>
        <v/>
      </c>
      <c r="AW4671">
        <f>IF('01_Вводные'!$B$234="Да",'19_Расчет_аналитики'!AV4675,0)</f>
        <v/>
      </c>
      <c r="AX4671">
        <f>IF('01_Вводные'!$B$234="Да",'19_Расчет_аналитики'!AW4675,0)</f>
        <v/>
      </c>
      <c r="AY4671">
        <f>IF('01_Вводные'!$B$234="Да",'19_Расчет_аналитики'!AX4675,0)</f>
        <v/>
      </c>
      <c r="AZ4671">
        <f>IF('01_Вводные'!$B$234="Да",'19_Расчет_аналитики'!AY4675,0)</f>
        <v/>
      </c>
      <c r="BA4671">
        <f>IF('01_Вводные'!$B$234="Да",'19_Расчет_аналитики'!AZ4675,0)</f>
        <v/>
      </c>
      <c r="BB4671">
        <f>IF('01_Вводные'!$B$234="Да",'19_Расчет_аналитики'!BA4675,0)</f>
        <v/>
      </c>
      <c r="BC4671">
        <f>IF('01_Вводные'!$B$234="Да",'19_Расчет_аналитики'!BB4675,0)</f>
        <v/>
      </c>
      <c r="BD4671">
        <f>IF('01_Вводные'!$B$234="Да",'19_Расчет_аналитики'!BC4675,0)</f>
        <v/>
      </c>
      <c r="BE4671">
        <f>IF('01_Вводные'!$B$234="Да",'19_Расчет_аналитики'!BD4675,0)</f>
        <v/>
      </c>
      <c r="BF4671">
        <f>IF('01_Вводные'!$B$234="Да",'19_Расчет_аналитики'!BE4675,0)</f>
        <v/>
      </c>
      <c r="BG4671">
        <f>IF('01_Вводные'!$B$234="Да",'19_Расчет_аналитики'!BF4675,0)</f>
        <v/>
      </c>
      <c r="BH4671">
        <f>IF('01_Вводные'!$B$234="Да",'19_Расчет_аналитики'!BG4675,0)</f>
        <v/>
      </c>
      <c r="BI4671">
        <f>IF('01_Вводные'!$B$234="Да",'19_Расчет_аналитики'!BH4675,0)</f>
        <v/>
      </c>
      <c r="BJ4671">
        <f>IF('01_Вводные'!$B$234="Да",'19_Расчет_аналитики'!BI4675,0)</f>
        <v/>
      </c>
      <c r="BK4671">
        <f>IF('01_Вводные'!$B$234="Да",'19_Расчет_аналитики'!BJ4675,0)</f>
        <v/>
      </c>
      <c r="BL4671">
        <f>IF('01_Вводные'!$B$234="Да",'19_Расчет_аналитики'!BK4675,0)</f>
        <v/>
      </c>
      <c r="BM4671">
        <f>IF('01_Вводные'!$B$234="Да",'19_Расчет_аналитики'!BL4675,0)</f>
        <v/>
      </c>
      <c r="BN4671">
        <f>IF('01_Вводные'!$B$234="Да",'19_Расчет_аналитики'!BM4675,0)</f>
        <v/>
      </c>
      <c r="BO4671">
        <f>IF('01_Вводные'!$B$234="Да",'19_Расчет_аналитики'!BN4675,0)</f>
        <v/>
      </c>
    </row>
    <row r="4672">
      <c r="B4672">
        <f>IF('01_Вводные'!$B$234="Да",'19_Расчет_аналитики'!B4665,0)</f>
        <v/>
      </c>
      <c r="C4672">
        <f>IF('01_Вводные'!$B$234="Да",'19_Расчет_аналитики'!C4665,0)</f>
        <v/>
      </c>
      <c r="D4672">
        <f>IF('01_Вводные'!$B$234="Да",'19_Расчет_аналитики'!D4665,0)</f>
        <v/>
      </c>
      <c r="E4672">
        <f>IF('01_Вводные'!$B$234="Да",'19_Расчет_аналитики'!E4665,0)</f>
        <v/>
      </c>
      <c r="F4672">
        <f>IF('01_Вводные'!$B$234="Да",'19_Расчет_аналитики'!F4665,0)</f>
        <v/>
      </c>
      <c r="G4672">
        <f>IF('01_Вводные'!$B$234="Да",'19_Расчет_аналитики'!G4665,0)</f>
        <v/>
      </c>
      <c r="H4672">
        <f>IF('01_Вводные'!$B$234="Да",'19_Расчет_аналитики'!H4665,0)</f>
        <v/>
      </c>
      <c r="I4672">
        <f>IF('01_Вводные'!$B$234="Да",'19_Расчет_аналитики'!I4665,0)</f>
        <v/>
      </c>
      <c r="J4672">
        <f>IF('01_Вводные'!$B$234="Да",'19_Расчет_аналитики'!J4665,0)</f>
        <v/>
      </c>
      <c r="K4672">
        <f>IF('01_Вводные'!$B$234="Да",'19_Расчет_аналитики'!K4665,0)</f>
        <v/>
      </c>
      <c r="L4672">
        <f>IF('01_Вводные'!$B$234="Да",'19_Расчет_аналитики'!L4665,0)</f>
        <v/>
      </c>
      <c r="M4672">
        <f>IF('01_Вводные'!$B$234="Да",'19_Расчет_аналитики'!M4665,0)</f>
        <v/>
      </c>
      <c r="N4672">
        <f>IF('01_Вводные'!$B$234="Да",'19_Расчет_аналитики'!N4665,0)</f>
        <v/>
      </c>
      <c r="O4672">
        <f>IF('01_Вводные'!$B$234="Да",'19_Расчет_аналитики'!O4665,0)</f>
        <v/>
      </c>
      <c r="P4672">
        <f>IF('01_Вводные'!$B$234="Да",'19_Расчет_аналитики'!P4665,0)</f>
        <v/>
      </c>
      <c r="Q4672">
        <f>IF('01_Вводные'!$B$234="Да",'19_Расчет_аналитики'!Q4665,0)</f>
        <v/>
      </c>
      <c r="R4672">
        <f>IF('01_Вводные'!$B$234="Да",'19_Расчет_аналитики'!R4665,0)</f>
        <v/>
      </c>
      <c r="S4672">
        <f>IF('01_Вводные'!$B$234="Да",'19_Расчет_аналитики'!S4665,0)</f>
        <v/>
      </c>
      <c r="T4672">
        <f>IF('01_Вводные'!$B$234="Да",'19_Расчет_аналитики'!T4665,0)</f>
        <v/>
      </c>
      <c r="U4672">
        <f>IF('01_Вводные'!$B$234="Да",'19_Расчет_аналитики'!U4665,0)</f>
        <v/>
      </c>
      <c r="V4672">
        <f>IF('01_Вводные'!$B$234="Да",'19_Расчет_аналитики'!V4665,0)</f>
        <v/>
      </c>
      <c r="W4672">
        <f>IF('01_Вводные'!$B$234="Да",'19_Расчет_аналитики'!W4665,0)</f>
        <v/>
      </c>
      <c r="X4672">
        <f>IF('01_Вводные'!$B$234="Да",'19_Расчет_аналитики'!X4665,0)</f>
        <v/>
      </c>
      <c r="Y4672">
        <f>IF('01_Вводные'!$B$234="Да",'19_Расчет_аналитики'!Y4665,0)</f>
        <v/>
      </c>
      <c r="Z4672">
        <f>IF('01_Вводные'!$B$234="Да",'19_Расчет_аналитики'!Z4665,0)</f>
        <v/>
      </c>
      <c r="AA4672">
        <f>IF('01_Вводные'!$B$234="Да",'19_Расчет_аналитики'!AA4665,0)</f>
        <v/>
      </c>
      <c r="AB4672">
        <f>IF('01_Вводные'!$B$234="Да",'19_Расчет_аналитики'!AB4665,0)</f>
        <v/>
      </c>
      <c r="AC4672">
        <f>IF('01_Вводные'!$B$234="Да",'19_Расчет_аналитики'!AC4665,0)</f>
        <v/>
      </c>
      <c r="AD4672">
        <f>IF('01_Вводные'!$B$234="Да",'19_Расчет_аналитики'!AD4665,0)</f>
        <v/>
      </c>
      <c r="AE4672">
        <f>IF('01_Вводные'!$B$234="Да",'19_Расчет_аналитики'!AE4665,0)</f>
        <v/>
      </c>
      <c r="AF4672">
        <f>IF('01_Вводные'!$B$234="Да",'19_Расчет_аналитики'!AF4665,0)</f>
        <v/>
      </c>
      <c r="AG4672">
        <f>IF('01_Вводные'!$B$234="Да",'19_Расчет_аналитики'!AG4665,0)</f>
        <v/>
      </c>
      <c r="AH4672">
        <f>IF('01_Вводные'!$B$234="Да",'19_Расчет_аналитики'!AH4665,0)</f>
        <v/>
      </c>
      <c r="AI4672">
        <f>IF('01_Вводные'!$B$234="Да",'19_Расчет_аналитики'!AI4665,0)</f>
        <v/>
      </c>
      <c r="AJ4672">
        <f>IF('01_Вводные'!$B$234="Да",'19_Расчет_аналитики'!AJ4665,0)</f>
        <v/>
      </c>
      <c r="AK4672">
        <f>IF('01_Вводные'!$B$234="Да",'19_Расчет_аналитики'!AK4665,0)</f>
        <v/>
      </c>
      <c r="AL4672">
        <f>IF('01_Вводные'!$B$234="Да",'19_Расчет_аналитики'!AL4665,0)</f>
        <v/>
      </c>
      <c r="AM4672">
        <f>IF('01_Вводные'!$B$234="Да",'19_Расчет_аналитики'!AM4665,0)</f>
        <v/>
      </c>
      <c r="AN4672">
        <f>IF('01_Вводные'!$B$234="Да",'19_Расчет_аналитики'!AN4665,0)</f>
        <v/>
      </c>
      <c r="AO4672">
        <f>IF('01_Вводные'!$B$234="Да",'19_Расчет_аналитики'!AO4665,0)</f>
        <v/>
      </c>
      <c r="AP4672">
        <f>IF('01_Вводные'!$B$234="Да",'19_Расчет_аналитики'!AP4665,0)</f>
        <v/>
      </c>
      <c r="AQ4672">
        <f>IF('01_Вводные'!$B$234="Да",'19_Расчет_аналитики'!AQ4665,0)</f>
        <v/>
      </c>
      <c r="AR4672">
        <f>IF('01_Вводные'!$B$234="Да",'19_Расчет_аналитики'!AR4665,0)</f>
        <v/>
      </c>
      <c r="AS4672">
        <f>IF('01_Вводные'!$B$234="Да",'19_Расчет_аналитики'!AS4665,0)</f>
        <v/>
      </c>
      <c r="AT4672">
        <f>IF('01_Вводные'!$B$234="Да",'19_Расчет_аналитики'!AT4665,0)</f>
        <v/>
      </c>
      <c r="AU4672">
        <f>IF('01_Вводные'!$B$234="Да",'19_Расчет_аналитики'!AU4665,0)</f>
        <v/>
      </c>
      <c r="AV4672">
        <f>IF('01_Вводные'!$B$234="Да",'19_Расчет_аналитики'!AV4665,0)</f>
        <v/>
      </c>
      <c r="AW4672">
        <f>IF('01_Вводные'!$B$234="Да",'19_Расчет_аналитики'!AW4665,0)</f>
        <v/>
      </c>
      <c r="AX4672">
        <f>IF('01_Вводные'!$B$234="Да",'19_Расчет_аналитики'!AX4665,0)</f>
        <v/>
      </c>
      <c r="AY4672">
        <f>IF('01_Вводные'!$B$234="Да",'19_Расчет_аналитики'!AY4665,0)</f>
        <v/>
      </c>
      <c r="AZ4672">
        <f>IF('01_Вводные'!$B$234="Да",'19_Расчет_аналитики'!AZ4665,0)</f>
        <v/>
      </c>
      <c r="BA4672">
        <f>IF('01_Вводные'!$B$234="Да",'19_Расчет_аналитики'!BA4665,0)</f>
        <v/>
      </c>
      <c r="BB4672">
        <f>IF('01_Вводные'!$B$234="Да",'19_Расчет_аналитики'!BB4665,0)</f>
        <v/>
      </c>
      <c r="BC4672">
        <f>IF('01_Вводные'!$B$234="Да",'19_Расчет_аналитики'!BC4665,0)</f>
        <v/>
      </c>
      <c r="BD4672">
        <f>IF('01_Вводные'!$B$234="Да",'19_Расчет_аналитики'!BD4665,0)</f>
        <v/>
      </c>
      <c r="BE4672">
        <f>IF('01_Вводные'!$B$234="Да",'19_Расчет_аналитики'!BE4665,0)</f>
        <v/>
      </c>
      <c r="BF4672">
        <f>IF('01_Вводные'!$B$234="Да",'19_Расчет_аналитики'!BF4665,0)</f>
        <v/>
      </c>
      <c r="BG4672">
        <f>IF('01_Вводные'!$B$234="Да",'19_Расчет_аналитики'!BG4665,0)</f>
        <v/>
      </c>
      <c r="BH4672">
        <f>IF('01_Вводные'!$B$234="Да",'19_Расчет_аналитики'!BH4665,0)</f>
        <v/>
      </c>
      <c r="BI4672">
        <f>IF('01_Вводные'!$B$234="Да",'19_Расчет_аналитики'!BI4665,0)</f>
        <v/>
      </c>
      <c r="BJ4672">
        <f>IF('01_Вводные'!$B$234="Да",'19_Расчет_аналитики'!BJ4665,0)</f>
        <v/>
      </c>
      <c r="BK4672">
        <f>IF('01_Вводные'!$B$234="Да",'19_Расчет_аналитики'!BK4665,0)</f>
        <v/>
      </c>
      <c r="BL4672">
        <f>IF('01_Вводные'!$B$234="Да",'19_Расчет_аналитики'!BL4665,0)</f>
        <v/>
      </c>
      <c r="BM4672">
        <f>IF('01_Вводные'!$B$234="Да",'19_Расчет_аналитики'!BM4665,0)</f>
        <v/>
      </c>
      <c r="BN4672">
        <f>IF('01_Вводные'!$B$234="Да",'19_Расчет_аналитики'!BN4665,0)</f>
        <v/>
      </c>
      <c r="BO4672">
        <f>IF('01_Вводные'!$B$234="Да",'19_Расчет_аналитики'!BO4665,0)</f>
        <v/>
      </c>
    </row>
    <row r="4673">
      <c r="B4673">
        <f>IF('01_Вводные'!$B$234="Да",SUM(IF('01_Вводные'!$B$80&gt;=1,'19_Расчет_аналитики'!C4665,0),IF('01_Вводные'!$B$80&gt;=2,'19_Расчет_аналитики'!D4665,0),IF('01_Вводные'!$B$80&gt;=3,'19_Расчет_аналитики'!E4665,0),IF('01_Вводные'!$B$80&gt;=4,'19_Расчет_аналитики'!F4665,0),IF('01_Вводные'!$B$80&gt;=5,'19_Расчет_аналитики'!G4665,0),IF('01_Вводные'!$B$80&gt;=6,'19_Расчет_аналитики'!H4665,0)),0)</f>
        <v/>
      </c>
      <c r="C4673">
        <f>IF('01_Вводные'!$B$234="Да",SUM(IF('01_Вводные'!$B$80&gt;=1,'19_Расчет_аналитики'!D4665,0),IF('01_Вводные'!$B$80&gt;=2,'19_Расчет_аналитики'!E4665,0),IF('01_Вводные'!$B$80&gt;=3,'19_Расчет_аналитики'!F4665,0),IF('01_Вводные'!$B$80&gt;=4,'19_Расчет_аналитики'!G4665,0),IF('01_Вводные'!$B$80&gt;=5,'19_Расчет_аналитики'!H4665,0),IF('01_Вводные'!$B$80&gt;=6,'19_Расчет_аналитики'!I4665,0)),0)</f>
        <v/>
      </c>
      <c r="D4673">
        <f>IF('01_Вводные'!$B$234="Да",SUM(IF('01_Вводные'!$B$80&gt;=1,'19_Расчет_аналитики'!E4665,0),IF('01_Вводные'!$B$80&gt;=2,'19_Расчет_аналитики'!F4665,0),IF('01_Вводные'!$B$80&gt;=3,'19_Расчет_аналитики'!G4665,0),IF('01_Вводные'!$B$80&gt;=4,'19_Расчет_аналитики'!H4665,0),IF('01_Вводные'!$B$80&gt;=5,'19_Расчет_аналитики'!I4665,0),IF('01_Вводные'!$B$80&gt;=6,'19_Расчет_аналитики'!J4665,0)),0)</f>
        <v/>
      </c>
      <c r="E4673">
        <f>IF('01_Вводные'!$B$234="Да",SUM(IF('01_Вводные'!$B$80&gt;=1,'19_Расчет_аналитики'!F4665,0),IF('01_Вводные'!$B$80&gt;=2,'19_Расчет_аналитики'!G4665,0),IF('01_Вводные'!$B$80&gt;=3,'19_Расчет_аналитики'!H4665,0),IF('01_Вводные'!$B$80&gt;=4,'19_Расчет_аналитики'!I4665,0),IF('01_Вводные'!$B$80&gt;=5,'19_Расчет_аналитики'!J4665,0),IF('01_Вводные'!$B$80&gt;=6,'19_Расчет_аналитики'!K4665,0)),0)</f>
        <v/>
      </c>
      <c r="F4673">
        <f>IF('01_Вводные'!$B$234="Да",SUM(IF('01_Вводные'!$B$80&gt;=1,'19_Расчет_аналитики'!G4665,0),IF('01_Вводные'!$B$80&gt;=2,'19_Расчет_аналитики'!H4665,0),IF('01_Вводные'!$B$80&gt;=3,'19_Расчет_аналитики'!I4665,0),IF('01_Вводные'!$B$80&gt;=4,'19_Расчет_аналитики'!J4665,0),IF('01_Вводные'!$B$80&gt;=5,'19_Расчет_аналитики'!K4665,0),IF('01_Вводные'!$B$80&gt;=6,'19_Расчет_аналитики'!L4665,0)),0)</f>
        <v/>
      </c>
      <c r="G4673">
        <f>IF('01_Вводные'!$B$234="Да",SUM(IF('01_Вводные'!$B$80&gt;=1,'19_Расчет_аналитики'!H4665,0),IF('01_Вводные'!$B$80&gt;=2,'19_Расчет_аналитики'!I4665,0),IF('01_Вводные'!$B$80&gt;=3,'19_Расчет_аналитики'!J4665,0),IF('01_Вводные'!$B$80&gt;=4,'19_Расчет_аналитики'!K4665,0),IF('01_Вводные'!$B$80&gt;=5,'19_Расчет_аналитики'!L4665,0),IF('01_Вводные'!$B$80&gt;=6,'19_Расчет_аналитики'!M4665,0)),0)</f>
        <v/>
      </c>
      <c r="H4673">
        <f>IF('01_Вводные'!$B$234="Да",SUM(IF('01_Вводные'!$B$80&gt;=1,'19_Расчет_аналитики'!I4665,0),IF('01_Вводные'!$B$80&gt;=2,'19_Расчет_аналитики'!J4665,0),IF('01_Вводные'!$B$80&gt;=3,'19_Расчет_аналитики'!K4665,0),IF('01_Вводные'!$B$80&gt;=4,'19_Расчет_аналитики'!L4665,0),IF('01_Вводные'!$B$80&gt;=5,'19_Расчет_аналитики'!M4665,0),IF('01_Вводные'!$B$80&gt;=6,'19_Расчет_аналитики'!N4665,0)),0)</f>
        <v/>
      </c>
      <c r="I4673">
        <f>IF('01_Вводные'!$B$234="Да",SUM(IF('01_Вводные'!$B$80&gt;=1,'19_Расчет_аналитики'!J4665,0),IF('01_Вводные'!$B$80&gt;=2,'19_Расчет_аналитики'!K4665,0),IF('01_Вводные'!$B$80&gt;=3,'19_Расчет_аналитики'!L4665,0),IF('01_Вводные'!$B$80&gt;=4,'19_Расчет_аналитики'!M4665,0),IF('01_Вводные'!$B$80&gt;=5,'19_Расчет_аналитики'!N4665,0),IF('01_Вводные'!$B$80&gt;=6,'19_Расчет_аналитики'!O4665,0)),0)</f>
        <v/>
      </c>
      <c r="J4673">
        <f>IF('01_Вводные'!$B$234="Да",SUM(IF('01_Вводные'!$B$80&gt;=1,'19_Расчет_аналитики'!K4665,0),IF('01_Вводные'!$B$80&gt;=2,'19_Расчет_аналитики'!L4665,0),IF('01_Вводные'!$B$80&gt;=3,'19_Расчет_аналитики'!M4665,0),IF('01_Вводные'!$B$80&gt;=4,'19_Расчет_аналитики'!N4665,0),IF('01_Вводные'!$B$80&gt;=5,'19_Расчет_аналитики'!O4665,0),IF('01_Вводные'!$B$80&gt;=6,'19_Расчет_аналитики'!P4665,0)),0)</f>
        <v/>
      </c>
      <c r="K4673">
        <f>IF('01_Вводные'!$B$234="Да",SUM(IF('01_Вводные'!$B$80&gt;=1,'19_Расчет_аналитики'!L4665,0),IF('01_Вводные'!$B$80&gt;=2,'19_Расчет_аналитики'!M4665,0),IF('01_Вводные'!$B$80&gt;=3,'19_Расчет_аналитики'!N4665,0),IF('01_Вводные'!$B$80&gt;=4,'19_Расчет_аналитики'!O4665,0),IF('01_Вводные'!$B$80&gt;=5,'19_Расчет_аналитики'!P4665,0),IF('01_Вводные'!$B$80&gt;=6,'19_Расчет_аналитики'!Q4665,0)),0)</f>
        <v/>
      </c>
      <c r="L4673">
        <f>IF('01_Вводные'!$B$234="Да",SUM(IF('01_Вводные'!$B$80&gt;=1,'19_Расчет_аналитики'!M4665,0),IF('01_Вводные'!$B$80&gt;=2,'19_Расчет_аналитики'!N4665,0),IF('01_Вводные'!$B$80&gt;=3,'19_Расчет_аналитики'!O4665,0),IF('01_Вводные'!$B$80&gt;=4,'19_Расчет_аналитики'!P4665,0),IF('01_Вводные'!$B$80&gt;=5,'19_Расчет_аналитики'!Q4665,0),IF('01_Вводные'!$B$80&gt;=6,'19_Расчет_аналитики'!R4665,0)),0)</f>
        <v/>
      </c>
      <c r="M4673">
        <f>IF('01_Вводные'!$B$234="Да",SUM(IF('01_Вводные'!$B$80&gt;=1,'19_Расчет_аналитики'!N4665,0),IF('01_Вводные'!$B$80&gt;=2,'19_Расчет_аналитики'!O4665,0),IF('01_Вводные'!$B$80&gt;=3,'19_Расчет_аналитики'!P4665,0),IF('01_Вводные'!$B$80&gt;=4,'19_Расчет_аналитики'!Q4665,0),IF('01_Вводные'!$B$80&gt;=5,'19_Расчет_аналитики'!R4665,0),IF('01_Вводные'!$B$80&gt;=6,'19_Расчет_аналитики'!S4665,0)),0)</f>
        <v/>
      </c>
      <c r="N4673">
        <f>IF('01_Вводные'!$B$234="Да",SUM(IF('01_Вводные'!$B$80&gt;=1,'19_Расчет_аналитики'!O4665,0),IF('01_Вводные'!$B$80&gt;=2,'19_Расчет_аналитики'!P4665,0),IF('01_Вводные'!$B$80&gt;=3,'19_Расчет_аналитики'!Q4665,0),IF('01_Вводные'!$B$80&gt;=4,'19_Расчет_аналитики'!R4665,0),IF('01_Вводные'!$B$80&gt;=5,'19_Расчет_аналитики'!S4665,0),IF('01_Вводные'!$B$80&gt;=6,'19_Расчет_аналитики'!T4665,0)),0)</f>
        <v/>
      </c>
      <c r="O4673">
        <f>IF('01_Вводные'!$B$234="Да",SUM(IF('01_Вводные'!$B$80&gt;=1,'19_Расчет_аналитики'!P4665,0),IF('01_Вводные'!$B$80&gt;=2,'19_Расчет_аналитики'!Q4665,0),IF('01_Вводные'!$B$80&gt;=3,'19_Расчет_аналитики'!R4665,0),IF('01_Вводные'!$B$80&gt;=4,'19_Расчет_аналитики'!S4665,0),IF('01_Вводные'!$B$80&gt;=5,'19_Расчет_аналитики'!T4665,0),IF('01_Вводные'!$B$80&gt;=6,'19_Расчет_аналитики'!U4665,0)),0)</f>
        <v/>
      </c>
      <c r="P4673">
        <f>IF('01_Вводные'!$B$234="Да",SUM(IF('01_Вводные'!$B$80&gt;=1,'19_Расчет_аналитики'!Q4665,0),IF('01_Вводные'!$B$80&gt;=2,'19_Расчет_аналитики'!R4665,0),IF('01_Вводные'!$B$80&gt;=3,'19_Расчет_аналитики'!S4665,0),IF('01_Вводные'!$B$80&gt;=4,'19_Расчет_аналитики'!T4665,0),IF('01_Вводные'!$B$80&gt;=5,'19_Расчет_аналитики'!U4665,0),IF('01_Вводные'!$B$80&gt;=6,'19_Расчет_аналитики'!V4665,0)),0)</f>
        <v/>
      </c>
      <c r="Q4673">
        <f>IF('01_Вводные'!$B$234="Да",SUM(IF('01_Вводные'!$B$80&gt;=1,'19_Расчет_аналитики'!R4665,0),IF('01_Вводные'!$B$80&gt;=2,'19_Расчет_аналитики'!S4665,0),IF('01_Вводные'!$B$80&gt;=3,'19_Расчет_аналитики'!T4665,0),IF('01_Вводные'!$B$80&gt;=4,'19_Расчет_аналитики'!U4665,0),IF('01_Вводные'!$B$80&gt;=5,'19_Расчет_аналитики'!V4665,0),IF('01_Вводные'!$B$80&gt;=6,'19_Расчет_аналитики'!W4665,0)),0)</f>
        <v/>
      </c>
      <c r="R4673">
        <f>IF('01_Вводные'!$B$234="Да",SUM(IF('01_Вводные'!$B$80&gt;=1,'19_Расчет_аналитики'!S4665,0),IF('01_Вводные'!$B$80&gt;=2,'19_Расчет_аналитики'!T4665,0),IF('01_Вводные'!$B$80&gt;=3,'19_Расчет_аналитики'!U4665,0),IF('01_Вводные'!$B$80&gt;=4,'19_Расчет_аналитики'!V4665,0),IF('01_Вводные'!$B$80&gt;=5,'19_Расчет_аналитики'!W4665,0),IF('01_Вводные'!$B$80&gt;=6,'19_Расчет_аналитики'!X4665,0)),0)</f>
        <v/>
      </c>
      <c r="S4673">
        <f>IF('01_Вводные'!$B$234="Да",SUM(IF('01_Вводные'!$B$80&gt;=1,'19_Расчет_аналитики'!T4665,0),IF('01_Вводные'!$B$80&gt;=2,'19_Расчет_аналитики'!U4665,0),IF('01_Вводные'!$B$80&gt;=3,'19_Расчет_аналитики'!V4665,0),IF('01_Вводные'!$B$80&gt;=4,'19_Расчет_аналитики'!W4665,0),IF('01_Вводные'!$B$80&gt;=5,'19_Расчет_аналитики'!X4665,0),IF('01_Вводные'!$B$80&gt;=6,'19_Расчет_аналитики'!Y4665,0)),0)</f>
        <v/>
      </c>
      <c r="T4673">
        <f>IF('01_Вводные'!$B$234="Да",SUM(IF('01_Вводные'!$B$80&gt;=1,'19_Расчет_аналитики'!U4665,0),IF('01_Вводные'!$B$80&gt;=2,'19_Расчет_аналитики'!V4665,0),IF('01_Вводные'!$B$80&gt;=3,'19_Расчет_аналитики'!W4665,0),IF('01_Вводные'!$B$80&gt;=4,'19_Расчет_аналитики'!X4665,0),IF('01_Вводные'!$B$80&gt;=5,'19_Расчет_аналитики'!Y4665,0),IF('01_Вводные'!$B$80&gt;=6,'19_Расчет_аналитики'!Z4665,0)),0)</f>
        <v/>
      </c>
      <c r="U4673">
        <f>IF('01_Вводные'!$B$234="Да",SUM(IF('01_Вводные'!$B$80&gt;=1,'19_Расчет_аналитики'!V4665,0),IF('01_Вводные'!$B$80&gt;=2,'19_Расчет_аналитики'!W4665,0),IF('01_Вводные'!$B$80&gt;=3,'19_Расчет_аналитики'!X4665,0),IF('01_Вводные'!$B$80&gt;=4,'19_Расчет_аналитики'!Y4665,0),IF('01_Вводные'!$B$80&gt;=5,'19_Расчет_аналитики'!Z4665,0),IF('01_Вводные'!$B$80&gt;=6,'19_Расчет_аналитики'!AA4665,0)),0)</f>
        <v/>
      </c>
      <c r="V4673">
        <f>IF('01_Вводные'!$B$234="Да",SUM(IF('01_Вводные'!$B$80&gt;=1,'19_Расчет_аналитики'!W4665,0),IF('01_Вводные'!$B$80&gt;=2,'19_Расчет_аналитики'!X4665,0),IF('01_Вводные'!$B$80&gt;=3,'19_Расчет_аналитики'!Y4665,0),IF('01_Вводные'!$B$80&gt;=4,'19_Расчет_аналитики'!Z4665,0),IF('01_Вводные'!$B$80&gt;=5,'19_Расчет_аналитики'!AA4665,0),IF('01_Вводные'!$B$80&gt;=6,'19_Расчет_аналитики'!AB4665,0)),0)</f>
        <v/>
      </c>
      <c r="W4673">
        <f>IF('01_Вводные'!$B$234="Да",SUM(IF('01_Вводные'!$B$80&gt;=1,'19_Расчет_аналитики'!X4665,0),IF('01_Вводные'!$B$80&gt;=2,'19_Расчет_аналитики'!Y4665,0),IF('01_Вводные'!$B$80&gt;=3,'19_Расчет_аналитики'!Z4665,0),IF('01_Вводные'!$B$80&gt;=4,'19_Расчет_аналитики'!AA4665,0),IF('01_Вводные'!$B$80&gt;=5,'19_Расчет_аналитики'!AB4665,0),IF('01_Вводные'!$B$80&gt;=6,'19_Расчет_аналитики'!AC4665,0)),0)</f>
        <v/>
      </c>
      <c r="X4673">
        <f>IF('01_Вводные'!$B$234="Да",SUM(IF('01_Вводные'!$B$80&gt;=1,'19_Расчет_аналитики'!Y4665,0),IF('01_Вводные'!$B$80&gt;=2,'19_Расчет_аналитики'!Z4665,0),IF('01_Вводные'!$B$80&gt;=3,'19_Расчет_аналитики'!AA4665,0),IF('01_Вводные'!$B$80&gt;=4,'19_Расчет_аналитики'!AB4665,0),IF('01_Вводные'!$B$80&gt;=5,'19_Расчет_аналитики'!AC4665,0),IF('01_Вводные'!$B$80&gt;=6,'19_Расчет_аналитики'!AD4665,0)),0)</f>
        <v/>
      </c>
      <c r="Y4673">
        <f>IF('01_Вводные'!$B$234="Да",SUM(IF('01_Вводные'!$B$80&gt;=1,'19_Расчет_аналитики'!Z4665,0),IF('01_Вводные'!$B$80&gt;=2,'19_Расчет_аналитики'!AA4665,0),IF('01_Вводные'!$B$80&gt;=3,'19_Расчет_аналитики'!AB4665,0),IF('01_Вводные'!$B$80&gt;=4,'19_Расчет_аналитики'!AC4665,0),IF('01_Вводные'!$B$80&gt;=5,'19_Расчет_аналитики'!AD4665,0),IF('01_Вводные'!$B$80&gt;=6,'19_Расчет_аналитики'!AE4665,0)),0)</f>
        <v/>
      </c>
      <c r="Z4673">
        <f>IF('01_Вводные'!$B$234="Да",SUM(IF('01_Вводные'!$B$80&gt;=1,'19_Расчет_аналитики'!AA4665,0),IF('01_Вводные'!$B$80&gt;=2,'19_Расчет_аналитики'!AB4665,0),IF('01_Вводные'!$B$80&gt;=3,'19_Расчет_аналитики'!AC4665,0),IF('01_Вводные'!$B$80&gt;=4,'19_Расчет_аналитики'!AD4665,0),IF('01_Вводные'!$B$80&gt;=5,'19_Расчет_аналитики'!AE4665,0),IF('01_Вводные'!$B$80&gt;=6,'19_Расчет_аналитики'!AF4665,0)),0)</f>
        <v/>
      </c>
      <c r="AA4673">
        <f>IF('01_Вводные'!$B$234="Да",SUM(IF('01_Вводные'!$B$80&gt;=1,'19_Расчет_аналитики'!AB4665,0),IF('01_Вводные'!$B$80&gt;=2,'19_Расчет_аналитики'!AC4665,0),IF('01_Вводные'!$B$80&gt;=3,'19_Расчет_аналитики'!AD4665,0),IF('01_Вводные'!$B$80&gt;=4,'19_Расчет_аналитики'!AE4665,0),IF('01_Вводные'!$B$80&gt;=5,'19_Расчет_аналитики'!AF4665,0),IF('01_Вводные'!$B$80&gt;=6,'19_Расчет_аналитики'!AG4665,0)),0)</f>
        <v/>
      </c>
      <c r="AB4673">
        <f>IF('01_Вводные'!$B$234="Да",SUM(IF('01_Вводные'!$B$80&gt;=1,'19_Расчет_аналитики'!AC4665,0),IF('01_Вводные'!$B$80&gt;=2,'19_Расчет_аналитики'!AD4665,0),IF('01_Вводные'!$B$80&gt;=3,'19_Расчет_аналитики'!AE4665,0),IF('01_Вводные'!$B$80&gt;=4,'19_Расчет_аналитики'!AF4665,0),IF('01_Вводные'!$B$80&gt;=5,'19_Расчет_аналитики'!AG4665,0),IF('01_Вводные'!$B$80&gt;=6,'19_Расчет_аналитики'!AH4665,0)),0)</f>
        <v/>
      </c>
      <c r="AC4673">
        <f>IF('01_Вводные'!$B$234="Да",SUM(IF('01_Вводные'!$B$80&gt;=1,'19_Расчет_аналитики'!AD4665,0),IF('01_Вводные'!$B$80&gt;=2,'19_Расчет_аналитики'!AE4665,0),IF('01_Вводные'!$B$80&gt;=3,'19_Расчет_аналитики'!AF4665,0),IF('01_Вводные'!$B$80&gt;=4,'19_Расчет_аналитики'!AG4665,0),IF('01_Вводные'!$B$80&gt;=5,'19_Расчет_аналитики'!AH4665,0),IF('01_Вводные'!$B$80&gt;=6,'19_Расчет_аналитики'!AI4665,0)),0)</f>
        <v/>
      </c>
      <c r="AD4673">
        <f>IF('01_Вводные'!$B$234="Да",SUM(IF('01_Вводные'!$B$80&gt;=1,'19_Расчет_аналитики'!AE4665,0),IF('01_Вводные'!$B$80&gt;=2,'19_Расчет_аналитики'!AF4665,0),IF('01_Вводные'!$B$80&gt;=3,'19_Расчет_аналитики'!AG4665,0),IF('01_Вводные'!$B$80&gt;=4,'19_Расчет_аналитики'!AH4665,0),IF('01_Вводные'!$B$80&gt;=5,'19_Расчет_аналитики'!AI4665,0),IF('01_Вводные'!$B$80&gt;=6,'19_Расчет_аналитики'!AJ4665,0)),0)</f>
        <v/>
      </c>
      <c r="AE4673">
        <f>IF('01_Вводные'!$B$234="Да",SUM(IF('01_Вводные'!$B$80&gt;=1,'19_Расчет_аналитики'!AF4665,0),IF('01_Вводные'!$B$80&gt;=2,'19_Расчет_аналитики'!AG4665,0),IF('01_Вводные'!$B$80&gt;=3,'19_Расчет_аналитики'!AH4665,0),IF('01_Вводные'!$B$80&gt;=4,'19_Расчет_аналитики'!AI4665,0),IF('01_Вводные'!$B$80&gt;=5,'19_Расчет_аналитики'!AJ4665,0),IF('01_Вводные'!$B$80&gt;=6,'19_Расчет_аналитики'!AK4665,0)),0)</f>
        <v/>
      </c>
      <c r="AF4673">
        <f>IF('01_Вводные'!$B$234="Да",SUM(IF('01_Вводные'!$B$80&gt;=1,'19_Расчет_аналитики'!AG4665,0),IF('01_Вводные'!$B$80&gt;=2,'19_Расчет_аналитики'!AH4665,0),IF('01_Вводные'!$B$80&gt;=3,'19_Расчет_аналитики'!AI4665,0),IF('01_Вводные'!$B$80&gt;=4,'19_Расчет_аналитики'!AJ4665,0),IF('01_Вводные'!$B$80&gt;=5,'19_Расчет_аналитики'!AK4665,0),IF('01_Вводные'!$B$80&gt;=6,'19_Расчет_аналитики'!AL4665,0)),0)</f>
        <v/>
      </c>
      <c r="AG4673">
        <f>IF('01_Вводные'!$B$234="Да",SUM(IF('01_Вводные'!$B$80&gt;=1,'19_Расчет_аналитики'!AH4665,0),IF('01_Вводные'!$B$80&gt;=2,'19_Расчет_аналитики'!AI4665,0),IF('01_Вводные'!$B$80&gt;=3,'19_Расчет_аналитики'!AJ4665,0),IF('01_Вводные'!$B$80&gt;=4,'19_Расчет_аналитики'!AK4665,0),IF('01_Вводные'!$B$80&gt;=5,'19_Расчет_аналитики'!AL4665,0),IF('01_Вводные'!$B$80&gt;=6,'19_Расчет_аналитики'!AM4665,0)),0)</f>
        <v/>
      </c>
      <c r="AH4673">
        <f>IF('01_Вводные'!$B$234="Да",SUM(IF('01_Вводные'!$B$80&gt;=1,'19_Расчет_аналитики'!AI4665,0),IF('01_Вводные'!$B$80&gt;=2,'19_Расчет_аналитики'!AJ4665,0),IF('01_Вводные'!$B$80&gt;=3,'19_Расчет_аналитики'!AK4665,0),IF('01_Вводные'!$B$80&gt;=4,'19_Расчет_аналитики'!AL4665,0),IF('01_Вводные'!$B$80&gt;=5,'19_Расчет_аналитики'!AM4665,0),IF('01_Вводные'!$B$80&gt;=6,'19_Расчет_аналитики'!AN4665,0)),0)</f>
        <v/>
      </c>
      <c r="AI4673">
        <f>IF('01_Вводные'!$B$234="Да",SUM(IF('01_Вводные'!$B$80&gt;=1,'19_Расчет_аналитики'!AJ4665,0),IF('01_Вводные'!$B$80&gt;=2,'19_Расчет_аналитики'!AK4665,0),IF('01_Вводные'!$B$80&gt;=3,'19_Расчет_аналитики'!AL4665,0),IF('01_Вводные'!$B$80&gt;=4,'19_Расчет_аналитики'!AM4665,0),IF('01_Вводные'!$B$80&gt;=5,'19_Расчет_аналитики'!AN4665,0),IF('01_Вводные'!$B$80&gt;=6,'19_Расчет_аналитики'!AO4665,0)),0)</f>
        <v/>
      </c>
      <c r="AJ4673">
        <f>IF('01_Вводные'!$B$234="Да",SUM(IF('01_Вводные'!$B$80&gt;=1,'19_Расчет_аналитики'!AK4665,0),IF('01_Вводные'!$B$80&gt;=2,'19_Расчет_аналитики'!AL4665,0),IF('01_Вводные'!$B$80&gt;=3,'19_Расчет_аналитики'!AM4665,0),IF('01_Вводные'!$B$80&gt;=4,'19_Расчет_аналитики'!AN4665,0),IF('01_Вводные'!$B$80&gt;=5,'19_Расчет_аналитики'!AO4665,0),IF('01_Вводные'!$B$80&gt;=6,'19_Расчет_аналитики'!AP4665,0)),0)</f>
        <v/>
      </c>
      <c r="AK4673">
        <f>IF('01_Вводные'!$B$234="Да",SUM(IF('01_Вводные'!$B$80&gt;=1,'19_Расчет_аналитики'!AL4665,0),IF('01_Вводные'!$B$80&gt;=2,'19_Расчет_аналитики'!AM4665,0),IF('01_Вводные'!$B$80&gt;=3,'19_Расчет_аналитики'!AN4665,0),IF('01_Вводные'!$B$80&gt;=4,'19_Расчет_аналитики'!AO4665,0),IF('01_Вводные'!$B$80&gt;=5,'19_Расчет_аналитики'!AP4665,0),IF('01_Вводные'!$B$80&gt;=6,'19_Расчет_аналитики'!AQ4665,0)),0)</f>
        <v/>
      </c>
      <c r="AL4673">
        <f>IF('01_Вводные'!$B$234="Да",SUM(IF('01_Вводные'!$B$80&gt;=1,'19_Расчет_аналитики'!AM4665,0),IF('01_Вводные'!$B$80&gt;=2,'19_Расчет_аналитики'!AN4665,0),IF('01_Вводные'!$B$80&gt;=3,'19_Расчет_аналитики'!AO4665,0),IF('01_Вводные'!$B$80&gt;=4,'19_Расчет_аналитики'!AP4665,0),IF('01_Вводные'!$B$80&gt;=5,'19_Расчет_аналитики'!AQ4665,0),IF('01_Вводные'!$B$80&gt;=6,'19_Расчет_аналитики'!AR4665,0)),0)</f>
        <v/>
      </c>
      <c r="AM4673">
        <f>IF('01_Вводные'!$B$234="Да",SUM(IF('01_Вводные'!$B$80&gt;=1,'19_Расчет_аналитики'!AN4665,0),IF('01_Вводные'!$B$80&gt;=2,'19_Расчет_аналитики'!AO4665,0),IF('01_Вводные'!$B$80&gt;=3,'19_Расчет_аналитики'!AP4665,0),IF('01_Вводные'!$B$80&gt;=4,'19_Расчет_аналитики'!AQ4665,0),IF('01_Вводные'!$B$80&gt;=5,'19_Расчет_аналитики'!AR4665,0),IF('01_Вводные'!$B$80&gt;=6,'19_Расчет_аналитики'!AS4665,0)),0)</f>
        <v/>
      </c>
      <c r="AN4673">
        <f>IF('01_Вводные'!$B$234="Да",SUM(IF('01_Вводные'!$B$80&gt;=1,'19_Расчет_аналитики'!AO4665,0),IF('01_Вводные'!$B$80&gt;=2,'19_Расчет_аналитики'!AP4665,0),IF('01_Вводные'!$B$80&gt;=3,'19_Расчет_аналитики'!AQ4665,0),IF('01_Вводные'!$B$80&gt;=4,'19_Расчет_аналитики'!AR4665,0),IF('01_Вводные'!$B$80&gt;=5,'19_Расчет_аналитики'!AS4665,0),IF('01_Вводные'!$B$80&gt;=6,'19_Расчет_аналитики'!AT4665,0)),0)</f>
        <v/>
      </c>
      <c r="AO4673">
        <f>IF('01_Вводные'!$B$234="Да",SUM(IF('01_Вводные'!$B$80&gt;=1,'19_Расчет_аналитики'!AP4665,0),IF('01_Вводные'!$B$80&gt;=2,'19_Расчет_аналитики'!AQ4665,0),IF('01_Вводные'!$B$80&gt;=3,'19_Расчет_аналитики'!AR4665,0),IF('01_Вводные'!$B$80&gt;=4,'19_Расчет_аналитики'!AS4665,0),IF('01_Вводные'!$B$80&gt;=5,'19_Расчет_аналитики'!AT4665,0),IF('01_Вводные'!$B$80&gt;=6,'19_Расчет_аналитики'!AU4665,0)),0)</f>
        <v/>
      </c>
      <c r="AP4673">
        <f>IF('01_Вводные'!$B$234="Да",SUM(IF('01_Вводные'!$B$80&gt;=1,'19_Расчет_аналитики'!AQ4665,0),IF('01_Вводные'!$B$80&gt;=2,'19_Расчет_аналитики'!AR4665,0),IF('01_Вводные'!$B$80&gt;=3,'19_Расчет_аналитики'!AS4665,0),IF('01_Вводные'!$B$80&gt;=4,'19_Расчет_аналитики'!AT4665,0),IF('01_Вводные'!$B$80&gt;=5,'19_Расчет_аналитики'!AU4665,0),IF('01_Вводные'!$B$80&gt;=6,'19_Расчет_аналитики'!AV4665,0)),0)</f>
        <v/>
      </c>
      <c r="AQ4673">
        <f>IF('01_Вводные'!$B$234="Да",SUM(IF('01_Вводные'!$B$80&gt;=1,'19_Расчет_аналитики'!AR4665,0),IF('01_Вводные'!$B$80&gt;=2,'19_Расчет_аналитики'!AS4665,0),IF('01_Вводные'!$B$80&gt;=3,'19_Расчет_аналитики'!AT4665,0),IF('01_Вводные'!$B$80&gt;=4,'19_Расчет_аналитики'!AU4665,0),IF('01_Вводные'!$B$80&gt;=5,'19_Расчет_аналитики'!AV4665,0),IF('01_Вводные'!$B$80&gt;=6,'19_Расчет_аналитики'!AW4665,0)),0)</f>
        <v/>
      </c>
      <c r="AR4673">
        <f>IF('01_Вводные'!$B$234="Да",SUM(IF('01_Вводные'!$B$80&gt;=1,'19_Расчет_аналитики'!AS4665,0),IF('01_Вводные'!$B$80&gt;=2,'19_Расчет_аналитики'!AT4665,0),IF('01_Вводные'!$B$80&gt;=3,'19_Расчет_аналитики'!AU4665,0),IF('01_Вводные'!$B$80&gt;=4,'19_Расчет_аналитики'!AV4665,0),IF('01_Вводные'!$B$80&gt;=5,'19_Расчет_аналитики'!AW4665,0),IF('01_Вводные'!$B$80&gt;=6,'19_Расчет_аналитики'!AX4665,0)),0)</f>
        <v/>
      </c>
      <c r="AS4673">
        <f>IF('01_Вводные'!$B$234="Да",SUM(IF('01_Вводные'!$B$80&gt;=1,'19_Расчет_аналитики'!AT4665,0),IF('01_Вводные'!$B$80&gt;=2,'19_Расчет_аналитики'!AU4665,0),IF('01_Вводные'!$B$80&gt;=3,'19_Расчет_аналитики'!AV4665,0),IF('01_Вводные'!$B$80&gt;=4,'19_Расчет_аналитики'!AW4665,0),IF('01_Вводные'!$B$80&gt;=5,'19_Расчет_аналитики'!AX4665,0),IF('01_Вводные'!$B$80&gt;=6,'19_Расчет_аналитики'!AY4665,0)),0)</f>
        <v/>
      </c>
      <c r="AT4673">
        <f>IF('01_Вводные'!$B$234="Да",SUM(IF('01_Вводные'!$B$80&gt;=1,'19_Расчет_аналитики'!AU4665,0),IF('01_Вводные'!$B$80&gt;=2,'19_Расчет_аналитики'!AV4665,0),IF('01_Вводные'!$B$80&gt;=3,'19_Расчет_аналитики'!AW4665,0),IF('01_Вводные'!$B$80&gt;=4,'19_Расчет_аналитики'!AX4665,0),IF('01_Вводные'!$B$80&gt;=5,'19_Расчет_аналитики'!AY4665,0),IF('01_Вводные'!$B$80&gt;=6,'19_Расчет_аналитики'!AZ4665,0)),0)</f>
        <v/>
      </c>
      <c r="AU4673">
        <f>IF('01_Вводные'!$B$234="Да",SUM(IF('01_Вводные'!$B$80&gt;=1,'19_Расчет_аналитики'!AV4665,0),IF('01_Вводные'!$B$80&gt;=2,'19_Расчет_аналитики'!AW4665,0),IF('01_Вводные'!$B$80&gt;=3,'19_Расчет_аналитики'!AX4665,0),IF('01_Вводные'!$B$80&gt;=4,'19_Расчет_аналитики'!AY4665,0),IF('01_Вводные'!$B$80&gt;=5,'19_Расчет_аналитики'!AZ4665,0),IF('01_Вводные'!$B$80&gt;=6,'19_Расчет_аналитики'!BA4665,0)),0)</f>
        <v/>
      </c>
      <c r="AV4673">
        <f>IF('01_Вводные'!$B$234="Да",SUM(IF('01_Вводные'!$B$80&gt;=1,'19_Расчет_аналитики'!AW4665,0),IF('01_Вводные'!$B$80&gt;=2,'19_Расчет_аналитики'!AX4665,0),IF('01_Вводные'!$B$80&gt;=3,'19_Расчет_аналитики'!AY4665,0),IF('01_Вводные'!$B$80&gt;=4,'19_Расчет_аналитики'!AZ4665,0),IF('01_Вводные'!$B$80&gt;=5,'19_Расчет_аналитики'!BA4665,0),IF('01_Вводные'!$B$80&gt;=6,'19_Расчет_аналитики'!BB4665,0)),0)</f>
        <v/>
      </c>
      <c r="AW4673">
        <f>IF('01_Вводные'!$B$234="Да",SUM(IF('01_Вводные'!$B$80&gt;=1,'19_Расчет_аналитики'!AX4665,0),IF('01_Вводные'!$B$80&gt;=2,'19_Расчет_аналитики'!AY4665,0),IF('01_Вводные'!$B$80&gt;=3,'19_Расчет_аналитики'!AZ4665,0),IF('01_Вводные'!$B$80&gt;=4,'19_Расчет_аналитики'!BA4665,0),IF('01_Вводные'!$B$80&gt;=5,'19_Расчет_аналитики'!BB4665,0),IF('01_Вводные'!$B$80&gt;=6,'19_Расчет_аналитики'!BC4665,0)),0)</f>
        <v/>
      </c>
      <c r="AX4673">
        <f>IF('01_Вводные'!$B$234="Да",SUM(IF('01_Вводные'!$B$80&gt;=1,'19_Расчет_аналитики'!AY4665,0),IF('01_Вводные'!$B$80&gt;=2,'19_Расчет_аналитики'!AZ4665,0),IF('01_Вводные'!$B$80&gt;=3,'19_Расчет_аналитики'!BA4665,0),IF('01_Вводные'!$B$80&gt;=4,'19_Расчет_аналитики'!BB4665,0),IF('01_Вводные'!$B$80&gt;=5,'19_Расчет_аналитики'!BC4665,0),IF('01_Вводные'!$B$80&gt;=6,'19_Расчет_аналитики'!BD4665,0)),0)</f>
        <v/>
      </c>
      <c r="AY4673">
        <f>IF('01_Вводные'!$B$234="Да",SUM(IF('01_Вводные'!$B$80&gt;=1,'19_Расчет_аналитики'!AZ4665,0),IF('01_Вводные'!$B$80&gt;=2,'19_Расчет_аналитики'!BA4665,0),IF('01_Вводные'!$B$80&gt;=3,'19_Расчет_аналитики'!BB4665,0),IF('01_Вводные'!$B$80&gt;=4,'19_Расчет_аналитики'!BC4665,0),IF('01_Вводные'!$B$80&gt;=5,'19_Расчет_аналитики'!BD4665,0),IF('01_Вводные'!$B$80&gt;=6,'19_Расчет_аналитики'!BE4665,0)),0)</f>
        <v/>
      </c>
      <c r="AZ4673">
        <f>IF('01_Вводные'!$B$234="Да",SUM(IF('01_Вводные'!$B$80&gt;=1,'19_Расчет_аналитики'!BA4665,0),IF('01_Вводные'!$B$80&gt;=2,'19_Расчет_аналитики'!BB4665,0),IF('01_Вводные'!$B$80&gt;=3,'19_Расчет_аналитики'!BC4665,0),IF('01_Вводные'!$B$80&gt;=4,'19_Расчет_аналитики'!BD4665,0),IF('01_Вводные'!$B$80&gt;=5,'19_Расчет_аналитики'!BE4665,0),IF('01_Вводные'!$B$80&gt;=6,'19_Расчет_аналитики'!BF4665,0)),0)</f>
        <v/>
      </c>
      <c r="BA4673">
        <f>IF('01_Вводные'!$B$234="Да",SUM(IF('01_Вводные'!$B$80&gt;=1,'19_Расчет_аналитики'!BB4665,0),IF('01_Вводные'!$B$80&gt;=2,'19_Расчет_аналитики'!BC4665,0),IF('01_Вводные'!$B$80&gt;=3,'19_Расчет_аналитики'!BD4665,0),IF('01_Вводные'!$B$80&gt;=4,'19_Расчет_аналитики'!BE4665,0),IF('01_Вводные'!$B$80&gt;=5,'19_Расчет_аналитики'!BF4665,0),IF('01_Вводные'!$B$80&gt;=6,'19_Расчет_аналитики'!BG4665,0)),0)</f>
        <v/>
      </c>
      <c r="BB4673">
        <f>IF('01_Вводные'!$B$234="Да",SUM(IF('01_Вводные'!$B$80&gt;=1,'19_Расчет_аналитики'!BC4665,0),IF('01_Вводные'!$B$80&gt;=2,'19_Расчет_аналитики'!BD4665,0),IF('01_Вводные'!$B$80&gt;=3,'19_Расчет_аналитики'!BE4665,0),IF('01_Вводные'!$B$80&gt;=4,'19_Расчет_аналитики'!BF4665,0),IF('01_Вводные'!$B$80&gt;=5,'19_Расчет_аналитики'!BG4665,0),IF('01_Вводные'!$B$80&gt;=6,'19_Расчет_аналитики'!BH4665,0)),0)</f>
        <v/>
      </c>
      <c r="BC4673">
        <f>IF('01_Вводные'!$B$234="Да",SUM(IF('01_Вводные'!$B$80&gt;=1,'19_Расчет_аналитики'!BD4665,0),IF('01_Вводные'!$B$80&gt;=2,'19_Расчет_аналитики'!BE4665,0),IF('01_Вводные'!$B$80&gt;=3,'19_Расчет_аналитики'!BF4665,0),IF('01_Вводные'!$B$80&gt;=4,'19_Расчет_аналитики'!BG4665,0),IF('01_Вводные'!$B$80&gt;=5,'19_Расчет_аналитики'!BH4665,0),IF('01_Вводные'!$B$80&gt;=6,'19_Расчет_аналитики'!BI4665,0)),0)</f>
        <v/>
      </c>
      <c r="BD4673">
        <f>IF('01_Вводные'!$B$234="Да",SUM(IF('01_Вводные'!$B$80&gt;=1,'19_Расчет_аналитики'!BE4665,0),IF('01_Вводные'!$B$80&gt;=2,'19_Расчет_аналитики'!BF4665,0),IF('01_Вводные'!$B$80&gt;=3,'19_Расчет_аналитики'!BG4665,0),IF('01_Вводные'!$B$80&gt;=4,'19_Расчет_аналитики'!BH4665,0),IF('01_Вводные'!$B$80&gt;=5,'19_Расчет_аналитики'!BI4665,0),IF('01_Вводные'!$B$80&gt;=6,'19_Расчет_аналитики'!BJ4665,0)),0)</f>
        <v/>
      </c>
      <c r="BE4673">
        <f>IF('01_Вводные'!$B$234="Да",SUM(IF('01_Вводные'!$B$80&gt;=1,'19_Расчет_аналитики'!BF4665,0),IF('01_Вводные'!$B$80&gt;=2,'19_Расчет_аналитики'!BG4665,0),IF('01_Вводные'!$B$80&gt;=3,'19_Расчет_аналитики'!BH4665,0),IF('01_Вводные'!$B$80&gt;=4,'19_Расчет_аналитики'!BI4665,0),IF('01_Вводные'!$B$80&gt;=5,'19_Расчет_аналитики'!BJ4665,0),IF('01_Вводные'!$B$80&gt;=6,'19_Расчет_аналитики'!BK4665,0)),0)</f>
        <v/>
      </c>
      <c r="BF4673">
        <f>IF('01_Вводные'!$B$234="Да",SUM(IF('01_Вводные'!$B$80&gt;=1,'19_Расчет_аналитики'!BG4665,0),IF('01_Вводные'!$B$80&gt;=2,'19_Расчет_аналитики'!BH4665,0),IF('01_Вводные'!$B$80&gt;=3,'19_Расчет_аналитики'!BI4665,0),IF('01_Вводные'!$B$80&gt;=4,'19_Расчет_аналитики'!BJ4665,0),IF('01_Вводные'!$B$80&gt;=5,'19_Расчет_аналитики'!BK4665,0),IF('01_Вводные'!$B$80&gt;=6,'19_Расчет_аналитики'!BL4665,0)),0)</f>
        <v/>
      </c>
      <c r="BG4673">
        <f>IF('01_Вводные'!$B$234="Да",SUM(IF('01_Вводные'!$B$80&gt;=1,'19_Расчет_аналитики'!BH4665,0),IF('01_Вводные'!$B$80&gt;=2,'19_Расчет_аналитики'!BI4665,0),IF('01_Вводные'!$B$80&gt;=3,'19_Расчет_аналитики'!BJ4665,0),IF('01_Вводные'!$B$80&gt;=4,'19_Расчет_аналитики'!BK4665,0),IF('01_Вводные'!$B$80&gt;=5,'19_Расчет_аналитики'!BL4665,0),IF('01_Вводные'!$B$80&gt;=6,'19_Расчет_аналитики'!BM4665,0)),0)</f>
        <v/>
      </c>
      <c r="BH4673">
        <f>IF('01_Вводные'!$B$234="Да",SUM(IF('01_Вводные'!$B$80&gt;=1,'19_Расчет_аналитики'!BI4665,0),IF('01_Вводные'!$B$80&gt;=2,'19_Расчет_аналитики'!BJ4665,0),IF('01_Вводные'!$B$80&gt;=3,'19_Расчет_аналитики'!BK4665,0),IF('01_Вводные'!$B$80&gt;=4,'19_Расчет_аналитики'!BL4665,0),IF('01_Вводные'!$B$80&gt;=5,'19_Расчет_аналитики'!BM4665,0),IF('01_Вводные'!$B$80&gt;=6,'19_Расчет_аналитики'!BN4665,0)),0)</f>
        <v/>
      </c>
      <c r="BI4673">
        <f>IF('01_Вводные'!$B$234="Да",SUM(IF('01_Вводные'!$B$80&gt;=1,'19_Расчет_аналитики'!BJ4665,0),IF('01_Вводные'!$B$80&gt;=2,'19_Расчет_аналитики'!BK4665,0),IF('01_Вводные'!$B$80&gt;=3,'19_Расчет_аналитики'!BL4665,0),IF('01_Вводные'!$B$80&gt;=4,'19_Расчет_аналитики'!BM4665,0),IF('01_Вводные'!$B$80&gt;=5,'19_Расчет_аналитики'!BN4665,0),IF('01_Вводные'!$B$80&gt;=6,'19_Расчет_аналитики'!BO4665,0)),0)</f>
        <v/>
      </c>
    </row>
    <row r="4674">
      <c r="B4674">
        <f>IF('01_Вводные'!$B$234="Да",IF(AND('07_Мерч'!B$3&gt;='01_Вводные'!$B$81,OR(MONTH('07_Мерч'!B$3)='01_Вводные'!$B$82,MONTH('07_Мерч'!B$3)='01_Вводные'!$B$83,MONTH('07_Мерч'!B$3)='01_Вводные'!$B$84,MONTH('07_Мерч'!B$3)='01_Вводные'!$B$85)),MAX(0,'19_Расчет_аналитики'!B4673-('07_Мерч'!B22-'19_Расчет_аналитики'!B4672)),0),0)</f>
        <v/>
      </c>
      <c r="C4674">
        <f>IF('01_Вводные'!$B$234="Да",IF(AND('07_Мерч'!C$3&gt;='01_Вводные'!$B$81,OR(MONTH('07_Мерч'!C$3)='01_Вводные'!$B$82,MONTH('07_Мерч'!C$3)='01_Вводные'!$B$83,MONTH('07_Мерч'!C$3)='01_Вводные'!$B$84,MONTH('07_Мерч'!C$3)='01_Вводные'!$B$85)),MAX(0,'19_Расчет_аналитики'!C4673-('19_Расчет_аналитики'!C4671-'19_Расчет_аналитики'!C4672)),0),0)</f>
        <v/>
      </c>
      <c r="D4674">
        <f>IF('01_Вводные'!$B$234="Да",IF(AND('07_Мерч'!D$3&gt;='01_Вводные'!$B$81,OR(MONTH('07_Мерч'!D$3)='01_Вводные'!$B$82,MONTH('07_Мерч'!D$3)='01_Вводные'!$B$83,MONTH('07_Мерч'!D$3)='01_Вводные'!$B$84,MONTH('07_Мерч'!D$3)='01_Вводные'!$B$85)),MAX(0,'19_Расчет_аналитики'!D4673-('19_Расчет_аналитики'!D4671-'19_Расчет_аналитики'!D4672)),0),0)</f>
        <v/>
      </c>
      <c r="E4674">
        <f>IF('01_Вводные'!$B$234="Да",IF(AND('07_Мерч'!E$3&gt;='01_Вводные'!$B$81,OR(MONTH('07_Мерч'!E$3)='01_Вводные'!$B$82,MONTH('07_Мерч'!E$3)='01_Вводные'!$B$83,MONTH('07_Мерч'!E$3)='01_Вводные'!$B$84,MONTH('07_Мерч'!E$3)='01_Вводные'!$B$85)),MAX(0,'19_Расчет_аналитики'!E4673-('19_Расчет_аналитики'!E4671-'19_Расчет_аналитики'!E4672)),0),0)</f>
        <v/>
      </c>
      <c r="F4674">
        <f>IF('01_Вводные'!$B$234="Да",IF(AND('07_Мерч'!F$3&gt;='01_Вводные'!$B$81,OR(MONTH('07_Мерч'!F$3)='01_Вводные'!$B$82,MONTH('07_Мерч'!F$3)='01_Вводные'!$B$83,MONTH('07_Мерч'!F$3)='01_Вводные'!$B$84,MONTH('07_Мерч'!F$3)='01_Вводные'!$B$85)),MAX(0,'19_Расчет_аналитики'!F4673-('19_Расчет_аналитики'!F4671-'19_Расчет_аналитики'!F4672)),0),0)</f>
        <v/>
      </c>
      <c r="G4674">
        <f>IF('01_Вводные'!$B$234="Да",IF(AND('07_Мерч'!G$3&gt;='01_Вводные'!$B$81,OR(MONTH('07_Мерч'!G$3)='01_Вводные'!$B$82,MONTH('07_Мерч'!G$3)='01_Вводные'!$B$83,MONTH('07_Мерч'!G$3)='01_Вводные'!$B$84,MONTH('07_Мерч'!G$3)='01_Вводные'!$B$85)),MAX(0,'19_Расчет_аналитики'!G4673-('19_Расчет_аналитики'!G4671-'19_Расчет_аналитики'!G4672)),0),0)</f>
        <v/>
      </c>
      <c r="H4674">
        <f>IF('01_Вводные'!$B$234="Да",IF(AND('07_Мерч'!H$3&gt;='01_Вводные'!$B$81,OR(MONTH('07_Мерч'!H$3)='01_Вводные'!$B$82,MONTH('07_Мерч'!H$3)='01_Вводные'!$B$83,MONTH('07_Мерч'!H$3)='01_Вводные'!$B$84,MONTH('07_Мерч'!H$3)='01_Вводные'!$B$85)),MAX(0,'19_Расчет_аналитики'!H4673-('19_Расчет_аналитики'!H4671-'19_Расчет_аналитики'!H4672)),0),0)</f>
        <v/>
      </c>
      <c r="I4674">
        <f>IF('01_Вводные'!$B$234="Да",IF(AND('07_Мерч'!I$3&gt;='01_Вводные'!$B$81,OR(MONTH('07_Мерч'!I$3)='01_Вводные'!$B$82,MONTH('07_Мерч'!I$3)='01_Вводные'!$B$83,MONTH('07_Мерч'!I$3)='01_Вводные'!$B$84,MONTH('07_Мерч'!I$3)='01_Вводные'!$B$85)),MAX(0,'19_Расчет_аналитики'!I4673-('19_Расчет_аналитики'!I4671-'19_Расчет_аналитики'!I4672)),0),0)</f>
        <v/>
      </c>
      <c r="J4674">
        <f>IF('01_Вводные'!$B$234="Да",IF(AND('07_Мерч'!J$3&gt;='01_Вводные'!$B$81,OR(MONTH('07_Мерч'!J$3)='01_Вводные'!$B$82,MONTH('07_Мерч'!J$3)='01_Вводные'!$B$83,MONTH('07_Мерч'!J$3)='01_Вводные'!$B$84,MONTH('07_Мерч'!J$3)='01_Вводные'!$B$85)),MAX(0,'19_Расчет_аналитики'!J4673-('19_Расчет_аналитики'!J4671-'19_Расчет_аналитики'!J4672)),0),0)</f>
        <v/>
      </c>
      <c r="K4674">
        <f>IF('01_Вводные'!$B$234="Да",IF(AND('07_Мерч'!K$3&gt;='01_Вводные'!$B$81,OR(MONTH('07_Мерч'!K$3)='01_Вводные'!$B$82,MONTH('07_Мерч'!K$3)='01_Вводные'!$B$83,MONTH('07_Мерч'!K$3)='01_Вводные'!$B$84,MONTH('07_Мерч'!K$3)='01_Вводные'!$B$85)),MAX(0,'19_Расчет_аналитики'!K4673-('19_Расчет_аналитики'!K4671-'19_Расчет_аналитики'!K4672)),0),0)</f>
        <v/>
      </c>
      <c r="L4674">
        <f>IF('01_Вводные'!$B$234="Да",IF(AND('07_Мерч'!L$3&gt;='01_Вводные'!$B$81,OR(MONTH('07_Мерч'!L$3)='01_Вводные'!$B$82,MONTH('07_Мерч'!L$3)='01_Вводные'!$B$83,MONTH('07_Мерч'!L$3)='01_Вводные'!$B$84,MONTH('07_Мерч'!L$3)='01_Вводные'!$B$85)),MAX(0,'19_Расчет_аналитики'!L4673-('19_Расчет_аналитики'!L4671-'19_Расчет_аналитики'!L4672)),0),0)</f>
        <v/>
      </c>
      <c r="M4674">
        <f>IF('01_Вводные'!$B$234="Да",IF(AND('07_Мерч'!M$3&gt;='01_Вводные'!$B$81,OR(MONTH('07_Мерч'!M$3)='01_Вводные'!$B$82,MONTH('07_Мерч'!M$3)='01_Вводные'!$B$83,MONTH('07_Мерч'!M$3)='01_Вводные'!$B$84,MONTH('07_Мерч'!M$3)='01_Вводные'!$B$85)),MAX(0,'19_Расчет_аналитики'!M4673-('19_Расчет_аналитики'!M4671-'19_Расчет_аналитики'!M4672)),0),0)</f>
        <v/>
      </c>
      <c r="N4674">
        <f>IF('01_Вводные'!$B$234="Да",IF(AND('07_Мерч'!N$3&gt;='01_Вводные'!$B$81,OR(MONTH('07_Мерч'!N$3)='01_Вводные'!$B$82,MONTH('07_Мерч'!N$3)='01_Вводные'!$B$83,MONTH('07_Мерч'!N$3)='01_Вводные'!$B$84,MONTH('07_Мерч'!N$3)='01_Вводные'!$B$85)),MAX(0,'19_Расчет_аналитики'!N4673-('19_Расчет_аналитики'!N4671-'19_Расчет_аналитики'!N4672)),0),0)</f>
        <v/>
      </c>
      <c r="O4674">
        <f>IF('01_Вводные'!$B$234="Да",IF(AND('07_Мерч'!O$3&gt;='01_Вводные'!$B$81,OR(MONTH('07_Мерч'!O$3)='01_Вводные'!$B$82,MONTH('07_Мерч'!O$3)='01_Вводные'!$B$83,MONTH('07_Мерч'!O$3)='01_Вводные'!$B$84,MONTH('07_Мерч'!O$3)='01_Вводные'!$B$85)),MAX(0,'19_Расчет_аналитики'!O4673-('19_Расчет_аналитики'!O4671-'19_Расчет_аналитики'!O4672)),0),0)</f>
        <v/>
      </c>
      <c r="P4674">
        <f>IF('01_Вводные'!$B$234="Да",IF(AND('07_Мерч'!P$3&gt;='01_Вводные'!$B$81,OR(MONTH('07_Мерч'!P$3)='01_Вводные'!$B$82,MONTH('07_Мерч'!P$3)='01_Вводные'!$B$83,MONTH('07_Мерч'!P$3)='01_Вводные'!$B$84,MONTH('07_Мерч'!P$3)='01_Вводные'!$B$85)),MAX(0,'19_Расчет_аналитики'!P4673-('19_Расчет_аналитики'!P4671-'19_Расчет_аналитики'!P4672)),0),0)</f>
        <v/>
      </c>
      <c r="Q4674">
        <f>IF('01_Вводные'!$B$234="Да",IF(AND('07_Мерч'!Q$3&gt;='01_Вводные'!$B$81,OR(MONTH('07_Мерч'!Q$3)='01_Вводные'!$B$82,MONTH('07_Мерч'!Q$3)='01_Вводные'!$B$83,MONTH('07_Мерч'!Q$3)='01_Вводные'!$B$84,MONTH('07_Мерч'!Q$3)='01_Вводные'!$B$85)),MAX(0,'19_Расчет_аналитики'!Q4673-('19_Расчет_аналитики'!Q4671-'19_Расчет_аналитики'!Q4672)),0),0)</f>
        <v/>
      </c>
      <c r="R4674">
        <f>IF('01_Вводные'!$B$234="Да",IF(AND('07_Мерч'!R$3&gt;='01_Вводные'!$B$81,OR(MONTH('07_Мерч'!R$3)='01_Вводные'!$B$82,MONTH('07_Мерч'!R$3)='01_Вводные'!$B$83,MONTH('07_Мерч'!R$3)='01_Вводные'!$B$84,MONTH('07_Мерч'!R$3)='01_Вводные'!$B$85)),MAX(0,'19_Расчет_аналитики'!R4673-('19_Расчет_аналитики'!R4671-'19_Расчет_аналитики'!R4672)),0),0)</f>
        <v/>
      </c>
      <c r="S4674">
        <f>IF('01_Вводные'!$B$234="Да",IF(AND('07_Мерч'!S$3&gt;='01_Вводные'!$B$81,OR(MONTH('07_Мерч'!S$3)='01_Вводные'!$B$82,MONTH('07_Мерч'!S$3)='01_Вводные'!$B$83,MONTH('07_Мерч'!S$3)='01_Вводные'!$B$84,MONTH('07_Мерч'!S$3)='01_Вводные'!$B$85)),MAX(0,'19_Расчет_аналитики'!S4673-('19_Расчет_аналитики'!S4671-'19_Расчет_аналитики'!S4672)),0),0)</f>
        <v/>
      </c>
      <c r="T4674">
        <f>IF('01_Вводные'!$B$234="Да",IF(AND('07_Мерч'!T$3&gt;='01_Вводные'!$B$81,OR(MONTH('07_Мерч'!T$3)='01_Вводные'!$B$82,MONTH('07_Мерч'!T$3)='01_Вводные'!$B$83,MONTH('07_Мерч'!T$3)='01_Вводные'!$B$84,MONTH('07_Мерч'!T$3)='01_Вводные'!$B$85)),MAX(0,'19_Расчет_аналитики'!T4673-('19_Расчет_аналитики'!T4671-'19_Расчет_аналитики'!T4672)),0),0)</f>
        <v/>
      </c>
      <c r="U4674">
        <f>IF('01_Вводные'!$B$234="Да",IF(AND('07_Мерч'!U$3&gt;='01_Вводные'!$B$81,OR(MONTH('07_Мерч'!U$3)='01_Вводные'!$B$82,MONTH('07_Мерч'!U$3)='01_Вводные'!$B$83,MONTH('07_Мерч'!U$3)='01_Вводные'!$B$84,MONTH('07_Мерч'!U$3)='01_Вводные'!$B$85)),MAX(0,'19_Расчет_аналитики'!U4673-('19_Расчет_аналитики'!U4671-'19_Расчет_аналитики'!U4672)),0),0)</f>
        <v/>
      </c>
      <c r="V4674">
        <f>IF('01_Вводные'!$B$234="Да",IF(AND('07_Мерч'!V$3&gt;='01_Вводные'!$B$81,OR(MONTH('07_Мерч'!V$3)='01_Вводные'!$B$82,MONTH('07_Мерч'!V$3)='01_Вводные'!$B$83,MONTH('07_Мерч'!V$3)='01_Вводные'!$B$84,MONTH('07_Мерч'!V$3)='01_Вводные'!$B$85)),MAX(0,'19_Расчет_аналитики'!V4673-('19_Расчет_аналитики'!V4671-'19_Расчет_аналитики'!V4672)),0),0)</f>
        <v/>
      </c>
      <c r="W4674">
        <f>IF('01_Вводные'!$B$234="Да",IF(AND('07_Мерч'!W$3&gt;='01_Вводные'!$B$81,OR(MONTH('07_Мерч'!W$3)='01_Вводные'!$B$82,MONTH('07_Мерч'!W$3)='01_Вводные'!$B$83,MONTH('07_Мерч'!W$3)='01_Вводные'!$B$84,MONTH('07_Мерч'!W$3)='01_Вводные'!$B$85)),MAX(0,'19_Расчет_аналитики'!W4673-('19_Расчет_аналитики'!W4671-'19_Расчет_аналитики'!W4672)),0),0)</f>
        <v/>
      </c>
      <c r="X4674">
        <f>IF('01_Вводные'!$B$234="Да",IF(AND('07_Мерч'!X$3&gt;='01_Вводные'!$B$81,OR(MONTH('07_Мерч'!X$3)='01_Вводные'!$B$82,MONTH('07_Мерч'!X$3)='01_Вводные'!$B$83,MONTH('07_Мерч'!X$3)='01_Вводные'!$B$84,MONTH('07_Мерч'!X$3)='01_Вводные'!$B$85)),MAX(0,'19_Расчет_аналитики'!X4673-('19_Расчет_аналитики'!X4671-'19_Расчет_аналитики'!X4672)),0),0)</f>
        <v/>
      </c>
      <c r="Y4674">
        <f>IF('01_Вводные'!$B$234="Да",IF(AND('07_Мерч'!Y$3&gt;='01_Вводные'!$B$81,OR(MONTH('07_Мерч'!Y$3)='01_Вводные'!$B$82,MONTH('07_Мерч'!Y$3)='01_Вводные'!$B$83,MONTH('07_Мерч'!Y$3)='01_Вводные'!$B$84,MONTH('07_Мерч'!Y$3)='01_Вводные'!$B$85)),MAX(0,'19_Расчет_аналитики'!Y4673-('19_Расчет_аналитики'!Y4671-'19_Расчет_аналитики'!Y4672)),0),0)</f>
        <v/>
      </c>
      <c r="Z4674">
        <f>IF('01_Вводные'!$B$234="Да",IF(AND('07_Мерч'!Z$3&gt;='01_Вводные'!$B$81,OR(MONTH('07_Мерч'!Z$3)='01_Вводные'!$B$82,MONTH('07_Мерч'!Z$3)='01_Вводные'!$B$83,MONTH('07_Мерч'!Z$3)='01_Вводные'!$B$84,MONTH('07_Мерч'!Z$3)='01_Вводные'!$B$85)),MAX(0,'19_Расчет_аналитики'!Z4673-('19_Расчет_аналитики'!Z4671-'19_Расчет_аналитики'!Z4672)),0),0)</f>
        <v/>
      </c>
      <c r="AA4674">
        <f>IF('01_Вводные'!$B$234="Да",IF(AND('07_Мерч'!AA$3&gt;='01_Вводные'!$B$81,OR(MONTH('07_Мерч'!AA$3)='01_Вводные'!$B$82,MONTH('07_Мерч'!AA$3)='01_Вводные'!$B$83,MONTH('07_Мерч'!AA$3)='01_Вводные'!$B$84,MONTH('07_Мерч'!AA$3)='01_Вводные'!$B$85)),MAX(0,'19_Расчет_аналитики'!AA4673-('19_Расчет_аналитики'!AA4671-'19_Расчет_аналитики'!AA4672)),0),0)</f>
        <v/>
      </c>
      <c r="AB4674">
        <f>IF('01_Вводные'!$B$234="Да",IF(AND('07_Мерч'!AB$3&gt;='01_Вводные'!$B$81,OR(MONTH('07_Мерч'!AB$3)='01_Вводные'!$B$82,MONTH('07_Мерч'!AB$3)='01_Вводные'!$B$83,MONTH('07_Мерч'!AB$3)='01_Вводные'!$B$84,MONTH('07_Мерч'!AB$3)='01_Вводные'!$B$85)),MAX(0,'19_Расчет_аналитики'!AB4673-('19_Расчет_аналитики'!AB4671-'19_Расчет_аналитики'!AB4672)),0),0)</f>
        <v/>
      </c>
      <c r="AC4674">
        <f>IF('01_Вводные'!$B$234="Да",IF(AND('07_Мерч'!AC$3&gt;='01_Вводные'!$B$81,OR(MONTH('07_Мерч'!AC$3)='01_Вводные'!$B$82,MONTH('07_Мерч'!AC$3)='01_Вводные'!$B$83,MONTH('07_Мерч'!AC$3)='01_Вводные'!$B$84,MONTH('07_Мерч'!AC$3)='01_Вводные'!$B$85)),MAX(0,'19_Расчет_аналитики'!AC4673-('19_Расчет_аналитики'!AC4671-'19_Расчет_аналитики'!AC4672)),0),0)</f>
        <v/>
      </c>
      <c r="AD4674">
        <f>IF('01_Вводные'!$B$234="Да",IF(AND('07_Мерч'!AD$3&gt;='01_Вводные'!$B$81,OR(MONTH('07_Мерч'!AD$3)='01_Вводные'!$B$82,MONTH('07_Мерч'!AD$3)='01_Вводные'!$B$83,MONTH('07_Мерч'!AD$3)='01_Вводные'!$B$84,MONTH('07_Мерч'!AD$3)='01_Вводные'!$B$85)),MAX(0,'19_Расчет_аналитики'!AD4673-('19_Расчет_аналитики'!AD4671-'19_Расчет_аналитики'!AD4672)),0),0)</f>
        <v/>
      </c>
      <c r="AE4674">
        <f>IF('01_Вводные'!$B$234="Да",IF(AND('07_Мерч'!AE$3&gt;='01_Вводные'!$B$81,OR(MONTH('07_Мерч'!AE$3)='01_Вводные'!$B$82,MONTH('07_Мерч'!AE$3)='01_Вводные'!$B$83,MONTH('07_Мерч'!AE$3)='01_Вводные'!$B$84,MONTH('07_Мерч'!AE$3)='01_Вводные'!$B$85)),MAX(0,'19_Расчет_аналитики'!AE4673-('19_Расчет_аналитики'!AE4671-'19_Расчет_аналитики'!AE4672)),0),0)</f>
        <v/>
      </c>
      <c r="AF4674">
        <f>IF('01_Вводные'!$B$234="Да",IF(AND('07_Мерч'!AF$3&gt;='01_Вводные'!$B$81,OR(MONTH('07_Мерч'!AF$3)='01_Вводные'!$B$82,MONTH('07_Мерч'!AF$3)='01_Вводные'!$B$83,MONTH('07_Мерч'!AF$3)='01_Вводные'!$B$84,MONTH('07_Мерч'!AF$3)='01_Вводные'!$B$85)),MAX(0,'19_Расчет_аналитики'!AF4673-('19_Расчет_аналитики'!AF4671-'19_Расчет_аналитики'!AF4672)),0),0)</f>
        <v/>
      </c>
      <c r="AG4674">
        <f>IF('01_Вводные'!$B$234="Да",IF(AND('07_Мерч'!AG$3&gt;='01_Вводные'!$B$81,OR(MONTH('07_Мерч'!AG$3)='01_Вводные'!$B$82,MONTH('07_Мерч'!AG$3)='01_Вводные'!$B$83,MONTH('07_Мерч'!AG$3)='01_Вводные'!$B$84,MONTH('07_Мерч'!AG$3)='01_Вводные'!$B$85)),MAX(0,'19_Расчет_аналитики'!AG4673-('19_Расчет_аналитики'!AG4671-'19_Расчет_аналитики'!AG4672)),0),0)</f>
        <v/>
      </c>
      <c r="AH4674">
        <f>IF('01_Вводные'!$B$234="Да",IF(AND('07_Мерч'!AH$3&gt;='01_Вводные'!$B$81,OR(MONTH('07_Мерч'!AH$3)='01_Вводные'!$B$82,MONTH('07_Мерч'!AH$3)='01_Вводные'!$B$83,MONTH('07_Мерч'!AH$3)='01_Вводные'!$B$84,MONTH('07_Мерч'!AH$3)='01_Вводные'!$B$85)),MAX(0,'19_Расчет_аналитики'!AH4673-('19_Расчет_аналитики'!AH4671-'19_Расчет_аналитики'!AH4672)),0),0)</f>
        <v/>
      </c>
      <c r="AI4674">
        <f>IF('01_Вводные'!$B$234="Да",IF(AND('07_Мерч'!AI$3&gt;='01_Вводные'!$B$81,OR(MONTH('07_Мерч'!AI$3)='01_Вводные'!$B$82,MONTH('07_Мерч'!AI$3)='01_Вводные'!$B$83,MONTH('07_Мерч'!AI$3)='01_Вводные'!$B$84,MONTH('07_Мерч'!AI$3)='01_Вводные'!$B$85)),MAX(0,'19_Расчет_аналитики'!AI4673-('19_Расчет_аналитики'!AI4671-'19_Расчет_аналитики'!AI4672)),0),0)</f>
        <v/>
      </c>
      <c r="AJ4674">
        <f>IF('01_Вводные'!$B$234="Да",IF(AND('07_Мерч'!AJ$3&gt;='01_Вводные'!$B$81,OR(MONTH('07_Мерч'!AJ$3)='01_Вводные'!$B$82,MONTH('07_Мерч'!AJ$3)='01_Вводные'!$B$83,MONTH('07_Мерч'!AJ$3)='01_Вводные'!$B$84,MONTH('07_Мерч'!AJ$3)='01_Вводные'!$B$85)),MAX(0,'19_Расчет_аналитики'!AJ4673-('19_Расчет_аналитики'!AJ4671-'19_Расчет_аналитики'!AJ4672)),0),0)</f>
        <v/>
      </c>
      <c r="AK4674">
        <f>IF('01_Вводные'!$B$234="Да",IF(AND('07_Мерч'!AK$3&gt;='01_Вводные'!$B$81,OR(MONTH('07_Мерч'!AK$3)='01_Вводные'!$B$82,MONTH('07_Мерч'!AK$3)='01_Вводные'!$B$83,MONTH('07_Мерч'!AK$3)='01_Вводные'!$B$84,MONTH('07_Мерч'!AK$3)='01_Вводные'!$B$85)),MAX(0,'19_Расчет_аналитики'!AK4673-('19_Расчет_аналитики'!AK4671-'19_Расчет_аналитики'!AK4672)),0),0)</f>
        <v/>
      </c>
      <c r="AL4674">
        <f>IF('01_Вводные'!$B$234="Да",IF(AND('07_Мерч'!AL$3&gt;='01_Вводные'!$B$81,OR(MONTH('07_Мерч'!AL$3)='01_Вводные'!$B$82,MONTH('07_Мерч'!AL$3)='01_Вводные'!$B$83,MONTH('07_Мерч'!AL$3)='01_Вводные'!$B$84,MONTH('07_Мерч'!AL$3)='01_Вводные'!$B$85)),MAX(0,'19_Расчет_аналитики'!AL4673-('19_Расчет_аналитики'!AL4671-'19_Расчет_аналитики'!AL4672)),0),0)</f>
        <v/>
      </c>
      <c r="AM4674">
        <f>IF('01_Вводные'!$B$234="Да",IF(AND('07_Мерч'!AM$3&gt;='01_Вводные'!$B$81,OR(MONTH('07_Мерч'!AM$3)='01_Вводные'!$B$82,MONTH('07_Мерч'!AM$3)='01_Вводные'!$B$83,MONTH('07_Мерч'!AM$3)='01_Вводные'!$B$84,MONTH('07_Мерч'!AM$3)='01_Вводные'!$B$85)),MAX(0,'19_Расчет_аналитики'!AM4673-('19_Расчет_аналитики'!AM4671-'19_Расчет_аналитики'!AM4672)),0),0)</f>
        <v/>
      </c>
      <c r="AN4674">
        <f>IF('01_Вводные'!$B$234="Да",IF(AND('07_Мерч'!AN$3&gt;='01_Вводные'!$B$81,OR(MONTH('07_Мерч'!AN$3)='01_Вводные'!$B$82,MONTH('07_Мерч'!AN$3)='01_Вводные'!$B$83,MONTH('07_Мерч'!AN$3)='01_Вводные'!$B$84,MONTH('07_Мерч'!AN$3)='01_Вводные'!$B$85)),MAX(0,'19_Расчет_аналитики'!AN4673-('19_Расчет_аналитики'!AN4671-'19_Расчет_аналитики'!AN4672)),0),0)</f>
        <v/>
      </c>
      <c r="AO4674">
        <f>IF('01_Вводные'!$B$234="Да",IF(AND('07_Мерч'!AO$3&gt;='01_Вводные'!$B$81,OR(MONTH('07_Мерч'!AO$3)='01_Вводные'!$B$82,MONTH('07_Мерч'!AO$3)='01_Вводные'!$B$83,MONTH('07_Мерч'!AO$3)='01_Вводные'!$B$84,MONTH('07_Мерч'!AO$3)='01_Вводные'!$B$85)),MAX(0,'19_Расчет_аналитики'!AO4673-('19_Расчет_аналитики'!AO4671-'19_Расчет_аналитики'!AO4672)),0),0)</f>
        <v/>
      </c>
      <c r="AP4674">
        <f>IF('01_Вводные'!$B$234="Да",IF(AND('07_Мерч'!AP$3&gt;='01_Вводные'!$B$81,OR(MONTH('07_Мерч'!AP$3)='01_Вводные'!$B$82,MONTH('07_Мерч'!AP$3)='01_Вводные'!$B$83,MONTH('07_Мерч'!AP$3)='01_Вводные'!$B$84,MONTH('07_Мерч'!AP$3)='01_Вводные'!$B$85)),MAX(0,'19_Расчет_аналитики'!AP4673-('19_Расчет_аналитики'!AP4671-'19_Расчет_аналитики'!AP4672)),0),0)</f>
        <v/>
      </c>
      <c r="AQ4674">
        <f>IF('01_Вводные'!$B$234="Да",IF(AND('07_Мерч'!AQ$3&gt;='01_Вводные'!$B$81,OR(MONTH('07_Мерч'!AQ$3)='01_Вводные'!$B$82,MONTH('07_Мерч'!AQ$3)='01_Вводные'!$B$83,MONTH('07_Мерч'!AQ$3)='01_Вводные'!$B$84,MONTH('07_Мерч'!AQ$3)='01_Вводные'!$B$85)),MAX(0,'19_Расчет_аналитики'!AQ4673-('19_Расчет_аналитики'!AQ4671-'19_Расчет_аналитики'!AQ4672)),0),0)</f>
        <v/>
      </c>
      <c r="AR4674">
        <f>IF('01_Вводные'!$B$234="Да",IF(AND('07_Мерч'!AR$3&gt;='01_Вводные'!$B$81,OR(MONTH('07_Мерч'!AR$3)='01_Вводные'!$B$82,MONTH('07_Мерч'!AR$3)='01_Вводные'!$B$83,MONTH('07_Мерч'!AR$3)='01_Вводные'!$B$84,MONTH('07_Мерч'!AR$3)='01_Вводные'!$B$85)),MAX(0,'19_Расчет_аналитики'!AR4673-('19_Расчет_аналитики'!AR4671-'19_Расчет_аналитики'!AR4672)),0),0)</f>
        <v/>
      </c>
      <c r="AS4674">
        <f>IF('01_Вводные'!$B$234="Да",IF(AND('07_Мерч'!AS$3&gt;='01_Вводные'!$B$81,OR(MONTH('07_Мерч'!AS$3)='01_Вводные'!$B$82,MONTH('07_Мерч'!AS$3)='01_Вводные'!$B$83,MONTH('07_Мерч'!AS$3)='01_Вводные'!$B$84,MONTH('07_Мерч'!AS$3)='01_Вводные'!$B$85)),MAX(0,'19_Расчет_аналитики'!AS4673-('19_Расчет_аналитики'!AS4671-'19_Расчет_аналитики'!AS4672)),0),0)</f>
        <v/>
      </c>
      <c r="AT4674">
        <f>IF('01_Вводные'!$B$234="Да",IF(AND('07_Мерч'!AT$3&gt;='01_Вводные'!$B$81,OR(MONTH('07_Мерч'!AT$3)='01_Вводные'!$B$82,MONTH('07_Мерч'!AT$3)='01_Вводные'!$B$83,MONTH('07_Мерч'!AT$3)='01_Вводные'!$B$84,MONTH('07_Мерч'!AT$3)='01_Вводные'!$B$85)),MAX(0,'19_Расчет_аналитики'!AT4673-('19_Расчет_аналитики'!AT4671-'19_Расчет_аналитики'!AT4672)),0),0)</f>
        <v/>
      </c>
      <c r="AU4674">
        <f>IF('01_Вводные'!$B$234="Да",IF(AND('07_Мерч'!AU$3&gt;='01_Вводные'!$B$81,OR(MONTH('07_Мерч'!AU$3)='01_Вводные'!$B$82,MONTH('07_Мерч'!AU$3)='01_Вводные'!$B$83,MONTH('07_Мерч'!AU$3)='01_Вводные'!$B$84,MONTH('07_Мерч'!AU$3)='01_Вводные'!$B$85)),MAX(0,'19_Расчет_аналитики'!AU4673-('19_Расчет_аналитики'!AU4671-'19_Расчет_аналитики'!AU4672)),0),0)</f>
        <v/>
      </c>
      <c r="AV4674">
        <f>IF('01_Вводные'!$B$234="Да",IF(AND('07_Мерч'!AV$3&gt;='01_Вводные'!$B$81,OR(MONTH('07_Мерч'!AV$3)='01_Вводные'!$B$82,MONTH('07_Мерч'!AV$3)='01_Вводные'!$B$83,MONTH('07_Мерч'!AV$3)='01_Вводные'!$B$84,MONTH('07_Мерч'!AV$3)='01_Вводные'!$B$85)),MAX(0,'19_Расчет_аналитики'!AV4673-('19_Расчет_аналитики'!AV4671-'19_Расчет_аналитики'!AV4672)),0),0)</f>
        <v/>
      </c>
      <c r="AW4674">
        <f>IF('01_Вводные'!$B$234="Да",IF(AND('07_Мерч'!AW$3&gt;='01_Вводные'!$B$81,OR(MONTH('07_Мерч'!AW$3)='01_Вводные'!$B$82,MONTH('07_Мерч'!AW$3)='01_Вводные'!$B$83,MONTH('07_Мерч'!AW$3)='01_Вводные'!$B$84,MONTH('07_Мерч'!AW$3)='01_Вводные'!$B$85)),MAX(0,'19_Расчет_аналитики'!AW4673-('19_Расчет_аналитики'!AW4671-'19_Расчет_аналитики'!AW4672)),0),0)</f>
        <v/>
      </c>
      <c r="AX4674">
        <f>IF('01_Вводные'!$B$234="Да",IF(AND('07_Мерч'!AX$3&gt;='01_Вводные'!$B$81,OR(MONTH('07_Мерч'!AX$3)='01_Вводные'!$B$82,MONTH('07_Мерч'!AX$3)='01_Вводные'!$B$83,MONTH('07_Мерч'!AX$3)='01_Вводные'!$B$84,MONTH('07_Мерч'!AX$3)='01_Вводные'!$B$85)),MAX(0,'19_Расчет_аналитики'!AX4673-('19_Расчет_аналитики'!AX4671-'19_Расчет_аналитики'!AX4672)),0),0)</f>
        <v/>
      </c>
      <c r="AY4674">
        <f>IF('01_Вводные'!$B$234="Да",IF(AND('07_Мерч'!AY$3&gt;='01_Вводные'!$B$81,OR(MONTH('07_Мерч'!AY$3)='01_Вводные'!$B$82,MONTH('07_Мерч'!AY$3)='01_Вводные'!$B$83,MONTH('07_Мерч'!AY$3)='01_Вводные'!$B$84,MONTH('07_Мерч'!AY$3)='01_Вводные'!$B$85)),MAX(0,'19_Расчет_аналитики'!AY4673-('19_Расчет_аналитики'!AY4671-'19_Расчет_аналитики'!AY4672)),0),0)</f>
        <v/>
      </c>
      <c r="AZ4674">
        <f>IF('01_Вводные'!$B$234="Да",IF(AND('07_Мерч'!AZ$3&gt;='01_Вводные'!$B$81,OR(MONTH('07_Мерч'!AZ$3)='01_Вводные'!$B$82,MONTH('07_Мерч'!AZ$3)='01_Вводные'!$B$83,MONTH('07_Мерч'!AZ$3)='01_Вводные'!$B$84,MONTH('07_Мерч'!AZ$3)='01_Вводные'!$B$85)),MAX(0,'19_Расчет_аналитики'!AZ4673-('19_Расчет_аналитики'!AZ4671-'19_Расчет_аналитики'!AZ4672)),0),0)</f>
        <v/>
      </c>
      <c r="BA4674">
        <f>IF('01_Вводные'!$B$234="Да",IF(AND('07_Мерч'!BA$3&gt;='01_Вводные'!$B$81,OR(MONTH('07_Мерч'!BA$3)='01_Вводные'!$B$82,MONTH('07_Мерч'!BA$3)='01_Вводные'!$B$83,MONTH('07_Мерч'!BA$3)='01_Вводные'!$B$84,MONTH('07_Мерч'!BA$3)='01_Вводные'!$B$85)),MAX(0,'19_Расчет_аналитики'!BA4673-('19_Расчет_аналитики'!BA4671-'19_Расчет_аналитики'!BA4672)),0),0)</f>
        <v/>
      </c>
      <c r="BB4674">
        <f>IF('01_Вводные'!$B$234="Да",IF(AND('07_Мерч'!BB$3&gt;='01_Вводные'!$B$81,OR(MONTH('07_Мерч'!BB$3)='01_Вводные'!$B$82,MONTH('07_Мерч'!BB$3)='01_Вводные'!$B$83,MONTH('07_Мерч'!BB$3)='01_Вводные'!$B$84,MONTH('07_Мерч'!BB$3)='01_Вводные'!$B$85)),MAX(0,'19_Расчет_аналитики'!BB4673-('19_Расчет_аналитики'!BB4671-'19_Расчет_аналитики'!BB4672)),0),0)</f>
        <v/>
      </c>
      <c r="BC4674">
        <f>IF('01_Вводные'!$B$234="Да",IF(AND('07_Мерч'!BC$3&gt;='01_Вводные'!$B$81,OR(MONTH('07_Мерч'!BC$3)='01_Вводные'!$B$82,MONTH('07_Мерч'!BC$3)='01_Вводные'!$B$83,MONTH('07_Мерч'!BC$3)='01_Вводные'!$B$84,MONTH('07_Мерч'!BC$3)='01_Вводные'!$B$85)),MAX(0,'19_Расчет_аналитики'!BC4673-('19_Расчет_аналитики'!BC4671-'19_Расчет_аналитики'!BC4672)),0),0)</f>
        <v/>
      </c>
      <c r="BD4674">
        <f>IF('01_Вводные'!$B$234="Да",IF(AND('07_Мерч'!BD$3&gt;='01_Вводные'!$B$81,OR(MONTH('07_Мерч'!BD$3)='01_Вводные'!$B$82,MONTH('07_Мерч'!BD$3)='01_Вводные'!$B$83,MONTH('07_Мерч'!BD$3)='01_Вводные'!$B$84,MONTH('07_Мерч'!BD$3)='01_Вводные'!$B$85)),MAX(0,'19_Расчет_аналитики'!BD4673-('19_Расчет_аналитики'!BD4671-'19_Расчет_аналитики'!BD4672)),0),0)</f>
        <v/>
      </c>
      <c r="BE4674">
        <f>IF('01_Вводные'!$B$234="Да",IF(AND('07_Мерч'!BE$3&gt;='01_Вводные'!$B$81,OR(MONTH('07_Мерч'!BE$3)='01_Вводные'!$B$82,MONTH('07_Мерч'!BE$3)='01_Вводные'!$B$83,MONTH('07_Мерч'!BE$3)='01_Вводные'!$B$84,MONTH('07_Мерч'!BE$3)='01_Вводные'!$B$85)),MAX(0,'19_Расчет_аналитики'!BE4673-('19_Расчет_аналитики'!BE4671-'19_Расчет_аналитики'!BE4672)),0),0)</f>
        <v/>
      </c>
      <c r="BF4674">
        <f>IF('01_Вводные'!$B$234="Да",IF(AND('07_Мерч'!BF$3&gt;='01_Вводные'!$B$81,OR(MONTH('07_Мерч'!BF$3)='01_Вводные'!$B$82,MONTH('07_Мерч'!BF$3)='01_Вводные'!$B$83,MONTH('07_Мерч'!BF$3)='01_Вводные'!$B$84,MONTH('07_Мерч'!BF$3)='01_Вводные'!$B$85)),MAX(0,'19_Расчет_аналитики'!BF4673-('19_Расчет_аналитики'!BF4671-'19_Расчет_аналитики'!BF4672)),0),0)</f>
        <v/>
      </c>
      <c r="BG4674">
        <f>IF('01_Вводные'!$B$234="Да",IF(AND('07_Мерч'!BG$3&gt;='01_Вводные'!$B$81,OR(MONTH('07_Мерч'!BG$3)='01_Вводные'!$B$82,MONTH('07_Мерч'!BG$3)='01_Вводные'!$B$83,MONTH('07_Мерч'!BG$3)='01_Вводные'!$B$84,MONTH('07_Мерч'!BG$3)='01_Вводные'!$B$85)),MAX(0,'19_Расчет_аналитики'!BG4673-('19_Расчет_аналитики'!BG4671-'19_Расчет_аналитики'!BG4672)),0),0)</f>
        <v/>
      </c>
      <c r="BH4674">
        <f>IF('01_Вводные'!$B$234="Да",IF(AND('07_Мерч'!BH$3&gt;='01_Вводные'!$B$81,OR(MONTH('07_Мерч'!BH$3)='01_Вводные'!$B$82,MONTH('07_Мерч'!BH$3)='01_Вводные'!$B$83,MONTH('07_Мерч'!BH$3)='01_Вводные'!$B$84,MONTH('07_Мерч'!BH$3)='01_Вводные'!$B$85)),MAX(0,'19_Расчет_аналитики'!BH4673-('19_Расчет_аналитики'!BH4671-'19_Расчет_аналитики'!BH4672)),0),0)</f>
        <v/>
      </c>
      <c r="BI4674">
        <f>IF('01_Вводные'!$B$234="Да",IF(AND('07_Мерч'!BI$3&gt;='01_Вводные'!$B$81,OR(MONTH('07_Мерч'!BI$3)='01_Вводные'!$B$82,MONTH('07_Мерч'!BI$3)='01_Вводные'!$B$83,MONTH('07_Мерч'!BI$3)='01_Вводные'!$B$84,MONTH('07_Мерч'!BI$3)='01_Вводные'!$B$85)),MAX(0,'19_Расчет_аналитики'!BI4673-('19_Расчет_аналитики'!BI4671-'19_Расчет_аналитики'!BI4672)),0),0)</f>
        <v/>
      </c>
      <c r="BJ4674">
        <f>IF('01_Вводные'!$B$234="Да",IF(AND('07_Мерч'!BJ$3&gt;='01_Вводные'!$B$81,OR(MONTH('07_Мерч'!BJ$3)='01_Вводные'!$B$82,MONTH('07_Мерч'!BJ$3)='01_Вводные'!$B$83,MONTH('07_Мерч'!BJ$3)='01_Вводные'!$B$84,MONTH('07_Мерч'!BJ$3)='01_Вводные'!$B$85)),MAX(0,'07_Мерч'!BJ24-('19_Расчет_аналитики'!BJ4671-'19_Расчет_аналитики'!BJ4672)),0),0)</f>
        <v/>
      </c>
      <c r="BK4674">
        <f>IF('01_Вводные'!$B$234="Да",IF(AND('07_Мерч'!BK$3&gt;='01_Вводные'!$B$81,OR(MONTH('07_Мерч'!BK$3)='01_Вводные'!$B$82,MONTH('07_Мерч'!BK$3)='01_Вводные'!$B$83,MONTH('07_Мерч'!BK$3)='01_Вводные'!$B$84,MONTH('07_Мерч'!BK$3)='01_Вводные'!$B$85)),MAX(0,'07_Мерч'!BK24-('19_Расчет_аналитики'!BK4671-'19_Расчет_аналитики'!BK4672)),0),0)</f>
        <v/>
      </c>
      <c r="BL4674">
        <f>IF('01_Вводные'!$B$234="Да",IF(AND('07_Мерч'!BL$3&gt;='01_Вводные'!$B$81,OR(MONTH('07_Мерч'!BL$3)='01_Вводные'!$B$82,MONTH('07_Мерч'!BL$3)='01_Вводные'!$B$83,MONTH('07_Мерч'!BL$3)='01_Вводные'!$B$84,MONTH('07_Мерч'!BL$3)='01_Вводные'!$B$85)),MAX(0,'07_Мерч'!BL24-('19_Расчет_аналитики'!BL4671-'19_Расчет_аналитики'!BL4672)),0),0)</f>
        <v/>
      </c>
      <c r="BM4674">
        <f>IF('01_Вводные'!$B$234="Да",IF(AND('07_Мерч'!BM$3&gt;='01_Вводные'!$B$81,OR(MONTH('07_Мерч'!BM$3)='01_Вводные'!$B$82,MONTH('07_Мерч'!BM$3)='01_Вводные'!$B$83,MONTH('07_Мерч'!BM$3)='01_Вводные'!$B$84,MONTH('07_Мерч'!BM$3)='01_Вводные'!$B$85)),MAX(0,'07_Мерч'!BM24-('19_Расчет_аналитики'!BM4671-'19_Расчет_аналитики'!BM4672)),0),0)</f>
        <v/>
      </c>
      <c r="BN4674">
        <f>IF('01_Вводные'!$B$234="Да",IF(AND('07_Мерч'!BN$3&gt;='01_Вводные'!$B$81,OR(MONTH('07_Мерч'!BN$3)='01_Вводные'!$B$82,MONTH('07_Мерч'!BN$3)='01_Вводные'!$B$83,MONTH('07_Мерч'!BN$3)='01_Вводные'!$B$84,MONTH('07_Мерч'!BN$3)='01_Вводные'!$B$85)),MAX(0,'07_Мерч'!BN24-('19_Расчет_аналитики'!BN4671-'19_Расчет_аналитики'!BN4672)),0),0)</f>
        <v/>
      </c>
      <c r="BO4674">
        <f>IF('01_Вводные'!$B$234="Да",IF(AND('07_Мерч'!BO$3&gt;='01_Вводные'!$B$81,OR(MONTH('07_Мерч'!BO$3)='01_Вводные'!$B$82,MONTH('07_Мерч'!BO$3)='01_Вводные'!$B$83,MONTH('07_Мерч'!BO$3)='01_Вводные'!$B$84,MONTH('07_Мерч'!BO$3)='01_Вводные'!$B$85)),MAX(0,'07_Мерч'!BO24-('19_Расчет_аналитики'!BO4671-'19_Расчет_аналитики'!BO4672)),0),0)</f>
        <v/>
      </c>
    </row>
    <row r="4675">
      <c r="B4675">
        <f>IF('01_Вводные'!$B$234="Да",'07_Мерч'!B22+'19_Расчет_аналитики'!B4674-'19_Расчет_аналитики'!B4672,0)</f>
        <v/>
      </c>
      <c r="C4675">
        <f>IF('01_Вводные'!$B$234="Да",'19_Расчет_аналитики'!C4671+'19_Расчет_аналитики'!C4674-'19_Расчет_аналитики'!C4672,0)</f>
        <v/>
      </c>
      <c r="D4675">
        <f>IF('01_Вводные'!$B$234="Да",'19_Расчет_аналитики'!D4671+'19_Расчет_аналитики'!D4674-'19_Расчет_аналитики'!D4672,0)</f>
        <v/>
      </c>
      <c r="E4675">
        <f>IF('01_Вводные'!$B$234="Да",'19_Расчет_аналитики'!E4671+'19_Расчет_аналитики'!E4674-'19_Расчет_аналитики'!E4672,0)</f>
        <v/>
      </c>
      <c r="F4675">
        <f>IF('01_Вводные'!$B$234="Да",'19_Расчет_аналитики'!F4671+'19_Расчет_аналитики'!F4674-'19_Расчет_аналитики'!F4672,0)</f>
        <v/>
      </c>
      <c r="G4675">
        <f>IF('01_Вводные'!$B$234="Да",'19_Расчет_аналитики'!G4671+'19_Расчет_аналитики'!G4674-'19_Расчет_аналитики'!G4672,0)</f>
        <v/>
      </c>
      <c r="H4675">
        <f>IF('01_Вводные'!$B$234="Да",'19_Расчет_аналитики'!H4671+'19_Расчет_аналитики'!H4674-'19_Расчет_аналитики'!H4672,0)</f>
        <v/>
      </c>
      <c r="I4675">
        <f>IF('01_Вводные'!$B$234="Да",'19_Расчет_аналитики'!I4671+'19_Расчет_аналитики'!I4674-'19_Расчет_аналитики'!I4672,0)</f>
        <v/>
      </c>
      <c r="J4675">
        <f>IF('01_Вводные'!$B$234="Да",'19_Расчет_аналитики'!J4671+'19_Расчет_аналитики'!J4674-'19_Расчет_аналитики'!J4672,0)</f>
        <v/>
      </c>
      <c r="K4675">
        <f>IF('01_Вводные'!$B$234="Да",'19_Расчет_аналитики'!K4671+'19_Расчет_аналитики'!K4674-'19_Расчет_аналитики'!K4672,0)</f>
        <v/>
      </c>
      <c r="L4675">
        <f>IF('01_Вводные'!$B$234="Да",'19_Расчет_аналитики'!L4671+'19_Расчет_аналитики'!L4674-'19_Расчет_аналитики'!L4672,0)</f>
        <v/>
      </c>
      <c r="M4675">
        <f>IF('01_Вводные'!$B$234="Да",'19_Расчет_аналитики'!M4671+'19_Расчет_аналитики'!M4674-'19_Расчет_аналитики'!M4672,0)</f>
        <v/>
      </c>
      <c r="N4675">
        <f>IF('01_Вводные'!$B$234="Да",'19_Расчет_аналитики'!N4671+'19_Расчет_аналитики'!N4674-'19_Расчет_аналитики'!N4672,0)</f>
        <v/>
      </c>
      <c r="O4675">
        <f>IF('01_Вводные'!$B$234="Да",'19_Расчет_аналитики'!O4671+'19_Расчет_аналитики'!O4674-'19_Расчет_аналитики'!O4672,0)</f>
        <v/>
      </c>
      <c r="P4675">
        <f>IF('01_Вводные'!$B$234="Да",'19_Расчет_аналитики'!P4671+'19_Расчет_аналитики'!P4674-'19_Расчет_аналитики'!P4672,0)</f>
        <v/>
      </c>
      <c r="Q4675">
        <f>IF('01_Вводные'!$B$234="Да",'19_Расчет_аналитики'!Q4671+'19_Расчет_аналитики'!Q4674-'19_Расчет_аналитики'!Q4672,0)</f>
        <v/>
      </c>
      <c r="R4675">
        <f>IF('01_Вводные'!$B$234="Да",'19_Расчет_аналитики'!R4671+'19_Расчет_аналитики'!R4674-'19_Расчет_аналитики'!R4672,0)</f>
        <v/>
      </c>
      <c r="S4675">
        <f>IF('01_Вводные'!$B$234="Да",'19_Расчет_аналитики'!S4671+'19_Расчет_аналитики'!S4674-'19_Расчет_аналитики'!S4672,0)</f>
        <v/>
      </c>
      <c r="T4675">
        <f>IF('01_Вводные'!$B$234="Да",'19_Расчет_аналитики'!T4671+'19_Расчет_аналитики'!T4674-'19_Расчет_аналитики'!T4672,0)</f>
        <v/>
      </c>
      <c r="U4675">
        <f>IF('01_Вводные'!$B$234="Да",'19_Расчет_аналитики'!U4671+'19_Расчет_аналитики'!U4674-'19_Расчет_аналитики'!U4672,0)</f>
        <v/>
      </c>
      <c r="V4675">
        <f>IF('01_Вводные'!$B$234="Да",'19_Расчет_аналитики'!V4671+'19_Расчет_аналитики'!V4674-'19_Расчет_аналитики'!V4672,0)</f>
        <v/>
      </c>
      <c r="W4675">
        <f>IF('01_Вводные'!$B$234="Да",'19_Расчет_аналитики'!W4671+'19_Расчет_аналитики'!W4674-'19_Расчет_аналитики'!W4672,0)</f>
        <v/>
      </c>
      <c r="X4675">
        <f>IF('01_Вводные'!$B$234="Да",'19_Расчет_аналитики'!X4671+'19_Расчет_аналитики'!X4674-'19_Расчет_аналитики'!X4672,0)</f>
        <v/>
      </c>
      <c r="Y4675">
        <f>IF('01_Вводные'!$B$234="Да",'19_Расчет_аналитики'!Y4671+'19_Расчет_аналитики'!Y4674-'19_Расчет_аналитики'!Y4672,0)</f>
        <v/>
      </c>
      <c r="Z4675">
        <f>IF('01_Вводные'!$B$234="Да",'19_Расчет_аналитики'!Z4671+'19_Расчет_аналитики'!Z4674-'19_Расчет_аналитики'!Z4672,0)</f>
        <v/>
      </c>
      <c r="AA4675">
        <f>IF('01_Вводные'!$B$234="Да",'19_Расчет_аналитики'!AA4671+'19_Расчет_аналитики'!AA4674-'19_Расчет_аналитики'!AA4672,0)</f>
        <v/>
      </c>
      <c r="AB4675">
        <f>IF('01_Вводные'!$B$234="Да",'19_Расчет_аналитики'!AB4671+'19_Расчет_аналитики'!AB4674-'19_Расчет_аналитики'!AB4672,0)</f>
        <v/>
      </c>
      <c r="AC4675">
        <f>IF('01_Вводные'!$B$234="Да",'19_Расчет_аналитики'!AC4671+'19_Расчет_аналитики'!AC4674-'19_Расчет_аналитики'!AC4672,0)</f>
        <v/>
      </c>
      <c r="AD4675">
        <f>IF('01_Вводные'!$B$234="Да",'19_Расчет_аналитики'!AD4671+'19_Расчет_аналитики'!AD4674-'19_Расчет_аналитики'!AD4672,0)</f>
        <v/>
      </c>
      <c r="AE4675">
        <f>IF('01_Вводные'!$B$234="Да",'19_Расчет_аналитики'!AE4671+'19_Расчет_аналитики'!AE4674-'19_Расчет_аналитики'!AE4672,0)</f>
        <v/>
      </c>
      <c r="AF4675">
        <f>IF('01_Вводные'!$B$234="Да",'19_Расчет_аналитики'!AF4671+'19_Расчет_аналитики'!AF4674-'19_Расчет_аналитики'!AF4672,0)</f>
        <v/>
      </c>
      <c r="AG4675">
        <f>IF('01_Вводные'!$B$234="Да",'19_Расчет_аналитики'!AG4671+'19_Расчет_аналитики'!AG4674-'19_Расчет_аналитики'!AG4672,0)</f>
        <v/>
      </c>
      <c r="AH4675">
        <f>IF('01_Вводные'!$B$234="Да",'19_Расчет_аналитики'!AH4671+'19_Расчет_аналитики'!AH4674-'19_Расчет_аналитики'!AH4672,0)</f>
        <v/>
      </c>
      <c r="AI4675">
        <f>IF('01_Вводные'!$B$234="Да",'19_Расчет_аналитики'!AI4671+'19_Расчет_аналитики'!AI4674-'19_Расчет_аналитики'!AI4672,0)</f>
        <v/>
      </c>
      <c r="AJ4675">
        <f>IF('01_Вводные'!$B$234="Да",'19_Расчет_аналитики'!AJ4671+'19_Расчет_аналитики'!AJ4674-'19_Расчет_аналитики'!AJ4672,0)</f>
        <v/>
      </c>
      <c r="AK4675">
        <f>IF('01_Вводные'!$B$234="Да",'19_Расчет_аналитики'!AK4671+'19_Расчет_аналитики'!AK4674-'19_Расчет_аналитики'!AK4672,0)</f>
        <v/>
      </c>
      <c r="AL4675">
        <f>IF('01_Вводные'!$B$234="Да",'19_Расчет_аналитики'!AL4671+'19_Расчет_аналитики'!AL4674-'19_Расчет_аналитики'!AL4672,0)</f>
        <v/>
      </c>
      <c r="AM4675">
        <f>IF('01_Вводные'!$B$234="Да",'19_Расчет_аналитики'!AM4671+'19_Расчет_аналитики'!AM4674-'19_Расчет_аналитики'!AM4672,0)</f>
        <v/>
      </c>
      <c r="AN4675">
        <f>IF('01_Вводные'!$B$234="Да",'19_Расчет_аналитики'!AN4671+'19_Расчет_аналитики'!AN4674-'19_Расчет_аналитики'!AN4672,0)</f>
        <v/>
      </c>
      <c r="AO4675">
        <f>IF('01_Вводные'!$B$234="Да",'19_Расчет_аналитики'!AO4671+'19_Расчет_аналитики'!AO4674-'19_Расчет_аналитики'!AO4672,0)</f>
        <v/>
      </c>
      <c r="AP4675">
        <f>IF('01_Вводные'!$B$234="Да",'19_Расчет_аналитики'!AP4671+'19_Расчет_аналитики'!AP4674-'19_Расчет_аналитики'!AP4672,0)</f>
        <v/>
      </c>
      <c r="AQ4675">
        <f>IF('01_Вводные'!$B$234="Да",'19_Расчет_аналитики'!AQ4671+'19_Расчет_аналитики'!AQ4674-'19_Расчет_аналитики'!AQ4672,0)</f>
        <v/>
      </c>
      <c r="AR4675">
        <f>IF('01_Вводные'!$B$234="Да",'19_Расчет_аналитики'!AR4671+'19_Расчет_аналитики'!AR4674-'19_Расчет_аналитики'!AR4672,0)</f>
        <v/>
      </c>
      <c r="AS4675">
        <f>IF('01_Вводные'!$B$234="Да",'19_Расчет_аналитики'!AS4671+'19_Расчет_аналитики'!AS4674-'19_Расчет_аналитики'!AS4672,0)</f>
        <v/>
      </c>
      <c r="AT4675">
        <f>IF('01_Вводные'!$B$234="Да",'19_Расчет_аналитики'!AT4671+'19_Расчет_аналитики'!AT4674-'19_Расчет_аналитики'!AT4672,0)</f>
        <v/>
      </c>
      <c r="AU4675">
        <f>IF('01_Вводные'!$B$234="Да",'19_Расчет_аналитики'!AU4671+'19_Расчет_аналитики'!AU4674-'19_Расчет_аналитики'!AU4672,0)</f>
        <v/>
      </c>
      <c r="AV4675">
        <f>IF('01_Вводные'!$B$234="Да",'19_Расчет_аналитики'!AV4671+'19_Расчет_аналитики'!AV4674-'19_Расчет_аналитики'!AV4672,0)</f>
        <v/>
      </c>
      <c r="AW4675">
        <f>IF('01_Вводные'!$B$234="Да",'19_Расчет_аналитики'!AW4671+'19_Расчет_аналитики'!AW4674-'19_Расчет_аналитики'!AW4672,0)</f>
        <v/>
      </c>
      <c r="AX4675">
        <f>IF('01_Вводные'!$B$234="Да",'19_Расчет_аналитики'!AX4671+'19_Расчет_аналитики'!AX4674-'19_Расчет_аналитики'!AX4672,0)</f>
        <v/>
      </c>
      <c r="AY4675">
        <f>IF('01_Вводные'!$B$234="Да",'19_Расчет_аналитики'!AY4671+'19_Расчет_аналитики'!AY4674-'19_Расчет_аналитики'!AY4672,0)</f>
        <v/>
      </c>
      <c r="AZ4675">
        <f>IF('01_Вводные'!$B$234="Да",'19_Расчет_аналитики'!AZ4671+'19_Расчет_аналитики'!AZ4674-'19_Расчет_аналитики'!AZ4672,0)</f>
        <v/>
      </c>
      <c r="BA4675">
        <f>IF('01_Вводные'!$B$234="Да",'19_Расчет_аналитики'!BA4671+'19_Расчет_аналитики'!BA4674-'19_Расчет_аналитики'!BA4672,0)</f>
        <v/>
      </c>
      <c r="BB4675">
        <f>IF('01_Вводные'!$B$234="Да",'19_Расчет_аналитики'!BB4671+'19_Расчет_аналитики'!BB4674-'19_Расчет_аналитики'!BB4672,0)</f>
        <v/>
      </c>
      <c r="BC4675">
        <f>IF('01_Вводные'!$B$234="Да",'19_Расчет_аналитики'!BC4671+'19_Расчет_аналитики'!BC4674-'19_Расчет_аналитики'!BC4672,0)</f>
        <v/>
      </c>
      <c r="BD4675">
        <f>IF('01_Вводные'!$B$234="Да",'19_Расчет_аналитики'!BD4671+'19_Расчет_аналитики'!BD4674-'19_Расчет_аналитики'!BD4672,0)</f>
        <v/>
      </c>
      <c r="BE4675">
        <f>IF('01_Вводные'!$B$234="Да",'19_Расчет_аналитики'!BE4671+'19_Расчет_аналитики'!BE4674-'19_Расчет_аналитики'!BE4672,0)</f>
        <v/>
      </c>
      <c r="BF4675">
        <f>IF('01_Вводные'!$B$234="Да",'19_Расчет_аналитики'!BF4671+'19_Расчет_аналитики'!BF4674-'19_Расчет_аналитики'!BF4672,0)</f>
        <v/>
      </c>
      <c r="BG4675">
        <f>IF('01_Вводные'!$B$234="Да",'19_Расчет_аналитики'!BG4671+'19_Расчет_аналитики'!BG4674-'19_Расчет_аналитики'!BG4672,0)</f>
        <v/>
      </c>
      <c r="BH4675">
        <f>IF('01_Вводные'!$B$234="Да",'19_Расчет_аналитики'!BH4671+'19_Расчет_аналитики'!BH4674-'19_Расчет_аналитики'!BH4672,0)</f>
        <v/>
      </c>
      <c r="BI4675">
        <f>IF('01_Вводные'!$B$234="Да",'19_Расчет_аналитики'!BI4671+'19_Расчет_аналитики'!BI4674-'19_Расчет_аналитики'!BI4672,0)</f>
        <v/>
      </c>
      <c r="BJ4675">
        <f>IF('01_Вводные'!$B$234="Да",'19_Расчет_аналитики'!BJ4671+'19_Расчет_аналитики'!BJ4674-'19_Расчет_аналитики'!BJ4672,0)</f>
        <v/>
      </c>
      <c r="BK4675">
        <f>IF('01_Вводные'!$B$234="Да",'19_Расчет_аналитики'!BK4671+'19_Расчет_аналитики'!BK4674-'19_Расчет_аналитики'!BK4672,0)</f>
        <v/>
      </c>
      <c r="BL4675">
        <f>IF('01_Вводные'!$B$234="Да",'19_Расчет_аналитики'!BL4671+'19_Расчет_аналитики'!BL4674-'19_Расчет_аналитики'!BL4672,0)</f>
        <v/>
      </c>
      <c r="BM4675">
        <f>IF('01_Вводные'!$B$234="Да",'19_Расчет_аналитики'!BM4671+'19_Расчет_аналитики'!BM4674-'19_Расчет_аналитики'!BM4672,0)</f>
        <v/>
      </c>
      <c r="BN4675">
        <f>IF('01_Вводные'!$B$234="Да",'19_Расчет_аналитики'!BN4671+'19_Расчет_аналитики'!BN4674-'19_Расчет_аналитики'!BN4672,0)</f>
        <v/>
      </c>
      <c r="BO4675">
        <f>IF('01_Вводные'!$B$234="Да",'19_Расчет_аналитики'!BO4671+'19_Расчет_аналитики'!BO4674-'19_Расчет_аналитики'!BO4672,0)</f>
        <v/>
      </c>
    </row>
    <row r="4676">
      <c r="B4676">
        <f>IF('01_Вводные'!$B$234="Да",MAX(0,-'19_Расчет_аналитики'!B4675),0)</f>
        <v/>
      </c>
      <c r="C4676">
        <f>IF('01_Вводные'!$B$234="Да",MAX(0,-'19_Расчет_аналитики'!C4675),0)</f>
        <v/>
      </c>
      <c r="D4676">
        <f>IF('01_Вводные'!$B$234="Да",MAX(0,-'19_Расчет_аналитики'!D4675),0)</f>
        <v/>
      </c>
      <c r="E4676">
        <f>IF('01_Вводные'!$B$234="Да",MAX(0,-'19_Расчет_аналитики'!E4675),0)</f>
        <v/>
      </c>
      <c r="F4676">
        <f>IF('01_Вводные'!$B$234="Да",MAX(0,-'19_Расчет_аналитики'!F4675),0)</f>
        <v/>
      </c>
      <c r="G4676">
        <f>IF('01_Вводные'!$B$234="Да",MAX(0,-'19_Расчет_аналитики'!G4675),0)</f>
        <v/>
      </c>
      <c r="H4676">
        <f>IF('01_Вводные'!$B$234="Да",MAX(0,-'19_Расчет_аналитики'!H4675),0)</f>
        <v/>
      </c>
      <c r="I4676">
        <f>IF('01_Вводные'!$B$234="Да",MAX(0,-'19_Расчет_аналитики'!I4675),0)</f>
        <v/>
      </c>
      <c r="J4676">
        <f>IF('01_Вводные'!$B$234="Да",MAX(0,-'19_Расчет_аналитики'!J4675),0)</f>
        <v/>
      </c>
      <c r="K4676">
        <f>IF('01_Вводные'!$B$234="Да",MAX(0,-'19_Расчет_аналитики'!K4675),0)</f>
        <v/>
      </c>
      <c r="L4676">
        <f>IF('01_Вводные'!$B$234="Да",MAX(0,-'19_Расчет_аналитики'!L4675),0)</f>
        <v/>
      </c>
      <c r="M4676">
        <f>IF('01_Вводные'!$B$234="Да",MAX(0,-'19_Расчет_аналитики'!M4675),0)</f>
        <v/>
      </c>
      <c r="N4676">
        <f>IF('01_Вводные'!$B$234="Да",MAX(0,-'19_Расчет_аналитики'!N4675),0)</f>
        <v/>
      </c>
      <c r="O4676">
        <f>IF('01_Вводные'!$B$234="Да",MAX(0,-'19_Расчет_аналитики'!O4675),0)</f>
        <v/>
      </c>
      <c r="P4676">
        <f>IF('01_Вводные'!$B$234="Да",MAX(0,-'19_Расчет_аналитики'!P4675),0)</f>
        <v/>
      </c>
      <c r="Q4676">
        <f>IF('01_Вводные'!$B$234="Да",MAX(0,-'19_Расчет_аналитики'!Q4675),0)</f>
        <v/>
      </c>
      <c r="R4676">
        <f>IF('01_Вводные'!$B$234="Да",MAX(0,-'19_Расчет_аналитики'!R4675),0)</f>
        <v/>
      </c>
      <c r="S4676">
        <f>IF('01_Вводные'!$B$234="Да",MAX(0,-'19_Расчет_аналитики'!S4675),0)</f>
        <v/>
      </c>
      <c r="T4676">
        <f>IF('01_Вводные'!$B$234="Да",MAX(0,-'19_Расчет_аналитики'!T4675),0)</f>
        <v/>
      </c>
      <c r="U4676">
        <f>IF('01_Вводные'!$B$234="Да",MAX(0,-'19_Расчет_аналитики'!U4675),0)</f>
        <v/>
      </c>
      <c r="V4676">
        <f>IF('01_Вводные'!$B$234="Да",MAX(0,-'19_Расчет_аналитики'!V4675),0)</f>
        <v/>
      </c>
      <c r="W4676">
        <f>IF('01_Вводные'!$B$234="Да",MAX(0,-'19_Расчет_аналитики'!W4675),0)</f>
        <v/>
      </c>
      <c r="X4676">
        <f>IF('01_Вводные'!$B$234="Да",MAX(0,-'19_Расчет_аналитики'!X4675),0)</f>
        <v/>
      </c>
      <c r="Y4676">
        <f>IF('01_Вводные'!$B$234="Да",MAX(0,-'19_Расчет_аналитики'!Y4675),0)</f>
        <v/>
      </c>
      <c r="Z4676">
        <f>IF('01_Вводные'!$B$234="Да",MAX(0,-'19_Расчет_аналитики'!Z4675),0)</f>
        <v/>
      </c>
      <c r="AA4676">
        <f>IF('01_Вводные'!$B$234="Да",MAX(0,-'19_Расчет_аналитики'!AA4675),0)</f>
        <v/>
      </c>
      <c r="AB4676">
        <f>IF('01_Вводные'!$B$234="Да",MAX(0,-'19_Расчет_аналитики'!AB4675),0)</f>
        <v/>
      </c>
      <c r="AC4676">
        <f>IF('01_Вводные'!$B$234="Да",MAX(0,-'19_Расчет_аналитики'!AC4675),0)</f>
        <v/>
      </c>
      <c r="AD4676">
        <f>IF('01_Вводные'!$B$234="Да",MAX(0,-'19_Расчет_аналитики'!AD4675),0)</f>
        <v/>
      </c>
      <c r="AE4676">
        <f>IF('01_Вводные'!$B$234="Да",MAX(0,-'19_Расчет_аналитики'!AE4675),0)</f>
        <v/>
      </c>
      <c r="AF4676">
        <f>IF('01_Вводные'!$B$234="Да",MAX(0,-'19_Расчет_аналитики'!AF4675),0)</f>
        <v/>
      </c>
      <c r="AG4676">
        <f>IF('01_Вводные'!$B$234="Да",MAX(0,-'19_Расчет_аналитики'!AG4675),0)</f>
        <v/>
      </c>
      <c r="AH4676">
        <f>IF('01_Вводные'!$B$234="Да",MAX(0,-'19_Расчет_аналитики'!AH4675),0)</f>
        <v/>
      </c>
      <c r="AI4676">
        <f>IF('01_Вводные'!$B$234="Да",MAX(0,-'19_Расчет_аналитики'!AI4675),0)</f>
        <v/>
      </c>
      <c r="AJ4676">
        <f>IF('01_Вводные'!$B$234="Да",MAX(0,-'19_Расчет_аналитики'!AJ4675),0)</f>
        <v/>
      </c>
      <c r="AK4676">
        <f>IF('01_Вводные'!$B$234="Да",MAX(0,-'19_Расчет_аналитики'!AK4675),0)</f>
        <v/>
      </c>
      <c r="AL4676">
        <f>IF('01_Вводные'!$B$234="Да",MAX(0,-'19_Расчет_аналитики'!AL4675),0)</f>
        <v/>
      </c>
      <c r="AM4676">
        <f>IF('01_Вводные'!$B$234="Да",MAX(0,-'19_Расчет_аналитики'!AM4675),0)</f>
        <v/>
      </c>
      <c r="AN4676">
        <f>IF('01_Вводные'!$B$234="Да",MAX(0,-'19_Расчет_аналитики'!AN4675),0)</f>
        <v/>
      </c>
      <c r="AO4676">
        <f>IF('01_Вводные'!$B$234="Да",MAX(0,-'19_Расчет_аналитики'!AO4675),0)</f>
        <v/>
      </c>
      <c r="AP4676">
        <f>IF('01_Вводные'!$B$234="Да",MAX(0,-'19_Расчет_аналитики'!AP4675),0)</f>
        <v/>
      </c>
      <c r="AQ4676">
        <f>IF('01_Вводные'!$B$234="Да",MAX(0,-'19_Расчет_аналитики'!AQ4675),0)</f>
        <v/>
      </c>
      <c r="AR4676">
        <f>IF('01_Вводные'!$B$234="Да",MAX(0,-'19_Расчет_аналитики'!AR4675),0)</f>
        <v/>
      </c>
      <c r="AS4676">
        <f>IF('01_Вводные'!$B$234="Да",MAX(0,-'19_Расчет_аналитики'!AS4675),0)</f>
        <v/>
      </c>
      <c r="AT4676">
        <f>IF('01_Вводные'!$B$234="Да",MAX(0,-'19_Расчет_аналитики'!AT4675),0)</f>
        <v/>
      </c>
      <c r="AU4676">
        <f>IF('01_Вводные'!$B$234="Да",MAX(0,-'19_Расчет_аналитики'!AU4675),0)</f>
        <v/>
      </c>
      <c r="AV4676">
        <f>IF('01_Вводные'!$B$234="Да",MAX(0,-'19_Расчет_аналитики'!AV4675),0)</f>
        <v/>
      </c>
      <c r="AW4676">
        <f>IF('01_Вводные'!$B$234="Да",MAX(0,-'19_Расчет_аналитики'!AW4675),0)</f>
        <v/>
      </c>
      <c r="AX4676">
        <f>IF('01_Вводные'!$B$234="Да",MAX(0,-'19_Расчет_аналитики'!AX4675),0)</f>
        <v/>
      </c>
      <c r="AY4676">
        <f>IF('01_Вводные'!$B$234="Да",MAX(0,-'19_Расчет_аналитики'!AY4675),0)</f>
        <v/>
      </c>
      <c r="AZ4676">
        <f>IF('01_Вводные'!$B$234="Да",MAX(0,-'19_Расчет_аналитики'!AZ4675),0)</f>
        <v/>
      </c>
      <c r="BA4676">
        <f>IF('01_Вводные'!$B$234="Да",MAX(0,-'19_Расчет_аналитики'!BA4675),0)</f>
        <v/>
      </c>
      <c r="BB4676">
        <f>IF('01_Вводные'!$B$234="Да",MAX(0,-'19_Расчет_аналитики'!BB4675),0)</f>
        <v/>
      </c>
      <c r="BC4676">
        <f>IF('01_Вводные'!$B$234="Да",MAX(0,-'19_Расчет_аналитики'!BC4675),0)</f>
        <v/>
      </c>
      <c r="BD4676">
        <f>IF('01_Вводные'!$B$234="Да",MAX(0,-'19_Расчет_аналитики'!BD4675),0)</f>
        <v/>
      </c>
      <c r="BE4676">
        <f>IF('01_Вводные'!$B$234="Да",MAX(0,-'19_Расчет_аналитики'!BE4675),0)</f>
        <v/>
      </c>
      <c r="BF4676">
        <f>IF('01_Вводные'!$B$234="Да",MAX(0,-'19_Расчет_аналитики'!BF4675),0)</f>
        <v/>
      </c>
      <c r="BG4676">
        <f>IF('01_Вводные'!$B$234="Да",MAX(0,-'19_Расчет_аналитики'!BG4675),0)</f>
        <v/>
      </c>
      <c r="BH4676">
        <f>IF('01_Вводные'!$B$234="Да",MAX(0,-'19_Расчет_аналитики'!BH4675),0)</f>
        <v/>
      </c>
      <c r="BI4676">
        <f>IF('01_Вводные'!$B$234="Да",MAX(0,-'19_Расчет_аналитики'!BI4675),0)</f>
        <v/>
      </c>
      <c r="BJ4676">
        <f>IF('01_Вводные'!$B$234="Да",MAX(0,-'19_Расчет_аналитики'!BJ4675),0)</f>
        <v/>
      </c>
      <c r="BK4676">
        <f>IF('01_Вводные'!$B$234="Да",MAX(0,-'19_Расчет_аналитики'!BK4675),0)</f>
        <v/>
      </c>
      <c r="BL4676">
        <f>IF('01_Вводные'!$B$234="Да",MAX(0,-'19_Расчет_аналитики'!BL4675),0)</f>
        <v/>
      </c>
      <c r="BM4676">
        <f>IF('01_Вводные'!$B$234="Да",MAX(0,-'19_Расчет_аналитики'!BM4675),0)</f>
        <v/>
      </c>
      <c r="BN4676">
        <f>IF('01_Вводные'!$B$234="Да",MAX(0,-'19_Расчет_аналитики'!BN4675),0)</f>
        <v/>
      </c>
      <c r="BO4676">
        <f>IF('01_Вводные'!$B$234="Да",MAX(0,-'19_Расчет_аналитики'!BO4675),0)</f>
        <v/>
      </c>
    </row>
    <row r="4677"/>
    <row r="4678">
      <c r="C4678">
        <f>IF('01_Вводные'!$B$234="Да",'19_Расчет_аналитики'!B4681,0)</f>
        <v/>
      </c>
      <c r="D4678">
        <f>IF('01_Вводные'!$B$234="Да",'19_Расчет_аналитики'!C4681,0)</f>
        <v/>
      </c>
      <c r="E4678">
        <f>IF('01_Вводные'!$B$234="Да",'19_Расчет_аналитики'!D4681,0)</f>
        <v/>
      </c>
      <c r="F4678">
        <f>IF('01_Вводные'!$B$234="Да",'19_Расчет_аналитики'!E4681,0)</f>
        <v/>
      </c>
      <c r="G4678">
        <f>IF('01_Вводные'!$B$234="Да",'19_Расчет_аналитики'!F4681,0)</f>
        <v/>
      </c>
      <c r="H4678">
        <f>IF('01_Вводные'!$B$234="Да",'19_Расчет_аналитики'!G4681,0)</f>
        <v/>
      </c>
      <c r="I4678">
        <f>IF('01_Вводные'!$B$234="Да",'19_Расчет_аналитики'!H4681,0)</f>
        <v/>
      </c>
      <c r="J4678">
        <f>IF('01_Вводные'!$B$234="Да",'19_Расчет_аналитики'!I4681,0)</f>
        <v/>
      </c>
      <c r="K4678">
        <f>IF('01_Вводные'!$B$234="Да",'19_Расчет_аналитики'!J4681,0)</f>
        <v/>
      </c>
      <c r="L4678">
        <f>IF('01_Вводные'!$B$234="Да",'19_Расчет_аналитики'!K4681,0)</f>
        <v/>
      </c>
      <c r="M4678">
        <f>IF('01_Вводные'!$B$234="Да",'19_Расчет_аналитики'!L4681,0)</f>
        <v/>
      </c>
      <c r="N4678">
        <f>IF('01_Вводные'!$B$234="Да",'19_Расчет_аналитики'!M4681,0)</f>
        <v/>
      </c>
      <c r="O4678">
        <f>IF('01_Вводные'!$B$234="Да",'19_Расчет_аналитики'!N4681,0)</f>
        <v/>
      </c>
      <c r="P4678">
        <f>IF('01_Вводные'!$B$234="Да",'19_Расчет_аналитики'!O4681,0)</f>
        <v/>
      </c>
      <c r="Q4678">
        <f>IF('01_Вводные'!$B$234="Да",'19_Расчет_аналитики'!P4681,0)</f>
        <v/>
      </c>
      <c r="R4678">
        <f>IF('01_Вводные'!$B$234="Да",'19_Расчет_аналитики'!Q4681,0)</f>
        <v/>
      </c>
      <c r="S4678">
        <f>IF('01_Вводные'!$B$234="Да",'19_Расчет_аналитики'!R4681,0)</f>
        <v/>
      </c>
      <c r="T4678">
        <f>IF('01_Вводные'!$B$234="Да",'19_Расчет_аналитики'!S4681,0)</f>
        <v/>
      </c>
      <c r="U4678">
        <f>IF('01_Вводные'!$B$234="Да",'19_Расчет_аналитики'!T4681,0)</f>
        <v/>
      </c>
      <c r="V4678">
        <f>IF('01_Вводные'!$B$234="Да",'19_Расчет_аналитики'!U4681,0)</f>
        <v/>
      </c>
      <c r="W4678">
        <f>IF('01_Вводные'!$B$234="Да",'19_Расчет_аналитики'!V4681,0)</f>
        <v/>
      </c>
      <c r="X4678">
        <f>IF('01_Вводные'!$B$234="Да",'19_Расчет_аналитики'!W4681,0)</f>
        <v/>
      </c>
      <c r="Y4678">
        <f>IF('01_Вводные'!$B$234="Да",'19_Расчет_аналитики'!X4681,0)</f>
        <v/>
      </c>
      <c r="Z4678">
        <f>IF('01_Вводные'!$B$234="Да",'19_Расчет_аналитики'!Y4681,0)</f>
        <v/>
      </c>
      <c r="AA4678">
        <f>IF('01_Вводные'!$B$234="Да",'19_Расчет_аналитики'!Z4681,0)</f>
        <v/>
      </c>
      <c r="AB4678">
        <f>IF('01_Вводные'!$B$234="Да",'19_Расчет_аналитики'!AA4681,0)</f>
        <v/>
      </c>
      <c r="AC4678">
        <f>IF('01_Вводные'!$B$234="Да",'19_Расчет_аналитики'!AB4681,0)</f>
        <v/>
      </c>
      <c r="AD4678">
        <f>IF('01_Вводные'!$B$234="Да",'19_Расчет_аналитики'!AC4681,0)</f>
        <v/>
      </c>
      <c r="AE4678">
        <f>IF('01_Вводные'!$B$234="Да",'19_Расчет_аналитики'!AD4681,0)</f>
        <v/>
      </c>
      <c r="AF4678">
        <f>IF('01_Вводные'!$B$234="Да",'19_Расчет_аналитики'!AE4681,0)</f>
        <v/>
      </c>
      <c r="AG4678">
        <f>IF('01_Вводные'!$B$234="Да",'19_Расчет_аналитики'!AF4681,0)</f>
        <v/>
      </c>
      <c r="AH4678">
        <f>IF('01_Вводные'!$B$234="Да",'19_Расчет_аналитики'!AG4681,0)</f>
        <v/>
      </c>
      <c r="AI4678">
        <f>IF('01_Вводные'!$B$234="Да",'19_Расчет_аналитики'!AH4681,0)</f>
        <v/>
      </c>
      <c r="AJ4678">
        <f>IF('01_Вводные'!$B$234="Да",'19_Расчет_аналитики'!AI4681,0)</f>
        <v/>
      </c>
      <c r="AK4678">
        <f>IF('01_Вводные'!$B$234="Да",'19_Расчет_аналитики'!AJ4681,0)</f>
        <v/>
      </c>
      <c r="AL4678">
        <f>IF('01_Вводные'!$B$234="Да",'19_Расчет_аналитики'!AK4681,0)</f>
        <v/>
      </c>
      <c r="AM4678">
        <f>IF('01_Вводные'!$B$234="Да",'19_Расчет_аналитики'!AL4681,0)</f>
        <v/>
      </c>
      <c r="AN4678">
        <f>IF('01_Вводные'!$B$234="Да",'19_Расчет_аналитики'!AM4681,0)</f>
        <v/>
      </c>
      <c r="AO4678">
        <f>IF('01_Вводные'!$B$234="Да",'19_Расчет_аналитики'!AN4681,0)</f>
        <v/>
      </c>
      <c r="AP4678">
        <f>IF('01_Вводные'!$B$234="Да",'19_Расчет_аналитики'!AO4681,0)</f>
        <v/>
      </c>
      <c r="AQ4678">
        <f>IF('01_Вводные'!$B$234="Да",'19_Расчет_аналитики'!AP4681,0)</f>
        <v/>
      </c>
      <c r="AR4678">
        <f>IF('01_Вводные'!$B$234="Да",'19_Расчет_аналитики'!AQ4681,0)</f>
        <v/>
      </c>
      <c r="AS4678">
        <f>IF('01_Вводные'!$B$234="Да",'19_Расчет_аналитики'!AR4681,0)</f>
        <v/>
      </c>
      <c r="AT4678">
        <f>IF('01_Вводные'!$B$234="Да",'19_Расчет_аналитики'!AS4681,0)</f>
        <v/>
      </c>
      <c r="AU4678">
        <f>IF('01_Вводные'!$B$234="Да",'19_Расчет_аналитики'!AT4681,0)</f>
        <v/>
      </c>
      <c r="AV4678">
        <f>IF('01_Вводные'!$B$234="Да",'19_Расчет_аналитики'!AU4681,0)</f>
        <v/>
      </c>
      <c r="AW4678">
        <f>IF('01_Вводные'!$B$234="Да",'19_Расчет_аналитики'!AV4681,0)</f>
        <v/>
      </c>
      <c r="AX4678">
        <f>IF('01_Вводные'!$B$234="Да",'19_Расчет_аналитики'!AW4681,0)</f>
        <v/>
      </c>
      <c r="AY4678">
        <f>IF('01_Вводные'!$B$234="Да",'19_Расчет_аналитики'!AX4681,0)</f>
        <v/>
      </c>
      <c r="AZ4678">
        <f>IF('01_Вводные'!$B$234="Да",'19_Расчет_аналитики'!AY4681,0)</f>
        <v/>
      </c>
      <c r="BA4678">
        <f>IF('01_Вводные'!$B$234="Да",'19_Расчет_аналитики'!AZ4681,0)</f>
        <v/>
      </c>
      <c r="BB4678">
        <f>IF('01_Вводные'!$B$234="Да",'19_Расчет_аналитики'!BA4681,0)</f>
        <v/>
      </c>
      <c r="BC4678">
        <f>IF('01_Вводные'!$B$234="Да",'19_Расчет_аналитики'!BB4681,0)</f>
        <v/>
      </c>
      <c r="BD4678">
        <f>IF('01_Вводные'!$B$234="Да",'19_Расчет_аналитики'!BC4681,0)</f>
        <v/>
      </c>
      <c r="BE4678">
        <f>IF('01_Вводные'!$B$234="Да",'19_Расчет_аналитики'!BD4681,0)</f>
        <v/>
      </c>
      <c r="BF4678">
        <f>IF('01_Вводные'!$B$234="Да",'19_Расчет_аналитики'!BE4681,0)</f>
        <v/>
      </c>
      <c r="BG4678">
        <f>IF('01_Вводные'!$B$234="Да",'19_Расчет_аналитики'!BF4681,0)</f>
        <v/>
      </c>
      <c r="BH4678">
        <f>IF('01_Вводные'!$B$234="Да",'19_Расчет_аналитики'!BG4681,0)</f>
        <v/>
      </c>
      <c r="BI4678">
        <f>IF('01_Вводные'!$B$234="Да",'19_Расчет_аналитики'!BH4681,0)</f>
        <v/>
      </c>
      <c r="BJ4678">
        <f>IF('01_Вводные'!$B$234="Да",'19_Расчет_аналитики'!BI4681,0)</f>
        <v/>
      </c>
      <c r="BK4678">
        <f>IF('01_Вводные'!$B$234="Да",'19_Расчет_аналитики'!BJ4681,0)</f>
        <v/>
      </c>
      <c r="BL4678">
        <f>IF('01_Вводные'!$B$234="Да",'19_Расчет_аналитики'!BK4681,0)</f>
        <v/>
      </c>
      <c r="BM4678">
        <f>IF('01_Вводные'!$B$234="Да",'19_Расчет_аналитики'!BL4681,0)</f>
        <v/>
      </c>
      <c r="BN4678">
        <f>IF('01_Вводные'!$B$234="Да",'19_Расчет_аналитики'!BM4681,0)</f>
        <v/>
      </c>
      <c r="BO4678">
        <f>IF('01_Вводные'!$B$234="Да",'19_Расчет_аналитики'!BN4681,0)</f>
        <v/>
      </c>
    </row>
    <row r="4679">
      <c r="B4679">
        <f>IF('01_Вводные'!$B$234="Да",MIN('07_Мерч'!B29,'19_Расчет_аналитики'!B4665*'01_Вводные'!$B$79),0)</f>
        <v/>
      </c>
      <c r="C4679">
        <f>IF('01_Вводные'!$B$234="Да",MIN('19_Расчет_аналитики'!C4678,'19_Расчет_аналитики'!C4665*'01_Вводные'!$B$79),0)</f>
        <v/>
      </c>
      <c r="D4679">
        <f>IF('01_Вводные'!$B$234="Да",MIN('19_Расчет_аналитики'!D4678,'19_Расчет_аналитики'!D4665*'01_Вводные'!$B$79),0)</f>
        <v/>
      </c>
      <c r="E4679">
        <f>IF('01_Вводные'!$B$234="Да",MIN('19_Расчет_аналитики'!E4678,'19_Расчет_аналитики'!E4665*'01_Вводные'!$B$79),0)</f>
        <v/>
      </c>
      <c r="F4679">
        <f>IF('01_Вводные'!$B$234="Да",MIN('19_Расчет_аналитики'!F4678,'19_Расчет_аналитики'!F4665*'01_Вводные'!$B$79),0)</f>
        <v/>
      </c>
      <c r="G4679">
        <f>IF('01_Вводные'!$B$234="Да",MIN('19_Расчет_аналитики'!G4678,'19_Расчет_аналитики'!G4665*'01_Вводные'!$B$79),0)</f>
        <v/>
      </c>
      <c r="H4679">
        <f>IF('01_Вводные'!$B$234="Да",MIN('19_Расчет_аналитики'!H4678,'19_Расчет_аналитики'!H4665*'01_Вводные'!$B$79),0)</f>
        <v/>
      </c>
      <c r="I4679">
        <f>IF('01_Вводные'!$B$234="Да",MIN('19_Расчет_аналитики'!I4678,'19_Расчет_аналитики'!I4665*'01_Вводные'!$B$79),0)</f>
        <v/>
      </c>
      <c r="J4679">
        <f>IF('01_Вводные'!$B$234="Да",MIN('19_Расчет_аналитики'!J4678,'19_Расчет_аналитики'!J4665*'01_Вводные'!$B$79),0)</f>
        <v/>
      </c>
      <c r="K4679">
        <f>IF('01_Вводные'!$B$234="Да",MIN('19_Расчет_аналитики'!K4678,'19_Расчет_аналитики'!K4665*'01_Вводные'!$B$79),0)</f>
        <v/>
      </c>
      <c r="L4679">
        <f>IF('01_Вводные'!$B$234="Да",MIN('19_Расчет_аналитики'!L4678,'19_Расчет_аналитики'!L4665*'01_Вводные'!$B$79),0)</f>
        <v/>
      </c>
      <c r="M4679">
        <f>IF('01_Вводные'!$B$234="Да",MIN('19_Расчет_аналитики'!M4678,'19_Расчет_аналитики'!M4665*'01_Вводные'!$B$79),0)</f>
        <v/>
      </c>
      <c r="N4679">
        <f>IF('01_Вводные'!$B$234="Да",MIN('19_Расчет_аналитики'!N4678,'19_Расчет_аналитики'!N4665*'01_Вводные'!$B$79),0)</f>
        <v/>
      </c>
      <c r="O4679">
        <f>IF('01_Вводные'!$B$234="Да",MIN('19_Расчет_аналитики'!O4678,'19_Расчет_аналитики'!O4665*'01_Вводные'!$B$79),0)</f>
        <v/>
      </c>
      <c r="P4679">
        <f>IF('01_Вводные'!$B$234="Да",MIN('19_Расчет_аналитики'!P4678,'19_Расчет_аналитики'!P4665*'01_Вводные'!$B$79),0)</f>
        <v/>
      </c>
      <c r="Q4679">
        <f>IF('01_Вводные'!$B$234="Да",MIN('19_Расчет_аналитики'!Q4678,'19_Расчет_аналитики'!Q4665*'01_Вводные'!$B$79),0)</f>
        <v/>
      </c>
      <c r="R4679">
        <f>IF('01_Вводные'!$B$234="Да",MIN('19_Расчет_аналитики'!R4678,'19_Расчет_аналитики'!R4665*'01_Вводные'!$B$79),0)</f>
        <v/>
      </c>
      <c r="S4679">
        <f>IF('01_Вводные'!$B$234="Да",MIN('19_Расчет_аналитики'!S4678,'19_Расчет_аналитики'!S4665*'01_Вводные'!$B$79),0)</f>
        <v/>
      </c>
      <c r="T4679">
        <f>IF('01_Вводные'!$B$234="Да",MIN('19_Расчет_аналитики'!T4678,'19_Расчет_аналитики'!T4665*'01_Вводные'!$B$79),0)</f>
        <v/>
      </c>
      <c r="U4679">
        <f>IF('01_Вводные'!$B$234="Да",MIN('19_Расчет_аналитики'!U4678,'19_Расчет_аналитики'!U4665*'01_Вводные'!$B$79),0)</f>
        <v/>
      </c>
      <c r="V4679">
        <f>IF('01_Вводные'!$B$234="Да",MIN('19_Расчет_аналитики'!V4678,'19_Расчет_аналитики'!V4665*'01_Вводные'!$B$79),0)</f>
        <v/>
      </c>
      <c r="W4679">
        <f>IF('01_Вводные'!$B$234="Да",MIN('19_Расчет_аналитики'!W4678,'19_Расчет_аналитики'!W4665*'01_Вводные'!$B$79),0)</f>
        <v/>
      </c>
      <c r="X4679">
        <f>IF('01_Вводные'!$B$234="Да",MIN('19_Расчет_аналитики'!X4678,'19_Расчет_аналитики'!X4665*'01_Вводные'!$B$79),0)</f>
        <v/>
      </c>
      <c r="Y4679">
        <f>IF('01_Вводные'!$B$234="Да",MIN('19_Расчет_аналитики'!Y4678,'19_Расчет_аналитики'!Y4665*'01_Вводные'!$B$79),0)</f>
        <v/>
      </c>
      <c r="Z4679">
        <f>IF('01_Вводные'!$B$234="Да",MIN('19_Расчет_аналитики'!Z4678,'19_Расчет_аналитики'!Z4665*'01_Вводные'!$B$79),0)</f>
        <v/>
      </c>
      <c r="AA4679">
        <f>IF('01_Вводные'!$B$234="Да",MIN('19_Расчет_аналитики'!AA4678,'19_Расчет_аналитики'!AA4665*'01_Вводные'!$B$79),0)</f>
        <v/>
      </c>
      <c r="AB4679">
        <f>IF('01_Вводные'!$B$234="Да",MIN('19_Расчет_аналитики'!AB4678,'19_Расчет_аналитики'!AB4665*'01_Вводные'!$B$79),0)</f>
        <v/>
      </c>
      <c r="AC4679">
        <f>IF('01_Вводные'!$B$234="Да",MIN('19_Расчет_аналитики'!AC4678,'19_Расчет_аналитики'!AC4665*'01_Вводные'!$B$79),0)</f>
        <v/>
      </c>
      <c r="AD4679">
        <f>IF('01_Вводные'!$B$234="Да",MIN('19_Расчет_аналитики'!AD4678,'19_Расчет_аналитики'!AD4665*'01_Вводные'!$B$79),0)</f>
        <v/>
      </c>
      <c r="AE4679">
        <f>IF('01_Вводные'!$B$234="Да",MIN('19_Расчет_аналитики'!AE4678,'19_Расчет_аналитики'!AE4665*'01_Вводные'!$B$79),0)</f>
        <v/>
      </c>
      <c r="AF4679">
        <f>IF('01_Вводные'!$B$234="Да",MIN('19_Расчет_аналитики'!AF4678,'19_Расчет_аналитики'!AF4665*'01_Вводные'!$B$79),0)</f>
        <v/>
      </c>
      <c r="AG4679">
        <f>IF('01_Вводные'!$B$234="Да",MIN('19_Расчет_аналитики'!AG4678,'19_Расчет_аналитики'!AG4665*'01_Вводные'!$B$79),0)</f>
        <v/>
      </c>
      <c r="AH4679">
        <f>IF('01_Вводные'!$B$234="Да",MIN('19_Расчет_аналитики'!AH4678,'19_Расчет_аналитики'!AH4665*'01_Вводные'!$B$79),0)</f>
        <v/>
      </c>
      <c r="AI4679">
        <f>IF('01_Вводные'!$B$234="Да",MIN('19_Расчет_аналитики'!AI4678,'19_Расчет_аналитики'!AI4665*'01_Вводные'!$B$79),0)</f>
        <v/>
      </c>
      <c r="AJ4679">
        <f>IF('01_Вводные'!$B$234="Да",MIN('19_Расчет_аналитики'!AJ4678,'19_Расчет_аналитики'!AJ4665*'01_Вводные'!$B$79),0)</f>
        <v/>
      </c>
      <c r="AK4679">
        <f>IF('01_Вводные'!$B$234="Да",MIN('19_Расчет_аналитики'!AK4678,'19_Расчет_аналитики'!AK4665*'01_Вводные'!$B$79),0)</f>
        <v/>
      </c>
      <c r="AL4679">
        <f>IF('01_Вводные'!$B$234="Да",MIN('19_Расчет_аналитики'!AL4678,'19_Расчет_аналитики'!AL4665*'01_Вводные'!$B$79),0)</f>
        <v/>
      </c>
      <c r="AM4679">
        <f>IF('01_Вводные'!$B$234="Да",MIN('19_Расчет_аналитики'!AM4678,'19_Расчет_аналитики'!AM4665*'01_Вводные'!$B$79),0)</f>
        <v/>
      </c>
      <c r="AN4679">
        <f>IF('01_Вводные'!$B$234="Да",MIN('19_Расчет_аналитики'!AN4678,'19_Расчет_аналитики'!AN4665*'01_Вводные'!$B$79),0)</f>
        <v/>
      </c>
      <c r="AO4679">
        <f>IF('01_Вводные'!$B$234="Да",MIN('19_Расчет_аналитики'!AO4678,'19_Расчет_аналитики'!AO4665*'01_Вводные'!$B$79),0)</f>
        <v/>
      </c>
      <c r="AP4679">
        <f>IF('01_Вводные'!$B$234="Да",MIN('19_Расчет_аналитики'!AP4678,'19_Расчет_аналитики'!AP4665*'01_Вводные'!$B$79),0)</f>
        <v/>
      </c>
      <c r="AQ4679">
        <f>IF('01_Вводные'!$B$234="Да",MIN('19_Расчет_аналитики'!AQ4678,'19_Расчет_аналитики'!AQ4665*'01_Вводные'!$B$79),0)</f>
        <v/>
      </c>
      <c r="AR4679">
        <f>IF('01_Вводные'!$B$234="Да",MIN('19_Расчет_аналитики'!AR4678,'19_Расчет_аналитики'!AR4665*'01_Вводные'!$B$79),0)</f>
        <v/>
      </c>
      <c r="AS4679">
        <f>IF('01_Вводные'!$B$234="Да",MIN('19_Расчет_аналитики'!AS4678,'19_Расчет_аналитики'!AS4665*'01_Вводные'!$B$79),0)</f>
        <v/>
      </c>
      <c r="AT4679">
        <f>IF('01_Вводные'!$B$234="Да",MIN('19_Расчет_аналитики'!AT4678,'19_Расчет_аналитики'!AT4665*'01_Вводные'!$B$79),0)</f>
        <v/>
      </c>
      <c r="AU4679">
        <f>IF('01_Вводные'!$B$234="Да",MIN('19_Расчет_аналитики'!AU4678,'19_Расчет_аналитики'!AU4665*'01_Вводные'!$B$79),0)</f>
        <v/>
      </c>
      <c r="AV4679">
        <f>IF('01_Вводные'!$B$234="Да",MIN('19_Расчет_аналитики'!AV4678,'19_Расчет_аналитики'!AV4665*'01_Вводные'!$B$79),0)</f>
        <v/>
      </c>
      <c r="AW4679">
        <f>IF('01_Вводные'!$B$234="Да",MIN('19_Расчет_аналитики'!AW4678,'19_Расчет_аналитики'!AW4665*'01_Вводные'!$B$79),0)</f>
        <v/>
      </c>
      <c r="AX4679">
        <f>IF('01_Вводные'!$B$234="Да",MIN('19_Расчет_аналитики'!AX4678,'19_Расчет_аналитики'!AX4665*'01_Вводные'!$B$79),0)</f>
        <v/>
      </c>
      <c r="AY4679">
        <f>IF('01_Вводные'!$B$234="Да",MIN('19_Расчет_аналитики'!AY4678,'19_Расчет_аналитики'!AY4665*'01_Вводные'!$B$79),0)</f>
        <v/>
      </c>
      <c r="AZ4679">
        <f>IF('01_Вводные'!$B$234="Да",MIN('19_Расчет_аналитики'!AZ4678,'19_Расчет_аналитики'!AZ4665*'01_Вводные'!$B$79),0)</f>
        <v/>
      </c>
      <c r="BA4679">
        <f>IF('01_Вводные'!$B$234="Да",MIN('19_Расчет_аналитики'!BA4678,'19_Расчет_аналитики'!BA4665*'01_Вводные'!$B$79),0)</f>
        <v/>
      </c>
      <c r="BB4679">
        <f>IF('01_Вводные'!$B$234="Да",MIN('19_Расчет_аналитики'!BB4678,'19_Расчет_аналитики'!BB4665*'01_Вводные'!$B$79),0)</f>
        <v/>
      </c>
      <c r="BC4679">
        <f>IF('01_Вводные'!$B$234="Да",MIN('19_Расчет_аналитики'!BC4678,'19_Расчет_аналитики'!BC4665*'01_Вводные'!$B$79),0)</f>
        <v/>
      </c>
      <c r="BD4679">
        <f>IF('01_Вводные'!$B$234="Да",MIN('19_Расчет_аналитики'!BD4678,'19_Расчет_аналитики'!BD4665*'01_Вводные'!$B$79),0)</f>
        <v/>
      </c>
      <c r="BE4679">
        <f>IF('01_Вводные'!$B$234="Да",MIN('19_Расчет_аналитики'!BE4678,'19_Расчет_аналитики'!BE4665*'01_Вводные'!$B$79),0)</f>
        <v/>
      </c>
      <c r="BF4679">
        <f>IF('01_Вводные'!$B$234="Да",MIN('19_Расчет_аналитики'!BF4678,'19_Расчет_аналитики'!BF4665*'01_Вводные'!$B$79),0)</f>
        <v/>
      </c>
      <c r="BG4679">
        <f>IF('01_Вводные'!$B$234="Да",MIN('19_Расчет_аналитики'!BG4678,'19_Расчет_аналитики'!BG4665*'01_Вводные'!$B$79),0)</f>
        <v/>
      </c>
      <c r="BH4679">
        <f>IF('01_Вводные'!$B$234="Да",MIN('19_Расчет_аналитики'!BH4678,'19_Расчет_аналитики'!BH4665*'01_Вводные'!$B$79),0)</f>
        <v/>
      </c>
      <c r="BI4679">
        <f>IF('01_Вводные'!$B$234="Да",MIN('19_Расчет_аналитики'!BI4678,'19_Расчет_аналитики'!BI4665*'01_Вводные'!$B$79),0)</f>
        <v/>
      </c>
      <c r="BJ4679">
        <f>IF('01_Вводные'!$B$234="Да",MIN('19_Расчет_аналитики'!BJ4678,'19_Расчет_аналитики'!BJ4665*'01_Вводные'!$B$79),0)</f>
        <v/>
      </c>
      <c r="BK4679">
        <f>IF('01_Вводные'!$B$234="Да",MIN('19_Расчет_аналитики'!BK4678,'19_Расчет_аналитики'!BK4665*'01_Вводные'!$B$79),0)</f>
        <v/>
      </c>
      <c r="BL4679">
        <f>IF('01_Вводные'!$B$234="Да",MIN('19_Расчет_аналитики'!BL4678,'19_Расчет_аналитики'!BL4665*'01_Вводные'!$B$79),0)</f>
        <v/>
      </c>
      <c r="BM4679">
        <f>IF('01_Вводные'!$B$234="Да",MIN('19_Расчет_аналитики'!BM4678,'19_Расчет_аналитики'!BM4665*'01_Вводные'!$B$79),0)</f>
        <v/>
      </c>
      <c r="BN4679">
        <f>IF('01_Вводные'!$B$234="Да",MIN('19_Расчет_аналитики'!BN4678,'19_Расчет_аналитики'!BN4665*'01_Вводные'!$B$79),0)</f>
        <v/>
      </c>
      <c r="BO4679">
        <f>IF('01_Вводные'!$B$234="Да",MIN('19_Расчет_аналитики'!BO4678,'19_Расчет_аналитики'!BO4665*'01_Вводные'!$B$79),0)</f>
        <v/>
      </c>
    </row>
    <row r="4680">
      <c r="B4680">
        <f>IF('01_Вводные'!$B$234="Да",IF(OR('01_Вводные'!$B$238="Нет",'19_Расчет_аналитики'!B4675&gt;='19_Расчет_аналитики'!B4387-0.01),MIN('19_Расчет_аналитики'!B4679,MAX(0,'19_Расчет_аналитики'!B4835)),0),0)</f>
        <v/>
      </c>
      <c r="C4680">
        <f>IF('01_Вводные'!$B$234="Да",IF(OR('01_Вводные'!$B$238="Нет",'19_Расчет_аналитики'!C4675&gt;='19_Расчет_аналитики'!C4387-0.01),MIN('19_Расчет_аналитики'!C4679,MAX(0,'19_Расчет_аналитики'!C4835)),0),0)</f>
        <v/>
      </c>
      <c r="D4680">
        <f>IF('01_Вводные'!$B$234="Да",IF(OR('01_Вводные'!$B$238="Нет",'19_Расчет_аналитики'!D4675&gt;='19_Расчет_аналитики'!D4387-0.01),MIN('19_Расчет_аналитики'!D4679,MAX(0,'19_Расчет_аналитики'!D4835)),0),0)</f>
        <v/>
      </c>
      <c r="E4680">
        <f>IF('01_Вводные'!$B$234="Да",IF(OR('01_Вводные'!$B$238="Нет",'19_Расчет_аналитики'!E4675&gt;='19_Расчет_аналитики'!E4387-0.01),MIN('19_Расчет_аналитики'!E4679,MAX(0,'19_Расчет_аналитики'!E4835)),0),0)</f>
        <v/>
      </c>
      <c r="F4680">
        <f>IF('01_Вводные'!$B$234="Да",IF(OR('01_Вводные'!$B$238="Нет",'19_Расчет_аналитики'!F4675&gt;='19_Расчет_аналитики'!F4387-0.01),MIN('19_Расчет_аналитики'!F4679,MAX(0,'19_Расчет_аналитики'!F4835)),0),0)</f>
        <v/>
      </c>
      <c r="G4680">
        <f>IF('01_Вводные'!$B$234="Да",IF(OR('01_Вводные'!$B$238="Нет",'19_Расчет_аналитики'!G4675&gt;='19_Расчет_аналитики'!G4387-0.01),MIN('19_Расчет_аналитики'!G4679,MAX(0,'19_Расчет_аналитики'!G4835)),0),0)</f>
        <v/>
      </c>
      <c r="H4680">
        <f>IF('01_Вводные'!$B$234="Да",IF(OR('01_Вводные'!$B$238="Нет",'19_Расчет_аналитики'!H4675&gt;='19_Расчет_аналитики'!H4387-0.01),MIN('19_Расчет_аналитики'!H4679,MAX(0,'19_Расчет_аналитики'!H4835)),0),0)</f>
        <v/>
      </c>
      <c r="I4680">
        <f>IF('01_Вводные'!$B$234="Да",IF(OR('01_Вводные'!$B$238="Нет",'19_Расчет_аналитики'!I4675&gt;='19_Расчет_аналитики'!I4387-0.01),MIN('19_Расчет_аналитики'!I4679,MAX(0,'19_Расчет_аналитики'!I4835)),0),0)</f>
        <v/>
      </c>
      <c r="J4680">
        <f>IF('01_Вводные'!$B$234="Да",IF(OR('01_Вводные'!$B$238="Нет",'19_Расчет_аналитики'!J4675&gt;='19_Расчет_аналитики'!J4387-0.01),MIN('19_Расчет_аналитики'!J4679,MAX(0,'19_Расчет_аналитики'!J4835)),0),0)</f>
        <v/>
      </c>
      <c r="K4680">
        <f>IF('01_Вводные'!$B$234="Да",IF(OR('01_Вводные'!$B$238="Нет",'19_Расчет_аналитики'!K4675&gt;='19_Расчет_аналитики'!K4387-0.01),MIN('19_Расчет_аналитики'!K4679,MAX(0,'19_Расчет_аналитики'!K4835)),0),0)</f>
        <v/>
      </c>
      <c r="L4680">
        <f>IF('01_Вводные'!$B$234="Да",IF(OR('01_Вводные'!$B$238="Нет",'19_Расчет_аналитики'!L4675&gt;='19_Расчет_аналитики'!L4387-0.01),MIN('19_Расчет_аналитики'!L4679,MAX(0,'19_Расчет_аналитики'!L4835)),0),0)</f>
        <v/>
      </c>
      <c r="M4680">
        <f>IF('01_Вводные'!$B$234="Да",IF(OR('01_Вводные'!$B$238="Нет",'19_Расчет_аналитики'!M4675&gt;='19_Расчет_аналитики'!M4387-0.01),MIN('19_Расчет_аналитики'!M4679,MAX(0,'19_Расчет_аналитики'!M4835)),0),0)</f>
        <v/>
      </c>
      <c r="N4680">
        <f>IF('01_Вводные'!$B$234="Да",IF(OR('01_Вводные'!$B$238="Нет",'19_Расчет_аналитики'!N4675&gt;='19_Расчет_аналитики'!N4387-0.01),MIN('19_Расчет_аналитики'!N4679,MAX(0,'19_Расчет_аналитики'!N4835)),0),0)</f>
        <v/>
      </c>
      <c r="O4680">
        <f>IF('01_Вводные'!$B$234="Да",IF(OR('01_Вводные'!$B$238="Нет",'19_Расчет_аналитики'!O4675&gt;='19_Расчет_аналитики'!O4387-0.01),MIN('19_Расчет_аналитики'!O4679,MAX(0,'19_Расчет_аналитики'!O4835)),0),0)</f>
        <v/>
      </c>
      <c r="P4680">
        <f>IF('01_Вводные'!$B$234="Да",IF(OR('01_Вводные'!$B$238="Нет",'19_Расчет_аналитики'!P4675&gt;='19_Расчет_аналитики'!P4387-0.01),MIN('19_Расчет_аналитики'!P4679,MAX(0,'19_Расчет_аналитики'!P4835)),0),0)</f>
        <v/>
      </c>
      <c r="Q4680">
        <f>IF('01_Вводные'!$B$234="Да",IF(OR('01_Вводные'!$B$238="Нет",'19_Расчет_аналитики'!Q4675&gt;='19_Расчет_аналитики'!Q4387-0.01),MIN('19_Расчет_аналитики'!Q4679,MAX(0,'19_Расчет_аналитики'!Q4835)),0),0)</f>
        <v/>
      </c>
      <c r="R4680">
        <f>IF('01_Вводные'!$B$234="Да",IF(OR('01_Вводные'!$B$238="Нет",'19_Расчет_аналитики'!R4675&gt;='19_Расчет_аналитики'!R4387-0.01),MIN('19_Расчет_аналитики'!R4679,MAX(0,'19_Расчет_аналитики'!R4835)),0),0)</f>
        <v/>
      </c>
      <c r="S4680">
        <f>IF('01_Вводные'!$B$234="Да",IF(OR('01_Вводные'!$B$238="Нет",'19_Расчет_аналитики'!S4675&gt;='19_Расчет_аналитики'!S4387-0.01),MIN('19_Расчет_аналитики'!S4679,MAX(0,'19_Расчет_аналитики'!S4835)),0),0)</f>
        <v/>
      </c>
      <c r="T4680">
        <f>IF('01_Вводные'!$B$234="Да",IF(OR('01_Вводные'!$B$238="Нет",'19_Расчет_аналитики'!T4675&gt;='19_Расчет_аналитики'!T4387-0.01),MIN('19_Расчет_аналитики'!T4679,MAX(0,'19_Расчет_аналитики'!T4835)),0),0)</f>
        <v/>
      </c>
      <c r="U4680">
        <f>IF('01_Вводные'!$B$234="Да",IF(OR('01_Вводные'!$B$238="Нет",'19_Расчет_аналитики'!U4675&gt;='19_Расчет_аналитики'!U4387-0.01),MIN('19_Расчет_аналитики'!U4679,MAX(0,'19_Расчет_аналитики'!U4835)),0),0)</f>
        <v/>
      </c>
      <c r="V4680">
        <f>IF('01_Вводные'!$B$234="Да",IF(OR('01_Вводные'!$B$238="Нет",'19_Расчет_аналитики'!V4675&gt;='19_Расчет_аналитики'!V4387-0.01),MIN('19_Расчет_аналитики'!V4679,MAX(0,'19_Расчет_аналитики'!V4835)),0),0)</f>
        <v/>
      </c>
      <c r="W4680">
        <f>IF('01_Вводные'!$B$234="Да",IF(OR('01_Вводные'!$B$238="Нет",'19_Расчет_аналитики'!W4675&gt;='19_Расчет_аналитики'!W4387-0.01),MIN('19_Расчет_аналитики'!W4679,MAX(0,'19_Расчет_аналитики'!W4835)),0),0)</f>
        <v/>
      </c>
      <c r="X4680">
        <f>IF('01_Вводные'!$B$234="Да",IF(OR('01_Вводные'!$B$238="Нет",'19_Расчет_аналитики'!X4675&gt;='19_Расчет_аналитики'!X4387-0.01),MIN('19_Расчет_аналитики'!X4679,MAX(0,'19_Расчет_аналитики'!X4835)),0),0)</f>
        <v/>
      </c>
      <c r="Y4680">
        <f>IF('01_Вводные'!$B$234="Да",IF(OR('01_Вводные'!$B$238="Нет",'19_Расчет_аналитики'!Y4675&gt;='19_Расчет_аналитики'!Y4387-0.01),MIN('19_Расчет_аналитики'!Y4679,MAX(0,'19_Расчет_аналитики'!Y4835)),0),0)</f>
        <v/>
      </c>
      <c r="Z4680">
        <f>IF('01_Вводные'!$B$234="Да",IF(OR('01_Вводные'!$B$238="Нет",'19_Расчет_аналитики'!Z4675&gt;='19_Расчет_аналитики'!Z4387-0.01),MIN('19_Расчет_аналитики'!Z4679,MAX(0,'19_Расчет_аналитики'!Z4835)),0),0)</f>
        <v/>
      </c>
      <c r="AA4680">
        <f>IF('01_Вводные'!$B$234="Да",IF(OR('01_Вводные'!$B$238="Нет",'19_Расчет_аналитики'!AA4675&gt;='19_Расчет_аналитики'!AA4387-0.01),MIN('19_Расчет_аналитики'!AA4679,MAX(0,'19_Расчет_аналитики'!AA4835)),0),0)</f>
        <v/>
      </c>
      <c r="AB4680">
        <f>IF('01_Вводные'!$B$234="Да",IF(OR('01_Вводные'!$B$238="Нет",'19_Расчет_аналитики'!AB4675&gt;='19_Расчет_аналитики'!AB4387-0.01),MIN('19_Расчет_аналитики'!AB4679,MAX(0,'19_Расчет_аналитики'!AB4835)),0),0)</f>
        <v/>
      </c>
      <c r="AC4680">
        <f>IF('01_Вводные'!$B$234="Да",IF(OR('01_Вводные'!$B$238="Нет",'19_Расчет_аналитики'!AC4675&gt;='19_Расчет_аналитики'!AC4387-0.01),MIN('19_Расчет_аналитики'!AC4679,MAX(0,'19_Расчет_аналитики'!AC4835)),0),0)</f>
        <v/>
      </c>
      <c r="AD4680">
        <f>IF('01_Вводные'!$B$234="Да",IF(OR('01_Вводные'!$B$238="Нет",'19_Расчет_аналитики'!AD4675&gt;='19_Расчет_аналитики'!AD4387-0.01),MIN('19_Расчет_аналитики'!AD4679,MAX(0,'19_Расчет_аналитики'!AD4835)),0),0)</f>
        <v/>
      </c>
      <c r="AE4680">
        <f>IF('01_Вводные'!$B$234="Да",IF(OR('01_Вводные'!$B$238="Нет",'19_Расчет_аналитики'!AE4675&gt;='19_Расчет_аналитики'!AE4387-0.01),MIN('19_Расчет_аналитики'!AE4679,MAX(0,'19_Расчет_аналитики'!AE4835)),0),0)</f>
        <v/>
      </c>
      <c r="AF4680">
        <f>IF('01_Вводные'!$B$234="Да",IF(OR('01_Вводные'!$B$238="Нет",'19_Расчет_аналитики'!AF4675&gt;='19_Расчет_аналитики'!AF4387-0.01),MIN('19_Расчет_аналитики'!AF4679,MAX(0,'19_Расчет_аналитики'!AF4835)),0),0)</f>
        <v/>
      </c>
      <c r="AG4680">
        <f>IF('01_Вводные'!$B$234="Да",IF(OR('01_Вводные'!$B$238="Нет",'19_Расчет_аналитики'!AG4675&gt;='19_Расчет_аналитики'!AG4387-0.01),MIN('19_Расчет_аналитики'!AG4679,MAX(0,'19_Расчет_аналитики'!AG4835)),0),0)</f>
        <v/>
      </c>
      <c r="AH4680">
        <f>IF('01_Вводные'!$B$234="Да",IF(OR('01_Вводные'!$B$238="Нет",'19_Расчет_аналитики'!AH4675&gt;='19_Расчет_аналитики'!AH4387-0.01),MIN('19_Расчет_аналитики'!AH4679,MAX(0,'19_Расчет_аналитики'!AH4835)),0),0)</f>
        <v/>
      </c>
      <c r="AI4680">
        <f>IF('01_Вводные'!$B$234="Да",IF(OR('01_Вводные'!$B$238="Нет",'19_Расчет_аналитики'!AI4675&gt;='19_Расчет_аналитики'!AI4387-0.01),MIN('19_Расчет_аналитики'!AI4679,MAX(0,'19_Расчет_аналитики'!AI4835)),0),0)</f>
        <v/>
      </c>
      <c r="AJ4680">
        <f>IF('01_Вводные'!$B$234="Да",IF(OR('01_Вводные'!$B$238="Нет",'19_Расчет_аналитики'!AJ4675&gt;='19_Расчет_аналитики'!AJ4387-0.01),MIN('19_Расчет_аналитики'!AJ4679,MAX(0,'19_Расчет_аналитики'!AJ4835)),0),0)</f>
        <v/>
      </c>
      <c r="AK4680">
        <f>IF('01_Вводные'!$B$234="Да",IF(OR('01_Вводные'!$B$238="Нет",'19_Расчет_аналитики'!AK4675&gt;='19_Расчет_аналитики'!AK4387-0.01),MIN('19_Расчет_аналитики'!AK4679,MAX(0,'19_Расчет_аналитики'!AK4835)),0),0)</f>
        <v/>
      </c>
      <c r="AL4680">
        <f>IF('01_Вводные'!$B$234="Да",IF(OR('01_Вводные'!$B$238="Нет",'19_Расчет_аналитики'!AL4675&gt;='19_Расчет_аналитики'!AL4387-0.01),MIN('19_Расчет_аналитики'!AL4679,MAX(0,'19_Расчет_аналитики'!AL4835)),0),0)</f>
        <v/>
      </c>
      <c r="AM4680">
        <f>IF('01_Вводные'!$B$234="Да",IF(OR('01_Вводные'!$B$238="Нет",'19_Расчет_аналитики'!AM4675&gt;='19_Расчет_аналитики'!AM4387-0.01),MIN('19_Расчет_аналитики'!AM4679,MAX(0,'19_Расчет_аналитики'!AM4835)),0),0)</f>
        <v/>
      </c>
      <c r="AN4680">
        <f>IF('01_Вводные'!$B$234="Да",IF(OR('01_Вводные'!$B$238="Нет",'19_Расчет_аналитики'!AN4675&gt;='19_Расчет_аналитики'!AN4387-0.01),MIN('19_Расчет_аналитики'!AN4679,MAX(0,'19_Расчет_аналитики'!AN4835)),0),0)</f>
        <v/>
      </c>
      <c r="AO4680">
        <f>IF('01_Вводные'!$B$234="Да",IF(OR('01_Вводные'!$B$238="Нет",'19_Расчет_аналитики'!AO4675&gt;='19_Расчет_аналитики'!AO4387-0.01),MIN('19_Расчет_аналитики'!AO4679,MAX(0,'19_Расчет_аналитики'!AO4835)),0),0)</f>
        <v/>
      </c>
      <c r="AP4680">
        <f>IF('01_Вводные'!$B$234="Да",IF(OR('01_Вводные'!$B$238="Нет",'19_Расчет_аналитики'!AP4675&gt;='19_Расчет_аналитики'!AP4387-0.01),MIN('19_Расчет_аналитики'!AP4679,MAX(0,'19_Расчет_аналитики'!AP4835)),0),0)</f>
        <v/>
      </c>
      <c r="AQ4680">
        <f>IF('01_Вводные'!$B$234="Да",IF(OR('01_Вводные'!$B$238="Нет",'19_Расчет_аналитики'!AQ4675&gt;='19_Расчет_аналитики'!AQ4387-0.01),MIN('19_Расчет_аналитики'!AQ4679,MAX(0,'19_Расчет_аналитики'!AQ4835)),0),0)</f>
        <v/>
      </c>
      <c r="AR4680">
        <f>IF('01_Вводные'!$B$234="Да",IF(OR('01_Вводные'!$B$238="Нет",'19_Расчет_аналитики'!AR4675&gt;='19_Расчет_аналитики'!AR4387-0.01),MIN('19_Расчет_аналитики'!AR4679,MAX(0,'19_Расчет_аналитики'!AR4835)),0),0)</f>
        <v/>
      </c>
      <c r="AS4680">
        <f>IF('01_Вводные'!$B$234="Да",IF(OR('01_Вводные'!$B$238="Нет",'19_Расчет_аналитики'!AS4675&gt;='19_Расчет_аналитики'!AS4387-0.01),MIN('19_Расчет_аналитики'!AS4679,MAX(0,'19_Расчет_аналитики'!AS4835)),0),0)</f>
        <v/>
      </c>
      <c r="AT4680">
        <f>IF('01_Вводные'!$B$234="Да",IF(OR('01_Вводные'!$B$238="Нет",'19_Расчет_аналитики'!AT4675&gt;='19_Расчет_аналитики'!AT4387-0.01),MIN('19_Расчет_аналитики'!AT4679,MAX(0,'19_Расчет_аналитики'!AT4835)),0),0)</f>
        <v/>
      </c>
      <c r="AU4680">
        <f>IF('01_Вводные'!$B$234="Да",IF(OR('01_Вводные'!$B$238="Нет",'19_Расчет_аналитики'!AU4675&gt;='19_Расчет_аналитики'!AU4387-0.01),MIN('19_Расчет_аналитики'!AU4679,MAX(0,'19_Расчет_аналитики'!AU4835)),0),0)</f>
        <v/>
      </c>
      <c r="AV4680">
        <f>IF('01_Вводные'!$B$234="Да",IF(OR('01_Вводные'!$B$238="Нет",'19_Расчет_аналитики'!AV4675&gt;='19_Расчет_аналитики'!AV4387-0.01),MIN('19_Расчет_аналитики'!AV4679,MAX(0,'19_Расчет_аналитики'!AV4835)),0),0)</f>
        <v/>
      </c>
      <c r="AW4680">
        <f>IF('01_Вводные'!$B$234="Да",IF(OR('01_Вводные'!$B$238="Нет",'19_Расчет_аналитики'!AW4675&gt;='19_Расчет_аналитики'!AW4387-0.01),MIN('19_Расчет_аналитики'!AW4679,MAX(0,'19_Расчет_аналитики'!AW4835)),0),0)</f>
        <v/>
      </c>
      <c r="AX4680">
        <f>IF('01_Вводные'!$B$234="Да",IF(OR('01_Вводные'!$B$238="Нет",'19_Расчет_аналитики'!AX4675&gt;='19_Расчет_аналитики'!AX4387-0.01),MIN('19_Расчет_аналитики'!AX4679,MAX(0,'19_Расчет_аналитики'!AX4835)),0),0)</f>
        <v/>
      </c>
      <c r="AY4680">
        <f>IF('01_Вводные'!$B$234="Да",IF(OR('01_Вводные'!$B$238="Нет",'19_Расчет_аналитики'!AY4675&gt;='19_Расчет_аналитики'!AY4387-0.01),MIN('19_Расчет_аналитики'!AY4679,MAX(0,'19_Расчет_аналитики'!AY4835)),0),0)</f>
        <v/>
      </c>
      <c r="AZ4680">
        <f>IF('01_Вводные'!$B$234="Да",IF(OR('01_Вводные'!$B$238="Нет",'19_Расчет_аналитики'!AZ4675&gt;='19_Расчет_аналитики'!AZ4387-0.01),MIN('19_Расчет_аналитики'!AZ4679,MAX(0,'19_Расчет_аналитики'!AZ4835)),0),0)</f>
        <v/>
      </c>
      <c r="BA4680">
        <f>IF('01_Вводные'!$B$234="Да",IF(OR('01_Вводные'!$B$238="Нет",'19_Расчет_аналитики'!BA4675&gt;='19_Расчет_аналитики'!BA4387-0.01),MIN('19_Расчет_аналитики'!BA4679,MAX(0,'19_Расчет_аналитики'!BA4835)),0),0)</f>
        <v/>
      </c>
      <c r="BB4680">
        <f>IF('01_Вводные'!$B$234="Да",IF(OR('01_Вводные'!$B$238="Нет",'19_Расчет_аналитики'!BB4675&gt;='19_Расчет_аналитики'!BB4387-0.01),MIN('19_Расчет_аналитики'!BB4679,MAX(0,'19_Расчет_аналитики'!BB4835)),0),0)</f>
        <v/>
      </c>
      <c r="BC4680">
        <f>IF('01_Вводные'!$B$234="Да",IF(OR('01_Вводные'!$B$238="Нет",'19_Расчет_аналитики'!BC4675&gt;='19_Расчет_аналитики'!BC4387-0.01),MIN('19_Расчет_аналитики'!BC4679,MAX(0,'19_Расчет_аналитики'!BC4835)),0),0)</f>
        <v/>
      </c>
      <c r="BD4680">
        <f>IF('01_Вводные'!$B$234="Да",IF(OR('01_Вводные'!$B$238="Нет",'19_Расчет_аналитики'!BD4675&gt;='19_Расчет_аналитики'!BD4387-0.01),MIN('19_Расчет_аналитики'!BD4679,MAX(0,'19_Расчет_аналитики'!BD4835)),0),0)</f>
        <v/>
      </c>
      <c r="BE4680">
        <f>IF('01_Вводные'!$B$234="Да",IF(OR('01_Вводные'!$B$238="Нет",'19_Расчет_аналитики'!BE4675&gt;='19_Расчет_аналитики'!BE4387-0.01),MIN('19_Расчет_аналитики'!BE4679,MAX(0,'19_Расчет_аналитики'!BE4835)),0),0)</f>
        <v/>
      </c>
      <c r="BF4680">
        <f>IF('01_Вводные'!$B$234="Да",IF(OR('01_Вводные'!$B$238="Нет",'19_Расчет_аналитики'!BF4675&gt;='19_Расчет_аналитики'!BF4387-0.01),MIN('19_Расчет_аналитики'!BF4679,MAX(0,'19_Расчет_аналитики'!BF4835)),0),0)</f>
        <v/>
      </c>
      <c r="BG4680">
        <f>IF('01_Вводные'!$B$234="Да",IF(OR('01_Вводные'!$B$238="Нет",'19_Расчет_аналитики'!BG4675&gt;='19_Расчет_аналитики'!BG4387-0.01),MIN('19_Расчет_аналитики'!BG4679,MAX(0,'19_Расчет_аналитики'!BG4835)),0),0)</f>
        <v/>
      </c>
      <c r="BH4680">
        <f>IF('01_Вводные'!$B$234="Да",IF(OR('01_Вводные'!$B$238="Нет",'19_Расчет_аналитики'!BH4675&gt;='19_Расчет_аналитики'!BH4387-0.01),MIN('19_Расчет_аналитики'!BH4679,MAX(0,'19_Расчет_аналитики'!BH4835)),0),0)</f>
        <v/>
      </c>
      <c r="BI4680">
        <f>IF('01_Вводные'!$B$234="Да",IF(OR('01_Вводные'!$B$238="Нет",'19_Расчет_аналитики'!BI4675&gt;='19_Расчет_аналитики'!BI4387-0.01),MIN('19_Расчет_аналитики'!BI4679,MAX(0,'19_Расчет_аналитики'!BI4835)),0),0)</f>
        <v/>
      </c>
    </row>
    <row r="4681">
      <c r="B4681">
        <f>IF('01_Вводные'!$B$234="Да",MAX(0,'07_Мерч'!B29-'19_Расчет_аналитики'!B4680),0)</f>
        <v/>
      </c>
      <c r="C4681">
        <f>IF('01_Вводные'!$B$234="Да",MAX(0,'19_Расчет_аналитики'!C4678-'19_Расчет_аналитики'!C4680),0)</f>
        <v/>
      </c>
      <c r="D4681">
        <f>IF('01_Вводные'!$B$234="Да",MAX(0,'19_Расчет_аналитики'!D4678-'19_Расчет_аналитики'!D4680),0)</f>
        <v/>
      </c>
      <c r="E4681">
        <f>IF('01_Вводные'!$B$234="Да",MAX(0,'19_Расчет_аналитики'!E4678-'19_Расчет_аналитики'!E4680),0)</f>
        <v/>
      </c>
      <c r="F4681">
        <f>IF('01_Вводные'!$B$234="Да",MAX(0,'19_Расчет_аналитики'!F4678-'19_Расчет_аналитики'!F4680),0)</f>
        <v/>
      </c>
      <c r="G4681">
        <f>IF('01_Вводные'!$B$234="Да",MAX(0,'19_Расчет_аналитики'!G4678-'19_Расчет_аналитики'!G4680),0)</f>
        <v/>
      </c>
      <c r="H4681">
        <f>IF('01_Вводные'!$B$234="Да",MAX(0,'19_Расчет_аналитики'!H4678-'19_Расчет_аналитики'!H4680),0)</f>
        <v/>
      </c>
      <c r="I4681">
        <f>IF('01_Вводные'!$B$234="Да",MAX(0,'19_Расчет_аналитики'!I4678-'19_Расчет_аналитики'!I4680),0)</f>
        <v/>
      </c>
      <c r="J4681">
        <f>IF('01_Вводные'!$B$234="Да",MAX(0,'19_Расчет_аналитики'!J4678-'19_Расчет_аналитики'!J4680),0)</f>
        <v/>
      </c>
      <c r="K4681">
        <f>IF('01_Вводные'!$B$234="Да",MAX(0,'19_Расчет_аналитики'!K4678-'19_Расчет_аналитики'!K4680),0)</f>
        <v/>
      </c>
      <c r="L4681">
        <f>IF('01_Вводные'!$B$234="Да",MAX(0,'19_Расчет_аналитики'!L4678-'19_Расчет_аналитики'!L4680),0)</f>
        <v/>
      </c>
      <c r="M4681">
        <f>IF('01_Вводные'!$B$234="Да",MAX(0,'19_Расчет_аналитики'!M4678-'19_Расчет_аналитики'!M4680),0)</f>
        <v/>
      </c>
      <c r="N4681">
        <f>IF('01_Вводные'!$B$234="Да",MAX(0,'19_Расчет_аналитики'!N4678-'19_Расчет_аналитики'!N4680),0)</f>
        <v/>
      </c>
      <c r="O4681">
        <f>IF('01_Вводные'!$B$234="Да",MAX(0,'19_Расчет_аналитики'!O4678-'19_Расчет_аналитики'!O4680),0)</f>
        <v/>
      </c>
      <c r="P4681">
        <f>IF('01_Вводные'!$B$234="Да",MAX(0,'19_Расчет_аналитики'!P4678-'19_Расчет_аналитики'!P4680),0)</f>
        <v/>
      </c>
      <c r="Q4681">
        <f>IF('01_Вводные'!$B$234="Да",MAX(0,'19_Расчет_аналитики'!Q4678-'19_Расчет_аналитики'!Q4680),0)</f>
        <v/>
      </c>
      <c r="R4681">
        <f>IF('01_Вводные'!$B$234="Да",MAX(0,'19_Расчет_аналитики'!R4678-'19_Расчет_аналитики'!R4680),0)</f>
        <v/>
      </c>
      <c r="S4681">
        <f>IF('01_Вводные'!$B$234="Да",MAX(0,'19_Расчет_аналитики'!S4678-'19_Расчет_аналитики'!S4680),0)</f>
        <v/>
      </c>
      <c r="T4681">
        <f>IF('01_Вводные'!$B$234="Да",MAX(0,'19_Расчет_аналитики'!T4678-'19_Расчет_аналитики'!T4680),0)</f>
        <v/>
      </c>
      <c r="U4681">
        <f>IF('01_Вводные'!$B$234="Да",MAX(0,'19_Расчет_аналитики'!U4678-'19_Расчет_аналитики'!U4680),0)</f>
        <v/>
      </c>
      <c r="V4681">
        <f>IF('01_Вводные'!$B$234="Да",MAX(0,'19_Расчет_аналитики'!V4678-'19_Расчет_аналитики'!V4680),0)</f>
        <v/>
      </c>
      <c r="W4681">
        <f>IF('01_Вводные'!$B$234="Да",MAX(0,'19_Расчет_аналитики'!W4678-'19_Расчет_аналитики'!W4680),0)</f>
        <v/>
      </c>
      <c r="X4681">
        <f>IF('01_Вводные'!$B$234="Да",MAX(0,'19_Расчет_аналитики'!X4678-'19_Расчет_аналитики'!X4680),0)</f>
        <v/>
      </c>
      <c r="Y4681">
        <f>IF('01_Вводные'!$B$234="Да",MAX(0,'19_Расчет_аналитики'!Y4678-'19_Расчет_аналитики'!Y4680),0)</f>
        <v/>
      </c>
      <c r="Z4681">
        <f>IF('01_Вводные'!$B$234="Да",MAX(0,'19_Расчет_аналитики'!Z4678-'19_Расчет_аналитики'!Z4680),0)</f>
        <v/>
      </c>
      <c r="AA4681">
        <f>IF('01_Вводные'!$B$234="Да",MAX(0,'19_Расчет_аналитики'!AA4678-'19_Расчет_аналитики'!AA4680),0)</f>
        <v/>
      </c>
      <c r="AB4681">
        <f>IF('01_Вводные'!$B$234="Да",MAX(0,'19_Расчет_аналитики'!AB4678-'19_Расчет_аналитики'!AB4680),0)</f>
        <v/>
      </c>
      <c r="AC4681">
        <f>IF('01_Вводные'!$B$234="Да",MAX(0,'19_Расчет_аналитики'!AC4678-'19_Расчет_аналитики'!AC4680),0)</f>
        <v/>
      </c>
      <c r="AD4681">
        <f>IF('01_Вводные'!$B$234="Да",MAX(0,'19_Расчет_аналитики'!AD4678-'19_Расчет_аналитики'!AD4680),0)</f>
        <v/>
      </c>
      <c r="AE4681">
        <f>IF('01_Вводные'!$B$234="Да",MAX(0,'19_Расчет_аналитики'!AE4678-'19_Расчет_аналитики'!AE4680),0)</f>
        <v/>
      </c>
      <c r="AF4681">
        <f>IF('01_Вводные'!$B$234="Да",MAX(0,'19_Расчет_аналитики'!AF4678-'19_Расчет_аналитики'!AF4680),0)</f>
        <v/>
      </c>
      <c r="AG4681">
        <f>IF('01_Вводные'!$B$234="Да",MAX(0,'19_Расчет_аналитики'!AG4678-'19_Расчет_аналитики'!AG4680),0)</f>
        <v/>
      </c>
      <c r="AH4681">
        <f>IF('01_Вводные'!$B$234="Да",MAX(0,'19_Расчет_аналитики'!AH4678-'19_Расчет_аналитики'!AH4680),0)</f>
        <v/>
      </c>
      <c r="AI4681">
        <f>IF('01_Вводные'!$B$234="Да",MAX(0,'19_Расчет_аналитики'!AI4678-'19_Расчет_аналитики'!AI4680),0)</f>
        <v/>
      </c>
      <c r="AJ4681">
        <f>IF('01_Вводные'!$B$234="Да",MAX(0,'19_Расчет_аналитики'!AJ4678-'19_Расчет_аналитики'!AJ4680),0)</f>
        <v/>
      </c>
      <c r="AK4681">
        <f>IF('01_Вводные'!$B$234="Да",MAX(0,'19_Расчет_аналитики'!AK4678-'19_Расчет_аналитики'!AK4680),0)</f>
        <v/>
      </c>
      <c r="AL4681">
        <f>IF('01_Вводные'!$B$234="Да",MAX(0,'19_Расчет_аналитики'!AL4678-'19_Расчет_аналитики'!AL4680),0)</f>
        <v/>
      </c>
      <c r="AM4681">
        <f>IF('01_Вводные'!$B$234="Да",MAX(0,'19_Расчет_аналитики'!AM4678-'19_Расчет_аналитики'!AM4680),0)</f>
        <v/>
      </c>
      <c r="AN4681">
        <f>IF('01_Вводные'!$B$234="Да",MAX(0,'19_Расчет_аналитики'!AN4678-'19_Расчет_аналитики'!AN4680),0)</f>
        <v/>
      </c>
      <c r="AO4681">
        <f>IF('01_Вводные'!$B$234="Да",MAX(0,'19_Расчет_аналитики'!AO4678-'19_Расчет_аналитики'!AO4680),0)</f>
        <v/>
      </c>
      <c r="AP4681">
        <f>IF('01_Вводные'!$B$234="Да",MAX(0,'19_Расчет_аналитики'!AP4678-'19_Расчет_аналитики'!AP4680),0)</f>
        <v/>
      </c>
      <c r="AQ4681">
        <f>IF('01_Вводные'!$B$234="Да",MAX(0,'19_Расчет_аналитики'!AQ4678-'19_Расчет_аналитики'!AQ4680),0)</f>
        <v/>
      </c>
      <c r="AR4681">
        <f>IF('01_Вводные'!$B$234="Да",MAX(0,'19_Расчет_аналитики'!AR4678-'19_Расчет_аналитики'!AR4680),0)</f>
        <v/>
      </c>
      <c r="AS4681">
        <f>IF('01_Вводные'!$B$234="Да",MAX(0,'19_Расчет_аналитики'!AS4678-'19_Расчет_аналитики'!AS4680),0)</f>
        <v/>
      </c>
      <c r="AT4681">
        <f>IF('01_Вводные'!$B$234="Да",MAX(0,'19_Расчет_аналитики'!AT4678-'19_Расчет_аналитики'!AT4680),0)</f>
        <v/>
      </c>
      <c r="AU4681">
        <f>IF('01_Вводные'!$B$234="Да",MAX(0,'19_Расчет_аналитики'!AU4678-'19_Расчет_аналитики'!AU4680),0)</f>
        <v/>
      </c>
      <c r="AV4681">
        <f>IF('01_Вводные'!$B$234="Да",MAX(0,'19_Расчет_аналитики'!AV4678-'19_Расчет_аналитики'!AV4680),0)</f>
        <v/>
      </c>
      <c r="AW4681">
        <f>IF('01_Вводные'!$B$234="Да",MAX(0,'19_Расчет_аналитики'!AW4678-'19_Расчет_аналитики'!AW4680),0)</f>
        <v/>
      </c>
      <c r="AX4681">
        <f>IF('01_Вводные'!$B$234="Да",MAX(0,'19_Расчет_аналитики'!AX4678-'19_Расчет_аналитики'!AX4680),0)</f>
        <v/>
      </c>
      <c r="AY4681">
        <f>IF('01_Вводные'!$B$234="Да",MAX(0,'19_Расчет_аналитики'!AY4678-'19_Расчет_аналитики'!AY4680),0)</f>
        <v/>
      </c>
      <c r="AZ4681">
        <f>IF('01_Вводные'!$B$234="Да",MAX(0,'19_Расчет_аналитики'!AZ4678-'19_Расчет_аналитики'!AZ4680),0)</f>
        <v/>
      </c>
      <c r="BA4681">
        <f>IF('01_Вводные'!$B$234="Да",MAX(0,'19_Расчет_аналитики'!BA4678-'19_Расчет_аналитики'!BA4680),0)</f>
        <v/>
      </c>
      <c r="BB4681">
        <f>IF('01_Вводные'!$B$234="Да",MAX(0,'19_Расчет_аналитики'!BB4678-'19_Расчет_аналитики'!BB4680),0)</f>
        <v/>
      </c>
      <c r="BC4681">
        <f>IF('01_Вводные'!$B$234="Да",MAX(0,'19_Расчет_аналитики'!BC4678-'19_Расчет_аналитики'!BC4680),0)</f>
        <v/>
      </c>
      <c r="BD4681">
        <f>IF('01_Вводные'!$B$234="Да",MAX(0,'19_Расчет_аналитики'!BD4678-'19_Расчет_аналитики'!BD4680),0)</f>
        <v/>
      </c>
      <c r="BE4681">
        <f>IF('01_Вводные'!$B$234="Да",MAX(0,'19_Расчет_аналитики'!BE4678-'19_Расчет_аналитики'!BE4680),0)</f>
        <v/>
      </c>
      <c r="BF4681">
        <f>IF('01_Вводные'!$B$234="Да",MAX(0,'19_Расчет_аналитики'!BF4678-'19_Расчет_аналитики'!BF4680),0)</f>
        <v/>
      </c>
      <c r="BG4681">
        <f>IF('01_Вводные'!$B$234="Да",MAX(0,'19_Расчет_аналитики'!BG4678-'19_Расчет_аналитики'!BG4680),0)</f>
        <v/>
      </c>
      <c r="BH4681">
        <f>IF('01_Вводные'!$B$234="Да",MAX(0,'19_Расчет_аналитики'!BH4678-'19_Расчет_аналитики'!BH4680),0)</f>
        <v/>
      </c>
      <c r="BI4681">
        <f>IF('01_Вводные'!$B$234="Да",MAX(0,'19_Расчет_аналитики'!BI4678-'19_Расчет_аналитики'!BI4680),0)</f>
        <v/>
      </c>
      <c r="BJ4681">
        <f>IF('01_Вводные'!$B$234="Да",MAX(0,'19_Расчет_аналитики'!BJ4678-'07_Мерч'!BJ31),0)</f>
        <v/>
      </c>
      <c r="BK4681">
        <f>IF('01_Вводные'!$B$234="Да",MAX(0,'19_Расчет_аналитики'!BK4678-'07_Мерч'!BK31),0)</f>
        <v/>
      </c>
      <c r="BL4681">
        <f>IF('01_Вводные'!$B$234="Да",MAX(0,'19_Расчет_аналитики'!BL4678-'07_Мерч'!BL31),0)</f>
        <v/>
      </c>
      <c r="BM4681">
        <f>IF('01_Вводные'!$B$234="Да",MAX(0,'19_Расчет_аналитики'!BM4678-'07_Мерч'!BM31),0)</f>
        <v/>
      </c>
      <c r="BN4681">
        <f>IF('01_Вводные'!$B$234="Да",MAX(0,'19_Расчет_аналитики'!BN4678-'07_Мерч'!BN31),0)</f>
        <v/>
      </c>
      <c r="BO4681">
        <f>IF('01_Вводные'!$B$234="Да",MAX(0,'19_Расчет_аналитики'!BO4678-'07_Мерч'!BO31),0)</f>
        <v/>
      </c>
    </row>
    <row r="4682"/>
    <row r="4683"/>
    <row r="4684"/>
    <row r="4685"/>
    <row r="4686"/>
    <row r="4687"/>
    <row r="4688"/>
    <row r="4689"/>
    <row r="4690"/>
    <row r="4691"/>
    <row r="4692"/>
    <row r="4693"/>
    <row r="4694"/>
    <row r="4695">
      <c r="C4695">
        <f>IF('01_Вводные'!$B$234="Да",MAX(0,MAX('01_Вводные'!$B$118,INT('19_Расчет_аналитики'!C4755/'01_Вводные'!$B$117)+1)-'01_Вводные'!$B$118),0)</f>
        <v/>
      </c>
      <c r="D4695">
        <f>IF('01_Вводные'!$B$234="Да",MAX(0,MAX('01_Вводные'!$B$118,INT('19_Расчет_аналитики'!D4755/'01_Вводные'!$B$117)+1)-'01_Вводные'!$B$118),0)</f>
        <v/>
      </c>
      <c r="E4695">
        <f>IF('01_Вводные'!$B$234="Да",MAX(0,MAX('01_Вводные'!$B$118,INT('19_Расчет_аналитики'!E4755/'01_Вводные'!$B$117)+1)-'01_Вводные'!$B$118),0)</f>
        <v/>
      </c>
      <c r="F4695">
        <f>IF('01_Вводные'!$B$234="Да",MAX(0,MAX('01_Вводные'!$B$118,INT('19_Расчет_аналитики'!F4755/'01_Вводные'!$B$117)+1)-'01_Вводные'!$B$118),0)</f>
        <v/>
      </c>
      <c r="G4695">
        <f>IF('01_Вводные'!$B$234="Да",MAX(0,MAX('01_Вводные'!$B$118,INT('19_Расчет_аналитики'!G4755/'01_Вводные'!$B$117)+1)-'01_Вводные'!$B$118),0)</f>
        <v/>
      </c>
      <c r="H4695">
        <f>IF('01_Вводные'!$B$234="Да",MAX(0,MAX('01_Вводные'!$B$118,INT('19_Расчет_аналитики'!H4755/'01_Вводные'!$B$117)+1)-'01_Вводные'!$B$118),0)</f>
        <v/>
      </c>
      <c r="I4695">
        <f>IF('01_Вводные'!$B$234="Да",MAX(0,MAX('01_Вводные'!$B$118,INT('19_Расчет_аналитики'!I4755/'01_Вводные'!$B$117)+1)-'01_Вводные'!$B$118),0)</f>
        <v/>
      </c>
      <c r="J4695">
        <f>IF('01_Вводные'!$B$234="Да",MAX(0,MAX('01_Вводные'!$B$118,INT('19_Расчет_аналитики'!J4755/'01_Вводные'!$B$117)+1)-'01_Вводные'!$B$118),0)</f>
        <v/>
      </c>
      <c r="K4695">
        <f>IF('01_Вводные'!$B$234="Да",MAX(0,MAX('01_Вводные'!$B$118,INT('19_Расчет_аналитики'!K4755/'01_Вводные'!$B$117)+1)-'01_Вводные'!$B$118),0)</f>
        <v/>
      </c>
      <c r="L4695">
        <f>IF('01_Вводные'!$B$234="Да",MAX(0,MAX('01_Вводные'!$B$118,INT('19_Расчет_аналитики'!L4755/'01_Вводные'!$B$117)+1)-'01_Вводные'!$B$118),0)</f>
        <v/>
      </c>
      <c r="M4695">
        <f>IF('01_Вводные'!$B$234="Да",MAX(0,MAX('01_Вводные'!$B$118,INT('19_Расчет_аналитики'!M4755/'01_Вводные'!$B$117)+1)-'01_Вводные'!$B$118),0)</f>
        <v/>
      </c>
      <c r="N4695">
        <f>IF('01_Вводные'!$B$234="Да",MAX(0,MAX('01_Вводные'!$B$118,INT('19_Расчет_аналитики'!N4755/'01_Вводные'!$B$117)+1)-'01_Вводные'!$B$118),0)</f>
        <v/>
      </c>
      <c r="O4695">
        <f>IF('01_Вводные'!$B$234="Да",MAX(0,MAX('01_Вводные'!$B$118,INT('19_Расчет_аналитики'!O4755/'01_Вводные'!$B$117)+1)-'01_Вводные'!$B$118),0)</f>
        <v/>
      </c>
      <c r="P4695">
        <f>IF('01_Вводные'!$B$234="Да",MAX(0,MAX('01_Вводные'!$B$118,INT('19_Расчет_аналитики'!P4755/'01_Вводные'!$B$117)+1)-'01_Вводные'!$B$118),0)</f>
        <v/>
      </c>
      <c r="Q4695">
        <f>IF('01_Вводные'!$B$234="Да",MAX(0,MAX('01_Вводные'!$B$118,INT('19_Расчет_аналитики'!Q4755/'01_Вводные'!$B$117)+1)-'01_Вводные'!$B$118),0)</f>
        <v/>
      </c>
      <c r="R4695">
        <f>IF('01_Вводные'!$B$234="Да",MAX(0,MAX('01_Вводные'!$B$118,INT('19_Расчет_аналитики'!R4755/'01_Вводные'!$B$117)+1)-'01_Вводные'!$B$118),0)</f>
        <v/>
      </c>
      <c r="S4695">
        <f>IF('01_Вводные'!$B$234="Да",MAX(0,MAX('01_Вводные'!$B$118,INT('19_Расчет_аналитики'!S4755/'01_Вводные'!$B$117)+1)-'01_Вводные'!$B$118),0)</f>
        <v/>
      </c>
      <c r="T4695">
        <f>IF('01_Вводные'!$B$234="Да",MAX(0,MAX('01_Вводные'!$B$118,INT('19_Расчет_аналитики'!T4755/'01_Вводные'!$B$117)+1)-'01_Вводные'!$B$118),0)</f>
        <v/>
      </c>
      <c r="U4695">
        <f>IF('01_Вводные'!$B$234="Да",MAX(0,MAX('01_Вводные'!$B$118,INT('19_Расчет_аналитики'!U4755/'01_Вводные'!$B$117)+1)-'01_Вводные'!$B$118),0)</f>
        <v/>
      </c>
      <c r="V4695">
        <f>IF('01_Вводные'!$B$234="Да",MAX(0,MAX('01_Вводные'!$B$118,INT('19_Расчет_аналитики'!V4755/'01_Вводные'!$B$117)+1)-'01_Вводные'!$B$118),0)</f>
        <v/>
      </c>
      <c r="W4695">
        <f>IF('01_Вводные'!$B$234="Да",MAX(0,MAX('01_Вводные'!$B$118,INT('19_Расчет_аналитики'!W4755/'01_Вводные'!$B$117)+1)-'01_Вводные'!$B$118),0)</f>
        <v/>
      </c>
      <c r="X4695">
        <f>IF('01_Вводные'!$B$234="Да",MAX(0,MAX('01_Вводные'!$B$118,INT('19_Расчет_аналитики'!X4755/'01_Вводные'!$B$117)+1)-'01_Вводные'!$B$118),0)</f>
        <v/>
      </c>
      <c r="Y4695">
        <f>IF('01_Вводные'!$B$234="Да",MAX(0,MAX('01_Вводные'!$B$118,INT('19_Расчет_аналитики'!Y4755/'01_Вводные'!$B$117)+1)-'01_Вводные'!$B$118),0)</f>
        <v/>
      </c>
      <c r="Z4695">
        <f>IF('01_Вводные'!$B$234="Да",MAX(0,MAX('01_Вводные'!$B$118,INT('19_Расчет_аналитики'!Z4755/'01_Вводные'!$B$117)+1)-'01_Вводные'!$B$118),0)</f>
        <v/>
      </c>
      <c r="AA4695">
        <f>IF('01_Вводные'!$B$234="Да",MAX(0,MAX('01_Вводные'!$B$118,INT('19_Расчет_аналитики'!AA4755/'01_Вводные'!$B$117)+1)-'01_Вводные'!$B$118),0)</f>
        <v/>
      </c>
      <c r="AB4695">
        <f>IF('01_Вводные'!$B$234="Да",MAX(0,MAX('01_Вводные'!$B$118,INT('19_Расчет_аналитики'!AB4755/'01_Вводные'!$B$117)+1)-'01_Вводные'!$B$118),0)</f>
        <v/>
      </c>
      <c r="AC4695">
        <f>IF('01_Вводные'!$B$234="Да",MAX(0,MAX('01_Вводные'!$B$118,INT('19_Расчет_аналитики'!AC4755/'01_Вводные'!$B$117)+1)-'01_Вводные'!$B$118),0)</f>
        <v/>
      </c>
      <c r="AD4695">
        <f>IF('01_Вводные'!$B$234="Да",MAX(0,MAX('01_Вводные'!$B$118,INT('19_Расчет_аналитики'!AD4755/'01_Вводные'!$B$117)+1)-'01_Вводные'!$B$118),0)</f>
        <v/>
      </c>
      <c r="AE4695">
        <f>IF('01_Вводные'!$B$234="Да",MAX(0,MAX('01_Вводные'!$B$118,INT('19_Расчет_аналитики'!AE4755/'01_Вводные'!$B$117)+1)-'01_Вводные'!$B$118),0)</f>
        <v/>
      </c>
      <c r="AF4695">
        <f>IF('01_Вводные'!$B$234="Да",MAX(0,MAX('01_Вводные'!$B$118,INT('19_Расчет_аналитики'!AF4755/'01_Вводные'!$B$117)+1)-'01_Вводные'!$B$118),0)</f>
        <v/>
      </c>
      <c r="AG4695">
        <f>IF('01_Вводные'!$B$234="Да",MAX(0,MAX('01_Вводные'!$B$118,INT('19_Расчет_аналитики'!AG4755/'01_Вводные'!$B$117)+1)-'01_Вводные'!$B$118),0)</f>
        <v/>
      </c>
      <c r="AH4695">
        <f>IF('01_Вводные'!$B$234="Да",MAX(0,MAX('01_Вводные'!$B$118,INT('19_Расчет_аналитики'!AH4755/'01_Вводные'!$B$117)+1)-'01_Вводные'!$B$118),0)</f>
        <v/>
      </c>
      <c r="AI4695">
        <f>IF('01_Вводные'!$B$234="Да",MAX(0,MAX('01_Вводные'!$B$118,INT('19_Расчет_аналитики'!AI4755/'01_Вводные'!$B$117)+1)-'01_Вводные'!$B$118),0)</f>
        <v/>
      </c>
      <c r="AJ4695">
        <f>IF('01_Вводные'!$B$234="Да",MAX(0,MAX('01_Вводные'!$B$118,INT('19_Расчет_аналитики'!AJ4755/'01_Вводные'!$B$117)+1)-'01_Вводные'!$B$118),0)</f>
        <v/>
      </c>
      <c r="AK4695">
        <f>IF('01_Вводные'!$B$234="Да",MAX(0,MAX('01_Вводные'!$B$118,INT('19_Расчет_аналитики'!AK4755/'01_Вводные'!$B$117)+1)-'01_Вводные'!$B$118),0)</f>
        <v/>
      </c>
      <c r="AL4695">
        <f>IF('01_Вводные'!$B$234="Да",MAX(0,MAX('01_Вводные'!$B$118,INT('19_Расчет_аналитики'!AL4755/'01_Вводные'!$B$117)+1)-'01_Вводные'!$B$118),0)</f>
        <v/>
      </c>
      <c r="AM4695">
        <f>IF('01_Вводные'!$B$234="Да",MAX(0,MAX('01_Вводные'!$B$118,INT('19_Расчет_аналитики'!AM4755/'01_Вводные'!$B$117)+1)-'01_Вводные'!$B$118),0)</f>
        <v/>
      </c>
      <c r="AN4695">
        <f>IF('01_Вводные'!$B$234="Да",MAX(0,MAX('01_Вводные'!$B$118,INT('19_Расчет_аналитики'!AN4755/'01_Вводные'!$B$117)+1)-'01_Вводные'!$B$118),0)</f>
        <v/>
      </c>
      <c r="AO4695">
        <f>IF('01_Вводные'!$B$234="Да",MAX(0,MAX('01_Вводные'!$B$118,INT('19_Расчет_аналитики'!AO4755/'01_Вводные'!$B$117)+1)-'01_Вводные'!$B$118),0)</f>
        <v/>
      </c>
      <c r="AP4695">
        <f>IF('01_Вводные'!$B$234="Да",MAX(0,MAX('01_Вводные'!$B$118,INT('19_Расчет_аналитики'!AP4755/'01_Вводные'!$B$117)+1)-'01_Вводные'!$B$118),0)</f>
        <v/>
      </c>
      <c r="AQ4695">
        <f>IF('01_Вводные'!$B$234="Да",MAX(0,MAX('01_Вводные'!$B$118,INT('19_Расчет_аналитики'!AQ4755/'01_Вводные'!$B$117)+1)-'01_Вводные'!$B$118),0)</f>
        <v/>
      </c>
      <c r="AR4695">
        <f>IF('01_Вводные'!$B$234="Да",MAX(0,MAX('01_Вводные'!$B$118,INT('19_Расчет_аналитики'!AR4755/'01_Вводные'!$B$117)+1)-'01_Вводные'!$B$118),0)</f>
        <v/>
      </c>
      <c r="AS4695">
        <f>IF('01_Вводные'!$B$234="Да",MAX(0,MAX('01_Вводные'!$B$118,INT('19_Расчет_аналитики'!AS4755/'01_Вводные'!$B$117)+1)-'01_Вводные'!$B$118),0)</f>
        <v/>
      </c>
      <c r="AT4695">
        <f>IF('01_Вводные'!$B$234="Да",MAX(0,MAX('01_Вводные'!$B$118,INT('19_Расчет_аналитики'!AT4755/'01_Вводные'!$B$117)+1)-'01_Вводные'!$B$118),0)</f>
        <v/>
      </c>
      <c r="AU4695">
        <f>IF('01_Вводные'!$B$234="Да",MAX(0,MAX('01_Вводные'!$B$118,INT('19_Расчет_аналитики'!AU4755/'01_Вводные'!$B$117)+1)-'01_Вводные'!$B$118),0)</f>
        <v/>
      </c>
      <c r="AV4695">
        <f>IF('01_Вводные'!$B$234="Да",MAX(0,MAX('01_Вводные'!$B$118,INT('19_Расчет_аналитики'!AV4755/'01_Вводные'!$B$117)+1)-'01_Вводные'!$B$118),0)</f>
        <v/>
      </c>
      <c r="AW4695">
        <f>IF('01_Вводные'!$B$234="Да",MAX(0,MAX('01_Вводные'!$B$118,INT('19_Расчет_аналитики'!AW4755/'01_Вводные'!$B$117)+1)-'01_Вводные'!$B$118),0)</f>
        <v/>
      </c>
      <c r="AX4695">
        <f>IF('01_Вводные'!$B$234="Да",MAX(0,MAX('01_Вводные'!$B$118,INT('19_Расчет_аналитики'!AX4755/'01_Вводные'!$B$117)+1)-'01_Вводные'!$B$118),0)</f>
        <v/>
      </c>
      <c r="AY4695">
        <f>IF('01_Вводные'!$B$234="Да",MAX(0,MAX('01_Вводные'!$B$118,INT('19_Расчет_аналитики'!AY4755/'01_Вводные'!$B$117)+1)-'01_Вводные'!$B$118),0)</f>
        <v/>
      </c>
      <c r="AZ4695">
        <f>IF('01_Вводные'!$B$234="Да",MAX(0,MAX('01_Вводные'!$B$118,INT('19_Расчет_аналитики'!AZ4755/'01_Вводные'!$B$117)+1)-'01_Вводные'!$B$118),0)</f>
        <v/>
      </c>
      <c r="BA4695">
        <f>IF('01_Вводные'!$B$234="Да",MAX(0,MAX('01_Вводные'!$B$118,INT('19_Расчет_аналитики'!BA4755/'01_Вводные'!$B$117)+1)-'01_Вводные'!$B$118),0)</f>
        <v/>
      </c>
      <c r="BB4695">
        <f>IF('01_Вводные'!$B$234="Да",MAX(0,MAX('01_Вводные'!$B$118,INT('19_Расчет_аналитики'!BB4755/'01_Вводные'!$B$117)+1)-'01_Вводные'!$B$118),0)</f>
        <v/>
      </c>
      <c r="BC4695">
        <f>IF('01_Вводные'!$B$234="Да",MAX(0,MAX('01_Вводные'!$B$118,INT('19_Расчет_аналитики'!BC4755/'01_Вводные'!$B$117)+1)-'01_Вводные'!$B$118),0)</f>
        <v/>
      </c>
      <c r="BD4695">
        <f>IF('01_Вводные'!$B$234="Да",MAX(0,MAX('01_Вводные'!$B$118,INT('19_Расчет_аналитики'!BD4755/'01_Вводные'!$B$117)+1)-'01_Вводные'!$B$118),0)</f>
        <v/>
      </c>
      <c r="BE4695">
        <f>IF('01_Вводные'!$B$234="Да",MAX(0,MAX('01_Вводные'!$B$118,INT('19_Расчет_аналитики'!BE4755/'01_Вводные'!$B$117)+1)-'01_Вводные'!$B$118),0)</f>
        <v/>
      </c>
      <c r="BF4695">
        <f>IF('01_Вводные'!$B$234="Да",MAX(0,MAX('01_Вводные'!$B$118,INT('19_Расчет_аналитики'!BF4755/'01_Вводные'!$B$117)+1)-'01_Вводные'!$B$118),0)</f>
        <v/>
      </c>
      <c r="BG4695">
        <f>IF('01_Вводные'!$B$234="Да",MAX(0,MAX('01_Вводные'!$B$118,INT('19_Расчет_аналитики'!BG4755/'01_Вводные'!$B$117)+1)-'01_Вводные'!$B$118),0)</f>
        <v/>
      </c>
      <c r="BH4695">
        <f>IF('01_Вводные'!$B$234="Да",MAX(0,MAX('01_Вводные'!$B$118,INT('19_Расчет_аналитики'!BH4755/'01_Вводные'!$B$117)+1)-'01_Вводные'!$B$118),0)</f>
        <v/>
      </c>
      <c r="BI4695">
        <f>IF('01_Вводные'!$B$234="Да",MAX(0,MAX('01_Вводные'!$B$118,INT('19_Расчет_аналитики'!BI4755/'01_Вводные'!$B$117)+1)-'01_Вводные'!$B$118),0)</f>
        <v/>
      </c>
    </row>
    <row r="4696">
      <c r="C4696">
        <f>IF('01_Вводные'!$B$234="Да",'19_Расчет_аналитики'!C4695*'01_Вводные'!$B$119*'08_ФОТ'!C5,0)</f>
        <v/>
      </c>
      <c r="D4696">
        <f>IF('01_Вводные'!$B$234="Да",'19_Расчет_аналитики'!D4695*'01_Вводные'!$B$119*'08_ФОТ'!D5,0)</f>
        <v/>
      </c>
      <c r="E4696">
        <f>IF('01_Вводные'!$B$234="Да",'19_Расчет_аналитики'!E4695*'01_Вводные'!$B$119*'08_ФОТ'!E5,0)</f>
        <v/>
      </c>
      <c r="F4696">
        <f>IF('01_Вводные'!$B$234="Да",'19_Расчет_аналитики'!F4695*'01_Вводные'!$B$119*'08_ФОТ'!F5,0)</f>
        <v/>
      </c>
      <c r="G4696">
        <f>IF('01_Вводные'!$B$234="Да",'19_Расчет_аналитики'!G4695*'01_Вводные'!$B$119*'08_ФОТ'!G5,0)</f>
        <v/>
      </c>
      <c r="H4696">
        <f>IF('01_Вводные'!$B$234="Да",'19_Расчет_аналитики'!H4695*'01_Вводные'!$B$119*'08_ФОТ'!H5,0)</f>
        <v/>
      </c>
      <c r="I4696">
        <f>IF('01_Вводные'!$B$234="Да",'19_Расчет_аналитики'!I4695*'01_Вводные'!$B$119*'08_ФОТ'!I5,0)</f>
        <v/>
      </c>
      <c r="J4696">
        <f>IF('01_Вводные'!$B$234="Да",'19_Расчет_аналитики'!J4695*'01_Вводные'!$B$119*'08_ФОТ'!J5,0)</f>
        <v/>
      </c>
      <c r="K4696">
        <f>IF('01_Вводные'!$B$234="Да",'19_Расчет_аналитики'!K4695*'01_Вводные'!$B$119*'08_ФОТ'!K5,0)</f>
        <v/>
      </c>
      <c r="L4696">
        <f>IF('01_Вводные'!$B$234="Да",'19_Расчет_аналитики'!L4695*'01_Вводные'!$B$119*'08_ФОТ'!L5,0)</f>
        <v/>
      </c>
      <c r="M4696">
        <f>IF('01_Вводные'!$B$234="Да",'19_Расчет_аналитики'!M4695*'01_Вводные'!$B$119*'08_ФОТ'!M5,0)</f>
        <v/>
      </c>
      <c r="N4696">
        <f>IF('01_Вводные'!$B$234="Да",'19_Расчет_аналитики'!N4695*'01_Вводные'!$B$119*'08_ФОТ'!N5,0)</f>
        <v/>
      </c>
      <c r="O4696">
        <f>IF('01_Вводные'!$B$234="Да",'19_Расчет_аналитики'!O4695*'01_Вводные'!$B$119*'08_ФОТ'!O5,0)</f>
        <v/>
      </c>
      <c r="P4696">
        <f>IF('01_Вводные'!$B$234="Да",'19_Расчет_аналитики'!P4695*'01_Вводные'!$B$119*'08_ФОТ'!P5,0)</f>
        <v/>
      </c>
      <c r="Q4696">
        <f>IF('01_Вводные'!$B$234="Да",'19_Расчет_аналитики'!Q4695*'01_Вводные'!$B$119*'08_ФОТ'!Q5,0)</f>
        <v/>
      </c>
      <c r="R4696">
        <f>IF('01_Вводные'!$B$234="Да",'19_Расчет_аналитики'!R4695*'01_Вводные'!$B$119*'08_ФОТ'!R5,0)</f>
        <v/>
      </c>
      <c r="S4696">
        <f>IF('01_Вводные'!$B$234="Да",'19_Расчет_аналитики'!S4695*'01_Вводные'!$B$119*'08_ФОТ'!S5,0)</f>
        <v/>
      </c>
      <c r="T4696">
        <f>IF('01_Вводные'!$B$234="Да",'19_Расчет_аналитики'!T4695*'01_Вводные'!$B$119*'08_ФОТ'!T5,0)</f>
        <v/>
      </c>
      <c r="U4696">
        <f>IF('01_Вводные'!$B$234="Да",'19_Расчет_аналитики'!U4695*'01_Вводные'!$B$119*'08_ФОТ'!U5,0)</f>
        <v/>
      </c>
      <c r="V4696">
        <f>IF('01_Вводные'!$B$234="Да",'19_Расчет_аналитики'!V4695*'01_Вводные'!$B$119*'08_ФОТ'!V5,0)</f>
        <v/>
      </c>
      <c r="W4696">
        <f>IF('01_Вводные'!$B$234="Да",'19_Расчет_аналитики'!W4695*'01_Вводные'!$B$119*'08_ФОТ'!W5,0)</f>
        <v/>
      </c>
      <c r="X4696">
        <f>IF('01_Вводные'!$B$234="Да",'19_Расчет_аналитики'!X4695*'01_Вводные'!$B$119*'08_ФОТ'!X5,0)</f>
        <v/>
      </c>
      <c r="Y4696">
        <f>IF('01_Вводные'!$B$234="Да",'19_Расчет_аналитики'!Y4695*'01_Вводные'!$B$119*'08_ФОТ'!Y5,0)</f>
        <v/>
      </c>
      <c r="Z4696">
        <f>IF('01_Вводные'!$B$234="Да",'19_Расчет_аналитики'!Z4695*'01_Вводные'!$B$119*'08_ФОТ'!Z5,0)</f>
        <v/>
      </c>
      <c r="AA4696">
        <f>IF('01_Вводные'!$B$234="Да",'19_Расчет_аналитики'!AA4695*'01_Вводные'!$B$119*'08_ФОТ'!AA5,0)</f>
        <v/>
      </c>
      <c r="AB4696">
        <f>IF('01_Вводные'!$B$234="Да",'19_Расчет_аналитики'!AB4695*'01_Вводные'!$B$119*'08_ФОТ'!AB5,0)</f>
        <v/>
      </c>
      <c r="AC4696">
        <f>IF('01_Вводные'!$B$234="Да",'19_Расчет_аналитики'!AC4695*'01_Вводные'!$B$119*'08_ФОТ'!AC5,0)</f>
        <v/>
      </c>
      <c r="AD4696">
        <f>IF('01_Вводные'!$B$234="Да",'19_Расчет_аналитики'!AD4695*'01_Вводные'!$B$119*'08_ФОТ'!AD5,0)</f>
        <v/>
      </c>
      <c r="AE4696">
        <f>IF('01_Вводные'!$B$234="Да",'19_Расчет_аналитики'!AE4695*'01_Вводные'!$B$119*'08_ФОТ'!AE5,0)</f>
        <v/>
      </c>
      <c r="AF4696">
        <f>IF('01_Вводные'!$B$234="Да",'19_Расчет_аналитики'!AF4695*'01_Вводные'!$B$119*'08_ФОТ'!AF5,0)</f>
        <v/>
      </c>
      <c r="AG4696">
        <f>IF('01_Вводные'!$B$234="Да",'19_Расчет_аналитики'!AG4695*'01_Вводные'!$B$119*'08_ФОТ'!AG5,0)</f>
        <v/>
      </c>
      <c r="AH4696">
        <f>IF('01_Вводные'!$B$234="Да",'19_Расчет_аналитики'!AH4695*'01_Вводные'!$B$119*'08_ФОТ'!AH5,0)</f>
        <v/>
      </c>
      <c r="AI4696">
        <f>IF('01_Вводные'!$B$234="Да",'19_Расчет_аналитики'!AI4695*'01_Вводные'!$B$119*'08_ФОТ'!AI5,0)</f>
        <v/>
      </c>
      <c r="AJ4696">
        <f>IF('01_Вводные'!$B$234="Да",'19_Расчет_аналитики'!AJ4695*'01_Вводные'!$B$119*'08_ФОТ'!AJ5,0)</f>
        <v/>
      </c>
      <c r="AK4696">
        <f>IF('01_Вводные'!$B$234="Да",'19_Расчет_аналитики'!AK4695*'01_Вводные'!$B$119*'08_ФОТ'!AK5,0)</f>
        <v/>
      </c>
      <c r="AL4696">
        <f>IF('01_Вводные'!$B$234="Да",'19_Расчет_аналитики'!AL4695*'01_Вводные'!$B$119*'08_ФОТ'!AL5,0)</f>
        <v/>
      </c>
      <c r="AM4696">
        <f>IF('01_Вводные'!$B$234="Да",'19_Расчет_аналитики'!AM4695*'01_Вводные'!$B$119*'08_ФОТ'!AM5,0)</f>
        <v/>
      </c>
      <c r="AN4696">
        <f>IF('01_Вводные'!$B$234="Да",'19_Расчет_аналитики'!AN4695*'01_Вводные'!$B$119*'08_ФОТ'!AN5,0)</f>
        <v/>
      </c>
      <c r="AO4696">
        <f>IF('01_Вводные'!$B$234="Да",'19_Расчет_аналитики'!AO4695*'01_Вводные'!$B$119*'08_ФОТ'!AO5,0)</f>
        <v/>
      </c>
      <c r="AP4696">
        <f>IF('01_Вводные'!$B$234="Да",'19_Расчет_аналитики'!AP4695*'01_Вводные'!$B$119*'08_ФОТ'!AP5,0)</f>
        <v/>
      </c>
      <c r="AQ4696">
        <f>IF('01_Вводные'!$B$234="Да",'19_Расчет_аналитики'!AQ4695*'01_Вводные'!$B$119*'08_ФОТ'!AQ5,0)</f>
        <v/>
      </c>
      <c r="AR4696">
        <f>IF('01_Вводные'!$B$234="Да",'19_Расчет_аналитики'!AR4695*'01_Вводные'!$B$119*'08_ФОТ'!AR5,0)</f>
        <v/>
      </c>
      <c r="AS4696">
        <f>IF('01_Вводные'!$B$234="Да",'19_Расчет_аналитики'!AS4695*'01_Вводные'!$B$119*'08_ФОТ'!AS5,0)</f>
        <v/>
      </c>
      <c r="AT4696">
        <f>IF('01_Вводные'!$B$234="Да",'19_Расчет_аналитики'!AT4695*'01_Вводные'!$B$119*'08_ФОТ'!AT5,0)</f>
        <v/>
      </c>
      <c r="AU4696">
        <f>IF('01_Вводные'!$B$234="Да",'19_Расчет_аналитики'!AU4695*'01_Вводные'!$B$119*'08_ФОТ'!AU5,0)</f>
        <v/>
      </c>
      <c r="AV4696">
        <f>IF('01_Вводные'!$B$234="Да",'19_Расчет_аналитики'!AV4695*'01_Вводные'!$B$119*'08_ФОТ'!AV5,0)</f>
        <v/>
      </c>
      <c r="AW4696">
        <f>IF('01_Вводные'!$B$234="Да",'19_Расчет_аналитики'!AW4695*'01_Вводные'!$B$119*'08_ФОТ'!AW5,0)</f>
        <v/>
      </c>
      <c r="AX4696">
        <f>IF('01_Вводные'!$B$234="Да",'19_Расчет_аналитики'!AX4695*'01_Вводные'!$B$119*'08_ФОТ'!AX5,0)</f>
        <v/>
      </c>
      <c r="AY4696">
        <f>IF('01_Вводные'!$B$234="Да",'19_Расчет_аналитики'!AY4695*'01_Вводные'!$B$119*'08_ФОТ'!AY5,0)</f>
        <v/>
      </c>
      <c r="AZ4696">
        <f>IF('01_Вводные'!$B$234="Да",'19_Расчет_аналитики'!AZ4695*'01_Вводные'!$B$119*'08_ФОТ'!AZ5,0)</f>
        <v/>
      </c>
      <c r="BA4696">
        <f>IF('01_Вводные'!$B$234="Да",'19_Расчет_аналитики'!BA4695*'01_Вводные'!$B$119*'08_ФОТ'!BA5,0)</f>
        <v/>
      </c>
      <c r="BB4696">
        <f>IF('01_Вводные'!$B$234="Да",'19_Расчет_аналитики'!BB4695*'01_Вводные'!$B$119*'08_ФОТ'!BB5,0)</f>
        <v/>
      </c>
      <c r="BC4696">
        <f>IF('01_Вводные'!$B$234="Да",'19_Расчет_аналитики'!BC4695*'01_Вводные'!$B$119*'08_ФОТ'!BC5,0)</f>
        <v/>
      </c>
      <c r="BD4696">
        <f>IF('01_Вводные'!$B$234="Да",'19_Расчет_аналитики'!BD4695*'01_Вводные'!$B$119*'08_ФОТ'!BD5,0)</f>
        <v/>
      </c>
      <c r="BE4696">
        <f>IF('01_Вводные'!$B$234="Да",'19_Расчет_аналитики'!BE4695*'01_Вводные'!$B$119*'08_ФОТ'!BE5,0)</f>
        <v/>
      </c>
      <c r="BF4696">
        <f>IF('01_Вводные'!$B$234="Да",'19_Расчет_аналитики'!BF4695*'01_Вводные'!$B$119*'08_ФОТ'!BF5,0)</f>
        <v/>
      </c>
      <c r="BG4696">
        <f>IF('01_Вводные'!$B$234="Да",'19_Расчет_аналитики'!BG4695*'01_Вводные'!$B$119*'08_ФОТ'!BG5,0)</f>
        <v/>
      </c>
      <c r="BH4696">
        <f>IF('01_Вводные'!$B$234="Да",'19_Расчет_аналитики'!BH4695*'01_Вводные'!$B$119*'08_ФОТ'!BH5,0)</f>
        <v/>
      </c>
      <c r="BI4696">
        <f>IF('01_Вводные'!$B$234="Да",'19_Расчет_аналитики'!BI4695*'01_Вводные'!$B$119*'08_ФОТ'!BI5,0)</f>
        <v/>
      </c>
    </row>
    <row r="4697">
      <c r="C4697">
        <f>IF('01_Вводные'!$B$234="Да",SUM('08_ФОТ'!C7:C9,'19_Расчет_аналитики'!C4696),0)</f>
        <v/>
      </c>
      <c r="D4697">
        <f>IF('01_Вводные'!$B$234="Да",SUM('08_ФОТ'!D7:D9,'19_Расчет_аналитики'!D4696),0)</f>
        <v/>
      </c>
      <c r="E4697">
        <f>IF('01_Вводные'!$B$234="Да",SUM('08_ФОТ'!E7:E9,'19_Расчет_аналитики'!E4696),0)</f>
        <v/>
      </c>
      <c r="F4697">
        <f>IF('01_Вводные'!$B$234="Да",SUM('08_ФОТ'!F7:F9,'19_Расчет_аналитики'!F4696),0)</f>
        <v/>
      </c>
      <c r="G4697">
        <f>IF('01_Вводные'!$B$234="Да",SUM('08_ФОТ'!G7:G9,'19_Расчет_аналитики'!G4696),0)</f>
        <v/>
      </c>
      <c r="H4697">
        <f>IF('01_Вводные'!$B$234="Да",SUM('08_ФОТ'!H7:H9,'19_Расчет_аналитики'!H4696),0)</f>
        <v/>
      </c>
      <c r="I4697">
        <f>IF('01_Вводные'!$B$234="Да",SUM('08_ФОТ'!I7:I9,'19_Расчет_аналитики'!I4696),0)</f>
        <v/>
      </c>
      <c r="J4697">
        <f>IF('01_Вводные'!$B$234="Да",SUM('08_ФОТ'!J7:J9,'19_Расчет_аналитики'!J4696),0)</f>
        <v/>
      </c>
      <c r="K4697">
        <f>IF('01_Вводные'!$B$234="Да",SUM('08_ФОТ'!K7:K9,'19_Расчет_аналитики'!K4696),0)</f>
        <v/>
      </c>
      <c r="L4697">
        <f>IF('01_Вводные'!$B$234="Да",SUM('08_ФОТ'!L7:L9,'19_Расчет_аналитики'!L4696),0)</f>
        <v/>
      </c>
      <c r="M4697">
        <f>IF('01_Вводные'!$B$234="Да",SUM('08_ФОТ'!M7:M9,'19_Расчет_аналитики'!M4696),0)</f>
        <v/>
      </c>
      <c r="N4697">
        <f>IF('01_Вводные'!$B$234="Да",SUM('08_ФОТ'!N7:N9,'19_Расчет_аналитики'!N4696),0)</f>
        <v/>
      </c>
      <c r="O4697">
        <f>IF('01_Вводные'!$B$234="Да",SUM('08_ФОТ'!O7:O9,'19_Расчет_аналитики'!O4696),0)</f>
        <v/>
      </c>
      <c r="P4697">
        <f>IF('01_Вводные'!$B$234="Да",SUM('08_ФОТ'!P7:P9,'19_Расчет_аналитики'!P4696),0)</f>
        <v/>
      </c>
      <c r="Q4697">
        <f>IF('01_Вводные'!$B$234="Да",SUM('08_ФОТ'!Q7:Q9,'19_Расчет_аналитики'!Q4696),0)</f>
        <v/>
      </c>
      <c r="R4697">
        <f>IF('01_Вводные'!$B$234="Да",SUM('08_ФОТ'!R7:R9,'19_Расчет_аналитики'!R4696),0)</f>
        <v/>
      </c>
      <c r="S4697">
        <f>IF('01_Вводные'!$B$234="Да",SUM('08_ФОТ'!S7:S9,'19_Расчет_аналитики'!S4696),0)</f>
        <v/>
      </c>
      <c r="T4697">
        <f>IF('01_Вводные'!$B$234="Да",SUM('08_ФОТ'!T7:T9,'19_Расчет_аналитики'!T4696),0)</f>
        <v/>
      </c>
      <c r="U4697">
        <f>IF('01_Вводные'!$B$234="Да",SUM('08_ФОТ'!U7:U9,'19_Расчет_аналитики'!U4696),0)</f>
        <v/>
      </c>
      <c r="V4697">
        <f>IF('01_Вводные'!$B$234="Да",SUM('08_ФОТ'!V7:V9,'19_Расчет_аналитики'!V4696),0)</f>
        <v/>
      </c>
      <c r="W4697">
        <f>IF('01_Вводные'!$B$234="Да",SUM('08_ФОТ'!W7:W9,'19_Расчет_аналитики'!W4696),0)</f>
        <v/>
      </c>
      <c r="X4697">
        <f>IF('01_Вводные'!$B$234="Да",SUM('08_ФОТ'!X7:X9,'19_Расчет_аналитики'!X4696),0)</f>
        <v/>
      </c>
      <c r="Y4697">
        <f>IF('01_Вводные'!$B$234="Да",SUM('08_ФОТ'!Y7:Y9,'19_Расчет_аналитики'!Y4696),0)</f>
        <v/>
      </c>
      <c r="Z4697">
        <f>IF('01_Вводные'!$B$234="Да",SUM('08_ФОТ'!Z7:Z9,'19_Расчет_аналитики'!Z4696),0)</f>
        <v/>
      </c>
      <c r="AA4697">
        <f>IF('01_Вводные'!$B$234="Да",SUM('08_ФОТ'!AA7:AA9,'19_Расчет_аналитики'!AA4696),0)</f>
        <v/>
      </c>
      <c r="AB4697">
        <f>IF('01_Вводные'!$B$234="Да",SUM('08_ФОТ'!AB7:AB9,'19_Расчет_аналитики'!AB4696),0)</f>
        <v/>
      </c>
      <c r="AC4697">
        <f>IF('01_Вводные'!$B$234="Да",SUM('08_ФОТ'!AC7:AC9,'19_Расчет_аналитики'!AC4696),0)</f>
        <v/>
      </c>
      <c r="AD4697">
        <f>IF('01_Вводные'!$B$234="Да",SUM('08_ФОТ'!AD7:AD9,'19_Расчет_аналитики'!AD4696),0)</f>
        <v/>
      </c>
      <c r="AE4697">
        <f>IF('01_Вводные'!$B$234="Да",SUM('08_ФОТ'!AE7:AE9,'19_Расчет_аналитики'!AE4696),0)</f>
        <v/>
      </c>
      <c r="AF4697">
        <f>IF('01_Вводные'!$B$234="Да",SUM('08_ФОТ'!AF7:AF9,'19_Расчет_аналитики'!AF4696),0)</f>
        <v/>
      </c>
      <c r="AG4697">
        <f>IF('01_Вводные'!$B$234="Да",SUM('08_ФОТ'!AG7:AG9,'19_Расчет_аналитики'!AG4696),0)</f>
        <v/>
      </c>
      <c r="AH4697">
        <f>IF('01_Вводные'!$B$234="Да",SUM('08_ФОТ'!AH7:AH9,'19_Расчет_аналитики'!AH4696),0)</f>
        <v/>
      </c>
      <c r="AI4697">
        <f>IF('01_Вводные'!$B$234="Да",SUM('08_ФОТ'!AI7:AI9,'19_Расчет_аналитики'!AI4696),0)</f>
        <v/>
      </c>
      <c r="AJ4697">
        <f>IF('01_Вводные'!$B$234="Да",SUM('08_ФОТ'!AJ7:AJ9,'19_Расчет_аналитики'!AJ4696),0)</f>
        <v/>
      </c>
      <c r="AK4697">
        <f>IF('01_Вводные'!$B$234="Да",SUM('08_ФОТ'!AK7:AK9,'19_Расчет_аналитики'!AK4696),0)</f>
        <v/>
      </c>
      <c r="AL4697">
        <f>IF('01_Вводные'!$B$234="Да",SUM('08_ФОТ'!AL7:AL9,'19_Расчет_аналитики'!AL4696),0)</f>
        <v/>
      </c>
      <c r="AM4697">
        <f>IF('01_Вводные'!$B$234="Да",SUM('08_ФОТ'!AM7:AM9,'19_Расчет_аналитики'!AM4696),0)</f>
        <v/>
      </c>
      <c r="AN4697">
        <f>IF('01_Вводные'!$B$234="Да",SUM('08_ФОТ'!AN7:AN9,'19_Расчет_аналитики'!AN4696),0)</f>
        <v/>
      </c>
      <c r="AO4697">
        <f>IF('01_Вводные'!$B$234="Да",SUM('08_ФОТ'!AO7:AO9,'19_Расчет_аналитики'!AO4696),0)</f>
        <v/>
      </c>
      <c r="AP4697">
        <f>IF('01_Вводные'!$B$234="Да",SUM('08_ФОТ'!AP7:AP9,'19_Расчет_аналитики'!AP4696),0)</f>
        <v/>
      </c>
      <c r="AQ4697">
        <f>IF('01_Вводные'!$B$234="Да",SUM('08_ФОТ'!AQ7:AQ9,'19_Расчет_аналитики'!AQ4696),0)</f>
        <v/>
      </c>
      <c r="AR4697">
        <f>IF('01_Вводные'!$B$234="Да",SUM('08_ФОТ'!AR7:AR9,'19_Расчет_аналитики'!AR4696),0)</f>
        <v/>
      </c>
      <c r="AS4697">
        <f>IF('01_Вводные'!$B$234="Да",SUM('08_ФОТ'!AS7:AS9,'19_Расчет_аналитики'!AS4696),0)</f>
        <v/>
      </c>
      <c r="AT4697">
        <f>IF('01_Вводные'!$B$234="Да",SUM('08_ФОТ'!AT7:AT9,'19_Расчет_аналитики'!AT4696),0)</f>
        <v/>
      </c>
      <c r="AU4697">
        <f>IF('01_Вводные'!$B$234="Да",SUM('08_ФОТ'!AU7:AU9,'19_Расчет_аналитики'!AU4696),0)</f>
        <v/>
      </c>
      <c r="AV4697">
        <f>IF('01_Вводные'!$B$234="Да",SUM('08_ФОТ'!AV7:AV9,'19_Расчет_аналитики'!AV4696),0)</f>
        <v/>
      </c>
      <c r="AW4697">
        <f>IF('01_Вводные'!$B$234="Да",SUM('08_ФОТ'!AW7:AW9,'19_Расчет_аналитики'!AW4696),0)</f>
        <v/>
      </c>
      <c r="AX4697">
        <f>IF('01_Вводные'!$B$234="Да",SUM('08_ФОТ'!AX7:AX9,'19_Расчет_аналитики'!AX4696),0)</f>
        <v/>
      </c>
      <c r="AY4697">
        <f>IF('01_Вводные'!$B$234="Да",SUM('08_ФОТ'!AY7:AY9,'19_Расчет_аналитики'!AY4696),0)</f>
        <v/>
      </c>
      <c r="AZ4697">
        <f>IF('01_Вводные'!$B$234="Да",SUM('08_ФОТ'!AZ7:AZ9,'19_Расчет_аналитики'!AZ4696),0)</f>
        <v/>
      </c>
      <c r="BA4697">
        <f>IF('01_Вводные'!$B$234="Да",SUM('08_ФОТ'!BA7:BA9,'19_Расчет_аналитики'!BA4696),0)</f>
        <v/>
      </c>
      <c r="BB4697">
        <f>IF('01_Вводные'!$B$234="Да",SUM('08_ФОТ'!BB7:BB9,'19_Расчет_аналитики'!BB4696),0)</f>
        <v/>
      </c>
      <c r="BC4697">
        <f>IF('01_Вводные'!$B$234="Да",SUM('08_ФОТ'!BC7:BC9,'19_Расчет_аналитики'!BC4696),0)</f>
        <v/>
      </c>
      <c r="BD4697">
        <f>IF('01_Вводные'!$B$234="Да",SUM('08_ФОТ'!BD7:BD9,'19_Расчет_аналитики'!BD4696),0)</f>
        <v/>
      </c>
      <c r="BE4697">
        <f>IF('01_Вводные'!$B$234="Да",SUM('08_ФОТ'!BE7:BE9,'19_Расчет_аналитики'!BE4696),0)</f>
        <v/>
      </c>
      <c r="BF4697">
        <f>IF('01_Вводные'!$B$234="Да",SUM('08_ФОТ'!BF7:BF9,'19_Расчет_аналитики'!BF4696),0)</f>
        <v/>
      </c>
      <c r="BG4697">
        <f>IF('01_Вводные'!$B$234="Да",SUM('08_ФОТ'!BG7:BG9,'19_Расчет_аналитики'!BG4696),0)</f>
        <v/>
      </c>
      <c r="BH4697">
        <f>IF('01_Вводные'!$B$234="Да",SUM('08_ФОТ'!BH7:BH9,'19_Расчет_аналитики'!BH4696),0)</f>
        <v/>
      </c>
      <c r="BI4697">
        <f>IF('01_Вводные'!$B$234="Да",SUM('08_ФОТ'!BI7:BI9,'19_Расчет_аналитики'!BI4696),0)</f>
        <v/>
      </c>
    </row>
    <row r="4698">
      <c r="C4698">
        <f>IF('01_Вводные'!$B$234="Да",'19_Расчет_аналитики'!C4697*'01_Вводные'!$B$131,0)</f>
        <v/>
      </c>
      <c r="D4698">
        <f>IF('01_Вводные'!$B$234="Да",'19_Расчет_аналитики'!D4697*'01_Вводные'!$B$131,0)</f>
        <v/>
      </c>
      <c r="E4698">
        <f>IF('01_Вводные'!$B$234="Да",'19_Расчет_аналитики'!E4697*'01_Вводные'!$B$131,0)</f>
        <v/>
      </c>
      <c r="F4698">
        <f>IF('01_Вводные'!$B$234="Да",'19_Расчет_аналитики'!F4697*'01_Вводные'!$B$131,0)</f>
        <v/>
      </c>
      <c r="G4698">
        <f>IF('01_Вводные'!$B$234="Да",'19_Расчет_аналитики'!G4697*'01_Вводные'!$B$131,0)</f>
        <v/>
      </c>
      <c r="H4698">
        <f>IF('01_Вводные'!$B$234="Да",'19_Расчет_аналитики'!H4697*'01_Вводные'!$B$131,0)</f>
        <v/>
      </c>
      <c r="I4698">
        <f>IF('01_Вводные'!$B$234="Да",'19_Расчет_аналитики'!I4697*'01_Вводные'!$B$131,0)</f>
        <v/>
      </c>
      <c r="J4698">
        <f>IF('01_Вводные'!$B$234="Да",'19_Расчет_аналитики'!J4697*'01_Вводные'!$B$131,0)</f>
        <v/>
      </c>
      <c r="K4698">
        <f>IF('01_Вводные'!$B$234="Да",'19_Расчет_аналитики'!K4697*'01_Вводные'!$B$131,0)</f>
        <v/>
      </c>
      <c r="L4698">
        <f>IF('01_Вводные'!$B$234="Да",'19_Расчет_аналитики'!L4697*'01_Вводные'!$B$131,0)</f>
        <v/>
      </c>
      <c r="M4698">
        <f>IF('01_Вводные'!$B$234="Да",'19_Расчет_аналитики'!M4697*'01_Вводные'!$B$131,0)</f>
        <v/>
      </c>
      <c r="N4698">
        <f>IF('01_Вводные'!$B$234="Да",'19_Расчет_аналитики'!N4697*'01_Вводные'!$B$131,0)</f>
        <v/>
      </c>
      <c r="O4698">
        <f>IF('01_Вводные'!$B$234="Да",'19_Расчет_аналитики'!O4697*'01_Вводные'!$B$131,0)</f>
        <v/>
      </c>
      <c r="P4698">
        <f>IF('01_Вводные'!$B$234="Да",'19_Расчет_аналитики'!P4697*'01_Вводные'!$B$131,0)</f>
        <v/>
      </c>
      <c r="Q4698">
        <f>IF('01_Вводные'!$B$234="Да",'19_Расчет_аналитики'!Q4697*'01_Вводные'!$B$131,0)</f>
        <v/>
      </c>
      <c r="R4698">
        <f>IF('01_Вводные'!$B$234="Да",'19_Расчет_аналитики'!R4697*'01_Вводные'!$B$131,0)</f>
        <v/>
      </c>
      <c r="S4698">
        <f>IF('01_Вводные'!$B$234="Да",'19_Расчет_аналитики'!S4697*'01_Вводные'!$B$131,0)</f>
        <v/>
      </c>
      <c r="T4698">
        <f>IF('01_Вводные'!$B$234="Да",'19_Расчет_аналитики'!T4697*'01_Вводные'!$B$131,0)</f>
        <v/>
      </c>
      <c r="U4698">
        <f>IF('01_Вводные'!$B$234="Да",'19_Расчет_аналитики'!U4697*'01_Вводные'!$B$131,0)</f>
        <v/>
      </c>
      <c r="V4698">
        <f>IF('01_Вводные'!$B$234="Да",'19_Расчет_аналитики'!V4697*'01_Вводные'!$B$131,0)</f>
        <v/>
      </c>
      <c r="W4698">
        <f>IF('01_Вводные'!$B$234="Да",'19_Расчет_аналитики'!W4697*'01_Вводные'!$B$131,0)</f>
        <v/>
      </c>
      <c r="X4698">
        <f>IF('01_Вводные'!$B$234="Да",'19_Расчет_аналитики'!X4697*'01_Вводные'!$B$131,0)</f>
        <v/>
      </c>
      <c r="Y4698">
        <f>IF('01_Вводные'!$B$234="Да",'19_Расчет_аналитики'!Y4697*'01_Вводные'!$B$131,0)</f>
        <v/>
      </c>
      <c r="Z4698">
        <f>IF('01_Вводные'!$B$234="Да",'19_Расчет_аналитики'!Z4697*'01_Вводные'!$B$131,0)</f>
        <v/>
      </c>
      <c r="AA4698">
        <f>IF('01_Вводные'!$B$234="Да",'19_Расчет_аналитики'!AA4697*'01_Вводные'!$B$131,0)</f>
        <v/>
      </c>
      <c r="AB4698">
        <f>IF('01_Вводные'!$B$234="Да",'19_Расчет_аналитики'!AB4697*'01_Вводные'!$B$131,0)</f>
        <v/>
      </c>
      <c r="AC4698">
        <f>IF('01_Вводные'!$B$234="Да",'19_Расчет_аналитики'!AC4697*'01_Вводные'!$B$131,0)</f>
        <v/>
      </c>
      <c r="AD4698">
        <f>IF('01_Вводные'!$B$234="Да",'19_Расчет_аналитики'!AD4697*'01_Вводные'!$B$131,0)</f>
        <v/>
      </c>
      <c r="AE4698">
        <f>IF('01_Вводные'!$B$234="Да",'19_Расчет_аналитики'!AE4697*'01_Вводные'!$B$131,0)</f>
        <v/>
      </c>
      <c r="AF4698">
        <f>IF('01_Вводные'!$B$234="Да",'19_Расчет_аналитики'!AF4697*'01_Вводные'!$B$131,0)</f>
        <v/>
      </c>
      <c r="AG4698">
        <f>IF('01_Вводные'!$B$234="Да",'19_Расчет_аналитики'!AG4697*'01_Вводные'!$B$131,0)</f>
        <v/>
      </c>
      <c r="AH4698">
        <f>IF('01_Вводные'!$B$234="Да",'19_Расчет_аналитики'!AH4697*'01_Вводные'!$B$131,0)</f>
        <v/>
      </c>
      <c r="AI4698">
        <f>IF('01_Вводные'!$B$234="Да",'19_Расчет_аналитики'!AI4697*'01_Вводные'!$B$131,0)</f>
        <v/>
      </c>
      <c r="AJ4698">
        <f>IF('01_Вводные'!$B$234="Да",'19_Расчет_аналитики'!AJ4697*'01_Вводные'!$B$131,0)</f>
        <v/>
      </c>
      <c r="AK4698">
        <f>IF('01_Вводные'!$B$234="Да",'19_Расчет_аналитики'!AK4697*'01_Вводные'!$B$131,0)</f>
        <v/>
      </c>
      <c r="AL4698">
        <f>IF('01_Вводные'!$B$234="Да",'19_Расчет_аналитики'!AL4697*'01_Вводные'!$B$131,0)</f>
        <v/>
      </c>
      <c r="AM4698">
        <f>IF('01_Вводные'!$B$234="Да",'19_Расчет_аналитики'!AM4697*'01_Вводные'!$B$131,0)</f>
        <v/>
      </c>
      <c r="AN4698">
        <f>IF('01_Вводные'!$B$234="Да",'19_Расчет_аналитики'!AN4697*'01_Вводные'!$B$131,0)</f>
        <v/>
      </c>
      <c r="AO4698">
        <f>IF('01_Вводные'!$B$234="Да",'19_Расчет_аналитики'!AO4697*'01_Вводные'!$B$131,0)</f>
        <v/>
      </c>
      <c r="AP4698">
        <f>IF('01_Вводные'!$B$234="Да",'19_Расчет_аналитики'!AP4697*'01_Вводные'!$B$131,0)</f>
        <v/>
      </c>
      <c r="AQ4698">
        <f>IF('01_Вводные'!$B$234="Да",'19_Расчет_аналитики'!AQ4697*'01_Вводные'!$B$131,0)</f>
        <v/>
      </c>
      <c r="AR4698">
        <f>IF('01_Вводные'!$B$234="Да",'19_Расчет_аналитики'!AR4697*'01_Вводные'!$B$131,0)</f>
        <v/>
      </c>
      <c r="AS4698">
        <f>IF('01_Вводные'!$B$234="Да",'19_Расчет_аналитики'!AS4697*'01_Вводные'!$B$131,0)</f>
        <v/>
      </c>
      <c r="AT4698">
        <f>IF('01_Вводные'!$B$234="Да",'19_Расчет_аналитики'!AT4697*'01_Вводные'!$B$131,0)</f>
        <v/>
      </c>
      <c r="AU4698">
        <f>IF('01_Вводные'!$B$234="Да",'19_Расчет_аналитики'!AU4697*'01_Вводные'!$B$131,0)</f>
        <v/>
      </c>
      <c r="AV4698">
        <f>IF('01_Вводные'!$B$234="Да",'19_Расчет_аналитики'!AV4697*'01_Вводные'!$B$131,0)</f>
        <v/>
      </c>
      <c r="AW4698">
        <f>IF('01_Вводные'!$B$234="Да",'19_Расчет_аналитики'!AW4697*'01_Вводные'!$B$131,0)</f>
        <v/>
      </c>
      <c r="AX4698">
        <f>IF('01_Вводные'!$B$234="Да",'19_Расчет_аналитики'!AX4697*'01_Вводные'!$B$131,0)</f>
        <v/>
      </c>
      <c r="AY4698">
        <f>IF('01_Вводные'!$B$234="Да",'19_Расчет_аналитики'!AY4697*'01_Вводные'!$B$131,0)</f>
        <v/>
      </c>
      <c r="AZ4698">
        <f>IF('01_Вводные'!$B$234="Да",'19_Расчет_аналитики'!AZ4697*'01_Вводные'!$B$131,0)</f>
        <v/>
      </c>
      <c r="BA4698">
        <f>IF('01_Вводные'!$B$234="Да",'19_Расчет_аналитики'!BA4697*'01_Вводные'!$B$131,0)</f>
        <v/>
      </c>
      <c r="BB4698">
        <f>IF('01_Вводные'!$B$234="Да",'19_Расчет_аналитики'!BB4697*'01_Вводные'!$B$131,0)</f>
        <v/>
      </c>
      <c r="BC4698">
        <f>IF('01_Вводные'!$B$234="Да",'19_Расчет_аналитики'!BC4697*'01_Вводные'!$B$131,0)</f>
        <v/>
      </c>
      <c r="BD4698">
        <f>IF('01_Вводные'!$B$234="Да",'19_Расчет_аналитики'!BD4697*'01_Вводные'!$B$131,0)</f>
        <v/>
      </c>
      <c r="BE4698">
        <f>IF('01_Вводные'!$B$234="Да",'19_Расчет_аналитики'!BE4697*'01_Вводные'!$B$131,0)</f>
        <v/>
      </c>
      <c r="BF4698">
        <f>IF('01_Вводные'!$B$234="Да",'19_Расчет_аналитики'!BF4697*'01_Вводные'!$B$131,0)</f>
        <v/>
      </c>
      <c r="BG4698">
        <f>IF('01_Вводные'!$B$234="Да",'19_Расчет_аналитики'!BG4697*'01_Вводные'!$B$131,0)</f>
        <v/>
      </c>
      <c r="BH4698">
        <f>IF('01_Вводные'!$B$234="Да",'19_Расчет_аналитики'!BH4697*'01_Вводные'!$B$131,0)</f>
        <v/>
      </c>
      <c r="BI4698">
        <f>IF('01_Вводные'!$B$234="Да",'19_Расчет_аналитики'!BI4697*'01_Вводные'!$B$131,0)</f>
        <v/>
      </c>
    </row>
    <row r="4699"/>
    <row r="4700">
      <c r="C4700">
        <f>IF('01_Вводные'!$B$234="Да",('01_Вводные'!$B$118+'19_Расчет_аналитики'!C4695+1)*IF('08_ФОТ'!C$3&lt;'01_Вводные'!$B$250,'01_Вводные'!$B$123,'01_Вводные'!$B$124)/'01_Вводные'!$B$132,0)</f>
        <v/>
      </c>
      <c r="D4700">
        <f>IF('01_Вводные'!$B$234="Да",('01_Вводные'!$B$118+'19_Расчет_аналитики'!D4695+1)*IF('08_ФОТ'!D$3&lt;'01_Вводные'!$B$250,'01_Вводные'!$B$123,'01_Вводные'!$B$124)/'01_Вводные'!$B$132,0)</f>
        <v/>
      </c>
      <c r="E4700">
        <f>IF('01_Вводные'!$B$234="Да",('01_Вводные'!$B$118+'19_Расчет_аналитики'!E4695+1)*IF('08_ФОТ'!E$3&lt;'01_Вводные'!$B$250,'01_Вводные'!$B$123,'01_Вводные'!$B$124)/'01_Вводные'!$B$132,0)</f>
        <v/>
      </c>
      <c r="F4700">
        <f>IF('01_Вводные'!$B$234="Да",('01_Вводные'!$B$118+'19_Расчет_аналитики'!F4695+1)*IF('08_ФОТ'!F$3&lt;'01_Вводные'!$B$250,'01_Вводные'!$B$123,'01_Вводные'!$B$124)/'01_Вводные'!$B$132,0)</f>
        <v/>
      </c>
      <c r="G4700">
        <f>IF('01_Вводные'!$B$234="Да",('01_Вводные'!$B$118+'19_Расчет_аналитики'!G4695+1)*IF('08_ФОТ'!G$3&lt;'01_Вводные'!$B$250,'01_Вводные'!$B$123,'01_Вводные'!$B$124)/'01_Вводные'!$B$132,0)</f>
        <v/>
      </c>
      <c r="H4700">
        <f>IF('01_Вводные'!$B$234="Да",('01_Вводные'!$B$118+'19_Расчет_аналитики'!H4695+1)*IF('08_ФОТ'!H$3&lt;'01_Вводные'!$B$250,'01_Вводные'!$B$123,'01_Вводные'!$B$124)/'01_Вводные'!$B$132,0)</f>
        <v/>
      </c>
      <c r="I4700">
        <f>IF('01_Вводные'!$B$234="Да",('01_Вводные'!$B$118+'19_Расчет_аналитики'!I4695+1)*IF('08_ФОТ'!I$3&lt;'01_Вводные'!$B$250,'01_Вводные'!$B$123,'01_Вводные'!$B$124)/'01_Вводные'!$B$132,0)</f>
        <v/>
      </c>
      <c r="J4700">
        <f>IF('01_Вводные'!$B$234="Да",('01_Вводные'!$B$118+'19_Расчет_аналитики'!J4695+1)*IF('08_ФОТ'!J$3&lt;'01_Вводные'!$B$250,'01_Вводные'!$B$123,'01_Вводные'!$B$124)/'01_Вводные'!$B$132,0)</f>
        <v/>
      </c>
      <c r="K4700">
        <f>IF('01_Вводные'!$B$234="Да",('01_Вводные'!$B$118+'19_Расчет_аналитики'!K4695+1)*IF('08_ФОТ'!K$3&lt;'01_Вводные'!$B$250,'01_Вводные'!$B$123,'01_Вводные'!$B$124)/'01_Вводные'!$B$132,0)</f>
        <v/>
      </c>
      <c r="L4700">
        <f>IF('01_Вводные'!$B$234="Да",('01_Вводные'!$B$118+'19_Расчет_аналитики'!L4695+1)*IF('08_ФОТ'!L$3&lt;'01_Вводные'!$B$250,'01_Вводные'!$B$123,'01_Вводные'!$B$124)/'01_Вводные'!$B$132,0)</f>
        <v/>
      </c>
      <c r="M4700">
        <f>IF('01_Вводные'!$B$234="Да",('01_Вводные'!$B$118+'19_Расчет_аналитики'!M4695+1)*IF('08_ФОТ'!M$3&lt;'01_Вводные'!$B$250,'01_Вводные'!$B$123,'01_Вводные'!$B$124)/'01_Вводные'!$B$132,0)</f>
        <v/>
      </c>
      <c r="N4700">
        <f>IF('01_Вводные'!$B$234="Да",('01_Вводные'!$B$118+'19_Расчет_аналитики'!N4695+1)*IF('08_ФОТ'!N$3&lt;'01_Вводные'!$B$250,'01_Вводные'!$B$123,'01_Вводные'!$B$124)/'01_Вводные'!$B$132,0)</f>
        <v/>
      </c>
      <c r="O4700">
        <f>IF('01_Вводные'!$B$234="Да",('01_Вводные'!$B$118+'19_Расчет_аналитики'!O4695+1)*IF('08_ФОТ'!O$3&lt;'01_Вводные'!$B$250,'01_Вводные'!$B$123,'01_Вводные'!$B$124)/'01_Вводные'!$B$132,0)</f>
        <v/>
      </c>
      <c r="P4700">
        <f>IF('01_Вводные'!$B$234="Да",('01_Вводные'!$B$118+'19_Расчет_аналитики'!P4695+1)*IF('08_ФОТ'!P$3&lt;'01_Вводные'!$B$250,'01_Вводные'!$B$123,'01_Вводные'!$B$124)/'01_Вводные'!$B$132,0)</f>
        <v/>
      </c>
      <c r="Q4700">
        <f>IF('01_Вводные'!$B$234="Да",('01_Вводные'!$B$118+'19_Расчет_аналитики'!Q4695+1)*IF('08_ФОТ'!Q$3&lt;'01_Вводные'!$B$250,'01_Вводные'!$B$123,'01_Вводные'!$B$124)/'01_Вводные'!$B$132,0)</f>
        <v/>
      </c>
      <c r="R4700">
        <f>IF('01_Вводные'!$B$234="Да",('01_Вводные'!$B$118+'19_Расчет_аналитики'!R4695+1)*IF('08_ФОТ'!R$3&lt;'01_Вводные'!$B$250,'01_Вводные'!$B$123,'01_Вводные'!$B$124)/'01_Вводные'!$B$132,0)</f>
        <v/>
      </c>
      <c r="S4700">
        <f>IF('01_Вводные'!$B$234="Да",('01_Вводные'!$B$118+'19_Расчет_аналитики'!S4695+1)*IF('08_ФОТ'!S$3&lt;'01_Вводные'!$B$250,'01_Вводные'!$B$123,'01_Вводные'!$B$124)/'01_Вводные'!$B$132,0)</f>
        <v/>
      </c>
      <c r="T4700">
        <f>IF('01_Вводные'!$B$234="Да",('01_Вводные'!$B$118+'19_Расчет_аналитики'!T4695+1)*IF('08_ФОТ'!T$3&lt;'01_Вводные'!$B$250,'01_Вводные'!$B$123,'01_Вводные'!$B$124)/'01_Вводные'!$B$132,0)</f>
        <v/>
      </c>
      <c r="U4700">
        <f>IF('01_Вводные'!$B$234="Да",('01_Вводные'!$B$118+'19_Расчет_аналитики'!U4695+1)*IF('08_ФОТ'!U$3&lt;'01_Вводные'!$B$250,'01_Вводные'!$B$123,'01_Вводные'!$B$124)/'01_Вводные'!$B$132,0)</f>
        <v/>
      </c>
      <c r="V4700">
        <f>IF('01_Вводные'!$B$234="Да",('01_Вводные'!$B$118+'19_Расчет_аналитики'!V4695+1)*IF('08_ФОТ'!V$3&lt;'01_Вводные'!$B$250,'01_Вводные'!$B$123,'01_Вводные'!$B$124)/'01_Вводные'!$B$132,0)</f>
        <v/>
      </c>
      <c r="W4700">
        <f>IF('01_Вводные'!$B$234="Да",('01_Вводные'!$B$118+'19_Расчет_аналитики'!W4695+1)*IF('08_ФОТ'!W$3&lt;'01_Вводные'!$B$250,'01_Вводные'!$B$123,'01_Вводные'!$B$124)/'01_Вводные'!$B$132,0)</f>
        <v/>
      </c>
      <c r="X4700">
        <f>IF('01_Вводные'!$B$234="Да",('01_Вводные'!$B$118+'19_Расчет_аналитики'!X4695+1)*IF('08_ФОТ'!X$3&lt;'01_Вводные'!$B$250,'01_Вводные'!$B$123,'01_Вводные'!$B$124)/'01_Вводные'!$B$132,0)</f>
        <v/>
      </c>
      <c r="Y4700">
        <f>IF('01_Вводные'!$B$234="Да",('01_Вводные'!$B$118+'19_Расчет_аналитики'!Y4695+1)*IF('08_ФОТ'!Y$3&lt;'01_Вводные'!$B$250,'01_Вводные'!$B$123,'01_Вводные'!$B$124)/'01_Вводные'!$B$132,0)</f>
        <v/>
      </c>
      <c r="Z4700">
        <f>IF('01_Вводные'!$B$234="Да",('01_Вводные'!$B$118+'19_Расчет_аналитики'!Z4695+1)*IF('08_ФОТ'!Z$3&lt;'01_Вводные'!$B$250,'01_Вводные'!$B$123,'01_Вводные'!$B$124)/'01_Вводные'!$B$132,0)</f>
        <v/>
      </c>
      <c r="AA4700">
        <f>IF('01_Вводные'!$B$234="Да",('01_Вводные'!$B$118+'19_Расчет_аналитики'!AA4695+1)*IF('08_ФОТ'!AA$3&lt;'01_Вводные'!$B$250,'01_Вводные'!$B$123,'01_Вводные'!$B$124)/'01_Вводные'!$B$132,0)</f>
        <v/>
      </c>
      <c r="AB4700">
        <f>IF('01_Вводные'!$B$234="Да",('01_Вводные'!$B$118+'19_Расчет_аналитики'!AB4695+1)*IF('08_ФОТ'!AB$3&lt;'01_Вводные'!$B$250,'01_Вводные'!$B$123,'01_Вводные'!$B$124)/'01_Вводные'!$B$132,0)</f>
        <v/>
      </c>
      <c r="AC4700">
        <f>IF('01_Вводные'!$B$234="Да",('01_Вводные'!$B$118+'19_Расчет_аналитики'!AC4695+1)*IF('08_ФОТ'!AC$3&lt;'01_Вводные'!$B$250,'01_Вводные'!$B$123,'01_Вводные'!$B$124)/'01_Вводные'!$B$132,0)</f>
        <v/>
      </c>
      <c r="AD4700">
        <f>IF('01_Вводные'!$B$234="Да",('01_Вводные'!$B$118+'19_Расчет_аналитики'!AD4695+1)*IF('08_ФОТ'!AD$3&lt;'01_Вводные'!$B$250,'01_Вводные'!$B$123,'01_Вводные'!$B$124)/'01_Вводные'!$B$132,0)</f>
        <v/>
      </c>
      <c r="AE4700">
        <f>IF('01_Вводные'!$B$234="Да",('01_Вводные'!$B$118+'19_Расчет_аналитики'!AE4695+1)*IF('08_ФОТ'!AE$3&lt;'01_Вводные'!$B$250,'01_Вводные'!$B$123,'01_Вводные'!$B$124)/'01_Вводные'!$B$132,0)</f>
        <v/>
      </c>
      <c r="AF4700">
        <f>IF('01_Вводные'!$B$234="Да",('01_Вводные'!$B$118+'19_Расчет_аналитики'!AF4695+1)*IF('08_ФОТ'!AF$3&lt;'01_Вводные'!$B$250,'01_Вводные'!$B$123,'01_Вводные'!$B$124)/'01_Вводные'!$B$132,0)</f>
        <v/>
      </c>
      <c r="AG4700">
        <f>IF('01_Вводные'!$B$234="Да",('01_Вводные'!$B$118+'19_Расчет_аналитики'!AG4695+1)*IF('08_ФОТ'!AG$3&lt;'01_Вводные'!$B$250,'01_Вводные'!$B$123,'01_Вводные'!$B$124)/'01_Вводные'!$B$132,0)</f>
        <v/>
      </c>
      <c r="AH4700">
        <f>IF('01_Вводные'!$B$234="Да",('01_Вводные'!$B$118+'19_Расчет_аналитики'!AH4695+1)*IF('08_ФОТ'!AH$3&lt;'01_Вводные'!$B$250,'01_Вводные'!$B$123,'01_Вводные'!$B$124)/'01_Вводные'!$B$132,0)</f>
        <v/>
      </c>
      <c r="AI4700">
        <f>IF('01_Вводные'!$B$234="Да",('01_Вводные'!$B$118+'19_Расчет_аналитики'!AI4695+1)*IF('08_ФОТ'!AI$3&lt;'01_Вводные'!$B$250,'01_Вводные'!$B$123,'01_Вводные'!$B$124)/'01_Вводные'!$B$132,0)</f>
        <v/>
      </c>
      <c r="AJ4700">
        <f>IF('01_Вводные'!$B$234="Да",('01_Вводные'!$B$118+'19_Расчет_аналитики'!AJ4695+1)*IF('08_ФОТ'!AJ$3&lt;'01_Вводные'!$B$250,'01_Вводные'!$B$123,'01_Вводные'!$B$124)/'01_Вводные'!$B$132,0)</f>
        <v/>
      </c>
      <c r="AK4700">
        <f>IF('01_Вводные'!$B$234="Да",('01_Вводные'!$B$118+'19_Расчет_аналитики'!AK4695+1)*IF('08_ФОТ'!AK$3&lt;'01_Вводные'!$B$250,'01_Вводные'!$B$123,'01_Вводные'!$B$124)/'01_Вводные'!$B$132,0)</f>
        <v/>
      </c>
      <c r="AL4700">
        <f>IF('01_Вводные'!$B$234="Да",('01_Вводные'!$B$118+'19_Расчет_аналитики'!AL4695+1)*IF('08_ФОТ'!AL$3&lt;'01_Вводные'!$B$250,'01_Вводные'!$B$123,'01_Вводные'!$B$124)/'01_Вводные'!$B$132,0)</f>
        <v/>
      </c>
      <c r="AM4700">
        <f>IF('01_Вводные'!$B$234="Да",('01_Вводные'!$B$118+'19_Расчет_аналитики'!AM4695+1)*IF('08_ФОТ'!AM$3&lt;'01_Вводные'!$B$250,'01_Вводные'!$B$123,'01_Вводные'!$B$124)/'01_Вводные'!$B$132,0)</f>
        <v/>
      </c>
      <c r="AN4700">
        <f>IF('01_Вводные'!$B$234="Да",('01_Вводные'!$B$118+'19_Расчет_аналитики'!AN4695+1)*IF('08_ФОТ'!AN$3&lt;'01_Вводные'!$B$250,'01_Вводные'!$B$123,'01_Вводные'!$B$124)/'01_Вводные'!$B$132,0)</f>
        <v/>
      </c>
      <c r="AO4700">
        <f>IF('01_Вводные'!$B$234="Да",('01_Вводные'!$B$118+'19_Расчет_аналитики'!AO4695+1)*IF('08_ФОТ'!AO$3&lt;'01_Вводные'!$B$250,'01_Вводные'!$B$123,'01_Вводные'!$B$124)/'01_Вводные'!$B$132,0)</f>
        <v/>
      </c>
      <c r="AP4700">
        <f>IF('01_Вводные'!$B$234="Да",('01_Вводные'!$B$118+'19_Расчет_аналитики'!AP4695+1)*IF('08_ФОТ'!AP$3&lt;'01_Вводные'!$B$250,'01_Вводные'!$B$123,'01_Вводные'!$B$124)/'01_Вводные'!$B$132,0)</f>
        <v/>
      </c>
      <c r="AQ4700">
        <f>IF('01_Вводные'!$B$234="Да",('01_Вводные'!$B$118+'19_Расчет_аналитики'!AQ4695+1)*IF('08_ФОТ'!AQ$3&lt;'01_Вводные'!$B$250,'01_Вводные'!$B$123,'01_Вводные'!$B$124)/'01_Вводные'!$B$132,0)</f>
        <v/>
      </c>
      <c r="AR4700">
        <f>IF('01_Вводные'!$B$234="Да",('01_Вводные'!$B$118+'19_Расчет_аналитики'!AR4695+1)*IF('08_ФОТ'!AR$3&lt;'01_Вводные'!$B$250,'01_Вводные'!$B$123,'01_Вводные'!$B$124)/'01_Вводные'!$B$132,0)</f>
        <v/>
      </c>
      <c r="AS4700">
        <f>IF('01_Вводные'!$B$234="Да",('01_Вводные'!$B$118+'19_Расчет_аналитики'!AS4695+1)*IF('08_ФОТ'!AS$3&lt;'01_Вводные'!$B$250,'01_Вводные'!$B$123,'01_Вводные'!$B$124)/'01_Вводные'!$B$132,0)</f>
        <v/>
      </c>
      <c r="AT4700">
        <f>IF('01_Вводные'!$B$234="Да",('01_Вводные'!$B$118+'19_Расчет_аналитики'!AT4695+1)*IF('08_ФОТ'!AT$3&lt;'01_Вводные'!$B$250,'01_Вводные'!$B$123,'01_Вводные'!$B$124)/'01_Вводные'!$B$132,0)</f>
        <v/>
      </c>
      <c r="AU4700">
        <f>IF('01_Вводные'!$B$234="Да",('01_Вводные'!$B$118+'19_Расчет_аналитики'!AU4695+1)*IF('08_ФОТ'!AU$3&lt;'01_Вводные'!$B$250,'01_Вводные'!$B$123,'01_Вводные'!$B$124)/'01_Вводные'!$B$132,0)</f>
        <v/>
      </c>
      <c r="AV4700">
        <f>IF('01_Вводные'!$B$234="Да",('01_Вводные'!$B$118+'19_Расчет_аналитики'!AV4695+1)*IF('08_ФОТ'!AV$3&lt;'01_Вводные'!$B$250,'01_Вводные'!$B$123,'01_Вводные'!$B$124)/'01_Вводные'!$B$132,0)</f>
        <v/>
      </c>
      <c r="AW4700">
        <f>IF('01_Вводные'!$B$234="Да",('01_Вводные'!$B$118+'19_Расчет_аналитики'!AW4695+1)*IF('08_ФОТ'!AW$3&lt;'01_Вводные'!$B$250,'01_Вводные'!$B$123,'01_Вводные'!$B$124)/'01_Вводные'!$B$132,0)</f>
        <v/>
      </c>
      <c r="AX4700">
        <f>IF('01_Вводные'!$B$234="Да",('01_Вводные'!$B$118+'19_Расчет_аналитики'!AX4695+1)*IF('08_ФОТ'!AX$3&lt;'01_Вводные'!$B$250,'01_Вводные'!$B$123,'01_Вводные'!$B$124)/'01_Вводные'!$B$132,0)</f>
        <v/>
      </c>
      <c r="AY4700">
        <f>IF('01_Вводные'!$B$234="Да",('01_Вводные'!$B$118+'19_Расчет_аналитики'!AY4695+1)*IF('08_ФОТ'!AY$3&lt;'01_Вводные'!$B$250,'01_Вводные'!$B$123,'01_Вводные'!$B$124)/'01_Вводные'!$B$132,0)</f>
        <v/>
      </c>
      <c r="AZ4700">
        <f>IF('01_Вводные'!$B$234="Да",('01_Вводные'!$B$118+'19_Расчет_аналитики'!AZ4695+1)*IF('08_ФОТ'!AZ$3&lt;'01_Вводные'!$B$250,'01_Вводные'!$B$123,'01_Вводные'!$B$124)/'01_Вводные'!$B$132,0)</f>
        <v/>
      </c>
      <c r="BA4700">
        <f>IF('01_Вводные'!$B$234="Да",('01_Вводные'!$B$118+'19_Расчет_аналитики'!BA4695+1)*IF('08_ФОТ'!BA$3&lt;'01_Вводные'!$B$250,'01_Вводные'!$B$123,'01_Вводные'!$B$124)/'01_Вводные'!$B$132,0)</f>
        <v/>
      </c>
      <c r="BB4700">
        <f>IF('01_Вводные'!$B$234="Да",('01_Вводные'!$B$118+'19_Расчет_аналитики'!BB4695+1)*IF('08_ФОТ'!BB$3&lt;'01_Вводные'!$B$250,'01_Вводные'!$B$123,'01_Вводные'!$B$124)/'01_Вводные'!$B$132,0)</f>
        <v/>
      </c>
      <c r="BC4700">
        <f>IF('01_Вводные'!$B$234="Да",('01_Вводные'!$B$118+'19_Расчет_аналитики'!BC4695+1)*IF('08_ФОТ'!BC$3&lt;'01_Вводные'!$B$250,'01_Вводные'!$B$123,'01_Вводные'!$B$124)/'01_Вводные'!$B$132,0)</f>
        <v/>
      </c>
      <c r="BD4700">
        <f>IF('01_Вводные'!$B$234="Да",('01_Вводные'!$B$118+'19_Расчет_аналитики'!BD4695+1)*IF('08_ФОТ'!BD$3&lt;'01_Вводные'!$B$250,'01_Вводные'!$B$123,'01_Вводные'!$B$124)/'01_Вводные'!$B$132,0)</f>
        <v/>
      </c>
      <c r="BE4700">
        <f>IF('01_Вводные'!$B$234="Да",('01_Вводные'!$B$118+'19_Расчет_аналитики'!BE4695+1)*IF('08_ФОТ'!BE$3&lt;'01_Вводные'!$B$250,'01_Вводные'!$B$123,'01_Вводные'!$B$124)/'01_Вводные'!$B$132,0)</f>
        <v/>
      </c>
      <c r="BF4700">
        <f>IF('01_Вводные'!$B$234="Да",('01_Вводные'!$B$118+'19_Расчет_аналитики'!BF4695+1)*IF('08_ФОТ'!BF$3&lt;'01_Вводные'!$B$250,'01_Вводные'!$B$123,'01_Вводные'!$B$124)/'01_Вводные'!$B$132,0)</f>
        <v/>
      </c>
      <c r="BG4700">
        <f>IF('01_Вводные'!$B$234="Да",('01_Вводные'!$B$118+'19_Расчет_аналитики'!BG4695+1)*IF('08_ФОТ'!BG$3&lt;'01_Вводные'!$B$250,'01_Вводные'!$B$123,'01_Вводные'!$B$124)/'01_Вводные'!$B$132,0)</f>
        <v/>
      </c>
      <c r="BH4700">
        <f>IF('01_Вводные'!$B$234="Да",('01_Вводные'!$B$118+'19_Расчет_аналитики'!BH4695+1)*IF('08_ФОТ'!BH$3&lt;'01_Вводные'!$B$250,'01_Вводные'!$B$123,'01_Вводные'!$B$124)/'01_Вводные'!$B$132,0)</f>
        <v/>
      </c>
      <c r="BI4700">
        <f>IF('01_Вводные'!$B$234="Да",('01_Вводные'!$B$118+'19_Расчет_аналитики'!BI4695+1)*IF('08_ФОТ'!BI$3&lt;'01_Вводные'!$B$250,'01_Вводные'!$B$123,'01_Вводные'!$B$124)/'01_Вводные'!$B$132,0)</f>
        <v/>
      </c>
    </row>
    <row r="4701">
      <c r="C4701">
        <f>IF('01_Вводные'!$B$234="Да",'19_Расчет_аналитики'!C4700*'01_Вводные'!$B$131,0)</f>
        <v/>
      </c>
      <c r="D4701">
        <f>IF('01_Вводные'!$B$234="Да",'19_Расчет_аналитики'!D4700*'01_Вводные'!$B$131,0)</f>
        <v/>
      </c>
      <c r="E4701">
        <f>IF('01_Вводные'!$B$234="Да",'19_Расчет_аналитики'!E4700*'01_Вводные'!$B$131,0)</f>
        <v/>
      </c>
      <c r="F4701">
        <f>IF('01_Вводные'!$B$234="Да",'19_Расчет_аналитики'!F4700*'01_Вводные'!$B$131,0)</f>
        <v/>
      </c>
      <c r="G4701">
        <f>IF('01_Вводные'!$B$234="Да",'19_Расчет_аналитики'!G4700*'01_Вводные'!$B$131,0)</f>
        <v/>
      </c>
      <c r="H4701">
        <f>IF('01_Вводные'!$B$234="Да",'19_Расчет_аналитики'!H4700*'01_Вводные'!$B$131,0)</f>
        <v/>
      </c>
      <c r="I4701">
        <f>IF('01_Вводные'!$B$234="Да",'19_Расчет_аналитики'!I4700*'01_Вводные'!$B$131,0)</f>
        <v/>
      </c>
      <c r="J4701">
        <f>IF('01_Вводные'!$B$234="Да",'19_Расчет_аналитики'!J4700*'01_Вводные'!$B$131,0)</f>
        <v/>
      </c>
      <c r="K4701">
        <f>IF('01_Вводные'!$B$234="Да",'19_Расчет_аналитики'!K4700*'01_Вводные'!$B$131,0)</f>
        <v/>
      </c>
      <c r="L4701">
        <f>IF('01_Вводные'!$B$234="Да",'19_Расчет_аналитики'!L4700*'01_Вводные'!$B$131,0)</f>
        <v/>
      </c>
      <c r="M4701">
        <f>IF('01_Вводные'!$B$234="Да",'19_Расчет_аналитики'!M4700*'01_Вводные'!$B$131,0)</f>
        <v/>
      </c>
      <c r="N4701">
        <f>IF('01_Вводные'!$B$234="Да",'19_Расчет_аналитики'!N4700*'01_Вводные'!$B$131,0)</f>
        <v/>
      </c>
      <c r="O4701">
        <f>IF('01_Вводные'!$B$234="Да",'19_Расчет_аналитики'!O4700*'01_Вводные'!$B$131,0)</f>
        <v/>
      </c>
      <c r="P4701">
        <f>IF('01_Вводные'!$B$234="Да",'19_Расчет_аналитики'!P4700*'01_Вводные'!$B$131,0)</f>
        <v/>
      </c>
      <c r="Q4701">
        <f>IF('01_Вводные'!$B$234="Да",'19_Расчет_аналитики'!Q4700*'01_Вводные'!$B$131,0)</f>
        <v/>
      </c>
      <c r="R4701">
        <f>IF('01_Вводные'!$B$234="Да",'19_Расчет_аналитики'!R4700*'01_Вводные'!$B$131,0)</f>
        <v/>
      </c>
      <c r="S4701">
        <f>IF('01_Вводные'!$B$234="Да",'19_Расчет_аналитики'!S4700*'01_Вводные'!$B$131,0)</f>
        <v/>
      </c>
      <c r="T4701">
        <f>IF('01_Вводные'!$B$234="Да",'19_Расчет_аналитики'!T4700*'01_Вводные'!$B$131,0)</f>
        <v/>
      </c>
      <c r="U4701">
        <f>IF('01_Вводные'!$B$234="Да",'19_Расчет_аналитики'!U4700*'01_Вводные'!$B$131,0)</f>
        <v/>
      </c>
      <c r="V4701">
        <f>IF('01_Вводные'!$B$234="Да",'19_Расчет_аналитики'!V4700*'01_Вводные'!$B$131,0)</f>
        <v/>
      </c>
      <c r="W4701">
        <f>IF('01_Вводные'!$B$234="Да",'19_Расчет_аналитики'!W4700*'01_Вводные'!$B$131,0)</f>
        <v/>
      </c>
      <c r="X4701">
        <f>IF('01_Вводные'!$B$234="Да",'19_Расчет_аналитики'!X4700*'01_Вводные'!$B$131,0)</f>
        <v/>
      </c>
      <c r="Y4701">
        <f>IF('01_Вводные'!$B$234="Да",'19_Расчет_аналитики'!Y4700*'01_Вводные'!$B$131,0)</f>
        <v/>
      </c>
      <c r="Z4701">
        <f>IF('01_Вводные'!$B$234="Да",'19_Расчет_аналитики'!Z4700*'01_Вводные'!$B$131,0)</f>
        <v/>
      </c>
      <c r="AA4701">
        <f>IF('01_Вводные'!$B$234="Да",'19_Расчет_аналитики'!AA4700*'01_Вводные'!$B$131,0)</f>
        <v/>
      </c>
      <c r="AB4701">
        <f>IF('01_Вводные'!$B$234="Да",'19_Расчет_аналитики'!AB4700*'01_Вводные'!$B$131,0)</f>
        <v/>
      </c>
      <c r="AC4701">
        <f>IF('01_Вводные'!$B$234="Да",'19_Расчет_аналитики'!AC4700*'01_Вводные'!$B$131,0)</f>
        <v/>
      </c>
      <c r="AD4701">
        <f>IF('01_Вводные'!$B$234="Да",'19_Расчет_аналитики'!AD4700*'01_Вводные'!$B$131,0)</f>
        <v/>
      </c>
      <c r="AE4701">
        <f>IF('01_Вводные'!$B$234="Да",'19_Расчет_аналитики'!AE4700*'01_Вводные'!$B$131,0)</f>
        <v/>
      </c>
      <c r="AF4701">
        <f>IF('01_Вводные'!$B$234="Да",'19_Расчет_аналитики'!AF4700*'01_Вводные'!$B$131,0)</f>
        <v/>
      </c>
      <c r="AG4701">
        <f>IF('01_Вводные'!$B$234="Да",'19_Расчет_аналитики'!AG4700*'01_Вводные'!$B$131,0)</f>
        <v/>
      </c>
      <c r="AH4701">
        <f>IF('01_Вводные'!$B$234="Да",'19_Расчет_аналитики'!AH4700*'01_Вводные'!$B$131,0)</f>
        <v/>
      </c>
      <c r="AI4701">
        <f>IF('01_Вводные'!$B$234="Да",'19_Расчет_аналитики'!AI4700*'01_Вводные'!$B$131,0)</f>
        <v/>
      </c>
      <c r="AJ4701">
        <f>IF('01_Вводные'!$B$234="Да",'19_Расчет_аналитики'!AJ4700*'01_Вводные'!$B$131,0)</f>
        <v/>
      </c>
      <c r="AK4701">
        <f>IF('01_Вводные'!$B$234="Да",'19_Расчет_аналитики'!AK4700*'01_Вводные'!$B$131,0)</f>
        <v/>
      </c>
      <c r="AL4701">
        <f>IF('01_Вводные'!$B$234="Да",'19_Расчет_аналитики'!AL4700*'01_Вводные'!$B$131,0)</f>
        <v/>
      </c>
      <c r="AM4701">
        <f>IF('01_Вводные'!$B$234="Да",'19_Расчет_аналитики'!AM4700*'01_Вводные'!$B$131,0)</f>
        <v/>
      </c>
      <c r="AN4701">
        <f>IF('01_Вводные'!$B$234="Да",'19_Расчет_аналитики'!AN4700*'01_Вводные'!$B$131,0)</f>
        <v/>
      </c>
      <c r="AO4701">
        <f>IF('01_Вводные'!$B$234="Да",'19_Расчет_аналитики'!AO4700*'01_Вводные'!$B$131,0)</f>
        <v/>
      </c>
      <c r="AP4701">
        <f>IF('01_Вводные'!$B$234="Да",'19_Расчет_аналитики'!AP4700*'01_Вводные'!$B$131,0)</f>
        <v/>
      </c>
      <c r="AQ4701">
        <f>IF('01_Вводные'!$B$234="Да",'19_Расчет_аналитики'!AQ4700*'01_Вводные'!$B$131,0)</f>
        <v/>
      </c>
      <c r="AR4701">
        <f>IF('01_Вводные'!$B$234="Да",'19_Расчет_аналитики'!AR4700*'01_Вводные'!$B$131,0)</f>
        <v/>
      </c>
      <c r="AS4701">
        <f>IF('01_Вводные'!$B$234="Да",'19_Расчет_аналитики'!AS4700*'01_Вводные'!$B$131,0)</f>
        <v/>
      </c>
      <c r="AT4701">
        <f>IF('01_Вводные'!$B$234="Да",'19_Расчет_аналитики'!AT4700*'01_Вводные'!$B$131,0)</f>
        <v/>
      </c>
      <c r="AU4701">
        <f>IF('01_Вводные'!$B$234="Да",'19_Расчет_аналитики'!AU4700*'01_Вводные'!$B$131,0)</f>
        <v/>
      </c>
      <c r="AV4701">
        <f>IF('01_Вводные'!$B$234="Да",'19_Расчет_аналитики'!AV4700*'01_Вводные'!$B$131,0)</f>
        <v/>
      </c>
      <c r="AW4701">
        <f>IF('01_Вводные'!$B$234="Да",'19_Расчет_аналитики'!AW4700*'01_Вводные'!$B$131,0)</f>
        <v/>
      </c>
      <c r="AX4701">
        <f>IF('01_Вводные'!$B$234="Да",'19_Расчет_аналитики'!AX4700*'01_Вводные'!$B$131,0)</f>
        <v/>
      </c>
      <c r="AY4701">
        <f>IF('01_Вводные'!$B$234="Да",'19_Расчет_аналитики'!AY4700*'01_Вводные'!$B$131,0)</f>
        <v/>
      </c>
      <c r="AZ4701">
        <f>IF('01_Вводные'!$B$234="Да",'19_Расчет_аналитики'!AZ4700*'01_Вводные'!$B$131,0)</f>
        <v/>
      </c>
      <c r="BA4701">
        <f>IF('01_Вводные'!$B$234="Да",'19_Расчет_аналитики'!BA4700*'01_Вводные'!$B$131,0)</f>
        <v/>
      </c>
      <c r="BB4701">
        <f>IF('01_Вводные'!$B$234="Да",'19_Расчет_аналитики'!BB4700*'01_Вводные'!$B$131,0)</f>
        <v/>
      </c>
      <c r="BC4701">
        <f>IF('01_Вводные'!$B$234="Да",'19_Расчет_аналитики'!BC4700*'01_Вводные'!$B$131,0)</f>
        <v/>
      </c>
      <c r="BD4701">
        <f>IF('01_Вводные'!$B$234="Да",'19_Расчет_аналитики'!BD4700*'01_Вводные'!$B$131,0)</f>
        <v/>
      </c>
      <c r="BE4701">
        <f>IF('01_Вводные'!$B$234="Да",'19_Расчет_аналитики'!BE4700*'01_Вводные'!$B$131,0)</f>
        <v/>
      </c>
      <c r="BF4701">
        <f>IF('01_Вводные'!$B$234="Да",'19_Расчет_аналитики'!BF4700*'01_Вводные'!$B$131,0)</f>
        <v/>
      </c>
      <c r="BG4701">
        <f>IF('01_Вводные'!$B$234="Да",'19_Расчет_аналитики'!BG4700*'01_Вводные'!$B$131,0)</f>
        <v/>
      </c>
      <c r="BH4701">
        <f>IF('01_Вводные'!$B$234="Да",'19_Расчет_аналитики'!BH4700*'01_Вводные'!$B$131,0)</f>
        <v/>
      </c>
      <c r="BI4701">
        <f>IF('01_Вводные'!$B$234="Да",'19_Расчет_аналитики'!BI4700*'01_Вводные'!$B$131,0)</f>
        <v/>
      </c>
    </row>
    <row r="4702">
      <c r="C4702">
        <f>IF('01_Вводные'!$B$234="Да",IF('19_Расчет_аналитики'!C4386&gt;=2,'19_Расчет_аналитики'!C4397*'01_Вводные'!$B$125/(1+'01_Вводные'!$B$131),0),0)</f>
        <v/>
      </c>
      <c r="D4702">
        <f>IF('01_Вводные'!$B$234="Да",IF('19_Расчет_аналитики'!D4386&gt;=2,'19_Расчет_аналитики'!D4397*'01_Вводные'!$B$125/(1+'01_Вводные'!$B$131),0),0)</f>
        <v/>
      </c>
      <c r="E4702">
        <f>IF('01_Вводные'!$B$234="Да",IF('19_Расчет_аналитики'!E4386&gt;=2,'19_Расчет_аналитики'!E4397*'01_Вводные'!$B$125/(1+'01_Вводные'!$B$131),0),0)</f>
        <v/>
      </c>
      <c r="F4702">
        <f>IF('01_Вводные'!$B$234="Да",IF('19_Расчет_аналитики'!F4386&gt;=2,'19_Расчет_аналитики'!F4397*'01_Вводные'!$B$125/(1+'01_Вводные'!$B$131),0),0)</f>
        <v/>
      </c>
      <c r="G4702">
        <f>IF('01_Вводные'!$B$234="Да",IF('19_Расчет_аналитики'!G4386&gt;=2,'19_Расчет_аналитики'!G4397*'01_Вводные'!$B$125/(1+'01_Вводные'!$B$131),0),0)</f>
        <v/>
      </c>
      <c r="H4702">
        <f>IF('01_Вводные'!$B$234="Да",IF('19_Расчет_аналитики'!H4386&gt;=2,'19_Расчет_аналитики'!H4397*'01_Вводные'!$B$125/(1+'01_Вводные'!$B$131),0),0)</f>
        <v/>
      </c>
      <c r="I4702">
        <f>IF('01_Вводные'!$B$234="Да",IF('19_Расчет_аналитики'!I4386&gt;=2,'19_Расчет_аналитики'!I4397*'01_Вводные'!$B$125/(1+'01_Вводные'!$B$131),0),0)</f>
        <v/>
      </c>
      <c r="J4702">
        <f>IF('01_Вводные'!$B$234="Да",IF('19_Расчет_аналитики'!J4386&gt;=2,'19_Расчет_аналитики'!J4397*'01_Вводные'!$B$125/(1+'01_Вводные'!$B$131),0),0)</f>
        <v/>
      </c>
      <c r="K4702">
        <f>IF('01_Вводные'!$B$234="Да",IF('19_Расчет_аналитики'!K4386&gt;=2,'19_Расчет_аналитики'!K4397*'01_Вводные'!$B$125/(1+'01_Вводные'!$B$131),0),0)</f>
        <v/>
      </c>
      <c r="L4702">
        <f>IF('01_Вводные'!$B$234="Да",IF('19_Расчет_аналитики'!L4386&gt;=2,'19_Расчет_аналитики'!L4397*'01_Вводные'!$B$125/(1+'01_Вводные'!$B$131),0),0)</f>
        <v/>
      </c>
      <c r="M4702">
        <f>IF('01_Вводные'!$B$234="Да",IF('19_Расчет_аналитики'!M4386&gt;=2,'19_Расчет_аналитики'!M4397*'01_Вводные'!$B$125/(1+'01_Вводные'!$B$131),0),0)</f>
        <v/>
      </c>
      <c r="N4702">
        <f>IF('01_Вводные'!$B$234="Да",IF('19_Расчет_аналитики'!N4386&gt;=2,'19_Расчет_аналитики'!N4397*'01_Вводные'!$B$125/(1+'01_Вводные'!$B$131),0),0)</f>
        <v/>
      </c>
      <c r="O4702">
        <f>IF('01_Вводные'!$B$234="Да",IF('19_Расчет_аналитики'!O4386&gt;=2,'19_Расчет_аналитики'!O4397*'01_Вводные'!$B$125/(1+'01_Вводные'!$B$131),0),0)</f>
        <v/>
      </c>
      <c r="P4702">
        <f>IF('01_Вводные'!$B$234="Да",IF('19_Расчет_аналитики'!P4386&gt;=2,'19_Расчет_аналитики'!P4397*'01_Вводные'!$B$125/(1+'01_Вводные'!$B$131),0),0)</f>
        <v/>
      </c>
      <c r="Q4702">
        <f>IF('01_Вводные'!$B$234="Да",IF('19_Расчет_аналитики'!Q4386&gt;=2,'19_Расчет_аналитики'!Q4397*'01_Вводные'!$B$125/(1+'01_Вводные'!$B$131),0),0)</f>
        <v/>
      </c>
      <c r="R4702">
        <f>IF('01_Вводные'!$B$234="Да",IF('19_Расчет_аналитики'!R4386&gt;=2,'19_Расчет_аналитики'!R4397*'01_Вводные'!$B$125/(1+'01_Вводные'!$B$131),0),0)</f>
        <v/>
      </c>
      <c r="S4702">
        <f>IF('01_Вводные'!$B$234="Да",IF('19_Расчет_аналитики'!S4386&gt;=2,'19_Расчет_аналитики'!S4397*'01_Вводные'!$B$125/(1+'01_Вводные'!$B$131),0),0)</f>
        <v/>
      </c>
      <c r="T4702">
        <f>IF('01_Вводные'!$B$234="Да",IF('19_Расчет_аналитики'!T4386&gt;=2,'19_Расчет_аналитики'!T4397*'01_Вводные'!$B$125/(1+'01_Вводные'!$B$131),0),0)</f>
        <v/>
      </c>
      <c r="U4702">
        <f>IF('01_Вводные'!$B$234="Да",IF('19_Расчет_аналитики'!U4386&gt;=2,'19_Расчет_аналитики'!U4397*'01_Вводные'!$B$125/(1+'01_Вводные'!$B$131),0),0)</f>
        <v/>
      </c>
      <c r="V4702">
        <f>IF('01_Вводные'!$B$234="Да",IF('19_Расчет_аналитики'!V4386&gt;=2,'19_Расчет_аналитики'!V4397*'01_Вводные'!$B$125/(1+'01_Вводные'!$B$131),0),0)</f>
        <v/>
      </c>
      <c r="W4702">
        <f>IF('01_Вводные'!$B$234="Да",IF('19_Расчет_аналитики'!W4386&gt;=2,'19_Расчет_аналитики'!W4397*'01_Вводные'!$B$125/(1+'01_Вводные'!$B$131),0),0)</f>
        <v/>
      </c>
      <c r="X4702">
        <f>IF('01_Вводные'!$B$234="Да",IF('19_Расчет_аналитики'!X4386&gt;=2,'19_Расчет_аналитики'!X4397*'01_Вводные'!$B$125/(1+'01_Вводные'!$B$131),0),0)</f>
        <v/>
      </c>
      <c r="Y4702">
        <f>IF('01_Вводные'!$B$234="Да",IF('19_Расчет_аналитики'!Y4386&gt;=2,'19_Расчет_аналитики'!Y4397*'01_Вводные'!$B$125/(1+'01_Вводные'!$B$131),0),0)</f>
        <v/>
      </c>
      <c r="Z4702">
        <f>IF('01_Вводные'!$B$234="Да",IF('19_Расчет_аналитики'!Z4386&gt;=2,'19_Расчет_аналитики'!Z4397*'01_Вводные'!$B$125/(1+'01_Вводные'!$B$131),0),0)</f>
        <v/>
      </c>
      <c r="AA4702">
        <f>IF('01_Вводные'!$B$234="Да",IF('19_Расчет_аналитики'!AA4386&gt;=2,'19_Расчет_аналитики'!AA4397*'01_Вводные'!$B$125/(1+'01_Вводные'!$B$131),0),0)</f>
        <v/>
      </c>
      <c r="AB4702">
        <f>IF('01_Вводные'!$B$234="Да",IF('19_Расчет_аналитики'!AB4386&gt;=2,'19_Расчет_аналитики'!AB4397*'01_Вводные'!$B$125/(1+'01_Вводные'!$B$131),0),0)</f>
        <v/>
      </c>
      <c r="AC4702">
        <f>IF('01_Вводные'!$B$234="Да",IF('19_Расчет_аналитики'!AC4386&gt;=2,'19_Расчет_аналитики'!AC4397*'01_Вводные'!$B$125/(1+'01_Вводные'!$B$131),0),0)</f>
        <v/>
      </c>
      <c r="AD4702">
        <f>IF('01_Вводные'!$B$234="Да",IF('19_Расчет_аналитики'!AD4386&gt;=2,'19_Расчет_аналитики'!AD4397*'01_Вводные'!$B$125/(1+'01_Вводные'!$B$131),0),0)</f>
        <v/>
      </c>
      <c r="AE4702">
        <f>IF('01_Вводные'!$B$234="Да",IF('19_Расчет_аналитики'!AE4386&gt;=2,'19_Расчет_аналитики'!AE4397*'01_Вводные'!$B$125/(1+'01_Вводные'!$B$131),0),0)</f>
        <v/>
      </c>
      <c r="AF4702">
        <f>IF('01_Вводные'!$B$234="Да",IF('19_Расчет_аналитики'!AF4386&gt;=2,'19_Расчет_аналитики'!AF4397*'01_Вводные'!$B$125/(1+'01_Вводные'!$B$131),0),0)</f>
        <v/>
      </c>
      <c r="AG4702">
        <f>IF('01_Вводные'!$B$234="Да",IF('19_Расчет_аналитики'!AG4386&gt;=2,'19_Расчет_аналитики'!AG4397*'01_Вводные'!$B$125/(1+'01_Вводные'!$B$131),0),0)</f>
        <v/>
      </c>
      <c r="AH4702">
        <f>IF('01_Вводные'!$B$234="Да",IF('19_Расчет_аналитики'!AH4386&gt;=2,'19_Расчет_аналитики'!AH4397*'01_Вводные'!$B$125/(1+'01_Вводные'!$B$131),0),0)</f>
        <v/>
      </c>
      <c r="AI4702">
        <f>IF('01_Вводные'!$B$234="Да",IF('19_Расчет_аналитики'!AI4386&gt;=2,'19_Расчет_аналитики'!AI4397*'01_Вводные'!$B$125/(1+'01_Вводные'!$B$131),0),0)</f>
        <v/>
      </c>
      <c r="AJ4702">
        <f>IF('01_Вводные'!$B$234="Да",IF('19_Расчет_аналитики'!AJ4386&gt;=2,'19_Расчет_аналитики'!AJ4397*'01_Вводные'!$B$125/(1+'01_Вводные'!$B$131),0),0)</f>
        <v/>
      </c>
      <c r="AK4702">
        <f>IF('01_Вводные'!$B$234="Да",IF('19_Расчет_аналитики'!AK4386&gt;=2,'19_Расчет_аналитики'!AK4397*'01_Вводные'!$B$125/(1+'01_Вводные'!$B$131),0),0)</f>
        <v/>
      </c>
      <c r="AL4702">
        <f>IF('01_Вводные'!$B$234="Да",IF('19_Расчет_аналитики'!AL4386&gt;=2,'19_Расчет_аналитики'!AL4397*'01_Вводные'!$B$125/(1+'01_Вводные'!$B$131),0),0)</f>
        <v/>
      </c>
      <c r="AM4702">
        <f>IF('01_Вводные'!$B$234="Да",IF('19_Расчет_аналитики'!AM4386&gt;=2,'19_Расчет_аналитики'!AM4397*'01_Вводные'!$B$125/(1+'01_Вводные'!$B$131),0),0)</f>
        <v/>
      </c>
      <c r="AN4702">
        <f>IF('01_Вводные'!$B$234="Да",IF('19_Расчет_аналитики'!AN4386&gt;=2,'19_Расчет_аналитики'!AN4397*'01_Вводные'!$B$125/(1+'01_Вводные'!$B$131),0),0)</f>
        <v/>
      </c>
      <c r="AO4702">
        <f>IF('01_Вводные'!$B$234="Да",IF('19_Расчет_аналитики'!AO4386&gt;=2,'19_Расчет_аналитики'!AO4397*'01_Вводные'!$B$125/(1+'01_Вводные'!$B$131),0),0)</f>
        <v/>
      </c>
      <c r="AP4702">
        <f>IF('01_Вводные'!$B$234="Да",IF('19_Расчет_аналитики'!AP4386&gt;=2,'19_Расчет_аналитики'!AP4397*'01_Вводные'!$B$125/(1+'01_Вводные'!$B$131),0),0)</f>
        <v/>
      </c>
      <c r="AQ4702">
        <f>IF('01_Вводные'!$B$234="Да",IF('19_Расчет_аналитики'!AQ4386&gt;=2,'19_Расчет_аналитики'!AQ4397*'01_Вводные'!$B$125/(1+'01_Вводные'!$B$131),0),0)</f>
        <v/>
      </c>
      <c r="AR4702">
        <f>IF('01_Вводные'!$B$234="Да",IF('19_Расчет_аналитики'!AR4386&gt;=2,'19_Расчет_аналитики'!AR4397*'01_Вводные'!$B$125/(1+'01_Вводные'!$B$131),0),0)</f>
        <v/>
      </c>
      <c r="AS4702">
        <f>IF('01_Вводные'!$B$234="Да",IF('19_Расчет_аналитики'!AS4386&gt;=2,'19_Расчет_аналитики'!AS4397*'01_Вводные'!$B$125/(1+'01_Вводные'!$B$131),0),0)</f>
        <v/>
      </c>
      <c r="AT4702">
        <f>IF('01_Вводные'!$B$234="Да",IF('19_Расчет_аналитики'!AT4386&gt;=2,'19_Расчет_аналитики'!AT4397*'01_Вводные'!$B$125/(1+'01_Вводные'!$B$131),0),0)</f>
        <v/>
      </c>
      <c r="AU4702">
        <f>IF('01_Вводные'!$B$234="Да",IF('19_Расчет_аналитики'!AU4386&gt;=2,'19_Расчет_аналитики'!AU4397*'01_Вводные'!$B$125/(1+'01_Вводные'!$B$131),0),0)</f>
        <v/>
      </c>
      <c r="AV4702">
        <f>IF('01_Вводные'!$B$234="Да",IF('19_Расчет_аналитики'!AV4386&gt;=2,'19_Расчет_аналитики'!AV4397*'01_Вводные'!$B$125/(1+'01_Вводные'!$B$131),0),0)</f>
        <v/>
      </c>
      <c r="AW4702">
        <f>IF('01_Вводные'!$B$234="Да",IF('19_Расчет_аналитики'!AW4386&gt;=2,'19_Расчет_аналитики'!AW4397*'01_Вводные'!$B$125/(1+'01_Вводные'!$B$131),0),0)</f>
        <v/>
      </c>
      <c r="AX4702">
        <f>IF('01_Вводные'!$B$234="Да",IF('19_Расчет_аналитики'!AX4386&gt;=2,'19_Расчет_аналитики'!AX4397*'01_Вводные'!$B$125/(1+'01_Вводные'!$B$131),0),0)</f>
        <v/>
      </c>
      <c r="AY4702">
        <f>IF('01_Вводные'!$B$234="Да",IF('19_Расчет_аналитики'!AY4386&gt;=2,'19_Расчет_аналитики'!AY4397*'01_Вводные'!$B$125/(1+'01_Вводные'!$B$131),0),0)</f>
        <v/>
      </c>
      <c r="AZ4702">
        <f>IF('01_Вводные'!$B$234="Да",IF('19_Расчет_аналитики'!AZ4386&gt;=2,'19_Расчет_аналитики'!AZ4397*'01_Вводные'!$B$125/(1+'01_Вводные'!$B$131),0),0)</f>
        <v/>
      </c>
      <c r="BA4702">
        <f>IF('01_Вводные'!$B$234="Да",IF('19_Расчет_аналитики'!BA4386&gt;=2,'19_Расчет_аналитики'!BA4397*'01_Вводные'!$B$125/(1+'01_Вводные'!$B$131),0),0)</f>
        <v/>
      </c>
      <c r="BB4702">
        <f>IF('01_Вводные'!$B$234="Да",IF('19_Расчет_аналитики'!BB4386&gt;=2,'19_Расчет_аналитики'!BB4397*'01_Вводные'!$B$125/(1+'01_Вводные'!$B$131),0),0)</f>
        <v/>
      </c>
      <c r="BC4702">
        <f>IF('01_Вводные'!$B$234="Да",IF('19_Расчет_аналитики'!BC4386&gt;=2,'19_Расчет_аналитики'!BC4397*'01_Вводные'!$B$125/(1+'01_Вводные'!$B$131),0),0)</f>
        <v/>
      </c>
      <c r="BD4702">
        <f>IF('01_Вводные'!$B$234="Да",IF('19_Расчет_аналитики'!BD4386&gt;=2,'19_Расчет_аналитики'!BD4397*'01_Вводные'!$B$125/(1+'01_Вводные'!$B$131),0),0)</f>
        <v/>
      </c>
      <c r="BE4702">
        <f>IF('01_Вводные'!$B$234="Да",IF('19_Расчет_аналитики'!BE4386&gt;=2,'19_Расчет_аналитики'!BE4397*'01_Вводные'!$B$125/(1+'01_Вводные'!$B$131),0),0)</f>
        <v/>
      </c>
      <c r="BF4702">
        <f>IF('01_Вводные'!$B$234="Да",IF('19_Расчет_аналитики'!BF4386&gt;=2,'19_Расчет_аналитики'!BF4397*'01_Вводные'!$B$125/(1+'01_Вводные'!$B$131),0),0)</f>
        <v/>
      </c>
      <c r="BG4702">
        <f>IF('01_Вводные'!$B$234="Да",IF('19_Расчет_аналитики'!BG4386&gt;=2,'19_Расчет_аналитики'!BG4397*'01_Вводные'!$B$125/(1+'01_Вводные'!$B$131),0),0)</f>
        <v/>
      </c>
      <c r="BH4702">
        <f>IF('01_Вводные'!$B$234="Да",IF('19_Расчет_аналитики'!BH4386&gt;=2,'19_Расчет_аналитики'!BH4397*'01_Вводные'!$B$125/(1+'01_Вводные'!$B$131),0),0)</f>
        <v/>
      </c>
      <c r="BI4702">
        <f>IF('01_Вводные'!$B$234="Да",IF('19_Расчет_аналитики'!BI4386&gt;=2,'19_Расчет_аналитики'!BI4397*'01_Вводные'!$B$125/(1+'01_Вводные'!$B$131),0),0)</f>
        <v/>
      </c>
    </row>
    <row r="4703">
      <c r="C4703">
        <f>IF('01_Вводные'!$B$234="Да",'19_Расчет_аналитики'!C4702*'01_Вводные'!$B$131,0)</f>
        <v/>
      </c>
      <c r="D4703">
        <f>IF('01_Вводные'!$B$234="Да",'19_Расчет_аналитики'!D4702*'01_Вводные'!$B$131,0)</f>
        <v/>
      </c>
      <c r="E4703">
        <f>IF('01_Вводные'!$B$234="Да",'19_Расчет_аналитики'!E4702*'01_Вводные'!$B$131,0)</f>
        <v/>
      </c>
      <c r="F4703">
        <f>IF('01_Вводные'!$B$234="Да",'19_Расчет_аналитики'!F4702*'01_Вводные'!$B$131,0)</f>
        <v/>
      </c>
      <c r="G4703">
        <f>IF('01_Вводные'!$B$234="Да",'19_Расчет_аналитики'!G4702*'01_Вводные'!$B$131,0)</f>
        <v/>
      </c>
      <c r="H4703">
        <f>IF('01_Вводные'!$B$234="Да",'19_Расчет_аналитики'!H4702*'01_Вводные'!$B$131,0)</f>
        <v/>
      </c>
      <c r="I4703">
        <f>IF('01_Вводные'!$B$234="Да",'19_Расчет_аналитики'!I4702*'01_Вводные'!$B$131,0)</f>
        <v/>
      </c>
      <c r="J4703">
        <f>IF('01_Вводные'!$B$234="Да",'19_Расчет_аналитики'!J4702*'01_Вводные'!$B$131,0)</f>
        <v/>
      </c>
      <c r="K4703">
        <f>IF('01_Вводные'!$B$234="Да",'19_Расчет_аналитики'!K4702*'01_Вводные'!$B$131,0)</f>
        <v/>
      </c>
      <c r="L4703">
        <f>IF('01_Вводные'!$B$234="Да",'19_Расчет_аналитики'!L4702*'01_Вводные'!$B$131,0)</f>
        <v/>
      </c>
      <c r="M4703">
        <f>IF('01_Вводные'!$B$234="Да",'19_Расчет_аналитики'!M4702*'01_Вводные'!$B$131,0)</f>
        <v/>
      </c>
      <c r="N4703">
        <f>IF('01_Вводные'!$B$234="Да",'19_Расчет_аналитики'!N4702*'01_Вводные'!$B$131,0)</f>
        <v/>
      </c>
      <c r="O4703">
        <f>IF('01_Вводные'!$B$234="Да",'19_Расчет_аналитики'!O4702*'01_Вводные'!$B$131,0)</f>
        <v/>
      </c>
      <c r="P4703">
        <f>IF('01_Вводные'!$B$234="Да",'19_Расчет_аналитики'!P4702*'01_Вводные'!$B$131,0)</f>
        <v/>
      </c>
      <c r="Q4703">
        <f>IF('01_Вводные'!$B$234="Да",'19_Расчет_аналитики'!Q4702*'01_Вводные'!$B$131,0)</f>
        <v/>
      </c>
      <c r="R4703">
        <f>IF('01_Вводные'!$B$234="Да",'19_Расчет_аналитики'!R4702*'01_Вводные'!$B$131,0)</f>
        <v/>
      </c>
      <c r="S4703">
        <f>IF('01_Вводные'!$B$234="Да",'19_Расчет_аналитики'!S4702*'01_Вводные'!$B$131,0)</f>
        <v/>
      </c>
      <c r="T4703">
        <f>IF('01_Вводные'!$B$234="Да",'19_Расчет_аналитики'!T4702*'01_Вводные'!$B$131,0)</f>
        <v/>
      </c>
      <c r="U4703">
        <f>IF('01_Вводные'!$B$234="Да",'19_Расчет_аналитики'!U4702*'01_Вводные'!$B$131,0)</f>
        <v/>
      </c>
      <c r="V4703">
        <f>IF('01_Вводные'!$B$234="Да",'19_Расчет_аналитики'!V4702*'01_Вводные'!$B$131,0)</f>
        <v/>
      </c>
      <c r="W4703">
        <f>IF('01_Вводные'!$B$234="Да",'19_Расчет_аналитики'!W4702*'01_Вводные'!$B$131,0)</f>
        <v/>
      </c>
      <c r="X4703">
        <f>IF('01_Вводные'!$B$234="Да",'19_Расчет_аналитики'!X4702*'01_Вводные'!$B$131,0)</f>
        <v/>
      </c>
      <c r="Y4703">
        <f>IF('01_Вводные'!$B$234="Да",'19_Расчет_аналитики'!Y4702*'01_Вводные'!$B$131,0)</f>
        <v/>
      </c>
      <c r="Z4703">
        <f>IF('01_Вводные'!$B$234="Да",'19_Расчет_аналитики'!Z4702*'01_Вводные'!$B$131,0)</f>
        <v/>
      </c>
      <c r="AA4703">
        <f>IF('01_Вводные'!$B$234="Да",'19_Расчет_аналитики'!AA4702*'01_Вводные'!$B$131,0)</f>
        <v/>
      </c>
      <c r="AB4703">
        <f>IF('01_Вводные'!$B$234="Да",'19_Расчет_аналитики'!AB4702*'01_Вводные'!$B$131,0)</f>
        <v/>
      </c>
      <c r="AC4703">
        <f>IF('01_Вводные'!$B$234="Да",'19_Расчет_аналитики'!AC4702*'01_Вводные'!$B$131,0)</f>
        <v/>
      </c>
      <c r="AD4703">
        <f>IF('01_Вводные'!$B$234="Да",'19_Расчет_аналитики'!AD4702*'01_Вводные'!$B$131,0)</f>
        <v/>
      </c>
      <c r="AE4703">
        <f>IF('01_Вводные'!$B$234="Да",'19_Расчет_аналитики'!AE4702*'01_Вводные'!$B$131,0)</f>
        <v/>
      </c>
      <c r="AF4703">
        <f>IF('01_Вводные'!$B$234="Да",'19_Расчет_аналитики'!AF4702*'01_Вводные'!$B$131,0)</f>
        <v/>
      </c>
      <c r="AG4703">
        <f>IF('01_Вводные'!$B$234="Да",'19_Расчет_аналитики'!AG4702*'01_Вводные'!$B$131,0)</f>
        <v/>
      </c>
      <c r="AH4703">
        <f>IF('01_Вводные'!$B$234="Да",'19_Расчет_аналитики'!AH4702*'01_Вводные'!$B$131,0)</f>
        <v/>
      </c>
      <c r="AI4703">
        <f>IF('01_Вводные'!$B$234="Да",'19_Расчет_аналитики'!AI4702*'01_Вводные'!$B$131,0)</f>
        <v/>
      </c>
      <c r="AJ4703">
        <f>IF('01_Вводные'!$B$234="Да",'19_Расчет_аналитики'!AJ4702*'01_Вводные'!$B$131,0)</f>
        <v/>
      </c>
      <c r="AK4703">
        <f>IF('01_Вводные'!$B$234="Да",'19_Расчет_аналитики'!AK4702*'01_Вводные'!$B$131,0)</f>
        <v/>
      </c>
      <c r="AL4703">
        <f>IF('01_Вводные'!$B$234="Да",'19_Расчет_аналитики'!AL4702*'01_Вводные'!$B$131,0)</f>
        <v/>
      </c>
      <c r="AM4703">
        <f>IF('01_Вводные'!$B$234="Да",'19_Расчет_аналитики'!AM4702*'01_Вводные'!$B$131,0)</f>
        <v/>
      </c>
      <c r="AN4703">
        <f>IF('01_Вводные'!$B$234="Да",'19_Расчет_аналитики'!AN4702*'01_Вводные'!$B$131,0)</f>
        <v/>
      </c>
      <c r="AO4703">
        <f>IF('01_Вводные'!$B$234="Да",'19_Расчет_аналитики'!AO4702*'01_Вводные'!$B$131,0)</f>
        <v/>
      </c>
      <c r="AP4703">
        <f>IF('01_Вводные'!$B$234="Да",'19_Расчет_аналитики'!AP4702*'01_Вводные'!$B$131,0)</f>
        <v/>
      </c>
      <c r="AQ4703">
        <f>IF('01_Вводные'!$B$234="Да",'19_Расчет_аналитики'!AQ4702*'01_Вводные'!$B$131,0)</f>
        <v/>
      </c>
      <c r="AR4703">
        <f>IF('01_Вводные'!$B$234="Да",'19_Расчет_аналитики'!AR4702*'01_Вводные'!$B$131,0)</f>
        <v/>
      </c>
      <c r="AS4703">
        <f>IF('01_Вводные'!$B$234="Да",'19_Расчет_аналитики'!AS4702*'01_Вводные'!$B$131,0)</f>
        <v/>
      </c>
      <c r="AT4703">
        <f>IF('01_Вводные'!$B$234="Да",'19_Расчет_аналитики'!AT4702*'01_Вводные'!$B$131,0)</f>
        <v/>
      </c>
      <c r="AU4703">
        <f>IF('01_Вводные'!$B$234="Да",'19_Расчет_аналитики'!AU4702*'01_Вводные'!$B$131,0)</f>
        <v/>
      </c>
      <c r="AV4703">
        <f>IF('01_Вводные'!$B$234="Да",'19_Расчет_аналитики'!AV4702*'01_Вводные'!$B$131,0)</f>
        <v/>
      </c>
      <c r="AW4703">
        <f>IF('01_Вводные'!$B$234="Да",'19_Расчет_аналитики'!AW4702*'01_Вводные'!$B$131,0)</f>
        <v/>
      </c>
      <c r="AX4703">
        <f>IF('01_Вводные'!$B$234="Да",'19_Расчет_аналитики'!AX4702*'01_Вводные'!$B$131,0)</f>
        <v/>
      </c>
      <c r="AY4703">
        <f>IF('01_Вводные'!$B$234="Да",'19_Расчет_аналитики'!AY4702*'01_Вводные'!$B$131,0)</f>
        <v/>
      </c>
      <c r="AZ4703">
        <f>IF('01_Вводные'!$B$234="Да",'19_Расчет_аналитики'!AZ4702*'01_Вводные'!$B$131,0)</f>
        <v/>
      </c>
      <c r="BA4703">
        <f>IF('01_Вводные'!$B$234="Да",'19_Расчет_аналитики'!BA4702*'01_Вводные'!$B$131,0)</f>
        <v/>
      </c>
      <c r="BB4703">
        <f>IF('01_Вводные'!$B$234="Да",'19_Расчет_аналитики'!BB4702*'01_Вводные'!$B$131,0)</f>
        <v/>
      </c>
      <c r="BC4703">
        <f>IF('01_Вводные'!$B$234="Да",'19_Расчет_аналитики'!BC4702*'01_Вводные'!$B$131,0)</f>
        <v/>
      </c>
      <c r="BD4703">
        <f>IF('01_Вводные'!$B$234="Да",'19_Расчет_аналитики'!BD4702*'01_Вводные'!$B$131,0)</f>
        <v/>
      </c>
      <c r="BE4703">
        <f>IF('01_Вводные'!$B$234="Да",'19_Расчет_аналитики'!BE4702*'01_Вводные'!$B$131,0)</f>
        <v/>
      </c>
      <c r="BF4703">
        <f>IF('01_Вводные'!$B$234="Да",'19_Расчет_аналитики'!BF4702*'01_Вводные'!$B$131,0)</f>
        <v/>
      </c>
      <c r="BG4703">
        <f>IF('01_Вводные'!$B$234="Да",'19_Расчет_аналитики'!BG4702*'01_Вводные'!$B$131,0)</f>
        <v/>
      </c>
      <c r="BH4703">
        <f>IF('01_Вводные'!$B$234="Да",'19_Расчет_аналитики'!BH4702*'01_Вводные'!$B$131,0)</f>
        <v/>
      </c>
      <c r="BI4703">
        <f>IF('01_Вводные'!$B$234="Да",'19_Расчет_аналитики'!BI4702*'01_Вводные'!$B$131,0)</f>
        <v/>
      </c>
    </row>
    <row r="4704">
      <c r="C4704">
        <f>IF('01_Вводные'!$B$234="Да",IF('19_Расчет_аналитики'!C4386&gt;='01_Вводные'!$B$126,IF('01_Вводные'!$B$129="ИП",'01_Вводные'!$B$127+'19_Расчет_аналитики'!C4397*'01_Вводные'!$B$128,('01_Вводные'!$B$127/'01_Вводные'!$B$132+'19_Расчет_аналитики'!C4397*'01_Вводные'!$B$128)*(1+'01_Вводные'!$B$131)),0),0)</f>
        <v/>
      </c>
      <c r="D4704">
        <f>IF('01_Вводные'!$B$234="Да",IF('19_Расчет_аналитики'!D4386&gt;='01_Вводные'!$B$126,IF('01_Вводные'!$B$129="ИП",'01_Вводные'!$B$127+'19_Расчет_аналитики'!D4397*'01_Вводные'!$B$128,('01_Вводные'!$B$127/'01_Вводные'!$B$132+'19_Расчет_аналитики'!D4397*'01_Вводные'!$B$128)*(1+'01_Вводные'!$B$131)),0),0)</f>
        <v/>
      </c>
      <c r="E4704">
        <f>IF('01_Вводные'!$B$234="Да",IF('19_Расчет_аналитики'!E4386&gt;='01_Вводные'!$B$126,IF('01_Вводные'!$B$129="ИП",'01_Вводные'!$B$127+'19_Расчет_аналитики'!E4397*'01_Вводные'!$B$128,('01_Вводные'!$B$127/'01_Вводные'!$B$132+'19_Расчет_аналитики'!E4397*'01_Вводные'!$B$128)*(1+'01_Вводные'!$B$131)),0),0)</f>
        <v/>
      </c>
      <c r="F4704">
        <f>IF('01_Вводные'!$B$234="Да",IF('19_Расчет_аналитики'!F4386&gt;='01_Вводные'!$B$126,IF('01_Вводные'!$B$129="ИП",'01_Вводные'!$B$127+'19_Расчет_аналитики'!F4397*'01_Вводные'!$B$128,('01_Вводные'!$B$127/'01_Вводные'!$B$132+'19_Расчет_аналитики'!F4397*'01_Вводные'!$B$128)*(1+'01_Вводные'!$B$131)),0),0)</f>
        <v/>
      </c>
      <c r="G4704">
        <f>IF('01_Вводные'!$B$234="Да",IF('19_Расчет_аналитики'!G4386&gt;='01_Вводные'!$B$126,IF('01_Вводные'!$B$129="ИП",'01_Вводные'!$B$127+'19_Расчет_аналитики'!G4397*'01_Вводные'!$B$128,('01_Вводные'!$B$127/'01_Вводные'!$B$132+'19_Расчет_аналитики'!G4397*'01_Вводные'!$B$128)*(1+'01_Вводные'!$B$131)),0),0)</f>
        <v/>
      </c>
      <c r="H4704">
        <f>IF('01_Вводные'!$B$234="Да",IF('19_Расчет_аналитики'!H4386&gt;='01_Вводные'!$B$126,IF('01_Вводные'!$B$129="ИП",'01_Вводные'!$B$127+'19_Расчет_аналитики'!H4397*'01_Вводные'!$B$128,('01_Вводные'!$B$127/'01_Вводные'!$B$132+'19_Расчет_аналитики'!H4397*'01_Вводные'!$B$128)*(1+'01_Вводные'!$B$131)),0),0)</f>
        <v/>
      </c>
      <c r="I4704">
        <f>IF('01_Вводные'!$B$234="Да",IF('19_Расчет_аналитики'!I4386&gt;='01_Вводные'!$B$126,IF('01_Вводные'!$B$129="ИП",'01_Вводные'!$B$127+'19_Расчет_аналитики'!I4397*'01_Вводные'!$B$128,('01_Вводные'!$B$127/'01_Вводные'!$B$132+'19_Расчет_аналитики'!I4397*'01_Вводные'!$B$128)*(1+'01_Вводные'!$B$131)),0),0)</f>
        <v/>
      </c>
      <c r="J4704">
        <f>IF('01_Вводные'!$B$234="Да",IF('19_Расчет_аналитики'!J4386&gt;='01_Вводные'!$B$126,IF('01_Вводные'!$B$129="ИП",'01_Вводные'!$B$127+'19_Расчет_аналитики'!J4397*'01_Вводные'!$B$128,('01_Вводные'!$B$127/'01_Вводные'!$B$132+'19_Расчет_аналитики'!J4397*'01_Вводные'!$B$128)*(1+'01_Вводные'!$B$131)),0),0)</f>
        <v/>
      </c>
      <c r="K4704">
        <f>IF('01_Вводные'!$B$234="Да",IF('19_Расчет_аналитики'!K4386&gt;='01_Вводные'!$B$126,IF('01_Вводные'!$B$129="ИП",'01_Вводные'!$B$127+'19_Расчет_аналитики'!K4397*'01_Вводные'!$B$128,('01_Вводные'!$B$127/'01_Вводные'!$B$132+'19_Расчет_аналитики'!K4397*'01_Вводные'!$B$128)*(1+'01_Вводные'!$B$131)),0),0)</f>
        <v/>
      </c>
      <c r="L4704">
        <f>IF('01_Вводные'!$B$234="Да",IF('19_Расчет_аналитики'!L4386&gt;='01_Вводные'!$B$126,IF('01_Вводные'!$B$129="ИП",'01_Вводные'!$B$127+'19_Расчет_аналитики'!L4397*'01_Вводные'!$B$128,('01_Вводные'!$B$127/'01_Вводные'!$B$132+'19_Расчет_аналитики'!L4397*'01_Вводные'!$B$128)*(1+'01_Вводные'!$B$131)),0),0)</f>
        <v/>
      </c>
      <c r="M4704">
        <f>IF('01_Вводные'!$B$234="Да",IF('19_Расчет_аналитики'!M4386&gt;='01_Вводные'!$B$126,IF('01_Вводные'!$B$129="ИП",'01_Вводные'!$B$127+'19_Расчет_аналитики'!M4397*'01_Вводные'!$B$128,('01_Вводные'!$B$127/'01_Вводные'!$B$132+'19_Расчет_аналитики'!M4397*'01_Вводные'!$B$128)*(1+'01_Вводные'!$B$131)),0),0)</f>
        <v/>
      </c>
      <c r="N4704">
        <f>IF('01_Вводные'!$B$234="Да",IF('19_Расчет_аналитики'!N4386&gt;='01_Вводные'!$B$126,IF('01_Вводные'!$B$129="ИП",'01_Вводные'!$B$127+'19_Расчет_аналитики'!N4397*'01_Вводные'!$B$128,('01_Вводные'!$B$127/'01_Вводные'!$B$132+'19_Расчет_аналитики'!N4397*'01_Вводные'!$B$128)*(1+'01_Вводные'!$B$131)),0),0)</f>
        <v/>
      </c>
      <c r="O4704">
        <f>IF('01_Вводные'!$B$234="Да",IF('19_Расчет_аналитики'!O4386&gt;='01_Вводные'!$B$126,IF('01_Вводные'!$B$129="ИП",'01_Вводные'!$B$127+'19_Расчет_аналитики'!O4397*'01_Вводные'!$B$128,('01_Вводные'!$B$127/'01_Вводные'!$B$132+'19_Расчет_аналитики'!O4397*'01_Вводные'!$B$128)*(1+'01_Вводные'!$B$131)),0),0)</f>
        <v/>
      </c>
      <c r="P4704">
        <f>IF('01_Вводные'!$B$234="Да",IF('19_Расчет_аналитики'!P4386&gt;='01_Вводные'!$B$126,IF('01_Вводные'!$B$129="ИП",'01_Вводные'!$B$127+'19_Расчет_аналитики'!P4397*'01_Вводные'!$B$128,('01_Вводные'!$B$127/'01_Вводные'!$B$132+'19_Расчет_аналитики'!P4397*'01_Вводные'!$B$128)*(1+'01_Вводные'!$B$131)),0),0)</f>
        <v/>
      </c>
      <c r="Q4704">
        <f>IF('01_Вводные'!$B$234="Да",IF('19_Расчет_аналитики'!Q4386&gt;='01_Вводные'!$B$126,IF('01_Вводные'!$B$129="ИП",'01_Вводные'!$B$127+'19_Расчет_аналитики'!Q4397*'01_Вводные'!$B$128,('01_Вводные'!$B$127/'01_Вводные'!$B$132+'19_Расчет_аналитики'!Q4397*'01_Вводные'!$B$128)*(1+'01_Вводные'!$B$131)),0),0)</f>
        <v/>
      </c>
      <c r="R4704">
        <f>IF('01_Вводные'!$B$234="Да",IF('19_Расчет_аналитики'!R4386&gt;='01_Вводные'!$B$126,IF('01_Вводные'!$B$129="ИП",'01_Вводные'!$B$127+'19_Расчет_аналитики'!R4397*'01_Вводные'!$B$128,('01_Вводные'!$B$127/'01_Вводные'!$B$132+'19_Расчет_аналитики'!R4397*'01_Вводные'!$B$128)*(1+'01_Вводные'!$B$131)),0),0)</f>
        <v/>
      </c>
      <c r="S4704">
        <f>IF('01_Вводные'!$B$234="Да",IF('19_Расчет_аналитики'!S4386&gt;='01_Вводные'!$B$126,IF('01_Вводные'!$B$129="ИП",'01_Вводные'!$B$127+'19_Расчет_аналитики'!S4397*'01_Вводные'!$B$128,('01_Вводные'!$B$127/'01_Вводные'!$B$132+'19_Расчет_аналитики'!S4397*'01_Вводные'!$B$128)*(1+'01_Вводные'!$B$131)),0),0)</f>
        <v/>
      </c>
      <c r="T4704">
        <f>IF('01_Вводные'!$B$234="Да",IF('19_Расчет_аналитики'!T4386&gt;='01_Вводные'!$B$126,IF('01_Вводные'!$B$129="ИП",'01_Вводные'!$B$127+'19_Расчет_аналитики'!T4397*'01_Вводные'!$B$128,('01_Вводные'!$B$127/'01_Вводные'!$B$132+'19_Расчет_аналитики'!T4397*'01_Вводные'!$B$128)*(1+'01_Вводные'!$B$131)),0),0)</f>
        <v/>
      </c>
      <c r="U4704">
        <f>IF('01_Вводные'!$B$234="Да",IF('19_Расчет_аналитики'!U4386&gt;='01_Вводные'!$B$126,IF('01_Вводные'!$B$129="ИП",'01_Вводные'!$B$127+'19_Расчет_аналитики'!U4397*'01_Вводные'!$B$128,('01_Вводные'!$B$127/'01_Вводные'!$B$132+'19_Расчет_аналитики'!U4397*'01_Вводные'!$B$128)*(1+'01_Вводные'!$B$131)),0),0)</f>
        <v/>
      </c>
      <c r="V4704">
        <f>IF('01_Вводные'!$B$234="Да",IF('19_Расчет_аналитики'!V4386&gt;='01_Вводные'!$B$126,IF('01_Вводные'!$B$129="ИП",'01_Вводные'!$B$127+'19_Расчет_аналитики'!V4397*'01_Вводные'!$B$128,('01_Вводные'!$B$127/'01_Вводные'!$B$132+'19_Расчет_аналитики'!V4397*'01_Вводные'!$B$128)*(1+'01_Вводные'!$B$131)),0),0)</f>
        <v/>
      </c>
      <c r="W4704">
        <f>IF('01_Вводные'!$B$234="Да",IF('19_Расчет_аналитики'!W4386&gt;='01_Вводные'!$B$126,IF('01_Вводные'!$B$129="ИП",'01_Вводные'!$B$127+'19_Расчет_аналитики'!W4397*'01_Вводные'!$B$128,('01_Вводные'!$B$127/'01_Вводные'!$B$132+'19_Расчет_аналитики'!W4397*'01_Вводные'!$B$128)*(1+'01_Вводные'!$B$131)),0),0)</f>
        <v/>
      </c>
      <c r="X4704">
        <f>IF('01_Вводные'!$B$234="Да",IF('19_Расчет_аналитики'!X4386&gt;='01_Вводные'!$B$126,IF('01_Вводные'!$B$129="ИП",'01_Вводные'!$B$127+'19_Расчет_аналитики'!X4397*'01_Вводные'!$B$128,('01_Вводные'!$B$127/'01_Вводные'!$B$132+'19_Расчет_аналитики'!X4397*'01_Вводные'!$B$128)*(1+'01_Вводные'!$B$131)),0),0)</f>
        <v/>
      </c>
      <c r="Y4704">
        <f>IF('01_Вводные'!$B$234="Да",IF('19_Расчет_аналитики'!Y4386&gt;='01_Вводные'!$B$126,IF('01_Вводные'!$B$129="ИП",'01_Вводные'!$B$127+'19_Расчет_аналитики'!Y4397*'01_Вводные'!$B$128,('01_Вводные'!$B$127/'01_Вводные'!$B$132+'19_Расчет_аналитики'!Y4397*'01_Вводные'!$B$128)*(1+'01_Вводные'!$B$131)),0),0)</f>
        <v/>
      </c>
      <c r="Z4704">
        <f>IF('01_Вводные'!$B$234="Да",IF('19_Расчет_аналитики'!Z4386&gt;='01_Вводные'!$B$126,IF('01_Вводные'!$B$129="ИП",'01_Вводные'!$B$127+'19_Расчет_аналитики'!Z4397*'01_Вводные'!$B$128,('01_Вводные'!$B$127/'01_Вводные'!$B$132+'19_Расчет_аналитики'!Z4397*'01_Вводные'!$B$128)*(1+'01_Вводные'!$B$131)),0),0)</f>
        <v/>
      </c>
      <c r="AA4704">
        <f>IF('01_Вводные'!$B$234="Да",IF('19_Расчет_аналитики'!AA4386&gt;='01_Вводные'!$B$126,IF('01_Вводные'!$B$129="ИП",'01_Вводные'!$B$127+'19_Расчет_аналитики'!AA4397*'01_Вводные'!$B$128,('01_Вводные'!$B$127/'01_Вводные'!$B$132+'19_Расчет_аналитики'!AA4397*'01_Вводные'!$B$128)*(1+'01_Вводные'!$B$131)),0),0)</f>
        <v/>
      </c>
      <c r="AB4704">
        <f>IF('01_Вводные'!$B$234="Да",IF('19_Расчет_аналитики'!AB4386&gt;='01_Вводные'!$B$126,IF('01_Вводные'!$B$129="ИП",'01_Вводные'!$B$127+'19_Расчет_аналитики'!AB4397*'01_Вводные'!$B$128,('01_Вводные'!$B$127/'01_Вводные'!$B$132+'19_Расчет_аналитики'!AB4397*'01_Вводные'!$B$128)*(1+'01_Вводные'!$B$131)),0),0)</f>
        <v/>
      </c>
      <c r="AC4704">
        <f>IF('01_Вводные'!$B$234="Да",IF('19_Расчет_аналитики'!AC4386&gt;='01_Вводные'!$B$126,IF('01_Вводные'!$B$129="ИП",'01_Вводные'!$B$127+'19_Расчет_аналитики'!AC4397*'01_Вводные'!$B$128,('01_Вводные'!$B$127/'01_Вводные'!$B$132+'19_Расчет_аналитики'!AC4397*'01_Вводные'!$B$128)*(1+'01_Вводные'!$B$131)),0),0)</f>
        <v/>
      </c>
      <c r="AD4704">
        <f>IF('01_Вводные'!$B$234="Да",IF('19_Расчет_аналитики'!AD4386&gt;='01_Вводные'!$B$126,IF('01_Вводные'!$B$129="ИП",'01_Вводные'!$B$127+'19_Расчет_аналитики'!AD4397*'01_Вводные'!$B$128,('01_Вводные'!$B$127/'01_Вводные'!$B$132+'19_Расчет_аналитики'!AD4397*'01_Вводные'!$B$128)*(1+'01_Вводные'!$B$131)),0),0)</f>
        <v/>
      </c>
      <c r="AE4704">
        <f>IF('01_Вводные'!$B$234="Да",IF('19_Расчет_аналитики'!AE4386&gt;='01_Вводные'!$B$126,IF('01_Вводные'!$B$129="ИП",'01_Вводные'!$B$127+'19_Расчет_аналитики'!AE4397*'01_Вводные'!$B$128,('01_Вводные'!$B$127/'01_Вводные'!$B$132+'19_Расчет_аналитики'!AE4397*'01_Вводные'!$B$128)*(1+'01_Вводные'!$B$131)),0),0)</f>
        <v/>
      </c>
      <c r="AF4704">
        <f>IF('01_Вводные'!$B$234="Да",IF('19_Расчет_аналитики'!AF4386&gt;='01_Вводные'!$B$126,IF('01_Вводные'!$B$129="ИП",'01_Вводные'!$B$127+'19_Расчет_аналитики'!AF4397*'01_Вводные'!$B$128,('01_Вводные'!$B$127/'01_Вводные'!$B$132+'19_Расчет_аналитики'!AF4397*'01_Вводные'!$B$128)*(1+'01_Вводные'!$B$131)),0),0)</f>
        <v/>
      </c>
      <c r="AG4704">
        <f>IF('01_Вводные'!$B$234="Да",IF('19_Расчет_аналитики'!AG4386&gt;='01_Вводные'!$B$126,IF('01_Вводные'!$B$129="ИП",'01_Вводные'!$B$127+'19_Расчет_аналитики'!AG4397*'01_Вводные'!$B$128,('01_Вводные'!$B$127/'01_Вводные'!$B$132+'19_Расчет_аналитики'!AG4397*'01_Вводные'!$B$128)*(1+'01_Вводные'!$B$131)),0),0)</f>
        <v/>
      </c>
      <c r="AH4704">
        <f>IF('01_Вводные'!$B$234="Да",IF('19_Расчет_аналитики'!AH4386&gt;='01_Вводные'!$B$126,IF('01_Вводные'!$B$129="ИП",'01_Вводные'!$B$127+'19_Расчет_аналитики'!AH4397*'01_Вводные'!$B$128,('01_Вводные'!$B$127/'01_Вводные'!$B$132+'19_Расчет_аналитики'!AH4397*'01_Вводные'!$B$128)*(1+'01_Вводные'!$B$131)),0),0)</f>
        <v/>
      </c>
      <c r="AI4704">
        <f>IF('01_Вводные'!$B$234="Да",IF('19_Расчет_аналитики'!AI4386&gt;='01_Вводные'!$B$126,IF('01_Вводные'!$B$129="ИП",'01_Вводные'!$B$127+'19_Расчет_аналитики'!AI4397*'01_Вводные'!$B$128,('01_Вводные'!$B$127/'01_Вводные'!$B$132+'19_Расчет_аналитики'!AI4397*'01_Вводные'!$B$128)*(1+'01_Вводные'!$B$131)),0),0)</f>
        <v/>
      </c>
      <c r="AJ4704">
        <f>IF('01_Вводные'!$B$234="Да",IF('19_Расчет_аналитики'!AJ4386&gt;='01_Вводные'!$B$126,IF('01_Вводные'!$B$129="ИП",'01_Вводные'!$B$127+'19_Расчет_аналитики'!AJ4397*'01_Вводные'!$B$128,('01_Вводные'!$B$127/'01_Вводные'!$B$132+'19_Расчет_аналитики'!AJ4397*'01_Вводные'!$B$128)*(1+'01_Вводные'!$B$131)),0),0)</f>
        <v/>
      </c>
      <c r="AK4704">
        <f>IF('01_Вводные'!$B$234="Да",IF('19_Расчет_аналитики'!AK4386&gt;='01_Вводные'!$B$126,IF('01_Вводные'!$B$129="ИП",'01_Вводные'!$B$127+'19_Расчет_аналитики'!AK4397*'01_Вводные'!$B$128,('01_Вводные'!$B$127/'01_Вводные'!$B$132+'19_Расчет_аналитики'!AK4397*'01_Вводные'!$B$128)*(1+'01_Вводные'!$B$131)),0),0)</f>
        <v/>
      </c>
      <c r="AL4704">
        <f>IF('01_Вводные'!$B$234="Да",IF('19_Расчет_аналитики'!AL4386&gt;='01_Вводные'!$B$126,IF('01_Вводные'!$B$129="ИП",'01_Вводные'!$B$127+'19_Расчет_аналитики'!AL4397*'01_Вводные'!$B$128,('01_Вводные'!$B$127/'01_Вводные'!$B$132+'19_Расчет_аналитики'!AL4397*'01_Вводные'!$B$128)*(1+'01_Вводные'!$B$131)),0),0)</f>
        <v/>
      </c>
      <c r="AM4704">
        <f>IF('01_Вводные'!$B$234="Да",IF('19_Расчет_аналитики'!AM4386&gt;='01_Вводные'!$B$126,IF('01_Вводные'!$B$129="ИП",'01_Вводные'!$B$127+'19_Расчет_аналитики'!AM4397*'01_Вводные'!$B$128,('01_Вводные'!$B$127/'01_Вводные'!$B$132+'19_Расчет_аналитики'!AM4397*'01_Вводные'!$B$128)*(1+'01_Вводные'!$B$131)),0),0)</f>
        <v/>
      </c>
      <c r="AN4704">
        <f>IF('01_Вводные'!$B$234="Да",IF('19_Расчет_аналитики'!AN4386&gt;='01_Вводные'!$B$126,IF('01_Вводные'!$B$129="ИП",'01_Вводные'!$B$127+'19_Расчет_аналитики'!AN4397*'01_Вводные'!$B$128,('01_Вводные'!$B$127/'01_Вводные'!$B$132+'19_Расчет_аналитики'!AN4397*'01_Вводные'!$B$128)*(1+'01_Вводные'!$B$131)),0),0)</f>
        <v/>
      </c>
      <c r="AO4704">
        <f>IF('01_Вводные'!$B$234="Да",IF('19_Расчет_аналитики'!AO4386&gt;='01_Вводные'!$B$126,IF('01_Вводные'!$B$129="ИП",'01_Вводные'!$B$127+'19_Расчет_аналитики'!AO4397*'01_Вводные'!$B$128,('01_Вводные'!$B$127/'01_Вводные'!$B$132+'19_Расчет_аналитики'!AO4397*'01_Вводные'!$B$128)*(1+'01_Вводные'!$B$131)),0),0)</f>
        <v/>
      </c>
      <c r="AP4704">
        <f>IF('01_Вводные'!$B$234="Да",IF('19_Расчет_аналитики'!AP4386&gt;='01_Вводные'!$B$126,IF('01_Вводные'!$B$129="ИП",'01_Вводные'!$B$127+'19_Расчет_аналитики'!AP4397*'01_Вводные'!$B$128,('01_Вводные'!$B$127/'01_Вводные'!$B$132+'19_Расчет_аналитики'!AP4397*'01_Вводные'!$B$128)*(1+'01_Вводные'!$B$131)),0),0)</f>
        <v/>
      </c>
      <c r="AQ4704">
        <f>IF('01_Вводные'!$B$234="Да",IF('19_Расчет_аналитики'!AQ4386&gt;='01_Вводные'!$B$126,IF('01_Вводные'!$B$129="ИП",'01_Вводные'!$B$127+'19_Расчет_аналитики'!AQ4397*'01_Вводные'!$B$128,('01_Вводные'!$B$127/'01_Вводные'!$B$132+'19_Расчет_аналитики'!AQ4397*'01_Вводные'!$B$128)*(1+'01_Вводные'!$B$131)),0),0)</f>
        <v/>
      </c>
      <c r="AR4704">
        <f>IF('01_Вводные'!$B$234="Да",IF('19_Расчет_аналитики'!AR4386&gt;='01_Вводные'!$B$126,IF('01_Вводные'!$B$129="ИП",'01_Вводные'!$B$127+'19_Расчет_аналитики'!AR4397*'01_Вводные'!$B$128,('01_Вводные'!$B$127/'01_Вводные'!$B$132+'19_Расчет_аналитики'!AR4397*'01_Вводные'!$B$128)*(1+'01_Вводные'!$B$131)),0),0)</f>
        <v/>
      </c>
      <c r="AS4704">
        <f>IF('01_Вводные'!$B$234="Да",IF('19_Расчет_аналитики'!AS4386&gt;='01_Вводные'!$B$126,IF('01_Вводные'!$B$129="ИП",'01_Вводные'!$B$127+'19_Расчет_аналитики'!AS4397*'01_Вводные'!$B$128,('01_Вводные'!$B$127/'01_Вводные'!$B$132+'19_Расчет_аналитики'!AS4397*'01_Вводные'!$B$128)*(1+'01_Вводные'!$B$131)),0),0)</f>
        <v/>
      </c>
      <c r="AT4704">
        <f>IF('01_Вводные'!$B$234="Да",IF('19_Расчет_аналитики'!AT4386&gt;='01_Вводные'!$B$126,IF('01_Вводные'!$B$129="ИП",'01_Вводные'!$B$127+'19_Расчет_аналитики'!AT4397*'01_Вводные'!$B$128,('01_Вводные'!$B$127/'01_Вводные'!$B$132+'19_Расчет_аналитики'!AT4397*'01_Вводные'!$B$128)*(1+'01_Вводные'!$B$131)),0),0)</f>
        <v/>
      </c>
      <c r="AU4704">
        <f>IF('01_Вводные'!$B$234="Да",IF('19_Расчет_аналитики'!AU4386&gt;='01_Вводные'!$B$126,IF('01_Вводные'!$B$129="ИП",'01_Вводные'!$B$127+'19_Расчет_аналитики'!AU4397*'01_Вводные'!$B$128,('01_Вводные'!$B$127/'01_Вводные'!$B$132+'19_Расчет_аналитики'!AU4397*'01_Вводные'!$B$128)*(1+'01_Вводные'!$B$131)),0),0)</f>
        <v/>
      </c>
      <c r="AV4704">
        <f>IF('01_Вводные'!$B$234="Да",IF('19_Расчет_аналитики'!AV4386&gt;='01_Вводные'!$B$126,IF('01_Вводные'!$B$129="ИП",'01_Вводные'!$B$127+'19_Расчет_аналитики'!AV4397*'01_Вводные'!$B$128,('01_Вводные'!$B$127/'01_Вводные'!$B$132+'19_Расчет_аналитики'!AV4397*'01_Вводные'!$B$128)*(1+'01_Вводные'!$B$131)),0),0)</f>
        <v/>
      </c>
      <c r="AW4704">
        <f>IF('01_Вводные'!$B$234="Да",IF('19_Расчет_аналитики'!AW4386&gt;='01_Вводные'!$B$126,IF('01_Вводные'!$B$129="ИП",'01_Вводные'!$B$127+'19_Расчет_аналитики'!AW4397*'01_Вводные'!$B$128,('01_Вводные'!$B$127/'01_Вводные'!$B$132+'19_Расчет_аналитики'!AW4397*'01_Вводные'!$B$128)*(1+'01_Вводные'!$B$131)),0),0)</f>
        <v/>
      </c>
      <c r="AX4704">
        <f>IF('01_Вводные'!$B$234="Да",IF('19_Расчет_аналитики'!AX4386&gt;='01_Вводные'!$B$126,IF('01_Вводные'!$B$129="ИП",'01_Вводные'!$B$127+'19_Расчет_аналитики'!AX4397*'01_Вводные'!$B$128,('01_Вводные'!$B$127/'01_Вводные'!$B$132+'19_Расчет_аналитики'!AX4397*'01_Вводные'!$B$128)*(1+'01_Вводные'!$B$131)),0),0)</f>
        <v/>
      </c>
      <c r="AY4704">
        <f>IF('01_Вводные'!$B$234="Да",IF('19_Расчет_аналитики'!AY4386&gt;='01_Вводные'!$B$126,IF('01_Вводные'!$B$129="ИП",'01_Вводные'!$B$127+'19_Расчет_аналитики'!AY4397*'01_Вводные'!$B$128,('01_Вводные'!$B$127/'01_Вводные'!$B$132+'19_Расчет_аналитики'!AY4397*'01_Вводные'!$B$128)*(1+'01_Вводные'!$B$131)),0),0)</f>
        <v/>
      </c>
      <c r="AZ4704">
        <f>IF('01_Вводные'!$B$234="Да",IF('19_Расчет_аналитики'!AZ4386&gt;='01_Вводные'!$B$126,IF('01_Вводные'!$B$129="ИП",'01_Вводные'!$B$127+'19_Расчет_аналитики'!AZ4397*'01_Вводные'!$B$128,('01_Вводные'!$B$127/'01_Вводные'!$B$132+'19_Расчет_аналитики'!AZ4397*'01_Вводные'!$B$128)*(1+'01_Вводные'!$B$131)),0),0)</f>
        <v/>
      </c>
      <c r="BA4704">
        <f>IF('01_Вводные'!$B$234="Да",IF('19_Расчет_аналитики'!BA4386&gt;='01_Вводные'!$B$126,IF('01_Вводные'!$B$129="ИП",'01_Вводные'!$B$127+'19_Расчет_аналитики'!BA4397*'01_Вводные'!$B$128,('01_Вводные'!$B$127/'01_Вводные'!$B$132+'19_Расчет_аналитики'!BA4397*'01_Вводные'!$B$128)*(1+'01_Вводные'!$B$131)),0),0)</f>
        <v/>
      </c>
      <c r="BB4704">
        <f>IF('01_Вводные'!$B$234="Да",IF('19_Расчет_аналитики'!BB4386&gt;='01_Вводные'!$B$126,IF('01_Вводные'!$B$129="ИП",'01_Вводные'!$B$127+'19_Расчет_аналитики'!BB4397*'01_Вводные'!$B$128,('01_Вводные'!$B$127/'01_Вводные'!$B$132+'19_Расчет_аналитики'!BB4397*'01_Вводные'!$B$128)*(1+'01_Вводные'!$B$131)),0),0)</f>
        <v/>
      </c>
      <c r="BC4704">
        <f>IF('01_Вводные'!$B$234="Да",IF('19_Расчет_аналитики'!BC4386&gt;='01_Вводные'!$B$126,IF('01_Вводные'!$B$129="ИП",'01_Вводные'!$B$127+'19_Расчет_аналитики'!BC4397*'01_Вводные'!$B$128,('01_Вводные'!$B$127/'01_Вводные'!$B$132+'19_Расчет_аналитики'!BC4397*'01_Вводные'!$B$128)*(1+'01_Вводные'!$B$131)),0),0)</f>
        <v/>
      </c>
      <c r="BD4704">
        <f>IF('01_Вводные'!$B$234="Да",IF('19_Расчет_аналитики'!BD4386&gt;='01_Вводные'!$B$126,IF('01_Вводные'!$B$129="ИП",'01_Вводные'!$B$127+'19_Расчет_аналитики'!BD4397*'01_Вводные'!$B$128,('01_Вводные'!$B$127/'01_Вводные'!$B$132+'19_Расчет_аналитики'!BD4397*'01_Вводные'!$B$128)*(1+'01_Вводные'!$B$131)),0),0)</f>
        <v/>
      </c>
      <c r="BE4704">
        <f>IF('01_Вводные'!$B$234="Да",IF('19_Расчет_аналитики'!BE4386&gt;='01_Вводные'!$B$126,IF('01_Вводные'!$B$129="ИП",'01_Вводные'!$B$127+'19_Расчет_аналитики'!BE4397*'01_Вводные'!$B$128,('01_Вводные'!$B$127/'01_Вводные'!$B$132+'19_Расчет_аналитики'!BE4397*'01_Вводные'!$B$128)*(1+'01_Вводные'!$B$131)),0),0)</f>
        <v/>
      </c>
      <c r="BF4704">
        <f>IF('01_Вводные'!$B$234="Да",IF('19_Расчет_аналитики'!BF4386&gt;='01_Вводные'!$B$126,IF('01_Вводные'!$B$129="ИП",'01_Вводные'!$B$127+'19_Расчет_аналитики'!BF4397*'01_Вводные'!$B$128,('01_Вводные'!$B$127/'01_Вводные'!$B$132+'19_Расчет_аналитики'!BF4397*'01_Вводные'!$B$128)*(1+'01_Вводные'!$B$131)),0),0)</f>
        <v/>
      </c>
      <c r="BG4704">
        <f>IF('01_Вводные'!$B$234="Да",IF('19_Расчет_аналитики'!BG4386&gt;='01_Вводные'!$B$126,IF('01_Вводные'!$B$129="ИП",'01_Вводные'!$B$127+'19_Расчет_аналитики'!BG4397*'01_Вводные'!$B$128,('01_Вводные'!$B$127/'01_Вводные'!$B$132+'19_Расчет_аналитики'!BG4397*'01_Вводные'!$B$128)*(1+'01_Вводные'!$B$131)),0),0)</f>
        <v/>
      </c>
      <c r="BH4704">
        <f>IF('01_Вводные'!$B$234="Да",IF('19_Расчет_аналитики'!BH4386&gt;='01_Вводные'!$B$126,IF('01_Вводные'!$B$129="ИП",'01_Вводные'!$B$127+'19_Расчет_аналитики'!BH4397*'01_Вводные'!$B$128,('01_Вводные'!$B$127/'01_Вводные'!$B$132+'19_Расчет_аналитики'!BH4397*'01_Вводные'!$B$128)*(1+'01_Вводные'!$B$131)),0),0)</f>
        <v/>
      </c>
      <c r="BI4704">
        <f>IF('01_Вводные'!$B$234="Да",IF('19_Расчет_аналитики'!BI4386&gt;='01_Вводные'!$B$126,IF('01_Вводные'!$B$129="ИП",'01_Вводные'!$B$127+'19_Расчет_аналитики'!BI4397*'01_Вводные'!$B$128,('01_Вводные'!$B$127/'01_Вводные'!$B$132+'19_Расчет_аналитики'!BI4397*'01_Вводные'!$B$128)*(1+'01_Вводные'!$B$131)),0),0)</f>
        <v/>
      </c>
    </row>
    <row r="4705"/>
    <row r="4706"/>
    <row r="4707"/>
    <row r="4708"/>
    <row r="4709">
      <c r="C4709">
        <f>IF('01_Вводные'!$B$234="Да",(MAX(0,'19_Расчет_аналитики'!C4695-'08_ФОТ'!B10)*'01_Вводные'!$B$119*'08_ФОТ'!C5+IF('08_ФОТ'!C$3='01_Вводные'!$B$247,'01_Вводные'!$B$133/'01_Вводные'!$B$132,0)+IF('08_ФОТ'!C$3='01_Вводные'!$B$248,'01_Вводные'!$B$134/'01_Вводные'!$B$132,0))*'01_Вводные'!$B$120,0)</f>
        <v/>
      </c>
      <c r="D4709">
        <f>IF('01_Вводные'!$B$234="Да",(MAX(0,'19_Расчет_аналитики'!D4695-'19_Расчет_аналитики'!C4695)*'01_Вводные'!$B$119*'08_ФОТ'!D5+IF('08_ФОТ'!D$3='01_Вводные'!$B$247,'01_Вводные'!$B$133/'01_Вводные'!$B$132,0)+IF('08_ФОТ'!D$3='01_Вводные'!$B$248,'01_Вводные'!$B$134/'01_Вводные'!$B$132,0))*'01_Вводные'!$B$120,0)</f>
        <v/>
      </c>
      <c r="E4709">
        <f>IF('01_Вводные'!$B$234="Да",(MAX(0,'19_Расчет_аналитики'!E4695-'19_Расчет_аналитики'!D4695)*'01_Вводные'!$B$119*'08_ФОТ'!E5+IF('08_ФОТ'!E$3='01_Вводные'!$B$247,'01_Вводные'!$B$133/'01_Вводные'!$B$132,0)+IF('08_ФОТ'!E$3='01_Вводные'!$B$248,'01_Вводные'!$B$134/'01_Вводные'!$B$132,0))*'01_Вводные'!$B$120,0)</f>
        <v/>
      </c>
      <c r="F4709">
        <f>IF('01_Вводные'!$B$234="Да",(MAX(0,'19_Расчет_аналитики'!F4695-'19_Расчет_аналитики'!E4695)*'01_Вводные'!$B$119*'08_ФОТ'!F5+IF('08_ФОТ'!F$3='01_Вводные'!$B$247,'01_Вводные'!$B$133/'01_Вводные'!$B$132,0)+IF('08_ФОТ'!F$3='01_Вводные'!$B$248,'01_Вводные'!$B$134/'01_Вводные'!$B$132,0))*'01_Вводные'!$B$120,0)</f>
        <v/>
      </c>
      <c r="G4709">
        <f>IF('01_Вводные'!$B$234="Да",(MAX(0,'19_Расчет_аналитики'!G4695-'19_Расчет_аналитики'!F4695)*'01_Вводные'!$B$119*'08_ФОТ'!G5+IF('08_ФОТ'!G$3='01_Вводные'!$B$247,'01_Вводные'!$B$133/'01_Вводные'!$B$132,0)+IF('08_ФОТ'!G$3='01_Вводные'!$B$248,'01_Вводные'!$B$134/'01_Вводные'!$B$132,0))*'01_Вводные'!$B$120,0)</f>
        <v/>
      </c>
      <c r="H4709">
        <f>IF('01_Вводные'!$B$234="Да",(MAX(0,'19_Расчет_аналитики'!H4695-'19_Расчет_аналитики'!G4695)*'01_Вводные'!$B$119*'08_ФОТ'!H5+IF('08_ФОТ'!H$3='01_Вводные'!$B$247,'01_Вводные'!$B$133/'01_Вводные'!$B$132,0)+IF('08_ФОТ'!H$3='01_Вводные'!$B$248,'01_Вводные'!$B$134/'01_Вводные'!$B$132,0))*'01_Вводные'!$B$120,0)</f>
        <v/>
      </c>
      <c r="I4709">
        <f>IF('01_Вводные'!$B$234="Да",(MAX(0,'19_Расчет_аналитики'!I4695-'19_Расчет_аналитики'!H4695)*'01_Вводные'!$B$119*'08_ФОТ'!I5+IF('08_ФОТ'!I$3='01_Вводные'!$B$247,'01_Вводные'!$B$133/'01_Вводные'!$B$132,0)+IF('08_ФОТ'!I$3='01_Вводные'!$B$248,'01_Вводные'!$B$134/'01_Вводные'!$B$132,0))*'01_Вводные'!$B$120,0)</f>
        <v/>
      </c>
      <c r="J4709">
        <f>IF('01_Вводные'!$B$234="Да",(MAX(0,'19_Расчет_аналитики'!J4695-'19_Расчет_аналитики'!I4695)*'01_Вводные'!$B$119*'08_ФОТ'!J5+IF('08_ФОТ'!J$3='01_Вводные'!$B$247,'01_Вводные'!$B$133/'01_Вводные'!$B$132,0)+IF('08_ФОТ'!J$3='01_Вводные'!$B$248,'01_Вводные'!$B$134/'01_Вводные'!$B$132,0))*'01_Вводные'!$B$120,0)</f>
        <v/>
      </c>
      <c r="K4709">
        <f>IF('01_Вводные'!$B$234="Да",(MAX(0,'19_Расчет_аналитики'!K4695-'19_Расчет_аналитики'!J4695)*'01_Вводные'!$B$119*'08_ФОТ'!K5+IF('08_ФОТ'!K$3='01_Вводные'!$B$247,'01_Вводные'!$B$133/'01_Вводные'!$B$132,0)+IF('08_ФОТ'!K$3='01_Вводные'!$B$248,'01_Вводные'!$B$134/'01_Вводные'!$B$132,0))*'01_Вводные'!$B$120,0)</f>
        <v/>
      </c>
      <c r="L4709">
        <f>IF('01_Вводные'!$B$234="Да",(MAX(0,'19_Расчет_аналитики'!L4695-'19_Расчет_аналитики'!K4695)*'01_Вводные'!$B$119*'08_ФОТ'!L5+IF('08_ФОТ'!L$3='01_Вводные'!$B$247,'01_Вводные'!$B$133/'01_Вводные'!$B$132,0)+IF('08_ФОТ'!L$3='01_Вводные'!$B$248,'01_Вводные'!$B$134/'01_Вводные'!$B$132,0))*'01_Вводные'!$B$120,0)</f>
        <v/>
      </c>
      <c r="M4709">
        <f>IF('01_Вводные'!$B$234="Да",(MAX(0,'19_Расчет_аналитики'!M4695-'19_Расчет_аналитики'!L4695)*'01_Вводные'!$B$119*'08_ФОТ'!M5+IF('08_ФОТ'!M$3='01_Вводные'!$B$247,'01_Вводные'!$B$133/'01_Вводные'!$B$132,0)+IF('08_ФОТ'!M$3='01_Вводные'!$B$248,'01_Вводные'!$B$134/'01_Вводные'!$B$132,0))*'01_Вводные'!$B$120,0)</f>
        <v/>
      </c>
      <c r="N4709">
        <f>IF('01_Вводные'!$B$234="Да",(MAX(0,'19_Расчет_аналитики'!N4695-'19_Расчет_аналитики'!M4695)*'01_Вводные'!$B$119*'08_ФОТ'!N5+IF('08_ФОТ'!N$3='01_Вводные'!$B$247,'01_Вводные'!$B$133/'01_Вводные'!$B$132,0)+IF('08_ФОТ'!N$3='01_Вводные'!$B$248,'01_Вводные'!$B$134/'01_Вводные'!$B$132,0))*'01_Вводные'!$B$120,0)</f>
        <v/>
      </c>
      <c r="O4709">
        <f>IF('01_Вводные'!$B$234="Да",(MAX(0,'19_Расчет_аналитики'!O4695-'19_Расчет_аналитики'!N4695)*'01_Вводные'!$B$119*'08_ФОТ'!O5+IF('08_ФОТ'!O$3='01_Вводные'!$B$247,'01_Вводные'!$B$133/'01_Вводные'!$B$132,0)+IF('08_ФОТ'!O$3='01_Вводные'!$B$248,'01_Вводные'!$B$134/'01_Вводные'!$B$132,0))*'01_Вводные'!$B$120,0)</f>
        <v/>
      </c>
      <c r="P4709">
        <f>IF('01_Вводные'!$B$234="Да",(MAX(0,'19_Расчет_аналитики'!P4695-'19_Расчет_аналитики'!O4695)*'01_Вводные'!$B$119*'08_ФОТ'!P5+IF('08_ФОТ'!P$3='01_Вводные'!$B$247,'01_Вводные'!$B$133/'01_Вводные'!$B$132,0)+IF('08_ФОТ'!P$3='01_Вводные'!$B$248,'01_Вводные'!$B$134/'01_Вводные'!$B$132,0))*'01_Вводные'!$B$120,0)</f>
        <v/>
      </c>
      <c r="Q4709">
        <f>IF('01_Вводные'!$B$234="Да",(MAX(0,'19_Расчет_аналитики'!Q4695-'19_Расчет_аналитики'!P4695)*'01_Вводные'!$B$119*'08_ФОТ'!Q5+IF('08_ФОТ'!Q$3='01_Вводные'!$B$247,'01_Вводные'!$B$133/'01_Вводные'!$B$132,0)+IF('08_ФОТ'!Q$3='01_Вводные'!$B$248,'01_Вводные'!$B$134/'01_Вводные'!$B$132,0))*'01_Вводные'!$B$120,0)</f>
        <v/>
      </c>
      <c r="R4709">
        <f>IF('01_Вводные'!$B$234="Да",(MAX(0,'19_Расчет_аналитики'!R4695-'19_Расчет_аналитики'!Q4695)*'01_Вводные'!$B$119*'08_ФОТ'!R5+IF('08_ФОТ'!R$3='01_Вводные'!$B$247,'01_Вводные'!$B$133/'01_Вводные'!$B$132,0)+IF('08_ФОТ'!R$3='01_Вводные'!$B$248,'01_Вводные'!$B$134/'01_Вводные'!$B$132,0))*'01_Вводные'!$B$120,0)</f>
        <v/>
      </c>
      <c r="S4709">
        <f>IF('01_Вводные'!$B$234="Да",(MAX(0,'19_Расчет_аналитики'!S4695-'19_Расчет_аналитики'!R4695)*'01_Вводные'!$B$119*'08_ФОТ'!S5+IF('08_ФОТ'!S$3='01_Вводные'!$B$247,'01_Вводные'!$B$133/'01_Вводные'!$B$132,0)+IF('08_ФОТ'!S$3='01_Вводные'!$B$248,'01_Вводные'!$B$134/'01_Вводные'!$B$132,0))*'01_Вводные'!$B$120,0)</f>
        <v/>
      </c>
      <c r="T4709">
        <f>IF('01_Вводные'!$B$234="Да",(MAX(0,'19_Расчет_аналитики'!T4695-'19_Расчет_аналитики'!S4695)*'01_Вводные'!$B$119*'08_ФОТ'!T5+IF('08_ФОТ'!T$3='01_Вводные'!$B$247,'01_Вводные'!$B$133/'01_Вводные'!$B$132,0)+IF('08_ФОТ'!T$3='01_Вводные'!$B$248,'01_Вводные'!$B$134/'01_Вводные'!$B$132,0))*'01_Вводные'!$B$120,0)</f>
        <v/>
      </c>
      <c r="U4709">
        <f>IF('01_Вводные'!$B$234="Да",(MAX(0,'19_Расчет_аналитики'!U4695-'19_Расчет_аналитики'!T4695)*'01_Вводные'!$B$119*'08_ФОТ'!U5+IF('08_ФОТ'!U$3='01_Вводные'!$B$247,'01_Вводные'!$B$133/'01_Вводные'!$B$132,0)+IF('08_ФОТ'!U$3='01_Вводные'!$B$248,'01_Вводные'!$B$134/'01_Вводные'!$B$132,0))*'01_Вводные'!$B$120,0)</f>
        <v/>
      </c>
      <c r="V4709">
        <f>IF('01_Вводные'!$B$234="Да",(MAX(0,'19_Расчет_аналитики'!V4695-'19_Расчет_аналитики'!U4695)*'01_Вводные'!$B$119*'08_ФОТ'!V5+IF('08_ФОТ'!V$3='01_Вводные'!$B$247,'01_Вводные'!$B$133/'01_Вводные'!$B$132,0)+IF('08_ФОТ'!V$3='01_Вводные'!$B$248,'01_Вводные'!$B$134/'01_Вводные'!$B$132,0))*'01_Вводные'!$B$120,0)</f>
        <v/>
      </c>
      <c r="W4709">
        <f>IF('01_Вводные'!$B$234="Да",(MAX(0,'19_Расчет_аналитики'!W4695-'19_Расчет_аналитики'!V4695)*'01_Вводные'!$B$119*'08_ФОТ'!W5+IF('08_ФОТ'!W$3='01_Вводные'!$B$247,'01_Вводные'!$B$133/'01_Вводные'!$B$132,0)+IF('08_ФОТ'!W$3='01_Вводные'!$B$248,'01_Вводные'!$B$134/'01_Вводные'!$B$132,0))*'01_Вводные'!$B$120,0)</f>
        <v/>
      </c>
      <c r="X4709">
        <f>IF('01_Вводные'!$B$234="Да",(MAX(0,'19_Расчет_аналитики'!X4695-'19_Расчет_аналитики'!W4695)*'01_Вводные'!$B$119*'08_ФОТ'!X5+IF('08_ФОТ'!X$3='01_Вводные'!$B$247,'01_Вводные'!$B$133/'01_Вводные'!$B$132,0)+IF('08_ФОТ'!X$3='01_Вводные'!$B$248,'01_Вводные'!$B$134/'01_Вводные'!$B$132,0))*'01_Вводные'!$B$120,0)</f>
        <v/>
      </c>
      <c r="Y4709">
        <f>IF('01_Вводные'!$B$234="Да",(MAX(0,'19_Расчет_аналитики'!Y4695-'19_Расчет_аналитики'!X4695)*'01_Вводные'!$B$119*'08_ФОТ'!Y5+IF('08_ФОТ'!Y$3='01_Вводные'!$B$247,'01_Вводные'!$B$133/'01_Вводные'!$B$132,0)+IF('08_ФОТ'!Y$3='01_Вводные'!$B$248,'01_Вводные'!$B$134/'01_Вводные'!$B$132,0))*'01_Вводные'!$B$120,0)</f>
        <v/>
      </c>
      <c r="Z4709">
        <f>IF('01_Вводные'!$B$234="Да",(MAX(0,'19_Расчет_аналитики'!Z4695-'19_Расчет_аналитики'!Y4695)*'01_Вводные'!$B$119*'08_ФОТ'!Z5+IF('08_ФОТ'!Z$3='01_Вводные'!$B$247,'01_Вводные'!$B$133/'01_Вводные'!$B$132,0)+IF('08_ФОТ'!Z$3='01_Вводные'!$B$248,'01_Вводные'!$B$134/'01_Вводные'!$B$132,0))*'01_Вводные'!$B$120,0)</f>
        <v/>
      </c>
      <c r="AA4709">
        <f>IF('01_Вводные'!$B$234="Да",(MAX(0,'19_Расчет_аналитики'!AA4695-'19_Расчет_аналитики'!Z4695)*'01_Вводные'!$B$119*'08_ФОТ'!AA5+IF('08_ФОТ'!AA$3='01_Вводные'!$B$247,'01_Вводные'!$B$133/'01_Вводные'!$B$132,0)+IF('08_ФОТ'!AA$3='01_Вводные'!$B$248,'01_Вводные'!$B$134/'01_Вводные'!$B$132,0))*'01_Вводные'!$B$120,0)</f>
        <v/>
      </c>
      <c r="AB4709">
        <f>IF('01_Вводные'!$B$234="Да",(MAX(0,'19_Расчет_аналитики'!AB4695-'19_Расчет_аналитики'!AA4695)*'01_Вводные'!$B$119*'08_ФОТ'!AB5+IF('08_ФОТ'!AB$3='01_Вводные'!$B$247,'01_Вводные'!$B$133/'01_Вводные'!$B$132,0)+IF('08_ФОТ'!AB$3='01_Вводные'!$B$248,'01_Вводные'!$B$134/'01_Вводные'!$B$132,0))*'01_Вводные'!$B$120,0)</f>
        <v/>
      </c>
      <c r="AC4709">
        <f>IF('01_Вводные'!$B$234="Да",(MAX(0,'19_Расчет_аналитики'!AC4695-'19_Расчет_аналитики'!AB4695)*'01_Вводные'!$B$119*'08_ФОТ'!AC5+IF('08_ФОТ'!AC$3='01_Вводные'!$B$247,'01_Вводные'!$B$133/'01_Вводные'!$B$132,0)+IF('08_ФОТ'!AC$3='01_Вводные'!$B$248,'01_Вводные'!$B$134/'01_Вводные'!$B$132,0))*'01_Вводные'!$B$120,0)</f>
        <v/>
      </c>
      <c r="AD4709">
        <f>IF('01_Вводные'!$B$234="Да",(MAX(0,'19_Расчет_аналитики'!AD4695-'19_Расчет_аналитики'!AC4695)*'01_Вводные'!$B$119*'08_ФОТ'!AD5+IF('08_ФОТ'!AD$3='01_Вводные'!$B$247,'01_Вводные'!$B$133/'01_Вводные'!$B$132,0)+IF('08_ФОТ'!AD$3='01_Вводные'!$B$248,'01_Вводные'!$B$134/'01_Вводные'!$B$132,0))*'01_Вводные'!$B$120,0)</f>
        <v/>
      </c>
      <c r="AE4709">
        <f>IF('01_Вводные'!$B$234="Да",(MAX(0,'19_Расчет_аналитики'!AE4695-'19_Расчет_аналитики'!AD4695)*'01_Вводные'!$B$119*'08_ФОТ'!AE5+IF('08_ФОТ'!AE$3='01_Вводные'!$B$247,'01_Вводные'!$B$133/'01_Вводные'!$B$132,0)+IF('08_ФОТ'!AE$3='01_Вводные'!$B$248,'01_Вводные'!$B$134/'01_Вводные'!$B$132,0))*'01_Вводные'!$B$120,0)</f>
        <v/>
      </c>
      <c r="AF4709">
        <f>IF('01_Вводные'!$B$234="Да",(MAX(0,'19_Расчет_аналитики'!AF4695-'19_Расчет_аналитики'!AE4695)*'01_Вводные'!$B$119*'08_ФОТ'!AF5+IF('08_ФОТ'!AF$3='01_Вводные'!$B$247,'01_Вводные'!$B$133/'01_Вводные'!$B$132,0)+IF('08_ФОТ'!AF$3='01_Вводные'!$B$248,'01_Вводные'!$B$134/'01_Вводные'!$B$132,0))*'01_Вводные'!$B$120,0)</f>
        <v/>
      </c>
      <c r="AG4709">
        <f>IF('01_Вводные'!$B$234="Да",(MAX(0,'19_Расчет_аналитики'!AG4695-'19_Расчет_аналитики'!AF4695)*'01_Вводные'!$B$119*'08_ФОТ'!AG5+IF('08_ФОТ'!AG$3='01_Вводные'!$B$247,'01_Вводные'!$B$133/'01_Вводные'!$B$132,0)+IF('08_ФОТ'!AG$3='01_Вводные'!$B$248,'01_Вводные'!$B$134/'01_Вводные'!$B$132,0))*'01_Вводные'!$B$120,0)</f>
        <v/>
      </c>
      <c r="AH4709">
        <f>IF('01_Вводные'!$B$234="Да",(MAX(0,'19_Расчет_аналитики'!AH4695-'19_Расчет_аналитики'!AG4695)*'01_Вводные'!$B$119*'08_ФОТ'!AH5+IF('08_ФОТ'!AH$3='01_Вводные'!$B$247,'01_Вводные'!$B$133/'01_Вводные'!$B$132,0)+IF('08_ФОТ'!AH$3='01_Вводные'!$B$248,'01_Вводные'!$B$134/'01_Вводные'!$B$132,0))*'01_Вводные'!$B$120,0)</f>
        <v/>
      </c>
      <c r="AI4709">
        <f>IF('01_Вводные'!$B$234="Да",(MAX(0,'19_Расчет_аналитики'!AI4695-'19_Расчет_аналитики'!AH4695)*'01_Вводные'!$B$119*'08_ФОТ'!AI5+IF('08_ФОТ'!AI$3='01_Вводные'!$B$247,'01_Вводные'!$B$133/'01_Вводные'!$B$132,0)+IF('08_ФОТ'!AI$3='01_Вводные'!$B$248,'01_Вводные'!$B$134/'01_Вводные'!$B$132,0))*'01_Вводные'!$B$120,0)</f>
        <v/>
      </c>
      <c r="AJ4709">
        <f>IF('01_Вводные'!$B$234="Да",(MAX(0,'19_Расчет_аналитики'!AJ4695-'19_Расчет_аналитики'!AI4695)*'01_Вводные'!$B$119*'08_ФОТ'!AJ5+IF('08_ФОТ'!AJ$3='01_Вводные'!$B$247,'01_Вводные'!$B$133/'01_Вводные'!$B$132,0)+IF('08_ФОТ'!AJ$3='01_Вводные'!$B$248,'01_Вводные'!$B$134/'01_Вводные'!$B$132,0))*'01_Вводные'!$B$120,0)</f>
        <v/>
      </c>
      <c r="AK4709">
        <f>IF('01_Вводные'!$B$234="Да",(MAX(0,'19_Расчет_аналитики'!AK4695-'19_Расчет_аналитики'!AJ4695)*'01_Вводные'!$B$119*'08_ФОТ'!AK5+IF('08_ФОТ'!AK$3='01_Вводные'!$B$247,'01_Вводные'!$B$133/'01_Вводные'!$B$132,0)+IF('08_ФОТ'!AK$3='01_Вводные'!$B$248,'01_Вводные'!$B$134/'01_Вводные'!$B$132,0))*'01_Вводные'!$B$120,0)</f>
        <v/>
      </c>
      <c r="AL4709">
        <f>IF('01_Вводные'!$B$234="Да",(MAX(0,'19_Расчет_аналитики'!AL4695-'19_Расчет_аналитики'!AK4695)*'01_Вводные'!$B$119*'08_ФОТ'!AL5+IF('08_ФОТ'!AL$3='01_Вводные'!$B$247,'01_Вводные'!$B$133/'01_Вводные'!$B$132,0)+IF('08_ФОТ'!AL$3='01_Вводные'!$B$248,'01_Вводные'!$B$134/'01_Вводные'!$B$132,0))*'01_Вводные'!$B$120,0)</f>
        <v/>
      </c>
      <c r="AM4709">
        <f>IF('01_Вводные'!$B$234="Да",(MAX(0,'19_Расчет_аналитики'!AM4695-'19_Расчет_аналитики'!AL4695)*'01_Вводные'!$B$119*'08_ФОТ'!AM5+IF('08_ФОТ'!AM$3='01_Вводные'!$B$247,'01_Вводные'!$B$133/'01_Вводные'!$B$132,0)+IF('08_ФОТ'!AM$3='01_Вводные'!$B$248,'01_Вводные'!$B$134/'01_Вводные'!$B$132,0))*'01_Вводные'!$B$120,0)</f>
        <v/>
      </c>
      <c r="AN4709">
        <f>IF('01_Вводные'!$B$234="Да",(MAX(0,'19_Расчет_аналитики'!AN4695-'19_Расчет_аналитики'!AM4695)*'01_Вводные'!$B$119*'08_ФОТ'!AN5+IF('08_ФОТ'!AN$3='01_Вводные'!$B$247,'01_Вводные'!$B$133/'01_Вводные'!$B$132,0)+IF('08_ФОТ'!AN$3='01_Вводные'!$B$248,'01_Вводные'!$B$134/'01_Вводные'!$B$132,0))*'01_Вводные'!$B$120,0)</f>
        <v/>
      </c>
      <c r="AO4709">
        <f>IF('01_Вводные'!$B$234="Да",(MAX(0,'19_Расчет_аналитики'!AO4695-'19_Расчет_аналитики'!AN4695)*'01_Вводные'!$B$119*'08_ФОТ'!AO5+IF('08_ФОТ'!AO$3='01_Вводные'!$B$247,'01_Вводные'!$B$133/'01_Вводные'!$B$132,0)+IF('08_ФОТ'!AO$3='01_Вводные'!$B$248,'01_Вводные'!$B$134/'01_Вводные'!$B$132,0))*'01_Вводные'!$B$120,0)</f>
        <v/>
      </c>
      <c r="AP4709">
        <f>IF('01_Вводные'!$B$234="Да",(MAX(0,'19_Расчет_аналитики'!AP4695-'19_Расчет_аналитики'!AO4695)*'01_Вводные'!$B$119*'08_ФОТ'!AP5+IF('08_ФОТ'!AP$3='01_Вводные'!$B$247,'01_Вводные'!$B$133/'01_Вводные'!$B$132,0)+IF('08_ФОТ'!AP$3='01_Вводные'!$B$248,'01_Вводные'!$B$134/'01_Вводные'!$B$132,0))*'01_Вводные'!$B$120,0)</f>
        <v/>
      </c>
      <c r="AQ4709">
        <f>IF('01_Вводные'!$B$234="Да",(MAX(0,'19_Расчет_аналитики'!AQ4695-'19_Расчет_аналитики'!AP4695)*'01_Вводные'!$B$119*'08_ФОТ'!AQ5+IF('08_ФОТ'!AQ$3='01_Вводные'!$B$247,'01_Вводные'!$B$133/'01_Вводные'!$B$132,0)+IF('08_ФОТ'!AQ$3='01_Вводные'!$B$248,'01_Вводные'!$B$134/'01_Вводные'!$B$132,0))*'01_Вводные'!$B$120,0)</f>
        <v/>
      </c>
      <c r="AR4709">
        <f>IF('01_Вводные'!$B$234="Да",(MAX(0,'19_Расчет_аналитики'!AR4695-'19_Расчет_аналитики'!AQ4695)*'01_Вводные'!$B$119*'08_ФОТ'!AR5+IF('08_ФОТ'!AR$3='01_Вводные'!$B$247,'01_Вводные'!$B$133/'01_Вводные'!$B$132,0)+IF('08_ФОТ'!AR$3='01_Вводные'!$B$248,'01_Вводные'!$B$134/'01_Вводные'!$B$132,0))*'01_Вводные'!$B$120,0)</f>
        <v/>
      </c>
      <c r="AS4709">
        <f>IF('01_Вводные'!$B$234="Да",(MAX(0,'19_Расчет_аналитики'!AS4695-'19_Расчет_аналитики'!AR4695)*'01_Вводные'!$B$119*'08_ФОТ'!AS5+IF('08_ФОТ'!AS$3='01_Вводные'!$B$247,'01_Вводные'!$B$133/'01_Вводные'!$B$132,0)+IF('08_ФОТ'!AS$3='01_Вводные'!$B$248,'01_Вводные'!$B$134/'01_Вводные'!$B$132,0))*'01_Вводные'!$B$120,0)</f>
        <v/>
      </c>
      <c r="AT4709">
        <f>IF('01_Вводные'!$B$234="Да",(MAX(0,'19_Расчет_аналитики'!AT4695-'19_Расчет_аналитики'!AS4695)*'01_Вводные'!$B$119*'08_ФОТ'!AT5+IF('08_ФОТ'!AT$3='01_Вводные'!$B$247,'01_Вводные'!$B$133/'01_Вводные'!$B$132,0)+IF('08_ФОТ'!AT$3='01_Вводные'!$B$248,'01_Вводные'!$B$134/'01_Вводные'!$B$132,0))*'01_Вводные'!$B$120,0)</f>
        <v/>
      </c>
      <c r="AU4709">
        <f>IF('01_Вводные'!$B$234="Да",(MAX(0,'19_Расчет_аналитики'!AU4695-'19_Расчет_аналитики'!AT4695)*'01_Вводные'!$B$119*'08_ФОТ'!AU5+IF('08_ФОТ'!AU$3='01_Вводные'!$B$247,'01_Вводные'!$B$133/'01_Вводные'!$B$132,0)+IF('08_ФОТ'!AU$3='01_Вводные'!$B$248,'01_Вводные'!$B$134/'01_Вводные'!$B$132,0))*'01_Вводные'!$B$120,0)</f>
        <v/>
      </c>
      <c r="AV4709">
        <f>IF('01_Вводные'!$B$234="Да",(MAX(0,'19_Расчет_аналитики'!AV4695-'19_Расчет_аналитики'!AU4695)*'01_Вводные'!$B$119*'08_ФОТ'!AV5+IF('08_ФОТ'!AV$3='01_Вводные'!$B$247,'01_Вводные'!$B$133/'01_Вводные'!$B$132,0)+IF('08_ФОТ'!AV$3='01_Вводные'!$B$248,'01_Вводные'!$B$134/'01_Вводные'!$B$132,0))*'01_Вводные'!$B$120,0)</f>
        <v/>
      </c>
      <c r="AW4709">
        <f>IF('01_Вводные'!$B$234="Да",(MAX(0,'19_Расчет_аналитики'!AW4695-'19_Расчет_аналитики'!AV4695)*'01_Вводные'!$B$119*'08_ФОТ'!AW5+IF('08_ФОТ'!AW$3='01_Вводные'!$B$247,'01_Вводные'!$B$133/'01_Вводные'!$B$132,0)+IF('08_ФОТ'!AW$3='01_Вводные'!$B$248,'01_Вводные'!$B$134/'01_Вводные'!$B$132,0))*'01_Вводные'!$B$120,0)</f>
        <v/>
      </c>
      <c r="AX4709">
        <f>IF('01_Вводные'!$B$234="Да",(MAX(0,'19_Расчет_аналитики'!AX4695-'19_Расчет_аналитики'!AW4695)*'01_Вводные'!$B$119*'08_ФОТ'!AX5+IF('08_ФОТ'!AX$3='01_Вводные'!$B$247,'01_Вводные'!$B$133/'01_Вводные'!$B$132,0)+IF('08_ФОТ'!AX$3='01_Вводные'!$B$248,'01_Вводные'!$B$134/'01_Вводные'!$B$132,0))*'01_Вводные'!$B$120,0)</f>
        <v/>
      </c>
      <c r="AY4709">
        <f>IF('01_Вводные'!$B$234="Да",(MAX(0,'19_Расчет_аналитики'!AY4695-'19_Расчет_аналитики'!AX4695)*'01_Вводные'!$B$119*'08_ФОТ'!AY5+IF('08_ФОТ'!AY$3='01_Вводные'!$B$247,'01_Вводные'!$B$133/'01_Вводные'!$B$132,0)+IF('08_ФОТ'!AY$3='01_Вводные'!$B$248,'01_Вводные'!$B$134/'01_Вводные'!$B$132,0))*'01_Вводные'!$B$120,0)</f>
        <v/>
      </c>
      <c r="AZ4709">
        <f>IF('01_Вводные'!$B$234="Да",(MAX(0,'19_Расчет_аналитики'!AZ4695-'19_Расчет_аналитики'!AY4695)*'01_Вводные'!$B$119*'08_ФОТ'!AZ5+IF('08_ФОТ'!AZ$3='01_Вводные'!$B$247,'01_Вводные'!$B$133/'01_Вводные'!$B$132,0)+IF('08_ФОТ'!AZ$3='01_Вводные'!$B$248,'01_Вводные'!$B$134/'01_Вводные'!$B$132,0))*'01_Вводные'!$B$120,0)</f>
        <v/>
      </c>
      <c r="BA4709">
        <f>IF('01_Вводные'!$B$234="Да",(MAX(0,'19_Расчет_аналитики'!BA4695-'19_Расчет_аналитики'!AZ4695)*'01_Вводные'!$B$119*'08_ФОТ'!BA5+IF('08_ФОТ'!BA$3='01_Вводные'!$B$247,'01_Вводные'!$B$133/'01_Вводные'!$B$132,0)+IF('08_ФОТ'!BA$3='01_Вводные'!$B$248,'01_Вводные'!$B$134/'01_Вводные'!$B$132,0))*'01_Вводные'!$B$120,0)</f>
        <v/>
      </c>
      <c r="BB4709">
        <f>IF('01_Вводные'!$B$234="Да",(MAX(0,'19_Расчет_аналитики'!BB4695-'19_Расчет_аналитики'!BA4695)*'01_Вводные'!$B$119*'08_ФОТ'!BB5+IF('08_ФОТ'!BB$3='01_Вводные'!$B$247,'01_Вводные'!$B$133/'01_Вводные'!$B$132,0)+IF('08_ФОТ'!BB$3='01_Вводные'!$B$248,'01_Вводные'!$B$134/'01_Вводные'!$B$132,0))*'01_Вводные'!$B$120,0)</f>
        <v/>
      </c>
      <c r="BC4709">
        <f>IF('01_Вводные'!$B$234="Да",(MAX(0,'19_Расчет_аналитики'!BC4695-'19_Расчет_аналитики'!BB4695)*'01_Вводные'!$B$119*'08_ФОТ'!BC5+IF('08_ФОТ'!BC$3='01_Вводные'!$B$247,'01_Вводные'!$B$133/'01_Вводные'!$B$132,0)+IF('08_ФОТ'!BC$3='01_Вводные'!$B$248,'01_Вводные'!$B$134/'01_Вводные'!$B$132,0))*'01_Вводные'!$B$120,0)</f>
        <v/>
      </c>
      <c r="BD4709">
        <f>IF('01_Вводные'!$B$234="Да",(MAX(0,'19_Расчет_аналитики'!BD4695-'19_Расчет_аналитики'!BC4695)*'01_Вводные'!$B$119*'08_ФОТ'!BD5+IF('08_ФОТ'!BD$3='01_Вводные'!$B$247,'01_Вводные'!$B$133/'01_Вводные'!$B$132,0)+IF('08_ФОТ'!BD$3='01_Вводные'!$B$248,'01_Вводные'!$B$134/'01_Вводные'!$B$132,0))*'01_Вводные'!$B$120,0)</f>
        <v/>
      </c>
      <c r="BE4709">
        <f>IF('01_Вводные'!$B$234="Да",(MAX(0,'19_Расчет_аналитики'!BE4695-'19_Расчет_аналитики'!BD4695)*'01_Вводные'!$B$119*'08_ФОТ'!BE5+IF('08_ФОТ'!BE$3='01_Вводные'!$B$247,'01_Вводные'!$B$133/'01_Вводные'!$B$132,0)+IF('08_ФОТ'!BE$3='01_Вводные'!$B$248,'01_Вводные'!$B$134/'01_Вводные'!$B$132,0))*'01_Вводные'!$B$120,0)</f>
        <v/>
      </c>
      <c r="BF4709">
        <f>IF('01_Вводные'!$B$234="Да",(MAX(0,'19_Расчет_аналитики'!BF4695-'19_Расчет_аналитики'!BE4695)*'01_Вводные'!$B$119*'08_ФОТ'!BF5+IF('08_ФОТ'!BF$3='01_Вводные'!$B$247,'01_Вводные'!$B$133/'01_Вводные'!$B$132,0)+IF('08_ФОТ'!BF$3='01_Вводные'!$B$248,'01_Вводные'!$B$134/'01_Вводные'!$B$132,0))*'01_Вводные'!$B$120,0)</f>
        <v/>
      </c>
      <c r="BG4709">
        <f>IF('01_Вводные'!$B$234="Да",(MAX(0,'19_Расчет_аналитики'!BG4695-'19_Расчет_аналитики'!BF4695)*'01_Вводные'!$B$119*'08_ФОТ'!BG5+IF('08_ФОТ'!BG$3='01_Вводные'!$B$247,'01_Вводные'!$B$133/'01_Вводные'!$B$132,0)+IF('08_ФОТ'!BG$3='01_Вводные'!$B$248,'01_Вводные'!$B$134/'01_Вводные'!$B$132,0))*'01_Вводные'!$B$120,0)</f>
        <v/>
      </c>
      <c r="BH4709">
        <f>IF('01_Вводные'!$B$234="Да",(MAX(0,'19_Расчет_аналитики'!BH4695-'19_Расчет_аналитики'!BG4695)*'01_Вводные'!$B$119*'08_ФОТ'!BH5+IF('08_ФОТ'!BH$3='01_Вводные'!$B$247,'01_Вводные'!$B$133/'01_Вводные'!$B$132,0)+IF('08_ФОТ'!BH$3='01_Вводные'!$B$248,'01_Вводные'!$B$134/'01_Вводные'!$B$132,0))*'01_Вводные'!$B$120,0)</f>
        <v/>
      </c>
      <c r="BI4709">
        <f>IF('01_Вводные'!$B$234="Да",(MAX(0,'19_Расчет_аналитики'!BI4695-'19_Расчет_аналитики'!BH4695)*'01_Вводные'!$B$119*'08_ФОТ'!BI5+IF('08_ФОТ'!BI$3='01_Вводные'!$B$247,'01_Вводные'!$B$133/'01_Вводные'!$B$132,0)+IF('08_ФОТ'!BI$3='01_Вводные'!$B$248,'01_Вводные'!$B$134/'01_Вводные'!$B$132,0))*'01_Вводные'!$B$120,0)</f>
        <v/>
      </c>
    </row>
    <row r="4710">
      <c r="C4710">
        <f>'08_ФОТ'!C25</f>
        <v/>
      </c>
      <c r="D4710">
        <f>'08_ФОТ'!D25</f>
        <v/>
      </c>
      <c r="E4710">
        <f>'08_ФОТ'!E25</f>
        <v/>
      </c>
      <c r="F4710">
        <f>'08_ФОТ'!F25</f>
        <v/>
      </c>
      <c r="G4710">
        <f>'08_ФОТ'!G25</f>
        <v/>
      </c>
      <c r="H4710">
        <f>'08_ФОТ'!H25</f>
        <v/>
      </c>
      <c r="I4710">
        <f>'08_ФОТ'!I25</f>
        <v/>
      </c>
      <c r="J4710">
        <f>'08_ФОТ'!J25</f>
        <v/>
      </c>
      <c r="K4710">
        <f>'08_ФОТ'!K25</f>
        <v/>
      </c>
      <c r="L4710">
        <f>'08_ФОТ'!L25</f>
        <v/>
      </c>
      <c r="M4710">
        <f>'08_ФОТ'!M25</f>
        <v/>
      </c>
      <c r="N4710">
        <f>'08_ФОТ'!N25</f>
        <v/>
      </c>
      <c r="O4710">
        <f>'08_ФОТ'!O25</f>
        <v/>
      </c>
      <c r="P4710">
        <f>'08_ФОТ'!P25</f>
        <v/>
      </c>
      <c r="Q4710">
        <f>'08_ФОТ'!Q25</f>
        <v/>
      </c>
      <c r="R4710">
        <f>'08_ФОТ'!R25</f>
        <v/>
      </c>
      <c r="S4710">
        <f>'08_ФОТ'!S25</f>
        <v/>
      </c>
      <c r="T4710">
        <f>'08_ФОТ'!T25</f>
        <v/>
      </c>
      <c r="U4710">
        <f>'08_ФОТ'!U25</f>
        <v/>
      </c>
      <c r="V4710">
        <f>'08_ФОТ'!V25</f>
        <v/>
      </c>
      <c r="W4710">
        <f>'08_ФОТ'!W25</f>
        <v/>
      </c>
      <c r="X4710">
        <f>'08_ФОТ'!X25</f>
        <v/>
      </c>
      <c r="Y4710">
        <f>'08_ФОТ'!Y25</f>
        <v/>
      </c>
      <c r="Z4710">
        <f>'08_ФОТ'!Z25</f>
        <v/>
      </c>
      <c r="AA4710">
        <f>'08_ФОТ'!AA25</f>
        <v/>
      </c>
      <c r="AB4710">
        <f>'08_ФОТ'!AB25</f>
        <v/>
      </c>
      <c r="AC4710">
        <f>'08_ФОТ'!AC25</f>
        <v/>
      </c>
      <c r="AD4710">
        <f>'08_ФОТ'!AD25</f>
        <v/>
      </c>
      <c r="AE4710">
        <f>'08_ФОТ'!AE25</f>
        <v/>
      </c>
      <c r="AF4710">
        <f>'08_ФОТ'!AF25</f>
        <v/>
      </c>
      <c r="AG4710">
        <f>'08_ФОТ'!AG25</f>
        <v/>
      </c>
      <c r="AH4710">
        <f>'08_ФОТ'!AH25</f>
        <v/>
      </c>
      <c r="AI4710">
        <f>'08_ФОТ'!AI25</f>
        <v/>
      </c>
      <c r="AJ4710">
        <f>'08_ФОТ'!AJ25</f>
        <v/>
      </c>
      <c r="AK4710">
        <f>'08_ФОТ'!AK25</f>
        <v/>
      </c>
      <c r="AL4710">
        <f>'08_ФОТ'!AL25</f>
        <v/>
      </c>
      <c r="AM4710">
        <f>'08_ФОТ'!AM25</f>
        <v/>
      </c>
      <c r="AN4710">
        <f>'08_ФОТ'!AN25</f>
        <v/>
      </c>
      <c r="AO4710">
        <f>'08_ФОТ'!AO25</f>
        <v/>
      </c>
      <c r="AP4710">
        <f>'08_ФОТ'!AP25</f>
        <v/>
      </c>
      <c r="AQ4710">
        <f>'08_ФОТ'!AQ25</f>
        <v/>
      </c>
      <c r="AR4710">
        <f>'08_ФОТ'!AR25</f>
        <v/>
      </c>
      <c r="AS4710">
        <f>'08_ФОТ'!AS25</f>
        <v/>
      </c>
      <c r="AT4710">
        <f>'08_ФОТ'!AT25</f>
        <v/>
      </c>
      <c r="AU4710">
        <f>'08_ФОТ'!AU25</f>
        <v/>
      </c>
      <c r="AV4710">
        <f>'08_ФОТ'!AV25</f>
        <v/>
      </c>
      <c r="AW4710">
        <f>'08_ФОТ'!AW25</f>
        <v/>
      </c>
      <c r="AX4710">
        <f>'08_ФОТ'!AX25</f>
        <v/>
      </c>
      <c r="AY4710">
        <f>'08_ФОТ'!AY25</f>
        <v/>
      </c>
      <c r="AZ4710">
        <f>'08_ФОТ'!AZ25</f>
        <v/>
      </c>
      <c r="BA4710">
        <f>'08_ФОТ'!BA25</f>
        <v/>
      </c>
      <c r="BB4710">
        <f>'08_ФОТ'!BB25</f>
        <v/>
      </c>
      <c r="BC4710">
        <f>'08_ФОТ'!BC25</f>
        <v/>
      </c>
      <c r="BD4710">
        <f>'08_ФОТ'!BD25</f>
        <v/>
      </c>
      <c r="BE4710">
        <f>'08_ФОТ'!BE25</f>
        <v/>
      </c>
      <c r="BF4710">
        <f>'08_ФОТ'!BF25</f>
        <v/>
      </c>
      <c r="BG4710">
        <f>'08_ФОТ'!BG25</f>
        <v/>
      </c>
      <c r="BH4710">
        <f>'08_ФОТ'!BH25</f>
        <v/>
      </c>
      <c r="BI4710">
        <f>'08_ФОТ'!BI25</f>
        <v/>
      </c>
    </row>
    <row r="4711">
      <c r="C4711">
        <f>'08_ФОТ'!C26</f>
        <v/>
      </c>
      <c r="D4711">
        <f>'08_ФОТ'!D26</f>
        <v/>
      </c>
      <c r="E4711">
        <f>'08_ФОТ'!E26</f>
        <v/>
      </c>
      <c r="F4711">
        <f>'08_ФОТ'!F26</f>
        <v/>
      </c>
      <c r="G4711">
        <f>'08_ФОТ'!G26</f>
        <v/>
      </c>
      <c r="H4711">
        <f>'08_ФОТ'!H26</f>
        <v/>
      </c>
      <c r="I4711">
        <f>'08_ФОТ'!I26</f>
        <v/>
      </c>
      <c r="J4711">
        <f>'08_ФОТ'!J26</f>
        <v/>
      </c>
      <c r="K4711">
        <f>'08_ФОТ'!K26</f>
        <v/>
      </c>
      <c r="L4711">
        <f>'08_ФОТ'!L26</f>
        <v/>
      </c>
      <c r="M4711">
        <f>'08_ФОТ'!M26</f>
        <v/>
      </c>
      <c r="N4711">
        <f>'08_ФОТ'!N26</f>
        <v/>
      </c>
      <c r="O4711">
        <f>'08_ФОТ'!O26</f>
        <v/>
      </c>
      <c r="P4711">
        <f>'08_ФОТ'!P26</f>
        <v/>
      </c>
      <c r="Q4711">
        <f>'08_ФОТ'!Q26</f>
        <v/>
      </c>
      <c r="R4711">
        <f>'08_ФОТ'!R26</f>
        <v/>
      </c>
      <c r="S4711">
        <f>'08_ФОТ'!S26</f>
        <v/>
      </c>
      <c r="T4711">
        <f>'08_ФОТ'!T26</f>
        <v/>
      </c>
      <c r="U4711">
        <f>'08_ФОТ'!U26</f>
        <v/>
      </c>
      <c r="V4711">
        <f>'08_ФОТ'!V26</f>
        <v/>
      </c>
      <c r="W4711">
        <f>'08_ФОТ'!W26</f>
        <v/>
      </c>
      <c r="X4711">
        <f>'08_ФОТ'!X26</f>
        <v/>
      </c>
      <c r="Y4711">
        <f>'08_ФОТ'!Y26</f>
        <v/>
      </c>
      <c r="Z4711">
        <f>'08_ФОТ'!Z26</f>
        <v/>
      </c>
      <c r="AA4711">
        <f>'08_ФОТ'!AA26</f>
        <v/>
      </c>
      <c r="AB4711">
        <f>'08_ФОТ'!AB26</f>
        <v/>
      </c>
      <c r="AC4711">
        <f>'08_ФОТ'!AC26</f>
        <v/>
      </c>
      <c r="AD4711">
        <f>'08_ФОТ'!AD26</f>
        <v/>
      </c>
      <c r="AE4711">
        <f>'08_ФОТ'!AE26</f>
        <v/>
      </c>
      <c r="AF4711">
        <f>'08_ФОТ'!AF26</f>
        <v/>
      </c>
      <c r="AG4711">
        <f>'08_ФОТ'!AG26</f>
        <v/>
      </c>
      <c r="AH4711">
        <f>'08_ФОТ'!AH26</f>
        <v/>
      </c>
      <c r="AI4711">
        <f>'08_ФОТ'!AI26</f>
        <v/>
      </c>
      <c r="AJ4711">
        <f>'08_ФОТ'!AJ26</f>
        <v/>
      </c>
      <c r="AK4711">
        <f>'08_ФОТ'!AK26</f>
        <v/>
      </c>
      <c r="AL4711">
        <f>'08_ФОТ'!AL26</f>
        <v/>
      </c>
      <c r="AM4711">
        <f>'08_ФОТ'!AM26</f>
        <v/>
      </c>
      <c r="AN4711">
        <f>'08_ФОТ'!AN26</f>
        <v/>
      </c>
      <c r="AO4711">
        <f>'08_ФОТ'!AO26</f>
        <v/>
      </c>
      <c r="AP4711">
        <f>'08_ФОТ'!AP26</f>
        <v/>
      </c>
      <c r="AQ4711">
        <f>'08_ФОТ'!AQ26</f>
        <v/>
      </c>
      <c r="AR4711">
        <f>'08_ФОТ'!AR26</f>
        <v/>
      </c>
      <c r="AS4711">
        <f>'08_ФОТ'!AS26</f>
        <v/>
      </c>
      <c r="AT4711">
        <f>'08_ФОТ'!AT26</f>
        <v/>
      </c>
      <c r="AU4711">
        <f>'08_ФОТ'!AU26</f>
        <v/>
      </c>
      <c r="AV4711">
        <f>'08_ФОТ'!AV26</f>
        <v/>
      </c>
      <c r="AW4711">
        <f>'08_ФОТ'!AW26</f>
        <v/>
      </c>
      <c r="AX4711">
        <f>'08_ФОТ'!AX26</f>
        <v/>
      </c>
      <c r="AY4711">
        <f>'08_ФОТ'!AY26</f>
        <v/>
      </c>
      <c r="AZ4711">
        <f>'08_ФОТ'!AZ26</f>
        <v/>
      </c>
      <c r="BA4711">
        <f>'08_ФОТ'!BA26</f>
        <v/>
      </c>
      <c r="BB4711">
        <f>'08_ФОТ'!BB26</f>
        <v/>
      </c>
      <c r="BC4711">
        <f>'08_ФОТ'!BC26</f>
        <v/>
      </c>
      <c r="BD4711">
        <f>'08_ФОТ'!BD26</f>
        <v/>
      </c>
      <c r="BE4711">
        <f>'08_ФОТ'!BE26</f>
        <v/>
      </c>
      <c r="BF4711">
        <f>'08_ФОТ'!BF26</f>
        <v/>
      </c>
      <c r="BG4711">
        <f>'08_ФОТ'!BG26</f>
        <v/>
      </c>
      <c r="BH4711">
        <f>'08_ФОТ'!BH26</f>
        <v/>
      </c>
      <c r="BI4711">
        <f>'08_ФОТ'!BI26</f>
        <v/>
      </c>
    </row>
    <row r="4712"/>
    <row r="4713">
      <c r="C4713">
        <f>IF('01_Вводные'!$B$234="Да",SUM('19_Расчет_аналитики'!C4697:C4698,'19_Расчет_аналитики'!C4700:C4704,'08_ФОТ'!C21:C22,'19_Расчет_аналитики'!C4709:C4711),0)</f>
        <v/>
      </c>
      <c r="D4713">
        <f>IF('01_Вводные'!$B$234="Да",SUM('19_Расчет_аналитики'!D4697:D4698,'19_Расчет_аналитики'!D4700:D4704,'08_ФОТ'!D21:D22,'19_Расчет_аналитики'!D4709:D4711),0)</f>
        <v/>
      </c>
      <c r="E4713">
        <f>IF('01_Вводные'!$B$234="Да",SUM('19_Расчет_аналитики'!E4697:E4698,'19_Расчет_аналитики'!E4700:E4704,'08_ФОТ'!E21:E22,'19_Расчет_аналитики'!E4709:E4711),0)</f>
        <v/>
      </c>
      <c r="F4713">
        <f>IF('01_Вводные'!$B$234="Да",SUM('19_Расчет_аналитики'!F4697:F4698,'19_Расчет_аналитики'!F4700:F4704,'08_ФОТ'!F21:F22,'19_Расчет_аналитики'!F4709:F4711),0)</f>
        <v/>
      </c>
      <c r="G4713">
        <f>IF('01_Вводные'!$B$234="Да",SUM('19_Расчет_аналитики'!G4697:G4698,'19_Расчет_аналитики'!G4700:G4704,'08_ФОТ'!G21:G22,'19_Расчет_аналитики'!G4709:G4711),0)</f>
        <v/>
      </c>
      <c r="H4713">
        <f>IF('01_Вводные'!$B$234="Да",SUM('19_Расчет_аналитики'!H4697:H4698,'19_Расчет_аналитики'!H4700:H4704,'08_ФОТ'!H21:H22,'19_Расчет_аналитики'!H4709:H4711),0)</f>
        <v/>
      </c>
      <c r="I4713">
        <f>IF('01_Вводные'!$B$234="Да",SUM('19_Расчет_аналитики'!I4697:I4698,'19_Расчет_аналитики'!I4700:I4704,'08_ФОТ'!I21:I22,'19_Расчет_аналитики'!I4709:I4711),0)</f>
        <v/>
      </c>
      <c r="J4713">
        <f>IF('01_Вводные'!$B$234="Да",SUM('19_Расчет_аналитики'!J4697:J4698,'19_Расчет_аналитики'!J4700:J4704,'08_ФОТ'!J21:J22,'19_Расчет_аналитики'!J4709:J4711),0)</f>
        <v/>
      </c>
      <c r="K4713">
        <f>IF('01_Вводные'!$B$234="Да",SUM('19_Расчет_аналитики'!K4697:K4698,'19_Расчет_аналитики'!K4700:K4704,'08_ФОТ'!K21:K22,'19_Расчет_аналитики'!K4709:K4711),0)</f>
        <v/>
      </c>
      <c r="L4713">
        <f>IF('01_Вводные'!$B$234="Да",SUM('19_Расчет_аналитики'!L4697:L4698,'19_Расчет_аналитики'!L4700:L4704,'08_ФОТ'!L21:L22,'19_Расчет_аналитики'!L4709:L4711),0)</f>
        <v/>
      </c>
      <c r="M4713">
        <f>IF('01_Вводные'!$B$234="Да",SUM('19_Расчет_аналитики'!M4697:M4698,'19_Расчет_аналитики'!M4700:M4704,'08_ФОТ'!M21:M22,'19_Расчет_аналитики'!M4709:M4711),0)</f>
        <v/>
      </c>
      <c r="N4713">
        <f>IF('01_Вводные'!$B$234="Да",SUM('19_Расчет_аналитики'!N4697:N4698,'19_Расчет_аналитики'!N4700:N4704,'08_ФОТ'!N21:N22,'19_Расчет_аналитики'!N4709:N4711),0)</f>
        <v/>
      </c>
      <c r="O4713">
        <f>IF('01_Вводные'!$B$234="Да",SUM('19_Расчет_аналитики'!O4697:O4698,'19_Расчет_аналитики'!O4700:O4704,'08_ФОТ'!O21:O22,'19_Расчет_аналитики'!O4709:O4711),0)</f>
        <v/>
      </c>
      <c r="P4713">
        <f>IF('01_Вводные'!$B$234="Да",SUM('19_Расчет_аналитики'!P4697:P4698,'19_Расчет_аналитики'!P4700:P4704,'08_ФОТ'!P21:P22,'19_Расчет_аналитики'!P4709:P4711),0)</f>
        <v/>
      </c>
      <c r="Q4713">
        <f>IF('01_Вводные'!$B$234="Да",SUM('19_Расчет_аналитики'!Q4697:Q4698,'19_Расчет_аналитики'!Q4700:Q4704,'08_ФОТ'!Q21:Q22,'19_Расчет_аналитики'!Q4709:Q4711),0)</f>
        <v/>
      </c>
      <c r="R4713">
        <f>IF('01_Вводные'!$B$234="Да",SUM('19_Расчет_аналитики'!R4697:R4698,'19_Расчет_аналитики'!R4700:R4704,'08_ФОТ'!R21:R22,'19_Расчет_аналитики'!R4709:R4711),0)</f>
        <v/>
      </c>
      <c r="S4713">
        <f>IF('01_Вводные'!$B$234="Да",SUM('19_Расчет_аналитики'!S4697:S4698,'19_Расчет_аналитики'!S4700:S4704,'08_ФОТ'!S21:S22,'19_Расчет_аналитики'!S4709:S4711),0)</f>
        <v/>
      </c>
      <c r="T4713">
        <f>IF('01_Вводные'!$B$234="Да",SUM('19_Расчет_аналитики'!T4697:T4698,'19_Расчет_аналитики'!T4700:T4704,'08_ФОТ'!T21:T22,'19_Расчет_аналитики'!T4709:T4711),0)</f>
        <v/>
      </c>
      <c r="U4713">
        <f>IF('01_Вводные'!$B$234="Да",SUM('19_Расчет_аналитики'!U4697:U4698,'19_Расчет_аналитики'!U4700:U4704,'08_ФОТ'!U21:U22,'19_Расчет_аналитики'!U4709:U4711),0)</f>
        <v/>
      </c>
      <c r="V4713">
        <f>IF('01_Вводные'!$B$234="Да",SUM('19_Расчет_аналитики'!V4697:V4698,'19_Расчет_аналитики'!V4700:V4704,'08_ФОТ'!V21:V22,'19_Расчет_аналитики'!V4709:V4711),0)</f>
        <v/>
      </c>
      <c r="W4713">
        <f>IF('01_Вводные'!$B$234="Да",SUM('19_Расчет_аналитики'!W4697:W4698,'19_Расчет_аналитики'!W4700:W4704,'08_ФОТ'!W21:W22,'19_Расчет_аналитики'!W4709:W4711),0)</f>
        <v/>
      </c>
      <c r="X4713">
        <f>IF('01_Вводные'!$B$234="Да",SUM('19_Расчет_аналитики'!X4697:X4698,'19_Расчет_аналитики'!X4700:X4704,'08_ФОТ'!X21:X22,'19_Расчет_аналитики'!X4709:X4711),0)</f>
        <v/>
      </c>
      <c r="Y4713">
        <f>IF('01_Вводные'!$B$234="Да",SUM('19_Расчет_аналитики'!Y4697:Y4698,'19_Расчет_аналитики'!Y4700:Y4704,'08_ФОТ'!Y21:Y22,'19_Расчет_аналитики'!Y4709:Y4711),0)</f>
        <v/>
      </c>
      <c r="Z4713">
        <f>IF('01_Вводные'!$B$234="Да",SUM('19_Расчет_аналитики'!Z4697:Z4698,'19_Расчет_аналитики'!Z4700:Z4704,'08_ФОТ'!Z21:Z22,'19_Расчет_аналитики'!Z4709:Z4711),0)</f>
        <v/>
      </c>
      <c r="AA4713">
        <f>IF('01_Вводные'!$B$234="Да",SUM('19_Расчет_аналитики'!AA4697:AA4698,'19_Расчет_аналитики'!AA4700:AA4704,'08_ФОТ'!AA21:AA22,'19_Расчет_аналитики'!AA4709:AA4711),0)</f>
        <v/>
      </c>
      <c r="AB4713">
        <f>IF('01_Вводные'!$B$234="Да",SUM('19_Расчет_аналитики'!AB4697:AB4698,'19_Расчет_аналитики'!AB4700:AB4704,'08_ФОТ'!AB21:AB22,'19_Расчет_аналитики'!AB4709:AB4711),0)</f>
        <v/>
      </c>
      <c r="AC4713">
        <f>IF('01_Вводные'!$B$234="Да",SUM('19_Расчет_аналитики'!AC4697:AC4698,'19_Расчет_аналитики'!AC4700:AC4704,'08_ФОТ'!AC21:AC22,'19_Расчет_аналитики'!AC4709:AC4711),0)</f>
        <v/>
      </c>
      <c r="AD4713">
        <f>IF('01_Вводные'!$B$234="Да",SUM('19_Расчет_аналитики'!AD4697:AD4698,'19_Расчет_аналитики'!AD4700:AD4704,'08_ФОТ'!AD21:AD22,'19_Расчет_аналитики'!AD4709:AD4711),0)</f>
        <v/>
      </c>
      <c r="AE4713">
        <f>IF('01_Вводные'!$B$234="Да",SUM('19_Расчет_аналитики'!AE4697:AE4698,'19_Расчет_аналитики'!AE4700:AE4704,'08_ФОТ'!AE21:AE22,'19_Расчет_аналитики'!AE4709:AE4711),0)</f>
        <v/>
      </c>
      <c r="AF4713">
        <f>IF('01_Вводные'!$B$234="Да",SUM('19_Расчет_аналитики'!AF4697:AF4698,'19_Расчет_аналитики'!AF4700:AF4704,'08_ФОТ'!AF21:AF22,'19_Расчет_аналитики'!AF4709:AF4711),0)</f>
        <v/>
      </c>
      <c r="AG4713">
        <f>IF('01_Вводные'!$B$234="Да",SUM('19_Расчет_аналитики'!AG4697:AG4698,'19_Расчет_аналитики'!AG4700:AG4704,'08_ФОТ'!AG21:AG22,'19_Расчет_аналитики'!AG4709:AG4711),0)</f>
        <v/>
      </c>
      <c r="AH4713">
        <f>IF('01_Вводные'!$B$234="Да",SUM('19_Расчет_аналитики'!AH4697:AH4698,'19_Расчет_аналитики'!AH4700:AH4704,'08_ФОТ'!AH21:AH22,'19_Расчет_аналитики'!AH4709:AH4711),0)</f>
        <v/>
      </c>
      <c r="AI4713">
        <f>IF('01_Вводные'!$B$234="Да",SUM('19_Расчет_аналитики'!AI4697:AI4698,'19_Расчет_аналитики'!AI4700:AI4704,'08_ФОТ'!AI21:AI22,'19_Расчет_аналитики'!AI4709:AI4711),0)</f>
        <v/>
      </c>
      <c r="AJ4713">
        <f>IF('01_Вводные'!$B$234="Да",SUM('19_Расчет_аналитики'!AJ4697:AJ4698,'19_Расчет_аналитики'!AJ4700:AJ4704,'08_ФОТ'!AJ21:AJ22,'19_Расчет_аналитики'!AJ4709:AJ4711),0)</f>
        <v/>
      </c>
      <c r="AK4713">
        <f>IF('01_Вводные'!$B$234="Да",SUM('19_Расчет_аналитики'!AK4697:AK4698,'19_Расчет_аналитики'!AK4700:AK4704,'08_ФОТ'!AK21:AK22,'19_Расчет_аналитики'!AK4709:AK4711),0)</f>
        <v/>
      </c>
      <c r="AL4713">
        <f>IF('01_Вводные'!$B$234="Да",SUM('19_Расчет_аналитики'!AL4697:AL4698,'19_Расчет_аналитики'!AL4700:AL4704,'08_ФОТ'!AL21:AL22,'19_Расчет_аналитики'!AL4709:AL4711),0)</f>
        <v/>
      </c>
      <c r="AM4713">
        <f>IF('01_Вводные'!$B$234="Да",SUM('19_Расчет_аналитики'!AM4697:AM4698,'19_Расчет_аналитики'!AM4700:AM4704,'08_ФОТ'!AM21:AM22,'19_Расчет_аналитики'!AM4709:AM4711),0)</f>
        <v/>
      </c>
      <c r="AN4713">
        <f>IF('01_Вводные'!$B$234="Да",SUM('19_Расчет_аналитики'!AN4697:AN4698,'19_Расчет_аналитики'!AN4700:AN4704,'08_ФОТ'!AN21:AN22,'19_Расчет_аналитики'!AN4709:AN4711),0)</f>
        <v/>
      </c>
      <c r="AO4713">
        <f>IF('01_Вводные'!$B$234="Да",SUM('19_Расчет_аналитики'!AO4697:AO4698,'19_Расчет_аналитики'!AO4700:AO4704,'08_ФОТ'!AO21:AO22,'19_Расчет_аналитики'!AO4709:AO4711),0)</f>
        <v/>
      </c>
      <c r="AP4713">
        <f>IF('01_Вводные'!$B$234="Да",SUM('19_Расчет_аналитики'!AP4697:AP4698,'19_Расчет_аналитики'!AP4700:AP4704,'08_ФОТ'!AP21:AP22,'19_Расчет_аналитики'!AP4709:AP4711),0)</f>
        <v/>
      </c>
      <c r="AQ4713">
        <f>IF('01_Вводные'!$B$234="Да",SUM('19_Расчет_аналитики'!AQ4697:AQ4698,'19_Расчет_аналитики'!AQ4700:AQ4704,'08_ФОТ'!AQ21:AQ22,'19_Расчет_аналитики'!AQ4709:AQ4711),0)</f>
        <v/>
      </c>
      <c r="AR4713">
        <f>IF('01_Вводные'!$B$234="Да",SUM('19_Расчет_аналитики'!AR4697:AR4698,'19_Расчет_аналитики'!AR4700:AR4704,'08_ФОТ'!AR21:AR22,'19_Расчет_аналитики'!AR4709:AR4711),0)</f>
        <v/>
      </c>
      <c r="AS4713">
        <f>IF('01_Вводные'!$B$234="Да",SUM('19_Расчет_аналитики'!AS4697:AS4698,'19_Расчет_аналитики'!AS4700:AS4704,'08_ФОТ'!AS21:AS22,'19_Расчет_аналитики'!AS4709:AS4711),0)</f>
        <v/>
      </c>
      <c r="AT4713">
        <f>IF('01_Вводные'!$B$234="Да",SUM('19_Расчет_аналитики'!AT4697:AT4698,'19_Расчет_аналитики'!AT4700:AT4704,'08_ФОТ'!AT21:AT22,'19_Расчет_аналитики'!AT4709:AT4711),0)</f>
        <v/>
      </c>
      <c r="AU4713">
        <f>IF('01_Вводные'!$B$234="Да",SUM('19_Расчет_аналитики'!AU4697:AU4698,'19_Расчет_аналитики'!AU4700:AU4704,'08_ФОТ'!AU21:AU22,'19_Расчет_аналитики'!AU4709:AU4711),0)</f>
        <v/>
      </c>
      <c r="AV4713">
        <f>IF('01_Вводные'!$B$234="Да",SUM('19_Расчет_аналитики'!AV4697:AV4698,'19_Расчет_аналитики'!AV4700:AV4704,'08_ФОТ'!AV21:AV22,'19_Расчет_аналитики'!AV4709:AV4711),0)</f>
        <v/>
      </c>
      <c r="AW4713">
        <f>IF('01_Вводные'!$B$234="Да",SUM('19_Расчет_аналитики'!AW4697:AW4698,'19_Расчет_аналитики'!AW4700:AW4704,'08_ФОТ'!AW21:AW22,'19_Расчет_аналитики'!AW4709:AW4711),0)</f>
        <v/>
      </c>
      <c r="AX4713">
        <f>IF('01_Вводные'!$B$234="Да",SUM('19_Расчет_аналитики'!AX4697:AX4698,'19_Расчет_аналитики'!AX4700:AX4704,'08_ФОТ'!AX21:AX22,'19_Расчет_аналитики'!AX4709:AX4711),0)</f>
        <v/>
      </c>
      <c r="AY4713">
        <f>IF('01_Вводные'!$B$234="Да",SUM('19_Расчет_аналитики'!AY4697:AY4698,'19_Расчет_аналитики'!AY4700:AY4704,'08_ФОТ'!AY21:AY22,'19_Расчет_аналитики'!AY4709:AY4711),0)</f>
        <v/>
      </c>
      <c r="AZ4713">
        <f>IF('01_Вводные'!$B$234="Да",SUM('19_Расчет_аналитики'!AZ4697:AZ4698,'19_Расчет_аналитики'!AZ4700:AZ4704,'08_ФОТ'!AZ21:AZ22,'19_Расчет_аналитики'!AZ4709:AZ4711),0)</f>
        <v/>
      </c>
      <c r="BA4713">
        <f>IF('01_Вводные'!$B$234="Да",SUM('19_Расчет_аналитики'!BA4697:BA4698,'19_Расчет_аналитики'!BA4700:BA4704,'08_ФОТ'!BA21:BA22,'19_Расчет_аналитики'!BA4709:BA4711),0)</f>
        <v/>
      </c>
      <c r="BB4713">
        <f>IF('01_Вводные'!$B$234="Да",SUM('19_Расчет_аналитики'!BB4697:BB4698,'19_Расчет_аналитики'!BB4700:BB4704,'08_ФОТ'!BB21:BB22,'19_Расчет_аналитики'!BB4709:BB4711),0)</f>
        <v/>
      </c>
      <c r="BC4713">
        <f>IF('01_Вводные'!$B$234="Да",SUM('19_Расчет_аналитики'!BC4697:BC4698,'19_Расчет_аналитики'!BC4700:BC4704,'08_ФОТ'!BC21:BC22,'19_Расчет_аналитики'!BC4709:BC4711),0)</f>
        <v/>
      </c>
      <c r="BD4713">
        <f>IF('01_Вводные'!$B$234="Да",SUM('19_Расчет_аналитики'!BD4697:BD4698,'19_Расчет_аналитики'!BD4700:BD4704,'08_ФОТ'!BD21:BD22,'19_Расчет_аналитики'!BD4709:BD4711),0)</f>
        <v/>
      </c>
      <c r="BE4713">
        <f>IF('01_Вводные'!$B$234="Да",SUM('19_Расчет_аналитики'!BE4697:BE4698,'19_Расчет_аналитики'!BE4700:BE4704,'08_ФОТ'!BE21:BE22,'19_Расчет_аналитики'!BE4709:BE4711),0)</f>
        <v/>
      </c>
      <c r="BF4713">
        <f>IF('01_Вводные'!$B$234="Да",SUM('19_Расчет_аналитики'!BF4697:BF4698,'19_Расчет_аналитики'!BF4700:BF4704,'08_ФОТ'!BF21:BF22,'19_Расчет_аналитики'!BF4709:BF4711),0)</f>
        <v/>
      </c>
      <c r="BG4713">
        <f>IF('01_Вводные'!$B$234="Да",SUM('19_Расчет_аналитики'!BG4697:BG4698,'19_Расчет_аналитики'!BG4700:BG4704,'08_ФОТ'!BG21:BG22,'19_Расчет_аналитики'!BG4709:BG4711),0)</f>
        <v/>
      </c>
      <c r="BH4713">
        <f>IF('01_Вводные'!$B$234="Да",SUM('19_Расчет_аналитики'!BH4697:BH4698,'19_Расчет_аналитики'!BH4700:BH4704,'08_ФОТ'!BH21:BH22,'19_Расчет_аналитики'!BH4709:BH4711),0)</f>
        <v/>
      </c>
      <c r="BI4713">
        <f>IF('01_Вводные'!$B$234="Да",SUM('19_Расчет_аналитики'!BI4697:BI4698,'19_Расчет_аналитики'!BI4700:BI4704,'08_ФОТ'!BI21:BI22,'19_Расчет_аналитики'!BI4709:BI4711),0)</f>
        <v/>
      </c>
    </row>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c r="C4755">
        <f>IF('01_Вводные'!$B$234="Да",'19_Расчет_аналитики'!C4413,0)</f>
        <v/>
      </c>
      <c r="D4755">
        <f>IF('01_Вводные'!$B$234="Да",'19_Расчет_аналитики'!D4413,0)</f>
        <v/>
      </c>
      <c r="E4755">
        <f>IF('01_Вводные'!$B$234="Да",'19_Расчет_аналитики'!E4413,0)</f>
        <v/>
      </c>
      <c r="F4755">
        <f>IF('01_Вводные'!$B$234="Да",'19_Расчет_аналитики'!F4413,0)</f>
        <v/>
      </c>
      <c r="G4755">
        <f>IF('01_Вводные'!$B$234="Да",'19_Расчет_аналитики'!G4413,0)</f>
        <v/>
      </c>
      <c r="H4755">
        <f>IF('01_Вводные'!$B$234="Да",'19_Расчет_аналитики'!H4413,0)</f>
        <v/>
      </c>
      <c r="I4755">
        <f>IF('01_Вводные'!$B$234="Да",'19_Расчет_аналитики'!I4413,0)</f>
        <v/>
      </c>
      <c r="J4755">
        <f>IF('01_Вводные'!$B$234="Да",'19_Расчет_аналитики'!J4413,0)</f>
        <v/>
      </c>
      <c r="K4755">
        <f>IF('01_Вводные'!$B$234="Да",'19_Расчет_аналитики'!K4413,0)</f>
        <v/>
      </c>
      <c r="L4755">
        <f>IF('01_Вводные'!$B$234="Да",'19_Расчет_аналитики'!L4413,0)</f>
        <v/>
      </c>
      <c r="M4755">
        <f>IF('01_Вводные'!$B$234="Да",'19_Расчет_аналитики'!M4413,0)</f>
        <v/>
      </c>
      <c r="N4755">
        <f>IF('01_Вводные'!$B$234="Да",'19_Расчет_аналитики'!N4413,0)</f>
        <v/>
      </c>
      <c r="O4755">
        <f>IF('01_Вводные'!$B$234="Да",'19_Расчет_аналитики'!O4413,0)</f>
        <v/>
      </c>
      <c r="P4755">
        <f>IF('01_Вводные'!$B$234="Да",'19_Расчет_аналитики'!P4413,0)</f>
        <v/>
      </c>
      <c r="Q4755">
        <f>IF('01_Вводные'!$B$234="Да",'19_Расчет_аналитики'!Q4413,0)</f>
        <v/>
      </c>
      <c r="R4755">
        <f>IF('01_Вводные'!$B$234="Да",'19_Расчет_аналитики'!R4413,0)</f>
        <v/>
      </c>
      <c r="S4755">
        <f>IF('01_Вводные'!$B$234="Да",'19_Расчет_аналитики'!S4413,0)</f>
        <v/>
      </c>
      <c r="T4755">
        <f>IF('01_Вводные'!$B$234="Да",'19_Расчет_аналитики'!T4413,0)</f>
        <v/>
      </c>
      <c r="U4755">
        <f>IF('01_Вводные'!$B$234="Да",'19_Расчет_аналитики'!U4413,0)</f>
        <v/>
      </c>
      <c r="V4755">
        <f>IF('01_Вводные'!$B$234="Да",'19_Расчет_аналитики'!V4413,0)</f>
        <v/>
      </c>
      <c r="W4755">
        <f>IF('01_Вводные'!$B$234="Да",'19_Расчет_аналитики'!W4413,0)</f>
        <v/>
      </c>
      <c r="X4755">
        <f>IF('01_Вводные'!$B$234="Да",'19_Расчет_аналитики'!X4413,0)</f>
        <v/>
      </c>
      <c r="Y4755">
        <f>IF('01_Вводные'!$B$234="Да",'19_Расчет_аналитики'!Y4413,0)</f>
        <v/>
      </c>
      <c r="Z4755">
        <f>IF('01_Вводные'!$B$234="Да",'19_Расчет_аналитики'!Z4413,0)</f>
        <v/>
      </c>
      <c r="AA4755">
        <f>IF('01_Вводные'!$B$234="Да",'19_Расчет_аналитики'!AA4413,0)</f>
        <v/>
      </c>
      <c r="AB4755">
        <f>IF('01_Вводные'!$B$234="Да",'19_Расчет_аналитики'!AB4413,0)</f>
        <v/>
      </c>
      <c r="AC4755">
        <f>IF('01_Вводные'!$B$234="Да",'19_Расчет_аналитики'!AC4413,0)</f>
        <v/>
      </c>
      <c r="AD4755">
        <f>IF('01_Вводные'!$B$234="Да",'19_Расчет_аналитики'!AD4413,0)</f>
        <v/>
      </c>
      <c r="AE4755">
        <f>IF('01_Вводные'!$B$234="Да",'19_Расчет_аналитики'!AE4413,0)</f>
        <v/>
      </c>
      <c r="AF4755">
        <f>IF('01_Вводные'!$B$234="Да",'19_Расчет_аналитики'!AF4413,0)</f>
        <v/>
      </c>
      <c r="AG4755">
        <f>IF('01_Вводные'!$B$234="Да",'19_Расчет_аналитики'!AG4413,0)</f>
        <v/>
      </c>
      <c r="AH4755">
        <f>IF('01_Вводные'!$B$234="Да",'19_Расчет_аналитики'!AH4413,0)</f>
        <v/>
      </c>
      <c r="AI4755">
        <f>IF('01_Вводные'!$B$234="Да",'19_Расчет_аналитики'!AI4413,0)</f>
        <v/>
      </c>
      <c r="AJ4755">
        <f>IF('01_Вводные'!$B$234="Да",'19_Расчет_аналитики'!AJ4413,0)</f>
        <v/>
      </c>
      <c r="AK4755">
        <f>IF('01_Вводные'!$B$234="Да",'19_Расчет_аналитики'!AK4413,0)</f>
        <v/>
      </c>
      <c r="AL4755">
        <f>IF('01_Вводные'!$B$234="Да",'19_Расчет_аналитики'!AL4413,0)</f>
        <v/>
      </c>
      <c r="AM4755">
        <f>IF('01_Вводные'!$B$234="Да",'19_Расчет_аналитики'!AM4413,0)</f>
        <v/>
      </c>
      <c r="AN4755">
        <f>IF('01_Вводные'!$B$234="Да",'19_Расчет_аналитики'!AN4413,0)</f>
        <v/>
      </c>
      <c r="AO4755">
        <f>IF('01_Вводные'!$B$234="Да",'19_Расчет_аналитики'!AO4413,0)</f>
        <v/>
      </c>
      <c r="AP4755">
        <f>IF('01_Вводные'!$B$234="Да",'19_Расчет_аналитики'!AP4413,0)</f>
        <v/>
      </c>
      <c r="AQ4755">
        <f>IF('01_Вводные'!$B$234="Да",'19_Расчет_аналитики'!AQ4413,0)</f>
        <v/>
      </c>
      <c r="AR4755">
        <f>IF('01_Вводные'!$B$234="Да",'19_Расчет_аналитики'!AR4413,0)</f>
        <v/>
      </c>
      <c r="AS4755">
        <f>IF('01_Вводные'!$B$234="Да",'19_Расчет_аналитики'!AS4413,0)</f>
        <v/>
      </c>
      <c r="AT4755">
        <f>IF('01_Вводные'!$B$234="Да",'19_Расчет_аналитики'!AT4413,0)</f>
        <v/>
      </c>
      <c r="AU4755">
        <f>IF('01_Вводные'!$B$234="Да",'19_Расчет_аналитики'!AU4413,0)</f>
        <v/>
      </c>
      <c r="AV4755">
        <f>IF('01_Вводные'!$B$234="Да",'19_Расчет_аналитики'!AV4413,0)</f>
        <v/>
      </c>
      <c r="AW4755">
        <f>IF('01_Вводные'!$B$234="Да",'19_Расчет_аналитики'!AW4413,0)</f>
        <v/>
      </c>
      <c r="AX4755">
        <f>IF('01_Вводные'!$B$234="Да",'19_Расчет_аналитики'!AX4413,0)</f>
        <v/>
      </c>
      <c r="AY4755">
        <f>IF('01_Вводные'!$B$234="Да",'19_Расчет_аналитики'!AY4413,0)</f>
        <v/>
      </c>
      <c r="AZ4755">
        <f>IF('01_Вводные'!$B$234="Да",'19_Расчет_аналитики'!AZ4413,0)</f>
        <v/>
      </c>
      <c r="BA4755">
        <f>IF('01_Вводные'!$B$234="Да",'19_Расчет_аналитики'!BA4413,0)</f>
        <v/>
      </c>
      <c r="BB4755">
        <f>IF('01_Вводные'!$B$234="Да",'19_Расчет_аналитики'!BB4413,0)</f>
        <v/>
      </c>
      <c r="BC4755">
        <f>IF('01_Вводные'!$B$234="Да",'19_Расчет_аналитики'!BC4413,0)</f>
        <v/>
      </c>
      <c r="BD4755">
        <f>IF('01_Вводные'!$B$234="Да",'19_Расчет_аналитики'!BD4413,0)</f>
        <v/>
      </c>
      <c r="BE4755">
        <f>IF('01_Вводные'!$B$234="Да",'19_Расчет_аналитики'!BE4413,0)</f>
        <v/>
      </c>
      <c r="BF4755">
        <f>IF('01_Вводные'!$B$234="Да",'19_Расчет_аналитики'!BF4413,0)</f>
        <v/>
      </c>
      <c r="BG4755">
        <f>IF('01_Вводные'!$B$234="Да",'19_Расчет_аналитики'!BG4413,0)</f>
        <v/>
      </c>
      <c r="BH4755">
        <f>IF('01_Вводные'!$B$234="Да",'19_Расчет_аналитики'!BH4413,0)</f>
        <v/>
      </c>
      <c r="BI4755">
        <f>IF('01_Вводные'!$B$234="Да",'19_Расчет_аналитики'!BI4413,0)</f>
        <v/>
      </c>
    </row>
    <row r="4756">
      <c r="B4756">
        <f>IF('01_Вводные'!$B$234="Да",'19_Расчет_аналитики'!B4427,0)</f>
        <v/>
      </c>
      <c r="C4756">
        <f>IF('01_Вводные'!$B$234="Да",'19_Расчет_аналитики'!C4427,0)</f>
        <v/>
      </c>
      <c r="D4756">
        <f>IF('01_Вводные'!$B$234="Да",'19_Расчет_аналитики'!D4427,0)</f>
        <v/>
      </c>
      <c r="E4756">
        <f>IF('01_Вводные'!$B$234="Да",'19_Расчет_аналитики'!E4427,0)</f>
        <v/>
      </c>
      <c r="F4756">
        <f>IF('01_Вводные'!$B$234="Да",'19_Расчет_аналитики'!F4427,0)</f>
        <v/>
      </c>
      <c r="G4756">
        <f>IF('01_Вводные'!$B$234="Да",'19_Расчет_аналитики'!G4427,0)</f>
        <v/>
      </c>
      <c r="H4756">
        <f>IF('01_Вводные'!$B$234="Да",'19_Расчет_аналитики'!H4427,0)</f>
        <v/>
      </c>
      <c r="I4756">
        <f>IF('01_Вводные'!$B$234="Да",'19_Расчет_аналитики'!I4427,0)</f>
        <v/>
      </c>
      <c r="J4756">
        <f>IF('01_Вводные'!$B$234="Да",'19_Расчет_аналитики'!J4427,0)</f>
        <v/>
      </c>
      <c r="K4756">
        <f>IF('01_Вводные'!$B$234="Да",'19_Расчет_аналитики'!K4427,0)</f>
        <v/>
      </c>
      <c r="L4756">
        <f>IF('01_Вводные'!$B$234="Да",'19_Расчет_аналитики'!L4427,0)</f>
        <v/>
      </c>
      <c r="M4756">
        <f>IF('01_Вводные'!$B$234="Да",'19_Расчет_аналитики'!M4427,0)</f>
        <v/>
      </c>
      <c r="N4756">
        <f>IF('01_Вводные'!$B$234="Да",'19_Расчет_аналитики'!N4427,0)</f>
        <v/>
      </c>
      <c r="O4756">
        <f>IF('01_Вводные'!$B$234="Да",'19_Расчет_аналитики'!O4427,0)</f>
        <v/>
      </c>
      <c r="P4756">
        <f>IF('01_Вводные'!$B$234="Да",'19_Расчет_аналитики'!P4427,0)</f>
        <v/>
      </c>
      <c r="Q4756">
        <f>IF('01_Вводные'!$B$234="Да",'19_Расчет_аналитики'!Q4427,0)</f>
        <v/>
      </c>
      <c r="R4756">
        <f>IF('01_Вводные'!$B$234="Да",'19_Расчет_аналитики'!R4427,0)</f>
        <v/>
      </c>
      <c r="S4756">
        <f>IF('01_Вводные'!$B$234="Да",'19_Расчет_аналитики'!S4427,0)</f>
        <v/>
      </c>
      <c r="T4756">
        <f>IF('01_Вводные'!$B$234="Да",'19_Расчет_аналитики'!T4427,0)</f>
        <v/>
      </c>
      <c r="U4756">
        <f>IF('01_Вводные'!$B$234="Да",'19_Расчет_аналитики'!U4427,0)</f>
        <v/>
      </c>
      <c r="V4756">
        <f>IF('01_Вводные'!$B$234="Да",'19_Расчет_аналитики'!V4427,0)</f>
        <v/>
      </c>
      <c r="W4756">
        <f>IF('01_Вводные'!$B$234="Да",'19_Расчет_аналитики'!W4427,0)</f>
        <v/>
      </c>
      <c r="X4756">
        <f>IF('01_Вводные'!$B$234="Да",'19_Расчет_аналитики'!X4427,0)</f>
        <v/>
      </c>
      <c r="Y4756">
        <f>IF('01_Вводные'!$B$234="Да",'19_Расчет_аналитики'!Y4427,0)</f>
        <v/>
      </c>
      <c r="Z4756">
        <f>IF('01_Вводные'!$B$234="Да",'19_Расчет_аналитики'!Z4427,0)</f>
        <v/>
      </c>
      <c r="AA4756">
        <f>IF('01_Вводные'!$B$234="Да",'19_Расчет_аналитики'!AA4427,0)</f>
        <v/>
      </c>
      <c r="AB4756">
        <f>IF('01_Вводные'!$B$234="Да",'19_Расчет_аналитики'!AB4427,0)</f>
        <v/>
      </c>
      <c r="AC4756">
        <f>IF('01_Вводные'!$B$234="Да",'19_Расчет_аналитики'!AC4427,0)</f>
        <v/>
      </c>
      <c r="AD4756">
        <f>IF('01_Вводные'!$B$234="Да",'19_Расчет_аналитики'!AD4427,0)</f>
        <v/>
      </c>
      <c r="AE4756">
        <f>IF('01_Вводные'!$B$234="Да",'19_Расчет_аналитики'!AE4427,0)</f>
        <v/>
      </c>
      <c r="AF4756">
        <f>IF('01_Вводные'!$B$234="Да",'19_Расчет_аналитики'!AF4427,0)</f>
        <v/>
      </c>
      <c r="AG4756">
        <f>IF('01_Вводные'!$B$234="Да",'19_Расчет_аналитики'!AG4427,0)</f>
        <v/>
      </c>
      <c r="AH4756">
        <f>IF('01_Вводные'!$B$234="Да",'19_Расчет_аналитики'!AH4427,0)</f>
        <v/>
      </c>
      <c r="AI4756">
        <f>IF('01_Вводные'!$B$234="Да",'19_Расчет_аналитики'!AI4427,0)</f>
        <v/>
      </c>
      <c r="AJ4756">
        <f>IF('01_Вводные'!$B$234="Да",'19_Расчет_аналитики'!AJ4427,0)</f>
        <v/>
      </c>
      <c r="AK4756">
        <f>IF('01_Вводные'!$B$234="Да",'19_Расчет_аналитики'!AK4427,0)</f>
        <v/>
      </c>
      <c r="AL4756">
        <f>IF('01_Вводные'!$B$234="Да",'19_Расчет_аналитики'!AL4427,0)</f>
        <v/>
      </c>
      <c r="AM4756">
        <f>IF('01_Вводные'!$B$234="Да",'19_Расчет_аналитики'!AM4427,0)</f>
        <v/>
      </c>
      <c r="AN4756">
        <f>IF('01_Вводные'!$B$234="Да",'19_Расчет_аналитики'!AN4427,0)</f>
        <v/>
      </c>
      <c r="AO4756">
        <f>IF('01_Вводные'!$B$234="Да",'19_Расчет_аналитики'!AO4427,0)</f>
        <v/>
      </c>
      <c r="AP4756">
        <f>IF('01_Вводные'!$B$234="Да",'19_Расчет_аналитики'!AP4427,0)</f>
        <v/>
      </c>
      <c r="AQ4756">
        <f>IF('01_Вводные'!$B$234="Да",'19_Расчет_аналитики'!AQ4427,0)</f>
        <v/>
      </c>
      <c r="AR4756">
        <f>IF('01_Вводные'!$B$234="Да",'19_Расчет_аналитики'!AR4427,0)</f>
        <v/>
      </c>
      <c r="AS4756">
        <f>IF('01_Вводные'!$B$234="Да",'19_Расчет_аналитики'!AS4427,0)</f>
        <v/>
      </c>
      <c r="AT4756">
        <f>IF('01_Вводные'!$B$234="Да",'19_Расчет_аналитики'!AT4427,0)</f>
        <v/>
      </c>
      <c r="AU4756">
        <f>IF('01_Вводные'!$B$234="Да",'19_Расчет_аналитики'!AU4427,0)</f>
        <v/>
      </c>
      <c r="AV4756">
        <f>IF('01_Вводные'!$B$234="Да",'19_Расчет_аналитики'!AV4427,0)</f>
        <v/>
      </c>
      <c r="AW4756">
        <f>IF('01_Вводные'!$B$234="Да",'19_Расчет_аналитики'!AW4427,0)</f>
        <v/>
      </c>
      <c r="AX4756">
        <f>IF('01_Вводные'!$B$234="Да",'19_Расчет_аналитики'!AX4427,0)</f>
        <v/>
      </c>
      <c r="AY4756">
        <f>IF('01_Вводные'!$B$234="Да",'19_Расчет_аналитики'!AY4427,0)</f>
        <v/>
      </c>
      <c r="AZ4756">
        <f>IF('01_Вводные'!$B$234="Да",'19_Расчет_аналитики'!AZ4427,0)</f>
        <v/>
      </c>
      <c r="BA4756">
        <f>IF('01_Вводные'!$B$234="Да",'19_Расчет_аналитики'!BA4427,0)</f>
        <v/>
      </c>
      <c r="BB4756">
        <f>IF('01_Вводные'!$B$234="Да",'19_Расчет_аналитики'!BB4427,0)</f>
        <v/>
      </c>
      <c r="BC4756">
        <f>IF('01_Вводные'!$B$234="Да",'19_Расчет_аналитики'!BC4427,0)</f>
        <v/>
      </c>
      <c r="BD4756">
        <f>IF('01_Вводные'!$B$234="Да",'19_Расчет_аналитики'!BD4427,0)</f>
        <v/>
      </c>
      <c r="BE4756">
        <f>IF('01_Вводные'!$B$234="Да",'19_Расчет_аналитики'!BE4427,0)</f>
        <v/>
      </c>
      <c r="BF4756">
        <f>IF('01_Вводные'!$B$234="Да",'19_Расчет_аналитики'!BF4427,0)</f>
        <v/>
      </c>
      <c r="BG4756">
        <f>IF('01_Вводные'!$B$234="Да",'19_Расчет_аналитики'!BG4427,0)</f>
        <v/>
      </c>
      <c r="BH4756">
        <f>IF('01_Вводные'!$B$234="Да",'19_Расчет_аналитики'!BH4427,0)</f>
        <v/>
      </c>
      <c r="BI4756">
        <f>IF('01_Вводные'!$B$234="Да",'19_Расчет_аналитики'!BI4427,0)</f>
        <v/>
      </c>
    </row>
    <row r="4757">
      <c r="B4757">
        <f>IF('01_Вводные'!$B$234="Да",'19_Расчет_аналитики'!B4428,0)</f>
        <v/>
      </c>
      <c r="C4757">
        <f>IF('01_Вводные'!$B$234="Да",'19_Расчет_аналитики'!C4428,0)</f>
        <v/>
      </c>
      <c r="D4757">
        <f>IF('01_Вводные'!$B$234="Да",'19_Расчет_аналитики'!D4428,0)</f>
        <v/>
      </c>
      <c r="E4757">
        <f>IF('01_Вводные'!$B$234="Да",'19_Расчет_аналитики'!E4428,0)</f>
        <v/>
      </c>
      <c r="F4757">
        <f>IF('01_Вводные'!$B$234="Да",'19_Расчет_аналитики'!F4428,0)</f>
        <v/>
      </c>
      <c r="G4757">
        <f>IF('01_Вводные'!$B$234="Да",'19_Расчет_аналитики'!G4428,0)</f>
        <v/>
      </c>
      <c r="H4757">
        <f>IF('01_Вводные'!$B$234="Да",'19_Расчет_аналитики'!H4428,0)</f>
        <v/>
      </c>
      <c r="I4757">
        <f>IF('01_Вводные'!$B$234="Да",'19_Расчет_аналитики'!I4428,0)</f>
        <v/>
      </c>
      <c r="J4757">
        <f>IF('01_Вводные'!$B$234="Да",'19_Расчет_аналитики'!J4428,0)</f>
        <v/>
      </c>
      <c r="K4757">
        <f>IF('01_Вводные'!$B$234="Да",'19_Расчет_аналитики'!K4428,0)</f>
        <v/>
      </c>
      <c r="L4757">
        <f>IF('01_Вводные'!$B$234="Да",'19_Расчет_аналитики'!L4428,0)</f>
        <v/>
      </c>
      <c r="M4757">
        <f>IF('01_Вводные'!$B$234="Да",'19_Расчет_аналитики'!M4428,0)</f>
        <v/>
      </c>
      <c r="N4757">
        <f>IF('01_Вводные'!$B$234="Да",'19_Расчет_аналитики'!N4428,0)</f>
        <v/>
      </c>
      <c r="O4757">
        <f>IF('01_Вводные'!$B$234="Да",'19_Расчет_аналитики'!O4428,0)</f>
        <v/>
      </c>
      <c r="P4757">
        <f>IF('01_Вводные'!$B$234="Да",'19_Расчет_аналитики'!P4428,0)</f>
        <v/>
      </c>
      <c r="Q4757">
        <f>IF('01_Вводные'!$B$234="Да",'19_Расчет_аналитики'!Q4428,0)</f>
        <v/>
      </c>
      <c r="R4757">
        <f>IF('01_Вводные'!$B$234="Да",'19_Расчет_аналитики'!R4428,0)</f>
        <v/>
      </c>
      <c r="S4757">
        <f>IF('01_Вводные'!$B$234="Да",'19_Расчет_аналитики'!S4428,0)</f>
        <v/>
      </c>
      <c r="T4757">
        <f>IF('01_Вводные'!$B$234="Да",'19_Расчет_аналитики'!T4428,0)</f>
        <v/>
      </c>
      <c r="U4757">
        <f>IF('01_Вводные'!$B$234="Да",'19_Расчет_аналитики'!U4428,0)</f>
        <v/>
      </c>
      <c r="V4757">
        <f>IF('01_Вводные'!$B$234="Да",'19_Расчет_аналитики'!V4428,0)</f>
        <v/>
      </c>
      <c r="W4757">
        <f>IF('01_Вводные'!$B$234="Да",'19_Расчет_аналитики'!W4428,0)</f>
        <v/>
      </c>
      <c r="X4757">
        <f>IF('01_Вводные'!$B$234="Да",'19_Расчет_аналитики'!X4428,0)</f>
        <v/>
      </c>
      <c r="Y4757">
        <f>IF('01_Вводные'!$B$234="Да",'19_Расчет_аналитики'!Y4428,0)</f>
        <v/>
      </c>
      <c r="Z4757">
        <f>IF('01_Вводные'!$B$234="Да",'19_Расчет_аналитики'!Z4428,0)</f>
        <v/>
      </c>
      <c r="AA4757">
        <f>IF('01_Вводные'!$B$234="Да",'19_Расчет_аналитики'!AA4428,0)</f>
        <v/>
      </c>
      <c r="AB4757">
        <f>IF('01_Вводные'!$B$234="Да",'19_Расчет_аналитики'!AB4428,0)</f>
        <v/>
      </c>
      <c r="AC4757">
        <f>IF('01_Вводные'!$B$234="Да",'19_Расчет_аналитики'!AC4428,0)</f>
        <v/>
      </c>
      <c r="AD4757">
        <f>IF('01_Вводные'!$B$234="Да",'19_Расчет_аналитики'!AD4428,0)</f>
        <v/>
      </c>
      <c r="AE4757">
        <f>IF('01_Вводные'!$B$234="Да",'19_Расчет_аналитики'!AE4428,0)</f>
        <v/>
      </c>
      <c r="AF4757">
        <f>IF('01_Вводные'!$B$234="Да",'19_Расчет_аналитики'!AF4428,0)</f>
        <v/>
      </c>
      <c r="AG4757">
        <f>IF('01_Вводные'!$B$234="Да",'19_Расчет_аналитики'!AG4428,0)</f>
        <v/>
      </c>
      <c r="AH4757">
        <f>IF('01_Вводные'!$B$234="Да",'19_Расчет_аналитики'!AH4428,0)</f>
        <v/>
      </c>
      <c r="AI4757">
        <f>IF('01_Вводные'!$B$234="Да",'19_Расчет_аналитики'!AI4428,0)</f>
        <v/>
      </c>
      <c r="AJ4757">
        <f>IF('01_Вводные'!$B$234="Да",'19_Расчет_аналитики'!AJ4428,0)</f>
        <v/>
      </c>
      <c r="AK4757">
        <f>IF('01_Вводные'!$B$234="Да",'19_Расчет_аналитики'!AK4428,0)</f>
        <v/>
      </c>
      <c r="AL4757">
        <f>IF('01_Вводные'!$B$234="Да",'19_Расчет_аналитики'!AL4428,0)</f>
        <v/>
      </c>
      <c r="AM4757">
        <f>IF('01_Вводные'!$B$234="Да",'19_Расчет_аналитики'!AM4428,0)</f>
        <v/>
      </c>
      <c r="AN4757">
        <f>IF('01_Вводные'!$B$234="Да",'19_Расчет_аналитики'!AN4428,0)</f>
        <v/>
      </c>
      <c r="AO4757">
        <f>IF('01_Вводные'!$B$234="Да",'19_Расчет_аналитики'!AO4428,0)</f>
        <v/>
      </c>
      <c r="AP4757">
        <f>IF('01_Вводные'!$B$234="Да",'19_Расчет_аналитики'!AP4428,0)</f>
        <v/>
      </c>
      <c r="AQ4757">
        <f>IF('01_Вводные'!$B$234="Да",'19_Расчет_аналитики'!AQ4428,0)</f>
        <v/>
      </c>
      <c r="AR4757">
        <f>IF('01_Вводные'!$B$234="Да",'19_Расчет_аналитики'!AR4428,0)</f>
        <v/>
      </c>
      <c r="AS4757">
        <f>IF('01_Вводные'!$B$234="Да",'19_Расчет_аналитики'!AS4428,0)</f>
        <v/>
      </c>
      <c r="AT4757">
        <f>IF('01_Вводные'!$B$234="Да",'19_Расчет_аналитики'!AT4428,0)</f>
        <v/>
      </c>
      <c r="AU4757">
        <f>IF('01_Вводные'!$B$234="Да",'19_Расчет_аналитики'!AU4428,0)</f>
        <v/>
      </c>
      <c r="AV4757">
        <f>IF('01_Вводные'!$B$234="Да",'19_Расчет_аналитики'!AV4428,0)</f>
        <v/>
      </c>
      <c r="AW4757">
        <f>IF('01_Вводные'!$B$234="Да",'19_Расчет_аналитики'!AW4428,0)</f>
        <v/>
      </c>
      <c r="AX4757">
        <f>IF('01_Вводные'!$B$234="Да",'19_Расчет_аналитики'!AX4428,0)</f>
        <v/>
      </c>
      <c r="AY4757">
        <f>IF('01_Вводные'!$B$234="Да",'19_Расчет_аналитики'!AY4428,0)</f>
        <v/>
      </c>
      <c r="AZ4757">
        <f>IF('01_Вводные'!$B$234="Да",'19_Расчет_аналитики'!AZ4428,0)</f>
        <v/>
      </c>
      <c r="BA4757">
        <f>IF('01_Вводные'!$B$234="Да",'19_Расчет_аналитики'!BA4428,0)</f>
        <v/>
      </c>
      <c r="BB4757">
        <f>IF('01_Вводные'!$B$234="Да",'19_Расчет_аналитики'!BB4428,0)</f>
        <v/>
      </c>
      <c r="BC4757">
        <f>IF('01_Вводные'!$B$234="Да",'19_Расчет_аналитики'!BC4428,0)</f>
        <v/>
      </c>
      <c r="BD4757">
        <f>IF('01_Вводные'!$B$234="Да",'19_Расчет_аналитики'!BD4428,0)</f>
        <v/>
      </c>
      <c r="BE4757">
        <f>IF('01_Вводные'!$B$234="Да",'19_Расчет_аналитики'!BE4428,0)</f>
        <v/>
      </c>
      <c r="BF4757">
        <f>IF('01_Вводные'!$B$234="Да",'19_Расчет_аналитики'!BF4428,0)</f>
        <v/>
      </c>
      <c r="BG4757">
        <f>IF('01_Вводные'!$B$234="Да",'19_Расчет_аналитики'!BG4428,0)</f>
        <v/>
      </c>
      <c r="BH4757">
        <f>IF('01_Вводные'!$B$234="Да",'19_Расчет_аналитики'!BH4428,0)</f>
        <v/>
      </c>
      <c r="BI4757">
        <f>IF('01_Вводные'!$B$234="Да",'19_Расчет_аналитики'!BI4428,0)</f>
        <v/>
      </c>
    </row>
    <row r="4758"/>
    <row r="4759"/>
    <row r="4760">
      <c r="B4760">
        <f>'02_Модель'!B18</f>
        <v/>
      </c>
      <c r="C4760">
        <f>IF('01_Вводные'!$B$234="Да",'19_Расчет_аналитики'!C4397,0)</f>
        <v/>
      </c>
      <c r="D4760">
        <f>IF('01_Вводные'!$B$234="Да",'19_Расчет_аналитики'!D4397,0)</f>
        <v/>
      </c>
      <c r="E4760">
        <f>IF('01_Вводные'!$B$234="Да",'19_Расчет_аналитики'!E4397,0)</f>
        <v/>
      </c>
      <c r="F4760">
        <f>IF('01_Вводные'!$B$234="Да",'19_Расчет_аналитики'!F4397,0)</f>
        <v/>
      </c>
      <c r="G4760">
        <f>IF('01_Вводные'!$B$234="Да",'19_Расчет_аналитики'!G4397,0)</f>
        <v/>
      </c>
      <c r="H4760">
        <f>IF('01_Вводные'!$B$234="Да",'19_Расчет_аналитики'!H4397,0)</f>
        <v/>
      </c>
      <c r="I4760">
        <f>IF('01_Вводные'!$B$234="Да",'19_Расчет_аналитики'!I4397,0)</f>
        <v/>
      </c>
      <c r="J4760">
        <f>IF('01_Вводные'!$B$234="Да",'19_Расчет_аналитики'!J4397,0)</f>
        <v/>
      </c>
      <c r="K4760">
        <f>IF('01_Вводные'!$B$234="Да",'19_Расчет_аналитики'!K4397,0)</f>
        <v/>
      </c>
      <c r="L4760">
        <f>IF('01_Вводные'!$B$234="Да",'19_Расчет_аналитики'!L4397,0)</f>
        <v/>
      </c>
      <c r="M4760">
        <f>IF('01_Вводные'!$B$234="Да",'19_Расчет_аналитики'!M4397,0)</f>
        <v/>
      </c>
      <c r="N4760">
        <f>IF('01_Вводные'!$B$234="Да",'19_Расчет_аналитики'!N4397,0)</f>
        <v/>
      </c>
      <c r="O4760">
        <f>IF('01_Вводные'!$B$234="Да",'19_Расчет_аналитики'!O4397,0)</f>
        <v/>
      </c>
      <c r="P4760">
        <f>IF('01_Вводные'!$B$234="Да",'19_Расчет_аналитики'!P4397,0)</f>
        <v/>
      </c>
      <c r="Q4760">
        <f>IF('01_Вводные'!$B$234="Да",'19_Расчет_аналитики'!Q4397,0)</f>
        <v/>
      </c>
      <c r="R4760">
        <f>IF('01_Вводные'!$B$234="Да",'19_Расчет_аналитики'!R4397,0)</f>
        <v/>
      </c>
      <c r="S4760">
        <f>IF('01_Вводные'!$B$234="Да",'19_Расчет_аналитики'!S4397,0)</f>
        <v/>
      </c>
      <c r="T4760">
        <f>IF('01_Вводные'!$B$234="Да",'19_Расчет_аналитики'!T4397,0)</f>
        <v/>
      </c>
      <c r="U4760">
        <f>IF('01_Вводные'!$B$234="Да",'19_Расчет_аналитики'!U4397,0)</f>
        <v/>
      </c>
      <c r="V4760">
        <f>IF('01_Вводные'!$B$234="Да",'19_Расчет_аналитики'!V4397,0)</f>
        <v/>
      </c>
      <c r="W4760">
        <f>IF('01_Вводные'!$B$234="Да",'19_Расчет_аналитики'!W4397,0)</f>
        <v/>
      </c>
      <c r="X4760">
        <f>IF('01_Вводные'!$B$234="Да",'19_Расчет_аналитики'!X4397,0)</f>
        <v/>
      </c>
      <c r="Y4760">
        <f>IF('01_Вводные'!$B$234="Да",'19_Расчет_аналитики'!Y4397,0)</f>
        <v/>
      </c>
      <c r="Z4760">
        <f>IF('01_Вводные'!$B$234="Да",'19_Расчет_аналитики'!Z4397,0)</f>
        <v/>
      </c>
      <c r="AA4760">
        <f>IF('01_Вводные'!$B$234="Да",'19_Расчет_аналитики'!AA4397,0)</f>
        <v/>
      </c>
      <c r="AB4760">
        <f>IF('01_Вводные'!$B$234="Да",'19_Расчет_аналитики'!AB4397,0)</f>
        <v/>
      </c>
      <c r="AC4760">
        <f>IF('01_Вводные'!$B$234="Да",'19_Расчет_аналитики'!AC4397,0)</f>
        <v/>
      </c>
      <c r="AD4760">
        <f>IF('01_Вводные'!$B$234="Да",'19_Расчет_аналитики'!AD4397,0)</f>
        <v/>
      </c>
      <c r="AE4760">
        <f>IF('01_Вводные'!$B$234="Да",'19_Расчет_аналитики'!AE4397,0)</f>
        <v/>
      </c>
      <c r="AF4760">
        <f>IF('01_Вводные'!$B$234="Да",'19_Расчет_аналитики'!AF4397,0)</f>
        <v/>
      </c>
      <c r="AG4760">
        <f>IF('01_Вводные'!$B$234="Да",'19_Расчет_аналитики'!AG4397,0)</f>
        <v/>
      </c>
      <c r="AH4760">
        <f>IF('01_Вводные'!$B$234="Да",'19_Расчет_аналитики'!AH4397,0)</f>
        <v/>
      </c>
      <c r="AI4760">
        <f>IF('01_Вводные'!$B$234="Да",'19_Расчет_аналитики'!AI4397,0)</f>
        <v/>
      </c>
      <c r="AJ4760">
        <f>IF('01_Вводные'!$B$234="Да",'19_Расчет_аналитики'!AJ4397,0)</f>
        <v/>
      </c>
      <c r="AK4760">
        <f>IF('01_Вводные'!$B$234="Да",'19_Расчет_аналитики'!AK4397,0)</f>
        <v/>
      </c>
      <c r="AL4760">
        <f>IF('01_Вводные'!$B$234="Да",'19_Расчет_аналитики'!AL4397,0)</f>
        <v/>
      </c>
      <c r="AM4760">
        <f>IF('01_Вводные'!$B$234="Да",'19_Расчет_аналитики'!AM4397,0)</f>
        <v/>
      </c>
      <c r="AN4760">
        <f>IF('01_Вводные'!$B$234="Да",'19_Расчет_аналитики'!AN4397,0)</f>
        <v/>
      </c>
      <c r="AO4760">
        <f>IF('01_Вводные'!$B$234="Да",'19_Расчет_аналитики'!AO4397,0)</f>
        <v/>
      </c>
      <c r="AP4760">
        <f>IF('01_Вводные'!$B$234="Да",'19_Расчет_аналитики'!AP4397,0)</f>
        <v/>
      </c>
      <c r="AQ4760">
        <f>IF('01_Вводные'!$B$234="Да",'19_Расчет_аналитики'!AQ4397,0)</f>
        <v/>
      </c>
      <c r="AR4760">
        <f>IF('01_Вводные'!$B$234="Да",'19_Расчет_аналитики'!AR4397,0)</f>
        <v/>
      </c>
      <c r="AS4760">
        <f>IF('01_Вводные'!$B$234="Да",'19_Расчет_аналитики'!AS4397,0)</f>
        <v/>
      </c>
      <c r="AT4760">
        <f>IF('01_Вводные'!$B$234="Да",'19_Расчет_аналитики'!AT4397,0)</f>
        <v/>
      </c>
      <c r="AU4760">
        <f>IF('01_Вводные'!$B$234="Да",'19_Расчет_аналитики'!AU4397,0)</f>
        <v/>
      </c>
      <c r="AV4760">
        <f>IF('01_Вводные'!$B$234="Да",'19_Расчет_аналитики'!AV4397,0)</f>
        <v/>
      </c>
      <c r="AW4760">
        <f>IF('01_Вводные'!$B$234="Да",'19_Расчет_аналитики'!AW4397,0)</f>
        <v/>
      </c>
      <c r="AX4760">
        <f>IF('01_Вводные'!$B$234="Да",'19_Расчет_аналитики'!AX4397,0)</f>
        <v/>
      </c>
      <c r="AY4760">
        <f>IF('01_Вводные'!$B$234="Да",'19_Расчет_аналитики'!AY4397,0)</f>
        <v/>
      </c>
      <c r="AZ4760">
        <f>IF('01_Вводные'!$B$234="Да",'19_Расчет_аналитики'!AZ4397,0)</f>
        <v/>
      </c>
      <c r="BA4760">
        <f>IF('01_Вводные'!$B$234="Да",'19_Расчет_аналитики'!BA4397,0)</f>
        <v/>
      </c>
      <c r="BB4760">
        <f>IF('01_Вводные'!$B$234="Да",'19_Расчет_аналитики'!BB4397,0)</f>
        <v/>
      </c>
      <c r="BC4760">
        <f>IF('01_Вводные'!$B$234="Да",'19_Расчет_аналитики'!BC4397,0)</f>
        <v/>
      </c>
      <c r="BD4760">
        <f>IF('01_Вводные'!$B$234="Да",'19_Расчет_аналитики'!BD4397,0)</f>
        <v/>
      </c>
      <c r="BE4760">
        <f>IF('01_Вводные'!$B$234="Да",'19_Расчет_аналитики'!BE4397,0)</f>
        <v/>
      </c>
      <c r="BF4760">
        <f>IF('01_Вводные'!$B$234="Да",'19_Расчет_аналитики'!BF4397,0)</f>
        <v/>
      </c>
      <c r="BG4760">
        <f>IF('01_Вводные'!$B$234="Да",'19_Расчет_аналитики'!BG4397,0)</f>
        <v/>
      </c>
      <c r="BH4760">
        <f>IF('01_Вводные'!$B$234="Да",'19_Расчет_аналитики'!BH4397,0)</f>
        <v/>
      </c>
      <c r="BI4760">
        <f>IF('01_Вводные'!$B$234="Да",'19_Расчет_аналитики'!BI4397,0)</f>
        <v/>
      </c>
    </row>
    <row r="4761">
      <c r="B4761">
        <f>IF('01_Вводные'!$B$234="Да",'19_Расчет_аналитики'!B4431/(1+'01_Вводные'!$B$58),0)</f>
        <v/>
      </c>
      <c r="C4761">
        <f>IF('01_Вводные'!$B$234="Да",'19_Расчет_аналитики'!C4431/(1+'01_Вводные'!$B$58),0)</f>
        <v/>
      </c>
      <c r="D4761">
        <f>IF('01_Вводные'!$B$234="Да",'19_Расчет_аналитики'!D4431/(1+'01_Вводные'!$B$58),0)</f>
        <v/>
      </c>
      <c r="E4761">
        <f>IF('01_Вводные'!$B$234="Да",'19_Расчет_аналитики'!E4431/(1+'01_Вводные'!$B$58),0)</f>
        <v/>
      </c>
      <c r="F4761">
        <f>IF('01_Вводные'!$B$234="Да",'19_Расчет_аналитики'!F4431/(1+'01_Вводные'!$B$58),0)</f>
        <v/>
      </c>
      <c r="G4761">
        <f>IF('01_Вводные'!$B$234="Да",'19_Расчет_аналитики'!G4431/(1+'01_Вводные'!$B$58),0)</f>
        <v/>
      </c>
      <c r="H4761">
        <f>IF('01_Вводные'!$B$234="Да",'19_Расчет_аналитики'!H4431/(1+'01_Вводные'!$B$58),0)</f>
        <v/>
      </c>
      <c r="I4761">
        <f>IF('01_Вводные'!$B$234="Да",'19_Расчет_аналитики'!I4431/(1+'01_Вводные'!$B$58),0)</f>
        <v/>
      </c>
      <c r="J4761">
        <f>IF('01_Вводные'!$B$234="Да",'19_Расчет_аналитики'!J4431/(1+'01_Вводные'!$B$58),0)</f>
        <v/>
      </c>
      <c r="K4761">
        <f>IF('01_Вводные'!$B$234="Да",'19_Расчет_аналитики'!K4431/(1+'01_Вводные'!$B$58),0)</f>
        <v/>
      </c>
      <c r="L4761">
        <f>IF('01_Вводные'!$B$234="Да",'19_Расчет_аналитики'!L4431/(1+'01_Вводные'!$B$58),0)</f>
        <v/>
      </c>
      <c r="M4761">
        <f>IF('01_Вводные'!$B$234="Да",'19_Расчет_аналитики'!M4431/(1+'01_Вводные'!$B$58),0)</f>
        <v/>
      </c>
      <c r="N4761">
        <f>IF('01_Вводные'!$B$234="Да",'19_Расчет_аналитики'!N4431/(1+'01_Вводные'!$B$58),0)</f>
        <v/>
      </c>
      <c r="O4761">
        <f>IF('01_Вводные'!$B$234="Да",'19_Расчет_аналитики'!O4431/(1+'01_Вводные'!$B$58),0)</f>
        <v/>
      </c>
      <c r="P4761">
        <f>IF('01_Вводные'!$B$234="Да",'19_Расчет_аналитики'!P4431/(1+'01_Вводные'!$B$58),0)</f>
        <v/>
      </c>
      <c r="Q4761">
        <f>IF('01_Вводные'!$B$234="Да",'19_Расчет_аналитики'!Q4431/(1+'01_Вводные'!$B$58),0)</f>
        <v/>
      </c>
      <c r="R4761">
        <f>IF('01_Вводные'!$B$234="Да",'19_Расчет_аналитики'!R4431/(1+'01_Вводные'!$B$58),0)</f>
        <v/>
      </c>
      <c r="S4761">
        <f>IF('01_Вводные'!$B$234="Да",'19_Расчет_аналитики'!S4431/(1+'01_Вводные'!$B$58),0)</f>
        <v/>
      </c>
      <c r="T4761">
        <f>IF('01_Вводные'!$B$234="Да",'19_Расчет_аналитики'!T4431/(1+'01_Вводные'!$B$58),0)</f>
        <v/>
      </c>
      <c r="U4761">
        <f>IF('01_Вводные'!$B$234="Да",'19_Расчет_аналитики'!U4431/(1+'01_Вводные'!$B$58),0)</f>
        <v/>
      </c>
      <c r="V4761">
        <f>IF('01_Вводные'!$B$234="Да",'19_Расчет_аналитики'!V4431/(1+'01_Вводные'!$B$58),0)</f>
        <v/>
      </c>
      <c r="W4761">
        <f>IF('01_Вводные'!$B$234="Да",'19_Расчет_аналитики'!W4431/(1+'01_Вводные'!$B$58),0)</f>
        <v/>
      </c>
      <c r="X4761">
        <f>IF('01_Вводные'!$B$234="Да",'19_Расчет_аналитики'!X4431/(1+'01_Вводные'!$B$58),0)</f>
        <v/>
      </c>
      <c r="Y4761">
        <f>IF('01_Вводные'!$B$234="Да",'19_Расчет_аналитики'!Y4431/(1+'01_Вводные'!$B$58),0)</f>
        <v/>
      </c>
      <c r="Z4761">
        <f>IF('01_Вводные'!$B$234="Да",'19_Расчет_аналитики'!Z4431/(1+'01_Вводные'!$B$58),0)</f>
        <v/>
      </c>
      <c r="AA4761">
        <f>IF('01_Вводные'!$B$234="Да",'19_Расчет_аналитики'!AA4431/(1+'01_Вводные'!$B$58),0)</f>
        <v/>
      </c>
      <c r="AB4761">
        <f>IF('01_Вводные'!$B$234="Да",'19_Расчет_аналитики'!AB4431/(1+'01_Вводные'!$B$58),0)</f>
        <v/>
      </c>
      <c r="AC4761">
        <f>IF('01_Вводные'!$B$234="Да",'19_Расчет_аналитики'!AC4431/(1+'01_Вводные'!$B$58),0)</f>
        <v/>
      </c>
      <c r="AD4761">
        <f>IF('01_Вводные'!$B$234="Да",'19_Расчет_аналитики'!AD4431/(1+'01_Вводные'!$B$58),0)</f>
        <v/>
      </c>
      <c r="AE4761">
        <f>IF('01_Вводные'!$B$234="Да",'19_Расчет_аналитики'!AE4431/(1+'01_Вводные'!$B$58),0)</f>
        <v/>
      </c>
      <c r="AF4761">
        <f>IF('01_Вводные'!$B$234="Да",'19_Расчет_аналитики'!AF4431/(1+'01_Вводные'!$B$58),0)</f>
        <v/>
      </c>
      <c r="AG4761">
        <f>IF('01_Вводные'!$B$234="Да",'19_Расчет_аналитики'!AG4431/(1+'01_Вводные'!$B$58),0)</f>
        <v/>
      </c>
      <c r="AH4761">
        <f>IF('01_Вводные'!$B$234="Да",'19_Расчет_аналитики'!AH4431/(1+'01_Вводные'!$B$58),0)</f>
        <v/>
      </c>
      <c r="AI4761">
        <f>IF('01_Вводные'!$B$234="Да",'19_Расчет_аналитики'!AI4431/(1+'01_Вводные'!$B$58),0)</f>
        <v/>
      </c>
      <c r="AJ4761">
        <f>IF('01_Вводные'!$B$234="Да",'19_Расчет_аналитики'!AJ4431/(1+'01_Вводные'!$B$58),0)</f>
        <v/>
      </c>
      <c r="AK4761">
        <f>IF('01_Вводные'!$B$234="Да",'19_Расчет_аналитики'!AK4431/(1+'01_Вводные'!$B$58),0)</f>
        <v/>
      </c>
      <c r="AL4761">
        <f>IF('01_Вводные'!$B$234="Да",'19_Расчет_аналитики'!AL4431/(1+'01_Вводные'!$B$58),0)</f>
        <v/>
      </c>
      <c r="AM4761">
        <f>IF('01_Вводные'!$B$234="Да",'19_Расчет_аналитики'!AM4431/(1+'01_Вводные'!$B$58),0)</f>
        <v/>
      </c>
      <c r="AN4761">
        <f>IF('01_Вводные'!$B$234="Да",'19_Расчет_аналитики'!AN4431/(1+'01_Вводные'!$B$58),0)</f>
        <v/>
      </c>
      <c r="AO4761">
        <f>IF('01_Вводные'!$B$234="Да",'19_Расчет_аналитики'!AO4431/(1+'01_Вводные'!$B$58),0)</f>
        <v/>
      </c>
      <c r="AP4761">
        <f>IF('01_Вводные'!$B$234="Да",'19_Расчет_аналитики'!AP4431/(1+'01_Вводные'!$B$58),0)</f>
        <v/>
      </c>
      <c r="AQ4761">
        <f>IF('01_Вводные'!$B$234="Да",'19_Расчет_аналитики'!AQ4431/(1+'01_Вводные'!$B$58),0)</f>
        <v/>
      </c>
      <c r="AR4761">
        <f>IF('01_Вводные'!$B$234="Да",'19_Расчет_аналитики'!AR4431/(1+'01_Вводные'!$B$58),0)</f>
        <v/>
      </c>
      <c r="AS4761">
        <f>IF('01_Вводные'!$B$234="Да",'19_Расчет_аналитики'!AS4431/(1+'01_Вводные'!$B$58),0)</f>
        <v/>
      </c>
      <c r="AT4761">
        <f>IF('01_Вводные'!$B$234="Да",'19_Расчет_аналитики'!AT4431/(1+'01_Вводные'!$B$58),0)</f>
        <v/>
      </c>
      <c r="AU4761">
        <f>IF('01_Вводные'!$B$234="Да",'19_Расчет_аналитики'!AU4431/(1+'01_Вводные'!$B$58),0)</f>
        <v/>
      </c>
      <c r="AV4761">
        <f>IF('01_Вводные'!$B$234="Да",'19_Расчет_аналитики'!AV4431/(1+'01_Вводные'!$B$58),0)</f>
        <v/>
      </c>
      <c r="AW4761">
        <f>IF('01_Вводные'!$B$234="Да",'19_Расчет_аналитики'!AW4431/(1+'01_Вводные'!$B$58),0)</f>
        <v/>
      </c>
      <c r="AX4761">
        <f>IF('01_Вводные'!$B$234="Да",'19_Расчет_аналитики'!AX4431/(1+'01_Вводные'!$B$58),0)</f>
        <v/>
      </c>
      <c r="AY4761">
        <f>IF('01_Вводные'!$B$234="Да",'19_Расчет_аналитики'!AY4431/(1+'01_Вводные'!$B$58),0)</f>
        <v/>
      </c>
      <c r="AZ4761">
        <f>IF('01_Вводные'!$B$234="Да",'19_Расчет_аналитики'!AZ4431/(1+'01_Вводные'!$B$58),0)</f>
        <v/>
      </c>
      <c r="BA4761">
        <f>IF('01_Вводные'!$B$234="Да",'19_Расчет_аналитики'!BA4431/(1+'01_Вводные'!$B$58),0)</f>
        <v/>
      </c>
      <c r="BB4761">
        <f>IF('01_Вводные'!$B$234="Да",'19_Расчет_аналитики'!BB4431/(1+'01_Вводные'!$B$58),0)</f>
        <v/>
      </c>
      <c r="BC4761">
        <f>IF('01_Вводные'!$B$234="Да",'19_Расчет_аналитики'!BC4431/(1+'01_Вводные'!$B$58),0)</f>
        <v/>
      </c>
      <c r="BD4761">
        <f>IF('01_Вводные'!$B$234="Да",'19_Расчет_аналитики'!BD4431/(1+'01_Вводные'!$B$58),0)</f>
        <v/>
      </c>
      <c r="BE4761">
        <f>IF('01_Вводные'!$B$234="Да",'19_Расчет_аналитики'!BE4431/(1+'01_Вводные'!$B$58),0)</f>
        <v/>
      </c>
      <c r="BF4761">
        <f>IF('01_Вводные'!$B$234="Да",'19_Расчет_аналитики'!BF4431/(1+'01_Вводные'!$B$58),0)</f>
        <v/>
      </c>
      <c r="BG4761">
        <f>IF('01_Вводные'!$B$234="Да",'19_Расчет_аналитики'!BG4431/(1+'01_Вводные'!$B$58),0)</f>
        <v/>
      </c>
      <c r="BH4761">
        <f>IF('01_Вводные'!$B$234="Да",'19_Расчет_аналитики'!BH4431/(1+'01_Вводные'!$B$58),0)</f>
        <v/>
      </c>
      <c r="BI4761">
        <f>IF('01_Вводные'!$B$234="Да",'19_Расчет_аналитики'!BI4431/(1+'01_Вводные'!$B$58),0)</f>
        <v/>
      </c>
    </row>
    <row r="4762">
      <c r="B4762">
        <f>IF('01_Вводные'!$B$234="Да",'19_Расчет_аналитики'!B4432/(1+'01_Вводные'!$B$58),0)</f>
        <v/>
      </c>
      <c r="C4762">
        <f>IF('01_Вводные'!$B$234="Да",'19_Расчет_аналитики'!C4432/(1+'01_Вводные'!$B$58),0)</f>
        <v/>
      </c>
      <c r="D4762">
        <f>IF('01_Вводные'!$B$234="Да",'19_Расчет_аналитики'!D4432/(1+'01_Вводные'!$B$58),0)</f>
        <v/>
      </c>
      <c r="E4762">
        <f>IF('01_Вводные'!$B$234="Да",'19_Расчет_аналитики'!E4432/(1+'01_Вводные'!$B$58),0)</f>
        <v/>
      </c>
      <c r="F4762">
        <f>IF('01_Вводные'!$B$234="Да",'19_Расчет_аналитики'!F4432/(1+'01_Вводные'!$B$58),0)</f>
        <v/>
      </c>
      <c r="G4762">
        <f>IF('01_Вводные'!$B$234="Да",'19_Расчет_аналитики'!G4432/(1+'01_Вводные'!$B$58),0)</f>
        <v/>
      </c>
      <c r="H4762">
        <f>IF('01_Вводные'!$B$234="Да",'19_Расчет_аналитики'!H4432/(1+'01_Вводные'!$B$58),0)</f>
        <v/>
      </c>
      <c r="I4762">
        <f>IF('01_Вводные'!$B$234="Да",'19_Расчет_аналитики'!I4432/(1+'01_Вводные'!$B$58),0)</f>
        <v/>
      </c>
      <c r="J4762">
        <f>IF('01_Вводные'!$B$234="Да",'19_Расчет_аналитики'!J4432/(1+'01_Вводные'!$B$58),0)</f>
        <v/>
      </c>
      <c r="K4762">
        <f>IF('01_Вводные'!$B$234="Да",'19_Расчет_аналитики'!K4432/(1+'01_Вводные'!$B$58),0)</f>
        <v/>
      </c>
      <c r="L4762">
        <f>IF('01_Вводные'!$B$234="Да",'19_Расчет_аналитики'!L4432/(1+'01_Вводные'!$B$58),0)</f>
        <v/>
      </c>
      <c r="M4762">
        <f>IF('01_Вводные'!$B$234="Да",'19_Расчет_аналитики'!M4432/(1+'01_Вводные'!$B$58),0)</f>
        <v/>
      </c>
      <c r="N4762">
        <f>IF('01_Вводные'!$B$234="Да",'19_Расчет_аналитики'!N4432/(1+'01_Вводные'!$B$58),0)</f>
        <v/>
      </c>
      <c r="O4762">
        <f>IF('01_Вводные'!$B$234="Да",'19_Расчет_аналитики'!O4432/(1+'01_Вводные'!$B$58),0)</f>
        <v/>
      </c>
      <c r="P4762">
        <f>IF('01_Вводные'!$B$234="Да",'19_Расчет_аналитики'!P4432/(1+'01_Вводные'!$B$58),0)</f>
        <v/>
      </c>
      <c r="Q4762">
        <f>IF('01_Вводные'!$B$234="Да",'19_Расчет_аналитики'!Q4432/(1+'01_Вводные'!$B$58),0)</f>
        <v/>
      </c>
      <c r="R4762">
        <f>IF('01_Вводные'!$B$234="Да",'19_Расчет_аналитики'!R4432/(1+'01_Вводные'!$B$58),0)</f>
        <v/>
      </c>
      <c r="S4762">
        <f>IF('01_Вводные'!$B$234="Да",'19_Расчет_аналитики'!S4432/(1+'01_Вводные'!$B$58),0)</f>
        <v/>
      </c>
      <c r="T4762">
        <f>IF('01_Вводные'!$B$234="Да",'19_Расчет_аналитики'!T4432/(1+'01_Вводные'!$B$58),0)</f>
        <v/>
      </c>
      <c r="U4762">
        <f>IF('01_Вводные'!$B$234="Да",'19_Расчет_аналитики'!U4432/(1+'01_Вводные'!$B$58),0)</f>
        <v/>
      </c>
      <c r="V4762">
        <f>IF('01_Вводные'!$B$234="Да",'19_Расчет_аналитики'!V4432/(1+'01_Вводные'!$B$58),0)</f>
        <v/>
      </c>
      <c r="W4762">
        <f>IF('01_Вводные'!$B$234="Да",'19_Расчет_аналитики'!W4432/(1+'01_Вводные'!$B$58),0)</f>
        <v/>
      </c>
      <c r="X4762">
        <f>IF('01_Вводные'!$B$234="Да",'19_Расчет_аналитики'!X4432/(1+'01_Вводные'!$B$58),0)</f>
        <v/>
      </c>
      <c r="Y4762">
        <f>IF('01_Вводные'!$B$234="Да",'19_Расчет_аналитики'!Y4432/(1+'01_Вводные'!$B$58),0)</f>
        <v/>
      </c>
      <c r="Z4762">
        <f>IF('01_Вводные'!$B$234="Да",'19_Расчет_аналитики'!Z4432/(1+'01_Вводные'!$B$58),0)</f>
        <v/>
      </c>
      <c r="AA4762">
        <f>IF('01_Вводные'!$B$234="Да",'19_Расчет_аналитики'!AA4432/(1+'01_Вводные'!$B$58),0)</f>
        <v/>
      </c>
      <c r="AB4762">
        <f>IF('01_Вводные'!$B$234="Да",'19_Расчет_аналитики'!AB4432/(1+'01_Вводные'!$B$58),0)</f>
        <v/>
      </c>
      <c r="AC4762">
        <f>IF('01_Вводные'!$B$234="Да",'19_Расчет_аналитики'!AC4432/(1+'01_Вводные'!$B$58),0)</f>
        <v/>
      </c>
      <c r="AD4762">
        <f>IF('01_Вводные'!$B$234="Да",'19_Расчет_аналитики'!AD4432/(1+'01_Вводные'!$B$58),0)</f>
        <v/>
      </c>
      <c r="AE4762">
        <f>IF('01_Вводные'!$B$234="Да",'19_Расчет_аналитики'!AE4432/(1+'01_Вводные'!$B$58),0)</f>
        <v/>
      </c>
      <c r="AF4762">
        <f>IF('01_Вводные'!$B$234="Да",'19_Расчет_аналитики'!AF4432/(1+'01_Вводные'!$B$58),0)</f>
        <v/>
      </c>
      <c r="AG4762">
        <f>IF('01_Вводные'!$B$234="Да",'19_Расчет_аналитики'!AG4432/(1+'01_Вводные'!$B$58),0)</f>
        <v/>
      </c>
      <c r="AH4762">
        <f>IF('01_Вводные'!$B$234="Да",'19_Расчет_аналитики'!AH4432/(1+'01_Вводные'!$B$58),0)</f>
        <v/>
      </c>
      <c r="AI4762">
        <f>IF('01_Вводные'!$B$234="Да",'19_Расчет_аналитики'!AI4432/(1+'01_Вводные'!$B$58),0)</f>
        <v/>
      </c>
      <c r="AJ4762">
        <f>IF('01_Вводные'!$B$234="Да",'19_Расчет_аналитики'!AJ4432/(1+'01_Вводные'!$B$58),0)</f>
        <v/>
      </c>
      <c r="AK4762">
        <f>IF('01_Вводные'!$B$234="Да",'19_Расчет_аналитики'!AK4432/(1+'01_Вводные'!$B$58),0)</f>
        <v/>
      </c>
      <c r="AL4762">
        <f>IF('01_Вводные'!$B$234="Да",'19_Расчет_аналитики'!AL4432/(1+'01_Вводные'!$B$58),0)</f>
        <v/>
      </c>
      <c r="AM4762">
        <f>IF('01_Вводные'!$B$234="Да",'19_Расчет_аналитики'!AM4432/(1+'01_Вводные'!$B$58),0)</f>
        <v/>
      </c>
      <c r="AN4762">
        <f>IF('01_Вводные'!$B$234="Да",'19_Расчет_аналитики'!AN4432/(1+'01_Вводные'!$B$58),0)</f>
        <v/>
      </c>
      <c r="AO4762">
        <f>IF('01_Вводные'!$B$234="Да",'19_Расчет_аналитики'!AO4432/(1+'01_Вводные'!$B$58),0)</f>
        <v/>
      </c>
      <c r="AP4762">
        <f>IF('01_Вводные'!$B$234="Да",'19_Расчет_аналитики'!AP4432/(1+'01_Вводные'!$B$58),0)</f>
        <v/>
      </c>
      <c r="AQ4762">
        <f>IF('01_Вводные'!$B$234="Да",'19_Расчет_аналитики'!AQ4432/(1+'01_Вводные'!$B$58),0)</f>
        <v/>
      </c>
      <c r="AR4762">
        <f>IF('01_Вводные'!$B$234="Да",'19_Расчет_аналитики'!AR4432/(1+'01_Вводные'!$B$58),0)</f>
        <v/>
      </c>
      <c r="AS4762">
        <f>IF('01_Вводные'!$B$234="Да",'19_Расчет_аналитики'!AS4432/(1+'01_Вводные'!$B$58),0)</f>
        <v/>
      </c>
      <c r="AT4762">
        <f>IF('01_Вводные'!$B$234="Да",'19_Расчет_аналитики'!AT4432/(1+'01_Вводные'!$B$58),0)</f>
        <v/>
      </c>
      <c r="AU4762">
        <f>IF('01_Вводные'!$B$234="Да",'19_Расчет_аналитики'!AU4432/(1+'01_Вводные'!$B$58),0)</f>
        <v/>
      </c>
      <c r="AV4762">
        <f>IF('01_Вводные'!$B$234="Да",'19_Расчет_аналитики'!AV4432/(1+'01_Вводные'!$B$58),0)</f>
        <v/>
      </c>
      <c r="AW4762">
        <f>IF('01_Вводные'!$B$234="Да",'19_Расчет_аналитики'!AW4432/(1+'01_Вводные'!$B$58),0)</f>
        <v/>
      </c>
      <c r="AX4762">
        <f>IF('01_Вводные'!$B$234="Да",'19_Расчет_аналитики'!AX4432/(1+'01_Вводные'!$B$58),0)</f>
        <v/>
      </c>
      <c r="AY4762">
        <f>IF('01_Вводные'!$B$234="Да",'19_Расчет_аналитики'!AY4432/(1+'01_Вводные'!$B$58),0)</f>
        <v/>
      </c>
      <c r="AZ4762">
        <f>IF('01_Вводные'!$B$234="Да",'19_Расчет_аналитики'!AZ4432/(1+'01_Вводные'!$B$58),0)</f>
        <v/>
      </c>
      <c r="BA4762">
        <f>IF('01_Вводные'!$B$234="Да",'19_Расчет_аналитики'!BA4432/(1+'01_Вводные'!$B$58),0)</f>
        <v/>
      </c>
      <c r="BB4762">
        <f>IF('01_Вводные'!$B$234="Да",'19_Расчет_аналитики'!BB4432/(1+'01_Вводные'!$B$58),0)</f>
        <v/>
      </c>
      <c r="BC4762">
        <f>IF('01_Вводные'!$B$234="Да",'19_Расчет_аналитики'!BC4432/(1+'01_Вводные'!$B$58),0)</f>
        <v/>
      </c>
      <c r="BD4762">
        <f>IF('01_Вводные'!$B$234="Да",'19_Расчет_аналитики'!BD4432/(1+'01_Вводные'!$B$58),0)</f>
        <v/>
      </c>
      <c r="BE4762">
        <f>IF('01_Вводные'!$B$234="Да",'19_Расчет_аналитики'!BE4432/(1+'01_Вводные'!$B$58),0)</f>
        <v/>
      </c>
      <c r="BF4762">
        <f>IF('01_Вводные'!$B$234="Да",'19_Расчет_аналитики'!BF4432/(1+'01_Вводные'!$B$58),0)</f>
        <v/>
      </c>
      <c r="BG4762">
        <f>IF('01_Вводные'!$B$234="Да",'19_Расчет_аналитики'!BG4432/(1+'01_Вводные'!$B$58),0)</f>
        <v/>
      </c>
      <c r="BH4762">
        <f>IF('01_Вводные'!$B$234="Да",'19_Расчет_аналитики'!BH4432/(1+'01_Вводные'!$B$58),0)</f>
        <v/>
      </c>
      <c r="BI4762">
        <f>IF('01_Вводные'!$B$234="Да",'19_Расчет_аналитики'!BI4432/(1+'01_Вводные'!$B$58),0)</f>
        <v/>
      </c>
    </row>
    <row r="4763">
      <c r="B4763">
        <f>IF('01_Вводные'!$B$234="Да",'19_Расчет_аналитики'!B4664,0)</f>
        <v/>
      </c>
      <c r="C4763">
        <f>IF('01_Вводные'!$B$234="Да",'19_Расчет_аналитики'!C4664,0)</f>
        <v/>
      </c>
      <c r="D4763">
        <f>IF('01_Вводные'!$B$234="Да",'19_Расчет_аналитики'!D4664,0)</f>
        <v/>
      </c>
      <c r="E4763">
        <f>IF('01_Вводные'!$B$234="Да",'19_Расчет_аналитики'!E4664,0)</f>
        <v/>
      </c>
      <c r="F4763">
        <f>IF('01_Вводные'!$B$234="Да",'19_Расчет_аналитики'!F4664,0)</f>
        <v/>
      </c>
      <c r="G4763">
        <f>IF('01_Вводные'!$B$234="Да",'19_Расчет_аналитики'!G4664,0)</f>
        <v/>
      </c>
      <c r="H4763">
        <f>IF('01_Вводные'!$B$234="Да",'19_Расчет_аналитики'!H4664,0)</f>
        <v/>
      </c>
      <c r="I4763">
        <f>IF('01_Вводные'!$B$234="Да",'19_Расчет_аналитики'!I4664,0)</f>
        <v/>
      </c>
      <c r="J4763">
        <f>IF('01_Вводные'!$B$234="Да",'19_Расчет_аналитики'!J4664,0)</f>
        <v/>
      </c>
      <c r="K4763">
        <f>IF('01_Вводные'!$B$234="Да",'19_Расчет_аналитики'!K4664,0)</f>
        <v/>
      </c>
      <c r="L4763">
        <f>IF('01_Вводные'!$B$234="Да",'19_Расчет_аналитики'!L4664,0)</f>
        <v/>
      </c>
      <c r="M4763">
        <f>IF('01_Вводные'!$B$234="Да",'19_Расчет_аналитики'!M4664,0)</f>
        <v/>
      </c>
      <c r="N4763">
        <f>IF('01_Вводные'!$B$234="Да",'19_Расчет_аналитики'!N4664,0)</f>
        <v/>
      </c>
      <c r="O4763">
        <f>IF('01_Вводные'!$B$234="Да",'19_Расчет_аналитики'!O4664,0)</f>
        <v/>
      </c>
      <c r="P4763">
        <f>IF('01_Вводные'!$B$234="Да",'19_Расчет_аналитики'!P4664,0)</f>
        <v/>
      </c>
      <c r="Q4763">
        <f>IF('01_Вводные'!$B$234="Да",'19_Расчет_аналитики'!Q4664,0)</f>
        <v/>
      </c>
      <c r="R4763">
        <f>IF('01_Вводные'!$B$234="Да",'19_Расчет_аналитики'!R4664,0)</f>
        <v/>
      </c>
      <c r="S4763">
        <f>IF('01_Вводные'!$B$234="Да",'19_Расчет_аналитики'!S4664,0)</f>
        <v/>
      </c>
      <c r="T4763">
        <f>IF('01_Вводные'!$B$234="Да",'19_Расчет_аналитики'!T4664,0)</f>
        <v/>
      </c>
      <c r="U4763">
        <f>IF('01_Вводные'!$B$234="Да",'19_Расчет_аналитики'!U4664,0)</f>
        <v/>
      </c>
      <c r="V4763">
        <f>IF('01_Вводные'!$B$234="Да",'19_Расчет_аналитики'!V4664,0)</f>
        <v/>
      </c>
      <c r="W4763">
        <f>IF('01_Вводные'!$B$234="Да",'19_Расчет_аналитики'!W4664,0)</f>
        <v/>
      </c>
      <c r="X4763">
        <f>IF('01_Вводные'!$B$234="Да",'19_Расчет_аналитики'!X4664,0)</f>
        <v/>
      </c>
      <c r="Y4763">
        <f>IF('01_Вводные'!$B$234="Да",'19_Расчет_аналитики'!Y4664,0)</f>
        <v/>
      </c>
      <c r="Z4763">
        <f>IF('01_Вводные'!$B$234="Да",'19_Расчет_аналитики'!Z4664,0)</f>
        <v/>
      </c>
      <c r="AA4763">
        <f>IF('01_Вводные'!$B$234="Да",'19_Расчет_аналитики'!AA4664,0)</f>
        <v/>
      </c>
      <c r="AB4763">
        <f>IF('01_Вводные'!$B$234="Да",'19_Расчет_аналитики'!AB4664,0)</f>
        <v/>
      </c>
      <c r="AC4763">
        <f>IF('01_Вводные'!$B$234="Да",'19_Расчет_аналитики'!AC4664,0)</f>
        <v/>
      </c>
      <c r="AD4763">
        <f>IF('01_Вводные'!$B$234="Да",'19_Расчет_аналитики'!AD4664,0)</f>
        <v/>
      </c>
      <c r="AE4763">
        <f>IF('01_Вводные'!$B$234="Да",'19_Расчет_аналитики'!AE4664,0)</f>
        <v/>
      </c>
      <c r="AF4763">
        <f>IF('01_Вводные'!$B$234="Да",'19_Расчет_аналитики'!AF4664,0)</f>
        <v/>
      </c>
      <c r="AG4763">
        <f>IF('01_Вводные'!$B$234="Да",'19_Расчет_аналитики'!AG4664,0)</f>
        <v/>
      </c>
      <c r="AH4763">
        <f>IF('01_Вводные'!$B$234="Да",'19_Расчет_аналитики'!AH4664,0)</f>
        <v/>
      </c>
      <c r="AI4763">
        <f>IF('01_Вводные'!$B$234="Да",'19_Расчет_аналитики'!AI4664,0)</f>
        <v/>
      </c>
      <c r="AJ4763">
        <f>IF('01_Вводные'!$B$234="Да",'19_Расчет_аналитики'!AJ4664,0)</f>
        <v/>
      </c>
      <c r="AK4763">
        <f>IF('01_Вводные'!$B$234="Да",'19_Расчет_аналитики'!AK4664,0)</f>
        <v/>
      </c>
      <c r="AL4763">
        <f>IF('01_Вводные'!$B$234="Да",'19_Расчет_аналитики'!AL4664,0)</f>
        <v/>
      </c>
      <c r="AM4763">
        <f>IF('01_Вводные'!$B$234="Да",'19_Расчет_аналитики'!AM4664,0)</f>
        <v/>
      </c>
      <c r="AN4763">
        <f>IF('01_Вводные'!$B$234="Да",'19_Расчет_аналитики'!AN4664,0)</f>
        <v/>
      </c>
      <c r="AO4763">
        <f>IF('01_Вводные'!$B$234="Да",'19_Расчет_аналитики'!AO4664,0)</f>
        <v/>
      </c>
      <c r="AP4763">
        <f>IF('01_Вводные'!$B$234="Да",'19_Расчет_аналитики'!AP4664,0)</f>
        <v/>
      </c>
      <c r="AQ4763">
        <f>IF('01_Вводные'!$B$234="Да",'19_Расчет_аналитики'!AQ4664,0)</f>
        <v/>
      </c>
      <c r="AR4763">
        <f>IF('01_Вводные'!$B$234="Да",'19_Расчет_аналитики'!AR4664,0)</f>
        <v/>
      </c>
      <c r="AS4763">
        <f>IF('01_Вводные'!$B$234="Да",'19_Расчет_аналитики'!AS4664,0)</f>
        <v/>
      </c>
      <c r="AT4763">
        <f>IF('01_Вводные'!$B$234="Да",'19_Расчет_аналитики'!AT4664,0)</f>
        <v/>
      </c>
      <c r="AU4763">
        <f>IF('01_Вводные'!$B$234="Да",'19_Расчет_аналитики'!AU4664,0)</f>
        <v/>
      </c>
      <c r="AV4763">
        <f>IF('01_Вводные'!$B$234="Да",'19_Расчет_аналитики'!AV4664,0)</f>
        <v/>
      </c>
      <c r="AW4763">
        <f>IF('01_Вводные'!$B$234="Да",'19_Расчет_аналитики'!AW4664,0)</f>
        <v/>
      </c>
      <c r="AX4763">
        <f>IF('01_Вводные'!$B$234="Да",'19_Расчет_аналитики'!AX4664,0)</f>
        <v/>
      </c>
      <c r="AY4763">
        <f>IF('01_Вводные'!$B$234="Да",'19_Расчет_аналитики'!AY4664,0)</f>
        <v/>
      </c>
      <c r="AZ4763">
        <f>IF('01_Вводные'!$B$234="Да",'19_Расчет_аналитики'!AZ4664,0)</f>
        <v/>
      </c>
      <c r="BA4763">
        <f>IF('01_Вводные'!$B$234="Да",'19_Расчет_аналитики'!BA4664,0)</f>
        <v/>
      </c>
      <c r="BB4763">
        <f>IF('01_Вводные'!$B$234="Да",'19_Расчет_аналитики'!BB4664,0)</f>
        <v/>
      </c>
      <c r="BC4763">
        <f>IF('01_Вводные'!$B$234="Да",'19_Расчет_аналитики'!BC4664,0)</f>
        <v/>
      </c>
      <c r="BD4763">
        <f>IF('01_Вводные'!$B$234="Да",'19_Расчет_аналитики'!BD4664,0)</f>
        <v/>
      </c>
      <c r="BE4763">
        <f>IF('01_Вводные'!$B$234="Да",'19_Расчет_аналитики'!BE4664,0)</f>
        <v/>
      </c>
      <c r="BF4763">
        <f>IF('01_Вводные'!$B$234="Да",'19_Расчет_аналитики'!BF4664,0)</f>
        <v/>
      </c>
      <c r="BG4763">
        <f>IF('01_Вводные'!$B$234="Да",'19_Расчет_аналитики'!BG4664,0)</f>
        <v/>
      </c>
      <c r="BH4763">
        <f>IF('01_Вводные'!$B$234="Да",'19_Расчет_аналитики'!BH4664,0)</f>
        <v/>
      </c>
      <c r="BI4763">
        <f>IF('01_Вводные'!$B$234="Да",'19_Расчет_аналитики'!BI4664,0)</f>
        <v/>
      </c>
    </row>
    <row r="4764">
      <c r="B4764">
        <f>'02_Модель'!B22</f>
        <v/>
      </c>
      <c r="C4764">
        <f>'02_Модель'!C22</f>
        <v/>
      </c>
      <c r="D4764">
        <f>'02_Модель'!D22</f>
        <v/>
      </c>
      <c r="E4764">
        <f>'02_Модель'!E22</f>
        <v/>
      </c>
      <c r="F4764">
        <f>'02_Модель'!F22</f>
        <v/>
      </c>
      <c r="G4764">
        <f>'02_Модель'!G22</f>
        <v/>
      </c>
      <c r="H4764">
        <f>'02_Модель'!H22</f>
        <v/>
      </c>
      <c r="I4764">
        <f>'02_Модель'!I22</f>
        <v/>
      </c>
      <c r="J4764">
        <f>'02_Модель'!J22</f>
        <v/>
      </c>
      <c r="K4764">
        <f>'02_Модель'!K22</f>
        <v/>
      </c>
      <c r="L4764">
        <f>'02_Модель'!L22</f>
        <v/>
      </c>
      <c r="M4764">
        <f>'02_Модель'!M22</f>
        <v/>
      </c>
      <c r="N4764">
        <f>'02_Модель'!N22</f>
        <v/>
      </c>
      <c r="O4764">
        <f>'02_Модель'!O22</f>
        <v/>
      </c>
      <c r="P4764">
        <f>'02_Модель'!P22</f>
        <v/>
      </c>
      <c r="Q4764">
        <f>'02_Модель'!Q22</f>
        <v/>
      </c>
      <c r="R4764">
        <f>'02_Модель'!R22</f>
        <v/>
      </c>
      <c r="S4764">
        <f>'02_Модель'!S22</f>
        <v/>
      </c>
      <c r="T4764">
        <f>'02_Модель'!T22</f>
        <v/>
      </c>
      <c r="U4764">
        <f>'02_Модель'!U22</f>
        <v/>
      </c>
      <c r="V4764">
        <f>'02_Модель'!V22</f>
        <v/>
      </c>
      <c r="W4764">
        <f>'02_Модель'!W22</f>
        <v/>
      </c>
      <c r="X4764">
        <f>'02_Модель'!X22</f>
        <v/>
      </c>
      <c r="Y4764">
        <f>'02_Модель'!Y22</f>
        <v/>
      </c>
      <c r="Z4764">
        <f>'02_Модель'!Z22</f>
        <v/>
      </c>
      <c r="AA4764">
        <f>'02_Модель'!AA22</f>
        <v/>
      </c>
      <c r="AB4764">
        <f>'02_Модель'!AB22</f>
        <v/>
      </c>
      <c r="AC4764">
        <f>'02_Модель'!AC22</f>
        <v/>
      </c>
      <c r="AD4764">
        <f>'02_Модель'!AD22</f>
        <v/>
      </c>
      <c r="AE4764">
        <f>'02_Модель'!AE22</f>
        <v/>
      </c>
      <c r="AF4764">
        <f>'02_Модель'!AF22</f>
        <v/>
      </c>
      <c r="AG4764">
        <f>'02_Модель'!AG22</f>
        <v/>
      </c>
      <c r="AH4764">
        <f>'02_Модель'!AH22</f>
        <v/>
      </c>
      <c r="AI4764">
        <f>'02_Модель'!AI22</f>
        <v/>
      </c>
      <c r="AJ4764">
        <f>'02_Модель'!AJ22</f>
        <v/>
      </c>
      <c r="AK4764">
        <f>'02_Модель'!AK22</f>
        <v/>
      </c>
      <c r="AL4764">
        <f>'02_Модель'!AL22</f>
        <v/>
      </c>
      <c r="AM4764">
        <f>'02_Модель'!AM22</f>
        <v/>
      </c>
      <c r="AN4764">
        <f>'02_Модель'!AN22</f>
        <v/>
      </c>
      <c r="AO4764">
        <f>'02_Модель'!AO22</f>
        <v/>
      </c>
      <c r="AP4764">
        <f>'02_Модель'!AP22</f>
        <v/>
      </c>
      <c r="AQ4764">
        <f>'02_Модель'!AQ22</f>
        <v/>
      </c>
      <c r="AR4764">
        <f>'02_Модель'!AR22</f>
        <v/>
      </c>
      <c r="AS4764">
        <f>'02_Модель'!AS22</f>
        <v/>
      </c>
      <c r="AT4764">
        <f>'02_Модель'!AT22</f>
        <v/>
      </c>
      <c r="AU4764">
        <f>'02_Модель'!AU22</f>
        <v/>
      </c>
      <c r="AV4764">
        <f>'02_Модель'!AV22</f>
        <v/>
      </c>
      <c r="AW4764">
        <f>'02_Модель'!AW22</f>
        <v/>
      </c>
      <c r="AX4764">
        <f>'02_Модель'!AX22</f>
        <v/>
      </c>
      <c r="AY4764">
        <f>'02_Модель'!AY22</f>
        <v/>
      </c>
      <c r="AZ4764">
        <f>'02_Модель'!AZ22</f>
        <v/>
      </c>
      <c r="BA4764">
        <f>'02_Модель'!BA22</f>
        <v/>
      </c>
      <c r="BB4764">
        <f>'02_Модель'!BB22</f>
        <v/>
      </c>
      <c r="BC4764">
        <f>'02_Модель'!BC22</f>
        <v/>
      </c>
      <c r="BD4764">
        <f>'02_Модель'!BD22</f>
        <v/>
      </c>
      <c r="BE4764">
        <f>'02_Модель'!BE22</f>
        <v/>
      </c>
      <c r="BF4764">
        <f>'02_Модель'!BF22</f>
        <v/>
      </c>
      <c r="BG4764">
        <f>'02_Модель'!BG22</f>
        <v/>
      </c>
      <c r="BH4764">
        <f>'02_Модель'!BH22</f>
        <v/>
      </c>
      <c r="BI4764">
        <f>'02_Модель'!BI22</f>
        <v/>
      </c>
    </row>
    <row r="4765">
      <c r="B4765">
        <f>IF('01_Вводные'!$B$234="Да",SUM('19_Расчет_аналитики'!B4760:B4764),0)</f>
        <v/>
      </c>
      <c r="C4765">
        <f>IF('01_Вводные'!$B$234="Да",SUM('19_Расчет_аналитики'!C4760:C4764),0)</f>
        <v/>
      </c>
      <c r="D4765">
        <f>IF('01_Вводные'!$B$234="Да",SUM('19_Расчет_аналитики'!D4760:D4764),0)</f>
        <v/>
      </c>
      <c r="E4765">
        <f>IF('01_Вводные'!$B$234="Да",SUM('19_Расчет_аналитики'!E4760:E4764),0)</f>
        <v/>
      </c>
      <c r="F4765">
        <f>IF('01_Вводные'!$B$234="Да",SUM('19_Расчет_аналитики'!F4760:F4764),0)</f>
        <v/>
      </c>
      <c r="G4765">
        <f>IF('01_Вводные'!$B$234="Да",SUM('19_Расчет_аналитики'!G4760:G4764),0)</f>
        <v/>
      </c>
      <c r="H4765">
        <f>IF('01_Вводные'!$B$234="Да",SUM('19_Расчет_аналитики'!H4760:H4764),0)</f>
        <v/>
      </c>
      <c r="I4765">
        <f>IF('01_Вводные'!$B$234="Да",SUM('19_Расчет_аналитики'!I4760:I4764),0)</f>
        <v/>
      </c>
      <c r="J4765">
        <f>IF('01_Вводные'!$B$234="Да",SUM('19_Расчет_аналитики'!J4760:J4764),0)</f>
        <v/>
      </c>
      <c r="K4765">
        <f>IF('01_Вводные'!$B$234="Да",SUM('19_Расчет_аналитики'!K4760:K4764),0)</f>
        <v/>
      </c>
      <c r="L4765">
        <f>IF('01_Вводные'!$B$234="Да",SUM('19_Расчет_аналитики'!L4760:L4764),0)</f>
        <v/>
      </c>
      <c r="M4765">
        <f>IF('01_Вводные'!$B$234="Да",SUM('19_Расчет_аналитики'!M4760:M4764),0)</f>
        <v/>
      </c>
      <c r="N4765">
        <f>IF('01_Вводные'!$B$234="Да",SUM('19_Расчет_аналитики'!N4760:N4764),0)</f>
        <v/>
      </c>
      <c r="O4765">
        <f>IF('01_Вводные'!$B$234="Да",SUM('19_Расчет_аналитики'!O4760:O4764),0)</f>
        <v/>
      </c>
      <c r="P4765">
        <f>IF('01_Вводные'!$B$234="Да",SUM('19_Расчет_аналитики'!P4760:P4764),0)</f>
        <v/>
      </c>
      <c r="Q4765">
        <f>IF('01_Вводные'!$B$234="Да",SUM('19_Расчет_аналитики'!Q4760:Q4764),0)</f>
        <v/>
      </c>
      <c r="R4765">
        <f>IF('01_Вводные'!$B$234="Да",SUM('19_Расчет_аналитики'!R4760:R4764),0)</f>
        <v/>
      </c>
      <c r="S4765">
        <f>IF('01_Вводные'!$B$234="Да",SUM('19_Расчет_аналитики'!S4760:S4764),0)</f>
        <v/>
      </c>
      <c r="T4765">
        <f>IF('01_Вводные'!$B$234="Да",SUM('19_Расчет_аналитики'!T4760:T4764),0)</f>
        <v/>
      </c>
      <c r="U4765">
        <f>IF('01_Вводные'!$B$234="Да",SUM('19_Расчет_аналитики'!U4760:U4764),0)</f>
        <v/>
      </c>
      <c r="V4765">
        <f>IF('01_Вводные'!$B$234="Да",SUM('19_Расчет_аналитики'!V4760:V4764),0)</f>
        <v/>
      </c>
      <c r="W4765">
        <f>IF('01_Вводные'!$B$234="Да",SUM('19_Расчет_аналитики'!W4760:W4764),0)</f>
        <v/>
      </c>
      <c r="X4765">
        <f>IF('01_Вводные'!$B$234="Да",SUM('19_Расчет_аналитики'!X4760:X4764),0)</f>
        <v/>
      </c>
      <c r="Y4765">
        <f>IF('01_Вводные'!$B$234="Да",SUM('19_Расчет_аналитики'!Y4760:Y4764),0)</f>
        <v/>
      </c>
      <c r="Z4765">
        <f>IF('01_Вводные'!$B$234="Да",SUM('19_Расчет_аналитики'!Z4760:Z4764),0)</f>
        <v/>
      </c>
      <c r="AA4765">
        <f>IF('01_Вводные'!$B$234="Да",SUM('19_Расчет_аналитики'!AA4760:AA4764),0)</f>
        <v/>
      </c>
      <c r="AB4765">
        <f>IF('01_Вводные'!$B$234="Да",SUM('19_Расчет_аналитики'!AB4760:AB4764),0)</f>
        <v/>
      </c>
      <c r="AC4765">
        <f>IF('01_Вводные'!$B$234="Да",SUM('19_Расчет_аналитики'!AC4760:AC4764),0)</f>
        <v/>
      </c>
      <c r="AD4765">
        <f>IF('01_Вводные'!$B$234="Да",SUM('19_Расчет_аналитики'!AD4760:AD4764),0)</f>
        <v/>
      </c>
      <c r="AE4765">
        <f>IF('01_Вводные'!$B$234="Да",SUM('19_Расчет_аналитики'!AE4760:AE4764),0)</f>
        <v/>
      </c>
      <c r="AF4765">
        <f>IF('01_Вводные'!$B$234="Да",SUM('19_Расчет_аналитики'!AF4760:AF4764),0)</f>
        <v/>
      </c>
      <c r="AG4765">
        <f>IF('01_Вводные'!$B$234="Да",SUM('19_Расчет_аналитики'!AG4760:AG4764),0)</f>
        <v/>
      </c>
      <c r="AH4765">
        <f>IF('01_Вводные'!$B$234="Да",SUM('19_Расчет_аналитики'!AH4760:AH4764),0)</f>
        <v/>
      </c>
      <c r="AI4765">
        <f>IF('01_Вводные'!$B$234="Да",SUM('19_Расчет_аналитики'!AI4760:AI4764),0)</f>
        <v/>
      </c>
      <c r="AJ4765">
        <f>IF('01_Вводные'!$B$234="Да",SUM('19_Расчет_аналитики'!AJ4760:AJ4764),0)</f>
        <v/>
      </c>
      <c r="AK4765">
        <f>IF('01_Вводные'!$B$234="Да",SUM('19_Расчет_аналитики'!AK4760:AK4764),0)</f>
        <v/>
      </c>
      <c r="AL4765">
        <f>IF('01_Вводные'!$B$234="Да",SUM('19_Расчет_аналитики'!AL4760:AL4764),0)</f>
        <v/>
      </c>
      <c r="AM4765">
        <f>IF('01_Вводные'!$B$234="Да",SUM('19_Расчет_аналитики'!AM4760:AM4764),0)</f>
        <v/>
      </c>
      <c r="AN4765">
        <f>IF('01_Вводные'!$B$234="Да",SUM('19_Расчет_аналитики'!AN4760:AN4764),0)</f>
        <v/>
      </c>
      <c r="AO4765">
        <f>IF('01_Вводные'!$B$234="Да",SUM('19_Расчет_аналитики'!AO4760:AO4764),0)</f>
        <v/>
      </c>
      <c r="AP4765">
        <f>IF('01_Вводные'!$B$234="Да",SUM('19_Расчет_аналитики'!AP4760:AP4764),0)</f>
        <v/>
      </c>
      <c r="AQ4765">
        <f>IF('01_Вводные'!$B$234="Да",SUM('19_Расчет_аналитики'!AQ4760:AQ4764),0)</f>
        <v/>
      </c>
      <c r="AR4765">
        <f>IF('01_Вводные'!$B$234="Да",SUM('19_Расчет_аналитики'!AR4760:AR4764),0)</f>
        <v/>
      </c>
      <c r="AS4765">
        <f>IF('01_Вводные'!$B$234="Да",SUM('19_Расчет_аналитики'!AS4760:AS4764),0)</f>
        <v/>
      </c>
      <c r="AT4765">
        <f>IF('01_Вводные'!$B$234="Да",SUM('19_Расчет_аналитики'!AT4760:AT4764),0)</f>
        <v/>
      </c>
      <c r="AU4765">
        <f>IF('01_Вводные'!$B$234="Да",SUM('19_Расчет_аналитики'!AU4760:AU4764),0)</f>
        <v/>
      </c>
      <c r="AV4765">
        <f>IF('01_Вводные'!$B$234="Да",SUM('19_Расчет_аналитики'!AV4760:AV4764),0)</f>
        <v/>
      </c>
      <c r="AW4765">
        <f>IF('01_Вводные'!$B$234="Да",SUM('19_Расчет_аналитики'!AW4760:AW4764),0)</f>
        <v/>
      </c>
      <c r="AX4765">
        <f>IF('01_Вводные'!$B$234="Да",SUM('19_Расчет_аналитики'!AX4760:AX4764),0)</f>
        <v/>
      </c>
      <c r="AY4765">
        <f>IF('01_Вводные'!$B$234="Да",SUM('19_Расчет_аналитики'!AY4760:AY4764),0)</f>
        <v/>
      </c>
      <c r="AZ4765">
        <f>IF('01_Вводные'!$B$234="Да",SUM('19_Расчет_аналитики'!AZ4760:AZ4764),0)</f>
        <v/>
      </c>
      <c r="BA4765">
        <f>IF('01_Вводные'!$B$234="Да",SUM('19_Расчет_аналитики'!BA4760:BA4764),0)</f>
        <v/>
      </c>
      <c r="BB4765">
        <f>IF('01_Вводные'!$B$234="Да",SUM('19_Расчет_аналитики'!BB4760:BB4764),0)</f>
        <v/>
      </c>
      <c r="BC4765">
        <f>IF('01_Вводные'!$B$234="Да",SUM('19_Расчет_аналитики'!BC4760:BC4764),0)</f>
        <v/>
      </c>
      <c r="BD4765">
        <f>IF('01_Вводные'!$B$234="Да",SUM('19_Расчет_аналитики'!BD4760:BD4764),0)</f>
        <v/>
      </c>
      <c r="BE4765">
        <f>IF('01_Вводные'!$B$234="Да",SUM('19_Расчет_аналитики'!BE4760:BE4764),0)</f>
        <v/>
      </c>
      <c r="BF4765">
        <f>IF('01_Вводные'!$B$234="Да",SUM('19_Расчет_аналитики'!BF4760:BF4764),0)</f>
        <v/>
      </c>
      <c r="BG4765">
        <f>IF('01_Вводные'!$B$234="Да",SUM('19_Расчет_аналитики'!BG4760:BG4764),0)</f>
        <v/>
      </c>
      <c r="BH4765">
        <f>IF('01_Вводные'!$B$234="Да",SUM('19_Расчет_аналитики'!BH4760:BH4764),0)</f>
        <v/>
      </c>
      <c r="BI4765">
        <f>IF('01_Вводные'!$B$234="Да",SUM('19_Расчет_аналитики'!BI4760:BI4764),0)</f>
        <v/>
      </c>
    </row>
    <row r="4766"/>
    <row r="4767"/>
    <row r="4768">
      <c r="B4768">
        <f>IF('01_Вводные'!$B$234="Да",'19_Расчет_аналитики'!B4665,0)</f>
        <v/>
      </c>
      <c r="C4768">
        <f>IF('01_Вводные'!$B$234="Да",'19_Расчет_аналитики'!C4665,0)</f>
        <v/>
      </c>
      <c r="D4768">
        <f>IF('01_Вводные'!$B$234="Да",'19_Расчет_аналитики'!D4665,0)</f>
        <v/>
      </c>
      <c r="E4768">
        <f>IF('01_Вводные'!$B$234="Да",'19_Расчет_аналитики'!E4665,0)</f>
        <v/>
      </c>
      <c r="F4768">
        <f>IF('01_Вводные'!$B$234="Да",'19_Расчет_аналитики'!F4665,0)</f>
        <v/>
      </c>
      <c r="G4768">
        <f>IF('01_Вводные'!$B$234="Да",'19_Расчет_аналитики'!G4665,0)</f>
        <v/>
      </c>
      <c r="H4768">
        <f>IF('01_Вводные'!$B$234="Да",'19_Расчет_аналитики'!H4665,0)</f>
        <v/>
      </c>
      <c r="I4768">
        <f>IF('01_Вводные'!$B$234="Да",'19_Расчет_аналитики'!I4665,0)</f>
        <v/>
      </c>
      <c r="J4768">
        <f>IF('01_Вводные'!$B$234="Да",'19_Расчет_аналитики'!J4665,0)</f>
        <v/>
      </c>
      <c r="K4768">
        <f>IF('01_Вводные'!$B$234="Да",'19_Расчет_аналитики'!K4665,0)</f>
        <v/>
      </c>
      <c r="L4768">
        <f>IF('01_Вводные'!$B$234="Да",'19_Расчет_аналитики'!L4665,0)</f>
        <v/>
      </c>
      <c r="M4768">
        <f>IF('01_Вводные'!$B$234="Да",'19_Расчет_аналитики'!M4665,0)</f>
        <v/>
      </c>
      <c r="N4768">
        <f>IF('01_Вводные'!$B$234="Да",'19_Расчет_аналитики'!N4665,0)</f>
        <v/>
      </c>
      <c r="O4768">
        <f>IF('01_Вводные'!$B$234="Да",'19_Расчет_аналитики'!O4665,0)</f>
        <v/>
      </c>
      <c r="P4768">
        <f>IF('01_Вводные'!$B$234="Да",'19_Расчет_аналитики'!P4665,0)</f>
        <v/>
      </c>
      <c r="Q4768">
        <f>IF('01_Вводные'!$B$234="Да",'19_Расчет_аналитики'!Q4665,0)</f>
        <v/>
      </c>
      <c r="R4768">
        <f>IF('01_Вводные'!$B$234="Да",'19_Расчет_аналитики'!R4665,0)</f>
        <v/>
      </c>
      <c r="S4768">
        <f>IF('01_Вводные'!$B$234="Да",'19_Расчет_аналитики'!S4665,0)</f>
        <v/>
      </c>
      <c r="T4768">
        <f>IF('01_Вводные'!$B$234="Да",'19_Расчет_аналитики'!T4665,0)</f>
        <v/>
      </c>
      <c r="U4768">
        <f>IF('01_Вводные'!$B$234="Да",'19_Расчет_аналитики'!U4665,0)</f>
        <v/>
      </c>
      <c r="V4768">
        <f>IF('01_Вводные'!$B$234="Да",'19_Расчет_аналитики'!V4665,0)</f>
        <v/>
      </c>
      <c r="W4768">
        <f>IF('01_Вводные'!$B$234="Да",'19_Расчет_аналитики'!W4665,0)</f>
        <v/>
      </c>
      <c r="X4768">
        <f>IF('01_Вводные'!$B$234="Да",'19_Расчет_аналитики'!X4665,0)</f>
        <v/>
      </c>
      <c r="Y4768">
        <f>IF('01_Вводные'!$B$234="Да",'19_Расчет_аналитики'!Y4665,0)</f>
        <v/>
      </c>
      <c r="Z4768">
        <f>IF('01_Вводные'!$B$234="Да",'19_Расчет_аналитики'!Z4665,0)</f>
        <v/>
      </c>
      <c r="AA4768">
        <f>IF('01_Вводные'!$B$234="Да",'19_Расчет_аналитики'!AA4665,0)</f>
        <v/>
      </c>
      <c r="AB4768">
        <f>IF('01_Вводные'!$B$234="Да",'19_Расчет_аналитики'!AB4665,0)</f>
        <v/>
      </c>
      <c r="AC4768">
        <f>IF('01_Вводные'!$B$234="Да",'19_Расчет_аналитики'!AC4665,0)</f>
        <v/>
      </c>
      <c r="AD4768">
        <f>IF('01_Вводные'!$B$234="Да",'19_Расчет_аналитики'!AD4665,0)</f>
        <v/>
      </c>
      <c r="AE4768">
        <f>IF('01_Вводные'!$B$234="Да",'19_Расчет_аналитики'!AE4665,0)</f>
        <v/>
      </c>
      <c r="AF4768">
        <f>IF('01_Вводные'!$B$234="Да",'19_Расчет_аналитики'!AF4665,0)</f>
        <v/>
      </c>
      <c r="AG4768">
        <f>IF('01_Вводные'!$B$234="Да",'19_Расчет_аналитики'!AG4665,0)</f>
        <v/>
      </c>
      <c r="AH4768">
        <f>IF('01_Вводные'!$B$234="Да",'19_Расчет_аналитики'!AH4665,0)</f>
        <v/>
      </c>
      <c r="AI4768">
        <f>IF('01_Вводные'!$B$234="Да",'19_Расчет_аналитики'!AI4665,0)</f>
        <v/>
      </c>
      <c r="AJ4768">
        <f>IF('01_Вводные'!$B$234="Да",'19_Расчет_аналитики'!AJ4665,0)</f>
        <v/>
      </c>
      <c r="AK4768">
        <f>IF('01_Вводные'!$B$234="Да",'19_Расчет_аналитики'!AK4665,0)</f>
        <v/>
      </c>
      <c r="AL4768">
        <f>IF('01_Вводные'!$B$234="Да",'19_Расчет_аналитики'!AL4665,0)</f>
        <v/>
      </c>
      <c r="AM4768">
        <f>IF('01_Вводные'!$B$234="Да",'19_Расчет_аналитики'!AM4665,0)</f>
        <v/>
      </c>
      <c r="AN4768">
        <f>IF('01_Вводные'!$B$234="Да",'19_Расчет_аналитики'!AN4665,0)</f>
        <v/>
      </c>
      <c r="AO4768">
        <f>IF('01_Вводные'!$B$234="Да",'19_Расчет_аналитики'!AO4665,0)</f>
        <v/>
      </c>
      <c r="AP4768">
        <f>IF('01_Вводные'!$B$234="Да",'19_Расчет_аналитики'!AP4665,0)</f>
        <v/>
      </c>
      <c r="AQ4768">
        <f>IF('01_Вводные'!$B$234="Да",'19_Расчет_аналитики'!AQ4665,0)</f>
        <v/>
      </c>
      <c r="AR4768">
        <f>IF('01_Вводные'!$B$234="Да",'19_Расчет_аналитики'!AR4665,0)</f>
        <v/>
      </c>
      <c r="AS4768">
        <f>IF('01_Вводные'!$B$234="Да",'19_Расчет_аналитики'!AS4665,0)</f>
        <v/>
      </c>
      <c r="AT4768">
        <f>IF('01_Вводные'!$B$234="Да",'19_Расчет_аналитики'!AT4665,0)</f>
        <v/>
      </c>
      <c r="AU4768">
        <f>IF('01_Вводные'!$B$234="Да",'19_Расчет_аналитики'!AU4665,0)</f>
        <v/>
      </c>
      <c r="AV4768">
        <f>IF('01_Вводные'!$B$234="Да",'19_Расчет_аналитики'!AV4665,0)</f>
        <v/>
      </c>
      <c r="AW4768">
        <f>IF('01_Вводные'!$B$234="Да",'19_Расчет_аналитики'!AW4665,0)</f>
        <v/>
      </c>
      <c r="AX4768">
        <f>IF('01_Вводные'!$B$234="Да",'19_Расчет_аналитики'!AX4665,0)</f>
        <v/>
      </c>
      <c r="AY4768">
        <f>IF('01_Вводные'!$B$234="Да",'19_Расчет_аналитики'!AY4665,0)</f>
        <v/>
      </c>
      <c r="AZ4768">
        <f>IF('01_Вводные'!$B$234="Да",'19_Расчет_аналитики'!AZ4665,0)</f>
        <v/>
      </c>
      <c r="BA4768">
        <f>IF('01_Вводные'!$B$234="Да",'19_Расчет_аналитики'!BA4665,0)</f>
        <v/>
      </c>
      <c r="BB4768">
        <f>IF('01_Вводные'!$B$234="Да",'19_Расчет_аналитики'!BB4665,0)</f>
        <v/>
      </c>
      <c r="BC4768">
        <f>IF('01_Вводные'!$B$234="Да",'19_Расчет_аналитики'!BC4665,0)</f>
        <v/>
      </c>
      <c r="BD4768">
        <f>IF('01_Вводные'!$B$234="Да",'19_Расчет_аналитики'!BD4665,0)</f>
        <v/>
      </c>
      <c r="BE4768">
        <f>IF('01_Вводные'!$B$234="Да",'19_Расчет_аналитики'!BE4665,0)</f>
        <v/>
      </c>
      <c r="BF4768">
        <f>IF('01_Вводные'!$B$234="Да",'19_Расчет_аналитики'!BF4665,0)</f>
        <v/>
      </c>
      <c r="BG4768">
        <f>IF('01_Вводные'!$B$234="Да",'19_Расчет_аналитики'!BG4665,0)</f>
        <v/>
      </c>
      <c r="BH4768">
        <f>IF('01_Вводные'!$B$234="Да",'19_Расчет_аналитики'!BH4665,0)</f>
        <v/>
      </c>
      <c r="BI4768">
        <f>IF('01_Вводные'!$B$234="Да",'19_Расчет_аналитики'!BI4665,0)</f>
        <v/>
      </c>
    </row>
    <row r="4769">
      <c r="B4769">
        <f>IF('01_Вводные'!$B$234="Да",'19_Расчет_аналитики'!B4666,0)</f>
        <v/>
      </c>
      <c r="C4769">
        <f>IF('01_Вводные'!$B$234="Да",'19_Расчет_аналитики'!C4666,0)</f>
        <v/>
      </c>
      <c r="D4769">
        <f>IF('01_Вводные'!$B$234="Да",'19_Расчет_аналитики'!D4666,0)</f>
        <v/>
      </c>
      <c r="E4769">
        <f>IF('01_Вводные'!$B$234="Да",'19_Расчет_аналитики'!E4666,0)</f>
        <v/>
      </c>
      <c r="F4769">
        <f>IF('01_Вводные'!$B$234="Да",'19_Расчет_аналитики'!F4666,0)</f>
        <v/>
      </c>
      <c r="G4769">
        <f>IF('01_Вводные'!$B$234="Да",'19_Расчет_аналитики'!G4666,0)</f>
        <v/>
      </c>
      <c r="H4769">
        <f>IF('01_Вводные'!$B$234="Да",'19_Расчет_аналитики'!H4666,0)</f>
        <v/>
      </c>
      <c r="I4769">
        <f>IF('01_Вводные'!$B$234="Да",'19_Расчет_аналитики'!I4666,0)</f>
        <v/>
      </c>
      <c r="J4769">
        <f>IF('01_Вводные'!$B$234="Да",'19_Расчет_аналитики'!J4666,0)</f>
        <v/>
      </c>
      <c r="K4769">
        <f>IF('01_Вводные'!$B$234="Да",'19_Расчет_аналитики'!K4666,0)</f>
        <v/>
      </c>
      <c r="L4769">
        <f>IF('01_Вводные'!$B$234="Да",'19_Расчет_аналитики'!L4666,0)</f>
        <v/>
      </c>
      <c r="M4769">
        <f>IF('01_Вводные'!$B$234="Да",'19_Расчет_аналитики'!M4666,0)</f>
        <v/>
      </c>
      <c r="N4769">
        <f>IF('01_Вводные'!$B$234="Да",'19_Расчет_аналитики'!N4666,0)</f>
        <v/>
      </c>
      <c r="O4769">
        <f>IF('01_Вводные'!$B$234="Да",'19_Расчет_аналитики'!O4666,0)</f>
        <v/>
      </c>
      <c r="P4769">
        <f>IF('01_Вводные'!$B$234="Да",'19_Расчет_аналитики'!P4666,0)</f>
        <v/>
      </c>
      <c r="Q4769">
        <f>IF('01_Вводные'!$B$234="Да",'19_Расчет_аналитики'!Q4666,0)</f>
        <v/>
      </c>
      <c r="R4769">
        <f>IF('01_Вводные'!$B$234="Да",'19_Расчет_аналитики'!R4666,0)</f>
        <v/>
      </c>
      <c r="S4769">
        <f>IF('01_Вводные'!$B$234="Да",'19_Расчет_аналитики'!S4666,0)</f>
        <v/>
      </c>
      <c r="T4769">
        <f>IF('01_Вводные'!$B$234="Да",'19_Расчет_аналитики'!T4666,0)</f>
        <v/>
      </c>
      <c r="U4769">
        <f>IF('01_Вводные'!$B$234="Да",'19_Расчет_аналитики'!U4666,0)</f>
        <v/>
      </c>
      <c r="V4769">
        <f>IF('01_Вводные'!$B$234="Да",'19_Расчет_аналитики'!V4666,0)</f>
        <v/>
      </c>
      <c r="W4769">
        <f>IF('01_Вводные'!$B$234="Да",'19_Расчет_аналитики'!W4666,0)</f>
        <v/>
      </c>
      <c r="X4769">
        <f>IF('01_Вводные'!$B$234="Да",'19_Расчет_аналитики'!X4666,0)</f>
        <v/>
      </c>
      <c r="Y4769">
        <f>IF('01_Вводные'!$B$234="Да",'19_Расчет_аналитики'!Y4666,0)</f>
        <v/>
      </c>
      <c r="Z4769">
        <f>IF('01_Вводные'!$B$234="Да",'19_Расчет_аналитики'!Z4666,0)</f>
        <v/>
      </c>
      <c r="AA4769">
        <f>IF('01_Вводные'!$B$234="Да",'19_Расчет_аналитики'!AA4666,0)</f>
        <v/>
      </c>
      <c r="AB4769">
        <f>IF('01_Вводные'!$B$234="Да",'19_Расчет_аналитики'!AB4666,0)</f>
        <v/>
      </c>
      <c r="AC4769">
        <f>IF('01_Вводные'!$B$234="Да",'19_Расчет_аналитики'!AC4666,0)</f>
        <v/>
      </c>
      <c r="AD4769">
        <f>IF('01_Вводные'!$B$234="Да",'19_Расчет_аналитики'!AD4666,0)</f>
        <v/>
      </c>
      <c r="AE4769">
        <f>IF('01_Вводные'!$B$234="Да",'19_Расчет_аналитики'!AE4666,0)</f>
        <v/>
      </c>
      <c r="AF4769">
        <f>IF('01_Вводные'!$B$234="Да",'19_Расчет_аналитики'!AF4666,0)</f>
        <v/>
      </c>
      <c r="AG4769">
        <f>IF('01_Вводные'!$B$234="Да",'19_Расчет_аналитики'!AG4666,0)</f>
        <v/>
      </c>
      <c r="AH4769">
        <f>IF('01_Вводные'!$B$234="Да",'19_Расчет_аналитики'!AH4666,0)</f>
        <v/>
      </c>
      <c r="AI4769">
        <f>IF('01_Вводные'!$B$234="Да",'19_Расчет_аналитики'!AI4666,0)</f>
        <v/>
      </c>
      <c r="AJ4769">
        <f>IF('01_Вводные'!$B$234="Да",'19_Расчет_аналитики'!AJ4666,0)</f>
        <v/>
      </c>
      <c r="AK4769">
        <f>IF('01_Вводные'!$B$234="Да",'19_Расчет_аналитики'!AK4666,0)</f>
        <v/>
      </c>
      <c r="AL4769">
        <f>IF('01_Вводные'!$B$234="Да",'19_Расчет_аналитики'!AL4666,0)</f>
        <v/>
      </c>
      <c r="AM4769">
        <f>IF('01_Вводные'!$B$234="Да",'19_Расчет_аналитики'!AM4666,0)</f>
        <v/>
      </c>
      <c r="AN4769">
        <f>IF('01_Вводные'!$B$234="Да",'19_Расчет_аналитики'!AN4666,0)</f>
        <v/>
      </c>
      <c r="AO4769">
        <f>IF('01_Вводные'!$B$234="Да",'19_Расчет_аналитики'!AO4666,0)</f>
        <v/>
      </c>
      <c r="AP4769">
        <f>IF('01_Вводные'!$B$234="Да",'19_Расчет_аналитики'!AP4666,0)</f>
        <v/>
      </c>
      <c r="AQ4769">
        <f>IF('01_Вводные'!$B$234="Да",'19_Расчет_аналитики'!AQ4666,0)</f>
        <v/>
      </c>
      <c r="AR4769">
        <f>IF('01_Вводные'!$B$234="Да",'19_Расчет_аналитики'!AR4666,0)</f>
        <v/>
      </c>
      <c r="AS4769">
        <f>IF('01_Вводные'!$B$234="Да",'19_Расчет_аналитики'!AS4666,0)</f>
        <v/>
      </c>
      <c r="AT4769">
        <f>IF('01_Вводные'!$B$234="Да",'19_Расчет_аналитики'!AT4666,0)</f>
        <v/>
      </c>
      <c r="AU4769">
        <f>IF('01_Вводные'!$B$234="Да",'19_Расчет_аналитики'!AU4666,0)</f>
        <v/>
      </c>
      <c r="AV4769">
        <f>IF('01_Вводные'!$B$234="Да",'19_Расчет_аналитики'!AV4666,0)</f>
        <v/>
      </c>
      <c r="AW4769">
        <f>IF('01_Вводные'!$B$234="Да",'19_Расчет_аналитики'!AW4666,0)</f>
        <v/>
      </c>
      <c r="AX4769">
        <f>IF('01_Вводные'!$B$234="Да",'19_Расчет_аналитики'!AX4666,0)</f>
        <v/>
      </c>
      <c r="AY4769">
        <f>IF('01_Вводные'!$B$234="Да",'19_Расчет_аналитики'!AY4666,0)</f>
        <v/>
      </c>
      <c r="AZ4769">
        <f>IF('01_Вводные'!$B$234="Да",'19_Расчет_аналитики'!AZ4666,0)</f>
        <v/>
      </c>
      <c r="BA4769">
        <f>IF('01_Вводные'!$B$234="Да",'19_Расчет_аналитики'!BA4666,0)</f>
        <v/>
      </c>
      <c r="BB4769">
        <f>IF('01_Вводные'!$B$234="Да",'19_Расчет_аналитики'!BB4666,0)</f>
        <v/>
      </c>
      <c r="BC4769">
        <f>IF('01_Вводные'!$B$234="Да",'19_Расчет_аналитики'!BC4666,0)</f>
        <v/>
      </c>
      <c r="BD4769">
        <f>IF('01_Вводные'!$B$234="Да",'19_Расчет_аналитики'!BD4666,0)</f>
        <v/>
      </c>
      <c r="BE4769">
        <f>IF('01_Вводные'!$B$234="Да",'19_Расчет_аналитики'!BE4666,0)</f>
        <v/>
      </c>
      <c r="BF4769">
        <f>IF('01_Вводные'!$B$234="Да",'19_Расчет_аналитики'!BF4666,0)</f>
        <v/>
      </c>
      <c r="BG4769">
        <f>IF('01_Вводные'!$B$234="Да",'19_Расчет_аналитики'!BG4666,0)</f>
        <v/>
      </c>
      <c r="BH4769">
        <f>IF('01_Вводные'!$B$234="Да",'19_Расчет_аналитики'!BH4666,0)</f>
        <v/>
      </c>
      <c r="BI4769">
        <f>IF('01_Вводные'!$B$234="Да",'19_Расчет_аналитики'!BI4666,0)</f>
        <v/>
      </c>
    </row>
    <row r="4770">
      <c r="B4770">
        <f>IF('01_Вводные'!$B$234="Да",'19_Расчет_аналитики'!B4668,0)</f>
        <v/>
      </c>
      <c r="C4770">
        <f>IF('01_Вводные'!$B$234="Да",'19_Расчет_аналитики'!C4668,0)</f>
        <v/>
      </c>
      <c r="D4770">
        <f>IF('01_Вводные'!$B$234="Да",'19_Расчет_аналитики'!D4668,0)</f>
        <v/>
      </c>
      <c r="E4770">
        <f>IF('01_Вводные'!$B$234="Да",'19_Расчет_аналитики'!E4668,0)</f>
        <v/>
      </c>
      <c r="F4770">
        <f>IF('01_Вводные'!$B$234="Да",'19_Расчет_аналитики'!F4668,0)</f>
        <v/>
      </c>
      <c r="G4770">
        <f>IF('01_Вводные'!$B$234="Да",'19_Расчет_аналитики'!G4668,0)</f>
        <v/>
      </c>
      <c r="H4770">
        <f>IF('01_Вводные'!$B$234="Да",'19_Расчет_аналитики'!H4668,0)</f>
        <v/>
      </c>
      <c r="I4770">
        <f>IF('01_Вводные'!$B$234="Да",'19_Расчет_аналитики'!I4668,0)</f>
        <v/>
      </c>
      <c r="J4770">
        <f>IF('01_Вводные'!$B$234="Да",'19_Расчет_аналитики'!J4668,0)</f>
        <v/>
      </c>
      <c r="K4770">
        <f>IF('01_Вводные'!$B$234="Да",'19_Расчет_аналитики'!K4668,0)</f>
        <v/>
      </c>
      <c r="L4770">
        <f>IF('01_Вводные'!$B$234="Да",'19_Расчет_аналитики'!L4668,0)</f>
        <v/>
      </c>
      <c r="M4770">
        <f>IF('01_Вводные'!$B$234="Да",'19_Расчет_аналитики'!M4668,0)</f>
        <v/>
      </c>
      <c r="N4770">
        <f>IF('01_Вводные'!$B$234="Да",'19_Расчет_аналитики'!N4668,0)</f>
        <v/>
      </c>
      <c r="O4770">
        <f>IF('01_Вводные'!$B$234="Да",'19_Расчет_аналитики'!O4668,0)</f>
        <v/>
      </c>
      <c r="P4770">
        <f>IF('01_Вводные'!$B$234="Да",'19_Расчет_аналитики'!P4668,0)</f>
        <v/>
      </c>
      <c r="Q4770">
        <f>IF('01_Вводные'!$B$234="Да",'19_Расчет_аналитики'!Q4668,0)</f>
        <v/>
      </c>
      <c r="R4770">
        <f>IF('01_Вводные'!$B$234="Да",'19_Расчет_аналитики'!R4668,0)</f>
        <v/>
      </c>
      <c r="S4770">
        <f>IF('01_Вводные'!$B$234="Да",'19_Расчет_аналитики'!S4668,0)</f>
        <v/>
      </c>
      <c r="T4770">
        <f>IF('01_Вводные'!$B$234="Да",'19_Расчет_аналитики'!T4668,0)</f>
        <v/>
      </c>
      <c r="U4770">
        <f>IF('01_Вводные'!$B$234="Да",'19_Расчет_аналитики'!U4668,0)</f>
        <v/>
      </c>
      <c r="V4770">
        <f>IF('01_Вводные'!$B$234="Да",'19_Расчет_аналитики'!V4668,0)</f>
        <v/>
      </c>
      <c r="W4770">
        <f>IF('01_Вводные'!$B$234="Да",'19_Расчет_аналитики'!W4668,0)</f>
        <v/>
      </c>
      <c r="X4770">
        <f>IF('01_Вводные'!$B$234="Да",'19_Расчет_аналитики'!X4668,0)</f>
        <v/>
      </c>
      <c r="Y4770">
        <f>IF('01_Вводные'!$B$234="Да",'19_Расчет_аналитики'!Y4668,0)</f>
        <v/>
      </c>
      <c r="Z4770">
        <f>IF('01_Вводные'!$B$234="Да",'19_Расчет_аналитики'!Z4668,0)</f>
        <v/>
      </c>
      <c r="AA4770">
        <f>IF('01_Вводные'!$B$234="Да",'19_Расчет_аналитики'!AA4668,0)</f>
        <v/>
      </c>
      <c r="AB4770">
        <f>IF('01_Вводные'!$B$234="Да",'19_Расчет_аналитики'!AB4668,0)</f>
        <v/>
      </c>
      <c r="AC4770">
        <f>IF('01_Вводные'!$B$234="Да",'19_Расчет_аналитики'!AC4668,0)</f>
        <v/>
      </c>
      <c r="AD4770">
        <f>IF('01_Вводные'!$B$234="Да",'19_Расчет_аналитики'!AD4668,0)</f>
        <v/>
      </c>
      <c r="AE4770">
        <f>IF('01_Вводные'!$B$234="Да",'19_Расчет_аналитики'!AE4668,0)</f>
        <v/>
      </c>
      <c r="AF4770">
        <f>IF('01_Вводные'!$B$234="Да",'19_Расчет_аналитики'!AF4668,0)</f>
        <v/>
      </c>
      <c r="AG4770">
        <f>IF('01_Вводные'!$B$234="Да",'19_Расчет_аналитики'!AG4668,0)</f>
        <v/>
      </c>
      <c r="AH4770">
        <f>IF('01_Вводные'!$B$234="Да",'19_Расчет_аналитики'!AH4668,0)</f>
        <v/>
      </c>
      <c r="AI4770">
        <f>IF('01_Вводные'!$B$234="Да",'19_Расчет_аналитики'!AI4668,0)</f>
        <v/>
      </c>
      <c r="AJ4770">
        <f>IF('01_Вводные'!$B$234="Да",'19_Расчет_аналитики'!AJ4668,0)</f>
        <v/>
      </c>
      <c r="AK4770">
        <f>IF('01_Вводные'!$B$234="Да",'19_Расчет_аналитики'!AK4668,0)</f>
        <v/>
      </c>
      <c r="AL4770">
        <f>IF('01_Вводные'!$B$234="Да",'19_Расчет_аналитики'!AL4668,0)</f>
        <v/>
      </c>
      <c r="AM4770">
        <f>IF('01_Вводные'!$B$234="Да",'19_Расчет_аналитики'!AM4668,0)</f>
        <v/>
      </c>
      <c r="AN4770">
        <f>IF('01_Вводные'!$B$234="Да",'19_Расчет_аналитики'!AN4668,0)</f>
        <v/>
      </c>
      <c r="AO4770">
        <f>IF('01_Вводные'!$B$234="Да",'19_Расчет_аналитики'!AO4668,0)</f>
        <v/>
      </c>
      <c r="AP4770">
        <f>IF('01_Вводные'!$B$234="Да",'19_Расчет_аналитики'!AP4668,0)</f>
        <v/>
      </c>
      <c r="AQ4770">
        <f>IF('01_Вводные'!$B$234="Да",'19_Расчет_аналитики'!AQ4668,0)</f>
        <v/>
      </c>
      <c r="AR4770">
        <f>IF('01_Вводные'!$B$234="Да",'19_Расчет_аналитики'!AR4668,0)</f>
        <v/>
      </c>
      <c r="AS4770">
        <f>IF('01_Вводные'!$B$234="Да",'19_Расчет_аналитики'!AS4668,0)</f>
        <v/>
      </c>
      <c r="AT4770">
        <f>IF('01_Вводные'!$B$234="Да",'19_Расчет_аналитики'!AT4668,0)</f>
        <v/>
      </c>
      <c r="AU4770">
        <f>IF('01_Вводные'!$B$234="Да",'19_Расчет_аналитики'!AU4668,0)</f>
        <v/>
      </c>
      <c r="AV4770">
        <f>IF('01_Вводные'!$B$234="Да",'19_Расчет_аналитики'!AV4668,0)</f>
        <v/>
      </c>
      <c r="AW4770">
        <f>IF('01_Вводные'!$B$234="Да",'19_Расчет_аналитики'!AW4668,0)</f>
        <v/>
      </c>
      <c r="AX4770">
        <f>IF('01_Вводные'!$B$234="Да",'19_Расчет_аналитики'!AX4668,0)</f>
        <v/>
      </c>
      <c r="AY4770">
        <f>IF('01_Вводные'!$B$234="Да",'19_Расчет_аналитики'!AY4668,0)</f>
        <v/>
      </c>
      <c r="AZ4770">
        <f>IF('01_Вводные'!$B$234="Да",'19_Расчет_аналитики'!AZ4668,0)</f>
        <v/>
      </c>
      <c r="BA4770">
        <f>IF('01_Вводные'!$B$234="Да",'19_Расчет_аналитики'!BA4668,0)</f>
        <v/>
      </c>
      <c r="BB4770">
        <f>IF('01_Вводные'!$B$234="Да",'19_Расчет_аналитики'!BB4668,0)</f>
        <v/>
      </c>
      <c r="BC4770">
        <f>IF('01_Вводные'!$B$234="Да",'19_Расчет_аналитики'!BC4668,0)</f>
        <v/>
      </c>
      <c r="BD4770">
        <f>IF('01_Вводные'!$B$234="Да",'19_Расчет_аналитики'!BD4668,0)</f>
        <v/>
      </c>
      <c r="BE4770">
        <f>IF('01_Вводные'!$B$234="Да",'19_Расчет_аналитики'!BE4668,0)</f>
        <v/>
      </c>
      <c r="BF4770">
        <f>IF('01_Вводные'!$B$234="Да",'19_Расчет_аналитики'!BF4668,0)</f>
        <v/>
      </c>
      <c r="BG4770">
        <f>IF('01_Вводные'!$B$234="Да",'19_Расчет_аналитики'!BG4668,0)</f>
        <v/>
      </c>
      <c r="BH4770">
        <f>IF('01_Вводные'!$B$234="Да",'19_Расчет_аналитики'!BH4668,0)</f>
        <v/>
      </c>
      <c r="BI4770">
        <f>IF('01_Вводные'!$B$234="Да",'19_Расчет_аналитики'!BI4668,0)</f>
        <v/>
      </c>
    </row>
    <row r="4771">
      <c r="B4771">
        <f>'02_Модель'!B29</f>
        <v/>
      </c>
      <c r="C4771">
        <f>IF('01_Вводные'!$B$234="Да",'19_Расчет_аналитики'!C4760*'01_Вводные'!$B$59,0)</f>
        <v/>
      </c>
      <c r="D4771">
        <f>IF('01_Вводные'!$B$234="Да",'19_Расчет_аналитики'!D4760*'01_Вводные'!$B$59,0)</f>
        <v/>
      </c>
      <c r="E4771">
        <f>IF('01_Вводные'!$B$234="Да",'19_Расчет_аналитики'!E4760*'01_Вводные'!$B$59,0)</f>
        <v/>
      </c>
      <c r="F4771">
        <f>IF('01_Вводные'!$B$234="Да",'19_Расчет_аналитики'!F4760*'01_Вводные'!$B$59,0)</f>
        <v/>
      </c>
      <c r="G4771">
        <f>IF('01_Вводные'!$B$234="Да",'19_Расчет_аналитики'!G4760*'01_Вводные'!$B$59,0)</f>
        <v/>
      </c>
      <c r="H4771">
        <f>IF('01_Вводные'!$B$234="Да",'19_Расчет_аналитики'!H4760*'01_Вводные'!$B$59,0)</f>
        <v/>
      </c>
      <c r="I4771">
        <f>IF('01_Вводные'!$B$234="Да",'19_Расчет_аналитики'!I4760*'01_Вводные'!$B$59,0)</f>
        <v/>
      </c>
      <c r="J4771">
        <f>IF('01_Вводные'!$B$234="Да",'19_Расчет_аналитики'!J4760*'01_Вводные'!$B$59,0)</f>
        <v/>
      </c>
      <c r="K4771">
        <f>IF('01_Вводные'!$B$234="Да",'19_Расчет_аналитики'!K4760*'01_Вводные'!$B$59,0)</f>
        <v/>
      </c>
      <c r="L4771">
        <f>IF('01_Вводные'!$B$234="Да",'19_Расчет_аналитики'!L4760*'01_Вводные'!$B$59,0)</f>
        <v/>
      </c>
      <c r="M4771">
        <f>IF('01_Вводные'!$B$234="Да",'19_Расчет_аналитики'!M4760*'01_Вводные'!$B$59,0)</f>
        <v/>
      </c>
      <c r="N4771">
        <f>IF('01_Вводные'!$B$234="Да",'19_Расчет_аналитики'!N4760*'01_Вводные'!$B$59,0)</f>
        <v/>
      </c>
      <c r="O4771">
        <f>IF('01_Вводные'!$B$234="Да",'19_Расчет_аналитики'!O4760*'01_Вводные'!$B$59,0)</f>
        <v/>
      </c>
      <c r="P4771">
        <f>IF('01_Вводные'!$B$234="Да",'19_Расчет_аналитики'!P4760*'01_Вводные'!$B$59,0)</f>
        <v/>
      </c>
      <c r="Q4771">
        <f>IF('01_Вводные'!$B$234="Да",'19_Расчет_аналитики'!Q4760*'01_Вводные'!$B$59,0)</f>
        <v/>
      </c>
      <c r="R4771">
        <f>IF('01_Вводные'!$B$234="Да",'19_Расчет_аналитики'!R4760*'01_Вводные'!$B$59,0)</f>
        <v/>
      </c>
      <c r="S4771">
        <f>IF('01_Вводные'!$B$234="Да",'19_Расчет_аналитики'!S4760*'01_Вводные'!$B$59,0)</f>
        <v/>
      </c>
      <c r="T4771">
        <f>IF('01_Вводные'!$B$234="Да",'19_Расчет_аналитики'!T4760*'01_Вводные'!$B$59,0)</f>
        <v/>
      </c>
      <c r="U4771">
        <f>IF('01_Вводные'!$B$234="Да",'19_Расчет_аналитики'!U4760*'01_Вводные'!$B$59,0)</f>
        <v/>
      </c>
      <c r="V4771">
        <f>IF('01_Вводные'!$B$234="Да",'19_Расчет_аналитики'!V4760*'01_Вводные'!$B$59,0)</f>
        <v/>
      </c>
      <c r="W4771">
        <f>IF('01_Вводные'!$B$234="Да",'19_Расчет_аналитики'!W4760*'01_Вводные'!$B$59,0)</f>
        <v/>
      </c>
      <c r="X4771">
        <f>IF('01_Вводные'!$B$234="Да",'19_Расчет_аналитики'!X4760*'01_Вводные'!$B$59,0)</f>
        <v/>
      </c>
      <c r="Y4771">
        <f>IF('01_Вводные'!$B$234="Да",'19_Расчет_аналитики'!Y4760*'01_Вводные'!$B$59,0)</f>
        <v/>
      </c>
      <c r="Z4771">
        <f>IF('01_Вводные'!$B$234="Да",'19_Расчет_аналитики'!Z4760*'01_Вводные'!$B$59,0)</f>
        <v/>
      </c>
      <c r="AA4771">
        <f>IF('01_Вводные'!$B$234="Да",'19_Расчет_аналитики'!AA4760*'01_Вводные'!$B$59,0)</f>
        <v/>
      </c>
      <c r="AB4771">
        <f>IF('01_Вводные'!$B$234="Да",'19_Расчет_аналитики'!AB4760*'01_Вводные'!$B$59,0)</f>
        <v/>
      </c>
      <c r="AC4771">
        <f>IF('01_Вводные'!$B$234="Да",'19_Расчет_аналитики'!AC4760*'01_Вводные'!$B$59,0)</f>
        <v/>
      </c>
      <c r="AD4771">
        <f>IF('01_Вводные'!$B$234="Да",'19_Расчет_аналитики'!AD4760*'01_Вводные'!$B$59,0)</f>
        <v/>
      </c>
      <c r="AE4771">
        <f>IF('01_Вводные'!$B$234="Да",'19_Расчет_аналитики'!AE4760*'01_Вводные'!$B$59,0)</f>
        <v/>
      </c>
      <c r="AF4771">
        <f>IF('01_Вводные'!$B$234="Да",'19_Расчет_аналитики'!AF4760*'01_Вводные'!$B$59,0)</f>
        <v/>
      </c>
      <c r="AG4771">
        <f>IF('01_Вводные'!$B$234="Да",'19_Расчет_аналитики'!AG4760*'01_Вводные'!$B$59,0)</f>
        <v/>
      </c>
      <c r="AH4771">
        <f>IF('01_Вводные'!$B$234="Да",'19_Расчет_аналитики'!AH4760*'01_Вводные'!$B$59,0)</f>
        <v/>
      </c>
      <c r="AI4771">
        <f>IF('01_Вводные'!$B$234="Да",'19_Расчет_аналитики'!AI4760*'01_Вводные'!$B$59,0)</f>
        <v/>
      </c>
      <c r="AJ4771">
        <f>IF('01_Вводные'!$B$234="Да",'19_Расчет_аналитики'!AJ4760*'01_Вводные'!$B$59,0)</f>
        <v/>
      </c>
      <c r="AK4771">
        <f>IF('01_Вводные'!$B$234="Да",'19_Расчет_аналитики'!AK4760*'01_Вводные'!$B$59,0)</f>
        <v/>
      </c>
      <c r="AL4771">
        <f>IF('01_Вводные'!$B$234="Да",'19_Расчет_аналитики'!AL4760*'01_Вводные'!$B$59,0)</f>
        <v/>
      </c>
      <c r="AM4771">
        <f>IF('01_Вводные'!$B$234="Да",'19_Расчет_аналитики'!AM4760*'01_Вводные'!$B$59,0)</f>
        <v/>
      </c>
      <c r="AN4771">
        <f>IF('01_Вводные'!$B$234="Да",'19_Расчет_аналитики'!AN4760*'01_Вводные'!$B$59,0)</f>
        <v/>
      </c>
      <c r="AO4771">
        <f>IF('01_Вводные'!$B$234="Да",'19_Расчет_аналитики'!AO4760*'01_Вводные'!$B$59,0)</f>
        <v/>
      </c>
      <c r="AP4771">
        <f>IF('01_Вводные'!$B$234="Да",'19_Расчет_аналитики'!AP4760*'01_Вводные'!$B$59,0)</f>
        <v/>
      </c>
      <c r="AQ4771">
        <f>IF('01_Вводные'!$B$234="Да",'19_Расчет_аналитики'!AQ4760*'01_Вводные'!$B$59,0)</f>
        <v/>
      </c>
      <c r="AR4771">
        <f>IF('01_Вводные'!$B$234="Да",'19_Расчет_аналитики'!AR4760*'01_Вводные'!$B$59,0)</f>
        <v/>
      </c>
      <c r="AS4771">
        <f>IF('01_Вводные'!$B$234="Да",'19_Расчет_аналитики'!AS4760*'01_Вводные'!$B$59,0)</f>
        <v/>
      </c>
      <c r="AT4771">
        <f>IF('01_Вводные'!$B$234="Да",'19_Расчет_аналитики'!AT4760*'01_Вводные'!$B$59,0)</f>
        <v/>
      </c>
      <c r="AU4771">
        <f>IF('01_Вводные'!$B$234="Да",'19_Расчет_аналитики'!AU4760*'01_Вводные'!$B$59,0)</f>
        <v/>
      </c>
      <c r="AV4771">
        <f>IF('01_Вводные'!$B$234="Да",'19_Расчет_аналитики'!AV4760*'01_Вводные'!$B$59,0)</f>
        <v/>
      </c>
      <c r="AW4771">
        <f>IF('01_Вводные'!$B$234="Да",'19_Расчет_аналитики'!AW4760*'01_Вводные'!$B$59,0)</f>
        <v/>
      </c>
      <c r="AX4771">
        <f>IF('01_Вводные'!$B$234="Да",'19_Расчет_аналитики'!AX4760*'01_Вводные'!$B$59,0)</f>
        <v/>
      </c>
      <c r="AY4771">
        <f>IF('01_Вводные'!$B$234="Да",'19_Расчет_аналитики'!AY4760*'01_Вводные'!$B$59,0)</f>
        <v/>
      </c>
      <c r="AZ4771">
        <f>IF('01_Вводные'!$B$234="Да",'19_Расчет_аналитики'!AZ4760*'01_Вводные'!$B$59,0)</f>
        <v/>
      </c>
      <c r="BA4771">
        <f>IF('01_Вводные'!$B$234="Да",'19_Расчет_аналитики'!BA4760*'01_Вводные'!$B$59,0)</f>
        <v/>
      </c>
      <c r="BB4771">
        <f>IF('01_Вводные'!$B$234="Да",'19_Расчет_аналитики'!BB4760*'01_Вводные'!$B$59,0)</f>
        <v/>
      </c>
      <c r="BC4771">
        <f>IF('01_Вводные'!$B$234="Да",'19_Расчет_аналитики'!BC4760*'01_Вводные'!$B$59,0)</f>
        <v/>
      </c>
      <c r="BD4771">
        <f>IF('01_Вводные'!$B$234="Да",'19_Расчет_аналитики'!BD4760*'01_Вводные'!$B$59,0)</f>
        <v/>
      </c>
      <c r="BE4771">
        <f>IF('01_Вводные'!$B$234="Да",'19_Расчет_аналитики'!BE4760*'01_Вводные'!$B$59,0)</f>
        <v/>
      </c>
      <c r="BF4771">
        <f>IF('01_Вводные'!$B$234="Да",'19_Расчет_аналитики'!BF4760*'01_Вводные'!$B$59,0)</f>
        <v/>
      </c>
      <c r="BG4771">
        <f>IF('01_Вводные'!$B$234="Да",'19_Расчет_аналитики'!BG4760*'01_Вводные'!$B$59,0)</f>
        <v/>
      </c>
      <c r="BH4771">
        <f>IF('01_Вводные'!$B$234="Да",'19_Расчет_аналитики'!BH4760*'01_Вводные'!$B$59,0)</f>
        <v/>
      </c>
      <c r="BI4771">
        <f>IF('01_Вводные'!$B$234="Да",'19_Расчет_аналитики'!BI4760*'01_Вводные'!$B$59,0)</f>
        <v/>
      </c>
    </row>
    <row r="4772">
      <c r="B4772">
        <f>IF('01_Вводные'!$B$234="Да",('19_Расчет_аналитики'!B4761+'19_Расчет_аналитики'!B4762)*'01_Вводные'!$B$60,0)</f>
        <v/>
      </c>
      <c r="C4772">
        <f>IF('01_Вводные'!$B$234="Да",('19_Расчет_аналитики'!C4761+'19_Расчет_аналитики'!C4762)*'01_Вводные'!$B$60,0)</f>
        <v/>
      </c>
      <c r="D4772">
        <f>IF('01_Вводные'!$B$234="Да",('19_Расчет_аналитики'!D4761+'19_Расчет_аналитики'!D4762)*'01_Вводные'!$B$60,0)</f>
        <v/>
      </c>
      <c r="E4772">
        <f>IF('01_Вводные'!$B$234="Да",('19_Расчет_аналитики'!E4761+'19_Расчет_аналитики'!E4762)*'01_Вводные'!$B$60,0)</f>
        <v/>
      </c>
      <c r="F4772">
        <f>IF('01_Вводные'!$B$234="Да",('19_Расчет_аналитики'!F4761+'19_Расчет_аналитики'!F4762)*'01_Вводные'!$B$60,0)</f>
        <v/>
      </c>
      <c r="G4772">
        <f>IF('01_Вводные'!$B$234="Да",('19_Расчет_аналитики'!G4761+'19_Расчет_аналитики'!G4762)*'01_Вводные'!$B$60,0)</f>
        <v/>
      </c>
      <c r="H4772">
        <f>IF('01_Вводные'!$B$234="Да",('19_Расчет_аналитики'!H4761+'19_Расчет_аналитики'!H4762)*'01_Вводные'!$B$60,0)</f>
        <v/>
      </c>
      <c r="I4772">
        <f>IF('01_Вводные'!$B$234="Да",('19_Расчет_аналитики'!I4761+'19_Расчет_аналитики'!I4762)*'01_Вводные'!$B$60,0)</f>
        <v/>
      </c>
      <c r="J4772">
        <f>IF('01_Вводные'!$B$234="Да",('19_Расчет_аналитики'!J4761+'19_Расчет_аналитики'!J4762)*'01_Вводные'!$B$60,0)</f>
        <v/>
      </c>
      <c r="K4772">
        <f>IF('01_Вводные'!$B$234="Да",('19_Расчет_аналитики'!K4761+'19_Расчет_аналитики'!K4762)*'01_Вводные'!$B$60,0)</f>
        <v/>
      </c>
      <c r="L4772">
        <f>IF('01_Вводные'!$B$234="Да",('19_Расчет_аналитики'!L4761+'19_Расчет_аналитики'!L4762)*'01_Вводные'!$B$60,0)</f>
        <v/>
      </c>
      <c r="M4772">
        <f>IF('01_Вводные'!$B$234="Да",('19_Расчет_аналитики'!M4761+'19_Расчет_аналитики'!M4762)*'01_Вводные'!$B$60,0)</f>
        <v/>
      </c>
      <c r="N4772">
        <f>IF('01_Вводные'!$B$234="Да",('19_Расчет_аналитики'!N4761+'19_Расчет_аналитики'!N4762)*'01_Вводные'!$B$60,0)</f>
        <v/>
      </c>
      <c r="O4772">
        <f>IF('01_Вводные'!$B$234="Да",('19_Расчет_аналитики'!O4761+'19_Расчет_аналитики'!O4762)*'01_Вводные'!$B$60,0)</f>
        <v/>
      </c>
      <c r="P4772">
        <f>IF('01_Вводные'!$B$234="Да",('19_Расчет_аналитики'!P4761+'19_Расчет_аналитики'!P4762)*'01_Вводные'!$B$60,0)</f>
        <v/>
      </c>
      <c r="Q4772">
        <f>IF('01_Вводные'!$B$234="Да",('19_Расчет_аналитики'!Q4761+'19_Расчет_аналитики'!Q4762)*'01_Вводные'!$B$60,0)</f>
        <v/>
      </c>
      <c r="R4772">
        <f>IF('01_Вводные'!$B$234="Да",('19_Расчет_аналитики'!R4761+'19_Расчет_аналитики'!R4762)*'01_Вводные'!$B$60,0)</f>
        <v/>
      </c>
      <c r="S4772">
        <f>IF('01_Вводные'!$B$234="Да",('19_Расчет_аналитики'!S4761+'19_Расчет_аналитики'!S4762)*'01_Вводные'!$B$60,0)</f>
        <v/>
      </c>
      <c r="T4772">
        <f>IF('01_Вводные'!$B$234="Да",('19_Расчет_аналитики'!T4761+'19_Расчет_аналитики'!T4762)*'01_Вводные'!$B$60,0)</f>
        <v/>
      </c>
      <c r="U4772">
        <f>IF('01_Вводные'!$B$234="Да",('19_Расчет_аналитики'!U4761+'19_Расчет_аналитики'!U4762)*'01_Вводные'!$B$60,0)</f>
        <v/>
      </c>
      <c r="V4772">
        <f>IF('01_Вводные'!$B$234="Да",('19_Расчет_аналитики'!V4761+'19_Расчет_аналитики'!V4762)*'01_Вводные'!$B$60,0)</f>
        <v/>
      </c>
      <c r="W4772">
        <f>IF('01_Вводные'!$B$234="Да",('19_Расчет_аналитики'!W4761+'19_Расчет_аналитики'!W4762)*'01_Вводные'!$B$60,0)</f>
        <v/>
      </c>
      <c r="X4772">
        <f>IF('01_Вводные'!$B$234="Да",('19_Расчет_аналитики'!X4761+'19_Расчет_аналитики'!X4762)*'01_Вводные'!$B$60,0)</f>
        <v/>
      </c>
      <c r="Y4772">
        <f>IF('01_Вводные'!$B$234="Да",('19_Расчет_аналитики'!Y4761+'19_Расчет_аналитики'!Y4762)*'01_Вводные'!$B$60,0)</f>
        <v/>
      </c>
      <c r="Z4772">
        <f>IF('01_Вводные'!$B$234="Да",('19_Расчет_аналитики'!Z4761+'19_Расчет_аналитики'!Z4762)*'01_Вводные'!$B$60,0)</f>
        <v/>
      </c>
      <c r="AA4772">
        <f>IF('01_Вводные'!$B$234="Да",('19_Расчет_аналитики'!AA4761+'19_Расчет_аналитики'!AA4762)*'01_Вводные'!$B$60,0)</f>
        <v/>
      </c>
      <c r="AB4772">
        <f>IF('01_Вводные'!$B$234="Да",('19_Расчет_аналитики'!AB4761+'19_Расчет_аналитики'!AB4762)*'01_Вводные'!$B$60,0)</f>
        <v/>
      </c>
      <c r="AC4772">
        <f>IF('01_Вводные'!$B$234="Да",('19_Расчет_аналитики'!AC4761+'19_Расчет_аналитики'!AC4762)*'01_Вводные'!$B$60,0)</f>
        <v/>
      </c>
      <c r="AD4772">
        <f>IF('01_Вводные'!$B$234="Да",('19_Расчет_аналитики'!AD4761+'19_Расчет_аналитики'!AD4762)*'01_Вводные'!$B$60,0)</f>
        <v/>
      </c>
      <c r="AE4772">
        <f>IF('01_Вводные'!$B$234="Да",('19_Расчет_аналитики'!AE4761+'19_Расчет_аналитики'!AE4762)*'01_Вводные'!$B$60,0)</f>
        <v/>
      </c>
      <c r="AF4772">
        <f>IF('01_Вводные'!$B$234="Да",('19_Расчет_аналитики'!AF4761+'19_Расчет_аналитики'!AF4762)*'01_Вводные'!$B$60,0)</f>
        <v/>
      </c>
      <c r="AG4772">
        <f>IF('01_Вводные'!$B$234="Да",('19_Расчет_аналитики'!AG4761+'19_Расчет_аналитики'!AG4762)*'01_Вводные'!$B$60,0)</f>
        <v/>
      </c>
      <c r="AH4772">
        <f>IF('01_Вводные'!$B$234="Да",('19_Расчет_аналитики'!AH4761+'19_Расчет_аналитики'!AH4762)*'01_Вводные'!$B$60,0)</f>
        <v/>
      </c>
      <c r="AI4772">
        <f>IF('01_Вводные'!$B$234="Да",('19_Расчет_аналитики'!AI4761+'19_Расчет_аналитики'!AI4762)*'01_Вводные'!$B$60,0)</f>
        <v/>
      </c>
      <c r="AJ4772">
        <f>IF('01_Вводные'!$B$234="Да",('19_Расчет_аналитики'!AJ4761+'19_Расчет_аналитики'!AJ4762)*'01_Вводные'!$B$60,0)</f>
        <v/>
      </c>
      <c r="AK4772">
        <f>IF('01_Вводные'!$B$234="Да",('19_Расчет_аналитики'!AK4761+'19_Расчет_аналитики'!AK4762)*'01_Вводные'!$B$60,0)</f>
        <v/>
      </c>
      <c r="AL4772">
        <f>IF('01_Вводные'!$B$234="Да",('19_Расчет_аналитики'!AL4761+'19_Расчет_аналитики'!AL4762)*'01_Вводные'!$B$60,0)</f>
        <v/>
      </c>
      <c r="AM4772">
        <f>IF('01_Вводные'!$B$234="Да",('19_Расчет_аналитики'!AM4761+'19_Расчет_аналитики'!AM4762)*'01_Вводные'!$B$60,0)</f>
        <v/>
      </c>
      <c r="AN4772">
        <f>IF('01_Вводные'!$B$234="Да",('19_Расчет_аналитики'!AN4761+'19_Расчет_аналитики'!AN4762)*'01_Вводные'!$B$60,0)</f>
        <v/>
      </c>
      <c r="AO4772">
        <f>IF('01_Вводные'!$B$234="Да",('19_Расчет_аналитики'!AO4761+'19_Расчет_аналитики'!AO4762)*'01_Вводные'!$B$60,0)</f>
        <v/>
      </c>
      <c r="AP4772">
        <f>IF('01_Вводные'!$B$234="Да",('19_Расчет_аналитики'!AP4761+'19_Расчет_аналитики'!AP4762)*'01_Вводные'!$B$60,0)</f>
        <v/>
      </c>
      <c r="AQ4772">
        <f>IF('01_Вводные'!$B$234="Да",('19_Расчет_аналитики'!AQ4761+'19_Расчет_аналитики'!AQ4762)*'01_Вводные'!$B$60,0)</f>
        <v/>
      </c>
      <c r="AR4772">
        <f>IF('01_Вводные'!$B$234="Да",('19_Расчет_аналитики'!AR4761+'19_Расчет_аналитики'!AR4762)*'01_Вводные'!$B$60,0)</f>
        <v/>
      </c>
      <c r="AS4772">
        <f>IF('01_Вводные'!$B$234="Да",('19_Расчет_аналитики'!AS4761+'19_Расчет_аналитики'!AS4762)*'01_Вводные'!$B$60,0)</f>
        <v/>
      </c>
      <c r="AT4772">
        <f>IF('01_Вводные'!$B$234="Да",('19_Расчет_аналитики'!AT4761+'19_Расчет_аналитики'!AT4762)*'01_Вводные'!$B$60,0)</f>
        <v/>
      </c>
      <c r="AU4772">
        <f>IF('01_Вводные'!$B$234="Да",('19_Расчет_аналитики'!AU4761+'19_Расчет_аналитики'!AU4762)*'01_Вводные'!$B$60,0)</f>
        <v/>
      </c>
      <c r="AV4772">
        <f>IF('01_Вводные'!$B$234="Да",('19_Расчет_аналитики'!AV4761+'19_Расчет_аналитики'!AV4762)*'01_Вводные'!$B$60,0)</f>
        <v/>
      </c>
      <c r="AW4772">
        <f>IF('01_Вводные'!$B$234="Да",('19_Расчет_аналитики'!AW4761+'19_Расчет_аналитики'!AW4762)*'01_Вводные'!$B$60,0)</f>
        <v/>
      </c>
      <c r="AX4772">
        <f>IF('01_Вводные'!$B$234="Да",('19_Расчет_аналитики'!AX4761+'19_Расчет_аналитики'!AX4762)*'01_Вводные'!$B$60,0)</f>
        <v/>
      </c>
      <c r="AY4772">
        <f>IF('01_Вводные'!$B$234="Да",('19_Расчет_аналитики'!AY4761+'19_Расчет_аналитики'!AY4762)*'01_Вводные'!$B$60,0)</f>
        <v/>
      </c>
      <c r="AZ4772">
        <f>IF('01_Вводные'!$B$234="Да",('19_Расчет_аналитики'!AZ4761+'19_Расчет_аналитики'!AZ4762)*'01_Вводные'!$B$60,0)</f>
        <v/>
      </c>
      <c r="BA4772">
        <f>IF('01_Вводные'!$B$234="Да",('19_Расчет_аналитики'!BA4761+'19_Расчет_аналитики'!BA4762)*'01_Вводные'!$B$60,0)</f>
        <v/>
      </c>
      <c r="BB4772">
        <f>IF('01_Вводные'!$B$234="Да",('19_Расчет_аналитики'!BB4761+'19_Расчет_аналитики'!BB4762)*'01_Вводные'!$B$60,0)</f>
        <v/>
      </c>
      <c r="BC4772">
        <f>IF('01_Вводные'!$B$234="Да",('19_Расчет_аналитики'!BC4761+'19_Расчет_аналитики'!BC4762)*'01_Вводные'!$B$60,0)</f>
        <v/>
      </c>
      <c r="BD4772">
        <f>IF('01_Вводные'!$B$234="Да",('19_Расчет_аналитики'!BD4761+'19_Расчет_аналитики'!BD4762)*'01_Вводные'!$B$60,0)</f>
        <v/>
      </c>
      <c r="BE4772">
        <f>IF('01_Вводные'!$B$234="Да",('19_Расчет_аналитики'!BE4761+'19_Расчет_аналитики'!BE4762)*'01_Вводные'!$B$60,0)</f>
        <v/>
      </c>
      <c r="BF4772">
        <f>IF('01_Вводные'!$B$234="Да",('19_Расчет_аналитики'!BF4761+'19_Расчет_аналитики'!BF4762)*'01_Вводные'!$B$60,0)</f>
        <v/>
      </c>
      <c r="BG4772">
        <f>IF('01_Вводные'!$B$234="Да",('19_Расчет_аналитики'!BG4761+'19_Расчет_аналитики'!BG4762)*'01_Вводные'!$B$60,0)</f>
        <v/>
      </c>
      <c r="BH4772">
        <f>IF('01_Вводные'!$B$234="Да",('19_Расчет_аналитики'!BH4761+'19_Расчет_аналитики'!BH4762)*'01_Вводные'!$B$60,0)</f>
        <v/>
      </c>
      <c r="BI4772">
        <f>IF('01_Вводные'!$B$234="Да",('19_Расчет_аналитики'!BI4761+'19_Расчет_аналитики'!BI4762)*'01_Вводные'!$B$60,0)</f>
        <v/>
      </c>
    </row>
    <row r="4773">
      <c r="B4773">
        <f>'02_Модель'!B31</f>
        <v/>
      </c>
      <c r="C4773">
        <f>'02_Модель'!C31</f>
        <v/>
      </c>
      <c r="D4773">
        <f>'02_Модель'!D31</f>
        <v/>
      </c>
      <c r="E4773">
        <f>'02_Модель'!E31</f>
        <v/>
      </c>
      <c r="F4773">
        <f>'02_Модель'!F31</f>
        <v/>
      </c>
      <c r="G4773">
        <f>'02_Модель'!G31</f>
        <v/>
      </c>
      <c r="H4773">
        <f>'02_Модель'!H31</f>
        <v/>
      </c>
      <c r="I4773">
        <f>'02_Модель'!I31</f>
        <v/>
      </c>
      <c r="J4773">
        <f>'02_Модель'!J31</f>
        <v/>
      </c>
      <c r="K4773">
        <f>'02_Модель'!K31</f>
        <v/>
      </c>
      <c r="L4773">
        <f>'02_Модель'!L31</f>
        <v/>
      </c>
      <c r="M4773">
        <f>'02_Модель'!M31</f>
        <v/>
      </c>
      <c r="N4773">
        <f>'02_Модель'!N31</f>
        <v/>
      </c>
      <c r="O4773">
        <f>'02_Модель'!O31</f>
        <v/>
      </c>
      <c r="P4773">
        <f>'02_Модель'!P31</f>
        <v/>
      </c>
      <c r="Q4773">
        <f>'02_Модель'!Q31</f>
        <v/>
      </c>
      <c r="R4773">
        <f>'02_Модель'!R31</f>
        <v/>
      </c>
      <c r="S4773">
        <f>'02_Модель'!S31</f>
        <v/>
      </c>
      <c r="T4773">
        <f>'02_Модель'!T31</f>
        <v/>
      </c>
      <c r="U4773">
        <f>'02_Модель'!U31</f>
        <v/>
      </c>
      <c r="V4773">
        <f>'02_Модель'!V31</f>
        <v/>
      </c>
      <c r="W4773">
        <f>'02_Модель'!W31</f>
        <v/>
      </c>
      <c r="X4773">
        <f>'02_Модель'!X31</f>
        <v/>
      </c>
      <c r="Y4773">
        <f>'02_Модель'!Y31</f>
        <v/>
      </c>
      <c r="Z4773">
        <f>'02_Модель'!Z31</f>
        <v/>
      </c>
      <c r="AA4773">
        <f>'02_Модель'!AA31</f>
        <v/>
      </c>
      <c r="AB4773">
        <f>'02_Модель'!AB31</f>
        <v/>
      </c>
      <c r="AC4773">
        <f>'02_Модель'!AC31</f>
        <v/>
      </c>
      <c r="AD4773">
        <f>'02_Модель'!AD31</f>
        <v/>
      </c>
      <c r="AE4773">
        <f>'02_Модель'!AE31</f>
        <v/>
      </c>
      <c r="AF4773">
        <f>'02_Модель'!AF31</f>
        <v/>
      </c>
      <c r="AG4773">
        <f>'02_Модель'!AG31</f>
        <v/>
      </c>
      <c r="AH4773">
        <f>'02_Модель'!AH31</f>
        <v/>
      </c>
      <c r="AI4773">
        <f>'02_Модель'!AI31</f>
        <v/>
      </c>
      <c r="AJ4773">
        <f>'02_Модель'!AJ31</f>
        <v/>
      </c>
      <c r="AK4773">
        <f>'02_Модель'!AK31</f>
        <v/>
      </c>
      <c r="AL4773">
        <f>'02_Модель'!AL31</f>
        <v/>
      </c>
      <c r="AM4773">
        <f>'02_Модель'!AM31</f>
        <v/>
      </c>
      <c r="AN4773">
        <f>'02_Модель'!AN31</f>
        <v/>
      </c>
      <c r="AO4773">
        <f>'02_Модель'!AO31</f>
        <v/>
      </c>
      <c r="AP4773">
        <f>'02_Модель'!AP31</f>
        <v/>
      </c>
      <c r="AQ4773">
        <f>'02_Модель'!AQ31</f>
        <v/>
      </c>
      <c r="AR4773">
        <f>'02_Модель'!AR31</f>
        <v/>
      </c>
      <c r="AS4773">
        <f>'02_Модель'!AS31</f>
        <v/>
      </c>
      <c r="AT4773">
        <f>'02_Модель'!AT31</f>
        <v/>
      </c>
      <c r="AU4773">
        <f>'02_Модель'!AU31</f>
        <v/>
      </c>
      <c r="AV4773">
        <f>'02_Модель'!AV31</f>
        <v/>
      </c>
      <c r="AW4773">
        <f>'02_Модель'!AW31</f>
        <v/>
      </c>
      <c r="AX4773">
        <f>'02_Модель'!AX31</f>
        <v/>
      </c>
      <c r="AY4773">
        <f>'02_Модель'!AY31</f>
        <v/>
      </c>
      <c r="AZ4773">
        <f>'02_Модель'!AZ31</f>
        <v/>
      </c>
      <c r="BA4773">
        <f>'02_Модель'!BA31</f>
        <v/>
      </c>
      <c r="BB4773">
        <f>'02_Модель'!BB31</f>
        <v/>
      </c>
      <c r="BC4773">
        <f>'02_Модель'!BC31</f>
        <v/>
      </c>
      <c r="BD4773">
        <f>'02_Модель'!BD31</f>
        <v/>
      </c>
      <c r="BE4773">
        <f>'02_Модель'!BE31</f>
        <v/>
      </c>
      <c r="BF4773">
        <f>'02_Модель'!BF31</f>
        <v/>
      </c>
      <c r="BG4773">
        <f>'02_Модель'!BG31</f>
        <v/>
      </c>
      <c r="BH4773">
        <f>'02_Модель'!BH31</f>
        <v/>
      </c>
      <c r="BI4773">
        <f>'02_Модель'!BI31</f>
        <v/>
      </c>
    </row>
    <row r="4774">
      <c r="B4774">
        <f>IF('01_Вводные'!$B$234="Да",SUM('19_Расчет_аналитики'!B4768:B4773),0)</f>
        <v/>
      </c>
      <c r="C4774">
        <f>IF('01_Вводные'!$B$234="Да",SUM('19_Расчет_аналитики'!C4768:C4773),0)</f>
        <v/>
      </c>
      <c r="D4774">
        <f>IF('01_Вводные'!$B$234="Да",SUM('19_Расчет_аналитики'!D4768:D4773),0)</f>
        <v/>
      </c>
      <c r="E4774">
        <f>IF('01_Вводные'!$B$234="Да",SUM('19_Расчет_аналитики'!E4768:E4773),0)</f>
        <v/>
      </c>
      <c r="F4774">
        <f>IF('01_Вводные'!$B$234="Да",SUM('19_Расчет_аналитики'!F4768:F4773),0)</f>
        <v/>
      </c>
      <c r="G4774">
        <f>IF('01_Вводные'!$B$234="Да",SUM('19_Расчет_аналитики'!G4768:G4773),0)</f>
        <v/>
      </c>
      <c r="H4774">
        <f>IF('01_Вводные'!$B$234="Да",SUM('19_Расчет_аналитики'!H4768:H4773),0)</f>
        <v/>
      </c>
      <c r="I4774">
        <f>IF('01_Вводные'!$B$234="Да",SUM('19_Расчет_аналитики'!I4768:I4773),0)</f>
        <v/>
      </c>
      <c r="J4774">
        <f>IF('01_Вводные'!$B$234="Да",SUM('19_Расчет_аналитики'!J4768:J4773),0)</f>
        <v/>
      </c>
      <c r="K4774">
        <f>IF('01_Вводные'!$B$234="Да",SUM('19_Расчет_аналитики'!K4768:K4773),0)</f>
        <v/>
      </c>
      <c r="L4774">
        <f>IF('01_Вводные'!$B$234="Да",SUM('19_Расчет_аналитики'!L4768:L4773),0)</f>
        <v/>
      </c>
      <c r="M4774">
        <f>IF('01_Вводные'!$B$234="Да",SUM('19_Расчет_аналитики'!M4768:M4773),0)</f>
        <v/>
      </c>
      <c r="N4774">
        <f>IF('01_Вводные'!$B$234="Да",SUM('19_Расчет_аналитики'!N4768:N4773),0)</f>
        <v/>
      </c>
      <c r="O4774">
        <f>IF('01_Вводные'!$B$234="Да",SUM('19_Расчет_аналитики'!O4768:O4773),0)</f>
        <v/>
      </c>
      <c r="P4774">
        <f>IF('01_Вводные'!$B$234="Да",SUM('19_Расчет_аналитики'!P4768:P4773),0)</f>
        <v/>
      </c>
      <c r="Q4774">
        <f>IF('01_Вводные'!$B$234="Да",SUM('19_Расчет_аналитики'!Q4768:Q4773),0)</f>
        <v/>
      </c>
      <c r="R4774">
        <f>IF('01_Вводные'!$B$234="Да",SUM('19_Расчет_аналитики'!R4768:R4773),0)</f>
        <v/>
      </c>
      <c r="S4774">
        <f>IF('01_Вводные'!$B$234="Да",SUM('19_Расчет_аналитики'!S4768:S4773),0)</f>
        <v/>
      </c>
      <c r="T4774">
        <f>IF('01_Вводные'!$B$234="Да",SUM('19_Расчет_аналитики'!T4768:T4773),0)</f>
        <v/>
      </c>
      <c r="U4774">
        <f>IF('01_Вводные'!$B$234="Да",SUM('19_Расчет_аналитики'!U4768:U4773),0)</f>
        <v/>
      </c>
      <c r="V4774">
        <f>IF('01_Вводные'!$B$234="Да",SUM('19_Расчет_аналитики'!V4768:V4773),0)</f>
        <v/>
      </c>
      <c r="W4774">
        <f>IF('01_Вводные'!$B$234="Да",SUM('19_Расчет_аналитики'!W4768:W4773),0)</f>
        <v/>
      </c>
      <c r="X4774">
        <f>IF('01_Вводные'!$B$234="Да",SUM('19_Расчет_аналитики'!X4768:X4773),0)</f>
        <v/>
      </c>
      <c r="Y4774">
        <f>IF('01_Вводные'!$B$234="Да",SUM('19_Расчет_аналитики'!Y4768:Y4773),0)</f>
        <v/>
      </c>
      <c r="Z4774">
        <f>IF('01_Вводные'!$B$234="Да",SUM('19_Расчет_аналитики'!Z4768:Z4773),0)</f>
        <v/>
      </c>
      <c r="AA4774">
        <f>IF('01_Вводные'!$B$234="Да",SUM('19_Расчет_аналитики'!AA4768:AA4773),0)</f>
        <v/>
      </c>
      <c r="AB4774">
        <f>IF('01_Вводные'!$B$234="Да",SUM('19_Расчет_аналитики'!AB4768:AB4773),0)</f>
        <v/>
      </c>
      <c r="AC4774">
        <f>IF('01_Вводные'!$B$234="Да",SUM('19_Расчет_аналитики'!AC4768:AC4773),0)</f>
        <v/>
      </c>
      <c r="AD4774">
        <f>IF('01_Вводные'!$B$234="Да",SUM('19_Расчет_аналитики'!AD4768:AD4773),0)</f>
        <v/>
      </c>
      <c r="AE4774">
        <f>IF('01_Вводные'!$B$234="Да",SUM('19_Расчет_аналитики'!AE4768:AE4773),0)</f>
        <v/>
      </c>
      <c r="AF4774">
        <f>IF('01_Вводные'!$B$234="Да",SUM('19_Расчет_аналитики'!AF4768:AF4773),0)</f>
        <v/>
      </c>
      <c r="AG4774">
        <f>IF('01_Вводные'!$B$234="Да",SUM('19_Расчет_аналитики'!AG4768:AG4773),0)</f>
        <v/>
      </c>
      <c r="AH4774">
        <f>IF('01_Вводные'!$B$234="Да",SUM('19_Расчет_аналитики'!AH4768:AH4773),0)</f>
        <v/>
      </c>
      <c r="AI4774">
        <f>IF('01_Вводные'!$B$234="Да",SUM('19_Расчет_аналитики'!AI4768:AI4773),0)</f>
        <v/>
      </c>
      <c r="AJ4774">
        <f>IF('01_Вводные'!$B$234="Да",SUM('19_Расчет_аналитики'!AJ4768:AJ4773),0)</f>
        <v/>
      </c>
      <c r="AK4774">
        <f>IF('01_Вводные'!$B$234="Да",SUM('19_Расчет_аналитики'!AK4768:AK4773),0)</f>
        <v/>
      </c>
      <c r="AL4774">
        <f>IF('01_Вводные'!$B$234="Да",SUM('19_Расчет_аналитики'!AL4768:AL4773),0)</f>
        <v/>
      </c>
      <c r="AM4774">
        <f>IF('01_Вводные'!$B$234="Да",SUM('19_Расчет_аналитики'!AM4768:AM4773),0)</f>
        <v/>
      </c>
      <c r="AN4774">
        <f>IF('01_Вводные'!$B$234="Да",SUM('19_Расчет_аналитики'!AN4768:AN4773),0)</f>
        <v/>
      </c>
      <c r="AO4774">
        <f>IF('01_Вводные'!$B$234="Да",SUM('19_Расчет_аналитики'!AO4768:AO4773),0)</f>
        <v/>
      </c>
      <c r="AP4774">
        <f>IF('01_Вводные'!$B$234="Да",SUM('19_Расчет_аналитики'!AP4768:AP4773),0)</f>
        <v/>
      </c>
      <c r="AQ4774">
        <f>IF('01_Вводные'!$B$234="Да",SUM('19_Расчет_аналитики'!AQ4768:AQ4773),0)</f>
        <v/>
      </c>
      <c r="AR4774">
        <f>IF('01_Вводные'!$B$234="Да",SUM('19_Расчет_аналитики'!AR4768:AR4773),0)</f>
        <v/>
      </c>
      <c r="AS4774">
        <f>IF('01_Вводные'!$B$234="Да",SUM('19_Расчет_аналитики'!AS4768:AS4773),0)</f>
        <v/>
      </c>
      <c r="AT4774">
        <f>IF('01_Вводные'!$B$234="Да",SUM('19_Расчет_аналитики'!AT4768:AT4773),0)</f>
        <v/>
      </c>
      <c r="AU4774">
        <f>IF('01_Вводные'!$B$234="Да",SUM('19_Расчет_аналитики'!AU4768:AU4773),0)</f>
        <v/>
      </c>
      <c r="AV4774">
        <f>IF('01_Вводные'!$B$234="Да",SUM('19_Расчет_аналитики'!AV4768:AV4773),0)</f>
        <v/>
      </c>
      <c r="AW4774">
        <f>IF('01_Вводные'!$B$234="Да",SUM('19_Расчет_аналитики'!AW4768:AW4773),0)</f>
        <v/>
      </c>
      <c r="AX4774">
        <f>IF('01_Вводные'!$B$234="Да",SUM('19_Расчет_аналитики'!AX4768:AX4773),0)</f>
        <v/>
      </c>
      <c r="AY4774">
        <f>IF('01_Вводные'!$B$234="Да",SUM('19_Расчет_аналитики'!AY4768:AY4773),0)</f>
        <v/>
      </c>
      <c r="AZ4774">
        <f>IF('01_Вводные'!$B$234="Да",SUM('19_Расчет_аналитики'!AZ4768:AZ4773),0)</f>
        <v/>
      </c>
      <c r="BA4774">
        <f>IF('01_Вводные'!$B$234="Да",SUM('19_Расчет_аналитики'!BA4768:BA4773),0)</f>
        <v/>
      </c>
      <c r="BB4774">
        <f>IF('01_Вводные'!$B$234="Да",SUM('19_Расчет_аналитики'!BB4768:BB4773),0)</f>
        <v/>
      </c>
      <c r="BC4774">
        <f>IF('01_Вводные'!$B$234="Да",SUM('19_Расчет_аналитики'!BC4768:BC4773),0)</f>
        <v/>
      </c>
      <c r="BD4774">
        <f>IF('01_Вводные'!$B$234="Да",SUM('19_Расчет_аналитики'!BD4768:BD4773),0)</f>
        <v/>
      </c>
      <c r="BE4774">
        <f>IF('01_Вводные'!$B$234="Да",SUM('19_Расчет_аналитики'!BE4768:BE4773),0)</f>
        <v/>
      </c>
      <c r="BF4774">
        <f>IF('01_Вводные'!$B$234="Да",SUM('19_Расчет_аналитики'!BF4768:BF4773),0)</f>
        <v/>
      </c>
      <c r="BG4774">
        <f>IF('01_Вводные'!$B$234="Да",SUM('19_Расчет_аналитики'!BG4768:BG4773),0)</f>
        <v/>
      </c>
      <c r="BH4774">
        <f>IF('01_Вводные'!$B$234="Да",SUM('19_Расчет_аналитики'!BH4768:BH4773),0)</f>
        <v/>
      </c>
      <c r="BI4774">
        <f>IF('01_Вводные'!$B$234="Да",SUM('19_Расчет_аналитики'!BI4768:BI4773),0)</f>
        <v/>
      </c>
    </row>
    <row r="4775">
      <c r="B4775">
        <f>IF('01_Вводные'!$B$234="Да",'19_Расчет_аналитики'!B4765-'19_Расчет_аналитики'!B4774,0)</f>
        <v/>
      </c>
      <c r="C4775">
        <f>IF('01_Вводные'!$B$234="Да",'19_Расчет_аналитики'!C4765-'19_Расчет_аналитики'!C4774,0)</f>
        <v/>
      </c>
      <c r="D4775">
        <f>IF('01_Вводные'!$B$234="Да",'19_Расчет_аналитики'!D4765-'19_Расчет_аналитики'!D4774,0)</f>
        <v/>
      </c>
      <c r="E4775">
        <f>IF('01_Вводные'!$B$234="Да",'19_Расчет_аналитики'!E4765-'19_Расчет_аналитики'!E4774,0)</f>
        <v/>
      </c>
      <c r="F4775">
        <f>IF('01_Вводные'!$B$234="Да",'19_Расчет_аналитики'!F4765-'19_Расчет_аналитики'!F4774,0)</f>
        <v/>
      </c>
      <c r="G4775">
        <f>IF('01_Вводные'!$B$234="Да",'19_Расчет_аналитики'!G4765-'19_Расчет_аналитики'!G4774,0)</f>
        <v/>
      </c>
      <c r="H4775">
        <f>IF('01_Вводные'!$B$234="Да",'19_Расчет_аналитики'!H4765-'19_Расчет_аналитики'!H4774,0)</f>
        <v/>
      </c>
      <c r="I4775">
        <f>IF('01_Вводные'!$B$234="Да",'19_Расчет_аналитики'!I4765-'19_Расчет_аналитики'!I4774,0)</f>
        <v/>
      </c>
      <c r="J4775">
        <f>IF('01_Вводные'!$B$234="Да",'19_Расчет_аналитики'!J4765-'19_Расчет_аналитики'!J4774,0)</f>
        <v/>
      </c>
      <c r="K4775">
        <f>IF('01_Вводные'!$B$234="Да",'19_Расчет_аналитики'!K4765-'19_Расчет_аналитики'!K4774,0)</f>
        <v/>
      </c>
      <c r="L4775">
        <f>IF('01_Вводные'!$B$234="Да",'19_Расчет_аналитики'!L4765-'19_Расчет_аналитики'!L4774,0)</f>
        <v/>
      </c>
      <c r="M4775">
        <f>IF('01_Вводные'!$B$234="Да",'19_Расчет_аналитики'!M4765-'19_Расчет_аналитики'!M4774,0)</f>
        <v/>
      </c>
      <c r="N4775">
        <f>IF('01_Вводные'!$B$234="Да",'19_Расчет_аналитики'!N4765-'19_Расчет_аналитики'!N4774,0)</f>
        <v/>
      </c>
      <c r="O4775">
        <f>IF('01_Вводные'!$B$234="Да",'19_Расчет_аналитики'!O4765-'19_Расчет_аналитики'!O4774,0)</f>
        <v/>
      </c>
      <c r="P4775">
        <f>IF('01_Вводные'!$B$234="Да",'19_Расчет_аналитики'!P4765-'19_Расчет_аналитики'!P4774,0)</f>
        <v/>
      </c>
      <c r="Q4775">
        <f>IF('01_Вводные'!$B$234="Да",'19_Расчет_аналитики'!Q4765-'19_Расчет_аналитики'!Q4774,0)</f>
        <v/>
      </c>
      <c r="R4775">
        <f>IF('01_Вводные'!$B$234="Да",'19_Расчет_аналитики'!R4765-'19_Расчет_аналитики'!R4774,0)</f>
        <v/>
      </c>
      <c r="S4775">
        <f>IF('01_Вводные'!$B$234="Да",'19_Расчет_аналитики'!S4765-'19_Расчет_аналитики'!S4774,0)</f>
        <v/>
      </c>
      <c r="T4775">
        <f>IF('01_Вводные'!$B$234="Да",'19_Расчет_аналитики'!T4765-'19_Расчет_аналитики'!T4774,0)</f>
        <v/>
      </c>
      <c r="U4775">
        <f>IF('01_Вводные'!$B$234="Да",'19_Расчет_аналитики'!U4765-'19_Расчет_аналитики'!U4774,0)</f>
        <v/>
      </c>
      <c r="V4775">
        <f>IF('01_Вводные'!$B$234="Да",'19_Расчет_аналитики'!V4765-'19_Расчет_аналитики'!V4774,0)</f>
        <v/>
      </c>
      <c r="W4775">
        <f>IF('01_Вводные'!$B$234="Да",'19_Расчет_аналитики'!W4765-'19_Расчет_аналитики'!W4774,0)</f>
        <v/>
      </c>
      <c r="X4775">
        <f>IF('01_Вводные'!$B$234="Да",'19_Расчет_аналитики'!X4765-'19_Расчет_аналитики'!X4774,0)</f>
        <v/>
      </c>
      <c r="Y4775">
        <f>IF('01_Вводные'!$B$234="Да",'19_Расчет_аналитики'!Y4765-'19_Расчет_аналитики'!Y4774,0)</f>
        <v/>
      </c>
      <c r="Z4775">
        <f>IF('01_Вводные'!$B$234="Да",'19_Расчет_аналитики'!Z4765-'19_Расчет_аналитики'!Z4774,0)</f>
        <v/>
      </c>
      <c r="AA4775">
        <f>IF('01_Вводные'!$B$234="Да",'19_Расчет_аналитики'!AA4765-'19_Расчет_аналитики'!AA4774,0)</f>
        <v/>
      </c>
      <c r="AB4775">
        <f>IF('01_Вводные'!$B$234="Да",'19_Расчет_аналитики'!AB4765-'19_Расчет_аналитики'!AB4774,0)</f>
        <v/>
      </c>
      <c r="AC4775">
        <f>IF('01_Вводные'!$B$234="Да",'19_Расчет_аналитики'!AC4765-'19_Расчет_аналитики'!AC4774,0)</f>
        <v/>
      </c>
      <c r="AD4775">
        <f>IF('01_Вводные'!$B$234="Да",'19_Расчет_аналитики'!AD4765-'19_Расчет_аналитики'!AD4774,0)</f>
        <v/>
      </c>
      <c r="AE4775">
        <f>IF('01_Вводные'!$B$234="Да",'19_Расчет_аналитики'!AE4765-'19_Расчет_аналитики'!AE4774,0)</f>
        <v/>
      </c>
      <c r="AF4775">
        <f>IF('01_Вводные'!$B$234="Да",'19_Расчет_аналитики'!AF4765-'19_Расчет_аналитики'!AF4774,0)</f>
        <v/>
      </c>
      <c r="AG4775">
        <f>IF('01_Вводные'!$B$234="Да",'19_Расчет_аналитики'!AG4765-'19_Расчет_аналитики'!AG4774,0)</f>
        <v/>
      </c>
      <c r="AH4775">
        <f>IF('01_Вводные'!$B$234="Да",'19_Расчет_аналитики'!AH4765-'19_Расчет_аналитики'!AH4774,0)</f>
        <v/>
      </c>
      <c r="AI4775">
        <f>IF('01_Вводные'!$B$234="Да",'19_Расчет_аналитики'!AI4765-'19_Расчет_аналитики'!AI4774,0)</f>
        <v/>
      </c>
      <c r="AJ4775">
        <f>IF('01_Вводные'!$B$234="Да",'19_Расчет_аналитики'!AJ4765-'19_Расчет_аналитики'!AJ4774,0)</f>
        <v/>
      </c>
      <c r="AK4775">
        <f>IF('01_Вводные'!$B$234="Да",'19_Расчет_аналитики'!AK4765-'19_Расчет_аналитики'!AK4774,0)</f>
        <v/>
      </c>
      <c r="AL4775">
        <f>IF('01_Вводные'!$B$234="Да",'19_Расчет_аналитики'!AL4765-'19_Расчет_аналитики'!AL4774,0)</f>
        <v/>
      </c>
      <c r="AM4775">
        <f>IF('01_Вводные'!$B$234="Да",'19_Расчет_аналитики'!AM4765-'19_Расчет_аналитики'!AM4774,0)</f>
        <v/>
      </c>
      <c r="AN4775">
        <f>IF('01_Вводные'!$B$234="Да",'19_Расчет_аналитики'!AN4765-'19_Расчет_аналитики'!AN4774,0)</f>
        <v/>
      </c>
      <c r="AO4775">
        <f>IF('01_Вводные'!$B$234="Да",'19_Расчет_аналитики'!AO4765-'19_Расчет_аналитики'!AO4774,0)</f>
        <v/>
      </c>
      <c r="AP4775">
        <f>IF('01_Вводные'!$B$234="Да",'19_Расчет_аналитики'!AP4765-'19_Расчет_аналитики'!AP4774,0)</f>
        <v/>
      </c>
      <c r="AQ4775">
        <f>IF('01_Вводные'!$B$234="Да",'19_Расчет_аналитики'!AQ4765-'19_Расчет_аналитики'!AQ4774,0)</f>
        <v/>
      </c>
      <c r="AR4775">
        <f>IF('01_Вводные'!$B$234="Да",'19_Расчет_аналитики'!AR4765-'19_Расчет_аналитики'!AR4774,0)</f>
        <v/>
      </c>
      <c r="AS4775">
        <f>IF('01_Вводные'!$B$234="Да",'19_Расчет_аналитики'!AS4765-'19_Расчет_аналитики'!AS4774,0)</f>
        <v/>
      </c>
      <c r="AT4775">
        <f>IF('01_Вводные'!$B$234="Да",'19_Расчет_аналитики'!AT4765-'19_Расчет_аналитики'!AT4774,0)</f>
        <v/>
      </c>
      <c r="AU4775">
        <f>IF('01_Вводные'!$B$234="Да",'19_Расчет_аналитики'!AU4765-'19_Расчет_аналитики'!AU4774,0)</f>
        <v/>
      </c>
      <c r="AV4775">
        <f>IF('01_Вводные'!$B$234="Да",'19_Расчет_аналитики'!AV4765-'19_Расчет_аналитики'!AV4774,0)</f>
        <v/>
      </c>
      <c r="AW4775">
        <f>IF('01_Вводные'!$B$234="Да",'19_Расчет_аналитики'!AW4765-'19_Расчет_аналитики'!AW4774,0)</f>
        <v/>
      </c>
      <c r="AX4775">
        <f>IF('01_Вводные'!$B$234="Да",'19_Расчет_аналитики'!AX4765-'19_Расчет_аналитики'!AX4774,0)</f>
        <v/>
      </c>
      <c r="AY4775">
        <f>IF('01_Вводные'!$B$234="Да",'19_Расчет_аналитики'!AY4765-'19_Расчет_аналитики'!AY4774,0)</f>
        <v/>
      </c>
      <c r="AZ4775">
        <f>IF('01_Вводные'!$B$234="Да",'19_Расчет_аналитики'!AZ4765-'19_Расчет_аналитики'!AZ4774,0)</f>
        <v/>
      </c>
      <c r="BA4775">
        <f>IF('01_Вводные'!$B$234="Да",'19_Расчет_аналитики'!BA4765-'19_Расчет_аналитики'!BA4774,0)</f>
        <v/>
      </c>
      <c r="BB4775">
        <f>IF('01_Вводные'!$B$234="Да",'19_Расчет_аналитики'!BB4765-'19_Расчет_аналитики'!BB4774,0)</f>
        <v/>
      </c>
      <c r="BC4775">
        <f>IF('01_Вводные'!$B$234="Да",'19_Расчет_аналитики'!BC4765-'19_Расчет_аналитики'!BC4774,0)</f>
        <v/>
      </c>
      <c r="BD4775">
        <f>IF('01_Вводные'!$B$234="Да",'19_Расчет_аналитики'!BD4765-'19_Расчет_аналитики'!BD4774,0)</f>
        <v/>
      </c>
      <c r="BE4775">
        <f>IF('01_Вводные'!$B$234="Да",'19_Расчет_аналитики'!BE4765-'19_Расчет_аналитики'!BE4774,0)</f>
        <v/>
      </c>
      <c r="BF4775">
        <f>IF('01_Вводные'!$B$234="Да",'19_Расчет_аналитики'!BF4765-'19_Расчет_аналитики'!BF4774,0)</f>
        <v/>
      </c>
      <c r="BG4775">
        <f>IF('01_Вводные'!$B$234="Да",'19_Расчет_аналитики'!BG4765-'19_Расчет_аналитики'!BG4774,0)</f>
        <v/>
      </c>
      <c r="BH4775">
        <f>IF('01_Вводные'!$B$234="Да",'19_Расчет_аналитики'!BH4765-'19_Расчет_аналитики'!BH4774,0)</f>
        <v/>
      </c>
      <c r="BI4775">
        <f>IF('01_Вводные'!$B$234="Да",'19_Расчет_аналитики'!BI4765-'19_Расчет_аналитики'!BI4774,0)</f>
        <v/>
      </c>
    </row>
    <row r="4776"/>
    <row r="4777"/>
    <row r="4778">
      <c r="B4778">
        <f>'02_Модель'!B36</f>
        <v/>
      </c>
      <c r="C4778">
        <f>IF('01_Вводные'!$B$234="Да",'19_Расчет_аналитики'!C4713,0)</f>
        <v/>
      </c>
      <c r="D4778">
        <f>IF('01_Вводные'!$B$234="Да",'19_Расчет_аналитики'!D4713,0)</f>
        <v/>
      </c>
      <c r="E4778">
        <f>IF('01_Вводные'!$B$234="Да",'19_Расчет_аналитики'!E4713,0)</f>
        <v/>
      </c>
      <c r="F4778">
        <f>IF('01_Вводные'!$B$234="Да",'19_Расчет_аналитики'!F4713,0)</f>
        <v/>
      </c>
      <c r="G4778">
        <f>IF('01_Вводные'!$B$234="Да",'19_Расчет_аналитики'!G4713,0)</f>
        <v/>
      </c>
      <c r="H4778">
        <f>IF('01_Вводные'!$B$234="Да",'19_Расчет_аналитики'!H4713,0)</f>
        <v/>
      </c>
      <c r="I4778">
        <f>IF('01_Вводные'!$B$234="Да",'19_Расчет_аналитики'!I4713,0)</f>
        <v/>
      </c>
      <c r="J4778">
        <f>IF('01_Вводные'!$B$234="Да",'19_Расчет_аналитики'!J4713,0)</f>
        <v/>
      </c>
      <c r="K4778">
        <f>IF('01_Вводные'!$B$234="Да",'19_Расчет_аналитики'!K4713,0)</f>
        <v/>
      </c>
      <c r="L4778">
        <f>IF('01_Вводные'!$B$234="Да",'19_Расчет_аналитики'!L4713,0)</f>
        <v/>
      </c>
      <c r="M4778">
        <f>IF('01_Вводные'!$B$234="Да",'19_Расчет_аналитики'!M4713,0)</f>
        <v/>
      </c>
      <c r="N4778">
        <f>IF('01_Вводные'!$B$234="Да",'19_Расчет_аналитики'!N4713,0)</f>
        <v/>
      </c>
      <c r="O4778">
        <f>IF('01_Вводные'!$B$234="Да",'19_Расчет_аналитики'!O4713,0)</f>
        <v/>
      </c>
      <c r="P4778">
        <f>IF('01_Вводные'!$B$234="Да",'19_Расчет_аналитики'!P4713,0)</f>
        <v/>
      </c>
      <c r="Q4778">
        <f>IF('01_Вводные'!$B$234="Да",'19_Расчет_аналитики'!Q4713,0)</f>
        <v/>
      </c>
      <c r="R4778">
        <f>IF('01_Вводные'!$B$234="Да",'19_Расчет_аналитики'!R4713,0)</f>
        <v/>
      </c>
      <c r="S4778">
        <f>IF('01_Вводные'!$B$234="Да",'19_Расчет_аналитики'!S4713,0)</f>
        <v/>
      </c>
      <c r="T4778">
        <f>IF('01_Вводные'!$B$234="Да",'19_Расчет_аналитики'!T4713,0)</f>
        <v/>
      </c>
      <c r="U4778">
        <f>IF('01_Вводные'!$B$234="Да",'19_Расчет_аналитики'!U4713,0)</f>
        <v/>
      </c>
      <c r="V4778">
        <f>IF('01_Вводные'!$B$234="Да",'19_Расчет_аналитики'!V4713,0)</f>
        <v/>
      </c>
      <c r="W4778">
        <f>IF('01_Вводные'!$B$234="Да",'19_Расчет_аналитики'!W4713,0)</f>
        <v/>
      </c>
      <c r="X4778">
        <f>IF('01_Вводные'!$B$234="Да",'19_Расчет_аналитики'!X4713,0)</f>
        <v/>
      </c>
      <c r="Y4778">
        <f>IF('01_Вводные'!$B$234="Да",'19_Расчет_аналитики'!Y4713,0)</f>
        <v/>
      </c>
      <c r="Z4778">
        <f>IF('01_Вводные'!$B$234="Да",'19_Расчет_аналитики'!Z4713,0)</f>
        <v/>
      </c>
      <c r="AA4778">
        <f>IF('01_Вводные'!$B$234="Да",'19_Расчет_аналитики'!AA4713,0)</f>
        <v/>
      </c>
      <c r="AB4778">
        <f>IF('01_Вводные'!$B$234="Да",'19_Расчет_аналитики'!AB4713,0)</f>
        <v/>
      </c>
      <c r="AC4778">
        <f>IF('01_Вводные'!$B$234="Да",'19_Расчет_аналитики'!AC4713,0)</f>
        <v/>
      </c>
      <c r="AD4778">
        <f>IF('01_Вводные'!$B$234="Да",'19_Расчет_аналитики'!AD4713,0)</f>
        <v/>
      </c>
      <c r="AE4778">
        <f>IF('01_Вводные'!$B$234="Да",'19_Расчет_аналитики'!AE4713,0)</f>
        <v/>
      </c>
      <c r="AF4778">
        <f>IF('01_Вводные'!$B$234="Да",'19_Расчет_аналитики'!AF4713,0)</f>
        <v/>
      </c>
      <c r="AG4778">
        <f>IF('01_Вводные'!$B$234="Да",'19_Расчет_аналитики'!AG4713,0)</f>
        <v/>
      </c>
      <c r="AH4778">
        <f>IF('01_Вводные'!$B$234="Да",'19_Расчет_аналитики'!AH4713,0)</f>
        <v/>
      </c>
      <c r="AI4778">
        <f>IF('01_Вводные'!$B$234="Да",'19_Расчет_аналитики'!AI4713,0)</f>
        <v/>
      </c>
      <c r="AJ4778">
        <f>IF('01_Вводные'!$B$234="Да",'19_Расчет_аналитики'!AJ4713,0)</f>
        <v/>
      </c>
      <c r="AK4778">
        <f>IF('01_Вводные'!$B$234="Да",'19_Расчет_аналитики'!AK4713,0)</f>
        <v/>
      </c>
      <c r="AL4778">
        <f>IF('01_Вводные'!$B$234="Да",'19_Расчет_аналитики'!AL4713,0)</f>
        <v/>
      </c>
      <c r="AM4778">
        <f>IF('01_Вводные'!$B$234="Да",'19_Расчет_аналитики'!AM4713,0)</f>
        <v/>
      </c>
      <c r="AN4778">
        <f>IF('01_Вводные'!$B$234="Да",'19_Расчет_аналитики'!AN4713,0)</f>
        <v/>
      </c>
      <c r="AO4778">
        <f>IF('01_Вводные'!$B$234="Да",'19_Расчет_аналитики'!AO4713,0)</f>
        <v/>
      </c>
      <c r="AP4778">
        <f>IF('01_Вводные'!$B$234="Да",'19_Расчет_аналитики'!AP4713,0)</f>
        <v/>
      </c>
      <c r="AQ4778">
        <f>IF('01_Вводные'!$B$234="Да",'19_Расчет_аналитики'!AQ4713,0)</f>
        <v/>
      </c>
      <c r="AR4778">
        <f>IF('01_Вводные'!$B$234="Да",'19_Расчет_аналитики'!AR4713,0)</f>
        <v/>
      </c>
      <c r="AS4778">
        <f>IF('01_Вводные'!$B$234="Да",'19_Расчет_аналитики'!AS4713,0)</f>
        <v/>
      </c>
      <c r="AT4778">
        <f>IF('01_Вводные'!$B$234="Да",'19_Расчет_аналитики'!AT4713,0)</f>
        <v/>
      </c>
      <c r="AU4778">
        <f>IF('01_Вводные'!$B$234="Да",'19_Расчет_аналитики'!AU4713,0)</f>
        <v/>
      </c>
      <c r="AV4778">
        <f>IF('01_Вводные'!$B$234="Да",'19_Расчет_аналитики'!AV4713,0)</f>
        <v/>
      </c>
      <c r="AW4778">
        <f>IF('01_Вводные'!$B$234="Да",'19_Расчет_аналитики'!AW4713,0)</f>
        <v/>
      </c>
      <c r="AX4778">
        <f>IF('01_Вводные'!$B$234="Да",'19_Расчет_аналитики'!AX4713,0)</f>
        <v/>
      </c>
      <c r="AY4778">
        <f>IF('01_Вводные'!$B$234="Да",'19_Расчет_аналитики'!AY4713,0)</f>
        <v/>
      </c>
      <c r="AZ4778">
        <f>IF('01_Вводные'!$B$234="Да",'19_Расчет_аналитики'!AZ4713,0)</f>
        <v/>
      </c>
      <c r="BA4778">
        <f>IF('01_Вводные'!$B$234="Да",'19_Расчет_аналитики'!BA4713,0)</f>
        <v/>
      </c>
      <c r="BB4778">
        <f>IF('01_Вводные'!$B$234="Да",'19_Расчет_аналитики'!BB4713,0)</f>
        <v/>
      </c>
      <c r="BC4778">
        <f>IF('01_Вводные'!$B$234="Да",'19_Расчет_аналитики'!BC4713,0)</f>
        <v/>
      </c>
      <c r="BD4778">
        <f>IF('01_Вводные'!$B$234="Да",'19_Расчет_аналитики'!BD4713,0)</f>
        <v/>
      </c>
      <c r="BE4778">
        <f>IF('01_Вводные'!$B$234="Да",'19_Расчет_аналитики'!BE4713,0)</f>
        <v/>
      </c>
      <c r="BF4778">
        <f>IF('01_Вводные'!$B$234="Да",'19_Расчет_аналитики'!BF4713,0)</f>
        <v/>
      </c>
      <c r="BG4778">
        <f>IF('01_Вводные'!$B$234="Да",'19_Расчет_аналитики'!BG4713,0)</f>
        <v/>
      </c>
      <c r="BH4778">
        <f>IF('01_Вводные'!$B$234="Да",'19_Расчет_аналитики'!BH4713,0)</f>
        <v/>
      </c>
      <c r="BI4778">
        <f>IF('01_Вводные'!$B$234="Да",'19_Расчет_аналитики'!BI4713,0)</f>
        <v/>
      </c>
    </row>
    <row r="4779">
      <c r="B4779">
        <f>IF('01_Вводные'!$B$234="Да",('01_Вводные'!$B$105+(MAX(0,'06_Сеть_и_дети'!B11-'01_Вводные'!$B$106)+'19_Расчет_аналитики'!B4447)*'01_Вводные'!$B$107)*'18_Календарь_тарифы'!B4,0)</f>
        <v/>
      </c>
      <c r="C4779">
        <f>IF('01_Вводные'!$B$234="Да",('01_Вводные'!$B$105+(MAX(0,'06_Сеть_и_дети'!C11-'01_Вводные'!$B$106)+'19_Расчет_аналитики'!C4447)*'01_Вводные'!$B$107)*'18_Календарь_тарифы'!C4,0)</f>
        <v/>
      </c>
      <c r="D4779">
        <f>IF('01_Вводные'!$B$234="Да",('01_Вводные'!$B$105+(MAX(0,'06_Сеть_и_дети'!D11-'01_Вводные'!$B$106)+'19_Расчет_аналитики'!D4447)*'01_Вводные'!$B$107)*'18_Календарь_тарифы'!D4,0)</f>
        <v/>
      </c>
      <c r="E4779">
        <f>IF('01_Вводные'!$B$234="Да",('01_Вводные'!$B$105+(MAX(0,'06_Сеть_и_дети'!E11-'01_Вводные'!$B$106)+'19_Расчет_аналитики'!E4447)*'01_Вводные'!$B$107)*'18_Календарь_тарифы'!E4,0)</f>
        <v/>
      </c>
      <c r="F4779">
        <f>IF('01_Вводные'!$B$234="Да",('01_Вводные'!$B$105+(MAX(0,'06_Сеть_и_дети'!F11-'01_Вводные'!$B$106)+'19_Расчет_аналитики'!F4447)*'01_Вводные'!$B$107)*'18_Календарь_тарифы'!F4,0)</f>
        <v/>
      </c>
      <c r="G4779">
        <f>IF('01_Вводные'!$B$234="Да",('01_Вводные'!$B$105+(MAX(0,'06_Сеть_и_дети'!G11-'01_Вводные'!$B$106)+'19_Расчет_аналитики'!G4447)*'01_Вводные'!$B$107)*'18_Календарь_тарифы'!G4,0)</f>
        <v/>
      </c>
      <c r="H4779">
        <f>IF('01_Вводные'!$B$234="Да",('01_Вводные'!$B$105+(MAX(0,'06_Сеть_и_дети'!H11-'01_Вводные'!$B$106)+'19_Расчет_аналитики'!H4447)*'01_Вводные'!$B$107)*'18_Календарь_тарифы'!H4,0)</f>
        <v/>
      </c>
      <c r="I4779">
        <f>IF('01_Вводные'!$B$234="Да",('01_Вводные'!$B$105+(MAX(0,'06_Сеть_и_дети'!I11-'01_Вводные'!$B$106)+'19_Расчет_аналитики'!I4447)*'01_Вводные'!$B$107)*'18_Календарь_тарифы'!I4,0)</f>
        <v/>
      </c>
      <c r="J4779">
        <f>IF('01_Вводные'!$B$234="Да",('01_Вводные'!$B$105+(MAX(0,'06_Сеть_и_дети'!J11-'01_Вводные'!$B$106)+'19_Расчет_аналитики'!J4447)*'01_Вводные'!$B$107)*'18_Календарь_тарифы'!J4,0)</f>
        <v/>
      </c>
      <c r="K4779">
        <f>IF('01_Вводные'!$B$234="Да",('01_Вводные'!$B$105+(MAX(0,'06_Сеть_и_дети'!K11-'01_Вводные'!$B$106)+'19_Расчет_аналитики'!K4447)*'01_Вводные'!$B$107)*'18_Календарь_тарифы'!K4,0)</f>
        <v/>
      </c>
      <c r="L4779">
        <f>IF('01_Вводные'!$B$234="Да",('01_Вводные'!$B$105+(MAX(0,'06_Сеть_и_дети'!L11-'01_Вводные'!$B$106)+'19_Расчет_аналитики'!L4447)*'01_Вводные'!$B$107)*'18_Календарь_тарифы'!L4,0)</f>
        <v/>
      </c>
      <c r="M4779">
        <f>IF('01_Вводные'!$B$234="Да",('01_Вводные'!$B$105+(MAX(0,'06_Сеть_и_дети'!M11-'01_Вводные'!$B$106)+'19_Расчет_аналитики'!M4447)*'01_Вводные'!$B$107)*'18_Календарь_тарифы'!M4,0)</f>
        <v/>
      </c>
      <c r="N4779">
        <f>IF('01_Вводные'!$B$234="Да",('01_Вводные'!$B$105+(MAX(0,'06_Сеть_и_дети'!N11-'01_Вводные'!$B$106)+'19_Расчет_аналитики'!N4447)*'01_Вводные'!$B$107)*'18_Календарь_тарифы'!N4,0)</f>
        <v/>
      </c>
      <c r="O4779">
        <f>IF('01_Вводные'!$B$234="Да",('01_Вводные'!$B$105+(MAX(0,'06_Сеть_и_дети'!O11-'01_Вводные'!$B$106)+'19_Расчет_аналитики'!O4447)*'01_Вводные'!$B$107)*'18_Календарь_тарифы'!O4,0)</f>
        <v/>
      </c>
      <c r="P4779">
        <f>IF('01_Вводные'!$B$234="Да",('01_Вводные'!$B$105+(MAX(0,'06_Сеть_и_дети'!P11-'01_Вводные'!$B$106)+'19_Расчет_аналитики'!P4447)*'01_Вводные'!$B$107)*'18_Календарь_тарифы'!P4,0)</f>
        <v/>
      </c>
      <c r="Q4779">
        <f>IF('01_Вводные'!$B$234="Да",('01_Вводные'!$B$105+(MAX(0,'06_Сеть_и_дети'!Q11-'01_Вводные'!$B$106)+'19_Расчет_аналитики'!Q4447)*'01_Вводные'!$B$107)*'18_Календарь_тарифы'!Q4,0)</f>
        <v/>
      </c>
      <c r="R4779">
        <f>IF('01_Вводные'!$B$234="Да",('01_Вводные'!$B$105+(MAX(0,'06_Сеть_и_дети'!R11-'01_Вводные'!$B$106)+'19_Расчет_аналитики'!R4447)*'01_Вводные'!$B$107)*'18_Календарь_тарифы'!R4,0)</f>
        <v/>
      </c>
      <c r="S4779">
        <f>IF('01_Вводные'!$B$234="Да",('01_Вводные'!$B$105+(MAX(0,'06_Сеть_и_дети'!S11-'01_Вводные'!$B$106)+'19_Расчет_аналитики'!S4447)*'01_Вводные'!$B$107)*'18_Календарь_тарифы'!S4,0)</f>
        <v/>
      </c>
      <c r="T4779">
        <f>IF('01_Вводные'!$B$234="Да",('01_Вводные'!$B$105+(MAX(0,'06_Сеть_и_дети'!T11-'01_Вводные'!$B$106)+'19_Расчет_аналитики'!T4447)*'01_Вводные'!$B$107)*'18_Календарь_тарифы'!T4,0)</f>
        <v/>
      </c>
      <c r="U4779">
        <f>IF('01_Вводные'!$B$234="Да",('01_Вводные'!$B$105+(MAX(0,'06_Сеть_и_дети'!U11-'01_Вводные'!$B$106)+'19_Расчет_аналитики'!U4447)*'01_Вводные'!$B$107)*'18_Календарь_тарифы'!U4,0)</f>
        <v/>
      </c>
      <c r="V4779">
        <f>IF('01_Вводные'!$B$234="Да",('01_Вводные'!$B$105+(MAX(0,'06_Сеть_и_дети'!V11-'01_Вводные'!$B$106)+'19_Расчет_аналитики'!V4447)*'01_Вводные'!$B$107)*'18_Календарь_тарифы'!V4,0)</f>
        <v/>
      </c>
      <c r="W4779">
        <f>IF('01_Вводные'!$B$234="Да",('01_Вводные'!$B$105+(MAX(0,'06_Сеть_и_дети'!W11-'01_Вводные'!$B$106)+'19_Расчет_аналитики'!W4447)*'01_Вводные'!$B$107)*'18_Календарь_тарифы'!W4,0)</f>
        <v/>
      </c>
      <c r="X4779">
        <f>IF('01_Вводные'!$B$234="Да",('01_Вводные'!$B$105+(MAX(0,'06_Сеть_и_дети'!X11-'01_Вводные'!$B$106)+'19_Расчет_аналитики'!X4447)*'01_Вводные'!$B$107)*'18_Календарь_тарифы'!X4,0)</f>
        <v/>
      </c>
      <c r="Y4779">
        <f>IF('01_Вводные'!$B$234="Да",('01_Вводные'!$B$105+(MAX(0,'06_Сеть_и_дети'!Y11-'01_Вводные'!$B$106)+'19_Расчет_аналитики'!Y4447)*'01_Вводные'!$B$107)*'18_Календарь_тарифы'!Y4,0)</f>
        <v/>
      </c>
      <c r="Z4779">
        <f>IF('01_Вводные'!$B$234="Да",('01_Вводные'!$B$105+(MAX(0,'06_Сеть_и_дети'!Z11-'01_Вводные'!$B$106)+'19_Расчет_аналитики'!Z4447)*'01_Вводные'!$B$107)*'18_Календарь_тарифы'!Z4,0)</f>
        <v/>
      </c>
      <c r="AA4779">
        <f>IF('01_Вводные'!$B$234="Да",('01_Вводные'!$B$105+(MAX(0,'06_Сеть_и_дети'!AA11-'01_Вводные'!$B$106)+'19_Расчет_аналитики'!AA4447)*'01_Вводные'!$B$107)*'18_Календарь_тарифы'!AA4,0)</f>
        <v/>
      </c>
      <c r="AB4779">
        <f>IF('01_Вводные'!$B$234="Да",('01_Вводные'!$B$105+(MAX(0,'06_Сеть_и_дети'!AB11-'01_Вводные'!$B$106)+'19_Расчет_аналитики'!AB4447)*'01_Вводные'!$B$107)*'18_Календарь_тарифы'!AB4,0)</f>
        <v/>
      </c>
      <c r="AC4779">
        <f>IF('01_Вводные'!$B$234="Да",('01_Вводные'!$B$105+(MAX(0,'06_Сеть_и_дети'!AC11-'01_Вводные'!$B$106)+'19_Расчет_аналитики'!AC4447)*'01_Вводные'!$B$107)*'18_Календарь_тарифы'!AC4,0)</f>
        <v/>
      </c>
      <c r="AD4779">
        <f>IF('01_Вводные'!$B$234="Да",('01_Вводные'!$B$105+(MAX(0,'06_Сеть_и_дети'!AD11-'01_Вводные'!$B$106)+'19_Расчет_аналитики'!AD4447)*'01_Вводные'!$B$107)*'18_Календарь_тарифы'!AD4,0)</f>
        <v/>
      </c>
      <c r="AE4779">
        <f>IF('01_Вводные'!$B$234="Да",('01_Вводные'!$B$105+(MAX(0,'06_Сеть_и_дети'!AE11-'01_Вводные'!$B$106)+'19_Расчет_аналитики'!AE4447)*'01_Вводные'!$B$107)*'18_Календарь_тарифы'!AE4,0)</f>
        <v/>
      </c>
      <c r="AF4779">
        <f>IF('01_Вводные'!$B$234="Да",('01_Вводные'!$B$105+(MAX(0,'06_Сеть_и_дети'!AF11-'01_Вводные'!$B$106)+'19_Расчет_аналитики'!AF4447)*'01_Вводные'!$B$107)*'18_Календарь_тарифы'!AF4,0)</f>
        <v/>
      </c>
      <c r="AG4779">
        <f>IF('01_Вводные'!$B$234="Да",('01_Вводные'!$B$105+(MAX(0,'06_Сеть_и_дети'!AG11-'01_Вводные'!$B$106)+'19_Расчет_аналитики'!AG4447)*'01_Вводные'!$B$107)*'18_Календарь_тарифы'!AG4,0)</f>
        <v/>
      </c>
      <c r="AH4779">
        <f>IF('01_Вводные'!$B$234="Да",('01_Вводные'!$B$105+(MAX(0,'06_Сеть_и_дети'!AH11-'01_Вводные'!$B$106)+'19_Расчет_аналитики'!AH4447)*'01_Вводные'!$B$107)*'18_Календарь_тарифы'!AH4,0)</f>
        <v/>
      </c>
      <c r="AI4779">
        <f>IF('01_Вводные'!$B$234="Да",('01_Вводные'!$B$105+(MAX(0,'06_Сеть_и_дети'!AI11-'01_Вводные'!$B$106)+'19_Расчет_аналитики'!AI4447)*'01_Вводные'!$B$107)*'18_Календарь_тарифы'!AI4,0)</f>
        <v/>
      </c>
      <c r="AJ4779">
        <f>IF('01_Вводные'!$B$234="Да",('01_Вводные'!$B$105+(MAX(0,'06_Сеть_и_дети'!AJ11-'01_Вводные'!$B$106)+'19_Расчет_аналитики'!AJ4447)*'01_Вводные'!$B$107)*'18_Календарь_тарифы'!AJ4,0)</f>
        <v/>
      </c>
      <c r="AK4779">
        <f>IF('01_Вводные'!$B$234="Да",('01_Вводные'!$B$105+(MAX(0,'06_Сеть_и_дети'!AK11-'01_Вводные'!$B$106)+'19_Расчет_аналитики'!AK4447)*'01_Вводные'!$B$107)*'18_Календарь_тарифы'!AK4,0)</f>
        <v/>
      </c>
      <c r="AL4779">
        <f>IF('01_Вводные'!$B$234="Да",('01_Вводные'!$B$105+(MAX(0,'06_Сеть_и_дети'!AL11-'01_Вводные'!$B$106)+'19_Расчет_аналитики'!AL4447)*'01_Вводные'!$B$107)*'18_Календарь_тарифы'!AL4,0)</f>
        <v/>
      </c>
      <c r="AM4779">
        <f>IF('01_Вводные'!$B$234="Да",('01_Вводные'!$B$105+(MAX(0,'06_Сеть_и_дети'!AM11-'01_Вводные'!$B$106)+'19_Расчет_аналитики'!AM4447)*'01_Вводные'!$B$107)*'18_Календарь_тарифы'!AM4,0)</f>
        <v/>
      </c>
      <c r="AN4779">
        <f>IF('01_Вводные'!$B$234="Да",('01_Вводные'!$B$105+(MAX(0,'06_Сеть_и_дети'!AN11-'01_Вводные'!$B$106)+'19_Расчет_аналитики'!AN4447)*'01_Вводные'!$B$107)*'18_Календарь_тарифы'!AN4,0)</f>
        <v/>
      </c>
      <c r="AO4779">
        <f>IF('01_Вводные'!$B$234="Да",('01_Вводные'!$B$105+(MAX(0,'06_Сеть_и_дети'!AO11-'01_Вводные'!$B$106)+'19_Расчет_аналитики'!AO4447)*'01_Вводные'!$B$107)*'18_Календарь_тарифы'!AO4,0)</f>
        <v/>
      </c>
      <c r="AP4779">
        <f>IF('01_Вводные'!$B$234="Да",('01_Вводные'!$B$105+(MAX(0,'06_Сеть_и_дети'!AP11-'01_Вводные'!$B$106)+'19_Расчет_аналитики'!AP4447)*'01_Вводные'!$B$107)*'18_Календарь_тарифы'!AP4,0)</f>
        <v/>
      </c>
      <c r="AQ4779">
        <f>IF('01_Вводные'!$B$234="Да",('01_Вводные'!$B$105+(MAX(0,'06_Сеть_и_дети'!AQ11-'01_Вводные'!$B$106)+'19_Расчет_аналитики'!AQ4447)*'01_Вводные'!$B$107)*'18_Календарь_тарифы'!AQ4,0)</f>
        <v/>
      </c>
      <c r="AR4779">
        <f>IF('01_Вводные'!$B$234="Да",('01_Вводные'!$B$105+(MAX(0,'06_Сеть_и_дети'!AR11-'01_Вводные'!$B$106)+'19_Расчет_аналитики'!AR4447)*'01_Вводные'!$B$107)*'18_Календарь_тарифы'!AR4,0)</f>
        <v/>
      </c>
      <c r="AS4779">
        <f>IF('01_Вводные'!$B$234="Да",('01_Вводные'!$B$105+(MAX(0,'06_Сеть_и_дети'!AS11-'01_Вводные'!$B$106)+'19_Расчет_аналитики'!AS4447)*'01_Вводные'!$B$107)*'18_Календарь_тарифы'!AS4,0)</f>
        <v/>
      </c>
      <c r="AT4779">
        <f>IF('01_Вводные'!$B$234="Да",('01_Вводные'!$B$105+(MAX(0,'06_Сеть_и_дети'!AT11-'01_Вводные'!$B$106)+'19_Расчет_аналитики'!AT4447)*'01_Вводные'!$B$107)*'18_Календарь_тарифы'!AT4,0)</f>
        <v/>
      </c>
      <c r="AU4779">
        <f>IF('01_Вводные'!$B$234="Да",('01_Вводные'!$B$105+(MAX(0,'06_Сеть_и_дети'!AU11-'01_Вводные'!$B$106)+'19_Расчет_аналитики'!AU4447)*'01_Вводные'!$B$107)*'18_Календарь_тарифы'!AU4,0)</f>
        <v/>
      </c>
      <c r="AV4779">
        <f>IF('01_Вводные'!$B$234="Да",('01_Вводные'!$B$105+(MAX(0,'06_Сеть_и_дети'!AV11-'01_Вводные'!$B$106)+'19_Расчет_аналитики'!AV4447)*'01_Вводные'!$B$107)*'18_Календарь_тарифы'!AV4,0)</f>
        <v/>
      </c>
      <c r="AW4779">
        <f>IF('01_Вводные'!$B$234="Да",('01_Вводные'!$B$105+(MAX(0,'06_Сеть_и_дети'!AW11-'01_Вводные'!$B$106)+'19_Расчет_аналитики'!AW4447)*'01_Вводные'!$B$107)*'18_Календарь_тарифы'!AW4,0)</f>
        <v/>
      </c>
      <c r="AX4779">
        <f>IF('01_Вводные'!$B$234="Да",('01_Вводные'!$B$105+(MAX(0,'06_Сеть_и_дети'!AX11-'01_Вводные'!$B$106)+'19_Расчет_аналитики'!AX4447)*'01_Вводные'!$B$107)*'18_Календарь_тарифы'!AX4,0)</f>
        <v/>
      </c>
      <c r="AY4779">
        <f>IF('01_Вводные'!$B$234="Да",('01_Вводные'!$B$105+(MAX(0,'06_Сеть_и_дети'!AY11-'01_Вводные'!$B$106)+'19_Расчет_аналитики'!AY4447)*'01_Вводные'!$B$107)*'18_Календарь_тарифы'!AY4,0)</f>
        <v/>
      </c>
      <c r="AZ4779">
        <f>IF('01_Вводные'!$B$234="Да",('01_Вводные'!$B$105+(MAX(0,'06_Сеть_и_дети'!AZ11-'01_Вводные'!$B$106)+'19_Расчет_аналитики'!AZ4447)*'01_Вводные'!$B$107)*'18_Календарь_тарифы'!AZ4,0)</f>
        <v/>
      </c>
      <c r="BA4779">
        <f>IF('01_Вводные'!$B$234="Да",('01_Вводные'!$B$105+(MAX(0,'06_Сеть_и_дети'!BA11-'01_Вводные'!$B$106)+'19_Расчет_аналитики'!BA4447)*'01_Вводные'!$B$107)*'18_Календарь_тарифы'!BA4,0)</f>
        <v/>
      </c>
      <c r="BB4779">
        <f>IF('01_Вводные'!$B$234="Да",('01_Вводные'!$B$105+(MAX(0,'06_Сеть_и_дети'!BB11-'01_Вводные'!$B$106)+'19_Расчет_аналитики'!BB4447)*'01_Вводные'!$B$107)*'18_Календарь_тарифы'!BB4,0)</f>
        <v/>
      </c>
      <c r="BC4779">
        <f>IF('01_Вводные'!$B$234="Да",('01_Вводные'!$B$105+(MAX(0,'06_Сеть_и_дети'!BC11-'01_Вводные'!$B$106)+'19_Расчет_аналитики'!BC4447)*'01_Вводные'!$B$107)*'18_Календарь_тарифы'!BC4,0)</f>
        <v/>
      </c>
      <c r="BD4779">
        <f>IF('01_Вводные'!$B$234="Да",('01_Вводные'!$B$105+(MAX(0,'06_Сеть_и_дети'!BD11-'01_Вводные'!$B$106)+'19_Расчет_аналитики'!BD4447)*'01_Вводные'!$B$107)*'18_Календарь_тарифы'!BD4,0)</f>
        <v/>
      </c>
      <c r="BE4779">
        <f>IF('01_Вводные'!$B$234="Да",('01_Вводные'!$B$105+(MAX(0,'06_Сеть_и_дети'!BE11-'01_Вводные'!$B$106)+'19_Расчет_аналитики'!BE4447)*'01_Вводные'!$B$107)*'18_Календарь_тарифы'!BE4,0)</f>
        <v/>
      </c>
      <c r="BF4779">
        <f>IF('01_Вводные'!$B$234="Да",('01_Вводные'!$B$105+(MAX(0,'06_Сеть_и_дети'!BF11-'01_Вводные'!$B$106)+'19_Расчет_аналитики'!BF4447)*'01_Вводные'!$B$107)*'18_Календарь_тарифы'!BF4,0)</f>
        <v/>
      </c>
      <c r="BG4779">
        <f>IF('01_Вводные'!$B$234="Да",('01_Вводные'!$B$105+(MAX(0,'06_Сеть_и_дети'!BG11-'01_Вводные'!$B$106)+'19_Расчет_аналитики'!BG4447)*'01_Вводные'!$B$107)*'18_Календарь_тарифы'!BG4,0)</f>
        <v/>
      </c>
      <c r="BH4779">
        <f>IF('01_Вводные'!$B$234="Да",('01_Вводные'!$B$105+(MAX(0,'06_Сеть_и_дети'!BH11-'01_Вводные'!$B$106)+'19_Расчет_аналитики'!BH4447)*'01_Вводные'!$B$107)*'18_Календарь_тарифы'!BH4,0)</f>
        <v/>
      </c>
      <c r="BI4779">
        <f>IF('01_Вводные'!$B$234="Да",('01_Вводные'!$B$105+(MAX(0,'06_Сеть_и_дети'!BI11-'01_Вводные'!$B$106)+'19_Расчет_аналитики'!BI4447)*'01_Вводные'!$B$107)*'18_Календарь_тарифы'!BI4,0)</f>
        <v/>
      </c>
    </row>
    <row r="4780">
      <c r="B4780">
        <f>'02_Модель'!B38</f>
        <v/>
      </c>
      <c r="C4780">
        <f>'02_Модель'!C38</f>
        <v/>
      </c>
      <c r="D4780">
        <f>'02_Модель'!D38</f>
        <v/>
      </c>
      <c r="E4780">
        <f>'02_Модель'!E38</f>
        <v/>
      </c>
      <c r="F4780">
        <f>'02_Модель'!F38</f>
        <v/>
      </c>
      <c r="G4780">
        <f>'02_Модель'!G38</f>
        <v/>
      </c>
      <c r="H4780">
        <f>'02_Модель'!H38</f>
        <v/>
      </c>
      <c r="I4780">
        <f>'02_Модель'!I38</f>
        <v/>
      </c>
      <c r="J4780">
        <f>'02_Модель'!J38</f>
        <v/>
      </c>
      <c r="K4780">
        <f>'02_Модель'!K38</f>
        <v/>
      </c>
      <c r="L4780">
        <f>'02_Модель'!L38</f>
        <v/>
      </c>
      <c r="M4780">
        <f>'02_Модель'!M38</f>
        <v/>
      </c>
      <c r="N4780">
        <f>'02_Модель'!N38</f>
        <v/>
      </c>
      <c r="O4780">
        <f>'02_Модель'!O38</f>
        <v/>
      </c>
      <c r="P4780">
        <f>'02_Модель'!P38</f>
        <v/>
      </c>
      <c r="Q4780">
        <f>'02_Модель'!Q38</f>
        <v/>
      </c>
      <c r="R4780">
        <f>'02_Модель'!R38</f>
        <v/>
      </c>
      <c r="S4780">
        <f>'02_Модель'!S38</f>
        <v/>
      </c>
      <c r="T4780">
        <f>'02_Модель'!T38</f>
        <v/>
      </c>
      <c r="U4780">
        <f>'02_Модель'!U38</f>
        <v/>
      </c>
      <c r="V4780">
        <f>'02_Модель'!V38</f>
        <v/>
      </c>
      <c r="W4780">
        <f>'02_Модель'!W38</f>
        <v/>
      </c>
      <c r="X4780">
        <f>'02_Модель'!X38</f>
        <v/>
      </c>
      <c r="Y4780">
        <f>'02_Модель'!Y38</f>
        <v/>
      </c>
      <c r="Z4780">
        <f>'02_Модель'!Z38</f>
        <v/>
      </c>
      <c r="AA4780">
        <f>'02_Модель'!AA38</f>
        <v/>
      </c>
      <c r="AB4780">
        <f>'02_Модель'!AB38</f>
        <v/>
      </c>
      <c r="AC4780">
        <f>'02_Модель'!AC38</f>
        <v/>
      </c>
      <c r="AD4780">
        <f>'02_Модель'!AD38</f>
        <v/>
      </c>
      <c r="AE4780">
        <f>'02_Модель'!AE38</f>
        <v/>
      </c>
      <c r="AF4780">
        <f>'02_Модель'!AF38</f>
        <v/>
      </c>
      <c r="AG4780">
        <f>'02_Модель'!AG38</f>
        <v/>
      </c>
      <c r="AH4780">
        <f>'02_Модель'!AH38</f>
        <v/>
      </c>
      <c r="AI4780">
        <f>'02_Модель'!AI38</f>
        <v/>
      </c>
      <c r="AJ4780">
        <f>'02_Модель'!AJ38</f>
        <v/>
      </c>
      <c r="AK4780">
        <f>'02_Модель'!AK38</f>
        <v/>
      </c>
      <c r="AL4780">
        <f>'02_Модель'!AL38</f>
        <v/>
      </c>
      <c r="AM4780">
        <f>'02_Модель'!AM38</f>
        <v/>
      </c>
      <c r="AN4780">
        <f>'02_Модель'!AN38</f>
        <v/>
      </c>
      <c r="AO4780">
        <f>'02_Модель'!AO38</f>
        <v/>
      </c>
      <c r="AP4780">
        <f>'02_Модель'!AP38</f>
        <v/>
      </c>
      <c r="AQ4780">
        <f>'02_Модель'!AQ38</f>
        <v/>
      </c>
      <c r="AR4780">
        <f>'02_Модель'!AR38</f>
        <v/>
      </c>
      <c r="AS4780">
        <f>'02_Модель'!AS38</f>
        <v/>
      </c>
      <c r="AT4780">
        <f>'02_Модель'!AT38</f>
        <v/>
      </c>
      <c r="AU4780">
        <f>'02_Модель'!AU38</f>
        <v/>
      </c>
      <c r="AV4780">
        <f>'02_Модель'!AV38</f>
        <v/>
      </c>
      <c r="AW4780">
        <f>'02_Модель'!AW38</f>
        <v/>
      </c>
      <c r="AX4780">
        <f>'02_Модель'!AX38</f>
        <v/>
      </c>
      <c r="AY4780">
        <f>'02_Модель'!AY38</f>
        <v/>
      </c>
      <c r="AZ4780">
        <f>'02_Модель'!AZ38</f>
        <v/>
      </c>
      <c r="BA4780">
        <f>'02_Модель'!BA38</f>
        <v/>
      </c>
      <c r="BB4780">
        <f>'02_Модель'!BB38</f>
        <v/>
      </c>
      <c r="BC4780">
        <f>'02_Модель'!BC38</f>
        <v/>
      </c>
      <c r="BD4780">
        <f>'02_Модель'!BD38</f>
        <v/>
      </c>
      <c r="BE4780">
        <f>'02_Модель'!BE38</f>
        <v/>
      </c>
      <c r="BF4780">
        <f>'02_Модель'!BF38</f>
        <v/>
      </c>
      <c r="BG4780">
        <f>'02_Модель'!BG38</f>
        <v/>
      </c>
      <c r="BH4780">
        <f>'02_Модель'!BH38</f>
        <v/>
      </c>
      <c r="BI4780">
        <f>'02_Модель'!BI38</f>
        <v/>
      </c>
    </row>
    <row r="4781">
      <c r="B4781">
        <f>'02_Модель'!B39</f>
        <v/>
      </c>
      <c r="C4781">
        <f>'02_Модель'!C39</f>
        <v/>
      </c>
      <c r="D4781">
        <f>'02_Модель'!D39</f>
        <v/>
      </c>
      <c r="E4781">
        <f>'02_Модель'!E39</f>
        <v/>
      </c>
      <c r="F4781">
        <f>'02_Модель'!F39</f>
        <v/>
      </c>
      <c r="G4781">
        <f>'02_Модель'!G39</f>
        <v/>
      </c>
      <c r="H4781">
        <f>'02_Модель'!H39</f>
        <v/>
      </c>
      <c r="I4781">
        <f>'02_Модель'!I39</f>
        <v/>
      </c>
      <c r="J4781">
        <f>'02_Модель'!J39</f>
        <v/>
      </c>
      <c r="K4781">
        <f>'02_Модель'!K39</f>
        <v/>
      </c>
      <c r="L4781">
        <f>'02_Модель'!L39</f>
        <v/>
      </c>
      <c r="M4781">
        <f>'02_Модель'!M39</f>
        <v/>
      </c>
      <c r="N4781">
        <f>'02_Модель'!N39</f>
        <v/>
      </c>
      <c r="O4781">
        <f>'02_Модель'!O39</f>
        <v/>
      </c>
      <c r="P4781">
        <f>'02_Модель'!P39</f>
        <v/>
      </c>
      <c r="Q4781">
        <f>'02_Модель'!Q39</f>
        <v/>
      </c>
      <c r="R4781">
        <f>'02_Модель'!R39</f>
        <v/>
      </c>
      <c r="S4781">
        <f>'02_Модель'!S39</f>
        <v/>
      </c>
      <c r="T4781">
        <f>'02_Модель'!T39</f>
        <v/>
      </c>
      <c r="U4781">
        <f>'02_Модель'!U39</f>
        <v/>
      </c>
      <c r="V4781">
        <f>'02_Модель'!V39</f>
        <v/>
      </c>
      <c r="W4781">
        <f>'02_Модель'!W39</f>
        <v/>
      </c>
      <c r="X4781">
        <f>'02_Модель'!X39</f>
        <v/>
      </c>
      <c r="Y4781">
        <f>'02_Модель'!Y39</f>
        <v/>
      </c>
      <c r="Z4781">
        <f>'02_Модель'!Z39</f>
        <v/>
      </c>
      <c r="AA4781">
        <f>'02_Модель'!AA39</f>
        <v/>
      </c>
      <c r="AB4781">
        <f>'02_Модель'!AB39</f>
        <v/>
      </c>
      <c r="AC4781">
        <f>'02_Модель'!AC39</f>
        <v/>
      </c>
      <c r="AD4781">
        <f>'02_Модель'!AD39</f>
        <v/>
      </c>
      <c r="AE4781">
        <f>'02_Модель'!AE39</f>
        <v/>
      </c>
      <c r="AF4781">
        <f>'02_Модель'!AF39</f>
        <v/>
      </c>
      <c r="AG4781">
        <f>'02_Модель'!AG39</f>
        <v/>
      </c>
      <c r="AH4781">
        <f>'02_Модель'!AH39</f>
        <v/>
      </c>
      <c r="AI4781">
        <f>'02_Модель'!AI39</f>
        <v/>
      </c>
      <c r="AJ4781">
        <f>'02_Модель'!AJ39</f>
        <v/>
      </c>
      <c r="AK4781">
        <f>'02_Модель'!AK39</f>
        <v/>
      </c>
      <c r="AL4781">
        <f>'02_Модель'!AL39</f>
        <v/>
      </c>
      <c r="AM4781">
        <f>'02_Модель'!AM39</f>
        <v/>
      </c>
      <c r="AN4781">
        <f>'02_Модель'!AN39</f>
        <v/>
      </c>
      <c r="AO4781">
        <f>'02_Модель'!AO39</f>
        <v/>
      </c>
      <c r="AP4781">
        <f>'02_Модель'!AP39</f>
        <v/>
      </c>
      <c r="AQ4781">
        <f>'02_Модель'!AQ39</f>
        <v/>
      </c>
      <c r="AR4781">
        <f>'02_Модель'!AR39</f>
        <v/>
      </c>
      <c r="AS4781">
        <f>'02_Модель'!AS39</f>
        <v/>
      </c>
      <c r="AT4781">
        <f>'02_Модель'!AT39</f>
        <v/>
      </c>
      <c r="AU4781">
        <f>'02_Модель'!AU39</f>
        <v/>
      </c>
      <c r="AV4781">
        <f>'02_Модель'!AV39</f>
        <v/>
      </c>
      <c r="AW4781">
        <f>'02_Модель'!AW39</f>
        <v/>
      </c>
      <c r="AX4781">
        <f>'02_Модель'!AX39</f>
        <v/>
      </c>
      <c r="AY4781">
        <f>'02_Модель'!AY39</f>
        <v/>
      </c>
      <c r="AZ4781">
        <f>'02_Модель'!AZ39</f>
        <v/>
      </c>
      <c r="BA4781">
        <f>'02_Модель'!BA39</f>
        <v/>
      </c>
      <c r="BB4781">
        <f>'02_Модель'!BB39</f>
        <v/>
      </c>
      <c r="BC4781">
        <f>'02_Модель'!BC39</f>
        <v/>
      </c>
      <c r="BD4781">
        <f>'02_Модель'!BD39</f>
        <v/>
      </c>
      <c r="BE4781">
        <f>'02_Модель'!BE39</f>
        <v/>
      </c>
      <c r="BF4781">
        <f>'02_Модель'!BF39</f>
        <v/>
      </c>
      <c r="BG4781">
        <f>'02_Модель'!BG39</f>
        <v/>
      </c>
      <c r="BH4781">
        <f>'02_Модель'!BH39</f>
        <v/>
      </c>
      <c r="BI4781">
        <f>'02_Модель'!BI39</f>
        <v/>
      </c>
    </row>
    <row r="4782">
      <c r="B4782">
        <f>'02_Модель'!B40</f>
        <v/>
      </c>
      <c r="C4782">
        <f>'02_Модель'!C40</f>
        <v/>
      </c>
      <c r="D4782">
        <f>'02_Модель'!D40</f>
        <v/>
      </c>
      <c r="E4782">
        <f>'02_Модель'!E40</f>
        <v/>
      </c>
      <c r="F4782">
        <f>'02_Модель'!F40</f>
        <v/>
      </c>
      <c r="G4782">
        <f>'02_Модель'!G40</f>
        <v/>
      </c>
      <c r="H4782">
        <f>'02_Модель'!H40</f>
        <v/>
      </c>
      <c r="I4782">
        <f>'02_Модель'!I40</f>
        <v/>
      </c>
      <c r="J4782">
        <f>'02_Модель'!J40</f>
        <v/>
      </c>
      <c r="K4782">
        <f>'02_Модель'!K40</f>
        <v/>
      </c>
      <c r="L4782">
        <f>'02_Модель'!L40</f>
        <v/>
      </c>
      <c r="M4782">
        <f>'02_Модель'!M40</f>
        <v/>
      </c>
      <c r="N4782">
        <f>'02_Модель'!N40</f>
        <v/>
      </c>
      <c r="O4782">
        <f>'02_Модель'!O40</f>
        <v/>
      </c>
      <c r="P4782">
        <f>'02_Модель'!P40</f>
        <v/>
      </c>
      <c r="Q4782">
        <f>'02_Модель'!Q40</f>
        <v/>
      </c>
      <c r="R4782">
        <f>'02_Модель'!R40</f>
        <v/>
      </c>
      <c r="S4782">
        <f>'02_Модель'!S40</f>
        <v/>
      </c>
      <c r="T4782">
        <f>'02_Модель'!T40</f>
        <v/>
      </c>
      <c r="U4782">
        <f>'02_Модель'!U40</f>
        <v/>
      </c>
      <c r="V4782">
        <f>'02_Модель'!V40</f>
        <v/>
      </c>
      <c r="W4782">
        <f>'02_Модель'!W40</f>
        <v/>
      </c>
      <c r="X4782">
        <f>'02_Модель'!X40</f>
        <v/>
      </c>
      <c r="Y4782">
        <f>'02_Модель'!Y40</f>
        <v/>
      </c>
      <c r="Z4782">
        <f>'02_Модель'!Z40</f>
        <v/>
      </c>
      <c r="AA4782">
        <f>'02_Модель'!AA40</f>
        <v/>
      </c>
      <c r="AB4782">
        <f>'02_Модель'!AB40</f>
        <v/>
      </c>
      <c r="AC4782">
        <f>'02_Модель'!AC40</f>
        <v/>
      </c>
      <c r="AD4782">
        <f>'02_Модель'!AD40</f>
        <v/>
      </c>
      <c r="AE4782">
        <f>'02_Модель'!AE40</f>
        <v/>
      </c>
      <c r="AF4782">
        <f>'02_Модель'!AF40</f>
        <v/>
      </c>
      <c r="AG4782">
        <f>'02_Модель'!AG40</f>
        <v/>
      </c>
      <c r="AH4782">
        <f>'02_Модель'!AH40</f>
        <v/>
      </c>
      <c r="AI4782">
        <f>'02_Модель'!AI40</f>
        <v/>
      </c>
      <c r="AJ4782">
        <f>'02_Модель'!AJ40</f>
        <v/>
      </c>
      <c r="AK4782">
        <f>'02_Модель'!AK40</f>
        <v/>
      </c>
      <c r="AL4782">
        <f>'02_Модель'!AL40</f>
        <v/>
      </c>
      <c r="AM4782">
        <f>'02_Модель'!AM40</f>
        <v/>
      </c>
      <c r="AN4782">
        <f>'02_Модель'!AN40</f>
        <v/>
      </c>
      <c r="AO4782">
        <f>'02_Модель'!AO40</f>
        <v/>
      </c>
      <c r="AP4782">
        <f>'02_Модель'!AP40</f>
        <v/>
      </c>
      <c r="AQ4782">
        <f>'02_Модель'!AQ40</f>
        <v/>
      </c>
      <c r="AR4782">
        <f>'02_Модель'!AR40</f>
        <v/>
      </c>
      <c r="AS4782">
        <f>'02_Модель'!AS40</f>
        <v/>
      </c>
      <c r="AT4782">
        <f>'02_Модель'!AT40</f>
        <v/>
      </c>
      <c r="AU4782">
        <f>'02_Модель'!AU40</f>
        <v/>
      </c>
      <c r="AV4782">
        <f>'02_Модель'!AV40</f>
        <v/>
      </c>
      <c r="AW4782">
        <f>'02_Модель'!AW40</f>
        <v/>
      </c>
      <c r="AX4782">
        <f>'02_Модель'!AX40</f>
        <v/>
      </c>
      <c r="AY4782">
        <f>'02_Модель'!AY40</f>
        <v/>
      </c>
      <c r="AZ4782">
        <f>'02_Модель'!AZ40</f>
        <v/>
      </c>
      <c r="BA4782">
        <f>'02_Модель'!BA40</f>
        <v/>
      </c>
      <c r="BB4782">
        <f>'02_Модель'!BB40</f>
        <v/>
      </c>
      <c r="BC4782">
        <f>'02_Модель'!BC40</f>
        <v/>
      </c>
      <c r="BD4782">
        <f>'02_Модель'!BD40</f>
        <v/>
      </c>
      <c r="BE4782">
        <f>'02_Модель'!BE40</f>
        <v/>
      </c>
      <c r="BF4782">
        <f>'02_Модель'!BF40</f>
        <v/>
      </c>
      <c r="BG4782">
        <f>'02_Модель'!BG40</f>
        <v/>
      </c>
      <c r="BH4782">
        <f>'02_Модель'!BH40</f>
        <v/>
      </c>
      <c r="BI4782">
        <f>'02_Модель'!BI40</f>
        <v/>
      </c>
    </row>
    <row r="4783">
      <c r="B4783">
        <f>'02_Модель'!B41</f>
        <v/>
      </c>
      <c r="C4783">
        <f>'02_Модель'!C41</f>
        <v/>
      </c>
      <c r="D4783">
        <f>'02_Модель'!D41</f>
        <v/>
      </c>
      <c r="E4783">
        <f>'02_Модель'!E41</f>
        <v/>
      </c>
      <c r="F4783">
        <f>'02_Модель'!F41</f>
        <v/>
      </c>
      <c r="G4783">
        <f>'02_Модель'!G41</f>
        <v/>
      </c>
      <c r="H4783">
        <f>'02_Модель'!H41</f>
        <v/>
      </c>
      <c r="I4783">
        <f>'02_Модель'!I41</f>
        <v/>
      </c>
      <c r="J4783">
        <f>'02_Модель'!J41</f>
        <v/>
      </c>
      <c r="K4783">
        <f>'02_Модель'!K41</f>
        <v/>
      </c>
      <c r="L4783">
        <f>'02_Модель'!L41</f>
        <v/>
      </c>
      <c r="M4783">
        <f>'02_Модель'!M41</f>
        <v/>
      </c>
      <c r="N4783">
        <f>'02_Модель'!N41</f>
        <v/>
      </c>
      <c r="O4783">
        <f>'02_Модель'!O41</f>
        <v/>
      </c>
      <c r="P4783">
        <f>'02_Модель'!P41</f>
        <v/>
      </c>
      <c r="Q4783">
        <f>'02_Модель'!Q41</f>
        <v/>
      </c>
      <c r="R4783">
        <f>'02_Модель'!R41</f>
        <v/>
      </c>
      <c r="S4783">
        <f>'02_Модель'!S41</f>
        <v/>
      </c>
      <c r="T4783">
        <f>'02_Модель'!T41</f>
        <v/>
      </c>
      <c r="U4783">
        <f>'02_Модель'!U41</f>
        <v/>
      </c>
      <c r="V4783">
        <f>'02_Модель'!V41</f>
        <v/>
      </c>
      <c r="W4783">
        <f>'02_Модель'!W41</f>
        <v/>
      </c>
      <c r="X4783">
        <f>'02_Модель'!X41</f>
        <v/>
      </c>
      <c r="Y4783">
        <f>'02_Модель'!Y41</f>
        <v/>
      </c>
      <c r="Z4783">
        <f>'02_Модель'!Z41</f>
        <v/>
      </c>
      <c r="AA4783">
        <f>'02_Модель'!AA41</f>
        <v/>
      </c>
      <c r="AB4783">
        <f>'02_Модель'!AB41</f>
        <v/>
      </c>
      <c r="AC4783">
        <f>'02_Модель'!AC41</f>
        <v/>
      </c>
      <c r="AD4783">
        <f>'02_Модель'!AD41</f>
        <v/>
      </c>
      <c r="AE4783">
        <f>'02_Модель'!AE41</f>
        <v/>
      </c>
      <c r="AF4783">
        <f>'02_Модель'!AF41</f>
        <v/>
      </c>
      <c r="AG4783">
        <f>'02_Модель'!AG41</f>
        <v/>
      </c>
      <c r="AH4783">
        <f>'02_Модель'!AH41</f>
        <v/>
      </c>
      <c r="AI4783">
        <f>'02_Модель'!AI41</f>
        <v/>
      </c>
      <c r="AJ4783">
        <f>'02_Модель'!AJ41</f>
        <v/>
      </c>
      <c r="AK4783">
        <f>'02_Модель'!AK41</f>
        <v/>
      </c>
      <c r="AL4783">
        <f>'02_Модель'!AL41</f>
        <v/>
      </c>
      <c r="AM4783">
        <f>'02_Модель'!AM41</f>
        <v/>
      </c>
      <c r="AN4783">
        <f>'02_Модель'!AN41</f>
        <v/>
      </c>
      <c r="AO4783">
        <f>'02_Модель'!AO41</f>
        <v/>
      </c>
      <c r="AP4783">
        <f>'02_Модель'!AP41</f>
        <v/>
      </c>
      <c r="AQ4783">
        <f>'02_Модель'!AQ41</f>
        <v/>
      </c>
      <c r="AR4783">
        <f>'02_Модель'!AR41</f>
        <v/>
      </c>
      <c r="AS4783">
        <f>'02_Модель'!AS41</f>
        <v/>
      </c>
      <c r="AT4783">
        <f>'02_Модель'!AT41</f>
        <v/>
      </c>
      <c r="AU4783">
        <f>'02_Модель'!AU41</f>
        <v/>
      </c>
      <c r="AV4783">
        <f>'02_Модель'!AV41</f>
        <v/>
      </c>
      <c r="AW4783">
        <f>'02_Модель'!AW41</f>
        <v/>
      </c>
      <c r="AX4783">
        <f>'02_Модель'!AX41</f>
        <v/>
      </c>
      <c r="AY4783">
        <f>'02_Модель'!AY41</f>
        <v/>
      </c>
      <c r="AZ4783">
        <f>'02_Модель'!AZ41</f>
        <v/>
      </c>
      <c r="BA4783">
        <f>'02_Модель'!BA41</f>
        <v/>
      </c>
      <c r="BB4783">
        <f>'02_Модель'!BB41</f>
        <v/>
      </c>
      <c r="BC4783">
        <f>'02_Модель'!BC41</f>
        <v/>
      </c>
      <c r="BD4783">
        <f>'02_Модель'!BD41</f>
        <v/>
      </c>
      <c r="BE4783">
        <f>'02_Модель'!BE41</f>
        <v/>
      </c>
      <c r="BF4783">
        <f>'02_Модель'!BF41</f>
        <v/>
      </c>
      <c r="BG4783">
        <f>'02_Модель'!BG41</f>
        <v/>
      </c>
      <c r="BH4783">
        <f>'02_Модель'!BH41</f>
        <v/>
      </c>
      <c r="BI4783">
        <f>'02_Модель'!BI41</f>
        <v/>
      </c>
    </row>
    <row r="4784">
      <c r="B4784">
        <f>IF('01_Вводные'!$B$234="Да",'19_Расчет_аналитики'!B4394,0)</f>
        <v/>
      </c>
      <c r="C4784">
        <f>IF('01_Вводные'!$B$234="Да",'19_Расчет_аналитики'!C4394,0)</f>
        <v/>
      </c>
      <c r="D4784">
        <f>IF('01_Вводные'!$B$234="Да",'19_Расчет_аналитики'!D4394,0)</f>
        <v/>
      </c>
      <c r="E4784">
        <f>IF('01_Вводные'!$B$234="Да",'19_Расчет_аналитики'!E4394,0)</f>
        <v/>
      </c>
      <c r="F4784">
        <f>IF('01_Вводные'!$B$234="Да",'19_Расчет_аналитики'!F4394,0)</f>
        <v/>
      </c>
      <c r="G4784">
        <f>IF('01_Вводные'!$B$234="Да",'19_Расчет_аналитики'!G4394,0)</f>
        <v/>
      </c>
      <c r="H4784">
        <f>IF('01_Вводные'!$B$234="Да",'19_Расчет_аналитики'!H4394,0)</f>
        <v/>
      </c>
      <c r="I4784">
        <f>IF('01_Вводные'!$B$234="Да",'19_Расчет_аналитики'!I4394,0)</f>
        <v/>
      </c>
      <c r="J4784">
        <f>IF('01_Вводные'!$B$234="Да",'19_Расчет_аналитики'!J4394,0)</f>
        <v/>
      </c>
      <c r="K4784">
        <f>IF('01_Вводные'!$B$234="Да",'19_Расчет_аналитики'!K4394,0)</f>
        <v/>
      </c>
      <c r="L4784">
        <f>IF('01_Вводные'!$B$234="Да",'19_Расчет_аналитики'!L4394,0)</f>
        <v/>
      </c>
      <c r="M4784">
        <f>IF('01_Вводные'!$B$234="Да",'19_Расчет_аналитики'!M4394,0)</f>
        <v/>
      </c>
      <c r="N4784">
        <f>IF('01_Вводные'!$B$234="Да",'19_Расчет_аналитики'!N4394,0)</f>
        <v/>
      </c>
      <c r="O4784">
        <f>IF('01_Вводные'!$B$234="Да",'19_Расчет_аналитики'!O4394,0)</f>
        <v/>
      </c>
      <c r="P4784">
        <f>IF('01_Вводные'!$B$234="Да",'19_Расчет_аналитики'!P4394,0)</f>
        <v/>
      </c>
      <c r="Q4784">
        <f>IF('01_Вводные'!$B$234="Да",'19_Расчет_аналитики'!Q4394,0)</f>
        <v/>
      </c>
      <c r="R4784">
        <f>IF('01_Вводные'!$B$234="Да",'19_Расчет_аналитики'!R4394,0)</f>
        <v/>
      </c>
      <c r="S4784">
        <f>IF('01_Вводные'!$B$234="Да",'19_Расчет_аналитики'!S4394,0)</f>
        <v/>
      </c>
      <c r="T4784">
        <f>IF('01_Вводные'!$B$234="Да",'19_Расчет_аналитики'!T4394,0)</f>
        <v/>
      </c>
      <c r="U4784">
        <f>IF('01_Вводные'!$B$234="Да",'19_Расчет_аналитики'!U4394,0)</f>
        <v/>
      </c>
      <c r="V4784">
        <f>IF('01_Вводные'!$B$234="Да",'19_Расчет_аналитики'!V4394,0)</f>
        <v/>
      </c>
      <c r="W4784">
        <f>IF('01_Вводные'!$B$234="Да",'19_Расчет_аналитики'!W4394,0)</f>
        <v/>
      </c>
      <c r="X4784">
        <f>IF('01_Вводные'!$B$234="Да",'19_Расчет_аналитики'!X4394,0)</f>
        <v/>
      </c>
      <c r="Y4784">
        <f>IF('01_Вводные'!$B$234="Да",'19_Расчет_аналитики'!Y4394,0)</f>
        <v/>
      </c>
      <c r="Z4784">
        <f>IF('01_Вводные'!$B$234="Да",'19_Расчет_аналитики'!Z4394,0)</f>
        <v/>
      </c>
      <c r="AA4784">
        <f>IF('01_Вводные'!$B$234="Да",'19_Расчет_аналитики'!AA4394,0)</f>
        <v/>
      </c>
      <c r="AB4784">
        <f>IF('01_Вводные'!$B$234="Да",'19_Расчет_аналитики'!AB4394,0)</f>
        <v/>
      </c>
      <c r="AC4784">
        <f>IF('01_Вводные'!$B$234="Да",'19_Расчет_аналитики'!AC4394,0)</f>
        <v/>
      </c>
      <c r="AD4784">
        <f>IF('01_Вводные'!$B$234="Да",'19_Расчет_аналитики'!AD4394,0)</f>
        <v/>
      </c>
      <c r="AE4784">
        <f>IF('01_Вводные'!$B$234="Да",'19_Расчет_аналитики'!AE4394,0)</f>
        <v/>
      </c>
      <c r="AF4784">
        <f>IF('01_Вводные'!$B$234="Да",'19_Расчет_аналитики'!AF4394,0)</f>
        <v/>
      </c>
      <c r="AG4784">
        <f>IF('01_Вводные'!$B$234="Да",'19_Расчет_аналитики'!AG4394,0)</f>
        <v/>
      </c>
      <c r="AH4784">
        <f>IF('01_Вводные'!$B$234="Да",'19_Расчет_аналитики'!AH4394,0)</f>
        <v/>
      </c>
      <c r="AI4784">
        <f>IF('01_Вводные'!$B$234="Да",'19_Расчет_аналитики'!AI4394,0)</f>
        <v/>
      </c>
      <c r="AJ4784">
        <f>IF('01_Вводные'!$B$234="Да",'19_Расчет_аналитики'!AJ4394,0)</f>
        <v/>
      </c>
      <c r="AK4784">
        <f>IF('01_Вводные'!$B$234="Да",'19_Расчет_аналитики'!AK4394,0)</f>
        <v/>
      </c>
      <c r="AL4784">
        <f>IF('01_Вводные'!$B$234="Да",'19_Расчет_аналитики'!AL4394,0)</f>
        <v/>
      </c>
      <c r="AM4784">
        <f>IF('01_Вводные'!$B$234="Да",'19_Расчет_аналитики'!AM4394,0)</f>
        <v/>
      </c>
      <c r="AN4784">
        <f>IF('01_Вводные'!$B$234="Да",'19_Расчет_аналитики'!AN4394,0)</f>
        <v/>
      </c>
      <c r="AO4784">
        <f>IF('01_Вводные'!$B$234="Да",'19_Расчет_аналитики'!AO4394,0)</f>
        <v/>
      </c>
      <c r="AP4784">
        <f>IF('01_Вводные'!$B$234="Да",'19_Расчет_аналитики'!AP4394,0)</f>
        <v/>
      </c>
      <c r="AQ4784">
        <f>IF('01_Вводные'!$B$234="Да",'19_Расчет_аналитики'!AQ4394,0)</f>
        <v/>
      </c>
      <c r="AR4784">
        <f>IF('01_Вводные'!$B$234="Да",'19_Расчет_аналитики'!AR4394,0)</f>
        <v/>
      </c>
      <c r="AS4784">
        <f>IF('01_Вводные'!$B$234="Да",'19_Расчет_аналитики'!AS4394,0)</f>
        <v/>
      </c>
      <c r="AT4784">
        <f>IF('01_Вводные'!$B$234="Да",'19_Расчет_аналитики'!AT4394,0)</f>
        <v/>
      </c>
      <c r="AU4784">
        <f>IF('01_Вводные'!$B$234="Да",'19_Расчет_аналитики'!AU4394,0)</f>
        <v/>
      </c>
      <c r="AV4784">
        <f>IF('01_Вводные'!$B$234="Да",'19_Расчет_аналитики'!AV4394,0)</f>
        <v/>
      </c>
      <c r="AW4784">
        <f>IF('01_Вводные'!$B$234="Да",'19_Расчет_аналитики'!AW4394,0)</f>
        <v/>
      </c>
      <c r="AX4784">
        <f>IF('01_Вводные'!$B$234="Да",'19_Расчет_аналитики'!AX4394,0)</f>
        <v/>
      </c>
      <c r="AY4784">
        <f>IF('01_Вводные'!$B$234="Да",'19_Расчет_аналитики'!AY4394,0)</f>
        <v/>
      </c>
      <c r="AZ4784">
        <f>IF('01_Вводные'!$B$234="Да",'19_Расчет_аналитики'!AZ4394,0)</f>
        <v/>
      </c>
      <c r="BA4784">
        <f>IF('01_Вводные'!$B$234="Да",'19_Расчет_аналитики'!BA4394,0)</f>
        <v/>
      </c>
      <c r="BB4784">
        <f>IF('01_Вводные'!$B$234="Да",'19_Расчет_аналитики'!BB4394,0)</f>
        <v/>
      </c>
      <c r="BC4784">
        <f>IF('01_Вводные'!$B$234="Да",'19_Расчет_аналитики'!BC4394,0)</f>
        <v/>
      </c>
      <c r="BD4784">
        <f>IF('01_Вводные'!$B$234="Да",'19_Расчет_аналитики'!BD4394,0)</f>
        <v/>
      </c>
      <c r="BE4784">
        <f>IF('01_Вводные'!$B$234="Да",'19_Расчет_аналитики'!BE4394,0)</f>
        <v/>
      </c>
      <c r="BF4784">
        <f>IF('01_Вводные'!$B$234="Да",'19_Расчет_аналитики'!BF4394,0)</f>
        <v/>
      </c>
      <c r="BG4784">
        <f>IF('01_Вводные'!$B$234="Да",'19_Расчет_аналитики'!BG4394,0)</f>
        <v/>
      </c>
      <c r="BH4784">
        <f>IF('01_Вводные'!$B$234="Да",'19_Расчет_аналитики'!BH4394,0)</f>
        <v/>
      </c>
      <c r="BI4784">
        <f>IF('01_Вводные'!$B$234="Да",'19_Расчет_аналитики'!BI4394,0)</f>
        <v/>
      </c>
    </row>
    <row r="4785">
      <c r="B4785">
        <f>IF('01_Вводные'!$B$234="Да",SUM('19_Расчет_аналитики'!B4778:B4784),0)</f>
        <v/>
      </c>
      <c r="C4785">
        <f>IF('01_Вводные'!$B$234="Да",SUM('19_Расчет_аналитики'!C4778:C4784),0)</f>
        <v/>
      </c>
      <c r="D4785">
        <f>IF('01_Вводные'!$B$234="Да",SUM('19_Расчет_аналитики'!D4778:D4784),0)</f>
        <v/>
      </c>
      <c r="E4785">
        <f>IF('01_Вводные'!$B$234="Да",SUM('19_Расчет_аналитики'!E4778:E4784),0)</f>
        <v/>
      </c>
      <c r="F4785">
        <f>IF('01_Вводные'!$B$234="Да",SUM('19_Расчет_аналитики'!F4778:F4784),0)</f>
        <v/>
      </c>
      <c r="G4785">
        <f>IF('01_Вводные'!$B$234="Да",SUM('19_Расчет_аналитики'!G4778:G4784),0)</f>
        <v/>
      </c>
      <c r="H4785">
        <f>IF('01_Вводные'!$B$234="Да",SUM('19_Расчет_аналитики'!H4778:H4784),0)</f>
        <v/>
      </c>
      <c r="I4785">
        <f>IF('01_Вводные'!$B$234="Да",SUM('19_Расчет_аналитики'!I4778:I4784),0)</f>
        <v/>
      </c>
      <c r="J4785">
        <f>IF('01_Вводные'!$B$234="Да",SUM('19_Расчет_аналитики'!J4778:J4784),0)</f>
        <v/>
      </c>
      <c r="K4785">
        <f>IF('01_Вводные'!$B$234="Да",SUM('19_Расчет_аналитики'!K4778:K4784),0)</f>
        <v/>
      </c>
      <c r="L4785">
        <f>IF('01_Вводные'!$B$234="Да",SUM('19_Расчет_аналитики'!L4778:L4784),0)</f>
        <v/>
      </c>
      <c r="M4785">
        <f>IF('01_Вводные'!$B$234="Да",SUM('19_Расчет_аналитики'!M4778:M4784),0)</f>
        <v/>
      </c>
      <c r="N4785">
        <f>IF('01_Вводные'!$B$234="Да",SUM('19_Расчет_аналитики'!N4778:N4784),0)</f>
        <v/>
      </c>
      <c r="O4785">
        <f>IF('01_Вводные'!$B$234="Да",SUM('19_Расчет_аналитики'!O4778:O4784),0)</f>
        <v/>
      </c>
      <c r="P4785">
        <f>IF('01_Вводные'!$B$234="Да",SUM('19_Расчет_аналитики'!P4778:P4784),0)</f>
        <v/>
      </c>
      <c r="Q4785">
        <f>IF('01_Вводные'!$B$234="Да",SUM('19_Расчет_аналитики'!Q4778:Q4784),0)</f>
        <v/>
      </c>
      <c r="R4785">
        <f>IF('01_Вводные'!$B$234="Да",SUM('19_Расчет_аналитики'!R4778:R4784),0)</f>
        <v/>
      </c>
      <c r="S4785">
        <f>IF('01_Вводные'!$B$234="Да",SUM('19_Расчет_аналитики'!S4778:S4784),0)</f>
        <v/>
      </c>
      <c r="T4785">
        <f>IF('01_Вводные'!$B$234="Да",SUM('19_Расчет_аналитики'!T4778:T4784),0)</f>
        <v/>
      </c>
      <c r="U4785">
        <f>IF('01_Вводные'!$B$234="Да",SUM('19_Расчет_аналитики'!U4778:U4784),0)</f>
        <v/>
      </c>
      <c r="V4785">
        <f>IF('01_Вводные'!$B$234="Да",SUM('19_Расчет_аналитики'!V4778:V4784),0)</f>
        <v/>
      </c>
      <c r="W4785">
        <f>IF('01_Вводные'!$B$234="Да",SUM('19_Расчет_аналитики'!W4778:W4784),0)</f>
        <v/>
      </c>
      <c r="X4785">
        <f>IF('01_Вводные'!$B$234="Да",SUM('19_Расчет_аналитики'!X4778:X4784),0)</f>
        <v/>
      </c>
      <c r="Y4785">
        <f>IF('01_Вводные'!$B$234="Да",SUM('19_Расчет_аналитики'!Y4778:Y4784),0)</f>
        <v/>
      </c>
      <c r="Z4785">
        <f>IF('01_Вводные'!$B$234="Да",SUM('19_Расчет_аналитики'!Z4778:Z4784),0)</f>
        <v/>
      </c>
      <c r="AA4785">
        <f>IF('01_Вводные'!$B$234="Да",SUM('19_Расчет_аналитики'!AA4778:AA4784),0)</f>
        <v/>
      </c>
      <c r="AB4785">
        <f>IF('01_Вводные'!$B$234="Да",SUM('19_Расчет_аналитики'!AB4778:AB4784),0)</f>
        <v/>
      </c>
      <c r="AC4785">
        <f>IF('01_Вводные'!$B$234="Да",SUM('19_Расчет_аналитики'!AC4778:AC4784),0)</f>
        <v/>
      </c>
      <c r="AD4785">
        <f>IF('01_Вводные'!$B$234="Да",SUM('19_Расчет_аналитики'!AD4778:AD4784),0)</f>
        <v/>
      </c>
      <c r="AE4785">
        <f>IF('01_Вводные'!$B$234="Да",SUM('19_Расчет_аналитики'!AE4778:AE4784),0)</f>
        <v/>
      </c>
      <c r="AF4785">
        <f>IF('01_Вводные'!$B$234="Да",SUM('19_Расчет_аналитики'!AF4778:AF4784),0)</f>
        <v/>
      </c>
      <c r="AG4785">
        <f>IF('01_Вводные'!$B$234="Да",SUM('19_Расчет_аналитики'!AG4778:AG4784),0)</f>
        <v/>
      </c>
      <c r="AH4785">
        <f>IF('01_Вводные'!$B$234="Да",SUM('19_Расчет_аналитики'!AH4778:AH4784),0)</f>
        <v/>
      </c>
      <c r="AI4785">
        <f>IF('01_Вводные'!$B$234="Да",SUM('19_Расчет_аналитики'!AI4778:AI4784),0)</f>
        <v/>
      </c>
      <c r="AJ4785">
        <f>IF('01_Вводные'!$B$234="Да",SUM('19_Расчет_аналитики'!AJ4778:AJ4784),0)</f>
        <v/>
      </c>
      <c r="AK4785">
        <f>IF('01_Вводные'!$B$234="Да",SUM('19_Расчет_аналитики'!AK4778:AK4784),0)</f>
        <v/>
      </c>
      <c r="AL4785">
        <f>IF('01_Вводные'!$B$234="Да",SUM('19_Расчет_аналитики'!AL4778:AL4784),0)</f>
        <v/>
      </c>
      <c r="AM4785">
        <f>IF('01_Вводные'!$B$234="Да",SUM('19_Расчет_аналитики'!AM4778:AM4784),0)</f>
        <v/>
      </c>
      <c r="AN4785">
        <f>IF('01_Вводные'!$B$234="Да",SUM('19_Расчет_аналитики'!AN4778:AN4784),0)</f>
        <v/>
      </c>
      <c r="AO4785">
        <f>IF('01_Вводные'!$B$234="Да",SUM('19_Расчет_аналитики'!AO4778:AO4784),0)</f>
        <v/>
      </c>
      <c r="AP4785">
        <f>IF('01_Вводные'!$B$234="Да",SUM('19_Расчет_аналитики'!AP4778:AP4784),0)</f>
        <v/>
      </c>
      <c r="AQ4785">
        <f>IF('01_Вводные'!$B$234="Да",SUM('19_Расчет_аналитики'!AQ4778:AQ4784),0)</f>
        <v/>
      </c>
      <c r="AR4785">
        <f>IF('01_Вводные'!$B$234="Да",SUM('19_Расчет_аналитики'!AR4778:AR4784),0)</f>
        <v/>
      </c>
      <c r="AS4785">
        <f>IF('01_Вводные'!$B$234="Да",SUM('19_Расчет_аналитики'!AS4778:AS4784),0)</f>
        <v/>
      </c>
      <c r="AT4785">
        <f>IF('01_Вводные'!$B$234="Да",SUM('19_Расчет_аналитики'!AT4778:AT4784),0)</f>
        <v/>
      </c>
      <c r="AU4785">
        <f>IF('01_Вводные'!$B$234="Да",SUM('19_Расчет_аналитики'!AU4778:AU4784),0)</f>
        <v/>
      </c>
      <c r="AV4785">
        <f>IF('01_Вводные'!$B$234="Да",SUM('19_Расчет_аналитики'!AV4778:AV4784),0)</f>
        <v/>
      </c>
      <c r="AW4785">
        <f>IF('01_Вводные'!$B$234="Да",SUM('19_Расчет_аналитики'!AW4778:AW4784),0)</f>
        <v/>
      </c>
      <c r="AX4785">
        <f>IF('01_Вводные'!$B$234="Да",SUM('19_Расчет_аналитики'!AX4778:AX4784),0)</f>
        <v/>
      </c>
      <c r="AY4785">
        <f>IF('01_Вводные'!$B$234="Да",SUM('19_Расчет_аналитики'!AY4778:AY4784),0)</f>
        <v/>
      </c>
      <c r="AZ4785">
        <f>IF('01_Вводные'!$B$234="Да",SUM('19_Расчет_аналитики'!AZ4778:AZ4784),0)</f>
        <v/>
      </c>
      <c r="BA4785">
        <f>IF('01_Вводные'!$B$234="Да",SUM('19_Расчет_аналитики'!BA4778:BA4784),0)</f>
        <v/>
      </c>
      <c r="BB4785">
        <f>IF('01_Вводные'!$B$234="Да",SUM('19_Расчет_аналитики'!BB4778:BB4784),0)</f>
        <v/>
      </c>
      <c r="BC4785">
        <f>IF('01_Вводные'!$B$234="Да",SUM('19_Расчет_аналитики'!BC4778:BC4784),0)</f>
        <v/>
      </c>
      <c r="BD4785">
        <f>IF('01_Вводные'!$B$234="Да",SUM('19_Расчет_аналитики'!BD4778:BD4784),0)</f>
        <v/>
      </c>
      <c r="BE4785">
        <f>IF('01_Вводные'!$B$234="Да",SUM('19_Расчет_аналитики'!BE4778:BE4784),0)</f>
        <v/>
      </c>
      <c r="BF4785">
        <f>IF('01_Вводные'!$B$234="Да",SUM('19_Расчет_аналитики'!BF4778:BF4784),0)</f>
        <v/>
      </c>
      <c r="BG4785">
        <f>IF('01_Вводные'!$B$234="Да",SUM('19_Расчет_аналитики'!BG4778:BG4784),0)</f>
        <v/>
      </c>
      <c r="BH4785">
        <f>IF('01_Вводные'!$B$234="Да",SUM('19_Расчет_аналитики'!BH4778:BH4784),0)</f>
        <v/>
      </c>
      <c r="BI4785">
        <f>IF('01_Вводные'!$B$234="Да",SUM('19_Расчет_аналитики'!BI4778:BI4784),0)</f>
        <v/>
      </c>
    </row>
    <row r="4786">
      <c r="B4786">
        <f>IF('01_Вводные'!$B$234="Да",'19_Расчет_аналитики'!B4775-'19_Расчет_аналитики'!B4785,0)</f>
        <v/>
      </c>
      <c r="C4786">
        <f>IF('01_Вводные'!$B$234="Да",'19_Расчет_аналитики'!C4775-'19_Расчет_аналитики'!C4785,0)</f>
        <v/>
      </c>
      <c r="D4786">
        <f>IF('01_Вводные'!$B$234="Да",'19_Расчет_аналитики'!D4775-'19_Расчет_аналитики'!D4785,0)</f>
        <v/>
      </c>
      <c r="E4786">
        <f>IF('01_Вводные'!$B$234="Да",'19_Расчет_аналитики'!E4775-'19_Расчет_аналитики'!E4785,0)</f>
        <v/>
      </c>
      <c r="F4786">
        <f>IF('01_Вводные'!$B$234="Да",'19_Расчет_аналитики'!F4775-'19_Расчет_аналитики'!F4785,0)</f>
        <v/>
      </c>
      <c r="G4786">
        <f>IF('01_Вводные'!$B$234="Да",'19_Расчет_аналитики'!G4775-'19_Расчет_аналитики'!G4785,0)</f>
        <v/>
      </c>
      <c r="H4786">
        <f>IF('01_Вводные'!$B$234="Да",'19_Расчет_аналитики'!H4775-'19_Расчет_аналитики'!H4785,0)</f>
        <v/>
      </c>
      <c r="I4786">
        <f>IF('01_Вводные'!$B$234="Да",'19_Расчет_аналитики'!I4775-'19_Расчет_аналитики'!I4785,0)</f>
        <v/>
      </c>
      <c r="J4786">
        <f>IF('01_Вводные'!$B$234="Да",'19_Расчет_аналитики'!J4775-'19_Расчет_аналитики'!J4785,0)</f>
        <v/>
      </c>
      <c r="K4786">
        <f>IF('01_Вводные'!$B$234="Да",'19_Расчет_аналитики'!K4775-'19_Расчет_аналитики'!K4785,0)</f>
        <v/>
      </c>
      <c r="L4786">
        <f>IF('01_Вводные'!$B$234="Да",'19_Расчет_аналитики'!L4775-'19_Расчет_аналитики'!L4785,0)</f>
        <v/>
      </c>
      <c r="M4786">
        <f>IF('01_Вводные'!$B$234="Да",'19_Расчет_аналитики'!M4775-'19_Расчет_аналитики'!M4785,0)</f>
        <v/>
      </c>
      <c r="N4786">
        <f>IF('01_Вводные'!$B$234="Да",'19_Расчет_аналитики'!N4775-'19_Расчет_аналитики'!N4785,0)</f>
        <v/>
      </c>
      <c r="O4786">
        <f>IF('01_Вводные'!$B$234="Да",'19_Расчет_аналитики'!O4775-'19_Расчет_аналитики'!O4785,0)</f>
        <v/>
      </c>
      <c r="P4786">
        <f>IF('01_Вводные'!$B$234="Да",'19_Расчет_аналитики'!P4775-'19_Расчет_аналитики'!P4785,0)</f>
        <v/>
      </c>
      <c r="Q4786">
        <f>IF('01_Вводные'!$B$234="Да",'19_Расчет_аналитики'!Q4775-'19_Расчет_аналитики'!Q4785,0)</f>
        <v/>
      </c>
      <c r="R4786">
        <f>IF('01_Вводные'!$B$234="Да",'19_Расчет_аналитики'!R4775-'19_Расчет_аналитики'!R4785,0)</f>
        <v/>
      </c>
      <c r="S4786">
        <f>IF('01_Вводные'!$B$234="Да",'19_Расчет_аналитики'!S4775-'19_Расчет_аналитики'!S4785,0)</f>
        <v/>
      </c>
      <c r="T4786">
        <f>IF('01_Вводные'!$B$234="Да",'19_Расчет_аналитики'!T4775-'19_Расчет_аналитики'!T4785,0)</f>
        <v/>
      </c>
      <c r="U4786">
        <f>IF('01_Вводные'!$B$234="Да",'19_Расчет_аналитики'!U4775-'19_Расчет_аналитики'!U4785,0)</f>
        <v/>
      </c>
      <c r="V4786">
        <f>IF('01_Вводные'!$B$234="Да",'19_Расчет_аналитики'!V4775-'19_Расчет_аналитики'!V4785,0)</f>
        <v/>
      </c>
      <c r="W4786">
        <f>IF('01_Вводные'!$B$234="Да",'19_Расчет_аналитики'!W4775-'19_Расчет_аналитики'!W4785,0)</f>
        <v/>
      </c>
      <c r="X4786">
        <f>IF('01_Вводные'!$B$234="Да",'19_Расчет_аналитики'!X4775-'19_Расчет_аналитики'!X4785,0)</f>
        <v/>
      </c>
      <c r="Y4786">
        <f>IF('01_Вводные'!$B$234="Да",'19_Расчет_аналитики'!Y4775-'19_Расчет_аналитики'!Y4785,0)</f>
        <v/>
      </c>
      <c r="Z4786">
        <f>IF('01_Вводные'!$B$234="Да",'19_Расчет_аналитики'!Z4775-'19_Расчет_аналитики'!Z4785,0)</f>
        <v/>
      </c>
      <c r="AA4786">
        <f>IF('01_Вводные'!$B$234="Да",'19_Расчет_аналитики'!AA4775-'19_Расчет_аналитики'!AA4785,0)</f>
        <v/>
      </c>
      <c r="AB4786">
        <f>IF('01_Вводные'!$B$234="Да",'19_Расчет_аналитики'!AB4775-'19_Расчет_аналитики'!AB4785,0)</f>
        <v/>
      </c>
      <c r="AC4786">
        <f>IF('01_Вводные'!$B$234="Да",'19_Расчет_аналитики'!AC4775-'19_Расчет_аналитики'!AC4785,0)</f>
        <v/>
      </c>
      <c r="AD4786">
        <f>IF('01_Вводные'!$B$234="Да",'19_Расчет_аналитики'!AD4775-'19_Расчет_аналитики'!AD4785,0)</f>
        <v/>
      </c>
      <c r="AE4786">
        <f>IF('01_Вводные'!$B$234="Да",'19_Расчет_аналитики'!AE4775-'19_Расчет_аналитики'!AE4785,0)</f>
        <v/>
      </c>
      <c r="AF4786">
        <f>IF('01_Вводные'!$B$234="Да",'19_Расчет_аналитики'!AF4775-'19_Расчет_аналитики'!AF4785,0)</f>
        <v/>
      </c>
      <c r="AG4786">
        <f>IF('01_Вводные'!$B$234="Да",'19_Расчет_аналитики'!AG4775-'19_Расчет_аналитики'!AG4785,0)</f>
        <v/>
      </c>
      <c r="AH4786">
        <f>IF('01_Вводные'!$B$234="Да",'19_Расчет_аналитики'!AH4775-'19_Расчет_аналитики'!AH4785,0)</f>
        <v/>
      </c>
      <c r="AI4786">
        <f>IF('01_Вводные'!$B$234="Да",'19_Расчет_аналитики'!AI4775-'19_Расчет_аналитики'!AI4785,0)</f>
        <v/>
      </c>
      <c r="AJ4786">
        <f>IF('01_Вводные'!$B$234="Да",'19_Расчет_аналитики'!AJ4775-'19_Расчет_аналитики'!AJ4785,0)</f>
        <v/>
      </c>
      <c r="AK4786">
        <f>IF('01_Вводные'!$B$234="Да",'19_Расчет_аналитики'!AK4775-'19_Расчет_аналитики'!AK4785,0)</f>
        <v/>
      </c>
      <c r="AL4786">
        <f>IF('01_Вводные'!$B$234="Да",'19_Расчет_аналитики'!AL4775-'19_Расчет_аналитики'!AL4785,0)</f>
        <v/>
      </c>
      <c r="AM4786">
        <f>IF('01_Вводные'!$B$234="Да",'19_Расчет_аналитики'!AM4775-'19_Расчет_аналитики'!AM4785,0)</f>
        <v/>
      </c>
      <c r="AN4786">
        <f>IF('01_Вводные'!$B$234="Да",'19_Расчет_аналитики'!AN4775-'19_Расчет_аналитики'!AN4785,0)</f>
        <v/>
      </c>
      <c r="AO4786">
        <f>IF('01_Вводные'!$B$234="Да",'19_Расчет_аналитики'!AO4775-'19_Расчет_аналитики'!AO4785,0)</f>
        <v/>
      </c>
      <c r="AP4786">
        <f>IF('01_Вводные'!$B$234="Да",'19_Расчет_аналитики'!AP4775-'19_Расчет_аналитики'!AP4785,0)</f>
        <v/>
      </c>
      <c r="AQ4786">
        <f>IF('01_Вводные'!$B$234="Да",'19_Расчет_аналитики'!AQ4775-'19_Расчет_аналитики'!AQ4785,0)</f>
        <v/>
      </c>
      <c r="AR4786">
        <f>IF('01_Вводные'!$B$234="Да",'19_Расчет_аналитики'!AR4775-'19_Расчет_аналитики'!AR4785,0)</f>
        <v/>
      </c>
      <c r="AS4786">
        <f>IF('01_Вводные'!$B$234="Да",'19_Расчет_аналитики'!AS4775-'19_Расчет_аналитики'!AS4785,0)</f>
        <v/>
      </c>
      <c r="AT4786">
        <f>IF('01_Вводные'!$B$234="Да",'19_Расчет_аналитики'!AT4775-'19_Расчет_аналитики'!AT4785,0)</f>
        <v/>
      </c>
      <c r="AU4786">
        <f>IF('01_Вводные'!$B$234="Да",'19_Расчет_аналитики'!AU4775-'19_Расчет_аналитики'!AU4785,0)</f>
        <v/>
      </c>
      <c r="AV4786">
        <f>IF('01_Вводные'!$B$234="Да",'19_Расчет_аналитики'!AV4775-'19_Расчет_аналитики'!AV4785,0)</f>
        <v/>
      </c>
      <c r="AW4786">
        <f>IF('01_Вводные'!$B$234="Да",'19_Расчет_аналитики'!AW4775-'19_Расчет_аналитики'!AW4785,0)</f>
        <v/>
      </c>
      <c r="AX4786">
        <f>IF('01_Вводные'!$B$234="Да",'19_Расчет_аналитики'!AX4775-'19_Расчет_аналитики'!AX4785,0)</f>
        <v/>
      </c>
      <c r="AY4786">
        <f>IF('01_Вводные'!$B$234="Да",'19_Расчет_аналитики'!AY4775-'19_Расчет_аналитики'!AY4785,0)</f>
        <v/>
      </c>
      <c r="AZ4786">
        <f>IF('01_Вводные'!$B$234="Да",'19_Расчет_аналитики'!AZ4775-'19_Расчет_аналитики'!AZ4785,0)</f>
        <v/>
      </c>
      <c r="BA4786">
        <f>IF('01_Вводные'!$B$234="Да",'19_Расчет_аналитики'!BA4775-'19_Расчет_аналитики'!BA4785,0)</f>
        <v/>
      </c>
      <c r="BB4786">
        <f>IF('01_Вводные'!$B$234="Да",'19_Расчет_аналитики'!BB4775-'19_Расчет_аналитики'!BB4785,0)</f>
        <v/>
      </c>
      <c r="BC4786">
        <f>IF('01_Вводные'!$B$234="Да",'19_Расчет_аналитики'!BC4775-'19_Расчет_аналитики'!BC4785,0)</f>
        <v/>
      </c>
      <c r="BD4786">
        <f>IF('01_Вводные'!$B$234="Да",'19_Расчет_аналитики'!BD4775-'19_Расчет_аналитики'!BD4785,0)</f>
        <v/>
      </c>
      <c r="BE4786">
        <f>IF('01_Вводные'!$B$234="Да",'19_Расчет_аналитики'!BE4775-'19_Расчет_аналитики'!BE4785,0)</f>
        <v/>
      </c>
      <c r="BF4786">
        <f>IF('01_Вводные'!$B$234="Да",'19_Расчет_аналитики'!BF4775-'19_Расчет_аналитики'!BF4785,0)</f>
        <v/>
      </c>
      <c r="BG4786">
        <f>IF('01_Вводные'!$B$234="Да",'19_Расчет_аналитики'!BG4775-'19_Расчет_аналитики'!BG4785,0)</f>
        <v/>
      </c>
      <c r="BH4786">
        <f>IF('01_Вводные'!$B$234="Да",'19_Расчет_аналитики'!BH4775-'19_Расчет_аналитики'!BH4785,0)</f>
        <v/>
      </c>
      <c r="BI4786">
        <f>IF('01_Вводные'!$B$234="Да",'19_Расчет_аналитики'!BI4775-'19_Расчет_аналитики'!BI4785,0)</f>
        <v/>
      </c>
    </row>
    <row r="4787">
      <c r="B4787">
        <f>IF('01_Вводные'!$B$234="Да",IF('19_Расчет_аналитики'!B4765=0,0,'19_Расчет_аналитики'!B4786/'19_Расчет_аналитики'!B4765),0)</f>
        <v/>
      </c>
      <c r="C4787">
        <f>IF('01_Вводные'!$B$234="Да",IF('19_Расчет_аналитики'!C4765=0,0,'19_Расчет_аналитики'!C4786/'19_Расчет_аналитики'!C4765),0)</f>
        <v/>
      </c>
      <c r="D4787">
        <f>IF('01_Вводные'!$B$234="Да",IF('19_Расчет_аналитики'!D4765=0,0,'19_Расчет_аналитики'!D4786/'19_Расчет_аналитики'!D4765),0)</f>
        <v/>
      </c>
      <c r="E4787">
        <f>IF('01_Вводные'!$B$234="Да",IF('19_Расчет_аналитики'!E4765=0,0,'19_Расчет_аналитики'!E4786/'19_Расчет_аналитики'!E4765),0)</f>
        <v/>
      </c>
      <c r="F4787">
        <f>IF('01_Вводные'!$B$234="Да",IF('19_Расчет_аналитики'!F4765=0,0,'19_Расчет_аналитики'!F4786/'19_Расчет_аналитики'!F4765),0)</f>
        <v/>
      </c>
      <c r="G4787">
        <f>IF('01_Вводные'!$B$234="Да",IF('19_Расчет_аналитики'!G4765=0,0,'19_Расчет_аналитики'!G4786/'19_Расчет_аналитики'!G4765),0)</f>
        <v/>
      </c>
      <c r="H4787">
        <f>IF('01_Вводные'!$B$234="Да",IF('19_Расчет_аналитики'!H4765=0,0,'19_Расчет_аналитики'!H4786/'19_Расчет_аналитики'!H4765),0)</f>
        <v/>
      </c>
      <c r="I4787">
        <f>IF('01_Вводные'!$B$234="Да",IF('19_Расчет_аналитики'!I4765=0,0,'19_Расчет_аналитики'!I4786/'19_Расчет_аналитики'!I4765),0)</f>
        <v/>
      </c>
      <c r="J4787">
        <f>IF('01_Вводные'!$B$234="Да",IF('19_Расчет_аналитики'!J4765=0,0,'19_Расчет_аналитики'!J4786/'19_Расчет_аналитики'!J4765),0)</f>
        <v/>
      </c>
      <c r="K4787">
        <f>IF('01_Вводные'!$B$234="Да",IF('19_Расчет_аналитики'!K4765=0,0,'19_Расчет_аналитики'!K4786/'19_Расчет_аналитики'!K4765),0)</f>
        <v/>
      </c>
      <c r="L4787">
        <f>IF('01_Вводные'!$B$234="Да",IF('19_Расчет_аналитики'!L4765=0,0,'19_Расчет_аналитики'!L4786/'19_Расчет_аналитики'!L4765),0)</f>
        <v/>
      </c>
      <c r="M4787">
        <f>IF('01_Вводные'!$B$234="Да",IF('19_Расчет_аналитики'!M4765=0,0,'19_Расчет_аналитики'!M4786/'19_Расчет_аналитики'!M4765),0)</f>
        <v/>
      </c>
      <c r="N4787">
        <f>IF('01_Вводные'!$B$234="Да",IF('19_Расчет_аналитики'!N4765=0,0,'19_Расчет_аналитики'!N4786/'19_Расчет_аналитики'!N4765),0)</f>
        <v/>
      </c>
      <c r="O4787">
        <f>IF('01_Вводные'!$B$234="Да",IF('19_Расчет_аналитики'!O4765=0,0,'19_Расчет_аналитики'!O4786/'19_Расчет_аналитики'!O4765),0)</f>
        <v/>
      </c>
      <c r="P4787">
        <f>IF('01_Вводные'!$B$234="Да",IF('19_Расчет_аналитики'!P4765=0,0,'19_Расчет_аналитики'!P4786/'19_Расчет_аналитики'!P4765),0)</f>
        <v/>
      </c>
      <c r="Q4787">
        <f>IF('01_Вводные'!$B$234="Да",IF('19_Расчет_аналитики'!Q4765=0,0,'19_Расчет_аналитики'!Q4786/'19_Расчет_аналитики'!Q4765),0)</f>
        <v/>
      </c>
      <c r="R4787">
        <f>IF('01_Вводные'!$B$234="Да",IF('19_Расчет_аналитики'!R4765=0,0,'19_Расчет_аналитики'!R4786/'19_Расчет_аналитики'!R4765),0)</f>
        <v/>
      </c>
      <c r="S4787">
        <f>IF('01_Вводные'!$B$234="Да",IF('19_Расчет_аналитики'!S4765=0,0,'19_Расчет_аналитики'!S4786/'19_Расчет_аналитики'!S4765),0)</f>
        <v/>
      </c>
      <c r="T4787">
        <f>IF('01_Вводные'!$B$234="Да",IF('19_Расчет_аналитики'!T4765=0,0,'19_Расчет_аналитики'!T4786/'19_Расчет_аналитики'!T4765),0)</f>
        <v/>
      </c>
      <c r="U4787">
        <f>IF('01_Вводные'!$B$234="Да",IF('19_Расчет_аналитики'!U4765=0,0,'19_Расчет_аналитики'!U4786/'19_Расчет_аналитики'!U4765),0)</f>
        <v/>
      </c>
      <c r="V4787">
        <f>IF('01_Вводные'!$B$234="Да",IF('19_Расчет_аналитики'!V4765=0,0,'19_Расчет_аналитики'!V4786/'19_Расчет_аналитики'!V4765),0)</f>
        <v/>
      </c>
      <c r="W4787">
        <f>IF('01_Вводные'!$B$234="Да",IF('19_Расчет_аналитики'!W4765=0,0,'19_Расчет_аналитики'!W4786/'19_Расчет_аналитики'!W4765),0)</f>
        <v/>
      </c>
      <c r="X4787">
        <f>IF('01_Вводные'!$B$234="Да",IF('19_Расчет_аналитики'!X4765=0,0,'19_Расчет_аналитики'!X4786/'19_Расчет_аналитики'!X4765),0)</f>
        <v/>
      </c>
      <c r="Y4787">
        <f>IF('01_Вводные'!$B$234="Да",IF('19_Расчет_аналитики'!Y4765=0,0,'19_Расчет_аналитики'!Y4786/'19_Расчет_аналитики'!Y4765),0)</f>
        <v/>
      </c>
      <c r="Z4787">
        <f>IF('01_Вводные'!$B$234="Да",IF('19_Расчет_аналитики'!Z4765=0,0,'19_Расчет_аналитики'!Z4786/'19_Расчет_аналитики'!Z4765),0)</f>
        <v/>
      </c>
      <c r="AA4787">
        <f>IF('01_Вводные'!$B$234="Да",IF('19_Расчет_аналитики'!AA4765=0,0,'19_Расчет_аналитики'!AA4786/'19_Расчет_аналитики'!AA4765),0)</f>
        <v/>
      </c>
      <c r="AB4787">
        <f>IF('01_Вводные'!$B$234="Да",IF('19_Расчет_аналитики'!AB4765=0,0,'19_Расчет_аналитики'!AB4786/'19_Расчет_аналитики'!AB4765),0)</f>
        <v/>
      </c>
      <c r="AC4787">
        <f>IF('01_Вводные'!$B$234="Да",IF('19_Расчет_аналитики'!AC4765=0,0,'19_Расчет_аналитики'!AC4786/'19_Расчет_аналитики'!AC4765),0)</f>
        <v/>
      </c>
      <c r="AD4787">
        <f>IF('01_Вводные'!$B$234="Да",IF('19_Расчет_аналитики'!AD4765=0,0,'19_Расчет_аналитики'!AD4786/'19_Расчет_аналитики'!AD4765),0)</f>
        <v/>
      </c>
      <c r="AE4787">
        <f>IF('01_Вводные'!$B$234="Да",IF('19_Расчет_аналитики'!AE4765=0,0,'19_Расчет_аналитики'!AE4786/'19_Расчет_аналитики'!AE4765),0)</f>
        <v/>
      </c>
      <c r="AF4787">
        <f>IF('01_Вводные'!$B$234="Да",IF('19_Расчет_аналитики'!AF4765=0,0,'19_Расчет_аналитики'!AF4786/'19_Расчет_аналитики'!AF4765),0)</f>
        <v/>
      </c>
      <c r="AG4787">
        <f>IF('01_Вводные'!$B$234="Да",IF('19_Расчет_аналитики'!AG4765=0,0,'19_Расчет_аналитики'!AG4786/'19_Расчет_аналитики'!AG4765),0)</f>
        <v/>
      </c>
      <c r="AH4787">
        <f>IF('01_Вводные'!$B$234="Да",IF('19_Расчет_аналитики'!AH4765=0,0,'19_Расчет_аналитики'!AH4786/'19_Расчет_аналитики'!AH4765),0)</f>
        <v/>
      </c>
      <c r="AI4787">
        <f>IF('01_Вводные'!$B$234="Да",IF('19_Расчет_аналитики'!AI4765=0,0,'19_Расчет_аналитики'!AI4786/'19_Расчет_аналитики'!AI4765),0)</f>
        <v/>
      </c>
      <c r="AJ4787">
        <f>IF('01_Вводные'!$B$234="Да",IF('19_Расчет_аналитики'!AJ4765=0,0,'19_Расчет_аналитики'!AJ4786/'19_Расчет_аналитики'!AJ4765),0)</f>
        <v/>
      </c>
      <c r="AK4787">
        <f>IF('01_Вводные'!$B$234="Да",IF('19_Расчет_аналитики'!AK4765=0,0,'19_Расчет_аналитики'!AK4786/'19_Расчет_аналитики'!AK4765),0)</f>
        <v/>
      </c>
      <c r="AL4787">
        <f>IF('01_Вводные'!$B$234="Да",IF('19_Расчет_аналитики'!AL4765=0,0,'19_Расчет_аналитики'!AL4786/'19_Расчет_аналитики'!AL4765),0)</f>
        <v/>
      </c>
      <c r="AM4787">
        <f>IF('01_Вводные'!$B$234="Да",IF('19_Расчет_аналитики'!AM4765=0,0,'19_Расчет_аналитики'!AM4786/'19_Расчет_аналитики'!AM4765),0)</f>
        <v/>
      </c>
      <c r="AN4787">
        <f>IF('01_Вводные'!$B$234="Да",IF('19_Расчет_аналитики'!AN4765=0,0,'19_Расчет_аналитики'!AN4786/'19_Расчет_аналитики'!AN4765),0)</f>
        <v/>
      </c>
      <c r="AO4787">
        <f>IF('01_Вводные'!$B$234="Да",IF('19_Расчет_аналитики'!AO4765=0,0,'19_Расчет_аналитики'!AO4786/'19_Расчет_аналитики'!AO4765),0)</f>
        <v/>
      </c>
      <c r="AP4787">
        <f>IF('01_Вводные'!$B$234="Да",IF('19_Расчет_аналитики'!AP4765=0,0,'19_Расчет_аналитики'!AP4786/'19_Расчет_аналитики'!AP4765),0)</f>
        <v/>
      </c>
      <c r="AQ4787">
        <f>IF('01_Вводные'!$B$234="Да",IF('19_Расчет_аналитики'!AQ4765=0,0,'19_Расчет_аналитики'!AQ4786/'19_Расчет_аналитики'!AQ4765),0)</f>
        <v/>
      </c>
      <c r="AR4787">
        <f>IF('01_Вводные'!$B$234="Да",IF('19_Расчет_аналитики'!AR4765=0,0,'19_Расчет_аналитики'!AR4786/'19_Расчет_аналитики'!AR4765),0)</f>
        <v/>
      </c>
      <c r="AS4787">
        <f>IF('01_Вводные'!$B$234="Да",IF('19_Расчет_аналитики'!AS4765=0,0,'19_Расчет_аналитики'!AS4786/'19_Расчет_аналитики'!AS4765),0)</f>
        <v/>
      </c>
      <c r="AT4787">
        <f>IF('01_Вводные'!$B$234="Да",IF('19_Расчет_аналитики'!AT4765=0,0,'19_Расчет_аналитики'!AT4786/'19_Расчет_аналитики'!AT4765),0)</f>
        <v/>
      </c>
      <c r="AU4787">
        <f>IF('01_Вводные'!$B$234="Да",IF('19_Расчет_аналитики'!AU4765=0,0,'19_Расчет_аналитики'!AU4786/'19_Расчет_аналитики'!AU4765),0)</f>
        <v/>
      </c>
      <c r="AV4787">
        <f>IF('01_Вводные'!$B$234="Да",IF('19_Расчет_аналитики'!AV4765=0,0,'19_Расчет_аналитики'!AV4786/'19_Расчет_аналитики'!AV4765),0)</f>
        <v/>
      </c>
      <c r="AW4787">
        <f>IF('01_Вводные'!$B$234="Да",IF('19_Расчет_аналитики'!AW4765=0,0,'19_Расчет_аналитики'!AW4786/'19_Расчет_аналитики'!AW4765),0)</f>
        <v/>
      </c>
      <c r="AX4787">
        <f>IF('01_Вводные'!$B$234="Да",IF('19_Расчет_аналитики'!AX4765=0,0,'19_Расчет_аналитики'!AX4786/'19_Расчет_аналитики'!AX4765),0)</f>
        <v/>
      </c>
      <c r="AY4787">
        <f>IF('01_Вводные'!$B$234="Да",IF('19_Расчет_аналитики'!AY4765=0,0,'19_Расчет_аналитики'!AY4786/'19_Расчет_аналитики'!AY4765),0)</f>
        <v/>
      </c>
      <c r="AZ4787">
        <f>IF('01_Вводные'!$B$234="Да",IF('19_Расчет_аналитики'!AZ4765=0,0,'19_Расчет_аналитики'!AZ4786/'19_Расчет_аналитики'!AZ4765),0)</f>
        <v/>
      </c>
      <c r="BA4787">
        <f>IF('01_Вводные'!$B$234="Да",IF('19_Расчет_аналитики'!BA4765=0,0,'19_Расчет_аналитики'!BA4786/'19_Расчет_аналитики'!BA4765),0)</f>
        <v/>
      </c>
      <c r="BB4787">
        <f>IF('01_Вводные'!$B$234="Да",IF('19_Расчет_аналитики'!BB4765=0,0,'19_Расчет_аналитики'!BB4786/'19_Расчет_аналитики'!BB4765),0)</f>
        <v/>
      </c>
      <c r="BC4787">
        <f>IF('01_Вводные'!$B$234="Да",IF('19_Расчет_аналитики'!BC4765=0,0,'19_Расчет_аналитики'!BC4786/'19_Расчет_аналитики'!BC4765),0)</f>
        <v/>
      </c>
      <c r="BD4787">
        <f>IF('01_Вводные'!$B$234="Да",IF('19_Расчет_аналитики'!BD4765=0,0,'19_Расчет_аналитики'!BD4786/'19_Расчет_аналитики'!BD4765),0)</f>
        <v/>
      </c>
      <c r="BE4787">
        <f>IF('01_Вводные'!$B$234="Да",IF('19_Расчет_аналитики'!BE4765=0,0,'19_Расчет_аналитики'!BE4786/'19_Расчет_аналитики'!BE4765),0)</f>
        <v/>
      </c>
      <c r="BF4787">
        <f>IF('01_Вводные'!$B$234="Да",IF('19_Расчет_аналитики'!BF4765=0,0,'19_Расчет_аналитики'!BF4786/'19_Расчет_аналитики'!BF4765),0)</f>
        <v/>
      </c>
      <c r="BG4787">
        <f>IF('01_Вводные'!$B$234="Да",IF('19_Расчет_аналитики'!BG4765=0,0,'19_Расчет_аналитики'!BG4786/'19_Расчет_аналитики'!BG4765),0)</f>
        <v/>
      </c>
      <c r="BH4787">
        <f>IF('01_Вводные'!$B$234="Да",IF('19_Расчет_аналитики'!BH4765=0,0,'19_Расчет_аналитики'!BH4786/'19_Расчет_аналитики'!BH4765),0)</f>
        <v/>
      </c>
      <c r="BI4787">
        <f>IF('01_Вводные'!$B$234="Да",IF('19_Расчет_аналитики'!BI4765=0,0,'19_Расчет_аналитики'!BI4786/'19_Расчет_аналитики'!BI4765),0)</f>
        <v/>
      </c>
    </row>
    <row r="4788">
      <c r="B4788">
        <f>IF('01_Вводные'!$B$234="Да",MAX('01_Вводные'!$B$157*'19_Расчет_аналитики'!B4765,'01_Вводные'!$B$156*MAX(0,'19_Расчет_аналитики'!B4786)),0)</f>
        <v/>
      </c>
      <c r="C4788">
        <f>IF('01_Вводные'!$B$234="Да",MAX('01_Вводные'!$B$157*'19_Расчет_аналитики'!C4765,'01_Вводные'!$B$156*MAX(0,'19_Расчет_аналитики'!C4786)),0)</f>
        <v/>
      </c>
      <c r="D4788">
        <f>IF('01_Вводные'!$B$234="Да",MAX('01_Вводные'!$B$157*'19_Расчет_аналитики'!D4765,'01_Вводные'!$B$156*MAX(0,'19_Расчет_аналитики'!D4786)),0)</f>
        <v/>
      </c>
      <c r="E4788">
        <f>IF('01_Вводные'!$B$234="Да",MAX('01_Вводные'!$B$157*'19_Расчет_аналитики'!E4765,'01_Вводные'!$B$156*MAX(0,'19_Расчет_аналитики'!E4786)),0)</f>
        <v/>
      </c>
      <c r="F4788">
        <f>IF('01_Вводные'!$B$234="Да",MAX('01_Вводные'!$B$157*'19_Расчет_аналитики'!F4765,'01_Вводные'!$B$156*MAX(0,'19_Расчет_аналитики'!F4786)),0)</f>
        <v/>
      </c>
      <c r="G4788">
        <f>IF('01_Вводные'!$B$234="Да",MAX('01_Вводные'!$B$157*'19_Расчет_аналитики'!G4765,'01_Вводные'!$B$156*MAX(0,'19_Расчет_аналитики'!G4786)),0)</f>
        <v/>
      </c>
      <c r="H4788">
        <f>IF('01_Вводные'!$B$234="Да",MAX('01_Вводные'!$B$157*'19_Расчет_аналитики'!H4765,'01_Вводные'!$B$156*MAX(0,'19_Расчет_аналитики'!H4786)),0)</f>
        <v/>
      </c>
      <c r="I4788">
        <f>IF('01_Вводные'!$B$234="Да",MAX('01_Вводные'!$B$157*'19_Расчет_аналитики'!I4765,'01_Вводные'!$B$156*MAX(0,'19_Расчет_аналитики'!I4786)),0)</f>
        <v/>
      </c>
      <c r="J4788">
        <f>IF('01_Вводные'!$B$234="Да",MAX('01_Вводные'!$B$157*'19_Расчет_аналитики'!J4765,'01_Вводные'!$B$156*MAX(0,'19_Расчет_аналитики'!J4786)),0)</f>
        <v/>
      </c>
      <c r="K4788">
        <f>IF('01_Вводные'!$B$234="Да",MAX('01_Вводные'!$B$157*'19_Расчет_аналитики'!K4765,'01_Вводные'!$B$156*MAX(0,'19_Расчет_аналитики'!K4786)),0)</f>
        <v/>
      </c>
      <c r="L4788">
        <f>IF('01_Вводные'!$B$234="Да",MAX('01_Вводные'!$B$157*'19_Расчет_аналитики'!L4765,'01_Вводные'!$B$156*MAX(0,'19_Расчет_аналитики'!L4786)),0)</f>
        <v/>
      </c>
      <c r="M4788">
        <f>IF('01_Вводные'!$B$234="Да",MAX('01_Вводные'!$B$157*'19_Расчет_аналитики'!M4765,'01_Вводные'!$B$156*MAX(0,'19_Расчет_аналитики'!M4786)),0)</f>
        <v/>
      </c>
      <c r="N4788">
        <f>IF('01_Вводные'!$B$234="Да",MAX('01_Вводные'!$B$157*'19_Расчет_аналитики'!N4765,'01_Вводные'!$B$156*MAX(0,'19_Расчет_аналитики'!N4786)),0)</f>
        <v/>
      </c>
      <c r="O4788">
        <f>IF('01_Вводные'!$B$234="Да",MAX('01_Вводные'!$B$157*'19_Расчет_аналитики'!O4765,'01_Вводные'!$B$156*MAX(0,'19_Расчет_аналитики'!O4786)),0)</f>
        <v/>
      </c>
      <c r="P4788">
        <f>IF('01_Вводные'!$B$234="Да",MAX('01_Вводные'!$B$157*'19_Расчет_аналитики'!P4765,'01_Вводные'!$B$156*MAX(0,'19_Расчет_аналитики'!P4786)),0)</f>
        <v/>
      </c>
      <c r="Q4788">
        <f>IF('01_Вводные'!$B$234="Да",MAX('01_Вводные'!$B$157*'19_Расчет_аналитики'!Q4765,'01_Вводные'!$B$156*MAX(0,'19_Расчет_аналитики'!Q4786)),0)</f>
        <v/>
      </c>
      <c r="R4788">
        <f>IF('01_Вводные'!$B$234="Да",MAX('01_Вводные'!$B$157*'19_Расчет_аналитики'!R4765,'01_Вводные'!$B$156*MAX(0,'19_Расчет_аналитики'!R4786)),0)</f>
        <v/>
      </c>
      <c r="S4788">
        <f>IF('01_Вводные'!$B$234="Да",MAX('01_Вводные'!$B$157*'19_Расчет_аналитики'!S4765,'01_Вводные'!$B$156*MAX(0,'19_Расчет_аналитики'!S4786)),0)</f>
        <v/>
      </c>
      <c r="T4788">
        <f>IF('01_Вводные'!$B$234="Да",MAX('01_Вводные'!$B$157*'19_Расчет_аналитики'!T4765,'01_Вводные'!$B$156*MAX(0,'19_Расчет_аналитики'!T4786)),0)</f>
        <v/>
      </c>
      <c r="U4788">
        <f>IF('01_Вводные'!$B$234="Да",MAX('01_Вводные'!$B$157*'19_Расчет_аналитики'!U4765,'01_Вводные'!$B$156*MAX(0,'19_Расчет_аналитики'!U4786)),0)</f>
        <v/>
      </c>
      <c r="V4788">
        <f>IF('01_Вводные'!$B$234="Да",MAX('01_Вводные'!$B$157*'19_Расчет_аналитики'!V4765,'01_Вводные'!$B$156*MAX(0,'19_Расчет_аналитики'!V4786)),0)</f>
        <v/>
      </c>
      <c r="W4788">
        <f>IF('01_Вводные'!$B$234="Да",MAX('01_Вводные'!$B$157*'19_Расчет_аналитики'!W4765,'01_Вводные'!$B$156*MAX(0,'19_Расчет_аналитики'!W4786)),0)</f>
        <v/>
      </c>
      <c r="X4788">
        <f>IF('01_Вводные'!$B$234="Да",MAX('01_Вводные'!$B$157*'19_Расчет_аналитики'!X4765,'01_Вводные'!$B$156*MAX(0,'19_Расчет_аналитики'!X4786)),0)</f>
        <v/>
      </c>
      <c r="Y4788">
        <f>IF('01_Вводные'!$B$234="Да",MAX('01_Вводные'!$B$157*'19_Расчет_аналитики'!Y4765,'01_Вводные'!$B$156*MAX(0,'19_Расчет_аналитики'!Y4786)),0)</f>
        <v/>
      </c>
      <c r="Z4788">
        <f>IF('01_Вводные'!$B$234="Да",MAX('01_Вводные'!$B$157*'19_Расчет_аналитики'!Z4765,'01_Вводные'!$B$156*MAX(0,'19_Расчет_аналитики'!Z4786)),0)</f>
        <v/>
      </c>
      <c r="AA4788">
        <f>IF('01_Вводные'!$B$234="Да",MAX('01_Вводные'!$B$157*'19_Расчет_аналитики'!AA4765,'01_Вводные'!$B$156*MAX(0,'19_Расчет_аналитики'!AA4786)),0)</f>
        <v/>
      </c>
      <c r="AB4788">
        <f>IF('01_Вводные'!$B$234="Да",MAX('01_Вводные'!$B$157*'19_Расчет_аналитики'!AB4765,'01_Вводные'!$B$156*MAX(0,'19_Расчет_аналитики'!AB4786)),0)</f>
        <v/>
      </c>
      <c r="AC4788">
        <f>IF('01_Вводные'!$B$234="Да",MAX('01_Вводные'!$B$157*'19_Расчет_аналитики'!AC4765,'01_Вводные'!$B$156*MAX(0,'19_Расчет_аналитики'!AC4786)),0)</f>
        <v/>
      </c>
      <c r="AD4788">
        <f>IF('01_Вводные'!$B$234="Да",MAX('01_Вводные'!$B$157*'19_Расчет_аналитики'!AD4765,'01_Вводные'!$B$156*MAX(0,'19_Расчет_аналитики'!AD4786)),0)</f>
        <v/>
      </c>
      <c r="AE4788">
        <f>IF('01_Вводные'!$B$234="Да",MAX('01_Вводные'!$B$157*'19_Расчет_аналитики'!AE4765,'01_Вводные'!$B$156*MAX(0,'19_Расчет_аналитики'!AE4786)),0)</f>
        <v/>
      </c>
      <c r="AF4788">
        <f>IF('01_Вводные'!$B$234="Да",MAX('01_Вводные'!$B$157*'19_Расчет_аналитики'!AF4765,'01_Вводные'!$B$156*MAX(0,'19_Расчет_аналитики'!AF4786)),0)</f>
        <v/>
      </c>
      <c r="AG4788">
        <f>IF('01_Вводные'!$B$234="Да",MAX('01_Вводные'!$B$157*'19_Расчет_аналитики'!AG4765,'01_Вводные'!$B$156*MAX(0,'19_Расчет_аналитики'!AG4786)),0)</f>
        <v/>
      </c>
      <c r="AH4788">
        <f>IF('01_Вводные'!$B$234="Да",MAX('01_Вводные'!$B$157*'19_Расчет_аналитики'!AH4765,'01_Вводные'!$B$156*MAX(0,'19_Расчет_аналитики'!AH4786)),0)</f>
        <v/>
      </c>
      <c r="AI4788">
        <f>IF('01_Вводные'!$B$234="Да",MAX('01_Вводные'!$B$157*'19_Расчет_аналитики'!AI4765,'01_Вводные'!$B$156*MAX(0,'19_Расчет_аналитики'!AI4786)),0)</f>
        <v/>
      </c>
      <c r="AJ4788">
        <f>IF('01_Вводные'!$B$234="Да",MAX('01_Вводные'!$B$157*'19_Расчет_аналитики'!AJ4765,'01_Вводные'!$B$156*MAX(0,'19_Расчет_аналитики'!AJ4786)),0)</f>
        <v/>
      </c>
      <c r="AK4788">
        <f>IF('01_Вводные'!$B$234="Да",MAX('01_Вводные'!$B$157*'19_Расчет_аналитики'!AK4765,'01_Вводные'!$B$156*MAX(0,'19_Расчет_аналитики'!AK4786)),0)</f>
        <v/>
      </c>
      <c r="AL4788">
        <f>IF('01_Вводные'!$B$234="Да",MAX('01_Вводные'!$B$157*'19_Расчет_аналитики'!AL4765,'01_Вводные'!$B$156*MAX(0,'19_Расчет_аналитики'!AL4786)),0)</f>
        <v/>
      </c>
      <c r="AM4788">
        <f>IF('01_Вводные'!$B$234="Да",MAX('01_Вводные'!$B$157*'19_Расчет_аналитики'!AM4765,'01_Вводные'!$B$156*MAX(0,'19_Расчет_аналитики'!AM4786)),0)</f>
        <v/>
      </c>
      <c r="AN4788">
        <f>IF('01_Вводные'!$B$234="Да",MAX('01_Вводные'!$B$157*'19_Расчет_аналитики'!AN4765,'01_Вводные'!$B$156*MAX(0,'19_Расчет_аналитики'!AN4786)),0)</f>
        <v/>
      </c>
      <c r="AO4788">
        <f>IF('01_Вводные'!$B$234="Да",MAX('01_Вводные'!$B$157*'19_Расчет_аналитики'!AO4765,'01_Вводные'!$B$156*MAX(0,'19_Расчет_аналитики'!AO4786)),0)</f>
        <v/>
      </c>
      <c r="AP4788">
        <f>IF('01_Вводные'!$B$234="Да",MAX('01_Вводные'!$B$157*'19_Расчет_аналитики'!AP4765,'01_Вводные'!$B$156*MAX(0,'19_Расчет_аналитики'!AP4786)),0)</f>
        <v/>
      </c>
      <c r="AQ4788">
        <f>IF('01_Вводные'!$B$234="Да",MAX('01_Вводные'!$B$157*'19_Расчет_аналитики'!AQ4765,'01_Вводные'!$B$156*MAX(0,'19_Расчет_аналитики'!AQ4786)),0)</f>
        <v/>
      </c>
      <c r="AR4788">
        <f>IF('01_Вводные'!$B$234="Да",MAX('01_Вводные'!$B$157*'19_Расчет_аналитики'!AR4765,'01_Вводные'!$B$156*MAX(0,'19_Расчет_аналитики'!AR4786)),0)</f>
        <v/>
      </c>
      <c r="AS4788">
        <f>IF('01_Вводные'!$B$234="Да",MAX('01_Вводные'!$B$157*'19_Расчет_аналитики'!AS4765,'01_Вводные'!$B$156*MAX(0,'19_Расчет_аналитики'!AS4786)),0)</f>
        <v/>
      </c>
      <c r="AT4788">
        <f>IF('01_Вводные'!$B$234="Да",MAX('01_Вводные'!$B$157*'19_Расчет_аналитики'!AT4765,'01_Вводные'!$B$156*MAX(0,'19_Расчет_аналитики'!AT4786)),0)</f>
        <v/>
      </c>
      <c r="AU4788">
        <f>IF('01_Вводные'!$B$234="Да",MAX('01_Вводные'!$B$157*'19_Расчет_аналитики'!AU4765,'01_Вводные'!$B$156*MAX(0,'19_Расчет_аналитики'!AU4786)),0)</f>
        <v/>
      </c>
      <c r="AV4788">
        <f>IF('01_Вводные'!$B$234="Да",MAX('01_Вводные'!$B$157*'19_Расчет_аналитики'!AV4765,'01_Вводные'!$B$156*MAX(0,'19_Расчет_аналитики'!AV4786)),0)</f>
        <v/>
      </c>
      <c r="AW4788">
        <f>IF('01_Вводные'!$B$234="Да",MAX('01_Вводные'!$B$157*'19_Расчет_аналитики'!AW4765,'01_Вводные'!$B$156*MAX(0,'19_Расчет_аналитики'!AW4786)),0)</f>
        <v/>
      </c>
      <c r="AX4788">
        <f>IF('01_Вводные'!$B$234="Да",MAX('01_Вводные'!$B$157*'19_Расчет_аналитики'!AX4765,'01_Вводные'!$B$156*MAX(0,'19_Расчет_аналитики'!AX4786)),0)</f>
        <v/>
      </c>
      <c r="AY4788">
        <f>IF('01_Вводные'!$B$234="Да",MAX('01_Вводные'!$B$157*'19_Расчет_аналитики'!AY4765,'01_Вводные'!$B$156*MAX(0,'19_Расчет_аналитики'!AY4786)),0)</f>
        <v/>
      </c>
      <c r="AZ4788">
        <f>IF('01_Вводные'!$B$234="Да",MAX('01_Вводные'!$B$157*'19_Расчет_аналитики'!AZ4765,'01_Вводные'!$B$156*MAX(0,'19_Расчет_аналитики'!AZ4786)),0)</f>
        <v/>
      </c>
      <c r="BA4788">
        <f>IF('01_Вводные'!$B$234="Да",MAX('01_Вводные'!$B$157*'19_Расчет_аналитики'!BA4765,'01_Вводные'!$B$156*MAX(0,'19_Расчет_аналитики'!BA4786)),0)</f>
        <v/>
      </c>
      <c r="BB4788">
        <f>IF('01_Вводные'!$B$234="Да",MAX('01_Вводные'!$B$157*'19_Расчет_аналитики'!BB4765,'01_Вводные'!$B$156*MAX(0,'19_Расчет_аналитики'!BB4786)),0)</f>
        <v/>
      </c>
      <c r="BC4788">
        <f>IF('01_Вводные'!$B$234="Да",MAX('01_Вводные'!$B$157*'19_Расчет_аналитики'!BC4765,'01_Вводные'!$B$156*MAX(0,'19_Расчет_аналитики'!BC4786)),0)</f>
        <v/>
      </c>
      <c r="BD4788">
        <f>IF('01_Вводные'!$B$234="Да",MAX('01_Вводные'!$B$157*'19_Расчет_аналитики'!BD4765,'01_Вводные'!$B$156*MAX(0,'19_Расчет_аналитики'!BD4786)),0)</f>
        <v/>
      </c>
      <c r="BE4788">
        <f>IF('01_Вводные'!$B$234="Да",MAX('01_Вводные'!$B$157*'19_Расчет_аналитики'!BE4765,'01_Вводные'!$B$156*MAX(0,'19_Расчет_аналитики'!BE4786)),0)</f>
        <v/>
      </c>
      <c r="BF4788">
        <f>IF('01_Вводные'!$B$234="Да",MAX('01_Вводные'!$B$157*'19_Расчет_аналитики'!BF4765,'01_Вводные'!$B$156*MAX(0,'19_Расчет_аналитики'!BF4786)),0)</f>
        <v/>
      </c>
      <c r="BG4788">
        <f>IF('01_Вводные'!$B$234="Да",MAX('01_Вводные'!$B$157*'19_Расчет_аналитики'!BG4765,'01_Вводные'!$B$156*MAX(0,'19_Расчет_аналитики'!BG4786)),0)</f>
        <v/>
      </c>
      <c r="BH4788">
        <f>IF('01_Вводные'!$B$234="Да",MAX('01_Вводные'!$B$157*'19_Расчет_аналитики'!BH4765,'01_Вводные'!$B$156*MAX(0,'19_Расчет_аналитики'!BH4786)),0)</f>
        <v/>
      </c>
      <c r="BI4788">
        <f>IF('01_Вводные'!$B$234="Да",MAX('01_Вводные'!$B$157*'19_Расчет_аналитики'!BI4765,'01_Вводные'!$B$156*MAX(0,'19_Расчет_аналитики'!BI4786)),0)</f>
        <v/>
      </c>
    </row>
    <row r="4789">
      <c r="B4789">
        <f>IF('01_Вводные'!$B$234="Да",'19_Расчет_аналитики'!B4786-'19_Расчет_аналитики'!B4788,0)</f>
        <v/>
      </c>
      <c r="C4789">
        <f>IF('01_Вводные'!$B$234="Да",'19_Расчет_аналитики'!C4786-'19_Расчет_аналитики'!C4788,0)</f>
        <v/>
      </c>
      <c r="D4789">
        <f>IF('01_Вводные'!$B$234="Да",'19_Расчет_аналитики'!D4786-'19_Расчет_аналитики'!D4788,0)</f>
        <v/>
      </c>
      <c r="E4789">
        <f>IF('01_Вводные'!$B$234="Да",'19_Расчет_аналитики'!E4786-'19_Расчет_аналитики'!E4788,0)</f>
        <v/>
      </c>
      <c r="F4789">
        <f>IF('01_Вводные'!$B$234="Да",'19_Расчет_аналитики'!F4786-'19_Расчет_аналитики'!F4788,0)</f>
        <v/>
      </c>
      <c r="G4789">
        <f>IF('01_Вводные'!$B$234="Да",'19_Расчет_аналитики'!G4786-'19_Расчет_аналитики'!G4788,0)</f>
        <v/>
      </c>
      <c r="H4789">
        <f>IF('01_Вводные'!$B$234="Да",'19_Расчет_аналитики'!H4786-'19_Расчет_аналитики'!H4788,0)</f>
        <v/>
      </c>
      <c r="I4789">
        <f>IF('01_Вводные'!$B$234="Да",'19_Расчет_аналитики'!I4786-'19_Расчет_аналитики'!I4788,0)</f>
        <v/>
      </c>
      <c r="J4789">
        <f>IF('01_Вводные'!$B$234="Да",'19_Расчет_аналитики'!J4786-'19_Расчет_аналитики'!J4788,0)</f>
        <v/>
      </c>
      <c r="K4789">
        <f>IF('01_Вводные'!$B$234="Да",'19_Расчет_аналитики'!K4786-'19_Расчет_аналитики'!K4788,0)</f>
        <v/>
      </c>
      <c r="L4789">
        <f>IF('01_Вводные'!$B$234="Да",'19_Расчет_аналитики'!L4786-'19_Расчет_аналитики'!L4788,0)</f>
        <v/>
      </c>
      <c r="M4789">
        <f>IF('01_Вводные'!$B$234="Да",'19_Расчет_аналитики'!M4786-'19_Расчет_аналитики'!M4788,0)</f>
        <v/>
      </c>
      <c r="N4789">
        <f>IF('01_Вводные'!$B$234="Да",'19_Расчет_аналитики'!N4786-'19_Расчет_аналитики'!N4788,0)</f>
        <v/>
      </c>
      <c r="O4789">
        <f>IF('01_Вводные'!$B$234="Да",'19_Расчет_аналитики'!O4786-'19_Расчет_аналитики'!O4788,0)</f>
        <v/>
      </c>
      <c r="P4789">
        <f>IF('01_Вводные'!$B$234="Да",'19_Расчет_аналитики'!P4786-'19_Расчет_аналитики'!P4788,0)</f>
        <v/>
      </c>
      <c r="Q4789">
        <f>IF('01_Вводные'!$B$234="Да",'19_Расчет_аналитики'!Q4786-'19_Расчет_аналитики'!Q4788,0)</f>
        <v/>
      </c>
      <c r="R4789">
        <f>IF('01_Вводные'!$B$234="Да",'19_Расчет_аналитики'!R4786-'19_Расчет_аналитики'!R4788,0)</f>
        <v/>
      </c>
      <c r="S4789">
        <f>IF('01_Вводные'!$B$234="Да",'19_Расчет_аналитики'!S4786-'19_Расчет_аналитики'!S4788,0)</f>
        <v/>
      </c>
      <c r="T4789">
        <f>IF('01_Вводные'!$B$234="Да",'19_Расчет_аналитики'!T4786-'19_Расчет_аналитики'!T4788,0)</f>
        <v/>
      </c>
      <c r="U4789">
        <f>IF('01_Вводные'!$B$234="Да",'19_Расчет_аналитики'!U4786-'19_Расчет_аналитики'!U4788,0)</f>
        <v/>
      </c>
      <c r="V4789">
        <f>IF('01_Вводные'!$B$234="Да",'19_Расчет_аналитики'!V4786-'19_Расчет_аналитики'!V4788,0)</f>
        <v/>
      </c>
      <c r="W4789">
        <f>IF('01_Вводные'!$B$234="Да",'19_Расчет_аналитики'!W4786-'19_Расчет_аналитики'!W4788,0)</f>
        <v/>
      </c>
      <c r="X4789">
        <f>IF('01_Вводные'!$B$234="Да",'19_Расчет_аналитики'!X4786-'19_Расчет_аналитики'!X4788,0)</f>
        <v/>
      </c>
      <c r="Y4789">
        <f>IF('01_Вводные'!$B$234="Да",'19_Расчет_аналитики'!Y4786-'19_Расчет_аналитики'!Y4788,0)</f>
        <v/>
      </c>
      <c r="Z4789">
        <f>IF('01_Вводные'!$B$234="Да",'19_Расчет_аналитики'!Z4786-'19_Расчет_аналитики'!Z4788,0)</f>
        <v/>
      </c>
      <c r="AA4789">
        <f>IF('01_Вводные'!$B$234="Да",'19_Расчет_аналитики'!AA4786-'19_Расчет_аналитики'!AA4788,0)</f>
        <v/>
      </c>
      <c r="AB4789">
        <f>IF('01_Вводные'!$B$234="Да",'19_Расчет_аналитики'!AB4786-'19_Расчет_аналитики'!AB4788,0)</f>
        <v/>
      </c>
      <c r="AC4789">
        <f>IF('01_Вводные'!$B$234="Да",'19_Расчет_аналитики'!AC4786-'19_Расчет_аналитики'!AC4788,0)</f>
        <v/>
      </c>
      <c r="AD4789">
        <f>IF('01_Вводные'!$B$234="Да",'19_Расчет_аналитики'!AD4786-'19_Расчет_аналитики'!AD4788,0)</f>
        <v/>
      </c>
      <c r="AE4789">
        <f>IF('01_Вводные'!$B$234="Да",'19_Расчет_аналитики'!AE4786-'19_Расчет_аналитики'!AE4788,0)</f>
        <v/>
      </c>
      <c r="AF4789">
        <f>IF('01_Вводные'!$B$234="Да",'19_Расчет_аналитики'!AF4786-'19_Расчет_аналитики'!AF4788,0)</f>
        <v/>
      </c>
      <c r="AG4789">
        <f>IF('01_Вводные'!$B$234="Да",'19_Расчет_аналитики'!AG4786-'19_Расчет_аналитики'!AG4788,0)</f>
        <v/>
      </c>
      <c r="AH4789">
        <f>IF('01_Вводные'!$B$234="Да",'19_Расчет_аналитики'!AH4786-'19_Расчет_аналитики'!AH4788,0)</f>
        <v/>
      </c>
      <c r="AI4789">
        <f>IF('01_Вводные'!$B$234="Да",'19_Расчет_аналитики'!AI4786-'19_Расчет_аналитики'!AI4788,0)</f>
        <v/>
      </c>
      <c r="AJ4789">
        <f>IF('01_Вводные'!$B$234="Да",'19_Расчет_аналитики'!AJ4786-'19_Расчет_аналитики'!AJ4788,0)</f>
        <v/>
      </c>
      <c r="AK4789">
        <f>IF('01_Вводные'!$B$234="Да",'19_Расчет_аналитики'!AK4786-'19_Расчет_аналитики'!AK4788,0)</f>
        <v/>
      </c>
      <c r="AL4789">
        <f>IF('01_Вводные'!$B$234="Да",'19_Расчет_аналитики'!AL4786-'19_Расчет_аналитики'!AL4788,0)</f>
        <v/>
      </c>
      <c r="AM4789">
        <f>IF('01_Вводные'!$B$234="Да",'19_Расчет_аналитики'!AM4786-'19_Расчет_аналитики'!AM4788,0)</f>
        <v/>
      </c>
      <c r="AN4789">
        <f>IF('01_Вводные'!$B$234="Да",'19_Расчет_аналитики'!AN4786-'19_Расчет_аналитики'!AN4788,0)</f>
        <v/>
      </c>
      <c r="AO4789">
        <f>IF('01_Вводные'!$B$234="Да",'19_Расчет_аналитики'!AO4786-'19_Расчет_аналитики'!AO4788,0)</f>
        <v/>
      </c>
      <c r="AP4789">
        <f>IF('01_Вводные'!$B$234="Да",'19_Расчет_аналитики'!AP4786-'19_Расчет_аналитики'!AP4788,0)</f>
        <v/>
      </c>
      <c r="AQ4789">
        <f>IF('01_Вводные'!$B$234="Да",'19_Расчет_аналитики'!AQ4786-'19_Расчет_аналитики'!AQ4788,0)</f>
        <v/>
      </c>
      <c r="AR4789">
        <f>IF('01_Вводные'!$B$234="Да",'19_Расчет_аналитики'!AR4786-'19_Расчет_аналитики'!AR4788,0)</f>
        <v/>
      </c>
      <c r="AS4789">
        <f>IF('01_Вводные'!$B$234="Да",'19_Расчет_аналитики'!AS4786-'19_Расчет_аналитики'!AS4788,0)</f>
        <v/>
      </c>
      <c r="AT4789">
        <f>IF('01_Вводные'!$B$234="Да",'19_Расчет_аналитики'!AT4786-'19_Расчет_аналитики'!AT4788,0)</f>
        <v/>
      </c>
      <c r="AU4789">
        <f>IF('01_Вводные'!$B$234="Да",'19_Расчет_аналитики'!AU4786-'19_Расчет_аналитики'!AU4788,0)</f>
        <v/>
      </c>
      <c r="AV4789">
        <f>IF('01_Вводные'!$B$234="Да",'19_Расчет_аналитики'!AV4786-'19_Расчет_аналитики'!AV4788,0)</f>
        <v/>
      </c>
      <c r="AW4789">
        <f>IF('01_Вводные'!$B$234="Да",'19_Расчет_аналитики'!AW4786-'19_Расчет_аналитики'!AW4788,0)</f>
        <v/>
      </c>
      <c r="AX4789">
        <f>IF('01_Вводные'!$B$234="Да",'19_Расчет_аналитики'!AX4786-'19_Расчет_аналитики'!AX4788,0)</f>
        <v/>
      </c>
      <c r="AY4789">
        <f>IF('01_Вводные'!$B$234="Да",'19_Расчет_аналитики'!AY4786-'19_Расчет_аналитики'!AY4788,0)</f>
        <v/>
      </c>
      <c r="AZ4789">
        <f>IF('01_Вводные'!$B$234="Да",'19_Расчет_аналитики'!AZ4786-'19_Расчет_аналитики'!AZ4788,0)</f>
        <v/>
      </c>
      <c r="BA4789">
        <f>IF('01_Вводные'!$B$234="Да",'19_Расчет_аналитики'!BA4786-'19_Расчет_аналитики'!BA4788,0)</f>
        <v/>
      </c>
      <c r="BB4789">
        <f>IF('01_Вводные'!$B$234="Да",'19_Расчет_аналитики'!BB4786-'19_Расчет_аналитики'!BB4788,0)</f>
        <v/>
      </c>
      <c r="BC4789">
        <f>IF('01_Вводные'!$B$234="Да",'19_Расчет_аналитики'!BC4786-'19_Расчет_аналитики'!BC4788,0)</f>
        <v/>
      </c>
      <c r="BD4789">
        <f>IF('01_Вводные'!$B$234="Да",'19_Расчет_аналитики'!BD4786-'19_Расчет_аналитики'!BD4788,0)</f>
        <v/>
      </c>
      <c r="BE4789">
        <f>IF('01_Вводные'!$B$234="Да",'19_Расчет_аналитики'!BE4786-'19_Расчет_аналитики'!BE4788,0)</f>
        <v/>
      </c>
      <c r="BF4789">
        <f>IF('01_Вводные'!$B$234="Да",'19_Расчет_аналитики'!BF4786-'19_Расчет_аналитики'!BF4788,0)</f>
        <v/>
      </c>
      <c r="BG4789">
        <f>IF('01_Вводные'!$B$234="Да",'19_Расчет_аналитики'!BG4786-'19_Расчет_аналитики'!BG4788,0)</f>
        <v/>
      </c>
      <c r="BH4789">
        <f>IF('01_Вводные'!$B$234="Да",'19_Расчет_аналитики'!BH4786-'19_Расчет_аналитики'!BH4788,0)</f>
        <v/>
      </c>
      <c r="BI4789">
        <f>IF('01_Вводные'!$B$234="Да",'19_Расчет_аналитики'!BI4786-'19_Расчет_аналитики'!BI4788,0)</f>
        <v/>
      </c>
    </row>
    <row r="4790"/>
    <row r="4791"/>
    <row r="4792"/>
    <row r="4793">
      <c r="C4793">
        <f>IF('01_Вводные'!$B$234="Да",'19_Расчет_аналитики'!B4814,0)</f>
        <v/>
      </c>
      <c r="D4793">
        <f>IF('01_Вводные'!$B$234="Да",'19_Расчет_аналитики'!C4814,0)</f>
        <v/>
      </c>
      <c r="E4793">
        <f>IF('01_Вводные'!$B$234="Да",'19_Расчет_аналитики'!D4814,0)</f>
        <v/>
      </c>
      <c r="F4793">
        <f>IF('01_Вводные'!$B$234="Да",'19_Расчет_аналитики'!E4814,0)</f>
        <v/>
      </c>
      <c r="G4793">
        <f>IF('01_Вводные'!$B$234="Да",'19_Расчет_аналитики'!F4814,0)</f>
        <v/>
      </c>
      <c r="H4793">
        <f>IF('01_Вводные'!$B$234="Да",'19_Расчет_аналитики'!G4814,0)</f>
        <v/>
      </c>
      <c r="I4793">
        <f>IF('01_Вводные'!$B$234="Да",'19_Расчет_аналитики'!H4814,0)</f>
        <v/>
      </c>
      <c r="J4793">
        <f>IF('01_Вводные'!$B$234="Да",'19_Расчет_аналитики'!I4814,0)</f>
        <v/>
      </c>
      <c r="K4793">
        <f>IF('01_Вводные'!$B$234="Да",'19_Расчет_аналитики'!J4814,0)</f>
        <v/>
      </c>
      <c r="L4793">
        <f>IF('01_Вводные'!$B$234="Да",'19_Расчет_аналитики'!K4814,0)</f>
        <v/>
      </c>
      <c r="M4793">
        <f>IF('01_Вводные'!$B$234="Да",'19_Расчет_аналитики'!L4814,0)</f>
        <v/>
      </c>
      <c r="N4793">
        <f>IF('01_Вводные'!$B$234="Да",'19_Расчет_аналитики'!M4814,0)</f>
        <v/>
      </c>
      <c r="O4793">
        <f>IF('01_Вводные'!$B$234="Да",'19_Расчет_аналитики'!N4814,0)</f>
        <v/>
      </c>
      <c r="P4793">
        <f>IF('01_Вводные'!$B$234="Да",'19_Расчет_аналитики'!O4814,0)</f>
        <v/>
      </c>
      <c r="Q4793">
        <f>IF('01_Вводные'!$B$234="Да",'19_Расчет_аналитики'!P4814,0)</f>
        <v/>
      </c>
      <c r="R4793">
        <f>IF('01_Вводные'!$B$234="Да",'19_Расчет_аналитики'!Q4814,0)</f>
        <v/>
      </c>
      <c r="S4793">
        <f>IF('01_Вводные'!$B$234="Да",'19_Расчет_аналитики'!R4814,0)</f>
        <v/>
      </c>
      <c r="T4793">
        <f>IF('01_Вводные'!$B$234="Да",'19_Расчет_аналитики'!S4814,0)</f>
        <v/>
      </c>
      <c r="U4793">
        <f>IF('01_Вводные'!$B$234="Да",'19_Расчет_аналитики'!T4814,0)</f>
        <v/>
      </c>
      <c r="V4793">
        <f>IF('01_Вводные'!$B$234="Да",'19_Расчет_аналитики'!U4814,0)</f>
        <v/>
      </c>
      <c r="W4793">
        <f>IF('01_Вводные'!$B$234="Да",'19_Расчет_аналитики'!V4814,0)</f>
        <v/>
      </c>
      <c r="X4793">
        <f>IF('01_Вводные'!$B$234="Да",'19_Расчет_аналитики'!W4814,0)</f>
        <v/>
      </c>
      <c r="Y4793">
        <f>IF('01_Вводные'!$B$234="Да",'19_Расчет_аналитики'!X4814,0)</f>
        <v/>
      </c>
      <c r="Z4793">
        <f>IF('01_Вводные'!$B$234="Да",'19_Расчет_аналитики'!Y4814,0)</f>
        <v/>
      </c>
      <c r="AA4793">
        <f>IF('01_Вводные'!$B$234="Да",'19_Расчет_аналитики'!Z4814,0)</f>
        <v/>
      </c>
      <c r="AB4793">
        <f>IF('01_Вводные'!$B$234="Да",'19_Расчет_аналитики'!AA4814,0)</f>
        <v/>
      </c>
      <c r="AC4793">
        <f>IF('01_Вводные'!$B$234="Да",'19_Расчет_аналитики'!AB4814,0)</f>
        <v/>
      </c>
      <c r="AD4793">
        <f>IF('01_Вводные'!$B$234="Да",'19_Расчет_аналитики'!AC4814,0)</f>
        <v/>
      </c>
      <c r="AE4793">
        <f>IF('01_Вводные'!$B$234="Да",'19_Расчет_аналитики'!AD4814,0)</f>
        <v/>
      </c>
      <c r="AF4793">
        <f>IF('01_Вводные'!$B$234="Да",'19_Расчет_аналитики'!AE4814,0)</f>
        <v/>
      </c>
      <c r="AG4793">
        <f>IF('01_Вводные'!$B$234="Да",'19_Расчет_аналитики'!AF4814,0)</f>
        <v/>
      </c>
      <c r="AH4793">
        <f>IF('01_Вводные'!$B$234="Да",'19_Расчет_аналитики'!AG4814,0)</f>
        <v/>
      </c>
      <c r="AI4793">
        <f>IF('01_Вводные'!$B$234="Да",'19_Расчет_аналитики'!AH4814,0)</f>
        <v/>
      </c>
      <c r="AJ4793">
        <f>IF('01_Вводные'!$B$234="Да",'19_Расчет_аналитики'!AI4814,0)</f>
        <v/>
      </c>
      <c r="AK4793">
        <f>IF('01_Вводные'!$B$234="Да",'19_Расчет_аналитики'!AJ4814,0)</f>
        <v/>
      </c>
      <c r="AL4793">
        <f>IF('01_Вводные'!$B$234="Да",'19_Расчет_аналитики'!AK4814,0)</f>
        <v/>
      </c>
      <c r="AM4793">
        <f>IF('01_Вводные'!$B$234="Да",'19_Расчет_аналитики'!AL4814,0)</f>
        <v/>
      </c>
      <c r="AN4793">
        <f>IF('01_Вводные'!$B$234="Да",'19_Расчет_аналитики'!AM4814,0)</f>
        <v/>
      </c>
      <c r="AO4793">
        <f>IF('01_Вводные'!$B$234="Да",'19_Расчет_аналитики'!AN4814,0)</f>
        <v/>
      </c>
      <c r="AP4793">
        <f>IF('01_Вводные'!$B$234="Да",'19_Расчет_аналитики'!AO4814,0)</f>
        <v/>
      </c>
      <c r="AQ4793">
        <f>IF('01_Вводные'!$B$234="Да",'19_Расчет_аналитики'!AP4814,0)</f>
        <v/>
      </c>
      <c r="AR4793">
        <f>IF('01_Вводные'!$B$234="Да",'19_Расчет_аналитики'!AQ4814,0)</f>
        <v/>
      </c>
      <c r="AS4793">
        <f>IF('01_Вводные'!$B$234="Да",'19_Расчет_аналитики'!AR4814,0)</f>
        <v/>
      </c>
      <c r="AT4793">
        <f>IF('01_Вводные'!$B$234="Да",'19_Расчет_аналитики'!AS4814,0)</f>
        <v/>
      </c>
      <c r="AU4793">
        <f>IF('01_Вводные'!$B$234="Да",'19_Расчет_аналитики'!AT4814,0)</f>
        <v/>
      </c>
      <c r="AV4793">
        <f>IF('01_Вводные'!$B$234="Да",'19_Расчет_аналитики'!AU4814,0)</f>
        <v/>
      </c>
      <c r="AW4793">
        <f>IF('01_Вводные'!$B$234="Да",'19_Расчет_аналитики'!AV4814,0)</f>
        <v/>
      </c>
      <c r="AX4793">
        <f>IF('01_Вводные'!$B$234="Да",'19_Расчет_аналитики'!AW4814,0)</f>
        <v/>
      </c>
      <c r="AY4793">
        <f>IF('01_Вводные'!$B$234="Да",'19_Расчет_аналитики'!AX4814,0)</f>
        <v/>
      </c>
      <c r="AZ4793">
        <f>IF('01_Вводные'!$B$234="Да",'19_Расчет_аналитики'!AY4814,0)</f>
        <v/>
      </c>
      <c r="BA4793">
        <f>IF('01_Вводные'!$B$234="Да",'19_Расчет_аналитики'!AZ4814,0)</f>
        <v/>
      </c>
      <c r="BB4793">
        <f>IF('01_Вводные'!$B$234="Да",'19_Расчет_аналитики'!BA4814,0)</f>
        <v/>
      </c>
      <c r="BC4793">
        <f>IF('01_Вводные'!$B$234="Да",'19_Расчет_аналитики'!BB4814,0)</f>
        <v/>
      </c>
      <c r="BD4793">
        <f>IF('01_Вводные'!$B$234="Да",'19_Расчет_аналитики'!BC4814,0)</f>
        <v/>
      </c>
      <c r="BE4793">
        <f>IF('01_Вводные'!$B$234="Да",'19_Расчет_аналитики'!BD4814,0)</f>
        <v/>
      </c>
      <c r="BF4793">
        <f>IF('01_Вводные'!$B$234="Да",'19_Расчет_аналитики'!BE4814,0)</f>
        <v/>
      </c>
      <c r="BG4793">
        <f>IF('01_Вводные'!$B$234="Да",'19_Расчет_аналитики'!BF4814,0)</f>
        <v/>
      </c>
      <c r="BH4793">
        <f>IF('01_Вводные'!$B$234="Да",'19_Расчет_аналитики'!BG4814,0)</f>
        <v/>
      </c>
      <c r="BI4793">
        <f>IF('01_Вводные'!$B$234="Да",'19_Расчет_аналитики'!BH4814,0)</f>
        <v/>
      </c>
    </row>
    <row r="4794">
      <c r="B4794">
        <f>'02_Модель'!B52</f>
        <v/>
      </c>
      <c r="C4794">
        <f>IF('01_Вводные'!$B$234="Да",'19_Расчет_аналитики'!C4396,0)</f>
        <v/>
      </c>
      <c r="D4794">
        <f>IF('01_Вводные'!$B$234="Да",'19_Расчет_аналитики'!D4396,0)</f>
        <v/>
      </c>
      <c r="E4794">
        <f>IF('01_Вводные'!$B$234="Да",'19_Расчет_аналитики'!E4396,0)</f>
        <v/>
      </c>
      <c r="F4794">
        <f>IF('01_Вводные'!$B$234="Да",'19_Расчет_аналитики'!F4396,0)</f>
        <v/>
      </c>
      <c r="G4794">
        <f>IF('01_Вводные'!$B$234="Да",'19_Расчет_аналитики'!G4396,0)</f>
        <v/>
      </c>
      <c r="H4794">
        <f>IF('01_Вводные'!$B$234="Да",'19_Расчет_аналитики'!H4396,0)</f>
        <v/>
      </c>
      <c r="I4794">
        <f>IF('01_Вводные'!$B$234="Да",'19_Расчет_аналитики'!I4396,0)</f>
        <v/>
      </c>
      <c r="J4794">
        <f>IF('01_Вводные'!$B$234="Да",'19_Расчет_аналитики'!J4396,0)</f>
        <v/>
      </c>
      <c r="K4794">
        <f>IF('01_Вводные'!$B$234="Да",'19_Расчет_аналитики'!K4396,0)</f>
        <v/>
      </c>
      <c r="L4794">
        <f>IF('01_Вводные'!$B$234="Да",'19_Расчет_аналитики'!L4396,0)</f>
        <v/>
      </c>
      <c r="M4794">
        <f>IF('01_Вводные'!$B$234="Да",'19_Расчет_аналитики'!M4396,0)</f>
        <v/>
      </c>
      <c r="N4794">
        <f>IF('01_Вводные'!$B$234="Да",'19_Расчет_аналитики'!N4396,0)</f>
        <v/>
      </c>
      <c r="O4794">
        <f>IF('01_Вводные'!$B$234="Да",'19_Расчет_аналитики'!O4396,0)</f>
        <v/>
      </c>
      <c r="P4794">
        <f>IF('01_Вводные'!$B$234="Да",'19_Расчет_аналитики'!P4396,0)</f>
        <v/>
      </c>
      <c r="Q4794">
        <f>IF('01_Вводные'!$B$234="Да",'19_Расчет_аналитики'!Q4396,0)</f>
        <v/>
      </c>
      <c r="R4794">
        <f>IF('01_Вводные'!$B$234="Да",'19_Расчет_аналитики'!R4396,0)</f>
        <v/>
      </c>
      <c r="S4794">
        <f>IF('01_Вводные'!$B$234="Да",'19_Расчет_аналитики'!S4396,0)</f>
        <v/>
      </c>
      <c r="T4794">
        <f>IF('01_Вводные'!$B$234="Да",'19_Расчет_аналитики'!T4396,0)</f>
        <v/>
      </c>
      <c r="U4794">
        <f>IF('01_Вводные'!$B$234="Да",'19_Расчет_аналитики'!U4396,0)</f>
        <v/>
      </c>
      <c r="V4794">
        <f>IF('01_Вводные'!$B$234="Да",'19_Расчет_аналитики'!V4396,0)</f>
        <v/>
      </c>
      <c r="W4794">
        <f>IF('01_Вводные'!$B$234="Да",'19_Расчет_аналитики'!W4396,0)</f>
        <v/>
      </c>
      <c r="X4794">
        <f>IF('01_Вводные'!$B$234="Да",'19_Расчет_аналитики'!X4396,0)</f>
        <v/>
      </c>
      <c r="Y4794">
        <f>IF('01_Вводные'!$B$234="Да",'19_Расчет_аналитики'!Y4396,0)</f>
        <v/>
      </c>
      <c r="Z4794">
        <f>IF('01_Вводные'!$B$234="Да",'19_Расчет_аналитики'!Z4396,0)</f>
        <v/>
      </c>
      <c r="AA4794">
        <f>IF('01_Вводные'!$B$234="Да",'19_Расчет_аналитики'!AA4396,0)</f>
        <v/>
      </c>
      <c r="AB4794">
        <f>IF('01_Вводные'!$B$234="Да",'19_Расчет_аналитики'!AB4396,0)</f>
        <v/>
      </c>
      <c r="AC4794">
        <f>IF('01_Вводные'!$B$234="Да",'19_Расчет_аналитики'!AC4396,0)</f>
        <v/>
      </c>
      <c r="AD4794">
        <f>IF('01_Вводные'!$B$234="Да",'19_Расчет_аналитики'!AD4396,0)</f>
        <v/>
      </c>
      <c r="AE4794">
        <f>IF('01_Вводные'!$B$234="Да",'19_Расчет_аналитики'!AE4396,0)</f>
        <v/>
      </c>
      <c r="AF4794">
        <f>IF('01_Вводные'!$B$234="Да",'19_Расчет_аналитики'!AF4396,0)</f>
        <v/>
      </c>
      <c r="AG4794">
        <f>IF('01_Вводные'!$B$234="Да",'19_Расчет_аналитики'!AG4396,0)</f>
        <v/>
      </c>
      <c r="AH4794">
        <f>IF('01_Вводные'!$B$234="Да",'19_Расчет_аналитики'!AH4396,0)</f>
        <v/>
      </c>
      <c r="AI4794">
        <f>IF('01_Вводные'!$B$234="Да",'19_Расчет_аналитики'!AI4396,0)</f>
        <v/>
      </c>
      <c r="AJ4794">
        <f>IF('01_Вводные'!$B$234="Да",'19_Расчет_аналитики'!AJ4396,0)</f>
        <v/>
      </c>
      <c r="AK4794">
        <f>IF('01_Вводные'!$B$234="Да",'19_Расчет_аналитики'!AK4396,0)</f>
        <v/>
      </c>
      <c r="AL4794">
        <f>IF('01_Вводные'!$B$234="Да",'19_Расчет_аналитики'!AL4396,0)</f>
        <v/>
      </c>
      <c r="AM4794">
        <f>IF('01_Вводные'!$B$234="Да",'19_Расчет_аналитики'!AM4396,0)</f>
        <v/>
      </c>
      <c r="AN4794">
        <f>IF('01_Вводные'!$B$234="Да",'19_Расчет_аналитики'!AN4396,0)</f>
        <v/>
      </c>
      <c r="AO4794">
        <f>IF('01_Вводные'!$B$234="Да",'19_Расчет_аналитики'!AO4396,0)</f>
        <v/>
      </c>
      <c r="AP4794">
        <f>IF('01_Вводные'!$B$234="Да",'19_Расчет_аналитики'!AP4396,0)</f>
        <v/>
      </c>
      <c r="AQ4794">
        <f>IF('01_Вводные'!$B$234="Да",'19_Расчет_аналитики'!AQ4396,0)</f>
        <v/>
      </c>
      <c r="AR4794">
        <f>IF('01_Вводные'!$B$234="Да",'19_Расчет_аналитики'!AR4396,0)</f>
        <v/>
      </c>
      <c r="AS4794">
        <f>IF('01_Вводные'!$B$234="Да",'19_Расчет_аналитики'!AS4396,0)</f>
        <v/>
      </c>
      <c r="AT4794">
        <f>IF('01_Вводные'!$B$234="Да",'19_Расчет_аналитики'!AT4396,0)</f>
        <v/>
      </c>
      <c r="AU4794">
        <f>IF('01_Вводные'!$B$234="Да",'19_Расчет_аналитики'!AU4396,0)</f>
        <v/>
      </c>
      <c r="AV4794">
        <f>IF('01_Вводные'!$B$234="Да",'19_Расчет_аналитики'!AV4396,0)</f>
        <v/>
      </c>
      <c r="AW4794">
        <f>IF('01_Вводные'!$B$234="Да",'19_Расчет_аналитики'!AW4396,0)</f>
        <v/>
      </c>
      <c r="AX4794">
        <f>IF('01_Вводные'!$B$234="Да",'19_Расчет_аналитики'!AX4396,0)</f>
        <v/>
      </c>
      <c r="AY4794">
        <f>IF('01_Вводные'!$B$234="Да",'19_Расчет_аналитики'!AY4396,0)</f>
        <v/>
      </c>
      <c r="AZ4794">
        <f>IF('01_Вводные'!$B$234="Да",'19_Расчет_аналитики'!AZ4396,0)</f>
        <v/>
      </c>
      <c r="BA4794">
        <f>IF('01_Вводные'!$B$234="Да",'19_Расчет_аналитики'!BA4396,0)</f>
        <v/>
      </c>
      <c r="BB4794">
        <f>IF('01_Вводные'!$B$234="Да",'19_Расчет_аналитики'!BB4396,0)</f>
        <v/>
      </c>
      <c r="BC4794">
        <f>IF('01_Вводные'!$B$234="Да",'19_Расчет_аналитики'!BC4396,0)</f>
        <v/>
      </c>
      <c r="BD4794">
        <f>IF('01_Вводные'!$B$234="Да",'19_Расчет_аналитики'!BD4396,0)</f>
        <v/>
      </c>
      <c r="BE4794">
        <f>IF('01_Вводные'!$B$234="Да",'19_Расчет_аналитики'!BE4396,0)</f>
        <v/>
      </c>
      <c r="BF4794">
        <f>IF('01_Вводные'!$B$234="Да",'19_Расчет_аналитики'!BF4396,0)</f>
        <v/>
      </c>
      <c r="BG4794">
        <f>IF('01_Вводные'!$B$234="Да",'19_Расчет_аналитики'!BG4396,0)</f>
        <v/>
      </c>
      <c r="BH4794">
        <f>IF('01_Вводные'!$B$234="Да",'19_Расчет_аналитики'!BH4396,0)</f>
        <v/>
      </c>
      <c r="BI4794">
        <f>IF('01_Вводные'!$B$234="Да",'19_Расчет_аналитики'!BI4396,0)</f>
        <v/>
      </c>
    </row>
    <row r="4795">
      <c r="B4795">
        <f>IF('01_Вводные'!$B$234="Да",'19_Расчет_аналитики'!$B$4080*('19_Расчет_аналитики'!B4761+'19_Расчет_аналитики'!B4762)*(1+'01_Вводные'!$B$58)+(1-'19_Расчет_аналитики'!$B$4080)*0,0)</f>
        <v/>
      </c>
      <c r="C4795">
        <f>IF('01_Вводные'!$B$234="Да",'19_Расчет_аналитики'!$B$4080*('19_Расчет_аналитики'!C4761+'19_Расчет_аналитики'!C4762)*(1+'01_Вводные'!$B$58)+(1-'19_Расчет_аналитики'!$B$4080)*('19_Расчет_аналитики'!B4761+'19_Расчет_аналитики'!B4762)*(1+'01_Вводные'!$B$58),0)</f>
        <v/>
      </c>
      <c r="D4795">
        <f>IF('01_Вводные'!$B$234="Да",'19_Расчет_аналитики'!$B$4080*('19_Расчет_аналитики'!D4761+'19_Расчет_аналитики'!D4762)*(1+'01_Вводные'!$B$58)+(1-'19_Расчет_аналитики'!$B$4080)*('19_Расчет_аналитики'!C4761+'19_Расчет_аналитики'!C4762)*(1+'01_Вводные'!$B$58),0)</f>
        <v/>
      </c>
      <c r="E4795">
        <f>IF('01_Вводные'!$B$234="Да",'19_Расчет_аналитики'!$B$4080*('19_Расчет_аналитики'!E4761+'19_Расчет_аналитики'!E4762)*(1+'01_Вводные'!$B$58)+(1-'19_Расчет_аналитики'!$B$4080)*('19_Расчет_аналитики'!D4761+'19_Расчет_аналитики'!D4762)*(1+'01_Вводные'!$B$58),0)</f>
        <v/>
      </c>
      <c r="F4795">
        <f>IF('01_Вводные'!$B$234="Да",'19_Расчет_аналитики'!$B$4080*('19_Расчет_аналитики'!F4761+'19_Расчет_аналитики'!F4762)*(1+'01_Вводные'!$B$58)+(1-'19_Расчет_аналитики'!$B$4080)*('19_Расчет_аналитики'!E4761+'19_Расчет_аналитики'!E4762)*(1+'01_Вводные'!$B$58),0)</f>
        <v/>
      </c>
      <c r="G4795">
        <f>IF('01_Вводные'!$B$234="Да",'19_Расчет_аналитики'!$B$4080*('19_Расчет_аналитики'!G4761+'19_Расчет_аналитики'!G4762)*(1+'01_Вводные'!$B$58)+(1-'19_Расчет_аналитики'!$B$4080)*('19_Расчет_аналитики'!F4761+'19_Расчет_аналитики'!F4762)*(1+'01_Вводные'!$B$58),0)</f>
        <v/>
      </c>
      <c r="H4795">
        <f>IF('01_Вводные'!$B$234="Да",'19_Расчет_аналитики'!$B$4080*('19_Расчет_аналитики'!H4761+'19_Расчет_аналитики'!H4762)*(1+'01_Вводные'!$B$58)+(1-'19_Расчет_аналитики'!$B$4080)*('19_Расчет_аналитики'!G4761+'19_Расчет_аналитики'!G4762)*(1+'01_Вводные'!$B$58),0)</f>
        <v/>
      </c>
      <c r="I4795">
        <f>IF('01_Вводные'!$B$234="Да",'19_Расчет_аналитики'!$B$4080*('19_Расчет_аналитики'!I4761+'19_Расчет_аналитики'!I4762)*(1+'01_Вводные'!$B$58)+(1-'19_Расчет_аналитики'!$B$4080)*('19_Расчет_аналитики'!H4761+'19_Расчет_аналитики'!H4762)*(1+'01_Вводные'!$B$58),0)</f>
        <v/>
      </c>
      <c r="J4795">
        <f>IF('01_Вводные'!$B$234="Да",'19_Расчет_аналитики'!$B$4080*('19_Расчет_аналитики'!J4761+'19_Расчет_аналитики'!J4762)*(1+'01_Вводные'!$B$58)+(1-'19_Расчет_аналитики'!$B$4080)*('19_Расчет_аналитики'!I4761+'19_Расчет_аналитики'!I4762)*(1+'01_Вводные'!$B$58),0)</f>
        <v/>
      </c>
      <c r="K4795">
        <f>IF('01_Вводные'!$B$234="Да",'19_Расчет_аналитики'!$B$4080*('19_Расчет_аналитики'!K4761+'19_Расчет_аналитики'!K4762)*(1+'01_Вводные'!$B$58)+(1-'19_Расчет_аналитики'!$B$4080)*('19_Расчет_аналитики'!J4761+'19_Расчет_аналитики'!J4762)*(1+'01_Вводные'!$B$58),0)</f>
        <v/>
      </c>
      <c r="L4795">
        <f>IF('01_Вводные'!$B$234="Да",'19_Расчет_аналитики'!$B$4080*('19_Расчет_аналитики'!L4761+'19_Расчет_аналитики'!L4762)*(1+'01_Вводные'!$B$58)+(1-'19_Расчет_аналитики'!$B$4080)*('19_Расчет_аналитики'!K4761+'19_Расчет_аналитики'!K4762)*(1+'01_Вводные'!$B$58),0)</f>
        <v/>
      </c>
      <c r="M4795">
        <f>IF('01_Вводные'!$B$234="Да",'19_Расчет_аналитики'!$B$4080*('19_Расчет_аналитики'!M4761+'19_Расчет_аналитики'!M4762)*(1+'01_Вводные'!$B$58)+(1-'19_Расчет_аналитики'!$B$4080)*('19_Расчет_аналитики'!L4761+'19_Расчет_аналитики'!L4762)*(1+'01_Вводные'!$B$58),0)</f>
        <v/>
      </c>
      <c r="N4795">
        <f>IF('01_Вводные'!$B$234="Да",'19_Расчет_аналитики'!$B$4080*('19_Расчет_аналитики'!N4761+'19_Расчет_аналитики'!N4762)*(1+'01_Вводные'!$B$58)+(1-'19_Расчет_аналитики'!$B$4080)*('19_Расчет_аналитики'!M4761+'19_Расчет_аналитики'!M4762)*(1+'01_Вводные'!$B$58),0)</f>
        <v/>
      </c>
      <c r="O4795">
        <f>IF('01_Вводные'!$B$234="Да",'19_Расчет_аналитики'!$B$4080*('19_Расчет_аналитики'!O4761+'19_Расчет_аналитики'!O4762)*(1+'01_Вводные'!$B$58)+(1-'19_Расчет_аналитики'!$B$4080)*('19_Расчет_аналитики'!N4761+'19_Расчет_аналитики'!N4762)*(1+'01_Вводные'!$B$58),0)</f>
        <v/>
      </c>
      <c r="P4795">
        <f>IF('01_Вводные'!$B$234="Да",'19_Расчет_аналитики'!$B$4080*('19_Расчет_аналитики'!P4761+'19_Расчет_аналитики'!P4762)*(1+'01_Вводные'!$B$58)+(1-'19_Расчет_аналитики'!$B$4080)*('19_Расчет_аналитики'!O4761+'19_Расчет_аналитики'!O4762)*(1+'01_Вводные'!$B$58),0)</f>
        <v/>
      </c>
      <c r="Q4795">
        <f>IF('01_Вводные'!$B$234="Да",'19_Расчет_аналитики'!$B$4080*('19_Расчет_аналитики'!Q4761+'19_Расчет_аналитики'!Q4762)*(1+'01_Вводные'!$B$58)+(1-'19_Расчет_аналитики'!$B$4080)*('19_Расчет_аналитики'!P4761+'19_Расчет_аналитики'!P4762)*(1+'01_Вводные'!$B$58),0)</f>
        <v/>
      </c>
      <c r="R4795">
        <f>IF('01_Вводные'!$B$234="Да",'19_Расчет_аналитики'!$B$4080*('19_Расчет_аналитики'!R4761+'19_Расчет_аналитики'!R4762)*(1+'01_Вводные'!$B$58)+(1-'19_Расчет_аналитики'!$B$4080)*('19_Расчет_аналитики'!Q4761+'19_Расчет_аналитики'!Q4762)*(1+'01_Вводные'!$B$58),0)</f>
        <v/>
      </c>
      <c r="S4795">
        <f>IF('01_Вводные'!$B$234="Да",'19_Расчет_аналитики'!$B$4080*('19_Расчет_аналитики'!S4761+'19_Расчет_аналитики'!S4762)*(1+'01_Вводные'!$B$58)+(1-'19_Расчет_аналитики'!$B$4080)*('19_Расчет_аналитики'!R4761+'19_Расчет_аналитики'!R4762)*(1+'01_Вводные'!$B$58),0)</f>
        <v/>
      </c>
      <c r="T4795">
        <f>IF('01_Вводные'!$B$234="Да",'19_Расчет_аналитики'!$B$4080*('19_Расчет_аналитики'!T4761+'19_Расчет_аналитики'!T4762)*(1+'01_Вводные'!$B$58)+(1-'19_Расчет_аналитики'!$B$4080)*('19_Расчет_аналитики'!S4761+'19_Расчет_аналитики'!S4762)*(1+'01_Вводные'!$B$58),0)</f>
        <v/>
      </c>
      <c r="U4795">
        <f>IF('01_Вводные'!$B$234="Да",'19_Расчет_аналитики'!$B$4080*('19_Расчет_аналитики'!U4761+'19_Расчет_аналитики'!U4762)*(1+'01_Вводные'!$B$58)+(1-'19_Расчет_аналитики'!$B$4080)*('19_Расчет_аналитики'!T4761+'19_Расчет_аналитики'!T4762)*(1+'01_Вводные'!$B$58),0)</f>
        <v/>
      </c>
      <c r="V4795">
        <f>IF('01_Вводные'!$B$234="Да",'19_Расчет_аналитики'!$B$4080*('19_Расчет_аналитики'!V4761+'19_Расчет_аналитики'!V4762)*(1+'01_Вводные'!$B$58)+(1-'19_Расчет_аналитики'!$B$4080)*('19_Расчет_аналитики'!U4761+'19_Расчет_аналитики'!U4762)*(1+'01_Вводные'!$B$58),0)</f>
        <v/>
      </c>
      <c r="W4795">
        <f>IF('01_Вводные'!$B$234="Да",'19_Расчет_аналитики'!$B$4080*('19_Расчет_аналитики'!W4761+'19_Расчет_аналитики'!W4762)*(1+'01_Вводные'!$B$58)+(1-'19_Расчет_аналитики'!$B$4080)*('19_Расчет_аналитики'!V4761+'19_Расчет_аналитики'!V4762)*(1+'01_Вводные'!$B$58),0)</f>
        <v/>
      </c>
      <c r="X4795">
        <f>IF('01_Вводные'!$B$234="Да",'19_Расчет_аналитики'!$B$4080*('19_Расчет_аналитики'!X4761+'19_Расчет_аналитики'!X4762)*(1+'01_Вводные'!$B$58)+(1-'19_Расчет_аналитики'!$B$4080)*('19_Расчет_аналитики'!W4761+'19_Расчет_аналитики'!W4762)*(1+'01_Вводные'!$B$58),0)</f>
        <v/>
      </c>
      <c r="Y4795">
        <f>IF('01_Вводные'!$B$234="Да",'19_Расчет_аналитики'!$B$4080*('19_Расчет_аналитики'!Y4761+'19_Расчет_аналитики'!Y4762)*(1+'01_Вводные'!$B$58)+(1-'19_Расчет_аналитики'!$B$4080)*('19_Расчет_аналитики'!X4761+'19_Расчет_аналитики'!X4762)*(1+'01_Вводные'!$B$58),0)</f>
        <v/>
      </c>
      <c r="Z4795">
        <f>IF('01_Вводные'!$B$234="Да",'19_Расчет_аналитики'!$B$4080*('19_Расчет_аналитики'!Z4761+'19_Расчет_аналитики'!Z4762)*(1+'01_Вводные'!$B$58)+(1-'19_Расчет_аналитики'!$B$4080)*('19_Расчет_аналитики'!Y4761+'19_Расчет_аналитики'!Y4762)*(1+'01_Вводные'!$B$58),0)</f>
        <v/>
      </c>
      <c r="AA4795">
        <f>IF('01_Вводные'!$B$234="Да",'19_Расчет_аналитики'!$B$4080*('19_Расчет_аналитики'!AA4761+'19_Расчет_аналитики'!AA4762)*(1+'01_Вводные'!$B$58)+(1-'19_Расчет_аналитики'!$B$4080)*('19_Расчет_аналитики'!Z4761+'19_Расчет_аналитики'!Z4762)*(1+'01_Вводные'!$B$58),0)</f>
        <v/>
      </c>
      <c r="AB4795">
        <f>IF('01_Вводные'!$B$234="Да",'19_Расчет_аналитики'!$B$4080*('19_Расчет_аналитики'!AB4761+'19_Расчет_аналитики'!AB4762)*(1+'01_Вводные'!$B$58)+(1-'19_Расчет_аналитики'!$B$4080)*('19_Расчет_аналитики'!AA4761+'19_Расчет_аналитики'!AA4762)*(1+'01_Вводные'!$B$58),0)</f>
        <v/>
      </c>
      <c r="AC4795">
        <f>IF('01_Вводные'!$B$234="Да",'19_Расчет_аналитики'!$B$4080*('19_Расчет_аналитики'!AC4761+'19_Расчет_аналитики'!AC4762)*(1+'01_Вводные'!$B$58)+(1-'19_Расчет_аналитики'!$B$4080)*('19_Расчет_аналитики'!AB4761+'19_Расчет_аналитики'!AB4762)*(1+'01_Вводные'!$B$58),0)</f>
        <v/>
      </c>
      <c r="AD4795">
        <f>IF('01_Вводные'!$B$234="Да",'19_Расчет_аналитики'!$B$4080*('19_Расчет_аналитики'!AD4761+'19_Расчет_аналитики'!AD4762)*(1+'01_Вводные'!$B$58)+(1-'19_Расчет_аналитики'!$B$4080)*('19_Расчет_аналитики'!AC4761+'19_Расчет_аналитики'!AC4762)*(1+'01_Вводные'!$B$58),0)</f>
        <v/>
      </c>
      <c r="AE4795">
        <f>IF('01_Вводные'!$B$234="Да",'19_Расчет_аналитики'!$B$4080*('19_Расчет_аналитики'!AE4761+'19_Расчет_аналитики'!AE4762)*(1+'01_Вводные'!$B$58)+(1-'19_Расчет_аналитики'!$B$4080)*('19_Расчет_аналитики'!AD4761+'19_Расчет_аналитики'!AD4762)*(1+'01_Вводные'!$B$58),0)</f>
        <v/>
      </c>
      <c r="AF4795">
        <f>IF('01_Вводные'!$B$234="Да",'19_Расчет_аналитики'!$B$4080*('19_Расчет_аналитики'!AF4761+'19_Расчет_аналитики'!AF4762)*(1+'01_Вводные'!$B$58)+(1-'19_Расчет_аналитики'!$B$4080)*('19_Расчет_аналитики'!AE4761+'19_Расчет_аналитики'!AE4762)*(1+'01_Вводные'!$B$58),0)</f>
        <v/>
      </c>
      <c r="AG4795">
        <f>IF('01_Вводные'!$B$234="Да",'19_Расчет_аналитики'!$B$4080*('19_Расчет_аналитики'!AG4761+'19_Расчет_аналитики'!AG4762)*(1+'01_Вводные'!$B$58)+(1-'19_Расчет_аналитики'!$B$4080)*('19_Расчет_аналитики'!AF4761+'19_Расчет_аналитики'!AF4762)*(1+'01_Вводные'!$B$58),0)</f>
        <v/>
      </c>
      <c r="AH4795">
        <f>IF('01_Вводные'!$B$234="Да",'19_Расчет_аналитики'!$B$4080*('19_Расчет_аналитики'!AH4761+'19_Расчет_аналитики'!AH4762)*(1+'01_Вводные'!$B$58)+(1-'19_Расчет_аналитики'!$B$4080)*('19_Расчет_аналитики'!AG4761+'19_Расчет_аналитики'!AG4762)*(1+'01_Вводные'!$B$58),0)</f>
        <v/>
      </c>
      <c r="AI4795">
        <f>IF('01_Вводные'!$B$234="Да",'19_Расчет_аналитики'!$B$4080*('19_Расчет_аналитики'!AI4761+'19_Расчет_аналитики'!AI4762)*(1+'01_Вводные'!$B$58)+(1-'19_Расчет_аналитики'!$B$4080)*('19_Расчет_аналитики'!AH4761+'19_Расчет_аналитики'!AH4762)*(1+'01_Вводные'!$B$58),0)</f>
        <v/>
      </c>
      <c r="AJ4795">
        <f>IF('01_Вводные'!$B$234="Да",'19_Расчет_аналитики'!$B$4080*('19_Расчет_аналитики'!AJ4761+'19_Расчет_аналитики'!AJ4762)*(1+'01_Вводные'!$B$58)+(1-'19_Расчет_аналитики'!$B$4080)*('19_Расчет_аналитики'!AI4761+'19_Расчет_аналитики'!AI4762)*(1+'01_Вводные'!$B$58),0)</f>
        <v/>
      </c>
      <c r="AK4795">
        <f>IF('01_Вводные'!$B$234="Да",'19_Расчет_аналитики'!$B$4080*('19_Расчет_аналитики'!AK4761+'19_Расчет_аналитики'!AK4762)*(1+'01_Вводные'!$B$58)+(1-'19_Расчет_аналитики'!$B$4080)*('19_Расчет_аналитики'!AJ4761+'19_Расчет_аналитики'!AJ4762)*(1+'01_Вводные'!$B$58),0)</f>
        <v/>
      </c>
      <c r="AL4795">
        <f>IF('01_Вводные'!$B$234="Да",'19_Расчет_аналитики'!$B$4080*('19_Расчет_аналитики'!AL4761+'19_Расчет_аналитики'!AL4762)*(1+'01_Вводные'!$B$58)+(1-'19_Расчет_аналитики'!$B$4080)*('19_Расчет_аналитики'!AK4761+'19_Расчет_аналитики'!AK4762)*(1+'01_Вводные'!$B$58),0)</f>
        <v/>
      </c>
      <c r="AM4795">
        <f>IF('01_Вводные'!$B$234="Да",'19_Расчет_аналитики'!$B$4080*('19_Расчет_аналитики'!AM4761+'19_Расчет_аналитики'!AM4762)*(1+'01_Вводные'!$B$58)+(1-'19_Расчет_аналитики'!$B$4080)*('19_Расчет_аналитики'!AL4761+'19_Расчет_аналитики'!AL4762)*(1+'01_Вводные'!$B$58),0)</f>
        <v/>
      </c>
      <c r="AN4795">
        <f>IF('01_Вводные'!$B$234="Да",'19_Расчет_аналитики'!$B$4080*('19_Расчет_аналитики'!AN4761+'19_Расчет_аналитики'!AN4762)*(1+'01_Вводные'!$B$58)+(1-'19_Расчет_аналитики'!$B$4080)*('19_Расчет_аналитики'!AM4761+'19_Расчет_аналитики'!AM4762)*(1+'01_Вводные'!$B$58),0)</f>
        <v/>
      </c>
      <c r="AO4795">
        <f>IF('01_Вводные'!$B$234="Да",'19_Расчет_аналитики'!$B$4080*('19_Расчет_аналитики'!AO4761+'19_Расчет_аналитики'!AO4762)*(1+'01_Вводные'!$B$58)+(1-'19_Расчет_аналитики'!$B$4080)*('19_Расчет_аналитики'!AN4761+'19_Расчет_аналитики'!AN4762)*(1+'01_Вводные'!$B$58),0)</f>
        <v/>
      </c>
      <c r="AP4795">
        <f>IF('01_Вводные'!$B$234="Да",'19_Расчет_аналитики'!$B$4080*('19_Расчет_аналитики'!AP4761+'19_Расчет_аналитики'!AP4762)*(1+'01_Вводные'!$B$58)+(1-'19_Расчет_аналитики'!$B$4080)*('19_Расчет_аналитики'!AO4761+'19_Расчет_аналитики'!AO4762)*(1+'01_Вводные'!$B$58),0)</f>
        <v/>
      </c>
      <c r="AQ4795">
        <f>IF('01_Вводные'!$B$234="Да",'19_Расчет_аналитики'!$B$4080*('19_Расчет_аналитики'!AQ4761+'19_Расчет_аналитики'!AQ4762)*(1+'01_Вводные'!$B$58)+(1-'19_Расчет_аналитики'!$B$4080)*('19_Расчет_аналитики'!AP4761+'19_Расчет_аналитики'!AP4762)*(1+'01_Вводные'!$B$58),0)</f>
        <v/>
      </c>
      <c r="AR4795">
        <f>IF('01_Вводные'!$B$234="Да",'19_Расчет_аналитики'!$B$4080*('19_Расчет_аналитики'!AR4761+'19_Расчет_аналитики'!AR4762)*(1+'01_Вводные'!$B$58)+(1-'19_Расчет_аналитики'!$B$4080)*('19_Расчет_аналитики'!AQ4761+'19_Расчет_аналитики'!AQ4762)*(1+'01_Вводные'!$B$58),0)</f>
        <v/>
      </c>
      <c r="AS4795">
        <f>IF('01_Вводные'!$B$234="Да",'19_Расчет_аналитики'!$B$4080*('19_Расчет_аналитики'!AS4761+'19_Расчет_аналитики'!AS4762)*(1+'01_Вводные'!$B$58)+(1-'19_Расчет_аналитики'!$B$4080)*('19_Расчет_аналитики'!AR4761+'19_Расчет_аналитики'!AR4762)*(1+'01_Вводные'!$B$58),0)</f>
        <v/>
      </c>
      <c r="AT4795">
        <f>IF('01_Вводные'!$B$234="Да",'19_Расчет_аналитики'!$B$4080*('19_Расчет_аналитики'!AT4761+'19_Расчет_аналитики'!AT4762)*(1+'01_Вводные'!$B$58)+(1-'19_Расчет_аналитики'!$B$4080)*('19_Расчет_аналитики'!AS4761+'19_Расчет_аналитики'!AS4762)*(1+'01_Вводные'!$B$58),0)</f>
        <v/>
      </c>
      <c r="AU4795">
        <f>IF('01_Вводные'!$B$234="Да",'19_Расчет_аналитики'!$B$4080*('19_Расчет_аналитики'!AU4761+'19_Расчет_аналитики'!AU4762)*(1+'01_Вводные'!$B$58)+(1-'19_Расчет_аналитики'!$B$4080)*('19_Расчет_аналитики'!AT4761+'19_Расчет_аналитики'!AT4762)*(1+'01_Вводные'!$B$58),0)</f>
        <v/>
      </c>
      <c r="AV4795">
        <f>IF('01_Вводные'!$B$234="Да",'19_Расчет_аналитики'!$B$4080*('19_Расчет_аналитики'!AV4761+'19_Расчет_аналитики'!AV4762)*(1+'01_Вводные'!$B$58)+(1-'19_Расчет_аналитики'!$B$4080)*('19_Расчет_аналитики'!AU4761+'19_Расчет_аналитики'!AU4762)*(1+'01_Вводные'!$B$58),0)</f>
        <v/>
      </c>
      <c r="AW4795">
        <f>IF('01_Вводные'!$B$234="Да",'19_Расчет_аналитики'!$B$4080*('19_Расчет_аналитики'!AW4761+'19_Расчет_аналитики'!AW4762)*(1+'01_Вводные'!$B$58)+(1-'19_Расчет_аналитики'!$B$4080)*('19_Расчет_аналитики'!AV4761+'19_Расчет_аналитики'!AV4762)*(1+'01_Вводные'!$B$58),0)</f>
        <v/>
      </c>
      <c r="AX4795">
        <f>IF('01_Вводные'!$B$234="Да",'19_Расчет_аналитики'!$B$4080*('19_Расчет_аналитики'!AX4761+'19_Расчет_аналитики'!AX4762)*(1+'01_Вводные'!$B$58)+(1-'19_Расчет_аналитики'!$B$4080)*('19_Расчет_аналитики'!AW4761+'19_Расчет_аналитики'!AW4762)*(1+'01_Вводные'!$B$58),0)</f>
        <v/>
      </c>
      <c r="AY4795">
        <f>IF('01_Вводные'!$B$234="Да",'19_Расчет_аналитики'!$B$4080*('19_Расчет_аналитики'!AY4761+'19_Расчет_аналитики'!AY4762)*(1+'01_Вводные'!$B$58)+(1-'19_Расчет_аналитики'!$B$4080)*('19_Расчет_аналитики'!AX4761+'19_Расчет_аналитики'!AX4762)*(1+'01_Вводные'!$B$58),0)</f>
        <v/>
      </c>
      <c r="AZ4795">
        <f>IF('01_Вводные'!$B$234="Да",'19_Расчет_аналитики'!$B$4080*('19_Расчет_аналитики'!AZ4761+'19_Расчет_аналитики'!AZ4762)*(1+'01_Вводные'!$B$58)+(1-'19_Расчет_аналитики'!$B$4080)*('19_Расчет_аналитики'!AY4761+'19_Расчет_аналитики'!AY4762)*(1+'01_Вводные'!$B$58),0)</f>
        <v/>
      </c>
      <c r="BA4795">
        <f>IF('01_Вводные'!$B$234="Да",'19_Расчет_аналитики'!$B$4080*('19_Расчет_аналитики'!BA4761+'19_Расчет_аналитики'!BA4762)*(1+'01_Вводные'!$B$58)+(1-'19_Расчет_аналитики'!$B$4080)*('19_Расчет_аналитики'!AZ4761+'19_Расчет_аналитики'!AZ4762)*(1+'01_Вводные'!$B$58),0)</f>
        <v/>
      </c>
      <c r="BB4795">
        <f>IF('01_Вводные'!$B$234="Да",'19_Расчет_аналитики'!$B$4080*('19_Расчет_аналитики'!BB4761+'19_Расчет_аналитики'!BB4762)*(1+'01_Вводные'!$B$58)+(1-'19_Расчет_аналитики'!$B$4080)*('19_Расчет_аналитики'!BA4761+'19_Расчет_аналитики'!BA4762)*(1+'01_Вводные'!$B$58),0)</f>
        <v/>
      </c>
      <c r="BC4795">
        <f>IF('01_Вводные'!$B$234="Да",'19_Расчет_аналитики'!$B$4080*('19_Расчет_аналитики'!BC4761+'19_Расчет_аналитики'!BC4762)*(1+'01_Вводные'!$B$58)+(1-'19_Расчет_аналитики'!$B$4080)*('19_Расчет_аналитики'!BB4761+'19_Расчет_аналитики'!BB4762)*(1+'01_Вводные'!$B$58),0)</f>
        <v/>
      </c>
      <c r="BD4795">
        <f>IF('01_Вводные'!$B$234="Да",'19_Расчет_аналитики'!$B$4080*('19_Расчет_аналитики'!BD4761+'19_Расчет_аналитики'!BD4762)*(1+'01_Вводные'!$B$58)+(1-'19_Расчет_аналитики'!$B$4080)*('19_Расчет_аналитики'!BC4761+'19_Расчет_аналитики'!BC4762)*(1+'01_Вводные'!$B$58),0)</f>
        <v/>
      </c>
      <c r="BE4795">
        <f>IF('01_Вводные'!$B$234="Да",'19_Расчет_аналитики'!$B$4080*('19_Расчет_аналитики'!BE4761+'19_Расчет_аналитики'!BE4762)*(1+'01_Вводные'!$B$58)+(1-'19_Расчет_аналитики'!$B$4080)*('19_Расчет_аналитики'!BD4761+'19_Расчет_аналитики'!BD4762)*(1+'01_Вводные'!$B$58),0)</f>
        <v/>
      </c>
      <c r="BF4795">
        <f>IF('01_Вводные'!$B$234="Да",'19_Расчет_аналитики'!$B$4080*('19_Расчет_аналитики'!BF4761+'19_Расчет_аналитики'!BF4762)*(1+'01_Вводные'!$B$58)+(1-'19_Расчет_аналитики'!$B$4080)*('19_Расчет_аналитики'!BE4761+'19_Расчет_аналитики'!BE4762)*(1+'01_Вводные'!$B$58),0)</f>
        <v/>
      </c>
      <c r="BG4795">
        <f>IF('01_Вводные'!$B$234="Да",'19_Расчет_аналитики'!$B$4080*('19_Расчет_аналитики'!BG4761+'19_Расчет_аналитики'!BG4762)*(1+'01_Вводные'!$B$58)+(1-'19_Расчет_аналитики'!$B$4080)*('19_Расчет_аналитики'!BF4761+'19_Расчет_аналитики'!BF4762)*(1+'01_Вводные'!$B$58),0)</f>
        <v/>
      </c>
      <c r="BH4795">
        <f>IF('01_Вводные'!$B$234="Да",'19_Расчет_аналитики'!$B$4080*('19_Расчет_аналитики'!BH4761+'19_Расчет_аналитики'!BH4762)*(1+'01_Вводные'!$B$58)+(1-'19_Расчет_аналитики'!$B$4080)*('19_Расчет_аналитики'!BG4761+'19_Расчет_аналитики'!BG4762)*(1+'01_Вводные'!$B$58),0)</f>
        <v/>
      </c>
      <c r="BI4795">
        <f>IF('01_Вводные'!$B$234="Да",'19_Расчет_аналитики'!$B$4080*('19_Расчет_аналитики'!BI4761+'19_Расчет_аналитики'!BI4762)*(1+'01_Вводные'!$B$58)+(1-'19_Расчет_аналитики'!$B$4080)*('19_Расчет_аналитики'!BH4761+'19_Расчет_аналитики'!BH4762)*(1+'01_Вводные'!$B$58),0)</f>
        <v/>
      </c>
    </row>
    <row r="4796">
      <c r="B4796">
        <f>IF('01_Вводные'!$B$234="Да",'19_Расчет_аналитики'!B4663,0)</f>
        <v/>
      </c>
      <c r="C4796">
        <f>IF('01_Вводные'!$B$234="Да",'19_Расчет_аналитики'!C4663,0)</f>
        <v/>
      </c>
      <c r="D4796">
        <f>IF('01_Вводные'!$B$234="Да",'19_Расчет_аналитики'!D4663,0)</f>
        <v/>
      </c>
      <c r="E4796">
        <f>IF('01_Вводные'!$B$234="Да",'19_Расчет_аналитики'!E4663,0)</f>
        <v/>
      </c>
      <c r="F4796">
        <f>IF('01_Вводные'!$B$234="Да",'19_Расчет_аналитики'!F4663,0)</f>
        <v/>
      </c>
      <c r="G4796">
        <f>IF('01_Вводные'!$B$234="Да",'19_Расчет_аналитики'!G4663,0)</f>
        <v/>
      </c>
      <c r="H4796">
        <f>IF('01_Вводные'!$B$234="Да",'19_Расчет_аналитики'!H4663,0)</f>
        <v/>
      </c>
      <c r="I4796">
        <f>IF('01_Вводные'!$B$234="Да",'19_Расчет_аналитики'!I4663,0)</f>
        <v/>
      </c>
      <c r="J4796">
        <f>IF('01_Вводные'!$B$234="Да",'19_Расчет_аналитики'!J4663,0)</f>
        <v/>
      </c>
      <c r="K4796">
        <f>IF('01_Вводные'!$B$234="Да",'19_Расчет_аналитики'!K4663,0)</f>
        <v/>
      </c>
      <c r="L4796">
        <f>IF('01_Вводные'!$B$234="Да",'19_Расчет_аналитики'!L4663,0)</f>
        <v/>
      </c>
      <c r="M4796">
        <f>IF('01_Вводные'!$B$234="Да",'19_Расчет_аналитики'!M4663,0)</f>
        <v/>
      </c>
      <c r="N4796">
        <f>IF('01_Вводные'!$B$234="Да",'19_Расчет_аналитики'!N4663,0)</f>
        <v/>
      </c>
      <c r="O4796">
        <f>IF('01_Вводные'!$B$234="Да",'19_Расчет_аналитики'!O4663,0)</f>
        <v/>
      </c>
      <c r="P4796">
        <f>IF('01_Вводные'!$B$234="Да",'19_Расчет_аналитики'!P4663,0)</f>
        <v/>
      </c>
      <c r="Q4796">
        <f>IF('01_Вводные'!$B$234="Да",'19_Расчет_аналитики'!Q4663,0)</f>
        <v/>
      </c>
      <c r="R4796">
        <f>IF('01_Вводные'!$B$234="Да",'19_Расчет_аналитики'!R4663,0)</f>
        <v/>
      </c>
      <c r="S4796">
        <f>IF('01_Вводные'!$B$234="Да",'19_Расчет_аналитики'!S4663,0)</f>
        <v/>
      </c>
      <c r="T4796">
        <f>IF('01_Вводные'!$B$234="Да",'19_Расчет_аналитики'!T4663,0)</f>
        <v/>
      </c>
      <c r="U4796">
        <f>IF('01_Вводные'!$B$234="Да",'19_Расчет_аналитики'!U4663,0)</f>
        <v/>
      </c>
      <c r="V4796">
        <f>IF('01_Вводные'!$B$234="Да",'19_Расчет_аналитики'!V4663,0)</f>
        <v/>
      </c>
      <c r="W4796">
        <f>IF('01_Вводные'!$B$234="Да",'19_Расчет_аналитики'!W4663,0)</f>
        <v/>
      </c>
      <c r="X4796">
        <f>IF('01_Вводные'!$B$234="Да",'19_Расчет_аналитики'!X4663,0)</f>
        <v/>
      </c>
      <c r="Y4796">
        <f>IF('01_Вводные'!$B$234="Да",'19_Расчет_аналитики'!Y4663,0)</f>
        <v/>
      </c>
      <c r="Z4796">
        <f>IF('01_Вводные'!$B$234="Да",'19_Расчет_аналитики'!Z4663,0)</f>
        <v/>
      </c>
      <c r="AA4796">
        <f>IF('01_Вводные'!$B$234="Да",'19_Расчет_аналитики'!AA4663,0)</f>
        <v/>
      </c>
      <c r="AB4796">
        <f>IF('01_Вводные'!$B$234="Да",'19_Расчет_аналитики'!AB4663,0)</f>
        <v/>
      </c>
      <c r="AC4796">
        <f>IF('01_Вводные'!$B$234="Да",'19_Расчет_аналитики'!AC4663,0)</f>
        <v/>
      </c>
      <c r="AD4796">
        <f>IF('01_Вводные'!$B$234="Да",'19_Расчет_аналитики'!AD4663,0)</f>
        <v/>
      </c>
      <c r="AE4796">
        <f>IF('01_Вводные'!$B$234="Да",'19_Расчет_аналитики'!AE4663,0)</f>
        <v/>
      </c>
      <c r="AF4796">
        <f>IF('01_Вводные'!$B$234="Да",'19_Расчет_аналитики'!AF4663,0)</f>
        <v/>
      </c>
      <c r="AG4796">
        <f>IF('01_Вводные'!$B$234="Да",'19_Расчет_аналитики'!AG4663,0)</f>
        <v/>
      </c>
      <c r="AH4796">
        <f>IF('01_Вводные'!$B$234="Да",'19_Расчет_аналитики'!AH4663,0)</f>
        <v/>
      </c>
      <c r="AI4796">
        <f>IF('01_Вводные'!$B$234="Да",'19_Расчет_аналитики'!AI4663,0)</f>
        <v/>
      </c>
      <c r="AJ4796">
        <f>IF('01_Вводные'!$B$234="Да",'19_Расчет_аналитики'!AJ4663,0)</f>
        <v/>
      </c>
      <c r="AK4796">
        <f>IF('01_Вводные'!$B$234="Да",'19_Расчет_аналитики'!AK4663,0)</f>
        <v/>
      </c>
      <c r="AL4796">
        <f>IF('01_Вводные'!$B$234="Да",'19_Расчет_аналитики'!AL4663,0)</f>
        <v/>
      </c>
      <c r="AM4796">
        <f>IF('01_Вводные'!$B$234="Да",'19_Расчет_аналитики'!AM4663,0)</f>
        <v/>
      </c>
      <c r="AN4796">
        <f>IF('01_Вводные'!$B$234="Да",'19_Расчет_аналитики'!AN4663,0)</f>
        <v/>
      </c>
      <c r="AO4796">
        <f>IF('01_Вводные'!$B$234="Да",'19_Расчет_аналитики'!AO4663,0)</f>
        <v/>
      </c>
      <c r="AP4796">
        <f>IF('01_Вводные'!$B$234="Да",'19_Расчет_аналитики'!AP4663,0)</f>
        <v/>
      </c>
      <c r="AQ4796">
        <f>IF('01_Вводные'!$B$234="Да",'19_Расчет_аналитики'!AQ4663,0)</f>
        <v/>
      </c>
      <c r="AR4796">
        <f>IF('01_Вводные'!$B$234="Да",'19_Расчет_аналитики'!AR4663,0)</f>
        <v/>
      </c>
      <c r="AS4796">
        <f>IF('01_Вводные'!$B$234="Да",'19_Расчет_аналитики'!AS4663,0)</f>
        <v/>
      </c>
      <c r="AT4796">
        <f>IF('01_Вводные'!$B$234="Да",'19_Расчет_аналитики'!AT4663,0)</f>
        <v/>
      </c>
      <c r="AU4796">
        <f>IF('01_Вводные'!$B$234="Да",'19_Расчет_аналитики'!AU4663,0)</f>
        <v/>
      </c>
      <c r="AV4796">
        <f>IF('01_Вводные'!$B$234="Да",'19_Расчет_аналитики'!AV4663,0)</f>
        <v/>
      </c>
      <c r="AW4796">
        <f>IF('01_Вводные'!$B$234="Да",'19_Расчет_аналитики'!AW4663,0)</f>
        <v/>
      </c>
      <c r="AX4796">
        <f>IF('01_Вводные'!$B$234="Да",'19_Расчет_аналитики'!AX4663,0)</f>
        <v/>
      </c>
      <c r="AY4796">
        <f>IF('01_Вводные'!$B$234="Да",'19_Расчет_аналитики'!AY4663,0)</f>
        <v/>
      </c>
      <c r="AZ4796">
        <f>IF('01_Вводные'!$B$234="Да",'19_Расчет_аналитики'!AZ4663,0)</f>
        <v/>
      </c>
      <c r="BA4796">
        <f>IF('01_Вводные'!$B$234="Да",'19_Расчет_аналитики'!BA4663,0)</f>
        <v/>
      </c>
      <c r="BB4796">
        <f>IF('01_Вводные'!$B$234="Да",'19_Расчет_аналитики'!BB4663,0)</f>
        <v/>
      </c>
      <c r="BC4796">
        <f>IF('01_Вводные'!$B$234="Да",'19_Расчет_аналитики'!BC4663,0)</f>
        <v/>
      </c>
      <c r="BD4796">
        <f>IF('01_Вводные'!$B$234="Да",'19_Расчет_аналитики'!BD4663,0)</f>
        <v/>
      </c>
      <c r="BE4796">
        <f>IF('01_Вводные'!$B$234="Да",'19_Расчет_аналитики'!BE4663,0)</f>
        <v/>
      </c>
      <c r="BF4796">
        <f>IF('01_Вводные'!$B$234="Да",'19_Расчет_аналитики'!BF4663,0)</f>
        <v/>
      </c>
      <c r="BG4796">
        <f>IF('01_Вводные'!$B$234="Да",'19_Расчет_аналитики'!BG4663,0)</f>
        <v/>
      </c>
      <c r="BH4796">
        <f>IF('01_Вводные'!$B$234="Да",'19_Расчет_аналитики'!BH4663,0)</f>
        <v/>
      </c>
      <c r="BI4796">
        <f>IF('01_Вводные'!$B$234="Да",'19_Расчет_аналитики'!BI4663,0)</f>
        <v/>
      </c>
    </row>
    <row r="4797">
      <c r="B4797">
        <f>'02_Модель'!B55</f>
        <v/>
      </c>
      <c r="C4797">
        <f>'02_Модель'!C55</f>
        <v/>
      </c>
      <c r="D4797">
        <f>'02_Модель'!D55</f>
        <v/>
      </c>
      <c r="E4797">
        <f>'02_Модель'!E55</f>
        <v/>
      </c>
      <c r="F4797">
        <f>'02_Модель'!F55</f>
        <v/>
      </c>
      <c r="G4797">
        <f>'02_Модель'!G55</f>
        <v/>
      </c>
      <c r="H4797">
        <f>'02_Модель'!H55</f>
        <v/>
      </c>
      <c r="I4797">
        <f>'02_Модель'!I55</f>
        <v/>
      </c>
      <c r="J4797">
        <f>'02_Модель'!J55</f>
        <v/>
      </c>
      <c r="K4797">
        <f>'02_Модель'!K55</f>
        <v/>
      </c>
      <c r="L4797">
        <f>'02_Модель'!L55</f>
        <v/>
      </c>
      <c r="M4797">
        <f>'02_Модель'!M55</f>
        <v/>
      </c>
      <c r="N4797">
        <f>'02_Модель'!N55</f>
        <v/>
      </c>
      <c r="O4797">
        <f>'02_Модель'!O55</f>
        <v/>
      </c>
      <c r="P4797">
        <f>'02_Модель'!P55</f>
        <v/>
      </c>
      <c r="Q4797">
        <f>'02_Модель'!Q55</f>
        <v/>
      </c>
      <c r="R4797">
        <f>'02_Модель'!R55</f>
        <v/>
      </c>
      <c r="S4797">
        <f>'02_Модель'!S55</f>
        <v/>
      </c>
      <c r="T4797">
        <f>'02_Модель'!T55</f>
        <v/>
      </c>
      <c r="U4797">
        <f>'02_Модель'!U55</f>
        <v/>
      </c>
      <c r="V4797">
        <f>'02_Модель'!V55</f>
        <v/>
      </c>
      <c r="W4797">
        <f>'02_Модель'!W55</f>
        <v/>
      </c>
      <c r="X4797">
        <f>'02_Модель'!X55</f>
        <v/>
      </c>
      <c r="Y4797">
        <f>'02_Модель'!Y55</f>
        <v/>
      </c>
      <c r="Z4797">
        <f>'02_Модель'!Z55</f>
        <v/>
      </c>
      <c r="AA4797">
        <f>'02_Модель'!AA55</f>
        <v/>
      </c>
      <c r="AB4797">
        <f>'02_Модель'!AB55</f>
        <v/>
      </c>
      <c r="AC4797">
        <f>'02_Модель'!AC55</f>
        <v/>
      </c>
      <c r="AD4797">
        <f>'02_Модель'!AD55</f>
        <v/>
      </c>
      <c r="AE4797">
        <f>'02_Модель'!AE55</f>
        <v/>
      </c>
      <c r="AF4797">
        <f>'02_Модель'!AF55</f>
        <v/>
      </c>
      <c r="AG4797">
        <f>'02_Модель'!AG55</f>
        <v/>
      </c>
      <c r="AH4797">
        <f>'02_Модель'!AH55</f>
        <v/>
      </c>
      <c r="AI4797">
        <f>'02_Модель'!AI55</f>
        <v/>
      </c>
      <c r="AJ4797">
        <f>'02_Модель'!AJ55</f>
        <v/>
      </c>
      <c r="AK4797">
        <f>'02_Модель'!AK55</f>
        <v/>
      </c>
      <c r="AL4797">
        <f>'02_Модель'!AL55</f>
        <v/>
      </c>
      <c r="AM4797">
        <f>'02_Модель'!AM55</f>
        <v/>
      </c>
      <c r="AN4797">
        <f>'02_Модель'!AN55</f>
        <v/>
      </c>
      <c r="AO4797">
        <f>'02_Модель'!AO55</f>
        <v/>
      </c>
      <c r="AP4797">
        <f>'02_Модель'!AP55</f>
        <v/>
      </c>
      <c r="AQ4797">
        <f>'02_Модель'!AQ55</f>
        <v/>
      </c>
      <c r="AR4797">
        <f>'02_Модель'!AR55</f>
        <v/>
      </c>
      <c r="AS4797">
        <f>'02_Модель'!AS55</f>
        <v/>
      </c>
      <c r="AT4797">
        <f>'02_Модель'!AT55</f>
        <v/>
      </c>
      <c r="AU4797">
        <f>'02_Модель'!AU55</f>
        <v/>
      </c>
      <c r="AV4797">
        <f>'02_Модель'!AV55</f>
        <v/>
      </c>
      <c r="AW4797">
        <f>'02_Модель'!AW55</f>
        <v/>
      </c>
      <c r="AX4797">
        <f>'02_Модель'!AX55</f>
        <v/>
      </c>
      <c r="AY4797">
        <f>'02_Модель'!AY55</f>
        <v/>
      </c>
      <c r="AZ4797">
        <f>'02_Модель'!AZ55</f>
        <v/>
      </c>
      <c r="BA4797">
        <f>'02_Модель'!BA55</f>
        <v/>
      </c>
      <c r="BB4797">
        <f>'02_Модель'!BB55</f>
        <v/>
      </c>
      <c r="BC4797">
        <f>'02_Модель'!BC55</f>
        <v/>
      </c>
      <c r="BD4797">
        <f>'02_Модель'!BD55</f>
        <v/>
      </c>
      <c r="BE4797">
        <f>'02_Модель'!BE55</f>
        <v/>
      </c>
      <c r="BF4797">
        <f>'02_Модель'!BF55</f>
        <v/>
      </c>
      <c r="BG4797">
        <f>'02_Модель'!BG55</f>
        <v/>
      </c>
      <c r="BH4797">
        <f>'02_Модель'!BH55</f>
        <v/>
      </c>
      <c r="BI4797">
        <f>'02_Модель'!BI55</f>
        <v/>
      </c>
    </row>
    <row r="4798">
      <c r="B4798">
        <f>IF('01_Вводные'!$B$234="Да",SUM('19_Расчет_аналитики'!B4794:B4797),0)</f>
        <v/>
      </c>
      <c r="C4798">
        <f>IF('01_Вводные'!$B$234="Да",SUM('19_Расчет_аналитики'!C4794:C4797),0)</f>
        <v/>
      </c>
      <c r="D4798">
        <f>IF('01_Вводные'!$B$234="Да",SUM('19_Расчет_аналитики'!D4794:D4797),0)</f>
        <v/>
      </c>
      <c r="E4798">
        <f>IF('01_Вводные'!$B$234="Да",SUM('19_Расчет_аналитики'!E4794:E4797),0)</f>
        <v/>
      </c>
      <c r="F4798">
        <f>IF('01_Вводные'!$B$234="Да",SUM('19_Расчет_аналитики'!F4794:F4797),0)</f>
        <v/>
      </c>
      <c r="G4798">
        <f>IF('01_Вводные'!$B$234="Да",SUM('19_Расчет_аналитики'!G4794:G4797),0)</f>
        <v/>
      </c>
      <c r="H4798">
        <f>IF('01_Вводные'!$B$234="Да",SUM('19_Расчет_аналитики'!H4794:H4797),0)</f>
        <v/>
      </c>
      <c r="I4798">
        <f>IF('01_Вводные'!$B$234="Да",SUM('19_Расчет_аналитики'!I4794:I4797),0)</f>
        <v/>
      </c>
      <c r="J4798">
        <f>IF('01_Вводные'!$B$234="Да",SUM('19_Расчет_аналитики'!J4794:J4797),0)</f>
        <v/>
      </c>
      <c r="K4798">
        <f>IF('01_Вводные'!$B$234="Да",SUM('19_Расчет_аналитики'!K4794:K4797),0)</f>
        <v/>
      </c>
      <c r="L4798">
        <f>IF('01_Вводные'!$B$234="Да",SUM('19_Расчет_аналитики'!L4794:L4797),0)</f>
        <v/>
      </c>
      <c r="M4798">
        <f>IF('01_Вводные'!$B$234="Да",SUM('19_Расчет_аналитики'!M4794:M4797),0)</f>
        <v/>
      </c>
      <c r="N4798">
        <f>IF('01_Вводные'!$B$234="Да",SUM('19_Расчет_аналитики'!N4794:N4797),0)</f>
        <v/>
      </c>
      <c r="O4798">
        <f>IF('01_Вводные'!$B$234="Да",SUM('19_Расчет_аналитики'!O4794:O4797),0)</f>
        <v/>
      </c>
      <c r="P4798">
        <f>IF('01_Вводные'!$B$234="Да",SUM('19_Расчет_аналитики'!P4794:P4797),0)</f>
        <v/>
      </c>
      <c r="Q4798">
        <f>IF('01_Вводные'!$B$234="Да",SUM('19_Расчет_аналитики'!Q4794:Q4797),0)</f>
        <v/>
      </c>
      <c r="R4798">
        <f>IF('01_Вводные'!$B$234="Да",SUM('19_Расчет_аналитики'!R4794:R4797),0)</f>
        <v/>
      </c>
      <c r="S4798">
        <f>IF('01_Вводные'!$B$234="Да",SUM('19_Расчет_аналитики'!S4794:S4797),0)</f>
        <v/>
      </c>
      <c r="T4798">
        <f>IF('01_Вводные'!$B$234="Да",SUM('19_Расчет_аналитики'!T4794:T4797),0)</f>
        <v/>
      </c>
      <c r="U4798">
        <f>IF('01_Вводные'!$B$234="Да",SUM('19_Расчет_аналитики'!U4794:U4797),0)</f>
        <v/>
      </c>
      <c r="V4798">
        <f>IF('01_Вводные'!$B$234="Да",SUM('19_Расчет_аналитики'!V4794:V4797),0)</f>
        <v/>
      </c>
      <c r="W4798">
        <f>IF('01_Вводные'!$B$234="Да",SUM('19_Расчет_аналитики'!W4794:W4797),0)</f>
        <v/>
      </c>
      <c r="X4798">
        <f>IF('01_Вводные'!$B$234="Да",SUM('19_Расчет_аналитики'!X4794:X4797),0)</f>
        <v/>
      </c>
      <c r="Y4798">
        <f>IF('01_Вводные'!$B$234="Да",SUM('19_Расчет_аналитики'!Y4794:Y4797),0)</f>
        <v/>
      </c>
      <c r="Z4798">
        <f>IF('01_Вводные'!$B$234="Да",SUM('19_Расчет_аналитики'!Z4794:Z4797),0)</f>
        <v/>
      </c>
      <c r="AA4798">
        <f>IF('01_Вводные'!$B$234="Да",SUM('19_Расчет_аналитики'!AA4794:AA4797),0)</f>
        <v/>
      </c>
      <c r="AB4798">
        <f>IF('01_Вводные'!$B$234="Да",SUM('19_Расчет_аналитики'!AB4794:AB4797),0)</f>
        <v/>
      </c>
      <c r="AC4798">
        <f>IF('01_Вводные'!$B$234="Да",SUM('19_Расчет_аналитики'!AC4794:AC4797),0)</f>
        <v/>
      </c>
      <c r="AD4798">
        <f>IF('01_Вводные'!$B$234="Да",SUM('19_Расчет_аналитики'!AD4794:AD4797),0)</f>
        <v/>
      </c>
      <c r="AE4798">
        <f>IF('01_Вводные'!$B$234="Да",SUM('19_Расчет_аналитики'!AE4794:AE4797),0)</f>
        <v/>
      </c>
      <c r="AF4798">
        <f>IF('01_Вводные'!$B$234="Да",SUM('19_Расчет_аналитики'!AF4794:AF4797),0)</f>
        <v/>
      </c>
      <c r="AG4798">
        <f>IF('01_Вводные'!$B$234="Да",SUM('19_Расчет_аналитики'!AG4794:AG4797),0)</f>
        <v/>
      </c>
      <c r="AH4798">
        <f>IF('01_Вводные'!$B$234="Да",SUM('19_Расчет_аналитики'!AH4794:AH4797),0)</f>
        <v/>
      </c>
      <c r="AI4798">
        <f>IF('01_Вводные'!$B$234="Да",SUM('19_Расчет_аналитики'!AI4794:AI4797),0)</f>
        <v/>
      </c>
      <c r="AJ4798">
        <f>IF('01_Вводные'!$B$234="Да",SUM('19_Расчет_аналитики'!AJ4794:AJ4797),0)</f>
        <v/>
      </c>
      <c r="AK4798">
        <f>IF('01_Вводные'!$B$234="Да",SUM('19_Расчет_аналитики'!AK4794:AK4797),0)</f>
        <v/>
      </c>
      <c r="AL4798">
        <f>IF('01_Вводные'!$B$234="Да",SUM('19_Расчет_аналитики'!AL4794:AL4797),0)</f>
        <v/>
      </c>
      <c r="AM4798">
        <f>IF('01_Вводные'!$B$234="Да",SUM('19_Расчет_аналитики'!AM4794:AM4797),0)</f>
        <v/>
      </c>
      <c r="AN4798">
        <f>IF('01_Вводные'!$B$234="Да",SUM('19_Расчет_аналитики'!AN4794:AN4797),0)</f>
        <v/>
      </c>
      <c r="AO4798">
        <f>IF('01_Вводные'!$B$234="Да",SUM('19_Расчет_аналитики'!AO4794:AO4797),0)</f>
        <v/>
      </c>
      <c r="AP4798">
        <f>IF('01_Вводные'!$B$234="Да",SUM('19_Расчет_аналитики'!AP4794:AP4797),0)</f>
        <v/>
      </c>
      <c r="AQ4798">
        <f>IF('01_Вводные'!$B$234="Да",SUM('19_Расчет_аналитики'!AQ4794:AQ4797),0)</f>
        <v/>
      </c>
      <c r="AR4798">
        <f>IF('01_Вводные'!$B$234="Да",SUM('19_Расчет_аналитики'!AR4794:AR4797),0)</f>
        <v/>
      </c>
      <c r="AS4798">
        <f>IF('01_Вводные'!$B$234="Да",SUM('19_Расчет_аналитики'!AS4794:AS4797),0)</f>
        <v/>
      </c>
      <c r="AT4798">
        <f>IF('01_Вводные'!$B$234="Да",SUM('19_Расчет_аналитики'!AT4794:AT4797),0)</f>
        <v/>
      </c>
      <c r="AU4798">
        <f>IF('01_Вводные'!$B$234="Да",SUM('19_Расчет_аналитики'!AU4794:AU4797),0)</f>
        <v/>
      </c>
      <c r="AV4798">
        <f>IF('01_Вводные'!$B$234="Да",SUM('19_Расчет_аналитики'!AV4794:AV4797),0)</f>
        <v/>
      </c>
      <c r="AW4798">
        <f>IF('01_Вводные'!$B$234="Да",SUM('19_Расчет_аналитики'!AW4794:AW4797),0)</f>
        <v/>
      </c>
      <c r="AX4798">
        <f>IF('01_Вводные'!$B$234="Да",SUM('19_Расчет_аналитики'!AX4794:AX4797),0)</f>
        <v/>
      </c>
      <c r="AY4798">
        <f>IF('01_Вводные'!$B$234="Да",SUM('19_Расчет_аналитики'!AY4794:AY4797),0)</f>
        <v/>
      </c>
      <c r="AZ4798">
        <f>IF('01_Вводные'!$B$234="Да",SUM('19_Расчет_аналитики'!AZ4794:AZ4797),0)</f>
        <v/>
      </c>
      <c r="BA4798">
        <f>IF('01_Вводные'!$B$234="Да",SUM('19_Расчет_аналитики'!BA4794:BA4797),0)</f>
        <v/>
      </c>
      <c r="BB4798">
        <f>IF('01_Вводные'!$B$234="Да",SUM('19_Расчет_аналитики'!BB4794:BB4797),0)</f>
        <v/>
      </c>
      <c r="BC4798">
        <f>IF('01_Вводные'!$B$234="Да",SUM('19_Расчет_аналитики'!BC4794:BC4797),0)</f>
        <v/>
      </c>
      <c r="BD4798">
        <f>IF('01_Вводные'!$B$234="Да",SUM('19_Расчет_аналитики'!BD4794:BD4797),0)</f>
        <v/>
      </c>
      <c r="BE4798">
        <f>IF('01_Вводные'!$B$234="Да",SUM('19_Расчет_аналитики'!BE4794:BE4797),0)</f>
        <v/>
      </c>
      <c r="BF4798">
        <f>IF('01_Вводные'!$B$234="Да",SUM('19_Расчет_аналитики'!BF4794:BF4797),0)</f>
        <v/>
      </c>
      <c r="BG4798">
        <f>IF('01_Вводные'!$B$234="Да",SUM('19_Расчет_аналитики'!BG4794:BG4797),0)</f>
        <v/>
      </c>
      <c r="BH4798">
        <f>IF('01_Вводные'!$B$234="Да",SUM('19_Расчет_аналитики'!BH4794:BH4797),0)</f>
        <v/>
      </c>
      <c r="BI4798">
        <f>IF('01_Вводные'!$B$234="Да",SUM('19_Расчет_аналитики'!BI4794:BI4797),0)</f>
        <v/>
      </c>
    </row>
    <row r="4799">
      <c r="B4799">
        <f>IF('01_Вводные'!$B$234="Да",'19_Расчет_аналитики'!B4841,0)</f>
        <v/>
      </c>
      <c r="C4799">
        <f>IF('01_Вводные'!$B$234="Да",'19_Расчет_аналитики'!C4841,0)</f>
        <v/>
      </c>
      <c r="D4799">
        <f>IF('01_Вводные'!$B$234="Да",'19_Расчет_аналитики'!D4841,0)</f>
        <v/>
      </c>
      <c r="E4799">
        <f>IF('01_Вводные'!$B$234="Да",'19_Расчет_аналитики'!E4841,0)</f>
        <v/>
      </c>
      <c r="F4799">
        <f>IF('01_Вводные'!$B$234="Да",'19_Расчет_аналитики'!F4841,0)</f>
        <v/>
      </c>
      <c r="G4799">
        <f>IF('01_Вводные'!$B$234="Да",'19_Расчет_аналитики'!G4841,0)</f>
        <v/>
      </c>
      <c r="H4799">
        <f>IF('01_Вводные'!$B$234="Да",'19_Расчет_аналитики'!H4841,0)</f>
        <v/>
      </c>
      <c r="I4799">
        <f>IF('01_Вводные'!$B$234="Да",'19_Расчет_аналитики'!I4841,0)</f>
        <v/>
      </c>
      <c r="J4799">
        <f>IF('01_Вводные'!$B$234="Да",'19_Расчет_аналитики'!J4841,0)</f>
        <v/>
      </c>
      <c r="K4799">
        <f>IF('01_Вводные'!$B$234="Да",'19_Расчет_аналитики'!K4841,0)</f>
        <v/>
      </c>
      <c r="L4799">
        <f>IF('01_Вводные'!$B$234="Да",'19_Расчет_аналитики'!L4841,0)</f>
        <v/>
      </c>
      <c r="M4799">
        <f>IF('01_Вводные'!$B$234="Да",'19_Расчет_аналитики'!M4841,0)</f>
        <v/>
      </c>
      <c r="N4799">
        <f>IF('01_Вводные'!$B$234="Да",'19_Расчет_аналитики'!N4841,0)</f>
        <v/>
      </c>
      <c r="O4799">
        <f>IF('01_Вводные'!$B$234="Да",'19_Расчет_аналитики'!O4841,0)</f>
        <v/>
      </c>
      <c r="P4799">
        <f>IF('01_Вводные'!$B$234="Да",'19_Расчет_аналитики'!P4841,0)</f>
        <v/>
      </c>
      <c r="Q4799">
        <f>IF('01_Вводные'!$B$234="Да",'19_Расчет_аналитики'!Q4841,0)</f>
        <v/>
      </c>
      <c r="R4799">
        <f>IF('01_Вводные'!$B$234="Да",'19_Расчет_аналитики'!R4841,0)</f>
        <v/>
      </c>
      <c r="S4799">
        <f>IF('01_Вводные'!$B$234="Да",'19_Расчет_аналитики'!S4841,0)</f>
        <v/>
      </c>
      <c r="T4799">
        <f>IF('01_Вводные'!$B$234="Да",'19_Расчет_аналитики'!T4841,0)</f>
        <v/>
      </c>
      <c r="U4799">
        <f>IF('01_Вводные'!$B$234="Да",'19_Расчет_аналитики'!U4841,0)</f>
        <v/>
      </c>
      <c r="V4799">
        <f>IF('01_Вводные'!$B$234="Да",'19_Расчет_аналитики'!V4841,0)</f>
        <v/>
      </c>
      <c r="W4799">
        <f>IF('01_Вводные'!$B$234="Да",'19_Расчет_аналитики'!W4841,0)</f>
        <v/>
      </c>
      <c r="X4799">
        <f>IF('01_Вводные'!$B$234="Да",'19_Расчет_аналитики'!X4841,0)</f>
        <v/>
      </c>
      <c r="Y4799">
        <f>IF('01_Вводные'!$B$234="Да",'19_Расчет_аналитики'!Y4841,0)</f>
        <v/>
      </c>
      <c r="Z4799">
        <f>IF('01_Вводные'!$B$234="Да",'19_Расчет_аналитики'!Z4841,0)</f>
        <v/>
      </c>
      <c r="AA4799">
        <f>IF('01_Вводные'!$B$234="Да",'19_Расчет_аналитики'!AA4841,0)</f>
        <v/>
      </c>
      <c r="AB4799">
        <f>IF('01_Вводные'!$B$234="Да",'19_Расчет_аналитики'!AB4841,0)</f>
        <v/>
      </c>
      <c r="AC4799">
        <f>IF('01_Вводные'!$B$234="Да",'19_Расчет_аналитики'!AC4841,0)</f>
        <v/>
      </c>
      <c r="AD4799">
        <f>IF('01_Вводные'!$B$234="Да",'19_Расчет_аналитики'!AD4841,0)</f>
        <v/>
      </c>
      <c r="AE4799">
        <f>IF('01_Вводные'!$B$234="Да",'19_Расчет_аналитики'!AE4841,0)</f>
        <v/>
      </c>
      <c r="AF4799">
        <f>IF('01_Вводные'!$B$234="Да",'19_Расчет_аналитики'!AF4841,0)</f>
        <v/>
      </c>
      <c r="AG4799">
        <f>IF('01_Вводные'!$B$234="Да",'19_Расчет_аналитики'!AG4841,0)</f>
        <v/>
      </c>
      <c r="AH4799">
        <f>IF('01_Вводные'!$B$234="Да",'19_Расчет_аналитики'!AH4841,0)</f>
        <v/>
      </c>
      <c r="AI4799">
        <f>IF('01_Вводные'!$B$234="Да",'19_Расчет_аналитики'!AI4841,0)</f>
        <v/>
      </c>
      <c r="AJ4799">
        <f>IF('01_Вводные'!$B$234="Да",'19_Расчет_аналитики'!AJ4841,0)</f>
        <v/>
      </c>
      <c r="AK4799">
        <f>IF('01_Вводные'!$B$234="Да",'19_Расчет_аналитики'!AK4841,0)</f>
        <v/>
      </c>
      <c r="AL4799">
        <f>IF('01_Вводные'!$B$234="Да",'19_Расчет_аналитики'!AL4841,0)</f>
        <v/>
      </c>
      <c r="AM4799">
        <f>IF('01_Вводные'!$B$234="Да",'19_Расчет_аналитики'!AM4841,0)</f>
        <v/>
      </c>
      <c r="AN4799">
        <f>IF('01_Вводные'!$B$234="Да",'19_Расчет_аналитики'!AN4841,0)</f>
        <v/>
      </c>
      <c r="AO4799">
        <f>IF('01_Вводные'!$B$234="Да",'19_Расчет_аналитики'!AO4841,0)</f>
        <v/>
      </c>
      <c r="AP4799">
        <f>IF('01_Вводные'!$B$234="Да",'19_Расчет_аналитики'!AP4841,0)</f>
        <v/>
      </c>
      <c r="AQ4799">
        <f>IF('01_Вводные'!$B$234="Да",'19_Расчет_аналитики'!AQ4841,0)</f>
        <v/>
      </c>
      <c r="AR4799">
        <f>IF('01_Вводные'!$B$234="Да",'19_Расчет_аналитики'!AR4841,0)</f>
        <v/>
      </c>
      <c r="AS4799">
        <f>IF('01_Вводные'!$B$234="Да",'19_Расчет_аналитики'!AS4841,0)</f>
        <v/>
      </c>
      <c r="AT4799">
        <f>IF('01_Вводные'!$B$234="Да",'19_Расчет_аналитики'!AT4841,0)</f>
        <v/>
      </c>
      <c r="AU4799">
        <f>IF('01_Вводные'!$B$234="Да",'19_Расчет_аналитики'!AU4841,0)</f>
        <v/>
      </c>
      <c r="AV4799">
        <f>IF('01_Вводные'!$B$234="Да",'19_Расчет_аналитики'!AV4841,0)</f>
        <v/>
      </c>
      <c r="AW4799">
        <f>IF('01_Вводные'!$B$234="Да",'19_Расчет_аналитики'!AW4841,0)</f>
        <v/>
      </c>
      <c r="AX4799">
        <f>IF('01_Вводные'!$B$234="Да",'19_Расчет_аналитики'!AX4841,0)</f>
        <v/>
      </c>
      <c r="AY4799">
        <f>IF('01_Вводные'!$B$234="Да",'19_Расчет_аналитики'!AY4841,0)</f>
        <v/>
      </c>
      <c r="AZ4799">
        <f>IF('01_Вводные'!$B$234="Да",'19_Расчет_аналитики'!AZ4841,0)</f>
        <v/>
      </c>
      <c r="BA4799">
        <f>IF('01_Вводные'!$B$234="Да",'19_Расчет_аналитики'!BA4841,0)</f>
        <v/>
      </c>
      <c r="BB4799">
        <f>IF('01_Вводные'!$B$234="Да",'19_Расчет_аналитики'!BB4841,0)</f>
        <v/>
      </c>
      <c r="BC4799">
        <f>IF('01_Вводные'!$B$234="Да",'19_Расчет_аналитики'!BC4841,0)</f>
        <v/>
      </c>
      <c r="BD4799">
        <f>IF('01_Вводные'!$B$234="Да",'19_Расчет_аналитики'!BD4841,0)</f>
        <v/>
      </c>
      <c r="BE4799">
        <f>IF('01_Вводные'!$B$234="Да",'19_Расчет_аналитики'!BE4841,0)</f>
        <v/>
      </c>
      <c r="BF4799">
        <f>IF('01_Вводные'!$B$234="Да",'19_Расчет_аналитики'!BF4841,0)</f>
        <v/>
      </c>
      <c r="BG4799">
        <f>IF('01_Вводные'!$B$234="Да",'19_Расчет_аналитики'!BG4841,0)</f>
        <v/>
      </c>
      <c r="BH4799">
        <f>IF('01_Вводные'!$B$234="Да",'19_Расчет_аналитики'!BH4841,0)</f>
        <v/>
      </c>
      <c r="BI4799">
        <f>IF('01_Вводные'!$B$234="Да",'19_Расчет_аналитики'!BI4841,0)</f>
        <v/>
      </c>
    </row>
    <row r="4800">
      <c r="B4800">
        <f>IF('01_Вводные'!$B$234="Да",'19_Расчет_аналитики'!B4769,0)</f>
        <v/>
      </c>
      <c r="C4800">
        <f>IF('01_Вводные'!$B$234="Да",'19_Расчет_аналитики'!C4769,0)</f>
        <v/>
      </c>
      <c r="D4800">
        <f>IF('01_Вводные'!$B$234="Да",'19_Расчет_аналитики'!D4769,0)</f>
        <v/>
      </c>
      <c r="E4800">
        <f>IF('01_Вводные'!$B$234="Да",'19_Расчет_аналитики'!E4769,0)</f>
        <v/>
      </c>
      <c r="F4800">
        <f>IF('01_Вводные'!$B$234="Да",'19_Расчет_аналитики'!F4769,0)</f>
        <v/>
      </c>
      <c r="G4800">
        <f>IF('01_Вводные'!$B$234="Да",'19_Расчет_аналитики'!G4769,0)</f>
        <v/>
      </c>
      <c r="H4800">
        <f>IF('01_Вводные'!$B$234="Да",'19_Расчет_аналитики'!H4769,0)</f>
        <v/>
      </c>
      <c r="I4800">
        <f>IF('01_Вводные'!$B$234="Да",'19_Расчет_аналитики'!I4769,0)</f>
        <v/>
      </c>
      <c r="J4800">
        <f>IF('01_Вводные'!$B$234="Да",'19_Расчет_аналитики'!J4769,0)</f>
        <v/>
      </c>
      <c r="K4800">
        <f>IF('01_Вводные'!$B$234="Да",'19_Расчет_аналитики'!K4769,0)</f>
        <v/>
      </c>
      <c r="L4800">
        <f>IF('01_Вводные'!$B$234="Да",'19_Расчет_аналитики'!L4769,0)</f>
        <v/>
      </c>
      <c r="M4800">
        <f>IF('01_Вводные'!$B$234="Да",'19_Расчет_аналитики'!M4769,0)</f>
        <v/>
      </c>
      <c r="N4800">
        <f>IF('01_Вводные'!$B$234="Да",'19_Расчет_аналитики'!N4769,0)</f>
        <v/>
      </c>
      <c r="O4800">
        <f>IF('01_Вводные'!$B$234="Да",'19_Расчет_аналитики'!O4769,0)</f>
        <v/>
      </c>
      <c r="P4800">
        <f>IF('01_Вводные'!$B$234="Да",'19_Расчет_аналитики'!P4769,0)</f>
        <v/>
      </c>
      <c r="Q4800">
        <f>IF('01_Вводные'!$B$234="Да",'19_Расчет_аналитики'!Q4769,0)</f>
        <v/>
      </c>
      <c r="R4800">
        <f>IF('01_Вводные'!$B$234="Да",'19_Расчет_аналитики'!R4769,0)</f>
        <v/>
      </c>
      <c r="S4800">
        <f>IF('01_Вводные'!$B$234="Да",'19_Расчет_аналитики'!S4769,0)</f>
        <v/>
      </c>
      <c r="T4800">
        <f>IF('01_Вводные'!$B$234="Да",'19_Расчет_аналитики'!T4769,0)</f>
        <v/>
      </c>
      <c r="U4800">
        <f>IF('01_Вводные'!$B$234="Да",'19_Расчет_аналитики'!U4769,0)</f>
        <v/>
      </c>
      <c r="V4800">
        <f>IF('01_Вводные'!$B$234="Да",'19_Расчет_аналитики'!V4769,0)</f>
        <v/>
      </c>
      <c r="W4800">
        <f>IF('01_Вводные'!$B$234="Да",'19_Расчет_аналитики'!W4769,0)</f>
        <v/>
      </c>
      <c r="X4800">
        <f>IF('01_Вводные'!$B$234="Да",'19_Расчет_аналитики'!X4769,0)</f>
        <v/>
      </c>
      <c r="Y4800">
        <f>IF('01_Вводные'!$B$234="Да",'19_Расчет_аналитики'!Y4769,0)</f>
        <v/>
      </c>
      <c r="Z4800">
        <f>IF('01_Вводные'!$B$234="Да",'19_Расчет_аналитики'!Z4769,0)</f>
        <v/>
      </c>
      <c r="AA4800">
        <f>IF('01_Вводные'!$B$234="Да",'19_Расчет_аналитики'!AA4769,0)</f>
        <v/>
      </c>
      <c r="AB4800">
        <f>IF('01_Вводные'!$B$234="Да",'19_Расчет_аналитики'!AB4769,0)</f>
        <v/>
      </c>
      <c r="AC4800">
        <f>IF('01_Вводные'!$B$234="Да",'19_Расчет_аналитики'!AC4769,0)</f>
        <v/>
      </c>
      <c r="AD4800">
        <f>IF('01_Вводные'!$B$234="Да",'19_Расчет_аналитики'!AD4769,0)</f>
        <v/>
      </c>
      <c r="AE4800">
        <f>IF('01_Вводные'!$B$234="Да",'19_Расчет_аналитики'!AE4769,0)</f>
        <v/>
      </c>
      <c r="AF4800">
        <f>IF('01_Вводные'!$B$234="Да",'19_Расчет_аналитики'!AF4769,0)</f>
        <v/>
      </c>
      <c r="AG4800">
        <f>IF('01_Вводные'!$B$234="Да",'19_Расчет_аналитики'!AG4769,0)</f>
        <v/>
      </c>
      <c r="AH4800">
        <f>IF('01_Вводные'!$B$234="Да",'19_Расчет_аналитики'!AH4769,0)</f>
        <v/>
      </c>
      <c r="AI4800">
        <f>IF('01_Вводные'!$B$234="Да",'19_Расчет_аналитики'!AI4769,0)</f>
        <v/>
      </c>
      <c r="AJ4800">
        <f>IF('01_Вводные'!$B$234="Да",'19_Расчет_аналитики'!AJ4769,0)</f>
        <v/>
      </c>
      <c r="AK4800">
        <f>IF('01_Вводные'!$B$234="Да",'19_Расчет_аналитики'!AK4769,0)</f>
        <v/>
      </c>
      <c r="AL4800">
        <f>IF('01_Вводные'!$B$234="Да",'19_Расчет_аналитики'!AL4769,0)</f>
        <v/>
      </c>
      <c r="AM4800">
        <f>IF('01_Вводные'!$B$234="Да",'19_Расчет_аналитики'!AM4769,0)</f>
        <v/>
      </c>
      <c r="AN4800">
        <f>IF('01_Вводные'!$B$234="Да",'19_Расчет_аналитики'!AN4769,0)</f>
        <v/>
      </c>
      <c r="AO4800">
        <f>IF('01_Вводные'!$B$234="Да",'19_Расчет_аналитики'!AO4769,0)</f>
        <v/>
      </c>
      <c r="AP4800">
        <f>IF('01_Вводные'!$B$234="Да",'19_Расчет_аналитики'!AP4769,0)</f>
        <v/>
      </c>
      <c r="AQ4800">
        <f>IF('01_Вводные'!$B$234="Да",'19_Расчет_аналитики'!AQ4769,0)</f>
        <v/>
      </c>
      <c r="AR4800">
        <f>IF('01_Вводные'!$B$234="Да",'19_Расчет_аналитики'!AR4769,0)</f>
        <v/>
      </c>
      <c r="AS4800">
        <f>IF('01_Вводные'!$B$234="Да",'19_Расчет_аналитики'!AS4769,0)</f>
        <v/>
      </c>
      <c r="AT4800">
        <f>IF('01_Вводные'!$B$234="Да",'19_Расчет_аналитики'!AT4769,0)</f>
        <v/>
      </c>
      <c r="AU4800">
        <f>IF('01_Вводные'!$B$234="Да",'19_Расчет_аналитики'!AU4769,0)</f>
        <v/>
      </c>
      <c r="AV4800">
        <f>IF('01_Вводные'!$B$234="Да",'19_Расчет_аналитики'!AV4769,0)</f>
        <v/>
      </c>
      <c r="AW4800">
        <f>IF('01_Вводные'!$B$234="Да",'19_Расчет_аналитики'!AW4769,0)</f>
        <v/>
      </c>
      <c r="AX4800">
        <f>IF('01_Вводные'!$B$234="Да",'19_Расчет_аналитики'!AX4769,0)</f>
        <v/>
      </c>
      <c r="AY4800">
        <f>IF('01_Вводные'!$B$234="Да",'19_Расчет_аналитики'!AY4769,0)</f>
        <v/>
      </c>
      <c r="AZ4800">
        <f>IF('01_Вводные'!$B$234="Да",'19_Расчет_аналитики'!AZ4769,0)</f>
        <v/>
      </c>
      <c r="BA4800">
        <f>IF('01_Вводные'!$B$234="Да",'19_Расчет_аналитики'!BA4769,0)</f>
        <v/>
      </c>
      <c r="BB4800">
        <f>IF('01_Вводные'!$B$234="Да",'19_Расчет_аналитики'!BB4769,0)</f>
        <v/>
      </c>
      <c r="BC4800">
        <f>IF('01_Вводные'!$B$234="Да",'19_Расчет_аналитики'!BC4769,0)</f>
        <v/>
      </c>
      <c r="BD4800">
        <f>IF('01_Вводные'!$B$234="Да",'19_Расчет_аналитики'!BD4769,0)</f>
        <v/>
      </c>
      <c r="BE4800">
        <f>IF('01_Вводные'!$B$234="Да",'19_Расчет_аналитики'!BE4769,0)</f>
        <v/>
      </c>
      <c r="BF4800">
        <f>IF('01_Вводные'!$B$234="Да",'19_Расчет_аналитики'!BF4769,0)</f>
        <v/>
      </c>
      <c r="BG4800">
        <f>IF('01_Вводные'!$B$234="Да",'19_Расчет_аналитики'!BG4769,0)</f>
        <v/>
      </c>
      <c r="BH4800">
        <f>IF('01_Вводные'!$B$234="Да",'19_Расчет_аналитики'!BH4769,0)</f>
        <v/>
      </c>
      <c r="BI4800">
        <f>IF('01_Вводные'!$B$234="Да",'19_Расчет_аналитики'!BI4769,0)</f>
        <v/>
      </c>
    </row>
    <row r="4801">
      <c r="B4801">
        <f>IF('01_Вводные'!$B$234="Да",'01_Вводные'!$B$21*('19_Расчет_аналитики'!B4779+'02_Модель'!B38+'02_Модель'!B39+'02_Модель'!B40+'02_Модель'!B41+'19_Расчет_аналитики'!B4784+'19_Расчет_аналитики'!B4674)+(1-'01_Вводные'!$B$21)*0,0)</f>
        <v/>
      </c>
      <c r="C4801">
        <f>IF('01_Вводные'!$B$234="Да",'01_Вводные'!$B$21*('19_Расчет_аналитики'!C4779+'02_Модель'!C38+'02_Модель'!C39+'02_Модель'!C40+'02_Модель'!C41+'19_Расчет_аналитики'!C4784+'19_Расчет_аналитики'!C4674)+(1-'01_Вводные'!$B$21)*('19_Расчет_аналитики'!B4779+'02_Модель'!B38+'02_Модель'!B39+'02_Модель'!B40+'02_Модель'!B41+'19_Расчет_аналитики'!B4784+'19_Расчет_аналитики'!B4674),0)</f>
        <v/>
      </c>
      <c r="D4801">
        <f>IF('01_Вводные'!$B$234="Да",'01_Вводные'!$B$21*('19_Расчет_аналитики'!D4779+'02_Модель'!D38+'02_Модель'!D39+'02_Модель'!D40+'02_Модель'!D41+'19_Расчет_аналитики'!D4784+'19_Расчет_аналитики'!D4674)+(1-'01_Вводные'!$B$21)*('19_Расчет_аналитики'!C4779+'02_Модель'!C38+'02_Модель'!C39+'02_Модель'!C40+'02_Модель'!C41+'19_Расчет_аналитики'!C4784+'19_Расчет_аналитики'!C4674),0)</f>
        <v/>
      </c>
      <c r="E4801">
        <f>IF('01_Вводные'!$B$234="Да",'01_Вводные'!$B$21*('19_Расчет_аналитики'!E4779+'02_Модель'!E38+'02_Модель'!E39+'02_Модель'!E40+'02_Модель'!E41+'19_Расчет_аналитики'!E4784+'19_Расчет_аналитики'!E4674)+(1-'01_Вводные'!$B$21)*('19_Расчет_аналитики'!D4779+'02_Модель'!D38+'02_Модель'!D39+'02_Модель'!D40+'02_Модель'!D41+'19_Расчет_аналитики'!D4784+'19_Расчет_аналитики'!D4674),0)</f>
        <v/>
      </c>
      <c r="F4801">
        <f>IF('01_Вводные'!$B$234="Да",'01_Вводные'!$B$21*('19_Расчет_аналитики'!F4779+'02_Модель'!F38+'02_Модель'!F39+'02_Модель'!F40+'02_Модель'!F41+'19_Расчет_аналитики'!F4784+'19_Расчет_аналитики'!F4674)+(1-'01_Вводные'!$B$21)*('19_Расчет_аналитики'!E4779+'02_Модель'!E38+'02_Модель'!E39+'02_Модель'!E40+'02_Модель'!E41+'19_Расчет_аналитики'!E4784+'19_Расчет_аналитики'!E4674),0)</f>
        <v/>
      </c>
      <c r="G4801">
        <f>IF('01_Вводные'!$B$234="Да",'01_Вводные'!$B$21*('19_Расчет_аналитики'!G4779+'02_Модель'!G38+'02_Модель'!G39+'02_Модель'!G40+'02_Модель'!G41+'19_Расчет_аналитики'!G4784+'19_Расчет_аналитики'!G4674)+(1-'01_Вводные'!$B$21)*('19_Расчет_аналитики'!F4779+'02_Модель'!F38+'02_Модель'!F39+'02_Модель'!F40+'02_Модель'!F41+'19_Расчет_аналитики'!F4784+'19_Расчет_аналитики'!F4674),0)</f>
        <v/>
      </c>
      <c r="H4801">
        <f>IF('01_Вводные'!$B$234="Да",'01_Вводные'!$B$21*('19_Расчет_аналитики'!H4779+'02_Модель'!H38+'02_Модель'!H39+'02_Модель'!H40+'02_Модель'!H41+'19_Расчет_аналитики'!H4784+'19_Расчет_аналитики'!H4674)+(1-'01_Вводные'!$B$21)*('19_Расчет_аналитики'!G4779+'02_Модель'!G38+'02_Модель'!G39+'02_Модель'!G40+'02_Модель'!G41+'19_Расчет_аналитики'!G4784+'19_Расчет_аналитики'!G4674),0)</f>
        <v/>
      </c>
      <c r="I4801">
        <f>IF('01_Вводные'!$B$234="Да",'01_Вводные'!$B$21*('19_Расчет_аналитики'!I4779+'02_Модель'!I38+'02_Модель'!I39+'02_Модель'!I40+'02_Модель'!I41+'19_Расчет_аналитики'!I4784+'19_Расчет_аналитики'!I4674)+(1-'01_Вводные'!$B$21)*('19_Расчет_аналитики'!H4779+'02_Модель'!H38+'02_Модель'!H39+'02_Модель'!H40+'02_Модель'!H41+'19_Расчет_аналитики'!H4784+'19_Расчет_аналитики'!H4674),0)</f>
        <v/>
      </c>
      <c r="J4801">
        <f>IF('01_Вводные'!$B$234="Да",'01_Вводные'!$B$21*('19_Расчет_аналитики'!J4779+'02_Модель'!J38+'02_Модель'!J39+'02_Модель'!J40+'02_Модель'!J41+'19_Расчет_аналитики'!J4784+'19_Расчет_аналитики'!J4674)+(1-'01_Вводные'!$B$21)*('19_Расчет_аналитики'!I4779+'02_Модель'!I38+'02_Модель'!I39+'02_Модель'!I40+'02_Модель'!I41+'19_Расчет_аналитики'!I4784+'19_Расчет_аналитики'!I4674),0)</f>
        <v/>
      </c>
      <c r="K4801">
        <f>IF('01_Вводные'!$B$234="Да",'01_Вводные'!$B$21*('19_Расчет_аналитики'!K4779+'02_Модель'!K38+'02_Модель'!K39+'02_Модель'!K40+'02_Модель'!K41+'19_Расчет_аналитики'!K4784+'19_Расчет_аналитики'!K4674)+(1-'01_Вводные'!$B$21)*('19_Расчет_аналитики'!J4779+'02_Модель'!J38+'02_Модель'!J39+'02_Модель'!J40+'02_Модель'!J41+'19_Расчет_аналитики'!J4784+'19_Расчет_аналитики'!J4674),0)</f>
        <v/>
      </c>
      <c r="L4801">
        <f>IF('01_Вводные'!$B$234="Да",'01_Вводные'!$B$21*('19_Расчет_аналитики'!L4779+'02_Модель'!L38+'02_Модель'!L39+'02_Модель'!L40+'02_Модель'!L41+'19_Расчет_аналитики'!L4784+'19_Расчет_аналитики'!L4674)+(1-'01_Вводные'!$B$21)*('19_Расчет_аналитики'!K4779+'02_Модель'!K38+'02_Модель'!K39+'02_Модель'!K40+'02_Модель'!K41+'19_Расчет_аналитики'!K4784+'19_Расчет_аналитики'!K4674),0)</f>
        <v/>
      </c>
      <c r="M4801">
        <f>IF('01_Вводные'!$B$234="Да",'01_Вводные'!$B$21*('19_Расчет_аналитики'!M4779+'02_Модель'!M38+'02_Модель'!M39+'02_Модель'!M40+'02_Модель'!M41+'19_Расчет_аналитики'!M4784+'19_Расчет_аналитики'!M4674)+(1-'01_Вводные'!$B$21)*('19_Расчет_аналитики'!L4779+'02_Модель'!L38+'02_Модель'!L39+'02_Модель'!L40+'02_Модель'!L41+'19_Расчет_аналитики'!L4784+'19_Расчет_аналитики'!L4674),0)</f>
        <v/>
      </c>
      <c r="N4801">
        <f>IF('01_Вводные'!$B$234="Да",'01_Вводные'!$B$21*('19_Расчет_аналитики'!N4779+'02_Модель'!N38+'02_Модель'!N39+'02_Модель'!N40+'02_Модель'!N41+'19_Расчет_аналитики'!N4784+'19_Расчет_аналитики'!N4674)+(1-'01_Вводные'!$B$21)*('19_Расчет_аналитики'!M4779+'02_Модель'!M38+'02_Модель'!M39+'02_Модель'!M40+'02_Модель'!M41+'19_Расчет_аналитики'!M4784+'19_Расчет_аналитики'!M4674),0)</f>
        <v/>
      </c>
      <c r="O4801">
        <f>IF('01_Вводные'!$B$234="Да",'01_Вводные'!$B$21*('19_Расчет_аналитики'!O4779+'02_Модель'!O38+'02_Модель'!O39+'02_Модель'!O40+'02_Модель'!O41+'19_Расчет_аналитики'!O4784+'19_Расчет_аналитики'!O4674)+(1-'01_Вводные'!$B$21)*('19_Расчет_аналитики'!N4779+'02_Модель'!N38+'02_Модель'!N39+'02_Модель'!N40+'02_Модель'!N41+'19_Расчет_аналитики'!N4784+'19_Расчет_аналитики'!N4674),0)</f>
        <v/>
      </c>
      <c r="P4801">
        <f>IF('01_Вводные'!$B$234="Да",'01_Вводные'!$B$21*('19_Расчет_аналитики'!P4779+'02_Модель'!P38+'02_Модель'!P39+'02_Модель'!P40+'02_Модель'!P41+'19_Расчет_аналитики'!P4784+'19_Расчет_аналитики'!P4674)+(1-'01_Вводные'!$B$21)*('19_Расчет_аналитики'!O4779+'02_Модель'!O38+'02_Модель'!O39+'02_Модель'!O40+'02_Модель'!O41+'19_Расчет_аналитики'!O4784+'19_Расчет_аналитики'!O4674),0)</f>
        <v/>
      </c>
      <c r="Q4801">
        <f>IF('01_Вводные'!$B$234="Да",'01_Вводные'!$B$21*('19_Расчет_аналитики'!Q4779+'02_Модель'!Q38+'02_Модель'!Q39+'02_Модель'!Q40+'02_Модель'!Q41+'19_Расчет_аналитики'!Q4784+'19_Расчет_аналитики'!Q4674)+(1-'01_Вводные'!$B$21)*('19_Расчет_аналитики'!P4779+'02_Модель'!P38+'02_Модель'!P39+'02_Модель'!P40+'02_Модель'!P41+'19_Расчет_аналитики'!P4784+'19_Расчет_аналитики'!P4674),0)</f>
        <v/>
      </c>
      <c r="R4801">
        <f>IF('01_Вводные'!$B$234="Да",'01_Вводные'!$B$21*('19_Расчет_аналитики'!R4779+'02_Модель'!R38+'02_Модель'!R39+'02_Модель'!R40+'02_Модель'!R41+'19_Расчет_аналитики'!R4784+'19_Расчет_аналитики'!R4674)+(1-'01_Вводные'!$B$21)*('19_Расчет_аналитики'!Q4779+'02_Модель'!Q38+'02_Модель'!Q39+'02_Модель'!Q40+'02_Модель'!Q41+'19_Расчет_аналитики'!Q4784+'19_Расчет_аналитики'!Q4674),0)</f>
        <v/>
      </c>
      <c r="S4801">
        <f>IF('01_Вводные'!$B$234="Да",'01_Вводные'!$B$21*('19_Расчет_аналитики'!S4779+'02_Модель'!S38+'02_Модель'!S39+'02_Модель'!S40+'02_Модель'!S41+'19_Расчет_аналитики'!S4784+'19_Расчет_аналитики'!S4674)+(1-'01_Вводные'!$B$21)*('19_Расчет_аналитики'!R4779+'02_Модель'!R38+'02_Модель'!R39+'02_Модель'!R40+'02_Модель'!R41+'19_Расчет_аналитики'!R4784+'19_Расчет_аналитики'!R4674),0)</f>
        <v/>
      </c>
      <c r="T4801">
        <f>IF('01_Вводные'!$B$234="Да",'01_Вводные'!$B$21*('19_Расчет_аналитики'!T4779+'02_Модель'!T38+'02_Модель'!T39+'02_Модель'!T40+'02_Модель'!T41+'19_Расчет_аналитики'!T4784+'19_Расчет_аналитики'!T4674)+(1-'01_Вводные'!$B$21)*('19_Расчет_аналитики'!S4779+'02_Модель'!S38+'02_Модель'!S39+'02_Модель'!S40+'02_Модель'!S41+'19_Расчет_аналитики'!S4784+'19_Расчет_аналитики'!S4674),0)</f>
        <v/>
      </c>
      <c r="U4801">
        <f>IF('01_Вводные'!$B$234="Да",'01_Вводные'!$B$21*('19_Расчет_аналитики'!U4779+'02_Модель'!U38+'02_Модель'!U39+'02_Модель'!U40+'02_Модель'!U41+'19_Расчет_аналитики'!U4784+'19_Расчет_аналитики'!U4674)+(1-'01_Вводные'!$B$21)*('19_Расчет_аналитики'!T4779+'02_Модель'!T38+'02_Модель'!T39+'02_Модель'!T40+'02_Модель'!T41+'19_Расчет_аналитики'!T4784+'19_Расчет_аналитики'!T4674),0)</f>
        <v/>
      </c>
      <c r="V4801">
        <f>IF('01_Вводные'!$B$234="Да",'01_Вводные'!$B$21*('19_Расчет_аналитики'!V4779+'02_Модель'!V38+'02_Модель'!V39+'02_Модель'!V40+'02_Модель'!V41+'19_Расчет_аналитики'!V4784+'19_Расчет_аналитики'!V4674)+(1-'01_Вводные'!$B$21)*('19_Расчет_аналитики'!U4779+'02_Модель'!U38+'02_Модель'!U39+'02_Модель'!U40+'02_Модель'!U41+'19_Расчет_аналитики'!U4784+'19_Расчет_аналитики'!U4674),0)</f>
        <v/>
      </c>
      <c r="W4801">
        <f>IF('01_Вводные'!$B$234="Да",'01_Вводные'!$B$21*('19_Расчет_аналитики'!W4779+'02_Модель'!W38+'02_Модель'!W39+'02_Модель'!W40+'02_Модель'!W41+'19_Расчет_аналитики'!W4784+'19_Расчет_аналитики'!W4674)+(1-'01_Вводные'!$B$21)*('19_Расчет_аналитики'!V4779+'02_Модель'!V38+'02_Модель'!V39+'02_Модель'!V40+'02_Модель'!V41+'19_Расчет_аналитики'!V4784+'19_Расчет_аналитики'!V4674),0)</f>
        <v/>
      </c>
      <c r="X4801">
        <f>IF('01_Вводные'!$B$234="Да",'01_Вводные'!$B$21*('19_Расчет_аналитики'!X4779+'02_Модель'!X38+'02_Модель'!X39+'02_Модель'!X40+'02_Модель'!X41+'19_Расчет_аналитики'!X4784+'19_Расчет_аналитики'!X4674)+(1-'01_Вводные'!$B$21)*('19_Расчет_аналитики'!W4779+'02_Модель'!W38+'02_Модель'!W39+'02_Модель'!W40+'02_Модель'!W41+'19_Расчет_аналитики'!W4784+'19_Расчет_аналитики'!W4674),0)</f>
        <v/>
      </c>
      <c r="Y4801">
        <f>IF('01_Вводные'!$B$234="Да",'01_Вводные'!$B$21*('19_Расчет_аналитики'!Y4779+'02_Модель'!Y38+'02_Модель'!Y39+'02_Модель'!Y40+'02_Модель'!Y41+'19_Расчет_аналитики'!Y4784+'19_Расчет_аналитики'!Y4674)+(1-'01_Вводные'!$B$21)*('19_Расчет_аналитики'!X4779+'02_Модель'!X38+'02_Модель'!X39+'02_Модель'!X40+'02_Модель'!X41+'19_Расчет_аналитики'!X4784+'19_Расчет_аналитики'!X4674),0)</f>
        <v/>
      </c>
      <c r="Z4801">
        <f>IF('01_Вводные'!$B$234="Да",'01_Вводные'!$B$21*('19_Расчет_аналитики'!Z4779+'02_Модель'!Z38+'02_Модель'!Z39+'02_Модель'!Z40+'02_Модель'!Z41+'19_Расчет_аналитики'!Z4784+'19_Расчет_аналитики'!Z4674)+(1-'01_Вводные'!$B$21)*('19_Расчет_аналитики'!Y4779+'02_Модель'!Y38+'02_Модель'!Y39+'02_Модель'!Y40+'02_Модель'!Y41+'19_Расчет_аналитики'!Y4784+'19_Расчет_аналитики'!Y4674),0)</f>
        <v/>
      </c>
      <c r="AA4801">
        <f>IF('01_Вводные'!$B$234="Да",'01_Вводные'!$B$21*('19_Расчет_аналитики'!AA4779+'02_Модель'!AA38+'02_Модель'!AA39+'02_Модель'!AA40+'02_Модель'!AA41+'19_Расчет_аналитики'!AA4784+'19_Расчет_аналитики'!AA4674)+(1-'01_Вводные'!$B$21)*('19_Расчет_аналитики'!Z4779+'02_Модель'!Z38+'02_Модель'!Z39+'02_Модель'!Z40+'02_Модель'!Z41+'19_Расчет_аналитики'!Z4784+'19_Расчет_аналитики'!Z4674),0)</f>
        <v/>
      </c>
      <c r="AB4801">
        <f>IF('01_Вводные'!$B$234="Да",'01_Вводные'!$B$21*('19_Расчет_аналитики'!AB4779+'02_Модель'!AB38+'02_Модель'!AB39+'02_Модель'!AB40+'02_Модель'!AB41+'19_Расчет_аналитики'!AB4784+'19_Расчет_аналитики'!AB4674)+(1-'01_Вводные'!$B$21)*('19_Расчет_аналитики'!AA4779+'02_Модель'!AA38+'02_Модель'!AA39+'02_Модель'!AA40+'02_Модель'!AA41+'19_Расчет_аналитики'!AA4784+'19_Расчет_аналитики'!AA4674),0)</f>
        <v/>
      </c>
      <c r="AC4801">
        <f>IF('01_Вводные'!$B$234="Да",'01_Вводные'!$B$21*('19_Расчет_аналитики'!AC4779+'02_Модель'!AC38+'02_Модель'!AC39+'02_Модель'!AC40+'02_Модель'!AC41+'19_Расчет_аналитики'!AC4784+'19_Расчет_аналитики'!AC4674)+(1-'01_Вводные'!$B$21)*('19_Расчет_аналитики'!AB4779+'02_Модель'!AB38+'02_Модель'!AB39+'02_Модель'!AB40+'02_Модель'!AB41+'19_Расчет_аналитики'!AB4784+'19_Расчет_аналитики'!AB4674),0)</f>
        <v/>
      </c>
      <c r="AD4801">
        <f>IF('01_Вводные'!$B$234="Да",'01_Вводные'!$B$21*('19_Расчет_аналитики'!AD4779+'02_Модель'!AD38+'02_Модель'!AD39+'02_Модель'!AD40+'02_Модель'!AD41+'19_Расчет_аналитики'!AD4784+'19_Расчет_аналитики'!AD4674)+(1-'01_Вводные'!$B$21)*('19_Расчет_аналитики'!AC4779+'02_Модель'!AC38+'02_Модель'!AC39+'02_Модель'!AC40+'02_Модель'!AC41+'19_Расчет_аналитики'!AC4784+'19_Расчет_аналитики'!AC4674),0)</f>
        <v/>
      </c>
      <c r="AE4801">
        <f>IF('01_Вводные'!$B$234="Да",'01_Вводные'!$B$21*('19_Расчет_аналитики'!AE4779+'02_Модель'!AE38+'02_Модель'!AE39+'02_Модель'!AE40+'02_Модель'!AE41+'19_Расчет_аналитики'!AE4784+'19_Расчет_аналитики'!AE4674)+(1-'01_Вводные'!$B$21)*('19_Расчет_аналитики'!AD4779+'02_Модель'!AD38+'02_Модель'!AD39+'02_Модель'!AD40+'02_Модель'!AD41+'19_Расчет_аналитики'!AD4784+'19_Расчет_аналитики'!AD4674),0)</f>
        <v/>
      </c>
      <c r="AF4801">
        <f>IF('01_Вводные'!$B$234="Да",'01_Вводные'!$B$21*('19_Расчет_аналитики'!AF4779+'02_Модель'!AF38+'02_Модель'!AF39+'02_Модель'!AF40+'02_Модель'!AF41+'19_Расчет_аналитики'!AF4784+'19_Расчет_аналитики'!AF4674)+(1-'01_Вводные'!$B$21)*('19_Расчет_аналитики'!AE4779+'02_Модель'!AE38+'02_Модель'!AE39+'02_Модель'!AE40+'02_Модель'!AE41+'19_Расчет_аналитики'!AE4784+'19_Расчет_аналитики'!AE4674),0)</f>
        <v/>
      </c>
      <c r="AG4801">
        <f>IF('01_Вводные'!$B$234="Да",'01_Вводные'!$B$21*('19_Расчет_аналитики'!AG4779+'02_Модель'!AG38+'02_Модель'!AG39+'02_Модель'!AG40+'02_Модель'!AG41+'19_Расчет_аналитики'!AG4784+'19_Расчет_аналитики'!AG4674)+(1-'01_Вводные'!$B$21)*('19_Расчет_аналитики'!AF4779+'02_Модель'!AF38+'02_Модель'!AF39+'02_Модель'!AF40+'02_Модель'!AF41+'19_Расчет_аналитики'!AF4784+'19_Расчет_аналитики'!AF4674),0)</f>
        <v/>
      </c>
      <c r="AH4801">
        <f>IF('01_Вводные'!$B$234="Да",'01_Вводные'!$B$21*('19_Расчет_аналитики'!AH4779+'02_Модель'!AH38+'02_Модель'!AH39+'02_Модель'!AH40+'02_Модель'!AH41+'19_Расчет_аналитики'!AH4784+'19_Расчет_аналитики'!AH4674)+(1-'01_Вводные'!$B$21)*('19_Расчет_аналитики'!AG4779+'02_Модель'!AG38+'02_Модель'!AG39+'02_Модель'!AG40+'02_Модель'!AG41+'19_Расчет_аналитики'!AG4784+'19_Расчет_аналитики'!AG4674),0)</f>
        <v/>
      </c>
      <c r="AI4801">
        <f>IF('01_Вводные'!$B$234="Да",'01_Вводные'!$B$21*('19_Расчет_аналитики'!AI4779+'02_Модель'!AI38+'02_Модель'!AI39+'02_Модель'!AI40+'02_Модель'!AI41+'19_Расчет_аналитики'!AI4784+'19_Расчет_аналитики'!AI4674)+(1-'01_Вводные'!$B$21)*('19_Расчет_аналитики'!AH4779+'02_Модель'!AH38+'02_Модель'!AH39+'02_Модель'!AH40+'02_Модель'!AH41+'19_Расчет_аналитики'!AH4784+'19_Расчет_аналитики'!AH4674),0)</f>
        <v/>
      </c>
      <c r="AJ4801">
        <f>IF('01_Вводные'!$B$234="Да",'01_Вводные'!$B$21*('19_Расчет_аналитики'!AJ4779+'02_Модель'!AJ38+'02_Модель'!AJ39+'02_Модель'!AJ40+'02_Модель'!AJ41+'19_Расчет_аналитики'!AJ4784+'19_Расчет_аналитики'!AJ4674)+(1-'01_Вводные'!$B$21)*('19_Расчет_аналитики'!AI4779+'02_Модель'!AI38+'02_Модель'!AI39+'02_Модель'!AI40+'02_Модель'!AI41+'19_Расчет_аналитики'!AI4784+'19_Расчет_аналитики'!AI4674),0)</f>
        <v/>
      </c>
      <c r="AK4801">
        <f>IF('01_Вводные'!$B$234="Да",'01_Вводные'!$B$21*('19_Расчет_аналитики'!AK4779+'02_Модель'!AK38+'02_Модель'!AK39+'02_Модель'!AK40+'02_Модель'!AK41+'19_Расчет_аналитики'!AK4784+'19_Расчет_аналитики'!AK4674)+(1-'01_Вводные'!$B$21)*('19_Расчет_аналитики'!AJ4779+'02_Модель'!AJ38+'02_Модель'!AJ39+'02_Модель'!AJ40+'02_Модель'!AJ41+'19_Расчет_аналитики'!AJ4784+'19_Расчет_аналитики'!AJ4674),0)</f>
        <v/>
      </c>
      <c r="AL4801">
        <f>IF('01_Вводные'!$B$234="Да",'01_Вводные'!$B$21*('19_Расчет_аналитики'!AL4779+'02_Модель'!AL38+'02_Модель'!AL39+'02_Модель'!AL40+'02_Модель'!AL41+'19_Расчет_аналитики'!AL4784+'19_Расчет_аналитики'!AL4674)+(1-'01_Вводные'!$B$21)*('19_Расчет_аналитики'!AK4779+'02_Модель'!AK38+'02_Модель'!AK39+'02_Модель'!AK40+'02_Модель'!AK41+'19_Расчет_аналитики'!AK4784+'19_Расчет_аналитики'!AK4674),0)</f>
        <v/>
      </c>
      <c r="AM4801">
        <f>IF('01_Вводные'!$B$234="Да",'01_Вводные'!$B$21*('19_Расчет_аналитики'!AM4779+'02_Модель'!AM38+'02_Модель'!AM39+'02_Модель'!AM40+'02_Модель'!AM41+'19_Расчет_аналитики'!AM4784+'19_Расчет_аналитики'!AM4674)+(1-'01_Вводные'!$B$21)*('19_Расчет_аналитики'!AL4779+'02_Модель'!AL38+'02_Модель'!AL39+'02_Модель'!AL40+'02_Модель'!AL41+'19_Расчет_аналитики'!AL4784+'19_Расчет_аналитики'!AL4674),0)</f>
        <v/>
      </c>
      <c r="AN4801">
        <f>IF('01_Вводные'!$B$234="Да",'01_Вводные'!$B$21*('19_Расчет_аналитики'!AN4779+'02_Модель'!AN38+'02_Модель'!AN39+'02_Модель'!AN40+'02_Модель'!AN41+'19_Расчет_аналитики'!AN4784+'19_Расчет_аналитики'!AN4674)+(1-'01_Вводные'!$B$21)*('19_Расчет_аналитики'!AM4779+'02_Модель'!AM38+'02_Модель'!AM39+'02_Модель'!AM40+'02_Модель'!AM41+'19_Расчет_аналитики'!AM4784+'19_Расчет_аналитики'!AM4674),0)</f>
        <v/>
      </c>
      <c r="AO4801">
        <f>IF('01_Вводные'!$B$234="Да",'01_Вводные'!$B$21*('19_Расчет_аналитики'!AO4779+'02_Модель'!AO38+'02_Модель'!AO39+'02_Модель'!AO40+'02_Модель'!AO41+'19_Расчет_аналитики'!AO4784+'19_Расчет_аналитики'!AO4674)+(1-'01_Вводные'!$B$21)*('19_Расчет_аналитики'!AN4779+'02_Модель'!AN38+'02_Модель'!AN39+'02_Модель'!AN40+'02_Модель'!AN41+'19_Расчет_аналитики'!AN4784+'19_Расчет_аналитики'!AN4674),0)</f>
        <v/>
      </c>
      <c r="AP4801">
        <f>IF('01_Вводные'!$B$234="Да",'01_Вводные'!$B$21*('19_Расчет_аналитики'!AP4779+'02_Модель'!AP38+'02_Модель'!AP39+'02_Модель'!AP40+'02_Модель'!AP41+'19_Расчет_аналитики'!AP4784+'19_Расчет_аналитики'!AP4674)+(1-'01_Вводные'!$B$21)*('19_Расчет_аналитики'!AO4779+'02_Модель'!AO38+'02_Модель'!AO39+'02_Модель'!AO40+'02_Модель'!AO41+'19_Расчет_аналитики'!AO4784+'19_Расчет_аналитики'!AO4674),0)</f>
        <v/>
      </c>
      <c r="AQ4801">
        <f>IF('01_Вводные'!$B$234="Да",'01_Вводные'!$B$21*('19_Расчет_аналитики'!AQ4779+'02_Модель'!AQ38+'02_Модель'!AQ39+'02_Модель'!AQ40+'02_Модель'!AQ41+'19_Расчет_аналитики'!AQ4784+'19_Расчет_аналитики'!AQ4674)+(1-'01_Вводные'!$B$21)*('19_Расчет_аналитики'!AP4779+'02_Модель'!AP38+'02_Модель'!AP39+'02_Модель'!AP40+'02_Модель'!AP41+'19_Расчет_аналитики'!AP4784+'19_Расчет_аналитики'!AP4674),0)</f>
        <v/>
      </c>
      <c r="AR4801">
        <f>IF('01_Вводные'!$B$234="Да",'01_Вводные'!$B$21*('19_Расчет_аналитики'!AR4779+'02_Модель'!AR38+'02_Модель'!AR39+'02_Модель'!AR40+'02_Модель'!AR41+'19_Расчет_аналитики'!AR4784+'19_Расчет_аналитики'!AR4674)+(1-'01_Вводные'!$B$21)*('19_Расчет_аналитики'!AQ4779+'02_Модель'!AQ38+'02_Модель'!AQ39+'02_Модель'!AQ40+'02_Модель'!AQ41+'19_Расчет_аналитики'!AQ4784+'19_Расчет_аналитики'!AQ4674),0)</f>
        <v/>
      </c>
      <c r="AS4801">
        <f>IF('01_Вводные'!$B$234="Да",'01_Вводные'!$B$21*('19_Расчет_аналитики'!AS4779+'02_Модель'!AS38+'02_Модель'!AS39+'02_Модель'!AS40+'02_Модель'!AS41+'19_Расчет_аналитики'!AS4784+'19_Расчет_аналитики'!AS4674)+(1-'01_Вводные'!$B$21)*('19_Расчет_аналитики'!AR4779+'02_Модель'!AR38+'02_Модель'!AR39+'02_Модель'!AR40+'02_Модель'!AR41+'19_Расчет_аналитики'!AR4784+'19_Расчет_аналитики'!AR4674),0)</f>
        <v/>
      </c>
      <c r="AT4801">
        <f>IF('01_Вводные'!$B$234="Да",'01_Вводные'!$B$21*('19_Расчет_аналитики'!AT4779+'02_Модель'!AT38+'02_Модель'!AT39+'02_Модель'!AT40+'02_Модель'!AT41+'19_Расчет_аналитики'!AT4784+'19_Расчет_аналитики'!AT4674)+(1-'01_Вводные'!$B$21)*('19_Расчет_аналитики'!AS4779+'02_Модель'!AS38+'02_Модель'!AS39+'02_Модель'!AS40+'02_Модель'!AS41+'19_Расчет_аналитики'!AS4784+'19_Расчет_аналитики'!AS4674),0)</f>
        <v/>
      </c>
      <c r="AU4801">
        <f>IF('01_Вводные'!$B$234="Да",'01_Вводные'!$B$21*('19_Расчет_аналитики'!AU4779+'02_Модель'!AU38+'02_Модель'!AU39+'02_Модель'!AU40+'02_Модель'!AU41+'19_Расчет_аналитики'!AU4784+'19_Расчет_аналитики'!AU4674)+(1-'01_Вводные'!$B$21)*('19_Расчет_аналитики'!AT4779+'02_Модель'!AT38+'02_Модель'!AT39+'02_Модель'!AT40+'02_Модель'!AT41+'19_Расчет_аналитики'!AT4784+'19_Расчет_аналитики'!AT4674),0)</f>
        <v/>
      </c>
      <c r="AV4801">
        <f>IF('01_Вводные'!$B$234="Да",'01_Вводные'!$B$21*('19_Расчет_аналитики'!AV4779+'02_Модель'!AV38+'02_Модель'!AV39+'02_Модель'!AV40+'02_Модель'!AV41+'19_Расчет_аналитики'!AV4784+'19_Расчет_аналитики'!AV4674)+(1-'01_Вводные'!$B$21)*('19_Расчет_аналитики'!AU4779+'02_Модель'!AU38+'02_Модель'!AU39+'02_Модель'!AU40+'02_Модель'!AU41+'19_Расчет_аналитики'!AU4784+'19_Расчет_аналитики'!AU4674),0)</f>
        <v/>
      </c>
      <c r="AW4801">
        <f>IF('01_Вводные'!$B$234="Да",'01_Вводные'!$B$21*('19_Расчет_аналитики'!AW4779+'02_Модель'!AW38+'02_Модель'!AW39+'02_Модель'!AW40+'02_Модель'!AW41+'19_Расчет_аналитики'!AW4784+'19_Расчет_аналитики'!AW4674)+(1-'01_Вводные'!$B$21)*('19_Расчет_аналитики'!AV4779+'02_Модель'!AV38+'02_Модель'!AV39+'02_Модель'!AV40+'02_Модель'!AV41+'19_Расчет_аналитики'!AV4784+'19_Расчет_аналитики'!AV4674),0)</f>
        <v/>
      </c>
      <c r="AX4801">
        <f>IF('01_Вводные'!$B$234="Да",'01_Вводные'!$B$21*('19_Расчет_аналитики'!AX4779+'02_Модель'!AX38+'02_Модель'!AX39+'02_Модель'!AX40+'02_Модель'!AX41+'19_Расчет_аналитики'!AX4784+'19_Расчет_аналитики'!AX4674)+(1-'01_Вводные'!$B$21)*('19_Расчет_аналитики'!AW4779+'02_Модель'!AW38+'02_Модель'!AW39+'02_Модель'!AW40+'02_Модель'!AW41+'19_Расчет_аналитики'!AW4784+'19_Расчет_аналитики'!AW4674),0)</f>
        <v/>
      </c>
      <c r="AY4801">
        <f>IF('01_Вводные'!$B$234="Да",'01_Вводные'!$B$21*('19_Расчет_аналитики'!AY4779+'02_Модель'!AY38+'02_Модель'!AY39+'02_Модель'!AY40+'02_Модель'!AY41+'19_Расчет_аналитики'!AY4784+'19_Расчет_аналитики'!AY4674)+(1-'01_Вводные'!$B$21)*('19_Расчет_аналитики'!AX4779+'02_Модель'!AX38+'02_Модель'!AX39+'02_Модель'!AX40+'02_Модель'!AX41+'19_Расчет_аналитики'!AX4784+'19_Расчет_аналитики'!AX4674),0)</f>
        <v/>
      </c>
      <c r="AZ4801">
        <f>IF('01_Вводные'!$B$234="Да",'01_Вводные'!$B$21*('19_Расчет_аналитики'!AZ4779+'02_Модель'!AZ38+'02_Модель'!AZ39+'02_Модель'!AZ40+'02_Модель'!AZ41+'19_Расчет_аналитики'!AZ4784+'19_Расчет_аналитики'!AZ4674)+(1-'01_Вводные'!$B$21)*('19_Расчет_аналитики'!AY4779+'02_Модель'!AY38+'02_Модель'!AY39+'02_Модель'!AY40+'02_Модель'!AY41+'19_Расчет_аналитики'!AY4784+'19_Расчет_аналитики'!AY4674),0)</f>
        <v/>
      </c>
      <c r="BA4801">
        <f>IF('01_Вводные'!$B$234="Да",'01_Вводные'!$B$21*('19_Расчет_аналитики'!BA4779+'02_Модель'!BA38+'02_Модель'!BA39+'02_Модель'!BA40+'02_Модель'!BA41+'19_Расчет_аналитики'!BA4784+'19_Расчет_аналитики'!BA4674)+(1-'01_Вводные'!$B$21)*('19_Расчет_аналитики'!AZ4779+'02_Модель'!AZ38+'02_Модель'!AZ39+'02_Модель'!AZ40+'02_Модель'!AZ41+'19_Расчет_аналитики'!AZ4784+'19_Расчет_аналитики'!AZ4674),0)</f>
        <v/>
      </c>
      <c r="BB4801">
        <f>IF('01_Вводные'!$B$234="Да",'01_Вводные'!$B$21*('19_Расчет_аналитики'!BB4779+'02_Модель'!BB38+'02_Модель'!BB39+'02_Модель'!BB40+'02_Модель'!BB41+'19_Расчет_аналитики'!BB4784+'19_Расчет_аналитики'!BB4674)+(1-'01_Вводные'!$B$21)*('19_Расчет_аналитики'!BA4779+'02_Модель'!BA38+'02_Модель'!BA39+'02_Модель'!BA40+'02_Модель'!BA41+'19_Расчет_аналитики'!BA4784+'19_Расчет_аналитики'!BA4674),0)</f>
        <v/>
      </c>
      <c r="BC4801">
        <f>IF('01_Вводные'!$B$234="Да",'01_Вводные'!$B$21*('19_Расчет_аналитики'!BC4779+'02_Модель'!BC38+'02_Модель'!BC39+'02_Модель'!BC40+'02_Модель'!BC41+'19_Расчет_аналитики'!BC4784+'19_Расчет_аналитики'!BC4674)+(1-'01_Вводные'!$B$21)*('19_Расчет_аналитики'!BB4779+'02_Модель'!BB38+'02_Модель'!BB39+'02_Модель'!BB40+'02_Модель'!BB41+'19_Расчет_аналитики'!BB4784+'19_Расчет_аналитики'!BB4674),0)</f>
        <v/>
      </c>
      <c r="BD4801">
        <f>IF('01_Вводные'!$B$234="Да",'01_Вводные'!$B$21*('19_Расчет_аналитики'!BD4779+'02_Модель'!BD38+'02_Модель'!BD39+'02_Модель'!BD40+'02_Модель'!BD41+'19_Расчет_аналитики'!BD4784+'19_Расчет_аналитики'!BD4674)+(1-'01_Вводные'!$B$21)*('19_Расчет_аналитики'!BC4779+'02_Модель'!BC38+'02_Модель'!BC39+'02_Модель'!BC40+'02_Модель'!BC41+'19_Расчет_аналитики'!BC4784+'19_Расчет_аналитики'!BC4674),0)</f>
        <v/>
      </c>
      <c r="BE4801">
        <f>IF('01_Вводные'!$B$234="Да",'01_Вводные'!$B$21*('19_Расчет_аналитики'!BE4779+'02_Модель'!BE38+'02_Модель'!BE39+'02_Модель'!BE40+'02_Модель'!BE41+'19_Расчет_аналитики'!BE4784+'19_Расчет_аналитики'!BE4674)+(1-'01_Вводные'!$B$21)*('19_Расчет_аналитики'!BD4779+'02_Модель'!BD38+'02_Модель'!BD39+'02_Модель'!BD40+'02_Модель'!BD41+'19_Расчет_аналитики'!BD4784+'19_Расчет_аналитики'!BD4674),0)</f>
        <v/>
      </c>
      <c r="BF4801">
        <f>IF('01_Вводные'!$B$234="Да",'01_Вводные'!$B$21*('19_Расчет_аналитики'!BF4779+'02_Модель'!BF38+'02_Модель'!BF39+'02_Модель'!BF40+'02_Модель'!BF41+'19_Расчет_аналитики'!BF4784+'19_Расчет_аналитики'!BF4674)+(1-'01_Вводные'!$B$21)*('19_Расчет_аналитики'!BE4779+'02_Модель'!BE38+'02_Модель'!BE39+'02_Модель'!BE40+'02_Модель'!BE41+'19_Расчет_аналитики'!BE4784+'19_Расчет_аналитики'!BE4674),0)</f>
        <v/>
      </c>
      <c r="BG4801">
        <f>IF('01_Вводные'!$B$234="Да",'01_Вводные'!$B$21*('19_Расчет_аналитики'!BG4779+'02_Модель'!BG38+'02_Модель'!BG39+'02_Модель'!BG40+'02_Модель'!BG41+'19_Расчет_аналитики'!BG4784+'19_Расчет_аналитики'!BG4674)+(1-'01_Вводные'!$B$21)*('19_Расчет_аналитики'!BF4779+'02_Модель'!BF38+'02_Модель'!BF39+'02_Модель'!BF40+'02_Модель'!BF41+'19_Расчет_аналитики'!BF4784+'19_Расчет_аналитики'!BF4674),0)</f>
        <v/>
      </c>
      <c r="BH4801">
        <f>IF('01_Вводные'!$B$234="Да",'01_Вводные'!$B$21*('19_Расчет_аналитики'!BH4779+'02_Модель'!BH38+'02_Модель'!BH39+'02_Модель'!BH40+'02_Модель'!BH41+'19_Расчет_аналитики'!BH4784+'19_Расчет_аналитики'!BH4674)+(1-'01_Вводные'!$B$21)*('19_Расчет_аналитики'!BG4779+'02_Модель'!BG38+'02_Модель'!BG39+'02_Модель'!BG40+'02_Модель'!BG41+'19_Расчет_аналитики'!BG4784+'19_Расчет_аналитики'!BG4674),0)</f>
        <v/>
      </c>
      <c r="BI4801">
        <f>IF('01_Вводные'!$B$234="Да",'01_Вводные'!$B$21*('19_Расчет_аналитики'!BI4779+'02_Модель'!BI38+'02_Модель'!BI39+'02_Модель'!BI40+'02_Модель'!BI41+'19_Расчет_аналитики'!BI4784+'19_Расчет_аналитики'!BI4674)+(1-'01_Вводные'!$B$21)*('19_Расчет_аналитики'!BH4779+'02_Модель'!BH38+'02_Модель'!BH39+'02_Модель'!BH40+'02_Модель'!BH41+'19_Расчет_аналитики'!BH4784+'19_Расчет_аналитики'!BH4674),0)</f>
        <v/>
      </c>
    </row>
    <row r="4802">
      <c r="B4802">
        <f>'02_Модель'!B60</f>
        <v/>
      </c>
      <c r="C4802">
        <f>IF('01_Вводные'!$B$234="Да",'19_Расчет_аналитики'!C4778,0)</f>
        <v/>
      </c>
      <c r="D4802">
        <f>IF('01_Вводные'!$B$234="Да",'19_Расчет_аналитики'!D4778,0)</f>
        <v/>
      </c>
      <c r="E4802">
        <f>IF('01_Вводные'!$B$234="Да",'19_Расчет_аналитики'!E4778,0)</f>
        <v/>
      </c>
      <c r="F4802">
        <f>IF('01_Вводные'!$B$234="Да",'19_Расчет_аналитики'!F4778,0)</f>
        <v/>
      </c>
      <c r="G4802">
        <f>IF('01_Вводные'!$B$234="Да",'19_Расчет_аналитики'!G4778,0)</f>
        <v/>
      </c>
      <c r="H4802">
        <f>IF('01_Вводные'!$B$234="Да",'19_Расчет_аналитики'!H4778,0)</f>
        <v/>
      </c>
      <c r="I4802">
        <f>IF('01_Вводные'!$B$234="Да",'19_Расчет_аналитики'!I4778,0)</f>
        <v/>
      </c>
      <c r="J4802">
        <f>IF('01_Вводные'!$B$234="Да",'19_Расчет_аналитики'!J4778,0)</f>
        <v/>
      </c>
      <c r="K4802">
        <f>IF('01_Вводные'!$B$234="Да",'19_Расчет_аналитики'!K4778,0)</f>
        <v/>
      </c>
      <c r="L4802">
        <f>IF('01_Вводные'!$B$234="Да",'19_Расчет_аналитики'!L4778,0)</f>
        <v/>
      </c>
      <c r="M4802">
        <f>IF('01_Вводные'!$B$234="Да",'19_Расчет_аналитики'!M4778,0)</f>
        <v/>
      </c>
      <c r="N4802">
        <f>IF('01_Вводные'!$B$234="Да",'19_Расчет_аналитики'!N4778,0)</f>
        <v/>
      </c>
      <c r="O4802">
        <f>IF('01_Вводные'!$B$234="Да",'19_Расчет_аналитики'!O4778,0)</f>
        <v/>
      </c>
      <c r="P4802">
        <f>IF('01_Вводные'!$B$234="Да",'19_Расчет_аналитики'!P4778,0)</f>
        <v/>
      </c>
      <c r="Q4802">
        <f>IF('01_Вводные'!$B$234="Да",'19_Расчет_аналитики'!Q4778,0)</f>
        <v/>
      </c>
      <c r="R4802">
        <f>IF('01_Вводные'!$B$234="Да",'19_Расчет_аналитики'!R4778,0)</f>
        <v/>
      </c>
      <c r="S4802">
        <f>IF('01_Вводные'!$B$234="Да",'19_Расчет_аналитики'!S4778,0)</f>
        <v/>
      </c>
      <c r="T4802">
        <f>IF('01_Вводные'!$B$234="Да",'19_Расчет_аналитики'!T4778,0)</f>
        <v/>
      </c>
      <c r="U4802">
        <f>IF('01_Вводные'!$B$234="Да",'19_Расчет_аналитики'!U4778,0)</f>
        <v/>
      </c>
      <c r="V4802">
        <f>IF('01_Вводные'!$B$234="Да",'19_Расчет_аналитики'!V4778,0)</f>
        <v/>
      </c>
      <c r="W4802">
        <f>IF('01_Вводные'!$B$234="Да",'19_Расчет_аналитики'!W4778,0)</f>
        <v/>
      </c>
      <c r="X4802">
        <f>IF('01_Вводные'!$B$234="Да",'19_Расчет_аналитики'!X4778,0)</f>
        <v/>
      </c>
      <c r="Y4802">
        <f>IF('01_Вводные'!$B$234="Да",'19_Расчет_аналитики'!Y4778,0)</f>
        <v/>
      </c>
      <c r="Z4802">
        <f>IF('01_Вводные'!$B$234="Да",'19_Расчет_аналитики'!Z4778,0)</f>
        <v/>
      </c>
      <c r="AA4802">
        <f>IF('01_Вводные'!$B$234="Да",'19_Расчет_аналитики'!AA4778,0)</f>
        <v/>
      </c>
      <c r="AB4802">
        <f>IF('01_Вводные'!$B$234="Да",'19_Расчет_аналитики'!AB4778,0)</f>
        <v/>
      </c>
      <c r="AC4802">
        <f>IF('01_Вводные'!$B$234="Да",'19_Расчет_аналитики'!AC4778,0)</f>
        <v/>
      </c>
      <c r="AD4802">
        <f>IF('01_Вводные'!$B$234="Да",'19_Расчет_аналитики'!AD4778,0)</f>
        <v/>
      </c>
      <c r="AE4802">
        <f>IF('01_Вводные'!$B$234="Да",'19_Расчет_аналитики'!AE4778,0)</f>
        <v/>
      </c>
      <c r="AF4802">
        <f>IF('01_Вводные'!$B$234="Да",'19_Расчет_аналитики'!AF4778,0)</f>
        <v/>
      </c>
      <c r="AG4802">
        <f>IF('01_Вводные'!$B$234="Да",'19_Расчет_аналитики'!AG4778,0)</f>
        <v/>
      </c>
      <c r="AH4802">
        <f>IF('01_Вводные'!$B$234="Да",'19_Расчет_аналитики'!AH4778,0)</f>
        <v/>
      </c>
      <c r="AI4802">
        <f>IF('01_Вводные'!$B$234="Да",'19_Расчет_аналитики'!AI4778,0)</f>
        <v/>
      </c>
      <c r="AJ4802">
        <f>IF('01_Вводные'!$B$234="Да",'19_Расчет_аналитики'!AJ4778,0)</f>
        <v/>
      </c>
      <c r="AK4802">
        <f>IF('01_Вводные'!$B$234="Да",'19_Расчет_аналитики'!AK4778,0)</f>
        <v/>
      </c>
      <c r="AL4802">
        <f>IF('01_Вводные'!$B$234="Да",'19_Расчет_аналитики'!AL4778,0)</f>
        <v/>
      </c>
      <c r="AM4802">
        <f>IF('01_Вводные'!$B$234="Да",'19_Расчет_аналитики'!AM4778,0)</f>
        <v/>
      </c>
      <c r="AN4802">
        <f>IF('01_Вводные'!$B$234="Да",'19_Расчет_аналитики'!AN4778,0)</f>
        <v/>
      </c>
      <c r="AO4802">
        <f>IF('01_Вводные'!$B$234="Да",'19_Расчет_аналитики'!AO4778,0)</f>
        <v/>
      </c>
      <c r="AP4802">
        <f>IF('01_Вводные'!$B$234="Да",'19_Расчет_аналитики'!AP4778,0)</f>
        <v/>
      </c>
      <c r="AQ4802">
        <f>IF('01_Вводные'!$B$234="Да",'19_Расчет_аналитики'!AQ4778,0)</f>
        <v/>
      </c>
      <c r="AR4802">
        <f>IF('01_Вводные'!$B$234="Да",'19_Расчет_аналитики'!AR4778,0)</f>
        <v/>
      </c>
      <c r="AS4802">
        <f>IF('01_Вводные'!$B$234="Да",'19_Расчет_аналитики'!AS4778,0)</f>
        <v/>
      </c>
      <c r="AT4802">
        <f>IF('01_Вводные'!$B$234="Да",'19_Расчет_аналитики'!AT4778,0)</f>
        <v/>
      </c>
      <c r="AU4802">
        <f>IF('01_Вводные'!$B$234="Да",'19_Расчет_аналитики'!AU4778,0)</f>
        <v/>
      </c>
      <c r="AV4802">
        <f>IF('01_Вводные'!$B$234="Да",'19_Расчет_аналитики'!AV4778,0)</f>
        <v/>
      </c>
      <c r="AW4802">
        <f>IF('01_Вводные'!$B$234="Да",'19_Расчет_аналитики'!AW4778,0)</f>
        <v/>
      </c>
      <c r="AX4802">
        <f>IF('01_Вводные'!$B$234="Да",'19_Расчет_аналитики'!AX4778,0)</f>
        <v/>
      </c>
      <c r="AY4802">
        <f>IF('01_Вводные'!$B$234="Да",'19_Расчет_аналитики'!AY4778,0)</f>
        <v/>
      </c>
      <c r="AZ4802">
        <f>IF('01_Вводные'!$B$234="Да",'19_Расчет_аналитики'!AZ4778,0)</f>
        <v/>
      </c>
      <c r="BA4802">
        <f>IF('01_Вводные'!$B$234="Да",'19_Расчет_аналитики'!BA4778,0)</f>
        <v/>
      </c>
      <c r="BB4802">
        <f>IF('01_Вводные'!$B$234="Да",'19_Расчет_аналитики'!BB4778,0)</f>
        <v/>
      </c>
      <c r="BC4802">
        <f>IF('01_Вводные'!$B$234="Да",'19_Расчет_аналитики'!BC4778,0)</f>
        <v/>
      </c>
      <c r="BD4802">
        <f>IF('01_Вводные'!$B$234="Да",'19_Расчет_аналитики'!BD4778,0)</f>
        <v/>
      </c>
      <c r="BE4802">
        <f>IF('01_Вводные'!$B$234="Да",'19_Расчет_аналитики'!BE4778,0)</f>
        <v/>
      </c>
      <c r="BF4802">
        <f>IF('01_Вводные'!$B$234="Да",'19_Расчет_аналитики'!BF4778,0)</f>
        <v/>
      </c>
      <c r="BG4802">
        <f>IF('01_Вводные'!$B$234="Да",'19_Расчет_аналитики'!BG4778,0)</f>
        <v/>
      </c>
      <c r="BH4802">
        <f>IF('01_Вводные'!$B$234="Да",'19_Расчет_аналитики'!BH4778,0)</f>
        <v/>
      </c>
      <c r="BI4802">
        <f>IF('01_Вводные'!$B$234="Да",'19_Расчет_аналитики'!BI4778,0)</f>
        <v/>
      </c>
    </row>
    <row r="4803">
      <c r="B4803">
        <f>IF('01_Вводные'!$B$234="Да",'02_Модель'!B29+('19_Расчет_аналитики'!B4795/(1+'01_Вводные'!$B$58))*'01_Вводные'!$B$60+'19_Расчет_аналитики'!B4770,0)</f>
        <v/>
      </c>
      <c r="C4803">
        <f>IF('01_Вводные'!$B$234="Да",'19_Расчет_аналитики'!C4771+('19_Расчет_аналитики'!C4795/(1+'01_Вводные'!$B$58))*'01_Вводные'!$B$60+'19_Расчет_аналитики'!C4770,0)</f>
        <v/>
      </c>
      <c r="D4803">
        <f>IF('01_Вводные'!$B$234="Да",'19_Расчет_аналитики'!D4771+('19_Расчет_аналитики'!D4795/(1+'01_Вводные'!$B$58))*'01_Вводные'!$B$60+'19_Расчет_аналитики'!D4770,0)</f>
        <v/>
      </c>
      <c r="E4803">
        <f>IF('01_Вводные'!$B$234="Да",'19_Расчет_аналитики'!E4771+('19_Расчет_аналитики'!E4795/(1+'01_Вводные'!$B$58))*'01_Вводные'!$B$60+'19_Расчет_аналитики'!E4770,0)</f>
        <v/>
      </c>
      <c r="F4803">
        <f>IF('01_Вводные'!$B$234="Да",'19_Расчет_аналитики'!F4771+('19_Расчет_аналитики'!F4795/(1+'01_Вводные'!$B$58))*'01_Вводные'!$B$60+'19_Расчет_аналитики'!F4770,0)</f>
        <v/>
      </c>
      <c r="G4803">
        <f>IF('01_Вводные'!$B$234="Да",'19_Расчет_аналитики'!G4771+('19_Расчет_аналитики'!G4795/(1+'01_Вводные'!$B$58))*'01_Вводные'!$B$60+'19_Расчет_аналитики'!G4770,0)</f>
        <v/>
      </c>
      <c r="H4803">
        <f>IF('01_Вводные'!$B$234="Да",'19_Расчет_аналитики'!H4771+('19_Расчет_аналитики'!H4795/(1+'01_Вводные'!$B$58))*'01_Вводные'!$B$60+'19_Расчет_аналитики'!H4770,0)</f>
        <v/>
      </c>
      <c r="I4803">
        <f>IF('01_Вводные'!$B$234="Да",'19_Расчет_аналитики'!I4771+('19_Расчет_аналитики'!I4795/(1+'01_Вводные'!$B$58))*'01_Вводные'!$B$60+'19_Расчет_аналитики'!I4770,0)</f>
        <v/>
      </c>
      <c r="J4803">
        <f>IF('01_Вводные'!$B$234="Да",'19_Расчет_аналитики'!J4771+('19_Расчет_аналитики'!J4795/(1+'01_Вводные'!$B$58))*'01_Вводные'!$B$60+'19_Расчет_аналитики'!J4770,0)</f>
        <v/>
      </c>
      <c r="K4803">
        <f>IF('01_Вводные'!$B$234="Да",'19_Расчет_аналитики'!K4771+('19_Расчет_аналитики'!K4795/(1+'01_Вводные'!$B$58))*'01_Вводные'!$B$60+'19_Расчет_аналитики'!K4770,0)</f>
        <v/>
      </c>
      <c r="L4803">
        <f>IF('01_Вводные'!$B$234="Да",'19_Расчет_аналитики'!L4771+('19_Расчет_аналитики'!L4795/(1+'01_Вводные'!$B$58))*'01_Вводные'!$B$60+'19_Расчет_аналитики'!L4770,0)</f>
        <v/>
      </c>
      <c r="M4803">
        <f>IF('01_Вводные'!$B$234="Да",'19_Расчет_аналитики'!M4771+('19_Расчет_аналитики'!M4795/(1+'01_Вводные'!$B$58))*'01_Вводные'!$B$60+'19_Расчет_аналитики'!M4770,0)</f>
        <v/>
      </c>
      <c r="N4803">
        <f>IF('01_Вводные'!$B$234="Да",'19_Расчет_аналитики'!N4771+('19_Расчет_аналитики'!N4795/(1+'01_Вводные'!$B$58))*'01_Вводные'!$B$60+'19_Расчет_аналитики'!N4770,0)</f>
        <v/>
      </c>
      <c r="O4803">
        <f>IF('01_Вводные'!$B$234="Да",'19_Расчет_аналитики'!O4771+('19_Расчет_аналитики'!O4795/(1+'01_Вводные'!$B$58))*'01_Вводные'!$B$60+'19_Расчет_аналитики'!O4770,0)</f>
        <v/>
      </c>
      <c r="P4803">
        <f>IF('01_Вводные'!$B$234="Да",'19_Расчет_аналитики'!P4771+('19_Расчет_аналитики'!P4795/(1+'01_Вводные'!$B$58))*'01_Вводные'!$B$60+'19_Расчет_аналитики'!P4770,0)</f>
        <v/>
      </c>
      <c r="Q4803">
        <f>IF('01_Вводные'!$B$234="Да",'19_Расчет_аналитики'!Q4771+('19_Расчет_аналитики'!Q4795/(1+'01_Вводные'!$B$58))*'01_Вводные'!$B$60+'19_Расчет_аналитики'!Q4770,0)</f>
        <v/>
      </c>
      <c r="R4803">
        <f>IF('01_Вводные'!$B$234="Да",'19_Расчет_аналитики'!R4771+('19_Расчет_аналитики'!R4795/(1+'01_Вводные'!$B$58))*'01_Вводные'!$B$60+'19_Расчет_аналитики'!R4770,0)</f>
        <v/>
      </c>
      <c r="S4803">
        <f>IF('01_Вводные'!$B$234="Да",'19_Расчет_аналитики'!S4771+('19_Расчет_аналитики'!S4795/(1+'01_Вводные'!$B$58))*'01_Вводные'!$B$60+'19_Расчет_аналитики'!S4770,0)</f>
        <v/>
      </c>
      <c r="T4803">
        <f>IF('01_Вводные'!$B$234="Да",'19_Расчет_аналитики'!T4771+('19_Расчет_аналитики'!T4795/(1+'01_Вводные'!$B$58))*'01_Вводные'!$B$60+'19_Расчет_аналитики'!T4770,0)</f>
        <v/>
      </c>
      <c r="U4803">
        <f>IF('01_Вводные'!$B$234="Да",'19_Расчет_аналитики'!U4771+('19_Расчет_аналитики'!U4795/(1+'01_Вводные'!$B$58))*'01_Вводные'!$B$60+'19_Расчет_аналитики'!U4770,0)</f>
        <v/>
      </c>
      <c r="V4803">
        <f>IF('01_Вводные'!$B$234="Да",'19_Расчет_аналитики'!V4771+('19_Расчет_аналитики'!V4795/(1+'01_Вводные'!$B$58))*'01_Вводные'!$B$60+'19_Расчет_аналитики'!V4770,0)</f>
        <v/>
      </c>
      <c r="W4803">
        <f>IF('01_Вводные'!$B$234="Да",'19_Расчет_аналитики'!W4771+('19_Расчет_аналитики'!W4795/(1+'01_Вводные'!$B$58))*'01_Вводные'!$B$60+'19_Расчет_аналитики'!W4770,0)</f>
        <v/>
      </c>
      <c r="X4803">
        <f>IF('01_Вводные'!$B$234="Да",'19_Расчет_аналитики'!X4771+('19_Расчет_аналитики'!X4795/(1+'01_Вводные'!$B$58))*'01_Вводные'!$B$60+'19_Расчет_аналитики'!X4770,0)</f>
        <v/>
      </c>
      <c r="Y4803">
        <f>IF('01_Вводные'!$B$234="Да",'19_Расчет_аналитики'!Y4771+('19_Расчет_аналитики'!Y4795/(1+'01_Вводные'!$B$58))*'01_Вводные'!$B$60+'19_Расчет_аналитики'!Y4770,0)</f>
        <v/>
      </c>
      <c r="Z4803">
        <f>IF('01_Вводные'!$B$234="Да",'19_Расчет_аналитики'!Z4771+('19_Расчет_аналитики'!Z4795/(1+'01_Вводные'!$B$58))*'01_Вводные'!$B$60+'19_Расчет_аналитики'!Z4770,0)</f>
        <v/>
      </c>
      <c r="AA4803">
        <f>IF('01_Вводные'!$B$234="Да",'19_Расчет_аналитики'!AA4771+('19_Расчет_аналитики'!AA4795/(1+'01_Вводные'!$B$58))*'01_Вводные'!$B$60+'19_Расчет_аналитики'!AA4770,0)</f>
        <v/>
      </c>
      <c r="AB4803">
        <f>IF('01_Вводные'!$B$234="Да",'19_Расчет_аналитики'!AB4771+('19_Расчет_аналитики'!AB4795/(1+'01_Вводные'!$B$58))*'01_Вводные'!$B$60+'19_Расчет_аналитики'!AB4770,0)</f>
        <v/>
      </c>
      <c r="AC4803">
        <f>IF('01_Вводные'!$B$234="Да",'19_Расчет_аналитики'!AC4771+('19_Расчет_аналитики'!AC4795/(1+'01_Вводные'!$B$58))*'01_Вводные'!$B$60+'19_Расчет_аналитики'!AC4770,0)</f>
        <v/>
      </c>
      <c r="AD4803">
        <f>IF('01_Вводные'!$B$234="Да",'19_Расчет_аналитики'!AD4771+('19_Расчет_аналитики'!AD4795/(1+'01_Вводные'!$B$58))*'01_Вводные'!$B$60+'19_Расчет_аналитики'!AD4770,0)</f>
        <v/>
      </c>
      <c r="AE4803">
        <f>IF('01_Вводные'!$B$234="Да",'19_Расчет_аналитики'!AE4771+('19_Расчет_аналитики'!AE4795/(1+'01_Вводные'!$B$58))*'01_Вводные'!$B$60+'19_Расчет_аналитики'!AE4770,0)</f>
        <v/>
      </c>
      <c r="AF4803">
        <f>IF('01_Вводные'!$B$234="Да",'19_Расчет_аналитики'!AF4771+('19_Расчет_аналитики'!AF4795/(1+'01_Вводные'!$B$58))*'01_Вводные'!$B$60+'19_Расчет_аналитики'!AF4770,0)</f>
        <v/>
      </c>
      <c r="AG4803">
        <f>IF('01_Вводные'!$B$234="Да",'19_Расчет_аналитики'!AG4771+('19_Расчет_аналитики'!AG4795/(1+'01_Вводные'!$B$58))*'01_Вводные'!$B$60+'19_Расчет_аналитики'!AG4770,0)</f>
        <v/>
      </c>
      <c r="AH4803">
        <f>IF('01_Вводные'!$B$234="Да",'19_Расчет_аналитики'!AH4771+('19_Расчет_аналитики'!AH4795/(1+'01_Вводные'!$B$58))*'01_Вводные'!$B$60+'19_Расчет_аналитики'!AH4770,0)</f>
        <v/>
      </c>
      <c r="AI4803">
        <f>IF('01_Вводные'!$B$234="Да",'19_Расчет_аналитики'!AI4771+('19_Расчет_аналитики'!AI4795/(1+'01_Вводные'!$B$58))*'01_Вводные'!$B$60+'19_Расчет_аналитики'!AI4770,0)</f>
        <v/>
      </c>
      <c r="AJ4803">
        <f>IF('01_Вводные'!$B$234="Да",'19_Расчет_аналитики'!AJ4771+('19_Расчет_аналитики'!AJ4795/(1+'01_Вводные'!$B$58))*'01_Вводные'!$B$60+'19_Расчет_аналитики'!AJ4770,0)</f>
        <v/>
      </c>
      <c r="AK4803">
        <f>IF('01_Вводные'!$B$234="Да",'19_Расчет_аналитики'!AK4771+('19_Расчет_аналитики'!AK4795/(1+'01_Вводные'!$B$58))*'01_Вводные'!$B$60+'19_Расчет_аналитики'!AK4770,0)</f>
        <v/>
      </c>
      <c r="AL4803">
        <f>IF('01_Вводные'!$B$234="Да",'19_Расчет_аналитики'!AL4771+('19_Расчет_аналитики'!AL4795/(1+'01_Вводные'!$B$58))*'01_Вводные'!$B$60+'19_Расчет_аналитики'!AL4770,0)</f>
        <v/>
      </c>
      <c r="AM4803">
        <f>IF('01_Вводные'!$B$234="Да",'19_Расчет_аналитики'!AM4771+('19_Расчет_аналитики'!AM4795/(1+'01_Вводные'!$B$58))*'01_Вводные'!$B$60+'19_Расчет_аналитики'!AM4770,0)</f>
        <v/>
      </c>
      <c r="AN4803">
        <f>IF('01_Вводные'!$B$234="Да",'19_Расчет_аналитики'!AN4771+('19_Расчет_аналитики'!AN4795/(1+'01_Вводные'!$B$58))*'01_Вводные'!$B$60+'19_Расчет_аналитики'!AN4770,0)</f>
        <v/>
      </c>
      <c r="AO4803">
        <f>IF('01_Вводные'!$B$234="Да",'19_Расчет_аналитики'!AO4771+('19_Расчет_аналитики'!AO4795/(1+'01_Вводные'!$B$58))*'01_Вводные'!$B$60+'19_Расчет_аналитики'!AO4770,0)</f>
        <v/>
      </c>
      <c r="AP4803">
        <f>IF('01_Вводные'!$B$234="Да",'19_Расчет_аналитики'!AP4771+('19_Расчет_аналитики'!AP4795/(1+'01_Вводные'!$B$58))*'01_Вводные'!$B$60+'19_Расчет_аналитики'!AP4770,0)</f>
        <v/>
      </c>
      <c r="AQ4803">
        <f>IF('01_Вводные'!$B$234="Да",'19_Расчет_аналитики'!AQ4771+('19_Расчет_аналитики'!AQ4795/(1+'01_Вводные'!$B$58))*'01_Вводные'!$B$60+'19_Расчет_аналитики'!AQ4770,0)</f>
        <v/>
      </c>
      <c r="AR4803">
        <f>IF('01_Вводные'!$B$234="Да",'19_Расчет_аналитики'!AR4771+('19_Расчет_аналитики'!AR4795/(1+'01_Вводные'!$B$58))*'01_Вводные'!$B$60+'19_Расчет_аналитики'!AR4770,0)</f>
        <v/>
      </c>
      <c r="AS4803">
        <f>IF('01_Вводные'!$B$234="Да",'19_Расчет_аналитики'!AS4771+('19_Расчет_аналитики'!AS4795/(1+'01_Вводные'!$B$58))*'01_Вводные'!$B$60+'19_Расчет_аналитики'!AS4770,0)</f>
        <v/>
      </c>
      <c r="AT4803">
        <f>IF('01_Вводные'!$B$234="Да",'19_Расчет_аналитики'!AT4771+('19_Расчет_аналитики'!AT4795/(1+'01_Вводные'!$B$58))*'01_Вводные'!$B$60+'19_Расчет_аналитики'!AT4770,0)</f>
        <v/>
      </c>
      <c r="AU4803">
        <f>IF('01_Вводные'!$B$234="Да",'19_Расчет_аналитики'!AU4771+('19_Расчет_аналитики'!AU4795/(1+'01_Вводные'!$B$58))*'01_Вводные'!$B$60+'19_Расчет_аналитики'!AU4770,0)</f>
        <v/>
      </c>
      <c r="AV4803">
        <f>IF('01_Вводные'!$B$234="Да",'19_Расчет_аналитики'!AV4771+('19_Расчет_аналитики'!AV4795/(1+'01_Вводные'!$B$58))*'01_Вводные'!$B$60+'19_Расчет_аналитики'!AV4770,0)</f>
        <v/>
      </c>
      <c r="AW4803">
        <f>IF('01_Вводные'!$B$234="Да",'19_Расчет_аналитики'!AW4771+('19_Расчет_аналитики'!AW4795/(1+'01_Вводные'!$B$58))*'01_Вводные'!$B$60+'19_Расчет_аналитики'!AW4770,0)</f>
        <v/>
      </c>
      <c r="AX4803">
        <f>IF('01_Вводные'!$B$234="Да",'19_Расчет_аналитики'!AX4771+('19_Расчет_аналитики'!AX4795/(1+'01_Вводные'!$B$58))*'01_Вводные'!$B$60+'19_Расчет_аналитики'!AX4770,0)</f>
        <v/>
      </c>
      <c r="AY4803">
        <f>IF('01_Вводные'!$B$234="Да",'19_Расчет_аналитики'!AY4771+('19_Расчет_аналитики'!AY4795/(1+'01_Вводные'!$B$58))*'01_Вводные'!$B$60+'19_Расчет_аналитики'!AY4770,0)</f>
        <v/>
      </c>
      <c r="AZ4803">
        <f>IF('01_Вводные'!$B$234="Да",'19_Расчет_аналитики'!AZ4771+('19_Расчет_аналитики'!AZ4795/(1+'01_Вводные'!$B$58))*'01_Вводные'!$B$60+'19_Расчет_аналитики'!AZ4770,0)</f>
        <v/>
      </c>
      <c r="BA4803">
        <f>IF('01_Вводные'!$B$234="Да",'19_Расчет_аналитики'!BA4771+('19_Расчет_аналитики'!BA4795/(1+'01_Вводные'!$B$58))*'01_Вводные'!$B$60+'19_Расчет_аналитики'!BA4770,0)</f>
        <v/>
      </c>
      <c r="BB4803">
        <f>IF('01_Вводные'!$B$234="Да",'19_Расчет_аналитики'!BB4771+('19_Расчет_аналитики'!BB4795/(1+'01_Вводные'!$B$58))*'01_Вводные'!$B$60+'19_Расчет_аналитики'!BB4770,0)</f>
        <v/>
      </c>
      <c r="BC4803">
        <f>IF('01_Вводные'!$B$234="Да",'19_Расчет_аналитики'!BC4771+('19_Расчет_аналитики'!BC4795/(1+'01_Вводные'!$B$58))*'01_Вводные'!$B$60+'19_Расчет_аналитики'!BC4770,0)</f>
        <v/>
      </c>
      <c r="BD4803">
        <f>IF('01_Вводные'!$B$234="Да",'19_Расчет_аналитики'!BD4771+('19_Расчет_аналитики'!BD4795/(1+'01_Вводные'!$B$58))*'01_Вводные'!$B$60+'19_Расчет_аналитики'!BD4770,0)</f>
        <v/>
      </c>
      <c r="BE4803">
        <f>IF('01_Вводные'!$B$234="Да",'19_Расчет_аналитики'!BE4771+('19_Расчет_аналитики'!BE4795/(1+'01_Вводные'!$B$58))*'01_Вводные'!$B$60+'19_Расчет_аналитики'!BE4770,0)</f>
        <v/>
      </c>
      <c r="BF4803">
        <f>IF('01_Вводные'!$B$234="Да",'19_Расчет_аналитики'!BF4771+('19_Расчет_аналитики'!BF4795/(1+'01_Вводные'!$B$58))*'01_Вводные'!$B$60+'19_Расчет_аналитики'!BF4770,0)</f>
        <v/>
      </c>
      <c r="BG4803">
        <f>IF('01_Вводные'!$B$234="Да",'19_Расчет_аналитики'!BG4771+('19_Расчет_аналитики'!BG4795/(1+'01_Вводные'!$B$58))*'01_Вводные'!$B$60+'19_Расчет_аналитики'!BG4770,0)</f>
        <v/>
      </c>
      <c r="BH4803">
        <f>IF('01_Вводные'!$B$234="Да",'19_Расчет_аналитики'!BH4771+('19_Расчет_аналитики'!BH4795/(1+'01_Вводные'!$B$58))*'01_Вводные'!$B$60+'19_Расчет_аналитики'!BH4770,0)</f>
        <v/>
      </c>
      <c r="BI4803">
        <f>IF('01_Вводные'!$B$234="Да",'19_Расчет_аналитики'!BI4771+('19_Расчет_аналитики'!BI4795/(1+'01_Вводные'!$B$58))*'01_Вводные'!$B$60+'19_Расчет_аналитики'!BI4770,0)</f>
        <v/>
      </c>
    </row>
    <row r="4804">
      <c r="B4804">
        <f>IF('01_Вводные'!$B$234="Да",('02_Модель'!B52+'19_Расчет_аналитики'!B4795+'19_Расчет_аналитики'!B4796)-('02_Модель'!B52+'19_Расчет_аналитики'!B4795+'19_Расчет_аналитики'!B4796)/(1+'01_Вводные'!$B$58),0)</f>
        <v/>
      </c>
      <c r="C4804">
        <f>IF('01_Вводные'!$B$234="Да",('19_Расчет_аналитики'!C4794+'19_Расчет_аналитики'!C4795+'19_Расчет_аналитики'!C4796)-('19_Расчет_аналитики'!C4794+'19_Расчет_аналитики'!C4795+'19_Расчет_аналитики'!C4796)/(1+'01_Вводные'!$B$58),0)</f>
        <v/>
      </c>
      <c r="D4804">
        <f>IF('01_Вводные'!$B$234="Да",('19_Расчет_аналитики'!D4794+'19_Расчет_аналитики'!D4795+'19_Расчет_аналитики'!D4796)-('19_Расчет_аналитики'!D4794+'19_Расчет_аналитики'!D4795+'19_Расчет_аналитики'!D4796)/(1+'01_Вводные'!$B$58),0)</f>
        <v/>
      </c>
      <c r="E4804">
        <f>IF('01_Вводные'!$B$234="Да",('19_Расчет_аналитики'!E4794+'19_Расчет_аналитики'!E4795+'19_Расчет_аналитики'!E4796)-('19_Расчет_аналитики'!E4794+'19_Расчет_аналитики'!E4795+'19_Расчет_аналитики'!E4796)/(1+'01_Вводные'!$B$58),0)</f>
        <v/>
      </c>
      <c r="F4804">
        <f>IF('01_Вводные'!$B$234="Да",('19_Расчет_аналитики'!F4794+'19_Расчет_аналитики'!F4795+'19_Расчет_аналитики'!F4796)-('19_Расчет_аналитики'!F4794+'19_Расчет_аналитики'!F4795+'19_Расчет_аналитики'!F4796)/(1+'01_Вводные'!$B$58),0)</f>
        <v/>
      </c>
      <c r="G4804">
        <f>IF('01_Вводные'!$B$234="Да",('19_Расчет_аналитики'!G4794+'19_Расчет_аналитики'!G4795+'19_Расчет_аналитики'!G4796)-('19_Расчет_аналитики'!G4794+'19_Расчет_аналитики'!G4795+'19_Расчет_аналитики'!G4796)/(1+'01_Вводные'!$B$58),0)</f>
        <v/>
      </c>
      <c r="H4804">
        <f>IF('01_Вводные'!$B$234="Да",('19_Расчет_аналитики'!H4794+'19_Расчет_аналитики'!H4795+'19_Расчет_аналитики'!H4796)-('19_Расчет_аналитики'!H4794+'19_Расчет_аналитики'!H4795+'19_Расчет_аналитики'!H4796)/(1+'01_Вводные'!$B$58),0)</f>
        <v/>
      </c>
      <c r="I4804">
        <f>IF('01_Вводные'!$B$234="Да",('19_Расчет_аналитики'!I4794+'19_Расчет_аналитики'!I4795+'19_Расчет_аналитики'!I4796)-('19_Расчет_аналитики'!I4794+'19_Расчет_аналитики'!I4795+'19_Расчет_аналитики'!I4796)/(1+'01_Вводные'!$B$58),0)</f>
        <v/>
      </c>
      <c r="J4804">
        <f>IF('01_Вводные'!$B$234="Да",('19_Расчет_аналитики'!J4794+'19_Расчет_аналитики'!J4795+'19_Расчет_аналитики'!J4796)-('19_Расчет_аналитики'!J4794+'19_Расчет_аналитики'!J4795+'19_Расчет_аналитики'!J4796)/(1+'01_Вводные'!$B$58),0)</f>
        <v/>
      </c>
      <c r="K4804">
        <f>IF('01_Вводные'!$B$234="Да",('19_Расчет_аналитики'!K4794+'19_Расчет_аналитики'!K4795+'19_Расчет_аналитики'!K4796)-('19_Расчет_аналитики'!K4794+'19_Расчет_аналитики'!K4795+'19_Расчет_аналитики'!K4796)/(1+'01_Вводные'!$B$58),0)</f>
        <v/>
      </c>
      <c r="L4804">
        <f>IF('01_Вводные'!$B$234="Да",('19_Расчет_аналитики'!L4794+'19_Расчет_аналитики'!L4795+'19_Расчет_аналитики'!L4796)-('19_Расчет_аналитики'!L4794+'19_Расчет_аналитики'!L4795+'19_Расчет_аналитики'!L4796)/(1+'01_Вводные'!$B$58),0)</f>
        <v/>
      </c>
      <c r="M4804">
        <f>IF('01_Вводные'!$B$234="Да",('19_Расчет_аналитики'!M4794+'19_Расчет_аналитики'!M4795+'19_Расчет_аналитики'!M4796)-('19_Расчет_аналитики'!M4794+'19_Расчет_аналитики'!M4795+'19_Расчет_аналитики'!M4796)/(1+'01_Вводные'!$B$58),0)</f>
        <v/>
      </c>
      <c r="N4804">
        <f>IF('01_Вводные'!$B$234="Да",('19_Расчет_аналитики'!N4794+'19_Расчет_аналитики'!N4795+'19_Расчет_аналитики'!N4796)-('19_Расчет_аналитики'!N4794+'19_Расчет_аналитики'!N4795+'19_Расчет_аналитики'!N4796)/(1+'01_Вводные'!$B$58),0)</f>
        <v/>
      </c>
      <c r="O4804">
        <f>IF('01_Вводные'!$B$234="Да",('19_Расчет_аналитики'!O4794+'19_Расчет_аналитики'!O4795+'19_Расчет_аналитики'!O4796)-('19_Расчет_аналитики'!O4794+'19_Расчет_аналитики'!O4795+'19_Расчет_аналитики'!O4796)/(1+'01_Вводные'!$B$58),0)</f>
        <v/>
      </c>
      <c r="P4804">
        <f>IF('01_Вводные'!$B$234="Да",('19_Расчет_аналитики'!P4794+'19_Расчет_аналитики'!P4795+'19_Расчет_аналитики'!P4796)-('19_Расчет_аналитики'!P4794+'19_Расчет_аналитики'!P4795+'19_Расчет_аналитики'!P4796)/(1+'01_Вводные'!$B$58),0)</f>
        <v/>
      </c>
      <c r="Q4804">
        <f>IF('01_Вводные'!$B$234="Да",('19_Расчет_аналитики'!Q4794+'19_Расчет_аналитики'!Q4795+'19_Расчет_аналитики'!Q4796)-('19_Расчет_аналитики'!Q4794+'19_Расчет_аналитики'!Q4795+'19_Расчет_аналитики'!Q4796)/(1+'01_Вводные'!$B$58),0)</f>
        <v/>
      </c>
      <c r="R4804">
        <f>IF('01_Вводные'!$B$234="Да",('19_Расчет_аналитики'!R4794+'19_Расчет_аналитики'!R4795+'19_Расчет_аналитики'!R4796)-('19_Расчет_аналитики'!R4794+'19_Расчет_аналитики'!R4795+'19_Расчет_аналитики'!R4796)/(1+'01_Вводные'!$B$58),0)</f>
        <v/>
      </c>
      <c r="S4804">
        <f>IF('01_Вводные'!$B$234="Да",('19_Расчет_аналитики'!S4794+'19_Расчет_аналитики'!S4795+'19_Расчет_аналитики'!S4796)-('19_Расчет_аналитики'!S4794+'19_Расчет_аналитики'!S4795+'19_Расчет_аналитики'!S4796)/(1+'01_Вводные'!$B$58),0)</f>
        <v/>
      </c>
      <c r="T4804">
        <f>IF('01_Вводные'!$B$234="Да",('19_Расчет_аналитики'!T4794+'19_Расчет_аналитики'!T4795+'19_Расчет_аналитики'!T4796)-('19_Расчет_аналитики'!T4794+'19_Расчет_аналитики'!T4795+'19_Расчет_аналитики'!T4796)/(1+'01_Вводные'!$B$58),0)</f>
        <v/>
      </c>
      <c r="U4804">
        <f>IF('01_Вводные'!$B$234="Да",('19_Расчет_аналитики'!U4794+'19_Расчет_аналитики'!U4795+'19_Расчет_аналитики'!U4796)-('19_Расчет_аналитики'!U4794+'19_Расчет_аналитики'!U4795+'19_Расчет_аналитики'!U4796)/(1+'01_Вводные'!$B$58),0)</f>
        <v/>
      </c>
      <c r="V4804">
        <f>IF('01_Вводные'!$B$234="Да",('19_Расчет_аналитики'!V4794+'19_Расчет_аналитики'!V4795+'19_Расчет_аналитики'!V4796)-('19_Расчет_аналитики'!V4794+'19_Расчет_аналитики'!V4795+'19_Расчет_аналитики'!V4796)/(1+'01_Вводные'!$B$58),0)</f>
        <v/>
      </c>
      <c r="W4804">
        <f>IF('01_Вводные'!$B$234="Да",('19_Расчет_аналитики'!W4794+'19_Расчет_аналитики'!W4795+'19_Расчет_аналитики'!W4796)-('19_Расчет_аналитики'!W4794+'19_Расчет_аналитики'!W4795+'19_Расчет_аналитики'!W4796)/(1+'01_Вводные'!$B$58),0)</f>
        <v/>
      </c>
      <c r="X4804">
        <f>IF('01_Вводные'!$B$234="Да",('19_Расчет_аналитики'!X4794+'19_Расчет_аналитики'!X4795+'19_Расчет_аналитики'!X4796)-('19_Расчет_аналитики'!X4794+'19_Расчет_аналитики'!X4795+'19_Расчет_аналитики'!X4796)/(1+'01_Вводные'!$B$58),0)</f>
        <v/>
      </c>
      <c r="Y4804">
        <f>IF('01_Вводные'!$B$234="Да",('19_Расчет_аналитики'!Y4794+'19_Расчет_аналитики'!Y4795+'19_Расчет_аналитики'!Y4796)-('19_Расчет_аналитики'!Y4794+'19_Расчет_аналитики'!Y4795+'19_Расчет_аналитики'!Y4796)/(1+'01_Вводные'!$B$58),0)</f>
        <v/>
      </c>
      <c r="Z4804">
        <f>IF('01_Вводные'!$B$234="Да",('19_Расчет_аналитики'!Z4794+'19_Расчет_аналитики'!Z4795+'19_Расчет_аналитики'!Z4796)-('19_Расчет_аналитики'!Z4794+'19_Расчет_аналитики'!Z4795+'19_Расчет_аналитики'!Z4796)/(1+'01_Вводные'!$B$58),0)</f>
        <v/>
      </c>
      <c r="AA4804">
        <f>IF('01_Вводные'!$B$234="Да",('19_Расчет_аналитики'!AA4794+'19_Расчет_аналитики'!AA4795+'19_Расчет_аналитики'!AA4796)-('19_Расчет_аналитики'!AA4794+'19_Расчет_аналитики'!AA4795+'19_Расчет_аналитики'!AA4796)/(1+'01_Вводные'!$B$58),0)</f>
        <v/>
      </c>
      <c r="AB4804">
        <f>IF('01_Вводные'!$B$234="Да",('19_Расчет_аналитики'!AB4794+'19_Расчет_аналитики'!AB4795+'19_Расчет_аналитики'!AB4796)-('19_Расчет_аналитики'!AB4794+'19_Расчет_аналитики'!AB4795+'19_Расчет_аналитики'!AB4796)/(1+'01_Вводные'!$B$58),0)</f>
        <v/>
      </c>
      <c r="AC4804">
        <f>IF('01_Вводные'!$B$234="Да",('19_Расчет_аналитики'!AC4794+'19_Расчет_аналитики'!AC4795+'19_Расчет_аналитики'!AC4796)-('19_Расчет_аналитики'!AC4794+'19_Расчет_аналитики'!AC4795+'19_Расчет_аналитики'!AC4796)/(1+'01_Вводные'!$B$58),0)</f>
        <v/>
      </c>
      <c r="AD4804">
        <f>IF('01_Вводные'!$B$234="Да",('19_Расчет_аналитики'!AD4794+'19_Расчет_аналитики'!AD4795+'19_Расчет_аналитики'!AD4796)-('19_Расчет_аналитики'!AD4794+'19_Расчет_аналитики'!AD4795+'19_Расчет_аналитики'!AD4796)/(1+'01_Вводные'!$B$58),0)</f>
        <v/>
      </c>
      <c r="AE4804">
        <f>IF('01_Вводные'!$B$234="Да",('19_Расчет_аналитики'!AE4794+'19_Расчет_аналитики'!AE4795+'19_Расчет_аналитики'!AE4796)-('19_Расчет_аналитики'!AE4794+'19_Расчет_аналитики'!AE4795+'19_Расчет_аналитики'!AE4796)/(1+'01_Вводные'!$B$58),0)</f>
        <v/>
      </c>
      <c r="AF4804">
        <f>IF('01_Вводные'!$B$234="Да",('19_Расчет_аналитики'!AF4794+'19_Расчет_аналитики'!AF4795+'19_Расчет_аналитики'!AF4796)-('19_Расчет_аналитики'!AF4794+'19_Расчет_аналитики'!AF4795+'19_Расчет_аналитики'!AF4796)/(1+'01_Вводные'!$B$58),0)</f>
        <v/>
      </c>
      <c r="AG4804">
        <f>IF('01_Вводные'!$B$234="Да",('19_Расчет_аналитики'!AG4794+'19_Расчет_аналитики'!AG4795+'19_Расчет_аналитики'!AG4796)-('19_Расчет_аналитики'!AG4794+'19_Расчет_аналитики'!AG4795+'19_Расчет_аналитики'!AG4796)/(1+'01_Вводные'!$B$58),0)</f>
        <v/>
      </c>
      <c r="AH4804">
        <f>IF('01_Вводные'!$B$234="Да",('19_Расчет_аналитики'!AH4794+'19_Расчет_аналитики'!AH4795+'19_Расчет_аналитики'!AH4796)-('19_Расчет_аналитики'!AH4794+'19_Расчет_аналитики'!AH4795+'19_Расчет_аналитики'!AH4796)/(1+'01_Вводные'!$B$58),0)</f>
        <v/>
      </c>
      <c r="AI4804">
        <f>IF('01_Вводные'!$B$234="Да",('19_Расчет_аналитики'!AI4794+'19_Расчет_аналитики'!AI4795+'19_Расчет_аналитики'!AI4796)-('19_Расчет_аналитики'!AI4794+'19_Расчет_аналитики'!AI4795+'19_Расчет_аналитики'!AI4796)/(1+'01_Вводные'!$B$58),0)</f>
        <v/>
      </c>
      <c r="AJ4804">
        <f>IF('01_Вводные'!$B$234="Да",('19_Расчет_аналитики'!AJ4794+'19_Расчет_аналитики'!AJ4795+'19_Расчет_аналитики'!AJ4796)-('19_Расчет_аналитики'!AJ4794+'19_Расчет_аналитики'!AJ4795+'19_Расчет_аналитики'!AJ4796)/(1+'01_Вводные'!$B$58),0)</f>
        <v/>
      </c>
      <c r="AK4804">
        <f>IF('01_Вводные'!$B$234="Да",('19_Расчет_аналитики'!AK4794+'19_Расчет_аналитики'!AK4795+'19_Расчет_аналитики'!AK4796)-('19_Расчет_аналитики'!AK4794+'19_Расчет_аналитики'!AK4795+'19_Расчет_аналитики'!AK4796)/(1+'01_Вводные'!$B$58),0)</f>
        <v/>
      </c>
      <c r="AL4804">
        <f>IF('01_Вводные'!$B$234="Да",('19_Расчет_аналитики'!AL4794+'19_Расчет_аналитики'!AL4795+'19_Расчет_аналитики'!AL4796)-('19_Расчет_аналитики'!AL4794+'19_Расчет_аналитики'!AL4795+'19_Расчет_аналитики'!AL4796)/(1+'01_Вводные'!$B$58),0)</f>
        <v/>
      </c>
      <c r="AM4804">
        <f>IF('01_Вводные'!$B$234="Да",('19_Расчет_аналитики'!AM4794+'19_Расчет_аналитики'!AM4795+'19_Расчет_аналитики'!AM4796)-('19_Расчет_аналитики'!AM4794+'19_Расчет_аналитики'!AM4795+'19_Расчет_аналитики'!AM4796)/(1+'01_Вводные'!$B$58),0)</f>
        <v/>
      </c>
      <c r="AN4804">
        <f>IF('01_Вводные'!$B$234="Да",('19_Расчет_аналитики'!AN4794+'19_Расчет_аналитики'!AN4795+'19_Расчет_аналитики'!AN4796)-('19_Расчет_аналитики'!AN4794+'19_Расчет_аналитики'!AN4795+'19_Расчет_аналитики'!AN4796)/(1+'01_Вводные'!$B$58),0)</f>
        <v/>
      </c>
      <c r="AO4804">
        <f>IF('01_Вводные'!$B$234="Да",('19_Расчет_аналитики'!AO4794+'19_Расчет_аналитики'!AO4795+'19_Расчет_аналитики'!AO4796)-('19_Расчет_аналитики'!AO4794+'19_Расчет_аналитики'!AO4795+'19_Расчет_аналитики'!AO4796)/(1+'01_Вводные'!$B$58),0)</f>
        <v/>
      </c>
      <c r="AP4804">
        <f>IF('01_Вводные'!$B$234="Да",('19_Расчет_аналитики'!AP4794+'19_Расчет_аналитики'!AP4795+'19_Расчет_аналитики'!AP4796)-('19_Расчет_аналитики'!AP4794+'19_Расчет_аналитики'!AP4795+'19_Расчет_аналитики'!AP4796)/(1+'01_Вводные'!$B$58),0)</f>
        <v/>
      </c>
      <c r="AQ4804">
        <f>IF('01_Вводные'!$B$234="Да",('19_Расчет_аналитики'!AQ4794+'19_Расчет_аналитики'!AQ4795+'19_Расчет_аналитики'!AQ4796)-('19_Расчет_аналитики'!AQ4794+'19_Расчет_аналитики'!AQ4795+'19_Расчет_аналитики'!AQ4796)/(1+'01_Вводные'!$B$58),0)</f>
        <v/>
      </c>
      <c r="AR4804">
        <f>IF('01_Вводные'!$B$234="Да",('19_Расчет_аналитики'!AR4794+'19_Расчет_аналитики'!AR4795+'19_Расчет_аналитики'!AR4796)-('19_Расчет_аналитики'!AR4794+'19_Расчет_аналитики'!AR4795+'19_Расчет_аналитики'!AR4796)/(1+'01_Вводные'!$B$58),0)</f>
        <v/>
      </c>
      <c r="AS4804">
        <f>IF('01_Вводные'!$B$234="Да",('19_Расчет_аналитики'!AS4794+'19_Расчет_аналитики'!AS4795+'19_Расчет_аналитики'!AS4796)-('19_Расчет_аналитики'!AS4794+'19_Расчет_аналитики'!AS4795+'19_Расчет_аналитики'!AS4796)/(1+'01_Вводные'!$B$58),0)</f>
        <v/>
      </c>
      <c r="AT4804">
        <f>IF('01_Вводные'!$B$234="Да",('19_Расчет_аналитики'!AT4794+'19_Расчет_аналитики'!AT4795+'19_Расчет_аналитики'!AT4796)-('19_Расчет_аналитики'!AT4794+'19_Расчет_аналитики'!AT4795+'19_Расчет_аналитики'!AT4796)/(1+'01_Вводные'!$B$58),0)</f>
        <v/>
      </c>
      <c r="AU4804">
        <f>IF('01_Вводные'!$B$234="Да",('19_Расчет_аналитики'!AU4794+'19_Расчет_аналитики'!AU4795+'19_Расчет_аналитики'!AU4796)-('19_Расчет_аналитики'!AU4794+'19_Расчет_аналитики'!AU4795+'19_Расчет_аналитики'!AU4796)/(1+'01_Вводные'!$B$58),0)</f>
        <v/>
      </c>
      <c r="AV4804">
        <f>IF('01_Вводные'!$B$234="Да",('19_Расчет_аналитики'!AV4794+'19_Расчет_аналитики'!AV4795+'19_Расчет_аналитики'!AV4796)-('19_Расчет_аналитики'!AV4794+'19_Расчет_аналитики'!AV4795+'19_Расчет_аналитики'!AV4796)/(1+'01_Вводные'!$B$58),0)</f>
        <v/>
      </c>
      <c r="AW4804">
        <f>IF('01_Вводные'!$B$234="Да",('19_Расчет_аналитики'!AW4794+'19_Расчет_аналитики'!AW4795+'19_Расчет_аналитики'!AW4796)-('19_Расчет_аналитики'!AW4794+'19_Расчет_аналитики'!AW4795+'19_Расчет_аналитики'!AW4796)/(1+'01_Вводные'!$B$58),0)</f>
        <v/>
      </c>
      <c r="AX4804">
        <f>IF('01_Вводные'!$B$234="Да",('19_Расчет_аналитики'!AX4794+'19_Расчет_аналитики'!AX4795+'19_Расчет_аналитики'!AX4796)-('19_Расчет_аналитики'!AX4794+'19_Расчет_аналитики'!AX4795+'19_Расчет_аналитики'!AX4796)/(1+'01_Вводные'!$B$58),0)</f>
        <v/>
      </c>
      <c r="AY4804">
        <f>IF('01_Вводные'!$B$234="Да",('19_Расчет_аналитики'!AY4794+'19_Расчет_аналитики'!AY4795+'19_Расчет_аналитики'!AY4796)-('19_Расчет_аналитики'!AY4794+'19_Расчет_аналитики'!AY4795+'19_Расчет_аналитики'!AY4796)/(1+'01_Вводные'!$B$58),0)</f>
        <v/>
      </c>
      <c r="AZ4804">
        <f>IF('01_Вводные'!$B$234="Да",('19_Расчет_аналитики'!AZ4794+'19_Расчет_аналитики'!AZ4795+'19_Расчет_аналитики'!AZ4796)-('19_Расчет_аналитики'!AZ4794+'19_Расчет_аналитики'!AZ4795+'19_Расчет_аналитики'!AZ4796)/(1+'01_Вводные'!$B$58),0)</f>
        <v/>
      </c>
      <c r="BA4804">
        <f>IF('01_Вводные'!$B$234="Да",('19_Расчет_аналитики'!BA4794+'19_Расчет_аналитики'!BA4795+'19_Расчет_аналитики'!BA4796)-('19_Расчет_аналитики'!BA4794+'19_Расчет_аналитики'!BA4795+'19_Расчет_аналитики'!BA4796)/(1+'01_Вводные'!$B$58),0)</f>
        <v/>
      </c>
      <c r="BB4804">
        <f>IF('01_Вводные'!$B$234="Да",('19_Расчет_аналитики'!BB4794+'19_Расчет_аналитики'!BB4795+'19_Расчет_аналитики'!BB4796)-('19_Расчет_аналитики'!BB4794+'19_Расчет_аналитики'!BB4795+'19_Расчет_аналитики'!BB4796)/(1+'01_Вводные'!$B$58),0)</f>
        <v/>
      </c>
      <c r="BC4804">
        <f>IF('01_Вводные'!$B$234="Да",('19_Расчет_аналитики'!BC4794+'19_Расчет_аналитики'!BC4795+'19_Расчет_аналитики'!BC4796)-('19_Расчет_аналитики'!BC4794+'19_Расчет_аналитики'!BC4795+'19_Расчет_аналитики'!BC4796)/(1+'01_Вводные'!$B$58),0)</f>
        <v/>
      </c>
      <c r="BD4804">
        <f>IF('01_Вводные'!$B$234="Да",('19_Расчет_аналитики'!BD4794+'19_Расчет_аналитики'!BD4795+'19_Расчет_аналитики'!BD4796)-('19_Расчет_аналитики'!BD4794+'19_Расчет_аналитики'!BD4795+'19_Расчет_аналитики'!BD4796)/(1+'01_Вводные'!$B$58),0)</f>
        <v/>
      </c>
      <c r="BE4804">
        <f>IF('01_Вводные'!$B$234="Да",('19_Расчет_аналитики'!BE4794+'19_Расчет_аналитики'!BE4795+'19_Расчет_аналитики'!BE4796)-('19_Расчет_аналитики'!BE4794+'19_Расчет_аналитики'!BE4795+'19_Расчет_аналитики'!BE4796)/(1+'01_Вводные'!$B$58),0)</f>
        <v/>
      </c>
      <c r="BF4804">
        <f>IF('01_Вводные'!$B$234="Да",('19_Расчет_аналитики'!BF4794+'19_Расчет_аналитики'!BF4795+'19_Расчет_аналитики'!BF4796)-('19_Расчет_аналитики'!BF4794+'19_Расчет_аналитики'!BF4795+'19_Расчет_аналитики'!BF4796)/(1+'01_Вводные'!$B$58),0)</f>
        <v/>
      </c>
      <c r="BG4804">
        <f>IF('01_Вводные'!$B$234="Да",('19_Расчет_аналитики'!BG4794+'19_Расчет_аналитики'!BG4795+'19_Расчет_аналитики'!BG4796)-('19_Расчет_аналитики'!BG4794+'19_Расчет_аналитики'!BG4795+'19_Расчет_аналитики'!BG4796)/(1+'01_Вводные'!$B$58),0)</f>
        <v/>
      </c>
      <c r="BH4804">
        <f>IF('01_Вводные'!$B$234="Да",('19_Расчет_аналитики'!BH4794+'19_Расчет_аналитики'!BH4795+'19_Расчет_аналитики'!BH4796)-('19_Расчет_аналитики'!BH4794+'19_Расчет_аналитики'!BH4795+'19_Расчет_аналитики'!BH4796)/(1+'01_Вводные'!$B$58),0)</f>
        <v/>
      </c>
      <c r="BI4804">
        <f>IF('01_Вводные'!$B$234="Да",('19_Расчет_аналитики'!BI4794+'19_Расчет_аналитики'!BI4795+'19_Расчет_аналитики'!BI4796)-('19_Расчет_аналитики'!BI4794+'19_Расчет_аналитики'!BI4795+'19_Расчет_аналитики'!BI4796)/(1+'01_Вводные'!$B$58),0)</f>
        <v/>
      </c>
    </row>
    <row r="4805">
      <c r="B4805">
        <f>'02_Модель'!B63</f>
        <v/>
      </c>
      <c r="C4805">
        <f>'02_Модель'!C63</f>
        <v/>
      </c>
      <c r="D4805">
        <f>'02_Модель'!D63</f>
        <v/>
      </c>
      <c r="E4805">
        <f>'02_Модель'!E63</f>
        <v/>
      </c>
      <c r="F4805">
        <f>'02_Модель'!F63</f>
        <v/>
      </c>
      <c r="G4805">
        <f>'02_Модель'!G63</f>
        <v/>
      </c>
      <c r="H4805">
        <f>'02_Модель'!H63</f>
        <v/>
      </c>
      <c r="I4805">
        <f>'02_Модель'!I63</f>
        <v/>
      </c>
      <c r="J4805">
        <f>'02_Модель'!J63</f>
        <v/>
      </c>
      <c r="K4805">
        <f>'02_Модель'!K63</f>
        <v/>
      </c>
      <c r="L4805">
        <f>'02_Модель'!L63</f>
        <v/>
      </c>
      <c r="M4805">
        <f>'02_Модель'!M63</f>
        <v/>
      </c>
      <c r="N4805">
        <f>'02_Модель'!N63</f>
        <v/>
      </c>
      <c r="O4805">
        <f>'02_Модель'!O63</f>
        <v/>
      </c>
      <c r="P4805">
        <f>'02_Модель'!P63</f>
        <v/>
      </c>
      <c r="Q4805">
        <f>'02_Модель'!Q63</f>
        <v/>
      </c>
      <c r="R4805">
        <f>'02_Модель'!R63</f>
        <v/>
      </c>
      <c r="S4805">
        <f>'02_Модель'!S63</f>
        <v/>
      </c>
      <c r="T4805">
        <f>'02_Модель'!T63</f>
        <v/>
      </c>
      <c r="U4805">
        <f>'02_Модель'!U63</f>
        <v/>
      </c>
      <c r="V4805">
        <f>'02_Модель'!V63</f>
        <v/>
      </c>
      <c r="W4805">
        <f>'02_Модель'!W63</f>
        <v/>
      </c>
      <c r="X4805">
        <f>'02_Модель'!X63</f>
        <v/>
      </c>
      <c r="Y4805">
        <f>'02_Модель'!Y63</f>
        <v/>
      </c>
      <c r="Z4805">
        <f>'02_Модель'!Z63</f>
        <v/>
      </c>
      <c r="AA4805">
        <f>'02_Модель'!AA63</f>
        <v/>
      </c>
      <c r="AB4805">
        <f>'02_Модель'!AB63</f>
        <v/>
      </c>
      <c r="AC4805">
        <f>'02_Модель'!AC63</f>
        <v/>
      </c>
      <c r="AD4805">
        <f>'02_Модель'!AD63</f>
        <v/>
      </c>
      <c r="AE4805">
        <f>'02_Модель'!AE63</f>
        <v/>
      </c>
      <c r="AF4805">
        <f>'02_Модель'!AF63</f>
        <v/>
      </c>
      <c r="AG4805">
        <f>'02_Модель'!AG63</f>
        <v/>
      </c>
      <c r="AH4805">
        <f>'02_Модель'!AH63</f>
        <v/>
      </c>
      <c r="AI4805">
        <f>'02_Модель'!AI63</f>
        <v/>
      </c>
      <c r="AJ4805">
        <f>'02_Модель'!AJ63</f>
        <v/>
      </c>
      <c r="AK4805">
        <f>'02_Модель'!AK63</f>
        <v/>
      </c>
      <c r="AL4805">
        <f>'02_Модель'!AL63</f>
        <v/>
      </c>
      <c r="AM4805">
        <f>'02_Модель'!AM63</f>
        <v/>
      </c>
      <c r="AN4805">
        <f>'02_Модель'!AN63</f>
        <v/>
      </c>
      <c r="AO4805">
        <f>'02_Модель'!AO63</f>
        <v/>
      </c>
      <c r="AP4805">
        <f>'02_Модель'!AP63</f>
        <v/>
      </c>
      <c r="AQ4805">
        <f>'02_Модель'!AQ63</f>
        <v/>
      </c>
      <c r="AR4805">
        <f>'02_Модель'!AR63</f>
        <v/>
      </c>
      <c r="AS4805">
        <f>'02_Модель'!AS63</f>
        <v/>
      </c>
      <c r="AT4805">
        <f>'02_Модель'!AT63</f>
        <v/>
      </c>
      <c r="AU4805">
        <f>'02_Модель'!AU63</f>
        <v/>
      </c>
      <c r="AV4805">
        <f>'02_Модель'!AV63</f>
        <v/>
      </c>
      <c r="AW4805">
        <f>'02_Модель'!AW63</f>
        <v/>
      </c>
      <c r="AX4805">
        <f>'02_Модель'!AX63</f>
        <v/>
      </c>
      <c r="AY4805">
        <f>'02_Модель'!AY63</f>
        <v/>
      </c>
      <c r="AZ4805">
        <f>'02_Модель'!AZ63</f>
        <v/>
      </c>
      <c r="BA4805">
        <f>'02_Модель'!BA63</f>
        <v/>
      </c>
      <c r="BB4805">
        <f>'02_Модель'!BB63</f>
        <v/>
      </c>
      <c r="BC4805">
        <f>'02_Модель'!BC63</f>
        <v/>
      </c>
      <c r="BD4805">
        <f>'02_Модель'!BD63</f>
        <v/>
      </c>
      <c r="BE4805">
        <f>'02_Модель'!BE63</f>
        <v/>
      </c>
      <c r="BF4805">
        <f>'02_Модель'!BF63</f>
        <v/>
      </c>
      <c r="BG4805">
        <f>'02_Модель'!BG63</f>
        <v/>
      </c>
      <c r="BH4805">
        <f>'02_Модель'!BH63</f>
        <v/>
      </c>
      <c r="BI4805">
        <f>'02_Модель'!BI63</f>
        <v/>
      </c>
    </row>
    <row r="4806">
      <c r="B4806">
        <f>IF('01_Вводные'!$B$234="Да",'19_Расчет_аналитики'!B4788,0)</f>
        <v/>
      </c>
      <c r="C4806">
        <f>IF('01_Вводные'!$B$234="Да",'19_Расчет_аналитики'!C4788,0)</f>
        <v/>
      </c>
      <c r="D4806">
        <f>IF('01_Вводные'!$B$234="Да",'19_Расчет_аналитики'!D4788,0)</f>
        <v/>
      </c>
      <c r="E4806">
        <f>IF('01_Вводные'!$B$234="Да",'19_Расчет_аналитики'!E4788,0)</f>
        <v/>
      </c>
      <c r="F4806">
        <f>IF('01_Вводные'!$B$234="Да",'19_Расчет_аналитики'!F4788,0)</f>
        <v/>
      </c>
      <c r="G4806">
        <f>IF('01_Вводные'!$B$234="Да",'19_Расчет_аналитики'!G4788,0)</f>
        <v/>
      </c>
      <c r="H4806">
        <f>IF('01_Вводные'!$B$234="Да",'19_Расчет_аналитики'!H4788,0)</f>
        <v/>
      </c>
      <c r="I4806">
        <f>IF('01_Вводные'!$B$234="Да",'19_Расчет_аналитики'!I4788,0)</f>
        <v/>
      </c>
      <c r="J4806">
        <f>IF('01_Вводные'!$B$234="Да",'19_Расчет_аналитики'!J4788,0)</f>
        <v/>
      </c>
      <c r="K4806">
        <f>IF('01_Вводные'!$B$234="Да",'19_Расчет_аналитики'!K4788,0)</f>
        <v/>
      </c>
      <c r="L4806">
        <f>IF('01_Вводные'!$B$234="Да",'19_Расчет_аналитики'!L4788,0)</f>
        <v/>
      </c>
      <c r="M4806">
        <f>IF('01_Вводные'!$B$234="Да",'19_Расчет_аналитики'!M4788,0)</f>
        <v/>
      </c>
      <c r="N4806">
        <f>IF('01_Вводные'!$B$234="Да",'19_Расчет_аналитики'!N4788,0)</f>
        <v/>
      </c>
      <c r="O4806">
        <f>IF('01_Вводные'!$B$234="Да",'19_Расчет_аналитики'!O4788,0)</f>
        <v/>
      </c>
      <c r="P4806">
        <f>IF('01_Вводные'!$B$234="Да",'19_Расчет_аналитики'!P4788,0)</f>
        <v/>
      </c>
      <c r="Q4806">
        <f>IF('01_Вводные'!$B$234="Да",'19_Расчет_аналитики'!Q4788,0)</f>
        <v/>
      </c>
      <c r="R4806">
        <f>IF('01_Вводные'!$B$234="Да",'19_Расчет_аналитики'!R4788,0)</f>
        <v/>
      </c>
      <c r="S4806">
        <f>IF('01_Вводные'!$B$234="Да",'19_Расчет_аналитики'!S4788,0)</f>
        <v/>
      </c>
      <c r="T4806">
        <f>IF('01_Вводные'!$B$234="Да",'19_Расчет_аналитики'!T4788,0)</f>
        <v/>
      </c>
      <c r="U4806">
        <f>IF('01_Вводные'!$B$234="Да",'19_Расчет_аналитики'!U4788,0)</f>
        <v/>
      </c>
      <c r="V4806">
        <f>IF('01_Вводные'!$B$234="Да",'19_Расчет_аналитики'!V4788,0)</f>
        <v/>
      </c>
      <c r="W4806">
        <f>IF('01_Вводные'!$B$234="Да",'19_Расчет_аналитики'!W4788,0)</f>
        <v/>
      </c>
      <c r="X4806">
        <f>IF('01_Вводные'!$B$234="Да",'19_Расчет_аналитики'!X4788,0)</f>
        <v/>
      </c>
      <c r="Y4806">
        <f>IF('01_Вводные'!$B$234="Да",'19_Расчет_аналитики'!Y4788,0)</f>
        <v/>
      </c>
      <c r="Z4806">
        <f>IF('01_Вводные'!$B$234="Да",'19_Расчет_аналитики'!Z4788,0)</f>
        <v/>
      </c>
      <c r="AA4806">
        <f>IF('01_Вводные'!$B$234="Да",'19_Расчет_аналитики'!AA4788,0)</f>
        <v/>
      </c>
      <c r="AB4806">
        <f>IF('01_Вводные'!$B$234="Да",'19_Расчет_аналитики'!AB4788,0)</f>
        <v/>
      </c>
      <c r="AC4806">
        <f>IF('01_Вводные'!$B$234="Да",'19_Расчет_аналитики'!AC4788,0)</f>
        <v/>
      </c>
      <c r="AD4806">
        <f>IF('01_Вводные'!$B$234="Да",'19_Расчет_аналитики'!AD4788,0)</f>
        <v/>
      </c>
      <c r="AE4806">
        <f>IF('01_Вводные'!$B$234="Да",'19_Расчет_аналитики'!AE4788,0)</f>
        <v/>
      </c>
      <c r="AF4806">
        <f>IF('01_Вводные'!$B$234="Да",'19_Расчет_аналитики'!AF4788,0)</f>
        <v/>
      </c>
      <c r="AG4806">
        <f>IF('01_Вводные'!$B$234="Да",'19_Расчет_аналитики'!AG4788,0)</f>
        <v/>
      </c>
      <c r="AH4806">
        <f>IF('01_Вводные'!$B$234="Да",'19_Расчет_аналитики'!AH4788,0)</f>
        <v/>
      </c>
      <c r="AI4806">
        <f>IF('01_Вводные'!$B$234="Да",'19_Расчет_аналитики'!AI4788,0)</f>
        <v/>
      </c>
      <c r="AJ4806">
        <f>IF('01_Вводные'!$B$234="Да",'19_Расчет_аналитики'!AJ4788,0)</f>
        <v/>
      </c>
      <c r="AK4806">
        <f>IF('01_Вводные'!$B$234="Да",'19_Расчет_аналитики'!AK4788,0)</f>
        <v/>
      </c>
      <c r="AL4806">
        <f>IF('01_Вводные'!$B$234="Да",'19_Расчет_аналитики'!AL4788,0)</f>
        <v/>
      </c>
      <c r="AM4806">
        <f>IF('01_Вводные'!$B$234="Да",'19_Расчет_аналитики'!AM4788,0)</f>
        <v/>
      </c>
      <c r="AN4806">
        <f>IF('01_Вводные'!$B$234="Да",'19_Расчет_аналитики'!AN4788,0)</f>
        <v/>
      </c>
      <c r="AO4806">
        <f>IF('01_Вводные'!$B$234="Да",'19_Расчет_аналитики'!AO4788,0)</f>
        <v/>
      </c>
      <c r="AP4806">
        <f>IF('01_Вводные'!$B$234="Да",'19_Расчет_аналитики'!AP4788,0)</f>
        <v/>
      </c>
      <c r="AQ4806">
        <f>IF('01_Вводные'!$B$234="Да",'19_Расчет_аналитики'!AQ4788,0)</f>
        <v/>
      </c>
      <c r="AR4806">
        <f>IF('01_Вводные'!$B$234="Да",'19_Расчет_аналитики'!AR4788,0)</f>
        <v/>
      </c>
      <c r="AS4806">
        <f>IF('01_Вводные'!$B$234="Да",'19_Расчет_аналитики'!AS4788,0)</f>
        <v/>
      </c>
      <c r="AT4806">
        <f>IF('01_Вводные'!$B$234="Да",'19_Расчет_аналитики'!AT4788,0)</f>
        <v/>
      </c>
      <c r="AU4806">
        <f>IF('01_Вводные'!$B$234="Да",'19_Расчет_аналитики'!AU4788,0)</f>
        <v/>
      </c>
      <c r="AV4806">
        <f>IF('01_Вводные'!$B$234="Да",'19_Расчет_аналитики'!AV4788,0)</f>
        <v/>
      </c>
      <c r="AW4806">
        <f>IF('01_Вводные'!$B$234="Да",'19_Расчет_аналитики'!AW4788,0)</f>
        <v/>
      </c>
      <c r="AX4806">
        <f>IF('01_Вводные'!$B$234="Да",'19_Расчет_аналитики'!AX4788,0)</f>
        <v/>
      </c>
      <c r="AY4806">
        <f>IF('01_Вводные'!$B$234="Да",'19_Расчет_аналитики'!AY4788,0)</f>
        <v/>
      </c>
      <c r="AZ4806">
        <f>IF('01_Вводные'!$B$234="Да",'19_Расчет_аналитики'!AZ4788,0)</f>
        <v/>
      </c>
      <c r="BA4806">
        <f>IF('01_Вводные'!$B$234="Да",'19_Расчет_аналитики'!BA4788,0)</f>
        <v/>
      </c>
      <c r="BB4806">
        <f>IF('01_Вводные'!$B$234="Да",'19_Расчет_аналитики'!BB4788,0)</f>
        <v/>
      </c>
      <c r="BC4806">
        <f>IF('01_Вводные'!$B$234="Да",'19_Расчет_аналитики'!BC4788,0)</f>
        <v/>
      </c>
      <c r="BD4806">
        <f>IF('01_Вводные'!$B$234="Да",'19_Расчет_аналитики'!BD4788,0)</f>
        <v/>
      </c>
      <c r="BE4806">
        <f>IF('01_Вводные'!$B$234="Да",'19_Расчет_аналитики'!BE4788,0)</f>
        <v/>
      </c>
      <c r="BF4806">
        <f>IF('01_Вводные'!$B$234="Да",'19_Расчет_аналитики'!BF4788,0)</f>
        <v/>
      </c>
      <c r="BG4806">
        <f>IF('01_Вводные'!$B$234="Да",'19_Расчет_аналитики'!BG4788,0)</f>
        <v/>
      </c>
      <c r="BH4806">
        <f>IF('01_Вводные'!$B$234="Да",'19_Расчет_аналитики'!BH4788,0)</f>
        <v/>
      </c>
      <c r="BI4806">
        <f>IF('01_Вводные'!$B$234="Да",'19_Расчет_аналитики'!BI4788,0)</f>
        <v/>
      </c>
    </row>
    <row r="4807">
      <c r="B4807">
        <f>IF('01_Вводные'!$B$234="Да",'19_Расчет_аналитики'!B4674,0)</f>
        <v/>
      </c>
      <c r="C4807">
        <f>IF('01_Вводные'!$B$234="Да",'19_Расчет_аналитики'!C4674,0)</f>
        <v/>
      </c>
      <c r="D4807">
        <f>IF('01_Вводные'!$B$234="Да",'19_Расчет_аналитики'!D4674,0)</f>
        <v/>
      </c>
      <c r="E4807">
        <f>IF('01_Вводные'!$B$234="Да",'19_Расчет_аналитики'!E4674,0)</f>
        <v/>
      </c>
      <c r="F4807">
        <f>IF('01_Вводные'!$B$234="Да",'19_Расчет_аналитики'!F4674,0)</f>
        <v/>
      </c>
      <c r="G4807">
        <f>IF('01_Вводные'!$B$234="Да",'19_Расчет_аналитики'!G4674,0)</f>
        <v/>
      </c>
      <c r="H4807">
        <f>IF('01_Вводные'!$B$234="Да",'19_Расчет_аналитики'!H4674,0)</f>
        <v/>
      </c>
      <c r="I4807">
        <f>IF('01_Вводные'!$B$234="Да",'19_Расчет_аналитики'!I4674,0)</f>
        <v/>
      </c>
      <c r="J4807">
        <f>IF('01_Вводные'!$B$234="Да",'19_Расчет_аналитики'!J4674,0)</f>
        <v/>
      </c>
      <c r="K4807">
        <f>IF('01_Вводные'!$B$234="Да",'19_Расчет_аналитики'!K4674,0)</f>
        <v/>
      </c>
      <c r="L4807">
        <f>IF('01_Вводные'!$B$234="Да",'19_Расчет_аналитики'!L4674,0)</f>
        <v/>
      </c>
      <c r="M4807">
        <f>IF('01_Вводные'!$B$234="Да",'19_Расчет_аналитики'!M4674,0)</f>
        <v/>
      </c>
      <c r="N4807">
        <f>IF('01_Вводные'!$B$234="Да",'19_Расчет_аналитики'!N4674,0)</f>
        <v/>
      </c>
      <c r="O4807">
        <f>IF('01_Вводные'!$B$234="Да",'19_Расчет_аналитики'!O4674,0)</f>
        <v/>
      </c>
      <c r="P4807">
        <f>IF('01_Вводные'!$B$234="Да",'19_Расчет_аналитики'!P4674,0)</f>
        <v/>
      </c>
      <c r="Q4807">
        <f>IF('01_Вводные'!$B$234="Да",'19_Расчет_аналитики'!Q4674,0)</f>
        <v/>
      </c>
      <c r="R4807">
        <f>IF('01_Вводные'!$B$234="Да",'19_Расчет_аналитики'!R4674,0)</f>
        <v/>
      </c>
      <c r="S4807">
        <f>IF('01_Вводные'!$B$234="Да",'19_Расчет_аналитики'!S4674,0)</f>
        <v/>
      </c>
      <c r="T4807">
        <f>IF('01_Вводные'!$B$234="Да",'19_Расчет_аналитики'!T4674,0)</f>
        <v/>
      </c>
      <c r="U4807">
        <f>IF('01_Вводные'!$B$234="Да",'19_Расчет_аналитики'!U4674,0)</f>
        <v/>
      </c>
      <c r="V4807">
        <f>IF('01_Вводные'!$B$234="Да",'19_Расчет_аналитики'!V4674,0)</f>
        <v/>
      </c>
      <c r="W4807">
        <f>IF('01_Вводные'!$B$234="Да",'19_Расчет_аналитики'!W4674,0)</f>
        <v/>
      </c>
      <c r="X4807">
        <f>IF('01_Вводные'!$B$234="Да",'19_Расчет_аналитики'!X4674,0)</f>
        <v/>
      </c>
      <c r="Y4807">
        <f>IF('01_Вводные'!$B$234="Да",'19_Расчет_аналитики'!Y4674,0)</f>
        <v/>
      </c>
      <c r="Z4807">
        <f>IF('01_Вводные'!$B$234="Да",'19_Расчет_аналитики'!Z4674,0)</f>
        <v/>
      </c>
      <c r="AA4807">
        <f>IF('01_Вводные'!$B$234="Да",'19_Расчет_аналитики'!AA4674,0)</f>
        <v/>
      </c>
      <c r="AB4807">
        <f>IF('01_Вводные'!$B$234="Да",'19_Расчет_аналитики'!AB4674,0)</f>
        <v/>
      </c>
      <c r="AC4807">
        <f>IF('01_Вводные'!$B$234="Да",'19_Расчет_аналитики'!AC4674,0)</f>
        <v/>
      </c>
      <c r="AD4807">
        <f>IF('01_Вводные'!$B$234="Да",'19_Расчет_аналитики'!AD4674,0)</f>
        <v/>
      </c>
      <c r="AE4807">
        <f>IF('01_Вводные'!$B$234="Да",'19_Расчет_аналитики'!AE4674,0)</f>
        <v/>
      </c>
      <c r="AF4807">
        <f>IF('01_Вводные'!$B$234="Да",'19_Расчет_аналитики'!AF4674,0)</f>
        <v/>
      </c>
      <c r="AG4807">
        <f>IF('01_Вводные'!$B$234="Да",'19_Расчет_аналитики'!AG4674,0)</f>
        <v/>
      </c>
      <c r="AH4807">
        <f>IF('01_Вводные'!$B$234="Да",'19_Расчет_аналитики'!AH4674,0)</f>
        <v/>
      </c>
      <c r="AI4807">
        <f>IF('01_Вводные'!$B$234="Да",'19_Расчет_аналитики'!AI4674,0)</f>
        <v/>
      </c>
      <c r="AJ4807">
        <f>IF('01_Вводные'!$B$234="Да",'19_Расчет_аналитики'!AJ4674,0)</f>
        <v/>
      </c>
      <c r="AK4807">
        <f>IF('01_Вводные'!$B$234="Да",'19_Расчет_аналитики'!AK4674,0)</f>
        <v/>
      </c>
      <c r="AL4807">
        <f>IF('01_Вводные'!$B$234="Да",'19_Расчет_аналитики'!AL4674,0)</f>
        <v/>
      </c>
      <c r="AM4807">
        <f>IF('01_Вводные'!$B$234="Да",'19_Расчет_аналитики'!AM4674,0)</f>
        <v/>
      </c>
      <c r="AN4807">
        <f>IF('01_Вводные'!$B$234="Да",'19_Расчет_аналитики'!AN4674,0)</f>
        <v/>
      </c>
      <c r="AO4807">
        <f>IF('01_Вводные'!$B$234="Да",'19_Расчет_аналитики'!AO4674,0)</f>
        <v/>
      </c>
      <c r="AP4807">
        <f>IF('01_Вводные'!$B$234="Да",'19_Расчет_аналитики'!AP4674,0)</f>
        <v/>
      </c>
      <c r="AQ4807">
        <f>IF('01_Вводные'!$B$234="Да",'19_Расчет_аналитики'!AQ4674,0)</f>
        <v/>
      </c>
      <c r="AR4807">
        <f>IF('01_Вводные'!$B$234="Да",'19_Расчет_аналитики'!AR4674,0)</f>
        <v/>
      </c>
      <c r="AS4807">
        <f>IF('01_Вводные'!$B$234="Да",'19_Расчет_аналитики'!AS4674,0)</f>
        <v/>
      </c>
      <c r="AT4807">
        <f>IF('01_Вводные'!$B$234="Да",'19_Расчет_аналитики'!AT4674,0)</f>
        <v/>
      </c>
      <c r="AU4807">
        <f>IF('01_Вводные'!$B$234="Да",'19_Расчет_аналитики'!AU4674,0)</f>
        <v/>
      </c>
      <c r="AV4807">
        <f>IF('01_Вводные'!$B$234="Да",'19_Расчет_аналитики'!AV4674,0)</f>
        <v/>
      </c>
      <c r="AW4807">
        <f>IF('01_Вводные'!$B$234="Да",'19_Расчет_аналитики'!AW4674,0)</f>
        <v/>
      </c>
      <c r="AX4807">
        <f>IF('01_Вводные'!$B$234="Да",'19_Расчет_аналитики'!AX4674,0)</f>
        <v/>
      </c>
      <c r="AY4807">
        <f>IF('01_Вводные'!$B$234="Да",'19_Расчет_аналитики'!AY4674,0)</f>
        <v/>
      </c>
      <c r="AZ4807">
        <f>IF('01_Вводные'!$B$234="Да",'19_Расчет_аналитики'!AZ4674,0)</f>
        <v/>
      </c>
      <c r="BA4807">
        <f>IF('01_Вводные'!$B$234="Да",'19_Расчет_аналитики'!BA4674,0)</f>
        <v/>
      </c>
      <c r="BB4807">
        <f>IF('01_Вводные'!$B$234="Да",'19_Расчет_аналитики'!BB4674,0)</f>
        <v/>
      </c>
      <c r="BC4807">
        <f>IF('01_Вводные'!$B$234="Да",'19_Расчет_аналитики'!BC4674,0)</f>
        <v/>
      </c>
      <c r="BD4807">
        <f>IF('01_Вводные'!$B$234="Да",'19_Расчет_аналитики'!BD4674,0)</f>
        <v/>
      </c>
      <c r="BE4807">
        <f>IF('01_Вводные'!$B$234="Да",'19_Расчет_аналитики'!BE4674,0)</f>
        <v/>
      </c>
      <c r="BF4807">
        <f>IF('01_Вводные'!$B$234="Да",'19_Расчет_аналитики'!BF4674,0)</f>
        <v/>
      </c>
      <c r="BG4807">
        <f>IF('01_Вводные'!$B$234="Да",'19_Расчет_аналитики'!BG4674,0)</f>
        <v/>
      </c>
      <c r="BH4807">
        <f>IF('01_Вводные'!$B$234="Да",'19_Расчет_аналитики'!BH4674,0)</f>
        <v/>
      </c>
      <c r="BI4807">
        <f>IF('01_Вводные'!$B$234="Да",'19_Расчет_аналитики'!BI4674,0)</f>
        <v/>
      </c>
    </row>
    <row r="4808"/>
    <row r="4809">
      <c r="B4809">
        <f>IF('01_Вводные'!$B$234="Да",SUM('19_Расчет_аналитики'!B4799:B4806)+'02_Модель'!B66,0)</f>
        <v/>
      </c>
      <c r="C4809">
        <f>IF('01_Вводные'!$B$234="Да",SUM('19_Расчет_аналитики'!C4799:C4806)+'02_Модель'!C66,0)</f>
        <v/>
      </c>
      <c r="D4809">
        <f>IF('01_Вводные'!$B$234="Да",SUM('19_Расчет_аналитики'!D4799:D4806)+'02_Модель'!D66,0)</f>
        <v/>
      </c>
      <c r="E4809">
        <f>IF('01_Вводные'!$B$234="Да",SUM('19_Расчет_аналитики'!E4799:E4806)+'02_Модель'!E66,0)</f>
        <v/>
      </c>
      <c r="F4809">
        <f>IF('01_Вводные'!$B$234="Да",SUM('19_Расчет_аналитики'!F4799:F4806)+'02_Модель'!F66,0)</f>
        <v/>
      </c>
      <c r="G4809">
        <f>IF('01_Вводные'!$B$234="Да",SUM('19_Расчет_аналитики'!G4799:G4806)+'02_Модель'!G66,0)</f>
        <v/>
      </c>
      <c r="H4809">
        <f>IF('01_Вводные'!$B$234="Да",SUM('19_Расчет_аналитики'!H4799:H4806)+'02_Модель'!H66,0)</f>
        <v/>
      </c>
      <c r="I4809">
        <f>IF('01_Вводные'!$B$234="Да",SUM('19_Расчет_аналитики'!I4799:I4806)+'02_Модель'!I66,0)</f>
        <v/>
      </c>
      <c r="J4809">
        <f>IF('01_Вводные'!$B$234="Да",SUM('19_Расчет_аналитики'!J4799:J4806)+'02_Модель'!J66,0)</f>
        <v/>
      </c>
      <c r="K4809">
        <f>IF('01_Вводные'!$B$234="Да",SUM('19_Расчет_аналитики'!K4799:K4806)+'02_Модель'!K66,0)</f>
        <v/>
      </c>
      <c r="L4809">
        <f>IF('01_Вводные'!$B$234="Да",SUM('19_Расчет_аналитики'!L4799:L4806)+'02_Модель'!L66,0)</f>
        <v/>
      </c>
      <c r="M4809">
        <f>IF('01_Вводные'!$B$234="Да",SUM('19_Расчет_аналитики'!M4799:M4806)+'02_Модель'!M66,0)</f>
        <v/>
      </c>
      <c r="N4809">
        <f>IF('01_Вводные'!$B$234="Да",SUM('19_Расчет_аналитики'!N4799:N4806)+'02_Модель'!N66,0)</f>
        <v/>
      </c>
      <c r="O4809">
        <f>IF('01_Вводные'!$B$234="Да",SUM('19_Расчет_аналитики'!O4799:O4806)+'02_Модель'!O66,0)</f>
        <v/>
      </c>
      <c r="P4809">
        <f>IF('01_Вводные'!$B$234="Да",SUM('19_Расчет_аналитики'!P4799:P4806)+'02_Модель'!P66,0)</f>
        <v/>
      </c>
      <c r="Q4809">
        <f>IF('01_Вводные'!$B$234="Да",SUM('19_Расчет_аналитики'!Q4799:Q4806)+'02_Модель'!Q66,0)</f>
        <v/>
      </c>
      <c r="R4809">
        <f>IF('01_Вводные'!$B$234="Да",SUM('19_Расчет_аналитики'!R4799:R4806)+'02_Модель'!R66,0)</f>
        <v/>
      </c>
      <c r="S4809">
        <f>IF('01_Вводные'!$B$234="Да",SUM('19_Расчет_аналитики'!S4799:S4806)+'02_Модель'!S66,0)</f>
        <v/>
      </c>
      <c r="T4809">
        <f>IF('01_Вводные'!$B$234="Да",SUM('19_Расчет_аналитики'!T4799:T4806)+'02_Модель'!T66,0)</f>
        <v/>
      </c>
      <c r="U4809">
        <f>IF('01_Вводные'!$B$234="Да",SUM('19_Расчет_аналитики'!U4799:U4806)+'02_Модель'!U66,0)</f>
        <v/>
      </c>
      <c r="V4809">
        <f>IF('01_Вводные'!$B$234="Да",SUM('19_Расчет_аналитики'!V4799:V4806)+'02_Модель'!V66,0)</f>
        <v/>
      </c>
      <c r="W4809">
        <f>IF('01_Вводные'!$B$234="Да",SUM('19_Расчет_аналитики'!W4799:W4806)+'02_Модель'!W66,0)</f>
        <v/>
      </c>
      <c r="X4809">
        <f>IF('01_Вводные'!$B$234="Да",SUM('19_Расчет_аналитики'!X4799:X4806)+'02_Модель'!X66,0)</f>
        <v/>
      </c>
      <c r="Y4809">
        <f>IF('01_Вводные'!$B$234="Да",SUM('19_Расчет_аналитики'!Y4799:Y4806)+'02_Модель'!Y66,0)</f>
        <v/>
      </c>
      <c r="Z4809">
        <f>IF('01_Вводные'!$B$234="Да",SUM('19_Расчет_аналитики'!Z4799:Z4806)+'02_Модель'!Z66,0)</f>
        <v/>
      </c>
      <c r="AA4809">
        <f>IF('01_Вводные'!$B$234="Да",SUM('19_Расчет_аналитики'!AA4799:AA4806)+'02_Модель'!AA66,0)</f>
        <v/>
      </c>
      <c r="AB4809">
        <f>IF('01_Вводные'!$B$234="Да",SUM('19_Расчет_аналитики'!AB4799:AB4806)+'02_Модель'!AB66,0)</f>
        <v/>
      </c>
      <c r="AC4809">
        <f>IF('01_Вводные'!$B$234="Да",SUM('19_Расчет_аналитики'!AC4799:AC4806)+'02_Модель'!AC66,0)</f>
        <v/>
      </c>
      <c r="AD4809">
        <f>IF('01_Вводные'!$B$234="Да",SUM('19_Расчет_аналитики'!AD4799:AD4806)+'02_Модель'!AD66,0)</f>
        <v/>
      </c>
      <c r="AE4809">
        <f>IF('01_Вводные'!$B$234="Да",SUM('19_Расчет_аналитики'!AE4799:AE4806)+'02_Модель'!AE66,0)</f>
        <v/>
      </c>
      <c r="AF4809">
        <f>IF('01_Вводные'!$B$234="Да",SUM('19_Расчет_аналитики'!AF4799:AF4806)+'02_Модель'!AF66,0)</f>
        <v/>
      </c>
      <c r="AG4809">
        <f>IF('01_Вводные'!$B$234="Да",SUM('19_Расчет_аналитики'!AG4799:AG4806)+'02_Модель'!AG66,0)</f>
        <v/>
      </c>
      <c r="AH4809">
        <f>IF('01_Вводные'!$B$234="Да",SUM('19_Расчет_аналитики'!AH4799:AH4806)+'02_Модель'!AH66,0)</f>
        <v/>
      </c>
      <c r="AI4809">
        <f>IF('01_Вводные'!$B$234="Да",SUM('19_Расчет_аналитики'!AI4799:AI4806)+'02_Модель'!AI66,0)</f>
        <v/>
      </c>
      <c r="AJ4809">
        <f>IF('01_Вводные'!$B$234="Да",SUM('19_Расчет_аналитики'!AJ4799:AJ4806)+'02_Модель'!AJ66,0)</f>
        <v/>
      </c>
      <c r="AK4809">
        <f>IF('01_Вводные'!$B$234="Да",SUM('19_Расчет_аналитики'!AK4799:AK4806)+'02_Модель'!AK66,0)</f>
        <v/>
      </c>
      <c r="AL4809">
        <f>IF('01_Вводные'!$B$234="Да",SUM('19_Расчет_аналитики'!AL4799:AL4806)+'02_Модель'!AL66,0)</f>
        <v/>
      </c>
      <c r="AM4809">
        <f>IF('01_Вводные'!$B$234="Да",SUM('19_Расчет_аналитики'!AM4799:AM4806)+'02_Модель'!AM66,0)</f>
        <v/>
      </c>
      <c r="AN4809">
        <f>IF('01_Вводные'!$B$234="Да",SUM('19_Расчет_аналитики'!AN4799:AN4806)+'02_Модель'!AN66,0)</f>
        <v/>
      </c>
      <c r="AO4809">
        <f>IF('01_Вводные'!$B$234="Да",SUM('19_Расчет_аналитики'!AO4799:AO4806)+'02_Модель'!AO66,0)</f>
        <v/>
      </c>
      <c r="AP4809">
        <f>IF('01_Вводные'!$B$234="Да",SUM('19_Расчет_аналитики'!AP4799:AP4806)+'02_Модель'!AP66,0)</f>
        <v/>
      </c>
      <c r="AQ4809">
        <f>IF('01_Вводные'!$B$234="Да",SUM('19_Расчет_аналитики'!AQ4799:AQ4806)+'02_Модель'!AQ66,0)</f>
        <v/>
      </c>
      <c r="AR4809">
        <f>IF('01_Вводные'!$B$234="Да",SUM('19_Расчет_аналитики'!AR4799:AR4806)+'02_Модель'!AR66,0)</f>
        <v/>
      </c>
      <c r="AS4809">
        <f>IF('01_Вводные'!$B$234="Да",SUM('19_Расчет_аналитики'!AS4799:AS4806)+'02_Модель'!AS66,0)</f>
        <v/>
      </c>
      <c r="AT4809">
        <f>IF('01_Вводные'!$B$234="Да",SUM('19_Расчет_аналитики'!AT4799:AT4806)+'02_Модель'!AT66,0)</f>
        <v/>
      </c>
      <c r="AU4809">
        <f>IF('01_Вводные'!$B$234="Да",SUM('19_Расчет_аналитики'!AU4799:AU4806)+'02_Модель'!AU66,0)</f>
        <v/>
      </c>
      <c r="AV4809">
        <f>IF('01_Вводные'!$B$234="Да",SUM('19_Расчет_аналитики'!AV4799:AV4806)+'02_Модель'!AV66,0)</f>
        <v/>
      </c>
      <c r="AW4809">
        <f>IF('01_Вводные'!$B$234="Да",SUM('19_Расчет_аналитики'!AW4799:AW4806)+'02_Модель'!AW66,0)</f>
        <v/>
      </c>
      <c r="AX4809">
        <f>IF('01_Вводные'!$B$234="Да",SUM('19_Расчет_аналитики'!AX4799:AX4806)+'02_Модель'!AX66,0)</f>
        <v/>
      </c>
      <c r="AY4809">
        <f>IF('01_Вводные'!$B$234="Да",SUM('19_Расчет_аналитики'!AY4799:AY4806)+'02_Модель'!AY66,0)</f>
        <v/>
      </c>
      <c r="AZ4809">
        <f>IF('01_Вводные'!$B$234="Да",SUM('19_Расчет_аналитики'!AZ4799:AZ4806)+'02_Модель'!AZ66,0)</f>
        <v/>
      </c>
      <c r="BA4809">
        <f>IF('01_Вводные'!$B$234="Да",SUM('19_Расчет_аналитики'!BA4799:BA4806)+'02_Модель'!BA66,0)</f>
        <v/>
      </c>
      <c r="BB4809">
        <f>IF('01_Вводные'!$B$234="Да",SUM('19_Расчет_аналитики'!BB4799:BB4806)+'02_Модель'!BB66,0)</f>
        <v/>
      </c>
      <c r="BC4809">
        <f>IF('01_Вводные'!$B$234="Да",SUM('19_Расчет_аналитики'!BC4799:BC4806)+'02_Модель'!BC66,0)</f>
        <v/>
      </c>
      <c r="BD4809">
        <f>IF('01_Вводные'!$B$234="Да",SUM('19_Расчет_аналитики'!BD4799:BD4806)+'02_Модель'!BD66,0)</f>
        <v/>
      </c>
      <c r="BE4809">
        <f>IF('01_Вводные'!$B$234="Да",SUM('19_Расчет_аналитики'!BE4799:BE4806)+'02_Модель'!BE66,0)</f>
        <v/>
      </c>
      <c r="BF4809">
        <f>IF('01_Вводные'!$B$234="Да",SUM('19_Расчет_аналитики'!BF4799:BF4806)+'02_Модель'!BF66,0)</f>
        <v/>
      </c>
      <c r="BG4809">
        <f>IF('01_Вводные'!$B$234="Да",SUM('19_Расчет_аналитики'!BG4799:BG4806)+'02_Модель'!BG66,0)</f>
        <v/>
      </c>
      <c r="BH4809">
        <f>IF('01_Вводные'!$B$234="Да",SUM('19_Расчет_аналитики'!BH4799:BH4806)+'02_Модель'!BH66,0)</f>
        <v/>
      </c>
      <c r="BI4809">
        <f>IF('01_Вводные'!$B$234="Да",SUM('19_Расчет_аналитики'!BI4799:BI4806)+'02_Модель'!BI66,0)</f>
        <v/>
      </c>
    </row>
    <row r="4810">
      <c r="B4810">
        <f>IF('01_Вводные'!$B$234="Да",'19_Расчет_аналитики'!B4798-'19_Расчет_аналитики'!B4809,0)</f>
        <v/>
      </c>
      <c r="C4810">
        <f>IF('01_Вводные'!$B$234="Да",'19_Расчет_аналитики'!C4798-'19_Расчет_аналитики'!C4809,0)</f>
        <v/>
      </c>
      <c r="D4810">
        <f>IF('01_Вводные'!$B$234="Да",'19_Расчет_аналитики'!D4798-'19_Расчет_аналитики'!D4809,0)</f>
        <v/>
      </c>
      <c r="E4810">
        <f>IF('01_Вводные'!$B$234="Да",'19_Расчет_аналитики'!E4798-'19_Расчет_аналитики'!E4809,0)</f>
        <v/>
      </c>
      <c r="F4810">
        <f>IF('01_Вводные'!$B$234="Да",'19_Расчет_аналитики'!F4798-'19_Расчет_аналитики'!F4809,0)</f>
        <v/>
      </c>
      <c r="G4810">
        <f>IF('01_Вводные'!$B$234="Да",'19_Расчет_аналитики'!G4798-'19_Расчет_аналитики'!G4809,0)</f>
        <v/>
      </c>
      <c r="H4810">
        <f>IF('01_Вводные'!$B$234="Да",'19_Расчет_аналитики'!H4798-'19_Расчет_аналитики'!H4809,0)</f>
        <v/>
      </c>
      <c r="I4810">
        <f>IF('01_Вводные'!$B$234="Да",'19_Расчет_аналитики'!I4798-'19_Расчет_аналитики'!I4809,0)</f>
        <v/>
      </c>
      <c r="J4810">
        <f>IF('01_Вводные'!$B$234="Да",'19_Расчет_аналитики'!J4798-'19_Расчет_аналитики'!J4809,0)</f>
        <v/>
      </c>
      <c r="K4810">
        <f>IF('01_Вводные'!$B$234="Да",'19_Расчет_аналитики'!K4798-'19_Расчет_аналитики'!K4809,0)</f>
        <v/>
      </c>
      <c r="L4810">
        <f>IF('01_Вводные'!$B$234="Да",'19_Расчет_аналитики'!L4798-'19_Расчет_аналитики'!L4809,0)</f>
        <v/>
      </c>
      <c r="M4810">
        <f>IF('01_Вводные'!$B$234="Да",'19_Расчет_аналитики'!M4798-'19_Расчет_аналитики'!M4809,0)</f>
        <v/>
      </c>
      <c r="N4810">
        <f>IF('01_Вводные'!$B$234="Да",'19_Расчет_аналитики'!N4798-'19_Расчет_аналитики'!N4809,0)</f>
        <v/>
      </c>
      <c r="O4810">
        <f>IF('01_Вводные'!$B$234="Да",'19_Расчет_аналитики'!O4798-'19_Расчет_аналитики'!O4809,0)</f>
        <v/>
      </c>
      <c r="P4810">
        <f>IF('01_Вводные'!$B$234="Да",'19_Расчет_аналитики'!P4798-'19_Расчет_аналитики'!P4809,0)</f>
        <v/>
      </c>
      <c r="Q4810">
        <f>IF('01_Вводные'!$B$234="Да",'19_Расчет_аналитики'!Q4798-'19_Расчет_аналитики'!Q4809,0)</f>
        <v/>
      </c>
      <c r="R4810">
        <f>IF('01_Вводные'!$B$234="Да",'19_Расчет_аналитики'!R4798-'19_Расчет_аналитики'!R4809,0)</f>
        <v/>
      </c>
      <c r="S4810">
        <f>IF('01_Вводные'!$B$234="Да",'19_Расчет_аналитики'!S4798-'19_Расчет_аналитики'!S4809,0)</f>
        <v/>
      </c>
      <c r="T4810">
        <f>IF('01_Вводные'!$B$234="Да",'19_Расчет_аналитики'!T4798-'19_Расчет_аналитики'!T4809,0)</f>
        <v/>
      </c>
      <c r="U4810">
        <f>IF('01_Вводные'!$B$234="Да",'19_Расчет_аналитики'!U4798-'19_Расчет_аналитики'!U4809,0)</f>
        <v/>
      </c>
      <c r="V4810">
        <f>IF('01_Вводные'!$B$234="Да",'19_Расчет_аналитики'!V4798-'19_Расчет_аналитики'!V4809,0)</f>
        <v/>
      </c>
      <c r="W4810">
        <f>IF('01_Вводные'!$B$234="Да",'19_Расчет_аналитики'!W4798-'19_Расчет_аналитики'!W4809,0)</f>
        <v/>
      </c>
      <c r="X4810">
        <f>IF('01_Вводные'!$B$234="Да",'19_Расчет_аналитики'!X4798-'19_Расчет_аналитики'!X4809,0)</f>
        <v/>
      </c>
      <c r="Y4810">
        <f>IF('01_Вводные'!$B$234="Да",'19_Расчет_аналитики'!Y4798-'19_Расчет_аналитики'!Y4809,0)</f>
        <v/>
      </c>
      <c r="Z4810">
        <f>IF('01_Вводные'!$B$234="Да",'19_Расчет_аналитики'!Z4798-'19_Расчет_аналитики'!Z4809,0)</f>
        <v/>
      </c>
      <c r="AA4810">
        <f>IF('01_Вводные'!$B$234="Да",'19_Расчет_аналитики'!AA4798-'19_Расчет_аналитики'!AA4809,0)</f>
        <v/>
      </c>
      <c r="AB4810">
        <f>IF('01_Вводные'!$B$234="Да",'19_Расчет_аналитики'!AB4798-'19_Расчет_аналитики'!AB4809,0)</f>
        <v/>
      </c>
      <c r="AC4810">
        <f>IF('01_Вводные'!$B$234="Да",'19_Расчет_аналитики'!AC4798-'19_Расчет_аналитики'!AC4809,0)</f>
        <v/>
      </c>
      <c r="AD4810">
        <f>IF('01_Вводные'!$B$234="Да",'19_Расчет_аналитики'!AD4798-'19_Расчет_аналитики'!AD4809,0)</f>
        <v/>
      </c>
      <c r="AE4810">
        <f>IF('01_Вводные'!$B$234="Да",'19_Расчет_аналитики'!AE4798-'19_Расчет_аналитики'!AE4809,0)</f>
        <v/>
      </c>
      <c r="AF4810">
        <f>IF('01_Вводные'!$B$234="Да",'19_Расчет_аналитики'!AF4798-'19_Расчет_аналитики'!AF4809,0)</f>
        <v/>
      </c>
      <c r="AG4810">
        <f>IF('01_Вводные'!$B$234="Да",'19_Расчет_аналитики'!AG4798-'19_Расчет_аналитики'!AG4809,0)</f>
        <v/>
      </c>
      <c r="AH4810">
        <f>IF('01_Вводные'!$B$234="Да",'19_Расчет_аналитики'!AH4798-'19_Расчет_аналитики'!AH4809,0)</f>
        <v/>
      </c>
      <c r="AI4810">
        <f>IF('01_Вводные'!$B$234="Да",'19_Расчет_аналитики'!AI4798-'19_Расчет_аналитики'!AI4809,0)</f>
        <v/>
      </c>
      <c r="AJ4810">
        <f>IF('01_Вводные'!$B$234="Да",'19_Расчет_аналитики'!AJ4798-'19_Расчет_аналитики'!AJ4809,0)</f>
        <v/>
      </c>
      <c r="AK4810">
        <f>IF('01_Вводные'!$B$234="Да",'19_Расчет_аналитики'!AK4798-'19_Расчет_аналитики'!AK4809,0)</f>
        <v/>
      </c>
      <c r="AL4810">
        <f>IF('01_Вводные'!$B$234="Да",'19_Расчет_аналитики'!AL4798-'19_Расчет_аналитики'!AL4809,0)</f>
        <v/>
      </c>
      <c r="AM4810">
        <f>IF('01_Вводные'!$B$234="Да",'19_Расчет_аналитики'!AM4798-'19_Расчет_аналитики'!AM4809,0)</f>
        <v/>
      </c>
      <c r="AN4810">
        <f>IF('01_Вводные'!$B$234="Да",'19_Расчет_аналитики'!AN4798-'19_Расчет_аналитики'!AN4809,0)</f>
        <v/>
      </c>
      <c r="AO4810">
        <f>IF('01_Вводные'!$B$234="Да",'19_Расчет_аналитики'!AO4798-'19_Расчет_аналитики'!AO4809,0)</f>
        <v/>
      </c>
      <c r="AP4810">
        <f>IF('01_Вводные'!$B$234="Да",'19_Расчет_аналитики'!AP4798-'19_Расчет_аналитики'!AP4809,0)</f>
        <v/>
      </c>
      <c r="AQ4810">
        <f>IF('01_Вводные'!$B$234="Да",'19_Расчет_аналитики'!AQ4798-'19_Расчет_аналитики'!AQ4809,0)</f>
        <v/>
      </c>
      <c r="AR4810">
        <f>IF('01_Вводные'!$B$234="Да",'19_Расчет_аналитики'!AR4798-'19_Расчет_аналитики'!AR4809,0)</f>
        <v/>
      </c>
      <c r="AS4810">
        <f>IF('01_Вводные'!$B$234="Да",'19_Расчет_аналитики'!AS4798-'19_Расчет_аналитики'!AS4809,0)</f>
        <v/>
      </c>
      <c r="AT4810">
        <f>IF('01_Вводные'!$B$234="Да",'19_Расчет_аналитики'!AT4798-'19_Расчет_аналитики'!AT4809,0)</f>
        <v/>
      </c>
      <c r="AU4810">
        <f>IF('01_Вводные'!$B$234="Да",'19_Расчет_аналитики'!AU4798-'19_Расчет_аналитики'!AU4809,0)</f>
        <v/>
      </c>
      <c r="AV4810">
        <f>IF('01_Вводные'!$B$234="Да",'19_Расчет_аналитики'!AV4798-'19_Расчет_аналитики'!AV4809,0)</f>
        <v/>
      </c>
      <c r="AW4810">
        <f>IF('01_Вводные'!$B$234="Да",'19_Расчет_аналитики'!AW4798-'19_Расчет_аналитики'!AW4809,0)</f>
        <v/>
      </c>
      <c r="AX4810">
        <f>IF('01_Вводные'!$B$234="Да",'19_Расчет_аналитики'!AX4798-'19_Расчет_аналитики'!AX4809,0)</f>
        <v/>
      </c>
      <c r="AY4810">
        <f>IF('01_Вводные'!$B$234="Да",'19_Расчет_аналитики'!AY4798-'19_Расчет_аналитики'!AY4809,0)</f>
        <v/>
      </c>
      <c r="AZ4810">
        <f>IF('01_Вводные'!$B$234="Да",'19_Расчет_аналитики'!AZ4798-'19_Расчет_аналитики'!AZ4809,0)</f>
        <v/>
      </c>
      <c r="BA4810">
        <f>IF('01_Вводные'!$B$234="Да",'19_Расчет_аналитики'!BA4798-'19_Расчет_аналитики'!BA4809,0)</f>
        <v/>
      </c>
      <c r="BB4810">
        <f>IF('01_Вводные'!$B$234="Да",'19_Расчет_аналитики'!BB4798-'19_Расчет_аналитики'!BB4809,0)</f>
        <v/>
      </c>
      <c r="BC4810">
        <f>IF('01_Вводные'!$B$234="Да",'19_Расчет_аналитики'!BC4798-'19_Расчет_аналитики'!BC4809,0)</f>
        <v/>
      </c>
      <c r="BD4810">
        <f>IF('01_Вводные'!$B$234="Да",'19_Расчет_аналитики'!BD4798-'19_Расчет_аналитики'!BD4809,0)</f>
        <v/>
      </c>
      <c r="BE4810">
        <f>IF('01_Вводные'!$B$234="Да",'19_Расчет_аналитики'!BE4798-'19_Расчет_аналитики'!BE4809,0)</f>
        <v/>
      </c>
      <c r="BF4810">
        <f>IF('01_Вводные'!$B$234="Да",'19_Расчет_аналитики'!BF4798-'19_Расчет_аналитики'!BF4809,0)</f>
        <v/>
      </c>
      <c r="BG4810">
        <f>IF('01_Вводные'!$B$234="Да",'19_Расчет_аналитики'!BG4798-'19_Расчет_аналитики'!BG4809,0)</f>
        <v/>
      </c>
      <c r="BH4810">
        <f>IF('01_Вводные'!$B$234="Да",'19_Расчет_аналитики'!BH4798-'19_Расчет_аналитики'!BH4809,0)</f>
        <v/>
      </c>
      <c r="BI4810">
        <f>IF('01_Вводные'!$B$234="Да",'19_Расчет_аналитики'!BI4798-'19_Расчет_аналитики'!BI4809,0)</f>
        <v/>
      </c>
    </row>
    <row r="4811">
      <c r="B4811">
        <f>IF('01_Вводные'!$B$234="Да",'02_Модель'!B51+'19_Расчет_аналитики'!B4810,0)</f>
        <v/>
      </c>
      <c r="C4811">
        <f>IF('01_Вводные'!$B$234="Да",'19_Расчет_аналитики'!C4793+'19_Расчет_аналитики'!C4810,0)</f>
        <v/>
      </c>
      <c r="D4811">
        <f>IF('01_Вводные'!$B$234="Да",'19_Расчет_аналитики'!D4793+'19_Расчет_аналитики'!D4810,0)</f>
        <v/>
      </c>
      <c r="E4811">
        <f>IF('01_Вводные'!$B$234="Да",'19_Расчет_аналитики'!E4793+'19_Расчет_аналитики'!E4810,0)</f>
        <v/>
      </c>
      <c r="F4811">
        <f>IF('01_Вводные'!$B$234="Да",'19_Расчет_аналитики'!F4793+'19_Расчет_аналитики'!F4810,0)</f>
        <v/>
      </c>
      <c r="G4811">
        <f>IF('01_Вводные'!$B$234="Да",'19_Расчет_аналитики'!G4793+'19_Расчет_аналитики'!G4810,0)</f>
        <v/>
      </c>
      <c r="H4811">
        <f>IF('01_Вводные'!$B$234="Да",'19_Расчет_аналитики'!H4793+'19_Расчет_аналитики'!H4810,0)</f>
        <v/>
      </c>
      <c r="I4811">
        <f>IF('01_Вводные'!$B$234="Да",'19_Расчет_аналитики'!I4793+'19_Расчет_аналитики'!I4810,0)</f>
        <v/>
      </c>
      <c r="J4811">
        <f>IF('01_Вводные'!$B$234="Да",'19_Расчет_аналитики'!J4793+'19_Расчет_аналитики'!J4810,0)</f>
        <v/>
      </c>
      <c r="K4811">
        <f>IF('01_Вводные'!$B$234="Да",'19_Расчет_аналитики'!K4793+'19_Расчет_аналитики'!K4810,0)</f>
        <v/>
      </c>
      <c r="L4811">
        <f>IF('01_Вводные'!$B$234="Да",'19_Расчет_аналитики'!L4793+'19_Расчет_аналитики'!L4810,0)</f>
        <v/>
      </c>
      <c r="M4811">
        <f>IF('01_Вводные'!$B$234="Да",'19_Расчет_аналитики'!M4793+'19_Расчет_аналитики'!M4810,0)</f>
        <v/>
      </c>
      <c r="N4811">
        <f>IF('01_Вводные'!$B$234="Да",'19_Расчет_аналитики'!N4793+'19_Расчет_аналитики'!N4810,0)</f>
        <v/>
      </c>
      <c r="O4811">
        <f>IF('01_Вводные'!$B$234="Да",'19_Расчет_аналитики'!O4793+'19_Расчет_аналитики'!O4810,0)</f>
        <v/>
      </c>
      <c r="P4811">
        <f>IF('01_Вводные'!$B$234="Да",'19_Расчет_аналитики'!P4793+'19_Расчет_аналитики'!P4810,0)</f>
        <v/>
      </c>
      <c r="Q4811">
        <f>IF('01_Вводные'!$B$234="Да",'19_Расчет_аналитики'!Q4793+'19_Расчет_аналитики'!Q4810,0)</f>
        <v/>
      </c>
      <c r="R4811">
        <f>IF('01_Вводные'!$B$234="Да",'19_Расчет_аналитики'!R4793+'19_Расчет_аналитики'!R4810,0)</f>
        <v/>
      </c>
      <c r="S4811">
        <f>IF('01_Вводные'!$B$234="Да",'19_Расчет_аналитики'!S4793+'19_Расчет_аналитики'!S4810,0)</f>
        <v/>
      </c>
      <c r="T4811">
        <f>IF('01_Вводные'!$B$234="Да",'19_Расчет_аналитики'!T4793+'19_Расчет_аналитики'!T4810,0)</f>
        <v/>
      </c>
      <c r="U4811">
        <f>IF('01_Вводные'!$B$234="Да",'19_Расчет_аналитики'!U4793+'19_Расчет_аналитики'!U4810,0)</f>
        <v/>
      </c>
      <c r="V4811">
        <f>IF('01_Вводные'!$B$234="Да",'19_Расчет_аналитики'!V4793+'19_Расчет_аналитики'!V4810,0)</f>
        <v/>
      </c>
      <c r="W4811">
        <f>IF('01_Вводные'!$B$234="Да",'19_Расчет_аналитики'!W4793+'19_Расчет_аналитики'!W4810,0)</f>
        <v/>
      </c>
      <c r="X4811">
        <f>IF('01_Вводные'!$B$234="Да",'19_Расчет_аналитики'!X4793+'19_Расчет_аналитики'!X4810,0)</f>
        <v/>
      </c>
      <c r="Y4811">
        <f>IF('01_Вводные'!$B$234="Да",'19_Расчет_аналитики'!Y4793+'19_Расчет_аналитики'!Y4810,0)</f>
        <v/>
      </c>
      <c r="Z4811">
        <f>IF('01_Вводные'!$B$234="Да",'19_Расчет_аналитики'!Z4793+'19_Расчет_аналитики'!Z4810,0)</f>
        <v/>
      </c>
      <c r="AA4811">
        <f>IF('01_Вводные'!$B$234="Да",'19_Расчет_аналитики'!AA4793+'19_Расчет_аналитики'!AA4810,0)</f>
        <v/>
      </c>
      <c r="AB4811">
        <f>IF('01_Вводные'!$B$234="Да",'19_Расчет_аналитики'!AB4793+'19_Расчет_аналитики'!AB4810,0)</f>
        <v/>
      </c>
      <c r="AC4811">
        <f>IF('01_Вводные'!$B$234="Да",'19_Расчет_аналитики'!AC4793+'19_Расчет_аналитики'!AC4810,0)</f>
        <v/>
      </c>
      <c r="AD4811">
        <f>IF('01_Вводные'!$B$234="Да",'19_Расчет_аналитики'!AD4793+'19_Расчет_аналитики'!AD4810,0)</f>
        <v/>
      </c>
      <c r="AE4811">
        <f>IF('01_Вводные'!$B$234="Да",'19_Расчет_аналитики'!AE4793+'19_Расчет_аналитики'!AE4810,0)</f>
        <v/>
      </c>
      <c r="AF4811">
        <f>IF('01_Вводные'!$B$234="Да",'19_Расчет_аналитики'!AF4793+'19_Расчет_аналитики'!AF4810,0)</f>
        <v/>
      </c>
      <c r="AG4811">
        <f>IF('01_Вводные'!$B$234="Да",'19_Расчет_аналитики'!AG4793+'19_Расчет_аналитики'!AG4810,0)</f>
        <v/>
      </c>
      <c r="AH4811">
        <f>IF('01_Вводные'!$B$234="Да",'19_Расчет_аналитики'!AH4793+'19_Расчет_аналитики'!AH4810,0)</f>
        <v/>
      </c>
      <c r="AI4811">
        <f>IF('01_Вводные'!$B$234="Да",'19_Расчет_аналитики'!AI4793+'19_Расчет_аналитики'!AI4810,0)</f>
        <v/>
      </c>
      <c r="AJ4811">
        <f>IF('01_Вводные'!$B$234="Да",'19_Расчет_аналитики'!AJ4793+'19_Расчет_аналитики'!AJ4810,0)</f>
        <v/>
      </c>
      <c r="AK4811">
        <f>IF('01_Вводные'!$B$234="Да",'19_Расчет_аналитики'!AK4793+'19_Расчет_аналитики'!AK4810,0)</f>
        <v/>
      </c>
      <c r="AL4811">
        <f>IF('01_Вводные'!$B$234="Да",'19_Расчет_аналитики'!AL4793+'19_Расчет_аналитики'!AL4810,0)</f>
        <v/>
      </c>
      <c r="AM4811">
        <f>IF('01_Вводные'!$B$234="Да",'19_Расчет_аналитики'!AM4793+'19_Расчет_аналитики'!AM4810,0)</f>
        <v/>
      </c>
      <c r="AN4811">
        <f>IF('01_Вводные'!$B$234="Да",'19_Расчет_аналитики'!AN4793+'19_Расчет_аналитики'!AN4810,0)</f>
        <v/>
      </c>
      <c r="AO4811">
        <f>IF('01_Вводные'!$B$234="Да",'19_Расчет_аналитики'!AO4793+'19_Расчет_аналитики'!AO4810,0)</f>
        <v/>
      </c>
      <c r="AP4811">
        <f>IF('01_Вводные'!$B$234="Да",'19_Расчет_аналитики'!AP4793+'19_Расчет_аналитики'!AP4810,0)</f>
        <v/>
      </c>
      <c r="AQ4811">
        <f>IF('01_Вводные'!$B$234="Да",'19_Расчет_аналитики'!AQ4793+'19_Расчет_аналитики'!AQ4810,0)</f>
        <v/>
      </c>
      <c r="AR4811">
        <f>IF('01_Вводные'!$B$234="Да",'19_Расчет_аналитики'!AR4793+'19_Расчет_аналитики'!AR4810,0)</f>
        <v/>
      </c>
      <c r="AS4811">
        <f>IF('01_Вводные'!$B$234="Да",'19_Расчет_аналитики'!AS4793+'19_Расчет_аналитики'!AS4810,0)</f>
        <v/>
      </c>
      <c r="AT4811">
        <f>IF('01_Вводные'!$B$234="Да",'19_Расчет_аналитики'!AT4793+'19_Расчет_аналитики'!AT4810,0)</f>
        <v/>
      </c>
      <c r="AU4811">
        <f>IF('01_Вводные'!$B$234="Да",'19_Расчет_аналитики'!AU4793+'19_Расчет_аналитики'!AU4810,0)</f>
        <v/>
      </c>
      <c r="AV4811">
        <f>IF('01_Вводные'!$B$234="Да",'19_Расчет_аналитики'!AV4793+'19_Расчет_аналитики'!AV4810,0)</f>
        <v/>
      </c>
      <c r="AW4811">
        <f>IF('01_Вводные'!$B$234="Да",'19_Расчет_аналитики'!AW4793+'19_Расчет_аналитики'!AW4810,0)</f>
        <v/>
      </c>
      <c r="AX4811">
        <f>IF('01_Вводные'!$B$234="Да",'19_Расчет_аналитики'!AX4793+'19_Расчет_аналитики'!AX4810,0)</f>
        <v/>
      </c>
      <c r="AY4811">
        <f>IF('01_Вводные'!$B$234="Да",'19_Расчет_аналитики'!AY4793+'19_Расчет_аналитики'!AY4810,0)</f>
        <v/>
      </c>
      <c r="AZ4811">
        <f>IF('01_Вводные'!$B$234="Да",'19_Расчет_аналитики'!AZ4793+'19_Расчет_аналитики'!AZ4810,0)</f>
        <v/>
      </c>
      <c r="BA4811">
        <f>IF('01_Вводные'!$B$234="Да",'19_Расчет_аналитики'!BA4793+'19_Расчет_аналитики'!BA4810,0)</f>
        <v/>
      </c>
      <c r="BB4811">
        <f>IF('01_Вводные'!$B$234="Да",'19_Расчет_аналитики'!BB4793+'19_Расчет_аналитики'!BB4810,0)</f>
        <v/>
      </c>
      <c r="BC4811">
        <f>IF('01_Вводные'!$B$234="Да",'19_Расчет_аналитики'!BC4793+'19_Расчет_аналитики'!BC4810,0)</f>
        <v/>
      </c>
      <c r="BD4811">
        <f>IF('01_Вводные'!$B$234="Да",'19_Расчет_аналитики'!BD4793+'19_Расчет_аналитики'!BD4810,0)</f>
        <v/>
      </c>
      <c r="BE4811">
        <f>IF('01_Вводные'!$B$234="Да",'19_Расчет_аналитики'!BE4793+'19_Расчет_аналитики'!BE4810,0)</f>
        <v/>
      </c>
      <c r="BF4811">
        <f>IF('01_Вводные'!$B$234="Да",'19_Расчет_аналитики'!BF4793+'19_Расчет_аналитики'!BF4810,0)</f>
        <v/>
      </c>
      <c r="BG4811">
        <f>IF('01_Вводные'!$B$234="Да",'19_Расчет_аналитики'!BG4793+'19_Расчет_аналитики'!BG4810,0)</f>
        <v/>
      </c>
      <c r="BH4811">
        <f>IF('01_Вводные'!$B$234="Да",'19_Расчет_аналитики'!BH4793+'19_Расчет_аналитики'!BH4810,0)</f>
        <v/>
      </c>
      <c r="BI4811">
        <f>IF('01_Вводные'!$B$234="Да",'19_Расчет_аналитики'!BI4793+'19_Расчет_аналитики'!BI4810,0)</f>
        <v/>
      </c>
    </row>
    <row r="4812">
      <c r="B4812">
        <f>IF('01_Вводные'!$B$234="Да",'19_Расчет_аналитики'!B4680,0)</f>
        <v/>
      </c>
      <c r="C4812">
        <f>IF('01_Вводные'!$B$234="Да",'19_Расчет_аналитики'!C4680,0)</f>
        <v/>
      </c>
      <c r="D4812">
        <f>IF('01_Вводные'!$B$234="Да",'19_Расчет_аналитики'!D4680,0)</f>
        <v/>
      </c>
      <c r="E4812">
        <f>IF('01_Вводные'!$B$234="Да",'19_Расчет_аналитики'!E4680,0)</f>
        <v/>
      </c>
      <c r="F4812">
        <f>IF('01_Вводные'!$B$234="Да",'19_Расчет_аналитики'!F4680,0)</f>
        <v/>
      </c>
      <c r="G4812">
        <f>IF('01_Вводные'!$B$234="Да",'19_Расчет_аналитики'!G4680,0)</f>
        <v/>
      </c>
      <c r="H4812">
        <f>IF('01_Вводные'!$B$234="Да",'19_Расчет_аналитики'!H4680,0)</f>
        <v/>
      </c>
      <c r="I4812">
        <f>IF('01_Вводные'!$B$234="Да",'19_Расчет_аналитики'!I4680,0)</f>
        <v/>
      </c>
      <c r="J4812">
        <f>IF('01_Вводные'!$B$234="Да",'19_Расчет_аналитики'!J4680,0)</f>
        <v/>
      </c>
      <c r="K4812">
        <f>IF('01_Вводные'!$B$234="Да",'19_Расчет_аналитики'!K4680,0)</f>
        <v/>
      </c>
      <c r="L4812">
        <f>IF('01_Вводные'!$B$234="Да",'19_Расчет_аналитики'!L4680,0)</f>
        <v/>
      </c>
      <c r="M4812">
        <f>IF('01_Вводные'!$B$234="Да",'19_Расчет_аналитики'!M4680,0)</f>
        <v/>
      </c>
      <c r="N4812">
        <f>IF('01_Вводные'!$B$234="Да",'19_Расчет_аналитики'!N4680,0)</f>
        <v/>
      </c>
      <c r="O4812">
        <f>IF('01_Вводные'!$B$234="Да",'19_Расчет_аналитики'!O4680,0)</f>
        <v/>
      </c>
      <c r="P4812">
        <f>IF('01_Вводные'!$B$234="Да",'19_Расчет_аналитики'!P4680,0)</f>
        <v/>
      </c>
      <c r="Q4812">
        <f>IF('01_Вводные'!$B$234="Да",'19_Расчет_аналитики'!Q4680,0)</f>
        <v/>
      </c>
      <c r="R4812">
        <f>IF('01_Вводные'!$B$234="Да",'19_Расчет_аналитики'!R4680,0)</f>
        <v/>
      </c>
      <c r="S4812">
        <f>IF('01_Вводные'!$B$234="Да",'19_Расчет_аналитики'!S4680,0)</f>
        <v/>
      </c>
      <c r="T4812">
        <f>IF('01_Вводные'!$B$234="Да",'19_Расчет_аналитики'!T4680,0)</f>
        <v/>
      </c>
      <c r="U4812">
        <f>IF('01_Вводные'!$B$234="Да",'19_Расчет_аналитики'!U4680,0)</f>
        <v/>
      </c>
      <c r="V4812">
        <f>IF('01_Вводные'!$B$234="Да",'19_Расчет_аналитики'!V4680,0)</f>
        <v/>
      </c>
      <c r="W4812">
        <f>IF('01_Вводные'!$B$234="Да",'19_Расчет_аналитики'!W4680,0)</f>
        <v/>
      </c>
      <c r="X4812">
        <f>IF('01_Вводные'!$B$234="Да",'19_Расчет_аналитики'!X4680,0)</f>
        <v/>
      </c>
      <c r="Y4812">
        <f>IF('01_Вводные'!$B$234="Да",'19_Расчет_аналитики'!Y4680,0)</f>
        <v/>
      </c>
      <c r="Z4812">
        <f>IF('01_Вводные'!$B$234="Да",'19_Расчет_аналитики'!Z4680,0)</f>
        <v/>
      </c>
      <c r="AA4812">
        <f>IF('01_Вводные'!$B$234="Да",'19_Расчет_аналитики'!AA4680,0)</f>
        <v/>
      </c>
      <c r="AB4812">
        <f>IF('01_Вводные'!$B$234="Да",'19_Расчет_аналитики'!AB4680,0)</f>
        <v/>
      </c>
      <c r="AC4812">
        <f>IF('01_Вводные'!$B$234="Да",'19_Расчет_аналитики'!AC4680,0)</f>
        <v/>
      </c>
      <c r="AD4812">
        <f>IF('01_Вводные'!$B$234="Да",'19_Расчет_аналитики'!AD4680,0)</f>
        <v/>
      </c>
      <c r="AE4812">
        <f>IF('01_Вводные'!$B$234="Да",'19_Расчет_аналитики'!AE4680,0)</f>
        <v/>
      </c>
      <c r="AF4812">
        <f>IF('01_Вводные'!$B$234="Да",'19_Расчет_аналитики'!AF4680,0)</f>
        <v/>
      </c>
      <c r="AG4812">
        <f>IF('01_Вводные'!$B$234="Да",'19_Расчет_аналитики'!AG4680,0)</f>
        <v/>
      </c>
      <c r="AH4812">
        <f>IF('01_Вводные'!$B$234="Да",'19_Расчет_аналитики'!AH4680,0)</f>
        <v/>
      </c>
      <c r="AI4812">
        <f>IF('01_Вводные'!$B$234="Да",'19_Расчет_аналитики'!AI4680,0)</f>
        <v/>
      </c>
      <c r="AJ4812">
        <f>IF('01_Вводные'!$B$234="Да",'19_Расчет_аналитики'!AJ4680,0)</f>
        <v/>
      </c>
      <c r="AK4812">
        <f>IF('01_Вводные'!$B$234="Да",'19_Расчет_аналитики'!AK4680,0)</f>
        <v/>
      </c>
      <c r="AL4812">
        <f>IF('01_Вводные'!$B$234="Да",'19_Расчет_аналитики'!AL4680,0)</f>
        <v/>
      </c>
      <c r="AM4812">
        <f>IF('01_Вводные'!$B$234="Да",'19_Расчет_аналитики'!AM4680,0)</f>
        <v/>
      </c>
      <c r="AN4812">
        <f>IF('01_Вводные'!$B$234="Да",'19_Расчет_аналитики'!AN4680,0)</f>
        <v/>
      </c>
      <c r="AO4812">
        <f>IF('01_Вводные'!$B$234="Да",'19_Расчет_аналитики'!AO4680,0)</f>
        <v/>
      </c>
      <c r="AP4812">
        <f>IF('01_Вводные'!$B$234="Да",'19_Расчет_аналитики'!AP4680,0)</f>
        <v/>
      </c>
      <c r="AQ4812">
        <f>IF('01_Вводные'!$B$234="Да",'19_Расчет_аналитики'!AQ4680,0)</f>
        <v/>
      </c>
      <c r="AR4812">
        <f>IF('01_Вводные'!$B$234="Да",'19_Расчет_аналитики'!AR4680,0)</f>
        <v/>
      </c>
      <c r="AS4812">
        <f>IF('01_Вводные'!$B$234="Да",'19_Расчет_аналитики'!AS4680,0)</f>
        <v/>
      </c>
      <c r="AT4812">
        <f>IF('01_Вводные'!$B$234="Да",'19_Расчет_аналитики'!AT4680,0)</f>
        <v/>
      </c>
      <c r="AU4812">
        <f>IF('01_Вводные'!$B$234="Да",'19_Расчет_аналитики'!AU4680,0)</f>
        <v/>
      </c>
      <c r="AV4812">
        <f>IF('01_Вводные'!$B$234="Да",'19_Расчет_аналитики'!AV4680,0)</f>
        <v/>
      </c>
      <c r="AW4812">
        <f>IF('01_Вводные'!$B$234="Да",'19_Расчет_аналитики'!AW4680,0)</f>
        <v/>
      </c>
      <c r="AX4812">
        <f>IF('01_Вводные'!$B$234="Да",'19_Расчет_аналитики'!AX4680,0)</f>
        <v/>
      </c>
      <c r="AY4812">
        <f>IF('01_Вводные'!$B$234="Да",'19_Расчет_аналитики'!AY4680,0)</f>
        <v/>
      </c>
      <c r="AZ4812">
        <f>IF('01_Вводные'!$B$234="Да",'19_Расчет_аналитики'!AZ4680,0)</f>
        <v/>
      </c>
      <c r="BA4812">
        <f>IF('01_Вводные'!$B$234="Да",'19_Расчет_аналитики'!BA4680,0)</f>
        <v/>
      </c>
      <c r="BB4812">
        <f>IF('01_Вводные'!$B$234="Да",'19_Расчет_аналитики'!BB4680,0)</f>
        <v/>
      </c>
      <c r="BC4812">
        <f>IF('01_Вводные'!$B$234="Да",'19_Расчет_аналитики'!BC4680,0)</f>
        <v/>
      </c>
      <c r="BD4812">
        <f>IF('01_Вводные'!$B$234="Да",'19_Расчет_аналитики'!BD4680,0)</f>
        <v/>
      </c>
      <c r="BE4812">
        <f>IF('01_Вводные'!$B$234="Да",'19_Расчет_аналитики'!BE4680,0)</f>
        <v/>
      </c>
      <c r="BF4812">
        <f>IF('01_Вводные'!$B$234="Да",'19_Расчет_аналитики'!BF4680,0)</f>
        <v/>
      </c>
      <c r="BG4812">
        <f>IF('01_Вводные'!$B$234="Да",'19_Расчет_аналитики'!BG4680,0)</f>
        <v/>
      </c>
      <c r="BH4812">
        <f>IF('01_Вводные'!$B$234="Да",'19_Расчет_аналитики'!BH4680,0)</f>
        <v/>
      </c>
      <c r="BI4812">
        <f>IF('01_Вводные'!$B$234="Да",'19_Расчет_аналитики'!BI4680,0)</f>
        <v/>
      </c>
    </row>
    <row r="4813">
      <c r="B4813">
        <f>IF('01_Вводные'!$B$234="Да",'19_Расчет_аналитики'!B4810-'19_Расчет_аналитики'!B4812,0)</f>
        <v/>
      </c>
      <c r="C4813">
        <f>IF('01_Вводные'!$B$234="Да",'19_Расчет_аналитики'!C4810-'19_Расчет_аналитики'!C4812,0)</f>
        <v/>
      </c>
      <c r="D4813">
        <f>IF('01_Вводные'!$B$234="Да",'19_Расчет_аналитики'!D4810-'19_Расчет_аналитики'!D4812,0)</f>
        <v/>
      </c>
      <c r="E4813">
        <f>IF('01_Вводные'!$B$234="Да",'19_Расчет_аналитики'!E4810-'19_Расчет_аналитики'!E4812,0)</f>
        <v/>
      </c>
      <c r="F4813">
        <f>IF('01_Вводные'!$B$234="Да",'19_Расчет_аналитики'!F4810-'19_Расчет_аналитики'!F4812,0)</f>
        <v/>
      </c>
      <c r="G4813">
        <f>IF('01_Вводные'!$B$234="Да",'19_Расчет_аналитики'!G4810-'19_Расчет_аналитики'!G4812,0)</f>
        <v/>
      </c>
      <c r="H4813">
        <f>IF('01_Вводные'!$B$234="Да",'19_Расчет_аналитики'!H4810-'19_Расчет_аналитики'!H4812,0)</f>
        <v/>
      </c>
      <c r="I4813">
        <f>IF('01_Вводные'!$B$234="Да",'19_Расчет_аналитики'!I4810-'19_Расчет_аналитики'!I4812,0)</f>
        <v/>
      </c>
      <c r="J4813">
        <f>IF('01_Вводные'!$B$234="Да",'19_Расчет_аналитики'!J4810-'19_Расчет_аналитики'!J4812,0)</f>
        <v/>
      </c>
      <c r="K4813">
        <f>IF('01_Вводные'!$B$234="Да",'19_Расчет_аналитики'!K4810-'19_Расчет_аналитики'!K4812,0)</f>
        <v/>
      </c>
      <c r="L4813">
        <f>IF('01_Вводные'!$B$234="Да",'19_Расчет_аналитики'!L4810-'19_Расчет_аналитики'!L4812,0)</f>
        <v/>
      </c>
      <c r="M4813">
        <f>IF('01_Вводные'!$B$234="Да",'19_Расчет_аналитики'!M4810-'19_Расчет_аналитики'!M4812,0)</f>
        <v/>
      </c>
      <c r="N4813">
        <f>IF('01_Вводные'!$B$234="Да",'19_Расчет_аналитики'!N4810-'19_Расчет_аналитики'!N4812,0)</f>
        <v/>
      </c>
      <c r="O4813">
        <f>IF('01_Вводные'!$B$234="Да",'19_Расчет_аналитики'!O4810-'19_Расчет_аналитики'!O4812,0)</f>
        <v/>
      </c>
      <c r="P4813">
        <f>IF('01_Вводные'!$B$234="Да",'19_Расчет_аналитики'!P4810-'19_Расчет_аналитики'!P4812,0)</f>
        <v/>
      </c>
      <c r="Q4813">
        <f>IF('01_Вводные'!$B$234="Да",'19_Расчет_аналитики'!Q4810-'19_Расчет_аналитики'!Q4812,0)</f>
        <v/>
      </c>
      <c r="R4813">
        <f>IF('01_Вводные'!$B$234="Да",'19_Расчет_аналитики'!R4810-'19_Расчет_аналитики'!R4812,0)</f>
        <v/>
      </c>
      <c r="S4813">
        <f>IF('01_Вводные'!$B$234="Да",'19_Расчет_аналитики'!S4810-'19_Расчет_аналитики'!S4812,0)</f>
        <v/>
      </c>
      <c r="T4813">
        <f>IF('01_Вводные'!$B$234="Да",'19_Расчет_аналитики'!T4810-'19_Расчет_аналитики'!T4812,0)</f>
        <v/>
      </c>
      <c r="U4813">
        <f>IF('01_Вводные'!$B$234="Да",'19_Расчет_аналитики'!U4810-'19_Расчет_аналитики'!U4812,0)</f>
        <v/>
      </c>
      <c r="V4813">
        <f>IF('01_Вводные'!$B$234="Да",'19_Расчет_аналитики'!V4810-'19_Расчет_аналитики'!V4812,0)</f>
        <v/>
      </c>
      <c r="W4813">
        <f>IF('01_Вводные'!$B$234="Да",'19_Расчет_аналитики'!W4810-'19_Расчет_аналитики'!W4812,0)</f>
        <v/>
      </c>
      <c r="X4813">
        <f>IF('01_Вводные'!$B$234="Да",'19_Расчет_аналитики'!X4810-'19_Расчет_аналитики'!X4812,0)</f>
        <v/>
      </c>
      <c r="Y4813">
        <f>IF('01_Вводные'!$B$234="Да",'19_Расчет_аналитики'!Y4810-'19_Расчет_аналитики'!Y4812,0)</f>
        <v/>
      </c>
      <c r="Z4813">
        <f>IF('01_Вводные'!$B$234="Да",'19_Расчет_аналитики'!Z4810-'19_Расчет_аналитики'!Z4812,0)</f>
        <v/>
      </c>
      <c r="AA4813">
        <f>IF('01_Вводные'!$B$234="Да",'19_Расчет_аналитики'!AA4810-'19_Расчет_аналитики'!AA4812,0)</f>
        <v/>
      </c>
      <c r="AB4813">
        <f>IF('01_Вводные'!$B$234="Да",'19_Расчет_аналитики'!AB4810-'19_Расчет_аналитики'!AB4812,0)</f>
        <v/>
      </c>
      <c r="AC4813">
        <f>IF('01_Вводные'!$B$234="Да",'19_Расчет_аналитики'!AC4810-'19_Расчет_аналитики'!AC4812,0)</f>
        <v/>
      </c>
      <c r="AD4813">
        <f>IF('01_Вводные'!$B$234="Да",'19_Расчет_аналитики'!AD4810-'19_Расчет_аналитики'!AD4812,0)</f>
        <v/>
      </c>
      <c r="AE4813">
        <f>IF('01_Вводные'!$B$234="Да",'19_Расчет_аналитики'!AE4810-'19_Расчет_аналитики'!AE4812,0)</f>
        <v/>
      </c>
      <c r="AF4813">
        <f>IF('01_Вводные'!$B$234="Да",'19_Расчет_аналитики'!AF4810-'19_Расчет_аналитики'!AF4812,0)</f>
        <v/>
      </c>
      <c r="AG4813">
        <f>IF('01_Вводные'!$B$234="Да",'19_Расчет_аналитики'!AG4810-'19_Расчет_аналитики'!AG4812,0)</f>
        <v/>
      </c>
      <c r="AH4813">
        <f>IF('01_Вводные'!$B$234="Да",'19_Расчет_аналитики'!AH4810-'19_Расчет_аналитики'!AH4812,0)</f>
        <v/>
      </c>
      <c r="AI4813">
        <f>IF('01_Вводные'!$B$234="Да",'19_Расчет_аналитики'!AI4810-'19_Расчет_аналитики'!AI4812,0)</f>
        <v/>
      </c>
      <c r="AJ4813">
        <f>IF('01_Вводные'!$B$234="Да",'19_Расчет_аналитики'!AJ4810-'19_Расчет_аналитики'!AJ4812,0)</f>
        <v/>
      </c>
      <c r="AK4813">
        <f>IF('01_Вводные'!$B$234="Да",'19_Расчет_аналитики'!AK4810-'19_Расчет_аналитики'!AK4812,0)</f>
        <v/>
      </c>
      <c r="AL4813">
        <f>IF('01_Вводные'!$B$234="Да",'19_Расчет_аналитики'!AL4810-'19_Расчет_аналитики'!AL4812,0)</f>
        <v/>
      </c>
      <c r="AM4813">
        <f>IF('01_Вводные'!$B$234="Да",'19_Расчет_аналитики'!AM4810-'19_Расчет_аналитики'!AM4812,0)</f>
        <v/>
      </c>
      <c r="AN4813">
        <f>IF('01_Вводные'!$B$234="Да",'19_Расчет_аналитики'!AN4810-'19_Расчет_аналитики'!AN4812,0)</f>
        <v/>
      </c>
      <c r="AO4813">
        <f>IF('01_Вводные'!$B$234="Да",'19_Расчет_аналитики'!AO4810-'19_Расчет_аналитики'!AO4812,0)</f>
        <v/>
      </c>
      <c r="AP4813">
        <f>IF('01_Вводные'!$B$234="Да",'19_Расчет_аналитики'!AP4810-'19_Расчет_аналитики'!AP4812,0)</f>
        <v/>
      </c>
      <c r="AQ4813">
        <f>IF('01_Вводные'!$B$234="Да",'19_Расчет_аналитики'!AQ4810-'19_Расчет_аналитики'!AQ4812,0)</f>
        <v/>
      </c>
      <c r="AR4813">
        <f>IF('01_Вводные'!$B$234="Да",'19_Расчет_аналитики'!AR4810-'19_Расчет_аналитики'!AR4812,0)</f>
        <v/>
      </c>
      <c r="AS4813">
        <f>IF('01_Вводные'!$B$234="Да",'19_Расчет_аналитики'!AS4810-'19_Расчет_аналитики'!AS4812,0)</f>
        <v/>
      </c>
      <c r="AT4813">
        <f>IF('01_Вводные'!$B$234="Да",'19_Расчет_аналитики'!AT4810-'19_Расчет_аналитики'!AT4812,0)</f>
        <v/>
      </c>
      <c r="AU4813">
        <f>IF('01_Вводные'!$B$234="Да",'19_Расчет_аналитики'!AU4810-'19_Расчет_аналитики'!AU4812,0)</f>
        <v/>
      </c>
      <c r="AV4813">
        <f>IF('01_Вводные'!$B$234="Да",'19_Расчет_аналитики'!AV4810-'19_Расчет_аналитики'!AV4812,0)</f>
        <v/>
      </c>
      <c r="AW4813">
        <f>IF('01_Вводные'!$B$234="Да",'19_Расчет_аналитики'!AW4810-'19_Расчет_аналитики'!AW4812,0)</f>
        <v/>
      </c>
      <c r="AX4813">
        <f>IF('01_Вводные'!$B$234="Да",'19_Расчет_аналитики'!AX4810-'19_Расчет_аналитики'!AX4812,0)</f>
        <v/>
      </c>
      <c r="AY4813">
        <f>IF('01_Вводные'!$B$234="Да",'19_Расчет_аналитики'!AY4810-'19_Расчет_аналитики'!AY4812,0)</f>
        <v/>
      </c>
      <c r="AZ4813">
        <f>IF('01_Вводные'!$B$234="Да",'19_Расчет_аналитики'!AZ4810-'19_Расчет_аналитики'!AZ4812,0)</f>
        <v/>
      </c>
      <c r="BA4813">
        <f>IF('01_Вводные'!$B$234="Да",'19_Расчет_аналитики'!BA4810-'19_Расчет_аналитики'!BA4812,0)</f>
        <v/>
      </c>
      <c r="BB4813">
        <f>IF('01_Вводные'!$B$234="Да",'19_Расчет_аналитики'!BB4810-'19_Расчет_аналитики'!BB4812,0)</f>
        <v/>
      </c>
      <c r="BC4813">
        <f>IF('01_Вводные'!$B$234="Да",'19_Расчет_аналитики'!BC4810-'19_Расчет_аналитики'!BC4812,0)</f>
        <v/>
      </c>
      <c r="BD4813">
        <f>IF('01_Вводные'!$B$234="Да",'19_Расчет_аналитики'!BD4810-'19_Расчет_аналитики'!BD4812,0)</f>
        <v/>
      </c>
      <c r="BE4813">
        <f>IF('01_Вводные'!$B$234="Да",'19_Расчет_аналитики'!BE4810-'19_Расчет_аналитики'!BE4812,0)</f>
        <v/>
      </c>
      <c r="BF4813">
        <f>IF('01_Вводные'!$B$234="Да",'19_Расчет_аналитики'!BF4810-'19_Расчет_аналитики'!BF4812,0)</f>
        <v/>
      </c>
      <c r="BG4813">
        <f>IF('01_Вводные'!$B$234="Да",'19_Расчет_аналитики'!BG4810-'19_Расчет_аналитики'!BG4812,0)</f>
        <v/>
      </c>
      <c r="BH4813">
        <f>IF('01_Вводные'!$B$234="Да",'19_Расчет_аналитики'!BH4810-'19_Расчет_аналитики'!BH4812,0)</f>
        <v/>
      </c>
      <c r="BI4813">
        <f>IF('01_Вводные'!$B$234="Да",'19_Расчет_аналитики'!BI4810-'19_Расчет_аналитики'!BI4812,0)</f>
        <v/>
      </c>
    </row>
    <row r="4814">
      <c r="B4814">
        <f>IF('01_Вводные'!$B$234="Да",'02_Модель'!B51+'19_Расчет_аналитики'!B4813,0)</f>
        <v/>
      </c>
      <c r="C4814">
        <f>IF('01_Вводные'!$B$234="Да",'19_Расчет_аналитики'!C4793+'19_Расчет_аналитики'!C4813,0)</f>
        <v/>
      </c>
      <c r="D4814">
        <f>IF('01_Вводные'!$B$234="Да",'19_Расчет_аналитики'!D4793+'19_Расчет_аналитики'!D4813,0)</f>
        <v/>
      </c>
      <c r="E4814">
        <f>IF('01_Вводные'!$B$234="Да",'19_Расчет_аналитики'!E4793+'19_Расчет_аналитики'!E4813,0)</f>
        <v/>
      </c>
      <c r="F4814">
        <f>IF('01_Вводные'!$B$234="Да",'19_Расчет_аналитики'!F4793+'19_Расчет_аналитики'!F4813,0)</f>
        <v/>
      </c>
      <c r="G4814">
        <f>IF('01_Вводные'!$B$234="Да",'19_Расчет_аналитики'!G4793+'19_Расчет_аналитики'!G4813,0)</f>
        <v/>
      </c>
      <c r="H4814">
        <f>IF('01_Вводные'!$B$234="Да",'19_Расчет_аналитики'!H4793+'19_Расчет_аналитики'!H4813,0)</f>
        <v/>
      </c>
      <c r="I4814">
        <f>IF('01_Вводные'!$B$234="Да",'19_Расчет_аналитики'!I4793+'19_Расчет_аналитики'!I4813,0)</f>
        <v/>
      </c>
      <c r="J4814">
        <f>IF('01_Вводные'!$B$234="Да",'19_Расчет_аналитики'!J4793+'19_Расчет_аналитики'!J4813,0)</f>
        <v/>
      </c>
      <c r="K4814">
        <f>IF('01_Вводные'!$B$234="Да",'19_Расчет_аналитики'!K4793+'19_Расчет_аналитики'!K4813,0)</f>
        <v/>
      </c>
      <c r="L4814">
        <f>IF('01_Вводные'!$B$234="Да",'19_Расчет_аналитики'!L4793+'19_Расчет_аналитики'!L4813,0)</f>
        <v/>
      </c>
      <c r="M4814">
        <f>IF('01_Вводные'!$B$234="Да",'19_Расчет_аналитики'!M4793+'19_Расчет_аналитики'!M4813,0)</f>
        <v/>
      </c>
      <c r="N4814">
        <f>IF('01_Вводные'!$B$234="Да",'19_Расчет_аналитики'!N4793+'19_Расчет_аналитики'!N4813,0)</f>
        <v/>
      </c>
      <c r="O4814">
        <f>IF('01_Вводные'!$B$234="Да",'19_Расчет_аналитики'!O4793+'19_Расчет_аналитики'!O4813,0)</f>
        <v/>
      </c>
      <c r="P4814">
        <f>IF('01_Вводные'!$B$234="Да",'19_Расчет_аналитики'!P4793+'19_Расчет_аналитики'!P4813,0)</f>
        <v/>
      </c>
      <c r="Q4814">
        <f>IF('01_Вводные'!$B$234="Да",'19_Расчет_аналитики'!Q4793+'19_Расчет_аналитики'!Q4813,0)</f>
        <v/>
      </c>
      <c r="R4814">
        <f>IF('01_Вводные'!$B$234="Да",'19_Расчет_аналитики'!R4793+'19_Расчет_аналитики'!R4813,0)</f>
        <v/>
      </c>
      <c r="S4814">
        <f>IF('01_Вводные'!$B$234="Да",'19_Расчет_аналитики'!S4793+'19_Расчет_аналитики'!S4813,0)</f>
        <v/>
      </c>
      <c r="T4814">
        <f>IF('01_Вводные'!$B$234="Да",'19_Расчет_аналитики'!T4793+'19_Расчет_аналитики'!T4813,0)</f>
        <v/>
      </c>
      <c r="U4814">
        <f>IF('01_Вводные'!$B$234="Да",'19_Расчет_аналитики'!U4793+'19_Расчет_аналитики'!U4813,0)</f>
        <v/>
      </c>
      <c r="V4814">
        <f>IF('01_Вводные'!$B$234="Да",'19_Расчет_аналитики'!V4793+'19_Расчет_аналитики'!V4813,0)</f>
        <v/>
      </c>
      <c r="W4814">
        <f>IF('01_Вводные'!$B$234="Да",'19_Расчет_аналитики'!W4793+'19_Расчет_аналитики'!W4813,0)</f>
        <v/>
      </c>
      <c r="X4814">
        <f>IF('01_Вводные'!$B$234="Да",'19_Расчет_аналитики'!X4793+'19_Расчет_аналитики'!X4813,0)</f>
        <v/>
      </c>
      <c r="Y4814">
        <f>IF('01_Вводные'!$B$234="Да",'19_Расчет_аналитики'!Y4793+'19_Расчет_аналитики'!Y4813,0)</f>
        <v/>
      </c>
      <c r="Z4814">
        <f>IF('01_Вводные'!$B$234="Да",'19_Расчет_аналитики'!Z4793+'19_Расчет_аналитики'!Z4813,0)</f>
        <v/>
      </c>
      <c r="AA4814">
        <f>IF('01_Вводные'!$B$234="Да",'19_Расчет_аналитики'!AA4793+'19_Расчет_аналитики'!AA4813,0)</f>
        <v/>
      </c>
      <c r="AB4814">
        <f>IF('01_Вводные'!$B$234="Да",'19_Расчет_аналитики'!AB4793+'19_Расчет_аналитики'!AB4813,0)</f>
        <v/>
      </c>
      <c r="AC4814">
        <f>IF('01_Вводные'!$B$234="Да",'19_Расчет_аналитики'!AC4793+'19_Расчет_аналитики'!AC4813,0)</f>
        <v/>
      </c>
      <c r="AD4814">
        <f>IF('01_Вводные'!$B$234="Да",'19_Расчет_аналитики'!AD4793+'19_Расчет_аналитики'!AD4813,0)</f>
        <v/>
      </c>
      <c r="AE4814">
        <f>IF('01_Вводные'!$B$234="Да",'19_Расчет_аналитики'!AE4793+'19_Расчет_аналитики'!AE4813,0)</f>
        <v/>
      </c>
      <c r="AF4814">
        <f>IF('01_Вводные'!$B$234="Да",'19_Расчет_аналитики'!AF4793+'19_Расчет_аналитики'!AF4813,0)</f>
        <v/>
      </c>
      <c r="AG4814">
        <f>IF('01_Вводные'!$B$234="Да",'19_Расчет_аналитики'!AG4793+'19_Расчет_аналитики'!AG4813,0)</f>
        <v/>
      </c>
      <c r="AH4814">
        <f>IF('01_Вводные'!$B$234="Да",'19_Расчет_аналитики'!AH4793+'19_Расчет_аналитики'!AH4813,0)</f>
        <v/>
      </c>
      <c r="AI4814">
        <f>IF('01_Вводные'!$B$234="Да",'19_Расчет_аналитики'!AI4793+'19_Расчет_аналитики'!AI4813,0)</f>
        <v/>
      </c>
      <c r="AJ4814">
        <f>IF('01_Вводные'!$B$234="Да",'19_Расчет_аналитики'!AJ4793+'19_Расчет_аналитики'!AJ4813,0)</f>
        <v/>
      </c>
      <c r="AK4814">
        <f>IF('01_Вводные'!$B$234="Да",'19_Расчет_аналитики'!AK4793+'19_Расчет_аналитики'!AK4813,0)</f>
        <v/>
      </c>
      <c r="AL4814">
        <f>IF('01_Вводные'!$B$234="Да",'19_Расчет_аналитики'!AL4793+'19_Расчет_аналитики'!AL4813,0)</f>
        <v/>
      </c>
      <c r="AM4814">
        <f>IF('01_Вводные'!$B$234="Да",'19_Расчет_аналитики'!AM4793+'19_Расчет_аналитики'!AM4813,0)</f>
        <v/>
      </c>
      <c r="AN4814">
        <f>IF('01_Вводные'!$B$234="Да",'19_Расчет_аналитики'!AN4793+'19_Расчет_аналитики'!AN4813,0)</f>
        <v/>
      </c>
      <c r="AO4814">
        <f>IF('01_Вводные'!$B$234="Да",'19_Расчет_аналитики'!AO4793+'19_Расчет_аналитики'!AO4813,0)</f>
        <v/>
      </c>
      <c r="AP4814">
        <f>IF('01_Вводные'!$B$234="Да",'19_Расчет_аналитики'!AP4793+'19_Расчет_аналитики'!AP4813,0)</f>
        <v/>
      </c>
      <c r="AQ4814">
        <f>IF('01_Вводные'!$B$234="Да",'19_Расчет_аналитики'!AQ4793+'19_Расчет_аналитики'!AQ4813,0)</f>
        <v/>
      </c>
      <c r="AR4814">
        <f>IF('01_Вводные'!$B$234="Да",'19_Расчет_аналитики'!AR4793+'19_Расчет_аналитики'!AR4813,0)</f>
        <v/>
      </c>
      <c r="AS4814">
        <f>IF('01_Вводные'!$B$234="Да",'19_Расчет_аналитики'!AS4793+'19_Расчет_аналитики'!AS4813,0)</f>
        <v/>
      </c>
      <c r="AT4814">
        <f>IF('01_Вводные'!$B$234="Да",'19_Расчет_аналитики'!AT4793+'19_Расчет_аналитики'!AT4813,0)</f>
        <v/>
      </c>
      <c r="AU4814">
        <f>IF('01_Вводные'!$B$234="Да",'19_Расчет_аналитики'!AU4793+'19_Расчет_аналитики'!AU4813,0)</f>
        <v/>
      </c>
      <c r="AV4814">
        <f>IF('01_Вводные'!$B$234="Да",'19_Расчет_аналитики'!AV4793+'19_Расчет_аналитики'!AV4813,0)</f>
        <v/>
      </c>
      <c r="AW4814">
        <f>IF('01_Вводные'!$B$234="Да",'19_Расчет_аналитики'!AW4793+'19_Расчет_аналитики'!AW4813,0)</f>
        <v/>
      </c>
      <c r="AX4814">
        <f>IF('01_Вводные'!$B$234="Да",'19_Расчет_аналитики'!AX4793+'19_Расчет_аналитики'!AX4813,0)</f>
        <v/>
      </c>
      <c r="AY4814">
        <f>IF('01_Вводные'!$B$234="Да",'19_Расчет_аналитики'!AY4793+'19_Расчет_аналитики'!AY4813,0)</f>
        <v/>
      </c>
      <c r="AZ4814">
        <f>IF('01_Вводные'!$B$234="Да",'19_Расчет_аналитики'!AZ4793+'19_Расчет_аналитики'!AZ4813,0)</f>
        <v/>
      </c>
      <c r="BA4814">
        <f>IF('01_Вводные'!$B$234="Да",'19_Расчет_аналитики'!BA4793+'19_Расчет_аналитики'!BA4813,0)</f>
        <v/>
      </c>
      <c r="BB4814">
        <f>IF('01_Вводные'!$B$234="Да",'19_Расчет_аналитики'!BB4793+'19_Расчет_аналитики'!BB4813,0)</f>
        <v/>
      </c>
      <c r="BC4814">
        <f>IF('01_Вводные'!$B$234="Да",'19_Расчет_аналитики'!BC4793+'19_Расчет_аналитики'!BC4813,0)</f>
        <v/>
      </c>
      <c r="BD4814">
        <f>IF('01_Вводные'!$B$234="Да",'19_Расчет_аналитики'!BD4793+'19_Расчет_аналитики'!BD4813,0)</f>
        <v/>
      </c>
      <c r="BE4814">
        <f>IF('01_Вводные'!$B$234="Да",'19_Расчет_аналитики'!BE4793+'19_Расчет_аналитики'!BE4813,0)</f>
        <v/>
      </c>
      <c r="BF4814">
        <f>IF('01_Вводные'!$B$234="Да",'19_Расчет_аналитики'!BF4793+'19_Расчет_аналитики'!BF4813,0)</f>
        <v/>
      </c>
      <c r="BG4814">
        <f>IF('01_Вводные'!$B$234="Да",'19_Расчет_аналитики'!BG4793+'19_Расчет_аналитики'!BG4813,0)</f>
        <v/>
      </c>
      <c r="BH4814">
        <f>IF('01_Вводные'!$B$234="Да",'19_Расчет_аналитики'!BH4793+'19_Расчет_аналитики'!BH4813,0)</f>
        <v/>
      </c>
      <c r="BI4814">
        <f>IF('01_Вводные'!$B$234="Да",'19_Расчет_аналитики'!BI4793+'19_Расчет_аналитики'!BI4813,0)</f>
        <v/>
      </c>
    </row>
    <row r="4815"/>
    <row r="4816"/>
    <row r="4817">
      <c r="B4817">
        <f>IF('01_Вводные'!$B$234="Да",'19_Расчет_аналитики'!B4681,0)</f>
        <v/>
      </c>
      <c r="C4817">
        <f>IF('01_Вводные'!$B$234="Да",'19_Расчет_аналитики'!C4681,0)</f>
        <v/>
      </c>
      <c r="D4817">
        <f>IF('01_Вводные'!$B$234="Да",'19_Расчет_аналитики'!D4681,0)</f>
        <v/>
      </c>
      <c r="E4817">
        <f>IF('01_Вводные'!$B$234="Да",'19_Расчет_аналитики'!E4681,0)</f>
        <v/>
      </c>
      <c r="F4817">
        <f>IF('01_Вводные'!$B$234="Да",'19_Расчет_аналитики'!F4681,0)</f>
        <v/>
      </c>
      <c r="G4817">
        <f>IF('01_Вводные'!$B$234="Да",'19_Расчет_аналитики'!G4681,0)</f>
        <v/>
      </c>
      <c r="H4817">
        <f>IF('01_Вводные'!$B$234="Да",'19_Расчет_аналитики'!H4681,0)</f>
        <v/>
      </c>
      <c r="I4817">
        <f>IF('01_Вводные'!$B$234="Да",'19_Расчет_аналитики'!I4681,0)</f>
        <v/>
      </c>
      <c r="J4817">
        <f>IF('01_Вводные'!$B$234="Да",'19_Расчет_аналитики'!J4681,0)</f>
        <v/>
      </c>
      <c r="K4817">
        <f>IF('01_Вводные'!$B$234="Да",'19_Расчет_аналитики'!K4681,0)</f>
        <v/>
      </c>
      <c r="L4817">
        <f>IF('01_Вводные'!$B$234="Да",'19_Расчет_аналитики'!L4681,0)</f>
        <v/>
      </c>
      <c r="M4817">
        <f>IF('01_Вводные'!$B$234="Да",'19_Расчет_аналитики'!M4681,0)</f>
        <v/>
      </c>
      <c r="N4817">
        <f>IF('01_Вводные'!$B$234="Да",'19_Расчет_аналитики'!N4681,0)</f>
        <v/>
      </c>
      <c r="O4817">
        <f>IF('01_Вводные'!$B$234="Да",'19_Расчет_аналитики'!O4681,0)</f>
        <v/>
      </c>
      <c r="P4817">
        <f>IF('01_Вводные'!$B$234="Да",'19_Расчет_аналитики'!P4681,0)</f>
        <v/>
      </c>
      <c r="Q4817">
        <f>IF('01_Вводные'!$B$234="Да",'19_Расчет_аналитики'!Q4681,0)</f>
        <v/>
      </c>
      <c r="R4817">
        <f>IF('01_Вводные'!$B$234="Да",'19_Расчет_аналитики'!R4681,0)</f>
        <v/>
      </c>
      <c r="S4817">
        <f>IF('01_Вводные'!$B$234="Да",'19_Расчет_аналитики'!S4681,0)</f>
        <v/>
      </c>
      <c r="T4817">
        <f>IF('01_Вводные'!$B$234="Да",'19_Расчет_аналитики'!T4681,0)</f>
        <v/>
      </c>
      <c r="U4817">
        <f>IF('01_Вводные'!$B$234="Да",'19_Расчет_аналитики'!U4681,0)</f>
        <v/>
      </c>
      <c r="V4817">
        <f>IF('01_Вводные'!$B$234="Да",'19_Расчет_аналитики'!V4681,0)</f>
        <v/>
      </c>
      <c r="W4817">
        <f>IF('01_Вводные'!$B$234="Да",'19_Расчет_аналитики'!W4681,0)</f>
        <v/>
      </c>
      <c r="X4817">
        <f>IF('01_Вводные'!$B$234="Да",'19_Расчет_аналитики'!X4681,0)</f>
        <v/>
      </c>
      <c r="Y4817">
        <f>IF('01_Вводные'!$B$234="Да",'19_Расчет_аналитики'!Y4681,0)</f>
        <v/>
      </c>
      <c r="Z4817">
        <f>IF('01_Вводные'!$B$234="Да",'19_Расчет_аналитики'!Z4681,0)</f>
        <v/>
      </c>
      <c r="AA4817">
        <f>IF('01_Вводные'!$B$234="Да",'19_Расчет_аналитики'!AA4681,0)</f>
        <v/>
      </c>
      <c r="AB4817">
        <f>IF('01_Вводные'!$B$234="Да",'19_Расчет_аналитики'!AB4681,0)</f>
        <v/>
      </c>
      <c r="AC4817">
        <f>IF('01_Вводные'!$B$234="Да",'19_Расчет_аналитики'!AC4681,0)</f>
        <v/>
      </c>
      <c r="AD4817">
        <f>IF('01_Вводные'!$B$234="Да",'19_Расчет_аналитики'!AD4681,0)</f>
        <v/>
      </c>
      <c r="AE4817">
        <f>IF('01_Вводные'!$B$234="Да",'19_Расчет_аналитики'!AE4681,0)</f>
        <v/>
      </c>
      <c r="AF4817">
        <f>IF('01_Вводные'!$B$234="Да",'19_Расчет_аналитики'!AF4681,0)</f>
        <v/>
      </c>
      <c r="AG4817">
        <f>IF('01_Вводные'!$B$234="Да",'19_Расчет_аналитики'!AG4681,0)</f>
        <v/>
      </c>
      <c r="AH4817">
        <f>IF('01_Вводные'!$B$234="Да",'19_Расчет_аналитики'!AH4681,0)</f>
        <v/>
      </c>
      <c r="AI4817">
        <f>IF('01_Вводные'!$B$234="Да",'19_Расчет_аналитики'!AI4681,0)</f>
        <v/>
      </c>
      <c r="AJ4817">
        <f>IF('01_Вводные'!$B$234="Да",'19_Расчет_аналитики'!AJ4681,0)</f>
        <v/>
      </c>
      <c r="AK4817">
        <f>IF('01_Вводные'!$B$234="Да",'19_Расчет_аналитики'!AK4681,0)</f>
        <v/>
      </c>
      <c r="AL4817">
        <f>IF('01_Вводные'!$B$234="Да",'19_Расчет_аналитики'!AL4681,0)</f>
        <v/>
      </c>
      <c r="AM4817">
        <f>IF('01_Вводные'!$B$234="Да",'19_Расчет_аналитики'!AM4681,0)</f>
        <v/>
      </c>
      <c r="AN4817">
        <f>IF('01_Вводные'!$B$234="Да",'19_Расчет_аналитики'!AN4681,0)</f>
        <v/>
      </c>
      <c r="AO4817">
        <f>IF('01_Вводные'!$B$234="Да",'19_Расчет_аналитики'!AO4681,0)</f>
        <v/>
      </c>
      <c r="AP4817">
        <f>IF('01_Вводные'!$B$234="Да",'19_Расчет_аналитики'!AP4681,0)</f>
        <v/>
      </c>
      <c r="AQ4817">
        <f>IF('01_Вводные'!$B$234="Да",'19_Расчет_аналитики'!AQ4681,0)</f>
        <v/>
      </c>
      <c r="AR4817">
        <f>IF('01_Вводные'!$B$234="Да",'19_Расчет_аналитики'!AR4681,0)</f>
        <v/>
      </c>
      <c r="AS4817">
        <f>IF('01_Вводные'!$B$234="Да",'19_Расчет_аналитики'!AS4681,0)</f>
        <v/>
      </c>
      <c r="AT4817">
        <f>IF('01_Вводные'!$B$234="Да",'19_Расчет_аналитики'!AT4681,0)</f>
        <v/>
      </c>
      <c r="AU4817">
        <f>IF('01_Вводные'!$B$234="Да",'19_Расчет_аналитики'!AU4681,0)</f>
        <v/>
      </c>
      <c r="AV4817">
        <f>IF('01_Вводные'!$B$234="Да",'19_Расчет_аналитики'!AV4681,0)</f>
        <v/>
      </c>
      <c r="AW4817">
        <f>IF('01_Вводные'!$B$234="Да",'19_Расчет_аналитики'!AW4681,0)</f>
        <v/>
      </c>
      <c r="AX4817">
        <f>IF('01_Вводные'!$B$234="Да",'19_Расчет_аналитики'!AX4681,0)</f>
        <v/>
      </c>
      <c r="AY4817">
        <f>IF('01_Вводные'!$B$234="Да",'19_Расчет_аналитики'!AY4681,0)</f>
        <v/>
      </c>
      <c r="AZ4817">
        <f>IF('01_Вводные'!$B$234="Да",'19_Расчет_аналитики'!AZ4681,0)</f>
        <v/>
      </c>
      <c r="BA4817">
        <f>IF('01_Вводные'!$B$234="Да",'19_Расчет_аналитики'!BA4681,0)</f>
        <v/>
      </c>
      <c r="BB4817">
        <f>IF('01_Вводные'!$B$234="Да",'19_Расчет_аналитики'!BB4681,0)</f>
        <v/>
      </c>
      <c r="BC4817">
        <f>IF('01_Вводные'!$B$234="Да",'19_Расчет_аналитики'!BC4681,0)</f>
        <v/>
      </c>
      <c r="BD4817">
        <f>IF('01_Вводные'!$B$234="Да",'19_Расчет_аналитики'!BD4681,0)</f>
        <v/>
      </c>
      <c r="BE4817">
        <f>IF('01_Вводные'!$B$234="Да",'19_Расчет_аналитики'!BE4681,0)</f>
        <v/>
      </c>
      <c r="BF4817">
        <f>IF('01_Вводные'!$B$234="Да",'19_Расчет_аналитики'!BF4681,0)</f>
        <v/>
      </c>
      <c r="BG4817">
        <f>IF('01_Вводные'!$B$234="Да",'19_Расчет_аналитики'!BG4681,0)</f>
        <v/>
      </c>
      <c r="BH4817">
        <f>IF('01_Вводные'!$B$234="Да",'19_Расчет_аналитики'!BH4681,0)</f>
        <v/>
      </c>
      <c r="BI4817">
        <f>IF('01_Вводные'!$B$234="Да",'19_Расчет_аналитики'!BI4681,0)</f>
        <v/>
      </c>
    </row>
    <row r="4818">
      <c r="B4818">
        <f>IF('01_Вводные'!$B$234="Да",'19_Расчет_аналитики'!B4675,0)</f>
        <v/>
      </c>
      <c r="C4818">
        <f>IF('01_Вводные'!$B$234="Да",'19_Расчет_аналитики'!C4675,0)</f>
        <v/>
      </c>
      <c r="D4818">
        <f>IF('01_Вводные'!$B$234="Да",'19_Расчет_аналитики'!D4675,0)</f>
        <v/>
      </c>
      <c r="E4818">
        <f>IF('01_Вводные'!$B$234="Да",'19_Расчет_аналитики'!E4675,0)</f>
        <v/>
      </c>
      <c r="F4818">
        <f>IF('01_Вводные'!$B$234="Да",'19_Расчет_аналитики'!F4675,0)</f>
        <v/>
      </c>
      <c r="G4818">
        <f>IF('01_Вводные'!$B$234="Да",'19_Расчет_аналитики'!G4675,0)</f>
        <v/>
      </c>
      <c r="H4818">
        <f>IF('01_Вводные'!$B$234="Да",'19_Расчет_аналитики'!H4675,0)</f>
        <v/>
      </c>
      <c r="I4818">
        <f>IF('01_Вводные'!$B$234="Да",'19_Расчет_аналитики'!I4675,0)</f>
        <v/>
      </c>
      <c r="J4818">
        <f>IF('01_Вводные'!$B$234="Да",'19_Расчет_аналитики'!J4675,0)</f>
        <v/>
      </c>
      <c r="K4818">
        <f>IF('01_Вводные'!$B$234="Да",'19_Расчет_аналитики'!K4675,0)</f>
        <v/>
      </c>
      <c r="L4818">
        <f>IF('01_Вводные'!$B$234="Да",'19_Расчет_аналитики'!L4675,0)</f>
        <v/>
      </c>
      <c r="M4818">
        <f>IF('01_Вводные'!$B$234="Да",'19_Расчет_аналитики'!M4675,0)</f>
        <v/>
      </c>
      <c r="N4818">
        <f>IF('01_Вводные'!$B$234="Да",'19_Расчет_аналитики'!N4675,0)</f>
        <v/>
      </c>
      <c r="O4818">
        <f>IF('01_Вводные'!$B$234="Да",'19_Расчет_аналитики'!O4675,0)</f>
        <v/>
      </c>
      <c r="P4818">
        <f>IF('01_Вводные'!$B$234="Да",'19_Расчет_аналитики'!P4675,0)</f>
        <v/>
      </c>
      <c r="Q4818">
        <f>IF('01_Вводные'!$B$234="Да",'19_Расчет_аналитики'!Q4675,0)</f>
        <v/>
      </c>
      <c r="R4818">
        <f>IF('01_Вводные'!$B$234="Да",'19_Расчет_аналитики'!R4675,0)</f>
        <v/>
      </c>
      <c r="S4818">
        <f>IF('01_Вводные'!$B$234="Да",'19_Расчет_аналитики'!S4675,0)</f>
        <v/>
      </c>
      <c r="T4818">
        <f>IF('01_Вводные'!$B$234="Да",'19_Расчет_аналитики'!T4675,0)</f>
        <v/>
      </c>
      <c r="U4818">
        <f>IF('01_Вводные'!$B$234="Да",'19_Расчет_аналитики'!U4675,0)</f>
        <v/>
      </c>
      <c r="V4818">
        <f>IF('01_Вводные'!$B$234="Да",'19_Расчет_аналитики'!V4675,0)</f>
        <v/>
      </c>
      <c r="W4818">
        <f>IF('01_Вводные'!$B$234="Да",'19_Расчет_аналитики'!W4675,0)</f>
        <v/>
      </c>
      <c r="X4818">
        <f>IF('01_Вводные'!$B$234="Да",'19_Расчет_аналитики'!X4675,0)</f>
        <v/>
      </c>
      <c r="Y4818">
        <f>IF('01_Вводные'!$B$234="Да",'19_Расчет_аналитики'!Y4675,0)</f>
        <v/>
      </c>
      <c r="Z4818">
        <f>IF('01_Вводные'!$B$234="Да",'19_Расчет_аналитики'!Z4675,0)</f>
        <v/>
      </c>
      <c r="AA4818">
        <f>IF('01_Вводные'!$B$234="Да",'19_Расчет_аналитики'!AA4675,0)</f>
        <v/>
      </c>
      <c r="AB4818">
        <f>IF('01_Вводные'!$B$234="Да",'19_Расчет_аналитики'!AB4675,0)</f>
        <v/>
      </c>
      <c r="AC4818">
        <f>IF('01_Вводные'!$B$234="Да",'19_Расчет_аналитики'!AC4675,0)</f>
        <v/>
      </c>
      <c r="AD4818">
        <f>IF('01_Вводные'!$B$234="Да",'19_Расчет_аналитики'!AD4675,0)</f>
        <v/>
      </c>
      <c r="AE4818">
        <f>IF('01_Вводные'!$B$234="Да",'19_Расчет_аналитики'!AE4675,0)</f>
        <v/>
      </c>
      <c r="AF4818">
        <f>IF('01_Вводные'!$B$234="Да",'19_Расчет_аналитики'!AF4675,0)</f>
        <v/>
      </c>
      <c r="AG4818">
        <f>IF('01_Вводные'!$B$234="Да",'19_Расчет_аналитики'!AG4675,0)</f>
        <v/>
      </c>
      <c r="AH4818">
        <f>IF('01_Вводные'!$B$234="Да",'19_Расчет_аналитики'!AH4675,0)</f>
        <v/>
      </c>
      <c r="AI4818">
        <f>IF('01_Вводные'!$B$234="Да",'19_Расчет_аналитики'!AI4675,0)</f>
        <v/>
      </c>
      <c r="AJ4818">
        <f>IF('01_Вводные'!$B$234="Да",'19_Расчет_аналитики'!AJ4675,0)</f>
        <v/>
      </c>
      <c r="AK4818">
        <f>IF('01_Вводные'!$B$234="Да",'19_Расчет_аналитики'!AK4675,0)</f>
        <v/>
      </c>
      <c r="AL4818">
        <f>IF('01_Вводные'!$B$234="Да",'19_Расчет_аналитики'!AL4675,0)</f>
        <v/>
      </c>
      <c r="AM4818">
        <f>IF('01_Вводные'!$B$234="Да",'19_Расчет_аналитики'!AM4675,0)</f>
        <v/>
      </c>
      <c r="AN4818">
        <f>IF('01_Вводные'!$B$234="Да",'19_Расчет_аналитики'!AN4675,0)</f>
        <v/>
      </c>
      <c r="AO4818">
        <f>IF('01_Вводные'!$B$234="Да",'19_Расчет_аналитики'!AO4675,0)</f>
        <v/>
      </c>
      <c r="AP4818">
        <f>IF('01_Вводные'!$B$234="Да",'19_Расчет_аналитики'!AP4675,0)</f>
        <v/>
      </c>
      <c r="AQ4818">
        <f>IF('01_Вводные'!$B$234="Да",'19_Расчет_аналитики'!AQ4675,0)</f>
        <v/>
      </c>
      <c r="AR4818">
        <f>IF('01_Вводные'!$B$234="Да",'19_Расчет_аналитики'!AR4675,0)</f>
        <v/>
      </c>
      <c r="AS4818">
        <f>IF('01_Вводные'!$B$234="Да",'19_Расчет_аналитики'!AS4675,0)</f>
        <v/>
      </c>
      <c r="AT4818">
        <f>IF('01_Вводные'!$B$234="Да",'19_Расчет_аналитики'!AT4675,0)</f>
        <v/>
      </c>
      <c r="AU4818">
        <f>IF('01_Вводные'!$B$234="Да",'19_Расчет_аналитики'!AU4675,0)</f>
        <v/>
      </c>
      <c r="AV4818">
        <f>IF('01_Вводные'!$B$234="Да",'19_Расчет_аналитики'!AV4675,0)</f>
        <v/>
      </c>
      <c r="AW4818">
        <f>IF('01_Вводные'!$B$234="Да",'19_Расчет_аналитики'!AW4675,0)</f>
        <v/>
      </c>
      <c r="AX4818">
        <f>IF('01_Вводные'!$B$234="Да",'19_Расчет_аналитики'!AX4675,0)</f>
        <v/>
      </c>
      <c r="AY4818">
        <f>IF('01_Вводные'!$B$234="Да",'19_Расчет_аналитики'!AY4675,0)</f>
        <v/>
      </c>
      <c r="AZ4818">
        <f>IF('01_Вводные'!$B$234="Да",'19_Расчет_аналитики'!AZ4675,0)</f>
        <v/>
      </c>
      <c r="BA4818">
        <f>IF('01_Вводные'!$B$234="Да",'19_Расчет_аналитики'!BA4675,0)</f>
        <v/>
      </c>
      <c r="BB4818">
        <f>IF('01_Вводные'!$B$234="Да",'19_Расчет_аналитики'!BB4675,0)</f>
        <v/>
      </c>
      <c r="BC4818">
        <f>IF('01_Вводные'!$B$234="Да",'19_Расчет_аналитики'!BC4675,0)</f>
        <v/>
      </c>
      <c r="BD4818">
        <f>IF('01_Вводные'!$B$234="Да",'19_Расчет_аналитики'!BD4675,0)</f>
        <v/>
      </c>
      <c r="BE4818">
        <f>IF('01_Вводные'!$B$234="Да",'19_Расчет_аналитики'!BE4675,0)</f>
        <v/>
      </c>
      <c r="BF4818">
        <f>IF('01_Вводные'!$B$234="Да",'19_Расчет_аналитики'!BF4675,0)</f>
        <v/>
      </c>
      <c r="BG4818">
        <f>IF('01_Вводные'!$B$234="Да",'19_Расчет_аналитики'!BG4675,0)</f>
        <v/>
      </c>
      <c r="BH4818">
        <f>IF('01_Вводные'!$B$234="Да",'19_Расчет_аналитики'!BH4675,0)</f>
        <v/>
      </c>
      <c r="BI4818">
        <f>IF('01_Вводные'!$B$234="Да",'19_Расчет_аналитики'!BI4675,0)</f>
        <v/>
      </c>
    </row>
    <row r="4819">
      <c r="B4819">
        <f>IF('01_Вводные'!$B$234="Да",'19_Расчет_аналитики'!B4673,0)</f>
        <v/>
      </c>
      <c r="C4819">
        <f>IF('01_Вводные'!$B$234="Да",'19_Расчет_аналитики'!C4673,0)</f>
        <v/>
      </c>
      <c r="D4819">
        <f>IF('01_Вводные'!$B$234="Да",'19_Расчет_аналитики'!D4673,0)</f>
        <v/>
      </c>
      <c r="E4819">
        <f>IF('01_Вводные'!$B$234="Да",'19_Расчет_аналитики'!E4673,0)</f>
        <v/>
      </c>
      <c r="F4819">
        <f>IF('01_Вводные'!$B$234="Да",'19_Расчет_аналитики'!F4673,0)</f>
        <v/>
      </c>
      <c r="G4819">
        <f>IF('01_Вводные'!$B$234="Да",'19_Расчет_аналитики'!G4673,0)</f>
        <v/>
      </c>
      <c r="H4819">
        <f>IF('01_Вводные'!$B$234="Да",'19_Расчет_аналитики'!H4673,0)</f>
        <v/>
      </c>
      <c r="I4819">
        <f>IF('01_Вводные'!$B$234="Да",'19_Расчет_аналитики'!I4673,0)</f>
        <v/>
      </c>
      <c r="J4819">
        <f>IF('01_Вводные'!$B$234="Да",'19_Расчет_аналитики'!J4673,0)</f>
        <v/>
      </c>
      <c r="K4819">
        <f>IF('01_Вводные'!$B$234="Да",'19_Расчет_аналитики'!K4673,0)</f>
        <v/>
      </c>
      <c r="L4819">
        <f>IF('01_Вводные'!$B$234="Да",'19_Расчет_аналитики'!L4673,0)</f>
        <v/>
      </c>
      <c r="M4819">
        <f>IF('01_Вводные'!$B$234="Да",'19_Расчет_аналитики'!M4673,0)</f>
        <v/>
      </c>
      <c r="N4819">
        <f>IF('01_Вводные'!$B$234="Да",'19_Расчет_аналитики'!N4673,0)</f>
        <v/>
      </c>
      <c r="O4819">
        <f>IF('01_Вводные'!$B$234="Да",'19_Расчет_аналитики'!O4673,0)</f>
        <v/>
      </c>
      <c r="P4819">
        <f>IF('01_Вводные'!$B$234="Да",'19_Расчет_аналитики'!P4673,0)</f>
        <v/>
      </c>
      <c r="Q4819">
        <f>IF('01_Вводные'!$B$234="Да",'19_Расчет_аналитики'!Q4673,0)</f>
        <v/>
      </c>
      <c r="R4819">
        <f>IF('01_Вводные'!$B$234="Да",'19_Расчет_аналитики'!R4673,0)</f>
        <v/>
      </c>
      <c r="S4819">
        <f>IF('01_Вводные'!$B$234="Да",'19_Расчет_аналитики'!S4673,0)</f>
        <v/>
      </c>
      <c r="T4819">
        <f>IF('01_Вводные'!$B$234="Да",'19_Расчет_аналитики'!T4673,0)</f>
        <v/>
      </c>
      <c r="U4819">
        <f>IF('01_Вводные'!$B$234="Да",'19_Расчет_аналитики'!U4673,0)</f>
        <v/>
      </c>
      <c r="V4819">
        <f>IF('01_Вводные'!$B$234="Да",'19_Расчет_аналитики'!V4673,0)</f>
        <v/>
      </c>
      <c r="W4819">
        <f>IF('01_Вводные'!$B$234="Да",'19_Расчет_аналитики'!W4673,0)</f>
        <v/>
      </c>
      <c r="X4819">
        <f>IF('01_Вводные'!$B$234="Да",'19_Расчет_аналитики'!X4673,0)</f>
        <v/>
      </c>
      <c r="Y4819">
        <f>IF('01_Вводные'!$B$234="Да",'19_Расчет_аналитики'!Y4673,0)</f>
        <v/>
      </c>
      <c r="Z4819">
        <f>IF('01_Вводные'!$B$234="Да",'19_Расчет_аналитики'!Z4673,0)</f>
        <v/>
      </c>
      <c r="AA4819">
        <f>IF('01_Вводные'!$B$234="Да",'19_Расчет_аналитики'!AA4673,0)</f>
        <v/>
      </c>
      <c r="AB4819">
        <f>IF('01_Вводные'!$B$234="Да",'19_Расчет_аналитики'!AB4673,0)</f>
        <v/>
      </c>
      <c r="AC4819">
        <f>IF('01_Вводные'!$B$234="Да",'19_Расчет_аналитики'!AC4673,0)</f>
        <v/>
      </c>
      <c r="AD4819">
        <f>IF('01_Вводные'!$B$234="Да",'19_Расчет_аналитики'!AD4673,0)</f>
        <v/>
      </c>
      <c r="AE4819">
        <f>IF('01_Вводные'!$B$234="Да",'19_Расчет_аналитики'!AE4673,0)</f>
        <v/>
      </c>
      <c r="AF4819">
        <f>IF('01_Вводные'!$B$234="Да",'19_Расчет_аналитики'!AF4673,0)</f>
        <v/>
      </c>
      <c r="AG4819">
        <f>IF('01_Вводные'!$B$234="Да",'19_Расчет_аналитики'!AG4673,0)</f>
        <v/>
      </c>
      <c r="AH4819">
        <f>IF('01_Вводные'!$B$234="Да",'19_Расчет_аналитики'!AH4673,0)</f>
        <v/>
      </c>
      <c r="AI4819">
        <f>IF('01_Вводные'!$B$234="Да",'19_Расчет_аналитики'!AI4673,0)</f>
        <v/>
      </c>
      <c r="AJ4819">
        <f>IF('01_Вводные'!$B$234="Да",'19_Расчет_аналитики'!AJ4673,0)</f>
        <v/>
      </c>
      <c r="AK4819">
        <f>IF('01_Вводные'!$B$234="Да",'19_Расчет_аналитики'!AK4673,0)</f>
        <v/>
      </c>
      <c r="AL4819">
        <f>IF('01_Вводные'!$B$234="Да",'19_Расчет_аналитики'!AL4673,0)</f>
        <v/>
      </c>
      <c r="AM4819">
        <f>IF('01_Вводные'!$B$234="Да",'19_Расчет_аналитики'!AM4673,0)</f>
        <v/>
      </c>
      <c r="AN4819">
        <f>IF('01_Вводные'!$B$234="Да",'19_Расчет_аналитики'!AN4673,0)</f>
        <v/>
      </c>
      <c r="AO4819">
        <f>IF('01_Вводные'!$B$234="Да",'19_Расчет_аналитики'!AO4673,0)</f>
        <v/>
      </c>
      <c r="AP4819">
        <f>IF('01_Вводные'!$B$234="Да",'19_Расчет_аналитики'!AP4673,0)</f>
        <v/>
      </c>
      <c r="AQ4819">
        <f>IF('01_Вводные'!$B$234="Да",'19_Расчет_аналитики'!AQ4673,0)</f>
        <v/>
      </c>
      <c r="AR4819">
        <f>IF('01_Вводные'!$B$234="Да",'19_Расчет_аналитики'!AR4673,0)</f>
        <v/>
      </c>
      <c r="AS4819">
        <f>IF('01_Вводные'!$B$234="Да",'19_Расчет_аналитики'!AS4673,0)</f>
        <v/>
      </c>
      <c r="AT4819">
        <f>IF('01_Вводные'!$B$234="Да",'19_Расчет_аналитики'!AT4673,0)</f>
        <v/>
      </c>
      <c r="AU4819">
        <f>IF('01_Вводные'!$B$234="Да",'19_Расчет_аналитики'!AU4673,0)</f>
        <v/>
      </c>
      <c r="AV4819">
        <f>IF('01_Вводные'!$B$234="Да",'19_Расчет_аналитики'!AV4673,0)</f>
        <v/>
      </c>
      <c r="AW4819">
        <f>IF('01_Вводные'!$B$234="Да",'19_Расчет_аналитики'!AW4673,0)</f>
        <v/>
      </c>
      <c r="AX4819">
        <f>IF('01_Вводные'!$B$234="Да",'19_Расчет_аналитики'!AX4673,0)</f>
        <v/>
      </c>
      <c r="AY4819">
        <f>IF('01_Вводные'!$B$234="Да",'19_Расчет_аналитики'!AY4673,0)</f>
        <v/>
      </c>
      <c r="AZ4819">
        <f>IF('01_Вводные'!$B$234="Да",'19_Расчет_аналитики'!AZ4673,0)</f>
        <v/>
      </c>
      <c r="BA4819">
        <f>IF('01_Вводные'!$B$234="Да",'19_Расчет_аналитики'!BA4673,0)</f>
        <v/>
      </c>
      <c r="BB4819">
        <f>IF('01_Вводные'!$B$234="Да",'19_Расчет_аналитики'!BB4673,0)</f>
        <v/>
      </c>
      <c r="BC4819">
        <f>IF('01_Вводные'!$B$234="Да",'19_Расчет_аналитики'!BC4673,0)</f>
        <v/>
      </c>
      <c r="BD4819">
        <f>IF('01_Вводные'!$B$234="Да",'19_Расчет_аналитики'!BD4673,0)</f>
        <v/>
      </c>
      <c r="BE4819">
        <f>IF('01_Вводные'!$B$234="Да",'19_Расчет_аналитики'!BE4673,0)</f>
        <v/>
      </c>
      <c r="BF4819">
        <f>IF('01_Вводные'!$B$234="Да",'19_Расчет_аналитики'!BF4673,0)</f>
        <v/>
      </c>
      <c r="BG4819">
        <f>IF('01_Вводные'!$B$234="Да",'19_Расчет_аналитики'!BG4673,0)</f>
        <v/>
      </c>
      <c r="BH4819">
        <f>IF('01_Вводные'!$B$234="Да",'19_Расчет_аналитики'!BH4673,0)</f>
        <v/>
      </c>
      <c r="BI4819">
        <f>IF('01_Вводные'!$B$234="Да",'19_Расчет_аналитики'!BI4673,0)</f>
        <v/>
      </c>
    </row>
    <row r="4820">
      <c r="B4820">
        <f>IF('01_Вводные'!$B$234="Да",'19_Расчет_аналитики'!B4676,0)</f>
        <v/>
      </c>
      <c r="C4820">
        <f>IF('01_Вводные'!$B$234="Да",'19_Расчет_аналитики'!C4676,0)</f>
        <v/>
      </c>
      <c r="D4820">
        <f>IF('01_Вводные'!$B$234="Да",'19_Расчет_аналитики'!D4676,0)</f>
        <v/>
      </c>
      <c r="E4820">
        <f>IF('01_Вводные'!$B$234="Да",'19_Расчет_аналитики'!E4676,0)</f>
        <v/>
      </c>
      <c r="F4820">
        <f>IF('01_Вводные'!$B$234="Да",'19_Расчет_аналитики'!F4676,0)</f>
        <v/>
      </c>
      <c r="G4820">
        <f>IF('01_Вводные'!$B$234="Да",'19_Расчет_аналитики'!G4676,0)</f>
        <v/>
      </c>
      <c r="H4820">
        <f>IF('01_Вводные'!$B$234="Да",'19_Расчет_аналитики'!H4676,0)</f>
        <v/>
      </c>
      <c r="I4820">
        <f>IF('01_Вводные'!$B$234="Да",'19_Расчет_аналитики'!I4676,0)</f>
        <v/>
      </c>
      <c r="J4820">
        <f>IF('01_Вводные'!$B$234="Да",'19_Расчет_аналитики'!J4676,0)</f>
        <v/>
      </c>
      <c r="K4820">
        <f>IF('01_Вводные'!$B$234="Да",'19_Расчет_аналитики'!K4676,0)</f>
        <v/>
      </c>
      <c r="L4820">
        <f>IF('01_Вводные'!$B$234="Да",'19_Расчет_аналитики'!L4676,0)</f>
        <v/>
      </c>
      <c r="M4820">
        <f>IF('01_Вводные'!$B$234="Да",'19_Расчет_аналитики'!M4676,0)</f>
        <v/>
      </c>
      <c r="N4820">
        <f>IF('01_Вводные'!$B$234="Да",'19_Расчет_аналитики'!N4676,0)</f>
        <v/>
      </c>
      <c r="O4820">
        <f>IF('01_Вводные'!$B$234="Да",'19_Расчет_аналитики'!O4676,0)</f>
        <v/>
      </c>
      <c r="P4820">
        <f>IF('01_Вводные'!$B$234="Да",'19_Расчет_аналитики'!P4676,0)</f>
        <v/>
      </c>
      <c r="Q4820">
        <f>IF('01_Вводные'!$B$234="Да",'19_Расчет_аналитики'!Q4676,0)</f>
        <v/>
      </c>
      <c r="R4820">
        <f>IF('01_Вводные'!$B$234="Да",'19_Расчет_аналитики'!R4676,0)</f>
        <v/>
      </c>
      <c r="S4820">
        <f>IF('01_Вводные'!$B$234="Да",'19_Расчет_аналитики'!S4676,0)</f>
        <v/>
      </c>
      <c r="T4820">
        <f>IF('01_Вводные'!$B$234="Да",'19_Расчет_аналитики'!T4676,0)</f>
        <v/>
      </c>
      <c r="U4820">
        <f>IF('01_Вводные'!$B$234="Да",'19_Расчет_аналитики'!U4676,0)</f>
        <v/>
      </c>
      <c r="V4820">
        <f>IF('01_Вводные'!$B$234="Да",'19_Расчет_аналитики'!V4676,0)</f>
        <v/>
      </c>
      <c r="W4820">
        <f>IF('01_Вводные'!$B$234="Да",'19_Расчет_аналитики'!W4676,0)</f>
        <v/>
      </c>
      <c r="X4820">
        <f>IF('01_Вводные'!$B$234="Да",'19_Расчет_аналитики'!X4676,0)</f>
        <v/>
      </c>
      <c r="Y4820">
        <f>IF('01_Вводные'!$B$234="Да",'19_Расчет_аналитики'!Y4676,0)</f>
        <v/>
      </c>
      <c r="Z4820">
        <f>IF('01_Вводные'!$B$234="Да",'19_Расчет_аналитики'!Z4676,0)</f>
        <v/>
      </c>
      <c r="AA4820">
        <f>IF('01_Вводные'!$B$234="Да",'19_Расчет_аналитики'!AA4676,0)</f>
        <v/>
      </c>
      <c r="AB4820">
        <f>IF('01_Вводные'!$B$234="Да",'19_Расчет_аналитики'!AB4676,0)</f>
        <v/>
      </c>
      <c r="AC4820">
        <f>IF('01_Вводные'!$B$234="Да",'19_Расчет_аналитики'!AC4676,0)</f>
        <v/>
      </c>
      <c r="AD4820">
        <f>IF('01_Вводные'!$B$234="Да",'19_Расчет_аналитики'!AD4676,0)</f>
        <v/>
      </c>
      <c r="AE4820">
        <f>IF('01_Вводные'!$B$234="Да",'19_Расчет_аналитики'!AE4676,0)</f>
        <v/>
      </c>
      <c r="AF4820">
        <f>IF('01_Вводные'!$B$234="Да",'19_Расчет_аналитики'!AF4676,0)</f>
        <v/>
      </c>
      <c r="AG4820">
        <f>IF('01_Вводные'!$B$234="Да",'19_Расчет_аналитики'!AG4676,0)</f>
        <v/>
      </c>
      <c r="AH4820">
        <f>IF('01_Вводные'!$B$234="Да",'19_Расчет_аналитики'!AH4676,0)</f>
        <v/>
      </c>
      <c r="AI4820">
        <f>IF('01_Вводные'!$B$234="Да",'19_Расчет_аналитики'!AI4676,0)</f>
        <v/>
      </c>
      <c r="AJ4820">
        <f>IF('01_Вводные'!$B$234="Да",'19_Расчет_аналитики'!AJ4676,0)</f>
        <v/>
      </c>
      <c r="AK4820">
        <f>IF('01_Вводные'!$B$234="Да",'19_Расчет_аналитики'!AK4676,0)</f>
        <v/>
      </c>
      <c r="AL4820">
        <f>IF('01_Вводные'!$B$234="Да",'19_Расчет_аналитики'!AL4676,0)</f>
        <v/>
      </c>
      <c r="AM4820">
        <f>IF('01_Вводные'!$B$234="Да",'19_Расчет_аналитики'!AM4676,0)</f>
        <v/>
      </c>
      <c r="AN4820">
        <f>IF('01_Вводные'!$B$234="Да",'19_Расчет_аналитики'!AN4676,0)</f>
        <v/>
      </c>
      <c r="AO4820">
        <f>IF('01_Вводные'!$B$234="Да",'19_Расчет_аналитики'!AO4676,0)</f>
        <v/>
      </c>
      <c r="AP4820">
        <f>IF('01_Вводные'!$B$234="Да",'19_Расчет_аналитики'!AP4676,0)</f>
        <v/>
      </c>
      <c r="AQ4820">
        <f>IF('01_Вводные'!$B$234="Да",'19_Расчет_аналитики'!AQ4676,0)</f>
        <v/>
      </c>
      <c r="AR4820">
        <f>IF('01_Вводные'!$B$234="Да",'19_Расчет_аналитики'!AR4676,0)</f>
        <v/>
      </c>
      <c r="AS4820">
        <f>IF('01_Вводные'!$B$234="Да",'19_Расчет_аналитики'!AS4676,0)</f>
        <v/>
      </c>
      <c r="AT4820">
        <f>IF('01_Вводные'!$B$234="Да",'19_Расчет_аналитики'!AT4676,0)</f>
        <v/>
      </c>
      <c r="AU4820">
        <f>IF('01_Вводные'!$B$234="Да",'19_Расчет_аналитики'!AU4676,0)</f>
        <v/>
      </c>
      <c r="AV4820">
        <f>IF('01_Вводные'!$B$234="Да",'19_Расчет_аналитики'!AV4676,0)</f>
        <v/>
      </c>
      <c r="AW4820">
        <f>IF('01_Вводные'!$B$234="Да",'19_Расчет_аналитики'!AW4676,0)</f>
        <v/>
      </c>
      <c r="AX4820">
        <f>IF('01_Вводные'!$B$234="Да",'19_Расчет_аналитики'!AX4676,0)</f>
        <v/>
      </c>
      <c r="AY4820">
        <f>IF('01_Вводные'!$B$234="Да",'19_Расчет_аналитики'!AY4676,0)</f>
        <v/>
      </c>
      <c r="AZ4820">
        <f>IF('01_Вводные'!$B$234="Да",'19_Расчет_аналитики'!AZ4676,0)</f>
        <v/>
      </c>
      <c r="BA4820">
        <f>IF('01_Вводные'!$B$234="Да",'19_Расчет_аналитики'!BA4676,0)</f>
        <v/>
      </c>
      <c r="BB4820">
        <f>IF('01_Вводные'!$B$234="Да",'19_Расчет_аналитики'!BB4676,0)</f>
        <v/>
      </c>
      <c r="BC4820">
        <f>IF('01_Вводные'!$B$234="Да",'19_Расчет_аналитики'!BC4676,0)</f>
        <v/>
      </c>
      <c r="BD4820">
        <f>IF('01_Вводные'!$B$234="Да",'19_Расчет_аналитики'!BD4676,0)</f>
        <v/>
      </c>
      <c r="BE4820">
        <f>IF('01_Вводные'!$B$234="Да",'19_Расчет_аналитики'!BE4676,0)</f>
        <v/>
      </c>
      <c r="BF4820">
        <f>IF('01_Вводные'!$B$234="Да",'19_Расчет_аналитики'!BF4676,0)</f>
        <v/>
      </c>
      <c r="BG4820">
        <f>IF('01_Вводные'!$B$234="Да",'19_Расчет_аналитики'!BG4676,0)</f>
        <v/>
      </c>
      <c r="BH4820">
        <f>IF('01_Вводные'!$B$234="Да",'19_Расчет_аналитики'!BH4676,0)</f>
        <v/>
      </c>
      <c r="BI4820">
        <f>IF('01_Вводные'!$B$234="Да",'19_Расчет_аналитики'!BI4676,0)</f>
        <v/>
      </c>
    </row>
    <row r="4821"/>
    <row r="4822">
      <c r="B4822">
        <f>IF('01_Вводные'!$B$234="Да",0+'19_Расчет_аналитики'!B4761+'19_Расчет_аналитики'!B4762-'19_Расчет_аналитики'!B4795/(1+'01_Вводные'!$B$58),0)</f>
        <v/>
      </c>
      <c r="C4822">
        <f>IF('01_Вводные'!$B$234="Да",'19_Расчет_аналитики'!B4822+'19_Расчет_аналитики'!C4761+'19_Расчет_аналитики'!C4762-'19_Расчет_аналитики'!C4795/(1+'01_Вводные'!$B$58),0)</f>
        <v/>
      </c>
      <c r="D4822">
        <f>IF('01_Вводные'!$B$234="Да",'19_Расчет_аналитики'!C4822+'19_Расчет_аналитики'!D4761+'19_Расчет_аналитики'!D4762-'19_Расчет_аналитики'!D4795/(1+'01_Вводные'!$B$58),0)</f>
        <v/>
      </c>
      <c r="E4822">
        <f>IF('01_Вводные'!$B$234="Да",'19_Расчет_аналитики'!D4822+'19_Расчет_аналитики'!E4761+'19_Расчет_аналитики'!E4762-'19_Расчет_аналитики'!E4795/(1+'01_Вводные'!$B$58),0)</f>
        <v/>
      </c>
      <c r="F4822">
        <f>IF('01_Вводные'!$B$234="Да",'19_Расчет_аналитики'!E4822+'19_Расчет_аналитики'!F4761+'19_Расчет_аналитики'!F4762-'19_Расчет_аналитики'!F4795/(1+'01_Вводные'!$B$58),0)</f>
        <v/>
      </c>
      <c r="G4822">
        <f>IF('01_Вводные'!$B$234="Да",'19_Расчет_аналитики'!F4822+'19_Расчет_аналитики'!G4761+'19_Расчет_аналитики'!G4762-'19_Расчет_аналитики'!G4795/(1+'01_Вводные'!$B$58),0)</f>
        <v/>
      </c>
      <c r="H4822">
        <f>IF('01_Вводные'!$B$234="Да",'19_Расчет_аналитики'!G4822+'19_Расчет_аналитики'!H4761+'19_Расчет_аналитики'!H4762-'19_Расчет_аналитики'!H4795/(1+'01_Вводные'!$B$58),0)</f>
        <v/>
      </c>
      <c r="I4822">
        <f>IF('01_Вводные'!$B$234="Да",'19_Расчет_аналитики'!H4822+'19_Расчет_аналитики'!I4761+'19_Расчет_аналитики'!I4762-'19_Расчет_аналитики'!I4795/(1+'01_Вводные'!$B$58),0)</f>
        <v/>
      </c>
      <c r="J4822">
        <f>IF('01_Вводные'!$B$234="Да",'19_Расчет_аналитики'!I4822+'19_Расчет_аналитики'!J4761+'19_Расчет_аналитики'!J4762-'19_Расчет_аналитики'!J4795/(1+'01_Вводные'!$B$58),0)</f>
        <v/>
      </c>
      <c r="K4822">
        <f>IF('01_Вводные'!$B$234="Да",'19_Расчет_аналитики'!J4822+'19_Расчет_аналитики'!K4761+'19_Расчет_аналитики'!K4762-'19_Расчет_аналитики'!K4795/(1+'01_Вводные'!$B$58),0)</f>
        <v/>
      </c>
      <c r="L4822">
        <f>IF('01_Вводные'!$B$234="Да",'19_Расчет_аналитики'!K4822+'19_Расчет_аналитики'!L4761+'19_Расчет_аналитики'!L4762-'19_Расчет_аналитики'!L4795/(1+'01_Вводные'!$B$58),0)</f>
        <v/>
      </c>
      <c r="M4822">
        <f>IF('01_Вводные'!$B$234="Да",'19_Расчет_аналитики'!L4822+'19_Расчет_аналитики'!M4761+'19_Расчет_аналитики'!M4762-'19_Расчет_аналитики'!M4795/(1+'01_Вводные'!$B$58),0)</f>
        <v/>
      </c>
      <c r="N4822">
        <f>IF('01_Вводные'!$B$234="Да",'19_Расчет_аналитики'!M4822+'19_Расчет_аналитики'!N4761+'19_Расчет_аналитики'!N4762-'19_Расчет_аналитики'!N4795/(1+'01_Вводные'!$B$58),0)</f>
        <v/>
      </c>
      <c r="O4822">
        <f>IF('01_Вводные'!$B$234="Да",'19_Расчет_аналитики'!N4822+'19_Расчет_аналитики'!O4761+'19_Расчет_аналитики'!O4762-'19_Расчет_аналитики'!O4795/(1+'01_Вводные'!$B$58),0)</f>
        <v/>
      </c>
      <c r="P4822">
        <f>IF('01_Вводные'!$B$234="Да",'19_Расчет_аналитики'!O4822+'19_Расчет_аналитики'!P4761+'19_Расчет_аналитики'!P4762-'19_Расчет_аналитики'!P4795/(1+'01_Вводные'!$B$58),0)</f>
        <v/>
      </c>
      <c r="Q4822">
        <f>IF('01_Вводные'!$B$234="Да",'19_Расчет_аналитики'!P4822+'19_Расчет_аналитики'!Q4761+'19_Расчет_аналитики'!Q4762-'19_Расчет_аналитики'!Q4795/(1+'01_Вводные'!$B$58),0)</f>
        <v/>
      </c>
      <c r="R4822">
        <f>IF('01_Вводные'!$B$234="Да",'19_Расчет_аналитики'!Q4822+'19_Расчет_аналитики'!R4761+'19_Расчет_аналитики'!R4762-'19_Расчет_аналитики'!R4795/(1+'01_Вводные'!$B$58),0)</f>
        <v/>
      </c>
      <c r="S4822">
        <f>IF('01_Вводные'!$B$234="Да",'19_Расчет_аналитики'!R4822+'19_Расчет_аналитики'!S4761+'19_Расчет_аналитики'!S4762-'19_Расчет_аналитики'!S4795/(1+'01_Вводные'!$B$58),0)</f>
        <v/>
      </c>
      <c r="T4822">
        <f>IF('01_Вводные'!$B$234="Да",'19_Расчет_аналитики'!S4822+'19_Расчет_аналитики'!T4761+'19_Расчет_аналитики'!T4762-'19_Расчет_аналитики'!T4795/(1+'01_Вводные'!$B$58),0)</f>
        <v/>
      </c>
      <c r="U4822">
        <f>IF('01_Вводные'!$B$234="Да",'19_Расчет_аналитики'!T4822+'19_Расчет_аналитики'!U4761+'19_Расчет_аналитики'!U4762-'19_Расчет_аналитики'!U4795/(1+'01_Вводные'!$B$58),0)</f>
        <v/>
      </c>
      <c r="V4822">
        <f>IF('01_Вводные'!$B$234="Да",'19_Расчет_аналитики'!U4822+'19_Расчет_аналитики'!V4761+'19_Расчет_аналитики'!V4762-'19_Расчет_аналитики'!V4795/(1+'01_Вводные'!$B$58),0)</f>
        <v/>
      </c>
      <c r="W4822">
        <f>IF('01_Вводные'!$B$234="Да",'19_Расчет_аналитики'!V4822+'19_Расчет_аналитики'!W4761+'19_Расчет_аналитики'!W4762-'19_Расчет_аналитики'!W4795/(1+'01_Вводные'!$B$58),0)</f>
        <v/>
      </c>
      <c r="X4822">
        <f>IF('01_Вводные'!$B$234="Да",'19_Расчет_аналитики'!W4822+'19_Расчет_аналитики'!X4761+'19_Расчет_аналитики'!X4762-'19_Расчет_аналитики'!X4795/(1+'01_Вводные'!$B$58),0)</f>
        <v/>
      </c>
      <c r="Y4822">
        <f>IF('01_Вводные'!$B$234="Да",'19_Расчет_аналитики'!X4822+'19_Расчет_аналитики'!Y4761+'19_Расчет_аналитики'!Y4762-'19_Расчет_аналитики'!Y4795/(1+'01_Вводные'!$B$58),0)</f>
        <v/>
      </c>
      <c r="Z4822">
        <f>IF('01_Вводные'!$B$234="Да",'19_Расчет_аналитики'!Y4822+'19_Расчет_аналитики'!Z4761+'19_Расчет_аналитики'!Z4762-'19_Расчет_аналитики'!Z4795/(1+'01_Вводные'!$B$58),0)</f>
        <v/>
      </c>
      <c r="AA4822">
        <f>IF('01_Вводные'!$B$234="Да",'19_Расчет_аналитики'!Z4822+'19_Расчет_аналитики'!AA4761+'19_Расчет_аналитики'!AA4762-'19_Расчет_аналитики'!AA4795/(1+'01_Вводные'!$B$58),0)</f>
        <v/>
      </c>
      <c r="AB4822">
        <f>IF('01_Вводные'!$B$234="Да",'19_Расчет_аналитики'!AA4822+'19_Расчет_аналитики'!AB4761+'19_Расчет_аналитики'!AB4762-'19_Расчет_аналитики'!AB4795/(1+'01_Вводные'!$B$58),0)</f>
        <v/>
      </c>
      <c r="AC4822">
        <f>IF('01_Вводные'!$B$234="Да",'19_Расчет_аналитики'!AB4822+'19_Расчет_аналитики'!AC4761+'19_Расчет_аналитики'!AC4762-'19_Расчет_аналитики'!AC4795/(1+'01_Вводные'!$B$58),0)</f>
        <v/>
      </c>
      <c r="AD4822">
        <f>IF('01_Вводные'!$B$234="Да",'19_Расчет_аналитики'!AC4822+'19_Расчет_аналитики'!AD4761+'19_Расчет_аналитики'!AD4762-'19_Расчет_аналитики'!AD4795/(1+'01_Вводные'!$B$58),0)</f>
        <v/>
      </c>
      <c r="AE4822">
        <f>IF('01_Вводные'!$B$234="Да",'19_Расчет_аналитики'!AD4822+'19_Расчет_аналитики'!AE4761+'19_Расчет_аналитики'!AE4762-'19_Расчет_аналитики'!AE4795/(1+'01_Вводные'!$B$58),0)</f>
        <v/>
      </c>
      <c r="AF4822">
        <f>IF('01_Вводные'!$B$234="Да",'19_Расчет_аналитики'!AE4822+'19_Расчет_аналитики'!AF4761+'19_Расчет_аналитики'!AF4762-'19_Расчет_аналитики'!AF4795/(1+'01_Вводные'!$B$58),0)</f>
        <v/>
      </c>
      <c r="AG4822">
        <f>IF('01_Вводные'!$B$234="Да",'19_Расчет_аналитики'!AF4822+'19_Расчет_аналитики'!AG4761+'19_Расчет_аналитики'!AG4762-'19_Расчет_аналитики'!AG4795/(1+'01_Вводные'!$B$58),0)</f>
        <v/>
      </c>
      <c r="AH4822">
        <f>IF('01_Вводные'!$B$234="Да",'19_Расчет_аналитики'!AG4822+'19_Расчет_аналитики'!AH4761+'19_Расчет_аналитики'!AH4762-'19_Расчет_аналитики'!AH4795/(1+'01_Вводные'!$B$58),0)</f>
        <v/>
      </c>
      <c r="AI4822">
        <f>IF('01_Вводные'!$B$234="Да",'19_Расчет_аналитики'!AH4822+'19_Расчет_аналитики'!AI4761+'19_Расчет_аналитики'!AI4762-'19_Расчет_аналитики'!AI4795/(1+'01_Вводные'!$B$58),0)</f>
        <v/>
      </c>
      <c r="AJ4822">
        <f>IF('01_Вводные'!$B$234="Да",'19_Расчет_аналитики'!AI4822+'19_Расчет_аналитики'!AJ4761+'19_Расчет_аналитики'!AJ4762-'19_Расчет_аналитики'!AJ4795/(1+'01_Вводные'!$B$58),0)</f>
        <v/>
      </c>
      <c r="AK4822">
        <f>IF('01_Вводные'!$B$234="Да",'19_Расчет_аналитики'!AJ4822+'19_Расчет_аналитики'!AK4761+'19_Расчет_аналитики'!AK4762-'19_Расчет_аналитики'!AK4795/(1+'01_Вводные'!$B$58),0)</f>
        <v/>
      </c>
      <c r="AL4822">
        <f>IF('01_Вводные'!$B$234="Да",'19_Расчет_аналитики'!AK4822+'19_Расчет_аналитики'!AL4761+'19_Расчет_аналитики'!AL4762-'19_Расчет_аналитики'!AL4795/(1+'01_Вводные'!$B$58),0)</f>
        <v/>
      </c>
      <c r="AM4822">
        <f>IF('01_Вводные'!$B$234="Да",'19_Расчет_аналитики'!AL4822+'19_Расчет_аналитики'!AM4761+'19_Расчет_аналитики'!AM4762-'19_Расчет_аналитики'!AM4795/(1+'01_Вводные'!$B$58),0)</f>
        <v/>
      </c>
      <c r="AN4822">
        <f>IF('01_Вводные'!$B$234="Да",'19_Расчет_аналитики'!AM4822+'19_Расчет_аналитики'!AN4761+'19_Расчет_аналитики'!AN4762-'19_Расчет_аналитики'!AN4795/(1+'01_Вводные'!$B$58),0)</f>
        <v/>
      </c>
      <c r="AO4822">
        <f>IF('01_Вводные'!$B$234="Да",'19_Расчет_аналитики'!AN4822+'19_Расчет_аналитики'!AO4761+'19_Расчет_аналитики'!AO4762-'19_Расчет_аналитики'!AO4795/(1+'01_Вводные'!$B$58),0)</f>
        <v/>
      </c>
      <c r="AP4822">
        <f>IF('01_Вводные'!$B$234="Да",'19_Расчет_аналитики'!AO4822+'19_Расчет_аналитики'!AP4761+'19_Расчет_аналитики'!AP4762-'19_Расчет_аналитики'!AP4795/(1+'01_Вводные'!$B$58),0)</f>
        <v/>
      </c>
      <c r="AQ4822">
        <f>IF('01_Вводные'!$B$234="Да",'19_Расчет_аналитики'!AP4822+'19_Расчет_аналитики'!AQ4761+'19_Расчет_аналитики'!AQ4762-'19_Расчет_аналитики'!AQ4795/(1+'01_Вводные'!$B$58),0)</f>
        <v/>
      </c>
      <c r="AR4822">
        <f>IF('01_Вводные'!$B$234="Да",'19_Расчет_аналитики'!AQ4822+'19_Расчет_аналитики'!AR4761+'19_Расчет_аналитики'!AR4762-'19_Расчет_аналитики'!AR4795/(1+'01_Вводные'!$B$58),0)</f>
        <v/>
      </c>
      <c r="AS4822">
        <f>IF('01_Вводные'!$B$234="Да",'19_Расчет_аналитики'!AR4822+'19_Расчет_аналитики'!AS4761+'19_Расчет_аналитики'!AS4762-'19_Расчет_аналитики'!AS4795/(1+'01_Вводные'!$B$58),0)</f>
        <v/>
      </c>
      <c r="AT4822">
        <f>IF('01_Вводные'!$B$234="Да",'19_Расчет_аналитики'!AS4822+'19_Расчет_аналитики'!AT4761+'19_Расчет_аналитики'!AT4762-'19_Расчет_аналитики'!AT4795/(1+'01_Вводные'!$B$58),0)</f>
        <v/>
      </c>
      <c r="AU4822">
        <f>IF('01_Вводные'!$B$234="Да",'19_Расчет_аналитики'!AT4822+'19_Расчет_аналитики'!AU4761+'19_Расчет_аналитики'!AU4762-'19_Расчет_аналитики'!AU4795/(1+'01_Вводные'!$B$58),0)</f>
        <v/>
      </c>
      <c r="AV4822">
        <f>IF('01_Вводные'!$B$234="Да",'19_Расчет_аналитики'!AU4822+'19_Расчет_аналитики'!AV4761+'19_Расчет_аналитики'!AV4762-'19_Расчет_аналитики'!AV4795/(1+'01_Вводные'!$B$58),0)</f>
        <v/>
      </c>
      <c r="AW4822">
        <f>IF('01_Вводные'!$B$234="Да",'19_Расчет_аналитики'!AV4822+'19_Расчет_аналитики'!AW4761+'19_Расчет_аналитики'!AW4762-'19_Расчет_аналитики'!AW4795/(1+'01_Вводные'!$B$58),0)</f>
        <v/>
      </c>
      <c r="AX4822">
        <f>IF('01_Вводные'!$B$234="Да",'19_Расчет_аналитики'!AW4822+'19_Расчет_аналитики'!AX4761+'19_Расчет_аналитики'!AX4762-'19_Расчет_аналитики'!AX4795/(1+'01_Вводные'!$B$58),0)</f>
        <v/>
      </c>
      <c r="AY4822">
        <f>IF('01_Вводные'!$B$234="Да",'19_Расчет_аналитики'!AX4822+'19_Расчет_аналитики'!AY4761+'19_Расчет_аналитики'!AY4762-'19_Расчет_аналитики'!AY4795/(1+'01_Вводные'!$B$58),0)</f>
        <v/>
      </c>
      <c r="AZ4822">
        <f>IF('01_Вводные'!$B$234="Да",'19_Расчет_аналитики'!AY4822+'19_Расчет_аналитики'!AZ4761+'19_Расчет_аналитики'!AZ4762-'19_Расчет_аналитики'!AZ4795/(1+'01_Вводные'!$B$58),0)</f>
        <v/>
      </c>
      <c r="BA4822">
        <f>IF('01_Вводные'!$B$234="Да",'19_Расчет_аналитики'!AZ4822+'19_Расчет_аналитики'!BA4761+'19_Расчет_аналитики'!BA4762-'19_Расчет_аналитики'!BA4795/(1+'01_Вводные'!$B$58),0)</f>
        <v/>
      </c>
      <c r="BB4822">
        <f>IF('01_Вводные'!$B$234="Да",'19_Расчет_аналитики'!BA4822+'19_Расчет_аналитики'!BB4761+'19_Расчет_аналитики'!BB4762-'19_Расчет_аналитики'!BB4795/(1+'01_Вводные'!$B$58),0)</f>
        <v/>
      </c>
      <c r="BC4822">
        <f>IF('01_Вводные'!$B$234="Да",'19_Расчет_аналитики'!BB4822+'19_Расчет_аналитики'!BC4761+'19_Расчет_аналитики'!BC4762-'19_Расчет_аналитики'!BC4795/(1+'01_Вводные'!$B$58),0)</f>
        <v/>
      </c>
      <c r="BD4822">
        <f>IF('01_Вводные'!$B$234="Да",'19_Расчет_аналитики'!BC4822+'19_Расчет_аналитики'!BD4761+'19_Расчет_аналитики'!BD4762-'19_Расчет_аналитики'!BD4795/(1+'01_Вводные'!$B$58),0)</f>
        <v/>
      </c>
      <c r="BE4822">
        <f>IF('01_Вводные'!$B$234="Да",'19_Расчет_аналитики'!BD4822+'19_Расчет_аналитики'!BE4761+'19_Расчет_аналитики'!BE4762-'19_Расчет_аналитики'!BE4795/(1+'01_Вводные'!$B$58),0)</f>
        <v/>
      </c>
      <c r="BF4822">
        <f>IF('01_Вводные'!$B$234="Да",'19_Расчет_аналитики'!BE4822+'19_Расчет_аналитики'!BF4761+'19_Расчет_аналитики'!BF4762-'19_Расчет_аналитики'!BF4795/(1+'01_Вводные'!$B$58),0)</f>
        <v/>
      </c>
      <c r="BG4822">
        <f>IF('01_Вводные'!$B$234="Да",'19_Расчет_аналитики'!BF4822+'19_Расчет_аналитики'!BG4761+'19_Расчет_аналитики'!BG4762-'19_Расчет_аналитики'!BG4795/(1+'01_Вводные'!$B$58),0)</f>
        <v/>
      </c>
      <c r="BH4822">
        <f>IF('01_Вводные'!$B$234="Да",'19_Расчет_аналитики'!BG4822+'19_Расчет_аналитики'!BH4761+'19_Расчет_аналитики'!BH4762-'19_Расчет_аналитики'!BH4795/(1+'01_Вводные'!$B$58),0)</f>
        <v/>
      </c>
      <c r="BI4822">
        <f>IF('01_Вводные'!$B$234="Да",'19_Расчет_аналитики'!BH4822+'19_Расчет_аналитики'!BI4761+'19_Расчет_аналитики'!BI4762-'19_Расчет_аналитики'!BI4795/(1+'01_Вводные'!$B$58),0)</f>
        <v/>
      </c>
    </row>
    <row r="4823">
      <c r="B4823">
        <f>IF('01_Вводные'!$B$234="Да",0+SUM('19_Расчет_аналитики'!B4779:B4784)+'19_Расчет_аналитики'!B4674-'19_Расчет_аналитики'!B4801,0)</f>
        <v/>
      </c>
      <c r="C4823">
        <f>IF('01_Вводные'!$B$234="Да",'19_Расчет_аналитики'!B4823+SUM('19_Расчет_аналитики'!C4779:C4784)+'19_Расчет_аналитики'!C4674-'19_Расчет_аналитики'!C4801,0)</f>
        <v/>
      </c>
      <c r="D4823">
        <f>IF('01_Вводные'!$B$234="Да",'19_Расчет_аналитики'!C4823+SUM('19_Расчет_аналитики'!D4779:D4784)+'19_Расчет_аналитики'!D4674-'19_Расчет_аналитики'!D4801,0)</f>
        <v/>
      </c>
      <c r="E4823">
        <f>IF('01_Вводные'!$B$234="Да",'19_Расчет_аналитики'!D4823+SUM('19_Расчет_аналитики'!E4779:E4784)+'19_Расчет_аналитики'!E4674-'19_Расчет_аналитики'!E4801,0)</f>
        <v/>
      </c>
      <c r="F4823">
        <f>IF('01_Вводные'!$B$234="Да",'19_Расчет_аналитики'!E4823+SUM('19_Расчет_аналитики'!F4779:F4784)+'19_Расчет_аналитики'!F4674-'19_Расчет_аналитики'!F4801,0)</f>
        <v/>
      </c>
      <c r="G4823">
        <f>IF('01_Вводные'!$B$234="Да",'19_Расчет_аналитики'!F4823+SUM('19_Расчет_аналитики'!G4779:G4784)+'19_Расчет_аналитики'!G4674-'19_Расчет_аналитики'!G4801,0)</f>
        <v/>
      </c>
      <c r="H4823">
        <f>IF('01_Вводные'!$B$234="Да",'19_Расчет_аналитики'!G4823+SUM('19_Расчет_аналитики'!H4779:H4784)+'19_Расчет_аналитики'!H4674-'19_Расчет_аналитики'!H4801,0)</f>
        <v/>
      </c>
      <c r="I4823">
        <f>IF('01_Вводные'!$B$234="Да",'19_Расчет_аналитики'!H4823+SUM('19_Расчет_аналитики'!I4779:I4784)+'19_Расчет_аналитики'!I4674-'19_Расчет_аналитики'!I4801,0)</f>
        <v/>
      </c>
      <c r="J4823">
        <f>IF('01_Вводные'!$B$234="Да",'19_Расчет_аналитики'!I4823+SUM('19_Расчет_аналитики'!J4779:J4784)+'19_Расчет_аналитики'!J4674-'19_Расчет_аналитики'!J4801,0)</f>
        <v/>
      </c>
      <c r="K4823">
        <f>IF('01_Вводные'!$B$234="Да",'19_Расчет_аналитики'!J4823+SUM('19_Расчет_аналитики'!K4779:K4784)+'19_Расчет_аналитики'!K4674-'19_Расчет_аналитики'!K4801,0)</f>
        <v/>
      </c>
      <c r="L4823">
        <f>IF('01_Вводные'!$B$234="Да",'19_Расчет_аналитики'!K4823+SUM('19_Расчет_аналитики'!L4779:L4784)+'19_Расчет_аналитики'!L4674-'19_Расчет_аналитики'!L4801,0)</f>
        <v/>
      </c>
      <c r="M4823">
        <f>IF('01_Вводные'!$B$234="Да",'19_Расчет_аналитики'!L4823+SUM('19_Расчет_аналитики'!M4779:M4784)+'19_Расчет_аналитики'!M4674-'19_Расчет_аналитики'!M4801,0)</f>
        <v/>
      </c>
      <c r="N4823">
        <f>IF('01_Вводные'!$B$234="Да",'19_Расчет_аналитики'!M4823+SUM('19_Расчет_аналитики'!N4779:N4784)+'19_Расчет_аналитики'!N4674-'19_Расчет_аналитики'!N4801,0)</f>
        <v/>
      </c>
      <c r="O4823">
        <f>IF('01_Вводные'!$B$234="Да",'19_Расчет_аналитики'!N4823+SUM('19_Расчет_аналитики'!O4779:O4784)+'19_Расчет_аналитики'!O4674-'19_Расчет_аналитики'!O4801,0)</f>
        <v/>
      </c>
      <c r="P4823">
        <f>IF('01_Вводные'!$B$234="Да",'19_Расчет_аналитики'!O4823+SUM('19_Расчет_аналитики'!P4779:P4784)+'19_Расчет_аналитики'!P4674-'19_Расчет_аналитики'!P4801,0)</f>
        <v/>
      </c>
      <c r="Q4823">
        <f>IF('01_Вводные'!$B$234="Да",'19_Расчет_аналитики'!P4823+SUM('19_Расчет_аналитики'!Q4779:Q4784)+'19_Расчет_аналитики'!Q4674-'19_Расчет_аналитики'!Q4801,0)</f>
        <v/>
      </c>
      <c r="R4823">
        <f>IF('01_Вводные'!$B$234="Да",'19_Расчет_аналитики'!Q4823+SUM('19_Расчет_аналитики'!R4779:R4784)+'19_Расчет_аналитики'!R4674-'19_Расчет_аналитики'!R4801,0)</f>
        <v/>
      </c>
      <c r="S4823">
        <f>IF('01_Вводные'!$B$234="Да",'19_Расчет_аналитики'!R4823+SUM('19_Расчет_аналитики'!S4779:S4784)+'19_Расчет_аналитики'!S4674-'19_Расчет_аналитики'!S4801,0)</f>
        <v/>
      </c>
      <c r="T4823">
        <f>IF('01_Вводные'!$B$234="Да",'19_Расчет_аналитики'!S4823+SUM('19_Расчет_аналитики'!T4779:T4784)+'19_Расчет_аналитики'!T4674-'19_Расчет_аналитики'!T4801,0)</f>
        <v/>
      </c>
      <c r="U4823">
        <f>IF('01_Вводные'!$B$234="Да",'19_Расчет_аналитики'!T4823+SUM('19_Расчет_аналитики'!U4779:U4784)+'19_Расчет_аналитики'!U4674-'19_Расчет_аналитики'!U4801,0)</f>
        <v/>
      </c>
      <c r="V4823">
        <f>IF('01_Вводные'!$B$234="Да",'19_Расчет_аналитики'!U4823+SUM('19_Расчет_аналитики'!V4779:V4784)+'19_Расчет_аналитики'!V4674-'19_Расчет_аналитики'!V4801,0)</f>
        <v/>
      </c>
      <c r="W4823">
        <f>IF('01_Вводные'!$B$234="Да",'19_Расчет_аналитики'!V4823+SUM('19_Расчет_аналитики'!W4779:W4784)+'19_Расчет_аналитики'!W4674-'19_Расчет_аналитики'!W4801,0)</f>
        <v/>
      </c>
      <c r="X4823">
        <f>IF('01_Вводные'!$B$234="Да",'19_Расчет_аналитики'!W4823+SUM('19_Расчет_аналитики'!X4779:X4784)+'19_Расчет_аналитики'!X4674-'19_Расчет_аналитики'!X4801,0)</f>
        <v/>
      </c>
      <c r="Y4823">
        <f>IF('01_Вводные'!$B$234="Да",'19_Расчет_аналитики'!X4823+SUM('19_Расчет_аналитики'!Y4779:Y4784)+'19_Расчет_аналитики'!Y4674-'19_Расчет_аналитики'!Y4801,0)</f>
        <v/>
      </c>
      <c r="Z4823">
        <f>IF('01_Вводные'!$B$234="Да",'19_Расчет_аналитики'!Y4823+SUM('19_Расчет_аналитики'!Z4779:Z4784)+'19_Расчет_аналитики'!Z4674-'19_Расчет_аналитики'!Z4801,0)</f>
        <v/>
      </c>
      <c r="AA4823">
        <f>IF('01_Вводные'!$B$234="Да",'19_Расчет_аналитики'!Z4823+SUM('19_Расчет_аналитики'!AA4779:AA4784)+'19_Расчет_аналитики'!AA4674-'19_Расчет_аналитики'!AA4801,0)</f>
        <v/>
      </c>
      <c r="AB4823">
        <f>IF('01_Вводные'!$B$234="Да",'19_Расчет_аналитики'!AA4823+SUM('19_Расчет_аналитики'!AB4779:AB4784)+'19_Расчет_аналитики'!AB4674-'19_Расчет_аналитики'!AB4801,0)</f>
        <v/>
      </c>
      <c r="AC4823">
        <f>IF('01_Вводные'!$B$234="Да",'19_Расчет_аналитики'!AB4823+SUM('19_Расчет_аналитики'!AC4779:AC4784)+'19_Расчет_аналитики'!AC4674-'19_Расчет_аналитики'!AC4801,0)</f>
        <v/>
      </c>
      <c r="AD4823">
        <f>IF('01_Вводные'!$B$234="Да",'19_Расчет_аналитики'!AC4823+SUM('19_Расчет_аналитики'!AD4779:AD4784)+'19_Расчет_аналитики'!AD4674-'19_Расчет_аналитики'!AD4801,0)</f>
        <v/>
      </c>
      <c r="AE4823">
        <f>IF('01_Вводные'!$B$234="Да",'19_Расчет_аналитики'!AD4823+SUM('19_Расчет_аналитики'!AE4779:AE4784)+'19_Расчет_аналитики'!AE4674-'19_Расчет_аналитики'!AE4801,0)</f>
        <v/>
      </c>
      <c r="AF4823">
        <f>IF('01_Вводные'!$B$234="Да",'19_Расчет_аналитики'!AE4823+SUM('19_Расчет_аналитики'!AF4779:AF4784)+'19_Расчет_аналитики'!AF4674-'19_Расчет_аналитики'!AF4801,0)</f>
        <v/>
      </c>
      <c r="AG4823">
        <f>IF('01_Вводные'!$B$234="Да",'19_Расчет_аналитики'!AF4823+SUM('19_Расчет_аналитики'!AG4779:AG4784)+'19_Расчет_аналитики'!AG4674-'19_Расчет_аналитики'!AG4801,0)</f>
        <v/>
      </c>
      <c r="AH4823">
        <f>IF('01_Вводные'!$B$234="Да",'19_Расчет_аналитики'!AG4823+SUM('19_Расчет_аналитики'!AH4779:AH4784)+'19_Расчет_аналитики'!AH4674-'19_Расчет_аналитики'!AH4801,0)</f>
        <v/>
      </c>
      <c r="AI4823">
        <f>IF('01_Вводные'!$B$234="Да",'19_Расчет_аналитики'!AH4823+SUM('19_Расчет_аналитики'!AI4779:AI4784)+'19_Расчет_аналитики'!AI4674-'19_Расчет_аналитики'!AI4801,0)</f>
        <v/>
      </c>
      <c r="AJ4823">
        <f>IF('01_Вводные'!$B$234="Да",'19_Расчет_аналитики'!AI4823+SUM('19_Расчет_аналитики'!AJ4779:AJ4784)+'19_Расчет_аналитики'!AJ4674-'19_Расчет_аналитики'!AJ4801,0)</f>
        <v/>
      </c>
      <c r="AK4823">
        <f>IF('01_Вводные'!$B$234="Да",'19_Расчет_аналитики'!AJ4823+SUM('19_Расчет_аналитики'!AK4779:AK4784)+'19_Расчет_аналитики'!AK4674-'19_Расчет_аналитики'!AK4801,0)</f>
        <v/>
      </c>
      <c r="AL4823">
        <f>IF('01_Вводные'!$B$234="Да",'19_Расчет_аналитики'!AK4823+SUM('19_Расчет_аналитики'!AL4779:AL4784)+'19_Расчет_аналитики'!AL4674-'19_Расчет_аналитики'!AL4801,0)</f>
        <v/>
      </c>
      <c r="AM4823">
        <f>IF('01_Вводные'!$B$234="Да",'19_Расчет_аналитики'!AL4823+SUM('19_Расчет_аналитики'!AM4779:AM4784)+'19_Расчет_аналитики'!AM4674-'19_Расчет_аналитики'!AM4801,0)</f>
        <v/>
      </c>
      <c r="AN4823">
        <f>IF('01_Вводные'!$B$234="Да",'19_Расчет_аналитики'!AM4823+SUM('19_Расчет_аналитики'!AN4779:AN4784)+'19_Расчет_аналитики'!AN4674-'19_Расчет_аналитики'!AN4801,0)</f>
        <v/>
      </c>
      <c r="AO4823">
        <f>IF('01_Вводные'!$B$234="Да",'19_Расчет_аналитики'!AN4823+SUM('19_Расчет_аналитики'!AO4779:AO4784)+'19_Расчет_аналитики'!AO4674-'19_Расчет_аналитики'!AO4801,0)</f>
        <v/>
      </c>
      <c r="AP4823">
        <f>IF('01_Вводные'!$B$234="Да",'19_Расчет_аналитики'!AO4823+SUM('19_Расчет_аналитики'!AP4779:AP4784)+'19_Расчет_аналитики'!AP4674-'19_Расчет_аналитики'!AP4801,0)</f>
        <v/>
      </c>
      <c r="AQ4823">
        <f>IF('01_Вводные'!$B$234="Да",'19_Расчет_аналитики'!AP4823+SUM('19_Расчет_аналитики'!AQ4779:AQ4784)+'19_Расчет_аналитики'!AQ4674-'19_Расчет_аналитики'!AQ4801,0)</f>
        <v/>
      </c>
      <c r="AR4823">
        <f>IF('01_Вводные'!$B$234="Да",'19_Расчет_аналитики'!AQ4823+SUM('19_Расчет_аналитики'!AR4779:AR4784)+'19_Расчет_аналитики'!AR4674-'19_Расчет_аналитики'!AR4801,0)</f>
        <v/>
      </c>
      <c r="AS4823">
        <f>IF('01_Вводные'!$B$234="Да",'19_Расчет_аналитики'!AR4823+SUM('19_Расчет_аналитики'!AS4779:AS4784)+'19_Расчет_аналитики'!AS4674-'19_Расчет_аналитики'!AS4801,0)</f>
        <v/>
      </c>
      <c r="AT4823">
        <f>IF('01_Вводные'!$B$234="Да",'19_Расчет_аналитики'!AS4823+SUM('19_Расчет_аналитики'!AT4779:AT4784)+'19_Расчет_аналитики'!AT4674-'19_Расчет_аналитики'!AT4801,0)</f>
        <v/>
      </c>
      <c r="AU4823">
        <f>IF('01_Вводные'!$B$234="Да",'19_Расчет_аналитики'!AT4823+SUM('19_Расчет_аналитики'!AU4779:AU4784)+'19_Расчет_аналитики'!AU4674-'19_Расчет_аналитики'!AU4801,0)</f>
        <v/>
      </c>
      <c r="AV4823">
        <f>IF('01_Вводные'!$B$234="Да",'19_Расчет_аналитики'!AU4823+SUM('19_Расчет_аналитики'!AV4779:AV4784)+'19_Расчет_аналитики'!AV4674-'19_Расчет_аналитики'!AV4801,0)</f>
        <v/>
      </c>
      <c r="AW4823">
        <f>IF('01_Вводные'!$B$234="Да",'19_Расчет_аналитики'!AV4823+SUM('19_Расчет_аналитики'!AW4779:AW4784)+'19_Расчет_аналитики'!AW4674-'19_Расчет_аналитики'!AW4801,0)</f>
        <v/>
      </c>
      <c r="AX4823">
        <f>IF('01_Вводные'!$B$234="Да",'19_Расчет_аналитики'!AW4823+SUM('19_Расчет_аналитики'!AX4779:AX4784)+'19_Расчет_аналитики'!AX4674-'19_Расчет_аналитики'!AX4801,0)</f>
        <v/>
      </c>
      <c r="AY4823">
        <f>IF('01_Вводные'!$B$234="Да",'19_Расчет_аналитики'!AX4823+SUM('19_Расчет_аналитики'!AY4779:AY4784)+'19_Расчет_аналитики'!AY4674-'19_Расчет_аналитики'!AY4801,0)</f>
        <v/>
      </c>
      <c r="AZ4823">
        <f>IF('01_Вводные'!$B$234="Да",'19_Расчет_аналитики'!AY4823+SUM('19_Расчет_аналитики'!AZ4779:AZ4784)+'19_Расчет_аналитики'!AZ4674-'19_Расчет_аналитики'!AZ4801,0)</f>
        <v/>
      </c>
      <c r="BA4823">
        <f>IF('01_Вводные'!$B$234="Да",'19_Расчет_аналитики'!AZ4823+SUM('19_Расчет_аналитики'!BA4779:BA4784)+'19_Расчет_аналитики'!BA4674-'19_Расчет_аналитики'!BA4801,0)</f>
        <v/>
      </c>
      <c r="BB4823">
        <f>IF('01_Вводные'!$B$234="Да",'19_Расчет_аналитики'!BA4823+SUM('19_Расчет_аналитики'!BB4779:BB4784)+'19_Расчет_аналитики'!BB4674-'19_Расчет_аналитики'!BB4801,0)</f>
        <v/>
      </c>
      <c r="BC4823">
        <f>IF('01_Вводные'!$B$234="Да",'19_Расчет_аналитики'!BB4823+SUM('19_Расчет_аналитики'!BC4779:BC4784)+'19_Расчет_аналитики'!BC4674-'19_Расчет_аналитики'!BC4801,0)</f>
        <v/>
      </c>
      <c r="BD4823">
        <f>IF('01_Вводные'!$B$234="Да",'19_Расчет_аналитики'!BC4823+SUM('19_Расчет_аналитики'!BD4779:BD4784)+'19_Расчет_аналитики'!BD4674-'19_Расчет_аналитики'!BD4801,0)</f>
        <v/>
      </c>
      <c r="BE4823">
        <f>IF('01_Вводные'!$B$234="Да",'19_Расчет_аналитики'!BD4823+SUM('19_Расчет_аналитики'!BE4779:BE4784)+'19_Расчет_аналитики'!BE4674-'19_Расчет_аналитики'!BE4801,0)</f>
        <v/>
      </c>
      <c r="BF4823">
        <f>IF('01_Вводные'!$B$234="Да",'19_Расчет_аналитики'!BE4823+SUM('19_Расчет_аналитики'!BF4779:BF4784)+'19_Расчет_аналитики'!BF4674-'19_Расчет_аналитики'!BF4801,0)</f>
        <v/>
      </c>
      <c r="BG4823">
        <f>IF('01_Вводные'!$B$234="Да",'19_Расчет_аналитики'!BF4823+SUM('19_Расчет_аналитики'!BG4779:BG4784)+'19_Расчет_аналитики'!BG4674-'19_Расчет_аналитики'!BG4801,0)</f>
        <v/>
      </c>
      <c r="BH4823">
        <f>IF('01_Вводные'!$B$234="Да",'19_Расчет_аналитики'!BG4823+SUM('19_Расчет_аналитики'!BH4779:BH4784)+'19_Расчет_аналитики'!BH4674-'19_Расчет_аналитики'!BH4801,0)</f>
        <v/>
      </c>
      <c r="BI4823">
        <f>IF('01_Вводные'!$B$234="Да",'19_Расчет_аналитики'!BH4823+SUM('19_Расчет_аналитики'!BI4779:BI4784)+'19_Расчет_аналитики'!BI4674-'19_Расчет_аналитики'!BI4801,0)</f>
        <v/>
      </c>
    </row>
    <row r="4824"/>
    <row r="4825"/>
    <row r="4826">
      <c r="B4826">
        <f>IF('01_Вводные'!$B$234="Да",'19_Расчет_аналитики'!B4675-'07_Мерч'!B22,0)</f>
        <v/>
      </c>
      <c r="C4826">
        <f>IF('01_Вводные'!$B$234="Да",'19_Расчет_аналитики'!C4675-'19_Расчет_аналитики'!C4671,0)</f>
        <v/>
      </c>
      <c r="D4826">
        <f>IF('01_Вводные'!$B$234="Да",'19_Расчет_аналитики'!D4675-'19_Расчет_аналитики'!D4671,0)</f>
        <v/>
      </c>
      <c r="E4826">
        <f>IF('01_Вводные'!$B$234="Да",'19_Расчет_аналитики'!E4675-'19_Расчет_аналитики'!E4671,0)</f>
        <v/>
      </c>
      <c r="F4826">
        <f>IF('01_Вводные'!$B$234="Да",'19_Расчет_аналитики'!F4675-'19_Расчет_аналитики'!F4671,0)</f>
        <v/>
      </c>
      <c r="G4826">
        <f>IF('01_Вводные'!$B$234="Да",'19_Расчет_аналитики'!G4675-'19_Расчет_аналитики'!G4671,0)</f>
        <v/>
      </c>
      <c r="H4826">
        <f>IF('01_Вводные'!$B$234="Да",'19_Расчет_аналитики'!H4675-'19_Расчет_аналитики'!H4671,0)</f>
        <v/>
      </c>
      <c r="I4826">
        <f>IF('01_Вводные'!$B$234="Да",'19_Расчет_аналитики'!I4675-'19_Расчет_аналитики'!I4671,0)</f>
        <v/>
      </c>
      <c r="J4826">
        <f>IF('01_Вводные'!$B$234="Да",'19_Расчет_аналитики'!J4675-'19_Расчет_аналитики'!J4671,0)</f>
        <v/>
      </c>
      <c r="K4826">
        <f>IF('01_Вводные'!$B$234="Да",'19_Расчет_аналитики'!K4675-'19_Расчет_аналитики'!K4671,0)</f>
        <v/>
      </c>
      <c r="L4826">
        <f>IF('01_Вводные'!$B$234="Да",'19_Расчет_аналитики'!L4675-'19_Расчет_аналитики'!L4671,0)</f>
        <v/>
      </c>
      <c r="M4826">
        <f>IF('01_Вводные'!$B$234="Да",'19_Расчет_аналитики'!M4675-'19_Расчет_аналитики'!M4671,0)</f>
        <v/>
      </c>
      <c r="N4826">
        <f>IF('01_Вводные'!$B$234="Да",'19_Расчет_аналитики'!N4675-'19_Расчет_аналитики'!N4671,0)</f>
        <v/>
      </c>
      <c r="O4826">
        <f>IF('01_Вводные'!$B$234="Да",'19_Расчет_аналитики'!O4675-'19_Расчет_аналитики'!O4671,0)</f>
        <v/>
      </c>
      <c r="P4826">
        <f>IF('01_Вводные'!$B$234="Да",'19_Расчет_аналитики'!P4675-'19_Расчет_аналитики'!P4671,0)</f>
        <v/>
      </c>
      <c r="Q4826">
        <f>IF('01_Вводные'!$B$234="Да",'19_Расчет_аналитики'!Q4675-'19_Расчет_аналитики'!Q4671,0)</f>
        <v/>
      </c>
      <c r="R4826">
        <f>IF('01_Вводные'!$B$234="Да",'19_Расчет_аналитики'!R4675-'19_Расчет_аналитики'!R4671,0)</f>
        <v/>
      </c>
      <c r="S4826">
        <f>IF('01_Вводные'!$B$234="Да",'19_Расчет_аналитики'!S4675-'19_Расчет_аналитики'!S4671,0)</f>
        <v/>
      </c>
      <c r="T4826">
        <f>IF('01_Вводные'!$B$234="Да",'19_Расчет_аналитики'!T4675-'19_Расчет_аналитики'!T4671,0)</f>
        <v/>
      </c>
      <c r="U4826">
        <f>IF('01_Вводные'!$B$234="Да",'19_Расчет_аналитики'!U4675-'19_Расчет_аналитики'!U4671,0)</f>
        <v/>
      </c>
      <c r="V4826">
        <f>IF('01_Вводные'!$B$234="Да",'19_Расчет_аналитики'!V4675-'19_Расчет_аналитики'!V4671,0)</f>
        <v/>
      </c>
      <c r="W4826">
        <f>IF('01_Вводные'!$B$234="Да",'19_Расчет_аналитики'!W4675-'19_Расчет_аналитики'!W4671,0)</f>
        <v/>
      </c>
      <c r="X4826">
        <f>IF('01_Вводные'!$B$234="Да",'19_Расчет_аналитики'!X4675-'19_Расчет_аналитики'!X4671,0)</f>
        <v/>
      </c>
      <c r="Y4826">
        <f>IF('01_Вводные'!$B$234="Да",'19_Расчет_аналитики'!Y4675-'19_Расчет_аналитики'!Y4671,0)</f>
        <v/>
      </c>
      <c r="Z4826">
        <f>IF('01_Вводные'!$B$234="Да",'19_Расчет_аналитики'!Z4675-'19_Расчет_аналитики'!Z4671,0)</f>
        <v/>
      </c>
      <c r="AA4826">
        <f>IF('01_Вводные'!$B$234="Да",'19_Расчет_аналитики'!AA4675-'19_Расчет_аналитики'!AA4671,0)</f>
        <v/>
      </c>
      <c r="AB4826">
        <f>IF('01_Вводные'!$B$234="Да",'19_Расчет_аналитики'!AB4675-'19_Расчет_аналитики'!AB4671,0)</f>
        <v/>
      </c>
      <c r="AC4826">
        <f>IF('01_Вводные'!$B$234="Да",'19_Расчет_аналитики'!AC4675-'19_Расчет_аналитики'!AC4671,0)</f>
        <v/>
      </c>
      <c r="AD4826">
        <f>IF('01_Вводные'!$B$234="Да",'19_Расчет_аналитики'!AD4675-'19_Расчет_аналитики'!AD4671,0)</f>
        <v/>
      </c>
      <c r="AE4826">
        <f>IF('01_Вводные'!$B$234="Да",'19_Расчет_аналитики'!AE4675-'19_Расчет_аналитики'!AE4671,0)</f>
        <v/>
      </c>
      <c r="AF4826">
        <f>IF('01_Вводные'!$B$234="Да",'19_Расчет_аналитики'!AF4675-'19_Расчет_аналитики'!AF4671,0)</f>
        <v/>
      </c>
      <c r="AG4826">
        <f>IF('01_Вводные'!$B$234="Да",'19_Расчет_аналитики'!AG4675-'19_Расчет_аналитики'!AG4671,0)</f>
        <v/>
      </c>
      <c r="AH4826">
        <f>IF('01_Вводные'!$B$234="Да",'19_Расчет_аналитики'!AH4675-'19_Расчет_аналитики'!AH4671,0)</f>
        <v/>
      </c>
      <c r="AI4826">
        <f>IF('01_Вводные'!$B$234="Да",'19_Расчет_аналитики'!AI4675-'19_Расчет_аналитики'!AI4671,0)</f>
        <v/>
      </c>
      <c r="AJ4826">
        <f>IF('01_Вводные'!$B$234="Да",'19_Расчет_аналитики'!AJ4675-'19_Расчет_аналитики'!AJ4671,0)</f>
        <v/>
      </c>
      <c r="AK4826">
        <f>IF('01_Вводные'!$B$234="Да",'19_Расчет_аналитики'!AK4675-'19_Расчет_аналитики'!AK4671,0)</f>
        <v/>
      </c>
      <c r="AL4826">
        <f>IF('01_Вводные'!$B$234="Да",'19_Расчет_аналитики'!AL4675-'19_Расчет_аналитики'!AL4671,0)</f>
        <v/>
      </c>
      <c r="AM4826">
        <f>IF('01_Вводные'!$B$234="Да",'19_Расчет_аналитики'!AM4675-'19_Расчет_аналитики'!AM4671,0)</f>
        <v/>
      </c>
      <c r="AN4826">
        <f>IF('01_Вводные'!$B$234="Да",'19_Расчет_аналитики'!AN4675-'19_Расчет_аналитики'!AN4671,0)</f>
        <v/>
      </c>
      <c r="AO4826">
        <f>IF('01_Вводные'!$B$234="Да",'19_Расчет_аналитики'!AO4675-'19_Расчет_аналитики'!AO4671,0)</f>
        <v/>
      </c>
      <c r="AP4826">
        <f>IF('01_Вводные'!$B$234="Да",'19_Расчет_аналитики'!AP4675-'19_Расчет_аналитики'!AP4671,0)</f>
        <v/>
      </c>
      <c r="AQ4826">
        <f>IF('01_Вводные'!$B$234="Да",'19_Расчет_аналитики'!AQ4675-'19_Расчет_аналитики'!AQ4671,0)</f>
        <v/>
      </c>
      <c r="AR4826">
        <f>IF('01_Вводные'!$B$234="Да",'19_Расчет_аналитики'!AR4675-'19_Расчет_аналитики'!AR4671,0)</f>
        <v/>
      </c>
      <c r="AS4826">
        <f>IF('01_Вводные'!$B$234="Да",'19_Расчет_аналитики'!AS4675-'19_Расчет_аналитики'!AS4671,0)</f>
        <v/>
      </c>
      <c r="AT4826">
        <f>IF('01_Вводные'!$B$234="Да",'19_Расчет_аналитики'!AT4675-'19_Расчет_аналитики'!AT4671,0)</f>
        <v/>
      </c>
      <c r="AU4826">
        <f>IF('01_Вводные'!$B$234="Да",'19_Расчет_аналитики'!AU4675-'19_Расчет_аналитики'!AU4671,0)</f>
        <v/>
      </c>
      <c r="AV4826">
        <f>IF('01_Вводные'!$B$234="Да",'19_Расчет_аналитики'!AV4675-'19_Расчет_аналитики'!AV4671,0)</f>
        <v/>
      </c>
      <c r="AW4826">
        <f>IF('01_Вводные'!$B$234="Да",'19_Расчет_аналитики'!AW4675-'19_Расчет_аналитики'!AW4671,0)</f>
        <v/>
      </c>
      <c r="AX4826">
        <f>IF('01_Вводные'!$B$234="Да",'19_Расчет_аналитики'!AX4675-'19_Расчет_аналитики'!AX4671,0)</f>
        <v/>
      </c>
      <c r="AY4826">
        <f>IF('01_Вводные'!$B$234="Да",'19_Расчет_аналитики'!AY4675-'19_Расчет_аналитики'!AY4671,0)</f>
        <v/>
      </c>
      <c r="AZ4826">
        <f>IF('01_Вводные'!$B$234="Да",'19_Расчет_аналитики'!AZ4675-'19_Расчет_аналитики'!AZ4671,0)</f>
        <v/>
      </c>
      <c r="BA4826">
        <f>IF('01_Вводные'!$B$234="Да",'19_Расчет_аналитики'!BA4675-'19_Расчет_аналитики'!BA4671,0)</f>
        <v/>
      </c>
      <c r="BB4826">
        <f>IF('01_Вводные'!$B$234="Да",'19_Расчет_аналитики'!BB4675-'19_Расчет_аналитики'!BB4671,0)</f>
        <v/>
      </c>
      <c r="BC4826">
        <f>IF('01_Вводные'!$B$234="Да",'19_Расчет_аналитики'!BC4675-'19_Расчет_аналитики'!BC4671,0)</f>
        <v/>
      </c>
      <c r="BD4826">
        <f>IF('01_Вводные'!$B$234="Да",'19_Расчет_аналитики'!BD4675-'19_Расчет_аналитики'!BD4671,0)</f>
        <v/>
      </c>
      <c r="BE4826">
        <f>IF('01_Вводные'!$B$234="Да",'19_Расчет_аналитики'!BE4675-'19_Расчет_аналитики'!BE4671,0)</f>
        <v/>
      </c>
      <c r="BF4826">
        <f>IF('01_Вводные'!$B$234="Да",'19_Расчет_аналитики'!BF4675-'19_Расчет_аналитики'!BF4671,0)</f>
        <v/>
      </c>
      <c r="BG4826">
        <f>IF('01_Вводные'!$B$234="Да",'19_Расчет_аналитики'!BG4675-'19_Расчет_аналитики'!BG4671,0)</f>
        <v/>
      </c>
      <c r="BH4826">
        <f>IF('01_Вводные'!$B$234="Да",'19_Расчет_аналитики'!BH4675-'19_Расчет_аналитики'!BH4671,0)</f>
        <v/>
      </c>
      <c r="BI4826">
        <f>IF('01_Вводные'!$B$234="Да",'19_Расчет_аналитики'!BI4675-'19_Расчет_аналитики'!BI4671,0)</f>
        <v/>
      </c>
    </row>
    <row r="4827">
      <c r="B4827">
        <f>IF('01_Вводные'!$B$234="Да",'19_Расчет_аналитики'!B4786-'19_Расчет_аналитики'!B4788-('19_Расчет_аналитики'!B4822-0)+('19_Расчет_аналитики'!B4823-0)+('02_Модель'!B82-0)-('02_Модель'!B83-0)-'19_Расчет_аналитики'!B4826-'19_Расчет_аналитики'!B4812+('19_Расчет_аналитики'!B4830-0)-'19_Расчет_аналитики'!B4799,0)</f>
        <v/>
      </c>
      <c r="C4827">
        <f>IF('01_Вводные'!$B$234="Да",'19_Расчет_аналитики'!C4786-'19_Расчет_аналитики'!C4788-('19_Расчет_аналитики'!C4822-'19_Расчет_аналитики'!B4822)+('19_Расчет_аналитики'!C4823-'19_Расчет_аналитики'!B4823)+('02_Модель'!C82-'02_Модель'!B82)-('02_Модель'!C83-'02_Модель'!B83)-'19_Расчет_аналитики'!C4826-'19_Расчет_аналитики'!C4812+('19_Расчет_аналитики'!C4830-'19_Расчет_аналитики'!B4830)-'19_Расчет_аналитики'!C4799,0)</f>
        <v/>
      </c>
      <c r="D4827">
        <f>IF('01_Вводные'!$B$234="Да",'19_Расчет_аналитики'!D4786-'19_Расчет_аналитики'!D4788-('19_Расчет_аналитики'!D4822-'19_Расчет_аналитики'!C4822)+('19_Расчет_аналитики'!D4823-'19_Расчет_аналитики'!C4823)+('02_Модель'!D82-'02_Модель'!C82)-('02_Модель'!D83-'02_Модель'!C83)-'19_Расчет_аналитики'!D4826-'19_Расчет_аналитики'!D4812+('19_Расчет_аналитики'!D4830-'19_Расчет_аналитики'!C4830)-'19_Расчет_аналитики'!D4799,0)</f>
        <v/>
      </c>
      <c r="E4827">
        <f>IF('01_Вводные'!$B$234="Да",'19_Расчет_аналитики'!E4786-'19_Расчет_аналитики'!E4788-('19_Расчет_аналитики'!E4822-'19_Расчет_аналитики'!D4822)+('19_Расчет_аналитики'!E4823-'19_Расчет_аналитики'!D4823)+('02_Модель'!E82-'02_Модель'!D82)-('02_Модель'!E83-'02_Модель'!D83)-'19_Расчет_аналитики'!E4826-'19_Расчет_аналитики'!E4812+('19_Расчет_аналитики'!E4830-'19_Расчет_аналитики'!D4830)-'19_Расчет_аналитики'!E4799,0)</f>
        <v/>
      </c>
      <c r="F4827">
        <f>IF('01_Вводные'!$B$234="Да",'19_Расчет_аналитики'!F4786-'19_Расчет_аналитики'!F4788-('19_Расчет_аналитики'!F4822-'19_Расчет_аналитики'!E4822)+('19_Расчет_аналитики'!F4823-'19_Расчет_аналитики'!E4823)+('02_Модель'!F82-'02_Модель'!E82)-('02_Модель'!F83-'02_Модель'!E83)-'19_Расчет_аналитики'!F4826-'19_Расчет_аналитики'!F4812+('19_Расчет_аналитики'!F4830-'19_Расчет_аналитики'!E4830)-'19_Расчет_аналитики'!F4799,0)</f>
        <v/>
      </c>
      <c r="G4827">
        <f>IF('01_Вводные'!$B$234="Да",'19_Расчет_аналитики'!G4786-'19_Расчет_аналитики'!G4788-('19_Расчет_аналитики'!G4822-'19_Расчет_аналитики'!F4822)+('19_Расчет_аналитики'!G4823-'19_Расчет_аналитики'!F4823)+('02_Модель'!G82-'02_Модель'!F82)-('02_Модель'!G83-'02_Модель'!F83)-'19_Расчет_аналитики'!G4826-'19_Расчет_аналитики'!G4812+('19_Расчет_аналитики'!G4830-'19_Расчет_аналитики'!F4830)-'19_Расчет_аналитики'!G4799,0)</f>
        <v/>
      </c>
      <c r="H4827">
        <f>IF('01_Вводные'!$B$234="Да",'19_Расчет_аналитики'!H4786-'19_Расчет_аналитики'!H4788-('19_Расчет_аналитики'!H4822-'19_Расчет_аналитики'!G4822)+('19_Расчет_аналитики'!H4823-'19_Расчет_аналитики'!G4823)+('02_Модель'!H82-'02_Модель'!G82)-('02_Модель'!H83-'02_Модель'!G83)-'19_Расчет_аналитики'!H4826-'19_Расчет_аналитики'!H4812+('19_Расчет_аналитики'!H4830-'19_Расчет_аналитики'!G4830)-'19_Расчет_аналитики'!H4799,0)</f>
        <v/>
      </c>
      <c r="I4827">
        <f>IF('01_Вводные'!$B$234="Да",'19_Расчет_аналитики'!I4786-'19_Расчет_аналитики'!I4788-('19_Расчет_аналитики'!I4822-'19_Расчет_аналитики'!H4822)+('19_Расчет_аналитики'!I4823-'19_Расчет_аналитики'!H4823)+('02_Модель'!I82-'02_Модель'!H82)-('02_Модель'!I83-'02_Модель'!H83)-'19_Расчет_аналитики'!I4826-'19_Расчет_аналитики'!I4812+('19_Расчет_аналитики'!I4830-'19_Расчет_аналитики'!H4830)-'19_Расчет_аналитики'!I4799,0)</f>
        <v/>
      </c>
      <c r="J4827">
        <f>IF('01_Вводные'!$B$234="Да",'19_Расчет_аналитики'!J4786-'19_Расчет_аналитики'!J4788-('19_Расчет_аналитики'!J4822-'19_Расчет_аналитики'!I4822)+('19_Расчет_аналитики'!J4823-'19_Расчет_аналитики'!I4823)+('02_Модель'!J82-'02_Модель'!I82)-('02_Модель'!J83-'02_Модель'!I83)-'19_Расчет_аналитики'!J4826-'19_Расчет_аналитики'!J4812+('19_Расчет_аналитики'!J4830-'19_Расчет_аналитики'!I4830)-'19_Расчет_аналитики'!J4799,0)</f>
        <v/>
      </c>
      <c r="K4827">
        <f>IF('01_Вводные'!$B$234="Да",'19_Расчет_аналитики'!K4786-'19_Расчет_аналитики'!K4788-('19_Расчет_аналитики'!K4822-'19_Расчет_аналитики'!J4822)+('19_Расчет_аналитики'!K4823-'19_Расчет_аналитики'!J4823)+('02_Модель'!K82-'02_Модель'!J82)-('02_Модель'!K83-'02_Модель'!J83)-'19_Расчет_аналитики'!K4826-'19_Расчет_аналитики'!K4812+('19_Расчет_аналитики'!K4830-'19_Расчет_аналитики'!J4830)-'19_Расчет_аналитики'!K4799,0)</f>
        <v/>
      </c>
      <c r="L4827">
        <f>IF('01_Вводные'!$B$234="Да",'19_Расчет_аналитики'!L4786-'19_Расчет_аналитики'!L4788-('19_Расчет_аналитики'!L4822-'19_Расчет_аналитики'!K4822)+('19_Расчет_аналитики'!L4823-'19_Расчет_аналитики'!K4823)+('02_Модель'!L82-'02_Модель'!K82)-('02_Модель'!L83-'02_Модель'!K83)-'19_Расчет_аналитики'!L4826-'19_Расчет_аналитики'!L4812+('19_Расчет_аналитики'!L4830-'19_Расчет_аналитики'!K4830)-'19_Расчет_аналитики'!L4799,0)</f>
        <v/>
      </c>
      <c r="M4827">
        <f>IF('01_Вводные'!$B$234="Да",'19_Расчет_аналитики'!M4786-'19_Расчет_аналитики'!M4788-('19_Расчет_аналитики'!M4822-'19_Расчет_аналитики'!L4822)+('19_Расчет_аналитики'!M4823-'19_Расчет_аналитики'!L4823)+('02_Модель'!M82-'02_Модель'!L82)-('02_Модель'!M83-'02_Модель'!L83)-'19_Расчет_аналитики'!M4826-'19_Расчет_аналитики'!M4812+('19_Расчет_аналитики'!M4830-'19_Расчет_аналитики'!L4830)-'19_Расчет_аналитики'!M4799,0)</f>
        <v/>
      </c>
      <c r="N4827">
        <f>IF('01_Вводные'!$B$234="Да",'19_Расчет_аналитики'!N4786-'19_Расчет_аналитики'!N4788-('19_Расчет_аналитики'!N4822-'19_Расчет_аналитики'!M4822)+('19_Расчет_аналитики'!N4823-'19_Расчет_аналитики'!M4823)+('02_Модель'!N82-'02_Модель'!M82)-('02_Модель'!N83-'02_Модель'!M83)-'19_Расчет_аналитики'!N4826-'19_Расчет_аналитики'!N4812+('19_Расчет_аналитики'!N4830-'19_Расчет_аналитики'!M4830)-'19_Расчет_аналитики'!N4799,0)</f>
        <v/>
      </c>
      <c r="O4827">
        <f>IF('01_Вводные'!$B$234="Да",'19_Расчет_аналитики'!O4786-'19_Расчет_аналитики'!O4788-('19_Расчет_аналитики'!O4822-'19_Расчет_аналитики'!N4822)+('19_Расчет_аналитики'!O4823-'19_Расчет_аналитики'!N4823)+('02_Модель'!O82-'02_Модель'!N82)-('02_Модель'!O83-'02_Модель'!N83)-'19_Расчет_аналитики'!O4826-'19_Расчет_аналитики'!O4812+('19_Расчет_аналитики'!O4830-'19_Расчет_аналитики'!N4830)-'19_Расчет_аналитики'!O4799,0)</f>
        <v/>
      </c>
      <c r="P4827">
        <f>IF('01_Вводные'!$B$234="Да",'19_Расчет_аналитики'!P4786-'19_Расчет_аналитики'!P4788-('19_Расчет_аналитики'!P4822-'19_Расчет_аналитики'!O4822)+('19_Расчет_аналитики'!P4823-'19_Расчет_аналитики'!O4823)+('02_Модель'!P82-'02_Модель'!O82)-('02_Модель'!P83-'02_Модель'!O83)-'19_Расчет_аналитики'!P4826-'19_Расчет_аналитики'!P4812+('19_Расчет_аналитики'!P4830-'19_Расчет_аналитики'!O4830)-'19_Расчет_аналитики'!P4799,0)</f>
        <v/>
      </c>
      <c r="Q4827">
        <f>IF('01_Вводные'!$B$234="Да",'19_Расчет_аналитики'!Q4786-'19_Расчет_аналитики'!Q4788-('19_Расчет_аналитики'!Q4822-'19_Расчет_аналитики'!P4822)+('19_Расчет_аналитики'!Q4823-'19_Расчет_аналитики'!P4823)+('02_Модель'!Q82-'02_Модель'!P82)-('02_Модель'!Q83-'02_Модель'!P83)-'19_Расчет_аналитики'!Q4826-'19_Расчет_аналитики'!Q4812+('19_Расчет_аналитики'!Q4830-'19_Расчет_аналитики'!P4830)-'19_Расчет_аналитики'!Q4799,0)</f>
        <v/>
      </c>
      <c r="R4827">
        <f>IF('01_Вводные'!$B$234="Да",'19_Расчет_аналитики'!R4786-'19_Расчет_аналитики'!R4788-('19_Расчет_аналитики'!R4822-'19_Расчет_аналитики'!Q4822)+('19_Расчет_аналитики'!R4823-'19_Расчет_аналитики'!Q4823)+('02_Модель'!R82-'02_Модель'!Q82)-('02_Модель'!R83-'02_Модель'!Q83)-'19_Расчет_аналитики'!R4826-'19_Расчет_аналитики'!R4812+('19_Расчет_аналитики'!R4830-'19_Расчет_аналитики'!Q4830)-'19_Расчет_аналитики'!R4799,0)</f>
        <v/>
      </c>
      <c r="S4827">
        <f>IF('01_Вводные'!$B$234="Да",'19_Расчет_аналитики'!S4786-'19_Расчет_аналитики'!S4788-('19_Расчет_аналитики'!S4822-'19_Расчет_аналитики'!R4822)+('19_Расчет_аналитики'!S4823-'19_Расчет_аналитики'!R4823)+('02_Модель'!S82-'02_Модель'!R82)-('02_Модель'!S83-'02_Модель'!R83)-'19_Расчет_аналитики'!S4826-'19_Расчет_аналитики'!S4812+('19_Расчет_аналитики'!S4830-'19_Расчет_аналитики'!R4830)-'19_Расчет_аналитики'!S4799,0)</f>
        <v/>
      </c>
      <c r="T4827">
        <f>IF('01_Вводные'!$B$234="Да",'19_Расчет_аналитики'!T4786-'19_Расчет_аналитики'!T4788-('19_Расчет_аналитики'!T4822-'19_Расчет_аналитики'!S4822)+('19_Расчет_аналитики'!T4823-'19_Расчет_аналитики'!S4823)+('02_Модель'!T82-'02_Модель'!S82)-('02_Модель'!T83-'02_Модель'!S83)-'19_Расчет_аналитики'!T4826-'19_Расчет_аналитики'!T4812+('19_Расчет_аналитики'!T4830-'19_Расчет_аналитики'!S4830)-'19_Расчет_аналитики'!T4799,0)</f>
        <v/>
      </c>
      <c r="U4827">
        <f>IF('01_Вводные'!$B$234="Да",'19_Расчет_аналитики'!U4786-'19_Расчет_аналитики'!U4788-('19_Расчет_аналитики'!U4822-'19_Расчет_аналитики'!T4822)+('19_Расчет_аналитики'!U4823-'19_Расчет_аналитики'!T4823)+('02_Модель'!U82-'02_Модель'!T82)-('02_Модель'!U83-'02_Модель'!T83)-'19_Расчет_аналитики'!U4826-'19_Расчет_аналитики'!U4812+('19_Расчет_аналитики'!U4830-'19_Расчет_аналитики'!T4830)-'19_Расчет_аналитики'!U4799,0)</f>
        <v/>
      </c>
      <c r="V4827">
        <f>IF('01_Вводные'!$B$234="Да",'19_Расчет_аналитики'!V4786-'19_Расчет_аналитики'!V4788-('19_Расчет_аналитики'!V4822-'19_Расчет_аналитики'!U4822)+('19_Расчет_аналитики'!V4823-'19_Расчет_аналитики'!U4823)+('02_Модель'!V82-'02_Модель'!U82)-('02_Модель'!V83-'02_Модель'!U83)-'19_Расчет_аналитики'!V4826-'19_Расчет_аналитики'!V4812+('19_Расчет_аналитики'!V4830-'19_Расчет_аналитики'!U4830)-'19_Расчет_аналитики'!V4799,0)</f>
        <v/>
      </c>
      <c r="W4827">
        <f>IF('01_Вводные'!$B$234="Да",'19_Расчет_аналитики'!W4786-'19_Расчет_аналитики'!W4788-('19_Расчет_аналитики'!W4822-'19_Расчет_аналитики'!V4822)+('19_Расчет_аналитики'!W4823-'19_Расчет_аналитики'!V4823)+('02_Модель'!W82-'02_Модель'!V82)-('02_Модель'!W83-'02_Модель'!V83)-'19_Расчет_аналитики'!W4826-'19_Расчет_аналитики'!W4812+('19_Расчет_аналитики'!W4830-'19_Расчет_аналитики'!V4830)-'19_Расчет_аналитики'!W4799,0)</f>
        <v/>
      </c>
      <c r="X4827">
        <f>IF('01_Вводные'!$B$234="Да",'19_Расчет_аналитики'!X4786-'19_Расчет_аналитики'!X4788-('19_Расчет_аналитики'!X4822-'19_Расчет_аналитики'!W4822)+('19_Расчет_аналитики'!X4823-'19_Расчет_аналитики'!W4823)+('02_Модель'!X82-'02_Модель'!W82)-('02_Модель'!X83-'02_Модель'!W83)-'19_Расчет_аналитики'!X4826-'19_Расчет_аналитики'!X4812+('19_Расчет_аналитики'!X4830-'19_Расчет_аналитики'!W4830)-'19_Расчет_аналитики'!X4799,0)</f>
        <v/>
      </c>
      <c r="Y4827">
        <f>IF('01_Вводные'!$B$234="Да",'19_Расчет_аналитики'!Y4786-'19_Расчет_аналитики'!Y4788-('19_Расчет_аналитики'!Y4822-'19_Расчет_аналитики'!X4822)+('19_Расчет_аналитики'!Y4823-'19_Расчет_аналитики'!X4823)+('02_Модель'!Y82-'02_Модель'!X82)-('02_Модель'!Y83-'02_Модель'!X83)-'19_Расчет_аналитики'!Y4826-'19_Расчет_аналитики'!Y4812+('19_Расчет_аналитики'!Y4830-'19_Расчет_аналитики'!X4830)-'19_Расчет_аналитики'!Y4799,0)</f>
        <v/>
      </c>
      <c r="Z4827">
        <f>IF('01_Вводные'!$B$234="Да",'19_Расчет_аналитики'!Z4786-'19_Расчет_аналитики'!Z4788-('19_Расчет_аналитики'!Z4822-'19_Расчет_аналитики'!Y4822)+('19_Расчет_аналитики'!Z4823-'19_Расчет_аналитики'!Y4823)+('02_Модель'!Z82-'02_Модель'!Y82)-('02_Модель'!Z83-'02_Модель'!Y83)-'19_Расчет_аналитики'!Z4826-'19_Расчет_аналитики'!Z4812+('19_Расчет_аналитики'!Z4830-'19_Расчет_аналитики'!Y4830)-'19_Расчет_аналитики'!Z4799,0)</f>
        <v/>
      </c>
      <c r="AA4827">
        <f>IF('01_Вводные'!$B$234="Да",'19_Расчет_аналитики'!AA4786-'19_Расчет_аналитики'!AA4788-('19_Расчет_аналитики'!AA4822-'19_Расчет_аналитики'!Z4822)+('19_Расчет_аналитики'!AA4823-'19_Расчет_аналитики'!Z4823)+('02_Модель'!AA82-'02_Модель'!Z82)-('02_Модель'!AA83-'02_Модель'!Z83)-'19_Расчет_аналитики'!AA4826-'19_Расчет_аналитики'!AA4812+('19_Расчет_аналитики'!AA4830-'19_Расчет_аналитики'!Z4830)-'19_Расчет_аналитики'!AA4799,0)</f>
        <v/>
      </c>
      <c r="AB4827">
        <f>IF('01_Вводные'!$B$234="Да",'19_Расчет_аналитики'!AB4786-'19_Расчет_аналитики'!AB4788-('19_Расчет_аналитики'!AB4822-'19_Расчет_аналитики'!AA4822)+('19_Расчет_аналитики'!AB4823-'19_Расчет_аналитики'!AA4823)+('02_Модель'!AB82-'02_Модель'!AA82)-('02_Модель'!AB83-'02_Модель'!AA83)-'19_Расчет_аналитики'!AB4826-'19_Расчет_аналитики'!AB4812+('19_Расчет_аналитики'!AB4830-'19_Расчет_аналитики'!AA4830)-'19_Расчет_аналитики'!AB4799,0)</f>
        <v/>
      </c>
      <c r="AC4827">
        <f>IF('01_Вводные'!$B$234="Да",'19_Расчет_аналитики'!AC4786-'19_Расчет_аналитики'!AC4788-('19_Расчет_аналитики'!AC4822-'19_Расчет_аналитики'!AB4822)+('19_Расчет_аналитики'!AC4823-'19_Расчет_аналитики'!AB4823)+('02_Модель'!AC82-'02_Модель'!AB82)-('02_Модель'!AC83-'02_Модель'!AB83)-'19_Расчет_аналитики'!AC4826-'19_Расчет_аналитики'!AC4812+('19_Расчет_аналитики'!AC4830-'19_Расчет_аналитики'!AB4830)-'19_Расчет_аналитики'!AC4799,0)</f>
        <v/>
      </c>
      <c r="AD4827">
        <f>IF('01_Вводные'!$B$234="Да",'19_Расчет_аналитики'!AD4786-'19_Расчет_аналитики'!AD4788-('19_Расчет_аналитики'!AD4822-'19_Расчет_аналитики'!AC4822)+('19_Расчет_аналитики'!AD4823-'19_Расчет_аналитики'!AC4823)+('02_Модель'!AD82-'02_Модель'!AC82)-('02_Модель'!AD83-'02_Модель'!AC83)-'19_Расчет_аналитики'!AD4826-'19_Расчет_аналитики'!AD4812+('19_Расчет_аналитики'!AD4830-'19_Расчет_аналитики'!AC4830)-'19_Расчет_аналитики'!AD4799,0)</f>
        <v/>
      </c>
      <c r="AE4827">
        <f>IF('01_Вводные'!$B$234="Да",'19_Расчет_аналитики'!AE4786-'19_Расчет_аналитики'!AE4788-('19_Расчет_аналитики'!AE4822-'19_Расчет_аналитики'!AD4822)+('19_Расчет_аналитики'!AE4823-'19_Расчет_аналитики'!AD4823)+('02_Модель'!AE82-'02_Модель'!AD82)-('02_Модель'!AE83-'02_Модель'!AD83)-'19_Расчет_аналитики'!AE4826-'19_Расчет_аналитики'!AE4812+('19_Расчет_аналитики'!AE4830-'19_Расчет_аналитики'!AD4830)-'19_Расчет_аналитики'!AE4799,0)</f>
        <v/>
      </c>
      <c r="AF4827">
        <f>IF('01_Вводные'!$B$234="Да",'19_Расчет_аналитики'!AF4786-'19_Расчет_аналитики'!AF4788-('19_Расчет_аналитики'!AF4822-'19_Расчет_аналитики'!AE4822)+('19_Расчет_аналитики'!AF4823-'19_Расчет_аналитики'!AE4823)+('02_Модель'!AF82-'02_Модель'!AE82)-('02_Модель'!AF83-'02_Модель'!AE83)-'19_Расчет_аналитики'!AF4826-'19_Расчет_аналитики'!AF4812+('19_Расчет_аналитики'!AF4830-'19_Расчет_аналитики'!AE4830)-'19_Расчет_аналитики'!AF4799,0)</f>
        <v/>
      </c>
      <c r="AG4827">
        <f>IF('01_Вводные'!$B$234="Да",'19_Расчет_аналитики'!AG4786-'19_Расчет_аналитики'!AG4788-('19_Расчет_аналитики'!AG4822-'19_Расчет_аналитики'!AF4822)+('19_Расчет_аналитики'!AG4823-'19_Расчет_аналитики'!AF4823)+('02_Модель'!AG82-'02_Модель'!AF82)-('02_Модель'!AG83-'02_Модель'!AF83)-'19_Расчет_аналитики'!AG4826-'19_Расчет_аналитики'!AG4812+('19_Расчет_аналитики'!AG4830-'19_Расчет_аналитики'!AF4830)-'19_Расчет_аналитики'!AG4799,0)</f>
        <v/>
      </c>
      <c r="AH4827">
        <f>IF('01_Вводные'!$B$234="Да",'19_Расчет_аналитики'!AH4786-'19_Расчет_аналитики'!AH4788-('19_Расчет_аналитики'!AH4822-'19_Расчет_аналитики'!AG4822)+('19_Расчет_аналитики'!AH4823-'19_Расчет_аналитики'!AG4823)+('02_Модель'!AH82-'02_Модель'!AG82)-('02_Модель'!AH83-'02_Модель'!AG83)-'19_Расчет_аналитики'!AH4826-'19_Расчет_аналитики'!AH4812+('19_Расчет_аналитики'!AH4830-'19_Расчет_аналитики'!AG4830)-'19_Расчет_аналитики'!AH4799,0)</f>
        <v/>
      </c>
      <c r="AI4827">
        <f>IF('01_Вводные'!$B$234="Да",'19_Расчет_аналитики'!AI4786-'19_Расчет_аналитики'!AI4788-('19_Расчет_аналитики'!AI4822-'19_Расчет_аналитики'!AH4822)+('19_Расчет_аналитики'!AI4823-'19_Расчет_аналитики'!AH4823)+('02_Модель'!AI82-'02_Модель'!AH82)-('02_Модель'!AI83-'02_Модель'!AH83)-'19_Расчет_аналитики'!AI4826-'19_Расчет_аналитики'!AI4812+('19_Расчет_аналитики'!AI4830-'19_Расчет_аналитики'!AH4830)-'19_Расчет_аналитики'!AI4799,0)</f>
        <v/>
      </c>
      <c r="AJ4827">
        <f>IF('01_Вводные'!$B$234="Да",'19_Расчет_аналитики'!AJ4786-'19_Расчет_аналитики'!AJ4788-('19_Расчет_аналитики'!AJ4822-'19_Расчет_аналитики'!AI4822)+('19_Расчет_аналитики'!AJ4823-'19_Расчет_аналитики'!AI4823)+('02_Модель'!AJ82-'02_Модель'!AI82)-('02_Модель'!AJ83-'02_Модель'!AI83)-'19_Расчет_аналитики'!AJ4826-'19_Расчет_аналитики'!AJ4812+('19_Расчет_аналитики'!AJ4830-'19_Расчет_аналитики'!AI4830)-'19_Расчет_аналитики'!AJ4799,0)</f>
        <v/>
      </c>
      <c r="AK4827">
        <f>IF('01_Вводные'!$B$234="Да",'19_Расчет_аналитики'!AK4786-'19_Расчет_аналитики'!AK4788-('19_Расчет_аналитики'!AK4822-'19_Расчет_аналитики'!AJ4822)+('19_Расчет_аналитики'!AK4823-'19_Расчет_аналитики'!AJ4823)+('02_Модель'!AK82-'02_Модель'!AJ82)-('02_Модель'!AK83-'02_Модель'!AJ83)-'19_Расчет_аналитики'!AK4826-'19_Расчет_аналитики'!AK4812+('19_Расчет_аналитики'!AK4830-'19_Расчет_аналитики'!AJ4830)-'19_Расчет_аналитики'!AK4799,0)</f>
        <v/>
      </c>
      <c r="AL4827">
        <f>IF('01_Вводные'!$B$234="Да",'19_Расчет_аналитики'!AL4786-'19_Расчет_аналитики'!AL4788-('19_Расчет_аналитики'!AL4822-'19_Расчет_аналитики'!AK4822)+('19_Расчет_аналитики'!AL4823-'19_Расчет_аналитики'!AK4823)+('02_Модель'!AL82-'02_Модель'!AK82)-('02_Модель'!AL83-'02_Модель'!AK83)-'19_Расчет_аналитики'!AL4826-'19_Расчет_аналитики'!AL4812+('19_Расчет_аналитики'!AL4830-'19_Расчет_аналитики'!AK4830)-'19_Расчет_аналитики'!AL4799,0)</f>
        <v/>
      </c>
      <c r="AM4827">
        <f>IF('01_Вводные'!$B$234="Да",'19_Расчет_аналитики'!AM4786-'19_Расчет_аналитики'!AM4788-('19_Расчет_аналитики'!AM4822-'19_Расчет_аналитики'!AL4822)+('19_Расчет_аналитики'!AM4823-'19_Расчет_аналитики'!AL4823)+('02_Модель'!AM82-'02_Модель'!AL82)-('02_Модель'!AM83-'02_Модель'!AL83)-'19_Расчет_аналитики'!AM4826-'19_Расчет_аналитики'!AM4812+('19_Расчет_аналитики'!AM4830-'19_Расчет_аналитики'!AL4830)-'19_Расчет_аналитики'!AM4799,0)</f>
        <v/>
      </c>
      <c r="AN4827">
        <f>IF('01_Вводные'!$B$234="Да",'19_Расчет_аналитики'!AN4786-'19_Расчет_аналитики'!AN4788-('19_Расчет_аналитики'!AN4822-'19_Расчет_аналитики'!AM4822)+('19_Расчет_аналитики'!AN4823-'19_Расчет_аналитики'!AM4823)+('02_Модель'!AN82-'02_Модель'!AM82)-('02_Модель'!AN83-'02_Модель'!AM83)-'19_Расчет_аналитики'!AN4826-'19_Расчет_аналитики'!AN4812+('19_Расчет_аналитики'!AN4830-'19_Расчет_аналитики'!AM4830)-'19_Расчет_аналитики'!AN4799,0)</f>
        <v/>
      </c>
      <c r="AO4827">
        <f>IF('01_Вводные'!$B$234="Да",'19_Расчет_аналитики'!AO4786-'19_Расчет_аналитики'!AO4788-('19_Расчет_аналитики'!AO4822-'19_Расчет_аналитики'!AN4822)+('19_Расчет_аналитики'!AO4823-'19_Расчет_аналитики'!AN4823)+('02_Модель'!AO82-'02_Модель'!AN82)-('02_Модель'!AO83-'02_Модель'!AN83)-'19_Расчет_аналитики'!AO4826-'19_Расчет_аналитики'!AO4812+('19_Расчет_аналитики'!AO4830-'19_Расчет_аналитики'!AN4830)-'19_Расчет_аналитики'!AO4799,0)</f>
        <v/>
      </c>
      <c r="AP4827">
        <f>IF('01_Вводные'!$B$234="Да",'19_Расчет_аналитики'!AP4786-'19_Расчет_аналитики'!AP4788-('19_Расчет_аналитики'!AP4822-'19_Расчет_аналитики'!AO4822)+('19_Расчет_аналитики'!AP4823-'19_Расчет_аналитики'!AO4823)+('02_Модель'!AP82-'02_Модель'!AO82)-('02_Модель'!AP83-'02_Модель'!AO83)-'19_Расчет_аналитики'!AP4826-'19_Расчет_аналитики'!AP4812+('19_Расчет_аналитики'!AP4830-'19_Расчет_аналитики'!AO4830)-'19_Расчет_аналитики'!AP4799,0)</f>
        <v/>
      </c>
      <c r="AQ4827">
        <f>IF('01_Вводные'!$B$234="Да",'19_Расчет_аналитики'!AQ4786-'19_Расчет_аналитики'!AQ4788-('19_Расчет_аналитики'!AQ4822-'19_Расчет_аналитики'!AP4822)+('19_Расчет_аналитики'!AQ4823-'19_Расчет_аналитики'!AP4823)+('02_Модель'!AQ82-'02_Модель'!AP82)-('02_Модель'!AQ83-'02_Модель'!AP83)-'19_Расчет_аналитики'!AQ4826-'19_Расчет_аналитики'!AQ4812+('19_Расчет_аналитики'!AQ4830-'19_Расчет_аналитики'!AP4830)-'19_Расчет_аналитики'!AQ4799,0)</f>
        <v/>
      </c>
      <c r="AR4827">
        <f>IF('01_Вводные'!$B$234="Да",'19_Расчет_аналитики'!AR4786-'19_Расчет_аналитики'!AR4788-('19_Расчет_аналитики'!AR4822-'19_Расчет_аналитики'!AQ4822)+('19_Расчет_аналитики'!AR4823-'19_Расчет_аналитики'!AQ4823)+('02_Модель'!AR82-'02_Модель'!AQ82)-('02_Модель'!AR83-'02_Модель'!AQ83)-'19_Расчет_аналитики'!AR4826-'19_Расчет_аналитики'!AR4812+('19_Расчет_аналитики'!AR4830-'19_Расчет_аналитики'!AQ4830)-'19_Расчет_аналитики'!AR4799,0)</f>
        <v/>
      </c>
      <c r="AS4827">
        <f>IF('01_Вводные'!$B$234="Да",'19_Расчет_аналитики'!AS4786-'19_Расчет_аналитики'!AS4788-('19_Расчет_аналитики'!AS4822-'19_Расчет_аналитики'!AR4822)+('19_Расчет_аналитики'!AS4823-'19_Расчет_аналитики'!AR4823)+('02_Модель'!AS82-'02_Модель'!AR82)-('02_Модель'!AS83-'02_Модель'!AR83)-'19_Расчет_аналитики'!AS4826-'19_Расчет_аналитики'!AS4812+('19_Расчет_аналитики'!AS4830-'19_Расчет_аналитики'!AR4830)-'19_Расчет_аналитики'!AS4799,0)</f>
        <v/>
      </c>
      <c r="AT4827">
        <f>IF('01_Вводные'!$B$234="Да",'19_Расчет_аналитики'!AT4786-'19_Расчет_аналитики'!AT4788-('19_Расчет_аналитики'!AT4822-'19_Расчет_аналитики'!AS4822)+('19_Расчет_аналитики'!AT4823-'19_Расчет_аналитики'!AS4823)+('02_Модель'!AT82-'02_Модель'!AS82)-('02_Модель'!AT83-'02_Модель'!AS83)-'19_Расчет_аналитики'!AT4826-'19_Расчет_аналитики'!AT4812+('19_Расчет_аналитики'!AT4830-'19_Расчет_аналитики'!AS4830)-'19_Расчет_аналитики'!AT4799,0)</f>
        <v/>
      </c>
      <c r="AU4827">
        <f>IF('01_Вводные'!$B$234="Да",'19_Расчет_аналитики'!AU4786-'19_Расчет_аналитики'!AU4788-('19_Расчет_аналитики'!AU4822-'19_Расчет_аналитики'!AT4822)+('19_Расчет_аналитики'!AU4823-'19_Расчет_аналитики'!AT4823)+('02_Модель'!AU82-'02_Модель'!AT82)-('02_Модель'!AU83-'02_Модель'!AT83)-'19_Расчет_аналитики'!AU4826-'19_Расчет_аналитики'!AU4812+('19_Расчет_аналитики'!AU4830-'19_Расчет_аналитики'!AT4830)-'19_Расчет_аналитики'!AU4799,0)</f>
        <v/>
      </c>
      <c r="AV4827">
        <f>IF('01_Вводные'!$B$234="Да",'19_Расчет_аналитики'!AV4786-'19_Расчет_аналитики'!AV4788-('19_Расчет_аналитики'!AV4822-'19_Расчет_аналитики'!AU4822)+('19_Расчет_аналитики'!AV4823-'19_Расчет_аналитики'!AU4823)+('02_Модель'!AV82-'02_Модель'!AU82)-('02_Модель'!AV83-'02_Модель'!AU83)-'19_Расчет_аналитики'!AV4826-'19_Расчет_аналитики'!AV4812+('19_Расчет_аналитики'!AV4830-'19_Расчет_аналитики'!AU4830)-'19_Расчет_аналитики'!AV4799,0)</f>
        <v/>
      </c>
      <c r="AW4827">
        <f>IF('01_Вводные'!$B$234="Да",'19_Расчет_аналитики'!AW4786-'19_Расчет_аналитики'!AW4788-('19_Расчет_аналитики'!AW4822-'19_Расчет_аналитики'!AV4822)+('19_Расчет_аналитики'!AW4823-'19_Расчет_аналитики'!AV4823)+('02_Модель'!AW82-'02_Модель'!AV82)-('02_Модель'!AW83-'02_Модель'!AV83)-'19_Расчет_аналитики'!AW4826-'19_Расчет_аналитики'!AW4812+('19_Расчет_аналитики'!AW4830-'19_Расчет_аналитики'!AV4830)-'19_Расчет_аналитики'!AW4799,0)</f>
        <v/>
      </c>
      <c r="AX4827">
        <f>IF('01_Вводные'!$B$234="Да",'19_Расчет_аналитики'!AX4786-'19_Расчет_аналитики'!AX4788-('19_Расчет_аналитики'!AX4822-'19_Расчет_аналитики'!AW4822)+('19_Расчет_аналитики'!AX4823-'19_Расчет_аналитики'!AW4823)+('02_Модель'!AX82-'02_Модель'!AW82)-('02_Модель'!AX83-'02_Модель'!AW83)-'19_Расчет_аналитики'!AX4826-'19_Расчет_аналитики'!AX4812+('19_Расчет_аналитики'!AX4830-'19_Расчет_аналитики'!AW4830)-'19_Расчет_аналитики'!AX4799,0)</f>
        <v/>
      </c>
      <c r="AY4827">
        <f>IF('01_Вводные'!$B$234="Да",'19_Расчет_аналитики'!AY4786-'19_Расчет_аналитики'!AY4788-('19_Расчет_аналитики'!AY4822-'19_Расчет_аналитики'!AX4822)+('19_Расчет_аналитики'!AY4823-'19_Расчет_аналитики'!AX4823)+('02_Модель'!AY82-'02_Модель'!AX82)-('02_Модель'!AY83-'02_Модель'!AX83)-'19_Расчет_аналитики'!AY4826-'19_Расчет_аналитики'!AY4812+('19_Расчет_аналитики'!AY4830-'19_Расчет_аналитики'!AX4830)-'19_Расчет_аналитики'!AY4799,0)</f>
        <v/>
      </c>
      <c r="AZ4827">
        <f>IF('01_Вводные'!$B$234="Да",'19_Расчет_аналитики'!AZ4786-'19_Расчет_аналитики'!AZ4788-('19_Расчет_аналитики'!AZ4822-'19_Расчет_аналитики'!AY4822)+('19_Расчет_аналитики'!AZ4823-'19_Расчет_аналитики'!AY4823)+('02_Модель'!AZ82-'02_Модель'!AY82)-('02_Модель'!AZ83-'02_Модель'!AY83)-'19_Расчет_аналитики'!AZ4826-'19_Расчет_аналитики'!AZ4812+('19_Расчет_аналитики'!AZ4830-'19_Расчет_аналитики'!AY4830)-'19_Расчет_аналитики'!AZ4799,0)</f>
        <v/>
      </c>
      <c r="BA4827">
        <f>IF('01_Вводные'!$B$234="Да",'19_Расчет_аналитики'!BA4786-'19_Расчет_аналитики'!BA4788-('19_Расчет_аналитики'!BA4822-'19_Расчет_аналитики'!AZ4822)+('19_Расчет_аналитики'!BA4823-'19_Расчет_аналитики'!AZ4823)+('02_Модель'!BA82-'02_Модель'!AZ82)-('02_Модель'!BA83-'02_Модель'!AZ83)-'19_Расчет_аналитики'!BA4826-'19_Расчет_аналитики'!BA4812+('19_Расчет_аналитики'!BA4830-'19_Расчет_аналитики'!AZ4830)-'19_Расчет_аналитики'!BA4799,0)</f>
        <v/>
      </c>
      <c r="BB4827">
        <f>IF('01_Вводные'!$B$234="Да",'19_Расчет_аналитики'!BB4786-'19_Расчет_аналитики'!BB4788-('19_Расчет_аналитики'!BB4822-'19_Расчет_аналитики'!BA4822)+('19_Расчет_аналитики'!BB4823-'19_Расчет_аналитики'!BA4823)+('02_Модель'!BB82-'02_Модель'!BA82)-('02_Модель'!BB83-'02_Модель'!BA83)-'19_Расчет_аналитики'!BB4826-'19_Расчет_аналитики'!BB4812+('19_Расчет_аналитики'!BB4830-'19_Расчет_аналитики'!BA4830)-'19_Расчет_аналитики'!BB4799,0)</f>
        <v/>
      </c>
      <c r="BC4827">
        <f>IF('01_Вводные'!$B$234="Да",'19_Расчет_аналитики'!BC4786-'19_Расчет_аналитики'!BC4788-('19_Расчет_аналитики'!BC4822-'19_Расчет_аналитики'!BB4822)+('19_Расчет_аналитики'!BC4823-'19_Расчет_аналитики'!BB4823)+('02_Модель'!BC82-'02_Модель'!BB82)-('02_Модель'!BC83-'02_Модель'!BB83)-'19_Расчет_аналитики'!BC4826-'19_Расчет_аналитики'!BC4812+('19_Расчет_аналитики'!BC4830-'19_Расчет_аналитики'!BB4830)-'19_Расчет_аналитики'!BC4799,0)</f>
        <v/>
      </c>
      <c r="BD4827">
        <f>IF('01_Вводные'!$B$234="Да",'19_Расчет_аналитики'!BD4786-'19_Расчет_аналитики'!BD4788-('19_Расчет_аналитики'!BD4822-'19_Расчет_аналитики'!BC4822)+('19_Расчет_аналитики'!BD4823-'19_Расчет_аналитики'!BC4823)+('02_Модель'!BD82-'02_Модель'!BC82)-('02_Модель'!BD83-'02_Модель'!BC83)-'19_Расчет_аналитики'!BD4826-'19_Расчет_аналитики'!BD4812+('19_Расчет_аналитики'!BD4830-'19_Расчет_аналитики'!BC4830)-'19_Расчет_аналитики'!BD4799,0)</f>
        <v/>
      </c>
      <c r="BE4827">
        <f>IF('01_Вводные'!$B$234="Да",'19_Расчет_аналитики'!BE4786-'19_Расчет_аналитики'!BE4788-('19_Расчет_аналитики'!BE4822-'19_Расчет_аналитики'!BD4822)+('19_Расчет_аналитики'!BE4823-'19_Расчет_аналитики'!BD4823)+('02_Модель'!BE82-'02_Модель'!BD82)-('02_Модель'!BE83-'02_Модель'!BD83)-'19_Расчет_аналитики'!BE4826-'19_Расчет_аналитики'!BE4812+('19_Расчет_аналитики'!BE4830-'19_Расчет_аналитики'!BD4830)-'19_Расчет_аналитики'!BE4799,0)</f>
        <v/>
      </c>
      <c r="BF4827">
        <f>IF('01_Вводные'!$B$234="Да",'19_Расчет_аналитики'!BF4786-'19_Расчет_аналитики'!BF4788-('19_Расчет_аналитики'!BF4822-'19_Расчет_аналитики'!BE4822)+('19_Расчет_аналитики'!BF4823-'19_Расчет_аналитики'!BE4823)+('02_Модель'!BF82-'02_Модель'!BE82)-('02_Модель'!BF83-'02_Модель'!BE83)-'19_Расчет_аналитики'!BF4826-'19_Расчет_аналитики'!BF4812+('19_Расчет_аналитики'!BF4830-'19_Расчет_аналитики'!BE4830)-'19_Расчет_аналитики'!BF4799,0)</f>
        <v/>
      </c>
      <c r="BG4827">
        <f>IF('01_Вводные'!$B$234="Да",'19_Расчет_аналитики'!BG4786-'19_Расчет_аналитики'!BG4788-('19_Расчет_аналитики'!BG4822-'19_Расчет_аналитики'!BF4822)+('19_Расчет_аналитики'!BG4823-'19_Расчет_аналитики'!BF4823)+('02_Модель'!BG82-'02_Модель'!BF82)-('02_Модель'!BG83-'02_Модель'!BF83)-'19_Расчет_аналитики'!BG4826-'19_Расчет_аналитики'!BG4812+('19_Расчет_аналитики'!BG4830-'19_Расчет_аналитики'!BF4830)-'19_Расчет_аналитики'!BG4799,0)</f>
        <v/>
      </c>
      <c r="BH4827">
        <f>IF('01_Вводные'!$B$234="Да",'19_Расчет_аналитики'!BH4786-'19_Расчет_аналитики'!BH4788-('19_Расчет_аналитики'!BH4822-'19_Расчет_аналитики'!BG4822)+('19_Расчет_аналитики'!BH4823-'19_Расчет_аналитики'!BG4823)+('02_Модель'!BH82-'02_Модель'!BG82)-('02_Модель'!BH83-'02_Модель'!BG83)-'19_Расчет_аналитики'!BH4826-'19_Расчет_аналитики'!BH4812+('19_Расчет_аналитики'!BH4830-'19_Расчет_аналитики'!BG4830)-'19_Расчет_аналитики'!BH4799,0)</f>
        <v/>
      </c>
      <c r="BI4827">
        <f>IF('01_Вводные'!$B$234="Да",'19_Расчет_аналитики'!BI4786-'19_Расчет_аналитики'!BI4788-('19_Расчет_аналитики'!BI4822-'19_Расчет_аналитики'!BH4822)+('19_Расчет_аналитики'!BI4823-'19_Расчет_аналитики'!BH4823)+('02_Модель'!BI82-'02_Модель'!BH82)-('02_Модель'!BI83-'02_Модель'!BH83)-'19_Расчет_аналитики'!BI4826-'19_Расчет_аналитики'!BI4812+('19_Расчет_аналитики'!BI4830-'19_Расчет_аналитики'!BH4830)-'19_Расчет_аналитики'!BI4799,0)</f>
        <v/>
      </c>
    </row>
    <row r="4828">
      <c r="B4828">
        <f>IF('01_Вводные'!$B$234="Да",'19_Расчет_аналитики'!B4827-'19_Расчет_аналитики'!B4813,0)</f>
        <v/>
      </c>
      <c r="C4828">
        <f>IF('01_Вводные'!$B$234="Да",'19_Расчет_аналитики'!C4827-'19_Расчет_аналитики'!C4813,0)</f>
        <v/>
      </c>
      <c r="D4828">
        <f>IF('01_Вводные'!$B$234="Да",'19_Расчет_аналитики'!D4827-'19_Расчет_аналитики'!D4813,0)</f>
        <v/>
      </c>
      <c r="E4828">
        <f>IF('01_Вводные'!$B$234="Да",'19_Расчет_аналитики'!E4827-'19_Расчет_аналитики'!E4813,0)</f>
        <v/>
      </c>
      <c r="F4828">
        <f>IF('01_Вводные'!$B$234="Да",'19_Расчет_аналитики'!F4827-'19_Расчет_аналитики'!F4813,0)</f>
        <v/>
      </c>
      <c r="G4828">
        <f>IF('01_Вводные'!$B$234="Да",'19_Расчет_аналитики'!G4827-'19_Расчет_аналитики'!G4813,0)</f>
        <v/>
      </c>
      <c r="H4828">
        <f>IF('01_Вводные'!$B$234="Да",'19_Расчет_аналитики'!H4827-'19_Расчет_аналитики'!H4813,0)</f>
        <v/>
      </c>
      <c r="I4828">
        <f>IF('01_Вводные'!$B$234="Да",'19_Расчет_аналитики'!I4827-'19_Расчет_аналитики'!I4813,0)</f>
        <v/>
      </c>
      <c r="J4828">
        <f>IF('01_Вводные'!$B$234="Да",'19_Расчет_аналитики'!J4827-'19_Расчет_аналитики'!J4813,0)</f>
        <v/>
      </c>
      <c r="K4828">
        <f>IF('01_Вводные'!$B$234="Да",'19_Расчет_аналитики'!K4827-'19_Расчет_аналитики'!K4813,0)</f>
        <v/>
      </c>
      <c r="L4828">
        <f>IF('01_Вводные'!$B$234="Да",'19_Расчет_аналитики'!L4827-'19_Расчет_аналитики'!L4813,0)</f>
        <v/>
      </c>
      <c r="M4828">
        <f>IF('01_Вводные'!$B$234="Да",'19_Расчет_аналитики'!M4827-'19_Расчет_аналитики'!M4813,0)</f>
        <v/>
      </c>
      <c r="N4828">
        <f>IF('01_Вводные'!$B$234="Да",'19_Расчет_аналитики'!N4827-'19_Расчет_аналитики'!N4813,0)</f>
        <v/>
      </c>
      <c r="O4828">
        <f>IF('01_Вводные'!$B$234="Да",'19_Расчет_аналитики'!O4827-'19_Расчет_аналитики'!O4813,0)</f>
        <v/>
      </c>
      <c r="P4828">
        <f>IF('01_Вводные'!$B$234="Да",'19_Расчет_аналитики'!P4827-'19_Расчет_аналитики'!P4813,0)</f>
        <v/>
      </c>
      <c r="Q4828">
        <f>IF('01_Вводные'!$B$234="Да",'19_Расчет_аналитики'!Q4827-'19_Расчет_аналитики'!Q4813,0)</f>
        <v/>
      </c>
      <c r="R4828">
        <f>IF('01_Вводные'!$B$234="Да",'19_Расчет_аналитики'!R4827-'19_Расчет_аналитики'!R4813,0)</f>
        <v/>
      </c>
      <c r="S4828">
        <f>IF('01_Вводные'!$B$234="Да",'19_Расчет_аналитики'!S4827-'19_Расчет_аналитики'!S4813,0)</f>
        <v/>
      </c>
      <c r="T4828">
        <f>IF('01_Вводные'!$B$234="Да",'19_Расчет_аналитики'!T4827-'19_Расчет_аналитики'!T4813,0)</f>
        <v/>
      </c>
      <c r="U4828">
        <f>IF('01_Вводные'!$B$234="Да",'19_Расчет_аналитики'!U4827-'19_Расчет_аналитики'!U4813,0)</f>
        <v/>
      </c>
      <c r="V4828">
        <f>IF('01_Вводные'!$B$234="Да",'19_Расчет_аналитики'!V4827-'19_Расчет_аналитики'!V4813,0)</f>
        <v/>
      </c>
      <c r="W4828">
        <f>IF('01_Вводные'!$B$234="Да",'19_Расчет_аналитики'!W4827-'19_Расчет_аналитики'!W4813,0)</f>
        <v/>
      </c>
      <c r="X4828">
        <f>IF('01_Вводные'!$B$234="Да",'19_Расчет_аналитики'!X4827-'19_Расчет_аналитики'!X4813,0)</f>
        <v/>
      </c>
      <c r="Y4828">
        <f>IF('01_Вводные'!$B$234="Да",'19_Расчет_аналитики'!Y4827-'19_Расчет_аналитики'!Y4813,0)</f>
        <v/>
      </c>
      <c r="Z4828">
        <f>IF('01_Вводные'!$B$234="Да",'19_Расчет_аналитики'!Z4827-'19_Расчет_аналитики'!Z4813,0)</f>
        <v/>
      </c>
      <c r="AA4828">
        <f>IF('01_Вводные'!$B$234="Да",'19_Расчет_аналитики'!AA4827-'19_Расчет_аналитики'!AA4813,0)</f>
        <v/>
      </c>
      <c r="AB4828">
        <f>IF('01_Вводные'!$B$234="Да",'19_Расчет_аналитики'!AB4827-'19_Расчет_аналитики'!AB4813,0)</f>
        <v/>
      </c>
      <c r="AC4828">
        <f>IF('01_Вводные'!$B$234="Да",'19_Расчет_аналитики'!AC4827-'19_Расчет_аналитики'!AC4813,0)</f>
        <v/>
      </c>
      <c r="AD4828">
        <f>IF('01_Вводные'!$B$234="Да",'19_Расчет_аналитики'!AD4827-'19_Расчет_аналитики'!AD4813,0)</f>
        <v/>
      </c>
      <c r="AE4828">
        <f>IF('01_Вводные'!$B$234="Да",'19_Расчет_аналитики'!AE4827-'19_Расчет_аналитики'!AE4813,0)</f>
        <v/>
      </c>
      <c r="AF4828">
        <f>IF('01_Вводные'!$B$234="Да",'19_Расчет_аналитики'!AF4827-'19_Расчет_аналитики'!AF4813,0)</f>
        <v/>
      </c>
      <c r="AG4828">
        <f>IF('01_Вводные'!$B$234="Да",'19_Расчет_аналитики'!AG4827-'19_Расчет_аналитики'!AG4813,0)</f>
        <v/>
      </c>
      <c r="AH4828">
        <f>IF('01_Вводные'!$B$234="Да",'19_Расчет_аналитики'!AH4827-'19_Расчет_аналитики'!AH4813,0)</f>
        <v/>
      </c>
      <c r="AI4828">
        <f>IF('01_Вводные'!$B$234="Да",'19_Расчет_аналитики'!AI4827-'19_Расчет_аналитики'!AI4813,0)</f>
        <v/>
      </c>
      <c r="AJ4828">
        <f>IF('01_Вводные'!$B$234="Да",'19_Расчет_аналитики'!AJ4827-'19_Расчет_аналитики'!AJ4813,0)</f>
        <v/>
      </c>
      <c r="AK4828">
        <f>IF('01_Вводные'!$B$234="Да",'19_Расчет_аналитики'!AK4827-'19_Расчет_аналитики'!AK4813,0)</f>
        <v/>
      </c>
      <c r="AL4828">
        <f>IF('01_Вводные'!$B$234="Да",'19_Расчет_аналитики'!AL4827-'19_Расчет_аналитики'!AL4813,0)</f>
        <v/>
      </c>
      <c r="AM4828">
        <f>IF('01_Вводные'!$B$234="Да",'19_Расчет_аналитики'!AM4827-'19_Расчет_аналитики'!AM4813,0)</f>
        <v/>
      </c>
      <c r="AN4828">
        <f>IF('01_Вводные'!$B$234="Да",'19_Расчет_аналитики'!AN4827-'19_Расчет_аналитики'!AN4813,0)</f>
        <v/>
      </c>
      <c r="AO4828">
        <f>IF('01_Вводные'!$B$234="Да",'19_Расчет_аналитики'!AO4827-'19_Расчет_аналитики'!AO4813,0)</f>
        <v/>
      </c>
      <c r="AP4828">
        <f>IF('01_Вводные'!$B$234="Да",'19_Расчет_аналитики'!AP4827-'19_Расчет_аналитики'!AP4813,0)</f>
        <v/>
      </c>
      <c r="AQ4828">
        <f>IF('01_Вводные'!$B$234="Да",'19_Расчет_аналитики'!AQ4827-'19_Расчет_аналитики'!AQ4813,0)</f>
        <v/>
      </c>
      <c r="AR4828">
        <f>IF('01_Вводные'!$B$234="Да",'19_Расчет_аналитики'!AR4827-'19_Расчет_аналитики'!AR4813,0)</f>
        <v/>
      </c>
      <c r="AS4828">
        <f>IF('01_Вводные'!$B$234="Да",'19_Расчет_аналитики'!AS4827-'19_Расчет_аналитики'!AS4813,0)</f>
        <v/>
      </c>
      <c r="AT4828">
        <f>IF('01_Вводные'!$B$234="Да",'19_Расчет_аналитики'!AT4827-'19_Расчет_аналитики'!AT4813,0)</f>
        <v/>
      </c>
      <c r="AU4828">
        <f>IF('01_Вводные'!$B$234="Да",'19_Расчет_аналитики'!AU4827-'19_Расчет_аналитики'!AU4813,0)</f>
        <v/>
      </c>
      <c r="AV4828">
        <f>IF('01_Вводные'!$B$234="Да",'19_Расчет_аналитики'!AV4827-'19_Расчет_аналитики'!AV4813,0)</f>
        <v/>
      </c>
      <c r="AW4828">
        <f>IF('01_Вводные'!$B$234="Да",'19_Расчет_аналитики'!AW4827-'19_Расчет_аналитики'!AW4813,0)</f>
        <v/>
      </c>
      <c r="AX4828">
        <f>IF('01_Вводные'!$B$234="Да",'19_Расчет_аналитики'!AX4827-'19_Расчет_аналитики'!AX4813,0)</f>
        <v/>
      </c>
      <c r="AY4828">
        <f>IF('01_Вводные'!$B$234="Да",'19_Расчет_аналитики'!AY4827-'19_Расчет_аналитики'!AY4813,0)</f>
        <v/>
      </c>
      <c r="AZ4828">
        <f>IF('01_Вводные'!$B$234="Да",'19_Расчет_аналитики'!AZ4827-'19_Расчет_аналитики'!AZ4813,0)</f>
        <v/>
      </c>
      <c r="BA4828">
        <f>IF('01_Вводные'!$B$234="Да",'19_Расчет_аналитики'!BA4827-'19_Расчет_аналитики'!BA4813,0)</f>
        <v/>
      </c>
      <c r="BB4828">
        <f>IF('01_Вводные'!$B$234="Да",'19_Расчет_аналитики'!BB4827-'19_Расчет_аналитики'!BB4813,0)</f>
        <v/>
      </c>
      <c r="BC4828">
        <f>IF('01_Вводные'!$B$234="Да",'19_Расчет_аналитики'!BC4827-'19_Расчет_аналитики'!BC4813,0)</f>
        <v/>
      </c>
      <c r="BD4828">
        <f>IF('01_Вводные'!$B$234="Да",'19_Расчет_аналитики'!BD4827-'19_Расчет_аналитики'!BD4813,0)</f>
        <v/>
      </c>
      <c r="BE4828">
        <f>IF('01_Вводные'!$B$234="Да",'19_Расчет_аналитики'!BE4827-'19_Расчет_аналитики'!BE4813,0)</f>
        <v/>
      </c>
      <c r="BF4828">
        <f>IF('01_Вводные'!$B$234="Да",'19_Расчет_аналитики'!BF4827-'19_Расчет_аналитики'!BF4813,0)</f>
        <v/>
      </c>
      <c r="BG4828">
        <f>IF('01_Вводные'!$B$234="Да",'19_Расчет_аналитики'!BG4827-'19_Расчет_аналитики'!BG4813,0)</f>
        <v/>
      </c>
      <c r="BH4828">
        <f>IF('01_Вводные'!$B$234="Да",'19_Расчет_аналитики'!BH4827-'19_Расчет_аналитики'!BH4813,0)</f>
        <v/>
      </c>
      <c r="BI4828">
        <f>IF('01_Вводные'!$B$234="Да",'19_Расчет_аналитики'!BI4827-'19_Расчет_аналитики'!BI4813,0)</f>
        <v/>
      </c>
    </row>
    <row r="4829">
      <c r="B4829">
        <f>IF('01_Вводные'!$B$234="Да",'07_Мерч'!B22+'19_Расчет_аналитики'!B4674-'19_Расчет_аналитики'!B4672-'19_Расчет_аналитики'!B4675,0)</f>
        <v/>
      </c>
      <c r="C4829">
        <f>IF('01_Вводные'!$B$234="Да",'19_Расчет_аналитики'!C4671+'19_Расчет_аналитики'!C4674-'19_Расчет_аналитики'!C4672-'19_Расчет_аналитики'!C4675,0)</f>
        <v/>
      </c>
      <c r="D4829">
        <f>IF('01_Вводные'!$B$234="Да",'19_Расчет_аналитики'!D4671+'19_Расчет_аналитики'!D4674-'19_Расчет_аналитики'!D4672-'19_Расчет_аналитики'!D4675,0)</f>
        <v/>
      </c>
      <c r="E4829">
        <f>IF('01_Вводные'!$B$234="Да",'19_Расчет_аналитики'!E4671+'19_Расчет_аналитики'!E4674-'19_Расчет_аналитики'!E4672-'19_Расчет_аналитики'!E4675,0)</f>
        <v/>
      </c>
      <c r="F4829">
        <f>IF('01_Вводные'!$B$234="Да",'19_Расчет_аналитики'!F4671+'19_Расчет_аналитики'!F4674-'19_Расчет_аналитики'!F4672-'19_Расчет_аналитики'!F4675,0)</f>
        <v/>
      </c>
      <c r="G4829">
        <f>IF('01_Вводные'!$B$234="Да",'19_Расчет_аналитики'!G4671+'19_Расчет_аналитики'!G4674-'19_Расчет_аналитики'!G4672-'19_Расчет_аналитики'!G4675,0)</f>
        <v/>
      </c>
      <c r="H4829">
        <f>IF('01_Вводные'!$B$234="Да",'19_Расчет_аналитики'!H4671+'19_Расчет_аналитики'!H4674-'19_Расчет_аналитики'!H4672-'19_Расчет_аналитики'!H4675,0)</f>
        <v/>
      </c>
      <c r="I4829">
        <f>IF('01_Вводные'!$B$234="Да",'19_Расчет_аналитики'!I4671+'19_Расчет_аналитики'!I4674-'19_Расчет_аналитики'!I4672-'19_Расчет_аналитики'!I4675,0)</f>
        <v/>
      </c>
      <c r="J4829">
        <f>IF('01_Вводные'!$B$234="Да",'19_Расчет_аналитики'!J4671+'19_Расчет_аналитики'!J4674-'19_Расчет_аналитики'!J4672-'19_Расчет_аналитики'!J4675,0)</f>
        <v/>
      </c>
      <c r="K4829">
        <f>IF('01_Вводные'!$B$234="Да",'19_Расчет_аналитики'!K4671+'19_Расчет_аналитики'!K4674-'19_Расчет_аналитики'!K4672-'19_Расчет_аналитики'!K4675,0)</f>
        <v/>
      </c>
      <c r="L4829">
        <f>IF('01_Вводные'!$B$234="Да",'19_Расчет_аналитики'!L4671+'19_Расчет_аналитики'!L4674-'19_Расчет_аналитики'!L4672-'19_Расчет_аналитики'!L4675,0)</f>
        <v/>
      </c>
      <c r="M4829">
        <f>IF('01_Вводные'!$B$234="Да",'19_Расчет_аналитики'!M4671+'19_Расчет_аналитики'!M4674-'19_Расчет_аналитики'!M4672-'19_Расчет_аналитики'!M4675,0)</f>
        <v/>
      </c>
      <c r="N4829">
        <f>IF('01_Вводные'!$B$234="Да",'19_Расчет_аналитики'!N4671+'19_Расчет_аналитики'!N4674-'19_Расчет_аналитики'!N4672-'19_Расчет_аналитики'!N4675,0)</f>
        <v/>
      </c>
      <c r="O4829">
        <f>IF('01_Вводные'!$B$234="Да",'19_Расчет_аналитики'!O4671+'19_Расчет_аналитики'!O4674-'19_Расчет_аналитики'!O4672-'19_Расчет_аналитики'!O4675,0)</f>
        <v/>
      </c>
      <c r="P4829">
        <f>IF('01_Вводные'!$B$234="Да",'19_Расчет_аналитики'!P4671+'19_Расчет_аналитики'!P4674-'19_Расчет_аналитики'!P4672-'19_Расчет_аналитики'!P4675,0)</f>
        <v/>
      </c>
      <c r="Q4829">
        <f>IF('01_Вводные'!$B$234="Да",'19_Расчет_аналитики'!Q4671+'19_Расчет_аналитики'!Q4674-'19_Расчет_аналитики'!Q4672-'19_Расчет_аналитики'!Q4675,0)</f>
        <v/>
      </c>
      <c r="R4829">
        <f>IF('01_Вводные'!$B$234="Да",'19_Расчет_аналитики'!R4671+'19_Расчет_аналитики'!R4674-'19_Расчет_аналитики'!R4672-'19_Расчет_аналитики'!R4675,0)</f>
        <v/>
      </c>
      <c r="S4829">
        <f>IF('01_Вводные'!$B$234="Да",'19_Расчет_аналитики'!S4671+'19_Расчет_аналитики'!S4674-'19_Расчет_аналитики'!S4672-'19_Расчет_аналитики'!S4675,0)</f>
        <v/>
      </c>
      <c r="T4829">
        <f>IF('01_Вводные'!$B$234="Да",'19_Расчет_аналитики'!T4671+'19_Расчет_аналитики'!T4674-'19_Расчет_аналитики'!T4672-'19_Расчет_аналитики'!T4675,0)</f>
        <v/>
      </c>
      <c r="U4829">
        <f>IF('01_Вводные'!$B$234="Да",'19_Расчет_аналитики'!U4671+'19_Расчет_аналитики'!U4674-'19_Расчет_аналитики'!U4672-'19_Расчет_аналитики'!U4675,0)</f>
        <v/>
      </c>
      <c r="V4829">
        <f>IF('01_Вводные'!$B$234="Да",'19_Расчет_аналитики'!V4671+'19_Расчет_аналитики'!V4674-'19_Расчет_аналитики'!V4672-'19_Расчет_аналитики'!V4675,0)</f>
        <v/>
      </c>
      <c r="W4829">
        <f>IF('01_Вводные'!$B$234="Да",'19_Расчет_аналитики'!W4671+'19_Расчет_аналитики'!W4674-'19_Расчет_аналитики'!W4672-'19_Расчет_аналитики'!W4675,0)</f>
        <v/>
      </c>
      <c r="X4829">
        <f>IF('01_Вводные'!$B$234="Да",'19_Расчет_аналитики'!X4671+'19_Расчет_аналитики'!X4674-'19_Расчет_аналитики'!X4672-'19_Расчет_аналитики'!X4675,0)</f>
        <v/>
      </c>
      <c r="Y4829">
        <f>IF('01_Вводные'!$B$234="Да",'19_Расчет_аналитики'!Y4671+'19_Расчет_аналитики'!Y4674-'19_Расчет_аналитики'!Y4672-'19_Расчет_аналитики'!Y4675,0)</f>
        <v/>
      </c>
      <c r="Z4829">
        <f>IF('01_Вводные'!$B$234="Да",'19_Расчет_аналитики'!Z4671+'19_Расчет_аналитики'!Z4674-'19_Расчет_аналитики'!Z4672-'19_Расчет_аналитики'!Z4675,0)</f>
        <v/>
      </c>
      <c r="AA4829">
        <f>IF('01_Вводные'!$B$234="Да",'19_Расчет_аналитики'!AA4671+'19_Расчет_аналитики'!AA4674-'19_Расчет_аналитики'!AA4672-'19_Расчет_аналитики'!AA4675,0)</f>
        <v/>
      </c>
      <c r="AB4829">
        <f>IF('01_Вводные'!$B$234="Да",'19_Расчет_аналитики'!AB4671+'19_Расчет_аналитики'!AB4674-'19_Расчет_аналитики'!AB4672-'19_Расчет_аналитики'!AB4675,0)</f>
        <v/>
      </c>
      <c r="AC4829">
        <f>IF('01_Вводные'!$B$234="Да",'19_Расчет_аналитики'!AC4671+'19_Расчет_аналитики'!AC4674-'19_Расчет_аналитики'!AC4672-'19_Расчет_аналитики'!AC4675,0)</f>
        <v/>
      </c>
      <c r="AD4829">
        <f>IF('01_Вводные'!$B$234="Да",'19_Расчет_аналитики'!AD4671+'19_Расчет_аналитики'!AD4674-'19_Расчет_аналитики'!AD4672-'19_Расчет_аналитики'!AD4675,0)</f>
        <v/>
      </c>
      <c r="AE4829">
        <f>IF('01_Вводные'!$B$234="Да",'19_Расчет_аналитики'!AE4671+'19_Расчет_аналитики'!AE4674-'19_Расчет_аналитики'!AE4672-'19_Расчет_аналитики'!AE4675,0)</f>
        <v/>
      </c>
      <c r="AF4829">
        <f>IF('01_Вводные'!$B$234="Да",'19_Расчет_аналитики'!AF4671+'19_Расчет_аналитики'!AF4674-'19_Расчет_аналитики'!AF4672-'19_Расчет_аналитики'!AF4675,0)</f>
        <v/>
      </c>
      <c r="AG4829">
        <f>IF('01_Вводные'!$B$234="Да",'19_Расчет_аналитики'!AG4671+'19_Расчет_аналитики'!AG4674-'19_Расчет_аналитики'!AG4672-'19_Расчет_аналитики'!AG4675,0)</f>
        <v/>
      </c>
      <c r="AH4829">
        <f>IF('01_Вводные'!$B$234="Да",'19_Расчет_аналитики'!AH4671+'19_Расчет_аналитики'!AH4674-'19_Расчет_аналитики'!AH4672-'19_Расчет_аналитики'!AH4675,0)</f>
        <v/>
      </c>
      <c r="AI4829">
        <f>IF('01_Вводные'!$B$234="Да",'19_Расчет_аналитики'!AI4671+'19_Расчет_аналитики'!AI4674-'19_Расчет_аналитики'!AI4672-'19_Расчет_аналитики'!AI4675,0)</f>
        <v/>
      </c>
      <c r="AJ4829">
        <f>IF('01_Вводные'!$B$234="Да",'19_Расчет_аналитики'!AJ4671+'19_Расчет_аналитики'!AJ4674-'19_Расчет_аналитики'!AJ4672-'19_Расчет_аналитики'!AJ4675,0)</f>
        <v/>
      </c>
      <c r="AK4829">
        <f>IF('01_Вводные'!$B$234="Да",'19_Расчет_аналитики'!AK4671+'19_Расчет_аналитики'!AK4674-'19_Расчет_аналитики'!AK4672-'19_Расчет_аналитики'!AK4675,0)</f>
        <v/>
      </c>
      <c r="AL4829">
        <f>IF('01_Вводные'!$B$234="Да",'19_Расчет_аналитики'!AL4671+'19_Расчет_аналитики'!AL4674-'19_Расчет_аналитики'!AL4672-'19_Расчет_аналитики'!AL4675,0)</f>
        <v/>
      </c>
      <c r="AM4829">
        <f>IF('01_Вводные'!$B$234="Да",'19_Расчет_аналитики'!AM4671+'19_Расчет_аналитики'!AM4674-'19_Расчет_аналитики'!AM4672-'19_Расчет_аналитики'!AM4675,0)</f>
        <v/>
      </c>
      <c r="AN4829">
        <f>IF('01_Вводные'!$B$234="Да",'19_Расчет_аналитики'!AN4671+'19_Расчет_аналитики'!AN4674-'19_Расчет_аналитики'!AN4672-'19_Расчет_аналитики'!AN4675,0)</f>
        <v/>
      </c>
      <c r="AO4829">
        <f>IF('01_Вводные'!$B$234="Да",'19_Расчет_аналитики'!AO4671+'19_Расчет_аналитики'!AO4674-'19_Расчет_аналитики'!AO4672-'19_Расчет_аналитики'!AO4675,0)</f>
        <v/>
      </c>
      <c r="AP4829">
        <f>IF('01_Вводные'!$B$234="Да",'19_Расчет_аналитики'!AP4671+'19_Расчет_аналитики'!AP4674-'19_Расчет_аналитики'!AP4672-'19_Расчет_аналитики'!AP4675,0)</f>
        <v/>
      </c>
      <c r="AQ4829">
        <f>IF('01_Вводные'!$B$234="Да",'19_Расчет_аналитики'!AQ4671+'19_Расчет_аналитики'!AQ4674-'19_Расчет_аналитики'!AQ4672-'19_Расчет_аналитики'!AQ4675,0)</f>
        <v/>
      </c>
      <c r="AR4829">
        <f>IF('01_Вводные'!$B$234="Да",'19_Расчет_аналитики'!AR4671+'19_Расчет_аналитики'!AR4674-'19_Расчет_аналитики'!AR4672-'19_Расчет_аналитики'!AR4675,0)</f>
        <v/>
      </c>
      <c r="AS4829">
        <f>IF('01_Вводные'!$B$234="Да",'19_Расчет_аналитики'!AS4671+'19_Расчет_аналитики'!AS4674-'19_Расчет_аналитики'!AS4672-'19_Расчет_аналитики'!AS4675,0)</f>
        <v/>
      </c>
      <c r="AT4829">
        <f>IF('01_Вводные'!$B$234="Да",'19_Расчет_аналитики'!AT4671+'19_Расчет_аналитики'!AT4674-'19_Расчет_аналитики'!AT4672-'19_Расчет_аналитики'!AT4675,0)</f>
        <v/>
      </c>
      <c r="AU4829">
        <f>IF('01_Вводные'!$B$234="Да",'19_Расчет_аналитики'!AU4671+'19_Расчет_аналитики'!AU4674-'19_Расчет_аналитики'!AU4672-'19_Расчет_аналитики'!AU4675,0)</f>
        <v/>
      </c>
      <c r="AV4829">
        <f>IF('01_Вводные'!$B$234="Да",'19_Расчет_аналитики'!AV4671+'19_Расчет_аналитики'!AV4674-'19_Расчет_аналитики'!AV4672-'19_Расчет_аналитики'!AV4675,0)</f>
        <v/>
      </c>
      <c r="AW4829">
        <f>IF('01_Вводные'!$B$234="Да",'19_Расчет_аналитики'!AW4671+'19_Расчет_аналитики'!AW4674-'19_Расчет_аналитики'!AW4672-'19_Расчет_аналитики'!AW4675,0)</f>
        <v/>
      </c>
      <c r="AX4829">
        <f>IF('01_Вводные'!$B$234="Да",'19_Расчет_аналитики'!AX4671+'19_Расчет_аналитики'!AX4674-'19_Расчет_аналитики'!AX4672-'19_Расчет_аналитики'!AX4675,0)</f>
        <v/>
      </c>
      <c r="AY4829">
        <f>IF('01_Вводные'!$B$234="Да",'19_Расчет_аналитики'!AY4671+'19_Расчет_аналитики'!AY4674-'19_Расчет_аналитики'!AY4672-'19_Расчет_аналитики'!AY4675,0)</f>
        <v/>
      </c>
      <c r="AZ4829">
        <f>IF('01_Вводные'!$B$234="Да",'19_Расчет_аналитики'!AZ4671+'19_Расчет_аналитики'!AZ4674-'19_Расчет_аналитики'!AZ4672-'19_Расчет_аналитики'!AZ4675,0)</f>
        <v/>
      </c>
      <c r="BA4829">
        <f>IF('01_Вводные'!$B$234="Да",'19_Расчет_аналитики'!BA4671+'19_Расчет_аналитики'!BA4674-'19_Расчет_аналитики'!BA4672-'19_Расчет_аналитики'!BA4675,0)</f>
        <v/>
      </c>
      <c r="BB4829">
        <f>IF('01_Вводные'!$B$234="Да",'19_Расчет_аналитики'!BB4671+'19_Расчет_аналитики'!BB4674-'19_Расчет_аналитики'!BB4672-'19_Расчет_аналитики'!BB4675,0)</f>
        <v/>
      </c>
      <c r="BC4829">
        <f>IF('01_Вводные'!$B$234="Да",'19_Расчет_аналитики'!BC4671+'19_Расчет_аналитики'!BC4674-'19_Расчет_аналитики'!BC4672-'19_Расчет_аналитики'!BC4675,0)</f>
        <v/>
      </c>
      <c r="BD4829">
        <f>IF('01_Вводные'!$B$234="Да",'19_Расчет_аналитики'!BD4671+'19_Расчет_аналитики'!BD4674-'19_Расчет_аналитики'!BD4672-'19_Расчет_аналитики'!BD4675,0)</f>
        <v/>
      </c>
      <c r="BE4829">
        <f>IF('01_Вводные'!$B$234="Да",'19_Расчет_аналитики'!BE4671+'19_Расчет_аналитики'!BE4674-'19_Расчет_аналитики'!BE4672-'19_Расчет_аналитики'!BE4675,0)</f>
        <v/>
      </c>
      <c r="BF4829">
        <f>IF('01_Вводные'!$B$234="Да",'19_Расчет_аналитики'!BF4671+'19_Расчет_аналитики'!BF4674-'19_Расчет_аналитики'!BF4672-'19_Расчет_аналитики'!BF4675,0)</f>
        <v/>
      </c>
      <c r="BG4829">
        <f>IF('01_Вводные'!$B$234="Да",'19_Расчет_аналитики'!BG4671+'19_Расчет_аналитики'!BG4674-'19_Расчет_аналитики'!BG4672-'19_Расчет_аналитики'!BG4675,0)</f>
        <v/>
      </c>
      <c r="BH4829">
        <f>IF('01_Вводные'!$B$234="Да",'19_Расчет_аналитики'!BH4671+'19_Расчет_аналитики'!BH4674-'19_Расчет_аналитики'!BH4672-'19_Расчет_аналитики'!BH4675,0)</f>
        <v/>
      </c>
      <c r="BI4829">
        <f>IF('01_Вводные'!$B$234="Да",'19_Расчет_аналитики'!BI4671+'19_Расчет_аналитики'!BI4674-'19_Расчет_аналитики'!BI4672-'19_Расчет_аналитики'!BI4675,0)</f>
        <v/>
      </c>
    </row>
    <row r="4830">
      <c r="B4830">
        <f>IF('01_Вводные'!$B$234="Да",0+SUM('19_Расчет_аналитики'!B4770:B4772)-'19_Расчет_аналитики'!B4803,0)</f>
        <v/>
      </c>
      <c r="C4830">
        <f>IF('01_Вводные'!$B$234="Да",'19_Расчет_аналитики'!B4830+SUM('19_Расчет_аналитики'!C4770:C4772)-'19_Расчет_аналитики'!C4803,0)</f>
        <v/>
      </c>
      <c r="D4830">
        <f>IF('01_Вводные'!$B$234="Да",'19_Расчет_аналитики'!C4830+SUM('19_Расчет_аналитики'!D4770:D4772)-'19_Расчет_аналитики'!D4803,0)</f>
        <v/>
      </c>
      <c r="E4830">
        <f>IF('01_Вводные'!$B$234="Да",'19_Расчет_аналитики'!D4830+SUM('19_Расчет_аналитики'!E4770:E4772)-'19_Расчет_аналитики'!E4803,0)</f>
        <v/>
      </c>
      <c r="F4830">
        <f>IF('01_Вводные'!$B$234="Да",'19_Расчет_аналитики'!E4830+SUM('19_Расчет_аналитики'!F4770:F4772)-'19_Расчет_аналитики'!F4803,0)</f>
        <v/>
      </c>
      <c r="G4830">
        <f>IF('01_Вводные'!$B$234="Да",'19_Расчет_аналитики'!F4830+SUM('19_Расчет_аналитики'!G4770:G4772)-'19_Расчет_аналитики'!G4803,0)</f>
        <v/>
      </c>
      <c r="H4830">
        <f>IF('01_Вводные'!$B$234="Да",'19_Расчет_аналитики'!G4830+SUM('19_Расчет_аналитики'!H4770:H4772)-'19_Расчет_аналитики'!H4803,0)</f>
        <v/>
      </c>
      <c r="I4830">
        <f>IF('01_Вводные'!$B$234="Да",'19_Расчет_аналитики'!H4830+SUM('19_Расчет_аналитики'!I4770:I4772)-'19_Расчет_аналитики'!I4803,0)</f>
        <v/>
      </c>
      <c r="J4830">
        <f>IF('01_Вводные'!$B$234="Да",'19_Расчет_аналитики'!I4830+SUM('19_Расчет_аналитики'!J4770:J4772)-'19_Расчет_аналитики'!J4803,0)</f>
        <v/>
      </c>
      <c r="K4830">
        <f>IF('01_Вводные'!$B$234="Да",'19_Расчет_аналитики'!J4830+SUM('19_Расчет_аналитики'!K4770:K4772)-'19_Расчет_аналитики'!K4803,0)</f>
        <v/>
      </c>
      <c r="L4830">
        <f>IF('01_Вводные'!$B$234="Да",'19_Расчет_аналитики'!K4830+SUM('19_Расчет_аналитики'!L4770:L4772)-'19_Расчет_аналитики'!L4803,0)</f>
        <v/>
      </c>
      <c r="M4830">
        <f>IF('01_Вводные'!$B$234="Да",'19_Расчет_аналитики'!L4830+SUM('19_Расчет_аналитики'!M4770:M4772)-'19_Расчет_аналитики'!M4803,0)</f>
        <v/>
      </c>
      <c r="N4830">
        <f>IF('01_Вводные'!$B$234="Да",'19_Расчет_аналитики'!M4830+SUM('19_Расчет_аналитики'!N4770:N4772)-'19_Расчет_аналитики'!N4803,0)</f>
        <v/>
      </c>
      <c r="O4830">
        <f>IF('01_Вводные'!$B$234="Да",'19_Расчет_аналитики'!N4830+SUM('19_Расчет_аналитики'!O4770:O4772)-'19_Расчет_аналитики'!O4803,0)</f>
        <v/>
      </c>
      <c r="P4830">
        <f>IF('01_Вводные'!$B$234="Да",'19_Расчет_аналитики'!O4830+SUM('19_Расчет_аналитики'!P4770:P4772)-'19_Расчет_аналитики'!P4803,0)</f>
        <v/>
      </c>
      <c r="Q4830">
        <f>IF('01_Вводные'!$B$234="Да",'19_Расчет_аналитики'!P4830+SUM('19_Расчет_аналитики'!Q4770:Q4772)-'19_Расчет_аналитики'!Q4803,0)</f>
        <v/>
      </c>
      <c r="R4830">
        <f>IF('01_Вводные'!$B$234="Да",'19_Расчет_аналитики'!Q4830+SUM('19_Расчет_аналитики'!R4770:R4772)-'19_Расчет_аналитики'!R4803,0)</f>
        <v/>
      </c>
      <c r="S4830">
        <f>IF('01_Вводные'!$B$234="Да",'19_Расчет_аналитики'!R4830+SUM('19_Расчет_аналитики'!S4770:S4772)-'19_Расчет_аналитики'!S4803,0)</f>
        <v/>
      </c>
      <c r="T4830">
        <f>IF('01_Вводные'!$B$234="Да",'19_Расчет_аналитики'!S4830+SUM('19_Расчет_аналитики'!T4770:T4772)-'19_Расчет_аналитики'!T4803,0)</f>
        <v/>
      </c>
      <c r="U4830">
        <f>IF('01_Вводные'!$B$234="Да",'19_Расчет_аналитики'!T4830+SUM('19_Расчет_аналитики'!U4770:U4772)-'19_Расчет_аналитики'!U4803,0)</f>
        <v/>
      </c>
      <c r="V4830">
        <f>IF('01_Вводные'!$B$234="Да",'19_Расчет_аналитики'!U4830+SUM('19_Расчет_аналитики'!V4770:V4772)-'19_Расчет_аналитики'!V4803,0)</f>
        <v/>
      </c>
      <c r="W4830">
        <f>IF('01_Вводные'!$B$234="Да",'19_Расчет_аналитики'!V4830+SUM('19_Расчет_аналитики'!W4770:W4772)-'19_Расчет_аналитики'!W4803,0)</f>
        <v/>
      </c>
      <c r="X4830">
        <f>IF('01_Вводные'!$B$234="Да",'19_Расчет_аналитики'!W4830+SUM('19_Расчет_аналитики'!X4770:X4772)-'19_Расчет_аналитики'!X4803,0)</f>
        <v/>
      </c>
      <c r="Y4830">
        <f>IF('01_Вводные'!$B$234="Да",'19_Расчет_аналитики'!X4830+SUM('19_Расчет_аналитики'!Y4770:Y4772)-'19_Расчет_аналитики'!Y4803,0)</f>
        <v/>
      </c>
      <c r="Z4830">
        <f>IF('01_Вводные'!$B$234="Да",'19_Расчет_аналитики'!Y4830+SUM('19_Расчет_аналитики'!Z4770:Z4772)-'19_Расчет_аналитики'!Z4803,0)</f>
        <v/>
      </c>
      <c r="AA4830">
        <f>IF('01_Вводные'!$B$234="Да",'19_Расчет_аналитики'!Z4830+SUM('19_Расчет_аналитики'!AA4770:AA4772)-'19_Расчет_аналитики'!AA4803,0)</f>
        <v/>
      </c>
      <c r="AB4830">
        <f>IF('01_Вводные'!$B$234="Да",'19_Расчет_аналитики'!AA4830+SUM('19_Расчет_аналитики'!AB4770:AB4772)-'19_Расчет_аналитики'!AB4803,0)</f>
        <v/>
      </c>
      <c r="AC4830">
        <f>IF('01_Вводные'!$B$234="Да",'19_Расчет_аналитики'!AB4830+SUM('19_Расчет_аналитики'!AC4770:AC4772)-'19_Расчет_аналитики'!AC4803,0)</f>
        <v/>
      </c>
      <c r="AD4830">
        <f>IF('01_Вводные'!$B$234="Да",'19_Расчет_аналитики'!AC4830+SUM('19_Расчет_аналитики'!AD4770:AD4772)-'19_Расчет_аналитики'!AD4803,0)</f>
        <v/>
      </c>
      <c r="AE4830">
        <f>IF('01_Вводные'!$B$234="Да",'19_Расчет_аналитики'!AD4830+SUM('19_Расчет_аналитики'!AE4770:AE4772)-'19_Расчет_аналитики'!AE4803,0)</f>
        <v/>
      </c>
      <c r="AF4830">
        <f>IF('01_Вводные'!$B$234="Да",'19_Расчет_аналитики'!AE4830+SUM('19_Расчет_аналитики'!AF4770:AF4772)-'19_Расчет_аналитики'!AF4803,0)</f>
        <v/>
      </c>
      <c r="AG4830">
        <f>IF('01_Вводные'!$B$234="Да",'19_Расчет_аналитики'!AF4830+SUM('19_Расчет_аналитики'!AG4770:AG4772)-'19_Расчет_аналитики'!AG4803,0)</f>
        <v/>
      </c>
      <c r="AH4830">
        <f>IF('01_Вводные'!$B$234="Да",'19_Расчет_аналитики'!AG4830+SUM('19_Расчет_аналитики'!AH4770:AH4772)-'19_Расчет_аналитики'!AH4803,0)</f>
        <v/>
      </c>
      <c r="AI4830">
        <f>IF('01_Вводные'!$B$234="Да",'19_Расчет_аналитики'!AH4830+SUM('19_Расчет_аналитики'!AI4770:AI4772)-'19_Расчет_аналитики'!AI4803,0)</f>
        <v/>
      </c>
      <c r="AJ4830">
        <f>IF('01_Вводные'!$B$234="Да",'19_Расчет_аналитики'!AI4830+SUM('19_Расчет_аналитики'!AJ4770:AJ4772)-'19_Расчет_аналитики'!AJ4803,0)</f>
        <v/>
      </c>
      <c r="AK4830">
        <f>IF('01_Вводные'!$B$234="Да",'19_Расчет_аналитики'!AJ4830+SUM('19_Расчет_аналитики'!AK4770:AK4772)-'19_Расчет_аналитики'!AK4803,0)</f>
        <v/>
      </c>
      <c r="AL4830">
        <f>IF('01_Вводные'!$B$234="Да",'19_Расчет_аналитики'!AK4830+SUM('19_Расчет_аналитики'!AL4770:AL4772)-'19_Расчет_аналитики'!AL4803,0)</f>
        <v/>
      </c>
      <c r="AM4830">
        <f>IF('01_Вводные'!$B$234="Да",'19_Расчет_аналитики'!AL4830+SUM('19_Расчет_аналитики'!AM4770:AM4772)-'19_Расчет_аналитики'!AM4803,0)</f>
        <v/>
      </c>
      <c r="AN4830">
        <f>IF('01_Вводные'!$B$234="Да",'19_Расчет_аналитики'!AM4830+SUM('19_Расчет_аналитики'!AN4770:AN4772)-'19_Расчет_аналитики'!AN4803,0)</f>
        <v/>
      </c>
      <c r="AO4830">
        <f>IF('01_Вводные'!$B$234="Да",'19_Расчет_аналитики'!AN4830+SUM('19_Расчет_аналитики'!AO4770:AO4772)-'19_Расчет_аналитики'!AO4803,0)</f>
        <v/>
      </c>
      <c r="AP4830">
        <f>IF('01_Вводные'!$B$234="Да",'19_Расчет_аналитики'!AO4830+SUM('19_Расчет_аналитики'!AP4770:AP4772)-'19_Расчет_аналитики'!AP4803,0)</f>
        <v/>
      </c>
      <c r="AQ4830">
        <f>IF('01_Вводные'!$B$234="Да",'19_Расчет_аналитики'!AP4830+SUM('19_Расчет_аналитики'!AQ4770:AQ4772)-'19_Расчет_аналитики'!AQ4803,0)</f>
        <v/>
      </c>
      <c r="AR4830">
        <f>IF('01_Вводные'!$B$234="Да",'19_Расчет_аналитики'!AQ4830+SUM('19_Расчет_аналитики'!AR4770:AR4772)-'19_Расчет_аналитики'!AR4803,0)</f>
        <v/>
      </c>
      <c r="AS4830">
        <f>IF('01_Вводные'!$B$234="Да",'19_Расчет_аналитики'!AR4830+SUM('19_Расчет_аналитики'!AS4770:AS4772)-'19_Расчет_аналитики'!AS4803,0)</f>
        <v/>
      </c>
      <c r="AT4830">
        <f>IF('01_Вводные'!$B$234="Да",'19_Расчет_аналитики'!AS4830+SUM('19_Расчет_аналитики'!AT4770:AT4772)-'19_Расчет_аналитики'!AT4803,0)</f>
        <v/>
      </c>
      <c r="AU4830">
        <f>IF('01_Вводные'!$B$234="Да",'19_Расчет_аналитики'!AT4830+SUM('19_Расчет_аналитики'!AU4770:AU4772)-'19_Расчет_аналитики'!AU4803,0)</f>
        <v/>
      </c>
      <c r="AV4830">
        <f>IF('01_Вводные'!$B$234="Да",'19_Расчет_аналитики'!AU4830+SUM('19_Расчет_аналитики'!AV4770:AV4772)-'19_Расчет_аналитики'!AV4803,0)</f>
        <v/>
      </c>
      <c r="AW4830">
        <f>IF('01_Вводные'!$B$234="Да",'19_Расчет_аналитики'!AV4830+SUM('19_Расчет_аналитики'!AW4770:AW4772)-'19_Расчет_аналитики'!AW4803,0)</f>
        <v/>
      </c>
      <c r="AX4830">
        <f>IF('01_Вводные'!$B$234="Да",'19_Расчет_аналитики'!AW4830+SUM('19_Расчет_аналитики'!AX4770:AX4772)-'19_Расчет_аналитики'!AX4803,0)</f>
        <v/>
      </c>
      <c r="AY4830">
        <f>IF('01_Вводные'!$B$234="Да",'19_Расчет_аналитики'!AX4830+SUM('19_Расчет_аналитики'!AY4770:AY4772)-'19_Расчет_аналитики'!AY4803,0)</f>
        <v/>
      </c>
      <c r="AZ4830">
        <f>IF('01_Вводные'!$B$234="Да",'19_Расчет_аналитики'!AY4830+SUM('19_Расчет_аналитики'!AZ4770:AZ4772)-'19_Расчет_аналитики'!AZ4803,0)</f>
        <v/>
      </c>
      <c r="BA4830">
        <f>IF('01_Вводные'!$B$234="Да",'19_Расчет_аналитики'!AZ4830+SUM('19_Расчет_аналитики'!BA4770:BA4772)-'19_Расчет_аналитики'!BA4803,0)</f>
        <v/>
      </c>
      <c r="BB4830">
        <f>IF('01_Вводные'!$B$234="Да",'19_Расчет_аналитики'!BA4830+SUM('19_Расчет_аналитики'!BB4770:BB4772)-'19_Расчет_аналитики'!BB4803,0)</f>
        <v/>
      </c>
      <c r="BC4830">
        <f>IF('01_Вводные'!$B$234="Да",'19_Расчет_аналитики'!BB4830+SUM('19_Расчет_аналитики'!BC4770:BC4772)-'19_Расчет_аналитики'!BC4803,0)</f>
        <v/>
      </c>
      <c r="BD4830">
        <f>IF('01_Вводные'!$B$234="Да",'19_Расчет_аналитики'!BC4830+SUM('19_Расчет_аналитики'!BD4770:BD4772)-'19_Расчет_аналитики'!BD4803,0)</f>
        <v/>
      </c>
      <c r="BE4830">
        <f>IF('01_Вводные'!$B$234="Да",'19_Расчет_аналитики'!BD4830+SUM('19_Расчет_аналитики'!BE4770:BE4772)-'19_Расчет_аналитики'!BE4803,0)</f>
        <v/>
      </c>
      <c r="BF4830">
        <f>IF('01_Вводные'!$B$234="Да",'19_Расчет_аналитики'!BE4830+SUM('19_Расчет_аналитики'!BF4770:BF4772)-'19_Расчет_аналитики'!BF4803,0)</f>
        <v/>
      </c>
      <c r="BG4830">
        <f>IF('01_Вводные'!$B$234="Да",'19_Расчет_аналитики'!BF4830+SUM('19_Расчет_аналитики'!BG4770:BG4772)-'19_Расчет_аналитики'!BG4803,0)</f>
        <v/>
      </c>
      <c r="BH4830">
        <f>IF('01_Вводные'!$B$234="Да",'19_Расчет_аналитики'!BG4830+SUM('19_Расчет_аналитики'!BH4770:BH4772)-'19_Расчет_аналитики'!BH4803,0)</f>
        <v/>
      </c>
      <c r="BI4830">
        <f>IF('01_Вводные'!$B$234="Да",'19_Расчет_аналитики'!BH4830+SUM('19_Расчет_аналитики'!BI4770:BI4772)-'19_Расчет_аналитики'!BI4803,0)</f>
        <v/>
      </c>
    </row>
    <row r="4831"/>
    <row r="4832"/>
    <row r="4833"/>
    <row r="4834"/>
    <row r="4835">
      <c r="B4835">
        <f>IF('01_Вводные'!$B$234="Да",MAX(0,'19_Расчет_аналитики'!B4811-'01_Вводные'!$B$237),0)</f>
        <v/>
      </c>
      <c r="C4835">
        <f>IF('01_Вводные'!$B$234="Да",MAX(0,'19_Расчет_аналитики'!C4811-'01_Вводные'!$B$237),0)</f>
        <v/>
      </c>
      <c r="D4835">
        <f>IF('01_Вводные'!$B$234="Да",MAX(0,'19_Расчет_аналитики'!D4811-'01_Вводные'!$B$237),0)</f>
        <v/>
      </c>
      <c r="E4835">
        <f>IF('01_Вводные'!$B$234="Да",MAX(0,'19_Расчет_аналитики'!E4811-'01_Вводные'!$B$237),0)</f>
        <v/>
      </c>
      <c r="F4835">
        <f>IF('01_Вводные'!$B$234="Да",MAX(0,'19_Расчет_аналитики'!F4811-'01_Вводные'!$B$237),0)</f>
        <v/>
      </c>
      <c r="G4835">
        <f>IF('01_Вводные'!$B$234="Да",MAX(0,'19_Расчет_аналитики'!G4811-'01_Вводные'!$B$237),0)</f>
        <v/>
      </c>
      <c r="H4835">
        <f>IF('01_Вводные'!$B$234="Да",MAX(0,'19_Расчет_аналитики'!H4811-'01_Вводные'!$B$237),0)</f>
        <v/>
      </c>
      <c r="I4835">
        <f>IF('01_Вводные'!$B$234="Да",MAX(0,'19_Расчет_аналитики'!I4811-'01_Вводные'!$B$237),0)</f>
        <v/>
      </c>
      <c r="J4835">
        <f>IF('01_Вводные'!$B$234="Да",MAX(0,'19_Расчет_аналитики'!J4811-'01_Вводные'!$B$237),0)</f>
        <v/>
      </c>
      <c r="K4835">
        <f>IF('01_Вводные'!$B$234="Да",MAX(0,'19_Расчет_аналитики'!K4811-'01_Вводные'!$B$237),0)</f>
        <v/>
      </c>
      <c r="L4835">
        <f>IF('01_Вводные'!$B$234="Да",MAX(0,'19_Расчет_аналитики'!L4811-'01_Вводные'!$B$237),0)</f>
        <v/>
      </c>
      <c r="M4835">
        <f>IF('01_Вводные'!$B$234="Да",MAX(0,'19_Расчет_аналитики'!M4811-'01_Вводные'!$B$237),0)</f>
        <v/>
      </c>
      <c r="N4835">
        <f>IF('01_Вводные'!$B$234="Да",MAX(0,'19_Расчет_аналитики'!N4811-'01_Вводные'!$B$237),0)</f>
        <v/>
      </c>
      <c r="O4835">
        <f>IF('01_Вводные'!$B$234="Да",MAX(0,'19_Расчет_аналитики'!O4811-'01_Вводные'!$B$237),0)</f>
        <v/>
      </c>
      <c r="P4835">
        <f>IF('01_Вводные'!$B$234="Да",MAX(0,'19_Расчет_аналитики'!P4811-'01_Вводные'!$B$237),0)</f>
        <v/>
      </c>
      <c r="Q4835">
        <f>IF('01_Вводные'!$B$234="Да",MAX(0,'19_Расчет_аналитики'!Q4811-'01_Вводные'!$B$237),0)</f>
        <v/>
      </c>
      <c r="R4835">
        <f>IF('01_Вводные'!$B$234="Да",MAX(0,'19_Расчет_аналитики'!R4811-'01_Вводные'!$B$237),0)</f>
        <v/>
      </c>
      <c r="S4835">
        <f>IF('01_Вводные'!$B$234="Да",MAX(0,'19_Расчет_аналитики'!S4811-'01_Вводные'!$B$237),0)</f>
        <v/>
      </c>
      <c r="T4835">
        <f>IF('01_Вводные'!$B$234="Да",MAX(0,'19_Расчет_аналитики'!T4811-'01_Вводные'!$B$237),0)</f>
        <v/>
      </c>
      <c r="U4835">
        <f>IF('01_Вводные'!$B$234="Да",MAX(0,'19_Расчет_аналитики'!U4811-'01_Вводные'!$B$237),0)</f>
        <v/>
      </c>
      <c r="V4835">
        <f>IF('01_Вводные'!$B$234="Да",MAX(0,'19_Расчет_аналитики'!V4811-'01_Вводные'!$B$237),0)</f>
        <v/>
      </c>
      <c r="W4835">
        <f>IF('01_Вводные'!$B$234="Да",MAX(0,'19_Расчет_аналитики'!W4811-'01_Вводные'!$B$237),0)</f>
        <v/>
      </c>
      <c r="X4835">
        <f>IF('01_Вводные'!$B$234="Да",MAX(0,'19_Расчет_аналитики'!X4811-'01_Вводные'!$B$237),0)</f>
        <v/>
      </c>
      <c r="Y4835">
        <f>IF('01_Вводные'!$B$234="Да",MAX(0,'19_Расчет_аналитики'!Y4811-'01_Вводные'!$B$237),0)</f>
        <v/>
      </c>
      <c r="Z4835">
        <f>IF('01_Вводные'!$B$234="Да",MAX(0,'19_Расчет_аналитики'!Z4811-'01_Вводные'!$B$237),0)</f>
        <v/>
      </c>
      <c r="AA4835">
        <f>IF('01_Вводные'!$B$234="Да",MAX(0,'19_Расчет_аналитики'!AA4811-'01_Вводные'!$B$237),0)</f>
        <v/>
      </c>
      <c r="AB4835">
        <f>IF('01_Вводные'!$B$234="Да",MAX(0,'19_Расчет_аналитики'!AB4811-'01_Вводные'!$B$237),0)</f>
        <v/>
      </c>
      <c r="AC4835">
        <f>IF('01_Вводные'!$B$234="Да",MAX(0,'19_Расчет_аналитики'!AC4811-'01_Вводные'!$B$237),0)</f>
        <v/>
      </c>
      <c r="AD4835">
        <f>IF('01_Вводные'!$B$234="Да",MAX(0,'19_Расчет_аналитики'!AD4811-'01_Вводные'!$B$237),0)</f>
        <v/>
      </c>
      <c r="AE4835">
        <f>IF('01_Вводные'!$B$234="Да",MAX(0,'19_Расчет_аналитики'!AE4811-'01_Вводные'!$B$237),0)</f>
        <v/>
      </c>
      <c r="AF4835">
        <f>IF('01_Вводные'!$B$234="Да",MAX(0,'19_Расчет_аналитики'!AF4811-'01_Вводные'!$B$237),0)</f>
        <v/>
      </c>
      <c r="AG4835">
        <f>IF('01_Вводные'!$B$234="Да",MAX(0,'19_Расчет_аналитики'!AG4811-'01_Вводные'!$B$237),0)</f>
        <v/>
      </c>
      <c r="AH4835">
        <f>IF('01_Вводные'!$B$234="Да",MAX(0,'19_Расчет_аналитики'!AH4811-'01_Вводные'!$B$237),0)</f>
        <v/>
      </c>
      <c r="AI4835">
        <f>IF('01_Вводные'!$B$234="Да",MAX(0,'19_Расчет_аналитики'!AI4811-'01_Вводные'!$B$237),0)</f>
        <v/>
      </c>
      <c r="AJ4835">
        <f>IF('01_Вводные'!$B$234="Да",MAX(0,'19_Расчет_аналитики'!AJ4811-'01_Вводные'!$B$237),0)</f>
        <v/>
      </c>
      <c r="AK4835">
        <f>IF('01_Вводные'!$B$234="Да",MAX(0,'19_Расчет_аналитики'!AK4811-'01_Вводные'!$B$237),0)</f>
        <v/>
      </c>
      <c r="AL4835">
        <f>IF('01_Вводные'!$B$234="Да",MAX(0,'19_Расчет_аналитики'!AL4811-'01_Вводные'!$B$237),0)</f>
        <v/>
      </c>
      <c r="AM4835">
        <f>IF('01_Вводные'!$B$234="Да",MAX(0,'19_Расчет_аналитики'!AM4811-'01_Вводные'!$B$237),0)</f>
        <v/>
      </c>
      <c r="AN4835">
        <f>IF('01_Вводные'!$B$234="Да",MAX(0,'19_Расчет_аналитики'!AN4811-'01_Вводные'!$B$237),0)</f>
        <v/>
      </c>
      <c r="AO4835">
        <f>IF('01_Вводные'!$B$234="Да",MAX(0,'19_Расчет_аналитики'!AO4811-'01_Вводные'!$B$237),0)</f>
        <v/>
      </c>
      <c r="AP4835">
        <f>IF('01_Вводные'!$B$234="Да",MAX(0,'19_Расчет_аналитики'!AP4811-'01_Вводные'!$B$237),0)</f>
        <v/>
      </c>
      <c r="AQ4835">
        <f>IF('01_Вводные'!$B$234="Да",MAX(0,'19_Расчет_аналитики'!AQ4811-'01_Вводные'!$B$237),0)</f>
        <v/>
      </c>
      <c r="AR4835">
        <f>IF('01_Вводные'!$B$234="Да",MAX(0,'19_Расчет_аналитики'!AR4811-'01_Вводные'!$B$237),0)</f>
        <v/>
      </c>
      <c r="AS4835">
        <f>IF('01_Вводные'!$B$234="Да",MAX(0,'19_Расчет_аналитики'!AS4811-'01_Вводные'!$B$237),0)</f>
        <v/>
      </c>
      <c r="AT4835">
        <f>IF('01_Вводные'!$B$234="Да",MAX(0,'19_Расчет_аналитики'!AT4811-'01_Вводные'!$B$237),0)</f>
        <v/>
      </c>
      <c r="AU4835">
        <f>IF('01_Вводные'!$B$234="Да",MAX(0,'19_Расчет_аналитики'!AU4811-'01_Вводные'!$B$237),0)</f>
        <v/>
      </c>
      <c r="AV4835">
        <f>IF('01_Вводные'!$B$234="Да",MAX(0,'19_Расчет_аналитики'!AV4811-'01_Вводные'!$B$237),0)</f>
        <v/>
      </c>
      <c r="AW4835">
        <f>IF('01_Вводные'!$B$234="Да",MAX(0,'19_Расчет_аналитики'!AW4811-'01_Вводные'!$B$237),0)</f>
        <v/>
      </c>
      <c r="AX4835">
        <f>IF('01_Вводные'!$B$234="Да",MAX(0,'19_Расчет_аналитики'!AX4811-'01_Вводные'!$B$237),0)</f>
        <v/>
      </c>
      <c r="AY4835">
        <f>IF('01_Вводные'!$B$234="Да",MAX(0,'19_Расчет_аналитики'!AY4811-'01_Вводные'!$B$237),0)</f>
        <v/>
      </c>
      <c r="AZ4835">
        <f>IF('01_Вводные'!$B$234="Да",MAX(0,'19_Расчет_аналитики'!AZ4811-'01_Вводные'!$B$237),0)</f>
        <v/>
      </c>
      <c r="BA4835">
        <f>IF('01_Вводные'!$B$234="Да",MAX(0,'19_Расчет_аналитики'!BA4811-'01_Вводные'!$B$237),0)</f>
        <v/>
      </c>
      <c r="BB4835">
        <f>IF('01_Вводные'!$B$234="Да",MAX(0,'19_Расчет_аналитики'!BB4811-'01_Вводные'!$B$237),0)</f>
        <v/>
      </c>
      <c r="BC4835">
        <f>IF('01_Вводные'!$B$234="Да",MAX(0,'19_Расчет_аналитики'!BC4811-'01_Вводные'!$B$237),0)</f>
        <v/>
      </c>
      <c r="BD4835">
        <f>IF('01_Вводные'!$B$234="Да",MAX(0,'19_Расчет_аналитики'!BD4811-'01_Вводные'!$B$237),0)</f>
        <v/>
      </c>
      <c r="BE4835">
        <f>IF('01_Вводные'!$B$234="Да",MAX(0,'19_Расчет_аналитики'!BE4811-'01_Вводные'!$B$237),0)</f>
        <v/>
      </c>
      <c r="BF4835">
        <f>IF('01_Вводные'!$B$234="Да",MAX(0,'19_Расчет_аналитики'!BF4811-'01_Вводные'!$B$237),0)</f>
        <v/>
      </c>
      <c r="BG4835">
        <f>IF('01_Вводные'!$B$234="Да",MAX(0,'19_Расчет_аналитики'!BG4811-'01_Вводные'!$B$237),0)</f>
        <v/>
      </c>
      <c r="BH4835">
        <f>IF('01_Вводные'!$B$234="Да",MAX(0,'19_Расчет_аналитики'!BH4811-'01_Вводные'!$B$237),0)</f>
        <v/>
      </c>
      <c r="BI4835">
        <f>IF('01_Вводные'!$B$234="Да",MAX(0,'19_Расчет_аналитики'!BI4811-'01_Вводные'!$B$237),0)</f>
        <v/>
      </c>
    </row>
    <row r="4836"/>
    <row r="4837"/>
    <row r="4838">
      <c r="B4838">
        <f>IF('01_Вводные'!$B$234="Да",IF('01_Вводные'!$B$288="С НДС",SUM('19_Расчет_аналитики'!B4760:B4763)*(1+'01_Вводные'!$B$58)+'09_Лагеря'!B10,'19_Расчет_аналитики'!B4765),0)</f>
        <v/>
      </c>
      <c r="C4838">
        <f>IF('01_Вводные'!$B$234="Да",IF('01_Вводные'!$B$288="С НДС",SUM('19_Расчет_аналитики'!C4760:C4763)*(1+'01_Вводные'!$B$58)+'09_Лагеря'!C10,'19_Расчет_аналитики'!C4765),0)</f>
        <v/>
      </c>
      <c r="D4838">
        <f>IF('01_Вводные'!$B$234="Да",IF('01_Вводные'!$B$288="С НДС",SUM('19_Расчет_аналитики'!D4760:D4763)*(1+'01_Вводные'!$B$58)+'09_Лагеря'!D10,'19_Расчет_аналитики'!D4765),0)</f>
        <v/>
      </c>
      <c r="E4838">
        <f>IF('01_Вводные'!$B$234="Да",IF('01_Вводные'!$B$288="С НДС",SUM('19_Расчет_аналитики'!E4760:E4763)*(1+'01_Вводные'!$B$58)+'09_Лагеря'!E10,'19_Расчет_аналитики'!E4765),0)</f>
        <v/>
      </c>
      <c r="F4838">
        <f>IF('01_Вводные'!$B$234="Да",IF('01_Вводные'!$B$288="С НДС",SUM('19_Расчет_аналитики'!F4760:F4763)*(1+'01_Вводные'!$B$58)+'09_Лагеря'!F10,'19_Расчет_аналитики'!F4765),0)</f>
        <v/>
      </c>
      <c r="G4838">
        <f>IF('01_Вводные'!$B$234="Да",IF('01_Вводные'!$B$288="С НДС",SUM('19_Расчет_аналитики'!G4760:G4763)*(1+'01_Вводные'!$B$58)+'09_Лагеря'!G10,'19_Расчет_аналитики'!G4765),0)</f>
        <v/>
      </c>
      <c r="H4838">
        <f>IF('01_Вводные'!$B$234="Да",IF('01_Вводные'!$B$288="С НДС",SUM('19_Расчет_аналитики'!H4760:H4763)*(1+'01_Вводные'!$B$58)+'09_Лагеря'!H10,'19_Расчет_аналитики'!H4765),0)</f>
        <v/>
      </c>
      <c r="I4838">
        <f>IF('01_Вводные'!$B$234="Да",IF('01_Вводные'!$B$288="С НДС",SUM('19_Расчет_аналитики'!I4760:I4763)*(1+'01_Вводные'!$B$58)+'09_Лагеря'!I10,'19_Расчет_аналитики'!I4765),0)</f>
        <v/>
      </c>
      <c r="J4838">
        <f>IF('01_Вводные'!$B$234="Да",IF('01_Вводные'!$B$288="С НДС",SUM('19_Расчет_аналитики'!J4760:J4763)*(1+'01_Вводные'!$B$58)+'09_Лагеря'!J10,'19_Расчет_аналитики'!J4765),0)</f>
        <v/>
      </c>
      <c r="K4838">
        <f>IF('01_Вводные'!$B$234="Да",IF('01_Вводные'!$B$288="С НДС",SUM('19_Расчет_аналитики'!K4760:K4763)*(1+'01_Вводные'!$B$58)+'09_Лагеря'!K10,'19_Расчет_аналитики'!K4765),0)</f>
        <v/>
      </c>
      <c r="L4838">
        <f>IF('01_Вводные'!$B$234="Да",IF('01_Вводные'!$B$288="С НДС",SUM('19_Расчет_аналитики'!L4760:L4763)*(1+'01_Вводные'!$B$58)+'09_Лагеря'!L10,'19_Расчет_аналитики'!L4765),0)</f>
        <v/>
      </c>
      <c r="M4838">
        <f>IF('01_Вводные'!$B$234="Да",IF('01_Вводные'!$B$288="С НДС",SUM('19_Расчет_аналитики'!M4760:M4763)*(1+'01_Вводные'!$B$58)+'09_Лагеря'!M10,'19_Расчет_аналитики'!M4765),0)</f>
        <v/>
      </c>
      <c r="N4838">
        <f>IF('01_Вводные'!$B$234="Да",IF('01_Вводные'!$B$288="С НДС",SUM('19_Расчет_аналитики'!N4760:N4763)*(1+'01_Вводные'!$B$58)+'09_Лагеря'!N10,'19_Расчет_аналитики'!N4765),0)</f>
        <v/>
      </c>
      <c r="O4838">
        <f>IF('01_Вводные'!$B$234="Да",IF('01_Вводные'!$B$288="С НДС",SUM('19_Расчет_аналитики'!O4760:O4763)*(1+'01_Вводные'!$B$58)+'09_Лагеря'!O10,'19_Расчет_аналитики'!O4765),0)</f>
        <v/>
      </c>
      <c r="P4838">
        <f>IF('01_Вводные'!$B$234="Да",IF('01_Вводные'!$B$288="С НДС",SUM('19_Расчет_аналитики'!P4760:P4763)*(1+'01_Вводные'!$B$58)+'09_Лагеря'!P10,'19_Расчет_аналитики'!P4765),0)</f>
        <v/>
      </c>
      <c r="Q4838">
        <f>IF('01_Вводные'!$B$234="Да",IF('01_Вводные'!$B$288="С НДС",SUM('19_Расчет_аналитики'!Q4760:Q4763)*(1+'01_Вводные'!$B$58)+'09_Лагеря'!Q10,'19_Расчет_аналитики'!Q4765),0)</f>
        <v/>
      </c>
      <c r="R4838">
        <f>IF('01_Вводные'!$B$234="Да",IF('01_Вводные'!$B$288="С НДС",SUM('19_Расчет_аналитики'!R4760:R4763)*(1+'01_Вводные'!$B$58)+'09_Лагеря'!R10,'19_Расчет_аналитики'!R4765),0)</f>
        <v/>
      </c>
      <c r="S4838">
        <f>IF('01_Вводные'!$B$234="Да",IF('01_Вводные'!$B$288="С НДС",SUM('19_Расчет_аналитики'!S4760:S4763)*(1+'01_Вводные'!$B$58)+'09_Лагеря'!S10,'19_Расчет_аналитики'!S4765),0)</f>
        <v/>
      </c>
      <c r="T4838">
        <f>IF('01_Вводные'!$B$234="Да",IF('01_Вводные'!$B$288="С НДС",SUM('19_Расчет_аналитики'!T4760:T4763)*(1+'01_Вводные'!$B$58)+'09_Лагеря'!T10,'19_Расчет_аналитики'!T4765),0)</f>
        <v/>
      </c>
      <c r="U4838">
        <f>IF('01_Вводные'!$B$234="Да",IF('01_Вводные'!$B$288="С НДС",SUM('19_Расчет_аналитики'!U4760:U4763)*(1+'01_Вводные'!$B$58)+'09_Лагеря'!U10,'19_Расчет_аналитики'!U4765),0)</f>
        <v/>
      </c>
      <c r="V4838">
        <f>IF('01_Вводные'!$B$234="Да",IF('01_Вводные'!$B$288="С НДС",SUM('19_Расчет_аналитики'!V4760:V4763)*(1+'01_Вводные'!$B$58)+'09_Лагеря'!V10,'19_Расчет_аналитики'!V4765),0)</f>
        <v/>
      </c>
      <c r="W4838">
        <f>IF('01_Вводные'!$B$234="Да",IF('01_Вводные'!$B$288="С НДС",SUM('19_Расчет_аналитики'!W4760:W4763)*(1+'01_Вводные'!$B$58)+'09_Лагеря'!W10,'19_Расчет_аналитики'!W4765),0)</f>
        <v/>
      </c>
      <c r="X4838">
        <f>IF('01_Вводные'!$B$234="Да",IF('01_Вводные'!$B$288="С НДС",SUM('19_Расчет_аналитики'!X4760:X4763)*(1+'01_Вводные'!$B$58)+'09_Лагеря'!X10,'19_Расчет_аналитики'!X4765),0)</f>
        <v/>
      </c>
      <c r="Y4838">
        <f>IF('01_Вводные'!$B$234="Да",IF('01_Вводные'!$B$288="С НДС",SUM('19_Расчет_аналитики'!Y4760:Y4763)*(1+'01_Вводные'!$B$58)+'09_Лагеря'!Y10,'19_Расчет_аналитики'!Y4765),0)</f>
        <v/>
      </c>
      <c r="Z4838">
        <f>IF('01_Вводные'!$B$234="Да",IF('01_Вводные'!$B$288="С НДС",SUM('19_Расчет_аналитики'!Z4760:Z4763)*(1+'01_Вводные'!$B$58)+'09_Лагеря'!Z10,'19_Расчет_аналитики'!Z4765),0)</f>
        <v/>
      </c>
      <c r="AA4838">
        <f>IF('01_Вводные'!$B$234="Да",IF('01_Вводные'!$B$288="С НДС",SUM('19_Расчет_аналитики'!AA4760:AA4763)*(1+'01_Вводные'!$B$58)+'09_Лагеря'!AA10,'19_Расчет_аналитики'!AA4765),0)</f>
        <v/>
      </c>
      <c r="AB4838">
        <f>IF('01_Вводные'!$B$234="Да",IF('01_Вводные'!$B$288="С НДС",SUM('19_Расчет_аналитики'!AB4760:AB4763)*(1+'01_Вводные'!$B$58)+'09_Лагеря'!AB10,'19_Расчет_аналитики'!AB4765),0)</f>
        <v/>
      </c>
      <c r="AC4838">
        <f>IF('01_Вводные'!$B$234="Да",IF('01_Вводные'!$B$288="С НДС",SUM('19_Расчет_аналитики'!AC4760:AC4763)*(1+'01_Вводные'!$B$58)+'09_Лагеря'!AC10,'19_Расчет_аналитики'!AC4765),0)</f>
        <v/>
      </c>
      <c r="AD4838">
        <f>IF('01_Вводные'!$B$234="Да",IF('01_Вводные'!$B$288="С НДС",SUM('19_Расчет_аналитики'!AD4760:AD4763)*(1+'01_Вводные'!$B$58)+'09_Лагеря'!AD10,'19_Расчет_аналитики'!AD4765),0)</f>
        <v/>
      </c>
      <c r="AE4838">
        <f>IF('01_Вводные'!$B$234="Да",IF('01_Вводные'!$B$288="С НДС",SUM('19_Расчет_аналитики'!AE4760:AE4763)*(1+'01_Вводные'!$B$58)+'09_Лагеря'!AE10,'19_Расчет_аналитики'!AE4765),0)</f>
        <v/>
      </c>
      <c r="AF4838">
        <f>IF('01_Вводные'!$B$234="Да",IF('01_Вводные'!$B$288="С НДС",SUM('19_Расчет_аналитики'!AF4760:AF4763)*(1+'01_Вводные'!$B$58)+'09_Лагеря'!AF10,'19_Расчет_аналитики'!AF4765),0)</f>
        <v/>
      </c>
      <c r="AG4838">
        <f>IF('01_Вводные'!$B$234="Да",IF('01_Вводные'!$B$288="С НДС",SUM('19_Расчет_аналитики'!AG4760:AG4763)*(1+'01_Вводные'!$B$58)+'09_Лагеря'!AG10,'19_Расчет_аналитики'!AG4765),0)</f>
        <v/>
      </c>
      <c r="AH4838">
        <f>IF('01_Вводные'!$B$234="Да",IF('01_Вводные'!$B$288="С НДС",SUM('19_Расчет_аналитики'!AH4760:AH4763)*(1+'01_Вводные'!$B$58)+'09_Лагеря'!AH10,'19_Расчет_аналитики'!AH4765),0)</f>
        <v/>
      </c>
      <c r="AI4838">
        <f>IF('01_Вводные'!$B$234="Да",IF('01_Вводные'!$B$288="С НДС",SUM('19_Расчет_аналитики'!AI4760:AI4763)*(1+'01_Вводные'!$B$58)+'09_Лагеря'!AI10,'19_Расчет_аналитики'!AI4765),0)</f>
        <v/>
      </c>
      <c r="AJ4838">
        <f>IF('01_Вводные'!$B$234="Да",IF('01_Вводные'!$B$288="С НДС",SUM('19_Расчет_аналитики'!AJ4760:AJ4763)*(1+'01_Вводные'!$B$58)+'09_Лагеря'!AJ10,'19_Расчет_аналитики'!AJ4765),0)</f>
        <v/>
      </c>
      <c r="AK4838">
        <f>IF('01_Вводные'!$B$234="Да",IF('01_Вводные'!$B$288="С НДС",SUM('19_Расчет_аналитики'!AK4760:AK4763)*(1+'01_Вводные'!$B$58)+'09_Лагеря'!AK10,'19_Расчет_аналитики'!AK4765),0)</f>
        <v/>
      </c>
      <c r="AL4838">
        <f>IF('01_Вводные'!$B$234="Да",IF('01_Вводные'!$B$288="С НДС",SUM('19_Расчет_аналитики'!AL4760:AL4763)*(1+'01_Вводные'!$B$58)+'09_Лагеря'!AL10,'19_Расчет_аналитики'!AL4765),0)</f>
        <v/>
      </c>
      <c r="AM4838">
        <f>IF('01_Вводные'!$B$234="Да",IF('01_Вводные'!$B$288="С НДС",SUM('19_Расчет_аналитики'!AM4760:AM4763)*(1+'01_Вводные'!$B$58)+'09_Лагеря'!AM10,'19_Расчет_аналитики'!AM4765),0)</f>
        <v/>
      </c>
      <c r="AN4838">
        <f>IF('01_Вводные'!$B$234="Да",IF('01_Вводные'!$B$288="С НДС",SUM('19_Расчет_аналитики'!AN4760:AN4763)*(1+'01_Вводные'!$B$58)+'09_Лагеря'!AN10,'19_Расчет_аналитики'!AN4765),0)</f>
        <v/>
      </c>
      <c r="AO4838">
        <f>IF('01_Вводные'!$B$234="Да",IF('01_Вводные'!$B$288="С НДС",SUM('19_Расчет_аналитики'!AO4760:AO4763)*(1+'01_Вводные'!$B$58)+'09_Лагеря'!AO10,'19_Расчет_аналитики'!AO4765),0)</f>
        <v/>
      </c>
      <c r="AP4838">
        <f>IF('01_Вводные'!$B$234="Да",IF('01_Вводные'!$B$288="С НДС",SUM('19_Расчет_аналитики'!AP4760:AP4763)*(1+'01_Вводные'!$B$58)+'09_Лагеря'!AP10,'19_Расчет_аналитики'!AP4765),0)</f>
        <v/>
      </c>
      <c r="AQ4838">
        <f>IF('01_Вводные'!$B$234="Да",IF('01_Вводные'!$B$288="С НДС",SUM('19_Расчет_аналитики'!AQ4760:AQ4763)*(1+'01_Вводные'!$B$58)+'09_Лагеря'!AQ10,'19_Расчет_аналитики'!AQ4765),0)</f>
        <v/>
      </c>
      <c r="AR4838">
        <f>IF('01_Вводные'!$B$234="Да",IF('01_Вводные'!$B$288="С НДС",SUM('19_Расчет_аналитики'!AR4760:AR4763)*(1+'01_Вводные'!$B$58)+'09_Лагеря'!AR10,'19_Расчет_аналитики'!AR4765),0)</f>
        <v/>
      </c>
      <c r="AS4838">
        <f>IF('01_Вводные'!$B$234="Да",IF('01_Вводные'!$B$288="С НДС",SUM('19_Расчет_аналитики'!AS4760:AS4763)*(1+'01_Вводные'!$B$58)+'09_Лагеря'!AS10,'19_Расчет_аналитики'!AS4765),0)</f>
        <v/>
      </c>
      <c r="AT4838">
        <f>IF('01_Вводные'!$B$234="Да",IF('01_Вводные'!$B$288="С НДС",SUM('19_Расчет_аналитики'!AT4760:AT4763)*(1+'01_Вводные'!$B$58)+'09_Лагеря'!AT10,'19_Расчет_аналитики'!AT4765),0)</f>
        <v/>
      </c>
      <c r="AU4838">
        <f>IF('01_Вводные'!$B$234="Да",IF('01_Вводные'!$B$288="С НДС",SUM('19_Расчет_аналитики'!AU4760:AU4763)*(1+'01_Вводные'!$B$58)+'09_Лагеря'!AU10,'19_Расчет_аналитики'!AU4765),0)</f>
        <v/>
      </c>
      <c r="AV4838">
        <f>IF('01_Вводные'!$B$234="Да",IF('01_Вводные'!$B$288="С НДС",SUM('19_Расчет_аналитики'!AV4760:AV4763)*(1+'01_Вводные'!$B$58)+'09_Лагеря'!AV10,'19_Расчет_аналитики'!AV4765),0)</f>
        <v/>
      </c>
      <c r="AW4838">
        <f>IF('01_Вводные'!$B$234="Да",IF('01_Вводные'!$B$288="С НДС",SUM('19_Расчет_аналитики'!AW4760:AW4763)*(1+'01_Вводные'!$B$58)+'09_Лагеря'!AW10,'19_Расчет_аналитики'!AW4765),0)</f>
        <v/>
      </c>
      <c r="AX4838">
        <f>IF('01_Вводные'!$B$234="Да",IF('01_Вводные'!$B$288="С НДС",SUM('19_Расчет_аналитики'!AX4760:AX4763)*(1+'01_Вводные'!$B$58)+'09_Лагеря'!AX10,'19_Расчет_аналитики'!AX4765),0)</f>
        <v/>
      </c>
      <c r="AY4838">
        <f>IF('01_Вводные'!$B$234="Да",IF('01_Вводные'!$B$288="С НДС",SUM('19_Расчет_аналитики'!AY4760:AY4763)*(1+'01_Вводные'!$B$58)+'09_Лагеря'!AY10,'19_Расчет_аналитики'!AY4765),0)</f>
        <v/>
      </c>
      <c r="AZ4838">
        <f>IF('01_Вводные'!$B$234="Да",IF('01_Вводные'!$B$288="С НДС",SUM('19_Расчет_аналитики'!AZ4760:AZ4763)*(1+'01_Вводные'!$B$58)+'09_Лагеря'!AZ10,'19_Расчет_аналитики'!AZ4765),0)</f>
        <v/>
      </c>
      <c r="BA4838">
        <f>IF('01_Вводные'!$B$234="Да",IF('01_Вводные'!$B$288="С НДС",SUM('19_Расчет_аналитики'!BA4760:BA4763)*(1+'01_Вводные'!$B$58)+'09_Лагеря'!BA10,'19_Расчет_аналитики'!BA4765),0)</f>
        <v/>
      </c>
      <c r="BB4838">
        <f>IF('01_Вводные'!$B$234="Да",IF('01_Вводные'!$B$288="С НДС",SUM('19_Расчет_аналитики'!BB4760:BB4763)*(1+'01_Вводные'!$B$58)+'09_Лагеря'!BB10,'19_Расчет_аналитики'!BB4765),0)</f>
        <v/>
      </c>
      <c r="BC4838">
        <f>IF('01_Вводные'!$B$234="Да",IF('01_Вводные'!$B$288="С НДС",SUM('19_Расчет_аналитики'!BC4760:BC4763)*(1+'01_Вводные'!$B$58)+'09_Лагеря'!BC10,'19_Расчет_аналитики'!BC4765),0)</f>
        <v/>
      </c>
      <c r="BD4838">
        <f>IF('01_Вводные'!$B$234="Да",IF('01_Вводные'!$B$288="С НДС",SUM('19_Расчет_аналитики'!BD4760:BD4763)*(1+'01_Вводные'!$B$58)+'09_Лагеря'!BD10,'19_Расчет_аналитики'!BD4765),0)</f>
        <v/>
      </c>
      <c r="BE4838">
        <f>IF('01_Вводные'!$B$234="Да",IF('01_Вводные'!$B$288="С НДС",SUM('19_Расчет_аналитики'!BE4760:BE4763)*(1+'01_Вводные'!$B$58)+'09_Лагеря'!BE10,'19_Расчет_аналитики'!BE4765),0)</f>
        <v/>
      </c>
      <c r="BF4838">
        <f>IF('01_Вводные'!$B$234="Да",IF('01_Вводные'!$B$288="С НДС",SUM('19_Расчет_аналитики'!BF4760:BF4763)*(1+'01_Вводные'!$B$58)+'09_Лагеря'!BF10,'19_Расчет_аналитики'!BF4765),0)</f>
        <v/>
      </c>
      <c r="BG4838">
        <f>IF('01_Вводные'!$B$234="Да",IF('01_Вводные'!$B$288="С НДС",SUM('19_Расчет_аналитики'!BG4760:BG4763)*(1+'01_Вводные'!$B$58)+'09_Лагеря'!BG10,'19_Расчет_аналитики'!BG4765),0)</f>
        <v/>
      </c>
      <c r="BH4838">
        <f>IF('01_Вводные'!$B$234="Да",IF('01_Вводные'!$B$288="С НДС",SUM('19_Расчет_аналитики'!BH4760:BH4763)*(1+'01_Вводные'!$B$58)+'09_Лагеря'!BH10,'19_Расчет_аналитики'!BH4765),0)</f>
        <v/>
      </c>
      <c r="BI4838">
        <f>IF('01_Вводные'!$B$234="Да",IF('01_Вводные'!$B$288="С НДС",SUM('19_Расчет_аналитики'!BI4760:BI4763)*(1+'01_Вводные'!$B$58)+'09_Лагеря'!BI10,'19_Расчет_аналитики'!BI4765),0)</f>
        <v/>
      </c>
    </row>
    <row r="4839">
      <c r="B4839">
        <f>IF('01_Вводные'!$B$234="Да",IF('01_Вводные'!$B$290="Да",'19_Расчет_аналитики'!B4838*'01_Вводные'!$B$286,0),0)</f>
        <v/>
      </c>
      <c r="C4839">
        <f>IF('01_Вводные'!$B$234="Да",IF('01_Вводные'!$B$290="Да",'19_Расчет_аналитики'!C4838*'01_Вводные'!$B$286,0),0)</f>
        <v/>
      </c>
      <c r="D4839">
        <f>IF('01_Вводные'!$B$234="Да",IF('01_Вводные'!$B$290="Да",'19_Расчет_аналитики'!D4838*'01_Вводные'!$B$286,0),0)</f>
        <v/>
      </c>
      <c r="E4839">
        <f>IF('01_Вводные'!$B$234="Да",IF('01_Вводные'!$B$290="Да",'19_Расчет_аналитики'!E4838*'01_Вводные'!$B$286,0),0)</f>
        <v/>
      </c>
      <c r="F4839">
        <f>IF('01_Вводные'!$B$234="Да",IF('01_Вводные'!$B$290="Да",'19_Расчет_аналитики'!F4838*'01_Вводные'!$B$286,0),0)</f>
        <v/>
      </c>
      <c r="G4839">
        <f>IF('01_Вводные'!$B$234="Да",IF('01_Вводные'!$B$290="Да",'19_Расчет_аналитики'!G4838*'01_Вводные'!$B$286,0),0)</f>
        <v/>
      </c>
      <c r="H4839">
        <f>IF('01_Вводные'!$B$234="Да",IF('01_Вводные'!$B$290="Да",'19_Расчет_аналитики'!H4838*'01_Вводные'!$B$286,0),0)</f>
        <v/>
      </c>
      <c r="I4839">
        <f>IF('01_Вводные'!$B$234="Да",IF('01_Вводные'!$B$290="Да",'19_Расчет_аналитики'!I4838*'01_Вводные'!$B$286,0),0)</f>
        <v/>
      </c>
      <c r="J4839">
        <f>IF('01_Вводные'!$B$234="Да",IF('01_Вводные'!$B$290="Да",'19_Расчет_аналитики'!J4838*'01_Вводные'!$B$286,0),0)</f>
        <v/>
      </c>
      <c r="K4839">
        <f>IF('01_Вводные'!$B$234="Да",IF('01_Вводные'!$B$290="Да",'19_Расчет_аналитики'!K4838*'01_Вводные'!$B$286,0),0)</f>
        <v/>
      </c>
      <c r="L4839">
        <f>IF('01_Вводные'!$B$234="Да",IF('01_Вводные'!$B$290="Да",'19_Расчет_аналитики'!L4838*'01_Вводные'!$B$286,0),0)</f>
        <v/>
      </c>
      <c r="M4839">
        <f>IF('01_Вводные'!$B$234="Да",IF('01_Вводные'!$B$290="Да",'19_Расчет_аналитики'!M4838*'01_Вводные'!$B$286,0),0)</f>
        <v/>
      </c>
      <c r="N4839">
        <f>IF('01_Вводные'!$B$234="Да",IF('01_Вводные'!$B$290="Да",'19_Расчет_аналитики'!N4838*'01_Вводные'!$B$286,0),0)</f>
        <v/>
      </c>
      <c r="O4839">
        <f>IF('01_Вводные'!$B$234="Да",IF('01_Вводные'!$B$290="Да",'19_Расчет_аналитики'!O4838*'01_Вводные'!$B$286,0),0)</f>
        <v/>
      </c>
      <c r="P4839">
        <f>IF('01_Вводные'!$B$234="Да",IF('01_Вводные'!$B$290="Да",'19_Расчет_аналитики'!P4838*'01_Вводные'!$B$286,0),0)</f>
        <v/>
      </c>
      <c r="Q4839">
        <f>IF('01_Вводные'!$B$234="Да",IF('01_Вводные'!$B$290="Да",'19_Расчет_аналитики'!Q4838*'01_Вводные'!$B$286,0),0)</f>
        <v/>
      </c>
      <c r="R4839">
        <f>IF('01_Вводные'!$B$234="Да",IF('01_Вводные'!$B$290="Да",'19_Расчет_аналитики'!R4838*'01_Вводные'!$B$286,0),0)</f>
        <v/>
      </c>
      <c r="S4839">
        <f>IF('01_Вводные'!$B$234="Да",IF('01_Вводные'!$B$290="Да",'19_Расчет_аналитики'!S4838*'01_Вводные'!$B$286,0),0)</f>
        <v/>
      </c>
      <c r="T4839">
        <f>IF('01_Вводные'!$B$234="Да",IF('01_Вводные'!$B$290="Да",'19_Расчет_аналитики'!T4838*'01_Вводные'!$B$286,0),0)</f>
        <v/>
      </c>
      <c r="U4839">
        <f>IF('01_Вводные'!$B$234="Да",IF('01_Вводные'!$B$290="Да",'19_Расчет_аналитики'!U4838*'01_Вводные'!$B$286,0),0)</f>
        <v/>
      </c>
      <c r="V4839">
        <f>IF('01_Вводные'!$B$234="Да",IF('01_Вводные'!$B$290="Да",'19_Расчет_аналитики'!V4838*'01_Вводные'!$B$286,0),0)</f>
        <v/>
      </c>
      <c r="W4839">
        <f>IF('01_Вводные'!$B$234="Да",IF('01_Вводные'!$B$290="Да",'19_Расчет_аналитики'!W4838*'01_Вводные'!$B$286,0),0)</f>
        <v/>
      </c>
      <c r="X4839">
        <f>IF('01_Вводные'!$B$234="Да",IF('01_Вводные'!$B$290="Да",'19_Расчет_аналитики'!X4838*'01_Вводные'!$B$286,0),0)</f>
        <v/>
      </c>
      <c r="Y4839">
        <f>IF('01_Вводные'!$B$234="Да",IF('01_Вводные'!$B$290="Да",'19_Расчет_аналитики'!Y4838*'01_Вводные'!$B$286,0),0)</f>
        <v/>
      </c>
      <c r="Z4839">
        <f>IF('01_Вводные'!$B$234="Да",IF('01_Вводные'!$B$290="Да",'19_Расчет_аналитики'!Z4838*'01_Вводные'!$B$286,0),0)</f>
        <v/>
      </c>
      <c r="AA4839">
        <f>IF('01_Вводные'!$B$234="Да",IF('01_Вводные'!$B$290="Да",'19_Расчет_аналитики'!AA4838*'01_Вводные'!$B$286,0),0)</f>
        <v/>
      </c>
      <c r="AB4839">
        <f>IF('01_Вводные'!$B$234="Да",IF('01_Вводные'!$B$290="Да",'19_Расчет_аналитики'!AB4838*'01_Вводные'!$B$286,0),0)</f>
        <v/>
      </c>
      <c r="AC4839">
        <f>IF('01_Вводные'!$B$234="Да",IF('01_Вводные'!$B$290="Да",'19_Расчет_аналитики'!AC4838*'01_Вводные'!$B$286,0),0)</f>
        <v/>
      </c>
      <c r="AD4839">
        <f>IF('01_Вводные'!$B$234="Да",IF('01_Вводные'!$B$290="Да",'19_Расчет_аналитики'!AD4838*'01_Вводные'!$B$286,0),0)</f>
        <v/>
      </c>
      <c r="AE4839">
        <f>IF('01_Вводные'!$B$234="Да",IF('01_Вводные'!$B$290="Да",'19_Расчет_аналитики'!AE4838*'01_Вводные'!$B$286,0),0)</f>
        <v/>
      </c>
      <c r="AF4839">
        <f>IF('01_Вводные'!$B$234="Да",IF('01_Вводные'!$B$290="Да",'19_Расчет_аналитики'!AF4838*'01_Вводные'!$B$286,0),0)</f>
        <v/>
      </c>
      <c r="AG4839">
        <f>IF('01_Вводные'!$B$234="Да",IF('01_Вводные'!$B$290="Да",'19_Расчет_аналитики'!AG4838*'01_Вводные'!$B$286,0),0)</f>
        <v/>
      </c>
      <c r="AH4839">
        <f>IF('01_Вводные'!$B$234="Да",IF('01_Вводные'!$B$290="Да",'19_Расчет_аналитики'!AH4838*'01_Вводные'!$B$286,0),0)</f>
        <v/>
      </c>
      <c r="AI4839">
        <f>IF('01_Вводные'!$B$234="Да",IF('01_Вводные'!$B$290="Да",'19_Расчет_аналитики'!AI4838*'01_Вводные'!$B$286,0),0)</f>
        <v/>
      </c>
      <c r="AJ4839">
        <f>IF('01_Вводные'!$B$234="Да",IF('01_Вводные'!$B$290="Да",'19_Расчет_аналитики'!AJ4838*'01_Вводные'!$B$286,0),0)</f>
        <v/>
      </c>
      <c r="AK4839">
        <f>IF('01_Вводные'!$B$234="Да",IF('01_Вводные'!$B$290="Да",'19_Расчет_аналитики'!AK4838*'01_Вводные'!$B$286,0),0)</f>
        <v/>
      </c>
      <c r="AL4839">
        <f>IF('01_Вводные'!$B$234="Да",IF('01_Вводные'!$B$290="Да",'19_Расчет_аналитики'!AL4838*'01_Вводные'!$B$286,0),0)</f>
        <v/>
      </c>
      <c r="AM4839">
        <f>IF('01_Вводные'!$B$234="Да",IF('01_Вводные'!$B$290="Да",'19_Расчет_аналитики'!AM4838*'01_Вводные'!$B$286,0),0)</f>
        <v/>
      </c>
      <c r="AN4839">
        <f>IF('01_Вводные'!$B$234="Да",IF('01_Вводные'!$B$290="Да",'19_Расчет_аналитики'!AN4838*'01_Вводные'!$B$286,0),0)</f>
        <v/>
      </c>
      <c r="AO4839">
        <f>IF('01_Вводные'!$B$234="Да",IF('01_Вводные'!$B$290="Да",'19_Расчет_аналитики'!AO4838*'01_Вводные'!$B$286,0),0)</f>
        <v/>
      </c>
      <c r="AP4839">
        <f>IF('01_Вводные'!$B$234="Да",IF('01_Вводные'!$B$290="Да",'19_Расчет_аналитики'!AP4838*'01_Вводные'!$B$286,0),0)</f>
        <v/>
      </c>
      <c r="AQ4839">
        <f>IF('01_Вводные'!$B$234="Да",IF('01_Вводные'!$B$290="Да",'19_Расчет_аналитики'!AQ4838*'01_Вводные'!$B$286,0),0)</f>
        <v/>
      </c>
      <c r="AR4839">
        <f>IF('01_Вводные'!$B$234="Да",IF('01_Вводные'!$B$290="Да",'19_Расчет_аналитики'!AR4838*'01_Вводные'!$B$286,0),0)</f>
        <v/>
      </c>
      <c r="AS4839">
        <f>IF('01_Вводные'!$B$234="Да",IF('01_Вводные'!$B$290="Да",'19_Расчет_аналитики'!AS4838*'01_Вводные'!$B$286,0),0)</f>
        <v/>
      </c>
      <c r="AT4839">
        <f>IF('01_Вводные'!$B$234="Да",IF('01_Вводные'!$B$290="Да",'19_Расчет_аналитики'!AT4838*'01_Вводные'!$B$286,0),0)</f>
        <v/>
      </c>
      <c r="AU4839">
        <f>IF('01_Вводные'!$B$234="Да",IF('01_Вводные'!$B$290="Да",'19_Расчет_аналитики'!AU4838*'01_Вводные'!$B$286,0),0)</f>
        <v/>
      </c>
      <c r="AV4839">
        <f>IF('01_Вводные'!$B$234="Да",IF('01_Вводные'!$B$290="Да",'19_Расчет_аналитики'!AV4838*'01_Вводные'!$B$286,0),0)</f>
        <v/>
      </c>
      <c r="AW4839">
        <f>IF('01_Вводные'!$B$234="Да",IF('01_Вводные'!$B$290="Да",'19_Расчет_аналитики'!AW4838*'01_Вводные'!$B$286,0),0)</f>
        <v/>
      </c>
      <c r="AX4839">
        <f>IF('01_Вводные'!$B$234="Да",IF('01_Вводные'!$B$290="Да",'19_Расчет_аналитики'!AX4838*'01_Вводные'!$B$286,0),0)</f>
        <v/>
      </c>
      <c r="AY4839">
        <f>IF('01_Вводные'!$B$234="Да",IF('01_Вводные'!$B$290="Да",'19_Расчет_аналитики'!AY4838*'01_Вводные'!$B$286,0),0)</f>
        <v/>
      </c>
      <c r="AZ4839">
        <f>IF('01_Вводные'!$B$234="Да",IF('01_Вводные'!$B$290="Да",'19_Расчет_аналитики'!AZ4838*'01_Вводные'!$B$286,0),0)</f>
        <v/>
      </c>
      <c r="BA4839">
        <f>IF('01_Вводные'!$B$234="Да",IF('01_Вводные'!$B$290="Да",'19_Расчет_аналитики'!BA4838*'01_Вводные'!$B$286,0),0)</f>
        <v/>
      </c>
      <c r="BB4839">
        <f>IF('01_Вводные'!$B$234="Да",IF('01_Вводные'!$B$290="Да",'19_Расчет_аналитики'!BB4838*'01_Вводные'!$B$286,0),0)</f>
        <v/>
      </c>
      <c r="BC4839">
        <f>IF('01_Вводные'!$B$234="Да",IF('01_Вводные'!$B$290="Да",'19_Расчет_аналитики'!BC4838*'01_Вводные'!$B$286,0),0)</f>
        <v/>
      </c>
      <c r="BD4839">
        <f>IF('01_Вводные'!$B$234="Да",IF('01_Вводные'!$B$290="Да",'19_Расчет_аналитики'!BD4838*'01_Вводные'!$B$286,0),0)</f>
        <v/>
      </c>
      <c r="BE4839">
        <f>IF('01_Вводные'!$B$234="Да",IF('01_Вводные'!$B$290="Да",'19_Расчет_аналитики'!BE4838*'01_Вводные'!$B$286,0),0)</f>
        <v/>
      </c>
      <c r="BF4839">
        <f>IF('01_Вводные'!$B$234="Да",IF('01_Вводные'!$B$290="Да",'19_Расчет_аналитики'!BF4838*'01_Вводные'!$B$286,0),0)</f>
        <v/>
      </c>
      <c r="BG4839">
        <f>IF('01_Вводные'!$B$234="Да",IF('01_Вводные'!$B$290="Да",'19_Расчет_аналитики'!BG4838*'01_Вводные'!$B$286,0),0)</f>
        <v/>
      </c>
      <c r="BH4839">
        <f>IF('01_Вводные'!$B$234="Да",IF('01_Вводные'!$B$290="Да",'19_Расчет_аналитики'!BH4838*'01_Вводные'!$B$286,0),0)</f>
        <v/>
      </c>
      <c r="BI4839">
        <f>IF('01_Вводные'!$B$234="Да",IF('01_Вводные'!$B$290="Да",'19_Расчет_аналитики'!BI4838*'01_Вводные'!$B$286,0),0)</f>
        <v/>
      </c>
    </row>
    <row r="4840">
      <c r="B4840">
        <f>'02_Модель'!B98</f>
        <v/>
      </c>
      <c r="C4840">
        <f>'02_Модель'!C98</f>
        <v/>
      </c>
      <c r="D4840">
        <f>'02_Модель'!D98</f>
        <v/>
      </c>
      <c r="E4840">
        <f>'02_Модель'!E98</f>
        <v/>
      </c>
      <c r="F4840">
        <f>'02_Модель'!F98</f>
        <v/>
      </c>
      <c r="G4840">
        <f>'02_Модель'!G98</f>
        <v/>
      </c>
      <c r="H4840">
        <f>'02_Модель'!H98</f>
        <v/>
      </c>
      <c r="I4840">
        <f>'02_Модель'!I98</f>
        <v/>
      </c>
      <c r="J4840">
        <f>'02_Модель'!J98</f>
        <v/>
      </c>
      <c r="K4840">
        <f>'02_Модель'!K98</f>
        <v/>
      </c>
      <c r="L4840">
        <f>'02_Модель'!L98</f>
        <v/>
      </c>
      <c r="M4840">
        <f>'02_Модель'!M98</f>
        <v/>
      </c>
      <c r="N4840">
        <f>'02_Модель'!N98</f>
        <v/>
      </c>
      <c r="O4840">
        <f>'02_Модель'!O98</f>
        <v/>
      </c>
      <c r="P4840">
        <f>'02_Модель'!P98</f>
        <v/>
      </c>
      <c r="Q4840">
        <f>'02_Модель'!Q98</f>
        <v/>
      </c>
      <c r="R4840">
        <f>'02_Модель'!R98</f>
        <v/>
      </c>
      <c r="S4840">
        <f>'02_Модель'!S98</f>
        <v/>
      </c>
      <c r="T4840">
        <f>'02_Модель'!T98</f>
        <v/>
      </c>
      <c r="U4840">
        <f>'02_Модель'!U98</f>
        <v/>
      </c>
      <c r="V4840">
        <f>'02_Модель'!V98</f>
        <v/>
      </c>
      <c r="W4840">
        <f>'02_Модель'!W98</f>
        <v/>
      </c>
      <c r="X4840">
        <f>'02_Модель'!X98</f>
        <v/>
      </c>
      <c r="Y4840">
        <f>'02_Модель'!Y98</f>
        <v/>
      </c>
      <c r="Z4840">
        <f>'02_Модель'!Z98</f>
        <v/>
      </c>
      <c r="AA4840">
        <f>'02_Модель'!AA98</f>
        <v/>
      </c>
      <c r="AB4840">
        <f>'02_Модель'!AB98</f>
        <v/>
      </c>
      <c r="AC4840">
        <f>'02_Модель'!AC98</f>
        <v/>
      </c>
      <c r="AD4840">
        <f>'02_Модель'!AD98</f>
        <v/>
      </c>
      <c r="AE4840">
        <f>'02_Модель'!AE98</f>
        <v/>
      </c>
      <c r="AF4840">
        <f>'02_Модель'!AF98</f>
        <v/>
      </c>
      <c r="AG4840">
        <f>'02_Модель'!AG98</f>
        <v/>
      </c>
      <c r="AH4840">
        <f>'02_Модель'!AH98</f>
        <v/>
      </c>
      <c r="AI4840">
        <f>'02_Модель'!AI98</f>
        <v/>
      </c>
      <c r="AJ4840">
        <f>'02_Модель'!AJ98</f>
        <v/>
      </c>
      <c r="AK4840">
        <f>'02_Модель'!AK98</f>
        <v/>
      </c>
      <c r="AL4840">
        <f>'02_Модель'!AL98</f>
        <v/>
      </c>
      <c r="AM4840">
        <f>'02_Модель'!AM98</f>
        <v/>
      </c>
      <c r="AN4840">
        <f>'02_Модель'!AN98</f>
        <v/>
      </c>
      <c r="AO4840">
        <f>'02_Модель'!AO98</f>
        <v/>
      </c>
      <c r="AP4840">
        <f>'02_Модель'!AP98</f>
        <v/>
      </c>
      <c r="AQ4840">
        <f>'02_Модель'!AQ98</f>
        <v/>
      </c>
      <c r="AR4840">
        <f>'02_Модель'!AR98</f>
        <v/>
      </c>
      <c r="AS4840">
        <f>'02_Модель'!AS98</f>
        <v/>
      </c>
      <c r="AT4840">
        <f>'02_Модель'!AT98</f>
        <v/>
      </c>
      <c r="AU4840">
        <f>'02_Модель'!AU98</f>
        <v/>
      </c>
      <c r="AV4840">
        <f>'02_Модель'!AV98</f>
        <v/>
      </c>
      <c r="AW4840">
        <f>'02_Модель'!AW98</f>
        <v/>
      </c>
      <c r="AX4840">
        <f>'02_Модель'!AX98</f>
        <v/>
      </c>
      <c r="AY4840">
        <f>'02_Модель'!AY98</f>
        <v/>
      </c>
      <c r="AZ4840">
        <f>'02_Модель'!AZ98</f>
        <v/>
      </c>
      <c r="BA4840">
        <f>'02_Модель'!BA98</f>
        <v/>
      </c>
      <c r="BB4840">
        <f>'02_Модель'!BB98</f>
        <v/>
      </c>
      <c r="BC4840">
        <f>'02_Модель'!BC98</f>
        <v/>
      </c>
      <c r="BD4840">
        <f>'02_Модель'!BD98</f>
        <v/>
      </c>
      <c r="BE4840">
        <f>'02_Модель'!BE98</f>
        <v/>
      </c>
      <c r="BF4840">
        <f>'02_Модель'!BF98</f>
        <v/>
      </c>
      <c r="BG4840">
        <f>'02_Модель'!BG98</f>
        <v/>
      </c>
      <c r="BH4840">
        <f>'02_Модель'!BH98</f>
        <v/>
      </c>
      <c r="BI4840">
        <f>'02_Модель'!BI98</f>
        <v/>
      </c>
    </row>
    <row r="4841">
      <c r="B4841">
        <f>IF('01_Вводные'!$B$234="Да",SUM('19_Расчет_аналитики'!B4839:B4840),0)</f>
        <v/>
      </c>
      <c r="C4841">
        <f>IF('01_Вводные'!$B$234="Да",SUM('19_Расчет_аналитики'!C4839:C4840),0)</f>
        <v/>
      </c>
      <c r="D4841">
        <f>IF('01_Вводные'!$B$234="Да",SUM('19_Расчет_аналитики'!D4839:D4840),0)</f>
        <v/>
      </c>
      <c r="E4841">
        <f>IF('01_Вводные'!$B$234="Да",SUM('19_Расчет_аналитики'!E4839:E4840),0)</f>
        <v/>
      </c>
      <c r="F4841">
        <f>IF('01_Вводные'!$B$234="Да",SUM('19_Расчет_аналитики'!F4839:F4840),0)</f>
        <v/>
      </c>
      <c r="G4841">
        <f>IF('01_Вводные'!$B$234="Да",SUM('19_Расчет_аналитики'!G4839:G4840),0)</f>
        <v/>
      </c>
      <c r="H4841">
        <f>IF('01_Вводные'!$B$234="Да",SUM('19_Расчет_аналитики'!H4839:H4840),0)</f>
        <v/>
      </c>
      <c r="I4841">
        <f>IF('01_Вводные'!$B$234="Да",SUM('19_Расчет_аналитики'!I4839:I4840),0)</f>
        <v/>
      </c>
      <c r="J4841">
        <f>IF('01_Вводные'!$B$234="Да",SUM('19_Расчет_аналитики'!J4839:J4840),0)</f>
        <v/>
      </c>
      <c r="K4841">
        <f>IF('01_Вводные'!$B$234="Да",SUM('19_Расчет_аналитики'!K4839:K4840),0)</f>
        <v/>
      </c>
      <c r="L4841">
        <f>IF('01_Вводные'!$B$234="Да",SUM('19_Расчет_аналитики'!L4839:L4840),0)</f>
        <v/>
      </c>
      <c r="M4841">
        <f>IF('01_Вводные'!$B$234="Да",SUM('19_Расчет_аналитики'!M4839:M4840),0)</f>
        <v/>
      </c>
      <c r="N4841">
        <f>IF('01_Вводные'!$B$234="Да",SUM('19_Расчет_аналитики'!N4839:N4840),0)</f>
        <v/>
      </c>
      <c r="O4841">
        <f>IF('01_Вводные'!$B$234="Да",SUM('19_Расчет_аналитики'!O4839:O4840),0)</f>
        <v/>
      </c>
      <c r="P4841">
        <f>IF('01_Вводные'!$B$234="Да",SUM('19_Расчет_аналитики'!P4839:P4840),0)</f>
        <v/>
      </c>
      <c r="Q4841">
        <f>IF('01_Вводные'!$B$234="Да",SUM('19_Расчет_аналитики'!Q4839:Q4840),0)</f>
        <v/>
      </c>
      <c r="R4841">
        <f>IF('01_Вводные'!$B$234="Да",SUM('19_Расчет_аналитики'!R4839:R4840),0)</f>
        <v/>
      </c>
      <c r="S4841">
        <f>IF('01_Вводные'!$B$234="Да",SUM('19_Расчет_аналитики'!S4839:S4840),0)</f>
        <v/>
      </c>
      <c r="T4841">
        <f>IF('01_Вводные'!$B$234="Да",SUM('19_Расчет_аналитики'!T4839:T4840),0)</f>
        <v/>
      </c>
      <c r="U4841">
        <f>IF('01_Вводные'!$B$234="Да",SUM('19_Расчет_аналитики'!U4839:U4840),0)</f>
        <v/>
      </c>
      <c r="V4841">
        <f>IF('01_Вводные'!$B$234="Да",SUM('19_Расчет_аналитики'!V4839:V4840),0)</f>
        <v/>
      </c>
      <c r="W4841">
        <f>IF('01_Вводные'!$B$234="Да",SUM('19_Расчет_аналитики'!W4839:W4840),0)</f>
        <v/>
      </c>
      <c r="X4841">
        <f>IF('01_Вводные'!$B$234="Да",SUM('19_Расчет_аналитики'!X4839:X4840),0)</f>
        <v/>
      </c>
      <c r="Y4841">
        <f>IF('01_Вводные'!$B$234="Да",SUM('19_Расчет_аналитики'!Y4839:Y4840),0)</f>
        <v/>
      </c>
      <c r="Z4841">
        <f>IF('01_Вводные'!$B$234="Да",SUM('19_Расчет_аналитики'!Z4839:Z4840),0)</f>
        <v/>
      </c>
      <c r="AA4841">
        <f>IF('01_Вводные'!$B$234="Да",SUM('19_Расчет_аналитики'!AA4839:AA4840),0)</f>
        <v/>
      </c>
      <c r="AB4841">
        <f>IF('01_Вводные'!$B$234="Да",SUM('19_Расчет_аналитики'!AB4839:AB4840),0)</f>
        <v/>
      </c>
      <c r="AC4841">
        <f>IF('01_Вводные'!$B$234="Да",SUM('19_Расчет_аналитики'!AC4839:AC4840),0)</f>
        <v/>
      </c>
      <c r="AD4841">
        <f>IF('01_Вводные'!$B$234="Да",SUM('19_Расчет_аналитики'!AD4839:AD4840),0)</f>
        <v/>
      </c>
      <c r="AE4841">
        <f>IF('01_Вводные'!$B$234="Да",SUM('19_Расчет_аналитики'!AE4839:AE4840),0)</f>
        <v/>
      </c>
      <c r="AF4841">
        <f>IF('01_Вводные'!$B$234="Да",SUM('19_Расчет_аналитики'!AF4839:AF4840),0)</f>
        <v/>
      </c>
      <c r="AG4841">
        <f>IF('01_Вводные'!$B$234="Да",SUM('19_Расчет_аналитики'!AG4839:AG4840),0)</f>
        <v/>
      </c>
      <c r="AH4841">
        <f>IF('01_Вводные'!$B$234="Да",SUM('19_Расчет_аналитики'!AH4839:AH4840),0)</f>
        <v/>
      </c>
      <c r="AI4841">
        <f>IF('01_Вводные'!$B$234="Да",SUM('19_Расчет_аналитики'!AI4839:AI4840),0)</f>
        <v/>
      </c>
      <c r="AJ4841">
        <f>IF('01_Вводные'!$B$234="Да",SUM('19_Расчет_аналитики'!AJ4839:AJ4840),0)</f>
        <v/>
      </c>
      <c r="AK4841">
        <f>IF('01_Вводные'!$B$234="Да",SUM('19_Расчет_аналитики'!AK4839:AK4840),0)</f>
        <v/>
      </c>
      <c r="AL4841">
        <f>IF('01_Вводные'!$B$234="Да",SUM('19_Расчет_аналитики'!AL4839:AL4840),0)</f>
        <v/>
      </c>
      <c r="AM4841">
        <f>IF('01_Вводные'!$B$234="Да",SUM('19_Расчет_аналитики'!AM4839:AM4840),0)</f>
        <v/>
      </c>
      <c r="AN4841">
        <f>IF('01_Вводные'!$B$234="Да",SUM('19_Расчет_аналитики'!AN4839:AN4840),0)</f>
        <v/>
      </c>
      <c r="AO4841">
        <f>IF('01_Вводные'!$B$234="Да",SUM('19_Расчет_аналитики'!AO4839:AO4840),0)</f>
        <v/>
      </c>
      <c r="AP4841">
        <f>IF('01_Вводные'!$B$234="Да",SUM('19_Расчет_аналитики'!AP4839:AP4840),0)</f>
        <v/>
      </c>
      <c r="AQ4841">
        <f>IF('01_Вводные'!$B$234="Да",SUM('19_Расчет_аналитики'!AQ4839:AQ4840),0)</f>
        <v/>
      </c>
      <c r="AR4841">
        <f>IF('01_Вводные'!$B$234="Да",SUM('19_Расчет_аналитики'!AR4839:AR4840),0)</f>
        <v/>
      </c>
      <c r="AS4841">
        <f>IF('01_Вводные'!$B$234="Да",SUM('19_Расчет_аналитики'!AS4839:AS4840),0)</f>
        <v/>
      </c>
      <c r="AT4841">
        <f>IF('01_Вводные'!$B$234="Да",SUM('19_Расчет_аналитики'!AT4839:AT4840),0)</f>
        <v/>
      </c>
      <c r="AU4841">
        <f>IF('01_Вводные'!$B$234="Да",SUM('19_Расчет_аналитики'!AU4839:AU4840),0)</f>
        <v/>
      </c>
      <c r="AV4841">
        <f>IF('01_Вводные'!$B$234="Да",SUM('19_Расчет_аналитики'!AV4839:AV4840),0)</f>
        <v/>
      </c>
      <c r="AW4841">
        <f>IF('01_Вводные'!$B$234="Да",SUM('19_Расчет_аналитики'!AW4839:AW4840),0)</f>
        <v/>
      </c>
      <c r="AX4841">
        <f>IF('01_Вводные'!$B$234="Да",SUM('19_Расчет_аналитики'!AX4839:AX4840),0)</f>
        <v/>
      </c>
      <c r="AY4841">
        <f>IF('01_Вводные'!$B$234="Да",SUM('19_Расчет_аналитики'!AY4839:AY4840),0)</f>
        <v/>
      </c>
      <c r="AZ4841">
        <f>IF('01_Вводные'!$B$234="Да",SUM('19_Расчет_аналитики'!AZ4839:AZ4840),0)</f>
        <v/>
      </c>
      <c r="BA4841">
        <f>IF('01_Вводные'!$B$234="Да",SUM('19_Расчет_аналитики'!BA4839:BA4840),0)</f>
        <v/>
      </c>
      <c r="BB4841">
        <f>IF('01_Вводные'!$B$234="Да",SUM('19_Расчет_аналитики'!BB4839:BB4840),0)</f>
        <v/>
      </c>
      <c r="BC4841">
        <f>IF('01_Вводные'!$B$234="Да",SUM('19_Расчет_аналитики'!BC4839:BC4840),0)</f>
        <v/>
      </c>
      <c r="BD4841">
        <f>IF('01_Вводные'!$B$234="Да",SUM('19_Расчет_аналитики'!BD4839:BD4840),0)</f>
        <v/>
      </c>
      <c r="BE4841">
        <f>IF('01_Вводные'!$B$234="Да",SUM('19_Расчет_аналитики'!BE4839:BE4840),0)</f>
        <v/>
      </c>
      <c r="BF4841">
        <f>IF('01_Вводные'!$B$234="Да",SUM('19_Расчет_аналитики'!BF4839:BF4840),0)</f>
        <v/>
      </c>
      <c r="BG4841">
        <f>IF('01_Вводные'!$B$234="Да",SUM('19_Расчет_аналитики'!BG4839:BG4840),0)</f>
        <v/>
      </c>
      <c r="BH4841">
        <f>IF('01_Вводные'!$B$234="Да",SUM('19_Расчет_аналитики'!BH4839:BH4840),0)</f>
        <v/>
      </c>
      <c r="BI4841">
        <f>IF('01_Вводные'!$B$234="Да",SUM('19_Расчет_аналитики'!BI4839:BI4840),0)</f>
        <v/>
      </c>
    </row>
    <row r="4842">
      <c r="B4842">
        <f>IF('01_Вводные'!$B$234="Да",SUM('19_Расчет_аналитики'!$B4841:B4841),0)</f>
        <v/>
      </c>
      <c r="C4842">
        <f>IF('01_Вводные'!$B$234="Да",SUM('19_Расчет_аналитики'!$B4841:C4841),0)</f>
        <v/>
      </c>
      <c r="D4842">
        <f>IF('01_Вводные'!$B$234="Да",SUM('19_Расчет_аналитики'!$B4841:D4841),0)</f>
        <v/>
      </c>
      <c r="E4842">
        <f>IF('01_Вводные'!$B$234="Да",SUM('19_Расчет_аналитики'!$B4841:E4841),0)</f>
        <v/>
      </c>
      <c r="F4842">
        <f>IF('01_Вводные'!$B$234="Да",SUM('19_Расчет_аналитики'!$B4841:F4841),0)</f>
        <v/>
      </c>
      <c r="G4842">
        <f>IF('01_Вводные'!$B$234="Да",SUM('19_Расчет_аналитики'!$B4841:G4841),0)</f>
        <v/>
      </c>
      <c r="H4842">
        <f>IF('01_Вводные'!$B$234="Да",SUM('19_Расчет_аналитики'!$B4841:H4841),0)</f>
        <v/>
      </c>
      <c r="I4842">
        <f>IF('01_Вводные'!$B$234="Да",SUM('19_Расчет_аналитики'!$B4841:I4841),0)</f>
        <v/>
      </c>
      <c r="J4842">
        <f>IF('01_Вводные'!$B$234="Да",SUM('19_Расчет_аналитики'!$B4841:J4841),0)</f>
        <v/>
      </c>
      <c r="K4842">
        <f>IF('01_Вводные'!$B$234="Да",SUM('19_Расчет_аналитики'!$B4841:K4841),0)</f>
        <v/>
      </c>
      <c r="L4842">
        <f>IF('01_Вводные'!$B$234="Да",SUM('19_Расчет_аналитики'!$B4841:L4841),0)</f>
        <v/>
      </c>
      <c r="M4842">
        <f>IF('01_Вводные'!$B$234="Да",SUM('19_Расчет_аналитики'!$B4841:M4841),0)</f>
        <v/>
      </c>
      <c r="N4842">
        <f>IF('01_Вводные'!$B$234="Да",SUM('19_Расчет_аналитики'!$B4841:N4841),0)</f>
        <v/>
      </c>
      <c r="O4842">
        <f>IF('01_Вводные'!$B$234="Да",SUM('19_Расчет_аналитики'!$B4841:O4841),0)</f>
        <v/>
      </c>
      <c r="P4842">
        <f>IF('01_Вводные'!$B$234="Да",SUM('19_Расчет_аналитики'!$B4841:P4841),0)</f>
        <v/>
      </c>
      <c r="Q4842">
        <f>IF('01_Вводные'!$B$234="Да",SUM('19_Расчет_аналитики'!$B4841:Q4841),0)</f>
        <v/>
      </c>
      <c r="R4842">
        <f>IF('01_Вводные'!$B$234="Да",SUM('19_Расчет_аналитики'!$B4841:R4841),0)</f>
        <v/>
      </c>
      <c r="S4842">
        <f>IF('01_Вводные'!$B$234="Да",SUM('19_Расчет_аналитики'!$B4841:S4841),0)</f>
        <v/>
      </c>
      <c r="T4842">
        <f>IF('01_Вводные'!$B$234="Да",SUM('19_Расчет_аналитики'!$B4841:T4841),0)</f>
        <v/>
      </c>
      <c r="U4842">
        <f>IF('01_Вводные'!$B$234="Да",SUM('19_Расчет_аналитики'!$B4841:U4841),0)</f>
        <v/>
      </c>
      <c r="V4842">
        <f>IF('01_Вводные'!$B$234="Да",SUM('19_Расчет_аналитики'!$B4841:V4841),0)</f>
        <v/>
      </c>
      <c r="W4842">
        <f>IF('01_Вводные'!$B$234="Да",SUM('19_Расчет_аналитики'!$B4841:W4841),0)</f>
        <v/>
      </c>
      <c r="X4842">
        <f>IF('01_Вводные'!$B$234="Да",SUM('19_Расчет_аналитики'!$B4841:X4841),0)</f>
        <v/>
      </c>
      <c r="Y4842">
        <f>IF('01_Вводные'!$B$234="Да",SUM('19_Расчет_аналитики'!$B4841:Y4841),0)</f>
        <v/>
      </c>
      <c r="Z4842">
        <f>IF('01_Вводные'!$B$234="Да",SUM('19_Расчет_аналитики'!$B4841:Z4841),0)</f>
        <v/>
      </c>
      <c r="AA4842">
        <f>IF('01_Вводные'!$B$234="Да",SUM('19_Расчет_аналитики'!$B4841:AA4841),0)</f>
        <v/>
      </c>
      <c r="AB4842">
        <f>IF('01_Вводные'!$B$234="Да",SUM('19_Расчет_аналитики'!$B4841:AB4841),0)</f>
        <v/>
      </c>
      <c r="AC4842">
        <f>IF('01_Вводные'!$B$234="Да",SUM('19_Расчет_аналитики'!$B4841:AC4841),0)</f>
        <v/>
      </c>
      <c r="AD4842">
        <f>IF('01_Вводные'!$B$234="Да",SUM('19_Расчет_аналитики'!$B4841:AD4841),0)</f>
        <v/>
      </c>
      <c r="AE4842">
        <f>IF('01_Вводные'!$B$234="Да",SUM('19_Расчет_аналитики'!$B4841:AE4841),0)</f>
        <v/>
      </c>
      <c r="AF4842">
        <f>IF('01_Вводные'!$B$234="Да",SUM('19_Расчет_аналитики'!$B4841:AF4841),0)</f>
        <v/>
      </c>
      <c r="AG4842">
        <f>IF('01_Вводные'!$B$234="Да",SUM('19_Расчет_аналитики'!$B4841:AG4841),0)</f>
        <v/>
      </c>
      <c r="AH4842">
        <f>IF('01_Вводные'!$B$234="Да",SUM('19_Расчет_аналитики'!$B4841:AH4841),0)</f>
        <v/>
      </c>
      <c r="AI4842">
        <f>IF('01_Вводные'!$B$234="Да",SUM('19_Расчет_аналитики'!$B4841:AI4841),0)</f>
        <v/>
      </c>
      <c r="AJ4842">
        <f>IF('01_Вводные'!$B$234="Да",SUM('19_Расчет_аналитики'!$B4841:AJ4841),0)</f>
        <v/>
      </c>
      <c r="AK4842">
        <f>IF('01_Вводные'!$B$234="Да",SUM('19_Расчет_аналитики'!$B4841:AK4841),0)</f>
        <v/>
      </c>
      <c r="AL4842">
        <f>IF('01_Вводные'!$B$234="Да",SUM('19_Расчет_аналитики'!$B4841:AL4841),0)</f>
        <v/>
      </c>
      <c r="AM4842">
        <f>IF('01_Вводные'!$B$234="Да",SUM('19_Расчет_аналитики'!$B4841:AM4841),0)</f>
        <v/>
      </c>
      <c r="AN4842">
        <f>IF('01_Вводные'!$B$234="Да",SUM('19_Расчет_аналитики'!$B4841:AN4841),0)</f>
        <v/>
      </c>
      <c r="AO4842">
        <f>IF('01_Вводные'!$B$234="Да",SUM('19_Расчет_аналитики'!$B4841:AO4841),0)</f>
        <v/>
      </c>
      <c r="AP4842">
        <f>IF('01_Вводные'!$B$234="Да",SUM('19_Расчет_аналитики'!$B4841:AP4841),0)</f>
        <v/>
      </c>
      <c r="AQ4842">
        <f>IF('01_Вводные'!$B$234="Да",SUM('19_Расчет_аналитики'!$B4841:AQ4841),0)</f>
        <v/>
      </c>
      <c r="AR4842">
        <f>IF('01_Вводные'!$B$234="Да",SUM('19_Расчет_аналитики'!$B4841:AR4841),0)</f>
        <v/>
      </c>
      <c r="AS4842">
        <f>IF('01_Вводные'!$B$234="Да",SUM('19_Расчет_аналитики'!$B4841:AS4841),0)</f>
        <v/>
      </c>
      <c r="AT4842">
        <f>IF('01_Вводные'!$B$234="Да",SUM('19_Расчет_аналитики'!$B4841:AT4841),0)</f>
        <v/>
      </c>
      <c r="AU4842">
        <f>IF('01_Вводные'!$B$234="Да",SUM('19_Расчет_аналитики'!$B4841:AU4841),0)</f>
        <v/>
      </c>
      <c r="AV4842">
        <f>IF('01_Вводные'!$B$234="Да",SUM('19_Расчет_аналитики'!$B4841:AV4841),0)</f>
        <v/>
      </c>
      <c r="AW4842">
        <f>IF('01_Вводные'!$B$234="Да",SUM('19_Расчет_аналитики'!$B4841:AW4841),0)</f>
        <v/>
      </c>
      <c r="AX4842">
        <f>IF('01_Вводные'!$B$234="Да",SUM('19_Расчет_аналитики'!$B4841:AX4841),0)</f>
        <v/>
      </c>
      <c r="AY4842">
        <f>IF('01_Вводные'!$B$234="Да",SUM('19_Расчет_аналитики'!$B4841:AY4841),0)</f>
        <v/>
      </c>
      <c r="AZ4842">
        <f>IF('01_Вводные'!$B$234="Да",SUM('19_Расчет_аналитики'!$B4841:AZ4841),0)</f>
        <v/>
      </c>
      <c r="BA4842">
        <f>IF('01_Вводные'!$B$234="Да",SUM('19_Расчет_аналитики'!$B4841:BA4841),0)</f>
        <v/>
      </c>
      <c r="BB4842">
        <f>IF('01_Вводные'!$B$234="Да",SUM('19_Расчет_аналитики'!$B4841:BB4841),0)</f>
        <v/>
      </c>
      <c r="BC4842">
        <f>IF('01_Вводные'!$B$234="Да",SUM('19_Расчет_аналитики'!$B4841:BC4841),0)</f>
        <v/>
      </c>
      <c r="BD4842">
        <f>IF('01_Вводные'!$B$234="Да",SUM('19_Расчет_аналитики'!$B4841:BD4841),0)</f>
        <v/>
      </c>
      <c r="BE4842">
        <f>IF('01_Вводные'!$B$234="Да",SUM('19_Расчет_аналитики'!$B4841:BE4841),0)</f>
        <v/>
      </c>
      <c r="BF4842">
        <f>IF('01_Вводные'!$B$234="Да",SUM('19_Расчет_аналитики'!$B4841:BF4841),0)</f>
        <v/>
      </c>
      <c r="BG4842">
        <f>IF('01_Вводные'!$B$234="Да",SUM('19_Расчет_аналитики'!$B4841:BG4841),0)</f>
        <v/>
      </c>
      <c r="BH4842">
        <f>IF('01_Вводные'!$B$234="Да",SUM('19_Расчет_аналитики'!$B4841:BH4841),0)</f>
        <v/>
      </c>
      <c r="BI4842">
        <f>IF('01_Вводные'!$B$234="Да",SUM('19_Расчет_аналитики'!$B4841:BI4841),0)</f>
        <v/>
      </c>
    </row>
    <row r="4843"/>
    <row r="4844"/>
    <row r="4845"/>
    <row r="4846"/>
    <row r="4847"/>
    <row r="4848"/>
    <row r="4849"/>
    <row r="4850"/>
    <row r="4851"/>
    <row r="4852"/>
    <row r="4853">
      <c r="B4853">
        <f>IF('01_Вводные'!$B$234="Да",INDEX('19_Расчет_аналитики'!$C$4123:$C$4127,MIN(5,INT(0/12)+1),1)*'18_Календарь_тарифы'!B4,0)</f>
        <v/>
      </c>
      <c r="C4853">
        <f>IF('01_Вводные'!$B$234="Да",INDEX('19_Расчет_аналитики'!$C$4123:$C$4127,MIN(5,INT(1/12)+1),1)*'18_Календарь_тарифы'!C4,0)</f>
        <v/>
      </c>
      <c r="D4853">
        <f>IF('01_Вводные'!$B$234="Да",INDEX('19_Расчет_аналитики'!$C$4123:$C$4127,MIN(5,INT(2/12)+1),1)*'18_Календарь_тарифы'!D4,0)</f>
        <v/>
      </c>
      <c r="E4853">
        <f>IF('01_Вводные'!$B$234="Да",INDEX('19_Расчет_аналитики'!$C$4123:$C$4127,MIN(5,INT(3/12)+1),1)*'18_Календарь_тарифы'!E4,0)</f>
        <v/>
      </c>
      <c r="F4853">
        <f>IF('01_Вводные'!$B$234="Да",INDEX('19_Расчет_аналитики'!$C$4123:$C$4127,MIN(5,INT(4/12)+1),1)*'18_Календарь_тарифы'!F4,0)</f>
        <v/>
      </c>
      <c r="G4853">
        <f>IF('01_Вводные'!$B$234="Да",INDEX('19_Расчет_аналитики'!$C$4123:$C$4127,MIN(5,INT(5/12)+1),1)*'18_Календарь_тарифы'!G4,0)</f>
        <v/>
      </c>
      <c r="H4853">
        <f>IF('01_Вводные'!$B$234="Да",INDEX('19_Расчет_аналитики'!$C$4123:$C$4127,MIN(5,INT(6/12)+1),1)*'18_Календарь_тарифы'!H4,0)</f>
        <v/>
      </c>
      <c r="I4853">
        <f>IF('01_Вводные'!$B$234="Да",INDEX('19_Расчет_аналитики'!$C$4123:$C$4127,MIN(5,INT(7/12)+1),1)*'18_Календарь_тарифы'!I4,0)</f>
        <v/>
      </c>
      <c r="J4853">
        <f>IF('01_Вводные'!$B$234="Да",INDEX('19_Расчет_аналитики'!$C$4123:$C$4127,MIN(5,INT(8/12)+1),1)*'18_Календарь_тарифы'!J4,0)</f>
        <v/>
      </c>
      <c r="K4853">
        <f>IF('01_Вводные'!$B$234="Да",INDEX('19_Расчет_аналитики'!$C$4123:$C$4127,MIN(5,INT(9/12)+1),1)*'18_Календарь_тарифы'!K4,0)</f>
        <v/>
      </c>
      <c r="L4853">
        <f>IF('01_Вводные'!$B$234="Да",INDEX('19_Расчет_аналитики'!$C$4123:$C$4127,MIN(5,INT(10/12)+1),1)*'18_Календарь_тарифы'!L4,0)</f>
        <v/>
      </c>
      <c r="M4853">
        <f>IF('01_Вводные'!$B$234="Да",INDEX('19_Расчет_аналитики'!$C$4123:$C$4127,MIN(5,INT(11/12)+1),1)*'18_Календарь_тарифы'!M4,0)</f>
        <v/>
      </c>
      <c r="N4853">
        <f>IF('01_Вводные'!$B$234="Да",INDEX('19_Расчет_аналитики'!$C$4123:$C$4127,MIN(5,INT(12/12)+1),1)*'18_Календарь_тарифы'!N4,0)</f>
        <v/>
      </c>
      <c r="O4853">
        <f>IF('01_Вводные'!$B$234="Да",INDEX('19_Расчет_аналитики'!$C$4123:$C$4127,MIN(5,INT(13/12)+1),1)*'18_Календарь_тарифы'!O4,0)</f>
        <v/>
      </c>
      <c r="P4853">
        <f>IF('01_Вводные'!$B$234="Да",INDEX('19_Расчет_аналитики'!$C$4123:$C$4127,MIN(5,INT(14/12)+1),1)*'18_Календарь_тарифы'!P4,0)</f>
        <v/>
      </c>
      <c r="Q4853">
        <f>IF('01_Вводные'!$B$234="Да",INDEX('19_Расчет_аналитики'!$C$4123:$C$4127,MIN(5,INT(15/12)+1),1)*'18_Календарь_тарифы'!Q4,0)</f>
        <v/>
      </c>
      <c r="R4853">
        <f>IF('01_Вводные'!$B$234="Да",INDEX('19_Расчет_аналитики'!$C$4123:$C$4127,MIN(5,INT(16/12)+1),1)*'18_Календарь_тарифы'!R4,0)</f>
        <v/>
      </c>
      <c r="S4853">
        <f>IF('01_Вводные'!$B$234="Да",INDEX('19_Расчет_аналитики'!$C$4123:$C$4127,MIN(5,INT(17/12)+1),1)*'18_Календарь_тарифы'!S4,0)</f>
        <v/>
      </c>
      <c r="T4853">
        <f>IF('01_Вводные'!$B$234="Да",INDEX('19_Расчет_аналитики'!$C$4123:$C$4127,MIN(5,INT(18/12)+1),1)*'18_Календарь_тарифы'!T4,0)</f>
        <v/>
      </c>
      <c r="U4853">
        <f>IF('01_Вводные'!$B$234="Да",INDEX('19_Расчет_аналитики'!$C$4123:$C$4127,MIN(5,INT(19/12)+1),1)*'18_Календарь_тарифы'!U4,0)</f>
        <v/>
      </c>
      <c r="V4853">
        <f>IF('01_Вводные'!$B$234="Да",INDEX('19_Расчет_аналитики'!$C$4123:$C$4127,MIN(5,INT(20/12)+1),1)*'18_Календарь_тарифы'!V4,0)</f>
        <v/>
      </c>
      <c r="W4853">
        <f>IF('01_Вводные'!$B$234="Да",INDEX('19_Расчет_аналитики'!$C$4123:$C$4127,MIN(5,INT(21/12)+1),1)*'18_Календарь_тарифы'!W4,0)</f>
        <v/>
      </c>
      <c r="X4853">
        <f>IF('01_Вводные'!$B$234="Да",INDEX('19_Расчет_аналитики'!$C$4123:$C$4127,MIN(5,INT(22/12)+1),1)*'18_Календарь_тарифы'!X4,0)</f>
        <v/>
      </c>
      <c r="Y4853">
        <f>IF('01_Вводные'!$B$234="Да",INDEX('19_Расчет_аналитики'!$C$4123:$C$4127,MIN(5,INT(23/12)+1),1)*'18_Календарь_тарифы'!Y4,0)</f>
        <v/>
      </c>
      <c r="Z4853">
        <f>IF('01_Вводные'!$B$234="Да",INDEX('19_Расчет_аналитики'!$C$4123:$C$4127,MIN(5,INT(24/12)+1),1)*'18_Календарь_тарифы'!Z4,0)</f>
        <v/>
      </c>
      <c r="AA4853">
        <f>IF('01_Вводные'!$B$234="Да",INDEX('19_Расчет_аналитики'!$C$4123:$C$4127,MIN(5,INT(25/12)+1),1)*'18_Календарь_тарифы'!AA4,0)</f>
        <v/>
      </c>
      <c r="AB4853">
        <f>IF('01_Вводные'!$B$234="Да",INDEX('19_Расчет_аналитики'!$C$4123:$C$4127,MIN(5,INT(26/12)+1),1)*'18_Календарь_тарифы'!AB4,0)</f>
        <v/>
      </c>
      <c r="AC4853">
        <f>IF('01_Вводные'!$B$234="Да",INDEX('19_Расчет_аналитики'!$C$4123:$C$4127,MIN(5,INT(27/12)+1),1)*'18_Календарь_тарифы'!AC4,0)</f>
        <v/>
      </c>
      <c r="AD4853">
        <f>IF('01_Вводные'!$B$234="Да",INDEX('19_Расчет_аналитики'!$C$4123:$C$4127,MIN(5,INT(28/12)+1),1)*'18_Календарь_тарифы'!AD4,0)</f>
        <v/>
      </c>
      <c r="AE4853">
        <f>IF('01_Вводные'!$B$234="Да",INDEX('19_Расчет_аналитики'!$C$4123:$C$4127,MIN(5,INT(29/12)+1),1)*'18_Календарь_тарифы'!AE4,0)</f>
        <v/>
      </c>
      <c r="AF4853">
        <f>IF('01_Вводные'!$B$234="Да",INDEX('19_Расчет_аналитики'!$C$4123:$C$4127,MIN(5,INT(30/12)+1),1)*'18_Календарь_тарифы'!AF4,0)</f>
        <v/>
      </c>
      <c r="AG4853">
        <f>IF('01_Вводные'!$B$234="Да",INDEX('19_Расчет_аналитики'!$C$4123:$C$4127,MIN(5,INT(31/12)+1),1)*'18_Календарь_тарифы'!AG4,0)</f>
        <v/>
      </c>
      <c r="AH4853">
        <f>IF('01_Вводные'!$B$234="Да",INDEX('19_Расчет_аналитики'!$C$4123:$C$4127,MIN(5,INT(32/12)+1),1)*'18_Календарь_тарифы'!AH4,0)</f>
        <v/>
      </c>
      <c r="AI4853">
        <f>IF('01_Вводные'!$B$234="Да",INDEX('19_Расчет_аналитики'!$C$4123:$C$4127,MIN(5,INT(33/12)+1),1)*'18_Календарь_тарифы'!AI4,0)</f>
        <v/>
      </c>
      <c r="AJ4853">
        <f>IF('01_Вводные'!$B$234="Да",INDEX('19_Расчет_аналитики'!$C$4123:$C$4127,MIN(5,INT(34/12)+1),1)*'18_Календарь_тарифы'!AJ4,0)</f>
        <v/>
      </c>
      <c r="AK4853">
        <f>IF('01_Вводные'!$B$234="Да",INDEX('19_Расчет_аналитики'!$C$4123:$C$4127,MIN(5,INT(35/12)+1),1)*'18_Календарь_тарифы'!AK4,0)</f>
        <v/>
      </c>
      <c r="AL4853">
        <f>IF('01_Вводные'!$B$234="Да",INDEX('19_Расчет_аналитики'!$C$4123:$C$4127,MIN(5,INT(36/12)+1),1)*'18_Календарь_тарифы'!AL4,0)</f>
        <v/>
      </c>
      <c r="AM4853">
        <f>IF('01_Вводные'!$B$234="Да",INDEX('19_Расчет_аналитики'!$C$4123:$C$4127,MIN(5,INT(37/12)+1),1)*'18_Календарь_тарифы'!AM4,0)</f>
        <v/>
      </c>
      <c r="AN4853">
        <f>IF('01_Вводные'!$B$234="Да",INDEX('19_Расчет_аналитики'!$C$4123:$C$4127,MIN(5,INT(38/12)+1),1)*'18_Календарь_тарифы'!AN4,0)</f>
        <v/>
      </c>
      <c r="AO4853">
        <f>IF('01_Вводные'!$B$234="Да",INDEX('19_Расчет_аналитики'!$C$4123:$C$4127,MIN(5,INT(39/12)+1),1)*'18_Календарь_тарифы'!AO4,0)</f>
        <v/>
      </c>
      <c r="AP4853">
        <f>IF('01_Вводные'!$B$234="Да",INDEX('19_Расчет_аналитики'!$C$4123:$C$4127,MIN(5,INT(40/12)+1),1)*'18_Календарь_тарифы'!AP4,0)</f>
        <v/>
      </c>
      <c r="AQ4853">
        <f>IF('01_Вводные'!$B$234="Да",INDEX('19_Расчет_аналитики'!$C$4123:$C$4127,MIN(5,INT(41/12)+1),1)*'18_Календарь_тарифы'!AQ4,0)</f>
        <v/>
      </c>
      <c r="AR4853">
        <f>IF('01_Вводные'!$B$234="Да",INDEX('19_Расчет_аналитики'!$C$4123:$C$4127,MIN(5,INT(42/12)+1),1)*'18_Календарь_тарифы'!AR4,0)</f>
        <v/>
      </c>
      <c r="AS4853">
        <f>IF('01_Вводные'!$B$234="Да",INDEX('19_Расчет_аналитики'!$C$4123:$C$4127,MIN(5,INT(43/12)+1),1)*'18_Календарь_тарифы'!AS4,0)</f>
        <v/>
      </c>
      <c r="AT4853">
        <f>IF('01_Вводные'!$B$234="Да",INDEX('19_Расчет_аналитики'!$C$4123:$C$4127,MIN(5,INT(44/12)+1),1)*'18_Календарь_тарифы'!AT4,0)</f>
        <v/>
      </c>
      <c r="AU4853">
        <f>IF('01_Вводные'!$B$234="Да",INDEX('19_Расчет_аналитики'!$C$4123:$C$4127,MIN(5,INT(45/12)+1),1)*'18_Календарь_тарифы'!AU4,0)</f>
        <v/>
      </c>
      <c r="AV4853">
        <f>IF('01_Вводные'!$B$234="Да",INDEX('19_Расчет_аналитики'!$C$4123:$C$4127,MIN(5,INT(46/12)+1),1)*'18_Календарь_тарифы'!AV4,0)</f>
        <v/>
      </c>
      <c r="AW4853">
        <f>IF('01_Вводные'!$B$234="Да",INDEX('19_Расчет_аналитики'!$C$4123:$C$4127,MIN(5,INT(47/12)+1),1)*'18_Календарь_тарифы'!AW4,0)</f>
        <v/>
      </c>
      <c r="AX4853">
        <f>IF('01_Вводные'!$B$234="Да",INDEX('19_Расчет_аналитики'!$C$4123:$C$4127,MIN(5,INT(48/12)+1),1)*'18_Календарь_тарифы'!AX4,0)</f>
        <v/>
      </c>
      <c r="AY4853">
        <f>IF('01_Вводные'!$B$234="Да",INDEX('19_Расчет_аналитики'!$C$4123:$C$4127,MIN(5,INT(49/12)+1),1)*'18_Календарь_тарифы'!AY4,0)</f>
        <v/>
      </c>
      <c r="AZ4853">
        <f>IF('01_Вводные'!$B$234="Да",INDEX('19_Расчет_аналитики'!$C$4123:$C$4127,MIN(5,INT(50/12)+1),1)*'18_Календарь_тарифы'!AZ4,0)</f>
        <v/>
      </c>
      <c r="BA4853">
        <f>IF('01_Вводные'!$B$234="Да",INDEX('19_Расчет_аналитики'!$C$4123:$C$4127,MIN(5,INT(51/12)+1),1)*'18_Календарь_тарифы'!BA4,0)</f>
        <v/>
      </c>
      <c r="BB4853">
        <f>IF('01_Вводные'!$B$234="Да",INDEX('19_Расчет_аналитики'!$C$4123:$C$4127,MIN(5,INT(52/12)+1),1)*'18_Календарь_тарифы'!BB4,0)</f>
        <v/>
      </c>
      <c r="BC4853">
        <f>IF('01_Вводные'!$B$234="Да",INDEX('19_Расчет_аналитики'!$C$4123:$C$4127,MIN(5,INT(53/12)+1),1)*'18_Календарь_тарифы'!BC4,0)</f>
        <v/>
      </c>
      <c r="BD4853">
        <f>IF('01_Вводные'!$B$234="Да",INDEX('19_Расчет_аналитики'!$C$4123:$C$4127,MIN(5,INT(54/12)+1),1)*'18_Календарь_тарифы'!BD4,0)</f>
        <v/>
      </c>
      <c r="BE4853">
        <f>IF('01_Вводные'!$B$234="Да",INDEX('19_Расчет_аналитики'!$C$4123:$C$4127,MIN(5,INT(55/12)+1),1)*'18_Календарь_тарифы'!BE4,0)</f>
        <v/>
      </c>
      <c r="BF4853">
        <f>IF('01_Вводные'!$B$234="Да",INDEX('19_Расчет_аналитики'!$C$4123:$C$4127,MIN(5,INT(56/12)+1),1)*'18_Календарь_тарифы'!BF4,0)</f>
        <v/>
      </c>
      <c r="BG4853">
        <f>IF('01_Вводные'!$B$234="Да",INDEX('19_Расчет_аналитики'!$C$4123:$C$4127,MIN(5,INT(57/12)+1),1)*'18_Календарь_тарифы'!BG4,0)</f>
        <v/>
      </c>
      <c r="BH4853">
        <f>IF('01_Вводные'!$B$234="Да",INDEX('19_Расчет_аналитики'!$C$4123:$C$4127,MIN(5,INT(58/12)+1),1)*'18_Календарь_тарифы'!BH4,0)</f>
        <v/>
      </c>
      <c r="BI4853">
        <f>IF('01_Вводные'!$B$234="Да",INDEX('19_Расчет_аналитики'!$C$4123:$C$4127,MIN(5,INT(59/12)+1),1)*'18_Календарь_тарифы'!BI4,0)</f>
        <v/>
      </c>
      <c r="BJ4853">
        <f>IF('01_Вводные'!$B$234="Да",INDEX('19_Расчет_аналитики'!$C$4123:$C$4127,MIN(5,INT(60/12)+1),1)*'18_Календарь_тарифы'!BJ4,0)</f>
        <v/>
      </c>
      <c r="BK4853">
        <f>IF('01_Вводные'!$B$234="Да",INDEX('19_Расчет_аналитики'!$C$4123:$C$4127,MIN(5,INT(61/12)+1),1)*'18_Календарь_тарифы'!BK4,0)</f>
        <v/>
      </c>
      <c r="BL4853">
        <f>IF('01_Вводные'!$B$234="Да",INDEX('19_Расчет_аналитики'!$C$4123:$C$4127,MIN(5,INT(62/12)+1),1)*'18_Календарь_тарифы'!BL4,0)</f>
        <v/>
      </c>
      <c r="BM4853">
        <f>IF('01_Вводные'!$B$234="Да",INDEX('19_Расчет_аналитики'!$C$4123:$C$4127,MIN(5,INT(63/12)+1),1)*'18_Календарь_тарифы'!BM4,0)</f>
        <v/>
      </c>
      <c r="BN4853">
        <f>IF('01_Вводные'!$B$234="Да",INDEX('19_Расчет_аналитики'!$C$4123:$C$4127,MIN(5,INT(64/12)+1),1)*'18_Календарь_тарифы'!BN4,0)</f>
        <v/>
      </c>
      <c r="BO4853">
        <f>IF('01_Вводные'!$B$234="Да",INDEX('19_Расчет_аналитики'!$C$4123:$C$4127,MIN(5,INT(65/12)+1),1)*'18_Календарь_тарифы'!BO4,0)</f>
        <v/>
      </c>
    </row>
    <row r="4854">
      <c r="B4854">
        <f>IF('01_Вводные'!$B$234="Да",'19_Расчет_аналитики'!$B$4111*'18_Календарь_тарифы'!B4,0)</f>
        <v/>
      </c>
      <c r="C4854">
        <f>IF('01_Вводные'!$B$234="Да",'19_Расчет_аналитики'!$B$4111*'18_Календарь_тарифы'!C4,0)</f>
        <v/>
      </c>
      <c r="D4854">
        <f>IF('01_Вводные'!$B$234="Да",'19_Расчет_аналитики'!$B$4111*'18_Календарь_тарифы'!D4,0)</f>
        <v/>
      </c>
      <c r="E4854">
        <f>IF('01_Вводные'!$B$234="Да",'19_Расчет_аналитики'!$B$4111*'18_Календарь_тарифы'!E4,0)</f>
        <v/>
      </c>
      <c r="F4854">
        <f>IF('01_Вводные'!$B$234="Да",'19_Расчет_аналитики'!$B$4111*'18_Календарь_тарифы'!F4,0)</f>
        <v/>
      </c>
      <c r="G4854">
        <f>IF('01_Вводные'!$B$234="Да",'19_Расчет_аналитики'!$B$4111*'18_Календарь_тарифы'!G4,0)</f>
        <v/>
      </c>
      <c r="H4854">
        <f>IF('01_Вводные'!$B$234="Да",'19_Расчет_аналитики'!$B$4111*'18_Календарь_тарифы'!H4,0)</f>
        <v/>
      </c>
      <c r="I4854">
        <f>IF('01_Вводные'!$B$234="Да",'19_Расчет_аналитики'!$B$4111*'18_Календарь_тарифы'!I4,0)</f>
        <v/>
      </c>
      <c r="J4854">
        <f>IF('01_Вводные'!$B$234="Да",'19_Расчет_аналитики'!$B$4111*'18_Календарь_тарифы'!J4,0)</f>
        <v/>
      </c>
      <c r="K4854">
        <f>IF('01_Вводные'!$B$234="Да",'19_Расчет_аналитики'!$B$4111*'18_Календарь_тарифы'!K4,0)</f>
        <v/>
      </c>
      <c r="L4854">
        <f>IF('01_Вводные'!$B$234="Да",'19_Расчет_аналитики'!$B$4111*'18_Календарь_тарифы'!L4,0)</f>
        <v/>
      </c>
      <c r="M4854">
        <f>IF('01_Вводные'!$B$234="Да",'19_Расчет_аналитики'!$B$4111*'18_Календарь_тарифы'!M4,0)</f>
        <v/>
      </c>
      <c r="N4854">
        <f>IF('01_Вводные'!$B$234="Да",'19_Расчет_аналитики'!$B$4111*'18_Календарь_тарифы'!N4,0)</f>
        <v/>
      </c>
      <c r="O4854">
        <f>IF('01_Вводные'!$B$234="Да",'19_Расчет_аналитики'!$B$4111*'18_Календарь_тарифы'!O4,0)</f>
        <v/>
      </c>
      <c r="P4854">
        <f>IF('01_Вводные'!$B$234="Да",'19_Расчет_аналитики'!$B$4111*'18_Календарь_тарифы'!P4,0)</f>
        <v/>
      </c>
      <c r="Q4854">
        <f>IF('01_Вводные'!$B$234="Да",'19_Расчет_аналитики'!$B$4111*'18_Календарь_тарифы'!Q4,0)</f>
        <v/>
      </c>
      <c r="R4854">
        <f>IF('01_Вводные'!$B$234="Да",'19_Расчет_аналитики'!$B$4111*'18_Календарь_тарифы'!R4,0)</f>
        <v/>
      </c>
      <c r="S4854">
        <f>IF('01_Вводные'!$B$234="Да",'19_Расчет_аналитики'!$B$4111*'18_Календарь_тарифы'!S4,0)</f>
        <v/>
      </c>
      <c r="T4854">
        <f>IF('01_Вводные'!$B$234="Да",'19_Расчет_аналитики'!$B$4111*'18_Календарь_тарифы'!T4,0)</f>
        <v/>
      </c>
      <c r="U4854">
        <f>IF('01_Вводные'!$B$234="Да",'19_Расчет_аналитики'!$B$4111*'18_Календарь_тарифы'!U4,0)</f>
        <v/>
      </c>
      <c r="V4854">
        <f>IF('01_Вводные'!$B$234="Да",'19_Расчет_аналитики'!$B$4111*'18_Календарь_тарифы'!V4,0)</f>
        <v/>
      </c>
      <c r="W4854">
        <f>IF('01_Вводные'!$B$234="Да",'19_Расчет_аналитики'!$B$4111*'18_Календарь_тарифы'!W4,0)</f>
        <v/>
      </c>
      <c r="X4854">
        <f>IF('01_Вводные'!$B$234="Да",'19_Расчет_аналитики'!$B$4111*'18_Календарь_тарифы'!X4,0)</f>
        <v/>
      </c>
      <c r="Y4854">
        <f>IF('01_Вводные'!$B$234="Да",'19_Расчет_аналитики'!$B$4111*'18_Календарь_тарифы'!Y4,0)</f>
        <v/>
      </c>
      <c r="Z4854">
        <f>IF('01_Вводные'!$B$234="Да",'19_Расчет_аналитики'!$B$4111*'18_Календарь_тарифы'!Z4,0)</f>
        <v/>
      </c>
      <c r="AA4854">
        <f>IF('01_Вводные'!$B$234="Да",'19_Расчет_аналитики'!$B$4111*'18_Календарь_тарифы'!AA4,0)</f>
        <v/>
      </c>
      <c r="AB4854">
        <f>IF('01_Вводные'!$B$234="Да",'19_Расчет_аналитики'!$B$4111*'18_Календарь_тарифы'!AB4,0)</f>
        <v/>
      </c>
      <c r="AC4854">
        <f>IF('01_Вводные'!$B$234="Да",'19_Расчет_аналитики'!$B$4111*'18_Календарь_тарифы'!AC4,0)</f>
        <v/>
      </c>
      <c r="AD4854">
        <f>IF('01_Вводные'!$B$234="Да",'19_Расчет_аналитики'!$B$4111*'18_Календарь_тарифы'!AD4,0)</f>
        <v/>
      </c>
      <c r="AE4854">
        <f>IF('01_Вводные'!$B$234="Да",'19_Расчет_аналитики'!$B$4111*'18_Календарь_тарифы'!AE4,0)</f>
        <v/>
      </c>
      <c r="AF4854">
        <f>IF('01_Вводные'!$B$234="Да",'19_Расчет_аналитики'!$B$4111*'18_Календарь_тарифы'!AF4,0)</f>
        <v/>
      </c>
      <c r="AG4854">
        <f>IF('01_Вводные'!$B$234="Да",'19_Расчет_аналитики'!$B$4111*'18_Календарь_тарифы'!AG4,0)</f>
        <v/>
      </c>
      <c r="AH4854">
        <f>IF('01_Вводные'!$B$234="Да",'19_Расчет_аналитики'!$B$4111*'18_Календарь_тарифы'!AH4,0)</f>
        <v/>
      </c>
      <c r="AI4854">
        <f>IF('01_Вводные'!$B$234="Да",'19_Расчет_аналитики'!$B$4111*'18_Календарь_тарифы'!AI4,0)</f>
        <v/>
      </c>
      <c r="AJ4854">
        <f>IF('01_Вводные'!$B$234="Да",'19_Расчет_аналитики'!$B$4111*'18_Календарь_тарифы'!AJ4,0)</f>
        <v/>
      </c>
      <c r="AK4854">
        <f>IF('01_Вводные'!$B$234="Да",'19_Расчет_аналитики'!$B$4111*'18_Календарь_тарифы'!AK4,0)</f>
        <v/>
      </c>
      <c r="AL4854">
        <f>IF('01_Вводные'!$B$234="Да",'19_Расчет_аналитики'!$B$4111*'18_Календарь_тарифы'!AL4,0)</f>
        <v/>
      </c>
      <c r="AM4854">
        <f>IF('01_Вводные'!$B$234="Да",'19_Расчет_аналитики'!$B$4111*'18_Календарь_тарифы'!AM4,0)</f>
        <v/>
      </c>
      <c r="AN4854">
        <f>IF('01_Вводные'!$B$234="Да",'19_Расчет_аналитики'!$B$4111*'18_Календарь_тарифы'!AN4,0)</f>
        <v/>
      </c>
      <c r="AO4854">
        <f>IF('01_Вводные'!$B$234="Да",'19_Расчет_аналитики'!$B$4111*'18_Календарь_тарифы'!AO4,0)</f>
        <v/>
      </c>
      <c r="AP4854">
        <f>IF('01_Вводные'!$B$234="Да",'19_Расчет_аналитики'!$B$4111*'18_Календарь_тарифы'!AP4,0)</f>
        <v/>
      </c>
      <c r="AQ4854">
        <f>IF('01_Вводные'!$B$234="Да",'19_Расчет_аналитики'!$B$4111*'18_Календарь_тарифы'!AQ4,0)</f>
        <v/>
      </c>
      <c r="AR4854">
        <f>IF('01_Вводные'!$B$234="Да",'19_Расчет_аналитики'!$B$4111*'18_Календарь_тарифы'!AR4,0)</f>
        <v/>
      </c>
      <c r="AS4854">
        <f>IF('01_Вводные'!$B$234="Да",'19_Расчет_аналитики'!$B$4111*'18_Календарь_тарифы'!AS4,0)</f>
        <v/>
      </c>
      <c r="AT4854">
        <f>IF('01_Вводные'!$B$234="Да",'19_Расчет_аналитики'!$B$4111*'18_Календарь_тарифы'!AT4,0)</f>
        <v/>
      </c>
      <c r="AU4854">
        <f>IF('01_Вводные'!$B$234="Да",'19_Расчет_аналитики'!$B$4111*'18_Календарь_тарифы'!AU4,0)</f>
        <v/>
      </c>
      <c r="AV4854">
        <f>IF('01_Вводные'!$B$234="Да",'19_Расчет_аналитики'!$B$4111*'18_Календарь_тарифы'!AV4,0)</f>
        <v/>
      </c>
      <c r="AW4854">
        <f>IF('01_Вводные'!$B$234="Да",'19_Расчет_аналитики'!$B$4111*'18_Календарь_тарифы'!AW4,0)</f>
        <v/>
      </c>
      <c r="AX4854">
        <f>IF('01_Вводные'!$B$234="Да",'19_Расчет_аналитики'!$B$4111*'18_Календарь_тарифы'!AX4,0)</f>
        <v/>
      </c>
      <c r="AY4854">
        <f>IF('01_Вводные'!$B$234="Да",'19_Расчет_аналитики'!$B$4111*'18_Календарь_тарифы'!AY4,0)</f>
        <v/>
      </c>
      <c r="AZ4854">
        <f>IF('01_Вводные'!$B$234="Да",'19_Расчет_аналитики'!$B$4111*'18_Календарь_тарифы'!AZ4,0)</f>
        <v/>
      </c>
      <c r="BA4854">
        <f>IF('01_Вводные'!$B$234="Да",'19_Расчет_аналитики'!$B$4111*'18_Календарь_тарифы'!BA4,0)</f>
        <v/>
      </c>
      <c r="BB4854">
        <f>IF('01_Вводные'!$B$234="Да",'19_Расчет_аналитики'!$B$4111*'18_Календарь_тарифы'!BB4,0)</f>
        <v/>
      </c>
      <c r="BC4854">
        <f>IF('01_Вводные'!$B$234="Да",'19_Расчет_аналитики'!$B$4111*'18_Календарь_тарифы'!BC4,0)</f>
        <v/>
      </c>
      <c r="BD4854">
        <f>IF('01_Вводные'!$B$234="Да",'19_Расчет_аналитики'!$B$4111*'18_Календарь_тарифы'!BD4,0)</f>
        <v/>
      </c>
      <c r="BE4854">
        <f>IF('01_Вводные'!$B$234="Да",'19_Расчет_аналитики'!$B$4111*'18_Календарь_тарифы'!BE4,0)</f>
        <v/>
      </c>
      <c r="BF4854">
        <f>IF('01_Вводные'!$B$234="Да",'19_Расчет_аналитики'!$B$4111*'18_Календарь_тарифы'!BF4,0)</f>
        <v/>
      </c>
      <c r="BG4854">
        <f>IF('01_Вводные'!$B$234="Да",'19_Расчет_аналитики'!$B$4111*'18_Календарь_тарифы'!BG4,0)</f>
        <v/>
      </c>
      <c r="BH4854">
        <f>IF('01_Вводные'!$B$234="Да",'19_Расчет_аналитики'!$B$4111*'18_Календарь_тарифы'!BH4,0)</f>
        <v/>
      </c>
      <c r="BI4854">
        <f>IF('01_Вводные'!$B$234="Да",'19_Расчет_аналитики'!$B$4111*'18_Календарь_тарифы'!BI4,0)</f>
        <v/>
      </c>
      <c r="BJ4854">
        <f>IF('01_Вводные'!$B$234="Да",'19_Расчет_аналитики'!$B$4111*'18_Календарь_тарифы'!BJ4,0)</f>
        <v/>
      </c>
      <c r="BK4854">
        <f>IF('01_Вводные'!$B$234="Да",'19_Расчет_аналитики'!$B$4111*'18_Календарь_тарифы'!BK4,0)</f>
        <v/>
      </c>
      <c r="BL4854">
        <f>IF('01_Вводные'!$B$234="Да",'19_Расчет_аналитики'!$B$4111*'18_Календарь_тарифы'!BL4,0)</f>
        <v/>
      </c>
      <c r="BM4854">
        <f>IF('01_Вводные'!$B$234="Да",'19_Расчет_аналитики'!$B$4111*'18_Календарь_тарифы'!BM4,0)</f>
        <v/>
      </c>
      <c r="BN4854">
        <f>IF('01_Вводные'!$B$234="Да",'19_Расчет_аналитики'!$B$4111*'18_Календарь_тарифы'!BN4,0)</f>
        <v/>
      </c>
      <c r="BO4854">
        <f>IF('01_Вводные'!$B$234="Да",'19_Расчет_аналитики'!$B$4111*'18_Календарь_тарифы'!BO4,0)</f>
        <v/>
      </c>
    </row>
    <row r="4855"/>
    <row r="4856"/>
    <row r="4857">
      <c r="B4857">
        <f>IF('01_Вводные'!$B$234="Да",'19_Расчет_аналитики'!$B$4086*'18_Календарь_тарифы'!B4,0)</f>
        <v/>
      </c>
      <c r="C4857">
        <f>IF('01_Вводные'!$B$234="Да",'19_Расчет_аналитики'!$B$4086*'18_Календарь_тарифы'!C4,0)</f>
        <v/>
      </c>
      <c r="D4857">
        <f>IF('01_Вводные'!$B$234="Да",'19_Расчет_аналитики'!$B$4086*'18_Календарь_тарифы'!D4,0)</f>
        <v/>
      </c>
      <c r="E4857">
        <f>IF('01_Вводные'!$B$234="Да",'19_Расчет_аналитики'!$B$4086*'18_Календарь_тарифы'!E4,0)</f>
        <v/>
      </c>
      <c r="F4857">
        <f>IF('01_Вводные'!$B$234="Да",'19_Расчет_аналитики'!$B$4086*'18_Календарь_тарифы'!F4,0)</f>
        <v/>
      </c>
      <c r="G4857">
        <f>IF('01_Вводные'!$B$234="Да",'19_Расчет_аналитики'!$B$4086*'18_Календарь_тарифы'!G4,0)</f>
        <v/>
      </c>
      <c r="H4857">
        <f>IF('01_Вводные'!$B$234="Да",'19_Расчет_аналитики'!$B$4086*'18_Календарь_тарифы'!H4,0)</f>
        <v/>
      </c>
      <c r="I4857">
        <f>IF('01_Вводные'!$B$234="Да",'19_Расчет_аналитики'!$B$4086*'18_Календарь_тарифы'!I4,0)</f>
        <v/>
      </c>
      <c r="J4857">
        <f>IF('01_Вводные'!$B$234="Да",'19_Расчет_аналитики'!$B$4086*'18_Календарь_тарифы'!J4,0)</f>
        <v/>
      </c>
      <c r="K4857">
        <f>IF('01_Вводные'!$B$234="Да",'19_Расчет_аналитики'!$B$4086*'18_Календарь_тарифы'!K4,0)</f>
        <v/>
      </c>
      <c r="L4857">
        <f>IF('01_Вводные'!$B$234="Да",'19_Расчет_аналитики'!$B$4086*'18_Календарь_тарифы'!L4,0)</f>
        <v/>
      </c>
      <c r="M4857">
        <f>IF('01_Вводные'!$B$234="Да",'19_Расчет_аналитики'!$B$4086*'18_Календарь_тарифы'!M4,0)</f>
        <v/>
      </c>
      <c r="N4857">
        <f>IF('01_Вводные'!$B$234="Да",'19_Расчет_аналитики'!$B$4086*'18_Календарь_тарифы'!N4,0)</f>
        <v/>
      </c>
      <c r="O4857">
        <f>IF('01_Вводные'!$B$234="Да",'19_Расчет_аналитики'!$B$4086*'18_Календарь_тарифы'!O4,0)</f>
        <v/>
      </c>
      <c r="P4857">
        <f>IF('01_Вводные'!$B$234="Да",'19_Расчет_аналитики'!$B$4086*'18_Календарь_тарифы'!P4,0)</f>
        <v/>
      </c>
      <c r="Q4857">
        <f>IF('01_Вводные'!$B$234="Да",'19_Расчет_аналитики'!$B$4086*'18_Календарь_тарифы'!Q4,0)</f>
        <v/>
      </c>
      <c r="R4857">
        <f>IF('01_Вводные'!$B$234="Да",'19_Расчет_аналитики'!$B$4086*'18_Календарь_тарифы'!R4,0)</f>
        <v/>
      </c>
      <c r="S4857">
        <f>IF('01_Вводные'!$B$234="Да",'19_Расчет_аналитики'!$B$4086*'18_Календарь_тарифы'!S4,0)</f>
        <v/>
      </c>
      <c r="T4857">
        <f>IF('01_Вводные'!$B$234="Да",'19_Расчет_аналитики'!$B$4086*'18_Календарь_тарифы'!T4,0)</f>
        <v/>
      </c>
      <c r="U4857">
        <f>IF('01_Вводные'!$B$234="Да",'19_Расчет_аналитики'!$B$4086*'18_Календарь_тарифы'!U4,0)</f>
        <v/>
      </c>
      <c r="V4857">
        <f>IF('01_Вводные'!$B$234="Да",'19_Расчет_аналитики'!$B$4086*'18_Календарь_тарифы'!V4,0)</f>
        <v/>
      </c>
      <c r="W4857">
        <f>IF('01_Вводные'!$B$234="Да",'19_Расчет_аналитики'!$B$4086*'18_Календарь_тарифы'!W4,0)</f>
        <v/>
      </c>
      <c r="X4857">
        <f>IF('01_Вводные'!$B$234="Да",'19_Расчет_аналитики'!$B$4086*'18_Календарь_тарифы'!X4,0)</f>
        <v/>
      </c>
      <c r="Y4857">
        <f>IF('01_Вводные'!$B$234="Да",'19_Расчет_аналитики'!$B$4086*'18_Календарь_тарифы'!Y4,0)</f>
        <v/>
      </c>
      <c r="Z4857">
        <f>IF('01_Вводные'!$B$234="Да",'19_Расчет_аналитики'!$B$4086*'18_Календарь_тарифы'!Z4,0)</f>
        <v/>
      </c>
      <c r="AA4857">
        <f>IF('01_Вводные'!$B$234="Да",'19_Расчет_аналитики'!$B$4086*'18_Календарь_тарифы'!AA4,0)</f>
        <v/>
      </c>
      <c r="AB4857">
        <f>IF('01_Вводные'!$B$234="Да",'19_Расчет_аналитики'!$B$4086*'18_Календарь_тарифы'!AB4,0)</f>
        <v/>
      </c>
      <c r="AC4857">
        <f>IF('01_Вводные'!$B$234="Да",'19_Расчет_аналитики'!$B$4086*'18_Календарь_тарифы'!AC4,0)</f>
        <v/>
      </c>
      <c r="AD4857">
        <f>IF('01_Вводные'!$B$234="Да",'19_Расчет_аналитики'!$B$4086*'18_Календарь_тарифы'!AD4,0)</f>
        <v/>
      </c>
      <c r="AE4857">
        <f>IF('01_Вводные'!$B$234="Да",'19_Расчет_аналитики'!$B$4086*'18_Календарь_тарифы'!AE4,0)</f>
        <v/>
      </c>
      <c r="AF4857">
        <f>IF('01_Вводные'!$B$234="Да",'19_Расчет_аналитики'!$B$4086*'18_Календарь_тарифы'!AF4,0)</f>
        <v/>
      </c>
      <c r="AG4857">
        <f>IF('01_Вводные'!$B$234="Да",'19_Расчет_аналитики'!$B$4086*'18_Календарь_тарифы'!AG4,0)</f>
        <v/>
      </c>
      <c r="AH4857">
        <f>IF('01_Вводные'!$B$234="Да",'19_Расчет_аналитики'!$B$4086*'18_Календарь_тарифы'!AH4,0)</f>
        <v/>
      </c>
      <c r="AI4857">
        <f>IF('01_Вводные'!$B$234="Да",'19_Расчет_аналитики'!$B$4086*'18_Календарь_тарифы'!AI4,0)</f>
        <v/>
      </c>
      <c r="AJ4857">
        <f>IF('01_Вводные'!$B$234="Да",'19_Расчет_аналитики'!$B$4086*'18_Календарь_тарифы'!AJ4,0)</f>
        <v/>
      </c>
      <c r="AK4857">
        <f>IF('01_Вводные'!$B$234="Да",'19_Расчет_аналитики'!$B$4086*'18_Календарь_тарифы'!AK4,0)</f>
        <v/>
      </c>
      <c r="AL4857">
        <f>IF('01_Вводные'!$B$234="Да",'19_Расчет_аналитики'!$B$4086*'18_Календарь_тарифы'!AL4,0)</f>
        <v/>
      </c>
      <c r="AM4857">
        <f>IF('01_Вводные'!$B$234="Да",'19_Расчет_аналитики'!$B$4086*'18_Календарь_тарифы'!AM4,0)</f>
        <v/>
      </c>
      <c r="AN4857">
        <f>IF('01_Вводные'!$B$234="Да",'19_Расчет_аналитики'!$B$4086*'18_Календарь_тарифы'!AN4,0)</f>
        <v/>
      </c>
      <c r="AO4857">
        <f>IF('01_Вводные'!$B$234="Да",'19_Расчет_аналитики'!$B$4086*'18_Календарь_тарифы'!AO4,0)</f>
        <v/>
      </c>
      <c r="AP4857">
        <f>IF('01_Вводные'!$B$234="Да",'19_Расчет_аналитики'!$B$4086*'18_Календарь_тарифы'!AP4,0)</f>
        <v/>
      </c>
      <c r="AQ4857">
        <f>IF('01_Вводные'!$B$234="Да",'19_Расчет_аналитики'!$B$4086*'18_Календарь_тарифы'!AQ4,0)</f>
        <v/>
      </c>
      <c r="AR4857">
        <f>IF('01_Вводные'!$B$234="Да",'19_Расчет_аналитики'!$B$4086*'18_Календарь_тарифы'!AR4,0)</f>
        <v/>
      </c>
      <c r="AS4857">
        <f>IF('01_Вводные'!$B$234="Да",'19_Расчет_аналитики'!$B$4086*'18_Календарь_тарифы'!AS4,0)</f>
        <v/>
      </c>
      <c r="AT4857">
        <f>IF('01_Вводные'!$B$234="Да",'19_Расчет_аналитики'!$B$4086*'18_Календарь_тарифы'!AT4,0)</f>
        <v/>
      </c>
      <c r="AU4857">
        <f>IF('01_Вводные'!$B$234="Да",'19_Расчет_аналитики'!$B$4086*'18_Календарь_тарифы'!AU4,0)</f>
        <v/>
      </c>
      <c r="AV4857">
        <f>IF('01_Вводные'!$B$234="Да",'19_Расчет_аналитики'!$B$4086*'18_Календарь_тарифы'!AV4,0)</f>
        <v/>
      </c>
      <c r="AW4857">
        <f>IF('01_Вводные'!$B$234="Да",'19_Расчет_аналитики'!$B$4086*'18_Календарь_тарифы'!AW4,0)</f>
        <v/>
      </c>
      <c r="AX4857">
        <f>IF('01_Вводные'!$B$234="Да",'19_Расчет_аналитики'!$B$4086*'18_Календарь_тарифы'!AX4,0)</f>
        <v/>
      </c>
      <c r="AY4857">
        <f>IF('01_Вводные'!$B$234="Да",'19_Расчет_аналитики'!$B$4086*'18_Календарь_тарифы'!AY4,0)</f>
        <v/>
      </c>
      <c r="AZ4857">
        <f>IF('01_Вводные'!$B$234="Да",'19_Расчет_аналитики'!$B$4086*'18_Календарь_тарифы'!AZ4,0)</f>
        <v/>
      </c>
      <c r="BA4857">
        <f>IF('01_Вводные'!$B$234="Да",'19_Расчет_аналитики'!$B$4086*'18_Календарь_тарифы'!BA4,0)</f>
        <v/>
      </c>
      <c r="BB4857">
        <f>IF('01_Вводные'!$B$234="Да",'19_Расчет_аналитики'!$B$4086*'18_Календарь_тарифы'!BB4,0)</f>
        <v/>
      </c>
      <c r="BC4857">
        <f>IF('01_Вводные'!$B$234="Да",'19_Расчет_аналитики'!$B$4086*'18_Календарь_тарифы'!BC4,0)</f>
        <v/>
      </c>
      <c r="BD4857">
        <f>IF('01_Вводные'!$B$234="Да",'19_Расчет_аналитики'!$B$4086*'18_Календарь_тарифы'!BD4,0)</f>
        <v/>
      </c>
      <c r="BE4857">
        <f>IF('01_Вводные'!$B$234="Да",'19_Расчет_аналитики'!$B$4086*'18_Календарь_тарифы'!BE4,0)</f>
        <v/>
      </c>
      <c r="BF4857">
        <f>IF('01_Вводные'!$B$234="Да",'19_Расчет_аналитики'!$B$4086*'18_Календарь_тарифы'!BF4,0)</f>
        <v/>
      </c>
      <c r="BG4857">
        <f>IF('01_Вводные'!$B$234="Да",'19_Расчет_аналитики'!$B$4086*'18_Календарь_тарифы'!BG4,0)</f>
        <v/>
      </c>
      <c r="BH4857">
        <f>IF('01_Вводные'!$B$234="Да",'19_Расчет_аналитики'!$B$4086*'18_Календарь_тарифы'!BH4,0)</f>
        <v/>
      </c>
      <c r="BI4857">
        <f>IF('01_Вводные'!$B$234="Да",'19_Расчет_аналитики'!$B$4086*'18_Календарь_тарифы'!BI4,0)</f>
        <v/>
      </c>
      <c r="BJ4857">
        <f>IF('01_Вводные'!$B$234="Да",'19_Расчет_аналитики'!$B$4086*'18_Календарь_тарифы'!BJ4,0)</f>
        <v/>
      </c>
      <c r="BK4857">
        <f>IF('01_Вводные'!$B$234="Да",'19_Расчет_аналитики'!$B$4086*'18_Календарь_тарифы'!BK4,0)</f>
        <v/>
      </c>
      <c r="BL4857">
        <f>IF('01_Вводные'!$B$234="Да",'19_Расчет_аналитики'!$B$4086*'18_Календарь_тарифы'!BL4,0)</f>
        <v/>
      </c>
      <c r="BM4857">
        <f>IF('01_Вводные'!$B$234="Да",'19_Расчет_аналитики'!$B$4086*'18_Календарь_тарифы'!BM4,0)</f>
        <v/>
      </c>
      <c r="BN4857">
        <f>IF('01_Вводные'!$B$234="Да",'19_Расчет_аналитики'!$B$4086*'18_Календарь_тарифы'!BN4,0)</f>
        <v/>
      </c>
      <c r="BO4857">
        <f>IF('01_Вводные'!$B$234="Да",'19_Расчет_аналитики'!$B$4086*'18_Календарь_тарифы'!BO4,0)</f>
        <v/>
      </c>
    </row>
  </sheetData>
  <pageMargins left="0.75" right="0.75" top="1" bottom="1" header="0.5" footer="0.5"/>
</worksheet>
</file>

<file path=xl/worksheets/sheet22.xml><?xml version="1.0" encoding="utf-8"?>
<worksheet xmlns="http://schemas.openxmlformats.org/spreadsheetml/2006/main">
  <sheetPr>
    <tabColor rgb="009E1B31"/>
    <outlinePr summaryBelow="1" summaryRight="1"/>
    <pageSetUpPr fitToPage="1"/>
  </sheetPr>
  <dimension ref="A1:E45"/>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22" customWidth="1" min="3" max="3"/>
    <col width="78" customWidth="1" min="4" max="4"/>
    <col width="42" customWidth="1" min="5" max="5"/>
  </cols>
  <sheetData>
    <row r="1">
      <c r="A1" s="226" t="inlineStr">
        <is>
          <t>Как из вводных получается EBITDA</t>
        </is>
      </c>
    </row>
    <row r="2">
      <c r="A2" s="227" t="inlineStr">
        <is>
          <t>Экономика книги словами. Ничего не считает — только объясняет, какая формула где живёт и почему она такая.</t>
        </is>
      </c>
    </row>
    <row r="4">
      <c r="A4" s="230" t="inlineStr">
        <is>
          <t>№</t>
        </is>
      </c>
      <c r="B4" s="230" t="inlineStr">
        <is>
          <t>Что считается</t>
        </is>
      </c>
      <c r="C4" s="230" t="inlineStr">
        <is>
          <t>Где смотреть</t>
        </is>
      </c>
      <c r="D4" s="230" t="inlineStr">
        <is>
          <t>Как считается</t>
        </is>
      </c>
      <c r="E4" s="230" t="inlineStr">
        <is>
          <t>От каких вводных зависит</t>
        </is>
      </c>
    </row>
    <row r="5">
      <c r="A5" s="257" t="inlineStr">
        <is>
          <t>A</t>
        </is>
      </c>
      <c r="B5" s="257" t="inlineStr">
        <is>
          <t>Коммерческая воронка</t>
        </is>
      </c>
      <c r="C5" s="330" t="n"/>
      <c r="D5" s="330" t="n"/>
      <c r="E5" s="330" t="n"/>
    </row>
    <row r="6" ht="34" customHeight="1">
      <c r="A6" s="331" t="inlineStr">
        <is>
          <t>1</t>
        </is>
      </c>
      <c r="B6" s="332" t="inlineStr">
        <is>
          <t>Лиды</t>
        </is>
      </c>
      <c r="C6" s="254" t="inlineStr">
        <is>
          <t>04_Продажи</t>
        </is>
      </c>
      <c r="D6" s="333" t="inlineStr">
        <is>
          <t>План продаж ÷ конверсия лид→продажа, округление вверх</t>
        </is>
      </c>
      <c r="E6" s="334" t="inlineStr">
        <is>
          <t>01_Вводные!B25 (3%), план продаж B36:B40</t>
        </is>
      </c>
    </row>
    <row r="7" ht="34" customHeight="1">
      <c r="A7" s="331" t="inlineStr">
        <is>
          <t>2</t>
        </is>
      </c>
      <c r="B7" s="332" t="inlineStr">
        <is>
          <t>Продажи франшиз</t>
        </is>
      </c>
      <c r="C7" s="254" t="inlineStr">
        <is>
          <t>04_Продажи</t>
        </is>
      </c>
      <c r="D7" s="333" t="inlineStr">
        <is>
          <t>Годовой план сезона × месячная доля сезонности. Годовой план = база (B210:B214) × множитель сценария (F198)</t>
        </is>
      </c>
      <c r="E7" s="334" t="inlineStr">
        <is>
          <t>01_Вводные!B36:B40 и C36:N40</t>
        </is>
      </c>
    </row>
    <row r="8" ht="34" customHeight="1">
      <c r="A8" s="331" t="inlineStr">
        <is>
          <t>3</t>
        </is>
      </c>
      <c r="B8" s="332" t="inlineStr">
        <is>
          <t>Открытия школ</t>
        </is>
      </c>
      <c r="C8" s="254" t="inlineStr">
        <is>
          <t>04_Продажи</t>
        </is>
      </c>
      <c r="D8" s="333" t="inlineStr">
        <is>
          <t>Продажи, сдвинутые на лаг «продажа → открытие», × конверсия в открытие</t>
        </is>
      </c>
      <c r="E8" s="334" t="inlineStr">
        <is>
          <t>01_Вводные!B15 (2 мес.), B298 (100%)</t>
        </is>
      </c>
    </row>
    <row r="9" ht="34" customHeight="1">
      <c r="A9" s="331" t="inlineStr">
        <is>
          <t>4</t>
        </is>
      </c>
      <c r="B9" s="332" t="inlineStr">
        <is>
          <t>Новые юрлица и школы</t>
        </is>
      </c>
      <c r="C9" s="254" t="inlineStr">
        <is>
          <t>06_Сеть_и_дети</t>
        </is>
      </c>
      <c r="D9" s="333" t="inlineStr">
        <is>
          <t>Продажи × коэффициент юрлиц; отдельно продажи × коэффициент школ</t>
        </is>
      </c>
      <c r="E9" s="334" t="inlineStr">
        <is>
          <t>01_Вводные!B16, B22</t>
        </is>
      </c>
    </row>
    <row r="10" ht="34" customHeight="1">
      <c r="A10" s="331" t="inlineStr">
        <is>
          <t>5</t>
        </is>
      </c>
      <c r="B10" s="332" t="inlineStr">
        <is>
          <t>Маркетинг привлечения</t>
        </is>
      </c>
      <c r="C10" s="254" t="inlineStr">
        <is>
          <t>04_Продажи</t>
        </is>
      </c>
      <c r="D10" s="333" t="inlineStr">
        <is>
          <t>Таргет платится за 2 месяца до продажи (для октября 2026 — за 1); плюс БИБОСС / TopFranchise / Forbes раз в год</t>
        </is>
      </c>
      <c r="E10" s="334" t="inlineStr">
        <is>
          <t>01_Вводные!B26:B33, B242:B243</t>
        </is>
      </c>
    </row>
    <row r="11">
      <c r="A11" s="257" t="inlineStr">
        <is>
          <t>B</t>
        </is>
      </c>
      <c r="B11" s="257" t="inlineStr">
        <is>
          <t>Сеть и дети</t>
        </is>
      </c>
      <c r="C11" s="330" t="n"/>
      <c r="D11" s="330" t="n"/>
      <c r="E11" s="330" t="n"/>
    </row>
    <row r="12" ht="34" customHeight="1">
      <c r="A12" s="331" t="inlineStr">
        <is>
          <t>6</t>
        </is>
      </c>
      <c r="B12" s="332" t="inlineStr">
        <is>
          <t>Действующая сеть</t>
        </is>
      </c>
      <c r="C12" s="254" t="inlineStr">
        <is>
          <t>06_Сеть_и_дети</t>
        </is>
      </c>
      <c r="D12" s="333" t="inlineStr">
        <is>
          <t>104 школы × коэффициент сохранения; дети = 5 200 × рост 10% в год, пересчёт каждый сентябрь</t>
        </is>
      </c>
      <c r="E12" s="334" t="inlineStr">
        <is>
          <t>01_Вводные!B9, B11, B12, B13</t>
        </is>
      </c>
    </row>
    <row r="13" ht="34" customHeight="1">
      <c r="A13" s="331" t="inlineStr">
        <is>
          <t>7</t>
        </is>
      </c>
      <c r="B13" s="332" t="inlineStr">
        <is>
          <t>Новые школы по возрасту</t>
        </is>
      </c>
      <c r="C13" s="254" t="inlineStr">
        <is>
          <t>06_Сеть_и_дети</t>
        </is>
      </c>
      <c r="D13" s="333" t="inlineStr">
        <is>
          <t>Каждая открытая школа живёт в своей когорте: месяцы 1–12, 13–24, зрелая. Это и есть постепенный набор</t>
        </is>
      </c>
      <c r="E13" s="334" t="inlineStr">
        <is>
          <t>01_Вводные!B295, 18_Календарь_тарифы</t>
        </is>
      </c>
    </row>
    <row r="14" ht="34" customHeight="1">
      <c r="A14" s="331" t="inlineStr">
        <is>
          <t>8</t>
        </is>
      </c>
      <c r="B14" s="332" t="inlineStr">
        <is>
          <t>Дети новых школ</t>
        </is>
      </c>
      <c r="C14" s="254" t="inlineStr">
        <is>
          <t>06_Сеть_и_дети</t>
        </is>
      </c>
      <c r="D14" s="333" t="inlineStr">
        <is>
          <t>Сумма по когортам: школы возраста N × норматив детей возраста N × множитель сценария × сезонность посещаемости</t>
        </is>
      </c>
      <c r="E14" s="334" t="inlineStr">
        <is>
          <t>01_Вводные!B46 (75,05 к 12-му мес.), B47 (165,125 к 24-му), B44</t>
        </is>
      </c>
    </row>
    <row r="15" ht="34" customHeight="1">
      <c r="A15" s="331" t="inlineStr">
        <is>
          <t>9</t>
        </is>
      </c>
      <c r="B15" s="332" t="inlineStr">
        <is>
          <t>Сезонность посещаемости</t>
        </is>
      </c>
      <c r="C15" s="254" t="inlineStr">
        <is>
          <t>01_Вводные</t>
        </is>
      </c>
      <c r="D15" s="333" t="inlineStr">
        <is>
          <t>Индекс от 5,9% (август) до 100% (февраль). Умножается на детей, а не на цену: летом платящих меньше</t>
        </is>
      </c>
      <c r="E15" s="334" t="inlineStr">
        <is>
          <t>01_Вводные!B44:M44</t>
        </is>
      </c>
    </row>
    <row r="16">
      <c r="A16" s="257" t="inlineStr">
        <is>
          <t>C</t>
        </is>
      </c>
      <c r="B16" s="257" t="inlineStr">
        <is>
          <t>Выручка</t>
        </is>
      </c>
      <c r="C16" s="330" t="n"/>
      <c r="D16" s="330" t="n"/>
      <c r="E16" s="330" t="n"/>
    </row>
    <row r="17" ht="34" customHeight="1">
      <c r="A17" s="331" t="inlineStr">
        <is>
          <t>10</t>
        </is>
      </c>
      <c r="B17" s="332" t="inlineStr">
        <is>
          <t>Паушальные взносы</t>
        </is>
      </c>
      <c r="C17" s="254" t="inlineStr">
        <is>
          <t>02_Модель</t>
        </is>
      </c>
      <c r="D17" s="333" t="inlineStr">
        <is>
          <t>Продажи × средний паушальный по тарифному миксу (937 767 ₽ с НДС), затем ÷ (1 + НДС)</t>
        </is>
      </c>
      <c r="E17" s="334" t="inlineStr">
        <is>
          <t>01_Вводные!B63:B67, тарифы B263:D282</t>
        </is>
      </c>
    </row>
    <row r="18" ht="34" customHeight="1">
      <c r="A18" s="331" t="inlineStr">
        <is>
          <t>11</t>
        </is>
      </c>
      <c r="B18" s="332" t="inlineStr">
        <is>
          <t>Роялти действующей сети</t>
        </is>
      </c>
      <c r="C18" s="254" t="inlineStr">
        <is>
          <t>06_Сеть_и_дети</t>
        </is>
      </c>
      <c r="D18" s="333" t="inlineStr">
        <is>
          <t>MAX(% от оборота; 104 школы × минимум). Оборот = активные дети × абонемент. Ставка 6,5% → 10% с 01.01.2030</t>
        </is>
      </c>
      <c r="E18" s="334" t="inlineStr">
        <is>
          <t>01_Вводные!B51, B52, B55:B57, B245</t>
        </is>
      </c>
    </row>
    <row r="19" ht="34" customHeight="1">
      <c r="A19" s="331" t="inlineStr">
        <is>
          <t>12</t>
        </is>
      </c>
      <c r="B19" s="332" t="inlineStr">
        <is>
          <t>Роялти новых школ</t>
        </is>
      </c>
      <c r="C19" s="254" t="inlineStr">
        <is>
          <t>06_Сеть_и_дети</t>
        </is>
      </c>
      <c r="D19" s="333" t="inlineStr">
        <is>
          <t>Минимум проверяется ПО КАЖДОЙ школе своей тарифной группы, и только потом суммируется. Ставка 6,5% для договоров до 31.12.2026, 8,5% для новых, 10% с 2030</t>
        </is>
      </c>
      <c r="E19" s="334" t="inlineStr">
        <is>
          <t>01_Вводные!B53, B54, B239, B244</t>
        </is>
      </c>
    </row>
    <row r="20" ht="34" customHeight="1">
      <c r="A20" s="331" t="inlineStr">
        <is>
          <t>13</t>
        </is>
      </c>
      <c r="B20" s="332" t="inlineStr">
        <is>
          <t>Мерч</t>
        </is>
      </c>
      <c r="C20" s="254" t="inlineStr">
        <is>
          <t>07_Мерч</t>
        </is>
      </c>
      <c r="D20" s="333" t="inlineStr">
        <is>
          <t>Действующая сеть — согласованный план сен–дек 2026. Новые школы — первичная поставка 50/30/20% за 3 месяца, потом повторный заказ с нового сезона. Цена = COGS × 1,85</t>
        </is>
      </c>
      <c r="E20" s="334" t="inlineStr">
        <is>
          <t>01_Вводные!B71:B74, B87:B89, B94:M94, B99:E101</t>
        </is>
      </c>
    </row>
    <row r="21" ht="34" customHeight="1">
      <c r="A21" s="331" t="inlineStr">
        <is>
          <t>14</t>
        </is>
      </c>
      <c r="B21" s="332" t="inlineStr">
        <is>
          <t>Лагеря</t>
        </is>
      </c>
      <c r="C21" s="254" t="inlineStr">
        <is>
          <t>09_Лагеря</t>
        </is>
      </c>
      <c r="D21" s="333" t="inlineStr">
        <is>
          <t>2 смены в июне × (50 без проживания × 80 000 + 50 с проживанием × 120 000). Начисление в июне, деньги — аванс 40% при продаже и 60% в мае</t>
        </is>
      </c>
      <c r="E21" s="334" t="inlineStr">
        <is>
          <t>01_Вводные!B161:B177, B241</t>
        </is>
      </c>
    </row>
    <row r="22">
      <c r="A22" s="257" t="inlineStr">
        <is>
          <t>D</t>
        </is>
      </c>
      <c r="B22" s="257" t="inlineStr">
        <is>
          <t>Расходы и прибыль</t>
        </is>
      </c>
      <c r="C22" s="330" t="n"/>
      <c r="D22" s="330" t="n"/>
      <c r="E22" s="330" t="n"/>
    </row>
    <row r="23" ht="34" customHeight="1">
      <c r="A23" s="331" t="inlineStr">
        <is>
          <t>15</t>
        </is>
      </c>
      <c r="B23" s="332" t="inlineStr">
        <is>
          <t>Прямые расходы</t>
        </is>
      </c>
      <c r="C23" s="254" t="inlineStr">
        <is>
          <t>02_Модель</t>
        </is>
      </c>
      <c r="D23" s="333" t="inlineStr">
        <is>
          <t>COGS мерча + логистика 2% + доли ФК (35% паушального, 10% роялти, 35% прибыли мерча) + расходы лагеря и доля партнёра</t>
        </is>
      </c>
      <c r="E23" s="334" t="inlineStr">
        <is>
          <t>01_Вводные!B59, B60, B75, B76</t>
        </is>
      </c>
    </row>
    <row r="24" ht="34" customHeight="1">
      <c r="A24" s="331" t="inlineStr">
        <is>
          <t>16</t>
        </is>
      </c>
      <c r="B24" s="332" t="inlineStr">
        <is>
          <t>OPEX</t>
        </is>
      </c>
      <c r="C24" s="254" t="inlineStr">
        <is>
          <t>02_Модель</t>
        </is>
      </c>
      <c r="D24" s="333" t="inlineStr">
        <is>
          <t>ФОТ и кадры + ERP (80 000 базовых на 104 школы, +3 000 за каждую новую) + офис + юристы + IT + SMM + маркетинг привлечения</t>
        </is>
      </c>
      <c r="E24" s="334" t="inlineStr">
        <is>
          <t>01_Вводные!B105:B112, лист 08_ФОТ</t>
        </is>
      </c>
    </row>
    <row r="25" ht="34" customHeight="1">
      <c r="A25" s="331" t="inlineStr">
        <is>
          <t>17</t>
        </is>
      </c>
      <c r="B25" s="332" t="inlineStr">
        <is>
          <t>ФОТ</t>
        </is>
      </c>
      <c r="C25" s="254" t="inlineStr">
        <is>
          <t>08_ФОТ</t>
        </is>
      </c>
      <c r="D25" s="333" t="inlineStr">
        <is>
          <t>Ядро 13 человек + найм по нормативу 35 юрлиц на менеджера. Индексация 7% каждый сентябрь. Премии: ежемесячная развития, 4% Евгения от паушального, квартальная 0,6 оклада с IV кв. 2027. Взносы 30% сверху</t>
        </is>
      </c>
      <c r="E25" s="334" t="inlineStr">
        <is>
          <t>01_Вводные!B116:B152, B246:B251</t>
        </is>
      </c>
    </row>
    <row r="26" ht="34" customHeight="1">
      <c r="A26" s="331" t="inlineStr">
        <is>
          <t>18</t>
        </is>
      </c>
      <c r="B26" s="332" t="inlineStr">
        <is>
          <t>EBITDA</t>
        </is>
      </c>
      <c r="C26" s="254" t="inlineStr">
        <is>
          <t>02_Модель</t>
        </is>
      </c>
      <c r="D26" s="333" t="inlineStr">
        <is>
          <t>Выручка без НДС − прямые расходы − OPEX. До налога, CAPEX и займа</t>
        </is>
      </c>
      <c r="E26" s="334" t="inlineStr">
        <is>
          <t>—</t>
        </is>
      </c>
    </row>
    <row r="27" ht="34" customHeight="1">
      <c r="A27" s="331" t="inlineStr">
        <is>
          <t>19</t>
        </is>
      </c>
      <c r="B27" s="332" t="inlineStr">
        <is>
          <t>Налог</t>
        </is>
      </c>
      <c r="C27" s="254" t="inlineStr">
        <is>
          <t>02_Модель</t>
        </is>
      </c>
      <c r="D27" s="333" t="inlineStr">
        <is>
          <t>УСН «доходы минус расходы»: MAX(1% от выручки; 15% от прибыли). Считается помесячно</t>
        </is>
      </c>
      <c r="E27" s="334" t="inlineStr">
        <is>
          <t>01_Вводные!B156, B157</t>
        </is>
      </c>
    </row>
    <row r="28">
      <c r="A28" s="257" t="inlineStr">
        <is>
          <t>E</t>
        </is>
      </c>
      <c r="B28" s="257" t="inlineStr">
        <is>
          <t>Деньги</t>
        </is>
      </c>
      <c r="C28" s="330" t="n"/>
      <c r="D28" s="330" t="n"/>
      <c r="E28" s="330" t="n"/>
    </row>
    <row r="29" ht="34" customHeight="1">
      <c r="A29" s="331" t="inlineStr">
        <is>
          <t>20</t>
        </is>
      </c>
      <c r="B29" s="332" t="inlineStr">
        <is>
          <t>Поступления</t>
        </is>
      </c>
      <c r="C29" s="254" t="inlineStr">
        <is>
          <t>02_Модель</t>
        </is>
      </c>
      <c r="D29" s="333" t="inlineStr">
        <is>
          <t>Паушальные — в месяц продажи. Роялти — по дебиторке (15 дней ≈ 50% текущий / 50% следующий месяц). Мерч и лагеря — по своим графикам</t>
        </is>
      </c>
      <c r="E29" s="334" t="inlineStr">
        <is>
          <t>01_Вводные!B18, B20</t>
        </is>
      </c>
    </row>
    <row r="30" ht="34" customHeight="1">
      <c r="A30" s="331" t="inlineStr">
        <is>
          <t>21</t>
        </is>
      </c>
      <c r="B30" s="332" t="inlineStr">
        <is>
          <t>Выплаты</t>
        </is>
      </c>
      <c r="C30" s="254" t="inlineStr">
        <is>
          <t>02_Модель</t>
        </is>
      </c>
      <c r="D30" s="333" t="inlineStr">
        <is>
          <t>Поставщики — по кредиторке 15 дней. ФОТ, НДС, УСН, лагеря, CAPEX — в месяце начисления</t>
        </is>
      </c>
      <c r="E30" s="334" t="inlineStr">
        <is>
          <t>01_Вводные!B19, B21</t>
        </is>
      </c>
    </row>
    <row r="31" ht="34" customHeight="1">
      <c r="A31" s="331" t="inlineStr">
        <is>
          <t>22</t>
        </is>
      </c>
      <c r="B31" s="332" t="inlineStr">
        <is>
          <t>Склад и закупки</t>
        </is>
      </c>
      <c r="C31" s="254" t="inlineStr">
        <is>
          <t>07_Мерч</t>
        </is>
      </c>
      <c r="D31" s="333" t="inlineStr">
        <is>
          <t>Стартовые 50 млн ₽ распродаются ~2 года. С августа 2028 в месяцы февраль/май/август/ноябрь склад доводится до цели «6 месяцев будущих продаж». Отрицательный склад = необеспеченный спрос, он показан, а не спрятан</t>
        </is>
      </c>
      <c r="E31" s="334" t="inlineStr">
        <is>
          <t>01_Вводные!B77, B80:B85</t>
        </is>
      </c>
    </row>
    <row r="32" ht="34" customHeight="1">
      <c r="A32" s="331" t="inlineStr">
        <is>
          <t>23</t>
        </is>
      </c>
      <c r="B32" s="332" t="inlineStr">
        <is>
          <t>Возврат займа ФК</t>
        </is>
      </c>
      <c r="C32" s="254" t="inlineStr">
        <is>
          <t>07_Мерч</t>
        </is>
      </c>
      <c r="D32" s="333" t="inlineStr">
        <is>
          <t>60% от COGS проданной формы, но не больше доступных денег и только если склад не ниже цели. Тело займа — отдельно от операционных выплат</t>
        </is>
      </c>
      <c r="E32" s="334" t="inlineStr">
        <is>
          <t>01_Вводные!B78, B79, B237, B238</t>
        </is>
      </c>
    </row>
    <row r="33" ht="34" customHeight="1">
      <c r="A33" s="331" t="inlineStr">
        <is>
          <t>24</t>
        </is>
      </c>
      <c r="B33" s="332" t="inlineStr">
        <is>
          <t>CAPEX</t>
        </is>
      </c>
      <c r="C33" s="254" t="inlineStr">
        <is>
          <t>02_Модель</t>
        </is>
      </c>
      <c r="D33" s="333" t="inlineStr">
        <is>
          <t>Правило v4: 1% от выручки с НДС + разовый CAPEX в первом месяце. Вычитается из денег ДО погашения займа, в EBITDA не входит</t>
        </is>
      </c>
      <c r="E33" s="334" t="inlineStr">
        <is>
          <t>01_Вводные!B286:B290</t>
        </is>
      </c>
    </row>
    <row r="34" ht="34" customHeight="1">
      <c r="A34" s="331" t="inlineStr">
        <is>
          <t>25</t>
        </is>
      </c>
      <c r="B34" s="332" t="inlineStr">
        <is>
          <t>Итог по деньгам</t>
        </is>
      </c>
      <c r="C34" s="254" t="inlineStr">
        <is>
          <t>02_Модель</t>
        </is>
      </c>
      <c r="D34" s="333" t="inlineStr">
        <is>
          <t>Остаток на начало + поток до займа − погашение займа. Если остаток уходит в минус — это кассовый разрыв, кредит на его покрытие в модель не заложен</t>
        </is>
      </c>
      <c r="E34" s="334" t="inlineStr">
        <is>
          <t>00_Дашборд!H38</t>
        </is>
      </c>
    </row>
    <row r="35">
      <c r="A35" s="257" t="inlineStr">
        <is>
          <t>F</t>
        </is>
      </c>
      <c r="B35" s="257" t="inlineStr">
        <is>
          <t>Контроль</t>
        </is>
      </c>
      <c r="C35" s="330" t="n"/>
      <c r="D35" s="330" t="n"/>
      <c r="E35" s="330" t="n"/>
    </row>
    <row r="36" ht="34" customHeight="1">
      <c r="A36" s="331" t="inlineStr">
        <is>
          <t>26</t>
        </is>
      </c>
      <c r="B36" s="332" t="inlineStr">
        <is>
          <t>Мост БДР → БДДС</t>
        </is>
      </c>
      <c r="C36" s="254" t="inlineStr">
        <is>
          <t>02_Модель</t>
        </is>
      </c>
      <c r="D36" s="333" t="inlineStr">
        <is>
          <t>EBITDA − налог − Δдебиторка + Δкредиторка + Δавансы − Δсклад − займ + Δдолг перед ФК − CAPEX. Строка 86 должна быть 0</t>
        </is>
      </c>
      <c r="E36" s="334" t="inlineStr">
        <is>
          <t>13_Проверки!A29</t>
        </is>
      </c>
    </row>
    <row r="37" ht="34" customHeight="1">
      <c r="A37" s="331" t="inlineStr">
        <is>
          <t>27</t>
        </is>
      </c>
      <c r="B37" s="332" t="inlineStr">
        <is>
          <t>Баланс склада и займа</t>
        </is>
      </c>
      <c r="C37" s="254" t="inlineStr">
        <is>
          <t>02_Модель</t>
        </is>
      </c>
      <c r="D37" s="333" t="inlineStr">
        <is>
          <t>Склад начало + закупка − списание = склад конец. Займ начало − погашения = займ конец</t>
        </is>
      </c>
      <c r="E37" s="334" t="inlineStr">
        <is>
          <t>13_Проверки!A28, A30</t>
        </is>
      </c>
    </row>
    <row r="39">
      <c r="A39" s="228" t="inlineStr">
        <is>
          <t>Что модель сознательно НЕ делает</t>
        </is>
      </c>
    </row>
    <row r="40" ht="28" customHeight="1">
      <c r="B40" s="245" t="inlineStr">
        <is>
          <t>• Не придумывает кредит под кассовый разрыв: дефицит показан суммой, проценты по нему не начислены.</t>
        </is>
      </c>
    </row>
    <row r="41" ht="28" customHeight="1">
      <c r="B41" s="245" t="inlineStr">
        <is>
          <t>• Не создаёт товар из воздуха: если склад не покрывает спрос, разница показана строкой «нехватка товара».</t>
        </is>
      </c>
    </row>
    <row r="42" ht="28" customHeight="1">
      <c r="B42" s="245" t="inlineStr">
        <is>
          <t>• Не считает роялти действующей сети пошкольно — нет реестра детей по партнёрам. Сеть агрегирована: MAX(% с оборота; 104 × минимум).</t>
        </is>
      </c>
    </row>
    <row r="43" ht="28" customHeight="1">
      <c r="B43" s="245" t="inlineStr">
        <is>
          <t>• Не подтверждает налоговую методику: НДС 5%, УСН 15%/1% и 10% по лагерям — рабочие допущения, см. 14_Ревизия.</t>
        </is>
      </c>
    </row>
    <row r="44" ht="28" customHeight="1">
      <c r="B44" s="245" t="inlineStr">
        <is>
          <t>• Не переносит пропущенные доли повторного заказа формы на следующие месяцы.</t>
        </is>
      </c>
    </row>
    <row r="45" ht="28" customHeight="1">
      <c r="B45" s="245" t="inlineStr">
        <is>
          <t>• Не меняет длину горизонта от смены числа в B8: 60 месяцев зашиты в структуру листов.</t>
        </is>
      </c>
    </row>
  </sheetData>
  <hyperlinks>
    <hyperlink ref="C6" location="'04_Продажи'!A17"/>
    <hyperlink ref="C7" location="'04_Продажи'!A15"/>
    <hyperlink ref="C8" location="'04_Продажи'!A18"/>
    <hyperlink ref="C9" location="'06_Сеть_и_дети'!A9"/>
    <hyperlink ref="C10" location="'04_Продажи'!A23"/>
    <hyperlink ref="C12" location="'06_Сеть_и_дети'!A11"/>
    <hyperlink ref="C13" location="'06_Сеть_и_дети'!A52"/>
    <hyperlink ref="C14" location="'06_Сеть_и_дети'!A24"/>
    <hyperlink ref="C15" location="'01_Вводные'!A44"/>
    <hyperlink ref="C17" location="'02_Модель'!A18"/>
    <hyperlink ref="C18" location="'06_Сеть_и_дети'!A28"/>
    <hyperlink ref="C19" location="'06_Сеть_и_дети'!A29"/>
    <hyperlink ref="C20" location="'07_Мерч'!A14"/>
    <hyperlink ref="C21" location="'09_Лагеря'!A10"/>
    <hyperlink ref="C23" location="'02_Модель'!A32"/>
    <hyperlink ref="C24" location="'02_Модель'!A43"/>
    <hyperlink ref="C25" location="'08_ФОТ'!A28"/>
    <hyperlink ref="C26" location="'02_Модель'!A44"/>
    <hyperlink ref="C27" location="'02_Модель'!A46"/>
    <hyperlink ref="C29" location="'02_Модель'!A56"/>
    <hyperlink ref="C30" location="'02_Модель'!A67"/>
    <hyperlink ref="C31" location="'07_Мерч'!A25"/>
    <hyperlink ref="C32" location="'07_Мерч'!A31"/>
    <hyperlink ref="C33" location="'02_Модель'!A99"/>
    <hyperlink ref="C34" location="'02_Модель'!A72"/>
    <hyperlink ref="C36" location="'02_Модель'!A85"/>
    <hyperlink ref="C37" location="'02_Модель'!A87"/>
  </hyperlinks>
  <printOptions horizontalCentered="0"/>
  <pageMargins left="0.75" right="0.75" top="1" bottom="1" header="0.5" footer="0.5"/>
  <pageSetup orientation="portrait" fitToHeight="0" fitToWidth="1"/>
  <headerFooter>
    <oddHeader/>
    <oddFooter>&amp;LФинмодель Спартак · 16а_Логика_модели&amp;R&amp;P / &amp;N</oddFooter>
    <evenHeader/>
    <evenFooter/>
    <firstHeader/>
    <firstFooter/>
  </headerFooter>
</worksheet>
</file>

<file path=xl/worksheets/sheet23.xml><?xml version="1.0" encoding="utf-8"?>
<worksheet xmlns="http://schemas.openxmlformats.org/spreadsheetml/2006/main">
  <sheetPr>
    <tabColor rgb="00C9A227"/>
    <outlinePr summaryBelow="1" summaryRight="1"/>
    <pageSetUpPr fitToPage="1"/>
  </sheetPr>
  <dimension ref="A1:F43"/>
  <sheetViews>
    <sheetView showGridLines="0" workbookViewId="0">
      <pane ySplit="3" topLeftCell="A4" activePane="bottomLeft" state="frozen"/>
      <selection pane="bottomLeft" activeCell="A1" sqref="A1"/>
    </sheetView>
  </sheetViews>
  <sheetFormatPr baseColWidth="8" defaultRowHeight="15"/>
  <cols>
    <col width="44" customWidth="1" min="1" max="1"/>
    <col width="14" customWidth="1" min="2" max="2"/>
    <col width="20" customWidth="1" min="3" max="3"/>
    <col width="62" customWidth="1" min="4" max="4"/>
    <col width="20" customWidth="1" min="5" max="5"/>
    <col width="20" customWidth="1" min="6" max="6"/>
  </cols>
  <sheetData>
    <row r="1">
      <c r="A1" s="226" t="inlineStr">
        <is>
          <t>Действующая сеть: реестр, отток и сверка с фактом</t>
        </is>
      </c>
    </row>
    <row r="2">
      <c r="A2" s="227" t="inlineStr">
        <is>
          <t>Источник — актуализация Виктории и Юрия от 21.08.2026. Лист описательный: на расчёт не влияет, но объясняет, откуда взяты 51 и 104 и что с ними не сходится.</t>
        </is>
      </c>
    </row>
    <row r="4">
      <c r="A4" s="228" t="inlineStr">
        <is>
          <t>Что в сети на 21.08.2026</t>
        </is>
      </c>
    </row>
    <row r="5">
      <c r="A5" s="230" t="inlineStr">
        <is>
          <t>Показатель</t>
        </is>
      </c>
      <c r="B5" s="230" t="inlineStr">
        <is>
          <t>Значение</t>
        </is>
      </c>
      <c r="C5" s="230" t="inlineStr">
        <is>
          <t>Ячейка модели</t>
        </is>
      </c>
      <c r="D5" s="230" t="inlineStr">
        <is>
          <t>Комментарий</t>
        </is>
      </c>
    </row>
    <row r="6" ht="30" customHeight="1">
      <c r="A6" s="231" t="inlineStr">
        <is>
          <t>Действующие партнёры (юрлица)</t>
        </is>
      </c>
      <c r="B6" s="335" t="n">
        <v>51</v>
      </c>
      <c r="C6" s="254" t="inlineStr">
        <is>
          <t>01_Вводные!B10</t>
        </is>
      </c>
      <c r="D6" s="234" t="inlineStr">
        <is>
          <t>Из них 48 переподписали ДКК. 3 в переговорах: Кармадонов (Новосибирск), ФСАНО (Челябинск), Пинчук (Мытищи)</t>
        </is>
      </c>
    </row>
    <row r="7" ht="30" customHeight="1">
      <c r="A7" s="231" t="inlineStr">
        <is>
          <t>Действующие школы</t>
        </is>
      </c>
      <c r="B7" s="335" t="n">
        <v>104</v>
      </c>
      <c r="C7" s="254" t="inlineStr">
        <is>
          <t>01_Вводные!B9</t>
        </is>
      </c>
      <c r="D7" s="234" t="inlineStr">
        <is>
          <t>Один партнёр может держать несколько школ: «Академия Спорта» (Тверь) — 9, Акулова (Обнинск) — 7</t>
        </is>
      </c>
    </row>
    <row r="8" ht="30" customHeight="1">
      <c r="A8" s="231" t="inlineStr">
        <is>
          <t>Школ на партнёра, среднее</t>
        </is>
      </c>
      <c r="B8" s="255" t="n"/>
      <c r="C8" s="255" t="n"/>
      <c r="D8" s="234" t="inlineStr">
        <is>
          <t>104 / 51 = 2,04 школы на партнёра</t>
        </is>
      </c>
    </row>
    <row r="9" ht="30" customHeight="1">
      <c r="A9" s="231" t="inlineStr">
        <is>
          <t>Новые партнёры без школ</t>
        </is>
      </c>
      <c r="B9" s="335" t="n">
        <v>3</v>
      </c>
      <c r="C9" s="255" t="n"/>
      <c r="D9" s="234" t="inlineStr">
        <is>
          <t>«ФКС» (Белгород) — подписан; «Оптима» (Москва) и Третьяков (Москва) — на подписании. В 104 не входят. «Открытия ждём от новых партнёров»</t>
        </is>
      </c>
    </row>
    <row r="10" ht="30" customHeight="1">
      <c r="A10" s="231" t="inlineStr">
        <is>
          <t>Школ в базе ERP</t>
        </is>
      </c>
      <c r="B10" s="335" t="n">
        <v>104</v>
      </c>
      <c r="C10" s="254" t="inlineStr">
        <is>
          <t>01_Вводные!B106</t>
        </is>
      </c>
      <c r="D10" s="234" t="inlineStr">
        <is>
          <t>Базовые 80 тыс. ₽ ERP покрывают эти школы; доплата 3 тыс. ₽ — за каждую новую сверх базы</t>
        </is>
      </c>
    </row>
    <row r="11" ht="30" customHeight="1">
      <c r="A11" s="231" t="inlineStr">
        <is>
          <t>Дети действующей сети, 100% база</t>
        </is>
      </c>
      <c r="B11" s="335" t="n">
        <v>5200</v>
      </c>
      <c r="C11" s="254" t="inlineStr">
        <is>
          <t>01_Вводные!B11</t>
        </is>
      </c>
      <c r="D11" s="234" t="inlineStr">
        <is>
          <t>5 200 / 104 = 50 детей на школу</t>
        </is>
      </c>
    </row>
    <row r="13">
      <c r="A13" s="228" t="inlineStr">
        <is>
          <t>Ушли: 12 партнёров, 18 школ</t>
        </is>
      </c>
    </row>
    <row r="14">
      <c r="A14" s="230" t="inlineStr">
        <is>
          <t>Причина</t>
        </is>
      </c>
      <c r="B14" s="230" t="inlineStr">
        <is>
          <t>Школ</t>
        </is>
      </c>
      <c r="C14" s="230" t="inlineStr"/>
      <c r="D14" s="230" t="inlineStr">
        <is>
          <t>Кто</t>
        </is>
      </c>
    </row>
    <row r="15" ht="30" customHeight="1">
      <c r="A15" s="231" t="inlineStr">
        <is>
          <t>Расторжение по инициативе УК</t>
        </is>
      </c>
      <c r="B15" s="336" t="n">
        <v>7</v>
      </c>
      <c r="C15" s="255" t="n"/>
      <c r="D15" s="234" t="inlineStr">
        <is>
          <t>Золотухина (Реутов 3, Чебоксары 2) — злостный должник; Черпилло (Москва ЮВАО 2) — конфликтный партнёр</t>
        </is>
      </c>
    </row>
    <row r="16" ht="30" customHeight="1">
      <c r="A16" s="231" t="inlineStr">
        <is>
          <t>Закрытие школы, выход из бизнеса</t>
        </is>
      </c>
      <c r="B16" s="336" t="n">
        <v>4</v>
      </c>
      <c r="C16" s="255" t="n"/>
      <c r="D16" s="234" t="inlineStr">
        <is>
          <t>Саурина (Балашиха) — убытки; «Спартак Юниор» (Подольск) — продали манеж городу; Быковская (Тула); Шарков (Волгоград)</t>
        </is>
      </c>
    </row>
    <row r="17" ht="30" customHeight="1">
      <c r="A17" s="231" t="inlineStr">
        <is>
          <t>Переход в МФСО «Спартак»</t>
        </is>
      </c>
      <c r="B17" s="336" t="n">
        <v>3</v>
      </c>
      <c r="C17" s="255" t="n"/>
      <c r="D17" s="234" t="inlineStr">
        <is>
          <t>Тольятти; «Наше будущее» (Екатеринбург); Дианов (Кемерово)</t>
        </is>
      </c>
    </row>
    <row r="18" ht="30" customHeight="1">
      <c r="A18" s="231" t="inlineStr">
        <is>
          <t>Конкуренция</t>
        </is>
      </c>
      <c r="B18" s="336" t="n">
        <v>3</v>
      </c>
      <c r="C18" s="255" t="n"/>
      <c r="D18" s="234" t="inlineStr">
        <is>
          <t>Чуркин (Марьино и Люблино) — в манежи зашла академия «Родина» с бесплатными занятиями</t>
        </is>
      </c>
    </row>
    <row r="19" ht="30" customHeight="1">
      <c r="A19" s="231" t="inlineStr">
        <is>
          <t>Паушальный взнос</t>
        </is>
      </c>
      <c r="B19" s="336" t="n">
        <v>1</v>
      </c>
      <c r="C19" s="255" t="n"/>
      <c r="D19" s="234" t="inlineStr">
        <is>
          <t>Алборов (Екатеринбург) — хотел переехать в Москву без взноса</t>
        </is>
      </c>
    </row>
    <row r="20" ht="30" customHeight="1">
      <c r="A20" s="332" t="inlineStr">
        <is>
          <t>Итого</t>
        </is>
      </c>
      <c r="B20" s="337" t="n">
        <v>18</v>
      </c>
      <c r="C20" s="255" t="n"/>
      <c r="D20" s="338" t="inlineStr">
        <is>
          <t>12 партнёров. В модели ставка закрытий 01_Вводные!B13 = 0% в год — отток не заложен вовсе.</t>
        </is>
      </c>
    </row>
    <row r="22">
      <c r="A22" s="228" t="inlineStr">
        <is>
          <t>Роялти действующей сети: модель против факта 2026, ₽</t>
        </is>
      </c>
    </row>
    <row r="23">
      <c r="A23" s="339" t="inlineStr">
        <is>
          <t>Модель применяет к роялти индекс посещаемости детей. Факт летнего провала не показывает — июнь и июль оказались самыми сильными месяцами полугодия.</t>
        </is>
      </c>
    </row>
    <row r="25">
      <c r="A25" s="230" t="inlineStr">
        <is>
          <t>Месяц 2026</t>
        </is>
      </c>
      <c r="B25" s="230" t="inlineStr">
        <is>
          <t>Индекс</t>
        </is>
      </c>
      <c r="C25" s="230" t="inlineStr">
        <is>
          <t>% с оборота, с НДС</t>
        </is>
      </c>
      <c r="D25" s="230" t="inlineStr">
        <is>
          <t>Модель, без НДС</t>
        </is>
      </c>
      <c r="E25" s="230" t="inlineStr">
        <is>
          <t>Факт: поступления (ДДС)</t>
        </is>
      </c>
      <c r="F25" s="230" t="inlineStr">
        <is>
          <t>Факт: начислено (P&amp;L)</t>
        </is>
      </c>
    </row>
    <row r="26">
      <c r="A26" s="231" t="inlineStr">
        <is>
          <t>Январь</t>
        </is>
      </c>
      <c r="B26" s="340" t="n">
        <v>0.9631999999999999</v>
      </c>
      <c r="C26" s="341" t="n">
        <v>1953441</v>
      </c>
      <c r="D26" s="342" t="n">
        <v>1860420</v>
      </c>
      <c r="E26" s="261" t="n">
        <v>1849872</v>
      </c>
      <c r="F26" s="255" t="n"/>
    </row>
    <row r="27">
      <c r="A27" s="231" t="inlineStr">
        <is>
          <t>Февраль</t>
        </is>
      </c>
      <c r="B27" s="340" t="n">
        <v>1</v>
      </c>
      <c r="C27" s="341" t="n">
        <v>2028000</v>
      </c>
      <c r="D27" s="342" t="n">
        <v>1931429</v>
      </c>
      <c r="E27" s="261" t="n">
        <v>2208620</v>
      </c>
      <c r="F27" s="255" t="n"/>
    </row>
    <row r="28">
      <c r="A28" s="231" t="inlineStr">
        <is>
          <t>Март</t>
        </is>
      </c>
      <c r="B28" s="340" t="n">
        <v>0.9926</v>
      </c>
      <c r="C28" s="341" t="n">
        <v>2013088</v>
      </c>
      <c r="D28" s="342" t="n">
        <v>1917227</v>
      </c>
      <c r="E28" s="343" t="n">
        <v>2336206</v>
      </c>
      <c r="F28" s="255" t="n"/>
    </row>
    <row r="29">
      <c r="A29" s="231" t="inlineStr">
        <is>
          <t>Апрель</t>
        </is>
      </c>
      <c r="B29" s="340" t="n">
        <v>0.9265</v>
      </c>
      <c r="C29" s="341" t="n">
        <v>1878882</v>
      </c>
      <c r="D29" s="342" t="n">
        <v>1789412</v>
      </c>
      <c r="E29" s="343" t="n">
        <v>2456244</v>
      </c>
      <c r="F29" s="255" t="n"/>
    </row>
    <row r="30">
      <c r="A30" s="231" t="inlineStr">
        <is>
          <t>Май</t>
        </is>
      </c>
      <c r="B30" s="340" t="n">
        <v>0.8235</v>
      </c>
      <c r="C30" s="341" t="n">
        <v>1670118</v>
      </c>
      <c r="D30" s="342" t="n">
        <v>1590588</v>
      </c>
      <c r="E30" s="343" t="n">
        <v>2454376</v>
      </c>
      <c r="F30" s="255" t="n"/>
    </row>
    <row r="31">
      <c r="A31" s="231" t="inlineStr">
        <is>
          <t>Июнь</t>
        </is>
      </c>
      <c r="B31" s="340" t="n">
        <v>0.3162</v>
      </c>
      <c r="C31" s="341" t="n">
        <v>641206</v>
      </c>
      <c r="D31" s="342" t="n">
        <v>1485714</v>
      </c>
      <c r="E31" s="343" t="n">
        <v>2866564</v>
      </c>
      <c r="F31" s="343" t="n">
        <v>2452155</v>
      </c>
    </row>
    <row r="32">
      <c r="A32" s="231" t="inlineStr">
        <is>
          <t>Июль</t>
        </is>
      </c>
      <c r="B32" s="340" t="n">
        <v>0.1397</v>
      </c>
      <c r="C32" s="341" t="n">
        <v>283324</v>
      </c>
      <c r="D32" s="342" t="n">
        <v>1485714</v>
      </c>
      <c r="E32" s="255" t="n"/>
      <c r="F32" s="343" t="n">
        <v>3070178</v>
      </c>
    </row>
    <row r="33">
      <c r="A33" s="344" t="inlineStr">
        <is>
          <t>Итого январь–июнь</t>
        </is>
      </c>
      <c r="D33" s="261">
        <f>SUM(D26:D31)</f>
        <v/>
      </c>
      <c r="E33" s="261">
        <f>SUM(E26:E31)</f>
        <v/>
      </c>
    </row>
    <row r="34">
      <c r="A34" s="325" t="inlineStr">
        <is>
          <t>Модель к факту</t>
        </is>
      </c>
      <c r="D34" s="345">
        <f>D33/E33-1</f>
        <v/>
      </c>
      <c r="E34" s="346" t="inlineStr">
        <is>
          <t>модель ниже факта</t>
        </is>
      </c>
    </row>
    <row r="35">
      <c r="A35" s="290" t="inlineStr">
        <is>
          <t>Поступления (ДДС) отстают от начисления, поэтому строки не совпадают месяц в месяц. Но направление одно: и по кассе, и по начислению лето — не провал, а пик. Июль по кассе неполный (отчёт до 02.07), поэтому в итог не входит.</t>
        </is>
      </c>
    </row>
    <row r="37">
      <c r="A37" s="228" t="inlineStr">
        <is>
          <t>Что из этого следует — четыре вопроса</t>
        </is>
      </c>
    </row>
    <row r="38" ht="96" customHeight="1">
      <c r="A38" s="347" t="inlineStr">
        <is>
          <t>?</t>
        </is>
      </c>
      <c r="B38" s="348" t="inlineStr">
        <is>
          <t>Минимальный роялти считается на школу или на ДКК?</t>
        </is>
      </c>
      <c r="D38" s="245" t="inlineStr">
        <is>
          <t>Сейчас 06_Сеть_и_дети!B28 берёт MAX(% с оборота; ЧИСЛО ШКОЛ × 15 000), то есть 104 × 15 000 = 1 560 000 ₽/мес. Если минимум записан в ДКК на партнёра, база должна быть 51 × 15 000 = 765 000 ₽/мес — разница вдвое. Минимум срабатывает в июне, июле и августе, поэтому цена вопроса ≈ 2,4 млн ₽ в год. Важно ещё и потому, что рост числа школ до 104 был, по вашим словам, чисто учётным: партнёры не подписывались платить больше из-за того, что реестр УК стал точнее.</t>
        </is>
      </c>
    </row>
    <row r="39" ht="96" customHeight="1">
      <c r="A39" s="347" t="inlineStr">
        <is>
          <t>?</t>
        </is>
      </c>
      <c r="B39" s="348" t="inlineStr">
        <is>
          <t>Роялти действительно проваливается летом?</t>
        </is>
      </c>
      <c r="D39" s="245" t="inlineStr">
        <is>
          <t>Модель умножает роялти действующей сети на индекс посещаемости (июнь 31,6%, июль 14,0%, август 5,9%). Факт 2026 обратный: июнь и июль — пиковые месяцы. За январь–июнь модель даёт 10,6 млн ₽ против 14,2 млн ₽ факта, то есть занижает примерно на четверть, и весь разрыв набегает к лету. Возможные причины: роялти начисляется с лагом, у партнёров годовые абонементы, или база роялти — не месячная посещаемость. Нужно понять, какая из них верна.</t>
        </is>
      </c>
    </row>
    <row r="40" ht="96" customHeight="1">
      <c r="A40" s="347" t="inlineStr">
        <is>
          <t>?</t>
        </is>
      </c>
      <c r="B40" s="348" t="inlineStr">
        <is>
          <t>Средний абонемент 6 000 ₽ — не занижен ли?</t>
        </is>
      </c>
      <c r="D40" s="245" t="inlineStr">
        <is>
          <t>Начисленный роялти июля 3,07 млн ₽ при ставке 6,5% предполагает оборот сети около 47 млн ₽/мес. Модель при 5 200 детях и 6 000 ₽ даёт 31,2 млн ₽/мес при 100% посещаемости. В первоначальной v4 стояло 7 800 ₽ — с ним разрыв заметно меньше. Это тот же вопрос, что висит пунктом 6 на листе 14_Ревизия.</t>
        </is>
      </c>
    </row>
    <row r="41" ht="96" customHeight="1">
      <c r="A41" s="347" t="inlineStr">
        <is>
          <t>?</t>
        </is>
      </c>
      <c r="B41" s="348" t="inlineStr">
        <is>
          <t>Отток 18 школ — за какой период?</t>
        </is>
      </c>
      <c r="D41" s="245" t="inlineStr">
        <is>
          <t>12 партнёров и 18 школ ушли по пяти разным причинам, из них 7 школ — по инициативе самой УК. В модели ставка закрытий 01_Вводные!B13 = 0% в год, то есть отток не заложен вовсе, хотя ТЗ 5.3 прямо требует, чтобы закрытие уменьшало детей, ERP, роялти и нагрузку менеджеров. Чтобы поставить ставку, нужен период: 18 школ за год — это около 15% в год, за два года — около 7,5%. Отдельно: 3 партнёра ещё не переподписали ДКК, это дополнительный риск.</t>
        </is>
      </c>
    </row>
    <row r="43">
      <c r="A43" s="328" t="inlineStr">
        <is>
          <t>Ни одна цифра модели по этим вопросам не менялась — нужны ваши ответы.</t>
        </is>
      </c>
    </row>
  </sheetData>
  <hyperlinks>
    <hyperlink ref="C6" location="'01_Вводные'!B10"/>
    <hyperlink ref="C7" location="'01_Вводные'!B9"/>
    <hyperlink ref="C10" location="'01_Вводные'!B106"/>
    <hyperlink ref="C11" location="'01_Вводные'!B11"/>
  </hyperlinks>
  <printOptions horizontalCentered="0"/>
  <pageMargins left="0.75" right="0.75" top="1" bottom="1" header="0.5" footer="0.5"/>
  <pageSetup orientation="portrait" fitToHeight="0" fitToWidth="1"/>
  <headerFooter>
    <oddHeader/>
    <oddFooter>&amp;LФинмодель Спартак · 01а_Действующая_сеть&amp;R&amp;P / &amp;N</oddFooter>
    <evenHeader/>
    <evenFooter/>
    <firstHeader/>
    <firstFooter/>
  </headerFooter>
</worksheet>
</file>

<file path=xl/worksheets/sheet24.xml><?xml version="1.0" encoding="utf-8"?>
<worksheet xmlns="http://schemas.openxmlformats.org/spreadsheetml/2006/main">
  <sheetPr>
    <tabColor rgb="00548235"/>
    <outlinePr summaryBelow="1" summaryRight="1"/>
    <pageSetUpPr fitToPage="1"/>
  </sheetPr>
  <dimension ref="A1:E104"/>
  <sheetViews>
    <sheetView showGridLines="0" workbookViewId="0">
      <pane ySplit="5" topLeftCell="A6" activePane="bottomLeft" state="frozen"/>
      <selection pane="bottomLeft" activeCell="A1" sqref="A1"/>
    </sheetView>
  </sheetViews>
  <sheetFormatPr baseColWidth="8" defaultRowHeight="15"/>
  <cols>
    <col width="7" customWidth="1" min="1" max="1"/>
    <col width="52" customWidth="1" min="2" max="2"/>
    <col width="66" customWidth="1" min="3" max="3"/>
    <col width="26" customWidth="1" min="4" max="4"/>
    <col width="18" customWidth="1" min="5" max="5"/>
  </cols>
  <sheetData>
    <row r="1">
      <c r="A1" s="226" t="inlineStr">
        <is>
          <t>Сверка модели с ТЗ v6.0 и фактическими данными</t>
        </is>
      </c>
    </row>
    <row r="2">
      <c r="A2" s="227" t="inlineStr">
        <is>
          <t>Каждый пункт ТЗ — что требуется, что в модели, где посмотреть. Источники лежат в папке sources рядом с файлом.</t>
        </is>
      </c>
    </row>
    <row r="3">
      <c r="A3" s="246" t="inlineStr">
        <is>
          <t>Соответствует: 60   ·   Отклонение: 3   ·   Нет источника для сверки: 4   ·   Нет в ТЗ (рабочее допущение): 3</t>
        </is>
      </c>
    </row>
    <row r="5">
      <c r="A5" s="230" t="inlineStr">
        <is>
          <t>Пункт</t>
        </is>
      </c>
      <c r="B5" s="230" t="inlineStr">
        <is>
          <t>Требование ТЗ v6.0</t>
        </is>
      </c>
      <c r="C5" s="230" t="inlineStr">
        <is>
          <t>Что в модели</t>
        </is>
      </c>
      <c r="D5" s="230" t="inlineStr">
        <is>
          <t>Где</t>
        </is>
      </c>
      <c r="E5" s="230" t="inlineStr">
        <is>
          <t>Статус</t>
        </is>
      </c>
    </row>
    <row r="6">
      <c r="A6" s="257" t="inlineStr">
        <is>
          <t>5.1</t>
        </is>
      </c>
      <c r="B6" s="257" t="inlineStr">
        <is>
          <t>Календарь и сезонность</t>
        </is>
      </c>
      <c r="C6" s="330" t="n"/>
      <c r="D6" s="330" t="n"/>
      <c r="E6" s="330" t="n"/>
    </row>
    <row r="7" ht="32" customHeight="1">
      <c r="A7" s="331" t="inlineStr">
        <is>
          <t>5.1</t>
        </is>
      </c>
      <c r="B7" s="333" t="inlineStr">
        <is>
          <t>Старт модели 01.09.2026</t>
        </is>
      </c>
      <c r="C7" s="333" t="inlineStr">
        <is>
          <t>01.09.2026</t>
        </is>
      </c>
      <c r="D7" s="254" t="inlineStr">
        <is>
          <t>01_Вводные!B7</t>
        </is>
      </c>
      <c r="E7" s="349" t="inlineStr">
        <is>
          <t>Соответствует</t>
        </is>
      </c>
    </row>
    <row r="8" ht="32" customHeight="1">
      <c r="A8" s="331" t="inlineStr">
        <is>
          <t>5.1</t>
        </is>
      </c>
      <c r="B8" s="333" t="inlineStr">
        <is>
          <t>Сезон = сентябрь–август, одна временная ось</t>
        </is>
      </c>
      <c r="C8" s="333" t="inlineStr">
        <is>
          <t>Все листы строят ось от B7; сезон = INT((n)/12)+1</t>
        </is>
      </c>
      <c r="D8" s="254" t="inlineStr">
        <is>
          <t>02_Модель!B3</t>
        </is>
      </c>
      <c r="E8" s="349" t="inlineStr">
        <is>
          <t>Соответствует</t>
        </is>
      </c>
    </row>
    <row r="9" ht="32" customHeight="1">
      <c r="A9" s="331" t="inlineStr">
        <is>
          <t>5.1</t>
        </is>
      </c>
      <c r="B9" s="333" t="inlineStr">
        <is>
          <t>Сентябрь 2026 — 0 продаж франшиз</t>
        </is>
      </c>
      <c r="C9" s="333" t="inlineStr">
        <is>
          <t>Первый месяц жёстко = 0; есть автотест</t>
        </is>
      </c>
      <c r="D9" s="254" t="inlineStr">
        <is>
          <t>04_Продажи!B15</t>
        </is>
      </c>
      <c r="E9" s="349" t="inlineStr">
        <is>
          <t>Соответствует</t>
        </is>
      </c>
    </row>
    <row r="10">
      <c r="A10" s="257" t="inlineStr">
        <is>
          <t>5.2</t>
        </is>
      </c>
      <c r="B10" s="257" t="inlineStr">
        <is>
          <t>Продажи франшиз</t>
        </is>
      </c>
      <c r="C10" s="330" t="n"/>
      <c r="D10" s="330" t="n"/>
      <c r="E10" s="330" t="n"/>
    </row>
    <row r="11" ht="32" customHeight="1">
      <c r="A11" s="331" t="inlineStr">
        <is>
          <t>5.2</t>
        </is>
      </c>
      <c r="B11" s="333" t="inlineStr">
        <is>
          <t>Планы 66 / 72 / 72 / 60 / 50</t>
        </is>
      </c>
      <c r="C11" s="333" t="inlineStr">
        <is>
          <t>66, 72, 72, 60, 50 — базы сценарных драйверов</t>
        </is>
      </c>
      <c r="D11" s="254" t="inlineStr">
        <is>
          <t>01_Вводные!B210</t>
        </is>
      </c>
      <c r="E11" s="349" t="inlineStr">
        <is>
          <t>Соответствует</t>
        </is>
      </c>
    </row>
    <row r="12" ht="32" customHeight="1">
      <c r="A12" s="331" t="inlineStr">
        <is>
          <t>5.2</t>
        </is>
      </c>
      <c r="B12" s="333" t="inlineStr">
        <is>
          <t>Сезонность нормировать так, чтобы сумма = годовому плану</t>
        </is>
      </c>
      <c r="C12" s="333" t="inlineStr">
        <is>
          <t>Строка контроля O36:O40 = 100%; 15 автотестов по сезонам</t>
        </is>
      </c>
      <c r="D12" s="254" t="inlineStr">
        <is>
          <t>13_Проверки!A4</t>
        </is>
      </c>
      <c r="E12" s="349" t="inlineStr">
        <is>
          <t>Соответствует</t>
        </is>
      </c>
    </row>
    <row r="13" ht="32" customHeight="1">
      <c r="A13" s="331" t="inlineStr">
        <is>
          <t>5.2</t>
        </is>
      </c>
      <c r="B13" s="333" t="inlineStr">
        <is>
          <t>Дробные продажи в финплане + округлённое целое в опплане</t>
        </is>
      </c>
      <c r="C13" s="333" t="inlineStr">
        <is>
          <t>Строка 15 — дробная, строка 16 — ROUND(...,0)</t>
        </is>
      </c>
      <c r="D13" s="254" t="inlineStr">
        <is>
          <t>04_Продажи!A16</t>
        </is>
      </c>
      <c r="E13" s="349" t="inlineStr">
        <is>
          <t>Соответствует</t>
        </is>
      </c>
    </row>
    <row r="14" ht="32" customHeight="1">
      <c r="A14" s="331" t="inlineStr">
        <is>
          <t>5.2</t>
        </is>
      </c>
      <c r="B14" s="333" t="inlineStr">
        <is>
          <t>Продажа, открытие и ERP — разные события; лаг 2 мес.</t>
        </is>
      </c>
      <c r="C14" s="333" t="inlineStr">
        <is>
          <t>Лаг продажа→открытие 2 мес.; лаг ERP отдельным параметром (сейчас 0)</t>
        </is>
      </c>
      <c r="D14" s="254" t="inlineStr">
        <is>
          <t>01_Вводные!B15</t>
        </is>
      </c>
      <c r="E14" s="349" t="inlineStr">
        <is>
          <t>Соответствует</t>
        </is>
      </c>
    </row>
    <row r="15" ht="32" customHeight="1">
      <c r="A15" s="331" t="inlineStr">
        <is>
          <t>5.2</t>
        </is>
      </c>
      <c r="B15" s="333" t="inlineStr">
        <is>
          <t>Сезонность из «План_продаж», строки 18-22</t>
        </is>
      </c>
      <c r="C15" s="333" t="inlineStr">
        <is>
          <t>Вектор C36:N40 задан числами; исходный лист «План_продаж» в присланных файлах отсутствует — сверить не с чем</t>
        </is>
      </c>
      <c r="D15" s="254" t="inlineStr">
        <is>
          <t>01_Вводные!C36</t>
        </is>
      </c>
      <c r="E15" s="350" t="inlineStr">
        <is>
          <t>Нет источника</t>
        </is>
      </c>
    </row>
    <row r="16">
      <c r="A16" s="257" t="inlineStr">
        <is>
          <t>5.3</t>
        </is>
      </c>
      <c r="B16" s="257" t="inlineStr">
        <is>
          <t>Партнёры, юрлица, школы и дети</t>
        </is>
      </c>
      <c r="C16" s="330" t="n"/>
      <c r="D16" s="330" t="n"/>
      <c r="E16" s="330" t="n"/>
    </row>
    <row r="17" ht="32" customHeight="1">
      <c r="A17" s="331" t="inlineStr">
        <is>
          <t>5.3</t>
        </is>
      </c>
      <c r="B17" s="333" t="inlineStr">
        <is>
          <t>Стартовое количество юрлиц 49</t>
        </is>
      </c>
      <c r="C17" s="333" t="inlineStr">
        <is>
          <t>51 — подтверждено актуализацией сети от 21.08.2026 (51 партнёр, 104 школы, 48 переподписали ДКК). Цифра 49 в ТЗ устарела. Разбор реестра — на листе 01а_Действующая_сеть</t>
        </is>
      </c>
      <c r="D17" s="254" t="inlineStr">
        <is>
          <t>01а_Действующая_сеть!A1</t>
        </is>
      </c>
      <c r="E17" s="349" t="inlineStr">
        <is>
          <t>Соответствует</t>
        </is>
      </c>
    </row>
    <row r="18" ht="32" customHeight="1">
      <c r="A18" s="331" t="inlineStr">
        <is>
          <t>5.3</t>
        </is>
      </c>
      <c r="B18" s="333" t="inlineStr">
        <is>
          <t>Стартовые дети действующей сети 5 200</t>
        </is>
      </c>
      <c r="C18" s="333" t="inlineStr">
        <is>
          <t>5 200</t>
        </is>
      </c>
      <c r="D18" s="254" t="inlineStr">
        <is>
          <t>01_Вводные!B11</t>
        </is>
      </c>
      <c r="E18" s="349" t="inlineStr">
        <is>
          <t>Соответствует</t>
        </is>
      </c>
    </row>
    <row r="19" ht="32" customHeight="1">
      <c r="A19" s="331" t="inlineStr">
        <is>
          <t>5.3</t>
        </is>
      </c>
      <c r="B19" s="333" t="inlineStr">
        <is>
          <t>Рост детей 10% г/г, сложный, пересчёт на начало сезона</t>
        </is>
      </c>
      <c r="C19" s="333" t="inlineStr">
        <is>
          <t>5200 × (1+10%)^(сезон−1), пересчёт каждый сентябрь</t>
        </is>
      </c>
      <c r="D19" s="254" t="inlineStr">
        <is>
          <t>06_Сеть_и_дети!A19</t>
        </is>
      </c>
      <c r="E19" s="349" t="inlineStr">
        <is>
          <t>Соответствует</t>
        </is>
      </c>
    </row>
    <row r="20" ht="32" customHeight="1">
      <c r="A20" s="331" t="inlineStr">
        <is>
          <t>5.3</t>
        </is>
      </c>
      <c r="B20" s="333" t="inlineStr">
        <is>
          <t>Внутри сезона — отдельный индекс посещаемости</t>
        </is>
      </c>
      <c r="C20" s="333" t="inlineStr">
        <is>
          <t>Индекс 5,9% (авг) … 100% (фев), применяется к детям</t>
        </is>
      </c>
      <c r="D20" s="254" t="inlineStr">
        <is>
          <t>01_Вводные!B44</t>
        </is>
      </c>
      <c r="E20" s="349" t="inlineStr">
        <is>
          <t>Соответствует</t>
        </is>
      </c>
    </row>
    <row r="21" ht="32" customHeight="1">
      <c r="A21" s="331" t="inlineStr">
        <is>
          <t>5.3</t>
        </is>
      </c>
      <c r="B21" s="333" t="inlineStr">
        <is>
          <t>1-й сезон ≈ 75 детей («Микс_продаж!N44»)</t>
        </is>
      </c>
      <c r="C21" s="333" t="inlineStr">
        <is>
          <t>75,05 — взвешенное среднее по 20 тарифным группам</t>
        </is>
      </c>
      <c r="D21" s="254" t="inlineStr">
        <is>
          <t>01_Вводные!B46</t>
        </is>
      </c>
      <c r="E21" s="349" t="inlineStr">
        <is>
          <t>Соответствует</t>
        </is>
      </c>
    </row>
    <row r="22" ht="32" customHeight="1">
      <c r="A22" s="331" t="inlineStr">
        <is>
          <t>5.3</t>
        </is>
      </c>
      <c r="B22" s="333" t="inlineStr">
        <is>
          <t>2-й год ≈ 165 детей («O44») — только после подтверждения</t>
        </is>
      </c>
      <c r="C22" s="333" t="inlineStr">
        <is>
          <t>165,125 применяется. Подтверждение смысла показателя в присланных файлах не зафиксировано</t>
        </is>
      </c>
      <c r="D22" s="254" t="inlineStr">
        <is>
          <t>01_Вводные!B47</t>
        </is>
      </c>
      <c r="E22" s="350" t="inlineStr">
        <is>
          <t>Нет источника</t>
        </is>
      </c>
    </row>
    <row r="23" ht="32" customHeight="1">
      <c r="A23" s="331" t="inlineStr">
        <is>
          <t>5.3</t>
        </is>
      </c>
      <c r="B23" s="333" t="inlineStr">
        <is>
          <t>Рост когорт по возрасту: 1-12, 13-24, зрелая</t>
        </is>
      </c>
      <c r="C23" s="333" t="inlineStr">
        <is>
          <t>Когорты по месяцам жизни, 25 возрастных групп</t>
        </is>
      </c>
      <c r="D23" s="254" t="inlineStr">
        <is>
          <t>06_Сеть_и_дети!A52</t>
        </is>
      </c>
      <c r="E23" s="349" t="inlineStr">
        <is>
          <t>Соответствует</t>
        </is>
      </c>
    </row>
    <row r="24" ht="32" customHeight="1">
      <c r="A24" s="331" t="inlineStr">
        <is>
          <t>5.3</t>
        </is>
      </c>
      <c r="B24" s="333" t="inlineStr">
        <is>
          <t>Закрытие школы уменьшает детей, ERP, роялти, нагрузку</t>
        </is>
      </c>
      <c r="C24" s="333" t="inlineStr">
        <is>
          <t>Механика есть, но ставка 0% — отток не заложен. По реестру от 21.08.2026 фактически ушли 12 партнёров и 18 школ. Чтобы задать ставку, нужен период оттока</t>
        </is>
      </c>
      <c r="D24" s="254" t="inlineStr">
        <is>
          <t>01а_Действующая_сеть!A1</t>
        </is>
      </c>
      <c r="E24" s="351" t="inlineStr">
        <is>
          <t>Отклонение</t>
        </is>
      </c>
    </row>
    <row r="25">
      <c r="A25" s="257" t="inlineStr">
        <is>
          <t>5.4</t>
        </is>
      </c>
      <c r="B25" s="257" t="inlineStr">
        <is>
          <t>Паушальные взносы и роялти</t>
        </is>
      </c>
      <c r="C25" s="330" t="n"/>
      <c r="D25" s="330" t="n"/>
      <c r="E25" s="330" t="n"/>
    </row>
    <row r="26" ht="32" customHeight="1">
      <c r="A26" s="331" t="inlineStr">
        <is>
          <t>5.4</t>
        </is>
      </c>
      <c r="B26" s="333" t="inlineStr">
        <is>
          <t>Средний паушальный — через взвешенный микс продуктов</t>
        </is>
      </c>
      <c r="C26" s="333" t="inlineStr">
        <is>
          <t>SUMPRODUCT(веса; паушальный) / сумма весов = 937 767 ₽ с НДС</t>
        </is>
      </c>
      <c r="D26" s="254" t="inlineStr">
        <is>
          <t>01_Вводные!B63</t>
        </is>
      </c>
      <c r="E26" s="349" t="inlineStr">
        <is>
          <t>Соответствует</t>
        </is>
      </c>
    </row>
    <row r="27" ht="32" customHeight="1">
      <c r="A27" s="331" t="inlineStr">
        <is>
          <t>5.4</t>
        </is>
      </c>
      <c r="B27" s="333" t="inlineStr">
        <is>
          <t>Роялти 6,5% для действующих на 31.12.2026 и продаж до этой даты</t>
        </is>
      </c>
      <c r="C27" s="333" t="inlineStr">
        <is>
          <t>6,5% по договорам с датой ≤ 31.12.2026</t>
        </is>
      </c>
      <c r="D27" s="254" t="inlineStr">
        <is>
          <t>01_Вводные!B55</t>
        </is>
      </c>
      <c r="E27" s="349" t="inlineStr">
        <is>
          <t>Соответствует</t>
        </is>
      </c>
    </row>
    <row r="28" ht="32" customHeight="1">
      <c r="A28" s="331" t="inlineStr">
        <is>
          <t>5.4</t>
        </is>
      </c>
      <c r="B28" s="333" t="inlineStr">
        <is>
          <t>Роялти 8,5% для новых с 01.01.2027</t>
        </is>
      </c>
      <c r="C28" s="333" t="inlineStr">
        <is>
          <t>8,5%</t>
        </is>
      </c>
      <c r="D28" s="254" t="inlineStr">
        <is>
          <t>01_Вводные!B56</t>
        </is>
      </c>
      <c r="E28" s="349" t="inlineStr">
        <is>
          <t>Соответствует</t>
        </is>
      </c>
    </row>
    <row r="29" ht="32" customHeight="1">
      <c r="A29" s="331" t="inlineStr">
        <is>
          <t>5.4</t>
        </is>
      </c>
      <c r="B29" s="333" t="inlineStr">
        <is>
          <t>С 01.01.2030 все переходят на 10%</t>
        </is>
      </c>
      <c r="C29" s="333" t="inlineStr">
        <is>
          <t>10% с 01.01.2030 для всех</t>
        </is>
      </c>
      <c r="D29" s="254" t="inlineStr">
        <is>
          <t>01_Вводные!B57</t>
        </is>
      </c>
      <c r="E29" s="349" t="inlineStr">
        <is>
          <t>Соответствует</t>
        </is>
      </c>
    </row>
    <row r="30" ht="32" customHeight="1">
      <c r="A30" s="331" t="inlineStr">
        <is>
          <t>5.4</t>
        </is>
      </c>
      <c r="B30" s="333" t="inlineStr">
        <is>
          <t>Сохранить минимальный роялти</t>
        </is>
      </c>
      <c r="C30" s="333" t="inlineStr">
        <is>
          <t>Минимум по каждой школе своей тарифной группы (новые) и MAX(% с оборота; 104 × минимум) для действующей сети</t>
        </is>
      </c>
      <c r="D30" s="254" t="inlineStr">
        <is>
          <t>01_Вводные!B53</t>
        </is>
      </c>
      <c r="E30" s="349" t="inlineStr">
        <is>
          <t>Соответствует</t>
        </is>
      </c>
    </row>
    <row r="31">
      <c r="A31" s="257" t="inlineStr">
        <is>
          <t>5.5</t>
        </is>
      </c>
      <c r="B31" s="257" t="inlineStr">
        <is>
          <t>Экипировка</t>
        </is>
      </c>
      <c r="C31" s="330" t="n"/>
      <c r="D31" s="330" t="n"/>
      <c r="E31" s="330" t="n"/>
    </row>
    <row r="32" ht="32" customHeight="1">
      <c r="A32" s="331" t="inlineStr">
        <is>
          <t>5.5</t>
        </is>
      </c>
      <c r="B32" s="333" t="inlineStr">
        <is>
          <t>Действующая сеть, сен–дек 2026 — согласованные значения</t>
        </is>
      </c>
      <c r="C32" s="333" t="inlineStr">
        <is>
          <t>5 070 / 2 550 / 1 260 / 720 комплектов, выручка и COGS заданы числами; есть автотест «мерч 2026 не менялся»</t>
        </is>
      </c>
      <c r="D32" s="254" t="inlineStr">
        <is>
          <t>01_Вводные!B99</t>
        </is>
      </c>
      <c r="E32" s="349" t="inlineStr">
        <is>
          <t>Соответствует</t>
        </is>
      </c>
    </row>
    <row r="33" ht="32" customHeight="1">
      <c r="A33" s="331" t="inlineStr">
        <is>
          <t>5.5</t>
        </is>
      </c>
      <c r="B33" s="333" t="inlineStr">
        <is>
          <t>С января 2027 — сезонность из строки 77 листа «Допущения»</t>
        </is>
      </c>
      <c r="C33" s="333" t="inlineStr">
        <is>
          <t>Вектор B94:M94 (авг 25%, сен 40%, окт 25%, ноя 10%). Лист «Допущения» в присланных файлах отсутствует — сверить не с чем</t>
        </is>
      </c>
      <c r="D33" s="254" t="inlineStr">
        <is>
          <t>01_Вводные!B94</t>
        </is>
      </c>
      <c r="E33" s="350" t="inlineStr">
        <is>
          <t>Нет источника</t>
        </is>
      </c>
    </row>
    <row r="34" ht="32" customHeight="1">
      <c r="A34" s="331" t="inlineStr">
        <is>
          <t>5.5</t>
        </is>
      </c>
      <c r="B34" s="333" t="inlineStr">
        <is>
          <t>Новые партнёры: 50% / 30% / 20% за первые три месяца</t>
        </is>
      </c>
      <c r="C34" s="333" t="inlineStr">
        <is>
          <t>0,5 / 0,3 / 0,2, контроль суммы = 100%</t>
        </is>
      </c>
      <c r="D34" s="254" t="inlineStr">
        <is>
          <t>01_Вводные!B87</t>
        </is>
      </c>
      <c r="E34" s="349" t="inlineStr">
        <is>
          <t>Соответствует</t>
        </is>
      </c>
    </row>
    <row r="35" ht="32" customHeight="1">
      <c r="A35" s="331" t="inlineStr">
        <is>
          <t>5.5</t>
        </is>
      </c>
      <c r="B35" s="333" t="inlineStr">
        <is>
          <t>Когорта не должна одновременно быть в первичной и повторной закупке</t>
        </is>
      </c>
      <c r="C35" s="333" t="inlineStr">
        <is>
          <t>Повторный заказ — с нового сезона, но не раньше трёх первичных поставок; есть автотест «в первые 4 мес. повторной формы нет»</t>
        </is>
      </c>
      <c r="D35" s="254" t="inlineStr">
        <is>
          <t>13_Проверки!A56</t>
        </is>
      </c>
      <c r="E35" s="349" t="inlineStr">
        <is>
          <t>Соответствует</t>
        </is>
      </c>
    </row>
    <row r="36" ht="32" customHeight="1">
      <c r="A36" s="331" t="inlineStr">
        <is>
          <t>5.5</t>
        </is>
      </c>
      <c r="B36" s="333" t="inlineStr">
        <is>
          <t>COGS 2 100 ₽, наценка 85%, цена 3 885 ₽</t>
        </is>
      </c>
      <c r="C36" s="333" t="inlineStr">
        <is>
          <t>2 100 × 1,85 = 3 885 ₽ (цена — формула, не константа)</t>
        </is>
      </c>
      <c r="D36" s="254" t="inlineStr">
        <is>
          <t>01_Вводные!B73</t>
        </is>
      </c>
      <c r="E36" s="349" t="inlineStr">
        <is>
          <t>Соответствует</t>
        </is>
      </c>
    </row>
    <row r="37">
      <c r="A37" s="257" t="inlineStr">
        <is>
          <t>5.6</t>
        </is>
      </c>
      <c r="B37" s="257" t="inlineStr">
        <is>
          <t>Склад и возврат займа</t>
        </is>
      </c>
      <c r="C37" s="330" t="n"/>
      <c r="D37" s="330" t="n"/>
      <c r="E37" s="330" t="n"/>
    </row>
    <row r="38" ht="32" customHeight="1">
      <c r="A38" s="331" t="inlineStr">
        <is>
          <t>5.6</t>
        </is>
      </c>
      <c r="B38" s="333" t="inlineStr">
        <is>
          <t>Стартовый запас 50 млн ₽, займ 50 млн ₽ беспроцентный</t>
        </is>
      </c>
      <c r="C38" s="333" t="inlineStr">
        <is>
          <t>50 000 000 и 50 000 000; проценты не начисляются</t>
        </is>
      </c>
      <c r="D38" s="254" t="inlineStr">
        <is>
          <t>01_Вводные!B77</t>
        </is>
      </c>
      <c r="E38" s="349" t="inlineStr">
        <is>
          <t>Соответствует</t>
        </is>
      </c>
    </row>
    <row r="39" ht="32" customHeight="1">
      <c r="A39" s="331" t="inlineStr">
        <is>
          <t>5.6</t>
        </is>
      </c>
      <c r="B39" s="333" t="inlineStr">
        <is>
          <t>60% себестоимости реализованного мерча — на возврат займа</t>
        </is>
      </c>
      <c r="C39" s="333" t="inlineStr">
        <is>
          <t>MIN(остаток займа; COGS × 60%)</t>
        </is>
      </c>
      <c r="D39" s="254" t="inlineStr">
        <is>
          <t>07_Мерч!A30</t>
        </is>
      </c>
      <c r="E39" s="349" t="inlineStr">
        <is>
          <t>Соответствует</t>
        </is>
      </c>
    </row>
    <row r="40" ht="32" customHeight="1">
      <c r="A40" s="331" t="inlineStr">
        <is>
          <t>5.6</t>
        </is>
      </c>
      <c r="B40" s="333" t="inlineStr">
        <is>
          <t>Платёж ограничен остатком займа, деньгами и запасом на 6 мес.</t>
        </is>
      </c>
      <c r="C40" s="333" t="inlineStr">
        <is>
          <t>Три ограничения одновременно; переключатель B238</t>
        </is>
      </c>
      <c r="D40" s="254" t="inlineStr">
        <is>
          <t>07_Мерч!A31</t>
        </is>
      </c>
      <c r="E40" s="349" t="inlineStr">
        <is>
          <t>Соответствует</t>
        </is>
      </c>
    </row>
    <row r="41" ht="32" customHeight="1">
      <c r="A41" s="331" t="inlineStr">
        <is>
          <t>5.6</t>
        </is>
      </c>
      <c r="B41" s="333" t="inlineStr">
        <is>
          <t>Пополнение на 6 мес. вперёд не чаще 4 раз в год</t>
        </is>
      </c>
      <c r="C41" s="333" t="inlineStr">
        <is>
          <t>4 окна закупки: февраль / май / август / ноябрь; автотест на неповторяемость месяцев</t>
        </is>
      </c>
      <c r="D41" s="254" t="inlineStr">
        <is>
          <t>01_Вводные!B82</t>
        </is>
      </c>
      <c r="E41" s="349" t="inlineStr">
        <is>
          <t>Соответствует</t>
        </is>
      </c>
    </row>
    <row r="42" ht="32" customHeight="1">
      <c r="A42" s="331" t="inlineStr">
        <is>
          <t>5.6</t>
        </is>
      </c>
      <c r="B42" s="333" t="inlineStr">
        <is>
          <t>Показать склад на начало, списание, закупки, склад на конец, целевой запас, займ на начало / погашение / конец</t>
        </is>
      </c>
      <c r="C42" s="333" t="inlineStr">
        <is>
          <t>Все восемь строк раскрыты отдельно</t>
        </is>
      </c>
      <c r="D42" s="254" t="inlineStr">
        <is>
          <t>07_Мерч!A21</t>
        </is>
      </c>
      <c r="E42" s="349" t="inlineStr">
        <is>
          <t>Соответствует</t>
        </is>
      </c>
    </row>
    <row r="43">
      <c r="A43" s="257" t="inlineStr">
        <is>
          <t>5.7</t>
        </is>
      </c>
      <c r="B43" s="257" t="inlineStr">
        <is>
          <t>ERP и операционные расходы</t>
        </is>
      </c>
      <c r="C43" s="330" t="n"/>
      <c r="D43" s="330" t="n"/>
      <c r="E43" s="330" t="n"/>
    </row>
    <row r="44" ht="32" customHeight="1">
      <c r="A44" s="331" t="inlineStr">
        <is>
          <t>5.7</t>
        </is>
      </c>
      <c r="B44" s="333" t="inlineStr">
        <is>
          <t>ERP 80 тыс. ₽ база + 3 тыс. ₽ за новую активную школу</t>
        </is>
      </c>
      <c r="C44" s="333" t="inlineStr">
        <is>
          <t>80 000 + 3 000 × (школы сверх базы)</t>
        </is>
      </c>
      <c r="D44" s="254" t="inlineStr">
        <is>
          <t>02_Модель!A37</t>
        </is>
      </c>
      <c r="E44" s="349" t="inlineStr">
        <is>
          <t>Соответствует</t>
        </is>
      </c>
    </row>
    <row r="45" ht="32" customHeight="1">
      <c r="A45" s="331" t="inlineStr">
        <is>
          <t>5.7</t>
        </is>
      </c>
      <c r="B45" s="333" t="inlineStr">
        <is>
          <t>Базовое число школ в 80 тыс. ₽ — активные на 01.09.2026</t>
        </is>
      </c>
      <c r="C45" s="333" t="inlineStr">
        <is>
          <t>104 школы, отдельным допущением</t>
        </is>
      </c>
      <c r="D45" s="254" t="inlineStr">
        <is>
          <t>01_Вводные!B106</t>
        </is>
      </c>
      <c r="E45" s="349" t="inlineStr">
        <is>
          <t>Соответствует</t>
        </is>
      </c>
    </row>
    <row r="46" ht="32" customHeight="1">
      <c r="A46" s="331" t="inlineStr">
        <is>
          <t>5.7</t>
        </is>
      </c>
      <c r="B46" s="333" t="inlineStr">
        <is>
          <t>Офис, аренда, уборка, парковка — без изменений до переезда</t>
        </is>
      </c>
      <c r="C46" s="333" t="inlineStr">
        <is>
          <t>390 000 ₽/мес. фиксировано, из индексации исключено; есть автотест</t>
        </is>
      </c>
      <c r="D46" s="254" t="inlineStr">
        <is>
          <t>13_Проверки!A59</t>
        </is>
      </c>
      <c r="E46" s="349" t="inlineStr">
        <is>
          <t>Соответствует</t>
        </is>
      </c>
    </row>
    <row r="47" ht="32" customHeight="1">
      <c r="A47" s="331" t="inlineStr">
        <is>
          <t>5.7</t>
        </is>
      </c>
      <c r="B47" s="333" t="inlineStr">
        <is>
          <t>Юристы/аудит/бухгалтерия 40 тыс.; IT 80 тыс. отдельной строкой</t>
        </is>
      </c>
      <c r="C47" s="333" t="inlineStr">
        <is>
          <t>40 000 и 80 000, отдельными строками БДР</t>
        </is>
      </c>
      <c r="D47" s="254" t="inlineStr">
        <is>
          <t>01_Вводные!B109</t>
        </is>
      </c>
      <c r="E47" s="349" t="inlineStr">
        <is>
          <t>Соответствует</t>
        </is>
      </c>
    </row>
    <row r="48" ht="32" customHeight="1">
      <c r="A48" s="331" t="inlineStr">
        <is>
          <t>5.7</t>
        </is>
      </c>
      <c r="B48" s="333" t="inlineStr">
        <is>
          <t>Маркетинг/SMM 100 тыс. до 31.08.2027, далее штатный SMM 100 тыс. на руки + подрядчики 40 тыс.</t>
        </is>
      </c>
      <c r="C48" s="333" t="inlineStr">
        <is>
          <t>100 000 → 40 000 с 01.09.2027; штатный SMM выходит 01.09.2027</t>
        </is>
      </c>
      <c r="D48" s="254" t="inlineStr">
        <is>
          <t>01_Вводные!B111</t>
        </is>
      </c>
      <c r="E48" s="349" t="inlineStr">
        <is>
          <t>Соответствует</t>
        </is>
      </c>
    </row>
    <row r="49">
      <c r="A49" s="257" t="inlineStr">
        <is>
          <t>6.1</t>
        </is>
      </c>
      <c r="B49" s="257" t="inlineStr">
        <is>
          <t>Ядро и новые роли</t>
        </is>
      </c>
      <c r="C49" s="330" t="n"/>
      <c r="D49" s="330" t="n"/>
      <c r="E49" s="330" t="n"/>
    </row>
    <row r="50" ht="32" customHeight="1">
      <c r="A50" s="331" t="inlineStr">
        <is>
          <t>6.1</t>
        </is>
      </c>
      <c r="B50" s="333" t="inlineStr">
        <is>
          <t>Ядро и оклады как в v5; Левон — проектный менеджер, оклад сохранён</t>
        </is>
      </c>
      <c r="C50" s="333" t="inlineStr">
        <is>
          <t>13 человек, Левон в роли проектного менеджера с окладом 126 436 ₽</t>
        </is>
      </c>
      <c r="D50" s="254" t="inlineStr">
        <is>
          <t>01_Вводные!B141</t>
        </is>
      </c>
      <c r="E50" s="349" t="inlineStr">
        <is>
          <t>Соответствует</t>
        </is>
      </c>
    </row>
    <row r="51" ht="32" customHeight="1">
      <c r="A51" s="331" t="inlineStr">
        <is>
          <t>6.1</t>
        </is>
      </c>
      <c r="B51" s="333" t="inlineStr">
        <is>
          <t>Офис-менеджер 70 тыс. на руки с 01.01.2027</t>
        </is>
      </c>
      <c r="C51" s="333" t="inlineStr">
        <is>
          <t>70 000 net, дата выхода 01.01.2027</t>
        </is>
      </c>
      <c r="D51" s="254" t="inlineStr">
        <is>
          <t>01_Вводные!B133</t>
        </is>
      </c>
      <c r="E51" s="349" t="inlineStr">
        <is>
          <t>Соответствует</t>
        </is>
      </c>
    </row>
    <row r="52" ht="32" customHeight="1">
      <c r="A52" s="331" t="inlineStr">
        <is>
          <t>6.1</t>
        </is>
      </c>
      <c r="B52" s="333" t="inlineStr">
        <is>
          <t>SMM 100 тыс. на руки с 01.09.2027</t>
        </is>
      </c>
      <c r="C52" s="333" t="inlineStr">
        <is>
          <t>100 000 net, дата выхода 01.09.2027</t>
        </is>
      </c>
      <c r="D52" s="254" t="inlineStr">
        <is>
          <t>01_Вводные!B134</t>
        </is>
      </c>
      <c r="E52" s="349" t="inlineStr">
        <is>
          <t>Соответствует</t>
        </is>
      </c>
    </row>
    <row r="53" ht="32" customHeight="1">
      <c r="A53" s="331" t="inlineStr">
        <is>
          <t>6.1</t>
        </is>
      </c>
      <c r="B53" s="333" t="inlineStr">
        <is>
          <t>Оклад ГД +100 тыс. на руки с 01.01.2028</t>
        </is>
      </c>
      <c r="C53" s="333" t="inlineStr">
        <is>
          <t>100 000 net с 01.01.2028</t>
        </is>
      </c>
      <c r="D53" s="254" t="inlineStr">
        <is>
          <t>01_Вводные!B135</t>
        </is>
      </c>
      <c r="E53" s="349" t="inlineStr">
        <is>
          <t>Соответствует</t>
        </is>
      </c>
    </row>
    <row r="54" ht="32" customHeight="1">
      <c r="A54" s="331" t="inlineStr">
        <is>
          <t>6.1</t>
        </is>
      </c>
      <c r="B54" s="333" t="inlineStr">
        <is>
          <t>Индексация окладов 1 сентября с 01.09.2027, ежегодно</t>
        </is>
      </c>
      <c r="C54" s="333" t="inlineStr">
        <is>
          <t>Первая 01.09.2027, далее каждый сентябрь, 7%</t>
        </is>
      </c>
      <c r="D54" s="254" t="inlineStr">
        <is>
          <t>01_Вводные!B251</t>
        </is>
      </c>
      <c r="E54" s="349" t="inlineStr">
        <is>
          <t>Соответствует</t>
        </is>
      </c>
    </row>
    <row r="55">
      <c r="A55" s="257" t="inlineStr">
        <is>
          <t>6.2</t>
        </is>
      </c>
      <c r="B55" s="257" t="inlineStr">
        <is>
          <t>Менеджеры развития</t>
        </is>
      </c>
      <c r="C55" s="330" t="n"/>
      <c r="D55" s="330" t="n"/>
      <c r="E55" s="330" t="n"/>
    </row>
    <row r="56" ht="32" customHeight="1">
      <c r="A56" s="331" t="inlineStr">
        <is>
          <t>6.2</t>
        </is>
      </c>
      <c r="B56" s="333" t="inlineStr">
        <is>
          <t>Один менеджер на 35 активных юрлиц</t>
        </is>
      </c>
      <c r="C56" s="333" t="inlineStr">
        <is>
          <t>35 юрлиц на менеджера</t>
        </is>
      </c>
      <c r="D56" s="254" t="inlineStr">
        <is>
          <t>01_Вводные!B117</t>
        </is>
      </c>
      <c r="E56" s="349" t="inlineStr">
        <is>
          <t>Соответствует</t>
        </is>
      </c>
    </row>
    <row r="57" ht="32" customHeight="1">
      <c r="A57" s="331" t="inlineStr">
        <is>
          <t>6.2</t>
        </is>
      </c>
      <c r="B57" s="333" t="inlineStr">
        <is>
          <t>После перевода Левона остаются два менеджера развития</t>
        </is>
      </c>
      <c r="C57" s="333" t="inlineStr">
        <is>
          <t>База 2 менеджера</t>
        </is>
      </c>
      <c r="D57" s="254" t="inlineStr">
        <is>
          <t>01_Вводные!B118</t>
        </is>
      </c>
      <c r="E57" s="349" t="inlineStr">
        <is>
          <t>Соответствует</t>
        </is>
      </c>
    </row>
    <row r="58" ht="32" customHeight="1">
      <c r="A58" s="331" t="inlineStr">
        <is>
          <t>6.2</t>
        </is>
      </c>
      <c r="B58" s="333" t="inlineStr">
        <is>
          <t>Найм на 70, 105, 140 юрлиц — опережающий на границе загрузки</t>
        </is>
      </c>
      <c r="C58" s="333" t="inlineStr">
        <is>
          <t>INT(юрлица / 35) + 1: найм ровно в месяц достижения 70, 105, 140</t>
        </is>
      </c>
      <c r="D58" s="254" t="inlineStr">
        <is>
          <t>08_ФОТ!A10</t>
        </is>
      </c>
      <c r="E58" s="349" t="inlineStr">
        <is>
          <t>Соответствует</t>
        </is>
      </c>
    </row>
    <row r="59" ht="32" customHeight="1">
      <c r="A59" s="331" t="inlineStr">
        <is>
          <t>6.2</t>
        </is>
      </c>
      <c r="B59" s="333" t="inlineStr">
        <is>
          <t>Комиссия агентства = один месячный оклад gross</t>
        </is>
      </c>
      <c r="C59" s="333" t="inlineStr">
        <is>
          <t>Коэффициент 1,00× gross</t>
        </is>
      </c>
      <c r="D59" s="254" t="inlineStr">
        <is>
          <t>01_Вводные!B120</t>
        </is>
      </c>
      <c r="E59" s="349" t="inlineStr">
        <is>
          <t>Соответствует</t>
        </is>
      </c>
    </row>
    <row r="60">
      <c r="A60" s="257" t="inlineStr">
        <is>
          <t>6.3</t>
        </is>
      </c>
      <c r="B60" s="257" t="inlineStr">
        <is>
          <t>Разовые кадровые расходы</t>
        </is>
      </c>
      <c r="C60" s="330" t="n"/>
      <c r="D60" s="330" t="n"/>
      <c r="E60" s="330" t="n"/>
    </row>
    <row r="61" ht="32" customHeight="1">
      <c r="A61" s="331" t="inlineStr">
        <is>
          <t>6.3</t>
        </is>
      </c>
      <c r="B61" s="333" t="inlineStr">
        <is>
          <t>240 тыс. ₽ в октябре 2026 на замену директора по маркетингу</t>
        </is>
      </c>
      <c r="C61" s="333" t="inlineStr">
        <is>
          <t>240 000 ₽, дата 01.10.2026</t>
        </is>
      </c>
      <c r="D61" s="254" t="inlineStr">
        <is>
          <t>01_Вводные!B121</t>
        </is>
      </c>
      <c r="E61" s="349" t="inlineStr">
        <is>
          <t>Соответствует</t>
        </is>
      </c>
    </row>
    <row r="62" ht="32" customHeight="1">
      <c r="A62" s="331" t="inlineStr">
        <is>
          <t>6.3</t>
        </is>
      </c>
      <c r="B62" s="333" t="inlineStr">
        <is>
          <t>Резерв на ротацию 350 тыс. ₽ в год</t>
        </is>
      </c>
      <c r="C62" s="333" t="inlineStr">
        <is>
          <t>350 000 ₽ раз в год, в сентябре</t>
        </is>
      </c>
      <c r="D62" s="254" t="inlineStr">
        <is>
          <t>01_Вводные!B122</t>
        </is>
      </c>
      <c r="E62" s="349" t="inlineStr">
        <is>
          <t>Соответствует</t>
        </is>
      </c>
    </row>
    <row r="63">
      <c r="A63" s="257" t="inlineStr">
        <is>
          <t>6.4</t>
        </is>
      </c>
      <c r="B63" s="257" t="inlineStr">
        <is>
          <t>Премии</t>
        </is>
      </c>
      <c r="C63" s="330" t="n"/>
      <c r="D63" s="330" t="n"/>
      <c r="E63" s="330" t="n"/>
    </row>
    <row r="64" ht="32" customHeight="1">
      <c r="A64" s="331" t="inlineStr">
        <is>
          <t>6.4</t>
        </is>
      </c>
      <c r="B64" s="333" t="inlineStr">
        <is>
          <t>Менеджеры развития: 25 тыс. на руки до 31.12.2026, далее 30 тыс.; НДФЛ и взносы учитывать. Левон входит</t>
        </is>
      </c>
      <c r="C64" s="333" t="inlineStr">
        <is>
          <t>net → gross через 0,87, взносы 30% сверху; в базе (2 + новые + Левон)</t>
        </is>
      </c>
      <c r="D64" s="254" t="inlineStr">
        <is>
          <t>08_ФОТ!A15</t>
        </is>
      </c>
      <c r="E64" s="349" t="inlineStr">
        <is>
          <t>Соответствует</t>
        </is>
      </c>
    </row>
    <row r="65" ht="32" customHeight="1">
      <c r="A65" s="331" t="inlineStr">
        <is>
          <t>6.4</t>
        </is>
      </c>
      <c r="B65" s="333" t="inlineStr">
        <is>
          <t>Евгений: при 2+ продажах 4% паушальных за вычетом НДС; «на руки получит 4% минус все налоги»</t>
        </is>
      </c>
      <c r="C65" s="333" t="inlineStr">
        <is>
          <t>4% считается как gross, взносы 30% начисляются СВЕРХУ. Стоимость компании 5,2% базы вместо 4,0% по ТЗ</t>
        </is>
      </c>
      <c r="D65" s="254" t="inlineStr">
        <is>
          <t>08_ФОТ!A17</t>
        </is>
      </c>
      <c r="E65" s="351" t="inlineStr">
        <is>
          <t>Отклонение</t>
        </is>
      </c>
    </row>
    <row r="66" ht="32" customHeight="1">
      <c r="A66" s="331" t="inlineStr">
        <is>
          <t>6.4</t>
        </is>
      </c>
      <c r="B66" s="333" t="inlineStr">
        <is>
          <t>Отдельные схемы не должны давать двойную премию за одни и те же продажи</t>
        </is>
      </c>
      <c r="C66" s="333" t="inlineStr">
        <is>
          <t>При продажах ≥ 5 срабатывают ОБА: Евгению 4% и продавцу 5% с одной и той же паушальной выручки. Это 28 месяцев из 60</t>
        </is>
      </c>
      <c r="D66" s="254" t="inlineStr">
        <is>
          <t>13_Проверки!A71</t>
        </is>
      </c>
      <c r="E66" s="351" t="inlineStr">
        <is>
          <t>Отклонение</t>
        </is>
      </c>
    </row>
    <row r="67" ht="32" customHeight="1">
      <c r="A67" s="331" t="inlineStr">
        <is>
          <t>6.4</t>
        </is>
      </c>
      <c r="B67" s="333" t="inlineStr">
        <is>
          <t>При 5+ продажах временный продавец: 80 тыс. на руки + 5%, налоги аналогично. Временный подрядчик</t>
        </is>
      </c>
      <c r="C67" s="333" t="inlineStr">
        <is>
          <t>Статус ИП: 80 000 + 5% базы, взносов нет — соответствует ТЗ. При переключении на «Сотрудник» 5% так же обрастает взносами сверху</t>
        </is>
      </c>
      <c r="D67" s="254" t="inlineStr">
        <is>
          <t>08_ФОТ!A19</t>
        </is>
      </c>
      <c r="E67" s="349" t="inlineStr">
        <is>
          <t>Соответствует</t>
        </is>
      </c>
    </row>
    <row r="68" ht="32" customHeight="1">
      <c r="A68" s="331" t="inlineStr">
        <is>
          <t>6.4</t>
        </is>
      </c>
      <c r="B68" s="333" t="inlineStr">
        <is>
          <t>Квартальные премии 60% месячного оклада с 01.10.2027, первая выплата за IV кв. 2027 в декабре 2027</t>
        </is>
      </c>
      <c r="C68" s="333" t="inlineStr">
        <is>
          <t>0,60× месячного gross, первая выплата 01.12.2027, далее раз в квартал</t>
        </is>
      </c>
      <c r="D68" s="254" t="inlineStr">
        <is>
          <t>01_Вводные!B130</t>
        </is>
      </c>
      <c r="E68" s="349" t="inlineStr">
        <is>
          <t>Соответствует</t>
        </is>
      </c>
    </row>
    <row r="69" ht="32" customHeight="1">
      <c r="A69" s="331" t="inlineStr">
        <is>
          <t>6.4</t>
        </is>
      </c>
      <c r="B69" s="333" t="inlineStr">
        <is>
          <t>Отдельные схемы не должны получать двойную премию</t>
        </is>
      </c>
      <c r="C69" s="333" t="inlineStr">
        <is>
          <t>У Левона, двух менеджеров развития и Евгения квартальная премия «Нет»; есть автотест</t>
        </is>
      </c>
      <c r="D69" s="254" t="inlineStr">
        <is>
          <t>13_Проверки!A43</t>
        </is>
      </c>
      <c r="E69" s="349" t="inlineStr">
        <is>
          <t>Соответствует</t>
        </is>
      </c>
    </row>
    <row r="70">
      <c r="A70" s="257" t="inlineStr">
        <is>
          <t>7</t>
        </is>
      </c>
      <c r="B70" s="257" t="inlineStr">
        <is>
          <t>Маркетинг и воронка</t>
        </is>
      </c>
      <c r="C70" s="330" t="n"/>
      <c r="D70" s="330" t="n"/>
      <c r="E70" s="330" t="n"/>
    </row>
    <row r="71" ht="32" customHeight="1">
      <c r="A71" s="331" t="inlineStr">
        <is>
          <t>7</t>
        </is>
      </c>
      <c r="B71" s="333" t="inlineStr">
        <is>
          <t>Таргет за два месяца до продажи, 160 тыс. ₽ на продажу</t>
        </is>
      </c>
      <c r="C71" s="333" t="inlineStr">
        <is>
          <t>160 000 ₽ × продажи месяца M, расход в M−2. Для октября 2026 модель добавила исключение M−1 (в ТЗ этого нет)</t>
        </is>
      </c>
      <c r="D71" s="254" t="inlineStr">
        <is>
          <t>01_Вводные!B26</t>
        </is>
      </c>
      <c r="E71" s="352" t="inlineStr">
        <is>
          <t>Нет в ТЗ</t>
        </is>
      </c>
    </row>
    <row r="72" ht="32" customHeight="1">
      <c r="A72" s="331" t="inlineStr">
        <is>
          <t>7</t>
        </is>
      </c>
      <c r="B72" s="333" t="inlineStr">
        <is>
          <t>БИБОСС 250 тыс. октябрь, TopFranchise 250 тыс. ноябрь, Forbes 250 тыс. декабрь, ежегодно</t>
        </is>
      </c>
      <c r="C72" s="333" t="inlineStr">
        <is>
          <t>250 000 × 3, месяцы 10 / 11 / 12, каждый год</t>
        </is>
      </c>
      <c r="D72" s="254" t="inlineStr">
        <is>
          <t>01_Вводные!B28</t>
        </is>
      </c>
      <c r="E72" s="349" t="inlineStr">
        <is>
          <t>Соответствует</t>
        </is>
      </c>
    </row>
    <row r="73" ht="32" customHeight="1">
      <c r="A73" s="331" t="inlineStr">
        <is>
          <t>7</t>
        </is>
      </c>
      <c r="B73" s="333" t="inlineStr">
        <is>
          <t>Конверсия лид→продажа 3%; лиды = продажи / 3%, округление вверх</t>
        </is>
      </c>
      <c r="C73" s="333" t="inlineStr">
        <is>
          <t>3%, ROUNDUP; лиды показаны и помесячно, и в воронке</t>
        </is>
      </c>
      <c r="D73" s="254" t="inlineStr">
        <is>
          <t>04_Продажи!A17</t>
        </is>
      </c>
      <c r="E73" s="349" t="inlineStr">
        <is>
          <t>Соответствует</t>
        </is>
      </c>
    </row>
    <row r="74">
      <c r="A74" s="257" t="inlineStr">
        <is>
          <t>8</t>
        </is>
      </c>
      <c r="B74" s="257" t="inlineStr">
        <is>
          <t>Дебиторка, кредиторка, налоги</t>
        </is>
      </c>
      <c r="C74" s="330" t="n"/>
      <c r="D74" s="330" t="n"/>
      <c r="E74" s="330" t="n"/>
    </row>
    <row r="75" ht="32" customHeight="1">
      <c r="A75" s="331" t="inlineStr">
        <is>
          <t>8</t>
        </is>
      </c>
      <c r="B75" s="333" t="inlineStr">
        <is>
          <t>Разделять начисление (БДР) и движение денег (БДДС)</t>
        </is>
      </c>
      <c r="C75" s="333" t="inlineStr">
        <is>
          <t>Два блока на одном листе + мост БДР→БДДС со сверкой в ноль</t>
        </is>
      </c>
      <c r="D75" s="254" t="inlineStr">
        <is>
          <t>02_Модель!A85</t>
        </is>
      </c>
      <c r="E75" s="349" t="inlineStr">
        <is>
          <t>Соответствует</t>
        </is>
      </c>
    </row>
    <row r="76" ht="32" customHeight="1">
      <c r="A76" s="331" t="inlineStr">
        <is>
          <t>8</t>
        </is>
      </c>
      <c r="B76" s="333" t="inlineStr">
        <is>
          <t>Дебиторка и кредиторка базово 15 дней</t>
        </is>
      </c>
      <c r="C76" s="333" t="inlineStr">
        <is>
          <t>15 дней обе; распределение между текущим и следующим месяцем</t>
        </is>
      </c>
      <c r="D76" s="254" t="inlineStr">
        <is>
          <t>01_Вводные!B19</t>
        </is>
      </c>
      <c r="E76" s="349" t="inlineStr">
        <is>
          <t>Соответствует</t>
        </is>
      </c>
    </row>
    <row r="77" ht="32" customHeight="1">
      <c r="A77" s="331" t="inlineStr">
        <is>
          <t>8</t>
        </is>
      </c>
      <c r="B77" s="333" t="inlineStr">
        <is>
          <t>Паушальный взнос поступает в месяц продажи</t>
        </is>
      </c>
      <c r="C77" s="333" t="inlineStr">
        <is>
          <t>Поступление = начисление того же месяца</t>
        </is>
      </c>
      <c r="D77" s="254" t="inlineStr">
        <is>
          <t>02_Модель!A52</t>
        </is>
      </c>
      <c r="E77" s="349" t="inlineStr">
        <is>
          <t>Соответствует</t>
        </is>
      </c>
    </row>
    <row r="78" ht="32" customHeight="1">
      <c r="A78" s="331" t="inlineStr">
        <is>
          <t>8</t>
        </is>
      </c>
      <c r="B78" s="333" t="inlineStr">
        <is>
          <t>Ставки налогов</t>
        </is>
      </c>
      <c r="C78" s="333" t="inlineStr">
        <is>
          <t>НДС 5%, УСН 15% / минимальный 1% — в ТЗ v6.0 ставок нет, в модели помечены «Временно, требует налоговой сверки»</t>
        </is>
      </c>
      <c r="D78" s="254" t="inlineStr">
        <is>
          <t>01_Вводные!B58</t>
        </is>
      </c>
      <c r="E78" s="352" t="inlineStr">
        <is>
          <t>Нет в ТЗ</t>
        </is>
      </c>
    </row>
    <row r="79">
      <c r="A79" s="257" t="inlineStr">
        <is>
          <t>9</t>
        </is>
      </c>
      <c r="B79" s="257" t="inlineStr">
        <is>
          <t>Лагеря</t>
        </is>
      </c>
      <c r="C79" s="330" t="n"/>
      <c r="D79" s="330" t="n"/>
      <c r="E79" s="330" t="n"/>
    </row>
    <row r="80" ht="32" customHeight="1">
      <c r="A80" s="331" t="inlineStr">
        <is>
          <t>9</t>
        </is>
      </c>
      <c r="B80" s="333" t="inlineStr">
        <is>
          <t>ОТКЛЮЧЕНО по запросу 09.09.2026</t>
        </is>
      </c>
      <c r="C80" s="333" t="inlineStr">
        <is>
          <t>01_Вводные!B241 = «Нет». Блок посчитан и сохранён, но обнулён: выручка, EBITDA, поступления и оплаты лагерей = 0. Вернуть одним переключателем</t>
        </is>
      </c>
      <c r="D80" s="254" t="inlineStr">
        <is>
          <t>01_Вводные!B241</t>
        </is>
      </c>
      <c r="E80" s="352" t="inlineStr">
        <is>
          <t>Нет в ТЗ</t>
        </is>
      </c>
    </row>
    <row r="81" ht="32" customHeight="1">
      <c r="A81" s="331" t="inlineStr">
        <is>
          <t>9</t>
        </is>
      </c>
      <c r="B81" s="333" t="inlineStr">
        <is>
          <t>Лагеря в июне, 2 смены по 100 человек</t>
        </is>
      </c>
      <c r="C81" s="333" t="inlineStr">
        <is>
          <t>2 смены; 50 без проживания + 50 с проживанием = 100 чел./смена</t>
        </is>
      </c>
      <c r="D81" s="254" t="inlineStr">
        <is>
          <t>01_Вводные!B161</t>
        </is>
      </c>
      <c r="E81" s="349" t="inlineStr">
        <is>
          <t>Соответствует</t>
        </is>
      </c>
    </row>
    <row r="82" ht="32" customHeight="1">
      <c r="A82" s="331" t="inlineStr">
        <is>
          <t>9</t>
        </is>
      </c>
      <c r="B82" s="333" t="inlineStr">
        <is>
          <t>Продажи с февраля равными долями до мая включительно</t>
        </is>
      </c>
      <c r="C82" s="333" t="inlineStr">
        <is>
          <t>Первый месяц 2, последний 5, равные доли</t>
        </is>
      </c>
      <c r="D82" s="254" t="inlineStr">
        <is>
          <t>01_Вводные!B253</t>
        </is>
      </c>
      <c r="E82" s="349" t="inlineStr">
        <is>
          <t>Соответствует</t>
        </is>
      </c>
    </row>
    <row r="83" ht="32" customHeight="1">
      <c r="A83" s="331" t="inlineStr">
        <is>
          <t>9</t>
        </is>
      </c>
      <c r="B83" s="333" t="inlineStr">
        <is>
          <t>Оплаты клиентов авансом 40/60</t>
        </is>
      </c>
      <c r="C83" s="333" t="inlineStr">
        <is>
          <t>Аванс 40% при продаже, финальные 60% в мае</t>
        </is>
      </c>
      <c r="D83" s="254" t="inlineStr">
        <is>
          <t>01_Вводные!B171</t>
        </is>
      </c>
      <c r="E83" s="349" t="inlineStr">
        <is>
          <t>Соответствует</t>
        </is>
      </c>
    </row>
    <row r="84" ht="32" customHeight="1">
      <c r="A84" s="331" t="inlineStr">
        <is>
          <t>9</t>
        </is>
      </c>
      <c r="B84" s="333" t="inlineStr">
        <is>
          <t>Оплата проживания 40/60, первая в марте</t>
        </is>
      </c>
      <c r="C84" s="333" t="inlineStr">
        <is>
          <t>40% в марте, 60% в мае</t>
        </is>
      </c>
      <c r="D84" s="254" t="inlineStr">
        <is>
          <t>01_Вводные!B174</t>
        </is>
      </c>
      <c r="E84" s="349" t="inlineStr">
        <is>
          <t>Соответствует</t>
        </is>
      </c>
    </row>
    <row r="85" ht="32" customHeight="1">
      <c r="A85" s="331" t="inlineStr">
        <is>
          <t>9</t>
        </is>
      </c>
      <c r="B85" s="333" t="inlineStr">
        <is>
          <t>Цены и расходы смены</t>
        </is>
      </c>
      <c r="C85" s="333" t="inlineStr">
        <is>
          <t>80 000 / 120 000 ₽, расходы 5 386 000 ₽, проживание 700 000 ₽, доля партнёра 12,5% — источник «Лагеря Спартак Будущее» не прислан</t>
        </is>
      </c>
      <c r="D85" s="254" t="inlineStr">
        <is>
          <t>01_Вводные!B164</t>
        </is>
      </c>
      <c r="E85" s="350" t="inlineStr">
        <is>
          <t>Нет источника</t>
        </is>
      </c>
    </row>
    <row r="86">
      <c r="A86" s="257" t="inlineStr">
        <is>
          <t>10</t>
        </is>
      </c>
      <c r="B86" s="257" t="inlineStr">
        <is>
          <t>История сезона 25/26</t>
        </is>
      </c>
      <c r="C86" s="330" t="n"/>
      <c r="D86" s="330" t="n"/>
      <c r="E86" s="330" t="n"/>
    </row>
    <row r="87" ht="32" customHeight="1">
      <c r="A87" s="331" t="inlineStr">
        <is>
          <t>10</t>
        </is>
      </c>
      <c r="B87" s="333" t="inlineStr">
        <is>
          <t>Показать результат в двух вариациях: с 01.09.2025 и с 01.09.2026</t>
        </is>
      </c>
      <c r="C87" s="333" t="inlineStr">
        <is>
          <t>Переключатель «Без истории / С историей» на дашборде</t>
        </is>
      </c>
      <c r="D87" s="254" t="inlineStr">
        <is>
          <t>01_Вводные!B188</t>
        </is>
      </c>
      <c r="E87" s="349" t="inlineStr">
        <is>
          <t>Соответствует</t>
        </is>
      </c>
    </row>
    <row r="88" ht="32" customHeight="1">
      <c r="A88" s="331" t="inlineStr">
        <is>
          <t>10</t>
        </is>
      </c>
      <c r="B88" s="333" t="inlineStr">
        <is>
          <t>Факт P&amp;L июнь и июль 2026</t>
        </is>
      </c>
      <c r="C88" s="333" t="inlineStr">
        <is>
          <t>Все 6 строк обоих месяцев совпадают с присланными отчётами до рубля</t>
        </is>
      </c>
      <c r="D88" s="254" t="inlineStr">
        <is>
          <t>01_Вводные!K181</t>
        </is>
      </c>
      <c r="E88" s="349" t="inlineStr">
        <is>
          <t>Соответствует</t>
        </is>
      </c>
    </row>
    <row r="89" ht="32" customHeight="1">
      <c r="A89" s="331" t="inlineStr">
        <is>
          <t>10</t>
        </is>
      </c>
      <c r="B89" s="333" t="inlineStr">
        <is>
          <t>Факт ДДС январь–июль 2026</t>
        </is>
      </c>
      <c r="C89" s="333" t="inlineStr">
        <is>
          <t>Чистый денежный поток всех 7 месяцев совпадает с ДДС до рубля</t>
        </is>
      </c>
      <c r="D89" s="254" t="inlineStr">
        <is>
          <t>01_Вводные!F187</t>
        </is>
      </c>
      <c r="E89" s="349" t="inlineStr">
        <is>
          <t>Соответствует</t>
        </is>
      </c>
    </row>
    <row r="90" ht="32" customHeight="1">
      <c r="A90" s="331" t="inlineStr">
        <is>
          <t>10</t>
        </is>
      </c>
      <c r="B90" s="333" t="inlineStr">
        <is>
          <t>Стартовый денежный остаток</t>
        </is>
      </c>
      <c r="C90" s="333" t="inlineStr">
        <is>
          <t>187 878 ₽ — «Общий остаток на конец» из ДДС на 02.07.2026. Требует обновления на 31.08.2026</t>
        </is>
      </c>
      <c r="D90" s="254" t="inlineStr">
        <is>
          <t>01_Вводные!B17</t>
        </is>
      </c>
      <c r="E90" s="349" t="inlineStr">
        <is>
          <t>Соответствует</t>
        </is>
      </c>
    </row>
    <row r="92">
      <c r="A92" s="228" t="inlineStr">
        <is>
          <t>Открытые решения — цифры не менялись, жду ответа</t>
        </is>
      </c>
    </row>
    <row r="93" ht="104" customHeight="1">
      <c r="A93" s="353" t="inlineStr">
        <is>
          <t>!</t>
        </is>
      </c>
      <c r="B93" s="246" t="inlineStr">
        <is>
          <t>Отток сети не заложен: 0% против 18 ушедших школ</t>
        </is>
      </c>
      <c r="C93" s="245" t="inlineStr">
        <is>
          <t>Реестр от 21.08.2026: ушли 12 партнёров и 18 школ по пяти причинам, из них 7 школ — по инициативе самой УК. В модели 01_Вводные!B13 = 0% в год, хотя ТЗ 5.3 прямо требует, чтобы закрытие уменьшало детей, ERP, роялти и нагрузку менеджеров. Механика в модели есть и работает — нужна только ставка, а для неё период оттока. Плюс 3 партнёра (Кармадонов, ФСАНО, Пинчук) ещё не переподписали ДКК. Подробности — на листе 01а_Действующая_сеть.</t>
        </is>
      </c>
    </row>
    <row r="94" ht="104" customHeight="1">
      <c r="A94" s="353" t="inlineStr">
        <is>
          <t>!</t>
        </is>
      </c>
      <c r="B94" s="246" t="inlineStr">
        <is>
          <t>Двойная премия: 4% + 5% с одной и той же выручки</t>
        </is>
      </c>
      <c r="C94" s="245" t="inlineStr">
        <is>
          <t>ТЗ 6.4 и прямая просьба 09.09.2026: «хочу исключить двойную премию, чтобы за одни и те же продажи не было для Жени 4% и для этого менеджера 5%». Сейчас двойная премия ЕСТЬ: премия Евгения срабатывает от 2 продаж, временный продавец — от 5, и в месяцах с 5+ продажами обе начисляются на одну и ту же паушальную выручку. Это 28 месяцев из 60 и около 18 млн ₽ премий за горизонт. Нужно решить, как делить базу: см. три варианта в docs/Ответы_на_разбор_09.09.2026.md</t>
        </is>
      </c>
    </row>
    <row r="95" ht="104" customHeight="1">
      <c r="A95" s="353" t="inlineStr">
        <is>
          <t>!</t>
        </is>
      </c>
      <c r="B95" s="246" t="inlineStr">
        <is>
          <t>Премия Евгения: 5,2% стоимости вместо 4,0% по ТЗ</t>
        </is>
      </c>
      <c r="C95" s="245" t="inlineStr">
        <is>
          <t>ТЗ v6.0 п.6.4: «премия 4% от суммы паушальных взносов этого месяца. Вычитать из этой выручки ндс, фсс, ндфл., т.е. на руки получит 4% минус все налоги». То есть 4% — это весь бюджет, страховые взносы берутся ИЗ него. В модели 4% считается как gross, а взносы 30% начисляются сверху: 08_ФОТ!B18 = B17 × 30%. Итого компания платит 5,2% базы. Сравните с премией менеджеров развития в том же п.6.4: там ТЗ говорит «на руки», и начисление сверху правильно. Исправление — одна формула: 08_ФОТ!B17 разделить на (1 + взносы), тогда B17 + B18 = ровно 4% базы.</t>
        </is>
      </c>
    </row>
    <row r="97">
      <c r="A97" s="228" t="inlineStr">
        <is>
          <t>Чего в присланных источниках нет</t>
        </is>
      </c>
    </row>
    <row r="98" ht="30" customHeight="1">
      <c r="B98" s="245" t="inlineStr">
        <is>
          <t>• Лист «План_продаж» строки 18-22 — вектор сезонности продаж франшиз (ТЗ 5.2). В модели вектор задан числами, сверить не с чем.</t>
        </is>
      </c>
    </row>
    <row r="99" ht="30" customHeight="1">
      <c r="B99" s="245" t="inlineStr">
        <is>
          <t>• Лист «Допущения» строка 77 — сезонность повторных продаж формы с января 2027 (ТЗ 5.5).</t>
        </is>
      </c>
    </row>
    <row r="100" ht="30" customHeight="1">
      <c r="B100" s="245" t="inlineStr">
        <is>
          <t>• Файл «Экипировка Спартак» и таблица плана мерча до 31.12.2026 (ссылка на Google Sheets в ТЗ 5.6) — согласованные значения сен–дек 2026 в модели есть, первоисточника нет.</t>
        </is>
      </c>
    </row>
    <row r="101" ht="30" customHeight="1">
      <c r="B101" s="245" t="inlineStr">
        <is>
          <t>• Файл «Лагеря Спартак Будущее» (ссылка в ТЗ 9) — цены, расходы смены, доля партнёра-продавца.</t>
        </is>
      </c>
    </row>
    <row r="102" ht="30" customHeight="1">
      <c r="B102" s="245" t="inlineStr">
        <is>
          <t>• Лист «Микс_продаж» N44/O44 и «Типы_продукта» — тарифная матрица 20 групп в модели есть, первоисточник v5.1 не прислан.</t>
        </is>
      </c>
    </row>
    <row r="103" ht="30" customHeight="1">
      <c r="B103" s="245" t="inlineStr">
        <is>
          <t>• Подтверждение смысла показателя второго года (165 детей), которое ТЗ 5.3 требует получить отдельно.</t>
        </is>
      </c>
    </row>
    <row r="104" ht="30" customHeight="1">
      <c r="B104" s="245" t="inlineStr">
        <is>
          <t>• Ставки налогов: НДС, УСН и резерв 10% по лагерям в ТЗ v6.0 не заданы вовсе.</t>
        </is>
      </c>
    </row>
  </sheetData>
  <hyperlinks>
    <hyperlink ref="D7" location="'01_Вводные'!B7"/>
    <hyperlink ref="D8" location="'02_Модель'!B3"/>
    <hyperlink ref="D9" location="'04_Продажи'!B15"/>
    <hyperlink ref="D11" location="'01_Вводные'!B210"/>
    <hyperlink ref="D12" location="'13_Проверки'!A4"/>
    <hyperlink ref="D13" location="'04_Продажи'!A16"/>
    <hyperlink ref="D14" location="'01_Вводные'!B15"/>
    <hyperlink ref="D15" location="'01_Вводные'!C36"/>
    <hyperlink ref="D17" location="'01а_Действующая_сеть'!A1"/>
    <hyperlink ref="D18" location="'01_Вводные'!B11"/>
    <hyperlink ref="D19" location="'06_Сеть_и_дети'!A19"/>
    <hyperlink ref="D20" location="'01_Вводные'!B44"/>
    <hyperlink ref="D21" location="'01_Вводные'!B46"/>
    <hyperlink ref="D22" location="'01_Вводные'!B47"/>
    <hyperlink ref="D23" location="'06_Сеть_и_дети'!A52"/>
    <hyperlink ref="D24" location="'01а_Действующая_сеть'!A1"/>
    <hyperlink ref="D26" location="'01_Вводные'!B63"/>
    <hyperlink ref="D27" location="'01_Вводные'!B55"/>
    <hyperlink ref="D28" location="'01_Вводные'!B56"/>
    <hyperlink ref="D29" location="'01_Вводные'!B57"/>
    <hyperlink ref="D30" location="'01_Вводные'!B53"/>
    <hyperlink ref="D32" location="'01_Вводные'!B99"/>
    <hyperlink ref="D33" location="'01_Вводные'!B94"/>
    <hyperlink ref="D34" location="'01_Вводные'!B87"/>
    <hyperlink ref="D35" location="'13_Проверки'!A56"/>
    <hyperlink ref="D36" location="'01_Вводные'!B73"/>
    <hyperlink ref="D38" location="'01_Вводные'!B77"/>
    <hyperlink ref="D39" location="'07_Мерч'!A30"/>
    <hyperlink ref="D40" location="'07_Мерч'!A31"/>
    <hyperlink ref="D41" location="'01_Вводные'!B82"/>
    <hyperlink ref="D42" location="'07_Мерч'!A21"/>
    <hyperlink ref="D44" location="'02_Модель'!A37"/>
    <hyperlink ref="D45" location="'01_Вводные'!B106"/>
    <hyperlink ref="D46" location="'13_Проверки'!A59"/>
    <hyperlink ref="D47" location="'01_Вводные'!B109"/>
    <hyperlink ref="D48" location="'01_Вводные'!B111"/>
    <hyperlink ref="D50" location="'01_Вводные'!B141"/>
    <hyperlink ref="D51" location="'01_Вводные'!B133"/>
    <hyperlink ref="D52" location="'01_Вводные'!B134"/>
    <hyperlink ref="D53" location="'01_Вводные'!B135"/>
    <hyperlink ref="D54" location="'01_Вводные'!B251"/>
    <hyperlink ref="D56" location="'01_Вводные'!B117"/>
    <hyperlink ref="D57" location="'01_Вводные'!B118"/>
    <hyperlink ref="D58" location="'08_ФОТ'!A10"/>
    <hyperlink ref="D59" location="'01_Вводные'!B120"/>
    <hyperlink ref="D61" location="'01_Вводные'!B121"/>
    <hyperlink ref="D62" location="'01_Вводные'!B122"/>
    <hyperlink ref="D64" location="'08_ФОТ'!A15"/>
    <hyperlink ref="D65" location="'08_ФОТ'!A17"/>
    <hyperlink ref="D66" location="'13_Проверки'!A71"/>
    <hyperlink ref="D67" location="'08_ФОТ'!A19"/>
    <hyperlink ref="D68" location="'01_Вводные'!B130"/>
    <hyperlink ref="D69" location="'13_Проверки'!A43"/>
    <hyperlink ref="D71" location="'01_Вводные'!B26"/>
    <hyperlink ref="D72" location="'01_Вводные'!B28"/>
    <hyperlink ref="D73" location="'04_Продажи'!A17"/>
    <hyperlink ref="D75" location="'02_Модель'!A85"/>
    <hyperlink ref="D76" location="'01_Вводные'!B19"/>
    <hyperlink ref="D77" location="'02_Модель'!A52"/>
    <hyperlink ref="D78" location="'01_Вводные'!B58"/>
    <hyperlink ref="D80" location="'01_Вводные'!B241"/>
    <hyperlink ref="D81" location="'01_Вводные'!B161"/>
    <hyperlink ref="D82" location="'01_Вводные'!B253"/>
    <hyperlink ref="D83" location="'01_Вводные'!B171"/>
    <hyperlink ref="D84" location="'01_Вводные'!B174"/>
    <hyperlink ref="D85" location="'01_Вводные'!B164"/>
    <hyperlink ref="D87" location="'01_Вводные'!B188"/>
    <hyperlink ref="D88" location="'01_Вводные'!K181"/>
    <hyperlink ref="D89" location="'01_Вводные'!F187"/>
    <hyperlink ref="D90" location="'01_Вводные'!B17"/>
  </hyperlinks>
  <printOptions horizontalCentered="0"/>
  <pageMargins left="0.75" right="0.75" top="1" bottom="1" header="0.5" footer="0.5"/>
  <pageSetup orientation="portrait" fitToHeight="0" fitToWidth="1"/>
  <headerFooter>
    <oddHeader/>
    <oddFooter>&amp;LФинмодель Спартак · 14а_Сверка_с_ТЗ&amp;R&amp;P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2026-09-08T22:55:39Z</dcterms:created>
  <dcterms:modified xsi:type="dcterms:W3CDTF">2026-09-11T13:14:17Z</dcterms:modified>
</cp:coreProperties>
</file>